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 data\GitHub__R-stat\AfricanBioServices-Vegetation-and-soils\Termites\"/>
    </mc:Choice>
  </mc:AlternateContent>
  <xr:revisionPtr revIDLastSave="0" documentId="10_ncr:100000_{CD696A74-1E25-47EB-A753-097BD5DEFCC8}" xr6:coauthVersionLast="31" xr6:coauthVersionMax="33" xr10:uidLastSave="{00000000-0000-0000-0000-000000000000}"/>
  <bookViews>
    <workbookView xWindow="0" yWindow="0" windowWidth="28800" windowHeight="11628" firstSheet="10" activeTab="10" xr2:uid="{00000000-000D-0000-FFFF-FFFF00000000}"/>
  </bookViews>
  <sheets>
    <sheet name="Final data_for_R_analysis_Wetse" sheetId="25" r:id="rId1"/>
    <sheet name="Final data_for_R_analysis_Dryse" sheetId="31" r:id="rId2"/>
    <sheet name="Dry_Litterbag Placem_Collection" sheetId="17" r:id="rId3"/>
    <sheet name="TBIcalc" sheetId="34" r:id="rId4"/>
    <sheet name="50x50 Mound survey" sheetId="30" r:id="rId5"/>
    <sheet name="Coordinates" sheetId="29" r:id="rId6"/>
    <sheet name="Soil_texture" sheetId="26" r:id="rId7"/>
    <sheet name="Rainfall_Wet" sheetId="27" r:id="rId8"/>
    <sheet name="Teabags_used_in_wet" sheetId="22" r:id="rId9"/>
    <sheet name="Ashed_controlls" sheetId="41" r:id="rId10"/>
    <sheet name="Duplicate check" sheetId="32" r:id="rId11"/>
    <sheet name="Ashed teabags wet" sheetId="23" r:id="rId12"/>
    <sheet name="WetLitterbags placem_collection" sheetId="12" r:id="rId13"/>
    <sheet name="Both teabags AfterWet" sheetId="11" r:id="rId14"/>
    <sheet name="Ashed teabags dry" sheetId="35" r:id="rId15"/>
    <sheet name="Ash_Protocol" sheetId="24" r:id="rId16"/>
    <sheet name="Rainfall_Dry" sheetId="28" r:id="rId17"/>
    <sheet name="Green_rooibos initial weight" sheetId="10" r:id="rId18"/>
    <sheet name="Both teabags AfterDry" sheetId="16" r:id="rId19"/>
    <sheet name="Dry_season" sheetId="19" r:id="rId20"/>
    <sheet name="Wet_season" sheetId="18" r:id="rId21"/>
    <sheet name="TBImanual" sheetId="5" r:id="rId22"/>
    <sheet name="Bugs&amp;Issues" sheetId="4" r:id="rId23"/>
    <sheet name="Things" sheetId="14" r:id="rId24"/>
    <sheet name="TBIWet_Unashed" sheetId="43" r:id="rId25"/>
    <sheet name="TBIWet" sheetId="37" r:id="rId26"/>
    <sheet name="TBIDry_Unashed" sheetId="42" r:id="rId27"/>
    <sheet name="TBIDry" sheetId="40" r:id="rId28"/>
    <sheet name="Changelog" sheetId="3" state="hidden" r:id="rId29"/>
    <sheet name="DIAGNOSTICS" sheetId="7" state="hidden" r:id="rId30"/>
  </sheets>
  <definedNames>
    <definedName name="_xlnm._FilterDatabase" localSheetId="11" hidden="1">'Ashed teabags wet'!$C$1:$P$825</definedName>
  </definedNames>
  <calcPr calcId="179017" concurrentCalc="0"/>
</workbook>
</file>

<file path=xl/calcChain.xml><?xml version="1.0" encoding="utf-8"?>
<calcChain xmlns="http://schemas.openxmlformats.org/spreadsheetml/2006/main">
  <c r="BO6" i="32" l="1"/>
  <c r="BO7" i="32"/>
  <c r="BO8" i="32"/>
  <c r="BO9" i="32"/>
  <c r="BO10" i="32"/>
  <c r="BO11" i="32"/>
  <c r="BO12" i="32"/>
  <c r="BO13" i="32"/>
  <c r="BO14" i="32"/>
  <c r="BO15" i="32"/>
  <c r="BO16" i="32"/>
  <c r="BO17" i="32"/>
  <c r="BO18" i="32"/>
  <c r="BO19" i="32"/>
  <c r="BO20" i="32"/>
  <c r="BO21" i="32"/>
  <c r="BO22" i="32"/>
  <c r="BO23" i="32"/>
  <c r="BO24" i="32"/>
  <c r="BO25" i="32"/>
  <c r="BO26" i="32"/>
  <c r="BO27" i="32"/>
  <c r="BO28" i="32"/>
  <c r="BO29" i="32"/>
  <c r="BO30" i="32"/>
  <c r="BO31" i="32"/>
  <c r="BO32" i="32"/>
  <c r="BO33" i="32"/>
  <c r="BO34" i="32"/>
  <c r="BO35" i="32"/>
  <c r="BO36" i="32"/>
  <c r="BO37" i="32"/>
  <c r="BO38" i="32"/>
  <c r="BO39" i="32"/>
  <c r="BO40" i="32"/>
  <c r="BO41" i="32"/>
  <c r="BO42" i="32"/>
  <c r="BO43" i="32"/>
  <c r="BO44" i="32"/>
  <c r="BO45" i="32"/>
  <c r="BO46" i="32"/>
  <c r="BO47" i="32"/>
  <c r="BO48" i="32"/>
  <c r="BO49" i="32"/>
  <c r="BO50" i="32"/>
  <c r="BO51" i="32"/>
  <c r="BO52" i="32"/>
  <c r="BO53" i="32"/>
  <c r="BO54" i="32"/>
  <c r="BO55" i="32"/>
  <c r="BO56" i="32"/>
  <c r="BO57" i="32"/>
  <c r="BO58" i="32"/>
  <c r="BO59" i="32"/>
  <c r="BO60" i="32"/>
  <c r="BO61" i="32"/>
  <c r="BO62" i="32"/>
  <c r="BO63" i="32"/>
  <c r="BO64" i="32"/>
  <c r="BO65" i="32"/>
  <c r="BO66" i="32"/>
  <c r="BO67" i="32"/>
  <c r="BO68" i="32"/>
  <c r="BO69" i="32"/>
  <c r="BO70" i="32"/>
  <c r="BO71" i="32"/>
  <c r="BO72" i="32"/>
  <c r="BO73" i="32"/>
  <c r="BO74" i="32"/>
  <c r="BO75" i="32"/>
  <c r="BO76" i="32"/>
  <c r="BO77" i="32"/>
  <c r="BO78" i="32"/>
  <c r="BO79" i="32"/>
  <c r="BO80" i="32"/>
  <c r="BO81" i="32"/>
  <c r="BO82" i="32"/>
  <c r="BO83" i="32"/>
  <c r="BO84" i="32"/>
  <c r="BO85" i="32"/>
  <c r="BO86" i="32"/>
  <c r="BO87" i="32"/>
  <c r="BO88" i="32"/>
  <c r="BO89" i="32"/>
  <c r="BO90" i="32"/>
  <c r="BO91" i="32"/>
  <c r="BO92" i="32"/>
  <c r="BO93" i="32"/>
  <c r="BO94" i="32"/>
  <c r="BO95" i="32"/>
  <c r="BO96" i="32"/>
  <c r="BO97" i="32"/>
  <c r="BO98" i="32"/>
  <c r="BO99" i="32"/>
  <c r="BO100" i="32"/>
  <c r="BO101" i="32"/>
  <c r="BO102" i="32"/>
  <c r="BO103" i="32"/>
  <c r="BO104" i="32"/>
  <c r="BO105" i="32"/>
  <c r="BO106" i="32"/>
  <c r="BO107" i="32"/>
  <c r="BO108" i="32"/>
  <c r="BO109" i="32"/>
  <c r="BO110" i="32"/>
  <c r="BO111" i="32"/>
  <c r="BO112" i="32"/>
  <c r="BO113" i="32"/>
  <c r="BO114" i="32"/>
  <c r="BO115" i="32"/>
  <c r="BO116" i="32"/>
  <c r="BO117" i="32"/>
  <c r="BO118" i="32"/>
  <c r="BO119" i="32"/>
  <c r="BO120" i="32"/>
  <c r="BO121" i="32"/>
  <c r="BO122" i="32"/>
  <c r="BO123" i="32"/>
  <c r="BO124" i="32"/>
  <c r="BO125" i="32"/>
  <c r="BO126" i="32"/>
  <c r="BO127" i="32"/>
  <c r="BO128" i="32"/>
  <c r="BO129" i="32"/>
  <c r="BO130" i="32"/>
  <c r="BO131" i="32"/>
  <c r="BO132" i="32"/>
  <c r="BO133" i="32"/>
  <c r="BO134" i="32"/>
  <c r="BO135" i="32"/>
  <c r="BO136" i="32"/>
  <c r="BO137" i="32"/>
  <c r="BO138" i="32"/>
  <c r="BO139" i="32"/>
  <c r="BO140" i="32"/>
  <c r="BO141" i="32"/>
  <c r="BO142" i="32"/>
  <c r="BO143" i="32"/>
  <c r="BO144" i="32"/>
  <c r="BO145" i="32"/>
  <c r="BO146" i="32"/>
  <c r="BO147" i="32"/>
  <c r="BO148" i="32"/>
  <c r="BO149" i="32"/>
  <c r="BO150" i="32"/>
  <c r="BO151" i="32"/>
  <c r="BO152" i="32"/>
  <c r="BO153" i="32"/>
  <c r="BO154" i="32"/>
  <c r="BO155" i="32"/>
  <c r="BO156" i="32"/>
  <c r="BO157" i="32"/>
  <c r="BO158" i="32"/>
  <c r="BO159" i="32"/>
  <c r="BO160" i="32"/>
  <c r="BO161" i="32"/>
  <c r="BO162" i="32"/>
  <c r="BO163" i="32"/>
  <c r="BO164" i="32"/>
  <c r="BO165" i="32"/>
  <c r="BO166" i="32"/>
  <c r="BO167" i="32"/>
  <c r="BO168" i="32"/>
  <c r="BO169" i="32"/>
  <c r="BO170" i="32"/>
  <c r="BO171" i="32"/>
  <c r="BO172" i="32"/>
  <c r="BO173" i="32"/>
  <c r="BO174" i="32"/>
  <c r="BO175" i="32"/>
  <c r="BO176" i="32"/>
  <c r="BO177" i="32"/>
  <c r="BO178" i="32"/>
  <c r="BO179" i="32"/>
  <c r="BO180" i="32"/>
  <c r="BO181" i="32"/>
  <c r="BO182" i="32"/>
  <c r="BO183" i="32"/>
  <c r="BO184" i="32"/>
  <c r="BO185" i="32"/>
  <c r="BO186" i="32"/>
  <c r="BO187" i="32"/>
  <c r="BO188" i="32"/>
  <c r="BO189" i="32"/>
  <c r="BO190" i="32"/>
  <c r="BO191" i="32"/>
  <c r="BO192" i="32"/>
  <c r="BO193" i="32"/>
  <c r="BO194" i="32"/>
  <c r="BO195" i="32"/>
  <c r="BO196" i="32"/>
  <c r="BO197" i="32"/>
  <c r="BO198" i="32"/>
  <c r="BO199" i="32"/>
  <c r="BO200" i="32"/>
  <c r="BO201" i="32"/>
  <c r="BO202" i="32"/>
  <c r="BO203" i="32"/>
  <c r="BO204" i="32"/>
  <c r="BO205" i="32"/>
  <c r="BO206" i="32"/>
  <c r="BO207" i="32"/>
  <c r="BO208" i="32"/>
  <c r="BO209" i="32"/>
  <c r="BO210" i="32"/>
  <c r="BO211" i="32"/>
  <c r="BO212" i="32"/>
  <c r="BO213" i="32"/>
  <c r="BO214" i="32"/>
  <c r="BO215" i="32"/>
  <c r="BO216" i="32"/>
  <c r="BO217" i="32"/>
  <c r="BO218" i="32"/>
  <c r="BO219" i="32"/>
  <c r="BO220" i="32"/>
  <c r="BO221" i="32"/>
  <c r="BO222" i="32"/>
  <c r="BO223"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BO340" i="32"/>
  <c r="BO341" i="32"/>
  <c r="BO342" i="32"/>
  <c r="BO343" i="32"/>
  <c r="BO344" i="32"/>
  <c r="BO345" i="32"/>
  <c r="BO346" i="32"/>
  <c r="BO347" i="32"/>
  <c r="BO348" i="32"/>
  <c r="BO349" i="32"/>
  <c r="BO350" i="32"/>
  <c r="BO351" i="32"/>
  <c r="BO352" i="32"/>
  <c r="BO353" i="32"/>
  <c r="BO354" i="32"/>
  <c r="BO355" i="32"/>
  <c r="BO356" i="32"/>
  <c r="BO357" i="32"/>
  <c r="BO358" i="32"/>
  <c r="BO359" i="32"/>
  <c r="BO360" i="32"/>
  <c r="BO361" i="32"/>
  <c r="BO362" i="32"/>
  <c r="BO363" i="32"/>
  <c r="BO364" i="32"/>
  <c r="BO365" i="32"/>
  <c r="BO366" i="32"/>
  <c r="BO367" i="32"/>
  <c r="BO368" i="32"/>
  <c r="BO369" i="32"/>
  <c r="BO370" i="32"/>
  <c r="BO371" i="32"/>
  <c r="BO372" i="32"/>
  <c r="BO373" i="32"/>
  <c r="BO374" i="32"/>
  <c r="BO375" i="32"/>
  <c r="BO376" i="32"/>
  <c r="BO377" i="32"/>
  <c r="BO378" i="32"/>
  <c r="BO379" i="32"/>
  <c r="BO380" i="32"/>
  <c r="BO381" i="32"/>
  <c r="BO382" i="32"/>
  <c r="BO383" i="32"/>
  <c r="BO384" i="32"/>
  <c r="BO385" i="32"/>
  <c r="BO386" i="32"/>
  <c r="BO387" i="32"/>
  <c r="BO388" i="32"/>
  <c r="BO389" i="32"/>
  <c r="BO390" i="32"/>
  <c r="BO391" i="32"/>
  <c r="BO392" i="32"/>
  <c r="BO393" i="32"/>
  <c r="BO394" i="32"/>
  <c r="BO395" i="32"/>
  <c r="BO396" i="32"/>
  <c r="BO397" i="32"/>
  <c r="BO398" i="32"/>
  <c r="BO399" i="32"/>
  <c r="BO400" i="32"/>
  <c r="BO401" i="32"/>
  <c r="BO402" i="32"/>
  <c r="BO403" i="32"/>
  <c r="BO404" i="32"/>
  <c r="BO405" i="32"/>
  <c r="BO406" i="32"/>
  <c r="BO407" i="32"/>
  <c r="BO408" i="32"/>
  <c r="BO409" i="32"/>
  <c r="BO410" i="32"/>
  <c r="BO411" i="32"/>
  <c r="BO412" i="32"/>
  <c r="BO413" i="32"/>
  <c r="BO414" i="32"/>
  <c r="BO415" i="32"/>
  <c r="BO416" i="32"/>
  <c r="BO417" i="32"/>
  <c r="BO418" i="32"/>
  <c r="BO419" i="32"/>
  <c r="BO420" i="32"/>
  <c r="BO421" i="32"/>
  <c r="BO422" i="32"/>
  <c r="M425" i="32"/>
  <c r="AZ5" i="32"/>
  <c r="BA5" i="32"/>
  <c r="AZ6" i="32"/>
  <c r="BA6" i="32"/>
  <c r="AZ7" i="32"/>
  <c r="BA7" i="32"/>
  <c r="AZ8" i="32"/>
  <c r="BA8" i="32"/>
  <c r="AZ9" i="32"/>
  <c r="BA9" i="32"/>
  <c r="AZ10" i="32"/>
  <c r="BA10" i="32"/>
  <c r="AZ11" i="32"/>
  <c r="BA11" i="32"/>
  <c r="AZ12" i="32"/>
  <c r="BA12" i="32"/>
  <c r="AZ13" i="32"/>
  <c r="BA13" i="32"/>
  <c r="AZ14" i="32"/>
  <c r="BA14" i="32"/>
  <c r="AZ15" i="32"/>
  <c r="BA15" i="32"/>
  <c r="AZ16" i="32"/>
  <c r="BA16" i="32"/>
  <c r="AZ17" i="32"/>
  <c r="BA17" i="32"/>
  <c r="AZ18" i="32"/>
  <c r="BA18" i="32"/>
  <c r="AZ19" i="32"/>
  <c r="BA19" i="32"/>
  <c r="AZ20" i="32"/>
  <c r="BA20" i="32"/>
  <c r="AZ21" i="32"/>
  <c r="BA21" i="32"/>
  <c r="AZ22" i="32"/>
  <c r="BA22" i="32"/>
  <c r="AZ23" i="32"/>
  <c r="BA23" i="32"/>
  <c r="AZ24" i="32"/>
  <c r="BA24" i="32"/>
  <c r="AZ25" i="32"/>
  <c r="BA25" i="32"/>
  <c r="AZ26" i="32"/>
  <c r="BA26" i="32"/>
  <c r="AZ27" i="32"/>
  <c r="BA27" i="32"/>
  <c r="AZ28" i="32"/>
  <c r="BA28" i="32"/>
  <c r="AZ29" i="32"/>
  <c r="BA29" i="32"/>
  <c r="AZ30" i="32"/>
  <c r="BA30" i="32"/>
  <c r="AZ31" i="32"/>
  <c r="BA31" i="32"/>
  <c r="AZ32" i="32"/>
  <c r="BA32" i="32"/>
  <c r="AZ33" i="32"/>
  <c r="BA33" i="32"/>
  <c r="AZ34" i="32"/>
  <c r="BA34" i="32"/>
  <c r="AZ35" i="32"/>
  <c r="BA35" i="32"/>
  <c r="AZ36" i="32"/>
  <c r="BA36" i="32"/>
  <c r="AZ37" i="32"/>
  <c r="BA37" i="32"/>
  <c r="AZ38" i="32"/>
  <c r="BA38" i="32"/>
  <c r="AZ39" i="32"/>
  <c r="BA39" i="32"/>
  <c r="AZ40" i="32"/>
  <c r="BA40" i="32"/>
  <c r="AZ41" i="32"/>
  <c r="BA41" i="32"/>
  <c r="AZ42" i="32"/>
  <c r="BA42" i="32"/>
  <c r="AZ43" i="32"/>
  <c r="BA43" i="32"/>
  <c r="AZ44" i="32"/>
  <c r="BA44" i="32"/>
  <c r="AZ45" i="32"/>
  <c r="BA45" i="32"/>
  <c r="AZ46" i="32"/>
  <c r="BA46" i="32"/>
  <c r="AZ47" i="32"/>
  <c r="BA47" i="32"/>
  <c r="AZ48" i="32"/>
  <c r="BA48" i="32"/>
  <c r="AZ49" i="32"/>
  <c r="BA49" i="32"/>
  <c r="AZ50" i="32"/>
  <c r="BA50" i="32"/>
  <c r="AZ51" i="32"/>
  <c r="BA51" i="32"/>
  <c r="AZ52" i="32"/>
  <c r="BA52" i="32"/>
  <c r="AZ53" i="32"/>
  <c r="BA53" i="32"/>
  <c r="AZ54" i="32"/>
  <c r="BA54" i="32"/>
  <c r="AZ55" i="32"/>
  <c r="BA55" i="32"/>
  <c r="AZ56" i="32"/>
  <c r="BA56" i="32"/>
  <c r="AZ57" i="32"/>
  <c r="BA57" i="32"/>
  <c r="AZ58" i="32"/>
  <c r="BA58" i="32"/>
  <c r="AZ59" i="32"/>
  <c r="BA59" i="32"/>
  <c r="AZ60" i="32"/>
  <c r="BA60" i="32"/>
  <c r="AZ61" i="32"/>
  <c r="BA61" i="32"/>
  <c r="AZ62" i="32"/>
  <c r="BA62" i="32"/>
  <c r="AZ63" i="32"/>
  <c r="BA63" i="32"/>
  <c r="AZ64" i="32"/>
  <c r="BA64" i="32"/>
  <c r="AZ65" i="32"/>
  <c r="BA65" i="32"/>
  <c r="AZ66" i="32"/>
  <c r="BA66" i="32"/>
  <c r="AZ67" i="32"/>
  <c r="BA67" i="32"/>
  <c r="AZ68" i="32"/>
  <c r="BA68" i="32"/>
  <c r="AZ69" i="32"/>
  <c r="BA69" i="32"/>
  <c r="AZ70" i="32"/>
  <c r="BA70" i="32"/>
  <c r="AZ71" i="32"/>
  <c r="BA71" i="32"/>
  <c r="AZ72" i="32"/>
  <c r="BA72" i="32"/>
  <c r="AZ73" i="32"/>
  <c r="BA73" i="32"/>
  <c r="AZ74" i="32"/>
  <c r="BA74" i="32"/>
  <c r="AZ75" i="32"/>
  <c r="BA75" i="32"/>
  <c r="AZ76" i="32"/>
  <c r="BA76" i="32"/>
  <c r="AZ77" i="32"/>
  <c r="BA77" i="32"/>
  <c r="AZ78" i="32"/>
  <c r="BA78" i="32"/>
  <c r="AZ79" i="32"/>
  <c r="BA79" i="32"/>
  <c r="AZ80" i="32"/>
  <c r="BA80" i="32"/>
  <c r="AZ81" i="32"/>
  <c r="BA81" i="32"/>
  <c r="AZ82" i="32"/>
  <c r="BA82" i="32"/>
  <c r="AZ83" i="32"/>
  <c r="BA83" i="32"/>
  <c r="AZ84" i="32"/>
  <c r="BA84" i="32"/>
  <c r="AZ85" i="32"/>
  <c r="BA85" i="32"/>
  <c r="AZ86" i="32"/>
  <c r="BA86" i="32"/>
  <c r="AZ87" i="32"/>
  <c r="BA87" i="32"/>
  <c r="AZ88" i="32"/>
  <c r="BA88" i="32"/>
  <c r="AZ89" i="32"/>
  <c r="BA89" i="32"/>
  <c r="AZ90" i="32"/>
  <c r="BA90" i="32"/>
  <c r="AZ91" i="32"/>
  <c r="BA91" i="32"/>
  <c r="AZ92" i="32"/>
  <c r="BA92" i="32"/>
  <c r="AZ93" i="32"/>
  <c r="BA93" i="32"/>
  <c r="AZ94" i="32"/>
  <c r="BA94" i="32"/>
  <c r="AZ95" i="32"/>
  <c r="BA95" i="32"/>
  <c r="AZ96" i="32"/>
  <c r="BA96" i="32"/>
  <c r="AZ97" i="32"/>
  <c r="BA97" i="32"/>
  <c r="AZ98" i="32"/>
  <c r="BA98" i="32"/>
  <c r="AZ99" i="32"/>
  <c r="BA99" i="32"/>
  <c r="AZ100" i="32"/>
  <c r="BA100" i="32"/>
  <c r="AZ101" i="32"/>
  <c r="BA101" i="32"/>
  <c r="AZ102" i="32"/>
  <c r="BA102" i="32"/>
  <c r="AZ103" i="32"/>
  <c r="BA103" i="32"/>
  <c r="AZ104" i="32"/>
  <c r="BA104" i="32"/>
  <c r="AZ105" i="32"/>
  <c r="BA105" i="32"/>
  <c r="AZ106" i="32"/>
  <c r="BA106" i="32"/>
  <c r="AZ107" i="32"/>
  <c r="BA107" i="32"/>
  <c r="AZ108" i="32"/>
  <c r="BA108" i="32"/>
  <c r="AZ109" i="32"/>
  <c r="BA109" i="32"/>
  <c r="AZ110" i="32"/>
  <c r="BA110" i="32"/>
  <c r="AZ111" i="32"/>
  <c r="BA111" i="32"/>
  <c r="AZ112" i="32"/>
  <c r="BA112" i="32"/>
  <c r="AZ113" i="32"/>
  <c r="BA113" i="32"/>
  <c r="AZ114" i="32"/>
  <c r="BA114" i="32"/>
  <c r="AZ115" i="32"/>
  <c r="BA115" i="32"/>
  <c r="AZ116" i="32"/>
  <c r="BA116" i="32"/>
  <c r="AZ117" i="32"/>
  <c r="BA117" i="32"/>
  <c r="AZ118" i="32"/>
  <c r="BA118" i="32"/>
  <c r="AZ119" i="32"/>
  <c r="BA119" i="32"/>
  <c r="AZ120" i="32"/>
  <c r="BA120" i="32"/>
  <c r="AZ121" i="32"/>
  <c r="BA121" i="32"/>
  <c r="AZ122" i="32"/>
  <c r="BA122" i="32"/>
  <c r="AZ123" i="32"/>
  <c r="BA123" i="32"/>
  <c r="AZ124" i="32"/>
  <c r="BA124" i="32"/>
  <c r="AZ125" i="32"/>
  <c r="BA125" i="32"/>
  <c r="AZ126" i="32"/>
  <c r="BA126" i="32"/>
  <c r="AZ127" i="32"/>
  <c r="BA127" i="32"/>
  <c r="AZ128" i="32"/>
  <c r="BA128" i="32"/>
  <c r="AZ129" i="32"/>
  <c r="BA129" i="32"/>
  <c r="AZ130" i="32"/>
  <c r="BA130" i="32"/>
  <c r="AZ131" i="32"/>
  <c r="BA131" i="32"/>
  <c r="AZ132" i="32"/>
  <c r="BA132" i="32"/>
  <c r="AZ133" i="32"/>
  <c r="BA133" i="32"/>
  <c r="AZ134" i="32"/>
  <c r="BA134" i="32"/>
  <c r="AZ135" i="32"/>
  <c r="BA135" i="32"/>
  <c r="AZ136" i="32"/>
  <c r="BA136" i="32"/>
  <c r="AZ137" i="32"/>
  <c r="BA137" i="32"/>
  <c r="AZ138" i="32"/>
  <c r="BA138" i="32"/>
  <c r="AZ139" i="32"/>
  <c r="BA139" i="32"/>
  <c r="AZ140" i="32"/>
  <c r="BA140" i="32"/>
  <c r="AZ141" i="32"/>
  <c r="BA141" i="32"/>
  <c r="AZ142" i="32"/>
  <c r="BA142" i="32"/>
  <c r="AZ143" i="32"/>
  <c r="BA143" i="32"/>
  <c r="AZ144" i="32"/>
  <c r="BA144" i="32"/>
  <c r="AZ145" i="32"/>
  <c r="BA145" i="32"/>
  <c r="AZ146" i="32"/>
  <c r="BA146" i="32"/>
  <c r="AZ147" i="32"/>
  <c r="BA147" i="32"/>
  <c r="AZ148" i="32"/>
  <c r="BA148" i="32"/>
  <c r="AZ149" i="32"/>
  <c r="BA149" i="32"/>
  <c r="AZ150" i="32"/>
  <c r="BA150" i="32"/>
  <c r="AZ151" i="32"/>
  <c r="BA151" i="32"/>
  <c r="AZ152" i="32"/>
  <c r="BA152" i="32"/>
  <c r="AZ153" i="32"/>
  <c r="BA153" i="32"/>
  <c r="AZ154" i="32"/>
  <c r="BA154" i="32"/>
  <c r="AZ155" i="32"/>
  <c r="BA155" i="32"/>
  <c r="AZ156" i="32"/>
  <c r="BA156" i="32"/>
  <c r="AZ157" i="32"/>
  <c r="BA157" i="32"/>
  <c r="AZ158" i="32"/>
  <c r="BA158" i="32"/>
  <c r="AZ159" i="32"/>
  <c r="BA159" i="32"/>
  <c r="AZ160" i="32"/>
  <c r="BA160" i="32"/>
  <c r="AZ161" i="32"/>
  <c r="BA161" i="32"/>
  <c r="AZ162" i="32"/>
  <c r="BA162" i="32"/>
  <c r="AZ163" i="32"/>
  <c r="BA163" i="32"/>
  <c r="AZ164" i="32"/>
  <c r="BA164" i="32"/>
  <c r="AZ165" i="32"/>
  <c r="BA165" i="32"/>
  <c r="AZ166" i="32"/>
  <c r="BA166" i="32"/>
  <c r="AZ167" i="32"/>
  <c r="BA167" i="32"/>
  <c r="AZ168" i="32"/>
  <c r="BA168" i="32"/>
  <c r="AZ169" i="32"/>
  <c r="BA169" i="32"/>
  <c r="AZ170" i="32"/>
  <c r="BA170" i="32"/>
  <c r="AZ171" i="32"/>
  <c r="BA171" i="32"/>
  <c r="AZ172" i="32"/>
  <c r="BA172" i="32"/>
  <c r="AZ173" i="32"/>
  <c r="BA173" i="32"/>
  <c r="AZ174" i="32"/>
  <c r="BA174" i="32"/>
  <c r="AZ175" i="32"/>
  <c r="BA175" i="32"/>
  <c r="AZ176" i="32"/>
  <c r="BA176" i="32"/>
  <c r="AZ177" i="32"/>
  <c r="BA177" i="32"/>
  <c r="AZ178" i="32"/>
  <c r="BA178" i="32"/>
  <c r="AZ179" i="32"/>
  <c r="BA179" i="32"/>
  <c r="AZ180" i="32"/>
  <c r="BA180" i="32"/>
  <c r="AZ181" i="32"/>
  <c r="BA181" i="32"/>
  <c r="AZ182" i="32"/>
  <c r="BA182" i="32"/>
  <c r="AZ183" i="32"/>
  <c r="BA183" i="32"/>
  <c r="AZ184" i="32"/>
  <c r="BA184" i="32"/>
  <c r="AZ185" i="32"/>
  <c r="BA185" i="32"/>
  <c r="AZ186" i="32"/>
  <c r="BA186" i="32"/>
  <c r="AZ187" i="32"/>
  <c r="BA187" i="32"/>
  <c r="AZ188" i="32"/>
  <c r="BA188" i="32"/>
  <c r="AZ189" i="32"/>
  <c r="BA189" i="32"/>
  <c r="AZ190" i="32"/>
  <c r="BA190" i="32"/>
  <c r="AZ191" i="32"/>
  <c r="BA191" i="32"/>
  <c r="AZ192" i="32"/>
  <c r="BA192" i="32"/>
  <c r="AZ193" i="32"/>
  <c r="BA193" i="32"/>
  <c r="AZ194" i="32"/>
  <c r="BA194" i="32"/>
  <c r="AZ195" i="32"/>
  <c r="BA195" i="32"/>
  <c r="AZ196" i="32"/>
  <c r="BA196" i="32"/>
  <c r="AZ197" i="32"/>
  <c r="BA197" i="32"/>
  <c r="AZ198" i="32"/>
  <c r="BA198" i="32"/>
  <c r="AZ199" i="32"/>
  <c r="BA199" i="32"/>
  <c r="AZ200" i="32"/>
  <c r="BA200" i="32"/>
  <c r="AZ201" i="32"/>
  <c r="BA201" i="32"/>
  <c r="AZ202" i="32"/>
  <c r="BA202" i="32"/>
  <c r="AZ203" i="32"/>
  <c r="BA203" i="32"/>
  <c r="AZ204" i="32"/>
  <c r="BA204" i="32"/>
  <c r="AZ205" i="32"/>
  <c r="BA205" i="32"/>
  <c r="AZ206" i="32"/>
  <c r="BA206" i="32"/>
  <c r="AZ207" i="32"/>
  <c r="BA207" i="32"/>
  <c r="AZ208" i="32"/>
  <c r="BA208" i="32"/>
  <c r="AZ209" i="32"/>
  <c r="BA209" i="32"/>
  <c r="AZ210" i="32"/>
  <c r="BA210" i="32"/>
  <c r="AZ211" i="32"/>
  <c r="BA211" i="32"/>
  <c r="AZ212" i="32"/>
  <c r="BA212" i="32"/>
  <c r="AZ213" i="32"/>
  <c r="BA213" i="32"/>
  <c r="AZ214" i="32"/>
  <c r="BA214" i="32"/>
  <c r="AZ215" i="32"/>
  <c r="BA215" i="32"/>
  <c r="AZ216" i="32"/>
  <c r="BA216" i="32"/>
  <c r="AZ217" i="32"/>
  <c r="BA217" i="32"/>
  <c r="AZ218" i="32"/>
  <c r="BA218" i="32"/>
  <c r="AZ219" i="32"/>
  <c r="BA219" i="32"/>
  <c r="AZ220" i="32"/>
  <c r="BA220" i="32"/>
  <c r="AZ221" i="32"/>
  <c r="BA221" i="32"/>
  <c r="AZ222" i="32"/>
  <c r="BA222" i="32"/>
  <c r="AZ223" i="32"/>
  <c r="BA223" i="32"/>
  <c r="AZ224" i="32"/>
  <c r="BA224" i="32"/>
  <c r="AZ225" i="32"/>
  <c r="BA225" i="32"/>
  <c r="AZ226" i="32"/>
  <c r="BA226" i="32"/>
  <c r="AZ227" i="32"/>
  <c r="BA227" i="32"/>
  <c r="AZ228" i="32"/>
  <c r="BA228" i="32"/>
  <c r="AZ229" i="32"/>
  <c r="BA229" i="32"/>
  <c r="AZ230" i="32"/>
  <c r="BA230" i="32"/>
  <c r="AZ231" i="32"/>
  <c r="BA231" i="32"/>
  <c r="AZ232" i="32"/>
  <c r="BA232" i="32"/>
  <c r="AZ233" i="32"/>
  <c r="BA233" i="32"/>
  <c r="AZ234" i="32"/>
  <c r="BA234" i="32"/>
  <c r="AZ235" i="32"/>
  <c r="BA235" i="32"/>
  <c r="AZ236" i="32"/>
  <c r="BA236" i="32"/>
  <c r="AZ237" i="32"/>
  <c r="BA237" i="32"/>
  <c r="AZ238" i="32"/>
  <c r="BA238" i="32"/>
  <c r="AZ239" i="32"/>
  <c r="BA239" i="32"/>
  <c r="AZ240" i="32"/>
  <c r="BA240" i="32"/>
  <c r="AZ241" i="32"/>
  <c r="BA241" i="32"/>
  <c r="AZ242" i="32"/>
  <c r="BA242" i="32"/>
  <c r="AZ243" i="32"/>
  <c r="BA243" i="32"/>
  <c r="AZ244" i="32"/>
  <c r="BA244" i="32"/>
  <c r="AZ245" i="32"/>
  <c r="BA245" i="32"/>
  <c r="AZ246" i="32"/>
  <c r="BA246" i="32"/>
  <c r="AZ247" i="32"/>
  <c r="BA247" i="32"/>
  <c r="AZ248" i="32"/>
  <c r="BA248" i="32"/>
  <c r="AZ249" i="32"/>
  <c r="BA249" i="32"/>
  <c r="AZ250" i="32"/>
  <c r="BA250" i="32"/>
  <c r="AZ251" i="32"/>
  <c r="BA251" i="32"/>
  <c r="AZ252" i="32"/>
  <c r="BA252" i="32"/>
  <c r="AZ253" i="32"/>
  <c r="BA253" i="32"/>
  <c r="AZ254" i="32"/>
  <c r="BA254" i="32"/>
  <c r="AZ255" i="32"/>
  <c r="BA255" i="32"/>
  <c r="AZ256" i="32"/>
  <c r="BA256" i="32"/>
  <c r="AZ257" i="32"/>
  <c r="BA257" i="32"/>
  <c r="AZ258" i="32"/>
  <c r="BA258" i="32"/>
  <c r="AZ259" i="32"/>
  <c r="BA259" i="32"/>
  <c r="AZ260" i="32"/>
  <c r="BA260" i="32"/>
  <c r="AZ261" i="32"/>
  <c r="BA261" i="32"/>
  <c r="AZ262" i="32"/>
  <c r="BA262" i="32"/>
  <c r="AZ263" i="32"/>
  <c r="BA263" i="32"/>
  <c r="AZ264" i="32"/>
  <c r="BA264" i="32"/>
  <c r="AZ265" i="32"/>
  <c r="BA265" i="32"/>
  <c r="AZ266" i="32"/>
  <c r="BA266" i="32"/>
  <c r="AZ267" i="32"/>
  <c r="BA267" i="32"/>
  <c r="AZ268" i="32"/>
  <c r="BA268" i="32"/>
  <c r="AZ269" i="32"/>
  <c r="BA269" i="32"/>
  <c r="AZ270" i="32"/>
  <c r="BA270" i="32"/>
  <c r="AZ271" i="32"/>
  <c r="BA271" i="32"/>
  <c r="AZ272" i="32"/>
  <c r="BA272" i="32"/>
  <c r="AZ273" i="32"/>
  <c r="BA273" i="32"/>
  <c r="AZ274" i="32"/>
  <c r="BA274" i="32"/>
  <c r="AZ275" i="32"/>
  <c r="BA275" i="32"/>
  <c r="AZ276" i="32"/>
  <c r="BA276" i="32"/>
  <c r="AZ277" i="32"/>
  <c r="BA277" i="32"/>
  <c r="AZ278" i="32"/>
  <c r="BA278" i="32"/>
  <c r="AZ279" i="32"/>
  <c r="BA279" i="32"/>
  <c r="AZ280" i="32"/>
  <c r="BA280" i="32"/>
  <c r="AZ281" i="32"/>
  <c r="BA281" i="32"/>
  <c r="AZ282" i="32"/>
  <c r="BA282" i="32"/>
  <c r="AZ283" i="32"/>
  <c r="BA283" i="32"/>
  <c r="AZ284" i="32"/>
  <c r="BA284" i="32"/>
  <c r="AZ285" i="32"/>
  <c r="BA285" i="32"/>
  <c r="AZ286" i="32"/>
  <c r="BA286" i="32"/>
  <c r="AZ287" i="32"/>
  <c r="BA287" i="32"/>
  <c r="AZ288" i="32"/>
  <c r="BA288" i="32"/>
  <c r="AZ289" i="32"/>
  <c r="BA289" i="32"/>
  <c r="AZ290" i="32"/>
  <c r="BA290" i="32"/>
  <c r="AZ291" i="32"/>
  <c r="BA291" i="32"/>
  <c r="AZ292" i="32"/>
  <c r="BA292" i="32"/>
  <c r="AZ293" i="32"/>
  <c r="BA293" i="32"/>
  <c r="AZ294" i="32"/>
  <c r="BA294" i="32"/>
  <c r="AZ295" i="32"/>
  <c r="BA295" i="32"/>
  <c r="AZ296" i="32"/>
  <c r="BA296" i="32"/>
  <c r="AZ297" i="32"/>
  <c r="BA297" i="32"/>
  <c r="AZ298" i="32"/>
  <c r="BA298" i="32"/>
  <c r="AZ299" i="32"/>
  <c r="BA299" i="32"/>
  <c r="AZ300" i="32"/>
  <c r="BA300" i="32"/>
  <c r="AZ301" i="32"/>
  <c r="BA301" i="32"/>
  <c r="AZ302" i="32"/>
  <c r="BA302" i="32"/>
  <c r="AZ303" i="32"/>
  <c r="BA303" i="32"/>
  <c r="AZ304" i="32"/>
  <c r="BA304" i="32"/>
  <c r="AZ305" i="32"/>
  <c r="BA305" i="32"/>
  <c r="AZ306" i="32"/>
  <c r="BA306" i="32"/>
  <c r="AZ307" i="32"/>
  <c r="BA307" i="32"/>
  <c r="AZ308" i="32"/>
  <c r="BA308" i="32"/>
  <c r="AZ309" i="32"/>
  <c r="BA309" i="32"/>
  <c r="AZ310" i="32"/>
  <c r="BA310" i="32"/>
  <c r="AZ311" i="32"/>
  <c r="BA311" i="32"/>
  <c r="AZ312" i="32"/>
  <c r="BA312" i="32"/>
  <c r="AZ313" i="32"/>
  <c r="BA313" i="32"/>
  <c r="AZ314" i="32"/>
  <c r="BA314" i="32"/>
  <c r="AZ315" i="32"/>
  <c r="BA315" i="32"/>
  <c r="AZ316" i="32"/>
  <c r="BA316" i="32"/>
  <c r="AZ317" i="32"/>
  <c r="BA317" i="32"/>
  <c r="AZ318" i="32"/>
  <c r="BA318" i="32"/>
  <c r="AZ319" i="32"/>
  <c r="BA319" i="32"/>
  <c r="AZ320" i="32"/>
  <c r="BA320" i="32"/>
  <c r="AZ321" i="32"/>
  <c r="BA321" i="32"/>
  <c r="AZ322" i="32"/>
  <c r="BA322" i="32"/>
  <c r="AZ323" i="32"/>
  <c r="BA323" i="32"/>
  <c r="AZ324" i="32"/>
  <c r="BA324" i="32"/>
  <c r="AZ325" i="32"/>
  <c r="BA325" i="32"/>
  <c r="AZ326" i="32"/>
  <c r="BA326" i="32"/>
  <c r="AZ327" i="32"/>
  <c r="BA327" i="32"/>
  <c r="AZ328" i="32"/>
  <c r="BA328" i="32"/>
  <c r="AZ329" i="32"/>
  <c r="BA329" i="32"/>
  <c r="AZ330" i="32"/>
  <c r="BA330" i="32"/>
  <c r="AZ331" i="32"/>
  <c r="BA331" i="32"/>
  <c r="AZ332" i="32"/>
  <c r="BA332" i="32"/>
  <c r="AZ333" i="32"/>
  <c r="BA333" i="32"/>
  <c r="AZ334" i="32"/>
  <c r="BA334" i="32"/>
  <c r="AZ335" i="32"/>
  <c r="BA335" i="32"/>
  <c r="AZ336" i="32"/>
  <c r="BA336" i="32"/>
  <c r="AZ337" i="32"/>
  <c r="BA337" i="32"/>
  <c r="AZ338" i="32"/>
  <c r="BA338" i="32"/>
  <c r="AZ339" i="32"/>
  <c r="BA339" i="32"/>
  <c r="AZ340" i="32"/>
  <c r="BA340" i="32"/>
  <c r="AZ341" i="32"/>
  <c r="BA341" i="32"/>
  <c r="AZ342" i="32"/>
  <c r="BA342" i="32"/>
  <c r="AZ343" i="32"/>
  <c r="BA343" i="32"/>
  <c r="AZ344" i="32"/>
  <c r="BA344" i="32"/>
  <c r="AZ345" i="32"/>
  <c r="BA345" i="32"/>
  <c r="AZ346" i="32"/>
  <c r="BA346" i="32"/>
  <c r="AZ347" i="32"/>
  <c r="BA347" i="32"/>
  <c r="AZ348" i="32"/>
  <c r="BA348" i="32"/>
  <c r="AZ349" i="32"/>
  <c r="BA349" i="32"/>
  <c r="AZ350" i="32"/>
  <c r="BA350" i="32"/>
  <c r="AZ351" i="32"/>
  <c r="BA351" i="32"/>
  <c r="AZ352" i="32"/>
  <c r="BA352" i="32"/>
  <c r="AZ353" i="32"/>
  <c r="BA353" i="32"/>
  <c r="AZ354" i="32"/>
  <c r="BA354" i="32"/>
  <c r="AZ355" i="32"/>
  <c r="BA355" i="32"/>
  <c r="AZ356" i="32"/>
  <c r="BA356" i="32"/>
  <c r="AZ357" i="32"/>
  <c r="BA357" i="32"/>
  <c r="AZ358" i="32"/>
  <c r="BA358" i="32"/>
  <c r="AZ359" i="32"/>
  <c r="BA359" i="32"/>
  <c r="AZ360" i="32"/>
  <c r="BA360" i="32"/>
  <c r="AZ361" i="32"/>
  <c r="BA361" i="32"/>
  <c r="AZ362" i="32"/>
  <c r="BA362" i="32"/>
  <c r="AZ363" i="32"/>
  <c r="BA363" i="32"/>
  <c r="AZ364" i="32"/>
  <c r="BA364" i="32"/>
  <c r="AZ365" i="32"/>
  <c r="BA365" i="32"/>
  <c r="AZ366" i="32"/>
  <c r="BA366" i="32"/>
  <c r="AZ367" i="32"/>
  <c r="BA367" i="32"/>
  <c r="AZ368" i="32"/>
  <c r="BA368" i="32"/>
  <c r="AZ369" i="32"/>
  <c r="BA369" i="32"/>
  <c r="AZ370" i="32"/>
  <c r="BA370" i="32"/>
  <c r="AZ371" i="32"/>
  <c r="BA371" i="32"/>
  <c r="AZ372" i="32"/>
  <c r="BA372" i="32"/>
  <c r="AZ373" i="32"/>
  <c r="BA373" i="32"/>
  <c r="AZ374" i="32"/>
  <c r="BA374" i="32"/>
  <c r="AZ375" i="32"/>
  <c r="BA375" i="32"/>
  <c r="AZ376" i="32"/>
  <c r="BA376" i="32"/>
  <c r="AZ377" i="32"/>
  <c r="BA377" i="32"/>
  <c r="AZ378" i="32"/>
  <c r="BA378" i="32"/>
  <c r="AZ379" i="32"/>
  <c r="BA379" i="32"/>
  <c r="AZ380" i="32"/>
  <c r="BA380" i="32"/>
  <c r="AZ381" i="32"/>
  <c r="BA381" i="32"/>
  <c r="AZ382" i="32"/>
  <c r="BA382" i="32"/>
  <c r="AZ383" i="32"/>
  <c r="BA383" i="32"/>
  <c r="AZ384" i="32"/>
  <c r="BA384" i="32"/>
  <c r="AZ385" i="32"/>
  <c r="BA385" i="32"/>
  <c r="AZ386" i="32"/>
  <c r="BA386" i="32"/>
  <c r="AZ387" i="32"/>
  <c r="BA387" i="32"/>
  <c r="AZ388" i="32"/>
  <c r="BA388" i="32"/>
  <c r="AZ389" i="32"/>
  <c r="BA389" i="32"/>
  <c r="AZ390" i="32"/>
  <c r="BA390" i="32"/>
  <c r="AZ391" i="32"/>
  <c r="BA391" i="32"/>
  <c r="AZ392" i="32"/>
  <c r="BA392" i="32"/>
  <c r="AZ393" i="32"/>
  <c r="BA393" i="32"/>
  <c r="AZ394" i="32"/>
  <c r="BA394" i="32"/>
  <c r="AZ395" i="32"/>
  <c r="BA395" i="32"/>
  <c r="AZ396" i="32"/>
  <c r="BA396" i="32"/>
  <c r="AZ397" i="32"/>
  <c r="BA397" i="32"/>
  <c r="AZ398" i="32"/>
  <c r="BA398" i="32"/>
  <c r="AZ399" i="32"/>
  <c r="BA399" i="32"/>
  <c r="AZ400" i="32"/>
  <c r="BA400" i="32"/>
  <c r="AZ401" i="32"/>
  <c r="BA401" i="32"/>
  <c r="AZ402" i="32"/>
  <c r="BA402" i="32"/>
  <c r="AZ403" i="32"/>
  <c r="BA403" i="32"/>
  <c r="AZ404" i="32"/>
  <c r="BA404" i="32"/>
  <c r="AZ405" i="32"/>
  <c r="BA405" i="32"/>
  <c r="AZ406" i="32"/>
  <c r="BA406" i="32"/>
  <c r="AZ407" i="32"/>
  <c r="BA407" i="32"/>
  <c r="AZ408" i="32"/>
  <c r="BA408" i="32"/>
  <c r="AZ409" i="32"/>
  <c r="BA409" i="32"/>
  <c r="AZ410" i="32"/>
  <c r="BA410" i="32"/>
  <c r="AZ411" i="32"/>
  <c r="BA411" i="32"/>
  <c r="AZ412" i="32"/>
  <c r="BA412" i="32"/>
  <c r="AZ413" i="32"/>
  <c r="BA413" i="32"/>
  <c r="AZ414" i="32"/>
  <c r="BA414" i="32"/>
  <c r="AZ415" i="32"/>
  <c r="BA415" i="32"/>
  <c r="AZ416" i="32"/>
  <c r="BA416" i="32"/>
  <c r="AZ417" i="32"/>
  <c r="BA417" i="32"/>
  <c r="AZ418" i="32"/>
  <c r="BA418" i="32"/>
  <c r="AZ419" i="32"/>
  <c r="BA419" i="32"/>
  <c r="AZ420" i="32"/>
  <c r="BA420" i="32"/>
  <c r="AZ421" i="32"/>
  <c r="BA421" i="32"/>
  <c r="AZ422" i="32"/>
  <c r="BA422" i="32"/>
  <c r="AZ423" i="32"/>
  <c r="BA423" i="32"/>
  <c r="AZ424" i="32"/>
  <c r="BA424" i="32"/>
  <c r="AZ425" i="32"/>
  <c r="BA425" i="32"/>
  <c r="AZ426" i="32"/>
  <c r="BA426" i="32"/>
  <c r="AZ427" i="32"/>
  <c r="BA427" i="32"/>
  <c r="AZ428" i="32"/>
  <c r="BA428" i="32"/>
  <c r="AZ429" i="32"/>
  <c r="BA429" i="32"/>
  <c r="AZ430" i="32"/>
  <c r="BA430" i="32"/>
  <c r="AZ431" i="32"/>
  <c r="BA431" i="32"/>
  <c r="AZ432" i="32"/>
  <c r="BA432" i="32"/>
  <c r="AZ433" i="32"/>
  <c r="BA433" i="32"/>
  <c r="AZ434" i="32"/>
  <c r="BA434" i="32"/>
  <c r="AZ435" i="32"/>
  <c r="BA435" i="32"/>
  <c r="AZ436" i="32"/>
  <c r="BA436" i="32"/>
  <c r="AZ437" i="32"/>
  <c r="BA437" i="32"/>
  <c r="AZ438" i="32"/>
  <c r="BA438" i="32"/>
  <c r="AZ439" i="32"/>
  <c r="BA439" i="32"/>
  <c r="AZ440" i="32"/>
  <c r="BA440" i="32"/>
  <c r="AZ441" i="32"/>
  <c r="BA441" i="32"/>
  <c r="AZ442" i="32"/>
  <c r="BA442" i="32"/>
  <c r="AZ443" i="32"/>
  <c r="BA443" i="32"/>
  <c r="AZ444" i="32"/>
  <c r="BA444" i="32"/>
  <c r="AZ445" i="32"/>
  <c r="BA445" i="32"/>
  <c r="AZ446" i="32"/>
  <c r="BA446" i="32"/>
  <c r="AZ447" i="32"/>
  <c r="BA447" i="32"/>
  <c r="AZ448" i="32"/>
  <c r="BA448" i="32"/>
  <c r="AZ449" i="32"/>
  <c r="BA449" i="32"/>
  <c r="AZ450" i="32"/>
  <c r="BA450" i="32"/>
  <c r="AZ451" i="32"/>
  <c r="BA451" i="32"/>
  <c r="AZ452" i="32"/>
  <c r="BA452" i="32"/>
  <c r="AZ453" i="32"/>
  <c r="BA453" i="32"/>
  <c r="AZ454" i="32"/>
  <c r="BA454" i="32"/>
  <c r="AZ455" i="32"/>
  <c r="BA455" i="32"/>
  <c r="AZ456" i="32"/>
  <c r="BA456" i="32"/>
  <c r="AZ457" i="32"/>
  <c r="BA457" i="32"/>
  <c r="AZ458" i="32"/>
  <c r="BA458" i="32"/>
  <c r="AZ459" i="32"/>
  <c r="BA459" i="32"/>
  <c r="AZ460" i="32"/>
  <c r="BA460" i="32"/>
  <c r="AZ461" i="32"/>
  <c r="BA461" i="32"/>
  <c r="AZ462" i="32"/>
  <c r="BA462" i="32"/>
  <c r="AZ463" i="32"/>
  <c r="BA463" i="32"/>
  <c r="AZ464" i="32"/>
  <c r="BA464" i="32"/>
  <c r="AZ465" i="32"/>
  <c r="BA465" i="32"/>
  <c r="AZ466" i="32"/>
  <c r="BA466" i="32"/>
  <c r="AZ467" i="32"/>
  <c r="BA467" i="32"/>
  <c r="AZ468" i="32"/>
  <c r="BA468" i="32"/>
  <c r="AZ469" i="32"/>
  <c r="BA469" i="32"/>
  <c r="AZ470" i="32"/>
  <c r="BA470" i="32"/>
  <c r="AZ471" i="32"/>
  <c r="BA471" i="32"/>
  <c r="AZ472" i="32"/>
  <c r="BA472" i="32"/>
  <c r="AZ473" i="32"/>
  <c r="BA473" i="32"/>
  <c r="AZ474" i="32"/>
  <c r="BA474" i="32"/>
  <c r="AZ475" i="32"/>
  <c r="BA475" i="32"/>
  <c r="AZ476" i="32"/>
  <c r="BA476" i="32"/>
  <c r="AZ477" i="32"/>
  <c r="BA477" i="32"/>
  <c r="AZ478" i="32"/>
  <c r="BA478" i="32"/>
  <c r="AZ479" i="32"/>
  <c r="BA479" i="32"/>
  <c r="AZ480" i="32"/>
  <c r="BA480" i="32"/>
  <c r="AZ481" i="32"/>
  <c r="BA481" i="32"/>
  <c r="AZ482" i="32"/>
  <c r="BA482" i="32"/>
  <c r="AZ483" i="32"/>
  <c r="BA483" i="32"/>
  <c r="AZ484" i="32"/>
  <c r="BA484" i="32"/>
  <c r="AZ485" i="32"/>
  <c r="BA485" i="32"/>
  <c r="AZ486" i="32"/>
  <c r="BA486" i="32"/>
  <c r="AZ487" i="32"/>
  <c r="BA487" i="32"/>
  <c r="AZ488" i="32"/>
  <c r="BA488" i="32"/>
  <c r="AZ489" i="32"/>
  <c r="BA489" i="32"/>
  <c r="AZ490" i="32"/>
  <c r="BA490" i="32"/>
  <c r="AZ491" i="32"/>
  <c r="BA491" i="32"/>
  <c r="AZ492" i="32"/>
  <c r="BA492" i="32"/>
  <c r="AZ493" i="32"/>
  <c r="BA493" i="32"/>
  <c r="AZ494" i="32"/>
  <c r="BA494" i="32"/>
  <c r="AZ495" i="32"/>
  <c r="BA495" i="32"/>
  <c r="AZ496" i="32"/>
  <c r="BA496" i="32"/>
  <c r="AZ497" i="32"/>
  <c r="BA497" i="32"/>
  <c r="AZ498" i="32"/>
  <c r="BA498" i="32"/>
  <c r="AZ499" i="32"/>
  <c r="BA499" i="32"/>
  <c r="AZ500" i="32"/>
  <c r="BA500" i="32"/>
  <c r="AZ501" i="32"/>
  <c r="BA501" i="32"/>
  <c r="AZ502" i="32"/>
  <c r="BA502" i="32"/>
  <c r="AZ503" i="32"/>
  <c r="BA503" i="32"/>
  <c r="AZ504" i="32"/>
  <c r="BA504" i="32"/>
  <c r="AZ505" i="32"/>
  <c r="BA505" i="32"/>
  <c r="AZ506" i="32"/>
  <c r="BA506" i="32"/>
  <c r="AZ507" i="32"/>
  <c r="BA507" i="32"/>
  <c r="AZ508" i="32"/>
  <c r="BA508" i="32"/>
  <c r="AZ509" i="32"/>
  <c r="BA509" i="32"/>
  <c r="AZ510" i="32"/>
  <c r="BA510" i="32"/>
  <c r="AZ511" i="32"/>
  <c r="BA511" i="32"/>
  <c r="AZ512" i="32"/>
  <c r="BA512" i="32"/>
  <c r="AZ513" i="32"/>
  <c r="BA513" i="32"/>
  <c r="AZ514" i="32"/>
  <c r="BA514" i="32"/>
  <c r="AZ515" i="32"/>
  <c r="BA515" i="32"/>
  <c r="AZ516" i="32"/>
  <c r="BA516" i="32"/>
  <c r="AZ517" i="32"/>
  <c r="BA517" i="32"/>
  <c r="AZ518" i="32"/>
  <c r="BA518" i="32"/>
  <c r="AZ519" i="32"/>
  <c r="BA519" i="32"/>
  <c r="AZ520" i="32"/>
  <c r="BA520" i="32"/>
  <c r="AZ521" i="32"/>
  <c r="BA521" i="32"/>
  <c r="AZ522" i="32"/>
  <c r="BA522" i="32"/>
  <c r="AZ523" i="32"/>
  <c r="BA523" i="32"/>
  <c r="AZ524" i="32"/>
  <c r="BA524" i="32"/>
  <c r="AZ525" i="32"/>
  <c r="BA525" i="32"/>
  <c r="BA4" i="32"/>
  <c r="AZ4" i="32"/>
  <c r="W4" i="32"/>
  <c r="W5" i="32"/>
  <c r="W6" i="32"/>
  <c r="W7" i="32"/>
  <c r="W8" i="32"/>
  <c r="W9" i="32"/>
  <c r="W10" i="32"/>
  <c r="W11" i="32"/>
  <c r="W12" i="32"/>
  <c r="W13" i="32"/>
  <c r="W14" i="32"/>
  <c r="W15" i="32"/>
  <c r="W16" i="32"/>
  <c r="W17" i="32"/>
  <c r="W18" i="32"/>
  <c r="W19" i="32"/>
  <c r="W20" i="32"/>
  <c r="W21" i="32"/>
  <c r="W22" i="32"/>
  <c r="W23" i="32"/>
  <c r="W24" i="32"/>
  <c r="W25" i="32"/>
  <c r="W26" i="32"/>
  <c r="W27"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V4" i="32"/>
  <c r="V5" i="32"/>
  <c r="V6" i="32"/>
  <c r="V7" i="32"/>
  <c r="V8" i="32"/>
  <c r="V9" i="32"/>
  <c r="V10" i="32"/>
  <c r="V11" i="32"/>
  <c r="V12" i="32"/>
  <c r="V13" i="32"/>
  <c r="V14" i="32"/>
  <c r="V15" i="32"/>
  <c r="V16" i="32"/>
  <c r="V17" i="32"/>
  <c r="V18" i="32"/>
  <c r="V19" i="32"/>
  <c r="V20" i="32"/>
  <c r="V21" i="32"/>
  <c r="V22" i="32"/>
  <c r="V23" i="32"/>
  <c r="V24" i="32"/>
  <c r="V25" i="32"/>
  <c r="V26" i="32"/>
  <c r="V27" i="32"/>
  <c r="V28" i="32"/>
  <c r="V29" i="32"/>
  <c r="V30" i="32"/>
  <c r="V31" i="32"/>
  <c r="V32" i="32"/>
  <c r="V33" i="32"/>
  <c r="V34" i="32"/>
  <c r="V35" i="32"/>
  <c r="V36" i="32"/>
  <c r="V37" i="32"/>
  <c r="V38" i="32"/>
  <c r="V39" i="32"/>
  <c r="V40" i="32"/>
  <c r="V41" i="32"/>
  <c r="V42" i="32"/>
  <c r="V43" i="32"/>
  <c r="V44" i="32"/>
  <c r="V45" i="32"/>
  <c r="V46" i="32"/>
  <c r="V47" i="32"/>
  <c r="V48" i="32"/>
  <c r="V49" i="32"/>
  <c r="V50" i="32"/>
  <c r="V51" i="32"/>
  <c r="V52" i="32"/>
  <c r="V53" i="32"/>
  <c r="V54" i="32"/>
  <c r="V55" i="32"/>
  <c r="V56" i="32"/>
  <c r="V57" i="32"/>
  <c r="V58" i="32"/>
  <c r="V59" i="32"/>
  <c r="V60" i="32"/>
  <c r="V61" i="32"/>
  <c r="V62" i="32"/>
  <c r="V63" i="32"/>
  <c r="V64" i="32"/>
  <c r="V65" i="32"/>
  <c r="V66" i="32"/>
  <c r="V67" i="32"/>
  <c r="V68" i="32"/>
  <c r="V69" i="32"/>
  <c r="V70" i="32"/>
  <c r="V71" i="32"/>
  <c r="V72" i="32"/>
  <c r="V73" i="32"/>
  <c r="V74" i="32"/>
  <c r="V75" i="32"/>
  <c r="V76" i="32"/>
  <c r="V77" i="32"/>
  <c r="V78" i="32"/>
  <c r="V79" i="32"/>
  <c r="V80" i="32"/>
  <c r="V81" i="32"/>
  <c r="V82" i="32"/>
  <c r="V83" i="32"/>
  <c r="V84" i="32"/>
  <c r="V85" i="32"/>
  <c r="V86" i="32"/>
  <c r="V87" i="32"/>
  <c r="V88" i="32"/>
  <c r="V89" i="32"/>
  <c r="V90" i="32"/>
  <c r="V91" i="32"/>
  <c r="V92" i="32"/>
  <c r="V93" i="32"/>
  <c r="V94" i="32"/>
  <c r="V95" i="32"/>
  <c r="V96" i="32"/>
  <c r="V97" i="32"/>
  <c r="V98" i="32"/>
  <c r="V99" i="32"/>
  <c r="V100" i="32"/>
  <c r="V101" i="32"/>
  <c r="V102" i="32"/>
  <c r="V103" i="32"/>
  <c r="V104" i="32"/>
  <c r="V105" i="32"/>
  <c r="V106" i="32"/>
  <c r="V107" i="32"/>
  <c r="V108" i="32"/>
  <c r="V109" i="32"/>
  <c r="V110" i="32"/>
  <c r="V111" i="32"/>
  <c r="V112" i="32"/>
  <c r="V113" i="32"/>
  <c r="V114" i="32"/>
  <c r="V115" i="32"/>
  <c r="V116" i="32"/>
  <c r="V117" i="32"/>
  <c r="V118" i="32"/>
  <c r="V119" i="32"/>
  <c r="V120" i="32"/>
  <c r="V121" i="32"/>
  <c r="V122" i="32"/>
  <c r="V123" i="32"/>
  <c r="V124" i="32"/>
  <c r="V125" i="32"/>
  <c r="V126" i="32"/>
  <c r="V127" i="32"/>
  <c r="V128" i="32"/>
  <c r="V129" i="32"/>
  <c r="V130" i="32"/>
  <c r="V131" i="32"/>
  <c r="V132" i="32"/>
  <c r="V133" i="32"/>
  <c r="V134" i="32"/>
  <c r="V135" i="32"/>
  <c r="V136" i="32"/>
  <c r="V137" i="32"/>
  <c r="V138" i="32"/>
  <c r="V139" i="32"/>
  <c r="V140" i="32"/>
  <c r="V141" i="32"/>
  <c r="V142" i="32"/>
  <c r="V143" i="32"/>
  <c r="V144" i="32"/>
  <c r="V145" i="32"/>
  <c r="V146" i="32"/>
  <c r="V147" i="32"/>
  <c r="V148" i="32"/>
  <c r="V149" i="32"/>
  <c r="V150" i="32"/>
  <c r="V151" i="32"/>
  <c r="V152" i="32"/>
  <c r="V153" i="32"/>
  <c r="V154" i="32"/>
  <c r="V155" i="32"/>
  <c r="V156" i="32"/>
  <c r="V157" i="32"/>
  <c r="V158" i="32"/>
  <c r="V159" i="32"/>
  <c r="V160" i="32"/>
  <c r="V161" i="32"/>
  <c r="V162" i="32"/>
  <c r="V163" i="32"/>
  <c r="V164" i="32"/>
  <c r="V165" i="32"/>
  <c r="V166" i="32"/>
  <c r="V167" i="32"/>
  <c r="V168" i="32"/>
  <c r="V169" i="32"/>
  <c r="V170" i="32"/>
  <c r="V171" i="32"/>
  <c r="V172" i="32"/>
  <c r="V173" i="32"/>
  <c r="V174" i="32"/>
  <c r="V175" i="32"/>
  <c r="V176" i="32"/>
  <c r="V177" i="32"/>
  <c r="V178" i="32"/>
  <c r="V179" i="32"/>
  <c r="V180" i="32"/>
  <c r="V181" i="32"/>
  <c r="V182" i="32"/>
  <c r="V183" i="32"/>
  <c r="V184" i="32"/>
  <c r="V185" i="32"/>
  <c r="V186" i="32"/>
  <c r="V187" i="32"/>
  <c r="V188" i="32"/>
  <c r="V189" i="32"/>
  <c r="V190" i="32"/>
  <c r="V191" i="32"/>
  <c r="V192" i="32"/>
  <c r="V193" i="32"/>
  <c r="V194" i="32"/>
  <c r="V195" i="32"/>
  <c r="V196" i="32"/>
  <c r="V197" i="32"/>
  <c r="V198" i="32"/>
  <c r="V199" i="32"/>
  <c r="V200" i="32"/>
  <c r="V201" i="32"/>
  <c r="V202" i="32"/>
  <c r="V203" i="32"/>
  <c r="V204" i="32"/>
  <c r="V205" i="32"/>
  <c r="V206" i="32"/>
  <c r="V207" i="32"/>
  <c r="V208" i="32"/>
  <c r="V209" i="32"/>
  <c r="V210" i="32"/>
  <c r="V211" i="32"/>
  <c r="V212" i="32"/>
  <c r="V213" i="32"/>
  <c r="V214" i="32"/>
  <c r="V215" i="32"/>
  <c r="V216" i="32"/>
  <c r="V217" i="32"/>
  <c r="V218" i="32"/>
  <c r="V219" i="32"/>
  <c r="V220" i="32"/>
  <c r="V221" i="32"/>
  <c r="V222" i="32"/>
  <c r="V223" i="32"/>
  <c r="V224" i="32"/>
  <c r="V225" i="32"/>
  <c r="V226" i="32"/>
  <c r="V227" i="32"/>
  <c r="V228" i="32"/>
  <c r="V229" i="32"/>
  <c r="V230" i="32"/>
  <c r="V231" i="32"/>
  <c r="V232" i="32"/>
  <c r="V233" i="32"/>
  <c r="V234" i="32"/>
  <c r="V235" i="32"/>
  <c r="V236" i="32"/>
  <c r="V237" i="32"/>
  <c r="V238" i="32"/>
  <c r="V239" i="32"/>
  <c r="V240" i="32"/>
  <c r="V241" i="32"/>
  <c r="V242" i="32"/>
  <c r="V243" i="32"/>
  <c r="V244" i="32"/>
  <c r="V245" i="32"/>
  <c r="V246" i="32"/>
  <c r="V247" i="32"/>
  <c r="V248" i="32"/>
  <c r="V249" i="32"/>
  <c r="V250" i="32"/>
  <c r="V251" i="32"/>
  <c r="V252" i="32"/>
  <c r="V253" i="32"/>
  <c r="V254" i="32"/>
  <c r="V255" i="32"/>
  <c r="V256" i="32"/>
  <c r="V257" i="32"/>
  <c r="V258" i="32"/>
  <c r="V259" i="32"/>
  <c r="V260" i="32"/>
  <c r="V261" i="32"/>
  <c r="V262" i="32"/>
  <c r="V263" i="32"/>
  <c r="V264" i="32"/>
  <c r="V265" i="32"/>
  <c r="V266" i="32"/>
  <c r="V267" i="32"/>
  <c r="V268" i="32"/>
  <c r="V269" i="32"/>
  <c r="V270" i="32"/>
  <c r="V271" i="32"/>
  <c r="V272" i="32"/>
  <c r="V273" i="32"/>
  <c r="V274" i="32"/>
  <c r="V275" i="32"/>
  <c r="V276" i="32"/>
  <c r="V277" i="32"/>
  <c r="V278" i="32"/>
  <c r="V279" i="32"/>
  <c r="V280" i="32"/>
  <c r="V281" i="32"/>
  <c r="V282" i="32"/>
  <c r="V283" i="32"/>
  <c r="V284" i="32"/>
  <c r="V285" i="32"/>
  <c r="V286" i="32"/>
  <c r="V287" i="32"/>
  <c r="V288" i="32"/>
  <c r="V289" i="32"/>
  <c r="V290" i="32"/>
  <c r="V291" i="32"/>
  <c r="V292" i="32"/>
  <c r="V293" i="32"/>
  <c r="V294" i="32"/>
  <c r="V295" i="32"/>
  <c r="V296" i="32"/>
  <c r="V297" i="32"/>
  <c r="V298" i="32"/>
  <c r="V299" i="32"/>
  <c r="V300" i="32"/>
  <c r="V301" i="32"/>
  <c r="V302" i="32"/>
  <c r="V303" i="32"/>
  <c r="V304" i="32"/>
  <c r="V305" i="32"/>
  <c r="V306" i="32"/>
  <c r="V307" i="32"/>
  <c r="V308" i="32"/>
  <c r="V309" i="32"/>
  <c r="V310" i="32"/>
  <c r="V311" i="32"/>
  <c r="V312" i="32"/>
  <c r="V313" i="32"/>
  <c r="V314" i="32"/>
  <c r="V315" i="32"/>
  <c r="V316" i="32"/>
  <c r="V317" i="32"/>
  <c r="V318" i="32"/>
  <c r="V319" i="32"/>
  <c r="V320" i="32"/>
  <c r="V321" i="32"/>
  <c r="V322" i="32"/>
  <c r="V323" i="32"/>
  <c r="V324" i="32"/>
  <c r="V325" i="32"/>
  <c r="V326" i="32"/>
  <c r="V327" i="32"/>
  <c r="V328" i="32"/>
  <c r="V329" i="32"/>
  <c r="V330" i="32"/>
  <c r="V331" i="32"/>
  <c r="V332" i="32"/>
  <c r="V333" i="32"/>
  <c r="V334" i="32"/>
  <c r="V335" i="32"/>
  <c r="V336" i="32"/>
  <c r="V337" i="32"/>
  <c r="V338" i="32"/>
  <c r="V339" i="32"/>
  <c r="V340" i="32"/>
  <c r="AT340" i="32"/>
  <c r="AT339" i="32"/>
  <c r="AT338" i="32"/>
  <c r="AT337" i="32"/>
  <c r="AT336" i="32"/>
  <c r="AT335" i="32"/>
  <c r="AT334" i="32"/>
  <c r="AT333" i="32"/>
  <c r="AT332" i="32"/>
  <c r="AT331" i="32"/>
  <c r="AT330" i="32"/>
  <c r="AT329" i="32"/>
  <c r="AT328" i="32"/>
  <c r="AT327" i="32"/>
  <c r="AT326" i="32"/>
  <c r="AT325" i="32"/>
  <c r="AT324" i="32"/>
  <c r="AT323" i="32"/>
  <c r="AT322" i="32"/>
  <c r="AT321" i="32"/>
  <c r="AT320" i="32"/>
  <c r="AT319" i="32"/>
  <c r="AT318" i="32"/>
  <c r="AT317" i="32"/>
  <c r="AT316" i="32"/>
  <c r="AT315" i="32"/>
  <c r="AT314" i="32"/>
  <c r="AT313" i="32"/>
  <c r="AT312" i="32"/>
  <c r="AT311" i="32"/>
  <c r="AT310" i="32"/>
  <c r="AT309" i="32"/>
  <c r="AT308" i="32"/>
  <c r="AT307" i="32"/>
  <c r="AT306" i="32"/>
  <c r="AT305" i="32"/>
  <c r="AT304" i="32"/>
  <c r="AT303" i="32"/>
  <c r="AT302" i="32"/>
  <c r="AT301" i="32"/>
  <c r="AT300" i="32"/>
  <c r="AT299" i="32"/>
  <c r="AT298" i="32"/>
  <c r="AT297" i="32"/>
  <c r="AT296" i="32"/>
  <c r="AT295" i="32"/>
  <c r="AT294" i="32"/>
  <c r="AT293" i="32"/>
  <c r="AT292" i="32"/>
  <c r="AT291" i="32"/>
  <c r="AT290" i="32"/>
  <c r="AT289" i="32"/>
  <c r="AT288" i="32"/>
  <c r="AT287" i="32"/>
  <c r="AT286" i="32"/>
  <c r="AT285" i="32"/>
  <c r="AT284" i="32"/>
  <c r="AT283" i="32"/>
  <c r="AT282" i="32"/>
  <c r="AT281" i="32"/>
  <c r="AT280" i="32"/>
  <c r="AT279" i="32"/>
  <c r="AT278" i="32"/>
  <c r="AT277" i="32"/>
  <c r="AT276" i="32"/>
  <c r="AT275" i="32"/>
  <c r="AT274" i="32"/>
  <c r="AT273" i="32"/>
  <c r="AT272" i="32"/>
  <c r="AT271" i="32"/>
  <c r="AT270" i="32"/>
  <c r="AT269" i="32"/>
  <c r="AT268" i="32"/>
  <c r="AT267" i="32"/>
  <c r="AT266" i="32"/>
  <c r="AT265" i="32"/>
  <c r="AT264" i="32"/>
  <c r="AT263" i="32"/>
  <c r="AT262" i="32"/>
  <c r="AT261" i="32"/>
  <c r="AT260" i="32"/>
  <c r="AT259" i="32"/>
  <c r="AT258" i="32"/>
  <c r="AT257" i="32"/>
  <c r="AT256" i="32"/>
  <c r="AT255" i="32"/>
  <c r="AT254" i="32"/>
  <c r="AT253" i="32"/>
  <c r="AT252" i="32"/>
  <c r="AT251" i="32"/>
  <c r="AT250" i="32"/>
  <c r="AT249" i="32"/>
  <c r="AT248" i="32"/>
  <c r="AT247" i="32"/>
  <c r="AT246" i="32"/>
  <c r="AT245" i="32"/>
  <c r="AT244" i="32"/>
  <c r="AT243" i="32"/>
  <c r="AT242" i="32"/>
  <c r="AT241" i="32"/>
  <c r="AT240" i="32"/>
  <c r="AT239" i="32"/>
  <c r="AT238" i="32"/>
  <c r="AT237" i="32"/>
  <c r="AT236" i="32"/>
  <c r="AT235" i="32"/>
  <c r="AT234" i="32"/>
  <c r="AT233" i="32"/>
  <c r="AT232" i="32"/>
  <c r="AT231" i="32"/>
  <c r="AT230" i="32"/>
  <c r="AT229" i="32"/>
  <c r="AT228" i="32"/>
  <c r="AT227" i="32"/>
  <c r="AT226" i="32"/>
  <c r="AT225" i="32"/>
  <c r="AT224" i="32"/>
  <c r="AT223" i="32"/>
  <c r="AT222" i="32"/>
  <c r="AT221" i="32"/>
  <c r="AT220" i="32"/>
  <c r="AT219" i="32"/>
  <c r="AT218" i="32"/>
  <c r="AT217" i="32"/>
  <c r="AT216" i="32"/>
  <c r="AT215" i="32"/>
  <c r="AT214" i="32"/>
  <c r="AT213" i="32"/>
  <c r="AT212" i="32"/>
  <c r="AT211" i="32"/>
  <c r="AT210" i="32"/>
  <c r="AT209" i="32"/>
  <c r="AT208" i="32"/>
  <c r="AT207" i="32"/>
  <c r="AT206" i="32"/>
  <c r="AT205" i="32"/>
  <c r="AT204" i="32"/>
  <c r="AT203" i="32"/>
  <c r="AT202" i="32"/>
  <c r="AT201" i="32"/>
  <c r="AT200" i="32"/>
  <c r="AT199" i="32"/>
  <c r="AT198" i="32"/>
  <c r="AT197" i="32"/>
  <c r="AT196" i="32"/>
  <c r="AT195" i="32"/>
  <c r="AT194" i="32"/>
  <c r="AT193" i="32"/>
  <c r="AT192" i="32"/>
  <c r="AT191" i="32"/>
  <c r="AT190" i="32"/>
  <c r="AT189" i="32"/>
  <c r="AT188" i="32"/>
  <c r="AT187" i="32"/>
  <c r="AT186" i="32"/>
  <c r="AT185" i="32"/>
  <c r="AT184" i="32"/>
  <c r="AT183" i="32"/>
  <c r="AT182" i="32"/>
  <c r="AT181" i="32"/>
  <c r="AT180" i="32"/>
  <c r="AT179" i="32"/>
  <c r="AT178" i="32"/>
  <c r="AT177" i="32"/>
  <c r="AT176" i="32"/>
  <c r="AT175" i="32"/>
  <c r="AT174" i="32"/>
  <c r="AT173" i="32"/>
  <c r="AT172" i="32"/>
  <c r="AT171" i="32"/>
  <c r="AT170" i="32"/>
  <c r="AT169" i="32"/>
  <c r="AT168" i="32"/>
  <c r="AT167" i="32"/>
  <c r="AT166" i="32"/>
  <c r="AT165" i="32"/>
  <c r="AT164" i="32"/>
  <c r="AT163" i="32"/>
  <c r="AT162" i="32"/>
  <c r="AT161" i="32"/>
  <c r="AT160" i="32"/>
  <c r="AT159" i="32"/>
  <c r="AT158" i="32"/>
  <c r="AT157" i="32"/>
  <c r="AT156" i="32"/>
  <c r="AT155" i="32"/>
  <c r="AT154" i="32"/>
  <c r="AT153" i="32"/>
  <c r="AT152" i="32"/>
  <c r="AT151" i="32"/>
  <c r="AT150" i="32"/>
  <c r="AT149" i="32"/>
  <c r="AT148" i="32"/>
  <c r="AT147" i="32"/>
  <c r="AT146" i="32"/>
  <c r="AT145" i="32"/>
  <c r="AT144" i="32"/>
  <c r="AT143" i="32"/>
  <c r="AT142" i="32"/>
  <c r="AT141" i="32"/>
  <c r="AT140" i="32"/>
  <c r="AT139" i="32"/>
  <c r="AT138" i="32"/>
  <c r="AT137" i="32"/>
  <c r="AT136" i="32"/>
  <c r="AT135" i="32"/>
  <c r="AT134" i="32"/>
  <c r="AT133" i="32"/>
  <c r="AT132" i="32"/>
  <c r="AT131" i="32"/>
  <c r="AT130" i="32"/>
  <c r="AT129" i="32"/>
  <c r="AT128" i="32"/>
  <c r="AT127" i="32"/>
  <c r="AT126" i="32"/>
  <c r="AT125" i="32"/>
  <c r="AT124" i="32"/>
  <c r="AT123" i="32"/>
  <c r="AT122" i="32"/>
  <c r="AT121" i="32"/>
  <c r="AT120" i="32"/>
  <c r="AT119" i="32"/>
  <c r="AT118" i="32"/>
  <c r="AT117" i="32"/>
  <c r="AT116" i="32"/>
  <c r="AT115" i="32"/>
  <c r="AT114" i="32"/>
  <c r="AT113" i="32"/>
  <c r="AT112" i="32"/>
  <c r="AT111" i="32"/>
  <c r="AT110" i="32"/>
  <c r="AT109" i="32"/>
  <c r="AT108" i="32"/>
  <c r="AT107" i="32"/>
  <c r="AT106" i="32"/>
  <c r="AT105" i="32"/>
  <c r="AT104" i="32"/>
  <c r="AT103" i="32"/>
  <c r="AT102" i="32"/>
  <c r="AT101" i="32"/>
  <c r="AT100" i="32"/>
  <c r="AT99" i="32"/>
  <c r="AT98" i="32"/>
  <c r="AT97" i="32"/>
  <c r="AT96" i="32"/>
  <c r="AT95" i="32"/>
  <c r="AT94" i="32"/>
  <c r="AT93" i="32"/>
  <c r="AT92" i="32"/>
  <c r="AT91" i="32"/>
  <c r="AT90" i="32"/>
  <c r="AT89" i="32"/>
  <c r="AT88" i="32"/>
  <c r="AT87" i="32"/>
  <c r="AT86" i="32"/>
  <c r="AT85" i="32"/>
  <c r="AT84" i="32"/>
  <c r="AT83" i="32"/>
  <c r="AT82" i="32"/>
  <c r="AT81" i="32"/>
  <c r="AT80" i="32"/>
  <c r="AT79" i="32"/>
  <c r="AT78" i="32"/>
  <c r="AT77" i="32"/>
  <c r="AT76" i="32"/>
  <c r="AT75" i="32"/>
  <c r="AT74" i="32"/>
  <c r="AT73" i="32"/>
  <c r="AT72" i="32"/>
  <c r="AT71" i="32"/>
  <c r="AT70" i="32"/>
  <c r="AT69" i="32"/>
  <c r="AT68" i="32"/>
  <c r="AT67" i="32"/>
  <c r="AT66" i="32"/>
  <c r="AT65" i="32"/>
  <c r="AT64" i="32"/>
  <c r="AT63" i="32"/>
  <c r="AT62" i="32"/>
  <c r="AT61" i="32"/>
  <c r="AT60" i="32"/>
  <c r="AT59" i="32"/>
  <c r="AT58" i="32"/>
  <c r="AT57" i="32"/>
  <c r="AT56" i="32"/>
  <c r="AT55" i="32"/>
  <c r="AT54" i="32"/>
  <c r="AT53" i="32"/>
  <c r="AT52" i="32"/>
  <c r="AT51" i="32"/>
  <c r="AT50" i="32"/>
  <c r="AT49" i="32"/>
  <c r="AT48" i="32"/>
  <c r="AT47" i="32"/>
  <c r="AT46" i="32"/>
  <c r="AT45" i="32"/>
  <c r="AT44" i="32"/>
  <c r="AT43" i="32"/>
  <c r="AT42" i="32"/>
  <c r="AT41" i="32"/>
  <c r="AT40" i="32"/>
  <c r="AT39" i="32"/>
  <c r="AT38" i="32"/>
  <c r="AT37" i="32"/>
  <c r="AT36" i="32"/>
  <c r="AT35" i="32"/>
  <c r="AT34" i="32"/>
  <c r="AT33" i="32"/>
  <c r="AT32" i="32"/>
  <c r="AT31" i="32"/>
  <c r="AT30" i="32"/>
  <c r="AT29" i="32"/>
  <c r="AT28" i="32"/>
  <c r="AT27" i="32"/>
  <c r="AT26" i="32"/>
  <c r="AT25" i="32"/>
  <c r="AT24" i="32"/>
  <c r="AT23" i="32"/>
  <c r="AT22" i="32"/>
  <c r="AT21" i="32"/>
  <c r="AT20" i="32"/>
  <c r="AT19" i="32"/>
  <c r="AT18" i="32"/>
  <c r="AT17" i="32"/>
  <c r="AT16" i="32"/>
  <c r="AT15" i="32"/>
  <c r="AT14" i="32"/>
  <c r="AT13" i="32"/>
  <c r="AT12" i="32"/>
  <c r="AT11" i="32"/>
  <c r="AT10" i="32"/>
  <c r="AT9" i="32"/>
  <c r="AT8" i="32"/>
  <c r="AT7" i="32"/>
  <c r="AT6" i="32"/>
  <c r="AT5" i="32"/>
  <c r="AT4" i="32"/>
  <c r="L5" i="32"/>
  <c r="S5" i="32"/>
  <c r="M5" i="32"/>
  <c r="T5" i="32"/>
  <c r="L6" i="32"/>
  <c r="S6" i="32"/>
  <c r="M6" i="32"/>
  <c r="T6" i="32"/>
  <c r="L7" i="32"/>
  <c r="S7" i="32"/>
  <c r="M7" i="32"/>
  <c r="T7" i="32"/>
  <c r="L8" i="32"/>
  <c r="S8" i="32"/>
  <c r="M8" i="32"/>
  <c r="T8" i="32"/>
  <c r="L9" i="32"/>
  <c r="S9" i="32"/>
  <c r="M9" i="32"/>
  <c r="T9" i="32"/>
  <c r="L10" i="32"/>
  <c r="S10" i="32"/>
  <c r="M10" i="32"/>
  <c r="T10" i="32"/>
  <c r="L11" i="32"/>
  <c r="S11" i="32"/>
  <c r="M11" i="32"/>
  <c r="T11" i="32"/>
  <c r="L12" i="32"/>
  <c r="S12" i="32"/>
  <c r="M12" i="32"/>
  <c r="T12" i="32"/>
  <c r="L13" i="32"/>
  <c r="S13" i="32"/>
  <c r="M13" i="32"/>
  <c r="T13" i="32"/>
  <c r="L14" i="32"/>
  <c r="S14" i="32"/>
  <c r="M14" i="32"/>
  <c r="T14" i="32"/>
  <c r="L15" i="32"/>
  <c r="S15" i="32"/>
  <c r="M15" i="32"/>
  <c r="T15" i="32"/>
  <c r="L16" i="32"/>
  <c r="S16" i="32"/>
  <c r="M16" i="32"/>
  <c r="T16" i="32"/>
  <c r="L17" i="32"/>
  <c r="S17" i="32"/>
  <c r="M17" i="32"/>
  <c r="T17" i="32"/>
  <c r="L18" i="32"/>
  <c r="S18" i="32"/>
  <c r="M18" i="32"/>
  <c r="T18" i="32"/>
  <c r="L19" i="32"/>
  <c r="S19" i="32"/>
  <c r="M19" i="32"/>
  <c r="T19" i="32"/>
  <c r="L20" i="32"/>
  <c r="S20" i="32"/>
  <c r="M20" i="32"/>
  <c r="T20" i="32"/>
  <c r="L21" i="32"/>
  <c r="S21" i="32"/>
  <c r="M21" i="32"/>
  <c r="T21" i="32"/>
  <c r="L22" i="32"/>
  <c r="S22" i="32"/>
  <c r="M22" i="32"/>
  <c r="T22" i="32"/>
  <c r="L23" i="32"/>
  <c r="S23" i="32"/>
  <c r="M23" i="32"/>
  <c r="T23" i="32"/>
  <c r="L24" i="32"/>
  <c r="S24" i="32"/>
  <c r="M24" i="32"/>
  <c r="T24" i="32"/>
  <c r="L25" i="32"/>
  <c r="S25" i="32"/>
  <c r="M25" i="32"/>
  <c r="T25" i="32"/>
  <c r="L26" i="32"/>
  <c r="S26" i="32"/>
  <c r="M26" i="32"/>
  <c r="T26" i="32"/>
  <c r="L27" i="32"/>
  <c r="S27" i="32"/>
  <c r="M27" i="32"/>
  <c r="T27" i="32"/>
  <c r="L28" i="32"/>
  <c r="S28" i="32"/>
  <c r="M28" i="32"/>
  <c r="T28" i="32"/>
  <c r="L29" i="32"/>
  <c r="S29" i="32"/>
  <c r="M29" i="32"/>
  <c r="T29" i="32"/>
  <c r="L30" i="32"/>
  <c r="S30" i="32"/>
  <c r="M30" i="32"/>
  <c r="T30" i="32"/>
  <c r="L31" i="32"/>
  <c r="S31" i="32"/>
  <c r="M31" i="32"/>
  <c r="T31" i="32"/>
  <c r="L32" i="32"/>
  <c r="S32" i="32"/>
  <c r="M32" i="32"/>
  <c r="T32" i="32"/>
  <c r="L33" i="32"/>
  <c r="S33" i="32"/>
  <c r="M33" i="32"/>
  <c r="T33" i="32"/>
  <c r="L34" i="32"/>
  <c r="S34" i="32"/>
  <c r="M34" i="32"/>
  <c r="T34" i="32"/>
  <c r="L35" i="32"/>
  <c r="S35" i="32"/>
  <c r="M35" i="32"/>
  <c r="T35" i="32"/>
  <c r="L36" i="32"/>
  <c r="S36" i="32"/>
  <c r="M36" i="32"/>
  <c r="T36" i="32"/>
  <c r="L37" i="32"/>
  <c r="S37" i="32"/>
  <c r="M37" i="32"/>
  <c r="T37" i="32"/>
  <c r="L38" i="32"/>
  <c r="S38" i="32"/>
  <c r="M38" i="32"/>
  <c r="T38" i="32"/>
  <c r="L39" i="32"/>
  <c r="S39" i="32"/>
  <c r="M39" i="32"/>
  <c r="T39" i="32"/>
  <c r="L40" i="32"/>
  <c r="S40" i="32"/>
  <c r="M40" i="32"/>
  <c r="T40" i="32"/>
  <c r="L41" i="32"/>
  <c r="S41" i="32"/>
  <c r="M41" i="32"/>
  <c r="T41" i="32"/>
  <c r="L42" i="32"/>
  <c r="S42" i="32"/>
  <c r="M42" i="32"/>
  <c r="T42" i="32"/>
  <c r="L43" i="32"/>
  <c r="S43" i="32"/>
  <c r="M43" i="32"/>
  <c r="T43" i="32"/>
  <c r="L44" i="32"/>
  <c r="S44" i="32"/>
  <c r="M44" i="32"/>
  <c r="T44" i="32"/>
  <c r="L45" i="32"/>
  <c r="S45" i="32"/>
  <c r="M45" i="32"/>
  <c r="T45" i="32"/>
  <c r="L46" i="32"/>
  <c r="S46" i="32"/>
  <c r="M46" i="32"/>
  <c r="T46" i="32"/>
  <c r="L47" i="32"/>
  <c r="S47" i="32"/>
  <c r="M47" i="32"/>
  <c r="T47" i="32"/>
  <c r="L48" i="32"/>
  <c r="S48" i="32"/>
  <c r="M48" i="32"/>
  <c r="T48" i="32"/>
  <c r="L49" i="32"/>
  <c r="S49" i="32"/>
  <c r="M49" i="32"/>
  <c r="T49" i="32"/>
  <c r="L50" i="32"/>
  <c r="S50" i="32"/>
  <c r="M50" i="32"/>
  <c r="T50" i="32"/>
  <c r="L51" i="32"/>
  <c r="S51" i="32"/>
  <c r="M51" i="32"/>
  <c r="T51" i="32"/>
  <c r="L52" i="32"/>
  <c r="S52" i="32"/>
  <c r="M52" i="32"/>
  <c r="T52" i="32"/>
  <c r="L53" i="32"/>
  <c r="S53" i="32"/>
  <c r="M53" i="32"/>
  <c r="T53" i="32"/>
  <c r="L54" i="32"/>
  <c r="S54" i="32"/>
  <c r="M54" i="32"/>
  <c r="T54" i="32"/>
  <c r="L55" i="32"/>
  <c r="S55" i="32"/>
  <c r="M55" i="32"/>
  <c r="T55" i="32"/>
  <c r="L56" i="32"/>
  <c r="S56" i="32"/>
  <c r="M56" i="32"/>
  <c r="T56" i="32"/>
  <c r="L57" i="32"/>
  <c r="S57" i="32"/>
  <c r="M57" i="32"/>
  <c r="T57" i="32"/>
  <c r="L58" i="32"/>
  <c r="S58" i="32"/>
  <c r="M58" i="32"/>
  <c r="T58" i="32"/>
  <c r="L59" i="32"/>
  <c r="S59" i="32"/>
  <c r="M59" i="32"/>
  <c r="T59" i="32"/>
  <c r="L60" i="32"/>
  <c r="S60" i="32"/>
  <c r="M60" i="32"/>
  <c r="T60" i="32"/>
  <c r="L61" i="32"/>
  <c r="S61" i="32"/>
  <c r="M61" i="32"/>
  <c r="T61" i="32"/>
  <c r="L62" i="32"/>
  <c r="S62" i="32"/>
  <c r="M62" i="32"/>
  <c r="T62" i="32"/>
  <c r="L63" i="32"/>
  <c r="S63" i="32"/>
  <c r="M63" i="32"/>
  <c r="T63" i="32"/>
  <c r="L64" i="32"/>
  <c r="S64" i="32"/>
  <c r="M64" i="32"/>
  <c r="T64" i="32"/>
  <c r="L65" i="32"/>
  <c r="S65" i="32"/>
  <c r="M65" i="32"/>
  <c r="T65" i="32"/>
  <c r="L66" i="32"/>
  <c r="S66" i="32"/>
  <c r="M66" i="32"/>
  <c r="T66" i="32"/>
  <c r="L67" i="32"/>
  <c r="S67" i="32"/>
  <c r="M67" i="32"/>
  <c r="T67" i="32"/>
  <c r="L68" i="32"/>
  <c r="S68" i="32"/>
  <c r="M68" i="32"/>
  <c r="T68" i="32"/>
  <c r="L69" i="32"/>
  <c r="S69" i="32"/>
  <c r="M69" i="32"/>
  <c r="T69" i="32"/>
  <c r="L70" i="32"/>
  <c r="S70" i="32"/>
  <c r="M70" i="32"/>
  <c r="T70" i="32"/>
  <c r="L71" i="32"/>
  <c r="S71" i="32"/>
  <c r="M71" i="32"/>
  <c r="T71" i="32"/>
  <c r="L72" i="32"/>
  <c r="S72" i="32"/>
  <c r="M72" i="32"/>
  <c r="T72" i="32"/>
  <c r="L73" i="32"/>
  <c r="S73" i="32"/>
  <c r="M73" i="32"/>
  <c r="T73" i="32"/>
  <c r="L74" i="32"/>
  <c r="S74" i="32"/>
  <c r="M74" i="32"/>
  <c r="T74" i="32"/>
  <c r="L75" i="32"/>
  <c r="S75" i="32"/>
  <c r="M75" i="32"/>
  <c r="T75" i="32"/>
  <c r="L76" i="32"/>
  <c r="S76" i="32"/>
  <c r="M76" i="32"/>
  <c r="T76" i="32"/>
  <c r="L77" i="32"/>
  <c r="S77" i="32"/>
  <c r="M77" i="32"/>
  <c r="T77" i="32"/>
  <c r="L78" i="32"/>
  <c r="S78" i="32"/>
  <c r="M78" i="32"/>
  <c r="T78" i="32"/>
  <c r="L79" i="32"/>
  <c r="S79" i="32"/>
  <c r="M79" i="32"/>
  <c r="T79" i="32"/>
  <c r="L80" i="32"/>
  <c r="S80" i="32"/>
  <c r="M80" i="32"/>
  <c r="T80" i="32"/>
  <c r="L81" i="32"/>
  <c r="S81" i="32"/>
  <c r="M81" i="32"/>
  <c r="T81" i="32"/>
  <c r="L82" i="32"/>
  <c r="S82" i="32"/>
  <c r="M82" i="32"/>
  <c r="T82" i="32"/>
  <c r="L83" i="32"/>
  <c r="S83" i="32"/>
  <c r="M83" i="32"/>
  <c r="T83" i="32"/>
  <c r="L84" i="32"/>
  <c r="S84" i="32"/>
  <c r="M84" i="32"/>
  <c r="T84" i="32"/>
  <c r="L85" i="32"/>
  <c r="S85" i="32"/>
  <c r="M85" i="32"/>
  <c r="T85" i="32"/>
  <c r="L86" i="32"/>
  <c r="S86" i="32"/>
  <c r="M86" i="32"/>
  <c r="T86" i="32"/>
  <c r="L87" i="32"/>
  <c r="S87" i="32"/>
  <c r="M87" i="32"/>
  <c r="T87" i="32"/>
  <c r="L88" i="32"/>
  <c r="S88" i="32"/>
  <c r="M88" i="32"/>
  <c r="T88" i="32"/>
  <c r="L89" i="32"/>
  <c r="S89" i="32"/>
  <c r="M89" i="32"/>
  <c r="T89" i="32"/>
  <c r="L90" i="32"/>
  <c r="S90" i="32"/>
  <c r="M90" i="32"/>
  <c r="T90" i="32"/>
  <c r="L91" i="32"/>
  <c r="S91" i="32"/>
  <c r="M91" i="32"/>
  <c r="T91" i="32"/>
  <c r="L92" i="32"/>
  <c r="S92" i="32"/>
  <c r="M92" i="32"/>
  <c r="T92" i="32"/>
  <c r="L93" i="32"/>
  <c r="S93" i="32"/>
  <c r="M93" i="32"/>
  <c r="T93" i="32"/>
  <c r="L94" i="32"/>
  <c r="S94" i="32"/>
  <c r="M94" i="32"/>
  <c r="T94" i="32"/>
  <c r="L95" i="32"/>
  <c r="S95" i="32"/>
  <c r="M95" i="32"/>
  <c r="T95" i="32"/>
  <c r="L96" i="32"/>
  <c r="S96" i="32"/>
  <c r="M96" i="32"/>
  <c r="T96" i="32"/>
  <c r="L97" i="32"/>
  <c r="S97" i="32"/>
  <c r="M97" i="32"/>
  <c r="T97" i="32"/>
  <c r="L98" i="32"/>
  <c r="S98" i="32"/>
  <c r="M98" i="32"/>
  <c r="T98" i="32"/>
  <c r="L99" i="32"/>
  <c r="S99" i="32"/>
  <c r="M99" i="32"/>
  <c r="T99" i="32"/>
  <c r="L100" i="32"/>
  <c r="S100" i="32"/>
  <c r="M100" i="32"/>
  <c r="T100" i="32"/>
  <c r="L101" i="32"/>
  <c r="S101" i="32"/>
  <c r="M101" i="32"/>
  <c r="T101" i="32"/>
  <c r="L102" i="32"/>
  <c r="S102" i="32"/>
  <c r="M102" i="32"/>
  <c r="T102" i="32"/>
  <c r="L103" i="32"/>
  <c r="S103" i="32"/>
  <c r="M103" i="32"/>
  <c r="T103" i="32"/>
  <c r="L104" i="32"/>
  <c r="S104" i="32"/>
  <c r="M104" i="32"/>
  <c r="T104" i="32"/>
  <c r="L105" i="32"/>
  <c r="S105" i="32"/>
  <c r="M105" i="32"/>
  <c r="T105" i="32"/>
  <c r="L106" i="32"/>
  <c r="S106" i="32"/>
  <c r="M106" i="32"/>
  <c r="T106" i="32"/>
  <c r="L107" i="32"/>
  <c r="S107" i="32"/>
  <c r="M107" i="32"/>
  <c r="T107" i="32"/>
  <c r="L108" i="32"/>
  <c r="S108" i="32"/>
  <c r="M108" i="32"/>
  <c r="T108" i="32"/>
  <c r="L109" i="32"/>
  <c r="S109" i="32"/>
  <c r="M109" i="32"/>
  <c r="T109" i="32"/>
  <c r="L110" i="32"/>
  <c r="S110" i="32"/>
  <c r="M110" i="32"/>
  <c r="T110" i="32"/>
  <c r="L111" i="32"/>
  <c r="S111" i="32"/>
  <c r="M111" i="32"/>
  <c r="T111" i="32"/>
  <c r="L112" i="32"/>
  <c r="S112" i="32"/>
  <c r="M112" i="32"/>
  <c r="T112" i="32"/>
  <c r="L113" i="32"/>
  <c r="S113" i="32"/>
  <c r="M113" i="32"/>
  <c r="T113" i="32"/>
  <c r="L114" i="32"/>
  <c r="S114" i="32"/>
  <c r="M114" i="32"/>
  <c r="T114" i="32"/>
  <c r="L115" i="32"/>
  <c r="S115" i="32"/>
  <c r="M115" i="32"/>
  <c r="T115" i="32"/>
  <c r="L116" i="32"/>
  <c r="S116" i="32"/>
  <c r="M116" i="32"/>
  <c r="T116" i="32"/>
  <c r="L117" i="32"/>
  <c r="S117" i="32"/>
  <c r="M117" i="32"/>
  <c r="T117" i="32"/>
  <c r="L118" i="32"/>
  <c r="S118" i="32"/>
  <c r="M118" i="32"/>
  <c r="T118" i="32"/>
  <c r="L119" i="32"/>
  <c r="S119" i="32"/>
  <c r="M119" i="32"/>
  <c r="T119" i="32"/>
  <c r="L120" i="32"/>
  <c r="S120" i="32"/>
  <c r="M120" i="32"/>
  <c r="T120" i="32"/>
  <c r="L121" i="32"/>
  <c r="S121" i="32"/>
  <c r="M121" i="32"/>
  <c r="T121" i="32"/>
  <c r="L122" i="32"/>
  <c r="S122" i="32"/>
  <c r="M122" i="32"/>
  <c r="T122" i="32"/>
  <c r="L123" i="32"/>
  <c r="S123" i="32"/>
  <c r="M123" i="32"/>
  <c r="T123" i="32"/>
  <c r="L124" i="32"/>
  <c r="S124" i="32"/>
  <c r="M124" i="32"/>
  <c r="T124" i="32"/>
  <c r="L125" i="32"/>
  <c r="S125" i="32"/>
  <c r="M125" i="32"/>
  <c r="T125" i="32"/>
  <c r="L126" i="32"/>
  <c r="S126" i="32"/>
  <c r="M126" i="32"/>
  <c r="T126" i="32"/>
  <c r="L127" i="32"/>
  <c r="S127" i="32"/>
  <c r="M127" i="32"/>
  <c r="T127" i="32"/>
  <c r="L128" i="32"/>
  <c r="S128" i="32"/>
  <c r="M128" i="32"/>
  <c r="T128" i="32"/>
  <c r="L129" i="32"/>
  <c r="S129" i="32"/>
  <c r="M129" i="32"/>
  <c r="T129" i="32"/>
  <c r="L130" i="32"/>
  <c r="S130" i="32"/>
  <c r="M130" i="32"/>
  <c r="T130" i="32"/>
  <c r="L131" i="32"/>
  <c r="S131" i="32"/>
  <c r="M131" i="32"/>
  <c r="T131" i="32"/>
  <c r="L132" i="32"/>
  <c r="S132" i="32"/>
  <c r="M132" i="32"/>
  <c r="T132" i="32"/>
  <c r="L133" i="32"/>
  <c r="S133" i="32"/>
  <c r="M133" i="32"/>
  <c r="T133" i="32"/>
  <c r="L134" i="32"/>
  <c r="S134" i="32"/>
  <c r="M134" i="32"/>
  <c r="T134" i="32"/>
  <c r="L135" i="32"/>
  <c r="S135" i="32"/>
  <c r="M135" i="32"/>
  <c r="T135" i="32"/>
  <c r="L136" i="32"/>
  <c r="S136" i="32"/>
  <c r="M136" i="32"/>
  <c r="T136" i="32"/>
  <c r="L137" i="32"/>
  <c r="S137" i="32"/>
  <c r="M137" i="32"/>
  <c r="T137" i="32"/>
  <c r="L138" i="32"/>
  <c r="S138" i="32"/>
  <c r="M138" i="32"/>
  <c r="T138" i="32"/>
  <c r="L139" i="32"/>
  <c r="S139" i="32"/>
  <c r="M139" i="32"/>
  <c r="T139" i="32"/>
  <c r="L140" i="32"/>
  <c r="S140" i="32"/>
  <c r="M140" i="32"/>
  <c r="T140" i="32"/>
  <c r="L141" i="32"/>
  <c r="S141" i="32"/>
  <c r="M141" i="32"/>
  <c r="T141" i="32"/>
  <c r="L142" i="32"/>
  <c r="S142" i="32"/>
  <c r="M142" i="32"/>
  <c r="T142" i="32"/>
  <c r="L143" i="32"/>
  <c r="S143" i="32"/>
  <c r="M143" i="32"/>
  <c r="T143" i="32"/>
  <c r="L144" i="32"/>
  <c r="S144" i="32"/>
  <c r="M144" i="32"/>
  <c r="T144" i="32"/>
  <c r="L145" i="32"/>
  <c r="S145" i="32"/>
  <c r="M145" i="32"/>
  <c r="T145" i="32"/>
  <c r="L146" i="32"/>
  <c r="S146" i="32"/>
  <c r="M146" i="32"/>
  <c r="T146" i="32"/>
  <c r="L147" i="32"/>
  <c r="S147" i="32"/>
  <c r="M147" i="32"/>
  <c r="T147" i="32"/>
  <c r="L148" i="32"/>
  <c r="S148" i="32"/>
  <c r="M148" i="32"/>
  <c r="T148" i="32"/>
  <c r="L149" i="32"/>
  <c r="S149" i="32"/>
  <c r="M149" i="32"/>
  <c r="T149" i="32"/>
  <c r="L150" i="32"/>
  <c r="S150" i="32"/>
  <c r="M150" i="32"/>
  <c r="T150" i="32"/>
  <c r="L151" i="32"/>
  <c r="S151" i="32"/>
  <c r="M151" i="32"/>
  <c r="T151" i="32"/>
  <c r="L152" i="32"/>
  <c r="S152" i="32"/>
  <c r="M152" i="32"/>
  <c r="T152" i="32"/>
  <c r="L153" i="32"/>
  <c r="S153" i="32"/>
  <c r="M153" i="32"/>
  <c r="T153" i="32"/>
  <c r="L154" i="32"/>
  <c r="S154" i="32"/>
  <c r="M154" i="32"/>
  <c r="T154" i="32"/>
  <c r="L155" i="32"/>
  <c r="S155" i="32"/>
  <c r="M155" i="32"/>
  <c r="T155" i="32"/>
  <c r="L156" i="32"/>
  <c r="S156" i="32"/>
  <c r="M156" i="32"/>
  <c r="T156" i="32"/>
  <c r="L157" i="32"/>
  <c r="S157" i="32"/>
  <c r="M157" i="32"/>
  <c r="T157" i="32"/>
  <c r="L158" i="32"/>
  <c r="S158" i="32"/>
  <c r="M158" i="32"/>
  <c r="T158" i="32"/>
  <c r="L159" i="32"/>
  <c r="S159" i="32"/>
  <c r="M159" i="32"/>
  <c r="T159" i="32"/>
  <c r="L160" i="32"/>
  <c r="S160" i="32"/>
  <c r="M160" i="32"/>
  <c r="T160" i="32"/>
  <c r="L161" i="32"/>
  <c r="S161" i="32"/>
  <c r="M161" i="32"/>
  <c r="T161" i="32"/>
  <c r="L162" i="32"/>
  <c r="S162" i="32"/>
  <c r="M162" i="32"/>
  <c r="T162" i="32"/>
  <c r="L163" i="32"/>
  <c r="S163" i="32"/>
  <c r="M163" i="32"/>
  <c r="T163" i="32"/>
  <c r="L164" i="32"/>
  <c r="S164" i="32"/>
  <c r="M164" i="32"/>
  <c r="T164" i="32"/>
  <c r="L165" i="32"/>
  <c r="S165" i="32"/>
  <c r="M165" i="32"/>
  <c r="T165" i="32"/>
  <c r="L166" i="32"/>
  <c r="S166" i="32"/>
  <c r="M166" i="32"/>
  <c r="T166" i="32"/>
  <c r="L167" i="32"/>
  <c r="S167" i="32"/>
  <c r="M167" i="32"/>
  <c r="T167" i="32"/>
  <c r="L168" i="32"/>
  <c r="S168" i="32"/>
  <c r="M168" i="32"/>
  <c r="T168" i="32"/>
  <c r="L169" i="32"/>
  <c r="S169" i="32"/>
  <c r="M169" i="32"/>
  <c r="T169" i="32"/>
  <c r="L170" i="32"/>
  <c r="S170" i="32"/>
  <c r="M170" i="32"/>
  <c r="T170" i="32"/>
  <c r="L171" i="32"/>
  <c r="S171" i="32"/>
  <c r="M171" i="32"/>
  <c r="T171" i="32"/>
  <c r="L172" i="32"/>
  <c r="S172" i="32"/>
  <c r="M172" i="32"/>
  <c r="T172" i="32"/>
  <c r="L173" i="32"/>
  <c r="S173" i="32"/>
  <c r="M173" i="32"/>
  <c r="T173" i="32"/>
  <c r="L174" i="32"/>
  <c r="S174" i="32"/>
  <c r="M174" i="32"/>
  <c r="T174" i="32"/>
  <c r="L175" i="32"/>
  <c r="S175" i="32"/>
  <c r="M175" i="32"/>
  <c r="T175" i="32"/>
  <c r="L176" i="32"/>
  <c r="S176" i="32"/>
  <c r="M176" i="32"/>
  <c r="T176" i="32"/>
  <c r="L177" i="32"/>
  <c r="S177" i="32"/>
  <c r="M177" i="32"/>
  <c r="T177" i="32"/>
  <c r="L178" i="32"/>
  <c r="S178" i="32"/>
  <c r="M178" i="32"/>
  <c r="T178" i="32"/>
  <c r="L179" i="32"/>
  <c r="S179" i="32"/>
  <c r="M179" i="32"/>
  <c r="T179" i="32"/>
  <c r="L180" i="32"/>
  <c r="S180" i="32"/>
  <c r="M180" i="32"/>
  <c r="T180" i="32"/>
  <c r="L181" i="32"/>
  <c r="S181" i="32"/>
  <c r="M181" i="32"/>
  <c r="T181" i="32"/>
  <c r="L182" i="32"/>
  <c r="S182" i="32"/>
  <c r="M182" i="32"/>
  <c r="T182" i="32"/>
  <c r="L183" i="32"/>
  <c r="S183" i="32"/>
  <c r="M183" i="32"/>
  <c r="T183" i="32"/>
  <c r="L184" i="32"/>
  <c r="S184" i="32"/>
  <c r="M184" i="32"/>
  <c r="T184" i="32"/>
  <c r="L185" i="32"/>
  <c r="S185" i="32"/>
  <c r="M185" i="32"/>
  <c r="T185" i="32"/>
  <c r="L186" i="32"/>
  <c r="S186" i="32"/>
  <c r="M186" i="32"/>
  <c r="T186" i="32"/>
  <c r="L187" i="32"/>
  <c r="S187" i="32"/>
  <c r="M187" i="32"/>
  <c r="T187" i="32"/>
  <c r="L188" i="32"/>
  <c r="S188" i="32"/>
  <c r="M188" i="32"/>
  <c r="T188" i="32"/>
  <c r="L189" i="32"/>
  <c r="S189" i="32"/>
  <c r="M189" i="32"/>
  <c r="T189" i="32"/>
  <c r="L190" i="32"/>
  <c r="S190" i="32"/>
  <c r="M190" i="32"/>
  <c r="T190" i="32"/>
  <c r="L191" i="32"/>
  <c r="S191" i="32"/>
  <c r="M191" i="32"/>
  <c r="T191" i="32"/>
  <c r="L192" i="32"/>
  <c r="S192" i="32"/>
  <c r="M192" i="32"/>
  <c r="T192" i="32"/>
  <c r="L193" i="32"/>
  <c r="S193" i="32"/>
  <c r="M193" i="32"/>
  <c r="T193" i="32"/>
  <c r="L194" i="32"/>
  <c r="S194" i="32"/>
  <c r="M194" i="32"/>
  <c r="T194" i="32"/>
  <c r="L195" i="32"/>
  <c r="S195" i="32"/>
  <c r="M195" i="32"/>
  <c r="T195" i="32"/>
  <c r="L196" i="32"/>
  <c r="S196" i="32"/>
  <c r="M196" i="32"/>
  <c r="T196" i="32"/>
  <c r="L197" i="32"/>
  <c r="S197" i="32"/>
  <c r="M197" i="32"/>
  <c r="T197" i="32"/>
  <c r="L198" i="32"/>
  <c r="S198" i="32"/>
  <c r="M198" i="32"/>
  <c r="T198" i="32"/>
  <c r="L199" i="32"/>
  <c r="S199" i="32"/>
  <c r="M199" i="32"/>
  <c r="T199" i="32"/>
  <c r="L200" i="32"/>
  <c r="S200" i="32"/>
  <c r="M200" i="32"/>
  <c r="T200" i="32"/>
  <c r="L201" i="32"/>
  <c r="S201" i="32"/>
  <c r="M201" i="32"/>
  <c r="T201" i="32"/>
  <c r="L202" i="32"/>
  <c r="S202" i="32"/>
  <c r="M202" i="32"/>
  <c r="T202" i="32"/>
  <c r="L203" i="32"/>
  <c r="S203" i="32"/>
  <c r="M203" i="32"/>
  <c r="T203" i="32"/>
  <c r="L204" i="32"/>
  <c r="S204" i="32"/>
  <c r="M204" i="32"/>
  <c r="T204" i="32"/>
  <c r="L205" i="32"/>
  <c r="S205" i="32"/>
  <c r="M205" i="32"/>
  <c r="T205" i="32"/>
  <c r="L206" i="32"/>
  <c r="S206" i="32"/>
  <c r="M206" i="32"/>
  <c r="T206" i="32"/>
  <c r="L207" i="32"/>
  <c r="S207" i="32"/>
  <c r="M207" i="32"/>
  <c r="T207" i="32"/>
  <c r="L208" i="32"/>
  <c r="S208" i="32"/>
  <c r="M208" i="32"/>
  <c r="T208" i="32"/>
  <c r="L209" i="32"/>
  <c r="S209" i="32"/>
  <c r="M209" i="32"/>
  <c r="T209" i="32"/>
  <c r="L210" i="32"/>
  <c r="S210" i="32"/>
  <c r="M210" i="32"/>
  <c r="T210" i="32"/>
  <c r="L211" i="32"/>
  <c r="S211" i="32"/>
  <c r="M211" i="32"/>
  <c r="T211" i="32"/>
  <c r="L212" i="32"/>
  <c r="S212" i="32"/>
  <c r="M212" i="32"/>
  <c r="T212" i="32"/>
  <c r="L213" i="32"/>
  <c r="S213" i="32"/>
  <c r="M213" i="32"/>
  <c r="T213" i="32"/>
  <c r="L214" i="32"/>
  <c r="S214" i="32"/>
  <c r="M214" i="32"/>
  <c r="T214" i="32"/>
  <c r="L215" i="32"/>
  <c r="S215" i="32"/>
  <c r="M215" i="32"/>
  <c r="T215" i="32"/>
  <c r="L216" i="32"/>
  <c r="S216" i="32"/>
  <c r="M216" i="32"/>
  <c r="T216" i="32"/>
  <c r="L217" i="32"/>
  <c r="S217" i="32"/>
  <c r="M217" i="32"/>
  <c r="T217" i="32"/>
  <c r="L218" i="32"/>
  <c r="S218" i="32"/>
  <c r="M218" i="32"/>
  <c r="T218" i="32"/>
  <c r="L219" i="32"/>
  <c r="S219" i="32"/>
  <c r="M219" i="32"/>
  <c r="T219" i="32"/>
  <c r="L220" i="32"/>
  <c r="S220" i="32"/>
  <c r="M220" i="32"/>
  <c r="T220" i="32"/>
  <c r="L221" i="32"/>
  <c r="S221" i="32"/>
  <c r="M221" i="32"/>
  <c r="T221" i="32"/>
  <c r="L222" i="32"/>
  <c r="S222" i="32"/>
  <c r="M222" i="32"/>
  <c r="T222" i="32"/>
  <c r="L223" i="32"/>
  <c r="S223" i="32"/>
  <c r="M223" i="32"/>
  <c r="T223" i="32"/>
  <c r="L224" i="32"/>
  <c r="S224" i="32"/>
  <c r="M224" i="32"/>
  <c r="T224" i="32"/>
  <c r="L225" i="32"/>
  <c r="S225" i="32"/>
  <c r="M225" i="32"/>
  <c r="T225" i="32"/>
  <c r="L226" i="32"/>
  <c r="S226" i="32"/>
  <c r="M226" i="32"/>
  <c r="T226" i="32"/>
  <c r="L227" i="32"/>
  <c r="S227" i="32"/>
  <c r="M227" i="32"/>
  <c r="T227" i="32"/>
  <c r="L228" i="32"/>
  <c r="S228" i="32"/>
  <c r="M228" i="32"/>
  <c r="T228" i="32"/>
  <c r="L229" i="32"/>
  <c r="S229" i="32"/>
  <c r="M229" i="32"/>
  <c r="T229" i="32"/>
  <c r="L230" i="32"/>
  <c r="S230" i="32"/>
  <c r="M230" i="32"/>
  <c r="T230" i="32"/>
  <c r="L231" i="32"/>
  <c r="S231" i="32"/>
  <c r="M231" i="32"/>
  <c r="T231" i="32"/>
  <c r="L232" i="32"/>
  <c r="S232" i="32"/>
  <c r="M232" i="32"/>
  <c r="T232" i="32"/>
  <c r="L233" i="32"/>
  <c r="S233" i="32"/>
  <c r="M233" i="32"/>
  <c r="T233" i="32"/>
  <c r="L234" i="32"/>
  <c r="S234" i="32"/>
  <c r="M234" i="32"/>
  <c r="T234" i="32"/>
  <c r="L235" i="32"/>
  <c r="S235" i="32"/>
  <c r="M235" i="32"/>
  <c r="T235" i="32"/>
  <c r="L236" i="32"/>
  <c r="S236" i="32"/>
  <c r="M236" i="32"/>
  <c r="T236" i="32"/>
  <c r="L237" i="32"/>
  <c r="S237" i="32"/>
  <c r="M237" i="32"/>
  <c r="T237" i="32"/>
  <c r="L238" i="32"/>
  <c r="S238" i="32"/>
  <c r="M238" i="32"/>
  <c r="T238" i="32"/>
  <c r="L239" i="32"/>
  <c r="S239" i="32"/>
  <c r="M239" i="32"/>
  <c r="T239" i="32"/>
  <c r="L240" i="32"/>
  <c r="S240" i="32"/>
  <c r="M240" i="32"/>
  <c r="T240" i="32"/>
  <c r="L241" i="32"/>
  <c r="S241" i="32"/>
  <c r="M241" i="32"/>
  <c r="T241" i="32"/>
  <c r="L242" i="32"/>
  <c r="S242" i="32"/>
  <c r="M242" i="32"/>
  <c r="T242" i="32"/>
  <c r="L243" i="32"/>
  <c r="S243" i="32"/>
  <c r="M243" i="32"/>
  <c r="T243" i="32"/>
  <c r="L244" i="32"/>
  <c r="S244" i="32"/>
  <c r="M244" i="32"/>
  <c r="T244" i="32"/>
  <c r="L245" i="32"/>
  <c r="S245" i="32"/>
  <c r="M245" i="32"/>
  <c r="T245" i="32"/>
  <c r="L246" i="32"/>
  <c r="S246" i="32"/>
  <c r="M246" i="32"/>
  <c r="T246" i="32"/>
  <c r="L247" i="32"/>
  <c r="S247" i="32"/>
  <c r="M247" i="32"/>
  <c r="T247" i="32"/>
  <c r="L248" i="32"/>
  <c r="S248" i="32"/>
  <c r="M248" i="32"/>
  <c r="T248" i="32"/>
  <c r="L249" i="32"/>
  <c r="S249" i="32"/>
  <c r="M249" i="32"/>
  <c r="T249" i="32"/>
  <c r="L250" i="32"/>
  <c r="S250" i="32"/>
  <c r="M250" i="32"/>
  <c r="T250" i="32"/>
  <c r="L251" i="32"/>
  <c r="S251" i="32"/>
  <c r="M251" i="32"/>
  <c r="T251" i="32"/>
  <c r="L252" i="32"/>
  <c r="S252" i="32"/>
  <c r="M252" i="32"/>
  <c r="T252" i="32"/>
  <c r="L253" i="32"/>
  <c r="S253" i="32"/>
  <c r="M253" i="32"/>
  <c r="T253" i="32"/>
  <c r="L254" i="32"/>
  <c r="S254" i="32"/>
  <c r="M254" i="32"/>
  <c r="T254" i="32"/>
  <c r="L255" i="32"/>
  <c r="S255" i="32"/>
  <c r="M255" i="32"/>
  <c r="T255" i="32"/>
  <c r="L256" i="32"/>
  <c r="S256" i="32"/>
  <c r="M256" i="32"/>
  <c r="T256" i="32"/>
  <c r="L257" i="32"/>
  <c r="S257" i="32"/>
  <c r="M257" i="32"/>
  <c r="T257" i="32"/>
  <c r="L258" i="32"/>
  <c r="S258" i="32"/>
  <c r="M258" i="32"/>
  <c r="T258" i="32"/>
  <c r="L259" i="32"/>
  <c r="S259" i="32"/>
  <c r="M259" i="32"/>
  <c r="T259" i="32"/>
  <c r="L260" i="32"/>
  <c r="S260" i="32"/>
  <c r="M260" i="32"/>
  <c r="T260" i="32"/>
  <c r="L261" i="32"/>
  <c r="S261" i="32"/>
  <c r="M261" i="32"/>
  <c r="T261" i="32"/>
  <c r="L262" i="32"/>
  <c r="S262" i="32"/>
  <c r="M262" i="32"/>
  <c r="T262" i="32"/>
  <c r="L263" i="32"/>
  <c r="S263" i="32"/>
  <c r="M263" i="32"/>
  <c r="T263" i="32"/>
  <c r="L264" i="32"/>
  <c r="S264" i="32"/>
  <c r="M264" i="32"/>
  <c r="T264" i="32"/>
  <c r="L265" i="32"/>
  <c r="S265" i="32"/>
  <c r="M265" i="32"/>
  <c r="T265" i="32"/>
  <c r="L266" i="32"/>
  <c r="S266" i="32"/>
  <c r="M266" i="32"/>
  <c r="T266" i="32"/>
  <c r="L267" i="32"/>
  <c r="S267" i="32"/>
  <c r="M267" i="32"/>
  <c r="T267" i="32"/>
  <c r="L268" i="32"/>
  <c r="S268" i="32"/>
  <c r="M268" i="32"/>
  <c r="T268" i="32"/>
  <c r="L269" i="32"/>
  <c r="S269" i="32"/>
  <c r="M269" i="32"/>
  <c r="T269" i="32"/>
  <c r="L270" i="32"/>
  <c r="S270" i="32"/>
  <c r="M270" i="32"/>
  <c r="T270" i="32"/>
  <c r="L271" i="32"/>
  <c r="S271" i="32"/>
  <c r="M271" i="32"/>
  <c r="T271" i="32"/>
  <c r="L272" i="32"/>
  <c r="S272" i="32"/>
  <c r="M272" i="32"/>
  <c r="T272" i="32"/>
  <c r="L273" i="32"/>
  <c r="S273" i="32"/>
  <c r="M273" i="32"/>
  <c r="T273" i="32"/>
  <c r="L274" i="32"/>
  <c r="S274" i="32"/>
  <c r="M274" i="32"/>
  <c r="T274" i="32"/>
  <c r="L275" i="32"/>
  <c r="S275" i="32"/>
  <c r="M275" i="32"/>
  <c r="T275" i="32"/>
  <c r="L276" i="32"/>
  <c r="S276" i="32"/>
  <c r="M276" i="32"/>
  <c r="T276" i="32"/>
  <c r="L277" i="32"/>
  <c r="S277" i="32"/>
  <c r="M277" i="32"/>
  <c r="T277" i="32"/>
  <c r="L278" i="32"/>
  <c r="S278" i="32"/>
  <c r="M278" i="32"/>
  <c r="T278" i="32"/>
  <c r="L279" i="32"/>
  <c r="S279" i="32"/>
  <c r="M279" i="32"/>
  <c r="T279" i="32"/>
  <c r="L280" i="32"/>
  <c r="S280" i="32"/>
  <c r="M280" i="32"/>
  <c r="T280" i="32"/>
  <c r="L281" i="32"/>
  <c r="S281" i="32"/>
  <c r="M281" i="32"/>
  <c r="T281" i="32"/>
  <c r="L282" i="32"/>
  <c r="S282" i="32"/>
  <c r="M282" i="32"/>
  <c r="T282" i="32"/>
  <c r="L283" i="32"/>
  <c r="S283" i="32"/>
  <c r="M283" i="32"/>
  <c r="T283" i="32"/>
  <c r="L284" i="32"/>
  <c r="S284" i="32"/>
  <c r="M284" i="32"/>
  <c r="T284" i="32"/>
  <c r="L285" i="32"/>
  <c r="S285" i="32"/>
  <c r="M285" i="32"/>
  <c r="T285" i="32"/>
  <c r="L286" i="32"/>
  <c r="S286" i="32"/>
  <c r="M286" i="32"/>
  <c r="T286" i="32"/>
  <c r="L287" i="32"/>
  <c r="S287" i="32"/>
  <c r="M287" i="32"/>
  <c r="T287" i="32"/>
  <c r="L288" i="32"/>
  <c r="S288" i="32"/>
  <c r="M288" i="32"/>
  <c r="T288" i="32"/>
  <c r="L289" i="32"/>
  <c r="S289" i="32"/>
  <c r="M289" i="32"/>
  <c r="T289" i="32"/>
  <c r="L290" i="32"/>
  <c r="S290" i="32"/>
  <c r="M290" i="32"/>
  <c r="T290" i="32"/>
  <c r="L291" i="32"/>
  <c r="S291" i="32"/>
  <c r="M291" i="32"/>
  <c r="T291" i="32"/>
  <c r="L292" i="32"/>
  <c r="S292" i="32"/>
  <c r="M292" i="32"/>
  <c r="T292" i="32"/>
  <c r="L293" i="32"/>
  <c r="S293" i="32"/>
  <c r="M293" i="32"/>
  <c r="T293" i="32"/>
  <c r="L294" i="32"/>
  <c r="S294" i="32"/>
  <c r="M294" i="32"/>
  <c r="T294" i="32"/>
  <c r="L295" i="32"/>
  <c r="S295" i="32"/>
  <c r="M295" i="32"/>
  <c r="T295" i="32"/>
  <c r="L296" i="32"/>
  <c r="S296" i="32"/>
  <c r="M296" i="32"/>
  <c r="T296" i="32"/>
  <c r="L297" i="32"/>
  <c r="S297" i="32"/>
  <c r="M297" i="32"/>
  <c r="T297" i="32"/>
  <c r="L298" i="32"/>
  <c r="S298" i="32"/>
  <c r="M298" i="32"/>
  <c r="T298" i="32"/>
  <c r="L299" i="32"/>
  <c r="S299" i="32"/>
  <c r="M299" i="32"/>
  <c r="T299" i="32"/>
  <c r="L300" i="32"/>
  <c r="S300" i="32"/>
  <c r="M300" i="32"/>
  <c r="T300" i="32"/>
  <c r="L301" i="32"/>
  <c r="S301" i="32"/>
  <c r="M301" i="32"/>
  <c r="T301" i="32"/>
  <c r="L302" i="32"/>
  <c r="S302" i="32"/>
  <c r="M302" i="32"/>
  <c r="T302" i="32"/>
  <c r="L303" i="32"/>
  <c r="S303" i="32"/>
  <c r="M303" i="32"/>
  <c r="T303" i="32"/>
  <c r="L304" i="32"/>
  <c r="S304" i="32"/>
  <c r="M304" i="32"/>
  <c r="T304" i="32"/>
  <c r="L305" i="32"/>
  <c r="S305" i="32"/>
  <c r="M305" i="32"/>
  <c r="T305" i="32"/>
  <c r="L306" i="32"/>
  <c r="S306" i="32"/>
  <c r="M306" i="32"/>
  <c r="T306" i="32"/>
  <c r="L307" i="32"/>
  <c r="S307" i="32"/>
  <c r="M307" i="32"/>
  <c r="T307" i="32"/>
  <c r="L308" i="32"/>
  <c r="S308" i="32"/>
  <c r="M308" i="32"/>
  <c r="T308" i="32"/>
  <c r="L309" i="32"/>
  <c r="S309" i="32"/>
  <c r="M309" i="32"/>
  <c r="T309" i="32"/>
  <c r="L310" i="32"/>
  <c r="S310" i="32"/>
  <c r="M310" i="32"/>
  <c r="T310" i="32"/>
  <c r="L311" i="32"/>
  <c r="S311" i="32"/>
  <c r="M311" i="32"/>
  <c r="T311" i="32"/>
  <c r="L312" i="32"/>
  <c r="S312" i="32"/>
  <c r="M312" i="32"/>
  <c r="T312" i="32"/>
  <c r="L313" i="32"/>
  <c r="S313" i="32"/>
  <c r="M313" i="32"/>
  <c r="T313" i="32"/>
  <c r="L314" i="32"/>
  <c r="S314" i="32"/>
  <c r="M314" i="32"/>
  <c r="T314" i="32"/>
  <c r="L315" i="32"/>
  <c r="S315" i="32"/>
  <c r="M315" i="32"/>
  <c r="T315" i="32"/>
  <c r="L316" i="32"/>
  <c r="S316" i="32"/>
  <c r="M316" i="32"/>
  <c r="T316" i="32"/>
  <c r="L317" i="32"/>
  <c r="S317" i="32"/>
  <c r="M317" i="32"/>
  <c r="T317" i="32"/>
  <c r="L318" i="32"/>
  <c r="S318" i="32"/>
  <c r="M318" i="32"/>
  <c r="T318" i="32"/>
  <c r="L319" i="32"/>
  <c r="S319" i="32"/>
  <c r="M319" i="32"/>
  <c r="T319" i="32"/>
  <c r="L320" i="32"/>
  <c r="S320" i="32"/>
  <c r="M320" i="32"/>
  <c r="T320" i="32"/>
  <c r="L321" i="32"/>
  <c r="S321" i="32"/>
  <c r="M321" i="32"/>
  <c r="T321" i="32"/>
  <c r="L322" i="32"/>
  <c r="S322" i="32"/>
  <c r="M322" i="32"/>
  <c r="T322" i="32"/>
  <c r="L323" i="32"/>
  <c r="S323" i="32"/>
  <c r="M323" i="32"/>
  <c r="T323" i="32"/>
  <c r="L324" i="32"/>
  <c r="S324" i="32"/>
  <c r="M324" i="32"/>
  <c r="T324" i="32"/>
  <c r="L325" i="32"/>
  <c r="S325" i="32"/>
  <c r="M325" i="32"/>
  <c r="T325" i="32"/>
  <c r="L326" i="32"/>
  <c r="S326" i="32"/>
  <c r="M326" i="32"/>
  <c r="T326" i="32"/>
  <c r="L327" i="32"/>
  <c r="S327" i="32"/>
  <c r="M327" i="32"/>
  <c r="T327" i="32"/>
  <c r="L328" i="32"/>
  <c r="S328" i="32"/>
  <c r="M328" i="32"/>
  <c r="T328" i="32"/>
  <c r="L329" i="32"/>
  <c r="S329" i="32"/>
  <c r="M329" i="32"/>
  <c r="T329" i="32"/>
  <c r="L330" i="32"/>
  <c r="S330" i="32"/>
  <c r="M330" i="32"/>
  <c r="T330" i="32"/>
  <c r="L331" i="32"/>
  <c r="S331" i="32"/>
  <c r="M331" i="32"/>
  <c r="T331" i="32"/>
  <c r="L332" i="32"/>
  <c r="S332" i="32"/>
  <c r="M332" i="32"/>
  <c r="T332" i="32"/>
  <c r="L333" i="32"/>
  <c r="S333" i="32"/>
  <c r="M333" i="32"/>
  <c r="T333" i="32"/>
  <c r="L334" i="32"/>
  <c r="S334" i="32"/>
  <c r="M334" i="32"/>
  <c r="T334" i="32"/>
  <c r="L335" i="32"/>
  <c r="S335" i="32"/>
  <c r="M335" i="32"/>
  <c r="T335" i="32"/>
  <c r="L336" i="32"/>
  <c r="S336" i="32"/>
  <c r="M336" i="32"/>
  <c r="T336" i="32"/>
  <c r="L337" i="32"/>
  <c r="S337" i="32"/>
  <c r="M337" i="32"/>
  <c r="T337" i="32"/>
  <c r="L338" i="32"/>
  <c r="S338" i="32"/>
  <c r="M338" i="32"/>
  <c r="T338" i="32"/>
  <c r="L339" i="32"/>
  <c r="S339" i="32"/>
  <c r="M339" i="32"/>
  <c r="T339" i="32"/>
  <c r="L340" i="32"/>
  <c r="S340" i="32"/>
  <c r="M340" i="32"/>
  <c r="T340" i="32"/>
  <c r="L341" i="32"/>
  <c r="S341" i="32"/>
  <c r="M341" i="32"/>
  <c r="T341" i="32"/>
  <c r="L342" i="32"/>
  <c r="S342" i="32"/>
  <c r="M342" i="32"/>
  <c r="T342" i="32"/>
  <c r="L343" i="32"/>
  <c r="S343" i="32"/>
  <c r="M343" i="32"/>
  <c r="T343" i="32"/>
  <c r="L344" i="32"/>
  <c r="S344" i="32"/>
  <c r="M344" i="32"/>
  <c r="T344" i="32"/>
  <c r="L345" i="32"/>
  <c r="S345" i="32"/>
  <c r="M345" i="32"/>
  <c r="T345" i="32"/>
  <c r="L346" i="32"/>
  <c r="S346" i="32"/>
  <c r="M346" i="32"/>
  <c r="T346" i="32"/>
  <c r="L347" i="32"/>
  <c r="S347" i="32"/>
  <c r="M347" i="32"/>
  <c r="T347" i="32"/>
  <c r="L348" i="32"/>
  <c r="S348" i="32"/>
  <c r="M348" i="32"/>
  <c r="T348" i="32"/>
  <c r="L349" i="32"/>
  <c r="S349" i="32"/>
  <c r="M349" i="32"/>
  <c r="T349" i="32"/>
  <c r="L350" i="32"/>
  <c r="S350" i="32"/>
  <c r="M350" i="32"/>
  <c r="T350" i="32"/>
  <c r="L351" i="32"/>
  <c r="S351" i="32"/>
  <c r="M351" i="32"/>
  <c r="T351" i="32"/>
  <c r="L352" i="32"/>
  <c r="S352" i="32"/>
  <c r="M352" i="32"/>
  <c r="T352" i="32"/>
  <c r="L353" i="32"/>
  <c r="S353" i="32"/>
  <c r="M353" i="32"/>
  <c r="T353" i="32"/>
  <c r="L354" i="32"/>
  <c r="S354" i="32"/>
  <c r="M354" i="32"/>
  <c r="T354" i="32"/>
  <c r="L355" i="32"/>
  <c r="S355" i="32"/>
  <c r="M355" i="32"/>
  <c r="T355" i="32"/>
  <c r="L356" i="32"/>
  <c r="S356" i="32"/>
  <c r="M356" i="32"/>
  <c r="T356" i="32"/>
  <c r="L357" i="32"/>
  <c r="S357" i="32"/>
  <c r="M357" i="32"/>
  <c r="T357" i="32"/>
  <c r="L358" i="32"/>
  <c r="S358" i="32"/>
  <c r="M358" i="32"/>
  <c r="T358" i="32"/>
  <c r="L359" i="32"/>
  <c r="S359" i="32"/>
  <c r="M359" i="32"/>
  <c r="T359" i="32"/>
  <c r="L360" i="32"/>
  <c r="S360" i="32"/>
  <c r="M360" i="32"/>
  <c r="T360" i="32"/>
  <c r="L361" i="32"/>
  <c r="S361" i="32"/>
  <c r="M361" i="32"/>
  <c r="T361" i="32"/>
  <c r="L362" i="32"/>
  <c r="S362" i="32"/>
  <c r="M362" i="32"/>
  <c r="T362" i="32"/>
  <c r="L363" i="32"/>
  <c r="S363" i="32"/>
  <c r="M363" i="32"/>
  <c r="T363" i="32"/>
  <c r="L364" i="32"/>
  <c r="S364" i="32"/>
  <c r="M364" i="32"/>
  <c r="T364" i="32"/>
  <c r="L365" i="32"/>
  <c r="S365" i="32"/>
  <c r="M365" i="32"/>
  <c r="T365" i="32"/>
  <c r="L366" i="32"/>
  <c r="S366" i="32"/>
  <c r="M366" i="32"/>
  <c r="T366" i="32"/>
  <c r="L367" i="32"/>
  <c r="S367" i="32"/>
  <c r="M367" i="32"/>
  <c r="T367" i="32"/>
  <c r="L368" i="32"/>
  <c r="S368" i="32"/>
  <c r="M368" i="32"/>
  <c r="T368" i="32"/>
  <c r="L369" i="32"/>
  <c r="S369" i="32"/>
  <c r="M369" i="32"/>
  <c r="T369" i="32"/>
  <c r="L370" i="32"/>
  <c r="S370" i="32"/>
  <c r="M370" i="32"/>
  <c r="T370" i="32"/>
  <c r="L371" i="32"/>
  <c r="S371" i="32"/>
  <c r="M371" i="32"/>
  <c r="T371" i="32"/>
  <c r="L372" i="32"/>
  <c r="S372" i="32"/>
  <c r="M372" i="32"/>
  <c r="T372" i="32"/>
  <c r="L373" i="32"/>
  <c r="S373" i="32"/>
  <c r="M373" i="32"/>
  <c r="T373" i="32"/>
  <c r="L374" i="32"/>
  <c r="S374" i="32"/>
  <c r="M374" i="32"/>
  <c r="T374" i="32"/>
  <c r="L375" i="32"/>
  <c r="S375" i="32"/>
  <c r="M375" i="32"/>
  <c r="T375" i="32"/>
  <c r="L376" i="32"/>
  <c r="S376" i="32"/>
  <c r="M376" i="32"/>
  <c r="T376" i="32"/>
  <c r="L377" i="32"/>
  <c r="S377" i="32"/>
  <c r="M377" i="32"/>
  <c r="T377" i="32"/>
  <c r="L378" i="32"/>
  <c r="S378" i="32"/>
  <c r="M378" i="32"/>
  <c r="T378" i="32"/>
  <c r="L379" i="32"/>
  <c r="S379" i="32"/>
  <c r="M379" i="32"/>
  <c r="T379" i="32"/>
  <c r="L380" i="32"/>
  <c r="S380" i="32"/>
  <c r="M380" i="32"/>
  <c r="T380" i="32"/>
  <c r="L381" i="32"/>
  <c r="S381" i="32"/>
  <c r="M381" i="32"/>
  <c r="T381" i="32"/>
  <c r="L382" i="32"/>
  <c r="S382" i="32"/>
  <c r="M382" i="32"/>
  <c r="T382" i="32"/>
  <c r="L383" i="32"/>
  <c r="S383" i="32"/>
  <c r="M383" i="32"/>
  <c r="T383" i="32"/>
  <c r="L384" i="32"/>
  <c r="S384" i="32"/>
  <c r="M384" i="32"/>
  <c r="T384" i="32"/>
  <c r="L385" i="32"/>
  <c r="S385" i="32"/>
  <c r="M385" i="32"/>
  <c r="T385" i="32"/>
  <c r="L386" i="32"/>
  <c r="S386" i="32"/>
  <c r="M386" i="32"/>
  <c r="T386" i="32"/>
  <c r="L387" i="32"/>
  <c r="S387" i="32"/>
  <c r="M387" i="32"/>
  <c r="T387" i="32"/>
  <c r="L388" i="32"/>
  <c r="S388" i="32"/>
  <c r="M388" i="32"/>
  <c r="T388" i="32"/>
  <c r="L389" i="32"/>
  <c r="S389" i="32"/>
  <c r="M389" i="32"/>
  <c r="T389" i="32"/>
  <c r="L390" i="32"/>
  <c r="S390" i="32"/>
  <c r="M390" i="32"/>
  <c r="T390" i="32"/>
  <c r="L391" i="32"/>
  <c r="S391" i="32"/>
  <c r="M391" i="32"/>
  <c r="T391" i="32"/>
  <c r="L392" i="32"/>
  <c r="S392" i="32"/>
  <c r="M392" i="32"/>
  <c r="T392" i="32"/>
  <c r="L393" i="32"/>
  <c r="S393" i="32"/>
  <c r="M393" i="32"/>
  <c r="T393" i="32"/>
  <c r="L394" i="32"/>
  <c r="S394" i="32"/>
  <c r="M394" i="32"/>
  <c r="T394" i="32"/>
  <c r="L395" i="32"/>
  <c r="S395" i="32"/>
  <c r="M395" i="32"/>
  <c r="T395" i="32"/>
  <c r="L396" i="32"/>
  <c r="S396" i="32"/>
  <c r="M396" i="32"/>
  <c r="T396" i="32"/>
  <c r="L397" i="32"/>
  <c r="S397" i="32"/>
  <c r="M397" i="32"/>
  <c r="T397" i="32"/>
  <c r="L398" i="32"/>
  <c r="S398" i="32"/>
  <c r="M398" i="32"/>
  <c r="T398" i="32"/>
  <c r="L399" i="32"/>
  <c r="S399" i="32"/>
  <c r="M399" i="32"/>
  <c r="T399" i="32"/>
  <c r="L400" i="32"/>
  <c r="S400" i="32"/>
  <c r="M400" i="32"/>
  <c r="T400" i="32"/>
  <c r="L401" i="32"/>
  <c r="S401" i="32"/>
  <c r="M401" i="32"/>
  <c r="T401" i="32"/>
  <c r="L402" i="32"/>
  <c r="S402" i="32"/>
  <c r="M402" i="32"/>
  <c r="T402" i="32"/>
  <c r="L403" i="32"/>
  <c r="S403" i="32"/>
  <c r="M403" i="32"/>
  <c r="T403" i="32"/>
  <c r="L404" i="32"/>
  <c r="S404" i="32"/>
  <c r="M404" i="32"/>
  <c r="T404" i="32"/>
  <c r="L405" i="32"/>
  <c r="S405" i="32"/>
  <c r="M405" i="32"/>
  <c r="T405" i="32"/>
  <c r="L406" i="32"/>
  <c r="S406" i="32"/>
  <c r="M406" i="32"/>
  <c r="T406" i="32"/>
  <c r="L407" i="32"/>
  <c r="S407" i="32"/>
  <c r="M407" i="32"/>
  <c r="T407" i="32"/>
  <c r="L408" i="32"/>
  <c r="S408" i="32"/>
  <c r="M408" i="32"/>
  <c r="T408" i="32"/>
  <c r="L409" i="32"/>
  <c r="S409" i="32"/>
  <c r="M409" i="32"/>
  <c r="T409" i="32"/>
  <c r="L410" i="32"/>
  <c r="S410" i="32"/>
  <c r="M410" i="32"/>
  <c r="T410" i="32"/>
  <c r="L411" i="32"/>
  <c r="S411" i="32"/>
  <c r="M411" i="32"/>
  <c r="T411" i="32"/>
  <c r="L412" i="32"/>
  <c r="S412" i="32"/>
  <c r="M412" i="32"/>
  <c r="T412" i="32"/>
  <c r="L413" i="32"/>
  <c r="S413" i="32"/>
  <c r="M413" i="32"/>
  <c r="T413" i="32"/>
  <c r="L414" i="32"/>
  <c r="S414" i="32"/>
  <c r="M414" i="32"/>
  <c r="T414" i="32"/>
  <c r="L415" i="32"/>
  <c r="S415" i="32"/>
  <c r="M415" i="32"/>
  <c r="T415" i="32"/>
  <c r="L416" i="32"/>
  <c r="S416" i="32"/>
  <c r="M416" i="32"/>
  <c r="T416" i="32"/>
  <c r="L417" i="32"/>
  <c r="S417" i="32"/>
  <c r="M417" i="32"/>
  <c r="T417" i="32"/>
  <c r="L418" i="32"/>
  <c r="S418" i="32"/>
  <c r="M418" i="32"/>
  <c r="T418" i="32"/>
  <c r="L419" i="32"/>
  <c r="S419" i="32"/>
  <c r="M419" i="32"/>
  <c r="T419" i="32"/>
  <c r="L420" i="32"/>
  <c r="S420" i="32"/>
  <c r="M420" i="32"/>
  <c r="T420" i="32"/>
  <c r="L421" i="32"/>
  <c r="S421" i="32"/>
  <c r="M421" i="32"/>
  <c r="T421" i="32"/>
  <c r="S422" i="32"/>
  <c r="M422" i="32"/>
  <c r="T422" i="32"/>
  <c r="S423" i="32"/>
  <c r="M423" i="32"/>
  <c r="T423" i="32"/>
  <c r="S424" i="32"/>
  <c r="M424" i="32"/>
  <c r="T424" i="32"/>
  <c r="S425" i="32"/>
  <c r="T425" i="32"/>
  <c r="S426" i="32"/>
  <c r="M426" i="32"/>
  <c r="T426" i="32"/>
  <c r="S427" i="32"/>
  <c r="M427" i="32"/>
  <c r="T427" i="32"/>
  <c r="S428" i="32"/>
  <c r="T428" i="32"/>
  <c r="S429" i="32"/>
  <c r="T429" i="32"/>
  <c r="S430" i="32"/>
  <c r="T430" i="32"/>
  <c r="S431" i="32"/>
  <c r="T431" i="32"/>
  <c r="S432" i="32"/>
  <c r="T432" i="32"/>
  <c r="S433" i="32"/>
  <c r="T433" i="32"/>
  <c r="S434" i="32"/>
  <c r="T434" i="32"/>
  <c r="S435" i="32"/>
  <c r="T435" i="32"/>
  <c r="S436" i="32"/>
  <c r="T436" i="32"/>
  <c r="S437" i="32"/>
  <c r="T437" i="32"/>
  <c r="S438" i="32"/>
  <c r="T438" i="32"/>
  <c r="S439" i="32"/>
  <c r="T439" i="32"/>
  <c r="S440" i="32"/>
  <c r="T440" i="32"/>
  <c r="S441" i="32"/>
  <c r="T441" i="32"/>
  <c r="S442" i="32"/>
  <c r="T442" i="32"/>
  <c r="S443" i="32"/>
  <c r="T443" i="32"/>
  <c r="S444" i="32"/>
  <c r="T444" i="32"/>
  <c r="S445" i="32"/>
  <c r="T445" i="32"/>
  <c r="S446" i="32"/>
  <c r="T446" i="32"/>
  <c r="S447" i="32"/>
  <c r="T447" i="32"/>
  <c r="S448" i="32"/>
  <c r="T448" i="32"/>
  <c r="S449" i="32"/>
  <c r="T449" i="32"/>
  <c r="S450" i="32"/>
  <c r="T450" i="32"/>
  <c r="S451" i="32"/>
  <c r="T451" i="32"/>
  <c r="S452" i="32"/>
  <c r="T452" i="32"/>
  <c r="S453" i="32"/>
  <c r="T453" i="32"/>
  <c r="S454" i="32"/>
  <c r="T454" i="32"/>
  <c r="S455" i="32"/>
  <c r="T455" i="32"/>
  <c r="S456" i="32"/>
  <c r="T456" i="32"/>
  <c r="S457" i="32"/>
  <c r="T457" i="32"/>
  <c r="S458" i="32"/>
  <c r="T458" i="32"/>
  <c r="S459" i="32"/>
  <c r="T459" i="32"/>
  <c r="S460" i="32"/>
  <c r="T460" i="32"/>
  <c r="S461" i="32"/>
  <c r="T461" i="32"/>
  <c r="S462" i="32"/>
  <c r="T462" i="32"/>
  <c r="S463" i="32"/>
  <c r="T463" i="32"/>
  <c r="S464" i="32"/>
  <c r="T464" i="32"/>
  <c r="S465" i="32"/>
  <c r="T465" i="32"/>
  <c r="S466" i="32"/>
  <c r="T466" i="32"/>
  <c r="S467" i="32"/>
  <c r="T467" i="32"/>
  <c r="S468" i="32"/>
  <c r="T468" i="32"/>
  <c r="S469" i="32"/>
  <c r="T469" i="32"/>
  <c r="S470" i="32"/>
  <c r="T470" i="32"/>
  <c r="S471" i="32"/>
  <c r="T471" i="32"/>
  <c r="S472" i="32"/>
  <c r="T472" i="32"/>
  <c r="S473" i="32"/>
  <c r="T473" i="32"/>
  <c r="S474" i="32"/>
  <c r="T474" i="32"/>
  <c r="S475" i="32"/>
  <c r="T475" i="32"/>
  <c r="S476" i="32"/>
  <c r="T476" i="32"/>
  <c r="S477" i="32"/>
  <c r="T477" i="32"/>
  <c r="S478" i="32"/>
  <c r="T478" i="32"/>
  <c r="S479" i="32"/>
  <c r="T479" i="32"/>
  <c r="S480" i="32"/>
  <c r="T480" i="32"/>
  <c r="S481" i="32"/>
  <c r="T481" i="32"/>
  <c r="S482" i="32"/>
  <c r="T482" i="32"/>
  <c r="S483" i="32"/>
  <c r="T483" i="32"/>
  <c r="S484" i="32"/>
  <c r="T484" i="32"/>
  <c r="S485" i="32"/>
  <c r="T485" i="32"/>
  <c r="S486" i="32"/>
  <c r="T486" i="32"/>
  <c r="S487" i="32"/>
  <c r="T487" i="32"/>
  <c r="S488" i="32"/>
  <c r="T488" i="32"/>
  <c r="S489" i="32"/>
  <c r="T489" i="32"/>
  <c r="S490" i="32"/>
  <c r="T490" i="32"/>
  <c r="S491" i="32"/>
  <c r="T491" i="32"/>
  <c r="S492" i="32"/>
  <c r="T492" i="32"/>
  <c r="S493" i="32"/>
  <c r="T493" i="32"/>
  <c r="S494" i="32"/>
  <c r="T494" i="32"/>
  <c r="S495" i="32"/>
  <c r="T495" i="32"/>
  <c r="S496" i="32"/>
  <c r="T496" i="32"/>
  <c r="S497" i="32"/>
  <c r="T497" i="32"/>
  <c r="S498" i="32"/>
  <c r="T498" i="32"/>
  <c r="S499" i="32"/>
  <c r="T499" i="32"/>
  <c r="S500" i="32"/>
  <c r="T500" i="32"/>
  <c r="S501" i="32"/>
  <c r="T501" i="32"/>
  <c r="S502" i="32"/>
  <c r="T502" i="32"/>
  <c r="S503" i="32"/>
  <c r="T503" i="32"/>
  <c r="S504" i="32"/>
  <c r="T504" i="32"/>
  <c r="S505" i="32"/>
  <c r="T505" i="32"/>
  <c r="S506" i="32"/>
  <c r="T506" i="32"/>
  <c r="S507" i="32"/>
  <c r="T507" i="32"/>
  <c r="S508" i="32"/>
  <c r="T508" i="32"/>
  <c r="S509" i="32"/>
  <c r="T509" i="32"/>
  <c r="S510" i="32"/>
  <c r="T510" i="32"/>
  <c r="S511" i="32"/>
  <c r="T511" i="32"/>
  <c r="S512" i="32"/>
  <c r="T512" i="32"/>
  <c r="S513" i="32"/>
  <c r="T513" i="32"/>
  <c r="S514" i="32"/>
  <c r="T514" i="32"/>
  <c r="S515" i="32"/>
  <c r="T515" i="32"/>
  <c r="S516" i="32"/>
  <c r="T516" i="32"/>
  <c r="S517" i="32"/>
  <c r="T517" i="32"/>
  <c r="S518" i="32"/>
  <c r="T518" i="32"/>
  <c r="S519" i="32"/>
  <c r="T519" i="32"/>
  <c r="S520" i="32"/>
  <c r="T520" i="32"/>
  <c r="S521" i="32"/>
  <c r="T521" i="32"/>
  <c r="S522" i="32"/>
  <c r="T522" i="32"/>
  <c r="S523" i="32"/>
  <c r="T523" i="32"/>
  <c r="S524" i="32"/>
  <c r="T524" i="32"/>
  <c r="S525" i="32"/>
  <c r="T525" i="32"/>
  <c r="L4" i="32"/>
  <c r="S4" i="32"/>
  <c r="M4" i="32"/>
  <c r="T4" i="32"/>
  <c r="AK225" i="32"/>
  <c r="AL225" i="32"/>
  <c r="AK226" i="32"/>
  <c r="AL226" i="32"/>
  <c r="AK227" i="32"/>
  <c r="AL227" i="32"/>
  <c r="AK228" i="32"/>
  <c r="AL228" i="32"/>
  <c r="AK229" i="32"/>
  <c r="AL229" i="32"/>
  <c r="AK230" i="32"/>
  <c r="AL230" i="32"/>
  <c r="AK231" i="32"/>
  <c r="AL231" i="32"/>
  <c r="AK232" i="32"/>
  <c r="AL232" i="32"/>
  <c r="AK233" i="32"/>
  <c r="AL233" i="32"/>
  <c r="AK234" i="32"/>
  <c r="AL234" i="32"/>
  <c r="AK235" i="32"/>
  <c r="AL235" i="32"/>
  <c r="AK236" i="32"/>
  <c r="AL236" i="32"/>
  <c r="AK237" i="32"/>
  <c r="AL237" i="32"/>
  <c r="AK238" i="32"/>
  <c r="AL238" i="32"/>
  <c r="AK239" i="32"/>
  <c r="AL239" i="32"/>
  <c r="AK240" i="32"/>
  <c r="AL240" i="32"/>
  <c r="AK241" i="32"/>
  <c r="AL241" i="32"/>
  <c r="AK242" i="32"/>
  <c r="AL242" i="32"/>
  <c r="AK243" i="32"/>
  <c r="AL243" i="32"/>
  <c r="AK244" i="32"/>
  <c r="AL244" i="32"/>
  <c r="AK245" i="32"/>
  <c r="AL245" i="32"/>
  <c r="AK246" i="32"/>
  <c r="AL246" i="32"/>
  <c r="AK247" i="32"/>
  <c r="AL247" i="32"/>
  <c r="AK248" i="32"/>
  <c r="AL248" i="32"/>
  <c r="AK249" i="32"/>
  <c r="AL249" i="32"/>
  <c r="AK250" i="32"/>
  <c r="AL250" i="32"/>
  <c r="AK251" i="32"/>
  <c r="AL251" i="32"/>
  <c r="AK252" i="32"/>
  <c r="AL252" i="32"/>
  <c r="AK253" i="32"/>
  <c r="AL253" i="32"/>
  <c r="AK254" i="32"/>
  <c r="AL254" i="32"/>
  <c r="AK255" i="32"/>
  <c r="AL255" i="32"/>
  <c r="AK256" i="32"/>
  <c r="AL256" i="32"/>
  <c r="AK257" i="32"/>
  <c r="AL257" i="32"/>
  <c r="AK258" i="32"/>
  <c r="AL258" i="32"/>
  <c r="AK259" i="32"/>
  <c r="AL259" i="32"/>
  <c r="AK260" i="32"/>
  <c r="AL260" i="32"/>
  <c r="AK261" i="32"/>
  <c r="AL261" i="32"/>
  <c r="AK262" i="32"/>
  <c r="AL262" i="32"/>
  <c r="AK263" i="32"/>
  <c r="AL263" i="32"/>
  <c r="AK264" i="32"/>
  <c r="AL264" i="32"/>
  <c r="AK265" i="32"/>
  <c r="AL265" i="32"/>
  <c r="AK266" i="32"/>
  <c r="AL266" i="32"/>
  <c r="AK267" i="32"/>
  <c r="AL267" i="32"/>
  <c r="AK268" i="32"/>
  <c r="AL268" i="32"/>
  <c r="AK269" i="32"/>
  <c r="AL269" i="32"/>
  <c r="AK270" i="32"/>
  <c r="AL270" i="32"/>
  <c r="AK271" i="32"/>
  <c r="AL271" i="32"/>
  <c r="AK272" i="32"/>
  <c r="AL272" i="32"/>
  <c r="AK273" i="32"/>
  <c r="AL273" i="32"/>
  <c r="AK274" i="32"/>
  <c r="AL274" i="32"/>
  <c r="AK275" i="32"/>
  <c r="AL275" i="32"/>
  <c r="AK276" i="32"/>
  <c r="AL276" i="32"/>
  <c r="AK277" i="32"/>
  <c r="AL277" i="32"/>
  <c r="AK278" i="32"/>
  <c r="AL278" i="32"/>
  <c r="AK279" i="32"/>
  <c r="AL279" i="32"/>
  <c r="AK280" i="32"/>
  <c r="AL280" i="32"/>
  <c r="AK281" i="32"/>
  <c r="AL281" i="32"/>
  <c r="AK282" i="32"/>
  <c r="AL282" i="32"/>
  <c r="AK283" i="32"/>
  <c r="AL283" i="32"/>
  <c r="AK284" i="32"/>
  <c r="AL284" i="32"/>
  <c r="AK285" i="32"/>
  <c r="AL285" i="32"/>
  <c r="AK286" i="32"/>
  <c r="AL286" i="32"/>
  <c r="AK287" i="32"/>
  <c r="AL287" i="32"/>
  <c r="AK288" i="32"/>
  <c r="AL288" i="32"/>
  <c r="AK289" i="32"/>
  <c r="AL289" i="32"/>
  <c r="AK290" i="32"/>
  <c r="AL290" i="32"/>
  <c r="AK291" i="32"/>
  <c r="AL291" i="32"/>
  <c r="AK292" i="32"/>
  <c r="AL292" i="32"/>
  <c r="AK293" i="32"/>
  <c r="AL293" i="32"/>
  <c r="AK294" i="32"/>
  <c r="AL294" i="32"/>
  <c r="AK295" i="32"/>
  <c r="AL295" i="32"/>
  <c r="AK296" i="32"/>
  <c r="AL296" i="32"/>
  <c r="AK297" i="32"/>
  <c r="AL297" i="32"/>
  <c r="AK298" i="32"/>
  <c r="AL298" i="32"/>
  <c r="AK299" i="32"/>
  <c r="AL299" i="32"/>
  <c r="AK300" i="32"/>
  <c r="AL300" i="32"/>
  <c r="AK301" i="32"/>
  <c r="AL301" i="32"/>
  <c r="AK302" i="32"/>
  <c r="AL302" i="32"/>
  <c r="AK303" i="32"/>
  <c r="AL303" i="32"/>
  <c r="AK304" i="32"/>
  <c r="AL304" i="32"/>
  <c r="AK305" i="32"/>
  <c r="AL305" i="32"/>
  <c r="AK306" i="32"/>
  <c r="AL306" i="32"/>
  <c r="AK307" i="32"/>
  <c r="AL307" i="32"/>
  <c r="AK308" i="32"/>
  <c r="AL308" i="32"/>
  <c r="AK309" i="32"/>
  <c r="AL309" i="32"/>
  <c r="AK310" i="32"/>
  <c r="AL310" i="32"/>
  <c r="AK311" i="32"/>
  <c r="AL311" i="32"/>
  <c r="AK312" i="32"/>
  <c r="AL312" i="32"/>
  <c r="AK313" i="32"/>
  <c r="AL313" i="32"/>
  <c r="AK314" i="32"/>
  <c r="AL314" i="32"/>
  <c r="AK315" i="32"/>
  <c r="AL315" i="32"/>
  <c r="AK316" i="32"/>
  <c r="AL316" i="32"/>
  <c r="AK317" i="32"/>
  <c r="AL317" i="32"/>
  <c r="AK318" i="32"/>
  <c r="AL318" i="32"/>
  <c r="AK319" i="32"/>
  <c r="AL319" i="32"/>
  <c r="AK320" i="32"/>
  <c r="AL320" i="32"/>
  <c r="AK321" i="32"/>
  <c r="AL321" i="32"/>
  <c r="AK322" i="32"/>
  <c r="AL322" i="32"/>
  <c r="AK323" i="32"/>
  <c r="AL323" i="32"/>
  <c r="AK324" i="32"/>
  <c r="AL324" i="32"/>
  <c r="AK325" i="32"/>
  <c r="AL325" i="32"/>
  <c r="AK326" i="32"/>
  <c r="AL326" i="32"/>
  <c r="AK327" i="32"/>
  <c r="AL327" i="32"/>
  <c r="AK328" i="32"/>
  <c r="AL328" i="32"/>
  <c r="AK329" i="32"/>
  <c r="AL329" i="32"/>
  <c r="AK330" i="32"/>
  <c r="AL330" i="32"/>
  <c r="AK331" i="32"/>
  <c r="AL331" i="32"/>
  <c r="AK332" i="32"/>
  <c r="AL332" i="32"/>
  <c r="AK333" i="32"/>
  <c r="AL333" i="32"/>
  <c r="AK334" i="32"/>
  <c r="AL334" i="32"/>
  <c r="AK335" i="32"/>
  <c r="AL335" i="32"/>
  <c r="AK336" i="32"/>
  <c r="AL336" i="32"/>
  <c r="AK337" i="32"/>
  <c r="AL337" i="32"/>
  <c r="AK338" i="32"/>
  <c r="AL338" i="32"/>
  <c r="AK339" i="32"/>
  <c r="AL339" i="32"/>
  <c r="AK340" i="32"/>
  <c r="AL340" i="32"/>
  <c r="AK341" i="32"/>
  <c r="AL341" i="32"/>
  <c r="AK342" i="32"/>
  <c r="AL342" i="32"/>
  <c r="AK343" i="32"/>
  <c r="AL343" i="32"/>
  <c r="AK344" i="32"/>
  <c r="AL344" i="32"/>
  <c r="AK345" i="32"/>
  <c r="AL345" i="32"/>
  <c r="AK346" i="32"/>
  <c r="AL346" i="32"/>
  <c r="AK347" i="32"/>
  <c r="AL347" i="32"/>
  <c r="AK348" i="32"/>
  <c r="AL348" i="32"/>
  <c r="AK349" i="32"/>
  <c r="AL349" i="32"/>
  <c r="AK350" i="32"/>
  <c r="AL350" i="32"/>
  <c r="AK351" i="32"/>
  <c r="AL351" i="32"/>
  <c r="AK352" i="32"/>
  <c r="AL352" i="32"/>
  <c r="AK353" i="32"/>
  <c r="AL353" i="32"/>
  <c r="AK354" i="32"/>
  <c r="AL354" i="32"/>
  <c r="AK355" i="32"/>
  <c r="AL355" i="32"/>
  <c r="AK356" i="32"/>
  <c r="AL356" i="32"/>
  <c r="AK357" i="32"/>
  <c r="AL357" i="32"/>
  <c r="AK358" i="32"/>
  <c r="AL358" i="32"/>
  <c r="AK359" i="32"/>
  <c r="AL359" i="32"/>
  <c r="AK360" i="32"/>
  <c r="AL360" i="32"/>
  <c r="AK361" i="32"/>
  <c r="AL361" i="32"/>
  <c r="AK362" i="32"/>
  <c r="AL362" i="32"/>
  <c r="AK363" i="32"/>
  <c r="AL363" i="32"/>
  <c r="AK364" i="32"/>
  <c r="AL364" i="32"/>
  <c r="AK365" i="32"/>
  <c r="AL365" i="32"/>
  <c r="AK366" i="32"/>
  <c r="AL366" i="32"/>
  <c r="AK367" i="32"/>
  <c r="AL367" i="32"/>
  <c r="AK368" i="32"/>
  <c r="AL368" i="32"/>
  <c r="AK369" i="32"/>
  <c r="AL369" i="32"/>
  <c r="AK370" i="32"/>
  <c r="AL370" i="32"/>
  <c r="AK371" i="32"/>
  <c r="AL371" i="32"/>
  <c r="AK372" i="32"/>
  <c r="AL372" i="32"/>
  <c r="AK373" i="32"/>
  <c r="AL373" i="32"/>
  <c r="AK374" i="32"/>
  <c r="AL374" i="32"/>
  <c r="AK375" i="32"/>
  <c r="AL375" i="32"/>
  <c r="AK376" i="32"/>
  <c r="AL376" i="32"/>
  <c r="AK377" i="32"/>
  <c r="AL377" i="32"/>
  <c r="AK378" i="32"/>
  <c r="AL378" i="32"/>
  <c r="AK379" i="32"/>
  <c r="AL379" i="32"/>
  <c r="AK380" i="32"/>
  <c r="AL380" i="32"/>
  <c r="AK381" i="32"/>
  <c r="AL381" i="32"/>
  <c r="AK382" i="32"/>
  <c r="AL382" i="32"/>
  <c r="AK383" i="32"/>
  <c r="AL383" i="32"/>
  <c r="AK384" i="32"/>
  <c r="AL384" i="32"/>
  <c r="AK385" i="32"/>
  <c r="AL385" i="32"/>
  <c r="AK386" i="32"/>
  <c r="AL386" i="32"/>
  <c r="AK387" i="32"/>
  <c r="AL387" i="32"/>
  <c r="AK388" i="32"/>
  <c r="AL388" i="32"/>
  <c r="AK389" i="32"/>
  <c r="AL389" i="32"/>
  <c r="AK390" i="32"/>
  <c r="AL390" i="32"/>
  <c r="AK391" i="32"/>
  <c r="AL391" i="32"/>
  <c r="AK392" i="32"/>
  <c r="AL392" i="32"/>
  <c r="AK393" i="32"/>
  <c r="AL393" i="32"/>
  <c r="AK394" i="32"/>
  <c r="AL394" i="32"/>
  <c r="AK395" i="32"/>
  <c r="AL395" i="32"/>
  <c r="AK396" i="32"/>
  <c r="AL396" i="32"/>
  <c r="AK397" i="32"/>
  <c r="AL397" i="32"/>
  <c r="AK398" i="32"/>
  <c r="AL398" i="32"/>
  <c r="AK399" i="32"/>
  <c r="AL399" i="32"/>
  <c r="AK400" i="32"/>
  <c r="AL400" i="32"/>
  <c r="AK401" i="32"/>
  <c r="AL401" i="32"/>
  <c r="AK402" i="32"/>
  <c r="AL402" i="32"/>
  <c r="AK403" i="32"/>
  <c r="AL403" i="32"/>
  <c r="AK404" i="32"/>
  <c r="AL404" i="32"/>
  <c r="AK405" i="32"/>
  <c r="AL405" i="32"/>
  <c r="AK406" i="32"/>
  <c r="AL406" i="32"/>
  <c r="AK407" i="32"/>
  <c r="AL407" i="32"/>
  <c r="AK408" i="32"/>
  <c r="AL408" i="32"/>
  <c r="AK409" i="32"/>
  <c r="AL409" i="32"/>
  <c r="AK410" i="32"/>
  <c r="AL410" i="32"/>
  <c r="AK411" i="32"/>
  <c r="AL411" i="32"/>
  <c r="AK412" i="32"/>
  <c r="AL412" i="32"/>
  <c r="AK413" i="32"/>
  <c r="AL413" i="32"/>
  <c r="AK414" i="32"/>
  <c r="AL414" i="32"/>
  <c r="AK415" i="32"/>
  <c r="AL415" i="32"/>
  <c r="AK416" i="32"/>
  <c r="AL416" i="32"/>
  <c r="AK417" i="32"/>
  <c r="AL417" i="32"/>
  <c r="AK418" i="32"/>
  <c r="AL418" i="32"/>
  <c r="AK419" i="32"/>
  <c r="AL419" i="32"/>
  <c r="AK420" i="32"/>
  <c r="AL420" i="32"/>
  <c r="AK421" i="32"/>
  <c r="AL421" i="32"/>
  <c r="AK422" i="32"/>
  <c r="AL422" i="32"/>
  <c r="AK423" i="32"/>
  <c r="AL423" i="32"/>
  <c r="AK424" i="32"/>
  <c r="AL424" i="32"/>
  <c r="AK425" i="32"/>
  <c r="AL425" i="32"/>
  <c r="AK426" i="32"/>
  <c r="AL426" i="32"/>
  <c r="AK427" i="32"/>
  <c r="AL427" i="32"/>
  <c r="AK428" i="32"/>
  <c r="AL428" i="32"/>
  <c r="AK429" i="32"/>
  <c r="AL429" i="32"/>
  <c r="AK430" i="32"/>
  <c r="AL430" i="32"/>
  <c r="AK431" i="32"/>
  <c r="AL431" i="32"/>
  <c r="AK432" i="32"/>
  <c r="AL432" i="32"/>
  <c r="AK433" i="32"/>
  <c r="AL433" i="32"/>
  <c r="AK434" i="32"/>
  <c r="AL434" i="32"/>
  <c r="AK435" i="32"/>
  <c r="AL435" i="32"/>
  <c r="AK436" i="32"/>
  <c r="AL436" i="32"/>
  <c r="AK437" i="32"/>
  <c r="AL437" i="32"/>
  <c r="AK438" i="32"/>
  <c r="AL438" i="32"/>
  <c r="AK439" i="32"/>
  <c r="AL439" i="32"/>
  <c r="AK440" i="32"/>
  <c r="AL440" i="32"/>
  <c r="AK441" i="32"/>
  <c r="AL441" i="32"/>
  <c r="AK442" i="32"/>
  <c r="AL442" i="32"/>
  <c r="AK443" i="32"/>
  <c r="AL443" i="32"/>
  <c r="AL224" i="32"/>
  <c r="AK224" i="32"/>
  <c r="AK170" i="32"/>
  <c r="AL170" i="32"/>
  <c r="AK171" i="32"/>
  <c r="AL171" i="32"/>
  <c r="AK172" i="32"/>
  <c r="AL172" i="32"/>
  <c r="AK173" i="32"/>
  <c r="AL173" i="32"/>
  <c r="AK174" i="32"/>
  <c r="AL174" i="32"/>
  <c r="AK175" i="32"/>
  <c r="AL175" i="32"/>
  <c r="AK176" i="32"/>
  <c r="AL176" i="32"/>
  <c r="AK177" i="32"/>
  <c r="AL177" i="32"/>
  <c r="AK178" i="32"/>
  <c r="AL178" i="32"/>
  <c r="AK179" i="32"/>
  <c r="AL179" i="32"/>
  <c r="AK180" i="32"/>
  <c r="AL180" i="32"/>
  <c r="AK181" i="32"/>
  <c r="AL181" i="32"/>
  <c r="AK182" i="32"/>
  <c r="AL182" i="32"/>
  <c r="AK183" i="32"/>
  <c r="AL183" i="32"/>
  <c r="AK184" i="32"/>
  <c r="AL184" i="32"/>
  <c r="AK185" i="32"/>
  <c r="AL185" i="32"/>
  <c r="AK186" i="32"/>
  <c r="AL186" i="32"/>
  <c r="AK187" i="32"/>
  <c r="AL187" i="32"/>
  <c r="AK188" i="32"/>
  <c r="AL188" i="32"/>
  <c r="AK189" i="32"/>
  <c r="AL189" i="32"/>
  <c r="AK190" i="32"/>
  <c r="AL190" i="32"/>
  <c r="AK191" i="32"/>
  <c r="AL191" i="32"/>
  <c r="AK192" i="32"/>
  <c r="AL192" i="32"/>
  <c r="AK193" i="32"/>
  <c r="AL193" i="32"/>
  <c r="AK194" i="32"/>
  <c r="AL194" i="32"/>
  <c r="AK195" i="32"/>
  <c r="AL195" i="32"/>
  <c r="AK196" i="32"/>
  <c r="AL196" i="32"/>
  <c r="AK197" i="32"/>
  <c r="AL197" i="32"/>
  <c r="AK198" i="32"/>
  <c r="AL198" i="32"/>
  <c r="AK199" i="32"/>
  <c r="AL199" i="32"/>
  <c r="AK200" i="32"/>
  <c r="AL200" i="32"/>
  <c r="AK201" i="32"/>
  <c r="AL201" i="32"/>
  <c r="AK202" i="32"/>
  <c r="AL202" i="32"/>
  <c r="AK203" i="32"/>
  <c r="AL203" i="32"/>
  <c r="AK204" i="32"/>
  <c r="AL204" i="32"/>
  <c r="AK205" i="32"/>
  <c r="AL205" i="32"/>
  <c r="AK206" i="32"/>
  <c r="AL206" i="32"/>
  <c r="AK207" i="32"/>
  <c r="AL207" i="32"/>
  <c r="AK208" i="32"/>
  <c r="AL208" i="32"/>
  <c r="AK209" i="32"/>
  <c r="AL209" i="32"/>
  <c r="AK210" i="32"/>
  <c r="AL210" i="32"/>
  <c r="AK211" i="32"/>
  <c r="AL211" i="32"/>
  <c r="AK212" i="32"/>
  <c r="AL212" i="32"/>
  <c r="AK213" i="32"/>
  <c r="AL213" i="32"/>
  <c r="AK214" i="32"/>
  <c r="AL214" i="32"/>
  <c r="AK215" i="32"/>
  <c r="AL215" i="32"/>
  <c r="AK216" i="32"/>
  <c r="AL216" i="32"/>
  <c r="AK217" i="32"/>
  <c r="AL217" i="32"/>
  <c r="AK218" i="32"/>
  <c r="AL218" i="32"/>
  <c r="AK219" i="32"/>
  <c r="AL219" i="32"/>
  <c r="AK220" i="32"/>
  <c r="AL220" i="32"/>
  <c r="AK221" i="32"/>
  <c r="AL221" i="32"/>
  <c r="AK222" i="32"/>
  <c r="AL222" i="32"/>
  <c r="AK223" i="32"/>
  <c r="AL223" i="32"/>
  <c r="AK5" i="32"/>
  <c r="AL5" i="32"/>
  <c r="AK6" i="32"/>
  <c r="AL6" i="32"/>
  <c r="AK7" i="32"/>
  <c r="AL7" i="32"/>
  <c r="AK8" i="32"/>
  <c r="AL8" i="32"/>
  <c r="AK9" i="32"/>
  <c r="AL9" i="32"/>
  <c r="AK10" i="32"/>
  <c r="AL10" i="32"/>
  <c r="AK11" i="32"/>
  <c r="AL11" i="32"/>
  <c r="AK12" i="32"/>
  <c r="AL12" i="32"/>
  <c r="AK13" i="32"/>
  <c r="AL13" i="32"/>
  <c r="AK14" i="32"/>
  <c r="AL14" i="32"/>
  <c r="AK15" i="32"/>
  <c r="AL15" i="32"/>
  <c r="AK16" i="32"/>
  <c r="AL16" i="32"/>
  <c r="AK17" i="32"/>
  <c r="AL17" i="32"/>
  <c r="AK18" i="32"/>
  <c r="AL18" i="32"/>
  <c r="AK19" i="32"/>
  <c r="AL19" i="32"/>
  <c r="AK20" i="32"/>
  <c r="AL20" i="32"/>
  <c r="AK21" i="32"/>
  <c r="AL21" i="32"/>
  <c r="AK22" i="32"/>
  <c r="AL22" i="32"/>
  <c r="AK23" i="32"/>
  <c r="AL23" i="32"/>
  <c r="AK24" i="32"/>
  <c r="AL24" i="32"/>
  <c r="AK25" i="32"/>
  <c r="AL25" i="32"/>
  <c r="AK26" i="32"/>
  <c r="AL26" i="32"/>
  <c r="AK27" i="32"/>
  <c r="AL27" i="32"/>
  <c r="AK28" i="32"/>
  <c r="AL28" i="32"/>
  <c r="AK29" i="32"/>
  <c r="AL29" i="32"/>
  <c r="AK30" i="32"/>
  <c r="AL30" i="32"/>
  <c r="AK31" i="32"/>
  <c r="AL31" i="32"/>
  <c r="AK32" i="32"/>
  <c r="AL32" i="32"/>
  <c r="AK33" i="32"/>
  <c r="AL33" i="32"/>
  <c r="AK34" i="32"/>
  <c r="AL34" i="32"/>
  <c r="AK35" i="32"/>
  <c r="AL35" i="32"/>
  <c r="AK36" i="32"/>
  <c r="AL36" i="32"/>
  <c r="AK37" i="32"/>
  <c r="AL37" i="32"/>
  <c r="AK38" i="32"/>
  <c r="AL38" i="32"/>
  <c r="AK39" i="32"/>
  <c r="AL39" i="32"/>
  <c r="AK40" i="32"/>
  <c r="AL40" i="32"/>
  <c r="AK41" i="32"/>
  <c r="AL41" i="32"/>
  <c r="AK42" i="32"/>
  <c r="AL42" i="32"/>
  <c r="AK43" i="32"/>
  <c r="AL43" i="32"/>
  <c r="AK44" i="32"/>
  <c r="AL44" i="32"/>
  <c r="AK45" i="32"/>
  <c r="AL45" i="32"/>
  <c r="AK46" i="32"/>
  <c r="AL46" i="32"/>
  <c r="AK47" i="32"/>
  <c r="AL47" i="32"/>
  <c r="AK48" i="32"/>
  <c r="AL48" i="32"/>
  <c r="AK49" i="32"/>
  <c r="AL49" i="32"/>
  <c r="AK50" i="32"/>
  <c r="AL50" i="32"/>
  <c r="AK51" i="32"/>
  <c r="AL51" i="32"/>
  <c r="AK52" i="32"/>
  <c r="AL52" i="32"/>
  <c r="AK53" i="32"/>
  <c r="AL53" i="32"/>
  <c r="AK54" i="32"/>
  <c r="AL54" i="32"/>
  <c r="AK55" i="32"/>
  <c r="AL55" i="32"/>
  <c r="AK56" i="32"/>
  <c r="AL56" i="32"/>
  <c r="AK57" i="32"/>
  <c r="AL57" i="32"/>
  <c r="AK58" i="32"/>
  <c r="AL58" i="32"/>
  <c r="AK59" i="32"/>
  <c r="AL59" i="32"/>
  <c r="AK60" i="32"/>
  <c r="AL60" i="32"/>
  <c r="AK61" i="32"/>
  <c r="AL61" i="32"/>
  <c r="AK62" i="32"/>
  <c r="AL62" i="32"/>
  <c r="AK63" i="32"/>
  <c r="AL63" i="32"/>
  <c r="AK64" i="32"/>
  <c r="AL64" i="32"/>
  <c r="AK65" i="32"/>
  <c r="AL65" i="32"/>
  <c r="AK66" i="32"/>
  <c r="AL66" i="32"/>
  <c r="AK67" i="32"/>
  <c r="AL67" i="32"/>
  <c r="AK68" i="32"/>
  <c r="AL68" i="32"/>
  <c r="AK69" i="32"/>
  <c r="AL69" i="32"/>
  <c r="AK70" i="32"/>
  <c r="AL70" i="32"/>
  <c r="AK71" i="32"/>
  <c r="AL71" i="32"/>
  <c r="AK72" i="32"/>
  <c r="AL72" i="32"/>
  <c r="AK73" i="32"/>
  <c r="AL73" i="32"/>
  <c r="AK74" i="32"/>
  <c r="AL74" i="32"/>
  <c r="AK75" i="32"/>
  <c r="AL75" i="32"/>
  <c r="AK76" i="32"/>
  <c r="AL76" i="32"/>
  <c r="AK77" i="32"/>
  <c r="AL77" i="32"/>
  <c r="AK78" i="32"/>
  <c r="AL78" i="32"/>
  <c r="AK79" i="32"/>
  <c r="AL79" i="32"/>
  <c r="AK80" i="32"/>
  <c r="AL80" i="32"/>
  <c r="AK81" i="32"/>
  <c r="AL81" i="32"/>
  <c r="AK82" i="32"/>
  <c r="AL82" i="32"/>
  <c r="AK83" i="32"/>
  <c r="AL83" i="32"/>
  <c r="AK84" i="32"/>
  <c r="AL84" i="32"/>
  <c r="AK85" i="32"/>
  <c r="AL85" i="32"/>
  <c r="AK86" i="32"/>
  <c r="AL86" i="32"/>
  <c r="AK87" i="32"/>
  <c r="AL87" i="32"/>
  <c r="AK88" i="32"/>
  <c r="AL88" i="32"/>
  <c r="AK89" i="32"/>
  <c r="AL89" i="32"/>
  <c r="AK90" i="32"/>
  <c r="AL90" i="32"/>
  <c r="AK91" i="32"/>
  <c r="AL91" i="32"/>
  <c r="AK92" i="32"/>
  <c r="AL92" i="32"/>
  <c r="AK93" i="32"/>
  <c r="AL93" i="32"/>
  <c r="AK94" i="32"/>
  <c r="AL94" i="32"/>
  <c r="AK95" i="32"/>
  <c r="AL95" i="32"/>
  <c r="AK96" i="32"/>
  <c r="AL96" i="32"/>
  <c r="AK97" i="32"/>
  <c r="AL97" i="32"/>
  <c r="AK98" i="32"/>
  <c r="AL98" i="32"/>
  <c r="AK99" i="32"/>
  <c r="AL99" i="32"/>
  <c r="AK100" i="32"/>
  <c r="AL100" i="32"/>
  <c r="AK101" i="32"/>
  <c r="AL101" i="32"/>
  <c r="AK102" i="32"/>
  <c r="AL102" i="32"/>
  <c r="AK103" i="32"/>
  <c r="AL103" i="32"/>
  <c r="AK104" i="32"/>
  <c r="AL104" i="32"/>
  <c r="AK105" i="32"/>
  <c r="AL105" i="32"/>
  <c r="AK106" i="32"/>
  <c r="AL106" i="32"/>
  <c r="AK107" i="32"/>
  <c r="AL107" i="32"/>
  <c r="AK108" i="32"/>
  <c r="AL108" i="32"/>
  <c r="AK109" i="32"/>
  <c r="AL109" i="32"/>
  <c r="AK110" i="32"/>
  <c r="AL110" i="32"/>
  <c r="AK111" i="32"/>
  <c r="AL111" i="32"/>
  <c r="AK112" i="32"/>
  <c r="AL112" i="32"/>
  <c r="AK113" i="32"/>
  <c r="AL113" i="32"/>
  <c r="AK114" i="32"/>
  <c r="AL114" i="32"/>
  <c r="AK115" i="32"/>
  <c r="AL115" i="32"/>
  <c r="AK116" i="32"/>
  <c r="AL116" i="32"/>
  <c r="AK117" i="32"/>
  <c r="AL117" i="32"/>
  <c r="AK118" i="32"/>
  <c r="AL118" i="32"/>
  <c r="AK119" i="32"/>
  <c r="AL119" i="32"/>
  <c r="AK120" i="32"/>
  <c r="AL120" i="32"/>
  <c r="AK121" i="32"/>
  <c r="AL121" i="32"/>
  <c r="AK122" i="32"/>
  <c r="AL122" i="32"/>
  <c r="AK123" i="32"/>
  <c r="AL123" i="32"/>
  <c r="AK124" i="32"/>
  <c r="AL124" i="32"/>
  <c r="AK125" i="32"/>
  <c r="AL125" i="32"/>
  <c r="AK126" i="32"/>
  <c r="AL126" i="32"/>
  <c r="AK127" i="32"/>
  <c r="AL127" i="32"/>
  <c r="AK128" i="32"/>
  <c r="AL128" i="32"/>
  <c r="AK129" i="32"/>
  <c r="AL129" i="32"/>
  <c r="AK130" i="32"/>
  <c r="AL130" i="32"/>
  <c r="AK131" i="32"/>
  <c r="AL131" i="32"/>
  <c r="AK132" i="32"/>
  <c r="AL132" i="32"/>
  <c r="AK133" i="32"/>
  <c r="AL133" i="32"/>
  <c r="AK134" i="32"/>
  <c r="AL134" i="32"/>
  <c r="AK135" i="32"/>
  <c r="AL135" i="32"/>
  <c r="AK136" i="32"/>
  <c r="AL136" i="32"/>
  <c r="AK137" i="32"/>
  <c r="AL137" i="32"/>
  <c r="AK138" i="32"/>
  <c r="AL138" i="32"/>
  <c r="AK139" i="32"/>
  <c r="AL139" i="32"/>
  <c r="AK140" i="32"/>
  <c r="AL140" i="32"/>
  <c r="AK141" i="32"/>
  <c r="AL141" i="32"/>
  <c r="AK142" i="32"/>
  <c r="AL142" i="32"/>
  <c r="AK143" i="32"/>
  <c r="AL143" i="32"/>
  <c r="AK144" i="32"/>
  <c r="AL144" i="32"/>
  <c r="AK145" i="32"/>
  <c r="AL145" i="32"/>
  <c r="AK146" i="32"/>
  <c r="AL146" i="32"/>
  <c r="AK147" i="32"/>
  <c r="AL147" i="32"/>
  <c r="AK148" i="32"/>
  <c r="AL148" i="32"/>
  <c r="AK149" i="32"/>
  <c r="AL149" i="32"/>
  <c r="AK150" i="32"/>
  <c r="AL150" i="32"/>
  <c r="AK151" i="32"/>
  <c r="AL151" i="32"/>
  <c r="AK152" i="32"/>
  <c r="AL152" i="32"/>
  <c r="AK153" i="32"/>
  <c r="AL153" i="32"/>
  <c r="AK154" i="32"/>
  <c r="AL154" i="32"/>
  <c r="AK155" i="32"/>
  <c r="AL155" i="32"/>
  <c r="AK156" i="32"/>
  <c r="AL156" i="32"/>
  <c r="AK157" i="32"/>
  <c r="AL157" i="32"/>
  <c r="AK158" i="32"/>
  <c r="AL158" i="32"/>
  <c r="AK159" i="32"/>
  <c r="AL159" i="32"/>
  <c r="AK160" i="32"/>
  <c r="AL160" i="32"/>
  <c r="AK161" i="32"/>
  <c r="AL161" i="32"/>
  <c r="AK162" i="32"/>
  <c r="AL162" i="32"/>
  <c r="AK163" i="32"/>
  <c r="AL163" i="32"/>
  <c r="AK164" i="32"/>
  <c r="AL164" i="32"/>
  <c r="AK165" i="32"/>
  <c r="AL165" i="32"/>
  <c r="AK166" i="32"/>
  <c r="AL166" i="32"/>
  <c r="AK167" i="32"/>
  <c r="AL167" i="32"/>
  <c r="AK168" i="32"/>
  <c r="AL168" i="32"/>
  <c r="AK169" i="32"/>
  <c r="AL169" i="32"/>
  <c r="AL4" i="32"/>
  <c r="AK4" i="32"/>
  <c r="Q5" i="32"/>
  <c r="Q6" i="32"/>
  <c r="Q7" i="32"/>
  <c r="Q8" i="32"/>
  <c r="Q9" i="32"/>
  <c r="Q10" i="32"/>
  <c r="Q11" i="32"/>
  <c r="Q12" i="32"/>
  <c r="Q13" i="32"/>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 i="32"/>
  <c r="P5" i="32"/>
  <c r="P6" i="32"/>
  <c r="P7" i="32"/>
  <c r="P8" i="32"/>
  <c r="P9" i="32"/>
  <c r="P10" i="32"/>
  <c r="P11" i="32"/>
  <c r="P12" i="32"/>
  <c r="P13" i="32"/>
  <c r="P14" i="32"/>
  <c r="P15" i="32"/>
  <c r="P16" i="32"/>
  <c r="P17" i="32"/>
  <c r="P18" i="32"/>
  <c r="P19" i="32"/>
  <c r="P20" i="32"/>
  <c r="P21" i="32"/>
  <c r="P22" i="32"/>
  <c r="P23" i="32"/>
  <c r="P24" i="32"/>
  <c r="P25" i="32"/>
  <c r="P26" i="32"/>
  <c r="P27" i="32"/>
  <c r="P28" i="32"/>
  <c r="P29" i="32"/>
  <c r="P30" i="32"/>
  <c r="P31" i="32"/>
  <c r="P32" i="32"/>
  <c r="P33" i="32"/>
  <c r="P34" i="32"/>
  <c r="P35" i="32"/>
  <c r="P36" i="32"/>
  <c r="P37" i="32"/>
  <c r="P38" i="32"/>
  <c r="P39" i="32"/>
  <c r="P40" i="32"/>
  <c r="P41" i="32"/>
  <c r="P42" i="32"/>
  <c r="P43" i="32"/>
  <c r="P44" i="32"/>
  <c r="P45" i="32"/>
  <c r="P46" i="32"/>
  <c r="P47" i="32"/>
  <c r="P48" i="32"/>
  <c r="P49" i="32"/>
  <c r="P50" i="32"/>
  <c r="P51" i="32"/>
  <c r="P52" i="32"/>
  <c r="P53" i="32"/>
  <c r="P54" i="32"/>
  <c r="P55" i="32"/>
  <c r="P56" i="32"/>
  <c r="P57" i="32"/>
  <c r="P58" i="32"/>
  <c r="P59" i="32"/>
  <c r="P60" i="32"/>
  <c r="P61" i="32"/>
  <c r="P62" i="32"/>
  <c r="P63" i="32"/>
  <c r="P64" i="32"/>
  <c r="P65" i="32"/>
  <c r="P66" i="32"/>
  <c r="P67" i="32"/>
  <c r="P68" i="32"/>
  <c r="P69" i="32"/>
  <c r="P70" i="32"/>
  <c r="P71" i="32"/>
  <c r="P72" i="32"/>
  <c r="P73" i="32"/>
  <c r="P74" i="32"/>
  <c r="P75" i="32"/>
  <c r="P76" i="32"/>
  <c r="P77" i="32"/>
  <c r="P78" i="32"/>
  <c r="P79" i="32"/>
  <c r="P80" i="32"/>
  <c r="P81" i="32"/>
  <c r="P82" i="32"/>
  <c r="P83" i="32"/>
  <c r="P84" i="32"/>
  <c r="P85" i="32"/>
  <c r="P86" i="32"/>
  <c r="P87" i="32"/>
  <c r="P88" i="32"/>
  <c r="P89" i="32"/>
  <c r="P90" i="32"/>
  <c r="P91" i="32"/>
  <c r="P92" i="32"/>
  <c r="P93" i="32"/>
  <c r="P94" i="32"/>
  <c r="P95" i="32"/>
  <c r="P96" i="32"/>
  <c r="P97" i="32"/>
  <c r="P98" i="32"/>
  <c r="P99" i="32"/>
  <c r="P100" i="32"/>
  <c r="P101" i="32"/>
  <c r="P102" i="32"/>
  <c r="P103" i="32"/>
  <c r="P104" i="32"/>
  <c r="P105" i="32"/>
  <c r="P106" i="32"/>
  <c r="P107" i="32"/>
  <c r="P108" i="32"/>
  <c r="P109" i="32"/>
  <c r="P110" i="32"/>
  <c r="P111" i="32"/>
  <c r="P112" i="32"/>
  <c r="P113" i="32"/>
  <c r="P114" i="32"/>
  <c r="P115" i="32"/>
  <c r="P116" i="32"/>
  <c r="P117" i="32"/>
  <c r="P118" i="32"/>
  <c r="P119" i="32"/>
  <c r="P120" i="32"/>
  <c r="P121" i="32"/>
  <c r="P122" i="32"/>
  <c r="P123" i="32"/>
  <c r="P124" i="32"/>
  <c r="P125" i="32"/>
  <c r="P126" i="32"/>
  <c r="P127" i="32"/>
  <c r="P128" i="32"/>
  <c r="P129" i="32"/>
  <c r="P130" i="32"/>
  <c r="P131" i="32"/>
  <c r="P132" i="32"/>
  <c r="P133" i="32"/>
  <c r="P134" i="32"/>
  <c r="P135" i="32"/>
  <c r="P136" i="32"/>
  <c r="P137" i="32"/>
  <c r="P138" i="32"/>
  <c r="P139" i="32"/>
  <c r="P140" i="32"/>
  <c r="P141" i="32"/>
  <c r="P142" i="32"/>
  <c r="P143" i="32"/>
  <c r="P144" i="32"/>
  <c r="P145" i="32"/>
  <c r="P146" i="32"/>
  <c r="P147" i="32"/>
  <c r="P148" i="32"/>
  <c r="P149" i="32"/>
  <c r="P150" i="32"/>
  <c r="P151" i="32"/>
  <c r="P152" i="32"/>
  <c r="P153" i="32"/>
  <c r="P154" i="32"/>
  <c r="P155" i="32"/>
  <c r="P156" i="32"/>
  <c r="P157" i="32"/>
  <c r="P158" i="32"/>
  <c r="P159" i="32"/>
  <c r="P160" i="32"/>
  <c r="P161" i="32"/>
  <c r="P162" i="32"/>
  <c r="P163" i="32"/>
  <c r="P164" i="32"/>
  <c r="P165" i="32"/>
  <c r="P166" i="32"/>
  <c r="P167" i="32"/>
  <c r="P168" i="32"/>
  <c r="P169" i="32"/>
  <c r="P170" i="32"/>
  <c r="P171" i="32"/>
  <c r="P172" i="32"/>
  <c r="P173" i="32"/>
  <c r="P174" i="32"/>
  <c r="P175" i="32"/>
  <c r="P176" i="32"/>
  <c r="P177" i="32"/>
  <c r="P178" i="32"/>
  <c r="P179" i="32"/>
  <c r="P180" i="32"/>
  <c r="P181" i="32"/>
  <c r="P182" i="32"/>
  <c r="P183" i="32"/>
  <c r="P184" i="32"/>
  <c r="P185" i="32"/>
  <c r="P186" i="32"/>
  <c r="P187" i="32"/>
  <c r="P188" i="32"/>
  <c r="P189" i="32"/>
  <c r="P190" i="32"/>
  <c r="P191" i="32"/>
  <c r="P192" i="32"/>
  <c r="P193" i="32"/>
  <c r="P194" i="32"/>
  <c r="P195" i="32"/>
  <c r="P196" i="32"/>
  <c r="P197" i="32"/>
  <c r="P198" i="32"/>
  <c r="P199" i="32"/>
  <c r="P200" i="32"/>
  <c r="P201" i="32"/>
  <c r="P202" i="32"/>
  <c r="P203" i="32"/>
  <c r="P204" i="32"/>
  <c r="P205" i="32"/>
  <c r="P206" i="32"/>
  <c r="P207" i="32"/>
  <c r="P208" i="32"/>
  <c r="P209" i="32"/>
  <c r="P210" i="32"/>
  <c r="P211" i="32"/>
  <c r="P212" i="32"/>
  <c r="P213" i="32"/>
  <c r="P214" i="32"/>
  <c r="P215" i="32"/>
  <c r="P216" i="32"/>
  <c r="P217" i="32"/>
  <c r="P218" i="32"/>
  <c r="P219" i="32"/>
  <c r="P220" i="32"/>
  <c r="P221" i="32"/>
  <c r="P222" i="32"/>
  <c r="P223" i="32"/>
  <c r="P224" i="32"/>
  <c r="P225" i="32"/>
  <c r="P226" i="32"/>
  <c r="P227" i="32"/>
  <c r="P228" i="32"/>
  <c r="P229" i="32"/>
  <c r="P230" i="32"/>
  <c r="P231" i="32"/>
  <c r="P232" i="32"/>
  <c r="P233" i="32"/>
  <c r="P234" i="32"/>
  <c r="P235" i="32"/>
  <c r="P236" i="32"/>
  <c r="P237" i="32"/>
  <c r="P238" i="32"/>
  <c r="P239" i="32"/>
  <c r="P240" i="32"/>
  <c r="P241" i="32"/>
  <c r="P242" i="32"/>
  <c r="P243" i="32"/>
  <c r="P244" i="32"/>
  <c r="P245" i="32"/>
  <c r="P246" i="32"/>
  <c r="P247" i="32"/>
  <c r="P248" i="32"/>
  <c r="P249" i="32"/>
  <c r="P250" i="32"/>
  <c r="P251" i="32"/>
  <c r="P252" i="32"/>
  <c r="P253" i="32"/>
  <c r="P254" i="32"/>
  <c r="P255" i="32"/>
  <c r="P256" i="32"/>
  <c r="P257" i="32"/>
  <c r="P258" i="32"/>
  <c r="P259" i="32"/>
  <c r="P260" i="32"/>
  <c r="P261" i="32"/>
  <c r="P262" i="32"/>
  <c r="P263" i="32"/>
  <c r="P264" i="32"/>
  <c r="P265" i="32"/>
  <c r="P266" i="32"/>
  <c r="P267" i="32"/>
  <c r="P268" i="32"/>
  <c r="P269" i="32"/>
  <c r="P270" i="32"/>
  <c r="P271" i="32"/>
  <c r="P272" i="32"/>
  <c r="P273" i="32"/>
  <c r="P274" i="32"/>
  <c r="P275" i="32"/>
  <c r="P276" i="32"/>
  <c r="P277" i="32"/>
  <c r="P278" i="32"/>
  <c r="P279" i="32"/>
  <c r="P280" i="32"/>
  <c r="P281" i="32"/>
  <c r="P282" i="32"/>
  <c r="P283" i="32"/>
  <c r="P284" i="32"/>
  <c r="P285" i="32"/>
  <c r="P286" i="32"/>
  <c r="P287" i="32"/>
  <c r="P288" i="32"/>
  <c r="P289" i="32"/>
  <c r="P290" i="32"/>
  <c r="P291" i="32"/>
  <c r="P292" i="32"/>
  <c r="P293" i="32"/>
  <c r="P294" i="32"/>
  <c r="P295" i="32"/>
  <c r="P296" i="32"/>
  <c r="P297" i="32"/>
  <c r="P298" i="32"/>
  <c r="P299" i="32"/>
  <c r="P300" i="32"/>
  <c r="P301" i="32"/>
  <c r="P302" i="32"/>
  <c r="P303" i="32"/>
  <c r="P304" i="32"/>
  <c r="P305" i="32"/>
  <c r="P306" i="32"/>
  <c r="P307" i="32"/>
  <c r="P308" i="32"/>
  <c r="P309" i="32"/>
  <c r="P310" i="32"/>
  <c r="P311" i="32"/>
  <c r="P312" i="32"/>
  <c r="P313" i="32"/>
  <c r="P314" i="32"/>
  <c r="P315" i="32"/>
  <c r="P316" i="32"/>
  <c r="P317" i="32"/>
  <c r="P318" i="32"/>
  <c r="P319" i="32"/>
  <c r="P320" i="32"/>
  <c r="P321" i="32"/>
  <c r="P322" i="32"/>
  <c r="P323" i="32"/>
  <c r="P324" i="32"/>
  <c r="P325" i="32"/>
  <c r="P326" i="32"/>
  <c r="P327" i="32"/>
  <c r="P328" i="32"/>
  <c r="P329" i="32"/>
  <c r="P330" i="32"/>
  <c r="P331" i="32"/>
  <c r="P332" i="32"/>
  <c r="P333" i="32"/>
  <c r="P334" i="32"/>
  <c r="P335" i="32"/>
  <c r="P336" i="32"/>
  <c r="P337" i="32"/>
  <c r="P338" i="32"/>
  <c r="P339" i="32"/>
  <c r="P340" i="32"/>
  <c r="P341" i="32"/>
  <c r="P342" i="32"/>
  <c r="P343" i="32"/>
  <c r="P344" i="32"/>
  <c r="P345" i="32"/>
  <c r="P346" i="32"/>
  <c r="P347" i="32"/>
  <c r="P348" i="32"/>
  <c r="P349" i="32"/>
  <c r="P350" i="32"/>
  <c r="P351" i="32"/>
  <c r="P352" i="32"/>
  <c r="P353" i="32"/>
  <c r="P354" i="32"/>
  <c r="P355" i="32"/>
  <c r="P356" i="32"/>
  <c r="P357" i="32"/>
  <c r="P358" i="32"/>
  <c r="P359" i="32"/>
  <c r="P360" i="32"/>
  <c r="P361" i="32"/>
  <c r="P362" i="32"/>
  <c r="P363" i="32"/>
  <c r="P364" i="32"/>
  <c r="P365" i="32"/>
  <c r="P366" i="32"/>
  <c r="P367" i="32"/>
  <c r="P368" i="32"/>
  <c r="P369" i="32"/>
  <c r="P370" i="32"/>
  <c r="P371" i="32"/>
  <c r="P372" i="32"/>
  <c r="P373" i="32"/>
  <c r="P374" i="32"/>
  <c r="P375" i="32"/>
  <c r="P376" i="32"/>
  <c r="P377" i="32"/>
  <c r="P378" i="32"/>
  <c r="P379" i="32"/>
  <c r="P380" i="32"/>
  <c r="P381" i="32"/>
  <c r="P382" i="32"/>
  <c r="P383" i="32"/>
  <c r="P384" i="32"/>
  <c r="P385" i="32"/>
  <c r="P386" i="32"/>
  <c r="P387" i="32"/>
  <c r="P388" i="32"/>
  <c r="P389" i="32"/>
  <c r="P390" i="32"/>
  <c r="P391" i="32"/>
  <c r="P392" i="32"/>
  <c r="P393" i="32"/>
  <c r="P394" i="32"/>
  <c r="P395" i="32"/>
  <c r="P396" i="32"/>
  <c r="P397" i="32"/>
  <c r="P398" i="32"/>
  <c r="P399" i="32"/>
  <c r="P400" i="32"/>
  <c r="P401" i="32"/>
  <c r="P402" i="32"/>
  <c r="P403" i="32"/>
  <c r="P404" i="32"/>
  <c r="P405" i="32"/>
  <c r="P406" i="32"/>
  <c r="P407" i="32"/>
  <c r="P408" i="32"/>
  <c r="P409" i="32"/>
  <c r="P410" i="32"/>
  <c r="P411" i="32"/>
  <c r="P412" i="32"/>
  <c r="P413" i="32"/>
  <c r="P414" i="32"/>
  <c r="P415" i="32"/>
  <c r="P416" i="32"/>
  <c r="P417" i="32"/>
  <c r="P418" i="32"/>
  <c r="P419" i="32"/>
  <c r="P420" i="32"/>
  <c r="P421" i="32"/>
  <c r="P422" i="32"/>
  <c r="P423" i="32"/>
  <c r="P424" i="32"/>
  <c r="P425" i="32"/>
  <c r="P426" i="32"/>
  <c r="P427" i="32"/>
  <c r="P4" i="32"/>
  <c r="BG4" i="32"/>
  <c r="BH396" i="32"/>
  <c r="BG34" i="32"/>
  <c r="BH34" i="32"/>
  <c r="BG35" i="32"/>
  <c r="BH35" i="32"/>
  <c r="BG36" i="32"/>
  <c r="BH36" i="32"/>
  <c r="BG37" i="32"/>
  <c r="BH37" i="32"/>
  <c r="BG38" i="32"/>
  <c r="BH38" i="32"/>
  <c r="BG39" i="32"/>
  <c r="BH39" i="32"/>
  <c r="BG40" i="32"/>
  <c r="BH40" i="32"/>
  <c r="BG41" i="32"/>
  <c r="BH41" i="32"/>
  <c r="BG42" i="32"/>
  <c r="BH42" i="32"/>
  <c r="BG43" i="32"/>
  <c r="BH43" i="32"/>
  <c r="BG44" i="32"/>
  <c r="BH44" i="32"/>
  <c r="BG45" i="32"/>
  <c r="BH45" i="32"/>
  <c r="BG46" i="32"/>
  <c r="BH46" i="32"/>
  <c r="BG47" i="32"/>
  <c r="BH47" i="32"/>
  <c r="BG48" i="32"/>
  <c r="BH48" i="32"/>
  <c r="BG49" i="32"/>
  <c r="BH49" i="32"/>
  <c r="BG50" i="32"/>
  <c r="BH50" i="32"/>
  <c r="BG51" i="32"/>
  <c r="BH51" i="32"/>
  <c r="BG52" i="32"/>
  <c r="BH52" i="32"/>
  <c r="BG53" i="32"/>
  <c r="BH53" i="32"/>
  <c r="BG54" i="32"/>
  <c r="BH54" i="32"/>
  <c r="BG55" i="32"/>
  <c r="BH55" i="32"/>
  <c r="BG56" i="32"/>
  <c r="BH56" i="32"/>
  <c r="BG57" i="32"/>
  <c r="BH57" i="32"/>
  <c r="BG58" i="32"/>
  <c r="BH58" i="32"/>
  <c r="BG59" i="32"/>
  <c r="BH59" i="32"/>
  <c r="BG60" i="32"/>
  <c r="BH60" i="32"/>
  <c r="BG61" i="32"/>
  <c r="BH61" i="32"/>
  <c r="BG62" i="32"/>
  <c r="BH62" i="32"/>
  <c r="BG63" i="32"/>
  <c r="BH63" i="32"/>
  <c r="BG64" i="32"/>
  <c r="BH64" i="32"/>
  <c r="BG65" i="32"/>
  <c r="BH65" i="32"/>
  <c r="BG66" i="32"/>
  <c r="BH66" i="32"/>
  <c r="BG67" i="32"/>
  <c r="BH67" i="32"/>
  <c r="BG68" i="32"/>
  <c r="BH68" i="32"/>
  <c r="BG69" i="32"/>
  <c r="BH69" i="32"/>
  <c r="BG70" i="32"/>
  <c r="BH70" i="32"/>
  <c r="BG71" i="32"/>
  <c r="BH71" i="32"/>
  <c r="BG72" i="32"/>
  <c r="BH72" i="32"/>
  <c r="BG73" i="32"/>
  <c r="BH73" i="32"/>
  <c r="BG74" i="32"/>
  <c r="BH74" i="32"/>
  <c r="BG75" i="32"/>
  <c r="BH75" i="32"/>
  <c r="BG76" i="32"/>
  <c r="BH76" i="32"/>
  <c r="BG77" i="32"/>
  <c r="BH77" i="32"/>
  <c r="BG78" i="32"/>
  <c r="BH78" i="32"/>
  <c r="BG79" i="32"/>
  <c r="BH79" i="32"/>
  <c r="BG80" i="32"/>
  <c r="BH80" i="32"/>
  <c r="BG81" i="32"/>
  <c r="BH81" i="32"/>
  <c r="BG82" i="32"/>
  <c r="BH82" i="32"/>
  <c r="BG83" i="32"/>
  <c r="BH83" i="32"/>
  <c r="BG84" i="32"/>
  <c r="BH84" i="32"/>
  <c r="BG85" i="32"/>
  <c r="BH85" i="32"/>
  <c r="BG86" i="32"/>
  <c r="BH86" i="32"/>
  <c r="BG87" i="32"/>
  <c r="BH87" i="32"/>
  <c r="BG88" i="32"/>
  <c r="BH88" i="32"/>
  <c r="BG89" i="32"/>
  <c r="BH89" i="32"/>
  <c r="BG90" i="32"/>
  <c r="BH90" i="32"/>
  <c r="BG91" i="32"/>
  <c r="BH91" i="32"/>
  <c r="BG92" i="32"/>
  <c r="BH92" i="32"/>
  <c r="BG93" i="32"/>
  <c r="BH93" i="32"/>
  <c r="BG94" i="32"/>
  <c r="BH94" i="32"/>
  <c r="BG95" i="32"/>
  <c r="BH95" i="32"/>
  <c r="BG96" i="32"/>
  <c r="BH96" i="32"/>
  <c r="BG97" i="32"/>
  <c r="BH97" i="32"/>
  <c r="BG98" i="32"/>
  <c r="BH98" i="32"/>
  <c r="BG99" i="32"/>
  <c r="BH99" i="32"/>
  <c r="BG100" i="32"/>
  <c r="BH100" i="32"/>
  <c r="BG101" i="32"/>
  <c r="BH101" i="32"/>
  <c r="BG102" i="32"/>
  <c r="BH102" i="32"/>
  <c r="BG103" i="32"/>
  <c r="BH103" i="32"/>
  <c r="BG104" i="32"/>
  <c r="BH104" i="32"/>
  <c r="BG105" i="32"/>
  <c r="BH105" i="32"/>
  <c r="BG106" i="32"/>
  <c r="BH106" i="32"/>
  <c r="BG107" i="32"/>
  <c r="BH107" i="32"/>
  <c r="BG108" i="32"/>
  <c r="BH108" i="32"/>
  <c r="BG109" i="32"/>
  <c r="BH109" i="32"/>
  <c r="BG110" i="32"/>
  <c r="BH110" i="32"/>
  <c r="BG111" i="32"/>
  <c r="BH111" i="32"/>
  <c r="BG112" i="32"/>
  <c r="BH112" i="32"/>
  <c r="BG113" i="32"/>
  <c r="BH113" i="32"/>
  <c r="BG114" i="32"/>
  <c r="BH114" i="32"/>
  <c r="BG115" i="32"/>
  <c r="BH115" i="32"/>
  <c r="BG116" i="32"/>
  <c r="BH116" i="32"/>
  <c r="BG117" i="32"/>
  <c r="BH117" i="32"/>
  <c r="BG118" i="32"/>
  <c r="BH118" i="32"/>
  <c r="BG119" i="32"/>
  <c r="BH119" i="32"/>
  <c r="BG120" i="32"/>
  <c r="BH120" i="32"/>
  <c r="BG121" i="32"/>
  <c r="BH121" i="32"/>
  <c r="BG122" i="32"/>
  <c r="BH122" i="32"/>
  <c r="BG123" i="32"/>
  <c r="BH123" i="32"/>
  <c r="BG124" i="32"/>
  <c r="BH124" i="32"/>
  <c r="BG125" i="32"/>
  <c r="BH125" i="32"/>
  <c r="BG126" i="32"/>
  <c r="BH126" i="32"/>
  <c r="BG127" i="32"/>
  <c r="BH127" i="32"/>
  <c r="BG128" i="32"/>
  <c r="BH128" i="32"/>
  <c r="BG129" i="32"/>
  <c r="BH129" i="32"/>
  <c r="BG130" i="32"/>
  <c r="BH130" i="32"/>
  <c r="BG131" i="32"/>
  <c r="BH131" i="32"/>
  <c r="BG132" i="32"/>
  <c r="BH132" i="32"/>
  <c r="BG133" i="32"/>
  <c r="BH133" i="32"/>
  <c r="BG134" i="32"/>
  <c r="BH134" i="32"/>
  <c r="BG135" i="32"/>
  <c r="BH135" i="32"/>
  <c r="BG136" i="32"/>
  <c r="BH136" i="32"/>
  <c r="BG137" i="32"/>
  <c r="BH137" i="32"/>
  <c r="BG138" i="32"/>
  <c r="BH138" i="32"/>
  <c r="BG139" i="32"/>
  <c r="BH139" i="32"/>
  <c r="BG140" i="32"/>
  <c r="BH140" i="32"/>
  <c r="BG141" i="32"/>
  <c r="BH141" i="32"/>
  <c r="BG142" i="32"/>
  <c r="BH142" i="32"/>
  <c r="BG143" i="32"/>
  <c r="BH143" i="32"/>
  <c r="BG144" i="32"/>
  <c r="BH144" i="32"/>
  <c r="BG145" i="32"/>
  <c r="BH145" i="32"/>
  <c r="BG146" i="32"/>
  <c r="BH146" i="32"/>
  <c r="BG147" i="32"/>
  <c r="BH147" i="32"/>
  <c r="BG148" i="32"/>
  <c r="BH148" i="32"/>
  <c r="BG149" i="32"/>
  <c r="BH149" i="32"/>
  <c r="BG150" i="32"/>
  <c r="BH150" i="32"/>
  <c r="BG151" i="32"/>
  <c r="BH151" i="32"/>
  <c r="BG152" i="32"/>
  <c r="BH152" i="32"/>
  <c r="BG153" i="32"/>
  <c r="BH153" i="32"/>
  <c r="BG154" i="32"/>
  <c r="BH154" i="32"/>
  <c r="BG155" i="32"/>
  <c r="BH155" i="32"/>
  <c r="BG156" i="32"/>
  <c r="BH156" i="32"/>
  <c r="BG157" i="32"/>
  <c r="BH157" i="32"/>
  <c r="BG158" i="32"/>
  <c r="BH158" i="32"/>
  <c r="BG159" i="32"/>
  <c r="BH159" i="32"/>
  <c r="BG160" i="32"/>
  <c r="BH160" i="32"/>
  <c r="BG161" i="32"/>
  <c r="BH161" i="32"/>
  <c r="BG162" i="32"/>
  <c r="BH162" i="32"/>
  <c r="BG163" i="32"/>
  <c r="BH163" i="32"/>
  <c r="BG164" i="32"/>
  <c r="BH164" i="32"/>
  <c r="BG165" i="32"/>
  <c r="BH165" i="32"/>
  <c r="BG166" i="32"/>
  <c r="BH166" i="32"/>
  <c r="BG167" i="32"/>
  <c r="BH167" i="32"/>
  <c r="BG168" i="32"/>
  <c r="BH168" i="32"/>
  <c r="BG169" i="32"/>
  <c r="BH169" i="32"/>
  <c r="BG170" i="32"/>
  <c r="BH170" i="32"/>
  <c r="BG171" i="32"/>
  <c r="BH171" i="32"/>
  <c r="BG172" i="32"/>
  <c r="BH172" i="32"/>
  <c r="BG173" i="32"/>
  <c r="BH173" i="32"/>
  <c r="BG174" i="32"/>
  <c r="BH174" i="32"/>
  <c r="BG175" i="32"/>
  <c r="BH175" i="32"/>
  <c r="BG176" i="32"/>
  <c r="BH176" i="32"/>
  <c r="BG177" i="32"/>
  <c r="BH177" i="32"/>
  <c r="BG178" i="32"/>
  <c r="BH178" i="32"/>
  <c r="BG179" i="32"/>
  <c r="BH179" i="32"/>
  <c r="BG180" i="32"/>
  <c r="BH180" i="32"/>
  <c r="BG181" i="32"/>
  <c r="BH181" i="32"/>
  <c r="BG182" i="32"/>
  <c r="BH182" i="32"/>
  <c r="BG183" i="32"/>
  <c r="BH183" i="32"/>
  <c r="BG184" i="32"/>
  <c r="BH184" i="32"/>
  <c r="BG185" i="32"/>
  <c r="BH185" i="32"/>
  <c r="BG186" i="32"/>
  <c r="BH186" i="32"/>
  <c r="BG187" i="32"/>
  <c r="BH187" i="32"/>
  <c r="BG188" i="32"/>
  <c r="BH188" i="32"/>
  <c r="BG189" i="32"/>
  <c r="BH189" i="32"/>
  <c r="BG190" i="32"/>
  <c r="BH190" i="32"/>
  <c r="BG191" i="32"/>
  <c r="BH191" i="32"/>
  <c r="BG192" i="32"/>
  <c r="BH192" i="32"/>
  <c r="BG193" i="32"/>
  <c r="BH193" i="32"/>
  <c r="BG194" i="32"/>
  <c r="BH194" i="32"/>
  <c r="BG195" i="32"/>
  <c r="BH195" i="32"/>
  <c r="BG196" i="32"/>
  <c r="BH196" i="32"/>
  <c r="BG197" i="32"/>
  <c r="BH197" i="32"/>
  <c r="BG198" i="32"/>
  <c r="BH198" i="32"/>
  <c r="BG199" i="32"/>
  <c r="BH199" i="32"/>
  <c r="BG200" i="32"/>
  <c r="BH200" i="32"/>
  <c r="BG201" i="32"/>
  <c r="BH201" i="32"/>
  <c r="BG202" i="32"/>
  <c r="BH202" i="32"/>
  <c r="BG203" i="32"/>
  <c r="BH203" i="32"/>
  <c r="BG204" i="32"/>
  <c r="BH204" i="32"/>
  <c r="BG205" i="32"/>
  <c r="BH205" i="32"/>
  <c r="BG206" i="32"/>
  <c r="BH206" i="32"/>
  <c r="BG207" i="32"/>
  <c r="BH207" i="32"/>
  <c r="BG208" i="32"/>
  <c r="BH208" i="32"/>
  <c r="BG209" i="32"/>
  <c r="BH209" i="32"/>
  <c r="BG210" i="32"/>
  <c r="BH210" i="32"/>
  <c r="BG211" i="32"/>
  <c r="BH211" i="32"/>
  <c r="BG212" i="32"/>
  <c r="BH212" i="32"/>
  <c r="BG213" i="32"/>
  <c r="BH213" i="32"/>
  <c r="BG214" i="32"/>
  <c r="BH214" i="32"/>
  <c r="BG215" i="32"/>
  <c r="BH215" i="32"/>
  <c r="BG216" i="32"/>
  <c r="BH216" i="32"/>
  <c r="BG217" i="32"/>
  <c r="BH217" i="32"/>
  <c r="BG218" i="32"/>
  <c r="BH218" i="32"/>
  <c r="BG219" i="32"/>
  <c r="BH219" i="32"/>
  <c r="BG220" i="32"/>
  <c r="BH220" i="32"/>
  <c r="BG221" i="32"/>
  <c r="BH221" i="32"/>
  <c r="BG222" i="32"/>
  <c r="BH222" i="32"/>
  <c r="BG223" i="32"/>
  <c r="BH223" i="32"/>
  <c r="BG224" i="32"/>
  <c r="BH224" i="32"/>
  <c r="BG225" i="32"/>
  <c r="BH225" i="32"/>
  <c r="BG226" i="32"/>
  <c r="BH226" i="32"/>
  <c r="BG227" i="32"/>
  <c r="BH227" i="32"/>
  <c r="BG228" i="32"/>
  <c r="BH228" i="32"/>
  <c r="BG229" i="32"/>
  <c r="BH229" i="32"/>
  <c r="BG230" i="32"/>
  <c r="BH230" i="32"/>
  <c r="BG231" i="32"/>
  <c r="BH231" i="32"/>
  <c r="BG232" i="32"/>
  <c r="BH232" i="32"/>
  <c r="BG233" i="32"/>
  <c r="BH233" i="32"/>
  <c r="BG234" i="32"/>
  <c r="BH234" i="32"/>
  <c r="BG235" i="32"/>
  <c r="BH235" i="32"/>
  <c r="BG236" i="32"/>
  <c r="BH236" i="32"/>
  <c r="BG237" i="32"/>
  <c r="BH237" i="32"/>
  <c r="BG238" i="32"/>
  <c r="BH238" i="32"/>
  <c r="BG239" i="32"/>
  <c r="BH239" i="32"/>
  <c r="BG240" i="32"/>
  <c r="BH240" i="32"/>
  <c r="BG241" i="32"/>
  <c r="BH241" i="32"/>
  <c r="BG242" i="32"/>
  <c r="BH242" i="32"/>
  <c r="BG243" i="32"/>
  <c r="BH243" i="32"/>
  <c r="BG244" i="32"/>
  <c r="BH244" i="32"/>
  <c r="BG245" i="32"/>
  <c r="BH245" i="32"/>
  <c r="BG246" i="32"/>
  <c r="BH246" i="32"/>
  <c r="BG247" i="32"/>
  <c r="BH247" i="32"/>
  <c r="BG248" i="32"/>
  <c r="BH248" i="32"/>
  <c r="BG249" i="32"/>
  <c r="BH249" i="32"/>
  <c r="BG250" i="32"/>
  <c r="BH250" i="32"/>
  <c r="BG251" i="32"/>
  <c r="BH251" i="32"/>
  <c r="BG252" i="32"/>
  <c r="BH252" i="32"/>
  <c r="BG253" i="32"/>
  <c r="BH253" i="32"/>
  <c r="BG254" i="32"/>
  <c r="BH254" i="32"/>
  <c r="BG255" i="32"/>
  <c r="BH255" i="32"/>
  <c r="BG256" i="32"/>
  <c r="BH256" i="32"/>
  <c r="BG257" i="32"/>
  <c r="BH257" i="32"/>
  <c r="BG258" i="32"/>
  <c r="BH258" i="32"/>
  <c r="BG259" i="32"/>
  <c r="BH259" i="32"/>
  <c r="BG260" i="32"/>
  <c r="BH260" i="32"/>
  <c r="BG261" i="32"/>
  <c r="BH261" i="32"/>
  <c r="BG262" i="32"/>
  <c r="BH262" i="32"/>
  <c r="BG263" i="32"/>
  <c r="BH263" i="32"/>
  <c r="BG264" i="32"/>
  <c r="BH264" i="32"/>
  <c r="BG265" i="32"/>
  <c r="BH265" i="32"/>
  <c r="BG266" i="32"/>
  <c r="BH266" i="32"/>
  <c r="BG267" i="32"/>
  <c r="BH267" i="32"/>
  <c r="BG268" i="32"/>
  <c r="BH268" i="32"/>
  <c r="BG269" i="32"/>
  <c r="BH269" i="32"/>
  <c r="BG270" i="32"/>
  <c r="BH270" i="32"/>
  <c r="BG271" i="32"/>
  <c r="BH271" i="32"/>
  <c r="BG272" i="32"/>
  <c r="BH272" i="32"/>
  <c r="BG273" i="32"/>
  <c r="BH273" i="32"/>
  <c r="BG274" i="32"/>
  <c r="BH274" i="32"/>
  <c r="BG275" i="32"/>
  <c r="BH275" i="32"/>
  <c r="BG276" i="32"/>
  <c r="BH276" i="32"/>
  <c r="BG277" i="32"/>
  <c r="BH277" i="32"/>
  <c r="BG278" i="32"/>
  <c r="BH278" i="32"/>
  <c r="BG279" i="32"/>
  <c r="BH279" i="32"/>
  <c r="BG280" i="32"/>
  <c r="BH280" i="32"/>
  <c r="BG281" i="32"/>
  <c r="BH281" i="32"/>
  <c r="BG282" i="32"/>
  <c r="BH282" i="32"/>
  <c r="BG283" i="32"/>
  <c r="BH283" i="32"/>
  <c r="BG284" i="32"/>
  <c r="BH284" i="32"/>
  <c r="BG285" i="32"/>
  <c r="BH285" i="32"/>
  <c r="BG286" i="32"/>
  <c r="BH286" i="32"/>
  <c r="BG287" i="32"/>
  <c r="BH287" i="32"/>
  <c r="BG288" i="32"/>
  <c r="BH288" i="32"/>
  <c r="BG289" i="32"/>
  <c r="BH289" i="32"/>
  <c r="BG290" i="32"/>
  <c r="BH290" i="32"/>
  <c r="BG291" i="32"/>
  <c r="BH291" i="32"/>
  <c r="BG292" i="32"/>
  <c r="BH292" i="32"/>
  <c r="BG293" i="32"/>
  <c r="BH293" i="32"/>
  <c r="BG294" i="32"/>
  <c r="BH294" i="32"/>
  <c r="BG295" i="32"/>
  <c r="BH295" i="32"/>
  <c r="BG296" i="32"/>
  <c r="BH296" i="32"/>
  <c r="BG297" i="32"/>
  <c r="BH297" i="32"/>
  <c r="BG298" i="32"/>
  <c r="BH298" i="32"/>
  <c r="BG299" i="32"/>
  <c r="BH299" i="32"/>
  <c r="BG300" i="32"/>
  <c r="BH300" i="32"/>
  <c r="BG301" i="32"/>
  <c r="BH301" i="32"/>
  <c r="BG302" i="32"/>
  <c r="BH302" i="32"/>
  <c r="BG303" i="32"/>
  <c r="BH303" i="32"/>
  <c r="BG304" i="32"/>
  <c r="BH304" i="32"/>
  <c r="BG305" i="32"/>
  <c r="BH305" i="32"/>
  <c r="BG306" i="32"/>
  <c r="BH306" i="32"/>
  <c r="BG307" i="32"/>
  <c r="BH307" i="32"/>
  <c r="BG308" i="32"/>
  <c r="BH308" i="32"/>
  <c r="BG309" i="32"/>
  <c r="BH309" i="32"/>
  <c r="BG310" i="32"/>
  <c r="BH310" i="32"/>
  <c r="BG311" i="32"/>
  <c r="BH311" i="32"/>
  <c r="BG312" i="32"/>
  <c r="BH312" i="32"/>
  <c r="BG313" i="32"/>
  <c r="BH313" i="32"/>
  <c r="BG314" i="32"/>
  <c r="BH314" i="32"/>
  <c r="BG315" i="32"/>
  <c r="BH315" i="32"/>
  <c r="BG316" i="32"/>
  <c r="BH316" i="32"/>
  <c r="BG317" i="32"/>
  <c r="BH317" i="32"/>
  <c r="BG318" i="32"/>
  <c r="BH318" i="32"/>
  <c r="BG319" i="32"/>
  <c r="BH319" i="32"/>
  <c r="BG320" i="32"/>
  <c r="BH320" i="32"/>
  <c r="BG321" i="32"/>
  <c r="BH321" i="32"/>
  <c r="BG322" i="32"/>
  <c r="BH322" i="32"/>
  <c r="BG323" i="32"/>
  <c r="BH323" i="32"/>
  <c r="BG324" i="32"/>
  <c r="BH324" i="32"/>
  <c r="BG325" i="32"/>
  <c r="BH325" i="32"/>
  <c r="BG326" i="32"/>
  <c r="BH326" i="32"/>
  <c r="BG327" i="32"/>
  <c r="BH327" i="32"/>
  <c r="BG328" i="32"/>
  <c r="BH328" i="32"/>
  <c r="BG329" i="32"/>
  <c r="BH329" i="32"/>
  <c r="BG330" i="32"/>
  <c r="BH330" i="32"/>
  <c r="BG331" i="32"/>
  <c r="BH331" i="32"/>
  <c r="BG332" i="32"/>
  <c r="BH332" i="32"/>
  <c r="BG333" i="32"/>
  <c r="BH333" i="32"/>
  <c r="BG334" i="32"/>
  <c r="BH334" i="32"/>
  <c r="BG335" i="32"/>
  <c r="BH335" i="32"/>
  <c r="BG336" i="32"/>
  <c r="BH336" i="32"/>
  <c r="BG337" i="32"/>
  <c r="BH337" i="32"/>
  <c r="BG338" i="32"/>
  <c r="BH338" i="32"/>
  <c r="BG339" i="32"/>
  <c r="BH339" i="32"/>
  <c r="BG340" i="32"/>
  <c r="BH340" i="32"/>
  <c r="BG341" i="32"/>
  <c r="BH341" i="32"/>
  <c r="BG342" i="32"/>
  <c r="BH342" i="32"/>
  <c r="BG343" i="32"/>
  <c r="BH343" i="32"/>
  <c r="BG344" i="32"/>
  <c r="BH344" i="32"/>
  <c r="BG345" i="32"/>
  <c r="BH345" i="32"/>
  <c r="BG346" i="32"/>
  <c r="BH346" i="32"/>
  <c r="BG347" i="32"/>
  <c r="BH347" i="32"/>
  <c r="BG348" i="32"/>
  <c r="BH348" i="32"/>
  <c r="BG349" i="32"/>
  <c r="BH349" i="32"/>
  <c r="BG350" i="32"/>
  <c r="BH350" i="32"/>
  <c r="BG351" i="32"/>
  <c r="BH351" i="32"/>
  <c r="BG352" i="32"/>
  <c r="BH352" i="32"/>
  <c r="BG353" i="32"/>
  <c r="BH353" i="32"/>
  <c r="BG354" i="32"/>
  <c r="BH354" i="32"/>
  <c r="BG355" i="32"/>
  <c r="BH355" i="32"/>
  <c r="BG356" i="32"/>
  <c r="BH356" i="32"/>
  <c r="BG357" i="32"/>
  <c r="BH357" i="32"/>
  <c r="BG358" i="32"/>
  <c r="BH358" i="32"/>
  <c r="BG359" i="32"/>
  <c r="BH359" i="32"/>
  <c r="BG360" i="32"/>
  <c r="BH360" i="32"/>
  <c r="BG361" i="32"/>
  <c r="BH361" i="32"/>
  <c r="BG362" i="32"/>
  <c r="BH362" i="32"/>
  <c r="BG363" i="32"/>
  <c r="BH363" i="32"/>
  <c r="BG364" i="32"/>
  <c r="BH364" i="32"/>
  <c r="BG365" i="32"/>
  <c r="BH365" i="32"/>
  <c r="BG366" i="32"/>
  <c r="BH366" i="32"/>
  <c r="BG367" i="32"/>
  <c r="BH367" i="32"/>
  <c r="BG368" i="32"/>
  <c r="BH368" i="32"/>
  <c r="BG369" i="32"/>
  <c r="BH369" i="32"/>
  <c r="BG370" i="32"/>
  <c r="BH370" i="32"/>
  <c r="BG371" i="32"/>
  <c r="BH371" i="32"/>
  <c r="BG372" i="32"/>
  <c r="BH372" i="32"/>
  <c r="BG373" i="32"/>
  <c r="BH373" i="32"/>
  <c r="BG374" i="32"/>
  <c r="BH374" i="32"/>
  <c r="BG375" i="32"/>
  <c r="BH375" i="32"/>
  <c r="BG376" i="32"/>
  <c r="BH376" i="32"/>
  <c r="BG377" i="32"/>
  <c r="BH377" i="32"/>
  <c r="BG378" i="32"/>
  <c r="BH378" i="32"/>
  <c r="BG379" i="32"/>
  <c r="BH379" i="32"/>
  <c r="BG380" i="32"/>
  <c r="BH380" i="32"/>
  <c r="BG381" i="32"/>
  <c r="BH381" i="32"/>
  <c r="BG382" i="32"/>
  <c r="BH382" i="32"/>
  <c r="BG383" i="32"/>
  <c r="BH383" i="32"/>
  <c r="BG384" i="32"/>
  <c r="BH384" i="32"/>
  <c r="BG385" i="32"/>
  <c r="BH385" i="32"/>
  <c r="BG386" i="32"/>
  <c r="BH386" i="32"/>
  <c r="BG387" i="32"/>
  <c r="BH387" i="32"/>
  <c r="BG388" i="32"/>
  <c r="BH388" i="32"/>
  <c r="BG389" i="32"/>
  <c r="BH389" i="32"/>
  <c r="BG390" i="32"/>
  <c r="BH390" i="32"/>
  <c r="BG391" i="32"/>
  <c r="BH391" i="32"/>
  <c r="BG392" i="32"/>
  <c r="BH392" i="32"/>
  <c r="BG393" i="32"/>
  <c r="BH393" i="32"/>
  <c r="BG394" i="32"/>
  <c r="BH394" i="32"/>
  <c r="BG395" i="32"/>
  <c r="BH395" i="32"/>
  <c r="BG396" i="32"/>
  <c r="BG397" i="32"/>
  <c r="BH397" i="32"/>
  <c r="BG398" i="32"/>
  <c r="BH398" i="32"/>
  <c r="BG399" i="32"/>
  <c r="BH399" i="32"/>
  <c r="BG400" i="32"/>
  <c r="BH400" i="32"/>
  <c r="BG401" i="32"/>
  <c r="BH401" i="32"/>
  <c r="BG402" i="32"/>
  <c r="BH402" i="32"/>
  <c r="BG403" i="32"/>
  <c r="BH403" i="32"/>
  <c r="BG404" i="32"/>
  <c r="BH404" i="32"/>
  <c r="BG405" i="32"/>
  <c r="BH405" i="32"/>
  <c r="BG406" i="32"/>
  <c r="BH406" i="32"/>
  <c r="BG407" i="32"/>
  <c r="BH407" i="32"/>
  <c r="BG408" i="32"/>
  <c r="BH408" i="32"/>
  <c r="BG409" i="32"/>
  <c r="BH409" i="32"/>
  <c r="BG410" i="32"/>
  <c r="BH410" i="32"/>
  <c r="BG411" i="32"/>
  <c r="BH411" i="32"/>
  <c r="BG412" i="32"/>
  <c r="BH412" i="32"/>
  <c r="BG413" i="32"/>
  <c r="BH413" i="32"/>
  <c r="BG414" i="32"/>
  <c r="BH414" i="32"/>
  <c r="BG415" i="32"/>
  <c r="BH415" i="32"/>
  <c r="BG416" i="32"/>
  <c r="BH416" i="32"/>
  <c r="BG417" i="32"/>
  <c r="BH417" i="32"/>
  <c r="BG418" i="32"/>
  <c r="BH418" i="32"/>
  <c r="BG419" i="32"/>
  <c r="BH419" i="32"/>
  <c r="BG420" i="32"/>
  <c r="BH420" i="32"/>
  <c r="BG5" i="32"/>
  <c r="BH5" i="32"/>
  <c r="BG6" i="32"/>
  <c r="BH6" i="32"/>
  <c r="BG7" i="32"/>
  <c r="BH7" i="32"/>
  <c r="BG8" i="32"/>
  <c r="BH8" i="32"/>
  <c r="BG9" i="32"/>
  <c r="BH9" i="32"/>
  <c r="BG10" i="32"/>
  <c r="BH10" i="32"/>
  <c r="BG11" i="32"/>
  <c r="BH11" i="32"/>
  <c r="BG12" i="32"/>
  <c r="BH12" i="32"/>
  <c r="BG13" i="32"/>
  <c r="BH13" i="32"/>
  <c r="BG14" i="32"/>
  <c r="BH14" i="32"/>
  <c r="BG15" i="32"/>
  <c r="BH15" i="32"/>
  <c r="BG16" i="32"/>
  <c r="BH16" i="32"/>
  <c r="BG17" i="32"/>
  <c r="BH17" i="32"/>
  <c r="BG18" i="32"/>
  <c r="BH18" i="32"/>
  <c r="BG19" i="32"/>
  <c r="BH19" i="32"/>
  <c r="BG20" i="32"/>
  <c r="BH20" i="32"/>
  <c r="BG21" i="32"/>
  <c r="BH21" i="32"/>
  <c r="BG22" i="32"/>
  <c r="BH22" i="32"/>
  <c r="BG23" i="32"/>
  <c r="BH23" i="32"/>
  <c r="BG24" i="32"/>
  <c r="BH24" i="32"/>
  <c r="BG25" i="32"/>
  <c r="BH25" i="32"/>
  <c r="BG26" i="32"/>
  <c r="BH26" i="32"/>
  <c r="BG27" i="32"/>
  <c r="BH27" i="32"/>
  <c r="BG28" i="32"/>
  <c r="BH28" i="32"/>
  <c r="BG29" i="32"/>
  <c r="BH29" i="32"/>
  <c r="BG30" i="32"/>
  <c r="BH30" i="32"/>
  <c r="BG31" i="32"/>
  <c r="BH31" i="32"/>
  <c r="BG32" i="32"/>
  <c r="BH32" i="32"/>
  <c r="BG33" i="32"/>
  <c r="BH33" i="32"/>
  <c r="BH4" i="32"/>
  <c r="BC15" i="32"/>
  <c r="BC16" i="32"/>
  <c r="BC17" i="32"/>
  <c r="BC18" i="32"/>
  <c r="BC19" i="32"/>
  <c r="BC20" i="32"/>
  <c r="BC21" i="32"/>
  <c r="BC22" i="32"/>
  <c r="BC23" i="32"/>
  <c r="BC24" i="32"/>
  <c r="BC25" i="32"/>
  <c r="BC26" i="32"/>
  <c r="BC27" i="32"/>
  <c r="BC28" i="32"/>
  <c r="BC29" i="32"/>
  <c r="BC30" i="32"/>
  <c r="BC31" i="32"/>
  <c r="BC32" i="32"/>
  <c r="BC33" i="32"/>
  <c r="BC5" i="32"/>
  <c r="BC6" i="32"/>
  <c r="BC7" i="32"/>
  <c r="BC8" i="32"/>
  <c r="BC9" i="32"/>
  <c r="BC10" i="32"/>
  <c r="BC11" i="32"/>
  <c r="BC12" i="32"/>
  <c r="BC13" i="32"/>
  <c r="BC14" i="32"/>
  <c r="AX4" i="23"/>
  <c r="AE419" i="23"/>
  <c r="BK5" i="32"/>
  <c r="BK6" i="32"/>
  <c r="BK7" i="32"/>
  <c r="BK8" i="32"/>
  <c r="BK9" i="32"/>
  <c r="BK10" i="32"/>
  <c r="BK11" i="32"/>
  <c r="BK12" i="32"/>
  <c r="BK13" i="32"/>
  <c r="BK14" i="32"/>
  <c r="BK15" i="32"/>
  <c r="BK16" i="32"/>
  <c r="BK17" i="32"/>
  <c r="BK18" i="32"/>
  <c r="BK19" i="32"/>
  <c r="BK20" i="32"/>
  <c r="BK21" i="32"/>
  <c r="BK22" i="32"/>
  <c r="BK23" i="32"/>
  <c r="BK24" i="32"/>
  <c r="BK25" i="32"/>
  <c r="BK26" i="32"/>
  <c r="BK27" i="32"/>
  <c r="BK28" i="32"/>
  <c r="BK29" i="32"/>
  <c r="BK30" i="32"/>
  <c r="BK31" i="32"/>
  <c r="BK32" i="32"/>
  <c r="BK33" i="32"/>
  <c r="BK34" i="32"/>
  <c r="BK35" i="32"/>
  <c r="BK36" i="32"/>
  <c r="BK37" i="32"/>
  <c r="BK38" i="32"/>
  <c r="BK39" i="32"/>
  <c r="BK40" i="32"/>
  <c r="BK41" i="32"/>
  <c r="BK42" i="32"/>
  <c r="BK43" i="32"/>
  <c r="BK44" i="32"/>
  <c r="BK45" i="32"/>
  <c r="BK46" i="32"/>
  <c r="BK47" i="32"/>
  <c r="BK48" i="32"/>
  <c r="BK49" i="32"/>
  <c r="BK50" i="32"/>
  <c r="BK51" i="32"/>
  <c r="BK52" i="32"/>
  <c r="BK53" i="32"/>
  <c r="BK54" i="32"/>
  <c r="BK55" i="32"/>
  <c r="BK56" i="32"/>
  <c r="BK57" i="32"/>
  <c r="BK58" i="32"/>
  <c r="BK59" i="32"/>
  <c r="BK60" i="32"/>
  <c r="BK61" i="32"/>
  <c r="BK62" i="32"/>
  <c r="BK63" i="32"/>
  <c r="BK64" i="32"/>
  <c r="BK65" i="32"/>
  <c r="BK66" i="32"/>
  <c r="BK67" i="32"/>
  <c r="BK68" i="32"/>
  <c r="BK69" i="32"/>
  <c r="BK70" i="32"/>
  <c r="BK71" i="32"/>
  <c r="BK72" i="32"/>
  <c r="BK73" i="32"/>
  <c r="BK74" i="32"/>
  <c r="BK75" i="32"/>
  <c r="BK76" i="32"/>
  <c r="BK77" i="32"/>
  <c r="BK78" i="32"/>
  <c r="BK79" i="32"/>
  <c r="BK80" i="32"/>
  <c r="BK81" i="32"/>
  <c r="BK82" i="32"/>
  <c r="BK83" i="32"/>
  <c r="BK84" i="32"/>
  <c r="BK85" i="32"/>
  <c r="BK86" i="32"/>
  <c r="BK87" i="32"/>
  <c r="BK88" i="32"/>
  <c r="BK89" i="32"/>
  <c r="BK90" i="32"/>
  <c r="BK91" i="32"/>
  <c r="BK92" i="32"/>
  <c r="BK93" i="32"/>
  <c r="BK94" i="32"/>
  <c r="BK95" i="32"/>
  <c r="BK96" i="32"/>
  <c r="BK97" i="32"/>
  <c r="BK98" i="32"/>
  <c r="BK99" i="32"/>
  <c r="BK100" i="32"/>
  <c r="BK101" i="32"/>
  <c r="BK102" i="32"/>
  <c r="BK103" i="32"/>
  <c r="BK104" i="32"/>
  <c r="BK105" i="32"/>
  <c r="BK106" i="32"/>
  <c r="BK107" i="32"/>
  <c r="BK108" i="32"/>
  <c r="BK109" i="32"/>
  <c r="BK110" i="32"/>
  <c r="BK111" i="32"/>
  <c r="BK112" i="32"/>
  <c r="BK113" i="32"/>
  <c r="BK114" i="32"/>
  <c r="BK115" i="32"/>
  <c r="BK116" i="32"/>
  <c r="BK117" i="32"/>
  <c r="BK118" i="32"/>
  <c r="BK119" i="32"/>
  <c r="BK120" i="32"/>
  <c r="BK121" i="32"/>
  <c r="BK122" i="32"/>
  <c r="BK123" i="32"/>
  <c r="BK124" i="32"/>
  <c r="BK125" i="32"/>
  <c r="BK126" i="32"/>
  <c r="BK127" i="32"/>
  <c r="BK128" i="32"/>
  <c r="BK129" i="32"/>
  <c r="BK130" i="32"/>
  <c r="BK131" i="32"/>
  <c r="BK132" i="32"/>
  <c r="BK133" i="32"/>
  <c r="BK134" i="32"/>
  <c r="BK135" i="32"/>
  <c r="BK136" i="32"/>
  <c r="BK137" i="32"/>
  <c r="BK138" i="32"/>
  <c r="BK139" i="32"/>
  <c r="BK140" i="32"/>
  <c r="BK141" i="32"/>
  <c r="BK142" i="32"/>
  <c r="BK143" i="32"/>
  <c r="BK144" i="32"/>
  <c r="BK145" i="32"/>
  <c r="BK146" i="32"/>
  <c r="BK147" i="32"/>
  <c r="BK148" i="32"/>
  <c r="BK149" i="32"/>
  <c r="BK150" i="32"/>
  <c r="BK151" i="32"/>
  <c r="BK152" i="32"/>
  <c r="BK153" i="32"/>
  <c r="BK154" i="32"/>
  <c r="BK155" i="32"/>
  <c r="BK156" i="32"/>
  <c r="BK157" i="32"/>
  <c r="BK158" i="32"/>
  <c r="BK159" i="32"/>
  <c r="BK160" i="32"/>
  <c r="BK161" i="32"/>
  <c r="BK162" i="32"/>
  <c r="BK163" i="32"/>
  <c r="BK164" i="32"/>
  <c r="BK165" i="32"/>
  <c r="BK166" i="32"/>
  <c r="BK167" i="32"/>
  <c r="BK168" i="32"/>
  <c r="BK169" i="32"/>
  <c r="BK170" i="32"/>
  <c r="BK171" i="32"/>
  <c r="BK172" i="32"/>
  <c r="BK173" i="32"/>
  <c r="BK174" i="32"/>
  <c r="BK175" i="32"/>
  <c r="BK176" i="32"/>
  <c r="BK177" i="32"/>
  <c r="BK178" i="32"/>
  <c r="BK179" i="32"/>
  <c r="BK180" i="32"/>
  <c r="BK181" i="32"/>
  <c r="BK182" i="32"/>
  <c r="BK183" i="32"/>
  <c r="BK184" i="32"/>
  <c r="BK185" i="32"/>
  <c r="BK186" i="32"/>
  <c r="BK187" i="32"/>
  <c r="BK188" i="32"/>
  <c r="BK189" i="32"/>
  <c r="BK190" i="32"/>
  <c r="BK191" i="32"/>
  <c r="BK192" i="32"/>
  <c r="BK193" i="32"/>
  <c r="BK194" i="32"/>
  <c r="BK195" i="32"/>
  <c r="BK196" i="32"/>
  <c r="BK197" i="32"/>
  <c r="BK198" i="32"/>
  <c r="BK199" i="32"/>
  <c r="BK200" i="32"/>
  <c r="BK201" i="32"/>
  <c r="BK202" i="32"/>
  <c r="BK203" i="32"/>
  <c r="BK204" i="32"/>
  <c r="BK205" i="32"/>
  <c r="BK206" i="32"/>
  <c r="BK207" i="32"/>
  <c r="BK208" i="32"/>
  <c r="BK209" i="32"/>
  <c r="BK210" i="32"/>
  <c r="BK211" i="32"/>
  <c r="BK212" i="32"/>
  <c r="BK213" i="32"/>
  <c r="BK214" i="32"/>
  <c r="BK215" i="32"/>
  <c r="BK216" i="32"/>
  <c r="BK217" i="32"/>
  <c r="BK218" i="32"/>
  <c r="BK219" i="32"/>
  <c r="BK220" i="32"/>
  <c r="BK221" i="32"/>
  <c r="BK222" i="32"/>
  <c r="BK223" i="32"/>
  <c r="BK224" i="32"/>
  <c r="BK225" i="32"/>
  <c r="BK226" i="32"/>
  <c r="BK227" i="32"/>
  <c r="BK228" i="32"/>
  <c r="BK229" i="32"/>
  <c r="BK230" i="32"/>
  <c r="BK231" i="32"/>
  <c r="BK232" i="32"/>
  <c r="BK233" i="32"/>
  <c r="BK234" i="32"/>
  <c r="BK235" i="32"/>
  <c r="BK236" i="32"/>
  <c r="BK237" i="32"/>
  <c r="BK238" i="32"/>
  <c r="BK239" i="32"/>
  <c r="BK240" i="32"/>
  <c r="BK241" i="32"/>
  <c r="BK242" i="32"/>
  <c r="BK243" i="32"/>
  <c r="BK244" i="32"/>
  <c r="BK245" i="32"/>
  <c r="BK246" i="32"/>
  <c r="BK247" i="32"/>
  <c r="BK248" i="32"/>
  <c r="BK249" i="32"/>
  <c r="BK250" i="32"/>
  <c r="BK251" i="32"/>
  <c r="BK252" i="32"/>
  <c r="BK253" i="32"/>
  <c r="BK254" i="32"/>
  <c r="BK255" i="32"/>
  <c r="BK256" i="32"/>
  <c r="BK257" i="32"/>
  <c r="BK258" i="32"/>
  <c r="BK259" i="32"/>
  <c r="BK260" i="32"/>
  <c r="BK261" i="32"/>
  <c r="BK262" i="32"/>
  <c r="BK263" i="32"/>
  <c r="BK264" i="32"/>
  <c r="BK265" i="32"/>
  <c r="BK266" i="32"/>
  <c r="BK267" i="32"/>
  <c r="BK268" i="32"/>
  <c r="BK269" i="32"/>
  <c r="BK270" i="32"/>
  <c r="BK271" i="32"/>
  <c r="BK272" i="32"/>
  <c r="BK273" i="32"/>
  <c r="BK274" i="32"/>
  <c r="BK275" i="32"/>
  <c r="BK276" i="32"/>
  <c r="BK277" i="32"/>
  <c r="BK278" i="32"/>
  <c r="BK279" i="32"/>
  <c r="BK280" i="32"/>
  <c r="BK281" i="32"/>
  <c r="BK282" i="32"/>
  <c r="BK283" i="32"/>
  <c r="BK284" i="32"/>
  <c r="BK285" i="32"/>
  <c r="BK286" i="32"/>
  <c r="BK287" i="32"/>
  <c r="BK288" i="32"/>
  <c r="BK289" i="32"/>
  <c r="BK290" i="32"/>
  <c r="BK291" i="32"/>
  <c r="BK292" i="32"/>
  <c r="BK293" i="32"/>
  <c r="BK294" i="32"/>
  <c r="BK295" i="32"/>
  <c r="BK296" i="32"/>
  <c r="BK297" i="32"/>
  <c r="BK298" i="32"/>
  <c r="BK299" i="32"/>
  <c r="BK300" i="32"/>
  <c r="BK301" i="32"/>
  <c r="BK302" i="32"/>
  <c r="BK303" i="32"/>
  <c r="BK304" i="32"/>
  <c r="BK305" i="32"/>
  <c r="BK306" i="32"/>
  <c r="BK307" i="32"/>
  <c r="BK308" i="32"/>
  <c r="BK309" i="32"/>
  <c r="BK310" i="32"/>
  <c r="BK311" i="32"/>
  <c r="BK312" i="32"/>
  <c r="BK313" i="32"/>
  <c r="BK314" i="32"/>
  <c r="BK315" i="32"/>
  <c r="BK316" i="32"/>
  <c r="BK317" i="32"/>
  <c r="BK318" i="32"/>
  <c r="BK319" i="32"/>
  <c r="BK320" i="32"/>
  <c r="BK321" i="32"/>
  <c r="BK322" i="32"/>
  <c r="BK323" i="32"/>
  <c r="BK324" i="32"/>
  <c r="BK325" i="32"/>
  <c r="BK326" i="32"/>
  <c r="BK327" i="32"/>
  <c r="BK328" i="32"/>
  <c r="BK329" i="32"/>
  <c r="BK330" i="32"/>
  <c r="BK331" i="32"/>
  <c r="BK332" i="32"/>
  <c r="BK333" i="32"/>
  <c r="BK334" i="32"/>
  <c r="BK335" i="32"/>
  <c r="BK336" i="32"/>
  <c r="BK337" i="32"/>
  <c r="BK338" i="32"/>
  <c r="BK339" i="32"/>
  <c r="BK340" i="32"/>
  <c r="BK341" i="32"/>
  <c r="BK342" i="32"/>
  <c r="BK343" i="32"/>
  <c r="BK344" i="32"/>
  <c r="BK345" i="32"/>
  <c r="BK346" i="32"/>
  <c r="BK347" i="32"/>
  <c r="BK348" i="32"/>
  <c r="BK349" i="32"/>
  <c r="BK350" i="32"/>
  <c r="BK351" i="32"/>
  <c r="BK352" i="32"/>
  <c r="BK353" i="32"/>
  <c r="BK354" i="32"/>
  <c r="BK355" i="32"/>
  <c r="BK356" i="32"/>
  <c r="BK357" i="32"/>
  <c r="BK358" i="32"/>
  <c r="BK359" i="32"/>
  <c r="BK360" i="32"/>
  <c r="BK361" i="32"/>
  <c r="BK362" i="32"/>
  <c r="BK363" i="32"/>
  <c r="BK364" i="32"/>
  <c r="BK365" i="32"/>
  <c r="BK366" i="32"/>
  <c r="BK367" i="32"/>
  <c r="BK368" i="32"/>
  <c r="BK369" i="32"/>
  <c r="BK370" i="32"/>
  <c r="BK371" i="32"/>
  <c r="BK372" i="32"/>
  <c r="BK373" i="32"/>
  <c r="BK374" i="32"/>
  <c r="BK375" i="32"/>
  <c r="BK376" i="32"/>
  <c r="BK377" i="32"/>
  <c r="BK378" i="32"/>
  <c r="BK379" i="32"/>
  <c r="BK380" i="32"/>
  <c r="BK381" i="32"/>
  <c r="BK382" i="32"/>
  <c r="BK383" i="32"/>
  <c r="BK384" i="32"/>
  <c r="BK385" i="32"/>
  <c r="BK386" i="32"/>
  <c r="BK387" i="32"/>
  <c r="BK388" i="32"/>
  <c r="BK389" i="32"/>
  <c r="BK390" i="32"/>
  <c r="BK391" i="32"/>
  <c r="BK392" i="32"/>
  <c r="BK393" i="32"/>
  <c r="BK394" i="32"/>
  <c r="BK395" i="32"/>
  <c r="BK396" i="32"/>
  <c r="BK397" i="32"/>
  <c r="BK398" i="32"/>
  <c r="BK399" i="32"/>
  <c r="BK400" i="32"/>
  <c r="BK401" i="32"/>
  <c r="BK402" i="32"/>
  <c r="BK403" i="32"/>
  <c r="BK404" i="32"/>
  <c r="BK405" i="32"/>
  <c r="BK406" i="32"/>
  <c r="BK407" i="32"/>
  <c r="BK408" i="32"/>
  <c r="BK409" i="32"/>
  <c r="BK410" i="32"/>
  <c r="BK411" i="32"/>
  <c r="BK412" i="32"/>
  <c r="BK413" i="32"/>
  <c r="BK414" i="32"/>
  <c r="BK415" i="32"/>
  <c r="BK416" i="32"/>
  <c r="BK417" i="32"/>
  <c r="BK418" i="32"/>
  <c r="BK419" i="32"/>
  <c r="BK420" i="32"/>
  <c r="BL5" i="32"/>
  <c r="BL6" i="32"/>
  <c r="BL7" i="32"/>
  <c r="BL8" i="32"/>
  <c r="BL9" i="32"/>
  <c r="BL10" i="32"/>
  <c r="BL11" i="32"/>
  <c r="BL12" i="32"/>
  <c r="BL13" i="32"/>
  <c r="BL14" i="32"/>
  <c r="BL15" i="32"/>
  <c r="BL16" i="32"/>
  <c r="BL17" i="32"/>
  <c r="BL18" i="32"/>
  <c r="BL19" i="32"/>
  <c r="BL20" i="32"/>
  <c r="BL21" i="32"/>
  <c r="BL22" i="32"/>
  <c r="BL23" i="32"/>
  <c r="BL24" i="32"/>
  <c r="BL25" i="32"/>
  <c r="BL26" i="32"/>
  <c r="BL27" i="32"/>
  <c r="BL28" i="32"/>
  <c r="BL29" i="32"/>
  <c r="BL30" i="32"/>
  <c r="BL31" i="32"/>
  <c r="BL32" i="32"/>
  <c r="BL33" i="32"/>
  <c r="BL34" i="32"/>
  <c r="BL35" i="32"/>
  <c r="BL36" i="32"/>
  <c r="BL37" i="32"/>
  <c r="BL38" i="32"/>
  <c r="BL39" i="32"/>
  <c r="BL40" i="32"/>
  <c r="BL41" i="32"/>
  <c r="BL42" i="32"/>
  <c r="BL43" i="32"/>
  <c r="BL44" i="32"/>
  <c r="BL45" i="32"/>
  <c r="BL46" i="32"/>
  <c r="BL47" i="32"/>
  <c r="BL48" i="32"/>
  <c r="BL49" i="32"/>
  <c r="BL50" i="32"/>
  <c r="BL51" i="32"/>
  <c r="BL52" i="32"/>
  <c r="BL53" i="32"/>
  <c r="BL54" i="32"/>
  <c r="BL55" i="32"/>
  <c r="BL56" i="32"/>
  <c r="BL57" i="32"/>
  <c r="BL58" i="32"/>
  <c r="BL59" i="32"/>
  <c r="BL60" i="32"/>
  <c r="BL61" i="32"/>
  <c r="BL62" i="32"/>
  <c r="BL63" i="32"/>
  <c r="BL64" i="32"/>
  <c r="BL65" i="32"/>
  <c r="BL66" i="32"/>
  <c r="BL67" i="32"/>
  <c r="BL68" i="32"/>
  <c r="BL69" i="32"/>
  <c r="BL70" i="32"/>
  <c r="BL71" i="32"/>
  <c r="BL72" i="32"/>
  <c r="BL73" i="32"/>
  <c r="BL74" i="32"/>
  <c r="BL75" i="32"/>
  <c r="BL76" i="32"/>
  <c r="BL77" i="32"/>
  <c r="BL78" i="32"/>
  <c r="BL79" i="32"/>
  <c r="BL80" i="32"/>
  <c r="BL81" i="32"/>
  <c r="BL82" i="32"/>
  <c r="BL83" i="32"/>
  <c r="BL84" i="32"/>
  <c r="BL85" i="32"/>
  <c r="BL86" i="32"/>
  <c r="BL87" i="32"/>
  <c r="BL88" i="32"/>
  <c r="BL89" i="32"/>
  <c r="BL90" i="32"/>
  <c r="BL91" i="32"/>
  <c r="BL92" i="32"/>
  <c r="BL93" i="32"/>
  <c r="BL94" i="32"/>
  <c r="BL95" i="32"/>
  <c r="BL96" i="32"/>
  <c r="BL97" i="32"/>
  <c r="BL98" i="32"/>
  <c r="BL99" i="32"/>
  <c r="BL100" i="32"/>
  <c r="BL101" i="32"/>
  <c r="BL102" i="32"/>
  <c r="BL103" i="32"/>
  <c r="BL104" i="32"/>
  <c r="BL105" i="32"/>
  <c r="BL106" i="32"/>
  <c r="BL107" i="32"/>
  <c r="BL108" i="32"/>
  <c r="BL109" i="32"/>
  <c r="BL110" i="32"/>
  <c r="BL111" i="32"/>
  <c r="BL112" i="32"/>
  <c r="BL113" i="32"/>
  <c r="BL114" i="32"/>
  <c r="BL115" i="32"/>
  <c r="BL116" i="32"/>
  <c r="BL117" i="32"/>
  <c r="BL118" i="32"/>
  <c r="BL119" i="32"/>
  <c r="BL120" i="32"/>
  <c r="BL121" i="32"/>
  <c r="BL122" i="32"/>
  <c r="BL123" i="32"/>
  <c r="BL124" i="32"/>
  <c r="BL125" i="32"/>
  <c r="BL126" i="32"/>
  <c r="BL127" i="32"/>
  <c r="BL128" i="32"/>
  <c r="BL129" i="32"/>
  <c r="BL130" i="32"/>
  <c r="BL131" i="32"/>
  <c r="BL132" i="32"/>
  <c r="BL133" i="32"/>
  <c r="BL134" i="32"/>
  <c r="BL135" i="32"/>
  <c r="BL136" i="32"/>
  <c r="BL137" i="32"/>
  <c r="BL138" i="32"/>
  <c r="BL139" i="32"/>
  <c r="BL140" i="32"/>
  <c r="BL141" i="32"/>
  <c r="BL142" i="32"/>
  <c r="BL143" i="32"/>
  <c r="BL144" i="32"/>
  <c r="BL145" i="32"/>
  <c r="BL146" i="32"/>
  <c r="BL147" i="32"/>
  <c r="BL148" i="32"/>
  <c r="BL149" i="32"/>
  <c r="BL150" i="32"/>
  <c r="BL151" i="32"/>
  <c r="BL152" i="32"/>
  <c r="BL153" i="32"/>
  <c r="BL154" i="32"/>
  <c r="BL155" i="32"/>
  <c r="BL156" i="32"/>
  <c r="BL157" i="32"/>
  <c r="BL158" i="32"/>
  <c r="BL159" i="32"/>
  <c r="BL160" i="32"/>
  <c r="BL161" i="32"/>
  <c r="BL162" i="32"/>
  <c r="BL163" i="32"/>
  <c r="BL164" i="32"/>
  <c r="BL165" i="32"/>
  <c r="BL166" i="32"/>
  <c r="BL167" i="32"/>
  <c r="BL168" i="32"/>
  <c r="BL169" i="32"/>
  <c r="BL170" i="32"/>
  <c r="BL171" i="32"/>
  <c r="BL172" i="32"/>
  <c r="BL173" i="32"/>
  <c r="BL174" i="32"/>
  <c r="BL175" i="32"/>
  <c r="BL176" i="32"/>
  <c r="BL177" i="32"/>
  <c r="BL178" i="32"/>
  <c r="BL179" i="32"/>
  <c r="BL180" i="32"/>
  <c r="BL181" i="32"/>
  <c r="BL182" i="32"/>
  <c r="BL183" i="32"/>
  <c r="BL184" i="32"/>
  <c r="BL185" i="32"/>
  <c r="BL186" i="32"/>
  <c r="BL187" i="32"/>
  <c r="BL188" i="32"/>
  <c r="BL189" i="32"/>
  <c r="BL190" i="32"/>
  <c r="BL191" i="32"/>
  <c r="BL192" i="32"/>
  <c r="BL193" i="32"/>
  <c r="BL194" i="32"/>
  <c r="BL195" i="32"/>
  <c r="BL196" i="32"/>
  <c r="BL197" i="32"/>
  <c r="BL198" i="32"/>
  <c r="BL199" i="32"/>
  <c r="BL200" i="32"/>
  <c r="BL201" i="32"/>
  <c r="BL202" i="32"/>
  <c r="BL203" i="32"/>
  <c r="BL204" i="32"/>
  <c r="BL205" i="32"/>
  <c r="BL206" i="32"/>
  <c r="BL207" i="32"/>
  <c r="BL208" i="32"/>
  <c r="BL209" i="32"/>
  <c r="BL210" i="32"/>
  <c r="BL211" i="32"/>
  <c r="BL212" i="32"/>
  <c r="BL213" i="32"/>
  <c r="BL214" i="32"/>
  <c r="BL215" i="32"/>
  <c r="BL216" i="32"/>
  <c r="BL217" i="32"/>
  <c r="BL218" i="32"/>
  <c r="BL219" i="32"/>
  <c r="BL220" i="32"/>
  <c r="BL221" i="32"/>
  <c r="BL222" i="32"/>
  <c r="BL223" i="32"/>
  <c r="BL224" i="32"/>
  <c r="BL225" i="32"/>
  <c r="BL226" i="32"/>
  <c r="BL227" i="32"/>
  <c r="BL228" i="32"/>
  <c r="BL229" i="32"/>
  <c r="BL230" i="32"/>
  <c r="BL231" i="32"/>
  <c r="BL232" i="32"/>
  <c r="BL233" i="32"/>
  <c r="BL234" i="32"/>
  <c r="BL235" i="32"/>
  <c r="BL236" i="32"/>
  <c r="BL237" i="32"/>
  <c r="BL238" i="32"/>
  <c r="BL239" i="32"/>
  <c r="BL240" i="32"/>
  <c r="BL241" i="32"/>
  <c r="BL242" i="32"/>
  <c r="BL243" i="32"/>
  <c r="BL244" i="32"/>
  <c r="BL245" i="32"/>
  <c r="BL246" i="32"/>
  <c r="BL247" i="32"/>
  <c r="BL248" i="32"/>
  <c r="BL249" i="32"/>
  <c r="BL250" i="32"/>
  <c r="BL251" i="32"/>
  <c r="BL252" i="32"/>
  <c r="BL253" i="32"/>
  <c r="BL254" i="32"/>
  <c r="BL255" i="32"/>
  <c r="BL256" i="32"/>
  <c r="BL257" i="32"/>
  <c r="BL258" i="32"/>
  <c r="BL259" i="32"/>
  <c r="BL260" i="32"/>
  <c r="BL261" i="32"/>
  <c r="BL262" i="32"/>
  <c r="BL263" i="32"/>
  <c r="BL264" i="32"/>
  <c r="BL265" i="32"/>
  <c r="BL266" i="32"/>
  <c r="BL267" i="32"/>
  <c r="BL268" i="32"/>
  <c r="BL269" i="32"/>
  <c r="BL270" i="32"/>
  <c r="BL271" i="32"/>
  <c r="BL272" i="32"/>
  <c r="BL273" i="32"/>
  <c r="BL274" i="32"/>
  <c r="BL275" i="32"/>
  <c r="BL276" i="32"/>
  <c r="BL277" i="32"/>
  <c r="BL278" i="32"/>
  <c r="BL279" i="32"/>
  <c r="BL280" i="32"/>
  <c r="BL281" i="32"/>
  <c r="BL282" i="32"/>
  <c r="BL283" i="32"/>
  <c r="BL284" i="32"/>
  <c r="BL285" i="32"/>
  <c r="BL286" i="32"/>
  <c r="BL287" i="32"/>
  <c r="BL288" i="32"/>
  <c r="BL289" i="32"/>
  <c r="BL290" i="32"/>
  <c r="BL291" i="32"/>
  <c r="BL292" i="32"/>
  <c r="BL293" i="32"/>
  <c r="BL294" i="32"/>
  <c r="BL295" i="32"/>
  <c r="BL296" i="32"/>
  <c r="BL297" i="32"/>
  <c r="BL298" i="32"/>
  <c r="BL299" i="32"/>
  <c r="BL300" i="32"/>
  <c r="BL301" i="32"/>
  <c r="BL302" i="32"/>
  <c r="BL303" i="32"/>
  <c r="BL304" i="32"/>
  <c r="BL305" i="32"/>
  <c r="BL306" i="32"/>
  <c r="BL307" i="32"/>
  <c r="BL308" i="32"/>
  <c r="BL309" i="32"/>
  <c r="BL310" i="32"/>
  <c r="BL311" i="32"/>
  <c r="BL312" i="32"/>
  <c r="BL313" i="32"/>
  <c r="BL314" i="32"/>
  <c r="BL315" i="32"/>
  <c r="BL316" i="32"/>
  <c r="BL317" i="32"/>
  <c r="BL318" i="32"/>
  <c r="BL319" i="32"/>
  <c r="BL320" i="32"/>
  <c r="BL321" i="32"/>
  <c r="BL322" i="32"/>
  <c r="BL323" i="32"/>
  <c r="BL324" i="32"/>
  <c r="BL325" i="32"/>
  <c r="BL326" i="32"/>
  <c r="BL327" i="32"/>
  <c r="BL328" i="32"/>
  <c r="BL329" i="32"/>
  <c r="BL330" i="32"/>
  <c r="BL331" i="32"/>
  <c r="BL332" i="32"/>
  <c r="BL333" i="32"/>
  <c r="BL334" i="32"/>
  <c r="BL335" i="32"/>
  <c r="BL336" i="32"/>
  <c r="BL337" i="32"/>
  <c r="BL338" i="32"/>
  <c r="BL339" i="32"/>
  <c r="BL340" i="32"/>
  <c r="BL341" i="32"/>
  <c r="BL342" i="32"/>
  <c r="BL343" i="32"/>
  <c r="BL344" i="32"/>
  <c r="BL345" i="32"/>
  <c r="BL346" i="32"/>
  <c r="BL347" i="32"/>
  <c r="BL348" i="32"/>
  <c r="BL349" i="32"/>
  <c r="BL350" i="32"/>
  <c r="BL351" i="32"/>
  <c r="BL352" i="32"/>
  <c r="BL353" i="32"/>
  <c r="BL354" i="32"/>
  <c r="BL355" i="32"/>
  <c r="BL356" i="32"/>
  <c r="BL357" i="32"/>
  <c r="BL358" i="32"/>
  <c r="BL359" i="32"/>
  <c r="BL360" i="32"/>
  <c r="BL361" i="32"/>
  <c r="BL362" i="32"/>
  <c r="BL363" i="32"/>
  <c r="BL364" i="32"/>
  <c r="BL365" i="32"/>
  <c r="BL366" i="32"/>
  <c r="BL367" i="32"/>
  <c r="BL368" i="32"/>
  <c r="BL369" i="32"/>
  <c r="BL370" i="32"/>
  <c r="BL371" i="32"/>
  <c r="BL372" i="32"/>
  <c r="BL373" i="32"/>
  <c r="BL374" i="32"/>
  <c r="BL375" i="32"/>
  <c r="BL376" i="32"/>
  <c r="BL377" i="32"/>
  <c r="BL378" i="32"/>
  <c r="BL379" i="32"/>
  <c r="BL380" i="32"/>
  <c r="BL381" i="32"/>
  <c r="BL382" i="32"/>
  <c r="BL383" i="32"/>
  <c r="BL384" i="32"/>
  <c r="BL385" i="32"/>
  <c r="BL386" i="32"/>
  <c r="BL387" i="32"/>
  <c r="BL388" i="32"/>
  <c r="BL389" i="32"/>
  <c r="BL390" i="32"/>
  <c r="BL391" i="32"/>
  <c r="BL392" i="32"/>
  <c r="BL393" i="32"/>
  <c r="BL394" i="32"/>
  <c r="BL395" i="32"/>
  <c r="BL396" i="32"/>
  <c r="BL397" i="32"/>
  <c r="BL398" i="32"/>
  <c r="BL399" i="32"/>
  <c r="BL400" i="32"/>
  <c r="BL401" i="32"/>
  <c r="BL402" i="32"/>
  <c r="BL403" i="32"/>
  <c r="BL404" i="32"/>
  <c r="BL405" i="32"/>
  <c r="BL406" i="32"/>
  <c r="BL407" i="32"/>
  <c r="BL408" i="32"/>
  <c r="BL409" i="32"/>
  <c r="BL410" i="32"/>
  <c r="BL411" i="32"/>
  <c r="BL412" i="32"/>
  <c r="BL413" i="32"/>
  <c r="BL414" i="32"/>
  <c r="BL415" i="32"/>
  <c r="BL416" i="32"/>
  <c r="BL417" i="32"/>
  <c r="BL418" i="32"/>
  <c r="BL419" i="32"/>
  <c r="BL420" i="32"/>
  <c r="BK4" i="32"/>
  <c r="BL4" i="32"/>
  <c r="AD2" i="23"/>
  <c r="BJ5" i="32"/>
  <c r="BJ6" i="32"/>
  <c r="BJ7" i="32"/>
  <c r="BJ8" i="32"/>
  <c r="BJ9" i="32"/>
  <c r="BJ10" i="32"/>
  <c r="BJ11" i="32"/>
  <c r="BJ12" i="32"/>
  <c r="BJ13" i="32"/>
  <c r="BJ14" i="32"/>
  <c r="BJ15" i="32"/>
  <c r="BJ16" i="32"/>
  <c r="BJ17" i="32"/>
  <c r="BJ18" i="32"/>
  <c r="BJ19" i="32"/>
  <c r="BJ20" i="32"/>
  <c r="BJ21" i="32"/>
  <c r="BJ22" i="32"/>
  <c r="BJ23" i="32"/>
  <c r="BJ24" i="32"/>
  <c r="BJ25" i="32"/>
  <c r="BJ26" i="32"/>
  <c r="BJ27" i="32"/>
  <c r="BJ28" i="32"/>
  <c r="BJ29" i="32"/>
  <c r="BJ30" i="32"/>
  <c r="BJ31" i="32"/>
  <c r="BJ32" i="32"/>
  <c r="BJ33" i="32"/>
  <c r="BJ34" i="32"/>
  <c r="BJ35" i="32"/>
  <c r="BJ36" i="32"/>
  <c r="BJ37" i="32"/>
  <c r="BJ38" i="32"/>
  <c r="BJ39" i="32"/>
  <c r="BJ40" i="32"/>
  <c r="BJ41" i="32"/>
  <c r="BJ42" i="32"/>
  <c r="BJ43" i="32"/>
  <c r="BJ44" i="32"/>
  <c r="BJ45" i="32"/>
  <c r="BJ46" i="32"/>
  <c r="BJ47" i="32"/>
  <c r="BJ48" i="32"/>
  <c r="BJ49" i="32"/>
  <c r="BJ50" i="32"/>
  <c r="BJ51" i="32"/>
  <c r="BJ52" i="32"/>
  <c r="BJ53" i="32"/>
  <c r="BJ54" i="32"/>
  <c r="BJ55" i="32"/>
  <c r="BJ56" i="32"/>
  <c r="BJ57" i="32"/>
  <c r="BJ58" i="32"/>
  <c r="BJ59" i="32"/>
  <c r="BJ60" i="32"/>
  <c r="BJ61" i="32"/>
  <c r="BJ62" i="32"/>
  <c r="BJ63" i="32"/>
  <c r="BJ64" i="32"/>
  <c r="BJ65" i="32"/>
  <c r="BJ66" i="32"/>
  <c r="BJ67" i="32"/>
  <c r="BJ68" i="32"/>
  <c r="BJ69" i="32"/>
  <c r="BJ70" i="32"/>
  <c r="BJ71" i="32"/>
  <c r="BJ72" i="32"/>
  <c r="BJ73" i="32"/>
  <c r="BJ74" i="32"/>
  <c r="BJ75" i="32"/>
  <c r="BJ76" i="32"/>
  <c r="BJ77" i="32"/>
  <c r="BJ78" i="32"/>
  <c r="BJ79" i="32"/>
  <c r="BJ80" i="32"/>
  <c r="BJ81" i="32"/>
  <c r="BJ82" i="32"/>
  <c r="BJ83" i="32"/>
  <c r="BJ84" i="32"/>
  <c r="BJ85" i="32"/>
  <c r="BJ86" i="32"/>
  <c r="BJ87" i="32"/>
  <c r="BJ88" i="32"/>
  <c r="BJ89" i="32"/>
  <c r="BJ90" i="32"/>
  <c r="BJ91" i="32"/>
  <c r="BJ92" i="32"/>
  <c r="BJ93" i="32"/>
  <c r="BJ94" i="32"/>
  <c r="BJ95" i="32"/>
  <c r="BJ96" i="32"/>
  <c r="BJ97" i="32"/>
  <c r="BJ98" i="32"/>
  <c r="BJ99" i="32"/>
  <c r="BJ100" i="32"/>
  <c r="BJ101" i="32"/>
  <c r="BJ102" i="32"/>
  <c r="BJ103" i="32"/>
  <c r="BJ104" i="32"/>
  <c r="BJ105" i="32"/>
  <c r="BJ106" i="32"/>
  <c r="BJ107" i="32"/>
  <c r="BJ108" i="32"/>
  <c r="BJ109" i="32"/>
  <c r="BJ110" i="32"/>
  <c r="BJ111" i="32"/>
  <c r="BJ112" i="32"/>
  <c r="BJ113" i="32"/>
  <c r="BJ114" i="32"/>
  <c r="BJ115" i="32"/>
  <c r="BJ116" i="32"/>
  <c r="BJ117" i="32"/>
  <c r="BJ118" i="32"/>
  <c r="BJ119" i="32"/>
  <c r="BJ120" i="32"/>
  <c r="BJ121" i="32"/>
  <c r="BJ122" i="32"/>
  <c r="BJ123" i="32"/>
  <c r="BJ124" i="32"/>
  <c r="BJ125" i="32"/>
  <c r="BJ126" i="32"/>
  <c r="BJ127" i="32"/>
  <c r="BJ128" i="32"/>
  <c r="BJ129" i="32"/>
  <c r="BJ130" i="32"/>
  <c r="BJ131" i="32"/>
  <c r="BJ132" i="32"/>
  <c r="BJ133" i="32"/>
  <c r="BJ134" i="32"/>
  <c r="BJ135" i="32"/>
  <c r="BJ136" i="32"/>
  <c r="BJ137" i="32"/>
  <c r="BJ138" i="32"/>
  <c r="BJ139" i="32"/>
  <c r="BJ140" i="32"/>
  <c r="BJ141" i="32"/>
  <c r="BJ142" i="32"/>
  <c r="BJ143" i="32"/>
  <c r="BJ144" i="32"/>
  <c r="BJ145" i="32"/>
  <c r="BJ146" i="32"/>
  <c r="BJ147" i="32"/>
  <c r="BJ148" i="32"/>
  <c r="BJ149" i="32"/>
  <c r="BJ150" i="32"/>
  <c r="BJ151" i="32"/>
  <c r="BJ152" i="32"/>
  <c r="BJ153" i="32"/>
  <c r="BJ154" i="32"/>
  <c r="BJ155" i="32"/>
  <c r="BJ156" i="32"/>
  <c r="BJ157" i="32"/>
  <c r="BJ158" i="32"/>
  <c r="BJ159" i="32"/>
  <c r="BJ160" i="32"/>
  <c r="BJ161" i="32"/>
  <c r="BJ162" i="32"/>
  <c r="BJ163" i="32"/>
  <c r="BJ164" i="32"/>
  <c r="BJ165" i="32"/>
  <c r="BJ166" i="32"/>
  <c r="BJ167" i="32"/>
  <c r="BJ168" i="32"/>
  <c r="BJ169" i="32"/>
  <c r="BJ170" i="32"/>
  <c r="BJ171" i="32"/>
  <c r="BJ172" i="32"/>
  <c r="BJ173" i="32"/>
  <c r="BJ174" i="32"/>
  <c r="BJ175" i="32"/>
  <c r="BJ176" i="32"/>
  <c r="BJ177" i="32"/>
  <c r="BJ178" i="32"/>
  <c r="BJ179" i="32"/>
  <c r="BJ180" i="32"/>
  <c r="BJ181" i="32"/>
  <c r="BJ182" i="32"/>
  <c r="BJ183" i="32"/>
  <c r="BJ184" i="32"/>
  <c r="BJ185" i="32"/>
  <c r="BJ186" i="32"/>
  <c r="BJ187" i="32"/>
  <c r="BJ188" i="32"/>
  <c r="BJ189" i="32"/>
  <c r="BJ190" i="32"/>
  <c r="BJ191" i="32"/>
  <c r="BJ192" i="32"/>
  <c r="BJ193" i="32"/>
  <c r="BJ194" i="32"/>
  <c r="BJ195" i="32"/>
  <c r="BJ196" i="32"/>
  <c r="BJ197" i="32"/>
  <c r="BJ198" i="32"/>
  <c r="BJ199" i="32"/>
  <c r="BJ200" i="32"/>
  <c r="BJ201" i="32"/>
  <c r="BJ202" i="32"/>
  <c r="BJ203" i="32"/>
  <c r="BJ204" i="32"/>
  <c r="BJ205" i="32"/>
  <c r="BJ206" i="32"/>
  <c r="BJ207" i="32"/>
  <c r="BJ208" i="32"/>
  <c r="BJ209" i="32"/>
  <c r="BJ210" i="32"/>
  <c r="BJ211" i="32"/>
  <c r="BJ212" i="32"/>
  <c r="BJ213" i="32"/>
  <c r="BJ214" i="32"/>
  <c r="BJ215" i="32"/>
  <c r="BJ216" i="32"/>
  <c r="BJ217" i="32"/>
  <c r="BJ218" i="32"/>
  <c r="BJ219" i="32"/>
  <c r="BJ220" i="32"/>
  <c r="BJ221" i="32"/>
  <c r="BJ222" i="32"/>
  <c r="BJ223" i="32"/>
  <c r="BJ224" i="32"/>
  <c r="BJ225" i="32"/>
  <c r="BJ226" i="32"/>
  <c r="BJ227" i="32"/>
  <c r="BJ228" i="32"/>
  <c r="BJ229" i="32"/>
  <c r="BJ230" i="32"/>
  <c r="BJ231" i="32"/>
  <c r="BJ232" i="32"/>
  <c r="BJ233" i="32"/>
  <c r="BJ234" i="32"/>
  <c r="BJ235" i="32"/>
  <c r="BJ236" i="32"/>
  <c r="BJ237" i="32"/>
  <c r="BJ238" i="32"/>
  <c r="BJ239" i="32"/>
  <c r="BJ240" i="32"/>
  <c r="BJ241" i="32"/>
  <c r="BJ242" i="32"/>
  <c r="BJ243" i="32"/>
  <c r="BJ244" i="32"/>
  <c r="BJ245" i="32"/>
  <c r="BJ246" i="32"/>
  <c r="BJ247" i="32"/>
  <c r="BJ248" i="32"/>
  <c r="BJ249" i="32"/>
  <c r="BJ250" i="32"/>
  <c r="BJ251" i="32"/>
  <c r="BJ252" i="32"/>
  <c r="BJ253" i="32"/>
  <c r="BJ254" i="32"/>
  <c r="BJ255" i="32"/>
  <c r="BJ256" i="32"/>
  <c r="BJ257" i="32"/>
  <c r="BJ258" i="32"/>
  <c r="BJ259" i="32"/>
  <c r="BJ260" i="32"/>
  <c r="BJ261" i="32"/>
  <c r="BJ262" i="32"/>
  <c r="BJ263" i="32"/>
  <c r="BJ264" i="32"/>
  <c r="BJ265" i="32"/>
  <c r="BJ266" i="32"/>
  <c r="BJ267" i="32"/>
  <c r="BJ268" i="32"/>
  <c r="BJ269" i="32"/>
  <c r="BJ270" i="32"/>
  <c r="BJ271" i="32"/>
  <c r="BJ272" i="32"/>
  <c r="BJ273" i="32"/>
  <c r="BJ274" i="32"/>
  <c r="BJ275" i="32"/>
  <c r="BJ276" i="32"/>
  <c r="BJ277" i="32"/>
  <c r="BJ278" i="32"/>
  <c r="BJ279" i="32"/>
  <c r="BJ280" i="32"/>
  <c r="BJ281" i="32"/>
  <c r="BJ282" i="32"/>
  <c r="BJ283" i="32"/>
  <c r="BJ284" i="32"/>
  <c r="BJ285" i="32"/>
  <c r="BJ286" i="32"/>
  <c r="BJ287" i="32"/>
  <c r="BJ288" i="32"/>
  <c r="BJ289" i="32"/>
  <c r="BJ290" i="32"/>
  <c r="BJ291" i="32"/>
  <c r="BJ292" i="32"/>
  <c r="BJ293" i="32"/>
  <c r="BJ294" i="32"/>
  <c r="BJ295" i="32"/>
  <c r="BJ296" i="32"/>
  <c r="BJ297" i="32"/>
  <c r="BJ298" i="32"/>
  <c r="BJ299" i="32"/>
  <c r="BJ300" i="32"/>
  <c r="BJ301" i="32"/>
  <c r="BJ302" i="32"/>
  <c r="BJ303" i="32"/>
  <c r="BJ304" i="32"/>
  <c r="BJ305" i="32"/>
  <c r="BJ306" i="32"/>
  <c r="BJ307" i="32"/>
  <c r="BJ308" i="32"/>
  <c r="BJ309" i="32"/>
  <c r="BJ310" i="32"/>
  <c r="BJ311" i="32"/>
  <c r="BJ312" i="32"/>
  <c r="BJ313" i="32"/>
  <c r="BJ314" i="32"/>
  <c r="BJ315" i="32"/>
  <c r="BJ316" i="32"/>
  <c r="BJ317" i="32"/>
  <c r="BJ318" i="32"/>
  <c r="BJ319" i="32"/>
  <c r="BJ320" i="32"/>
  <c r="BJ321" i="32"/>
  <c r="BJ322" i="32"/>
  <c r="BJ323" i="32"/>
  <c r="BJ324" i="32"/>
  <c r="BJ325" i="32"/>
  <c r="BJ326" i="32"/>
  <c r="BJ327" i="32"/>
  <c r="BJ328" i="32"/>
  <c r="BJ329" i="32"/>
  <c r="BJ330" i="32"/>
  <c r="BJ331" i="32"/>
  <c r="BJ332" i="32"/>
  <c r="BJ333" i="32"/>
  <c r="BJ334" i="32"/>
  <c r="BJ335" i="32"/>
  <c r="BJ336" i="32"/>
  <c r="BJ337" i="32"/>
  <c r="BJ338" i="32"/>
  <c r="BJ339" i="32"/>
  <c r="BJ340" i="32"/>
  <c r="BJ341" i="32"/>
  <c r="BJ342" i="32"/>
  <c r="BJ343" i="32"/>
  <c r="BJ344" i="32"/>
  <c r="BJ345" i="32"/>
  <c r="BJ346" i="32"/>
  <c r="BJ347" i="32"/>
  <c r="BJ348" i="32"/>
  <c r="BJ349" i="32"/>
  <c r="BJ350" i="32"/>
  <c r="BJ351" i="32"/>
  <c r="BJ352" i="32"/>
  <c r="BJ353" i="32"/>
  <c r="BJ354" i="32"/>
  <c r="BJ355" i="32"/>
  <c r="BJ356" i="32"/>
  <c r="BJ357" i="32"/>
  <c r="BJ358" i="32"/>
  <c r="BJ359" i="32"/>
  <c r="BJ360" i="32"/>
  <c r="BJ361" i="32"/>
  <c r="BJ362" i="32"/>
  <c r="BJ363" i="32"/>
  <c r="BJ364" i="32"/>
  <c r="BJ365" i="32"/>
  <c r="BJ366" i="32"/>
  <c r="BJ367" i="32"/>
  <c r="BJ368" i="32"/>
  <c r="BJ369" i="32"/>
  <c r="BJ370" i="32"/>
  <c r="BJ371" i="32"/>
  <c r="BJ372" i="32"/>
  <c r="BJ373" i="32"/>
  <c r="BJ374" i="32"/>
  <c r="BJ375" i="32"/>
  <c r="BJ376" i="32"/>
  <c r="BJ377" i="32"/>
  <c r="BJ378" i="32"/>
  <c r="BJ379" i="32"/>
  <c r="BJ380" i="32"/>
  <c r="BJ381" i="32"/>
  <c r="BJ382" i="32"/>
  <c r="BJ383" i="32"/>
  <c r="BJ384" i="32"/>
  <c r="BJ385" i="32"/>
  <c r="BJ386" i="32"/>
  <c r="BJ387" i="32"/>
  <c r="BJ388" i="32"/>
  <c r="BJ389" i="32"/>
  <c r="BJ390" i="32"/>
  <c r="BJ391" i="32"/>
  <c r="BJ392" i="32"/>
  <c r="BJ393" i="32"/>
  <c r="BJ394" i="32"/>
  <c r="BJ395" i="32"/>
  <c r="BJ396" i="32"/>
  <c r="BJ397" i="32"/>
  <c r="BJ398" i="32"/>
  <c r="BJ399" i="32"/>
  <c r="BJ400" i="32"/>
  <c r="BJ401" i="32"/>
  <c r="BJ402" i="32"/>
  <c r="BJ403" i="32"/>
  <c r="BJ404" i="32"/>
  <c r="BJ405" i="32"/>
  <c r="BJ406" i="32"/>
  <c r="BJ407" i="32"/>
  <c r="BJ408" i="32"/>
  <c r="BJ409" i="32"/>
  <c r="BJ410" i="32"/>
  <c r="BJ411" i="32"/>
  <c r="BJ412" i="32"/>
  <c r="BJ413" i="32"/>
  <c r="BJ414" i="32"/>
  <c r="BJ415" i="32"/>
  <c r="BJ416" i="32"/>
  <c r="BJ417" i="32"/>
  <c r="BJ418" i="32"/>
  <c r="BJ419" i="32"/>
  <c r="BJ420" i="32"/>
  <c r="BJ4" i="32"/>
  <c r="BI5" i="32"/>
  <c r="BI6" i="32"/>
  <c r="BI7" i="32"/>
  <c r="BI8" i="32"/>
  <c r="BI9" i="32"/>
  <c r="BI10" i="32"/>
  <c r="BI11" i="32"/>
  <c r="BI12" i="32"/>
  <c r="BI13" i="32"/>
  <c r="BI14" i="32"/>
  <c r="BI15" i="32"/>
  <c r="BI16" i="32"/>
  <c r="BI17" i="32"/>
  <c r="BI18" i="32"/>
  <c r="BI19" i="32"/>
  <c r="BI20" i="32"/>
  <c r="BI21" i="32"/>
  <c r="BI22" i="32"/>
  <c r="BI23" i="32"/>
  <c r="BI24" i="32"/>
  <c r="BI25" i="32"/>
  <c r="BI26" i="32"/>
  <c r="BI27" i="32"/>
  <c r="BI28" i="32"/>
  <c r="BI29" i="32"/>
  <c r="BI30" i="32"/>
  <c r="BI31" i="32"/>
  <c r="BI32" i="32"/>
  <c r="BI33" i="32"/>
  <c r="BI34" i="32"/>
  <c r="BI35" i="32"/>
  <c r="BI36" i="32"/>
  <c r="BI37" i="32"/>
  <c r="BI38" i="32"/>
  <c r="BI39" i="32"/>
  <c r="BI40" i="32"/>
  <c r="BI41" i="32"/>
  <c r="BI42" i="32"/>
  <c r="BI43" i="32"/>
  <c r="BI44" i="32"/>
  <c r="BI45" i="32"/>
  <c r="BI46" i="32"/>
  <c r="BI47" i="32"/>
  <c r="BI48" i="32"/>
  <c r="BI49" i="32"/>
  <c r="BI50" i="32"/>
  <c r="BI51" i="32"/>
  <c r="BI52" i="32"/>
  <c r="BI53" i="32"/>
  <c r="BI54" i="32"/>
  <c r="BI55" i="32"/>
  <c r="BI56" i="32"/>
  <c r="BI57" i="32"/>
  <c r="BI58" i="32"/>
  <c r="BI59" i="32"/>
  <c r="BI60" i="32"/>
  <c r="BI61" i="32"/>
  <c r="BI62" i="32"/>
  <c r="BI63" i="32"/>
  <c r="BI64" i="32"/>
  <c r="BI65" i="32"/>
  <c r="BI66" i="32"/>
  <c r="BI67" i="32"/>
  <c r="BI68" i="32"/>
  <c r="BI69" i="32"/>
  <c r="BI70" i="32"/>
  <c r="BI71" i="32"/>
  <c r="BI72" i="32"/>
  <c r="BI73" i="32"/>
  <c r="BI74" i="32"/>
  <c r="BI75" i="32"/>
  <c r="BI76" i="32"/>
  <c r="BI77" i="32"/>
  <c r="BI78" i="32"/>
  <c r="BI79" i="32"/>
  <c r="BI80" i="32"/>
  <c r="BI81" i="32"/>
  <c r="BI82" i="32"/>
  <c r="BI83" i="32"/>
  <c r="BI84" i="32"/>
  <c r="BI85" i="32"/>
  <c r="BI86" i="32"/>
  <c r="BI87" i="32"/>
  <c r="BI88" i="32"/>
  <c r="BI89" i="32"/>
  <c r="BI90" i="32"/>
  <c r="BI91" i="32"/>
  <c r="BI92" i="32"/>
  <c r="BI93" i="32"/>
  <c r="BI94" i="32"/>
  <c r="BI95" i="32"/>
  <c r="BI96" i="32"/>
  <c r="BI97" i="32"/>
  <c r="BI98" i="32"/>
  <c r="BI99" i="32"/>
  <c r="BI100" i="32"/>
  <c r="BI101" i="32"/>
  <c r="BI102" i="32"/>
  <c r="BI103" i="32"/>
  <c r="BI104" i="32"/>
  <c r="BI105" i="32"/>
  <c r="BI106" i="32"/>
  <c r="BI107" i="32"/>
  <c r="BI108" i="32"/>
  <c r="BI109" i="32"/>
  <c r="BI110" i="32"/>
  <c r="BI111" i="32"/>
  <c r="BI112" i="32"/>
  <c r="BI113" i="32"/>
  <c r="BI114" i="32"/>
  <c r="BI115" i="32"/>
  <c r="BI116" i="32"/>
  <c r="BI117" i="32"/>
  <c r="BI118" i="32"/>
  <c r="BI119" i="32"/>
  <c r="BI120" i="32"/>
  <c r="BI121" i="32"/>
  <c r="BI122" i="32"/>
  <c r="BI123" i="32"/>
  <c r="BI124" i="32"/>
  <c r="BI125" i="32"/>
  <c r="BI126" i="32"/>
  <c r="BI127" i="32"/>
  <c r="BI128" i="32"/>
  <c r="BI129" i="32"/>
  <c r="BI130" i="32"/>
  <c r="BI131" i="32"/>
  <c r="BI132" i="32"/>
  <c r="BI133" i="32"/>
  <c r="BI134" i="32"/>
  <c r="BI135" i="32"/>
  <c r="BI136" i="32"/>
  <c r="BI137" i="32"/>
  <c r="BI138" i="32"/>
  <c r="BI139" i="32"/>
  <c r="BI140" i="32"/>
  <c r="BI141" i="32"/>
  <c r="BI142" i="32"/>
  <c r="BI143" i="32"/>
  <c r="BI144" i="32"/>
  <c r="BI145" i="32"/>
  <c r="BI146" i="32"/>
  <c r="BI147" i="32"/>
  <c r="BI148" i="32"/>
  <c r="BI149" i="32"/>
  <c r="BI150" i="32"/>
  <c r="BI151" i="32"/>
  <c r="BI152" i="32"/>
  <c r="BI153" i="32"/>
  <c r="BI154" i="32"/>
  <c r="BI155" i="32"/>
  <c r="BI156" i="32"/>
  <c r="BI157" i="32"/>
  <c r="BI158" i="32"/>
  <c r="BI159" i="32"/>
  <c r="BI160" i="32"/>
  <c r="BI161" i="32"/>
  <c r="BI162" i="32"/>
  <c r="BI163" i="32"/>
  <c r="BI164" i="32"/>
  <c r="BI165" i="32"/>
  <c r="BI166" i="32"/>
  <c r="BI167" i="32"/>
  <c r="BI168" i="32"/>
  <c r="BI169" i="32"/>
  <c r="BI170" i="32"/>
  <c r="BI171" i="32"/>
  <c r="BI172" i="32"/>
  <c r="BI173" i="32"/>
  <c r="BI174" i="32"/>
  <c r="BI175" i="32"/>
  <c r="BI176" i="32"/>
  <c r="BI177" i="32"/>
  <c r="BI178" i="32"/>
  <c r="BI179" i="32"/>
  <c r="BI180" i="32"/>
  <c r="BI181" i="32"/>
  <c r="BI182" i="32"/>
  <c r="BI183" i="32"/>
  <c r="BI184" i="32"/>
  <c r="BI185" i="32"/>
  <c r="BI186" i="32"/>
  <c r="BI187" i="32"/>
  <c r="BI188" i="32"/>
  <c r="BI189" i="32"/>
  <c r="BI190" i="32"/>
  <c r="BI191" i="32"/>
  <c r="BI192" i="32"/>
  <c r="BI193" i="32"/>
  <c r="BI194" i="32"/>
  <c r="BI195" i="32"/>
  <c r="BI196" i="32"/>
  <c r="BI197" i="32"/>
  <c r="BI198" i="32"/>
  <c r="BI199" i="32"/>
  <c r="BI200" i="32"/>
  <c r="BI201" i="32"/>
  <c r="BI202" i="32"/>
  <c r="BI203" i="32"/>
  <c r="BI204" i="32"/>
  <c r="BI205" i="32"/>
  <c r="BI206" i="32"/>
  <c r="BI207" i="32"/>
  <c r="BI208" i="32"/>
  <c r="BI209" i="32"/>
  <c r="BI210" i="32"/>
  <c r="BI211" i="32"/>
  <c r="BI212" i="32"/>
  <c r="BI213" i="32"/>
  <c r="BI214" i="32"/>
  <c r="BI215" i="32"/>
  <c r="BI216" i="32"/>
  <c r="BI217" i="32"/>
  <c r="BI218" i="32"/>
  <c r="BI219" i="32"/>
  <c r="BI220" i="32"/>
  <c r="BI221" i="32"/>
  <c r="BI222" i="32"/>
  <c r="BI223" i="32"/>
  <c r="BI224" i="32"/>
  <c r="BI225" i="32"/>
  <c r="BI226" i="32"/>
  <c r="BI227" i="32"/>
  <c r="BI228" i="32"/>
  <c r="BI229" i="32"/>
  <c r="BI230" i="32"/>
  <c r="BI231" i="32"/>
  <c r="BI232" i="32"/>
  <c r="BI233" i="32"/>
  <c r="BI234" i="32"/>
  <c r="BI235" i="32"/>
  <c r="BI236" i="32"/>
  <c r="BI237" i="32"/>
  <c r="BI238" i="32"/>
  <c r="BI239" i="32"/>
  <c r="BI240" i="32"/>
  <c r="BI241" i="32"/>
  <c r="BI242" i="32"/>
  <c r="BI243" i="32"/>
  <c r="BI244" i="32"/>
  <c r="BI245" i="32"/>
  <c r="BI246" i="32"/>
  <c r="BI247" i="32"/>
  <c r="BI248" i="32"/>
  <c r="BI249" i="32"/>
  <c r="BI250" i="32"/>
  <c r="BI251" i="32"/>
  <c r="BI252" i="32"/>
  <c r="BI253" i="32"/>
  <c r="BI254" i="32"/>
  <c r="BI255" i="32"/>
  <c r="BI256" i="32"/>
  <c r="BI257" i="32"/>
  <c r="BI258" i="32"/>
  <c r="BI259" i="32"/>
  <c r="BI260" i="32"/>
  <c r="BI261" i="32"/>
  <c r="BI262" i="32"/>
  <c r="BI263" i="32"/>
  <c r="BI264" i="32"/>
  <c r="BI265" i="32"/>
  <c r="BI266" i="32"/>
  <c r="BI267" i="32"/>
  <c r="BI268" i="32"/>
  <c r="BI269" i="32"/>
  <c r="BI270" i="32"/>
  <c r="BI271" i="32"/>
  <c r="BI272" i="32"/>
  <c r="BI273" i="32"/>
  <c r="BI274" i="32"/>
  <c r="BI275" i="32"/>
  <c r="BI276" i="32"/>
  <c r="BI277" i="32"/>
  <c r="BI278" i="32"/>
  <c r="BI279" i="32"/>
  <c r="BI280" i="32"/>
  <c r="BI281" i="32"/>
  <c r="BI282" i="32"/>
  <c r="BI283" i="32"/>
  <c r="BI284" i="32"/>
  <c r="BI285" i="32"/>
  <c r="BI286" i="32"/>
  <c r="BI287" i="32"/>
  <c r="BI288" i="32"/>
  <c r="BI289" i="32"/>
  <c r="BI290" i="32"/>
  <c r="BI291" i="32"/>
  <c r="BI292" i="32"/>
  <c r="BI293" i="32"/>
  <c r="BI294" i="32"/>
  <c r="BI295" i="32"/>
  <c r="BI296" i="32"/>
  <c r="BI297" i="32"/>
  <c r="BI298" i="32"/>
  <c r="BI299" i="32"/>
  <c r="BI300" i="32"/>
  <c r="BI301" i="32"/>
  <c r="BI302" i="32"/>
  <c r="BI303" i="32"/>
  <c r="BI304" i="32"/>
  <c r="BI305" i="32"/>
  <c r="BI306" i="32"/>
  <c r="BI307" i="32"/>
  <c r="BI308" i="32"/>
  <c r="BI309" i="32"/>
  <c r="BI310" i="32"/>
  <c r="BI311" i="32"/>
  <c r="BI312" i="32"/>
  <c r="BI313" i="32"/>
  <c r="BI314" i="32"/>
  <c r="BI315" i="32"/>
  <c r="BI316" i="32"/>
  <c r="BI317" i="32"/>
  <c r="BI318" i="32"/>
  <c r="BI319" i="32"/>
  <c r="BI320" i="32"/>
  <c r="BI321" i="32"/>
  <c r="BI322" i="32"/>
  <c r="BI323" i="32"/>
  <c r="BI324" i="32"/>
  <c r="BI325" i="32"/>
  <c r="BI326" i="32"/>
  <c r="BI327" i="32"/>
  <c r="BI328" i="32"/>
  <c r="BI329" i="32"/>
  <c r="BI330" i="32"/>
  <c r="BI331" i="32"/>
  <c r="BI332" i="32"/>
  <c r="BI333" i="32"/>
  <c r="BI334" i="32"/>
  <c r="BI335" i="32"/>
  <c r="BI336" i="32"/>
  <c r="BI337" i="32"/>
  <c r="BI338" i="32"/>
  <c r="BI339" i="32"/>
  <c r="BI340" i="32"/>
  <c r="BI341" i="32"/>
  <c r="BI342" i="32"/>
  <c r="BI343" i="32"/>
  <c r="BI344" i="32"/>
  <c r="BI345" i="32"/>
  <c r="BI346" i="32"/>
  <c r="BI347" i="32"/>
  <c r="BI348" i="32"/>
  <c r="BI349" i="32"/>
  <c r="BI350" i="32"/>
  <c r="BI351" i="32"/>
  <c r="BI352" i="32"/>
  <c r="BI353" i="32"/>
  <c r="BI354" i="32"/>
  <c r="BI355" i="32"/>
  <c r="BI356" i="32"/>
  <c r="BI357" i="32"/>
  <c r="BI358" i="32"/>
  <c r="BI359" i="32"/>
  <c r="BI360" i="32"/>
  <c r="BI361" i="32"/>
  <c r="BI362" i="32"/>
  <c r="BI363" i="32"/>
  <c r="BI364" i="32"/>
  <c r="BI365" i="32"/>
  <c r="BI366" i="32"/>
  <c r="BI367" i="32"/>
  <c r="BI368" i="32"/>
  <c r="BI369" i="32"/>
  <c r="BI370" i="32"/>
  <c r="BI371" i="32"/>
  <c r="BI372" i="32"/>
  <c r="BI373" i="32"/>
  <c r="BI374" i="32"/>
  <c r="BI375" i="32"/>
  <c r="BI376" i="32"/>
  <c r="BI377" i="32"/>
  <c r="BI378" i="32"/>
  <c r="BI379" i="32"/>
  <c r="BI380" i="32"/>
  <c r="BI381" i="32"/>
  <c r="BI382" i="32"/>
  <c r="BI383" i="32"/>
  <c r="BI384" i="32"/>
  <c r="BI385" i="32"/>
  <c r="BI386" i="32"/>
  <c r="BI387" i="32"/>
  <c r="BI388" i="32"/>
  <c r="BI389" i="32"/>
  <c r="BI390" i="32"/>
  <c r="BI391" i="32"/>
  <c r="BI392" i="32"/>
  <c r="BI393" i="32"/>
  <c r="BI394" i="32"/>
  <c r="BI395" i="32"/>
  <c r="BI396" i="32"/>
  <c r="BI397" i="32"/>
  <c r="BI398" i="32"/>
  <c r="BI399" i="32"/>
  <c r="BI400" i="32"/>
  <c r="BI401" i="32"/>
  <c r="BI402" i="32"/>
  <c r="BI403" i="32"/>
  <c r="BI404" i="32"/>
  <c r="BI405" i="32"/>
  <c r="BI406" i="32"/>
  <c r="BI407" i="32"/>
  <c r="BI408" i="32"/>
  <c r="BI409" i="32"/>
  <c r="BI410" i="32"/>
  <c r="BI411" i="32"/>
  <c r="BI412" i="32"/>
  <c r="BI413" i="32"/>
  <c r="BI414" i="32"/>
  <c r="BI415" i="32"/>
  <c r="BI416" i="32"/>
  <c r="BI417" i="32"/>
  <c r="BI418" i="32"/>
  <c r="BI419" i="32"/>
  <c r="BI420" i="32"/>
  <c r="BI4" i="32"/>
  <c r="AE812" i="23"/>
  <c r="AB11" i="23"/>
  <c r="AC11" i="23"/>
  <c r="AD11" i="23"/>
  <c r="AE11" i="23"/>
  <c r="AB12" i="23"/>
  <c r="AC12" i="23"/>
  <c r="AD12" i="23"/>
  <c r="AE12" i="23"/>
  <c r="AB13" i="23"/>
  <c r="AC13" i="23"/>
  <c r="AD13" i="23"/>
  <c r="AE13" i="23"/>
  <c r="AB14" i="23"/>
  <c r="AC14" i="23"/>
  <c r="AD14" i="23"/>
  <c r="AE14" i="23"/>
  <c r="AB15" i="23"/>
  <c r="AC15" i="23"/>
  <c r="AD15" i="23"/>
  <c r="AE15" i="23"/>
  <c r="AB16" i="23"/>
  <c r="AC16" i="23"/>
  <c r="AD16" i="23"/>
  <c r="AE16" i="23"/>
  <c r="AB17" i="23"/>
  <c r="AC17" i="23"/>
  <c r="AD17" i="23"/>
  <c r="AE17" i="23"/>
  <c r="AB18" i="23"/>
  <c r="AC18" i="23"/>
  <c r="AD18" i="23"/>
  <c r="AE18" i="23"/>
  <c r="AB19" i="23"/>
  <c r="AC19" i="23"/>
  <c r="AD19" i="23"/>
  <c r="AE19" i="23"/>
  <c r="AB20" i="23"/>
  <c r="AC20" i="23"/>
  <c r="AD20" i="23"/>
  <c r="AE20" i="23"/>
  <c r="AB21" i="23"/>
  <c r="AC21" i="23"/>
  <c r="AD21" i="23"/>
  <c r="AE21" i="23"/>
  <c r="AB22" i="23"/>
  <c r="AC22" i="23"/>
  <c r="AD22" i="23"/>
  <c r="AE22" i="23"/>
  <c r="AB23" i="23"/>
  <c r="AC23" i="23"/>
  <c r="AD23" i="23"/>
  <c r="AE23" i="23"/>
  <c r="AB24" i="23"/>
  <c r="AC24" i="23"/>
  <c r="AD24" i="23"/>
  <c r="AE24" i="23"/>
  <c r="AB25" i="23"/>
  <c r="AC25" i="23"/>
  <c r="AD25" i="23"/>
  <c r="AE25" i="23"/>
  <c r="AB26" i="23"/>
  <c r="AC26" i="23"/>
  <c r="AD26" i="23"/>
  <c r="AE26" i="23"/>
  <c r="AB27" i="23"/>
  <c r="AC27" i="23"/>
  <c r="AD27" i="23"/>
  <c r="AE27" i="23"/>
  <c r="AB28" i="23"/>
  <c r="AC28" i="23"/>
  <c r="AD28" i="23"/>
  <c r="AE28" i="23"/>
  <c r="AB29" i="23"/>
  <c r="AC29" i="23"/>
  <c r="AD29" i="23"/>
  <c r="AE29" i="23"/>
  <c r="AB30" i="23"/>
  <c r="AC30" i="23"/>
  <c r="AD30" i="23"/>
  <c r="AE30" i="23"/>
  <c r="AB31" i="23"/>
  <c r="AC31" i="23"/>
  <c r="AD31" i="23"/>
  <c r="AE31" i="23"/>
  <c r="AB32" i="23"/>
  <c r="AC32" i="23"/>
  <c r="AD32" i="23"/>
  <c r="AE32" i="23"/>
  <c r="AB33" i="23"/>
  <c r="AC33" i="23"/>
  <c r="AD33" i="23"/>
  <c r="AE33" i="23"/>
  <c r="AB34" i="23"/>
  <c r="AC34" i="23"/>
  <c r="AD34" i="23"/>
  <c r="AE34" i="23"/>
  <c r="AB35" i="23"/>
  <c r="AC35" i="23"/>
  <c r="AD35" i="23"/>
  <c r="AE35" i="23"/>
  <c r="AB36" i="23"/>
  <c r="AC36" i="23"/>
  <c r="AD36" i="23"/>
  <c r="AE36" i="23"/>
  <c r="AB37" i="23"/>
  <c r="AC37" i="23"/>
  <c r="AD37" i="23"/>
  <c r="AE37" i="23"/>
  <c r="AB38" i="23"/>
  <c r="AC38" i="23"/>
  <c r="AD38" i="23"/>
  <c r="AE38" i="23"/>
  <c r="AB39" i="23"/>
  <c r="AC39" i="23"/>
  <c r="AD39" i="23"/>
  <c r="AE39" i="23"/>
  <c r="AB40" i="23"/>
  <c r="AC40" i="23"/>
  <c r="AD40" i="23"/>
  <c r="AE40" i="23"/>
  <c r="AB41" i="23"/>
  <c r="AC41" i="23"/>
  <c r="AD41" i="23"/>
  <c r="AE41" i="23"/>
  <c r="AB42" i="23"/>
  <c r="AC42" i="23"/>
  <c r="AD42" i="23"/>
  <c r="AE42" i="23"/>
  <c r="AB43" i="23"/>
  <c r="AC43" i="23"/>
  <c r="AD43" i="23"/>
  <c r="AE43" i="23"/>
  <c r="AB44" i="23"/>
  <c r="AC44" i="23"/>
  <c r="AD44" i="23"/>
  <c r="AE44" i="23"/>
  <c r="AB45" i="23"/>
  <c r="AC45" i="23"/>
  <c r="AD45" i="23"/>
  <c r="AE45" i="23"/>
  <c r="AB46" i="23"/>
  <c r="AC46" i="23"/>
  <c r="AD46" i="23"/>
  <c r="AE46" i="23"/>
  <c r="AB47" i="23"/>
  <c r="AC47" i="23"/>
  <c r="AD47" i="23"/>
  <c r="AE47" i="23"/>
  <c r="AB48" i="23"/>
  <c r="AC48" i="23"/>
  <c r="AD48" i="23"/>
  <c r="AE48" i="23"/>
  <c r="AB49" i="23"/>
  <c r="AC49" i="23"/>
  <c r="AD49" i="23"/>
  <c r="AE49" i="23"/>
  <c r="AB50" i="23"/>
  <c r="AC50" i="23"/>
  <c r="AD50" i="23"/>
  <c r="AE50" i="23"/>
  <c r="AB51" i="23"/>
  <c r="AC51" i="23"/>
  <c r="AD51" i="23"/>
  <c r="AE51" i="23"/>
  <c r="AB52" i="23"/>
  <c r="AC52" i="23"/>
  <c r="AD52" i="23"/>
  <c r="AE52" i="23"/>
  <c r="AB53" i="23"/>
  <c r="AC53" i="23"/>
  <c r="AD53" i="23"/>
  <c r="AE53" i="23"/>
  <c r="AB54" i="23"/>
  <c r="AC54" i="23"/>
  <c r="AD54" i="23"/>
  <c r="AE54" i="23"/>
  <c r="AB55" i="23"/>
  <c r="AC55" i="23"/>
  <c r="AD55" i="23"/>
  <c r="AE55" i="23"/>
  <c r="AB56" i="23"/>
  <c r="AC56" i="23"/>
  <c r="AD56" i="23"/>
  <c r="AE56" i="23"/>
  <c r="AB57" i="23"/>
  <c r="AC57" i="23"/>
  <c r="AD57" i="23"/>
  <c r="AE57" i="23"/>
  <c r="AB58" i="23"/>
  <c r="AC58" i="23"/>
  <c r="AD58" i="23"/>
  <c r="AE58" i="23"/>
  <c r="AB59" i="23"/>
  <c r="AC59" i="23"/>
  <c r="AD59" i="23"/>
  <c r="AE59" i="23"/>
  <c r="AB60" i="23"/>
  <c r="AC60" i="23"/>
  <c r="AD60" i="23"/>
  <c r="AE60" i="23"/>
  <c r="AB61" i="23"/>
  <c r="AC61" i="23"/>
  <c r="AD61" i="23"/>
  <c r="AE61" i="23"/>
  <c r="AB62" i="23"/>
  <c r="AC62" i="23"/>
  <c r="AD62" i="23"/>
  <c r="AE62" i="23"/>
  <c r="AB63" i="23"/>
  <c r="AC63" i="23"/>
  <c r="AD63" i="23"/>
  <c r="AE63" i="23"/>
  <c r="AB64" i="23"/>
  <c r="AC64" i="23"/>
  <c r="AD64" i="23"/>
  <c r="AE64" i="23"/>
  <c r="AB65" i="23"/>
  <c r="AC65" i="23"/>
  <c r="AD65" i="23"/>
  <c r="AE65" i="23"/>
  <c r="AB66" i="23"/>
  <c r="AC66" i="23"/>
  <c r="AD66" i="23"/>
  <c r="AE66" i="23"/>
  <c r="AB67" i="23"/>
  <c r="AC67" i="23"/>
  <c r="AD67" i="23"/>
  <c r="AE67" i="23"/>
  <c r="AB68" i="23"/>
  <c r="AC68" i="23"/>
  <c r="AD68" i="23"/>
  <c r="AE68" i="23"/>
  <c r="AB69" i="23"/>
  <c r="AC69" i="23"/>
  <c r="AD69" i="23"/>
  <c r="AE69" i="23"/>
  <c r="AB70" i="23"/>
  <c r="AC70" i="23"/>
  <c r="AD70" i="23"/>
  <c r="AE70" i="23"/>
  <c r="AB71" i="23"/>
  <c r="AC71" i="23"/>
  <c r="AD71" i="23"/>
  <c r="AE71" i="23"/>
  <c r="AB72" i="23"/>
  <c r="AC72" i="23"/>
  <c r="AD72" i="23"/>
  <c r="AE72" i="23"/>
  <c r="AB73" i="23"/>
  <c r="AC73" i="23"/>
  <c r="AD73" i="23"/>
  <c r="AE73" i="23"/>
  <c r="AB74" i="23"/>
  <c r="AC74" i="23"/>
  <c r="AD74" i="23"/>
  <c r="AE74" i="23"/>
  <c r="AB75" i="23"/>
  <c r="AC75" i="23"/>
  <c r="AD75" i="23"/>
  <c r="AE75" i="23"/>
  <c r="AB76" i="23"/>
  <c r="AC76" i="23"/>
  <c r="AD76" i="23"/>
  <c r="AE76" i="23"/>
  <c r="AB77" i="23"/>
  <c r="AC77" i="23"/>
  <c r="AD77" i="23"/>
  <c r="AE77" i="23"/>
  <c r="AB78" i="23"/>
  <c r="AC78" i="23"/>
  <c r="AD78" i="23"/>
  <c r="AE78" i="23"/>
  <c r="AB79" i="23"/>
  <c r="AC79" i="23"/>
  <c r="AD79" i="23"/>
  <c r="AE79" i="23"/>
  <c r="AB80" i="23"/>
  <c r="AC80" i="23"/>
  <c r="AD80" i="23"/>
  <c r="AE80" i="23"/>
  <c r="AB81" i="23"/>
  <c r="AC81" i="23"/>
  <c r="AD81" i="23"/>
  <c r="AE81" i="23"/>
  <c r="AB82" i="23"/>
  <c r="AC82" i="23"/>
  <c r="AD82" i="23"/>
  <c r="AE82" i="23"/>
  <c r="AB83" i="23"/>
  <c r="AC83" i="23"/>
  <c r="AD83" i="23"/>
  <c r="AE83" i="23"/>
  <c r="AB84" i="23"/>
  <c r="AC84" i="23"/>
  <c r="AD84" i="23"/>
  <c r="AE84" i="23"/>
  <c r="AB85" i="23"/>
  <c r="AC85" i="23"/>
  <c r="AD85" i="23"/>
  <c r="AE85" i="23"/>
  <c r="AB86" i="23"/>
  <c r="AC86" i="23"/>
  <c r="AD86" i="23"/>
  <c r="AE86" i="23"/>
  <c r="AB87" i="23"/>
  <c r="AC87" i="23"/>
  <c r="AD87" i="23"/>
  <c r="AE87" i="23"/>
  <c r="AB88" i="23"/>
  <c r="AC88" i="23"/>
  <c r="AD88" i="23"/>
  <c r="AE88" i="23"/>
  <c r="AB89" i="23"/>
  <c r="AC89" i="23"/>
  <c r="AD89" i="23"/>
  <c r="AE89" i="23"/>
  <c r="AB90" i="23"/>
  <c r="AC90" i="23"/>
  <c r="AD90" i="23"/>
  <c r="AE90" i="23"/>
  <c r="AB91" i="23"/>
  <c r="AC91" i="23"/>
  <c r="AD91" i="23"/>
  <c r="AE91" i="23"/>
  <c r="AB92" i="23"/>
  <c r="AC92" i="23"/>
  <c r="AD92" i="23"/>
  <c r="AE92" i="23"/>
  <c r="AB93" i="23"/>
  <c r="AC93" i="23"/>
  <c r="AD93" i="23"/>
  <c r="AE93" i="23"/>
  <c r="AB94" i="23"/>
  <c r="AC94" i="23"/>
  <c r="AD94" i="23"/>
  <c r="AE94" i="23"/>
  <c r="AB95" i="23"/>
  <c r="AC95" i="23"/>
  <c r="AD95" i="23"/>
  <c r="AE95" i="23"/>
  <c r="AB96" i="23"/>
  <c r="AC96" i="23"/>
  <c r="AD96" i="23"/>
  <c r="AE96" i="23"/>
  <c r="AB97" i="23"/>
  <c r="AC97" i="23"/>
  <c r="AD97" i="23"/>
  <c r="AE97" i="23"/>
  <c r="AB98" i="23"/>
  <c r="AC98" i="23"/>
  <c r="AD98" i="23"/>
  <c r="AE98" i="23"/>
  <c r="AB99" i="23"/>
  <c r="AC99" i="23"/>
  <c r="AD99" i="23"/>
  <c r="AE99" i="23"/>
  <c r="AB100" i="23"/>
  <c r="AC100" i="23"/>
  <c r="AD100" i="23"/>
  <c r="AE100" i="23"/>
  <c r="AB101" i="23"/>
  <c r="AC101" i="23"/>
  <c r="AD101" i="23"/>
  <c r="AE101" i="23"/>
  <c r="AB102" i="23"/>
  <c r="AC102" i="23"/>
  <c r="AD102" i="23"/>
  <c r="AE102" i="23"/>
  <c r="AB103" i="23"/>
  <c r="AC103" i="23"/>
  <c r="AD103" i="23"/>
  <c r="AE103" i="23"/>
  <c r="AB104" i="23"/>
  <c r="AC104" i="23"/>
  <c r="AD104" i="23"/>
  <c r="AE104" i="23"/>
  <c r="AB105" i="23"/>
  <c r="AC105" i="23"/>
  <c r="AD105" i="23"/>
  <c r="AE105" i="23"/>
  <c r="AB106" i="23"/>
  <c r="AC106" i="23"/>
  <c r="AD106" i="23"/>
  <c r="AE106" i="23"/>
  <c r="AB107" i="23"/>
  <c r="AC107" i="23"/>
  <c r="AD107" i="23"/>
  <c r="AE107" i="23"/>
  <c r="AB108" i="23"/>
  <c r="AC108" i="23"/>
  <c r="AD108" i="23"/>
  <c r="AE108" i="23"/>
  <c r="AB109" i="23"/>
  <c r="AC109" i="23"/>
  <c r="AD109" i="23"/>
  <c r="AE109" i="23"/>
  <c r="AB110" i="23"/>
  <c r="AC110" i="23"/>
  <c r="AD110" i="23"/>
  <c r="AE110" i="23"/>
  <c r="AB111" i="23"/>
  <c r="AC111" i="23"/>
  <c r="AD111" i="23"/>
  <c r="AE111" i="23"/>
  <c r="AB112" i="23"/>
  <c r="AC112" i="23"/>
  <c r="AD112" i="23"/>
  <c r="AE112" i="23"/>
  <c r="AB113" i="23"/>
  <c r="AC113" i="23"/>
  <c r="AD113" i="23"/>
  <c r="AE113" i="23"/>
  <c r="AB114" i="23"/>
  <c r="AC114" i="23"/>
  <c r="AD114" i="23"/>
  <c r="AE114" i="23"/>
  <c r="AB115" i="23"/>
  <c r="AC115" i="23"/>
  <c r="AD115" i="23"/>
  <c r="AE115" i="23"/>
  <c r="AB116" i="23"/>
  <c r="AC116" i="23"/>
  <c r="AD116" i="23"/>
  <c r="AE116" i="23"/>
  <c r="AB117" i="23"/>
  <c r="AC117" i="23"/>
  <c r="AD117" i="23"/>
  <c r="AE117" i="23"/>
  <c r="AB118" i="23"/>
  <c r="AC118" i="23"/>
  <c r="AD118" i="23"/>
  <c r="AE118" i="23"/>
  <c r="AB119" i="23"/>
  <c r="AC119" i="23"/>
  <c r="AD119" i="23"/>
  <c r="AE119" i="23"/>
  <c r="AB120" i="23"/>
  <c r="AC120" i="23"/>
  <c r="AD120" i="23"/>
  <c r="AE120" i="23"/>
  <c r="AB121" i="23"/>
  <c r="AC121" i="23"/>
  <c r="AD121" i="23"/>
  <c r="AE121" i="23"/>
  <c r="AB122" i="23"/>
  <c r="AC122" i="23"/>
  <c r="AD122" i="23"/>
  <c r="AE122" i="23"/>
  <c r="AB123" i="23"/>
  <c r="AC123" i="23"/>
  <c r="AD123" i="23"/>
  <c r="AE123" i="23"/>
  <c r="AB124" i="23"/>
  <c r="AC124" i="23"/>
  <c r="AD124" i="23"/>
  <c r="AE124" i="23"/>
  <c r="AB125" i="23"/>
  <c r="AC125" i="23"/>
  <c r="AD125" i="23"/>
  <c r="AE125" i="23"/>
  <c r="AB126" i="23"/>
  <c r="AC126" i="23"/>
  <c r="AD126" i="23"/>
  <c r="AE126" i="23"/>
  <c r="AB127" i="23"/>
  <c r="AC127" i="23"/>
  <c r="AD127" i="23"/>
  <c r="AE127" i="23"/>
  <c r="AB128" i="23"/>
  <c r="AC128" i="23"/>
  <c r="AD128" i="23"/>
  <c r="AE128" i="23"/>
  <c r="AB129" i="23"/>
  <c r="AC129" i="23"/>
  <c r="AD129" i="23"/>
  <c r="AE129" i="23"/>
  <c r="AB130" i="23"/>
  <c r="AC130" i="23"/>
  <c r="AD130" i="23"/>
  <c r="AE130" i="23"/>
  <c r="AB131" i="23"/>
  <c r="AC131" i="23"/>
  <c r="AD131" i="23"/>
  <c r="AE131" i="23"/>
  <c r="AB132" i="23"/>
  <c r="AC132" i="23"/>
  <c r="AD132" i="23"/>
  <c r="AE132" i="23"/>
  <c r="AB133" i="23"/>
  <c r="AC133" i="23"/>
  <c r="AD133" i="23"/>
  <c r="AE133" i="23"/>
  <c r="AB134" i="23"/>
  <c r="AC134" i="23"/>
  <c r="AD134" i="23"/>
  <c r="AE134" i="23"/>
  <c r="AB135" i="23"/>
  <c r="AC135" i="23"/>
  <c r="AD135" i="23"/>
  <c r="AE135" i="23"/>
  <c r="AB136" i="23"/>
  <c r="AC136" i="23"/>
  <c r="AD136" i="23"/>
  <c r="AE136" i="23"/>
  <c r="AB137" i="23"/>
  <c r="AC137" i="23"/>
  <c r="AD137" i="23"/>
  <c r="AE137" i="23"/>
  <c r="AB138" i="23"/>
  <c r="AC138" i="23"/>
  <c r="AD138" i="23"/>
  <c r="AE138" i="23"/>
  <c r="AB139" i="23"/>
  <c r="AC139" i="23"/>
  <c r="AD139" i="23"/>
  <c r="AE139" i="23"/>
  <c r="AB140" i="23"/>
  <c r="AC140" i="23"/>
  <c r="AD140" i="23"/>
  <c r="AE140" i="23"/>
  <c r="AB141" i="23"/>
  <c r="AC141" i="23"/>
  <c r="AD141" i="23"/>
  <c r="AE141" i="23"/>
  <c r="AB142" i="23"/>
  <c r="AC142" i="23"/>
  <c r="AD142" i="23"/>
  <c r="AE142" i="23"/>
  <c r="AB143" i="23"/>
  <c r="AC143" i="23"/>
  <c r="AD143" i="23"/>
  <c r="AE143" i="23"/>
  <c r="AB144" i="23"/>
  <c r="AC144" i="23"/>
  <c r="AD144" i="23"/>
  <c r="AE144" i="23"/>
  <c r="AB145" i="23"/>
  <c r="AC145" i="23"/>
  <c r="AD145" i="23"/>
  <c r="AE145" i="23"/>
  <c r="AB146" i="23"/>
  <c r="AC146" i="23"/>
  <c r="AD146" i="23"/>
  <c r="AE146" i="23"/>
  <c r="AB147" i="23"/>
  <c r="AC147" i="23"/>
  <c r="AD147" i="23"/>
  <c r="AE147" i="23"/>
  <c r="AB148" i="23"/>
  <c r="AC148" i="23"/>
  <c r="AD148" i="23"/>
  <c r="AE148" i="23"/>
  <c r="AB149" i="23"/>
  <c r="AC149" i="23"/>
  <c r="AD149" i="23"/>
  <c r="AE149" i="23"/>
  <c r="AB150" i="23"/>
  <c r="AC150" i="23"/>
  <c r="AD150" i="23"/>
  <c r="AE150" i="23"/>
  <c r="AB151" i="23"/>
  <c r="AC151" i="23"/>
  <c r="AD151" i="23"/>
  <c r="AE151" i="23"/>
  <c r="AB152" i="23"/>
  <c r="AC152" i="23"/>
  <c r="AD152" i="23"/>
  <c r="AE152" i="23"/>
  <c r="AB153" i="23"/>
  <c r="AC153" i="23"/>
  <c r="AD153" i="23"/>
  <c r="AE153" i="23"/>
  <c r="AB154" i="23"/>
  <c r="AC154" i="23"/>
  <c r="AD154" i="23"/>
  <c r="AE154" i="23"/>
  <c r="AB155" i="23"/>
  <c r="AC155" i="23"/>
  <c r="AD155" i="23"/>
  <c r="AE155" i="23"/>
  <c r="AB156" i="23"/>
  <c r="AC156" i="23"/>
  <c r="AD156" i="23"/>
  <c r="AE156" i="23"/>
  <c r="AB157" i="23"/>
  <c r="AC157" i="23"/>
  <c r="AD157" i="23"/>
  <c r="AE157" i="23"/>
  <c r="AB158" i="23"/>
  <c r="AC158" i="23"/>
  <c r="AD158" i="23"/>
  <c r="AE158" i="23"/>
  <c r="AB159" i="23"/>
  <c r="AC159" i="23"/>
  <c r="AD159" i="23"/>
  <c r="AE159" i="23"/>
  <c r="AB160" i="23"/>
  <c r="AC160" i="23"/>
  <c r="AD160" i="23"/>
  <c r="AE160" i="23"/>
  <c r="AB161" i="23"/>
  <c r="AC161" i="23"/>
  <c r="AD161" i="23"/>
  <c r="AE161" i="23"/>
  <c r="AB162" i="23"/>
  <c r="AC162" i="23"/>
  <c r="AD162" i="23"/>
  <c r="AE162" i="23"/>
  <c r="AB163" i="23"/>
  <c r="AC163" i="23"/>
  <c r="AD163" i="23"/>
  <c r="AE163" i="23"/>
  <c r="AB164" i="23"/>
  <c r="AC164" i="23"/>
  <c r="AD164" i="23"/>
  <c r="AE164" i="23"/>
  <c r="AB165" i="23"/>
  <c r="AC165" i="23"/>
  <c r="AD165" i="23"/>
  <c r="AE165" i="23"/>
  <c r="AB166" i="23"/>
  <c r="AC166" i="23"/>
  <c r="AD166" i="23"/>
  <c r="AE166" i="23"/>
  <c r="AB167" i="23"/>
  <c r="AC167" i="23"/>
  <c r="AD167" i="23"/>
  <c r="AE167" i="23"/>
  <c r="AB168" i="23"/>
  <c r="AC168" i="23"/>
  <c r="AD168" i="23"/>
  <c r="AE168" i="23"/>
  <c r="AB169" i="23"/>
  <c r="AC169" i="23"/>
  <c r="AD169" i="23"/>
  <c r="AE169" i="23"/>
  <c r="AB170" i="23"/>
  <c r="AC170" i="23"/>
  <c r="AD170" i="23"/>
  <c r="AE170" i="23"/>
  <c r="AB171" i="23"/>
  <c r="AC171" i="23"/>
  <c r="AD171" i="23"/>
  <c r="AE171" i="23"/>
  <c r="AB172" i="23"/>
  <c r="AC172" i="23"/>
  <c r="AD172" i="23"/>
  <c r="AE172" i="23"/>
  <c r="AB173" i="23"/>
  <c r="AC173" i="23"/>
  <c r="AD173" i="23"/>
  <c r="AE173" i="23"/>
  <c r="AB174" i="23"/>
  <c r="AC174" i="23"/>
  <c r="AD174" i="23"/>
  <c r="AE174" i="23"/>
  <c r="AB175" i="23"/>
  <c r="AC175" i="23"/>
  <c r="AD175" i="23"/>
  <c r="AE175" i="23"/>
  <c r="AB176" i="23"/>
  <c r="AC176" i="23"/>
  <c r="AD176" i="23"/>
  <c r="AE176" i="23"/>
  <c r="AB177" i="23"/>
  <c r="AC177" i="23"/>
  <c r="AD177" i="23"/>
  <c r="AE177" i="23"/>
  <c r="AB178" i="23"/>
  <c r="AC178" i="23"/>
  <c r="AD178" i="23"/>
  <c r="AE178" i="23"/>
  <c r="AB179" i="23"/>
  <c r="AC179" i="23"/>
  <c r="AD179" i="23"/>
  <c r="AE179" i="23"/>
  <c r="AB180" i="23"/>
  <c r="AC180" i="23"/>
  <c r="AD180" i="23"/>
  <c r="AE180" i="23"/>
  <c r="AB181" i="23"/>
  <c r="AC181" i="23"/>
  <c r="AD181" i="23"/>
  <c r="AE181" i="23"/>
  <c r="AB182" i="23"/>
  <c r="AC182" i="23"/>
  <c r="AD182" i="23"/>
  <c r="AE182" i="23"/>
  <c r="AB183" i="23"/>
  <c r="AC183" i="23"/>
  <c r="AD183" i="23"/>
  <c r="AE183" i="23"/>
  <c r="AB184" i="23"/>
  <c r="AC184" i="23"/>
  <c r="AD184" i="23"/>
  <c r="AE184" i="23"/>
  <c r="AB185" i="23"/>
  <c r="AC185" i="23"/>
  <c r="AD185" i="23"/>
  <c r="AE185" i="23"/>
  <c r="AB186" i="23"/>
  <c r="AC186" i="23"/>
  <c r="AD186" i="23"/>
  <c r="AE186" i="23"/>
  <c r="AB187" i="23"/>
  <c r="AC187" i="23"/>
  <c r="AD187" i="23"/>
  <c r="AE187" i="23"/>
  <c r="AB188" i="23"/>
  <c r="AC188" i="23"/>
  <c r="AD188" i="23"/>
  <c r="AE188" i="23"/>
  <c r="AB189" i="23"/>
  <c r="AC189" i="23"/>
  <c r="AD189" i="23"/>
  <c r="AE189" i="23"/>
  <c r="AB190" i="23"/>
  <c r="AC190" i="23"/>
  <c r="AD190" i="23"/>
  <c r="AE190" i="23"/>
  <c r="AB191" i="23"/>
  <c r="AC191" i="23"/>
  <c r="AD191" i="23"/>
  <c r="AE191" i="23"/>
  <c r="AB192" i="23"/>
  <c r="AC192" i="23"/>
  <c r="AD192" i="23"/>
  <c r="AE192" i="23"/>
  <c r="AB193" i="23"/>
  <c r="AC193" i="23"/>
  <c r="AD193" i="23"/>
  <c r="AE193" i="23"/>
  <c r="AB194" i="23"/>
  <c r="AC194" i="23"/>
  <c r="AD194" i="23"/>
  <c r="AE194" i="23"/>
  <c r="AB195" i="23"/>
  <c r="AC195" i="23"/>
  <c r="AD195" i="23"/>
  <c r="AE195" i="23"/>
  <c r="AB196" i="23"/>
  <c r="AC196" i="23"/>
  <c r="AD196" i="23"/>
  <c r="AE196" i="23"/>
  <c r="AB197" i="23"/>
  <c r="AC197" i="23"/>
  <c r="AD197" i="23"/>
  <c r="AE197" i="23"/>
  <c r="AB198" i="23"/>
  <c r="AC198" i="23"/>
  <c r="AD198" i="23"/>
  <c r="AE198" i="23"/>
  <c r="AB199" i="23"/>
  <c r="AC199" i="23"/>
  <c r="AD199" i="23"/>
  <c r="AE199" i="23"/>
  <c r="AB200" i="23"/>
  <c r="AC200" i="23"/>
  <c r="AD200" i="23"/>
  <c r="AE200" i="23"/>
  <c r="AB201" i="23"/>
  <c r="AC201" i="23"/>
  <c r="AD201" i="23"/>
  <c r="AE201" i="23"/>
  <c r="AB202" i="23"/>
  <c r="AC202" i="23"/>
  <c r="AD202" i="23"/>
  <c r="AE202" i="23"/>
  <c r="AB203" i="23"/>
  <c r="AC203" i="23"/>
  <c r="AD203" i="23"/>
  <c r="AE203" i="23"/>
  <c r="AB204" i="23"/>
  <c r="AC204" i="23"/>
  <c r="AD204" i="23"/>
  <c r="AE204" i="23"/>
  <c r="AB205" i="23"/>
  <c r="AC205" i="23"/>
  <c r="AD205" i="23"/>
  <c r="AE205" i="23"/>
  <c r="AB206" i="23"/>
  <c r="AC206" i="23"/>
  <c r="AD206" i="23"/>
  <c r="AE206" i="23"/>
  <c r="AB207" i="23"/>
  <c r="AC207" i="23"/>
  <c r="AD207" i="23"/>
  <c r="AE207" i="23"/>
  <c r="AB208" i="23"/>
  <c r="AC208" i="23"/>
  <c r="AD208" i="23"/>
  <c r="AE208" i="23"/>
  <c r="AB209" i="23"/>
  <c r="AC209" i="23"/>
  <c r="AD209" i="23"/>
  <c r="AE209" i="23"/>
  <c r="AB210" i="23"/>
  <c r="AC210" i="23"/>
  <c r="AD210" i="23"/>
  <c r="AE210" i="23"/>
  <c r="AB211" i="23"/>
  <c r="AC211" i="23"/>
  <c r="AD211" i="23"/>
  <c r="AE211" i="23"/>
  <c r="AB212" i="23"/>
  <c r="AC212" i="23"/>
  <c r="AD212" i="23"/>
  <c r="AE212" i="23"/>
  <c r="AB213" i="23"/>
  <c r="AC213" i="23"/>
  <c r="AD213" i="23"/>
  <c r="AE213" i="23"/>
  <c r="AB214" i="23"/>
  <c r="AC214" i="23"/>
  <c r="AD214" i="23"/>
  <c r="AE214" i="23"/>
  <c r="AB215" i="23"/>
  <c r="AC215" i="23"/>
  <c r="AD215" i="23"/>
  <c r="AE215" i="23"/>
  <c r="AB216" i="23"/>
  <c r="AC216" i="23"/>
  <c r="AD216" i="23"/>
  <c r="AE216" i="23"/>
  <c r="AB217" i="23"/>
  <c r="AC217" i="23"/>
  <c r="AD217" i="23"/>
  <c r="AE217" i="23"/>
  <c r="AB218" i="23"/>
  <c r="AC218" i="23"/>
  <c r="AD218" i="23"/>
  <c r="AE218" i="23"/>
  <c r="AB219" i="23"/>
  <c r="AC219" i="23"/>
  <c r="AD219" i="23"/>
  <c r="AE219" i="23"/>
  <c r="AB220" i="23"/>
  <c r="AC220" i="23"/>
  <c r="AD220" i="23"/>
  <c r="AE220" i="23"/>
  <c r="AB221" i="23"/>
  <c r="AC221" i="23"/>
  <c r="AD221" i="23"/>
  <c r="AE221" i="23"/>
  <c r="AB222" i="23"/>
  <c r="AC222" i="23"/>
  <c r="AD222" i="23"/>
  <c r="AE222" i="23"/>
  <c r="AB223" i="23"/>
  <c r="AC223" i="23"/>
  <c r="AD223" i="23"/>
  <c r="AE223" i="23"/>
  <c r="AB224" i="23"/>
  <c r="AC224" i="23"/>
  <c r="AD224" i="23"/>
  <c r="AE224" i="23"/>
  <c r="AB225" i="23"/>
  <c r="AC225" i="23"/>
  <c r="AD225" i="23"/>
  <c r="AE225" i="23"/>
  <c r="AB226" i="23"/>
  <c r="AC226" i="23"/>
  <c r="AD226" i="23"/>
  <c r="AE226" i="23"/>
  <c r="AB227" i="23"/>
  <c r="AC227" i="23"/>
  <c r="AD227" i="23"/>
  <c r="AE227" i="23"/>
  <c r="AB228" i="23"/>
  <c r="AC228" i="23"/>
  <c r="AD228" i="23"/>
  <c r="AE228" i="23"/>
  <c r="AB229" i="23"/>
  <c r="AC229" i="23"/>
  <c r="AD229" i="23"/>
  <c r="AE229" i="23"/>
  <c r="AB230" i="23"/>
  <c r="AC230" i="23"/>
  <c r="AD230" i="23"/>
  <c r="AE230" i="23"/>
  <c r="AB231" i="23"/>
  <c r="AC231" i="23"/>
  <c r="AD231" i="23"/>
  <c r="AE231" i="23"/>
  <c r="AB232" i="23"/>
  <c r="AC232" i="23"/>
  <c r="AD232" i="23"/>
  <c r="AE232" i="23"/>
  <c r="AB233" i="23"/>
  <c r="AC233" i="23"/>
  <c r="AD233" i="23"/>
  <c r="AE233" i="23"/>
  <c r="AB234" i="23"/>
  <c r="AC234" i="23"/>
  <c r="AD234" i="23"/>
  <c r="AE234" i="23"/>
  <c r="AB235" i="23"/>
  <c r="AC235" i="23"/>
  <c r="AD235" i="23"/>
  <c r="AE235" i="23"/>
  <c r="AB236" i="23"/>
  <c r="AC236" i="23"/>
  <c r="AD236" i="23"/>
  <c r="AE236" i="23"/>
  <c r="AB237" i="23"/>
  <c r="AC237" i="23"/>
  <c r="AD237" i="23"/>
  <c r="AE237" i="23"/>
  <c r="AB238" i="23"/>
  <c r="AC238" i="23"/>
  <c r="AD238" i="23"/>
  <c r="AE238" i="23"/>
  <c r="AB239" i="23"/>
  <c r="AC239" i="23"/>
  <c r="AD239" i="23"/>
  <c r="AE239" i="23"/>
  <c r="AB240" i="23"/>
  <c r="AC240" i="23"/>
  <c r="AD240" i="23"/>
  <c r="AE240" i="23"/>
  <c r="AB241" i="23"/>
  <c r="AC241" i="23"/>
  <c r="AD241" i="23"/>
  <c r="AE241" i="23"/>
  <c r="AB242" i="23"/>
  <c r="AC242" i="23"/>
  <c r="AD242" i="23"/>
  <c r="AE242" i="23"/>
  <c r="AB243" i="23"/>
  <c r="AC243" i="23"/>
  <c r="AD243" i="23"/>
  <c r="AE243" i="23"/>
  <c r="AB244" i="23"/>
  <c r="AC244" i="23"/>
  <c r="AD244" i="23"/>
  <c r="AE244" i="23"/>
  <c r="AB245" i="23"/>
  <c r="AC245" i="23"/>
  <c r="AD245" i="23"/>
  <c r="AE245" i="23"/>
  <c r="AB246" i="23"/>
  <c r="AC246" i="23"/>
  <c r="AD246" i="23"/>
  <c r="AE246" i="23"/>
  <c r="AB247" i="23"/>
  <c r="AC247" i="23"/>
  <c r="AD247" i="23"/>
  <c r="AE247" i="23"/>
  <c r="AB248" i="23"/>
  <c r="AC248" i="23"/>
  <c r="AD248" i="23"/>
  <c r="AE248" i="23"/>
  <c r="AB249" i="23"/>
  <c r="AC249" i="23"/>
  <c r="AD249" i="23"/>
  <c r="AE249" i="23"/>
  <c r="AB250" i="23"/>
  <c r="AC250" i="23"/>
  <c r="AD250" i="23"/>
  <c r="AE250" i="23"/>
  <c r="AB251" i="23"/>
  <c r="AC251" i="23"/>
  <c r="AD251" i="23"/>
  <c r="AE251" i="23"/>
  <c r="AB252" i="23"/>
  <c r="AC252" i="23"/>
  <c r="AD252" i="23"/>
  <c r="AE252" i="23"/>
  <c r="AB253" i="23"/>
  <c r="AC253" i="23"/>
  <c r="AD253" i="23"/>
  <c r="AE253" i="23"/>
  <c r="AB254" i="23"/>
  <c r="AC254" i="23"/>
  <c r="AD254" i="23"/>
  <c r="AE254" i="23"/>
  <c r="AB255" i="23"/>
  <c r="AC255" i="23"/>
  <c r="AD255" i="23"/>
  <c r="AE255" i="23"/>
  <c r="AB256" i="23"/>
  <c r="AC256" i="23"/>
  <c r="AD256" i="23"/>
  <c r="AE256" i="23"/>
  <c r="AB257" i="23"/>
  <c r="AC257" i="23"/>
  <c r="AD257" i="23"/>
  <c r="AE257" i="23"/>
  <c r="AB258" i="23"/>
  <c r="AC258" i="23"/>
  <c r="AD258" i="23"/>
  <c r="AE258" i="23"/>
  <c r="AB259" i="23"/>
  <c r="AC259" i="23"/>
  <c r="AD259" i="23"/>
  <c r="AE259" i="23"/>
  <c r="AB260" i="23"/>
  <c r="AC260" i="23"/>
  <c r="AD260" i="23"/>
  <c r="AE260" i="23"/>
  <c r="AB261" i="23"/>
  <c r="AC261" i="23"/>
  <c r="AD261" i="23"/>
  <c r="AE261" i="23"/>
  <c r="AB262" i="23"/>
  <c r="AC262" i="23"/>
  <c r="AD262" i="23"/>
  <c r="AE262" i="23"/>
  <c r="AB263" i="23"/>
  <c r="AC263" i="23"/>
  <c r="AD263" i="23"/>
  <c r="AE263" i="23"/>
  <c r="AB264" i="23"/>
  <c r="AC264" i="23"/>
  <c r="AD264" i="23"/>
  <c r="AE264" i="23"/>
  <c r="AB265" i="23"/>
  <c r="AC265" i="23"/>
  <c r="AD265" i="23"/>
  <c r="AE265" i="23"/>
  <c r="AB266" i="23"/>
  <c r="AC266" i="23"/>
  <c r="AD266" i="23"/>
  <c r="AE266" i="23"/>
  <c r="AB267" i="23"/>
  <c r="AC267" i="23"/>
  <c r="AD267" i="23"/>
  <c r="AE267" i="23"/>
  <c r="AB268" i="23"/>
  <c r="AC268" i="23"/>
  <c r="AD268" i="23"/>
  <c r="AE268" i="23"/>
  <c r="AB269" i="23"/>
  <c r="AC269" i="23"/>
  <c r="AD269" i="23"/>
  <c r="AE269" i="23"/>
  <c r="AB270" i="23"/>
  <c r="AC270" i="23"/>
  <c r="AD270" i="23"/>
  <c r="AE270" i="23"/>
  <c r="AB271" i="23"/>
  <c r="AC271" i="23"/>
  <c r="AD271" i="23"/>
  <c r="AE271" i="23"/>
  <c r="AB272" i="23"/>
  <c r="AC272" i="23"/>
  <c r="AD272" i="23"/>
  <c r="AE272" i="23"/>
  <c r="AB273" i="23"/>
  <c r="AC273" i="23"/>
  <c r="AD273" i="23"/>
  <c r="AE273" i="23"/>
  <c r="AB274" i="23"/>
  <c r="AC274" i="23"/>
  <c r="AD274" i="23"/>
  <c r="AE274" i="23"/>
  <c r="AB275" i="23"/>
  <c r="AC275" i="23"/>
  <c r="AD275" i="23"/>
  <c r="AE275" i="23"/>
  <c r="AB276" i="23"/>
  <c r="AC276" i="23"/>
  <c r="AD276" i="23"/>
  <c r="AE276" i="23"/>
  <c r="AB277" i="23"/>
  <c r="AC277" i="23"/>
  <c r="AD277" i="23"/>
  <c r="AE277" i="23"/>
  <c r="AB278" i="23"/>
  <c r="AC278" i="23"/>
  <c r="AD278" i="23"/>
  <c r="AE278" i="23"/>
  <c r="AB279" i="23"/>
  <c r="AC279" i="23"/>
  <c r="AD279" i="23"/>
  <c r="AE279" i="23"/>
  <c r="AB280" i="23"/>
  <c r="AC280" i="23"/>
  <c r="AD280" i="23"/>
  <c r="AE280" i="23"/>
  <c r="AB281" i="23"/>
  <c r="AC281" i="23"/>
  <c r="AD281" i="23"/>
  <c r="AE281" i="23"/>
  <c r="AB282" i="23"/>
  <c r="AC282" i="23"/>
  <c r="AD282" i="23"/>
  <c r="AE282" i="23"/>
  <c r="AB283" i="23"/>
  <c r="AC283" i="23"/>
  <c r="AD283" i="23"/>
  <c r="AE283" i="23"/>
  <c r="AB284" i="23"/>
  <c r="AC284" i="23"/>
  <c r="AD284" i="23"/>
  <c r="AE284" i="23"/>
  <c r="AB285" i="23"/>
  <c r="AC285" i="23"/>
  <c r="AD285" i="23"/>
  <c r="AE285" i="23"/>
  <c r="AB286" i="23"/>
  <c r="AC286" i="23"/>
  <c r="AD286" i="23"/>
  <c r="AE286" i="23"/>
  <c r="AB287" i="23"/>
  <c r="AC287" i="23"/>
  <c r="AD287" i="23"/>
  <c r="AE287" i="23"/>
  <c r="AB288" i="23"/>
  <c r="AC288" i="23"/>
  <c r="AD288" i="23"/>
  <c r="AE288" i="23"/>
  <c r="AB289" i="23"/>
  <c r="AC289" i="23"/>
  <c r="AD289" i="23"/>
  <c r="AE289" i="23"/>
  <c r="AB290" i="23"/>
  <c r="AC290" i="23"/>
  <c r="AD290" i="23"/>
  <c r="AE290" i="23"/>
  <c r="AB291" i="23"/>
  <c r="AC291" i="23"/>
  <c r="AD291" i="23"/>
  <c r="AE291" i="23"/>
  <c r="AB292" i="23"/>
  <c r="AC292" i="23"/>
  <c r="AD292" i="23"/>
  <c r="AE292" i="23"/>
  <c r="AB293" i="23"/>
  <c r="AC293" i="23"/>
  <c r="AD293" i="23"/>
  <c r="AE293" i="23"/>
  <c r="AB294" i="23"/>
  <c r="AC294" i="23"/>
  <c r="AD294" i="23"/>
  <c r="AE294" i="23"/>
  <c r="AB295" i="23"/>
  <c r="AC295" i="23"/>
  <c r="AD295" i="23"/>
  <c r="AE295" i="23"/>
  <c r="AB296" i="23"/>
  <c r="AC296" i="23"/>
  <c r="AD296" i="23"/>
  <c r="AE296" i="23"/>
  <c r="AB297" i="23"/>
  <c r="AC297" i="23"/>
  <c r="AD297" i="23"/>
  <c r="AE297" i="23"/>
  <c r="AB298" i="23"/>
  <c r="AC298" i="23"/>
  <c r="AD298" i="23"/>
  <c r="AE298" i="23"/>
  <c r="AB299" i="23"/>
  <c r="AC299" i="23"/>
  <c r="AD299" i="23"/>
  <c r="AE299" i="23"/>
  <c r="AB300" i="23"/>
  <c r="AC300" i="23"/>
  <c r="AD300" i="23"/>
  <c r="AE300" i="23"/>
  <c r="AB301" i="23"/>
  <c r="AC301" i="23"/>
  <c r="AD301" i="23"/>
  <c r="AE301" i="23"/>
  <c r="AB302" i="23"/>
  <c r="AC302" i="23"/>
  <c r="AD302" i="23"/>
  <c r="AE302" i="23"/>
  <c r="AB303" i="23"/>
  <c r="AC303" i="23"/>
  <c r="AD303" i="23"/>
  <c r="AE303" i="23"/>
  <c r="AB304" i="23"/>
  <c r="AC304" i="23"/>
  <c r="AD304" i="23"/>
  <c r="AE304" i="23"/>
  <c r="AB305" i="23"/>
  <c r="AC305" i="23"/>
  <c r="AD305" i="23"/>
  <c r="AE305" i="23"/>
  <c r="AB306" i="23"/>
  <c r="AC306" i="23"/>
  <c r="AD306" i="23"/>
  <c r="AE306" i="23"/>
  <c r="AB307" i="23"/>
  <c r="AC307" i="23"/>
  <c r="AD307" i="23"/>
  <c r="AE307" i="23"/>
  <c r="AB308" i="23"/>
  <c r="AC308" i="23"/>
  <c r="AD308" i="23"/>
  <c r="AE308" i="23"/>
  <c r="AB309" i="23"/>
  <c r="AC309" i="23"/>
  <c r="AD309" i="23"/>
  <c r="AE309" i="23"/>
  <c r="AB310" i="23"/>
  <c r="AC310" i="23"/>
  <c r="AD310" i="23"/>
  <c r="AE310" i="23"/>
  <c r="AB311" i="23"/>
  <c r="AC311" i="23"/>
  <c r="AD311" i="23"/>
  <c r="AE311" i="23"/>
  <c r="AB312" i="23"/>
  <c r="AC312" i="23"/>
  <c r="AD312" i="23"/>
  <c r="AE312" i="23"/>
  <c r="AB313" i="23"/>
  <c r="AC313" i="23"/>
  <c r="AD313" i="23"/>
  <c r="AE313" i="23"/>
  <c r="AB314" i="23"/>
  <c r="AC314" i="23"/>
  <c r="AD314" i="23"/>
  <c r="AE314" i="23"/>
  <c r="AB315" i="23"/>
  <c r="AC315" i="23"/>
  <c r="AD315" i="23"/>
  <c r="AE315" i="23"/>
  <c r="AB316" i="23"/>
  <c r="AC316" i="23"/>
  <c r="AD316" i="23"/>
  <c r="AE316" i="23"/>
  <c r="AB317" i="23"/>
  <c r="AC317" i="23"/>
  <c r="AD317" i="23"/>
  <c r="AE317" i="23"/>
  <c r="AB318" i="23"/>
  <c r="AC318" i="23"/>
  <c r="AD318" i="23"/>
  <c r="AE318" i="23"/>
  <c r="AB319" i="23"/>
  <c r="AC319" i="23"/>
  <c r="AD319" i="23"/>
  <c r="AE319" i="23"/>
  <c r="AB320" i="23"/>
  <c r="AC320" i="23"/>
  <c r="AD320" i="23"/>
  <c r="AE320" i="23"/>
  <c r="AB321" i="23"/>
  <c r="AC321" i="23"/>
  <c r="AD321" i="23"/>
  <c r="AE321" i="23"/>
  <c r="AB322" i="23"/>
  <c r="AC322" i="23"/>
  <c r="AD322" i="23"/>
  <c r="AE322" i="23"/>
  <c r="AB323" i="23"/>
  <c r="AC323" i="23"/>
  <c r="AD323" i="23"/>
  <c r="AE323" i="23"/>
  <c r="AB324" i="23"/>
  <c r="AC324" i="23"/>
  <c r="AD324" i="23"/>
  <c r="AE324" i="23"/>
  <c r="AB325" i="23"/>
  <c r="AC325" i="23"/>
  <c r="AD325" i="23"/>
  <c r="AE325" i="23"/>
  <c r="AB326" i="23"/>
  <c r="AC326" i="23"/>
  <c r="AD326" i="23"/>
  <c r="AE326" i="23"/>
  <c r="AB327" i="23"/>
  <c r="AC327" i="23"/>
  <c r="AD327" i="23"/>
  <c r="AE327" i="23"/>
  <c r="AB328" i="23"/>
  <c r="AC328" i="23"/>
  <c r="AD328" i="23"/>
  <c r="AE328" i="23"/>
  <c r="AB329" i="23"/>
  <c r="AC329" i="23"/>
  <c r="AD329" i="23"/>
  <c r="AE329" i="23"/>
  <c r="AB330" i="23"/>
  <c r="AC330" i="23"/>
  <c r="AD330" i="23"/>
  <c r="AE330" i="23"/>
  <c r="AB331" i="23"/>
  <c r="AC331" i="23"/>
  <c r="AD331" i="23"/>
  <c r="AE331" i="23"/>
  <c r="AB332" i="23"/>
  <c r="AC332" i="23"/>
  <c r="AD332" i="23"/>
  <c r="AE332" i="23"/>
  <c r="AB333" i="23"/>
  <c r="AC333" i="23"/>
  <c r="AD333" i="23"/>
  <c r="AE333" i="23"/>
  <c r="AB334" i="23"/>
  <c r="AC334" i="23"/>
  <c r="AD334" i="23"/>
  <c r="AE334" i="23"/>
  <c r="AB335" i="23"/>
  <c r="AC335" i="23"/>
  <c r="AD335" i="23"/>
  <c r="AE335" i="23"/>
  <c r="AB336" i="23"/>
  <c r="AC336" i="23"/>
  <c r="AD336" i="23"/>
  <c r="AE336" i="23"/>
  <c r="AB337" i="23"/>
  <c r="AC337" i="23"/>
  <c r="AD337" i="23"/>
  <c r="AE337" i="23"/>
  <c r="AB338" i="23"/>
  <c r="AC338" i="23"/>
  <c r="AD338" i="23"/>
  <c r="AE338" i="23"/>
  <c r="AB339" i="23"/>
  <c r="AC339" i="23"/>
  <c r="AD339" i="23"/>
  <c r="AE339" i="23"/>
  <c r="AB340" i="23"/>
  <c r="AC340" i="23"/>
  <c r="AD340" i="23"/>
  <c r="AE340" i="23"/>
  <c r="AB341" i="23"/>
  <c r="AC341" i="23"/>
  <c r="AD341" i="23"/>
  <c r="AE341" i="23"/>
  <c r="AB342" i="23"/>
  <c r="AC342" i="23"/>
  <c r="AD342" i="23"/>
  <c r="AE342" i="23"/>
  <c r="AB343" i="23"/>
  <c r="AC343" i="23"/>
  <c r="AD343" i="23"/>
  <c r="AE343" i="23"/>
  <c r="AB344" i="23"/>
  <c r="AC344" i="23"/>
  <c r="AD344" i="23"/>
  <c r="AE344" i="23"/>
  <c r="AB345" i="23"/>
  <c r="AC345" i="23"/>
  <c r="AD345" i="23"/>
  <c r="AE345" i="23"/>
  <c r="AB346" i="23"/>
  <c r="AC346" i="23"/>
  <c r="AD346" i="23"/>
  <c r="AE346" i="23"/>
  <c r="AB347" i="23"/>
  <c r="AC347" i="23"/>
  <c r="AD347" i="23"/>
  <c r="AE347" i="23"/>
  <c r="AB348" i="23"/>
  <c r="AC348" i="23"/>
  <c r="AD348" i="23"/>
  <c r="AE348" i="23"/>
  <c r="AB349" i="23"/>
  <c r="AC349" i="23"/>
  <c r="AD349" i="23"/>
  <c r="AE349" i="23"/>
  <c r="AB350" i="23"/>
  <c r="AC350" i="23"/>
  <c r="AD350" i="23"/>
  <c r="AE350" i="23"/>
  <c r="AB351" i="23"/>
  <c r="AC351" i="23"/>
  <c r="AD351" i="23"/>
  <c r="AE351" i="23"/>
  <c r="AB352" i="23"/>
  <c r="AC352" i="23"/>
  <c r="AD352" i="23"/>
  <c r="AE352" i="23"/>
  <c r="AB353" i="23"/>
  <c r="AC353" i="23"/>
  <c r="AD353" i="23"/>
  <c r="AE353" i="23"/>
  <c r="AB354" i="23"/>
  <c r="AC354" i="23"/>
  <c r="AD354" i="23"/>
  <c r="AE354" i="23"/>
  <c r="AB355" i="23"/>
  <c r="AC355" i="23"/>
  <c r="AD355" i="23"/>
  <c r="AE355" i="23"/>
  <c r="AB356" i="23"/>
  <c r="AC356" i="23"/>
  <c r="AD356" i="23"/>
  <c r="AE356" i="23"/>
  <c r="AB357" i="23"/>
  <c r="AC357" i="23"/>
  <c r="AD357" i="23"/>
  <c r="AE357" i="23"/>
  <c r="AB358" i="23"/>
  <c r="AC358" i="23"/>
  <c r="AD358" i="23"/>
  <c r="AE358" i="23"/>
  <c r="AB359" i="23"/>
  <c r="AC359" i="23"/>
  <c r="AD359" i="23"/>
  <c r="AE359" i="23"/>
  <c r="AB360" i="23"/>
  <c r="AC360" i="23"/>
  <c r="AD360" i="23"/>
  <c r="AE360" i="23"/>
  <c r="AB361" i="23"/>
  <c r="AC361" i="23"/>
  <c r="AD361" i="23"/>
  <c r="AE361" i="23"/>
  <c r="AB362" i="23"/>
  <c r="AC362" i="23"/>
  <c r="AD362" i="23"/>
  <c r="AE362" i="23"/>
  <c r="AB363" i="23"/>
  <c r="AC363" i="23"/>
  <c r="AD363" i="23"/>
  <c r="AE363" i="23"/>
  <c r="AB364" i="23"/>
  <c r="AC364" i="23"/>
  <c r="AD364" i="23"/>
  <c r="AE364" i="23"/>
  <c r="AB365" i="23"/>
  <c r="AC365" i="23"/>
  <c r="AD365" i="23"/>
  <c r="AE365" i="23"/>
  <c r="AB366" i="23"/>
  <c r="AC366" i="23"/>
  <c r="AD366" i="23"/>
  <c r="AE366" i="23"/>
  <c r="AB367" i="23"/>
  <c r="AC367" i="23"/>
  <c r="AD367" i="23"/>
  <c r="AE367" i="23"/>
  <c r="AB368" i="23"/>
  <c r="AC368" i="23"/>
  <c r="AD368" i="23"/>
  <c r="AE368" i="23"/>
  <c r="AB369" i="23"/>
  <c r="AC369" i="23"/>
  <c r="AD369" i="23"/>
  <c r="AE369" i="23"/>
  <c r="AB370" i="23"/>
  <c r="AC370" i="23"/>
  <c r="AD370" i="23"/>
  <c r="AE370" i="23"/>
  <c r="AB371" i="23"/>
  <c r="AC371" i="23"/>
  <c r="AD371" i="23"/>
  <c r="AE371" i="23"/>
  <c r="AB372" i="23"/>
  <c r="AC372" i="23"/>
  <c r="AD372" i="23"/>
  <c r="AE372" i="23"/>
  <c r="AB373" i="23"/>
  <c r="AC373" i="23"/>
  <c r="AD373" i="23"/>
  <c r="AE373" i="23"/>
  <c r="AB374" i="23"/>
  <c r="AC374" i="23"/>
  <c r="AD374" i="23"/>
  <c r="AE374" i="23"/>
  <c r="AB375" i="23"/>
  <c r="AC375" i="23"/>
  <c r="AD375" i="23"/>
  <c r="AE375" i="23"/>
  <c r="AB376" i="23"/>
  <c r="AC376" i="23"/>
  <c r="AD376" i="23"/>
  <c r="AE376" i="23"/>
  <c r="AB377" i="23"/>
  <c r="AC377" i="23"/>
  <c r="AD377" i="23"/>
  <c r="AE377" i="23"/>
  <c r="AB378" i="23"/>
  <c r="AC378" i="23"/>
  <c r="AD378" i="23"/>
  <c r="AE378" i="23"/>
  <c r="AB379" i="23"/>
  <c r="AC379" i="23"/>
  <c r="AD379" i="23"/>
  <c r="AE379" i="23"/>
  <c r="AB380" i="23"/>
  <c r="AC380" i="23"/>
  <c r="AD380" i="23"/>
  <c r="AE380" i="23"/>
  <c r="AB381" i="23"/>
  <c r="AC381" i="23"/>
  <c r="AD381" i="23"/>
  <c r="AE381" i="23"/>
  <c r="AB382" i="23"/>
  <c r="AC382" i="23"/>
  <c r="AD382" i="23"/>
  <c r="AE382" i="23"/>
  <c r="AB383" i="23"/>
  <c r="AC383" i="23"/>
  <c r="AD383" i="23"/>
  <c r="AE383" i="23"/>
  <c r="AB384" i="23"/>
  <c r="AC384" i="23"/>
  <c r="AD384" i="23"/>
  <c r="AE384" i="23"/>
  <c r="AB385" i="23"/>
  <c r="AC385" i="23"/>
  <c r="AD385" i="23"/>
  <c r="AE385" i="23"/>
  <c r="AB386" i="23"/>
  <c r="AC386" i="23"/>
  <c r="AD386" i="23"/>
  <c r="AE386" i="23"/>
  <c r="AB387" i="23"/>
  <c r="AC387" i="23"/>
  <c r="AD387" i="23"/>
  <c r="AE387" i="23"/>
  <c r="AB388" i="23"/>
  <c r="AC388" i="23"/>
  <c r="AD388" i="23"/>
  <c r="AE388" i="23"/>
  <c r="AB389" i="23"/>
  <c r="AC389" i="23"/>
  <c r="AD389" i="23"/>
  <c r="AE389" i="23"/>
  <c r="AB390" i="23"/>
  <c r="AC390" i="23"/>
  <c r="AD390" i="23"/>
  <c r="AE390" i="23"/>
  <c r="AB391" i="23"/>
  <c r="AC391" i="23"/>
  <c r="AD391" i="23"/>
  <c r="AE391" i="23"/>
  <c r="AB392" i="23"/>
  <c r="AC392" i="23"/>
  <c r="AD392" i="23"/>
  <c r="AE392" i="23"/>
  <c r="AB393" i="23"/>
  <c r="AC393" i="23"/>
  <c r="AD393" i="23"/>
  <c r="AE393" i="23"/>
  <c r="AB394" i="23"/>
  <c r="AC394" i="23"/>
  <c r="AD394" i="23"/>
  <c r="AE394" i="23"/>
  <c r="AB395" i="23"/>
  <c r="AC395" i="23"/>
  <c r="AD395" i="23"/>
  <c r="AE395" i="23"/>
  <c r="AB396" i="23"/>
  <c r="AC396" i="23"/>
  <c r="AD396" i="23"/>
  <c r="AE396" i="23"/>
  <c r="AB397" i="23"/>
  <c r="AC397" i="23"/>
  <c r="AD397" i="23"/>
  <c r="AE397" i="23"/>
  <c r="AB398" i="23"/>
  <c r="AC398" i="23"/>
  <c r="AD398" i="23"/>
  <c r="AE398" i="23"/>
  <c r="AB399" i="23"/>
  <c r="AC399" i="23"/>
  <c r="AD399" i="23"/>
  <c r="AE399" i="23"/>
  <c r="AB400" i="23"/>
  <c r="AC400" i="23"/>
  <c r="AD400" i="23"/>
  <c r="AE400" i="23"/>
  <c r="AB401" i="23"/>
  <c r="AC401" i="23"/>
  <c r="AD401" i="23"/>
  <c r="AE401" i="23"/>
  <c r="AB402" i="23"/>
  <c r="AC402" i="23"/>
  <c r="AD402" i="23"/>
  <c r="AE402" i="23"/>
  <c r="AB403" i="23"/>
  <c r="AC403" i="23"/>
  <c r="AD403" i="23"/>
  <c r="AE403" i="23"/>
  <c r="AB404" i="23"/>
  <c r="AC404" i="23"/>
  <c r="AD404" i="23"/>
  <c r="AE404" i="23"/>
  <c r="AB405" i="23"/>
  <c r="AC405" i="23"/>
  <c r="AD405" i="23"/>
  <c r="AE405" i="23"/>
  <c r="AB406" i="23"/>
  <c r="AC406" i="23"/>
  <c r="AD406" i="23"/>
  <c r="AE406" i="23"/>
  <c r="AB407" i="23"/>
  <c r="AC407" i="23"/>
  <c r="AD407" i="23"/>
  <c r="AE407" i="23"/>
  <c r="AB408" i="23"/>
  <c r="AC408" i="23"/>
  <c r="AD408" i="23"/>
  <c r="AE408" i="23"/>
  <c r="AB409" i="23"/>
  <c r="AC409" i="23"/>
  <c r="AD409" i="23"/>
  <c r="AE409" i="23"/>
  <c r="AB410" i="23"/>
  <c r="AC410" i="23"/>
  <c r="AD410" i="23"/>
  <c r="AE410" i="23"/>
  <c r="AB411" i="23"/>
  <c r="AC411" i="23"/>
  <c r="AD411" i="23"/>
  <c r="AE411" i="23"/>
  <c r="AB412" i="23"/>
  <c r="AC412" i="23"/>
  <c r="AD412" i="23"/>
  <c r="AE412" i="23"/>
  <c r="AB413" i="23"/>
  <c r="AC413" i="23"/>
  <c r="AD413" i="23"/>
  <c r="AE413" i="23"/>
  <c r="AB414" i="23"/>
  <c r="AC414" i="23"/>
  <c r="AD414" i="23"/>
  <c r="AE414" i="23"/>
  <c r="AB415" i="23"/>
  <c r="AC415" i="23"/>
  <c r="AD415" i="23"/>
  <c r="AE415" i="23"/>
  <c r="AB416" i="23"/>
  <c r="AC416" i="23"/>
  <c r="AD416" i="23"/>
  <c r="AE416" i="23"/>
  <c r="AB417" i="23"/>
  <c r="AC417" i="23"/>
  <c r="AD417" i="23"/>
  <c r="AE417" i="23"/>
  <c r="AB418" i="23"/>
  <c r="AC418" i="23"/>
  <c r="AD418" i="23"/>
  <c r="AE418" i="23"/>
  <c r="AB419" i="23"/>
  <c r="AC419" i="23"/>
  <c r="AD419" i="23"/>
  <c r="AB420" i="23"/>
  <c r="AC420" i="23"/>
  <c r="AD420" i="23"/>
  <c r="AE420" i="23"/>
  <c r="AB421" i="23"/>
  <c r="AC421" i="23"/>
  <c r="AD421" i="23"/>
  <c r="AE421" i="23"/>
  <c r="AB422" i="23"/>
  <c r="AC422" i="23"/>
  <c r="AD422" i="23"/>
  <c r="AE422" i="23"/>
  <c r="AB423" i="23"/>
  <c r="AC423" i="23"/>
  <c r="AD423" i="23"/>
  <c r="AE423" i="23"/>
  <c r="AB424" i="23"/>
  <c r="AC424" i="23"/>
  <c r="AD424" i="23"/>
  <c r="AE424" i="23"/>
  <c r="AB425" i="23"/>
  <c r="AC425" i="23"/>
  <c r="AD425" i="23"/>
  <c r="AE425" i="23"/>
  <c r="AB426" i="23"/>
  <c r="AC426" i="23"/>
  <c r="AD426" i="23"/>
  <c r="AE426" i="23"/>
  <c r="AB427" i="23"/>
  <c r="AC427" i="23"/>
  <c r="AD427" i="23"/>
  <c r="AE427" i="23"/>
  <c r="AB428" i="23"/>
  <c r="AC428" i="23"/>
  <c r="AD428" i="23"/>
  <c r="AE428" i="23"/>
  <c r="AB429" i="23"/>
  <c r="AC429" i="23"/>
  <c r="AD429" i="23"/>
  <c r="AE429" i="23"/>
  <c r="AB430" i="23"/>
  <c r="AC430" i="23"/>
  <c r="AD430" i="23"/>
  <c r="AE430" i="23"/>
  <c r="AB431" i="23"/>
  <c r="AC431" i="23"/>
  <c r="AD431" i="23"/>
  <c r="AE431" i="23"/>
  <c r="AB432" i="23"/>
  <c r="AC432" i="23"/>
  <c r="AD432" i="23"/>
  <c r="AE432" i="23"/>
  <c r="AB433" i="23"/>
  <c r="AC433" i="23"/>
  <c r="AD433" i="23"/>
  <c r="AE433" i="23"/>
  <c r="AB434" i="23"/>
  <c r="AC434" i="23"/>
  <c r="AD434" i="23"/>
  <c r="AE434" i="23"/>
  <c r="AB435" i="23"/>
  <c r="AC435" i="23"/>
  <c r="AD435" i="23"/>
  <c r="AE435" i="23"/>
  <c r="AB436" i="23"/>
  <c r="AC436" i="23"/>
  <c r="AD436" i="23"/>
  <c r="AE436" i="23"/>
  <c r="AB437" i="23"/>
  <c r="AC437" i="23"/>
  <c r="AD437" i="23"/>
  <c r="AE437" i="23"/>
  <c r="AB438" i="23"/>
  <c r="AC438" i="23"/>
  <c r="AD438" i="23"/>
  <c r="AE438" i="23"/>
  <c r="AB439" i="23"/>
  <c r="AC439" i="23"/>
  <c r="AD439" i="23"/>
  <c r="AE439" i="23"/>
  <c r="AB440" i="23"/>
  <c r="AC440" i="23"/>
  <c r="AD440" i="23"/>
  <c r="AE440" i="23"/>
  <c r="AB441" i="23"/>
  <c r="AC441" i="23"/>
  <c r="AD441" i="23"/>
  <c r="AE441" i="23"/>
  <c r="AB442" i="23"/>
  <c r="AC442" i="23"/>
  <c r="AD442" i="23"/>
  <c r="AE442" i="23"/>
  <c r="AB443" i="23"/>
  <c r="AC443" i="23"/>
  <c r="AD443" i="23"/>
  <c r="AE443" i="23"/>
  <c r="AB444" i="23"/>
  <c r="AC444" i="23"/>
  <c r="AD444" i="23"/>
  <c r="AE444" i="23"/>
  <c r="AB445" i="23"/>
  <c r="AC445" i="23"/>
  <c r="AD445" i="23"/>
  <c r="AE445" i="23"/>
  <c r="AB446" i="23"/>
  <c r="AC446" i="23"/>
  <c r="AD446" i="23"/>
  <c r="AE446" i="23"/>
  <c r="AB447" i="23"/>
  <c r="AC447" i="23"/>
  <c r="AD447" i="23"/>
  <c r="AE447" i="23"/>
  <c r="AB448" i="23"/>
  <c r="AC448" i="23"/>
  <c r="AD448" i="23"/>
  <c r="AE448" i="23"/>
  <c r="AB449" i="23"/>
  <c r="AC449" i="23"/>
  <c r="AD449" i="23"/>
  <c r="AE449" i="23"/>
  <c r="AB450" i="23"/>
  <c r="AC450" i="23"/>
  <c r="AD450" i="23"/>
  <c r="AE450" i="23"/>
  <c r="AB451" i="23"/>
  <c r="AC451" i="23"/>
  <c r="AD451" i="23"/>
  <c r="AE451" i="23"/>
  <c r="AB452" i="23"/>
  <c r="AC452" i="23"/>
  <c r="AD452" i="23"/>
  <c r="AE452" i="23"/>
  <c r="AB453" i="23"/>
  <c r="AC453" i="23"/>
  <c r="AD453" i="23"/>
  <c r="AE453" i="23"/>
  <c r="AB454" i="23"/>
  <c r="AC454" i="23"/>
  <c r="AD454" i="23"/>
  <c r="AE454" i="23"/>
  <c r="AB455" i="23"/>
  <c r="AC455" i="23"/>
  <c r="AD455" i="23"/>
  <c r="AE455" i="23"/>
  <c r="AB456" i="23"/>
  <c r="AC456" i="23"/>
  <c r="AD456" i="23"/>
  <c r="AE456" i="23"/>
  <c r="AB457" i="23"/>
  <c r="AC457" i="23"/>
  <c r="AD457" i="23"/>
  <c r="AE457" i="23"/>
  <c r="AB458" i="23"/>
  <c r="AC458" i="23"/>
  <c r="AD458" i="23"/>
  <c r="AE458" i="23"/>
  <c r="AB459" i="23"/>
  <c r="AC459" i="23"/>
  <c r="AD459" i="23"/>
  <c r="AE459" i="23"/>
  <c r="AB460" i="23"/>
  <c r="AC460" i="23"/>
  <c r="AD460" i="23"/>
  <c r="AE460" i="23"/>
  <c r="AB461" i="23"/>
  <c r="AC461" i="23"/>
  <c r="AD461" i="23"/>
  <c r="AE461" i="23"/>
  <c r="AB462" i="23"/>
  <c r="AC462" i="23"/>
  <c r="AD462" i="23"/>
  <c r="AE462" i="23"/>
  <c r="AB463" i="23"/>
  <c r="AC463" i="23"/>
  <c r="AD463" i="23"/>
  <c r="AE463" i="23"/>
  <c r="AB464" i="23"/>
  <c r="AC464" i="23"/>
  <c r="AD464" i="23"/>
  <c r="AE464" i="23"/>
  <c r="AB465" i="23"/>
  <c r="AC465" i="23"/>
  <c r="AD465" i="23"/>
  <c r="AE465" i="23"/>
  <c r="AB466" i="23"/>
  <c r="AC466" i="23"/>
  <c r="AD466" i="23"/>
  <c r="AE466" i="23"/>
  <c r="AB467" i="23"/>
  <c r="AC467" i="23"/>
  <c r="AD467" i="23"/>
  <c r="AE467" i="23"/>
  <c r="AB468" i="23"/>
  <c r="AC468" i="23"/>
  <c r="AD468" i="23"/>
  <c r="AE468" i="23"/>
  <c r="AB469" i="23"/>
  <c r="AC469" i="23"/>
  <c r="AD469" i="23"/>
  <c r="AE469" i="23"/>
  <c r="AB470" i="23"/>
  <c r="AC470" i="23"/>
  <c r="AD470" i="23"/>
  <c r="AE470" i="23"/>
  <c r="AB471" i="23"/>
  <c r="AC471" i="23"/>
  <c r="AD471" i="23"/>
  <c r="AE471" i="23"/>
  <c r="AB472" i="23"/>
  <c r="AC472" i="23"/>
  <c r="AD472" i="23"/>
  <c r="AE472" i="23"/>
  <c r="AB473" i="23"/>
  <c r="AC473" i="23"/>
  <c r="AD473" i="23"/>
  <c r="AE473" i="23"/>
  <c r="AB474" i="23"/>
  <c r="AC474" i="23"/>
  <c r="AD474" i="23"/>
  <c r="AE474" i="23"/>
  <c r="AB475" i="23"/>
  <c r="AC475" i="23"/>
  <c r="AD475" i="23"/>
  <c r="AE475" i="23"/>
  <c r="AB476" i="23"/>
  <c r="AC476" i="23"/>
  <c r="AD476" i="23"/>
  <c r="AE476" i="23"/>
  <c r="AB477" i="23"/>
  <c r="AC477" i="23"/>
  <c r="AD477" i="23"/>
  <c r="AE477" i="23"/>
  <c r="AB478" i="23"/>
  <c r="AC478" i="23"/>
  <c r="AD478" i="23"/>
  <c r="AE478" i="23"/>
  <c r="AB479" i="23"/>
  <c r="AC479" i="23"/>
  <c r="AD479" i="23"/>
  <c r="AE479" i="23"/>
  <c r="AB480" i="23"/>
  <c r="AC480" i="23"/>
  <c r="AD480" i="23"/>
  <c r="AE480" i="23"/>
  <c r="AB481" i="23"/>
  <c r="AC481" i="23"/>
  <c r="AD481" i="23"/>
  <c r="AE481" i="23"/>
  <c r="AB482" i="23"/>
  <c r="AC482" i="23"/>
  <c r="AD482" i="23"/>
  <c r="AE482" i="23"/>
  <c r="AB483" i="23"/>
  <c r="AC483" i="23"/>
  <c r="AD483" i="23"/>
  <c r="AE483" i="23"/>
  <c r="AB484" i="23"/>
  <c r="AC484" i="23"/>
  <c r="AD484" i="23"/>
  <c r="AE484" i="23"/>
  <c r="AB485" i="23"/>
  <c r="AC485" i="23"/>
  <c r="AD485" i="23"/>
  <c r="AE485" i="23"/>
  <c r="AB486" i="23"/>
  <c r="AC486" i="23"/>
  <c r="AD486" i="23"/>
  <c r="AE486" i="23"/>
  <c r="AB487" i="23"/>
  <c r="AC487" i="23"/>
  <c r="AD487" i="23"/>
  <c r="AE487" i="23"/>
  <c r="AB488" i="23"/>
  <c r="AC488" i="23"/>
  <c r="AD488" i="23"/>
  <c r="AE488" i="23"/>
  <c r="AB489" i="23"/>
  <c r="AC489" i="23"/>
  <c r="AD489" i="23"/>
  <c r="AE489" i="23"/>
  <c r="AB490" i="23"/>
  <c r="AC490" i="23"/>
  <c r="AD490" i="23"/>
  <c r="AE490" i="23"/>
  <c r="AB491" i="23"/>
  <c r="AC491" i="23"/>
  <c r="AD491" i="23"/>
  <c r="AE491" i="23"/>
  <c r="AB492" i="23"/>
  <c r="AC492" i="23"/>
  <c r="AD492" i="23"/>
  <c r="AE492" i="23"/>
  <c r="AB493" i="23"/>
  <c r="AC493" i="23"/>
  <c r="AD493" i="23"/>
  <c r="AE493" i="23"/>
  <c r="AB494" i="23"/>
  <c r="AC494" i="23"/>
  <c r="AD494" i="23"/>
  <c r="AE494" i="23"/>
  <c r="AB495" i="23"/>
  <c r="AC495" i="23"/>
  <c r="AD495" i="23"/>
  <c r="AE495" i="23"/>
  <c r="AB496" i="23"/>
  <c r="AC496" i="23"/>
  <c r="AD496" i="23"/>
  <c r="AE496" i="23"/>
  <c r="AB497" i="23"/>
  <c r="AC497" i="23"/>
  <c r="AD497" i="23"/>
  <c r="AE497" i="23"/>
  <c r="AB498" i="23"/>
  <c r="AC498" i="23"/>
  <c r="AD498" i="23"/>
  <c r="AE498" i="23"/>
  <c r="AB499" i="23"/>
  <c r="AC499" i="23"/>
  <c r="AD499" i="23"/>
  <c r="AE499" i="23"/>
  <c r="AB500" i="23"/>
  <c r="AC500" i="23"/>
  <c r="AD500" i="23"/>
  <c r="AE500" i="23"/>
  <c r="AB501" i="23"/>
  <c r="AC501" i="23"/>
  <c r="AD501" i="23"/>
  <c r="AE501" i="23"/>
  <c r="AB502" i="23"/>
  <c r="AC502" i="23"/>
  <c r="AD502" i="23"/>
  <c r="AE502" i="23"/>
  <c r="AB503" i="23"/>
  <c r="AC503" i="23"/>
  <c r="AD503" i="23"/>
  <c r="AE503" i="23"/>
  <c r="AB504" i="23"/>
  <c r="AC504" i="23"/>
  <c r="AD504" i="23"/>
  <c r="AE504" i="23"/>
  <c r="AB505" i="23"/>
  <c r="AC505" i="23"/>
  <c r="AD505" i="23"/>
  <c r="AE505" i="23"/>
  <c r="AB506" i="23"/>
  <c r="AC506" i="23"/>
  <c r="AD506" i="23"/>
  <c r="AE506" i="23"/>
  <c r="AB507" i="23"/>
  <c r="AC507" i="23"/>
  <c r="AD507" i="23"/>
  <c r="AE507" i="23"/>
  <c r="AB508" i="23"/>
  <c r="AC508" i="23"/>
  <c r="AD508" i="23"/>
  <c r="AE508" i="23"/>
  <c r="AB509" i="23"/>
  <c r="AC509" i="23"/>
  <c r="AD509" i="23"/>
  <c r="AE509" i="23"/>
  <c r="AB510" i="23"/>
  <c r="AC510" i="23"/>
  <c r="AD510" i="23"/>
  <c r="AE510" i="23"/>
  <c r="AB511" i="23"/>
  <c r="AC511" i="23"/>
  <c r="AD511" i="23"/>
  <c r="AE511" i="23"/>
  <c r="AB512" i="23"/>
  <c r="AC512" i="23"/>
  <c r="AD512" i="23"/>
  <c r="AE512" i="23"/>
  <c r="AB513" i="23"/>
  <c r="AC513" i="23"/>
  <c r="AD513" i="23"/>
  <c r="AE513" i="23"/>
  <c r="AB514" i="23"/>
  <c r="AC514" i="23"/>
  <c r="AD514" i="23"/>
  <c r="AE514" i="23"/>
  <c r="AB515" i="23"/>
  <c r="AC515" i="23"/>
  <c r="AD515" i="23"/>
  <c r="AE515" i="23"/>
  <c r="AB516" i="23"/>
  <c r="AC516" i="23"/>
  <c r="AD516" i="23"/>
  <c r="AE516" i="23"/>
  <c r="AB517" i="23"/>
  <c r="AC517" i="23"/>
  <c r="AD517" i="23"/>
  <c r="AE517" i="23"/>
  <c r="AB518" i="23"/>
  <c r="AC518" i="23"/>
  <c r="AD518" i="23"/>
  <c r="AE518" i="23"/>
  <c r="AB519" i="23"/>
  <c r="AC519" i="23"/>
  <c r="AD519" i="23"/>
  <c r="AE519" i="23"/>
  <c r="AB520" i="23"/>
  <c r="AC520" i="23"/>
  <c r="AD520" i="23"/>
  <c r="AE520" i="23"/>
  <c r="AB521" i="23"/>
  <c r="AC521" i="23"/>
  <c r="AD521" i="23"/>
  <c r="AE521" i="23"/>
  <c r="AB522" i="23"/>
  <c r="AC522" i="23"/>
  <c r="AD522" i="23"/>
  <c r="AE522" i="23"/>
  <c r="AB523" i="23"/>
  <c r="AC523" i="23"/>
  <c r="AD523" i="23"/>
  <c r="AE523" i="23"/>
  <c r="AB524" i="23"/>
  <c r="AC524" i="23"/>
  <c r="AD524" i="23"/>
  <c r="AE524" i="23"/>
  <c r="AB525" i="23"/>
  <c r="AC525" i="23"/>
  <c r="AD525" i="23"/>
  <c r="AE525" i="23"/>
  <c r="AB526" i="23"/>
  <c r="AC526" i="23"/>
  <c r="AD526" i="23"/>
  <c r="AE526" i="23"/>
  <c r="AB527" i="23"/>
  <c r="AC527" i="23"/>
  <c r="AD527" i="23"/>
  <c r="AE527" i="23"/>
  <c r="AB528" i="23"/>
  <c r="AC528" i="23"/>
  <c r="AD528" i="23"/>
  <c r="AE528" i="23"/>
  <c r="AB529" i="23"/>
  <c r="AC529" i="23"/>
  <c r="AD529" i="23"/>
  <c r="AE529" i="23"/>
  <c r="AB530" i="23"/>
  <c r="AC530" i="23"/>
  <c r="AD530" i="23"/>
  <c r="AE530" i="23"/>
  <c r="AB531" i="23"/>
  <c r="AC531" i="23"/>
  <c r="AD531" i="23"/>
  <c r="AE531" i="23"/>
  <c r="AB532" i="23"/>
  <c r="AC532" i="23"/>
  <c r="AD532" i="23"/>
  <c r="AE532" i="23"/>
  <c r="AB533" i="23"/>
  <c r="AC533" i="23"/>
  <c r="AD533" i="23"/>
  <c r="AE533" i="23"/>
  <c r="AB534" i="23"/>
  <c r="AC534" i="23"/>
  <c r="AD534" i="23"/>
  <c r="AE534" i="23"/>
  <c r="AB535" i="23"/>
  <c r="AC535" i="23"/>
  <c r="AD535" i="23"/>
  <c r="AE535" i="23"/>
  <c r="AB536" i="23"/>
  <c r="AC536" i="23"/>
  <c r="AD536" i="23"/>
  <c r="AE536" i="23"/>
  <c r="AB537" i="23"/>
  <c r="AC537" i="23"/>
  <c r="AD537" i="23"/>
  <c r="AE537" i="23"/>
  <c r="AB538" i="23"/>
  <c r="AC538" i="23"/>
  <c r="AD538" i="23"/>
  <c r="AE538" i="23"/>
  <c r="AB539" i="23"/>
  <c r="AC539" i="23"/>
  <c r="AD539" i="23"/>
  <c r="AE539" i="23"/>
  <c r="AB540" i="23"/>
  <c r="AC540" i="23"/>
  <c r="AD540" i="23"/>
  <c r="AE540" i="23"/>
  <c r="AB541" i="23"/>
  <c r="AC541" i="23"/>
  <c r="AD541" i="23"/>
  <c r="AE541" i="23"/>
  <c r="AB542" i="23"/>
  <c r="AC542" i="23"/>
  <c r="AD542" i="23"/>
  <c r="AE542" i="23"/>
  <c r="AB543" i="23"/>
  <c r="AC543" i="23"/>
  <c r="AD543" i="23"/>
  <c r="AE543" i="23"/>
  <c r="AB544" i="23"/>
  <c r="AC544" i="23"/>
  <c r="AD544" i="23"/>
  <c r="AE544" i="23"/>
  <c r="AB545" i="23"/>
  <c r="AC545" i="23"/>
  <c r="AD545" i="23"/>
  <c r="AE545" i="23"/>
  <c r="AB546" i="23"/>
  <c r="AC546" i="23"/>
  <c r="AD546" i="23"/>
  <c r="AE546" i="23"/>
  <c r="AB547" i="23"/>
  <c r="AC547" i="23"/>
  <c r="AD547" i="23"/>
  <c r="AE547" i="23"/>
  <c r="AB548" i="23"/>
  <c r="AC548" i="23"/>
  <c r="AD548" i="23"/>
  <c r="AE548" i="23"/>
  <c r="AB549" i="23"/>
  <c r="AC549" i="23"/>
  <c r="AD549" i="23"/>
  <c r="AE549" i="23"/>
  <c r="AB550" i="23"/>
  <c r="AC550" i="23"/>
  <c r="AD550" i="23"/>
  <c r="AE550" i="23"/>
  <c r="AB551" i="23"/>
  <c r="AC551" i="23"/>
  <c r="AD551" i="23"/>
  <c r="AE551" i="23"/>
  <c r="AB552" i="23"/>
  <c r="AC552" i="23"/>
  <c r="AD552" i="23"/>
  <c r="AE552" i="23"/>
  <c r="AB553" i="23"/>
  <c r="AC553" i="23"/>
  <c r="AD553" i="23"/>
  <c r="AE553" i="23"/>
  <c r="AB554" i="23"/>
  <c r="AC554" i="23"/>
  <c r="AD554" i="23"/>
  <c r="AE554" i="23"/>
  <c r="AB555" i="23"/>
  <c r="AC555" i="23"/>
  <c r="AD555" i="23"/>
  <c r="AE555" i="23"/>
  <c r="AB556" i="23"/>
  <c r="AC556" i="23"/>
  <c r="AD556" i="23"/>
  <c r="AE556" i="23"/>
  <c r="AB557" i="23"/>
  <c r="AC557" i="23"/>
  <c r="AD557" i="23"/>
  <c r="AE557" i="23"/>
  <c r="AB558" i="23"/>
  <c r="AC558" i="23"/>
  <c r="AD558" i="23"/>
  <c r="AE558" i="23"/>
  <c r="AB559" i="23"/>
  <c r="AC559" i="23"/>
  <c r="AD559" i="23"/>
  <c r="AE559" i="23"/>
  <c r="AB560" i="23"/>
  <c r="AC560" i="23"/>
  <c r="AD560" i="23"/>
  <c r="AE560" i="23"/>
  <c r="AB561" i="23"/>
  <c r="AC561" i="23"/>
  <c r="AD561" i="23"/>
  <c r="AE561" i="23"/>
  <c r="AB562" i="23"/>
  <c r="AC562" i="23"/>
  <c r="AD562" i="23"/>
  <c r="AE562" i="23"/>
  <c r="AB563" i="23"/>
  <c r="AC563" i="23"/>
  <c r="AD563" i="23"/>
  <c r="AE563" i="23"/>
  <c r="AB564" i="23"/>
  <c r="AC564" i="23"/>
  <c r="AD564" i="23"/>
  <c r="AE564" i="23"/>
  <c r="AB565" i="23"/>
  <c r="AC565" i="23"/>
  <c r="AD565" i="23"/>
  <c r="AE565" i="23"/>
  <c r="AB566" i="23"/>
  <c r="AC566" i="23"/>
  <c r="AD566" i="23"/>
  <c r="AE566" i="23"/>
  <c r="AB567" i="23"/>
  <c r="AC567" i="23"/>
  <c r="AD567" i="23"/>
  <c r="AE567" i="23"/>
  <c r="AB568" i="23"/>
  <c r="AC568" i="23"/>
  <c r="AD568" i="23"/>
  <c r="AE568" i="23"/>
  <c r="AB569" i="23"/>
  <c r="AC569" i="23"/>
  <c r="AD569" i="23"/>
  <c r="AE569" i="23"/>
  <c r="AB570" i="23"/>
  <c r="AC570" i="23"/>
  <c r="AD570" i="23"/>
  <c r="AE570" i="23"/>
  <c r="AB571" i="23"/>
  <c r="AC571" i="23"/>
  <c r="AD571" i="23"/>
  <c r="AE571" i="23"/>
  <c r="AB572" i="23"/>
  <c r="AC572" i="23"/>
  <c r="AD572" i="23"/>
  <c r="AE572" i="23"/>
  <c r="AB573" i="23"/>
  <c r="AC573" i="23"/>
  <c r="AD573" i="23"/>
  <c r="AE573" i="23"/>
  <c r="AB574" i="23"/>
  <c r="AC574" i="23"/>
  <c r="AD574" i="23"/>
  <c r="AE574" i="23"/>
  <c r="AB575" i="23"/>
  <c r="AC575" i="23"/>
  <c r="AD575" i="23"/>
  <c r="AE575" i="23"/>
  <c r="AB576" i="23"/>
  <c r="AC576" i="23"/>
  <c r="AD576" i="23"/>
  <c r="AE576" i="23"/>
  <c r="AB577" i="23"/>
  <c r="AC577" i="23"/>
  <c r="AD577" i="23"/>
  <c r="AE577" i="23"/>
  <c r="AB578" i="23"/>
  <c r="AC578" i="23"/>
  <c r="AD578" i="23"/>
  <c r="AE578" i="23"/>
  <c r="AB579" i="23"/>
  <c r="AC579" i="23"/>
  <c r="AD579" i="23"/>
  <c r="AE579" i="23"/>
  <c r="AB580" i="23"/>
  <c r="AC580" i="23"/>
  <c r="AD580" i="23"/>
  <c r="AE580" i="23"/>
  <c r="AB581" i="23"/>
  <c r="AC581" i="23"/>
  <c r="AD581" i="23"/>
  <c r="AE581" i="23"/>
  <c r="AB582" i="23"/>
  <c r="AC582" i="23"/>
  <c r="AD582" i="23"/>
  <c r="AE582" i="23"/>
  <c r="AB583" i="23"/>
  <c r="AC583" i="23"/>
  <c r="AD583" i="23"/>
  <c r="AE583" i="23"/>
  <c r="AB584" i="23"/>
  <c r="AC584" i="23"/>
  <c r="AD584" i="23"/>
  <c r="AE584" i="23"/>
  <c r="AB585" i="23"/>
  <c r="AC585" i="23"/>
  <c r="AD585" i="23"/>
  <c r="AE585" i="23"/>
  <c r="AB586" i="23"/>
  <c r="AC586" i="23"/>
  <c r="AD586" i="23"/>
  <c r="AE586" i="23"/>
  <c r="AB587" i="23"/>
  <c r="AC587" i="23"/>
  <c r="AD587" i="23"/>
  <c r="AE587" i="23"/>
  <c r="AB588" i="23"/>
  <c r="AC588" i="23"/>
  <c r="AD588" i="23"/>
  <c r="AE588" i="23"/>
  <c r="AB589" i="23"/>
  <c r="AC589" i="23"/>
  <c r="AD589" i="23"/>
  <c r="AE589" i="23"/>
  <c r="AB590" i="23"/>
  <c r="AC590" i="23"/>
  <c r="AD590" i="23"/>
  <c r="AE590" i="23"/>
  <c r="AB591" i="23"/>
  <c r="AC591" i="23"/>
  <c r="AD591" i="23"/>
  <c r="AE591" i="23"/>
  <c r="AB592" i="23"/>
  <c r="AC592" i="23"/>
  <c r="AD592" i="23"/>
  <c r="AE592" i="23"/>
  <c r="AB593" i="23"/>
  <c r="AC593" i="23"/>
  <c r="AD593" i="23"/>
  <c r="AE593" i="23"/>
  <c r="AB594" i="23"/>
  <c r="AC594" i="23"/>
  <c r="AD594" i="23"/>
  <c r="AE594" i="23"/>
  <c r="AB595" i="23"/>
  <c r="AC595" i="23"/>
  <c r="AD595" i="23"/>
  <c r="AE595" i="23"/>
  <c r="AB596" i="23"/>
  <c r="AC596" i="23"/>
  <c r="AD596" i="23"/>
  <c r="AE596" i="23"/>
  <c r="AB597" i="23"/>
  <c r="AC597" i="23"/>
  <c r="AD597" i="23"/>
  <c r="AE597" i="23"/>
  <c r="AB598" i="23"/>
  <c r="AC598" i="23"/>
  <c r="AD598" i="23"/>
  <c r="AE598" i="23"/>
  <c r="AB599" i="23"/>
  <c r="AC599" i="23"/>
  <c r="AD599" i="23"/>
  <c r="AE599" i="23"/>
  <c r="AB600" i="23"/>
  <c r="AC600" i="23"/>
  <c r="AD600" i="23"/>
  <c r="AE600" i="23"/>
  <c r="AB601" i="23"/>
  <c r="AC601" i="23"/>
  <c r="AD601" i="23"/>
  <c r="AE601" i="23"/>
  <c r="AB602" i="23"/>
  <c r="AC602" i="23"/>
  <c r="AD602" i="23"/>
  <c r="AE602" i="23"/>
  <c r="AB603" i="23"/>
  <c r="AC603" i="23"/>
  <c r="AD603" i="23"/>
  <c r="AE603" i="23"/>
  <c r="AB604" i="23"/>
  <c r="AC604" i="23"/>
  <c r="AD604" i="23"/>
  <c r="AE604" i="23"/>
  <c r="AB605" i="23"/>
  <c r="AC605" i="23"/>
  <c r="AD605" i="23"/>
  <c r="AE605" i="23"/>
  <c r="AB606" i="23"/>
  <c r="AC606" i="23"/>
  <c r="AD606" i="23"/>
  <c r="AE606" i="23"/>
  <c r="AB607" i="23"/>
  <c r="AC607" i="23"/>
  <c r="AD607" i="23"/>
  <c r="AE607" i="23"/>
  <c r="AB608" i="23"/>
  <c r="AC608" i="23"/>
  <c r="AD608" i="23"/>
  <c r="AE608" i="23"/>
  <c r="AB609" i="23"/>
  <c r="AC609" i="23"/>
  <c r="AD609" i="23"/>
  <c r="AE609" i="23"/>
  <c r="AB610" i="23"/>
  <c r="AC610" i="23"/>
  <c r="AD610" i="23"/>
  <c r="AE610" i="23"/>
  <c r="AB611" i="23"/>
  <c r="AC611" i="23"/>
  <c r="AD611" i="23"/>
  <c r="AE611" i="23"/>
  <c r="AB612" i="23"/>
  <c r="AC612" i="23"/>
  <c r="AD612" i="23"/>
  <c r="AE612" i="23"/>
  <c r="AB613" i="23"/>
  <c r="AC613" i="23"/>
  <c r="AD613" i="23"/>
  <c r="AE613" i="23"/>
  <c r="AB614" i="23"/>
  <c r="AC614" i="23"/>
  <c r="AD614" i="23"/>
  <c r="AE614" i="23"/>
  <c r="AB615" i="23"/>
  <c r="AC615" i="23"/>
  <c r="AD615" i="23"/>
  <c r="AE615" i="23"/>
  <c r="AB616" i="23"/>
  <c r="AC616" i="23"/>
  <c r="AD616" i="23"/>
  <c r="AE616" i="23"/>
  <c r="AB617" i="23"/>
  <c r="AC617" i="23"/>
  <c r="AD617" i="23"/>
  <c r="AE617" i="23"/>
  <c r="AB618" i="23"/>
  <c r="AC618" i="23"/>
  <c r="AD618" i="23"/>
  <c r="AE618" i="23"/>
  <c r="AB619" i="23"/>
  <c r="AC619" i="23"/>
  <c r="AD619" i="23"/>
  <c r="AE619" i="23"/>
  <c r="AB620" i="23"/>
  <c r="AC620" i="23"/>
  <c r="AD620" i="23"/>
  <c r="AE620" i="23"/>
  <c r="AB621" i="23"/>
  <c r="AC621" i="23"/>
  <c r="AD621" i="23"/>
  <c r="AE621" i="23"/>
  <c r="AB622" i="23"/>
  <c r="AC622" i="23"/>
  <c r="AD622" i="23"/>
  <c r="AE622" i="23"/>
  <c r="AB623" i="23"/>
  <c r="AC623" i="23"/>
  <c r="AD623" i="23"/>
  <c r="AE623" i="23"/>
  <c r="AB624" i="23"/>
  <c r="AC624" i="23"/>
  <c r="AD624" i="23"/>
  <c r="AE624" i="23"/>
  <c r="AB625" i="23"/>
  <c r="AC625" i="23"/>
  <c r="AD625" i="23"/>
  <c r="AE625" i="23"/>
  <c r="AB626" i="23"/>
  <c r="AC626" i="23"/>
  <c r="AD626" i="23"/>
  <c r="AE626" i="23"/>
  <c r="AB627" i="23"/>
  <c r="AC627" i="23"/>
  <c r="AD627" i="23"/>
  <c r="AE627" i="23"/>
  <c r="AB628" i="23"/>
  <c r="AC628" i="23"/>
  <c r="AD628" i="23"/>
  <c r="AE628" i="23"/>
  <c r="AB629" i="23"/>
  <c r="AC629" i="23"/>
  <c r="AD629" i="23"/>
  <c r="AE629" i="23"/>
  <c r="AB630" i="23"/>
  <c r="AC630" i="23"/>
  <c r="AD630" i="23"/>
  <c r="AE630" i="23"/>
  <c r="AB631" i="23"/>
  <c r="AC631" i="23"/>
  <c r="AD631" i="23"/>
  <c r="AE631" i="23"/>
  <c r="AB632" i="23"/>
  <c r="AC632" i="23"/>
  <c r="AD632" i="23"/>
  <c r="AE632" i="23"/>
  <c r="AB633" i="23"/>
  <c r="AC633" i="23"/>
  <c r="AD633" i="23"/>
  <c r="AE633" i="23"/>
  <c r="AB634" i="23"/>
  <c r="AC634" i="23"/>
  <c r="AD634" i="23"/>
  <c r="AE634" i="23"/>
  <c r="AB635" i="23"/>
  <c r="AC635" i="23"/>
  <c r="AD635" i="23"/>
  <c r="AE635" i="23"/>
  <c r="AB636" i="23"/>
  <c r="AC636" i="23"/>
  <c r="AD636" i="23"/>
  <c r="AE636" i="23"/>
  <c r="AB637" i="23"/>
  <c r="AC637" i="23"/>
  <c r="AD637" i="23"/>
  <c r="AE637" i="23"/>
  <c r="AB638" i="23"/>
  <c r="AC638" i="23"/>
  <c r="AD638" i="23"/>
  <c r="AE638" i="23"/>
  <c r="AB639" i="23"/>
  <c r="AC639" i="23"/>
  <c r="AD639" i="23"/>
  <c r="AE639" i="23"/>
  <c r="AB640" i="23"/>
  <c r="AC640" i="23"/>
  <c r="AD640" i="23"/>
  <c r="AE640" i="23"/>
  <c r="AB641" i="23"/>
  <c r="AC641" i="23"/>
  <c r="AD641" i="23"/>
  <c r="AE641" i="23"/>
  <c r="AB642" i="23"/>
  <c r="AC642" i="23"/>
  <c r="AD642" i="23"/>
  <c r="AE642" i="23"/>
  <c r="AB643" i="23"/>
  <c r="AC643" i="23"/>
  <c r="AD643" i="23"/>
  <c r="AE643" i="23"/>
  <c r="AB644" i="23"/>
  <c r="AC644" i="23"/>
  <c r="AD644" i="23"/>
  <c r="AE644" i="23"/>
  <c r="AB645" i="23"/>
  <c r="AC645" i="23"/>
  <c r="AD645" i="23"/>
  <c r="AE645" i="23"/>
  <c r="AB646" i="23"/>
  <c r="AC646" i="23"/>
  <c r="AD646" i="23"/>
  <c r="AE646" i="23"/>
  <c r="AB647" i="23"/>
  <c r="AC647" i="23"/>
  <c r="AD647" i="23"/>
  <c r="AE647" i="23"/>
  <c r="AB648" i="23"/>
  <c r="AC648" i="23"/>
  <c r="AD648" i="23"/>
  <c r="AE648" i="23"/>
  <c r="AB649" i="23"/>
  <c r="AC649" i="23"/>
  <c r="AD649" i="23"/>
  <c r="AE649" i="23"/>
  <c r="AB650" i="23"/>
  <c r="AC650" i="23"/>
  <c r="AD650" i="23"/>
  <c r="AE650" i="23"/>
  <c r="AB651" i="23"/>
  <c r="AC651" i="23"/>
  <c r="AD651" i="23"/>
  <c r="AE651" i="23"/>
  <c r="AB652" i="23"/>
  <c r="AC652" i="23"/>
  <c r="AD652" i="23"/>
  <c r="AE652" i="23"/>
  <c r="AB653" i="23"/>
  <c r="AC653" i="23"/>
  <c r="AD653" i="23"/>
  <c r="AE653" i="23"/>
  <c r="AB654" i="23"/>
  <c r="AC654" i="23"/>
  <c r="AD654" i="23"/>
  <c r="AE654" i="23"/>
  <c r="AB655" i="23"/>
  <c r="AC655" i="23"/>
  <c r="AD655" i="23"/>
  <c r="AE655" i="23"/>
  <c r="AB656" i="23"/>
  <c r="AC656" i="23"/>
  <c r="AD656" i="23"/>
  <c r="AE656" i="23"/>
  <c r="AB657" i="23"/>
  <c r="AC657" i="23"/>
  <c r="AD657" i="23"/>
  <c r="AE657" i="23"/>
  <c r="AB658" i="23"/>
  <c r="AC658" i="23"/>
  <c r="AD658" i="23"/>
  <c r="AE658" i="23"/>
  <c r="AB659" i="23"/>
  <c r="AC659" i="23"/>
  <c r="AD659" i="23"/>
  <c r="AE659" i="23"/>
  <c r="AB660" i="23"/>
  <c r="AC660" i="23"/>
  <c r="AD660" i="23"/>
  <c r="AE660" i="23"/>
  <c r="AB661" i="23"/>
  <c r="AC661" i="23"/>
  <c r="AD661" i="23"/>
  <c r="AE661" i="23"/>
  <c r="AB662" i="23"/>
  <c r="AC662" i="23"/>
  <c r="AD662" i="23"/>
  <c r="AE662" i="23"/>
  <c r="AB663" i="23"/>
  <c r="AC663" i="23"/>
  <c r="AD663" i="23"/>
  <c r="AE663" i="23"/>
  <c r="AB664" i="23"/>
  <c r="AC664" i="23"/>
  <c r="AD664" i="23"/>
  <c r="AE664" i="23"/>
  <c r="AB665" i="23"/>
  <c r="AC665" i="23"/>
  <c r="AD665" i="23"/>
  <c r="AE665" i="23"/>
  <c r="AB666" i="23"/>
  <c r="AC666" i="23"/>
  <c r="AD666" i="23"/>
  <c r="AE666" i="23"/>
  <c r="AB667" i="23"/>
  <c r="AC667" i="23"/>
  <c r="AD667" i="23"/>
  <c r="AE667" i="23"/>
  <c r="AB668" i="23"/>
  <c r="AC668" i="23"/>
  <c r="AD668" i="23"/>
  <c r="AE668" i="23"/>
  <c r="AB669" i="23"/>
  <c r="AC669" i="23"/>
  <c r="AD669" i="23"/>
  <c r="AE669" i="23"/>
  <c r="AB670" i="23"/>
  <c r="AC670" i="23"/>
  <c r="AD670" i="23"/>
  <c r="AE670" i="23"/>
  <c r="AB671" i="23"/>
  <c r="AC671" i="23"/>
  <c r="AD671" i="23"/>
  <c r="AE671" i="23"/>
  <c r="AB672" i="23"/>
  <c r="AC672" i="23"/>
  <c r="AD672" i="23"/>
  <c r="AE672" i="23"/>
  <c r="AB673" i="23"/>
  <c r="AC673" i="23"/>
  <c r="AD673" i="23"/>
  <c r="AE673" i="23"/>
  <c r="AB674" i="23"/>
  <c r="AC674" i="23"/>
  <c r="AD674" i="23"/>
  <c r="AE674" i="23"/>
  <c r="AB675" i="23"/>
  <c r="AC675" i="23"/>
  <c r="AD675" i="23"/>
  <c r="AE675" i="23"/>
  <c r="AB676" i="23"/>
  <c r="AC676" i="23"/>
  <c r="AD676" i="23"/>
  <c r="AE676" i="23"/>
  <c r="AB677" i="23"/>
  <c r="AC677" i="23"/>
  <c r="AD677" i="23"/>
  <c r="AE677" i="23"/>
  <c r="AB678" i="23"/>
  <c r="AC678" i="23"/>
  <c r="AD678" i="23"/>
  <c r="AE678" i="23"/>
  <c r="AB679" i="23"/>
  <c r="AC679" i="23"/>
  <c r="AD679" i="23"/>
  <c r="AE679" i="23"/>
  <c r="AB680" i="23"/>
  <c r="AC680" i="23"/>
  <c r="AD680" i="23"/>
  <c r="AE680" i="23"/>
  <c r="AB681" i="23"/>
  <c r="AC681" i="23"/>
  <c r="AD681" i="23"/>
  <c r="AE681" i="23"/>
  <c r="AB682" i="23"/>
  <c r="AC682" i="23"/>
  <c r="AD682" i="23"/>
  <c r="AE682" i="23"/>
  <c r="AB683" i="23"/>
  <c r="AC683" i="23"/>
  <c r="AD683" i="23"/>
  <c r="AE683" i="23"/>
  <c r="AB684" i="23"/>
  <c r="AC684" i="23"/>
  <c r="AD684" i="23"/>
  <c r="AE684" i="23"/>
  <c r="AB685" i="23"/>
  <c r="AC685" i="23"/>
  <c r="AD685" i="23"/>
  <c r="AE685" i="23"/>
  <c r="AB686" i="23"/>
  <c r="AC686" i="23"/>
  <c r="AD686" i="23"/>
  <c r="AE686" i="23"/>
  <c r="AB687" i="23"/>
  <c r="AC687" i="23"/>
  <c r="AD687" i="23"/>
  <c r="AE687" i="23"/>
  <c r="AB688" i="23"/>
  <c r="AC688" i="23"/>
  <c r="AD688" i="23"/>
  <c r="AE688" i="23"/>
  <c r="AB689" i="23"/>
  <c r="AC689" i="23"/>
  <c r="AD689" i="23"/>
  <c r="AE689" i="23"/>
  <c r="AB690" i="23"/>
  <c r="AC690" i="23"/>
  <c r="AD690" i="23"/>
  <c r="AE690" i="23"/>
  <c r="AB691" i="23"/>
  <c r="AC691" i="23"/>
  <c r="AD691" i="23"/>
  <c r="AE691" i="23"/>
  <c r="AB692" i="23"/>
  <c r="AC692" i="23"/>
  <c r="AD692" i="23"/>
  <c r="AE692" i="23"/>
  <c r="AB693" i="23"/>
  <c r="AC693" i="23"/>
  <c r="AD693" i="23"/>
  <c r="AE693" i="23"/>
  <c r="AB694" i="23"/>
  <c r="AC694" i="23"/>
  <c r="AD694" i="23"/>
  <c r="AE694" i="23"/>
  <c r="AB695" i="23"/>
  <c r="AC695" i="23"/>
  <c r="AD695" i="23"/>
  <c r="AE695" i="23"/>
  <c r="AB696" i="23"/>
  <c r="AC696" i="23"/>
  <c r="AD696" i="23"/>
  <c r="AE696" i="23"/>
  <c r="AB697" i="23"/>
  <c r="AC697" i="23"/>
  <c r="AD697" i="23"/>
  <c r="AE697" i="23"/>
  <c r="AB698" i="23"/>
  <c r="AC698" i="23"/>
  <c r="AD698" i="23"/>
  <c r="AE698" i="23"/>
  <c r="AB699" i="23"/>
  <c r="AC699" i="23"/>
  <c r="AD699" i="23"/>
  <c r="AE699" i="23"/>
  <c r="AB700" i="23"/>
  <c r="AC700" i="23"/>
  <c r="AD700" i="23"/>
  <c r="AE700" i="23"/>
  <c r="AB701" i="23"/>
  <c r="AC701" i="23"/>
  <c r="AD701" i="23"/>
  <c r="AE701" i="23"/>
  <c r="AB702" i="23"/>
  <c r="AC702" i="23"/>
  <c r="AD702" i="23"/>
  <c r="AE702" i="23"/>
  <c r="AB703" i="23"/>
  <c r="AC703" i="23"/>
  <c r="AD703" i="23"/>
  <c r="AE703" i="23"/>
  <c r="AB704" i="23"/>
  <c r="AC704" i="23"/>
  <c r="AD704" i="23"/>
  <c r="AE704" i="23"/>
  <c r="AB705" i="23"/>
  <c r="AC705" i="23"/>
  <c r="AD705" i="23"/>
  <c r="AE705" i="23"/>
  <c r="AB706" i="23"/>
  <c r="AC706" i="23"/>
  <c r="AD706" i="23"/>
  <c r="AE706" i="23"/>
  <c r="AB707" i="23"/>
  <c r="AC707" i="23"/>
  <c r="AD707" i="23"/>
  <c r="AE707" i="23"/>
  <c r="AB708" i="23"/>
  <c r="AC708" i="23"/>
  <c r="AD708" i="23"/>
  <c r="AE708" i="23"/>
  <c r="AB709" i="23"/>
  <c r="AC709" i="23"/>
  <c r="AD709" i="23"/>
  <c r="AE709" i="23"/>
  <c r="AB710" i="23"/>
  <c r="AC710" i="23"/>
  <c r="AD710" i="23"/>
  <c r="AE710" i="23"/>
  <c r="AB711" i="23"/>
  <c r="AC711" i="23"/>
  <c r="AD711" i="23"/>
  <c r="AE711" i="23"/>
  <c r="AB712" i="23"/>
  <c r="AC712" i="23"/>
  <c r="AD712" i="23"/>
  <c r="AE712" i="23"/>
  <c r="AB713" i="23"/>
  <c r="AC713" i="23"/>
  <c r="AD713" i="23"/>
  <c r="AE713" i="23"/>
  <c r="AB714" i="23"/>
  <c r="AC714" i="23"/>
  <c r="AD714" i="23"/>
  <c r="AE714" i="23"/>
  <c r="AB715" i="23"/>
  <c r="AC715" i="23"/>
  <c r="AD715" i="23"/>
  <c r="AE715" i="23"/>
  <c r="AB716" i="23"/>
  <c r="AC716" i="23"/>
  <c r="AD716" i="23"/>
  <c r="AE716" i="23"/>
  <c r="AB717" i="23"/>
  <c r="AC717" i="23"/>
  <c r="AD717" i="23"/>
  <c r="AE717" i="23"/>
  <c r="AB718" i="23"/>
  <c r="AC718" i="23"/>
  <c r="AD718" i="23"/>
  <c r="AE718" i="23"/>
  <c r="AB719" i="23"/>
  <c r="AC719" i="23"/>
  <c r="AD719" i="23"/>
  <c r="AE719" i="23"/>
  <c r="AB720" i="23"/>
  <c r="AC720" i="23"/>
  <c r="AD720" i="23"/>
  <c r="AE720" i="23"/>
  <c r="AB721" i="23"/>
  <c r="AC721" i="23"/>
  <c r="AD721" i="23"/>
  <c r="AE721" i="23"/>
  <c r="AB722" i="23"/>
  <c r="AC722" i="23"/>
  <c r="AD722" i="23"/>
  <c r="AE722" i="23"/>
  <c r="AB723" i="23"/>
  <c r="AC723" i="23"/>
  <c r="AD723" i="23"/>
  <c r="AE723" i="23"/>
  <c r="AB724" i="23"/>
  <c r="AC724" i="23"/>
  <c r="AD724" i="23"/>
  <c r="AE724" i="23"/>
  <c r="AB725" i="23"/>
  <c r="AC725" i="23"/>
  <c r="AD725" i="23"/>
  <c r="AE725" i="23"/>
  <c r="AB726" i="23"/>
  <c r="AC726" i="23"/>
  <c r="AD726" i="23"/>
  <c r="AE726" i="23"/>
  <c r="AB727" i="23"/>
  <c r="AC727" i="23"/>
  <c r="AD727" i="23"/>
  <c r="AE727" i="23"/>
  <c r="AB728" i="23"/>
  <c r="AC728" i="23"/>
  <c r="AD728" i="23"/>
  <c r="AE728" i="23"/>
  <c r="AB729" i="23"/>
  <c r="AC729" i="23"/>
  <c r="AD729" i="23"/>
  <c r="AE729" i="23"/>
  <c r="AB730" i="23"/>
  <c r="AC730" i="23"/>
  <c r="AD730" i="23"/>
  <c r="AE730" i="23"/>
  <c r="AB731" i="23"/>
  <c r="AC731" i="23"/>
  <c r="AD731" i="23"/>
  <c r="AE731" i="23"/>
  <c r="AB732" i="23"/>
  <c r="AC732" i="23"/>
  <c r="AD732" i="23"/>
  <c r="AE732" i="23"/>
  <c r="AB733" i="23"/>
  <c r="AC733" i="23"/>
  <c r="AD733" i="23"/>
  <c r="AE733" i="23"/>
  <c r="AB734" i="23"/>
  <c r="AC734" i="23"/>
  <c r="AD734" i="23"/>
  <c r="AE734" i="23"/>
  <c r="AB735" i="23"/>
  <c r="AC735" i="23"/>
  <c r="AD735" i="23"/>
  <c r="AE735" i="23"/>
  <c r="AB736" i="23"/>
  <c r="AC736" i="23"/>
  <c r="AD736" i="23"/>
  <c r="AE736" i="23"/>
  <c r="AB737" i="23"/>
  <c r="AC737" i="23"/>
  <c r="AD737" i="23"/>
  <c r="AE737" i="23"/>
  <c r="AB738" i="23"/>
  <c r="AC738" i="23"/>
  <c r="AD738" i="23"/>
  <c r="AE738" i="23"/>
  <c r="AB739" i="23"/>
  <c r="AC739" i="23"/>
  <c r="AD739" i="23"/>
  <c r="AE739" i="23"/>
  <c r="AB740" i="23"/>
  <c r="AC740" i="23"/>
  <c r="AD740" i="23"/>
  <c r="AE740" i="23"/>
  <c r="AB741" i="23"/>
  <c r="AC741" i="23"/>
  <c r="AD741" i="23"/>
  <c r="AE741" i="23"/>
  <c r="AB742" i="23"/>
  <c r="AC742" i="23"/>
  <c r="AD742" i="23"/>
  <c r="AE742" i="23"/>
  <c r="AB743" i="23"/>
  <c r="AC743" i="23"/>
  <c r="AD743" i="23"/>
  <c r="AE743" i="23"/>
  <c r="AB744" i="23"/>
  <c r="AC744" i="23"/>
  <c r="AD744" i="23"/>
  <c r="AE744" i="23"/>
  <c r="AB745" i="23"/>
  <c r="AC745" i="23"/>
  <c r="AD745" i="23"/>
  <c r="AE745" i="23"/>
  <c r="AB746" i="23"/>
  <c r="AC746" i="23"/>
  <c r="AD746" i="23"/>
  <c r="AE746" i="23"/>
  <c r="AB747" i="23"/>
  <c r="AC747" i="23"/>
  <c r="AD747" i="23"/>
  <c r="AE747" i="23"/>
  <c r="AB748" i="23"/>
  <c r="AC748" i="23"/>
  <c r="AD748" i="23"/>
  <c r="AE748" i="23"/>
  <c r="AB749" i="23"/>
  <c r="AC749" i="23"/>
  <c r="AD749" i="23"/>
  <c r="AE749" i="23"/>
  <c r="AB750" i="23"/>
  <c r="AC750" i="23"/>
  <c r="AD750" i="23"/>
  <c r="AE750" i="23"/>
  <c r="AB751" i="23"/>
  <c r="AC751" i="23"/>
  <c r="AD751" i="23"/>
  <c r="AE751" i="23"/>
  <c r="AB752" i="23"/>
  <c r="AC752" i="23"/>
  <c r="AD752" i="23"/>
  <c r="AE752" i="23"/>
  <c r="AB753" i="23"/>
  <c r="AC753" i="23"/>
  <c r="AD753" i="23"/>
  <c r="AE753" i="23"/>
  <c r="AB754" i="23"/>
  <c r="AC754" i="23"/>
  <c r="AD754" i="23"/>
  <c r="AE754" i="23"/>
  <c r="AB755" i="23"/>
  <c r="AC755" i="23"/>
  <c r="AD755" i="23"/>
  <c r="AE755" i="23"/>
  <c r="AB756" i="23"/>
  <c r="AC756" i="23"/>
  <c r="AD756" i="23"/>
  <c r="AE756" i="23"/>
  <c r="AB757" i="23"/>
  <c r="AC757" i="23"/>
  <c r="AD757" i="23"/>
  <c r="AE757" i="23"/>
  <c r="AB758" i="23"/>
  <c r="AC758" i="23"/>
  <c r="AD758" i="23"/>
  <c r="AE758" i="23"/>
  <c r="AB759" i="23"/>
  <c r="AC759" i="23"/>
  <c r="AD759" i="23"/>
  <c r="AE759" i="23"/>
  <c r="AB760" i="23"/>
  <c r="AC760" i="23"/>
  <c r="AD760" i="23"/>
  <c r="AE760" i="23"/>
  <c r="AB761" i="23"/>
  <c r="AC761" i="23"/>
  <c r="AD761" i="23"/>
  <c r="AE761" i="23"/>
  <c r="AB762" i="23"/>
  <c r="AC762" i="23"/>
  <c r="AD762" i="23"/>
  <c r="AE762" i="23"/>
  <c r="AB763" i="23"/>
  <c r="AC763" i="23"/>
  <c r="AD763" i="23"/>
  <c r="AE763" i="23"/>
  <c r="AB764" i="23"/>
  <c r="AC764" i="23"/>
  <c r="AD764" i="23"/>
  <c r="AE764" i="23"/>
  <c r="AB765" i="23"/>
  <c r="AC765" i="23"/>
  <c r="AD765" i="23"/>
  <c r="AE765" i="23"/>
  <c r="AB766" i="23"/>
  <c r="AC766" i="23"/>
  <c r="AD766" i="23"/>
  <c r="AE766" i="23"/>
  <c r="AB767" i="23"/>
  <c r="AC767" i="23"/>
  <c r="AD767" i="23"/>
  <c r="AE767" i="23"/>
  <c r="AB768" i="23"/>
  <c r="AC768" i="23"/>
  <c r="AD768" i="23"/>
  <c r="AE768" i="23"/>
  <c r="AB769" i="23"/>
  <c r="AC769" i="23"/>
  <c r="AD769" i="23"/>
  <c r="AE769" i="23"/>
  <c r="AB770" i="23"/>
  <c r="AC770" i="23"/>
  <c r="AD770" i="23"/>
  <c r="AE770" i="23"/>
  <c r="AB771" i="23"/>
  <c r="AC771" i="23"/>
  <c r="AD771" i="23"/>
  <c r="AE771" i="23"/>
  <c r="AB772" i="23"/>
  <c r="AC772" i="23"/>
  <c r="AD772" i="23"/>
  <c r="AE772" i="23"/>
  <c r="AB773" i="23"/>
  <c r="AC773" i="23"/>
  <c r="AD773" i="23"/>
  <c r="AE773" i="23"/>
  <c r="AB774" i="23"/>
  <c r="AC774" i="23"/>
  <c r="AD774" i="23"/>
  <c r="AE774" i="23"/>
  <c r="AB775" i="23"/>
  <c r="AC775" i="23"/>
  <c r="AD775" i="23"/>
  <c r="AE775" i="23"/>
  <c r="AB776" i="23"/>
  <c r="AC776" i="23"/>
  <c r="AD776" i="23"/>
  <c r="AE776" i="23"/>
  <c r="AB777" i="23"/>
  <c r="AC777" i="23"/>
  <c r="AD777" i="23"/>
  <c r="AE777" i="23"/>
  <c r="AB778" i="23"/>
  <c r="AC778" i="23"/>
  <c r="AD778" i="23"/>
  <c r="AE778" i="23"/>
  <c r="AB779" i="23"/>
  <c r="AC779" i="23"/>
  <c r="AD779" i="23"/>
  <c r="AE779" i="23"/>
  <c r="AB780" i="23"/>
  <c r="AC780" i="23"/>
  <c r="AD780" i="23"/>
  <c r="AE780" i="23"/>
  <c r="AB781" i="23"/>
  <c r="AC781" i="23"/>
  <c r="AD781" i="23"/>
  <c r="AE781" i="23"/>
  <c r="AB782" i="23"/>
  <c r="AC782" i="23"/>
  <c r="AD782" i="23"/>
  <c r="AE782" i="23"/>
  <c r="AB783" i="23"/>
  <c r="AC783" i="23"/>
  <c r="AD783" i="23"/>
  <c r="AE783" i="23"/>
  <c r="AB784" i="23"/>
  <c r="AC784" i="23"/>
  <c r="AD784" i="23"/>
  <c r="AE784" i="23"/>
  <c r="AB785" i="23"/>
  <c r="AC785" i="23"/>
  <c r="AD785" i="23"/>
  <c r="AE785" i="23"/>
  <c r="AB786" i="23"/>
  <c r="AC786" i="23"/>
  <c r="AD786" i="23"/>
  <c r="AE786" i="23"/>
  <c r="AB787" i="23"/>
  <c r="AC787" i="23"/>
  <c r="AD787" i="23"/>
  <c r="AE787" i="23"/>
  <c r="AB788" i="23"/>
  <c r="AC788" i="23"/>
  <c r="AD788" i="23"/>
  <c r="AE788" i="23"/>
  <c r="AB789" i="23"/>
  <c r="AC789" i="23"/>
  <c r="AD789" i="23"/>
  <c r="AE789" i="23"/>
  <c r="AB790" i="23"/>
  <c r="AC790" i="23"/>
  <c r="AD790" i="23"/>
  <c r="AE790" i="23"/>
  <c r="AB791" i="23"/>
  <c r="AC791" i="23"/>
  <c r="AD791" i="23"/>
  <c r="AE791" i="23"/>
  <c r="AB792" i="23"/>
  <c r="AC792" i="23"/>
  <c r="AD792" i="23"/>
  <c r="AE792" i="23"/>
  <c r="AB793" i="23"/>
  <c r="AC793" i="23"/>
  <c r="AD793" i="23"/>
  <c r="AE793" i="23"/>
  <c r="AB794" i="23"/>
  <c r="AC794" i="23"/>
  <c r="AD794" i="23"/>
  <c r="AE794" i="23"/>
  <c r="AB795" i="23"/>
  <c r="AC795" i="23"/>
  <c r="AD795" i="23"/>
  <c r="AE795" i="23"/>
  <c r="AB796" i="23"/>
  <c r="AC796" i="23"/>
  <c r="AD796" i="23"/>
  <c r="AE796" i="23"/>
  <c r="AB797" i="23"/>
  <c r="AC797" i="23"/>
  <c r="AD797" i="23"/>
  <c r="AE797" i="23"/>
  <c r="AB798" i="23"/>
  <c r="AC798" i="23"/>
  <c r="AD798" i="23"/>
  <c r="AE798" i="23"/>
  <c r="AB799" i="23"/>
  <c r="AC799" i="23"/>
  <c r="AD799" i="23"/>
  <c r="AE799" i="23"/>
  <c r="AB800" i="23"/>
  <c r="AC800" i="23"/>
  <c r="AD800" i="23"/>
  <c r="AE800" i="23"/>
  <c r="AB801" i="23"/>
  <c r="AC801" i="23"/>
  <c r="AD801" i="23"/>
  <c r="AE801" i="23"/>
  <c r="AB802" i="23"/>
  <c r="AC802" i="23"/>
  <c r="AD802" i="23"/>
  <c r="AE802" i="23"/>
  <c r="AB803" i="23"/>
  <c r="AC803" i="23"/>
  <c r="AD803" i="23"/>
  <c r="AE803" i="23"/>
  <c r="AB804" i="23"/>
  <c r="AC804" i="23"/>
  <c r="AD804" i="23"/>
  <c r="AE804" i="23"/>
  <c r="AB805" i="23"/>
  <c r="AC805" i="23"/>
  <c r="AD805" i="23"/>
  <c r="AE805" i="23"/>
  <c r="AB806" i="23"/>
  <c r="AC806" i="23"/>
  <c r="AD806" i="23"/>
  <c r="AE806" i="23"/>
  <c r="AB807" i="23"/>
  <c r="AC807" i="23"/>
  <c r="AD807" i="23"/>
  <c r="AE807" i="23"/>
  <c r="AB808" i="23"/>
  <c r="AC808" i="23"/>
  <c r="AD808" i="23"/>
  <c r="AE808" i="23"/>
  <c r="AB809" i="23"/>
  <c r="AC809" i="23"/>
  <c r="AD809" i="23"/>
  <c r="AE809" i="23"/>
  <c r="AB810" i="23"/>
  <c r="AC810" i="23"/>
  <c r="AD810" i="23"/>
  <c r="AE810" i="23"/>
  <c r="AB811" i="23"/>
  <c r="AC811" i="23"/>
  <c r="AD811" i="23"/>
  <c r="AE811" i="23"/>
  <c r="AB812" i="23"/>
  <c r="AC812" i="23"/>
  <c r="AD812" i="23"/>
  <c r="AB813" i="23"/>
  <c r="AC813" i="23"/>
  <c r="AD813" i="23"/>
  <c r="AE813" i="23"/>
  <c r="AB814" i="23"/>
  <c r="AC814" i="23"/>
  <c r="AD814" i="23"/>
  <c r="AE814" i="23"/>
  <c r="AB815" i="23"/>
  <c r="AC815" i="23"/>
  <c r="AD815" i="23"/>
  <c r="AE815" i="23"/>
  <c r="AB816" i="23"/>
  <c r="AC816" i="23"/>
  <c r="AD816" i="23"/>
  <c r="AE816" i="23"/>
  <c r="AB817" i="23"/>
  <c r="AC817" i="23"/>
  <c r="AD817" i="23"/>
  <c r="AE817" i="23"/>
  <c r="AB818" i="23"/>
  <c r="AC818" i="23"/>
  <c r="AD818" i="23"/>
  <c r="AE818" i="23"/>
  <c r="AB819" i="23"/>
  <c r="AC819" i="23"/>
  <c r="AD819" i="23"/>
  <c r="AE819" i="23"/>
  <c r="AB4" i="23"/>
  <c r="AC4" i="23"/>
  <c r="AD4" i="23"/>
  <c r="AE4" i="23"/>
  <c r="AB5" i="23"/>
  <c r="AC5" i="23"/>
  <c r="AD5" i="23"/>
  <c r="AE5" i="23"/>
  <c r="AB6" i="23"/>
  <c r="AC6" i="23"/>
  <c r="AD6" i="23"/>
  <c r="AE6" i="23"/>
  <c r="AB7" i="23"/>
  <c r="AC7" i="23"/>
  <c r="AD7" i="23"/>
  <c r="AE7" i="23"/>
  <c r="AB8" i="23"/>
  <c r="AC8" i="23"/>
  <c r="AD8" i="23"/>
  <c r="AE8" i="23"/>
  <c r="AB9" i="23"/>
  <c r="AC9" i="23"/>
  <c r="AD9" i="23"/>
  <c r="AE9" i="23"/>
  <c r="AB10" i="23"/>
  <c r="AC10" i="23"/>
  <c r="AD10" i="23"/>
  <c r="AE10" i="23"/>
  <c r="AE3" i="23"/>
  <c r="AC3" i="23"/>
  <c r="AD3" i="23"/>
  <c r="AC2" i="23"/>
  <c r="AE2" i="23"/>
  <c r="AB2" i="23"/>
  <c r="AB3" i="23"/>
  <c r="T3" i="35"/>
  <c r="T4" i="35"/>
  <c r="T5" i="35"/>
  <c r="T6" i="35"/>
  <c r="T7" i="35"/>
  <c r="N4" i="11"/>
  <c r="O4" i="11"/>
  <c r="P4" i="11"/>
  <c r="Q4" i="11"/>
  <c r="N5" i="11"/>
  <c r="O5" i="11"/>
  <c r="P5" i="11"/>
  <c r="Q5" i="11"/>
  <c r="N6" i="11"/>
  <c r="O6" i="11"/>
  <c r="P6" i="11"/>
  <c r="Q6" i="11"/>
  <c r="N7" i="11"/>
  <c r="O7" i="11"/>
  <c r="P7" i="11"/>
  <c r="Q7" i="11"/>
  <c r="N8" i="11"/>
  <c r="O8" i="11"/>
  <c r="P8" i="11"/>
  <c r="Q8" i="11"/>
  <c r="N9" i="11"/>
  <c r="O9" i="11"/>
  <c r="P9" i="11"/>
  <c r="Q9" i="11"/>
  <c r="N10" i="11"/>
  <c r="O10" i="11"/>
  <c r="P10" i="11"/>
  <c r="Q10" i="11"/>
  <c r="N11" i="11"/>
  <c r="O11" i="11"/>
  <c r="P11" i="11"/>
  <c r="Q11" i="11"/>
  <c r="N12" i="11"/>
  <c r="O12" i="11"/>
  <c r="P12" i="11"/>
  <c r="Q12" i="11"/>
  <c r="N13" i="11"/>
  <c r="O13" i="11"/>
  <c r="P13" i="11"/>
  <c r="Q13" i="11"/>
  <c r="N14" i="11"/>
  <c r="O14" i="11"/>
  <c r="P14" i="11"/>
  <c r="Q14" i="11"/>
  <c r="N15" i="11"/>
  <c r="O15" i="11"/>
  <c r="P15" i="11"/>
  <c r="Q15" i="11"/>
  <c r="N16" i="11"/>
  <c r="O16" i="11"/>
  <c r="P16" i="11"/>
  <c r="Q16" i="11"/>
  <c r="N17" i="11"/>
  <c r="O17" i="11"/>
  <c r="P17" i="11"/>
  <c r="Q17" i="11"/>
  <c r="N18" i="11"/>
  <c r="O18" i="11"/>
  <c r="P18" i="11"/>
  <c r="Q18" i="11"/>
  <c r="N19" i="11"/>
  <c r="O19" i="11"/>
  <c r="P19" i="11"/>
  <c r="Q19" i="11"/>
  <c r="N20" i="11"/>
  <c r="O20" i="11"/>
  <c r="P20" i="11"/>
  <c r="Q20" i="11"/>
  <c r="N21" i="11"/>
  <c r="O21" i="11"/>
  <c r="P21" i="11"/>
  <c r="Q21" i="11"/>
  <c r="N22" i="11"/>
  <c r="O22" i="11"/>
  <c r="P22" i="11"/>
  <c r="Q22" i="11"/>
  <c r="N23" i="11"/>
  <c r="O23" i="11"/>
  <c r="P23" i="11"/>
  <c r="Q23" i="11"/>
  <c r="N24" i="11"/>
  <c r="O24" i="11"/>
  <c r="P24" i="11"/>
  <c r="Q24" i="11"/>
  <c r="N25" i="11"/>
  <c r="O25" i="11"/>
  <c r="P25" i="11"/>
  <c r="Q25" i="11"/>
  <c r="N26" i="11"/>
  <c r="O26" i="11"/>
  <c r="P26" i="11"/>
  <c r="Q26" i="11"/>
  <c r="N27" i="11"/>
  <c r="O27" i="11"/>
  <c r="P27" i="11"/>
  <c r="Q27" i="11"/>
  <c r="N28" i="11"/>
  <c r="O28" i="11"/>
  <c r="P28" i="11"/>
  <c r="Q28" i="11"/>
  <c r="N29" i="11"/>
  <c r="O29" i="11"/>
  <c r="P29" i="11"/>
  <c r="Q29" i="11"/>
  <c r="N30" i="11"/>
  <c r="O30" i="11"/>
  <c r="P30" i="11"/>
  <c r="Q30" i="11"/>
  <c r="N31" i="11"/>
  <c r="O31" i="11"/>
  <c r="P31" i="11"/>
  <c r="Q31" i="11"/>
  <c r="N32" i="11"/>
  <c r="O32" i="11"/>
  <c r="P32" i="11"/>
  <c r="Q32" i="11"/>
  <c r="N33" i="11"/>
  <c r="O33" i="11"/>
  <c r="P33" i="11"/>
  <c r="Q33" i="11"/>
  <c r="N34" i="11"/>
  <c r="O34" i="11"/>
  <c r="P34" i="11"/>
  <c r="Q34" i="11"/>
  <c r="N35" i="11"/>
  <c r="O35" i="11"/>
  <c r="P35" i="11"/>
  <c r="Q35" i="11"/>
  <c r="N36" i="11"/>
  <c r="O36" i="11"/>
  <c r="P36" i="11"/>
  <c r="Q36" i="11"/>
  <c r="N37" i="11"/>
  <c r="O37" i="11"/>
  <c r="P37" i="11"/>
  <c r="Q37" i="11"/>
  <c r="N38" i="11"/>
  <c r="O38" i="11"/>
  <c r="P38" i="11"/>
  <c r="Q38" i="11"/>
  <c r="N39" i="11"/>
  <c r="O39" i="11"/>
  <c r="P39" i="11"/>
  <c r="Q39" i="11"/>
  <c r="N40" i="11"/>
  <c r="O40" i="11"/>
  <c r="P40" i="11"/>
  <c r="Q40" i="11"/>
  <c r="N41" i="11"/>
  <c r="O41" i="11"/>
  <c r="P41" i="11"/>
  <c r="Q41" i="11"/>
  <c r="N42" i="11"/>
  <c r="O42" i="11"/>
  <c r="P42" i="11"/>
  <c r="Q42" i="11"/>
  <c r="N43" i="11"/>
  <c r="O43" i="11"/>
  <c r="P43" i="11"/>
  <c r="Q43" i="11"/>
  <c r="N44" i="11"/>
  <c r="O44" i="11"/>
  <c r="P44" i="11"/>
  <c r="Q44" i="11"/>
  <c r="N45" i="11"/>
  <c r="O45" i="11"/>
  <c r="P45" i="11"/>
  <c r="Q45" i="11"/>
  <c r="N46" i="11"/>
  <c r="O46" i="11"/>
  <c r="P46" i="11"/>
  <c r="Q46" i="11"/>
  <c r="N47" i="11"/>
  <c r="O47" i="11"/>
  <c r="P47" i="11"/>
  <c r="Q47" i="11"/>
  <c r="N48" i="11"/>
  <c r="O48" i="11"/>
  <c r="P48" i="11"/>
  <c r="Q48" i="11"/>
  <c r="N49" i="11"/>
  <c r="O49" i="11"/>
  <c r="P49" i="11"/>
  <c r="Q49" i="11"/>
  <c r="N50" i="11"/>
  <c r="O50" i="11"/>
  <c r="P50" i="11"/>
  <c r="Q50" i="11"/>
  <c r="N51" i="11"/>
  <c r="O51" i="11"/>
  <c r="P51" i="11"/>
  <c r="Q51" i="11"/>
  <c r="N52" i="11"/>
  <c r="O52" i="11"/>
  <c r="P52" i="11"/>
  <c r="Q52" i="11"/>
  <c r="N53" i="11"/>
  <c r="O53" i="11"/>
  <c r="P53" i="11"/>
  <c r="Q53" i="11"/>
  <c r="N54" i="11"/>
  <c r="O54" i="11"/>
  <c r="P54" i="11"/>
  <c r="Q54" i="11"/>
  <c r="N55" i="11"/>
  <c r="O55" i="11"/>
  <c r="P55" i="11"/>
  <c r="Q55" i="11"/>
  <c r="N56" i="11"/>
  <c r="O56" i="11"/>
  <c r="P56" i="11"/>
  <c r="Q56" i="11"/>
  <c r="N57" i="11"/>
  <c r="O57" i="11"/>
  <c r="P57" i="11"/>
  <c r="Q57" i="11"/>
  <c r="N58" i="11"/>
  <c r="O58" i="11"/>
  <c r="P58" i="11"/>
  <c r="Q58" i="11"/>
  <c r="N59" i="11"/>
  <c r="O59" i="11"/>
  <c r="P59" i="11"/>
  <c r="Q59" i="11"/>
  <c r="N60" i="11"/>
  <c r="O60" i="11"/>
  <c r="P60" i="11"/>
  <c r="Q60" i="11"/>
  <c r="N61" i="11"/>
  <c r="O61" i="11"/>
  <c r="P61" i="11"/>
  <c r="Q61" i="11"/>
  <c r="N62" i="11"/>
  <c r="O62" i="11"/>
  <c r="P62" i="11"/>
  <c r="Q62" i="11"/>
  <c r="N63" i="11"/>
  <c r="O63" i="11"/>
  <c r="P63" i="11"/>
  <c r="Q63" i="11"/>
  <c r="N64" i="11"/>
  <c r="O64" i="11"/>
  <c r="P64" i="11"/>
  <c r="Q64" i="11"/>
  <c r="N65" i="11"/>
  <c r="O65" i="11"/>
  <c r="P65" i="11"/>
  <c r="Q65" i="11"/>
  <c r="N66" i="11"/>
  <c r="O66" i="11"/>
  <c r="P66" i="11"/>
  <c r="Q66" i="11"/>
  <c r="N67" i="11"/>
  <c r="O67" i="11"/>
  <c r="P67" i="11"/>
  <c r="Q67" i="11"/>
  <c r="N68" i="11"/>
  <c r="O68" i="11"/>
  <c r="P68" i="11"/>
  <c r="Q68" i="11"/>
  <c r="N69" i="11"/>
  <c r="O69" i="11"/>
  <c r="P69" i="11"/>
  <c r="Q69" i="11"/>
  <c r="N70" i="11"/>
  <c r="O70" i="11"/>
  <c r="P70" i="11"/>
  <c r="Q70" i="11"/>
  <c r="N71" i="11"/>
  <c r="O71" i="11"/>
  <c r="P71" i="11"/>
  <c r="Q71" i="11"/>
  <c r="N72" i="11"/>
  <c r="O72" i="11"/>
  <c r="P72" i="11"/>
  <c r="Q72" i="11"/>
  <c r="N73" i="11"/>
  <c r="O73" i="11"/>
  <c r="P73" i="11"/>
  <c r="Q73" i="11"/>
  <c r="N74" i="11"/>
  <c r="O74" i="11"/>
  <c r="P74" i="11"/>
  <c r="Q74" i="11"/>
  <c r="N75" i="11"/>
  <c r="O75" i="11"/>
  <c r="P75" i="11"/>
  <c r="Q75" i="11"/>
  <c r="N76" i="11"/>
  <c r="O76" i="11"/>
  <c r="P76" i="11"/>
  <c r="Q76" i="11"/>
  <c r="N77" i="11"/>
  <c r="O77" i="11"/>
  <c r="P77" i="11"/>
  <c r="Q77" i="11"/>
  <c r="N78" i="11"/>
  <c r="O78" i="11"/>
  <c r="P78" i="11"/>
  <c r="Q78" i="11"/>
  <c r="N79" i="11"/>
  <c r="O79" i="11"/>
  <c r="P79" i="11"/>
  <c r="Q79" i="11"/>
  <c r="N80" i="11"/>
  <c r="O80" i="11"/>
  <c r="P80" i="11"/>
  <c r="Q80" i="11"/>
  <c r="N81" i="11"/>
  <c r="O81" i="11"/>
  <c r="P81" i="11"/>
  <c r="Q81" i="11"/>
  <c r="N82" i="11"/>
  <c r="O82" i="11"/>
  <c r="P82" i="11"/>
  <c r="Q82" i="11"/>
  <c r="N83" i="11"/>
  <c r="O83" i="11"/>
  <c r="P83" i="11"/>
  <c r="Q83" i="11"/>
  <c r="N84" i="11"/>
  <c r="O84" i="11"/>
  <c r="P84" i="11"/>
  <c r="Q84" i="11"/>
  <c r="N85" i="11"/>
  <c r="O85" i="11"/>
  <c r="P85" i="11"/>
  <c r="Q85" i="11"/>
  <c r="N86" i="11"/>
  <c r="O86" i="11"/>
  <c r="P86" i="11"/>
  <c r="Q86" i="11"/>
  <c r="N87" i="11"/>
  <c r="O87" i="11"/>
  <c r="P87" i="11"/>
  <c r="Q87" i="11"/>
  <c r="N88" i="11"/>
  <c r="O88" i="11"/>
  <c r="P88" i="11"/>
  <c r="Q88" i="11"/>
  <c r="N89" i="11"/>
  <c r="O89" i="11"/>
  <c r="P89" i="11"/>
  <c r="Q89" i="11"/>
  <c r="N90" i="11"/>
  <c r="O90" i="11"/>
  <c r="P90" i="11"/>
  <c r="Q90" i="11"/>
  <c r="N91" i="11"/>
  <c r="O91" i="11"/>
  <c r="P91" i="11"/>
  <c r="Q91" i="11"/>
  <c r="N92" i="11"/>
  <c r="O92" i="11"/>
  <c r="P92" i="11"/>
  <c r="Q92" i="11"/>
  <c r="N93" i="11"/>
  <c r="O93" i="11"/>
  <c r="P93" i="11"/>
  <c r="Q93" i="11"/>
  <c r="N94" i="11"/>
  <c r="O94" i="11"/>
  <c r="P94" i="11"/>
  <c r="Q94" i="11"/>
  <c r="N95" i="11"/>
  <c r="O95" i="11"/>
  <c r="P95" i="11"/>
  <c r="Q95" i="11"/>
  <c r="N96" i="11"/>
  <c r="O96" i="11"/>
  <c r="P96" i="11"/>
  <c r="Q96" i="11"/>
  <c r="N97" i="11"/>
  <c r="O97" i="11"/>
  <c r="P97" i="11"/>
  <c r="Q97" i="11"/>
  <c r="N98" i="11"/>
  <c r="O98" i="11"/>
  <c r="P98" i="11"/>
  <c r="Q98" i="11"/>
  <c r="N99" i="11"/>
  <c r="O99" i="11"/>
  <c r="P99" i="11"/>
  <c r="Q99" i="11"/>
  <c r="N100" i="11"/>
  <c r="O100" i="11"/>
  <c r="P100" i="11"/>
  <c r="Q100" i="11"/>
  <c r="N101" i="11"/>
  <c r="O101" i="11"/>
  <c r="P101" i="11"/>
  <c r="Q101" i="11"/>
  <c r="N102" i="11"/>
  <c r="O102" i="11"/>
  <c r="P102" i="11"/>
  <c r="Q102" i="11"/>
  <c r="N103" i="11"/>
  <c r="O103" i="11"/>
  <c r="P103" i="11"/>
  <c r="Q103" i="11"/>
  <c r="N104" i="11"/>
  <c r="O104" i="11"/>
  <c r="P104" i="11"/>
  <c r="Q104" i="11"/>
  <c r="N105" i="11"/>
  <c r="O105" i="11"/>
  <c r="P105" i="11"/>
  <c r="Q105" i="11"/>
  <c r="N106" i="11"/>
  <c r="O106" i="11"/>
  <c r="P106" i="11"/>
  <c r="Q106" i="11"/>
  <c r="N107" i="11"/>
  <c r="O107" i="11"/>
  <c r="P107" i="11"/>
  <c r="Q107" i="11"/>
  <c r="N108" i="11"/>
  <c r="O108" i="11"/>
  <c r="P108" i="11"/>
  <c r="Q108" i="11"/>
  <c r="N109" i="11"/>
  <c r="O109" i="11"/>
  <c r="P109" i="11"/>
  <c r="Q109" i="11"/>
  <c r="N110" i="11"/>
  <c r="O110" i="11"/>
  <c r="P110" i="11"/>
  <c r="Q110" i="11"/>
  <c r="N111" i="11"/>
  <c r="O111" i="11"/>
  <c r="P111" i="11"/>
  <c r="Q111" i="11"/>
  <c r="N112" i="11"/>
  <c r="O112" i="11"/>
  <c r="P112" i="11"/>
  <c r="Q112" i="11"/>
  <c r="N113" i="11"/>
  <c r="O113" i="11"/>
  <c r="P113" i="11"/>
  <c r="Q113" i="11"/>
  <c r="N114" i="11"/>
  <c r="O114" i="11"/>
  <c r="P114" i="11"/>
  <c r="Q114" i="11"/>
  <c r="N115" i="11"/>
  <c r="O115" i="11"/>
  <c r="P115" i="11"/>
  <c r="Q115" i="11"/>
  <c r="N116" i="11"/>
  <c r="O116" i="11"/>
  <c r="P116" i="11"/>
  <c r="Q116" i="11"/>
  <c r="N117" i="11"/>
  <c r="O117" i="11"/>
  <c r="P117" i="11"/>
  <c r="Q117" i="11"/>
  <c r="N118" i="11"/>
  <c r="O118" i="11"/>
  <c r="P118" i="11"/>
  <c r="Q118" i="11"/>
  <c r="N119" i="11"/>
  <c r="O119" i="11"/>
  <c r="P119" i="11"/>
  <c r="Q119" i="11"/>
  <c r="N120" i="11"/>
  <c r="O120" i="11"/>
  <c r="P120" i="11"/>
  <c r="Q120" i="11"/>
  <c r="N121" i="11"/>
  <c r="O121" i="11"/>
  <c r="P121" i="11"/>
  <c r="Q121" i="11"/>
  <c r="N122" i="11"/>
  <c r="O122" i="11"/>
  <c r="P122" i="11"/>
  <c r="Q122" i="11"/>
  <c r="N123" i="11"/>
  <c r="O123" i="11"/>
  <c r="P123" i="11"/>
  <c r="Q123" i="11"/>
  <c r="N124" i="11"/>
  <c r="O124" i="11"/>
  <c r="P124" i="11"/>
  <c r="Q124" i="11"/>
  <c r="N125" i="11"/>
  <c r="O125" i="11"/>
  <c r="P125" i="11"/>
  <c r="Q125" i="11"/>
  <c r="N126" i="11"/>
  <c r="O126" i="11"/>
  <c r="P126" i="11"/>
  <c r="Q126" i="11"/>
  <c r="N127" i="11"/>
  <c r="O127" i="11"/>
  <c r="P127" i="11"/>
  <c r="Q127" i="11"/>
  <c r="N128" i="11"/>
  <c r="O128" i="11"/>
  <c r="P128" i="11"/>
  <c r="Q128" i="11"/>
  <c r="N129" i="11"/>
  <c r="O129" i="11"/>
  <c r="P129" i="11"/>
  <c r="Q129" i="11"/>
  <c r="N130" i="11"/>
  <c r="O130" i="11"/>
  <c r="P130" i="11"/>
  <c r="Q130" i="11"/>
  <c r="N131" i="11"/>
  <c r="O131" i="11"/>
  <c r="P131" i="11"/>
  <c r="Q131" i="11"/>
  <c r="N132" i="11"/>
  <c r="O132" i="11"/>
  <c r="P132" i="11"/>
  <c r="Q132" i="11"/>
  <c r="N133" i="11"/>
  <c r="O133" i="11"/>
  <c r="P133" i="11"/>
  <c r="Q133" i="11"/>
  <c r="N134" i="11"/>
  <c r="O134" i="11"/>
  <c r="P134" i="11"/>
  <c r="Q134" i="11"/>
  <c r="N135" i="11"/>
  <c r="O135" i="11"/>
  <c r="P135" i="11"/>
  <c r="Q135" i="11"/>
  <c r="N136" i="11"/>
  <c r="O136" i="11"/>
  <c r="P136" i="11"/>
  <c r="Q136" i="11"/>
  <c r="N137" i="11"/>
  <c r="O137" i="11"/>
  <c r="P137" i="11"/>
  <c r="Q137" i="11"/>
  <c r="N138" i="11"/>
  <c r="O138" i="11"/>
  <c r="P138" i="11"/>
  <c r="Q138" i="11"/>
  <c r="N139" i="11"/>
  <c r="O139" i="11"/>
  <c r="P139" i="11"/>
  <c r="Q139" i="11"/>
  <c r="N140" i="11"/>
  <c r="O140" i="11"/>
  <c r="P140" i="11"/>
  <c r="Q140" i="11"/>
  <c r="N141" i="11"/>
  <c r="O141" i="11"/>
  <c r="P141" i="11"/>
  <c r="Q141" i="11"/>
  <c r="N142" i="11"/>
  <c r="O142" i="11"/>
  <c r="P142" i="11"/>
  <c r="Q142" i="11"/>
  <c r="N143" i="11"/>
  <c r="O143" i="11"/>
  <c r="P143" i="11"/>
  <c r="Q143" i="11"/>
  <c r="N144" i="11"/>
  <c r="O144" i="11"/>
  <c r="P144" i="11"/>
  <c r="Q144" i="11"/>
  <c r="N145" i="11"/>
  <c r="O145" i="11"/>
  <c r="P145" i="11"/>
  <c r="Q145" i="11"/>
  <c r="N146" i="11"/>
  <c r="O146" i="11"/>
  <c r="P146" i="11"/>
  <c r="Q146" i="11"/>
  <c r="N147" i="11"/>
  <c r="O147" i="11"/>
  <c r="P147" i="11"/>
  <c r="Q147" i="11"/>
  <c r="N148" i="11"/>
  <c r="O148" i="11"/>
  <c r="P148" i="11"/>
  <c r="Q148" i="11"/>
  <c r="N149" i="11"/>
  <c r="O149" i="11"/>
  <c r="P149" i="11"/>
  <c r="Q149" i="11"/>
  <c r="N150" i="11"/>
  <c r="O150" i="11"/>
  <c r="P150" i="11"/>
  <c r="Q150" i="11"/>
  <c r="N151" i="11"/>
  <c r="O151" i="11"/>
  <c r="P151" i="11"/>
  <c r="Q151" i="11"/>
  <c r="N152" i="11"/>
  <c r="O152" i="11"/>
  <c r="P152" i="11"/>
  <c r="Q152" i="11"/>
  <c r="N153" i="11"/>
  <c r="O153" i="11"/>
  <c r="P153" i="11"/>
  <c r="Q153" i="11"/>
  <c r="N154" i="11"/>
  <c r="O154" i="11"/>
  <c r="P154" i="11"/>
  <c r="Q154" i="11"/>
  <c r="N155" i="11"/>
  <c r="O155" i="11"/>
  <c r="P155" i="11"/>
  <c r="Q155" i="11"/>
  <c r="N156" i="11"/>
  <c r="O156" i="11"/>
  <c r="P156" i="11"/>
  <c r="Q156" i="11"/>
  <c r="N157" i="11"/>
  <c r="O157" i="11"/>
  <c r="P157" i="11"/>
  <c r="Q157" i="11"/>
  <c r="N158" i="11"/>
  <c r="O158" i="11"/>
  <c r="P158" i="11"/>
  <c r="Q158" i="11"/>
  <c r="N159" i="11"/>
  <c r="O159" i="11"/>
  <c r="P159" i="11"/>
  <c r="Q159" i="11"/>
  <c r="N160" i="11"/>
  <c r="O160" i="11"/>
  <c r="P160" i="11"/>
  <c r="Q160" i="11"/>
  <c r="N161" i="11"/>
  <c r="O161" i="11"/>
  <c r="P161" i="11"/>
  <c r="Q161" i="11"/>
  <c r="N162" i="11"/>
  <c r="O162" i="11"/>
  <c r="P162" i="11"/>
  <c r="Q162" i="11"/>
  <c r="N163" i="11"/>
  <c r="O163" i="11"/>
  <c r="P163" i="11"/>
  <c r="Q163" i="11"/>
  <c r="N164" i="11"/>
  <c r="O164" i="11"/>
  <c r="P164" i="11"/>
  <c r="Q164" i="11"/>
  <c r="N165" i="11"/>
  <c r="O165" i="11"/>
  <c r="P165" i="11"/>
  <c r="Q165" i="11"/>
  <c r="N166" i="11"/>
  <c r="O166" i="11"/>
  <c r="P166" i="11"/>
  <c r="Q166" i="11"/>
  <c r="N167" i="11"/>
  <c r="O167" i="11"/>
  <c r="P167" i="11"/>
  <c r="Q167" i="11"/>
  <c r="N168" i="11"/>
  <c r="O168" i="11"/>
  <c r="P168" i="11"/>
  <c r="Q168" i="11"/>
  <c r="N169" i="11"/>
  <c r="O169" i="11"/>
  <c r="P169" i="11"/>
  <c r="Q169" i="11"/>
  <c r="N170" i="11"/>
  <c r="O170" i="11"/>
  <c r="P170" i="11"/>
  <c r="Q170" i="11"/>
  <c r="N171" i="11"/>
  <c r="O171" i="11"/>
  <c r="P171" i="11"/>
  <c r="Q171" i="11"/>
  <c r="N172" i="11"/>
  <c r="O172" i="11"/>
  <c r="P172" i="11"/>
  <c r="Q172" i="11"/>
  <c r="N173" i="11"/>
  <c r="O173" i="11"/>
  <c r="P173" i="11"/>
  <c r="Q173" i="11"/>
  <c r="N174" i="11"/>
  <c r="O174" i="11"/>
  <c r="P174" i="11"/>
  <c r="Q174" i="11"/>
  <c r="N175" i="11"/>
  <c r="O175" i="11"/>
  <c r="P175" i="11"/>
  <c r="Q175" i="11"/>
  <c r="N176" i="11"/>
  <c r="O176" i="11"/>
  <c r="P176" i="11"/>
  <c r="Q176" i="11"/>
  <c r="N177" i="11"/>
  <c r="O177" i="11"/>
  <c r="P177" i="11"/>
  <c r="Q177" i="11"/>
  <c r="N178" i="11"/>
  <c r="O178" i="11"/>
  <c r="P178" i="11"/>
  <c r="Q178" i="11"/>
  <c r="N179" i="11"/>
  <c r="O179" i="11"/>
  <c r="P179" i="11"/>
  <c r="Q179" i="11"/>
  <c r="N180" i="11"/>
  <c r="O180" i="11"/>
  <c r="P180" i="11"/>
  <c r="Q180" i="11"/>
  <c r="N181" i="11"/>
  <c r="O181" i="11"/>
  <c r="P181" i="11"/>
  <c r="Q181" i="11"/>
  <c r="N182" i="11"/>
  <c r="O182" i="11"/>
  <c r="P182" i="11"/>
  <c r="Q182" i="11"/>
  <c r="N183" i="11"/>
  <c r="O183" i="11"/>
  <c r="P183" i="11"/>
  <c r="Q183" i="11"/>
  <c r="N184" i="11"/>
  <c r="O184" i="11"/>
  <c r="P184" i="11"/>
  <c r="Q184" i="11"/>
  <c r="N185" i="11"/>
  <c r="O185" i="11"/>
  <c r="P185" i="11"/>
  <c r="Q185" i="11"/>
  <c r="N186" i="11"/>
  <c r="O186" i="11"/>
  <c r="P186" i="11"/>
  <c r="Q186" i="11"/>
  <c r="N187" i="11"/>
  <c r="O187" i="11"/>
  <c r="P187" i="11"/>
  <c r="Q187" i="11"/>
  <c r="N188" i="11"/>
  <c r="O188" i="11"/>
  <c r="P188" i="11"/>
  <c r="Q188" i="11"/>
  <c r="N189" i="11"/>
  <c r="O189" i="11"/>
  <c r="P189" i="11"/>
  <c r="Q189" i="11"/>
  <c r="N190" i="11"/>
  <c r="O190" i="11"/>
  <c r="P190" i="11"/>
  <c r="Q190" i="11"/>
  <c r="N191" i="11"/>
  <c r="O191" i="11"/>
  <c r="P191" i="11"/>
  <c r="Q191" i="11"/>
  <c r="N192" i="11"/>
  <c r="O192" i="11"/>
  <c r="P192" i="11"/>
  <c r="Q192" i="11"/>
  <c r="N193" i="11"/>
  <c r="O193" i="11"/>
  <c r="P193" i="11"/>
  <c r="Q193" i="11"/>
  <c r="N194" i="11"/>
  <c r="O194" i="11"/>
  <c r="P194" i="11"/>
  <c r="Q194" i="11"/>
  <c r="N195" i="11"/>
  <c r="O195" i="11"/>
  <c r="P195" i="11"/>
  <c r="Q195" i="11"/>
  <c r="N196" i="11"/>
  <c r="O196" i="11"/>
  <c r="P196" i="11"/>
  <c r="Q196" i="11"/>
  <c r="N197" i="11"/>
  <c r="O197" i="11"/>
  <c r="P197" i="11"/>
  <c r="Q197" i="11"/>
  <c r="N198" i="11"/>
  <c r="O198" i="11"/>
  <c r="P198" i="11"/>
  <c r="Q198" i="11"/>
  <c r="N199" i="11"/>
  <c r="O199" i="11"/>
  <c r="P199" i="11"/>
  <c r="Q199" i="11"/>
  <c r="N200" i="11"/>
  <c r="O200" i="11"/>
  <c r="P200" i="11"/>
  <c r="Q200" i="11"/>
  <c r="N201" i="11"/>
  <c r="O201" i="11"/>
  <c r="P201" i="11"/>
  <c r="Q201" i="11"/>
  <c r="N202" i="11"/>
  <c r="O202" i="11"/>
  <c r="P202" i="11"/>
  <c r="Q202" i="11"/>
  <c r="N203" i="11"/>
  <c r="O203" i="11"/>
  <c r="P203" i="11"/>
  <c r="Q203" i="11"/>
  <c r="N204" i="11"/>
  <c r="O204" i="11"/>
  <c r="P204" i="11"/>
  <c r="Q204" i="11"/>
  <c r="N205" i="11"/>
  <c r="O205" i="11"/>
  <c r="P205" i="11"/>
  <c r="Q205" i="11"/>
  <c r="N206" i="11"/>
  <c r="O206" i="11"/>
  <c r="P206" i="11"/>
  <c r="Q206" i="11"/>
  <c r="N207" i="11"/>
  <c r="O207" i="11"/>
  <c r="P207" i="11"/>
  <c r="Q207" i="11"/>
  <c r="N208" i="11"/>
  <c r="O208" i="11"/>
  <c r="P208" i="11"/>
  <c r="Q208" i="11"/>
  <c r="N209" i="11"/>
  <c r="O209" i="11"/>
  <c r="P209" i="11"/>
  <c r="Q209" i="11"/>
  <c r="N210" i="11"/>
  <c r="O210" i="11"/>
  <c r="P210" i="11"/>
  <c r="Q210" i="11"/>
  <c r="N211" i="11"/>
  <c r="O211" i="11"/>
  <c r="P211" i="11"/>
  <c r="Q211" i="11"/>
  <c r="N212" i="11"/>
  <c r="O212" i="11"/>
  <c r="P212" i="11"/>
  <c r="Q212" i="11"/>
  <c r="N213" i="11"/>
  <c r="O213" i="11"/>
  <c r="P213" i="11"/>
  <c r="Q213" i="11"/>
  <c r="N214" i="11"/>
  <c r="O214" i="11"/>
  <c r="P214" i="11"/>
  <c r="Q214" i="11"/>
  <c r="N215" i="11"/>
  <c r="O215" i="11"/>
  <c r="P215" i="11"/>
  <c r="Q215" i="11"/>
  <c r="N216" i="11"/>
  <c r="O216" i="11"/>
  <c r="P216" i="11"/>
  <c r="Q216" i="11"/>
  <c r="N217" i="11"/>
  <c r="O217" i="11"/>
  <c r="P217" i="11"/>
  <c r="Q217" i="11"/>
  <c r="N218" i="11"/>
  <c r="O218" i="11"/>
  <c r="P218" i="11"/>
  <c r="Q218" i="11"/>
  <c r="N219" i="11"/>
  <c r="O219" i="11"/>
  <c r="P219" i="11"/>
  <c r="Q219" i="11"/>
  <c r="N220" i="11"/>
  <c r="O220" i="11"/>
  <c r="P220" i="11"/>
  <c r="Q220" i="11"/>
  <c r="N221" i="11"/>
  <c r="O221" i="11"/>
  <c r="P221" i="11"/>
  <c r="Q221" i="11"/>
  <c r="N222" i="11"/>
  <c r="O222" i="11"/>
  <c r="P222" i="11"/>
  <c r="Q222" i="11"/>
  <c r="N223" i="11"/>
  <c r="O223" i="11"/>
  <c r="P223" i="11"/>
  <c r="Q223" i="11"/>
  <c r="N224" i="11"/>
  <c r="O224" i="11"/>
  <c r="P224" i="11"/>
  <c r="Q224" i="11"/>
  <c r="N225" i="11"/>
  <c r="O225" i="11"/>
  <c r="P225" i="11"/>
  <c r="Q225" i="11"/>
  <c r="N226" i="11"/>
  <c r="O226" i="11"/>
  <c r="P226" i="11"/>
  <c r="Q226" i="11"/>
  <c r="N227" i="11"/>
  <c r="O227" i="11"/>
  <c r="P227" i="11"/>
  <c r="Q227" i="11"/>
  <c r="N228" i="11"/>
  <c r="O228" i="11"/>
  <c r="P228" i="11"/>
  <c r="Q228" i="11"/>
  <c r="N229" i="11"/>
  <c r="O229" i="11"/>
  <c r="P229" i="11"/>
  <c r="Q229" i="11"/>
  <c r="N230" i="11"/>
  <c r="O230" i="11"/>
  <c r="P230" i="11"/>
  <c r="Q230" i="11"/>
  <c r="N231" i="11"/>
  <c r="O231" i="11"/>
  <c r="P231" i="11"/>
  <c r="Q231" i="11"/>
  <c r="N232" i="11"/>
  <c r="O232" i="11"/>
  <c r="P232" i="11"/>
  <c r="Q232" i="11"/>
  <c r="N233" i="11"/>
  <c r="O233" i="11"/>
  <c r="P233" i="11"/>
  <c r="Q233" i="11"/>
  <c r="N234" i="11"/>
  <c r="O234" i="11"/>
  <c r="P234" i="11"/>
  <c r="Q234" i="11"/>
  <c r="N235" i="11"/>
  <c r="O235" i="11"/>
  <c r="P235" i="11"/>
  <c r="Q235" i="11"/>
  <c r="N236" i="11"/>
  <c r="O236" i="11"/>
  <c r="P236" i="11"/>
  <c r="Q236" i="11"/>
  <c r="N237" i="11"/>
  <c r="O237" i="11"/>
  <c r="P237" i="11"/>
  <c r="Q237" i="11"/>
  <c r="N238" i="11"/>
  <c r="O238" i="11"/>
  <c r="P238" i="11"/>
  <c r="Q238" i="11"/>
  <c r="N239" i="11"/>
  <c r="O239" i="11"/>
  <c r="P239" i="11"/>
  <c r="Q239" i="11"/>
  <c r="N240" i="11"/>
  <c r="O240" i="11"/>
  <c r="P240" i="11"/>
  <c r="Q240" i="11"/>
  <c r="N241" i="11"/>
  <c r="O241" i="11"/>
  <c r="P241" i="11"/>
  <c r="Q241" i="11"/>
  <c r="N242" i="11"/>
  <c r="O242" i="11"/>
  <c r="P242" i="11"/>
  <c r="Q242" i="11"/>
  <c r="N243" i="11"/>
  <c r="O243" i="11"/>
  <c r="P243" i="11"/>
  <c r="Q243" i="11"/>
  <c r="N244" i="11"/>
  <c r="O244" i="11"/>
  <c r="P244" i="11"/>
  <c r="Q244" i="11"/>
  <c r="N245" i="11"/>
  <c r="O245" i="11"/>
  <c r="P245" i="11"/>
  <c r="Q245" i="11"/>
  <c r="N246" i="11"/>
  <c r="O246" i="11"/>
  <c r="P246" i="11"/>
  <c r="Q246" i="11"/>
  <c r="N247" i="11"/>
  <c r="O247" i="11"/>
  <c r="P247" i="11"/>
  <c r="Q247" i="11"/>
  <c r="N248" i="11"/>
  <c r="O248" i="11"/>
  <c r="P248" i="11"/>
  <c r="Q248" i="11"/>
  <c r="N249" i="11"/>
  <c r="O249" i="11"/>
  <c r="P249" i="11"/>
  <c r="Q249" i="11"/>
  <c r="N250" i="11"/>
  <c r="O250" i="11"/>
  <c r="P250" i="11"/>
  <c r="Q250" i="11"/>
  <c r="N251" i="11"/>
  <c r="O251" i="11"/>
  <c r="P251" i="11"/>
  <c r="Q251" i="11"/>
  <c r="N252" i="11"/>
  <c r="O252" i="11"/>
  <c r="P252" i="11"/>
  <c r="Q252" i="11"/>
  <c r="N253" i="11"/>
  <c r="O253" i="11"/>
  <c r="P253" i="11"/>
  <c r="Q253" i="11"/>
  <c r="N254" i="11"/>
  <c r="O254" i="11"/>
  <c r="P254" i="11"/>
  <c r="Q254" i="11"/>
  <c r="N255" i="11"/>
  <c r="O255" i="11"/>
  <c r="P255" i="11"/>
  <c r="Q255" i="11"/>
  <c r="N256" i="11"/>
  <c r="O256" i="11"/>
  <c r="P256" i="11"/>
  <c r="Q256" i="11"/>
  <c r="N257" i="11"/>
  <c r="O257" i="11"/>
  <c r="P257" i="11"/>
  <c r="Q257" i="11"/>
  <c r="N258" i="11"/>
  <c r="O258" i="11"/>
  <c r="P258" i="11"/>
  <c r="Q258" i="11"/>
  <c r="N259" i="11"/>
  <c r="O259" i="11"/>
  <c r="P259" i="11"/>
  <c r="Q259" i="11"/>
  <c r="N260" i="11"/>
  <c r="O260" i="11"/>
  <c r="P260" i="11"/>
  <c r="Q260" i="11"/>
  <c r="N261" i="11"/>
  <c r="O261" i="11"/>
  <c r="P261" i="11"/>
  <c r="Q261" i="11"/>
  <c r="N262" i="11"/>
  <c r="O262" i="11"/>
  <c r="P262" i="11"/>
  <c r="Q262" i="11"/>
  <c r="N263" i="11"/>
  <c r="O263" i="11"/>
  <c r="P263" i="11"/>
  <c r="Q263" i="11"/>
  <c r="N264" i="11"/>
  <c r="O264" i="11"/>
  <c r="P264" i="11"/>
  <c r="Q264" i="11"/>
  <c r="N265" i="11"/>
  <c r="O265" i="11"/>
  <c r="P265" i="11"/>
  <c r="Q265" i="11"/>
  <c r="N266" i="11"/>
  <c r="O266" i="11"/>
  <c r="P266" i="11"/>
  <c r="Q266" i="11"/>
  <c r="N267" i="11"/>
  <c r="O267" i="11"/>
  <c r="P267" i="11"/>
  <c r="Q267" i="11"/>
  <c r="N268" i="11"/>
  <c r="O268" i="11"/>
  <c r="P268" i="11"/>
  <c r="Q268" i="11"/>
  <c r="N269" i="11"/>
  <c r="O269" i="11"/>
  <c r="P269" i="11"/>
  <c r="Q269" i="11"/>
  <c r="N270" i="11"/>
  <c r="O270" i="11"/>
  <c r="P270" i="11"/>
  <c r="Q270" i="11"/>
  <c r="N271" i="11"/>
  <c r="O271" i="11"/>
  <c r="P271" i="11"/>
  <c r="Q271" i="11"/>
  <c r="N272" i="11"/>
  <c r="O272" i="11"/>
  <c r="P272" i="11"/>
  <c r="Q272" i="11"/>
  <c r="N273" i="11"/>
  <c r="O273" i="11"/>
  <c r="P273" i="11"/>
  <c r="Q273" i="11"/>
  <c r="N274" i="11"/>
  <c r="O274" i="11"/>
  <c r="P274" i="11"/>
  <c r="Q274" i="11"/>
  <c r="N275" i="11"/>
  <c r="O275" i="11"/>
  <c r="P275" i="11"/>
  <c r="Q275" i="11"/>
  <c r="N276" i="11"/>
  <c r="O276" i="11"/>
  <c r="P276" i="11"/>
  <c r="Q276" i="11"/>
  <c r="N277" i="11"/>
  <c r="O277" i="11"/>
  <c r="P277" i="11"/>
  <c r="Q277" i="11"/>
  <c r="N278" i="11"/>
  <c r="O278" i="11"/>
  <c r="P278" i="11"/>
  <c r="Q278" i="11"/>
  <c r="N279" i="11"/>
  <c r="O279" i="11"/>
  <c r="P279" i="11"/>
  <c r="Q279" i="11"/>
  <c r="N280" i="11"/>
  <c r="O280" i="11"/>
  <c r="P280" i="11"/>
  <c r="Q280" i="11"/>
  <c r="N281" i="11"/>
  <c r="O281" i="11"/>
  <c r="P281" i="11"/>
  <c r="Q281" i="11"/>
  <c r="N282" i="11"/>
  <c r="O282" i="11"/>
  <c r="P282" i="11"/>
  <c r="Q282" i="11"/>
  <c r="N283" i="11"/>
  <c r="O283" i="11"/>
  <c r="P283" i="11"/>
  <c r="Q283" i="11"/>
  <c r="N284" i="11"/>
  <c r="O284" i="11"/>
  <c r="P284" i="11"/>
  <c r="Q284" i="11"/>
  <c r="N285" i="11"/>
  <c r="O285" i="11"/>
  <c r="P285" i="11"/>
  <c r="Q285" i="11"/>
  <c r="N286" i="11"/>
  <c r="O286" i="11"/>
  <c r="P286" i="11"/>
  <c r="Q286" i="11"/>
  <c r="N287" i="11"/>
  <c r="O287" i="11"/>
  <c r="P287" i="11"/>
  <c r="Q287" i="11"/>
  <c r="N288" i="11"/>
  <c r="O288" i="11"/>
  <c r="P288" i="11"/>
  <c r="Q288" i="11"/>
  <c r="N289" i="11"/>
  <c r="O289" i="11"/>
  <c r="P289" i="11"/>
  <c r="Q289" i="11"/>
  <c r="N290" i="11"/>
  <c r="O290" i="11"/>
  <c r="P290" i="11"/>
  <c r="Q290" i="11"/>
  <c r="N291" i="11"/>
  <c r="O291" i="11"/>
  <c r="P291" i="11"/>
  <c r="Q291" i="11"/>
  <c r="N292" i="11"/>
  <c r="O292" i="11"/>
  <c r="P292" i="11"/>
  <c r="Q292" i="11"/>
  <c r="N293" i="11"/>
  <c r="O293" i="11"/>
  <c r="P293" i="11"/>
  <c r="Q293" i="11"/>
  <c r="N294" i="11"/>
  <c r="O294" i="11"/>
  <c r="P294" i="11"/>
  <c r="Q294" i="11"/>
  <c r="N295" i="11"/>
  <c r="O295" i="11"/>
  <c r="P295" i="11"/>
  <c r="Q295" i="11"/>
  <c r="N296" i="11"/>
  <c r="O296" i="11"/>
  <c r="P296" i="11"/>
  <c r="Q296" i="11"/>
  <c r="N297" i="11"/>
  <c r="O297" i="11"/>
  <c r="P297" i="11"/>
  <c r="Q297" i="11"/>
  <c r="N298" i="11"/>
  <c r="O298" i="11"/>
  <c r="P298" i="11"/>
  <c r="Q298" i="11"/>
  <c r="N299" i="11"/>
  <c r="O299" i="11"/>
  <c r="P299" i="11"/>
  <c r="Q299" i="11"/>
  <c r="N300" i="11"/>
  <c r="O300" i="11"/>
  <c r="P300" i="11"/>
  <c r="Q300" i="11"/>
  <c r="N301" i="11"/>
  <c r="O301" i="11"/>
  <c r="P301" i="11"/>
  <c r="Q301" i="11"/>
  <c r="N302" i="11"/>
  <c r="O302" i="11"/>
  <c r="P302" i="11"/>
  <c r="Q302" i="11"/>
  <c r="N303" i="11"/>
  <c r="O303" i="11"/>
  <c r="P303" i="11"/>
  <c r="Q303" i="11"/>
  <c r="N304" i="11"/>
  <c r="O304" i="11"/>
  <c r="P304" i="11"/>
  <c r="Q304" i="11"/>
  <c r="N305" i="11"/>
  <c r="O305" i="11"/>
  <c r="P305" i="11"/>
  <c r="Q305" i="11"/>
  <c r="N306" i="11"/>
  <c r="O306" i="11"/>
  <c r="P306" i="11"/>
  <c r="Q306" i="11"/>
  <c r="N307" i="11"/>
  <c r="O307" i="11"/>
  <c r="P307" i="11"/>
  <c r="Q307" i="11"/>
  <c r="N308" i="11"/>
  <c r="O308" i="11"/>
  <c r="P308" i="11"/>
  <c r="Q308" i="11"/>
  <c r="N309" i="11"/>
  <c r="O309" i="11"/>
  <c r="P309" i="11"/>
  <c r="Q309" i="11"/>
  <c r="N310" i="11"/>
  <c r="O310" i="11"/>
  <c r="P310" i="11"/>
  <c r="Q310" i="11"/>
  <c r="N311" i="11"/>
  <c r="O311" i="11"/>
  <c r="P311" i="11"/>
  <c r="Q311" i="11"/>
  <c r="N312" i="11"/>
  <c r="O312" i="11"/>
  <c r="P312" i="11"/>
  <c r="Q312" i="11"/>
  <c r="N313" i="11"/>
  <c r="O313" i="11"/>
  <c r="P313" i="11"/>
  <c r="Q313" i="11"/>
  <c r="N314" i="11"/>
  <c r="O314" i="11"/>
  <c r="P314" i="11"/>
  <c r="Q314" i="11"/>
  <c r="N315" i="11"/>
  <c r="O315" i="11"/>
  <c r="P315" i="11"/>
  <c r="Q315" i="11"/>
  <c r="N316" i="11"/>
  <c r="O316" i="11"/>
  <c r="P316" i="11"/>
  <c r="Q316" i="11"/>
  <c r="N317" i="11"/>
  <c r="O317" i="11"/>
  <c r="P317" i="11"/>
  <c r="Q317" i="11"/>
  <c r="N318" i="11"/>
  <c r="O318" i="11"/>
  <c r="P318" i="11"/>
  <c r="Q318" i="11"/>
  <c r="N319" i="11"/>
  <c r="O319" i="11"/>
  <c r="P319" i="11"/>
  <c r="Q319" i="11"/>
  <c r="N320" i="11"/>
  <c r="O320" i="11"/>
  <c r="P320" i="11"/>
  <c r="Q320" i="11"/>
  <c r="N321" i="11"/>
  <c r="O321" i="11"/>
  <c r="P321" i="11"/>
  <c r="Q321" i="11"/>
  <c r="N322" i="11"/>
  <c r="O322" i="11"/>
  <c r="P322" i="11"/>
  <c r="Q322" i="11"/>
  <c r="N323" i="11"/>
  <c r="O323" i="11"/>
  <c r="P323" i="11"/>
  <c r="Q323" i="11"/>
  <c r="N324" i="11"/>
  <c r="O324" i="11"/>
  <c r="P324" i="11"/>
  <c r="Q324" i="11"/>
  <c r="N325" i="11"/>
  <c r="O325" i="11"/>
  <c r="P325" i="11"/>
  <c r="Q325" i="11"/>
  <c r="N326" i="11"/>
  <c r="O326" i="11"/>
  <c r="P326" i="11"/>
  <c r="Q326" i="11"/>
  <c r="N327" i="11"/>
  <c r="O327" i="11"/>
  <c r="P327" i="11"/>
  <c r="Q327" i="11"/>
  <c r="N328" i="11"/>
  <c r="O328" i="11"/>
  <c r="P328" i="11"/>
  <c r="Q328" i="11"/>
  <c r="N329" i="11"/>
  <c r="O329" i="11"/>
  <c r="P329" i="11"/>
  <c r="Q329" i="11"/>
  <c r="N330" i="11"/>
  <c r="O330" i="11"/>
  <c r="P330" i="11"/>
  <c r="Q330" i="11"/>
  <c r="N331" i="11"/>
  <c r="O331" i="11"/>
  <c r="P331" i="11"/>
  <c r="Q331" i="11"/>
  <c r="N332" i="11"/>
  <c r="O332" i="11"/>
  <c r="P332" i="11"/>
  <c r="Q332" i="11"/>
  <c r="N333" i="11"/>
  <c r="O333" i="11"/>
  <c r="P333" i="11"/>
  <c r="Q333" i="11"/>
  <c r="N334" i="11"/>
  <c r="O334" i="11"/>
  <c r="P334" i="11"/>
  <c r="Q334" i="11"/>
  <c r="N335" i="11"/>
  <c r="O335" i="11"/>
  <c r="P335" i="11"/>
  <c r="Q335" i="11"/>
  <c r="N336" i="11"/>
  <c r="O336" i="11"/>
  <c r="P336" i="11"/>
  <c r="Q336" i="11"/>
  <c r="N337" i="11"/>
  <c r="O337" i="11"/>
  <c r="P337" i="11"/>
  <c r="Q337" i="11"/>
  <c r="N338" i="11"/>
  <c r="O338" i="11"/>
  <c r="P338" i="11"/>
  <c r="Q338" i="11"/>
  <c r="N339" i="11"/>
  <c r="O339" i="11"/>
  <c r="P339" i="11"/>
  <c r="Q339" i="11"/>
  <c r="N340" i="11"/>
  <c r="O340" i="11"/>
  <c r="P340" i="11"/>
  <c r="Q340" i="11"/>
  <c r="N341" i="11"/>
  <c r="O341" i="11"/>
  <c r="P341" i="11"/>
  <c r="Q341" i="11"/>
  <c r="N342" i="11"/>
  <c r="O342" i="11"/>
  <c r="P342" i="11"/>
  <c r="Q342" i="11"/>
  <c r="N343" i="11"/>
  <c r="O343" i="11"/>
  <c r="P343" i="11"/>
  <c r="Q343" i="11"/>
  <c r="N344" i="11"/>
  <c r="O344" i="11"/>
  <c r="P344" i="11"/>
  <c r="Q344" i="11"/>
  <c r="N345" i="11"/>
  <c r="O345" i="11"/>
  <c r="P345" i="11"/>
  <c r="Q345" i="11"/>
  <c r="N346" i="11"/>
  <c r="O346" i="11"/>
  <c r="P346" i="11"/>
  <c r="Q346" i="11"/>
  <c r="N347" i="11"/>
  <c r="O347" i="11"/>
  <c r="P347" i="11"/>
  <c r="Q347" i="11"/>
  <c r="N348" i="11"/>
  <c r="O348" i="11"/>
  <c r="P348" i="11"/>
  <c r="Q348" i="11"/>
  <c r="N349" i="11"/>
  <c r="O349" i="11"/>
  <c r="P349" i="11"/>
  <c r="Q349" i="11"/>
  <c r="N350" i="11"/>
  <c r="O350" i="11"/>
  <c r="P350" i="11"/>
  <c r="Q350" i="11"/>
  <c r="N351" i="11"/>
  <c r="O351" i="11"/>
  <c r="P351" i="11"/>
  <c r="Q351" i="11"/>
  <c r="N352" i="11"/>
  <c r="O352" i="11"/>
  <c r="P352" i="11"/>
  <c r="Q352" i="11"/>
  <c r="N353" i="11"/>
  <c r="O353" i="11"/>
  <c r="P353" i="11"/>
  <c r="Q353" i="11"/>
  <c r="N354" i="11"/>
  <c r="O354" i="11"/>
  <c r="P354" i="11"/>
  <c r="Q354" i="11"/>
  <c r="N355" i="11"/>
  <c r="O355" i="11"/>
  <c r="P355" i="11"/>
  <c r="Q355" i="11"/>
  <c r="N356" i="11"/>
  <c r="O356" i="11"/>
  <c r="P356" i="11"/>
  <c r="Q356" i="11"/>
  <c r="N357" i="11"/>
  <c r="O357" i="11"/>
  <c r="P357" i="11"/>
  <c r="Q357" i="11"/>
  <c r="N358" i="11"/>
  <c r="O358" i="11"/>
  <c r="P358" i="11"/>
  <c r="Q358" i="11"/>
  <c r="N359" i="11"/>
  <c r="O359" i="11"/>
  <c r="P359" i="11"/>
  <c r="Q359" i="11"/>
  <c r="N360" i="11"/>
  <c r="O360" i="11"/>
  <c r="P360" i="11"/>
  <c r="Q360" i="11"/>
  <c r="N361" i="11"/>
  <c r="O361" i="11"/>
  <c r="P361" i="11"/>
  <c r="Q361" i="11"/>
  <c r="N362" i="11"/>
  <c r="O362" i="11"/>
  <c r="P362" i="11"/>
  <c r="Q362" i="11"/>
  <c r="N363" i="11"/>
  <c r="O363" i="11"/>
  <c r="P363" i="11"/>
  <c r="Q363" i="11"/>
  <c r="N364" i="11"/>
  <c r="O364" i="11"/>
  <c r="P364" i="11"/>
  <c r="Q364" i="11"/>
  <c r="N365" i="11"/>
  <c r="O365" i="11"/>
  <c r="P365" i="11"/>
  <c r="Q365" i="11"/>
  <c r="N366" i="11"/>
  <c r="O366" i="11"/>
  <c r="P366" i="11"/>
  <c r="Q366" i="11"/>
  <c r="N367" i="11"/>
  <c r="O367" i="11"/>
  <c r="P367" i="11"/>
  <c r="Q367" i="11"/>
  <c r="N368" i="11"/>
  <c r="O368" i="11"/>
  <c r="P368" i="11"/>
  <c r="Q368" i="11"/>
  <c r="N369" i="11"/>
  <c r="O369" i="11"/>
  <c r="P369" i="11"/>
  <c r="Q369" i="11"/>
  <c r="N370" i="11"/>
  <c r="O370" i="11"/>
  <c r="P370" i="11"/>
  <c r="Q370" i="11"/>
  <c r="N371" i="11"/>
  <c r="O371" i="11"/>
  <c r="P371" i="11"/>
  <c r="Q371" i="11"/>
  <c r="N372" i="11"/>
  <c r="O372" i="11"/>
  <c r="P372" i="11"/>
  <c r="Q372" i="11"/>
  <c r="N373" i="11"/>
  <c r="O373" i="11"/>
  <c r="P373" i="11"/>
  <c r="Q373" i="11"/>
  <c r="N374" i="11"/>
  <c r="O374" i="11"/>
  <c r="P374" i="11"/>
  <c r="Q374" i="11"/>
  <c r="N375" i="11"/>
  <c r="O375" i="11"/>
  <c r="P375" i="11"/>
  <c r="Q375" i="11"/>
  <c r="N376" i="11"/>
  <c r="O376" i="11"/>
  <c r="P376" i="11"/>
  <c r="Q376" i="11"/>
  <c r="N377" i="11"/>
  <c r="O377" i="11"/>
  <c r="P377" i="11"/>
  <c r="Q377" i="11"/>
  <c r="N378" i="11"/>
  <c r="O378" i="11"/>
  <c r="P378" i="11"/>
  <c r="Q378" i="11"/>
  <c r="N379" i="11"/>
  <c r="O379" i="11"/>
  <c r="P379" i="11"/>
  <c r="Q379" i="11"/>
  <c r="N380" i="11"/>
  <c r="O380" i="11"/>
  <c r="P380" i="11"/>
  <c r="Q380" i="11"/>
  <c r="N381" i="11"/>
  <c r="O381" i="11"/>
  <c r="P381" i="11"/>
  <c r="Q381" i="11"/>
  <c r="N382" i="11"/>
  <c r="O382" i="11"/>
  <c r="P382" i="11"/>
  <c r="Q382" i="11"/>
  <c r="N383" i="11"/>
  <c r="O383" i="11"/>
  <c r="P383" i="11"/>
  <c r="Q383" i="11"/>
  <c r="N384" i="11"/>
  <c r="O384" i="11"/>
  <c r="P384" i="11"/>
  <c r="Q384" i="11"/>
  <c r="N385" i="11"/>
  <c r="O385" i="11"/>
  <c r="P385" i="11"/>
  <c r="Q385" i="11"/>
  <c r="N386" i="11"/>
  <c r="O386" i="11"/>
  <c r="P386" i="11"/>
  <c r="Q386" i="11"/>
  <c r="N387" i="11"/>
  <c r="O387" i="11"/>
  <c r="P387" i="11"/>
  <c r="Q387" i="11"/>
  <c r="N388" i="11"/>
  <c r="O388" i="11"/>
  <c r="P388" i="11"/>
  <c r="Q388" i="11"/>
  <c r="N389" i="11"/>
  <c r="O389" i="11"/>
  <c r="P389" i="11"/>
  <c r="Q389" i="11"/>
  <c r="N390" i="11"/>
  <c r="O390" i="11"/>
  <c r="P390" i="11"/>
  <c r="Q390" i="11"/>
  <c r="N391" i="11"/>
  <c r="O391" i="11"/>
  <c r="P391" i="11"/>
  <c r="Q391" i="11"/>
  <c r="N392" i="11"/>
  <c r="O392" i="11"/>
  <c r="P392" i="11"/>
  <c r="Q392" i="11"/>
  <c r="N393" i="11"/>
  <c r="O393" i="11"/>
  <c r="P393" i="11"/>
  <c r="Q393" i="11"/>
  <c r="N394" i="11"/>
  <c r="O394" i="11"/>
  <c r="P394" i="11"/>
  <c r="Q394" i="11"/>
  <c r="N395" i="11"/>
  <c r="O395" i="11"/>
  <c r="P395" i="11"/>
  <c r="Q395" i="11"/>
  <c r="N396" i="11"/>
  <c r="O396" i="11"/>
  <c r="P396" i="11"/>
  <c r="Q396" i="11"/>
  <c r="N397" i="11"/>
  <c r="O397" i="11"/>
  <c r="P397" i="11"/>
  <c r="Q397" i="11"/>
  <c r="N398" i="11"/>
  <c r="O398" i="11"/>
  <c r="P398" i="11"/>
  <c r="Q398" i="11"/>
  <c r="N399" i="11"/>
  <c r="O399" i="11"/>
  <c r="P399" i="11"/>
  <c r="Q399" i="11"/>
  <c r="N400" i="11"/>
  <c r="O400" i="11"/>
  <c r="P400" i="11"/>
  <c r="Q400" i="11"/>
  <c r="N401" i="11"/>
  <c r="O401" i="11"/>
  <c r="P401" i="11"/>
  <c r="Q401" i="11"/>
  <c r="N402" i="11"/>
  <c r="O402" i="11"/>
  <c r="P402" i="11"/>
  <c r="Q402" i="11"/>
  <c r="N403" i="11"/>
  <c r="O403" i="11"/>
  <c r="P403" i="11"/>
  <c r="Q403" i="11"/>
  <c r="N404" i="11"/>
  <c r="O404" i="11"/>
  <c r="P404" i="11"/>
  <c r="Q404" i="11"/>
  <c r="N405" i="11"/>
  <c r="O405" i="11"/>
  <c r="P405" i="11"/>
  <c r="Q405" i="11"/>
  <c r="N406" i="11"/>
  <c r="O406" i="11"/>
  <c r="P406" i="11"/>
  <c r="Q406" i="11"/>
  <c r="N407" i="11"/>
  <c r="O407" i="11"/>
  <c r="P407" i="11"/>
  <c r="Q407" i="11"/>
  <c r="N408" i="11"/>
  <c r="O408" i="11"/>
  <c r="P408" i="11"/>
  <c r="Q408" i="11"/>
  <c r="N409" i="11"/>
  <c r="O409" i="11"/>
  <c r="P409" i="11"/>
  <c r="Q409" i="11"/>
  <c r="N410" i="11"/>
  <c r="O410" i="11"/>
  <c r="P410" i="11"/>
  <c r="Q410" i="11"/>
  <c r="N411" i="11"/>
  <c r="O411" i="11"/>
  <c r="P411" i="11"/>
  <c r="Q411" i="11"/>
  <c r="N412" i="11"/>
  <c r="O412" i="11"/>
  <c r="P412" i="11"/>
  <c r="Q412" i="11"/>
  <c r="N413" i="11"/>
  <c r="O413" i="11"/>
  <c r="P413" i="11"/>
  <c r="Q413" i="11"/>
  <c r="N414" i="11"/>
  <c r="O414" i="11"/>
  <c r="P414" i="11"/>
  <c r="Q414" i="11"/>
  <c r="N415" i="11"/>
  <c r="O415" i="11"/>
  <c r="P415" i="11"/>
  <c r="Q415" i="11"/>
  <c r="N416" i="11"/>
  <c r="O416" i="11"/>
  <c r="P416" i="11"/>
  <c r="Q416" i="11"/>
  <c r="N417" i="11"/>
  <c r="O417" i="11"/>
  <c r="P417" i="11"/>
  <c r="Q417" i="11"/>
  <c r="N418" i="11"/>
  <c r="O418" i="11"/>
  <c r="P418" i="11"/>
  <c r="Q418" i="11"/>
  <c r="N419" i="11"/>
  <c r="O419" i="11"/>
  <c r="P419" i="11"/>
  <c r="Q419" i="11"/>
  <c r="N420" i="11"/>
  <c r="O420" i="11"/>
  <c r="P420" i="11"/>
  <c r="Q420" i="11"/>
  <c r="N421" i="11"/>
  <c r="O421" i="11"/>
  <c r="P421" i="11"/>
  <c r="Q421" i="11"/>
  <c r="N422" i="11"/>
  <c r="O422" i="11"/>
  <c r="P422" i="11"/>
  <c r="Q422" i="11"/>
  <c r="N423" i="11"/>
  <c r="O423" i="11"/>
  <c r="P423" i="11"/>
  <c r="Q423" i="11"/>
  <c r="N424" i="11"/>
  <c r="O424" i="11"/>
  <c r="P424" i="11"/>
  <c r="Q424" i="11"/>
  <c r="N425" i="11"/>
  <c r="O425" i="11"/>
  <c r="P425" i="11"/>
  <c r="Q425" i="11"/>
  <c r="N426" i="11"/>
  <c r="O426" i="11"/>
  <c r="P426" i="11"/>
  <c r="Q426" i="11"/>
  <c r="N427" i="11"/>
  <c r="O427" i="11"/>
  <c r="P427" i="11"/>
  <c r="Q427" i="11"/>
  <c r="N428" i="11"/>
  <c r="O428" i="11"/>
  <c r="P428" i="11"/>
  <c r="Q428" i="11"/>
  <c r="N429" i="11"/>
  <c r="O429" i="11"/>
  <c r="P429" i="11"/>
  <c r="Q429" i="11"/>
  <c r="N430" i="11"/>
  <c r="O430" i="11"/>
  <c r="P430" i="11"/>
  <c r="Q430" i="11"/>
  <c r="N431" i="11"/>
  <c r="O431" i="11"/>
  <c r="P431" i="11"/>
  <c r="Q431" i="11"/>
  <c r="N432" i="11"/>
  <c r="O432" i="11"/>
  <c r="P432" i="11"/>
  <c r="Q432" i="11"/>
  <c r="N433" i="11"/>
  <c r="O433" i="11"/>
  <c r="P433" i="11"/>
  <c r="Q433" i="11"/>
  <c r="N434" i="11"/>
  <c r="O434" i="11"/>
  <c r="P434" i="11"/>
  <c r="Q434" i="11"/>
  <c r="N435" i="11"/>
  <c r="O435" i="11"/>
  <c r="P435" i="11"/>
  <c r="Q435" i="11"/>
  <c r="N436" i="11"/>
  <c r="O436" i="11"/>
  <c r="P436" i="11"/>
  <c r="Q436" i="11"/>
  <c r="N437" i="11"/>
  <c r="O437" i="11"/>
  <c r="P437" i="11"/>
  <c r="Q437" i="11"/>
  <c r="N438" i="11"/>
  <c r="O438" i="11"/>
  <c r="P438" i="11"/>
  <c r="Q438" i="11"/>
  <c r="N439" i="11"/>
  <c r="O439" i="11"/>
  <c r="P439" i="11"/>
  <c r="Q439" i="11"/>
  <c r="N440" i="11"/>
  <c r="O440" i="11"/>
  <c r="P440" i="11"/>
  <c r="Q440" i="11"/>
  <c r="N441" i="11"/>
  <c r="O441" i="11"/>
  <c r="P441" i="11"/>
  <c r="Q441" i="11"/>
  <c r="N442" i="11"/>
  <c r="O442" i="11"/>
  <c r="P442" i="11"/>
  <c r="Q442" i="11"/>
  <c r="N443" i="11"/>
  <c r="O443" i="11"/>
  <c r="P443" i="11"/>
  <c r="Q443" i="11"/>
  <c r="N444" i="11"/>
  <c r="O444" i="11"/>
  <c r="P444" i="11"/>
  <c r="Q444" i="11"/>
  <c r="N445" i="11"/>
  <c r="O445" i="11"/>
  <c r="P445" i="11"/>
  <c r="Q445" i="11"/>
  <c r="N446" i="11"/>
  <c r="O446" i="11"/>
  <c r="P446" i="11"/>
  <c r="Q446" i="11"/>
  <c r="N447" i="11"/>
  <c r="O447" i="11"/>
  <c r="P447" i="11"/>
  <c r="Q447" i="11"/>
  <c r="N448" i="11"/>
  <c r="O448" i="11"/>
  <c r="P448" i="11"/>
  <c r="Q448" i="11"/>
  <c r="N449" i="11"/>
  <c r="O449" i="11"/>
  <c r="P449" i="11"/>
  <c r="Q449" i="11"/>
  <c r="N450" i="11"/>
  <c r="O450" i="11"/>
  <c r="P450" i="11"/>
  <c r="Q450" i="11"/>
  <c r="N451" i="11"/>
  <c r="O451" i="11"/>
  <c r="P451" i="11"/>
  <c r="Q451" i="11"/>
  <c r="N452" i="11"/>
  <c r="O452" i="11"/>
  <c r="P452" i="11"/>
  <c r="Q452" i="11"/>
  <c r="N453" i="11"/>
  <c r="O453" i="11"/>
  <c r="P453" i="11"/>
  <c r="Q453" i="11"/>
  <c r="N454" i="11"/>
  <c r="O454" i="11"/>
  <c r="P454" i="11"/>
  <c r="Q454" i="11"/>
  <c r="N455" i="11"/>
  <c r="O455" i="11"/>
  <c r="P455" i="11"/>
  <c r="Q455" i="11"/>
  <c r="N456" i="11"/>
  <c r="O456" i="11"/>
  <c r="P456" i="11"/>
  <c r="Q456" i="11"/>
  <c r="N457" i="11"/>
  <c r="O457" i="11"/>
  <c r="P457" i="11"/>
  <c r="Q457" i="11"/>
  <c r="N458" i="11"/>
  <c r="O458" i="11"/>
  <c r="P458" i="11"/>
  <c r="Q458" i="11"/>
  <c r="N459" i="11"/>
  <c r="O459" i="11"/>
  <c r="P459" i="11"/>
  <c r="Q459" i="11"/>
  <c r="N460" i="11"/>
  <c r="O460" i="11"/>
  <c r="P460" i="11"/>
  <c r="Q460" i="11"/>
  <c r="N461" i="11"/>
  <c r="O461" i="11"/>
  <c r="P461" i="11"/>
  <c r="Q461" i="11"/>
  <c r="N462" i="11"/>
  <c r="O462" i="11"/>
  <c r="P462" i="11"/>
  <c r="Q462" i="11"/>
  <c r="N463" i="11"/>
  <c r="O463" i="11"/>
  <c r="P463" i="11"/>
  <c r="Q463" i="11"/>
  <c r="N464" i="11"/>
  <c r="O464" i="11"/>
  <c r="P464" i="11"/>
  <c r="Q464" i="11"/>
  <c r="N465" i="11"/>
  <c r="O465" i="11"/>
  <c r="P465" i="11"/>
  <c r="Q465" i="11"/>
  <c r="N466" i="11"/>
  <c r="O466" i="11"/>
  <c r="P466" i="11"/>
  <c r="Q466" i="11"/>
  <c r="N467" i="11"/>
  <c r="O467" i="11"/>
  <c r="P467" i="11"/>
  <c r="Q467" i="11"/>
  <c r="N468" i="11"/>
  <c r="O468" i="11"/>
  <c r="P468" i="11"/>
  <c r="Q468" i="11"/>
  <c r="N469" i="11"/>
  <c r="O469" i="11"/>
  <c r="P469" i="11"/>
  <c r="Q469" i="11"/>
  <c r="N470" i="11"/>
  <c r="O470" i="11"/>
  <c r="P470" i="11"/>
  <c r="Q470" i="11"/>
  <c r="N471" i="11"/>
  <c r="O471" i="11"/>
  <c r="P471" i="11"/>
  <c r="Q471" i="11"/>
  <c r="N472" i="11"/>
  <c r="O472" i="11"/>
  <c r="P472" i="11"/>
  <c r="Q472" i="11"/>
  <c r="N473" i="11"/>
  <c r="O473" i="11"/>
  <c r="P473" i="11"/>
  <c r="Q473" i="11"/>
  <c r="N474" i="11"/>
  <c r="O474" i="11"/>
  <c r="P474" i="11"/>
  <c r="Q474" i="11"/>
  <c r="N475" i="11"/>
  <c r="O475" i="11"/>
  <c r="P475" i="11"/>
  <c r="Q475" i="11"/>
  <c r="N476" i="11"/>
  <c r="O476" i="11"/>
  <c r="P476" i="11"/>
  <c r="Q476" i="11"/>
  <c r="N477" i="11"/>
  <c r="O477" i="11"/>
  <c r="P477" i="11"/>
  <c r="Q477" i="11"/>
  <c r="N478" i="11"/>
  <c r="O478" i="11"/>
  <c r="P478" i="11"/>
  <c r="Q478" i="11"/>
  <c r="N479" i="11"/>
  <c r="O479" i="11"/>
  <c r="P479" i="11"/>
  <c r="Q479" i="11"/>
  <c r="N480" i="11"/>
  <c r="O480" i="11"/>
  <c r="P480" i="11"/>
  <c r="Q480" i="11"/>
  <c r="N481" i="11"/>
  <c r="O481" i="11"/>
  <c r="P481" i="11"/>
  <c r="Q481" i="11"/>
  <c r="N482" i="11"/>
  <c r="O482" i="11"/>
  <c r="P482" i="11"/>
  <c r="Q482" i="11"/>
  <c r="N483" i="11"/>
  <c r="O483" i="11"/>
  <c r="P483" i="11"/>
  <c r="Q483" i="11"/>
  <c r="N484" i="11"/>
  <c r="O484" i="11"/>
  <c r="P484" i="11"/>
  <c r="Q484" i="11"/>
  <c r="N485" i="11"/>
  <c r="O485" i="11"/>
  <c r="P485" i="11"/>
  <c r="Q485" i="11"/>
  <c r="N486" i="11"/>
  <c r="O486" i="11"/>
  <c r="P486" i="11"/>
  <c r="Q486" i="11"/>
  <c r="N487" i="11"/>
  <c r="O487" i="11"/>
  <c r="P487" i="11"/>
  <c r="Q487" i="11"/>
  <c r="N488" i="11"/>
  <c r="O488" i="11"/>
  <c r="P488" i="11"/>
  <c r="Q488" i="11"/>
  <c r="N489" i="11"/>
  <c r="O489" i="11"/>
  <c r="P489" i="11"/>
  <c r="Q489" i="11"/>
  <c r="N490" i="11"/>
  <c r="O490" i="11"/>
  <c r="P490" i="11"/>
  <c r="Q490" i="11"/>
  <c r="N491" i="11"/>
  <c r="O491" i="11"/>
  <c r="P491" i="11"/>
  <c r="Q491" i="11"/>
  <c r="N492" i="11"/>
  <c r="O492" i="11"/>
  <c r="P492" i="11"/>
  <c r="Q492" i="11"/>
  <c r="N493" i="11"/>
  <c r="O493" i="11"/>
  <c r="P493" i="11"/>
  <c r="Q493" i="11"/>
  <c r="N494" i="11"/>
  <c r="O494" i="11"/>
  <c r="P494" i="11"/>
  <c r="Q494" i="11"/>
  <c r="N495" i="11"/>
  <c r="O495" i="11"/>
  <c r="P495" i="11"/>
  <c r="Q495" i="11"/>
  <c r="N496" i="11"/>
  <c r="O496" i="11"/>
  <c r="P496" i="11"/>
  <c r="Q496" i="11"/>
  <c r="N497" i="11"/>
  <c r="O497" i="11"/>
  <c r="P497" i="11"/>
  <c r="Q497" i="11"/>
  <c r="N498" i="11"/>
  <c r="O498" i="11"/>
  <c r="P498" i="11"/>
  <c r="Q498" i="11"/>
  <c r="N499" i="11"/>
  <c r="O499" i="11"/>
  <c r="P499" i="11"/>
  <c r="Q499" i="11"/>
  <c r="N500" i="11"/>
  <c r="O500" i="11"/>
  <c r="P500" i="11"/>
  <c r="Q500" i="11"/>
  <c r="N501" i="11"/>
  <c r="O501" i="11"/>
  <c r="P501" i="11"/>
  <c r="Q501" i="11"/>
  <c r="N502" i="11"/>
  <c r="O502" i="11"/>
  <c r="P502" i="11"/>
  <c r="Q502" i="11"/>
  <c r="N503" i="11"/>
  <c r="O503" i="11"/>
  <c r="P503" i="11"/>
  <c r="Q503" i="11"/>
  <c r="N504" i="11"/>
  <c r="O504" i="11"/>
  <c r="P504" i="11"/>
  <c r="Q504" i="11"/>
  <c r="N505" i="11"/>
  <c r="O505" i="11"/>
  <c r="P505" i="11"/>
  <c r="Q505" i="11"/>
  <c r="N506" i="11"/>
  <c r="O506" i="11"/>
  <c r="P506" i="11"/>
  <c r="Q506" i="11"/>
  <c r="N507" i="11"/>
  <c r="O507" i="11"/>
  <c r="P507" i="11"/>
  <c r="Q507" i="11"/>
  <c r="N508" i="11"/>
  <c r="O508" i="11"/>
  <c r="P508" i="11"/>
  <c r="Q508" i="11"/>
  <c r="N509" i="11"/>
  <c r="O509" i="11"/>
  <c r="P509" i="11"/>
  <c r="Q509" i="11"/>
  <c r="N510" i="11"/>
  <c r="O510" i="11"/>
  <c r="P510" i="11"/>
  <c r="Q510" i="11"/>
  <c r="N511" i="11"/>
  <c r="O511" i="11"/>
  <c r="P511" i="11"/>
  <c r="Q511" i="11"/>
  <c r="N512" i="11"/>
  <c r="O512" i="11"/>
  <c r="P512" i="11"/>
  <c r="Q512" i="11"/>
  <c r="N513" i="11"/>
  <c r="O513" i="11"/>
  <c r="P513" i="11"/>
  <c r="Q513" i="11"/>
  <c r="N514" i="11"/>
  <c r="O514" i="11"/>
  <c r="P514" i="11"/>
  <c r="Q514" i="11"/>
  <c r="N515" i="11"/>
  <c r="O515" i="11"/>
  <c r="P515" i="11"/>
  <c r="Q515" i="11"/>
  <c r="N516" i="11"/>
  <c r="O516" i="11"/>
  <c r="P516" i="11"/>
  <c r="Q516" i="11"/>
  <c r="N517" i="11"/>
  <c r="O517" i="11"/>
  <c r="P517" i="11"/>
  <c r="Q517" i="11"/>
  <c r="N518" i="11"/>
  <c r="O518" i="11"/>
  <c r="P518" i="11"/>
  <c r="Q518" i="11"/>
  <c r="N519" i="11"/>
  <c r="O519" i="11"/>
  <c r="P519" i="11"/>
  <c r="Q519" i="11"/>
  <c r="N520" i="11"/>
  <c r="O520" i="11"/>
  <c r="P520" i="11"/>
  <c r="Q520" i="11"/>
  <c r="N521" i="11"/>
  <c r="O521" i="11"/>
  <c r="P521" i="11"/>
  <c r="Q521" i="11"/>
  <c r="N522" i="11"/>
  <c r="O522" i="11"/>
  <c r="P522" i="11"/>
  <c r="Q522" i="11"/>
  <c r="N523" i="11"/>
  <c r="O523" i="11"/>
  <c r="P523" i="11"/>
  <c r="Q523" i="11"/>
  <c r="N524" i="11"/>
  <c r="O524" i="11"/>
  <c r="P524" i="11"/>
  <c r="Q524" i="11"/>
  <c r="N525" i="11"/>
  <c r="O525" i="11"/>
  <c r="P525" i="11"/>
  <c r="Q525" i="11"/>
  <c r="N526" i="11"/>
  <c r="O526" i="11"/>
  <c r="P526" i="11"/>
  <c r="Q526" i="11"/>
  <c r="N527" i="11"/>
  <c r="O527" i="11"/>
  <c r="P527" i="11"/>
  <c r="Q527" i="11"/>
  <c r="N528" i="11"/>
  <c r="O528" i="11"/>
  <c r="P528" i="11"/>
  <c r="Q528" i="11"/>
  <c r="N529" i="11"/>
  <c r="O529" i="11"/>
  <c r="P529" i="11"/>
  <c r="Q529" i="11"/>
  <c r="N530" i="11"/>
  <c r="O530" i="11"/>
  <c r="P530" i="11"/>
  <c r="Q530" i="11"/>
  <c r="N531" i="11"/>
  <c r="O531" i="11"/>
  <c r="P531" i="11"/>
  <c r="Q531" i="11"/>
  <c r="N532" i="11"/>
  <c r="O532" i="11"/>
  <c r="P532" i="11"/>
  <c r="Q532" i="11"/>
  <c r="N533" i="11"/>
  <c r="O533" i="11"/>
  <c r="P533" i="11"/>
  <c r="Q533" i="11"/>
  <c r="N534" i="11"/>
  <c r="O534" i="11"/>
  <c r="P534" i="11"/>
  <c r="Q534" i="11"/>
  <c r="N535" i="11"/>
  <c r="O535" i="11"/>
  <c r="P535" i="11"/>
  <c r="Q535" i="11"/>
  <c r="N536" i="11"/>
  <c r="O536" i="11"/>
  <c r="P536" i="11"/>
  <c r="Q536" i="11"/>
  <c r="N537" i="11"/>
  <c r="O537" i="11"/>
  <c r="P537" i="11"/>
  <c r="Q537" i="11"/>
  <c r="N538" i="11"/>
  <c r="O538" i="11"/>
  <c r="P538" i="11"/>
  <c r="Q538" i="11"/>
  <c r="N539" i="11"/>
  <c r="O539" i="11"/>
  <c r="P539" i="11"/>
  <c r="Q539" i="11"/>
  <c r="N540" i="11"/>
  <c r="O540" i="11"/>
  <c r="P540" i="11"/>
  <c r="Q540" i="11"/>
  <c r="N541" i="11"/>
  <c r="O541" i="11"/>
  <c r="P541" i="11"/>
  <c r="Q541" i="11"/>
  <c r="N542" i="11"/>
  <c r="O542" i="11"/>
  <c r="P542" i="11"/>
  <c r="Q542" i="11"/>
  <c r="N543" i="11"/>
  <c r="O543" i="11"/>
  <c r="P543" i="11"/>
  <c r="Q543" i="11"/>
  <c r="N544" i="11"/>
  <c r="O544" i="11"/>
  <c r="P544" i="11"/>
  <c r="Q544" i="11"/>
  <c r="N545" i="11"/>
  <c r="O545" i="11"/>
  <c r="P545" i="11"/>
  <c r="Q545" i="11"/>
  <c r="N546" i="11"/>
  <c r="O546" i="11"/>
  <c r="P546" i="11"/>
  <c r="Q546" i="11"/>
  <c r="N547" i="11"/>
  <c r="O547" i="11"/>
  <c r="P547" i="11"/>
  <c r="Q547" i="11"/>
  <c r="N548" i="11"/>
  <c r="O548" i="11"/>
  <c r="P548" i="11"/>
  <c r="Q548" i="11"/>
  <c r="N549" i="11"/>
  <c r="O549" i="11"/>
  <c r="P549" i="11"/>
  <c r="Q549" i="11"/>
  <c r="N550" i="11"/>
  <c r="O550" i="11"/>
  <c r="P550" i="11"/>
  <c r="Q550" i="11"/>
  <c r="N551" i="11"/>
  <c r="O551" i="11"/>
  <c r="P551" i="11"/>
  <c r="Q551" i="11"/>
  <c r="N552" i="11"/>
  <c r="O552" i="11"/>
  <c r="P552" i="11"/>
  <c r="Q552" i="11"/>
  <c r="N553" i="11"/>
  <c r="O553" i="11"/>
  <c r="P553" i="11"/>
  <c r="Q553" i="11"/>
  <c r="N554" i="11"/>
  <c r="O554" i="11"/>
  <c r="P554" i="11"/>
  <c r="Q554" i="11"/>
  <c r="N555" i="11"/>
  <c r="O555" i="11"/>
  <c r="P555" i="11"/>
  <c r="Q555" i="11"/>
  <c r="N556" i="11"/>
  <c r="O556" i="11"/>
  <c r="P556" i="11"/>
  <c r="Q556" i="11"/>
  <c r="N557" i="11"/>
  <c r="O557" i="11"/>
  <c r="P557" i="11"/>
  <c r="Q557" i="11"/>
  <c r="N558" i="11"/>
  <c r="O558" i="11"/>
  <c r="P558" i="11"/>
  <c r="Q558" i="11"/>
  <c r="N559" i="11"/>
  <c r="O559" i="11"/>
  <c r="P559" i="11"/>
  <c r="Q559" i="11"/>
  <c r="N560" i="11"/>
  <c r="O560" i="11"/>
  <c r="P560" i="11"/>
  <c r="Q560" i="11"/>
  <c r="N561" i="11"/>
  <c r="O561" i="11"/>
  <c r="P561" i="11"/>
  <c r="Q561" i="11"/>
  <c r="N562" i="11"/>
  <c r="O562" i="11"/>
  <c r="P562" i="11"/>
  <c r="Q562" i="11"/>
  <c r="N563" i="11"/>
  <c r="O563" i="11"/>
  <c r="P563" i="11"/>
  <c r="Q563" i="11"/>
  <c r="N564" i="11"/>
  <c r="O564" i="11"/>
  <c r="P564" i="11"/>
  <c r="Q564" i="11"/>
  <c r="N565" i="11"/>
  <c r="O565" i="11"/>
  <c r="P565" i="11"/>
  <c r="Q565" i="11"/>
  <c r="N566" i="11"/>
  <c r="O566" i="11"/>
  <c r="P566" i="11"/>
  <c r="Q566" i="11"/>
  <c r="N567" i="11"/>
  <c r="O567" i="11"/>
  <c r="P567" i="11"/>
  <c r="Q567" i="11"/>
  <c r="N568" i="11"/>
  <c r="O568" i="11"/>
  <c r="P568" i="11"/>
  <c r="Q568" i="11"/>
  <c r="N569" i="11"/>
  <c r="O569" i="11"/>
  <c r="P569" i="11"/>
  <c r="Q569" i="11"/>
  <c r="N570" i="11"/>
  <c r="O570" i="11"/>
  <c r="P570" i="11"/>
  <c r="Q570" i="11"/>
  <c r="N571" i="11"/>
  <c r="O571" i="11"/>
  <c r="P571" i="11"/>
  <c r="Q571" i="11"/>
  <c r="N572" i="11"/>
  <c r="O572" i="11"/>
  <c r="P572" i="11"/>
  <c r="Q572" i="11"/>
  <c r="N573" i="11"/>
  <c r="O573" i="11"/>
  <c r="P573" i="11"/>
  <c r="Q573" i="11"/>
  <c r="N574" i="11"/>
  <c r="O574" i="11"/>
  <c r="P574" i="11"/>
  <c r="Q574" i="11"/>
  <c r="N575" i="11"/>
  <c r="O575" i="11"/>
  <c r="P575" i="11"/>
  <c r="Q575" i="11"/>
  <c r="N576" i="11"/>
  <c r="O576" i="11"/>
  <c r="P576" i="11"/>
  <c r="Q576" i="11"/>
  <c r="N577" i="11"/>
  <c r="O577" i="11"/>
  <c r="P577" i="11"/>
  <c r="Q577" i="11"/>
  <c r="N578" i="11"/>
  <c r="O578" i="11"/>
  <c r="P578" i="11"/>
  <c r="Q578" i="11"/>
  <c r="N579" i="11"/>
  <c r="O579" i="11"/>
  <c r="P579" i="11"/>
  <c r="Q579" i="11"/>
  <c r="N580" i="11"/>
  <c r="O580" i="11"/>
  <c r="P580" i="11"/>
  <c r="Q580" i="11"/>
  <c r="N581" i="11"/>
  <c r="O581" i="11"/>
  <c r="P581" i="11"/>
  <c r="Q581" i="11"/>
  <c r="N582" i="11"/>
  <c r="O582" i="11"/>
  <c r="P582" i="11"/>
  <c r="Q582" i="11"/>
  <c r="N583" i="11"/>
  <c r="O583" i="11"/>
  <c r="P583" i="11"/>
  <c r="Q583" i="11"/>
  <c r="N584" i="11"/>
  <c r="O584" i="11"/>
  <c r="P584" i="11"/>
  <c r="Q584" i="11"/>
  <c r="N585" i="11"/>
  <c r="O585" i="11"/>
  <c r="P585" i="11"/>
  <c r="Q585" i="11"/>
  <c r="N586" i="11"/>
  <c r="O586" i="11"/>
  <c r="P586" i="11"/>
  <c r="Q586" i="11"/>
  <c r="N587" i="11"/>
  <c r="O587" i="11"/>
  <c r="P587" i="11"/>
  <c r="Q587" i="11"/>
  <c r="N588" i="11"/>
  <c r="O588" i="11"/>
  <c r="P588" i="11"/>
  <c r="Q588" i="11"/>
  <c r="N589" i="11"/>
  <c r="O589" i="11"/>
  <c r="P589" i="11"/>
  <c r="Q589" i="11"/>
  <c r="N590" i="11"/>
  <c r="O590" i="11"/>
  <c r="P590" i="11"/>
  <c r="Q590" i="11"/>
  <c r="N591" i="11"/>
  <c r="O591" i="11"/>
  <c r="P591" i="11"/>
  <c r="Q591" i="11"/>
  <c r="N592" i="11"/>
  <c r="O592" i="11"/>
  <c r="P592" i="11"/>
  <c r="Q592" i="11"/>
  <c r="N593" i="11"/>
  <c r="O593" i="11"/>
  <c r="P593" i="11"/>
  <c r="Q593" i="11"/>
  <c r="N594" i="11"/>
  <c r="O594" i="11"/>
  <c r="P594" i="11"/>
  <c r="Q594" i="11"/>
  <c r="N595" i="11"/>
  <c r="O595" i="11"/>
  <c r="P595" i="11"/>
  <c r="Q595" i="11"/>
  <c r="N596" i="11"/>
  <c r="O596" i="11"/>
  <c r="P596" i="11"/>
  <c r="Q596" i="11"/>
  <c r="N597" i="11"/>
  <c r="O597" i="11"/>
  <c r="P597" i="11"/>
  <c r="Q597" i="11"/>
  <c r="N598" i="11"/>
  <c r="O598" i="11"/>
  <c r="P598" i="11"/>
  <c r="Q598" i="11"/>
  <c r="N599" i="11"/>
  <c r="O599" i="11"/>
  <c r="P599" i="11"/>
  <c r="Q599" i="11"/>
  <c r="N600" i="11"/>
  <c r="O600" i="11"/>
  <c r="P600" i="11"/>
  <c r="Q600" i="11"/>
  <c r="N601" i="11"/>
  <c r="O601" i="11"/>
  <c r="P601" i="11"/>
  <c r="Q601" i="11"/>
  <c r="N602" i="11"/>
  <c r="O602" i="11"/>
  <c r="P602" i="11"/>
  <c r="Q602" i="11"/>
  <c r="N603" i="11"/>
  <c r="O603" i="11"/>
  <c r="P603" i="11"/>
  <c r="Q603" i="11"/>
  <c r="N604" i="11"/>
  <c r="O604" i="11"/>
  <c r="P604" i="11"/>
  <c r="Q604" i="11"/>
  <c r="N605" i="11"/>
  <c r="O605" i="11"/>
  <c r="P605" i="11"/>
  <c r="Q605" i="11"/>
  <c r="N606" i="11"/>
  <c r="O606" i="11"/>
  <c r="P606" i="11"/>
  <c r="Q606" i="11"/>
  <c r="N607" i="11"/>
  <c r="O607" i="11"/>
  <c r="P607" i="11"/>
  <c r="Q607" i="11"/>
  <c r="N608" i="11"/>
  <c r="O608" i="11"/>
  <c r="P608" i="11"/>
  <c r="Q608" i="11"/>
  <c r="N609" i="11"/>
  <c r="O609" i="11"/>
  <c r="P609" i="11"/>
  <c r="Q609" i="11"/>
  <c r="N610" i="11"/>
  <c r="O610" i="11"/>
  <c r="P610" i="11"/>
  <c r="Q610" i="11"/>
  <c r="N611" i="11"/>
  <c r="O611" i="11"/>
  <c r="P611" i="11"/>
  <c r="Q611" i="11"/>
  <c r="N612" i="11"/>
  <c r="O612" i="11"/>
  <c r="P612" i="11"/>
  <c r="Q612" i="11"/>
  <c r="N613" i="11"/>
  <c r="O613" i="11"/>
  <c r="P613" i="11"/>
  <c r="Q613" i="11"/>
  <c r="N614" i="11"/>
  <c r="O614" i="11"/>
  <c r="P614" i="11"/>
  <c r="Q614" i="11"/>
  <c r="N615" i="11"/>
  <c r="O615" i="11"/>
  <c r="P615" i="11"/>
  <c r="Q615" i="11"/>
  <c r="N616" i="11"/>
  <c r="O616" i="11"/>
  <c r="P616" i="11"/>
  <c r="Q616" i="11"/>
  <c r="N617" i="11"/>
  <c r="O617" i="11"/>
  <c r="P617" i="11"/>
  <c r="Q617" i="11"/>
  <c r="N618" i="11"/>
  <c r="O618" i="11"/>
  <c r="P618" i="11"/>
  <c r="Q618" i="11"/>
  <c r="N619" i="11"/>
  <c r="O619" i="11"/>
  <c r="P619" i="11"/>
  <c r="Q619" i="11"/>
  <c r="N620" i="11"/>
  <c r="O620" i="11"/>
  <c r="P620" i="11"/>
  <c r="Q620" i="11"/>
  <c r="N621" i="11"/>
  <c r="O621" i="11"/>
  <c r="P621" i="11"/>
  <c r="Q621" i="11"/>
  <c r="N622" i="11"/>
  <c r="O622" i="11"/>
  <c r="P622" i="11"/>
  <c r="Q622" i="11"/>
  <c r="N623" i="11"/>
  <c r="O623" i="11"/>
  <c r="P623" i="11"/>
  <c r="Q623" i="11"/>
  <c r="N624" i="11"/>
  <c r="O624" i="11"/>
  <c r="P624" i="11"/>
  <c r="Q624" i="11"/>
  <c r="N625" i="11"/>
  <c r="O625" i="11"/>
  <c r="P625" i="11"/>
  <c r="Q625" i="11"/>
  <c r="N626" i="11"/>
  <c r="O626" i="11"/>
  <c r="P626" i="11"/>
  <c r="Q626" i="11"/>
  <c r="N627" i="11"/>
  <c r="O627" i="11"/>
  <c r="P627" i="11"/>
  <c r="Q627" i="11"/>
  <c r="N628" i="11"/>
  <c r="O628" i="11"/>
  <c r="P628" i="11"/>
  <c r="Q628" i="11"/>
  <c r="N629" i="11"/>
  <c r="O629" i="11"/>
  <c r="P629" i="11"/>
  <c r="Q629" i="11"/>
  <c r="N630" i="11"/>
  <c r="O630" i="11"/>
  <c r="P630" i="11"/>
  <c r="Q630" i="11"/>
  <c r="N631" i="11"/>
  <c r="O631" i="11"/>
  <c r="P631" i="11"/>
  <c r="Q631" i="11"/>
  <c r="N632" i="11"/>
  <c r="O632" i="11"/>
  <c r="P632" i="11"/>
  <c r="Q632" i="11"/>
  <c r="N633" i="11"/>
  <c r="O633" i="11"/>
  <c r="P633" i="11"/>
  <c r="Q633" i="11"/>
  <c r="N634" i="11"/>
  <c r="O634" i="11"/>
  <c r="P634" i="11"/>
  <c r="Q634" i="11"/>
  <c r="N635" i="11"/>
  <c r="O635" i="11"/>
  <c r="P635" i="11"/>
  <c r="Q635" i="11"/>
  <c r="N636" i="11"/>
  <c r="O636" i="11"/>
  <c r="P636" i="11"/>
  <c r="Q636" i="11"/>
  <c r="N637" i="11"/>
  <c r="O637" i="11"/>
  <c r="P637" i="11"/>
  <c r="Q637" i="11"/>
  <c r="N638" i="11"/>
  <c r="O638" i="11"/>
  <c r="P638" i="11"/>
  <c r="Q638" i="11"/>
  <c r="N639" i="11"/>
  <c r="O639" i="11"/>
  <c r="P639" i="11"/>
  <c r="Q639" i="11"/>
  <c r="N640" i="11"/>
  <c r="O640" i="11"/>
  <c r="P640" i="11"/>
  <c r="Q640" i="11"/>
  <c r="N641" i="11"/>
  <c r="O641" i="11"/>
  <c r="P641" i="11"/>
  <c r="Q641" i="11"/>
  <c r="N642" i="11"/>
  <c r="O642" i="11"/>
  <c r="P642" i="11"/>
  <c r="Q642" i="11"/>
  <c r="N643" i="11"/>
  <c r="O643" i="11"/>
  <c r="P643" i="11"/>
  <c r="Q643" i="11"/>
  <c r="N644" i="11"/>
  <c r="O644" i="11"/>
  <c r="P644" i="11"/>
  <c r="Q644" i="11"/>
  <c r="N645" i="11"/>
  <c r="O645" i="11"/>
  <c r="P645" i="11"/>
  <c r="Q645" i="11"/>
  <c r="N646" i="11"/>
  <c r="O646" i="11"/>
  <c r="P646" i="11"/>
  <c r="Q646" i="11"/>
  <c r="N647" i="11"/>
  <c r="O647" i="11"/>
  <c r="P647" i="11"/>
  <c r="Q647" i="11"/>
  <c r="N648" i="11"/>
  <c r="O648" i="11"/>
  <c r="P648" i="11"/>
  <c r="Q648" i="11"/>
  <c r="N649" i="11"/>
  <c r="O649" i="11"/>
  <c r="P649" i="11"/>
  <c r="Q649" i="11"/>
  <c r="N650" i="11"/>
  <c r="O650" i="11"/>
  <c r="P650" i="11"/>
  <c r="Q650" i="11"/>
  <c r="N651" i="11"/>
  <c r="O651" i="11"/>
  <c r="P651" i="11"/>
  <c r="Q651" i="11"/>
  <c r="N652" i="11"/>
  <c r="O652" i="11"/>
  <c r="P652" i="11"/>
  <c r="Q652" i="11"/>
  <c r="N653" i="11"/>
  <c r="O653" i="11"/>
  <c r="P653" i="11"/>
  <c r="Q653" i="11"/>
  <c r="N654" i="11"/>
  <c r="O654" i="11"/>
  <c r="P654" i="11"/>
  <c r="Q654" i="11"/>
  <c r="N655" i="11"/>
  <c r="O655" i="11"/>
  <c r="P655" i="11"/>
  <c r="Q655" i="11"/>
  <c r="N656" i="11"/>
  <c r="O656" i="11"/>
  <c r="P656" i="11"/>
  <c r="Q656" i="11"/>
  <c r="N657" i="11"/>
  <c r="O657" i="11"/>
  <c r="P657" i="11"/>
  <c r="Q657" i="11"/>
  <c r="N658" i="11"/>
  <c r="O658" i="11"/>
  <c r="P658" i="11"/>
  <c r="Q658" i="11"/>
  <c r="N659" i="11"/>
  <c r="O659" i="11"/>
  <c r="P659" i="11"/>
  <c r="Q659" i="11"/>
  <c r="N660" i="11"/>
  <c r="O660" i="11"/>
  <c r="P660" i="11"/>
  <c r="Q660" i="11"/>
  <c r="N661" i="11"/>
  <c r="O661" i="11"/>
  <c r="P661" i="11"/>
  <c r="Q661" i="11"/>
  <c r="N662" i="11"/>
  <c r="O662" i="11"/>
  <c r="P662" i="11"/>
  <c r="Q662" i="11"/>
  <c r="N663" i="11"/>
  <c r="O663" i="11"/>
  <c r="P663" i="11"/>
  <c r="Q663" i="11"/>
  <c r="N664" i="11"/>
  <c r="O664" i="11"/>
  <c r="P664" i="11"/>
  <c r="Q664" i="11"/>
  <c r="N665" i="11"/>
  <c r="O665" i="11"/>
  <c r="P665" i="11"/>
  <c r="Q665" i="11"/>
  <c r="N666" i="11"/>
  <c r="O666" i="11"/>
  <c r="P666" i="11"/>
  <c r="Q666" i="11"/>
  <c r="N667" i="11"/>
  <c r="O667" i="11"/>
  <c r="P667" i="11"/>
  <c r="Q667" i="11"/>
  <c r="N668" i="11"/>
  <c r="O668" i="11"/>
  <c r="P668" i="11"/>
  <c r="Q668" i="11"/>
  <c r="N669" i="11"/>
  <c r="O669" i="11"/>
  <c r="P669" i="11"/>
  <c r="Q669" i="11"/>
  <c r="N670" i="11"/>
  <c r="O670" i="11"/>
  <c r="P670" i="11"/>
  <c r="Q670" i="11"/>
  <c r="N671" i="11"/>
  <c r="O671" i="11"/>
  <c r="P671" i="11"/>
  <c r="Q671" i="11"/>
  <c r="N672" i="11"/>
  <c r="O672" i="11"/>
  <c r="P672" i="11"/>
  <c r="Q672" i="11"/>
  <c r="N673" i="11"/>
  <c r="O673" i="11"/>
  <c r="P673" i="11"/>
  <c r="Q673" i="11"/>
  <c r="N674" i="11"/>
  <c r="O674" i="11"/>
  <c r="P674" i="11"/>
  <c r="Q674" i="11"/>
  <c r="N675" i="11"/>
  <c r="O675" i="11"/>
  <c r="P675" i="11"/>
  <c r="Q675" i="11"/>
  <c r="N676" i="11"/>
  <c r="O676" i="11"/>
  <c r="P676" i="11"/>
  <c r="Q676" i="11"/>
  <c r="N677" i="11"/>
  <c r="O677" i="11"/>
  <c r="P677" i="11"/>
  <c r="Q677" i="11"/>
  <c r="N678" i="11"/>
  <c r="O678" i="11"/>
  <c r="P678" i="11"/>
  <c r="Q678" i="11"/>
  <c r="N679" i="11"/>
  <c r="O679" i="11"/>
  <c r="P679" i="11"/>
  <c r="Q679" i="11"/>
  <c r="N680" i="11"/>
  <c r="O680" i="11"/>
  <c r="P680" i="11"/>
  <c r="Q680" i="11"/>
  <c r="N681" i="11"/>
  <c r="O681" i="11"/>
  <c r="P681" i="11"/>
  <c r="Q681" i="11"/>
  <c r="N682" i="11"/>
  <c r="O682" i="11"/>
  <c r="P682" i="11"/>
  <c r="Q682" i="11"/>
  <c r="N683" i="11"/>
  <c r="O683" i="11"/>
  <c r="P683" i="11"/>
  <c r="Q683" i="11"/>
  <c r="N684" i="11"/>
  <c r="O684" i="11"/>
  <c r="P684" i="11"/>
  <c r="Q684" i="11"/>
  <c r="N685" i="11"/>
  <c r="O685" i="11"/>
  <c r="P685" i="11"/>
  <c r="Q685" i="11"/>
  <c r="N686" i="11"/>
  <c r="O686" i="11"/>
  <c r="P686" i="11"/>
  <c r="Q686" i="11"/>
  <c r="N687" i="11"/>
  <c r="O687" i="11"/>
  <c r="P687" i="11"/>
  <c r="Q687" i="11"/>
  <c r="N688" i="11"/>
  <c r="O688" i="11"/>
  <c r="P688" i="11"/>
  <c r="Q688" i="11"/>
  <c r="N689" i="11"/>
  <c r="O689" i="11"/>
  <c r="P689" i="11"/>
  <c r="Q689" i="11"/>
  <c r="N690" i="11"/>
  <c r="O690" i="11"/>
  <c r="P690" i="11"/>
  <c r="Q690" i="11"/>
  <c r="N691" i="11"/>
  <c r="O691" i="11"/>
  <c r="P691" i="11"/>
  <c r="Q691" i="11"/>
  <c r="N692" i="11"/>
  <c r="O692" i="11"/>
  <c r="P692" i="11"/>
  <c r="Q692" i="11"/>
  <c r="N693" i="11"/>
  <c r="O693" i="11"/>
  <c r="P693" i="11"/>
  <c r="Q693" i="11"/>
  <c r="N694" i="11"/>
  <c r="O694" i="11"/>
  <c r="P694" i="11"/>
  <c r="Q694" i="11"/>
  <c r="N695" i="11"/>
  <c r="O695" i="11"/>
  <c r="P695" i="11"/>
  <c r="Q695" i="11"/>
  <c r="N696" i="11"/>
  <c r="O696" i="11"/>
  <c r="P696" i="11"/>
  <c r="Q696" i="11"/>
  <c r="N697" i="11"/>
  <c r="O697" i="11"/>
  <c r="P697" i="11"/>
  <c r="Q697" i="11"/>
  <c r="N698" i="11"/>
  <c r="O698" i="11"/>
  <c r="P698" i="11"/>
  <c r="Q698" i="11"/>
  <c r="N699" i="11"/>
  <c r="O699" i="11"/>
  <c r="P699" i="11"/>
  <c r="Q699" i="11"/>
  <c r="N700" i="11"/>
  <c r="O700" i="11"/>
  <c r="P700" i="11"/>
  <c r="Q700" i="11"/>
  <c r="N701" i="11"/>
  <c r="O701" i="11"/>
  <c r="P701" i="11"/>
  <c r="Q701" i="11"/>
  <c r="N702" i="11"/>
  <c r="O702" i="11"/>
  <c r="P702" i="11"/>
  <c r="Q702" i="11"/>
  <c r="N703" i="11"/>
  <c r="O703" i="11"/>
  <c r="P703" i="11"/>
  <c r="Q703" i="11"/>
  <c r="N704" i="11"/>
  <c r="O704" i="11"/>
  <c r="P704" i="11"/>
  <c r="Q704" i="11"/>
  <c r="N705" i="11"/>
  <c r="O705" i="11"/>
  <c r="P705" i="11"/>
  <c r="Q705" i="11"/>
  <c r="N706" i="11"/>
  <c r="O706" i="11"/>
  <c r="P706" i="11"/>
  <c r="Q706" i="11"/>
  <c r="N707" i="11"/>
  <c r="O707" i="11"/>
  <c r="P707" i="11"/>
  <c r="Q707" i="11"/>
  <c r="N708" i="11"/>
  <c r="O708" i="11"/>
  <c r="P708" i="11"/>
  <c r="Q708" i="11"/>
  <c r="N709" i="11"/>
  <c r="O709" i="11"/>
  <c r="P709" i="11"/>
  <c r="Q709" i="11"/>
  <c r="N710" i="11"/>
  <c r="O710" i="11"/>
  <c r="P710" i="11"/>
  <c r="Q710" i="11"/>
  <c r="N711" i="11"/>
  <c r="O711" i="11"/>
  <c r="P711" i="11"/>
  <c r="Q711" i="11"/>
  <c r="N712" i="11"/>
  <c r="O712" i="11"/>
  <c r="P712" i="11"/>
  <c r="Q712" i="11"/>
  <c r="N713" i="11"/>
  <c r="O713" i="11"/>
  <c r="P713" i="11"/>
  <c r="Q713" i="11"/>
  <c r="N714" i="11"/>
  <c r="O714" i="11"/>
  <c r="P714" i="11"/>
  <c r="Q714" i="11"/>
  <c r="N715" i="11"/>
  <c r="O715" i="11"/>
  <c r="P715" i="11"/>
  <c r="Q715" i="11"/>
  <c r="N716" i="11"/>
  <c r="O716" i="11"/>
  <c r="P716" i="11"/>
  <c r="Q716" i="11"/>
  <c r="N717" i="11"/>
  <c r="O717" i="11"/>
  <c r="P717" i="11"/>
  <c r="Q717" i="11"/>
  <c r="N718" i="11"/>
  <c r="O718" i="11"/>
  <c r="P718" i="11"/>
  <c r="Q718" i="11"/>
  <c r="N719" i="11"/>
  <c r="O719" i="11"/>
  <c r="P719" i="11"/>
  <c r="Q719" i="11"/>
  <c r="N720" i="11"/>
  <c r="O720" i="11"/>
  <c r="P720" i="11"/>
  <c r="Q720" i="11"/>
  <c r="N721" i="11"/>
  <c r="O721" i="11"/>
  <c r="P721" i="11"/>
  <c r="Q721" i="11"/>
  <c r="N722" i="11"/>
  <c r="O722" i="11"/>
  <c r="P722" i="11"/>
  <c r="Q722" i="11"/>
  <c r="N723" i="11"/>
  <c r="O723" i="11"/>
  <c r="P723" i="11"/>
  <c r="Q723" i="11"/>
  <c r="N724" i="11"/>
  <c r="O724" i="11"/>
  <c r="P724" i="11"/>
  <c r="Q724" i="11"/>
  <c r="N725" i="11"/>
  <c r="O725" i="11"/>
  <c r="P725" i="11"/>
  <c r="Q725" i="11"/>
  <c r="N726" i="11"/>
  <c r="O726" i="11"/>
  <c r="P726" i="11"/>
  <c r="Q726" i="11"/>
  <c r="N727" i="11"/>
  <c r="O727" i="11"/>
  <c r="P727" i="11"/>
  <c r="Q727" i="11"/>
  <c r="N728" i="11"/>
  <c r="O728" i="11"/>
  <c r="P728" i="11"/>
  <c r="Q728" i="11"/>
  <c r="N729" i="11"/>
  <c r="O729" i="11"/>
  <c r="P729" i="11"/>
  <c r="Q729" i="11"/>
  <c r="N730" i="11"/>
  <c r="O730" i="11"/>
  <c r="P730" i="11"/>
  <c r="Q730" i="11"/>
  <c r="N731" i="11"/>
  <c r="O731" i="11"/>
  <c r="P731" i="11"/>
  <c r="Q731" i="11"/>
  <c r="N732" i="11"/>
  <c r="O732" i="11"/>
  <c r="P732" i="11"/>
  <c r="Q732" i="11"/>
  <c r="N733" i="11"/>
  <c r="O733" i="11"/>
  <c r="P733" i="11"/>
  <c r="Q733" i="11"/>
  <c r="N734" i="11"/>
  <c r="O734" i="11"/>
  <c r="P734" i="11"/>
  <c r="Q734" i="11"/>
  <c r="N735" i="11"/>
  <c r="O735" i="11"/>
  <c r="P735" i="11"/>
  <c r="Q735" i="11"/>
  <c r="N736" i="11"/>
  <c r="O736" i="11"/>
  <c r="P736" i="11"/>
  <c r="Q736" i="11"/>
  <c r="N737" i="11"/>
  <c r="O737" i="11"/>
  <c r="P737" i="11"/>
  <c r="Q737" i="11"/>
  <c r="N738" i="11"/>
  <c r="O738" i="11"/>
  <c r="P738" i="11"/>
  <c r="Q738" i="11"/>
  <c r="N739" i="11"/>
  <c r="O739" i="11"/>
  <c r="P739" i="11"/>
  <c r="Q739" i="11"/>
  <c r="N740" i="11"/>
  <c r="O740" i="11"/>
  <c r="P740" i="11"/>
  <c r="Q740" i="11"/>
  <c r="N741" i="11"/>
  <c r="O741" i="11"/>
  <c r="P741" i="11"/>
  <c r="Q741" i="11"/>
  <c r="N742" i="11"/>
  <c r="O742" i="11"/>
  <c r="P742" i="11"/>
  <c r="Q742" i="11"/>
  <c r="N743" i="11"/>
  <c r="O743" i="11"/>
  <c r="P743" i="11"/>
  <c r="Q743" i="11"/>
  <c r="N744" i="11"/>
  <c r="O744" i="11"/>
  <c r="P744" i="11"/>
  <c r="Q744" i="11"/>
  <c r="N745" i="11"/>
  <c r="O745" i="11"/>
  <c r="P745" i="11"/>
  <c r="Q745" i="11"/>
  <c r="N746" i="11"/>
  <c r="O746" i="11"/>
  <c r="P746" i="11"/>
  <c r="Q746" i="11"/>
  <c r="N747" i="11"/>
  <c r="O747" i="11"/>
  <c r="P747" i="11"/>
  <c r="Q747" i="11"/>
  <c r="N748" i="11"/>
  <c r="O748" i="11"/>
  <c r="P748" i="11"/>
  <c r="Q748" i="11"/>
  <c r="N749" i="11"/>
  <c r="O749" i="11"/>
  <c r="P749" i="11"/>
  <c r="Q749" i="11"/>
  <c r="N750" i="11"/>
  <c r="O750" i="11"/>
  <c r="P750" i="11"/>
  <c r="Q750" i="11"/>
  <c r="N751" i="11"/>
  <c r="O751" i="11"/>
  <c r="P751" i="11"/>
  <c r="Q751" i="11"/>
  <c r="N752" i="11"/>
  <c r="O752" i="11"/>
  <c r="P752" i="11"/>
  <c r="Q752" i="11"/>
  <c r="N753" i="11"/>
  <c r="O753" i="11"/>
  <c r="P753" i="11"/>
  <c r="Q753" i="11"/>
  <c r="N754" i="11"/>
  <c r="O754" i="11"/>
  <c r="P754" i="11"/>
  <c r="Q754" i="11"/>
  <c r="N755" i="11"/>
  <c r="O755" i="11"/>
  <c r="P755" i="11"/>
  <c r="Q755" i="11"/>
  <c r="N756" i="11"/>
  <c r="O756" i="11"/>
  <c r="P756" i="11"/>
  <c r="Q756" i="11"/>
  <c r="N757" i="11"/>
  <c r="O757" i="11"/>
  <c r="P757" i="11"/>
  <c r="Q757" i="11"/>
  <c r="N758" i="11"/>
  <c r="O758" i="11"/>
  <c r="P758" i="11"/>
  <c r="Q758" i="11"/>
  <c r="N759" i="11"/>
  <c r="O759" i="11"/>
  <c r="P759" i="11"/>
  <c r="Q759" i="11"/>
  <c r="N760" i="11"/>
  <c r="O760" i="11"/>
  <c r="P760" i="11"/>
  <c r="Q760" i="11"/>
  <c r="N761" i="11"/>
  <c r="O761" i="11"/>
  <c r="P761" i="11"/>
  <c r="Q761" i="11"/>
  <c r="N762" i="11"/>
  <c r="O762" i="11"/>
  <c r="P762" i="11"/>
  <c r="Q762" i="11"/>
  <c r="N763" i="11"/>
  <c r="O763" i="11"/>
  <c r="P763" i="11"/>
  <c r="Q763" i="11"/>
  <c r="N764" i="11"/>
  <c r="O764" i="11"/>
  <c r="P764" i="11"/>
  <c r="Q764" i="11"/>
  <c r="N765" i="11"/>
  <c r="O765" i="11"/>
  <c r="P765" i="11"/>
  <c r="Q765" i="11"/>
  <c r="N766" i="11"/>
  <c r="O766" i="11"/>
  <c r="P766" i="11"/>
  <c r="Q766" i="11"/>
  <c r="N767" i="11"/>
  <c r="O767" i="11"/>
  <c r="P767" i="11"/>
  <c r="Q767" i="11"/>
  <c r="N768" i="11"/>
  <c r="O768" i="11"/>
  <c r="P768" i="11"/>
  <c r="Q768" i="11"/>
  <c r="N769" i="11"/>
  <c r="O769" i="11"/>
  <c r="P769" i="11"/>
  <c r="Q769" i="11"/>
  <c r="N770" i="11"/>
  <c r="O770" i="11"/>
  <c r="P770" i="11"/>
  <c r="Q770" i="11"/>
  <c r="N771" i="11"/>
  <c r="O771" i="11"/>
  <c r="P771" i="11"/>
  <c r="Q771" i="11"/>
  <c r="N772" i="11"/>
  <c r="O772" i="11"/>
  <c r="P772" i="11"/>
  <c r="Q772" i="11"/>
  <c r="N773" i="11"/>
  <c r="O773" i="11"/>
  <c r="P773" i="11"/>
  <c r="Q773" i="11"/>
  <c r="N774" i="11"/>
  <c r="O774" i="11"/>
  <c r="P774" i="11"/>
  <c r="Q774" i="11"/>
  <c r="N775" i="11"/>
  <c r="O775" i="11"/>
  <c r="P775" i="11"/>
  <c r="Q775" i="11"/>
  <c r="N776" i="11"/>
  <c r="O776" i="11"/>
  <c r="P776" i="11"/>
  <c r="Q776" i="11"/>
  <c r="N777" i="11"/>
  <c r="O777" i="11"/>
  <c r="P777" i="11"/>
  <c r="Q777" i="11"/>
  <c r="N778" i="11"/>
  <c r="O778" i="11"/>
  <c r="P778" i="11"/>
  <c r="Q778" i="11"/>
  <c r="N779" i="11"/>
  <c r="O779" i="11"/>
  <c r="P779" i="11"/>
  <c r="Q779" i="11"/>
  <c r="N780" i="11"/>
  <c r="O780" i="11"/>
  <c r="P780" i="11"/>
  <c r="Q780" i="11"/>
  <c r="N781" i="11"/>
  <c r="O781" i="11"/>
  <c r="P781" i="11"/>
  <c r="Q781" i="11"/>
  <c r="N782" i="11"/>
  <c r="O782" i="11"/>
  <c r="P782" i="11"/>
  <c r="Q782" i="11"/>
  <c r="N783" i="11"/>
  <c r="O783" i="11"/>
  <c r="P783" i="11"/>
  <c r="Q783" i="11"/>
  <c r="N784" i="11"/>
  <c r="O784" i="11"/>
  <c r="P784" i="11"/>
  <c r="Q784" i="11"/>
  <c r="N785" i="11"/>
  <c r="O785" i="11"/>
  <c r="P785" i="11"/>
  <c r="Q785" i="11"/>
  <c r="N786" i="11"/>
  <c r="O786" i="11"/>
  <c r="P786" i="11"/>
  <c r="Q786" i="11"/>
  <c r="N787" i="11"/>
  <c r="O787" i="11"/>
  <c r="P787" i="11"/>
  <c r="Q787" i="11"/>
  <c r="N788" i="11"/>
  <c r="O788" i="11"/>
  <c r="P788" i="11"/>
  <c r="Q788" i="11"/>
  <c r="N789" i="11"/>
  <c r="O789" i="11"/>
  <c r="P789" i="11"/>
  <c r="Q789" i="11"/>
  <c r="N790" i="11"/>
  <c r="O790" i="11"/>
  <c r="P790" i="11"/>
  <c r="Q790" i="11"/>
  <c r="N791" i="11"/>
  <c r="O791" i="11"/>
  <c r="P791" i="11"/>
  <c r="Q791" i="11"/>
  <c r="N792" i="11"/>
  <c r="O792" i="11"/>
  <c r="P792" i="11"/>
  <c r="Q792" i="11"/>
  <c r="N793" i="11"/>
  <c r="O793" i="11"/>
  <c r="P793" i="11"/>
  <c r="Q793" i="11"/>
  <c r="N794" i="11"/>
  <c r="O794" i="11"/>
  <c r="P794" i="11"/>
  <c r="Q794" i="11"/>
  <c r="N795" i="11"/>
  <c r="O795" i="11"/>
  <c r="P795" i="11"/>
  <c r="Q795" i="11"/>
  <c r="N796" i="11"/>
  <c r="O796" i="11"/>
  <c r="P796" i="11"/>
  <c r="Q796" i="11"/>
  <c r="N797" i="11"/>
  <c r="O797" i="11"/>
  <c r="P797" i="11"/>
  <c r="Q797" i="11"/>
  <c r="N798" i="11"/>
  <c r="O798" i="11"/>
  <c r="P798" i="11"/>
  <c r="Q798" i="11"/>
  <c r="N799" i="11"/>
  <c r="O799" i="11"/>
  <c r="P799" i="11"/>
  <c r="Q799" i="11"/>
  <c r="N800" i="11"/>
  <c r="O800" i="11"/>
  <c r="P800" i="11"/>
  <c r="Q800" i="11"/>
  <c r="N801" i="11"/>
  <c r="O801" i="11"/>
  <c r="P801" i="11"/>
  <c r="Q801" i="11"/>
  <c r="N802" i="11"/>
  <c r="O802" i="11"/>
  <c r="P802" i="11"/>
  <c r="Q802" i="11"/>
  <c r="N803" i="11"/>
  <c r="O803" i="11"/>
  <c r="P803" i="11"/>
  <c r="Q803" i="11"/>
  <c r="N804" i="11"/>
  <c r="O804" i="11"/>
  <c r="P804" i="11"/>
  <c r="Q804" i="11"/>
  <c r="N805" i="11"/>
  <c r="O805" i="11"/>
  <c r="P805" i="11"/>
  <c r="Q805" i="11"/>
  <c r="N806" i="11"/>
  <c r="O806" i="11"/>
  <c r="P806" i="11"/>
  <c r="Q806" i="11"/>
  <c r="N807" i="11"/>
  <c r="O807" i="11"/>
  <c r="P807" i="11"/>
  <c r="Q807" i="11"/>
  <c r="N808" i="11"/>
  <c r="O808" i="11"/>
  <c r="P808" i="11"/>
  <c r="Q808" i="11"/>
  <c r="N809" i="11"/>
  <c r="O809" i="11"/>
  <c r="P809" i="11"/>
  <c r="Q809" i="11"/>
  <c r="N810" i="11"/>
  <c r="O810" i="11"/>
  <c r="P810" i="11"/>
  <c r="Q810" i="11"/>
  <c r="N811" i="11"/>
  <c r="O811" i="11"/>
  <c r="P811" i="11"/>
  <c r="Q811" i="11"/>
  <c r="N812" i="11"/>
  <c r="O812" i="11"/>
  <c r="P812" i="11"/>
  <c r="Q812" i="11"/>
  <c r="N813" i="11"/>
  <c r="O813" i="11"/>
  <c r="P813" i="11"/>
  <c r="Q813" i="11"/>
  <c r="N814" i="11"/>
  <c r="O814" i="11"/>
  <c r="P814" i="11"/>
  <c r="Q814" i="11"/>
  <c r="N815" i="11"/>
  <c r="O815" i="11"/>
  <c r="P815" i="11"/>
  <c r="Q815" i="11"/>
  <c r="N816" i="11"/>
  <c r="O816" i="11"/>
  <c r="P816" i="11"/>
  <c r="Q816" i="11"/>
  <c r="N817" i="11"/>
  <c r="O817" i="11"/>
  <c r="P817" i="11"/>
  <c r="Q817" i="11"/>
  <c r="N818" i="11"/>
  <c r="O818" i="11"/>
  <c r="P818" i="11"/>
  <c r="Q818" i="11"/>
  <c r="N819" i="11"/>
  <c r="O819" i="11"/>
  <c r="P819" i="11"/>
  <c r="Q819" i="11"/>
  <c r="N820" i="11"/>
  <c r="O820" i="11"/>
  <c r="P820" i="11"/>
  <c r="Q820" i="11"/>
  <c r="N821" i="11"/>
  <c r="O821" i="11"/>
  <c r="P821" i="11"/>
  <c r="Q821" i="11"/>
  <c r="N822" i="11"/>
  <c r="O822" i="11"/>
  <c r="P822" i="11"/>
  <c r="Q822" i="11"/>
  <c r="N823" i="11"/>
  <c r="O823" i="11"/>
  <c r="P823" i="11"/>
  <c r="Q823" i="11"/>
  <c r="N824" i="11"/>
  <c r="O824" i="11"/>
  <c r="P824" i="11"/>
  <c r="Q824" i="11"/>
  <c r="N825" i="11"/>
  <c r="O825" i="11"/>
  <c r="P825" i="11"/>
  <c r="Q825" i="11"/>
  <c r="N826" i="11"/>
  <c r="O826" i="11"/>
  <c r="P826" i="11"/>
  <c r="Q826" i="11"/>
  <c r="N827" i="11"/>
  <c r="O827" i="11"/>
  <c r="P827" i="11"/>
  <c r="Q827" i="11"/>
  <c r="N828" i="11"/>
  <c r="O828" i="11"/>
  <c r="P828" i="11"/>
  <c r="Q828" i="11"/>
  <c r="N829" i="11"/>
  <c r="O829" i="11"/>
  <c r="P829" i="11"/>
  <c r="Q829" i="11"/>
  <c r="N830" i="11"/>
  <c r="O830" i="11"/>
  <c r="P830" i="11"/>
  <c r="Q830" i="11"/>
  <c r="N831" i="11"/>
  <c r="O831" i="11"/>
  <c r="P831" i="11"/>
  <c r="Q831" i="11"/>
  <c r="N832" i="11"/>
  <c r="O832" i="11"/>
  <c r="P832" i="11"/>
  <c r="Q832" i="11"/>
  <c r="N833" i="11"/>
  <c r="O833" i="11"/>
  <c r="P833" i="11"/>
  <c r="Q833" i="11"/>
  <c r="N834" i="11"/>
  <c r="O834" i="11"/>
  <c r="P834" i="11"/>
  <c r="Q834" i="11"/>
  <c r="N835" i="11"/>
  <c r="O835" i="11"/>
  <c r="P835" i="11"/>
  <c r="Q835" i="11"/>
  <c r="N836" i="11"/>
  <c r="O836" i="11"/>
  <c r="P836" i="11"/>
  <c r="Q836" i="11"/>
  <c r="N837" i="11"/>
  <c r="O837" i="11"/>
  <c r="P837" i="11"/>
  <c r="Q837" i="11"/>
  <c r="N838" i="11"/>
  <c r="O838" i="11"/>
  <c r="P838" i="11"/>
  <c r="Q838" i="11"/>
  <c r="N839" i="11"/>
  <c r="O839" i="11"/>
  <c r="P839" i="11"/>
  <c r="Q839" i="11"/>
  <c r="N840" i="11"/>
  <c r="O840" i="11"/>
  <c r="P840" i="11"/>
  <c r="Q840" i="11"/>
  <c r="N841" i="11"/>
  <c r="O841" i="11"/>
  <c r="P841" i="11"/>
  <c r="Q841" i="11"/>
  <c r="BC417" i="32"/>
  <c r="BN418" i="32"/>
  <c r="BN446" i="32"/>
  <c r="BN581" i="32"/>
  <c r="BN526" i="32"/>
  <c r="BN451" i="32"/>
  <c r="BN425" i="32"/>
  <c r="BN426" i="32"/>
  <c r="BN427" i="32"/>
  <c r="BN428" i="32"/>
  <c r="BN429" i="32"/>
  <c r="BN430" i="32"/>
  <c r="BN431" i="32"/>
  <c r="BN432" i="32"/>
  <c r="BN433" i="32"/>
  <c r="BN434" i="32"/>
  <c r="BN435" i="32"/>
  <c r="BN436" i="32"/>
  <c r="BN437" i="32"/>
  <c r="BN438" i="32"/>
  <c r="BN439" i="32"/>
  <c r="BN440" i="32"/>
  <c r="BN441" i="32"/>
  <c r="BN442" i="32"/>
  <c r="BN443" i="32"/>
  <c r="BN444" i="32"/>
  <c r="BN445" i="32"/>
  <c r="BN447" i="32"/>
  <c r="BN448" i="32"/>
  <c r="BN449" i="32"/>
  <c r="BN450" i="32"/>
  <c r="BN452" i="32"/>
  <c r="BN453" i="32"/>
  <c r="BN454" i="32"/>
  <c r="BN455" i="32"/>
  <c r="BN456" i="32"/>
  <c r="BN457" i="32"/>
  <c r="BN458" i="32"/>
  <c r="BN459" i="32"/>
  <c r="BN460" i="32"/>
  <c r="BN461" i="32"/>
  <c r="BN462" i="32"/>
  <c r="BN463" i="32"/>
  <c r="BN464" i="32"/>
  <c r="BN465" i="32"/>
  <c r="BN466" i="32"/>
  <c r="BN467" i="32"/>
  <c r="BN468" i="32"/>
  <c r="BN469" i="32"/>
  <c r="BN470" i="32"/>
  <c r="BN471" i="32"/>
  <c r="BN472" i="32"/>
  <c r="BN473" i="32"/>
  <c r="BN474" i="32"/>
  <c r="BN475" i="32"/>
  <c r="BN476" i="32"/>
  <c r="BN477" i="32"/>
  <c r="BN478" i="32"/>
  <c r="BN479" i="32"/>
  <c r="BN480" i="32"/>
  <c r="BN481" i="32"/>
  <c r="BN482" i="32"/>
  <c r="BN483" i="32"/>
  <c r="BN484" i="32"/>
  <c r="BN485" i="32"/>
  <c r="BN486" i="32"/>
  <c r="BN487" i="32"/>
  <c r="BN488" i="32"/>
  <c r="BN489" i="32"/>
  <c r="BN490" i="32"/>
  <c r="BN491" i="32"/>
  <c r="BN492" i="32"/>
  <c r="BN493" i="32"/>
  <c r="BN494" i="32"/>
  <c r="BN495" i="32"/>
  <c r="BN496" i="32"/>
  <c r="BN497" i="32"/>
  <c r="BN498" i="32"/>
  <c r="BN499" i="32"/>
  <c r="BN500" i="32"/>
  <c r="BN501" i="32"/>
  <c r="BN502" i="32"/>
  <c r="BN503" i="32"/>
  <c r="BN504" i="32"/>
  <c r="BN505" i="32"/>
  <c r="BN506" i="32"/>
  <c r="BN507" i="32"/>
  <c r="BN508" i="32"/>
  <c r="BN509" i="32"/>
  <c r="BN510" i="32"/>
  <c r="BN511" i="32"/>
  <c r="BN512" i="32"/>
  <c r="BN513" i="32"/>
  <c r="BN514" i="32"/>
  <c r="BN515" i="32"/>
  <c r="BN516" i="32"/>
  <c r="BN517" i="32"/>
  <c r="BN518" i="32"/>
  <c r="BN519" i="32"/>
  <c r="BN520" i="32"/>
  <c r="BN521" i="32"/>
  <c r="BN522" i="32"/>
  <c r="BN523" i="32"/>
  <c r="BN524" i="32"/>
  <c r="BN525" i="32"/>
  <c r="BN527" i="32"/>
  <c r="BN528" i="32"/>
  <c r="BN529" i="32"/>
  <c r="BN530" i="32"/>
  <c r="BN531" i="32"/>
  <c r="BN532" i="32"/>
  <c r="BN533" i="32"/>
  <c r="BN534" i="32"/>
  <c r="BN535" i="32"/>
  <c r="BN536" i="32"/>
  <c r="BN537" i="32"/>
  <c r="BN538" i="32"/>
  <c r="BN539" i="32"/>
  <c r="BN540" i="32"/>
  <c r="BN541" i="32"/>
  <c r="BN542" i="32"/>
  <c r="BN543" i="32"/>
  <c r="BN544" i="32"/>
  <c r="BN545" i="32"/>
  <c r="BN546" i="32"/>
  <c r="BN547" i="32"/>
  <c r="BN548" i="32"/>
  <c r="BN549" i="32"/>
  <c r="BN550" i="32"/>
  <c r="BN551" i="32"/>
  <c r="BN552" i="32"/>
  <c r="BN553" i="32"/>
  <c r="BN554" i="32"/>
  <c r="BN555" i="32"/>
  <c r="BN556" i="32"/>
  <c r="BN557" i="32"/>
  <c r="BN558" i="32"/>
  <c r="BN559" i="32"/>
  <c r="BN560" i="32"/>
  <c r="BN561" i="32"/>
  <c r="BN562" i="32"/>
  <c r="BN563" i="32"/>
  <c r="BN564" i="32"/>
  <c r="BN565" i="32"/>
  <c r="BN566" i="32"/>
  <c r="BN567" i="32"/>
  <c r="BN568" i="32"/>
  <c r="BN569" i="32"/>
  <c r="BN570" i="32"/>
  <c r="BN571" i="32"/>
  <c r="BN572" i="32"/>
  <c r="BN573" i="32"/>
  <c r="BN574" i="32"/>
  <c r="BN575" i="32"/>
  <c r="BN576" i="32"/>
  <c r="BN577" i="32"/>
  <c r="BN578" i="32"/>
  <c r="BN579" i="32"/>
  <c r="BN580" i="32"/>
  <c r="BN582" i="32"/>
  <c r="BN583" i="32"/>
  <c r="BN584" i="32"/>
  <c r="BN585" i="32"/>
  <c r="BN586" i="32"/>
  <c r="BN587" i="32"/>
  <c r="BN588" i="32"/>
  <c r="BN589" i="32"/>
  <c r="BN590" i="32"/>
  <c r="BN591" i="32"/>
  <c r="BN592" i="32"/>
  <c r="BN593" i="32"/>
  <c r="BN594" i="32"/>
  <c r="BN595" i="32"/>
  <c r="BN596" i="32"/>
  <c r="BN597" i="32"/>
  <c r="BN598" i="32"/>
  <c r="BN599" i="32"/>
  <c r="BN600" i="32"/>
  <c r="BN601" i="32"/>
  <c r="BN602" i="32"/>
  <c r="BN603" i="32"/>
  <c r="BN604" i="32"/>
  <c r="BN605" i="32"/>
  <c r="BN606" i="32"/>
  <c r="BN607" i="32"/>
  <c r="BN608" i="32"/>
  <c r="BN609" i="32"/>
  <c r="BN610" i="32"/>
  <c r="BN611" i="32"/>
  <c r="BN612" i="32"/>
  <c r="BN613" i="32"/>
  <c r="BN614" i="32"/>
  <c r="BN615" i="32"/>
  <c r="BN616" i="32"/>
  <c r="BN617" i="32"/>
  <c r="BN618" i="32"/>
  <c r="BN619" i="32"/>
  <c r="BN620" i="32"/>
  <c r="BN621" i="32"/>
  <c r="BN622" i="32"/>
  <c r="BN623" i="32"/>
  <c r="BN624" i="32"/>
  <c r="BN625" i="32"/>
  <c r="BN626" i="32"/>
  <c r="BN627" i="32"/>
  <c r="BN628" i="32"/>
  <c r="BN629" i="32"/>
  <c r="BN630" i="32"/>
  <c r="BN631" i="32"/>
  <c r="BN632" i="32"/>
  <c r="BN633" i="32"/>
  <c r="BN634" i="32"/>
  <c r="BN635" i="32"/>
  <c r="BN636" i="32"/>
  <c r="BN637" i="32"/>
  <c r="BN638" i="32"/>
  <c r="BN639" i="32"/>
  <c r="BN640" i="32"/>
  <c r="BN641" i="32"/>
  <c r="BN642" i="32"/>
  <c r="BN643" i="32"/>
  <c r="BN644" i="32"/>
  <c r="BN645" i="32"/>
  <c r="BN646" i="32"/>
  <c r="BN647" i="32"/>
  <c r="BN648" i="32"/>
  <c r="BN649" i="32"/>
  <c r="BN650" i="32"/>
  <c r="BN651" i="32"/>
  <c r="BN652" i="32"/>
  <c r="BN653" i="32"/>
  <c r="BN654" i="32"/>
  <c r="BN655" i="32"/>
  <c r="BN656" i="32"/>
  <c r="BN657" i="32"/>
  <c r="BN658" i="32"/>
  <c r="BN659" i="32"/>
  <c r="BN660" i="32"/>
  <c r="BN661" i="32"/>
  <c r="BN662" i="32"/>
  <c r="BN663" i="32"/>
  <c r="BN664" i="32"/>
  <c r="BN665" i="32"/>
  <c r="BN666" i="32"/>
  <c r="BN667" i="32"/>
  <c r="BN668" i="32"/>
  <c r="BN669" i="32"/>
  <c r="BN670" i="32"/>
  <c r="BN671" i="32"/>
  <c r="BN672" i="32"/>
  <c r="BN673" i="32"/>
  <c r="BN674" i="32"/>
  <c r="BN675" i="32"/>
  <c r="BN676" i="32"/>
  <c r="BN677" i="32"/>
  <c r="BN678" i="32"/>
  <c r="BN679" i="32"/>
  <c r="BN680" i="32"/>
  <c r="BN681" i="32"/>
  <c r="BN682" i="32"/>
  <c r="BN683" i="32"/>
  <c r="BN684" i="32"/>
  <c r="BN685" i="32"/>
  <c r="BN686" i="32"/>
  <c r="BN687" i="32"/>
  <c r="BN688" i="32"/>
  <c r="BN689" i="32"/>
  <c r="BN690" i="32"/>
  <c r="BN691" i="32"/>
  <c r="BN692" i="32"/>
  <c r="BN693" i="32"/>
  <c r="BN694" i="32"/>
  <c r="BN695" i="32"/>
  <c r="BN696" i="32"/>
  <c r="BN697" i="32"/>
  <c r="BN698" i="32"/>
  <c r="BN699" i="32"/>
  <c r="BN700" i="32"/>
  <c r="BN701" i="32"/>
  <c r="BN702" i="32"/>
  <c r="BN703" i="32"/>
  <c r="BN704" i="32"/>
  <c r="BN705" i="32"/>
  <c r="BN706" i="32"/>
  <c r="BN707" i="32"/>
  <c r="BN708" i="32"/>
  <c r="BN709" i="32"/>
  <c r="BN710" i="32"/>
  <c r="BN711" i="32"/>
  <c r="BN712" i="32"/>
  <c r="BN713" i="32"/>
  <c r="BN714" i="32"/>
  <c r="BN715" i="32"/>
  <c r="BN716" i="32"/>
  <c r="BN717" i="32"/>
  <c r="BN718" i="32"/>
  <c r="BN719" i="32"/>
  <c r="BN720" i="32"/>
  <c r="BN721" i="32"/>
  <c r="BN722" i="32"/>
  <c r="BN723" i="32"/>
  <c r="BN724" i="32"/>
  <c r="BN725" i="32"/>
  <c r="BN726" i="32"/>
  <c r="BN727" i="32"/>
  <c r="BN728" i="32"/>
  <c r="BN729" i="32"/>
  <c r="BN730" i="32"/>
  <c r="BN731" i="32"/>
  <c r="BN732" i="32"/>
  <c r="BN733" i="32"/>
  <c r="BN734" i="32"/>
  <c r="BN735" i="32"/>
  <c r="BN736" i="32"/>
  <c r="BN737" i="32"/>
  <c r="BN738" i="32"/>
  <c r="BN739" i="32"/>
  <c r="BN740" i="32"/>
  <c r="BN741" i="32"/>
  <c r="BN742" i="32"/>
  <c r="BN743" i="32"/>
  <c r="BN744" i="32"/>
  <c r="BN745" i="32"/>
  <c r="BN746" i="32"/>
  <c r="BN747" i="32"/>
  <c r="BN748" i="32"/>
  <c r="BN749" i="32"/>
  <c r="BN750" i="32"/>
  <c r="BN751" i="32"/>
  <c r="BN752" i="32"/>
  <c r="BN753" i="32"/>
  <c r="BN754" i="32"/>
  <c r="BN755" i="32"/>
  <c r="BN756" i="32"/>
  <c r="BN757" i="32"/>
  <c r="BN758" i="32"/>
  <c r="BN759" i="32"/>
  <c r="BN760" i="32"/>
  <c r="BN761" i="32"/>
  <c r="BN762" i="32"/>
  <c r="BN763" i="32"/>
  <c r="BN764" i="32"/>
  <c r="BN765" i="32"/>
  <c r="BN766" i="32"/>
  <c r="BN767" i="32"/>
  <c r="BN768" i="32"/>
  <c r="BN769" i="32"/>
  <c r="BN770" i="32"/>
  <c r="BN771" i="32"/>
  <c r="BN772" i="32"/>
  <c r="BN773" i="32"/>
  <c r="BN774" i="32"/>
  <c r="BN775" i="32"/>
  <c r="BN776" i="32"/>
  <c r="BN777" i="32"/>
  <c r="BN778" i="32"/>
  <c r="BN779" i="32"/>
  <c r="BN780" i="32"/>
  <c r="BN781" i="32"/>
  <c r="BN782" i="32"/>
  <c r="BN783" i="32"/>
  <c r="BN784" i="32"/>
  <c r="BN785" i="32"/>
  <c r="BN786" i="32"/>
  <c r="BN787" i="32"/>
  <c r="BN788" i="32"/>
  <c r="BN789" i="32"/>
  <c r="BN790" i="32"/>
  <c r="BN791" i="32"/>
  <c r="BN792" i="32"/>
  <c r="BN793" i="32"/>
  <c r="BN794" i="32"/>
  <c r="BN795" i="32"/>
  <c r="BN796" i="32"/>
  <c r="BN797" i="32"/>
  <c r="BN798" i="32"/>
  <c r="BN799" i="32"/>
  <c r="BN800" i="32"/>
  <c r="BN801" i="32"/>
  <c r="BN802" i="32"/>
  <c r="BN803" i="32"/>
  <c r="BN804" i="32"/>
  <c r="BN805" i="32"/>
  <c r="BN806" i="32"/>
  <c r="BN807" i="32"/>
  <c r="BN808" i="32"/>
  <c r="BN809" i="32"/>
  <c r="BN810" i="32"/>
  <c r="BN811" i="32"/>
  <c r="BN812" i="32"/>
  <c r="BN813" i="32"/>
  <c r="BN814" i="32"/>
  <c r="BN815" i="32"/>
  <c r="BN816" i="32"/>
  <c r="BN817" i="32"/>
  <c r="BN818" i="32"/>
  <c r="BN819" i="32"/>
  <c r="BN820" i="32"/>
  <c r="BN821" i="32"/>
  <c r="BN822" i="32"/>
  <c r="BN823" i="32"/>
  <c r="BN824" i="32"/>
  <c r="BN825" i="32"/>
  <c r="BN826" i="32"/>
  <c r="BN827" i="32"/>
  <c r="BN828" i="32"/>
  <c r="BN829" i="32"/>
  <c r="BN830" i="32"/>
  <c r="BN831" i="32"/>
  <c r="BN832" i="32"/>
  <c r="BN833" i="32"/>
  <c r="BN834" i="32"/>
  <c r="BN835" i="32"/>
  <c r="BN836" i="32"/>
  <c r="BN837" i="32"/>
  <c r="BN838" i="32"/>
  <c r="BN839" i="32"/>
  <c r="BN840" i="32"/>
  <c r="BN841" i="32"/>
  <c r="BN842" i="32"/>
  <c r="BN6" i="32"/>
  <c r="BC4" i="32"/>
  <c r="BN5" i="32"/>
  <c r="BN7" i="32"/>
  <c r="BN8" i="32"/>
  <c r="BN9" i="32"/>
  <c r="BN10" i="32"/>
  <c r="BN11" i="32"/>
  <c r="BN12" i="32"/>
  <c r="BN13" i="32"/>
  <c r="BN14" i="32"/>
  <c r="BN15" i="32"/>
  <c r="BN16" i="32"/>
  <c r="BN17" i="32"/>
  <c r="BN18" i="32"/>
  <c r="BN19" i="32"/>
  <c r="BN20" i="32"/>
  <c r="BN21" i="32"/>
  <c r="BN22" i="32"/>
  <c r="BN23" i="32"/>
  <c r="BN24" i="32"/>
  <c r="BN25" i="32"/>
  <c r="BN26" i="32"/>
  <c r="BN27" i="32"/>
  <c r="BN28" i="32"/>
  <c r="BN29" i="32"/>
  <c r="BN30" i="32"/>
  <c r="BN31" i="32"/>
  <c r="BN32" i="32"/>
  <c r="BN33" i="32"/>
  <c r="BN34" i="32"/>
  <c r="BC34" i="32"/>
  <c r="BN35" i="32"/>
  <c r="BC35" i="32"/>
  <c r="BN36" i="32"/>
  <c r="BC36" i="32"/>
  <c r="BN37" i="32"/>
  <c r="BC37" i="32"/>
  <c r="BN38" i="32"/>
  <c r="BC38" i="32"/>
  <c r="BN39" i="32"/>
  <c r="BC39" i="32"/>
  <c r="BN40" i="32"/>
  <c r="BC40" i="32"/>
  <c r="BN41" i="32"/>
  <c r="BC41" i="32"/>
  <c r="BN42" i="32"/>
  <c r="BC42" i="32"/>
  <c r="BN43" i="32"/>
  <c r="BC43" i="32"/>
  <c r="BN44" i="32"/>
  <c r="BC44" i="32"/>
  <c r="BN45" i="32"/>
  <c r="BC45" i="32"/>
  <c r="BN46" i="32"/>
  <c r="BC46" i="32"/>
  <c r="BN47" i="32"/>
  <c r="BC47" i="32"/>
  <c r="BN48" i="32"/>
  <c r="BC48" i="32"/>
  <c r="BN49" i="32"/>
  <c r="BC49" i="32"/>
  <c r="BN50" i="32"/>
  <c r="BC50" i="32"/>
  <c r="BN51" i="32"/>
  <c r="BC51" i="32"/>
  <c r="BN52" i="32"/>
  <c r="BC52" i="32"/>
  <c r="BN53" i="32"/>
  <c r="BC53" i="32"/>
  <c r="BN54" i="32"/>
  <c r="BC54" i="32"/>
  <c r="BN55" i="32"/>
  <c r="BC55" i="32"/>
  <c r="BN56" i="32"/>
  <c r="BC56" i="32"/>
  <c r="BN57" i="32"/>
  <c r="BC57" i="32"/>
  <c r="BN58" i="32"/>
  <c r="BC58" i="32"/>
  <c r="BN59" i="32"/>
  <c r="BC59" i="32"/>
  <c r="BN60" i="32"/>
  <c r="BC60" i="32"/>
  <c r="BN61" i="32"/>
  <c r="BC61" i="32"/>
  <c r="BN62" i="32"/>
  <c r="BC62" i="32"/>
  <c r="BN63" i="32"/>
  <c r="BC63" i="32"/>
  <c r="BN64" i="32"/>
  <c r="BC64" i="32"/>
  <c r="BN65" i="32"/>
  <c r="BC65" i="32"/>
  <c r="BN66" i="32"/>
  <c r="BC66" i="32"/>
  <c r="BN67" i="32"/>
  <c r="BC67" i="32"/>
  <c r="BN68" i="32"/>
  <c r="BC68" i="32"/>
  <c r="BN69" i="32"/>
  <c r="BC69" i="32"/>
  <c r="BN70" i="32"/>
  <c r="BC70" i="32"/>
  <c r="BN71" i="32"/>
  <c r="BC71" i="32"/>
  <c r="BN72" i="32"/>
  <c r="BC72" i="32"/>
  <c r="BN73" i="32"/>
  <c r="BC73" i="32"/>
  <c r="BN74" i="32"/>
  <c r="BC74" i="32"/>
  <c r="BN75" i="32"/>
  <c r="BC75" i="32"/>
  <c r="BN76" i="32"/>
  <c r="BC76" i="32"/>
  <c r="BN77" i="32"/>
  <c r="BC77" i="32"/>
  <c r="BN78" i="32"/>
  <c r="BC78" i="32"/>
  <c r="BN79" i="32"/>
  <c r="BC79" i="32"/>
  <c r="BN80" i="32"/>
  <c r="BC80" i="32"/>
  <c r="BN81" i="32"/>
  <c r="BC81" i="32"/>
  <c r="BN82" i="32"/>
  <c r="BC82" i="32"/>
  <c r="BN83" i="32"/>
  <c r="BC83" i="32"/>
  <c r="BN84" i="32"/>
  <c r="BC84" i="32"/>
  <c r="BN85" i="32"/>
  <c r="BC85" i="32"/>
  <c r="BN86" i="32"/>
  <c r="BC86" i="32"/>
  <c r="BN87" i="32"/>
  <c r="BC87" i="32"/>
  <c r="BN88" i="32"/>
  <c r="BC88" i="32"/>
  <c r="BN89" i="32"/>
  <c r="BC89" i="32"/>
  <c r="BN90" i="32"/>
  <c r="BC90" i="32"/>
  <c r="BN91" i="32"/>
  <c r="BC91" i="32"/>
  <c r="BN92" i="32"/>
  <c r="BC92" i="32"/>
  <c r="BN93" i="32"/>
  <c r="BC93" i="32"/>
  <c r="BN94" i="32"/>
  <c r="BC94" i="32"/>
  <c r="BN95" i="32"/>
  <c r="BC95" i="32"/>
  <c r="BN96" i="32"/>
  <c r="BC96" i="32"/>
  <c r="BN97" i="32"/>
  <c r="BC97" i="32"/>
  <c r="BN98" i="32"/>
  <c r="BC98" i="32"/>
  <c r="BN99" i="32"/>
  <c r="BC99" i="32"/>
  <c r="BN100" i="32"/>
  <c r="BC100" i="32"/>
  <c r="BN101" i="32"/>
  <c r="BC101" i="32"/>
  <c r="BN102" i="32"/>
  <c r="BC102" i="32"/>
  <c r="BN103" i="32"/>
  <c r="BC103" i="32"/>
  <c r="BN104" i="32"/>
  <c r="BC104" i="32"/>
  <c r="BN105" i="32"/>
  <c r="BC105" i="32"/>
  <c r="BN106" i="32"/>
  <c r="BC106" i="32"/>
  <c r="BN107" i="32"/>
  <c r="BC107" i="32"/>
  <c r="BN108" i="32"/>
  <c r="BC108" i="32"/>
  <c r="BN109" i="32"/>
  <c r="BC109" i="32"/>
  <c r="BN110" i="32"/>
  <c r="BC110" i="32"/>
  <c r="BN111" i="32"/>
  <c r="BC111" i="32"/>
  <c r="BN112" i="32"/>
  <c r="BC112" i="32"/>
  <c r="BN113" i="32"/>
  <c r="BC113" i="32"/>
  <c r="BN114" i="32"/>
  <c r="BC114" i="32"/>
  <c r="BN115" i="32"/>
  <c r="BC115" i="32"/>
  <c r="BN116" i="32"/>
  <c r="BC116" i="32"/>
  <c r="BN117" i="32"/>
  <c r="BC117" i="32"/>
  <c r="BN118" i="32"/>
  <c r="BC118" i="32"/>
  <c r="BN119" i="32"/>
  <c r="BC119" i="32"/>
  <c r="BN120" i="32"/>
  <c r="BC120" i="32"/>
  <c r="BN121" i="32"/>
  <c r="BC121" i="32"/>
  <c r="BN122" i="32"/>
  <c r="BC122" i="32"/>
  <c r="BN123" i="32"/>
  <c r="BC123" i="32"/>
  <c r="BN124" i="32"/>
  <c r="BC124" i="32"/>
  <c r="BN125" i="32"/>
  <c r="BC125" i="32"/>
  <c r="BN126" i="32"/>
  <c r="BC126" i="32"/>
  <c r="BN127" i="32"/>
  <c r="BC127" i="32"/>
  <c r="BN128" i="32"/>
  <c r="BC128" i="32"/>
  <c r="BN129" i="32"/>
  <c r="BC129" i="32"/>
  <c r="BN130" i="32"/>
  <c r="BC130" i="32"/>
  <c r="BN131" i="32"/>
  <c r="BC131" i="32"/>
  <c r="BN132" i="32"/>
  <c r="BC132" i="32"/>
  <c r="BN133" i="32"/>
  <c r="BC133" i="32"/>
  <c r="BN134" i="32"/>
  <c r="BC134" i="32"/>
  <c r="BN135" i="32"/>
  <c r="BC135" i="32"/>
  <c r="BN136" i="32"/>
  <c r="BC136" i="32"/>
  <c r="BN137" i="32"/>
  <c r="BC137" i="32"/>
  <c r="BN138" i="32"/>
  <c r="BC138" i="32"/>
  <c r="BN139" i="32"/>
  <c r="BC139" i="32"/>
  <c r="BN140" i="32"/>
  <c r="BC140" i="32"/>
  <c r="BN141" i="32"/>
  <c r="BC141" i="32"/>
  <c r="BN142" i="32"/>
  <c r="BC142" i="32"/>
  <c r="BN143" i="32"/>
  <c r="BC143" i="32"/>
  <c r="BN144" i="32"/>
  <c r="BC144" i="32"/>
  <c r="BN145" i="32"/>
  <c r="BC145" i="32"/>
  <c r="BN146" i="32"/>
  <c r="BC146" i="32"/>
  <c r="BN147" i="32"/>
  <c r="BC147" i="32"/>
  <c r="BN148" i="32"/>
  <c r="BC148" i="32"/>
  <c r="BN149" i="32"/>
  <c r="BC149" i="32"/>
  <c r="BN150" i="32"/>
  <c r="BC150" i="32"/>
  <c r="BN151" i="32"/>
  <c r="BC151" i="32"/>
  <c r="BN152" i="32"/>
  <c r="BC152" i="32"/>
  <c r="BN153" i="32"/>
  <c r="BC153" i="32"/>
  <c r="BN154" i="32"/>
  <c r="BC154" i="32"/>
  <c r="BN155" i="32"/>
  <c r="BC155" i="32"/>
  <c r="BN156" i="32"/>
  <c r="BC156" i="32"/>
  <c r="BN157" i="32"/>
  <c r="BC157" i="32"/>
  <c r="BN158" i="32"/>
  <c r="BC158" i="32"/>
  <c r="BN159" i="32"/>
  <c r="BC159" i="32"/>
  <c r="BN160" i="32"/>
  <c r="BC160" i="32"/>
  <c r="BN161" i="32"/>
  <c r="BC161" i="32"/>
  <c r="BN162" i="32"/>
  <c r="BC162" i="32"/>
  <c r="BN163" i="32"/>
  <c r="BC163" i="32"/>
  <c r="BN164" i="32"/>
  <c r="BC164" i="32"/>
  <c r="BN165" i="32"/>
  <c r="BC165" i="32"/>
  <c r="BN166" i="32"/>
  <c r="BC166" i="32"/>
  <c r="BN167" i="32"/>
  <c r="BC167" i="32"/>
  <c r="BN168" i="32"/>
  <c r="BC168" i="32"/>
  <c r="BN169" i="32"/>
  <c r="BC169" i="32"/>
  <c r="BN170" i="32"/>
  <c r="BC170" i="32"/>
  <c r="BN171" i="32"/>
  <c r="BC171" i="32"/>
  <c r="BN172" i="32"/>
  <c r="BC172" i="32"/>
  <c r="BN173" i="32"/>
  <c r="BC173" i="32"/>
  <c r="BN174" i="32"/>
  <c r="BC174" i="32"/>
  <c r="BN175" i="32"/>
  <c r="BC175" i="32"/>
  <c r="BN176" i="32"/>
  <c r="BC176" i="32"/>
  <c r="BN177" i="32"/>
  <c r="BC177" i="32"/>
  <c r="BN178" i="32"/>
  <c r="BC178" i="32"/>
  <c r="BN179" i="32"/>
  <c r="BC179" i="32"/>
  <c r="BN180" i="32"/>
  <c r="BC180" i="32"/>
  <c r="BN181" i="32"/>
  <c r="BC181" i="32"/>
  <c r="BN182" i="32"/>
  <c r="BC182" i="32"/>
  <c r="BN183" i="32"/>
  <c r="BC183" i="32"/>
  <c r="BN184" i="32"/>
  <c r="BC184" i="32"/>
  <c r="BN185" i="32"/>
  <c r="BC185" i="32"/>
  <c r="BN186" i="32"/>
  <c r="BC186" i="32"/>
  <c r="BN187" i="32"/>
  <c r="BC187" i="32"/>
  <c r="BN188" i="32"/>
  <c r="BC188" i="32"/>
  <c r="BN189" i="32"/>
  <c r="BC189" i="32"/>
  <c r="BN190" i="32"/>
  <c r="BC190" i="32"/>
  <c r="BN191" i="32"/>
  <c r="BC191" i="32"/>
  <c r="BN192" i="32"/>
  <c r="BC192" i="32"/>
  <c r="BN193" i="32"/>
  <c r="BC193" i="32"/>
  <c r="BN194" i="32"/>
  <c r="BC194" i="32"/>
  <c r="BN195" i="32"/>
  <c r="BC195" i="32"/>
  <c r="BN196" i="32"/>
  <c r="BC196" i="32"/>
  <c r="BN197" i="32"/>
  <c r="BC197" i="32"/>
  <c r="BN198" i="32"/>
  <c r="BC198" i="32"/>
  <c r="BN199" i="32"/>
  <c r="BC199" i="32"/>
  <c r="BN200" i="32"/>
  <c r="BC200" i="32"/>
  <c r="BN201" i="32"/>
  <c r="BC201" i="32"/>
  <c r="BN202" i="32"/>
  <c r="BC202" i="32"/>
  <c r="BN203" i="32"/>
  <c r="BC203" i="32"/>
  <c r="BN204" i="32"/>
  <c r="BC204" i="32"/>
  <c r="BN205" i="32"/>
  <c r="BC205" i="32"/>
  <c r="BN206" i="32"/>
  <c r="BC206" i="32"/>
  <c r="BN207" i="32"/>
  <c r="BC207" i="32"/>
  <c r="BN208" i="32"/>
  <c r="BC208" i="32"/>
  <c r="BN209" i="32"/>
  <c r="BC209" i="32"/>
  <c r="BN210" i="32"/>
  <c r="BC210" i="32"/>
  <c r="BN211" i="32"/>
  <c r="BC211" i="32"/>
  <c r="BN212" i="32"/>
  <c r="BC212" i="32"/>
  <c r="BN213" i="32"/>
  <c r="BC213" i="32"/>
  <c r="BN214" i="32"/>
  <c r="BC214" i="32"/>
  <c r="BN215" i="32"/>
  <c r="BC215" i="32"/>
  <c r="BN216" i="32"/>
  <c r="BC216" i="32"/>
  <c r="BN217" i="32"/>
  <c r="BC217" i="32"/>
  <c r="BN218" i="32"/>
  <c r="BC218" i="32"/>
  <c r="BN219" i="32"/>
  <c r="BC219" i="32"/>
  <c r="BN220" i="32"/>
  <c r="BC220" i="32"/>
  <c r="BN221" i="32"/>
  <c r="BC221" i="32"/>
  <c r="BN222" i="32"/>
  <c r="BC222" i="32"/>
  <c r="BN223" i="32"/>
  <c r="BC223" i="32"/>
  <c r="BN224" i="32"/>
  <c r="BC224" i="32"/>
  <c r="BN225" i="32"/>
  <c r="BC225" i="32"/>
  <c r="BN226" i="32"/>
  <c r="BC226" i="32"/>
  <c r="BN227" i="32"/>
  <c r="BC227" i="32"/>
  <c r="BN228" i="32"/>
  <c r="BC228" i="32"/>
  <c r="BN229" i="32"/>
  <c r="BC229" i="32"/>
  <c r="BN230" i="32"/>
  <c r="BC230" i="32"/>
  <c r="BN231" i="32"/>
  <c r="BC231" i="32"/>
  <c r="BN232" i="32"/>
  <c r="BC232" i="32"/>
  <c r="BN233" i="32"/>
  <c r="BC233" i="32"/>
  <c r="BN234" i="32"/>
  <c r="BC234" i="32"/>
  <c r="BN235" i="32"/>
  <c r="BC235" i="32"/>
  <c r="BN236" i="32"/>
  <c r="BC236" i="32"/>
  <c r="BN237" i="32"/>
  <c r="BC237" i="32"/>
  <c r="BN238" i="32"/>
  <c r="BC238" i="32"/>
  <c r="BN239" i="32"/>
  <c r="BC239" i="32"/>
  <c r="BN240" i="32"/>
  <c r="BC240" i="32"/>
  <c r="BN241" i="32"/>
  <c r="BC241" i="32"/>
  <c r="BN242" i="32"/>
  <c r="BC242" i="32"/>
  <c r="BN243" i="32"/>
  <c r="BC243" i="32"/>
  <c r="BN244" i="32"/>
  <c r="BC244" i="32"/>
  <c r="BN245" i="32"/>
  <c r="BC245" i="32"/>
  <c r="BN246" i="32"/>
  <c r="BC246" i="32"/>
  <c r="BN247" i="32"/>
  <c r="BC247" i="32"/>
  <c r="BN248" i="32"/>
  <c r="BC248" i="32"/>
  <c r="BN249" i="32"/>
  <c r="BC249" i="32"/>
  <c r="BN250" i="32"/>
  <c r="BC250" i="32"/>
  <c r="BN251" i="32"/>
  <c r="BC251" i="32"/>
  <c r="BN252" i="32"/>
  <c r="BC252" i="32"/>
  <c r="BN253" i="32"/>
  <c r="BC253" i="32"/>
  <c r="BN254" i="32"/>
  <c r="BC254" i="32"/>
  <c r="BN255" i="32"/>
  <c r="BC255" i="32"/>
  <c r="BN256" i="32"/>
  <c r="BC256" i="32"/>
  <c r="BN257" i="32"/>
  <c r="BC257" i="32"/>
  <c r="BN258" i="32"/>
  <c r="BC258" i="32"/>
  <c r="BN259" i="32"/>
  <c r="BC259" i="32"/>
  <c r="BN260" i="32"/>
  <c r="BC260" i="32"/>
  <c r="BN261" i="32"/>
  <c r="BC261" i="32"/>
  <c r="BN262" i="32"/>
  <c r="BC262" i="32"/>
  <c r="BN263" i="32"/>
  <c r="BC263" i="32"/>
  <c r="BN264" i="32"/>
  <c r="BC264" i="32"/>
  <c r="BN265" i="32"/>
  <c r="BC265" i="32"/>
  <c r="BN266" i="32"/>
  <c r="BC266" i="32"/>
  <c r="BN267" i="32"/>
  <c r="BC267" i="32"/>
  <c r="BN268" i="32"/>
  <c r="BC268" i="32"/>
  <c r="BN269" i="32"/>
  <c r="BC269" i="32"/>
  <c r="BN270" i="32"/>
  <c r="BC270" i="32"/>
  <c r="BN271" i="32"/>
  <c r="BC271" i="32"/>
  <c r="BN272" i="32"/>
  <c r="BC272" i="32"/>
  <c r="BN273" i="32"/>
  <c r="BC273" i="32"/>
  <c r="BN274" i="32"/>
  <c r="BC274" i="32"/>
  <c r="BN275" i="32"/>
  <c r="BC275" i="32"/>
  <c r="BN276" i="32"/>
  <c r="BC276" i="32"/>
  <c r="BN277" i="32"/>
  <c r="BC277" i="32"/>
  <c r="BN278" i="32"/>
  <c r="BC278" i="32"/>
  <c r="BN279" i="32"/>
  <c r="BC279" i="32"/>
  <c r="BN280" i="32"/>
  <c r="BC280" i="32"/>
  <c r="BN281" i="32"/>
  <c r="BC281" i="32"/>
  <c r="BN282" i="32"/>
  <c r="BC282" i="32"/>
  <c r="BN283" i="32"/>
  <c r="BC283" i="32"/>
  <c r="BN284" i="32"/>
  <c r="BC284" i="32"/>
  <c r="BN285" i="32"/>
  <c r="BC285" i="32"/>
  <c r="BN286" i="32"/>
  <c r="BC286" i="32"/>
  <c r="BN287" i="32"/>
  <c r="BC287" i="32"/>
  <c r="BN288" i="32"/>
  <c r="BC288" i="32"/>
  <c r="BN289" i="32"/>
  <c r="BC289" i="32"/>
  <c r="BN290" i="32"/>
  <c r="BC290" i="32"/>
  <c r="BN291" i="32"/>
  <c r="BC291" i="32"/>
  <c r="BN292" i="32"/>
  <c r="BC292" i="32"/>
  <c r="BN293" i="32"/>
  <c r="BC293" i="32"/>
  <c r="BN294" i="32"/>
  <c r="BC294" i="32"/>
  <c r="BN295" i="32"/>
  <c r="BC295" i="32"/>
  <c r="BN296" i="32"/>
  <c r="BC296" i="32"/>
  <c r="BN297" i="32"/>
  <c r="BC297" i="32"/>
  <c r="BN298" i="32"/>
  <c r="BC298" i="32"/>
  <c r="BN299" i="32"/>
  <c r="BC299" i="32"/>
  <c r="BN300" i="32"/>
  <c r="BC300" i="32"/>
  <c r="BN301" i="32"/>
  <c r="BC301" i="32"/>
  <c r="BN302" i="32"/>
  <c r="BC302" i="32"/>
  <c r="BN303" i="32"/>
  <c r="BC303" i="32"/>
  <c r="BN304" i="32"/>
  <c r="BC304" i="32"/>
  <c r="BN305" i="32"/>
  <c r="BC305" i="32"/>
  <c r="BN306" i="32"/>
  <c r="BC306" i="32"/>
  <c r="BN307" i="32"/>
  <c r="BC307" i="32"/>
  <c r="BN308" i="32"/>
  <c r="BC308" i="32"/>
  <c r="BN309" i="32"/>
  <c r="BC309" i="32"/>
  <c r="BN310" i="32"/>
  <c r="BC310" i="32"/>
  <c r="BN311" i="32"/>
  <c r="BC311" i="32"/>
  <c r="BN312" i="32"/>
  <c r="BC312" i="32"/>
  <c r="BN313" i="32"/>
  <c r="BC313" i="32"/>
  <c r="BN314" i="32"/>
  <c r="BC314" i="32"/>
  <c r="BN315" i="32"/>
  <c r="BC315" i="32"/>
  <c r="BN316" i="32"/>
  <c r="BC316" i="32"/>
  <c r="BN317" i="32"/>
  <c r="BC317" i="32"/>
  <c r="BN318" i="32"/>
  <c r="BC318" i="32"/>
  <c r="BN319" i="32"/>
  <c r="BC319" i="32"/>
  <c r="BN320" i="32"/>
  <c r="BC320" i="32"/>
  <c r="BN321" i="32"/>
  <c r="BC321" i="32"/>
  <c r="BN322" i="32"/>
  <c r="BC322" i="32"/>
  <c r="BN323" i="32"/>
  <c r="BC323" i="32"/>
  <c r="BN324" i="32"/>
  <c r="BC324" i="32"/>
  <c r="BN325" i="32"/>
  <c r="BC325" i="32"/>
  <c r="BN326" i="32"/>
  <c r="BC326" i="32"/>
  <c r="BN327" i="32"/>
  <c r="BC327" i="32"/>
  <c r="BN328" i="32"/>
  <c r="BC328" i="32"/>
  <c r="BN329" i="32"/>
  <c r="BC329" i="32"/>
  <c r="BN330" i="32"/>
  <c r="BC330" i="32"/>
  <c r="BN331" i="32"/>
  <c r="BC331" i="32"/>
  <c r="BN332" i="32"/>
  <c r="BC332" i="32"/>
  <c r="BN333" i="32"/>
  <c r="BC333" i="32"/>
  <c r="BN334" i="32"/>
  <c r="BC334" i="32"/>
  <c r="BN335" i="32"/>
  <c r="BC335" i="32"/>
  <c r="BN336" i="32"/>
  <c r="BC336" i="32"/>
  <c r="BN337" i="32"/>
  <c r="BC337" i="32"/>
  <c r="BN338" i="32"/>
  <c r="BC338" i="32"/>
  <c r="BN339" i="32"/>
  <c r="BC339" i="32"/>
  <c r="BN340" i="32"/>
  <c r="BC340" i="32"/>
  <c r="BN341" i="32"/>
  <c r="BC341" i="32"/>
  <c r="BN342" i="32"/>
  <c r="BC342" i="32"/>
  <c r="BN343" i="32"/>
  <c r="BC343" i="32"/>
  <c r="BN344" i="32"/>
  <c r="BC344" i="32"/>
  <c r="BN345" i="32"/>
  <c r="BC345" i="32"/>
  <c r="BN346" i="32"/>
  <c r="BC346" i="32"/>
  <c r="BN347" i="32"/>
  <c r="BC347" i="32"/>
  <c r="BN348" i="32"/>
  <c r="BC348" i="32"/>
  <c r="BN349" i="32"/>
  <c r="BC349" i="32"/>
  <c r="BN350" i="32"/>
  <c r="BC350" i="32"/>
  <c r="BN351" i="32"/>
  <c r="BC351" i="32"/>
  <c r="BN352" i="32"/>
  <c r="BC352" i="32"/>
  <c r="BN353" i="32"/>
  <c r="BC353" i="32"/>
  <c r="BN354" i="32"/>
  <c r="BC354" i="32"/>
  <c r="BN355" i="32"/>
  <c r="BC355" i="32"/>
  <c r="BN356" i="32"/>
  <c r="BC356" i="32"/>
  <c r="BN357" i="32"/>
  <c r="BC357" i="32"/>
  <c r="BN358" i="32"/>
  <c r="BC358" i="32"/>
  <c r="BN359" i="32"/>
  <c r="BC359" i="32"/>
  <c r="BN360" i="32"/>
  <c r="BC360" i="32"/>
  <c r="BN361" i="32"/>
  <c r="BC361" i="32"/>
  <c r="BN362" i="32"/>
  <c r="BC362" i="32"/>
  <c r="BN363" i="32"/>
  <c r="BC363" i="32"/>
  <c r="BN364" i="32"/>
  <c r="BC364" i="32"/>
  <c r="BN365" i="32"/>
  <c r="BC365" i="32"/>
  <c r="BN366" i="32"/>
  <c r="BC366" i="32"/>
  <c r="BN367" i="32"/>
  <c r="BC367" i="32"/>
  <c r="BN368" i="32"/>
  <c r="BC368" i="32"/>
  <c r="BN369" i="32"/>
  <c r="BC369" i="32"/>
  <c r="BN370" i="32"/>
  <c r="BC370" i="32"/>
  <c r="BN371" i="32"/>
  <c r="BC371" i="32"/>
  <c r="BN372" i="32"/>
  <c r="BC372" i="32"/>
  <c r="BN373" i="32"/>
  <c r="BC373" i="32"/>
  <c r="BN374" i="32"/>
  <c r="BC374" i="32"/>
  <c r="BN375" i="32"/>
  <c r="BC375" i="32"/>
  <c r="BN376" i="32"/>
  <c r="BC376" i="32"/>
  <c r="BN377" i="32"/>
  <c r="BC377" i="32"/>
  <c r="BN378" i="32"/>
  <c r="BC378" i="32"/>
  <c r="BN379" i="32"/>
  <c r="BC379" i="32"/>
  <c r="BN380" i="32"/>
  <c r="BC380" i="32"/>
  <c r="BN381" i="32"/>
  <c r="BC381" i="32"/>
  <c r="BN382" i="32"/>
  <c r="BC382" i="32"/>
  <c r="BN383" i="32"/>
  <c r="BC383" i="32"/>
  <c r="BN384" i="32"/>
  <c r="BC384" i="32"/>
  <c r="BN385" i="32"/>
  <c r="BC385" i="32"/>
  <c r="BN386" i="32"/>
  <c r="BC386" i="32"/>
  <c r="BN387" i="32"/>
  <c r="BC387" i="32"/>
  <c r="BN388" i="32"/>
  <c r="BC388" i="32"/>
  <c r="BN389" i="32"/>
  <c r="BC389" i="32"/>
  <c r="BN390" i="32"/>
  <c r="BC390" i="32"/>
  <c r="BN391" i="32"/>
  <c r="BC391" i="32"/>
  <c r="BN392" i="32"/>
  <c r="BC392" i="32"/>
  <c r="BN393" i="32"/>
  <c r="BC393" i="32"/>
  <c r="BN394" i="32"/>
  <c r="BC394" i="32"/>
  <c r="BN395" i="32"/>
  <c r="BC395" i="32"/>
  <c r="BN396" i="32"/>
  <c r="BC396" i="32"/>
  <c r="BN397" i="32"/>
  <c r="BC397" i="32"/>
  <c r="BN398" i="32"/>
  <c r="BC398" i="32"/>
  <c r="BN399" i="32"/>
  <c r="BC399" i="32"/>
  <c r="BN400" i="32"/>
  <c r="BC400" i="32"/>
  <c r="BN401" i="32"/>
  <c r="BC401" i="32"/>
  <c r="BN402" i="32"/>
  <c r="BC402" i="32"/>
  <c r="BN403" i="32"/>
  <c r="BC403" i="32"/>
  <c r="BN404" i="32"/>
  <c r="BC404" i="32"/>
  <c r="BN405" i="32"/>
  <c r="BC405" i="32"/>
  <c r="BN406" i="32"/>
  <c r="BC406" i="32"/>
  <c r="BN407" i="32"/>
  <c r="BC407" i="32"/>
  <c r="BN408" i="32"/>
  <c r="BC408" i="32"/>
  <c r="BN409" i="32"/>
  <c r="BC409" i="32"/>
  <c r="BN410" i="32"/>
  <c r="BC410" i="32"/>
  <c r="BN411" i="32"/>
  <c r="BC411" i="32"/>
  <c r="BN412" i="32"/>
  <c r="BC412" i="32"/>
  <c r="BN413" i="32"/>
  <c r="BC413" i="32"/>
  <c r="BN414" i="32"/>
  <c r="BC414" i="32"/>
  <c r="BN415" i="32"/>
  <c r="BC415" i="32"/>
  <c r="BN416" i="32"/>
  <c r="BC416" i="32"/>
  <c r="BN417" i="32"/>
  <c r="BC418" i="32"/>
  <c r="BN419" i="32"/>
  <c r="BC419" i="32"/>
  <c r="BN420" i="32"/>
  <c r="BC420" i="32"/>
  <c r="BN421" i="32"/>
  <c r="BO5" i="32"/>
  <c r="BE5" i="32"/>
  <c r="BD5" i="32"/>
  <c r="BD4" i="32"/>
  <c r="BD6" i="32"/>
  <c r="BD7" i="32"/>
  <c r="BD8" i="32"/>
  <c r="BD9" i="32"/>
  <c r="BD10" i="32"/>
  <c r="BD11" i="32"/>
  <c r="BD12" i="32"/>
  <c r="BD13" i="32"/>
  <c r="BD14" i="32"/>
  <c r="BD15" i="32"/>
  <c r="BD16" i="32"/>
  <c r="BD17" i="32"/>
  <c r="BD18" i="32"/>
  <c r="BD19" i="32"/>
  <c r="BD20" i="32"/>
  <c r="BD21" i="32"/>
  <c r="BD22" i="32"/>
  <c r="BD23" i="32"/>
  <c r="BD24" i="32"/>
  <c r="BD25" i="32"/>
  <c r="BD26" i="32"/>
  <c r="BD27" i="32"/>
  <c r="BD28" i="32"/>
  <c r="BD29" i="32"/>
  <c r="BD30" i="32"/>
  <c r="BD31" i="32"/>
  <c r="BD32" i="32"/>
  <c r="BD33" i="32"/>
  <c r="BD34" i="32"/>
  <c r="BD35" i="32"/>
  <c r="BD36" i="32"/>
  <c r="BD37" i="32"/>
  <c r="BD38" i="32"/>
  <c r="BD39" i="32"/>
  <c r="BD40" i="32"/>
  <c r="BD41" i="32"/>
  <c r="BD42" i="32"/>
  <c r="BD43" i="32"/>
  <c r="BD44" i="32"/>
  <c r="BD45" i="32"/>
  <c r="BD46" i="32"/>
  <c r="BD47" i="32"/>
  <c r="BD48" i="32"/>
  <c r="BD49" i="32"/>
  <c r="BD50" i="32"/>
  <c r="BD51" i="32"/>
  <c r="BD52" i="32"/>
  <c r="BD53" i="32"/>
  <c r="BD54" i="32"/>
  <c r="BD55" i="32"/>
  <c r="BD56" i="32"/>
  <c r="BD57" i="32"/>
  <c r="BD58" i="32"/>
  <c r="BD59" i="32"/>
  <c r="BD60" i="32"/>
  <c r="BD61" i="32"/>
  <c r="BD62" i="32"/>
  <c r="BD63" i="32"/>
  <c r="BD64" i="32"/>
  <c r="BD65" i="32"/>
  <c r="BD66" i="32"/>
  <c r="BD67" i="32"/>
  <c r="BD68" i="32"/>
  <c r="BD69" i="32"/>
  <c r="BD70" i="32"/>
  <c r="BD71" i="32"/>
  <c r="BD72" i="32"/>
  <c r="BD73" i="32"/>
  <c r="BD74" i="32"/>
  <c r="BD75" i="32"/>
  <c r="BD76" i="32"/>
  <c r="BD77" i="32"/>
  <c r="BD78" i="32"/>
  <c r="BD79" i="32"/>
  <c r="BD80" i="32"/>
  <c r="BD81" i="32"/>
  <c r="BD82" i="32"/>
  <c r="BD83" i="32"/>
  <c r="BD84" i="32"/>
  <c r="BD85" i="32"/>
  <c r="BD86" i="32"/>
  <c r="BD87" i="32"/>
  <c r="BD88" i="32"/>
  <c r="BD89" i="32"/>
  <c r="BD90" i="32"/>
  <c r="BD91" i="32"/>
  <c r="BD92" i="32"/>
  <c r="BD93" i="32"/>
  <c r="BD94" i="32"/>
  <c r="BD95" i="32"/>
  <c r="BD96" i="32"/>
  <c r="BD97" i="32"/>
  <c r="BD98" i="32"/>
  <c r="BD99" i="32"/>
  <c r="BD100" i="32"/>
  <c r="BD101" i="32"/>
  <c r="BD102" i="32"/>
  <c r="BD103" i="32"/>
  <c r="BD104" i="32"/>
  <c r="BD105" i="32"/>
  <c r="BD106" i="32"/>
  <c r="BD107" i="32"/>
  <c r="BD108" i="32"/>
  <c r="BD109" i="32"/>
  <c r="BD110" i="32"/>
  <c r="BD111" i="32"/>
  <c r="BD112" i="32"/>
  <c r="BD113" i="32"/>
  <c r="BD114" i="32"/>
  <c r="BD115" i="32"/>
  <c r="BD116" i="32"/>
  <c r="BD117" i="32"/>
  <c r="BD118" i="32"/>
  <c r="BD119" i="32"/>
  <c r="BD120" i="32"/>
  <c r="BD121" i="32"/>
  <c r="BD122" i="32"/>
  <c r="BD123" i="32"/>
  <c r="BD124" i="32"/>
  <c r="BD125" i="32"/>
  <c r="BD126" i="32"/>
  <c r="BD127" i="32"/>
  <c r="BD128" i="32"/>
  <c r="BD129" i="32"/>
  <c r="BD130" i="32"/>
  <c r="BD131" i="32"/>
  <c r="BD132" i="32"/>
  <c r="BD133" i="32"/>
  <c r="BD134" i="32"/>
  <c r="BD135" i="32"/>
  <c r="BD136" i="32"/>
  <c r="BD137" i="32"/>
  <c r="BD138" i="32"/>
  <c r="BD139" i="32"/>
  <c r="BD140" i="32"/>
  <c r="BD141" i="32"/>
  <c r="BD142" i="32"/>
  <c r="BD143" i="32"/>
  <c r="BD144" i="32"/>
  <c r="BD145" i="32"/>
  <c r="BD146" i="32"/>
  <c r="BD147" i="32"/>
  <c r="BD148" i="32"/>
  <c r="BD149" i="32"/>
  <c r="BD150" i="32"/>
  <c r="BD151" i="32"/>
  <c r="BD152" i="32"/>
  <c r="BD153" i="32"/>
  <c r="BD154" i="32"/>
  <c r="BD155" i="32"/>
  <c r="BD156" i="32"/>
  <c r="BD157" i="32"/>
  <c r="BD158" i="32"/>
  <c r="BD159" i="32"/>
  <c r="BD160" i="32"/>
  <c r="BD161" i="32"/>
  <c r="BD162" i="32"/>
  <c r="BD163" i="32"/>
  <c r="BD164" i="32"/>
  <c r="BD165" i="32"/>
  <c r="BD166" i="32"/>
  <c r="BD167" i="32"/>
  <c r="BD168" i="32"/>
  <c r="BD169" i="32"/>
  <c r="BD170" i="32"/>
  <c r="BD171" i="32"/>
  <c r="BD172" i="32"/>
  <c r="BD173" i="32"/>
  <c r="BD174" i="32"/>
  <c r="BD175" i="32"/>
  <c r="BD176" i="32"/>
  <c r="BD177" i="32"/>
  <c r="BD178" i="32"/>
  <c r="BD179" i="32"/>
  <c r="BD180" i="32"/>
  <c r="BD181" i="32"/>
  <c r="BD182" i="32"/>
  <c r="BD183" i="32"/>
  <c r="BD184" i="32"/>
  <c r="BD185" i="32"/>
  <c r="BD186" i="32"/>
  <c r="BD187" i="32"/>
  <c r="BD188" i="32"/>
  <c r="BD189" i="32"/>
  <c r="BD190" i="32"/>
  <c r="BD191" i="32"/>
  <c r="BD192" i="32"/>
  <c r="BD193" i="32"/>
  <c r="BD194" i="32"/>
  <c r="BD195" i="32"/>
  <c r="BD196" i="32"/>
  <c r="BD197" i="32"/>
  <c r="BD198" i="32"/>
  <c r="BD199" i="32"/>
  <c r="BD200" i="32"/>
  <c r="BD201" i="32"/>
  <c r="BD202" i="32"/>
  <c r="BD203" i="32"/>
  <c r="BD204" i="32"/>
  <c r="BD205" i="32"/>
  <c r="BD206" i="32"/>
  <c r="BD207" i="32"/>
  <c r="BD208" i="32"/>
  <c r="BD209" i="32"/>
  <c r="BD210" i="32"/>
  <c r="BD211" i="32"/>
  <c r="BD212" i="32"/>
  <c r="BD213" i="32"/>
  <c r="BD214" i="32"/>
  <c r="BD215" i="32"/>
  <c r="BD216" i="32"/>
  <c r="BD217" i="32"/>
  <c r="BD218" i="32"/>
  <c r="BD219" i="32"/>
  <c r="BD220" i="32"/>
  <c r="BD221" i="32"/>
  <c r="BD222" i="32"/>
  <c r="BD223" i="32"/>
  <c r="BD224" i="32"/>
  <c r="BD225" i="32"/>
  <c r="BD226" i="32"/>
  <c r="BD227" i="32"/>
  <c r="BD228" i="32"/>
  <c r="BD229" i="32"/>
  <c r="BD230" i="32"/>
  <c r="BD231" i="32"/>
  <c r="BD232" i="32"/>
  <c r="BD233" i="32"/>
  <c r="BD234" i="32"/>
  <c r="BD235" i="32"/>
  <c r="BD236" i="32"/>
  <c r="BD237" i="32"/>
  <c r="BD238" i="32"/>
  <c r="BD239" i="32"/>
  <c r="BD240" i="32"/>
  <c r="BD241" i="32"/>
  <c r="BD242" i="32"/>
  <c r="BD243" i="32"/>
  <c r="BD244" i="32"/>
  <c r="BD245" i="32"/>
  <c r="BD246" i="32"/>
  <c r="BD247" i="32"/>
  <c r="BD248" i="32"/>
  <c r="BD249" i="32"/>
  <c r="BD250" i="32"/>
  <c r="BD251" i="32"/>
  <c r="BD252" i="32"/>
  <c r="BD253" i="32"/>
  <c r="BD254" i="32"/>
  <c r="BD255" i="32"/>
  <c r="BD256" i="32"/>
  <c r="BD257" i="32"/>
  <c r="BD258" i="32"/>
  <c r="BD259" i="32"/>
  <c r="BD260" i="32"/>
  <c r="BD261" i="32"/>
  <c r="BD262" i="32"/>
  <c r="BD263" i="32"/>
  <c r="BD264" i="32"/>
  <c r="BD265" i="32"/>
  <c r="BD266" i="32"/>
  <c r="BD267" i="32"/>
  <c r="BD268" i="32"/>
  <c r="BD269" i="32"/>
  <c r="BD270" i="32"/>
  <c r="BD271" i="32"/>
  <c r="BD272" i="32"/>
  <c r="BD273" i="32"/>
  <c r="BD274" i="32"/>
  <c r="BD275" i="32"/>
  <c r="BD276" i="32"/>
  <c r="BD277" i="32"/>
  <c r="BD278" i="32"/>
  <c r="BD279" i="32"/>
  <c r="BD280" i="32"/>
  <c r="BD281" i="32"/>
  <c r="BD282" i="32"/>
  <c r="BD283" i="32"/>
  <c r="BD284" i="32"/>
  <c r="BD285" i="32"/>
  <c r="BD286" i="32"/>
  <c r="BD287" i="32"/>
  <c r="BD288" i="32"/>
  <c r="BD289" i="32"/>
  <c r="BD290" i="32"/>
  <c r="BD291" i="32"/>
  <c r="BD292" i="32"/>
  <c r="BD293" i="32"/>
  <c r="BD294" i="32"/>
  <c r="BD295" i="32"/>
  <c r="BD296" i="32"/>
  <c r="BD297" i="32"/>
  <c r="BD298" i="32"/>
  <c r="BD299" i="32"/>
  <c r="BD300" i="32"/>
  <c r="BD301" i="32"/>
  <c r="BD302" i="32"/>
  <c r="BD303" i="32"/>
  <c r="BD304" i="32"/>
  <c r="BD305" i="32"/>
  <c r="BD306" i="32"/>
  <c r="BD307" i="32"/>
  <c r="BD308" i="32"/>
  <c r="BD309" i="32"/>
  <c r="BD310" i="32"/>
  <c r="BD311" i="32"/>
  <c r="BD312" i="32"/>
  <c r="BD313" i="32"/>
  <c r="BD314" i="32"/>
  <c r="BD315" i="32"/>
  <c r="BD316" i="32"/>
  <c r="BD317" i="32"/>
  <c r="BD318" i="32"/>
  <c r="BD319" i="32"/>
  <c r="BD320" i="32"/>
  <c r="BD321" i="32"/>
  <c r="BD322" i="32"/>
  <c r="BD323" i="32"/>
  <c r="BD324" i="32"/>
  <c r="BD325" i="32"/>
  <c r="BD326" i="32"/>
  <c r="BD327" i="32"/>
  <c r="BD328" i="32"/>
  <c r="BD329" i="32"/>
  <c r="BD330" i="32"/>
  <c r="BD331" i="32"/>
  <c r="BD332" i="32"/>
  <c r="BD333" i="32"/>
  <c r="BD334" i="32"/>
  <c r="BD335" i="32"/>
  <c r="BD336" i="32"/>
  <c r="BD337" i="32"/>
  <c r="BD338" i="32"/>
  <c r="BD339" i="32"/>
  <c r="BD340" i="32"/>
  <c r="BD341" i="32"/>
  <c r="BD342" i="32"/>
  <c r="BD343" i="32"/>
  <c r="BD344" i="32"/>
  <c r="BD345" i="32"/>
  <c r="BD346" i="32"/>
  <c r="BD347" i="32"/>
  <c r="BD348" i="32"/>
  <c r="BD349" i="32"/>
  <c r="BD350" i="32"/>
  <c r="BD351" i="32"/>
  <c r="BD352" i="32"/>
  <c r="BD353" i="32"/>
  <c r="BD354" i="32"/>
  <c r="BD355" i="32"/>
  <c r="BD356" i="32"/>
  <c r="BD357" i="32"/>
  <c r="BD358" i="32"/>
  <c r="BD359" i="32"/>
  <c r="BD360" i="32"/>
  <c r="BD361" i="32"/>
  <c r="BD362" i="32"/>
  <c r="BD363" i="32"/>
  <c r="BD364" i="32"/>
  <c r="BD365" i="32"/>
  <c r="BD366" i="32"/>
  <c r="BD367" i="32"/>
  <c r="BD368" i="32"/>
  <c r="BD369" i="32"/>
  <c r="BD370" i="32"/>
  <c r="BD371" i="32"/>
  <c r="BD372" i="32"/>
  <c r="BD373" i="32"/>
  <c r="BD374" i="32"/>
  <c r="BD375" i="32"/>
  <c r="BD376" i="32"/>
  <c r="BD377" i="32"/>
  <c r="BD378" i="32"/>
  <c r="BD379" i="32"/>
  <c r="BD380" i="32"/>
  <c r="BD381" i="32"/>
  <c r="BD382" i="32"/>
  <c r="BD383" i="32"/>
  <c r="BD384" i="32"/>
  <c r="BD385" i="32"/>
  <c r="BD386" i="32"/>
  <c r="BD387" i="32"/>
  <c r="BD388" i="32"/>
  <c r="BD389" i="32"/>
  <c r="BD390" i="32"/>
  <c r="BD391" i="32"/>
  <c r="BD392" i="32"/>
  <c r="BD393" i="32"/>
  <c r="BD394" i="32"/>
  <c r="BD395" i="32"/>
  <c r="BD396" i="32"/>
  <c r="BD397" i="32"/>
  <c r="BD398" i="32"/>
  <c r="BD399" i="32"/>
  <c r="BD400" i="32"/>
  <c r="BD401" i="32"/>
  <c r="BD402" i="32"/>
  <c r="BD403" i="32"/>
  <c r="BD404" i="32"/>
  <c r="BD405" i="32"/>
  <c r="BD406" i="32"/>
  <c r="BD407" i="32"/>
  <c r="BF5" i="32"/>
  <c r="BE6" i="32"/>
  <c r="BF6" i="32"/>
  <c r="BE7" i="32"/>
  <c r="BF7" i="32"/>
  <c r="BE8" i="32"/>
  <c r="BF8" i="32"/>
  <c r="BE9" i="32"/>
  <c r="BF9" i="32"/>
  <c r="BE10" i="32"/>
  <c r="BF10" i="32"/>
  <c r="BE11" i="32"/>
  <c r="BF11" i="32"/>
  <c r="BE12" i="32"/>
  <c r="BF12" i="32"/>
  <c r="BE13" i="32"/>
  <c r="BF13" i="32"/>
  <c r="BE14" i="32"/>
  <c r="BF14" i="32"/>
  <c r="BE15" i="32"/>
  <c r="BF15" i="32"/>
  <c r="BE16" i="32"/>
  <c r="BF16" i="32"/>
  <c r="BE17" i="32"/>
  <c r="BF17" i="32"/>
  <c r="BE18" i="32"/>
  <c r="BF18" i="32"/>
  <c r="BE19" i="32"/>
  <c r="BF19" i="32"/>
  <c r="BE20" i="32"/>
  <c r="BF20" i="32"/>
  <c r="BE21" i="32"/>
  <c r="BF21" i="32"/>
  <c r="BE22" i="32"/>
  <c r="BF22" i="32"/>
  <c r="BE23" i="32"/>
  <c r="BF23" i="32"/>
  <c r="BE24" i="32"/>
  <c r="BF24" i="32"/>
  <c r="BE25" i="32"/>
  <c r="BF25" i="32"/>
  <c r="BE26" i="32"/>
  <c r="BF26" i="32"/>
  <c r="BE27" i="32"/>
  <c r="BF27" i="32"/>
  <c r="BE28" i="32"/>
  <c r="BF28" i="32"/>
  <c r="BE29" i="32"/>
  <c r="BF29" i="32"/>
  <c r="BE30" i="32"/>
  <c r="BF30" i="32"/>
  <c r="BE31" i="32"/>
  <c r="BF31" i="32"/>
  <c r="BE32" i="32"/>
  <c r="BF32" i="32"/>
  <c r="BE33" i="32"/>
  <c r="BF33" i="32"/>
  <c r="BE34" i="32"/>
  <c r="BF34" i="32"/>
  <c r="BE35" i="32"/>
  <c r="BF35" i="32"/>
  <c r="BE36" i="32"/>
  <c r="BF36" i="32"/>
  <c r="BE37" i="32"/>
  <c r="BF37" i="32"/>
  <c r="BE38" i="32"/>
  <c r="BF38" i="32"/>
  <c r="BE39" i="32"/>
  <c r="BF39" i="32"/>
  <c r="BE40" i="32"/>
  <c r="BF40" i="32"/>
  <c r="BE41" i="32"/>
  <c r="BF41" i="32"/>
  <c r="BE42" i="32"/>
  <c r="BF42" i="32"/>
  <c r="BE43" i="32"/>
  <c r="BF43" i="32"/>
  <c r="BE44" i="32"/>
  <c r="BF44" i="32"/>
  <c r="BE45" i="32"/>
  <c r="BF45" i="32"/>
  <c r="BE46" i="32"/>
  <c r="BF46" i="32"/>
  <c r="BE47" i="32"/>
  <c r="BF47" i="32"/>
  <c r="BE48" i="32"/>
  <c r="BF48" i="32"/>
  <c r="BE49" i="32"/>
  <c r="BF49" i="32"/>
  <c r="BE50" i="32"/>
  <c r="BF50" i="32"/>
  <c r="BE51" i="32"/>
  <c r="BF51" i="32"/>
  <c r="BE52" i="32"/>
  <c r="BF52" i="32"/>
  <c r="BE53" i="32"/>
  <c r="BF53" i="32"/>
  <c r="BE54" i="32"/>
  <c r="BF54" i="32"/>
  <c r="BE55" i="32"/>
  <c r="BF55" i="32"/>
  <c r="BE56" i="32"/>
  <c r="BF56" i="32"/>
  <c r="BE57" i="32"/>
  <c r="BF57" i="32"/>
  <c r="BE58" i="32"/>
  <c r="BF58" i="32"/>
  <c r="BE59" i="32"/>
  <c r="BF59" i="32"/>
  <c r="BE60" i="32"/>
  <c r="BF60" i="32"/>
  <c r="BE61" i="32"/>
  <c r="BF61" i="32"/>
  <c r="BE62" i="32"/>
  <c r="BF62" i="32"/>
  <c r="BE63" i="32"/>
  <c r="BF63" i="32"/>
  <c r="BE64" i="32"/>
  <c r="BF64" i="32"/>
  <c r="BE65" i="32"/>
  <c r="BF65" i="32"/>
  <c r="BE66" i="32"/>
  <c r="BF66" i="32"/>
  <c r="BE67" i="32"/>
  <c r="BF67" i="32"/>
  <c r="BE68" i="32"/>
  <c r="BF68" i="32"/>
  <c r="BE69" i="32"/>
  <c r="BF69" i="32"/>
  <c r="BE70" i="32"/>
  <c r="BF70" i="32"/>
  <c r="BE71" i="32"/>
  <c r="BF71" i="32"/>
  <c r="BE72" i="32"/>
  <c r="BF72" i="32"/>
  <c r="BE73" i="32"/>
  <c r="BF73" i="32"/>
  <c r="BE74" i="32"/>
  <c r="BF74" i="32"/>
  <c r="BE75" i="32"/>
  <c r="BF75" i="32"/>
  <c r="BE76" i="32"/>
  <c r="BF76" i="32"/>
  <c r="BE77" i="32"/>
  <c r="BF77" i="32"/>
  <c r="BE78" i="32"/>
  <c r="BF78" i="32"/>
  <c r="BE79" i="32"/>
  <c r="BF79" i="32"/>
  <c r="BE80" i="32"/>
  <c r="BF80" i="32"/>
  <c r="BE81" i="32"/>
  <c r="BF81" i="32"/>
  <c r="BE82" i="32"/>
  <c r="BF82" i="32"/>
  <c r="BE83" i="32"/>
  <c r="BF83" i="32"/>
  <c r="BE84" i="32"/>
  <c r="BF84" i="32"/>
  <c r="BE85" i="32"/>
  <c r="BF85" i="32"/>
  <c r="BE86" i="32"/>
  <c r="BF86" i="32"/>
  <c r="BE87" i="32"/>
  <c r="BF87" i="32"/>
  <c r="BE88" i="32"/>
  <c r="BF88" i="32"/>
  <c r="BE89" i="32"/>
  <c r="BF89" i="32"/>
  <c r="BE90" i="32"/>
  <c r="BF90" i="32"/>
  <c r="BE91" i="32"/>
  <c r="BF91" i="32"/>
  <c r="BE92" i="32"/>
  <c r="BF92" i="32"/>
  <c r="BE93" i="32"/>
  <c r="BF93" i="32"/>
  <c r="BE94" i="32"/>
  <c r="BF94" i="32"/>
  <c r="BE95" i="32"/>
  <c r="BF95" i="32"/>
  <c r="BE96" i="32"/>
  <c r="BF96" i="32"/>
  <c r="BE97" i="32"/>
  <c r="BF97" i="32"/>
  <c r="BE98" i="32"/>
  <c r="BF98" i="32"/>
  <c r="BE99" i="32"/>
  <c r="BF99" i="32"/>
  <c r="BE100" i="32"/>
  <c r="BF100" i="32"/>
  <c r="BE101" i="32"/>
  <c r="BF101" i="32"/>
  <c r="BE102" i="32"/>
  <c r="BF102" i="32"/>
  <c r="BE103" i="32"/>
  <c r="BF103" i="32"/>
  <c r="BE104" i="32"/>
  <c r="BF104" i="32"/>
  <c r="BE105" i="32"/>
  <c r="BF105" i="32"/>
  <c r="BE106" i="32"/>
  <c r="BF106" i="32"/>
  <c r="BE107" i="32"/>
  <c r="BF107" i="32"/>
  <c r="BE108" i="32"/>
  <c r="BF108" i="32"/>
  <c r="BE109" i="32"/>
  <c r="BF109" i="32"/>
  <c r="BE110" i="32"/>
  <c r="BF110" i="32"/>
  <c r="BE111" i="32"/>
  <c r="BF111" i="32"/>
  <c r="BE112" i="32"/>
  <c r="BF112" i="32"/>
  <c r="BE113" i="32"/>
  <c r="BF113" i="32"/>
  <c r="BE114" i="32"/>
  <c r="BF114" i="32"/>
  <c r="BE115" i="32"/>
  <c r="BF115" i="32"/>
  <c r="BE116" i="32"/>
  <c r="BF116" i="32"/>
  <c r="BE117" i="32"/>
  <c r="BF117" i="32"/>
  <c r="BE118" i="32"/>
  <c r="BF118" i="32"/>
  <c r="BE119" i="32"/>
  <c r="BF119" i="32"/>
  <c r="BE120" i="32"/>
  <c r="BF120" i="32"/>
  <c r="BE121" i="32"/>
  <c r="BF121" i="32"/>
  <c r="BE122" i="32"/>
  <c r="BF122" i="32"/>
  <c r="BE123" i="32"/>
  <c r="BF123" i="32"/>
  <c r="BE124" i="32"/>
  <c r="BF124" i="32"/>
  <c r="BE125" i="32"/>
  <c r="BF125" i="32"/>
  <c r="BE126" i="32"/>
  <c r="BF126" i="32"/>
  <c r="BE127" i="32"/>
  <c r="BF127" i="32"/>
  <c r="BE128" i="32"/>
  <c r="BF128" i="32"/>
  <c r="BE129" i="32"/>
  <c r="BF129" i="32"/>
  <c r="BE130" i="32"/>
  <c r="BF130" i="32"/>
  <c r="BE131" i="32"/>
  <c r="BF131" i="32"/>
  <c r="BE132" i="32"/>
  <c r="BF132" i="32"/>
  <c r="BE133" i="32"/>
  <c r="BF133" i="32"/>
  <c r="BE134" i="32"/>
  <c r="BF134" i="32"/>
  <c r="BE135" i="32"/>
  <c r="BF135" i="32"/>
  <c r="BE136" i="32"/>
  <c r="BF136" i="32"/>
  <c r="BE137" i="32"/>
  <c r="BF137" i="32"/>
  <c r="BE138" i="32"/>
  <c r="BF138" i="32"/>
  <c r="BE139" i="32"/>
  <c r="BF139" i="32"/>
  <c r="BE140" i="32"/>
  <c r="BF140" i="32"/>
  <c r="BE141" i="32"/>
  <c r="BF141" i="32"/>
  <c r="BE142" i="32"/>
  <c r="BF142" i="32"/>
  <c r="BE143" i="32"/>
  <c r="BF143" i="32"/>
  <c r="BE144" i="32"/>
  <c r="BF144" i="32"/>
  <c r="BE145" i="32"/>
  <c r="BF145" i="32"/>
  <c r="BE146" i="32"/>
  <c r="BF146" i="32"/>
  <c r="BE147" i="32"/>
  <c r="BF147" i="32"/>
  <c r="BE148" i="32"/>
  <c r="BF148" i="32"/>
  <c r="BE149" i="32"/>
  <c r="BF149" i="32"/>
  <c r="BE150" i="32"/>
  <c r="BF150" i="32"/>
  <c r="BE151" i="32"/>
  <c r="BF151" i="32"/>
  <c r="BE152" i="32"/>
  <c r="BF152" i="32"/>
  <c r="BE153" i="32"/>
  <c r="BF153" i="32"/>
  <c r="BE154" i="32"/>
  <c r="BF154" i="32"/>
  <c r="BE155" i="32"/>
  <c r="BF155" i="32"/>
  <c r="BE156" i="32"/>
  <c r="BF156" i="32"/>
  <c r="BE157" i="32"/>
  <c r="BF157" i="32"/>
  <c r="BE158" i="32"/>
  <c r="BF158" i="32"/>
  <c r="BE159" i="32"/>
  <c r="BF159" i="32"/>
  <c r="BE160" i="32"/>
  <c r="BF160" i="32"/>
  <c r="BE161" i="32"/>
  <c r="BF161" i="32"/>
  <c r="BE162" i="32"/>
  <c r="BF162" i="32"/>
  <c r="BE163" i="32"/>
  <c r="BF163" i="32"/>
  <c r="BE164" i="32"/>
  <c r="BF164" i="32"/>
  <c r="BE165" i="32"/>
  <c r="BF165" i="32"/>
  <c r="BE166" i="32"/>
  <c r="BF166" i="32"/>
  <c r="BE167" i="32"/>
  <c r="BF167" i="32"/>
  <c r="BE168" i="32"/>
  <c r="BF168" i="32"/>
  <c r="BE169" i="32"/>
  <c r="BF169" i="32"/>
  <c r="BE170" i="32"/>
  <c r="BF170" i="32"/>
  <c r="BE171" i="32"/>
  <c r="BF171" i="32"/>
  <c r="BE172" i="32"/>
  <c r="BF172" i="32"/>
  <c r="BE173" i="32"/>
  <c r="BF173" i="32"/>
  <c r="BE174" i="32"/>
  <c r="BF174" i="32"/>
  <c r="BE175" i="32"/>
  <c r="BF175" i="32"/>
  <c r="BE176" i="32"/>
  <c r="BF176" i="32"/>
  <c r="BE177" i="32"/>
  <c r="BF177" i="32"/>
  <c r="BE178" i="32"/>
  <c r="BF178" i="32"/>
  <c r="BE179" i="32"/>
  <c r="BF179" i="32"/>
  <c r="BE180" i="32"/>
  <c r="BF180" i="32"/>
  <c r="BE181" i="32"/>
  <c r="BF181" i="32"/>
  <c r="BE182" i="32"/>
  <c r="BF182" i="32"/>
  <c r="BE183" i="32"/>
  <c r="BF183" i="32"/>
  <c r="BE184" i="32"/>
  <c r="BF184" i="32"/>
  <c r="BE185" i="32"/>
  <c r="BF185" i="32"/>
  <c r="BE186" i="32"/>
  <c r="BF186" i="32"/>
  <c r="BE187" i="32"/>
  <c r="BF187" i="32"/>
  <c r="BE188" i="32"/>
  <c r="BF188" i="32"/>
  <c r="BE189" i="32"/>
  <c r="BF189" i="32"/>
  <c r="BE190" i="32"/>
  <c r="BF190" i="32"/>
  <c r="BE191" i="32"/>
  <c r="BF191" i="32"/>
  <c r="BE192" i="32"/>
  <c r="BF192" i="32"/>
  <c r="BE193" i="32"/>
  <c r="BF193" i="32"/>
  <c r="BE194" i="32"/>
  <c r="BF194" i="32"/>
  <c r="BE195" i="32"/>
  <c r="BF195" i="32"/>
  <c r="BE196" i="32"/>
  <c r="BF196" i="32"/>
  <c r="BE197" i="32"/>
  <c r="BF197" i="32"/>
  <c r="BE198" i="32"/>
  <c r="BF198" i="32"/>
  <c r="BE199" i="32"/>
  <c r="BF199" i="32"/>
  <c r="BE200" i="32"/>
  <c r="BF200" i="32"/>
  <c r="BE201" i="32"/>
  <c r="BF201" i="32"/>
  <c r="BE202" i="32"/>
  <c r="BF202" i="32"/>
  <c r="BE203" i="32"/>
  <c r="BF203" i="32"/>
  <c r="BE204" i="32"/>
  <c r="BF204" i="32"/>
  <c r="BE205" i="32"/>
  <c r="BF205" i="32"/>
  <c r="BE206" i="32"/>
  <c r="BF206" i="32"/>
  <c r="BE207" i="32"/>
  <c r="BF207" i="32"/>
  <c r="BE208" i="32"/>
  <c r="BF208" i="32"/>
  <c r="BE209" i="32"/>
  <c r="BF209" i="32"/>
  <c r="BE210" i="32"/>
  <c r="BF210" i="32"/>
  <c r="BE211" i="32"/>
  <c r="BF211" i="32"/>
  <c r="BE212" i="32"/>
  <c r="BF212" i="32"/>
  <c r="BE213" i="32"/>
  <c r="BF213" i="32"/>
  <c r="BE214" i="32"/>
  <c r="BF214" i="32"/>
  <c r="BE215" i="32"/>
  <c r="BF215" i="32"/>
  <c r="BE216" i="32"/>
  <c r="BF216" i="32"/>
  <c r="BE217" i="32"/>
  <c r="BF217" i="32"/>
  <c r="BE218" i="32"/>
  <c r="BF218" i="32"/>
  <c r="BE219" i="32"/>
  <c r="BF219" i="32"/>
  <c r="BE220" i="32"/>
  <c r="BF220" i="32"/>
  <c r="BE221" i="32"/>
  <c r="BF221" i="32"/>
  <c r="BE222" i="32"/>
  <c r="BF222" i="32"/>
  <c r="BE223" i="32"/>
  <c r="BF223" i="32"/>
  <c r="BE224" i="32"/>
  <c r="BF224" i="32"/>
  <c r="BE225" i="32"/>
  <c r="BF225" i="32"/>
  <c r="BE226" i="32"/>
  <c r="BF226" i="32"/>
  <c r="BE227" i="32"/>
  <c r="BF227" i="32"/>
  <c r="BE228" i="32"/>
  <c r="BF228" i="32"/>
  <c r="BE229" i="32"/>
  <c r="BF229" i="32"/>
  <c r="BE230" i="32"/>
  <c r="BF230" i="32"/>
  <c r="BE231" i="32"/>
  <c r="BF231" i="32"/>
  <c r="BE232" i="32"/>
  <c r="BF232" i="32"/>
  <c r="BE233" i="32"/>
  <c r="BF233" i="32"/>
  <c r="BE234" i="32"/>
  <c r="BF234" i="32"/>
  <c r="BE235" i="32"/>
  <c r="BF235" i="32"/>
  <c r="BE236" i="32"/>
  <c r="BF236" i="32"/>
  <c r="BE237" i="32"/>
  <c r="BF237" i="32"/>
  <c r="BE238" i="32"/>
  <c r="BF238" i="32"/>
  <c r="BE239" i="32"/>
  <c r="BF239" i="32"/>
  <c r="BE240" i="32"/>
  <c r="BF240" i="32"/>
  <c r="BE241" i="32"/>
  <c r="BF241" i="32"/>
  <c r="BE242" i="32"/>
  <c r="BF242" i="32"/>
  <c r="BE243" i="32"/>
  <c r="BF243" i="32"/>
  <c r="BE244" i="32"/>
  <c r="BF244" i="32"/>
  <c r="BE245" i="32"/>
  <c r="BF245" i="32"/>
  <c r="BE246" i="32"/>
  <c r="BF246" i="32"/>
  <c r="BE247" i="32"/>
  <c r="BF247" i="32"/>
  <c r="BE248" i="32"/>
  <c r="BF248" i="32"/>
  <c r="BE249" i="32"/>
  <c r="BF249" i="32"/>
  <c r="BE250" i="32"/>
  <c r="BF250" i="32"/>
  <c r="BE251" i="32"/>
  <c r="BF251" i="32"/>
  <c r="BE252" i="32"/>
  <c r="BF252" i="32"/>
  <c r="BE253" i="32"/>
  <c r="BF253" i="32"/>
  <c r="BE254" i="32"/>
  <c r="BF254" i="32"/>
  <c r="BE255" i="32"/>
  <c r="BF255" i="32"/>
  <c r="BE256" i="32"/>
  <c r="BF256" i="32"/>
  <c r="BE257" i="32"/>
  <c r="BF257" i="32"/>
  <c r="BE258" i="32"/>
  <c r="BF258" i="32"/>
  <c r="BE259" i="32"/>
  <c r="BF259" i="32"/>
  <c r="BE260" i="32"/>
  <c r="BF260" i="32"/>
  <c r="BE261" i="32"/>
  <c r="BF261" i="32"/>
  <c r="BE262" i="32"/>
  <c r="BF262" i="32"/>
  <c r="BE263" i="32"/>
  <c r="BF263" i="32"/>
  <c r="BE264" i="32"/>
  <c r="BF264" i="32"/>
  <c r="BE265" i="32"/>
  <c r="BF265" i="32"/>
  <c r="BE266" i="32"/>
  <c r="BF266" i="32"/>
  <c r="BE267" i="32"/>
  <c r="BF267" i="32"/>
  <c r="BE268" i="32"/>
  <c r="BF268" i="32"/>
  <c r="BE269" i="32"/>
  <c r="BF269" i="32"/>
  <c r="BE270" i="32"/>
  <c r="BF270" i="32"/>
  <c r="BE271" i="32"/>
  <c r="BF271" i="32"/>
  <c r="BE272" i="32"/>
  <c r="BF272" i="32"/>
  <c r="BE273" i="32"/>
  <c r="BF273" i="32"/>
  <c r="BE274" i="32"/>
  <c r="BF274" i="32"/>
  <c r="BE275" i="32"/>
  <c r="BF275" i="32"/>
  <c r="BE276" i="32"/>
  <c r="BF276" i="32"/>
  <c r="BE277" i="32"/>
  <c r="BF277" i="32"/>
  <c r="BE278" i="32"/>
  <c r="BF278" i="32"/>
  <c r="BE279" i="32"/>
  <c r="BF279" i="32"/>
  <c r="BE280" i="32"/>
  <c r="BF280" i="32"/>
  <c r="BE281" i="32"/>
  <c r="BF281" i="32"/>
  <c r="BE282" i="32"/>
  <c r="BF282" i="32"/>
  <c r="BE283" i="32"/>
  <c r="BF283" i="32"/>
  <c r="BE284" i="32"/>
  <c r="BF284" i="32"/>
  <c r="BE285" i="32"/>
  <c r="BF285" i="32"/>
  <c r="BE286" i="32"/>
  <c r="BF286" i="32"/>
  <c r="BE287" i="32"/>
  <c r="BF287" i="32"/>
  <c r="BE288" i="32"/>
  <c r="BF288" i="32"/>
  <c r="BE289" i="32"/>
  <c r="BF289" i="32"/>
  <c r="BE290" i="32"/>
  <c r="BF290" i="32"/>
  <c r="BE291" i="32"/>
  <c r="BF291" i="32"/>
  <c r="BE292" i="32"/>
  <c r="BF292" i="32"/>
  <c r="BE293" i="32"/>
  <c r="BF293" i="32"/>
  <c r="BE294" i="32"/>
  <c r="BF294" i="32"/>
  <c r="BE295" i="32"/>
  <c r="BF295" i="32"/>
  <c r="BE296" i="32"/>
  <c r="BF296" i="32"/>
  <c r="BE297" i="32"/>
  <c r="BF297" i="32"/>
  <c r="BE298" i="32"/>
  <c r="BF298" i="32"/>
  <c r="BE299" i="32"/>
  <c r="BF299" i="32"/>
  <c r="BE300" i="32"/>
  <c r="BF300" i="32"/>
  <c r="BE301" i="32"/>
  <c r="BF301" i="32"/>
  <c r="BE302" i="32"/>
  <c r="BF302" i="32"/>
  <c r="BE303" i="32"/>
  <c r="BF303" i="32"/>
  <c r="BE304" i="32"/>
  <c r="BF304" i="32"/>
  <c r="BE305" i="32"/>
  <c r="BF305" i="32"/>
  <c r="BE306" i="32"/>
  <c r="BF306" i="32"/>
  <c r="BE307" i="32"/>
  <c r="BF307" i="32"/>
  <c r="BE308" i="32"/>
  <c r="BF308" i="32"/>
  <c r="BE309" i="32"/>
  <c r="BF309" i="32"/>
  <c r="BE310" i="32"/>
  <c r="BF310" i="32"/>
  <c r="BE311" i="32"/>
  <c r="BF311" i="32"/>
  <c r="BE312" i="32"/>
  <c r="BF312" i="32"/>
  <c r="BE313" i="32"/>
  <c r="BF313" i="32"/>
  <c r="BE314" i="32"/>
  <c r="BF314" i="32"/>
  <c r="BE315" i="32"/>
  <c r="BF315" i="32"/>
  <c r="BE316" i="32"/>
  <c r="BF316" i="32"/>
  <c r="BE317" i="32"/>
  <c r="BF317" i="32"/>
  <c r="BE318" i="32"/>
  <c r="BF318" i="32"/>
  <c r="BE319" i="32"/>
  <c r="BF319" i="32"/>
  <c r="BE320" i="32"/>
  <c r="BF320" i="32"/>
  <c r="BE321" i="32"/>
  <c r="BF321" i="32"/>
  <c r="BE322" i="32"/>
  <c r="BF322" i="32"/>
  <c r="BE323" i="32"/>
  <c r="BF323" i="32"/>
  <c r="BE324" i="32"/>
  <c r="BF324" i="32"/>
  <c r="BE325" i="32"/>
  <c r="BF325" i="32"/>
  <c r="BE326" i="32"/>
  <c r="BF326" i="32"/>
  <c r="BE327" i="32"/>
  <c r="BF327" i="32"/>
  <c r="BE328" i="32"/>
  <c r="BF328" i="32"/>
  <c r="BE329" i="32"/>
  <c r="BF329" i="32"/>
  <c r="BE330" i="32"/>
  <c r="BF330" i="32"/>
  <c r="BE331" i="32"/>
  <c r="BF331" i="32"/>
  <c r="BE332" i="32"/>
  <c r="BF332" i="32"/>
  <c r="BE333" i="32"/>
  <c r="BF333" i="32"/>
  <c r="BE334" i="32"/>
  <c r="BF334" i="32"/>
  <c r="BE335" i="32"/>
  <c r="BF335" i="32"/>
  <c r="BE336" i="32"/>
  <c r="BF336" i="32"/>
  <c r="BE337" i="32"/>
  <c r="BF337" i="32"/>
  <c r="BE338" i="32"/>
  <c r="BF338" i="32"/>
  <c r="BE339" i="32"/>
  <c r="BF339" i="32"/>
  <c r="BE340" i="32"/>
  <c r="BF340" i="32"/>
  <c r="BE341" i="32"/>
  <c r="BF341" i="32"/>
  <c r="BE342" i="32"/>
  <c r="BF342" i="32"/>
  <c r="BE343" i="32"/>
  <c r="BF343" i="32"/>
  <c r="BE344" i="32"/>
  <c r="BF344" i="32"/>
  <c r="BE345" i="32"/>
  <c r="BF345" i="32"/>
  <c r="BE346" i="32"/>
  <c r="BF346" i="32"/>
  <c r="BE347" i="32"/>
  <c r="BF347" i="32"/>
  <c r="BE348" i="32"/>
  <c r="BF348" i="32"/>
  <c r="BE349" i="32"/>
  <c r="BF349" i="32"/>
  <c r="BE350" i="32"/>
  <c r="BF350" i="32"/>
  <c r="BE351" i="32"/>
  <c r="BF351" i="32"/>
  <c r="BE352" i="32"/>
  <c r="BF352" i="32"/>
  <c r="BE353" i="32"/>
  <c r="BF353" i="32"/>
  <c r="BE354" i="32"/>
  <c r="BF354" i="32"/>
  <c r="BE355" i="32"/>
  <c r="BF355" i="32"/>
  <c r="BE356" i="32"/>
  <c r="BF356" i="32"/>
  <c r="BE357" i="32"/>
  <c r="BF357" i="32"/>
  <c r="BE358" i="32"/>
  <c r="BF358" i="32"/>
  <c r="BE359" i="32"/>
  <c r="BF359" i="32"/>
  <c r="BE360" i="32"/>
  <c r="BF360" i="32"/>
  <c r="BE361" i="32"/>
  <c r="BF361" i="32"/>
  <c r="BE362" i="32"/>
  <c r="BF362" i="32"/>
  <c r="BE363" i="32"/>
  <c r="BF363" i="32"/>
  <c r="BE364" i="32"/>
  <c r="BF364" i="32"/>
  <c r="BE365" i="32"/>
  <c r="BF365" i="32"/>
  <c r="BE366" i="32"/>
  <c r="BF366" i="32"/>
  <c r="BE367" i="32"/>
  <c r="BF367" i="32"/>
  <c r="BE368" i="32"/>
  <c r="BF368" i="32"/>
  <c r="BE369" i="32"/>
  <c r="BF369" i="32"/>
  <c r="BE370" i="32"/>
  <c r="BF370" i="32"/>
  <c r="BE371" i="32"/>
  <c r="BF371" i="32"/>
  <c r="BE372" i="32"/>
  <c r="BF372" i="32"/>
  <c r="BE373" i="32"/>
  <c r="BF373" i="32"/>
  <c r="BE374" i="32"/>
  <c r="BF374" i="32"/>
  <c r="BE375" i="32"/>
  <c r="BF375" i="32"/>
  <c r="BE376" i="32"/>
  <c r="BF376" i="32"/>
  <c r="BE377" i="32"/>
  <c r="BF377" i="32"/>
  <c r="BE378" i="32"/>
  <c r="BF378" i="32"/>
  <c r="BE379" i="32"/>
  <c r="BF379" i="32"/>
  <c r="BE380" i="32"/>
  <c r="BF380" i="32"/>
  <c r="BE381" i="32"/>
  <c r="BF381" i="32"/>
  <c r="BE382" i="32"/>
  <c r="BF382" i="32"/>
  <c r="BE383" i="32"/>
  <c r="BF383" i="32"/>
  <c r="BE384" i="32"/>
  <c r="BF384" i="32"/>
  <c r="BE385" i="32"/>
  <c r="BF385" i="32"/>
  <c r="BE386" i="32"/>
  <c r="BF386" i="32"/>
  <c r="BE387" i="32"/>
  <c r="BF387" i="32"/>
  <c r="BE388" i="32"/>
  <c r="BF388" i="32"/>
  <c r="BE389" i="32"/>
  <c r="BF389" i="32"/>
  <c r="BE390" i="32"/>
  <c r="BF390" i="32"/>
  <c r="BE391" i="32"/>
  <c r="BF391" i="32"/>
  <c r="BE392" i="32"/>
  <c r="BF392" i="32"/>
  <c r="BE393" i="32"/>
  <c r="BF393" i="32"/>
  <c r="BE394" i="32"/>
  <c r="BF394" i="32"/>
  <c r="BE395" i="32"/>
  <c r="BF395" i="32"/>
  <c r="BE396" i="32"/>
  <c r="BF396" i="32"/>
  <c r="BE397" i="32"/>
  <c r="BF397" i="32"/>
  <c r="BE398" i="32"/>
  <c r="BF398" i="32"/>
  <c r="BE399" i="32"/>
  <c r="BF399" i="32"/>
  <c r="BE400" i="32"/>
  <c r="BF400" i="32"/>
  <c r="BE401" i="32"/>
  <c r="BF401" i="32"/>
  <c r="BE402" i="32"/>
  <c r="BF402" i="32"/>
  <c r="BE403" i="32"/>
  <c r="BF403" i="32"/>
  <c r="BE404" i="32"/>
  <c r="BF404" i="32"/>
  <c r="BE405" i="32"/>
  <c r="BF405" i="32"/>
  <c r="BE406" i="32"/>
  <c r="BF406" i="32"/>
  <c r="BE407" i="32"/>
  <c r="BF407" i="32"/>
  <c r="BE408" i="32"/>
  <c r="BF408" i="32"/>
  <c r="BE409" i="32"/>
  <c r="BF409" i="32"/>
  <c r="BE410" i="32"/>
  <c r="BF410" i="32"/>
  <c r="BE411" i="32"/>
  <c r="BF411" i="32"/>
  <c r="BE412" i="32"/>
  <c r="BF412" i="32"/>
  <c r="BE413" i="32"/>
  <c r="BF413" i="32"/>
  <c r="BE414" i="32"/>
  <c r="BF414" i="32"/>
  <c r="BE415" i="32"/>
  <c r="BF415" i="32"/>
  <c r="BE416" i="32"/>
  <c r="BF416" i="32"/>
  <c r="BE417" i="32"/>
  <c r="BF417" i="32"/>
  <c r="BE418" i="32"/>
  <c r="BF418" i="32"/>
  <c r="BE419" i="32"/>
  <c r="BF419" i="32"/>
  <c r="BE420" i="32"/>
  <c r="BF420" i="32"/>
  <c r="BF4" i="32"/>
  <c r="BE4" i="32"/>
  <c r="AV5" i="32"/>
  <c r="AU5" i="32"/>
  <c r="AU4" i="32"/>
  <c r="AU6" i="32"/>
  <c r="AU7" i="32"/>
  <c r="AU8" i="32"/>
  <c r="AU9" i="32"/>
  <c r="AU10" i="32"/>
  <c r="AU11" i="32"/>
  <c r="AU12" i="32"/>
  <c r="AU13" i="32"/>
  <c r="AU14" i="32"/>
  <c r="AU15" i="32"/>
  <c r="AU16" i="32"/>
  <c r="AU17" i="32"/>
  <c r="AU18" i="32"/>
  <c r="AU19" i="32"/>
  <c r="AU20" i="32"/>
  <c r="AU21" i="32"/>
  <c r="AU22" i="32"/>
  <c r="AU23" i="32"/>
  <c r="AU24" i="32"/>
  <c r="AU25" i="32"/>
  <c r="AU26" i="32"/>
  <c r="AU27" i="32"/>
  <c r="AU28" i="32"/>
  <c r="AU29" i="32"/>
  <c r="AU30" i="32"/>
  <c r="AU31" i="32"/>
  <c r="AU32" i="32"/>
  <c r="AU33" i="32"/>
  <c r="AU34" i="32"/>
  <c r="AU35" i="32"/>
  <c r="AU36" i="32"/>
  <c r="AU37" i="32"/>
  <c r="AU38" i="32"/>
  <c r="AU39" i="32"/>
  <c r="AU40" i="32"/>
  <c r="AU41" i="32"/>
  <c r="AU42" i="32"/>
  <c r="AU43" i="32"/>
  <c r="AU44" i="32"/>
  <c r="AU45" i="32"/>
  <c r="AU46" i="32"/>
  <c r="AU47" i="32"/>
  <c r="AU48" i="32"/>
  <c r="AU49" i="32"/>
  <c r="AU50" i="32"/>
  <c r="AU51" i="32"/>
  <c r="AU52" i="32"/>
  <c r="AU53" i="32"/>
  <c r="AU54" i="32"/>
  <c r="AU55" i="32"/>
  <c r="AU56" i="32"/>
  <c r="AU57" i="32"/>
  <c r="AU58" i="32"/>
  <c r="AU59" i="32"/>
  <c r="AU60" i="32"/>
  <c r="AU61" i="32"/>
  <c r="AU62" i="32"/>
  <c r="AU63" i="32"/>
  <c r="AU64" i="32"/>
  <c r="AU65" i="32"/>
  <c r="AU66" i="32"/>
  <c r="AU67" i="32"/>
  <c r="AU68" i="32"/>
  <c r="AU69" i="32"/>
  <c r="AU70" i="32"/>
  <c r="AU71" i="32"/>
  <c r="AU72" i="32"/>
  <c r="AU73" i="32"/>
  <c r="AU74" i="32"/>
  <c r="AU75" i="32"/>
  <c r="AU76" i="32"/>
  <c r="AU77" i="32"/>
  <c r="AU78" i="32"/>
  <c r="AU79" i="32"/>
  <c r="AU80" i="32"/>
  <c r="AU81" i="32"/>
  <c r="AU82" i="32"/>
  <c r="AU83" i="32"/>
  <c r="AU84" i="32"/>
  <c r="AU85" i="32"/>
  <c r="AU86" i="32"/>
  <c r="AU87" i="32"/>
  <c r="AU88" i="32"/>
  <c r="AU89" i="32"/>
  <c r="AU90" i="32"/>
  <c r="AU91" i="32"/>
  <c r="AU92" i="32"/>
  <c r="AU93" i="32"/>
  <c r="AU94" i="32"/>
  <c r="AU95" i="32"/>
  <c r="AU96" i="32"/>
  <c r="AU97" i="32"/>
  <c r="AU98" i="32"/>
  <c r="AU99" i="32"/>
  <c r="AU100" i="32"/>
  <c r="AU101" i="32"/>
  <c r="AU102" i="32"/>
  <c r="AU103" i="32"/>
  <c r="AU104" i="32"/>
  <c r="AU105" i="32"/>
  <c r="AU106" i="32"/>
  <c r="AU107" i="32"/>
  <c r="AU108" i="32"/>
  <c r="AU109" i="32"/>
  <c r="AU110" i="32"/>
  <c r="AU111" i="32"/>
  <c r="AU112" i="32"/>
  <c r="AU113" i="32"/>
  <c r="AU114" i="32"/>
  <c r="AU115" i="32"/>
  <c r="AU116" i="32"/>
  <c r="AU117" i="32"/>
  <c r="AU118" i="32"/>
  <c r="AU119" i="32"/>
  <c r="AU120" i="32"/>
  <c r="AU121" i="32"/>
  <c r="AU122" i="32"/>
  <c r="AU123" i="32"/>
  <c r="AU124" i="32"/>
  <c r="AU125" i="32"/>
  <c r="AU126" i="32"/>
  <c r="AU127" i="32"/>
  <c r="AU128" i="32"/>
  <c r="AU129" i="32"/>
  <c r="AU130" i="32"/>
  <c r="AU131" i="32"/>
  <c r="AU132" i="32"/>
  <c r="AU133" i="32"/>
  <c r="AU134" i="32"/>
  <c r="AU135" i="32"/>
  <c r="AU136" i="32"/>
  <c r="AU137" i="32"/>
  <c r="AU138" i="32"/>
  <c r="AU139" i="32"/>
  <c r="AU140" i="32"/>
  <c r="AU141" i="32"/>
  <c r="AU142" i="32"/>
  <c r="AU143" i="32"/>
  <c r="AU144" i="32"/>
  <c r="AU145" i="32"/>
  <c r="AU146" i="32"/>
  <c r="AU147" i="32"/>
  <c r="AU148" i="32"/>
  <c r="AU149" i="32"/>
  <c r="AU150" i="32"/>
  <c r="AU151" i="32"/>
  <c r="AU152" i="32"/>
  <c r="AU153" i="32"/>
  <c r="AU154" i="32"/>
  <c r="AU155" i="32"/>
  <c r="AU156" i="32"/>
  <c r="AU157" i="32"/>
  <c r="AU158" i="32"/>
  <c r="AU159" i="32"/>
  <c r="AU160" i="32"/>
  <c r="AU161" i="32"/>
  <c r="AU162" i="32"/>
  <c r="AU163" i="32"/>
  <c r="AU164" i="32"/>
  <c r="AU165" i="32"/>
  <c r="AU166" i="32"/>
  <c r="AU167" i="32"/>
  <c r="AU168" i="32"/>
  <c r="AU169" i="32"/>
  <c r="AU170" i="32"/>
  <c r="AU171" i="32"/>
  <c r="AU172" i="32"/>
  <c r="AU173" i="32"/>
  <c r="AU174" i="32"/>
  <c r="AU175" i="32"/>
  <c r="AU176" i="32"/>
  <c r="AU177" i="32"/>
  <c r="AU178" i="32"/>
  <c r="AU179" i="32"/>
  <c r="AU180" i="32"/>
  <c r="AU181" i="32"/>
  <c r="AU182" i="32"/>
  <c r="AU183" i="32"/>
  <c r="AU184" i="32"/>
  <c r="AU185" i="32"/>
  <c r="AU186" i="32"/>
  <c r="AU187" i="32"/>
  <c r="AU188" i="32"/>
  <c r="AU189" i="32"/>
  <c r="AU190" i="32"/>
  <c r="AU191" i="32"/>
  <c r="AU192" i="32"/>
  <c r="AU193" i="32"/>
  <c r="AU194" i="32"/>
  <c r="AU195" i="32"/>
  <c r="AU196" i="32"/>
  <c r="AU197" i="32"/>
  <c r="AU198" i="32"/>
  <c r="AU199" i="32"/>
  <c r="AU200" i="32"/>
  <c r="AU201" i="32"/>
  <c r="AU202" i="32"/>
  <c r="AU203" i="32"/>
  <c r="AU204" i="32"/>
  <c r="AU205" i="32"/>
  <c r="AU206" i="32"/>
  <c r="AU207" i="32"/>
  <c r="AU208" i="32"/>
  <c r="AU209" i="32"/>
  <c r="AU210" i="32"/>
  <c r="AU211" i="32"/>
  <c r="AU212" i="32"/>
  <c r="AU213" i="32"/>
  <c r="AU214" i="32"/>
  <c r="AU215" i="32"/>
  <c r="AU216" i="32"/>
  <c r="AU217" i="32"/>
  <c r="AU218" i="32"/>
  <c r="AU219" i="32"/>
  <c r="AU220" i="32"/>
  <c r="AU221" i="32"/>
  <c r="AU222" i="32"/>
  <c r="AU223" i="32"/>
  <c r="AU224" i="32"/>
  <c r="AU225" i="32"/>
  <c r="AU226" i="32"/>
  <c r="AU227" i="32"/>
  <c r="AU228" i="32"/>
  <c r="AU229" i="32"/>
  <c r="AU230" i="32"/>
  <c r="AU231" i="32"/>
  <c r="AU232" i="32"/>
  <c r="AU233" i="32"/>
  <c r="AU234" i="32"/>
  <c r="AU235" i="32"/>
  <c r="AU236" i="32"/>
  <c r="AU237" i="32"/>
  <c r="AU238" i="32"/>
  <c r="AU239" i="32"/>
  <c r="AU240" i="32"/>
  <c r="AU241" i="32"/>
  <c r="AU242" i="32"/>
  <c r="AU243" i="32"/>
  <c r="AU244" i="32"/>
  <c r="AU245" i="32"/>
  <c r="AU246" i="32"/>
  <c r="AU247" i="32"/>
  <c r="AU248" i="32"/>
  <c r="AU249" i="32"/>
  <c r="AU250" i="32"/>
  <c r="AU251" i="32"/>
  <c r="AU252" i="32"/>
  <c r="AU253" i="32"/>
  <c r="AU254" i="32"/>
  <c r="AU255" i="32"/>
  <c r="AU256" i="32"/>
  <c r="AU257" i="32"/>
  <c r="AU258" i="32"/>
  <c r="AU259" i="32"/>
  <c r="AU260" i="32"/>
  <c r="AU261" i="32"/>
  <c r="AU262" i="32"/>
  <c r="AU263" i="32"/>
  <c r="AU264" i="32"/>
  <c r="AU265" i="32"/>
  <c r="AU266" i="32"/>
  <c r="AU267" i="32"/>
  <c r="AU268" i="32"/>
  <c r="AU269" i="32"/>
  <c r="AU270" i="32"/>
  <c r="AU271" i="32"/>
  <c r="AU272" i="32"/>
  <c r="AU273" i="32"/>
  <c r="AU274" i="32"/>
  <c r="AU275" i="32"/>
  <c r="AU276" i="32"/>
  <c r="AU277" i="32"/>
  <c r="AU278" i="32"/>
  <c r="AU279" i="32"/>
  <c r="AU280" i="32"/>
  <c r="AU281" i="32"/>
  <c r="AU282" i="32"/>
  <c r="AU283" i="32"/>
  <c r="AU284" i="32"/>
  <c r="AU285" i="32"/>
  <c r="AU286" i="32"/>
  <c r="AU287" i="32"/>
  <c r="AU288" i="32"/>
  <c r="AU289" i="32"/>
  <c r="AU290" i="32"/>
  <c r="AU291" i="32"/>
  <c r="AU292" i="32"/>
  <c r="AU293" i="32"/>
  <c r="AU294" i="32"/>
  <c r="AU295" i="32"/>
  <c r="AU296" i="32"/>
  <c r="AU297" i="32"/>
  <c r="AU298" i="32"/>
  <c r="AU299" i="32"/>
  <c r="AU300" i="32"/>
  <c r="AU301" i="32"/>
  <c r="AU302" i="32"/>
  <c r="AU303" i="32"/>
  <c r="AU304" i="32"/>
  <c r="AU305" i="32"/>
  <c r="AU306" i="32"/>
  <c r="AU307" i="32"/>
  <c r="AU308" i="32"/>
  <c r="AU309" i="32"/>
  <c r="AU310" i="32"/>
  <c r="AU311" i="32"/>
  <c r="AU312" i="32"/>
  <c r="AU313" i="32"/>
  <c r="AU314" i="32"/>
  <c r="AU315" i="32"/>
  <c r="AU316" i="32"/>
  <c r="AU317" i="32"/>
  <c r="AU318" i="32"/>
  <c r="AU319" i="32"/>
  <c r="AU320" i="32"/>
  <c r="AU321" i="32"/>
  <c r="AU322" i="32"/>
  <c r="AU323" i="32"/>
  <c r="AU324" i="32"/>
  <c r="AU325" i="32"/>
  <c r="AU326" i="32"/>
  <c r="AU327" i="32"/>
  <c r="AU328" i="32"/>
  <c r="AU329" i="32"/>
  <c r="AU330" i="32"/>
  <c r="AU331" i="32"/>
  <c r="AU332" i="32"/>
  <c r="AU333" i="32"/>
  <c r="AU334" i="32"/>
  <c r="AU335" i="32"/>
  <c r="AU336" i="32"/>
  <c r="AU337" i="32"/>
  <c r="AU338" i="32"/>
  <c r="AU339" i="32"/>
  <c r="AU340" i="32"/>
  <c r="AU341" i="32"/>
  <c r="AU342" i="32"/>
  <c r="AU343" i="32"/>
  <c r="AU344" i="32"/>
  <c r="AW5" i="32"/>
  <c r="AV6" i="32"/>
  <c r="AW6" i="32"/>
  <c r="AV7" i="32"/>
  <c r="AW7" i="32"/>
  <c r="AV8" i="32"/>
  <c r="AW8" i="32"/>
  <c r="AV9" i="32"/>
  <c r="AW9" i="32"/>
  <c r="AV10" i="32"/>
  <c r="AW10" i="32"/>
  <c r="AV11" i="32"/>
  <c r="AW11" i="32"/>
  <c r="AV12" i="32"/>
  <c r="AW12" i="32"/>
  <c r="AV13" i="32"/>
  <c r="AW13" i="32"/>
  <c r="AV14" i="32"/>
  <c r="AW14" i="32"/>
  <c r="AV15" i="32"/>
  <c r="AW15" i="32"/>
  <c r="AV16" i="32"/>
  <c r="AW16" i="32"/>
  <c r="AV17" i="32"/>
  <c r="AW17" i="32"/>
  <c r="AV18" i="32"/>
  <c r="AW18" i="32"/>
  <c r="AV19" i="32"/>
  <c r="AW19" i="32"/>
  <c r="AV20" i="32"/>
  <c r="AW20" i="32"/>
  <c r="AV21" i="32"/>
  <c r="AW21" i="32"/>
  <c r="AV22" i="32"/>
  <c r="AW22" i="32"/>
  <c r="AV23" i="32"/>
  <c r="AW23" i="32"/>
  <c r="AV24" i="32"/>
  <c r="AW24" i="32"/>
  <c r="AV25" i="32"/>
  <c r="AW25" i="32"/>
  <c r="AV26" i="32"/>
  <c r="AW26" i="32"/>
  <c r="AV27" i="32"/>
  <c r="AW27" i="32"/>
  <c r="AV28" i="32"/>
  <c r="AW28" i="32"/>
  <c r="AV29" i="32"/>
  <c r="AW29" i="32"/>
  <c r="AV30" i="32"/>
  <c r="AW30" i="32"/>
  <c r="AV31" i="32"/>
  <c r="AW31" i="32"/>
  <c r="AV32" i="32"/>
  <c r="AW32" i="32"/>
  <c r="AV33" i="32"/>
  <c r="AW33" i="32"/>
  <c r="AV34" i="32"/>
  <c r="AW34" i="32"/>
  <c r="AV35" i="32"/>
  <c r="AW35" i="32"/>
  <c r="AV36" i="32"/>
  <c r="AW36" i="32"/>
  <c r="AV37" i="32"/>
  <c r="AW37" i="32"/>
  <c r="AV38" i="32"/>
  <c r="AW38" i="32"/>
  <c r="AV39" i="32"/>
  <c r="AW39" i="32"/>
  <c r="AV40" i="32"/>
  <c r="AW40" i="32"/>
  <c r="AV41" i="32"/>
  <c r="AW41" i="32"/>
  <c r="AV42" i="32"/>
  <c r="AW42" i="32"/>
  <c r="AV43" i="32"/>
  <c r="AW43" i="32"/>
  <c r="AV44" i="32"/>
  <c r="AW44" i="32"/>
  <c r="AV45" i="32"/>
  <c r="AW45" i="32"/>
  <c r="AV46" i="32"/>
  <c r="AW46" i="32"/>
  <c r="AV47" i="32"/>
  <c r="AW47" i="32"/>
  <c r="AV48" i="32"/>
  <c r="AW48" i="32"/>
  <c r="AV49" i="32"/>
  <c r="AW49" i="32"/>
  <c r="AV50" i="32"/>
  <c r="AW50" i="32"/>
  <c r="AV51" i="32"/>
  <c r="AW51" i="32"/>
  <c r="AV52" i="32"/>
  <c r="AW52" i="32"/>
  <c r="AV53" i="32"/>
  <c r="AW53" i="32"/>
  <c r="AV54" i="32"/>
  <c r="AW54" i="32"/>
  <c r="AV55" i="32"/>
  <c r="AW55" i="32"/>
  <c r="AV56" i="32"/>
  <c r="AW56" i="32"/>
  <c r="AV57" i="32"/>
  <c r="AW57" i="32"/>
  <c r="AV58" i="32"/>
  <c r="AW58" i="32"/>
  <c r="AV59" i="32"/>
  <c r="AW59" i="32"/>
  <c r="AV60" i="32"/>
  <c r="AW60" i="32"/>
  <c r="AV61" i="32"/>
  <c r="AW61" i="32"/>
  <c r="AV62" i="32"/>
  <c r="AW62" i="32"/>
  <c r="AV63" i="32"/>
  <c r="AW63" i="32"/>
  <c r="AV64" i="32"/>
  <c r="AW64" i="32"/>
  <c r="AV65" i="32"/>
  <c r="AW65" i="32"/>
  <c r="AV66" i="32"/>
  <c r="AW66" i="32"/>
  <c r="AV67" i="32"/>
  <c r="AW67" i="32"/>
  <c r="AV68" i="32"/>
  <c r="AW68" i="32"/>
  <c r="AV69" i="32"/>
  <c r="AW69" i="32"/>
  <c r="AV70" i="32"/>
  <c r="AW70" i="32"/>
  <c r="AV71" i="32"/>
  <c r="AW71" i="32"/>
  <c r="AV72" i="32"/>
  <c r="AW72" i="32"/>
  <c r="AV73" i="32"/>
  <c r="AW73" i="32"/>
  <c r="AV74" i="32"/>
  <c r="AW74" i="32"/>
  <c r="AV75" i="32"/>
  <c r="AW75" i="32"/>
  <c r="AV76" i="32"/>
  <c r="AW76" i="32"/>
  <c r="AV77" i="32"/>
  <c r="AW77" i="32"/>
  <c r="AV78" i="32"/>
  <c r="AW78" i="32"/>
  <c r="AV79" i="32"/>
  <c r="AW79" i="32"/>
  <c r="AV80" i="32"/>
  <c r="AW80" i="32"/>
  <c r="AV81" i="32"/>
  <c r="AW81" i="32"/>
  <c r="AV82" i="32"/>
  <c r="AW82" i="32"/>
  <c r="AV83" i="32"/>
  <c r="AW83" i="32"/>
  <c r="AV84" i="32"/>
  <c r="AW84" i="32"/>
  <c r="AV85" i="32"/>
  <c r="AW85" i="32"/>
  <c r="AV86" i="32"/>
  <c r="AW86" i="32"/>
  <c r="AV87" i="32"/>
  <c r="AW87" i="32"/>
  <c r="AV88" i="32"/>
  <c r="AW88" i="32"/>
  <c r="AV89" i="32"/>
  <c r="AW89" i="32"/>
  <c r="AV90" i="32"/>
  <c r="AW90" i="32"/>
  <c r="AV91" i="32"/>
  <c r="AW91" i="32"/>
  <c r="AV92" i="32"/>
  <c r="AW92" i="32"/>
  <c r="AV93" i="32"/>
  <c r="AW93" i="32"/>
  <c r="AV94" i="32"/>
  <c r="AW94" i="32"/>
  <c r="AV95" i="32"/>
  <c r="AW95" i="32"/>
  <c r="AV96" i="32"/>
  <c r="AW96" i="32"/>
  <c r="AV97" i="32"/>
  <c r="AW97" i="32"/>
  <c r="AV98" i="32"/>
  <c r="AW98" i="32"/>
  <c r="AV99" i="32"/>
  <c r="AW99" i="32"/>
  <c r="AV100" i="32"/>
  <c r="AW100" i="32"/>
  <c r="AV101" i="32"/>
  <c r="AW101" i="32"/>
  <c r="AV102" i="32"/>
  <c r="AW102" i="32"/>
  <c r="AV103" i="32"/>
  <c r="AW103" i="32"/>
  <c r="AV104" i="32"/>
  <c r="AW104" i="32"/>
  <c r="AV105" i="32"/>
  <c r="AW105" i="32"/>
  <c r="AV106" i="32"/>
  <c r="AW106" i="32"/>
  <c r="AV107" i="32"/>
  <c r="AW107" i="32"/>
  <c r="AV108" i="32"/>
  <c r="AW108" i="32"/>
  <c r="AV109" i="32"/>
  <c r="AW109" i="32"/>
  <c r="AV110" i="32"/>
  <c r="AW110" i="32"/>
  <c r="AV111" i="32"/>
  <c r="AW111" i="32"/>
  <c r="AV112" i="32"/>
  <c r="AW112" i="32"/>
  <c r="AV113" i="32"/>
  <c r="AW113" i="32"/>
  <c r="AV114" i="32"/>
  <c r="AW114" i="32"/>
  <c r="AV115" i="32"/>
  <c r="AW115" i="32"/>
  <c r="AV116" i="32"/>
  <c r="AW116" i="32"/>
  <c r="AV117" i="32"/>
  <c r="AW117" i="32"/>
  <c r="AV118" i="32"/>
  <c r="AW118" i="32"/>
  <c r="AV119" i="32"/>
  <c r="AW119" i="32"/>
  <c r="AV120" i="32"/>
  <c r="AW120" i="32"/>
  <c r="AV121" i="32"/>
  <c r="AW121" i="32"/>
  <c r="AV122" i="32"/>
  <c r="AW122" i="32"/>
  <c r="AV123" i="32"/>
  <c r="AW123" i="32"/>
  <c r="AV124" i="32"/>
  <c r="AW124" i="32"/>
  <c r="AV125" i="32"/>
  <c r="AW125" i="32"/>
  <c r="AV126" i="32"/>
  <c r="AW126" i="32"/>
  <c r="AV127" i="32"/>
  <c r="AW127" i="32"/>
  <c r="AV128" i="32"/>
  <c r="AW128" i="32"/>
  <c r="AV129" i="32"/>
  <c r="AW129" i="32"/>
  <c r="AV130" i="32"/>
  <c r="AW130" i="32"/>
  <c r="AV131" i="32"/>
  <c r="AW131" i="32"/>
  <c r="AV132" i="32"/>
  <c r="AW132" i="32"/>
  <c r="AV133" i="32"/>
  <c r="AW133" i="32"/>
  <c r="AV134" i="32"/>
  <c r="AW134" i="32"/>
  <c r="AV135" i="32"/>
  <c r="AW135" i="32"/>
  <c r="AV136" i="32"/>
  <c r="AW136" i="32"/>
  <c r="AV137" i="32"/>
  <c r="AW137" i="32"/>
  <c r="AV138" i="32"/>
  <c r="AW138" i="32"/>
  <c r="AV139" i="32"/>
  <c r="AW139" i="32"/>
  <c r="AV140" i="32"/>
  <c r="AW140" i="32"/>
  <c r="AV141" i="32"/>
  <c r="AW141" i="32"/>
  <c r="AV142" i="32"/>
  <c r="AW142" i="32"/>
  <c r="AV143" i="32"/>
  <c r="AW143" i="32"/>
  <c r="AV144" i="32"/>
  <c r="AW144" i="32"/>
  <c r="AV145" i="32"/>
  <c r="AW145" i="32"/>
  <c r="AV146" i="32"/>
  <c r="AW146" i="32"/>
  <c r="AV147" i="32"/>
  <c r="AW147" i="32"/>
  <c r="AV148" i="32"/>
  <c r="AW148" i="32"/>
  <c r="AV149" i="32"/>
  <c r="AW149" i="32"/>
  <c r="AV150" i="32"/>
  <c r="AW150" i="32"/>
  <c r="AV151" i="32"/>
  <c r="AW151" i="32"/>
  <c r="AV152" i="32"/>
  <c r="AW152" i="32"/>
  <c r="AV153" i="32"/>
  <c r="AW153" i="32"/>
  <c r="AV154" i="32"/>
  <c r="AW154" i="32"/>
  <c r="AV155" i="32"/>
  <c r="AW155" i="32"/>
  <c r="AV156" i="32"/>
  <c r="AW156" i="32"/>
  <c r="AV157" i="32"/>
  <c r="AW157" i="32"/>
  <c r="AV158" i="32"/>
  <c r="AW158" i="32"/>
  <c r="AV159" i="32"/>
  <c r="AW159" i="32"/>
  <c r="AV160" i="32"/>
  <c r="AW160" i="32"/>
  <c r="AV161" i="32"/>
  <c r="AW161" i="32"/>
  <c r="AV162" i="32"/>
  <c r="AW162" i="32"/>
  <c r="AV163" i="32"/>
  <c r="AW163" i="32"/>
  <c r="AV164" i="32"/>
  <c r="AW164" i="32"/>
  <c r="AV165" i="32"/>
  <c r="AW165" i="32"/>
  <c r="AV166" i="32"/>
  <c r="AW166" i="32"/>
  <c r="AV167" i="32"/>
  <c r="AW167" i="32"/>
  <c r="AV168" i="32"/>
  <c r="AW168" i="32"/>
  <c r="AV169" i="32"/>
  <c r="AW169" i="32"/>
  <c r="AV170" i="32"/>
  <c r="AW170" i="32"/>
  <c r="AV171" i="32"/>
  <c r="AW171" i="32"/>
  <c r="AV172" i="32"/>
  <c r="AW172" i="32"/>
  <c r="AV173" i="32"/>
  <c r="AW173" i="32"/>
  <c r="AV174" i="32"/>
  <c r="AW174" i="32"/>
  <c r="AV175" i="32"/>
  <c r="AW175" i="32"/>
  <c r="AV176" i="32"/>
  <c r="AW176" i="32"/>
  <c r="AV177" i="32"/>
  <c r="AW177" i="32"/>
  <c r="AV178" i="32"/>
  <c r="AW178" i="32"/>
  <c r="AV179" i="32"/>
  <c r="AW179" i="32"/>
  <c r="AV180" i="32"/>
  <c r="AW180" i="32"/>
  <c r="AV181" i="32"/>
  <c r="AW181" i="32"/>
  <c r="AV182" i="32"/>
  <c r="AW182" i="32"/>
  <c r="AV183" i="32"/>
  <c r="AW183" i="32"/>
  <c r="AV184" i="32"/>
  <c r="AW184" i="32"/>
  <c r="AV185" i="32"/>
  <c r="AW185" i="32"/>
  <c r="AV186" i="32"/>
  <c r="AW186" i="32"/>
  <c r="AV187" i="32"/>
  <c r="AW187" i="32"/>
  <c r="AV188" i="32"/>
  <c r="AW188" i="32"/>
  <c r="AV189" i="32"/>
  <c r="AW189" i="32"/>
  <c r="AV190" i="32"/>
  <c r="AW190" i="32"/>
  <c r="AV191" i="32"/>
  <c r="AW191" i="32"/>
  <c r="AV192" i="32"/>
  <c r="AW192" i="32"/>
  <c r="AV193" i="32"/>
  <c r="AW193" i="32"/>
  <c r="AV194" i="32"/>
  <c r="AW194" i="32"/>
  <c r="AV195" i="32"/>
  <c r="AW195" i="32"/>
  <c r="AV196" i="32"/>
  <c r="AW196" i="32"/>
  <c r="AV197" i="32"/>
  <c r="AW197" i="32"/>
  <c r="AV198" i="32"/>
  <c r="AW198" i="32"/>
  <c r="AV199" i="32"/>
  <c r="AW199" i="32"/>
  <c r="AV200" i="32"/>
  <c r="AW200" i="32"/>
  <c r="AV201" i="32"/>
  <c r="AW201" i="32"/>
  <c r="AV202" i="32"/>
  <c r="AW202" i="32"/>
  <c r="AV203" i="32"/>
  <c r="AW203" i="32"/>
  <c r="AV204" i="32"/>
  <c r="AW204" i="32"/>
  <c r="AV205" i="32"/>
  <c r="AW205" i="32"/>
  <c r="AV206" i="32"/>
  <c r="AW206" i="32"/>
  <c r="AV207" i="32"/>
  <c r="AW207" i="32"/>
  <c r="AV208" i="32"/>
  <c r="AW208" i="32"/>
  <c r="AV209" i="32"/>
  <c r="AW209" i="32"/>
  <c r="AV210" i="32"/>
  <c r="AW210" i="32"/>
  <c r="AV211" i="32"/>
  <c r="AW211" i="32"/>
  <c r="AV212" i="32"/>
  <c r="AW212" i="32"/>
  <c r="AV213" i="32"/>
  <c r="AW213" i="32"/>
  <c r="AV214" i="32"/>
  <c r="AW214" i="32"/>
  <c r="AV215" i="32"/>
  <c r="AW215" i="32"/>
  <c r="AV216" i="32"/>
  <c r="AW216" i="32"/>
  <c r="AV217" i="32"/>
  <c r="AW217" i="32"/>
  <c r="AV218" i="32"/>
  <c r="AW218" i="32"/>
  <c r="AV219" i="32"/>
  <c r="AW219" i="32"/>
  <c r="AV220" i="32"/>
  <c r="AW220" i="32"/>
  <c r="AV221" i="32"/>
  <c r="AW221" i="32"/>
  <c r="AV222" i="32"/>
  <c r="AW222" i="32"/>
  <c r="AV223" i="32"/>
  <c r="AW223" i="32"/>
  <c r="AV224" i="32"/>
  <c r="AW224" i="32"/>
  <c r="AV225" i="32"/>
  <c r="AW225" i="32"/>
  <c r="AV226" i="32"/>
  <c r="AW226" i="32"/>
  <c r="AV227" i="32"/>
  <c r="AW227" i="32"/>
  <c r="AV228" i="32"/>
  <c r="AW228" i="32"/>
  <c r="AV229" i="32"/>
  <c r="AW229" i="32"/>
  <c r="AV230" i="32"/>
  <c r="AW230" i="32"/>
  <c r="AV231" i="32"/>
  <c r="AW231" i="32"/>
  <c r="AV232" i="32"/>
  <c r="AW232" i="32"/>
  <c r="AV233" i="32"/>
  <c r="AW233" i="32"/>
  <c r="AV234" i="32"/>
  <c r="AW234" i="32"/>
  <c r="AV235" i="32"/>
  <c r="AW235" i="32"/>
  <c r="AV236" i="32"/>
  <c r="AW236" i="32"/>
  <c r="AV237" i="32"/>
  <c r="AW237" i="32"/>
  <c r="AV238" i="32"/>
  <c r="AW238" i="32"/>
  <c r="AV239" i="32"/>
  <c r="AW239" i="32"/>
  <c r="AV240" i="32"/>
  <c r="AW240" i="32"/>
  <c r="AV241" i="32"/>
  <c r="AW241" i="32"/>
  <c r="AV242" i="32"/>
  <c r="AW242" i="32"/>
  <c r="AV243" i="32"/>
  <c r="AW243" i="32"/>
  <c r="AV244" i="32"/>
  <c r="AW244" i="32"/>
  <c r="AV245" i="32"/>
  <c r="AW245" i="32"/>
  <c r="AV246" i="32"/>
  <c r="AW246" i="32"/>
  <c r="AV247" i="32"/>
  <c r="AW247" i="32"/>
  <c r="AV248" i="32"/>
  <c r="AW248" i="32"/>
  <c r="AV249" i="32"/>
  <c r="AW249" i="32"/>
  <c r="AV250" i="32"/>
  <c r="AW250" i="32"/>
  <c r="AV251" i="32"/>
  <c r="AW251" i="32"/>
  <c r="AV252" i="32"/>
  <c r="AW252" i="32"/>
  <c r="AV253" i="32"/>
  <c r="AW253" i="32"/>
  <c r="AV254" i="32"/>
  <c r="AW254" i="32"/>
  <c r="AV255" i="32"/>
  <c r="AW255" i="32"/>
  <c r="AV256" i="32"/>
  <c r="AW256" i="32"/>
  <c r="AV257" i="32"/>
  <c r="AW257" i="32"/>
  <c r="AV258" i="32"/>
  <c r="AW258" i="32"/>
  <c r="AV259" i="32"/>
  <c r="AW259" i="32"/>
  <c r="AV260" i="32"/>
  <c r="AW260" i="32"/>
  <c r="AV261" i="32"/>
  <c r="AW261" i="32"/>
  <c r="AV262" i="32"/>
  <c r="AW262" i="32"/>
  <c r="AV263" i="32"/>
  <c r="AW263" i="32"/>
  <c r="AV264" i="32"/>
  <c r="AW264" i="32"/>
  <c r="AV265" i="32"/>
  <c r="AW265" i="32"/>
  <c r="AV266" i="32"/>
  <c r="AW266" i="32"/>
  <c r="AV267" i="32"/>
  <c r="AW267" i="32"/>
  <c r="AV268" i="32"/>
  <c r="AW268" i="32"/>
  <c r="AV269" i="32"/>
  <c r="AW269" i="32"/>
  <c r="AV270" i="32"/>
  <c r="AW270" i="32"/>
  <c r="AV271" i="32"/>
  <c r="AW271" i="32"/>
  <c r="AV272" i="32"/>
  <c r="AW272" i="32"/>
  <c r="AV273" i="32"/>
  <c r="AW273" i="32"/>
  <c r="AV274" i="32"/>
  <c r="AW274" i="32"/>
  <c r="AV275" i="32"/>
  <c r="AW275" i="32"/>
  <c r="AV276" i="32"/>
  <c r="AW276" i="32"/>
  <c r="AV277" i="32"/>
  <c r="AW277" i="32"/>
  <c r="AV278" i="32"/>
  <c r="AW278" i="32"/>
  <c r="AV279" i="32"/>
  <c r="AW279" i="32"/>
  <c r="AV280" i="32"/>
  <c r="AW280" i="32"/>
  <c r="AV281" i="32"/>
  <c r="AW281" i="32"/>
  <c r="AV282" i="32"/>
  <c r="AW282" i="32"/>
  <c r="AV283" i="32"/>
  <c r="AW283" i="32"/>
  <c r="AV284" i="32"/>
  <c r="AW284" i="32"/>
  <c r="AV285" i="32"/>
  <c r="AW285" i="32"/>
  <c r="AV286" i="32"/>
  <c r="AW286" i="32"/>
  <c r="AV287" i="32"/>
  <c r="AW287" i="32"/>
  <c r="AV288" i="32"/>
  <c r="AW288" i="32"/>
  <c r="AV289" i="32"/>
  <c r="AW289" i="32"/>
  <c r="AV290" i="32"/>
  <c r="AW290" i="32"/>
  <c r="AV291" i="32"/>
  <c r="AW291" i="32"/>
  <c r="AV292" i="32"/>
  <c r="AW292" i="32"/>
  <c r="AV293" i="32"/>
  <c r="AW293" i="32"/>
  <c r="AV294" i="32"/>
  <c r="AW294" i="32"/>
  <c r="AV295" i="32"/>
  <c r="AW295" i="32"/>
  <c r="AV296" i="32"/>
  <c r="AW296" i="32"/>
  <c r="AV297" i="32"/>
  <c r="AW297" i="32"/>
  <c r="AV298" i="32"/>
  <c r="AW298" i="32"/>
  <c r="AV299" i="32"/>
  <c r="AW299" i="32"/>
  <c r="AV300" i="32"/>
  <c r="AW300" i="32"/>
  <c r="AV301" i="32"/>
  <c r="AW301" i="32"/>
  <c r="AV302" i="32"/>
  <c r="AW302" i="32"/>
  <c r="AV303" i="32"/>
  <c r="AW303" i="32"/>
  <c r="AV304" i="32"/>
  <c r="AW304" i="32"/>
  <c r="AV305" i="32"/>
  <c r="AW305" i="32"/>
  <c r="AV306" i="32"/>
  <c r="AW306" i="32"/>
  <c r="AV307" i="32"/>
  <c r="AW307" i="32"/>
  <c r="AV308" i="32"/>
  <c r="AW308" i="32"/>
  <c r="AV309" i="32"/>
  <c r="AW309" i="32"/>
  <c r="AV310" i="32"/>
  <c r="AW310" i="32"/>
  <c r="AV311" i="32"/>
  <c r="AW311" i="32"/>
  <c r="AV312" i="32"/>
  <c r="AW312" i="32"/>
  <c r="AV313" i="32"/>
  <c r="AW313" i="32"/>
  <c r="AV314" i="32"/>
  <c r="AW314" i="32"/>
  <c r="AV315" i="32"/>
  <c r="AW315" i="32"/>
  <c r="AV316" i="32"/>
  <c r="AW316" i="32"/>
  <c r="AV317" i="32"/>
  <c r="AW317" i="32"/>
  <c r="AV318" i="32"/>
  <c r="AW318" i="32"/>
  <c r="AV319" i="32"/>
  <c r="AW319" i="32"/>
  <c r="AV320" i="32"/>
  <c r="AW320" i="32"/>
  <c r="AV321" i="32"/>
  <c r="AW321" i="32"/>
  <c r="AV322" i="32"/>
  <c r="AW322" i="32"/>
  <c r="AV323" i="32"/>
  <c r="AW323" i="32"/>
  <c r="AV324" i="32"/>
  <c r="AW324" i="32"/>
  <c r="AV325" i="32"/>
  <c r="AW325" i="32"/>
  <c r="AV326" i="32"/>
  <c r="AW326" i="32"/>
  <c r="AV327" i="32"/>
  <c r="AW327" i="32"/>
  <c r="AV328" i="32"/>
  <c r="AW328" i="32"/>
  <c r="AV329" i="32"/>
  <c r="AW329" i="32"/>
  <c r="AV330" i="32"/>
  <c r="AW330" i="32"/>
  <c r="AV331" i="32"/>
  <c r="AW331" i="32"/>
  <c r="AV332" i="32"/>
  <c r="AW332" i="32"/>
  <c r="AV333" i="32"/>
  <c r="AW333" i="32"/>
  <c r="AV334" i="32"/>
  <c r="AW334" i="32"/>
  <c r="AV335" i="32"/>
  <c r="AW335" i="32"/>
  <c r="AV336" i="32"/>
  <c r="AW336" i="32"/>
  <c r="AV337" i="32"/>
  <c r="AW337" i="32"/>
  <c r="AV338" i="32"/>
  <c r="AW338" i="32"/>
  <c r="AV339" i="32"/>
  <c r="AW339" i="32"/>
  <c r="AV340" i="32"/>
  <c r="AW340" i="32"/>
  <c r="AV341" i="32"/>
  <c r="AW341" i="32"/>
  <c r="AV342" i="32"/>
  <c r="AW342" i="32"/>
  <c r="AV343" i="32"/>
  <c r="AW343" i="32"/>
  <c r="AV344" i="32"/>
  <c r="AW344" i="32"/>
  <c r="AW4" i="32"/>
  <c r="AV4" i="32"/>
  <c r="C5" i="32"/>
  <c r="C4"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E650" i="32"/>
  <c r="E651" i="32"/>
  <c r="E652" i="32"/>
  <c r="E653" i="32"/>
  <c r="E654" i="32"/>
  <c r="E655" i="32"/>
  <c r="E656" i="32"/>
  <c r="E657" i="32"/>
  <c r="E658" i="32"/>
  <c r="E659" i="32"/>
  <c r="E660" i="32"/>
  <c r="E661" i="32"/>
  <c r="E662" i="32"/>
  <c r="E4" i="32"/>
  <c r="AN15" i="32"/>
  <c r="AO15" i="32"/>
  <c r="AN82" i="32"/>
  <c r="AN142" i="32"/>
  <c r="AN5" i="32"/>
  <c r="AN4" i="32"/>
  <c r="AN6" i="32"/>
  <c r="AN7" i="32"/>
  <c r="AN8" i="32"/>
  <c r="AN9" i="32"/>
  <c r="AN10" i="32"/>
  <c r="AN11" i="32"/>
  <c r="AN12" i="32"/>
  <c r="AN13" i="32"/>
  <c r="AN14" i="32"/>
  <c r="AN16" i="32"/>
  <c r="AN17" i="32"/>
  <c r="AN18" i="32"/>
  <c r="AN19" i="32"/>
  <c r="AN20" i="32"/>
  <c r="AN21" i="32"/>
  <c r="AN22" i="32"/>
  <c r="AN23" i="32"/>
  <c r="AN24" i="32"/>
  <c r="AN25" i="32"/>
  <c r="AN26" i="32"/>
  <c r="AN27" i="32"/>
  <c r="AN28" i="32"/>
  <c r="AN29" i="32"/>
  <c r="AN30" i="32"/>
  <c r="AN31" i="32"/>
  <c r="AN32" i="32"/>
  <c r="AN33" i="32"/>
  <c r="AN34" i="32"/>
  <c r="AN35" i="32"/>
  <c r="AN36" i="32"/>
  <c r="AN37" i="32"/>
  <c r="AN38" i="32"/>
  <c r="AN39" i="32"/>
  <c r="AN40" i="32"/>
  <c r="AN41" i="32"/>
  <c r="AN42" i="32"/>
  <c r="AN43" i="32"/>
  <c r="AN44" i="32"/>
  <c r="AN45" i="32"/>
  <c r="AN46" i="32"/>
  <c r="AN47" i="32"/>
  <c r="AN48" i="32"/>
  <c r="AN49" i="32"/>
  <c r="AN50" i="32"/>
  <c r="AN51" i="32"/>
  <c r="AN52" i="32"/>
  <c r="AN53" i="32"/>
  <c r="AN54" i="32"/>
  <c r="AN55" i="32"/>
  <c r="AN56" i="32"/>
  <c r="AN57" i="32"/>
  <c r="AN58" i="32"/>
  <c r="AN59" i="32"/>
  <c r="AN60" i="32"/>
  <c r="AN61" i="32"/>
  <c r="AN62" i="32"/>
  <c r="AN63" i="32"/>
  <c r="AN64" i="32"/>
  <c r="AN65" i="32"/>
  <c r="AN66" i="32"/>
  <c r="AN67" i="32"/>
  <c r="AN68" i="32"/>
  <c r="AN69" i="32"/>
  <c r="AN70" i="32"/>
  <c r="AN71" i="32"/>
  <c r="AN72" i="32"/>
  <c r="AN73" i="32"/>
  <c r="AN74" i="32"/>
  <c r="AN75" i="32"/>
  <c r="AN76" i="32"/>
  <c r="AN77" i="32"/>
  <c r="AN78" i="32"/>
  <c r="AN79" i="32"/>
  <c r="AN80" i="32"/>
  <c r="AN81" i="32"/>
  <c r="AN83" i="32"/>
  <c r="AN84" i="32"/>
  <c r="AN85" i="32"/>
  <c r="AN86" i="32"/>
  <c r="AN87" i="32"/>
  <c r="AN88" i="32"/>
  <c r="AN89" i="32"/>
  <c r="AN90" i="32"/>
  <c r="AN91" i="32"/>
  <c r="AN92" i="32"/>
  <c r="AN93" i="32"/>
  <c r="AN94" i="32"/>
  <c r="AN95" i="32"/>
  <c r="AN96" i="32"/>
  <c r="AN97" i="32"/>
  <c r="AN98" i="32"/>
  <c r="AN99" i="32"/>
  <c r="AN100" i="32"/>
  <c r="AN101" i="32"/>
  <c r="AN102" i="32"/>
  <c r="AN103" i="32"/>
  <c r="AN104" i="32"/>
  <c r="AN105" i="32"/>
  <c r="AN106" i="32"/>
  <c r="AN107" i="32"/>
  <c r="AN108" i="32"/>
  <c r="AN109" i="32"/>
  <c r="AN110" i="32"/>
  <c r="AN111" i="32"/>
  <c r="AN112" i="32"/>
  <c r="AN113" i="32"/>
  <c r="AN114" i="32"/>
  <c r="AN115" i="32"/>
  <c r="AN116" i="32"/>
  <c r="AN117" i="32"/>
  <c r="AN118" i="32"/>
  <c r="AN119" i="32"/>
  <c r="AN120" i="32"/>
  <c r="AN121" i="32"/>
  <c r="AN122" i="32"/>
  <c r="AN123" i="32"/>
  <c r="AN124" i="32"/>
  <c r="AN125" i="32"/>
  <c r="AN126" i="32"/>
  <c r="AN127" i="32"/>
  <c r="AN128" i="32"/>
  <c r="AN129" i="32"/>
  <c r="AN130" i="32"/>
  <c r="AN131" i="32"/>
  <c r="AN132" i="32"/>
  <c r="AN133" i="32"/>
  <c r="AN134" i="32"/>
  <c r="AN135" i="32"/>
  <c r="AN136" i="32"/>
  <c r="AN137" i="32"/>
  <c r="AN138" i="32"/>
  <c r="AN139" i="32"/>
  <c r="AN140" i="32"/>
  <c r="AN141" i="32"/>
  <c r="AN143" i="32"/>
  <c r="AN144" i="32"/>
  <c r="AN145" i="32"/>
  <c r="AN146" i="32"/>
  <c r="AN147" i="32"/>
  <c r="AN148" i="32"/>
  <c r="AN149" i="32"/>
  <c r="AN150" i="32"/>
  <c r="AN151" i="32"/>
  <c r="AN152" i="32"/>
  <c r="AN153" i="32"/>
  <c r="AN154" i="32"/>
  <c r="AN155" i="32"/>
  <c r="AN156" i="32"/>
  <c r="AN157" i="32"/>
  <c r="AN158" i="32"/>
  <c r="AN159" i="32"/>
  <c r="AN160" i="32"/>
  <c r="AN161" i="32"/>
  <c r="AN162" i="32"/>
  <c r="AN163" i="32"/>
  <c r="AN164" i="32"/>
  <c r="AN165" i="32"/>
  <c r="AN166" i="32"/>
  <c r="AN167" i="32"/>
  <c r="AN168" i="32"/>
  <c r="AN169" i="32"/>
  <c r="AN170" i="32"/>
  <c r="AN171" i="32"/>
  <c r="AN172" i="32"/>
  <c r="AN173" i="32"/>
  <c r="AN174" i="32"/>
  <c r="AN175" i="32"/>
  <c r="AN176" i="32"/>
  <c r="AN177" i="32"/>
  <c r="AN178" i="32"/>
  <c r="AN179" i="32"/>
  <c r="AN180" i="32"/>
  <c r="AN181" i="32"/>
  <c r="AN182" i="32"/>
  <c r="AN183" i="32"/>
  <c r="AN184" i="32"/>
  <c r="AN185" i="32"/>
  <c r="AN186" i="32"/>
  <c r="AN187" i="32"/>
  <c r="AN188" i="32"/>
  <c r="AN189" i="32"/>
  <c r="AN190" i="32"/>
  <c r="AN191" i="32"/>
  <c r="AN192" i="32"/>
  <c r="AN193" i="32"/>
  <c r="AN194" i="32"/>
  <c r="AN195" i="32"/>
  <c r="AN196" i="32"/>
  <c r="AN197" i="32"/>
  <c r="AN198" i="32"/>
  <c r="AN199" i="32"/>
  <c r="AN200" i="32"/>
  <c r="AN201" i="32"/>
  <c r="AN202" i="32"/>
  <c r="AN203" i="32"/>
  <c r="AN204" i="32"/>
  <c r="AN205" i="32"/>
  <c r="AN206" i="32"/>
  <c r="AN207" i="32"/>
  <c r="AN208" i="32"/>
  <c r="AN209" i="32"/>
  <c r="AN210" i="32"/>
  <c r="AN211" i="32"/>
  <c r="AN212" i="32"/>
  <c r="AN213" i="32"/>
  <c r="AN214" i="32"/>
  <c r="AN215" i="32"/>
  <c r="AN216" i="32"/>
  <c r="AN217" i="32"/>
  <c r="AN218" i="32"/>
  <c r="AN219" i="32"/>
  <c r="AN220" i="32"/>
  <c r="AN221" i="32"/>
  <c r="AN222" i="32"/>
  <c r="AN223" i="32"/>
  <c r="AN224" i="32"/>
  <c r="AN225" i="32"/>
  <c r="AN226" i="32"/>
  <c r="AN227" i="32"/>
  <c r="AN228" i="32"/>
  <c r="AN229" i="32"/>
  <c r="AN230" i="32"/>
  <c r="AN231" i="32"/>
  <c r="AN232" i="32"/>
  <c r="AN233" i="32"/>
  <c r="AN234" i="32"/>
  <c r="AN235" i="32"/>
  <c r="AN236" i="32"/>
  <c r="AN237" i="32"/>
  <c r="AN238" i="32"/>
  <c r="AN239" i="32"/>
  <c r="AN240" i="32"/>
  <c r="AN241" i="32"/>
  <c r="AN242" i="32"/>
  <c r="AN243" i="32"/>
  <c r="AN244" i="32"/>
  <c r="AN245" i="32"/>
  <c r="AN246" i="32"/>
  <c r="AN247" i="32"/>
  <c r="AN248" i="32"/>
  <c r="AN249" i="32"/>
  <c r="AN250" i="32"/>
  <c r="AN251" i="32"/>
  <c r="AN252" i="32"/>
  <c r="AN253" i="32"/>
  <c r="AN254" i="32"/>
  <c r="AN255" i="32"/>
  <c r="AN256" i="32"/>
  <c r="AN257" i="32"/>
  <c r="AN258" i="32"/>
  <c r="AN259" i="32"/>
  <c r="AN260" i="32"/>
  <c r="AN261" i="32"/>
  <c r="AN262" i="32"/>
  <c r="AN263" i="32"/>
  <c r="AN264" i="32"/>
  <c r="AN265" i="32"/>
  <c r="AN266" i="32"/>
  <c r="AN267" i="32"/>
  <c r="AN268" i="32"/>
  <c r="AN269" i="32"/>
  <c r="AN270" i="32"/>
  <c r="AN271" i="32"/>
  <c r="AN272" i="32"/>
  <c r="AN273" i="32"/>
  <c r="AN274" i="32"/>
  <c r="AN275" i="32"/>
  <c r="AN276" i="32"/>
  <c r="AN277" i="32"/>
  <c r="AN278" i="32"/>
  <c r="AN279" i="32"/>
  <c r="AN280" i="32"/>
  <c r="AN281" i="32"/>
  <c r="AN282" i="32"/>
  <c r="AN283" i="32"/>
  <c r="AN284" i="32"/>
  <c r="AN285" i="32"/>
  <c r="AN286" i="32"/>
  <c r="AN287" i="32"/>
  <c r="AN288" i="32"/>
  <c r="AN289" i="32"/>
  <c r="AN290" i="32"/>
  <c r="AN291" i="32"/>
  <c r="AN292" i="32"/>
  <c r="AN293" i="32"/>
  <c r="AN294" i="32"/>
  <c r="AN295" i="32"/>
  <c r="AN296" i="32"/>
  <c r="AN297" i="32"/>
  <c r="AN298" i="32"/>
  <c r="AN299" i="32"/>
  <c r="AN300" i="32"/>
  <c r="AN301" i="32"/>
  <c r="AN302" i="32"/>
  <c r="AN303" i="32"/>
  <c r="AN304" i="32"/>
  <c r="AN305" i="32"/>
  <c r="AN306" i="32"/>
  <c r="AN307" i="32"/>
  <c r="AN308" i="32"/>
  <c r="AN309" i="32"/>
  <c r="AN310" i="32"/>
  <c r="AN311" i="32"/>
  <c r="AN312" i="32"/>
  <c r="AN313" i="32"/>
  <c r="AN314" i="32"/>
  <c r="AN315" i="32"/>
  <c r="AN316" i="32"/>
  <c r="AN317" i="32"/>
  <c r="AN318" i="32"/>
  <c r="AN319" i="32"/>
  <c r="AN320" i="32"/>
  <c r="AN321" i="32"/>
  <c r="AN322" i="32"/>
  <c r="AN323" i="32"/>
  <c r="AN324" i="32"/>
  <c r="AN325" i="32"/>
  <c r="AN326" i="32"/>
  <c r="AN327" i="32"/>
  <c r="AN328" i="32"/>
  <c r="AN329" i="32"/>
  <c r="AN330" i="32"/>
  <c r="AN331" i="32"/>
  <c r="AN332" i="32"/>
  <c r="AN333" i="32"/>
  <c r="AN334" i="32"/>
  <c r="AN335" i="32"/>
  <c r="AN336" i="32"/>
  <c r="AN337" i="32"/>
  <c r="AN338" i="32"/>
  <c r="AN339" i="32"/>
  <c r="AN340" i="32"/>
  <c r="AN341" i="32"/>
  <c r="AN342" i="32"/>
  <c r="AN343" i="32"/>
  <c r="AN344" i="32"/>
  <c r="AN345" i="32"/>
  <c r="AN346" i="32"/>
  <c r="AN347" i="32"/>
  <c r="AN348" i="32"/>
  <c r="AN349" i="32"/>
  <c r="AN350" i="32"/>
  <c r="AN351" i="32"/>
  <c r="AN352" i="32"/>
  <c r="AN353" i="32"/>
  <c r="AN354" i="32"/>
  <c r="AN355" i="32"/>
  <c r="AN356" i="32"/>
  <c r="AN357" i="32"/>
  <c r="AN358" i="32"/>
  <c r="AN359" i="32"/>
  <c r="AN360" i="32"/>
  <c r="AN361" i="32"/>
  <c r="AN362" i="32"/>
  <c r="AN363" i="32"/>
  <c r="AN364" i="32"/>
  <c r="AN365" i="32"/>
  <c r="AN366" i="32"/>
  <c r="AN367" i="32"/>
  <c r="AN368" i="32"/>
  <c r="AN369" i="32"/>
  <c r="AN370" i="32"/>
  <c r="AN371" i="32"/>
  <c r="AN372" i="32"/>
  <c r="AN373" i="32"/>
  <c r="AN374" i="32"/>
  <c r="AN375" i="32"/>
  <c r="AN376" i="32"/>
  <c r="AN377" i="32"/>
  <c r="AN378" i="32"/>
  <c r="AN379" i="32"/>
  <c r="AN380" i="32"/>
  <c r="AN381" i="32"/>
  <c r="AN382" i="32"/>
  <c r="AN383" i="32"/>
  <c r="AN384" i="32"/>
  <c r="AN385" i="32"/>
  <c r="AN386" i="32"/>
  <c r="AN387" i="32"/>
  <c r="AN388" i="32"/>
  <c r="AN389" i="32"/>
  <c r="AN390" i="32"/>
  <c r="AN391" i="32"/>
  <c r="AN392" i="32"/>
  <c r="AN393" i="32"/>
  <c r="AN394" i="32"/>
  <c r="AN395" i="32"/>
  <c r="AN396" i="32"/>
  <c r="AN397" i="32"/>
  <c r="AN398" i="32"/>
  <c r="AN399" i="32"/>
  <c r="AN400" i="32"/>
  <c r="AN401" i="32"/>
  <c r="AN402" i="32"/>
  <c r="AN403" i="32"/>
  <c r="AN404" i="32"/>
  <c r="AN405" i="32"/>
  <c r="AN406" i="32"/>
  <c r="AN407" i="32"/>
  <c r="AN408" i="32"/>
  <c r="AN409" i="32"/>
  <c r="AN410" i="32"/>
  <c r="AN411" i="32"/>
  <c r="AN412" i="32"/>
  <c r="AN413" i="32"/>
  <c r="AN414" i="32"/>
  <c r="AN415" i="32"/>
  <c r="AN416" i="32"/>
  <c r="AN417" i="32"/>
  <c r="AN418" i="32"/>
  <c r="AN419" i="32"/>
  <c r="AN420" i="32"/>
  <c r="AN421" i="32"/>
  <c r="AN422" i="32"/>
  <c r="AN423" i="32"/>
  <c r="AN424" i="32"/>
  <c r="AN425" i="32"/>
  <c r="AN426" i="32"/>
  <c r="AN427" i="32"/>
  <c r="AN428" i="32"/>
  <c r="AN429" i="32"/>
  <c r="AN430" i="32"/>
  <c r="AN431" i="32"/>
  <c r="AN432" i="32"/>
  <c r="AN433" i="32"/>
  <c r="AN434" i="32"/>
  <c r="AN435" i="32"/>
  <c r="AN436" i="32"/>
  <c r="AN437" i="32"/>
  <c r="AN438" i="32"/>
  <c r="AN439" i="32"/>
  <c r="AN440" i="32"/>
  <c r="AN441" i="32"/>
  <c r="AN442" i="32"/>
  <c r="AN443" i="32"/>
  <c r="AN444" i="32"/>
  <c r="AN445" i="32"/>
  <c r="AN446" i="32"/>
  <c r="AN447" i="32"/>
  <c r="AP5" i="32"/>
  <c r="AO5" i="32"/>
  <c r="AO4" i="32"/>
  <c r="AO6" i="32"/>
  <c r="AO7" i="32"/>
  <c r="AO8" i="32"/>
  <c r="AO9" i="32"/>
  <c r="AO10" i="32"/>
  <c r="AO11" i="32"/>
  <c r="AO12" i="32"/>
  <c r="AO13" i="32"/>
  <c r="AO14" i="32"/>
  <c r="AO16" i="32"/>
  <c r="AO17" i="32"/>
  <c r="AO18" i="32"/>
  <c r="AO19" i="32"/>
  <c r="AO20" i="32"/>
  <c r="AO21" i="32"/>
  <c r="AO22" i="32"/>
  <c r="AO23" i="32"/>
  <c r="AO24" i="32"/>
  <c r="AO25" i="32"/>
  <c r="AO26" i="32"/>
  <c r="AO27" i="32"/>
  <c r="AO28" i="32"/>
  <c r="AO29" i="32"/>
  <c r="AO30" i="32"/>
  <c r="AO31" i="32"/>
  <c r="AO32" i="32"/>
  <c r="AO33" i="32"/>
  <c r="AO34" i="32"/>
  <c r="AO35" i="32"/>
  <c r="AO36" i="32"/>
  <c r="AO37" i="32"/>
  <c r="AO38" i="32"/>
  <c r="AO39" i="32"/>
  <c r="AO40" i="32"/>
  <c r="AO41" i="32"/>
  <c r="AO42" i="32"/>
  <c r="AO43" i="32"/>
  <c r="AO44" i="32"/>
  <c r="AO45" i="32"/>
  <c r="AO46" i="32"/>
  <c r="AO47" i="32"/>
  <c r="AO48" i="32"/>
  <c r="AO49" i="32"/>
  <c r="AO50" i="32"/>
  <c r="AO51" i="32"/>
  <c r="AO52" i="32"/>
  <c r="AO53" i="32"/>
  <c r="AO54" i="32"/>
  <c r="AO55" i="32"/>
  <c r="AO56" i="32"/>
  <c r="AO57" i="32"/>
  <c r="AO58" i="32"/>
  <c r="AO59" i="32"/>
  <c r="AO60" i="32"/>
  <c r="AO61" i="32"/>
  <c r="AO62" i="32"/>
  <c r="AO63" i="32"/>
  <c r="AO64" i="32"/>
  <c r="AO65" i="32"/>
  <c r="AO66" i="32"/>
  <c r="AO67" i="32"/>
  <c r="AO68" i="32"/>
  <c r="AO69" i="32"/>
  <c r="AO70" i="32"/>
  <c r="AO71" i="32"/>
  <c r="AO72" i="32"/>
  <c r="AO73" i="32"/>
  <c r="AO74" i="32"/>
  <c r="AO75" i="32"/>
  <c r="AO76" i="32"/>
  <c r="AO77" i="32"/>
  <c r="AO78" i="32"/>
  <c r="AO79" i="32"/>
  <c r="AO80" i="32"/>
  <c r="AO81" i="32"/>
  <c r="AO82" i="32"/>
  <c r="AO83" i="32"/>
  <c r="AO84" i="32"/>
  <c r="AO85" i="32"/>
  <c r="AO86" i="32"/>
  <c r="AO87" i="32"/>
  <c r="AO88" i="32"/>
  <c r="AO89" i="32"/>
  <c r="AO90" i="32"/>
  <c r="AO91" i="32"/>
  <c r="AO92" i="32"/>
  <c r="AO93" i="32"/>
  <c r="AO94" i="32"/>
  <c r="AO95" i="32"/>
  <c r="AO96" i="32"/>
  <c r="AO97" i="32"/>
  <c r="AO98" i="32"/>
  <c r="AO99" i="32"/>
  <c r="AO100" i="32"/>
  <c r="AO101" i="32"/>
  <c r="AO102" i="32"/>
  <c r="AO103" i="32"/>
  <c r="AO104" i="32"/>
  <c r="AO105" i="32"/>
  <c r="AO106" i="32"/>
  <c r="AO107" i="32"/>
  <c r="AO108" i="32"/>
  <c r="AO109" i="32"/>
  <c r="AO110" i="32"/>
  <c r="AO111" i="32"/>
  <c r="AO112" i="32"/>
  <c r="AO113" i="32"/>
  <c r="AO114" i="32"/>
  <c r="AO115" i="32"/>
  <c r="AO116" i="32"/>
  <c r="AO117" i="32"/>
  <c r="AO118" i="32"/>
  <c r="AO119" i="32"/>
  <c r="AO120" i="32"/>
  <c r="AO121" i="32"/>
  <c r="AO122" i="32"/>
  <c r="AO123" i="32"/>
  <c r="AO124" i="32"/>
  <c r="AO125" i="32"/>
  <c r="AO126" i="32"/>
  <c r="AO127" i="32"/>
  <c r="AO128" i="32"/>
  <c r="AO129" i="32"/>
  <c r="AO130" i="32"/>
  <c r="AO131" i="32"/>
  <c r="AO132" i="32"/>
  <c r="AO133" i="32"/>
  <c r="AO134" i="32"/>
  <c r="AO135" i="32"/>
  <c r="AO136" i="32"/>
  <c r="AO137" i="32"/>
  <c r="AO138" i="32"/>
  <c r="AO139" i="32"/>
  <c r="AO140" i="32"/>
  <c r="AO141" i="32"/>
  <c r="AO142" i="32"/>
  <c r="AO143" i="32"/>
  <c r="AO144" i="32"/>
  <c r="AO145" i="32"/>
  <c r="AO146" i="32"/>
  <c r="AO147" i="32"/>
  <c r="AO148" i="32"/>
  <c r="AO149" i="32"/>
  <c r="AO150" i="32"/>
  <c r="AO151" i="32"/>
  <c r="AO152" i="32"/>
  <c r="AO153" i="32"/>
  <c r="AO154" i="32"/>
  <c r="AO155" i="32"/>
  <c r="AO156" i="32"/>
  <c r="AO157" i="32"/>
  <c r="AO158" i="32"/>
  <c r="AO159" i="32"/>
  <c r="AO160" i="32"/>
  <c r="AO161" i="32"/>
  <c r="AO162" i="32"/>
  <c r="AO163" i="32"/>
  <c r="AO164" i="32"/>
  <c r="AO165" i="32"/>
  <c r="AO166" i="32"/>
  <c r="AO167" i="32"/>
  <c r="AO168" i="32"/>
  <c r="AO169" i="32"/>
  <c r="AO170" i="32"/>
  <c r="AO171" i="32"/>
  <c r="AO172" i="32"/>
  <c r="AO173" i="32"/>
  <c r="AO174" i="32"/>
  <c r="AO175" i="32"/>
  <c r="AO176" i="32"/>
  <c r="AO177" i="32"/>
  <c r="AO178" i="32"/>
  <c r="AO179" i="32"/>
  <c r="AO180" i="32"/>
  <c r="AO181" i="32"/>
  <c r="AO182" i="32"/>
  <c r="AO183" i="32"/>
  <c r="AO184" i="32"/>
  <c r="AO185" i="32"/>
  <c r="AO186" i="32"/>
  <c r="AO187" i="32"/>
  <c r="AO188" i="32"/>
  <c r="AO189" i="32"/>
  <c r="AO190" i="32"/>
  <c r="AO191" i="32"/>
  <c r="AO192" i="32"/>
  <c r="AO193" i="32"/>
  <c r="AO194" i="32"/>
  <c r="AO195" i="32"/>
  <c r="AO196" i="32"/>
  <c r="AO197" i="32"/>
  <c r="AO198" i="32"/>
  <c r="AO199" i="32"/>
  <c r="AO200" i="32"/>
  <c r="AO201" i="32"/>
  <c r="AO202" i="32"/>
  <c r="AO203" i="32"/>
  <c r="AO204" i="32"/>
  <c r="AO205" i="32"/>
  <c r="AO206" i="32"/>
  <c r="AO207" i="32"/>
  <c r="AO208" i="32"/>
  <c r="AO209" i="32"/>
  <c r="AO210" i="32"/>
  <c r="AO211" i="32"/>
  <c r="AO212" i="32"/>
  <c r="AO213" i="32"/>
  <c r="AO214" i="32"/>
  <c r="AO215" i="32"/>
  <c r="AO216" i="32"/>
  <c r="AO217" i="32"/>
  <c r="AO218" i="32"/>
  <c r="AO219" i="32"/>
  <c r="AO220" i="32"/>
  <c r="AO221" i="32"/>
  <c r="AO222" i="32"/>
  <c r="AO223" i="32"/>
  <c r="AO224" i="32"/>
  <c r="AO225" i="32"/>
  <c r="AO226" i="32"/>
  <c r="AO227" i="32"/>
  <c r="AO228" i="32"/>
  <c r="AO229" i="32"/>
  <c r="AO230" i="32"/>
  <c r="AO231" i="32"/>
  <c r="AO232" i="32"/>
  <c r="AO233" i="32"/>
  <c r="AO234" i="32"/>
  <c r="AO235" i="32"/>
  <c r="AO236" i="32"/>
  <c r="AO237" i="32"/>
  <c r="AO238" i="32"/>
  <c r="AO239" i="32"/>
  <c r="AO240" i="32"/>
  <c r="AO241" i="32"/>
  <c r="AO242" i="32"/>
  <c r="AO243" i="32"/>
  <c r="AO244" i="32"/>
  <c r="AO245" i="32"/>
  <c r="AO246" i="32"/>
  <c r="AO247" i="32"/>
  <c r="AO248" i="32"/>
  <c r="AO249" i="32"/>
  <c r="AO250" i="32"/>
  <c r="AO251" i="32"/>
  <c r="AO252" i="32"/>
  <c r="AO253" i="32"/>
  <c r="AO254" i="32"/>
  <c r="AO255" i="32"/>
  <c r="AO256" i="32"/>
  <c r="AO257" i="32"/>
  <c r="AO258" i="32"/>
  <c r="AO259" i="32"/>
  <c r="AO260" i="32"/>
  <c r="AO261" i="32"/>
  <c r="AO262" i="32"/>
  <c r="AO263" i="32"/>
  <c r="AO264" i="32"/>
  <c r="AO265" i="32"/>
  <c r="AO266" i="32"/>
  <c r="AO267" i="32"/>
  <c r="AO268" i="32"/>
  <c r="AO269" i="32"/>
  <c r="AO270" i="32"/>
  <c r="AO271" i="32"/>
  <c r="AO272" i="32"/>
  <c r="AO273" i="32"/>
  <c r="AO274" i="32"/>
  <c r="AO275" i="32"/>
  <c r="AO276" i="32"/>
  <c r="AO277" i="32"/>
  <c r="AO278" i="32"/>
  <c r="AO279" i="32"/>
  <c r="AO280" i="32"/>
  <c r="AO281" i="32"/>
  <c r="AO282" i="32"/>
  <c r="AO283" i="32"/>
  <c r="AO284" i="32"/>
  <c r="AO285" i="32"/>
  <c r="AO286" i="32"/>
  <c r="AO287" i="32"/>
  <c r="AO288" i="32"/>
  <c r="AO289" i="32"/>
  <c r="AO290" i="32"/>
  <c r="AO291" i="32"/>
  <c r="AO292" i="32"/>
  <c r="AO293" i="32"/>
  <c r="AO294" i="32"/>
  <c r="AO295" i="32"/>
  <c r="AO296" i="32"/>
  <c r="AO297" i="32"/>
  <c r="AO298" i="32"/>
  <c r="AO299" i="32"/>
  <c r="AO300" i="32"/>
  <c r="AO301" i="32"/>
  <c r="AO302" i="32"/>
  <c r="AO303" i="32"/>
  <c r="AO304" i="32"/>
  <c r="AO305" i="32"/>
  <c r="AO306" i="32"/>
  <c r="AO307" i="32"/>
  <c r="AO308" i="32"/>
  <c r="AO309" i="32"/>
  <c r="AO310" i="32"/>
  <c r="AO311" i="32"/>
  <c r="AO312" i="32"/>
  <c r="AO313" i="32"/>
  <c r="AO314" i="32"/>
  <c r="AO315" i="32"/>
  <c r="AO316" i="32"/>
  <c r="AO317" i="32"/>
  <c r="AO318" i="32"/>
  <c r="AO319" i="32"/>
  <c r="AO320" i="32"/>
  <c r="AO321" i="32"/>
  <c r="AO322" i="32"/>
  <c r="AO323" i="32"/>
  <c r="AO324" i="32"/>
  <c r="AO325" i="32"/>
  <c r="AO326" i="32"/>
  <c r="AO327" i="32"/>
  <c r="AO328" i="32"/>
  <c r="AO329" i="32"/>
  <c r="AO330" i="32"/>
  <c r="AO331" i="32"/>
  <c r="AO332" i="32"/>
  <c r="AO333" i="32"/>
  <c r="AO334" i="32"/>
  <c r="AO335" i="32"/>
  <c r="AO336" i="32"/>
  <c r="AO337" i="32"/>
  <c r="AO338" i="32"/>
  <c r="AO339" i="32"/>
  <c r="AO340" i="32"/>
  <c r="AO341" i="32"/>
  <c r="AO342" i="32"/>
  <c r="AO343" i="32"/>
  <c r="AO344" i="32"/>
  <c r="AO345" i="32"/>
  <c r="AO346" i="32"/>
  <c r="AO347" i="32"/>
  <c r="AO348" i="32"/>
  <c r="AO349" i="32"/>
  <c r="AO350" i="32"/>
  <c r="AO351" i="32"/>
  <c r="AO352" i="32"/>
  <c r="AO353" i="32"/>
  <c r="AO354" i="32"/>
  <c r="AO355" i="32"/>
  <c r="AO356" i="32"/>
  <c r="AO357" i="32"/>
  <c r="AO358" i="32"/>
  <c r="AO359" i="32"/>
  <c r="AO360" i="32"/>
  <c r="AO361" i="32"/>
  <c r="AO362" i="32"/>
  <c r="AO363" i="32"/>
  <c r="AO364" i="32"/>
  <c r="AO365" i="32"/>
  <c r="AO366" i="32"/>
  <c r="AO367" i="32"/>
  <c r="AO368" i="32"/>
  <c r="AO369" i="32"/>
  <c r="AO370" i="32"/>
  <c r="AO371" i="32"/>
  <c r="AO372" i="32"/>
  <c r="AO373" i="32"/>
  <c r="AO374" i="32"/>
  <c r="AO375" i="32"/>
  <c r="AO376" i="32"/>
  <c r="AO377" i="32"/>
  <c r="AO378" i="32"/>
  <c r="AO379" i="32"/>
  <c r="AO380" i="32"/>
  <c r="AO381" i="32"/>
  <c r="AO382" i="32"/>
  <c r="AO383" i="32"/>
  <c r="AO384" i="32"/>
  <c r="AO385" i="32"/>
  <c r="AO386" i="32"/>
  <c r="AO387" i="32"/>
  <c r="AO388" i="32"/>
  <c r="AO389" i="32"/>
  <c r="AO390" i="32"/>
  <c r="AO391" i="32"/>
  <c r="AO392" i="32"/>
  <c r="AO393" i="32"/>
  <c r="AO394" i="32"/>
  <c r="AO395" i="32"/>
  <c r="AO396" i="32"/>
  <c r="AO397" i="32"/>
  <c r="AO398" i="32"/>
  <c r="AO399" i="32"/>
  <c r="AO400" i="32"/>
  <c r="AO401" i="32"/>
  <c r="AO402" i="32"/>
  <c r="AO403" i="32"/>
  <c r="AO404" i="32"/>
  <c r="AO405" i="32"/>
  <c r="AO406" i="32"/>
  <c r="AO407" i="32"/>
  <c r="AO408" i="32"/>
  <c r="AO409" i="32"/>
  <c r="AO410" i="32"/>
  <c r="AO411" i="32"/>
  <c r="AO412" i="32"/>
  <c r="AO413" i="32"/>
  <c r="AO414" i="32"/>
  <c r="AO415" i="32"/>
  <c r="AO416" i="32"/>
  <c r="AO417" i="32"/>
  <c r="AO418" i="32"/>
  <c r="AO419" i="32"/>
  <c r="AO420" i="32"/>
  <c r="AO421" i="32"/>
  <c r="AO422" i="32"/>
  <c r="AO423" i="32"/>
  <c r="AO424" i="32"/>
  <c r="AO425" i="32"/>
  <c r="AO426" i="32"/>
  <c r="AO427" i="32"/>
  <c r="AO428" i="32"/>
  <c r="AO429" i="32"/>
  <c r="AO430" i="32"/>
  <c r="AO431" i="32"/>
  <c r="AO432" i="32"/>
  <c r="AO433" i="32"/>
  <c r="AO434" i="32"/>
  <c r="AO435" i="32"/>
  <c r="AO436" i="32"/>
  <c r="AO437" i="32"/>
  <c r="AO438" i="32"/>
  <c r="AO439" i="32"/>
  <c r="AO440" i="32"/>
  <c r="AO441" i="32"/>
  <c r="AO442" i="32"/>
  <c r="AO443" i="32"/>
  <c r="AO444" i="32"/>
  <c r="AQ5" i="32"/>
  <c r="AP6" i="32"/>
  <c r="AQ6" i="32"/>
  <c r="AP7" i="32"/>
  <c r="AQ7" i="32"/>
  <c r="AP8" i="32"/>
  <c r="AQ8" i="32"/>
  <c r="AP9" i="32"/>
  <c r="AQ9" i="32"/>
  <c r="AP10" i="32"/>
  <c r="AQ10" i="32"/>
  <c r="AP11" i="32"/>
  <c r="AQ11" i="32"/>
  <c r="AP12" i="32"/>
  <c r="AQ12" i="32"/>
  <c r="AP13" i="32"/>
  <c r="AQ13" i="32"/>
  <c r="AP14" i="32"/>
  <c r="AQ14" i="32"/>
  <c r="AP15" i="32"/>
  <c r="AQ15" i="32"/>
  <c r="AP16" i="32"/>
  <c r="AQ16" i="32"/>
  <c r="AP17" i="32"/>
  <c r="AQ17" i="32"/>
  <c r="AP18" i="32"/>
  <c r="AQ18" i="32"/>
  <c r="AP19" i="32"/>
  <c r="AQ19" i="32"/>
  <c r="AP20" i="32"/>
  <c r="AQ20" i="32"/>
  <c r="AP21" i="32"/>
  <c r="AQ21" i="32"/>
  <c r="AP22" i="32"/>
  <c r="AQ22" i="32"/>
  <c r="AP23" i="32"/>
  <c r="AQ23" i="32"/>
  <c r="AP24" i="32"/>
  <c r="AQ24" i="32"/>
  <c r="AP25" i="32"/>
  <c r="AQ25" i="32"/>
  <c r="AP26" i="32"/>
  <c r="AQ26" i="32"/>
  <c r="AP27" i="32"/>
  <c r="AQ27" i="32"/>
  <c r="AP28" i="32"/>
  <c r="AQ28" i="32"/>
  <c r="AP29" i="32"/>
  <c r="AQ29" i="32"/>
  <c r="AP30" i="32"/>
  <c r="AQ30" i="32"/>
  <c r="AP31" i="32"/>
  <c r="AQ31" i="32"/>
  <c r="AP32" i="32"/>
  <c r="AQ32" i="32"/>
  <c r="AP33" i="32"/>
  <c r="AQ33" i="32"/>
  <c r="AP34" i="32"/>
  <c r="AQ34" i="32"/>
  <c r="AP35" i="32"/>
  <c r="AQ35" i="32"/>
  <c r="AP36" i="32"/>
  <c r="AQ36" i="32"/>
  <c r="AP37" i="32"/>
  <c r="AQ37" i="32"/>
  <c r="AP38" i="32"/>
  <c r="AQ38" i="32"/>
  <c r="AP39" i="32"/>
  <c r="AQ39" i="32"/>
  <c r="AP40" i="32"/>
  <c r="AQ40" i="32"/>
  <c r="AP41" i="32"/>
  <c r="AQ41" i="32"/>
  <c r="AP42" i="32"/>
  <c r="AQ42" i="32"/>
  <c r="AP43" i="32"/>
  <c r="AQ43" i="32"/>
  <c r="AP44" i="32"/>
  <c r="AQ44" i="32"/>
  <c r="AP45" i="32"/>
  <c r="AQ45" i="32"/>
  <c r="AP46" i="32"/>
  <c r="AQ46" i="32"/>
  <c r="AP47" i="32"/>
  <c r="AQ47" i="32"/>
  <c r="AP48" i="32"/>
  <c r="AQ48" i="32"/>
  <c r="AP49" i="32"/>
  <c r="AQ49" i="32"/>
  <c r="AP50" i="32"/>
  <c r="AQ50" i="32"/>
  <c r="AP51" i="32"/>
  <c r="AQ51" i="32"/>
  <c r="AP52" i="32"/>
  <c r="AQ52" i="32"/>
  <c r="AP53" i="32"/>
  <c r="AQ53" i="32"/>
  <c r="AP54" i="32"/>
  <c r="AQ54" i="32"/>
  <c r="AP55" i="32"/>
  <c r="AQ55" i="32"/>
  <c r="AP56" i="32"/>
  <c r="AQ56" i="32"/>
  <c r="AP57" i="32"/>
  <c r="AQ57" i="32"/>
  <c r="AP58" i="32"/>
  <c r="AQ58" i="32"/>
  <c r="AP59" i="32"/>
  <c r="AQ59" i="32"/>
  <c r="AP60" i="32"/>
  <c r="AQ60" i="32"/>
  <c r="AP61" i="32"/>
  <c r="AQ61" i="32"/>
  <c r="AP62" i="32"/>
  <c r="AQ62" i="32"/>
  <c r="AP63" i="32"/>
  <c r="AQ63" i="32"/>
  <c r="AP64" i="32"/>
  <c r="AQ64" i="32"/>
  <c r="AP65" i="32"/>
  <c r="AQ65" i="32"/>
  <c r="AP66" i="32"/>
  <c r="AQ66" i="32"/>
  <c r="AP67" i="32"/>
  <c r="AQ67" i="32"/>
  <c r="AP68" i="32"/>
  <c r="AQ68" i="32"/>
  <c r="AP69" i="32"/>
  <c r="AQ69" i="32"/>
  <c r="AP70" i="32"/>
  <c r="AQ70" i="32"/>
  <c r="AP71" i="32"/>
  <c r="AQ71" i="32"/>
  <c r="AP72" i="32"/>
  <c r="AQ72" i="32"/>
  <c r="AP73" i="32"/>
  <c r="AQ73" i="32"/>
  <c r="AP74" i="32"/>
  <c r="AQ74" i="32"/>
  <c r="AP75" i="32"/>
  <c r="AQ75" i="32"/>
  <c r="AP76" i="32"/>
  <c r="AQ76" i="32"/>
  <c r="AP77" i="32"/>
  <c r="AQ77" i="32"/>
  <c r="AP78" i="32"/>
  <c r="AQ78" i="32"/>
  <c r="AP79" i="32"/>
  <c r="AQ79" i="32"/>
  <c r="AP80" i="32"/>
  <c r="AQ80" i="32"/>
  <c r="AP81" i="32"/>
  <c r="AQ81" i="32"/>
  <c r="AP82" i="32"/>
  <c r="AQ82" i="32"/>
  <c r="AP83" i="32"/>
  <c r="AQ83" i="32"/>
  <c r="AP84" i="32"/>
  <c r="AQ84" i="32"/>
  <c r="AP85" i="32"/>
  <c r="AQ85" i="32"/>
  <c r="AP86" i="32"/>
  <c r="AQ86" i="32"/>
  <c r="AP87" i="32"/>
  <c r="AQ87" i="32"/>
  <c r="AP88" i="32"/>
  <c r="AQ88" i="32"/>
  <c r="AP89" i="32"/>
  <c r="AQ89" i="32"/>
  <c r="AP90" i="32"/>
  <c r="AQ90" i="32"/>
  <c r="AP91" i="32"/>
  <c r="AQ91" i="32"/>
  <c r="AP92" i="32"/>
  <c r="AQ92" i="32"/>
  <c r="AP93" i="32"/>
  <c r="AQ93" i="32"/>
  <c r="AP94" i="32"/>
  <c r="AQ94" i="32"/>
  <c r="AP95" i="32"/>
  <c r="AQ95" i="32"/>
  <c r="AP96" i="32"/>
  <c r="AQ96" i="32"/>
  <c r="AP97" i="32"/>
  <c r="AQ97" i="32"/>
  <c r="AP98" i="32"/>
  <c r="AQ98" i="32"/>
  <c r="AP99" i="32"/>
  <c r="AQ99" i="32"/>
  <c r="AP100" i="32"/>
  <c r="AQ100" i="32"/>
  <c r="AP101" i="32"/>
  <c r="AQ101" i="32"/>
  <c r="AP102" i="32"/>
  <c r="AQ102" i="32"/>
  <c r="AP103" i="32"/>
  <c r="AQ103" i="32"/>
  <c r="AP104" i="32"/>
  <c r="AQ104" i="32"/>
  <c r="AP105" i="32"/>
  <c r="AQ105" i="32"/>
  <c r="AP106" i="32"/>
  <c r="AQ106" i="32"/>
  <c r="AP107" i="32"/>
  <c r="AQ107" i="32"/>
  <c r="AP108" i="32"/>
  <c r="AQ108" i="32"/>
  <c r="AP109" i="32"/>
  <c r="AQ109" i="32"/>
  <c r="AP110" i="32"/>
  <c r="AQ110" i="32"/>
  <c r="AP111" i="32"/>
  <c r="AQ111" i="32"/>
  <c r="AP112" i="32"/>
  <c r="AQ112" i="32"/>
  <c r="AP113" i="32"/>
  <c r="AQ113" i="32"/>
  <c r="AP114" i="32"/>
  <c r="AQ114" i="32"/>
  <c r="AP115" i="32"/>
  <c r="AQ115" i="32"/>
  <c r="AP116" i="32"/>
  <c r="AQ116" i="32"/>
  <c r="AP117" i="32"/>
  <c r="AQ117" i="32"/>
  <c r="AP118" i="32"/>
  <c r="AQ118" i="32"/>
  <c r="AP119" i="32"/>
  <c r="AQ119" i="32"/>
  <c r="AP120" i="32"/>
  <c r="AQ120" i="32"/>
  <c r="AP121" i="32"/>
  <c r="AQ121" i="32"/>
  <c r="AP122" i="32"/>
  <c r="AQ122" i="32"/>
  <c r="AP123" i="32"/>
  <c r="AQ123" i="32"/>
  <c r="AP124" i="32"/>
  <c r="AQ124" i="32"/>
  <c r="AP125" i="32"/>
  <c r="AQ125" i="32"/>
  <c r="AP126" i="32"/>
  <c r="AQ126" i="32"/>
  <c r="AP127" i="32"/>
  <c r="AQ127" i="32"/>
  <c r="AP128" i="32"/>
  <c r="AQ128" i="32"/>
  <c r="AP129" i="32"/>
  <c r="AQ129" i="32"/>
  <c r="AP130" i="32"/>
  <c r="AQ130" i="32"/>
  <c r="AP131" i="32"/>
  <c r="AQ131" i="32"/>
  <c r="AP132" i="32"/>
  <c r="AQ132" i="32"/>
  <c r="AP133" i="32"/>
  <c r="AQ133" i="32"/>
  <c r="AP134" i="32"/>
  <c r="AQ134" i="32"/>
  <c r="AP135" i="32"/>
  <c r="AQ135" i="32"/>
  <c r="AP136" i="32"/>
  <c r="AQ136" i="32"/>
  <c r="AP137" i="32"/>
  <c r="AQ137" i="32"/>
  <c r="AP138" i="32"/>
  <c r="AQ138" i="32"/>
  <c r="AP139" i="32"/>
  <c r="AQ139" i="32"/>
  <c r="AP140" i="32"/>
  <c r="AQ140" i="32"/>
  <c r="AP141" i="32"/>
  <c r="AQ141" i="32"/>
  <c r="AP142" i="32"/>
  <c r="AQ142" i="32"/>
  <c r="AP143" i="32"/>
  <c r="AQ143" i="32"/>
  <c r="AP144" i="32"/>
  <c r="AQ144" i="32"/>
  <c r="AP145" i="32"/>
  <c r="AQ145" i="32"/>
  <c r="AP146" i="32"/>
  <c r="AQ146" i="32"/>
  <c r="AP147" i="32"/>
  <c r="AQ147" i="32"/>
  <c r="AP148" i="32"/>
  <c r="AQ148" i="32"/>
  <c r="AP149" i="32"/>
  <c r="AQ149" i="32"/>
  <c r="AP150" i="32"/>
  <c r="AQ150" i="32"/>
  <c r="AP151" i="32"/>
  <c r="AQ151" i="32"/>
  <c r="AP152" i="32"/>
  <c r="AQ152" i="32"/>
  <c r="AP153" i="32"/>
  <c r="AQ153" i="32"/>
  <c r="AP154" i="32"/>
  <c r="AQ154" i="32"/>
  <c r="AP155" i="32"/>
  <c r="AQ155" i="32"/>
  <c r="AP156" i="32"/>
  <c r="AQ156" i="32"/>
  <c r="AP157" i="32"/>
  <c r="AQ157" i="32"/>
  <c r="AP158" i="32"/>
  <c r="AQ158" i="32"/>
  <c r="AP159" i="32"/>
  <c r="AQ159" i="32"/>
  <c r="AP160" i="32"/>
  <c r="AQ160" i="32"/>
  <c r="AP161" i="32"/>
  <c r="AQ161" i="32"/>
  <c r="AP162" i="32"/>
  <c r="AQ162" i="32"/>
  <c r="AP163" i="32"/>
  <c r="AQ163" i="32"/>
  <c r="AP164" i="32"/>
  <c r="AQ164" i="32"/>
  <c r="AP165" i="32"/>
  <c r="AQ165" i="32"/>
  <c r="AP166" i="32"/>
  <c r="AQ166" i="32"/>
  <c r="AP167" i="32"/>
  <c r="AQ167" i="32"/>
  <c r="AP168" i="32"/>
  <c r="AQ168" i="32"/>
  <c r="AP169" i="32"/>
  <c r="AQ169" i="32"/>
  <c r="AP170" i="32"/>
  <c r="AQ170" i="32"/>
  <c r="AP171" i="32"/>
  <c r="AQ171" i="32"/>
  <c r="AP172" i="32"/>
  <c r="AQ172" i="32"/>
  <c r="AP173" i="32"/>
  <c r="AQ173" i="32"/>
  <c r="AP174" i="32"/>
  <c r="AQ174" i="32"/>
  <c r="AP175" i="32"/>
  <c r="AQ175" i="32"/>
  <c r="AP176" i="32"/>
  <c r="AQ176" i="32"/>
  <c r="AP177" i="32"/>
  <c r="AQ177" i="32"/>
  <c r="AP178" i="32"/>
  <c r="AQ178" i="32"/>
  <c r="AP179" i="32"/>
  <c r="AQ179" i="32"/>
  <c r="AP180" i="32"/>
  <c r="AQ180" i="32"/>
  <c r="AP181" i="32"/>
  <c r="AQ181" i="32"/>
  <c r="AP182" i="32"/>
  <c r="AQ182" i="32"/>
  <c r="AP183" i="32"/>
  <c r="AQ183" i="32"/>
  <c r="AP184" i="32"/>
  <c r="AQ184" i="32"/>
  <c r="AP185" i="32"/>
  <c r="AQ185" i="32"/>
  <c r="AP186" i="32"/>
  <c r="AQ186" i="32"/>
  <c r="AP187" i="32"/>
  <c r="AQ187" i="32"/>
  <c r="AP188" i="32"/>
  <c r="AQ188" i="32"/>
  <c r="AP189" i="32"/>
  <c r="AQ189" i="32"/>
  <c r="AP190" i="32"/>
  <c r="AQ190" i="32"/>
  <c r="AP191" i="32"/>
  <c r="AQ191" i="32"/>
  <c r="AP192" i="32"/>
  <c r="AQ192" i="32"/>
  <c r="AP193" i="32"/>
  <c r="AQ193" i="32"/>
  <c r="AP194" i="32"/>
  <c r="AQ194" i="32"/>
  <c r="AP195" i="32"/>
  <c r="AQ195" i="32"/>
  <c r="AP196" i="32"/>
  <c r="AQ196" i="32"/>
  <c r="AP197" i="32"/>
  <c r="AQ197" i="32"/>
  <c r="AP198" i="32"/>
  <c r="AQ198" i="32"/>
  <c r="AP199" i="32"/>
  <c r="AQ199" i="32"/>
  <c r="AP200" i="32"/>
  <c r="AQ200" i="32"/>
  <c r="AP201" i="32"/>
  <c r="AQ201" i="32"/>
  <c r="AP202" i="32"/>
  <c r="AQ202" i="32"/>
  <c r="AP203" i="32"/>
  <c r="AQ203" i="32"/>
  <c r="AP204" i="32"/>
  <c r="AQ204" i="32"/>
  <c r="AP205" i="32"/>
  <c r="AQ205" i="32"/>
  <c r="AP206" i="32"/>
  <c r="AQ206" i="32"/>
  <c r="AP207" i="32"/>
  <c r="AQ207" i="32"/>
  <c r="AP208" i="32"/>
  <c r="AQ208" i="32"/>
  <c r="AP209" i="32"/>
  <c r="AQ209" i="32"/>
  <c r="AP210" i="32"/>
  <c r="AQ210" i="32"/>
  <c r="AP211" i="32"/>
  <c r="AQ211" i="32"/>
  <c r="AP212" i="32"/>
  <c r="AQ212" i="32"/>
  <c r="AP213" i="32"/>
  <c r="AQ213" i="32"/>
  <c r="AP214" i="32"/>
  <c r="AQ214" i="32"/>
  <c r="AP215" i="32"/>
  <c r="AQ215" i="32"/>
  <c r="AP216" i="32"/>
  <c r="AQ216" i="32"/>
  <c r="AP217" i="32"/>
  <c r="AQ217" i="32"/>
  <c r="AP218" i="32"/>
  <c r="AQ218" i="32"/>
  <c r="AP219" i="32"/>
  <c r="AQ219" i="32"/>
  <c r="AP220" i="32"/>
  <c r="AQ220" i="32"/>
  <c r="AP221" i="32"/>
  <c r="AQ221" i="32"/>
  <c r="AP222" i="32"/>
  <c r="AQ222" i="32"/>
  <c r="AP223" i="32"/>
  <c r="AQ223" i="32"/>
  <c r="AP224" i="32"/>
  <c r="AQ224" i="32"/>
  <c r="AP225" i="32"/>
  <c r="AQ225" i="32"/>
  <c r="AP226" i="32"/>
  <c r="AQ226" i="32"/>
  <c r="AP227" i="32"/>
  <c r="AQ227" i="32"/>
  <c r="AP228" i="32"/>
  <c r="AQ228" i="32"/>
  <c r="AP229" i="32"/>
  <c r="AQ229" i="32"/>
  <c r="AP230" i="32"/>
  <c r="AQ230" i="32"/>
  <c r="AP231" i="32"/>
  <c r="AQ231" i="32"/>
  <c r="AP232" i="32"/>
  <c r="AQ232" i="32"/>
  <c r="AP233" i="32"/>
  <c r="AQ233" i="32"/>
  <c r="AP234" i="32"/>
  <c r="AQ234" i="32"/>
  <c r="AP235" i="32"/>
  <c r="AQ235" i="32"/>
  <c r="AP236" i="32"/>
  <c r="AQ236" i="32"/>
  <c r="AP237" i="32"/>
  <c r="AQ237" i="32"/>
  <c r="AP238" i="32"/>
  <c r="AQ238" i="32"/>
  <c r="AP239" i="32"/>
  <c r="AQ239" i="32"/>
  <c r="AP240" i="32"/>
  <c r="AQ240" i="32"/>
  <c r="AP241" i="32"/>
  <c r="AQ241" i="32"/>
  <c r="AP242" i="32"/>
  <c r="AQ242" i="32"/>
  <c r="AP243" i="32"/>
  <c r="AQ243" i="32"/>
  <c r="AP244" i="32"/>
  <c r="AQ244" i="32"/>
  <c r="AP245" i="32"/>
  <c r="AQ245" i="32"/>
  <c r="AP246" i="32"/>
  <c r="AQ246" i="32"/>
  <c r="AP247" i="32"/>
  <c r="AQ247" i="32"/>
  <c r="AP248" i="32"/>
  <c r="AQ248" i="32"/>
  <c r="AP249" i="32"/>
  <c r="AQ249" i="32"/>
  <c r="AP250" i="32"/>
  <c r="AQ250" i="32"/>
  <c r="AP251" i="32"/>
  <c r="AQ251" i="32"/>
  <c r="AP252" i="32"/>
  <c r="AQ252" i="32"/>
  <c r="AP253" i="32"/>
  <c r="AQ253" i="32"/>
  <c r="AP254" i="32"/>
  <c r="AQ254" i="32"/>
  <c r="AP255" i="32"/>
  <c r="AQ255" i="32"/>
  <c r="AP256" i="32"/>
  <c r="AQ256" i="32"/>
  <c r="AP257" i="32"/>
  <c r="AQ257" i="32"/>
  <c r="AP258" i="32"/>
  <c r="AQ258" i="32"/>
  <c r="AP259" i="32"/>
  <c r="AQ259" i="32"/>
  <c r="AP260" i="32"/>
  <c r="AQ260" i="32"/>
  <c r="AP261" i="32"/>
  <c r="AQ261" i="32"/>
  <c r="AP262" i="32"/>
  <c r="AQ262" i="32"/>
  <c r="AP263" i="32"/>
  <c r="AQ263" i="32"/>
  <c r="AP264" i="32"/>
  <c r="AQ264" i="32"/>
  <c r="AP265" i="32"/>
  <c r="AQ265" i="32"/>
  <c r="AP266" i="32"/>
  <c r="AQ266" i="32"/>
  <c r="AP267" i="32"/>
  <c r="AQ267" i="32"/>
  <c r="AP268" i="32"/>
  <c r="AQ268" i="32"/>
  <c r="AP269" i="32"/>
  <c r="AQ269" i="32"/>
  <c r="AP270" i="32"/>
  <c r="AQ270" i="32"/>
  <c r="AP271" i="32"/>
  <c r="AQ271" i="32"/>
  <c r="AP272" i="32"/>
  <c r="AQ272" i="32"/>
  <c r="AP273" i="32"/>
  <c r="AQ273" i="32"/>
  <c r="AP274" i="32"/>
  <c r="AQ274" i="32"/>
  <c r="AP275" i="32"/>
  <c r="AQ275" i="32"/>
  <c r="AP276" i="32"/>
  <c r="AQ276" i="32"/>
  <c r="AP277" i="32"/>
  <c r="AQ277" i="32"/>
  <c r="AP278" i="32"/>
  <c r="AQ278" i="32"/>
  <c r="AP279" i="32"/>
  <c r="AQ279" i="32"/>
  <c r="AP280" i="32"/>
  <c r="AQ280" i="32"/>
  <c r="AP281" i="32"/>
  <c r="AQ281" i="32"/>
  <c r="AP282" i="32"/>
  <c r="AQ282" i="32"/>
  <c r="AP283" i="32"/>
  <c r="AQ283" i="32"/>
  <c r="AP284" i="32"/>
  <c r="AQ284" i="32"/>
  <c r="AP285" i="32"/>
  <c r="AQ285" i="32"/>
  <c r="AP286" i="32"/>
  <c r="AQ286" i="32"/>
  <c r="AP287" i="32"/>
  <c r="AQ287" i="32"/>
  <c r="AP288" i="32"/>
  <c r="AQ288" i="32"/>
  <c r="AP289" i="32"/>
  <c r="AQ289" i="32"/>
  <c r="AP290" i="32"/>
  <c r="AQ290" i="32"/>
  <c r="AP291" i="32"/>
  <c r="AQ291" i="32"/>
  <c r="AP292" i="32"/>
  <c r="AQ292" i="32"/>
  <c r="AP293" i="32"/>
  <c r="AQ293" i="32"/>
  <c r="AP294" i="32"/>
  <c r="AQ294" i="32"/>
  <c r="AP295" i="32"/>
  <c r="AQ295" i="32"/>
  <c r="AP296" i="32"/>
  <c r="AQ296" i="32"/>
  <c r="AP297" i="32"/>
  <c r="AQ297" i="32"/>
  <c r="AP298" i="32"/>
  <c r="AQ298" i="32"/>
  <c r="AP299" i="32"/>
  <c r="AQ299" i="32"/>
  <c r="AP300" i="32"/>
  <c r="AQ300" i="32"/>
  <c r="AP301" i="32"/>
  <c r="AQ301" i="32"/>
  <c r="AP302" i="32"/>
  <c r="AQ302" i="32"/>
  <c r="AP303" i="32"/>
  <c r="AQ303" i="32"/>
  <c r="AP304" i="32"/>
  <c r="AQ304" i="32"/>
  <c r="AP305" i="32"/>
  <c r="AQ305" i="32"/>
  <c r="AP306" i="32"/>
  <c r="AQ306" i="32"/>
  <c r="AP307" i="32"/>
  <c r="AQ307" i="32"/>
  <c r="AP308" i="32"/>
  <c r="AQ308" i="32"/>
  <c r="AP309" i="32"/>
  <c r="AQ309" i="32"/>
  <c r="AP310" i="32"/>
  <c r="AQ310" i="32"/>
  <c r="AP311" i="32"/>
  <c r="AQ311" i="32"/>
  <c r="AP312" i="32"/>
  <c r="AQ312" i="32"/>
  <c r="AP313" i="32"/>
  <c r="AQ313" i="32"/>
  <c r="AP314" i="32"/>
  <c r="AQ314" i="32"/>
  <c r="AP315" i="32"/>
  <c r="AQ315" i="32"/>
  <c r="AP316" i="32"/>
  <c r="AQ316" i="32"/>
  <c r="AP317" i="32"/>
  <c r="AQ317" i="32"/>
  <c r="AP318" i="32"/>
  <c r="AQ318" i="32"/>
  <c r="AP319" i="32"/>
  <c r="AQ319" i="32"/>
  <c r="AP320" i="32"/>
  <c r="AQ320" i="32"/>
  <c r="AP321" i="32"/>
  <c r="AQ321" i="32"/>
  <c r="AP322" i="32"/>
  <c r="AQ322" i="32"/>
  <c r="AP323" i="32"/>
  <c r="AQ323" i="32"/>
  <c r="AP324" i="32"/>
  <c r="AQ324" i="32"/>
  <c r="AP325" i="32"/>
  <c r="AQ325" i="32"/>
  <c r="AP326" i="32"/>
  <c r="AQ326" i="32"/>
  <c r="AP327" i="32"/>
  <c r="AQ327" i="32"/>
  <c r="AP328" i="32"/>
  <c r="AQ328" i="32"/>
  <c r="AP329" i="32"/>
  <c r="AQ329" i="32"/>
  <c r="AP330" i="32"/>
  <c r="AQ330" i="32"/>
  <c r="AP331" i="32"/>
  <c r="AQ331" i="32"/>
  <c r="AP332" i="32"/>
  <c r="AQ332" i="32"/>
  <c r="AP333" i="32"/>
  <c r="AQ333" i="32"/>
  <c r="AP334" i="32"/>
  <c r="AQ334" i="32"/>
  <c r="AP335" i="32"/>
  <c r="AQ335" i="32"/>
  <c r="AP336" i="32"/>
  <c r="AQ336" i="32"/>
  <c r="AP337" i="32"/>
  <c r="AQ337" i="32"/>
  <c r="AP338" i="32"/>
  <c r="AQ338" i="32"/>
  <c r="AP339" i="32"/>
  <c r="AQ339" i="32"/>
  <c r="AP340" i="32"/>
  <c r="AQ340" i="32"/>
  <c r="AP341" i="32"/>
  <c r="AQ341" i="32"/>
  <c r="AP342" i="32"/>
  <c r="AQ342" i="32"/>
  <c r="AP343" i="32"/>
  <c r="AQ343" i="32"/>
  <c r="AP344" i="32"/>
  <c r="AQ344" i="32"/>
  <c r="AP345" i="32"/>
  <c r="AQ345" i="32"/>
  <c r="AP346" i="32"/>
  <c r="AQ346" i="32"/>
  <c r="AP347" i="32"/>
  <c r="AQ347" i="32"/>
  <c r="AP348" i="32"/>
  <c r="AQ348" i="32"/>
  <c r="AP349" i="32"/>
  <c r="AQ349" i="32"/>
  <c r="AP350" i="32"/>
  <c r="AQ350" i="32"/>
  <c r="AP351" i="32"/>
  <c r="AQ351" i="32"/>
  <c r="AP352" i="32"/>
  <c r="AQ352" i="32"/>
  <c r="AP353" i="32"/>
  <c r="AQ353" i="32"/>
  <c r="AP354" i="32"/>
  <c r="AQ354" i="32"/>
  <c r="AP355" i="32"/>
  <c r="AQ355" i="32"/>
  <c r="AP356" i="32"/>
  <c r="AQ356" i="32"/>
  <c r="AP357" i="32"/>
  <c r="AQ357" i="32"/>
  <c r="AP358" i="32"/>
  <c r="AQ358" i="32"/>
  <c r="AP359" i="32"/>
  <c r="AQ359" i="32"/>
  <c r="AP360" i="32"/>
  <c r="AQ360" i="32"/>
  <c r="AP361" i="32"/>
  <c r="AQ361" i="32"/>
  <c r="AP362" i="32"/>
  <c r="AQ362" i="32"/>
  <c r="AP363" i="32"/>
  <c r="AQ363" i="32"/>
  <c r="AP364" i="32"/>
  <c r="AQ364" i="32"/>
  <c r="AP365" i="32"/>
  <c r="AQ365" i="32"/>
  <c r="AP366" i="32"/>
  <c r="AQ366" i="32"/>
  <c r="AP367" i="32"/>
  <c r="AQ367" i="32"/>
  <c r="AP368" i="32"/>
  <c r="AQ368" i="32"/>
  <c r="AP369" i="32"/>
  <c r="AQ369" i="32"/>
  <c r="AP370" i="32"/>
  <c r="AQ370" i="32"/>
  <c r="AP371" i="32"/>
  <c r="AQ371" i="32"/>
  <c r="AP372" i="32"/>
  <c r="AQ372" i="32"/>
  <c r="AP373" i="32"/>
  <c r="AQ373" i="32"/>
  <c r="AP374" i="32"/>
  <c r="AQ374" i="32"/>
  <c r="AP375" i="32"/>
  <c r="AQ375" i="32"/>
  <c r="AP376" i="32"/>
  <c r="AQ376" i="32"/>
  <c r="AP377" i="32"/>
  <c r="AQ377" i="32"/>
  <c r="AP378" i="32"/>
  <c r="AQ378" i="32"/>
  <c r="AP379" i="32"/>
  <c r="AQ379" i="32"/>
  <c r="AP380" i="32"/>
  <c r="AQ380" i="32"/>
  <c r="AP381" i="32"/>
  <c r="AQ381" i="32"/>
  <c r="AP382" i="32"/>
  <c r="AQ382" i="32"/>
  <c r="AP383" i="32"/>
  <c r="AQ383" i="32"/>
  <c r="AP384" i="32"/>
  <c r="AQ384" i="32"/>
  <c r="AP385" i="32"/>
  <c r="AQ385" i="32"/>
  <c r="AP386" i="32"/>
  <c r="AQ386" i="32"/>
  <c r="AP387" i="32"/>
  <c r="AQ387" i="32"/>
  <c r="AP388" i="32"/>
  <c r="AQ388" i="32"/>
  <c r="AP389" i="32"/>
  <c r="AQ389" i="32"/>
  <c r="AP390" i="32"/>
  <c r="AQ390" i="32"/>
  <c r="AP391" i="32"/>
  <c r="AQ391" i="32"/>
  <c r="AP392" i="32"/>
  <c r="AQ392" i="32"/>
  <c r="AP393" i="32"/>
  <c r="AQ393" i="32"/>
  <c r="AP394" i="32"/>
  <c r="AQ394" i="32"/>
  <c r="AP395" i="32"/>
  <c r="AQ395" i="32"/>
  <c r="AP396" i="32"/>
  <c r="AQ396" i="32"/>
  <c r="AP397" i="32"/>
  <c r="AQ397" i="32"/>
  <c r="AP398" i="32"/>
  <c r="AQ398" i="32"/>
  <c r="AP399" i="32"/>
  <c r="AQ399" i="32"/>
  <c r="AP400" i="32"/>
  <c r="AQ400" i="32"/>
  <c r="AP401" i="32"/>
  <c r="AQ401" i="32"/>
  <c r="AP402" i="32"/>
  <c r="AQ402" i="32"/>
  <c r="AP403" i="32"/>
  <c r="AQ403" i="32"/>
  <c r="AP404" i="32"/>
  <c r="AQ404" i="32"/>
  <c r="AP405" i="32"/>
  <c r="AQ405" i="32"/>
  <c r="AP406" i="32"/>
  <c r="AQ406" i="32"/>
  <c r="AP407" i="32"/>
  <c r="AQ407" i="32"/>
  <c r="AP408" i="32"/>
  <c r="AQ408" i="32"/>
  <c r="AP409" i="32"/>
  <c r="AQ409" i="32"/>
  <c r="AP410" i="32"/>
  <c r="AQ410" i="32"/>
  <c r="AP411" i="32"/>
  <c r="AQ411" i="32"/>
  <c r="AP412" i="32"/>
  <c r="AQ412" i="32"/>
  <c r="AP413" i="32"/>
  <c r="AQ413" i="32"/>
  <c r="AP414" i="32"/>
  <c r="AQ414" i="32"/>
  <c r="AP415" i="32"/>
  <c r="AQ415" i="32"/>
  <c r="AP416" i="32"/>
  <c r="AQ416" i="32"/>
  <c r="AP417" i="32"/>
  <c r="AQ417" i="32"/>
  <c r="AP418" i="32"/>
  <c r="AQ418" i="32"/>
  <c r="AP419" i="32"/>
  <c r="AQ419" i="32"/>
  <c r="AP420" i="32"/>
  <c r="AQ420" i="32"/>
  <c r="AP421" i="32"/>
  <c r="AQ421" i="32"/>
  <c r="AP422" i="32"/>
  <c r="AQ422" i="32"/>
  <c r="AP423" i="32"/>
  <c r="AQ423" i="32"/>
  <c r="AP424" i="32"/>
  <c r="AQ424" i="32"/>
  <c r="AP425" i="32"/>
  <c r="AQ425" i="32"/>
  <c r="AP426" i="32"/>
  <c r="AQ426" i="32"/>
  <c r="AP427" i="32"/>
  <c r="AQ427" i="32"/>
  <c r="AP428" i="32"/>
  <c r="AQ428" i="32"/>
  <c r="AP429" i="32"/>
  <c r="AQ429" i="32"/>
  <c r="AP430" i="32"/>
  <c r="AQ430" i="32"/>
  <c r="AP431" i="32"/>
  <c r="AQ431" i="32"/>
  <c r="AP432" i="32"/>
  <c r="AQ432" i="32"/>
  <c r="AP433" i="32"/>
  <c r="AQ433" i="32"/>
  <c r="AP434" i="32"/>
  <c r="AQ434" i="32"/>
  <c r="AP435" i="32"/>
  <c r="AQ435" i="32"/>
  <c r="AP436" i="32"/>
  <c r="AQ436" i="32"/>
  <c r="AP437" i="32"/>
  <c r="AQ437" i="32"/>
  <c r="AP438" i="32"/>
  <c r="AQ438" i="32"/>
  <c r="AP439" i="32"/>
  <c r="AQ439" i="32"/>
  <c r="AP440" i="32"/>
  <c r="AQ440" i="32"/>
  <c r="AP441" i="32"/>
  <c r="AQ441" i="32"/>
  <c r="AP442" i="32"/>
  <c r="AQ442" i="32"/>
  <c r="AP443" i="32"/>
  <c r="AQ443" i="32"/>
  <c r="AP444" i="32"/>
  <c r="AQ444" i="32"/>
  <c r="AP445" i="32"/>
  <c r="AQ445" i="32"/>
  <c r="AP446" i="32"/>
  <c r="AQ446" i="32"/>
  <c r="AP447" i="32"/>
  <c r="AQ447" i="32"/>
  <c r="AH4" i="32"/>
  <c r="AH5" i="32"/>
  <c r="AH6" i="32"/>
  <c r="AH7" i="32"/>
  <c r="AH8" i="32"/>
  <c r="AH9" i="32"/>
  <c r="AH10" i="32"/>
  <c r="AH11" i="32"/>
  <c r="AH12" i="32"/>
  <c r="AH13" i="32"/>
  <c r="AH14" i="32"/>
  <c r="AH15" i="32"/>
  <c r="AH16" i="32"/>
  <c r="AH17" i="32"/>
  <c r="AH18" i="32"/>
  <c r="AH19" i="32"/>
  <c r="AH20" i="32"/>
  <c r="AH21" i="32"/>
  <c r="AH22" i="32"/>
  <c r="AH23" i="32"/>
  <c r="AH24" i="32"/>
  <c r="AH25" i="32"/>
  <c r="AH26" i="32"/>
  <c r="AH27" i="32"/>
  <c r="AH28" i="32"/>
  <c r="AH29" i="32"/>
  <c r="AH30" i="32"/>
  <c r="AH31" i="32"/>
  <c r="AH32" i="32"/>
  <c r="AH33" i="32"/>
  <c r="AH34" i="32"/>
  <c r="AH35" i="32"/>
  <c r="AH36" i="32"/>
  <c r="AH37" i="32"/>
  <c r="AH38" i="32"/>
  <c r="AH39" i="32"/>
  <c r="AH40" i="32"/>
  <c r="AH41" i="32"/>
  <c r="AH42" i="32"/>
  <c r="AH43" i="32"/>
  <c r="AH44" i="32"/>
  <c r="AH45" i="32"/>
  <c r="AH46" i="32"/>
  <c r="AH47" i="32"/>
  <c r="AH48" i="32"/>
  <c r="AH49" i="32"/>
  <c r="AH50" i="32"/>
  <c r="AH51" i="32"/>
  <c r="AH52" i="32"/>
  <c r="AH53" i="32"/>
  <c r="AH54" i="32"/>
  <c r="AH55" i="32"/>
  <c r="AH56" i="32"/>
  <c r="AH57" i="32"/>
  <c r="AH58" i="32"/>
  <c r="AH59" i="32"/>
  <c r="AH60" i="32"/>
  <c r="AH61" i="32"/>
  <c r="AH62" i="32"/>
  <c r="AH63" i="32"/>
  <c r="AH64" i="32"/>
  <c r="AH65" i="32"/>
  <c r="AH66" i="32"/>
  <c r="AH67" i="32"/>
  <c r="AH68" i="32"/>
  <c r="AH69" i="32"/>
  <c r="AH70" i="32"/>
  <c r="AH71" i="32"/>
  <c r="AH72" i="32"/>
  <c r="AH73" i="32"/>
  <c r="AH74" i="32"/>
  <c r="AH75" i="32"/>
  <c r="AH76" i="32"/>
  <c r="AH77" i="32"/>
  <c r="AH78" i="32"/>
  <c r="AH79" i="32"/>
  <c r="AH80" i="32"/>
  <c r="AH81" i="32"/>
  <c r="AH82" i="32"/>
  <c r="AH83" i="32"/>
  <c r="AH84" i="32"/>
  <c r="AH85" i="32"/>
  <c r="AH86" i="32"/>
  <c r="AH87" i="32"/>
  <c r="AH88" i="32"/>
  <c r="AH89" i="32"/>
  <c r="AH90" i="32"/>
  <c r="AH91" i="32"/>
  <c r="AH92" i="32"/>
  <c r="AH93" i="32"/>
  <c r="AH94" i="32"/>
  <c r="AH95" i="32"/>
  <c r="AH96" i="32"/>
  <c r="AH97" i="32"/>
  <c r="AH98" i="32"/>
  <c r="AH99" i="32"/>
  <c r="AH100" i="32"/>
  <c r="AH101" i="32"/>
  <c r="AH102" i="32"/>
  <c r="AH103" i="32"/>
  <c r="AH104" i="32"/>
  <c r="AH105" i="32"/>
  <c r="AH106" i="32"/>
  <c r="AH107" i="32"/>
  <c r="AH108" i="32"/>
  <c r="AH109" i="32"/>
  <c r="AH110" i="32"/>
  <c r="AH111" i="32"/>
  <c r="AH112" i="32"/>
  <c r="AH113" i="32"/>
  <c r="AH114" i="32"/>
  <c r="AH115" i="32"/>
  <c r="AH116" i="32"/>
  <c r="AH117" i="32"/>
  <c r="AH118" i="32"/>
  <c r="AH119" i="32"/>
  <c r="AH120" i="32"/>
  <c r="AH121" i="32"/>
  <c r="AH122" i="32"/>
  <c r="AH123" i="32"/>
  <c r="AH124" i="32"/>
  <c r="AH125" i="32"/>
  <c r="AH126" i="32"/>
  <c r="AH127" i="32"/>
  <c r="AH128" i="32"/>
  <c r="AH129" i="32"/>
  <c r="AH130" i="32"/>
  <c r="AH131" i="32"/>
  <c r="AH132" i="32"/>
  <c r="AH133" i="32"/>
  <c r="AH134" i="32"/>
  <c r="AH135" i="32"/>
  <c r="AH136" i="32"/>
  <c r="AH137" i="32"/>
  <c r="AH138" i="32"/>
  <c r="AH139" i="32"/>
  <c r="AH140" i="32"/>
  <c r="AH141" i="32"/>
  <c r="AH142" i="32"/>
  <c r="AH143" i="32"/>
  <c r="AH144" i="32"/>
  <c r="AH145" i="32"/>
  <c r="AH146" i="32"/>
  <c r="AH147" i="32"/>
  <c r="AH148" i="32"/>
  <c r="AH149" i="32"/>
  <c r="AH150" i="32"/>
  <c r="AH151" i="32"/>
  <c r="AH152" i="32"/>
  <c r="AH153" i="32"/>
  <c r="AH154" i="32"/>
  <c r="AH155" i="32"/>
  <c r="AH156" i="32"/>
  <c r="AH157" i="32"/>
  <c r="AH158" i="32"/>
  <c r="AH159" i="32"/>
  <c r="AH160" i="32"/>
  <c r="AH161" i="32"/>
  <c r="AH162" i="32"/>
  <c r="AH163" i="32"/>
  <c r="AH164" i="32"/>
  <c r="AH165" i="32"/>
  <c r="AH166" i="32"/>
  <c r="AH167" i="32"/>
  <c r="AH168" i="32"/>
  <c r="AH169" i="32"/>
  <c r="AH170" i="32"/>
  <c r="AH171" i="32"/>
  <c r="AH172" i="32"/>
  <c r="AH173" i="32"/>
  <c r="AH174" i="32"/>
  <c r="AH175" i="32"/>
  <c r="AH176" i="32"/>
  <c r="AH177" i="32"/>
  <c r="AH178" i="32"/>
  <c r="AH179" i="32"/>
  <c r="AH180" i="32"/>
  <c r="AH181" i="32"/>
  <c r="AH182" i="32"/>
  <c r="AH183" i="32"/>
  <c r="AH184" i="32"/>
  <c r="AH185" i="32"/>
  <c r="AH186" i="32"/>
  <c r="AH187" i="32"/>
  <c r="AH188" i="32"/>
  <c r="AH189" i="32"/>
  <c r="AH190" i="32"/>
  <c r="AH191" i="32"/>
  <c r="AH192" i="32"/>
  <c r="AH193" i="32"/>
  <c r="AH194" i="32"/>
  <c r="AH195" i="32"/>
  <c r="AH196" i="32"/>
  <c r="AH197" i="32"/>
  <c r="AH198" i="32"/>
  <c r="AH199" i="32"/>
  <c r="AH200" i="32"/>
  <c r="AH201" i="32"/>
  <c r="AH202" i="32"/>
  <c r="AH203" i="32"/>
  <c r="AH204" i="32"/>
  <c r="AH205" i="32"/>
  <c r="AH206" i="32"/>
  <c r="AH207" i="32"/>
  <c r="AH208" i="32"/>
  <c r="AH209" i="32"/>
  <c r="AH210" i="32"/>
  <c r="AH211" i="32"/>
  <c r="AH212" i="32"/>
  <c r="AH213" i="32"/>
  <c r="AH214" i="32"/>
  <c r="AH215" i="32"/>
  <c r="AH216" i="32"/>
  <c r="AH217" i="32"/>
  <c r="AH218" i="32"/>
  <c r="AH219" i="32"/>
  <c r="AH220" i="32"/>
  <c r="AH221" i="32"/>
  <c r="AH222" i="32"/>
  <c r="AH223" i="32"/>
  <c r="AH224" i="32"/>
  <c r="AH225" i="32"/>
  <c r="AH226" i="32"/>
  <c r="AH227" i="32"/>
  <c r="AH228" i="32"/>
  <c r="AH229" i="32"/>
  <c r="AH230" i="32"/>
  <c r="AH231" i="32"/>
  <c r="AH232" i="32"/>
  <c r="AH233" i="32"/>
  <c r="AH234" i="32"/>
  <c r="AH235" i="32"/>
  <c r="AH236" i="32"/>
  <c r="AH237" i="32"/>
  <c r="AH238" i="32"/>
  <c r="AH239" i="32"/>
  <c r="AH240" i="32"/>
  <c r="AH241" i="32"/>
  <c r="AH242" i="32"/>
  <c r="AH243" i="32"/>
  <c r="Q23" i="12"/>
  <c r="AH244" i="32"/>
  <c r="AH245" i="32"/>
  <c r="AH246" i="32"/>
  <c r="AH247" i="32"/>
  <c r="AH248" i="32"/>
  <c r="AH249" i="32"/>
  <c r="AH250" i="32"/>
  <c r="AH251" i="32"/>
  <c r="AH252" i="32"/>
  <c r="AH253" i="32"/>
  <c r="AH254" i="32"/>
  <c r="AH255" i="32"/>
  <c r="AH256" i="32"/>
  <c r="AH257" i="32"/>
  <c r="AH258" i="32"/>
  <c r="AH259" i="32"/>
  <c r="AH260" i="32"/>
  <c r="AH261" i="32"/>
  <c r="AH262" i="32"/>
  <c r="AH263" i="32"/>
  <c r="AH264" i="32"/>
  <c r="AH265" i="32"/>
  <c r="AH266" i="32"/>
  <c r="AH267" i="32"/>
  <c r="AH268" i="32"/>
  <c r="AH269" i="32"/>
  <c r="AH270" i="32"/>
  <c r="AH271" i="32"/>
  <c r="AH272" i="32"/>
  <c r="AH273" i="32"/>
  <c r="AH274" i="32"/>
  <c r="AH275" i="32"/>
  <c r="AH276" i="32"/>
  <c r="AH277" i="32"/>
  <c r="AH278" i="32"/>
  <c r="AH279" i="32"/>
  <c r="AH280" i="32"/>
  <c r="AH281" i="32"/>
  <c r="AH282" i="32"/>
  <c r="AH283" i="32"/>
  <c r="AH284" i="32"/>
  <c r="AH285" i="32"/>
  <c r="AH286" i="32"/>
  <c r="AH287" i="32"/>
  <c r="AH288" i="32"/>
  <c r="AH289" i="32"/>
  <c r="AH290" i="32"/>
  <c r="AH291" i="32"/>
  <c r="AH292" i="32"/>
  <c r="AH293" i="32"/>
  <c r="AH294" i="32"/>
  <c r="AH295" i="32"/>
  <c r="AH296" i="32"/>
  <c r="AH297" i="32"/>
  <c r="AH298" i="32"/>
  <c r="AH299" i="32"/>
  <c r="AH300" i="32"/>
  <c r="AH301" i="32"/>
  <c r="AH302" i="32"/>
  <c r="AH303" i="32"/>
  <c r="AH304" i="32"/>
  <c r="AH305" i="32"/>
  <c r="AH306" i="32"/>
  <c r="AH307" i="32"/>
  <c r="AH308" i="32"/>
  <c r="AH309" i="32"/>
  <c r="AH310" i="32"/>
  <c r="AH311" i="32"/>
  <c r="AH312" i="32"/>
  <c r="AH313" i="32"/>
  <c r="AH314" i="32"/>
  <c r="AH315" i="32"/>
  <c r="AH316" i="32"/>
  <c r="AH317" i="32"/>
  <c r="AH318" i="32"/>
  <c r="AH319" i="32"/>
  <c r="AH320" i="32"/>
  <c r="AH321" i="32"/>
  <c r="AH322" i="32"/>
  <c r="AH323" i="32"/>
  <c r="AH324" i="32"/>
  <c r="AH325" i="32"/>
  <c r="AH326" i="32"/>
  <c r="AH327" i="32"/>
  <c r="AH328" i="32"/>
  <c r="AH329" i="32"/>
  <c r="AH330" i="32"/>
  <c r="AH331" i="32"/>
  <c r="AH332" i="32"/>
  <c r="AH333" i="32"/>
  <c r="AH334" i="32"/>
  <c r="AH335" i="32"/>
  <c r="AH336" i="32"/>
  <c r="AH337" i="32"/>
  <c r="AH338" i="32"/>
  <c r="AH339" i="32"/>
  <c r="AH340" i="32"/>
  <c r="AH341" i="32"/>
  <c r="AH342" i="32"/>
  <c r="AH343" i="32"/>
  <c r="AH344" i="32"/>
  <c r="AH345" i="32"/>
  <c r="AH346" i="32"/>
  <c r="AH347" i="32"/>
  <c r="AH348" i="32"/>
  <c r="AH349" i="32"/>
  <c r="AH350" i="32"/>
  <c r="AH351" i="32"/>
  <c r="AH352" i="32"/>
  <c r="AH353" i="32"/>
  <c r="AH354" i="32"/>
  <c r="AH355" i="32"/>
  <c r="AH356" i="32"/>
  <c r="AH357" i="32"/>
  <c r="AH358" i="32"/>
  <c r="AH359" i="32"/>
  <c r="AH360" i="32"/>
  <c r="AH361" i="32"/>
  <c r="AH362" i="32"/>
  <c r="AH363" i="32"/>
  <c r="AH364" i="32"/>
  <c r="AH365" i="32"/>
  <c r="AH366" i="32"/>
  <c r="AH367" i="32"/>
  <c r="AH368" i="32"/>
  <c r="AH369" i="32"/>
  <c r="AH370" i="32"/>
  <c r="AH371" i="32"/>
  <c r="AH372" i="32"/>
  <c r="AH373" i="32"/>
  <c r="AH374" i="32"/>
  <c r="AH375" i="32"/>
  <c r="AH376" i="32"/>
  <c r="AH377" i="32"/>
  <c r="AH378" i="32"/>
  <c r="AH379" i="32"/>
  <c r="AH380" i="32"/>
  <c r="AH381" i="32"/>
  <c r="AH382" i="32"/>
  <c r="AH383" i="32"/>
  <c r="AH384" i="32"/>
  <c r="AH385" i="32"/>
  <c r="AH386" i="32"/>
  <c r="AH387" i="32"/>
  <c r="AH388" i="32"/>
  <c r="AH389" i="32"/>
  <c r="AH390" i="32"/>
  <c r="AH391" i="32"/>
  <c r="AH392" i="32"/>
  <c r="AH393" i="32"/>
  <c r="AH394" i="32"/>
  <c r="AH395" i="32"/>
  <c r="AH396" i="32"/>
  <c r="AH397" i="32"/>
  <c r="AH398" i="32"/>
  <c r="AH399" i="32"/>
  <c r="AH400" i="32"/>
  <c r="AH401" i="32"/>
  <c r="AH402" i="32"/>
  <c r="AH403" i="32"/>
  <c r="AH404" i="32"/>
  <c r="AH405" i="32"/>
  <c r="AH406" i="32"/>
  <c r="AH407" i="32"/>
  <c r="AH408" i="32"/>
  <c r="AH409" i="32"/>
  <c r="AH410" i="32"/>
  <c r="AH411" i="32"/>
  <c r="AH412" i="32"/>
  <c r="AH413" i="32"/>
  <c r="AH414" i="32"/>
  <c r="AH415" i="32"/>
  <c r="AH416" i="32"/>
  <c r="AH417" i="32"/>
  <c r="AH418" i="32"/>
  <c r="AH419" i="32"/>
  <c r="AH420" i="32"/>
  <c r="AH421" i="32"/>
  <c r="AH422" i="32"/>
  <c r="AH423" i="32"/>
  <c r="AH424" i="32"/>
  <c r="AH425" i="32"/>
  <c r="AH426" i="32"/>
  <c r="AH427" i="32"/>
  <c r="AH428" i="32"/>
  <c r="AH429" i="32"/>
  <c r="AH430" i="32"/>
  <c r="AH431" i="32"/>
  <c r="AH432" i="32"/>
  <c r="AH433" i="32"/>
  <c r="AH434" i="32"/>
  <c r="AH435" i="32"/>
  <c r="AH436" i="32"/>
  <c r="AH437" i="32"/>
  <c r="AH438" i="32"/>
  <c r="AH439" i="32"/>
  <c r="AH440" i="32"/>
  <c r="AH441" i="32"/>
  <c r="AH442" i="32"/>
  <c r="AH443" i="32"/>
  <c r="AH444" i="32"/>
  <c r="AH445" i="32"/>
  <c r="AH446" i="32"/>
  <c r="AH447" i="32"/>
  <c r="AH448" i="32"/>
  <c r="AJ4" i="32"/>
  <c r="AQ4" i="32"/>
  <c r="AP4" i="32"/>
  <c r="AG5" i="32"/>
  <c r="AG4" i="32"/>
  <c r="AG6" i="32"/>
  <c r="AG7" i="32"/>
  <c r="AG8" i="32"/>
  <c r="AG9" i="32"/>
  <c r="AG10" i="32"/>
  <c r="AG11" i="32"/>
  <c r="AG12" i="32"/>
  <c r="AG13" i="32"/>
  <c r="AG14" i="32"/>
  <c r="AG15" i="32"/>
  <c r="AG16" i="32"/>
  <c r="AG17" i="32"/>
  <c r="AG18" i="32"/>
  <c r="AG19" i="32"/>
  <c r="AG20" i="32"/>
  <c r="AG21" i="32"/>
  <c r="AG22" i="32"/>
  <c r="AG23" i="32"/>
  <c r="AG24" i="32"/>
  <c r="AG25" i="32"/>
  <c r="AG26" i="32"/>
  <c r="AG27" i="32"/>
  <c r="AG28" i="32"/>
  <c r="AG29" i="32"/>
  <c r="AG30" i="32"/>
  <c r="AG31" i="32"/>
  <c r="AG32" i="32"/>
  <c r="AG33" i="32"/>
  <c r="AG34" i="32"/>
  <c r="AG35" i="32"/>
  <c r="AG36" i="32"/>
  <c r="AG37" i="32"/>
  <c r="AG38" i="32"/>
  <c r="AG39" i="32"/>
  <c r="AG40" i="32"/>
  <c r="AG41" i="32"/>
  <c r="AG42" i="32"/>
  <c r="AG43" i="32"/>
  <c r="AG44" i="32"/>
  <c r="AG45" i="32"/>
  <c r="AG46" i="32"/>
  <c r="AG47" i="32"/>
  <c r="AG48" i="32"/>
  <c r="AG49" i="32"/>
  <c r="AG50" i="32"/>
  <c r="AG51" i="32"/>
  <c r="AG52" i="32"/>
  <c r="AG53" i="32"/>
  <c r="AG54" i="32"/>
  <c r="AG55" i="32"/>
  <c r="AG56" i="32"/>
  <c r="AG57" i="32"/>
  <c r="AG58" i="32"/>
  <c r="AG59" i="32"/>
  <c r="K59" i="12"/>
  <c r="AG60" i="32"/>
  <c r="AG61" i="32"/>
  <c r="AG62" i="32"/>
  <c r="AG63" i="32"/>
  <c r="AG64" i="32"/>
  <c r="AG65" i="32"/>
  <c r="AG66" i="32"/>
  <c r="AG67" i="32"/>
  <c r="AG68" i="32"/>
  <c r="AG69" i="32"/>
  <c r="AG70" i="32"/>
  <c r="AG71" i="32"/>
  <c r="AG72" i="32"/>
  <c r="AG73" i="32"/>
  <c r="AG74" i="32"/>
  <c r="AG75" i="32"/>
  <c r="AG76" i="32"/>
  <c r="AG77" i="32"/>
  <c r="AG78" i="32"/>
  <c r="AG79" i="32"/>
  <c r="AG80" i="32"/>
  <c r="AG81" i="32"/>
  <c r="AG82" i="32"/>
  <c r="AG83" i="32"/>
  <c r="AG84" i="32"/>
  <c r="AG85" i="32"/>
  <c r="AG86" i="32"/>
  <c r="AG87" i="32"/>
  <c r="AG88" i="32"/>
  <c r="AG89" i="32"/>
  <c r="AG90" i="32"/>
  <c r="AG91" i="32"/>
  <c r="AG92" i="32"/>
  <c r="AG93" i="32"/>
  <c r="AG94" i="32"/>
  <c r="AG95" i="32"/>
  <c r="AG96" i="32"/>
  <c r="AG97" i="32"/>
  <c r="AG98" i="32"/>
  <c r="AG99" i="32"/>
  <c r="AG100" i="32"/>
  <c r="AG101" i="32"/>
  <c r="AG102" i="32"/>
  <c r="AG103" i="32"/>
  <c r="AG104" i="32"/>
  <c r="AG105" i="32"/>
  <c r="AG106" i="32"/>
  <c r="AG107" i="32"/>
  <c r="AG108" i="32"/>
  <c r="AG109" i="32"/>
  <c r="AG110" i="32"/>
  <c r="AG111" i="32"/>
  <c r="AG112" i="32"/>
  <c r="AG113" i="32"/>
  <c r="AG114" i="32"/>
  <c r="AG115" i="32"/>
  <c r="AG116" i="32"/>
  <c r="AG117" i="32"/>
  <c r="AG118" i="32"/>
  <c r="AG119" i="32"/>
  <c r="AG120" i="32"/>
  <c r="AG121" i="32"/>
  <c r="AG122" i="32"/>
  <c r="AG123" i="32"/>
  <c r="AG124" i="32"/>
  <c r="AG125" i="32"/>
  <c r="AG126" i="32"/>
  <c r="AG127" i="32"/>
  <c r="AG128" i="32"/>
  <c r="AG129" i="32"/>
  <c r="AG130" i="32"/>
  <c r="AG131" i="32"/>
  <c r="AG132" i="32"/>
  <c r="AG133" i="32"/>
  <c r="AG134" i="32"/>
  <c r="AG135" i="32"/>
  <c r="AG136" i="32"/>
  <c r="AG137" i="32"/>
  <c r="AG138" i="32"/>
  <c r="AG139" i="32"/>
  <c r="AG140" i="32"/>
  <c r="AG141" i="32"/>
  <c r="AG142" i="32"/>
  <c r="AG143" i="32"/>
  <c r="AG144" i="32"/>
  <c r="AG145" i="32"/>
  <c r="AG146" i="32"/>
  <c r="AG147" i="32"/>
  <c r="AG148" i="32"/>
  <c r="AG149" i="32"/>
  <c r="AG150" i="32"/>
  <c r="AG151" i="32"/>
  <c r="AG152" i="32"/>
  <c r="AG153" i="32"/>
  <c r="AG154" i="32"/>
  <c r="AG155" i="32"/>
  <c r="AG156" i="32"/>
  <c r="AG157" i="32"/>
  <c r="AG158" i="32"/>
  <c r="AG159" i="32"/>
  <c r="AG160" i="32"/>
  <c r="AG161" i="32"/>
  <c r="AG162" i="32"/>
  <c r="AG163" i="32"/>
  <c r="AG164" i="32"/>
  <c r="AG165" i="32"/>
  <c r="AG166" i="32"/>
  <c r="AG167" i="32"/>
  <c r="AG168" i="32"/>
  <c r="AG169" i="32"/>
  <c r="AG170" i="32"/>
  <c r="AG171" i="32"/>
  <c r="AG172" i="32"/>
  <c r="AG173" i="32"/>
  <c r="AG174" i="32"/>
  <c r="AG175" i="32"/>
  <c r="AG176" i="32"/>
  <c r="AG177" i="32"/>
  <c r="AG178" i="32"/>
  <c r="AG179" i="32"/>
  <c r="AG180" i="32"/>
  <c r="AG181" i="32"/>
  <c r="AG182" i="32"/>
  <c r="AG183" i="32"/>
  <c r="AG184" i="32"/>
  <c r="AG185" i="32"/>
  <c r="AG186" i="32"/>
  <c r="AG187" i="32"/>
  <c r="AG188" i="32"/>
  <c r="AG189" i="32"/>
  <c r="AG190" i="32"/>
  <c r="AG191" i="32"/>
  <c r="AG192" i="32"/>
  <c r="AG193" i="32"/>
  <c r="AG194" i="32"/>
  <c r="AG195" i="32"/>
  <c r="AG196" i="32"/>
  <c r="AG197" i="32"/>
  <c r="AG198" i="32"/>
  <c r="AG199" i="32"/>
  <c r="AG200" i="32"/>
  <c r="AG201" i="32"/>
  <c r="AG202" i="32"/>
  <c r="AG203" i="32"/>
  <c r="AG204" i="32"/>
  <c r="AG205" i="32"/>
  <c r="AG206" i="32"/>
  <c r="AG207" i="32"/>
  <c r="AG208" i="32"/>
  <c r="AG209" i="32"/>
  <c r="AG210" i="32"/>
  <c r="AG211" i="32"/>
  <c r="AG212" i="32"/>
  <c r="AG213" i="32"/>
  <c r="AG214" i="32"/>
  <c r="AG215" i="32"/>
  <c r="AG216" i="32"/>
  <c r="AG217" i="32"/>
  <c r="AG218" i="32"/>
  <c r="AG219" i="32"/>
  <c r="AG220" i="32"/>
  <c r="AG221" i="32"/>
  <c r="AG222" i="32"/>
  <c r="AG223" i="32"/>
  <c r="AG224" i="32"/>
  <c r="AG225" i="32"/>
  <c r="AG226" i="32"/>
  <c r="AG227" i="32"/>
  <c r="AG228" i="32"/>
  <c r="AG229" i="32"/>
  <c r="AG230" i="32"/>
  <c r="AG231" i="32"/>
  <c r="AG232" i="32"/>
  <c r="AG233" i="32"/>
  <c r="AG234" i="32"/>
  <c r="AG235" i="32"/>
  <c r="AG236" i="32"/>
  <c r="AG237" i="32"/>
  <c r="AG238" i="32"/>
  <c r="AG239" i="32"/>
  <c r="AG240" i="32"/>
  <c r="AG241" i="32"/>
  <c r="AG242" i="32"/>
  <c r="AG243" i="32"/>
  <c r="AG244" i="32"/>
  <c r="AG245" i="32"/>
  <c r="AG246" i="32"/>
  <c r="AG247" i="32"/>
  <c r="AG248" i="32"/>
  <c r="AG249" i="32"/>
  <c r="AG250" i="32"/>
  <c r="AG251" i="32"/>
  <c r="AG252" i="32"/>
  <c r="AG253" i="32"/>
  <c r="AG254" i="32"/>
  <c r="AG255" i="32"/>
  <c r="AG256" i="32"/>
  <c r="AG257" i="32"/>
  <c r="AG258" i="32"/>
  <c r="AG259" i="32"/>
  <c r="AG260" i="32"/>
  <c r="AG261" i="32"/>
  <c r="AG262" i="32"/>
  <c r="AG263" i="32"/>
  <c r="AG264" i="32"/>
  <c r="AG265" i="32"/>
  <c r="AG266" i="32"/>
  <c r="AG267" i="32"/>
  <c r="AG268" i="32"/>
  <c r="AG269" i="32"/>
  <c r="AG270" i="32"/>
  <c r="AG271" i="32"/>
  <c r="AG272" i="32"/>
  <c r="AG273" i="32"/>
  <c r="AG274" i="32"/>
  <c r="AG275" i="32"/>
  <c r="AG276" i="32"/>
  <c r="AG277" i="32"/>
  <c r="AG278" i="32"/>
  <c r="AG279" i="32"/>
  <c r="AG280" i="32"/>
  <c r="AG281" i="32"/>
  <c r="AG282" i="32"/>
  <c r="AG283" i="32"/>
  <c r="AG284" i="32"/>
  <c r="AG285" i="32"/>
  <c r="AG286" i="32"/>
  <c r="AG287" i="32"/>
  <c r="AG288" i="32"/>
  <c r="AG289" i="32"/>
  <c r="AG290" i="32"/>
  <c r="AG291" i="32"/>
  <c r="AG292" i="32"/>
  <c r="AG293" i="32"/>
  <c r="AG294" i="32"/>
  <c r="AG295" i="32"/>
  <c r="AG296" i="32"/>
  <c r="AG297" i="32"/>
  <c r="AG298" i="32"/>
  <c r="AG299" i="32"/>
  <c r="AG300" i="32"/>
  <c r="AG301" i="32"/>
  <c r="AG302" i="32"/>
  <c r="AG303" i="32"/>
  <c r="AG304" i="32"/>
  <c r="AG305" i="32"/>
  <c r="AG306" i="32"/>
  <c r="AG307" i="32"/>
  <c r="AG308" i="32"/>
  <c r="AG309" i="32"/>
  <c r="AG310" i="32"/>
  <c r="AG311" i="32"/>
  <c r="AG312" i="32"/>
  <c r="AG313" i="32"/>
  <c r="AG314" i="32"/>
  <c r="AG315" i="32"/>
  <c r="AG316" i="32"/>
  <c r="AG317" i="32"/>
  <c r="AG318" i="32"/>
  <c r="AG319" i="32"/>
  <c r="AG320" i="32"/>
  <c r="AG321" i="32"/>
  <c r="AG322" i="32"/>
  <c r="AG323" i="32"/>
  <c r="AG324" i="32"/>
  <c r="AG325" i="32"/>
  <c r="AG326" i="32"/>
  <c r="AG327" i="32"/>
  <c r="AG328" i="32"/>
  <c r="AG329" i="32"/>
  <c r="AG330" i="32"/>
  <c r="AG331" i="32"/>
  <c r="AG332" i="32"/>
  <c r="AG333" i="32"/>
  <c r="AG334" i="32"/>
  <c r="AG335" i="32"/>
  <c r="AG336" i="32"/>
  <c r="AG337" i="32"/>
  <c r="AG338" i="32"/>
  <c r="AG339" i="32"/>
  <c r="AG340" i="32"/>
  <c r="AG341" i="32"/>
  <c r="AG342" i="32"/>
  <c r="AG343" i="32"/>
  <c r="AG344" i="32"/>
  <c r="AG345" i="32"/>
  <c r="AG346" i="32"/>
  <c r="AG347" i="32"/>
  <c r="AG348" i="32"/>
  <c r="AG349" i="32"/>
  <c r="AG350" i="32"/>
  <c r="AG351" i="32"/>
  <c r="AG352" i="32"/>
  <c r="AG353" i="32"/>
  <c r="AG354" i="32"/>
  <c r="AG355" i="32"/>
  <c r="AG356" i="32"/>
  <c r="AG357" i="32"/>
  <c r="AG358" i="32"/>
  <c r="AG359" i="32"/>
  <c r="AG360" i="32"/>
  <c r="AG361" i="32"/>
  <c r="AG362" i="32"/>
  <c r="AG363" i="32"/>
  <c r="AG364" i="32"/>
  <c r="AG365" i="32"/>
  <c r="AG366" i="32"/>
  <c r="AG367" i="32"/>
  <c r="AG368" i="32"/>
  <c r="AG369" i="32"/>
  <c r="AG370" i="32"/>
  <c r="AG371" i="32"/>
  <c r="AG372" i="32"/>
  <c r="AG373" i="32"/>
  <c r="AG374" i="32"/>
  <c r="AG375" i="32"/>
  <c r="AG376" i="32"/>
  <c r="AG377" i="32"/>
  <c r="AG378" i="32"/>
  <c r="AG379" i="32"/>
  <c r="AG380" i="32"/>
  <c r="AG381" i="32"/>
  <c r="AG382" i="32"/>
  <c r="AG383" i="32"/>
  <c r="AG384" i="32"/>
  <c r="AG385" i="32"/>
  <c r="AG386" i="32"/>
  <c r="AG387" i="32"/>
  <c r="AG388" i="32"/>
  <c r="AG389" i="32"/>
  <c r="AG390" i="32"/>
  <c r="AG391" i="32"/>
  <c r="AG392" i="32"/>
  <c r="AG393" i="32"/>
  <c r="AG394" i="32"/>
  <c r="AG395" i="32"/>
  <c r="AG396" i="32"/>
  <c r="AG397" i="32"/>
  <c r="AG398" i="32"/>
  <c r="AG399" i="32"/>
  <c r="AG400" i="32"/>
  <c r="AG401" i="32"/>
  <c r="AG402" i="32"/>
  <c r="AG403" i="32"/>
  <c r="AG404" i="32"/>
  <c r="AG405" i="32"/>
  <c r="AG406" i="32"/>
  <c r="AG407" i="32"/>
  <c r="AG408" i="32"/>
  <c r="AG409" i="32"/>
  <c r="AG410" i="32"/>
  <c r="AG411" i="32"/>
  <c r="AG412" i="32"/>
  <c r="AG413" i="32"/>
  <c r="AG414" i="32"/>
  <c r="AG415" i="32"/>
  <c r="AG416" i="32"/>
  <c r="AG417" i="32"/>
  <c r="AG418" i="32"/>
  <c r="AG419" i="32"/>
  <c r="AG420" i="32"/>
  <c r="AG421" i="32"/>
  <c r="AG422" i="32"/>
  <c r="AG423" i="32"/>
  <c r="AG424" i="32"/>
  <c r="AG425" i="32"/>
  <c r="AG426" i="32"/>
  <c r="AG427" i="32"/>
  <c r="AG428" i="32"/>
  <c r="AG429" i="32"/>
  <c r="AG430" i="32"/>
  <c r="AG431" i="32"/>
  <c r="AG432" i="32"/>
  <c r="AG433" i="32"/>
  <c r="AG434" i="32"/>
  <c r="AG435" i="32"/>
  <c r="AG436" i="32"/>
  <c r="AG437" i="32"/>
  <c r="AG438" i="32"/>
  <c r="AG439" i="32"/>
  <c r="AG440" i="32"/>
  <c r="AG441" i="32"/>
  <c r="AG442" i="32"/>
  <c r="AG443" i="32"/>
  <c r="AG444" i="32"/>
  <c r="AG445" i="32"/>
  <c r="AG446" i="32"/>
  <c r="AG447" i="32"/>
  <c r="AG448" i="32"/>
  <c r="AI5" i="32"/>
  <c r="AJ5" i="32"/>
  <c r="AI6" i="32"/>
  <c r="AJ6" i="32"/>
  <c r="AI7" i="32"/>
  <c r="AJ7" i="32"/>
  <c r="AI8" i="32"/>
  <c r="AJ8" i="32"/>
  <c r="AI9" i="32"/>
  <c r="AJ9" i="32"/>
  <c r="AI10" i="32"/>
  <c r="AJ10" i="32"/>
  <c r="AI11" i="32"/>
  <c r="AJ11" i="32"/>
  <c r="AI12" i="32"/>
  <c r="AJ12" i="32"/>
  <c r="AI13" i="32"/>
  <c r="AJ13" i="32"/>
  <c r="AI14" i="32"/>
  <c r="AJ14" i="32"/>
  <c r="AI15" i="32"/>
  <c r="AJ15" i="32"/>
  <c r="AI16" i="32"/>
  <c r="AJ16" i="32"/>
  <c r="AI17" i="32"/>
  <c r="AJ17" i="32"/>
  <c r="AI18" i="32"/>
  <c r="AJ18" i="32"/>
  <c r="AI19" i="32"/>
  <c r="AJ19" i="32"/>
  <c r="AI20" i="32"/>
  <c r="AJ20" i="32"/>
  <c r="AI21" i="32"/>
  <c r="AJ21" i="32"/>
  <c r="AI22" i="32"/>
  <c r="AJ22" i="32"/>
  <c r="AI23" i="32"/>
  <c r="AJ23" i="32"/>
  <c r="AI24" i="32"/>
  <c r="AJ24" i="32"/>
  <c r="AI25" i="32"/>
  <c r="AJ25" i="32"/>
  <c r="AI26" i="32"/>
  <c r="AJ26" i="32"/>
  <c r="AI27" i="32"/>
  <c r="AJ27" i="32"/>
  <c r="AI28" i="32"/>
  <c r="AJ28" i="32"/>
  <c r="AI29" i="32"/>
  <c r="AJ29" i="32"/>
  <c r="AI30" i="32"/>
  <c r="AJ30" i="32"/>
  <c r="AI31" i="32"/>
  <c r="AJ31" i="32"/>
  <c r="AI32" i="32"/>
  <c r="AJ32" i="32"/>
  <c r="AI33" i="32"/>
  <c r="AJ33" i="32"/>
  <c r="AI34" i="32"/>
  <c r="AJ34" i="32"/>
  <c r="AI35" i="32"/>
  <c r="AJ35" i="32"/>
  <c r="AI36" i="32"/>
  <c r="AJ36" i="32"/>
  <c r="AI37" i="32"/>
  <c r="AJ37" i="32"/>
  <c r="AI38" i="32"/>
  <c r="AJ38" i="32"/>
  <c r="AI39" i="32"/>
  <c r="AJ39" i="32"/>
  <c r="AI40" i="32"/>
  <c r="AJ40" i="32"/>
  <c r="AI41" i="32"/>
  <c r="AJ41" i="32"/>
  <c r="AI42" i="32"/>
  <c r="AJ42" i="32"/>
  <c r="AI43" i="32"/>
  <c r="AJ43" i="32"/>
  <c r="AI44" i="32"/>
  <c r="AJ44" i="32"/>
  <c r="AI45" i="32"/>
  <c r="AJ45" i="32"/>
  <c r="AI46" i="32"/>
  <c r="AJ46" i="32"/>
  <c r="AI47" i="32"/>
  <c r="AJ47" i="32"/>
  <c r="AI48" i="32"/>
  <c r="AJ48" i="32"/>
  <c r="AI49" i="32"/>
  <c r="AJ49" i="32"/>
  <c r="AI50" i="32"/>
  <c r="AJ50" i="32"/>
  <c r="AI51" i="32"/>
  <c r="AJ51" i="32"/>
  <c r="AI52" i="32"/>
  <c r="AJ52" i="32"/>
  <c r="AI53" i="32"/>
  <c r="AJ53" i="32"/>
  <c r="AI54" i="32"/>
  <c r="AJ54" i="32"/>
  <c r="AI55" i="32"/>
  <c r="AJ55" i="32"/>
  <c r="AI56" i="32"/>
  <c r="AJ56" i="32"/>
  <c r="AI57" i="32"/>
  <c r="AJ57" i="32"/>
  <c r="AI58" i="32"/>
  <c r="AJ58" i="32"/>
  <c r="AI59" i="32"/>
  <c r="AJ59" i="32"/>
  <c r="AI60" i="32"/>
  <c r="AJ60" i="32"/>
  <c r="AI61" i="32"/>
  <c r="AJ61" i="32"/>
  <c r="AI62" i="32"/>
  <c r="AJ62" i="32"/>
  <c r="AI63" i="32"/>
  <c r="AJ63" i="32"/>
  <c r="AI64" i="32"/>
  <c r="AJ64" i="32"/>
  <c r="AI65" i="32"/>
  <c r="AJ65" i="32"/>
  <c r="AI66" i="32"/>
  <c r="AJ66" i="32"/>
  <c r="AI67" i="32"/>
  <c r="AJ67" i="32"/>
  <c r="AI68" i="32"/>
  <c r="AJ68" i="32"/>
  <c r="AI69" i="32"/>
  <c r="AJ69" i="32"/>
  <c r="AI70" i="32"/>
  <c r="AJ70" i="32"/>
  <c r="AI71" i="32"/>
  <c r="AJ71" i="32"/>
  <c r="AI72" i="32"/>
  <c r="AJ72" i="32"/>
  <c r="AI73" i="32"/>
  <c r="AJ73" i="32"/>
  <c r="AI74" i="32"/>
  <c r="AJ74" i="32"/>
  <c r="AI75" i="32"/>
  <c r="AJ75" i="32"/>
  <c r="AI76" i="32"/>
  <c r="AJ76" i="32"/>
  <c r="AI77" i="32"/>
  <c r="AJ77" i="32"/>
  <c r="AI78" i="32"/>
  <c r="AJ78" i="32"/>
  <c r="AI79" i="32"/>
  <c r="AJ79" i="32"/>
  <c r="AI80" i="32"/>
  <c r="AJ80" i="32"/>
  <c r="AI81" i="32"/>
  <c r="AJ81" i="32"/>
  <c r="AI82" i="32"/>
  <c r="AJ82" i="32"/>
  <c r="AI83" i="32"/>
  <c r="AJ83" i="32"/>
  <c r="AI84" i="32"/>
  <c r="AJ84" i="32"/>
  <c r="AI85" i="32"/>
  <c r="AJ85" i="32"/>
  <c r="AI86" i="32"/>
  <c r="AJ86" i="32"/>
  <c r="AI87" i="32"/>
  <c r="AJ87" i="32"/>
  <c r="AI88" i="32"/>
  <c r="AJ88" i="32"/>
  <c r="AI89" i="32"/>
  <c r="AJ89" i="32"/>
  <c r="AI90" i="32"/>
  <c r="AJ90" i="32"/>
  <c r="AI91" i="32"/>
  <c r="AJ91" i="32"/>
  <c r="AI92" i="32"/>
  <c r="AJ92" i="32"/>
  <c r="AI93" i="32"/>
  <c r="AJ93" i="32"/>
  <c r="AI94" i="32"/>
  <c r="AJ94" i="32"/>
  <c r="AI95" i="32"/>
  <c r="AJ95" i="32"/>
  <c r="AI96" i="32"/>
  <c r="AJ96" i="32"/>
  <c r="AI97" i="32"/>
  <c r="AJ97" i="32"/>
  <c r="AI98" i="32"/>
  <c r="AJ98" i="32"/>
  <c r="AI99" i="32"/>
  <c r="AJ99" i="32"/>
  <c r="AI100" i="32"/>
  <c r="AJ100" i="32"/>
  <c r="AI101" i="32"/>
  <c r="AJ101" i="32"/>
  <c r="AI102" i="32"/>
  <c r="AJ102" i="32"/>
  <c r="AI103" i="32"/>
  <c r="AJ103" i="32"/>
  <c r="AI104" i="32"/>
  <c r="AJ104" i="32"/>
  <c r="AI105" i="32"/>
  <c r="AJ105" i="32"/>
  <c r="AI106" i="32"/>
  <c r="AJ106" i="32"/>
  <c r="AI107" i="32"/>
  <c r="AJ107" i="32"/>
  <c r="AI108" i="32"/>
  <c r="AJ108" i="32"/>
  <c r="AI109" i="32"/>
  <c r="AJ109" i="32"/>
  <c r="AI110" i="32"/>
  <c r="AJ110" i="32"/>
  <c r="AI111" i="32"/>
  <c r="AJ111" i="32"/>
  <c r="AI112" i="32"/>
  <c r="AJ112" i="32"/>
  <c r="AI113" i="32"/>
  <c r="AJ113" i="32"/>
  <c r="AI114" i="32"/>
  <c r="AJ114" i="32"/>
  <c r="AI115" i="32"/>
  <c r="AJ115" i="32"/>
  <c r="AI116" i="32"/>
  <c r="AJ116" i="32"/>
  <c r="AI117" i="32"/>
  <c r="AJ117" i="32"/>
  <c r="AI118" i="32"/>
  <c r="AJ118" i="32"/>
  <c r="AI119" i="32"/>
  <c r="AJ119" i="32"/>
  <c r="AI120" i="32"/>
  <c r="AJ120" i="32"/>
  <c r="AI121" i="32"/>
  <c r="AJ121" i="32"/>
  <c r="AI122" i="32"/>
  <c r="AJ122" i="32"/>
  <c r="AI123" i="32"/>
  <c r="AJ123" i="32"/>
  <c r="AI124" i="32"/>
  <c r="AJ124" i="32"/>
  <c r="AI125" i="32"/>
  <c r="AJ125" i="32"/>
  <c r="AI126" i="32"/>
  <c r="AJ126" i="32"/>
  <c r="AI127" i="32"/>
  <c r="AJ127" i="32"/>
  <c r="AI128" i="32"/>
  <c r="AJ128" i="32"/>
  <c r="AI129" i="32"/>
  <c r="AJ129" i="32"/>
  <c r="AI130" i="32"/>
  <c r="AJ130" i="32"/>
  <c r="AI131" i="32"/>
  <c r="AJ131" i="32"/>
  <c r="AI132" i="32"/>
  <c r="AJ132" i="32"/>
  <c r="AI133" i="32"/>
  <c r="AJ133" i="32"/>
  <c r="AI134" i="32"/>
  <c r="AJ134" i="32"/>
  <c r="AI135" i="32"/>
  <c r="AJ135" i="32"/>
  <c r="AI136" i="32"/>
  <c r="AJ136" i="32"/>
  <c r="AI137" i="32"/>
  <c r="AJ137" i="32"/>
  <c r="AI138" i="32"/>
  <c r="AJ138" i="32"/>
  <c r="AI139" i="32"/>
  <c r="AJ139" i="32"/>
  <c r="AI140" i="32"/>
  <c r="AJ140" i="32"/>
  <c r="AI141" i="32"/>
  <c r="AJ141" i="32"/>
  <c r="AI142" i="32"/>
  <c r="AJ142" i="32"/>
  <c r="AI143" i="32"/>
  <c r="AJ143" i="32"/>
  <c r="AI144" i="32"/>
  <c r="AJ144" i="32"/>
  <c r="AI145" i="32"/>
  <c r="AJ145" i="32"/>
  <c r="AI146" i="32"/>
  <c r="AJ146" i="32"/>
  <c r="AI147" i="32"/>
  <c r="AJ147" i="32"/>
  <c r="AI148" i="32"/>
  <c r="AJ148" i="32"/>
  <c r="AI149" i="32"/>
  <c r="AJ149" i="32"/>
  <c r="AI150" i="32"/>
  <c r="AJ150" i="32"/>
  <c r="AI151" i="32"/>
  <c r="AJ151" i="32"/>
  <c r="AI152" i="32"/>
  <c r="AJ152" i="32"/>
  <c r="AI153" i="32"/>
  <c r="AJ153" i="32"/>
  <c r="AI154" i="32"/>
  <c r="AJ154" i="32"/>
  <c r="AI155" i="32"/>
  <c r="AJ155" i="32"/>
  <c r="AI156" i="32"/>
  <c r="AJ156" i="32"/>
  <c r="AI157" i="32"/>
  <c r="AJ157" i="32"/>
  <c r="AI158" i="32"/>
  <c r="AJ158" i="32"/>
  <c r="AI159" i="32"/>
  <c r="AJ159" i="32"/>
  <c r="AI160" i="32"/>
  <c r="AJ160" i="32"/>
  <c r="AI161" i="32"/>
  <c r="AJ161" i="32"/>
  <c r="AI162" i="32"/>
  <c r="AJ162" i="32"/>
  <c r="AI163" i="32"/>
  <c r="AJ163" i="32"/>
  <c r="AI164" i="32"/>
  <c r="AJ164" i="32"/>
  <c r="AI165" i="32"/>
  <c r="AJ165" i="32"/>
  <c r="AI166" i="32"/>
  <c r="AJ166" i="32"/>
  <c r="AI167" i="32"/>
  <c r="AJ167" i="32"/>
  <c r="AI168" i="32"/>
  <c r="AJ168" i="32"/>
  <c r="AI169" i="32"/>
  <c r="AJ169" i="32"/>
  <c r="AI170" i="32"/>
  <c r="AJ170" i="32"/>
  <c r="AI171" i="32"/>
  <c r="AJ171" i="32"/>
  <c r="AI172" i="32"/>
  <c r="AJ172" i="32"/>
  <c r="AI173" i="32"/>
  <c r="AJ173" i="32"/>
  <c r="AI174" i="32"/>
  <c r="AJ174" i="32"/>
  <c r="AI175" i="32"/>
  <c r="AJ175" i="32"/>
  <c r="AI176" i="32"/>
  <c r="AJ176" i="32"/>
  <c r="AI177" i="32"/>
  <c r="AJ177" i="32"/>
  <c r="AI178" i="32"/>
  <c r="AJ178" i="32"/>
  <c r="AI179" i="32"/>
  <c r="AJ179" i="32"/>
  <c r="AI180" i="32"/>
  <c r="AJ180" i="32"/>
  <c r="AI181" i="32"/>
  <c r="AJ181" i="32"/>
  <c r="AI182" i="32"/>
  <c r="AJ182" i="32"/>
  <c r="AI183" i="32"/>
  <c r="AJ183" i="32"/>
  <c r="AI184" i="32"/>
  <c r="AJ184" i="32"/>
  <c r="AI185" i="32"/>
  <c r="AJ185" i="32"/>
  <c r="AI186" i="32"/>
  <c r="AJ186" i="32"/>
  <c r="AI187" i="32"/>
  <c r="AJ187" i="32"/>
  <c r="AI188" i="32"/>
  <c r="AJ188" i="32"/>
  <c r="AI189" i="32"/>
  <c r="AJ189" i="32"/>
  <c r="AI190" i="32"/>
  <c r="AJ190" i="32"/>
  <c r="AI191" i="32"/>
  <c r="AJ191" i="32"/>
  <c r="AI192" i="32"/>
  <c r="AJ192" i="32"/>
  <c r="AI193" i="32"/>
  <c r="AJ193" i="32"/>
  <c r="AI194" i="32"/>
  <c r="AJ194" i="32"/>
  <c r="AI195" i="32"/>
  <c r="AJ195" i="32"/>
  <c r="AI196" i="32"/>
  <c r="AJ196" i="32"/>
  <c r="AI197" i="32"/>
  <c r="AJ197" i="32"/>
  <c r="AI198" i="32"/>
  <c r="AJ198" i="32"/>
  <c r="AI199" i="32"/>
  <c r="AJ199" i="32"/>
  <c r="AI200" i="32"/>
  <c r="AJ200" i="32"/>
  <c r="AI201" i="32"/>
  <c r="AJ201" i="32"/>
  <c r="AI202" i="32"/>
  <c r="AJ202" i="32"/>
  <c r="AI203" i="32"/>
  <c r="AJ203" i="32"/>
  <c r="AI204" i="32"/>
  <c r="AJ204" i="32"/>
  <c r="AI205" i="32"/>
  <c r="AJ205" i="32"/>
  <c r="AI206" i="32"/>
  <c r="AJ206" i="32"/>
  <c r="AI207" i="32"/>
  <c r="AJ207" i="32"/>
  <c r="AI208" i="32"/>
  <c r="AJ208" i="32"/>
  <c r="AI209" i="32"/>
  <c r="AJ209" i="32"/>
  <c r="AI210" i="32"/>
  <c r="AJ210" i="32"/>
  <c r="AI211" i="32"/>
  <c r="AJ211" i="32"/>
  <c r="AI212" i="32"/>
  <c r="AJ212" i="32"/>
  <c r="AI213" i="32"/>
  <c r="AJ213" i="32"/>
  <c r="AI214" i="32"/>
  <c r="AJ214" i="32"/>
  <c r="AI215" i="32"/>
  <c r="AJ215" i="32"/>
  <c r="AI216" i="32"/>
  <c r="AJ216" i="32"/>
  <c r="AI217" i="32"/>
  <c r="AJ217" i="32"/>
  <c r="AI218" i="32"/>
  <c r="AJ218" i="32"/>
  <c r="AI219" i="32"/>
  <c r="AJ219" i="32"/>
  <c r="AI220" i="32"/>
  <c r="AJ220" i="32"/>
  <c r="AI221" i="32"/>
  <c r="AJ221" i="32"/>
  <c r="AI222" i="32"/>
  <c r="AJ222" i="32"/>
  <c r="AI223" i="32"/>
  <c r="AJ223" i="32"/>
  <c r="AI224" i="32"/>
  <c r="AJ224" i="32"/>
  <c r="AI225" i="32"/>
  <c r="AJ225" i="32"/>
  <c r="AI226" i="32"/>
  <c r="AJ226" i="32"/>
  <c r="AI227" i="32"/>
  <c r="AJ227" i="32"/>
  <c r="AI228" i="32"/>
  <c r="AJ228" i="32"/>
  <c r="AI229" i="32"/>
  <c r="AJ229" i="32"/>
  <c r="AI230" i="32"/>
  <c r="AJ230" i="32"/>
  <c r="AI231" i="32"/>
  <c r="AJ231" i="32"/>
  <c r="AI232" i="32"/>
  <c r="AJ232" i="32"/>
  <c r="AI233" i="32"/>
  <c r="AJ233" i="32"/>
  <c r="AI234" i="32"/>
  <c r="AJ234" i="32"/>
  <c r="AI235" i="32"/>
  <c r="AJ235" i="32"/>
  <c r="AI236" i="32"/>
  <c r="AJ236" i="32"/>
  <c r="AI237" i="32"/>
  <c r="AJ237" i="32"/>
  <c r="AI238" i="32"/>
  <c r="AJ238" i="32"/>
  <c r="AI239" i="32"/>
  <c r="AJ239" i="32"/>
  <c r="AI240" i="32"/>
  <c r="AJ240" i="32"/>
  <c r="AI241" i="32"/>
  <c r="AJ241" i="32"/>
  <c r="AI242" i="32"/>
  <c r="AJ242" i="32"/>
  <c r="AI243" i="32"/>
  <c r="AJ243" i="32"/>
  <c r="AI244" i="32"/>
  <c r="AJ244" i="32"/>
  <c r="AI245" i="32"/>
  <c r="AJ245" i="32"/>
  <c r="AI246" i="32"/>
  <c r="AJ246" i="32"/>
  <c r="AI247" i="32"/>
  <c r="AJ247" i="32"/>
  <c r="AI248" i="32"/>
  <c r="AJ248" i="32"/>
  <c r="AI249" i="32"/>
  <c r="AJ249" i="32"/>
  <c r="AI250" i="32"/>
  <c r="AJ250" i="32"/>
  <c r="AI251" i="32"/>
  <c r="AJ251" i="32"/>
  <c r="AI252" i="32"/>
  <c r="AJ252" i="32"/>
  <c r="AI253" i="32"/>
  <c r="AJ253" i="32"/>
  <c r="AI254" i="32"/>
  <c r="AJ254" i="32"/>
  <c r="AI255" i="32"/>
  <c r="AJ255" i="32"/>
  <c r="AI256" i="32"/>
  <c r="AJ256" i="32"/>
  <c r="AI257" i="32"/>
  <c r="AJ257" i="32"/>
  <c r="AI258" i="32"/>
  <c r="AJ258" i="32"/>
  <c r="AI259" i="32"/>
  <c r="AJ259" i="32"/>
  <c r="AI260" i="32"/>
  <c r="AJ260" i="32"/>
  <c r="AI261" i="32"/>
  <c r="AJ261" i="32"/>
  <c r="AI262" i="32"/>
  <c r="AJ262" i="32"/>
  <c r="AI263" i="32"/>
  <c r="AJ263" i="32"/>
  <c r="AI264" i="32"/>
  <c r="AJ264" i="32"/>
  <c r="AI265" i="32"/>
  <c r="AJ265" i="32"/>
  <c r="AI266" i="32"/>
  <c r="AJ266" i="32"/>
  <c r="AI267" i="32"/>
  <c r="AJ267" i="32"/>
  <c r="AI268" i="32"/>
  <c r="AJ268" i="32"/>
  <c r="AI269" i="32"/>
  <c r="AJ269" i="32"/>
  <c r="AI270" i="32"/>
  <c r="AJ270" i="32"/>
  <c r="AI271" i="32"/>
  <c r="AJ271" i="32"/>
  <c r="AI272" i="32"/>
  <c r="AJ272" i="32"/>
  <c r="AI273" i="32"/>
  <c r="AJ273" i="32"/>
  <c r="AI274" i="32"/>
  <c r="AJ274" i="32"/>
  <c r="AI275" i="32"/>
  <c r="AJ275" i="32"/>
  <c r="AI276" i="32"/>
  <c r="AJ276" i="32"/>
  <c r="AI277" i="32"/>
  <c r="AJ277" i="32"/>
  <c r="AI278" i="32"/>
  <c r="AJ278" i="32"/>
  <c r="AI279" i="32"/>
  <c r="AJ279" i="32"/>
  <c r="AI280" i="32"/>
  <c r="AJ280" i="32"/>
  <c r="AI281" i="32"/>
  <c r="AJ281" i="32"/>
  <c r="AI282" i="32"/>
  <c r="AJ282" i="32"/>
  <c r="AI283" i="32"/>
  <c r="AJ283" i="32"/>
  <c r="AI284" i="32"/>
  <c r="AJ284" i="32"/>
  <c r="AI285" i="32"/>
  <c r="AJ285" i="32"/>
  <c r="AI286" i="32"/>
  <c r="AJ286" i="32"/>
  <c r="AI287" i="32"/>
  <c r="AJ287" i="32"/>
  <c r="AI288" i="32"/>
  <c r="AJ288" i="32"/>
  <c r="AI289" i="32"/>
  <c r="AJ289" i="32"/>
  <c r="AI290" i="32"/>
  <c r="AJ290" i="32"/>
  <c r="AI291" i="32"/>
  <c r="AJ291" i="32"/>
  <c r="AI292" i="32"/>
  <c r="AJ292" i="32"/>
  <c r="AI293" i="32"/>
  <c r="AJ293" i="32"/>
  <c r="AI294" i="32"/>
  <c r="AJ294" i="32"/>
  <c r="AI295" i="32"/>
  <c r="AJ295" i="32"/>
  <c r="AI296" i="32"/>
  <c r="AJ296" i="32"/>
  <c r="AI297" i="32"/>
  <c r="AJ297" i="32"/>
  <c r="AI298" i="32"/>
  <c r="AJ298" i="32"/>
  <c r="AI299" i="32"/>
  <c r="AJ299" i="32"/>
  <c r="AI300" i="32"/>
  <c r="AJ300" i="32"/>
  <c r="AI301" i="32"/>
  <c r="AJ301" i="32"/>
  <c r="AI302" i="32"/>
  <c r="AJ302" i="32"/>
  <c r="AI303" i="32"/>
  <c r="AJ303" i="32"/>
  <c r="AI304" i="32"/>
  <c r="AJ304" i="32"/>
  <c r="AI305" i="32"/>
  <c r="AJ305" i="32"/>
  <c r="AI306" i="32"/>
  <c r="AJ306" i="32"/>
  <c r="AI307" i="32"/>
  <c r="AJ307" i="32"/>
  <c r="AI308" i="32"/>
  <c r="AJ308" i="32"/>
  <c r="AI309" i="32"/>
  <c r="AJ309" i="32"/>
  <c r="AI310" i="32"/>
  <c r="AJ310" i="32"/>
  <c r="AI311" i="32"/>
  <c r="AJ311" i="32"/>
  <c r="AI312" i="32"/>
  <c r="AJ312" i="32"/>
  <c r="AI313" i="32"/>
  <c r="AJ313" i="32"/>
  <c r="AI314" i="32"/>
  <c r="AJ314" i="32"/>
  <c r="AI315" i="32"/>
  <c r="AJ315" i="32"/>
  <c r="AI316" i="32"/>
  <c r="AJ316" i="32"/>
  <c r="AI317" i="32"/>
  <c r="AJ317" i="32"/>
  <c r="AI318" i="32"/>
  <c r="AJ318" i="32"/>
  <c r="AI319" i="32"/>
  <c r="AJ319" i="32"/>
  <c r="AI320" i="32"/>
  <c r="AJ320" i="32"/>
  <c r="AI321" i="32"/>
  <c r="AJ321" i="32"/>
  <c r="AI322" i="32"/>
  <c r="AJ322" i="32"/>
  <c r="AI323" i="32"/>
  <c r="AJ323" i="32"/>
  <c r="AI324" i="32"/>
  <c r="AJ324" i="32"/>
  <c r="AI325" i="32"/>
  <c r="AJ325" i="32"/>
  <c r="AI326" i="32"/>
  <c r="AJ326" i="32"/>
  <c r="AI327" i="32"/>
  <c r="AJ327" i="32"/>
  <c r="AI328" i="32"/>
  <c r="AJ328" i="32"/>
  <c r="AI329" i="32"/>
  <c r="AJ329" i="32"/>
  <c r="AI330" i="32"/>
  <c r="AJ330" i="32"/>
  <c r="AI331" i="32"/>
  <c r="AJ331" i="32"/>
  <c r="AI332" i="32"/>
  <c r="AJ332" i="32"/>
  <c r="AI333" i="32"/>
  <c r="AJ333" i="32"/>
  <c r="AI334" i="32"/>
  <c r="AJ334" i="32"/>
  <c r="AI335" i="32"/>
  <c r="AJ335" i="32"/>
  <c r="AI336" i="32"/>
  <c r="AJ336" i="32"/>
  <c r="AI337" i="32"/>
  <c r="AJ337" i="32"/>
  <c r="AI338" i="32"/>
  <c r="AJ338" i="32"/>
  <c r="AI339" i="32"/>
  <c r="AJ339" i="32"/>
  <c r="AI340" i="32"/>
  <c r="AJ340" i="32"/>
  <c r="AI341" i="32"/>
  <c r="AJ341" i="32"/>
  <c r="AI342" i="32"/>
  <c r="AJ342" i="32"/>
  <c r="AI343" i="32"/>
  <c r="AJ343" i="32"/>
  <c r="AI344" i="32"/>
  <c r="AJ344" i="32"/>
  <c r="AI345" i="32"/>
  <c r="AJ345" i="32"/>
  <c r="AI346" i="32"/>
  <c r="AJ346" i="32"/>
  <c r="AI347" i="32"/>
  <c r="AJ347" i="32"/>
  <c r="AI348" i="32"/>
  <c r="AJ348" i="32"/>
  <c r="AI349" i="32"/>
  <c r="AJ349" i="32"/>
  <c r="AI350" i="32"/>
  <c r="AJ350" i="32"/>
  <c r="AI351" i="32"/>
  <c r="AJ351" i="32"/>
  <c r="AI352" i="32"/>
  <c r="AJ352" i="32"/>
  <c r="AI353" i="32"/>
  <c r="AJ353" i="32"/>
  <c r="AI354" i="32"/>
  <c r="AJ354" i="32"/>
  <c r="AI355" i="32"/>
  <c r="AJ355" i="32"/>
  <c r="AI356" i="32"/>
  <c r="AJ356" i="32"/>
  <c r="AI357" i="32"/>
  <c r="AJ357" i="32"/>
  <c r="AI358" i="32"/>
  <c r="AJ358" i="32"/>
  <c r="AI359" i="32"/>
  <c r="AJ359" i="32"/>
  <c r="AI360" i="32"/>
  <c r="AJ360" i="32"/>
  <c r="AI361" i="32"/>
  <c r="AJ361" i="32"/>
  <c r="AI362" i="32"/>
  <c r="AJ362" i="32"/>
  <c r="AI363" i="32"/>
  <c r="AJ363" i="32"/>
  <c r="AI364" i="32"/>
  <c r="AJ364" i="32"/>
  <c r="AI365" i="32"/>
  <c r="AJ365" i="32"/>
  <c r="AI366" i="32"/>
  <c r="AJ366" i="32"/>
  <c r="AI367" i="32"/>
  <c r="AJ367" i="32"/>
  <c r="AI368" i="32"/>
  <c r="AJ368" i="32"/>
  <c r="AI369" i="32"/>
  <c r="AJ369" i="32"/>
  <c r="AI370" i="32"/>
  <c r="AJ370" i="32"/>
  <c r="AI371" i="32"/>
  <c r="AJ371" i="32"/>
  <c r="AI372" i="32"/>
  <c r="AJ372" i="32"/>
  <c r="AI373" i="32"/>
  <c r="AJ373" i="32"/>
  <c r="AI374" i="32"/>
  <c r="AJ374" i="32"/>
  <c r="AI375" i="32"/>
  <c r="AJ375" i="32"/>
  <c r="AI376" i="32"/>
  <c r="AJ376" i="32"/>
  <c r="AI377" i="32"/>
  <c r="AJ377" i="32"/>
  <c r="AI378" i="32"/>
  <c r="AJ378" i="32"/>
  <c r="AI379" i="32"/>
  <c r="AJ379" i="32"/>
  <c r="AI380" i="32"/>
  <c r="AJ380" i="32"/>
  <c r="AI381" i="32"/>
  <c r="AJ381" i="32"/>
  <c r="AI382" i="32"/>
  <c r="AJ382" i="32"/>
  <c r="AI383" i="32"/>
  <c r="AJ383" i="32"/>
  <c r="AI384" i="32"/>
  <c r="AJ384" i="32"/>
  <c r="AI385" i="32"/>
  <c r="AJ385" i="32"/>
  <c r="AI386" i="32"/>
  <c r="AJ386" i="32"/>
  <c r="AI387" i="32"/>
  <c r="AJ387" i="32"/>
  <c r="AI388" i="32"/>
  <c r="AJ388" i="32"/>
  <c r="AI389" i="32"/>
  <c r="AJ389" i="32"/>
  <c r="AI390" i="32"/>
  <c r="AJ390" i="32"/>
  <c r="AI391" i="32"/>
  <c r="AJ391" i="32"/>
  <c r="AI392" i="32"/>
  <c r="AJ392" i="32"/>
  <c r="AI393" i="32"/>
  <c r="AJ393" i="32"/>
  <c r="AI394" i="32"/>
  <c r="AJ394" i="32"/>
  <c r="AI395" i="32"/>
  <c r="AJ395" i="32"/>
  <c r="AI396" i="32"/>
  <c r="AJ396" i="32"/>
  <c r="AI397" i="32"/>
  <c r="AJ397" i="32"/>
  <c r="AI398" i="32"/>
  <c r="AJ398" i="32"/>
  <c r="AI399" i="32"/>
  <c r="AJ399" i="32"/>
  <c r="AI400" i="32"/>
  <c r="AJ400" i="32"/>
  <c r="AI401" i="32"/>
  <c r="AJ401" i="32"/>
  <c r="AI402" i="32"/>
  <c r="AJ402" i="32"/>
  <c r="AI403" i="32"/>
  <c r="AJ403" i="32"/>
  <c r="AI404" i="32"/>
  <c r="AJ404" i="32"/>
  <c r="AI405" i="32"/>
  <c r="AJ405" i="32"/>
  <c r="AI406" i="32"/>
  <c r="AJ406" i="32"/>
  <c r="AI407" i="32"/>
  <c r="AJ407" i="32"/>
  <c r="AI408" i="32"/>
  <c r="AJ408" i="32"/>
  <c r="AI409" i="32"/>
  <c r="AJ409" i="32"/>
  <c r="AI410" i="32"/>
  <c r="AJ410" i="32"/>
  <c r="AI411" i="32"/>
  <c r="AJ411" i="32"/>
  <c r="AI412" i="32"/>
  <c r="AJ412" i="32"/>
  <c r="AI413" i="32"/>
  <c r="AJ413" i="32"/>
  <c r="AI414" i="32"/>
  <c r="AJ414" i="32"/>
  <c r="AI415" i="32"/>
  <c r="AJ415" i="32"/>
  <c r="AI416" i="32"/>
  <c r="AJ416" i="32"/>
  <c r="AI417" i="32"/>
  <c r="AJ417" i="32"/>
  <c r="AI418" i="32"/>
  <c r="AJ418" i="32"/>
  <c r="AI419" i="32"/>
  <c r="AJ419" i="32"/>
  <c r="AI420" i="32"/>
  <c r="AJ420" i="32"/>
  <c r="AI421" i="32"/>
  <c r="AJ421" i="32"/>
  <c r="AI422" i="32"/>
  <c r="AJ422" i="32"/>
  <c r="AI423" i="32"/>
  <c r="AJ423" i="32"/>
  <c r="AI424" i="32"/>
  <c r="AJ424" i="32"/>
  <c r="AI425" i="32"/>
  <c r="AJ425" i="32"/>
  <c r="AI426" i="32"/>
  <c r="AJ426" i="32"/>
  <c r="AI427" i="32"/>
  <c r="AJ427" i="32"/>
  <c r="AI428" i="32"/>
  <c r="AJ428" i="32"/>
  <c r="AI429" i="32"/>
  <c r="AJ429" i="32"/>
  <c r="AI430" i="32"/>
  <c r="AJ430" i="32"/>
  <c r="AI431" i="32"/>
  <c r="AJ431" i="32"/>
  <c r="AI432" i="32"/>
  <c r="AJ432" i="32"/>
  <c r="AI433" i="32"/>
  <c r="AJ433" i="32"/>
  <c r="AI434" i="32"/>
  <c r="AJ434" i="32"/>
  <c r="AI435" i="32"/>
  <c r="AJ435" i="32"/>
  <c r="AI436" i="32"/>
  <c r="AJ436" i="32"/>
  <c r="AI437" i="32"/>
  <c r="AJ437" i="32"/>
  <c r="AI438" i="32"/>
  <c r="AJ438" i="32"/>
  <c r="AI439" i="32"/>
  <c r="AJ439" i="32"/>
  <c r="AI440" i="32"/>
  <c r="AJ440" i="32"/>
  <c r="AI441" i="32"/>
  <c r="AJ441" i="32"/>
  <c r="AI442" i="32"/>
  <c r="AJ442" i="32"/>
  <c r="AI443" i="32"/>
  <c r="AJ443" i="32"/>
  <c r="AI444" i="32"/>
  <c r="AJ444" i="32"/>
  <c r="AI445" i="32"/>
  <c r="AJ445" i="32"/>
  <c r="AI446" i="32"/>
  <c r="AJ446" i="32"/>
  <c r="AI447" i="32"/>
  <c r="AJ447" i="32"/>
  <c r="AI448" i="32"/>
  <c r="AJ448" i="32"/>
  <c r="AI4" i="32"/>
  <c r="AA5" i="32"/>
  <c r="AA4" i="32"/>
  <c r="AA6" i="32"/>
  <c r="AA7" i="32"/>
  <c r="AA8" i="32"/>
  <c r="AA9" i="32"/>
  <c r="AA10" i="32"/>
  <c r="AA11" i="32"/>
  <c r="AA12" i="32"/>
  <c r="AA13" i="32"/>
  <c r="AA14" i="32"/>
  <c r="AA15" i="32"/>
  <c r="AA16" i="32"/>
  <c r="AA17" i="32"/>
  <c r="AA18" i="32"/>
  <c r="AA19" i="32"/>
  <c r="AA20" i="32"/>
  <c r="AA21" i="32"/>
  <c r="AA22" i="32"/>
  <c r="AA23" i="32"/>
  <c r="AA24" i="32"/>
  <c r="AA25" i="32"/>
  <c r="AA26" i="32"/>
  <c r="AA27"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20" i="32"/>
  <c r="AA521"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C5" i="32"/>
  <c r="AB605" i="32"/>
  <c r="AB5" i="32"/>
  <c r="AB4" i="32"/>
  <c r="AB6" i="32"/>
  <c r="AB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85" i="32"/>
  <c r="AB86" i="32"/>
  <c r="AB87" i="32"/>
  <c r="AB88" i="32"/>
  <c r="AB89" i="32"/>
  <c r="AB90" i="32"/>
  <c r="AB91" i="32"/>
  <c r="AB92" i="32"/>
  <c r="AB93" i="32"/>
  <c r="AB94" i="32"/>
  <c r="AB95" i="32"/>
  <c r="AB96" i="32"/>
  <c r="AB97" i="32"/>
  <c r="AB98" i="32"/>
  <c r="AB99" i="32"/>
  <c r="AB100" i="32"/>
  <c r="AB101" i="32"/>
  <c r="AB102" i="32"/>
  <c r="AB103" i="32"/>
  <c r="AB104" i="32"/>
  <c r="AB105" i="32"/>
  <c r="AB106" i="32"/>
  <c r="AB107" i="32"/>
  <c r="AB108" i="32"/>
  <c r="AB109" i="32"/>
  <c r="AB110" i="32"/>
  <c r="AB111" i="32"/>
  <c r="AB112" i="32"/>
  <c r="AB113" i="32"/>
  <c r="AB114" i="32"/>
  <c r="AB115" i="32"/>
  <c r="AB116" i="32"/>
  <c r="AB117" i="32"/>
  <c r="AB118" i="32"/>
  <c r="AB119" i="32"/>
  <c r="AB120" i="32"/>
  <c r="AB121" i="32"/>
  <c r="AB122" i="32"/>
  <c r="AB123" i="32"/>
  <c r="AB124" i="32"/>
  <c r="AB125" i="32"/>
  <c r="AB126" i="32"/>
  <c r="AB127" i="32"/>
  <c r="AB128" i="32"/>
  <c r="AB129" i="32"/>
  <c r="AB130" i="32"/>
  <c r="AB131" i="32"/>
  <c r="AB132" i="32"/>
  <c r="AB133" i="32"/>
  <c r="AB134" i="32"/>
  <c r="AB135" i="32"/>
  <c r="AB136" i="32"/>
  <c r="AB137" i="32"/>
  <c r="AB138" i="32"/>
  <c r="AB139" i="32"/>
  <c r="AB140" i="32"/>
  <c r="AB141" i="32"/>
  <c r="AB142" i="32"/>
  <c r="AB143" i="32"/>
  <c r="AB144" i="32"/>
  <c r="AB145" i="32"/>
  <c r="AB146" i="32"/>
  <c r="AB147" i="32"/>
  <c r="AB148" i="32"/>
  <c r="AB149" i="32"/>
  <c r="AB150" i="32"/>
  <c r="AB151" i="32"/>
  <c r="AB152" i="32"/>
  <c r="AB153" i="32"/>
  <c r="AB154" i="32"/>
  <c r="AB155" i="32"/>
  <c r="AB156" i="32"/>
  <c r="AB157" i="32"/>
  <c r="AB158" i="32"/>
  <c r="AB159" i="32"/>
  <c r="AB160" i="32"/>
  <c r="AB161" i="32"/>
  <c r="AB162" i="32"/>
  <c r="AB163" i="32"/>
  <c r="AB164" i="32"/>
  <c r="AB165" i="32"/>
  <c r="AB166" i="32"/>
  <c r="AB167" i="32"/>
  <c r="AB168" i="32"/>
  <c r="AB169" i="32"/>
  <c r="AB170" i="32"/>
  <c r="AB171" i="32"/>
  <c r="AB172" i="32"/>
  <c r="AB173" i="32"/>
  <c r="AB174" i="32"/>
  <c r="AB175" i="32"/>
  <c r="AB176" i="32"/>
  <c r="AB177" i="32"/>
  <c r="AB178" i="32"/>
  <c r="AB179" i="32"/>
  <c r="AB180" i="32"/>
  <c r="AB181" i="32"/>
  <c r="AB182" i="32"/>
  <c r="AB183" i="32"/>
  <c r="AB184" i="32"/>
  <c r="AB185" i="32"/>
  <c r="AB186" i="32"/>
  <c r="AB187" i="32"/>
  <c r="AB188" i="32"/>
  <c r="AB189" i="32"/>
  <c r="AB190" i="32"/>
  <c r="AB191" i="32"/>
  <c r="AB192" i="32"/>
  <c r="AB193" i="32"/>
  <c r="AB194" i="32"/>
  <c r="AB195" i="32"/>
  <c r="AB196" i="32"/>
  <c r="AB197" i="32"/>
  <c r="AB198" i="32"/>
  <c r="AB199" i="32"/>
  <c r="AB200" i="32"/>
  <c r="AB201" i="32"/>
  <c r="AB202" i="32"/>
  <c r="AB203" i="32"/>
  <c r="AB204" i="32"/>
  <c r="AB205" i="32"/>
  <c r="AB206" i="32"/>
  <c r="AB207" i="32"/>
  <c r="AB208" i="32"/>
  <c r="AB209" i="32"/>
  <c r="AB210" i="32"/>
  <c r="AB211" i="32"/>
  <c r="AB212" i="32"/>
  <c r="AB213" i="32"/>
  <c r="AB214" i="32"/>
  <c r="AB215" i="32"/>
  <c r="AB216" i="32"/>
  <c r="AB217" i="32"/>
  <c r="AB218" i="32"/>
  <c r="AB219" i="32"/>
  <c r="AB220" i="32"/>
  <c r="AB221" i="32"/>
  <c r="AB222" i="32"/>
  <c r="AB223" i="32"/>
  <c r="AB224" i="32"/>
  <c r="AB225" i="32"/>
  <c r="AB226" i="32"/>
  <c r="AB227" i="32"/>
  <c r="AB228" i="32"/>
  <c r="AB229" i="32"/>
  <c r="AB230" i="32"/>
  <c r="AB231" i="32"/>
  <c r="AB232" i="32"/>
  <c r="AB233" i="32"/>
  <c r="AB234" i="32"/>
  <c r="AB235" i="32"/>
  <c r="AB236" i="32"/>
  <c r="AB237" i="32"/>
  <c r="AB238" i="32"/>
  <c r="AB239" i="32"/>
  <c r="AB240" i="32"/>
  <c r="AB241" i="32"/>
  <c r="AB242" i="32"/>
  <c r="AB243" i="32"/>
  <c r="AB244" i="32"/>
  <c r="AB245" i="32"/>
  <c r="AB246" i="32"/>
  <c r="AB247" i="32"/>
  <c r="AB248" i="32"/>
  <c r="AB249" i="32"/>
  <c r="AB250" i="32"/>
  <c r="AB251" i="32"/>
  <c r="AB252" i="32"/>
  <c r="AB253" i="32"/>
  <c r="AB254" i="32"/>
  <c r="AB255" i="32"/>
  <c r="AB256" i="32"/>
  <c r="AB257" i="32"/>
  <c r="AB258" i="32"/>
  <c r="AB259" i="32"/>
  <c r="AB260" i="32"/>
  <c r="AB261" i="32"/>
  <c r="AB262" i="32"/>
  <c r="AB263" i="32"/>
  <c r="AB264" i="32"/>
  <c r="AB265" i="32"/>
  <c r="AB266" i="32"/>
  <c r="AB267" i="32"/>
  <c r="AB268" i="32"/>
  <c r="AB269" i="32"/>
  <c r="AB270" i="32"/>
  <c r="AB271" i="32"/>
  <c r="AB272" i="32"/>
  <c r="AB273" i="32"/>
  <c r="AB274" i="32"/>
  <c r="AB275" i="32"/>
  <c r="AB276" i="32"/>
  <c r="AB277" i="32"/>
  <c r="AB278" i="32"/>
  <c r="AB279" i="32"/>
  <c r="AB280" i="32"/>
  <c r="AB281" i="32"/>
  <c r="AB282" i="32"/>
  <c r="AB283" i="32"/>
  <c r="AB284" i="32"/>
  <c r="AB285" i="32"/>
  <c r="AB286" i="32"/>
  <c r="AB287" i="32"/>
  <c r="AB288" i="32"/>
  <c r="AB289" i="32"/>
  <c r="AB290" i="32"/>
  <c r="AB291" i="32"/>
  <c r="AB292" i="32"/>
  <c r="AB293" i="32"/>
  <c r="AB294" i="32"/>
  <c r="AB295" i="32"/>
  <c r="AB296" i="32"/>
  <c r="AB297" i="32"/>
  <c r="AB298" i="32"/>
  <c r="AB299" i="32"/>
  <c r="AB300" i="32"/>
  <c r="AB301" i="32"/>
  <c r="AB302" i="32"/>
  <c r="AB303" i="32"/>
  <c r="AB304" i="32"/>
  <c r="AB305" i="32"/>
  <c r="AB306" i="32"/>
  <c r="AB307" i="32"/>
  <c r="AB308" i="32"/>
  <c r="AB309" i="32"/>
  <c r="AB310" i="32"/>
  <c r="AB311" i="32"/>
  <c r="AB312" i="32"/>
  <c r="AB313" i="32"/>
  <c r="AB314" i="32"/>
  <c r="AB315" i="32"/>
  <c r="AB316" i="32"/>
  <c r="AB317" i="32"/>
  <c r="AB318" i="32"/>
  <c r="AB319" i="32"/>
  <c r="AB320" i="32"/>
  <c r="AB321" i="32"/>
  <c r="AB322" i="32"/>
  <c r="AB323" i="32"/>
  <c r="AB324" i="32"/>
  <c r="AB325" i="32"/>
  <c r="AB326" i="32"/>
  <c r="AB327" i="32"/>
  <c r="AB328" i="32"/>
  <c r="AB329" i="32"/>
  <c r="AB330" i="32"/>
  <c r="AB331" i="32"/>
  <c r="AB332" i="32"/>
  <c r="AB333" i="32"/>
  <c r="AB334" i="32"/>
  <c r="AB335" i="32"/>
  <c r="AB336" i="32"/>
  <c r="AB337" i="32"/>
  <c r="AB338" i="32"/>
  <c r="AB339" i="32"/>
  <c r="AB340" i="32"/>
  <c r="AB341" i="32"/>
  <c r="AB342" i="32"/>
  <c r="AB343" i="32"/>
  <c r="AB344" i="32"/>
  <c r="AB345" i="32"/>
  <c r="AB346" i="32"/>
  <c r="AB347" i="32"/>
  <c r="AB348" i="32"/>
  <c r="AB349" i="32"/>
  <c r="AB350" i="32"/>
  <c r="AB351" i="32"/>
  <c r="AB352" i="32"/>
  <c r="AB353" i="32"/>
  <c r="AB354" i="32"/>
  <c r="AB355" i="32"/>
  <c r="AB356" i="32"/>
  <c r="AB357" i="32"/>
  <c r="AB358" i="32"/>
  <c r="AB359" i="32"/>
  <c r="AB360" i="32"/>
  <c r="AB361" i="32"/>
  <c r="AB362" i="32"/>
  <c r="AB363" i="32"/>
  <c r="AB364" i="32"/>
  <c r="AB365" i="32"/>
  <c r="AB366" i="32"/>
  <c r="AB367" i="32"/>
  <c r="AB368" i="32"/>
  <c r="AB369" i="32"/>
  <c r="AB370" i="32"/>
  <c r="AB371" i="32"/>
  <c r="AB372" i="32"/>
  <c r="AB373" i="32"/>
  <c r="AB374" i="32"/>
  <c r="AB375" i="32"/>
  <c r="AB376" i="32"/>
  <c r="AB377" i="32"/>
  <c r="AB378" i="32"/>
  <c r="AB379" i="32"/>
  <c r="AB380" i="32"/>
  <c r="AB381" i="32"/>
  <c r="AB382" i="32"/>
  <c r="AB383" i="32"/>
  <c r="AB384" i="32"/>
  <c r="AB385" i="32"/>
  <c r="AB386" i="32"/>
  <c r="AB387" i="32"/>
  <c r="AB388" i="32"/>
  <c r="AB389" i="32"/>
  <c r="AB390" i="32"/>
  <c r="AB391" i="32"/>
  <c r="AB392" i="32"/>
  <c r="AB393" i="32"/>
  <c r="AB394" i="32"/>
  <c r="AB395" i="32"/>
  <c r="AB396" i="32"/>
  <c r="AB397" i="32"/>
  <c r="AB398" i="32"/>
  <c r="AB399" i="32"/>
  <c r="AB400" i="32"/>
  <c r="AB401" i="32"/>
  <c r="AB402" i="32"/>
  <c r="AB403" i="32"/>
  <c r="AB404" i="32"/>
  <c r="AB405" i="32"/>
  <c r="AB406" i="32"/>
  <c r="AB407" i="32"/>
  <c r="AB408" i="32"/>
  <c r="AB409" i="32"/>
  <c r="AB410" i="32"/>
  <c r="AB411" i="32"/>
  <c r="AB412" i="32"/>
  <c r="AB413" i="32"/>
  <c r="AB414" i="32"/>
  <c r="AB415" i="32"/>
  <c r="AB416" i="32"/>
  <c r="AB417" i="32"/>
  <c r="AB418" i="32"/>
  <c r="AB419" i="32"/>
  <c r="AB420" i="32"/>
  <c r="AB421" i="32"/>
  <c r="AB422" i="32"/>
  <c r="AB423" i="32"/>
  <c r="AB424" i="32"/>
  <c r="AB425" i="32"/>
  <c r="AB426" i="32"/>
  <c r="AB427" i="32"/>
  <c r="AB428" i="32"/>
  <c r="AB429" i="32"/>
  <c r="AB430" i="32"/>
  <c r="AB431" i="32"/>
  <c r="AB432" i="32"/>
  <c r="AB433" i="32"/>
  <c r="AB434" i="32"/>
  <c r="AB435" i="32"/>
  <c r="AB436" i="32"/>
  <c r="AB437" i="32"/>
  <c r="AB438" i="32"/>
  <c r="AB439" i="32"/>
  <c r="AB440" i="32"/>
  <c r="AB441" i="32"/>
  <c r="AB442" i="32"/>
  <c r="AB443" i="32"/>
  <c r="AB444" i="32"/>
  <c r="AB445" i="32"/>
  <c r="AB446" i="32"/>
  <c r="AB447" i="32"/>
  <c r="AB448" i="32"/>
  <c r="AB449" i="32"/>
  <c r="AB450" i="32"/>
  <c r="AB451" i="32"/>
  <c r="AB452" i="32"/>
  <c r="AB453" i="32"/>
  <c r="AB454" i="32"/>
  <c r="AB455" i="32"/>
  <c r="AB456" i="32"/>
  <c r="AB457" i="32"/>
  <c r="AB458" i="32"/>
  <c r="AB459" i="32"/>
  <c r="AB460" i="32"/>
  <c r="AB461" i="32"/>
  <c r="AB462" i="32"/>
  <c r="AB463" i="32"/>
  <c r="AB464" i="32"/>
  <c r="AB465" i="32"/>
  <c r="AB466" i="32"/>
  <c r="AB467" i="32"/>
  <c r="AB468" i="32"/>
  <c r="AB469" i="32"/>
  <c r="AB470" i="32"/>
  <c r="AB471" i="32"/>
  <c r="AB472" i="32"/>
  <c r="AB473" i="32"/>
  <c r="AB474" i="32"/>
  <c r="AB475" i="32"/>
  <c r="AB476" i="32"/>
  <c r="AB477" i="32"/>
  <c r="AB478" i="32"/>
  <c r="AB479" i="32"/>
  <c r="AB480" i="32"/>
  <c r="AB481" i="32"/>
  <c r="AB482" i="32"/>
  <c r="AB483" i="32"/>
  <c r="AB484" i="32"/>
  <c r="AB485" i="32"/>
  <c r="AB486" i="32"/>
  <c r="AB487" i="32"/>
  <c r="AB488" i="32"/>
  <c r="AB489" i="32"/>
  <c r="AB490" i="32"/>
  <c r="AB491" i="32"/>
  <c r="AB492" i="32"/>
  <c r="AB493" i="32"/>
  <c r="AB494" i="32"/>
  <c r="AB495" i="32"/>
  <c r="AB496" i="32"/>
  <c r="AB497" i="32"/>
  <c r="AB498" i="32"/>
  <c r="AB499" i="32"/>
  <c r="AB500" i="32"/>
  <c r="AB501" i="32"/>
  <c r="AB502" i="32"/>
  <c r="AB503" i="32"/>
  <c r="AB504" i="32"/>
  <c r="AB505" i="32"/>
  <c r="AB506" i="32"/>
  <c r="AB507" i="32"/>
  <c r="AB508" i="32"/>
  <c r="AB509" i="32"/>
  <c r="AB510" i="32"/>
  <c r="AB511" i="32"/>
  <c r="AB512" i="32"/>
  <c r="AB513" i="32"/>
  <c r="AB514" i="32"/>
  <c r="AB515" i="32"/>
  <c r="AB516" i="32"/>
  <c r="AB517" i="32"/>
  <c r="AB518" i="32"/>
  <c r="AB519" i="32"/>
  <c r="AB520" i="32"/>
  <c r="AB521" i="32"/>
  <c r="AB522" i="32"/>
  <c r="AB523" i="32"/>
  <c r="AB524" i="32"/>
  <c r="AB525" i="32"/>
  <c r="AB526" i="32"/>
  <c r="AB527" i="32"/>
  <c r="AB528" i="32"/>
  <c r="AB529" i="32"/>
  <c r="AB530" i="32"/>
  <c r="AB531" i="32"/>
  <c r="AB532" i="32"/>
  <c r="AB533" i="32"/>
  <c r="AB534" i="32"/>
  <c r="AB535" i="32"/>
  <c r="AB536" i="32"/>
  <c r="AB537" i="32"/>
  <c r="AB538" i="32"/>
  <c r="AB539" i="32"/>
  <c r="AB540" i="32"/>
  <c r="AB541" i="32"/>
  <c r="AB542" i="32"/>
  <c r="AB543" i="32"/>
  <c r="AB544" i="32"/>
  <c r="AB545" i="32"/>
  <c r="AB546" i="32"/>
  <c r="AB547" i="32"/>
  <c r="AB548" i="32"/>
  <c r="AB549" i="32"/>
  <c r="AB550" i="32"/>
  <c r="AB551" i="32"/>
  <c r="AB552" i="32"/>
  <c r="AB553" i="32"/>
  <c r="AB554" i="32"/>
  <c r="AB555" i="32"/>
  <c r="AB556" i="32"/>
  <c r="AB557" i="32"/>
  <c r="AB558" i="32"/>
  <c r="AB559" i="32"/>
  <c r="AB560" i="32"/>
  <c r="AB561" i="32"/>
  <c r="AB562" i="32"/>
  <c r="AB563" i="32"/>
  <c r="AB564" i="32"/>
  <c r="AB565" i="32"/>
  <c r="AB566" i="32"/>
  <c r="AB567" i="32"/>
  <c r="AB568" i="32"/>
  <c r="AB569" i="32"/>
  <c r="AB570" i="32"/>
  <c r="AB571" i="32"/>
  <c r="AB572" i="32"/>
  <c r="AB573" i="32"/>
  <c r="AB574" i="32"/>
  <c r="AB575" i="32"/>
  <c r="AB576" i="32"/>
  <c r="AB577" i="32"/>
  <c r="AB578" i="32"/>
  <c r="AB579" i="32"/>
  <c r="AB580" i="32"/>
  <c r="AB581" i="32"/>
  <c r="AB582" i="32"/>
  <c r="AB583" i="32"/>
  <c r="AB584" i="32"/>
  <c r="AB585" i="32"/>
  <c r="AB586" i="32"/>
  <c r="AB587" i="32"/>
  <c r="AB588" i="32"/>
  <c r="AB589" i="32"/>
  <c r="AB590" i="32"/>
  <c r="AB591" i="32"/>
  <c r="AB592" i="32"/>
  <c r="AB593" i="32"/>
  <c r="AB594" i="32"/>
  <c r="AB595" i="32"/>
  <c r="AB596" i="32"/>
  <c r="AB597" i="32"/>
  <c r="AB598" i="32"/>
  <c r="AB599" i="32"/>
  <c r="AB600" i="32"/>
  <c r="AB601" i="32"/>
  <c r="AB602" i="32"/>
  <c r="AB603" i="32"/>
  <c r="AB604" i="32"/>
  <c r="AB606" i="32"/>
  <c r="AB607" i="32"/>
  <c r="AB608" i="32"/>
  <c r="AB609" i="32"/>
  <c r="AB610" i="32"/>
  <c r="AB611" i="32"/>
  <c r="AB612" i="32"/>
  <c r="AB613" i="32"/>
  <c r="AB614" i="32"/>
  <c r="AB615" i="32"/>
  <c r="AB616" i="32"/>
  <c r="AB617" i="32"/>
  <c r="AB618" i="32"/>
  <c r="AB619" i="32"/>
  <c r="AB620" i="32"/>
  <c r="AB621" i="32"/>
  <c r="AB622" i="32"/>
  <c r="AB623" i="32"/>
  <c r="AB624" i="32"/>
  <c r="AB625" i="32"/>
  <c r="AB626" i="32"/>
  <c r="AB627" i="32"/>
  <c r="AB628" i="32"/>
  <c r="AB629" i="32"/>
  <c r="AB630" i="32"/>
  <c r="AB631" i="32"/>
  <c r="AB632" i="32"/>
  <c r="AB633" i="32"/>
  <c r="AB634" i="32"/>
  <c r="AB635" i="32"/>
  <c r="AB636" i="32"/>
  <c r="AB637" i="32"/>
  <c r="AB638" i="32"/>
  <c r="AB639" i="32"/>
  <c r="AB640" i="32"/>
  <c r="AB641" i="32"/>
  <c r="AB642" i="32"/>
  <c r="AB643" i="32"/>
  <c r="AB644" i="32"/>
  <c r="AB645" i="32"/>
  <c r="AB646" i="32"/>
  <c r="AB647" i="32"/>
  <c r="AB648" i="32"/>
  <c r="AB649" i="32"/>
  <c r="AB650" i="32"/>
  <c r="AB651" i="32"/>
  <c r="AB652" i="32"/>
  <c r="AB653" i="32"/>
  <c r="AB654" i="32"/>
  <c r="AB655" i="32"/>
  <c r="AB656" i="32"/>
  <c r="AB657" i="32"/>
  <c r="AB658" i="32"/>
  <c r="AB659" i="32"/>
  <c r="AB660" i="32"/>
  <c r="AB661" i="32"/>
  <c r="AB662" i="32"/>
  <c r="AB663" i="32"/>
  <c r="AB664" i="32"/>
  <c r="AB665" i="32"/>
  <c r="AB666" i="32"/>
  <c r="AB667" i="32"/>
  <c r="AB668" i="32"/>
  <c r="AB669" i="32"/>
  <c r="AB670" i="32"/>
  <c r="AB671" i="32"/>
  <c r="AB672" i="32"/>
  <c r="AB673" i="32"/>
  <c r="AB674" i="32"/>
  <c r="AB675" i="32"/>
  <c r="AB676" i="32"/>
  <c r="AB677" i="32"/>
  <c r="AB678" i="32"/>
  <c r="AB679" i="32"/>
  <c r="AB680" i="32"/>
  <c r="AB681" i="32"/>
  <c r="AB682" i="32"/>
  <c r="AB683" i="32"/>
  <c r="AB684" i="32"/>
  <c r="AB685" i="32"/>
  <c r="AB686" i="32"/>
  <c r="AB687" i="32"/>
  <c r="AB688" i="32"/>
  <c r="AB689" i="32"/>
  <c r="AB690" i="32"/>
  <c r="AB691" i="32"/>
  <c r="AB692" i="32"/>
  <c r="AB693" i="32"/>
  <c r="AB694" i="32"/>
  <c r="AB695" i="32"/>
  <c r="AB696" i="32"/>
  <c r="AB697" i="32"/>
  <c r="AB698" i="32"/>
  <c r="AB699" i="32"/>
  <c r="AB700" i="32"/>
  <c r="AB701" i="32"/>
  <c r="AB702" i="32"/>
  <c r="AB703" i="32"/>
  <c r="AB704" i="32"/>
  <c r="AB705" i="32"/>
  <c r="AB706" i="32"/>
  <c r="AB707" i="32"/>
  <c r="AB708" i="32"/>
  <c r="AB709" i="32"/>
  <c r="AB710" i="32"/>
  <c r="AB711" i="32"/>
  <c r="AB712" i="32"/>
  <c r="AB713" i="32"/>
  <c r="AB714" i="32"/>
  <c r="AB715" i="32"/>
  <c r="AB716" i="32"/>
  <c r="AB717" i="32"/>
  <c r="AB718" i="32"/>
  <c r="AB719" i="32"/>
  <c r="AB720" i="32"/>
  <c r="AB721" i="32"/>
  <c r="AB722" i="32"/>
  <c r="AB723" i="32"/>
  <c r="AB724" i="32"/>
  <c r="AB725" i="32"/>
  <c r="AB726" i="32"/>
  <c r="AB727" i="32"/>
  <c r="AB728" i="32"/>
  <c r="AB729" i="32"/>
  <c r="AB730" i="32"/>
  <c r="AB731" i="32"/>
  <c r="AB732" i="32"/>
  <c r="AB733" i="32"/>
  <c r="AB734" i="32"/>
  <c r="AB735" i="32"/>
  <c r="AB736" i="32"/>
  <c r="AB737" i="32"/>
  <c r="AB738" i="32"/>
  <c r="AB739" i="32"/>
  <c r="AB740" i="32"/>
  <c r="AB741" i="32"/>
  <c r="AB742" i="32"/>
  <c r="AB743" i="32"/>
  <c r="AB744" i="32"/>
  <c r="AB745" i="32"/>
  <c r="AB746" i="32"/>
  <c r="AB747" i="32"/>
  <c r="AB748" i="32"/>
  <c r="AB749" i="32"/>
  <c r="AB750" i="32"/>
  <c r="AB751" i="32"/>
  <c r="AB752" i="32"/>
  <c r="AB753" i="32"/>
  <c r="AB754" i="32"/>
  <c r="AB755" i="32"/>
  <c r="AB756" i="32"/>
  <c r="AB757" i="32"/>
  <c r="AB758" i="32"/>
  <c r="AB759" i="32"/>
  <c r="AB760" i="32"/>
  <c r="AB761" i="32"/>
  <c r="AB762" i="32"/>
  <c r="AB763" i="32"/>
  <c r="AB764" i="32"/>
  <c r="AB765" i="32"/>
  <c r="AB766" i="32"/>
  <c r="AB767" i="32"/>
  <c r="AB768" i="32"/>
  <c r="AB769" i="32"/>
  <c r="AB770" i="32"/>
  <c r="AB771" i="32"/>
  <c r="AB772" i="32"/>
  <c r="AB773" i="32"/>
  <c r="AB774" i="32"/>
  <c r="AB775" i="32"/>
  <c r="AB776" i="32"/>
  <c r="AB777" i="32"/>
  <c r="AB778" i="32"/>
  <c r="AB779" i="32"/>
  <c r="AB780" i="32"/>
  <c r="AB781" i="32"/>
  <c r="AB782" i="32"/>
  <c r="AB783" i="32"/>
  <c r="AB784" i="32"/>
  <c r="AB785" i="32"/>
  <c r="AB786" i="32"/>
  <c r="AB787" i="32"/>
  <c r="AB788" i="32"/>
  <c r="AB789" i="32"/>
  <c r="AB790" i="32"/>
  <c r="AB791" i="32"/>
  <c r="AB792" i="32"/>
  <c r="AB793" i="32"/>
  <c r="AB794" i="32"/>
  <c r="AB795" i="32"/>
  <c r="AB796" i="32"/>
  <c r="AB797" i="32"/>
  <c r="AB798" i="32"/>
  <c r="AB799" i="32"/>
  <c r="AB800" i="32"/>
  <c r="AB801" i="32"/>
  <c r="AB802" i="32"/>
  <c r="AB803" i="32"/>
  <c r="AB804" i="32"/>
  <c r="AB805" i="32"/>
  <c r="AB806" i="32"/>
  <c r="AB807" i="32"/>
  <c r="AB808" i="32"/>
  <c r="AB809" i="32"/>
  <c r="AB810" i="32"/>
  <c r="AB811" i="32"/>
  <c r="AB812" i="32"/>
  <c r="AB813" i="32"/>
  <c r="AB814" i="32"/>
  <c r="AB815" i="32"/>
  <c r="AB816" i="32"/>
  <c r="AB817" i="32"/>
  <c r="AB818" i="32"/>
  <c r="AB819" i="32"/>
  <c r="AB820" i="32"/>
  <c r="AB821" i="32"/>
  <c r="AB822" i="32"/>
  <c r="AB823" i="32"/>
  <c r="AB824" i="32"/>
  <c r="AB825" i="32"/>
  <c r="AB826" i="32"/>
  <c r="AB827" i="32"/>
  <c r="AB828" i="32"/>
  <c r="AB829" i="32"/>
  <c r="AB830" i="32"/>
  <c r="AB831" i="32"/>
  <c r="AB832" i="32"/>
  <c r="AB833" i="32"/>
  <c r="AB834" i="32"/>
  <c r="AB835" i="32"/>
  <c r="AB836" i="32"/>
  <c r="AB837" i="32"/>
  <c r="AB838" i="32"/>
  <c r="AB839" i="32"/>
  <c r="AB840" i="32"/>
  <c r="AB841" i="32"/>
  <c r="AB842" i="32"/>
  <c r="AB843" i="32"/>
  <c r="AB844" i="32"/>
  <c r="AB845" i="32"/>
  <c r="AB846" i="32"/>
  <c r="AB847" i="32"/>
  <c r="AB848" i="32"/>
  <c r="AB849" i="32"/>
  <c r="AB850" i="32"/>
  <c r="AB851" i="32"/>
  <c r="AB852" i="32"/>
  <c r="AB853" i="32"/>
  <c r="AB854" i="32"/>
  <c r="AB855" i="32"/>
  <c r="AB856" i="32"/>
  <c r="AB857" i="32"/>
  <c r="AB858" i="32"/>
  <c r="AB859" i="32"/>
  <c r="AB860" i="32"/>
  <c r="AB861" i="32"/>
  <c r="AB862" i="32"/>
  <c r="AB863" i="32"/>
  <c r="AB864" i="32"/>
  <c r="AB865" i="32"/>
  <c r="AB866" i="32"/>
  <c r="AB867" i="32"/>
  <c r="AB868" i="32"/>
  <c r="AB869" i="32"/>
  <c r="AB870" i="32"/>
  <c r="AB871" i="32"/>
  <c r="AB872" i="32"/>
  <c r="AB873" i="32"/>
  <c r="AB874" i="32"/>
  <c r="AB875" i="32"/>
  <c r="AB876" i="32"/>
  <c r="AB877" i="32"/>
  <c r="AB878" i="32"/>
  <c r="AB879" i="32"/>
  <c r="AB880" i="32"/>
  <c r="AB881" i="32"/>
  <c r="AB882" i="32"/>
  <c r="AB883" i="32"/>
  <c r="AB884" i="32"/>
  <c r="AB885" i="32"/>
  <c r="AB886" i="32"/>
  <c r="AB887" i="32"/>
  <c r="AB888" i="32"/>
  <c r="AB889" i="32"/>
  <c r="AB890" i="32"/>
  <c r="AB891" i="32"/>
  <c r="AB892" i="32"/>
  <c r="AB893" i="32"/>
  <c r="AB894" i="32"/>
  <c r="AD5" i="32"/>
  <c r="AC6" i="32"/>
  <c r="AD6" i="32"/>
  <c r="AC7" i="32"/>
  <c r="AD7" i="32"/>
  <c r="AC8" i="32"/>
  <c r="AD8" i="32"/>
  <c r="AC9" i="32"/>
  <c r="AD9" i="32"/>
  <c r="AC10" i="32"/>
  <c r="AD10" i="32"/>
  <c r="AC11" i="32"/>
  <c r="AD11" i="32"/>
  <c r="AC12" i="32"/>
  <c r="AD12" i="32"/>
  <c r="AC13" i="32"/>
  <c r="AD13" i="32"/>
  <c r="AC14" i="32"/>
  <c r="AD14" i="32"/>
  <c r="AC15" i="32"/>
  <c r="AD15" i="32"/>
  <c r="AC16" i="32"/>
  <c r="AD16" i="32"/>
  <c r="AC17" i="32"/>
  <c r="AD17" i="32"/>
  <c r="AC18" i="32"/>
  <c r="AD18" i="32"/>
  <c r="AC19" i="32"/>
  <c r="AD19" i="32"/>
  <c r="AC20" i="32"/>
  <c r="AD20" i="32"/>
  <c r="AC21" i="32"/>
  <c r="AD21" i="32"/>
  <c r="AC22" i="32"/>
  <c r="AD22" i="32"/>
  <c r="AC23" i="32"/>
  <c r="AD23" i="32"/>
  <c r="AC24" i="32"/>
  <c r="AD24" i="32"/>
  <c r="AC25" i="32"/>
  <c r="AD25" i="32"/>
  <c r="AC26" i="32"/>
  <c r="AD26" i="32"/>
  <c r="AC27" i="32"/>
  <c r="AD27" i="32"/>
  <c r="AC28" i="32"/>
  <c r="AD28" i="32"/>
  <c r="AC29" i="32"/>
  <c r="AD29" i="32"/>
  <c r="AC30" i="32"/>
  <c r="AD30" i="32"/>
  <c r="AC31" i="32"/>
  <c r="AD31" i="32"/>
  <c r="AC32" i="32"/>
  <c r="AD32" i="32"/>
  <c r="AC33" i="32"/>
  <c r="AD33" i="32"/>
  <c r="AC34" i="32"/>
  <c r="AD34" i="32"/>
  <c r="AC35" i="32"/>
  <c r="AD35" i="32"/>
  <c r="AC36" i="32"/>
  <c r="AD36" i="32"/>
  <c r="AC37" i="32"/>
  <c r="AD37" i="32"/>
  <c r="AC38" i="32"/>
  <c r="AD38" i="32"/>
  <c r="AC39" i="32"/>
  <c r="AD39" i="32"/>
  <c r="AC40" i="32"/>
  <c r="AD40" i="32"/>
  <c r="AC41" i="32"/>
  <c r="AD41" i="32"/>
  <c r="AC42" i="32"/>
  <c r="AD42" i="32"/>
  <c r="AC43" i="32"/>
  <c r="AD43" i="32"/>
  <c r="AC44" i="32"/>
  <c r="AD44" i="32"/>
  <c r="AC45" i="32"/>
  <c r="AD45" i="32"/>
  <c r="AC46" i="32"/>
  <c r="AD46" i="32"/>
  <c r="AC47" i="32"/>
  <c r="AD47" i="32"/>
  <c r="AC48" i="32"/>
  <c r="AD48" i="32"/>
  <c r="AC49" i="32"/>
  <c r="AD49" i="32"/>
  <c r="AC50" i="32"/>
  <c r="AD50" i="32"/>
  <c r="AC51" i="32"/>
  <c r="AD51" i="32"/>
  <c r="AC52" i="32"/>
  <c r="AD52" i="32"/>
  <c r="AC53" i="32"/>
  <c r="AD53" i="32"/>
  <c r="AC54" i="32"/>
  <c r="AD54" i="32"/>
  <c r="AC55" i="32"/>
  <c r="AD55" i="32"/>
  <c r="AC56" i="32"/>
  <c r="AD56" i="32"/>
  <c r="AC57" i="32"/>
  <c r="AD57" i="32"/>
  <c r="AC58" i="32"/>
  <c r="AD58" i="32"/>
  <c r="AC59" i="32"/>
  <c r="AD59" i="32"/>
  <c r="AC60" i="32"/>
  <c r="AD60" i="32"/>
  <c r="AC61" i="32"/>
  <c r="AD61" i="32"/>
  <c r="AC62" i="32"/>
  <c r="AD62" i="32"/>
  <c r="AC63" i="32"/>
  <c r="AD63" i="32"/>
  <c r="AC64" i="32"/>
  <c r="AD64" i="32"/>
  <c r="AC65" i="32"/>
  <c r="AD65" i="32"/>
  <c r="AC66" i="32"/>
  <c r="AD66" i="32"/>
  <c r="AC67" i="32"/>
  <c r="AD67" i="32"/>
  <c r="AC68" i="32"/>
  <c r="AD68" i="32"/>
  <c r="AC69" i="32"/>
  <c r="AD69" i="32"/>
  <c r="AC70" i="32"/>
  <c r="AD70" i="32"/>
  <c r="AC71" i="32"/>
  <c r="AD71" i="32"/>
  <c r="AC72" i="32"/>
  <c r="AD72" i="32"/>
  <c r="AC73" i="32"/>
  <c r="AD73" i="32"/>
  <c r="AC74" i="32"/>
  <c r="AD74" i="32"/>
  <c r="AC75" i="32"/>
  <c r="AD75" i="32"/>
  <c r="AC76" i="32"/>
  <c r="AD76" i="32"/>
  <c r="AC77" i="32"/>
  <c r="AD77" i="32"/>
  <c r="AC78" i="32"/>
  <c r="AD78" i="32"/>
  <c r="AC79" i="32"/>
  <c r="AD79" i="32"/>
  <c r="AC80" i="32"/>
  <c r="AD80" i="32"/>
  <c r="AC81" i="32"/>
  <c r="AD81" i="32"/>
  <c r="AC82" i="32"/>
  <c r="AD82" i="32"/>
  <c r="AC83" i="32"/>
  <c r="AD83" i="32"/>
  <c r="AC84" i="32"/>
  <c r="AD84" i="32"/>
  <c r="AC85" i="32"/>
  <c r="AD85" i="32"/>
  <c r="AC86" i="32"/>
  <c r="AD86" i="32"/>
  <c r="AC87" i="32"/>
  <c r="AD87" i="32"/>
  <c r="AC88" i="32"/>
  <c r="AD88" i="32"/>
  <c r="AC89" i="32"/>
  <c r="AD89" i="32"/>
  <c r="AC90" i="32"/>
  <c r="AD90" i="32"/>
  <c r="AC91" i="32"/>
  <c r="AD91" i="32"/>
  <c r="AC92" i="32"/>
  <c r="AD92" i="32"/>
  <c r="AC93" i="32"/>
  <c r="AD93" i="32"/>
  <c r="AC94" i="32"/>
  <c r="AD94" i="32"/>
  <c r="AC95" i="32"/>
  <c r="AD95" i="32"/>
  <c r="AC96" i="32"/>
  <c r="AD96" i="32"/>
  <c r="AC97" i="32"/>
  <c r="AD97" i="32"/>
  <c r="AC98" i="32"/>
  <c r="AD98" i="32"/>
  <c r="AC99" i="32"/>
  <c r="AD99" i="32"/>
  <c r="AC100" i="32"/>
  <c r="AD100" i="32"/>
  <c r="AC101" i="32"/>
  <c r="AD101" i="32"/>
  <c r="AC102" i="32"/>
  <c r="AD102" i="32"/>
  <c r="AC103" i="32"/>
  <c r="AD103" i="32"/>
  <c r="AC104" i="32"/>
  <c r="AD104" i="32"/>
  <c r="AC105" i="32"/>
  <c r="AD105" i="32"/>
  <c r="AC106" i="32"/>
  <c r="AD106" i="32"/>
  <c r="AC107" i="32"/>
  <c r="AD107" i="32"/>
  <c r="AC108" i="32"/>
  <c r="AD108" i="32"/>
  <c r="AC109" i="32"/>
  <c r="AD109" i="32"/>
  <c r="AC110" i="32"/>
  <c r="AD110" i="32"/>
  <c r="AC111" i="32"/>
  <c r="AD111" i="32"/>
  <c r="AC112" i="32"/>
  <c r="AD112" i="32"/>
  <c r="AC113" i="32"/>
  <c r="AD113" i="32"/>
  <c r="AC114" i="32"/>
  <c r="AD114" i="32"/>
  <c r="AC115" i="32"/>
  <c r="AD115" i="32"/>
  <c r="AC116" i="32"/>
  <c r="AD116" i="32"/>
  <c r="AC117" i="32"/>
  <c r="AD117" i="32"/>
  <c r="AC118" i="32"/>
  <c r="AD118" i="32"/>
  <c r="AC119" i="32"/>
  <c r="AD119" i="32"/>
  <c r="AC120" i="32"/>
  <c r="AD120" i="32"/>
  <c r="AC121" i="32"/>
  <c r="AD121" i="32"/>
  <c r="AC122" i="32"/>
  <c r="AD122" i="32"/>
  <c r="AC123" i="32"/>
  <c r="AD123" i="32"/>
  <c r="AC124" i="32"/>
  <c r="AD124" i="32"/>
  <c r="AC125" i="32"/>
  <c r="AD125" i="32"/>
  <c r="AC126" i="32"/>
  <c r="AD126" i="32"/>
  <c r="AC127" i="32"/>
  <c r="AD127" i="32"/>
  <c r="AC128" i="32"/>
  <c r="AD128" i="32"/>
  <c r="AC129" i="32"/>
  <c r="AD129" i="32"/>
  <c r="AC130" i="32"/>
  <c r="AD130" i="32"/>
  <c r="AC131" i="32"/>
  <c r="AD131" i="32"/>
  <c r="AC132" i="32"/>
  <c r="AD132" i="32"/>
  <c r="AC133" i="32"/>
  <c r="AD133" i="32"/>
  <c r="AC134" i="32"/>
  <c r="AD134" i="32"/>
  <c r="AC135" i="32"/>
  <c r="AD135" i="32"/>
  <c r="AC136" i="32"/>
  <c r="AD136" i="32"/>
  <c r="AC137" i="32"/>
  <c r="AD137" i="32"/>
  <c r="AC138" i="32"/>
  <c r="AD138" i="32"/>
  <c r="AC139" i="32"/>
  <c r="AD139" i="32"/>
  <c r="AC140" i="32"/>
  <c r="AD140" i="32"/>
  <c r="AC141" i="32"/>
  <c r="AD141" i="32"/>
  <c r="AC142" i="32"/>
  <c r="AD142" i="32"/>
  <c r="AC143" i="32"/>
  <c r="AD143" i="32"/>
  <c r="AC144" i="32"/>
  <c r="AD144" i="32"/>
  <c r="AC145" i="32"/>
  <c r="AD145" i="32"/>
  <c r="AC146" i="32"/>
  <c r="AD146" i="32"/>
  <c r="AC147" i="32"/>
  <c r="AD147" i="32"/>
  <c r="AC148" i="32"/>
  <c r="AD148" i="32"/>
  <c r="AC149" i="32"/>
  <c r="AD149" i="32"/>
  <c r="AC150" i="32"/>
  <c r="AD150" i="32"/>
  <c r="AC151" i="32"/>
  <c r="AD151" i="32"/>
  <c r="AC152" i="32"/>
  <c r="AD152" i="32"/>
  <c r="AC153" i="32"/>
  <c r="AD153" i="32"/>
  <c r="AC154" i="32"/>
  <c r="AD154" i="32"/>
  <c r="AC155" i="32"/>
  <c r="AD155" i="32"/>
  <c r="AC156" i="32"/>
  <c r="AD156" i="32"/>
  <c r="AC157" i="32"/>
  <c r="AD157" i="32"/>
  <c r="AC158" i="32"/>
  <c r="AD158" i="32"/>
  <c r="AC159" i="32"/>
  <c r="AD159" i="32"/>
  <c r="AC160" i="32"/>
  <c r="AD160" i="32"/>
  <c r="AC161" i="32"/>
  <c r="AD161" i="32"/>
  <c r="AC162" i="32"/>
  <c r="AD162" i="32"/>
  <c r="AC163" i="32"/>
  <c r="AD163" i="32"/>
  <c r="AC164" i="32"/>
  <c r="AD164" i="32"/>
  <c r="AC165" i="32"/>
  <c r="AD165" i="32"/>
  <c r="AC166" i="32"/>
  <c r="AD166" i="32"/>
  <c r="AC167" i="32"/>
  <c r="AD167" i="32"/>
  <c r="AC168" i="32"/>
  <c r="AD168" i="32"/>
  <c r="AC169" i="32"/>
  <c r="AD169" i="32"/>
  <c r="AC170" i="32"/>
  <c r="AD170" i="32"/>
  <c r="AC171" i="32"/>
  <c r="AD171" i="32"/>
  <c r="AC172" i="32"/>
  <c r="AD172" i="32"/>
  <c r="AC173" i="32"/>
  <c r="AD173" i="32"/>
  <c r="AC174" i="32"/>
  <c r="AD174" i="32"/>
  <c r="AC175" i="32"/>
  <c r="AD175" i="32"/>
  <c r="AC176" i="32"/>
  <c r="AD176" i="32"/>
  <c r="AC177" i="32"/>
  <c r="AD177" i="32"/>
  <c r="AC178" i="32"/>
  <c r="AD178" i="32"/>
  <c r="AC179" i="32"/>
  <c r="AD179" i="32"/>
  <c r="AC180" i="32"/>
  <c r="AD180" i="32"/>
  <c r="AC181" i="32"/>
  <c r="AD181" i="32"/>
  <c r="AC182" i="32"/>
  <c r="AD182" i="32"/>
  <c r="AC183" i="32"/>
  <c r="AD183" i="32"/>
  <c r="AC184" i="32"/>
  <c r="AD184" i="32"/>
  <c r="AC185" i="32"/>
  <c r="AD185" i="32"/>
  <c r="AC186" i="32"/>
  <c r="AD186" i="32"/>
  <c r="AC187" i="32"/>
  <c r="AD187" i="32"/>
  <c r="AC188" i="32"/>
  <c r="AD188" i="32"/>
  <c r="AC189" i="32"/>
  <c r="AD189" i="32"/>
  <c r="AC190" i="32"/>
  <c r="AD190" i="32"/>
  <c r="AC191" i="32"/>
  <c r="AD191" i="32"/>
  <c r="AC192" i="32"/>
  <c r="AD192" i="32"/>
  <c r="AC193" i="32"/>
  <c r="AD193" i="32"/>
  <c r="AC194" i="32"/>
  <c r="AD194" i="32"/>
  <c r="AC195" i="32"/>
  <c r="AD195" i="32"/>
  <c r="AC196" i="32"/>
  <c r="AD196" i="32"/>
  <c r="AC197" i="32"/>
  <c r="AD197" i="32"/>
  <c r="AC198" i="32"/>
  <c r="AD198" i="32"/>
  <c r="AC199" i="32"/>
  <c r="AD199" i="32"/>
  <c r="AC200" i="32"/>
  <c r="AD200" i="32"/>
  <c r="AC201" i="32"/>
  <c r="AD201" i="32"/>
  <c r="AC202" i="32"/>
  <c r="AD202" i="32"/>
  <c r="AC203" i="32"/>
  <c r="AD203" i="32"/>
  <c r="AC204" i="32"/>
  <c r="AD204" i="32"/>
  <c r="AC205" i="32"/>
  <c r="AD205" i="32"/>
  <c r="AC206" i="32"/>
  <c r="AD206" i="32"/>
  <c r="AC207" i="32"/>
  <c r="AD207" i="32"/>
  <c r="AC208" i="32"/>
  <c r="AD208" i="32"/>
  <c r="AC209" i="32"/>
  <c r="AD209" i="32"/>
  <c r="AC210" i="32"/>
  <c r="AD210" i="32"/>
  <c r="AC211" i="32"/>
  <c r="AD211" i="32"/>
  <c r="AC212" i="32"/>
  <c r="AD212" i="32"/>
  <c r="AC213" i="32"/>
  <c r="AD213" i="32"/>
  <c r="AC214" i="32"/>
  <c r="AD214" i="32"/>
  <c r="AC215" i="32"/>
  <c r="AD215" i="32"/>
  <c r="AC216" i="32"/>
  <c r="AD216" i="32"/>
  <c r="AC217" i="32"/>
  <c r="AD217" i="32"/>
  <c r="AC218" i="32"/>
  <c r="AD218" i="32"/>
  <c r="AC219" i="32"/>
  <c r="AD219" i="32"/>
  <c r="AC220" i="32"/>
  <c r="AD220" i="32"/>
  <c r="AC221" i="32"/>
  <c r="AD221" i="32"/>
  <c r="AC222" i="32"/>
  <c r="AD222" i="32"/>
  <c r="AC223" i="32"/>
  <c r="AD223" i="32"/>
  <c r="AC224" i="32"/>
  <c r="AD224" i="32"/>
  <c r="AC225" i="32"/>
  <c r="AD225" i="32"/>
  <c r="AC226" i="32"/>
  <c r="AD226" i="32"/>
  <c r="AC227" i="32"/>
  <c r="AD227" i="32"/>
  <c r="AC228" i="32"/>
  <c r="AD228" i="32"/>
  <c r="AC229" i="32"/>
  <c r="AD229" i="32"/>
  <c r="AC230" i="32"/>
  <c r="AD230" i="32"/>
  <c r="AC231" i="32"/>
  <c r="AD231" i="32"/>
  <c r="AC232" i="32"/>
  <c r="AD232" i="32"/>
  <c r="AC233" i="32"/>
  <c r="AD233" i="32"/>
  <c r="AC234" i="32"/>
  <c r="AD234" i="32"/>
  <c r="AC235" i="32"/>
  <c r="AD235" i="32"/>
  <c r="AC236" i="32"/>
  <c r="AD236" i="32"/>
  <c r="AC237" i="32"/>
  <c r="AD237" i="32"/>
  <c r="AC238" i="32"/>
  <c r="AD238" i="32"/>
  <c r="AC239" i="32"/>
  <c r="AD239" i="32"/>
  <c r="AC240" i="32"/>
  <c r="AD240" i="32"/>
  <c r="AC241" i="32"/>
  <c r="AD241" i="32"/>
  <c r="AC242" i="32"/>
  <c r="AD242" i="32"/>
  <c r="AC243" i="32"/>
  <c r="AD243" i="32"/>
  <c r="AC244" i="32"/>
  <c r="AD244" i="32"/>
  <c r="AC245" i="32"/>
  <c r="AD245" i="32"/>
  <c r="AC246" i="32"/>
  <c r="AD246" i="32"/>
  <c r="AC247" i="32"/>
  <c r="AD247" i="32"/>
  <c r="AC248" i="32"/>
  <c r="AD248" i="32"/>
  <c r="AC249" i="32"/>
  <c r="AD249" i="32"/>
  <c r="AC250" i="32"/>
  <c r="AD250" i="32"/>
  <c r="AC251" i="32"/>
  <c r="AD251" i="32"/>
  <c r="AC252" i="32"/>
  <c r="AD252" i="32"/>
  <c r="AC253" i="32"/>
  <c r="AD253" i="32"/>
  <c r="AC254" i="32"/>
  <c r="AD254" i="32"/>
  <c r="AC255" i="32"/>
  <c r="AD255" i="32"/>
  <c r="AC256" i="32"/>
  <c r="AD256" i="32"/>
  <c r="AC257" i="32"/>
  <c r="AD257" i="32"/>
  <c r="AC258" i="32"/>
  <c r="AD258" i="32"/>
  <c r="AC259" i="32"/>
  <c r="AD259" i="32"/>
  <c r="AC260" i="32"/>
  <c r="AD260" i="32"/>
  <c r="AC261" i="32"/>
  <c r="AD261" i="32"/>
  <c r="AC262" i="32"/>
  <c r="AD262" i="32"/>
  <c r="AC263" i="32"/>
  <c r="AD263" i="32"/>
  <c r="AC264" i="32"/>
  <c r="AD264" i="32"/>
  <c r="AC265" i="32"/>
  <c r="AD265" i="32"/>
  <c r="AC266" i="32"/>
  <c r="AD266" i="32"/>
  <c r="AC267" i="32"/>
  <c r="AD267" i="32"/>
  <c r="AC268" i="32"/>
  <c r="AD268" i="32"/>
  <c r="AC269" i="32"/>
  <c r="AD269" i="32"/>
  <c r="AC270" i="32"/>
  <c r="AD270" i="32"/>
  <c r="AC271" i="32"/>
  <c r="AD271" i="32"/>
  <c r="AC272" i="32"/>
  <c r="AD272" i="32"/>
  <c r="AC273" i="32"/>
  <c r="AD273" i="32"/>
  <c r="AC274" i="32"/>
  <c r="AD274" i="32"/>
  <c r="AC275" i="32"/>
  <c r="AD275" i="32"/>
  <c r="AC276" i="32"/>
  <c r="AD276" i="32"/>
  <c r="AC277" i="32"/>
  <c r="AD277" i="32"/>
  <c r="AC278" i="32"/>
  <c r="AD278" i="32"/>
  <c r="AC279" i="32"/>
  <c r="AD279" i="32"/>
  <c r="AC280" i="32"/>
  <c r="AD280" i="32"/>
  <c r="AC281" i="32"/>
  <c r="AD281" i="32"/>
  <c r="AC282" i="32"/>
  <c r="AD282" i="32"/>
  <c r="AC283" i="32"/>
  <c r="AD283" i="32"/>
  <c r="AC284" i="32"/>
  <c r="AD284" i="32"/>
  <c r="AC285" i="32"/>
  <c r="AD285" i="32"/>
  <c r="AC286" i="32"/>
  <c r="AD286" i="32"/>
  <c r="AC287" i="32"/>
  <c r="AD287" i="32"/>
  <c r="AC288" i="32"/>
  <c r="AD288" i="32"/>
  <c r="AC289" i="32"/>
  <c r="AD289" i="32"/>
  <c r="AC290" i="32"/>
  <c r="AD290" i="32"/>
  <c r="AC291" i="32"/>
  <c r="AD291" i="32"/>
  <c r="AC292" i="32"/>
  <c r="AD292" i="32"/>
  <c r="AC293" i="32"/>
  <c r="AD293" i="32"/>
  <c r="AC294" i="32"/>
  <c r="AD294" i="32"/>
  <c r="AC295" i="32"/>
  <c r="AD295" i="32"/>
  <c r="AC296" i="32"/>
  <c r="AD296" i="32"/>
  <c r="AC297" i="32"/>
  <c r="AD297" i="32"/>
  <c r="AC298" i="32"/>
  <c r="AD298" i="32"/>
  <c r="AC299" i="32"/>
  <c r="AD299" i="32"/>
  <c r="AC300" i="32"/>
  <c r="AD300" i="32"/>
  <c r="AC301" i="32"/>
  <c r="AD301" i="32"/>
  <c r="AC302" i="32"/>
  <c r="AD302" i="32"/>
  <c r="AC303" i="32"/>
  <c r="AD303" i="32"/>
  <c r="AC304" i="32"/>
  <c r="AD304" i="32"/>
  <c r="AC305" i="32"/>
  <c r="AD305" i="32"/>
  <c r="AC306" i="32"/>
  <c r="AD306" i="32"/>
  <c r="AC307" i="32"/>
  <c r="AD307" i="32"/>
  <c r="AC308" i="32"/>
  <c r="AD308" i="32"/>
  <c r="AC309" i="32"/>
  <c r="AD309" i="32"/>
  <c r="AC310" i="32"/>
  <c r="AD310" i="32"/>
  <c r="AC311" i="32"/>
  <c r="AD311" i="32"/>
  <c r="AC312" i="32"/>
  <c r="AD312" i="32"/>
  <c r="AC313" i="32"/>
  <c r="AD313" i="32"/>
  <c r="AC314" i="32"/>
  <c r="AD314" i="32"/>
  <c r="AC315" i="32"/>
  <c r="AD315" i="32"/>
  <c r="AC316" i="32"/>
  <c r="AD316" i="32"/>
  <c r="AC317" i="32"/>
  <c r="AD317" i="32"/>
  <c r="AC318" i="32"/>
  <c r="AD318" i="32"/>
  <c r="AC319" i="32"/>
  <c r="AD319" i="32"/>
  <c r="AC320" i="32"/>
  <c r="AD320" i="32"/>
  <c r="AC321" i="32"/>
  <c r="AD321" i="32"/>
  <c r="AC322" i="32"/>
  <c r="AD322" i="32"/>
  <c r="AC323" i="32"/>
  <c r="AD323" i="32"/>
  <c r="AC324" i="32"/>
  <c r="AD324" i="32"/>
  <c r="AC325" i="32"/>
  <c r="AD325" i="32"/>
  <c r="AC326" i="32"/>
  <c r="AD326" i="32"/>
  <c r="AC327" i="32"/>
  <c r="AD327" i="32"/>
  <c r="AC328" i="32"/>
  <c r="AD328" i="32"/>
  <c r="AC329" i="32"/>
  <c r="AD329" i="32"/>
  <c r="AC330" i="32"/>
  <c r="AD330" i="32"/>
  <c r="AC331" i="32"/>
  <c r="AD331" i="32"/>
  <c r="AC332" i="32"/>
  <c r="AD332" i="32"/>
  <c r="AC333" i="32"/>
  <c r="AD333" i="32"/>
  <c r="AC334" i="32"/>
  <c r="AD334" i="32"/>
  <c r="AC335" i="32"/>
  <c r="AD335" i="32"/>
  <c r="AC336" i="32"/>
  <c r="AD336" i="32"/>
  <c r="AC337" i="32"/>
  <c r="AD337" i="32"/>
  <c r="AC338" i="32"/>
  <c r="AD338" i="32"/>
  <c r="AC339" i="32"/>
  <c r="AD339" i="32"/>
  <c r="AC340" i="32"/>
  <c r="AD340" i="32"/>
  <c r="AC341" i="32"/>
  <c r="AD341" i="32"/>
  <c r="AC342" i="32"/>
  <c r="AD342" i="32"/>
  <c r="AC343" i="32"/>
  <c r="AD343" i="32"/>
  <c r="AC344" i="32"/>
  <c r="AD344" i="32"/>
  <c r="AC345" i="32"/>
  <c r="AD345" i="32"/>
  <c r="AC346" i="32"/>
  <c r="AD346" i="32"/>
  <c r="AC347" i="32"/>
  <c r="AD347" i="32"/>
  <c r="AC348" i="32"/>
  <c r="AD348" i="32"/>
  <c r="AC349" i="32"/>
  <c r="AD349" i="32"/>
  <c r="AC350" i="32"/>
  <c r="AD350" i="32"/>
  <c r="AC351" i="32"/>
  <c r="AD351" i="32"/>
  <c r="AC352" i="32"/>
  <c r="AD352" i="32"/>
  <c r="AC353" i="32"/>
  <c r="AD353" i="32"/>
  <c r="AC354" i="32"/>
  <c r="AD354" i="32"/>
  <c r="AC355" i="32"/>
  <c r="AD355" i="32"/>
  <c r="AC356" i="32"/>
  <c r="AD356" i="32"/>
  <c r="AC357" i="32"/>
  <c r="AD357" i="32"/>
  <c r="AC358" i="32"/>
  <c r="AD358" i="32"/>
  <c r="AC359" i="32"/>
  <c r="AD359" i="32"/>
  <c r="AC360" i="32"/>
  <c r="AD360" i="32"/>
  <c r="AC361" i="32"/>
  <c r="AD361" i="32"/>
  <c r="AC362" i="32"/>
  <c r="AD362" i="32"/>
  <c r="AC363" i="32"/>
  <c r="AD363" i="32"/>
  <c r="AC364" i="32"/>
  <c r="AD364" i="32"/>
  <c r="AC365" i="32"/>
  <c r="AD365" i="32"/>
  <c r="AC366" i="32"/>
  <c r="AD366" i="32"/>
  <c r="AC367" i="32"/>
  <c r="AD367" i="32"/>
  <c r="AC368" i="32"/>
  <c r="AD368" i="32"/>
  <c r="AC369" i="32"/>
  <c r="AD369" i="32"/>
  <c r="AC370" i="32"/>
  <c r="AD370" i="32"/>
  <c r="AC371" i="32"/>
  <c r="AD371" i="32"/>
  <c r="AC372" i="32"/>
  <c r="AD372" i="32"/>
  <c r="AC373" i="32"/>
  <c r="AD373" i="32"/>
  <c r="AC374" i="32"/>
  <c r="AD374" i="32"/>
  <c r="AC375" i="32"/>
  <c r="AD375" i="32"/>
  <c r="AC376" i="32"/>
  <c r="AD376" i="32"/>
  <c r="AC377" i="32"/>
  <c r="AD377" i="32"/>
  <c r="AC378" i="32"/>
  <c r="AD378" i="32"/>
  <c r="AC379" i="32"/>
  <c r="AD379" i="32"/>
  <c r="AC380" i="32"/>
  <c r="AD380" i="32"/>
  <c r="AC381" i="32"/>
  <c r="AD381" i="32"/>
  <c r="AC382" i="32"/>
  <c r="AD382" i="32"/>
  <c r="AC383" i="32"/>
  <c r="AD383" i="32"/>
  <c r="AC384" i="32"/>
  <c r="AD384" i="32"/>
  <c r="AC385" i="32"/>
  <c r="AD385" i="32"/>
  <c r="AC386" i="32"/>
  <c r="AD386" i="32"/>
  <c r="AC387" i="32"/>
  <c r="AD387" i="32"/>
  <c r="AC388" i="32"/>
  <c r="AD388" i="32"/>
  <c r="AC389" i="32"/>
  <c r="AD389" i="32"/>
  <c r="AC390" i="32"/>
  <c r="AD390" i="32"/>
  <c r="AC391" i="32"/>
  <c r="AD391" i="32"/>
  <c r="AC392" i="32"/>
  <c r="AD392" i="32"/>
  <c r="AC393" i="32"/>
  <c r="AD393" i="32"/>
  <c r="AC394" i="32"/>
  <c r="AD394" i="32"/>
  <c r="AC395" i="32"/>
  <c r="AD395" i="32"/>
  <c r="AC396" i="32"/>
  <c r="AD396" i="32"/>
  <c r="AC397" i="32"/>
  <c r="AD397" i="32"/>
  <c r="AC398" i="32"/>
  <c r="AD398" i="32"/>
  <c r="AC399" i="32"/>
  <c r="AD399" i="32"/>
  <c r="AC400" i="32"/>
  <c r="AD400" i="32"/>
  <c r="AC401" i="32"/>
  <c r="AD401" i="32"/>
  <c r="AC402" i="32"/>
  <c r="AD402" i="32"/>
  <c r="AC403" i="32"/>
  <c r="AD403" i="32"/>
  <c r="AC404" i="32"/>
  <c r="AD404" i="32"/>
  <c r="AC405" i="32"/>
  <c r="AD405" i="32"/>
  <c r="AC406" i="32"/>
  <c r="AD406" i="32"/>
  <c r="AC407" i="32"/>
  <c r="AD407" i="32"/>
  <c r="AC408" i="32"/>
  <c r="AD408" i="32"/>
  <c r="AC409" i="32"/>
  <c r="AD409" i="32"/>
  <c r="AC410" i="32"/>
  <c r="AD410" i="32"/>
  <c r="AC411" i="32"/>
  <c r="AD411" i="32"/>
  <c r="AC412" i="32"/>
  <c r="AD412" i="32"/>
  <c r="AC413" i="32"/>
  <c r="AD413" i="32"/>
  <c r="AC414" i="32"/>
  <c r="AD414" i="32"/>
  <c r="AC415" i="32"/>
  <c r="AD415" i="32"/>
  <c r="AC416" i="32"/>
  <c r="AD416" i="32"/>
  <c r="AC417" i="32"/>
  <c r="AD417" i="32"/>
  <c r="AC418" i="32"/>
  <c r="AD418" i="32"/>
  <c r="AC419" i="32"/>
  <c r="AD419" i="32"/>
  <c r="AC420" i="32"/>
  <c r="AD420" i="32"/>
  <c r="AC421" i="32"/>
  <c r="AD421" i="32"/>
  <c r="AC422" i="32"/>
  <c r="AD422" i="32"/>
  <c r="AC423" i="32"/>
  <c r="AD423" i="32"/>
  <c r="AC424" i="32"/>
  <c r="AD424" i="32"/>
  <c r="AC425" i="32"/>
  <c r="AD425" i="32"/>
  <c r="AC426" i="32"/>
  <c r="AD426" i="32"/>
  <c r="AC427" i="32"/>
  <c r="AD427" i="32"/>
  <c r="AC428" i="32"/>
  <c r="AD428" i="32"/>
  <c r="AC429" i="32"/>
  <c r="AD429" i="32"/>
  <c r="AC430" i="32"/>
  <c r="AD430" i="32"/>
  <c r="AC431" i="32"/>
  <c r="AD431" i="32"/>
  <c r="AC432" i="32"/>
  <c r="AD432" i="32"/>
  <c r="AC433" i="32"/>
  <c r="AD433" i="32"/>
  <c r="AC434" i="32"/>
  <c r="AD434" i="32"/>
  <c r="AC435" i="32"/>
  <c r="AD435" i="32"/>
  <c r="AC436" i="32"/>
  <c r="AD436" i="32"/>
  <c r="AC437" i="32"/>
  <c r="AD437" i="32"/>
  <c r="AC438" i="32"/>
  <c r="AD438" i="32"/>
  <c r="AC439" i="32"/>
  <c r="AD439" i="32"/>
  <c r="AC440" i="32"/>
  <c r="AD440" i="32"/>
  <c r="AC441" i="32"/>
  <c r="AD441" i="32"/>
  <c r="AC442" i="32"/>
  <c r="AD442" i="32"/>
  <c r="AC443" i="32"/>
  <c r="AD443" i="32"/>
  <c r="AC444" i="32"/>
  <c r="AD444" i="32"/>
  <c r="AC445" i="32"/>
  <c r="AD445" i="32"/>
  <c r="AC446" i="32"/>
  <c r="AD446" i="32"/>
  <c r="AC447" i="32"/>
  <c r="AD447" i="32"/>
  <c r="AC448" i="32"/>
  <c r="AD448" i="32"/>
  <c r="AC449" i="32"/>
  <c r="AD449" i="32"/>
  <c r="AC450" i="32"/>
  <c r="AD450" i="32"/>
  <c r="AC451" i="32"/>
  <c r="AD451" i="32"/>
  <c r="AC452" i="32"/>
  <c r="AD452" i="32"/>
  <c r="AC453" i="32"/>
  <c r="AD453" i="32"/>
  <c r="AC454" i="32"/>
  <c r="AD454" i="32"/>
  <c r="AC455" i="32"/>
  <c r="AD455" i="32"/>
  <c r="AC456" i="32"/>
  <c r="AD456" i="32"/>
  <c r="AC457" i="32"/>
  <c r="AD457" i="32"/>
  <c r="AC458" i="32"/>
  <c r="AD458" i="32"/>
  <c r="AC459" i="32"/>
  <c r="AD459" i="32"/>
  <c r="AC460" i="32"/>
  <c r="AD460" i="32"/>
  <c r="AC461" i="32"/>
  <c r="AD461" i="32"/>
  <c r="AC462" i="32"/>
  <c r="AD462" i="32"/>
  <c r="AC463" i="32"/>
  <c r="AD463" i="32"/>
  <c r="AC464" i="32"/>
  <c r="AD464" i="32"/>
  <c r="AC465" i="32"/>
  <c r="AD465" i="32"/>
  <c r="AC466" i="32"/>
  <c r="AD466" i="32"/>
  <c r="AC467" i="32"/>
  <c r="AD467" i="32"/>
  <c r="AC468" i="32"/>
  <c r="AD468" i="32"/>
  <c r="AC469" i="32"/>
  <c r="AD469" i="32"/>
  <c r="AC470" i="32"/>
  <c r="AD470" i="32"/>
  <c r="AC471" i="32"/>
  <c r="AD471" i="32"/>
  <c r="AC472" i="32"/>
  <c r="AD472" i="32"/>
  <c r="AC473" i="32"/>
  <c r="AD473" i="32"/>
  <c r="AC474" i="32"/>
  <c r="AD474" i="32"/>
  <c r="AC475" i="32"/>
  <c r="AD475" i="32"/>
  <c r="AC476" i="32"/>
  <c r="AD476" i="32"/>
  <c r="AC477" i="32"/>
  <c r="AD477" i="32"/>
  <c r="AC478" i="32"/>
  <c r="AD478" i="32"/>
  <c r="AC479" i="32"/>
  <c r="AD479" i="32"/>
  <c r="AC480" i="32"/>
  <c r="AD480" i="32"/>
  <c r="AC481" i="32"/>
  <c r="AD481" i="32"/>
  <c r="AC482" i="32"/>
  <c r="AD482" i="32"/>
  <c r="AC483" i="32"/>
  <c r="AD483" i="32"/>
  <c r="AC484" i="32"/>
  <c r="AD484" i="32"/>
  <c r="AC485" i="32"/>
  <c r="AD485" i="32"/>
  <c r="AC486" i="32"/>
  <c r="AD486" i="32"/>
  <c r="AC487" i="32"/>
  <c r="AD487" i="32"/>
  <c r="AC488" i="32"/>
  <c r="AD488" i="32"/>
  <c r="AC489" i="32"/>
  <c r="AD489" i="32"/>
  <c r="AC490" i="32"/>
  <c r="AD490" i="32"/>
  <c r="AC491" i="32"/>
  <c r="AD491" i="32"/>
  <c r="AC492" i="32"/>
  <c r="AD492" i="32"/>
  <c r="AC493" i="32"/>
  <c r="AD493" i="32"/>
  <c r="AC494" i="32"/>
  <c r="AD494" i="32"/>
  <c r="AC495" i="32"/>
  <c r="AD495" i="32"/>
  <c r="AC496" i="32"/>
  <c r="AD496" i="32"/>
  <c r="AC497" i="32"/>
  <c r="AD497" i="32"/>
  <c r="AC498" i="32"/>
  <c r="AD498" i="32"/>
  <c r="AC499" i="32"/>
  <c r="AD499" i="32"/>
  <c r="AC500" i="32"/>
  <c r="AD500" i="32"/>
  <c r="AC501" i="32"/>
  <c r="AD501" i="32"/>
  <c r="AC502" i="32"/>
  <c r="AD502" i="32"/>
  <c r="AC503" i="32"/>
  <c r="AD503" i="32"/>
  <c r="AC504" i="32"/>
  <c r="AD504" i="32"/>
  <c r="AC505" i="32"/>
  <c r="AD505" i="32"/>
  <c r="AC506" i="32"/>
  <c r="AD506" i="32"/>
  <c r="AC507" i="32"/>
  <c r="AD507" i="32"/>
  <c r="AC508" i="32"/>
  <c r="AD508" i="32"/>
  <c r="AC509" i="32"/>
  <c r="AD509" i="32"/>
  <c r="AC510" i="32"/>
  <c r="AD510" i="32"/>
  <c r="AC511" i="32"/>
  <c r="AD511" i="32"/>
  <c r="AC512" i="32"/>
  <c r="AD512" i="32"/>
  <c r="AC513" i="32"/>
  <c r="AD513" i="32"/>
  <c r="AC514" i="32"/>
  <c r="AD514" i="32"/>
  <c r="AC515" i="32"/>
  <c r="AD515" i="32"/>
  <c r="AC516" i="32"/>
  <c r="AD516" i="32"/>
  <c r="AC517" i="32"/>
  <c r="AD517" i="32"/>
  <c r="AC518" i="32"/>
  <c r="AD518" i="32"/>
  <c r="AC519" i="32"/>
  <c r="AD519" i="32"/>
  <c r="AC520" i="32"/>
  <c r="AD520" i="32"/>
  <c r="AC521" i="32"/>
  <c r="AD521" i="32"/>
  <c r="AC522" i="32"/>
  <c r="AD522" i="32"/>
  <c r="AC523" i="32"/>
  <c r="AD523" i="32"/>
  <c r="AC524" i="32"/>
  <c r="AD524" i="32"/>
  <c r="AC525" i="32"/>
  <c r="AD525" i="32"/>
  <c r="AC526" i="32"/>
  <c r="AD526" i="32"/>
  <c r="AC527" i="32"/>
  <c r="AD527" i="32"/>
  <c r="AC528" i="32"/>
  <c r="AD528" i="32"/>
  <c r="AC529" i="32"/>
  <c r="AD529" i="32"/>
  <c r="AC530" i="32"/>
  <c r="AD530" i="32"/>
  <c r="AC531" i="32"/>
  <c r="AD531" i="32"/>
  <c r="AC532" i="32"/>
  <c r="AD532" i="32"/>
  <c r="AC533" i="32"/>
  <c r="AD533" i="32"/>
  <c r="AC534" i="32"/>
  <c r="AD534" i="32"/>
  <c r="AC535" i="32"/>
  <c r="AD535" i="32"/>
  <c r="AC536" i="32"/>
  <c r="AD536" i="32"/>
  <c r="AC537" i="32"/>
  <c r="AD537" i="32"/>
  <c r="AC538" i="32"/>
  <c r="AD538" i="32"/>
  <c r="AC539" i="32"/>
  <c r="AD539" i="32"/>
  <c r="AC540" i="32"/>
  <c r="AD540" i="32"/>
  <c r="AC541" i="32"/>
  <c r="AD541" i="32"/>
  <c r="AC542" i="32"/>
  <c r="AD542" i="32"/>
  <c r="AC543" i="32"/>
  <c r="AD543" i="32"/>
  <c r="AC544" i="32"/>
  <c r="AD544" i="32"/>
  <c r="AC545" i="32"/>
  <c r="AD545" i="32"/>
  <c r="AC546" i="32"/>
  <c r="AD546" i="32"/>
  <c r="AC547" i="32"/>
  <c r="AD547" i="32"/>
  <c r="AC548" i="32"/>
  <c r="AD548" i="32"/>
  <c r="AC549" i="32"/>
  <c r="AD549" i="32"/>
  <c r="AC550" i="32"/>
  <c r="AD550" i="32"/>
  <c r="AC551" i="32"/>
  <c r="AD551" i="32"/>
  <c r="AC552" i="32"/>
  <c r="AD552" i="32"/>
  <c r="AC553" i="32"/>
  <c r="AD553" i="32"/>
  <c r="AC554" i="32"/>
  <c r="AD554" i="32"/>
  <c r="AC555" i="32"/>
  <c r="AD555" i="32"/>
  <c r="AC556" i="32"/>
  <c r="AD556" i="32"/>
  <c r="AC557" i="32"/>
  <c r="AD557" i="32"/>
  <c r="AC558" i="32"/>
  <c r="AD558" i="32"/>
  <c r="AC559" i="32"/>
  <c r="AD559" i="32"/>
  <c r="AC560" i="32"/>
  <c r="AD560" i="32"/>
  <c r="AC561" i="32"/>
  <c r="AD561" i="32"/>
  <c r="AC562" i="32"/>
  <c r="AD562" i="32"/>
  <c r="AC563" i="32"/>
  <c r="AD563" i="32"/>
  <c r="AC564" i="32"/>
  <c r="AD564" i="32"/>
  <c r="AC565" i="32"/>
  <c r="AD565" i="32"/>
  <c r="AC566" i="32"/>
  <c r="AD566" i="32"/>
  <c r="AC567" i="32"/>
  <c r="AD567" i="32"/>
  <c r="AC568" i="32"/>
  <c r="AD568" i="32"/>
  <c r="AC569" i="32"/>
  <c r="AD569" i="32"/>
  <c r="AC570" i="32"/>
  <c r="AD570" i="32"/>
  <c r="AC571" i="32"/>
  <c r="AD571" i="32"/>
  <c r="AC572" i="32"/>
  <c r="AD572" i="32"/>
  <c r="AC573" i="32"/>
  <c r="AD573" i="32"/>
  <c r="AC574" i="32"/>
  <c r="AD574" i="32"/>
  <c r="AC575" i="32"/>
  <c r="AD575" i="32"/>
  <c r="AC576" i="32"/>
  <c r="AD576" i="32"/>
  <c r="AC577" i="32"/>
  <c r="AD577" i="32"/>
  <c r="AC578" i="32"/>
  <c r="AD578" i="32"/>
  <c r="AC579" i="32"/>
  <c r="AD579" i="32"/>
  <c r="AC580" i="32"/>
  <c r="AD580" i="32"/>
  <c r="AC581" i="32"/>
  <c r="AD581" i="32"/>
  <c r="AC582" i="32"/>
  <c r="AD582" i="32"/>
  <c r="AC583" i="32"/>
  <c r="AD583" i="32"/>
  <c r="AC584" i="32"/>
  <c r="AD584" i="32"/>
  <c r="AC585" i="32"/>
  <c r="AD585" i="32"/>
  <c r="AC586" i="32"/>
  <c r="AD586" i="32"/>
  <c r="AC587" i="32"/>
  <c r="AD587" i="32"/>
  <c r="AC588" i="32"/>
  <c r="AD588" i="32"/>
  <c r="AC589" i="32"/>
  <c r="AD589" i="32"/>
  <c r="AC590" i="32"/>
  <c r="AD590" i="32"/>
  <c r="AC591" i="32"/>
  <c r="AD591" i="32"/>
  <c r="AC592" i="32"/>
  <c r="AD592" i="32"/>
  <c r="AC593" i="32"/>
  <c r="AD593" i="32"/>
  <c r="AC594" i="32"/>
  <c r="AD594" i="32"/>
  <c r="AC595" i="32"/>
  <c r="AD595" i="32"/>
  <c r="AC596" i="32"/>
  <c r="AD596" i="32"/>
  <c r="AC597" i="32"/>
  <c r="AD597" i="32"/>
  <c r="AC598" i="32"/>
  <c r="AD598" i="32"/>
  <c r="AC599" i="32"/>
  <c r="AD599" i="32"/>
  <c r="AC600" i="32"/>
  <c r="AD600" i="32"/>
  <c r="AC601" i="32"/>
  <c r="AD601" i="32"/>
  <c r="AC602" i="32"/>
  <c r="AD602" i="32"/>
  <c r="AC603" i="32"/>
  <c r="AD603" i="32"/>
  <c r="AC604" i="32"/>
  <c r="AD604" i="32"/>
  <c r="AC605" i="32"/>
  <c r="AD605" i="32"/>
  <c r="AC606" i="32"/>
  <c r="AD606" i="32"/>
  <c r="AC607" i="32"/>
  <c r="AD607" i="32"/>
  <c r="AC608" i="32"/>
  <c r="AD608" i="32"/>
  <c r="AC609" i="32"/>
  <c r="AD609" i="32"/>
  <c r="AC610" i="32"/>
  <c r="AD610" i="32"/>
  <c r="AC611" i="32"/>
  <c r="AD611" i="32"/>
  <c r="AC612" i="32"/>
  <c r="AD612" i="32"/>
  <c r="AC613" i="32"/>
  <c r="AD613" i="32"/>
  <c r="AC614" i="32"/>
  <c r="AD614" i="32"/>
  <c r="AC615" i="32"/>
  <c r="AD615" i="32"/>
  <c r="AC616" i="32"/>
  <c r="AD616" i="32"/>
  <c r="AC617" i="32"/>
  <c r="AD617" i="32"/>
  <c r="AC618" i="32"/>
  <c r="AD618" i="32"/>
  <c r="AC619" i="32"/>
  <c r="AD619" i="32"/>
  <c r="AC620" i="32"/>
  <c r="AD620" i="32"/>
  <c r="AC621" i="32"/>
  <c r="AD621" i="32"/>
  <c r="AC622" i="32"/>
  <c r="AD622" i="32"/>
  <c r="AC623" i="32"/>
  <c r="AD623" i="32"/>
  <c r="AC624" i="32"/>
  <c r="AD624" i="32"/>
  <c r="AC625" i="32"/>
  <c r="AD625" i="32"/>
  <c r="AC626" i="32"/>
  <c r="AD626" i="32"/>
  <c r="AC627" i="32"/>
  <c r="AD627" i="32"/>
  <c r="AC628" i="32"/>
  <c r="AD628" i="32"/>
  <c r="AC629" i="32"/>
  <c r="AD629" i="32"/>
  <c r="AC630" i="32"/>
  <c r="AD630" i="32"/>
  <c r="AC631" i="32"/>
  <c r="AD631" i="32"/>
  <c r="AC632" i="32"/>
  <c r="AD632" i="32"/>
  <c r="AC633" i="32"/>
  <c r="AD633" i="32"/>
  <c r="AC634" i="32"/>
  <c r="AD634" i="32"/>
  <c r="AC635" i="32"/>
  <c r="AD635" i="32"/>
  <c r="AC636" i="32"/>
  <c r="AD636" i="32"/>
  <c r="AC637" i="32"/>
  <c r="AD637" i="32"/>
  <c r="AC638" i="32"/>
  <c r="AD638" i="32"/>
  <c r="AC639" i="32"/>
  <c r="AD639" i="32"/>
  <c r="AC640" i="32"/>
  <c r="AD640" i="32"/>
  <c r="AC641" i="32"/>
  <c r="AD641" i="32"/>
  <c r="AC642" i="32"/>
  <c r="AD642" i="32"/>
  <c r="AC643" i="32"/>
  <c r="AD643" i="32"/>
  <c r="AC644" i="32"/>
  <c r="AD644" i="32"/>
  <c r="AC645" i="32"/>
  <c r="AD645" i="32"/>
  <c r="AC646" i="32"/>
  <c r="AD646" i="32"/>
  <c r="AC647" i="32"/>
  <c r="AD647" i="32"/>
  <c r="AC648" i="32"/>
  <c r="AD648" i="32"/>
  <c r="AC649" i="32"/>
  <c r="AD649" i="32"/>
  <c r="AC650" i="32"/>
  <c r="AD650" i="32"/>
  <c r="AC651" i="32"/>
  <c r="AD651" i="32"/>
  <c r="AC652" i="32"/>
  <c r="AD652" i="32"/>
  <c r="AC653" i="32"/>
  <c r="AD653" i="32"/>
  <c r="AC654" i="32"/>
  <c r="AD654" i="32"/>
  <c r="AC655" i="32"/>
  <c r="AD655" i="32"/>
  <c r="AC656" i="32"/>
  <c r="AD656" i="32"/>
  <c r="AC657" i="32"/>
  <c r="AD657" i="32"/>
  <c r="AC658" i="32"/>
  <c r="AD658" i="32"/>
  <c r="AC659" i="32"/>
  <c r="AD659" i="32"/>
  <c r="AC660" i="32"/>
  <c r="AD660" i="32"/>
  <c r="AC661" i="32"/>
  <c r="AD661" i="32"/>
  <c r="AC662" i="32"/>
  <c r="AD662" i="32"/>
  <c r="AC663" i="32"/>
  <c r="AD663" i="32"/>
  <c r="AC664" i="32"/>
  <c r="AD664" i="32"/>
  <c r="AC665" i="32"/>
  <c r="AD665" i="32"/>
  <c r="AC666" i="32"/>
  <c r="AD666" i="32"/>
  <c r="AC667" i="32"/>
  <c r="AD667" i="32"/>
  <c r="AC668" i="32"/>
  <c r="AD668" i="32"/>
  <c r="AC669" i="32"/>
  <c r="AD669" i="32"/>
  <c r="AC670" i="32"/>
  <c r="AD670" i="32"/>
  <c r="AC671" i="32"/>
  <c r="AD671" i="32"/>
  <c r="AC672" i="32"/>
  <c r="AD672" i="32"/>
  <c r="AC673" i="32"/>
  <c r="AD673" i="32"/>
  <c r="AC674" i="32"/>
  <c r="AD674" i="32"/>
  <c r="AC675" i="32"/>
  <c r="AD675" i="32"/>
  <c r="AC676" i="32"/>
  <c r="AD676" i="32"/>
  <c r="AC677" i="32"/>
  <c r="AD677" i="32"/>
  <c r="AC678" i="32"/>
  <c r="AD678" i="32"/>
  <c r="AC679" i="32"/>
  <c r="AD679" i="32"/>
  <c r="AC680" i="32"/>
  <c r="AD680" i="32"/>
  <c r="AC681" i="32"/>
  <c r="AD681" i="32"/>
  <c r="AC682" i="32"/>
  <c r="AD682" i="32"/>
  <c r="AC683" i="32"/>
  <c r="AD683" i="32"/>
  <c r="AC684" i="32"/>
  <c r="AD684" i="32"/>
  <c r="AC685" i="32"/>
  <c r="AD685" i="32"/>
  <c r="AC686" i="32"/>
  <c r="AD686" i="32"/>
  <c r="AC687" i="32"/>
  <c r="AD687" i="32"/>
  <c r="AC688" i="32"/>
  <c r="AD688" i="32"/>
  <c r="AC689" i="32"/>
  <c r="AD689" i="32"/>
  <c r="AC690" i="32"/>
  <c r="AD690" i="32"/>
  <c r="AC691" i="32"/>
  <c r="AD691" i="32"/>
  <c r="AC692" i="32"/>
  <c r="AD692" i="32"/>
  <c r="AC693" i="32"/>
  <c r="AD693" i="32"/>
  <c r="AC694" i="32"/>
  <c r="AD694" i="32"/>
  <c r="AC695" i="32"/>
  <c r="AD695" i="32"/>
  <c r="AC696" i="32"/>
  <c r="AD696" i="32"/>
  <c r="AC697" i="32"/>
  <c r="AD697" i="32"/>
  <c r="AC698" i="32"/>
  <c r="AD698" i="32"/>
  <c r="AC699" i="32"/>
  <c r="AD699" i="32"/>
  <c r="AC700" i="32"/>
  <c r="AD700" i="32"/>
  <c r="AC701" i="32"/>
  <c r="AD701" i="32"/>
  <c r="AC702" i="32"/>
  <c r="AD702" i="32"/>
  <c r="AC703" i="32"/>
  <c r="AD703" i="32"/>
  <c r="AC704" i="32"/>
  <c r="AD704" i="32"/>
  <c r="AC705" i="32"/>
  <c r="AD705" i="32"/>
  <c r="AC706" i="32"/>
  <c r="AD706" i="32"/>
  <c r="AC707" i="32"/>
  <c r="AD707" i="32"/>
  <c r="AC708" i="32"/>
  <c r="AD708" i="32"/>
  <c r="AC709" i="32"/>
  <c r="AD709" i="32"/>
  <c r="AC710" i="32"/>
  <c r="AD710" i="32"/>
  <c r="AC711" i="32"/>
  <c r="AD711" i="32"/>
  <c r="AC712" i="32"/>
  <c r="AD712" i="32"/>
  <c r="AC713" i="32"/>
  <c r="AD713" i="32"/>
  <c r="AC714" i="32"/>
  <c r="AD714" i="32"/>
  <c r="AC715" i="32"/>
  <c r="AD715" i="32"/>
  <c r="AC716" i="32"/>
  <c r="AD716" i="32"/>
  <c r="AC717" i="32"/>
  <c r="AD717" i="32"/>
  <c r="AC718" i="32"/>
  <c r="AD718" i="32"/>
  <c r="AC719" i="32"/>
  <c r="AD719" i="32"/>
  <c r="AC720" i="32"/>
  <c r="AD720" i="32"/>
  <c r="AC721" i="32"/>
  <c r="AD721" i="32"/>
  <c r="AC722" i="32"/>
  <c r="AD722" i="32"/>
  <c r="AC723" i="32"/>
  <c r="AD723" i="32"/>
  <c r="AC724" i="32"/>
  <c r="AD724" i="32"/>
  <c r="AC725" i="32"/>
  <c r="AD725" i="32"/>
  <c r="AC726" i="32"/>
  <c r="AD726" i="32"/>
  <c r="AC727" i="32"/>
  <c r="AD727" i="32"/>
  <c r="AC728" i="32"/>
  <c r="AD728" i="32"/>
  <c r="AC729" i="32"/>
  <c r="AD729" i="32"/>
  <c r="AC730" i="32"/>
  <c r="AD730" i="32"/>
  <c r="AC731" i="32"/>
  <c r="AD731" i="32"/>
  <c r="AC732" i="32"/>
  <c r="AD732" i="32"/>
  <c r="AC733" i="32"/>
  <c r="AD733" i="32"/>
  <c r="AC734" i="32"/>
  <c r="AD734" i="32"/>
  <c r="AC735" i="32"/>
  <c r="AD735" i="32"/>
  <c r="AC736" i="32"/>
  <c r="AD736" i="32"/>
  <c r="AC737" i="32"/>
  <c r="AD737" i="32"/>
  <c r="AC738" i="32"/>
  <c r="AD738" i="32"/>
  <c r="AC739" i="32"/>
  <c r="AD739" i="32"/>
  <c r="AC740" i="32"/>
  <c r="AD740" i="32"/>
  <c r="AC741" i="32"/>
  <c r="AD741" i="32"/>
  <c r="AC742" i="32"/>
  <c r="AD742" i="32"/>
  <c r="AC743" i="32"/>
  <c r="AD743" i="32"/>
  <c r="AC744" i="32"/>
  <c r="AD744" i="32"/>
  <c r="AC745" i="32"/>
  <c r="AD745" i="32"/>
  <c r="AC746" i="32"/>
  <c r="AD746" i="32"/>
  <c r="AC747" i="32"/>
  <c r="AD747" i="32"/>
  <c r="AC748" i="32"/>
  <c r="AD748" i="32"/>
  <c r="AC749" i="32"/>
  <c r="AD749" i="32"/>
  <c r="AC750" i="32"/>
  <c r="AD750" i="32"/>
  <c r="AC751" i="32"/>
  <c r="AD751" i="32"/>
  <c r="AC752" i="32"/>
  <c r="AD752" i="32"/>
  <c r="AC753" i="32"/>
  <c r="AD753" i="32"/>
  <c r="AC754" i="32"/>
  <c r="AD754" i="32"/>
  <c r="AC755" i="32"/>
  <c r="AD755" i="32"/>
  <c r="AC756" i="32"/>
  <c r="AD756" i="32"/>
  <c r="AC757" i="32"/>
  <c r="AD757" i="32"/>
  <c r="AC758" i="32"/>
  <c r="AD758" i="32"/>
  <c r="AC759" i="32"/>
  <c r="AD759" i="32"/>
  <c r="AC760" i="32"/>
  <c r="AD760" i="32"/>
  <c r="AC761" i="32"/>
  <c r="AD761" i="32"/>
  <c r="AC762" i="32"/>
  <c r="AD762" i="32"/>
  <c r="AC763" i="32"/>
  <c r="AD763" i="32"/>
  <c r="AC764" i="32"/>
  <c r="AD764" i="32"/>
  <c r="AC765" i="32"/>
  <c r="AD765" i="32"/>
  <c r="AC766" i="32"/>
  <c r="AD766" i="32"/>
  <c r="AC767" i="32"/>
  <c r="AD767" i="32"/>
  <c r="AC768" i="32"/>
  <c r="AD768" i="32"/>
  <c r="AC769" i="32"/>
  <c r="AD769" i="32"/>
  <c r="AC770" i="32"/>
  <c r="AD770" i="32"/>
  <c r="AC771" i="32"/>
  <c r="AD771" i="32"/>
  <c r="AC772" i="32"/>
  <c r="AD772" i="32"/>
  <c r="AC773" i="32"/>
  <c r="AD773" i="32"/>
  <c r="AC774" i="32"/>
  <c r="AD774" i="32"/>
  <c r="AC775" i="32"/>
  <c r="AD775" i="32"/>
  <c r="AC776" i="32"/>
  <c r="AD776" i="32"/>
  <c r="AC777" i="32"/>
  <c r="AD777" i="32"/>
  <c r="AC778" i="32"/>
  <c r="AD778" i="32"/>
  <c r="AC779" i="32"/>
  <c r="AD779" i="32"/>
  <c r="AC780" i="32"/>
  <c r="AD780" i="32"/>
  <c r="AC781" i="32"/>
  <c r="AD781" i="32"/>
  <c r="AC782" i="32"/>
  <c r="AD782" i="32"/>
  <c r="AC783" i="32"/>
  <c r="AD783" i="32"/>
  <c r="AC784" i="32"/>
  <c r="AD784" i="32"/>
  <c r="AC785" i="32"/>
  <c r="AD785" i="32"/>
  <c r="AC786" i="32"/>
  <c r="AD786" i="32"/>
  <c r="AC787" i="32"/>
  <c r="AD787" i="32"/>
  <c r="AC788" i="32"/>
  <c r="AD788" i="32"/>
  <c r="AC789" i="32"/>
  <c r="AD789" i="32"/>
  <c r="AC790" i="32"/>
  <c r="AD790" i="32"/>
  <c r="AC791" i="32"/>
  <c r="AD791" i="32"/>
  <c r="AC792" i="32"/>
  <c r="AD792" i="32"/>
  <c r="AC793" i="32"/>
  <c r="AD793" i="32"/>
  <c r="AC794" i="32"/>
  <c r="AD794" i="32"/>
  <c r="AC795" i="32"/>
  <c r="AD795" i="32"/>
  <c r="AC796" i="32"/>
  <c r="AD796" i="32"/>
  <c r="AC797" i="32"/>
  <c r="AD797" i="32"/>
  <c r="AC798" i="32"/>
  <c r="AD798" i="32"/>
  <c r="AC799" i="32"/>
  <c r="AD799" i="32"/>
  <c r="AC800" i="32"/>
  <c r="AD800" i="32"/>
  <c r="AC801" i="32"/>
  <c r="AD801" i="32"/>
  <c r="AC802" i="32"/>
  <c r="AD802" i="32"/>
  <c r="AC803" i="32"/>
  <c r="AD803" i="32"/>
  <c r="AC804" i="32"/>
  <c r="AD804" i="32"/>
  <c r="AC805" i="32"/>
  <c r="AD805" i="32"/>
  <c r="AC806" i="32"/>
  <c r="AD806" i="32"/>
  <c r="AC807" i="32"/>
  <c r="AD807" i="32"/>
  <c r="AC808" i="32"/>
  <c r="AD808" i="32"/>
  <c r="AC809" i="32"/>
  <c r="AD809" i="32"/>
  <c r="AC810" i="32"/>
  <c r="AD810" i="32"/>
  <c r="AC811" i="32"/>
  <c r="AD811" i="32"/>
  <c r="AC812" i="32"/>
  <c r="AD812" i="32"/>
  <c r="AC813" i="32"/>
  <c r="AD813" i="32"/>
  <c r="AC814" i="32"/>
  <c r="AD814" i="32"/>
  <c r="AC815" i="32"/>
  <c r="AD815" i="32"/>
  <c r="AC816" i="32"/>
  <c r="AD816" i="32"/>
  <c r="AC817" i="32"/>
  <c r="AD817" i="32"/>
  <c r="AC818" i="32"/>
  <c r="AD818" i="32"/>
  <c r="AC819" i="32"/>
  <c r="AD819" i="32"/>
  <c r="AC820" i="32"/>
  <c r="AD820" i="32"/>
  <c r="AC821" i="32"/>
  <c r="AD821" i="32"/>
  <c r="AC822" i="32"/>
  <c r="AD822" i="32"/>
  <c r="AC823" i="32"/>
  <c r="AD823" i="32"/>
  <c r="AC824" i="32"/>
  <c r="AD824" i="32"/>
  <c r="AC825" i="32"/>
  <c r="AD825" i="32"/>
  <c r="AC826" i="32"/>
  <c r="AD826" i="32"/>
  <c r="AC827" i="32"/>
  <c r="AD827" i="32"/>
  <c r="AC828" i="32"/>
  <c r="AD828" i="32"/>
  <c r="AC829" i="32"/>
  <c r="AD829" i="32"/>
  <c r="AC830" i="32"/>
  <c r="AD830" i="32"/>
  <c r="AC831" i="32"/>
  <c r="AD831" i="32"/>
  <c r="AC832" i="32"/>
  <c r="AD832" i="32"/>
  <c r="AC833" i="32"/>
  <c r="AD833" i="32"/>
  <c r="AC834" i="32"/>
  <c r="AD834" i="32"/>
  <c r="AC835" i="32"/>
  <c r="AD835" i="32"/>
  <c r="AC836" i="32"/>
  <c r="AD836" i="32"/>
  <c r="AC837" i="32"/>
  <c r="AD837" i="32"/>
  <c r="AC838" i="32"/>
  <c r="AD838" i="32"/>
  <c r="AC839" i="32"/>
  <c r="AD839" i="32"/>
  <c r="AC840" i="32"/>
  <c r="AD840" i="32"/>
  <c r="AC841" i="32"/>
  <c r="AD841" i="32"/>
  <c r="AC842" i="32"/>
  <c r="AD842" i="32"/>
  <c r="AC843" i="32"/>
  <c r="AD843" i="32"/>
  <c r="AC844" i="32"/>
  <c r="AD844" i="32"/>
  <c r="AC845" i="32"/>
  <c r="AD845" i="32"/>
  <c r="AC846" i="32"/>
  <c r="AD846" i="32"/>
  <c r="AC847" i="32"/>
  <c r="AD847" i="32"/>
  <c r="AC848" i="32"/>
  <c r="AD848" i="32"/>
  <c r="AC849" i="32"/>
  <c r="AD849" i="32"/>
  <c r="AC850" i="32"/>
  <c r="AD850" i="32"/>
  <c r="AC851" i="32"/>
  <c r="AD851" i="32"/>
  <c r="AC852" i="32"/>
  <c r="AD852" i="32"/>
  <c r="AC853" i="32"/>
  <c r="AD853" i="32"/>
  <c r="AC854" i="32"/>
  <c r="AD854" i="32"/>
  <c r="AC855" i="32"/>
  <c r="AD855" i="32"/>
  <c r="AC856" i="32"/>
  <c r="AD856" i="32"/>
  <c r="AC857" i="32"/>
  <c r="AD857" i="32"/>
  <c r="AC858" i="32"/>
  <c r="AD858" i="32"/>
  <c r="AC859" i="32"/>
  <c r="AD859" i="32"/>
  <c r="AC860" i="32"/>
  <c r="AD860" i="32"/>
  <c r="AC861" i="32"/>
  <c r="AD861" i="32"/>
  <c r="AC862" i="32"/>
  <c r="AD862" i="32"/>
  <c r="AC863" i="32"/>
  <c r="AD863" i="32"/>
  <c r="AC864" i="32"/>
  <c r="AD864" i="32"/>
  <c r="AC865" i="32"/>
  <c r="AD865" i="32"/>
  <c r="AC866" i="32"/>
  <c r="AD866" i="32"/>
  <c r="AC867" i="32"/>
  <c r="AD867" i="32"/>
  <c r="AC868" i="32"/>
  <c r="AD868" i="32"/>
  <c r="AC869" i="32"/>
  <c r="AD869" i="32"/>
  <c r="AC870" i="32"/>
  <c r="AD870" i="32"/>
  <c r="AC871" i="32"/>
  <c r="AD871" i="32"/>
  <c r="AC872" i="32"/>
  <c r="AD872" i="32"/>
  <c r="AC873" i="32"/>
  <c r="AD873" i="32"/>
  <c r="AC874" i="32"/>
  <c r="AD874" i="32"/>
  <c r="AC875" i="32"/>
  <c r="AD875" i="32"/>
  <c r="AC876" i="32"/>
  <c r="AD876" i="32"/>
  <c r="AC877" i="32"/>
  <c r="AD877" i="32"/>
  <c r="AC878" i="32"/>
  <c r="AD878" i="32"/>
  <c r="AC879" i="32"/>
  <c r="AD879" i="32"/>
  <c r="AC880" i="32"/>
  <c r="AD880" i="32"/>
  <c r="AC881" i="32"/>
  <c r="AD881" i="32"/>
  <c r="AC882" i="32"/>
  <c r="AD882" i="32"/>
  <c r="AC883" i="32"/>
  <c r="AD883" i="32"/>
  <c r="AC884" i="32"/>
  <c r="AD884" i="32"/>
  <c r="AC885" i="32"/>
  <c r="AD885" i="32"/>
  <c r="AC886" i="32"/>
  <c r="AD886" i="32"/>
  <c r="AC887" i="32"/>
  <c r="AD887" i="32"/>
  <c r="AC888" i="32"/>
  <c r="AD888" i="32"/>
  <c r="AC889" i="32"/>
  <c r="AD889" i="32"/>
  <c r="AC890" i="32"/>
  <c r="AD890" i="32"/>
  <c r="AC891" i="32"/>
  <c r="AD891" i="32"/>
  <c r="AC892" i="32"/>
  <c r="AD892" i="32"/>
  <c r="AC893" i="32"/>
  <c r="AD893" i="32"/>
  <c r="AC894" i="32"/>
  <c r="AD894" i="32"/>
  <c r="AC895" i="32"/>
  <c r="AD895" i="32"/>
  <c r="AC896" i="32"/>
  <c r="AD896" i="32"/>
  <c r="AC897" i="32"/>
  <c r="AD897" i="32"/>
  <c r="AC898" i="32"/>
  <c r="AD898" i="32"/>
  <c r="AC899" i="32"/>
  <c r="AD899" i="32"/>
  <c r="AC900" i="32"/>
  <c r="AD900" i="32"/>
  <c r="AC901" i="32"/>
  <c r="AD901" i="32"/>
  <c r="AC902" i="32"/>
  <c r="AD902" i="32"/>
  <c r="AC903" i="32"/>
  <c r="AD903" i="32"/>
  <c r="AC904" i="32"/>
  <c r="AD904" i="32"/>
  <c r="AC905" i="32"/>
  <c r="AD905" i="32"/>
  <c r="AC906" i="32"/>
  <c r="AD906" i="32"/>
  <c r="AC907" i="32"/>
  <c r="AD907" i="32"/>
  <c r="AD4" i="32"/>
  <c r="AC4" i="32"/>
  <c r="X5" i="32"/>
  <c r="Y5" i="32"/>
  <c r="X6" i="32"/>
  <c r="Y6" i="32"/>
  <c r="X7" i="32"/>
  <c r="Y7" i="32"/>
  <c r="X8" i="32"/>
  <c r="Y8" i="32"/>
  <c r="X9" i="32"/>
  <c r="Y9" i="32"/>
  <c r="X10" i="32"/>
  <c r="Y10" i="32"/>
  <c r="X11" i="32"/>
  <c r="Y11" i="32"/>
  <c r="X12" i="32"/>
  <c r="Y12" i="32"/>
  <c r="X13" i="32"/>
  <c r="Y13" i="32"/>
  <c r="X14" i="32"/>
  <c r="Y14" i="32"/>
  <c r="X15" i="32"/>
  <c r="Y15" i="32"/>
  <c r="X16" i="32"/>
  <c r="Y16" i="32"/>
  <c r="X17" i="32"/>
  <c r="Y17" i="32"/>
  <c r="X18" i="32"/>
  <c r="Y18" i="32"/>
  <c r="X19" i="32"/>
  <c r="Y19" i="32"/>
  <c r="X20" i="32"/>
  <c r="Y20" i="32"/>
  <c r="X21" i="32"/>
  <c r="Y21" i="32"/>
  <c r="X22" i="32"/>
  <c r="Y22" i="32"/>
  <c r="X23" i="32"/>
  <c r="Y23" i="32"/>
  <c r="X24" i="32"/>
  <c r="Y24" i="32"/>
  <c r="X25" i="32"/>
  <c r="Y25" i="32"/>
  <c r="X26" i="32"/>
  <c r="Y26" i="32"/>
  <c r="X27" i="32"/>
  <c r="Y27" i="32"/>
  <c r="X28" i="32"/>
  <c r="Y28" i="32"/>
  <c r="X29" i="32"/>
  <c r="Y29" i="32"/>
  <c r="X30" i="32"/>
  <c r="Y30" i="32"/>
  <c r="X31" i="32"/>
  <c r="Y31" i="32"/>
  <c r="X32" i="32"/>
  <c r="Y32" i="32"/>
  <c r="X33" i="32"/>
  <c r="Y33" i="32"/>
  <c r="X34" i="32"/>
  <c r="Y34" i="32"/>
  <c r="X35" i="32"/>
  <c r="Y35" i="32"/>
  <c r="X36" i="32"/>
  <c r="Y36" i="32"/>
  <c r="X37" i="32"/>
  <c r="Y37" i="32"/>
  <c r="X38" i="32"/>
  <c r="Y38" i="32"/>
  <c r="X39" i="32"/>
  <c r="Y39" i="32"/>
  <c r="X40" i="32"/>
  <c r="Y40" i="32"/>
  <c r="X41" i="32"/>
  <c r="Y41" i="32"/>
  <c r="X42" i="32"/>
  <c r="Y42" i="32"/>
  <c r="X43" i="32"/>
  <c r="Y43" i="32"/>
  <c r="X44" i="32"/>
  <c r="Y44" i="32"/>
  <c r="X45" i="32"/>
  <c r="Y45" i="32"/>
  <c r="X46" i="32"/>
  <c r="Y46" i="32"/>
  <c r="X47" i="32"/>
  <c r="Y47" i="32"/>
  <c r="X48" i="32"/>
  <c r="Y48" i="32"/>
  <c r="X49" i="32"/>
  <c r="Y49" i="32"/>
  <c r="X50" i="32"/>
  <c r="Y50" i="32"/>
  <c r="X51" i="32"/>
  <c r="Y51" i="32"/>
  <c r="X52" i="32"/>
  <c r="Y52" i="32"/>
  <c r="X53" i="32"/>
  <c r="Y53" i="32"/>
  <c r="X54" i="32"/>
  <c r="Y54" i="32"/>
  <c r="X55" i="32"/>
  <c r="Y55" i="32"/>
  <c r="X56" i="32"/>
  <c r="Y56" i="32"/>
  <c r="X57" i="32"/>
  <c r="Y57" i="32"/>
  <c r="X58" i="32"/>
  <c r="Y58" i="32"/>
  <c r="X59" i="32"/>
  <c r="Y59" i="32"/>
  <c r="X60" i="32"/>
  <c r="Y60" i="32"/>
  <c r="X61" i="32"/>
  <c r="Y61" i="32"/>
  <c r="X62" i="32"/>
  <c r="Y62" i="32"/>
  <c r="X63" i="32"/>
  <c r="Y63" i="32"/>
  <c r="X64" i="32"/>
  <c r="Y64" i="32"/>
  <c r="X65" i="32"/>
  <c r="Y65" i="32"/>
  <c r="X66" i="32"/>
  <c r="Y66" i="32"/>
  <c r="X67" i="32"/>
  <c r="Y67" i="32"/>
  <c r="X68" i="32"/>
  <c r="Y68" i="32"/>
  <c r="X69" i="32"/>
  <c r="Y69" i="32"/>
  <c r="X70" i="32"/>
  <c r="Y70" i="32"/>
  <c r="X71" i="32"/>
  <c r="Y71" i="32"/>
  <c r="X72" i="32"/>
  <c r="Y72" i="32"/>
  <c r="X73" i="32"/>
  <c r="Y73" i="32"/>
  <c r="X74" i="32"/>
  <c r="Y74" i="32"/>
  <c r="X75" i="32"/>
  <c r="Y75" i="32"/>
  <c r="X76" i="32"/>
  <c r="Y76" i="32"/>
  <c r="X77" i="32"/>
  <c r="Y77" i="32"/>
  <c r="X78" i="32"/>
  <c r="Y78" i="32"/>
  <c r="X79" i="32"/>
  <c r="Y79" i="32"/>
  <c r="X80" i="32"/>
  <c r="Y80" i="32"/>
  <c r="X81" i="32"/>
  <c r="Y81" i="32"/>
  <c r="X82" i="32"/>
  <c r="Y82" i="32"/>
  <c r="X83" i="32"/>
  <c r="Y83" i="32"/>
  <c r="X84" i="32"/>
  <c r="Y84" i="32"/>
  <c r="X85" i="32"/>
  <c r="Y85" i="32"/>
  <c r="X86" i="32"/>
  <c r="Y86" i="32"/>
  <c r="X87" i="32"/>
  <c r="Y87" i="32"/>
  <c r="X88" i="32"/>
  <c r="Y88" i="32"/>
  <c r="X89" i="32"/>
  <c r="Y89" i="32"/>
  <c r="X90" i="32"/>
  <c r="Y90" i="32"/>
  <c r="X91" i="32"/>
  <c r="Y91" i="32"/>
  <c r="X92" i="32"/>
  <c r="Y92" i="32"/>
  <c r="X93" i="32"/>
  <c r="Y93" i="32"/>
  <c r="X94" i="32"/>
  <c r="Y94" i="32"/>
  <c r="X95" i="32"/>
  <c r="Y95" i="32"/>
  <c r="X96" i="32"/>
  <c r="Y96" i="32"/>
  <c r="X97" i="32"/>
  <c r="Y97" i="32"/>
  <c r="X98" i="32"/>
  <c r="Y98" i="32"/>
  <c r="X99" i="32"/>
  <c r="Y99" i="32"/>
  <c r="X100" i="32"/>
  <c r="Y100" i="32"/>
  <c r="X101" i="32"/>
  <c r="Y101" i="32"/>
  <c r="X102" i="32"/>
  <c r="Y102" i="32"/>
  <c r="X103" i="32"/>
  <c r="Y103" i="32"/>
  <c r="X104" i="32"/>
  <c r="Y104" i="32"/>
  <c r="X105" i="32"/>
  <c r="Y105" i="32"/>
  <c r="X106" i="32"/>
  <c r="Y106" i="32"/>
  <c r="X107" i="32"/>
  <c r="Y107" i="32"/>
  <c r="X108" i="32"/>
  <c r="Y108" i="32"/>
  <c r="X109" i="32"/>
  <c r="Y109" i="32"/>
  <c r="X110" i="32"/>
  <c r="Y110" i="32"/>
  <c r="X111" i="32"/>
  <c r="Y111" i="32"/>
  <c r="X112" i="32"/>
  <c r="Y112" i="32"/>
  <c r="X113" i="32"/>
  <c r="Y113" i="32"/>
  <c r="X114" i="32"/>
  <c r="Y114" i="32"/>
  <c r="X115" i="32"/>
  <c r="Y115" i="32"/>
  <c r="X116" i="32"/>
  <c r="Y116" i="32"/>
  <c r="X117" i="32"/>
  <c r="Y117" i="32"/>
  <c r="X118" i="32"/>
  <c r="Y118" i="32"/>
  <c r="X119" i="32"/>
  <c r="Y119" i="32"/>
  <c r="X120" i="32"/>
  <c r="Y120" i="32"/>
  <c r="X121" i="32"/>
  <c r="Y121" i="32"/>
  <c r="X122" i="32"/>
  <c r="Y122" i="32"/>
  <c r="X123" i="32"/>
  <c r="Y123" i="32"/>
  <c r="X124" i="32"/>
  <c r="Y124" i="32"/>
  <c r="X125" i="32"/>
  <c r="Y125" i="32"/>
  <c r="X126" i="32"/>
  <c r="Y126" i="32"/>
  <c r="X127" i="32"/>
  <c r="Y127" i="32"/>
  <c r="X128" i="32"/>
  <c r="Y128" i="32"/>
  <c r="X129" i="32"/>
  <c r="Y129" i="32"/>
  <c r="X130" i="32"/>
  <c r="Y130" i="32"/>
  <c r="X131" i="32"/>
  <c r="Y131" i="32"/>
  <c r="X132" i="32"/>
  <c r="Y132" i="32"/>
  <c r="X133" i="32"/>
  <c r="Y133" i="32"/>
  <c r="X134" i="32"/>
  <c r="Y134" i="32"/>
  <c r="X135" i="32"/>
  <c r="Y135" i="32"/>
  <c r="X136" i="32"/>
  <c r="Y136" i="32"/>
  <c r="X137" i="32"/>
  <c r="Y137" i="32"/>
  <c r="X138" i="32"/>
  <c r="Y138" i="32"/>
  <c r="X139" i="32"/>
  <c r="Y139" i="32"/>
  <c r="X140" i="32"/>
  <c r="Y140" i="32"/>
  <c r="X141" i="32"/>
  <c r="Y141" i="32"/>
  <c r="X142" i="32"/>
  <c r="Y142" i="32"/>
  <c r="X143" i="32"/>
  <c r="Y143" i="32"/>
  <c r="X144" i="32"/>
  <c r="Y144" i="32"/>
  <c r="X145" i="32"/>
  <c r="Y145" i="32"/>
  <c r="X146" i="32"/>
  <c r="Y146" i="32"/>
  <c r="X147" i="32"/>
  <c r="Y147" i="32"/>
  <c r="X148" i="32"/>
  <c r="Y148" i="32"/>
  <c r="X149" i="32"/>
  <c r="Y149" i="32"/>
  <c r="X150" i="32"/>
  <c r="Y150" i="32"/>
  <c r="X151" i="32"/>
  <c r="Y151" i="32"/>
  <c r="X152" i="32"/>
  <c r="Y152" i="32"/>
  <c r="X153" i="32"/>
  <c r="Y153" i="32"/>
  <c r="X154" i="32"/>
  <c r="Y154" i="32"/>
  <c r="X155" i="32"/>
  <c r="Y155" i="32"/>
  <c r="X156" i="32"/>
  <c r="Y156" i="32"/>
  <c r="X157" i="32"/>
  <c r="Y157" i="32"/>
  <c r="X158" i="32"/>
  <c r="Y158" i="32"/>
  <c r="X159" i="32"/>
  <c r="Y159" i="32"/>
  <c r="X160" i="32"/>
  <c r="Y160" i="32"/>
  <c r="X161" i="32"/>
  <c r="Y161" i="32"/>
  <c r="X162" i="32"/>
  <c r="Y162" i="32"/>
  <c r="X163" i="32"/>
  <c r="Y163" i="32"/>
  <c r="X164" i="32"/>
  <c r="Y164" i="32"/>
  <c r="X165" i="32"/>
  <c r="Y165" i="32"/>
  <c r="X166" i="32"/>
  <c r="Y166" i="32"/>
  <c r="X167" i="32"/>
  <c r="Y167" i="32"/>
  <c r="X168" i="32"/>
  <c r="Y168" i="32"/>
  <c r="X169" i="32"/>
  <c r="Y169" i="32"/>
  <c r="X170" i="32"/>
  <c r="Y170" i="32"/>
  <c r="X171" i="32"/>
  <c r="Y171" i="32"/>
  <c r="X172" i="32"/>
  <c r="Y172" i="32"/>
  <c r="X173" i="32"/>
  <c r="Y173" i="32"/>
  <c r="X174" i="32"/>
  <c r="Y174" i="32"/>
  <c r="X175" i="32"/>
  <c r="Y175" i="32"/>
  <c r="X176" i="32"/>
  <c r="Y176" i="32"/>
  <c r="X177" i="32"/>
  <c r="Y177" i="32"/>
  <c r="X178" i="32"/>
  <c r="Y178" i="32"/>
  <c r="X179" i="32"/>
  <c r="Y179" i="32"/>
  <c r="X180" i="32"/>
  <c r="Y180" i="32"/>
  <c r="X181" i="32"/>
  <c r="Y181" i="32"/>
  <c r="X182" i="32"/>
  <c r="Y182" i="32"/>
  <c r="X183" i="32"/>
  <c r="Y183" i="32"/>
  <c r="X184" i="32"/>
  <c r="Y184" i="32"/>
  <c r="X185" i="32"/>
  <c r="Y185" i="32"/>
  <c r="X186" i="32"/>
  <c r="Y186" i="32"/>
  <c r="X187" i="32"/>
  <c r="Y187" i="32"/>
  <c r="X188" i="32"/>
  <c r="Y188" i="32"/>
  <c r="X189" i="32"/>
  <c r="Y189" i="32"/>
  <c r="X190" i="32"/>
  <c r="Y190" i="32"/>
  <c r="X191" i="32"/>
  <c r="Y191" i="32"/>
  <c r="X192" i="32"/>
  <c r="Y192" i="32"/>
  <c r="X193" i="32"/>
  <c r="Y193" i="32"/>
  <c r="X194" i="32"/>
  <c r="Y194" i="32"/>
  <c r="X195" i="32"/>
  <c r="Y195" i="32"/>
  <c r="X196" i="32"/>
  <c r="Y196" i="32"/>
  <c r="X197" i="32"/>
  <c r="Y197" i="32"/>
  <c r="X198" i="32"/>
  <c r="Y198" i="32"/>
  <c r="X199" i="32"/>
  <c r="Y199" i="32"/>
  <c r="X200" i="32"/>
  <c r="Y200" i="32"/>
  <c r="X201" i="32"/>
  <c r="Y201" i="32"/>
  <c r="X202" i="32"/>
  <c r="Y202" i="32"/>
  <c r="X203" i="32"/>
  <c r="Y203" i="32"/>
  <c r="X204" i="32"/>
  <c r="Y204" i="32"/>
  <c r="X205" i="32"/>
  <c r="Y205" i="32"/>
  <c r="X206" i="32"/>
  <c r="Y206" i="32"/>
  <c r="X207" i="32"/>
  <c r="Y207" i="32"/>
  <c r="X208" i="32"/>
  <c r="Y208" i="32"/>
  <c r="X209" i="32"/>
  <c r="Y209" i="32"/>
  <c r="X210" i="32"/>
  <c r="Y210" i="32"/>
  <c r="X211" i="32"/>
  <c r="Y211" i="32"/>
  <c r="X212" i="32"/>
  <c r="Y212" i="32"/>
  <c r="X213" i="32"/>
  <c r="Y213" i="32"/>
  <c r="X214" i="32"/>
  <c r="Y214" i="32"/>
  <c r="X215" i="32"/>
  <c r="Y215" i="32"/>
  <c r="X216" i="32"/>
  <c r="Y216" i="32"/>
  <c r="X217" i="32"/>
  <c r="Y217" i="32"/>
  <c r="X218" i="32"/>
  <c r="Y218" i="32"/>
  <c r="X219" i="32"/>
  <c r="Y219" i="32"/>
  <c r="X220" i="32"/>
  <c r="Y220" i="32"/>
  <c r="X221" i="32"/>
  <c r="Y221" i="32"/>
  <c r="X222" i="32"/>
  <c r="Y222" i="32"/>
  <c r="X223" i="32"/>
  <c r="Y223" i="32"/>
  <c r="X224" i="32"/>
  <c r="Y224" i="32"/>
  <c r="X225" i="32"/>
  <c r="Y225" i="32"/>
  <c r="X226" i="32"/>
  <c r="Y226" i="32"/>
  <c r="X227" i="32"/>
  <c r="Y227" i="32"/>
  <c r="X228" i="32"/>
  <c r="Y228" i="32"/>
  <c r="X229" i="32"/>
  <c r="Y229" i="32"/>
  <c r="X230" i="32"/>
  <c r="Y230" i="32"/>
  <c r="X231" i="32"/>
  <c r="Y231" i="32"/>
  <c r="X232" i="32"/>
  <c r="Y232" i="32"/>
  <c r="X233" i="32"/>
  <c r="Y233" i="32"/>
  <c r="X234" i="32"/>
  <c r="Y234" i="32"/>
  <c r="X235" i="32"/>
  <c r="Y235" i="32"/>
  <c r="X236" i="32"/>
  <c r="Y236" i="32"/>
  <c r="X237" i="32"/>
  <c r="Y237" i="32"/>
  <c r="X238" i="32"/>
  <c r="Y238" i="32"/>
  <c r="X239" i="32"/>
  <c r="Y239" i="32"/>
  <c r="X240" i="32"/>
  <c r="Y240" i="32"/>
  <c r="X241" i="32"/>
  <c r="Y241" i="32"/>
  <c r="X242" i="32"/>
  <c r="Y242" i="32"/>
  <c r="X243" i="32"/>
  <c r="Y243" i="32"/>
  <c r="X244" i="32"/>
  <c r="Y244" i="32"/>
  <c r="X245" i="32"/>
  <c r="Y245" i="32"/>
  <c r="X246" i="32"/>
  <c r="Y246" i="32"/>
  <c r="X247" i="32"/>
  <c r="Y247" i="32"/>
  <c r="X248" i="32"/>
  <c r="Y248" i="32"/>
  <c r="X249" i="32"/>
  <c r="Y249" i="32"/>
  <c r="X250" i="32"/>
  <c r="Y250" i="32"/>
  <c r="X251" i="32"/>
  <c r="Y251" i="32"/>
  <c r="X252" i="32"/>
  <c r="Y252" i="32"/>
  <c r="X253" i="32"/>
  <c r="Y253" i="32"/>
  <c r="X254" i="32"/>
  <c r="Y254" i="32"/>
  <c r="X255" i="32"/>
  <c r="Y255" i="32"/>
  <c r="X256" i="32"/>
  <c r="Y256" i="32"/>
  <c r="X257" i="32"/>
  <c r="Y257" i="32"/>
  <c r="X258" i="32"/>
  <c r="Y258" i="32"/>
  <c r="X259" i="32"/>
  <c r="Y259" i="32"/>
  <c r="X260" i="32"/>
  <c r="Y260" i="32"/>
  <c r="X261" i="32"/>
  <c r="Y261" i="32"/>
  <c r="X262" i="32"/>
  <c r="Y262" i="32"/>
  <c r="X263" i="32"/>
  <c r="Y263" i="32"/>
  <c r="X264" i="32"/>
  <c r="Y264" i="32"/>
  <c r="X265" i="32"/>
  <c r="Y265" i="32"/>
  <c r="X266" i="32"/>
  <c r="Y266" i="32"/>
  <c r="X267" i="32"/>
  <c r="Y267" i="32"/>
  <c r="X268" i="32"/>
  <c r="Y268" i="32"/>
  <c r="X269" i="32"/>
  <c r="Y269" i="32"/>
  <c r="X270" i="32"/>
  <c r="Y270" i="32"/>
  <c r="X271" i="32"/>
  <c r="Y271" i="32"/>
  <c r="X272" i="32"/>
  <c r="Y272" i="32"/>
  <c r="X273" i="32"/>
  <c r="Y273" i="32"/>
  <c r="X274" i="32"/>
  <c r="Y274" i="32"/>
  <c r="X275" i="32"/>
  <c r="Y275" i="32"/>
  <c r="X276" i="32"/>
  <c r="Y276" i="32"/>
  <c r="X277" i="32"/>
  <c r="Y277" i="32"/>
  <c r="X278" i="32"/>
  <c r="Y278" i="32"/>
  <c r="X279" i="32"/>
  <c r="Y279" i="32"/>
  <c r="X280" i="32"/>
  <c r="Y280" i="32"/>
  <c r="X281" i="32"/>
  <c r="Y281" i="32"/>
  <c r="X282" i="32"/>
  <c r="Y282" i="32"/>
  <c r="X283" i="32"/>
  <c r="Y283" i="32"/>
  <c r="X284" i="32"/>
  <c r="Y284" i="32"/>
  <c r="X285" i="32"/>
  <c r="Y285" i="32"/>
  <c r="X286" i="32"/>
  <c r="Y286" i="32"/>
  <c r="X287" i="32"/>
  <c r="Y287" i="32"/>
  <c r="X288" i="32"/>
  <c r="Y288" i="32"/>
  <c r="X289" i="32"/>
  <c r="Y289" i="32"/>
  <c r="X290" i="32"/>
  <c r="Y290" i="32"/>
  <c r="X291" i="32"/>
  <c r="Y291" i="32"/>
  <c r="X292" i="32"/>
  <c r="Y292" i="32"/>
  <c r="X293" i="32"/>
  <c r="Y293" i="32"/>
  <c r="X294" i="32"/>
  <c r="Y294" i="32"/>
  <c r="X295" i="32"/>
  <c r="Y295" i="32"/>
  <c r="X296" i="32"/>
  <c r="Y296" i="32"/>
  <c r="X297" i="32"/>
  <c r="Y297" i="32"/>
  <c r="X298" i="32"/>
  <c r="Y298" i="32"/>
  <c r="X299" i="32"/>
  <c r="Y299" i="32"/>
  <c r="X300" i="32"/>
  <c r="Y300" i="32"/>
  <c r="X301" i="32"/>
  <c r="Y301" i="32"/>
  <c r="X302" i="32"/>
  <c r="Y302" i="32"/>
  <c r="X303" i="32"/>
  <c r="Y303" i="32"/>
  <c r="X304" i="32"/>
  <c r="Y304" i="32"/>
  <c r="X305" i="32"/>
  <c r="Y305" i="32"/>
  <c r="X306" i="32"/>
  <c r="Y306" i="32"/>
  <c r="X307" i="32"/>
  <c r="Y307" i="32"/>
  <c r="X308" i="32"/>
  <c r="Y308" i="32"/>
  <c r="X309" i="32"/>
  <c r="Y309" i="32"/>
  <c r="X310" i="32"/>
  <c r="Y310" i="32"/>
  <c r="X311" i="32"/>
  <c r="Y311" i="32"/>
  <c r="X312" i="32"/>
  <c r="Y312" i="32"/>
  <c r="X313" i="32"/>
  <c r="Y313" i="32"/>
  <c r="X314" i="32"/>
  <c r="Y314" i="32"/>
  <c r="X315" i="32"/>
  <c r="Y315" i="32"/>
  <c r="X316" i="32"/>
  <c r="Y316" i="32"/>
  <c r="X317" i="32"/>
  <c r="Y317" i="32"/>
  <c r="X318" i="32"/>
  <c r="Y318" i="32"/>
  <c r="X319" i="32"/>
  <c r="Y319" i="32"/>
  <c r="X320" i="32"/>
  <c r="Y320" i="32"/>
  <c r="X321" i="32"/>
  <c r="Y321" i="32"/>
  <c r="X322" i="32"/>
  <c r="Y322" i="32"/>
  <c r="X323" i="32"/>
  <c r="Y323" i="32"/>
  <c r="X324" i="32"/>
  <c r="Y324" i="32"/>
  <c r="X325" i="32"/>
  <c r="Y325" i="32"/>
  <c r="X326" i="32"/>
  <c r="Y326" i="32"/>
  <c r="X327" i="32"/>
  <c r="Y327" i="32"/>
  <c r="X328" i="32"/>
  <c r="Y328" i="32"/>
  <c r="X329" i="32"/>
  <c r="Y329" i="32"/>
  <c r="X330" i="32"/>
  <c r="Y330" i="32"/>
  <c r="X331" i="32"/>
  <c r="Y331" i="32"/>
  <c r="X332" i="32"/>
  <c r="Y332" i="32"/>
  <c r="X333" i="32"/>
  <c r="Y333" i="32"/>
  <c r="X334" i="32"/>
  <c r="Y334" i="32"/>
  <c r="X335" i="32"/>
  <c r="Y335" i="32"/>
  <c r="X336" i="32"/>
  <c r="Y336" i="32"/>
  <c r="X337" i="32"/>
  <c r="Y337" i="32"/>
  <c r="X338" i="32"/>
  <c r="Y338" i="32"/>
  <c r="X339" i="32"/>
  <c r="Y339" i="32"/>
  <c r="X340" i="32"/>
  <c r="Y340" i="32"/>
  <c r="X341" i="32"/>
  <c r="Y341" i="32"/>
  <c r="X342" i="32"/>
  <c r="Y342" i="32"/>
  <c r="X343" i="32"/>
  <c r="Y343" i="32"/>
  <c r="X344" i="32"/>
  <c r="Y344" i="32"/>
  <c r="X345" i="32"/>
  <c r="Y345" i="32"/>
  <c r="X346" i="32"/>
  <c r="Y346" i="32"/>
  <c r="Y4" i="32"/>
  <c r="X4" i="32"/>
  <c r="N5" i="32"/>
  <c r="O5" i="32"/>
  <c r="N6" i="32"/>
  <c r="O6" i="32"/>
  <c r="N7" i="32"/>
  <c r="O7" i="32"/>
  <c r="N8" i="32"/>
  <c r="O8" i="32"/>
  <c r="N9" i="32"/>
  <c r="O9" i="32"/>
  <c r="N10" i="32"/>
  <c r="O10" i="32"/>
  <c r="N11" i="32"/>
  <c r="O11" i="32"/>
  <c r="N12" i="32"/>
  <c r="O12" i="32"/>
  <c r="N13" i="32"/>
  <c r="O13" i="32"/>
  <c r="N14" i="32"/>
  <c r="O14" i="32"/>
  <c r="N15" i="32"/>
  <c r="O15" i="32"/>
  <c r="N16" i="32"/>
  <c r="O16" i="32"/>
  <c r="N17" i="32"/>
  <c r="O17" i="32"/>
  <c r="N18" i="32"/>
  <c r="O18" i="32"/>
  <c r="N19" i="32"/>
  <c r="O19" i="32"/>
  <c r="N20" i="32"/>
  <c r="O20" i="32"/>
  <c r="N21" i="32"/>
  <c r="O21" i="32"/>
  <c r="N22" i="32"/>
  <c r="O22" i="32"/>
  <c r="N23" i="32"/>
  <c r="O23" i="32"/>
  <c r="N24" i="32"/>
  <c r="O24" i="32"/>
  <c r="N25" i="32"/>
  <c r="O25" i="32"/>
  <c r="N26" i="32"/>
  <c r="O26" i="32"/>
  <c r="N27" i="32"/>
  <c r="O27" i="32"/>
  <c r="N28" i="32"/>
  <c r="O28" i="32"/>
  <c r="N29" i="32"/>
  <c r="O29" i="32"/>
  <c r="N30" i="32"/>
  <c r="O30" i="32"/>
  <c r="N31" i="32"/>
  <c r="O31" i="32"/>
  <c r="N32" i="32"/>
  <c r="O32" i="32"/>
  <c r="N33" i="32"/>
  <c r="O33" i="32"/>
  <c r="N34" i="32"/>
  <c r="O34" i="32"/>
  <c r="N35" i="32"/>
  <c r="O35" i="32"/>
  <c r="N36" i="32"/>
  <c r="O36" i="32"/>
  <c r="N37" i="32"/>
  <c r="O37" i="32"/>
  <c r="N38" i="32"/>
  <c r="O38" i="32"/>
  <c r="N39" i="32"/>
  <c r="O39" i="32"/>
  <c r="N40" i="32"/>
  <c r="O40" i="32"/>
  <c r="N41" i="32"/>
  <c r="O41" i="32"/>
  <c r="N42" i="32"/>
  <c r="O42" i="32"/>
  <c r="N43" i="32"/>
  <c r="O43" i="32"/>
  <c r="N44" i="32"/>
  <c r="O44" i="32"/>
  <c r="N45" i="32"/>
  <c r="O45" i="32"/>
  <c r="N46" i="32"/>
  <c r="O46" i="32"/>
  <c r="N47" i="32"/>
  <c r="O47" i="32"/>
  <c r="N48" i="32"/>
  <c r="O48" i="32"/>
  <c r="N49" i="32"/>
  <c r="O49" i="32"/>
  <c r="N50" i="32"/>
  <c r="O50" i="32"/>
  <c r="N51" i="32"/>
  <c r="O51" i="32"/>
  <c r="N52" i="32"/>
  <c r="O52" i="32"/>
  <c r="N53" i="32"/>
  <c r="O53" i="32"/>
  <c r="N54" i="32"/>
  <c r="O54" i="32"/>
  <c r="N55" i="32"/>
  <c r="O55" i="32"/>
  <c r="N56" i="32"/>
  <c r="O56" i="32"/>
  <c r="N57" i="32"/>
  <c r="O57" i="32"/>
  <c r="N58" i="32"/>
  <c r="O58" i="32"/>
  <c r="N59" i="32"/>
  <c r="O59" i="32"/>
  <c r="N60" i="32"/>
  <c r="O60" i="32"/>
  <c r="N61" i="32"/>
  <c r="O61" i="32"/>
  <c r="N62" i="32"/>
  <c r="O62" i="32"/>
  <c r="N63" i="32"/>
  <c r="O63" i="32"/>
  <c r="N64" i="32"/>
  <c r="O64" i="32"/>
  <c r="N65" i="32"/>
  <c r="O65" i="32"/>
  <c r="N66" i="32"/>
  <c r="O66" i="32"/>
  <c r="N67" i="32"/>
  <c r="O67" i="32"/>
  <c r="N68" i="32"/>
  <c r="O68" i="32"/>
  <c r="N69" i="32"/>
  <c r="O69" i="32"/>
  <c r="N70" i="32"/>
  <c r="O70" i="32"/>
  <c r="N71" i="32"/>
  <c r="O71" i="32"/>
  <c r="N72" i="32"/>
  <c r="O72" i="32"/>
  <c r="N73" i="32"/>
  <c r="O73" i="32"/>
  <c r="N74" i="32"/>
  <c r="O74" i="32"/>
  <c r="N75" i="32"/>
  <c r="O75" i="32"/>
  <c r="N76" i="32"/>
  <c r="O76" i="32"/>
  <c r="N77" i="32"/>
  <c r="O77" i="32"/>
  <c r="N78" i="32"/>
  <c r="O78" i="32"/>
  <c r="N79" i="32"/>
  <c r="O79" i="32"/>
  <c r="N80" i="32"/>
  <c r="O80" i="32"/>
  <c r="N81" i="32"/>
  <c r="O81" i="32"/>
  <c r="N82" i="32"/>
  <c r="O82" i="32"/>
  <c r="N83" i="32"/>
  <c r="O83" i="32"/>
  <c r="N84" i="32"/>
  <c r="O84" i="32"/>
  <c r="N85" i="32"/>
  <c r="O85" i="32"/>
  <c r="N86" i="32"/>
  <c r="O86" i="32"/>
  <c r="N87" i="32"/>
  <c r="O87" i="32"/>
  <c r="N88" i="32"/>
  <c r="O88" i="32"/>
  <c r="N89" i="32"/>
  <c r="O89" i="32"/>
  <c r="N90" i="32"/>
  <c r="O90" i="32"/>
  <c r="N91" i="32"/>
  <c r="O91" i="32"/>
  <c r="N92" i="32"/>
  <c r="O92" i="32"/>
  <c r="N93" i="32"/>
  <c r="O93" i="32"/>
  <c r="N94" i="32"/>
  <c r="O94" i="32"/>
  <c r="N95" i="32"/>
  <c r="O95" i="32"/>
  <c r="N96" i="32"/>
  <c r="O96" i="32"/>
  <c r="N97" i="32"/>
  <c r="O97" i="32"/>
  <c r="N98" i="32"/>
  <c r="O98" i="32"/>
  <c r="N99" i="32"/>
  <c r="O99" i="32"/>
  <c r="N100" i="32"/>
  <c r="O100" i="32"/>
  <c r="N101" i="32"/>
  <c r="O101" i="32"/>
  <c r="N102" i="32"/>
  <c r="O102" i="32"/>
  <c r="N103" i="32"/>
  <c r="O103" i="32"/>
  <c r="N104" i="32"/>
  <c r="O104" i="32"/>
  <c r="N105" i="32"/>
  <c r="O105" i="32"/>
  <c r="N106" i="32"/>
  <c r="O106" i="32"/>
  <c r="N107" i="32"/>
  <c r="O107" i="32"/>
  <c r="N108" i="32"/>
  <c r="O108" i="32"/>
  <c r="N109" i="32"/>
  <c r="O109" i="32"/>
  <c r="N110" i="32"/>
  <c r="O110" i="32"/>
  <c r="N111" i="32"/>
  <c r="O111" i="32"/>
  <c r="N112" i="32"/>
  <c r="O112" i="32"/>
  <c r="N113" i="32"/>
  <c r="O113" i="32"/>
  <c r="N114" i="32"/>
  <c r="O114" i="32"/>
  <c r="N115" i="32"/>
  <c r="O115" i="32"/>
  <c r="N116" i="32"/>
  <c r="O116" i="32"/>
  <c r="N117" i="32"/>
  <c r="O117" i="32"/>
  <c r="N118" i="32"/>
  <c r="O118" i="32"/>
  <c r="N119" i="32"/>
  <c r="O119" i="32"/>
  <c r="N120" i="32"/>
  <c r="O120" i="32"/>
  <c r="N121" i="32"/>
  <c r="O121" i="32"/>
  <c r="N122" i="32"/>
  <c r="O122" i="32"/>
  <c r="N123" i="32"/>
  <c r="O123" i="32"/>
  <c r="N124" i="32"/>
  <c r="O124" i="32"/>
  <c r="N125" i="32"/>
  <c r="O125" i="32"/>
  <c r="N126" i="32"/>
  <c r="O126" i="32"/>
  <c r="N127" i="32"/>
  <c r="O127" i="32"/>
  <c r="N128" i="32"/>
  <c r="O128" i="32"/>
  <c r="N129" i="32"/>
  <c r="O129" i="32"/>
  <c r="N130" i="32"/>
  <c r="O130" i="32"/>
  <c r="N131" i="32"/>
  <c r="O131" i="32"/>
  <c r="N132" i="32"/>
  <c r="O132" i="32"/>
  <c r="N133" i="32"/>
  <c r="O133" i="32"/>
  <c r="N134" i="32"/>
  <c r="O134" i="32"/>
  <c r="N135" i="32"/>
  <c r="O135" i="32"/>
  <c r="N136" i="32"/>
  <c r="O136" i="32"/>
  <c r="N137" i="32"/>
  <c r="O137" i="32"/>
  <c r="N138" i="32"/>
  <c r="O138" i="32"/>
  <c r="N139" i="32"/>
  <c r="O139" i="32"/>
  <c r="N140" i="32"/>
  <c r="O140" i="32"/>
  <c r="N141" i="32"/>
  <c r="O141" i="32"/>
  <c r="N142" i="32"/>
  <c r="O142" i="32"/>
  <c r="N143" i="32"/>
  <c r="O143" i="32"/>
  <c r="N144" i="32"/>
  <c r="O144" i="32"/>
  <c r="N145" i="32"/>
  <c r="O145" i="32"/>
  <c r="N146" i="32"/>
  <c r="O146" i="32"/>
  <c r="N147" i="32"/>
  <c r="O147" i="32"/>
  <c r="N148" i="32"/>
  <c r="O148" i="32"/>
  <c r="N149" i="32"/>
  <c r="O149" i="32"/>
  <c r="N150" i="32"/>
  <c r="O150" i="32"/>
  <c r="N151" i="32"/>
  <c r="O151" i="32"/>
  <c r="N152" i="32"/>
  <c r="O152" i="32"/>
  <c r="N153" i="32"/>
  <c r="O153" i="32"/>
  <c r="N154" i="32"/>
  <c r="O154" i="32"/>
  <c r="N155" i="32"/>
  <c r="O155" i="32"/>
  <c r="N156" i="32"/>
  <c r="O156" i="32"/>
  <c r="N157" i="32"/>
  <c r="O157" i="32"/>
  <c r="N158" i="32"/>
  <c r="O158" i="32"/>
  <c r="N159" i="32"/>
  <c r="O159" i="32"/>
  <c r="N160" i="32"/>
  <c r="O160" i="32"/>
  <c r="N161" i="32"/>
  <c r="O161" i="32"/>
  <c r="N162" i="32"/>
  <c r="O162" i="32"/>
  <c r="N163" i="32"/>
  <c r="O163" i="32"/>
  <c r="N164" i="32"/>
  <c r="O164" i="32"/>
  <c r="N165" i="32"/>
  <c r="O165" i="32"/>
  <c r="N166" i="32"/>
  <c r="O166" i="32"/>
  <c r="N167" i="32"/>
  <c r="O167" i="32"/>
  <c r="N168" i="32"/>
  <c r="O168" i="32"/>
  <c r="N169" i="32"/>
  <c r="O169" i="32"/>
  <c r="N170" i="32"/>
  <c r="O170" i="32"/>
  <c r="N171" i="32"/>
  <c r="O171" i="32"/>
  <c r="N172" i="32"/>
  <c r="O172" i="32"/>
  <c r="N173" i="32"/>
  <c r="O173" i="32"/>
  <c r="N174" i="32"/>
  <c r="O174" i="32"/>
  <c r="N175" i="32"/>
  <c r="O175" i="32"/>
  <c r="N176" i="32"/>
  <c r="O176" i="32"/>
  <c r="N177" i="32"/>
  <c r="O177" i="32"/>
  <c r="N178" i="32"/>
  <c r="O178" i="32"/>
  <c r="N179" i="32"/>
  <c r="O179" i="32"/>
  <c r="N180" i="32"/>
  <c r="O180" i="32"/>
  <c r="N181" i="32"/>
  <c r="O181" i="32"/>
  <c r="N182" i="32"/>
  <c r="O182" i="32"/>
  <c r="N183" i="32"/>
  <c r="O183" i="32"/>
  <c r="N184" i="32"/>
  <c r="O184" i="32"/>
  <c r="N185" i="32"/>
  <c r="O185" i="32"/>
  <c r="N186" i="32"/>
  <c r="O186" i="32"/>
  <c r="N187" i="32"/>
  <c r="O187" i="32"/>
  <c r="N188" i="32"/>
  <c r="O188" i="32"/>
  <c r="N189" i="32"/>
  <c r="O189" i="32"/>
  <c r="N190" i="32"/>
  <c r="O190" i="32"/>
  <c r="N191" i="32"/>
  <c r="O191" i="32"/>
  <c r="N192" i="32"/>
  <c r="O192" i="32"/>
  <c r="N193" i="32"/>
  <c r="O193" i="32"/>
  <c r="N194" i="32"/>
  <c r="O194" i="32"/>
  <c r="N195" i="32"/>
  <c r="O195" i="32"/>
  <c r="N196" i="32"/>
  <c r="O196" i="32"/>
  <c r="N197" i="32"/>
  <c r="O197" i="32"/>
  <c r="N198" i="32"/>
  <c r="O198" i="32"/>
  <c r="N199" i="32"/>
  <c r="O199" i="32"/>
  <c r="N200" i="32"/>
  <c r="O200" i="32"/>
  <c r="N201" i="32"/>
  <c r="O201" i="32"/>
  <c r="N202" i="32"/>
  <c r="O202" i="32"/>
  <c r="N203" i="32"/>
  <c r="O203" i="32"/>
  <c r="N204" i="32"/>
  <c r="O204" i="32"/>
  <c r="N205" i="32"/>
  <c r="O205" i="32"/>
  <c r="N206" i="32"/>
  <c r="O206" i="32"/>
  <c r="N207" i="32"/>
  <c r="O207" i="32"/>
  <c r="N208" i="32"/>
  <c r="O208" i="32"/>
  <c r="N209" i="32"/>
  <c r="O209" i="32"/>
  <c r="N210" i="32"/>
  <c r="O210" i="32"/>
  <c r="N211" i="32"/>
  <c r="O211" i="32"/>
  <c r="N212" i="32"/>
  <c r="O212" i="32"/>
  <c r="N213" i="32"/>
  <c r="O213" i="32"/>
  <c r="N214" i="32"/>
  <c r="O214" i="32"/>
  <c r="N215" i="32"/>
  <c r="O215" i="32"/>
  <c r="N216" i="32"/>
  <c r="O216" i="32"/>
  <c r="N217" i="32"/>
  <c r="O217" i="32"/>
  <c r="N218" i="32"/>
  <c r="O218" i="32"/>
  <c r="N219" i="32"/>
  <c r="O219" i="32"/>
  <c r="N220" i="32"/>
  <c r="O220" i="32"/>
  <c r="N221" i="32"/>
  <c r="O221" i="32"/>
  <c r="N222" i="32"/>
  <c r="O222" i="32"/>
  <c r="N223" i="32"/>
  <c r="O223" i="32"/>
  <c r="N224" i="32"/>
  <c r="O224" i="32"/>
  <c r="N225" i="32"/>
  <c r="O225" i="32"/>
  <c r="N226" i="32"/>
  <c r="O226" i="32"/>
  <c r="N227" i="32"/>
  <c r="O227" i="32"/>
  <c r="N228" i="32"/>
  <c r="O228" i="32"/>
  <c r="N229" i="32"/>
  <c r="O229" i="32"/>
  <c r="N230" i="32"/>
  <c r="O230" i="32"/>
  <c r="N231" i="32"/>
  <c r="O231" i="32"/>
  <c r="N232" i="32"/>
  <c r="O232" i="32"/>
  <c r="N233" i="32"/>
  <c r="O233" i="32"/>
  <c r="N234" i="32"/>
  <c r="O234" i="32"/>
  <c r="N235" i="32"/>
  <c r="O235" i="32"/>
  <c r="N236" i="32"/>
  <c r="O236" i="32"/>
  <c r="N237" i="32"/>
  <c r="O237" i="32"/>
  <c r="N238" i="32"/>
  <c r="O238" i="32"/>
  <c r="N239" i="32"/>
  <c r="O239" i="32"/>
  <c r="N240" i="32"/>
  <c r="O240" i="32"/>
  <c r="N241" i="32"/>
  <c r="O241" i="32"/>
  <c r="N242" i="32"/>
  <c r="O242" i="32"/>
  <c r="N243" i="32"/>
  <c r="O243" i="32"/>
  <c r="N244" i="32"/>
  <c r="O244" i="32"/>
  <c r="N245" i="32"/>
  <c r="O245" i="32"/>
  <c r="N246" i="32"/>
  <c r="O246" i="32"/>
  <c r="N247" i="32"/>
  <c r="O247" i="32"/>
  <c r="N248" i="32"/>
  <c r="O248" i="32"/>
  <c r="N249" i="32"/>
  <c r="O249" i="32"/>
  <c r="N250" i="32"/>
  <c r="O250" i="32"/>
  <c r="N251" i="32"/>
  <c r="O251" i="32"/>
  <c r="N252" i="32"/>
  <c r="O252" i="32"/>
  <c r="N253" i="32"/>
  <c r="O253" i="32"/>
  <c r="N254" i="32"/>
  <c r="O254" i="32"/>
  <c r="N255" i="32"/>
  <c r="O255" i="32"/>
  <c r="N256" i="32"/>
  <c r="O256" i="32"/>
  <c r="N257" i="32"/>
  <c r="O257" i="32"/>
  <c r="N258" i="32"/>
  <c r="O258" i="32"/>
  <c r="N259" i="32"/>
  <c r="O259" i="32"/>
  <c r="N260" i="32"/>
  <c r="O260" i="32"/>
  <c r="N261" i="32"/>
  <c r="O261" i="32"/>
  <c r="N262" i="32"/>
  <c r="O262" i="32"/>
  <c r="N263" i="32"/>
  <c r="O263" i="32"/>
  <c r="N264" i="32"/>
  <c r="O264" i="32"/>
  <c r="N265" i="32"/>
  <c r="O265" i="32"/>
  <c r="N266" i="32"/>
  <c r="O266" i="32"/>
  <c r="N267" i="32"/>
  <c r="O267" i="32"/>
  <c r="N268" i="32"/>
  <c r="O268" i="32"/>
  <c r="N269" i="32"/>
  <c r="O269" i="32"/>
  <c r="N270" i="32"/>
  <c r="O270" i="32"/>
  <c r="N271" i="32"/>
  <c r="O271" i="32"/>
  <c r="N272" i="32"/>
  <c r="O272" i="32"/>
  <c r="N273" i="32"/>
  <c r="O273" i="32"/>
  <c r="N274" i="32"/>
  <c r="O274" i="32"/>
  <c r="N275" i="32"/>
  <c r="O275" i="32"/>
  <c r="N276" i="32"/>
  <c r="O276" i="32"/>
  <c r="N277" i="32"/>
  <c r="O277" i="32"/>
  <c r="N278" i="32"/>
  <c r="O278" i="32"/>
  <c r="N279" i="32"/>
  <c r="O279" i="32"/>
  <c r="N280" i="32"/>
  <c r="O280" i="32"/>
  <c r="N281" i="32"/>
  <c r="O281" i="32"/>
  <c r="N282" i="32"/>
  <c r="O282" i="32"/>
  <c r="N283" i="32"/>
  <c r="O283" i="32"/>
  <c r="N284" i="32"/>
  <c r="O284" i="32"/>
  <c r="N285" i="32"/>
  <c r="O285" i="32"/>
  <c r="N286" i="32"/>
  <c r="O286" i="32"/>
  <c r="N287" i="32"/>
  <c r="O287" i="32"/>
  <c r="N288" i="32"/>
  <c r="O288" i="32"/>
  <c r="N289" i="32"/>
  <c r="O289" i="32"/>
  <c r="N290" i="32"/>
  <c r="O290" i="32"/>
  <c r="N291" i="32"/>
  <c r="O291" i="32"/>
  <c r="N292" i="32"/>
  <c r="O292" i="32"/>
  <c r="N293" i="32"/>
  <c r="O293" i="32"/>
  <c r="N294" i="32"/>
  <c r="O294" i="32"/>
  <c r="N295" i="32"/>
  <c r="O295" i="32"/>
  <c r="N296" i="32"/>
  <c r="O296" i="32"/>
  <c r="N297" i="32"/>
  <c r="O297" i="32"/>
  <c r="N298" i="32"/>
  <c r="O298" i="32"/>
  <c r="N299" i="32"/>
  <c r="O299" i="32"/>
  <c r="N300" i="32"/>
  <c r="O300" i="32"/>
  <c r="N301" i="32"/>
  <c r="O301" i="32"/>
  <c r="N302" i="32"/>
  <c r="O302" i="32"/>
  <c r="N303" i="32"/>
  <c r="O303" i="32"/>
  <c r="N304" i="32"/>
  <c r="O304" i="32"/>
  <c r="N305" i="32"/>
  <c r="O305" i="32"/>
  <c r="N306" i="32"/>
  <c r="O306" i="32"/>
  <c r="N307" i="32"/>
  <c r="O307" i="32"/>
  <c r="N308" i="32"/>
  <c r="O308" i="32"/>
  <c r="N309" i="32"/>
  <c r="O309" i="32"/>
  <c r="N310" i="32"/>
  <c r="O310" i="32"/>
  <c r="N311" i="32"/>
  <c r="O311" i="32"/>
  <c r="N312" i="32"/>
  <c r="O312" i="32"/>
  <c r="N313" i="32"/>
  <c r="O313" i="32"/>
  <c r="N314" i="32"/>
  <c r="O314" i="32"/>
  <c r="N315" i="32"/>
  <c r="O315" i="32"/>
  <c r="N316" i="32"/>
  <c r="O316" i="32"/>
  <c r="N317" i="32"/>
  <c r="O317" i="32"/>
  <c r="N318" i="32"/>
  <c r="O318" i="32"/>
  <c r="N319" i="32"/>
  <c r="O319" i="32"/>
  <c r="N320" i="32"/>
  <c r="O320" i="32"/>
  <c r="N321" i="32"/>
  <c r="O321" i="32"/>
  <c r="N322" i="32"/>
  <c r="O322" i="32"/>
  <c r="N323" i="32"/>
  <c r="O323" i="32"/>
  <c r="N324" i="32"/>
  <c r="O324" i="32"/>
  <c r="N325" i="32"/>
  <c r="O325" i="32"/>
  <c r="N326" i="32"/>
  <c r="O326" i="32"/>
  <c r="N327" i="32"/>
  <c r="O327" i="32"/>
  <c r="N328" i="32"/>
  <c r="O328" i="32"/>
  <c r="N329" i="32"/>
  <c r="O329" i="32"/>
  <c r="N330" i="32"/>
  <c r="O330" i="32"/>
  <c r="N331" i="32"/>
  <c r="O331" i="32"/>
  <c r="N332" i="32"/>
  <c r="O332" i="32"/>
  <c r="N333" i="32"/>
  <c r="O333" i="32"/>
  <c r="N334" i="32"/>
  <c r="O334" i="32"/>
  <c r="N335" i="32"/>
  <c r="O335" i="32"/>
  <c r="N336" i="32"/>
  <c r="O336" i="32"/>
  <c r="N337" i="32"/>
  <c r="O337" i="32"/>
  <c r="N338" i="32"/>
  <c r="O338" i="32"/>
  <c r="N339" i="32"/>
  <c r="O339" i="32"/>
  <c r="N340" i="32"/>
  <c r="O340" i="32"/>
  <c r="N341" i="32"/>
  <c r="O341" i="32"/>
  <c r="N342" i="32"/>
  <c r="O342" i="32"/>
  <c r="N343" i="32"/>
  <c r="O343" i="32"/>
  <c r="N344" i="32"/>
  <c r="O344" i="32"/>
  <c r="N345" i="32"/>
  <c r="O345" i="32"/>
  <c r="N346" i="32"/>
  <c r="O346" i="32"/>
  <c r="N347" i="32"/>
  <c r="O347" i="32"/>
  <c r="N348" i="32"/>
  <c r="O348" i="32"/>
  <c r="N349" i="32"/>
  <c r="O349" i="32"/>
  <c r="N350" i="32"/>
  <c r="O350" i="32"/>
  <c r="N351" i="32"/>
  <c r="O351" i="32"/>
  <c r="N352" i="32"/>
  <c r="O352" i="32"/>
  <c r="N353" i="32"/>
  <c r="O353" i="32"/>
  <c r="N354" i="32"/>
  <c r="O354" i="32"/>
  <c r="N355" i="32"/>
  <c r="O355" i="32"/>
  <c r="N356" i="32"/>
  <c r="O356" i="32"/>
  <c r="N357" i="32"/>
  <c r="O357" i="32"/>
  <c r="N358" i="32"/>
  <c r="O358" i="32"/>
  <c r="N359" i="32"/>
  <c r="O359" i="32"/>
  <c r="N360" i="32"/>
  <c r="O360" i="32"/>
  <c r="N361" i="32"/>
  <c r="O361" i="32"/>
  <c r="N362" i="32"/>
  <c r="O362" i="32"/>
  <c r="N363" i="32"/>
  <c r="O363" i="32"/>
  <c r="N364" i="32"/>
  <c r="O364" i="32"/>
  <c r="N365" i="32"/>
  <c r="O365" i="32"/>
  <c r="N366" i="32"/>
  <c r="O366" i="32"/>
  <c r="N367" i="32"/>
  <c r="O367" i="32"/>
  <c r="N368" i="32"/>
  <c r="O368" i="32"/>
  <c r="N369" i="32"/>
  <c r="O369" i="32"/>
  <c r="N370" i="32"/>
  <c r="O370" i="32"/>
  <c r="N371" i="32"/>
  <c r="O371" i="32"/>
  <c r="N372" i="32"/>
  <c r="O372" i="32"/>
  <c r="N373" i="32"/>
  <c r="O373" i="32"/>
  <c r="N374" i="32"/>
  <c r="O374" i="32"/>
  <c r="N375" i="32"/>
  <c r="O375" i="32"/>
  <c r="N376" i="32"/>
  <c r="O376" i="32"/>
  <c r="N377" i="32"/>
  <c r="O377" i="32"/>
  <c r="N378" i="32"/>
  <c r="O378" i="32"/>
  <c r="N379" i="32"/>
  <c r="O379" i="32"/>
  <c r="N380" i="32"/>
  <c r="O380" i="32"/>
  <c r="N381" i="32"/>
  <c r="O381" i="32"/>
  <c r="N382" i="32"/>
  <c r="O382" i="32"/>
  <c r="N383" i="32"/>
  <c r="O383" i="32"/>
  <c r="N384" i="32"/>
  <c r="O384" i="32"/>
  <c r="N385" i="32"/>
  <c r="O385" i="32"/>
  <c r="N386" i="32"/>
  <c r="O386" i="32"/>
  <c r="N387" i="32"/>
  <c r="O387" i="32"/>
  <c r="N388" i="32"/>
  <c r="O388" i="32"/>
  <c r="N389" i="32"/>
  <c r="O389" i="32"/>
  <c r="N390" i="32"/>
  <c r="O390" i="32"/>
  <c r="N391" i="32"/>
  <c r="O391" i="32"/>
  <c r="N392" i="32"/>
  <c r="O392" i="32"/>
  <c r="N393" i="32"/>
  <c r="O393" i="32"/>
  <c r="N394" i="32"/>
  <c r="O394" i="32"/>
  <c r="N395" i="32"/>
  <c r="O395" i="32"/>
  <c r="N396" i="32"/>
  <c r="O396" i="32"/>
  <c r="N397" i="32"/>
  <c r="O397" i="32"/>
  <c r="N398" i="32"/>
  <c r="O398" i="32"/>
  <c r="N399" i="32"/>
  <c r="O399" i="32"/>
  <c r="N400" i="32"/>
  <c r="O400" i="32"/>
  <c r="N401" i="32"/>
  <c r="O401" i="32"/>
  <c r="N402" i="32"/>
  <c r="O402" i="32"/>
  <c r="N403" i="32"/>
  <c r="O403" i="32"/>
  <c r="N404" i="32"/>
  <c r="O404" i="32"/>
  <c r="N405" i="32"/>
  <c r="O405" i="32"/>
  <c r="N406" i="32"/>
  <c r="O406" i="32"/>
  <c r="N407" i="32"/>
  <c r="O407" i="32"/>
  <c r="N408" i="32"/>
  <c r="O408" i="32"/>
  <c r="N409" i="32"/>
  <c r="O409" i="32"/>
  <c r="N410" i="32"/>
  <c r="O410" i="32"/>
  <c r="N411" i="32"/>
  <c r="O411" i="32"/>
  <c r="N412" i="32"/>
  <c r="O412" i="32"/>
  <c r="N413" i="32"/>
  <c r="O413" i="32"/>
  <c r="N414" i="32"/>
  <c r="O414" i="32"/>
  <c r="N415" i="32"/>
  <c r="O415" i="32"/>
  <c r="N416" i="32"/>
  <c r="O416" i="32"/>
  <c r="N417" i="32"/>
  <c r="O417" i="32"/>
  <c r="N418" i="32"/>
  <c r="O418" i="32"/>
  <c r="N419" i="32"/>
  <c r="O419" i="32"/>
  <c r="N420" i="32"/>
  <c r="O420" i="32"/>
  <c r="N421" i="32"/>
  <c r="O421" i="32"/>
  <c r="N422" i="32"/>
  <c r="O422" i="32"/>
  <c r="N423" i="32"/>
  <c r="O423" i="32"/>
  <c r="N424" i="32"/>
  <c r="O424" i="32"/>
  <c r="N425" i="32"/>
  <c r="O425" i="32"/>
  <c r="N426" i="32"/>
  <c r="O426" i="32"/>
  <c r="N427" i="32"/>
  <c r="O427" i="32"/>
  <c r="O4" i="32"/>
  <c r="N4" i="32"/>
  <c r="H5" i="32"/>
  <c r="H4" i="32"/>
  <c r="H6" i="32"/>
  <c r="H7" i="32"/>
  <c r="H8" i="32"/>
  <c r="H9" i="32"/>
  <c r="H10" i="32"/>
  <c r="H11" i="32"/>
  <c r="H12" i="32"/>
  <c r="H13" i="32"/>
  <c r="H14" i="32"/>
  <c r="H15" i="32"/>
  <c r="H16" i="32"/>
  <c r="H17" i="32"/>
  <c r="H18" i="32"/>
  <c r="H19" i="32"/>
  <c r="H20" i="32"/>
  <c r="H21" i="32"/>
  <c r="H22" i="32"/>
  <c r="H23" i="32"/>
  <c r="H24" i="32"/>
  <c r="H25" i="32"/>
  <c r="H26" i="32"/>
  <c r="H27" i="32"/>
  <c r="H28" i="32"/>
  <c r="H29" i="32"/>
  <c r="H30" i="32"/>
  <c r="H31" i="32"/>
  <c r="H32" i="32"/>
  <c r="H33" i="32"/>
  <c r="H34" i="32"/>
  <c r="H35" i="32"/>
  <c r="H36" i="32"/>
  <c r="H37" i="32"/>
  <c r="H38" i="32"/>
  <c r="H39" i="32"/>
  <c r="H40" i="32"/>
  <c r="H41" i="32"/>
  <c r="H42" i="32"/>
  <c r="H43" i="32"/>
  <c r="H44" i="32"/>
  <c r="H45" i="32"/>
  <c r="H46" i="32"/>
  <c r="H47" i="32"/>
  <c r="H48" i="32"/>
  <c r="H49" i="32"/>
  <c r="H50" i="32"/>
  <c r="H51" i="32"/>
  <c r="H52" i="32"/>
  <c r="H53" i="32"/>
  <c r="H54" i="32"/>
  <c r="H55" i="32"/>
  <c r="H56" i="32"/>
  <c r="H57" i="32"/>
  <c r="H58" i="32"/>
  <c r="H59" i="32"/>
  <c r="H60" i="32"/>
  <c r="H61" i="32"/>
  <c r="H62" i="32"/>
  <c r="H63" i="32"/>
  <c r="H64" i="32"/>
  <c r="H65" i="32"/>
  <c r="H66" i="32"/>
  <c r="H67" i="32"/>
  <c r="H68" i="32"/>
  <c r="H69" i="32"/>
  <c r="H70" i="32"/>
  <c r="H71" i="32"/>
  <c r="H72" i="32"/>
  <c r="H73" i="32"/>
  <c r="H74" i="32"/>
  <c r="H75" i="32"/>
  <c r="H76" i="32"/>
  <c r="H77" i="32"/>
  <c r="H78" i="32"/>
  <c r="H79" i="32"/>
  <c r="H80" i="32"/>
  <c r="H81" i="32"/>
  <c r="H82" i="32"/>
  <c r="H83" i="32"/>
  <c r="H84" i="32"/>
  <c r="H85" i="32"/>
  <c r="H86" i="32"/>
  <c r="H87" i="32"/>
  <c r="H88" i="32"/>
  <c r="H89" i="32"/>
  <c r="H90" i="32"/>
  <c r="H91" i="32"/>
  <c r="H92" i="32"/>
  <c r="H93" i="32"/>
  <c r="H94" i="32"/>
  <c r="H95" i="32"/>
  <c r="H96" i="32"/>
  <c r="H97" i="32"/>
  <c r="H98" i="32"/>
  <c r="H99" i="32"/>
  <c r="H100" i="32"/>
  <c r="H101" i="32"/>
  <c r="H102" i="32"/>
  <c r="H103" i="32"/>
  <c r="H104" i="32"/>
  <c r="H105" i="32"/>
  <c r="H106" i="32"/>
  <c r="H107" i="32"/>
  <c r="H108" i="32"/>
  <c r="H109" i="32"/>
  <c r="H110" i="32"/>
  <c r="H111" i="32"/>
  <c r="H112" i="32"/>
  <c r="H113" i="32"/>
  <c r="H114" i="32"/>
  <c r="H115" i="32"/>
  <c r="H116" i="32"/>
  <c r="H117" i="32"/>
  <c r="H118" i="32"/>
  <c r="H119" i="32"/>
  <c r="H120" i="32"/>
  <c r="H121" i="32"/>
  <c r="H122" i="32"/>
  <c r="H123" i="32"/>
  <c r="H124" i="32"/>
  <c r="H125" i="32"/>
  <c r="H126" i="32"/>
  <c r="H127" i="32"/>
  <c r="H128" i="32"/>
  <c r="H129" i="32"/>
  <c r="H130" i="32"/>
  <c r="H131" i="32"/>
  <c r="H132" i="32"/>
  <c r="H133" i="32"/>
  <c r="H134" i="32"/>
  <c r="H135" i="32"/>
  <c r="H136" i="32"/>
  <c r="H137" i="32"/>
  <c r="H138" i="32"/>
  <c r="H139" i="32"/>
  <c r="H140" i="32"/>
  <c r="H141" i="32"/>
  <c r="H142" i="32"/>
  <c r="H143" i="32"/>
  <c r="H144" i="32"/>
  <c r="H145" i="32"/>
  <c r="H146" i="32"/>
  <c r="H147" i="32"/>
  <c r="H148" i="32"/>
  <c r="H149" i="32"/>
  <c r="H150" i="32"/>
  <c r="H151" i="32"/>
  <c r="H152" i="32"/>
  <c r="H153" i="32"/>
  <c r="H154" i="32"/>
  <c r="H155" i="32"/>
  <c r="H156" i="32"/>
  <c r="H157" i="32"/>
  <c r="H158" i="32"/>
  <c r="H159" i="32"/>
  <c r="H160" i="32"/>
  <c r="H161" i="32"/>
  <c r="H162" i="32"/>
  <c r="H163" i="32"/>
  <c r="H164" i="32"/>
  <c r="H165" i="32"/>
  <c r="H166" i="32"/>
  <c r="H167" i="32"/>
  <c r="H168" i="32"/>
  <c r="H169" i="32"/>
  <c r="H170" i="32"/>
  <c r="H171" i="32"/>
  <c r="H172" i="32"/>
  <c r="H173" i="32"/>
  <c r="H174" i="32"/>
  <c r="H175" i="32"/>
  <c r="H176" i="32"/>
  <c r="H177" i="32"/>
  <c r="H178" i="32"/>
  <c r="H179" i="32"/>
  <c r="H180" i="32"/>
  <c r="H181" i="32"/>
  <c r="H182" i="32"/>
  <c r="H183" i="32"/>
  <c r="H184" i="32"/>
  <c r="H185" i="32"/>
  <c r="H186" i="32"/>
  <c r="H187" i="32"/>
  <c r="H188" i="32"/>
  <c r="H189" i="32"/>
  <c r="H190" i="32"/>
  <c r="H191" i="32"/>
  <c r="H192" i="32"/>
  <c r="H193" i="32"/>
  <c r="H194" i="32"/>
  <c r="H195" i="32"/>
  <c r="H196" i="32"/>
  <c r="H197" i="32"/>
  <c r="H198" i="32"/>
  <c r="H199" i="32"/>
  <c r="H200" i="32"/>
  <c r="H201" i="32"/>
  <c r="H202" i="32"/>
  <c r="H203" i="32"/>
  <c r="H204" i="32"/>
  <c r="H205" i="32"/>
  <c r="H206" i="32"/>
  <c r="H207" i="32"/>
  <c r="H208" i="32"/>
  <c r="H209" i="32"/>
  <c r="H210" i="32"/>
  <c r="H211" i="32"/>
  <c r="H212" i="32"/>
  <c r="H213" i="32"/>
  <c r="H214" i="32"/>
  <c r="H215" i="32"/>
  <c r="H216" i="32"/>
  <c r="H217" i="32"/>
  <c r="H218" i="32"/>
  <c r="H219" i="32"/>
  <c r="H220" i="32"/>
  <c r="H221" i="32"/>
  <c r="H222" i="32"/>
  <c r="H223" i="32"/>
  <c r="H224" i="32"/>
  <c r="H225" i="32"/>
  <c r="H226" i="32"/>
  <c r="H227" i="32"/>
  <c r="H228" i="32"/>
  <c r="H229" i="32"/>
  <c r="H230" i="32"/>
  <c r="H231" i="32"/>
  <c r="H232" i="32"/>
  <c r="H233" i="32"/>
  <c r="H234" i="32"/>
  <c r="H235" i="32"/>
  <c r="H236" i="32"/>
  <c r="H237" i="32"/>
  <c r="H238" i="32"/>
  <c r="H239" i="32"/>
  <c r="H240" i="32"/>
  <c r="H241" i="32"/>
  <c r="H242" i="32"/>
  <c r="H243" i="32"/>
  <c r="J682" i="25"/>
  <c r="I316" i="37"/>
  <c r="H244" i="32"/>
  <c r="H245" i="32"/>
  <c r="H246" i="32"/>
  <c r="H247" i="32"/>
  <c r="H248" i="32"/>
  <c r="H249" i="32"/>
  <c r="H250" i="32"/>
  <c r="H251" i="32"/>
  <c r="H252" i="32"/>
  <c r="H253" i="32"/>
  <c r="H254" i="32"/>
  <c r="H255" i="32"/>
  <c r="H256" i="32"/>
  <c r="H257" i="32"/>
  <c r="H258" i="32"/>
  <c r="H259" i="32"/>
  <c r="H260" i="32"/>
  <c r="H261" i="32"/>
  <c r="H262" i="32"/>
  <c r="H263" i="32"/>
  <c r="H264" i="32"/>
  <c r="H265" i="32"/>
  <c r="H266" i="32"/>
  <c r="H267" i="32"/>
  <c r="H268" i="32"/>
  <c r="H269" i="32"/>
  <c r="H270" i="32"/>
  <c r="H271" i="32"/>
  <c r="H272" i="32"/>
  <c r="H273" i="32"/>
  <c r="H274" i="32"/>
  <c r="H275" i="32"/>
  <c r="H276" i="32"/>
  <c r="H277" i="32"/>
  <c r="H278" i="32"/>
  <c r="H279" i="32"/>
  <c r="H280" i="32"/>
  <c r="H281" i="32"/>
  <c r="H282" i="32"/>
  <c r="H283" i="32"/>
  <c r="H284" i="32"/>
  <c r="H285" i="32"/>
  <c r="H286" i="32"/>
  <c r="H287" i="32"/>
  <c r="H288" i="32"/>
  <c r="H289" i="32"/>
  <c r="H290" i="32"/>
  <c r="H291" i="32"/>
  <c r="H292" i="32"/>
  <c r="H293" i="32"/>
  <c r="H294" i="32"/>
  <c r="H295" i="32"/>
  <c r="H296" i="32"/>
  <c r="H297" i="32"/>
  <c r="H298" i="32"/>
  <c r="H299" i="32"/>
  <c r="H300" i="32"/>
  <c r="H301" i="32"/>
  <c r="H302" i="32"/>
  <c r="H303" i="32"/>
  <c r="H304" i="32"/>
  <c r="H305" i="32"/>
  <c r="H306" i="32"/>
  <c r="H307" i="32"/>
  <c r="H308" i="32"/>
  <c r="H309" i="32"/>
  <c r="H310" i="32"/>
  <c r="H311" i="32"/>
  <c r="H312" i="32"/>
  <c r="H313" i="32"/>
  <c r="H314" i="32"/>
  <c r="H315" i="32"/>
  <c r="H316" i="32"/>
  <c r="H317" i="32"/>
  <c r="H318" i="32"/>
  <c r="H319" i="32"/>
  <c r="H320" i="32"/>
  <c r="H321" i="32"/>
  <c r="H322" i="32"/>
  <c r="H323" i="32"/>
  <c r="H324" i="32"/>
  <c r="H325" i="32"/>
  <c r="H326" i="32"/>
  <c r="H327" i="32"/>
  <c r="H328" i="32"/>
  <c r="H329" i="32"/>
  <c r="H330" i="32"/>
  <c r="H331" i="32"/>
  <c r="H332" i="32"/>
  <c r="H333" i="32"/>
  <c r="H334" i="32"/>
  <c r="H335" i="32"/>
  <c r="H336" i="32"/>
  <c r="H337" i="32"/>
  <c r="H338" i="32"/>
  <c r="H339" i="32"/>
  <c r="H340" i="32"/>
  <c r="H341" i="32"/>
  <c r="H342" i="32"/>
  <c r="H343" i="32"/>
  <c r="H344" i="32"/>
  <c r="H345" i="32"/>
  <c r="H346" i="32"/>
  <c r="H347" i="32"/>
  <c r="H348" i="32"/>
  <c r="H349" i="32"/>
  <c r="H350" i="32"/>
  <c r="H351" i="32"/>
  <c r="H352" i="32"/>
  <c r="H353" i="32"/>
  <c r="H354" i="32"/>
  <c r="H355" i="32"/>
  <c r="H356" i="32"/>
  <c r="H357" i="32"/>
  <c r="H358" i="32"/>
  <c r="H359" i="32"/>
  <c r="H360" i="32"/>
  <c r="H361" i="32"/>
  <c r="H362" i="32"/>
  <c r="H363" i="32"/>
  <c r="H364" i="32"/>
  <c r="H365" i="32"/>
  <c r="H366" i="32"/>
  <c r="H367" i="32"/>
  <c r="H368" i="32"/>
  <c r="H369" i="32"/>
  <c r="H370" i="32"/>
  <c r="H371" i="32"/>
  <c r="H372" i="32"/>
  <c r="H373" i="32"/>
  <c r="H374" i="32"/>
  <c r="H375" i="32"/>
  <c r="H376" i="32"/>
  <c r="H377" i="32"/>
  <c r="H378" i="32"/>
  <c r="H379" i="32"/>
  <c r="H380" i="32"/>
  <c r="H381" i="32"/>
  <c r="H382" i="32"/>
  <c r="H383" i="32"/>
  <c r="H384" i="32"/>
  <c r="H385" i="32"/>
  <c r="H386" i="32"/>
  <c r="H387" i="32"/>
  <c r="H388" i="32"/>
  <c r="H389" i="32"/>
  <c r="H390" i="32"/>
  <c r="H391" i="32"/>
  <c r="H392" i="32"/>
  <c r="H393" i="32"/>
  <c r="H394" i="32"/>
  <c r="H395" i="32"/>
  <c r="H396" i="32"/>
  <c r="H397" i="32"/>
  <c r="H398" i="32"/>
  <c r="H399" i="32"/>
  <c r="H400" i="32"/>
  <c r="H401" i="32"/>
  <c r="H402" i="32"/>
  <c r="H403" i="32"/>
  <c r="H404" i="32"/>
  <c r="H405" i="32"/>
  <c r="H406" i="32"/>
  <c r="H407" i="32"/>
  <c r="H408" i="32"/>
  <c r="H409" i="32"/>
  <c r="H410" i="32"/>
  <c r="H411" i="32"/>
  <c r="H412" i="32"/>
  <c r="H413" i="32"/>
  <c r="H414" i="32"/>
  <c r="H415" i="32"/>
  <c r="H416" i="32"/>
  <c r="H417" i="32"/>
  <c r="H418" i="32"/>
  <c r="H419" i="32"/>
  <c r="H420" i="32"/>
  <c r="H421" i="32"/>
  <c r="H422" i="32"/>
  <c r="H423" i="32"/>
  <c r="H424" i="32"/>
  <c r="H425" i="32"/>
  <c r="H426" i="32"/>
  <c r="H427" i="32"/>
  <c r="H428" i="32"/>
  <c r="H429" i="32"/>
  <c r="H430" i="32"/>
  <c r="H431" i="32"/>
  <c r="H432" i="32"/>
  <c r="H433" i="32"/>
  <c r="H434" i="32"/>
  <c r="H435" i="32"/>
  <c r="H436" i="32"/>
  <c r="H437" i="32"/>
  <c r="H438" i="32"/>
  <c r="H439" i="32"/>
  <c r="H440" i="32"/>
  <c r="H441" i="32"/>
  <c r="H442" i="32"/>
  <c r="H443" i="32"/>
  <c r="H444" i="32"/>
  <c r="H445" i="32"/>
  <c r="H446" i="32"/>
  <c r="H447" i="32"/>
  <c r="H448" i="32"/>
  <c r="H449" i="32"/>
  <c r="H450" i="32"/>
  <c r="H451" i="32"/>
  <c r="H452" i="32"/>
  <c r="H453" i="32"/>
  <c r="H454" i="32"/>
  <c r="J5" i="32"/>
  <c r="J4" i="32"/>
  <c r="J750" i="31"/>
  <c r="I384" i="40"/>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J241" i="32"/>
  <c r="J242" i="32"/>
  <c r="J243" i="32"/>
  <c r="J244" i="32"/>
  <c r="J245" i="32"/>
  <c r="J246" i="32"/>
  <c r="J247" i="32"/>
  <c r="J248" i="32"/>
  <c r="J249" i="32"/>
  <c r="J250" i="32"/>
  <c r="J251" i="32"/>
  <c r="J252" i="32"/>
  <c r="J253" i="32"/>
  <c r="J254" i="32"/>
  <c r="J255" i="32"/>
  <c r="J256" i="32"/>
  <c r="J257" i="32"/>
  <c r="J258" i="32"/>
  <c r="J259" i="32"/>
  <c r="J260" i="32"/>
  <c r="J261" i="32"/>
  <c r="J262" i="32"/>
  <c r="J263" i="32"/>
  <c r="J264" i="32"/>
  <c r="J265" i="32"/>
  <c r="J266" i="32"/>
  <c r="J267" i="32"/>
  <c r="J268" i="32"/>
  <c r="J269" i="32"/>
  <c r="J270" i="32"/>
  <c r="J271" i="32"/>
  <c r="J272" i="32"/>
  <c r="J273" i="32"/>
  <c r="J274" i="32"/>
  <c r="J275" i="32"/>
  <c r="J276" i="32"/>
  <c r="J277" i="32"/>
  <c r="J278" i="32"/>
  <c r="J279" i="32"/>
  <c r="J280" i="32"/>
  <c r="J281" i="32"/>
  <c r="J282" i="32"/>
  <c r="J283" i="32"/>
  <c r="J284" i="32"/>
  <c r="J285" i="32"/>
  <c r="J286" i="32"/>
  <c r="J287" i="32"/>
  <c r="J288" i="32"/>
  <c r="J289" i="32"/>
  <c r="J290" i="32"/>
  <c r="J291" i="32"/>
  <c r="J292" i="32"/>
  <c r="J293" i="32"/>
  <c r="J294" i="32"/>
  <c r="J295" i="32"/>
  <c r="J296" i="32"/>
  <c r="J297" i="32"/>
  <c r="J298" i="32"/>
  <c r="J299" i="32"/>
  <c r="J300" i="32"/>
  <c r="J301" i="32"/>
  <c r="J302" i="32"/>
  <c r="J303" i="32"/>
  <c r="J304" i="32"/>
  <c r="J305" i="32"/>
  <c r="J306" i="32"/>
  <c r="J307" i="32"/>
  <c r="J308" i="32"/>
  <c r="J309" i="32"/>
  <c r="J310" i="32"/>
  <c r="J311" i="32"/>
  <c r="J312" i="32"/>
  <c r="J313" i="32"/>
  <c r="J314" i="32"/>
  <c r="J315" i="32"/>
  <c r="J316" i="32"/>
  <c r="J317" i="32"/>
  <c r="J318" i="32"/>
  <c r="J319" i="32"/>
  <c r="J320" i="32"/>
  <c r="J321" i="32"/>
  <c r="J322" i="32"/>
  <c r="J323" i="32"/>
  <c r="J324" i="32"/>
  <c r="J325" i="32"/>
  <c r="J326" i="32"/>
  <c r="J327" i="32"/>
  <c r="J328" i="32"/>
  <c r="J329" i="32"/>
  <c r="J330" i="32"/>
  <c r="J331" i="32"/>
  <c r="J332" i="32"/>
  <c r="J333" i="32"/>
  <c r="J334" i="32"/>
  <c r="J335" i="32"/>
  <c r="J336" i="32"/>
  <c r="J337" i="32"/>
  <c r="J338" i="32"/>
  <c r="J339" i="32"/>
  <c r="J340" i="32"/>
  <c r="J341" i="32"/>
  <c r="J342" i="32"/>
  <c r="J343" i="32"/>
  <c r="J344" i="32"/>
  <c r="J345" i="32"/>
  <c r="J346" i="32"/>
  <c r="J347" i="32"/>
  <c r="J348" i="32"/>
  <c r="J349" i="32"/>
  <c r="J350" i="32"/>
  <c r="J351" i="32"/>
  <c r="J352" i="32"/>
  <c r="J353" i="32"/>
  <c r="J354" i="32"/>
  <c r="J355" i="32"/>
  <c r="J356" i="32"/>
  <c r="J357" i="32"/>
  <c r="J358" i="32"/>
  <c r="J359" i="32"/>
  <c r="J360" i="32"/>
  <c r="J361" i="32"/>
  <c r="J362" i="32"/>
  <c r="J363" i="32"/>
  <c r="J364" i="32"/>
  <c r="J365" i="32"/>
  <c r="J366" i="32"/>
  <c r="J367" i="32"/>
  <c r="J368" i="32"/>
  <c r="J369" i="32"/>
  <c r="J370" i="32"/>
  <c r="J371" i="32"/>
  <c r="J372" i="32"/>
  <c r="J373" i="32"/>
  <c r="J374" i="32"/>
  <c r="J375" i="32"/>
  <c r="J376" i="32"/>
  <c r="J377" i="32"/>
  <c r="J378" i="32"/>
  <c r="J379" i="32"/>
  <c r="J380" i="32"/>
  <c r="J381" i="32"/>
  <c r="J382" i="32"/>
  <c r="J383" i="32"/>
  <c r="J384" i="32"/>
  <c r="J385" i="32"/>
  <c r="J386" i="32"/>
  <c r="J387" i="32"/>
  <c r="J388" i="32"/>
  <c r="J389" i="32"/>
  <c r="J390" i="32"/>
  <c r="J391" i="32"/>
  <c r="J392" i="32"/>
  <c r="J393" i="32"/>
  <c r="J394" i="32"/>
  <c r="J395" i="32"/>
  <c r="J396" i="32"/>
  <c r="J397" i="32"/>
  <c r="J398" i="32"/>
  <c r="J399" i="32"/>
  <c r="J400" i="32"/>
  <c r="J401" i="32"/>
  <c r="J402" i="32"/>
  <c r="J403" i="32"/>
  <c r="J404" i="32"/>
  <c r="J405" i="32"/>
  <c r="J406" i="32"/>
  <c r="J407" i="32"/>
  <c r="J408" i="32"/>
  <c r="J409" i="32"/>
  <c r="J410" i="32"/>
  <c r="J411" i="32"/>
  <c r="J412" i="32"/>
  <c r="J413" i="32"/>
  <c r="J414" i="32"/>
  <c r="J415" i="32"/>
  <c r="J416" i="32"/>
  <c r="J417" i="32"/>
  <c r="J418" i="32"/>
  <c r="J419" i="32"/>
  <c r="J420" i="32"/>
  <c r="J421" i="32"/>
  <c r="J422" i="32"/>
  <c r="J423" i="32"/>
  <c r="J424" i="32"/>
  <c r="J425" i="32"/>
  <c r="J426" i="32"/>
  <c r="J427" i="32"/>
  <c r="J428" i="32"/>
  <c r="J429" i="32"/>
  <c r="J430" i="32"/>
  <c r="J431" i="32"/>
  <c r="J432" i="32"/>
  <c r="J433" i="32"/>
  <c r="J434" i="32"/>
  <c r="J435" i="32"/>
  <c r="J436" i="32"/>
  <c r="J437" i="32"/>
  <c r="J438" i="32"/>
  <c r="J439" i="32"/>
  <c r="J440" i="32"/>
  <c r="J441" i="32"/>
  <c r="J442" i="32"/>
  <c r="J443" i="32"/>
  <c r="J444" i="32"/>
  <c r="J445" i="32"/>
  <c r="J446" i="32"/>
  <c r="J447" i="32"/>
  <c r="J448" i="32"/>
  <c r="J449" i="32"/>
  <c r="J450" i="32"/>
  <c r="J451" i="32"/>
  <c r="J452" i="32"/>
  <c r="J453" i="32"/>
  <c r="J454" i="32"/>
  <c r="G5" i="32"/>
  <c r="G4"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J58" i="25"/>
  <c r="H132" i="37"/>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I38" i="32"/>
  <c r="I39" i="32"/>
  <c r="I40" i="32"/>
  <c r="I41" i="32"/>
  <c r="I42" i="32"/>
  <c r="I43" i="32"/>
  <c r="I44" i="32"/>
  <c r="I45" i="32"/>
  <c r="I46" i="32"/>
  <c r="I47" i="32"/>
  <c r="I48" i="32"/>
  <c r="I49" i="32"/>
  <c r="I50" i="32"/>
  <c r="I51" i="32"/>
  <c r="I52" i="32"/>
  <c r="I53" i="32"/>
  <c r="I54" i="32"/>
  <c r="I55" i="32"/>
  <c r="I56" i="32"/>
  <c r="I57" i="32"/>
  <c r="I58" i="32"/>
  <c r="I59" i="32"/>
  <c r="I60" i="32"/>
  <c r="I61" i="32"/>
  <c r="I62" i="32"/>
  <c r="I63" i="32"/>
  <c r="I64" i="32"/>
  <c r="I65" i="32"/>
  <c r="I66" i="32"/>
  <c r="I67" i="32"/>
  <c r="I68" i="32"/>
  <c r="I69" i="32"/>
  <c r="I70" i="32"/>
  <c r="I71" i="32"/>
  <c r="I72" i="32"/>
  <c r="I73" i="32"/>
  <c r="I74" i="32"/>
  <c r="I75" i="32"/>
  <c r="I76" i="32"/>
  <c r="I77" i="32"/>
  <c r="I78" i="32"/>
  <c r="I79" i="32"/>
  <c r="I80" i="32"/>
  <c r="I81" i="32"/>
  <c r="I82" i="32"/>
  <c r="I83" i="32"/>
  <c r="I84" i="32"/>
  <c r="I85" i="32"/>
  <c r="I86" i="32"/>
  <c r="I87" i="32"/>
  <c r="I88" i="32"/>
  <c r="I89" i="32"/>
  <c r="I90" i="32"/>
  <c r="I91" i="32"/>
  <c r="I92" i="32"/>
  <c r="I93" i="32"/>
  <c r="I94" i="32"/>
  <c r="I95" i="32"/>
  <c r="I96" i="32"/>
  <c r="I97" i="32"/>
  <c r="I98" i="32"/>
  <c r="I99" i="32"/>
  <c r="I100" i="32"/>
  <c r="I101" i="32"/>
  <c r="I102" i="32"/>
  <c r="I103" i="32"/>
  <c r="I104" i="32"/>
  <c r="I105" i="32"/>
  <c r="I106" i="32"/>
  <c r="I107" i="32"/>
  <c r="I108" i="32"/>
  <c r="I109" i="32"/>
  <c r="I110" i="32"/>
  <c r="I111" i="32"/>
  <c r="I112" i="32"/>
  <c r="I113" i="32"/>
  <c r="I114" i="32"/>
  <c r="I115" i="32"/>
  <c r="I116" i="32"/>
  <c r="I117" i="32"/>
  <c r="I118" i="32"/>
  <c r="I119" i="32"/>
  <c r="I120" i="32"/>
  <c r="I121" i="32"/>
  <c r="I122" i="32"/>
  <c r="I123" i="32"/>
  <c r="I124" i="32"/>
  <c r="I125" i="32"/>
  <c r="I126" i="32"/>
  <c r="I127" i="32"/>
  <c r="I128" i="32"/>
  <c r="I129" i="32"/>
  <c r="I130" i="32"/>
  <c r="I131" i="32"/>
  <c r="I132" i="32"/>
  <c r="I133" i="32"/>
  <c r="I134" i="32"/>
  <c r="I135" i="32"/>
  <c r="I136" i="32"/>
  <c r="I137" i="32"/>
  <c r="I138" i="32"/>
  <c r="I139" i="32"/>
  <c r="I140" i="32"/>
  <c r="I141" i="32"/>
  <c r="I142" i="32"/>
  <c r="I143" i="32"/>
  <c r="I144" i="32"/>
  <c r="I145" i="32"/>
  <c r="I146" i="32"/>
  <c r="I147" i="32"/>
  <c r="I148" i="32"/>
  <c r="I149" i="32"/>
  <c r="I150" i="32"/>
  <c r="I151" i="32"/>
  <c r="I152" i="32"/>
  <c r="I153" i="32"/>
  <c r="I154" i="32"/>
  <c r="I155" i="32"/>
  <c r="I156" i="32"/>
  <c r="I157" i="32"/>
  <c r="I158" i="32"/>
  <c r="I159" i="32"/>
  <c r="I160" i="32"/>
  <c r="I161" i="32"/>
  <c r="I162" i="32"/>
  <c r="I163" i="32"/>
  <c r="I164" i="32"/>
  <c r="I165" i="32"/>
  <c r="I166" i="32"/>
  <c r="I167" i="32"/>
  <c r="I168" i="32"/>
  <c r="I169" i="32"/>
  <c r="I170" i="32"/>
  <c r="I171" i="32"/>
  <c r="I172" i="32"/>
  <c r="I173" i="32"/>
  <c r="I174" i="32"/>
  <c r="I175" i="32"/>
  <c r="I176" i="32"/>
  <c r="I177" i="32"/>
  <c r="I178" i="32"/>
  <c r="I179" i="32"/>
  <c r="I180" i="32"/>
  <c r="I181" i="32"/>
  <c r="I182" i="32"/>
  <c r="I183" i="32"/>
  <c r="I184" i="32"/>
  <c r="I185" i="32"/>
  <c r="I186" i="32"/>
  <c r="I187" i="32"/>
  <c r="I188" i="32"/>
  <c r="I189" i="32"/>
  <c r="I190" i="32"/>
  <c r="I191" i="32"/>
  <c r="I192" i="32"/>
  <c r="I193" i="32"/>
  <c r="I194" i="32"/>
  <c r="I195" i="32"/>
  <c r="I196" i="32"/>
  <c r="I197" i="32"/>
  <c r="I198" i="32"/>
  <c r="I199" i="32"/>
  <c r="I200" i="32"/>
  <c r="I201" i="32"/>
  <c r="I202" i="32"/>
  <c r="I203" i="32"/>
  <c r="I204" i="32"/>
  <c r="I205" i="32"/>
  <c r="I206" i="32"/>
  <c r="I207" i="32"/>
  <c r="I208" i="32"/>
  <c r="I209" i="32"/>
  <c r="I210" i="32"/>
  <c r="I211" i="32"/>
  <c r="I212" i="32"/>
  <c r="I213" i="32"/>
  <c r="I214" i="32"/>
  <c r="I215" i="32"/>
  <c r="I216" i="32"/>
  <c r="I217" i="32"/>
  <c r="I218" i="32"/>
  <c r="I219" i="32"/>
  <c r="I220" i="32"/>
  <c r="I221" i="32"/>
  <c r="I222" i="32"/>
  <c r="I223" i="32"/>
  <c r="I224" i="32"/>
  <c r="I225" i="32"/>
  <c r="I226" i="32"/>
  <c r="I227" i="32"/>
  <c r="I228" i="32"/>
  <c r="I229" i="32"/>
  <c r="I230" i="32"/>
  <c r="I231" i="32"/>
  <c r="I232" i="32"/>
  <c r="I233" i="32"/>
  <c r="I234" i="32"/>
  <c r="I235" i="32"/>
  <c r="I236" i="32"/>
  <c r="I237" i="32"/>
  <c r="I238" i="32"/>
  <c r="I239" i="32"/>
  <c r="I240" i="32"/>
  <c r="I241" i="32"/>
  <c r="I242" i="32"/>
  <c r="I243" i="32"/>
  <c r="I244" i="32"/>
  <c r="I245" i="32"/>
  <c r="I246" i="32"/>
  <c r="I247" i="32"/>
  <c r="I248" i="32"/>
  <c r="I249" i="32"/>
  <c r="I250" i="32"/>
  <c r="I251" i="32"/>
  <c r="I252" i="32"/>
  <c r="I253" i="32"/>
  <c r="I254" i="32"/>
  <c r="I255" i="32"/>
  <c r="I256" i="32"/>
  <c r="I257" i="32"/>
  <c r="I258" i="32"/>
  <c r="I259" i="32"/>
  <c r="I260" i="32"/>
  <c r="I261" i="32"/>
  <c r="I262" i="32"/>
  <c r="I263" i="32"/>
  <c r="I264" i="32"/>
  <c r="I265" i="32"/>
  <c r="I266" i="32"/>
  <c r="I267" i="32"/>
  <c r="I268" i="32"/>
  <c r="I269" i="32"/>
  <c r="I270" i="32"/>
  <c r="I271" i="32"/>
  <c r="I272" i="32"/>
  <c r="I273" i="32"/>
  <c r="I274" i="32"/>
  <c r="I275" i="32"/>
  <c r="I276" i="32"/>
  <c r="I277" i="32"/>
  <c r="I278" i="32"/>
  <c r="I279" i="32"/>
  <c r="I280" i="32"/>
  <c r="I281" i="32"/>
  <c r="I282" i="32"/>
  <c r="I283" i="32"/>
  <c r="I284" i="32"/>
  <c r="I285" i="32"/>
  <c r="I286" i="32"/>
  <c r="I287" i="32"/>
  <c r="I288" i="32"/>
  <c r="I289" i="32"/>
  <c r="I290" i="32"/>
  <c r="I291" i="32"/>
  <c r="I292" i="32"/>
  <c r="I293" i="32"/>
  <c r="I294" i="32"/>
  <c r="I295" i="32"/>
  <c r="I296" i="32"/>
  <c r="I297" i="32"/>
  <c r="I298" i="32"/>
  <c r="I299" i="32"/>
  <c r="I300" i="32"/>
  <c r="I301" i="32"/>
  <c r="I302" i="32"/>
  <c r="I303" i="32"/>
  <c r="I304" i="32"/>
  <c r="I305" i="32"/>
  <c r="I306" i="32"/>
  <c r="I307" i="32"/>
  <c r="I308" i="32"/>
  <c r="I309" i="32"/>
  <c r="I310" i="32"/>
  <c r="I311" i="32"/>
  <c r="I312" i="32"/>
  <c r="I313" i="32"/>
  <c r="I314" i="32"/>
  <c r="I315" i="32"/>
  <c r="I316" i="32"/>
  <c r="I317" i="32"/>
  <c r="I318" i="32"/>
  <c r="I319" i="32"/>
  <c r="I320" i="32"/>
  <c r="I321" i="32"/>
  <c r="I322" i="32"/>
  <c r="I323" i="32"/>
  <c r="I324" i="32"/>
  <c r="I325" i="32"/>
  <c r="I326" i="32"/>
  <c r="I327" i="32"/>
  <c r="I328" i="32"/>
  <c r="I329" i="32"/>
  <c r="I330" i="32"/>
  <c r="I331" i="32"/>
  <c r="I332" i="32"/>
  <c r="I333" i="32"/>
  <c r="I334" i="32"/>
  <c r="I335" i="32"/>
  <c r="I336" i="32"/>
  <c r="I337" i="32"/>
  <c r="I338" i="32"/>
  <c r="I339" i="32"/>
  <c r="I340" i="32"/>
  <c r="I341" i="32"/>
  <c r="I342" i="32"/>
  <c r="I343" i="32"/>
  <c r="I344" i="32"/>
  <c r="I345" i="32"/>
  <c r="I346" i="32"/>
  <c r="I347" i="32"/>
  <c r="I348" i="32"/>
  <c r="I349" i="32"/>
  <c r="I350" i="32"/>
  <c r="I351" i="32"/>
  <c r="I352" i="32"/>
  <c r="I353" i="32"/>
  <c r="I354" i="32"/>
  <c r="I355" i="32"/>
  <c r="I356" i="32"/>
  <c r="I357" i="32"/>
  <c r="I358" i="32"/>
  <c r="I359" i="32"/>
  <c r="I360" i="32"/>
  <c r="I361" i="32"/>
  <c r="I362" i="32"/>
  <c r="I363" i="32"/>
  <c r="I364" i="32"/>
  <c r="I365" i="32"/>
  <c r="I366" i="32"/>
  <c r="I367" i="32"/>
  <c r="I368" i="32"/>
  <c r="I369" i="32"/>
  <c r="I370" i="32"/>
  <c r="I371" i="32"/>
  <c r="I372" i="32"/>
  <c r="I373" i="32"/>
  <c r="I374" i="32"/>
  <c r="I375" i="32"/>
  <c r="I376" i="32"/>
  <c r="I377" i="32"/>
  <c r="I378" i="32"/>
  <c r="I379" i="32"/>
  <c r="I380" i="32"/>
  <c r="I381" i="32"/>
  <c r="I382" i="32"/>
  <c r="I383" i="32"/>
  <c r="I384" i="32"/>
  <c r="I385" i="32"/>
  <c r="I386" i="32"/>
  <c r="I387" i="32"/>
  <c r="I388" i="32"/>
  <c r="I389" i="32"/>
  <c r="I390" i="32"/>
  <c r="I391" i="32"/>
  <c r="I392" i="32"/>
  <c r="I393" i="32"/>
  <c r="I394" i="32"/>
  <c r="I395" i="32"/>
  <c r="I396" i="32"/>
  <c r="I397" i="32"/>
  <c r="I398" i="32"/>
  <c r="I399" i="32"/>
  <c r="I400" i="32"/>
  <c r="I401" i="32"/>
  <c r="I402" i="32"/>
  <c r="I403" i="32"/>
  <c r="I404" i="32"/>
  <c r="I405" i="32"/>
  <c r="I406" i="32"/>
  <c r="I407" i="32"/>
  <c r="I408" i="32"/>
  <c r="I409" i="32"/>
  <c r="I410" i="32"/>
  <c r="I411" i="32"/>
  <c r="I412" i="32"/>
  <c r="I413" i="32"/>
  <c r="I414" i="32"/>
  <c r="I415" i="32"/>
  <c r="I416" i="32"/>
  <c r="I417" i="32"/>
  <c r="I418" i="32"/>
  <c r="I419" i="32"/>
  <c r="I420" i="32"/>
  <c r="I421" i="32"/>
  <c r="I422" i="32"/>
  <c r="I423" i="32"/>
  <c r="I424" i="32"/>
  <c r="I425" i="32"/>
  <c r="I426" i="32"/>
  <c r="I427" i="32"/>
  <c r="I428" i="32"/>
  <c r="I429" i="32"/>
  <c r="I430" i="32"/>
  <c r="I431" i="32"/>
  <c r="I432" i="32"/>
  <c r="I433" i="32"/>
  <c r="I434" i="32"/>
  <c r="I435" i="32"/>
  <c r="I436" i="32"/>
  <c r="I437" i="32"/>
  <c r="I438" i="32"/>
  <c r="I439" i="32"/>
  <c r="I440" i="32"/>
  <c r="I441" i="32"/>
  <c r="I442" i="32"/>
  <c r="I443" i="32"/>
  <c r="I444" i="32"/>
  <c r="I445" i="32"/>
  <c r="I446" i="32"/>
  <c r="I447" i="32"/>
  <c r="I448" i="32"/>
  <c r="I449" i="32"/>
  <c r="I450" i="32"/>
  <c r="I451" i="32"/>
  <c r="I452" i="32"/>
  <c r="I453" i="32"/>
  <c r="I454" i="32"/>
  <c r="I4" i="32"/>
  <c r="B5" i="32"/>
  <c r="B4" i="32"/>
  <c r="B6" i="32"/>
  <c r="B7" i="32"/>
  <c r="B8" i="32"/>
  <c r="B9" i="32"/>
  <c r="B10" i="32"/>
  <c r="B11" i="32"/>
  <c r="B12" i="32"/>
  <c r="B13" i="32"/>
  <c r="B14" i="32"/>
  <c r="B15" i="32"/>
  <c r="B16" i="32"/>
  <c r="B17" i="32"/>
  <c r="B18" i="32"/>
  <c r="B19" i="32"/>
  <c r="B20" i="32"/>
  <c r="B21" i="32"/>
  <c r="B22" i="32"/>
  <c r="B23" i="32"/>
  <c r="B24" i="32"/>
  <c r="B25" i="32"/>
  <c r="B26" i="32"/>
  <c r="B27" i="32"/>
  <c r="B28" i="32"/>
  <c r="B29" i="32"/>
  <c r="B30" i="32"/>
  <c r="B31" i="32"/>
  <c r="B32" i="32"/>
  <c r="B33" i="32"/>
  <c r="B34" i="32"/>
  <c r="B35" i="32"/>
  <c r="B36" i="32"/>
  <c r="B37" i="32"/>
  <c r="B38" i="32"/>
  <c r="B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79" i="32"/>
  <c r="B80" i="32"/>
  <c r="B81" i="32"/>
  <c r="J80" i="31"/>
  <c r="H154" i="40"/>
  <c r="B82" i="32"/>
  <c r="B83" i="32"/>
  <c r="B84" i="32"/>
  <c r="B85" i="32"/>
  <c r="B86" i="32"/>
  <c r="B87" i="32"/>
  <c r="B88" i="32"/>
  <c r="B89" i="32"/>
  <c r="B90" i="32"/>
  <c r="B91" i="32"/>
  <c r="B92" i="32"/>
  <c r="B93" i="32"/>
  <c r="B94" i="32"/>
  <c r="B95" i="32"/>
  <c r="B96" i="32"/>
  <c r="B97" i="32"/>
  <c r="B98" i="32"/>
  <c r="B99" i="32"/>
  <c r="B100" i="32"/>
  <c r="B101" i="32"/>
  <c r="B102" i="32"/>
  <c r="B103" i="32"/>
  <c r="B104" i="32"/>
  <c r="B105" i="32"/>
  <c r="B106" i="32"/>
  <c r="B107" i="32"/>
  <c r="B108" i="32"/>
  <c r="B109" i="32"/>
  <c r="B110" i="32"/>
  <c r="B111" i="32"/>
  <c r="B112" i="32"/>
  <c r="B113" i="32"/>
  <c r="B114" i="32"/>
  <c r="B115" i="32"/>
  <c r="B116" i="32"/>
  <c r="B117" i="32"/>
  <c r="B118" i="32"/>
  <c r="B119" i="32"/>
  <c r="B120" i="32"/>
  <c r="B121" i="32"/>
  <c r="B122" i="32"/>
  <c r="B123" i="32"/>
  <c r="B124" i="32"/>
  <c r="B125" i="32"/>
  <c r="B126" i="32"/>
  <c r="B127" i="32"/>
  <c r="B128" i="32"/>
  <c r="B129" i="32"/>
  <c r="B130" i="32"/>
  <c r="B131" i="32"/>
  <c r="B132" i="32"/>
  <c r="B133" i="32"/>
  <c r="B134" i="32"/>
  <c r="B135" i="32"/>
  <c r="B136" i="32"/>
  <c r="B137" i="32"/>
  <c r="B138" i="32"/>
  <c r="B139" i="32"/>
  <c r="B140" i="32"/>
  <c r="B141" i="32"/>
  <c r="J140" i="31"/>
  <c r="H214" i="40"/>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1"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B226" i="32"/>
  <c r="B227" i="32"/>
  <c r="B228" i="32"/>
  <c r="B229" i="32"/>
  <c r="B230" i="32"/>
  <c r="B231" i="32"/>
  <c r="B232" i="32"/>
  <c r="B233" i="32"/>
  <c r="B234" i="32"/>
  <c r="B235" i="32"/>
  <c r="B236" i="32"/>
  <c r="B237" i="32"/>
  <c r="B238" i="32"/>
  <c r="B239" i="32"/>
  <c r="B240" i="32"/>
  <c r="B241" i="32"/>
  <c r="B242" i="32"/>
  <c r="B243" i="32"/>
  <c r="B244" i="32"/>
  <c r="B245" i="32"/>
  <c r="B246" i="32"/>
  <c r="B247" i="32"/>
  <c r="B248" i="32"/>
  <c r="B249" i="32"/>
  <c r="B250" i="32"/>
  <c r="B251" i="32"/>
  <c r="B252" i="32"/>
  <c r="B253" i="32"/>
  <c r="B254" i="32"/>
  <c r="B255" i="32"/>
  <c r="B256" i="32"/>
  <c r="B257" i="32"/>
  <c r="B258" i="32"/>
  <c r="B259" i="32"/>
  <c r="B260" i="32"/>
  <c r="B261" i="32"/>
  <c r="B262" i="32"/>
  <c r="B263" i="32"/>
  <c r="B264" i="32"/>
  <c r="B265" i="32"/>
  <c r="B266" i="32"/>
  <c r="B267" i="32"/>
  <c r="B268" i="32"/>
  <c r="B269" i="32"/>
  <c r="B270" i="32"/>
  <c r="B271" i="32"/>
  <c r="B272" i="32"/>
  <c r="B273" i="32"/>
  <c r="B274" i="32"/>
  <c r="B275" i="32"/>
  <c r="B276" i="32"/>
  <c r="B277" i="32"/>
  <c r="B278" i="32"/>
  <c r="B279" i="32"/>
  <c r="B280" i="32"/>
  <c r="B281" i="32"/>
  <c r="B282" i="32"/>
  <c r="B283" i="32"/>
  <c r="B284" i="32"/>
  <c r="B285" i="32"/>
  <c r="B286" i="32"/>
  <c r="B287" i="32"/>
  <c r="B288" i="32"/>
  <c r="B289" i="32"/>
  <c r="B290" i="32"/>
  <c r="B291" i="32"/>
  <c r="B292" i="32"/>
  <c r="B293" i="32"/>
  <c r="B294" i="32"/>
  <c r="B295" i="32"/>
  <c r="B296" i="32"/>
  <c r="B297" i="32"/>
  <c r="B298" i="32"/>
  <c r="B299" i="32"/>
  <c r="B300" i="32"/>
  <c r="B301" i="32"/>
  <c r="B302" i="32"/>
  <c r="B303" i="32"/>
  <c r="B304" i="32"/>
  <c r="B305" i="32"/>
  <c r="B306" i="32"/>
  <c r="B307" i="32"/>
  <c r="B308" i="32"/>
  <c r="B309" i="32"/>
  <c r="B310" i="32"/>
  <c r="B311" i="32"/>
  <c r="B312" i="32"/>
  <c r="B313" i="32"/>
  <c r="B314" i="32"/>
  <c r="B315" i="32"/>
  <c r="B316" i="32"/>
  <c r="B317" i="32"/>
  <c r="B318" i="32"/>
  <c r="B319" i="32"/>
  <c r="B320" i="32"/>
  <c r="B321" i="32"/>
  <c r="B322" i="32"/>
  <c r="B323" i="32"/>
  <c r="B324" i="32"/>
  <c r="B325" i="32"/>
  <c r="B326" i="32"/>
  <c r="B327" i="32"/>
  <c r="B328" i="32"/>
  <c r="B329" i="32"/>
  <c r="B330" i="32"/>
  <c r="B331" i="32"/>
  <c r="B332" i="32"/>
  <c r="B333" i="32"/>
  <c r="B334" i="32"/>
  <c r="B335" i="32"/>
  <c r="B336" i="32"/>
  <c r="B337" i="32"/>
  <c r="B338" i="32"/>
  <c r="B339" i="32"/>
  <c r="B340" i="32"/>
  <c r="B341" i="32"/>
  <c r="B342" i="32"/>
  <c r="B343" i="32"/>
  <c r="B344" i="32"/>
  <c r="B345" i="32"/>
  <c r="B346" i="32"/>
  <c r="B347" i="32"/>
  <c r="B348" i="32"/>
  <c r="B349" i="32"/>
  <c r="B350" i="32"/>
  <c r="B351" i="32"/>
  <c r="B352" i="32"/>
  <c r="B353" i="32"/>
  <c r="B354" i="32"/>
  <c r="B355" i="32"/>
  <c r="B356" i="32"/>
  <c r="B357" i="32"/>
  <c r="B358" i="32"/>
  <c r="B359" i="32"/>
  <c r="B360" i="32"/>
  <c r="B361" i="32"/>
  <c r="B362" i="32"/>
  <c r="B363" i="32"/>
  <c r="B364" i="32"/>
  <c r="B365" i="32"/>
  <c r="B366" i="32"/>
  <c r="B367" i="32"/>
  <c r="B368" i="32"/>
  <c r="B369" i="32"/>
  <c r="B370" i="32"/>
  <c r="B371" i="32"/>
  <c r="B372" i="32"/>
  <c r="B373" i="32"/>
  <c r="B374" i="32"/>
  <c r="B375" i="32"/>
  <c r="B376" i="32"/>
  <c r="B377" i="32"/>
  <c r="B378" i="32"/>
  <c r="B379" i="32"/>
  <c r="B380" i="32"/>
  <c r="B381" i="32"/>
  <c r="B382" i="32"/>
  <c r="B383" i="32"/>
  <c r="B384" i="32"/>
  <c r="B385" i="32"/>
  <c r="B386" i="32"/>
  <c r="B387" i="32"/>
  <c r="B388" i="32"/>
  <c r="B389" i="32"/>
  <c r="B390" i="32"/>
  <c r="B391" i="32"/>
  <c r="B392" i="32"/>
  <c r="B393" i="32"/>
  <c r="B394" i="32"/>
  <c r="B395" i="32"/>
  <c r="B396" i="32"/>
  <c r="B397" i="32"/>
  <c r="B398" i="32"/>
  <c r="B399" i="32"/>
  <c r="B400" i="32"/>
  <c r="B401" i="32"/>
  <c r="B402" i="32"/>
  <c r="B403" i="32"/>
  <c r="B404" i="32"/>
  <c r="B405" i="32"/>
  <c r="B406" i="32"/>
  <c r="B407" i="32"/>
  <c r="B408" i="32"/>
  <c r="B409" i="32"/>
  <c r="B410" i="32"/>
  <c r="B411" i="32"/>
  <c r="B412" i="32"/>
  <c r="B413" i="32"/>
  <c r="B414" i="32"/>
  <c r="B415" i="32"/>
  <c r="B416" i="32"/>
  <c r="B417" i="32"/>
  <c r="B418" i="32"/>
  <c r="B419" i="32"/>
  <c r="B420" i="32"/>
  <c r="B421" i="32"/>
  <c r="B422" i="32"/>
  <c r="B423" i="32"/>
  <c r="B424" i="32"/>
  <c r="B425" i="32"/>
  <c r="B426" i="32"/>
  <c r="B427" i="32"/>
  <c r="B428" i="32"/>
  <c r="B429" i="32"/>
  <c r="B430" i="32"/>
  <c r="B431" i="32"/>
  <c r="B432" i="32"/>
  <c r="B433" i="32"/>
  <c r="B434" i="32"/>
  <c r="B435" i="32"/>
  <c r="B436" i="32"/>
  <c r="B437" i="32"/>
  <c r="B438" i="32"/>
  <c r="B439" i="32"/>
  <c r="B440" i="32"/>
  <c r="B441" i="32"/>
  <c r="B442" i="32"/>
  <c r="B443" i="32"/>
  <c r="B444" i="32"/>
  <c r="B445" i="32"/>
  <c r="B446" i="32"/>
  <c r="B447" i="32"/>
  <c r="B448" i="32"/>
  <c r="B449" i="32"/>
  <c r="B450" i="32"/>
  <c r="B451" i="32"/>
  <c r="B452" i="32"/>
  <c r="B453" i="32"/>
  <c r="B454" i="32"/>
  <c r="B455" i="32"/>
  <c r="B456" i="32"/>
  <c r="B457" i="32"/>
  <c r="B458" i="32"/>
  <c r="B459" i="32"/>
  <c r="B460" i="32"/>
  <c r="B461" i="32"/>
  <c r="B462" i="32"/>
  <c r="B463" i="32"/>
  <c r="B464" i="32"/>
  <c r="B465" i="32"/>
  <c r="B466" i="32"/>
  <c r="B467" i="32"/>
  <c r="B468" i="32"/>
  <c r="B469" i="32"/>
  <c r="B470" i="32"/>
  <c r="B471" i="32"/>
  <c r="B472" i="32"/>
  <c r="B473" i="32"/>
  <c r="B474" i="32"/>
  <c r="B475" i="32"/>
  <c r="B476" i="32"/>
  <c r="B477" i="32"/>
  <c r="B478" i="32"/>
  <c r="B479" i="32"/>
  <c r="B480" i="32"/>
  <c r="B481" i="32"/>
  <c r="B482" i="32"/>
  <c r="B483" i="32"/>
  <c r="B484" i="32"/>
  <c r="B485" i="32"/>
  <c r="B486" i="32"/>
  <c r="B487" i="32"/>
  <c r="B488" i="32"/>
  <c r="B489" i="32"/>
  <c r="B490" i="32"/>
  <c r="B491" i="32"/>
  <c r="B492" i="32"/>
  <c r="B493" i="32"/>
  <c r="B494" i="32"/>
  <c r="B495" i="32"/>
  <c r="B496" i="32"/>
  <c r="B497" i="32"/>
  <c r="B498" i="32"/>
  <c r="B499" i="32"/>
  <c r="B500" i="32"/>
  <c r="B501" i="32"/>
  <c r="B502" i="32"/>
  <c r="B503" i="32"/>
  <c r="B504" i="32"/>
  <c r="B505" i="32"/>
  <c r="B506" i="32"/>
  <c r="B507" i="32"/>
  <c r="B508" i="32"/>
  <c r="B509" i="32"/>
  <c r="B510" i="32"/>
  <c r="B511" i="32"/>
  <c r="B512" i="32"/>
  <c r="B513" i="32"/>
  <c r="B514" i="32"/>
  <c r="B515" i="32"/>
  <c r="B516" i="32"/>
  <c r="B517" i="32"/>
  <c r="B518" i="32"/>
  <c r="B519" i="32"/>
  <c r="B520" i="32"/>
  <c r="B521" i="32"/>
  <c r="B522" i="32"/>
  <c r="B523" i="32"/>
  <c r="B524" i="32"/>
  <c r="B525" i="32"/>
  <c r="B526" i="32"/>
  <c r="B527" i="32"/>
  <c r="B528" i="32"/>
  <c r="B529" i="32"/>
  <c r="B530" i="32"/>
  <c r="B531" i="32"/>
  <c r="B532" i="32"/>
  <c r="B533" i="32"/>
  <c r="B534" i="32"/>
  <c r="B535" i="32"/>
  <c r="B536" i="32"/>
  <c r="B537" i="32"/>
  <c r="B538" i="32"/>
  <c r="B539" i="32"/>
  <c r="B540" i="32"/>
  <c r="B541" i="32"/>
  <c r="B542" i="32"/>
  <c r="B543" i="32"/>
  <c r="B544" i="32"/>
  <c r="B545" i="32"/>
  <c r="B546" i="32"/>
  <c r="B547" i="32"/>
  <c r="B548" i="32"/>
  <c r="B549" i="32"/>
  <c r="B550" i="32"/>
  <c r="B551" i="32"/>
  <c r="B552" i="32"/>
  <c r="B553" i="32"/>
  <c r="B554" i="32"/>
  <c r="B555" i="32"/>
  <c r="B556" i="32"/>
  <c r="B557" i="32"/>
  <c r="B558" i="32"/>
  <c r="B559" i="32"/>
  <c r="B560" i="32"/>
  <c r="B561" i="32"/>
  <c r="B562" i="32"/>
  <c r="B563" i="32"/>
  <c r="B564" i="32"/>
  <c r="B565" i="32"/>
  <c r="B566" i="32"/>
  <c r="B567" i="32"/>
  <c r="B568" i="32"/>
  <c r="B569" i="32"/>
  <c r="B570" i="32"/>
  <c r="B571" i="32"/>
  <c r="B572" i="32"/>
  <c r="B573" i="32"/>
  <c r="B574" i="32"/>
  <c r="B575" i="32"/>
  <c r="B576" i="32"/>
  <c r="B577" i="32"/>
  <c r="B578" i="32"/>
  <c r="B579" i="32"/>
  <c r="B580" i="32"/>
  <c r="B581" i="32"/>
  <c r="B582" i="32"/>
  <c r="B583" i="32"/>
  <c r="B584" i="32"/>
  <c r="B585" i="32"/>
  <c r="B586" i="32"/>
  <c r="B587" i="32"/>
  <c r="B588" i="32"/>
  <c r="B589" i="32"/>
  <c r="B590" i="32"/>
  <c r="B591" i="32"/>
  <c r="B592" i="32"/>
  <c r="B593" i="32"/>
  <c r="B594" i="32"/>
  <c r="B595" i="32"/>
  <c r="B596" i="32"/>
  <c r="B597" i="32"/>
  <c r="B598" i="32"/>
  <c r="B599" i="32"/>
  <c r="B600" i="32"/>
  <c r="B601" i="32"/>
  <c r="B602" i="32"/>
  <c r="B603" i="32"/>
  <c r="B604" i="32"/>
  <c r="B605" i="32"/>
  <c r="B606" i="32"/>
  <c r="B607" i="32"/>
  <c r="B608" i="32"/>
  <c r="B609" i="32"/>
  <c r="B610" i="32"/>
  <c r="B611" i="32"/>
  <c r="B612" i="32"/>
  <c r="B613" i="32"/>
  <c r="B614" i="32"/>
  <c r="B615" i="32"/>
  <c r="B616" i="32"/>
  <c r="B617" i="32"/>
  <c r="B618" i="32"/>
  <c r="B619" i="32"/>
  <c r="B620" i="32"/>
  <c r="B621" i="32"/>
  <c r="B622" i="32"/>
  <c r="B623" i="32"/>
  <c r="B624" i="32"/>
  <c r="B625" i="32"/>
  <c r="B626" i="32"/>
  <c r="B627" i="32"/>
  <c r="B628" i="32"/>
  <c r="B629" i="32"/>
  <c r="B630" i="32"/>
  <c r="B631" i="32"/>
  <c r="B632" i="32"/>
  <c r="B633" i="32"/>
  <c r="B634" i="32"/>
  <c r="B635" i="32"/>
  <c r="B636" i="32"/>
  <c r="B637" i="32"/>
  <c r="B638" i="32"/>
  <c r="B639" i="32"/>
  <c r="B640" i="32"/>
  <c r="B641" i="32"/>
  <c r="B642" i="32"/>
  <c r="B643" i="32"/>
  <c r="B644" i="32"/>
  <c r="B645" i="32"/>
  <c r="B646" i="32"/>
  <c r="B647" i="32"/>
  <c r="B648" i="32"/>
  <c r="B649" i="32"/>
  <c r="B650" i="32"/>
  <c r="B651" i="32"/>
  <c r="B652" i="32"/>
  <c r="B653" i="32"/>
  <c r="B654" i="32"/>
  <c r="B655" i="32"/>
  <c r="B656" i="32"/>
  <c r="B657" i="32"/>
  <c r="B658" i="32"/>
  <c r="B659" i="32"/>
  <c r="B660" i="32"/>
  <c r="B661" i="32"/>
  <c r="B662"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D650" i="32"/>
  <c r="D651" i="32"/>
  <c r="D652" i="32"/>
  <c r="D653" i="32"/>
  <c r="D654" i="32"/>
  <c r="D655" i="32"/>
  <c r="D656" i="32"/>
  <c r="D657" i="32"/>
  <c r="D658" i="32"/>
  <c r="D659" i="32"/>
  <c r="D660" i="32"/>
  <c r="D661" i="32"/>
  <c r="D662" i="32"/>
  <c r="D4" i="32"/>
  <c r="J77" i="42"/>
  <c r="L77" i="42"/>
  <c r="J78" i="42"/>
  <c r="L78" i="42"/>
  <c r="J79" i="42"/>
  <c r="L79" i="42"/>
  <c r="J80" i="42"/>
  <c r="L80" i="42"/>
  <c r="J81" i="42"/>
  <c r="L81" i="42"/>
  <c r="J82" i="42"/>
  <c r="L82" i="42"/>
  <c r="J83" i="42"/>
  <c r="L83" i="42"/>
  <c r="J84" i="42"/>
  <c r="L84" i="42"/>
  <c r="J85" i="42"/>
  <c r="L85" i="42"/>
  <c r="J86" i="42"/>
  <c r="L86" i="42"/>
  <c r="J87" i="42"/>
  <c r="L87" i="42"/>
  <c r="J88" i="42"/>
  <c r="L88" i="42"/>
  <c r="J89" i="42"/>
  <c r="L89" i="42"/>
  <c r="J90" i="42"/>
  <c r="L90" i="42"/>
  <c r="J91" i="42"/>
  <c r="L91" i="42"/>
  <c r="J92" i="42"/>
  <c r="L92" i="42"/>
  <c r="J93" i="42"/>
  <c r="L93" i="42"/>
  <c r="J94" i="42"/>
  <c r="L94" i="42"/>
  <c r="J95" i="42"/>
  <c r="L95" i="42"/>
  <c r="J96" i="42"/>
  <c r="L96" i="42"/>
  <c r="J97" i="42"/>
  <c r="L97" i="42"/>
  <c r="J98" i="42"/>
  <c r="L98" i="42"/>
  <c r="J99" i="42"/>
  <c r="L99" i="42"/>
  <c r="J100" i="42"/>
  <c r="L100" i="42"/>
  <c r="J101" i="42"/>
  <c r="L101" i="42"/>
  <c r="J102" i="42"/>
  <c r="L102" i="42"/>
  <c r="J103" i="42"/>
  <c r="L103" i="42"/>
  <c r="J104" i="42"/>
  <c r="L104" i="42"/>
  <c r="J105" i="42"/>
  <c r="L105" i="42"/>
  <c r="J106" i="42"/>
  <c r="L106" i="42"/>
  <c r="J107" i="42"/>
  <c r="L107" i="42"/>
  <c r="J108" i="42"/>
  <c r="L108" i="42"/>
  <c r="J109" i="42"/>
  <c r="L109" i="42"/>
  <c r="J110" i="42"/>
  <c r="L110" i="42"/>
  <c r="J111" i="42"/>
  <c r="L111" i="42"/>
  <c r="J112" i="42"/>
  <c r="L112" i="42"/>
  <c r="J113" i="42"/>
  <c r="L113" i="42"/>
  <c r="J114" i="42"/>
  <c r="L114" i="42"/>
  <c r="J115" i="42"/>
  <c r="L115" i="42"/>
  <c r="J116" i="42"/>
  <c r="L116" i="42"/>
  <c r="J117" i="42"/>
  <c r="L117" i="42"/>
  <c r="J118" i="42"/>
  <c r="L118" i="42"/>
  <c r="J119" i="42"/>
  <c r="L119" i="42"/>
  <c r="J120" i="42"/>
  <c r="L120" i="42"/>
  <c r="J121" i="42"/>
  <c r="L121" i="42"/>
  <c r="J122" i="42"/>
  <c r="L122" i="42"/>
  <c r="J123" i="42"/>
  <c r="L123" i="42"/>
  <c r="J124" i="42"/>
  <c r="L124" i="42"/>
  <c r="J125" i="42"/>
  <c r="L125" i="42"/>
  <c r="J126" i="42"/>
  <c r="L126" i="42"/>
  <c r="J127" i="42"/>
  <c r="L127" i="42"/>
  <c r="J128" i="42"/>
  <c r="L128" i="42"/>
  <c r="J129" i="42"/>
  <c r="L129" i="42"/>
  <c r="J130" i="42"/>
  <c r="L130" i="42"/>
  <c r="J131" i="42"/>
  <c r="L131" i="42"/>
  <c r="J132" i="42"/>
  <c r="L132" i="42"/>
  <c r="J133" i="42"/>
  <c r="L133" i="42"/>
  <c r="J134" i="42"/>
  <c r="L134" i="42"/>
  <c r="J135" i="42"/>
  <c r="L135" i="42"/>
  <c r="J136" i="42"/>
  <c r="L136" i="42"/>
  <c r="J137" i="42"/>
  <c r="L137" i="42"/>
  <c r="J138" i="42"/>
  <c r="L138" i="42"/>
  <c r="J139" i="42"/>
  <c r="L139" i="42"/>
  <c r="J140" i="42"/>
  <c r="L140" i="42"/>
  <c r="J141" i="42"/>
  <c r="L141" i="42"/>
  <c r="J142" i="42"/>
  <c r="L142" i="42"/>
  <c r="J143" i="42"/>
  <c r="L143" i="42"/>
  <c r="J144" i="42"/>
  <c r="L144" i="42"/>
  <c r="J145" i="42"/>
  <c r="L145" i="42"/>
  <c r="J146" i="42"/>
  <c r="L146" i="42"/>
  <c r="J147" i="42"/>
  <c r="L147" i="42"/>
  <c r="J148" i="42"/>
  <c r="L148" i="42"/>
  <c r="J149" i="42"/>
  <c r="L149" i="42"/>
  <c r="J150" i="42"/>
  <c r="L150" i="42"/>
  <c r="J151" i="42"/>
  <c r="L151" i="42"/>
  <c r="J152" i="42"/>
  <c r="L152" i="42"/>
  <c r="J153" i="42"/>
  <c r="L153" i="42"/>
  <c r="H154" i="42"/>
  <c r="J154" i="42"/>
  <c r="L154" i="42"/>
  <c r="J155" i="42"/>
  <c r="L155" i="42"/>
  <c r="J156" i="42"/>
  <c r="L156" i="42"/>
  <c r="J157" i="42"/>
  <c r="L157" i="42"/>
  <c r="J158" i="42"/>
  <c r="L158" i="42"/>
  <c r="J159" i="42"/>
  <c r="L159" i="42"/>
  <c r="J160" i="42"/>
  <c r="L160" i="42"/>
  <c r="J161" i="42"/>
  <c r="L161" i="42"/>
  <c r="J162" i="42"/>
  <c r="L162" i="42"/>
  <c r="J163" i="42"/>
  <c r="L163" i="42"/>
  <c r="J164" i="42"/>
  <c r="L164" i="42"/>
  <c r="J165" i="42"/>
  <c r="L165" i="42"/>
  <c r="J166" i="42"/>
  <c r="L166" i="42"/>
  <c r="J167" i="42"/>
  <c r="L167" i="42"/>
  <c r="J168" i="42"/>
  <c r="L168" i="42"/>
  <c r="J169" i="42"/>
  <c r="L169" i="42"/>
  <c r="J170" i="42"/>
  <c r="L170" i="42"/>
  <c r="J171" i="42"/>
  <c r="L171" i="42"/>
  <c r="J172" i="42"/>
  <c r="L172" i="42"/>
  <c r="J173" i="42"/>
  <c r="L173" i="42"/>
  <c r="J174" i="42"/>
  <c r="L174" i="42"/>
  <c r="J175" i="42"/>
  <c r="L175" i="42"/>
  <c r="J176" i="42"/>
  <c r="L176" i="42"/>
  <c r="J177" i="42"/>
  <c r="L177" i="42"/>
  <c r="J178" i="42"/>
  <c r="L178" i="42"/>
  <c r="J179" i="42"/>
  <c r="L179" i="42"/>
  <c r="J180" i="42"/>
  <c r="L180" i="42"/>
  <c r="J181" i="42"/>
  <c r="L181" i="42"/>
  <c r="J182" i="42"/>
  <c r="L182" i="42"/>
  <c r="J183" i="42"/>
  <c r="L183" i="42"/>
  <c r="J184" i="42"/>
  <c r="L184" i="42"/>
  <c r="J185" i="42"/>
  <c r="L185" i="42"/>
  <c r="J186" i="42"/>
  <c r="L186" i="42"/>
  <c r="J187" i="42"/>
  <c r="L187" i="42"/>
  <c r="J188" i="42"/>
  <c r="L188" i="42"/>
  <c r="J189" i="42"/>
  <c r="L189" i="42"/>
  <c r="J190" i="42"/>
  <c r="L190" i="42"/>
  <c r="J191" i="42"/>
  <c r="L191" i="42"/>
  <c r="J192" i="42"/>
  <c r="L192" i="42"/>
  <c r="J193" i="42"/>
  <c r="L193" i="42"/>
  <c r="J194" i="42"/>
  <c r="L194" i="42"/>
  <c r="J195" i="42"/>
  <c r="L195" i="42"/>
  <c r="J196" i="42"/>
  <c r="L196" i="42"/>
  <c r="J197" i="42"/>
  <c r="L197" i="42"/>
  <c r="J198" i="42"/>
  <c r="L198" i="42"/>
  <c r="J199" i="42"/>
  <c r="L199" i="42"/>
  <c r="J200" i="42"/>
  <c r="L200" i="42"/>
  <c r="J201" i="42"/>
  <c r="L201" i="42"/>
  <c r="J202" i="42"/>
  <c r="L202" i="42"/>
  <c r="J203" i="42"/>
  <c r="L203" i="42"/>
  <c r="J204" i="42"/>
  <c r="L204" i="42"/>
  <c r="J205" i="42"/>
  <c r="L205" i="42"/>
  <c r="J206" i="42"/>
  <c r="L206" i="42"/>
  <c r="J207" i="42"/>
  <c r="L207" i="42"/>
  <c r="J208" i="42"/>
  <c r="L208" i="42"/>
  <c r="J209" i="42"/>
  <c r="L209" i="42"/>
  <c r="J210" i="42"/>
  <c r="L210" i="42"/>
  <c r="J211" i="42"/>
  <c r="L211" i="42"/>
  <c r="J212" i="42"/>
  <c r="L212" i="42"/>
  <c r="J213" i="42"/>
  <c r="L213" i="42"/>
  <c r="H214" i="42"/>
  <c r="J214" i="42"/>
  <c r="L214" i="42"/>
  <c r="J215" i="42"/>
  <c r="L215" i="42"/>
  <c r="J216" i="42"/>
  <c r="L216" i="42"/>
  <c r="J217" i="42"/>
  <c r="L217" i="42"/>
  <c r="J218" i="42"/>
  <c r="L218" i="42"/>
  <c r="J219" i="42"/>
  <c r="L219" i="42"/>
  <c r="J220" i="42"/>
  <c r="L220" i="42"/>
  <c r="J221" i="42"/>
  <c r="L221" i="42"/>
  <c r="J222" i="42"/>
  <c r="L222" i="42"/>
  <c r="J223" i="42"/>
  <c r="L223" i="42"/>
  <c r="J224" i="42"/>
  <c r="L224" i="42"/>
  <c r="J225" i="42"/>
  <c r="L225" i="42"/>
  <c r="J226" i="42"/>
  <c r="L226" i="42"/>
  <c r="J227" i="42"/>
  <c r="L227" i="42"/>
  <c r="J228" i="42"/>
  <c r="L228" i="42"/>
  <c r="J229" i="42"/>
  <c r="L229" i="42"/>
  <c r="J230" i="42"/>
  <c r="L230" i="42"/>
  <c r="J231" i="42"/>
  <c r="L231" i="42"/>
  <c r="J232" i="42"/>
  <c r="L232" i="42"/>
  <c r="J233" i="42"/>
  <c r="L233" i="42"/>
  <c r="J234" i="42"/>
  <c r="L234" i="42"/>
  <c r="J235" i="42"/>
  <c r="L235" i="42"/>
  <c r="J236" i="42"/>
  <c r="L236" i="42"/>
  <c r="J237" i="42"/>
  <c r="L237" i="42"/>
  <c r="J238" i="42"/>
  <c r="L238" i="42"/>
  <c r="J239" i="42"/>
  <c r="L239" i="42"/>
  <c r="J240" i="42"/>
  <c r="L240" i="42"/>
  <c r="J241" i="42"/>
  <c r="L241" i="42"/>
  <c r="J242" i="42"/>
  <c r="L242" i="42"/>
  <c r="J243" i="42"/>
  <c r="L243" i="42"/>
  <c r="J244" i="42"/>
  <c r="L244" i="42"/>
  <c r="J245" i="42"/>
  <c r="L245" i="42"/>
  <c r="J246" i="42"/>
  <c r="L246" i="42"/>
  <c r="J247" i="42"/>
  <c r="L247" i="42"/>
  <c r="J248" i="42"/>
  <c r="L248" i="42"/>
  <c r="J249" i="42"/>
  <c r="L249" i="42"/>
  <c r="J250" i="42"/>
  <c r="L250" i="42"/>
  <c r="J251" i="42"/>
  <c r="L251" i="42"/>
  <c r="J252" i="42"/>
  <c r="L252" i="42"/>
  <c r="J253" i="42"/>
  <c r="L253" i="42"/>
  <c r="J254" i="42"/>
  <c r="L254" i="42"/>
  <c r="J255" i="42"/>
  <c r="L255" i="42"/>
  <c r="J256" i="42"/>
  <c r="L256" i="42"/>
  <c r="J257" i="42"/>
  <c r="L257" i="42"/>
  <c r="J258" i="42"/>
  <c r="L258" i="42"/>
  <c r="J259" i="42"/>
  <c r="L259" i="42"/>
  <c r="J260" i="42"/>
  <c r="L260" i="42"/>
  <c r="J261" i="42"/>
  <c r="L261" i="42"/>
  <c r="J262" i="42"/>
  <c r="L262" i="42"/>
  <c r="J263" i="42"/>
  <c r="L263" i="42"/>
  <c r="J264" i="42"/>
  <c r="L264" i="42"/>
  <c r="J265" i="42"/>
  <c r="L265" i="42"/>
  <c r="J266" i="42"/>
  <c r="L266" i="42"/>
  <c r="J267" i="42"/>
  <c r="L267" i="42"/>
  <c r="J268" i="42"/>
  <c r="L268" i="42"/>
  <c r="J269" i="42"/>
  <c r="L269" i="42"/>
  <c r="J270" i="42"/>
  <c r="L270" i="42"/>
  <c r="J271" i="42"/>
  <c r="L271" i="42"/>
  <c r="J272" i="42"/>
  <c r="L272" i="42"/>
  <c r="J273" i="42"/>
  <c r="L273" i="42"/>
  <c r="J274" i="42"/>
  <c r="L274" i="42"/>
  <c r="J275" i="42"/>
  <c r="L275" i="42"/>
  <c r="J276" i="42"/>
  <c r="L276" i="42"/>
  <c r="J277" i="42"/>
  <c r="L277" i="42"/>
  <c r="J278" i="42"/>
  <c r="L278" i="42"/>
  <c r="J279" i="42"/>
  <c r="L279" i="42"/>
  <c r="J280" i="42"/>
  <c r="L280" i="42"/>
  <c r="J281" i="42"/>
  <c r="L281" i="42"/>
  <c r="J282" i="42"/>
  <c r="L282" i="42"/>
  <c r="J283" i="42"/>
  <c r="L283" i="42"/>
  <c r="J284" i="42"/>
  <c r="L284" i="42"/>
  <c r="J285" i="42"/>
  <c r="L285" i="42"/>
  <c r="J286" i="42"/>
  <c r="L286" i="42"/>
  <c r="J287" i="42"/>
  <c r="L287" i="42"/>
  <c r="J288" i="42"/>
  <c r="L288" i="42"/>
  <c r="J289" i="42"/>
  <c r="L289" i="42"/>
  <c r="J290" i="42"/>
  <c r="L290" i="42"/>
  <c r="J291" i="42"/>
  <c r="L291" i="42"/>
  <c r="J292" i="42"/>
  <c r="L292" i="42"/>
  <c r="J293" i="42"/>
  <c r="L293" i="42"/>
  <c r="J294" i="42"/>
  <c r="L294" i="42"/>
  <c r="J295" i="42"/>
  <c r="L295" i="42"/>
  <c r="J296" i="42"/>
  <c r="L296" i="42"/>
  <c r="J297" i="42"/>
  <c r="L297" i="42"/>
  <c r="J298" i="42"/>
  <c r="L298" i="42"/>
  <c r="J299" i="42"/>
  <c r="L299" i="42"/>
  <c r="J300" i="42"/>
  <c r="L300" i="42"/>
  <c r="J301" i="42"/>
  <c r="L301" i="42"/>
  <c r="J302" i="42"/>
  <c r="L302" i="42"/>
  <c r="J303" i="42"/>
  <c r="L303" i="42"/>
  <c r="J304" i="42"/>
  <c r="L304" i="42"/>
  <c r="J305" i="42"/>
  <c r="L305" i="42"/>
  <c r="J306" i="42"/>
  <c r="L306" i="42"/>
  <c r="J307" i="42"/>
  <c r="L307" i="42"/>
  <c r="J308" i="42"/>
  <c r="L308" i="42"/>
  <c r="J309" i="42"/>
  <c r="L309" i="42"/>
  <c r="J310" i="42"/>
  <c r="L310" i="42"/>
  <c r="J311" i="42"/>
  <c r="L311" i="42"/>
  <c r="J312" i="42"/>
  <c r="L312" i="42"/>
  <c r="J313" i="42"/>
  <c r="L313" i="42"/>
  <c r="J314" i="42"/>
  <c r="L314" i="42"/>
  <c r="J315" i="42"/>
  <c r="L315" i="42"/>
  <c r="J316" i="42"/>
  <c r="L316" i="42"/>
  <c r="J317" i="42"/>
  <c r="L317" i="42"/>
  <c r="J318" i="42"/>
  <c r="L318" i="42"/>
  <c r="J319" i="42"/>
  <c r="L319" i="42"/>
  <c r="J320" i="42"/>
  <c r="L320" i="42"/>
  <c r="J321" i="42"/>
  <c r="L321" i="42"/>
  <c r="J322" i="42"/>
  <c r="L322" i="42"/>
  <c r="J323" i="42"/>
  <c r="L323" i="42"/>
  <c r="J324" i="42"/>
  <c r="L324" i="42"/>
  <c r="J325" i="42"/>
  <c r="L325" i="42"/>
  <c r="J326" i="42"/>
  <c r="L326" i="42"/>
  <c r="J327" i="42"/>
  <c r="L327" i="42"/>
  <c r="J328" i="42"/>
  <c r="L328" i="42"/>
  <c r="J329" i="42"/>
  <c r="L329" i="42"/>
  <c r="J330" i="42"/>
  <c r="L330" i="42"/>
  <c r="J331" i="42"/>
  <c r="L331" i="42"/>
  <c r="J332" i="42"/>
  <c r="L332" i="42"/>
  <c r="J333" i="42"/>
  <c r="L333" i="42"/>
  <c r="J334" i="42"/>
  <c r="L334" i="42"/>
  <c r="J335" i="42"/>
  <c r="L335" i="42"/>
  <c r="J336" i="42"/>
  <c r="L336" i="42"/>
  <c r="J337" i="42"/>
  <c r="L337" i="42"/>
  <c r="J338" i="42"/>
  <c r="L338" i="42"/>
  <c r="J339" i="42"/>
  <c r="L339" i="42"/>
  <c r="J340" i="42"/>
  <c r="L340" i="42"/>
  <c r="J341" i="42"/>
  <c r="L341" i="42"/>
  <c r="J342" i="42"/>
  <c r="L342" i="42"/>
  <c r="J343" i="42"/>
  <c r="L343" i="42"/>
  <c r="J344" i="42"/>
  <c r="L344" i="42"/>
  <c r="J345" i="42"/>
  <c r="L345" i="42"/>
  <c r="J346" i="42"/>
  <c r="L346" i="42"/>
  <c r="J347" i="42"/>
  <c r="L347" i="42"/>
  <c r="J348" i="42"/>
  <c r="L348" i="42"/>
  <c r="J349" i="42"/>
  <c r="L349" i="42"/>
  <c r="J350" i="42"/>
  <c r="L350" i="42"/>
  <c r="J351" i="42"/>
  <c r="L351" i="42"/>
  <c r="J352" i="42"/>
  <c r="L352" i="42"/>
  <c r="J353" i="42"/>
  <c r="L353" i="42"/>
  <c r="J354" i="42"/>
  <c r="L354" i="42"/>
  <c r="J355" i="42"/>
  <c r="L355" i="42"/>
  <c r="J356" i="42"/>
  <c r="L356" i="42"/>
  <c r="J357" i="42"/>
  <c r="L357" i="42"/>
  <c r="J358" i="42"/>
  <c r="L358" i="42"/>
  <c r="J359" i="42"/>
  <c r="L359" i="42"/>
  <c r="J360" i="42"/>
  <c r="L360" i="42"/>
  <c r="J361" i="42"/>
  <c r="L361" i="42"/>
  <c r="J362" i="42"/>
  <c r="L362" i="42"/>
  <c r="J363" i="42"/>
  <c r="L363" i="42"/>
  <c r="J364" i="42"/>
  <c r="L364" i="42"/>
  <c r="J365" i="42"/>
  <c r="L365" i="42"/>
  <c r="J366" i="42"/>
  <c r="L366" i="42"/>
  <c r="J367" i="42"/>
  <c r="L367" i="42"/>
  <c r="J368" i="42"/>
  <c r="L368" i="42"/>
  <c r="J369" i="42"/>
  <c r="L369" i="42"/>
  <c r="J370" i="42"/>
  <c r="L370" i="42"/>
  <c r="J371" i="42"/>
  <c r="L371" i="42"/>
  <c r="J372" i="42"/>
  <c r="L372" i="42"/>
  <c r="J373" i="42"/>
  <c r="L373" i="42"/>
  <c r="J374" i="42"/>
  <c r="L374" i="42"/>
  <c r="J375" i="42"/>
  <c r="L375" i="42"/>
  <c r="J376" i="42"/>
  <c r="L376" i="42"/>
  <c r="J377" i="42"/>
  <c r="L377" i="42"/>
  <c r="J378" i="42"/>
  <c r="L378" i="42"/>
  <c r="J379" i="42"/>
  <c r="L379" i="42"/>
  <c r="J380" i="42"/>
  <c r="L380" i="42"/>
  <c r="J381" i="42"/>
  <c r="L381" i="42"/>
  <c r="J382" i="42"/>
  <c r="L382" i="42"/>
  <c r="J383" i="42"/>
  <c r="L383" i="42"/>
  <c r="J384" i="42"/>
  <c r="L384" i="42"/>
  <c r="J385" i="42"/>
  <c r="L385" i="42"/>
  <c r="J386" i="42"/>
  <c r="L386" i="42"/>
  <c r="J387" i="42"/>
  <c r="L387" i="42"/>
  <c r="J388" i="42"/>
  <c r="L388" i="42"/>
  <c r="J389" i="42"/>
  <c r="L389" i="42"/>
  <c r="J390" i="42"/>
  <c r="L390" i="42"/>
  <c r="J391" i="42"/>
  <c r="L391" i="42"/>
  <c r="J392" i="42"/>
  <c r="L392" i="42"/>
  <c r="J393" i="42"/>
  <c r="L393" i="42"/>
  <c r="J394" i="42"/>
  <c r="L394" i="42"/>
  <c r="J395" i="42"/>
  <c r="L395" i="42"/>
  <c r="J396" i="42"/>
  <c r="L396" i="42"/>
  <c r="J397" i="42"/>
  <c r="L397" i="42"/>
  <c r="J398" i="42"/>
  <c r="L398" i="42"/>
  <c r="J399" i="42"/>
  <c r="L399" i="42"/>
  <c r="J400" i="42"/>
  <c r="L400" i="42"/>
  <c r="J401" i="42"/>
  <c r="L401" i="42"/>
  <c r="J402" i="42"/>
  <c r="L402" i="42"/>
  <c r="J403" i="42"/>
  <c r="L403" i="42"/>
  <c r="J404" i="42"/>
  <c r="L404" i="42"/>
  <c r="J405" i="42"/>
  <c r="L405" i="42"/>
  <c r="J406" i="42"/>
  <c r="L406" i="42"/>
  <c r="J407" i="42"/>
  <c r="L407" i="42"/>
  <c r="J408" i="42"/>
  <c r="L408" i="42"/>
  <c r="J409" i="42"/>
  <c r="L409" i="42"/>
  <c r="J410" i="42"/>
  <c r="L410" i="42"/>
  <c r="J411" i="42"/>
  <c r="L411" i="42"/>
  <c r="J412" i="42"/>
  <c r="L412" i="42"/>
  <c r="J413" i="42"/>
  <c r="L413" i="42"/>
  <c r="J414" i="42"/>
  <c r="L414" i="42"/>
  <c r="J415" i="42"/>
  <c r="L415" i="42"/>
  <c r="J416" i="42"/>
  <c r="L416" i="42"/>
  <c r="J417" i="42"/>
  <c r="L417" i="42"/>
  <c r="J418" i="42"/>
  <c r="L418" i="42"/>
  <c r="J419" i="42"/>
  <c r="L419" i="42"/>
  <c r="J420" i="42"/>
  <c r="L420" i="42"/>
  <c r="J421" i="42"/>
  <c r="L421" i="42"/>
  <c r="J422" i="42"/>
  <c r="L422" i="42"/>
  <c r="J423" i="42"/>
  <c r="L423" i="42"/>
  <c r="J424" i="42"/>
  <c r="L424" i="42"/>
  <c r="J425" i="42"/>
  <c r="L425" i="42"/>
  <c r="J426" i="42"/>
  <c r="L426" i="42"/>
  <c r="J427" i="42"/>
  <c r="L427" i="42"/>
  <c r="J428" i="42"/>
  <c r="L428" i="42"/>
  <c r="J429" i="42"/>
  <c r="L429" i="42"/>
  <c r="J430" i="42"/>
  <c r="L430" i="42"/>
  <c r="J431" i="42"/>
  <c r="L431" i="42"/>
  <c r="J432" i="42"/>
  <c r="L432" i="42"/>
  <c r="J433" i="42"/>
  <c r="L433" i="42"/>
  <c r="J434" i="42"/>
  <c r="L434" i="42"/>
  <c r="J435" i="42"/>
  <c r="L435" i="42"/>
  <c r="J436" i="42"/>
  <c r="L436" i="42"/>
  <c r="J437" i="42"/>
  <c r="L437" i="42"/>
  <c r="J438" i="42"/>
  <c r="L438" i="42"/>
  <c r="J439" i="42"/>
  <c r="L439" i="42"/>
  <c r="J440" i="42"/>
  <c r="L440" i="42"/>
  <c r="J441" i="42"/>
  <c r="L441" i="42"/>
  <c r="J442" i="42"/>
  <c r="L442" i="42"/>
  <c r="J443" i="42"/>
  <c r="L443" i="42"/>
  <c r="J444" i="42"/>
  <c r="L444" i="42"/>
  <c r="J445" i="42"/>
  <c r="L445" i="42"/>
  <c r="J446" i="42"/>
  <c r="L446" i="42"/>
  <c r="J447" i="42"/>
  <c r="L447" i="42"/>
  <c r="J448" i="42"/>
  <c r="L448" i="42"/>
  <c r="J449" i="42"/>
  <c r="L449" i="42"/>
  <c r="J450" i="42"/>
  <c r="L450" i="42"/>
  <c r="J451" i="42"/>
  <c r="L451" i="42"/>
  <c r="J452" i="42"/>
  <c r="L452" i="42"/>
  <c r="J453" i="42"/>
  <c r="L453" i="42"/>
  <c r="J454" i="42"/>
  <c r="L454" i="42"/>
  <c r="J455" i="42"/>
  <c r="L455" i="42"/>
  <c r="J456" i="42"/>
  <c r="L456" i="42"/>
  <c r="J457" i="42"/>
  <c r="L457" i="42"/>
  <c r="J458" i="42"/>
  <c r="L458" i="42"/>
  <c r="J459" i="42"/>
  <c r="L459" i="42"/>
  <c r="J460" i="42"/>
  <c r="L460" i="42"/>
  <c r="J461" i="42"/>
  <c r="L461" i="42"/>
  <c r="J462" i="42"/>
  <c r="L462" i="42"/>
  <c r="J463" i="42"/>
  <c r="L463" i="42"/>
  <c r="J464" i="42"/>
  <c r="L464" i="42"/>
  <c r="J465" i="42"/>
  <c r="L465" i="42"/>
  <c r="J466" i="42"/>
  <c r="L466" i="42"/>
  <c r="J467" i="42"/>
  <c r="L467" i="42"/>
  <c r="J468" i="42"/>
  <c r="L468" i="42"/>
  <c r="J469" i="42"/>
  <c r="L469" i="42"/>
  <c r="J470" i="42"/>
  <c r="L470" i="42"/>
  <c r="J471" i="42"/>
  <c r="L471" i="42"/>
  <c r="J472" i="42"/>
  <c r="L472" i="42"/>
  <c r="J473" i="42"/>
  <c r="L473" i="42"/>
  <c r="J474" i="42"/>
  <c r="L474" i="42"/>
  <c r="J475" i="42"/>
  <c r="L475" i="42"/>
  <c r="J476" i="42"/>
  <c r="L476" i="42"/>
  <c r="J477" i="42"/>
  <c r="L477" i="42"/>
  <c r="J478" i="42"/>
  <c r="L478" i="42"/>
  <c r="J479" i="42"/>
  <c r="L479" i="42"/>
  <c r="J480" i="42"/>
  <c r="L480" i="42"/>
  <c r="J481" i="42"/>
  <c r="L481" i="42"/>
  <c r="J482" i="42"/>
  <c r="L482" i="42"/>
  <c r="J483" i="42"/>
  <c r="L483" i="42"/>
  <c r="J484" i="42"/>
  <c r="L484" i="42"/>
  <c r="J485" i="42"/>
  <c r="L485" i="42"/>
  <c r="J486" i="42"/>
  <c r="L486" i="42"/>
  <c r="J487" i="42"/>
  <c r="L487" i="42"/>
  <c r="J488" i="42"/>
  <c r="L488" i="42"/>
  <c r="J489" i="42"/>
  <c r="L489" i="42"/>
  <c r="J490" i="42"/>
  <c r="L490" i="42"/>
  <c r="J491" i="42"/>
  <c r="L491" i="42"/>
  <c r="J492" i="42"/>
  <c r="L492" i="42"/>
  <c r="J493" i="42"/>
  <c r="L493" i="42"/>
  <c r="J494" i="42"/>
  <c r="L494" i="42"/>
  <c r="J495" i="42"/>
  <c r="L495" i="42"/>
  <c r="J496" i="42"/>
  <c r="L496" i="42"/>
  <c r="J497" i="42"/>
  <c r="L497" i="42"/>
  <c r="J498" i="42"/>
  <c r="L498" i="42"/>
  <c r="J499" i="42"/>
  <c r="L499" i="42"/>
  <c r="J500" i="42"/>
  <c r="L500" i="42"/>
  <c r="J501" i="42"/>
  <c r="L501" i="42"/>
  <c r="J502" i="42"/>
  <c r="L502" i="42"/>
  <c r="J503" i="42"/>
  <c r="L503" i="42"/>
  <c r="J504" i="42"/>
  <c r="L504" i="42"/>
  <c r="J505" i="42"/>
  <c r="L505" i="42"/>
  <c r="J506" i="42"/>
  <c r="L506" i="42"/>
  <c r="J507" i="42"/>
  <c r="L507" i="42"/>
  <c r="J508" i="42"/>
  <c r="L508" i="42"/>
  <c r="J509" i="42"/>
  <c r="L509" i="42"/>
  <c r="J510" i="42"/>
  <c r="L510" i="42"/>
  <c r="J511" i="42"/>
  <c r="L511" i="42"/>
  <c r="J512" i="42"/>
  <c r="L512" i="42"/>
  <c r="J513" i="42"/>
  <c r="L513" i="42"/>
  <c r="J514" i="42"/>
  <c r="L514" i="42"/>
  <c r="J515" i="42"/>
  <c r="L515" i="42"/>
  <c r="K77" i="42"/>
  <c r="M77" i="42"/>
  <c r="K78" i="42"/>
  <c r="M78" i="42"/>
  <c r="K79" i="42"/>
  <c r="M79" i="42"/>
  <c r="K80" i="42"/>
  <c r="M80" i="42"/>
  <c r="K81" i="42"/>
  <c r="M81" i="42"/>
  <c r="K82" i="42"/>
  <c r="M82" i="42"/>
  <c r="K83" i="42"/>
  <c r="M83" i="42"/>
  <c r="K84" i="42"/>
  <c r="M84" i="42"/>
  <c r="K85" i="42"/>
  <c r="M85" i="42"/>
  <c r="K86" i="42"/>
  <c r="M86" i="42"/>
  <c r="K87" i="42"/>
  <c r="M87" i="42"/>
  <c r="K88" i="42"/>
  <c r="M88" i="42"/>
  <c r="K89" i="42"/>
  <c r="M89" i="42"/>
  <c r="K90" i="42"/>
  <c r="M90" i="42"/>
  <c r="K91" i="42"/>
  <c r="M91" i="42"/>
  <c r="K92" i="42"/>
  <c r="M92" i="42"/>
  <c r="K93" i="42"/>
  <c r="M93" i="42"/>
  <c r="K94" i="42"/>
  <c r="M94" i="42"/>
  <c r="K95" i="42"/>
  <c r="M95" i="42"/>
  <c r="K96" i="42"/>
  <c r="M96" i="42"/>
  <c r="K97" i="42"/>
  <c r="M97" i="42"/>
  <c r="K98" i="42"/>
  <c r="M98" i="42"/>
  <c r="K99" i="42"/>
  <c r="M99" i="42"/>
  <c r="K100" i="42"/>
  <c r="M100" i="42"/>
  <c r="K101" i="42"/>
  <c r="M101" i="42"/>
  <c r="K102" i="42"/>
  <c r="M102" i="42"/>
  <c r="K103" i="42"/>
  <c r="M103" i="42"/>
  <c r="K104" i="42"/>
  <c r="M104" i="42"/>
  <c r="K105" i="42"/>
  <c r="M105" i="42"/>
  <c r="K106" i="42"/>
  <c r="M106" i="42"/>
  <c r="K107" i="42"/>
  <c r="M107" i="42"/>
  <c r="K108" i="42"/>
  <c r="M108" i="42"/>
  <c r="K109" i="42"/>
  <c r="M109" i="42"/>
  <c r="K110" i="42"/>
  <c r="M110" i="42"/>
  <c r="K111" i="42"/>
  <c r="M111" i="42"/>
  <c r="K112" i="42"/>
  <c r="M112" i="42"/>
  <c r="K113" i="42"/>
  <c r="M113" i="42"/>
  <c r="K114" i="42"/>
  <c r="M114" i="42"/>
  <c r="K115" i="42"/>
  <c r="M115" i="42"/>
  <c r="K116" i="42"/>
  <c r="M116" i="42"/>
  <c r="K117" i="42"/>
  <c r="M117" i="42"/>
  <c r="K118" i="42"/>
  <c r="M118" i="42"/>
  <c r="K119" i="42"/>
  <c r="M119" i="42"/>
  <c r="K120" i="42"/>
  <c r="M120" i="42"/>
  <c r="K121" i="42"/>
  <c r="M121" i="42"/>
  <c r="K122" i="42"/>
  <c r="M122" i="42"/>
  <c r="K123" i="42"/>
  <c r="M123" i="42"/>
  <c r="K124" i="42"/>
  <c r="M124" i="42"/>
  <c r="K125" i="42"/>
  <c r="M125" i="42"/>
  <c r="K126" i="42"/>
  <c r="M126" i="42"/>
  <c r="K127" i="42"/>
  <c r="M127" i="42"/>
  <c r="K128" i="42"/>
  <c r="M128" i="42"/>
  <c r="K129" i="42"/>
  <c r="M129" i="42"/>
  <c r="K130" i="42"/>
  <c r="M130" i="42"/>
  <c r="K131" i="42"/>
  <c r="M131" i="42"/>
  <c r="K132" i="42"/>
  <c r="M132" i="42"/>
  <c r="K133" i="42"/>
  <c r="M133" i="42"/>
  <c r="K134" i="42"/>
  <c r="M134" i="42"/>
  <c r="K135" i="42"/>
  <c r="M135" i="42"/>
  <c r="K136" i="42"/>
  <c r="M136" i="42"/>
  <c r="K137" i="42"/>
  <c r="M137" i="42"/>
  <c r="K138" i="42"/>
  <c r="M138" i="42"/>
  <c r="K139" i="42"/>
  <c r="M139" i="42"/>
  <c r="K140" i="42"/>
  <c r="M140" i="42"/>
  <c r="K141" i="42"/>
  <c r="M141" i="42"/>
  <c r="K142" i="42"/>
  <c r="M142" i="42"/>
  <c r="K143" i="42"/>
  <c r="M143" i="42"/>
  <c r="K144" i="42"/>
  <c r="M144" i="42"/>
  <c r="K145" i="42"/>
  <c r="M145" i="42"/>
  <c r="K146" i="42"/>
  <c r="M146" i="42"/>
  <c r="K147" i="42"/>
  <c r="M147" i="42"/>
  <c r="K148" i="42"/>
  <c r="M148" i="42"/>
  <c r="K149" i="42"/>
  <c r="M149" i="42"/>
  <c r="K150" i="42"/>
  <c r="M150" i="42"/>
  <c r="K151" i="42"/>
  <c r="M151" i="42"/>
  <c r="K152" i="42"/>
  <c r="M152" i="42"/>
  <c r="K153" i="42"/>
  <c r="M153" i="42"/>
  <c r="K154" i="42"/>
  <c r="M154" i="42"/>
  <c r="K155" i="42"/>
  <c r="M155" i="42"/>
  <c r="K156" i="42"/>
  <c r="M156" i="42"/>
  <c r="K157" i="42"/>
  <c r="M157" i="42"/>
  <c r="K158" i="42"/>
  <c r="M158" i="42"/>
  <c r="K159" i="42"/>
  <c r="M159" i="42"/>
  <c r="K160" i="42"/>
  <c r="M160" i="42"/>
  <c r="K161" i="42"/>
  <c r="M161" i="42"/>
  <c r="K162" i="42"/>
  <c r="M162" i="42"/>
  <c r="K163" i="42"/>
  <c r="M163" i="42"/>
  <c r="K164" i="42"/>
  <c r="M164" i="42"/>
  <c r="K165" i="42"/>
  <c r="M165" i="42"/>
  <c r="K166" i="42"/>
  <c r="M166" i="42"/>
  <c r="K167" i="42"/>
  <c r="M167" i="42"/>
  <c r="K168" i="42"/>
  <c r="M168" i="42"/>
  <c r="K169" i="42"/>
  <c r="M169" i="42"/>
  <c r="K170" i="42"/>
  <c r="M170" i="42"/>
  <c r="K171" i="42"/>
  <c r="M171" i="42"/>
  <c r="K172" i="42"/>
  <c r="M172" i="42"/>
  <c r="K173" i="42"/>
  <c r="M173" i="42"/>
  <c r="K174" i="42"/>
  <c r="M174" i="42"/>
  <c r="K175" i="42"/>
  <c r="M175" i="42"/>
  <c r="K176" i="42"/>
  <c r="M176" i="42"/>
  <c r="K177" i="42"/>
  <c r="M177" i="42"/>
  <c r="K178" i="42"/>
  <c r="M178" i="42"/>
  <c r="K179" i="42"/>
  <c r="M179" i="42"/>
  <c r="K180" i="42"/>
  <c r="M180" i="42"/>
  <c r="K181" i="42"/>
  <c r="M181" i="42"/>
  <c r="K182" i="42"/>
  <c r="M182" i="42"/>
  <c r="K183" i="42"/>
  <c r="M183" i="42"/>
  <c r="K184" i="42"/>
  <c r="M184" i="42"/>
  <c r="K185" i="42"/>
  <c r="M185" i="42"/>
  <c r="K186" i="42"/>
  <c r="M186" i="42"/>
  <c r="K187" i="42"/>
  <c r="M187" i="42"/>
  <c r="K188" i="42"/>
  <c r="M188" i="42"/>
  <c r="K189" i="42"/>
  <c r="M189" i="42"/>
  <c r="K190" i="42"/>
  <c r="M190" i="42"/>
  <c r="K191" i="42"/>
  <c r="M191" i="42"/>
  <c r="K192" i="42"/>
  <c r="M192" i="42"/>
  <c r="K193" i="42"/>
  <c r="M193" i="42"/>
  <c r="K194" i="42"/>
  <c r="M194" i="42"/>
  <c r="K195" i="42"/>
  <c r="M195" i="42"/>
  <c r="K196" i="42"/>
  <c r="M196" i="42"/>
  <c r="K197" i="42"/>
  <c r="M197" i="42"/>
  <c r="K198" i="42"/>
  <c r="M198" i="42"/>
  <c r="K199" i="42"/>
  <c r="M199" i="42"/>
  <c r="K200" i="42"/>
  <c r="M200" i="42"/>
  <c r="K201" i="42"/>
  <c r="M201" i="42"/>
  <c r="K202" i="42"/>
  <c r="M202" i="42"/>
  <c r="K203" i="42"/>
  <c r="M203" i="42"/>
  <c r="K204" i="42"/>
  <c r="M204" i="42"/>
  <c r="K205" i="42"/>
  <c r="M205" i="42"/>
  <c r="K206" i="42"/>
  <c r="M206" i="42"/>
  <c r="K207" i="42"/>
  <c r="M207" i="42"/>
  <c r="K208" i="42"/>
  <c r="M208" i="42"/>
  <c r="K209" i="42"/>
  <c r="M209" i="42"/>
  <c r="K210" i="42"/>
  <c r="M210" i="42"/>
  <c r="K211" i="42"/>
  <c r="M211" i="42"/>
  <c r="K212" i="42"/>
  <c r="M212" i="42"/>
  <c r="K213" i="42"/>
  <c r="M213" i="42"/>
  <c r="K214" i="42"/>
  <c r="M214" i="42"/>
  <c r="K215" i="42"/>
  <c r="M215" i="42"/>
  <c r="K216" i="42"/>
  <c r="M216" i="42"/>
  <c r="K217" i="42"/>
  <c r="M217" i="42"/>
  <c r="K218" i="42"/>
  <c r="M218" i="42"/>
  <c r="K219" i="42"/>
  <c r="M219" i="42"/>
  <c r="K220" i="42"/>
  <c r="M220" i="42"/>
  <c r="K221" i="42"/>
  <c r="M221" i="42"/>
  <c r="K222" i="42"/>
  <c r="M222" i="42"/>
  <c r="K223" i="42"/>
  <c r="M223" i="42"/>
  <c r="K224" i="42"/>
  <c r="M224" i="42"/>
  <c r="K225" i="42"/>
  <c r="M225" i="42"/>
  <c r="K226" i="42"/>
  <c r="M226" i="42"/>
  <c r="K227" i="42"/>
  <c r="M227" i="42"/>
  <c r="K228" i="42"/>
  <c r="M228" i="42"/>
  <c r="K229" i="42"/>
  <c r="M229" i="42"/>
  <c r="K230" i="42"/>
  <c r="M230" i="42"/>
  <c r="K231" i="42"/>
  <c r="M231" i="42"/>
  <c r="K232" i="42"/>
  <c r="M232" i="42"/>
  <c r="K233" i="42"/>
  <c r="M233" i="42"/>
  <c r="K234" i="42"/>
  <c r="M234" i="42"/>
  <c r="K235" i="42"/>
  <c r="M235" i="42"/>
  <c r="K236" i="42"/>
  <c r="M236" i="42"/>
  <c r="K237" i="42"/>
  <c r="M237" i="42"/>
  <c r="K238" i="42"/>
  <c r="M238" i="42"/>
  <c r="K239" i="42"/>
  <c r="M239" i="42"/>
  <c r="K240" i="42"/>
  <c r="M240" i="42"/>
  <c r="K241" i="42"/>
  <c r="M241" i="42"/>
  <c r="K242" i="42"/>
  <c r="M242" i="42"/>
  <c r="K243" i="42"/>
  <c r="M243" i="42"/>
  <c r="K244" i="42"/>
  <c r="M244" i="42"/>
  <c r="K245" i="42"/>
  <c r="M245" i="42"/>
  <c r="K246" i="42"/>
  <c r="M246" i="42"/>
  <c r="K247" i="42"/>
  <c r="M247" i="42"/>
  <c r="K248" i="42"/>
  <c r="M248" i="42"/>
  <c r="K249" i="42"/>
  <c r="M249" i="42"/>
  <c r="K250" i="42"/>
  <c r="M250" i="42"/>
  <c r="K251" i="42"/>
  <c r="M251" i="42"/>
  <c r="K252" i="42"/>
  <c r="M252" i="42"/>
  <c r="K253" i="42"/>
  <c r="M253" i="42"/>
  <c r="K254" i="42"/>
  <c r="M254" i="42"/>
  <c r="K255" i="42"/>
  <c r="M255" i="42"/>
  <c r="K256" i="42"/>
  <c r="M256" i="42"/>
  <c r="K257" i="42"/>
  <c r="M257" i="42"/>
  <c r="K258" i="42"/>
  <c r="M258" i="42"/>
  <c r="K259" i="42"/>
  <c r="M259" i="42"/>
  <c r="K260" i="42"/>
  <c r="M260" i="42"/>
  <c r="K261" i="42"/>
  <c r="M261" i="42"/>
  <c r="K262" i="42"/>
  <c r="M262" i="42"/>
  <c r="K263" i="42"/>
  <c r="M263" i="42"/>
  <c r="K264" i="42"/>
  <c r="M264" i="42"/>
  <c r="K265" i="42"/>
  <c r="M265" i="42"/>
  <c r="K266" i="42"/>
  <c r="M266" i="42"/>
  <c r="K267" i="42"/>
  <c r="M267" i="42"/>
  <c r="K268" i="42"/>
  <c r="M268" i="42"/>
  <c r="K269" i="42"/>
  <c r="M269" i="42"/>
  <c r="K270" i="42"/>
  <c r="M270" i="42"/>
  <c r="K271" i="42"/>
  <c r="M271" i="42"/>
  <c r="K272" i="42"/>
  <c r="M272" i="42"/>
  <c r="K273" i="42"/>
  <c r="M273" i="42"/>
  <c r="K274" i="42"/>
  <c r="M274" i="42"/>
  <c r="K275" i="42"/>
  <c r="M275" i="42"/>
  <c r="K276" i="42"/>
  <c r="M276" i="42"/>
  <c r="K277" i="42"/>
  <c r="M277" i="42"/>
  <c r="K278" i="42"/>
  <c r="M278" i="42"/>
  <c r="K279" i="42"/>
  <c r="M279" i="42"/>
  <c r="K280" i="42"/>
  <c r="M280" i="42"/>
  <c r="K281" i="42"/>
  <c r="M281" i="42"/>
  <c r="K282" i="42"/>
  <c r="M282" i="42"/>
  <c r="K283" i="42"/>
  <c r="M283" i="42"/>
  <c r="K284" i="42"/>
  <c r="M284" i="42"/>
  <c r="K285" i="42"/>
  <c r="M285" i="42"/>
  <c r="K286" i="42"/>
  <c r="M286" i="42"/>
  <c r="K287" i="42"/>
  <c r="M287" i="42"/>
  <c r="K288" i="42"/>
  <c r="M288" i="42"/>
  <c r="K289" i="42"/>
  <c r="M289" i="42"/>
  <c r="K290" i="42"/>
  <c r="M290" i="42"/>
  <c r="K291" i="42"/>
  <c r="M291" i="42"/>
  <c r="K292" i="42"/>
  <c r="M292" i="42"/>
  <c r="K293" i="42"/>
  <c r="M293" i="42"/>
  <c r="K294" i="42"/>
  <c r="M294" i="42"/>
  <c r="K295" i="42"/>
  <c r="M295" i="42"/>
  <c r="K296" i="42"/>
  <c r="M296" i="42"/>
  <c r="K297" i="42"/>
  <c r="M297" i="42"/>
  <c r="K298" i="42"/>
  <c r="M298" i="42"/>
  <c r="K299" i="42"/>
  <c r="M299" i="42"/>
  <c r="K300" i="42"/>
  <c r="M300" i="42"/>
  <c r="K301" i="42"/>
  <c r="M301" i="42"/>
  <c r="K302" i="42"/>
  <c r="M302" i="42"/>
  <c r="K303" i="42"/>
  <c r="M303" i="42"/>
  <c r="K304" i="42"/>
  <c r="M304" i="42"/>
  <c r="K305" i="42"/>
  <c r="M305" i="42"/>
  <c r="K306" i="42"/>
  <c r="M306" i="42"/>
  <c r="K307" i="42"/>
  <c r="M307" i="42"/>
  <c r="K308" i="42"/>
  <c r="M308" i="42"/>
  <c r="K309" i="42"/>
  <c r="M309" i="42"/>
  <c r="K310" i="42"/>
  <c r="M310" i="42"/>
  <c r="K311" i="42"/>
  <c r="M311" i="42"/>
  <c r="K312" i="42"/>
  <c r="M312" i="42"/>
  <c r="K313" i="42"/>
  <c r="M313" i="42"/>
  <c r="K314" i="42"/>
  <c r="M314" i="42"/>
  <c r="K315" i="42"/>
  <c r="M315" i="42"/>
  <c r="K316" i="42"/>
  <c r="M316" i="42"/>
  <c r="K317" i="42"/>
  <c r="M317" i="42"/>
  <c r="K318" i="42"/>
  <c r="M318" i="42"/>
  <c r="K319" i="42"/>
  <c r="M319" i="42"/>
  <c r="K320" i="42"/>
  <c r="M320" i="42"/>
  <c r="K321" i="42"/>
  <c r="M321" i="42"/>
  <c r="K322" i="42"/>
  <c r="M322" i="42"/>
  <c r="K323" i="42"/>
  <c r="M323" i="42"/>
  <c r="K324" i="42"/>
  <c r="M324" i="42"/>
  <c r="K325" i="42"/>
  <c r="M325" i="42"/>
  <c r="K326" i="42"/>
  <c r="M326" i="42"/>
  <c r="K327" i="42"/>
  <c r="M327" i="42"/>
  <c r="K328" i="42"/>
  <c r="M328" i="42"/>
  <c r="K329" i="42"/>
  <c r="M329" i="42"/>
  <c r="K330" i="42"/>
  <c r="M330" i="42"/>
  <c r="K331" i="42"/>
  <c r="M331" i="42"/>
  <c r="K332" i="42"/>
  <c r="M332" i="42"/>
  <c r="K333" i="42"/>
  <c r="M333" i="42"/>
  <c r="K334" i="42"/>
  <c r="M334" i="42"/>
  <c r="K335" i="42"/>
  <c r="M335" i="42"/>
  <c r="K336" i="42"/>
  <c r="M336" i="42"/>
  <c r="K337" i="42"/>
  <c r="M337" i="42"/>
  <c r="K338" i="42"/>
  <c r="M338" i="42"/>
  <c r="K339" i="42"/>
  <c r="M339" i="42"/>
  <c r="K340" i="42"/>
  <c r="M340" i="42"/>
  <c r="K341" i="42"/>
  <c r="M341" i="42"/>
  <c r="K342" i="42"/>
  <c r="M342" i="42"/>
  <c r="K343" i="42"/>
  <c r="M343" i="42"/>
  <c r="K344" i="42"/>
  <c r="M344" i="42"/>
  <c r="K345" i="42"/>
  <c r="M345" i="42"/>
  <c r="K346" i="42"/>
  <c r="M346" i="42"/>
  <c r="K347" i="42"/>
  <c r="M347" i="42"/>
  <c r="K348" i="42"/>
  <c r="M348" i="42"/>
  <c r="K349" i="42"/>
  <c r="M349" i="42"/>
  <c r="K350" i="42"/>
  <c r="M350" i="42"/>
  <c r="K351" i="42"/>
  <c r="M351" i="42"/>
  <c r="K352" i="42"/>
  <c r="M352" i="42"/>
  <c r="K353" i="42"/>
  <c r="M353" i="42"/>
  <c r="K354" i="42"/>
  <c r="M354" i="42"/>
  <c r="K355" i="42"/>
  <c r="M355" i="42"/>
  <c r="K356" i="42"/>
  <c r="M356" i="42"/>
  <c r="K357" i="42"/>
  <c r="M357" i="42"/>
  <c r="K358" i="42"/>
  <c r="M358" i="42"/>
  <c r="K359" i="42"/>
  <c r="M359" i="42"/>
  <c r="K360" i="42"/>
  <c r="M360" i="42"/>
  <c r="K361" i="42"/>
  <c r="M361" i="42"/>
  <c r="K362" i="42"/>
  <c r="M362" i="42"/>
  <c r="K363" i="42"/>
  <c r="M363" i="42"/>
  <c r="K364" i="42"/>
  <c r="M364" i="42"/>
  <c r="K365" i="42"/>
  <c r="M365" i="42"/>
  <c r="K366" i="42"/>
  <c r="M366" i="42"/>
  <c r="K367" i="42"/>
  <c r="M367" i="42"/>
  <c r="K368" i="42"/>
  <c r="M368" i="42"/>
  <c r="K369" i="42"/>
  <c r="M369" i="42"/>
  <c r="K370" i="42"/>
  <c r="M370" i="42"/>
  <c r="K371" i="42"/>
  <c r="M371" i="42"/>
  <c r="K372" i="42"/>
  <c r="M372" i="42"/>
  <c r="K373" i="42"/>
  <c r="M373" i="42"/>
  <c r="K374" i="42"/>
  <c r="M374" i="42"/>
  <c r="K375" i="42"/>
  <c r="M375" i="42"/>
  <c r="K376" i="42"/>
  <c r="M376" i="42"/>
  <c r="K377" i="42"/>
  <c r="M377" i="42"/>
  <c r="K378" i="42"/>
  <c r="M378" i="42"/>
  <c r="K379" i="42"/>
  <c r="M379" i="42"/>
  <c r="K380" i="42"/>
  <c r="M380" i="42"/>
  <c r="K381" i="42"/>
  <c r="M381" i="42"/>
  <c r="K382" i="42"/>
  <c r="M382" i="42"/>
  <c r="K383" i="42"/>
  <c r="M383" i="42"/>
  <c r="I384" i="42"/>
  <c r="K384" i="42"/>
  <c r="M384" i="42"/>
  <c r="K385" i="42"/>
  <c r="M385" i="42"/>
  <c r="K386" i="42"/>
  <c r="M386" i="42"/>
  <c r="K387" i="42"/>
  <c r="M387" i="42"/>
  <c r="K388" i="42"/>
  <c r="M388" i="42"/>
  <c r="K389" i="42"/>
  <c r="M389" i="42"/>
  <c r="K390" i="42"/>
  <c r="M390" i="42"/>
  <c r="K391" i="42"/>
  <c r="M391" i="42"/>
  <c r="K392" i="42"/>
  <c r="M392" i="42"/>
  <c r="K393" i="42"/>
  <c r="M393" i="42"/>
  <c r="K394" i="42"/>
  <c r="M394" i="42"/>
  <c r="K395" i="42"/>
  <c r="M395" i="42"/>
  <c r="K396" i="42"/>
  <c r="M396" i="42"/>
  <c r="K397" i="42"/>
  <c r="M397" i="42"/>
  <c r="K398" i="42"/>
  <c r="M398" i="42"/>
  <c r="K399" i="42"/>
  <c r="M399" i="42"/>
  <c r="K400" i="42"/>
  <c r="M400" i="42"/>
  <c r="K401" i="42"/>
  <c r="M401" i="42"/>
  <c r="K402" i="42"/>
  <c r="M402" i="42"/>
  <c r="K403" i="42"/>
  <c r="M403" i="42"/>
  <c r="K404" i="42"/>
  <c r="M404" i="42"/>
  <c r="K405" i="42"/>
  <c r="M405" i="42"/>
  <c r="K406" i="42"/>
  <c r="M406" i="42"/>
  <c r="K407" i="42"/>
  <c r="M407" i="42"/>
  <c r="K408" i="42"/>
  <c r="M408" i="42"/>
  <c r="K409" i="42"/>
  <c r="M409" i="42"/>
  <c r="K410" i="42"/>
  <c r="M410" i="42"/>
  <c r="K411" i="42"/>
  <c r="M411" i="42"/>
  <c r="K412" i="42"/>
  <c r="M412" i="42"/>
  <c r="K413" i="42"/>
  <c r="M413" i="42"/>
  <c r="K414" i="42"/>
  <c r="M414" i="42"/>
  <c r="K415" i="42"/>
  <c r="M415" i="42"/>
  <c r="K416" i="42"/>
  <c r="M416" i="42"/>
  <c r="K417" i="42"/>
  <c r="M417" i="42"/>
  <c r="K418" i="42"/>
  <c r="M418" i="42"/>
  <c r="K419" i="42"/>
  <c r="M419" i="42"/>
  <c r="K420" i="42"/>
  <c r="M420" i="42"/>
  <c r="K421" i="42"/>
  <c r="M421" i="42"/>
  <c r="K422" i="42"/>
  <c r="M422" i="42"/>
  <c r="K423" i="42"/>
  <c r="M423" i="42"/>
  <c r="K424" i="42"/>
  <c r="M424" i="42"/>
  <c r="K425" i="42"/>
  <c r="M425" i="42"/>
  <c r="K426" i="42"/>
  <c r="M426" i="42"/>
  <c r="K427" i="42"/>
  <c r="M427" i="42"/>
  <c r="K428" i="42"/>
  <c r="M428" i="42"/>
  <c r="K429" i="42"/>
  <c r="M429" i="42"/>
  <c r="K430" i="42"/>
  <c r="M430" i="42"/>
  <c r="K431" i="42"/>
  <c r="M431" i="42"/>
  <c r="K432" i="42"/>
  <c r="M432" i="42"/>
  <c r="K433" i="42"/>
  <c r="M433" i="42"/>
  <c r="K434" i="42"/>
  <c r="M434" i="42"/>
  <c r="K435" i="42"/>
  <c r="M435" i="42"/>
  <c r="K436" i="42"/>
  <c r="M436" i="42"/>
  <c r="K437" i="42"/>
  <c r="M437" i="42"/>
  <c r="K438" i="42"/>
  <c r="M438" i="42"/>
  <c r="K439" i="42"/>
  <c r="M439" i="42"/>
  <c r="K440" i="42"/>
  <c r="M440" i="42"/>
  <c r="K441" i="42"/>
  <c r="M441" i="42"/>
  <c r="K442" i="42"/>
  <c r="M442" i="42"/>
  <c r="K443" i="42"/>
  <c r="M443" i="42"/>
  <c r="K444" i="42"/>
  <c r="M444" i="42"/>
  <c r="K445" i="42"/>
  <c r="M445" i="42"/>
  <c r="K446" i="42"/>
  <c r="M446" i="42"/>
  <c r="K447" i="42"/>
  <c r="M447" i="42"/>
  <c r="K448" i="42"/>
  <c r="M448" i="42"/>
  <c r="K449" i="42"/>
  <c r="M449" i="42"/>
  <c r="K450" i="42"/>
  <c r="M450" i="42"/>
  <c r="K451" i="42"/>
  <c r="M451" i="42"/>
  <c r="K452" i="42"/>
  <c r="M452" i="42"/>
  <c r="K453" i="42"/>
  <c r="M453" i="42"/>
  <c r="K454" i="42"/>
  <c r="M454" i="42"/>
  <c r="K455" i="42"/>
  <c r="M455" i="42"/>
  <c r="K456" i="42"/>
  <c r="M456" i="42"/>
  <c r="K457" i="42"/>
  <c r="M457" i="42"/>
  <c r="K458" i="42"/>
  <c r="M458" i="42"/>
  <c r="K459" i="42"/>
  <c r="M459" i="42"/>
  <c r="K460" i="42"/>
  <c r="M460" i="42"/>
  <c r="K461" i="42"/>
  <c r="M461" i="42"/>
  <c r="K462" i="42"/>
  <c r="M462" i="42"/>
  <c r="K463" i="42"/>
  <c r="M463" i="42"/>
  <c r="K464" i="42"/>
  <c r="M464" i="42"/>
  <c r="K465" i="42"/>
  <c r="M465" i="42"/>
  <c r="K466" i="42"/>
  <c r="M466" i="42"/>
  <c r="K467" i="42"/>
  <c r="M467" i="42"/>
  <c r="K468" i="42"/>
  <c r="M468" i="42"/>
  <c r="K469" i="42"/>
  <c r="M469" i="42"/>
  <c r="K470" i="42"/>
  <c r="M470" i="42"/>
  <c r="K471" i="42"/>
  <c r="M471" i="42"/>
  <c r="K472" i="42"/>
  <c r="M472" i="42"/>
  <c r="K473" i="42"/>
  <c r="M473" i="42"/>
  <c r="K474" i="42"/>
  <c r="M474" i="42"/>
  <c r="K475" i="42"/>
  <c r="M475" i="42"/>
  <c r="K476" i="42"/>
  <c r="M476" i="42"/>
  <c r="K477" i="42"/>
  <c r="M477" i="42"/>
  <c r="K478" i="42"/>
  <c r="M478" i="42"/>
  <c r="K479" i="42"/>
  <c r="M479" i="42"/>
  <c r="K480" i="42"/>
  <c r="M480" i="42"/>
  <c r="K481" i="42"/>
  <c r="M481" i="42"/>
  <c r="K482" i="42"/>
  <c r="M482" i="42"/>
  <c r="K483" i="42"/>
  <c r="M483" i="42"/>
  <c r="K484" i="42"/>
  <c r="M484" i="42"/>
  <c r="K485" i="42"/>
  <c r="M485" i="42"/>
  <c r="K486" i="42"/>
  <c r="M486" i="42"/>
  <c r="K487" i="42"/>
  <c r="M487" i="42"/>
  <c r="K488" i="42"/>
  <c r="M488" i="42"/>
  <c r="K489" i="42"/>
  <c r="M489" i="42"/>
  <c r="K490" i="42"/>
  <c r="M490" i="42"/>
  <c r="K491" i="42"/>
  <c r="M491" i="42"/>
  <c r="K492" i="42"/>
  <c r="M492" i="42"/>
  <c r="K493" i="42"/>
  <c r="M493" i="42"/>
  <c r="K494" i="42"/>
  <c r="M494" i="42"/>
  <c r="K495" i="42"/>
  <c r="M495" i="42"/>
  <c r="K496" i="42"/>
  <c r="M496" i="42"/>
  <c r="K497" i="42"/>
  <c r="M497" i="42"/>
  <c r="K498" i="42"/>
  <c r="M498" i="42"/>
  <c r="K499" i="42"/>
  <c r="M499" i="42"/>
  <c r="K500" i="42"/>
  <c r="M500" i="42"/>
  <c r="K501" i="42"/>
  <c r="M501" i="42"/>
  <c r="K502" i="42"/>
  <c r="M502" i="42"/>
  <c r="K503" i="42"/>
  <c r="M503" i="42"/>
  <c r="K504" i="42"/>
  <c r="M504" i="42"/>
  <c r="K505" i="42"/>
  <c r="M505" i="42"/>
  <c r="K506" i="42"/>
  <c r="M506" i="42"/>
  <c r="K507" i="42"/>
  <c r="M507" i="42"/>
  <c r="K508" i="42"/>
  <c r="M508" i="42"/>
  <c r="K509" i="42"/>
  <c r="M509" i="42"/>
  <c r="K510" i="42"/>
  <c r="M510" i="42"/>
  <c r="K511" i="42"/>
  <c r="M511" i="42"/>
  <c r="K512" i="42"/>
  <c r="M512" i="42"/>
  <c r="K513" i="42"/>
  <c r="M513" i="42"/>
  <c r="K514" i="42"/>
  <c r="M514" i="42"/>
  <c r="K515" i="42"/>
  <c r="M515" i="42"/>
  <c r="K76" i="42"/>
  <c r="M76" i="42"/>
  <c r="J76" i="42"/>
  <c r="L76" i="42"/>
  <c r="K77" i="40"/>
  <c r="O77" i="40"/>
  <c r="K78" i="40"/>
  <c r="O78" i="40"/>
  <c r="K79" i="40"/>
  <c r="O79" i="40"/>
  <c r="K80" i="40"/>
  <c r="O80" i="40"/>
  <c r="K81" i="40"/>
  <c r="O81" i="40"/>
  <c r="K82" i="40"/>
  <c r="O82" i="40"/>
  <c r="K83" i="40"/>
  <c r="O83" i="40"/>
  <c r="K84" i="40"/>
  <c r="O84" i="40"/>
  <c r="K85" i="40"/>
  <c r="O85" i="40"/>
  <c r="K86" i="40"/>
  <c r="O86" i="40"/>
  <c r="K87" i="40"/>
  <c r="O87" i="40"/>
  <c r="K88" i="40"/>
  <c r="O88" i="40"/>
  <c r="K89" i="40"/>
  <c r="O89" i="40"/>
  <c r="K90" i="40"/>
  <c r="O90" i="40"/>
  <c r="K91" i="40"/>
  <c r="O91" i="40"/>
  <c r="K92" i="40"/>
  <c r="O92" i="40"/>
  <c r="K93" i="40"/>
  <c r="O93" i="40"/>
  <c r="K94" i="40"/>
  <c r="O94" i="40"/>
  <c r="K95" i="40"/>
  <c r="O95" i="40"/>
  <c r="K96" i="40"/>
  <c r="O96" i="40"/>
  <c r="K97" i="40"/>
  <c r="O97" i="40"/>
  <c r="K98" i="40"/>
  <c r="O98" i="40"/>
  <c r="K99" i="40"/>
  <c r="O99" i="40"/>
  <c r="K100" i="40"/>
  <c r="O100" i="40"/>
  <c r="K101" i="40"/>
  <c r="O101" i="40"/>
  <c r="K102" i="40"/>
  <c r="O102" i="40"/>
  <c r="K103" i="40"/>
  <c r="O103" i="40"/>
  <c r="K104" i="40"/>
  <c r="O104" i="40"/>
  <c r="K105" i="40"/>
  <c r="O105" i="40"/>
  <c r="K106" i="40"/>
  <c r="O106" i="40"/>
  <c r="K107" i="40"/>
  <c r="O107" i="40"/>
  <c r="K108" i="40"/>
  <c r="O108" i="40"/>
  <c r="K109" i="40"/>
  <c r="O109" i="40"/>
  <c r="K110" i="40"/>
  <c r="O110" i="40"/>
  <c r="K111" i="40"/>
  <c r="O111" i="40"/>
  <c r="K112" i="40"/>
  <c r="O112" i="40"/>
  <c r="K113" i="40"/>
  <c r="O113" i="40"/>
  <c r="K114" i="40"/>
  <c r="O114" i="40"/>
  <c r="K115" i="40"/>
  <c r="O115" i="40"/>
  <c r="K116" i="40"/>
  <c r="O116" i="40"/>
  <c r="K117" i="40"/>
  <c r="O117" i="40"/>
  <c r="K118" i="40"/>
  <c r="O118" i="40"/>
  <c r="K119" i="40"/>
  <c r="O119" i="40"/>
  <c r="K120" i="40"/>
  <c r="O120" i="40"/>
  <c r="K121" i="40"/>
  <c r="O121" i="40"/>
  <c r="K122" i="40"/>
  <c r="O122" i="40"/>
  <c r="K123" i="40"/>
  <c r="O123" i="40"/>
  <c r="K124" i="40"/>
  <c r="O124" i="40"/>
  <c r="K125" i="40"/>
  <c r="O125" i="40"/>
  <c r="K126" i="40"/>
  <c r="O126" i="40"/>
  <c r="K127" i="40"/>
  <c r="O127" i="40"/>
  <c r="K128" i="40"/>
  <c r="O128" i="40"/>
  <c r="K129" i="40"/>
  <c r="O129" i="40"/>
  <c r="K130" i="40"/>
  <c r="O130" i="40"/>
  <c r="K131" i="40"/>
  <c r="O131" i="40"/>
  <c r="K132" i="40"/>
  <c r="O132" i="40"/>
  <c r="K133" i="40"/>
  <c r="O133" i="40"/>
  <c r="K134" i="40"/>
  <c r="O134" i="40"/>
  <c r="K135" i="40"/>
  <c r="O135" i="40"/>
  <c r="K136" i="40"/>
  <c r="O136" i="40"/>
  <c r="K137" i="40"/>
  <c r="O137" i="40"/>
  <c r="K138" i="40"/>
  <c r="O138" i="40"/>
  <c r="K139" i="40"/>
  <c r="O139" i="40"/>
  <c r="K140" i="40"/>
  <c r="O140" i="40"/>
  <c r="K141" i="40"/>
  <c r="O141" i="40"/>
  <c r="K142" i="40"/>
  <c r="O142" i="40"/>
  <c r="K143" i="40"/>
  <c r="O143" i="40"/>
  <c r="K144" i="40"/>
  <c r="O144" i="40"/>
  <c r="K145" i="40"/>
  <c r="O145" i="40"/>
  <c r="K146" i="40"/>
  <c r="O146" i="40"/>
  <c r="K147" i="40"/>
  <c r="O147" i="40"/>
  <c r="K148" i="40"/>
  <c r="O148" i="40"/>
  <c r="K149" i="40"/>
  <c r="O149" i="40"/>
  <c r="K150" i="40"/>
  <c r="O150" i="40"/>
  <c r="K151" i="40"/>
  <c r="O151" i="40"/>
  <c r="K152" i="40"/>
  <c r="O152" i="40"/>
  <c r="K153" i="40"/>
  <c r="O153" i="40"/>
  <c r="K154" i="40"/>
  <c r="O154" i="40"/>
  <c r="K155" i="40"/>
  <c r="O155" i="40"/>
  <c r="K156" i="40"/>
  <c r="O156" i="40"/>
  <c r="K157" i="40"/>
  <c r="O157" i="40"/>
  <c r="K158" i="40"/>
  <c r="O158" i="40"/>
  <c r="K159" i="40"/>
  <c r="O159" i="40"/>
  <c r="K160" i="40"/>
  <c r="O160" i="40"/>
  <c r="K161" i="40"/>
  <c r="O161" i="40"/>
  <c r="K162" i="40"/>
  <c r="O162" i="40"/>
  <c r="K163" i="40"/>
  <c r="O163" i="40"/>
  <c r="K164" i="40"/>
  <c r="O164" i="40"/>
  <c r="K165" i="40"/>
  <c r="O165" i="40"/>
  <c r="K166" i="40"/>
  <c r="O166" i="40"/>
  <c r="K167" i="40"/>
  <c r="O167" i="40"/>
  <c r="K168" i="40"/>
  <c r="O168" i="40"/>
  <c r="K169" i="40"/>
  <c r="O169" i="40"/>
  <c r="K170" i="40"/>
  <c r="O170" i="40"/>
  <c r="K171" i="40"/>
  <c r="O171" i="40"/>
  <c r="K172" i="40"/>
  <c r="O172" i="40"/>
  <c r="K173" i="40"/>
  <c r="O173" i="40"/>
  <c r="K174" i="40"/>
  <c r="O174" i="40"/>
  <c r="K175" i="40"/>
  <c r="O175" i="40"/>
  <c r="K176" i="40"/>
  <c r="O176" i="40"/>
  <c r="K177" i="40"/>
  <c r="O177" i="40"/>
  <c r="K178" i="40"/>
  <c r="O178" i="40"/>
  <c r="K179" i="40"/>
  <c r="O179" i="40"/>
  <c r="K180" i="40"/>
  <c r="O180" i="40"/>
  <c r="K181" i="40"/>
  <c r="O181" i="40"/>
  <c r="K182" i="40"/>
  <c r="O182" i="40"/>
  <c r="K183" i="40"/>
  <c r="O183" i="40"/>
  <c r="K184" i="40"/>
  <c r="O184" i="40"/>
  <c r="K185" i="40"/>
  <c r="O185" i="40"/>
  <c r="K186" i="40"/>
  <c r="O186" i="40"/>
  <c r="K187" i="40"/>
  <c r="O187" i="40"/>
  <c r="K188" i="40"/>
  <c r="O188" i="40"/>
  <c r="K189" i="40"/>
  <c r="O189" i="40"/>
  <c r="K190" i="40"/>
  <c r="O190" i="40"/>
  <c r="K191" i="40"/>
  <c r="O191" i="40"/>
  <c r="K192" i="40"/>
  <c r="O192" i="40"/>
  <c r="K193" i="40"/>
  <c r="O193" i="40"/>
  <c r="K194" i="40"/>
  <c r="O194" i="40"/>
  <c r="K195" i="40"/>
  <c r="O195" i="40"/>
  <c r="K196" i="40"/>
  <c r="O196" i="40"/>
  <c r="K197" i="40"/>
  <c r="O197" i="40"/>
  <c r="K198" i="40"/>
  <c r="O198" i="40"/>
  <c r="K199" i="40"/>
  <c r="O199" i="40"/>
  <c r="K200" i="40"/>
  <c r="O200" i="40"/>
  <c r="K201" i="40"/>
  <c r="O201" i="40"/>
  <c r="K202" i="40"/>
  <c r="O202" i="40"/>
  <c r="K203" i="40"/>
  <c r="O203" i="40"/>
  <c r="K204" i="40"/>
  <c r="O204" i="40"/>
  <c r="K205" i="40"/>
  <c r="O205" i="40"/>
  <c r="K206" i="40"/>
  <c r="O206" i="40"/>
  <c r="K207" i="40"/>
  <c r="O207" i="40"/>
  <c r="K208" i="40"/>
  <c r="O208" i="40"/>
  <c r="K209" i="40"/>
  <c r="O209" i="40"/>
  <c r="K210" i="40"/>
  <c r="O210" i="40"/>
  <c r="K211" i="40"/>
  <c r="O211" i="40"/>
  <c r="K212" i="40"/>
  <c r="O212" i="40"/>
  <c r="K213" i="40"/>
  <c r="O213" i="40"/>
  <c r="K214" i="40"/>
  <c r="O214" i="40"/>
  <c r="K215" i="40"/>
  <c r="O215" i="40"/>
  <c r="K216" i="40"/>
  <c r="O216" i="40"/>
  <c r="K217" i="40"/>
  <c r="O217" i="40"/>
  <c r="K218" i="40"/>
  <c r="O218" i="40"/>
  <c r="K219" i="40"/>
  <c r="O219" i="40"/>
  <c r="K220" i="40"/>
  <c r="O220" i="40"/>
  <c r="K221" i="40"/>
  <c r="O221" i="40"/>
  <c r="K222" i="40"/>
  <c r="O222" i="40"/>
  <c r="K223" i="40"/>
  <c r="O223" i="40"/>
  <c r="K224" i="40"/>
  <c r="O224" i="40"/>
  <c r="K225" i="40"/>
  <c r="O225" i="40"/>
  <c r="K226" i="40"/>
  <c r="O226" i="40"/>
  <c r="K227" i="40"/>
  <c r="O227" i="40"/>
  <c r="K228" i="40"/>
  <c r="O228" i="40"/>
  <c r="K229" i="40"/>
  <c r="O229" i="40"/>
  <c r="K230" i="40"/>
  <c r="O230" i="40"/>
  <c r="K231" i="40"/>
  <c r="O231" i="40"/>
  <c r="K232" i="40"/>
  <c r="O232" i="40"/>
  <c r="K233" i="40"/>
  <c r="O233" i="40"/>
  <c r="K234" i="40"/>
  <c r="O234" i="40"/>
  <c r="K235" i="40"/>
  <c r="O235" i="40"/>
  <c r="K236" i="40"/>
  <c r="O236" i="40"/>
  <c r="K237" i="40"/>
  <c r="O237" i="40"/>
  <c r="K238" i="40"/>
  <c r="O238" i="40"/>
  <c r="K239" i="40"/>
  <c r="O239" i="40"/>
  <c r="K240" i="40"/>
  <c r="O240" i="40"/>
  <c r="K241" i="40"/>
  <c r="O241" i="40"/>
  <c r="K242" i="40"/>
  <c r="O242" i="40"/>
  <c r="K243" i="40"/>
  <c r="O243" i="40"/>
  <c r="K244" i="40"/>
  <c r="O244" i="40"/>
  <c r="K245" i="40"/>
  <c r="O245" i="40"/>
  <c r="K246" i="40"/>
  <c r="O246" i="40"/>
  <c r="K247" i="40"/>
  <c r="O247" i="40"/>
  <c r="K248" i="40"/>
  <c r="O248" i="40"/>
  <c r="K249" i="40"/>
  <c r="O249" i="40"/>
  <c r="K250" i="40"/>
  <c r="O250" i="40"/>
  <c r="K251" i="40"/>
  <c r="O251" i="40"/>
  <c r="K252" i="40"/>
  <c r="O252" i="40"/>
  <c r="K253" i="40"/>
  <c r="O253" i="40"/>
  <c r="K254" i="40"/>
  <c r="O254" i="40"/>
  <c r="K255" i="40"/>
  <c r="O255" i="40"/>
  <c r="K256" i="40"/>
  <c r="O256" i="40"/>
  <c r="K257" i="40"/>
  <c r="O257" i="40"/>
  <c r="K258" i="40"/>
  <c r="O258" i="40"/>
  <c r="K259" i="40"/>
  <c r="O259" i="40"/>
  <c r="K260" i="40"/>
  <c r="O260" i="40"/>
  <c r="K261" i="40"/>
  <c r="O261" i="40"/>
  <c r="K262" i="40"/>
  <c r="O262" i="40"/>
  <c r="K263" i="40"/>
  <c r="O263" i="40"/>
  <c r="K264" i="40"/>
  <c r="O264" i="40"/>
  <c r="K265" i="40"/>
  <c r="O265" i="40"/>
  <c r="K266" i="40"/>
  <c r="O266" i="40"/>
  <c r="K267" i="40"/>
  <c r="O267" i="40"/>
  <c r="K268" i="40"/>
  <c r="O268" i="40"/>
  <c r="K269" i="40"/>
  <c r="O269" i="40"/>
  <c r="K270" i="40"/>
  <c r="O270" i="40"/>
  <c r="K271" i="40"/>
  <c r="O271" i="40"/>
  <c r="K272" i="40"/>
  <c r="O272" i="40"/>
  <c r="K273" i="40"/>
  <c r="O273" i="40"/>
  <c r="K274" i="40"/>
  <c r="O274" i="40"/>
  <c r="K275" i="40"/>
  <c r="O275" i="40"/>
  <c r="K276" i="40"/>
  <c r="O276" i="40"/>
  <c r="K277" i="40"/>
  <c r="O277" i="40"/>
  <c r="K278" i="40"/>
  <c r="O278" i="40"/>
  <c r="K279" i="40"/>
  <c r="O279" i="40"/>
  <c r="K280" i="40"/>
  <c r="O280" i="40"/>
  <c r="K281" i="40"/>
  <c r="O281" i="40"/>
  <c r="K282" i="40"/>
  <c r="O282" i="40"/>
  <c r="K283" i="40"/>
  <c r="O283" i="40"/>
  <c r="K284" i="40"/>
  <c r="O284" i="40"/>
  <c r="K285" i="40"/>
  <c r="O285" i="40"/>
  <c r="K286" i="40"/>
  <c r="O286" i="40"/>
  <c r="K287" i="40"/>
  <c r="O287" i="40"/>
  <c r="K288" i="40"/>
  <c r="O288" i="40"/>
  <c r="K289" i="40"/>
  <c r="O289" i="40"/>
  <c r="K290" i="40"/>
  <c r="O290" i="40"/>
  <c r="K291" i="40"/>
  <c r="O291" i="40"/>
  <c r="K292" i="40"/>
  <c r="O292" i="40"/>
  <c r="K293" i="40"/>
  <c r="O293" i="40"/>
  <c r="K294" i="40"/>
  <c r="O294" i="40"/>
  <c r="K295" i="40"/>
  <c r="O295" i="40"/>
  <c r="K296" i="40"/>
  <c r="O296" i="40"/>
  <c r="K297" i="40"/>
  <c r="O297" i="40"/>
  <c r="K298" i="40"/>
  <c r="O298" i="40"/>
  <c r="K299" i="40"/>
  <c r="O299" i="40"/>
  <c r="K300" i="40"/>
  <c r="O300" i="40"/>
  <c r="K301" i="40"/>
  <c r="O301" i="40"/>
  <c r="K302" i="40"/>
  <c r="O302" i="40"/>
  <c r="K303" i="40"/>
  <c r="O303" i="40"/>
  <c r="K304" i="40"/>
  <c r="O304" i="40"/>
  <c r="K305" i="40"/>
  <c r="O305" i="40"/>
  <c r="K306" i="40"/>
  <c r="O306" i="40"/>
  <c r="K307" i="40"/>
  <c r="O307" i="40"/>
  <c r="K308" i="40"/>
  <c r="O308" i="40"/>
  <c r="K309" i="40"/>
  <c r="O309" i="40"/>
  <c r="K310" i="40"/>
  <c r="O310" i="40"/>
  <c r="K311" i="40"/>
  <c r="O311" i="40"/>
  <c r="K312" i="40"/>
  <c r="O312" i="40"/>
  <c r="K313" i="40"/>
  <c r="O313" i="40"/>
  <c r="K314" i="40"/>
  <c r="O314" i="40"/>
  <c r="K315" i="40"/>
  <c r="O315" i="40"/>
  <c r="K316" i="40"/>
  <c r="O316" i="40"/>
  <c r="K317" i="40"/>
  <c r="O317" i="40"/>
  <c r="K318" i="40"/>
  <c r="O318" i="40"/>
  <c r="K319" i="40"/>
  <c r="O319" i="40"/>
  <c r="K320" i="40"/>
  <c r="O320" i="40"/>
  <c r="K321" i="40"/>
  <c r="O321" i="40"/>
  <c r="K322" i="40"/>
  <c r="O322" i="40"/>
  <c r="K323" i="40"/>
  <c r="O323" i="40"/>
  <c r="K324" i="40"/>
  <c r="O324" i="40"/>
  <c r="K325" i="40"/>
  <c r="O325" i="40"/>
  <c r="K326" i="40"/>
  <c r="O326" i="40"/>
  <c r="K327" i="40"/>
  <c r="O327" i="40"/>
  <c r="K328" i="40"/>
  <c r="O328" i="40"/>
  <c r="K329" i="40"/>
  <c r="O329" i="40"/>
  <c r="K330" i="40"/>
  <c r="O330" i="40"/>
  <c r="K331" i="40"/>
  <c r="O331" i="40"/>
  <c r="K332" i="40"/>
  <c r="O332" i="40"/>
  <c r="K333" i="40"/>
  <c r="O333" i="40"/>
  <c r="K334" i="40"/>
  <c r="O334" i="40"/>
  <c r="K335" i="40"/>
  <c r="O335" i="40"/>
  <c r="K336" i="40"/>
  <c r="O336" i="40"/>
  <c r="K337" i="40"/>
  <c r="O337" i="40"/>
  <c r="K338" i="40"/>
  <c r="O338" i="40"/>
  <c r="K339" i="40"/>
  <c r="O339" i="40"/>
  <c r="K340" i="40"/>
  <c r="O340" i="40"/>
  <c r="K341" i="40"/>
  <c r="O341" i="40"/>
  <c r="K342" i="40"/>
  <c r="O342" i="40"/>
  <c r="K343" i="40"/>
  <c r="O343" i="40"/>
  <c r="K344" i="40"/>
  <c r="O344" i="40"/>
  <c r="K345" i="40"/>
  <c r="O345" i="40"/>
  <c r="K346" i="40"/>
  <c r="O346" i="40"/>
  <c r="K347" i="40"/>
  <c r="O347" i="40"/>
  <c r="K348" i="40"/>
  <c r="O348" i="40"/>
  <c r="K349" i="40"/>
  <c r="O349" i="40"/>
  <c r="K350" i="40"/>
  <c r="O350" i="40"/>
  <c r="K351" i="40"/>
  <c r="O351" i="40"/>
  <c r="K352" i="40"/>
  <c r="O352" i="40"/>
  <c r="K353" i="40"/>
  <c r="O353" i="40"/>
  <c r="K354" i="40"/>
  <c r="O354" i="40"/>
  <c r="K355" i="40"/>
  <c r="O355" i="40"/>
  <c r="K356" i="40"/>
  <c r="O356" i="40"/>
  <c r="K357" i="40"/>
  <c r="O357" i="40"/>
  <c r="K358" i="40"/>
  <c r="O358" i="40"/>
  <c r="K359" i="40"/>
  <c r="O359" i="40"/>
  <c r="K360" i="40"/>
  <c r="O360" i="40"/>
  <c r="K361" i="40"/>
  <c r="O361" i="40"/>
  <c r="K362" i="40"/>
  <c r="O362" i="40"/>
  <c r="K363" i="40"/>
  <c r="O363" i="40"/>
  <c r="K364" i="40"/>
  <c r="O364" i="40"/>
  <c r="K365" i="40"/>
  <c r="O365" i="40"/>
  <c r="K366" i="40"/>
  <c r="O366" i="40"/>
  <c r="K367" i="40"/>
  <c r="O367" i="40"/>
  <c r="K368" i="40"/>
  <c r="O368" i="40"/>
  <c r="K369" i="40"/>
  <c r="O369" i="40"/>
  <c r="K370" i="40"/>
  <c r="O370" i="40"/>
  <c r="K371" i="40"/>
  <c r="O371" i="40"/>
  <c r="K372" i="40"/>
  <c r="O372" i="40"/>
  <c r="K373" i="40"/>
  <c r="O373" i="40"/>
  <c r="K374" i="40"/>
  <c r="O374" i="40"/>
  <c r="K375" i="40"/>
  <c r="O375" i="40"/>
  <c r="K376" i="40"/>
  <c r="O376" i="40"/>
  <c r="K377" i="40"/>
  <c r="O377" i="40"/>
  <c r="K378" i="40"/>
  <c r="O378" i="40"/>
  <c r="K379" i="40"/>
  <c r="O379" i="40"/>
  <c r="K380" i="40"/>
  <c r="O380" i="40"/>
  <c r="K381" i="40"/>
  <c r="O381" i="40"/>
  <c r="K382" i="40"/>
  <c r="O382" i="40"/>
  <c r="K383" i="40"/>
  <c r="O383" i="40"/>
  <c r="K384" i="40"/>
  <c r="O384" i="40"/>
  <c r="K385" i="40"/>
  <c r="O385" i="40"/>
  <c r="K386" i="40"/>
  <c r="O386" i="40"/>
  <c r="K387" i="40"/>
  <c r="O387" i="40"/>
  <c r="K388" i="40"/>
  <c r="O388" i="40"/>
  <c r="K389" i="40"/>
  <c r="O389" i="40"/>
  <c r="K390" i="40"/>
  <c r="O390" i="40"/>
  <c r="K391" i="40"/>
  <c r="O391" i="40"/>
  <c r="K392" i="40"/>
  <c r="O392" i="40"/>
  <c r="K393" i="40"/>
  <c r="O393" i="40"/>
  <c r="K394" i="40"/>
  <c r="O394" i="40"/>
  <c r="K395" i="40"/>
  <c r="O395" i="40"/>
  <c r="K396" i="40"/>
  <c r="O396" i="40"/>
  <c r="K397" i="40"/>
  <c r="O397" i="40"/>
  <c r="K398" i="40"/>
  <c r="O398" i="40"/>
  <c r="K399" i="40"/>
  <c r="O399" i="40"/>
  <c r="K400" i="40"/>
  <c r="O400" i="40"/>
  <c r="K401" i="40"/>
  <c r="O401" i="40"/>
  <c r="K402" i="40"/>
  <c r="O402" i="40"/>
  <c r="K403" i="40"/>
  <c r="O403" i="40"/>
  <c r="K404" i="40"/>
  <c r="O404" i="40"/>
  <c r="K405" i="40"/>
  <c r="O405" i="40"/>
  <c r="K406" i="40"/>
  <c r="O406" i="40"/>
  <c r="K407" i="40"/>
  <c r="O407" i="40"/>
  <c r="K408" i="40"/>
  <c r="O408" i="40"/>
  <c r="K409" i="40"/>
  <c r="O409" i="40"/>
  <c r="K410" i="40"/>
  <c r="O410" i="40"/>
  <c r="K411" i="40"/>
  <c r="O411" i="40"/>
  <c r="K412" i="40"/>
  <c r="O412" i="40"/>
  <c r="K413" i="40"/>
  <c r="O413" i="40"/>
  <c r="K414" i="40"/>
  <c r="O414" i="40"/>
  <c r="K415" i="40"/>
  <c r="O415" i="40"/>
  <c r="K416" i="40"/>
  <c r="O416" i="40"/>
  <c r="K417" i="40"/>
  <c r="O417" i="40"/>
  <c r="K418" i="40"/>
  <c r="O418" i="40"/>
  <c r="K419" i="40"/>
  <c r="O419" i="40"/>
  <c r="K420" i="40"/>
  <c r="O420" i="40"/>
  <c r="K421" i="40"/>
  <c r="O421" i="40"/>
  <c r="K422" i="40"/>
  <c r="O422" i="40"/>
  <c r="K423" i="40"/>
  <c r="O423" i="40"/>
  <c r="K424" i="40"/>
  <c r="O424" i="40"/>
  <c r="K425" i="40"/>
  <c r="O425" i="40"/>
  <c r="K426" i="40"/>
  <c r="O426" i="40"/>
  <c r="K427" i="40"/>
  <c r="O427" i="40"/>
  <c r="K428" i="40"/>
  <c r="O428" i="40"/>
  <c r="K429" i="40"/>
  <c r="O429" i="40"/>
  <c r="K430" i="40"/>
  <c r="O430" i="40"/>
  <c r="K431" i="40"/>
  <c r="O431" i="40"/>
  <c r="K432" i="40"/>
  <c r="O432" i="40"/>
  <c r="K433" i="40"/>
  <c r="O433" i="40"/>
  <c r="K434" i="40"/>
  <c r="O434" i="40"/>
  <c r="K435" i="40"/>
  <c r="O435" i="40"/>
  <c r="K436" i="40"/>
  <c r="O436" i="40"/>
  <c r="K437" i="40"/>
  <c r="O437" i="40"/>
  <c r="K438" i="40"/>
  <c r="O438" i="40"/>
  <c r="K439" i="40"/>
  <c r="O439" i="40"/>
  <c r="K440" i="40"/>
  <c r="O440" i="40"/>
  <c r="K441" i="40"/>
  <c r="O441" i="40"/>
  <c r="K442" i="40"/>
  <c r="O442" i="40"/>
  <c r="K443" i="40"/>
  <c r="O443" i="40"/>
  <c r="K444" i="40"/>
  <c r="O444" i="40"/>
  <c r="K445" i="40"/>
  <c r="O445" i="40"/>
  <c r="K446" i="40"/>
  <c r="O446" i="40"/>
  <c r="K447" i="40"/>
  <c r="O447" i="40"/>
  <c r="K448" i="40"/>
  <c r="O448" i="40"/>
  <c r="K449" i="40"/>
  <c r="O449" i="40"/>
  <c r="K450" i="40"/>
  <c r="O450" i="40"/>
  <c r="K451" i="40"/>
  <c r="O451" i="40"/>
  <c r="K452" i="40"/>
  <c r="O452" i="40"/>
  <c r="K453" i="40"/>
  <c r="O453" i="40"/>
  <c r="K454" i="40"/>
  <c r="O454" i="40"/>
  <c r="K455" i="40"/>
  <c r="O455" i="40"/>
  <c r="K456" i="40"/>
  <c r="O456" i="40"/>
  <c r="K457" i="40"/>
  <c r="O457" i="40"/>
  <c r="K458" i="40"/>
  <c r="O458" i="40"/>
  <c r="K459" i="40"/>
  <c r="O459" i="40"/>
  <c r="K460" i="40"/>
  <c r="O460" i="40"/>
  <c r="K461" i="40"/>
  <c r="O461" i="40"/>
  <c r="K462" i="40"/>
  <c r="O462" i="40"/>
  <c r="K463" i="40"/>
  <c r="O463" i="40"/>
  <c r="K464" i="40"/>
  <c r="O464" i="40"/>
  <c r="K465" i="40"/>
  <c r="O465" i="40"/>
  <c r="K466" i="40"/>
  <c r="O466" i="40"/>
  <c r="K467" i="40"/>
  <c r="O467" i="40"/>
  <c r="K468" i="40"/>
  <c r="O468" i="40"/>
  <c r="K469" i="40"/>
  <c r="O469" i="40"/>
  <c r="K470" i="40"/>
  <c r="O470" i="40"/>
  <c r="K471" i="40"/>
  <c r="O471" i="40"/>
  <c r="K472" i="40"/>
  <c r="O472" i="40"/>
  <c r="K473" i="40"/>
  <c r="O473" i="40"/>
  <c r="K474" i="40"/>
  <c r="O474" i="40"/>
  <c r="K475" i="40"/>
  <c r="O475" i="40"/>
  <c r="K476" i="40"/>
  <c r="O476" i="40"/>
  <c r="K477" i="40"/>
  <c r="O477" i="40"/>
  <c r="K478" i="40"/>
  <c r="O478" i="40"/>
  <c r="K479" i="40"/>
  <c r="O479" i="40"/>
  <c r="K480" i="40"/>
  <c r="O480" i="40"/>
  <c r="K481" i="40"/>
  <c r="O481" i="40"/>
  <c r="K482" i="40"/>
  <c r="O482" i="40"/>
  <c r="K483" i="40"/>
  <c r="O483" i="40"/>
  <c r="K484" i="40"/>
  <c r="O484" i="40"/>
  <c r="K485" i="40"/>
  <c r="O485" i="40"/>
  <c r="K486" i="40"/>
  <c r="O486" i="40"/>
  <c r="K487" i="40"/>
  <c r="O487" i="40"/>
  <c r="K488" i="40"/>
  <c r="O488" i="40"/>
  <c r="K489" i="40"/>
  <c r="O489" i="40"/>
  <c r="K490" i="40"/>
  <c r="O490" i="40"/>
  <c r="K491" i="40"/>
  <c r="O491" i="40"/>
  <c r="K492" i="40"/>
  <c r="O492" i="40"/>
  <c r="K493" i="40"/>
  <c r="O493" i="40"/>
  <c r="K494" i="40"/>
  <c r="O494" i="40"/>
  <c r="K495" i="40"/>
  <c r="O495" i="40"/>
  <c r="K496" i="40"/>
  <c r="O496" i="40"/>
  <c r="K497" i="40"/>
  <c r="O497" i="40"/>
  <c r="K498" i="40"/>
  <c r="O498" i="40"/>
  <c r="K499" i="40"/>
  <c r="O499" i="40"/>
  <c r="K500" i="40"/>
  <c r="O500" i="40"/>
  <c r="K501" i="40"/>
  <c r="O501" i="40"/>
  <c r="K502" i="40"/>
  <c r="O502" i="40"/>
  <c r="K503" i="40"/>
  <c r="O503" i="40"/>
  <c r="K504" i="40"/>
  <c r="O504" i="40"/>
  <c r="K505" i="40"/>
  <c r="O505" i="40"/>
  <c r="K506" i="40"/>
  <c r="O506" i="40"/>
  <c r="K507" i="40"/>
  <c r="O507" i="40"/>
  <c r="K508" i="40"/>
  <c r="O508" i="40"/>
  <c r="K509" i="40"/>
  <c r="O509" i="40"/>
  <c r="K510" i="40"/>
  <c r="O510" i="40"/>
  <c r="K511" i="40"/>
  <c r="O511" i="40"/>
  <c r="K512" i="40"/>
  <c r="O512" i="40"/>
  <c r="K513" i="40"/>
  <c r="O513" i="40"/>
  <c r="K514" i="40"/>
  <c r="O514" i="40"/>
  <c r="K515" i="40"/>
  <c r="O515" i="40"/>
  <c r="K76" i="40"/>
  <c r="O76" i="40"/>
  <c r="J77" i="40"/>
  <c r="L77" i="40"/>
  <c r="J78" i="40"/>
  <c r="L78" i="40"/>
  <c r="J79" i="40"/>
  <c r="L79" i="40"/>
  <c r="J80" i="40"/>
  <c r="L80" i="40"/>
  <c r="J81" i="40"/>
  <c r="L81" i="40"/>
  <c r="J82" i="40"/>
  <c r="L82" i="40"/>
  <c r="J83" i="40"/>
  <c r="L83" i="40"/>
  <c r="J84" i="40"/>
  <c r="L84" i="40"/>
  <c r="J85" i="40"/>
  <c r="L85" i="40"/>
  <c r="J86" i="40"/>
  <c r="L86" i="40"/>
  <c r="J87" i="40"/>
  <c r="L87" i="40"/>
  <c r="J88" i="40"/>
  <c r="L88" i="40"/>
  <c r="J89" i="40"/>
  <c r="L89" i="40"/>
  <c r="J90" i="40"/>
  <c r="L90" i="40"/>
  <c r="J91" i="40"/>
  <c r="L91" i="40"/>
  <c r="J92" i="40"/>
  <c r="L92" i="40"/>
  <c r="J93" i="40"/>
  <c r="L93" i="40"/>
  <c r="J94" i="40"/>
  <c r="L94" i="40"/>
  <c r="J95" i="40"/>
  <c r="L95" i="40"/>
  <c r="J96" i="40"/>
  <c r="L96" i="40"/>
  <c r="J97" i="40"/>
  <c r="L97" i="40"/>
  <c r="J98" i="40"/>
  <c r="L98" i="40"/>
  <c r="J99" i="40"/>
  <c r="L99" i="40"/>
  <c r="J100" i="40"/>
  <c r="L100" i="40"/>
  <c r="J101" i="40"/>
  <c r="L101" i="40"/>
  <c r="J102" i="40"/>
  <c r="L102" i="40"/>
  <c r="J103" i="40"/>
  <c r="L103" i="40"/>
  <c r="J104" i="40"/>
  <c r="L104" i="40"/>
  <c r="J105" i="40"/>
  <c r="L105" i="40"/>
  <c r="J106" i="40"/>
  <c r="L106" i="40"/>
  <c r="J107" i="40"/>
  <c r="L107" i="40"/>
  <c r="J108" i="40"/>
  <c r="L108" i="40"/>
  <c r="J109" i="40"/>
  <c r="L109" i="40"/>
  <c r="J110" i="40"/>
  <c r="L110" i="40"/>
  <c r="J111" i="40"/>
  <c r="L111" i="40"/>
  <c r="J112" i="40"/>
  <c r="L112" i="40"/>
  <c r="J113" i="40"/>
  <c r="L113" i="40"/>
  <c r="J114" i="40"/>
  <c r="L114" i="40"/>
  <c r="J115" i="40"/>
  <c r="L115" i="40"/>
  <c r="J116" i="40"/>
  <c r="L116" i="40"/>
  <c r="J117" i="40"/>
  <c r="L117" i="40"/>
  <c r="J118" i="40"/>
  <c r="L118" i="40"/>
  <c r="J119" i="40"/>
  <c r="L119" i="40"/>
  <c r="J120" i="40"/>
  <c r="L120" i="40"/>
  <c r="J121" i="40"/>
  <c r="L121" i="40"/>
  <c r="J122" i="40"/>
  <c r="L122" i="40"/>
  <c r="J123" i="40"/>
  <c r="L123" i="40"/>
  <c r="J124" i="40"/>
  <c r="L124" i="40"/>
  <c r="J125" i="40"/>
  <c r="L125" i="40"/>
  <c r="J126" i="40"/>
  <c r="L126" i="40"/>
  <c r="J127" i="40"/>
  <c r="L127" i="40"/>
  <c r="J128" i="40"/>
  <c r="L128" i="40"/>
  <c r="J129" i="40"/>
  <c r="L129" i="40"/>
  <c r="J130" i="40"/>
  <c r="L130" i="40"/>
  <c r="J131" i="40"/>
  <c r="L131" i="40"/>
  <c r="J132" i="40"/>
  <c r="L132" i="40"/>
  <c r="J133" i="40"/>
  <c r="L133" i="40"/>
  <c r="J134" i="40"/>
  <c r="L134" i="40"/>
  <c r="J135" i="40"/>
  <c r="L135" i="40"/>
  <c r="J136" i="40"/>
  <c r="L136" i="40"/>
  <c r="J137" i="40"/>
  <c r="L137" i="40"/>
  <c r="J138" i="40"/>
  <c r="L138" i="40"/>
  <c r="J139" i="40"/>
  <c r="L139" i="40"/>
  <c r="J140" i="40"/>
  <c r="L140" i="40"/>
  <c r="J141" i="40"/>
  <c r="L141" i="40"/>
  <c r="J142" i="40"/>
  <c r="L142" i="40"/>
  <c r="J143" i="40"/>
  <c r="L143" i="40"/>
  <c r="J144" i="40"/>
  <c r="L144" i="40"/>
  <c r="J145" i="40"/>
  <c r="L145" i="40"/>
  <c r="J146" i="40"/>
  <c r="L146" i="40"/>
  <c r="J147" i="40"/>
  <c r="L147" i="40"/>
  <c r="J148" i="40"/>
  <c r="L148" i="40"/>
  <c r="J149" i="40"/>
  <c r="L149" i="40"/>
  <c r="J150" i="40"/>
  <c r="L150" i="40"/>
  <c r="J151" i="40"/>
  <c r="L151" i="40"/>
  <c r="J152" i="40"/>
  <c r="L152" i="40"/>
  <c r="J153" i="40"/>
  <c r="L153" i="40"/>
  <c r="J154" i="40"/>
  <c r="L154" i="40"/>
  <c r="J155" i="40"/>
  <c r="L155" i="40"/>
  <c r="J156" i="40"/>
  <c r="L156" i="40"/>
  <c r="J157" i="40"/>
  <c r="L157" i="40"/>
  <c r="J158" i="40"/>
  <c r="L158" i="40"/>
  <c r="J159" i="40"/>
  <c r="L159" i="40"/>
  <c r="J160" i="40"/>
  <c r="L160" i="40"/>
  <c r="J161" i="40"/>
  <c r="L161" i="40"/>
  <c r="J162" i="40"/>
  <c r="L162" i="40"/>
  <c r="J163" i="40"/>
  <c r="L163" i="40"/>
  <c r="J164" i="40"/>
  <c r="L164" i="40"/>
  <c r="J165" i="40"/>
  <c r="L165" i="40"/>
  <c r="J166" i="40"/>
  <c r="L166" i="40"/>
  <c r="J167" i="40"/>
  <c r="L167" i="40"/>
  <c r="J168" i="40"/>
  <c r="L168" i="40"/>
  <c r="J169" i="40"/>
  <c r="L169" i="40"/>
  <c r="J170" i="40"/>
  <c r="L170" i="40"/>
  <c r="J171" i="40"/>
  <c r="L171" i="40"/>
  <c r="J172" i="40"/>
  <c r="L172" i="40"/>
  <c r="J173" i="40"/>
  <c r="L173" i="40"/>
  <c r="J174" i="40"/>
  <c r="L174" i="40"/>
  <c r="J175" i="40"/>
  <c r="L175" i="40"/>
  <c r="J176" i="40"/>
  <c r="L176" i="40"/>
  <c r="J177" i="40"/>
  <c r="L177" i="40"/>
  <c r="J178" i="40"/>
  <c r="L178" i="40"/>
  <c r="J179" i="40"/>
  <c r="L179" i="40"/>
  <c r="J180" i="40"/>
  <c r="L180" i="40"/>
  <c r="J181" i="40"/>
  <c r="L181" i="40"/>
  <c r="J182" i="40"/>
  <c r="L182" i="40"/>
  <c r="J183" i="40"/>
  <c r="L183" i="40"/>
  <c r="J184" i="40"/>
  <c r="L184" i="40"/>
  <c r="J185" i="40"/>
  <c r="L185" i="40"/>
  <c r="J186" i="40"/>
  <c r="L186" i="40"/>
  <c r="J187" i="40"/>
  <c r="L187" i="40"/>
  <c r="J188" i="40"/>
  <c r="L188" i="40"/>
  <c r="J189" i="40"/>
  <c r="L189" i="40"/>
  <c r="J190" i="40"/>
  <c r="L190" i="40"/>
  <c r="J191" i="40"/>
  <c r="L191" i="40"/>
  <c r="J192" i="40"/>
  <c r="L192" i="40"/>
  <c r="J193" i="40"/>
  <c r="L193" i="40"/>
  <c r="J194" i="40"/>
  <c r="L194" i="40"/>
  <c r="J195" i="40"/>
  <c r="L195" i="40"/>
  <c r="J196" i="40"/>
  <c r="L196" i="40"/>
  <c r="J197" i="40"/>
  <c r="L197" i="40"/>
  <c r="J198" i="40"/>
  <c r="L198" i="40"/>
  <c r="J199" i="40"/>
  <c r="L199" i="40"/>
  <c r="J200" i="40"/>
  <c r="L200" i="40"/>
  <c r="J201" i="40"/>
  <c r="L201" i="40"/>
  <c r="J202" i="40"/>
  <c r="L202" i="40"/>
  <c r="J203" i="40"/>
  <c r="L203" i="40"/>
  <c r="J204" i="40"/>
  <c r="L204" i="40"/>
  <c r="J205" i="40"/>
  <c r="L205" i="40"/>
  <c r="J206" i="40"/>
  <c r="L206" i="40"/>
  <c r="J207" i="40"/>
  <c r="L207" i="40"/>
  <c r="J208" i="40"/>
  <c r="L208" i="40"/>
  <c r="J209" i="40"/>
  <c r="L209" i="40"/>
  <c r="J210" i="40"/>
  <c r="L210" i="40"/>
  <c r="J211" i="40"/>
  <c r="L211" i="40"/>
  <c r="J212" i="40"/>
  <c r="L212" i="40"/>
  <c r="J213" i="40"/>
  <c r="L213" i="40"/>
  <c r="J214" i="40"/>
  <c r="L214" i="40"/>
  <c r="J215" i="40"/>
  <c r="L215" i="40"/>
  <c r="J216" i="40"/>
  <c r="L216" i="40"/>
  <c r="J217" i="40"/>
  <c r="L217" i="40"/>
  <c r="J218" i="40"/>
  <c r="L218" i="40"/>
  <c r="J219" i="40"/>
  <c r="L219" i="40"/>
  <c r="J220" i="40"/>
  <c r="L220" i="40"/>
  <c r="J221" i="40"/>
  <c r="L221" i="40"/>
  <c r="J222" i="40"/>
  <c r="L222" i="40"/>
  <c r="J223" i="40"/>
  <c r="L223" i="40"/>
  <c r="J224" i="40"/>
  <c r="L224" i="40"/>
  <c r="J225" i="40"/>
  <c r="L225" i="40"/>
  <c r="J226" i="40"/>
  <c r="L226" i="40"/>
  <c r="J227" i="40"/>
  <c r="L227" i="40"/>
  <c r="J228" i="40"/>
  <c r="L228" i="40"/>
  <c r="J229" i="40"/>
  <c r="L229" i="40"/>
  <c r="J230" i="40"/>
  <c r="L230" i="40"/>
  <c r="J231" i="40"/>
  <c r="L231" i="40"/>
  <c r="J232" i="40"/>
  <c r="L232" i="40"/>
  <c r="J233" i="40"/>
  <c r="L233" i="40"/>
  <c r="J234" i="40"/>
  <c r="L234" i="40"/>
  <c r="J235" i="40"/>
  <c r="L235" i="40"/>
  <c r="J236" i="40"/>
  <c r="L236" i="40"/>
  <c r="J237" i="40"/>
  <c r="L237" i="40"/>
  <c r="J238" i="40"/>
  <c r="L238" i="40"/>
  <c r="J239" i="40"/>
  <c r="L239" i="40"/>
  <c r="J240" i="40"/>
  <c r="L240" i="40"/>
  <c r="J241" i="40"/>
  <c r="L241" i="40"/>
  <c r="J242" i="40"/>
  <c r="L242" i="40"/>
  <c r="J243" i="40"/>
  <c r="L243" i="40"/>
  <c r="J244" i="40"/>
  <c r="L244" i="40"/>
  <c r="J245" i="40"/>
  <c r="L245" i="40"/>
  <c r="J246" i="40"/>
  <c r="L246" i="40"/>
  <c r="J247" i="40"/>
  <c r="L247" i="40"/>
  <c r="J248" i="40"/>
  <c r="L248" i="40"/>
  <c r="J249" i="40"/>
  <c r="L249" i="40"/>
  <c r="J250" i="40"/>
  <c r="L250" i="40"/>
  <c r="J251" i="40"/>
  <c r="L251" i="40"/>
  <c r="J252" i="40"/>
  <c r="L252" i="40"/>
  <c r="J253" i="40"/>
  <c r="L253" i="40"/>
  <c r="J254" i="40"/>
  <c r="L254" i="40"/>
  <c r="J255" i="40"/>
  <c r="L255" i="40"/>
  <c r="J256" i="40"/>
  <c r="L256" i="40"/>
  <c r="J257" i="40"/>
  <c r="L257" i="40"/>
  <c r="J258" i="40"/>
  <c r="L258" i="40"/>
  <c r="J259" i="40"/>
  <c r="L259" i="40"/>
  <c r="J260" i="40"/>
  <c r="L260" i="40"/>
  <c r="J261" i="40"/>
  <c r="L261" i="40"/>
  <c r="J262" i="40"/>
  <c r="L262" i="40"/>
  <c r="J263" i="40"/>
  <c r="L263" i="40"/>
  <c r="J264" i="40"/>
  <c r="L264" i="40"/>
  <c r="J265" i="40"/>
  <c r="L265" i="40"/>
  <c r="J266" i="40"/>
  <c r="L266" i="40"/>
  <c r="J267" i="40"/>
  <c r="L267" i="40"/>
  <c r="J268" i="40"/>
  <c r="L268" i="40"/>
  <c r="J269" i="40"/>
  <c r="L269" i="40"/>
  <c r="J270" i="40"/>
  <c r="L270" i="40"/>
  <c r="J271" i="40"/>
  <c r="L271" i="40"/>
  <c r="J272" i="40"/>
  <c r="L272" i="40"/>
  <c r="J273" i="40"/>
  <c r="L273" i="40"/>
  <c r="J274" i="40"/>
  <c r="L274" i="40"/>
  <c r="J275" i="40"/>
  <c r="L275" i="40"/>
  <c r="J276" i="40"/>
  <c r="L276" i="40"/>
  <c r="J277" i="40"/>
  <c r="L277" i="40"/>
  <c r="J278" i="40"/>
  <c r="L278" i="40"/>
  <c r="J279" i="40"/>
  <c r="L279" i="40"/>
  <c r="J280" i="40"/>
  <c r="L280" i="40"/>
  <c r="J281" i="40"/>
  <c r="L281" i="40"/>
  <c r="J282" i="40"/>
  <c r="L282" i="40"/>
  <c r="J283" i="40"/>
  <c r="L283" i="40"/>
  <c r="J284" i="40"/>
  <c r="L284" i="40"/>
  <c r="J285" i="40"/>
  <c r="L285" i="40"/>
  <c r="J286" i="40"/>
  <c r="L286" i="40"/>
  <c r="J287" i="40"/>
  <c r="L287" i="40"/>
  <c r="J288" i="40"/>
  <c r="L288" i="40"/>
  <c r="J289" i="40"/>
  <c r="L289" i="40"/>
  <c r="J290" i="40"/>
  <c r="L290" i="40"/>
  <c r="J291" i="40"/>
  <c r="L291" i="40"/>
  <c r="J292" i="40"/>
  <c r="L292" i="40"/>
  <c r="J293" i="40"/>
  <c r="L293" i="40"/>
  <c r="J294" i="40"/>
  <c r="L294" i="40"/>
  <c r="J295" i="40"/>
  <c r="L295" i="40"/>
  <c r="J296" i="40"/>
  <c r="L296" i="40"/>
  <c r="J297" i="40"/>
  <c r="L297" i="40"/>
  <c r="J298" i="40"/>
  <c r="L298" i="40"/>
  <c r="J299" i="40"/>
  <c r="L299" i="40"/>
  <c r="J300" i="40"/>
  <c r="L300" i="40"/>
  <c r="J301" i="40"/>
  <c r="L301" i="40"/>
  <c r="J302" i="40"/>
  <c r="L302" i="40"/>
  <c r="J303" i="40"/>
  <c r="L303" i="40"/>
  <c r="J304" i="40"/>
  <c r="L304" i="40"/>
  <c r="J305" i="40"/>
  <c r="L305" i="40"/>
  <c r="J306" i="40"/>
  <c r="L306" i="40"/>
  <c r="J307" i="40"/>
  <c r="L307" i="40"/>
  <c r="J308" i="40"/>
  <c r="L308" i="40"/>
  <c r="J309" i="40"/>
  <c r="L309" i="40"/>
  <c r="J310" i="40"/>
  <c r="L310" i="40"/>
  <c r="J311" i="40"/>
  <c r="L311" i="40"/>
  <c r="J312" i="40"/>
  <c r="L312" i="40"/>
  <c r="J313" i="40"/>
  <c r="L313" i="40"/>
  <c r="J314" i="40"/>
  <c r="L314" i="40"/>
  <c r="J315" i="40"/>
  <c r="L315" i="40"/>
  <c r="J316" i="40"/>
  <c r="L316" i="40"/>
  <c r="J317" i="40"/>
  <c r="L317" i="40"/>
  <c r="J318" i="40"/>
  <c r="L318" i="40"/>
  <c r="J319" i="40"/>
  <c r="L319" i="40"/>
  <c r="J320" i="40"/>
  <c r="L320" i="40"/>
  <c r="J321" i="40"/>
  <c r="L321" i="40"/>
  <c r="J322" i="40"/>
  <c r="L322" i="40"/>
  <c r="J323" i="40"/>
  <c r="L323" i="40"/>
  <c r="J324" i="40"/>
  <c r="L324" i="40"/>
  <c r="J325" i="40"/>
  <c r="L325" i="40"/>
  <c r="J326" i="40"/>
  <c r="L326" i="40"/>
  <c r="J327" i="40"/>
  <c r="L327" i="40"/>
  <c r="J328" i="40"/>
  <c r="L328" i="40"/>
  <c r="J329" i="40"/>
  <c r="L329" i="40"/>
  <c r="J330" i="40"/>
  <c r="L330" i="40"/>
  <c r="J331" i="40"/>
  <c r="L331" i="40"/>
  <c r="J332" i="40"/>
  <c r="L332" i="40"/>
  <c r="J333" i="40"/>
  <c r="L333" i="40"/>
  <c r="J334" i="40"/>
  <c r="L334" i="40"/>
  <c r="J335" i="40"/>
  <c r="L335" i="40"/>
  <c r="J336" i="40"/>
  <c r="L336" i="40"/>
  <c r="J337" i="40"/>
  <c r="L337" i="40"/>
  <c r="J338" i="40"/>
  <c r="L338" i="40"/>
  <c r="J339" i="40"/>
  <c r="L339" i="40"/>
  <c r="J340" i="40"/>
  <c r="L340" i="40"/>
  <c r="J341" i="40"/>
  <c r="L341" i="40"/>
  <c r="J342" i="40"/>
  <c r="L342" i="40"/>
  <c r="J343" i="40"/>
  <c r="L343" i="40"/>
  <c r="J344" i="40"/>
  <c r="L344" i="40"/>
  <c r="J345" i="40"/>
  <c r="L345" i="40"/>
  <c r="J346" i="40"/>
  <c r="L346" i="40"/>
  <c r="J347" i="40"/>
  <c r="L347" i="40"/>
  <c r="J348" i="40"/>
  <c r="L348" i="40"/>
  <c r="J349" i="40"/>
  <c r="L349" i="40"/>
  <c r="J350" i="40"/>
  <c r="L350" i="40"/>
  <c r="J351" i="40"/>
  <c r="L351" i="40"/>
  <c r="J352" i="40"/>
  <c r="L352" i="40"/>
  <c r="J353" i="40"/>
  <c r="L353" i="40"/>
  <c r="J354" i="40"/>
  <c r="L354" i="40"/>
  <c r="J355" i="40"/>
  <c r="L355" i="40"/>
  <c r="J356" i="40"/>
  <c r="L356" i="40"/>
  <c r="J357" i="40"/>
  <c r="L357" i="40"/>
  <c r="J358" i="40"/>
  <c r="L358" i="40"/>
  <c r="J359" i="40"/>
  <c r="L359" i="40"/>
  <c r="J360" i="40"/>
  <c r="L360" i="40"/>
  <c r="J361" i="40"/>
  <c r="L361" i="40"/>
  <c r="J362" i="40"/>
  <c r="L362" i="40"/>
  <c r="J363" i="40"/>
  <c r="L363" i="40"/>
  <c r="J364" i="40"/>
  <c r="L364" i="40"/>
  <c r="J365" i="40"/>
  <c r="L365" i="40"/>
  <c r="J366" i="40"/>
  <c r="L366" i="40"/>
  <c r="J367" i="40"/>
  <c r="L367" i="40"/>
  <c r="J368" i="40"/>
  <c r="L368" i="40"/>
  <c r="J369" i="40"/>
  <c r="L369" i="40"/>
  <c r="J370" i="40"/>
  <c r="L370" i="40"/>
  <c r="J371" i="40"/>
  <c r="L371" i="40"/>
  <c r="J372" i="40"/>
  <c r="L372" i="40"/>
  <c r="J373" i="40"/>
  <c r="L373" i="40"/>
  <c r="J374" i="40"/>
  <c r="L374" i="40"/>
  <c r="J375" i="40"/>
  <c r="L375" i="40"/>
  <c r="J376" i="40"/>
  <c r="L376" i="40"/>
  <c r="J377" i="40"/>
  <c r="L377" i="40"/>
  <c r="J378" i="40"/>
  <c r="L378" i="40"/>
  <c r="J379" i="40"/>
  <c r="L379" i="40"/>
  <c r="J380" i="40"/>
  <c r="L380" i="40"/>
  <c r="J381" i="40"/>
  <c r="L381" i="40"/>
  <c r="J382" i="40"/>
  <c r="L382" i="40"/>
  <c r="J383" i="40"/>
  <c r="L383" i="40"/>
  <c r="J384" i="40"/>
  <c r="L384" i="40"/>
  <c r="J385" i="40"/>
  <c r="L385" i="40"/>
  <c r="J386" i="40"/>
  <c r="L386" i="40"/>
  <c r="J387" i="40"/>
  <c r="L387" i="40"/>
  <c r="J388" i="40"/>
  <c r="L388" i="40"/>
  <c r="J389" i="40"/>
  <c r="L389" i="40"/>
  <c r="J390" i="40"/>
  <c r="L390" i="40"/>
  <c r="J391" i="40"/>
  <c r="L391" i="40"/>
  <c r="J392" i="40"/>
  <c r="L392" i="40"/>
  <c r="J393" i="40"/>
  <c r="L393" i="40"/>
  <c r="J394" i="40"/>
  <c r="L394" i="40"/>
  <c r="J395" i="40"/>
  <c r="L395" i="40"/>
  <c r="J396" i="40"/>
  <c r="L396" i="40"/>
  <c r="J397" i="40"/>
  <c r="L397" i="40"/>
  <c r="J398" i="40"/>
  <c r="L398" i="40"/>
  <c r="J399" i="40"/>
  <c r="L399" i="40"/>
  <c r="J400" i="40"/>
  <c r="L400" i="40"/>
  <c r="J401" i="40"/>
  <c r="L401" i="40"/>
  <c r="J402" i="40"/>
  <c r="L402" i="40"/>
  <c r="J403" i="40"/>
  <c r="L403" i="40"/>
  <c r="J404" i="40"/>
  <c r="L404" i="40"/>
  <c r="J405" i="40"/>
  <c r="L405" i="40"/>
  <c r="J406" i="40"/>
  <c r="L406" i="40"/>
  <c r="J407" i="40"/>
  <c r="L407" i="40"/>
  <c r="J408" i="40"/>
  <c r="L408" i="40"/>
  <c r="J409" i="40"/>
  <c r="L409" i="40"/>
  <c r="J410" i="40"/>
  <c r="L410" i="40"/>
  <c r="J411" i="40"/>
  <c r="L411" i="40"/>
  <c r="J412" i="40"/>
  <c r="L412" i="40"/>
  <c r="J413" i="40"/>
  <c r="L413" i="40"/>
  <c r="J414" i="40"/>
  <c r="L414" i="40"/>
  <c r="J415" i="40"/>
  <c r="L415" i="40"/>
  <c r="J416" i="40"/>
  <c r="L416" i="40"/>
  <c r="J417" i="40"/>
  <c r="L417" i="40"/>
  <c r="J418" i="40"/>
  <c r="L418" i="40"/>
  <c r="J419" i="40"/>
  <c r="L419" i="40"/>
  <c r="J420" i="40"/>
  <c r="L420" i="40"/>
  <c r="J421" i="40"/>
  <c r="L421" i="40"/>
  <c r="J422" i="40"/>
  <c r="L422" i="40"/>
  <c r="J423" i="40"/>
  <c r="L423" i="40"/>
  <c r="J424" i="40"/>
  <c r="L424" i="40"/>
  <c r="J425" i="40"/>
  <c r="L425" i="40"/>
  <c r="J426" i="40"/>
  <c r="L426" i="40"/>
  <c r="J427" i="40"/>
  <c r="L427" i="40"/>
  <c r="J428" i="40"/>
  <c r="L428" i="40"/>
  <c r="J429" i="40"/>
  <c r="L429" i="40"/>
  <c r="J430" i="40"/>
  <c r="L430" i="40"/>
  <c r="J431" i="40"/>
  <c r="L431" i="40"/>
  <c r="J432" i="40"/>
  <c r="L432" i="40"/>
  <c r="J433" i="40"/>
  <c r="L433" i="40"/>
  <c r="J434" i="40"/>
  <c r="L434" i="40"/>
  <c r="J435" i="40"/>
  <c r="L435" i="40"/>
  <c r="J436" i="40"/>
  <c r="L436" i="40"/>
  <c r="J437" i="40"/>
  <c r="L437" i="40"/>
  <c r="J438" i="40"/>
  <c r="L438" i="40"/>
  <c r="J439" i="40"/>
  <c r="L439" i="40"/>
  <c r="J440" i="40"/>
  <c r="L440" i="40"/>
  <c r="J441" i="40"/>
  <c r="L441" i="40"/>
  <c r="J442" i="40"/>
  <c r="L442" i="40"/>
  <c r="J443" i="40"/>
  <c r="L443" i="40"/>
  <c r="J444" i="40"/>
  <c r="L444" i="40"/>
  <c r="J445" i="40"/>
  <c r="L445" i="40"/>
  <c r="J446" i="40"/>
  <c r="L446" i="40"/>
  <c r="J447" i="40"/>
  <c r="L447" i="40"/>
  <c r="J448" i="40"/>
  <c r="L448" i="40"/>
  <c r="J449" i="40"/>
  <c r="L449" i="40"/>
  <c r="J450" i="40"/>
  <c r="L450" i="40"/>
  <c r="J451" i="40"/>
  <c r="L451" i="40"/>
  <c r="J452" i="40"/>
  <c r="L452" i="40"/>
  <c r="J453" i="40"/>
  <c r="L453" i="40"/>
  <c r="J454" i="40"/>
  <c r="L454" i="40"/>
  <c r="J455" i="40"/>
  <c r="L455" i="40"/>
  <c r="J456" i="40"/>
  <c r="L456" i="40"/>
  <c r="J457" i="40"/>
  <c r="L457" i="40"/>
  <c r="J458" i="40"/>
  <c r="L458" i="40"/>
  <c r="J459" i="40"/>
  <c r="L459" i="40"/>
  <c r="J460" i="40"/>
  <c r="L460" i="40"/>
  <c r="J461" i="40"/>
  <c r="L461" i="40"/>
  <c r="J462" i="40"/>
  <c r="L462" i="40"/>
  <c r="J463" i="40"/>
  <c r="L463" i="40"/>
  <c r="J464" i="40"/>
  <c r="L464" i="40"/>
  <c r="J465" i="40"/>
  <c r="L465" i="40"/>
  <c r="J466" i="40"/>
  <c r="L466" i="40"/>
  <c r="J467" i="40"/>
  <c r="L467" i="40"/>
  <c r="J468" i="40"/>
  <c r="L468" i="40"/>
  <c r="J469" i="40"/>
  <c r="L469" i="40"/>
  <c r="J470" i="40"/>
  <c r="L470" i="40"/>
  <c r="J471" i="40"/>
  <c r="L471" i="40"/>
  <c r="J472" i="40"/>
  <c r="L472" i="40"/>
  <c r="J473" i="40"/>
  <c r="L473" i="40"/>
  <c r="J474" i="40"/>
  <c r="L474" i="40"/>
  <c r="J475" i="40"/>
  <c r="L475" i="40"/>
  <c r="J476" i="40"/>
  <c r="L476" i="40"/>
  <c r="J477" i="40"/>
  <c r="L477" i="40"/>
  <c r="J478" i="40"/>
  <c r="L478" i="40"/>
  <c r="J479" i="40"/>
  <c r="L479" i="40"/>
  <c r="J480" i="40"/>
  <c r="L480" i="40"/>
  <c r="J481" i="40"/>
  <c r="L481" i="40"/>
  <c r="J482" i="40"/>
  <c r="L482" i="40"/>
  <c r="J483" i="40"/>
  <c r="L483" i="40"/>
  <c r="J484" i="40"/>
  <c r="L484" i="40"/>
  <c r="J485" i="40"/>
  <c r="L485" i="40"/>
  <c r="J486" i="40"/>
  <c r="L486" i="40"/>
  <c r="J487" i="40"/>
  <c r="L487" i="40"/>
  <c r="J488" i="40"/>
  <c r="L488" i="40"/>
  <c r="J489" i="40"/>
  <c r="L489" i="40"/>
  <c r="J490" i="40"/>
  <c r="L490" i="40"/>
  <c r="J491" i="40"/>
  <c r="L491" i="40"/>
  <c r="J492" i="40"/>
  <c r="L492" i="40"/>
  <c r="J493" i="40"/>
  <c r="L493" i="40"/>
  <c r="J494" i="40"/>
  <c r="L494" i="40"/>
  <c r="J495" i="40"/>
  <c r="L495" i="40"/>
  <c r="J496" i="40"/>
  <c r="L496" i="40"/>
  <c r="J497" i="40"/>
  <c r="L497" i="40"/>
  <c r="J498" i="40"/>
  <c r="L498" i="40"/>
  <c r="J499" i="40"/>
  <c r="L499" i="40"/>
  <c r="J500" i="40"/>
  <c r="L500" i="40"/>
  <c r="J501" i="40"/>
  <c r="L501" i="40"/>
  <c r="J502" i="40"/>
  <c r="L502" i="40"/>
  <c r="J503" i="40"/>
  <c r="L503" i="40"/>
  <c r="J504" i="40"/>
  <c r="L504" i="40"/>
  <c r="J505" i="40"/>
  <c r="L505" i="40"/>
  <c r="J506" i="40"/>
  <c r="L506" i="40"/>
  <c r="J507" i="40"/>
  <c r="L507" i="40"/>
  <c r="J508" i="40"/>
  <c r="L508" i="40"/>
  <c r="J509" i="40"/>
  <c r="L509" i="40"/>
  <c r="J510" i="40"/>
  <c r="L510" i="40"/>
  <c r="J511" i="40"/>
  <c r="L511" i="40"/>
  <c r="J512" i="40"/>
  <c r="L512" i="40"/>
  <c r="J513" i="40"/>
  <c r="L513" i="40"/>
  <c r="J514" i="40"/>
  <c r="L514" i="40"/>
  <c r="J515" i="40"/>
  <c r="L515" i="40"/>
  <c r="J76" i="40"/>
  <c r="L76" i="40"/>
  <c r="G406" i="35"/>
  <c r="I406" i="35"/>
  <c r="G115" i="35"/>
  <c r="I115" i="35"/>
  <c r="G329" i="35"/>
  <c r="I329" i="35"/>
  <c r="G557" i="23"/>
  <c r="I557" i="23"/>
  <c r="G591" i="23"/>
  <c r="I591" i="23"/>
  <c r="G707" i="23"/>
  <c r="I707" i="23"/>
  <c r="I114" i="23"/>
  <c r="K114" i="23"/>
  <c r="AL663" i="31"/>
  <c r="AM663" i="31"/>
  <c r="AN663" i="31"/>
  <c r="AL664" i="31"/>
  <c r="AM664" i="31"/>
  <c r="AN664" i="31"/>
  <c r="AL665" i="31"/>
  <c r="AM665" i="31"/>
  <c r="AN665" i="31"/>
  <c r="AL666" i="31"/>
  <c r="AM666" i="31"/>
  <c r="AN666" i="31"/>
  <c r="AL667" i="31"/>
  <c r="AM667" i="31"/>
  <c r="AN667" i="31"/>
  <c r="AL668" i="31"/>
  <c r="AM668" i="31"/>
  <c r="AN668" i="31"/>
  <c r="AL669" i="31"/>
  <c r="AM669" i="31"/>
  <c r="AN669" i="31"/>
  <c r="AL670" i="31"/>
  <c r="AM670" i="31"/>
  <c r="AN670" i="31"/>
  <c r="AL671" i="31"/>
  <c r="AM671" i="31"/>
  <c r="AN671" i="31"/>
  <c r="AL672" i="31"/>
  <c r="AM672" i="31"/>
  <c r="AN672" i="31"/>
  <c r="AL673" i="31"/>
  <c r="AM673" i="31"/>
  <c r="AN673" i="31"/>
  <c r="AL674" i="31"/>
  <c r="AM674" i="31"/>
  <c r="AN674" i="31"/>
  <c r="AL675" i="31"/>
  <c r="AM675" i="31"/>
  <c r="AN675" i="31"/>
  <c r="AL676" i="31"/>
  <c r="AM676" i="31"/>
  <c r="AN676" i="31"/>
  <c r="AL677" i="31"/>
  <c r="AM677" i="31"/>
  <c r="AN677" i="31"/>
  <c r="AL678" i="31"/>
  <c r="AM678" i="31"/>
  <c r="AN678" i="31"/>
  <c r="AL679" i="31"/>
  <c r="AM679" i="31"/>
  <c r="AN679" i="31"/>
  <c r="AL680" i="31"/>
  <c r="AM680" i="31"/>
  <c r="AN680" i="31"/>
  <c r="AL681" i="31"/>
  <c r="AM681" i="31"/>
  <c r="AN681" i="31"/>
  <c r="AL682" i="31"/>
  <c r="AM682" i="31"/>
  <c r="AN682" i="31"/>
  <c r="AL683" i="31"/>
  <c r="AM683" i="31"/>
  <c r="AN683" i="31"/>
  <c r="AL684" i="31"/>
  <c r="AM684" i="31"/>
  <c r="AN684" i="31"/>
  <c r="AL685" i="31"/>
  <c r="AM685" i="31"/>
  <c r="AN685" i="31"/>
  <c r="AL686" i="31"/>
  <c r="AM686" i="31"/>
  <c r="AN686" i="31"/>
  <c r="AL687" i="31"/>
  <c r="AM687" i="31"/>
  <c r="AN687" i="31"/>
  <c r="AL688" i="31"/>
  <c r="AM688" i="31"/>
  <c r="AN688" i="31"/>
  <c r="AL689" i="31"/>
  <c r="AM689" i="31"/>
  <c r="AN689" i="31"/>
  <c r="AL690" i="31"/>
  <c r="AM690" i="31"/>
  <c r="AN690" i="31"/>
  <c r="AL691" i="31"/>
  <c r="AM691" i="31"/>
  <c r="AN691" i="31"/>
  <c r="AL692" i="31"/>
  <c r="AM692" i="31"/>
  <c r="AN692" i="31"/>
  <c r="AL693" i="31"/>
  <c r="AM693" i="31"/>
  <c r="AN693" i="31"/>
  <c r="AL694" i="31"/>
  <c r="AM694" i="31"/>
  <c r="AN694" i="31"/>
  <c r="AL695" i="31"/>
  <c r="AM695" i="31"/>
  <c r="AN695" i="31"/>
  <c r="AL696" i="31"/>
  <c r="AM696" i="31"/>
  <c r="AN696" i="31"/>
  <c r="AL697" i="31"/>
  <c r="AM697" i="31"/>
  <c r="AN697" i="31"/>
  <c r="AL698" i="31"/>
  <c r="AM698" i="31"/>
  <c r="AN698" i="31"/>
  <c r="AL699" i="31"/>
  <c r="AM699" i="31"/>
  <c r="AN699" i="31"/>
  <c r="AL700" i="31"/>
  <c r="AM700" i="31"/>
  <c r="AN700" i="31"/>
  <c r="AL701" i="31"/>
  <c r="AM701" i="31"/>
  <c r="AN701" i="31"/>
  <c r="AL702" i="31"/>
  <c r="AM702" i="31"/>
  <c r="AN702" i="31"/>
  <c r="AL703" i="31"/>
  <c r="AM703" i="31"/>
  <c r="AN703" i="31"/>
  <c r="AL704" i="31"/>
  <c r="AM704" i="31"/>
  <c r="AN704" i="31"/>
  <c r="AL705" i="31"/>
  <c r="AM705" i="31"/>
  <c r="AN705" i="31"/>
  <c r="AL706" i="31"/>
  <c r="AM706" i="31"/>
  <c r="AN706" i="31"/>
  <c r="AL707" i="31"/>
  <c r="AM707" i="31"/>
  <c r="AN707" i="31"/>
  <c r="AL708" i="31"/>
  <c r="AM708" i="31"/>
  <c r="AN708" i="31"/>
  <c r="AL709" i="31"/>
  <c r="AM709" i="31"/>
  <c r="AN709" i="31"/>
  <c r="AL710" i="31"/>
  <c r="AM710" i="31"/>
  <c r="AN710" i="31"/>
  <c r="AL711" i="31"/>
  <c r="AM711" i="31"/>
  <c r="AN711" i="31"/>
  <c r="AL712" i="31"/>
  <c r="AM712" i="31"/>
  <c r="AN712" i="31"/>
  <c r="AL713" i="31"/>
  <c r="AM713" i="31"/>
  <c r="AN713" i="31"/>
  <c r="AL714" i="31"/>
  <c r="AM714" i="31"/>
  <c r="AN714" i="31"/>
  <c r="AL715" i="31"/>
  <c r="AM715" i="31"/>
  <c r="AN715" i="31"/>
  <c r="AL716" i="31"/>
  <c r="AM716" i="31"/>
  <c r="AN716" i="31"/>
  <c r="AL717" i="31"/>
  <c r="AM717" i="31"/>
  <c r="AN717" i="31"/>
  <c r="AL718" i="31"/>
  <c r="AM718" i="31"/>
  <c r="AN718" i="31"/>
  <c r="AL719" i="31"/>
  <c r="AM719" i="31"/>
  <c r="AN719" i="31"/>
  <c r="AL720" i="31"/>
  <c r="AM720" i="31"/>
  <c r="AN720" i="31"/>
  <c r="AL721" i="31"/>
  <c r="AM721" i="31"/>
  <c r="AN721" i="31"/>
  <c r="AL722" i="31"/>
  <c r="AM722" i="31"/>
  <c r="AN722" i="31"/>
  <c r="AL723" i="31"/>
  <c r="AM723" i="31"/>
  <c r="AN723" i="31"/>
  <c r="AL724" i="31"/>
  <c r="AM724" i="31"/>
  <c r="AN724" i="31"/>
  <c r="AL725" i="31"/>
  <c r="AM725" i="31"/>
  <c r="AN725" i="31"/>
  <c r="AL726" i="31"/>
  <c r="AM726" i="31"/>
  <c r="AN726" i="31"/>
  <c r="AL727" i="31"/>
  <c r="AM727" i="31"/>
  <c r="AN727" i="31"/>
  <c r="AL728" i="31"/>
  <c r="AM728" i="31"/>
  <c r="AN728" i="31"/>
  <c r="AL729" i="31"/>
  <c r="AM729" i="31"/>
  <c r="AN729" i="31"/>
  <c r="AL730" i="31"/>
  <c r="AM730" i="31"/>
  <c r="AN730" i="31"/>
  <c r="AL731" i="31"/>
  <c r="AM731" i="31"/>
  <c r="AN731" i="31"/>
  <c r="AL732" i="31"/>
  <c r="AM732" i="31"/>
  <c r="AN732" i="31"/>
  <c r="AL733" i="31"/>
  <c r="AM733" i="31"/>
  <c r="AN733" i="31"/>
  <c r="AL734" i="31"/>
  <c r="AM734" i="31"/>
  <c r="AN734" i="31"/>
  <c r="AL735" i="31"/>
  <c r="AM735" i="31"/>
  <c r="AN735" i="31"/>
  <c r="AL736" i="31"/>
  <c r="AM736" i="31"/>
  <c r="AN736" i="31"/>
  <c r="AL737" i="31"/>
  <c r="AM737" i="31"/>
  <c r="AN737" i="31"/>
  <c r="AL738" i="31"/>
  <c r="AM738" i="31"/>
  <c r="AN738" i="31"/>
  <c r="AL739" i="31"/>
  <c r="AM739" i="31"/>
  <c r="AN739" i="31"/>
  <c r="AL740" i="31"/>
  <c r="AM740" i="31"/>
  <c r="AN740" i="31"/>
  <c r="AL741" i="31"/>
  <c r="AM741" i="31"/>
  <c r="AN741" i="31"/>
  <c r="AL742" i="31"/>
  <c r="AM742" i="31"/>
  <c r="AN742" i="31"/>
  <c r="AL743" i="31"/>
  <c r="AM743" i="31"/>
  <c r="AN743" i="31"/>
  <c r="AL744" i="31"/>
  <c r="AM744" i="31"/>
  <c r="AN744" i="31"/>
  <c r="AL745" i="31"/>
  <c r="AM745" i="31"/>
  <c r="AN745" i="31"/>
  <c r="AL746" i="31"/>
  <c r="AM746" i="31"/>
  <c r="AN746" i="31"/>
  <c r="AL747" i="31"/>
  <c r="AM747" i="31"/>
  <c r="AN747" i="31"/>
  <c r="AL748" i="31"/>
  <c r="AM748" i="31"/>
  <c r="AN748" i="31"/>
  <c r="AL749" i="31"/>
  <c r="AM749" i="31"/>
  <c r="AN749" i="31"/>
  <c r="AL750" i="31"/>
  <c r="AM750" i="31"/>
  <c r="AN750" i="31"/>
  <c r="AL751" i="31"/>
  <c r="AM751" i="31"/>
  <c r="AN751" i="31"/>
  <c r="AL752" i="31"/>
  <c r="AM752" i="31"/>
  <c r="AN752" i="31"/>
  <c r="AL753" i="31"/>
  <c r="AM753" i="31"/>
  <c r="AN753" i="31"/>
  <c r="AL754" i="31"/>
  <c r="AM754" i="31"/>
  <c r="AN754" i="31"/>
  <c r="AL755" i="31"/>
  <c r="AM755" i="31"/>
  <c r="AN755" i="31"/>
  <c r="AL756" i="31"/>
  <c r="AM756" i="31"/>
  <c r="AN756" i="31"/>
  <c r="AL757" i="31"/>
  <c r="AM757" i="31"/>
  <c r="AN757" i="31"/>
  <c r="AL758" i="31"/>
  <c r="AM758" i="31"/>
  <c r="AN758" i="31"/>
  <c r="AL759" i="31"/>
  <c r="AM759" i="31"/>
  <c r="AN759" i="31"/>
  <c r="AL760" i="31"/>
  <c r="AM760" i="31"/>
  <c r="AN760" i="31"/>
  <c r="AL761" i="31"/>
  <c r="AM761" i="31"/>
  <c r="AN761" i="31"/>
  <c r="AL762" i="31"/>
  <c r="AM762" i="31"/>
  <c r="AN762" i="31"/>
  <c r="AL763" i="31"/>
  <c r="AM763" i="31"/>
  <c r="AN763" i="31"/>
  <c r="AL764" i="31"/>
  <c r="AM764" i="31"/>
  <c r="AN764" i="31"/>
  <c r="AL765" i="31"/>
  <c r="AM765" i="31"/>
  <c r="AN765" i="31"/>
  <c r="AL766" i="31"/>
  <c r="AM766" i="31"/>
  <c r="AN766" i="31"/>
  <c r="AL767" i="31"/>
  <c r="AM767" i="31"/>
  <c r="AN767" i="31"/>
  <c r="AL768" i="31"/>
  <c r="AM768" i="31"/>
  <c r="AN768" i="31"/>
  <c r="AL769" i="31"/>
  <c r="AM769" i="31"/>
  <c r="AN769" i="31"/>
  <c r="AL770" i="31"/>
  <c r="AM770" i="31"/>
  <c r="AN770" i="31"/>
  <c r="AL771" i="31"/>
  <c r="AM771" i="31"/>
  <c r="AN771" i="31"/>
  <c r="AL772" i="31"/>
  <c r="AM772" i="31"/>
  <c r="AN772" i="31"/>
  <c r="AL773" i="31"/>
  <c r="AM773" i="31"/>
  <c r="AN773" i="31"/>
  <c r="AL774" i="31"/>
  <c r="AM774" i="31"/>
  <c r="AN774" i="31"/>
  <c r="AL775" i="31"/>
  <c r="AM775" i="31"/>
  <c r="AN775" i="31"/>
  <c r="AL776" i="31"/>
  <c r="AM776" i="31"/>
  <c r="AN776" i="31"/>
  <c r="AL777" i="31"/>
  <c r="AM777" i="31"/>
  <c r="AN777" i="31"/>
  <c r="AL778" i="31"/>
  <c r="AM778" i="31"/>
  <c r="AN778" i="31"/>
  <c r="AL779" i="31"/>
  <c r="AM779" i="31"/>
  <c r="AN779" i="31"/>
  <c r="AL780" i="31"/>
  <c r="AM780" i="31"/>
  <c r="AN780" i="31"/>
  <c r="AL781" i="31"/>
  <c r="AM781" i="31"/>
  <c r="AN781" i="31"/>
  <c r="AL782" i="31"/>
  <c r="AM782" i="31"/>
  <c r="AN782" i="31"/>
  <c r="AL783" i="31"/>
  <c r="AM783" i="31"/>
  <c r="AN783" i="31"/>
  <c r="AL784" i="31"/>
  <c r="AM784" i="31"/>
  <c r="AN784" i="31"/>
  <c r="AL785" i="31"/>
  <c r="AM785" i="31"/>
  <c r="AN785" i="31"/>
  <c r="AL786" i="31"/>
  <c r="AM786" i="31"/>
  <c r="AN786" i="31"/>
  <c r="AL787" i="31"/>
  <c r="AM787" i="31"/>
  <c r="AN787" i="31"/>
  <c r="AL788" i="31"/>
  <c r="AM788" i="31"/>
  <c r="AN788" i="31"/>
  <c r="AL789" i="31"/>
  <c r="AM789" i="31"/>
  <c r="AN789" i="31"/>
  <c r="AL790" i="31"/>
  <c r="AM790" i="31"/>
  <c r="AN790" i="31"/>
  <c r="AL791" i="31"/>
  <c r="AM791" i="31"/>
  <c r="AN791" i="31"/>
  <c r="AL792" i="31"/>
  <c r="AM792" i="31"/>
  <c r="AN792" i="31"/>
  <c r="AL793" i="31"/>
  <c r="AM793" i="31"/>
  <c r="AN793" i="31"/>
  <c r="AL794" i="31"/>
  <c r="AM794" i="31"/>
  <c r="AN794" i="31"/>
  <c r="AL795" i="31"/>
  <c r="AM795" i="31"/>
  <c r="AN795" i="31"/>
  <c r="AL796" i="31"/>
  <c r="AM796" i="31"/>
  <c r="AN796" i="31"/>
  <c r="AL797" i="31"/>
  <c r="AM797" i="31"/>
  <c r="AN797" i="31"/>
  <c r="AL798" i="31"/>
  <c r="AM798" i="31"/>
  <c r="AN798" i="31"/>
  <c r="AL799" i="31"/>
  <c r="AM799" i="31"/>
  <c r="AN799" i="31"/>
  <c r="AL800" i="31"/>
  <c r="AM800" i="31"/>
  <c r="AN800" i="31"/>
  <c r="AL801" i="31"/>
  <c r="AM801" i="31"/>
  <c r="AN801" i="31"/>
  <c r="AL802" i="31"/>
  <c r="AM802" i="31"/>
  <c r="AN802" i="31"/>
  <c r="AL803" i="31"/>
  <c r="AM803" i="31"/>
  <c r="AN803" i="31"/>
  <c r="AL804" i="31"/>
  <c r="AM804" i="31"/>
  <c r="AN804" i="31"/>
  <c r="AL805" i="31"/>
  <c r="AM805" i="31"/>
  <c r="AN805" i="31"/>
  <c r="AL806" i="31"/>
  <c r="AM806" i="31"/>
  <c r="AN806" i="31"/>
  <c r="AL807" i="31"/>
  <c r="AM807" i="31"/>
  <c r="AN807" i="31"/>
  <c r="AL808" i="31"/>
  <c r="AM808" i="31"/>
  <c r="AN808" i="31"/>
  <c r="AL809" i="31"/>
  <c r="AM809" i="31"/>
  <c r="AN809" i="31"/>
  <c r="AL810" i="31"/>
  <c r="AM810" i="31"/>
  <c r="AN810" i="31"/>
  <c r="AL811" i="31"/>
  <c r="AM811" i="31"/>
  <c r="AN811" i="31"/>
  <c r="AL812" i="31"/>
  <c r="AM812" i="31"/>
  <c r="AN812" i="31"/>
  <c r="AL813" i="31"/>
  <c r="AM813" i="31"/>
  <c r="AN813" i="31"/>
  <c r="AL814" i="31"/>
  <c r="AM814" i="31"/>
  <c r="AN814" i="31"/>
  <c r="AL815" i="31"/>
  <c r="AM815" i="31"/>
  <c r="AN815" i="31"/>
  <c r="AL816" i="31"/>
  <c r="AM816" i="31"/>
  <c r="AN816" i="31"/>
  <c r="AL817" i="31"/>
  <c r="AM817" i="31"/>
  <c r="AN817" i="31"/>
  <c r="AL818" i="31"/>
  <c r="AM818" i="31"/>
  <c r="AN818" i="31"/>
  <c r="AL819" i="31"/>
  <c r="AM819" i="31"/>
  <c r="AN819" i="31"/>
  <c r="AL820" i="31"/>
  <c r="AM820" i="31"/>
  <c r="AN820" i="31"/>
  <c r="AL821" i="31"/>
  <c r="AM821" i="31"/>
  <c r="AN821" i="31"/>
  <c r="AL822" i="31"/>
  <c r="AM822" i="31"/>
  <c r="AN822" i="31"/>
  <c r="AL823" i="31"/>
  <c r="AM823" i="31"/>
  <c r="AN823" i="31"/>
  <c r="AL824" i="31"/>
  <c r="AM824" i="31"/>
  <c r="AN824" i="31"/>
  <c r="AL825" i="31"/>
  <c r="AM825" i="31"/>
  <c r="AN825" i="31"/>
  <c r="AL826" i="31"/>
  <c r="AM826" i="31"/>
  <c r="AN826" i="31"/>
  <c r="AL827" i="31"/>
  <c r="AM827" i="31"/>
  <c r="AN827" i="31"/>
  <c r="AL828" i="31"/>
  <c r="AM828" i="31"/>
  <c r="AN828" i="31"/>
  <c r="AL829" i="31"/>
  <c r="AM829" i="31"/>
  <c r="AN829" i="31"/>
  <c r="AL830" i="31"/>
  <c r="AM830" i="31"/>
  <c r="AN830" i="31"/>
  <c r="AL831" i="31"/>
  <c r="AM831" i="31"/>
  <c r="AN831" i="31"/>
  <c r="AL832" i="31"/>
  <c r="AM832" i="31"/>
  <c r="AN832" i="31"/>
  <c r="AL833" i="31"/>
  <c r="AM833" i="31"/>
  <c r="AN833" i="31"/>
  <c r="AL834" i="31"/>
  <c r="AM834" i="31"/>
  <c r="AN834" i="31"/>
  <c r="AL835" i="31"/>
  <c r="AM835" i="31"/>
  <c r="AN835" i="31"/>
  <c r="AL836" i="31"/>
  <c r="AM836" i="31"/>
  <c r="AN836" i="31"/>
  <c r="AL837" i="31"/>
  <c r="AM837" i="31"/>
  <c r="AN837" i="31"/>
  <c r="AL838" i="31"/>
  <c r="AM838" i="31"/>
  <c r="AN838" i="31"/>
  <c r="AL839" i="31"/>
  <c r="AM839" i="31"/>
  <c r="AN839" i="31"/>
  <c r="AL840" i="31"/>
  <c r="AM840" i="31"/>
  <c r="AN840" i="31"/>
  <c r="AL841" i="31"/>
  <c r="AM841" i="31"/>
  <c r="AN841" i="31"/>
  <c r="AL842" i="31"/>
  <c r="AM842" i="31"/>
  <c r="AN842" i="31"/>
  <c r="AL843" i="31"/>
  <c r="AM843" i="31"/>
  <c r="AN843" i="31"/>
  <c r="AL844" i="31"/>
  <c r="AM844" i="31"/>
  <c r="AN844" i="31"/>
  <c r="AL845" i="31"/>
  <c r="AM845" i="31"/>
  <c r="AN845" i="31"/>
  <c r="AL846" i="31"/>
  <c r="AM846" i="31"/>
  <c r="AN846" i="31"/>
  <c r="AL847" i="31"/>
  <c r="AM847" i="31"/>
  <c r="AN847" i="31"/>
  <c r="AL848" i="31"/>
  <c r="AM848" i="31"/>
  <c r="AN848" i="31"/>
  <c r="AL849" i="31"/>
  <c r="AM849" i="31"/>
  <c r="AN849" i="31"/>
  <c r="AL850" i="31"/>
  <c r="AM850" i="31"/>
  <c r="AN850" i="31"/>
  <c r="AL851" i="31"/>
  <c r="AM851" i="31"/>
  <c r="AN851" i="31"/>
  <c r="AL852" i="31"/>
  <c r="AM852" i="31"/>
  <c r="AN852" i="31"/>
  <c r="AL853" i="31"/>
  <c r="AM853" i="31"/>
  <c r="AN853" i="31"/>
  <c r="AL854" i="31"/>
  <c r="AM854" i="31"/>
  <c r="AN854" i="31"/>
  <c r="AL855" i="31"/>
  <c r="AM855" i="31"/>
  <c r="AN855" i="31"/>
  <c r="AL856" i="31"/>
  <c r="AM856" i="31"/>
  <c r="AN856" i="31"/>
  <c r="AL857" i="31"/>
  <c r="AM857" i="31"/>
  <c r="AN857" i="31"/>
  <c r="AL858" i="31"/>
  <c r="AM858" i="31"/>
  <c r="AN858" i="31"/>
  <c r="AL859" i="31"/>
  <c r="AM859" i="31"/>
  <c r="AN859" i="31"/>
  <c r="AL860" i="31"/>
  <c r="AM860" i="31"/>
  <c r="AN860" i="31"/>
  <c r="AL861" i="31"/>
  <c r="AM861" i="31"/>
  <c r="AN861" i="31"/>
  <c r="AL862" i="31"/>
  <c r="AM862" i="31"/>
  <c r="AN862" i="31"/>
  <c r="AL863" i="31"/>
  <c r="AM863" i="31"/>
  <c r="AN863" i="31"/>
  <c r="AL864" i="31"/>
  <c r="AM864" i="31"/>
  <c r="AN864" i="31"/>
  <c r="AL865" i="31"/>
  <c r="AM865" i="31"/>
  <c r="AN865" i="31"/>
  <c r="AL866" i="31"/>
  <c r="AM866" i="31"/>
  <c r="AN866" i="31"/>
  <c r="AL867" i="31"/>
  <c r="AM867" i="31"/>
  <c r="AN867" i="31"/>
  <c r="AL868" i="31"/>
  <c r="AM868" i="31"/>
  <c r="AN868" i="31"/>
  <c r="AL869" i="31"/>
  <c r="AM869" i="31"/>
  <c r="AN869" i="31"/>
  <c r="AL870" i="31"/>
  <c r="AM870" i="31"/>
  <c r="AN870" i="31"/>
  <c r="AL871" i="31"/>
  <c r="AM871" i="31"/>
  <c r="AN871" i="31"/>
  <c r="AL872" i="31"/>
  <c r="AM872" i="31"/>
  <c r="AN872" i="31"/>
  <c r="AL873" i="31"/>
  <c r="AM873" i="31"/>
  <c r="AN873" i="31"/>
  <c r="AL874" i="31"/>
  <c r="AM874" i="31"/>
  <c r="AN874" i="31"/>
  <c r="AL875" i="31"/>
  <c r="AM875" i="31"/>
  <c r="AN875" i="31"/>
  <c r="AL876" i="31"/>
  <c r="AM876" i="31"/>
  <c r="AN876" i="31"/>
  <c r="AL877" i="31"/>
  <c r="AM877" i="31"/>
  <c r="AN877" i="31"/>
  <c r="AL878" i="31"/>
  <c r="AM878" i="31"/>
  <c r="AN878" i="31"/>
  <c r="AL879" i="31"/>
  <c r="AM879" i="31"/>
  <c r="AN879" i="31"/>
  <c r="AL880" i="31"/>
  <c r="AM880" i="31"/>
  <c r="AN880" i="31"/>
  <c r="AL881" i="31"/>
  <c r="AM881" i="31"/>
  <c r="AN881" i="31"/>
  <c r="AN662" i="31"/>
  <c r="AM662" i="31"/>
  <c r="AL662" i="31"/>
  <c r="AL443" i="31"/>
  <c r="AM443" i="31"/>
  <c r="AN443" i="31"/>
  <c r="AL444" i="31"/>
  <c r="AM444" i="31"/>
  <c r="AN444" i="31"/>
  <c r="AL445" i="31"/>
  <c r="AM445" i="31"/>
  <c r="AN445" i="31"/>
  <c r="AL446" i="31"/>
  <c r="AM446" i="31"/>
  <c r="AN446" i="31"/>
  <c r="AL447" i="31"/>
  <c r="AM447" i="31"/>
  <c r="AN447" i="31"/>
  <c r="AL448" i="31"/>
  <c r="AM448" i="31"/>
  <c r="AN448" i="31"/>
  <c r="AL449" i="31"/>
  <c r="AM449" i="31"/>
  <c r="AN449" i="31"/>
  <c r="AL450" i="31"/>
  <c r="AM450" i="31"/>
  <c r="AN450" i="31"/>
  <c r="AL451" i="31"/>
  <c r="AM451" i="31"/>
  <c r="AN451" i="31"/>
  <c r="AL452" i="31"/>
  <c r="AM452" i="31"/>
  <c r="AN452" i="31"/>
  <c r="AL453" i="31"/>
  <c r="AM453" i="31"/>
  <c r="AN453" i="31"/>
  <c r="AL454" i="31"/>
  <c r="AM454" i="31"/>
  <c r="AN454" i="31"/>
  <c r="AL455" i="31"/>
  <c r="AM455" i="31"/>
  <c r="AN455" i="31"/>
  <c r="AL456" i="31"/>
  <c r="AM456" i="31"/>
  <c r="AN456" i="31"/>
  <c r="AL457" i="31"/>
  <c r="AM457" i="31"/>
  <c r="AN457" i="31"/>
  <c r="AL458" i="31"/>
  <c r="AM458" i="31"/>
  <c r="AN458" i="31"/>
  <c r="AL459" i="31"/>
  <c r="AM459" i="31"/>
  <c r="AN459" i="31"/>
  <c r="AL460" i="31"/>
  <c r="AM460" i="31"/>
  <c r="AN460" i="31"/>
  <c r="AL461" i="31"/>
  <c r="AM461" i="31"/>
  <c r="AN461" i="31"/>
  <c r="AL462" i="31"/>
  <c r="AM462" i="31"/>
  <c r="AN462" i="31"/>
  <c r="AL463" i="31"/>
  <c r="AM463" i="31"/>
  <c r="AN463" i="31"/>
  <c r="AL464" i="31"/>
  <c r="AM464" i="31"/>
  <c r="AN464" i="31"/>
  <c r="AL465" i="31"/>
  <c r="AM465" i="31"/>
  <c r="AN465" i="31"/>
  <c r="AL466" i="31"/>
  <c r="AM466" i="31"/>
  <c r="AN466" i="31"/>
  <c r="AL467" i="31"/>
  <c r="AM467" i="31"/>
  <c r="AN467" i="31"/>
  <c r="AL468" i="31"/>
  <c r="AM468" i="31"/>
  <c r="AN468" i="31"/>
  <c r="AL469" i="31"/>
  <c r="AM469" i="31"/>
  <c r="AN469" i="31"/>
  <c r="AL470" i="31"/>
  <c r="AM470" i="31"/>
  <c r="AN470" i="31"/>
  <c r="AL471" i="31"/>
  <c r="AM471" i="31"/>
  <c r="AN471" i="31"/>
  <c r="AL472" i="31"/>
  <c r="AM472" i="31"/>
  <c r="AN472" i="31"/>
  <c r="AL473" i="31"/>
  <c r="AM473" i="31"/>
  <c r="AN473" i="31"/>
  <c r="AL474" i="31"/>
  <c r="AM474" i="31"/>
  <c r="AN474" i="31"/>
  <c r="AL475" i="31"/>
  <c r="AM475" i="31"/>
  <c r="AN475" i="31"/>
  <c r="AL476" i="31"/>
  <c r="AM476" i="31"/>
  <c r="AN476" i="31"/>
  <c r="AL477" i="31"/>
  <c r="AM477" i="31"/>
  <c r="AN477" i="31"/>
  <c r="AL478" i="31"/>
  <c r="AM478" i="31"/>
  <c r="AN478" i="31"/>
  <c r="AL479" i="31"/>
  <c r="AM479" i="31"/>
  <c r="AN479" i="31"/>
  <c r="AL480" i="31"/>
  <c r="AM480" i="31"/>
  <c r="AN480" i="31"/>
  <c r="AL481" i="31"/>
  <c r="AM481" i="31"/>
  <c r="AN481" i="31"/>
  <c r="AL482" i="31"/>
  <c r="AM482" i="31"/>
  <c r="AN482" i="31"/>
  <c r="AL483" i="31"/>
  <c r="AM483" i="31"/>
  <c r="AN483" i="31"/>
  <c r="AL484" i="31"/>
  <c r="AM484" i="31"/>
  <c r="AN484" i="31"/>
  <c r="AL485" i="31"/>
  <c r="AM485" i="31"/>
  <c r="AN485" i="31"/>
  <c r="AL486" i="31"/>
  <c r="AM486" i="31"/>
  <c r="AN486" i="31"/>
  <c r="AL487" i="31"/>
  <c r="AM487" i="31"/>
  <c r="AN487" i="31"/>
  <c r="AL488" i="31"/>
  <c r="AM488" i="31"/>
  <c r="AN488" i="31"/>
  <c r="AL489" i="31"/>
  <c r="AM489" i="31"/>
  <c r="AN489" i="31"/>
  <c r="AL490" i="31"/>
  <c r="AM490" i="31"/>
  <c r="AN490" i="31"/>
  <c r="AL491" i="31"/>
  <c r="AM491" i="31"/>
  <c r="AN491" i="31"/>
  <c r="AL492" i="31"/>
  <c r="AM492" i="31"/>
  <c r="AN492" i="31"/>
  <c r="AL493" i="31"/>
  <c r="AM493" i="31"/>
  <c r="AN493" i="31"/>
  <c r="AL494" i="31"/>
  <c r="AM494" i="31"/>
  <c r="AN494" i="31"/>
  <c r="AL495" i="31"/>
  <c r="AM495" i="31"/>
  <c r="AN495" i="31"/>
  <c r="AL496" i="31"/>
  <c r="AM496" i="31"/>
  <c r="AN496" i="31"/>
  <c r="AL497" i="31"/>
  <c r="AM497" i="31"/>
  <c r="AN497" i="31"/>
  <c r="AL498" i="31"/>
  <c r="AM498" i="31"/>
  <c r="AN498" i="31"/>
  <c r="AL499" i="31"/>
  <c r="AM499" i="31"/>
  <c r="AN499" i="31"/>
  <c r="AL500" i="31"/>
  <c r="AM500" i="31"/>
  <c r="AN500" i="31"/>
  <c r="AL501" i="31"/>
  <c r="AM501" i="31"/>
  <c r="AN501" i="31"/>
  <c r="AL502" i="31"/>
  <c r="AM502" i="31"/>
  <c r="AN502" i="31"/>
  <c r="AL503" i="31"/>
  <c r="AM503" i="31"/>
  <c r="AN503" i="31"/>
  <c r="AL504" i="31"/>
  <c r="AM504" i="31"/>
  <c r="AN504" i="31"/>
  <c r="AL505" i="31"/>
  <c r="AM505" i="31"/>
  <c r="AN505" i="31"/>
  <c r="AL506" i="31"/>
  <c r="AM506" i="31"/>
  <c r="AN506" i="31"/>
  <c r="AL507" i="31"/>
  <c r="AM507" i="31"/>
  <c r="AN507" i="31"/>
  <c r="AL508" i="31"/>
  <c r="AM508" i="31"/>
  <c r="AN508" i="31"/>
  <c r="AL509" i="31"/>
  <c r="AM509" i="31"/>
  <c r="AN509" i="31"/>
  <c r="AL510" i="31"/>
  <c r="AM510" i="31"/>
  <c r="AN510" i="31"/>
  <c r="AL511" i="31"/>
  <c r="AM511" i="31"/>
  <c r="AN511" i="31"/>
  <c r="AL512" i="31"/>
  <c r="AM512" i="31"/>
  <c r="AN512" i="31"/>
  <c r="AL513" i="31"/>
  <c r="AM513" i="31"/>
  <c r="AN513" i="31"/>
  <c r="AL514" i="31"/>
  <c r="AM514" i="31"/>
  <c r="AN514" i="31"/>
  <c r="AL515" i="31"/>
  <c r="AM515" i="31"/>
  <c r="AN515" i="31"/>
  <c r="AL516" i="31"/>
  <c r="AM516" i="31"/>
  <c r="AN516" i="31"/>
  <c r="AL517" i="31"/>
  <c r="AM517" i="31"/>
  <c r="AN517" i="31"/>
  <c r="AL518" i="31"/>
  <c r="AM518" i="31"/>
  <c r="AN518" i="31"/>
  <c r="AL519" i="31"/>
  <c r="AM519" i="31"/>
  <c r="AN519" i="31"/>
  <c r="AL520" i="31"/>
  <c r="AM520" i="31"/>
  <c r="AN520" i="31"/>
  <c r="AL521" i="31"/>
  <c r="AM521" i="31"/>
  <c r="AN521" i="31"/>
  <c r="AL522" i="31"/>
  <c r="AM522" i="31"/>
  <c r="AN522" i="31"/>
  <c r="AL523" i="31"/>
  <c r="AM523" i="31"/>
  <c r="AN523" i="31"/>
  <c r="AL524" i="31"/>
  <c r="AM524" i="31"/>
  <c r="AN524" i="31"/>
  <c r="AL525" i="31"/>
  <c r="AM525" i="31"/>
  <c r="AN525" i="31"/>
  <c r="AL526" i="31"/>
  <c r="AM526" i="31"/>
  <c r="AN526" i="31"/>
  <c r="AL527" i="31"/>
  <c r="AM527" i="31"/>
  <c r="AN527" i="31"/>
  <c r="AL528" i="31"/>
  <c r="AM528" i="31"/>
  <c r="AN528" i="31"/>
  <c r="AL529" i="31"/>
  <c r="AM529" i="31"/>
  <c r="AN529" i="31"/>
  <c r="AL530" i="31"/>
  <c r="AM530" i="31"/>
  <c r="AN530" i="31"/>
  <c r="AL531" i="31"/>
  <c r="AM531" i="31"/>
  <c r="AN531" i="31"/>
  <c r="AL532" i="31"/>
  <c r="AM532" i="31"/>
  <c r="AN532" i="31"/>
  <c r="AL533" i="31"/>
  <c r="AM533" i="31"/>
  <c r="AN533" i="31"/>
  <c r="AL534" i="31"/>
  <c r="AM534" i="31"/>
  <c r="AN534" i="31"/>
  <c r="AL535" i="31"/>
  <c r="AM535" i="31"/>
  <c r="AN535" i="31"/>
  <c r="AL536" i="31"/>
  <c r="AM536" i="31"/>
  <c r="AN536" i="31"/>
  <c r="AL537" i="31"/>
  <c r="AM537" i="31"/>
  <c r="AN537" i="31"/>
  <c r="AL538" i="31"/>
  <c r="AM538" i="31"/>
  <c r="AN538" i="31"/>
  <c r="AL539" i="31"/>
  <c r="AM539" i="31"/>
  <c r="AN539" i="31"/>
  <c r="AL540" i="31"/>
  <c r="AM540" i="31"/>
  <c r="AN540" i="31"/>
  <c r="AL541" i="31"/>
  <c r="AM541" i="31"/>
  <c r="AN541" i="31"/>
  <c r="AL542" i="31"/>
  <c r="AM542" i="31"/>
  <c r="AN542" i="31"/>
  <c r="AL543" i="31"/>
  <c r="AM543" i="31"/>
  <c r="AN543" i="31"/>
  <c r="AL544" i="31"/>
  <c r="AM544" i="31"/>
  <c r="AN544" i="31"/>
  <c r="AL545" i="31"/>
  <c r="AM545" i="31"/>
  <c r="AN545" i="31"/>
  <c r="AL546" i="31"/>
  <c r="AM546" i="31"/>
  <c r="AN546" i="31"/>
  <c r="AL547" i="31"/>
  <c r="AM547" i="31"/>
  <c r="AN547" i="31"/>
  <c r="AL548" i="31"/>
  <c r="AM548" i="31"/>
  <c r="AN548" i="31"/>
  <c r="AL549" i="31"/>
  <c r="AM549" i="31"/>
  <c r="AN549" i="31"/>
  <c r="AL550" i="31"/>
  <c r="AM550" i="31"/>
  <c r="AN550" i="31"/>
  <c r="AL551" i="31"/>
  <c r="AM551" i="31"/>
  <c r="AN551" i="31"/>
  <c r="AL552" i="31"/>
  <c r="AM552" i="31"/>
  <c r="AN552" i="31"/>
  <c r="AL553" i="31"/>
  <c r="AM553" i="31"/>
  <c r="AN553" i="31"/>
  <c r="AL554" i="31"/>
  <c r="AM554" i="31"/>
  <c r="AN554" i="31"/>
  <c r="AL555" i="31"/>
  <c r="AM555" i="31"/>
  <c r="AN555" i="31"/>
  <c r="AL556" i="31"/>
  <c r="AM556" i="31"/>
  <c r="AN556" i="31"/>
  <c r="AL557" i="31"/>
  <c r="AM557" i="31"/>
  <c r="AN557" i="31"/>
  <c r="AL558" i="31"/>
  <c r="AM558" i="31"/>
  <c r="AN558" i="31"/>
  <c r="AL559" i="31"/>
  <c r="AM559" i="31"/>
  <c r="AN559" i="31"/>
  <c r="AL560" i="31"/>
  <c r="AM560" i="31"/>
  <c r="AN560" i="31"/>
  <c r="AL561" i="31"/>
  <c r="AM561" i="31"/>
  <c r="AN561" i="31"/>
  <c r="AL562" i="31"/>
  <c r="AM562" i="31"/>
  <c r="AN562" i="31"/>
  <c r="AL563" i="31"/>
  <c r="AM563" i="31"/>
  <c r="AN563" i="31"/>
  <c r="AL564" i="31"/>
  <c r="AM564" i="31"/>
  <c r="AN564" i="31"/>
  <c r="AL565" i="31"/>
  <c r="AM565" i="31"/>
  <c r="AN565" i="31"/>
  <c r="AL566" i="31"/>
  <c r="AM566" i="31"/>
  <c r="AN566" i="31"/>
  <c r="AL567" i="31"/>
  <c r="AM567" i="31"/>
  <c r="AN567" i="31"/>
  <c r="AL568" i="31"/>
  <c r="AM568" i="31"/>
  <c r="AN568" i="31"/>
  <c r="AL569" i="31"/>
  <c r="AM569" i="31"/>
  <c r="AN569" i="31"/>
  <c r="AL570" i="31"/>
  <c r="AM570" i="31"/>
  <c r="AN570" i="31"/>
  <c r="AL571" i="31"/>
  <c r="AM571" i="31"/>
  <c r="AN571" i="31"/>
  <c r="AL572" i="31"/>
  <c r="AM572" i="31"/>
  <c r="AN572" i="31"/>
  <c r="AL573" i="31"/>
  <c r="AM573" i="31"/>
  <c r="AN573" i="31"/>
  <c r="AL574" i="31"/>
  <c r="AM574" i="31"/>
  <c r="AN574" i="31"/>
  <c r="AL575" i="31"/>
  <c r="AM575" i="31"/>
  <c r="AN575" i="31"/>
  <c r="AL576" i="31"/>
  <c r="AM576" i="31"/>
  <c r="AN576" i="31"/>
  <c r="AL577" i="31"/>
  <c r="AM577" i="31"/>
  <c r="AN577" i="31"/>
  <c r="AL578" i="31"/>
  <c r="AM578" i="31"/>
  <c r="AN578" i="31"/>
  <c r="AL579" i="31"/>
  <c r="AM579" i="31"/>
  <c r="AN579" i="31"/>
  <c r="AL580" i="31"/>
  <c r="AM580" i="31"/>
  <c r="AN580" i="31"/>
  <c r="AL581" i="31"/>
  <c r="AM581" i="31"/>
  <c r="AN581" i="31"/>
  <c r="AL582" i="31"/>
  <c r="AM582" i="31"/>
  <c r="AN582" i="31"/>
  <c r="AL583" i="31"/>
  <c r="AM583" i="31"/>
  <c r="AN583" i="31"/>
  <c r="AL584" i="31"/>
  <c r="AM584" i="31"/>
  <c r="AN584" i="31"/>
  <c r="AL585" i="31"/>
  <c r="AM585" i="31"/>
  <c r="AN585" i="31"/>
  <c r="AL586" i="31"/>
  <c r="AM586" i="31"/>
  <c r="AN586" i="31"/>
  <c r="AL587" i="31"/>
  <c r="AM587" i="31"/>
  <c r="AN587" i="31"/>
  <c r="AL588" i="31"/>
  <c r="AM588" i="31"/>
  <c r="AN588" i="31"/>
  <c r="AL589" i="31"/>
  <c r="AM589" i="31"/>
  <c r="AN589" i="31"/>
  <c r="AL590" i="31"/>
  <c r="AM590" i="31"/>
  <c r="AN590" i="31"/>
  <c r="AL591" i="31"/>
  <c r="AM591" i="31"/>
  <c r="AN591" i="31"/>
  <c r="AL592" i="31"/>
  <c r="AM592" i="31"/>
  <c r="AN592" i="31"/>
  <c r="AL593" i="31"/>
  <c r="AM593" i="31"/>
  <c r="AN593" i="31"/>
  <c r="AL594" i="31"/>
  <c r="AM594" i="31"/>
  <c r="AN594" i="31"/>
  <c r="AL595" i="31"/>
  <c r="AM595" i="31"/>
  <c r="AN595" i="31"/>
  <c r="AL596" i="31"/>
  <c r="AM596" i="31"/>
  <c r="AN596" i="31"/>
  <c r="AL597" i="31"/>
  <c r="AM597" i="31"/>
  <c r="AN597" i="31"/>
  <c r="AL598" i="31"/>
  <c r="AM598" i="31"/>
  <c r="AN598" i="31"/>
  <c r="AL599" i="31"/>
  <c r="AM599" i="31"/>
  <c r="AN599" i="31"/>
  <c r="AL600" i="31"/>
  <c r="AM600" i="31"/>
  <c r="AN600" i="31"/>
  <c r="AL601" i="31"/>
  <c r="AM601" i="31"/>
  <c r="AN601" i="31"/>
  <c r="AL602" i="31"/>
  <c r="AM602" i="31"/>
  <c r="AN602" i="31"/>
  <c r="AL603" i="31"/>
  <c r="AM603" i="31"/>
  <c r="AN603" i="31"/>
  <c r="AL604" i="31"/>
  <c r="AM604" i="31"/>
  <c r="AN604" i="31"/>
  <c r="AL605" i="31"/>
  <c r="AM605" i="31"/>
  <c r="AN605" i="31"/>
  <c r="AL606" i="31"/>
  <c r="AM606" i="31"/>
  <c r="AN606" i="31"/>
  <c r="AL607" i="31"/>
  <c r="AM607" i="31"/>
  <c r="AN607" i="31"/>
  <c r="AL608" i="31"/>
  <c r="AM608" i="31"/>
  <c r="AN608" i="31"/>
  <c r="AL609" i="31"/>
  <c r="AM609" i="31"/>
  <c r="AN609" i="31"/>
  <c r="AL610" i="31"/>
  <c r="AM610" i="31"/>
  <c r="AN610" i="31"/>
  <c r="AL611" i="31"/>
  <c r="AM611" i="31"/>
  <c r="AN611" i="31"/>
  <c r="AL612" i="31"/>
  <c r="AM612" i="31"/>
  <c r="AN612" i="31"/>
  <c r="AL613" i="31"/>
  <c r="AM613" i="31"/>
  <c r="AN613" i="31"/>
  <c r="AL614" i="31"/>
  <c r="AM614" i="31"/>
  <c r="AN614" i="31"/>
  <c r="AL615" i="31"/>
  <c r="AM615" i="31"/>
  <c r="AN615" i="31"/>
  <c r="AL616" i="31"/>
  <c r="AM616" i="31"/>
  <c r="AN616" i="31"/>
  <c r="AL617" i="31"/>
  <c r="AM617" i="31"/>
  <c r="AN617" i="31"/>
  <c r="AL618" i="31"/>
  <c r="AM618" i="31"/>
  <c r="AN618" i="31"/>
  <c r="AL619" i="31"/>
  <c r="AM619" i="31"/>
  <c r="AN619" i="31"/>
  <c r="AL620" i="31"/>
  <c r="AM620" i="31"/>
  <c r="AN620" i="31"/>
  <c r="AL621" i="31"/>
  <c r="AM621" i="31"/>
  <c r="AN621" i="31"/>
  <c r="AL622" i="31"/>
  <c r="AM622" i="31"/>
  <c r="AN622" i="31"/>
  <c r="AL623" i="31"/>
  <c r="AM623" i="31"/>
  <c r="AN623" i="31"/>
  <c r="AL624" i="31"/>
  <c r="AM624" i="31"/>
  <c r="AN624" i="31"/>
  <c r="AL625" i="31"/>
  <c r="AM625" i="31"/>
  <c r="AN625" i="31"/>
  <c r="AL626" i="31"/>
  <c r="AM626" i="31"/>
  <c r="AN626" i="31"/>
  <c r="AL627" i="31"/>
  <c r="AM627" i="31"/>
  <c r="AN627" i="31"/>
  <c r="AL628" i="31"/>
  <c r="AM628" i="31"/>
  <c r="AN628" i="31"/>
  <c r="AL629" i="31"/>
  <c r="AM629" i="31"/>
  <c r="AN629" i="31"/>
  <c r="AL630" i="31"/>
  <c r="AM630" i="31"/>
  <c r="AN630" i="31"/>
  <c r="AL631" i="31"/>
  <c r="AM631" i="31"/>
  <c r="AN631" i="31"/>
  <c r="AL632" i="31"/>
  <c r="AM632" i="31"/>
  <c r="AN632" i="31"/>
  <c r="AL633" i="31"/>
  <c r="AM633" i="31"/>
  <c r="AN633" i="31"/>
  <c r="AL634" i="31"/>
  <c r="AM634" i="31"/>
  <c r="AN634" i="31"/>
  <c r="AL635" i="31"/>
  <c r="AM635" i="31"/>
  <c r="AN635" i="31"/>
  <c r="AL636" i="31"/>
  <c r="AM636" i="31"/>
  <c r="AN636" i="31"/>
  <c r="AL637" i="31"/>
  <c r="AM637" i="31"/>
  <c r="AN637" i="31"/>
  <c r="AL638" i="31"/>
  <c r="AM638" i="31"/>
  <c r="AN638" i="31"/>
  <c r="AL639" i="31"/>
  <c r="AM639" i="31"/>
  <c r="AN639" i="31"/>
  <c r="AL640" i="31"/>
  <c r="AM640" i="31"/>
  <c r="AN640" i="31"/>
  <c r="AL641" i="31"/>
  <c r="AM641" i="31"/>
  <c r="AN641" i="31"/>
  <c r="AL642" i="31"/>
  <c r="AM642" i="31"/>
  <c r="AN642" i="31"/>
  <c r="AL643" i="31"/>
  <c r="AM643" i="31"/>
  <c r="AN643" i="31"/>
  <c r="AL644" i="31"/>
  <c r="AM644" i="31"/>
  <c r="AN644" i="31"/>
  <c r="AL645" i="31"/>
  <c r="AM645" i="31"/>
  <c r="AN645" i="31"/>
  <c r="AL646" i="31"/>
  <c r="AM646" i="31"/>
  <c r="AN646" i="31"/>
  <c r="AL647" i="31"/>
  <c r="AM647" i="31"/>
  <c r="AN647" i="31"/>
  <c r="AL648" i="31"/>
  <c r="AM648" i="31"/>
  <c r="AN648" i="31"/>
  <c r="AL649" i="31"/>
  <c r="AM649" i="31"/>
  <c r="AN649" i="31"/>
  <c r="AL650" i="31"/>
  <c r="AM650" i="31"/>
  <c r="AN650" i="31"/>
  <c r="AL651" i="31"/>
  <c r="AM651" i="31"/>
  <c r="AN651" i="31"/>
  <c r="AL652" i="31"/>
  <c r="AM652" i="31"/>
  <c r="AN652" i="31"/>
  <c r="AL653" i="31"/>
  <c r="AM653" i="31"/>
  <c r="AN653" i="31"/>
  <c r="AL654" i="31"/>
  <c r="AM654" i="31"/>
  <c r="AN654" i="31"/>
  <c r="AL655" i="31"/>
  <c r="AM655" i="31"/>
  <c r="AN655" i="31"/>
  <c r="AL656" i="31"/>
  <c r="AM656" i="31"/>
  <c r="AN656" i="31"/>
  <c r="AL657" i="31"/>
  <c r="AM657" i="31"/>
  <c r="AN657" i="31"/>
  <c r="AL658" i="31"/>
  <c r="AM658" i="31"/>
  <c r="AN658" i="31"/>
  <c r="AL659" i="31"/>
  <c r="AM659" i="31"/>
  <c r="AN659" i="31"/>
  <c r="AL660" i="31"/>
  <c r="AM660" i="31"/>
  <c r="AN660" i="31"/>
  <c r="AL661" i="31"/>
  <c r="AM661" i="31"/>
  <c r="AN661" i="31"/>
  <c r="AN442" i="31"/>
  <c r="AM442" i="31"/>
  <c r="AL442" i="31"/>
  <c r="AL223" i="31"/>
  <c r="AM223" i="31"/>
  <c r="AN223" i="31"/>
  <c r="AL224" i="31"/>
  <c r="AM224" i="31"/>
  <c r="AN224" i="31"/>
  <c r="AL225" i="31"/>
  <c r="AM225" i="31"/>
  <c r="AN225" i="31"/>
  <c r="AL226" i="31"/>
  <c r="AM226" i="31"/>
  <c r="AN226" i="31"/>
  <c r="AL227" i="31"/>
  <c r="AM227" i="31"/>
  <c r="AN227" i="31"/>
  <c r="AL228" i="31"/>
  <c r="AM228" i="31"/>
  <c r="AN228" i="31"/>
  <c r="AL229" i="31"/>
  <c r="AM229" i="31"/>
  <c r="AN229" i="31"/>
  <c r="AL230" i="31"/>
  <c r="AM230" i="31"/>
  <c r="AN230" i="31"/>
  <c r="AL231" i="31"/>
  <c r="AM231" i="31"/>
  <c r="AN231" i="31"/>
  <c r="AL232" i="31"/>
  <c r="AM232" i="31"/>
  <c r="AN232" i="31"/>
  <c r="AL233" i="31"/>
  <c r="AM233" i="31"/>
  <c r="AN233" i="31"/>
  <c r="AL234" i="31"/>
  <c r="AM234" i="31"/>
  <c r="AN234" i="31"/>
  <c r="AL235" i="31"/>
  <c r="AM235" i="31"/>
  <c r="AN235" i="31"/>
  <c r="AL236" i="31"/>
  <c r="AM236" i="31"/>
  <c r="AN236" i="31"/>
  <c r="AL237" i="31"/>
  <c r="AM237" i="31"/>
  <c r="AN237" i="31"/>
  <c r="AL238" i="31"/>
  <c r="AM238" i="31"/>
  <c r="AN238" i="31"/>
  <c r="AL239" i="31"/>
  <c r="AM239" i="31"/>
  <c r="AN239" i="31"/>
  <c r="AL240" i="31"/>
  <c r="AM240" i="31"/>
  <c r="AN240" i="31"/>
  <c r="AL241" i="31"/>
  <c r="AM241" i="31"/>
  <c r="AN241" i="31"/>
  <c r="AL242" i="31"/>
  <c r="AM242" i="31"/>
  <c r="AN242" i="31"/>
  <c r="AL243" i="31"/>
  <c r="AM243" i="31"/>
  <c r="AN243" i="31"/>
  <c r="AL244" i="31"/>
  <c r="AM244" i="31"/>
  <c r="AN244" i="31"/>
  <c r="AL245" i="31"/>
  <c r="AM245" i="31"/>
  <c r="AN245" i="31"/>
  <c r="AL246" i="31"/>
  <c r="AM246" i="31"/>
  <c r="AN246" i="31"/>
  <c r="AL247" i="31"/>
  <c r="AM247" i="31"/>
  <c r="AN247" i="31"/>
  <c r="AL248" i="31"/>
  <c r="AM248" i="31"/>
  <c r="AN248" i="31"/>
  <c r="AL249" i="31"/>
  <c r="AM249" i="31"/>
  <c r="AN249" i="31"/>
  <c r="AL250" i="31"/>
  <c r="AM250" i="31"/>
  <c r="AN250" i="31"/>
  <c r="AL251" i="31"/>
  <c r="AM251" i="31"/>
  <c r="AN251" i="31"/>
  <c r="AL252" i="31"/>
  <c r="AM252" i="31"/>
  <c r="AN252" i="31"/>
  <c r="AL253" i="31"/>
  <c r="AM253" i="31"/>
  <c r="AN253" i="31"/>
  <c r="AL254" i="31"/>
  <c r="AM254" i="31"/>
  <c r="AN254" i="31"/>
  <c r="AL255" i="31"/>
  <c r="AM255" i="31"/>
  <c r="AN255" i="31"/>
  <c r="AL256" i="31"/>
  <c r="AM256" i="31"/>
  <c r="AN256" i="31"/>
  <c r="AL257" i="31"/>
  <c r="AM257" i="31"/>
  <c r="AN257" i="31"/>
  <c r="AL258" i="31"/>
  <c r="AM258" i="31"/>
  <c r="AN258" i="31"/>
  <c r="AL259" i="31"/>
  <c r="AM259" i="31"/>
  <c r="AN259" i="31"/>
  <c r="AL260" i="31"/>
  <c r="AM260" i="31"/>
  <c r="AN260" i="31"/>
  <c r="AL261" i="31"/>
  <c r="AM261" i="31"/>
  <c r="AN261" i="31"/>
  <c r="AL262" i="31"/>
  <c r="AM262" i="31"/>
  <c r="AN262" i="31"/>
  <c r="AL263" i="31"/>
  <c r="AM263" i="31"/>
  <c r="AN263" i="31"/>
  <c r="AL264" i="31"/>
  <c r="AM264" i="31"/>
  <c r="AN264" i="31"/>
  <c r="AL265" i="31"/>
  <c r="AM265" i="31"/>
  <c r="AN265" i="31"/>
  <c r="AL266" i="31"/>
  <c r="AM266" i="31"/>
  <c r="AN266" i="31"/>
  <c r="AL267" i="31"/>
  <c r="AM267" i="31"/>
  <c r="AN267" i="31"/>
  <c r="AL268" i="31"/>
  <c r="AM268" i="31"/>
  <c r="AN268" i="31"/>
  <c r="AL269" i="31"/>
  <c r="AM269" i="31"/>
  <c r="AN269" i="31"/>
  <c r="AL270" i="31"/>
  <c r="AM270" i="31"/>
  <c r="AN270" i="31"/>
  <c r="AL271" i="31"/>
  <c r="AM271" i="31"/>
  <c r="AN271" i="31"/>
  <c r="AL272" i="31"/>
  <c r="AM272" i="31"/>
  <c r="AN272" i="31"/>
  <c r="AL273" i="31"/>
  <c r="AM273" i="31"/>
  <c r="AN273" i="31"/>
  <c r="AL274" i="31"/>
  <c r="AM274" i="31"/>
  <c r="AN274" i="31"/>
  <c r="AL275" i="31"/>
  <c r="AM275" i="31"/>
  <c r="AN275" i="31"/>
  <c r="AL276" i="31"/>
  <c r="AM276" i="31"/>
  <c r="AN276" i="31"/>
  <c r="AL277" i="31"/>
  <c r="AM277" i="31"/>
  <c r="AN277" i="31"/>
  <c r="AL278" i="31"/>
  <c r="AM278" i="31"/>
  <c r="AN278" i="31"/>
  <c r="AL279" i="31"/>
  <c r="AM279" i="31"/>
  <c r="AN279" i="31"/>
  <c r="AL280" i="31"/>
  <c r="AM280" i="31"/>
  <c r="AN280" i="31"/>
  <c r="AL281" i="31"/>
  <c r="AM281" i="31"/>
  <c r="AN281" i="31"/>
  <c r="AL282" i="31"/>
  <c r="AM282" i="31"/>
  <c r="AN282" i="31"/>
  <c r="AL283" i="31"/>
  <c r="AM283" i="31"/>
  <c r="AN283" i="31"/>
  <c r="AL284" i="31"/>
  <c r="AM284" i="31"/>
  <c r="AN284" i="31"/>
  <c r="AL285" i="31"/>
  <c r="AM285" i="31"/>
  <c r="AN285" i="31"/>
  <c r="AL286" i="31"/>
  <c r="AM286" i="31"/>
  <c r="AN286" i="31"/>
  <c r="AL287" i="31"/>
  <c r="AM287" i="31"/>
  <c r="AN287" i="31"/>
  <c r="AL288" i="31"/>
  <c r="AM288" i="31"/>
  <c r="AN288" i="31"/>
  <c r="AL289" i="31"/>
  <c r="AM289" i="31"/>
  <c r="AN289" i="31"/>
  <c r="AL290" i="31"/>
  <c r="AM290" i="31"/>
  <c r="AN290" i="31"/>
  <c r="AL291" i="31"/>
  <c r="AM291" i="31"/>
  <c r="AN291" i="31"/>
  <c r="AL292" i="31"/>
  <c r="AM292" i="31"/>
  <c r="AN292" i="31"/>
  <c r="AL293" i="31"/>
  <c r="AM293" i="31"/>
  <c r="AN293" i="31"/>
  <c r="AL294" i="31"/>
  <c r="AM294" i="31"/>
  <c r="AN294" i="31"/>
  <c r="AL295" i="31"/>
  <c r="AM295" i="31"/>
  <c r="AN295" i="31"/>
  <c r="AL296" i="31"/>
  <c r="AM296" i="31"/>
  <c r="AN296" i="31"/>
  <c r="AL297" i="31"/>
  <c r="AM297" i="31"/>
  <c r="AN297" i="31"/>
  <c r="AL298" i="31"/>
  <c r="AM298" i="31"/>
  <c r="AN298" i="31"/>
  <c r="AL299" i="31"/>
  <c r="AM299" i="31"/>
  <c r="AN299" i="31"/>
  <c r="AL300" i="31"/>
  <c r="AM300" i="31"/>
  <c r="AN300" i="31"/>
  <c r="AL301" i="31"/>
  <c r="AM301" i="31"/>
  <c r="AN301" i="31"/>
  <c r="AL302" i="31"/>
  <c r="AM302" i="31"/>
  <c r="AN302" i="31"/>
  <c r="AL303" i="31"/>
  <c r="AM303" i="31"/>
  <c r="AN303" i="31"/>
  <c r="AL304" i="31"/>
  <c r="AM304" i="31"/>
  <c r="AN304" i="31"/>
  <c r="AL305" i="31"/>
  <c r="AM305" i="31"/>
  <c r="AN305" i="31"/>
  <c r="AL306" i="31"/>
  <c r="AM306" i="31"/>
  <c r="AN306" i="31"/>
  <c r="AL307" i="31"/>
  <c r="AM307" i="31"/>
  <c r="AN307" i="31"/>
  <c r="AL308" i="31"/>
  <c r="AM308" i="31"/>
  <c r="AN308" i="31"/>
  <c r="AL309" i="31"/>
  <c r="AM309" i="31"/>
  <c r="AN309" i="31"/>
  <c r="AL310" i="31"/>
  <c r="AM310" i="31"/>
  <c r="AN310" i="31"/>
  <c r="AL311" i="31"/>
  <c r="AM311" i="31"/>
  <c r="AN311" i="31"/>
  <c r="AL312" i="31"/>
  <c r="AM312" i="31"/>
  <c r="AN312" i="31"/>
  <c r="AL313" i="31"/>
  <c r="AM313" i="31"/>
  <c r="AN313" i="31"/>
  <c r="AL314" i="31"/>
  <c r="AM314" i="31"/>
  <c r="AN314" i="31"/>
  <c r="AL315" i="31"/>
  <c r="AM315" i="31"/>
  <c r="AN315" i="31"/>
  <c r="AL316" i="31"/>
  <c r="AM316" i="31"/>
  <c r="AN316" i="31"/>
  <c r="AL317" i="31"/>
  <c r="AM317" i="31"/>
  <c r="AN317" i="31"/>
  <c r="AL318" i="31"/>
  <c r="AM318" i="31"/>
  <c r="AN318" i="31"/>
  <c r="AL319" i="31"/>
  <c r="AM319" i="31"/>
  <c r="AN319" i="31"/>
  <c r="AL320" i="31"/>
  <c r="AM320" i="31"/>
  <c r="AN320" i="31"/>
  <c r="AL321" i="31"/>
  <c r="AM321" i="31"/>
  <c r="AN321" i="31"/>
  <c r="AL322" i="31"/>
  <c r="AM322" i="31"/>
  <c r="AN322" i="31"/>
  <c r="AL323" i="31"/>
  <c r="AM323" i="31"/>
  <c r="AN323" i="31"/>
  <c r="AL324" i="31"/>
  <c r="AM324" i="31"/>
  <c r="AN324" i="31"/>
  <c r="AL325" i="31"/>
  <c r="AM325" i="31"/>
  <c r="AN325" i="31"/>
  <c r="AL326" i="31"/>
  <c r="AM326" i="31"/>
  <c r="AN326" i="31"/>
  <c r="AL327" i="31"/>
  <c r="AM327" i="31"/>
  <c r="AN327" i="31"/>
  <c r="AL328" i="31"/>
  <c r="AM328" i="31"/>
  <c r="AN328" i="31"/>
  <c r="AL329" i="31"/>
  <c r="AM329" i="31"/>
  <c r="AN329" i="31"/>
  <c r="AL330" i="31"/>
  <c r="AM330" i="31"/>
  <c r="AN330" i="31"/>
  <c r="AL331" i="31"/>
  <c r="AM331" i="31"/>
  <c r="AN331" i="31"/>
  <c r="AL332" i="31"/>
  <c r="AM332" i="31"/>
  <c r="AN332" i="31"/>
  <c r="AL333" i="31"/>
  <c r="AM333" i="31"/>
  <c r="AN333" i="31"/>
  <c r="AL334" i="31"/>
  <c r="AM334" i="31"/>
  <c r="AN334" i="31"/>
  <c r="AL335" i="31"/>
  <c r="AM335" i="31"/>
  <c r="AN335" i="31"/>
  <c r="AL336" i="31"/>
  <c r="AM336" i="31"/>
  <c r="AN336" i="31"/>
  <c r="AL337" i="31"/>
  <c r="AM337" i="31"/>
  <c r="AN337" i="31"/>
  <c r="AL338" i="31"/>
  <c r="AM338" i="31"/>
  <c r="AN338" i="31"/>
  <c r="AL339" i="31"/>
  <c r="AM339" i="31"/>
  <c r="AN339" i="31"/>
  <c r="AL340" i="31"/>
  <c r="AM340" i="31"/>
  <c r="AN340" i="31"/>
  <c r="AL341" i="31"/>
  <c r="AM341" i="31"/>
  <c r="AN341" i="31"/>
  <c r="AL342" i="31"/>
  <c r="AM342" i="31"/>
  <c r="AN342" i="31"/>
  <c r="AL343" i="31"/>
  <c r="AM343" i="31"/>
  <c r="AN343" i="31"/>
  <c r="AL344" i="31"/>
  <c r="AM344" i="31"/>
  <c r="AN344" i="31"/>
  <c r="AL345" i="31"/>
  <c r="AM345" i="31"/>
  <c r="AN345" i="31"/>
  <c r="AL346" i="31"/>
  <c r="AM346" i="31"/>
  <c r="AN346" i="31"/>
  <c r="AL347" i="31"/>
  <c r="AM347" i="31"/>
  <c r="AN347" i="31"/>
  <c r="AL348" i="31"/>
  <c r="AM348" i="31"/>
  <c r="AN348" i="31"/>
  <c r="AL349" i="31"/>
  <c r="AM349" i="31"/>
  <c r="AN349" i="31"/>
  <c r="AL350" i="31"/>
  <c r="AM350" i="31"/>
  <c r="AN350" i="31"/>
  <c r="AL351" i="31"/>
  <c r="AM351" i="31"/>
  <c r="AN351" i="31"/>
  <c r="AL352" i="31"/>
  <c r="AM352" i="31"/>
  <c r="AN352" i="31"/>
  <c r="AL353" i="31"/>
  <c r="AM353" i="31"/>
  <c r="AN353" i="31"/>
  <c r="AL354" i="31"/>
  <c r="AM354" i="31"/>
  <c r="AN354" i="31"/>
  <c r="AL355" i="31"/>
  <c r="AM355" i="31"/>
  <c r="AN355" i="31"/>
  <c r="AL356" i="31"/>
  <c r="AM356" i="31"/>
  <c r="AN356" i="31"/>
  <c r="AL357" i="31"/>
  <c r="AM357" i="31"/>
  <c r="AN357" i="31"/>
  <c r="AL358" i="31"/>
  <c r="AM358" i="31"/>
  <c r="AN358" i="31"/>
  <c r="AL359" i="31"/>
  <c r="AM359" i="31"/>
  <c r="AN359" i="31"/>
  <c r="AL360" i="31"/>
  <c r="AM360" i="31"/>
  <c r="AN360" i="31"/>
  <c r="AL361" i="31"/>
  <c r="AM361" i="31"/>
  <c r="AN361" i="31"/>
  <c r="AL362" i="31"/>
  <c r="AM362" i="31"/>
  <c r="AN362" i="31"/>
  <c r="AL363" i="31"/>
  <c r="AM363" i="31"/>
  <c r="AN363" i="31"/>
  <c r="AL364" i="31"/>
  <c r="AM364" i="31"/>
  <c r="AN364" i="31"/>
  <c r="AL365" i="31"/>
  <c r="AM365" i="31"/>
  <c r="AN365" i="31"/>
  <c r="AL366" i="31"/>
  <c r="AM366" i="31"/>
  <c r="AN366" i="31"/>
  <c r="AL367" i="31"/>
  <c r="AM367" i="31"/>
  <c r="AN367" i="31"/>
  <c r="AL368" i="31"/>
  <c r="AM368" i="31"/>
  <c r="AN368" i="31"/>
  <c r="AL369" i="31"/>
  <c r="AM369" i="31"/>
  <c r="AN369" i="31"/>
  <c r="AL370" i="31"/>
  <c r="AM370" i="31"/>
  <c r="AN370" i="31"/>
  <c r="AL371" i="31"/>
  <c r="AM371" i="31"/>
  <c r="AN371" i="31"/>
  <c r="AL372" i="31"/>
  <c r="AM372" i="31"/>
  <c r="AN372" i="31"/>
  <c r="AL373" i="31"/>
  <c r="AM373" i="31"/>
  <c r="AN373" i="31"/>
  <c r="AL374" i="31"/>
  <c r="AM374" i="31"/>
  <c r="AN374" i="31"/>
  <c r="AL375" i="31"/>
  <c r="AM375" i="31"/>
  <c r="AN375" i="31"/>
  <c r="AL376" i="31"/>
  <c r="AM376" i="31"/>
  <c r="AN376" i="31"/>
  <c r="AL377" i="31"/>
  <c r="AM377" i="31"/>
  <c r="AN377" i="31"/>
  <c r="AL378" i="31"/>
  <c r="AM378" i="31"/>
  <c r="AN378" i="31"/>
  <c r="AL379" i="31"/>
  <c r="AM379" i="31"/>
  <c r="AN379" i="31"/>
  <c r="AL380" i="31"/>
  <c r="AM380" i="31"/>
  <c r="AN380" i="31"/>
  <c r="AL381" i="31"/>
  <c r="AM381" i="31"/>
  <c r="AN381" i="31"/>
  <c r="AL382" i="31"/>
  <c r="AM382" i="31"/>
  <c r="AN382" i="31"/>
  <c r="AL383" i="31"/>
  <c r="AM383" i="31"/>
  <c r="AN383" i="31"/>
  <c r="AL384" i="31"/>
  <c r="AM384" i="31"/>
  <c r="AN384" i="31"/>
  <c r="AL385" i="31"/>
  <c r="AM385" i="31"/>
  <c r="AN385" i="31"/>
  <c r="AL386" i="31"/>
  <c r="AM386" i="31"/>
  <c r="AN386" i="31"/>
  <c r="AL387" i="31"/>
  <c r="AM387" i="31"/>
  <c r="AN387" i="31"/>
  <c r="AL388" i="31"/>
  <c r="AM388" i="31"/>
  <c r="AN388" i="31"/>
  <c r="AL389" i="31"/>
  <c r="AM389" i="31"/>
  <c r="AN389" i="31"/>
  <c r="AL390" i="31"/>
  <c r="AM390" i="31"/>
  <c r="AN390" i="31"/>
  <c r="AL391" i="31"/>
  <c r="AM391" i="31"/>
  <c r="AN391" i="31"/>
  <c r="AL392" i="31"/>
  <c r="AM392" i="31"/>
  <c r="AN392" i="31"/>
  <c r="AL393" i="31"/>
  <c r="AM393" i="31"/>
  <c r="AN393" i="31"/>
  <c r="AL394" i="31"/>
  <c r="AM394" i="31"/>
  <c r="AN394" i="31"/>
  <c r="AL395" i="31"/>
  <c r="AM395" i="31"/>
  <c r="AN395" i="31"/>
  <c r="AL396" i="31"/>
  <c r="AM396" i="31"/>
  <c r="AN396" i="31"/>
  <c r="AL397" i="31"/>
  <c r="AM397" i="31"/>
  <c r="AN397" i="31"/>
  <c r="AL398" i="31"/>
  <c r="AM398" i="31"/>
  <c r="AN398" i="31"/>
  <c r="AL399" i="31"/>
  <c r="AM399" i="31"/>
  <c r="AN399" i="31"/>
  <c r="AL400" i="31"/>
  <c r="AM400" i="31"/>
  <c r="AN400" i="31"/>
  <c r="AL401" i="31"/>
  <c r="AM401" i="31"/>
  <c r="AN401" i="31"/>
  <c r="AL402" i="31"/>
  <c r="AM402" i="31"/>
  <c r="AN402" i="31"/>
  <c r="AL403" i="31"/>
  <c r="AM403" i="31"/>
  <c r="AN403" i="31"/>
  <c r="AL404" i="31"/>
  <c r="AM404" i="31"/>
  <c r="AN404" i="31"/>
  <c r="AL405" i="31"/>
  <c r="AM405" i="31"/>
  <c r="AN405" i="31"/>
  <c r="AL406" i="31"/>
  <c r="AM406" i="31"/>
  <c r="AN406" i="31"/>
  <c r="AL407" i="31"/>
  <c r="AM407" i="31"/>
  <c r="AN407" i="31"/>
  <c r="AL408" i="31"/>
  <c r="AM408" i="31"/>
  <c r="AN408" i="31"/>
  <c r="AL409" i="31"/>
  <c r="AM409" i="31"/>
  <c r="AN409" i="31"/>
  <c r="AL410" i="31"/>
  <c r="AM410" i="31"/>
  <c r="AN410" i="31"/>
  <c r="AL411" i="31"/>
  <c r="AM411" i="31"/>
  <c r="AN411" i="31"/>
  <c r="AL412" i="31"/>
  <c r="AM412" i="31"/>
  <c r="AN412" i="31"/>
  <c r="AL413" i="31"/>
  <c r="AM413" i="31"/>
  <c r="AN413" i="31"/>
  <c r="AL414" i="31"/>
  <c r="AM414" i="31"/>
  <c r="AN414" i="31"/>
  <c r="AL415" i="31"/>
  <c r="AM415" i="31"/>
  <c r="AN415" i="31"/>
  <c r="AL416" i="31"/>
  <c r="AM416" i="31"/>
  <c r="AN416" i="31"/>
  <c r="AL417" i="31"/>
  <c r="AM417" i="31"/>
  <c r="AN417" i="31"/>
  <c r="AL418" i="31"/>
  <c r="AM418" i="31"/>
  <c r="AN418" i="31"/>
  <c r="AL419" i="31"/>
  <c r="AM419" i="31"/>
  <c r="AN419" i="31"/>
  <c r="AL420" i="31"/>
  <c r="AM420" i="31"/>
  <c r="AN420" i="31"/>
  <c r="AL421" i="31"/>
  <c r="AM421" i="31"/>
  <c r="AN421" i="31"/>
  <c r="AL422" i="31"/>
  <c r="AM422" i="31"/>
  <c r="AN422" i="31"/>
  <c r="AL423" i="31"/>
  <c r="AM423" i="31"/>
  <c r="AN423" i="31"/>
  <c r="AL424" i="31"/>
  <c r="AM424" i="31"/>
  <c r="AN424" i="31"/>
  <c r="AL425" i="31"/>
  <c r="AM425" i="31"/>
  <c r="AN425" i="31"/>
  <c r="AL426" i="31"/>
  <c r="AM426" i="31"/>
  <c r="AN426" i="31"/>
  <c r="AL427" i="31"/>
  <c r="AM427" i="31"/>
  <c r="AN427" i="31"/>
  <c r="AL428" i="31"/>
  <c r="AM428" i="31"/>
  <c r="AN428" i="31"/>
  <c r="AL429" i="31"/>
  <c r="AM429" i="31"/>
  <c r="AN429" i="31"/>
  <c r="AL430" i="31"/>
  <c r="AM430" i="31"/>
  <c r="AN430" i="31"/>
  <c r="AL431" i="31"/>
  <c r="AM431" i="31"/>
  <c r="AN431" i="31"/>
  <c r="AL432" i="31"/>
  <c r="AM432" i="31"/>
  <c r="AN432" i="31"/>
  <c r="AL433" i="31"/>
  <c r="AM433" i="31"/>
  <c r="AN433" i="31"/>
  <c r="AL434" i="31"/>
  <c r="AM434" i="31"/>
  <c r="AN434" i="31"/>
  <c r="AL435" i="31"/>
  <c r="AM435" i="31"/>
  <c r="AN435" i="31"/>
  <c r="AL436" i="31"/>
  <c r="AM436" i="31"/>
  <c r="AN436" i="31"/>
  <c r="AL437" i="31"/>
  <c r="AM437" i="31"/>
  <c r="AN437" i="31"/>
  <c r="AL438" i="31"/>
  <c r="AM438" i="31"/>
  <c r="AN438" i="31"/>
  <c r="AL439" i="31"/>
  <c r="AM439" i="31"/>
  <c r="AN439" i="31"/>
  <c r="AL440" i="31"/>
  <c r="AM440" i="31"/>
  <c r="AN440" i="31"/>
  <c r="AL441" i="31"/>
  <c r="AM441" i="31"/>
  <c r="AN441" i="31"/>
  <c r="AN222" i="31"/>
  <c r="AM222" i="31"/>
  <c r="AL222" i="31"/>
  <c r="AL3" i="31"/>
  <c r="AM3" i="31"/>
  <c r="AN3" i="31"/>
  <c r="AL4" i="31"/>
  <c r="AM4" i="31"/>
  <c r="AN4" i="31"/>
  <c r="AL5" i="31"/>
  <c r="AM5" i="31"/>
  <c r="AN5" i="31"/>
  <c r="AL6" i="31"/>
  <c r="AM6" i="31"/>
  <c r="AN6" i="31"/>
  <c r="AL7" i="31"/>
  <c r="AM7" i="31"/>
  <c r="AN7" i="31"/>
  <c r="AL8" i="31"/>
  <c r="AM8" i="31"/>
  <c r="AN8" i="31"/>
  <c r="AL9" i="31"/>
  <c r="AM9" i="31"/>
  <c r="AN9" i="31"/>
  <c r="AL10" i="31"/>
  <c r="AM10" i="31"/>
  <c r="AN10" i="31"/>
  <c r="AL11" i="31"/>
  <c r="AM11" i="31"/>
  <c r="AN11" i="31"/>
  <c r="AL12" i="31"/>
  <c r="AM12" i="31"/>
  <c r="AN12" i="31"/>
  <c r="AL13" i="31"/>
  <c r="AM13" i="31"/>
  <c r="AN13" i="31"/>
  <c r="AL14" i="31"/>
  <c r="AM14" i="31"/>
  <c r="AN14" i="31"/>
  <c r="AL15" i="31"/>
  <c r="AM15" i="31"/>
  <c r="AN15" i="31"/>
  <c r="AL16" i="31"/>
  <c r="AM16" i="31"/>
  <c r="AN16" i="31"/>
  <c r="AL17" i="31"/>
  <c r="AM17" i="31"/>
  <c r="AN17" i="31"/>
  <c r="AL18" i="31"/>
  <c r="AM18" i="31"/>
  <c r="AN18" i="31"/>
  <c r="AL19" i="31"/>
  <c r="AM19" i="31"/>
  <c r="AN19" i="31"/>
  <c r="AL20" i="31"/>
  <c r="AM20" i="31"/>
  <c r="AN20" i="31"/>
  <c r="AL21" i="31"/>
  <c r="AM21" i="31"/>
  <c r="AN21" i="31"/>
  <c r="AL22" i="31"/>
  <c r="AM22" i="31"/>
  <c r="AN22" i="31"/>
  <c r="AL23" i="31"/>
  <c r="AM23" i="31"/>
  <c r="AN23" i="31"/>
  <c r="AL24" i="31"/>
  <c r="AM24" i="31"/>
  <c r="AN24" i="31"/>
  <c r="AL25" i="31"/>
  <c r="AM25" i="31"/>
  <c r="AN25" i="31"/>
  <c r="AL26" i="31"/>
  <c r="AM26" i="31"/>
  <c r="AN26" i="31"/>
  <c r="AL27" i="31"/>
  <c r="AM27" i="31"/>
  <c r="AN27" i="31"/>
  <c r="AL28" i="31"/>
  <c r="AM28" i="31"/>
  <c r="AN28" i="31"/>
  <c r="AL29" i="31"/>
  <c r="AM29" i="31"/>
  <c r="AN29" i="31"/>
  <c r="AL30" i="31"/>
  <c r="AM30" i="31"/>
  <c r="AN30" i="31"/>
  <c r="AL31" i="31"/>
  <c r="AM31" i="31"/>
  <c r="AN31" i="31"/>
  <c r="AL32" i="31"/>
  <c r="AM32" i="31"/>
  <c r="AN32" i="31"/>
  <c r="AL33" i="31"/>
  <c r="AM33" i="31"/>
  <c r="AN33" i="31"/>
  <c r="AL34" i="31"/>
  <c r="AM34" i="31"/>
  <c r="AN34" i="31"/>
  <c r="AL35" i="31"/>
  <c r="AM35" i="31"/>
  <c r="AN35" i="31"/>
  <c r="AL36" i="31"/>
  <c r="AM36" i="31"/>
  <c r="AN36" i="31"/>
  <c r="AL37" i="31"/>
  <c r="AM37" i="31"/>
  <c r="AN37" i="31"/>
  <c r="AL38" i="31"/>
  <c r="AM38" i="31"/>
  <c r="AN38" i="31"/>
  <c r="AL39" i="31"/>
  <c r="AM39" i="31"/>
  <c r="AN39" i="31"/>
  <c r="AL40" i="31"/>
  <c r="AM40" i="31"/>
  <c r="AN40" i="31"/>
  <c r="AL41" i="31"/>
  <c r="AM41" i="31"/>
  <c r="AN41" i="31"/>
  <c r="AL42" i="31"/>
  <c r="AM42" i="31"/>
  <c r="AN42" i="31"/>
  <c r="AL43" i="31"/>
  <c r="AM43" i="31"/>
  <c r="AN43" i="31"/>
  <c r="AL44" i="31"/>
  <c r="AM44" i="31"/>
  <c r="AN44" i="31"/>
  <c r="AL45" i="31"/>
  <c r="AM45" i="31"/>
  <c r="AN45" i="31"/>
  <c r="AL46" i="31"/>
  <c r="AM46" i="31"/>
  <c r="AN46" i="31"/>
  <c r="AL47" i="31"/>
  <c r="AM47" i="31"/>
  <c r="AN47" i="31"/>
  <c r="AL48" i="31"/>
  <c r="AM48" i="31"/>
  <c r="AN48" i="31"/>
  <c r="AL49" i="31"/>
  <c r="AM49" i="31"/>
  <c r="AN49" i="31"/>
  <c r="AL50" i="31"/>
  <c r="AM50" i="31"/>
  <c r="AN50" i="31"/>
  <c r="AL51" i="31"/>
  <c r="AM51" i="31"/>
  <c r="AN51" i="31"/>
  <c r="AL52" i="31"/>
  <c r="AM52" i="31"/>
  <c r="AN52" i="31"/>
  <c r="AL53" i="31"/>
  <c r="AM53" i="31"/>
  <c r="AN53" i="31"/>
  <c r="AL54" i="31"/>
  <c r="AM54" i="31"/>
  <c r="AN54" i="31"/>
  <c r="AL55" i="31"/>
  <c r="AM55" i="31"/>
  <c r="AN55" i="31"/>
  <c r="AL56" i="31"/>
  <c r="AM56" i="31"/>
  <c r="AN56" i="31"/>
  <c r="AL57" i="31"/>
  <c r="AM57" i="31"/>
  <c r="AN57" i="31"/>
  <c r="AL58" i="31"/>
  <c r="AM58" i="31"/>
  <c r="AN58" i="31"/>
  <c r="AL59" i="31"/>
  <c r="AM59" i="31"/>
  <c r="AN59" i="31"/>
  <c r="AL60" i="31"/>
  <c r="AM60" i="31"/>
  <c r="AN60" i="31"/>
  <c r="AL61" i="31"/>
  <c r="AM61" i="31"/>
  <c r="AN61" i="31"/>
  <c r="AL62" i="31"/>
  <c r="AM62" i="31"/>
  <c r="AN62" i="31"/>
  <c r="AL63" i="31"/>
  <c r="AM63" i="31"/>
  <c r="AN63" i="31"/>
  <c r="AL64" i="31"/>
  <c r="AM64" i="31"/>
  <c r="AN64" i="31"/>
  <c r="AL65" i="31"/>
  <c r="AM65" i="31"/>
  <c r="AN65" i="31"/>
  <c r="AL66" i="31"/>
  <c r="AM66" i="31"/>
  <c r="AN66" i="31"/>
  <c r="AL67" i="31"/>
  <c r="AM67" i="31"/>
  <c r="AN67" i="31"/>
  <c r="AL68" i="31"/>
  <c r="AM68" i="31"/>
  <c r="AN68" i="31"/>
  <c r="AL69" i="31"/>
  <c r="AM69" i="31"/>
  <c r="AN69" i="31"/>
  <c r="AL70" i="31"/>
  <c r="AM70" i="31"/>
  <c r="AN70" i="31"/>
  <c r="AL71" i="31"/>
  <c r="AM71" i="31"/>
  <c r="AN71" i="31"/>
  <c r="AL72" i="31"/>
  <c r="AM72" i="31"/>
  <c r="AN72" i="31"/>
  <c r="AL73" i="31"/>
  <c r="AM73" i="31"/>
  <c r="AN73" i="31"/>
  <c r="AL74" i="31"/>
  <c r="AM74" i="31"/>
  <c r="AN74" i="31"/>
  <c r="AL75" i="31"/>
  <c r="AM75" i="31"/>
  <c r="AN75" i="31"/>
  <c r="AL76" i="31"/>
  <c r="AM76" i="31"/>
  <c r="AN76" i="31"/>
  <c r="AL77" i="31"/>
  <c r="AM77" i="31"/>
  <c r="AN77" i="31"/>
  <c r="AL78" i="31"/>
  <c r="AM78" i="31"/>
  <c r="AN78" i="31"/>
  <c r="AL79" i="31"/>
  <c r="AM79" i="31"/>
  <c r="AN79" i="31"/>
  <c r="AL80" i="31"/>
  <c r="AM80" i="31"/>
  <c r="AN80" i="31"/>
  <c r="AL81" i="31"/>
  <c r="AM81" i="31"/>
  <c r="AN81" i="31"/>
  <c r="AL82" i="31"/>
  <c r="AM82" i="31"/>
  <c r="AN82" i="31"/>
  <c r="AL83" i="31"/>
  <c r="AM83" i="31"/>
  <c r="AN83" i="31"/>
  <c r="AL84" i="31"/>
  <c r="AM84" i="31"/>
  <c r="AN84" i="31"/>
  <c r="AL85" i="31"/>
  <c r="AM85" i="31"/>
  <c r="AN85" i="31"/>
  <c r="AL86" i="31"/>
  <c r="AM86" i="31"/>
  <c r="AN86" i="31"/>
  <c r="AL87" i="31"/>
  <c r="AM87" i="31"/>
  <c r="AN87" i="31"/>
  <c r="AL88" i="31"/>
  <c r="AM88" i="31"/>
  <c r="AN88" i="31"/>
  <c r="AL89" i="31"/>
  <c r="AM89" i="31"/>
  <c r="AN89" i="31"/>
  <c r="AL90" i="31"/>
  <c r="AM90" i="31"/>
  <c r="AN90" i="31"/>
  <c r="AL91" i="31"/>
  <c r="AM91" i="31"/>
  <c r="AN91" i="31"/>
  <c r="AL92" i="31"/>
  <c r="AM92" i="31"/>
  <c r="AN92" i="31"/>
  <c r="AL93" i="31"/>
  <c r="AM93" i="31"/>
  <c r="AN93" i="31"/>
  <c r="AL94" i="31"/>
  <c r="AM94" i="31"/>
  <c r="AN94" i="31"/>
  <c r="AL95" i="31"/>
  <c r="AM95" i="31"/>
  <c r="AN95" i="31"/>
  <c r="AL96" i="31"/>
  <c r="AM96" i="31"/>
  <c r="AN96" i="31"/>
  <c r="AL97" i="31"/>
  <c r="AM97" i="31"/>
  <c r="AN97" i="31"/>
  <c r="AL98" i="31"/>
  <c r="AM98" i="31"/>
  <c r="AN98" i="31"/>
  <c r="AL99" i="31"/>
  <c r="AM99" i="31"/>
  <c r="AN99" i="31"/>
  <c r="AL100" i="31"/>
  <c r="AM100" i="31"/>
  <c r="AN100" i="31"/>
  <c r="AL101" i="31"/>
  <c r="AM101" i="31"/>
  <c r="AN101" i="31"/>
  <c r="AL102" i="31"/>
  <c r="AM102" i="31"/>
  <c r="AN102" i="31"/>
  <c r="AL103" i="31"/>
  <c r="AM103" i="31"/>
  <c r="AN103" i="31"/>
  <c r="AL104" i="31"/>
  <c r="AM104" i="31"/>
  <c r="AN104" i="31"/>
  <c r="AL105" i="31"/>
  <c r="AM105" i="31"/>
  <c r="AN105" i="31"/>
  <c r="AL106" i="31"/>
  <c r="AM106" i="31"/>
  <c r="AN106" i="31"/>
  <c r="AL107" i="31"/>
  <c r="AM107" i="31"/>
  <c r="AN107" i="31"/>
  <c r="AL108" i="31"/>
  <c r="AM108" i="31"/>
  <c r="AN108" i="31"/>
  <c r="AL109" i="31"/>
  <c r="AM109" i="31"/>
  <c r="AN109" i="31"/>
  <c r="AL110" i="31"/>
  <c r="AM110" i="31"/>
  <c r="AN110" i="31"/>
  <c r="AL111" i="31"/>
  <c r="AM111" i="31"/>
  <c r="AN111" i="31"/>
  <c r="AL112" i="31"/>
  <c r="AM112" i="31"/>
  <c r="AN112" i="31"/>
  <c r="AL113" i="31"/>
  <c r="AM113" i="31"/>
  <c r="AN113" i="31"/>
  <c r="AL114" i="31"/>
  <c r="AM114" i="31"/>
  <c r="AN114" i="31"/>
  <c r="AL115" i="31"/>
  <c r="AM115" i="31"/>
  <c r="AN115" i="31"/>
  <c r="AL116" i="31"/>
  <c r="AM116" i="31"/>
  <c r="AN116" i="31"/>
  <c r="AL117" i="31"/>
  <c r="AM117" i="31"/>
  <c r="AN117" i="31"/>
  <c r="AL118" i="31"/>
  <c r="AM118" i="31"/>
  <c r="AN118" i="31"/>
  <c r="AL119" i="31"/>
  <c r="AM119" i="31"/>
  <c r="AN119" i="31"/>
  <c r="AL120" i="31"/>
  <c r="AM120" i="31"/>
  <c r="AN120" i="31"/>
  <c r="AL121" i="31"/>
  <c r="AM121" i="31"/>
  <c r="AN121" i="31"/>
  <c r="AL122" i="31"/>
  <c r="AM122" i="31"/>
  <c r="AN122" i="31"/>
  <c r="AL123" i="31"/>
  <c r="AM123" i="31"/>
  <c r="AN123" i="31"/>
  <c r="AL124" i="31"/>
  <c r="AM124" i="31"/>
  <c r="AN124" i="31"/>
  <c r="AL125" i="31"/>
  <c r="AM125" i="31"/>
  <c r="AN125" i="31"/>
  <c r="AL126" i="31"/>
  <c r="AM126" i="31"/>
  <c r="AN126" i="31"/>
  <c r="AL127" i="31"/>
  <c r="AM127" i="31"/>
  <c r="AN127" i="31"/>
  <c r="AL128" i="31"/>
  <c r="AM128" i="31"/>
  <c r="AN128" i="31"/>
  <c r="AL129" i="31"/>
  <c r="AM129" i="31"/>
  <c r="AN129" i="31"/>
  <c r="AL130" i="31"/>
  <c r="AM130" i="31"/>
  <c r="AN130" i="31"/>
  <c r="AL131" i="31"/>
  <c r="AM131" i="31"/>
  <c r="AN131" i="31"/>
  <c r="AL132" i="31"/>
  <c r="AM132" i="31"/>
  <c r="AN132" i="31"/>
  <c r="AL133" i="31"/>
  <c r="AM133" i="31"/>
  <c r="AN133" i="31"/>
  <c r="AL134" i="31"/>
  <c r="AM134" i="31"/>
  <c r="AN134" i="31"/>
  <c r="AL135" i="31"/>
  <c r="AM135" i="31"/>
  <c r="AN135" i="31"/>
  <c r="AL136" i="31"/>
  <c r="AM136" i="31"/>
  <c r="AN136" i="31"/>
  <c r="AL137" i="31"/>
  <c r="AM137" i="31"/>
  <c r="AN137" i="31"/>
  <c r="AL138" i="31"/>
  <c r="AM138" i="31"/>
  <c r="AN138" i="31"/>
  <c r="AL139" i="31"/>
  <c r="AM139" i="31"/>
  <c r="AN139" i="31"/>
  <c r="AL140" i="31"/>
  <c r="AM140" i="31"/>
  <c r="AN140" i="31"/>
  <c r="AL141" i="31"/>
  <c r="AM141" i="31"/>
  <c r="AN141" i="31"/>
  <c r="AL142" i="31"/>
  <c r="AM142" i="31"/>
  <c r="AN142" i="31"/>
  <c r="AL143" i="31"/>
  <c r="AM143" i="31"/>
  <c r="AN143" i="31"/>
  <c r="AL144" i="31"/>
  <c r="AM144" i="31"/>
  <c r="AN144" i="31"/>
  <c r="AL145" i="31"/>
  <c r="AM145" i="31"/>
  <c r="AN145" i="31"/>
  <c r="AL146" i="31"/>
  <c r="AM146" i="31"/>
  <c r="AN146" i="31"/>
  <c r="AL147" i="31"/>
  <c r="AM147" i="31"/>
  <c r="AN147" i="31"/>
  <c r="AL148" i="31"/>
  <c r="AM148" i="31"/>
  <c r="AN148" i="31"/>
  <c r="AL149" i="31"/>
  <c r="AM149" i="31"/>
  <c r="AN149" i="31"/>
  <c r="AL150" i="31"/>
  <c r="AM150" i="31"/>
  <c r="AN150" i="31"/>
  <c r="AL151" i="31"/>
  <c r="AM151" i="31"/>
  <c r="AN151" i="31"/>
  <c r="AL152" i="31"/>
  <c r="AM152" i="31"/>
  <c r="AN152" i="31"/>
  <c r="AL153" i="31"/>
  <c r="AM153" i="31"/>
  <c r="AN153" i="31"/>
  <c r="AL154" i="31"/>
  <c r="AM154" i="31"/>
  <c r="AN154" i="31"/>
  <c r="AL155" i="31"/>
  <c r="AM155" i="31"/>
  <c r="AN155" i="31"/>
  <c r="AL156" i="31"/>
  <c r="AM156" i="31"/>
  <c r="AN156" i="31"/>
  <c r="AL157" i="31"/>
  <c r="AM157" i="31"/>
  <c r="AN157" i="31"/>
  <c r="AL158" i="31"/>
  <c r="AM158" i="31"/>
  <c r="AN158" i="31"/>
  <c r="AL159" i="31"/>
  <c r="AM159" i="31"/>
  <c r="AN159" i="31"/>
  <c r="AL160" i="31"/>
  <c r="AM160" i="31"/>
  <c r="AN160" i="31"/>
  <c r="AL161" i="31"/>
  <c r="AM161" i="31"/>
  <c r="AN161" i="31"/>
  <c r="AL162" i="31"/>
  <c r="AM162" i="31"/>
  <c r="AN162" i="31"/>
  <c r="AL163" i="31"/>
  <c r="AM163" i="31"/>
  <c r="AN163" i="31"/>
  <c r="AL164" i="31"/>
  <c r="AM164" i="31"/>
  <c r="AN164" i="31"/>
  <c r="AL165" i="31"/>
  <c r="AM165" i="31"/>
  <c r="AN165" i="31"/>
  <c r="AL166" i="31"/>
  <c r="AM166" i="31"/>
  <c r="AN166" i="31"/>
  <c r="AL167" i="31"/>
  <c r="AM167" i="31"/>
  <c r="AN167" i="31"/>
  <c r="AL168" i="31"/>
  <c r="AM168" i="31"/>
  <c r="AN168" i="31"/>
  <c r="AL169" i="31"/>
  <c r="AM169" i="31"/>
  <c r="AN169" i="31"/>
  <c r="AL170" i="31"/>
  <c r="AM170" i="31"/>
  <c r="AN170" i="31"/>
  <c r="AL171" i="31"/>
  <c r="AM171" i="31"/>
  <c r="AN171" i="31"/>
  <c r="AL172" i="31"/>
  <c r="AM172" i="31"/>
  <c r="AN172" i="31"/>
  <c r="AL173" i="31"/>
  <c r="AM173" i="31"/>
  <c r="AN173" i="31"/>
  <c r="AL174" i="31"/>
  <c r="AM174" i="31"/>
  <c r="AN174" i="31"/>
  <c r="AL175" i="31"/>
  <c r="AM175" i="31"/>
  <c r="AN175" i="31"/>
  <c r="AL176" i="31"/>
  <c r="AM176" i="31"/>
  <c r="AN176" i="31"/>
  <c r="AL177" i="31"/>
  <c r="AM177" i="31"/>
  <c r="AN177" i="31"/>
  <c r="AL178" i="31"/>
  <c r="AM178" i="31"/>
  <c r="AN178" i="31"/>
  <c r="AL179" i="31"/>
  <c r="AM179" i="31"/>
  <c r="AN179" i="31"/>
  <c r="AL180" i="31"/>
  <c r="AM180" i="31"/>
  <c r="AN180" i="31"/>
  <c r="AL181" i="31"/>
  <c r="AM181" i="31"/>
  <c r="AN181" i="31"/>
  <c r="AL182" i="31"/>
  <c r="AM182" i="31"/>
  <c r="AN182" i="31"/>
  <c r="AL183" i="31"/>
  <c r="AM183" i="31"/>
  <c r="AN183" i="31"/>
  <c r="AL184" i="31"/>
  <c r="AM184" i="31"/>
  <c r="AN184" i="31"/>
  <c r="AL185" i="31"/>
  <c r="AM185" i="31"/>
  <c r="AN185" i="31"/>
  <c r="AL186" i="31"/>
  <c r="AM186" i="31"/>
  <c r="AN186" i="31"/>
  <c r="AL187" i="31"/>
  <c r="AM187" i="31"/>
  <c r="AN187" i="31"/>
  <c r="AL188" i="31"/>
  <c r="AM188" i="31"/>
  <c r="AN188" i="31"/>
  <c r="AL189" i="31"/>
  <c r="AM189" i="31"/>
  <c r="AN189" i="31"/>
  <c r="AL190" i="31"/>
  <c r="AM190" i="31"/>
  <c r="AN190" i="31"/>
  <c r="AL191" i="31"/>
  <c r="AM191" i="31"/>
  <c r="AN191" i="31"/>
  <c r="AL192" i="31"/>
  <c r="AM192" i="31"/>
  <c r="AN192" i="31"/>
  <c r="AL193" i="31"/>
  <c r="AM193" i="31"/>
  <c r="AN193" i="31"/>
  <c r="AL194" i="31"/>
  <c r="AM194" i="31"/>
  <c r="AN194" i="31"/>
  <c r="AL195" i="31"/>
  <c r="AM195" i="31"/>
  <c r="AN195" i="31"/>
  <c r="AL196" i="31"/>
  <c r="AM196" i="31"/>
  <c r="AN196" i="31"/>
  <c r="AL197" i="31"/>
  <c r="AM197" i="31"/>
  <c r="AN197" i="31"/>
  <c r="AL198" i="31"/>
  <c r="AM198" i="31"/>
  <c r="AN198" i="31"/>
  <c r="AL199" i="31"/>
  <c r="AM199" i="31"/>
  <c r="AN199" i="31"/>
  <c r="AL200" i="31"/>
  <c r="AM200" i="31"/>
  <c r="AN200" i="31"/>
  <c r="AL201" i="31"/>
  <c r="AM201" i="31"/>
  <c r="AN201" i="31"/>
  <c r="AL202" i="31"/>
  <c r="AM202" i="31"/>
  <c r="AN202" i="31"/>
  <c r="AL203" i="31"/>
  <c r="AM203" i="31"/>
  <c r="AN203" i="31"/>
  <c r="AL204" i="31"/>
  <c r="AM204" i="31"/>
  <c r="AN204" i="31"/>
  <c r="AL205" i="31"/>
  <c r="AM205" i="31"/>
  <c r="AN205" i="31"/>
  <c r="AL206" i="31"/>
  <c r="AM206" i="31"/>
  <c r="AN206" i="31"/>
  <c r="AL207" i="31"/>
  <c r="AM207" i="31"/>
  <c r="AN207" i="31"/>
  <c r="AL208" i="31"/>
  <c r="AM208" i="31"/>
  <c r="AN208" i="31"/>
  <c r="AL209" i="31"/>
  <c r="AM209" i="31"/>
  <c r="AN209" i="31"/>
  <c r="AL210" i="31"/>
  <c r="AM210" i="31"/>
  <c r="AN210" i="31"/>
  <c r="AL211" i="31"/>
  <c r="AM211" i="31"/>
  <c r="AN211" i="31"/>
  <c r="AL212" i="31"/>
  <c r="AM212" i="31"/>
  <c r="AN212" i="31"/>
  <c r="AL213" i="31"/>
  <c r="AM213" i="31"/>
  <c r="AN213" i="31"/>
  <c r="AL214" i="31"/>
  <c r="AM214" i="31"/>
  <c r="AN214" i="31"/>
  <c r="AL215" i="31"/>
  <c r="AM215" i="31"/>
  <c r="AN215" i="31"/>
  <c r="AL216" i="31"/>
  <c r="AM216" i="31"/>
  <c r="AN216" i="31"/>
  <c r="AL217" i="31"/>
  <c r="AM217" i="31"/>
  <c r="AN217" i="31"/>
  <c r="AL218" i="31"/>
  <c r="AM218" i="31"/>
  <c r="AN218" i="31"/>
  <c r="AL219" i="31"/>
  <c r="AM219" i="31"/>
  <c r="AN219" i="31"/>
  <c r="AL220" i="31"/>
  <c r="AM220" i="31"/>
  <c r="AN220" i="31"/>
  <c r="AL221" i="31"/>
  <c r="AM221" i="31"/>
  <c r="AN221" i="31"/>
  <c r="AN2" i="31"/>
  <c r="AM2" i="31"/>
  <c r="AL2" i="31"/>
  <c r="AL2" i="25"/>
  <c r="AL3" i="25"/>
  <c r="AL4" i="25"/>
  <c r="AL5" i="25"/>
  <c r="AL6" i="25"/>
  <c r="AL7" i="25"/>
  <c r="AL8" i="25"/>
  <c r="AI881" i="25"/>
  <c r="AI880" i="25"/>
  <c r="AI879" i="25"/>
  <c r="AI878" i="25"/>
  <c r="AI877" i="25"/>
  <c r="AI876" i="25"/>
  <c r="AI875" i="25"/>
  <c r="AI874" i="25"/>
  <c r="AI873" i="25"/>
  <c r="AI872" i="25"/>
  <c r="AI871" i="25"/>
  <c r="AI870" i="25"/>
  <c r="AI869" i="25"/>
  <c r="AI868" i="25"/>
  <c r="AI867" i="25"/>
  <c r="AI866" i="25"/>
  <c r="AI865" i="25"/>
  <c r="AI864" i="25"/>
  <c r="AI863" i="25"/>
  <c r="AI862" i="25"/>
  <c r="AI861" i="25"/>
  <c r="AI860" i="25"/>
  <c r="AI859" i="25"/>
  <c r="AI858" i="25"/>
  <c r="AI857" i="25"/>
  <c r="AI856" i="25"/>
  <c r="AI855" i="25"/>
  <c r="AI854" i="25"/>
  <c r="AI853" i="25"/>
  <c r="AI852" i="25"/>
  <c r="AI851" i="25"/>
  <c r="AI850" i="25"/>
  <c r="AI849" i="25"/>
  <c r="AI848" i="25"/>
  <c r="AI847" i="25"/>
  <c r="AI846" i="25"/>
  <c r="AI845" i="25"/>
  <c r="AI844" i="25"/>
  <c r="AI843" i="25"/>
  <c r="AI842" i="25"/>
  <c r="AI841" i="25"/>
  <c r="AI840" i="25"/>
  <c r="AI839" i="25"/>
  <c r="AI838" i="25"/>
  <c r="AI837" i="25"/>
  <c r="AI836" i="25"/>
  <c r="AI835" i="25"/>
  <c r="AI834" i="25"/>
  <c r="AI833" i="25"/>
  <c r="AI832" i="25"/>
  <c r="AI831" i="25"/>
  <c r="AI830" i="25"/>
  <c r="AI829" i="25"/>
  <c r="AI828" i="25"/>
  <c r="AI827" i="25"/>
  <c r="AI826" i="25"/>
  <c r="AI825" i="25"/>
  <c r="AI824" i="25"/>
  <c r="AI823" i="25"/>
  <c r="AI822" i="25"/>
  <c r="AI821" i="25"/>
  <c r="AI820" i="25"/>
  <c r="AI819" i="25"/>
  <c r="AI818" i="25"/>
  <c r="AI817" i="25"/>
  <c r="AI816" i="25"/>
  <c r="AI815" i="25"/>
  <c r="AI814" i="25"/>
  <c r="AI813" i="25"/>
  <c r="AI812" i="25"/>
  <c r="AI811" i="25"/>
  <c r="AI810" i="25"/>
  <c r="AI809" i="25"/>
  <c r="AI808" i="25"/>
  <c r="AI807" i="25"/>
  <c r="AI806" i="25"/>
  <c r="AI805" i="25"/>
  <c r="AI804" i="25"/>
  <c r="AI803" i="25"/>
  <c r="AI802" i="25"/>
  <c r="AI801" i="25"/>
  <c r="AI800" i="25"/>
  <c r="AI799" i="25"/>
  <c r="AI798" i="25"/>
  <c r="AI797" i="25"/>
  <c r="AI796" i="25"/>
  <c r="AI795" i="25"/>
  <c r="AI794" i="25"/>
  <c r="AI793" i="25"/>
  <c r="AI792" i="25"/>
  <c r="AI791" i="25"/>
  <c r="AI790" i="25"/>
  <c r="AI789" i="25"/>
  <c r="AI788" i="25"/>
  <c r="AI787" i="25"/>
  <c r="AI786" i="25"/>
  <c r="AI785" i="25"/>
  <c r="AI784" i="25"/>
  <c r="AI783" i="25"/>
  <c r="AI782" i="25"/>
  <c r="AI781" i="25"/>
  <c r="AI780" i="25"/>
  <c r="AI779" i="25"/>
  <c r="AI778" i="25"/>
  <c r="AI777" i="25"/>
  <c r="AI776" i="25"/>
  <c r="AI775" i="25"/>
  <c r="AI774" i="25"/>
  <c r="AI773" i="25"/>
  <c r="AI772" i="25"/>
  <c r="AI771" i="25"/>
  <c r="AI770" i="25"/>
  <c r="AI769" i="25"/>
  <c r="AI768" i="25"/>
  <c r="AI767" i="25"/>
  <c r="AI766" i="25"/>
  <c r="AI765" i="25"/>
  <c r="AI764" i="25"/>
  <c r="AI763" i="25"/>
  <c r="AI762" i="25"/>
  <c r="AI761" i="25"/>
  <c r="AI760" i="25"/>
  <c r="AI759" i="25"/>
  <c r="AI758" i="25"/>
  <c r="AI757" i="25"/>
  <c r="AI756" i="25"/>
  <c r="AI755" i="25"/>
  <c r="AI754" i="25"/>
  <c r="AI753" i="25"/>
  <c r="AI752" i="25"/>
  <c r="AI751" i="25"/>
  <c r="AI750" i="25"/>
  <c r="AI749" i="25"/>
  <c r="AI748" i="25"/>
  <c r="AI747" i="25"/>
  <c r="AI746" i="25"/>
  <c r="AI745" i="25"/>
  <c r="AI744" i="25"/>
  <c r="AI743" i="25"/>
  <c r="AI742" i="25"/>
  <c r="AI741" i="25"/>
  <c r="AI740" i="25"/>
  <c r="AI739" i="25"/>
  <c r="AI738" i="25"/>
  <c r="AI737" i="25"/>
  <c r="AI736" i="25"/>
  <c r="AI735" i="25"/>
  <c r="AI734" i="25"/>
  <c r="AI733" i="25"/>
  <c r="AI732" i="25"/>
  <c r="AI731" i="25"/>
  <c r="AI730" i="25"/>
  <c r="AI729" i="25"/>
  <c r="AI728" i="25"/>
  <c r="AI727" i="25"/>
  <c r="AI726" i="25"/>
  <c r="AI725" i="25"/>
  <c r="AI724" i="25"/>
  <c r="AI723" i="25"/>
  <c r="AI722" i="25"/>
  <c r="AI721" i="25"/>
  <c r="AI720" i="25"/>
  <c r="AI719" i="25"/>
  <c r="AI718" i="25"/>
  <c r="AI717" i="25"/>
  <c r="AI716" i="25"/>
  <c r="AI715" i="25"/>
  <c r="AI714" i="25"/>
  <c r="AI713" i="25"/>
  <c r="AI712" i="25"/>
  <c r="AI711" i="25"/>
  <c r="AI710" i="25"/>
  <c r="AI709" i="25"/>
  <c r="AI708" i="25"/>
  <c r="AI707" i="25"/>
  <c r="AI706" i="25"/>
  <c r="AI705" i="25"/>
  <c r="AI704" i="25"/>
  <c r="AI703" i="25"/>
  <c r="AI702" i="25"/>
  <c r="AI701" i="25"/>
  <c r="AI700" i="25"/>
  <c r="AI699" i="25"/>
  <c r="AI698" i="25"/>
  <c r="AI697" i="25"/>
  <c r="AI696" i="25"/>
  <c r="AI695" i="25"/>
  <c r="AI694" i="25"/>
  <c r="AI693" i="25"/>
  <c r="AI692" i="25"/>
  <c r="AI691" i="25"/>
  <c r="AI690" i="25"/>
  <c r="AI689" i="25"/>
  <c r="AI688" i="25"/>
  <c r="AI687" i="25"/>
  <c r="AI686" i="25"/>
  <c r="AI685" i="25"/>
  <c r="AI684" i="25"/>
  <c r="AI683" i="25"/>
  <c r="AI682" i="25"/>
  <c r="AI681" i="25"/>
  <c r="AI680" i="25"/>
  <c r="AI679" i="25"/>
  <c r="AI678" i="25"/>
  <c r="AI677" i="25"/>
  <c r="AI676" i="25"/>
  <c r="AI675" i="25"/>
  <c r="AI674" i="25"/>
  <c r="AI673" i="25"/>
  <c r="AI672" i="25"/>
  <c r="AI671" i="25"/>
  <c r="AI670" i="25"/>
  <c r="AI669" i="25"/>
  <c r="AI668" i="25"/>
  <c r="AI667" i="25"/>
  <c r="AI666" i="25"/>
  <c r="AI665" i="25"/>
  <c r="AI664" i="25"/>
  <c r="AI663" i="25"/>
  <c r="AI662" i="25"/>
  <c r="AI661" i="25"/>
  <c r="AI660" i="25"/>
  <c r="AI659" i="25"/>
  <c r="AI658" i="25"/>
  <c r="AI657" i="25"/>
  <c r="AI656" i="25"/>
  <c r="AI655" i="25"/>
  <c r="AI654" i="25"/>
  <c r="AI653" i="25"/>
  <c r="AI652" i="25"/>
  <c r="AI651" i="25"/>
  <c r="AI650" i="25"/>
  <c r="AI649" i="25"/>
  <c r="AI648" i="25"/>
  <c r="AI647" i="25"/>
  <c r="AI646" i="25"/>
  <c r="AI645" i="25"/>
  <c r="AI644" i="25"/>
  <c r="AI643" i="25"/>
  <c r="AI642" i="25"/>
  <c r="AI641" i="25"/>
  <c r="AI640" i="25"/>
  <c r="AI639" i="25"/>
  <c r="AI638" i="25"/>
  <c r="AI637" i="25"/>
  <c r="AI636" i="25"/>
  <c r="AI635" i="25"/>
  <c r="AI634" i="25"/>
  <c r="AI633" i="25"/>
  <c r="AI632" i="25"/>
  <c r="AI631" i="25"/>
  <c r="AI630" i="25"/>
  <c r="AI629" i="25"/>
  <c r="AI628" i="25"/>
  <c r="AI627" i="25"/>
  <c r="AI626" i="25"/>
  <c r="AI625" i="25"/>
  <c r="AI624" i="25"/>
  <c r="AI623" i="25"/>
  <c r="AI622" i="25"/>
  <c r="AI621" i="25"/>
  <c r="AI620" i="25"/>
  <c r="AI619" i="25"/>
  <c r="AI618" i="25"/>
  <c r="AI617" i="25"/>
  <c r="AI616" i="25"/>
  <c r="AI615" i="25"/>
  <c r="AI614" i="25"/>
  <c r="AI613" i="25"/>
  <c r="AI612" i="25"/>
  <c r="AI611" i="25"/>
  <c r="AI610" i="25"/>
  <c r="AI609" i="25"/>
  <c r="AI608" i="25"/>
  <c r="AI607" i="25"/>
  <c r="AI606" i="25"/>
  <c r="AI605" i="25"/>
  <c r="AI604" i="25"/>
  <c r="AI603" i="25"/>
  <c r="AI602" i="25"/>
  <c r="AI601" i="25"/>
  <c r="AI600" i="25"/>
  <c r="AI599" i="25"/>
  <c r="AI598" i="25"/>
  <c r="AI597" i="25"/>
  <c r="AI596" i="25"/>
  <c r="AI595" i="25"/>
  <c r="AI594" i="25"/>
  <c r="AI593" i="25"/>
  <c r="AI592" i="25"/>
  <c r="AI591" i="25"/>
  <c r="AI590" i="25"/>
  <c r="AI589" i="25"/>
  <c r="AI588" i="25"/>
  <c r="AI587" i="25"/>
  <c r="AI586" i="25"/>
  <c r="AI585" i="25"/>
  <c r="AI584" i="25"/>
  <c r="AI583" i="25"/>
  <c r="AI582" i="25"/>
  <c r="AI581" i="25"/>
  <c r="AI580" i="25"/>
  <c r="AI579" i="25"/>
  <c r="AI578" i="25"/>
  <c r="AI577" i="25"/>
  <c r="AI576" i="25"/>
  <c r="AI575" i="25"/>
  <c r="AI574" i="25"/>
  <c r="AI573" i="25"/>
  <c r="AI572" i="25"/>
  <c r="AI571" i="25"/>
  <c r="AI570" i="25"/>
  <c r="AI569" i="25"/>
  <c r="AI568" i="25"/>
  <c r="AI567" i="25"/>
  <c r="AI566" i="25"/>
  <c r="AI565" i="25"/>
  <c r="AI564" i="25"/>
  <c r="AI563" i="25"/>
  <c r="AI562" i="25"/>
  <c r="AI561" i="25"/>
  <c r="AI560" i="25"/>
  <c r="AI559" i="25"/>
  <c r="AI558" i="25"/>
  <c r="AI557" i="25"/>
  <c r="AI556" i="25"/>
  <c r="AI555" i="25"/>
  <c r="AI554" i="25"/>
  <c r="AI553" i="25"/>
  <c r="AI552" i="25"/>
  <c r="AI551" i="25"/>
  <c r="AI550" i="25"/>
  <c r="AI549" i="25"/>
  <c r="AI548" i="25"/>
  <c r="AI547" i="25"/>
  <c r="AI546" i="25"/>
  <c r="AI545" i="25"/>
  <c r="AI544" i="25"/>
  <c r="AI543" i="25"/>
  <c r="AI542" i="25"/>
  <c r="AI541" i="25"/>
  <c r="AI540" i="25"/>
  <c r="AI539" i="25"/>
  <c r="AI538" i="25"/>
  <c r="AI537" i="25"/>
  <c r="AI536" i="25"/>
  <c r="AI535" i="25"/>
  <c r="AI534" i="25"/>
  <c r="AI533" i="25"/>
  <c r="AI532" i="25"/>
  <c r="AI531" i="25"/>
  <c r="AI530" i="25"/>
  <c r="AI529" i="25"/>
  <c r="AI528" i="25"/>
  <c r="AI527" i="25"/>
  <c r="AI526" i="25"/>
  <c r="AI525" i="25"/>
  <c r="AI524" i="25"/>
  <c r="AI523" i="25"/>
  <c r="AI522" i="25"/>
  <c r="AI521" i="25"/>
  <c r="AI520" i="25"/>
  <c r="AI519" i="25"/>
  <c r="AI518" i="25"/>
  <c r="AI517" i="25"/>
  <c r="AI516" i="25"/>
  <c r="AI515" i="25"/>
  <c r="AI514" i="25"/>
  <c r="AI513" i="25"/>
  <c r="AI512" i="25"/>
  <c r="AI511" i="25"/>
  <c r="AI510" i="25"/>
  <c r="AI509" i="25"/>
  <c r="AI508" i="25"/>
  <c r="AI507" i="25"/>
  <c r="AI506" i="25"/>
  <c r="AI505" i="25"/>
  <c r="AI504" i="25"/>
  <c r="AI503" i="25"/>
  <c r="AI502" i="25"/>
  <c r="AI501" i="25"/>
  <c r="AI500" i="25"/>
  <c r="AI499" i="25"/>
  <c r="AI498" i="25"/>
  <c r="AI497" i="25"/>
  <c r="AI496" i="25"/>
  <c r="AI495" i="25"/>
  <c r="AI494" i="25"/>
  <c r="AI493" i="25"/>
  <c r="AI492" i="25"/>
  <c r="AI491" i="25"/>
  <c r="AI490" i="25"/>
  <c r="AI489" i="25"/>
  <c r="AI488" i="25"/>
  <c r="AI487" i="25"/>
  <c r="AI486" i="25"/>
  <c r="AI485" i="25"/>
  <c r="AI484" i="25"/>
  <c r="AI483" i="25"/>
  <c r="AI482" i="25"/>
  <c r="AI481" i="25"/>
  <c r="AI480" i="25"/>
  <c r="AI479" i="25"/>
  <c r="AI478" i="25"/>
  <c r="AI477" i="25"/>
  <c r="AI476" i="25"/>
  <c r="AI475" i="25"/>
  <c r="AI474" i="25"/>
  <c r="AI473" i="25"/>
  <c r="AI472" i="25"/>
  <c r="AI471" i="25"/>
  <c r="AI470" i="25"/>
  <c r="AI469" i="25"/>
  <c r="AI468" i="25"/>
  <c r="AI467" i="25"/>
  <c r="AI466" i="25"/>
  <c r="AI465" i="25"/>
  <c r="AI464" i="25"/>
  <c r="AI463" i="25"/>
  <c r="AI462" i="25"/>
  <c r="AI461" i="25"/>
  <c r="AI460" i="25"/>
  <c r="AI459" i="25"/>
  <c r="AI458" i="25"/>
  <c r="AI457" i="25"/>
  <c r="AI456" i="25"/>
  <c r="AI455" i="25"/>
  <c r="AI454" i="25"/>
  <c r="AI453" i="25"/>
  <c r="AI452" i="25"/>
  <c r="AI451" i="25"/>
  <c r="AI450" i="25"/>
  <c r="AI449" i="25"/>
  <c r="AI448" i="25"/>
  <c r="AI447" i="25"/>
  <c r="AI446" i="25"/>
  <c r="AI445" i="25"/>
  <c r="AI444" i="25"/>
  <c r="AI443" i="25"/>
  <c r="AI442" i="25"/>
  <c r="AI441" i="25"/>
  <c r="AI440" i="25"/>
  <c r="AI439" i="25"/>
  <c r="AI438" i="25"/>
  <c r="AI437" i="25"/>
  <c r="AI436" i="25"/>
  <c r="AI435" i="25"/>
  <c r="AI434" i="25"/>
  <c r="AI433" i="25"/>
  <c r="AI432" i="25"/>
  <c r="AI431" i="25"/>
  <c r="AI430" i="25"/>
  <c r="AI429" i="25"/>
  <c r="AI428" i="25"/>
  <c r="AI427" i="25"/>
  <c r="AI426" i="25"/>
  <c r="AI425" i="25"/>
  <c r="AI424" i="25"/>
  <c r="AI423" i="25"/>
  <c r="AI422" i="25"/>
  <c r="AI421" i="25"/>
  <c r="AI420" i="25"/>
  <c r="AI419" i="25"/>
  <c r="AI418" i="25"/>
  <c r="AI417" i="25"/>
  <c r="AI416" i="25"/>
  <c r="AI415" i="25"/>
  <c r="AI414" i="25"/>
  <c r="AI413" i="25"/>
  <c r="AI412" i="25"/>
  <c r="AI411" i="25"/>
  <c r="AI410" i="25"/>
  <c r="AI409" i="25"/>
  <c r="AI408" i="25"/>
  <c r="AI407" i="25"/>
  <c r="AI406" i="25"/>
  <c r="AI405" i="25"/>
  <c r="AI404" i="25"/>
  <c r="AI403" i="25"/>
  <c r="AI402" i="25"/>
  <c r="AI401" i="25"/>
  <c r="AI400" i="25"/>
  <c r="AI399" i="25"/>
  <c r="AI398" i="25"/>
  <c r="AI397" i="25"/>
  <c r="AI396" i="25"/>
  <c r="AI395" i="25"/>
  <c r="AI394" i="25"/>
  <c r="AI393" i="25"/>
  <c r="AI392" i="25"/>
  <c r="AI391" i="25"/>
  <c r="AI390" i="25"/>
  <c r="AI389" i="25"/>
  <c r="AI388" i="25"/>
  <c r="AI387" i="25"/>
  <c r="AI386" i="25"/>
  <c r="AI385" i="25"/>
  <c r="AI384" i="25"/>
  <c r="AI383" i="25"/>
  <c r="AI382" i="25"/>
  <c r="AI381" i="25"/>
  <c r="AI380" i="25"/>
  <c r="AI379" i="25"/>
  <c r="AI378" i="25"/>
  <c r="AI377" i="25"/>
  <c r="AI376" i="25"/>
  <c r="AI375" i="25"/>
  <c r="AI374" i="25"/>
  <c r="AI373" i="25"/>
  <c r="AI372" i="25"/>
  <c r="AI371" i="25"/>
  <c r="AI370" i="25"/>
  <c r="AI369" i="25"/>
  <c r="AI368" i="25"/>
  <c r="AI367" i="25"/>
  <c r="AI366" i="25"/>
  <c r="AI365" i="25"/>
  <c r="AI364" i="25"/>
  <c r="AI363" i="25"/>
  <c r="AI362" i="25"/>
  <c r="AI361" i="25"/>
  <c r="AI360" i="25"/>
  <c r="AI359" i="25"/>
  <c r="AI358" i="25"/>
  <c r="AI357" i="25"/>
  <c r="AI356" i="25"/>
  <c r="AI355" i="25"/>
  <c r="AI354" i="25"/>
  <c r="AI353" i="25"/>
  <c r="AI352" i="25"/>
  <c r="AI351" i="25"/>
  <c r="AI350" i="25"/>
  <c r="AI349" i="25"/>
  <c r="AI348" i="25"/>
  <c r="AI347" i="25"/>
  <c r="AI346" i="25"/>
  <c r="AI345" i="25"/>
  <c r="AI344" i="25"/>
  <c r="AI343" i="25"/>
  <c r="AI342" i="25"/>
  <c r="AI341" i="25"/>
  <c r="AI340" i="25"/>
  <c r="AI339" i="25"/>
  <c r="AI338" i="25"/>
  <c r="AI337" i="25"/>
  <c r="AI336" i="25"/>
  <c r="AI335" i="25"/>
  <c r="AI334" i="25"/>
  <c r="AI333" i="25"/>
  <c r="AI332" i="25"/>
  <c r="AI331" i="25"/>
  <c r="AI330" i="25"/>
  <c r="AI329" i="25"/>
  <c r="AI328" i="25"/>
  <c r="AI327" i="25"/>
  <c r="AI326" i="25"/>
  <c r="AI325" i="25"/>
  <c r="AI324" i="25"/>
  <c r="AI323" i="25"/>
  <c r="AI322" i="25"/>
  <c r="AI321" i="25"/>
  <c r="AI320" i="25"/>
  <c r="AI319" i="25"/>
  <c r="AI318" i="25"/>
  <c r="AI317" i="25"/>
  <c r="AI316" i="25"/>
  <c r="AI315" i="25"/>
  <c r="AI314" i="25"/>
  <c r="AI313" i="25"/>
  <c r="AI312" i="25"/>
  <c r="AI311" i="25"/>
  <c r="AI310" i="25"/>
  <c r="AI309" i="25"/>
  <c r="AI308" i="25"/>
  <c r="AI307" i="25"/>
  <c r="AI306" i="25"/>
  <c r="AI305" i="25"/>
  <c r="AI304" i="25"/>
  <c r="AI303" i="25"/>
  <c r="AI302" i="25"/>
  <c r="AI301" i="25"/>
  <c r="AI300" i="25"/>
  <c r="AI299" i="25"/>
  <c r="AI298" i="25"/>
  <c r="AI297" i="25"/>
  <c r="AI296" i="25"/>
  <c r="AI295" i="25"/>
  <c r="AI294" i="25"/>
  <c r="AI293" i="25"/>
  <c r="AI292" i="25"/>
  <c r="AI291" i="25"/>
  <c r="AI290" i="25"/>
  <c r="AI289" i="25"/>
  <c r="AI288" i="25"/>
  <c r="AI287" i="25"/>
  <c r="AI286" i="25"/>
  <c r="AI285" i="25"/>
  <c r="AI284" i="25"/>
  <c r="AI283" i="25"/>
  <c r="AI282" i="25"/>
  <c r="AI281" i="25"/>
  <c r="AI280" i="25"/>
  <c r="AI279" i="25"/>
  <c r="AI278" i="25"/>
  <c r="AI277" i="25"/>
  <c r="AI276" i="25"/>
  <c r="AI275" i="25"/>
  <c r="AI274" i="25"/>
  <c r="AI273" i="25"/>
  <c r="AI272" i="25"/>
  <c r="AI271" i="25"/>
  <c r="AI270" i="25"/>
  <c r="AI269" i="25"/>
  <c r="AI268" i="25"/>
  <c r="AI267" i="25"/>
  <c r="AI266" i="25"/>
  <c r="AI265" i="25"/>
  <c r="AI264" i="25"/>
  <c r="AI263" i="25"/>
  <c r="AI262" i="25"/>
  <c r="AI261" i="25"/>
  <c r="AI260" i="25"/>
  <c r="AI259" i="25"/>
  <c r="AI258" i="25"/>
  <c r="AI257" i="25"/>
  <c r="AI256" i="25"/>
  <c r="AI255" i="25"/>
  <c r="AI254" i="25"/>
  <c r="AI253" i="25"/>
  <c r="AI252" i="25"/>
  <c r="AI251" i="25"/>
  <c r="AI250" i="25"/>
  <c r="AI249" i="25"/>
  <c r="AI248" i="25"/>
  <c r="AI247" i="25"/>
  <c r="AI246" i="25"/>
  <c r="AI245" i="25"/>
  <c r="AI244" i="25"/>
  <c r="AI243" i="25"/>
  <c r="AI242" i="25"/>
  <c r="AI241" i="25"/>
  <c r="AI240" i="25"/>
  <c r="AI239" i="25"/>
  <c r="AI238" i="25"/>
  <c r="AI237" i="25"/>
  <c r="AI236" i="25"/>
  <c r="AI235" i="25"/>
  <c r="AI234" i="25"/>
  <c r="AI233" i="25"/>
  <c r="AI232" i="25"/>
  <c r="AI231" i="25"/>
  <c r="AI230" i="25"/>
  <c r="AI229" i="25"/>
  <c r="AI228" i="25"/>
  <c r="AI227" i="25"/>
  <c r="AI226" i="25"/>
  <c r="AI225" i="25"/>
  <c r="AI224" i="25"/>
  <c r="AI223" i="25"/>
  <c r="AI222" i="25"/>
  <c r="AI221" i="25"/>
  <c r="AI220" i="25"/>
  <c r="AI219" i="25"/>
  <c r="AI218" i="25"/>
  <c r="AI217" i="25"/>
  <c r="AI216" i="25"/>
  <c r="AI215" i="25"/>
  <c r="AI214" i="25"/>
  <c r="AI213" i="25"/>
  <c r="AI212" i="25"/>
  <c r="AI211" i="25"/>
  <c r="AI210" i="25"/>
  <c r="AI209" i="25"/>
  <c r="AI208" i="25"/>
  <c r="AI207" i="25"/>
  <c r="AI206" i="25"/>
  <c r="AI205" i="25"/>
  <c r="AI204" i="25"/>
  <c r="AI203" i="25"/>
  <c r="AI202" i="25"/>
  <c r="AI201" i="25"/>
  <c r="AI200" i="25"/>
  <c r="AI199" i="25"/>
  <c r="AI198" i="25"/>
  <c r="AI197" i="25"/>
  <c r="AI196" i="25"/>
  <c r="AI195" i="25"/>
  <c r="AI194" i="25"/>
  <c r="AI193" i="25"/>
  <c r="AI192" i="25"/>
  <c r="AI191" i="25"/>
  <c r="AI190" i="25"/>
  <c r="AI189" i="25"/>
  <c r="AI188" i="25"/>
  <c r="AI187" i="25"/>
  <c r="AI186" i="25"/>
  <c r="AI185" i="25"/>
  <c r="AI184" i="25"/>
  <c r="AI183" i="25"/>
  <c r="AI182" i="25"/>
  <c r="AI181" i="25"/>
  <c r="AI180" i="25"/>
  <c r="AI179" i="25"/>
  <c r="AI178" i="25"/>
  <c r="AI177" i="25"/>
  <c r="AI176" i="25"/>
  <c r="AI175" i="25"/>
  <c r="AI174" i="25"/>
  <c r="AI173" i="25"/>
  <c r="AI172" i="25"/>
  <c r="AI171" i="25"/>
  <c r="AI170" i="25"/>
  <c r="AI169" i="25"/>
  <c r="AI168" i="25"/>
  <c r="AI167" i="25"/>
  <c r="AI166" i="25"/>
  <c r="AI165" i="25"/>
  <c r="AI164" i="25"/>
  <c r="AI163" i="25"/>
  <c r="AI162" i="25"/>
  <c r="AI161" i="25"/>
  <c r="AI160" i="25"/>
  <c r="AI159" i="25"/>
  <c r="AI158" i="25"/>
  <c r="AI157" i="25"/>
  <c r="AI156" i="25"/>
  <c r="AI155" i="25"/>
  <c r="AI154" i="25"/>
  <c r="AI153" i="25"/>
  <c r="AI152" i="25"/>
  <c r="AI151" i="25"/>
  <c r="AI150" i="25"/>
  <c r="AI149" i="25"/>
  <c r="AI148" i="25"/>
  <c r="AI147" i="25"/>
  <c r="AI146" i="25"/>
  <c r="AI145" i="25"/>
  <c r="AI144" i="25"/>
  <c r="AI143" i="25"/>
  <c r="AI142" i="25"/>
  <c r="AI141" i="25"/>
  <c r="AI140" i="25"/>
  <c r="AI139" i="25"/>
  <c r="AI138" i="25"/>
  <c r="AI137" i="25"/>
  <c r="AI136" i="25"/>
  <c r="AI135" i="25"/>
  <c r="AI134" i="25"/>
  <c r="AI133" i="25"/>
  <c r="AI132" i="25"/>
  <c r="AI131" i="25"/>
  <c r="AI130" i="25"/>
  <c r="AI129" i="25"/>
  <c r="AI128" i="25"/>
  <c r="AI127" i="25"/>
  <c r="AI126" i="25"/>
  <c r="AI125" i="25"/>
  <c r="AI124" i="25"/>
  <c r="AI123" i="25"/>
  <c r="AI122" i="25"/>
  <c r="AI121" i="25"/>
  <c r="AI120" i="25"/>
  <c r="AI119" i="25"/>
  <c r="AI118" i="25"/>
  <c r="AI117" i="25"/>
  <c r="AI116" i="25"/>
  <c r="AI115" i="25"/>
  <c r="AI114" i="25"/>
  <c r="AI113" i="25"/>
  <c r="AI112" i="25"/>
  <c r="AI111" i="25"/>
  <c r="AI110" i="25"/>
  <c r="AI109" i="25"/>
  <c r="AI108" i="25"/>
  <c r="AI107" i="25"/>
  <c r="AI106" i="25"/>
  <c r="AI105" i="25"/>
  <c r="AI104" i="25"/>
  <c r="AI103" i="25"/>
  <c r="AI102" i="25"/>
  <c r="AI101" i="25"/>
  <c r="AI100" i="25"/>
  <c r="AI99" i="25"/>
  <c r="AI98" i="25"/>
  <c r="AI97" i="25"/>
  <c r="AI96" i="25"/>
  <c r="AI95" i="25"/>
  <c r="AI94" i="25"/>
  <c r="AI93" i="25"/>
  <c r="AI92" i="25"/>
  <c r="AI91" i="25"/>
  <c r="AI90" i="25"/>
  <c r="AI89" i="25"/>
  <c r="AI88" i="25"/>
  <c r="AI87" i="25"/>
  <c r="AI86" i="25"/>
  <c r="AI85" i="25"/>
  <c r="AI84" i="25"/>
  <c r="AI83" i="25"/>
  <c r="AI82" i="25"/>
  <c r="AI81" i="25"/>
  <c r="AI80" i="25"/>
  <c r="AI79" i="25"/>
  <c r="AI78" i="25"/>
  <c r="AI77" i="25"/>
  <c r="AI76" i="25"/>
  <c r="AI75" i="25"/>
  <c r="AI74" i="25"/>
  <c r="AI73" i="25"/>
  <c r="AI72" i="25"/>
  <c r="AI71" i="25"/>
  <c r="AI70" i="25"/>
  <c r="AI69" i="25"/>
  <c r="AI68" i="25"/>
  <c r="AI67" i="25"/>
  <c r="AI66" i="25"/>
  <c r="AI65" i="25"/>
  <c r="AI64" i="25"/>
  <c r="AI63" i="25"/>
  <c r="AI62" i="25"/>
  <c r="AI61" i="25"/>
  <c r="AI60" i="25"/>
  <c r="AI59" i="25"/>
  <c r="AI58" i="25"/>
  <c r="AI57" i="25"/>
  <c r="AI56" i="25"/>
  <c r="AI55" i="25"/>
  <c r="AI54" i="25"/>
  <c r="AI53" i="25"/>
  <c r="AI52" i="25"/>
  <c r="AI51" i="25"/>
  <c r="AI50" i="25"/>
  <c r="AI49" i="25"/>
  <c r="AI48" i="25"/>
  <c r="AI47" i="25"/>
  <c r="AI46" i="25"/>
  <c r="AI45" i="25"/>
  <c r="AI44" i="25"/>
  <c r="AI43" i="25"/>
  <c r="AI42" i="25"/>
  <c r="AI41" i="25"/>
  <c r="AI40" i="25"/>
  <c r="AI39" i="25"/>
  <c r="AI38" i="25"/>
  <c r="AI37" i="25"/>
  <c r="AI36" i="25"/>
  <c r="AI35" i="25"/>
  <c r="AI34" i="25"/>
  <c r="AI33" i="25"/>
  <c r="AI32" i="25"/>
  <c r="AI31" i="25"/>
  <c r="AI30" i="25"/>
  <c r="AI29" i="25"/>
  <c r="AI28" i="25"/>
  <c r="AI27" i="25"/>
  <c r="AI26" i="25"/>
  <c r="AI25" i="25"/>
  <c r="AI24" i="25"/>
  <c r="AI23" i="25"/>
  <c r="AI22" i="25"/>
  <c r="AI21" i="25"/>
  <c r="AI20" i="25"/>
  <c r="AI19" i="25"/>
  <c r="AI18" i="25"/>
  <c r="AI17" i="25"/>
  <c r="AI16" i="25"/>
  <c r="AI15" i="25"/>
  <c r="AI14" i="25"/>
  <c r="AI13" i="25"/>
  <c r="AI12" i="25"/>
  <c r="AI11" i="25"/>
  <c r="AI10" i="25"/>
  <c r="AI9" i="25"/>
  <c r="AI8" i="25"/>
  <c r="AI7" i="25"/>
  <c r="AI6" i="25"/>
  <c r="AI5" i="25"/>
  <c r="AI4" i="25"/>
  <c r="AI3" i="25"/>
  <c r="AI2" i="25"/>
  <c r="AH881" i="25"/>
  <c r="AH880" i="25"/>
  <c r="AH879" i="25"/>
  <c r="AH878" i="25"/>
  <c r="AH877" i="25"/>
  <c r="AH876" i="25"/>
  <c r="AH875" i="25"/>
  <c r="AH874" i="25"/>
  <c r="AH873" i="25"/>
  <c r="AH872" i="25"/>
  <c r="AH871" i="25"/>
  <c r="AH870" i="25"/>
  <c r="AH869" i="25"/>
  <c r="AH868" i="25"/>
  <c r="AH867" i="25"/>
  <c r="AH866" i="25"/>
  <c r="AH865" i="25"/>
  <c r="AH864" i="25"/>
  <c r="AH863" i="25"/>
  <c r="AH862" i="25"/>
  <c r="AH861" i="25"/>
  <c r="AH860" i="25"/>
  <c r="AH859" i="25"/>
  <c r="AH858" i="25"/>
  <c r="AH857" i="25"/>
  <c r="AH856" i="25"/>
  <c r="AH855" i="25"/>
  <c r="AH854" i="25"/>
  <c r="AH853" i="25"/>
  <c r="AH852" i="25"/>
  <c r="AH851" i="25"/>
  <c r="AH850" i="25"/>
  <c r="AH849" i="25"/>
  <c r="AH848" i="25"/>
  <c r="AH847" i="25"/>
  <c r="AH846" i="25"/>
  <c r="AH845" i="25"/>
  <c r="AH844" i="25"/>
  <c r="AH843" i="25"/>
  <c r="AH842" i="25"/>
  <c r="AH841" i="25"/>
  <c r="AH840" i="25"/>
  <c r="AH839" i="25"/>
  <c r="AH838" i="25"/>
  <c r="AH837" i="25"/>
  <c r="AH836" i="25"/>
  <c r="AH835" i="25"/>
  <c r="AH834" i="25"/>
  <c r="AH833" i="25"/>
  <c r="AH832" i="25"/>
  <c r="AH831" i="25"/>
  <c r="AH830" i="25"/>
  <c r="AH829" i="25"/>
  <c r="AH828" i="25"/>
  <c r="AH827" i="25"/>
  <c r="AH826" i="25"/>
  <c r="AH825" i="25"/>
  <c r="AH824" i="25"/>
  <c r="AH823" i="25"/>
  <c r="AH822" i="25"/>
  <c r="AH821" i="25"/>
  <c r="AH820" i="25"/>
  <c r="AH819" i="25"/>
  <c r="AH818" i="25"/>
  <c r="AH817" i="25"/>
  <c r="AH816" i="25"/>
  <c r="AH815" i="25"/>
  <c r="AH814" i="25"/>
  <c r="AH813" i="25"/>
  <c r="AH812" i="25"/>
  <c r="AH811" i="25"/>
  <c r="AH810" i="25"/>
  <c r="AH809" i="25"/>
  <c r="AH808" i="25"/>
  <c r="AH807" i="25"/>
  <c r="AH806" i="25"/>
  <c r="AH805" i="25"/>
  <c r="AH804" i="25"/>
  <c r="AH803" i="25"/>
  <c r="AH802" i="25"/>
  <c r="AH801" i="25"/>
  <c r="AH800" i="25"/>
  <c r="AH799" i="25"/>
  <c r="AH798" i="25"/>
  <c r="AH797" i="25"/>
  <c r="AH796" i="25"/>
  <c r="AH795" i="25"/>
  <c r="AH794" i="25"/>
  <c r="AH793" i="25"/>
  <c r="AH792" i="25"/>
  <c r="AH791" i="25"/>
  <c r="AH790" i="25"/>
  <c r="AH789" i="25"/>
  <c r="AH788" i="25"/>
  <c r="AH787" i="25"/>
  <c r="AH786" i="25"/>
  <c r="AH785" i="25"/>
  <c r="AH784" i="25"/>
  <c r="AH783" i="25"/>
  <c r="AH782" i="25"/>
  <c r="AH781" i="25"/>
  <c r="AH780" i="25"/>
  <c r="AH779" i="25"/>
  <c r="AH778" i="25"/>
  <c r="AH777" i="25"/>
  <c r="AH776" i="25"/>
  <c r="AH775" i="25"/>
  <c r="AH774" i="25"/>
  <c r="AH773" i="25"/>
  <c r="AH772" i="25"/>
  <c r="AH771" i="25"/>
  <c r="AH770" i="25"/>
  <c r="AH769" i="25"/>
  <c r="AH768" i="25"/>
  <c r="AH767" i="25"/>
  <c r="AH766" i="25"/>
  <c r="AH765" i="25"/>
  <c r="AH764" i="25"/>
  <c r="AH763" i="25"/>
  <c r="AH762" i="25"/>
  <c r="AH761" i="25"/>
  <c r="AH760" i="25"/>
  <c r="AH759" i="25"/>
  <c r="AH758" i="25"/>
  <c r="AH757" i="25"/>
  <c r="AH756" i="25"/>
  <c r="AH755" i="25"/>
  <c r="AH754" i="25"/>
  <c r="AH753" i="25"/>
  <c r="AH752" i="25"/>
  <c r="AH751" i="25"/>
  <c r="AH750" i="25"/>
  <c r="AH749" i="25"/>
  <c r="AH748" i="25"/>
  <c r="AH747" i="25"/>
  <c r="AH746" i="25"/>
  <c r="AH745" i="25"/>
  <c r="AH744" i="25"/>
  <c r="AH743" i="25"/>
  <c r="AH742" i="25"/>
  <c r="AH741" i="25"/>
  <c r="AH740" i="25"/>
  <c r="AH739" i="25"/>
  <c r="AH738" i="25"/>
  <c r="AH737" i="25"/>
  <c r="AH736" i="25"/>
  <c r="AH735" i="25"/>
  <c r="AH734" i="25"/>
  <c r="AH733" i="25"/>
  <c r="AH732" i="25"/>
  <c r="AH731" i="25"/>
  <c r="AH730" i="25"/>
  <c r="AH729" i="25"/>
  <c r="AH728" i="25"/>
  <c r="AH727" i="25"/>
  <c r="AH726" i="25"/>
  <c r="AH725" i="25"/>
  <c r="AH724" i="25"/>
  <c r="AH723" i="25"/>
  <c r="AH722" i="25"/>
  <c r="AH721" i="25"/>
  <c r="AH720" i="25"/>
  <c r="AH719" i="25"/>
  <c r="AH718" i="25"/>
  <c r="AH717" i="25"/>
  <c r="AH716" i="25"/>
  <c r="AH715" i="25"/>
  <c r="AH714" i="25"/>
  <c r="AH713" i="25"/>
  <c r="AH712" i="25"/>
  <c r="AH711" i="25"/>
  <c r="AH710" i="25"/>
  <c r="AH709" i="25"/>
  <c r="AH708" i="25"/>
  <c r="AH707" i="25"/>
  <c r="AH706" i="25"/>
  <c r="AH705" i="25"/>
  <c r="AH704" i="25"/>
  <c r="AH703" i="25"/>
  <c r="AH702" i="25"/>
  <c r="AH701" i="25"/>
  <c r="AH700" i="25"/>
  <c r="AH699" i="25"/>
  <c r="AH698" i="25"/>
  <c r="AH697" i="25"/>
  <c r="AH696" i="25"/>
  <c r="AH695" i="25"/>
  <c r="AH694" i="25"/>
  <c r="AH693" i="25"/>
  <c r="AH692" i="25"/>
  <c r="AH691" i="25"/>
  <c r="AH690" i="25"/>
  <c r="AH689" i="25"/>
  <c r="AH688" i="25"/>
  <c r="AH687" i="25"/>
  <c r="AH686" i="25"/>
  <c r="AH685" i="25"/>
  <c r="AH684" i="25"/>
  <c r="AH683" i="25"/>
  <c r="AH682" i="25"/>
  <c r="AH681" i="25"/>
  <c r="AH680" i="25"/>
  <c r="AH679" i="25"/>
  <c r="AH678" i="25"/>
  <c r="AH677" i="25"/>
  <c r="AH676" i="25"/>
  <c r="AH675" i="25"/>
  <c r="AH674" i="25"/>
  <c r="AH673" i="25"/>
  <c r="AH672" i="25"/>
  <c r="AH671" i="25"/>
  <c r="AH670" i="25"/>
  <c r="AH669" i="25"/>
  <c r="AH668" i="25"/>
  <c r="AH667" i="25"/>
  <c r="AH666" i="25"/>
  <c r="AH665" i="25"/>
  <c r="AH664" i="25"/>
  <c r="AH663" i="25"/>
  <c r="AH662" i="25"/>
  <c r="AH661" i="25"/>
  <c r="AH660" i="25"/>
  <c r="AH659" i="25"/>
  <c r="AH658" i="25"/>
  <c r="AH657" i="25"/>
  <c r="AH656" i="25"/>
  <c r="AH655" i="25"/>
  <c r="AH654" i="25"/>
  <c r="AH653" i="25"/>
  <c r="AH652" i="25"/>
  <c r="AH651" i="25"/>
  <c r="AH650" i="25"/>
  <c r="AH649" i="25"/>
  <c r="AH648" i="25"/>
  <c r="AH647" i="25"/>
  <c r="AH646" i="25"/>
  <c r="AH645" i="25"/>
  <c r="AH644" i="25"/>
  <c r="AH643" i="25"/>
  <c r="AH642" i="25"/>
  <c r="AH641" i="25"/>
  <c r="AH640" i="25"/>
  <c r="AH639" i="25"/>
  <c r="AH638" i="25"/>
  <c r="AH637" i="25"/>
  <c r="AH636" i="25"/>
  <c r="AH635" i="25"/>
  <c r="AH634" i="25"/>
  <c r="AH633" i="25"/>
  <c r="AH632" i="25"/>
  <c r="AH631" i="25"/>
  <c r="AH630" i="25"/>
  <c r="AH629" i="25"/>
  <c r="AH628" i="25"/>
  <c r="AH627" i="25"/>
  <c r="AH626" i="25"/>
  <c r="AH625" i="25"/>
  <c r="AH624" i="25"/>
  <c r="AH623" i="25"/>
  <c r="AH622" i="25"/>
  <c r="AH621" i="25"/>
  <c r="AH620" i="25"/>
  <c r="AH619" i="25"/>
  <c r="AH618" i="25"/>
  <c r="AH617" i="25"/>
  <c r="AH616" i="25"/>
  <c r="AH615" i="25"/>
  <c r="AH614" i="25"/>
  <c r="AH613" i="25"/>
  <c r="AH612" i="25"/>
  <c r="AH611" i="25"/>
  <c r="AH610" i="25"/>
  <c r="AH609" i="25"/>
  <c r="AH608" i="25"/>
  <c r="AH607" i="25"/>
  <c r="AH606" i="25"/>
  <c r="AH605" i="25"/>
  <c r="AH604" i="25"/>
  <c r="AH603" i="25"/>
  <c r="AH602" i="25"/>
  <c r="AH601" i="25"/>
  <c r="AH600" i="25"/>
  <c r="AH599" i="25"/>
  <c r="AH598" i="25"/>
  <c r="AH597" i="25"/>
  <c r="AH596" i="25"/>
  <c r="AH595" i="25"/>
  <c r="AH594" i="25"/>
  <c r="AH593" i="25"/>
  <c r="AH592" i="25"/>
  <c r="AH591" i="25"/>
  <c r="AH590" i="25"/>
  <c r="AH589" i="25"/>
  <c r="AH588" i="25"/>
  <c r="AH587" i="25"/>
  <c r="AH586" i="25"/>
  <c r="AH585" i="25"/>
  <c r="AH584" i="25"/>
  <c r="AH583" i="25"/>
  <c r="AH582" i="25"/>
  <c r="AH581" i="25"/>
  <c r="AH580" i="25"/>
  <c r="AH579" i="25"/>
  <c r="AH578" i="25"/>
  <c r="AH577" i="25"/>
  <c r="AH576" i="25"/>
  <c r="AH575" i="25"/>
  <c r="AH574" i="25"/>
  <c r="AH573" i="25"/>
  <c r="AH572" i="25"/>
  <c r="AH571" i="25"/>
  <c r="AH570" i="25"/>
  <c r="AH569" i="25"/>
  <c r="AH568" i="25"/>
  <c r="AH567" i="25"/>
  <c r="AH566" i="25"/>
  <c r="AH565" i="25"/>
  <c r="AH564" i="25"/>
  <c r="AH563" i="25"/>
  <c r="AH562" i="25"/>
  <c r="AH561" i="25"/>
  <c r="AH560" i="25"/>
  <c r="AH559" i="25"/>
  <c r="AH558" i="25"/>
  <c r="AH557" i="25"/>
  <c r="AH556" i="25"/>
  <c r="AH555" i="25"/>
  <c r="AH554" i="25"/>
  <c r="AH553" i="25"/>
  <c r="AH552" i="25"/>
  <c r="AH551" i="25"/>
  <c r="AH550" i="25"/>
  <c r="AH549" i="25"/>
  <c r="AH548" i="25"/>
  <c r="AH547" i="25"/>
  <c r="AH546" i="25"/>
  <c r="AH545" i="25"/>
  <c r="AH544" i="25"/>
  <c r="AH543" i="25"/>
  <c r="AH542" i="25"/>
  <c r="AH541" i="25"/>
  <c r="AH540" i="25"/>
  <c r="AH539" i="25"/>
  <c r="AH538" i="25"/>
  <c r="AH537" i="25"/>
  <c r="AH536" i="25"/>
  <c r="AH535" i="25"/>
  <c r="AH534" i="25"/>
  <c r="AH533" i="25"/>
  <c r="AH532" i="25"/>
  <c r="AH531" i="25"/>
  <c r="AH530" i="25"/>
  <c r="AH529" i="25"/>
  <c r="AH528" i="25"/>
  <c r="AH527" i="25"/>
  <c r="AH526" i="25"/>
  <c r="AH525" i="25"/>
  <c r="AH524" i="25"/>
  <c r="AH523" i="25"/>
  <c r="AH522" i="25"/>
  <c r="AH521" i="25"/>
  <c r="AH520" i="25"/>
  <c r="AH519" i="25"/>
  <c r="AH518" i="25"/>
  <c r="AH517" i="25"/>
  <c r="AH516" i="25"/>
  <c r="AH515" i="25"/>
  <c r="AH514" i="25"/>
  <c r="AH513" i="25"/>
  <c r="AH512" i="25"/>
  <c r="AH511" i="25"/>
  <c r="AH510" i="25"/>
  <c r="AH509" i="25"/>
  <c r="AH508" i="25"/>
  <c r="AH507" i="25"/>
  <c r="AH506" i="25"/>
  <c r="AH505" i="25"/>
  <c r="AH504" i="25"/>
  <c r="AH503" i="25"/>
  <c r="AH502" i="25"/>
  <c r="AH501" i="25"/>
  <c r="AH500" i="25"/>
  <c r="AH499" i="25"/>
  <c r="AH498" i="25"/>
  <c r="AH497" i="25"/>
  <c r="AH496" i="25"/>
  <c r="AH495" i="25"/>
  <c r="AH494" i="25"/>
  <c r="AH493" i="25"/>
  <c r="AH492" i="25"/>
  <c r="AH491" i="25"/>
  <c r="AH490" i="25"/>
  <c r="AH489" i="25"/>
  <c r="AH488" i="25"/>
  <c r="AH487" i="25"/>
  <c r="AH486" i="25"/>
  <c r="AH485" i="25"/>
  <c r="AH484" i="25"/>
  <c r="AH483" i="25"/>
  <c r="AH482" i="25"/>
  <c r="AH481" i="25"/>
  <c r="AH480" i="25"/>
  <c r="AH479" i="25"/>
  <c r="AH478" i="25"/>
  <c r="AH477" i="25"/>
  <c r="AH476" i="25"/>
  <c r="AH475" i="25"/>
  <c r="AH474" i="25"/>
  <c r="AH473" i="25"/>
  <c r="AH472" i="25"/>
  <c r="AH471" i="25"/>
  <c r="AH470" i="25"/>
  <c r="AH469" i="25"/>
  <c r="AH468" i="25"/>
  <c r="AH467" i="25"/>
  <c r="AH466" i="25"/>
  <c r="AH465" i="25"/>
  <c r="AH464" i="25"/>
  <c r="AH463" i="25"/>
  <c r="AH462" i="25"/>
  <c r="AH461" i="25"/>
  <c r="AH460" i="25"/>
  <c r="AH459" i="25"/>
  <c r="AH458" i="25"/>
  <c r="AH457" i="25"/>
  <c r="AH456" i="25"/>
  <c r="AH455" i="25"/>
  <c r="AH454" i="25"/>
  <c r="AH453" i="25"/>
  <c r="AH452" i="25"/>
  <c r="AH451" i="25"/>
  <c r="AH450" i="25"/>
  <c r="AH449" i="25"/>
  <c r="AH448" i="25"/>
  <c r="AH447" i="25"/>
  <c r="AH446" i="25"/>
  <c r="AH445" i="25"/>
  <c r="AH444" i="25"/>
  <c r="AH443" i="25"/>
  <c r="AH442" i="25"/>
  <c r="AH441" i="25"/>
  <c r="AH440" i="25"/>
  <c r="AH439" i="25"/>
  <c r="AH438" i="25"/>
  <c r="AH437" i="25"/>
  <c r="AH436" i="25"/>
  <c r="AH435" i="25"/>
  <c r="AH434" i="25"/>
  <c r="AH433" i="25"/>
  <c r="AH432" i="25"/>
  <c r="AH431" i="25"/>
  <c r="AH430" i="25"/>
  <c r="AH429" i="25"/>
  <c r="AH428" i="25"/>
  <c r="AH427" i="25"/>
  <c r="AH426" i="25"/>
  <c r="AH425" i="25"/>
  <c r="AH424" i="25"/>
  <c r="AH423" i="25"/>
  <c r="AH422" i="25"/>
  <c r="AH421" i="25"/>
  <c r="AH420" i="25"/>
  <c r="AH419" i="25"/>
  <c r="AH418" i="25"/>
  <c r="AH417" i="25"/>
  <c r="AH416" i="25"/>
  <c r="AH415" i="25"/>
  <c r="AH414" i="25"/>
  <c r="AH413" i="25"/>
  <c r="AH412" i="25"/>
  <c r="AH411" i="25"/>
  <c r="AH410" i="25"/>
  <c r="AH409" i="25"/>
  <c r="AH408" i="25"/>
  <c r="AH407" i="25"/>
  <c r="AH406" i="25"/>
  <c r="AH405" i="25"/>
  <c r="AH404" i="25"/>
  <c r="AH403" i="25"/>
  <c r="AH402" i="25"/>
  <c r="AH401" i="25"/>
  <c r="AH400" i="25"/>
  <c r="AH399" i="25"/>
  <c r="AH398" i="25"/>
  <c r="AH397" i="25"/>
  <c r="AH396" i="25"/>
  <c r="AH395" i="25"/>
  <c r="AH394" i="25"/>
  <c r="AH393" i="25"/>
  <c r="AH392" i="25"/>
  <c r="AH391" i="25"/>
  <c r="AH390" i="25"/>
  <c r="AH389" i="25"/>
  <c r="AH388" i="25"/>
  <c r="AH387" i="25"/>
  <c r="AH386" i="25"/>
  <c r="AH385" i="25"/>
  <c r="AH384" i="25"/>
  <c r="AH383" i="25"/>
  <c r="AH382" i="25"/>
  <c r="AH381" i="25"/>
  <c r="AH380" i="25"/>
  <c r="AH379" i="25"/>
  <c r="AH378" i="25"/>
  <c r="AH377" i="25"/>
  <c r="AH376" i="25"/>
  <c r="AH375" i="25"/>
  <c r="AH374" i="25"/>
  <c r="AH373" i="25"/>
  <c r="AH372" i="25"/>
  <c r="AH371" i="25"/>
  <c r="AH370" i="25"/>
  <c r="AH369" i="25"/>
  <c r="AH368" i="25"/>
  <c r="AH367" i="25"/>
  <c r="AH366" i="25"/>
  <c r="AH365" i="25"/>
  <c r="AH364" i="25"/>
  <c r="AH363" i="25"/>
  <c r="AH362" i="25"/>
  <c r="AH361" i="25"/>
  <c r="AH360" i="25"/>
  <c r="AH359" i="25"/>
  <c r="AH358" i="25"/>
  <c r="AH357" i="25"/>
  <c r="AH356" i="25"/>
  <c r="AH355" i="25"/>
  <c r="AH354" i="25"/>
  <c r="AH353" i="25"/>
  <c r="AH352" i="25"/>
  <c r="AH351" i="25"/>
  <c r="AH350" i="25"/>
  <c r="AH349" i="25"/>
  <c r="AH348" i="25"/>
  <c r="AH347" i="25"/>
  <c r="AH346" i="25"/>
  <c r="AH345" i="25"/>
  <c r="AH344" i="25"/>
  <c r="AH343" i="25"/>
  <c r="AH342" i="25"/>
  <c r="AH341" i="25"/>
  <c r="AH340" i="25"/>
  <c r="AH339" i="25"/>
  <c r="AH338" i="25"/>
  <c r="AH337" i="25"/>
  <c r="AH336" i="25"/>
  <c r="AH335" i="25"/>
  <c r="AH334" i="25"/>
  <c r="AH333" i="25"/>
  <c r="AH332" i="25"/>
  <c r="AH331" i="25"/>
  <c r="AH330" i="25"/>
  <c r="AH329" i="25"/>
  <c r="AH328" i="25"/>
  <c r="AH327" i="25"/>
  <c r="AH326" i="25"/>
  <c r="AH325" i="25"/>
  <c r="AH324" i="25"/>
  <c r="AH323" i="25"/>
  <c r="AH322" i="25"/>
  <c r="AH321" i="25"/>
  <c r="AH320" i="25"/>
  <c r="AH319" i="25"/>
  <c r="AH318" i="25"/>
  <c r="AH317" i="25"/>
  <c r="AH316" i="25"/>
  <c r="AH315" i="25"/>
  <c r="AH314" i="25"/>
  <c r="AH313" i="25"/>
  <c r="AH312" i="25"/>
  <c r="AH311" i="25"/>
  <c r="AH310" i="25"/>
  <c r="AH309" i="25"/>
  <c r="AH308" i="25"/>
  <c r="AH307" i="25"/>
  <c r="AH306" i="25"/>
  <c r="AH305" i="25"/>
  <c r="AH304" i="25"/>
  <c r="AH303" i="25"/>
  <c r="AH302" i="25"/>
  <c r="AH301" i="25"/>
  <c r="AH300" i="25"/>
  <c r="AH299" i="25"/>
  <c r="AH298" i="25"/>
  <c r="AH297" i="25"/>
  <c r="AH296" i="25"/>
  <c r="AH295" i="25"/>
  <c r="AH294" i="25"/>
  <c r="AH293" i="25"/>
  <c r="AH292" i="25"/>
  <c r="AH291" i="25"/>
  <c r="AH290" i="25"/>
  <c r="AH289" i="25"/>
  <c r="AH288" i="25"/>
  <c r="AH287" i="25"/>
  <c r="AH286" i="25"/>
  <c r="AH285" i="25"/>
  <c r="AH284" i="25"/>
  <c r="AH283" i="25"/>
  <c r="AH282" i="25"/>
  <c r="AH281" i="25"/>
  <c r="AH280" i="25"/>
  <c r="AH279" i="25"/>
  <c r="AH278" i="25"/>
  <c r="AH277" i="25"/>
  <c r="AH276" i="25"/>
  <c r="AH275" i="25"/>
  <c r="AH274" i="25"/>
  <c r="AH273" i="25"/>
  <c r="AH272" i="25"/>
  <c r="AH271" i="25"/>
  <c r="AH270" i="25"/>
  <c r="AH269" i="25"/>
  <c r="AH268" i="25"/>
  <c r="AH267" i="25"/>
  <c r="AH266" i="25"/>
  <c r="AH265" i="25"/>
  <c r="AH264" i="25"/>
  <c r="AH263" i="25"/>
  <c r="AH262" i="25"/>
  <c r="AH261" i="25"/>
  <c r="AH260" i="25"/>
  <c r="AH259" i="25"/>
  <c r="AH258" i="25"/>
  <c r="AH257" i="25"/>
  <c r="AH256" i="25"/>
  <c r="AH255" i="25"/>
  <c r="AH254" i="25"/>
  <c r="AH253" i="25"/>
  <c r="AH252" i="25"/>
  <c r="AH251" i="25"/>
  <c r="AH250" i="25"/>
  <c r="AH249" i="25"/>
  <c r="AH248" i="25"/>
  <c r="AH247" i="25"/>
  <c r="AH246" i="25"/>
  <c r="AH245" i="25"/>
  <c r="AH244" i="25"/>
  <c r="AH243" i="25"/>
  <c r="AH242" i="25"/>
  <c r="AH241" i="25"/>
  <c r="AH240" i="25"/>
  <c r="AH239" i="25"/>
  <c r="AH238" i="25"/>
  <c r="AH237" i="25"/>
  <c r="AH236" i="25"/>
  <c r="AH235" i="25"/>
  <c r="AH234" i="25"/>
  <c r="AH233" i="25"/>
  <c r="AH232" i="25"/>
  <c r="AH231" i="25"/>
  <c r="AH230" i="25"/>
  <c r="AH229" i="25"/>
  <c r="AH228" i="25"/>
  <c r="AH227" i="25"/>
  <c r="AH226" i="25"/>
  <c r="AH225" i="25"/>
  <c r="AH224" i="25"/>
  <c r="AH223" i="25"/>
  <c r="AH222" i="25"/>
  <c r="AH221" i="25"/>
  <c r="AH220" i="25"/>
  <c r="AH219" i="25"/>
  <c r="AH218" i="25"/>
  <c r="AH217" i="25"/>
  <c r="AH216" i="25"/>
  <c r="AH215" i="25"/>
  <c r="AH214" i="25"/>
  <c r="AH213" i="25"/>
  <c r="AH212" i="25"/>
  <c r="AH211" i="25"/>
  <c r="AH210" i="25"/>
  <c r="AH209" i="25"/>
  <c r="AH208" i="25"/>
  <c r="AH207" i="25"/>
  <c r="AH206" i="25"/>
  <c r="AH205" i="25"/>
  <c r="AH204" i="25"/>
  <c r="AH203" i="25"/>
  <c r="AH202" i="25"/>
  <c r="AH201" i="25"/>
  <c r="AH200" i="25"/>
  <c r="AH199" i="25"/>
  <c r="AH198" i="25"/>
  <c r="AH197" i="25"/>
  <c r="AH196" i="25"/>
  <c r="AH195" i="25"/>
  <c r="AH194" i="25"/>
  <c r="AH193" i="25"/>
  <c r="AH192" i="25"/>
  <c r="AH191" i="25"/>
  <c r="AH190" i="25"/>
  <c r="AH189" i="25"/>
  <c r="AH188" i="25"/>
  <c r="AH187" i="25"/>
  <c r="AH186" i="25"/>
  <c r="AH185" i="25"/>
  <c r="AH184" i="25"/>
  <c r="AH183" i="25"/>
  <c r="AH182" i="25"/>
  <c r="AH181" i="25"/>
  <c r="AH180" i="25"/>
  <c r="AH179" i="25"/>
  <c r="AH178" i="25"/>
  <c r="AH177" i="25"/>
  <c r="AH176" i="25"/>
  <c r="AH175" i="25"/>
  <c r="AH174" i="25"/>
  <c r="AH173" i="25"/>
  <c r="AH172" i="25"/>
  <c r="AH171" i="25"/>
  <c r="AH170" i="25"/>
  <c r="AH169" i="25"/>
  <c r="AH168" i="25"/>
  <c r="AH167" i="25"/>
  <c r="AH166" i="25"/>
  <c r="AH165" i="25"/>
  <c r="AH164" i="25"/>
  <c r="AH163" i="25"/>
  <c r="AH162" i="25"/>
  <c r="AH161" i="25"/>
  <c r="AH160" i="25"/>
  <c r="AH159" i="25"/>
  <c r="AH158" i="25"/>
  <c r="AH157" i="25"/>
  <c r="AH156" i="25"/>
  <c r="AH155" i="25"/>
  <c r="AH154" i="25"/>
  <c r="AH153" i="25"/>
  <c r="AH152" i="25"/>
  <c r="AH151" i="25"/>
  <c r="AH150" i="25"/>
  <c r="AH149" i="25"/>
  <c r="AH148" i="25"/>
  <c r="AH147" i="25"/>
  <c r="AH146" i="25"/>
  <c r="AH145" i="25"/>
  <c r="AH144" i="25"/>
  <c r="AH143" i="25"/>
  <c r="AH142" i="25"/>
  <c r="AH141" i="25"/>
  <c r="AH140" i="25"/>
  <c r="AH139" i="25"/>
  <c r="AH138" i="25"/>
  <c r="AH137" i="25"/>
  <c r="AH136" i="25"/>
  <c r="AH135" i="25"/>
  <c r="AH134" i="25"/>
  <c r="AH133" i="25"/>
  <c r="AH132" i="25"/>
  <c r="AH131" i="25"/>
  <c r="AH130" i="25"/>
  <c r="AH129" i="25"/>
  <c r="AH128" i="25"/>
  <c r="AH127" i="25"/>
  <c r="AH126" i="25"/>
  <c r="AH125" i="25"/>
  <c r="AH124" i="25"/>
  <c r="AH123" i="25"/>
  <c r="AH122" i="25"/>
  <c r="AH121" i="25"/>
  <c r="AH120" i="25"/>
  <c r="AH119" i="25"/>
  <c r="AH118" i="25"/>
  <c r="AH117" i="25"/>
  <c r="AH116" i="25"/>
  <c r="AH115" i="25"/>
  <c r="AH114" i="25"/>
  <c r="AH113" i="25"/>
  <c r="AH112" i="25"/>
  <c r="AH111" i="25"/>
  <c r="AH110" i="25"/>
  <c r="AH109" i="25"/>
  <c r="AH108" i="25"/>
  <c r="AH107" i="25"/>
  <c r="AH106" i="25"/>
  <c r="AH105" i="25"/>
  <c r="AH104" i="25"/>
  <c r="AH103" i="25"/>
  <c r="AH102" i="25"/>
  <c r="AH101" i="25"/>
  <c r="AH100" i="25"/>
  <c r="AH99" i="25"/>
  <c r="AH98" i="25"/>
  <c r="AH97" i="25"/>
  <c r="AH96" i="25"/>
  <c r="AH95" i="25"/>
  <c r="AH94" i="25"/>
  <c r="AH93" i="25"/>
  <c r="AH92" i="25"/>
  <c r="AH91" i="25"/>
  <c r="AH90" i="25"/>
  <c r="AH89" i="25"/>
  <c r="AH88" i="25"/>
  <c r="AH87" i="25"/>
  <c r="AH86" i="25"/>
  <c r="AH85" i="25"/>
  <c r="AH84" i="25"/>
  <c r="AH83" i="25"/>
  <c r="AH82" i="25"/>
  <c r="AH81" i="25"/>
  <c r="AH80" i="25"/>
  <c r="AH79" i="25"/>
  <c r="AH78" i="25"/>
  <c r="AH77" i="25"/>
  <c r="AH76" i="25"/>
  <c r="AH75" i="25"/>
  <c r="AH74" i="25"/>
  <c r="AH73" i="25"/>
  <c r="AH72" i="25"/>
  <c r="AH71" i="25"/>
  <c r="AH70" i="25"/>
  <c r="AH69" i="25"/>
  <c r="AH68" i="25"/>
  <c r="AH67" i="25"/>
  <c r="AH66" i="25"/>
  <c r="AH65" i="25"/>
  <c r="AH64" i="25"/>
  <c r="AH63" i="25"/>
  <c r="AH62" i="25"/>
  <c r="AH61" i="25"/>
  <c r="AH60" i="25"/>
  <c r="AH59" i="25"/>
  <c r="AH58" i="25"/>
  <c r="AH57" i="25"/>
  <c r="AH56" i="25"/>
  <c r="AH55" i="25"/>
  <c r="AH54" i="25"/>
  <c r="AH53" i="25"/>
  <c r="AH52" i="25"/>
  <c r="AH51" i="25"/>
  <c r="AH50" i="25"/>
  <c r="AH49" i="25"/>
  <c r="AH48" i="25"/>
  <c r="AH47" i="25"/>
  <c r="AH46" i="25"/>
  <c r="AH45" i="25"/>
  <c r="AH44" i="25"/>
  <c r="AH43" i="25"/>
  <c r="AH42" i="25"/>
  <c r="AH41" i="25"/>
  <c r="AH40" i="25"/>
  <c r="AH39" i="25"/>
  <c r="AH38" i="25"/>
  <c r="AH37" i="25"/>
  <c r="AH36" i="25"/>
  <c r="AH35" i="25"/>
  <c r="AH34" i="25"/>
  <c r="AH33" i="25"/>
  <c r="AH32" i="25"/>
  <c r="AH31" i="25"/>
  <c r="AH30" i="25"/>
  <c r="AH29" i="25"/>
  <c r="AH28" i="25"/>
  <c r="AH27" i="25"/>
  <c r="AH26" i="25"/>
  <c r="AH25" i="25"/>
  <c r="AH24" i="25"/>
  <c r="AH23" i="25"/>
  <c r="AH22" i="25"/>
  <c r="AH21" i="25"/>
  <c r="AH20" i="25"/>
  <c r="AH19" i="25"/>
  <c r="AH18" i="25"/>
  <c r="AH17" i="25"/>
  <c r="AH16" i="25"/>
  <c r="AH15" i="25"/>
  <c r="AH14" i="25"/>
  <c r="AH13" i="25"/>
  <c r="AH12" i="25"/>
  <c r="AH11" i="25"/>
  <c r="AH10" i="25"/>
  <c r="AH9" i="25"/>
  <c r="AH8" i="25"/>
  <c r="AH7" i="25"/>
  <c r="AH6" i="25"/>
  <c r="AH5" i="25"/>
  <c r="AH4" i="25"/>
  <c r="AH3" i="25"/>
  <c r="AH2" i="25"/>
  <c r="M881" i="25"/>
  <c r="M880" i="25"/>
  <c r="M879" i="25"/>
  <c r="M878" i="25"/>
  <c r="M877" i="25"/>
  <c r="M876" i="25"/>
  <c r="M875" i="25"/>
  <c r="M874" i="25"/>
  <c r="M873" i="25"/>
  <c r="M872" i="25"/>
  <c r="M871" i="25"/>
  <c r="M870" i="25"/>
  <c r="M869" i="25"/>
  <c r="M868" i="25"/>
  <c r="M867" i="25"/>
  <c r="M866" i="25"/>
  <c r="M865" i="25"/>
  <c r="M864" i="25"/>
  <c r="M863" i="25"/>
  <c r="M862" i="25"/>
  <c r="M861" i="25"/>
  <c r="M860" i="25"/>
  <c r="M859" i="25"/>
  <c r="M858" i="25"/>
  <c r="M857" i="25"/>
  <c r="M856" i="25"/>
  <c r="M855" i="25"/>
  <c r="M854" i="25"/>
  <c r="M853" i="25"/>
  <c r="M852" i="25"/>
  <c r="M851" i="25"/>
  <c r="M850" i="25"/>
  <c r="M849" i="25"/>
  <c r="M848" i="25"/>
  <c r="M847" i="25"/>
  <c r="M846" i="25"/>
  <c r="M845" i="25"/>
  <c r="M844" i="25"/>
  <c r="M843" i="25"/>
  <c r="M842" i="25"/>
  <c r="M841" i="25"/>
  <c r="M840" i="25"/>
  <c r="M839" i="25"/>
  <c r="M838" i="25"/>
  <c r="M837" i="25"/>
  <c r="M836" i="25"/>
  <c r="M835" i="25"/>
  <c r="M834" i="25"/>
  <c r="M833" i="25"/>
  <c r="M832" i="25"/>
  <c r="M831" i="25"/>
  <c r="M830" i="25"/>
  <c r="M829" i="25"/>
  <c r="M828" i="25"/>
  <c r="M827" i="25"/>
  <c r="M826" i="25"/>
  <c r="M825" i="25"/>
  <c r="M824" i="25"/>
  <c r="M823" i="25"/>
  <c r="M822" i="25"/>
  <c r="M821" i="25"/>
  <c r="M820" i="25"/>
  <c r="M819" i="25"/>
  <c r="M818" i="25"/>
  <c r="M817" i="25"/>
  <c r="M816" i="25"/>
  <c r="M815" i="25"/>
  <c r="M814" i="25"/>
  <c r="M813" i="25"/>
  <c r="M812" i="25"/>
  <c r="M811" i="25"/>
  <c r="M810" i="25"/>
  <c r="M809" i="25"/>
  <c r="M808" i="25"/>
  <c r="M807" i="25"/>
  <c r="M806" i="25"/>
  <c r="M805" i="25"/>
  <c r="M804" i="25"/>
  <c r="M803" i="25"/>
  <c r="M802" i="25"/>
  <c r="M801" i="25"/>
  <c r="M800" i="25"/>
  <c r="M799" i="25"/>
  <c r="M798" i="25"/>
  <c r="M797" i="25"/>
  <c r="M796" i="25"/>
  <c r="M795" i="25"/>
  <c r="M794" i="25"/>
  <c r="M793" i="25"/>
  <c r="M792" i="25"/>
  <c r="M791" i="25"/>
  <c r="M790" i="25"/>
  <c r="M789" i="25"/>
  <c r="M788" i="25"/>
  <c r="M787" i="25"/>
  <c r="M786" i="25"/>
  <c r="M785" i="25"/>
  <c r="M784" i="25"/>
  <c r="M783" i="25"/>
  <c r="M782" i="25"/>
  <c r="M781" i="25"/>
  <c r="M780" i="25"/>
  <c r="M779" i="25"/>
  <c r="M778" i="25"/>
  <c r="M777" i="25"/>
  <c r="M776" i="25"/>
  <c r="M775" i="25"/>
  <c r="M774" i="25"/>
  <c r="M773" i="25"/>
  <c r="M772" i="25"/>
  <c r="M771" i="25"/>
  <c r="M770" i="25"/>
  <c r="M769" i="25"/>
  <c r="M768" i="25"/>
  <c r="M767" i="25"/>
  <c r="M766" i="25"/>
  <c r="M765" i="25"/>
  <c r="M764" i="25"/>
  <c r="M763" i="25"/>
  <c r="M762" i="25"/>
  <c r="M761" i="25"/>
  <c r="M760" i="25"/>
  <c r="M759" i="25"/>
  <c r="M758" i="25"/>
  <c r="M757" i="25"/>
  <c r="M756" i="25"/>
  <c r="M755" i="25"/>
  <c r="M754" i="25"/>
  <c r="M753" i="25"/>
  <c r="M752" i="25"/>
  <c r="M751" i="25"/>
  <c r="M750" i="25"/>
  <c r="M749" i="25"/>
  <c r="M748" i="25"/>
  <c r="M747" i="25"/>
  <c r="M746" i="25"/>
  <c r="M745" i="25"/>
  <c r="M744" i="25"/>
  <c r="M743" i="25"/>
  <c r="M742" i="25"/>
  <c r="M741" i="25"/>
  <c r="M740" i="25"/>
  <c r="M739" i="25"/>
  <c r="M738" i="25"/>
  <c r="M737" i="25"/>
  <c r="M736" i="25"/>
  <c r="M735" i="25"/>
  <c r="M734" i="25"/>
  <c r="M733" i="25"/>
  <c r="M732" i="25"/>
  <c r="M731" i="25"/>
  <c r="M730" i="25"/>
  <c r="M729" i="25"/>
  <c r="M728" i="25"/>
  <c r="M727" i="25"/>
  <c r="M726" i="25"/>
  <c r="M725" i="25"/>
  <c r="M724" i="25"/>
  <c r="M723" i="25"/>
  <c r="M722" i="25"/>
  <c r="M721" i="25"/>
  <c r="M720" i="25"/>
  <c r="M719" i="25"/>
  <c r="M718" i="25"/>
  <c r="M717" i="25"/>
  <c r="M716" i="25"/>
  <c r="M715" i="25"/>
  <c r="M714" i="25"/>
  <c r="M713" i="25"/>
  <c r="M712" i="25"/>
  <c r="M711" i="25"/>
  <c r="M710" i="25"/>
  <c r="M709" i="25"/>
  <c r="M708" i="25"/>
  <c r="M707" i="25"/>
  <c r="M706" i="25"/>
  <c r="M705" i="25"/>
  <c r="M704" i="25"/>
  <c r="M703" i="25"/>
  <c r="M702" i="25"/>
  <c r="M701" i="25"/>
  <c r="M700" i="25"/>
  <c r="M699" i="25"/>
  <c r="M698" i="25"/>
  <c r="M697" i="25"/>
  <c r="M696" i="25"/>
  <c r="M695" i="25"/>
  <c r="M694" i="25"/>
  <c r="M693" i="25"/>
  <c r="M692" i="25"/>
  <c r="M691" i="25"/>
  <c r="M690" i="25"/>
  <c r="M689" i="25"/>
  <c r="M688" i="25"/>
  <c r="M687" i="25"/>
  <c r="M686" i="25"/>
  <c r="M685" i="25"/>
  <c r="M684" i="25"/>
  <c r="M683" i="25"/>
  <c r="M682" i="25"/>
  <c r="M681" i="25"/>
  <c r="M680" i="25"/>
  <c r="M679" i="25"/>
  <c r="M678" i="25"/>
  <c r="M677" i="25"/>
  <c r="M676" i="25"/>
  <c r="M675" i="25"/>
  <c r="M674" i="25"/>
  <c r="M673" i="25"/>
  <c r="M672" i="25"/>
  <c r="M671" i="25"/>
  <c r="M670" i="25"/>
  <c r="M669" i="25"/>
  <c r="M668" i="25"/>
  <c r="M667" i="25"/>
  <c r="M666" i="25"/>
  <c r="M665" i="25"/>
  <c r="M664" i="25"/>
  <c r="M663" i="25"/>
  <c r="M662" i="25"/>
  <c r="M661" i="25"/>
  <c r="M660" i="25"/>
  <c r="M659" i="25"/>
  <c r="M658" i="25"/>
  <c r="M657" i="25"/>
  <c r="M656" i="25"/>
  <c r="M655" i="25"/>
  <c r="M654" i="25"/>
  <c r="M653" i="25"/>
  <c r="M652" i="25"/>
  <c r="M651" i="25"/>
  <c r="M650" i="25"/>
  <c r="M649" i="25"/>
  <c r="M648" i="25"/>
  <c r="M647" i="25"/>
  <c r="M646" i="25"/>
  <c r="M645" i="25"/>
  <c r="M644" i="25"/>
  <c r="M643" i="25"/>
  <c r="M642" i="25"/>
  <c r="M641" i="25"/>
  <c r="M640" i="25"/>
  <c r="M639" i="25"/>
  <c r="M638" i="25"/>
  <c r="M637" i="25"/>
  <c r="M636" i="25"/>
  <c r="M635" i="25"/>
  <c r="M634" i="25"/>
  <c r="M633" i="25"/>
  <c r="M632" i="25"/>
  <c r="M631" i="25"/>
  <c r="M630" i="25"/>
  <c r="M629" i="25"/>
  <c r="M628" i="25"/>
  <c r="M627" i="25"/>
  <c r="M626" i="25"/>
  <c r="M625" i="25"/>
  <c r="M624" i="25"/>
  <c r="M623" i="25"/>
  <c r="M622" i="25"/>
  <c r="M621" i="25"/>
  <c r="M620" i="25"/>
  <c r="M619" i="25"/>
  <c r="M618" i="25"/>
  <c r="M617" i="25"/>
  <c r="M616" i="25"/>
  <c r="M615" i="25"/>
  <c r="M614" i="25"/>
  <c r="M613" i="25"/>
  <c r="M612" i="25"/>
  <c r="M611" i="25"/>
  <c r="M610" i="25"/>
  <c r="M609" i="25"/>
  <c r="M608" i="25"/>
  <c r="M607" i="25"/>
  <c r="M606" i="25"/>
  <c r="M605" i="25"/>
  <c r="M604" i="25"/>
  <c r="M603" i="25"/>
  <c r="M602" i="25"/>
  <c r="M601" i="25"/>
  <c r="M600" i="25"/>
  <c r="M599" i="25"/>
  <c r="M598" i="25"/>
  <c r="M597" i="25"/>
  <c r="M596"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M540" i="25"/>
  <c r="M539" i="25"/>
  <c r="M538" i="25"/>
  <c r="M537" i="25"/>
  <c r="M536" i="25"/>
  <c r="M535" i="25"/>
  <c r="M534" i="25"/>
  <c r="M533" i="25"/>
  <c r="M532" i="25"/>
  <c r="M531" i="25"/>
  <c r="M530" i="25"/>
  <c r="M529" i="25"/>
  <c r="M528" i="25"/>
  <c r="M527" i="25"/>
  <c r="M526" i="25"/>
  <c r="M525" i="25"/>
  <c r="M524" i="25"/>
  <c r="M523" i="25"/>
  <c r="M522" i="25"/>
  <c r="M521" i="25"/>
  <c r="M520" i="25"/>
  <c r="M519" i="25"/>
  <c r="M518" i="25"/>
  <c r="M517" i="25"/>
  <c r="M516" i="25"/>
  <c r="M515" i="25"/>
  <c r="M514" i="25"/>
  <c r="M513" i="25"/>
  <c r="M512" i="25"/>
  <c r="M511" i="25"/>
  <c r="M510" i="25"/>
  <c r="M509" i="25"/>
  <c r="M508" i="25"/>
  <c r="M507" i="25"/>
  <c r="M506" i="25"/>
  <c r="M505" i="25"/>
  <c r="M504" i="25"/>
  <c r="M503" i="25"/>
  <c r="M502" i="25"/>
  <c r="M501" i="25"/>
  <c r="M500" i="25"/>
  <c r="M499" i="25"/>
  <c r="M498" i="25"/>
  <c r="M497" i="25"/>
  <c r="M496" i="25"/>
  <c r="M495" i="25"/>
  <c r="M494" i="25"/>
  <c r="M493" i="25"/>
  <c r="M492" i="25"/>
  <c r="M491" i="25"/>
  <c r="M490" i="25"/>
  <c r="M489" i="25"/>
  <c r="M488" i="25"/>
  <c r="M487" i="25"/>
  <c r="M486" i="25"/>
  <c r="M485" i="25"/>
  <c r="M484" i="25"/>
  <c r="M483" i="25"/>
  <c r="M482" i="25"/>
  <c r="M481" i="25"/>
  <c r="M480" i="25"/>
  <c r="M479" i="25"/>
  <c r="M478" i="25"/>
  <c r="M477" i="25"/>
  <c r="M476" i="25"/>
  <c r="M475" i="25"/>
  <c r="M474" i="25"/>
  <c r="M473" i="25"/>
  <c r="M472" i="25"/>
  <c r="M471" i="25"/>
  <c r="M470" i="25"/>
  <c r="M469" i="25"/>
  <c r="M468" i="25"/>
  <c r="M467" i="25"/>
  <c r="M466" i="25"/>
  <c r="M465" i="25"/>
  <c r="M464" i="25"/>
  <c r="M463" i="25"/>
  <c r="M462" i="25"/>
  <c r="M461" i="25"/>
  <c r="M460" i="25"/>
  <c r="M459" i="25"/>
  <c r="M458" i="25"/>
  <c r="M457" i="25"/>
  <c r="M456" i="25"/>
  <c r="M455" i="25"/>
  <c r="M454" i="25"/>
  <c r="M453" i="25"/>
  <c r="M452" i="25"/>
  <c r="M451" i="25"/>
  <c r="M450" i="25"/>
  <c r="M449" i="25"/>
  <c r="M448" i="25"/>
  <c r="M447" i="25"/>
  <c r="M446" i="25"/>
  <c r="M445" i="25"/>
  <c r="M444" i="25"/>
  <c r="M443" i="25"/>
  <c r="M442" i="25"/>
  <c r="M441" i="25"/>
  <c r="M440" i="25"/>
  <c r="M439" i="25"/>
  <c r="M438" i="25"/>
  <c r="M437" i="25"/>
  <c r="M436" i="25"/>
  <c r="M435" i="25"/>
  <c r="M434" i="25"/>
  <c r="M433" i="25"/>
  <c r="M432" i="25"/>
  <c r="M431" i="25"/>
  <c r="M430" i="25"/>
  <c r="M429" i="25"/>
  <c r="M428" i="25"/>
  <c r="M427" i="25"/>
  <c r="M426" i="25"/>
  <c r="M425" i="25"/>
  <c r="M424" i="25"/>
  <c r="M423" i="25"/>
  <c r="M422" i="25"/>
  <c r="M421" i="25"/>
  <c r="M420" i="25"/>
  <c r="M419" i="25"/>
  <c r="M418" i="25"/>
  <c r="M417" i="25"/>
  <c r="M416" i="25"/>
  <c r="M415" i="25"/>
  <c r="M414" i="25"/>
  <c r="M413" i="25"/>
  <c r="M412" i="25"/>
  <c r="M411" i="25"/>
  <c r="M410" i="25"/>
  <c r="M409" i="25"/>
  <c r="M408" i="25"/>
  <c r="M407" i="25"/>
  <c r="M406"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M2" i="25"/>
  <c r="AN881" i="25"/>
  <c r="AN880" i="25"/>
  <c r="AN879" i="25"/>
  <c r="AN878" i="25"/>
  <c r="AN877" i="25"/>
  <c r="AN876" i="25"/>
  <c r="AN875" i="25"/>
  <c r="AN874" i="25"/>
  <c r="AN873" i="25"/>
  <c r="AN872" i="25"/>
  <c r="AN871" i="25"/>
  <c r="AN870" i="25"/>
  <c r="AN869" i="25"/>
  <c r="AN868" i="25"/>
  <c r="AN867" i="25"/>
  <c r="AN866" i="25"/>
  <c r="AN865" i="25"/>
  <c r="AN864" i="25"/>
  <c r="AN863" i="25"/>
  <c r="AN862" i="25"/>
  <c r="AN861" i="25"/>
  <c r="AN860" i="25"/>
  <c r="AN859" i="25"/>
  <c r="AN858" i="25"/>
  <c r="AN857" i="25"/>
  <c r="AN856" i="25"/>
  <c r="AN855" i="25"/>
  <c r="AN854" i="25"/>
  <c r="AN853" i="25"/>
  <c r="AN852" i="25"/>
  <c r="AN851" i="25"/>
  <c r="AN850" i="25"/>
  <c r="AN849" i="25"/>
  <c r="AN848" i="25"/>
  <c r="AN847" i="25"/>
  <c r="AN846" i="25"/>
  <c r="AN845" i="25"/>
  <c r="AN844" i="25"/>
  <c r="AN843" i="25"/>
  <c r="AN842" i="25"/>
  <c r="AN841" i="25"/>
  <c r="AN840" i="25"/>
  <c r="AN839" i="25"/>
  <c r="AN838" i="25"/>
  <c r="AN837" i="25"/>
  <c r="AN836" i="25"/>
  <c r="AN835" i="25"/>
  <c r="AN834" i="25"/>
  <c r="AN833" i="25"/>
  <c r="AN832" i="25"/>
  <c r="AN831" i="25"/>
  <c r="AN830" i="25"/>
  <c r="AN829" i="25"/>
  <c r="AN828" i="25"/>
  <c r="AN827" i="25"/>
  <c r="AN826" i="25"/>
  <c r="AN825" i="25"/>
  <c r="AN824" i="25"/>
  <c r="AN823" i="25"/>
  <c r="AN822" i="25"/>
  <c r="AN821" i="25"/>
  <c r="AN820" i="25"/>
  <c r="AN819" i="25"/>
  <c r="AN818" i="25"/>
  <c r="AN817" i="25"/>
  <c r="AN816" i="25"/>
  <c r="AN815" i="25"/>
  <c r="AN814" i="25"/>
  <c r="AN813" i="25"/>
  <c r="AN812" i="25"/>
  <c r="AN811" i="25"/>
  <c r="AN810" i="25"/>
  <c r="AN809" i="25"/>
  <c r="AN808" i="25"/>
  <c r="AN807" i="25"/>
  <c r="AN806" i="25"/>
  <c r="AN805" i="25"/>
  <c r="AN804" i="25"/>
  <c r="AN803" i="25"/>
  <c r="AN802" i="25"/>
  <c r="AN801" i="25"/>
  <c r="AN800" i="25"/>
  <c r="AN799" i="25"/>
  <c r="AN798" i="25"/>
  <c r="AN797" i="25"/>
  <c r="AN796" i="25"/>
  <c r="AN795" i="25"/>
  <c r="AN794" i="25"/>
  <c r="AN793" i="25"/>
  <c r="AN792" i="25"/>
  <c r="AN791" i="25"/>
  <c r="AN790" i="25"/>
  <c r="AN789" i="25"/>
  <c r="AN788" i="25"/>
  <c r="AN787" i="25"/>
  <c r="AN786" i="25"/>
  <c r="AN785" i="25"/>
  <c r="AN784" i="25"/>
  <c r="AN783" i="25"/>
  <c r="AN782" i="25"/>
  <c r="AN781" i="25"/>
  <c r="AN780" i="25"/>
  <c r="AN779" i="25"/>
  <c r="AN778" i="25"/>
  <c r="AN777" i="25"/>
  <c r="AN776" i="25"/>
  <c r="AN775" i="25"/>
  <c r="AN774" i="25"/>
  <c r="AN773" i="25"/>
  <c r="AN772" i="25"/>
  <c r="AN771" i="25"/>
  <c r="AN770" i="25"/>
  <c r="AN769" i="25"/>
  <c r="AN768" i="25"/>
  <c r="AN767" i="25"/>
  <c r="AN766" i="25"/>
  <c r="AN765" i="25"/>
  <c r="AN764" i="25"/>
  <c r="AN763" i="25"/>
  <c r="AN762" i="25"/>
  <c r="AN761" i="25"/>
  <c r="AN760" i="25"/>
  <c r="AN759" i="25"/>
  <c r="AN758" i="25"/>
  <c r="AN757" i="25"/>
  <c r="AN756" i="25"/>
  <c r="AN755" i="25"/>
  <c r="AN754" i="25"/>
  <c r="AN753" i="25"/>
  <c r="AN752" i="25"/>
  <c r="AN751" i="25"/>
  <c r="AN750" i="25"/>
  <c r="AN749" i="25"/>
  <c r="AN748" i="25"/>
  <c r="AN747" i="25"/>
  <c r="AN746" i="25"/>
  <c r="AN745" i="25"/>
  <c r="AN744" i="25"/>
  <c r="AN743" i="25"/>
  <c r="AN742" i="25"/>
  <c r="AN741" i="25"/>
  <c r="AN740" i="25"/>
  <c r="AN739" i="25"/>
  <c r="AN738" i="25"/>
  <c r="AN737" i="25"/>
  <c r="AN736" i="25"/>
  <c r="AN735" i="25"/>
  <c r="AN734" i="25"/>
  <c r="AN733" i="25"/>
  <c r="AN732" i="25"/>
  <c r="AN731" i="25"/>
  <c r="AN730" i="25"/>
  <c r="AN729" i="25"/>
  <c r="AN728" i="25"/>
  <c r="AN727" i="25"/>
  <c r="AN726" i="25"/>
  <c r="AN725" i="25"/>
  <c r="AN724" i="25"/>
  <c r="AN723" i="25"/>
  <c r="AN722" i="25"/>
  <c r="AN721" i="25"/>
  <c r="AN720" i="25"/>
  <c r="AN719" i="25"/>
  <c r="AN718" i="25"/>
  <c r="AN717" i="25"/>
  <c r="AN716" i="25"/>
  <c r="AN715" i="25"/>
  <c r="AN714" i="25"/>
  <c r="AN713" i="25"/>
  <c r="AN712" i="25"/>
  <c r="AN711" i="25"/>
  <c r="AN710" i="25"/>
  <c r="AN709" i="25"/>
  <c r="AN708" i="25"/>
  <c r="AN707" i="25"/>
  <c r="AN706" i="25"/>
  <c r="AN705" i="25"/>
  <c r="AN704" i="25"/>
  <c r="AN703" i="25"/>
  <c r="AN702" i="25"/>
  <c r="AN701" i="25"/>
  <c r="AN700" i="25"/>
  <c r="AN699" i="25"/>
  <c r="AN698" i="25"/>
  <c r="AN697" i="25"/>
  <c r="AN696" i="25"/>
  <c r="AN695" i="25"/>
  <c r="AN694" i="25"/>
  <c r="AN693" i="25"/>
  <c r="AN692" i="25"/>
  <c r="AN691" i="25"/>
  <c r="AN690" i="25"/>
  <c r="AN689" i="25"/>
  <c r="AN688" i="25"/>
  <c r="AN687" i="25"/>
  <c r="AN686" i="25"/>
  <c r="AN685" i="25"/>
  <c r="AN684" i="25"/>
  <c r="AN683" i="25"/>
  <c r="AN682" i="25"/>
  <c r="AN681" i="25"/>
  <c r="AN680" i="25"/>
  <c r="AN679" i="25"/>
  <c r="AN678" i="25"/>
  <c r="AN677" i="25"/>
  <c r="AN676" i="25"/>
  <c r="AN675" i="25"/>
  <c r="AN674" i="25"/>
  <c r="AN673" i="25"/>
  <c r="AN672" i="25"/>
  <c r="AN671" i="25"/>
  <c r="AN670" i="25"/>
  <c r="AN669" i="25"/>
  <c r="AN668" i="25"/>
  <c r="AN667" i="25"/>
  <c r="AN666" i="25"/>
  <c r="AN665" i="25"/>
  <c r="AN664" i="25"/>
  <c r="AN663" i="25"/>
  <c r="AN662" i="25"/>
  <c r="AN661" i="25"/>
  <c r="AN660" i="25"/>
  <c r="AN659" i="25"/>
  <c r="AN658" i="25"/>
  <c r="AN657" i="25"/>
  <c r="AN656" i="25"/>
  <c r="AN655" i="25"/>
  <c r="AN654" i="25"/>
  <c r="AN653" i="25"/>
  <c r="AN652" i="25"/>
  <c r="AN651" i="25"/>
  <c r="AN650" i="25"/>
  <c r="AN649" i="25"/>
  <c r="AN648" i="25"/>
  <c r="AN647" i="25"/>
  <c r="AN646" i="25"/>
  <c r="AN645" i="25"/>
  <c r="AN644" i="25"/>
  <c r="AN643" i="25"/>
  <c r="AN642" i="25"/>
  <c r="AN641" i="25"/>
  <c r="AN640" i="25"/>
  <c r="AN639" i="25"/>
  <c r="AN638" i="25"/>
  <c r="AN637" i="25"/>
  <c r="AN636" i="25"/>
  <c r="AN635" i="25"/>
  <c r="AN634" i="25"/>
  <c r="AN633" i="25"/>
  <c r="AN632" i="25"/>
  <c r="AN631" i="25"/>
  <c r="AN630" i="25"/>
  <c r="AN629" i="25"/>
  <c r="AN628" i="25"/>
  <c r="AN627" i="25"/>
  <c r="AN626" i="25"/>
  <c r="AN625" i="25"/>
  <c r="AN624" i="25"/>
  <c r="AN623" i="25"/>
  <c r="AN622" i="25"/>
  <c r="AN621" i="25"/>
  <c r="AN620" i="25"/>
  <c r="AN619" i="25"/>
  <c r="AN618" i="25"/>
  <c r="AN617" i="25"/>
  <c r="AN616" i="25"/>
  <c r="AN615" i="25"/>
  <c r="AN614" i="25"/>
  <c r="AN613" i="25"/>
  <c r="AN612" i="25"/>
  <c r="AN611" i="25"/>
  <c r="AN610" i="25"/>
  <c r="AN609" i="25"/>
  <c r="AN608" i="25"/>
  <c r="AN607" i="25"/>
  <c r="AN606" i="25"/>
  <c r="AN605" i="25"/>
  <c r="AN604" i="25"/>
  <c r="AN603" i="25"/>
  <c r="AN602" i="25"/>
  <c r="AN601" i="25"/>
  <c r="AN600" i="25"/>
  <c r="AN599" i="25"/>
  <c r="AN598" i="25"/>
  <c r="AN597" i="25"/>
  <c r="AN596" i="25"/>
  <c r="AN595" i="25"/>
  <c r="AN594" i="25"/>
  <c r="AN593" i="25"/>
  <c r="AN592" i="25"/>
  <c r="AN591" i="25"/>
  <c r="AN590" i="25"/>
  <c r="AN589" i="25"/>
  <c r="AN588" i="25"/>
  <c r="AN587" i="25"/>
  <c r="AN586" i="25"/>
  <c r="AN585" i="25"/>
  <c r="AN584" i="25"/>
  <c r="AN583" i="25"/>
  <c r="AN582" i="25"/>
  <c r="AN581" i="25"/>
  <c r="AN580" i="25"/>
  <c r="AN579" i="25"/>
  <c r="AN578" i="25"/>
  <c r="AN577" i="25"/>
  <c r="AN576" i="25"/>
  <c r="AN575" i="25"/>
  <c r="AN574" i="25"/>
  <c r="AN573" i="25"/>
  <c r="AN572" i="25"/>
  <c r="AN571" i="25"/>
  <c r="AN570" i="25"/>
  <c r="AN569" i="25"/>
  <c r="AN568" i="25"/>
  <c r="AN567" i="25"/>
  <c r="AN566" i="25"/>
  <c r="AN565" i="25"/>
  <c r="AN564" i="25"/>
  <c r="AN563" i="25"/>
  <c r="AN562" i="25"/>
  <c r="AN561" i="25"/>
  <c r="AN560" i="25"/>
  <c r="AN559" i="25"/>
  <c r="AN558" i="25"/>
  <c r="AN557" i="25"/>
  <c r="AN556" i="25"/>
  <c r="AN555" i="25"/>
  <c r="AN554" i="25"/>
  <c r="AN553" i="25"/>
  <c r="AN552" i="25"/>
  <c r="AN551" i="25"/>
  <c r="AN550" i="25"/>
  <c r="AN549" i="25"/>
  <c r="AN548" i="25"/>
  <c r="AN547" i="25"/>
  <c r="AN546" i="25"/>
  <c r="AN545" i="25"/>
  <c r="AN544" i="25"/>
  <c r="AN543" i="25"/>
  <c r="AN542" i="25"/>
  <c r="AN541" i="25"/>
  <c r="AN540" i="25"/>
  <c r="AN539" i="25"/>
  <c r="AN538" i="25"/>
  <c r="AN537" i="25"/>
  <c r="AN536" i="25"/>
  <c r="AN535" i="25"/>
  <c r="AN534" i="25"/>
  <c r="AN533" i="25"/>
  <c r="AN532" i="25"/>
  <c r="AN531" i="25"/>
  <c r="AN530" i="25"/>
  <c r="AN529" i="25"/>
  <c r="AN528" i="25"/>
  <c r="AN527" i="25"/>
  <c r="AN526" i="25"/>
  <c r="AN525" i="25"/>
  <c r="AN524" i="25"/>
  <c r="AN523" i="25"/>
  <c r="AN522" i="25"/>
  <c r="AN521" i="25"/>
  <c r="AN520" i="25"/>
  <c r="AN519" i="25"/>
  <c r="AN518" i="25"/>
  <c r="AN517" i="25"/>
  <c r="AN516" i="25"/>
  <c r="AN515" i="25"/>
  <c r="AN514" i="25"/>
  <c r="AN513" i="25"/>
  <c r="AN512" i="25"/>
  <c r="AN511" i="25"/>
  <c r="AN510" i="25"/>
  <c r="AN509" i="25"/>
  <c r="AN508" i="25"/>
  <c r="AN507" i="25"/>
  <c r="AN506" i="25"/>
  <c r="AN505" i="25"/>
  <c r="AN504" i="25"/>
  <c r="AN503" i="25"/>
  <c r="AN502" i="25"/>
  <c r="AN501" i="25"/>
  <c r="AN500" i="25"/>
  <c r="AN499" i="25"/>
  <c r="AN498" i="25"/>
  <c r="AN497" i="25"/>
  <c r="AN496" i="25"/>
  <c r="AN495" i="25"/>
  <c r="AN494" i="25"/>
  <c r="AN493" i="25"/>
  <c r="AN492" i="25"/>
  <c r="AN491" i="25"/>
  <c r="AN490" i="25"/>
  <c r="AN489" i="25"/>
  <c r="AN488" i="25"/>
  <c r="AN487" i="25"/>
  <c r="AN486" i="25"/>
  <c r="AN485" i="25"/>
  <c r="AN484" i="25"/>
  <c r="AN483" i="25"/>
  <c r="AN482" i="25"/>
  <c r="AN481" i="25"/>
  <c r="AN480" i="25"/>
  <c r="AN479" i="25"/>
  <c r="AN478" i="25"/>
  <c r="AN477" i="25"/>
  <c r="AN476" i="25"/>
  <c r="AN475" i="25"/>
  <c r="AN474" i="25"/>
  <c r="AN473" i="25"/>
  <c r="AN472" i="25"/>
  <c r="AN471" i="25"/>
  <c r="AN470" i="25"/>
  <c r="AN469" i="25"/>
  <c r="AN468" i="25"/>
  <c r="AN467" i="25"/>
  <c r="AN466" i="25"/>
  <c r="AN465" i="25"/>
  <c r="AN464" i="25"/>
  <c r="AN463" i="25"/>
  <c r="AN462" i="25"/>
  <c r="AN461" i="25"/>
  <c r="AN460" i="25"/>
  <c r="AN459" i="25"/>
  <c r="AN458" i="25"/>
  <c r="AN457" i="25"/>
  <c r="AN456" i="25"/>
  <c r="AN455" i="25"/>
  <c r="AN454" i="25"/>
  <c r="AN453" i="25"/>
  <c r="AN452" i="25"/>
  <c r="AN451" i="25"/>
  <c r="AN450" i="25"/>
  <c r="AN449" i="25"/>
  <c r="AN448" i="25"/>
  <c r="AN447" i="25"/>
  <c r="AN446" i="25"/>
  <c r="AN445" i="25"/>
  <c r="AN444" i="25"/>
  <c r="AN443" i="25"/>
  <c r="AN442" i="25"/>
  <c r="AN441" i="25"/>
  <c r="AN440" i="25"/>
  <c r="AN439" i="25"/>
  <c r="AN438" i="25"/>
  <c r="AN437" i="25"/>
  <c r="AN436" i="25"/>
  <c r="AN435" i="25"/>
  <c r="AN434" i="25"/>
  <c r="AN433" i="25"/>
  <c r="AN432" i="25"/>
  <c r="AN431" i="25"/>
  <c r="AN430" i="25"/>
  <c r="AN429" i="25"/>
  <c r="AN428" i="25"/>
  <c r="AN427" i="25"/>
  <c r="AN426" i="25"/>
  <c r="AN425" i="25"/>
  <c r="AN424" i="25"/>
  <c r="AN423" i="25"/>
  <c r="AN422" i="25"/>
  <c r="AN421" i="25"/>
  <c r="AN420" i="25"/>
  <c r="AN419" i="25"/>
  <c r="AN418" i="25"/>
  <c r="AN417" i="25"/>
  <c r="AN416" i="25"/>
  <c r="AN415" i="25"/>
  <c r="AN414" i="25"/>
  <c r="AN413" i="25"/>
  <c r="AN412" i="25"/>
  <c r="AN411" i="25"/>
  <c r="AN410" i="25"/>
  <c r="AN409" i="25"/>
  <c r="AN408" i="25"/>
  <c r="AN407" i="25"/>
  <c r="AN406" i="25"/>
  <c r="AN405" i="25"/>
  <c r="AN404" i="25"/>
  <c r="AN403" i="25"/>
  <c r="AN402" i="25"/>
  <c r="AN401" i="25"/>
  <c r="AN400" i="25"/>
  <c r="AN399" i="25"/>
  <c r="AN398" i="25"/>
  <c r="AN397" i="25"/>
  <c r="AN396" i="25"/>
  <c r="AN395" i="25"/>
  <c r="AN394" i="25"/>
  <c r="AN393" i="25"/>
  <c r="AN392" i="25"/>
  <c r="AN391" i="25"/>
  <c r="AN390" i="25"/>
  <c r="AN389" i="25"/>
  <c r="AN388" i="25"/>
  <c r="AN387" i="25"/>
  <c r="AN386" i="25"/>
  <c r="AN385" i="25"/>
  <c r="AN384" i="25"/>
  <c r="AN383" i="25"/>
  <c r="AN382" i="25"/>
  <c r="AN381" i="25"/>
  <c r="AN380" i="25"/>
  <c r="AN379" i="25"/>
  <c r="AN378" i="25"/>
  <c r="AN377" i="25"/>
  <c r="AN376" i="25"/>
  <c r="AN375" i="25"/>
  <c r="AN374" i="25"/>
  <c r="AN373" i="25"/>
  <c r="AN372" i="25"/>
  <c r="AN371" i="25"/>
  <c r="AN370" i="25"/>
  <c r="AN369" i="25"/>
  <c r="AN368" i="25"/>
  <c r="AN367" i="25"/>
  <c r="AN366" i="25"/>
  <c r="AN365" i="25"/>
  <c r="AN364" i="25"/>
  <c r="AN363" i="25"/>
  <c r="AN362" i="25"/>
  <c r="AN361" i="25"/>
  <c r="AN360" i="25"/>
  <c r="AN359" i="25"/>
  <c r="AN358" i="25"/>
  <c r="AN357" i="25"/>
  <c r="AN356" i="25"/>
  <c r="AN355" i="25"/>
  <c r="AN354" i="25"/>
  <c r="AN353" i="25"/>
  <c r="AN352" i="25"/>
  <c r="AN351" i="25"/>
  <c r="AN350" i="25"/>
  <c r="AN349" i="25"/>
  <c r="AN348" i="25"/>
  <c r="AN347" i="25"/>
  <c r="AN346" i="25"/>
  <c r="AN345" i="25"/>
  <c r="AN344" i="25"/>
  <c r="AN343" i="25"/>
  <c r="AN342" i="25"/>
  <c r="AN341" i="25"/>
  <c r="AN340" i="25"/>
  <c r="AN339" i="25"/>
  <c r="AN338" i="25"/>
  <c r="AN337" i="25"/>
  <c r="AN336" i="25"/>
  <c r="AN335" i="25"/>
  <c r="AN334" i="25"/>
  <c r="AN333" i="25"/>
  <c r="AN332" i="25"/>
  <c r="AN331" i="25"/>
  <c r="AN330" i="25"/>
  <c r="AN329" i="25"/>
  <c r="AN328" i="25"/>
  <c r="AN327" i="25"/>
  <c r="AN326" i="25"/>
  <c r="AN325" i="25"/>
  <c r="AN324" i="25"/>
  <c r="AN323" i="25"/>
  <c r="AN322" i="25"/>
  <c r="AN321" i="25"/>
  <c r="AN320" i="25"/>
  <c r="AN319" i="25"/>
  <c r="AN318" i="25"/>
  <c r="AN317" i="25"/>
  <c r="AN316" i="25"/>
  <c r="AN315" i="25"/>
  <c r="AN314" i="25"/>
  <c r="AN313" i="25"/>
  <c r="AN312" i="25"/>
  <c r="AN311" i="25"/>
  <c r="AN310" i="25"/>
  <c r="AN309" i="25"/>
  <c r="AN308" i="25"/>
  <c r="AN307" i="25"/>
  <c r="AN306" i="25"/>
  <c r="AN305" i="25"/>
  <c r="AN304" i="25"/>
  <c r="AN303" i="25"/>
  <c r="AN302" i="25"/>
  <c r="AN301" i="25"/>
  <c r="AN300" i="25"/>
  <c r="AN299" i="25"/>
  <c r="AN298" i="25"/>
  <c r="AN297" i="25"/>
  <c r="AN296" i="25"/>
  <c r="AN295" i="25"/>
  <c r="AN294" i="25"/>
  <c r="AN293" i="25"/>
  <c r="AN292" i="25"/>
  <c r="AN291" i="25"/>
  <c r="AN290" i="25"/>
  <c r="AN289" i="25"/>
  <c r="AN288" i="25"/>
  <c r="AN287" i="25"/>
  <c r="AN286" i="25"/>
  <c r="AN285" i="25"/>
  <c r="AN284" i="25"/>
  <c r="AN283" i="25"/>
  <c r="AN282" i="25"/>
  <c r="AN281" i="25"/>
  <c r="AN280" i="25"/>
  <c r="AN279" i="25"/>
  <c r="AN278" i="25"/>
  <c r="AN277" i="25"/>
  <c r="AN276" i="25"/>
  <c r="AN275" i="25"/>
  <c r="AN274" i="25"/>
  <c r="AN273" i="25"/>
  <c r="AN272" i="25"/>
  <c r="AN271" i="25"/>
  <c r="AN270" i="25"/>
  <c r="AN269" i="25"/>
  <c r="AN268" i="25"/>
  <c r="AN267" i="25"/>
  <c r="AN266" i="25"/>
  <c r="AN265" i="25"/>
  <c r="AN264" i="25"/>
  <c r="AN263" i="25"/>
  <c r="AN262" i="25"/>
  <c r="AN261" i="25"/>
  <c r="AN260" i="25"/>
  <c r="AN259" i="25"/>
  <c r="AN258" i="25"/>
  <c r="AN257" i="25"/>
  <c r="AN256" i="25"/>
  <c r="AN255" i="25"/>
  <c r="AN254" i="25"/>
  <c r="AN253" i="25"/>
  <c r="AN252" i="25"/>
  <c r="AN251" i="25"/>
  <c r="AN250" i="25"/>
  <c r="AN249" i="25"/>
  <c r="AN248" i="25"/>
  <c r="AN247" i="25"/>
  <c r="AN246" i="25"/>
  <c r="AN245" i="25"/>
  <c r="AN244" i="25"/>
  <c r="AN243" i="25"/>
  <c r="AN242" i="25"/>
  <c r="AN241" i="25"/>
  <c r="AN240" i="25"/>
  <c r="AN239" i="25"/>
  <c r="AN238" i="25"/>
  <c r="AN237" i="25"/>
  <c r="AN236" i="25"/>
  <c r="AN235" i="25"/>
  <c r="AN234" i="25"/>
  <c r="AN233" i="25"/>
  <c r="AN232" i="25"/>
  <c r="AN231" i="25"/>
  <c r="AN230" i="25"/>
  <c r="AN229" i="25"/>
  <c r="AN228" i="25"/>
  <c r="AN227" i="25"/>
  <c r="AN226" i="25"/>
  <c r="AN225" i="25"/>
  <c r="AN224" i="25"/>
  <c r="AN223" i="25"/>
  <c r="AN222" i="25"/>
  <c r="AN221" i="25"/>
  <c r="AN220" i="25"/>
  <c r="AN219" i="25"/>
  <c r="AN218" i="25"/>
  <c r="AN217" i="25"/>
  <c r="AN216" i="25"/>
  <c r="AN215" i="25"/>
  <c r="AN214" i="25"/>
  <c r="AN213" i="25"/>
  <c r="AN212" i="25"/>
  <c r="AN211" i="25"/>
  <c r="AN210" i="25"/>
  <c r="AN209" i="25"/>
  <c r="AN208" i="25"/>
  <c r="AN207" i="25"/>
  <c r="AN206" i="25"/>
  <c r="AN205" i="25"/>
  <c r="AN204" i="25"/>
  <c r="AN203" i="25"/>
  <c r="AN202" i="25"/>
  <c r="AN201" i="25"/>
  <c r="AN200" i="25"/>
  <c r="AN199" i="25"/>
  <c r="AN198" i="25"/>
  <c r="AN197" i="25"/>
  <c r="AN196" i="25"/>
  <c r="AN195" i="25"/>
  <c r="AN194" i="25"/>
  <c r="AN193" i="25"/>
  <c r="AN192" i="25"/>
  <c r="AN191" i="25"/>
  <c r="AN190" i="25"/>
  <c r="AN189" i="25"/>
  <c r="AN188" i="25"/>
  <c r="AN187" i="25"/>
  <c r="AN186" i="25"/>
  <c r="AN185" i="25"/>
  <c r="AN184" i="25"/>
  <c r="AN183" i="25"/>
  <c r="AN182" i="25"/>
  <c r="AN181" i="25"/>
  <c r="AN180" i="25"/>
  <c r="AN179" i="25"/>
  <c r="AN178" i="25"/>
  <c r="AN177" i="25"/>
  <c r="AN176" i="25"/>
  <c r="AN175" i="25"/>
  <c r="AN174" i="25"/>
  <c r="AN173" i="25"/>
  <c r="AN172" i="25"/>
  <c r="AN171" i="25"/>
  <c r="AN170" i="25"/>
  <c r="AN169" i="25"/>
  <c r="AN168" i="25"/>
  <c r="AN167" i="25"/>
  <c r="AN166" i="25"/>
  <c r="AN165" i="25"/>
  <c r="AN164" i="25"/>
  <c r="AN163" i="25"/>
  <c r="AN162" i="25"/>
  <c r="AN161" i="25"/>
  <c r="AN160" i="25"/>
  <c r="AN159" i="25"/>
  <c r="AN158" i="25"/>
  <c r="AN157" i="25"/>
  <c r="AN156" i="25"/>
  <c r="AN155" i="25"/>
  <c r="AN154" i="25"/>
  <c r="AN153" i="25"/>
  <c r="AN152" i="25"/>
  <c r="AN151" i="25"/>
  <c r="AN150" i="25"/>
  <c r="AN149" i="25"/>
  <c r="AN148" i="25"/>
  <c r="AN147" i="25"/>
  <c r="AN146" i="25"/>
  <c r="AN145" i="25"/>
  <c r="AN144" i="25"/>
  <c r="AN143" i="25"/>
  <c r="AN142" i="25"/>
  <c r="AN141" i="25"/>
  <c r="AN140" i="25"/>
  <c r="AN139" i="25"/>
  <c r="AN138" i="25"/>
  <c r="AN137" i="25"/>
  <c r="AN136" i="25"/>
  <c r="AN135" i="25"/>
  <c r="AN134" i="25"/>
  <c r="AN133" i="25"/>
  <c r="AN132" i="25"/>
  <c r="AN131" i="25"/>
  <c r="AN130" i="25"/>
  <c r="AN129" i="25"/>
  <c r="AN128" i="25"/>
  <c r="AN127" i="25"/>
  <c r="AN126" i="25"/>
  <c r="AN125" i="25"/>
  <c r="AN124" i="25"/>
  <c r="AN123" i="25"/>
  <c r="AN122" i="25"/>
  <c r="AN121" i="25"/>
  <c r="AN120" i="25"/>
  <c r="AN119" i="25"/>
  <c r="AN118" i="25"/>
  <c r="AN117" i="25"/>
  <c r="AN116" i="25"/>
  <c r="AN115" i="25"/>
  <c r="AN114" i="25"/>
  <c r="AN113" i="25"/>
  <c r="AN112" i="25"/>
  <c r="AN111" i="25"/>
  <c r="AN110" i="25"/>
  <c r="AN109" i="25"/>
  <c r="AN108" i="25"/>
  <c r="AN107" i="25"/>
  <c r="AN106" i="25"/>
  <c r="AN105" i="25"/>
  <c r="AN104" i="25"/>
  <c r="AN103" i="25"/>
  <c r="AN102" i="25"/>
  <c r="AN101" i="25"/>
  <c r="AN100" i="25"/>
  <c r="AN99" i="25"/>
  <c r="AN98" i="25"/>
  <c r="AN97" i="25"/>
  <c r="AN96" i="25"/>
  <c r="AN95" i="25"/>
  <c r="AN94" i="25"/>
  <c r="AN93" i="25"/>
  <c r="AN92" i="25"/>
  <c r="AN91" i="25"/>
  <c r="AN90" i="25"/>
  <c r="AN89" i="25"/>
  <c r="AN88" i="25"/>
  <c r="AN87" i="25"/>
  <c r="AN86" i="25"/>
  <c r="AN85" i="25"/>
  <c r="AN84" i="25"/>
  <c r="AN83" i="25"/>
  <c r="AN82" i="25"/>
  <c r="AN81" i="25"/>
  <c r="AN80" i="25"/>
  <c r="AN79" i="25"/>
  <c r="AN78" i="25"/>
  <c r="AN77" i="25"/>
  <c r="AN76" i="25"/>
  <c r="AN75" i="25"/>
  <c r="AN74" i="25"/>
  <c r="AN73" i="25"/>
  <c r="AN72" i="25"/>
  <c r="AN71" i="25"/>
  <c r="AN70" i="25"/>
  <c r="AN69" i="25"/>
  <c r="AN68" i="25"/>
  <c r="AN67" i="25"/>
  <c r="AN66" i="25"/>
  <c r="AN65" i="25"/>
  <c r="AN64" i="25"/>
  <c r="AN63" i="25"/>
  <c r="AN62" i="25"/>
  <c r="AN61" i="25"/>
  <c r="AN60" i="25"/>
  <c r="AN59" i="25"/>
  <c r="AN58" i="25"/>
  <c r="AN57" i="25"/>
  <c r="AN56" i="25"/>
  <c r="AN55" i="25"/>
  <c r="AN54" i="25"/>
  <c r="AN53" i="25"/>
  <c r="AN52" i="25"/>
  <c r="AN51" i="25"/>
  <c r="AN50" i="25"/>
  <c r="AN49" i="25"/>
  <c r="AN48" i="25"/>
  <c r="AN47" i="25"/>
  <c r="AN46" i="25"/>
  <c r="AN45" i="25"/>
  <c r="AN44" i="25"/>
  <c r="AN43" i="25"/>
  <c r="AN42" i="25"/>
  <c r="AN41" i="25"/>
  <c r="AN40" i="25"/>
  <c r="AN39" i="25"/>
  <c r="AN38" i="25"/>
  <c r="AN37" i="25"/>
  <c r="AN36" i="25"/>
  <c r="AN35" i="25"/>
  <c r="AN34" i="25"/>
  <c r="AN33" i="25"/>
  <c r="AN32" i="25"/>
  <c r="AN31" i="25"/>
  <c r="AN30" i="25"/>
  <c r="AN29" i="25"/>
  <c r="AN28" i="25"/>
  <c r="AN27" i="25"/>
  <c r="AN26" i="25"/>
  <c r="AN25" i="25"/>
  <c r="AN24" i="25"/>
  <c r="AN23" i="25"/>
  <c r="AN22" i="25"/>
  <c r="AN21" i="25"/>
  <c r="AN20" i="25"/>
  <c r="AN19" i="25"/>
  <c r="AN18" i="25"/>
  <c r="AN17" i="25"/>
  <c r="AN16" i="25"/>
  <c r="AN15" i="25"/>
  <c r="AN14" i="25"/>
  <c r="AN13" i="25"/>
  <c r="AN12" i="25"/>
  <c r="AN11" i="25"/>
  <c r="AN10" i="25"/>
  <c r="AN9" i="25"/>
  <c r="AN8" i="25"/>
  <c r="AN7" i="25"/>
  <c r="AN6" i="25"/>
  <c r="AN5" i="25"/>
  <c r="AN4" i="25"/>
  <c r="AN3" i="25"/>
  <c r="AN2" i="25"/>
  <c r="AM881" i="25"/>
  <c r="AM880" i="25"/>
  <c r="AM879" i="25"/>
  <c r="AM878" i="25"/>
  <c r="AM877" i="25"/>
  <c r="AM876" i="25"/>
  <c r="AM875" i="25"/>
  <c r="AM874" i="25"/>
  <c r="AM873" i="25"/>
  <c r="AM872" i="25"/>
  <c r="AM871" i="25"/>
  <c r="AM870" i="25"/>
  <c r="AM869" i="25"/>
  <c r="AM868" i="25"/>
  <c r="AM867" i="25"/>
  <c r="AM866" i="25"/>
  <c r="AM865" i="25"/>
  <c r="AM864" i="25"/>
  <c r="AM863" i="25"/>
  <c r="AM862" i="25"/>
  <c r="AM861" i="25"/>
  <c r="AM860" i="25"/>
  <c r="AM859" i="25"/>
  <c r="AM858" i="25"/>
  <c r="AM857" i="25"/>
  <c r="AM856" i="25"/>
  <c r="AM855" i="25"/>
  <c r="AM854" i="25"/>
  <c r="AM853" i="25"/>
  <c r="AM852" i="25"/>
  <c r="AM851" i="25"/>
  <c r="AM850" i="25"/>
  <c r="AM849" i="25"/>
  <c r="AM848" i="25"/>
  <c r="AM847" i="25"/>
  <c r="AM846" i="25"/>
  <c r="AM845" i="25"/>
  <c r="AM844" i="25"/>
  <c r="AM843" i="25"/>
  <c r="AM842" i="25"/>
  <c r="AM841" i="25"/>
  <c r="AM840" i="25"/>
  <c r="AM839" i="25"/>
  <c r="AM838" i="25"/>
  <c r="AM837" i="25"/>
  <c r="AM836" i="25"/>
  <c r="AM835" i="25"/>
  <c r="AM834" i="25"/>
  <c r="AM833" i="25"/>
  <c r="AM832" i="25"/>
  <c r="AM831" i="25"/>
  <c r="AM830" i="25"/>
  <c r="AM829" i="25"/>
  <c r="AM828" i="25"/>
  <c r="AM827" i="25"/>
  <c r="AM826" i="25"/>
  <c r="AM825" i="25"/>
  <c r="AM824" i="25"/>
  <c r="AM823" i="25"/>
  <c r="AM822" i="25"/>
  <c r="AM821" i="25"/>
  <c r="AM820" i="25"/>
  <c r="AM819" i="25"/>
  <c r="AM818" i="25"/>
  <c r="AM817" i="25"/>
  <c r="AM816" i="25"/>
  <c r="AM815" i="25"/>
  <c r="AM814" i="25"/>
  <c r="AM813" i="25"/>
  <c r="AM812" i="25"/>
  <c r="AM811" i="25"/>
  <c r="AM810" i="25"/>
  <c r="AM809" i="25"/>
  <c r="AM808" i="25"/>
  <c r="AM807" i="25"/>
  <c r="AM806" i="25"/>
  <c r="AM805" i="25"/>
  <c r="AM804" i="25"/>
  <c r="AM803" i="25"/>
  <c r="AM802" i="25"/>
  <c r="AM801" i="25"/>
  <c r="AM800" i="25"/>
  <c r="AM799" i="25"/>
  <c r="AM798" i="25"/>
  <c r="AM797" i="25"/>
  <c r="AM796" i="25"/>
  <c r="AM795" i="25"/>
  <c r="AM794" i="25"/>
  <c r="AM793" i="25"/>
  <c r="AM792" i="25"/>
  <c r="AM791" i="25"/>
  <c r="AM790" i="25"/>
  <c r="AM789" i="25"/>
  <c r="AM788" i="25"/>
  <c r="AM787" i="25"/>
  <c r="AM786" i="25"/>
  <c r="AM785" i="25"/>
  <c r="AM784" i="25"/>
  <c r="AM783" i="25"/>
  <c r="AM782" i="25"/>
  <c r="AM781" i="25"/>
  <c r="AM780" i="25"/>
  <c r="AM779" i="25"/>
  <c r="AM778" i="25"/>
  <c r="AM777" i="25"/>
  <c r="AM776" i="25"/>
  <c r="AM775" i="25"/>
  <c r="AM774" i="25"/>
  <c r="AM773" i="25"/>
  <c r="AM772" i="25"/>
  <c r="AM771" i="25"/>
  <c r="AM770" i="25"/>
  <c r="AM769" i="25"/>
  <c r="AM768" i="25"/>
  <c r="AM767" i="25"/>
  <c r="AM766" i="25"/>
  <c r="AM765" i="25"/>
  <c r="AM764" i="25"/>
  <c r="AM763" i="25"/>
  <c r="AM762" i="25"/>
  <c r="AM761" i="25"/>
  <c r="AM760" i="25"/>
  <c r="AM759" i="25"/>
  <c r="AM758" i="25"/>
  <c r="AM757" i="25"/>
  <c r="AM756" i="25"/>
  <c r="AM755" i="25"/>
  <c r="AM754" i="25"/>
  <c r="AM753" i="25"/>
  <c r="AM752" i="25"/>
  <c r="AM751" i="25"/>
  <c r="AM750" i="25"/>
  <c r="AM749" i="25"/>
  <c r="AM748" i="25"/>
  <c r="AM747" i="25"/>
  <c r="AM746" i="25"/>
  <c r="AM745" i="25"/>
  <c r="AM744" i="25"/>
  <c r="AM743" i="25"/>
  <c r="AM742" i="25"/>
  <c r="AM741" i="25"/>
  <c r="AM740" i="25"/>
  <c r="AM739" i="25"/>
  <c r="AM738" i="25"/>
  <c r="AM737" i="25"/>
  <c r="AM736" i="25"/>
  <c r="AM735" i="25"/>
  <c r="AM734" i="25"/>
  <c r="AM733" i="25"/>
  <c r="AM732" i="25"/>
  <c r="AM731" i="25"/>
  <c r="AM730" i="25"/>
  <c r="AM729" i="25"/>
  <c r="AM728" i="25"/>
  <c r="AM727" i="25"/>
  <c r="AM726" i="25"/>
  <c r="AM725" i="25"/>
  <c r="AM724" i="25"/>
  <c r="AM723" i="25"/>
  <c r="AM722" i="25"/>
  <c r="AM721" i="25"/>
  <c r="AM720" i="25"/>
  <c r="AM719" i="25"/>
  <c r="AM718" i="25"/>
  <c r="AM717" i="25"/>
  <c r="AM716" i="25"/>
  <c r="AM715" i="25"/>
  <c r="AM714" i="25"/>
  <c r="AM713" i="25"/>
  <c r="AM712" i="25"/>
  <c r="AM711" i="25"/>
  <c r="AM710" i="25"/>
  <c r="AM709" i="25"/>
  <c r="AM708" i="25"/>
  <c r="AM707" i="25"/>
  <c r="AM706" i="25"/>
  <c r="AM705" i="25"/>
  <c r="AM704" i="25"/>
  <c r="AM703" i="25"/>
  <c r="AM702" i="25"/>
  <c r="AM701" i="25"/>
  <c r="AM700" i="25"/>
  <c r="AM699" i="25"/>
  <c r="AM698" i="25"/>
  <c r="AM697" i="25"/>
  <c r="AM696" i="25"/>
  <c r="AM695" i="25"/>
  <c r="AM694" i="25"/>
  <c r="AM693" i="25"/>
  <c r="AM692" i="25"/>
  <c r="AM691" i="25"/>
  <c r="AM690" i="25"/>
  <c r="AM689" i="25"/>
  <c r="AM688" i="25"/>
  <c r="AM687" i="25"/>
  <c r="AM686" i="25"/>
  <c r="AM685" i="25"/>
  <c r="AM684" i="25"/>
  <c r="AM683" i="25"/>
  <c r="AM682" i="25"/>
  <c r="AM681" i="25"/>
  <c r="AM680" i="25"/>
  <c r="AM679" i="25"/>
  <c r="AM678" i="25"/>
  <c r="AM677" i="25"/>
  <c r="AM676" i="25"/>
  <c r="AM675" i="25"/>
  <c r="AM674" i="25"/>
  <c r="AM673" i="25"/>
  <c r="AM672" i="25"/>
  <c r="AM671" i="25"/>
  <c r="AM670" i="25"/>
  <c r="AM669" i="25"/>
  <c r="AM668" i="25"/>
  <c r="AM667" i="25"/>
  <c r="AM666" i="25"/>
  <c r="AM665" i="25"/>
  <c r="AM664" i="25"/>
  <c r="AM663" i="25"/>
  <c r="AM662" i="25"/>
  <c r="AM661" i="25"/>
  <c r="AM660" i="25"/>
  <c r="AM659" i="25"/>
  <c r="AM658" i="25"/>
  <c r="AM657" i="25"/>
  <c r="AM656" i="25"/>
  <c r="AM655" i="25"/>
  <c r="AM654" i="25"/>
  <c r="AM653" i="25"/>
  <c r="AM652" i="25"/>
  <c r="AM651" i="25"/>
  <c r="AM650" i="25"/>
  <c r="AM649" i="25"/>
  <c r="AM648" i="25"/>
  <c r="AM647" i="25"/>
  <c r="AM646" i="25"/>
  <c r="AM645" i="25"/>
  <c r="AM644" i="25"/>
  <c r="AM643" i="25"/>
  <c r="AM642" i="25"/>
  <c r="AM641" i="25"/>
  <c r="AM640" i="25"/>
  <c r="AM639" i="25"/>
  <c r="AM638" i="25"/>
  <c r="AM637" i="25"/>
  <c r="AM636" i="25"/>
  <c r="AM635" i="25"/>
  <c r="AM634" i="25"/>
  <c r="AM633" i="25"/>
  <c r="AM632" i="25"/>
  <c r="AM631" i="25"/>
  <c r="AM630" i="25"/>
  <c r="AM629" i="25"/>
  <c r="AM628" i="25"/>
  <c r="AM627" i="25"/>
  <c r="AM626" i="25"/>
  <c r="AM625" i="25"/>
  <c r="AM624" i="25"/>
  <c r="AM623" i="25"/>
  <c r="AM622" i="25"/>
  <c r="AM621" i="25"/>
  <c r="AM620" i="25"/>
  <c r="AM619" i="25"/>
  <c r="AM618" i="25"/>
  <c r="AM617" i="25"/>
  <c r="AM616" i="25"/>
  <c r="AM615" i="25"/>
  <c r="AM614" i="25"/>
  <c r="AM613" i="25"/>
  <c r="AM612" i="25"/>
  <c r="AM611" i="25"/>
  <c r="AM610" i="25"/>
  <c r="AM609" i="25"/>
  <c r="AM608" i="25"/>
  <c r="AM607" i="25"/>
  <c r="AM606" i="25"/>
  <c r="AM605" i="25"/>
  <c r="AM604" i="25"/>
  <c r="AM603" i="25"/>
  <c r="AM602" i="25"/>
  <c r="AM601" i="25"/>
  <c r="AM600" i="25"/>
  <c r="AM599" i="25"/>
  <c r="AM598" i="25"/>
  <c r="AM597" i="25"/>
  <c r="AM596" i="25"/>
  <c r="AM595" i="25"/>
  <c r="AM594" i="25"/>
  <c r="AM593" i="25"/>
  <c r="AM592" i="25"/>
  <c r="AM591" i="25"/>
  <c r="AM590" i="25"/>
  <c r="AM589" i="25"/>
  <c r="AM588" i="25"/>
  <c r="AM587" i="25"/>
  <c r="AM586" i="25"/>
  <c r="AM585" i="25"/>
  <c r="AM584" i="25"/>
  <c r="AM583" i="25"/>
  <c r="AM582" i="25"/>
  <c r="AM581" i="25"/>
  <c r="AM580" i="25"/>
  <c r="AM579" i="25"/>
  <c r="AM578" i="25"/>
  <c r="AM577" i="25"/>
  <c r="AM576" i="25"/>
  <c r="AM575" i="25"/>
  <c r="AM574" i="25"/>
  <c r="AM573" i="25"/>
  <c r="AM572" i="25"/>
  <c r="AM571" i="25"/>
  <c r="AM570" i="25"/>
  <c r="AM569" i="25"/>
  <c r="AM568" i="25"/>
  <c r="AM567" i="25"/>
  <c r="AM566" i="25"/>
  <c r="AM565" i="25"/>
  <c r="AM564" i="25"/>
  <c r="AM563" i="25"/>
  <c r="AM562" i="25"/>
  <c r="AM561" i="25"/>
  <c r="AM560" i="25"/>
  <c r="AM559" i="25"/>
  <c r="AM558" i="25"/>
  <c r="AM557" i="25"/>
  <c r="AM556" i="25"/>
  <c r="AM555" i="25"/>
  <c r="AM554" i="25"/>
  <c r="AM553" i="25"/>
  <c r="AM552" i="25"/>
  <c r="AM551" i="25"/>
  <c r="AM550" i="25"/>
  <c r="AM549" i="25"/>
  <c r="AM548" i="25"/>
  <c r="AM547" i="25"/>
  <c r="AM546" i="25"/>
  <c r="AM545" i="25"/>
  <c r="AM544" i="25"/>
  <c r="AM543" i="25"/>
  <c r="AM542" i="25"/>
  <c r="AM541" i="25"/>
  <c r="AM540" i="25"/>
  <c r="AM539" i="25"/>
  <c r="AM538" i="25"/>
  <c r="AM537" i="25"/>
  <c r="AM536" i="25"/>
  <c r="AM535" i="25"/>
  <c r="AM534" i="25"/>
  <c r="AM533" i="25"/>
  <c r="AM532" i="25"/>
  <c r="AM531" i="25"/>
  <c r="AM530" i="25"/>
  <c r="AM529" i="25"/>
  <c r="AM528" i="25"/>
  <c r="AM527" i="25"/>
  <c r="AM526" i="25"/>
  <c r="AM525" i="25"/>
  <c r="AM524" i="25"/>
  <c r="AM523" i="25"/>
  <c r="AM522" i="25"/>
  <c r="AM521" i="25"/>
  <c r="AM520" i="25"/>
  <c r="AM519" i="25"/>
  <c r="AM518" i="25"/>
  <c r="AM517" i="25"/>
  <c r="AM516" i="25"/>
  <c r="AM515" i="25"/>
  <c r="AM514" i="25"/>
  <c r="AM513" i="25"/>
  <c r="AM512" i="25"/>
  <c r="AM511" i="25"/>
  <c r="AM510" i="25"/>
  <c r="AM509" i="25"/>
  <c r="AM508" i="25"/>
  <c r="AM507" i="25"/>
  <c r="AM506" i="25"/>
  <c r="AM505" i="25"/>
  <c r="AM504" i="25"/>
  <c r="AM503" i="25"/>
  <c r="AM502" i="25"/>
  <c r="AM501" i="25"/>
  <c r="AM500" i="25"/>
  <c r="AM499" i="25"/>
  <c r="AM498" i="25"/>
  <c r="AM497" i="25"/>
  <c r="AM496" i="25"/>
  <c r="AM495" i="25"/>
  <c r="AM494" i="25"/>
  <c r="AM493" i="25"/>
  <c r="AM492" i="25"/>
  <c r="AM491" i="25"/>
  <c r="AM490" i="25"/>
  <c r="AM489" i="25"/>
  <c r="AM488" i="25"/>
  <c r="AM487" i="25"/>
  <c r="AM486" i="25"/>
  <c r="AM485" i="25"/>
  <c r="AM484" i="25"/>
  <c r="AM483" i="25"/>
  <c r="AM482" i="25"/>
  <c r="AM481" i="25"/>
  <c r="AM480" i="25"/>
  <c r="AM479" i="25"/>
  <c r="AM478" i="25"/>
  <c r="AM477" i="25"/>
  <c r="AM476" i="25"/>
  <c r="AM475" i="25"/>
  <c r="AM474" i="25"/>
  <c r="AM473" i="25"/>
  <c r="AM472" i="25"/>
  <c r="AM471" i="25"/>
  <c r="AM470" i="25"/>
  <c r="AM469" i="25"/>
  <c r="AM468" i="25"/>
  <c r="AM467" i="25"/>
  <c r="AM466" i="25"/>
  <c r="AM465" i="25"/>
  <c r="AM464" i="25"/>
  <c r="AM463" i="25"/>
  <c r="AM462" i="25"/>
  <c r="AM461" i="25"/>
  <c r="AM460" i="25"/>
  <c r="AM459" i="25"/>
  <c r="AM458" i="25"/>
  <c r="AM457" i="25"/>
  <c r="AM456" i="25"/>
  <c r="AM455" i="25"/>
  <c r="AM454" i="25"/>
  <c r="AM453" i="25"/>
  <c r="AM452" i="25"/>
  <c r="AM451" i="25"/>
  <c r="AM450" i="25"/>
  <c r="AM449" i="25"/>
  <c r="AM448" i="25"/>
  <c r="AM447" i="25"/>
  <c r="AM446" i="25"/>
  <c r="AM445" i="25"/>
  <c r="AM444" i="25"/>
  <c r="AM443" i="25"/>
  <c r="AM442" i="25"/>
  <c r="AM441" i="25"/>
  <c r="AM440" i="25"/>
  <c r="AM439" i="25"/>
  <c r="AM438" i="25"/>
  <c r="AM437" i="25"/>
  <c r="AM436" i="25"/>
  <c r="AM435" i="25"/>
  <c r="AM434" i="25"/>
  <c r="AM433" i="25"/>
  <c r="AM432" i="25"/>
  <c r="AM431" i="25"/>
  <c r="AM430" i="25"/>
  <c r="AM429" i="25"/>
  <c r="AM428" i="25"/>
  <c r="AM427" i="25"/>
  <c r="AM426" i="25"/>
  <c r="AM425" i="25"/>
  <c r="AM424" i="25"/>
  <c r="AM423" i="25"/>
  <c r="AM422" i="25"/>
  <c r="AM421" i="25"/>
  <c r="AM420" i="25"/>
  <c r="AM419" i="25"/>
  <c r="AM418" i="25"/>
  <c r="AM417" i="25"/>
  <c r="AM416" i="25"/>
  <c r="AM415" i="25"/>
  <c r="AM414" i="25"/>
  <c r="AM413" i="25"/>
  <c r="AM412" i="25"/>
  <c r="AM411" i="25"/>
  <c r="AM410" i="25"/>
  <c r="AM409" i="25"/>
  <c r="AM408" i="25"/>
  <c r="AM407" i="25"/>
  <c r="AM406" i="25"/>
  <c r="AM405" i="25"/>
  <c r="AM404" i="25"/>
  <c r="AM403" i="25"/>
  <c r="AM402" i="25"/>
  <c r="AM401" i="25"/>
  <c r="AM400" i="25"/>
  <c r="AM399" i="25"/>
  <c r="AM398" i="25"/>
  <c r="AM397" i="25"/>
  <c r="AM396" i="25"/>
  <c r="AM395" i="25"/>
  <c r="AM394" i="25"/>
  <c r="AM393" i="25"/>
  <c r="AM392" i="25"/>
  <c r="AM391" i="25"/>
  <c r="AM390" i="25"/>
  <c r="AM389" i="25"/>
  <c r="AM388" i="25"/>
  <c r="AM387" i="25"/>
  <c r="AM386" i="25"/>
  <c r="AM385" i="25"/>
  <c r="AM384" i="25"/>
  <c r="AM383" i="25"/>
  <c r="AM382" i="25"/>
  <c r="AM381" i="25"/>
  <c r="AM380" i="25"/>
  <c r="AM379" i="25"/>
  <c r="AM378" i="25"/>
  <c r="AM377" i="25"/>
  <c r="AM376" i="25"/>
  <c r="AM375" i="25"/>
  <c r="AM374" i="25"/>
  <c r="AM373" i="25"/>
  <c r="AM372" i="25"/>
  <c r="AM371" i="25"/>
  <c r="AM370" i="25"/>
  <c r="AM369" i="25"/>
  <c r="AM368" i="25"/>
  <c r="AM367" i="25"/>
  <c r="AM366" i="25"/>
  <c r="AM365" i="25"/>
  <c r="AM364" i="25"/>
  <c r="AM363" i="25"/>
  <c r="AM362" i="25"/>
  <c r="AM361" i="25"/>
  <c r="AM360" i="25"/>
  <c r="AM359" i="25"/>
  <c r="AM358" i="25"/>
  <c r="AM357" i="25"/>
  <c r="AM356" i="25"/>
  <c r="AM355" i="25"/>
  <c r="AM354" i="25"/>
  <c r="AM353" i="25"/>
  <c r="AM352" i="25"/>
  <c r="AM351" i="25"/>
  <c r="AM350" i="25"/>
  <c r="AM349" i="25"/>
  <c r="AM348" i="25"/>
  <c r="AM347" i="25"/>
  <c r="AM346" i="25"/>
  <c r="AM345" i="25"/>
  <c r="AM344" i="25"/>
  <c r="AM343" i="25"/>
  <c r="AM342" i="25"/>
  <c r="AM341" i="25"/>
  <c r="AM340" i="25"/>
  <c r="AM339" i="25"/>
  <c r="AM338" i="25"/>
  <c r="AM337" i="25"/>
  <c r="AM336" i="25"/>
  <c r="AM335" i="25"/>
  <c r="AM334" i="25"/>
  <c r="AM333" i="25"/>
  <c r="AM332" i="25"/>
  <c r="AM331" i="25"/>
  <c r="AM330" i="25"/>
  <c r="AM329" i="25"/>
  <c r="AM328" i="25"/>
  <c r="AM327" i="25"/>
  <c r="AM326" i="25"/>
  <c r="AM325" i="25"/>
  <c r="AM324" i="25"/>
  <c r="AM323" i="25"/>
  <c r="AM322" i="25"/>
  <c r="AM321" i="25"/>
  <c r="AM320" i="25"/>
  <c r="AM319" i="25"/>
  <c r="AM318" i="25"/>
  <c r="AM317" i="25"/>
  <c r="AM316" i="25"/>
  <c r="AM315" i="25"/>
  <c r="AM314" i="25"/>
  <c r="AM313" i="25"/>
  <c r="AM312" i="25"/>
  <c r="AM311" i="25"/>
  <c r="AM310" i="25"/>
  <c r="AM309" i="25"/>
  <c r="AM308" i="25"/>
  <c r="AM307" i="25"/>
  <c r="AM306" i="25"/>
  <c r="AM305" i="25"/>
  <c r="AM304" i="25"/>
  <c r="AM303" i="25"/>
  <c r="AM302" i="25"/>
  <c r="AM301" i="25"/>
  <c r="AM300" i="25"/>
  <c r="AM299" i="25"/>
  <c r="AM298" i="25"/>
  <c r="AM297" i="25"/>
  <c r="AM296" i="25"/>
  <c r="AM295" i="25"/>
  <c r="AM294" i="25"/>
  <c r="AM293" i="25"/>
  <c r="AM292" i="25"/>
  <c r="AM291" i="25"/>
  <c r="AM290" i="25"/>
  <c r="AM289" i="25"/>
  <c r="AM288" i="25"/>
  <c r="AM287" i="25"/>
  <c r="AM286" i="25"/>
  <c r="AM285" i="25"/>
  <c r="AM284" i="25"/>
  <c r="AM283" i="25"/>
  <c r="AM282" i="25"/>
  <c r="AM281" i="25"/>
  <c r="AM280" i="25"/>
  <c r="AM279" i="25"/>
  <c r="AM278" i="25"/>
  <c r="AM277" i="25"/>
  <c r="AM276" i="25"/>
  <c r="AM275" i="25"/>
  <c r="AM274" i="25"/>
  <c r="AM273" i="25"/>
  <c r="AM272" i="25"/>
  <c r="AM271" i="25"/>
  <c r="AM270" i="25"/>
  <c r="AM269" i="25"/>
  <c r="AM268" i="25"/>
  <c r="AM267" i="25"/>
  <c r="AM266" i="25"/>
  <c r="AM265" i="25"/>
  <c r="AM264" i="25"/>
  <c r="AM263" i="25"/>
  <c r="AM262" i="25"/>
  <c r="AM261" i="25"/>
  <c r="AM260" i="25"/>
  <c r="AM259" i="25"/>
  <c r="AM258" i="25"/>
  <c r="AM257" i="25"/>
  <c r="AM256" i="25"/>
  <c r="AM255" i="25"/>
  <c r="AM254" i="25"/>
  <c r="AM253" i="25"/>
  <c r="AM252" i="25"/>
  <c r="AM251" i="25"/>
  <c r="AM250" i="25"/>
  <c r="AM249" i="25"/>
  <c r="AM248" i="25"/>
  <c r="AM247" i="25"/>
  <c r="AM246" i="25"/>
  <c r="AM245" i="25"/>
  <c r="AM244" i="25"/>
  <c r="AM243" i="25"/>
  <c r="AM242" i="25"/>
  <c r="AM241" i="25"/>
  <c r="AM240" i="25"/>
  <c r="AM239" i="25"/>
  <c r="AM238" i="25"/>
  <c r="AM237" i="25"/>
  <c r="AM236" i="25"/>
  <c r="AM235" i="25"/>
  <c r="AM234" i="25"/>
  <c r="AM233" i="25"/>
  <c r="AM232" i="25"/>
  <c r="AM231" i="25"/>
  <c r="AM230" i="25"/>
  <c r="AM229" i="25"/>
  <c r="AM228" i="25"/>
  <c r="AM227" i="25"/>
  <c r="AM226" i="25"/>
  <c r="AM225" i="25"/>
  <c r="AM224" i="25"/>
  <c r="AM223" i="25"/>
  <c r="AM222" i="25"/>
  <c r="AM221" i="25"/>
  <c r="AM220" i="25"/>
  <c r="AM219" i="25"/>
  <c r="AM218" i="25"/>
  <c r="AM217" i="25"/>
  <c r="AM216" i="25"/>
  <c r="AM215" i="25"/>
  <c r="AM214" i="25"/>
  <c r="AM213" i="25"/>
  <c r="AM212" i="25"/>
  <c r="AM211" i="25"/>
  <c r="AM210" i="25"/>
  <c r="AM209" i="25"/>
  <c r="AM208" i="25"/>
  <c r="AM207" i="25"/>
  <c r="AM206" i="25"/>
  <c r="AM205" i="25"/>
  <c r="AM204" i="25"/>
  <c r="AM203" i="25"/>
  <c r="AM202" i="25"/>
  <c r="AM201" i="25"/>
  <c r="AM200" i="25"/>
  <c r="AM199" i="25"/>
  <c r="AM198" i="25"/>
  <c r="AM197" i="25"/>
  <c r="AM196" i="25"/>
  <c r="AM195" i="25"/>
  <c r="AM194" i="25"/>
  <c r="AM193" i="25"/>
  <c r="AM192" i="25"/>
  <c r="AM191" i="25"/>
  <c r="AM190" i="25"/>
  <c r="AM189" i="25"/>
  <c r="AM188" i="25"/>
  <c r="AM187" i="25"/>
  <c r="AM186" i="25"/>
  <c r="AM185" i="25"/>
  <c r="AM184" i="25"/>
  <c r="AM183" i="25"/>
  <c r="AM182" i="25"/>
  <c r="AM181" i="25"/>
  <c r="AM180" i="25"/>
  <c r="AM179" i="25"/>
  <c r="AM178" i="25"/>
  <c r="AM177" i="25"/>
  <c r="AM176" i="25"/>
  <c r="AM175" i="25"/>
  <c r="AM174" i="25"/>
  <c r="AM173" i="25"/>
  <c r="AM172" i="25"/>
  <c r="AM171" i="25"/>
  <c r="AM170" i="25"/>
  <c r="AM169" i="25"/>
  <c r="AM168" i="25"/>
  <c r="AM167" i="25"/>
  <c r="AM166" i="25"/>
  <c r="AM165" i="25"/>
  <c r="AM164" i="25"/>
  <c r="AM163" i="25"/>
  <c r="AM162" i="25"/>
  <c r="AM161" i="25"/>
  <c r="AM160" i="25"/>
  <c r="AM159" i="25"/>
  <c r="AM158" i="25"/>
  <c r="AM157" i="25"/>
  <c r="AM156" i="25"/>
  <c r="AM155" i="25"/>
  <c r="AM154" i="25"/>
  <c r="AM153" i="25"/>
  <c r="AM152" i="25"/>
  <c r="AM151" i="25"/>
  <c r="AM150" i="25"/>
  <c r="AM149" i="25"/>
  <c r="AM148" i="25"/>
  <c r="AM147" i="25"/>
  <c r="AM146" i="25"/>
  <c r="AM145" i="25"/>
  <c r="AM144" i="25"/>
  <c r="AM143" i="25"/>
  <c r="AM142" i="25"/>
  <c r="AM141" i="25"/>
  <c r="AM140" i="25"/>
  <c r="AM139" i="25"/>
  <c r="AM138" i="25"/>
  <c r="AM137" i="25"/>
  <c r="AM136" i="25"/>
  <c r="AM135" i="25"/>
  <c r="AM134" i="25"/>
  <c r="AM133" i="25"/>
  <c r="AM132" i="25"/>
  <c r="AM131" i="25"/>
  <c r="AM130" i="25"/>
  <c r="AM129" i="25"/>
  <c r="AM128" i="25"/>
  <c r="AM127" i="25"/>
  <c r="AM126" i="25"/>
  <c r="AM125" i="25"/>
  <c r="AM124" i="25"/>
  <c r="AM123" i="25"/>
  <c r="AM122" i="25"/>
  <c r="AM121" i="25"/>
  <c r="AM120" i="25"/>
  <c r="AM119" i="25"/>
  <c r="AM118" i="25"/>
  <c r="AM117" i="25"/>
  <c r="AM116" i="25"/>
  <c r="AM115" i="25"/>
  <c r="AM114" i="25"/>
  <c r="AM113" i="25"/>
  <c r="AM112" i="25"/>
  <c r="AM111" i="25"/>
  <c r="AM110" i="25"/>
  <c r="AM109" i="25"/>
  <c r="AM108" i="25"/>
  <c r="AM107" i="25"/>
  <c r="AM106" i="25"/>
  <c r="AM105" i="25"/>
  <c r="AM104" i="25"/>
  <c r="AM103" i="25"/>
  <c r="AM102" i="25"/>
  <c r="AM101" i="25"/>
  <c r="AM100" i="25"/>
  <c r="AM99" i="25"/>
  <c r="AM98" i="25"/>
  <c r="AM97" i="25"/>
  <c r="AM96" i="25"/>
  <c r="AM95" i="25"/>
  <c r="AM94" i="25"/>
  <c r="AM93" i="25"/>
  <c r="AM92" i="25"/>
  <c r="AM91" i="25"/>
  <c r="AM90" i="25"/>
  <c r="AM89" i="25"/>
  <c r="AM88" i="25"/>
  <c r="AM87" i="25"/>
  <c r="AM86" i="25"/>
  <c r="AM85" i="25"/>
  <c r="AM84" i="25"/>
  <c r="AM83" i="25"/>
  <c r="AM82" i="25"/>
  <c r="AM81" i="25"/>
  <c r="AM80" i="25"/>
  <c r="AM79" i="25"/>
  <c r="AM78" i="25"/>
  <c r="AM77" i="25"/>
  <c r="AM76" i="25"/>
  <c r="AM75" i="25"/>
  <c r="AM74" i="25"/>
  <c r="AM73" i="25"/>
  <c r="AM72" i="25"/>
  <c r="AM71" i="25"/>
  <c r="AM70" i="25"/>
  <c r="AM69" i="25"/>
  <c r="AM68" i="25"/>
  <c r="AM67" i="25"/>
  <c r="AM66" i="25"/>
  <c r="AM65" i="25"/>
  <c r="AM64" i="25"/>
  <c r="AM63" i="25"/>
  <c r="AM62" i="25"/>
  <c r="AM61" i="25"/>
  <c r="AM60" i="25"/>
  <c r="AM59" i="25"/>
  <c r="AM58" i="25"/>
  <c r="AM57" i="25"/>
  <c r="AM56" i="25"/>
  <c r="AM55" i="25"/>
  <c r="AM54" i="25"/>
  <c r="AM53" i="25"/>
  <c r="AM52" i="25"/>
  <c r="AM51" i="25"/>
  <c r="AM50" i="25"/>
  <c r="AM49" i="25"/>
  <c r="AM48" i="25"/>
  <c r="AM47" i="25"/>
  <c r="AM46" i="25"/>
  <c r="AM45" i="25"/>
  <c r="AM44" i="25"/>
  <c r="AM43" i="25"/>
  <c r="AM42" i="25"/>
  <c r="AM41" i="25"/>
  <c r="AM40" i="25"/>
  <c r="AM39" i="25"/>
  <c r="AM38" i="25"/>
  <c r="AM37" i="25"/>
  <c r="AM36" i="25"/>
  <c r="AM35" i="25"/>
  <c r="AM34" i="25"/>
  <c r="AM33" i="25"/>
  <c r="AM32" i="25"/>
  <c r="AM31" i="25"/>
  <c r="AM30" i="25"/>
  <c r="AM29" i="25"/>
  <c r="AM28" i="25"/>
  <c r="AM27" i="25"/>
  <c r="AM26" i="25"/>
  <c r="AM25" i="25"/>
  <c r="AM24" i="25"/>
  <c r="AM23" i="25"/>
  <c r="AM22" i="25"/>
  <c r="AM21" i="25"/>
  <c r="AM20" i="25"/>
  <c r="AM19" i="25"/>
  <c r="AM18" i="25"/>
  <c r="AM17" i="25"/>
  <c r="AM16" i="25"/>
  <c r="AM15" i="25"/>
  <c r="AM14" i="25"/>
  <c r="AM13" i="25"/>
  <c r="AM12" i="25"/>
  <c r="AM11" i="25"/>
  <c r="AM10" i="25"/>
  <c r="AM9" i="25"/>
  <c r="AM8" i="25"/>
  <c r="AM7" i="25"/>
  <c r="AM6" i="25"/>
  <c r="AM5" i="25"/>
  <c r="AM4" i="25"/>
  <c r="AM3" i="25"/>
  <c r="AM2" i="25"/>
  <c r="AL881" i="25"/>
  <c r="AL880" i="25"/>
  <c r="AL879" i="25"/>
  <c r="AL878" i="25"/>
  <c r="AL877" i="25"/>
  <c r="AL876" i="25"/>
  <c r="AL875" i="25"/>
  <c r="AL874" i="25"/>
  <c r="AL873" i="25"/>
  <c r="AL872" i="25"/>
  <c r="AL871" i="25"/>
  <c r="AL870" i="25"/>
  <c r="AL869" i="25"/>
  <c r="AL868" i="25"/>
  <c r="AL867" i="25"/>
  <c r="AL866" i="25"/>
  <c r="AL865" i="25"/>
  <c r="AL864" i="25"/>
  <c r="AL863" i="25"/>
  <c r="AL862" i="25"/>
  <c r="AL861" i="25"/>
  <c r="AL860" i="25"/>
  <c r="AL859" i="25"/>
  <c r="AL858" i="25"/>
  <c r="AL857" i="25"/>
  <c r="AL856" i="25"/>
  <c r="AL855" i="25"/>
  <c r="AL854" i="25"/>
  <c r="AL853" i="25"/>
  <c r="AL852" i="25"/>
  <c r="AL851" i="25"/>
  <c r="AL850" i="25"/>
  <c r="AL849" i="25"/>
  <c r="AL848" i="25"/>
  <c r="AL847" i="25"/>
  <c r="AL846" i="25"/>
  <c r="AL845" i="25"/>
  <c r="AL844" i="25"/>
  <c r="AL843" i="25"/>
  <c r="AL842" i="25"/>
  <c r="AL841" i="25"/>
  <c r="AL840" i="25"/>
  <c r="AL839" i="25"/>
  <c r="AL838" i="25"/>
  <c r="AL837" i="25"/>
  <c r="AL836" i="25"/>
  <c r="AL835" i="25"/>
  <c r="AL834" i="25"/>
  <c r="AL833" i="25"/>
  <c r="AL832" i="25"/>
  <c r="AL831" i="25"/>
  <c r="AL830" i="25"/>
  <c r="AL829" i="25"/>
  <c r="AL828" i="25"/>
  <c r="AL827" i="25"/>
  <c r="AL826" i="25"/>
  <c r="AL825" i="25"/>
  <c r="AL824" i="25"/>
  <c r="AL823" i="25"/>
  <c r="AL822" i="25"/>
  <c r="AL821" i="25"/>
  <c r="AL820" i="25"/>
  <c r="AL819" i="25"/>
  <c r="AL818" i="25"/>
  <c r="AL817" i="25"/>
  <c r="AL816" i="25"/>
  <c r="AL815" i="25"/>
  <c r="AL814" i="25"/>
  <c r="AL813" i="25"/>
  <c r="AL812" i="25"/>
  <c r="AL811" i="25"/>
  <c r="AL810" i="25"/>
  <c r="AL809" i="25"/>
  <c r="AL808" i="25"/>
  <c r="AL807" i="25"/>
  <c r="AL806" i="25"/>
  <c r="AL805" i="25"/>
  <c r="AL804" i="25"/>
  <c r="AL803" i="25"/>
  <c r="AL802" i="25"/>
  <c r="AL801" i="25"/>
  <c r="AL800" i="25"/>
  <c r="AL799" i="25"/>
  <c r="AL798" i="25"/>
  <c r="AL797" i="25"/>
  <c r="AL796" i="25"/>
  <c r="AL795" i="25"/>
  <c r="AL794" i="25"/>
  <c r="AL793" i="25"/>
  <c r="AL792" i="25"/>
  <c r="AL791" i="25"/>
  <c r="AL790" i="25"/>
  <c r="AL789" i="25"/>
  <c r="AL788" i="25"/>
  <c r="AL787" i="25"/>
  <c r="AL786" i="25"/>
  <c r="AL785" i="25"/>
  <c r="AL784" i="25"/>
  <c r="AL783" i="25"/>
  <c r="AL782" i="25"/>
  <c r="AL781" i="25"/>
  <c r="AL780" i="25"/>
  <c r="AL779" i="25"/>
  <c r="AL778" i="25"/>
  <c r="AL777" i="25"/>
  <c r="AL776" i="25"/>
  <c r="AL775" i="25"/>
  <c r="AL774" i="25"/>
  <c r="AL773" i="25"/>
  <c r="AL772" i="25"/>
  <c r="AL771" i="25"/>
  <c r="AL770" i="25"/>
  <c r="AL769" i="25"/>
  <c r="AL768" i="25"/>
  <c r="AL767" i="25"/>
  <c r="AL766" i="25"/>
  <c r="AL765" i="25"/>
  <c r="AL764" i="25"/>
  <c r="AL763" i="25"/>
  <c r="AL762" i="25"/>
  <c r="AL761" i="25"/>
  <c r="AL760" i="25"/>
  <c r="AL759" i="25"/>
  <c r="AL758" i="25"/>
  <c r="AL757" i="25"/>
  <c r="AL756" i="25"/>
  <c r="AL755" i="25"/>
  <c r="AL754" i="25"/>
  <c r="AL753" i="25"/>
  <c r="AL752" i="25"/>
  <c r="AL751" i="25"/>
  <c r="AL750" i="25"/>
  <c r="AL749" i="25"/>
  <c r="AL748" i="25"/>
  <c r="AL747" i="25"/>
  <c r="AL746" i="25"/>
  <c r="AL745" i="25"/>
  <c r="AL744" i="25"/>
  <c r="AL743" i="25"/>
  <c r="AL742" i="25"/>
  <c r="AL741" i="25"/>
  <c r="AL740" i="25"/>
  <c r="AL739" i="25"/>
  <c r="AL738" i="25"/>
  <c r="AL737" i="25"/>
  <c r="AL736" i="25"/>
  <c r="AL735" i="25"/>
  <c r="AL734" i="25"/>
  <c r="AL733" i="25"/>
  <c r="AL732" i="25"/>
  <c r="AL731" i="25"/>
  <c r="AL730" i="25"/>
  <c r="AL729" i="25"/>
  <c r="AL728" i="25"/>
  <c r="AL727" i="25"/>
  <c r="AL726" i="25"/>
  <c r="AL725" i="25"/>
  <c r="AL724" i="25"/>
  <c r="AL723" i="25"/>
  <c r="AL722" i="25"/>
  <c r="AL721" i="25"/>
  <c r="AL720" i="25"/>
  <c r="AL719" i="25"/>
  <c r="AL718" i="25"/>
  <c r="AL717" i="25"/>
  <c r="AL716" i="25"/>
  <c r="AL715" i="25"/>
  <c r="AL714" i="25"/>
  <c r="AL713" i="25"/>
  <c r="AL712" i="25"/>
  <c r="AL711" i="25"/>
  <c r="AL710" i="25"/>
  <c r="AL709" i="25"/>
  <c r="AL708" i="25"/>
  <c r="AL707" i="25"/>
  <c r="AL706" i="25"/>
  <c r="AL705" i="25"/>
  <c r="AL704" i="25"/>
  <c r="AL703" i="25"/>
  <c r="AL702" i="25"/>
  <c r="AL701" i="25"/>
  <c r="AL700" i="25"/>
  <c r="AL699" i="25"/>
  <c r="AL698" i="25"/>
  <c r="AL697" i="25"/>
  <c r="AL696" i="25"/>
  <c r="AL695" i="25"/>
  <c r="AL694" i="25"/>
  <c r="AL693" i="25"/>
  <c r="AL692" i="25"/>
  <c r="AL691" i="25"/>
  <c r="AL690" i="25"/>
  <c r="AL689" i="25"/>
  <c r="AL688" i="25"/>
  <c r="AL687" i="25"/>
  <c r="AL686" i="25"/>
  <c r="AL685" i="25"/>
  <c r="AL684" i="25"/>
  <c r="AL683" i="25"/>
  <c r="AL682" i="25"/>
  <c r="AL681" i="25"/>
  <c r="AL680" i="25"/>
  <c r="AL679" i="25"/>
  <c r="AL678" i="25"/>
  <c r="AL677" i="25"/>
  <c r="AL676" i="25"/>
  <c r="AL675" i="25"/>
  <c r="AL674" i="25"/>
  <c r="AL673" i="25"/>
  <c r="AL672" i="25"/>
  <c r="AL671" i="25"/>
  <c r="AL670" i="25"/>
  <c r="AL669" i="25"/>
  <c r="AL668" i="25"/>
  <c r="AL667" i="25"/>
  <c r="AL666" i="25"/>
  <c r="AL665" i="25"/>
  <c r="AL664" i="25"/>
  <c r="AL663" i="25"/>
  <c r="AL662" i="25"/>
  <c r="AL661" i="25"/>
  <c r="AL660" i="25"/>
  <c r="AL659" i="25"/>
  <c r="AL658" i="25"/>
  <c r="AL657" i="25"/>
  <c r="AL656" i="25"/>
  <c r="AL655" i="25"/>
  <c r="AL654" i="25"/>
  <c r="AL653" i="25"/>
  <c r="AL652" i="25"/>
  <c r="AL651" i="25"/>
  <c r="AL650" i="25"/>
  <c r="AL649" i="25"/>
  <c r="AL648" i="25"/>
  <c r="AL647" i="25"/>
  <c r="AL646" i="25"/>
  <c r="AL645" i="25"/>
  <c r="AL644" i="25"/>
  <c r="AL643" i="25"/>
  <c r="AL642" i="25"/>
  <c r="AL641" i="25"/>
  <c r="AL640" i="25"/>
  <c r="AL639" i="25"/>
  <c r="AL638" i="25"/>
  <c r="AL637" i="25"/>
  <c r="AL636" i="25"/>
  <c r="AL635" i="25"/>
  <c r="AL634" i="25"/>
  <c r="AL633" i="25"/>
  <c r="AL632" i="25"/>
  <c r="AL631" i="25"/>
  <c r="AL630" i="25"/>
  <c r="AL629" i="25"/>
  <c r="AL628" i="25"/>
  <c r="AL627" i="25"/>
  <c r="AL626" i="25"/>
  <c r="AL625" i="25"/>
  <c r="AL624" i="25"/>
  <c r="AL623" i="25"/>
  <c r="AL622" i="25"/>
  <c r="AL621" i="25"/>
  <c r="AL620" i="25"/>
  <c r="AL619" i="25"/>
  <c r="AL618" i="25"/>
  <c r="AL617" i="25"/>
  <c r="AL616" i="25"/>
  <c r="AL615" i="25"/>
  <c r="AL614" i="25"/>
  <c r="AL613" i="25"/>
  <c r="AL612" i="25"/>
  <c r="AL611" i="25"/>
  <c r="AL610" i="25"/>
  <c r="AL609" i="25"/>
  <c r="AL608" i="25"/>
  <c r="AL607" i="25"/>
  <c r="AL606" i="25"/>
  <c r="AL605" i="25"/>
  <c r="AL604" i="25"/>
  <c r="AL603" i="25"/>
  <c r="AL602" i="25"/>
  <c r="AL601" i="25"/>
  <c r="AL600" i="25"/>
  <c r="AL599" i="25"/>
  <c r="AL598" i="25"/>
  <c r="AL597" i="25"/>
  <c r="AL596" i="25"/>
  <c r="AL595" i="25"/>
  <c r="AL594" i="25"/>
  <c r="AL593" i="25"/>
  <c r="AL592" i="25"/>
  <c r="AL591" i="25"/>
  <c r="AL590" i="25"/>
  <c r="AL589" i="25"/>
  <c r="AL588" i="25"/>
  <c r="AL587" i="25"/>
  <c r="AL586" i="25"/>
  <c r="AL585" i="25"/>
  <c r="AL584" i="25"/>
  <c r="AL583" i="25"/>
  <c r="AL582" i="25"/>
  <c r="AL581" i="25"/>
  <c r="AL580" i="25"/>
  <c r="AL579" i="25"/>
  <c r="AL578" i="25"/>
  <c r="AL577" i="25"/>
  <c r="AL576" i="25"/>
  <c r="AL575" i="25"/>
  <c r="AL574" i="25"/>
  <c r="AL573" i="25"/>
  <c r="AL572" i="25"/>
  <c r="AL571" i="25"/>
  <c r="AL570" i="25"/>
  <c r="AL569" i="25"/>
  <c r="AL568" i="25"/>
  <c r="AL567" i="25"/>
  <c r="AL566" i="25"/>
  <c r="AL565" i="25"/>
  <c r="AL564" i="25"/>
  <c r="AL563" i="25"/>
  <c r="AL562" i="25"/>
  <c r="AL561" i="25"/>
  <c r="AL560" i="25"/>
  <c r="AL559" i="25"/>
  <c r="AL558" i="25"/>
  <c r="AL557" i="25"/>
  <c r="AL556" i="25"/>
  <c r="AL555" i="25"/>
  <c r="AL554" i="25"/>
  <c r="AL553" i="25"/>
  <c r="AL552" i="25"/>
  <c r="AL551" i="25"/>
  <c r="AL550" i="25"/>
  <c r="AL549" i="25"/>
  <c r="AL548" i="25"/>
  <c r="AL547" i="25"/>
  <c r="AL546" i="25"/>
  <c r="AL545" i="25"/>
  <c r="AL544" i="25"/>
  <c r="AL543" i="25"/>
  <c r="AL542" i="25"/>
  <c r="AL541" i="25"/>
  <c r="AL540" i="25"/>
  <c r="AL539" i="25"/>
  <c r="AL538" i="25"/>
  <c r="AL537" i="25"/>
  <c r="AL536" i="25"/>
  <c r="AL535" i="25"/>
  <c r="AL534" i="25"/>
  <c r="AL533" i="25"/>
  <c r="AL532" i="25"/>
  <c r="AL531" i="25"/>
  <c r="AL530" i="25"/>
  <c r="AL529" i="25"/>
  <c r="AL528" i="25"/>
  <c r="AL527" i="25"/>
  <c r="AL526" i="25"/>
  <c r="AL525" i="25"/>
  <c r="AL524" i="25"/>
  <c r="AL523" i="25"/>
  <c r="AL522" i="25"/>
  <c r="AL521" i="25"/>
  <c r="AL520" i="25"/>
  <c r="AL519" i="25"/>
  <c r="AL518" i="25"/>
  <c r="AL517" i="25"/>
  <c r="AL516" i="25"/>
  <c r="AL515" i="25"/>
  <c r="AL514" i="25"/>
  <c r="AL513" i="25"/>
  <c r="AL512" i="25"/>
  <c r="AL511" i="25"/>
  <c r="AL510" i="25"/>
  <c r="AL509" i="25"/>
  <c r="AL508" i="25"/>
  <c r="AL507" i="25"/>
  <c r="AL506" i="25"/>
  <c r="AL505" i="25"/>
  <c r="AL504" i="25"/>
  <c r="AL503" i="25"/>
  <c r="AL502" i="25"/>
  <c r="AL501" i="25"/>
  <c r="AL500" i="25"/>
  <c r="AL499" i="25"/>
  <c r="AL498" i="25"/>
  <c r="AL497" i="25"/>
  <c r="AL496" i="25"/>
  <c r="AL495" i="25"/>
  <c r="AL494" i="25"/>
  <c r="AL493" i="25"/>
  <c r="AL492" i="25"/>
  <c r="AL491" i="25"/>
  <c r="AL490" i="25"/>
  <c r="AL489" i="25"/>
  <c r="AL488" i="25"/>
  <c r="AL487" i="25"/>
  <c r="AL486" i="25"/>
  <c r="AL485" i="25"/>
  <c r="AL484" i="25"/>
  <c r="AL483" i="25"/>
  <c r="AL482" i="25"/>
  <c r="AL481" i="25"/>
  <c r="AL480" i="25"/>
  <c r="AL479" i="25"/>
  <c r="AL478" i="25"/>
  <c r="AL477" i="25"/>
  <c r="AL476" i="25"/>
  <c r="AL475" i="25"/>
  <c r="AL474" i="25"/>
  <c r="AL473" i="25"/>
  <c r="AL472" i="25"/>
  <c r="AL471" i="25"/>
  <c r="AL470" i="25"/>
  <c r="AL469" i="25"/>
  <c r="AL468" i="25"/>
  <c r="AL467" i="25"/>
  <c r="AL466" i="25"/>
  <c r="AL465" i="25"/>
  <c r="AL464" i="25"/>
  <c r="AL463" i="25"/>
  <c r="AL462" i="25"/>
  <c r="AL461" i="25"/>
  <c r="AL460" i="25"/>
  <c r="AL459" i="25"/>
  <c r="AL458" i="25"/>
  <c r="AL457" i="25"/>
  <c r="AL456" i="25"/>
  <c r="AL455" i="25"/>
  <c r="AL454" i="25"/>
  <c r="AL453" i="25"/>
  <c r="AL452" i="25"/>
  <c r="AL451" i="25"/>
  <c r="AL450" i="25"/>
  <c r="AL449" i="25"/>
  <c r="AL448" i="25"/>
  <c r="AL447" i="25"/>
  <c r="AL446" i="25"/>
  <c r="AL445" i="25"/>
  <c r="AL444" i="25"/>
  <c r="AL443" i="25"/>
  <c r="AL442" i="25"/>
  <c r="AL441" i="25"/>
  <c r="AL440" i="25"/>
  <c r="AL439" i="25"/>
  <c r="AL438" i="25"/>
  <c r="AL437" i="25"/>
  <c r="AL436" i="25"/>
  <c r="AL435" i="25"/>
  <c r="AL434" i="25"/>
  <c r="AL433" i="25"/>
  <c r="AL432" i="25"/>
  <c r="AL431" i="25"/>
  <c r="AL430" i="25"/>
  <c r="AL429" i="25"/>
  <c r="AL428" i="25"/>
  <c r="AL427" i="25"/>
  <c r="AL426" i="25"/>
  <c r="AL425" i="25"/>
  <c r="AL424" i="25"/>
  <c r="AL423" i="25"/>
  <c r="AL422" i="25"/>
  <c r="AL421" i="25"/>
  <c r="AL420" i="25"/>
  <c r="AL419" i="25"/>
  <c r="AL418" i="25"/>
  <c r="AL417" i="25"/>
  <c r="AL416" i="25"/>
  <c r="AL415" i="25"/>
  <c r="AL414" i="25"/>
  <c r="AL413" i="25"/>
  <c r="AL412" i="25"/>
  <c r="AL411" i="25"/>
  <c r="AL410" i="25"/>
  <c r="AL409" i="25"/>
  <c r="AL408" i="25"/>
  <c r="AL407" i="25"/>
  <c r="AL406" i="25"/>
  <c r="AL405" i="25"/>
  <c r="AL404" i="25"/>
  <c r="AL403" i="25"/>
  <c r="AL402" i="25"/>
  <c r="AL401" i="25"/>
  <c r="AL400" i="25"/>
  <c r="AL399" i="25"/>
  <c r="AL398" i="25"/>
  <c r="AL397" i="25"/>
  <c r="AL396" i="25"/>
  <c r="AL395" i="25"/>
  <c r="AL394" i="25"/>
  <c r="AL393" i="25"/>
  <c r="AL392" i="25"/>
  <c r="AL391" i="25"/>
  <c r="AL390" i="25"/>
  <c r="AL389" i="25"/>
  <c r="AL388" i="25"/>
  <c r="AL387" i="25"/>
  <c r="AL386" i="25"/>
  <c r="AL385" i="25"/>
  <c r="AL384" i="25"/>
  <c r="AL383" i="25"/>
  <c r="AL382" i="25"/>
  <c r="AL381" i="25"/>
  <c r="AL380" i="25"/>
  <c r="AL379" i="25"/>
  <c r="AL378" i="25"/>
  <c r="AL377" i="25"/>
  <c r="AL376" i="25"/>
  <c r="AL375" i="25"/>
  <c r="AL374" i="25"/>
  <c r="AL373" i="25"/>
  <c r="AL372" i="25"/>
  <c r="AL371" i="25"/>
  <c r="AL370" i="25"/>
  <c r="AL369" i="25"/>
  <c r="AL368" i="25"/>
  <c r="AL367" i="25"/>
  <c r="AL366" i="25"/>
  <c r="AL365" i="25"/>
  <c r="AL364" i="25"/>
  <c r="AL363" i="25"/>
  <c r="AL362" i="25"/>
  <c r="AL361" i="25"/>
  <c r="AL360" i="25"/>
  <c r="AL359" i="25"/>
  <c r="AL358" i="25"/>
  <c r="AL357" i="25"/>
  <c r="AL356" i="25"/>
  <c r="AL355" i="25"/>
  <c r="AL354" i="25"/>
  <c r="AL353" i="25"/>
  <c r="AL352" i="25"/>
  <c r="AL351" i="25"/>
  <c r="AL350" i="25"/>
  <c r="AL349" i="25"/>
  <c r="AL348" i="25"/>
  <c r="AL347" i="25"/>
  <c r="AL346" i="25"/>
  <c r="AL345" i="25"/>
  <c r="AL344" i="25"/>
  <c r="AL343" i="25"/>
  <c r="AL342" i="25"/>
  <c r="AL341" i="25"/>
  <c r="AL340" i="25"/>
  <c r="AL339" i="25"/>
  <c r="AL338" i="25"/>
  <c r="AL337" i="25"/>
  <c r="AL336" i="25"/>
  <c r="AL335" i="25"/>
  <c r="AL334" i="25"/>
  <c r="AL333" i="25"/>
  <c r="AL332" i="25"/>
  <c r="AL331" i="25"/>
  <c r="AL330" i="25"/>
  <c r="AL329" i="25"/>
  <c r="AL328" i="25"/>
  <c r="AL327" i="25"/>
  <c r="AL326" i="25"/>
  <c r="AL325" i="25"/>
  <c r="AL324" i="25"/>
  <c r="AL323" i="25"/>
  <c r="AL322" i="25"/>
  <c r="AL321" i="25"/>
  <c r="AL320" i="25"/>
  <c r="AL319" i="25"/>
  <c r="AL318" i="25"/>
  <c r="AL317" i="25"/>
  <c r="AL316" i="25"/>
  <c r="AL315" i="25"/>
  <c r="AL314" i="25"/>
  <c r="AL313" i="25"/>
  <c r="AL312" i="25"/>
  <c r="AL311" i="25"/>
  <c r="AL310" i="25"/>
  <c r="AL309" i="25"/>
  <c r="AL308" i="25"/>
  <c r="AL307" i="25"/>
  <c r="AL306" i="25"/>
  <c r="AL305" i="25"/>
  <c r="AL304" i="25"/>
  <c r="AL303" i="25"/>
  <c r="AL302" i="25"/>
  <c r="AL301" i="25"/>
  <c r="AL300" i="25"/>
  <c r="AL299" i="25"/>
  <c r="AL298" i="25"/>
  <c r="AL297" i="25"/>
  <c r="AL296" i="25"/>
  <c r="AL295" i="25"/>
  <c r="AL294" i="25"/>
  <c r="AL293" i="25"/>
  <c r="AL292" i="25"/>
  <c r="AL291" i="25"/>
  <c r="AL290" i="25"/>
  <c r="AL289" i="25"/>
  <c r="AL288" i="25"/>
  <c r="AL287" i="25"/>
  <c r="AL286" i="25"/>
  <c r="AL285" i="25"/>
  <c r="AL284" i="25"/>
  <c r="AL283" i="25"/>
  <c r="AL282" i="25"/>
  <c r="AL281" i="25"/>
  <c r="AL280" i="25"/>
  <c r="AL279" i="25"/>
  <c r="AL278" i="25"/>
  <c r="AL277" i="25"/>
  <c r="AL276" i="25"/>
  <c r="AL275" i="25"/>
  <c r="AL274" i="25"/>
  <c r="AL273" i="25"/>
  <c r="AL272" i="25"/>
  <c r="AL271" i="25"/>
  <c r="AL270" i="25"/>
  <c r="AL269" i="25"/>
  <c r="AL268" i="25"/>
  <c r="AL267" i="25"/>
  <c r="AL266" i="25"/>
  <c r="AL265" i="25"/>
  <c r="AL264" i="25"/>
  <c r="AL263" i="25"/>
  <c r="AL262" i="25"/>
  <c r="AL261" i="25"/>
  <c r="AL260" i="25"/>
  <c r="AL259" i="25"/>
  <c r="AL258" i="25"/>
  <c r="AL257" i="25"/>
  <c r="AL256" i="25"/>
  <c r="AL255" i="25"/>
  <c r="AL254" i="25"/>
  <c r="AL253" i="25"/>
  <c r="AL252" i="25"/>
  <c r="AL251" i="25"/>
  <c r="AL250" i="25"/>
  <c r="AL249" i="25"/>
  <c r="AL248" i="25"/>
  <c r="AL247" i="25"/>
  <c r="AL246" i="25"/>
  <c r="AL245" i="25"/>
  <c r="AL244" i="25"/>
  <c r="AL243" i="25"/>
  <c r="AL242" i="25"/>
  <c r="AL241" i="25"/>
  <c r="AL240" i="25"/>
  <c r="AL239" i="25"/>
  <c r="AL238" i="25"/>
  <c r="AL237" i="25"/>
  <c r="AL236" i="25"/>
  <c r="AL235" i="25"/>
  <c r="AL234" i="25"/>
  <c r="AL233" i="25"/>
  <c r="AL232" i="25"/>
  <c r="AL231" i="25"/>
  <c r="AL230" i="25"/>
  <c r="AL229" i="25"/>
  <c r="AL228" i="25"/>
  <c r="AL227" i="25"/>
  <c r="AL226" i="25"/>
  <c r="AL225" i="25"/>
  <c r="AL224" i="25"/>
  <c r="AL223" i="25"/>
  <c r="AL222" i="25"/>
  <c r="AL221" i="25"/>
  <c r="AL220" i="25"/>
  <c r="AL219" i="25"/>
  <c r="AL218" i="25"/>
  <c r="AL217" i="25"/>
  <c r="AL216" i="25"/>
  <c r="AL215" i="25"/>
  <c r="AL214" i="25"/>
  <c r="AL213" i="25"/>
  <c r="AL212" i="25"/>
  <c r="AL211" i="25"/>
  <c r="AL210" i="25"/>
  <c r="AL209" i="25"/>
  <c r="AL208" i="25"/>
  <c r="AL207" i="25"/>
  <c r="AL206" i="25"/>
  <c r="AL205" i="25"/>
  <c r="AL204" i="25"/>
  <c r="AL203" i="25"/>
  <c r="AL202" i="25"/>
  <c r="AL201" i="25"/>
  <c r="AL200" i="25"/>
  <c r="AL199" i="25"/>
  <c r="AL198" i="25"/>
  <c r="AL197" i="25"/>
  <c r="AL196" i="25"/>
  <c r="AL195" i="25"/>
  <c r="AL194" i="25"/>
  <c r="AL193" i="25"/>
  <c r="AL192" i="25"/>
  <c r="AL191" i="25"/>
  <c r="AL190" i="25"/>
  <c r="AL189" i="25"/>
  <c r="AL188" i="25"/>
  <c r="AL187" i="25"/>
  <c r="AL186" i="25"/>
  <c r="AL185" i="25"/>
  <c r="AL184" i="25"/>
  <c r="AL183" i="25"/>
  <c r="AL182" i="25"/>
  <c r="AL181" i="25"/>
  <c r="AL180" i="25"/>
  <c r="AL179" i="25"/>
  <c r="AL178" i="25"/>
  <c r="AL177" i="25"/>
  <c r="AL176" i="25"/>
  <c r="AL175" i="25"/>
  <c r="AL174" i="25"/>
  <c r="AL173" i="25"/>
  <c r="AL172" i="25"/>
  <c r="AL171" i="25"/>
  <c r="AL170" i="25"/>
  <c r="AL169" i="25"/>
  <c r="AL168" i="25"/>
  <c r="AL167" i="25"/>
  <c r="AL166" i="25"/>
  <c r="AL165" i="25"/>
  <c r="AL164" i="25"/>
  <c r="AL163" i="25"/>
  <c r="AL162" i="25"/>
  <c r="AL161" i="25"/>
  <c r="AL160" i="25"/>
  <c r="AL159" i="25"/>
  <c r="AL158" i="25"/>
  <c r="AL157" i="25"/>
  <c r="AL156" i="25"/>
  <c r="AL155" i="25"/>
  <c r="AL154" i="25"/>
  <c r="AL153" i="25"/>
  <c r="AL152" i="25"/>
  <c r="AL151" i="25"/>
  <c r="AL150" i="25"/>
  <c r="AL149" i="25"/>
  <c r="AL148" i="25"/>
  <c r="AL147" i="25"/>
  <c r="AL146" i="25"/>
  <c r="AL145" i="25"/>
  <c r="AL144" i="25"/>
  <c r="AL143" i="25"/>
  <c r="AL142" i="25"/>
  <c r="AL141" i="25"/>
  <c r="AL140" i="25"/>
  <c r="AL139" i="25"/>
  <c r="AL138" i="25"/>
  <c r="AL137" i="25"/>
  <c r="AL136" i="25"/>
  <c r="AL135" i="25"/>
  <c r="AL134" i="25"/>
  <c r="AL133" i="25"/>
  <c r="AL132" i="25"/>
  <c r="AL131" i="25"/>
  <c r="AL130" i="25"/>
  <c r="AL129" i="25"/>
  <c r="AL128" i="25"/>
  <c r="AL127" i="25"/>
  <c r="AL126" i="25"/>
  <c r="AL125" i="25"/>
  <c r="AL124" i="25"/>
  <c r="AL123" i="25"/>
  <c r="AL122" i="25"/>
  <c r="AL121" i="25"/>
  <c r="AL120" i="25"/>
  <c r="AL119" i="25"/>
  <c r="AL118" i="25"/>
  <c r="AL117" i="25"/>
  <c r="AL116" i="25"/>
  <c r="AL115" i="25"/>
  <c r="AL114" i="25"/>
  <c r="AL113" i="25"/>
  <c r="AL112" i="25"/>
  <c r="AL111" i="25"/>
  <c r="AL110" i="25"/>
  <c r="AL109" i="25"/>
  <c r="AL108" i="25"/>
  <c r="AL107" i="25"/>
  <c r="AL106" i="25"/>
  <c r="AL105" i="25"/>
  <c r="AL104" i="25"/>
  <c r="AL103" i="25"/>
  <c r="AL102" i="25"/>
  <c r="AL101" i="25"/>
  <c r="AL100" i="25"/>
  <c r="AL99" i="25"/>
  <c r="AL98" i="25"/>
  <c r="AL97" i="25"/>
  <c r="AL96" i="25"/>
  <c r="AL95" i="25"/>
  <c r="AL94" i="25"/>
  <c r="AL93" i="25"/>
  <c r="AL92" i="25"/>
  <c r="AL91" i="25"/>
  <c r="AL90" i="25"/>
  <c r="AL89" i="25"/>
  <c r="AL88" i="25"/>
  <c r="AL87" i="25"/>
  <c r="AL86" i="25"/>
  <c r="AL85" i="25"/>
  <c r="AL84" i="25"/>
  <c r="AL83" i="25"/>
  <c r="AL82" i="25"/>
  <c r="AL81" i="25"/>
  <c r="AL80" i="25"/>
  <c r="AL79" i="25"/>
  <c r="AL78" i="25"/>
  <c r="AL77" i="25"/>
  <c r="AL76" i="25"/>
  <c r="AL75" i="25"/>
  <c r="AL74" i="25"/>
  <c r="AL73" i="25"/>
  <c r="AL72" i="25"/>
  <c r="AL71" i="25"/>
  <c r="AL70" i="25"/>
  <c r="AL69" i="25"/>
  <c r="AL68" i="25"/>
  <c r="AL67" i="25"/>
  <c r="AL66" i="25"/>
  <c r="AL65" i="25"/>
  <c r="AL64" i="25"/>
  <c r="AL63" i="25"/>
  <c r="AL62" i="25"/>
  <c r="AL61" i="25"/>
  <c r="AL60" i="25"/>
  <c r="AL59" i="25"/>
  <c r="AL58" i="25"/>
  <c r="AL57" i="25"/>
  <c r="AL56" i="25"/>
  <c r="AL55" i="25"/>
  <c r="AL54" i="25"/>
  <c r="AL53" i="25"/>
  <c r="AL52" i="25"/>
  <c r="AL51" i="25"/>
  <c r="AL50" i="25"/>
  <c r="AL49" i="25"/>
  <c r="AL48" i="25"/>
  <c r="AL47" i="25"/>
  <c r="AL46" i="25"/>
  <c r="AL45" i="25"/>
  <c r="AL44" i="25"/>
  <c r="AL43" i="25"/>
  <c r="AL42" i="25"/>
  <c r="AL41" i="25"/>
  <c r="AL40" i="25"/>
  <c r="AL39" i="25"/>
  <c r="AL38" i="25"/>
  <c r="AL37" i="25"/>
  <c r="AL36" i="25"/>
  <c r="AL35" i="25"/>
  <c r="AL34" i="25"/>
  <c r="AL33" i="25"/>
  <c r="AL32" i="25"/>
  <c r="AL31" i="25"/>
  <c r="AL30" i="25"/>
  <c r="AL29" i="25"/>
  <c r="AL28" i="25"/>
  <c r="AL27" i="25"/>
  <c r="AL26" i="25"/>
  <c r="AL25" i="25"/>
  <c r="AL24" i="25"/>
  <c r="AL23" i="25"/>
  <c r="AL22" i="25"/>
  <c r="AL21" i="25"/>
  <c r="AL20" i="25"/>
  <c r="AL19" i="25"/>
  <c r="AL18" i="25"/>
  <c r="AL17" i="25"/>
  <c r="AL16" i="25"/>
  <c r="AL15" i="25"/>
  <c r="AL14" i="25"/>
  <c r="AL13" i="25"/>
  <c r="AL12" i="25"/>
  <c r="AL11" i="25"/>
  <c r="AL10" i="25"/>
  <c r="AL9" i="25"/>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Y297" i="42"/>
  <c r="Z297" i="42"/>
  <c r="AA297" i="42"/>
  <c r="AB297" i="42"/>
  <c r="AC297" i="42"/>
  <c r="AD297" i="42"/>
  <c r="Y298" i="42"/>
  <c r="Z298" i="42"/>
  <c r="AA298" i="42"/>
  <c r="AB298" i="42"/>
  <c r="AC298" i="42"/>
  <c r="AD298" i="42"/>
  <c r="Y299" i="42"/>
  <c r="Z299" i="42"/>
  <c r="AA299" i="42"/>
  <c r="AB299" i="42"/>
  <c r="AC299" i="42"/>
  <c r="AD299" i="42"/>
  <c r="Y300" i="42"/>
  <c r="Z300" i="42"/>
  <c r="AA300" i="42"/>
  <c r="AB300" i="42"/>
  <c r="AC300" i="42"/>
  <c r="AD300" i="42"/>
  <c r="Y301" i="42"/>
  <c r="Z301" i="42"/>
  <c r="AA301" i="42"/>
  <c r="AB301" i="42"/>
  <c r="AC301" i="42"/>
  <c r="AD301" i="42"/>
  <c r="Y302" i="42"/>
  <c r="Z302" i="42"/>
  <c r="AA302" i="42"/>
  <c r="AB302" i="42"/>
  <c r="AC302" i="42"/>
  <c r="AD302" i="42"/>
  <c r="Y303" i="42"/>
  <c r="Z303" i="42"/>
  <c r="AA303" i="42"/>
  <c r="AB303" i="42"/>
  <c r="AC303" i="42"/>
  <c r="AD303" i="42"/>
  <c r="Y304" i="42"/>
  <c r="Z304" i="42"/>
  <c r="AA304" i="42"/>
  <c r="AB304" i="42"/>
  <c r="AC304" i="42"/>
  <c r="AD304" i="42"/>
  <c r="Y305" i="42"/>
  <c r="Z305" i="42"/>
  <c r="AA305" i="42"/>
  <c r="AB305" i="42"/>
  <c r="AC305" i="42"/>
  <c r="AD305" i="42"/>
  <c r="Y306" i="42"/>
  <c r="Z306" i="42"/>
  <c r="AA306" i="42"/>
  <c r="AB306" i="42"/>
  <c r="AC306" i="42"/>
  <c r="AD306" i="42"/>
  <c r="Y307" i="42"/>
  <c r="Z307" i="42"/>
  <c r="AA307" i="42"/>
  <c r="AB307" i="42"/>
  <c r="AC307" i="42"/>
  <c r="AD307" i="42"/>
  <c r="Y308" i="42"/>
  <c r="Z308" i="42"/>
  <c r="AA308" i="42"/>
  <c r="AB308" i="42"/>
  <c r="AC308" i="42"/>
  <c r="AD308" i="42"/>
  <c r="Y309" i="42"/>
  <c r="Z309" i="42"/>
  <c r="AA309" i="42"/>
  <c r="AB309" i="42"/>
  <c r="AC309" i="42"/>
  <c r="AD309" i="42"/>
  <c r="Y310" i="42"/>
  <c r="Z310" i="42"/>
  <c r="AA310" i="42"/>
  <c r="AB310" i="42"/>
  <c r="AC310" i="42"/>
  <c r="AD310" i="42"/>
  <c r="Y311" i="42"/>
  <c r="Z311" i="42"/>
  <c r="AA311" i="42"/>
  <c r="AB311" i="42"/>
  <c r="AC311" i="42"/>
  <c r="AD311" i="42"/>
  <c r="Y312" i="42"/>
  <c r="Z312" i="42"/>
  <c r="AA312" i="42"/>
  <c r="AB312" i="42"/>
  <c r="AC312" i="42"/>
  <c r="AD312" i="42"/>
  <c r="Y313" i="42"/>
  <c r="Z313" i="42"/>
  <c r="AA313" i="42"/>
  <c r="AB313" i="42"/>
  <c r="AC313" i="42"/>
  <c r="AD313" i="42"/>
  <c r="Y314" i="42"/>
  <c r="Z314" i="42"/>
  <c r="AA314" i="42"/>
  <c r="AB314" i="42"/>
  <c r="AC314" i="42"/>
  <c r="AD314" i="42"/>
  <c r="Y315" i="42"/>
  <c r="Z315" i="42"/>
  <c r="AA315" i="42"/>
  <c r="AB315" i="42"/>
  <c r="AC315" i="42"/>
  <c r="AD315" i="42"/>
  <c r="Y316" i="42"/>
  <c r="Z316" i="42"/>
  <c r="AA316" i="42"/>
  <c r="AB316" i="42"/>
  <c r="AC316" i="42"/>
  <c r="AD316" i="42"/>
  <c r="Y317" i="42"/>
  <c r="Z317" i="42"/>
  <c r="AA317" i="42"/>
  <c r="AB317" i="42"/>
  <c r="AC317" i="42"/>
  <c r="AD317" i="42"/>
  <c r="Y318" i="42"/>
  <c r="Z318" i="42"/>
  <c r="AA318" i="42"/>
  <c r="AB318" i="42"/>
  <c r="AC318" i="42"/>
  <c r="AD318" i="42"/>
  <c r="Y319" i="42"/>
  <c r="Z319" i="42"/>
  <c r="AA319" i="42"/>
  <c r="AB319" i="42"/>
  <c r="AC319" i="42"/>
  <c r="AD319" i="42"/>
  <c r="Y320" i="42"/>
  <c r="Z320" i="42"/>
  <c r="AA320" i="42"/>
  <c r="AB320" i="42"/>
  <c r="AC320" i="42"/>
  <c r="AD320" i="42"/>
  <c r="Y321" i="42"/>
  <c r="Z321" i="42"/>
  <c r="AA321" i="42"/>
  <c r="AB321" i="42"/>
  <c r="AC321" i="42"/>
  <c r="AD321" i="42"/>
  <c r="Y322" i="42"/>
  <c r="Z322" i="42"/>
  <c r="AA322" i="42"/>
  <c r="AB322" i="42"/>
  <c r="AC322" i="42"/>
  <c r="AD322" i="42"/>
  <c r="Y323" i="42"/>
  <c r="Z323" i="42"/>
  <c r="AA323" i="42"/>
  <c r="AB323" i="42"/>
  <c r="AC323" i="42"/>
  <c r="AD323" i="42"/>
  <c r="Y324" i="42"/>
  <c r="Z324" i="42"/>
  <c r="AA324" i="42"/>
  <c r="AB324" i="42"/>
  <c r="AC324" i="42"/>
  <c r="AD324" i="42"/>
  <c r="Y325" i="42"/>
  <c r="Z325" i="42"/>
  <c r="AA325" i="42"/>
  <c r="AB325" i="42"/>
  <c r="AC325" i="42"/>
  <c r="AD325" i="42"/>
  <c r="Y326" i="42"/>
  <c r="Z326" i="42"/>
  <c r="AA326" i="42"/>
  <c r="AB326" i="42"/>
  <c r="AC326" i="42"/>
  <c r="AD326" i="42"/>
  <c r="Y327" i="42"/>
  <c r="Z327" i="42"/>
  <c r="AA327" i="42"/>
  <c r="AB327" i="42"/>
  <c r="AC327" i="42"/>
  <c r="AD327" i="42"/>
  <c r="Y328" i="42"/>
  <c r="Z328" i="42"/>
  <c r="AA328" i="42"/>
  <c r="AB328" i="42"/>
  <c r="AC328" i="42"/>
  <c r="AD328" i="42"/>
  <c r="Y329" i="42"/>
  <c r="Z329" i="42"/>
  <c r="AA329" i="42"/>
  <c r="AB329" i="42"/>
  <c r="AC329" i="42"/>
  <c r="AD329" i="42"/>
  <c r="Y330" i="42"/>
  <c r="Z330" i="42"/>
  <c r="AA330" i="42"/>
  <c r="AB330" i="42"/>
  <c r="AC330" i="42"/>
  <c r="AD330" i="42"/>
  <c r="Y331" i="42"/>
  <c r="Z331" i="42"/>
  <c r="AA331" i="42"/>
  <c r="AB331" i="42"/>
  <c r="AC331" i="42"/>
  <c r="AD331" i="42"/>
  <c r="Y332" i="42"/>
  <c r="Z332" i="42"/>
  <c r="AA332" i="42"/>
  <c r="AB332" i="42"/>
  <c r="AC332" i="42"/>
  <c r="AD332" i="42"/>
  <c r="Y333" i="42"/>
  <c r="Z333" i="42"/>
  <c r="AA333" i="42"/>
  <c r="AB333" i="42"/>
  <c r="AC333" i="42"/>
  <c r="AD333" i="42"/>
  <c r="Y334" i="42"/>
  <c r="Z334" i="42"/>
  <c r="AA334" i="42"/>
  <c r="AB334" i="42"/>
  <c r="AC334" i="42"/>
  <c r="AD334" i="42"/>
  <c r="Y335" i="42"/>
  <c r="Z335" i="42"/>
  <c r="AA335" i="42"/>
  <c r="AB335" i="42"/>
  <c r="AC335" i="42"/>
  <c r="AD335" i="42"/>
  <c r="Y336" i="42"/>
  <c r="Z336" i="42"/>
  <c r="AA336" i="42"/>
  <c r="AB336" i="42"/>
  <c r="AC336" i="42"/>
  <c r="AD336" i="42"/>
  <c r="Y337" i="42"/>
  <c r="Z337" i="42"/>
  <c r="AA337" i="42"/>
  <c r="AB337" i="42"/>
  <c r="AC337" i="42"/>
  <c r="AD337" i="42"/>
  <c r="Y338" i="42"/>
  <c r="Z338" i="42"/>
  <c r="AA338" i="42"/>
  <c r="AB338" i="42"/>
  <c r="AC338" i="42"/>
  <c r="AD338" i="42"/>
  <c r="Y339" i="42"/>
  <c r="Z339" i="42"/>
  <c r="AA339" i="42"/>
  <c r="AB339" i="42"/>
  <c r="AC339" i="42"/>
  <c r="AD339" i="42"/>
  <c r="Y340" i="42"/>
  <c r="Z340" i="42"/>
  <c r="AA340" i="42"/>
  <c r="AB340" i="42"/>
  <c r="AC340" i="42"/>
  <c r="AD340" i="42"/>
  <c r="Y341" i="42"/>
  <c r="Z341" i="42"/>
  <c r="AA341" i="42"/>
  <c r="AB341" i="42"/>
  <c r="AC341" i="42"/>
  <c r="AD341" i="42"/>
  <c r="Y342" i="42"/>
  <c r="Z342" i="42"/>
  <c r="AA342" i="42"/>
  <c r="AB342" i="42"/>
  <c r="AC342" i="42"/>
  <c r="AD342" i="42"/>
  <c r="Y343" i="42"/>
  <c r="Z343" i="42"/>
  <c r="AA343" i="42"/>
  <c r="AB343" i="42"/>
  <c r="AC343" i="42"/>
  <c r="AD343" i="42"/>
  <c r="Y344" i="42"/>
  <c r="Z344" i="42"/>
  <c r="AA344" i="42"/>
  <c r="AB344" i="42"/>
  <c r="AC344" i="42"/>
  <c r="AD344" i="42"/>
  <c r="Y345" i="42"/>
  <c r="Z345" i="42"/>
  <c r="AA345" i="42"/>
  <c r="AB345" i="42"/>
  <c r="AC345" i="42"/>
  <c r="AD345" i="42"/>
  <c r="Y346" i="42"/>
  <c r="Z346" i="42"/>
  <c r="AA346" i="42"/>
  <c r="AB346" i="42"/>
  <c r="AC346" i="42"/>
  <c r="AD346" i="42"/>
  <c r="Y347" i="42"/>
  <c r="Z347" i="42"/>
  <c r="AA347" i="42"/>
  <c r="AB347" i="42"/>
  <c r="AC347" i="42"/>
  <c r="AD347" i="42"/>
  <c r="Y348" i="42"/>
  <c r="Z348" i="42"/>
  <c r="AA348" i="42"/>
  <c r="AB348" i="42"/>
  <c r="AC348" i="42"/>
  <c r="AD348" i="42"/>
  <c r="Y349" i="42"/>
  <c r="Z349" i="42"/>
  <c r="AA349" i="42"/>
  <c r="AB349" i="42"/>
  <c r="AC349" i="42"/>
  <c r="AD349" i="42"/>
  <c r="Y350" i="42"/>
  <c r="Z350" i="42"/>
  <c r="AA350" i="42"/>
  <c r="AB350" i="42"/>
  <c r="AC350" i="42"/>
  <c r="AD350" i="42"/>
  <c r="Y351" i="42"/>
  <c r="Z351" i="42"/>
  <c r="AA351" i="42"/>
  <c r="AB351" i="42"/>
  <c r="AC351" i="42"/>
  <c r="AD351" i="42"/>
  <c r="Y352" i="42"/>
  <c r="Z352" i="42"/>
  <c r="AA352" i="42"/>
  <c r="AB352" i="42"/>
  <c r="AC352" i="42"/>
  <c r="AD352" i="42"/>
  <c r="Y353" i="42"/>
  <c r="Z353" i="42"/>
  <c r="AA353" i="42"/>
  <c r="AB353" i="42"/>
  <c r="AC353" i="42"/>
  <c r="AD353" i="42"/>
  <c r="Y354" i="42"/>
  <c r="Z354" i="42"/>
  <c r="AA354" i="42"/>
  <c r="AB354" i="42"/>
  <c r="AC354" i="42"/>
  <c r="AD354" i="42"/>
  <c r="Y355" i="42"/>
  <c r="Z355" i="42"/>
  <c r="AA355" i="42"/>
  <c r="AB355" i="42"/>
  <c r="AC355" i="42"/>
  <c r="AD355" i="42"/>
  <c r="Y356" i="42"/>
  <c r="Z356" i="42"/>
  <c r="AA356" i="42"/>
  <c r="AB356" i="42"/>
  <c r="AC356" i="42"/>
  <c r="AD356" i="42"/>
  <c r="Y357" i="42"/>
  <c r="Z357" i="42"/>
  <c r="AA357" i="42"/>
  <c r="AB357" i="42"/>
  <c r="AC357" i="42"/>
  <c r="AD357" i="42"/>
  <c r="Y358" i="42"/>
  <c r="Z358" i="42"/>
  <c r="AA358" i="42"/>
  <c r="AB358" i="42"/>
  <c r="AC358" i="42"/>
  <c r="AD358" i="42"/>
  <c r="Y359" i="42"/>
  <c r="Z359" i="42"/>
  <c r="AA359" i="42"/>
  <c r="AB359" i="42"/>
  <c r="AC359" i="42"/>
  <c r="AD359" i="42"/>
  <c r="Y360" i="42"/>
  <c r="Z360" i="42"/>
  <c r="AA360" i="42"/>
  <c r="AB360" i="42"/>
  <c r="AC360" i="42"/>
  <c r="AD360" i="42"/>
  <c r="Y361" i="42"/>
  <c r="Z361" i="42"/>
  <c r="AA361" i="42"/>
  <c r="AB361" i="42"/>
  <c r="AC361" i="42"/>
  <c r="AD361" i="42"/>
  <c r="Y362" i="42"/>
  <c r="Z362" i="42"/>
  <c r="AA362" i="42"/>
  <c r="AB362" i="42"/>
  <c r="AC362" i="42"/>
  <c r="AD362" i="42"/>
  <c r="Y363" i="42"/>
  <c r="Z363" i="42"/>
  <c r="AA363" i="42"/>
  <c r="AB363" i="42"/>
  <c r="AC363" i="42"/>
  <c r="AD363" i="42"/>
  <c r="Y364" i="42"/>
  <c r="Z364" i="42"/>
  <c r="AA364" i="42"/>
  <c r="AB364" i="42"/>
  <c r="AC364" i="42"/>
  <c r="AD364" i="42"/>
  <c r="Y365" i="42"/>
  <c r="Z365" i="42"/>
  <c r="AA365" i="42"/>
  <c r="AB365" i="42"/>
  <c r="AC365" i="42"/>
  <c r="AD365" i="42"/>
  <c r="Y366" i="42"/>
  <c r="Z366" i="42"/>
  <c r="AA366" i="42"/>
  <c r="AB366" i="42"/>
  <c r="AC366" i="42"/>
  <c r="AD366" i="42"/>
  <c r="Y367" i="42"/>
  <c r="Z367" i="42"/>
  <c r="AA367" i="42"/>
  <c r="AB367" i="42"/>
  <c r="AC367" i="42"/>
  <c r="AD367" i="42"/>
  <c r="Y368" i="42"/>
  <c r="Z368" i="42"/>
  <c r="AA368" i="42"/>
  <c r="AB368" i="42"/>
  <c r="AC368" i="42"/>
  <c r="AD368" i="42"/>
  <c r="Y369" i="42"/>
  <c r="Z369" i="42"/>
  <c r="AA369" i="42"/>
  <c r="AB369" i="42"/>
  <c r="AC369" i="42"/>
  <c r="AD369" i="42"/>
  <c r="Y370" i="42"/>
  <c r="Z370" i="42"/>
  <c r="AA370" i="42"/>
  <c r="AB370" i="42"/>
  <c r="AC370" i="42"/>
  <c r="AD370" i="42"/>
  <c r="Y371" i="42"/>
  <c r="Z371" i="42"/>
  <c r="AA371" i="42"/>
  <c r="AB371" i="42"/>
  <c r="AC371" i="42"/>
  <c r="AD371" i="42"/>
  <c r="Y372" i="42"/>
  <c r="Z372" i="42"/>
  <c r="AA372" i="42"/>
  <c r="AB372" i="42"/>
  <c r="AC372" i="42"/>
  <c r="AD372" i="42"/>
  <c r="Y373" i="42"/>
  <c r="Z373" i="42"/>
  <c r="AA373" i="42"/>
  <c r="AB373" i="42"/>
  <c r="AC373" i="42"/>
  <c r="AD373" i="42"/>
  <c r="Y374" i="42"/>
  <c r="Z374" i="42"/>
  <c r="AA374" i="42"/>
  <c r="AB374" i="42"/>
  <c r="AC374" i="42"/>
  <c r="AD374" i="42"/>
  <c r="Y375" i="42"/>
  <c r="Z375" i="42"/>
  <c r="AA375" i="42"/>
  <c r="AB375" i="42"/>
  <c r="AC375" i="42"/>
  <c r="AD375" i="42"/>
  <c r="Y376" i="42"/>
  <c r="Z376" i="42"/>
  <c r="AA376" i="42"/>
  <c r="AB376" i="42"/>
  <c r="AC376" i="42"/>
  <c r="AD376" i="42"/>
  <c r="Y377" i="42"/>
  <c r="Z377" i="42"/>
  <c r="AA377" i="42"/>
  <c r="AB377" i="42"/>
  <c r="AC377" i="42"/>
  <c r="AD377" i="42"/>
  <c r="Y378" i="42"/>
  <c r="Z378" i="42"/>
  <c r="AA378" i="42"/>
  <c r="AB378" i="42"/>
  <c r="AC378" i="42"/>
  <c r="AD378" i="42"/>
  <c r="Y379" i="42"/>
  <c r="Z379" i="42"/>
  <c r="AA379" i="42"/>
  <c r="AB379" i="42"/>
  <c r="AC379" i="42"/>
  <c r="AD379" i="42"/>
  <c r="Y380" i="42"/>
  <c r="Z380" i="42"/>
  <c r="AA380" i="42"/>
  <c r="AB380" i="42"/>
  <c r="AC380" i="42"/>
  <c r="AD380" i="42"/>
  <c r="Y381" i="42"/>
  <c r="Z381" i="42"/>
  <c r="AA381" i="42"/>
  <c r="AB381" i="42"/>
  <c r="AC381" i="42"/>
  <c r="AD381" i="42"/>
  <c r="Y382" i="42"/>
  <c r="Z382" i="42"/>
  <c r="AA382" i="42"/>
  <c r="AB382" i="42"/>
  <c r="AC382" i="42"/>
  <c r="AD382" i="42"/>
  <c r="Y383" i="42"/>
  <c r="Z383" i="42"/>
  <c r="AA383" i="42"/>
  <c r="AB383" i="42"/>
  <c r="AC383" i="42"/>
  <c r="AD383" i="42"/>
  <c r="Y384" i="42"/>
  <c r="Z384" i="42"/>
  <c r="AA384" i="42"/>
  <c r="AB384" i="42"/>
  <c r="AC384" i="42"/>
  <c r="AD384" i="42"/>
  <c r="Y385" i="42"/>
  <c r="Z385" i="42"/>
  <c r="AA385" i="42"/>
  <c r="AB385" i="42"/>
  <c r="AC385" i="42"/>
  <c r="AD385" i="42"/>
  <c r="Y386" i="42"/>
  <c r="Z386" i="42"/>
  <c r="AA386" i="42"/>
  <c r="AB386" i="42"/>
  <c r="AC386" i="42"/>
  <c r="AD386" i="42"/>
  <c r="Y387" i="42"/>
  <c r="Z387" i="42"/>
  <c r="AA387" i="42"/>
  <c r="AB387" i="42"/>
  <c r="AC387" i="42"/>
  <c r="AD387" i="42"/>
  <c r="Y388" i="42"/>
  <c r="Z388" i="42"/>
  <c r="AA388" i="42"/>
  <c r="AB388" i="42"/>
  <c r="AC388" i="42"/>
  <c r="AD388" i="42"/>
  <c r="Y389" i="42"/>
  <c r="Z389" i="42"/>
  <c r="AA389" i="42"/>
  <c r="AB389" i="42"/>
  <c r="AC389" i="42"/>
  <c r="AD389" i="42"/>
  <c r="Y390" i="42"/>
  <c r="Z390" i="42"/>
  <c r="AA390" i="42"/>
  <c r="AB390" i="42"/>
  <c r="AC390" i="42"/>
  <c r="AD390" i="42"/>
  <c r="Y391" i="42"/>
  <c r="Z391" i="42"/>
  <c r="AA391" i="42"/>
  <c r="AB391" i="42"/>
  <c r="AC391" i="42"/>
  <c r="AD391" i="42"/>
  <c r="Y392" i="42"/>
  <c r="Z392" i="42"/>
  <c r="AA392" i="42"/>
  <c r="AB392" i="42"/>
  <c r="AC392" i="42"/>
  <c r="AD392" i="42"/>
  <c r="Y393" i="42"/>
  <c r="Z393" i="42"/>
  <c r="AA393" i="42"/>
  <c r="AB393" i="42"/>
  <c r="AC393" i="42"/>
  <c r="AD393" i="42"/>
  <c r="Y394" i="42"/>
  <c r="Z394" i="42"/>
  <c r="AA394" i="42"/>
  <c r="AB394" i="42"/>
  <c r="AC394" i="42"/>
  <c r="AD394" i="42"/>
  <c r="Y395" i="42"/>
  <c r="Z395" i="42"/>
  <c r="AA395" i="42"/>
  <c r="AB395" i="42"/>
  <c r="AC395" i="42"/>
  <c r="AD395" i="42"/>
  <c r="Y396" i="42"/>
  <c r="Z396" i="42"/>
  <c r="AA396" i="42"/>
  <c r="AB396" i="42"/>
  <c r="AC396" i="42"/>
  <c r="AD396" i="42"/>
  <c r="Y397" i="42"/>
  <c r="Z397" i="42"/>
  <c r="AA397" i="42"/>
  <c r="AB397" i="42"/>
  <c r="AC397" i="42"/>
  <c r="AD397" i="42"/>
  <c r="Y398" i="42"/>
  <c r="Z398" i="42"/>
  <c r="AA398" i="42"/>
  <c r="AB398" i="42"/>
  <c r="AC398" i="42"/>
  <c r="AD398" i="42"/>
  <c r="Y399" i="42"/>
  <c r="Z399" i="42"/>
  <c r="AA399" i="42"/>
  <c r="AB399" i="42"/>
  <c r="AC399" i="42"/>
  <c r="AD399" i="42"/>
  <c r="Y400" i="42"/>
  <c r="Z400" i="42"/>
  <c r="AA400" i="42"/>
  <c r="AB400" i="42"/>
  <c r="AC400" i="42"/>
  <c r="AD400" i="42"/>
  <c r="Y401" i="42"/>
  <c r="Z401" i="42"/>
  <c r="AA401" i="42"/>
  <c r="AB401" i="42"/>
  <c r="AC401" i="42"/>
  <c r="AD401" i="42"/>
  <c r="Y402" i="42"/>
  <c r="Z402" i="42"/>
  <c r="AA402" i="42"/>
  <c r="AB402" i="42"/>
  <c r="AC402" i="42"/>
  <c r="AD402" i="42"/>
  <c r="Y403" i="42"/>
  <c r="Z403" i="42"/>
  <c r="AA403" i="42"/>
  <c r="AB403" i="42"/>
  <c r="AC403" i="42"/>
  <c r="AD403" i="42"/>
  <c r="Y404" i="42"/>
  <c r="Z404" i="42"/>
  <c r="AA404" i="42"/>
  <c r="AB404" i="42"/>
  <c r="AC404" i="42"/>
  <c r="AD404" i="42"/>
  <c r="Y405" i="42"/>
  <c r="Z405" i="42"/>
  <c r="AA405" i="42"/>
  <c r="AB405" i="42"/>
  <c r="AC405" i="42"/>
  <c r="AD405" i="42"/>
  <c r="Y406" i="42"/>
  <c r="Z406" i="42"/>
  <c r="AA406" i="42"/>
  <c r="AB406" i="42"/>
  <c r="AC406" i="42"/>
  <c r="AD406" i="42"/>
  <c r="Y407" i="42"/>
  <c r="Z407" i="42"/>
  <c r="AA407" i="42"/>
  <c r="AB407" i="42"/>
  <c r="AC407" i="42"/>
  <c r="AD407" i="42"/>
  <c r="Y408" i="42"/>
  <c r="Z408" i="42"/>
  <c r="AA408" i="42"/>
  <c r="AB408" i="42"/>
  <c r="AC408" i="42"/>
  <c r="AD408" i="42"/>
  <c r="Y409" i="42"/>
  <c r="Z409" i="42"/>
  <c r="AA409" i="42"/>
  <c r="AB409" i="42"/>
  <c r="AC409" i="42"/>
  <c r="AD409" i="42"/>
  <c r="Y410" i="42"/>
  <c r="Z410" i="42"/>
  <c r="AA410" i="42"/>
  <c r="AB410" i="42"/>
  <c r="AC410" i="42"/>
  <c r="AD410" i="42"/>
  <c r="Y411" i="42"/>
  <c r="Z411" i="42"/>
  <c r="AA411" i="42"/>
  <c r="AB411" i="42"/>
  <c r="AC411" i="42"/>
  <c r="AD411" i="42"/>
  <c r="Y412" i="42"/>
  <c r="Z412" i="42"/>
  <c r="AA412" i="42"/>
  <c r="AB412" i="42"/>
  <c r="AC412" i="42"/>
  <c r="AD412" i="42"/>
  <c r="Y413" i="42"/>
  <c r="Z413" i="42"/>
  <c r="AA413" i="42"/>
  <c r="AB413" i="42"/>
  <c r="AC413" i="42"/>
  <c r="AD413" i="42"/>
  <c r="Y414" i="42"/>
  <c r="Z414" i="42"/>
  <c r="AA414" i="42"/>
  <c r="AB414" i="42"/>
  <c r="AC414" i="42"/>
  <c r="AD414" i="42"/>
  <c r="Y415" i="42"/>
  <c r="Z415" i="42"/>
  <c r="AA415" i="42"/>
  <c r="AB415" i="42"/>
  <c r="AC415" i="42"/>
  <c r="AD415" i="42"/>
  <c r="Y416" i="42"/>
  <c r="Z416" i="42"/>
  <c r="AA416" i="42"/>
  <c r="AB416" i="42"/>
  <c r="AC416" i="42"/>
  <c r="AD416" i="42"/>
  <c r="Y417" i="42"/>
  <c r="Z417" i="42"/>
  <c r="AA417" i="42"/>
  <c r="AB417" i="42"/>
  <c r="AC417" i="42"/>
  <c r="AD417" i="42"/>
  <c r="Y418" i="42"/>
  <c r="Z418" i="42"/>
  <c r="AA418" i="42"/>
  <c r="AB418" i="42"/>
  <c r="AC418" i="42"/>
  <c r="AD418" i="42"/>
  <c r="Y419" i="42"/>
  <c r="Z419" i="42"/>
  <c r="AA419" i="42"/>
  <c r="AB419" i="42"/>
  <c r="AC419" i="42"/>
  <c r="AD419" i="42"/>
  <c r="Y420" i="42"/>
  <c r="Z420" i="42"/>
  <c r="AA420" i="42"/>
  <c r="AB420" i="42"/>
  <c r="AC420" i="42"/>
  <c r="AD420" i="42"/>
  <c r="Y421" i="42"/>
  <c r="Z421" i="42"/>
  <c r="AA421" i="42"/>
  <c r="AB421" i="42"/>
  <c r="AC421" i="42"/>
  <c r="AD421" i="42"/>
  <c r="Y422" i="42"/>
  <c r="Z422" i="42"/>
  <c r="AA422" i="42"/>
  <c r="AB422" i="42"/>
  <c r="AC422" i="42"/>
  <c r="AD422" i="42"/>
  <c r="Y423" i="42"/>
  <c r="Z423" i="42"/>
  <c r="AA423" i="42"/>
  <c r="AB423" i="42"/>
  <c r="AC423" i="42"/>
  <c r="AD423" i="42"/>
  <c r="Y424" i="42"/>
  <c r="Z424" i="42"/>
  <c r="AA424" i="42"/>
  <c r="AB424" i="42"/>
  <c r="AC424" i="42"/>
  <c r="AD424" i="42"/>
  <c r="Y425" i="42"/>
  <c r="Z425" i="42"/>
  <c r="AA425" i="42"/>
  <c r="AB425" i="42"/>
  <c r="AC425" i="42"/>
  <c r="AD425" i="42"/>
  <c r="Y426" i="42"/>
  <c r="Z426" i="42"/>
  <c r="AA426" i="42"/>
  <c r="AB426" i="42"/>
  <c r="AC426" i="42"/>
  <c r="AD426" i="42"/>
  <c r="Y427" i="42"/>
  <c r="Z427" i="42"/>
  <c r="AA427" i="42"/>
  <c r="AB427" i="42"/>
  <c r="AC427" i="42"/>
  <c r="AD427" i="42"/>
  <c r="Y428" i="42"/>
  <c r="Z428" i="42"/>
  <c r="AA428" i="42"/>
  <c r="AB428" i="42"/>
  <c r="AC428" i="42"/>
  <c r="AD428" i="42"/>
  <c r="Y429" i="42"/>
  <c r="Z429" i="42"/>
  <c r="AA429" i="42"/>
  <c r="AB429" i="42"/>
  <c r="AC429" i="42"/>
  <c r="AD429" i="42"/>
  <c r="Y430" i="42"/>
  <c r="Z430" i="42"/>
  <c r="AA430" i="42"/>
  <c r="AB430" i="42"/>
  <c r="AC430" i="42"/>
  <c r="AD430" i="42"/>
  <c r="Y431" i="42"/>
  <c r="Z431" i="42"/>
  <c r="AA431" i="42"/>
  <c r="AB431" i="42"/>
  <c r="AC431" i="42"/>
  <c r="AD431" i="42"/>
  <c r="Y432" i="42"/>
  <c r="Z432" i="42"/>
  <c r="AA432" i="42"/>
  <c r="AB432" i="42"/>
  <c r="AC432" i="42"/>
  <c r="AD432" i="42"/>
  <c r="Y433" i="42"/>
  <c r="Z433" i="42"/>
  <c r="AA433" i="42"/>
  <c r="AB433" i="42"/>
  <c r="AC433" i="42"/>
  <c r="AD433" i="42"/>
  <c r="Y434" i="42"/>
  <c r="Z434" i="42"/>
  <c r="AA434" i="42"/>
  <c r="AB434" i="42"/>
  <c r="AC434" i="42"/>
  <c r="AD434" i="42"/>
  <c r="Y435" i="42"/>
  <c r="Z435" i="42"/>
  <c r="AA435" i="42"/>
  <c r="AB435" i="42"/>
  <c r="AC435" i="42"/>
  <c r="AD435" i="42"/>
  <c r="Y436" i="42"/>
  <c r="Z436" i="42"/>
  <c r="AA436" i="42"/>
  <c r="AB436" i="42"/>
  <c r="AC436" i="42"/>
  <c r="AD436" i="42"/>
  <c r="Y437" i="42"/>
  <c r="Z437" i="42"/>
  <c r="AA437" i="42"/>
  <c r="AB437" i="42"/>
  <c r="AC437" i="42"/>
  <c r="AD437" i="42"/>
  <c r="Y438" i="42"/>
  <c r="Z438" i="42"/>
  <c r="AA438" i="42"/>
  <c r="AB438" i="42"/>
  <c r="AC438" i="42"/>
  <c r="AD438" i="42"/>
  <c r="Y439" i="42"/>
  <c r="Z439" i="42"/>
  <c r="AA439" i="42"/>
  <c r="AB439" i="42"/>
  <c r="AC439" i="42"/>
  <c r="AD439" i="42"/>
  <c r="Y440" i="42"/>
  <c r="Z440" i="42"/>
  <c r="AA440" i="42"/>
  <c r="AB440" i="42"/>
  <c r="AC440" i="42"/>
  <c r="AD440" i="42"/>
  <c r="Y441" i="42"/>
  <c r="Z441" i="42"/>
  <c r="AA441" i="42"/>
  <c r="AB441" i="42"/>
  <c r="AC441" i="42"/>
  <c r="AD441" i="42"/>
  <c r="Y442" i="42"/>
  <c r="Z442" i="42"/>
  <c r="AA442" i="42"/>
  <c r="AB442" i="42"/>
  <c r="AC442" i="42"/>
  <c r="AD442" i="42"/>
  <c r="Y443" i="42"/>
  <c r="Z443" i="42"/>
  <c r="AA443" i="42"/>
  <c r="AB443" i="42"/>
  <c r="AC443" i="42"/>
  <c r="AD443" i="42"/>
  <c r="Y444" i="42"/>
  <c r="Z444" i="42"/>
  <c r="AA444" i="42"/>
  <c r="AB444" i="42"/>
  <c r="AC444" i="42"/>
  <c r="AD444" i="42"/>
  <c r="Y445" i="42"/>
  <c r="Z445" i="42"/>
  <c r="AA445" i="42"/>
  <c r="AB445" i="42"/>
  <c r="AC445" i="42"/>
  <c r="AD445" i="42"/>
  <c r="Y446" i="42"/>
  <c r="Z446" i="42"/>
  <c r="AA446" i="42"/>
  <c r="AB446" i="42"/>
  <c r="AC446" i="42"/>
  <c r="AD446" i="42"/>
  <c r="Y447" i="42"/>
  <c r="Z447" i="42"/>
  <c r="AA447" i="42"/>
  <c r="AB447" i="42"/>
  <c r="AC447" i="42"/>
  <c r="AD447" i="42"/>
  <c r="Y448" i="42"/>
  <c r="Z448" i="42"/>
  <c r="AA448" i="42"/>
  <c r="AB448" i="42"/>
  <c r="AC448" i="42"/>
  <c r="AD448" i="42"/>
  <c r="Y449" i="42"/>
  <c r="Z449" i="42"/>
  <c r="AA449" i="42"/>
  <c r="AB449" i="42"/>
  <c r="AC449" i="42"/>
  <c r="AD449" i="42"/>
  <c r="Y450" i="42"/>
  <c r="Z450" i="42"/>
  <c r="AA450" i="42"/>
  <c r="AB450" i="42"/>
  <c r="AC450" i="42"/>
  <c r="AD450" i="42"/>
  <c r="Y451" i="42"/>
  <c r="Z451" i="42"/>
  <c r="AA451" i="42"/>
  <c r="AB451" i="42"/>
  <c r="AC451" i="42"/>
  <c r="AD451" i="42"/>
  <c r="Y452" i="42"/>
  <c r="Z452" i="42"/>
  <c r="AA452" i="42"/>
  <c r="AB452" i="42"/>
  <c r="AC452" i="42"/>
  <c r="AD452" i="42"/>
  <c r="Y453" i="42"/>
  <c r="Z453" i="42"/>
  <c r="AA453" i="42"/>
  <c r="AB453" i="42"/>
  <c r="AC453" i="42"/>
  <c r="AD453" i="42"/>
  <c r="Y454" i="42"/>
  <c r="Z454" i="42"/>
  <c r="AA454" i="42"/>
  <c r="AB454" i="42"/>
  <c r="AC454" i="42"/>
  <c r="AD454" i="42"/>
  <c r="Y455" i="42"/>
  <c r="Z455" i="42"/>
  <c r="AA455" i="42"/>
  <c r="AB455" i="42"/>
  <c r="AC455" i="42"/>
  <c r="AD455" i="42"/>
  <c r="Y456" i="42"/>
  <c r="Z456" i="42"/>
  <c r="AA456" i="42"/>
  <c r="AB456" i="42"/>
  <c r="AC456" i="42"/>
  <c r="AD456" i="42"/>
  <c r="Y457" i="42"/>
  <c r="Z457" i="42"/>
  <c r="AA457" i="42"/>
  <c r="AB457" i="42"/>
  <c r="AC457" i="42"/>
  <c r="AD457" i="42"/>
  <c r="Y458" i="42"/>
  <c r="Z458" i="42"/>
  <c r="AA458" i="42"/>
  <c r="AB458" i="42"/>
  <c r="AC458" i="42"/>
  <c r="AD458" i="42"/>
  <c r="Y459" i="42"/>
  <c r="Z459" i="42"/>
  <c r="AA459" i="42"/>
  <c r="AB459" i="42"/>
  <c r="AC459" i="42"/>
  <c r="AD459" i="42"/>
  <c r="Y460" i="42"/>
  <c r="Z460" i="42"/>
  <c r="AA460" i="42"/>
  <c r="AB460" i="42"/>
  <c r="AC460" i="42"/>
  <c r="AD460" i="42"/>
  <c r="Y461" i="42"/>
  <c r="Z461" i="42"/>
  <c r="AA461" i="42"/>
  <c r="AB461" i="42"/>
  <c r="AC461" i="42"/>
  <c r="AD461" i="42"/>
  <c r="Y462" i="42"/>
  <c r="Z462" i="42"/>
  <c r="AA462" i="42"/>
  <c r="AB462" i="42"/>
  <c r="AC462" i="42"/>
  <c r="AD462" i="42"/>
  <c r="Y463" i="42"/>
  <c r="Z463" i="42"/>
  <c r="AA463" i="42"/>
  <c r="AB463" i="42"/>
  <c r="AC463" i="42"/>
  <c r="AD463" i="42"/>
  <c r="Y464" i="42"/>
  <c r="Z464" i="42"/>
  <c r="AA464" i="42"/>
  <c r="AB464" i="42"/>
  <c r="AC464" i="42"/>
  <c r="AD464" i="42"/>
  <c r="Y465" i="42"/>
  <c r="Z465" i="42"/>
  <c r="AA465" i="42"/>
  <c r="AB465" i="42"/>
  <c r="AC465" i="42"/>
  <c r="AD465" i="42"/>
  <c r="Y466" i="42"/>
  <c r="Z466" i="42"/>
  <c r="AA466" i="42"/>
  <c r="AB466" i="42"/>
  <c r="AC466" i="42"/>
  <c r="AD466" i="42"/>
  <c r="Y467" i="42"/>
  <c r="Z467" i="42"/>
  <c r="AA467" i="42"/>
  <c r="AB467" i="42"/>
  <c r="AC467" i="42"/>
  <c r="AD467" i="42"/>
  <c r="Y468" i="42"/>
  <c r="Z468" i="42"/>
  <c r="AA468" i="42"/>
  <c r="AB468" i="42"/>
  <c r="AC468" i="42"/>
  <c r="AD468" i="42"/>
  <c r="Y469" i="42"/>
  <c r="Z469" i="42"/>
  <c r="AA469" i="42"/>
  <c r="AB469" i="42"/>
  <c r="AC469" i="42"/>
  <c r="AD469" i="42"/>
  <c r="Y470" i="42"/>
  <c r="Z470" i="42"/>
  <c r="AA470" i="42"/>
  <c r="AB470" i="42"/>
  <c r="AC470" i="42"/>
  <c r="AD470" i="42"/>
  <c r="Y471" i="42"/>
  <c r="Z471" i="42"/>
  <c r="AA471" i="42"/>
  <c r="AB471" i="42"/>
  <c r="AC471" i="42"/>
  <c r="AD471" i="42"/>
  <c r="Y472" i="42"/>
  <c r="Z472" i="42"/>
  <c r="AA472" i="42"/>
  <c r="AB472" i="42"/>
  <c r="AC472" i="42"/>
  <c r="AD472" i="42"/>
  <c r="Y473" i="42"/>
  <c r="Z473" i="42"/>
  <c r="AA473" i="42"/>
  <c r="AB473" i="42"/>
  <c r="AC473" i="42"/>
  <c r="AD473" i="42"/>
  <c r="Y474" i="42"/>
  <c r="Z474" i="42"/>
  <c r="AA474" i="42"/>
  <c r="AB474" i="42"/>
  <c r="AC474" i="42"/>
  <c r="AD474" i="42"/>
  <c r="Y475" i="42"/>
  <c r="Z475" i="42"/>
  <c r="AA475" i="42"/>
  <c r="AB475" i="42"/>
  <c r="AC475" i="42"/>
  <c r="AD475" i="42"/>
  <c r="Y476" i="42"/>
  <c r="Z476" i="42"/>
  <c r="AA476" i="42"/>
  <c r="AB476" i="42"/>
  <c r="AC476" i="42"/>
  <c r="AD476" i="42"/>
  <c r="Y477" i="42"/>
  <c r="Z477" i="42"/>
  <c r="AA477" i="42"/>
  <c r="AB477" i="42"/>
  <c r="AC477" i="42"/>
  <c r="AD477" i="42"/>
  <c r="Y478" i="42"/>
  <c r="Z478" i="42"/>
  <c r="AA478" i="42"/>
  <c r="AB478" i="42"/>
  <c r="AC478" i="42"/>
  <c r="AD478" i="42"/>
  <c r="Y479" i="42"/>
  <c r="Z479" i="42"/>
  <c r="AA479" i="42"/>
  <c r="AB479" i="42"/>
  <c r="AC479" i="42"/>
  <c r="AD479" i="42"/>
  <c r="Y480" i="42"/>
  <c r="Z480" i="42"/>
  <c r="AA480" i="42"/>
  <c r="AB480" i="42"/>
  <c r="AC480" i="42"/>
  <c r="AD480" i="42"/>
  <c r="Y481" i="42"/>
  <c r="Z481" i="42"/>
  <c r="AA481" i="42"/>
  <c r="AB481" i="42"/>
  <c r="AC481" i="42"/>
  <c r="AD481" i="42"/>
  <c r="Y482" i="42"/>
  <c r="Z482" i="42"/>
  <c r="AA482" i="42"/>
  <c r="AB482" i="42"/>
  <c r="AC482" i="42"/>
  <c r="AD482" i="42"/>
  <c r="Y483" i="42"/>
  <c r="Z483" i="42"/>
  <c r="AA483" i="42"/>
  <c r="AB483" i="42"/>
  <c r="AC483" i="42"/>
  <c r="AD483" i="42"/>
  <c r="Y484" i="42"/>
  <c r="Z484" i="42"/>
  <c r="AA484" i="42"/>
  <c r="AB484" i="42"/>
  <c r="AC484" i="42"/>
  <c r="AD484" i="42"/>
  <c r="Y485" i="42"/>
  <c r="Z485" i="42"/>
  <c r="AA485" i="42"/>
  <c r="AB485" i="42"/>
  <c r="AC485" i="42"/>
  <c r="AD485" i="42"/>
  <c r="Y486" i="42"/>
  <c r="Z486" i="42"/>
  <c r="AA486" i="42"/>
  <c r="AB486" i="42"/>
  <c r="AC486" i="42"/>
  <c r="AD486" i="42"/>
  <c r="Y487" i="42"/>
  <c r="Z487" i="42"/>
  <c r="AA487" i="42"/>
  <c r="AB487" i="42"/>
  <c r="AC487" i="42"/>
  <c r="AD487" i="42"/>
  <c r="Y488" i="42"/>
  <c r="Z488" i="42"/>
  <c r="AA488" i="42"/>
  <c r="AB488" i="42"/>
  <c r="AC488" i="42"/>
  <c r="AD488" i="42"/>
  <c r="Y489" i="42"/>
  <c r="Z489" i="42"/>
  <c r="AA489" i="42"/>
  <c r="AB489" i="42"/>
  <c r="AC489" i="42"/>
  <c r="AD489" i="42"/>
  <c r="Y490" i="42"/>
  <c r="Z490" i="42"/>
  <c r="AA490" i="42"/>
  <c r="AB490" i="42"/>
  <c r="AC490" i="42"/>
  <c r="AD490" i="42"/>
  <c r="Y491" i="42"/>
  <c r="Z491" i="42"/>
  <c r="AA491" i="42"/>
  <c r="AB491" i="42"/>
  <c r="AC491" i="42"/>
  <c r="AD491" i="42"/>
  <c r="Y492" i="42"/>
  <c r="Z492" i="42"/>
  <c r="AA492" i="42"/>
  <c r="AB492" i="42"/>
  <c r="AC492" i="42"/>
  <c r="AD492" i="42"/>
  <c r="Y493" i="42"/>
  <c r="Z493" i="42"/>
  <c r="AA493" i="42"/>
  <c r="AB493" i="42"/>
  <c r="AC493" i="42"/>
  <c r="AD493" i="42"/>
  <c r="Y494" i="42"/>
  <c r="Z494" i="42"/>
  <c r="AA494" i="42"/>
  <c r="AB494" i="42"/>
  <c r="AC494" i="42"/>
  <c r="AD494" i="42"/>
  <c r="Y495" i="42"/>
  <c r="Z495" i="42"/>
  <c r="AA495" i="42"/>
  <c r="AB495" i="42"/>
  <c r="AC495" i="42"/>
  <c r="AD495" i="42"/>
  <c r="Y496" i="42"/>
  <c r="Z496" i="42"/>
  <c r="AA496" i="42"/>
  <c r="AB496" i="42"/>
  <c r="AC496" i="42"/>
  <c r="AD496" i="42"/>
  <c r="Y497" i="42"/>
  <c r="Z497" i="42"/>
  <c r="AA497" i="42"/>
  <c r="AB497" i="42"/>
  <c r="AC497" i="42"/>
  <c r="AD497" i="42"/>
  <c r="Y498" i="42"/>
  <c r="Z498" i="42"/>
  <c r="AA498" i="42"/>
  <c r="AB498" i="42"/>
  <c r="AC498" i="42"/>
  <c r="AD498" i="42"/>
  <c r="Y499" i="42"/>
  <c r="Z499" i="42"/>
  <c r="AA499" i="42"/>
  <c r="AB499" i="42"/>
  <c r="AC499" i="42"/>
  <c r="AD499" i="42"/>
  <c r="Y500" i="42"/>
  <c r="Z500" i="42"/>
  <c r="AA500" i="42"/>
  <c r="AB500" i="42"/>
  <c r="AC500" i="42"/>
  <c r="AD500" i="42"/>
  <c r="Y501" i="42"/>
  <c r="Z501" i="42"/>
  <c r="AA501" i="42"/>
  <c r="AB501" i="42"/>
  <c r="AC501" i="42"/>
  <c r="AD501" i="42"/>
  <c r="Y502" i="42"/>
  <c r="Z502" i="42"/>
  <c r="AA502" i="42"/>
  <c r="AB502" i="42"/>
  <c r="AC502" i="42"/>
  <c r="AD502" i="42"/>
  <c r="Y503" i="42"/>
  <c r="Z503" i="42"/>
  <c r="AA503" i="42"/>
  <c r="AB503" i="42"/>
  <c r="AC503" i="42"/>
  <c r="AD503" i="42"/>
  <c r="Y504" i="42"/>
  <c r="Z504" i="42"/>
  <c r="AA504" i="42"/>
  <c r="AB504" i="42"/>
  <c r="AC504" i="42"/>
  <c r="AD504" i="42"/>
  <c r="Y505" i="42"/>
  <c r="Z505" i="42"/>
  <c r="AA505" i="42"/>
  <c r="AB505" i="42"/>
  <c r="AC505" i="42"/>
  <c r="AD505" i="42"/>
  <c r="Y506" i="42"/>
  <c r="Z506" i="42"/>
  <c r="AA506" i="42"/>
  <c r="AB506" i="42"/>
  <c r="AC506" i="42"/>
  <c r="AD506" i="42"/>
  <c r="Y507" i="42"/>
  <c r="Z507" i="42"/>
  <c r="AA507" i="42"/>
  <c r="AB507" i="42"/>
  <c r="AC507" i="42"/>
  <c r="AD507" i="42"/>
  <c r="Y508" i="42"/>
  <c r="Z508" i="42"/>
  <c r="AA508" i="42"/>
  <c r="AB508" i="42"/>
  <c r="AC508" i="42"/>
  <c r="AD508" i="42"/>
  <c r="Y509" i="42"/>
  <c r="Z509" i="42"/>
  <c r="AA509" i="42"/>
  <c r="AB509" i="42"/>
  <c r="AC509" i="42"/>
  <c r="AD509" i="42"/>
  <c r="Y510" i="42"/>
  <c r="Z510" i="42"/>
  <c r="AA510" i="42"/>
  <c r="AB510" i="42"/>
  <c r="AC510" i="42"/>
  <c r="AD510" i="42"/>
  <c r="Y511" i="42"/>
  <c r="Z511" i="42"/>
  <c r="AA511" i="42"/>
  <c r="AB511" i="42"/>
  <c r="AC511" i="42"/>
  <c r="AD511" i="42"/>
  <c r="Y512" i="42"/>
  <c r="Z512" i="42"/>
  <c r="AA512" i="42"/>
  <c r="AB512" i="42"/>
  <c r="AC512" i="42"/>
  <c r="AD512" i="42"/>
  <c r="Y513" i="42"/>
  <c r="Z513" i="42"/>
  <c r="AA513" i="42"/>
  <c r="AB513" i="42"/>
  <c r="AC513" i="42"/>
  <c r="AD513" i="42"/>
  <c r="Y514" i="42"/>
  <c r="Z514" i="42"/>
  <c r="AA514" i="42"/>
  <c r="AB514" i="42"/>
  <c r="AC514" i="42"/>
  <c r="AD514" i="42"/>
  <c r="Y515" i="42"/>
  <c r="Z515" i="42"/>
  <c r="AA515" i="42"/>
  <c r="AB515" i="42"/>
  <c r="AC515" i="42"/>
  <c r="AD515" i="42"/>
  <c r="AD296" i="42"/>
  <c r="AC296" i="42"/>
  <c r="AB296" i="42"/>
  <c r="AA296" i="42"/>
  <c r="Z296" i="42"/>
  <c r="Y296" i="42"/>
  <c r="Y77" i="42"/>
  <c r="Z77" i="42"/>
  <c r="AA77" i="42"/>
  <c r="AB77" i="42"/>
  <c r="AC77" i="42"/>
  <c r="AD77" i="42"/>
  <c r="Y78" i="42"/>
  <c r="Z78" i="42"/>
  <c r="AA78" i="42"/>
  <c r="AB78" i="42"/>
  <c r="AC78" i="42"/>
  <c r="AD78" i="42"/>
  <c r="Y79" i="42"/>
  <c r="Z79" i="42"/>
  <c r="AA79" i="42"/>
  <c r="AB79" i="42"/>
  <c r="AC79" i="42"/>
  <c r="AD79" i="42"/>
  <c r="Y80" i="42"/>
  <c r="Z80" i="42"/>
  <c r="AA80" i="42"/>
  <c r="AB80" i="42"/>
  <c r="AC80" i="42"/>
  <c r="AD80" i="42"/>
  <c r="Y81" i="42"/>
  <c r="Z81" i="42"/>
  <c r="AA81" i="42"/>
  <c r="AB81" i="42"/>
  <c r="AC81" i="42"/>
  <c r="AD81" i="42"/>
  <c r="Y82" i="42"/>
  <c r="Z82" i="42"/>
  <c r="AA82" i="42"/>
  <c r="AB82" i="42"/>
  <c r="AC82" i="42"/>
  <c r="AD82" i="42"/>
  <c r="Y83" i="42"/>
  <c r="Z83" i="42"/>
  <c r="AA83" i="42"/>
  <c r="AB83" i="42"/>
  <c r="AC83" i="42"/>
  <c r="AD83" i="42"/>
  <c r="Y84" i="42"/>
  <c r="Z84" i="42"/>
  <c r="AA84" i="42"/>
  <c r="AB84" i="42"/>
  <c r="AC84" i="42"/>
  <c r="AD84" i="42"/>
  <c r="Y85" i="42"/>
  <c r="Z85" i="42"/>
  <c r="AA85" i="42"/>
  <c r="AB85" i="42"/>
  <c r="AC85" i="42"/>
  <c r="AD85" i="42"/>
  <c r="Y86" i="42"/>
  <c r="Z86" i="42"/>
  <c r="AA86" i="42"/>
  <c r="AB86" i="42"/>
  <c r="AC86" i="42"/>
  <c r="AD86" i="42"/>
  <c r="Y87" i="42"/>
  <c r="Z87" i="42"/>
  <c r="AA87" i="42"/>
  <c r="AB87" i="42"/>
  <c r="AC87" i="42"/>
  <c r="AD87" i="42"/>
  <c r="Y88" i="42"/>
  <c r="Z88" i="42"/>
  <c r="AA88" i="42"/>
  <c r="AB88" i="42"/>
  <c r="AC88" i="42"/>
  <c r="AD88" i="42"/>
  <c r="Y89" i="42"/>
  <c r="Z89" i="42"/>
  <c r="AA89" i="42"/>
  <c r="AB89" i="42"/>
  <c r="AC89" i="42"/>
  <c r="AD89" i="42"/>
  <c r="Y90" i="42"/>
  <c r="Z90" i="42"/>
  <c r="AA90" i="42"/>
  <c r="AB90" i="42"/>
  <c r="AC90" i="42"/>
  <c r="AD90" i="42"/>
  <c r="Y91" i="42"/>
  <c r="Z91" i="42"/>
  <c r="AA91" i="42"/>
  <c r="AB91" i="42"/>
  <c r="AC91" i="42"/>
  <c r="AD91" i="42"/>
  <c r="Y92" i="42"/>
  <c r="Z92" i="42"/>
  <c r="AA92" i="42"/>
  <c r="AB92" i="42"/>
  <c r="AC92" i="42"/>
  <c r="AD92" i="42"/>
  <c r="Y93" i="42"/>
  <c r="Z93" i="42"/>
  <c r="AA93" i="42"/>
  <c r="AB93" i="42"/>
  <c r="AC93" i="42"/>
  <c r="AD93" i="42"/>
  <c r="Y94" i="42"/>
  <c r="Z94" i="42"/>
  <c r="AA94" i="42"/>
  <c r="AB94" i="42"/>
  <c r="AC94" i="42"/>
  <c r="AD94" i="42"/>
  <c r="Y95" i="42"/>
  <c r="Z95" i="42"/>
  <c r="AA95" i="42"/>
  <c r="AB95" i="42"/>
  <c r="AC95" i="42"/>
  <c r="AD95" i="42"/>
  <c r="Y96" i="42"/>
  <c r="Z96" i="42"/>
  <c r="AA96" i="42"/>
  <c r="AB96" i="42"/>
  <c r="AC96" i="42"/>
  <c r="AD96" i="42"/>
  <c r="Y97" i="42"/>
  <c r="Z97" i="42"/>
  <c r="AA97" i="42"/>
  <c r="AB97" i="42"/>
  <c r="AC97" i="42"/>
  <c r="AD97" i="42"/>
  <c r="Y98" i="42"/>
  <c r="Z98" i="42"/>
  <c r="AA98" i="42"/>
  <c r="AB98" i="42"/>
  <c r="AC98" i="42"/>
  <c r="AD98" i="42"/>
  <c r="Y99" i="42"/>
  <c r="Z99" i="42"/>
  <c r="AA99" i="42"/>
  <c r="AB99" i="42"/>
  <c r="AC99" i="42"/>
  <c r="AD99" i="42"/>
  <c r="Y100" i="42"/>
  <c r="Z100" i="42"/>
  <c r="AA100" i="42"/>
  <c r="AB100" i="42"/>
  <c r="AC100" i="42"/>
  <c r="AD100" i="42"/>
  <c r="Y101" i="42"/>
  <c r="Z101" i="42"/>
  <c r="AA101" i="42"/>
  <c r="AB101" i="42"/>
  <c r="AC101" i="42"/>
  <c r="AD101" i="42"/>
  <c r="Y102" i="42"/>
  <c r="Z102" i="42"/>
  <c r="AA102" i="42"/>
  <c r="AB102" i="42"/>
  <c r="AC102" i="42"/>
  <c r="AD102" i="42"/>
  <c r="Y103" i="42"/>
  <c r="Z103" i="42"/>
  <c r="AA103" i="42"/>
  <c r="AB103" i="42"/>
  <c r="AC103" i="42"/>
  <c r="AD103" i="42"/>
  <c r="Y104" i="42"/>
  <c r="Z104" i="42"/>
  <c r="AA104" i="42"/>
  <c r="AB104" i="42"/>
  <c r="AC104" i="42"/>
  <c r="AD104" i="42"/>
  <c r="Y105" i="42"/>
  <c r="Z105" i="42"/>
  <c r="AA105" i="42"/>
  <c r="AB105" i="42"/>
  <c r="AC105" i="42"/>
  <c r="AD105" i="42"/>
  <c r="Y106" i="42"/>
  <c r="Z106" i="42"/>
  <c r="AA106" i="42"/>
  <c r="AB106" i="42"/>
  <c r="AC106" i="42"/>
  <c r="AD106" i="42"/>
  <c r="Y107" i="42"/>
  <c r="Z107" i="42"/>
  <c r="AA107" i="42"/>
  <c r="AB107" i="42"/>
  <c r="AC107" i="42"/>
  <c r="AD107" i="42"/>
  <c r="Y108" i="42"/>
  <c r="Z108" i="42"/>
  <c r="AA108" i="42"/>
  <c r="AB108" i="42"/>
  <c r="AC108" i="42"/>
  <c r="AD108" i="42"/>
  <c r="Y109" i="42"/>
  <c r="Z109" i="42"/>
  <c r="AA109" i="42"/>
  <c r="AB109" i="42"/>
  <c r="AC109" i="42"/>
  <c r="AD109" i="42"/>
  <c r="Y110" i="42"/>
  <c r="Z110" i="42"/>
  <c r="AA110" i="42"/>
  <c r="AB110" i="42"/>
  <c r="AC110" i="42"/>
  <c r="AD110" i="42"/>
  <c r="Y111" i="42"/>
  <c r="Z111" i="42"/>
  <c r="AA111" i="42"/>
  <c r="AB111" i="42"/>
  <c r="AC111" i="42"/>
  <c r="AD111" i="42"/>
  <c r="Y112" i="42"/>
  <c r="Z112" i="42"/>
  <c r="AA112" i="42"/>
  <c r="AB112" i="42"/>
  <c r="AC112" i="42"/>
  <c r="AD112" i="42"/>
  <c r="Y113" i="42"/>
  <c r="Z113" i="42"/>
  <c r="AA113" i="42"/>
  <c r="AB113" i="42"/>
  <c r="AC113" i="42"/>
  <c r="AD113" i="42"/>
  <c r="Y114" i="42"/>
  <c r="Z114" i="42"/>
  <c r="AA114" i="42"/>
  <c r="AB114" i="42"/>
  <c r="AC114" i="42"/>
  <c r="AD114" i="42"/>
  <c r="Y115" i="42"/>
  <c r="Z115" i="42"/>
  <c r="AA115" i="42"/>
  <c r="AB115" i="42"/>
  <c r="AC115" i="42"/>
  <c r="AD115" i="42"/>
  <c r="Y116" i="42"/>
  <c r="Z116" i="42"/>
  <c r="AA116" i="42"/>
  <c r="AB116" i="42"/>
  <c r="AC116" i="42"/>
  <c r="AD116" i="42"/>
  <c r="Y117" i="42"/>
  <c r="Z117" i="42"/>
  <c r="AA117" i="42"/>
  <c r="AB117" i="42"/>
  <c r="AC117" i="42"/>
  <c r="AD117" i="42"/>
  <c r="Y118" i="42"/>
  <c r="Z118" i="42"/>
  <c r="AA118" i="42"/>
  <c r="AB118" i="42"/>
  <c r="AC118" i="42"/>
  <c r="AD118" i="42"/>
  <c r="Y119" i="42"/>
  <c r="Z119" i="42"/>
  <c r="AA119" i="42"/>
  <c r="AB119" i="42"/>
  <c r="AC119" i="42"/>
  <c r="AD119" i="42"/>
  <c r="Y120" i="42"/>
  <c r="Z120" i="42"/>
  <c r="AA120" i="42"/>
  <c r="AB120" i="42"/>
  <c r="AC120" i="42"/>
  <c r="AD120" i="42"/>
  <c r="Y121" i="42"/>
  <c r="Z121" i="42"/>
  <c r="AA121" i="42"/>
  <c r="AB121" i="42"/>
  <c r="AC121" i="42"/>
  <c r="AD121" i="42"/>
  <c r="Y122" i="42"/>
  <c r="Z122" i="42"/>
  <c r="AA122" i="42"/>
  <c r="AB122" i="42"/>
  <c r="AC122" i="42"/>
  <c r="AD122" i="42"/>
  <c r="Y123" i="42"/>
  <c r="Z123" i="42"/>
  <c r="AA123" i="42"/>
  <c r="AB123" i="42"/>
  <c r="AC123" i="42"/>
  <c r="AD123" i="42"/>
  <c r="Y124" i="42"/>
  <c r="Z124" i="42"/>
  <c r="AA124" i="42"/>
  <c r="AB124" i="42"/>
  <c r="AC124" i="42"/>
  <c r="AD124" i="42"/>
  <c r="Y125" i="42"/>
  <c r="Z125" i="42"/>
  <c r="AA125" i="42"/>
  <c r="AB125" i="42"/>
  <c r="AC125" i="42"/>
  <c r="AD125" i="42"/>
  <c r="Y126" i="42"/>
  <c r="Z126" i="42"/>
  <c r="AA126" i="42"/>
  <c r="AB126" i="42"/>
  <c r="AC126" i="42"/>
  <c r="AD126" i="42"/>
  <c r="Y127" i="42"/>
  <c r="Z127" i="42"/>
  <c r="AA127" i="42"/>
  <c r="AB127" i="42"/>
  <c r="AC127" i="42"/>
  <c r="AD127" i="42"/>
  <c r="Y128" i="42"/>
  <c r="Z128" i="42"/>
  <c r="AA128" i="42"/>
  <c r="AB128" i="42"/>
  <c r="AC128" i="42"/>
  <c r="AD128" i="42"/>
  <c r="Y129" i="42"/>
  <c r="Z129" i="42"/>
  <c r="AA129" i="42"/>
  <c r="AB129" i="42"/>
  <c r="AC129" i="42"/>
  <c r="AD129" i="42"/>
  <c r="Y130" i="42"/>
  <c r="Z130" i="42"/>
  <c r="AA130" i="42"/>
  <c r="AB130" i="42"/>
  <c r="AC130" i="42"/>
  <c r="AD130" i="42"/>
  <c r="Y131" i="42"/>
  <c r="Z131" i="42"/>
  <c r="AA131" i="42"/>
  <c r="AB131" i="42"/>
  <c r="AC131" i="42"/>
  <c r="AD131" i="42"/>
  <c r="Y132" i="42"/>
  <c r="Z132" i="42"/>
  <c r="AA132" i="42"/>
  <c r="AB132" i="42"/>
  <c r="AC132" i="42"/>
  <c r="AD132" i="42"/>
  <c r="Y133" i="42"/>
  <c r="Z133" i="42"/>
  <c r="AA133" i="42"/>
  <c r="AB133" i="42"/>
  <c r="AC133" i="42"/>
  <c r="AD133" i="42"/>
  <c r="Y134" i="42"/>
  <c r="Z134" i="42"/>
  <c r="AA134" i="42"/>
  <c r="AB134" i="42"/>
  <c r="AC134" i="42"/>
  <c r="AD134" i="42"/>
  <c r="Y135" i="42"/>
  <c r="Z135" i="42"/>
  <c r="AA135" i="42"/>
  <c r="AB135" i="42"/>
  <c r="AC135" i="42"/>
  <c r="AD135" i="42"/>
  <c r="Y136" i="42"/>
  <c r="Z136" i="42"/>
  <c r="AA136" i="42"/>
  <c r="AB136" i="42"/>
  <c r="AC136" i="42"/>
  <c r="AD136" i="42"/>
  <c r="Y137" i="42"/>
  <c r="Z137" i="42"/>
  <c r="AA137" i="42"/>
  <c r="AB137" i="42"/>
  <c r="AC137" i="42"/>
  <c r="AD137" i="42"/>
  <c r="Y138" i="42"/>
  <c r="Z138" i="42"/>
  <c r="AA138" i="42"/>
  <c r="AB138" i="42"/>
  <c r="AC138" i="42"/>
  <c r="AD138" i="42"/>
  <c r="Y139" i="42"/>
  <c r="Z139" i="42"/>
  <c r="AA139" i="42"/>
  <c r="AB139" i="42"/>
  <c r="AC139" i="42"/>
  <c r="AD139" i="42"/>
  <c r="Y140" i="42"/>
  <c r="Z140" i="42"/>
  <c r="AA140" i="42"/>
  <c r="AB140" i="42"/>
  <c r="AC140" i="42"/>
  <c r="AD140" i="42"/>
  <c r="Y141" i="42"/>
  <c r="Z141" i="42"/>
  <c r="AA141" i="42"/>
  <c r="AB141" i="42"/>
  <c r="AC141" i="42"/>
  <c r="AD141" i="42"/>
  <c r="Y142" i="42"/>
  <c r="Z142" i="42"/>
  <c r="AA142" i="42"/>
  <c r="AB142" i="42"/>
  <c r="AC142" i="42"/>
  <c r="AD142" i="42"/>
  <c r="Y143" i="42"/>
  <c r="Z143" i="42"/>
  <c r="AA143" i="42"/>
  <c r="AB143" i="42"/>
  <c r="AC143" i="42"/>
  <c r="AD143" i="42"/>
  <c r="Y144" i="42"/>
  <c r="Z144" i="42"/>
  <c r="AA144" i="42"/>
  <c r="AB144" i="42"/>
  <c r="AC144" i="42"/>
  <c r="AD144" i="42"/>
  <c r="Y145" i="42"/>
  <c r="Z145" i="42"/>
  <c r="AA145" i="42"/>
  <c r="AB145" i="42"/>
  <c r="AC145" i="42"/>
  <c r="AD145" i="42"/>
  <c r="Y146" i="42"/>
  <c r="Z146" i="42"/>
  <c r="AA146" i="42"/>
  <c r="AB146" i="42"/>
  <c r="AC146" i="42"/>
  <c r="AD146" i="42"/>
  <c r="Y147" i="42"/>
  <c r="Z147" i="42"/>
  <c r="AA147" i="42"/>
  <c r="AB147" i="42"/>
  <c r="AC147" i="42"/>
  <c r="AD147" i="42"/>
  <c r="Y148" i="42"/>
  <c r="Z148" i="42"/>
  <c r="AA148" i="42"/>
  <c r="AB148" i="42"/>
  <c r="AC148" i="42"/>
  <c r="AD148" i="42"/>
  <c r="Y149" i="42"/>
  <c r="Z149" i="42"/>
  <c r="AA149" i="42"/>
  <c r="AB149" i="42"/>
  <c r="AC149" i="42"/>
  <c r="AD149" i="42"/>
  <c r="Y150" i="42"/>
  <c r="Z150" i="42"/>
  <c r="AA150" i="42"/>
  <c r="AB150" i="42"/>
  <c r="AC150" i="42"/>
  <c r="AD150" i="42"/>
  <c r="Y151" i="42"/>
  <c r="Z151" i="42"/>
  <c r="AA151" i="42"/>
  <c r="AB151" i="42"/>
  <c r="AC151" i="42"/>
  <c r="AD151" i="42"/>
  <c r="Y152" i="42"/>
  <c r="Z152" i="42"/>
  <c r="AA152" i="42"/>
  <c r="AB152" i="42"/>
  <c r="AC152" i="42"/>
  <c r="AD152" i="42"/>
  <c r="Y153" i="42"/>
  <c r="Z153" i="42"/>
  <c r="AA153" i="42"/>
  <c r="AB153" i="42"/>
  <c r="AC153" i="42"/>
  <c r="AD153" i="42"/>
  <c r="Y154" i="42"/>
  <c r="Z154" i="42"/>
  <c r="AA154" i="42"/>
  <c r="AB154" i="42"/>
  <c r="AC154" i="42"/>
  <c r="AD154" i="42"/>
  <c r="Y155" i="42"/>
  <c r="Z155" i="42"/>
  <c r="AA155" i="42"/>
  <c r="AB155" i="42"/>
  <c r="AC155" i="42"/>
  <c r="AD155" i="42"/>
  <c r="Y156" i="42"/>
  <c r="Z156" i="42"/>
  <c r="AA156" i="42"/>
  <c r="AB156" i="42"/>
  <c r="AC156" i="42"/>
  <c r="AD156" i="42"/>
  <c r="Y157" i="42"/>
  <c r="Z157" i="42"/>
  <c r="AA157" i="42"/>
  <c r="AB157" i="42"/>
  <c r="AC157" i="42"/>
  <c r="AD157" i="42"/>
  <c r="Y158" i="42"/>
  <c r="Z158" i="42"/>
  <c r="AA158" i="42"/>
  <c r="AB158" i="42"/>
  <c r="AC158" i="42"/>
  <c r="AD158" i="42"/>
  <c r="Y159" i="42"/>
  <c r="Z159" i="42"/>
  <c r="AA159" i="42"/>
  <c r="AB159" i="42"/>
  <c r="AC159" i="42"/>
  <c r="AD159" i="42"/>
  <c r="Y160" i="42"/>
  <c r="Z160" i="42"/>
  <c r="AA160" i="42"/>
  <c r="AB160" i="42"/>
  <c r="AC160" i="42"/>
  <c r="AD160" i="42"/>
  <c r="Y161" i="42"/>
  <c r="Z161" i="42"/>
  <c r="AA161" i="42"/>
  <c r="AB161" i="42"/>
  <c r="AC161" i="42"/>
  <c r="AD161" i="42"/>
  <c r="Y162" i="42"/>
  <c r="Z162" i="42"/>
  <c r="AA162" i="42"/>
  <c r="AB162" i="42"/>
  <c r="AC162" i="42"/>
  <c r="AD162" i="42"/>
  <c r="Y163" i="42"/>
  <c r="Z163" i="42"/>
  <c r="AA163" i="42"/>
  <c r="AB163" i="42"/>
  <c r="AC163" i="42"/>
  <c r="AD163" i="42"/>
  <c r="Y164" i="42"/>
  <c r="Z164" i="42"/>
  <c r="AA164" i="42"/>
  <c r="AB164" i="42"/>
  <c r="AC164" i="42"/>
  <c r="AD164" i="42"/>
  <c r="Y165" i="42"/>
  <c r="Z165" i="42"/>
  <c r="AA165" i="42"/>
  <c r="AB165" i="42"/>
  <c r="AC165" i="42"/>
  <c r="AD165" i="42"/>
  <c r="Y166" i="42"/>
  <c r="Z166" i="42"/>
  <c r="AA166" i="42"/>
  <c r="AB166" i="42"/>
  <c r="AC166" i="42"/>
  <c r="AD166" i="42"/>
  <c r="Y167" i="42"/>
  <c r="Z167" i="42"/>
  <c r="AA167" i="42"/>
  <c r="AB167" i="42"/>
  <c r="AC167" i="42"/>
  <c r="AD167" i="42"/>
  <c r="Y168" i="42"/>
  <c r="Z168" i="42"/>
  <c r="AA168" i="42"/>
  <c r="AB168" i="42"/>
  <c r="AC168" i="42"/>
  <c r="AD168" i="42"/>
  <c r="Y169" i="42"/>
  <c r="Z169" i="42"/>
  <c r="AA169" i="42"/>
  <c r="AB169" i="42"/>
  <c r="AC169" i="42"/>
  <c r="AD169" i="42"/>
  <c r="Y170" i="42"/>
  <c r="Z170" i="42"/>
  <c r="AA170" i="42"/>
  <c r="AB170" i="42"/>
  <c r="AC170" i="42"/>
  <c r="AD170" i="42"/>
  <c r="Y171" i="42"/>
  <c r="Z171" i="42"/>
  <c r="AA171" i="42"/>
  <c r="AB171" i="42"/>
  <c r="AC171" i="42"/>
  <c r="AD171" i="42"/>
  <c r="Y172" i="42"/>
  <c r="Z172" i="42"/>
  <c r="AA172" i="42"/>
  <c r="AB172" i="42"/>
  <c r="AC172" i="42"/>
  <c r="AD172" i="42"/>
  <c r="Y173" i="42"/>
  <c r="Z173" i="42"/>
  <c r="AA173" i="42"/>
  <c r="AB173" i="42"/>
  <c r="AC173" i="42"/>
  <c r="AD173" i="42"/>
  <c r="Y174" i="42"/>
  <c r="Z174" i="42"/>
  <c r="AA174" i="42"/>
  <c r="AB174" i="42"/>
  <c r="AC174" i="42"/>
  <c r="AD174" i="42"/>
  <c r="Y175" i="42"/>
  <c r="Z175" i="42"/>
  <c r="AA175" i="42"/>
  <c r="AB175" i="42"/>
  <c r="AC175" i="42"/>
  <c r="AD175" i="42"/>
  <c r="Y176" i="42"/>
  <c r="Z176" i="42"/>
  <c r="AA176" i="42"/>
  <c r="AB176" i="42"/>
  <c r="AC176" i="42"/>
  <c r="AD176" i="42"/>
  <c r="Y177" i="42"/>
  <c r="Z177" i="42"/>
  <c r="AA177" i="42"/>
  <c r="AB177" i="42"/>
  <c r="AC177" i="42"/>
  <c r="AD177" i="42"/>
  <c r="Y178" i="42"/>
  <c r="Z178" i="42"/>
  <c r="AA178" i="42"/>
  <c r="AB178" i="42"/>
  <c r="AC178" i="42"/>
  <c r="AD178" i="42"/>
  <c r="Y179" i="42"/>
  <c r="Z179" i="42"/>
  <c r="AA179" i="42"/>
  <c r="AB179" i="42"/>
  <c r="AC179" i="42"/>
  <c r="AD179" i="42"/>
  <c r="Y180" i="42"/>
  <c r="Z180" i="42"/>
  <c r="AA180" i="42"/>
  <c r="AB180" i="42"/>
  <c r="AC180" i="42"/>
  <c r="AD180" i="42"/>
  <c r="Y181" i="42"/>
  <c r="Z181" i="42"/>
  <c r="AA181" i="42"/>
  <c r="AB181" i="42"/>
  <c r="AC181" i="42"/>
  <c r="AD181" i="42"/>
  <c r="Y182" i="42"/>
  <c r="Z182" i="42"/>
  <c r="AA182" i="42"/>
  <c r="AB182" i="42"/>
  <c r="AC182" i="42"/>
  <c r="AD182" i="42"/>
  <c r="Y183" i="42"/>
  <c r="Z183" i="42"/>
  <c r="AA183" i="42"/>
  <c r="AB183" i="42"/>
  <c r="AC183" i="42"/>
  <c r="AD183" i="42"/>
  <c r="Y184" i="42"/>
  <c r="Z184" i="42"/>
  <c r="AA184" i="42"/>
  <c r="AB184" i="42"/>
  <c r="AC184" i="42"/>
  <c r="AD184" i="42"/>
  <c r="Y185" i="42"/>
  <c r="Z185" i="42"/>
  <c r="AA185" i="42"/>
  <c r="AB185" i="42"/>
  <c r="AC185" i="42"/>
  <c r="AD185" i="42"/>
  <c r="Y186" i="42"/>
  <c r="Z186" i="42"/>
  <c r="AA186" i="42"/>
  <c r="AB186" i="42"/>
  <c r="AC186" i="42"/>
  <c r="AD186" i="42"/>
  <c r="Y187" i="42"/>
  <c r="Z187" i="42"/>
  <c r="AA187" i="42"/>
  <c r="AB187" i="42"/>
  <c r="AC187" i="42"/>
  <c r="AD187" i="42"/>
  <c r="Y188" i="42"/>
  <c r="Z188" i="42"/>
  <c r="AA188" i="42"/>
  <c r="AB188" i="42"/>
  <c r="AC188" i="42"/>
  <c r="AD188" i="42"/>
  <c r="Y189" i="42"/>
  <c r="Z189" i="42"/>
  <c r="AA189" i="42"/>
  <c r="AB189" i="42"/>
  <c r="AC189" i="42"/>
  <c r="AD189" i="42"/>
  <c r="Y190" i="42"/>
  <c r="Z190" i="42"/>
  <c r="AA190" i="42"/>
  <c r="AB190" i="42"/>
  <c r="AC190" i="42"/>
  <c r="AD190" i="42"/>
  <c r="Y191" i="42"/>
  <c r="Z191" i="42"/>
  <c r="AA191" i="42"/>
  <c r="AB191" i="42"/>
  <c r="AC191" i="42"/>
  <c r="AD191" i="42"/>
  <c r="Y192" i="42"/>
  <c r="Z192" i="42"/>
  <c r="AA192" i="42"/>
  <c r="AB192" i="42"/>
  <c r="AC192" i="42"/>
  <c r="AD192" i="42"/>
  <c r="Y193" i="42"/>
  <c r="Z193" i="42"/>
  <c r="AA193" i="42"/>
  <c r="AB193" i="42"/>
  <c r="AC193" i="42"/>
  <c r="AD193" i="42"/>
  <c r="Y194" i="42"/>
  <c r="Z194" i="42"/>
  <c r="AA194" i="42"/>
  <c r="AB194" i="42"/>
  <c r="AC194" i="42"/>
  <c r="AD194" i="42"/>
  <c r="Y195" i="42"/>
  <c r="Z195" i="42"/>
  <c r="AA195" i="42"/>
  <c r="AB195" i="42"/>
  <c r="AC195" i="42"/>
  <c r="AD195" i="42"/>
  <c r="Y196" i="42"/>
  <c r="Z196" i="42"/>
  <c r="AA196" i="42"/>
  <c r="AB196" i="42"/>
  <c r="AC196" i="42"/>
  <c r="AD196" i="42"/>
  <c r="Y197" i="42"/>
  <c r="Z197" i="42"/>
  <c r="AA197" i="42"/>
  <c r="AB197" i="42"/>
  <c r="AC197" i="42"/>
  <c r="AD197" i="42"/>
  <c r="Y198" i="42"/>
  <c r="Z198" i="42"/>
  <c r="AA198" i="42"/>
  <c r="AB198" i="42"/>
  <c r="AC198" i="42"/>
  <c r="AD198" i="42"/>
  <c r="Y199" i="42"/>
  <c r="Z199" i="42"/>
  <c r="AA199" i="42"/>
  <c r="AB199" i="42"/>
  <c r="AC199" i="42"/>
  <c r="AD199" i="42"/>
  <c r="Y200" i="42"/>
  <c r="Z200" i="42"/>
  <c r="AA200" i="42"/>
  <c r="AB200" i="42"/>
  <c r="AC200" i="42"/>
  <c r="AD200" i="42"/>
  <c r="Y201" i="42"/>
  <c r="Z201" i="42"/>
  <c r="AA201" i="42"/>
  <c r="AB201" i="42"/>
  <c r="AC201" i="42"/>
  <c r="AD201" i="42"/>
  <c r="Y202" i="42"/>
  <c r="Z202" i="42"/>
  <c r="AA202" i="42"/>
  <c r="AB202" i="42"/>
  <c r="AC202" i="42"/>
  <c r="AD202" i="42"/>
  <c r="Y203" i="42"/>
  <c r="Z203" i="42"/>
  <c r="AA203" i="42"/>
  <c r="AB203" i="42"/>
  <c r="AC203" i="42"/>
  <c r="AD203" i="42"/>
  <c r="Y204" i="42"/>
  <c r="Z204" i="42"/>
  <c r="AA204" i="42"/>
  <c r="AB204" i="42"/>
  <c r="AC204" i="42"/>
  <c r="AD204" i="42"/>
  <c r="Y205" i="42"/>
  <c r="Z205" i="42"/>
  <c r="AA205" i="42"/>
  <c r="AB205" i="42"/>
  <c r="AC205" i="42"/>
  <c r="AD205" i="42"/>
  <c r="Y206" i="42"/>
  <c r="Z206" i="42"/>
  <c r="AA206" i="42"/>
  <c r="AB206" i="42"/>
  <c r="AC206" i="42"/>
  <c r="AD206" i="42"/>
  <c r="Y207" i="42"/>
  <c r="Z207" i="42"/>
  <c r="AA207" i="42"/>
  <c r="AB207" i="42"/>
  <c r="AC207" i="42"/>
  <c r="AD207" i="42"/>
  <c r="Y208" i="42"/>
  <c r="Z208" i="42"/>
  <c r="AA208" i="42"/>
  <c r="AB208" i="42"/>
  <c r="AC208" i="42"/>
  <c r="AD208" i="42"/>
  <c r="Y209" i="42"/>
  <c r="Z209" i="42"/>
  <c r="AA209" i="42"/>
  <c r="AB209" i="42"/>
  <c r="AC209" i="42"/>
  <c r="AD209" i="42"/>
  <c r="Y210" i="42"/>
  <c r="Z210" i="42"/>
  <c r="AA210" i="42"/>
  <c r="AB210" i="42"/>
  <c r="AC210" i="42"/>
  <c r="AD210" i="42"/>
  <c r="Y211" i="42"/>
  <c r="Z211" i="42"/>
  <c r="AA211" i="42"/>
  <c r="AB211" i="42"/>
  <c r="AC211" i="42"/>
  <c r="AD211" i="42"/>
  <c r="Y212" i="42"/>
  <c r="Z212" i="42"/>
  <c r="AA212" i="42"/>
  <c r="AB212" i="42"/>
  <c r="AC212" i="42"/>
  <c r="AD212" i="42"/>
  <c r="Y213" i="42"/>
  <c r="Z213" i="42"/>
  <c r="AA213" i="42"/>
  <c r="AB213" i="42"/>
  <c r="AC213" i="42"/>
  <c r="AD213" i="42"/>
  <c r="Y214" i="42"/>
  <c r="Z214" i="42"/>
  <c r="AA214" i="42"/>
  <c r="AB214" i="42"/>
  <c r="AC214" i="42"/>
  <c r="AD214" i="42"/>
  <c r="Y215" i="42"/>
  <c r="Z215" i="42"/>
  <c r="AA215" i="42"/>
  <c r="AB215" i="42"/>
  <c r="AC215" i="42"/>
  <c r="AD215" i="42"/>
  <c r="Y216" i="42"/>
  <c r="Z216" i="42"/>
  <c r="AA216" i="42"/>
  <c r="AB216" i="42"/>
  <c r="AC216" i="42"/>
  <c r="AD216" i="42"/>
  <c r="Y217" i="42"/>
  <c r="Z217" i="42"/>
  <c r="AA217" i="42"/>
  <c r="AB217" i="42"/>
  <c r="AC217" i="42"/>
  <c r="AD217" i="42"/>
  <c r="Y218" i="42"/>
  <c r="Z218" i="42"/>
  <c r="AA218" i="42"/>
  <c r="AB218" i="42"/>
  <c r="AC218" i="42"/>
  <c r="AD218" i="42"/>
  <c r="Y219" i="42"/>
  <c r="Z219" i="42"/>
  <c r="AA219" i="42"/>
  <c r="AB219" i="42"/>
  <c r="AC219" i="42"/>
  <c r="AD219" i="42"/>
  <c r="Y220" i="42"/>
  <c r="Z220" i="42"/>
  <c r="AA220" i="42"/>
  <c r="AB220" i="42"/>
  <c r="AC220" i="42"/>
  <c r="AD220" i="42"/>
  <c r="Y221" i="42"/>
  <c r="Z221" i="42"/>
  <c r="AA221" i="42"/>
  <c r="AB221" i="42"/>
  <c r="AC221" i="42"/>
  <c r="AD221" i="42"/>
  <c r="Y222" i="42"/>
  <c r="Z222" i="42"/>
  <c r="AA222" i="42"/>
  <c r="AB222" i="42"/>
  <c r="AC222" i="42"/>
  <c r="AD222" i="42"/>
  <c r="Y223" i="42"/>
  <c r="Z223" i="42"/>
  <c r="AA223" i="42"/>
  <c r="AB223" i="42"/>
  <c r="AC223" i="42"/>
  <c r="AD223" i="42"/>
  <c r="Y224" i="42"/>
  <c r="Z224" i="42"/>
  <c r="AA224" i="42"/>
  <c r="AB224" i="42"/>
  <c r="AC224" i="42"/>
  <c r="AD224" i="42"/>
  <c r="Y225" i="42"/>
  <c r="Z225" i="42"/>
  <c r="AA225" i="42"/>
  <c r="AB225" i="42"/>
  <c r="AC225" i="42"/>
  <c r="AD225" i="42"/>
  <c r="Y226" i="42"/>
  <c r="Z226" i="42"/>
  <c r="AA226" i="42"/>
  <c r="AB226" i="42"/>
  <c r="AC226" i="42"/>
  <c r="AD226" i="42"/>
  <c r="Y227" i="42"/>
  <c r="Z227" i="42"/>
  <c r="AA227" i="42"/>
  <c r="AB227" i="42"/>
  <c r="AC227" i="42"/>
  <c r="AD227" i="42"/>
  <c r="Y228" i="42"/>
  <c r="Z228" i="42"/>
  <c r="AA228" i="42"/>
  <c r="AB228" i="42"/>
  <c r="AC228" i="42"/>
  <c r="AD228" i="42"/>
  <c r="Y229" i="42"/>
  <c r="Z229" i="42"/>
  <c r="AA229" i="42"/>
  <c r="AB229" i="42"/>
  <c r="AC229" i="42"/>
  <c r="AD229" i="42"/>
  <c r="Y230" i="42"/>
  <c r="Z230" i="42"/>
  <c r="AA230" i="42"/>
  <c r="AB230" i="42"/>
  <c r="AC230" i="42"/>
  <c r="AD230" i="42"/>
  <c r="Y231" i="42"/>
  <c r="Z231" i="42"/>
  <c r="AA231" i="42"/>
  <c r="AB231" i="42"/>
  <c r="AC231" i="42"/>
  <c r="AD231" i="42"/>
  <c r="Y232" i="42"/>
  <c r="Z232" i="42"/>
  <c r="AA232" i="42"/>
  <c r="AB232" i="42"/>
  <c r="AC232" i="42"/>
  <c r="AD232" i="42"/>
  <c r="Y233" i="42"/>
  <c r="Z233" i="42"/>
  <c r="AA233" i="42"/>
  <c r="AB233" i="42"/>
  <c r="AC233" i="42"/>
  <c r="AD233" i="42"/>
  <c r="Y234" i="42"/>
  <c r="Z234" i="42"/>
  <c r="AA234" i="42"/>
  <c r="AB234" i="42"/>
  <c r="AC234" i="42"/>
  <c r="AD234" i="42"/>
  <c r="Y235" i="42"/>
  <c r="Z235" i="42"/>
  <c r="AA235" i="42"/>
  <c r="AB235" i="42"/>
  <c r="AC235" i="42"/>
  <c r="AD235" i="42"/>
  <c r="Y236" i="42"/>
  <c r="Z236" i="42"/>
  <c r="AA236" i="42"/>
  <c r="AB236" i="42"/>
  <c r="AC236" i="42"/>
  <c r="AD236" i="42"/>
  <c r="Y237" i="42"/>
  <c r="Z237" i="42"/>
  <c r="AA237" i="42"/>
  <c r="AB237" i="42"/>
  <c r="AC237" i="42"/>
  <c r="AD237" i="42"/>
  <c r="Y238" i="42"/>
  <c r="Z238" i="42"/>
  <c r="AA238" i="42"/>
  <c r="AB238" i="42"/>
  <c r="AC238" i="42"/>
  <c r="AD238" i="42"/>
  <c r="Y239" i="42"/>
  <c r="Z239" i="42"/>
  <c r="AA239" i="42"/>
  <c r="AB239" i="42"/>
  <c r="AC239" i="42"/>
  <c r="AD239" i="42"/>
  <c r="Y240" i="42"/>
  <c r="Z240" i="42"/>
  <c r="AA240" i="42"/>
  <c r="AB240" i="42"/>
  <c r="AC240" i="42"/>
  <c r="AD240" i="42"/>
  <c r="Y241" i="42"/>
  <c r="Z241" i="42"/>
  <c r="AA241" i="42"/>
  <c r="AB241" i="42"/>
  <c r="AC241" i="42"/>
  <c r="AD241" i="42"/>
  <c r="Y242" i="42"/>
  <c r="Z242" i="42"/>
  <c r="AA242" i="42"/>
  <c r="AB242" i="42"/>
  <c r="AC242" i="42"/>
  <c r="AD242" i="42"/>
  <c r="Y243" i="42"/>
  <c r="Z243" i="42"/>
  <c r="AA243" i="42"/>
  <c r="AB243" i="42"/>
  <c r="AC243" i="42"/>
  <c r="AD243" i="42"/>
  <c r="Y244" i="42"/>
  <c r="Z244" i="42"/>
  <c r="AA244" i="42"/>
  <c r="AB244" i="42"/>
  <c r="AC244" i="42"/>
  <c r="AD244" i="42"/>
  <c r="Y245" i="42"/>
  <c r="Z245" i="42"/>
  <c r="AA245" i="42"/>
  <c r="AB245" i="42"/>
  <c r="AC245" i="42"/>
  <c r="AD245" i="42"/>
  <c r="Y246" i="42"/>
  <c r="Z246" i="42"/>
  <c r="AA246" i="42"/>
  <c r="AB246" i="42"/>
  <c r="AC246" i="42"/>
  <c r="AD246" i="42"/>
  <c r="Y247" i="42"/>
  <c r="Z247" i="42"/>
  <c r="AA247" i="42"/>
  <c r="AB247" i="42"/>
  <c r="AC247" i="42"/>
  <c r="AD247" i="42"/>
  <c r="Y248" i="42"/>
  <c r="Z248" i="42"/>
  <c r="AA248" i="42"/>
  <c r="AB248" i="42"/>
  <c r="AC248" i="42"/>
  <c r="AD248" i="42"/>
  <c r="Y249" i="42"/>
  <c r="Z249" i="42"/>
  <c r="AA249" i="42"/>
  <c r="AB249" i="42"/>
  <c r="AC249" i="42"/>
  <c r="AD249" i="42"/>
  <c r="Y250" i="42"/>
  <c r="Z250" i="42"/>
  <c r="AA250" i="42"/>
  <c r="AB250" i="42"/>
  <c r="AC250" i="42"/>
  <c r="AD250" i="42"/>
  <c r="Y251" i="42"/>
  <c r="Z251" i="42"/>
  <c r="AA251" i="42"/>
  <c r="AB251" i="42"/>
  <c r="AC251" i="42"/>
  <c r="AD251" i="42"/>
  <c r="Y252" i="42"/>
  <c r="Z252" i="42"/>
  <c r="AA252" i="42"/>
  <c r="AB252" i="42"/>
  <c r="AC252" i="42"/>
  <c r="AD252" i="42"/>
  <c r="Y253" i="42"/>
  <c r="Z253" i="42"/>
  <c r="AA253" i="42"/>
  <c r="AB253" i="42"/>
  <c r="AC253" i="42"/>
  <c r="AD253" i="42"/>
  <c r="Y254" i="42"/>
  <c r="Z254" i="42"/>
  <c r="AA254" i="42"/>
  <c r="AB254" i="42"/>
  <c r="AC254" i="42"/>
  <c r="AD254" i="42"/>
  <c r="Y255" i="42"/>
  <c r="Z255" i="42"/>
  <c r="AA255" i="42"/>
  <c r="AB255" i="42"/>
  <c r="AC255" i="42"/>
  <c r="AD255" i="42"/>
  <c r="Y256" i="42"/>
  <c r="Z256" i="42"/>
  <c r="AA256" i="42"/>
  <c r="AB256" i="42"/>
  <c r="AC256" i="42"/>
  <c r="AD256" i="42"/>
  <c r="Y257" i="42"/>
  <c r="Z257" i="42"/>
  <c r="AA257" i="42"/>
  <c r="AB257" i="42"/>
  <c r="AC257" i="42"/>
  <c r="AD257" i="42"/>
  <c r="Y258" i="42"/>
  <c r="Z258" i="42"/>
  <c r="AA258" i="42"/>
  <c r="AB258" i="42"/>
  <c r="AC258" i="42"/>
  <c r="AD258" i="42"/>
  <c r="Y259" i="42"/>
  <c r="Z259" i="42"/>
  <c r="AA259" i="42"/>
  <c r="AB259" i="42"/>
  <c r="AC259" i="42"/>
  <c r="AD259" i="42"/>
  <c r="Y260" i="42"/>
  <c r="Z260" i="42"/>
  <c r="AA260" i="42"/>
  <c r="AB260" i="42"/>
  <c r="AC260" i="42"/>
  <c r="AD260" i="42"/>
  <c r="Y261" i="42"/>
  <c r="Z261" i="42"/>
  <c r="AA261" i="42"/>
  <c r="AB261" i="42"/>
  <c r="AC261" i="42"/>
  <c r="AD261" i="42"/>
  <c r="Y262" i="42"/>
  <c r="Z262" i="42"/>
  <c r="AA262" i="42"/>
  <c r="AB262" i="42"/>
  <c r="AC262" i="42"/>
  <c r="AD262" i="42"/>
  <c r="Y263" i="42"/>
  <c r="Z263" i="42"/>
  <c r="AA263" i="42"/>
  <c r="AB263" i="42"/>
  <c r="AC263" i="42"/>
  <c r="AD263" i="42"/>
  <c r="Y264" i="42"/>
  <c r="Z264" i="42"/>
  <c r="AA264" i="42"/>
  <c r="AB264" i="42"/>
  <c r="AC264" i="42"/>
  <c r="AD264" i="42"/>
  <c r="Y265" i="42"/>
  <c r="Z265" i="42"/>
  <c r="AA265" i="42"/>
  <c r="AB265" i="42"/>
  <c r="AC265" i="42"/>
  <c r="AD265" i="42"/>
  <c r="Y266" i="42"/>
  <c r="Z266" i="42"/>
  <c r="AA266" i="42"/>
  <c r="AB266" i="42"/>
  <c r="AC266" i="42"/>
  <c r="AD266" i="42"/>
  <c r="Y267" i="42"/>
  <c r="Z267" i="42"/>
  <c r="AA267" i="42"/>
  <c r="AB267" i="42"/>
  <c r="AC267" i="42"/>
  <c r="AD267" i="42"/>
  <c r="Y268" i="42"/>
  <c r="Z268" i="42"/>
  <c r="AA268" i="42"/>
  <c r="AB268" i="42"/>
  <c r="AC268" i="42"/>
  <c r="AD268" i="42"/>
  <c r="Y269" i="42"/>
  <c r="Z269" i="42"/>
  <c r="AA269" i="42"/>
  <c r="AB269" i="42"/>
  <c r="AC269" i="42"/>
  <c r="AD269" i="42"/>
  <c r="Y270" i="42"/>
  <c r="Z270" i="42"/>
  <c r="AA270" i="42"/>
  <c r="AB270" i="42"/>
  <c r="AC270" i="42"/>
  <c r="AD270" i="42"/>
  <c r="Y271" i="42"/>
  <c r="Z271" i="42"/>
  <c r="AA271" i="42"/>
  <c r="AB271" i="42"/>
  <c r="AC271" i="42"/>
  <c r="AD271" i="42"/>
  <c r="Y272" i="42"/>
  <c r="Z272" i="42"/>
  <c r="AA272" i="42"/>
  <c r="AB272" i="42"/>
  <c r="AC272" i="42"/>
  <c r="AD272" i="42"/>
  <c r="Y273" i="42"/>
  <c r="Z273" i="42"/>
  <c r="AA273" i="42"/>
  <c r="AB273" i="42"/>
  <c r="AC273" i="42"/>
  <c r="AD273" i="42"/>
  <c r="Y274" i="42"/>
  <c r="Z274" i="42"/>
  <c r="AA274" i="42"/>
  <c r="AB274" i="42"/>
  <c r="AC274" i="42"/>
  <c r="AD274" i="42"/>
  <c r="Y275" i="42"/>
  <c r="Z275" i="42"/>
  <c r="AA275" i="42"/>
  <c r="AB275" i="42"/>
  <c r="AC275" i="42"/>
  <c r="AD275" i="42"/>
  <c r="Y276" i="42"/>
  <c r="Z276" i="42"/>
  <c r="AA276" i="42"/>
  <c r="AB276" i="42"/>
  <c r="AC276" i="42"/>
  <c r="AD276" i="42"/>
  <c r="Y277" i="42"/>
  <c r="Z277" i="42"/>
  <c r="AA277" i="42"/>
  <c r="AB277" i="42"/>
  <c r="AC277" i="42"/>
  <c r="AD277" i="42"/>
  <c r="Y278" i="42"/>
  <c r="Z278" i="42"/>
  <c r="AA278" i="42"/>
  <c r="AB278" i="42"/>
  <c r="AC278" i="42"/>
  <c r="AD278" i="42"/>
  <c r="Y279" i="42"/>
  <c r="Z279" i="42"/>
  <c r="AA279" i="42"/>
  <c r="AB279" i="42"/>
  <c r="AC279" i="42"/>
  <c r="AD279" i="42"/>
  <c r="Y280" i="42"/>
  <c r="Z280" i="42"/>
  <c r="AA280" i="42"/>
  <c r="AB280" i="42"/>
  <c r="AC280" i="42"/>
  <c r="AD280" i="42"/>
  <c r="Y281" i="42"/>
  <c r="Z281" i="42"/>
  <c r="AA281" i="42"/>
  <c r="AB281" i="42"/>
  <c r="AC281" i="42"/>
  <c r="AD281" i="42"/>
  <c r="Y282" i="42"/>
  <c r="Z282" i="42"/>
  <c r="AA282" i="42"/>
  <c r="AB282" i="42"/>
  <c r="AC282" i="42"/>
  <c r="AD282" i="42"/>
  <c r="Y283" i="42"/>
  <c r="Z283" i="42"/>
  <c r="AA283" i="42"/>
  <c r="AB283" i="42"/>
  <c r="AC283" i="42"/>
  <c r="AD283" i="42"/>
  <c r="Y284" i="42"/>
  <c r="Z284" i="42"/>
  <c r="AA284" i="42"/>
  <c r="AB284" i="42"/>
  <c r="AC284" i="42"/>
  <c r="AD284" i="42"/>
  <c r="Y285" i="42"/>
  <c r="Z285" i="42"/>
  <c r="AA285" i="42"/>
  <c r="AB285" i="42"/>
  <c r="AC285" i="42"/>
  <c r="AD285" i="42"/>
  <c r="Y286" i="42"/>
  <c r="Z286" i="42"/>
  <c r="AA286" i="42"/>
  <c r="AB286" i="42"/>
  <c r="AC286" i="42"/>
  <c r="AD286" i="42"/>
  <c r="Y287" i="42"/>
  <c r="Z287" i="42"/>
  <c r="AA287" i="42"/>
  <c r="AB287" i="42"/>
  <c r="AC287" i="42"/>
  <c r="AD287" i="42"/>
  <c r="Y288" i="42"/>
  <c r="Z288" i="42"/>
  <c r="AA288" i="42"/>
  <c r="AB288" i="42"/>
  <c r="AC288" i="42"/>
  <c r="AD288" i="42"/>
  <c r="Y289" i="42"/>
  <c r="Z289" i="42"/>
  <c r="AA289" i="42"/>
  <c r="AB289" i="42"/>
  <c r="AC289" i="42"/>
  <c r="AD289" i="42"/>
  <c r="Y290" i="42"/>
  <c r="Z290" i="42"/>
  <c r="AA290" i="42"/>
  <c r="AB290" i="42"/>
  <c r="AC290" i="42"/>
  <c r="AD290" i="42"/>
  <c r="Y291" i="42"/>
  <c r="Z291" i="42"/>
  <c r="AA291" i="42"/>
  <c r="AB291" i="42"/>
  <c r="AC291" i="42"/>
  <c r="AD291" i="42"/>
  <c r="Y292" i="42"/>
  <c r="Z292" i="42"/>
  <c r="AA292" i="42"/>
  <c r="AB292" i="42"/>
  <c r="AC292" i="42"/>
  <c r="AD292" i="42"/>
  <c r="Y293" i="42"/>
  <c r="Z293" i="42"/>
  <c r="AA293" i="42"/>
  <c r="AB293" i="42"/>
  <c r="AC293" i="42"/>
  <c r="AD293" i="42"/>
  <c r="Y294" i="42"/>
  <c r="Z294" i="42"/>
  <c r="AA294" i="42"/>
  <c r="AB294" i="42"/>
  <c r="AC294" i="42"/>
  <c r="AD294" i="42"/>
  <c r="Y295" i="42"/>
  <c r="Z295" i="42"/>
  <c r="AA295" i="42"/>
  <c r="AB295" i="42"/>
  <c r="AC295" i="42"/>
  <c r="AD295" i="42"/>
  <c r="AD76" i="42"/>
  <c r="AC76" i="42"/>
  <c r="AB76" i="42"/>
  <c r="AA76" i="42"/>
  <c r="Z76" i="42"/>
  <c r="Y76" i="42"/>
  <c r="AL515" i="37"/>
  <c r="AK515" i="37"/>
  <c r="AJ515" i="37"/>
  <c r="AI515" i="37"/>
  <c r="AH515" i="37"/>
  <c r="AG515" i="37"/>
  <c r="AL514" i="37"/>
  <c r="AK514" i="37"/>
  <c r="AJ514" i="37"/>
  <c r="AI514" i="37"/>
  <c r="AH514" i="37"/>
  <c r="AG514" i="37"/>
  <c r="AL513" i="37"/>
  <c r="AK513" i="37"/>
  <c r="AJ513" i="37"/>
  <c r="AI513" i="37"/>
  <c r="AH513" i="37"/>
  <c r="AG513" i="37"/>
  <c r="AL512" i="37"/>
  <c r="AK512" i="37"/>
  <c r="AJ512" i="37"/>
  <c r="AI512" i="37"/>
  <c r="AH512" i="37"/>
  <c r="AG512" i="37"/>
  <c r="AL511" i="37"/>
  <c r="AK511" i="37"/>
  <c r="AJ511" i="37"/>
  <c r="AI511" i="37"/>
  <c r="AH511" i="37"/>
  <c r="AG511" i="37"/>
  <c r="AL510" i="37"/>
  <c r="AK510" i="37"/>
  <c r="AJ510" i="37"/>
  <c r="AI510" i="37"/>
  <c r="AH510" i="37"/>
  <c r="AG510" i="37"/>
  <c r="AL509" i="37"/>
  <c r="AK509" i="37"/>
  <c r="AJ509" i="37"/>
  <c r="AI509" i="37"/>
  <c r="AH509" i="37"/>
  <c r="AG509" i="37"/>
  <c r="AL508" i="37"/>
  <c r="AK508" i="37"/>
  <c r="AJ508" i="37"/>
  <c r="AI508" i="37"/>
  <c r="AH508" i="37"/>
  <c r="AG508" i="37"/>
  <c r="AL507" i="37"/>
  <c r="AK507" i="37"/>
  <c r="AJ507" i="37"/>
  <c r="AI507" i="37"/>
  <c r="AH507" i="37"/>
  <c r="AG507" i="37"/>
  <c r="AL506" i="37"/>
  <c r="AK506" i="37"/>
  <c r="AJ506" i="37"/>
  <c r="AI506" i="37"/>
  <c r="AH506" i="37"/>
  <c r="AG506" i="37"/>
  <c r="AL505" i="37"/>
  <c r="AK505" i="37"/>
  <c r="AJ505" i="37"/>
  <c r="AI505" i="37"/>
  <c r="AH505" i="37"/>
  <c r="AG505" i="37"/>
  <c r="AL504" i="37"/>
  <c r="AK504" i="37"/>
  <c r="AJ504" i="37"/>
  <c r="AI504" i="37"/>
  <c r="AH504" i="37"/>
  <c r="AG504" i="37"/>
  <c r="AL503" i="37"/>
  <c r="AK503" i="37"/>
  <c r="AJ503" i="37"/>
  <c r="AI503" i="37"/>
  <c r="AH503" i="37"/>
  <c r="AG503" i="37"/>
  <c r="AL502" i="37"/>
  <c r="AK502" i="37"/>
  <c r="AJ502" i="37"/>
  <c r="AI502" i="37"/>
  <c r="AH502" i="37"/>
  <c r="AG502" i="37"/>
  <c r="AL501" i="37"/>
  <c r="AK501" i="37"/>
  <c r="AJ501" i="37"/>
  <c r="AI501" i="37"/>
  <c r="AH501" i="37"/>
  <c r="AG501" i="37"/>
  <c r="AL500" i="37"/>
  <c r="AK500" i="37"/>
  <c r="AJ500" i="37"/>
  <c r="AI500" i="37"/>
  <c r="AH500" i="37"/>
  <c r="AG500" i="37"/>
  <c r="AL499" i="37"/>
  <c r="AK499" i="37"/>
  <c r="AJ499" i="37"/>
  <c r="AI499" i="37"/>
  <c r="AH499" i="37"/>
  <c r="AG499" i="37"/>
  <c r="AL498" i="37"/>
  <c r="AK498" i="37"/>
  <c r="AJ498" i="37"/>
  <c r="AI498" i="37"/>
  <c r="AH498" i="37"/>
  <c r="AG498" i="37"/>
  <c r="AL497" i="37"/>
  <c r="AK497" i="37"/>
  <c r="AJ497" i="37"/>
  <c r="AI497" i="37"/>
  <c r="AH497" i="37"/>
  <c r="AG497" i="37"/>
  <c r="AL496" i="37"/>
  <c r="AK496" i="37"/>
  <c r="AJ496" i="37"/>
  <c r="AI496" i="37"/>
  <c r="AH496" i="37"/>
  <c r="AG496" i="37"/>
  <c r="AL495" i="37"/>
  <c r="AK495" i="37"/>
  <c r="AJ495" i="37"/>
  <c r="AI495" i="37"/>
  <c r="AH495" i="37"/>
  <c r="AG495" i="37"/>
  <c r="AL494" i="37"/>
  <c r="AK494" i="37"/>
  <c r="AJ494" i="37"/>
  <c r="AI494" i="37"/>
  <c r="AH494" i="37"/>
  <c r="AG494" i="37"/>
  <c r="AL493" i="37"/>
  <c r="AK493" i="37"/>
  <c r="AJ493" i="37"/>
  <c r="AI493" i="37"/>
  <c r="AH493" i="37"/>
  <c r="AG493" i="37"/>
  <c r="AL492" i="37"/>
  <c r="AK492" i="37"/>
  <c r="AJ492" i="37"/>
  <c r="AI492" i="37"/>
  <c r="AH492" i="37"/>
  <c r="AG492" i="37"/>
  <c r="AL491" i="37"/>
  <c r="AK491" i="37"/>
  <c r="AJ491" i="37"/>
  <c r="AI491" i="37"/>
  <c r="AH491" i="37"/>
  <c r="AG491" i="37"/>
  <c r="AL490" i="37"/>
  <c r="AK490" i="37"/>
  <c r="AJ490" i="37"/>
  <c r="AI490" i="37"/>
  <c r="AH490" i="37"/>
  <c r="AG490" i="37"/>
  <c r="AL489" i="37"/>
  <c r="AK489" i="37"/>
  <c r="AJ489" i="37"/>
  <c r="AI489" i="37"/>
  <c r="AH489" i="37"/>
  <c r="AG489" i="37"/>
  <c r="AL488" i="37"/>
  <c r="AK488" i="37"/>
  <c r="AJ488" i="37"/>
  <c r="AI488" i="37"/>
  <c r="AH488" i="37"/>
  <c r="AG488" i="37"/>
  <c r="AL487" i="37"/>
  <c r="AK487" i="37"/>
  <c r="AJ487" i="37"/>
  <c r="AI487" i="37"/>
  <c r="AH487" i="37"/>
  <c r="AG487" i="37"/>
  <c r="AL486" i="37"/>
  <c r="AK486" i="37"/>
  <c r="AJ486" i="37"/>
  <c r="AI486" i="37"/>
  <c r="AH486" i="37"/>
  <c r="AG486" i="37"/>
  <c r="AL485" i="37"/>
  <c r="AK485" i="37"/>
  <c r="AJ485" i="37"/>
  <c r="AI485" i="37"/>
  <c r="AH485" i="37"/>
  <c r="AG485" i="37"/>
  <c r="AL484" i="37"/>
  <c r="AK484" i="37"/>
  <c r="AJ484" i="37"/>
  <c r="AI484" i="37"/>
  <c r="AH484" i="37"/>
  <c r="AG484" i="37"/>
  <c r="AL483" i="37"/>
  <c r="AK483" i="37"/>
  <c r="AJ483" i="37"/>
  <c r="AI483" i="37"/>
  <c r="AH483" i="37"/>
  <c r="AG483" i="37"/>
  <c r="AL482" i="37"/>
  <c r="AK482" i="37"/>
  <c r="AJ482" i="37"/>
  <c r="AI482" i="37"/>
  <c r="AH482" i="37"/>
  <c r="AG482" i="37"/>
  <c r="AL481" i="37"/>
  <c r="AK481" i="37"/>
  <c r="AJ481" i="37"/>
  <c r="AI481" i="37"/>
  <c r="AH481" i="37"/>
  <c r="AG481" i="37"/>
  <c r="AL480" i="37"/>
  <c r="AK480" i="37"/>
  <c r="AJ480" i="37"/>
  <c r="AI480" i="37"/>
  <c r="AH480" i="37"/>
  <c r="AG480" i="37"/>
  <c r="AL479" i="37"/>
  <c r="AK479" i="37"/>
  <c r="AJ479" i="37"/>
  <c r="AI479" i="37"/>
  <c r="AH479" i="37"/>
  <c r="AG479" i="37"/>
  <c r="AL478" i="37"/>
  <c r="AK478" i="37"/>
  <c r="AJ478" i="37"/>
  <c r="AI478" i="37"/>
  <c r="AH478" i="37"/>
  <c r="AG478" i="37"/>
  <c r="AL477" i="37"/>
  <c r="AK477" i="37"/>
  <c r="AJ477" i="37"/>
  <c r="AI477" i="37"/>
  <c r="AH477" i="37"/>
  <c r="AG477" i="37"/>
  <c r="AL476" i="37"/>
  <c r="AK476" i="37"/>
  <c r="AJ476" i="37"/>
  <c r="AI476" i="37"/>
  <c r="AH476" i="37"/>
  <c r="AG476" i="37"/>
  <c r="AL475" i="37"/>
  <c r="AK475" i="37"/>
  <c r="AJ475" i="37"/>
  <c r="AI475" i="37"/>
  <c r="AH475" i="37"/>
  <c r="AG475" i="37"/>
  <c r="AL474" i="37"/>
  <c r="AK474" i="37"/>
  <c r="AJ474" i="37"/>
  <c r="AI474" i="37"/>
  <c r="AH474" i="37"/>
  <c r="AG474" i="37"/>
  <c r="AL473" i="37"/>
  <c r="AK473" i="37"/>
  <c r="AJ473" i="37"/>
  <c r="AI473" i="37"/>
  <c r="AH473" i="37"/>
  <c r="AG473" i="37"/>
  <c r="AL472" i="37"/>
  <c r="AK472" i="37"/>
  <c r="AJ472" i="37"/>
  <c r="AI472" i="37"/>
  <c r="AH472" i="37"/>
  <c r="AG472" i="37"/>
  <c r="AL471" i="37"/>
  <c r="AK471" i="37"/>
  <c r="AJ471" i="37"/>
  <c r="AI471" i="37"/>
  <c r="AH471" i="37"/>
  <c r="AG471" i="37"/>
  <c r="AL470" i="37"/>
  <c r="AK470" i="37"/>
  <c r="AJ470" i="37"/>
  <c r="AI470" i="37"/>
  <c r="AH470" i="37"/>
  <c r="AG470" i="37"/>
  <c r="AL469" i="37"/>
  <c r="AK469" i="37"/>
  <c r="AJ469" i="37"/>
  <c r="AI469" i="37"/>
  <c r="AH469" i="37"/>
  <c r="AG469" i="37"/>
  <c r="AL468" i="37"/>
  <c r="AK468" i="37"/>
  <c r="AJ468" i="37"/>
  <c r="AI468" i="37"/>
  <c r="AH468" i="37"/>
  <c r="AG468" i="37"/>
  <c r="AL467" i="37"/>
  <c r="AK467" i="37"/>
  <c r="AJ467" i="37"/>
  <c r="AI467" i="37"/>
  <c r="AH467" i="37"/>
  <c r="AG467" i="37"/>
  <c r="AL466" i="37"/>
  <c r="AK466" i="37"/>
  <c r="AJ466" i="37"/>
  <c r="AI466" i="37"/>
  <c r="AH466" i="37"/>
  <c r="AG466" i="37"/>
  <c r="AL465" i="37"/>
  <c r="AK465" i="37"/>
  <c r="AJ465" i="37"/>
  <c r="AI465" i="37"/>
  <c r="AH465" i="37"/>
  <c r="AG465" i="37"/>
  <c r="AL464" i="37"/>
  <c r="AK464" i="37"/>
  <c r="AJ464" i="37"/>
  <c r="AI464" i="37"/>
  <c r="AH464" i="37"/>
  <c r="AG464" i="37"/>
  <c r="AL463" i="37"/>
  <c r="AK463" i="37"/>
  <c r="AJ463" i="37"/>
  <c r="AI463" i="37"/>
  <c r="AH463" i="37"/>
  <c r="AG463" i="37"/>
  <c r="AL462" i="37"/>
  <c r="AK462" i="37"/>
  <c r="AJ462" i="37"/>
  <c r="AI462" i="37"/>
  <c r="AH462" i="37"/>
  <c r="AG462" i="37"/>
  <c r="AL461" i="37"/>
  <c r="AK461" i="37"/>
  <c r="AJ461" i="37"/>
  <c r="AI461" i="37"/>
  <c r="AH461" i="37"/>
  <c r="AG461" i="37"/>
  <c r="AL460" i="37"/>
  <c r="AK460" i="37"/>
  <c r="AJ460" i="37"/>
  <c r="AI460" i="37"/>
  <c r="AH460" i="37"/>
  <c r="AG460" i="37"/>
  <c r="AL459" i="37"/>
  <c r="AK459" i="37"/>
  <c r="AJ459" i="37"/>
  <c r="AI459" i="37"/>
  <c r="AH459" i="37"/>
  <c r="AG459" i="37"/>
  <c r="AL458" i="37"/>
  <c r="AK458" i="37"/>
  <c r="AJ458" i="37"/>
  <c r="AI458" i="37"/>
  <c r="AH458" i="37"/>
  <c r="AG458" i="37"/>
  <c r="AL457" i="37"/>
  <c r="AK457" i="37"/>
  <c r="AJ457" i="37"/>
  <c r="AI457" i="37"/>
  <c r="AH457" i="37"/>
  <c r="AG457" i="37"/>
  <c r="AL456" i="37"/>
  <c r="AK456" i="37"/>
  <c r="AJ456" i="37"/>
  <c r="AI456" i="37"/>
  <c r="AH456" i="37"/>
  <c r="AG456" i="37"/>
  <c r="AL455" i="37"/>
  <c r="AK455" i="37"/>
  <c r="AJ455" i="37"/>
  <c r="AI455" i="37"/>
  <c r="AH455" i="37"/>
  <c r="AG455" i="37"/>
  <c r="AL454" i="37"/>
  <c r="AK454" i="37"/>
  <c r="AJ454" i="37"/>
  <c r="AI454" i="37"/>
  <c r="AH454" i="37"/>
  <c r="AG454" i="37"/>
  <c r="AL453" i="37"/>
  <c r="AK453" i="37"/>
  <c r="AJ453" i="37"/>
  <c r="AI453" i="37"/>
  <c r="AH453" i="37"/>
  <c r="AG453" i="37"/>
  <c r="AL452" i="37"/>
  <c r="AK452" i="37"/>
  <c r="AJ452" i="37"/>
  <c r="AI452" i="37"/>
  <c r="AH452" i="37"/>
  <c r="AG452" i="37"/>
  <c r="AL451" i="37"/>
  <c r="AK451" i="37"/>
  <c r="AJ451" i="37"/>
  <c r="AI451" i="37"/>
  <c r="AH451" i="37"/>
  <c r="AG451" i="37"/>
  <c r="AL450" i="37"/>
  <c r="AK450" i="37"/>
  <c r="AJ450" i="37"/>
  <c r="AI450" i="37"/>
  <c r="AH450" i="37"/>
  <c r="AG450" i="37"/>
  <c r="AL449" i="37"/>
  <c r="AK449" i="37"/>
  <c r="AJ449" i="37"/>
  <c r="AI449" i="37"/>
  <c r="AH449" i="37"/>
  <c r="AG449" i="37"/>
  <c r="AL448" i="37"/>
  <c r="AK448" i="37"/>
  <c r="AJ448" i="37"/>
  <c r="AI448" i="37"/>
  <c r="AH448" i="37"/>
  <c r="AG448" i="37"/>
  <c r="AL447" i="37"/>
  <c r="AK447" i="37"/>
  <c r="AJ447" i="37"/>
  <c r="AI447" i="37"/>
  <c r="AH447" i="37"/>
  <c r="AG447" i="37"/>
  <c r="AL446" i="37"/>
  <c r="AK446" i="37"/>
  <c r="AJ446" i="37"/>
  <c r="AI446" i="37"/>
  <c r="AH446" i="37"/>
  <c r="AG446" i="37"/>
  <c r="AL445" i="37"/>
  <c r="AK445" i="37"/>
  <c r="AJ445" i="37"/>
  <c r="AI445" i="37"/>
  <c r="AH445" i="37"/>
  <c r="AG445" i="37"/>
  <c r="AL444" i="37"/>
  <c r="AK444" i="37"/>
  <c r="AJ444" i="37"/>
  <c r="AI444" i="37"/>
  <c r="AH444" i="37"/>
  <c r="AG444" i="37"/>
  <c r="AL443" i="37"/>
  <c r="AK443" i="37"/>
  <c r="AJ443" i="37"/>
  <c r="AI443" i="37"/>
  <c r="AH443" i="37"/>
  <c r="AG443" i="37"/>
  <c r="AL442" i="37"/>
  <c r="AK442" i="37"/>
  <c r="AJ442" i="37"/>
  <c r="AI442" i="37"/>
  <c r="AH442" i="37"/>
  <c r="AG442" i="37"/>
  <c r="AL441" i="37"/>
  <c r="AK441" i="37"/>
  <c r="AJ441" i="37"/>
  <c r="AI441" i="37"/>
  <c r="AH441" i="37"/>
  <c r="AG441" i="37"/>
  <c r="AL440" i="37"/>
  <c r="AK440" i="37"/>
  <c r="AJ440" i="37"/>
  <c r="AI440" i="37"/>
  <c r="AH440" i="37"/>
  <c r="AG440" i="37"/>
  <c r="AL439" i="37"/>
  <c r="AK439" i="37"/>
  <c r="AJ439" i="37"/>
  <c r="AI439" i="37"/>
  <c r="AH439" i="37"/>
  <c r="AG439" i="37"/>
  <c r="AL438" i="37"/>
  <c r="AK438" i="37"/>
  <c r="AJ438" i="37"/>
  <c r="AI438" i="37"/>
  <c r="AH438" i="37"/>
  <c r="AG438" i="37"/>
  <c r="AL437" i="37"/>
  <c r="AK437" i="37"/>
  <c r="AJ437" i="37"/>
  <c r="AI437" i="37"/>
  <c r="AH437" i="37"/>
  <c r="AG437" i="37"/>
  <c r="AL436" i="37"/>
  <c r="AK436" i="37"/>
  <c r="AJ436" i="37"/>
  <c r="AI436" i="37"/>
  <c r="AH436" i="37"/>
  <c r="AG436" i="37"/>
  <c r="AL435" i="37"/>
  <c r="AK435" i="37"/>
  <c r="AJ435" i="37"/>
  <c r="AI435" i="37"/>
  <c r="AH435" i="37"/>
  <c r="AG435" i="37"/>
  <c r="AL434" i="37"/>
  <c r="AK434" i="37"/>
  <c r="AJ434" i="37"/>
  <c r="AI434" i="37"/>
  <c r="AH434" i="37"/>
  <c r="AG434" i="37"/>
  <c r="AL433" i="37"/>
  <c r="AK433" i="37"/>
  <c r="AJ433" i="37"/>
  <c r="AI433" i="37"/>
  <c r="AH433" i="37"/>
  <c r="AG433" i="37"/>
  <c r="AL432" i="37"/>
  <c r="AK432" i="37"/>
  <c r="AJ432" i="37"/>
  <c r="AI432" i="37"/>
  <c r="AH432" i="37"/>
  <c r="AG432" i="37"/>
  <c r="AL431" i="37"/>
  <c r="AK431" i="37"/>
  <c r="AJ431" i="37"/>
  <c r="AI431" i="37"/>
  <c r="AH431" i="37"/>
  <c r="AG431" i="37"/>
  <c r="AL430" i="37"/>
  <c r="AK430" i="37"/>
  <c r="AJ430" i="37"/>
  <c r="AI430" i="37"/>
  <c r="AH430" i="37"/>
  <c r="AG430" i="37"/>
  <c r="AL429" i="37"/>
  <c r="AK429" i="37"/>
  <c r="AJ429" i="37"/>
  <c r="AI429" i="37"/>
  <c r="AH429" i="37"/>
  <c r="AG429" i="37"/>
  <c r="AL428" i="37"/>
  <c r="AK428" i="37"/>
  <c r="AJ428" i="37"/>
  <c r="AI428" i="37"/>
  <c r="AH428" i="37"/>
  <c r="AG428" i="37"/>
  <c r="AL427" i="37"/>
  <c r="AK427" i="37"/>
  <c r="AJ427" i="37"/>
  <c r="AI427" i="37"/>
  <c r="AH427" i="37"/>
  <c r="AG427" i="37"/>
  <c r="AL426" i="37"/>
  <c r="AK426" i="37"/>
  <c r="AJ426" i="37"/>
  <c r="AI426" i="37"/>
  <c r="AH426" i="37"/>
  <c r="AG426" i="37"/>
  <c r="AL425" i="37"/>
  <c r="AK425" i="37"/>
  <c r="AJ425" i="37"/>
  <c r="AI425" i="37"/>
  <c r="AH425" i="37"/>
  <c r="AG425" i="37"/>
  <c r="AL424" i="37"/>
  <c r="AK424" i="37"/>
  <c r="AJ424" i="37"/>
  <c r="AI424" i="37"/>
  <c r="AH424" i="37"/>
  <c r="AG424" i="37"/>
  <c r="AL423" i="37"/>
  <c r="AK423" i="37"/>
  <c r="AJ423" i="37"/>
  <c r="AI423" i="37"/>
  <c r="AH423" i="37"/>
  <c r="AG423" i="37"/>
  <c r="AL422" i="37"/>
  <c r="AK422" i="37"/>
  <c r="AJ422" i="37"/>
  <c r="AI422" i="37"/>
  <c r="AH422" i="37"/>
  <c r="AG422" i="37"/>
  <c r="AL421" i="37"/>
  <c r="AK421" i="37"/>
  <c r="AJ421" i="37"/>
  <c r="AI421" i="37"/>
  <c r="AH421" i="37"/>
  <c r="AG421" i="37"/>
  <c r="AL420" i="37"/>
  <c r="AK420" i="37"/>
  <c r="AJ420" i="37"/>
  <c r="AI420" i="37"/>
  <c r="AH420" i="37"/>
  <c r="AG420" i="37"/>
  <c r="AL419" i="37"/>
  <c r="AK419" i="37"/>
  <c r="AJ419" i="37"/>
  <c r="AI419" i="37"/>
  <c r="AH419" i="37"/>
  <c r="AG419" i="37"/>
  <c r="AL418" i="37"/>
  <c r="AK418" i="37"/>
  <c r="AJ418" i="37"/>
  <c r="AI418" i="37"/>
  <c r="AH418" i="37"/>
  <c r="AG418" i="37"/>
  <c r="AL417" i="37"/>
  <c r="AK417" i="37"/>
  <c r="AJ417" i="37"/>
  <c r="AI417" i="37"/>
  <c r="AH417" i="37"/>
  <c r="AG417" i="37"/>
  <c r="AL416" i="37"/>
  <c r="AK416" i="37"/>
  <c r="AJ416" i="37"/>
  <c r="AI416" i="37"/>
  <c r="AH416" i="37"/>
  <c r="AG416" i="37"/>
  <c r="AL415" i="37"/>
  <c r="AK415" i="37"/>
  <c r="AJ415" i="37"/>
  <c r="AI415" i="37"/>
  <c r="AH415" i="37"/>
  <c r="AG415" i="37"/>
  <c r="AL414" i="37"/>
  <c r="AK414" i="37"/>
  <c r="AJ414" i="37"/>
  <c r="AI414" i="37"/>
  <c r="AH414" i="37"/>
  <c r="AG414" i="37"/>
  <c r="AL413" i="37"/>
  <c r="AK413" i="37"/>
  <c r="AJ413" i="37"/>
  <c r="AI413" i="37"/>
  <c r="AH413" i="37"/>
  <c r="AG413" i="37"/>
  <c r="AL412" i="37"/>
  <c r="AK412" i="37"/>
  <c r="AJ412" i="37"/>
  <c r="AI412" i="37"/>
  <c r="AH412" i="37"/>
  <c r="AG412" i="37"/>
  <c r="AL411" i="37"/>
  <c r="AK411" i="37"/>
  <c r="AJ411" i="37"/>
  <c r="AI411" i="37"/>
  <c r="AH411" i="37"/>
  <c r="AG411" i="37"/>
  <c r="AL410" i="37"/>
  <c r="AK410" i="37"/>
  <c r="AJ410" i="37"/>
  <c r="AI410" i="37"/>
  <c r="AH410" i="37"/>
  <c r="AG410" i="37"/>
  <c r="AL409" i="37"/>
  <c r="AK409" i="37"/>
  <c r="AJ409" i="37"/>
  <c r="AI409" i="37"/>
  <c r="AH409" i="37"/>
  <c r="AG409" i="37"/>
  <c r="AL408" i="37"/>
  <c r="AK408" i="37"/>
  <c r="AJ408" i="37"/>
  <c r="AI408" i="37"/>
  <c r="AH408" i="37"/>
  <c r="AG408" i="37"/>
  <c r="AL407" i="37"/>
  <c r="AK407" i="37"/>
  <c r="AJ407" i="37"/>
  <c r="AI407" i="37"/>
  <c r="AH407" i="37"/>
  <c r="AG407" i="37"/>
  <c r="AL406" i="37"/>
  <c r="AK406" i="37"/>
  <c r="AJ406" i="37"/>
  <c r="AI406" i="37"/>
  <c r="AH406" i="37"/>
  <c r="AG406" i="37"/>
  <c r="AL405" i="37"/>
  <c r="AK405" i="37"/>
  <c r="AJ405" i="37"/>
  <c r="AI405" i="37"/>
  <c r="AH405" i="37"/>
  <c r="AG405" i="37"/>
  <c r="AL404" i="37"/>
  <c r="AK404" i="37"/>
  <c r="AJ404" i="37"/>
  <c r="AI404" i="37"/>
  <c r="AH404" i="37"/>
  <c r="AG404" i="37"/>
  <c r="AL403" i="37"/>
  <c r="AK403" i="37"/>
  <c r="AJ403" i="37"/>
  <c r="AI403" i="37"/>
  <c r="AH403" i="37"/>
  <c r="AG403" i="37"/>
  <c r="AL402" i="37"/>
  <c r="AK402" i="37"/>
  <c r="AJ402" i="37"/>
  <c r="AI402" i="37"/>
  <c r="AH402" i="37"/>
  <c r="AG402" i="37"/>
  <c r="AL401" i="37"/>
  <c r="AK401" i="37"/>
  <c r="AJ401" i="37"/>
  <c r="AI401" i="37"/>
  <c r="AH401" i="37"/>
  <c r="AG401" i="37"/>
  <c r="AL400" i="37"/>
  <c r="AK400" i="37"/>
  <c r="AJ400" i="37"/>
  <c r="AI400" i="37"/>
  <c r="AH400" i="37"/>
  <c r="AG400" i="37"/>
  <c r="AL399" i="37"/>
  <c r="AK399" i="37"/>
  <c r="AJ399" i="37"/>
  <c r="AI399" i="37"/>
  <c r="AH399" i="37"/>
  <c r="AG399" i="37"/>
  <c r="AL398" i="37"/>
  <c r="AK398" i="37"/>
  <c r="AJ398" i="37"/>
  <c r="AI398" i="37"/>
  <c r="AH398" i="37"/>
  <c r="AG398" i="37"/>
  <c r="AL397" i="37"/>
  <c r="AK397" i="37"/>
  <c r="AJ397" i="37"/>
  <c r="AI397" i="37"/>
  <c r="AH397" i="37"/>
  <c r="AG397" i="37"/>
  <c r="AL396" i="37"/>
  <c r="AK396" i="37"/>
  <c r="AJ396" i="37"/>
  <c r="AI396" i="37"/>
  <c r="AH396" i="37"/>
  <c r="AG396" i="37"/>
  <c r="AL395" i="37"/>
  <c r="AK395" i="37"/>
  <c r="AJ395" i="37"/>
  <c r="AI395" i="37"/>
  <c r="AH395" i="37"/>
  <c r="AG395" i="37"/>
  <c r="AL394" i="37"/>
  <c r="AK394" i="37"/>
  <c r="AJ394" i="37"/>
  <c r="AI394" i="37"/>
  <c r="AH394" i="37"/>
  <c r="AG394" i="37"/>
  <c r="AL393" i="37"/>
  <c r="AK393" i="37"/>
  <c r="AJ393" i="37"/>
  <c r="AI393" i="37"/>
  <c r="AH393" i="37"/>
  <c r="AG393" i="37"/>
  <c r="AL392" i="37"/>
  <c r="AK392" i="37"/>
  <c r="AJ392" i="37"/>
  <c r="AI392" i="37"/>
  <c r="AH392" i="37"/>
  <c r="AG392" i="37"/>
  <c r="AL391" i="37"/>
  <c r="AK391" i="37"/>
  <c r="AJ391" i="37"/>
  <c r="AI391" i="37"/>
  <c r="AH391" i="37"/>
  <c r="AG391" i="37"/>
  <c r="AL390" i="37"/>
  <c r="AK390" i="37"/>
  <c r="AJ390" i="37"/>
  <c r="AI390" i="37"/>
  <c r="AH390" i="37"/>
  <c r="AG390" i="37"/>
  <c r="AL389" i="37"/>
  <c r="AK389" i="37"/>
  <c r="AJ389" i="37"/>
  <c r="AI389" i="37"/>
  <c r="AH389" i="37"/>
  <c r="AG389" i="37"/>
  <c r="AL388" i="37"/>
  <c r="AK388" i="37"/>
  <c r="AJ388" i="37"/>
  <c r="AI388" i="37"/>
  <c r="AH388" i="37"/>
  <c r="AG388" i="37"/>
  <c r="AL387" i="37"/>
  <c r="AK387" i="37"/>
  <c r="AJ387" i="37"/>
  <c r="AI387" i="37"/>
  <c r="AH387" i="37"/>
  <c r="AG387" i="37"/>
  <c r="AL386" i="37"/>
  <c r="AK386" i="37"/>
  <c r="AJ386" i="37"/>
  <c r="AI386" i="37"/>
  <c r="AH386" i="37"/>
  <c r="AG386" i="37"/>
  <c r="AL385" i="37"/>
  <c r="AK385" i="37"/>
  <c r="AJ385" i="37"/>
  <c r="AI385" i="37"/>
  <c r="AH385" i="37"/>
  <c r="AG385" i="37"/>
  <c r="AL384" i="37"/>
  <c r="AK384" i="37"/>
  <c r="AJ384" i="37"/>
  <c r="AI384" i="37"/>
  <c r="AH384" i="37"/>
  <c r="AG384" i="37"/>
  <c r="AL383" i="37"/>
  <c r="AK383" i="37"/>
  <c r="AJ383" i="37"/>
  <c r="AI383" i="37"/>
  <c r="AH383" i="37"/>
  <c r="AG383" i="37"/>
  <c r="AL382" i="37"/>
  <c r="AK382" i="37"/>
  <c r="AJ382" i="37"/>
  <c r="AI382" i="37"/>
  <c r="AH382" i="37"/>
  <c r="AG382" i="37"/>
  <c r="AL381" i="37"/>
  <c r="AK381" i="37"/>
  <c r="AJ381" i="37"/>
  <c r="AI381" i="37"/>
  <c r="AH381" i="37"/>
  <c r="AG381" i="37"/>
  <c r="AL380" i="37"/>
  <c r="AK380" i="37"/>
  <c r="AJ380" i="37"/>
  <c r="AI380" i="37"/>
  <c r="AH380" i="37"/>
  <c r="AG380" i="37"/>
  <c r="AL379" i="37"/>
  <c r="AK379" i="37"/>
  <c r="AJ379" i="37"/>
  <c r="AI379" i="37"/>
  <c r="AH379" i="37"/>
  <c r="AG379" i="37"/>
  <c r="AL378" i="37"/>
  <c r="AK378" i="37"/>
  <c r="AJ378" i="37"/>
  <c r="AI378" i="37"/>
  <c r="AH378" i="37"/>
  <c r="AG378" i="37"/>
  <c r="AL377" i="37"/>
  <c r="AK377" i="37"/>
  <c r="AJ377" i="37"/>
  <c r="AI377" i="37"/>
  <c r="AH377" i="37"/>
  <c r="AG377" i="37"/>
  <c r="AL376" i="37"/>
  <c r="AK376" i="37"/>
  <c r="AJ376" i="37"/>
  <c r="AI376" i="37"/>
  <c r="AH376" i="37"/>
  <c r="AG376" i="37"/>
  <c r="AL375" i="37"/>
  <c r="AK375" i="37"/>
  <c r="AJ375" i="37"/>
  <c r="AI375" i="37"/>
  <c r="AH375" i="37"/>
  <c r="AG375" i="37"/>
  <c r="AL374" i="37"/>
  <c r="AK374" i="37"/>
  <c r="AJ374" i="37"/>
  <c r="AI374" i="37"/>
  <c r="AH374" i="37"/>
  <c r="AG374" i="37"/>
  <c r="AL373" i="37"/>
  <c r="AK373" i="37"/>
  <c r="AJ373" i="37"/>
  <c r="AI373" i="37"/>
  <c r="AH373" i="37"/>
  <c r="AG373" i="37"/>
  <c r="AL372" i="37"/>
  <c r="AK372" i="37"/>
  <c r="AJ372" i="37"/>
  <c r="AI372" i="37"/>
  <c r="AH372" i="37"/>
  <c r="AG372" i="37"/>
  <c r="AL371" i="37"/>
  <c r="AK371" i="37"/>
  <c r="AJ371" i="37"/>
  <c r="AI371" i="37"/>
  <c r="AH371" i="37"/>
  <c r="AG371" i="37"/>
  <c r="AL370" i="37"/>
  <c r="AK370" i="37"/>
  <c r="AJ370" i="37"/>
  <c r="AI370" i="37"/>
  <c r="AH370" i="37"/>
  <c r="AG370" i="37"/>
  <c r="AL369" i="37"/>
  <c r="AK369" i="37"/>
  <c r="AJ369" i="37"/>
  <c r="AI369" i="37"/>
  <c r="AH369" i="37"/>
  <c r="AG369" i="37"/>
  <c r="AL368" i="37"/>
  <c r="AK368" i="37"/>
  <c r="AJ368" i="37"/>
  <c r="AI368" i="37"/>
  <c r="AH368" i="37"/>
  <c r="AG368" i="37"/>
  <c r="AL367" i="37"/>
  <c r="AK367" i="37"/>
  <c r="AJ367" i="37"/>
  <c r="AI367" i="37"/>
  <c r="AH367" i="37"/>
  <c r="AG367" i="37"/>
  <c r="AL366" i="37"/>
  <c r="AK366" i="37"/>
  <c r="AJ366" i="37"/>
  <c r="AI366" i="37"/>
  <c r="AH366" i="37"/>
  <c r="AG366" i="37"/>
  <c r="AL365" i="37"/>
  <c r="AK365" i="37"/>
  <c r="AJ365" i="37"/>
  <c r="AI365" i="37"/>
  <c r="AH365" i="37"/>
  <c r="AG365" i="37"/>
  <c r="AL364" i="37"/>
  <c r="AK364" i="37"/>
  <c r="AJ364" i="37"/>
  <c r="AI364" i="37"/>
  <c r="AH364" i="37"/>
  <c r="AG364" i="37"/>
  <c r="AL363" i="37"/>
  <c r="AK363" i="37"/>
  <c r="AJ363" i="37"/>
  <c r="AI363" i="37"/>
  <c r="AH363" i="37"/>
  <c r="AG363" i="37"/>
  <c r="AL362" i="37"/>
  <c r="AK362" i="37"/>
  <c r="AJ362" i="37"/>
  <c r="AI362" i="37"/>
  <c r="AH362" i="37"/>
  <c r="AG362" i="37"/>
  <c r="AL361" i="37"/>
  <c r="AK361" i="37"/>
  <c r="AJ361" i="37"/>
  <c r="AI361" i="37"/>
  <c r="AH361" i="37"/>
  <c r="AG361" i="37"/>
  <c r="AL360" i="37"/>
  <c r="AK360" i="37"/>
  <c r="AJ360" i="37"/>
  <c r="AI360" i="37"/>
  <c r="AH360" i="37"/>
  <c r="AG360" i="37"/>
  <c r="AL359" i="37"/>
  <c r="AK359" i="37"/>
  <c r="AJ359" i="37"/>
  <c r="AI359" i="37"/>
  <c r="AH359" i="37"/>
  <c r="AG359" i="37"/>
  <c r="AL358" i="37"/>
  <c r="AK358" i="37"/>
  <c r="AJ358" i="37"/>
  <c r="AI358" i="37"/>
  <c r="AH358" i="37"/>
  <c r="AG358" i="37"/>
  <c r="AL357" i="37"/>
  <c r="AK357" i="37"/>
  <c r="AJ357" i="37"/>
  <c r="AI357" i="37"/>
  <c r="AH357" i="37"/>
  <c r="AG357" i="37"/>
  <c r="AL356" i="37"/>
  <c r="AK356" i="37"/>
  <c r="AJ356" i="37"/>
  <c r="AI356" i="37"/>
  <c r="AH356" i="37"/>
  <c r="AG356" i="37"/>
  <c r="AL355" i="37"/>
  <c r="AK355" i="37"/>
  <c r="AJ355" i="37"/>
  <c r="AI355" i="37"/>
  <c r="AH355" i="37"/>
  <c r="AG355" i="37"/>
  <c r="AL354" i="37"/>
  <c r="AK354" i="37"/>
  <c r="AJ354" i="37"/>
  <c r="AI354" i="37"/>
  <c r="AH354" i="37"/>
  <c r="AG354" i="37"/>
  <c r="AL353" i="37"/>
  <c r="AK353" i="37"/>
  <c r="AJ353" i="37"/>
  <c r="AI353" i="37"/>
  <c r="AH353" i="37"/>
  <c r="AG353" i="37"/>
  <c r="AL352" i="37"/>
  <c r="AK352" i="37"/>
  <c r="AJ352" i="37"/>
  <c r="AI352" i="37"/>
  <c r="AH352" i="37"/>
  <c r="AG352" i="37"/>
  <c r="AL351" i="37"/>
  <c r="AK351" i="37"/>
  <c r="AJ351" i="37"/>
  <c r="AI351" i="37"/>
  <c r="AH351" i="37"/>
  <c r="AG351" i="37"/>
  <c r="AL350" i="37"/>
  <c r="AK350" i="37"/>
  <c r="AJ350" i="37"/>
  <c r="AI350" i="37"/>
  <c r="AH350" i="37"/>
  <c r="AG350" i="37"/>
  <c r="AL349" i="37"/>
  <c r="AK349" i="37"/>
  <c r="AJ349" i="37"/>
  <c r="AI349" i="37"/>
  <c r="AH349" i="37"/>
  <c r="AG349" i="37"/>
  <c r="AL348" i="37"/>
  <c r="AK348" i="37"/>
  <c r="AJ348" i="37"/>
  <c r="AI348" i="37"/>
  <c r="AH348" i="37"/>
  <c r="AG348" i="37"/>
  <c r="AL347" i="37"/>
  <c r="AK347" i="37"/>
  <c r="AJ347" i="37"/>
  <c r="AI347" i="37"/>
  <c r="AH347" i="37"/>
  <c r="AG347" i="37"/>
  <c r="AL346" i="37"/>
  <c r="AK346" i="37"/>
  <c r="AJ346" i="37"/>
  <c r="AI346" i="37"/>
  <c r="AH346" i="37"/>
  <c r="AG346" i="37"/>
  <c r="AL345" i="37"/>
  <c r="AK345" i="37"/>
  <c r="AJ345" i="37"/>
  <c r="AI345" i="37"/>
  <c r="AH345" i="37"/>
  <c r="AG345" i="37"/>
  <c r="AL344" i="37"/>
  <c r="AK344" i="37"/>
  <c r="AJ344" i="37"/>
  <c r="AI344" i="37"/>
  <c r="AH344" i="37"/>
  <c r="AG344" i="37"/>
  <c r="AL343" i="37"/>
  <c r="AK343" i="37"/>
  <c r="AJ343" i="37"/>
  <c r="AI343" i="37"/>
  <c r="AH343" i="37"/>
  <c r="AG343" i="37"/>
  <c r="AL342" i="37"/>
  <c r="AK342" i="37"/>
  <c r="AJ342" i="37"/>
  <c r="AI342" i="37"/>
  <c r="AH342" i="37"/>
  <c r="AG342" i="37"/>
  <c r="AL341" i="37"/>
  <c r="AK341" i="37"/>
  <c r="AJ341" i="37"/>
  <c r="AI341" i="37"/>
  <c r="AH341" i="37"/>
  <c r="AG341" i="37"/>
  <c r="AL340" i="37"/>
  <c r="AK340" i="37"/>
  <c r="AJ340" i="37"/>
  <c r="AI340" i="37"/>
  <c r="AH340" i="37"/>
  <c r="AG340" i="37"/>
  <c r="AL339" i="37"/>
  <c r="AK339" i="37"/>
  <c r="AJ339" i="37"/>
  <c r="AI339" i="37"/>
  <c r="AH339" i="37"/>
  <c r="AG339" i="37"/>
  <c r="AL338" i="37"/>
  <c r="AK338" i="37"/>
  <c r="AJ338" i="37"/>
  <c r="AI338" i="37"/>
  <c r="AH338" i="37"/>
  <c r="AG338" i="37"/>
  <c r="AL337" i="37"/>
  <c r="AK337" i="37"/>
  <c r="AJ337" i="37"/>
  <c r="AI337" i="37"/>
  <c r="AH337" i="37"/>
  <c r="AG337" i="37"/>
  <c r="AL336" i="37"/>
  <c r="AK336" i="37"/>
  <c r="AJ336" i="37"/>
  <c r="AI336" i="37"/>
  <c r="AH336" i="37"/>
  <c r="AG336" i="37"/>
  <c r="AL335" i="37"/>
  <c r="AK335" i="37"/>
  <c r="AJ335" i="37"/>
  <c r="AI335" i="37"/>
  <c r="AH335" i="37"/>
  <c r="AG335" i="37"/>
  <c r="AL334" i="37"/>
  <c r="AK334" i="37"/>
  <c r="AJ334" i="37"/>
  <c r="AI334" i="37"/>
  <c r="AH334" i="37"/>
  <c r="AG334" i="37"/>
  <c r="AL333" i="37"/>
  <c r="AK333" i="37"/>
  <c r="AJ333" i="37"/>
  <c r="AI333" i="37"/>
  <c r="AH333" i="37"/>
  <c r="AG333" i="37"/>
  <c r="AL332" i="37"/>
  <c r="AK332" i="37"/>
  <c r="AJ332" i="37"/>
  <c r="AI332" i="37"/>
  <c r="AH332" i="37"/>
  <c r="AG332" i="37"/>
  <c r="AL331" i="37"/>
  <c r="AK331" i="37"/>
  <c r="AJ331" i="37"/>
  <c r="AI331" i="37"/>
  <c r="AH331" i="37"/>
  <c r="AG331" i="37"/>
  <c r="AL330" i="37"/>
  <c r="AK330" i="37"/>
  <c r="AJ330" i="37"/>
  <c r="AI330" i="37"/>
  <c r="AH330" i="37"/>
  <c r="AG330" i="37"/>
  <c r="AL329" i="37"/>
  <c r="AK329" i="37"/>
  <c r="AJ329" i="37"/>
  <c r="AI329" i="37"/>
  <c r="AH329" i="37"/>
  <c r="AG329" i="37"/>
  <c r="AL328" i="37"/>
  <c r="AK328" i="37"/>
  <c r="AJ328" i="37"/>
  <c r="AI328" i="37"/>
  <c r="AH328" i="37"/>
  <c r="AG328" i="37"/>
  <c r="AL327" i="37"/>
  <c r="AK327" i="37"/>
  <c r="AJ327" i="37"/>
  <c r="AI327" i="37"/>
  <c r="AH327" i="37"/>
  <c r="AG327" i="37"/>
  <c r="AL326" i="37"/>
  <c r="AK326" i="37"/>
  <c r="AJ326" i="37"/>
  <c r="AI326" i="37"/>
  <c r="AH326" i="37"/>
  <c r="AG326" i="37"/>
  <c r="AL325" i="37"/>
  <c r="AK325" i="37"/>
  <c r="AJ325" i="37"/>
  <c r="AI325" i="37"/>
  <c r="AH325" i="37"/>
  <c r="AG325" i="37"/>
  <c r="AL324" i="37"/>
  <c r="AK324" i="37"/>
  <c r="AJ324" i="37"/>
  <c r="AI324" i="37"/>
  <c r="AH324" i="37"/>
  <c r="AG324" i="37"/>
  <c r="AL323" i="37"/>
  <c r="AK323" i="37"/>
  <c r="AJ323" i="37"/>
  <c r="AI323" i="37"/>
  <c r="AH323" i="37"/>
  <c r="AG323" i="37"/>
  <c r="AL322" i="37"/>
  <c r="AK322" i="37"/>
  <c r="AJ322" i="37"/>
  <c r="AI322" i="37"/>
  <c r="AH322" i="37"/>
  <c r="AG322" i="37"/>
  <c r="AL321" i="37"/>
  <c r="AK321" i="37"/>
  <c r="AJ321" i="37"/>
  <c r="AI321" i="37"/>
  <c r="AH321" i="37"/>
  <c r="AG321" i="37"/>
  <c r="AL320" i="37"/>
  <c r="AK320" i="37"/>
  <c r="AJ320" i="37"/>
  <c r="AI320" i="37"/>
  <c r="AH320" i="37"/>
  <c r="AG320" i="37"/>
  <c r="AL319" i="37"/>
  <c r="AK319" i="37"/>
  <c r="AJ319" i="37"/>
  <c r="AI319" i="37"/>
  <c r="AH319" i="37"/>
  <c r="AG319" i="37"/>
  <c r="AL318" i="37"/>
  <c r="AK318" i="37"/>
  <c r="AJ318" i="37"/>
  <c r="AI318" i="37"/>
  <c r="AH318" i="37"/>
  <c r="AG318" i="37"/>
  <c r="AL317" i="37"/>
  <c r="AK317" i="37"/>
  <c r="AJ317" i="37"/>
  <c r="AI317" i="37"/>
  <c r="AH317" i="37"/>
  <c r="AG317" i="37"/>
  <c r="AL316" i="37"/>
  <c r="AK316" i="37"/>
  <c r="AJ316" i="37"/>
  <c r="AI316" i="37"/>
  <c r="AH316" i="37"/>
  <c r="AG316" i="37"/>
  <c r="AL315" i="37"/>
  <c r="AK315" i="37"/>
  <c r="AJ315" i="37"/>
  <c r="AI315" i="37"/>
  <c r="AH315" i="37"/>
  <c r="AG315" i="37"/>
  <c r="AL314" i="37"/>
  <c r="AK314" i="37"/>
  <c r="AJ314" i="37"/>
  <c r="AI314" i="37"/>
  <c r="AH314" i="37"/>
  <c r="AG314" i="37"/>
  <c r="AL313" i="37"/>
  <c r="AK313" i="37"/>
  <c r="AJ313" i="37"/>
  <c r="AI313" i="37"/>
  <c r="AH313" i="37"/>
  <c r="AG313" i="37"/>
  <c r="AL312" i="37"/>
  <c r="AK312" i="37"/>
  <c r="AJ312" i="37"/>
  <c r="AI312" i="37"/>
  <c r="AH312" i="37"/>
  <c r="AG312" i="37"/>
  <c r="AL311" i="37"/>
  <c r="AK311" i="37"/>
  <c r="AJ311" i="37"/>
  <c r="AI311" i="37"/>
  <c r="AH311" i="37"/>
  <c r="AG311" i="37"/>
  <c r="AL310" i="37"/>
  <c r="AK310" i="37"/>
  <c r="AJ310" i="37"/>
  <c r="AI310" i="37"/>
  <c r="AH310" i="37"/>
  <c r="AG310" i="37"/>
  <c r="AL309" i="37"/>
  <c r="AK309" i="37"/>
  <c r="AJ309" i="37"/>
  <c r="AI309" i="37"/>
  <c r="AH309" i="37"/>
  <c r="AG309" i="37"/>
  <c r="AL308" i="37"/>
  <c r="AK308" i="37"/>
  <c r="AJ308" i="37"/>
  <c r="AI308" i="37"/>
  <c r="AH308" i="37"/>
  <c r="AG308" i="37"/>
  <c r="AL307" i="37"/>
  <c r="AK307" i="37"/>
  <c r="AJ307" i="37"/>
  <c r="AI307" i="37"/>
  <c r="AH307" i="37"/>
  <c r="AG307" i="37"/>
  <c r="AL306" i="37"/>
  <c r="AK306" i="37"/>
  <c r="AJ306" i="37"/>
  <c r="AI306" i="37"/>
  <c r="AH306" i="37"/>
  <c r="AG306" i="37"/>
  <c r="AL305" i="37"/>
  <c r="AK305" i="37"/>
  <c r="AJ305" i="37"/>
  <c r="AI305" i="37"/>
  <c r="AH305" i="37"/>
  <c r="AG305" i="37"/>
  <c r="AL304" i="37"/>
  <c r="AK304" i="37"/>
  <c r="AJ304" i="37"/>
  <c r="AI304" i="37"/>
  <c r="AH304" i="37"/>
  <c r="AG304" i="37"/>
  <c r="AL303" i="37"/>
  <c r="AK303" i="37"/>
  <c r="AJ303" i="37"/>
  <c r="AI303" i="37"/>
  <c r="AH303" i="37"/>
  <c r="AG303" i="37"/>
  <c r="AL302" i="37"/>
  <c r="AK302" i="37"/>
  <c r="AJ302" i="37"/>
  <c r="AI302" i="37"/>
  <c r="AH302" i="37"/>
  <c r="AG302" i="37"/>
  <c r="AL301" i="37"/>
  <c r="AK301" i="37"/>
  <c r="AJ301" i="37"/>
  <c r="AI301" i="37"/>
  <c r="AH301" i="37"/>
  <c r="AG301" i="37"/>
  <c r="AL300" i="37"/>
  <c r="AK300" i="37"/>
  <c r="AJ300" i="37"/>
  <c r="AI300" i="37"/>
  <c r="AH300" i="37"/>
  <c r="AG300" i="37"/>
  <c r="AL299" i="37"/>
  <c r="AK299" i="37"/>
  <c r="AJ299" i="37"/>
  <c r="AI299" i="37"/>
  <c r="AH299" i="37"/>
  <c r="AG299" i="37"/>
  <c r="AL298" i="37"/>
  <c r="AK298" i="37"/>
  <c r="AJ298" i="37"/>
  <c r="AI298" i="37"/>
  <c r="AH298" i="37"/>
  <c r="AG298" i="37"/>
  <c r="AL297" i="37"/>
  <c r="AK297" i="37"/>
  <c r="AJ297" i="37"/>
  <c r="AI297" i="37"/>
  <c r="AH297" i="37"/>
  <c r="AG297" i="37"/>
  <c r="AL296" i="37"/>
  <c r="AK296" i="37"/>
  <c r="AJ296" i="37"/>
  <c r="AI296" i="37"/>
  <c r="AH296" i="37"/>
  <c r="AG296" i="37"/>
  <c r="AL295" i="37"/>
  <c r="AK295" i="37"/>
  <c r="AJ295" i="37"/>
  <c r="AI295" i="37"/>
  <c r="AH295" i="37"/>
  <c r="AG295" i="37"/>
  <c r="AL294" i="37"/>
  <c r="AK294" i="37"/>
  <c r="AJ294" i="37"/>
  <c r="AI294" i="37"/>
  <c r="AH294" i="37"/>
  <c r="AG294" i="37"/>
  <c r="AL293" i="37"/>
  <c r="AK293" i="37"/>
  <c r="AJ293" i="37"/>
  <c r="AI293" i="37"/>
  <c r="AH293" i="37"/>
  <c r="AG293" i="37"/>
  <c r="AL292" i="37"/>
  <c r="AK292" i="37"/>
  <c r="AJ292" i="37"/>
  <c r="AI292" i="37"/>
  <c r="AH292" i="37"/>
  <c r="AG292" i="37"/>
  <c r="AL291" i="37"/>
  <c r="AK291" i="37"/>
  <c r="AJ291" i="37"/>
  <c r="AI291" i="37"/>
  <c r="AH291" i="37"/>
  <c r="AG291" i="37"/>
  <c r="AL290" i="37"/>
  <c r="AK290" i="37"/>
  <c r="AJ290" i="37"/>
  <c r="AI290" i="37"/>
  <c r="AH290" i="37"/>
  <c r="AG290" i="37"/>
  <c r="AL289" i="37"/>
  <c r="AK289" i="37"/>
  <c r="AJ289" i="37"/>
  <c r="AI289" i="37"/>
  <c r="AH289" i="37"/>
  <c r="AG289" i="37"/>
  <c r="AL288" i="37"/>
  <c r="AK288" i="37"/>
  <c r="AJ288" i="37"/>
  <c r="AI288" i="37"/>
  <c r="AH288" i="37"/>
  <c r="AG288" i="37"/>
  <c r="AL287" i="37"/>
  <c r="AK287" i="37"/>
  <c r="AJ287" i="37"/>
  <c r="AI287" i="37"/>
  <c r="AH287" i="37"/>
  <c r="AG287" i="37"/>
  <c r="AL286" i="37"/>
  <c r="AK286" i="37"/>
  <c r="AJ286" i="37"/>
  <c r="AI286" i="37"/>
  <c r="AH286" i="37"/>
  <c r="AG286" i="37"/>
  <c r="AL285" i="37"/>
  <c r="AK285" i="37"/>
  <c r="AJ285" i="37"/>
  <c r="AI285" i="37"/>
  <c r="AH285" i="37"/>
  <c r="AG285" i="37"/>
  <c r="AL284" i="37"/>
  <c r="AK284" i="37"/>
  <c r="AJ284" i="37"/>
  <c r="AI284" i="37"/>
  <c r="AH284" i="37"/>
  <c r="AG284" i="37"/>
  <c r="AL283" i="37"/>
  <c r="AK283" i="37"/>
  <c r="AJ283" i="37"/>
  <c r="AI283" i="37"/>
  <c r="AH283" i="37"/>
  <c r="AG283" i="37"/>
  <c r="AL282" i="37"/>
  <c r="AK282" i="37"/>
  <c r="AJ282" i="37"/>
  <c r="AI282" i="37"/>
  <c r="AH282" i="37"/>
  <c r="AG282" i="37"/>
  <c r="AL281" i="37"/>
  <c r="AK281" i="37"/>
  <c r="AJ281" i="37"/>
  <c r="AI281" i="37"/>
  <c r="AH281" i="37"/>
  <c r="AG281" i="37"/>
  <c r="AL280" i="37"/>
  <c r="AK280" i="37"/>
  <c r="AJ280" i="37"/>
  <c r="AI280" i="37"/>
  <c r="AH280" i="37"/>
  <c r="AG280" i="37"/>
  <c r="AL279" i="37"/>
  <c r="AK279" i="37"/>
  <c r="AJ279" i="37"/>
  <c r="AI279" i="37"/>
  <c r="AH279" i="37"/>
  <c r="AG279" i="37"/>
  <c r="AL278" i="37"/>
  <c r="AK278" i="37"/>
  <c r="AJ278" i="37"/>
  <c r="AI278" i="37"/>
  <c r="AH278" i="37"/>
  <c r="AG278" i="37"/>
  <c r="AL277" i="37"/>
  <c r="AK277" i="37"/>
  <c r="AJ277" i="37"/>
  <c r="AI277" i="37"/>
  <c r="AH277" i="37"/>
  <c r="AG277" i="37"/>
  <c r="AL276" i="37"/>
  <c r="AK276" i="37"/>
  <c r="AJ276" i="37"/>
  <c r="AI276" i="37"/>
  <c r="AH276" i="37"/>
  <c r="AG276" i="37"/>
  <c r="AL275" i="37"/>
  <c r="AK275" i="37"/>
  <c r="AJ275" i="37"/>
  <c r="AI275" i="37"/>
  <c r="AH275" i="37"/>
  <c r="AG275" i="37"/>
  <c r="AL274" i="37"/>
  <c r="AK274" i="37"/>
  <c r="AJ274" i="37"/>
  <c r="AI274" i="37"/>
  <c r="AH274" i="37"/>
  <c r="AG274" i="37"/>
  <c r="AL273" i="37"/>
  <c r="AK273" i="37"/>
  <c r="AJ273" i="37"/>
  <c r="AI273" i="37"/>
  <c r="AH273" i="37"/>
  <c r="AG273" i="37"/>
  <c r="AL272" i="37"/>
  <c r="AK272" i="37"/>
  <c r="AJ272" i="37"/>
  <c r="AI272" i="37"/>
  <c r="AH272" i="37"/>
  <c r="AG272" i="37"/>
  <c r="AL271" i="37"/>
  <c r="AK271" i="37"/>
  <c r="AJ271" i="37"/>
  <c r="AI271" i="37"/>
  <c r="AH271" i="37"/>
  <c r="AG271" i="37"/>
  <c r="AL270" i="37"/>
  <c r="AK270" i="37"/>
  <c r="AJ270" i="37"/>
  <c r="AI270" i="37"/>
  <c r="AH270" i="37"/>
  <c r="AG270" i="37"/>
  <c r="AL269" i="37"/>
  <c r="AK269" i="37"/>
  <c r="AJ269" i="37"/>
  <c r="AI269" i="37"/>
  <c r="AH269" i="37"/>
  <c r="AG269" i="37"/>
  <c r="AL268" i="37"/>
  <c r="AK268" i="37"/>
  <c r="AJ268" i="37"/>
  <c r="AI268" i="37"/>
  <c r="AH268" i="37"/>
  <c r="AG268" i="37"/>
  <c r="AL267" i="37"/>
  <c r="AK267" i="37"/>
  <c r="AJ267" i="37"/>
  <c r="AI267" i="37"/>
  <c r="AH267" i="37"/>
  <c r="AG267" i="37"/>
  <c r="AL266" i="37"/>
  <c r="AK266" i="37"/>
  <c r="AJ266" i="37"/>
  <c r="AI266" i="37"/>
  <c r="AH266" i="37"/>
  <c r="AG266" i="37"/>
  <c r="AL265" i="37"/>
  <c r="AK265" i="37"/>
  <c r="AJ265" i="37"/>
  <c r="AI265" i="37"/>
  <c r="AH265" i="37"/>
  <c r="AG265" i="37"/>
  <c r="AL264" i="37"/>
  <c r="AK264" i="37"/>
  <c r="AJ264" i="37"/>
  <c r="AI264" i="37"/>
  <c r="AH264" i="37"/>
  <c r="AG264" i="37"/>
  <c r="AL263" i="37"/>
  <c r="AK263" i="37"/>
  <c r="AJ263" i="37"/>
  <c r="AI263" i="37"/>
  <c r="AH263" i="37"/>
  <c r="AG263" i="37"/>
  <c r="AL262" i="37"/>
  <c r="AK262" i="37"/>
  <c r="AJ262" i="37"/>
  <c r="AI262" i="37"/>
  <c r="AH262" i="37"/>
  <c r="AG262" i="37"/>
  <c r="AL261" i="37"/>
  <c r="AK261" i="37"/>
  <c r="AJ261" i="37"/>
  <c r="AI261" i="37"/>
  <c r="AH261" i="37"/>
  <c r="AG261" i="37"/>
  <c r="AL260" i="37"/>
  <c r="AK260" i="37"/>
  <c r="AJ260" i="37"/>
  <c r="AI260" i="37"/>
  <c r="AH260" i="37"/>
  <c r="AG260" i="37"/>
  <c r="AL259" i="37"/>
  <c r="AK259" i="37"/>
  <c r="AJ259" i="37"/>
  <c r="AI259" i="37"/>
  <c r="AH259" i="37"/>
  <c r="AG259" i="37"/>
  <c r="AL258" i="37"/>
  <c r="AK258" i="37"/>
  <c r="AJ258" i="37"/>
  <c r="AI258" i="37"/>
  <c r="AH258" i="37"/>
  <c r="AG258" i="37"/>
  <c r="AL257" i="37"/>
  <c r="AK257" i="37"/>
  <c r="AJ257" i="37"/>
  <c r="AI257" i="37"/>
  <c r="AH257" i="37"/>
  <c r="AG257" i="37"/>
  <c r="AL256" i="37"/>
  <c r="AK256" i="37"/>
  <c r="AJ256" i="37"/>
  <c r="AI256" i="37"/>
  <c r="AH256" i="37"/>
  <c r="AG256" i="37"/>
  <c r="AL255" i="37"/>
  <c r="AK255" i="37"/>
  <c r="AJ255" i="37"/>
  <c r="AI255" i="37"/>
  <c r="AH255" i="37"/>
  <c r="AG255" i="37"/>
  <c r="AL254" i="37"/>
  <c r="AK254" i="37"/>
  <c r="AJ254" i="37"/>
  <c r="AI254" i="37"/>
  <c r="AH254" i="37"/>
  <c r="AG254" i="37"/>
  <c r="AL253" i="37"/>
  <c r="AK253" i="37"/>
  <c r="AJ253" i="37"/>
  <c r="AI253" i="37"/>
  <c r="AH253" i="37"/>
  <c r="AG253" i="37"/>
  <c r="AL252" i="37"/>
  <c r="AK252" i="37"/>
  <c r="AJ252" i="37"/>
  <c r="AI252" i="37"/>
  <c r="AH252" i="37"/>
  <c r="AG252" i="37"/>
  <c r="AL251" i="37"/>
  <c r="AK251" i="37"/>
  <c r="AJ251" i="37"/>
  <c r="AI251" i="37"/>
  <c r="AH251" i="37"/>
  <c r="AG251" i="37"/>
  <c r="AL250" i="37"/>
  <c r="AK250" i="37"/>
  <c r="AJ250" i="37"/>
  <c r="AI250" i="37"/>
  <c r="AH250" i="37"/>
  <c r="AG250" i="37"/>
  <c r="AL249" i="37"/>
  <c r="AK249" i="37"/>
  <c r="AJ249" i="37"/>
  <c r="AI249" i="37"/>
  <c r="AH249" i="37"/>
  <c r="AG249" i="37"/>
  <c r="AL248" i="37"/>
  <c r="AK248" i="37"/>
  <c r="AJ248" i="37"/>
  <c r="AI248" i="37"/>
  <c r="AH248" i="37"/>
  <c r="AG248" i="37"/>
  <c r="AL247" i="37"/>
  <c r="AK247" i="37"/>
  <c r="AJ247" i="37"/>
  <c r="AI247" i="37"/>
  <c r="AH247" i="37"/>
  <c r="AG247" i="37"/>
  <c r="AL246" i="37"/>
  <c r="AK246" i="37"/>
  <c r="AJ246" i="37"/>
  <c r="AI246" i="37"/>
  <c r="AH246" i="37"/>
  <c r="AG246" i="37"/>
  <c r="AL245" i="37"/>
  <c r="AK245" i="37"/>
  <c r="AJ245" i="37"/>
  <c r="AI245" i="37"/>
  <c r="AH245" i="37"/>
  <c r="AG245" i="37"/>
  <c r="AL244" i="37"/>
  <c r="AK244" i="37"/>
  <c r="AJ244" i="37"/>
  <c r="AI244" i="37"/>
  <c r="AH244" i="37"/>
  <c r="AG244" i="37"/>
  <c r="AL243" i="37"/>
  <c r="AK243" i="37"/>
  <c r="AJ243" i="37"/>
  <c r="AI243" i="37"/>
  <c r="AH243" i="37"/>
  <c r="AG243" i="37"/>
  <c r="AL242" i="37"/>
  <c r="AK242" i="37"/>
  <c r="AJ242" i="37"/>
  <c r="AI242" i="37"/>
  <c r="AH242" i="37"/>
  <c r="AG242" i="37"/>
  <c r="AL241" i="37"/>
  <c r="AK241" i="37"/>
  <c r="AJ241" i="37"/>
  <c r="AI241" i="37"/>
  <c r="AH241" i="37"/>
  <c r="AG241" i="37"/>
  <c r="AL240" i="37"/>
  <c r="AK240" i="37"/>
  <c r="AJ240" i="37"/>
  <c r="AI240" i="37"/>
  <c r="AH240" i="37"/>
  <c r="AG240" i="37"/>
  <c r="AL239" i="37"/>
  <c r="AK239" i="37"/>
  <c r="AJ239" i="37"/>
  <c r="AI239" i="37"/>
  <c r="AH239" i="37"/>
  <c r="AG239" i="37"/>
  <c r="AL238" i="37"/>
  <c r="AK238" i="37"/>
  <c r="AJ238" i="37"/>
  <c r="AI238" i="37"/>
  <c r="AH238" i="37"/>
  <c r="AG238" i="37"/>
  <c r="AL237" i="37"/>
  <c r="AK237" i="37"/>
  <c r="AJ237" i="37"/>
  <c r="AI237" i="37"/>
  <c r="AH237" i="37"/>
  <c r="AG237" i="37"/>
  <c r="AL236" i="37"/>
  <c r="AK236" i="37"/>
  <c r="AJ236" i="37"/>
  <c r="AI236" i="37"/>
  <c r="AH236" i="37"/>
  <c r="AG236" i="37"/>
  <c r="AL235" i="37"/>
  <c r="AK235" i="37"/>
  <c r="AJ235" i="37"/>
  <c r="AI235" i="37"/>
  <c r="AH235" i="37"/>
  <c r="AG235" i="37"/>
  <c r="AL234" i="37"/>
  <c r="AK234" i="37"/>
  <c r="AJ234" i="37"/>
  <c r="AI234" i="37"/>
  <c r="AH234" i="37"/>
  <c r="AG234" i="37"/>
  <c r="AL233" i="37"/>
  <c r="AK233" i="37"/>
  <c r="AJ233" i="37"/>
  <c r="AI233" i="37"/>
  <c r="AH233" i="37"/>
  <c r="AG233" i="37"/>
  <c r="AL232" i="37"/>
  <c r="AK232" i="37"/>
  <c r="AJ232" i="37"/>
  <c r="AI232" i="37"/>
  <c r="AH232" i="37"/>
  <c r="AG232" i="37"/>
  <c r="AL231" i="37"/>
  <c r="AK231" i="37"/>
  <c r="AJ231" i="37"/>
  <c r="AI231" i="37"/>
  <c r="AH231" i="37"/>
  <c r="AG231" i="37"/>
  <c r="AL230" i="37"/>
  <c r="AK230" i="37"/>
  <c r="AJ230" i="37"/>
  <c r="AI230" i="37"/>
  <c r="AH230" i="37"/>
  <c r="AG230" i="37"/>
  <c r="AL229" i="37"/>
  <c r="AK229" i="37"/>
  <c r="AJ229" i="37"/>
  <c r="AI229" i="37"/>
  <c r="AH229" i="37"/>
  <c r="AG229" i="37"/>
  <c r="AL228" i="37"/>
  <c r="AK228" i="37"/>
  <c r="AJ228" i="37"/>
  <c r="AI228" i="37"/>
  <c r="AH228" i="37"/>
  <c r="AG228" i="37"/>
  <c r="AL227" i="37"/>
  <c r="AK227" i="37"/>
  <c r="AJ227" i="37"/>
  <c r="AI227" i="37"/>
  <c r="AH227" i="37"/>
  <c r="AG227" i="37"/>
  <c r="AL226" i="37"/>
  <c r="AK226" i="37"/>
  <c r="AJ226" i="37"/>
  <c r="AI226" i="37"/>
  <c r="AH226" i="37"/>
  <c r="AG226" i="37"/>
  <c r="AL225" i="37"/>
  <c r="AK225" i="37"/>
  <c r="AJ225" i="37"/>
  <c r="AI225" i="37"/>
  <c r="AH225" i="37"/>
  <c r="AG225" i="37"/>
  <c r="AL224" i="37"/>
  <c r="AK224" i="37"/>
  <c r="AJ224" i="37"/>
  <c r="AI224" i="37"/>
  <c r="AH224" i="37"/>
  <c r="AG224" i="37"/>
  <c r="AL223" i="37"/>
  <c r="AK223" i="37"/>
  <c r="AJ223" i="37"/>
  <c r="AI223" i="37"/>
  <c r="AH223" i="37"/>
  <c r="AG223" i="37"/>
  <c r="AL222" i="37"/>
  <c r="AK222" i="37"/>
  <c r="AJ222" i="37"/>
  <c r="AI222" i="37"/>
  <c r="AH222" i="37"/>
  <c r="AG222" i="37"/>
  <c r="AL221" i="37"/>
  <c r="AK221" i="37"/>
  <c r="AJ221" i="37"/>
  <c r="AI221" i="37"/>
  <c r="AH221" i="37"/>
  <c r="AG221" i="37"/>
  <c r="AL220" i="37"/>
  <c r="AK220" i="37"/>
  <c r="AJ220" i="37"/>
  <c r="AI220" i="37"/>
  <c r="AH220" i="37"/>
  <c r="AG220" i="37"/>
  <c r="AL219" i="37"/>
  <c r="AK219" i="37"/>
  <c r="AJ219" i="37"/>
  <c r="AI219" i="37"/>
  <c r="AH219" i="37"/>
  <c r="AG219" i="37"/>
  <c r="AL218" i="37"/>
  <c r="AK218" i="37"/>
  <c r="AJ218" i="37"/>
  <c r="AI218" i="37"/>
  <c r="AH218" i="37"/>
  <c r="AG218" i="37"/>
  <c r="AL217" i="37"/>
  <c r="AK217" i="37"/>
  <c r="AJ217" i="37"/>
  <c r="AI217" i="37"/>
  <c r="AH217" i="37"/>
  <c r="AG217" i="37"/>
  <c r="AL216" i="37"/>
  <c r="AK216" i="37"/>
  <c r="AJ216" i="37"/>
  <c r="AI216" i="37"/>
  <c r="AH216" i="37"/>
  <c r="AG216" i="37"/>
  <c r="AL215" i="37"/>
  <c r="AK215" i="37"/>
  <c r="AJ215" i="37"/>
  <c r="AI215" i="37"/>
  <c r="AH215" i="37"/>
  <c r="AG215" i="37"/>
  <c r="AL214" i="37"/>
  <c r="AK214" i="37"/>
  <c r="AJ214" i="37"/>
  <c r="AI214" i="37"/>
  <c r="AH214" i="37"/>
  <c r="AG214" i="37"/>
  <c r="AL213" i="37"/>
  <c r="AK213" i="37"/>
  <c r="AJ213" i="37"/>
  <c r="AI213" i="37"/>
  <c r="AH213" i="37"/>
  <c r="AG213" i="37"/>
  <c r="AL212" i="37"/>
  <c r="AK212" i="37"/>
  <c r="AJ212" i="37"/>
  <c r="AI212" i="37"/>
  <c r="AH212" i="37"/>
  <c r="AG212" i="37"/>
  <c r="AL211" i="37"/>
  <c r="AK211" i="37"/>
  <c r="AJ211" i="37"/>
  <c r="AI211" i="37"/>
  <c r="AH211" i="37"/>
  <c r="AG211" i="37"/>
  <c r="AL210" i="37"/>
  <c r="AK210" i="37"/>
  <c r="AJ210" i="37"/>
  <c r="AI210" i="37"/>
  <c r="AH210" i="37"/>
  <c r="AG210" i="37"/>
  <c r="AL209" i="37"/>
  <c r="AK209" i="37"/>
  <c r="AJ209" i="37"/>
  <c r="AI209" i="37"/>
  <c r="AH209" i="37"/>
  <c r="AG209" i="37"/>
  <c r="AL208" i="37"/>
  <c r="AK208" i="37"/>
  <c r="AJ208" i="37"/>
  <c r="AI208" i="37"/>
  <c r="AH208" i="37"/>
  <c r="AG208" i="37"/>
  <c r="AL207" i="37"/>
  <c r="AK207" i="37"/>
  <c r="AJ207" i="37"/>
  <c r="AI207" i="37"/>
  <c r="AH207" i="37"/>
  <c r="AG207" i="37"/>
  <c r="AL206" i="37"/>
  <c r="AK206" i="37"/>
  <c r="AJ206" i="37"/>
  <c r="AI206" i="37"/>
  <c r="AH206" i="37"/>
  <c r="AG206" i="37"/>
  <c r="AL205" i="37"/>
  <c r="AK205" i="37"/>
  <c r="AJ205" i="37"/>
  <c r="AI205" i="37"/>
  <c r="AH205" i="37"/>
  <c r="AG205" i="37"/>
  <c r="AL204" i="37"/>
  <c r="AK204" i="37"/>
  <c r="AJ204" i="37"/>
  <c r="AI204" i="37"/>
  <c r="AH204" i="37"/>
  <c r="AG204" i="37"/>
  <c r="AL203" i="37"/>
  <c r="AK203" i="37"/>
  <c r="AJ203" i="37"/>
  <c r="AI203" i="37"/>
  <c r="AH203" i="37"/>
  <c r="AG203" i="37"/>
  <c r="AL202" i="37"/>
  <c r="AK202" i="37"/>
  <c r="AJ202" i="37"/>
  <c r="AI202" i="37"/>
  <c r="AH202" i="37"/>
  <c r="AG202" i="37"/>
  <c r="AL201" i="37"/>
  <c r="AK201" i="37"/>
  <c r="AJ201" i="37"/>
  <c r="AI201" i="37"/>
  <c r="AH201" i="37"/>
  <c r="AG201" i="37"/>
  <c r="AL200" i="37"/>
  <c r="AK200" i="37"/>
  <c r="AJ200" i="37"/>
  <c r="AI200" i="37"/>
  <c r="AH200" i="37"/>
  <c r="AG200" i="37"/>
  <c r="AL199" i="37"/>
  <c r="AK199" i="37"/>
  <c r="AJ199" i="37"/>
  <c r="AI199" i="37"/>
  <c r="AH199" i="37"/>
  <c r="AG199" i="37"/>
  <c r="AL198" i="37"/>
  <c r="AK198" i="37"/>
  <c r="AJ198" i="37"/>
  <c r="AI198" i="37"/>
  <c r="AH198" i="37"/>
  <c r="AG198" i="37"/>
  <c r="AL197" i="37"/>
  <c r="AK197" i="37"/>
  <c r="AJ197" i="37"/>
  <c r="AI197" i="37"/>
  <c r="AH197" i="37"/>
  <c r="AG197" i="37"/>
  <c r="AL196" i="37"/>
  <c r="AK196" i="37"/>
  <c r="AJ196" i="37"/>
  <c r="AI196" i="37"/>
  <c r="AH196" i="37"/>
  <c r="AG196" i="37"/>
  <c r="AL195" i="37"/>
  <c r="AK195" i="37"/>
  <c r="AJ195" i="37"/>
  <c r="AI195" i="37"/>
  <c r="AH195" i="37"/>
  <c r="AG195" i="37"/>
  <c r="AL194" i="37"/>
  <c r="AK194" i="37"/>
  <c r="AJ194" i="37"/>
  <c r="AI194" i="37"/>
  <c r="AH194" i="37"/>
  <c r="AG194" i="37"/>
  <c r="AL193" i="37"/>
  <c r="AK193" i="37"/>
  <c r="AJ193" i="37"/>
  <c r="AI193" i="37"/>
  <c r="AH193" i="37"/>
  <c r="AG193" i="37"/>
  <c r="AL192" i="37"/>
  <c r="AK192" i="37"/>
  <c r="AJ192" i="37"/>
  <c r="AI192" i="37"/>
  <c r="AH192" i="37"/>
  <c r="AG192" i="37"/>
  <c r="AL191" i="37"/>
  <c r="AK191" i="37"/>
  <c r="AJ191" i="37"/>
  <c r="AI191" i="37"/>
  <c r="AH191" i="37"/>
  <c r="AG191" i="37"/>
  <c r="AL190" i="37"/>
  <c r="AK190" i="37"/>
  <c r="AJ190" i="37"/>
  <c r="AI190" i="37"/>
  <c r="AH190" i="37"/>
  <c r="AG190" i="37"/>
  <c r="AL189" i="37"/>
  <c r="AK189" i="37"/>
  <c r="AJ189" i="37"/>
  <c r="AI189" i="37"/>
  <c r="AH189" i="37"/>
  <c r="AG189" i="37"/>
  <c r="AL188" i="37"/>
  <c r="AK188" i="37"/>
  <c r="AJ188" i="37"/>
  <c r="AI188" i="37"/>
  <c r="AH188" i="37"/>
  <c r="AG188" i="37"/>
  <c r="AL187" i="37"/>
  <c r="AK187" i="37"/>
  <c r="AJ187" i="37"/>
  <c r="AI187" i="37"/>
  <c r="AH187" i="37"/>
  <c r="AG187" i="37"/>
  <c r="AL186" i="37"/>
  <c r="AK186" i="37"/>
  <c r="AJ186" i="37"/>
  <c r="AI186" i="37"/>
  <c r="AH186" i="37"/>
  <c r="AG186" i="37"/>
  <c r="AL185" i="37"/>
  <c r="AK185" i="37"/>
  <c r="AJ185" i="37"/>
  <c r="AI185" i="37"/>
  <c r="AH185" i="37"/>
  <c r="AG185" i="37"/>
  <c r="AL184" i="37"/>
  <c r="AK184" i="37"/>
  <c r="AJ184" i="37"/>
  <c r="AI184" i="37"/>
  <c r="AH184" i="37"/>
  <c r="AG184" i="37"/>
  <c r="AL183" i="37"/>
  <c r="AK183" i="37"/>
  <c r="AJ183" i="37"/>
  <c r="AI183" i="37"/>
  <c r="AH183" i="37"/>
  <c r="AG183" i="37"/>
  <c r="AL182" i="37"/>
  <c r="AK182" i="37"/>
  <c r="AJ182" i="37"/>
  <c r="AI182" i="37"/>
  <c r="AH182" i="37"/>
  <c r="AG182" i="37"/>
  <c r="AL181" i="37"/>
  <c r="AK181" i="37"/>
  <c r="AJ181" i="37"/>
  <c r="AI181" i="37"/>
  <c r="AH181" i="37"/>
  <c r="AG181" i="37"/>
  <c r="AL180" i="37"/>
  <c r="AK180" i="37"/>
  <c r="AJ180" i="37"/>
  <c r="AI180" i="37"/>
  <c r="AH180" i="37"/>
  <c r="AG180" i="37"/>
  <c r="AL179" i="37"/>
  <c r="AK179" i="37"/>
  <c r="AJ179" i="37"/>
  <c r="AI179" i="37"/>
  <c r="AH179" i="37"/>
  <c r="AG179" i="37"/>
  <c r="AL178" i="37"/>
  <c r="AK178" i="37"/>
  <c r="AJ178" i="37"/>
  <c r="AI178" i="37"/>
  <c r="AH178" i="37"/>
  <c r="AG178" i="37"/>
  <c r="AL177" i="37"/>
  <c r="AK177" i="37"/>
  <c r="AJ177" i="37"/>
  <c r="AI177" i="37"/>
  <c r="AH177" i="37"/>
  <c r="AG177" i="37"/>
  <c r="AL176" i="37"/>
  <c r="AK176" i="37"/>
  <c r="AJ176" i="37"/>
  <c r="AI176" i="37"/>
  <c r="AH176" i="37"/>
  <c r="AG176" i="37"/>
  <c r="AL175" i="37"/>
  <c r="AK175" i="37"/>
  <c r="AJ175" i="37"/>
  <c r="AI175" i="37"/>
  <c r="AH175" i="37"/>
  <c r="AG175" i="37"/>
  <c r="AL174" i="37"/>
  <c r="AK174" i="37"/>
  <c r="AJ174" i="37"/>
  <c r="AI174" i="37"/>
  <c r="AH174" i="37"/>
  <c r="AG174" i="37"/>
  <c r="AL173" i="37"/>
  <c r="AK173" i="37"/>
  <c r="AJ173" i="37"/>
  <c r="AI173" i="37"/>
  <c r="AH173" i="37"/>
  <c r="AG173" i="37"/>
  <c r="AL172" i="37"/>
  <c r="AK172" i="37"/>
  <c r="AJ172" i="37"/>
  <c r="AI172" i="37"/>
  <c r="AH172" i="37"/>
  <c r="AG172" i="37"/>
  <c r="AL171" i="37"/>
  <c r="AK171" i="37"/>
  <c r="AJ171" i="37"/>
  <c r="AI171" i="37"/>
  <c r="AH171" i="37"/>
  <c r="AG171" i="37"/>
  <c r="AL170" i="37"/>
  <c r="AK170" i="37"/>
  <c r="AJ170" i="37"/>
  <c r="AI170" i="37"/>
  <c r="AH170" i="37"/>
  <c r="AG170" i="37"/>
  <c r="AL169" i="37"/>
  <c r="AK169" i="37"/>
  <c r="AJ169" i="37"/>
  <c r="AI169" i="37"/>
  <c r="AH169" i="37"/>
  <c r="AG169" i="37"/>
  <c r="AL168" i="37"/>
  <c r="AK168" i="37"/>
  <c r="AJ168" i="37"/>
  <c r="AI168" i="37"/>
  <c r="AH168" i="37"/>
  <c r="AG168" i="37"/>
  <c r="AL167" i="37"/>
  <c r="AK167" i="37"/>
  <c r="AJ167" i="37"/>
  <c r="AI167" i="37"/>
  <c r="AH167" i="37"/>
  <c r="AG167" i="37"/>
  <c r="AL166" i="37"/>
  <c r="AK166" i="37"/>
  <c r="AJ166" i="37"/>
  <c r="AI166" i="37"/>
  <c r="AH166" i="37"/>
  <c r="AG166" i="37"/>
  <c r="AL165" i="37"/>
  <c r="AK165" i="37"/>
  <c r="AJ165" i="37"/>
  <c r="AI165" i="37"/>
  <c r="AH165" i="37"/>
  <c r="AG165" i="37"/>
  <c r="AL164" i="37"/>
  <c r="AK164" i="37"/>
  <c r="AJ164" i="37"/>
  <c r="AI164" i="37"/>
  <c r="AH164" i="37"/>
  <c r="AG164" i="37"/>
  <c r="AL163" i="37"/>
  <c r="AK163" i="37"/>
  <c r="AJ163" i="37"/>
  <c r="AI163" i="37"/>
  <c r="AH163" i="37"/>
  <c r="AG163" i="37"/>
  <c r="AL162" i="37"/>
  <c r="AK162" i="37"/>
  <c r="AJ162" i="37"/>
  <c r="AI162" i="37"/>
  <c r="AH162" i="37"/>
  <c r="AG162" i="37"/>
  <c r="AL161" i="37"/>
  <c r="AK161" i="37"/>
  <c r="AJ161" i="37"/>
  <c r="AI161" i="37"/>
  <c r="AH161" i="37"/>
  <c r="AG161" i="37"/>
  <c r="AL160" i="37"/>
  <c r="AK160" i="37"/>
  <c r="AJ160" i="37"/>
  <c r="AI160" i="37"/>
  <c r="AH160" i="37"/>
  <c r="AG160" i="37"/>
  <c r="AL159" i="37"/>
  <c r="AK159" i="37"/>
  <c r="AJ159" i="37"/>
  <c r="AI159" i="37"/>
  <c r="AH159" i="37"/>
  <c r="AG159" i="37"/>
  <c r="AL158" i="37"/>
  <c r="AK158" i="37"/>
  <c r="AJ158" i="37"/>
  <c r="AI158" i="37"/>
  <c r="AH158" i="37"/>
  <c r="AG158" i="37"/>
  <c r="AL157" i="37"/>
  <c r="AK157" i="37"/>
  <c r="AJ157" i="37"/>
  <c r="AI157" i="37"/>
  <c r="AH157" i="37"/>
  <c r="AG157" i="37"/>
  <c r="AL156" i="37"/>
  <c r="AK156" i="37"/>
  <c r="AJ156" i="37"/>
  <c r="AI156" i="37"/>
  <c r="AH156" i="37"/>
  <c r="AG156" i="37"/>
  <c r="AL155" i="37"/>
  <c r="AK155" i="37"/>
  <c r="AJ155" i="37"/>
  <c r="AI155" i="37"/>
  <c r="AH155" i="37"/>
  <c r="AG155" i="37"/>
  <c r="AL154" i="37"/>
  <c r="AK154" i="37"/>
  <c r="AJ154" i="37"/>
  <c r="AI154" i="37"/>
  <c r="AH154" i="37"/>
  <c r="AG154" i="37"/>
  <c r="AL153" i="37"/>
  <c r="AK153" i="37"/>
  <c r="AJ153" i="37"/>
  <c r="AI153" i="37"/>
  <c r="AH153" i="37"/>
  <c r="AG153" i="37"/>
  <c r="AL152" i="37"/>
  <c r="AK152" i="37"/>
  <c r="AJ152" i="37"/>
  <c r="AI152" i="37"/>
  <c r="AH152" i="37"/>
  <c r="AG152" i="37"/>
  <c r="AL151" i="37"/>
  <c r="AK151" i="37"/>
  <c r="AJ151" i="37"/>
  <c r="AI151" i="37"/>
  <c r="AH151" i="37"/>
  <c r="AG151" i="37"/>
  <c r="AL150" i="37"/>
  <c r="AK150" i="37"/>
  <c r="AJ150" i="37"/>
  <c r="AI150" i="37"/>
  <c r="AH150" i="37"/>
  <c r="AG150" i="37"/>
  <c r="AL149" i="37"/>
  <c r="AK149" i="37"/>
  <c r="AJ149" i="37"/>
  <c r="AI149" i="37"/>
  <c r="AH149" i="37"/>
  <c r="AG149" i="37"/>
  <c r="AL148" i="37"/>
  <c r="AK148" i="37"/>
  <c r="AJ148" i="37"/>
  <c r="AI148" i="37"/>
  <c r="AH148" i="37"/>
  <c r="AG148" i="37"/>
  <c r="AL147" i="37"/>
  <c r="AK147" i="37"/>
  <c r="AJ147" i="37"/>
  <c r="AI147" i="37"/>
  <c r="AH147" i="37"/>
  <c r="AG147" i="37"/>
  <c r="AL146" i="37"/>
  <c r="AK146" i="37"/>
  <c r="AJ146" i="37"/>
  <c r="AI146" i="37"/>
  <c r="AH146" i="37"/>
  <c r="AG146" i="37"/>
  <c r="AL145" i="37"/>
  <c r="AK145" i="37"/>
  <c r="AJ145" i="37"/>
  <c r="AI145" i="37"/>
  <c r="AH145" i="37"/>
  <c r="AG145" i="37"/>
  <c r="AL144" i="37"/>
  <c r="AK144" i="37"/>
  <c r="AJ144" i="37"/>
  <c r="AI144" i="37"/>
  <c r="AH144" i="37"/>
  <c r="AG144" i="37"/>
  <c r="AL143" i="37"/>
  <c r="AK143" i="37"/>
  <c r="AJ143" i="37"/>
  <c r="AI143" i="37"/>
  <c r="AH143" i="37"/>
  <c r="AG143" i="37"/>
  <c r="AL142" i="37"/>
  <c r="AK142" i="37"/>
  <c r="AJ142" i="37"/>
  <c r="AI142" i="37"/>
  <c r="AH142" i="37"/>
  <c r="AG142" i="37"/>
  <c r="AL141" i="37"/>
  <c r="AK141" i="37"/>
  <c r="AJ141" i="37"/>
  <c r="AI141" i="37"/>
  <c r="AH141" i="37"/>
  <c r="AG141" i="37"/>
  <c r="AL140" i="37"/>
  <c r="AK140" i="37"/>
  <c r="AJ140" i="37"/>
  <c r="AI140" i="37"/>
  <c r="AH140" i="37"/>
  <c r="AG140" i="37"/>
  <c r="AL139" i="37"/>
  <c r="AK139" i="37"/>
  <c r="AJ139" i="37"/>
  <c r="AI139" i="37"/>
  <c r="AH139" i="37"/>
  <c r="AG139" i="37"/>
  <c r="AL138" i="37"/>
  <c r="AK138" i="37"/>
  <c r="AJ138" i="37"/>
  <c r="AI138" i="37"/>
  <c r="AH138" i="37"/>
  <c r="AG138" i="37"/>
  <c r="AL137" i="37"/>
  <c r="AK137" i="37"/>
  <c r="AJ137" i="37"/>
  <c r="AI137" i="37"/>
  <c r="AH137" i="37"/>
  <c r="AG137" i="37"/>
  <c r="AL136" i="37"/>
  <c r="AK136" i="37"/>
  <c r="AJ136" i="37"/>
  <c r="AI136" i="37"/>
  <c r="AH136" i="37"/>
  <c r="AG136" i="37"/>
  <c r="AL135" i="37"/>
  <c r="AK135" i="37"/>
  <c r="AJ135" i="37"/>
  <c r="AI135" i="37"/>
  <c r="AH135" i="37"/>
  <c r="AG135" i="37"/>
  <c r="AL134" i="37"/>
  <c r="AK134" i="37"/>
  <c r="AJ134" i="37"/>
  <c r="AI134" i="37"/>
  <c r="AH134" i="37"/>
  <c r="AG134" i="37"/>
  <c r="AL133" i="37"/>
  <c r="AK133" i="37"/>
  <c r="AJ133" i="37"/>
  <c r="AI133" i="37"/>
  <c r="AH133" i="37"/>
  <c r="AG133" i="37"/>
  <c r="AL132" i="37"/>
  <c r="AK132" i="37"/>
  <c r="AJ132" i="37"/>
  <c r="AI132" i="37"/>
  <c r="AH132" i="37"/>
  <c r="AG132" i="37"/>
  <c r="AL131" i="37"/>
  <c r="AK131" i="37"/>
  <c r="AJ131" i="37"/>
  <c r="AI131" i="37"/>
  <c r="AH131" i="37"/>
  <c r="AG131" i="37"/>
  <c r="AL130" i="37"/>
  <c r="AK130" i="37"/>
  <c r="AJ130" i="37"/>
  <c r="AI130" i="37"/>
  <c r="AH130" i="37"/>
  <c r="AG130" i="37"/>
  <c r="AL129" i="37"/>
  <c r="AK129" i="37"/>
  <c r="AJ129" i="37"/>
  <c r="AI129" i="37"/>
  <c r="AH129" i="37"/>
  <c r="AG129" i="37"/>
  <c r="AL128" i="37"/>
  <c r="AK128" i="37"/>
  <c r="AJ128" i="37"/>
  <c r="AI128" i="37"/>
  <c r="AH128" i="37"/>
  <c r="AG128" i="37"/>
  <c r="AL127" i="37"/>
  <c r="AK127" i="37"/>
  <c r="AJ127" i="37"/>
  <c r="AI127" i="37"/>
  <c r="AH127" i="37"/>
  <c r="AG127" i="37"/>
  <c r="AL126" i="37"/>
  <c r="AK126" i="37"/>
  <c r="AJ126" i="37"/>
  <c r="AI126" i="37"/>
  <c r="AH126" i="37"/>
  <c r="AG126" i="37"/>
  <c r="AL125" i="37"/>
  <c r="AK125" i="37"/>
  <c r="AJ125" i="37"/>
  <c r="AI125" i="37"/>
  <c r="AH125" i="37"/>
  <c r="AG125" i="37"/>
  <c r="AL124" i="37"/>
  <c r="AK124" i="37"/>
  <c r="AJ124" i="37"/>
  <c r="AI124" i="37"/>
  <c r="AH124" i="37"/>
  <c r="AG124" i="37"/>
  <c r="AL123" i="37"/>
  <c r="AK123" i="37"/>
  <c r="AJ123" i="37"/>
  <c r="AI123" i="37"/>
  <c r="AH123" i="37"/>
  <c r="AG123" i="37"/>
  <c r="AL122" i="37"/>
  <c r="AK122" i="37"/>
  <c r="AJ122" i="37"/>
  <c r="AI122" i="37"/>
  <c r="AH122" i="37"/>
  <c r="AG122" i="37"/>
  <c r="AL121" i="37"/>
  <c r="AK121" i="37"/>
  <c r="AJ121" i="37"/>
  <c r="AI121" i="37"/>
  <c r="AH121" i="37"/>
  <c r="AG121" i="37"/>
  <c r="AL120" i="37"/>
  <c r="AK120" i="37"/>
  <c r="AJ120" i="37"/>
  <c r="AI120" i="37"/>
  <c r="AH120" i="37"/>
  <c r="AG120" i="37"/>
  <c r="AL119" i="37"/>
  <c r="AK119" i="37"/>
  <c r="AJ119" i="37"/>
  <c r="AI119" i="37"/>
  <c r="AH119" i="37"/>
  <c r="AG119" i="37"/>
  <c r="AL118" i="37"/>
  <c r="AK118" i="37"/>
  <c r="AJ118" i="37"/>
  <c r="AI118" i="37"/>
  <c r="AH118" i="37"/>
  <c r="AG118" i="37"/>
  <c r="AL117" i="37"/>
  <c r="AK117" i="37"/>
  <c r="AJ117" i="37"/>
  <c r="AI117" i="37"/>
  <c r="AH117" i="37"/>
  <c r="AG117" i="37"/>
  <c r="AL116" i="37"/>
  <c r="AK116" i="37"/>
  <c r="AJ116" i="37"/>
  <c r="AI116" i="37"/>
  <c r="AH116" i="37"/>
  <c r="AG116" i="37"/>
  <c r="AL115" i="37"/>
  <c r="AK115" i="37"/>
  <c r="AJ115" i="37"/>
  <c r="AI115" i="37"/>
  <c r="AH115" i="37"/>
  <c r="AG115" i="37"/>
  <c r="AL114" i="37"/>
  <c r="AK114" i="37"/>
  <c r="AJ114" i="37"/>
  <c r="AI114" i="37"/>
  <c r="AH114" i="37"/>
  <c r="AG114" i="37"/>
  <c r="AL113" i="37"/>
  <c r="AK113" i="37"/>
  <c r="AJ113" i="37"/>
  <c r="AI113" i="37"/>
  <c r="AH113" i="37"/>
  <c r="AG113" i="37"/>
  <c r="AL112" i="37"/>
  <c r="AK112" i="37"/>
  <c r="AJ112" i="37"/>
  <c r="AI112" i="37"/>
  <c r="AH112" i="37"/>
  <c r="AG112" i="37"/>
  <c r="AL111" i="37"/>
  <c r="AK111" i="37"/>
  <c r="AJ111" i="37"/>
  <c r="AI111" i="37"/>
  <c r="AH111" i="37"/>
  <c r="AG111" i="37"/>
  <c r="AL110" i="37"/>
  <c r="AK110" i="37"/>
  <c r="AJ110" i="37"/>
  <c r="AI110" i="37"/>
  <c r="AH110" i="37"/>
  <c r="AG110" i="37"/>
  <c r="AL109" i="37"/>
  <c r="AK109" i="37"/>
  <c r="AJ109" i="37"/>
  <c r="AI109" i="37"/>
  <c r="AH109" i="37"/>
  <c r="AG109" i="37"/>
  <c r="AL108" i="37"/>
  <c r="AK108" i="37"/>
  <c r="AJ108" i="37"/>
  <c r="AI108" i="37"/>
  <c r="AH108" i="37"/>
  <c r="AG108" i="37"/>
  <c r="AL107" i="37"/>
  <c r="AK107" i="37"/>
  <c r="AJ107" i="37"/>
  <c r="AI107" i="37"/>
  <c r="AH107" i="37"/>
  <c r="AG107" i="37"/>
  <c r="AL106" i="37"/>
  <c r="AK106" i="37"/>
  <c r="AJ106" i="37"/>
  <c r="AI106" i="37"/>
  <c r="AH106" i="37"/>
  <c r="AG106" i="37"/>
  <c r="AL105" i="37"/>
  <c r="AK105" i="37"/>
  <c r="AJ105" i="37"/>
  <c r="AI105" i="37"/>
  <c r="AH105" i="37"/>
  <c r="AG105" i="37"/>
  <c r="AL104" i="37"/>
  <c r="AK104" i="37"/>
  <c r="AJ104" i="37"/>
  <c r="AI104" i="37"/>
  <c r="AH104" i="37"/>
  <c r="AG104" i="37"/>
  <c r="AL103" i="37"/>
  <c r="AK103" i="37"/>
  <c r="AJ103" i="37"/>
  <c r="AI103" i="37"/>
  <c r="AH103" i="37"/>
  <c r="AG103" i="37"/>
  <c r="AL102" i="37"/>
  <c r="AK102" i="37"/>
  <c r="AJ102" i="37"/>
  <c r="AI102" i="37"/>
  <c r="AH102" i="37"/>
  <c r="AG102" i="37"/>
  <c r="AL101" i="37"/>
  <c r="AK101" i="37"/>
  <c r="AJ101" i="37"/>
  <c r="AI101" i="37"/>
  <c r="AH101" i="37"/>
  <c r="AG101" i="37"/>
  <c r="AL100" i="37"/>
  <c r="AK100" i="37"/>
  <c r="AJ100" i="37"/>
  <c r="AI100" i="37"/>
  <c r="AH100" i="37"/>
  <c r="AG100" i="37"/>
  <c r="AL99" i="37"/>
  <c r="AK99" i="37"/>
  <c r="AJ99" i="37"/>
  <c r="AI99" i="37"/>
  <c r="AH99" i="37"/>
  <c r="AG99" i="37"/>
  <c r="AL98" i="37"/>
  <c r="AK98" i="37"/>
  <c r="AJ98" i="37"/>
  <c r="AI98" i="37"/>
  <c r="AH98" i="37"/>
  <c r="AG98" i="37"/>
  <c r="AL97" i="37"/>
  <c r="AK97" i="37"/>
  <c r="AJ97" i="37"/>
  <c r="AI97" i="37"/>
  <c r="AH97" i="37"/>
  <c r="AG97" i="37"/>
  <c r="AL96" i="37"/>
  <c r="AK96" i="37"/>
  <c r="AJ96" i="37"/>
  <c r="AI96" i="37"/>
  <c r="AH96" i="37"/>
  <c r="AG96" i="37"/>
  <c r="AL95" i="37"/>
  <c r="AK95" i="37"/>
  <c r="AJ95" i="37"/>
  <c r="AI95" i="37"/>
  <c r="AH95" i="37"/>
  <c r="AG95" i="37"/>
  <c r="AL94" i="37"/>
  <c r="AK94" i="37"/>
  <c r="AJ94" i="37"/>
  <c r="AI94" i="37"/>
  <c r="AH94" i="37"/>
  <c r="AG94" i="37"/>
  <c r="AL93" i="37"/>
  <c r="AK93" i="37"/>
  <c r="AJ93" i="37"/>
  <c r="AI93" i="37"/>
  <c r="AH93" i="37"/>
  <c r="AG93" i="37"/>
  <c r="AL92" i="37"/>
  <c r="AK92" i="37"/>
  <c r="AJ92" i="37"/>
  <c r="AI92" i="37"/>
  <c r="AH92" i="37"/>
  <c r="AG92" i="37"/>
  <c r="AL91" i="37"/>
  <c r="AK91" i="37"/>
  <c r="AJ91" i="37"/>
  <c r="AI91" i="37"/>
  <c r="AH91" i="37"/>
  <c r="AG91" i="37"/>
  <c r="AL90" i="37"/>
  <c r="AK90" i="37"/>
  <c r="AJ90" i="37"/>
  <c r="AI90" i="37"/>
  <c r="AH90" i="37"/>
  <c r="AG90" i="37"/>
  <c r="AL89" i="37"/>
  <c r="AK89" i="37"/>
  <c r="AJ89" i="37"/>
  <c r="AI89" i="37"/>
  <c r="AH89" i="37"/>
  <c r="AG89" i="37"/>
  <c r="AL88" i="37"/>
  <c r="AK88" i="37"/>
  <c r="AJ88" i="37"/>
  <c r="AI88" i="37"/>
  <c r="AH88" i="37"/>
  <c r="AG88" i="37"/>
  <c r="AL87" i="37"/>
  <c r="AK87" i="37"/>
  <c r="AJ87" i="37"/>
  <c r="AI87" i="37"/>
  <c r="AH87" i="37"/>
  <c r="AG87" i="37"/>
  <c r="AL86" i="37"/>
  <c r="AK86" i="37"/>
  <c r="AJ86" i="37"/>
  <c r="AI86" i="37"/>
  <c r="AH86" i="37"/>
  <c r="AG86" i="37"/>
  <c r="AL85" i="37"/>
  <c r="AK85" i="37"/>
  <c r="AJ85" i="37"/>
  <c r="AI85" i="37"/>
  <c r="AH85" i="37"/>
  <c r="AG85" i="37"/>
  <c r="AL84" i="37"/>
  <c r="AK84" i="37"/>
  <c r="AJ84" i="37"/>
  <c r="AI84" i="37"/>
  <c r="AH84" i="37"/>
  <c r="AG84" i="37"/>
  <c r="AL83" i="37"/>
  <c r="AK83" i="37"/>
  <c r="AJ83" i="37"/>
  <c r="AI83" i="37"/>
  <c r="AH83" i="37"/>
  <c r="AG83" i="37"/>
  <c r="AL82" i="37"/>
  <c r="AK82" i="37"/>
  <c r="AJ82" i="37"/>
  <c r="AI82" i="37"/>
  <c r="AH82" i="37"/>
  <c r="AG82" i="37"/>
  <c r="AL81" i="37"/>
  <c r="AK81" i="37"/>
  <c r="AJ81" i="37"/>
  <c r="AI81" i="37"/>
  <c r="AH81" i="37"/>
  <c r="AG81" i="37"/>
  <c r="AL80" i="37"/>
  <c r="AK80" i="37"/>
  <c r="AJ80" i="37"/>
  <c r="AI80" i="37"/>
  <c r="AH80" i="37"/>
  <c r="AG80" i="37"/>
  <c r="AL79" i="37"/>
  <c r="AK79" i="37"/>
  <c r="AJ79" i="37"/>
  <c r="AI79" i="37"/>
  <c r="AH79" i="37"/>
  <c r="AG79" i="37"/>
  <c r="AL78" i="37"/>
  <c r="AK78" i="37"/>
  <c r="AJ78" i="37"/>
  <c r="AI78" i="37"/>
  <c r="AH78" i="37"/>
  <c r="AG78" i="37"/>
  <c r="AL77" i="37"/>
  <c r="AK77" i="37"/>
  <c r="AJ77" i="37"/>
  <c r="AI77" i="37"/>
  <c r="AH77" i="37"/>
  <c r="AG77" i="37"/>
  <c r="AL76" i="37"/>
  <c r="AK76" i="37"/>
  <c r="AJ76" i="37"/>
  <c r="AI76" i="37"/>
  <c r="AH76" i="37"/>
  <c r="AG76" i="37"/>
  <c r="AA297" i="43"/>
  <c r="AB297" i="43"/>
  <c r="AC297" i="43"/>
  <c r="AD297" i="43"/>
  <c r="AE297" i="43"/>
  <c r="AA298" i="43"/>
  <c r="AB298" i="43"/>
  <c r="AC298" i="43"/>
  <c r="AD298" i="43"/>
  <c r="AE298" i="43"/>
  <c r="AA299" i="43"/>
  <c r="AB299" i="43"/>
  <c r="AC299" i="43"/>
  <c r="AD299" i="43"/>
  <c r="AE299" i="43"/>
  <c r="AA300" i="43"/>
  <c r="AB300" i="43"/>
  <c r="AC300" i="43"/>
  <c r="AD300" i="43"/>
  <c r="AE300" i="43"/>
  <c r="AA301" i="43"/>
  <c r="AB301" i="43"/>
  <c r="AC301" i="43"/>
  <c r="AD301" i="43"/>
  <c r="AE301" i="43"/>
  <c r="AA302" i="43"/>
  <c r="AB302" i="43"/>
  <c r="AC302" i="43"/>
  <c r="AD302" i="43"/>
  <c r="AE302" i="43"/>
  <c r="AA303" i="43"/>
  <c r="AB303" i="43"/>
  <c r="AC303" i="43"/>
  <c r="AD303" i="43"/>
  <c r="AE303" i="43"/>
  <c r="AA304" i="43"/>
  <c r="AB304" i="43"/>
  <c r="AC304" i="43"/>
  <c r="AD304" i="43"/>
  <c r="AE304" i="43"/>
  <c r="AA305" i="43"/>
  <c r="AB305" i="43"/>
  <c r="AC305" i="43"/>
  <c r="AD305" i="43"/>
  <c r="AE305" i="43"/>
  <c r="AA306" i="43"/>
  <c r="AB306" i="43"/>
  <c r="AC306" i="43"/>
  <c r="AD306" i="43"/>
  <c r="AE306" i="43"/>
  <c r="AA307" i="43"/>
  <c r="AB307" i="43"/>
  <c r="AC307" i="43"/>
  <c r="AD307" i="43"/>
  <c r="AE307" i="43"/>
  <c r="AA308" i="43"/>
  <c r="AB308" i="43"/>
  <c r="AC308" i="43"/>
  <c r="AD308" i="43"/>
  <c r="AE308" i="43"/>
  <c r="AA309" i="43"/>
  <c r="AB309" i="43"/>
  <c r="AC309" i="43"/>
  <c r="AD309" i="43"/>
  <c r="AE309" i="43"/>
  <c r="AA310" i="43"/>
  <c r="AB310" i="43"/>
  <c r="AC310" i="43"/>
  <c r="AD310" i="43"/>
  <c r="AE310" i="43"/>
  <c r="AA311" i="43"/>
  <c r="AB311" i="43"/>
  <c r="AC311" i="43"/>
  <c r="AD311" i="43"/>
  <c r="AE311" i="43"/>
  <c r="AA312" i="43"/>
  <c r="AB312" i="43"/>
  <c r="AC312" i="43"/>
  <c r="AD312" i="43"/>
  <c r="AE312" i="43"/>
  <c r="AA313" i="43"/>
  <c r="AB313" i="43"/>
  <c r="AC313" i="43"/>
  <c r="AD313" i="43"/>
  <c r="AE313" i="43"/>
  <c r="AA314" i="43"/>
  <c r="AB314" i="43"/>
  <c r="AC314" i="43"/>
  <c r="AD314" i="43"/>
  <c r="AE314" i="43"/>
  <c r="AA315" i="43"/>
  <c r="AB315" i="43"/>
  <c r="AC315" i="43"/>
  <c r="AD315" i="43"/>
  <c r="AE315" i="43"/>
  <c r="AA316" i="43"/>
  <c r="AB316" i="43"/>
  <c r="AC316" i="43"/>
  <c r="AD316" i="43"/>
  <c r="AE316" i="43"/>
  <c r="AA317" i="43"/>
  <c r="AB317" i="43"/>
  <c r="AC317" i="43"/>
  <c r="AD317" i="43"/>
  <c r="AE317" i="43"/>
  <c r="AA318" i="43"/>
  <c r="AB318" i="43"/>
  <c r="AC318" i="43"/>
  <c r="AD318" i="43"/>
  <c r="AE318" i="43"/>
  <c r="AA319" i="43"/>
  <c r="AB319" i="43"/>
  <c r="AC319" i="43"/>
  <c r="AD319" i="43"/>
  <c r="AE319" i="43"/>
  <c r="AA320" i="43"/>
  <c r="AB320" i="43"/>
  <c r="AC320" i="43"/>
  <c r="AD320" i="43"/>
  <c r="AE320" i="43"/>
  <c r="AA321" i="43"/>
  <c r="AB321" i="43"/>
  <c r="AC321" i="43"/>
  <c r="AD321" i="43"/>
  <c r="AE321" i="43"/>
  <c r="AA322" i="43"/>
  <c r="AB322" i="43"/>
  <c r="AC322" i="43"/>
  <c r="AD322" i="43"/>
  <c r="AE322" i="43"/>
  <c r="AA323" i="43"/>
  <c r="AB323" i="43"/>
  <c r="AC323" i="43"/>
  <c r="AD323" i="43"/>
  <c r="AE323" i="43"/>
  <c r="AA324" i="43"/>
  <c r="AB324" i="43"/>
  <c r="AC324" i="43"/>
  <c r="AD324" i="43"/>
  <c r="AE324" i="43"/>
  <c r="AA325" i="43"/>
  <c r="AB325" i="43"/>
  <c r="AC325" i="43"/>
  <c r="AD325" i="43"/>
  <c r="AE325" i="43"/>
  <c r="AA326" i="43"/>
  <c r="AB326" i="43"/>
  <c r="AC326" i="43"/>
  <c r="AD326" i="43"/>
  <c r="AE326" i="43"/>
  <c r="AA327" i="43"/>
  <c r="AB327" i="43"/>
  <c r="AC327" i="43"/>
  <c r="AD327" i="43"/>
  <c r="AE327" i="43"/>
  <c r="AA328" i="43"/>
  <c r="AB328" i="43"/>
  <c r="AC328" i="43"/>
  <c r="AD328" i="43"/>
  <c r="AE328" i="43"/>
  <c r="AA329" i="43"/>
  <c r="AB329" i="43"/>
  <c r="AC329" i="43"/>
  <c r="AD329" i="43"/>
  <c r="AE329" i="43"/>
  <c r="AA330" i="43"/>
  <c r="AB330" i="43"/>
  <c r="AC330" i="43"/>
  <c r="AD330" i="43"/>
  <c r="AE330" i="43"/>
  <c r="AA331" i="43"/>
  <c r="AB331" i="43"/>
  <c r="AC331" i="43"/>
  <c r="AD331" i="43"/>
  <c r="AE331" i="43"/>
  <c r="AA332" i="43"/>
  <c r="AB332" i="43"/>
  <c r="AC332" i="43"/>
  <c r="AD332" i="43"/>
  <c r="AE332" i="43"/>
  <c r="AA333" i="43"/>
  <c r="AB333" i="43"/>
  <c r="AC333" i="43"/>
  <c r="AD333" i="43"/>
  <c r="AE333" i="43"/>
  <c r="AA334" i="43"/>
  <c r="AB334" i="43"/>
  <c r="AC334" i="43"/>
  <c r="AD334" i="43"/>
  <c r="AE334" i="43"/>
  <c r="AA335" i="43"/>
  <c r="AB335" i="43"/>
  <c r="AC335" i="43"/>
  <c r="AD335" i="43"/>
  <c r="AE335" i="43"/>
  <c r="AA336" i="43"/>
  <c r="AB336" i="43"/>
  <c r="AC336" i="43"/>
  <c r="AD336" i="43"/>
  <c r="AE336" i="43"/>
  <c r="AA337" i="43"/>
  <c r="AB337" i="43"/>
  <c r="AC337" i="43"/>
  <c r="AD337" i="43"/>
  <c r="AE337" i="43"/>
  <c r="AA338" i="43"/>
  <c r="AB338" i="43"/>
  <c r="AC338" i="43"/>
  <c r="AD338" i="43"/>
  <c r="AE338" i="43"/>
  <c r="AA339" i="43"/>
  <c r="AB339" i="43"/>
  <c r="AC339" i="43"/>
  <c r="AD339" i="43"/>
  <c r="AE339" i="43"/>
  <c r="AA340" i="43"/>
  <c r="AB340" i="43"/>
  <c r="AC340" i="43"/>
  <c r="AD340" i="43"/>
  <c r="AE340" i="43"/>
  <c r="AA341" i="43"/>
  <c r="AB341" i="43"/>
  <c r="AC341" i="43"/>
  <c r="AD341" i="43"/>
  <c r="AE341" i="43"/>
  <c r="AA342" i="43"/>
  <c r="AB342" i="43"/>
  <c r="AC342" i="43"/>
  <c r="AD342" i="43"/>
  <c r="AE342" i="43"/>
  <c r="AA343" i="43"/>
  <c r="AB343" i="43"/>
  <c r="AC343" i="43"/>
  <c r="AD343" i="43"/>
  <c r="AE343" i="43"/>
  <c r="AA344" i="43"/>
  <c r="AB344" i="43"/>
  <c r="AC344" i="43"/>
  <c r="AD344" i="43"/>
  <c r="AE344" i="43"/>
  <c r="AA345" i="43"/>
  <c r="AB345" i="43"/>
  <c r="AC345" i="43"/>
  <c r="AD345" i="43"/>
  <c r="AE345" i="43"/>
  <c r="AA346" i="43"/>
  <c r="AB346" i="43"/>
  <c r="AC346" i="43"/>
  <c r="AD346" i="43"/>
  <c r="AE346" i="43"/>
  <c r="AA347" i="43"/>
  <c r="AB347" i="43"/>
  <c r="AC347" i="43"/>
  <c r="AD347" i="43"/>
  <c r="AE347" i="43"/>
  <c r="AA348" i="43"/>
  <c r="AB348" i="43"/>
  <c r="AC348" i="43"/>
  <c r="AD348" i="43"/>
  <c r="AE348" i="43"/>
  <c r="AA349" i="43"/>
  <c r="AB349" i="43"/>
  <c r="AC349" i="43"/>
  <c r="AD349" i="43"/>
  <c r="AE349" i="43"/>
  <c r="AA350" i="43"/>
  <c r="AB350" i="43"/>
  <c r="AC350" i="43"/>
  <c r="AD350" i="43"/>
  <c r="AE350" i="43"/>
  <c r="AA351" i="43"/>
  <c r="AB351" i="43"/>
  <c r="AC351" i="43"/>
  <c r="AD351" i="43"/>
  <c r="AE351" i="43"/>
  <c r="AA352" i="43"/>
  <c r="AB352" i="43"/>
  <c r="AC352" i="43"/>
  <c r="AD352" i="43"/>
  <c r="AE352" i="43"/>
  <c r="AA353" i="43"/>
  <c r="AB353" i="43"/>
  <c r="AC353" i="43"/>
  <c r="AD353" i="43"/>
  <c r="AE353" i="43"/>
  <c r="AA354" i="43"/>
  <c r="AB354" i="43"/>
  <c r="AC354" i="43"/>
  <c r="AD354" i="43"/>
  <c r="AE354" i="43"/>
  <c r="AA355" i="43"/>
  <c r="AB355" i="43"/>
  <c r="AC355" i="43"/>
  <c r="AD355" i="43"/>
  <c r="AE355" i="43"/>
  <c r="AA356" i="43"/>
  <c r="AB356" i="43"/>
  <c r="AC356" i="43"/>
  <c r="AD356" i="43"/>
  <c r="AE356" i="43"/>
  <c r="AA357" i="43"/>
  <c r="AB357" i="43"/>
  <c r="AC357" i="43"/>
  <c r="AD357" i="43"/>
  <c r="AE357" i="43"/>
  <c r="AA358" i="43"/>
  <c r="AB358" i="43"/>
  <c r="AC358" i="43"/>
  <c r="AD358" i="43"/>
  <c r="AE358" i="43"/>
  <c r="AA359" i="43"/>
  <c r="AB359" i="43"/>
  <c r="AC359" i="43"/>
  <c r="AD359" i="43"/>
  <c r="AE359" i="43"/>
  <c r="AA360" i="43"/>
  <c r="AB360" i="43"/>
  <c r="AC360" i="43"/>
  <c r="AD360" i="43"/>
  <c r="AE360" i="43"/>
  <c r="AA361" i="43"/>
  <c r="AB361" i="43"/>
  <c r="AC361" i="43"/>
  <c r="AD361" i="43"/>
  <c r="AE361" i="43"/>
  <c r="AA362" i="43"/>
  <c r="AB362" i="43"/>
  <c r="AC362" i="43"/>
  <c r="AD362" i="43"/>
  <c r="AE362" i="43"/>
  <c r="AA363" i="43"/>
  <c r="AB363" i="43"/>
  <c r="AC363" i="43"/>
  <c r="AD363" i="43"/>
  <c r="AE363" i="43"/>
  <c r="AA364" i="43"/>
  <c r="AB364" i="43"/>
  <c r="AC364" i="43"/>
  <c r="AD364" i="43"/>
  <c r="AE364" i="43"/>
  <c r="AA365" i="43"/>
  <c r="AB365" i="43"/>
  <c r="AC365" i="43"/>
  <c r="AD365" i="43"/>
  <c r="AE365" i="43"/>
  <c r="AA366" i="43"/>
  <c r="AB366" i="43"/>
  <c r="AC366" i="43"/>
  <c r="AD366" i="43"/>
  <c r="AE366" i="43"/>
  <c r="AA367" i="43"/>
  <c r="AB367" i="43"/>
  <c r="AC367" i="43"/>
  <c r="AD367" i="43"/>
  <c r="AE367" i="43"/>
  <c r="AA368" i="43"/>
  <c r="AB368" i="43"/>
  <c r="AC368" i="43"/>
  <c r="AD368" i="43"/>
  <c r="AE368" i="43"/>
  <c r="AA369" i="43"/>
  <c r="AB369" i="43"/>
  <c r="AC369" i="43"/>
  <c r="AD369" i="43"/>
  <c r="AE369" i="43"/>
  <c r="AA370" i="43"/>
  <c r="AB370" i="43"/>
  <c r="AC370" i="43"/>
  <c r="AD370" i="43"/>
  <c r="AE370" i="43"/>
  <c r="AA371" i="43"/>
  <c r="AB371" i="43"/>
  <c r="AC371" i="43"/>
  <c r="AD371" i="43"/>
  <c r="AE371" i="43"/>
  <c r="AA372" i="43"/>
  <c r="AB372" i="43"/>
  <c r="AC372" i="43"/>
  <c r="AD372" i="43"/>
  <c r="AE372" i="43"/>
  <c r="AA373" i="43"/>
  <c r="AB373" i="43"/>
  <c r="AC373" i="43"/>
  <c r="AD373" i="43"/>
  <c r="AE373" i="43"/>
  <c r="AA374" i="43"/>
  <c r="AB374" i="43"/>
  <c r="AC374" i="43"/>
  <c r="AD374" i="43"/>
  <c r="AE374" i="43"/>
  <c r="AA375" i="43"/>
  <c r="AB375" i="43"/>
  <c r="AC375" i="43"/>
  <c r="AD375" i="43"/>
  <c r="AE375" i="43"/>
  <c r="AA376" i="43"/>
  <c r="AB376" i="43"/>
  <c r="AC376" i="43"/>
  <c r="AD376" i="43"/>
  <c r="AE376" i="43"/>
  <c r="AA377" i="43"/>
  <c r="AB377" i="43"/>
  <c r="AC377" i="43"/>
  <c r="AD377" i="43"/>
  <c r="AE377" i="43"/>
  <c r="AA378" i="43"/>
  <c r="AB378" i="43"/>
  <c r="AC378" i="43"/>
  <c r="AD378" i="43"/>
  <c r="AE378" i="43"/>
  <c r="AA379" i="43"/>
  <c r="AB379" i="43"/>
  <c r="AC379" i="43"/>
  <c r="AD379" i="43"/>
  <c r="AE379" i="43"/>
  <c r="AA380" i="43"/>
  <c r="AB380" i="43"/>
  <c r="AC380" i="43"/>
  <c r="AD380" i="43"/>
  <c r="AE380" i="43"/>
  <c r="AA381" i="43"/>
  <c r="AB381" i="43"/>
  <c r="AC381" i="43"/>
  <c r="AD381" i="43"/>
  <c r="AE381" i="43"/>
  <c r="AA382" i="43"/>
  <c r="AB382" i="43"/>
  <c r="AC382" i="43"/>
  <c r="AD382" i="43"/>
  <c r="AE382" i="43"/>
  <c r="AA383" i="43"/>
  <c r="AB383" i="43"/>
  <c r="AC383" i="43"/>
  <c r="AD383" i="43"/>
  <c r="AE383" i="43"/>
  <c r="AA384" i="43"/>
  <c r="AB384" i="43"/>
  <c r="AC384" i="43"/>
  <c r="AD384" i="43"/>
  <c r="AE384" i="43"/>
  <c r="AA385" i="43"/>
  <c r="AB385" i="43"/>
  <c r="AC385" i="43"/>
  <c r="AD385" i="43"/>
  <c r="AE385" i="43"/>
  <c r="AA386" i="43"/>
  <c r="AB386" i="43"/>
  <c r="AC386" i="43"/>
  <c r="AD386" i="43"/>
  <c r="AE386" i="43"/>
  <c r="AA387" i="43"/>
  <c r="AB387" i="43"/>
  <c r="AC387" i="43"/>
  <c r="AD387" i="43"/>
  <c r="AE387" i="43"/>
  <c r="AA388" i="43"/>
  <c r="AB388" i="43"/>
  <c r="AC388" i="43"/>
  <c r="AD388" i="43"/>
  <c r="AE388" i="43"/>
  <c r="AA389" i="43"/>
  <c r="AB389" i="43"/>
  <c r="AC389" i="43"/>
  <c r="AD389" i="43"/>
  <c r="AE389" i="43"/>
  <c r="AA390" i="43"/>
  <c r="AB390" i="43"/>
  <c r="AC390" i="43"/>
  <c r="AD390" i="43"/>
  <c r="AE390" i="43"/>
  <c r="AA391" i="43"/>
  <c r="AB391" i="43"/>
  <c r="AC391" i="43"/>
  <c r="AD391" i="43"/>
  <c r="AE391" i="43"/>
  <c r="AA392" i="43"/>
  <c r="AB392" i="43"/>
  <c r="AC392" i="43"/>
  <c r="AD392" i="43"/>
  <c r="AE392" i="43"/>
  <c r="AA393" i="43"/>
  <c r="AB393" i="43"/>
  <c r="AC393" i="43"/>
  <c r="AD393" i="43"/>
  <c r="AE393" i="43"/>
  <c r="AA394" i="43"/>
  <c r="AB394" i="43"/>
  <c r="AC394" i="43"/>
  <c r="AD394" i="43"/>
  <c r="AE394" i="43"/>
  <c r="AA395" i="43"/>
  <c r="AB395" i="43"/>
  <c r="AC395" i="43"/>
  <c r="AD395" i="43"/>
  <c r="AE395" i="43"/>
  <c r="AA396" i="43"/>
  <c r="AB396" i="43"/>
  <c r="AC396" i="43"/>
  <c r="AD396" i="43"/>
  <c r="AE396" i="43"/>
  <c r="AA397" i="43"/>
  <c r="AB397" i="43"/>
  <c r="AC397" i="43"/>
  <c r="AD397" i="43"/>
  <c r="AE397" i="43"/>
  <c r="AA398" i="43"/>
  <c r="AB398" i="43"/>
  <c r="AC398" i="43"/>
  <c r="AD398" i="43"/>
  <c r="AE398" i="43"/>
  <c r="AA399" i="43"/>
  <c r="AB399" i="43"/>
  <c r="AC399" i="43"/>
  <c r="AD399" i="43"/>
  <c r="AE399" i="43"/>
  <c r="AA400" i="43"/>
  <c r="AB400" i="43"/>
  <c r="AC400" i="43"/>
  <c r="AD400" i="43"/>
  <c r="AE400" i="43"/>
  <c r="AA401" i="43"/>
  <c r="AB401" i="43"/>
  <c r="AC401" i="43"/>
  <c r="AD401" i="43"/>
  <c r="AE401" i="43"/>
  <c r="AA402" i="43"/>
  <c r="AB402" i="43"/>
  <c r="AC402" i="43"/>
  <c r="AD402" i="43"/>
  <c r="AE402" i="43"/>
  <c r="AA403" i="43"/>
  <c r="AB403" i="43"/>
  <c r="AC403" i="43"/>
  <c r="AD403" i="43"/>
  <c r="AE403" i="43"/>
  <c r="AA404" i="43"/>
  <c r="AB404" i="43"/>
  <c r="AC404" i="43"/>
  <c r="AD404" i="43"/>
  <c r="AE404" i="43"/>
  <c r="AA405" i="43"/>
  <c r="AB405" i="43"/>
  <c r="AC405" i="43"/>
  <c r="AD405" i="43"/>
  <c r="AE405" i="43"/>
  <c r="AA406" i="43"/>
  <c r="AB406" i="43"/>
  <c r="AC406" i="43"/>
  <c r="AD406" i="43"/>
  <c r="AE406" i="43"/>
  <c r="AA407" i="43"/>
  <c r="AB407" i="43"/>
  <c r="AC407" i="43"/>
  <c r="AD407" i="43"/>
  <c r="AE407" i="43"/>
  <c r="AA408" i="43"/>
  <c r="AB408" i="43"/>
  <c r="AC408" i="43"/>
  <c r="AD408" i="43"/>
  <c r="AE408" i="43"/>
  <c r="AA409" i="43"/>
  <c r="AB409" i="43"/>
  <c r="AC409" i="43"/>
  <c r="AD409" i="43"/>
  <c r="AE409" i="43"/>
  <c r="AA410" i="43"/>
  <c r="AB410" i="43"/>
  <c r="AC410" i="43"/>
  <c r="AD410" i="43"/>
  <c r="AE410" i="43"/>
  <c r="AA411" i="43"/>
  <c r="AB411" i="43"/>
  <c r="AC411" i="43"/>
  <c r="AD411" i="43"/>
  <c r="AE411" i="43"/>
  <c r="AA412" i="43"/>
  <c r="AB412" i="43"/>
  <c r="AC412" i="43"/>
  <c r="AD412" i="43"/>
  <c r="AE412" i="43"/>
  <c r="AA413" i="43"/>
  <c r="AB413" i="43"/>
  <c r="AC413" i="43"/>
  <c r="AD413" i="43"/>
  <c r="AE413" i="43"/>
  <c r="AA414" i="43"/>
  <c r="AB414" i="43"/>
  <c r="AC414" i="43"/>
  <c r="AD414" i="43"/>
  <c r="AE414" i="43"/>
  <c r="AA415" i="43"/>
  <c r="AB415" i="43"/>
  <c r="AC415" i="43"/>
  <c r="AD415" i="43"/>
  <c r="AE415" i="43"/>
  <c r="AA416" i="43"/>
  <c r="AB416" i="43"/>
  <c r="AC416" i="43"/>
  <c r="AD416" i="43"/>
  <c r="AE416" i="43"/>
  <c r="AA417" i="43"/>
  <c r="AB417" i="43"/>
  <c r="AC417" i="43"/>
  <c r="AD417" i="43"/>
  <c r="AE417" i="43"/>
  <c r="AA418" i="43"/>
  <c r="AB418" i="43"/>
  <c r="AC418" i="43"/>
  <c r="AD418" i="43"/>
  <c r="AE418" i="43"/>
  <c r="AA419" i="43"/>
  <c r="AB419" i="43"/>
  <c r="AC419" i="43"/>
  <c r="AD419" i="43"/>
  <c r="AE419" i="43"/>
  <c r="AA420" i="43"/>
  <c r="AB420" i="43"/>
  <c r="AC420" i="43"/>
  <c r="AD420" i="43"/>
  <c r="AE420" i="43"/>
  <c r="AA421" i="43"/>
  <c r="AB421" i="43"/>
  <c r="AC421" i="43"/>
  <c r="AD421" i="43"/>
  <c r="AE421" i="43"/>
  <c r="AA422" i="43"/>
  <c r="AB422" i="43"/>
  <c r="AC422" i="43"/>
  <c r="AD422" i="43"/>
  <c r="AE422" i="43"/>
  <c r="AA423" i="43"/>
  <c r="AB423" i="43"/>
  <c r="AC423" i="43"/>
  <c r="AD423" i="43"/>
  <c r="AE423" i="43"/>
  <c r="AA424" i="43"/>
  <c r="AB424" i="43"/>
  <c r="AC424" i="43"/>
  <c r="AD424" i="43"/>
  <c r="AE424" i="43"/>
  <c r="AA425" i="43"/>
  <c r="AB425" i="43"/>
  <c r="AC425" i="43"/>
  <c r="AD425" i="43"/>
  <c r="AE425" i="43"/>
  <c r="AA426" i="43"/>
  <c r="AB426" i="43"/>
  <c r="AC426" i="43"/>
  <c r="AD426" i="43"/>
  <c r="AE426" i="43"/>
  <c r="AA427" i="43"/>
  <c r="AB427" i="43"/>
  <c r="AC427" i="43"/>
  <c r="AD427" i="43"/>
  <c r="AE427" i="43"/>
  <c r="AA428" i="43"/>
  <c r="AB428" i="43"/>
  <c r="AC428" i="43"/>
  <c r="AD428" i="43"/>
  <c r="AE428" i="43"/>
  <c r="AA429" i="43"/>
  <c r="AB429" i="43"/>
  <c r="AC429" i="43"/>
  <c r="AD429" i="43"/>
  <c r="AE429" i="43"/>
  <c r="AA430" i="43"/>
  <c r="AB430" i="43"/>
  <c r="AC430" i="43"/>
  <c r="AD430" i="43"/>
  <c r="AE430" i="43"/>
  <c r="AA431" i="43"/>
  <c r="AB431" i="43"/>
  <c r="AC431" i="43"/>
  <c r="AD431" i="43"/>
  <c r="AE431" i="43"/>
  <c r="AA432" i="43"/>
  <c r="AB432" i="43"/>
  <c r="AC432" i="43"/>
  <c r="AD432" i="43"/>
  <c r="AE432" i="43"/>
  <c r="AA433" i="43"/>
  <c r="AB433" i="43"/>
  <c r="AC433" i="43"/>
  <c r="AD433" i="43"/>
  <c r="AE433" i="43"/>
  <c r="AA434" i="43"/>
  <c r="AB434" i="43"/>
  <c r="AC434" i="43"/>
  <c r="AD434" i="43"/>
  <c r="AE434" i="43"/>
  <c r="AA435" i="43"/>
  <c r="AB435" i="43"/>
  <c r="AC435" i="43"/>
  <c r="AD435" i="43"/>
  <c r="AE435" i="43"/>
  <c r="AA436" i="43"/>
  <c r="AB436" i="43"/>
  <c r="AC436" i="43"/>
  <c r="AD436" i="43"/>
  <c r="AE436" i="43"/>
  <c r="AA437" i="43"/>
  <c r="AB437" i="43"/>
  <c r="AC437" i="43"/>
  <c r="AD437" i="43"/>
  <c r="AE437" i="43"/>
  <c r="AA438" i="43"/>
  <c r="AB438" i="43"/>
  <c r="AC438" i="43"/>
  <c r="AD438" i="43"/>
  <c r="AE438" i="43"/>
  <c r="AA439" i="43"/>
  <c r="AB439" i="43"/>
  <c r="AC439" i="43"/>
  <c r="AD439" i="43"/>
  <c r="AE439" i="43"/>
  <c r="AA440" i="43"/>
  <c r="AB440" i="43"/>
  <c r="AC440" i="43"/>
  <c r="AD440" i="43"/>
  <c r="AE440" i="43"/>
  <c r="AA441" i="43"/>
  <c r="AB441" i="43"/>
  <c r="AC441" i="43"/>
  <c r="AD441" i="43"/>
  <c r="AE441" i="43"/>
  <c r="AA442" i="43"/>
  <c r="AB442" i="43"/>
  <c r="AC442" i="43"/>
  <c r="AD442" i="43"/>
  <c r="AE442" i="43"/>
  <c r="AA443" i="43"/>
  <c r="AB443" i="43"/>
  <c r="AC443" i="43"/>
  <c r="AD443" i="43"/>
  <c r="AE443" i="43"/>
  <c r="AA444" i="43"/>
  <c r="AB444" i="43"/>
  <c r="AC444" i="43"/>
  <c r="AD444" i="43"/>
  <c r="AE444" i="43"/>
  <c r="AA445" i="43"/>
  <c r="AB445" i="43"/>
  <c r="AC445" i="43"/>
  <c r="AD445" i="43"/>
  <c r="AE445" i="43"/>
  <c r="AA446" i="43"/>
  <c r="AB446" i="43"/>
  <c r="AC446" i="43"/>
  <c r="AD446" i="43"/>
  <c r="AE446" i="43"/>
  <c r="AA447" i="43"/>
  <c r="AB447" i="43"/>
  <c r="AC447" i="43"/>
  <c r="AD447" i="43"/>
  <c r="AE447" i="43"/>
  <c r="AA448" i="43"/>
  <c r="AB448" i="43"/>
  <c r="AC448" i="43"/>
  <c r="AD448" i="43"/>
  <c r="AE448" i="43"/>
  <c r="AA449" i="43"/>
  <c r="AB449" i="43"/>
  <c r="AC449" i="43"/>
  <c r="AD449" i="43"/>
  <c r="AE449" i="43"/>
  <c r="AA450" i="43"/>
  <c r="AB450" i="43"/>
  <c r="AC450" i="43"/>
  <c r="AD450" i="43"/>
  <c r="AE450" i="43"/>
  <c r="AA451" i="43"/>
  <c r="AB451" i="43"/>
  <c r="AC451" i="43"/>
  <c r="AD451" i="43"/>
  <c r="AE451" i="43"/>
  <c r="AA452" i="43"/>
  <c r="AB452" i="43"/>
  <c r="AC452" i="43"/>
  <c r="AD452" i="43"/>
  <c r="AE452" i="43"/>
  <c r="AA453" i="43"/>
  <c r="AB453" i="43"/>
  <c r="AC453" i="43"/>
  <c r="AD453" i="43"/>
  <c r="AE453" i="43"/>
  <c r="AA454" i="43"/>
  <c r="AB454" i="43"/>
  <c r="AC454" i="43"/>
  <c r="AD454" i="43"/>
  <c r="AE454" i="43"/>
  <c r="AA455" i="43"/>
  <c r="AB455" i="43"/>
  <c r="AC455" i="43"/>
  <c r="AD455" i="43"/>
  <c r="AE455" i="43"/>
  <c r="AA456" i="43"/>
  <c r="AB456" i="43"/>
  <c r="AC456" i="43"/>
  <c r="AD456" i="43"/>
  <c r="AE456" i="43"/>
  <c r="AA457" i="43"/>
  <c r="AB457" i="43"/>
  <c r="AC457" i="43"/>
  <c r="AD457" i="43"/>
  <c r="AE457" i="43"/>
  <c r="AA458" i="43"/>
  <c r="AB458" i="43"/>
  <c r="AC458" i="43"/>
  <c r="AD458" i="43"/>
  <c r="AE458" i="43"/>
  <c r="AA459" i="43"/>
  <c r="AB459" i="43"/>
  <c r="AC459" i="43"/>
  <c r="AD459" i="43"/>
  <c r="AE459" i="43"/>
  <c r="AA460" i="43"/>
  <c r="AB460" i="43"/>
  <c r="AC460" i="43"/>
  <c r="AD460" i="43"/>
  <c r="AE460" i="43"/>
  <c r="AA461" i="43"/>
  <c r="AB461" i="43"/>
  <c r="AC461" i="43"/>
  <c r="AD461" i="43"/>
  <c r="AE461" i="43"/>
  <c r="AA462" i="43"/>
  <c r="AB462" i="43"/>
  <c r="AC462" i="43"/>
  <c r="AD462" i="43"/>
  <c r="AE462" i="43"/>
  <c r="AA463" i="43"/>
  <c r="AB463" i="43"/>
  <c r="AC463" i="43"/>
  <c r="AD463" i="43"/>
  <c r="AE463" i="43"/>
  <c r="AA464" i="43"/>
  <c r="AB464" i="43"/>
  <c r="AC464" i="43"/>
  <c r="AD464" i="43"/>
  <c r="AE464" i="43"/>
  <c r="AA465" i="43"/>
  <c r="AB465" i="43"/>
  <c r="AC465" i="43"/>
  <c r="AD465" i="43"/>
  <c r="AE465" i="43"/>
  <c r="AA466" i="43"/>
  <c r="AB466" i="43"/>
  <c r="AC466" i="43"/>
  <c r="AD466" i="43"/>
  <c r="AE466" i="43"/>
  <c r="AA467" i="43"/>
  <c r="AB467" i="43"/>
  <c r="AC467" i="43"/>
  <c r="AD467" i="43"/>
  <c r="AE467" i="43"/>
  <c r="AA468" i="43"/>
  <c r="AB468" i="43"/>
  <c r="AC468" i="43"/>
  <c r="AD468" i="43"/>
  <c r="AE468" i="43"/>
  <c r="AA469" i="43"/>
  <c r="AB469" i="43"/>
  <c r="AC469" i="43"/>
  <c r="AD469" i="43"/>
  <c r="AE469" i="43"/>
  <c r="AA470" i="43"/>
  <c r="AB470" i="43"/>
  <c r="AC470" i="43"/>
  <c r="AD470" i="43"/>
  <c r="AE470" i="43"/>
  <c r="AA471" i="43"/>
  <c r="AB471" i="43"/>
  <c r="AC471" i="43"/>
  <c r="AD471" i="43"/>
  <c r="AE471" i="43"/>
  <c r="AA472" i="43"/>
  <c r="AB472" i="43"/>
  <c r="AC472" i="43"/>
  <c r="AD472" i="43"/>
  <c r="AE472" i="43"/>
  <c r="AA473" i="43"/>
  <c r="AB473" i="43"/>
  <c r="AC473" i="43"/>
  <c r="AD473" i="43"/>
  <c r="AE473" i="43"/>
  <c r="AA474" i="43"/>
  <c r="AB474" i="43"/>
  <c r="AC474" i="43"/>
  <c r="AD474" i="43"/>
  <c r="AE474" i="43"/>
  <c r="AA475" i="43"/>
  <c r="AB475" i="43"/>
  <c r="AC475" i="43"/>
  <c r="AD475" i="43"/>
  <c r="AE475" i="43"/>
  <c r="AA476" i="43"/>
  <c r="AB476" i="43"/>
  <c r="AC476" i="43"/>
  <c r="AD476" i="43"/>
  <c r="AE476" i="43"/>
  <c r="AA477" i="43"/>
  <c r="AB477" i="43"/>
  <c r="AC477" i="43"/>
  <c r="AD477" i="43"/>
  <c r="AE477" i="43"/>
  <c r="AA478" i="43"/>
  <c r="AB478" i="43"/>
  <c r="AC478" i="43"/>
  <c r="AD478" i="43"/>
  <c r="AE478" i="43"/>
  <c r="AA479" i="43"/>
  <c r="AB479" i="43"/>
  <c r="AC479" i="43"/>
  <c r="AD479" i="43"/>
  <c r="AE479" i="43"/>
  <c r="AA480" i="43"/>
  <c r="AB480" i="43"/>
  <c r="AC480" i="43"/>
  <c r="AD480" i="43"/>
  <c r="AE480" i="43"/>
  <c r="AA481" i="43"/>
  <c r="AB481" i="43"/>
  <c r="AC481" i="43"/>
  <c r="AD481" i="43"/>
  <c r="AE481" i="43"/>
  <c r="AA482" i="43"/>
  <c r="AB482" i="43"/>
  <c r="AC482" i="43"/>
  <c r="AD482" i="43"/>
  <c r="AE482" i="43"/>
  <c r="AA483" i="43"/>
  <c r="AB483" i="43"/>
  <c r="AC483" i="43"/>
  <c r="AD483" i="43"/>
  <c r="AE483" i="43"/>
  <c r="AA484" i="43"/>
  <c r="AB484" i="43"/>
  <c r="AC484" i="43"/>
  <c r="AD484" i="43"/>
  <c r="AE484" i="43"/>
  <c r="AA485" i="43"/>
  <c r="AB485" i="43"/>
  <c r="AC485" i="43"/>
  <c r="AD485" i="43"/>
  <c r="AE485" i="43"/>
  <c r="AA486" i="43"/>
  <c r="AB486" i="43"/>
  <c r="AC486" i="43"/>
  <c r="AD486" i="43"/>
  <c r="AE486" i="43"/>
  <c r="AA487" i="43"/>
  <c r="AB487" i="43"/>
  <c r="AC487" i="43"/>
  <c r="AD487" i="43"/>
  <c r="AE487" i="43"/>
  <c r="AA488" i="43"/>
  <c r="AB488" i="43"/>
  <c r="AC488" i="43"/>
  <c r="AD488" i="43"/>
  <c r="AE488" i="43"/>
  <c r="AA489" i="43"/>
  <c r="AB489" i="43"/>
  <c r="AC489" i="43"/>
  <c r="AD489" i="43"/>
  <c r="AE489" i="43"/>
  <c r="AA490" i="43"/>
  <c r="AB490" i="43"/>
  <c r="AC490" i="43"/>
  <c r="AD490" i="43"/>
  <c r="AE490" i="43"/>
  <c r="AA491" i="43"/>
  <c r="AB491" i="43"/>
  <c r="AC491" i="43"/>
  <c r="AD491" i="43"/>
  <c r="AE491" i="43"/>
  <c r="AA492" i="43"/>
  <c r="AB492" i="43"/>
  <c r="AC492" i="43"/>
  <c r="AD492" i="43"/>
  <c r="AE492" i="43"/>
  <c r="AA493" i="43"/>
  <c r="AB493" i="43"/>
  <c r="AC493" i="43"/>
  <c r="AD493" i="43"/>
  <c r="AE493" i="43"/>
  <c r="AA494" i="43"/>
  <c r="AB494" i="43"/>
  <c r="AC494" i="43"/>
  <c r="AD494" i="43"/>
  <c r="AE494" i="43"/>
  <c r="AA495" i="43"/>
  <c r="AB495" i="43"/>
  <c r="AC495" i="43"/>
  <c r="AD495" i="43"/>
  <c r="AE495" i="43"/>
  <c r="AA496" i="43"/>
  <c r="AB496" i="43"/>
  <c r="AC496" i="43"/>
  <c r="AD496" i="43"/>
  <c r="AE496" i="43"/>
  <c r="AA497" i="43"/>
  <c r="AB497" i="43"/>
  <c r="AC497" i="43"/>
  <c r="AD497" i="43"/>
  <c r="AE497" i="43"/>
  <c r="AA498" i="43"/>
  <c r="AB498" i="43"/>
  <c r="AC498" i="43"/>
  <c r="AD498" i="43"/>
  <c r="AE498" i="43"/>
  <c r="AA499" i="43"/>
  <c r="AB499" i="43"/>
  <c r="AC499" i="43"/>
  <c r="AD499" i="43"/>
  <c r="AE499" i="43"/>
  <c r="AA500" i="43"/>
  <c r="AB500" i="43"/>
  <c r="AC500" i="43"/>
  <c r="AD500" i="43"/>
  <c r="AE500" i="43"/>
  <c r="AA501" i="43"/>
  <c r="AB501" i="43"/>
  <c r="AC501" i="43"/>
  <c r="AD501" i="43"/>
  <c r="AE501" i="43"/>
  <c r="AA502" i="43"/>
  <c r="AB502" i="43"/>
  <c r="AC502" i="43"/>
  <c r="AD502" i="43"/>
  <c r="AE502" i="43"/>
  <c r="AA503" i="43"/>
  <c r="AB503" i="43"/>
  <c r="AC503" i="43"/>
  <c r="AD503" i="43"/>
  <c r="AE503" i="43"/>
  <c r="AA504" i="43"/>
  <c r="AB504" i="43"/>
  <c r="AC504" i="43"/>
  <c r="AD504" i="43"/>
  <c r="AE504" i="43"/>
  <c r="AA505" i="43"/>
  <c r="AB505" i="43"/>
  <c r="AC505" i="43"/>
  <c r="AD505" i="43"/>
  <c r="AE505" i="43"/>
  <c r="AA506" i="43"/>
  <c r="AB506" i="43"/>
  <c r="AC506" i="43"/>
  <c r="AD506" i="43"/>
  <c r="AE506" i="43"/>
  <c r="AA507" i="43"/>
  <c r="AB507" i="43"/>
  <c r="AC507" i="43"/>
  <c r="AD507" i="43"/>
  <c r="AE507" i="43"/>
  <c r="AA508" i="43"/>
  <c r="AB508" i="43"/>
  <c r="AC508" i="43"/>
  <c r="AD508" i="43"/>
  <c r="AE508" i="43"/>
  <c r="AA509" i="43"/>
  <c r="AB509" i="43"/>
  <c r="AC509" i="43"/>
  <c r="AD509" i="43"/>
  <c r="AE509" i="43"/>
  <c r="AA510" i="43"/>
  <c r="AB510" i="43"/>
  <c r="AC510" i="43"/>
  <c r="AD510" i="43"/>
  <c r="AE510" i="43"/>
  <c r="AA511" i="43"/>
  <c r="AB511" i="43"/>
  <c r="AC511" i="43"/>
  <c r="AD511" i="43"/>
  <c r="AE511" i="43"/>
  <c r="AA512" i="43"/>
  <c r="AB512" i="43"/>
  <c r="AC512" i="43"/>
  <c r="AD512" i="43"/>
  <c r="AE512" i="43"/>
  <c r="AA513" i="43"/>
  <c r="AB513" i="43"/>
  <c r="AC513" i="43"/>
  <c r="AD513" i="43"/>
  <c r="AE513" i="43"/>
  <c r="AA514" i="43"/>
  <c r="AB514" i="43"/>
  <c r="AC514" i="43"/>
  <c r="AD514" i="43"/>
  <c r="AE514" i="43"/>
  <c r="AA515" i="43"/>
  <c r="AB515" i="43"/>
  <c r="AC515" i="43"/>
  <c r="AD515" i="43"/>
  <c r="AE515" i="43"/>
  <c r="AE296" i="43"/>
  <c r="AD296" i="43"/>
  <c r="AC296" i="43"/>
  <c r="AB296" i="43"/>
  <c r="AA296" i="43"/>
  <c r="Z296" i="43"/>
  <c r="Z77" i="43"/>
  <c r="AA77" i="43"/>
  <c r="AB77" i="43"/>
  <c r="AC77" i="43"/>
  <c r="AD77" i="43"/>
  <c r="AE77" i="43"/>
  <c r="Z78" i="43"/>
  <c r="AA78" i="43"/>
  <c r="AB78" i="43"/>
  <c r="AC78" i="43"/>
  <c r="AD78" i="43"/>
  <c r="AE78" i="43"/>
  <c r="Z79" i="43"/>
  <c r="AA79" i="43"/>
  <c r="AB79" i="43"/>
  <c r="AC79" i="43"/>
  <c r="AD79" i="43"/>
  <c r="AE79" i="43"/>
  <c r="Z80" i="43"/>
  <c r="AA80" i="43"/>
  <c r="AB80" i="43"/>
  <c r="AC80" i="43"/>
  <c r="AD80" i="43"/>
  <c r="AE80" i="43"/>
  <c r="Z81" i="43"/>
  <c r="AA81" i="43"/>
  <c r="AB81" i="43"/>
  <c r="AC81" i="43"/>
  <c r="AD81" i="43"/>
  <c r="AE81" i="43"/>
  <c r="Z82" i="43"/>
  <c r="AA82" i="43"/>
  <c r="AB82" i="43"/>
  <c r="AC82" i="43"/>
  <c r="AD82" i="43"/>
  <c r="AE82" i="43"/>
  <c r="Z83" i="43"/>
  <c r="AA83" i="43"/>
  <c r="AB83" i="43"/>
  <c r="AC83" i="43"/>
  <c r="AD83" i="43"/>
  <c r="AE83" i="43"/>
  <c r="Z84" i="43"/>
  <c r="AA84" i="43"/>
  <c r="AB84" i="43"/>
  <c r="AC84" i="43"/>
  <c r="AD84" i="43"/>
  <c r="AE84" i="43"/>
  <c r="Z85" i="43"/>
  <c r="AA85" i="43"/>
  <c r="AB85" i="43"/>
  <c r="AC85" i="43"/>
  <c r="AD85" i="43"/>
  <c r="AE85" i="43"/>
  <c r="Z86" i="43"/>
  <c r="AA86" i="43"/>
  <c r="AB86" i="43"/>
  <c r="AC86" i="43"/>
  <c r="AD86" i="43"/>
  <c r="AE86" i="43"/>
  <c r="Z87" i="43"/>
  <c r="AA87" i="43"/>
  <c r="AB87" i="43"/>
  <c r="AC87" i="43"/>
  <c r="AD87" i="43"/>
  <c r="AE87" i="43"/>
  <c r="Z88" i="43"/>
  <c r="AA88" i="43"/>
  <c r="AB88" i="43"/>
  <c r="AC88" i="43"/>
  <c r="AD88" i="43"/>
  <c r="AE88" i="43"/>
  <c r="Z89" i="43"/>
  <c r="AA89" i="43"/>
  <c r="AB89" i="43"/>
  <c r="AC89" i="43"/>
  <c r="AD89" i="43"/>
  <c r="AE89" i="43"/>
  <c r="Z90" i="43"/>
  <c r="AA90" i="43"/>
  <c r="AB90" i="43"/>
  <c r="AC90" i="43"/>
  <c r="AD90" i="43"/>
  <c r="AE90" i="43"/>
  <c r="Z91" i="43"/>
  <c r="AA91" i="43"/>
  <c r="AB91" i="43"/>
  <c r="AC91" i="43"/>
  <c r="AD91" i="43"/>
  <c r="AE91" i="43"/>
  <c r="Z92" i="43"/>
  <c r="AA92" i="43"/>
  <c r="AB92" i="43"/>
  <c r="AC92" i="43"/>
  <c r="AD92" i="43"/>
  <c r="AE92" i="43"/>
  <c r="Z93" i="43"/>
  <c r="AA93" i="43"/>
  <c r="AB93" i="43"/>
  <c r="AC93" i="43"/>
  <c r="AD93" i="43"/>
  <c r="AE93" i="43"/>
  <c r="Z94" i="43"/>
  <c r="AA94" i="43"/>
  <c r="AB94" i="43"/>
  <c r="AC94" i="43"/>
  <c r="AD94" i="43"/>
  <c r="AE94" i="43"/>
  <c r="Z95" i="43"/>
  <c r="AA95" i="43"/>
  <c r="AB95" i="43"/>
  <c r="AC95" i="43"/>
  <c r="AD95" i="43"/>
  <c r="AE95" i="43"/>
  <c r="Z96" i="43"/>
  <c r="AA96" i="43"/>
  <c r="AB96" i="43"/>
  <c r="AC96" i="43"/>
  <c r="AD96" i="43"/>
  <c r="AE96" i="43"/>
  <c r="Z97" i="43"/>
  <c r="AA97" i="43"/>
  <c r="AB97" i="43"/>
  <c r="AC97" i="43"/>
  <c r="AD97" i="43"/>
  <c r="AE97" i="43"/>
  <c r="Z98" i="43"/>
  <c r="AA98" i="43"/>
  <c r="AB98" i="43"/>
  <c r="AC98" i="43"/>
  <c r="AD98" i="43"/>
  <c r="AE98" i="43"/>
  <c r="Z99" i="43"/>
  <c r="AA99" i="43"/>
  <c r="AB99" i="43"/>
  <c r="AC99" i="43"/>
  <c r="AD99" i="43"/>
  <c r="AE99" i="43"/>
  <c r="Z100" i="43"/>
  <c r="AA100" i="43"/>
  <c r="AB100" i="43"/>
  <c r="AC100" i="43"/>
  <c r="AD100" i="43"/>
  <c r="AE100" i="43"/>
  <c r="Z101" i="43"/>
  <c r="AA101" i="43"/>
  <c r="AB101" i="43"/>
  <c r="AC101" i="43"/>
  <c r="AD101" i="43"/>
  <c r="AE101" i="43"/>
  <c r="Z102" i="43"/>
  <c r="AA102" i="43"/>
  <c r="AB102" i="43"/>
  <c r="AC102" i="43"/>
  <c r="AD102" i="43"/>
  <c r="AE102" i="43"/>
  <c r="Z103" i="43"/>
  <c r="AA103" i="43"/>
  <c r="AB103" i="43"/>
  <c r="AC103" i="43"/>
  <c r="AD103" i="43"/>
  <c r="AE103" i="43"/>
  <c r="Z104" i="43"/>
  <c r="AA104" i="43"/>
  <c r="AB104" i="43"/>
  <c r="AC104" i="43"/>
  <c r="AD104" i="43"/>
  <c r="AE104" i="43"/>
  <c r="Z105" i="43"/>
  <c r="AA105" i="43"/>
  <c r="AB105" i="43"/>
  <c r="AC105" i="43"/>
  <c r="AD105" i="43"/>
  <c r="AE105" i="43"/>
  <c r="Z106" i="43"/>
  <c r="AA106" i="43"/>
  <c r="AB106" i="43"/>
  <c r="AC106" i="43"/>
  <c r="AD106" i="43"/>
  <c r="AE106" i="43"/>
  <c r="Z107" i="43"/>
  <c r="AA107" i="43"/>
  <c r="AB107" i="43"/>
  <c r="AC107" i="43"/>
  <c r="AD107" i="43"/>
  <c r="AE107" i="43"/>
  <c r="Z108" i="43"/>
  <c r="AA108" i="43"/>
  <c r="AB108" i="43"/>
  <c r="AC108" i="43"/>
  <c r="AD108" i="43"/>
  <c r="AE108" i="43"/>
  <c r="Z109" i="43"/>
  <c r="AA109" i="43"/>
  <c r="AB109" i="43"/>
  <c r="AC109" i="43"/>
  <c r="AD109" i="43"/>
  <c r="AE109" i="43"/>
  <c r="Z110" i="43"/>
  <c r="AA110" i="43"/>
  <c r="AB110" i="43"/>
  <c r="AC110" i="43"/>
  <c r="AD110" i="43"/>
  <c r="AE110" i="43"/>
  <c r="Z111" i="43"/>
  <c r="AA111" i="43"/>
  <c r="AB111" i="43"/>
  <c r="AC111" i="43"/>
  <c r="AD111" i="43"/>
  <c r="AE111" i="43"/>
  <c r="Z112" i="43"/>
  <c r="AA112" i="43"/>
  <c r="AB112" i="43"/>
  <c r="AC112" i="43"/>
  <c r="AD112" i="43"/>
  <c r="AE112" i="43"/>
  <c r="Z113" i="43"/>
  <c r="AA113" i="43"/>
  <c r="AB113" i="43"/>
  <c r="AC113" i="43"/>
  <c r="AD113" i="43"/>
  <c r="AE113" i="43"/>
  <c r="Z114" i="43"/>
  <c r="AA114" i="43"/>
  <c r="AB114" i="43"/>
  <c r="AC114" i="43"/>
  <c r="AD114" i="43"/>
  <c r="AE114" i="43"/>
  <c r="Z115" i="43"/>
  <c r="AA115" i="43"/>
  <c r="AB115" i="43"/>
  <c r="AC115" i="43"/>
  <c r="AD115" i="43"/>
  <c r="AE115" i="43"/>
  <c r="Z116" i="43"/>
  <c r="AA116" i="43"/>
  <c r="AB116" i="43"/>
  <c r="AC116" i="43"/>
  <c r="AD116" i="43"/>
  <c r="AE116" i="43"/>
  <c r="Z117" i="43"/>
  <c r="AA117" i="43"/>
  <c r="AB117" i="43"/>
  <c r="AC117" i="43"/>
  <c r="AD117" i="43"/>
  <c r="AE117" i="43"/>
  <c r="Z118" i="43"/>
  <c r="AA118" i="43"/>
  <c r="AB118" i="43"/>
  <c r="AC118" i="43"/>
  <c r="AD118" i="43"/>
  <c r="AE118" i="43"/>
  <c r="Z119" i="43"/>
  <c r="AA119" i="43"/>
  <c r="AB119" i="43"/>
  <c r="AC119" i="43"/>
  <c r="AD119" i="43"/>
  <c r="AE119" i="43"/>
  <c r="Z120" i="43"/>
  <c r="AA120" i="43"/>
  <c r="AB120" i="43"/>
  <c r="AC120" i="43"/>
  <c r="AD120" i="43"/>
  <c r="AE120" i="43"/>
  <c r="Z121" i="43"/>
  <c r="AA121" i="43"/>
  <c r="AB121" i="43"/>
  <c r="AC121" i="43"/>
  <c r="AD121" i="43"/>
  <c r="AE121" i="43"/>
  <c r="Z122" i="43"/>
  <c r="AA122" i="43"/>
  <c r="AB122" i="43"/>
  <c r="AC122" i="43"/>
  <c r="AD122" i="43"/>
  <c r="AE122" i="43"/>
  <c r="Z123" i="43"/>
  <c r="AA123" i="43"/>
  <c r="AB123" i="43"/>
  <c r="AC123" i="43"/>
  <c r="AD123" i="43"/>
  <c r="AE123" i="43"/>
  <c r="Z124" i="43"/>
  <c r="AA124" i="43"/>
  <c r="AB124" i="43"/>
  <c r="AC124" i="43"/>
  <c r="AD124" i="43"/>
  <c r="AE124" i="43"/>
  <c r="Z125" i="43"/>
  <c r="AA125" i="43"/>
  <c r="AB125" i="43"/>
  <c r="AC125" i="43"/>
  <c r="AD125" i="43"/>
  <c r="AE125" i="43"/>
  <c r="Z126" i="43"/>
  <c r="AA126" i="43"/>
  <c r="AB126" i="43"/>
  <c r="AC126" i="43"/>
  <c r="AD126" i="43"/>
  <c r="AE126" i="43"/>
  <c r="Z127" i="43"/>
  <c r="AA127" i="43"/>
  <c r="AB127" i="43"/>
  <c r="AC127" i="43"/>
  <c r="AD127" i="43"/>
  <c r="AE127" i="43"/>
  <c r="Z128" i="43"/>
  <c r="AA128" i="43"/>
  <c r="AB128" i="43"/>
  <c r="AC128" i="43"/>
  <c r="AD128" i="43"/>
  <c r="AE128" i="43"/>
  <c r="Z129" i="43"/>
  <c r="AA129" i="43"/>
  <c r="AB129" i="43"/>
  <c r="AC129" i="43"/>
  <c r="AD129" i="43"/>
  <c r="AE129" i="43"/>
  <c r="Z130" i="43"/>
  <c r="AA130" i="43"/>
  <c r="AB130" i="43"/>
  <c r="AC130" i="43"/>
  <c r="AD130" i="43"/>
  <c r="AE130" i="43"/>
  <c r="Z131" i="43"/>
  <c r="AA131" i="43"/>
  <c r="AB131" i="43"/>
  <c r="AC131" i="43"/>
  <c r="AD131" i="43"/>
  <c r="AE131" i="43"/>
  <c r="Z132" i="43"/>
  <c r="AA132" i="43"/>
  <c r="AB132" i="43"/>
  <c r="AC132" i="43"/>
  <c r="AD132" i="43"/>
  <c r="AE132" i="43"/>
  <c r="Z133" i="43"/>
  <c r="AA133" i="43"/>
  <c r="AB133" i="43"/>
  <c r="AC133" i="43"/>
  <c r="AD133" i="43"/>
  <c r="AE133" i="43"/>
  <c r="Z134" i="43"/>
  <c r="AA134" i="43"/>
  <c r="AB134" i="43"/>
  <c r="AC134" i="43"/>
  <c r="AD134" i="43"/>
  <c r="AE134" i="43"/>
  <c r="Z135" i="43"/>
  <c r="AA135" i="43"/>
  <c r="AB135" i="43"/>
  <c r="AC135" i="43"/>
  <c r="AD135" i="43"/>
  <c r="AE135" i="43"/>
  <c r="Z136" i="43"/>
  <c r="AA136" i="43"/>
  <c r="AB136" i="43"/>
  <c r="AC136" i="43"/>
  <c r="AD136" i="43"/>
  <c r="AE136" i="43"/>
  <c r="Z137" i="43"/>
  <c r="AA137" i="43"/>
  <c r="AB137" i="43"/>
  <c r="AC137" i="43"/>
  <c r="AD137" i="43"/>
  <c r="AE137" i="43"/>
  <c r="Z138" i="43"/>
  <c r="AA138" i="43"/>
  <c r="AB138" i="43"/>
  <c r="AC138" i="43"/>
  <c r="AD138" i="43"/>
  <c r="AE138" i="43"/>
  <c r="Z139" i="43"/>
  <c r="AA139" i="43"/>
  <c r="AB139" i="43"/>
  <c r="AC139" i="43"/>
  <c r="AD139" i="43"/>
  <c r="AE139" i="43"/>
  <c r="Z140" i="43"/>
  <c r="AA140" i="43"/>
  <c r="AB140" i="43"/>
  <c r="AC140" i="43"/>
  <c r="AD140" i="43"/>
  <c r="AE140" i="43"/>
  <c r="Z141" i="43"/>
  <c r="AA141" i="43"/>
  <c r="AB141" i="43"/>
  <c r="AC141" i="43"/>
  <c r="AD141" i="43"/>
  <c r="AE141" i="43"/>
  <c r="Z142" i="43"/>
  <c r="AA142" i="43"/>
  <c r="AB142" i="43"/>
  <c r="AC142" i="43"/>
  <c r="AD142" i="43"/>
  <c r="AE142" i="43"/>
  <c r="Z143" i="43"/>
  <c r="AA143" i="43"/>
  <c r="AB143" i="43"/>
  <c r="AC143" i="43"/>
  <c r="AD143" i="43"/>
  <c r="AE143" i="43"/>
  <c r="Z144" i="43"/>
  <c r="AA144" i="43"/>
  <c r="AB144" i="43"/>
  <c r="AC144" i="43"/>
  <c r="AD144" i="43"/>
  <c r="AE144" i="43"/>
  <c r="Z145" i="43"/>
  <c r="AA145" i="43"/>
  <c r="AB145" i="43"/>
  <c r="AC145" i="43"/>
  <c r="AD145" i="43"/>
  <c r="AE145" i="43"/>
  <c r="Z146" i="43"/>
  <c r="AA146" i="43"/>
  <c r="AB146" i="43"/>
  <c r="AC146" i="43"/>
  <c r="AD146" i="43"/>
  <c r="AE146" i="43"/>
  <c r="Z147" i="43"/>
  <c r="AA147" i="43"/>
  <c r="AB147" i="43"/>
  <c r="AC147" i="43"/>
  <c r="AD147" i="43"/>
  <c r="AE147" i="43"/>
  <c r="Z148" i="43"/>
  <c r="AA148" i="43"/>
  <c r="AB148" i="43"/>
  <c r="AC148" i="43"/>
  <c r="AD148" i="43"/>
  <c r="AE148" i="43"/>
  <c r="Z149" i="43"/>
  <c r="AA149" i="43"/>
  <c r="AB149" i="43"/>
  <c r="AC149" i="43"/>
  <c r="AD149" i="43"/>
  <c r="AE149" i="43"/>
  <c r="Z150" i="43"/>
  <c r="AA150" i="43"/>
  <c r="AB150" i="43"/>
  <c r="AC150" i="43"/>
  <c r="AD150" i="43"/>
  <c r="AE150" i="43"/>
  <c r="Z151" i="43"/>
  <c r="AA151" i="43"/>
  <c r="AB151" i="43"/>
  <c r="AC151" i="43"/>
  <c r="AD151" i="43"/>
  <c r="AE151" i="43"/>
  <c r="Z152" i="43"/>
  <c r="AA152" i="43"/>
  <c r="AB152" i="43"/>
  <c r="AC152" i="43"/>
  <c r="AD152" i="43"/>
  <c r="AE152" i="43"/>
  <c r="Z153" i="43"/>
  <c r="AA153" i="43"/>
  <c r="AB153" i="43"/>
  <c r="AC153" i="43"/>
  <c r="AD153" i="43"/>
  <c r="AE153" i="43"/>
  <c r="Z154" i="43"/>
  <c r="AA154" i="43"/>
  <c r="AB154" i="43"/>
  <c r="AC154" i="43"/>
  <c r="AD154" i="43"/>
  <c r="AE154" i="43"/>
  <c r="Z155" i="43"/>
  <c r="AA155" i="43"/>
  <c r="AB155" i="43"/>
  <c r="AC155" i="43"/>
  <c r="AD155" i="43"/>
  <c r="AE155" i="43"/>
  <c r="Z156" i="43"/>
  <c r="AA156" i="43"/>
  <c r="AB156" i="43"/>
  <c r="AC156" i="43"/>
  <c r="AD156" i="43"/>
  <c r="AE156" i="43"/>
  <c r="Z157" i="43"/>
  <c r="AA157" i="43"/>
  <c r="AB157" i="43"/>
  <c r="AC157" i="43"/>
  <c r="AD157" i="43"/>
  <c r="AE157" i="43"/>
  <c r="Z158" i="43"/>
  <c r="AA158" i="43"/>
  <c r="AB158" i="43"/>
  <c r="AC158" i="43"/>
  <c r="AD158" i="43"/>
  <c r="AE158" i="43"/>
  <c r="Z159" i="43"/>
  <c r="AA159" i="43"/>
  <c r="AB159" i="43"/>
  <c r="AC159" i="43"/>
  <c r="AD159" i="43"/>
  <c r="AE159" i="43"/>
  <c r="Z160" i="43"/>
  <c r="AA160" i="43"/>
  <c r="AB160" i="43"/>
  <c r="AC160" i="43"/>
  <c r="AD160" i="43"/>
  <c r="AE160" i="43"/>
  <c r="Z161" i="43"/>
  <c r="AA161" i="43"/>
  <c r="AB161" i="43"/>
  <c r="AC161" i="43"/>
  <c r="AD161" i="43"/>
  <c r="AE161" i="43"/>
  <c r="Z162" i="43"/>
  <c r="AA162" i="43"/>
  <c r="AB162" i="43"/>
  <c r="AC162" i="43"/>
  <c r="AD162" i="43"/>
  <c r="AE162" i="43"/>
  <c r="Z163" i="43"/>
  <c r="AA163" i="43"/>
  <c r="AB163" i="43"/>
  <c r="AC163" i="43"/>
  <c r="AD163" i="43"/>
  <c r="AE163" i="43"/>
  <c r="Z164" i="43"/>
  <c r="AA164" i="43"/>
  <c r="AB164" i="43"/>
  <c r="AC164" i="43"/>
  <c r="AD164" i="43"/>
  <c r="AE164" i="43"/>
  <c r="Z165" i="43"/>
  <c r="AA165" i="43"/>
  <c r="AB165" i="43"/>
  <c r="AC165" i="43"/>
  <c r="AD165" i="43"/>
  <c r="AE165" i="43"/>
  <c r="Z166" i="43"/>
  <c r="AA166" i="43"/>
  <c r="AB166" i="43"/>
  <c r="AC166" i="43"/>
  <c r="AD166" i="43"/>
  <c r="AE166" i="43"/>
  <c r="Z167" i="43"/>
  <c r="AA167" i="43"/>
  <c r="AB167" i="43"/>
  <c r="AC167" i="43"/>
  <c r="AD167" i="43"/>
  <c r="AE167" i="43"/>
  <c r="Z168" i="43"/>
  <c r="AA168" i="43"/>
  <c r="AB168" i="43"/>
  <c r="AC168" i="43"/>
  <c r="AD168" i="43"/>
  <c r="AE168" i="43"/>
  <c r="Z169" i="43"/>
  <c r="AA169" i="43"/>
  <c r="AB169" i="43"/>
  <c r="AC169" i="43"/>
  <c r="AD169" i="43"/>
  <c r="AE169" i="43"/>
  <c r="Z170" i="43"/>
  <c r="AA170" i="43"/>
  <c r="AB170" i="43"/>
  <c r="AC170" i="43"/>
  <c r="AD170" i="43"/>
  <c r="AE170" i="43"/>
  <c r="Z171" i="43"/>
  <c r="AA171" i="43"/>
  <c r="AB171" i="43"/>
  <c r="AC171" i="43"/>
  <c r="AD171" i="43"/>
  <c r="AE171" i="43"/>
  <c r="Z172" i="43"/>
  <c r="AA172" i="43"/>
  <c r="AB172" i="43"/>
  <c r="AC172" i="43"/>
  <c r="AD172" i="43"/>
  <c r="AE172" i="43"/>
  <c r="Z173" i="43"/>
  <c r="AA173" i="43"/>
  <c r="AB173" i="43"/>
  <c r="AC173" i="43"/>
  <c r="AD173" i="43"/>
  <c r="AE173" i="43"/>
  <c r="Z174" i="43"/>
  <c r="AA174" i="43"/>
  <c r="AB174" i="43"/>
  <c r="AC174" i="43"/>
  <c r="AD174" i="43"/>
  <c r="AE174" i="43"/>
  <c r="Z175" i="43"/>
  <c r="AA175" i="43"/>
  <c r="AB175" i="43"/>
  <c r="AC175" i="43"/>
  <c r="AD175" i="43"/>
  <c r="AE175" i="43"/>
  <c r="Z176" i="43"/>
  <c r="AA176" i="43"/>
  <c r="AB176" i="43"/>
  <c r="AC176" i="43"/>
  <c r="AD176" i="43"/>
  <c r="AE176" i="43"/>
  <c r="Z177" i="43"/>
  <c r="AA177" i="43"/>
  <c r="AB177" i="43"/>
  <c r="AC177" i="43"/>
  <c r="AD177" i="43"/>
  <c r="AE177" i="43"/>
  <c r="Z178" i="43"/>
  <c r="AA178" i="43"/>
  <c r="AB178" i="43"/>
  <c r="AC178" i="43"/>
  <c r="AD178" i="43"/>
  <c r="AE178" i="43"/>
  <c r="Z179" i="43"/>
  <c r="AA179" i="43"/>
  <c r="AB179" i="43"/>
  <c r="AC179" i="43"/>
  <c r="AD179" i="43"/>
  <c r="AE179" i="43"/>
  <c r="Z180" i="43"/>
  <c r="AA180" i="43"/>
  <c r="AB180" i="43"/>
  <c r="AC180" i="43"/>
  <c r="AD180" i="43"/>
  <c r="AE180" i="43"/>
  <c r="Z181" i="43"/>
  <c r="AA181" i="43"/>
  <c r="AB181" i="43"/>
  <c r="AC181" i="43"/>
  <c r="AD181" i="43"/>
  <c r="AE181" i="43"/>
  <c r="Z182" i="43"/>
  <c r="AA182" i="43"/>
  <c r="AB182" i="43"/>
  <c r="AC182" i="43"/>
  <c r="AD182" i="43"/>
  <c r="AE182" i="43"/>
  <c r="Z183" i="43"/>
  <c r="AA183" i="43"/>
  <c r="AB183" i="43"/>
  <c r="AC183" i="43"/>
  <c r="AD183" i="43"/>
  <c r="AE183" i="43"/>
  <c r="Z184" i="43"/>
  <c r="AA184" i="43"/>
  <c r="AB184" i="43"/>
  <c r="AC184" i="43"/>
  <c r="AD184" i="43"/>
  <c r="AE184" i="43"/>
  <c r="Z185" i="43"/>
  <c r="AA185" i="43"/>
  <c r="AB185" i="43"/>
  <c r="AC185" i="43"/>
  <c r="AD185" i="43"/>
  <c r="AE185" i="43"/>
  <c r="Z186" i="43"/>
  <c r="AA186" i="43"/>
  <c r="AB186" i="43"/>
  <c r="AC186" i="43"/>
  <c r="AD186" i="43"/>
  <c r="AE186" i="43"/>
  <c r="Z187" i="43"/>
  <c r="AA187" i="43"/>
  <c r="AB187" i="43"/>
  <c r="AC187" i="43"/>
  <c r="AD187" i="43"/>
  <c r="AE187" i="43"/>
  <c r="Z188" i="43"/>
  <c r="AA188" i="43"/>
  <c r="AB188" i="43"/>
  <c r="AC188" i="43"/>
  <c r="AD188" i="43"/>
  <c r="AE188" i="43"/>
  <c r="Z189" i="43"/>
  <c r="AA189" i="43"/>
  <c r="AB189" i="43"/>
  <c r="AC189" i="43"/>
  <c r="AD189" i="43"/>
  <c r="AE189" i="43"/>
  <c r="Z190" i="43"/>
  <c r="AA190" i="43"/>
  <c r="AB190" i="43"/>
  <c r="AC190" i="43"/>
  <c r="AD190" i="43"/>
  <c r="AE190" i="43"/>
  <c r="Z191" i="43"/>
  <c r="AA191" i="43"/>
  <c r="AB191" i="43"/>
  <c r="AC191" i="43"/>
  <c r="AD191" i="43"/>
  <c r="AE191" i="43"/>
  <c r="Z192" i="43"/>
  <c r="AA192" i="43"/>
  <c r="AB192" i="43"/>
  <c r="AC192" i="43"/>
  <c r="AD192" i="43"/>
  <c r="AE192" i="43"/>
  <c r="Z193" i="43"/>
  <c r="AA193" i="43"/>
  <c r="AB193" i="43"/>
  <c r="AC193" i="43"/>
  <c r="AD193" i="43"/>
  <c r="AE193" i="43"/>
  <c r="Z194" i="43"/>
  <c r="AA194" i="43"/>
  <c r="AB194" i="43"/>
  <c r="AC194" i="43"/>
  <c r="AD194" i="43"/>
  <c r="AE194" i="43"/>
  <c r="Z195" i="43"/>
  <c r="AA195" i="43"/>
  <c r="AB195" i="43"/>
  <c r="AC195" i="43"/>
  <c r="AD195" i="43"/>
  <c r="AE195" i="43"/>
  <c r="Z196" i="43"/>
  <c r="AA196" i="43"/>
  <c r="AB196" i="43"/>
  <c r="AC196" i="43"/>
  <c r="AD196" i="43"/>
  <c r="AE196" i="43"/>
  <c r="Z197" i="43"/>
  <c r="AA197" i="43"/>
  <c r="AB197" i="43"/>
  <c r="AC197" i="43"/>
  <c r="AD197" i="43"/>
  <c r="AE197" i="43"/>
  <c r="Z198" i="43"/>
  <c r="AA198" i="43"/>
  <c r="AB198" i="43"/>
  <c r="AC198" i="43"/>
  <c r="AD198" i="43"/>
  <c r="AE198" i="43"/>
  <c r="Z199" i="43"/>
  <c r="AA199" i="43"/>
  <c r="AB199" i="43"/>
  <c r="AC199" i="43"/>
  <c r="AD199" i="43"/>
  <c r="AE199" i="43"/>
  <c r="Z200" i="43"/>
  <c r="AA200" i="43"/>
  <c r="AB200" i="43"/>
  <c r="AC200" i="43"/>
  <c r="AD200" i="43"/>
  <c r="AE200" i="43"/>
  <c r="Z201" i="43"/>
  <c r="AA201" i="43"/>
  <c r="AB201" i="43"/>
  <c r="AC201" i="43"/>
  <c r="AD201" i="43"/>
  <c r="AE201" i="43"/>
  <c r="Z202" i="43"/>
  <c r="AA202" i="43"/>
  <c r="AB202" i="43"/>
  <c r="AC202" i="43"/>
  <c r="AD202" i="43"/>
  <c r="AE202" i="43"/>
  <c r="Z203" i="43"/>
  <c r="AA203" i="43"/>
  <c r="AB203" i="43"/>
  <c r="AC203" i="43"/>
  <c r="AD203" i="43"/>
  <c r="AE203" i="43"/>
  <c r="Z204" i="43"/>
  <c r="AA204" i="43"/>
  <c r="AB204" i="43"/>
  <c r="AC204" i="43"/>
  <c r="AD204" i="43"/>
  <c r="AE204" i="43"/>
  <c r="Z205" i="43"/>
  <c r="AA205" i="43"/>
  <c r="AB205" i="43"/>
  <c r="AC205" i="43"/>
  <c r="AD205" i="43"/>
  <c r="AE205" i="43"/>
  <c r="Z206" i="43"/>
  <c r="AA206" i="43"/>
  <c r="AB206" i="43"/>
  <c r="AC206" i="43"/>
  <c r="AD206" i="43"/>
  <c r="AE206" i="43"/>
  <c r="Z207" i="43"/>
  <c r="AA207" i="43"/>
  <c r="AB207" i="43"/>
  <c r="AC207" i="43"/>
  <c r="AD207" i="43"/>
  <c r="AE207" i="43"/>
  <c r="Z208" i="43"/>
  <c r="AA208" i="43"/>
  <c r="AB208" i="43"/>
  <c r="AC208" i="43"/>
  <c r="AD208" i="43"/>
  <c r="AE208" i="43"/>
  <c r="Z209" i="43"/>
  <c r="AA209" i="43"/>
  <c r="AB209" i="43"/>
  <c r="AC209" i="43"/>
  <c r="AD209" i="43"/>
  <c r="AE209" i="43"/>
  <c r="Z210" i="43"/>
  <c r="AA210" i="43"/>
  <c r="AB210" i="43"/>
  <c r="AC210" i="43"/>
  <c r="AD210" i="43"/>
  <c r="AE210" i="43"/>
  <c r="Z211" i="43"/>
  <c r="AA211" i="43"/>
  <c r="AB211" i="43"/>
  <c r="AC211" i="43"/>
  <c r="AD211" i="43"/>
  <c r="AE211" i="43"/>
  <c r="Z212" i="43"/>
  <c r="AA212" i="43"/>
  <c r="AB212" i="43"/>
  <c r="AC212" i="43"/>
  <c r="AD212" i="43"/>
  <c r="AE212" i="43"/>
  <c r="Z213" i="43"/>
  <c r="AA213" i="43"/>
  <c r="AB213" i="43"/>
  <c r="AC213" i="43"/>
  <c r="AD213" i="43"/>
  <c r="AE213" i="43"/>
  <c r="Z214" i="43"/>
  <c r="AA214" i="43"/>
  <c r="AB214" i="43"/>
  <c r="AC214" i="43"/>
  <c r="AD214" i="43"/>
  <c r="AE214" i="43"/>
  <c r="Z215" i="43"/>
  <c r="AA215" i="43"/>
  <c r="AB215" i="43"/>
  <c r="AC215" i="43"/>
  <c r="AD215" i="43"/>
  <c r="AE215" i="43"/>
  <c r="Z216" i="43"/>
  <c r="AA216" i="43"/>
  <c r="AB216" i="43"/>
  <c r="AC216" i="43"/>
  <c r="AD216" i="43"/>
  <c r="AE216" i="43"/>
  <c r="Z217" i="43"/>
  <c r="AA217" i="43"/>
  <c r="AB217" i="43"/>
  <c r="AC217" i="43"/>
  <c r="AD217" i="43"/>
  <c r="AE217" i="43"/>
  <c r="Z218" i="43"/>
  <c r="AA218" i="43"/>
  <c r="AB218" i="43"/>
  <c r="AC218" i="43"/>
  <c r="AD218" i="43"/>
  <c r="AE218" i="43"/>
  <c r="Z219" i="43"/>
  <c r="AA219" i="43"/>
  <c r="AB219" i="43"/>
  <c r="AC219" i="43"/>
  <c r="AD219" i="43"/>
  <c r="AE219" i="43"/>
  <c r="Z220" i="43"/>
  <c r="AA220" i="43"/>
  <c r="AB220" i="43"/>
  <c r="AC220" i="43"/>
  <c r="AD220" i="43"/>
  <c r="AE220" i="43"/>
  <c r="Z221" i="43"/>
  <c r="AA221" i="43"/>
  <c r="AB221" i="43"/>
  <c r="AC221" i="43"/>
  <c r="AD221" i="43"/>
  <c r="AE221" i="43"/>
  <c r="Z222" i="43"/>
  <c r="AA222" i="43"/>
  <c r="AB222" i="43"/>
  <c r="AC222" i="43"/>
  <c r="AD222" i="43"/>
  <c r="AE222" i="43"/>
  <c r="Z223" i="43"/>
  <c r="AA223" i="43"/>
  <c r="AB223" i="43"/>
  <c r="AC223" i="43"/>
  <c r="AD223" i="43"/>
  <c r="AE223" i="43"/>
  <c r="Z224" i="43"/>
  <c r="AA224" i="43"/>
  <c r="AB224" i="43"/>
  <c r="AC224" i="43"/>
  <c r="AD224" i="43"/>
  <c r="AE224" i="43"/>
  <c r="Z225" i="43"/>
  <c r="AA225" i="43"/>
  <c r="AB225" i="43"/>
  <c r="AC225" i="43"/>
  <c r="AD225" i="43"/>
  <c r="AE225" i="43"/>
  <c r="Z226" i="43"/>
  <c r="AA226" i="43"/>
  <c r="AB226" i="43"/>
  <c r="AC226" i="43"/>
  <c r="AD226" i="43"/>
  <c r="AE226" i="43"/>
  <c r="Z227" i="43"/>
  <c r="AA227" i="43"/>
  <c r="AB227" i="43"/>
  <c r="AC227" i="43"/>
  <c r="AD227" i="43"/>
  <c r="AE227" i="43"/>
  <c r="Z228" i="43"/>
  <c r="AA228" i="43"/>
  <c r="AB228" i="43"/>
  <c r="AC228" i="43"/>
  <c r="AD228" i="43"/>
  <c r="AE228" i="43"/>
  <c r="Z229" i="43"/>
  <c r="AA229" i="43"/>
  <c r="AB229" i="43"/>
  <c r="AC229" i="43"/>
  <c r="AD229" i="43"/>
  <c r="AE229" i="43"/>
  <c r="Z230" i="43"/>
  <c r="AA230" i="43"/>
  <c r="AB230" i="43"/>
  <c r="AC230" i="43"/>
  <c r="AD230" i="43"/>
  <c r="AE230" i="43"/>
  <c r="Z231" i="43"/>
  <c r="AA231" i="43"/>
  <c r="AB231" i="43"/>
  <c r="AC231" i="43"/>
  <c r="AD231" i="43"/>
  <c r="AE231" i="43"/>
  <c r="Z232" i="43"/>
  <c r="AA232" i="43"/>
  <c r="AB232" i="43"/>
  <c r="AC232" i="43"/>
  <c r="AD232" i="43"/>
  <c r="AE232" i="43"/>
  <c r="Z233" i="43"/>
  <c r="AA233" i="43"/>
  <c r="AB233" i="43"/>
  <c r="AC233" i="43"/>
  <c r="AD233" i="43"/>
  <c r="AE233" i="43"/>
  <c r="Z234" i="43"/>
  <c r="AA234" i="43"/>
  <c r="AB234" i="43"/>
  <c r="AC234" i="43"/>
  <c r="AD234" i="43"/>
  <c r="AE234" i="43"/>
  <c r="Z235" i="43"/>
  <c r="AA235" i="43"/>
  <c r="AB235" i="43"/>
  <c r="AC235" i="43"/>
  <c r="AD235" i="43"/>
  <c r="AE235" i="43"/>
  <c r="Z236" i="43"/>
  <c r="AA236" i="43"/>
  <c r="AB236" i="43"/>
  <c r="AC236" i="43"/>
  <c r="AD236" i="43"/>
  <c r="AE236" i="43"/>
  <c r="Z237" i="43"/>
  <c r="AA237" i="43"/>
  <c r="AB237" i="43"/>
  <c r="AC237" i="43"/>
  <c r="AD237" i="43"/>
  <c r="AE237" i="43"/>
  <c r="Z238" i="43"/>
  <c r="AA238" i="43"/>
  <c r="AB238" i="43"/>
  <c r="AC238" i="43"/>
  <c r="AD238" i="43"/>
  <c r="AE238" i="43"/>
  <c r="Z239" i="43"/>
  <c r="AA239" i="43"/>
  <c r="AB239" i="43"/>
  <c r="AC239" i="43"/>
  <c r="AD239" i="43"/>
  <c r="AE239" i="43"/>
  <c r="Z240" i="43"/>
  <c r="AA240" i="43"/>
  <c r="AB240" i="43"/>
  <c r="AC240" i="43"/>
  <c r="AD240" i="43"/>
  <c r="AE240" i="43"/>
  <c r="Z241" i="43"/>
  <c r="AA241" i="43"/>
  <c r="AB241" i="43"/>
  <c r="AC241" i="43"/>
  <c r="AD241" i="43"/>
  <c r="AE241" i="43"/>
  <c r="Z242" i="43"/>
  <c r="AA242" i="43"/>
  <c r="AB242" i="43"/>
  <c r="AC242" i="43"/>
  <c r="AD242" i="43"/>
  <c r="AE242" i="43"/>
  <c r="Z243" i="43"/>
  <c r="AA243" i="43"/>
  <c r="AB243" i="43"/>
  <c r="AC243" i="43"/>
  <c r="AD243" i="43"/>
  <c r="AE243" i="43"/>
  <c r="Z244" i="43"/>
  <c r="AA244" i="43"/>
  <c r="AB244" i="43"/>
  <c r="AC244" i="43"/>
  <c r="AD244" i="43"/>
  <c r="AE244" i="43"/>
  <c r="Z245" i="43"/>
  <c r="AA245" i="43"/>
  <c r="AB245" i="43"/>
  <c r="AC245" i="43"/>
  <c r="AD245" i="43"/>
  <c r="AE245" i="43"/>
  <c r="Z246" i="43"/>
  <c r="AA246" i="43"/>
  <c r="AB246" i="43"/>
  <c r="AC246" i="43"/>
  <c r="AD246" i="43"/>
  <c r="AE246" i="43"/>
  <c r="Z247" i="43"/>
  <c r="AA247" i="43"/>
  <c r="AB247" i="43"/>
  <c r="AC247" i="43"/>
  <c r="AD247" i="43"/>
  <c r="AE247" i="43"/>
  <c r="Z248" i="43"/>
  <c r="AA248" i="43"/>
  <c r="AB248" i="43"/>
  <c r="AC248" i="43"/>
  <c r="AD248" i="43"/>
  <c r="AE248" i="43"/>
  <c r="Z249" i="43"/>
  <c r="AA249" i="43"/>
  <c r="AB249" i="43"/>
  <c r="AC249" i="43"/>
  <c r="AD249" i="43"/>
  <c r="AE249" i="43"/>
  <c r="Z250" i="43"/>
  <c r="AA250" i="43"/>
  <c r="AB250" i="43"/>
  <c r="AC250" i="43"/>
  <c r="AD250" i="43"/>
  <c r="AE250" i="43"/>
  <c r="Z251" i="43"/>
  <c r="AA251" i="43"/>
  <c r="AB251" i="43"/>
  <c r="AC251" i="43"/>
  <c r="AD251" i="43"/>
  <c r="AE251" i="43"/>
  <c r="Z252" i="43"/>
  <c r="AA252" i="43"/>
  <c r="AB252" i="43"/>
  <c r="AC252" i="43"/>
  <c r="AD252" i="43"/>
  <c r="AE252" i="43"/>
  <c r="Z253" i="43"/>
  <c r="AA253" i="43"/>
  <c r="AB253" i="43"/>
  <c r="AC253" i="43"/>
  <c r="AD253" i="43"/>
  <c r="AE253" i="43"/>
  <c r="Z254" i="43"/>
  <c r="AA254" i="43"/>
  <c r="AB254" i="43"/>
  <c r="AC254" i="43"/>
  <c r="AD254" i="43"/>
  <c r="AE254" i="43"/>
  <c r="Z255" i="43"/>
  <c r="AA255" i="43"/>
  <c r="AB255" i="43"/>
  <c r="AC255" i="43"/>
  <c r="AD255" i="43"/>
  <c r="AE255" i="43"/>
  <c r="Z256" i="43"/>
  <c r="AA256" i="43"/>
  <c r="AB256" i="43"/>
  <c r="AC256" i="43"/>
  <c r="AD256" i="43"/>
  <c r="AE256" i="43"/>
  <c r="Z257" i="43"/>
  <c r="AA257" i="43"/>
  <c r="AB257" i="43"/>
  <c r="AC257" i="43"/>
  <c r="AD257" i="43"/>
  <c r="AE257" i="43"/>
  <c r="Z258" i="43"/>
  <c r="AA258" i="43"/>
  <c r="AB258" i="43"/>
  <c r="AC258" i="43"/>
  <c r="AD258" i="43"/>
  <c r="AE258" i="43"/>
  <c r="Z259" i="43"/>
  <c r="AA259" i="43"/>
  <c r="AB259" i="43"/>
  <c r="AC259" i="43"/>
  <c r="AD259" i="43"/>
  <c r="AE259" i="43"/>
  <c r="Z260" i="43"/>
  <c r="AA260" i="43"/>
  <c r="AB260" i="43"/>
  <c r="AC260" i="43"/>
  <c r="AD260" i="43"/>
  <c r="AE260" i="43"/>
  <c r="Z261" i="43"/>
  <c r="AA261" i="43"/>
  <c r="AB261" i="43"/>
  <c r="AC261" i="43"/>
  <c r="AD261" i="43"/>
  <c r="AE261" i="43"/>
  <c r="Z262" i="43"/>
  <c r="AA262" i="43"/>
  <c r="AB262" i="43"/>
  <c r="AC262" i="43"/>
  <c r="AD262" i="43"/>
  <c r="AE262" i="43"/>
  <c r="Z263" i="43"/>
  <c r="AA263" i="43"/>
  <c r="AB263" i="43"/>
  <c r="AC263" i="43"/>
  <c r="AD263" i="43"/>
  <c r="AE263" i="43"/>
  <c r="Z264" i="43"/>
  <c r="AA264" i="43"/>
  <c r="AB264" i="43"/>
  <c r="AC264" i="43"/>
  <c r="AD264" i="43"/>
  <c r="AE264" i="43"/>
  <c r="Z265" i="43"/>
  <c r="AA265" i="43"/>
  <c r="AB265" i="43"/>
  <c r="AC265" i="43"/>
  <c r="AD265" i="43"/>
  <c r="AE265" i="43"/>
  <c r="Z266" i="43"/>
  <c r="AA266" i="43"/>
  <c r="AB266" i="43"/>
  <c r="AC266" i="43"/>
  <c r="AD266" i="43"/>
  <c r="AE266" i="43"/>
  <c r="Z267" i="43"/>
  <c r="AA267" i="43"/>
  <c r="AB267" i="43"/>
  <c r="AC267" i="43"/>
  <c r="AD267" i="43"/>
  <c r="AE267" i="43"/>
  <c r="Z268" i="43"/>
  <c r="AA268" i="43"/>
  <c r="AB268" i="43"/>
  <c r="AC268" i="43"/>
  <c r="AD268" i="43"/>
  <c r="AE268" i="43"/>
  <c r="Z269" i="43"/>
  <c r="AA269" i="43"/>
  <c r="AB269" i="43"/>
  <c r="AC269" i="43"/>
  <c r="AD269" i="43"/>
  <c r="AE269" i="43"/>
  <c r="Z270" i="43"/>
  <c r="AA270" i="43"/>
  <c r="AB270" i="43"/>
  <c r="AC270" i="43"/>
  <c r="AD270" i="43"/>
  <c r="AE270" i="43"/>
  <c r="Z271" i="43"/>
  <c r="AA271" i="43"/>
  <c r="AB271" i="43"/>
  <c r="AC271" i="43"/>
  <c r="AD271" i="43"/>
  <c r="AE271" i="43"/>
  <c r="Z272" i="43"/>
  <c r="AA272" i="43"/>
  <c r="AB272" i="43"/>
  <c r="AC272" i="43"/>
  <c r="AD272" i="43"/>
  <c r="AE272" i="43"/>
  <c r="Z273" i="43"/>
  <c r="AA273" i="43"/>
  <c r="AB273" i="43"/>
  <c r="AC273" i="43"/>
  <c r="AD273" i="43"/>
  <c r="AE273" i="43"/>
  <c r="Z274" i="43"/>
  <c r="AA274" i="43"/>
  <c r="AB274" i="43"/>
  <c r="AC274" i="43"/>
  <c r="AD274" i="43"/>
  <c r="AE274" i="43"/>
  <c r="Z275" i="43"/>
  <c r="AA275" i="43"/>
  <c r="AB275" i="43"/>
  <c r="AC275" i="43"/>
  <c r="AD275" i="43"/>
  <c r="AE275" i="43"/>
  <c r="Z276" i="43"/>
  <c r="AA276" i="43"/>
  <c r="AB276" i="43"/>
  <c r="AC276" i="43"/>
  <c r="AD276" i="43"/>
  <c r="AE276" i="43"/>
  <c r="Z277" i="43"/>
  <c r="AA277" i="43"/>
  <c r="AB277" i="43"/>
  <c r="AC277" i="43"/>
  <c r="AD277" i="43"/>
  <c r="AE277" i="43"/>
  <c r="Z278" i="43"/>
  <c r="AA278" i="43"/>
  <c r="AB278" i="43"/>
  <c r="AC278" i="43"/>
  <c r="AD278" i="43"/>
  <c r="AE278" i="43"/>
  <c r="Z279" i="43"/>
  <c r="AA279" i="43"/>
  <c r="AB279" i="43"/>
  <c r="AC279" i="43"/>
  <c r="AD279" i="43"/>
  <c r="AE279" i="43"/>
  <c r="Z280" i="43"/>
  <c r="AA280" i="43"/>
  <c r="AB280" i="43"/>
  <c r="AC280" i="43"/>
  <c r="AD280" i="43"/>
  <c r="AE280" i="43"/>
  <c r="Z281" i="43"/>
  <c r="AA281" i="43"/>
  <c r="AB281" i="43"/>
  <c r="AC281" i="43"/>
  <c r="AD281" i="43"/>
  <c r="AE281" i="43"/>
  <c r="Z282" i="43"/>
  <c r="AA282" i="43"/>
  <c r="AB282" i="43"/>
  <c r="AC282" i="43"/>
  <c r="AD282" i="43"/>
  <c r="AE282" i="43"/>
  <c r="Z283" i="43"/>
  <c r="AA283" i="43"/>
  <c r="AB283" i="43"/>
  <c r="AC283" i="43"/>
  <c r="AD283" i="43"/>
  <c r="AE283" i="43"/>
  <c r="Z284" i="43"/>
  <c r="AA284" i="43"/>
  <c r="AB284" i="43"/>
  <c r="AC284" i="43"/>
  <c r="AD284" i="43"/>
  <c r="AE284" i="43"/>
  <c r="Z285" i="43"/>
  <c r="AA285" i="43"/>
  <c r="AB285" i="43"/>
  <c r="AC285" i="43"/>
  <c r="AD285" i="43"/>
  <c r="AE285" i="43"/>
  <c r="Z286" i="43"/>
  <c r="AA286" i="43"/>
  <c r="AB286" i="43"/>
  <c r="AC286" i="43"/>
  <c r="AD286" i="43"/>
  <c r="AE286" i="43"/>
  <c r="Z287" i="43"/>
  <c r="AA287" i="43"/>
  <c r="AB287" i="43"/>
  <c r="AC287" i="43"/>
  <c r="AD287" i="43"/>
  <c r="AE287" i="43"/>
  <c r="Z288" i="43"/>
  <c r="AA288" i="43"/>
  <c r="AB288" i="43"/>
  <c r="AC288" i="43"/>
  <c r="AD288" i="43"/>
  <c r="AE288" i="43"/>
  <c r="Z289" i="43"/>
  <c r="AA289" i="43"/>
  <c r="AB289" i="43"/>
  <c r="AC289" i="43"/>
  <c r="AD289" i="43"/>
  <c r="AE289" i="43"/>
  <c r="Z290" i="43"/>
  <c r="AA290" i="43"/>
  <c r="AB290" i="43"/>
  <c r="AC290" i="43"/>
  <c r="AD290" i="43"/>
  <c r="AE290" i="43"/>
  <c r="Z291" i="43"/>
  <c r="AA291" i="43"/>
  <c r="AB291" i="43"/>
  <c r="AC291" i="43"/>
  <c r="AD291" i="43"/>
  <c r="AE291" i="43"/>
  <c r="Z292" i="43"/>
  <c r="AA292" i="43"/>
  <c r="AB292" i="43"/>
  <c r="AC292" i="43"/>
  <c r="AD292" i="43"/>
  <c r="AE292" i="43"/>
  <c r="Z293" i="43"/>
  <c r="AA293" i="43"/>
  <c r="AB293" i="43"/>
  <c r="AC293" i="43"/>
  <c r="AD293" i="43"/>
  <c r="AE293" i="43"/>
  <c r="Z294" i="43"/>
  <c r="AA294" i="43"/>
  <c r="AB294" i="43"/>
  <c r="AC294" i="43"/>
  <c r="AD294" i="43"/>
  <c r="AE294" i="43"/>
  <c r="Z295" i="43"/>
  <c r="AA295" i="43"/>
  <c r="AB295" i="43"/>
  <c r="AC295" i="43"/>
  <c r="AD295" i="43"/>
  <c r="AE295" i="43"/>
  <c r="Z297" i="43"/>
  <c r="Z298" i="43"/>
  <c r="Z299" i="43"/>
  <c r="Z300" i="43"/>
  <c r="Z301" i="43"/>
  <c r="Z302" i="43"/>
  <c r="Z303" i="43"/>
  <c r="Z304" i="43"/>
  <c r="Z305" i="43"/>
  <c r="Z306" i="43"/>
  <c r="Z307" i="43"/>
  <c r="Z308" i="43"/>
  <c r="Z309" i="43"/>
  <c r="Z310" i="43"/>
  <c r="Z311" i="43"/>
  <c r="Z312" i="43"/>
  <c r="Z313" i="43"/>
  <c r="Z314" i="43"/>
  <c r="Z315" i="43"/>
  <c r="Z316" i="43"/>
  <c r="Z317" i="43"/>
  <c r="Z318" i="43"/>
  <c r="Z319" i="43"/>
  <c r="Z320" i="43"/>
  <c r="Z321" i="43"/>
  <c r="Z322" i="43"/>
  <c r="Z323" i="43"/>
  <c r="Z324" i="43"/>
  <c r="Z325" i="43"/>
  <c r="Z326" i="43"/>
  <c r="Z327" i="43"/>
  <c r="Z328" i="43"/>
  <c r="Z329" i="43"/>
  <c r="Z330" i="43"/>
  <c r="Z331" i="43"/>
  <c r="Z332" i="43"/>
  <c r="Z333" i="43"/>
  <c r="Z334" i="43"/>
  <c r="Z335" i="43"/>
  <c r="Z336" i="43"/>
  <c r="Z337" i="43"/>
  <c r="Z338" i="43"/>
  <c r="Z339" i="43"/>
  <c r="Z340" i="43"/>
  <c r="Z341" i="43"/>
  <c r="Z342" i="43"/>
  <c r="Z343" i="43"/>
  <c r="Z344" i="43"/>
  <c r="Z345" i="43"/>
  <c r="Z346" i="43"/>
  <c r="Z347" i="43"/>
  <c r="Z348" i="43"/>
  <c r="Z349" i="43"/>
  <c r="Z350" i="43"/>
  <c r="Z351" i="43"/>
  <c r="Z352" i="43"/>
  <c r="Z353" i="43"/>
  <c r="Z354" i="43"/>
  <c r="Z355" i="43"/>
  <c r="Z356" i="43"/>
  <c r="Z357" i="43"/>
  <c r="Z358" i="43"/>
  <c r="Z359" i="43"/>
  <c r="Z360" i="43"/>
  <c r="Z361" i="43"/>
  <c r="Z362" i="43"/>
  <c r="Z363" i="43"/>
  <c r="Z364" i="43"/>
  <c r="Z365" i="43"/>
  <c r="Z366" i="43"/>
  <c r="Z367" i="43"/>
  <c r="Z368" i="43"/>
  <c r="Z369" i="43"/>
  <c r="Z370" i="43"/>
  <c r="Z371" i="43"/>
  <c r="Z372" i="43"/>
  <c r="Z373" i="43"/>
  <c r="Z374" i="43"/>
  <c r="Z375" i="43"/>
  <c r="Z376" i="43"/>
  <c r="Z377" i="43"/>
  <c r="Z378" i="43"/>
  <c r="Z379" i="43"/>
  <c r="Z380" i="43"/>
  <c r="Z381" i="43"/>
  <c r="Z382" i="43"/>
  <c r="Z383" i="43"/>
  <c r="Z384" i="43"/>
  <c r="Z385" i="43"/>
  <c r="Z386" i="43"/>
  <c r="Z387" i="43"/>
  <c r="Z388" i="43"/>
  <c r="Z389" i="43"/>
  <c r="Z390" i="43"/>
  <c r="Z391" i="43"/>
  <c r="Z392" i="43"/>
  <c r="Z393" i="43"/>
  <c r="Z394" i="43"/>
  <c r="Z395" i="43"/>
  <c r="Z396" i="43"/>
  <c r="Z397" i="43"/>
  <c r="Z398" i="43"/>
  <c r="Z399" i="43"/>
  <c r="Z400" i="43"/>
  <c r="Z401" i="43"/>
  <c r="Z402" i="43"/>
  <c r="Z403" i="43"/>
  <c r="Z404" i="43"/>
  <c r="Z405" i="43"/>
  <c r="Z406" i="43"/>
  <c r="Z407" i="43"/>
  <c r="Z408" i="43"/>
  <c r="Z409" i="43"/>
  <c r="Z410" i="43"/>
  <c r="Z411" i="43"/>
  <c r="Z412" i="43"/>
  <c r="Z413" i="43"/>
  <c r="Z414" i="43"/>
  <c r="Z415" i="43"/>
  <c r="Z416" i="43"/>
  <c r="Z417" i="43"/>
  <c r="Z418" i="43"/>
  <c r="Z419" i="43"/>
  <c r="Z420" i="43"/>
  <c r="Z421" i="43"/>
  <c r="Z422" i="43"/>
  <c r="Z423" i="43"/>
  <c r="Z424" i="43"/>
  <c r="Z425" i="43"/>
  <c r="Z426" i="43"/>
  <c r="Z427" i="43"/>
  <c r="Z428" i="43"/>
  <c r="Z429" i="43"/>
  <c r="Z430" i="43"/>
  <c r="Z431" i="43"/>
  <c r="Z432" i="43"/>
  <c r="Z433" i="43"/>
  <c r="Z434" i="43"/>
  <c r="Z435" i="43"/>
  <c r="Z436" i="43"/>
  <c r="Z437" i="43"/>
  <c r="Z438" i="43"/>
  <c r="Z439" i="43"/>
  <c r="Z440" i="43"/>
  <c r="Z441" i="43"/>
  <c r="Z442" i="43"/>
  <c r="Z443" i="43"/>
  <c r="Z444" i="43"/>
  <c r="Z445" i="43"/>
  <c r="Z446" i="43"/>
  <c r="Z447" i="43"/>
  <c r="Z448" i="43"/>
  <c r="Z449" i="43"/>
  <c r="Z450" i="43"/>
  <c r="Z451" i="43"/>
  <c r="Z452" i="43"/>
  <c r="Z453" i="43"/>
  <c r="Z454" i="43"/>
  <c r="Z455" i="43"/>
  <c r="Z456" i="43"/>
  <c r="Z457" i="43"/>
  <c r="Z458" i="43"/>
  <c r="Z459" i="43"/>
  <c r="Z460" i="43"/>
  <c r="Z461" i="43"/>
  <c r="Z462" i="43"/>
  <c r="Z463" i="43"/>
  <c r="Z464" i="43"/>
  <c r="Z465" i="43"/>
  <c r="Z466" i="43"/>
  <c r="Z467" i="43"/>
  <c r="Z468" i="43"/>
  <c r="Z469" i="43"/>
  <c r="Z470" i="43"/>
  <c r="Z471" i="43"/>
  <c r="Z472" i="43"/>
  <c r="Z473" i="43"/>
  <c r="Z474" i="43"/>
  <c r="Z475" i="43"/>
  <c r="Z476" i="43"/>
  <c r="Z477" i="43"/>
  <c r="Z478" i="43"/>
  <c r="Z479" i="43"/>
  <c r="Z480" i="43"/>
  <c r="Z481" i="43"/>
  <c r="Z482" i="43"/>
  <c r="Z483" i="43"/>
  <c r="Z484" i="43"/>
  <c r="Z485" i="43"/>
  <c r="Z486" i="43"/>
  <c r="Z487" i="43"/>
  <c r="Z488" i="43"/>
  <c r="Z489" i="43"/>
  <c r="Z490" i="43"/>
  <c r="Z491" i="43"/>
  <c r="Z492" i="43"/>
  <c r="Z493" i="43"/>
  <c r="Z494" i="43"/>
  <c r="Z495" i="43"/>
  <c r="Z496" i="43"/>
  <c r="Z497" i="43"/>
  <c r="Z498" i="43"/>
  <c r="Z499" i="43"/>
  <c r="Z500" i="43"/>
  <c r="Z501" i="43"/>
  <c r="Z502" i="43"/>
  <c r="Z503" i="43"/>
  <c r="Z504" i="43"/>
  <c r="Z505" i="43"/>
  <c r="Z506" i="43"/>
  <c r="Z507" i="43"/>
  <c r="Z508" i="43"/>
  <c r="Z509" i="43"/>
  <c r="Z510" i="43"/>
  <c r="Z511" i="43"/>
  <c r="Z512" i="43"/>
  <c r="Z513" i="43"/>
  <c r="Z514" i="43"/>
  <c r="Z515" i="43"/>
  <c r="Z76" i="43"/>
  <c r="AE76" i="43"/>
  <c r="AD76" i="43"/>
  <c r="AC76" i="43"/>
  <c r="AB76" i="43"/>
  <c r="AA76" i="43"/>
  <c r="M881" i="31"/>
  <c r="M880" i="31"/>
  <c r="M879" i="31"/>
  <c r="M878" i="31"/>
  <c r="M877" i="31"/>
  <c r="M876" i="31"/>
  <c r="M875" i="31"/>
  <c r="M874" i="31"/>
  <c r="M873" i="31"/>
  <c r="M872" i="31"/>
  <c r="M871" i="31"/>
  <c r="M870" i="31"/>
  <c r="M869" i="31"/>
  <c r="M868" i="31"/>
  <c r="M867" i="31"/>
  <c r="M866" i="31"/>
  <c r="M865" i="31"/>
  <c r="M864" i="31"/>
  <c r="M863" i="31"/>
  <c r="M862" i="31"/>
  <c r="M861" i="31"/>
  <c r="M860" i="31"/>
  <c r="M859" i="31"/>
  <c r="M858" i="31"/>
  <c r="M857" i="31"/>
  <c r="M856" i="31"/>
  <c r="M855" i="31"/>
  <c r="M854" i="31"/>
  <c r="M853" i="31"/>
  <c r="M852" i="31"/>
  <c r="M851" i="31"/>
  <c r="M850" i="31"/>
  <c r="M849" i="31"/>
  <c r="M848" i="31"/>
  <c r="M847" i="31"/>
  <c r="M846" i="31"/>
  <c r="M845" i="31"/>
  <c r="M844" i="31"/>
  <c r="M843" i="31"/>
  <c r="M842" i="31"/>
  <c r="M841" i="31"/>
  <c r="M840" i="31"/>
  <c r="M839" i="31"/>
  <c r="M838" i="31"/>
  <c r="M837" i="31"/>
  <c r="M836" i="31"/>
  <c r="M835" i="31"/>
  <c r="M834" i="31"/>
  <c r="M833" i="31"/>
  <c r="M832" i="31"/>
  <c r="M831" i="31"/>
  <c r="M830" i="31"/>
  <c r="M829" i="31"/>
  <c r="M828" i="31"/>
  <c r="M827" i="31"/>
  <c r="M826" i="31"/>
  <c r="M825" i="31"/>
  <c r="M824" i="31"/>
  <c r="M823" i="31"/>
  <c r="M822" i="31"/>
  <c r="M821" i="31"/>
  <c r="M820" i="31"/>
  <c r="M819" i="31"/>
  <c r="M818" i="31"/>
  <c r="M817" i="31"/>
  <c r="M816" i="31"/>
  <c r="M815" i="31"/>
  <c r="M814" i="31"/>
  <c r="M813" i="31"/>
  <c r="M812" i="31"/>
  <c r="M811" i="31"/>
  <c r="M810" i="31"/>
  <c r="M809" i="31"/>
  <c r="M808" i="31"/>
  <c r="M807" i="31"/>
  <c r="M806" i="31"/>
  <c r="M805" i="31"/>
  <c r="M804" i="31"/>
  <c r="M803" i="31"/>
  <c r="M802" i="31"/>
  <c r="M801" i="31"/>
  <c r="M800" i="31"/>
  <c r="M799" i="31"/>
  <c r="M798" i="31"/>
  <c r="M797" i="31"/>
  <c r="M796" i="31"/>
  <c r="M795" i="31"/>
  <c r="M794" i="31"/>
  <c r="M793" i="31"/>
  <c r="M792" i="31"/>
  <c r="M791" i="31"/>
  <c r="M790" i="31"/>
  <c r="M789" i="31"/>
  <c r="M788" i="31"/>
  <c r="M787" i="31"/>
  <c r="M786" i="31"/>
  <c r="M785" i="31"/>
  <c r="M784" i="31"/>
  <c r="M783" i="31"/>
  <c r="M782" i="31"/>
  <c r="M781" i="31"/>
  <c r="M780" i="31"/>
  <c r="M779" i="31"/>
  <c r="M778" i="31"/>
  <c r="M777" i="31"/>
  <c r="M776" i="31"/>
  <c r="M775" i="31"/>
  <c r="M774" i="31"/>
  <c r="M773" i="31"/>
  <c r="M772" i="31"/>
  <c r="M771" i="31"/>
  <c r="M770" i="31"/>
  <c r="M769" i="31"/>
  <c r="M768" i="31"/>
  <c r="M767" i="31"/>
  <c r="M766" i="31"/>
  <c r="M765" i="31"/>
  <c r="M764" i="31"/>
  <c r="M763" i="31"/>
  <c r="M762" i="31"/>
  <c r="M761" i="31"/>
  <c r="M760" i="31"/>
  <c r="M759" i="31"/>
  <c r="M758" i="31"/>
  <c r="M757" i="31"/>
  <c r="M756" i="31"/>
  <c r="M755" i="31"/>
  <c r="M754" i="31"/>
  <c r="M753" i="31"/>
  <c r="M752" i="31"/>
  <c r="M751" i="31"/>
  <c r="M750" i="31"/>
  <c r="M749" i="31"/>
  <c r="M748" i="31"/>
  <c r="M747" i="31"/>
  <c r="M746" i="31"/>
  <c r="M745" i="31"/>
  <c r="M744" i="31"/>
  <c r="M743" i="31"/>
  <c r="M742" i="31"/>
  <c r="M741" i="31"/>
  <c r="M740" i="31"/>
  <c r="M739" i="31"/>
  <c r="M738" i="31"/>
  <c r="M737" i="31"/>
  <c r="M736" i="31"/>
  <c r="M735" i="31"/>
  <c r="M734" i="31"/>
  <c r="M733" i="31"/>
  <c r="M732" i="31"/>
  <c r="M731" i="31"/>
  <c r="M730" i="31"/>
  <c r="M729" i="31"/>
  <c r="M728" i="31"/>
  <c r="M727" i="31"/>
  <c r="M726" i="31"/>
  <c r="M725" i="31"/>
  <c r="M724" i="31"/>
  <c r="M723" i="31"/>
  <c r="M722" i="31"/>
  <c r="M721" i="31"/>
  <c r="M720" i="31"/>
  <c r="M719" i="31"/>
  <c r="M718" i="31"/>
  <c r="M717" i="31"/>
  <c r="M716" i="31"/>
  <c r="M715" i="31"/>
  <c r="M714" i="31"/>
  <c r="M713" i="31"/>
  <c r="M712" i="31"/>
  <c r="M711" i="31"/>
  <c r="M710" i="31"/>
  <c r="M709" i="31"/>
  <c r="M708" i="31"/>
  <c r="M707" i="31"/>
  <c r="M706" i="31"/>
  <c r="M705" i="31"/>
  <c r="M704" i="31"/>
  <c r="M703" i="31"/>
  <c r="M702" i="31"/>
  <c r="M701" i="31"/>
  <c r="M700" i="31"/>
  <c r="M699" i="31"/>
  <c r="M698" i="31"/>
  <c r="M697" i="31"/>
  <c r="M696" i="31"/>
  <c r="M695" i="31"/>
  <c r="M694" i="31"/>
  <c r="M693" i="31"/>
  <c r="M692" i="31"/>
  <c r="M691" i="31"/>
  <c r="M690" i="31"/>
  <c r="M689" i="31"/>
  <c r="M688" i="31"/>
  <c r="M687" i="31"/>
  <c r="M686" i="31"/>
  <c r="M685" i="31"/>
  <c r="M684" i="31"/>
  <c r="M683" i="31"/>
  <c r="M682" i="31"/>
  <c r="M681" i="31"/>
  <c r="M680" i="31"/>
  <c r="M679" i="31"/>
  <c r="M678" i="31"/>
  <c r="M677" i="31"/>
  <c r="M676" i="31"/>
  <c r="M675" i="31"/>
  <c r="M674" i="31"/>
  <c r="M673" i="31"/>
  <c r="M672" i="31"/>
  <c r="M671" i="31"/>
  <c r="M670" i="31"/>
  <c r="M669" i="31"/>
  <c r="M668" i="31"/>
  <c r="M667" i="31"/>
  <c r="M666" i="31"/>
  <c r="M665" i="31"/>
  <c r="M664" i="31"/>
  <c r="M663" i="31"/>
  <c r="M662" i="31"/>
  <c r="M661" i="31"/>
  <c r="M660" i="31"/>
  <c r="M659" i="31"/>
  <c r="M658" i="31"/>
  <c r="M657" i="31"/>
  <c r="M656" i="31"/>
  <c r="M655" i="31"/>
  <c r="M654" i="31"/>
  <c r="M653" i="31"/>
  <c r="M652" i="31"/>
  <c r="M651" i="31"/>
  <c r="M650" i="31"/>
  <c r="M649" i="31"/>
  <c r="M648" i="31"/>
  <c r="M647" i="31"/>
  <c r="M646" i="31"/>
  <c r="M645" i="31"/>
  <c r="M644" i="31"/>
  <c r="M643" i="31"/>
  <c r="M642" i="31"/>
  <c r="M641" i="31"/>
  <c r="M640" i="31"/>
  <c r="M639" i="31"/>
  <c r="M638" i="31"/>
  <c r="M637" i="31"/>
  <c r="M636" i="31"/>
  <c r="M635" i="31"/>
  <c r="M634" i="31"/>
  <c r="M633" i="31"/>
  <c r="M632" i="31"/>
  <c r="M631" i="31"/>
  <c r="M630" i="31"/>
  <c r="M629" i="31"/>
  <c r="M628" i="31"/>
  <c r="M627" i="31"/>
  <c r="M626" i="31"/>
  <c r="M625" i="31"/>
  <c r="M624" i="31"/>
  <c r="M623" i="31"/>
  <c r="M622" i="31"/>
  <c r="M621" i="31"/>
  <c r="M620" i="31"/>
  <c r="M619" i="31"/>
  <c r="M618" i="31"/>
  <c r="M617" i="31"/>
  <c r="M616" i="31"/>
  <c r="M615" i="31"/>
  <c r="M614" i="31"/>
  <c r="M613" i="31"/>
  <c r="M612" i="31"/>
  <c r="M611" i="31"/>
  <c r="M610" i="31"/>
  <c r="M609" i="31"/>
  <c r="M608" i="31"/>
  <c r="M607" i="31"/>
  <c r="M606" i="31"/>
  <c r="M605" i="31"/>
  <c r="M604" i="31"/>
  <c r="M603" i="31"/>
  <c r="M602" i="31"/>
  <c r="M601" i="31"/>
  <c r="M600" i="31"/>
  <c r="M599" i="31"/>
  <c r="M598" i="31"/>
  <c r="M597" i="31"/>
  <c r="M596" i="31"/>
  <c r="M595" i="31"/>
  <c r="M594" i="31"/>
  <c r="M593" i="31"/>
  <c r="M592" i="31"/>
  <c r="M591" i="31"/>
  <c r="M590" i="31"/>
  <c r="M589" i="31"/>
  <c r="M588" i="31"/>
  <c r="M587" i="31"/>
  <c r="M586" i="31"/>
  <c r="M585" i="31"/>
  <c r="M584" i="31"/>
  <c r="M583" i="31"/>
  <c r="M582" i="31"/>
  <c r="M581" i="31"/>
  <c r="M580" i="31"/>
  <c r="M579" i="31"/>
  <c r="M578" i="31"/>
  <c r="M577" i="31"/>
  <c r="M576" i="31"/>
  <c r="M575" i="31"/>
  <c r="M574" i="31"/>
  <c r="M573" i="31"/>
  <c r="M572" i="31"/>
  <c r="M571" i="31"/>
  <c r="M570" i="31"/>
  <c r="M569" i="31"/>
  <c r="M568" i="31"/>
  <c r="M567" i="31"/>
  <c r="M566" i="31"/>
  <c r="M565" i="31"/>
  <c r="M564" i="31"/>
  <c r="M563" i="31"/>
  <c r="M562" i="31"/>
  <c r="M561" i="31"/>
  <c r="M560" i="31"/>
  <c r="M559" i="31"/>
  <c r="M558" i="31"/>
  <c r="M557" i="31"/>
  <c r="M556" i="31"/>
  <c r="M555" i="31"/>
  <c r="M554" i="31"/>
  <c r="M553" i="31"/>
  <c r="M552" i="31"/>
  <c r="M551" i="31"/>
  <c r="M550" i="31"/>
  <c r="M549" i="31"/>
  <c r="M548" i="31"/>
  <c r="M547" i="31"/>
  <c r="M546" i="31"/>
  <c r="M545" i="31"/>
  <c r="M544" i="31"/>
  <c r="M543" i="31"/>
  <c r="M542" i="31"/>
  <c r="M541" i="31"/>
  <c r="M540" i="31"/>
  <c r="M539" i="31"/>
  <c r="M538" i="31"/>
  <c r="M537" i="31"/>
  <c r="M536" i="31"/>
  <c r="M535" i="31"/>
  <c r="M534" i="31"/>
  <c r="M533" i="31"/>
  <c r="M532" i="31"/>
  <c r="M531" i="31"/>
  <c r="M530" i="31"/>
  <c r="M529" i="31"/>
  <c r="M528" i="31"/>
  <c r="M527" i="31"/>
  <c r="M526" i="31"/>
  <c r="M525" i="31"/>
  <c r="M524" i="31"/>
  <c r="M523" i="31"/>
  <c r="M522" i="31"/>
  <c r="M521" i="31"/>
  <c r="M520" i="31"/>
  <c r="M519" i="31"/>
  <c r="M518" i="31"/>
  <c r="M517" i="31"/>
  <c r="M516" i="31"/>
  <c r="M515" i="31"/>
  <c r="M514" i="31"/>
  <c r="M513" i="31"/>
  <c r="M512" i="31"/>
  <c r="M511" i="31"/>
  <c r="M510" i="31"/>
  <c r="M509" i="31"/>
  <c r="M508" i="31"/>
  <c r="M507" i="31"/>
  <c r="M506" i="31"/>
  <c r="M505" i="31"/>
  <c r="M504" i="31"/>
  <c r="M503" i="31"/>
  <c r="M502" i="31"/>
  <c r="M501" i="31"/>
  <c r="M500" i="31"/>
  <c r="M499" i="31"/>
  <c r="M498" i="31"/>
  <c r="M497" i="31"/>
  <c r="M496" i="31"/>
  <c r="M495" i="31"/>
  <c r="M494" i="31"/>
  <c r="M493" i="31"/>
  <c r="M492" i="31"/>
  <c r="M491" i="31"/>
  <c r="M490" i="31"/>
  <c r="M489" i="31"/>
  <c r="M488" i="31"/>
  <c r="M487" i="31"/>
  <c r="M486" i="31"/>
  <c r="M485" i="31"/>
  <c r="M484" i="31"/>
  <c r="M483" i="31"/>
  <c r="M482" i="31"/>
  <c r="M481" i="31"/>
  <c r="M480" i="31"/>
  <c r="M479" i="31"/>
  <c r="M478" i="31"/>
  <c r="M477" i="31"/>
  <c r="M476" i="31"/>
  <c r="M475" i="31"/>
  <c r="M474" i="31"/>
  <c r="M473" i="31"/>
  <c r="M472" i="31"/>
  <c r="M471" i="31"/>
  <c r="M470" i="31"/>
  <c r="M469" i="31"/>
  <c r="M468" i="31"/>
  <c r="M467" i="31"/>
  <c r="M466" i="31"/>
  <c r="M465" i="31"/>
  <c r="M464" i="31"/>
  <c r="M463" i="31"/>
  <c r="M462" i="31"/>
  <c r="M461" i="31"/>
  <c r="M460" i="31"/>
  <c r="M459" i="31"/>
  <c r="M458" i="31"/>
  <c r="M457" i="31"/>
  <c r="M456" i="31"/>
  <c r="M455" i="31"/>
  <c r="M454" i="31"/>
  <c r="M453" i="31"/>
  <c r="M452" i="31"/>
  <c r="M451" i="31"/>
  <c r="M450" i="31"/>
  <c r="M449" i="31"/>
  <c r="M448" i="31"/>
  <c r="M447" i="31"/>
  <c r="M446" i="31"/>
  <c r="M445" i="31"/>
  <c r="M444" i="31"/>
  <c r="M443" i="31"/>
  <c r="M442" i="31"/>
  <c r="M441" i="31"/>
  <c r="M440" i="31"/>
  <c r="M439" i="31"/>
  <c r="M438" i="31"/>
  <c r="M437" i="31"/>
  <c r="M436" i="31"/>
  <c r="M435" i="31"/>
  <c r="M434" i="31"/>
  <c r="M433" i="31"/>
  <c r="M432" i="31"/>
  <c r="M431" i="31"/>
  <c r="M430" i="31"/>
  <c r="M429" i="31"/>
  <c r="M428" i="31"/>
  <c r="M427" i="31"/>
  <c r="M426" i="31"/>
  <c r="M425" i="31"/>
  <c r="M424" i="31"/>
  <c r="M423" i="31"/>
  <c r="M422" i="31"/>
  <c r="M421" i="31"/>
  <c r="M420" i="31"/>
  <c r="M419" i="31"/>
  <c r="M418" i="31"/>
  <c r="M417" i="31"/>
  <c r="M416" i="31"/>
  <c r="M415" i="31"/>
  <c r="M414" i="31"/>
  <c r="M413" i="31"/>
  <c r="M412" i="31"/>
  <c r="M411" i="31"/>
  <c r="M410" i="31"/>
  <c r="M409" i="31"/>
  <c r="M408" i="31"/>
  <c r="M407" i="31"/>
  <c r="M406" i="31"/>
  <c r="M405" i="31"/>
  <c r="M404" i="31"/>
  <c r="M403" i="31"/>
  <c r="M402" i="31"/>
  <c r="M401" i="31"/>
  <c r="M400" i="31"/>
  <c r="M399" i="31"/>
  <c r="M398" i="31"/>
  <c r="M397" i="31"/>
  <c r="M396" i="31"/>
  <c r="M395" i="31"/>
  <c r="M394" i="31"/>
  <c r="M393" i="31"/>
  <c r="M392" i="31"/>
  <c r="M391" i="31"/>
  <c r="M390" i="31"/>
  <c r="M389" i="31"/>
  <c r="M388" i="31"/>
  <c r="M387" i="31"/>
  <c r="M386" i="31"/>
  <c r="M385" i="31"/>
  <c r="M384" i="31"/>
  <c r="M383" i="31"/>
  <c r="M382" i="31"/>
  <c r="M381" i="31"/>
  <c r="M380" i="31"/>
  <c r="M379" i="31"/>
  <c r="M378" i="31"/>
  <c r="M377" i="31"/>
  <c r="M376" i="31"/>
  <c r="M375" i="31"/>
  <c r="M374" i="31"/>
  <c r="M373" i="31"/>
  <c r="M372" i="31"/>
  <c r="M371" i="31"/>
  <c r="M370" i="31"/>
  <c r="M369" i="31"/>
  <c r="M368" i="31"/>
  <c r="M367" i="31"/>
  <c r="M366" i="31"/>
  <c r="M365" i="31"/>
  <c r="M364" i="31"/>
  <c r="M363" i="31"/>
  <c r="M362" i="31"/>
  <c r="M361" i="31"/>
  <c r="M360" i="31"/>
  <c r="M359" i="31"/>
  <c r="M358" i="31"/>
  <c r="M357" i="31"/>
  <c r="M356" i="31"/>
  <c r="M355" i="31"/>
  <c r="M354" i="31"/>
  <c r="M353" i="31"/>
  <c r="M352" i="31"/>
  <c r="M351" i="31"/>
  <c r="M350" i="31"/>
  <c r="M349" i="31"/>
  <c r="M348" i="31"/>
  <c r="M347" i="31"/>
  <c r="M346" i="31"/>
  <c r="M345" i="31"/>
  <c r="M344" i="31"/>
  <c r="M343" i="31"/>
  <c r="M342" i="31"/>
  <c r="M341" i="31"/>
  <c r="M340" i="31"/>
  <c r="M339" i="31"/>
  <c r="M338" i="31"/>
  <c r="M337" i="31"/>
  <c r="M336" i="31"/>
  <c r="M335" i="31"/>
  <c r="M334" i="31"/>
  <c r="M333" i="31"/>
  <c r="M332" i="31"/>
  <c r="M331" i="31"/>
  <c r="M330" i="31"/>
  <c r="M329" i="31"/>
  <c r="M328" i="31"/>
  <c r="M327" i="31"/>
  <c r="M326" i="31"/>
  <c r="M325" i="31"/>
  <c r="M324" i="31"/>
  <c r="M323" i="31"/>
  <c r="M322" i="31"/>
  <c r="M321" i="31"/>
  <c r="M320" i="31"/>
  <c r="M319" i="31"/>
  <c r="M318" i="31"/>
  <c r="M317" i="31"/>
  <c r="M316" i="31"/>
  <c r="M315" i="31"/>
  <c r="M314" i="31"/>
  <c r="M313" i="31"/>
  <c r="M312" i="31"/>
  <c r="M311" i="31"/>
  <c r="M310" i="31"/>
  <c r="M309" i="31"/>
  <c r="M308" i="31"/>
  <c r="M307" i="31"/>
  <c r="M306" i="31"/>
  <c r="M305" i="31"/>
  <c r="M304" i="31"/>
  <c r="M303" i="31"/>
  <c r="M302" i="31"/>
  <c r="M301" i="31"/>
  <c r="M300" i="31"/>
  <c r="M299" i="31"/>
  <c r="M298" i="31"/>
  <c r="M297" i="31"/>
  <c r="M296" i="31"/>
  <c r="M295" i="31"/>
  <c r="M294" i="31"/>
  <c r="M293" i="31"/>
  <c r="M292" i="31"/>
  <c r="M291" i="31"/>
  <c r="M290" i="31"/>
  <c r="M289" i="31"/>
  <c r="M288" i="31"/>
  <c r="M287" i="31"/>
  <c r="M286" i="31"/>
  <c r="M285" i="31"/>
  <c r="M284" i="31"/>
  <c r="M283" i="31"/>
  <c r="M282" i="31"/>
  <c r="M281" i="31"/>
  <c r="M280" i="31"/>
  <c r="M279" i="31"/>
  <c r="M278" i="31"/>
  <c r="M277" i="31"/>
  <c r="M276" i="31"/>
  <c r="M275" i="31"/>
  <c r="M274" i="31"/>
  <c r="M273" i="31"/>
  <c r="M272" i="31"/>
  <c r="M271" i="31"/>
  <c r="M270" i="31"/>
  <c r="M269" i="31"/>
  <c r="M268" i="31"/>
  <c r="M267" i="31"/>
  <c r="M266" i="31"/>
  <c r="M265" i="31"/>
  <c r="M264" i="31"/>
  <c r="M263" i="31"/>
  <c r="M262" i="31"/>
  <c r="M261" i="31"/>
  <c r="M260" i="31"/>
  <c r="M259" i="31"/>
  <c r="M258" i="31"/>
  <c r="M257" i="31"/>
  <c r="M256" i="31"/>
  <c r="M255" i="31"/>
  <c r="M254" i="31"/>
  <c r="M253" i="31"/>
  <c r="M252" i="31"/>
  <c r="M251" i="31"/>
  <c r="M250" i="31"/>
  <c r="M249" i="31"/>
  <c r="M248" i="31"/>
  <c r="M247" i="31"/>
  <c r="M246" i="31"/>
  <c r="M245" i="31"/>
  <c r="M244" i="31"/>
  <c r="M243" i="31"/>
  <c r="M242" i="31"/>
  <c r="M241" i="31"/>
  <c r="M240" i="31"/>
  <c r="M239" i="31"/>
  <c r="M238" i="31"/>
  <c r="M237" i="31"/>
  <c r="M236" i="31"/>
  <c r="M235" i="31"/>
  <c r="M234" i="31"/>
  <c r="M233" i="31"/>
  <c r="M232" i="31"/>
  <c r="M231" i="31"/>
  <c r="M230" i="31"/>
  <c r="M229" i="31"/>
  <c r="M228" i="31"/>
  <c r="M227" i="31"/>
  <c r="M226" i="31"/>
  <c r="M225" i="31"/>
  <c r="M224" i="31"/>
  <c r="M223" i="31"/>
  <c r="M222" i="31"/>
  <c r="M221" i="31"/>
  <c r="M220" i="31"/>
  <c r="M219" i="31"/>
  <c r="M218" i="31"/>
  <c r="M217" i="31"/>
  <c r="M216" i="31"/>
  <c r="M215" i="31"/>
  <c r="M214" i="31"/>
  <c r="M213" i="31"/>
  <c r="M212" i="31"/>
  <c r="M211" i="31"/>
  <c r="M210" i="31"/>
  <c r="M209" i="31"/>
  <c r="M208" i="31"/>
  <c r="M207" i="31"/>
  <c r="M206" i="31"/>
  <c r="M205" i="31"/>
  <c r="M204" i="31"/>
  <c r="M203" i="31"/>
  <c r="M202" i="31"/>
  <c r="M201" i="31"/>
  <c r="M200" i="31"/>
  <c r="M199" i="31"/>
  <c r="M198" i="31"/>
  <c r="M197" i="31"/>
  <c r="M196" i="31"/>
  <c r="M195" i="31"/>
  <c r="M194" i="31"/>
  <c r="M193" i="31"/>
  <c r="M192" i="31"/>
  <c r="M191" i="31"/>
  <c r="M190" i="31"/>
  <c r="M189" i="31"/>
  <c r="M188" i="31"/>
  <c r="M187" i="31"/>
  <c r="M186" i="31"/>
  <c r="M185" i="31"/>
  <c r="M184" i="31"/>
  <c r="M183" i="31"/>
  <c r="M182" i="31"/>
  <c r="M181" i="31"/>
  <c r="M180" i="31"/>
  <c r="M179" i="31"/>
  <c r="M178" i="31"/>
  <c r="M177" i="31"/>
  <c r="M176" i="31"/>
  <c r="M175" i="31"/>
  <c r="M174" i="31"/>
  <c r="M173" i="31"/>
  <c r="M172" i="31"/>
  <c r="M171" i="31"/>
  <c r="M170" i="31"/>
  <c r="M169" i="31"/>
  <c r="M168" i="31"/>
  <c r="M167" i="31"/>
  <c r="M166" i="31"/>
  <c r="M165" i="31"/>
  <c r="M164" i="31"/>
  <c r="M163" i="31"/>
  <c r="M162" i="31"/>
  <c r="M161" i="31"/>
  <c r="M160" i="31"/>
  <c r="M159" i="31"/>
  <c r="M158" i="31"/>
  <c r="M157" i="31"/>
  <c r="M156" i="31"/>
  <c r="M155" i="31"/>
  <c r="M154" i="31"/>
  <c r="M153" i="31"/>
  <c r="M152" i="31"/>
  <c r="M151" i="31"/>
  <c r="M150" i="31"/>
  <c r="M149" i="31"/>
  <c r="M148" i="31"/>
  <c r="M147" i="31"/>
  <c r="M146" i="31"/>
  <c r="M145" i="31"/>
  <c r="M144" i="31"/>
  <c r="M143" i="31"/>
  <c r="M142" i="31"/>
  <c r="M141" i="31"/>
  <c r="M140" i="31"/>
  <c r="M139" i="31"/>
  <c r="M138" i="31"/>
  <c r="M137" i="31"/>
  <c r="M136" i="31"/>
  <c r="M135" i="31"/>
  <c r="M134" i="31"/>
  <c r="M133" i="31"/>
  <c r="M132" i="31"/>
  <c r="M131" i="31"/>
  <c r="M130" i="31"/>
  <c r="M129" i="31"/>
  <c r="M128" i="31"/>
  <c r="M127" i="31"/>
  <c r="M126" i="31"/>
  <c r="M125" i="31"/>
  <c r="M124" i="31"/>
  <c r="M123" i="31"/>
  <c r="M122" i="31"/>
  <c r="M121" i="31"/>
  <c r="M120" i="31"/>
  <c r="M119" i="31"/>
  <c r="M118" i="31"/>
  <c r="M117" i="31"/>
  <c r="M116" i="31"/>
  <c r="M115" i="31"/>
  <c r="M114" i="31"/>
  <c r="M113" i="31"/>
  <c r="M112" i="31"/>
  <c r="M111" i="31"/>
  <c r="M110" i="31"/>
  <c r="M109" i="31"/>
  <c r="M108" i="31"/>
  <c r="M107" i="31"/>
  <c r="M106" i="31"/>
  <c r="M105" i="31"/>
  <c r="M104" i="31"/>
  <c r="M103" i="31"/>
  <c r="M102" i="31"/>
  <c r="M101" i="31"/>
  <c r="M100" i="31"/>
  <c r="M99" i="31"/>
  <c r="M98" i="31"/>
  <c r="M97" i="31"/>
  <c r="M96" i="31"/>
  <c r="M95" i="31"/>
  <c r="M94" i="31"/>
  <c r="M93" i="31"/>
  <c r="M92" i="31"/>
  <c r="M91" i="31"/>
  <c r="M90" i="31"/>
  <c r="M89" i="31"/>
  <c r="M88" i="31"/>
  <c r="M87" i="31"/>
  <c r="M86" i="31"/>
  <c r="M85" i="31"/>
  <c r="M84" i="31"/>
  <c r="M83" i="31"/>
  <c r="M82" i="31"/>
  <c r="M81" i="31"/>
  <c r="M80" i="31"/>
  <c r="M79" i="31"/>
  <c r="M78" i="31"/>
  <c r="M77" i="31"/>
  <c r="M76" i="31"/>
  <c r="M75" i="31"/>
  <c r="M74" i="31"/>
  <c r="M73" i="31"/>
  <c r="M72" i="31"/>
  <c r="M71" i="31"/>
  <c r="M70" i="31"/>
  <c r="M69" i="31"/>
  <c r="M68" i="31"/>
  <c r="M67" i="31"/>
  <c r="M66" i="31"/>
  <c r="M65" i="31"/>
  <c r="M64" i="31"/>
  <c r="M63" i="31"/>
  <c r="M62" i="31"/>
  <c r="M61" i="31"/>
  <c r="M60" i="31"/>
  <c r="M59" i="31"/>
  <c r="M58" i="31"/>
  <c r="M57" i="31"/>
  <c r="M56" i="31"/>
  <c r="M55" i="31"/>
  <c r="M54" i="31"/>
  <c r="M53" i="31"/>
  <c r="M52" i="31"/>
  <c r="M51" i="31"/>
  <c r="M50" i="31"/>
  <c r="M49" i="31"/>
  <c r="M48" i="31"/>
  <c r="M47" i="31"/>
  <c r="M46" i="31"/>
  <c r="M45" i="31"/>
  <c r="M44" i="31"/>
  <c r="M43" i="31"/>
  <c r="M42" i="31"/>
  <c r="M41" i="31"/>
  <c r="M40" i="31"/>
  <c r="M39" i="31"/>
  <c r="M38" i="31"/>
  <c r="M37" i="31"/>
  <c r="M36" i="31"/>
  <c r="M35" i="31"/>
  <c r="M34" i="31"/>
  <c r="M33" i="31"/>
  <c r="M32" i="31"/>
  <c r="M31" i="31"/>
  <c r="M30" i="31"/>
  <c r="M29" i="31"/>
  <c r="M28" i="31"/>
  <c r="M27" i="31"/>
  <c r="M26" i="31"/>
  <c r="M25" i="31"/>
  <c r="M24" i="31"/>
  <c r="M23" i="31"/>
  <c r="M22" i="31"/>
  <c r="M21" i="31"/>
  <c r="M20" i="31"/>
  <c r="M19" i="31"/>
  <c r="M18" i="31"/>
  <c r="M17" i="31"/>
  <c r="M16" i="31"/>
  <c r="M15" i="31"/>
  <c r="M14" i="31"/>
  <c r="M13" i="31"/>
  <c r="M12" i="31"/>
  <c r="M11" i="31"/>
  <c r="M10" i="31"/>
  <c r="M9" i="31"/>
  <c r="M8" i="31"/>
  <c r="M7" i="31"/>
  <c r="M6" i="31"/>
  <c r="M5" i="31"/>
  <c r="M4" i="31"/>
  <c r="M3" i="31"/>
  <c r="M2" i="31"/>
  <c r="K639" i="25"/>
  <c r="L639" i="25"/>
  <c r="N639" i="25"/>
  <c r="P77" i="43"/>
  <c r="R77" i="43"/>
  <c r="J77" i="43"/>
  <c r="L77" i="43"/>
  <c r="T77" i="43"/>
  <c r="X77" i="43"/>
  <c r="U77" i="43"/>
  <c r="Q77" i="43"/>
  <c r="S77" i="43"/>
  <c r="K77" i="43"/>
  <c r="N77" i="43"/>
  <c r="V77" i="43"/>
  <c r="P78" i="43"/>
  <c r="R78" i="43"/>
  <c r="J78" i="43"/>
  <c r="L78" i="43"/>
  <c r="T78" i="43"/>
  <c r="X78" i="43"/>
  <c r="U78" i="43"/>
  <c r="Q78" i="43"/>
  <c r="S78" i="43"/>
  <c r="K78" i="43"/>
  <c r="N78" i="43"/>
  <c r="V78" i="43"/>
  <c r="P79" i="43"/>
  <c r="R79" i="43"/>
  <c r="J79" i="43"/>
  <c r="L79" i="43"/>
  <c r="T79" i="43"/>
  <c r="X79" i="43"/>
  <c r="U79" i="43"/>
  <c r="Q79" i="43"/>
  <c r="S79" i="43"/>
  <c r="K79" i="43"/>
  <c r="N79" i="43"/>
  <c r="V79" i="43"/>
  <c r="P80" i="43"/>
  <c r="R80" i="43"/>
  <c r="J80" i="43"/>
  <c r="L80" i="43"/>
  <c r="T80" i="43"/>
  <c r="X80" i="43"/>
  <c r="U80" i="43"/>
  <c r="Q80" i="43"/>
  <c r="S80" i="43"/>
  <c r="K80" i="43"/>
  <c r="N80" i="43"/>
  <c r="V80" i="43"/>
  <c r="P81" i="43"/>
  <c r="R81" i="43"/>
  <c r="J81" i="43"/>
  <c r="L81" i="43"/>
  <c r="T81" i="43"/>
  <c r="X81" i="43"/>
  <c r="U81" i="43"/>
  <c r="Q81" i="43"/>
  <c r="S81" i="43"/>
  <c r="K81" i="43"/>
  <c r="N81" i="43"/>
  <c r="V81" i="43"/>
  <c r="P82" i="43"/>
  <c r="R82" i="43"/>
  <c r="J82" i="43"/>
  <c r="L82" i="43"/>
  <c r="T82" i="43"/>
  <c r="X82" i="43"/>
  <c r="U82" i="43"/>
  <c r="Q82" i="43"/>
  <c r="S82" i="43"/>
  <c r="K82" i="43"/>
  <c r="N82" i="43"/>
  <c r="V82" i="43"/>
  <c r="P83" i="43"/>
  <c r="R83" i="43"/>
  <c r="J83" i="43"/>
  <c r="L83" i="43"/>
  <c r="T83" i="43"/>
  <c r="X83" i="43"/>
  <c r="U83" i="43"/>
  <c r="Q83" i="43"/>
  <c r="S83" i="43"/>
  <c r="K83" i="43"/>
  <c r="N83" i="43"/>
  <c r="V83" i="43"/>
  <c r="P84" i="43"/>
  <c r="R84" i="43"/>
  <c r="J84" i="43"/>
  <c r="L84" i="43"/>
  <c r="T84" i="43"/>
  <c r="X84" i="43"/>
  <c r="U84" i="43"/>
  <c r="Q84" i="43"/>
  <c r="S84" i="43"/>
  <c r="K84" i="43"/>
  <c r="N84" i="43"/>
  <c r="V84" i="43"/>
  <c r="P85" i="43"/>
  <c r="R85" i="43"/>
  <c r="J85" i="43"/>
  <c r="L85" i="43"/>
  <c r="T85" i="43"/>
  <c r="X85" i="43"/>
  <c r="U85" i="43"/>
  <c r="Q85" i="43"/>
  <c r="S85" i="43"/>
  <c r="K85" i="43"/>
  <c r="N85" i="43"/>
  <c r="V85" i="43"/>
  <c r="P86" i="43"/>
  <c r="R86" i="43"/>
  <c r="J86" i="43"/>
  <c r="L86" i="43"/>
  <c r="T86" i="43"/>
  <c r="X86" i="43"/>
  <c r="U86" i="43"/>
  <c r="Q86" i="43"/>
  <c r="S86" i="43"/>
  <c r="K86" i="43"/>
  <c r="N86" i="43"/>
  <c r="V86" i="43"/>
  <c r="P87" i="43"/>
  <c r="R87" i="43"/>
  <c r="J87" i="43"/>
  <c r="L87" i="43"/>
  <c r="T87" i="43"/>
  <c r="X87" i="43"/>
  <c r="U87" i="43"/>
  <c r="Q87" i="43"/>
  <c r="S87" i="43"/>
  <c r="K87" i="43"/>
  <c r="N87" i="43"/>
  <c r="V87" i="43"/>
  <c r="P88" i="43"/>
  <c r="R88" i="43"/>
  <c r="J88" i="43"/>
  <c r="L88" i="43"/>
  <c r="T88" i="43"/>
  <c r="X88" i="43"/>
  <c r="U88" i="43"/>
  <c r="Q88" i="43"/>
  <c r="S88" i="43"/>
  <c r="K88" i="43"/>
  <c r="N88" i="43"/>
  <c r="V88" i="43"/>
  <c r="P89" i="43"/>
  <c r="R89" i="43"/>
  <c r="J89" i="43"/>
  <c r="L89" i="43"/>
  <c r="T89" i="43"/>
  <c r="X89" i="43"/>
  <c r="U89" i="43"/>
  <c r="Q89" i="43"/>
  <c r="S89" i="43"/>
  <c r="K89" i="43"/>
  <c r="N89" i="43"/>
  <c r="V89" i="43"/>
  <c r="P90" i="43"/>
  <c r="R90" i="43"/>
  <c r="J90" i="43"/>
  <c r="L90" i="43"/>
  <c r="T90" i="43"/>
  <c r="X90" i="43"/>
  <c r="U90" i="43"/>
  <c r="Q90" i="43"/>
  <c r="S90" i="43"/>
  <c r="K90" i="43"/>
  <c r="N90" i="43"/>
  <c r="V90" i="43"/>
  <c r="P91" i="43"/>
  <c r="R91" i="43"/>
  <c r="J91" i="43"/>
  <c r="L91" i="43"/>
  <c r="T91" i="43"/>
  <c r="X91" i="43"/>
  <c r="U91" i="43"/>
  <c r="Q91" i="43"/>
  <c r="S91" i="43"/>
  <c r="K91" i="43"/>
  <c r="N91" i="43"/>
  <c r="V91" i="43"/>
  <c r="P92" i="43"/>
  <c r="R92" i="43"/>
  <c r="J92" i="43"/>
  <c r="L92" i="43"/>
  <c r="T92" i="43"/>
  <c r="X92" i="43"/>
  <c r="U92" i="43"/>
  <c r="Q92" i="43"/>
  <c r="S92" i="43"/>
  <c r="K92" i="43"/>
  <c r="N92" i="43"/>
  <c r="V92" i="43"/>
  <c r="P93" i="43"/>
  <c r="R93" i="43"/>
  <c r="J93" i="43"/>
  <c r="L93" i="43"/>
  <c r="T93" i="43"/>
  <c r="X93" i="43"/>
  <c r="U93" i="43"/>
  <c r="Q93" i="43"/>
  <c r="S93" i="43"/>
  <c r="K93" i="43"/>
  <c r="N93" i="43"/>
  <c r="V93" i="43"/>
  <c r="P94" i="43"/>
  <c r="R94" i="43"/>
  <c r="J94" i="43"/>
  <c r="L94" i="43"/>
  <c r="T94" i="43"/>
  <c r="X94" i="43"/>
  <c r="U94" i="43"/>
  <c r="Q94" i="43"/>
  <c r="S94" i="43"/>
  <c r="K94" i="43"/>
  <c r="N94" i="43"/>
  <c r="V94" i="43"/>
  <c r="P95" i="43"/>
  <c r="R95" i="43"/>
  <c r="J95" i="43"/>
  <c r="L95" i="43"/>
  <c r="T95" i="43"/>
  <c r="X95" i="43"/>
  <c r="U95" i="43"/>
  <c r="Q95" i="43"/>
  <c r="S95" i="43"/>
  <c r="K95" i="43"/>
  <c r="N95" i="43"/>
  <c r="V95" i="43"/>
  <c r="P96" i="43"/>
  <c r="R96" i="43"/>
  <c r="J96" i="43"/>
  <c r="L96" i="43"/>
  <c r="T96" i="43"/>
  <c r="X96" i="43"/>
  <c r="U96" i="43"/>
  <c r="Q96" i="43"/>
  <c r="S96" i="43"/>
  <c r="K96" i="43"/>
  <c r="N96" i="43"/>
  <c r="V96" i="43"/>
  <c r="P97" i="43"/>
  <c r="R97" i="43"/>
  <c r="J97" i="43"/>
  <c r="L97" i="43"/>
  <c r="T97" i="43"/>
  <c r="X97" i="43"/>
  <c r="U97" i="43"/>
  <c r="Q97" i="43"/>
  <c r="S97" i="43"/>
  <c r="K97" i="43"/>
  <c r="N97" i="43"/>
  <c r="V97" i="43"/>
  <c r="P98" i="43"/>
  <c r="R98" i="43"/>
  <c r="J98" i="43"/>
  <c r="L98" i="43"/>
  <c r="T98" i="43"/>
  <c r="X98" i="43"/>
  <c r="U98" i="43"/>
  <c r="Q98" i="43"/>
  <c r="S98" i="43"/>
  <c r="K98" i="43"/>
  <c r="N98" i="43"/>
  <c r="V98" i="43"/>
  <c r="P99" i="43"/>
  <c r="R99" i="43"/>
  <c r="J99" i="43"/>
  <c r="L99" i="43"/>
  <c r="T99" i="43"/>
  <c r="X99" i="43"/>
  <c r="U99" i="43"/>
  <c r="Q99" i="43"/>
  <c r="S99" i="43"/>
  <c r="K99" i="43"/>
  <c r="N99" i="43"/>
  <c r="V99" i="43"/>
  <c r="P100" i="43"/>
  <c r="R100" i="43"/>
  <c r="J100" i="43"/>
  <c r="L100" i="43"/>
  <c r="T100" i="43"/>
  <c r="X100" i="43"/>
  <c r="U100" i="43"/>
  <c r="Q100" i="43"/>
  <c r="S100" i="43"/>
  <c r="K100" i="43"/>
  <c r="N100" i="43"/>
  <c r="V100" i="43"/>
  <c r="P101" i="43"/>
  <c r="R101" i="43"/>
  <c r="J101" i="43"/>
  <c r="L101" i="43"/>
  <c r="T101" i="43"/>
  <c r="X101" i="43"/>
  <c r="U101" i="43"/>
  <c r="Q101" i="43"/>
  <c r="S101" i="43"/>
  <c r="K101" i="43"/>
  <c r="N101" i="43"/>
  <c r="V101" i="43"/>
  <c r="P102" i="43"/>
  <c r="R102" i="43"/>
  <c r="J102" i="43"/>
  <c r="L102" i="43"/>
  <c r="T102" i="43"/>
  <c r="X102" i="43"/>
  <c r="U102" i="43"/>
  <c r="Q102" i="43"/>
  <c r="S102" i="43"/>
  <c r="K102" i="43"/>
  <c r="N102" i="43"/>
  <c r="V102" i="43"/>
  <c r="P103" i="43"/>
  <c r="R103" i="43"/>
  <c r="J103" i="43"/>
  <c r="L103" i="43"/>
  <c r="T103" i="43"/>
  <c r="X103" i="43"/>
  <c r="U103" i="43"/>
  <c r="Q103" i="43"/>
  <c r="S103" i="43"/>
  <c r="K103" i="43"/>
  <c r="N103" i="43"/>
  <c r="V103" i="43"/>
  <c r="P104" i="43"/>
  <c r="R104" i="43"/>
  <c r="J104" i="43"/>
  <c r="L104" i="43"/>
  <c r="T104" i="43"/>
  <c r="X104" i="43"/>
  <c r="U104" i="43"/>
  <c r="Q104" i="43"/>
  <c r="S104" i="43"/>
  <c r="K104" i="43"/>
  <c r="N104" i="43"/>
  <c r="V104" i="43"/>
  <c r="P105" i="43"/>
  <c r="R105" i="43"/>
  <c r="J105" i="43"/>
  <c r="L105" i="43"/>
  <c r="T105" i="43"/>
  <c r="X105" i="43"/>
  <c r="U105" i="43"/>
  <c r="Q105" i="43"/>
  <c r="S105" i="43"/>
  <c r="K105" i="43"/>
  <c r="N105" i="43"/>
  <c r="V105" i="43"/>
  <c r="P106" i="43"/>
  <c r="R106" i="43"/>
  <c r="J106" i="43"/>
  <c r="L106" i="43"/>
  <c r="T106" i="43"/>
  <c r="X106" i="43"/>
  <c r="U106" i="43"/>
  <c r="Q106" i="43"/>
  <c r="S106" i="43"/>
  <c r="K106" i="43"/>
  <c r="N106" i="43"/>
  <c r="V106" i="43"/>
  <c r="P107" i="43"/>
  <c r="R107" i="43"/>
  <c r="J107" i="43"/>
  <c r="L107" i="43"/>
  <c r="T107" i="43"/>
  <c r="X107" i="43"/>
  <c r="U107" i="43"/>
  <c r="Q107" i="43"/>
  <c r="S107" i="43"/>
  <c r="K107" i="43"/>
  <c r="N107" i="43"/>
  <c r="V107" i="43"/>
  <c r="P108" i="43"/>
  <c r="R108" i="43"/>
  <c r="J108" i="43"/>
  <c r="L108" i="43"/>
  <c r="T108" i="43"/>
  <c r="X108" i="43"/>
  <c r="U108" i="43"/>
  <c r="Q108" i="43"/>
  <c r="S108" i="43"/>
  <c r="K108" i="43"/>
  <c r="N108" i="43"/>
  <c r="V108" i="43"/>
  <c r="P109" i="43"/>
  <c r="R109" i="43"/>
  <c r="J109" i="43"/>
  <c r="L109" i="43"/>
  <c r="T109" i="43"/>
  <c r="X109" i="43"/>
  <c r="U109" i="43"/>
  <c r="Q109" i="43"/>
  <c r="S109" i="43"/>
  <c r="K109" i="43"/>
  <c r="N109" i="43"/>
  <c r="V109" i="43"/>
  <c r="P110" i="43"/>
  <c r="R110" i="43"/>
  <c r="J110" i="43"/>
  <c r="L110" i="43"/>
  <c r="T110" i="43"/>
  <c r="X110" i="43"/>
  <c r="U110" i="43"/>
  <c r="Q110" i="43"/>
  <c r="S110" i="43"/>
  <c r="K110" i="43"/>
  <c r="N110" i="43"/>
  <c r="V110" i="43"/>
  <c r="P111" i="43"/>
  <c r="R111" i="43"/>
  <c r="J111" i="43"/>
  <c r="L111" i="43"/>
  <c r="T111" i="43"/>
  <c r="X111" i="43"/>
  <c r="U111" i="43"/>
  <c r="Q111" i="43"/>
  <c r="S111" i="43"/>
  <c r="K111" i="43"/>
  <c r="N111" i="43"/>
  <c r="V111" i="43"/>
  <c r="P112" i="43"/>
  <c r="R112" i="43"/>
  <c r="J112" i="43"/>
  <c r="L112" i="43"/>
  <c r="T112" i="43"/>
  <c r="X112" i="43"/>
  <c r="U112" i="43"/>
  <c r="Q112" i="43"/>
  <c r="S112" i="43"/>
  <c r="K112" i="43"/>
  <c r="N112" i="43"/>
  <c r="V112" i="43"/>
  <c r="P113" i="43"/>
  <c r="R113" i="43"/>
  <c r="J113" i="43"/>
  <c r="L113" i="43"/>
  <c r="T113" i="43"/>
  <c r="X113" i="43"/>
  <c r="U113" i="43"/>
  <c r="Q113" i="43"/>
  <c r="S113" i="43"/>
  <c r="K113" i="43"/>
  <c r="N113" i="43"/>
  <c r="V113" i="43"/>
  <c r="P114" i="43"/>
  <c r="R114" i="43"/>
  <c r="J114" i="43"/>
  <c r="L114" i="43"/>
  <c r="T114" i="43"/>
  <c r="X114" i="43"/>
  <c r="U114" i="43"/>
  <c r="Q114" i="43"/>
  <c r="S114" i="43"/>
  <c r="K114" i="43"/>
  <c r="N114" i="43"/>
  <c r="V114" i="43"/>
  <c r="P115" i="43"/>
  <c r="R115" i="43"/>
  <c r="J115" i="43"/>
  <c r="L115" i="43"/>
  <c r="T115" i="43"/>
  <c r="X115" i="43"/>
  <c r="U115" i="43"/>
  <c r="Q115" i="43"/>
  <c r="S115" i="43"/>
  <c r="K115" i="43"/>
  <c r="N115" i="43"/>
  <c r="V115" i="43"/>
  <c r="P116" i="43"/>
  <c r="R116" i="43"/>
  <c r="J116" i="43"/>
  <c r="L116" i="43"/>
  <c r="T116" i="43"/>
  <c r="X116" i="43"/>
  <c r="U116" i="43"/>
  <c r="Q116" i="43"/>
  <c r="S116" i="43"/>
  <c r="K116" i="43"/>
  <c r="N116" i="43"/>
  <c r="V116" i="43"/>
  <c r="P117" i="43"/>
  <c r="R117" i="43"/>
  <c r="J117" i="43"/>
  <c r="L117" i="43"/>
  <c r="T117" i="43"/>
  <c r="X117" i="43"/>
  <c r="U117" i="43"/>
  <c r="Q117" i="43"/>
  <c r="S117" i="43"/>
  <c r="K117" i="43"/>
  <c r="N117" i="43"/>
  <c r="V117" i="43"/>
  <c r="P118" i="43"/>
  <c r="R118" i="43"/>
  <c r="J118" i="43"/>
  <c r="L118" i="43"/>
  <c r="T118" i="43"/>
  <c r="X118" i="43"/>
  <c r="U118" i="43"/>
  <c r="Q118" i="43"/>
  <c r="S118" i="43"/>
  <c r="K118" i="43"/>
  <c r="N118" i="43"/>
  <c r="V118" i="43"/>
  <c r="P119" i="43"/>
  <c r="R119" i="43"/>
  <c r="J119" i="43"/>
  <c r="L119" i="43"/>
  <c r="T119" i="43"/>
  <c r="X119" i="43"/>
  <c r="U119" i="43"/>
  <c r="Q119" i="43"/>
  <c r="S119" i="43"/>
  <c r="K119" i="43"/>
  <c r="N119" i="43"/>
  <c r="V119" i="43"/>
  <c r="P120" i="43"/>
  <c r="R120" i="43"/>
  <c r="J120" i="43"/>
  <c r="L120" i="43"/>
  <c r="T120" i="43"/>
  <c r="X120" i="43"/>
  <c r="U120" i="43"/>
  <c r="Q120" i="43"/>
  <c r="S120" i="43"/>
  <c r="K120" i="43"/>
  <c r="N120" i="43"/>
  <c r="V120" i="43"/>
  <c r="P121" i="43"/>
  <c r="R121" i="43"/>
  <c r="J121" i="43"/>
  <c r="L121" i="43"/>
  <c r="T121" i="43"/>
  <c r="X121" i="43"/>
  <c r="U121" i="43"/>
  <c r="Q121" i="43"/>
  <c r="S121" i="43"/>
  <c r="K121" i="43"/>
  <c r="N121" i="43"/>
  <c r="V121" i="43"/>
  <c r="P122" i="43"/>
  <c r="R122" i="43"/>
  <c r="J122" i="43"/>
  <c r="L122" i="43"/>
  <c r="T122" i="43"/>
  <c r="X122" i="43"/>
  <c r="U122" i="43"/>
  <c r="Q122" i="43"/>
  <c r="S122" i="43"/>
  <c r="K122" i="43"/>
  <c r="N122" i="43"/>
  <c r="V122" i="43"/>
  <c r="P123" i="43"/>
  <c r="R123" i="43"/>
  <c r="J123" i="43"/>
  <c r="L123" i="43"/>
  <c r="T123" i="43"/>
  <c r="X123" i="43"/>
  <c r="U123" i="43"/>
  <c r="Q123" i="43"/>
  <c r="S123" i="43"/>
  <c r="K123" i="43"/>
  <c r="N123" i="43"/>
  <c r="V123" i="43"/>
  <c r="P124" i="43"/>
  <c r="R124" i="43"/>
  <c r="J124" i="43"/>
  <c r="L124" i="43"/>
  <c r="T124" i="43"/>
  <c r="X124" i="43"/>
  <c r="U124" i="43"/>
  <c r="Q124" i="43"/>
  <c r="S124" i="43"/>
  <c r="K124" i="43"/>
  <c r="N124" i="43"/>
  <c r="V124" i="43"/>
  <c r="P125" i="43"/>
  <c r="R125" i="43"/>
  <c r="J125" i="43"/>
  <c r="L125" i="43"/>
  <c r="T125" i="43"/>
  <c r="X125" i="43"/>
  <c r="U125" i="43"/>
  <c r="Q125" i="43"/>
  <c r="S125" i="43"/>
  <c r="K125" i="43"/>
  <c r="N125" i="43"/>
  <c r="V125" i="43"/>
  <c r="P126" i="43"/>
  <c r="R126" i="43"/>
  <c r="J126" i="43"/>
  <c r="L126" i="43"/>
  <c r="T126" i="43"/>
  <c r="X126" i="43"/>
  <c r="U126" i="43"/>
  <c r="Q126" i="43"/>
  <c r="S126" i="43"/>
  <c r="K126" i="43"/>
  <c r="N126" i="43"/>
  <c r="V126" i="43"/>
  <c r="P127" i="43"/>
  <c r="R127" i="43"/>
  <c r="J127" i="43"/>
  <c r="L127" i="43"/>
  <c r="T127" i="43"/>
  <c r="X127" i="43"/>
  <c r="U127" i="43"/>
  <c r="Q127" i="43"/>
  <c r="S127" i="43"/>
  <c r="K127" i="43"/>
  <c r="N127" i="43"/>
  <c r="V127" i="43"/>
  <c r="P128" i="43"/>
  <c r="R128" i="43"/>
  <c r="J128" i="43"/>
  <c r="L128" i="43"/>
  <c r="T128" i="43"/>
  <c r="X128" i="43"/>
  <c r="U128" i="43"/>
  <c r="Q128" i="43"/>
  <c r="S128" i="43"/>
  <c r="K128" i="43"/>
  <c r="N128" i="43"/>
  <c r="V128" i="43"/>
  <c r="P129" i="43"/>
  <c r="R129" i="43"/>
  <c r="J129" i="43"/>
  <c r="L129" i="43"/>
  <c r="T129" i="43"/>
  <c r="X129" i="43"/>
  <c r="U129" i="43"/>
  <c r="Q129" i="43"/>
  <c r="S129" i="43"/>
  <c r="K129" i="43"/>
  <c r="N129" i="43"/>
  <c r="V129" i="43"/>
  <c r="P130" i="43"/>
  <c r="R130" i="43"/>
  <c r="J130" i="43"/>
  <c r="L130" i="43"/>
  <c r="T130" i="43"/>
  <c r="X130" i="43"/>
  <c r="U130" i="43"/>
  <c r="Q130" i="43"/>
  <c r="S130" i="43"/>
  <c r="K130" i="43"/>
  <c r="N130" i="43"/>
  <c r="V130" i="43"/>
  <c r="P131" i="43"/>
  <c r="R131" i="43"/>
  <c r="J131" i="43"/>
  <c r="L131" i="43"/>
  <c r="T131" i="43"/>
  <c r="X131" i="43"/>
  <c r="U131" i="43"/>
  <c r="Q131" i="43"/>
  <c r="S131" i="43"/>
  <c r="K131" i="43"/>
  <c r="N131" i="43"/>
  <c r="V131" i="43"/>
  <c r="H132" i="43"/>
  <c r="P132" i="43"/>
  <c r="R132" i="43"/>
  <c r="J132" i="43"/>
  <c r="L132" i="43"/>
  <c r="T132" i="43"/>
  <c r="X132" i="43"/>
  <c r="U132" i="43"/>
  <c r="Q132" i="43"/>
  <c r="S132" i="43"/>
  <c r="K132" i="43"/>
  <c r="N132" i="43"/>
  <c r="V132" i="43"/>
  <c r="P133" i="43"/>
  <c r="R133" i="43"/>
  <c r="J133" i="43"/>
  <c r="L133" i="43"/>
  <c r="T133" i="43"/>
  <c r="X133" i="43"/>
  <c r="U133" i="43"/>
  <c r="Q133" i="43"/>
  <c r="S133" i="43"/>
  <c r="K133" i="43"/>
  <c r="N133" i="43"/>
  <c r="V133" i="43"/>
  <c r="P134" i="43"/>
  <c r="R134" i="43"/>
  <c r="J134" i="43"/>
  <c r="L134" i="43"/>
  <c r="T134" i="43"/>
  <c r="X134" i="43"/>
  <c r="U134" i="43"/>
  <c r="Q134" i="43"/>
  <c r="S134" i="43"/>
  <c r="K134" i="43"/>
  <c r="N134" i="43"/>
  <c r="V134" i="43"/>
  <c r="P135" i="43"/>
  <c r="R135" i="43"/>
  <c r="J135" i="43"/>
  <c r="L135" i="43"/>
  <c r="T135" i="43"/>
  <c r="X135" i="43"/>
  <c r="U135" i="43"/>
  <c r="Q135" i="43"/>
  <c r="S135" i="43"/>
  <c r="K135" i="43"/>
  <c r="N135" i="43"/>
  <c r="V135" i="43"/>
  <c r="P136" i="43"/>
  <c r="R136" i="43"/>
  <c r="J136" i="43"/>
  <c r="L136" i="43"/>
  <c r="T136" i="43"/>
  <c r="X136" i="43"/>
  <c r="U136" i="43"/>
  <c r="Q136" i="43"/>
  <c r="S136" i="43"/>
  <c r="K136" i="43"/>
  <c r="N136" i="43"/>
  <c r="V136" i="43"/>
  <c r="P137" i="43"/>
  <c r="R137" i="43"/>
  <c r="J137" i="43"/>
  <c r="L137" i="43"/>
  <c r="T137" i="43"/>
  <c r="X137" i="43"/>
  <c r="U137" i="43"/>
  <c r="C437" i="11"/>
  <c r="Q137" i="43"/>
  <c r="S137" i="43"/>
  <c r="K137" i="43"/>
  <c r="N137" i="43"/>
  <c r="V137" i="43"/>
  <c r="P138" i="43"/>
  <c r="R138" i="43"/>
  <c r="J138" i="43"/>
  <c r="L138" i="43"/>
  <c r="T138" i="43"/>
  <c r="X138" i="43"/>
  <c r="U138" i="43"/>
  <c r="Q138" i="43"/>
  <c r="S138" i="43"/>
  <c r="K138" i="43"/>
  <c r="N138" i="43"/>
  <c r="V138" i="43"/>
  <c r="P139" i="43"/>
  <c r="R139" i="43"/>
  <c r="J139" i="43"/>
  <c r="L139" i="43"/>
  <c r="T139" i="43"/>
  <c r="X139" i="43"/>
  <c r="U139" i="43"/>
  <c r="Q139" i="43"/>
  <c r="S139" i="43"/>
  <c r="K139" i="43"/>
  <c r="N139" i="43"/>
  <c r="V139" i="43"/>
  <c r="P140" i="43"/>
  <c r="R140" i="43"/>
  <c r="J140" i="43"/>
  <c r="L140" i="43"/>
  <c r="T140" i="43"/>
  <c r="X140" i="43"/>
  <c r="U140" i="43"/>
  <c r="Q140" i="43"/>
  <c r="S140" i="43"/>
  <c r="K140" i="43"/>
  <c r="N140" i="43"/>
  <c r="V140" i="43"/>
  <c r="P141" i="43"/>
  <c r="R141" i="43"/>
  <c r="J141" i="43"/>
  <c r="L141" i="43"/>
  <c r="T141" i="43"/>
  <c r="X141" i="43"/>
  <c r="U141" i="43"/>
  <c r="Q141" i="43"/>
  <c r="S141" i="43"/>
  <c r="K141" i="43"/>
  <c r="N141" i="43"/>
  <c r="V141" i="43"/>
  <c r="P142" i="43"/>
  <c r="R142" i="43"/>
  <c r="J142" i="43"/>
  <c r="L142" i="43"/>
  <c r="T142" i="43"/>
  <c r="X142" i="43"/>
  <c r="U142" i="43"/>
  <c r="Q142" i="43"/>
  <c r="S142" i="43"/>
  <c r="K142" i="43"/>
  <c r="N142" i="43"/>
  <c r="V142" i="43"/>
  <c r="P143" i="43"/>
  <c r="R143" i="43"/>
  <c r="J143" i="43"/>
  <c r="L143" i="43"/>
  <c r="T143" i="43"/>
  <c r="X143" i="43"/>
  <c r="U143" i="43"/>
  <c r="Q143" i="43"/>
  <c r="S143" i="43"/>
  <c r="K143" i="43"/>
  <c r="N143" i="43"/>
  <c r="V143" i="43"/>
  <c r="P144" i="43"/>
  <c r="R144" i="43"/>
  <c r="J144" i="43"/>
  <c r="L144" i="43"/>
  <c r="T144" i="43"/>
  <c r="X144" i="43"/>
  <c r="U144" i="43"/>
  <c r="Q144" i="43"/>
  <c r="S144" i="43"/>
  <c r="K144" i="43"/>
  <c r="N144" i="43"/>
  <c r="V144" i="43"/>
  <c r="P145" i="43"/>
  <c r="R145" i="43"/>
  <c r="J145" i="43"/>
  <c r="L145" i="43"/>
  <c r="T145" i="43"/>
  <c r="X145" i="43"/>
  <c r="U145" i="43"/>
  <c r="Q145" i="43"/>
  <c r="S145" i="43"/>
  <c r="K145" i="43"/>
  <c r="N145" i="43"/>
  <c r="V145" i="43"/>
  <c r="P146" i="43"/>
  <c r="R146" i="43"/>
  <c r="J146" i="43"/>
  <c r="L146" i="43"/>
  <c r="T146" i="43"/>
  <c r="X146" i="43"/>
  <c r="U146" i="43"/>
  <c r="Q146" i="43"/>
  <c r="S146" i="43"/>
  <c r="K146" i="43"/>
  <c r="N146" i="43"/>
  <c r="V146" i="43"/>
  <c r="P147" i="43"/>
  <c r="R147" i="43"/>
  <c r="J147" i="43"/>
  <c r="L147" i="43"/>
  <c r="T147" i="43"/>
  <c r="X147" i="43"/>
  <c r="U147" i="43"/>
  <c r="Q147" i="43"/>
  <c r="S147" i="43"/>
  <c r="K147" i="43"/>
  <c r="N147" i="43"/>
  <c r="V147" i="43"/>
  <c r="P148" i="43"/>
  <c r="R148" i="43"/>
  <c r="J148" i="43"/>
  <c r="L148" i="43"/>
  <c r="T148" i="43"/>
  <c r="X148" i="43"/>
  <c r="U148" i="43"/>
  <c r="Q148" i="43"/>
  <c r="S148" i="43"/>
  <c r="K148" i="43"/>
  <c r="N148" i="43"/>
  <c r="V148" i="43"/>
  <c r="P149" i="43"/>
  <c r="R149" i="43"/>
  <c r="J149" i="43"/>
  <c r="L149" i="43"/>
  <c r="T149" i="43"/>
  <c r="X149" i="43"/>
  <c r="U149" i="43"/>
  <c r="Q149" i="43"/>
  <c r="S149" i="43"/>
  <c r="K149" i="43"/>
  <c r="N149" i="43"/>
  <c r="V149" i="43"/>
  <c r="P150" i="43"/>
  <c r="R150" i="43"/>
  <c r="J150" i="43"/>
  <c r="L150" i="43"/>
  <c r="T150" i="43"/>
  <c r="X150" i="43"/>
  <c r="U150" i="43"/>
  <c r="Q150" i="43"/>
  <c r="S150" i="43"/>
  <c r="K150" i="43"/>
  <c r="N150" i="43"/>
  <c r="V150" i="43"/>
  <c r="P151" i="43"/>
  <c r="R151" i="43"/>
  <c r="J151" i="43"/>
  <c r="L151" i="43"/>
  <c r="T151" i="43"/>
  <c r="X151" i="43"/>
  <c r="U151" i="43"/>
  <c r="Q151" i="43"/>
  <c r="S151" i="43"/>
  <c r="K151" i="43"/>
  <c r="N151" i="43"/>
  <c r="V151" i="43"/>
  <c r="P152" i="43"/>
  <c r="R152" i="43"/>
  <c r="J152" i="43"/>
  <c r="L152" i="43"/>
  <c r="T152" i="43"/>
  <c r="X152" i="43"/>
  <c r="U152" i="43"/>
  <c r="Q152" i="43"/>
  <c r="S152" i="43"/>
  <c r="K152" i="43"/>
  <c r="N152" i="43"/>
  <c r="V152" i="43"/>
  <c r="P153" i="43"/>
  <c r="R153" i="43"/>
  <c r="J153" i="43"/>
  <c r="L153" i="43"/>
  <c r="T153" i="43"/>
  <c r="X153" i="43"/>
  <c r="U153" i="43"/>
  <c r="Q153" i="43"/>
  <c r="S153" i="43"/>
  <c r="K153" i="43"/>
  <c r="N153" i="43"/>
  <c r="V153" i="43"/>
  <c r="P154" i="43"/>
  <c r="R154" i="43"/>
  <c r="J154" i="43"/>
  <c r="L154" i="43"/>
  <c r="T154" i="43"/>
  <c r="X154" i="43"/>
  <c r="U154" i="43"/>
  <c r="Q154" i="43"/>
  <c r="S154" i="43"/>
  <c r="K154" i="43"/>
  <c r="N154" i="43"/>
  <c r="V154" i="43"/>
  <c r="P155" i="43"/>
  <c r="R155" i="43"/>
  <c r="J155" i="43"/>
  <c r="L155" i="43"/>
  <c r="T155" i="43"/>
  <c r="X155" i="43"/>
  <c r="U155" i="43"/>
  <c r="Q155" i="43"/>
  <c r="S155" i="43"/>
  <c r="K155" i="43"/>
  <c r="N155" i="43"/>
  <c r="V155" i="43"/>
  <c r="P156" i="43"/>
  <c r="R156" i="43"/>
  <c r="J156" i="43"/>
  <c r="L156" i="43"/>
  <c r="T156" i="43"/>
  <c r="X156" i="43"/>
  <c r="U156" i="43"/>
  <c r="Q156" i="43"/>
  <c r="S156" i="43"/>
  <c r="K156" i="43"/>
  <c r="N156" i="43"/>
  <c r="V156" i="43"/>
  <c r="P157" i="43"/>
  <c r="R157" i="43"/>
  <c r="J157" i="43"/>
  <c r="L157" i="43"/>
  <c r="T157" i="43"/>
  <c r="X157" i="43"/>
  <c r="U157" i="43"/>
  <c r="Q157" i="43"/>
  <c r="S157" i="43"/>
  <c r="K157" i="43"/>
  <c r="N157" i="43"/>
  <c r="V157" i="43"/>
  <c r="P158" i="43"/>
  <c r="R158" i="43"/>
  <c r="J158" i="43"/>
  <c r="L158" i="43"/>
  <c r="T158" i="43"/>
  <c r="X158" i="43"/>
  <c r="U158" i="43"/>
  <c r="Q158" i="43"/>
  <c r="S158" i="43"/>
  <c r="K158" i="43"/>
  <c r="N158" i="43"/>
  <c r="V158" i="43"/>
  <c r="P159" i="43"/>
  <c r="R159" i="43"/>
  <c r="J159" i="43"/>
  <c r="L159" i="43"/>
  <c r="T159" i="43"/>
  <c r="X159" i="43"/>
  <c r="U159" i="43"/>
  <c r="Q159" i="43"/>
  <c r="S159" i="43"/>
  <c r="K159" i="43"/>
  <c r="N159" i="43"/>
  <c r="V159" i="43"/>
  <c r="P160" i="43"/>
  <c r="R160" i="43"/>
  <c r="J160" i="43"/>
  <c r="L160" i="43"/>
  <c r="T160" i="43"/>
  <c r="X160" i="43"/>
  <c r="U160" i="43"/>
  <c r="Q160" i="43"/>
  <c r="S160" i="43"/>
  <c r="K160" i="43"/>
  <c r="N160" i="43"/>
  <c r="V160" i="43"/>
  <c r="P161" i="43"/>
  <c r="R161" i="43"/>
  <c r="J161" i="43"/>
  <c r="L161" i="43"/>
  <c r="T161" i="43"/>
  <c r="X161" i="43"/>
  <c r="U161" i="43"/>
  <c r="Q161" i="43"/>
  <c r="S161" i="43"/>
  <c r="K161" i="43"/>
  <c r="N161" i="43"/>
  <c r="V161" i="43"/>
  <c r="P162" i="43"/>
  <c r="R162" i="43"/>
  <c r="J162" i="43"/>
  <c r="L162" i="43"/>
  <c r="T162" i="43"/>
  <c r="X162" i="43"/>
  <c r="U162" i="43"/>
  <c r="Q162" i="43"/>
  <c r="S162" i="43"/>
  <c r="K162" i="43"/>
  <c r="N162" i="43"/>
  <c r="V162" i="43"/>
  <c r="P163" i="43"/>
  <c r="R163" i="43"/>
  <c r="J163" i="43"/>
  <c r="L163" i="43"/>
  <c r="T163" i="43"/>
  <c r="X163" i="43"/>
  <c r="U163" i="43"/>
  <c r="Q163" i="43"/>
  <c r="S163" i="43"/>
  <c r="K163" i="43"/>
  <c r="N163" i="43"/>
  <c r="V163" i="43"/>
  <c r="P164" i="43"/>
  <c r="R164" i="43"/>
  <c r="J164" i="43"/>
  <c r="L164" i="43"/>
  <c r="T164" i="43"/>
  <c r="X164" i="43"/>
  <c r="U164" i="43"/>
  <c r="Q164" i="43"/>
  <c r="S164" i="43"/>
  <c r="K164" i="43"/>
  <c r="N164" i="43"/>
  <c r="V164" i="43"/>
  <c r="P165" i="43"/>
  <c r="R165" i="43"/>
  <c r="J165" i="43"/>
  <c r="L165" i="43"/>
  <c r="T165" i="43"/>
  <c r="X165" i="43"/>
  <c r="U165" i="43"/>
  <c r="Q165" i="43"/>
  <c r="S165" i="43"/>
  <c r="K165" i="43"/>
  <c r="N165" i="43"/>
  <c r="V165" i="43"/>
  <c r="P166" i="43"/>
  <c r="R166" i="43"/>
  <c r="J166" i="43"/>
  <c r="L166" i="43"/>
  <c r="T166" i="43"/>
  <c r="X166" i="43"/>
  <c r="U166" i="43"/>
  <c r="Q166" i="43"/>
  <c r="S166" i="43"/>
  <c r="K166" i="43"/>
  <c r="N166" i="43"/>
  <c r="V166" i="43"/>
  <c r="P167" i="43"/>
  <c r="R167" i="43"/>
  <c r="J167" i="43"/>
  <c r="L167" i="43"/>
  <c r="T167" i="43"/>
  <c r="X167" i="43"/>
  <c r="U167" i="43"/>
  <c r="Q167" i="43"/>
  <c r="S167" i="43"/>
  <c r="K167" i="43"/>
  <c r="N167" i="43"/>
  <c r="V167" i="43"/>
  <c r="P168" i="43"/>
  <c r="R168" i="43"/>
  <c r="J168" i="43"/>
  <c r="L168" i="43"/>
  <c r="T168" i="43"/>
  <c r="X168" i="43"/>
  <c r="U168" i="43"/>
  <c r="Q168" i="43"/>
  <c r="S168" i="43"/>
  <c r="K168" i="43"/>
  <c r="N168" i="43"/>
  <c r="V168" i="43"/>
  <c r="P169" i="43"/>
  <c r="R169" i="43"/>
  <c r="J169" i="43"/>
  <c r="L169" i="43"/>
  <c r="T169" i="43"/>
  <c r="X169" i="43"/>
  <c r="U169" i="43"/>
  <c r="Q169" i="43"/>
  <c r="S169" i="43"/>
  <c r="K169" i="43"/>
  <c r="N169" i="43"/>
  <c r="V169" i="43"/>
  <c r="P170" i="43"/>
  <c r="R170" i="43"/>
  <c r="J170" i="43"/>
  <c r="L170" i="43"/>
  <c r="T170" i="43"/>
  <c r="X170" i="43"/>
  <c r="U170" i="43"/>
  <c r="Q170" i="43"/>
  <c r="S170" i="43"/>
  <c r="K170" i="43"/>
  <c r="N170" i="43"/>
  <c r="V170" i="43"/>
  <c r="P171" i="43"/>
  <c r="R171" i="43"/>
  <c r="J171" i="43"/>
  <c r="L171" i="43"/>
  <c r="T171" i="43"/>
  <c r="X171" i="43"/>
  <c r="U171" i="43"/>
  <c r="Q171" i="43"/>
  <c r="S171" i="43"/>
  <c r="K171" i="43"/>
  <c r="N171" i="43"/>
  <c r="V171" i="43"/>
  <c r="P172" i="43"/>
  <c r="R172" i="43"/>
  <c r="J172" i="43"/>
  <c r="L172" i="43"/>
  <c r="T172" i="43"/>
  <c r="X172" i="43"/>
  <c r="U172" i="43"/>
  <c r="Q172" i="43"/>
  <c r="S172" i="43"/>
  <c r="K172" i="43"/>
  <c r="N172" i="43"/>
  <c r="V172" i="43"/>
  <c r="P173" i="43"/>
  <c r="R173" i="43"/>
  <c r="J173" i="43"/>
  <c r="L173" i="43"/>
  <c r="T173" i="43"/>
  <c r="X173" i="43"/>
  <c r="U173" i="43"/>
  <c r="Q173" i="43"/>
  <c r="S173" i="43"/>
  <c r="K173" i="43"/>
  <c r="N173" i="43"/>
  <c r="V173" i="43"/>
  <c r="P174" i="43"/>
  <c r="R174" i="43"/>
  <c r="J174" i="43"/>
  <c r="L174" i="43"/>
  <c r="T174" i="43"/>
  <c r="X174" i="43"/>
  <c r="U174" i="43"/>
  <c r="Q174" i="43"/>
  <c r="S174" i="43"/>
  <c r="K174" i="43"/>
  <c r="N174" i="43"/>
  <c r="V174" i="43"/>
  <c r="P175" i="43"/>
  <c r="R175" i="43"/>
  <c r="J175" i="43"/>
  <c r="L175" i="43"/>
  <c r="T175" i="43"/>
  <c r="X175" i="43"/>
  <c r="U175" i="43"/>
  <c r="Q175" i="43"/>
  <c r="S175" i="43"/>
  <c r="K175" i="43"/>
  <c r="N175" i="43"/>
  <c r="V175" i="43"/>
  <c r="P176" i="43"/>
  <c r="R176" i="43"/>
  <c r="J176" i="43"/>
  <c r="L176" i="43"/>
  <c r="T176" i="43"/>
  <c r="X176" i="43"/>
  <c r="U176" i="43"/>
  <c r="Q176" i="43"/>
  <c r="S176" i="43"/>
  <c r="K176" i="43"/>
  <c r="N176" i="43"/>
  <c r="V176" i="43"/>
  <c r="P177" i="43"/>
  <c r="R177" i="43"/>
  <c r="J177" i="43"/>
  <c r="L177" i="43"/>
  <c r="T177" i="43"/>
  <c r="X177" i="43"/>
  <c r="U177" i="43"/>
  <c r="Q177" i="43"/>
  <c r="S177" i="43"/>
  <c r="K177" i="43"/>
  <c r="N177" i="43"/>
  <c r="V177" i="43"/>
  <c r="P178" i="43"/>
  <c r="R178" i="43"/>
  <c r="J178" i="43"/>
  <c r="L178" i="43"/>
  <c r="T178" i="43"/>
  <c r="X178" i="43"/>
  <c r="U178" i="43"/>
  <c r="Q178" i="43"/>
  <c r="S178" i="43"/>
  <c r="K178" i="43"/>
  <c r="N178" i="43"/>
  <c r="V178" i="43"/>
  <c r="P179" i="43"/>
  <c r="R179" i="43"/>
  <c r="J179" i="43"/>
  <c r="L179" i="43"/>
  <c r="T179" i="43"/>
  <c r="X179" i="43"/>
  <c r="U179" i="43"/>
  <c r="Q179" i="43"/>
  <c r="S179" i="43"/>
  <c r="K179" i="43"/>
  <c r="N179" i="43"/>
  <c r="V179" i="43"/>
  <c r="P180" i="43"/>
  <c r="R180" i="43"/>
  <c r="J180" i="43"/>
  <c r="L180" i="43"/>
  <c r="T180" i="43"/>
  <c r="X180" i="43"/>
  <c r="U180" i="43"/>
  <c r="Q180" i="43"/>
  <c r="S180" i="43"/>
  <c r="K180" i="43"/>
  <c r="N180" i="43"/>
  <c r="V180" i="43"/>
  <c r="P181" i="43"/>
  <c r="R181" i="43"/>
  <c r="J181" i="43"/>
  <c r="L181" i="43"/>
  <c r="T181" i="43"/>
  <c r="X181" i="43"/>
  <c r="U181" i="43"/>
  <c r="Q181" i="43"/>
  <c r="S181" i="43"/>
  <c r="K181" i="43"/>
  <c r="N181" i="43"/>
  <c r="V181" i="43"/>
  <c r="P182" i="43"/>
  <c r="R182" i="43"/>
  <c r="J182" i="43"/>
  <c r="L182" i="43"/>
  <c r="T182" i="43"/>
  <c r="X182" i="43"/>
  <c r="U182" i="43"/>
  <c r="Q182" i="43"/>
  <c r="S182" i="43"/>
  <c r="K182" i="43"/>
  <c r="N182" i="43"/>
  <c r="V182" i="43"/>
  <c r="P183" i="43"/>
  <c r="R183" i="43"/>
  <c r="J183" i="43"/>
  <c r="L183" i="43"/>
  <c r="T183" i="43"/>
  <c r="X183" i="43"/>
  <c r="U183" i="43"/>
  <c r="Q183" i="43"/>
  <c r="S183" i="43"/>
  <c r="K183" i="43"/>
  <c r="N183" i="43"/>
  <c r="V183" i="43"/>
  <c r="P184" i="43"/>
  <c r="R184" i="43"/>
  <c r="J184" i="43"/>
  <c r="L184" i="43"/>
  <c r="T184" i="43"/>
  <c r="X184" i="43"/>
  <c r="U184" i="43"/>
  <c r="Q184" i="43"/>
  <c r="S184" i="43"/>
  <c r="K184" i="43"/>
  <c r="N184" i="43"/>
  <c r="V184" i="43"/>
  <c r="P185" i="43"/>
  <c r="R185" i="43"/>
  <c r="J185" i="43"/>
  <c r="L185" i="43"/>
  <c r="T185" i="43"/>
  <c r="X185" i="43"/>
  <c r="U185" i="43"/>
  <c r="Q185" i="43"/>
  <c r="S185" i="43"/>
  <c r="K185" i="43"/>
  <c r="N185" i="43"/>
  <c r="V185" i="43"/>
  <c r="P186" i="43"/>
  <c r="R186" i="43"/>
  <c r="J186" i="43"/>
  <c r="L186" i="43"/>
  <c r="T186" i="43"/>
  <c r="X186" i="43"/>
  <c r="U186" i="43"/>
  <c r="Q186" i="43"/>
  <c r="S186" i="43"/>
  <c r="K186" i="43"/>
  <c r="N186" i="43"/>
  <c r="V186" i="43"/>
  <c r="P187" i="43"/>
  <c r="R187" i="43"/>
  <c r="J187" i="43"/>
  <c r="L187" i="43"/>
  <c r="T187" i="43"/>
  <c r="X187" i="43"/>
  <c r="U187" i="43"/>
  <c r="Q187" i="43"/>
  <c r="S187" i="43"/>
  <c r="K187" i="43"/>
  <c r="N187" i="43"/>
  <c r="V187" i="43"/>
  <c r="P188" i="43"/>
  <c r="R188" i="43"/>
  <c r="J188" i="43"/>
  <c r="L188" i="43"/>
  <c r="T188" i="43"/>
  <c r="X188" i="43"/>
  <c r="U188" i="43"/>
  <c r="Q188" i="43"/>
  <c r="S188" i="43"/>
  <c r="K188" i="43"/>
  <c r="N188" i="43"/>
  <c r="V188" i="43"/>
  <c r="P189" i="43"/>
  <c r="R189" i="43"/>
  <c r="J189" i="43"/>
  <c r="L189" i="43"/>
  <c r="T189" i="43"/>
  <c r="X189" i="43"/>
  <c r="U189" i="43"/>
  <c r="Q189" i="43"/>
  <c r="S189" i="43"/>
  <c r="K189" i="43"/>
  <c r="N189" i="43"/>
  <c r="V189" i="43"/>
  <c r="P190" i="43"/>
  <c r="R190" i="43"/>
  <c r="J190" i="43"/>
  <c r="L190" i="43"/>
  <c r="T190" i="43"/>
  <c r="X190" i="43"/>
  <c r="U190" i="43"/>
  <c r="Q190" i="43"/>
  <c r="S190" i="43"/>
  <c r="K190" i="43"/>
  <c r="N190" i="43"/>
  <c r="V190" i="43"/>
  <c r="P191" i="43"/>
  <c r="R191" i="43"/>
  <c r="J191" i="43"/>
  <c r="L191" i="43"/>
  <c r="T191" i="43"/>
  <c r="X191" i="43"/>
  <c r="U191" i="43"/>
  <c r="Q191" i="43"/>
  <c r="S191" i="43"/>
  <c r="K191" i="43"/>
  <c r="N191" i="43"/>
  <c r="V191" i="43"/>
  <c r="P192" i="43"/>
  <c r="R192" i="43"/>
  <c r="J192" i="43"/>
  <c r="L192" i="43"/>
  <c r="T192" i="43"/>
  <c r="X192" i="43"/>
  <c r="U192" i="43"/>
  <c r="Q192" i="43"/>
  <c r="S192" i="43"/>
  <c r="K192" i="43"/>
  <c r="N192" i="43"/>
  <c r="V192" i="43"/>
  <c r="P193" i="43"/>
  <c r="R193" i="43"/>
  <c r="J193" i="43"/>
  <c r="L193" i="43"/>
  <c r="T193" i="43"/>
  <c r="X193" i="43"/>
  <c r="U193" i="43"/>
  <c r="Q193" i="43"/>
  <c r="S193" i="43"/>
  <c r="K193" i="43"/>
  <c r="N193" i="43"/>
  <c r="V193" i="43"/>
  <c r="P194" i="43"/>
  <c r="R194" i="43"/>
  <c r="J194" i="43"/>
  <c r="L194" i="43"/>
  <c r="T194" i="43"/>
  <c r="X194" i="43"/>
  <c r="U194" i="43"/>
  <c r="Q194" i="43"/>
  <c r="S194" i="43"/>
  <c r="K194" i="43"/>
  <c r="N194" i="43"/>
  <c r="V194" i="43"/>
  <c r="P195" i="43"/>
  <c r="R195" i="43"/>
  <c r="J195" i="43"/>
  <c r="L195" i="43"/>
  <c r="T195" i="43"/>
  <c r="X195" i="43"/>
  <c r="U195" i="43"/>
  <c r="Q195" i="43"/>
  <c r="S195" i="43"/>
  <c r="K195" i="43"/>
  <c r="N195" i="43"/>
  <c r="V195" i="43"/>
  <c r="P196" i="43"/>
  <c r="R196" i="43"/>
  <c r="J196" i="43"/>
  <c r="L196" i="43"/>
  <c r="T196" i="43"/>
  <c r="X196" i="43"/>
  <c r="U196" i="43"/>
  <c r="Q196" i="43"/>
  <c r="S196" i="43"/>
  <c r="K196" i="43"/>
  <c r="N196" i="43"/>
  <c r="V196" i="43"/>
  <c r="P197" i="43"/>
  <c r="R197" i="43"/>
  <c r="J197" i="43"/>
  <c r="L197" i="43"/>
  <c r="T197" i="43"/>
  <c r="X197" i="43"/>
  <c r="U197" i="43"/>
  <c r="Q197" i="43"/>
  <c r="S197" i="43"/>
  <c r="K197" i="43"/>
  <c r="N197" i="43"/>
  <c r="V197" i="43"/>
  <c r="P198" i="43"/>
  <c r="R198" i="43"/>
  <c r="J198" i="43"/>
  <c r="L198" i="43"/>
  <c r="T198" i="43"/>
  <c r="X198" i="43"/>
  <c r="U198" i="43"/>
  <c r="Q198" i="43"/>
  <c r="S198" i="43"/>
  <c r="K198" i="43"/>
  <c r="N198" i="43"/>
  <c r="V198" i="43"/>
  <c r="P199" i="43"/>
  <c r="R199" i="43"/>
  <c r="J199" i="43"/>
  <c r="L199" i="43"/>
  <c r="T199" i="43"/>
  <c r="X199" i="43"/>
  <c r="U199" i="43"/>
  <c r="Q199" i="43"/>
  <c r="S199" i="43"/>
  <c r="K199" i="43"/>
  <c r="N199" i="43"/>
  <c r="V199" i="43"/>
  <c r="P200" i="43"/>
  <c r="R200" i="43"/>
  <c r="J200" i="43"/>
  <c r="L200" i="43"/>
  <c r="T200" i="43"/>
  <c r="X200" i="43"/>
  <c r="U200" i="43"/>
  <c r="Q200" i="43"/>
  <c r="S200" i="43"/>
  <c r="K200" i="43"/>
  <c r="N200" i="43"/>
  <c r="V200" i="43"/>
  <c r="P201" i="43"/>
  <c r="R201" i="43"/>
  <c r="J201" i="43"/>
  <c r="L201" i="43"/>
  <c r="T201" i="43"/>
  <c r="X201" i="43"/>
  <c r="U201" i="43"/>
  <c r="Q201" i="43"/>
  <c r="S201" i="43"/>
  <c r="K201" i="43"/>
  <c r="N201" i="43"/>
  <c r="V201" i="43"/>
  <c r="P202" i="43"/>
  <c r="R202" i="43"/>
  <c r="J202" i="43"/>
  <c r="L202" i="43"/>
  <c r="T202" i="43"/>
  <c r="X202" i="43"/>
  <c r="U202" i="43"/>
  <c r="Q202" i="43"/>
  <c r="S202" i="43"/>
  <c r="K202" i="43"/>
  <c r="N202" i="43"/>
  <c r="V202" i="43"/>
  <c r="P203" i="43"/>
  <c r="R203" i="43"/>
  <c r="J203" i="43"/>
  <c r="L203" i="43"/>
  <c r="T203" i="43"/>
  <c r="X203" i="43"/>
  <c r="U203" i="43"/>
  <c r="Q203" i="43"/>
  <c r="S203" i="43"/>
  <c r="K203" i="43"/>
  <c r="N203" i="43"/>
  <c r="V203" i="43"/>
  <c r="P204" i="43"/>
  <c r="R204" i="43"/>
  <c r="J204" i="43"/>
  <c r="L204" i="43"/>
  <c r="T204" i="43"/>
  <c r="X204" i="43"/>
  <c r="U204" i="43"/>
  <c r="Q204" i="43"/>
  <c r="S204" i="43"/>
  <c r="K204" i="43"/>
  <c r="N204" i="43"/>
  <c r="V204" i="43"/>
  <c r="P205" i="43"/>
  <c r="R205" i="43"/>
  <c r="J205" i="43"/>
  <c r="L205" i="43"/>
  <c r="T205" i="43"/>
  <c r="X205" i="43"/>
  <c r="U205" i="43"/>
  <c r="Q205" i="43"/>
  <c r="S205" i="43"/>
  <c r="K205" i="43"/>
  <c r="N205" i="43"/>
  <c r="V205" i="43"/>
  <c r="P206" i="43"/>
  <c r="R206" i="43"/>
  <c r="J206" i="43"/>
  <c r="L206" i="43"/>
  <c r="T206" i="43"/>
  <c r="X206" i="43"/>
  <c r="U206" i="43"/>
  <c r="Q206" i="43"/>
  <c r="S206" i="43"/>
  <c r="K206" i="43"/>
  <c r="N206" i="43"/>
  <c r="V206" i="43"/>
  <c r="P207" i="43"/>
  <c r="R207" i="43"/>
  <c r="J207" i="43"/>
  <c r="L207" i="43"/>
  <c r="T207" i="43"/>
  <c r="X207" i="43"/>
  <c r="U207" i="43"/>
  <c r="Q207" i="43"/>
  <c r="S207" i="43"/>
  <c r="K207" i="43"/>
  <c r="N207" i="43"/>
  <c r="V207" i="43"/>
  <c r="P208" i="43"/>
  <c r="R208" i="43"/>
  <c r="J208" i="43"/>
  <c r="L208" i="43"/>
  <c r="T208" i="43"/>
  <c r="X208" i="43"/>
  <c r="U208" i="43"/>
  <c r="Q208" i="43"/>
  <c r="S208" i="43"/>
  <c r="K208" i="43"/>
  <c r="N208" i="43"/>
  <c r="V208" i="43"/>
  <c r="P209" i="43"/>
  <c r="R209" i="43"/>
  <c r="J209" i="43"/>
  <c r="L209" i="43"/>
  <c r="T209" i="43"/>
  <c r="X209" i="43"/>
  <c r="U209" i="43"/>
  <c r="Q209" i="43"/>
  <c r="S209" i="43"/>
  <c r="K209" i="43"/>
  <c r="N209" i="43"/>
  <c r="V209" i="43"/>
  <c r="P210" i="43"/>
  <c r="R210" i="43"/>
  <c r="J210" i="43"/>
  <c r="L210" i="43"/>
  <c r="T210" i="43"/>
  <c r="X210" i="43"/>
  <c r="U210" i="43"/>
  <c r="Q210" i="43"/>
  <c r="S210" i="43"/>
  <c r="K210" i="43"/>
  <c r="N210" i="43"/>
  <c r="V210" i="43"/>
  <c r="P211" i="43"/>
  <c r="R211" i="43"/>
  <c r="J211" i="43"/>
  <c r="L211" i="43"/>
  <c r="T211" i="43"/>
  <c r="X211" i="43"/>
  <c r="U211" i="43"/>
  <c r="Q211" i="43"/>
  <c r="S211" i="43"/>
  <c r="K211" i="43"/>
  <c r="N211" i="43"/>
  <c r="V211" i="43"/>
  <c r="P212" i="43"/>
  <c r="R212" i="43"/>
  <c r="J212" i="43"/>
  <c r="L212" i="43"/>
  <c r="T212" i="43"/>
  <c r="X212" i="43"/>
  <c r="U212" i="43"/>
  <c r="Q212" i="43"/>
  <c r="S212" i="43"/>
  <c r="K212" i="43"/>
  <c r="N212" i="43"/>
  <c r="V212" i="43"/>
  <c r="P213" i="43"/>
  <c r="R213" i="43"/>
  <c r="J213" i="43"/>
  <c r="L213" i="43"/>
  <c r="T213" i="43"/>
  <c r="X213" i="43"/>
  <c r="U213" i="43"/>
  <c r="Q213" i="43"/>
  <c r="S213" i="43"/>
  <c r="K213" i="43"/>
  <c r="N213" i="43"/>
  <c r="V213" i="43"/>
  <c r="P214" i="43"/>
  <c r="R214" i="43"/>
  <c r="J214" i="43"/>
  <c r="L214" i="43"/>
  <c r="T214" i="43"/>
  <c r="X214" i="43"/>
  <c r="U214" i="43"/>
  <c r="Q214" i="43"/>
  <c r="S214" i="43"/>
  <c r="K214" i="43"/>
  <c r="N214" i="43"/>
  <c r="V214" i="43"/>
  <c r="P215" i="43"/>
  <c r="R215" i="43"/>
  <c r="J215" i="43"/>
  <c r="L215" i="43"/>
  <c r="T215" i="43"/>
  <c r="X215" i="43"/>
  <c r="U215" i="43"/>
  <c r="Q215" i="43"/>
  <c r="S215" i="43"/>
  <c r="K215" i="43"/>
  <c r="N215" i="43"/>
  <c r="V215" i="43"/>
  <c r="P216" i="43"/>
  <c r="R216" i="43"/>
  <c r="J216" i="43"/>
  <c r="L216" i="43"/>
  <c r="T216" i="43"/>
  <c r="X216" i="43"/>
  <c r="U216" i="43"/>
  <c r="Q216" i="43"/>
  <c r="S216" i="43"/>
  <c r="K216" i="43"/>
  <c r="N216" i="43"/>
  <c r="V216" i="43"/>
  <c r="P217" i="43"/>
  <c r="R217" i="43"/>
  <c r="J217" i="43"/>
  <c r="L217" i="43"/>
  <c r="T217" i="43"/>
  <c r="X217" i="43"/>
  <c r="U217" i="43"/>
  <c r="Q217" i="43"/>
  <c r="S217" i="43"/>
  <c r="K217" i="43"/>
  <c r="N217" i="43"/>
  <c r="V217" i="43"/>
  <c r="P218" i="43"/>
  <c r="R218" i="43"/>
  <c r="J218" i="43"/>
  <c r="L218" i="43"/>
  <c r="T218" i="43"/>
  <c r="X218" i="43"/>
  <c r="U218" i="43"/>
  <c r="Q218" i="43"/>
  <c r="S218" i="43"/>
  <c r="K218" i="43"/>
  <c r="N218" i="43"/>
  <c r="V218" i="43"/>
  <c r="P219" i="43"/>
  <c r="R219" i="43"/>
  <c r="J219" i="43"/>
  <c r="L219" i="43"/>
  <c r="T219" i="43"/>
  <c r="X219" i="43"/>
  <c r="U219" i="43"/>
  <c r="Q219" i="43"/>
  <c r="S219" i="43"/>
  <c r="K219" i="43"/>
  <c r="N219" i="43"/>
  <c r="V219" i="43"/>
  <c r="P220" i="43"/>
  <c r="R220" i="43"/>
  <c r="J220" i="43"/>
  <c r="L220" i="43"/>
  <c r="T220" i="43"/>
  <c r="X220" i="43"/>
  <c r="U220" i="43"/>
  <c r="Q220" i="43"/>
  <c r="S220" i="43"/>
  <c r="K220" i="43"/>
  <c r="N220" i="43"/>
  <c r="V220" i="43"/>
  <c r="P221" i="43"/>
  <c r="R221" i="43"/>
  <c r="J221" i="43"/>
  <c r="L221" i="43"/>
  <c r="T221" i="43"/>
  <c r="X221" i="43"/>
  <c r="U221" i="43"/>
  <c r="Q221" i="43"/>
  <c r="S221" i="43"/>
  <c r="K221" i="43"/>
  <c r="N221" i="43"/>
  <c r="V221" i="43"/>
  <c r="P222" i="43"/>
  <c r="R222" i="43"/>
  <c r="J222" i="43"/>
  <c r="L222" i="43"/>
  <c r="T222" i="43"/>
  <c r="X222" i="43"/>
  <c r="U222" i="43"/>
  <c r="Q222" i="43"/>
  <c r="S222" i="43"/>
  <c r="K222" i="43"/>
  <c r="N222" i="43"/>
  <c r="V222" i="43"/>
  <c r="P223" i="43"/>
  <c r="R223" i="43"/>
  <c r="J223" i="43"/>
  <c r="L223" i="43"/>
  <c r="T223" i="43"/>
  <c r="X223" i="43"/>
  <c r="U223" i="43"/>
  <c r="Q223" i="43"/>
  <c r="S223" i="43"/>
  <c r="K223" i="43"/>
  <c r="N223" i="43"/>
  <c r="V223" i="43"/>
  <c r="P224" i="43"/>
  <c r="R224" i="43"/>
  <c r="J224" i="43"/>
  <c r="L224" i="43"/>
  <c r="T224" i="43"/>
  <c r="X224" i="43"/>
  <c r="U224" i="43"/>
  <c r="Q224" i="43"/>
  <c r="S224" i="43"/>
  <c r="K224" i="43"/>
  <c r="N224" i="43"/>
  <c r="V224" i="43"/>
  <c r="P225" i="43"/>
  <c r="R225" i="43"/>
  <c r="J225" i="43"/>
  <c r="L225" i="43"/>
  <c r="T225" i="43"/>
  <c r="X225" i="43"/>
  <c r="U225" i="43"/>
  <c r="Q225" i="43"/>
  <c r="S225" i="43"/>
  <c r="K225" i="43"/>
  <c r="N225" i="43"/>
  <c r="V225" i="43"/>
  <c r="P226" i="43"/>
  <c r="R226" i="43"/>
  <c r="J226" i="43"/>
  <c r="L226" i="43"/>
  <c r="T226" i="43"/>
  <c r="X226" i="43"/>
  <c r="U226" i="43"/>
  <c r="Q226" i="43"/>
  <c r="S226" i="43"/>
  <c r="K226" i="43"/>
  <c r="N226" i="43"/>
  <c r="V226" i="43"/>
  <c r="P227" i="43"/>
  <c r="R227" i="43"/>
  <c r="J227" i="43"/>
  <c r="L227" i="43"/>
  <c r="T227" i="43"/>
  <c r="X227" i="43"/>
  <c r="U227" i="43"/>
  <c r="Q227" i="43"/>
  <c r="S227" i="43"/>
  <c r="K227" i="43"/>
  <c r="N227" i="43"/>
  <c r="V227" i="43"/>
  <c r="P228" i="43"/>
  <c r="R228" i="43"/>
  <c r="J228" i="43"/>
  <c r="L228" i="43"/>
  <c r="T228" i="43"/>
  <c r="X228" i="43"/>
  <c r="U228" i="43"/>
  <c r="Q228" i="43"/>
  <c r="S228" i="43"/>
  <c r="K228" i="43"/>
  <c r="N228" i="43"/>
  <c r="V228" i="43"/>
  <c r="P229" i="43"/>
  <c r="R229" i="43"/>
  <c r="J229" i="43"/>
  <c r="L229" i="43"/>
  <c r="T229" i="43"/>
  <c r="X229" i="43"/>
  <c r="U229" i="43"/>
  <c r="Q229" i="43"/>
  <c r="S229" i="43"/>
  <c r="K229" i="43"/>
  <c r="N229" i="43"/>
  <c r="V229" i="43"/>
  <c r="P230" i="43"/>
  <c r="R230" i="43"/>
  <c r="J230" i="43"/>
  <c r="L230" i="43"/>
  <c r="T230" i="43"/>
  <c r="X230" i="43"/>
  <c r="U230" i="43"/>
  <c r="Q230" i="43"/>
  <c r="S230" i="43"/>
  <c r="K230" i="43"/>
  <c r="N230" i="43"/>
  <c r="V230" i="43"/>
  <c r="P231" i="43"/>
  <c r="R231" i="43"/>
  <c r="J231" i="43"/>
  <c r="L231" i="43"/>
  <c r="T231" i="43"/>
  <c r="X231" i="43"/>
  <c r="U231" i="43"/>
  <c r="Q231" i="43"/>
  <c r="S231" i="43"/>
  <c r="K231" i="43"/>
  <c r="N231" i="43"/>
  <c r="V231" i="43"/>
  <c r="P232" i="43"/>
  <c r="R232" i="43"/>
  <c r="J232" i="43"/>
  <c r="L232" i="43"/>
  <c r="T232" i="43"/>
  <c r="X232" i="43"/>
  <c r="U232" i="43"/>
  <c r="Q232" i="43"/>
  <c r="S232" i="43"/>
  <c r="K232" i="43"/>
  <c r="N232" i="43"/>
  <c r="V232" i="43"/>
  <c r="P233" i="43"/>
  <c r="R233" i="43"/>
  <c r="J233" i="43"/>
  <c r="L233" i="43"/>
  <c r="T233" i="43"/>
  <c r="X233" i="43"/>
  <c r="U233" i="43"/>
  <c r="Q233" i="43"/>
  <c r="S233" i="43"/>
  <c r="K233" i="43"/>
  <c r="N233" i="43"/>
  <c r="V233" i="43"/>
  <c r="P234" i="43"/>
  <c r="R234" i="43"/>
  <c r="J234" i="43"/>
  <c r="L234" i="43"/>
  <c r="T234" i="43"/>
  <c r="X234" i="43"/>
  <c r="U234" i="43"/>
  <c r="Q234" i="43"/>
  <c r="S234" i="43"/>
  <c r="K234" i="43"/>
  <c r="N234" i="43"/>
  <c r="V234" i="43"/>
  <c r="P235" i="43"/>
  <c r="R235" i="43"/>
  <c r="J235" i="43"/>
  <c r="L235" i="43"/>
  <c r="T235" i="43"/>
  <c r="X235" i="43"/>
  <c r="U235" i="43"/>
  <c r="Q235" i="43"/>
  <c r="S235" i="43"/>
  <c r="K235" i="43"/>
  <c r="N235" i="43"/>
  <c r="V235" i="43"/>
  <c r="P236" i="43"/>
  <c r="R236" i="43"/>
  <c r="J236" i="43"/>
  <c r="L236" i="43"/>
  <c r="T236" i="43"/>
  <c r="X236" i="43"/>
  <c r="U236" i="43"/>
  <c r="Q236" i="43"/>
  <c r="S236" i="43"/>
  <c r="K236" i="43"/>
  <c r="N236" i="43"/>
  <c r="V236" i="43"/>
  <c r="P237" i="43"/>
  <c r="R237" i="43"/>
  <c r="J237" i="43"/>
  <c r="L237" i="43"/>
  <c r="T237" i="43"/>
  <c r="X237" i="43"/>
  <c r="U237" i="43"/>
  <c r="Q237" i="43"/>
  <c r="S237" i="43"/>
  <c r="K237" i="43"/>
  <c r="N237" i="43"/>
  <c r="V237" i="43"/>
  <c r="P238" i="43"/>
  <c r="R238" i="43"/>
  <c r="J238" i="43"/>
  <c r="L238" i="43"/>
  <c r="T238" i="43"/>
  <c r="X238" i="43"/>
  <c r="U238" i="43"/>
  <c r="Q238" i="43"/>
  <c r="S238" i="43"/>
  <c r="K238" i="43"/>
  <c r="N238" i="43"/>
  <c r="V238" i="43"/>
  <c r="P239" i="43"/>
  <c r="R239" i="43"/>
  <c r="J239" i="43"/>
  <c r="L239" i="43"/>
  <c r="T239" i="43"/>
  <c r="X239" i="43"/>
  <c r="U239" i="43"/>
  <c r="Q239" i="43"/>
  <c r="S239" i="43"/>
  <c r="K239" i="43"/>
  <c r="N239" i="43"/>
  <c r="V239" i="43"/>
  <c r="P240" i="43"/>
  <c r="R240" i="43"/>
  <c r="J240" i="43"/>
  <c r="L240" i="43"/>
  <c r="T240" i="43"/>
  <c r="X240" i="43"/>
  <c r="U240" i="43"/>
  <c r="Q240" i="43"/>
  <c r="S240" i="43"/>
  <c r="K240" i="43"/>
  <c r="N240" i="43"/>
  <c r="V240" i="43"/>
  <c r="P241" i="43"/>
  <c r="R241" i="43"/>
  <c r="J241" i="43"/>
  <c r="L241" i="43"/>
  <c r="T241" i="43"/>
  <c r="X241" i="43"/>
  <c r="U241" i="43"/>
  <c r="Q241" i="43"/>
  <c r="S241" i="43"/>
  <c r="K241" i="43"/>
  <c r="N241" i="43"/>
  <c r="V241" i="43"/>
  <c r="P242" i="43"/>
  <c r="R242" i="43"/>
  <c r="J242" i="43"/>
  <c r="L242" i="43"/>
  <c r="T242" i="43"/>
  <c r="X242" i="43"/>
  <c r="U242" i="43"/>
  <c r="Q242" i="43"/>
  <c r="S242" i="43"/>
  <c r="K242" i="43"/>
  <c r="N242" i="43"/>
  <c r="V242" i="43"/>
  <c r="P243" i="43"/>
  <c r="R243" i="43"/>
  <c r="J243" i="43"/>
  <c r="L243" i="43"/>
  <c r="T243" i="43"/>
  <c r="X243" i="43"/>
  <c r="U243" i="43"/>
  <c r="Q243" i="43"/>
  <c r="S243" i="43"/>
  <c r="K243" i="43"/>
  <c r="N243" i="43"/>
  <c r="V243" i="43"/>
  <c r="P244" i="43"/>
  <c r="R244" i="43"/>
  <c r="J244" i="43"/>
  <c r="L244" i="43"/>
  <c r="T244" i="43"/>
  <c r="X244" i="43"/>
  <c r="U244" i="43"/>
  <c r="Q244" i="43"/>
  <c r="S244" i="43"/>
  <c r="K244" i="43"/>
  <c r="N244" i="43"/>
  <c r="V244" i="43"/>
  <c r="P245" i="43"/>
  <c r="R245" i="43"/>
  <c r="J245" i="43"/>
  <c r="L245" i="43"/>
  <c r="T245" i="43"/>
  <c r="X245" i="43"/>
  <c r="U245" i="43"/>
  <c r="Q245" i="43"/>
  <c r="S245" i="43"/>
  <c r="K245" i="43"/>
  <c r="N245" i="43"/>
  <c r="V245" i="43"/>
  <c r="P246" i="43"/>
  <c r="R246" i="43"/>
  <c r="J246" i="43"/>
  <c r="L246" i="43"/>
  <c r="T246" i="43"/>
  <c r="X246" i="43"/>
  <c r="U246" i="43"/>
  <c r="Q246" i="43"/>
  <c r="S246" i="43"/>
  <c r="K246" i="43"/>
  <c r="N246" i="43"/>
  <c r="V246" i="43"/>
  <c r="P247" i="43"/>
  <c r="R247" i="43"/>
  <c r="J247" i="43"/>
  <c r="L247" i="43"/>
  <c r="T247" i="43"/>
  <c r="X247" i="43"/>
  <c r="U247" i="43"/>
  <c r="C473" i="11"/>
  <c r="Q247" i="43"/>
  <c r="S247" i="43"/>
  <c r="K247" i="43"/>
  <c r="N247" i="43"/>
  <c r="V247" i="43"/>
  <c r="P248" i="43"/>
  <c r="R248" i="43"/>
  <c r="J248" i="43"/>
  <c r="L248" i="43"/>
  <c r="T248" i="43"/>
  <c r="X248" i="43"/>
  <c r="U248" i="43"/>
  <c r="Q248" i="43"/>
  <c r="S248" i="43"/>
  <c r="K248" i="43"/>
  <c r="N248" i="43"/>
  <c r="V248" i="43"/>
  <c r="P249" i="43"/>
  <c r="R249" i="43"/>
  <c r="J249" i="43"/>
  <c r="L249" i="43"/>
  <c r="T249" i="43"/>
  <c r="X249" i="43"/>
  <c r="U249" i="43"/>
  <c r="Q249" i="43"/>
  <c r="S249" i="43"/>
  <c r="K249" i="43"/>
  <c r="N249" i="43"/>
  <c r="V249" i="43"/>
  <c r="P250" i="43"/>
  <c r="R250" i="43"/>
  <c r="J250" i="43"/>
  <c r="L250" i="43"/>
  <c r="T250" i="43"/>
  <c r="X250" i="43"/>
  <c r="U250" i="43"/>
  <c r="Q250" i="43"/>
  <c r="S250" i="43"/>
  <c r="K250" i="43"/>
  <c r="N250" i="43"/>
  <c r="V250" i="43"/>
  <c r="P251" i="43"/>
  <c r="R251" i="43"/>
  <c r="J251" i="43"/>
  <c r="L251" i="43"/>
  <c r="T251" i="43"/>
  <c r="X251" i="43"/>
  <c r="U251" i="43"/>
  <c r="Q251" i="43"/>
  <c r="S251" i="43"/>
  <c r="K251" i="43"/>
  <c r="N251" i="43"/>
  <c r="V251" i="43"/>
  <c r="P252" i="43"/>
  <c r="R252" i="43"/>
  <c r="J252" i="43"/>
  <c r="L252" i="43"/>
  <c r="T252" i="43"/>
  <c r="X252" i="43"/>
  <c r="U252" i="43"/>
  <c r="Q252" i="43"/>
  <c r="S252" i="43"/>
  <c r="K252" i="43"/>
  <c r="N252" i="43"/>
  <c r="V252" i="43"/>
  <c r="P253" i="43"/>
  <c r="R253" i="43"/>
  <c r="J253" i="43"/>
  <c r="L253" i="43"/>
  <c r="T253" i="43"/>
  <c r="X253" i="43"/>
  <c r="U253" i="43"/>
  <c r="Q253" i="43"/>
  <c r="S253" i="43"/>
  <c r="K253" i="43"/>
  <c r="N253" i="43"/>
  <c r="V253" i="43"/>
  <c r="P254" i="43"/>
  <c r="R254" i="43"/>
  <c r="J254" i="43"/>
  <c r="L254" i="43"/>
  <c r="T254" i="43"/>
  <c r="X254" i="43"/>
  <c r="U254" i="43"/>
  <c r="Q254" i="43"/>
  <c r="S254" i="43"/>
  <c r="K254" i="43"/>
  <c r="N254" i="43"/>
  <c r="V254" i="43"/>
  <c r="P255" i="43"/>
  <c r="R255" i="43"/>
  <c r="J255" i="43"/>
  <c r="L255" i="43"/>
  <c r="T255" i="43"/>
  <c r="X255" i="43"/>
  <c r="U255" i="43"/>
  <c r="Q255" i="43"/>
  <c r="S255" i="43"/>
  <c r="K255" i="43"/>
  <c r="N255" i="43"/>
  <c r="V255" i="43"/>
  <c r="P256" i="43"/>
  <c r="R256" i="43"/>
  <c r="J256" i="43"/>
  <c r="L256" i="43"/>
  <c r="T256" i="43"/>
  <c r="X256" i="43"/>
  <c r="U256" i="43"/>
  <c r="Q256" i="43"/>
  <c r="S256" i="43"/>
  <c r="K256" i="43"/>
  <c r="N256" i="43"/>
  <c r="V256" i="43"/>
  <c r="P257" i="43"/>
  <c r="R257" i="43"/>
  <c r="J257" i="43"/>
  <c r="L257" i="43"/>
  <c r="T257" i="43"/>
  <c r="X257" i="43"/>
  <c r="U257" i="43"/>
  <c r="Q257" i="43"/>
  <c r="S257" i="43"/>
  <c r="K257" i="43"/>
  <c r="N257" i="43"/>
  <c r="V257" i="43"/>
  <c r="P258" i="43"/>
  <c r="R258" i="43"/>
  <c r="J258" i="43"/>
  <c r="L258" i="43"/>
  <c r="T258" i="43"/>
  <c r="X258" i="43"/>
  <c r="U258" i="43"/>
  <c r="Q258" i="43"/>
  <c r="S258" i="43"/>
  <c r="K258" i="43"/>
  <c r="N258" i="43"/>
  <c r="V258" i="43"/>
  <c r="P259" i="43"/>
  <c r="R259" i="43"/>
  <c r="J259" i="43"/>
  <c r="L259" i="43"/>
  <c r="T259" i="43"/>
  <c r="X259" i="43"/>
  <c r="U259" i="43"/>
  <c r="Q259" i="43"/>
  <c r="S259" i="43"/>
  <c r="K259" i="43"/>
  <c r="N259" i="43"/>
  <c r="V259" i="43"/>
  <c r="P260" i="43"/>
  <c r="R260" i="43"/>
  <c r="J260" i="43"/>
  <c r="L260" i="43"/>
  <c r="T260" i="43"/>
  <c r="X260" i="43"/>
  <c r="U260" i="43"/>
  <c r="Q260" i="43"/>
  <c r="S260" i="43"/>
  <c r="K260" i="43"/>
  <c r="N260" i="43"/>
  <c r="V260" i="43"/>
  <c r="P261" i="43"/>
  <c r="R261" i="43"/>
  <c r="J261" i="43"/>
  <c r="L261" i="43"/>
  <c r="T261" i="43"/>
  <c r="X261" i="43"/>
  <c r="U261" i="43"/>
  <c r="Q261" i="43"/>
  <c r="S261" i="43"/>
  <c r="K261" i="43"/>
  <c r="N261" i="43"/>
  <c r="V261" i="43"/>
  <c r="P262" i="43"/>
  <c r="R262" i="43"/>
  <c r="J262" i="43"/>
  <c r="L262" i="43"/>
  <c r="T262" i="43"/>
  <c r="X262" i="43"/>
  <c r="U262" i="43"/>
  <c r="Q262" i="43"/>
  <c r="S262" i="43"/>
  <c r="K262" i="43"/>
  <c r="N262" i="43"/>
  <c r="V262" i="43"/>
  <c r="P263" i="43"/>
  <c r="R263" i="43"/>
  <c r="J263" i="43"/>
  <c r="L263" i="43"/>
  <c r="T263" i="43"/>
  <c r="X263" i="43"/>
  <c r="U263" i="43"/>
  <c r="Q263" i="43"/>
  <c r="S263" i="43"/>
  <c r="K263" i="43"/>
  <c r="N263" i="43"/>
  <c r="V263" i="43"/>
  <c r="P264" i="43"/>
  <c r="R264" i="43"/>
  <c r="J264" i="43"/>
  <c r="L264" i="43"/>
  <c r="T264" i="43"/>
  <c r="X264" i="43"/>
  <c r="U264" i="43"/>
  <c r="Q264" i="43"/>
  <c r="S264" i="43"/>
  <c r="K264" i="43"/>
  <c r="N264" i="43"/>
  <c r="V264" i="43"/>
  <c r="P265" i="43"/>
  <c r="R265" i="43"/>
  <c r="J265" i="43"/>
  <c r="L265" i="43"/>
  <c r="T265" i="43"/>
  <c r="X265" i="43"/>
  <c r="U265" i="43"/>
  <c r="Q265" i="43"/>
  <c r="S265" i="43"/>
  <c r="K265" i="43"/>
  <c r="N265" i="43"/>
  <c r="V265" i="43"/>
  <c r="P266" i="43"/>
  <c r="R266" i="43"/>
  <c r="J266" i="43"/>
  <c r="L266" i="43"/>
  <c r="T266" i="43"/>
  <c r="X266" i="43"/>
  <c r="U266" i="43"/>
  <c r="Q266" i="43"/>
  <c r="S266" i="43"/>
  <c r="K266" i="43"/>
  <c r="N266" i="43"/>
  <c r="V266" i="43"/>
  <c r="P267" i="43"/>
  <c r="R267" i="43"/>
  <c r="J267" i="43"/>
  <c r="L267" i="43"/>
  <c r="T267" i="43"/>
  <c r="X267" i="43"/>
  <c r="U267" i="43"/>
  <c r="Q267" i="43"/>
  <c r="S267" i="43"/>
  <c r="K267" i="43"/>
  <c r="N267" i="43"/>
  <c r="V267" i="43"/>
  <c r="P268" i="43"/>
  <c r="R268" i="43"/>
  <c r="J268" i="43"/>
  <c r="L268" i="43"/>
  <c r="T268" i="43"/>
  <c r="X268" i="43"/>
  <c r="U268" i="43"/>
  <c r="Q268" i="43"/>
  <c r="S268" i="43"/>
  <c r="K268" i="43"/>
  <c r="N268" i="43"/>
  <c r="V268" i="43"/>
  <c r="P269" i="43"/>
  <c r="R269" i="43"/>
  <c r="J269" i="43"/>
  <c r="L269" i="43"/>
  <c r="T269" i="43"/>
  <c r="X269" i="43"/>
  <c r="U269" i="43"/>
  <c r="Q269" i="43"/>
  <c r="S269" i="43"/>
  <c r="K269" i="43"/>
  <c r="N269" i="43"/>
  <c r="V269" i="43"/>
  <c r="P270" i="43"/>
  <c r="R270" i="43"/>
  <c r="J270" i="43"/>
  <c r="L270" i="43"/>
  <c r="T270" i="43"/>
  <c r="X270" i="43"/>
  <c r="U270" i="43"/>
  <c r="Q270" i="43"/>
  <c r="S270" i="43"/>
  <c r="K270" i="43"/>
  <c r="N270" i="43"/>
  <c r="V270" i="43"/>
  <c r="P271" i="43"/>
  <c r="R271" i="43"/>
  <c r="J271" i="43"/>
  <c r="L271" i="43"/>
  <c r="T271" i="43"/>
  <c r="X271" i="43"/>
  <c r="U271" i="43"/>
  <c r="Q271" i="43"/>
  <c r="S271" i="43"/>
  <c r="K271" i="43"/>
  <c r="N271" i="43"/>
  <c r="V271" i="43"/>
  <c r="P272" i="43"/>
  <c r="R272" i="43"/>
  <c r="J272" i="43"/>
  <c r="L272" i="43"/>
  <c r="T272" i="43"/>
  <c r="X272" i="43"/>
  <c r="U272" i="43"/>
  <c r="Q272" i="43"/>
  <c r="S272" i="43"/>
  <c r="K272" i="43"/>
  <c r="N272" i="43"/>
  <c r="V272" i="43"/>
  <c r="P273" i="43"/>
  <c r="R273" i="43"/>
  <c r="J273" i="43"/>
  <c r="L273" i="43"/>
  <c r="T273" i="43"/>
  <c r="X273" i="43"/>
  <c r="U273" i="43"/>
  <c r="Q273" i="43"/>
  <c r="S273" i="43"/>
  <c r="K273" i="43"/>
  <c r="N273" i="43"/>
  <c r="V273" i="43"/>
  <c r="P274" i="43"/>
  <c r="R274" i="43"/>
  <c r="J274" i="43"/>
  <c r="L274" i="43"/>
  <c r="T274" i="43"/>
  <c r="X274" i="43"/>
  <c r="U274" i="43"/>
  <c r="Q274" i="43"/>
  <c r="S274" i="43"/>
  <c r="K274" i="43"/>
  <c r="N274" i="43"/>
  <c r="V274" i="43"/>
  <c r="P275" i="43"/>
  <c r="R275" i="43"/>
  <c r="J275" i="43"/>
  <c r="L275" i="43"/>
  <c r="T275" i="43"/>
  <c r="X275" i="43"/>
  <c r="U275" i="43"/>
  <c r="Q275" i="43"/>
  <c r="S275" i="43"/>
  <c r="K275" i="43"/>
  <c r="N275" i="43"/>
  <c r="V275" i="43"/>
  <c r="P276" i="43"/>
  <c r="R276" i="43"/>
  <c r="J276" i="43"/>
  <c r="L276" i="43"/>
  <c r="T276" i="43"/>
  <c r="X276" i="43"/>
  <c r="U276" i="43"/>
  <c r="Q276" i="43"/>
  <c r="S276" i="43"/>
  <c r="K276" i="43"/>
  <c r="N276" i="43"/>
  <c r="V276" i="43"/>
  <c r="P277" i="43"/>
  <c r="R277" i="43"/>
  <c r="J277" i="43"/>
  <c r="L277" i="43"/>
  <c r="T277" i="43"/>
  <c r="X277" i="43"/>
  <c r="U277" i="43"/>
  <c r="Q277" i="43"/>
  <c r="S277" i="43"/>
  <c r="K277" i="43"/>
  <c r="N277" i="43"/>
  <c r="V277" i="43"/>
  <c r="P278" i="43"/>
  <c r="R278" i="43"/>
  <c r="J278" i="43"/>
  <c r="L278" i="43"/>
  <c r="T278" i="43"/>
  <c r="X278" i="43"/>
  <c r="U278" i="43"/>
  <c r="Q278" i="43"/>
  <c r="S278" i="43"/>
  <c r="K278" i="43"/>
  <c r="N278" i="43"/>
  <c r="V278" i="43"/>
  <c r="P279" i="43"/>
  <c r="R279" i="43"/>
  <c r="J279" i="43"/>
  <c r="L279" i="43"/>
  <c r="T279" i="43"/>
  <c r="X279" i="43"/>
  <c r="U279" i="43"/>
  <c r="Q279" i="43"/>
  <c r="S279" i="43"/>
  <c r="K279" i="43"/>
  <c r="N279" i="43"/>
  <c r="V279" i="43"/>
  <c r="P280" i="43"/>
  <c r="R280" i="43"/>
  <c r="J280" i="43"/>
  <c r="L280" i="43"/>
  <c r="T280" i="43"/>
  <c r="X280" i="43"/>
  <c r="U280" i="43"/>
  <c r="Q280" i="43"/>
  <c r="S280" i="43"/>
  <c r="K280" i="43"/>
  <c r="N280" i="43"/>
  <c r="V280" i="43"/>
  <c r="P281" i="43"/>
  <c r="R281" i="43"/>
  <c r="J281" i="43"/>
  <c r="L281" i="43"/>
  <c r="T281" i="43"/>
  <c r="X281" i="43"/>
  <c r="U281" i="43"/>
  <c r="Q281" i="43"/>
  <c r="S281" i="43"/>
  <c r="K281" i="43"/>
  <c r="N281" i="43"/>
  <c r="V281" i="43"/>
  <c r="P282" i="43"/>
  <c r="R282" i="43"/>
  <c r="J282" i="43"/>
  <c r="L282" i="43"/>
  <c r="T282" i="43"/>
  <c r="X282" i="43"/>
  <c r="U282" i="43"/>
  <c r="Q282" i="43"/>
  <c r="S282" i="43"/>
  <c r="K282" i="43"/>
  <c r="N282" i="43"/>
  <c r="V282" i="43"/>
  <c r="P283" i="43"/>
  <c r="R283" i="43"/>
  <c r="J283" i="43"/>
  <c r="L283" i="43"/>
  <c r="T283" i="43"/>
  <c r="X283" i="43"/>
  <c r="U283" i="43"/>
  <c r="Q283" i="43"/>
  <c r="S283" i="43"/>
  <c r="K283" i="43"/>
  <c r="N283" i="43"/>
  <c r="V283" i="43"/>
  <c r="P284" i="43"/>
  <c r="R284" i="43"/>
  <c r="J284" i="43"/>
  <c r="L284" i="43"/>
  <c r="T284" i="43"/>
  <c r="X284" i="43"/>
  <c r="U284" i="43"/>
  <c r="Q284" i="43"/>
  <c r="S284" i="43"/>
  <c r="K284" i="43"/>
  <c r="N284" i="43"/>
  <c r="V284" i="43"/>
  <c r="P285" i="43"/>
  <c r="R285" i="43"/>
  <c r="J285" i="43"/>
  <c r="L285" i="43"/>
  <c r="T285" i="43"/>
  <c r="X285" i="43"/>
  <c r="U285" i="43"/>
  <c r="Q285" i="43"/>
  <c r="S285" i="43"/>
  <c r="K285" i="43"/>
  <c r="N285" i="43"/>
  <c r="V285" i="43"/>
  <c r="P286" i="43"/>
  <c r="R286" i="43"/>
  <c r="J286" i="43"/>
  <c r="L286" i="43"/>
  <c r="T286" i="43"/>
  <c r="X286" i="43"/>
  <c r="U286" i="43"/>
  <c r="Q286" i="43"/>
  <c r="S286" i="43"/>
  <c r="K286" i="43"/>
  <c r="N286" i="43"/>
  <c r="V286" i="43"/>
  <c r="P287" i="43"/>
  <c r="R287" i="43"/>
  <c r="J287" i="43"/>
  <c r="L287" i="43"/>
  <c r="T287" i="43"/>
  <c r="X287" i="43"/>
  <c r="U287" i="43"/>
  <c r="Q287" i="43"/>
  <c r="S287" i="43"/>
  <c r="K287" i="43"/>
  <c r="N287" i="43"/>
  <c r="V287" i="43"/>
  <c r="P288" i="43"/>
  <c r="R288" i="43"/>
  <c r="J288" i="43"/>
  <c r="L288" i="43"/>
  <c r="T288" i="43"/>
  <c r="X288" i="43"/>
  <c r="U288" i="43"/>
  <c r="Q288" i="43"/>
  <c r="S288" i="43"/>
  <c r="K288" i="43"/>
  <c r="N288" i="43"/>
  <c r="V288" i="43"/>
  <c r="P289" i="43"/>
  <c r="R289" i="43"/>
  <c r="J289" i="43"/>
  <c r="L289" i="43"/>
  <c r="T289" i="43"/>
  <c r="X289" i="43"/>
  <c r="U289" i="43"/>
  <c r="Q289" i="43"/>
  <c r="S289" i="43"/>
  <c r="K289" i="43"/>
  <c r="N289" i="43"/>
  <c r="V289" i="43"/>
  <c r="P290" i="43"/>
  <c r="R290" i="43"/>
  <c r="J290" i="43"/>
  <c r="L290" i="43"/>
  <c r="T290" i="43"/>
  <c r="X290" i="43"/>
  <c r="U290" i="43"/>
  <c r="Q290" i="43"/>
  <c r="S290" i="43"/>
  <c r="K290" i="43"/>
  <c r="N290" i="43"/>
  <c r="V290" i="43"/>
  <c r="P291" i="43"/>
  <c r="R291" i="43"/>
  <c r="J291" i="43"/>
  <c r="L291" i="43"/>
  <c r="T291" i="43"/>
  <c r="X291" i="43"/>
  <c r="U291" i="43"/>
  <c r="Q291" i="43"/>
  <c r="S291" i="43"/>
  <c r="K291" i="43"/>
  <c r="N291" i="43"/>
  <c r="V291" i="43"/>
  <c r="P292" i="43"/>
  <c r="R292" i="43"/>
  <c r="J292" i="43"/>
  <c r="L292" i="43"/>
  <c r="T292" i="43"/>
  <c r="X292" i="43"/>
  <c r="U292" i="43"/>
  <c r="Q292" i="43"/>
  <c r="S292" i="43"/>
  <c r="K292" i="43"/>
  <c r="N292" i="43"/>
  <c r="V292" i="43"/>
  <c r="P293" i="43"/>
  <c r="R293" i="43"/>
  <c r="J293" i="43"/>
  <c r="L293" i="43"/>
  <c r="T293" i="43"/>
  <c r="X293" i="43"/>
  <c r="U293" i="43"/>
  <c r="Q293" i="43"/>
  <c r="S293" i="43"/>
  <c r="K293" i="43"/>
  <c r="N293" i="43"/>
  <c r="V293" i="43"/>
  <c r="P294" i="43"/>
  <c r="R294" i="43"/>
  <c r="J294" i="43"/>
  <c r="L294" i="43"/>
  <c r="T294" i="43"/>
  <c r="X294" i="43"/>
  <c r="U294" i="43"/>
  <c r="Q294" i="43"/>
  <c r="S294" i="43"/>
  <c r="K294" i="43"/>
  <c r="N294" i="43"/>
  <c r="V294" i="43"/>
  <c r="P295" i="43"/>
  <c r="R295" i="43"/>
  <c r="J295" i="43"/>
  <c r="L295" i="43"/>
  <c r="T295" i="43"/>
  <c r="X295" i="43"/>
  <c r="U295" i="43"/>
  <c r="Q295" i="43"/>
  <c r="S295" i="43"/>
  <c r="K295" i="43"/>
  <c r="N295" i="43"/>
  <c r="V295" i="43"/>
  <c r="P296" i="43"/>
  <c r="R296" i="43"/>
  <c r="J296" i="43"/>
  <c r="L296" i="43"/>
  <c r="T296" i="43"/>
  <c r="X296" i="43"/>
  <c r="U296" i="43"/>
  <c r="Q296" i="43"/>
  <c r="S296" i="43"/>
  <c r="K296" i="43"/>
  <c r="N296" i="43"/>
  <c r="V296" i="43"/>
  <c r="P297" i="43"/>
  <c r="R297" i="43"/>
  <c r="J297" i="43"/>
  <c r="L297" i="43"/>
  <c r="T297" i="43"/>
  <c r="X297" i="43"/>
  <c r="U297" i="43"/>
  <c r="Q297" i="43"/>
  <c r="S297" i="43"/>
  <c r="K297" i="43"/>
  <c r="N297" i="43"/>
  <c r="V297" i="43"/>
  <c r="P298" i="43"/>
  <c r="R298" i="43"/>
  <c r="J298" i="43"/>
  <c r="L298" i="43"/>
  <c r="T298" i="43"/>
  <c r="X298" i="43"/>
  <c r="U298" i="43"/>
  <c r="Q298" i="43"/>
  <c r="S298" i="43"/>
  <c r="K298" i="43"/>
  <c r="N298" i="43"/>
  <c r="V298" i="43"/>
  <c r="P299" i="43"/>
  <c r="R299" i="43"/>
  <c r="J299" i="43"/>
  <c r="L299" i="43"/>
  <c r="T299" i="43"/>
  <c r="X299" i="43"/>
  <c r="U299" i="43"/>
  <c r="Q299" i="43"/>
  <c r="S299" i="43"/>
  <c r="K299" i="43"/>
  <c r="N299" i="43"/>
  <c r="V299" i="43"/>
  <c r="P300" i="43"/>
  <c r="R300" i="43"/>
  <c r="J300" i="43"/>
  <c r="L300" i="43"/>
  <c r="T300" i="43"/>
  <c r="X300" i="43"/>
  <c r="U300" i="43"/>
  <c r="Q300" i="43"/>
  <c r="S300" i="43"/>
  <c r="K300" i="43"/>
  <c r="N300" i="43"/>
  <c r="V300" i="43"/>
  <c r="P301" i="43"/>
  <c r="R301" i="43"/>
  <c r="J301" i="43"/>
  <c r="L301" i="43"/>
  <c r="T301" i="43"/>
  <c r="X301" i="43"/>
  <c r="U301" i="43"/>
  <c r="Q301" i="43"/>
  <c r="S301" i="43"/>
  <c r="K301" i="43"/>
  <c r="N301" i="43"/>
  <c r="V301" i="43"/>
  <c r="P302" i="43"/>
  <c r="R302" i="43"/>
  <c r="J302" i="43"/>
  <c r="L302" i="43"/>
  <c r="T302" i="43"/>
  <c r="X302" i="43"/>
  <c r="U302" i="43"/>
  <c r="Q302" i="43"/>
  <c r="S302" i="43"/>
  <c r="K302" i="43"/>
  <c r="N302" i="43"/>
  <c r="V302" i="43"/>
  <c r="P303" i="43"/>
  <c r="R303" i="43"/>
  <c r="J303" i="43"/>
  <c r="L303" i="43"/>
  <c r="T303" i="43"/>
  <c r="X303" i="43"/>
  <c r="U303" i="43"/>
  <c r="Q303" i="43"/>
  <c r="S303" i="43"/>
  <c r="K303" i="43"/>
  <c r="N303" i="43"/>
  <c r="V303" i="43"/>
  <c r="P304" i="43"/>
  <c r="R304" i="43"/>
  <c r="J304" i="43"/>
  <c r="L304" i="43"/>
  <c r="T304" i="43"/>
  <c r="X304" i="43"/>
  <c r="U304" i="43"/>
  <c r="Q304" i="43"/>
  <c r="S304" i="43"/>
  <c r="K304" i="43"/>
  <c r="N304" i="43"/>
  <c r="V304" i="43"/>
  <c r="P305" i="43"/>
  <c r="R305" i="43"/>
  <c r="J305" i="43"/>
  <c r="L305" i="43"/>
  <c r="T305" i="43"/>
  <c r="X305" i="43"/>
  <c r="U305" i="43"/>
  <c r="Q305" i="43"/>
  <c r="S305" i="43"/>
  <c r="K305" i="43"/>
  <c r="N305" i="43"/>
  <c r="V305" i="43"/>
  <c r="P306" i="43"/>
  <c r="R306" i="43"/>
  <c r="J306" i="43"/>
  <c r="L306" i="43"/>
  <c r="T306" i="43"/>
  <c r="X306" i="43"/>
  <c r="U306" i="43"/>
  <c r="Q306" i="43"/>
  <c r="S306" i="43"/>
  <c r="K306" i="43"/>
  <c r="N306" i="43"/>
  <c r="V306" i="43"/>
  <c r="P307" i="43"/>
  <c r="R307" i="43"/>
  <c r="J307" i="43"/>
  <c r="L307" i="43"/>
  <c r="T307" i="43"/>
  <c r="X307" i="43"/>
  <c r="U307" i="43"/>
  <c r="Q307" i="43"/>
  <c r="S307" i="43"/>
  <c r="K307" i="43"/>
  <c r="N307" i="43"/>
  <c r="V307" i="43"/>
  <c r="P308" i="43"/>
  <c r="R308" i="43"/>
  <c r="J308" i="43"/>
  <c r="L308" i="43"/>
  <c r="T308" i="43"/>
  <c r="X308" i="43"/>
  <c r="U308" i="43"/>
  <c r="Q308" i="43"/>
  <c r="S308" i="43"/>
  <c r="K308" i="43"/>
  <c r="N308" i="43"/>
  <c r="V308" i="43"/>
  <c r="P309" i="43"/>
  <c r="R309" i="43"/>
  <c r="J309" i="43"/>
  <c r="L309" i="43"/>
  <c r="T309" i="43"/>
  <c r="X309" i="43"/>
  <c r="U309" i="43"/>
  <c r="Q309" i="43"/>
  <c r="S309" i="43"/>
  <c r="K309" i="43"/>
  <c r="N309" i="43"/>
  <c r="V309" i="43"/>
  <c r="P310" i="43"/>
  <c r="R310" i="43"/>
  <c r="J310" i="43"/>
  <c r="L310" i="43"/>
  <c r="T310" i="43"/>
  <c r="X310" i="43"/>
  <c r="U310" i="43"/>
  <c r="Q310" i="43"/>
  <c r="S310" i="43"/>
  <c r="K310" i="43"/>
  <c r="N310" i="43"/>
  <c r="V310" i="43"/>
  <c r="P311" i="43"/>
  <c r="R311" i="43"/>
  <c r="J311" i="43"/>
  <c r="L311" i="43"/>
  <c r="T311" i="43"/>
  <c r="X311" i="43"/>
  <c r="U311" i="43"/>
  <c r="Q311" i="43"/>
  <c r="S311" i="43"/>
  <c r="K311" i="43"/>
  <c r="N311" i="43"/>
  <c r="V311" i="43"/>
  <c r="P312" i="43"/>
  <c r="R312" i="43"/>
  <c r="J312" i="43"/>
  <c r="L312" i="43"/>
  <c r="T312" i="43"/>
  <c r="X312" i="43"/>
  <c r="U312" i="43"/>
  <c r="Q312" i="43"/>
  <c r="S312" i="43"/>
  <c r="K312" i="43"/>
  <c r="N312" i="43"/>
  <c r="V312" i="43"/>
  <c r="P313" i="43"/>
  <c r="R313" i="43"/>
  <c r="J313" i="43"/>
  <c r="L313" i="43"/>
  <c r="T313" i="43"/>
  <c r="X313" i="43"/>
  <c r="U313" i="43"/>
  <c r="Q313" i="43"/>
  <c r="S313" i="43"/>
  <c r="K313" i="43"/>
  <c r="N313" i="43"/>
  <c r="V313" i="43"/>
  <c r="P314" i="43"/>
  <c r="R314" i="43"/>
  <c r="J314" i="43"/>
  <c r="L314" i="43"/>
  <c r="T314" i="43"/>
  <c r="X314" i="43"/>
  <c r="U314" i="43"/>
  <c r="Q314" i="43"/>
  <c r="S314" i="43"/>
  <c r="K314" i="43"/>
  <c r="N314" i="43"/>
  <c r="V314" i="43"/>
  <c r="P315" i="43"/>
  <c r="R315" i="43"/>
  <c r="J315" i="43"/>
  <c r="L315" i="43"/>
  <c r="T315" i="43"/>
  <c r="X315" i="43"/>
  <c r="U315" i="43"/>
  <c r="Q315" i="43"/>
  <c r="S315" i="43"/>
  <c r="K315" i="43"/>
  <c r="N315" i="43"/>
  <c r="V315" i="43"/>
  <c r="P316" i="43"/>
  <c r="R316" i="43"/>
  <c r="J316" i="43"/>
  <c r="L316" i="43"/>
  <c r="T316" i="43"/>
  <c r="X316" i="43"/>
  <c r="U316" i="43"/>
  <c r="I316" i="43"/>
  <c r="Q316" i="43"/>
  <c r="S316" i="43"/>
  <c r="K316" i="43"/>
  <c r="N316" i="43"/>
  <c r="V316" i="43"/>
  <c r="P317" i="43"/>
  <c r="R317" i="43"/>
  <c r="J317" i="43"/>
  <c r="L317" i="43"/>
  <c r="T317" i="43"/>
  <c r="X317" i="43"/>
  <c r="U317" i="43"/>
  <c r="Q317" i="43"/>
  <c r="S317" i="43"/>
  <c r="K317" i="43"/>
  <c r="N317" i="43"/>
  <c r="V317" i="43"/>
  <c r="P318" i="43"/>
  <c r="R318" i="43"/>
  <c r="J318" i="43"/>
  <c r="L318" i="43"/>
  <c r="T318" i="43"/>
  <c r="X318" i="43"/>
  <c r="U318" i="43"/>
  <c r="Q318" i="43"/>
  <c r="S318" i="43"/>
  <c r="K318" i="43"/>
  <c r="N318" i="43"/>
  <c r="V318" i="43"/>
  <c r="P319" i="43"/>
  <c r="R319" i="43"/>
  <c r="J319" i="43"/>
  <c r="L319" i="43"/>
  <c r="T319" i="43"/>
  <c r="X319" i="43"/>
  <c r="U319" i="43"/>
  <c r="Q319" i="43"/>
  <c r="S319" i="43"/>
  <c r="K319" i="43"/>
  <c r="N319" i="43"/>
  <c r="V319" i="43"/>
  <c r="P320" i="43"/>
  <c r="R320" i="43"/>
  <c r="J320" i="43"/>
  <c r="L320" i="43"/>
  <c r="T320" i="43"/>
  <c r="X320" i="43"/>
  <c r="U320" i="43"/>
  <c r="Q320" i="43"/>
  <c r="S320" i="43"/>
  <c r="K320" i="43"/>
  <c r="N320" i="43"/>
  <c r="V320" i="43"/>
  <c r="P321" i="43"/>
  <c r="R321" i="43"/>
  <c r="J321" i="43"/>
  <c r="L321" i="43"/>
  <c r="T321" i="43"/>
  <c r="X321" i="43"/>
  <c r="U321" i="43"/>
  <c r="Q321" i="43"/>
  <c r="S321" i="43"/>
  <c r="K321" i="43"/>
  <c r="N321" i="43"/>
  <c r="V321" i="43"/>
  <c r="P322" i="43"/>
  <c r="R322" i="43"/>
  <c r="J322" i="43"/>
  <c r="L322" i="43"/>
  <c r="T322" i="43"/>
  <c r="X322" i="43"/>
  <c r="U322" i="43"/>
  <c r="Q322" i="43"/>
  <c r="S322" i="43"/>
  <c r="K322" i="43"/>
  <c r="N322" i="43"/>
  <c r="V322" i="43"/>
  <c r="P323" i="43"/>
  <c r="R323" i="43"/>
  <c r="J323" i="43"/>
  <c r="L323" i="43"/>
  <c r="T323" i="43"/>
  <c r="X323" i="43"/>
  <c r="U323" i="43"/>
  <c r="Q323" i="43"/>
  <c r="S323" i="43"/>
  <c r="K323" i="43"/>
  <c r="N323" i="43"/>
  <c r="V323" i="43"/>
  <c r="P324" i="43"/>
  <c r="R324" i="43"/>
  <c r="J324" i="43"/>
  <c r="L324" i="43"/>
  <c r="T324" i="43"/>
  <c r="X324" i="43"/>
  <c r="U324" i="43"/>
  <c r="Q324" i="43"/>
  <c r="S324" i="43"/>
  <c r="K324" i="43"/>
  <c r="N324" i="43"/>
  <c r="V324" i="43"/>
  <c r="P325" i="43"/>
  <c r="R325" i="43"/>
  <c r="J325" i="43"/>
  <c r="L325" i="43"/>
  <c r="T325" i="43"/>
  <c r="X325" i="43"/>
  <c r="U325" i="43"/>
  <c r="Q325" i="43"/>
  <c r="S325" i="43"/>
  <c r="K325" i="43"/>
  <c r="N325" i="43"/>
  <c r="V325" i="43"/>
  <c r="P326" i="43"/>
  <c r="R326" i="43"/>
  <c r="J326" i="43"/>
  <c r="L326" i="43"/>
  <c r="T326" i="43"/>
  <c r="X326" i="43"/>
  <c r="U326" i="43"/>
  <c r="Q326" i="43"/>
  <c r="S326" i="43"/>
  <c r="K326" i="43"/>
  <c r="N326" i="43"/>
  <c r="V326" i="43"/>
  <c r="P327" i="43"/>
  <c r="R327" i="43"/>
  <c r="J327" i="43"/>
  <c r="L327" i="43"/>
  <c r="T327" i="43"/>
  <c r="X327" i="43"/>
  <c r="U327" i="43"/>
  <c r="Q327" i="43"/>
  <c r="S327" i="43"/>
  <c r="K327" i="43"/>
  <c r="N327" i="43"/>
  <c r="V327" i="43"/>
  <c r="P328" i="43"/>
  <c r="R328" i="43"/>
  <c r="J328" i="43"/>
  <c r="L328" i="43"/>
  <c r="T328" i="43"/>
  <c r="X328" i="43"/>
  <c r="U328" i="43"/>
  <c r="Q328" i="43"/>
  <c r="S328" i="43"/>
  <c r="K328" i="43"/>
  <c r="N328" i="43"/>
  <c r="V328" i="43"/>
  <c r="P329" i="43"/>
  <c r="R329" i="43"/>
  <c r="J329" i="43"/>
  <c r="L329" i="43"/>
  <c r="T329" i="43"/>
  <c r="X329" i="43"/>
  <c r="U329" i="43"/>
  <c r="Q329" i="43"/>
  <c r="S329" i="43"/>
  <c r="K329" i="43"/>
  <c r="N329" i="43"/>
  <c r="V329" i="43"/>
  <c r="P330" i="43"/>
  <c r="R330" i="43"/>
  <c r="J330" i="43"/>
  <c r="L330" i="43"/>
  <c r="T330" i="43"/>
  <c r="X330" i="43"/>
  <c r="U330" i="43"/>
  <c r="Q330" i="43"/>
  <c r="S330" i="43"/>
  <c r="K330" i="43"/>
  <c r="N330" i="43"/>
  <c r="V330" i="43"/>
  <c r="P331" i="43"/>
  <c r="R331" i="43"/>
  <c r="J331" i="43"/>
  <c r="L331" i="43"/>
  <c r="T331" i="43"/>
  <c r="X331" i="43"/>
  <c r="U331" i="43"/>
  <c r="Q331" i="43"/>
  <c r="S331" i="43"/>
  <c r="K331" i="43"/>
  <c r="N331" i="43"/>
  <c r="V331" i="43"/>
  <c r="P332" i="43"/>
  <c r="R332" i="43"/>
  <c r="J332" i="43"/>
  <c r="L332" i="43"/>
  <c r="T332" i="43"/>
  <c r="X332" i="43"/>
  <c r="U332" i="43"/>
  <c r="Q332" i="43"/>
  <c r="S332" i="43"/>
  <c r="K332" i="43"/>
  <c r="N332" i="43"/>
  <c r="V332" i="43"/>
  <c r="P333" i="43"/>
  <c r="R333" i="43"/>
  <c r="J333" i="43"/>
  <c r="L333" i="43"/>
  <c r="T333" i="43"/>
  <c r="X333" i="43"/>
  <c r="U333" i="43"/>
  <c r="Q333" i="43"/>
  <c r="S333" i="43"/>
  <c r="K333" i="43"/>
  <c r="N333" i="43"/>
  <c r="V333" i="43"/>
  <c r="P334" i="43"/>
  <c r="R334" i="43"/>
  <c r="J334" i="43"/>
  <c r="L334" i="43"/>
  <c r="T334" i="43"/>
  <c r="X334" i="43"/>
  <c r="U334" i="43"/>
  <c r="Q334" i="43"/>
  <c r="S334" i="43"/>
  <c r="K334" i="43"/>
  <c r="N334" i="43"/>
  <c r="V334" i="43"/>
  <c r="P335" i="43"/>
  <c r="R335" i="43"/>
  <c r="J335" i="43"/>
  <c r="L335" i="43"/>
  <c r="T335" i="43"/>
  <c r="X335" i="43"/>
  <c r="U335" i="43"/>
  <c r="Q335" i="43"/>
  <c r="S335" i="43"/>
  <c r="K335" i="43"/>
  <c r="N335" i="43"/>
  <c r="V335" i="43"/>
  <c r="P336" i="43"/>
  <c r="R336" i="43"/>
  <c r="J336" i="43"/>
  <c r="L336" i="43"/>
  <c r="T336" i="43"/>
  <c r="X336" i="43"/>
  <c r="U336" i="43"/>
  <c r="Q336" i="43"/>
  <c r="S336" i="43"/>
  <c r="K336" i="43"/>
  <c r="N336" i="43"/>
  <c r="V336" i="43"/>
  <c r="P337" i="43"/>
  <c r="R337" i="43"/>
  <c r="J337" i="43"/>
  <c r="L337" i="43"/>
  <c r="T337" i="43"/>
  <c r="X337" i="43"/>
  <c r="U337" i="43"/>
  <c r="Q337" i="43"/>
  <c r="S337" i="43"/>
  <c r="K337" i="43"/>
  <c r="N337" i="43"/>
  <c r="V337" i="43"/>
  <c r="P338" i="43"/>
  <c r="R338" i="43"/>
  <c r="J338" i="43"/>
  <c r="L338" i="43"/>
  <c r="T338" i="43"/>
  <c r="X338" i="43"/>
  <c r="U338" i="43"/>
  <c r="Q338" i="43"/>
  <c r="S338" i="43"/>
  <c r="K338" i="43"/>
  <c r="N338" i="43"/>
  <c r="V338" i="43"/>
  <c r="P339" i="43"/>
  <c r="R339" i="43"/>
  <c r="J339" i="43"/>
  <c r="L339" i="43"/>
  <c r="T339" i="43"/>
  <c r="X339" i="43"/>
  <c r="U339" i="43"/>
  <c r="Q339" i="43"/>
  <c r="S339" i="43"/>
  <c r="K339" i="43"/>
  <c r="N339" i="43"/>
  <c r="V339" i="43"/>
  <c r="P340" i="43"/>
  <c r="R340" i="43"/>
  <c r="J340" i="43"/>
  <c r="L340" i="43"/>
  <c r="T340" i="43"/>
  <c r="X340" i="43"/>
  <c r="U340" i="43"/>
  <c r="Q340" i="43"/>
  <c r="S340" i="43"/>
  <c r="K340" i="43"/>
  <c r="N340" i="43"/>
  <c r="V340" i="43"/>
  <c r="P341" i="43"/>
  <c r="R341" i="43"/>
  <c r="J341" i="43"/>
  <c r="L341" i="43"/>
  <c r="T341" i="43"/>
  <c r="X341" i="43"/>
  <c r="U341" i="43"/>
  <c r="Q341" i="43"/>
  <c r="S341" i="43"/>
  <c r="K341" i="43"/>
  <c r="N341" i="43"/>
  <c r="V341" i="43"/>
  <c r="P342" i="43"/>
  <c r="R342" i="43"/>
  <c r="J342" i="43"/>
  <c r="L342" i="43"/>
  <c r="T342" i="43"/>
  <c r="X342" i="43"/>
  <c r="U342" i="43"/>
  <c r="Q342" i="43"/>
  <c r="S342" i="43"/>
  <c r="K342" i="43"/>
  <c r="N342" i="43"/>
  <c r="V342" i="43"/>
  <c r="P343" i="43"/>
  <c r="R343" i="43"/>
  <c r="J343" i="43"/>
  <c r="L343" i="43"/>
  <c r="T343" i="43"/>
  <c r="X343" i="43"/>
  <c r="U343" i="43"/>
  <c r="Q343" i="43"/>
  <c r="S343" i="43"/>
  <c r="K343" i="43"/>
  <c r="N343" i="43"/>
  <c r="V343" i="43"/>
  <c r="P344" i="43"/>
  <c r="R344" i="43"/>
  <c r="J344" i="43"/>
  <c r="L344" i="43"/>
  <c r="T344" i="43"/>
  <c r="X344" i="43"/>
  <c r="U344" i="43"/>
  <c r="Q344" i="43"/>
  <c r="S344" i="43"/>
  <c r="K344" i="43"/>
  <c r="N344" i="43"/>
  <c r="V344" i="43"/>
  <c r="P345" i="43"/>
  <c r="R345" i="43"/>
  <c r="J345" i="43"/>
  <c r="L345" i="43"/>
  <c r="T345" i="43"/>
  <c r="X345" i="43"/>
  <c r="U345" i="43"/>
  <c r="Q345" i="43"/>
  <c r="S345" i="43"/>
  <c r="K345" i="43"/>
  <c r="N345" i="43"/>
  <c r="V345" i="43"/>
  <c r="P346" i="43"/>
  <c r="R346" i="43"/>
  <c r="J346" i="43"/>
  <c r="L346" i="43"/>
  <c r="T346" i="43"/>
  <c r="X346" i="43"/>
  <c r="U346" i="43"/>
  <c r="Q346" i="43"/>
  <c r="S346" i="43"/>
  <c r="K346" i="43"/>
  <c r="N346" i="43"/>
  <c r="V346" i="43"/>
  <c r="P347" i="43"/>
  <c r="R347" i="43"/>
  <c r="J347" i="43"/>
  <c r="L347" i="43"/>
  <c r="T347" i="43"/>
  <c r="X347" i="43"/>
  <c r="U347" i="43"/>
  <c r="Q347" i="43"/>
  <c r="S347" i="43"/>
  <c r="K347" i="43"/>
  <c r="N347" i="43"/>
  <c r="V347" i="43"/>
  <c r="P348" i="43"/>
  <c r="R348" i="43"/>
  <c r="J348" i="43"/>
  <c r="L348" i="43"/>
  <c r="T348" i="43"/>
  <c r="X348" i="43"/>
  <c r="U348" i="43"/>
  <c r="Q348" i="43"/>
  <c r="S348" i="43"/>
  <c r="K348" i="43"/>
  <c r="N348" i="43"/>
  <c r="V348" i="43"/>
  <c r="P349" i="43"/>
  <c r="R349" i="43"/>
  <c r="J349" i="43"/>
  <c r="L349" i="43"/>
  <c r="T349" i="43"/>
  <c r="X349" i="43"/>
  <c r="U349" i="43"/>
  <c r="Q349" i="43"/>
  <c r="S349" i="43"/>
  <c r="K349" i="43"/>
  <c r="N349" i="43"/>
  <c r="V349" i="43"/>
  <c r="P350" i="43"/>
  <c r="R350" i="43"/>
  <c r="J350" i="43"/>
  <c r="L350" i="43"/>
  <c r="T350" i="43"/>
  <c r="X350" i="43"/>
  <c r="U350" i="43"/>
  <c r="Q350" i="43"/>
  <c r="S350" i="43"/>
  <c r="K350" i="43"/>
  <c r="N350" i="43"/>
  <c r="V350" i="43"/>
  <c r="P351" i="43"/>
  <c r="R351" i="43"/>
  <c r="J351" i="43"/>
  <c r="L351" i="43"/>
  <c r="T351" i="43"/>
  <c r="X351" i="43"/>
  <c r="U351" i="43"/>
  <c r="Q351" i="43"/>
  <c r="S351" i="43"/>
  <c r="K351" i="43"/>
  <c r="N351" i="43"/>
  <c r="V351" i="43"/>
  <c r="P352" i="43"/>
  <c r="R352" i="43"/>
  <c r="J352" i="43"/>
  <c r="L352" i="43"/>
  <c r="T352" i="43"/>
  <c r="X352" i="43"/>
  <c r="U352" i="43"/>
  <c r="Q352" i="43"/>
  <c r="S352" i="43"/>
  <c r="K352" i="43"/>
  <c r="N352" i="43"/>
  <c r="V352" i="43"/>
  <c r="P353" i="43"/>
  <c r="R353" i="43"/>
  <c r="J353" i="43"/>
  <c r="L353" i="43"/>
  <c r="T353" i="43"/>
  <c r="X353" i="43"/>
  <c r="U353" i="43"/>
  <c r="Q353" i="43"/>
  <c r="S353" i="43"/>
  <c r="K353" i="43"/>
  <c r="N353" i="43"/>
  <c r="V353" i="43"/>
  <c r="P354" i="43"/>
  <c r="R354" i="43"/>
  <c r="J354" i="43"/>
  <c r="L354" i="43"/>
  <c r="T354" i="43"/>
  <c r="X354" i="43"/>
  <c r="U354" i="43"/>
  <c r="Q354" i="43"/>
  <c r="S354" i="43"/>
  <c r="K354" i="43"/>
  <c r="N354" i="43"/>
  <c r="V354" i="43"/>
  <c r="P355" i="43"/>
  <c r="R355" i="43"/>
  <c r="J355" i="43"/>
  <c r="L355" i="43"/>
  <c r="T355" i="43"/>
  <c r="X355" i="43"/>
  <c r="U355" i="43"/>
  <c r="Q355" i="43"/>
  <c r="S355" i="43"/>
  <c r="K355" i="43"/>
  <c r="N355" i="43"/>
  <c r="V355" i="43"/>
  <c r="P356" i="43"/>
  <c r="R356" i="43"/>
  <c r="J356" i="43"/>
  <c r="L356" i="43"/>
  <c r="T356" i="43"/>
  <c r="X356" i="43"/>
  <c r="U356" i="43"/>
  <c r="Q356" i="43"/>
  <c r="S356" i="43"/>
  <c r="K356" i="43"/>
  <c r="N356" i="43"/>
  <c r="V356" i="43"/>
  <c r="P357" i="43"/>
  <c r="R357" i="43"/>
  <c r="J357" i="43"/>
  <c r="L357" i="43"/>
  <c r="T357" i="43"/>
  <c r="X357" i="43"/>
  <c r="U357" i="43"/>
  <c r="Q357" i="43"/>
  <c r="S357" i="43"/>
  <c r="K357" i="43"/>
  <c r="N357" i="43"/>
  <c r="V357" i="43"/>
  <c r="P358" i="43"/>
  <c r="R358" i="43"/>
  <c r="J358" i="43"/>
  <c r="L358" i="43"/>
  <c r="T358" i="43"/>
  <c r="X358" i="43"/>
  <c r="U358" i="43"/>
  <c r="Q358" i="43"/>
  <c r="S358" i="43"/>
  <c r="K358" i="43"/>
  <c r="N358" i="43"/>
  <c r="V358" i="43"/>
  <c r="P359" i="43"/>
  <c r="R359" i="43"/>
  <c r="J359" i="43"/>
  <c r="L359" i="43"/>
  <c r="T359" i="43"/>
  <c r="X359" i="43"/>
  <c r="U359" i="43"/>
  <c r="Q359" i="43"/>
  <c r="S359" i="43"/>
  <c r="K359" i="43"/>
  <c r="N359" i="43"/>
  <c r="V359" i="43"/>
  <c r="P360" i="43"/>
  <c r="R360" i="43"/>
  <c r="J360" i="43"/>
  <c r="L360" i="43"/>
  <c r="T360" i="43"/>
  <c r="X360" i="43"/>
  <c r="U360" i="43"/>
  <c r="Q360" i="43"/>
  <c r="S360" i="43"/>
  <c r="K360" i="43"/>
  <c r="N360" i="43"/>
  <c r="V360" i="43"/>
  <c r="P361" i="43"/>
  <c r="R361" i="43"/>
  <c r="J361" i="43"/>
  <c r="L361" i="43"/>
  <c r="T361" i="43"/>
  <c r="X361" i="43"/>
  <c r="U361" i="43"/>
  <c r="Q361" i="43"/>
  <c r="S361" i="43"/>
  <c r="K361" i="43"/>
  <c r="N361" i="43"/>
  <c r="V361" i="43"/>
  <c r="P362" i="43"/>
  <c r="R362" i="43"/>
  <c r="J362" i="43"/>
  <c r="L362" i="43"/>
  <c r="T362" i="43"/>
  <c r="X362" i="43"/>
  <c r="U362" i="43"/>
  <c r="Q362" i="43"/>
  <c r="S362" i="43"/>
  <c r="K362" i="43"/>
  <c r="N362" i="43"/>
  <c r="V362" i="43"/>
  <c r="P363" i="43"/>
  <c r="R363" i="43"/>
  <c r="J363" i="43"/>
  <c r="L363" i="43"/>
  <c r="T363" i="43"/>
  <c r="X363" i="43"/>
  <c r="U363" i="43"/>
  <c r="Q363" i="43"/>
  <c r="S363" i="43"/>
  <c r="K363" i="43"/>
  <c r="N363" i="43"/>
  <c r="V363" i="43"/>
  <c r="P364" i="43"/>
  <c r="R364" i="43"/>
  <c r="J364" i="43"/>
  <c r="L364" i="43"/>
  <c r="T364" i="43"/>
  <c r="X364" i="43"/>
  <c r="U364" i="43"/>
  <c r="Q364" i="43"/>
  <c r="S364" i="43"/>
  <c r="K364" i="43"/>
  <c r="N364" i="43"/>
  <c r="V364" i="43"/>
  <c r="P365" i="43"/>
  <c r="R365" i="43"/>
  <c r="J365" i="43"/>
  <c r="L365" i="43"/>
  <c r="T365" i="43"/>
  <c r="X365" i="43"/>
  <c r="U365" i="43"/>
  <c r="Q365" i="43"/>
  <c r="S365" i="43"/>
  <c r="K365" i="43"/>
  <c r="N365" i="43"/>
  <c r="V365" i="43"/>
  <c r="P366" i="43"/>
  <c r="R366" i="43"/>
  <c r="J366" i="43"/>
  <c r="L366" i="43"/>
  <c r="T366" i="43"/>
  <c r="X366" i="43"/>
  <c r="U366" i="43"/>
  <c r="Q366" i="43"/>
  <c r="S366" i="43"/>
  <c r="K366" i="43"/>
  <c r="N366" i="43"/>
  <c r="V366" i="43"/>
  <c r="P367" i="43"/>
  <c r="R367" i="43"/>
  <c r="J367" i="43"/>
  <c r="L367" i="43"/>
  <c r="T367" i="43"/>
  <c r="X367" i="43"/>
  <c r="U367" i="43"/>
  <c r="Q367" i="43"/>
  <c r="S367" i="43"/>
  <c r="K367" i="43"/>
  <c r="N367" i="43"/>
  <c r="V367" i="43"/>
  <c r="P368" i="43"/>
  <c r="R368" i="43"/>
  <c r="J368" i="43"/>
  <c r="L368" i="43"/>
  <c r="T368" i="43"/>
  <c r="X368" i="43"/>
  <c r="U368" i="43"/>
  <c r="Q368" i="43"/>
  <c r="S368" i="43"/>
  <c r="K368" i="43"/>
  <c r="N368" i="43"/>
  <c r="V368" i="43"/>
  <c r="P369" i="43"/>
  <c r="R369" i="43"/>
  <c r="J369" i="43"/>
  <c r="L369" i="43"/>
  <c r="T369" i="43"/>
  <c r="X369" i="43"/>
  <c r="U369" i="43"/>
  <c r="Q369" i="43"/>
  <c r="S369" i="43"/>
  <c r="K369" i="43"/>
  <c r="N369" i="43"/>
  <c r="V369" i="43"/>
  <c r="P370" i="43"/>
  <c r="R370" i="43"/>
  <c r="J370" i="43"/>
  <c r="L370" i="43"/>
  <c r="T370" i="43"/>
  <c r="X370" i="43"/>
  <c r="U370" i="43"/>
  <c r="Q370" i="43"/>
  <c r="S370" i="43"/>
  <c r="K370" i="43"/>
  <c r="N370" i="43"/>
  <c r="V370" i="43"/>
  <c r="P371" i="43"/>
  <c r="R371" i="43"/>
  <c r="J371" i="43"/>
  <c r="L371" i="43"/>
  <c r="T371" i="43"/>
  <c r="X371" i="43"/>
  <c r="U371" i="43"/>
  <c r="Q371" i="43"/>
  <c r="S371" i="43"/>
  <c r="K371" i="43"/>
  <c r="N371" i="43"/>
  <c r="V371" i="43"/>
  <c r="P372" i="43"/>
  <c r="R372" i="43"/>
  <c r="J372" i="43"/>
  <c r="L372" i="43"/>
  <c r="T372" i="43"/>
  <c r="X372" i="43"/>
  <c r="U372" i="43"/>
  <c r="Q372" i="43"/>
  <c r="S372" i="43"/>
  <c r="K372" i="43"/>
  <c r="N372" i="43"/>
  <c r="V372" i="43"/>
  <c r="P373" i="43"/>
  <c r="R373" i="43"/>
  <c r="J373" i="43"/>
  <c r="L373" i="43"/>
  <c r="T373" i="43"/>
  <c r="X373" i="43"/>
  <c r="U373" i="43"/>
  <c r="Q373" i="43"/>
  <c r="S373" i="43"/>
  <c r="K373" i="43"/>
  <c r="N373" i="43"/>
  <c r="V373" i="43"/>
  <c r="P374" i="43"/>
  <c r="R374" i="43"/>
  <c r="J374" i="43"/>
  <c r="L374" i="43"/>
  <c r="T374" i="43"/>
  <c r="X374" i="43"/>
  <c r="U374" i="43"/>
  <c r="Q374" i="43"/>
  <c r="S374" i="43"/>
  <c r="K374" i="43"/>
  <c r="N374" i="43"/>
  <c r="V374" i="43"/>
  <c r="P375" i="43"/>
  <c r="R375" i="43"/>
  <c r="J375" i="43"/>
  <c r="L375" i="43"/>
  <c r="T375" i="43"/>
  <c r="X375" i="43"/>
  <c r="U375" i="43"/>
  <c r="Q375" i="43"/>
  <c r="S375" i="43"/>
  <c r="K375" i="43"/>
  <c r="N375" i="43"/>
  <c r="V375" i="43"/>
  <c r="P376" i="43"/>
  <c r="R376" i="43"/>
  <c r="J376" i="43"/>
  <c r="L376" i="43"/>
  <c r="T376" i="43"/>
  <c r="X376" i="43"/>
  <c r="U376" i="43"/>
  <c r="Q376" i="43"/>
  <c r="S376" i="43"/>
  <c r="K376" i="43"/>
  <c r="N376" i="43"/>
  <c r="V376" i="43"/>
  <c r="P377" i="43"/>
  <c r="R377" i="43"/>
  <c r="J377" i="43"/>
  <c r="L377" i="43"/>
  <c r="T377" i="43"/>
  <c r="X377" i="43"/>
  <c r="U377" i="43"/>
  <c r="Q377" i="43"/>
  <c r="S377" i="43"/>
  <c r="K377" i="43"/>
  <c r="N377" i="43"/>
  <c r="V377" i="43"/>
  <c r="P378" i="43"/>
  <c r="R378" i="43"/>
  <c r="J378" i="43"/>
  <c r="L378" i="43"/>
  <c r="T378" i="43"/>
  <c r="X378" i="43"/>
  <c r="U378" i="43"/>
  <c r="Q378" i="43"/>
  <c r="S378" i="43"/>
  <c r="K378" i="43"/>
  <c r="N378" i="43"/>
  <c r="V378" i="43"/>
  <c r="P379" i="43"/>
  <c r="R379" i="43"/>
  <c r="J379" i="43"/>
  <c r="L379" i="43"/>
  <c r="T379" i="43"/>
  <c r="X379" i="43"/>
  <c r="U379" i="43"/>
  <c r="Q379" i="43"/>
  <c r="S379" i="43"/>
  <c r="K379" i="43"/>
  <c r="N379" i="43"/>
  <c r="V379" i="43"/>
  <c r="P380" i="43"/>
  <c r="R380" i="43"/>
  <c r="J380" i="43"/>
  <c r="L380" i="43"/>
  <c r="T380" i="43"/>
  <c r="X380" i="43"/>
  <c r="U380" i="43"/>
  <c r="Q380" i="43"/>
  <c r="S380" i="43"/>
  <c r="K380" i="43"/>
  <c r="N380" i="43"/>
  <c r="V380" i="43"/>
  <c r="P381" i="43"/>
  <c r="R381" i="43"/>
  <c r="J381" i="43"/>
  <c r="L381" i="43"/>
  <c r="T381" i="43"/>
  <c r="X381" i="43"/>
  <c r="U381" i="43"/>
  <c r="Q381" i="43"/>
  <c r="S381" i="43"/>
  <c r="K381" i="43"/>
  <c r="N381" i="43"/>
  <c r="V381" i="43"/>
  <c r="P382" i="43"/>
  <c r="R382" i="43"/>
  <c r="J382" i="43"/>
  <c r="L382" i="43"/>
  <c r="T382" i="43"/>
  <c r="X382" i="43"/>
  <c r="U382" i="43"/>
  <c r="Q382" i="43"/>
  <c r="S382" i="43"/>
  <c r="K382" i="43"/>
  <c r="N382" i="43"/>
  <c r="V382" i="43"/>
  <c r="P383" i="43"/>
  <c r="R383" i="43"/>
  <c r="J383" i="43"/>
  <c r="L383" i="43"/>
  <c r="T383" i="43"/>
  <c r="X383" i="43"/>
  <c r="U383" i="43"/>
  <c r="Q383" i="43"/>
  <c r="S383" i="43"/>
  <c r="K383" i="43"/>
  <c r="N383" i="43"/>
  <c r="V383" i="43"/>
  <c r="P384" i="43"/>
  <c r="R384" i="43"/>
  <c r="J384" i="43"/>
  <c r="L384" i="43"/>
  <c r="T384" i="43"/>
  <c r="X384" i="43"/>
  <c r="U384" i="43"/>
  <c r="Q384" i="43"/>
  <c r="S384" i="43"/>
  <c r="K384" i="43"/>
  <c r="N384" i="43"/>
  <c r="V384" i="43"/>
  <c r="P385" i="43"/>
  <c r="R385" i="43"/>
  <c r="J385" i="43"/>
  <c r="L385" i="43"/>
  <c r="T385" i="43"/>
  <c r="X385" i="43"/>
  <c r="U385" i="43"/>
  <c r="Q385" i="43"/>
  <c r="S385" i="43"/>
  <c r="K385" i="43"/>
  <c r="N385" i="43"/>
  <c r="V385" i="43"/>
  <c r="P386" i="43"/>
  <c r="R386" i="43"/>
  <c r="J386" i="43"/>
  <c r="L386" i="43"/>
  <c r="T386" i="43"/>
  <c r="X386" i="43"/>
  <c r="U386" i="43"/>
  <c r="Q386" i="43"/>
  <c r="S386" i="43"/>
  <c r="K386" i="43"/>
  <c r="N386" i="43"/>
  <c r="V386" i="43"/>
  <c r="P387" i="43"/>
  <c r="R387" i="43"/>
  <c r="J387" i="43"/>
  <c r="L387" i="43"/>
  <c r="T387" i="43"/>
  <c r="X387" i="43"/>
  <c r="U387" i="43"/>
  <c r="Q387" i="43"/>
  <c r="S387" i="43"/>
  <c r="K387" i="43"/>
  <c r="N387" i="43"/>
  <c r="V387" i="43"/>
  <c r="P388" i="43"/>
  <c r="R388" i="43"/>
  <c r="J388" i="43"/>
  <c r="L388" i="43"/>
  <c r="T388" i="43"/>
  <c r="X388" i="43"/>
  <c r="U388" i="43"/>
  <c r="Q388" i="43"/>
  <c r="S388" i="43"/>
  <c r="K388" i="43"/>
  <c r="N388" i="43"/>
  <c r="V388" i="43"/>
  <c r="P389" i="43"/>
  <c r="R389" i="43"/>
  <c r="J389" i="43"/>
  <c r="L389" i="43"/>
  <c r="T389" i="43"/>
  <c r="X389" i="43"/>
  <c r="U389" i="43"/>
  <c r="Q389" i="43"/>
  <c r="S389" i="43"/>
  <c r="K389" i="43"/>
  <c r="N389" i="43"/>
  <c r="V389" i="43"/>
  <c r="P390" i="43"/>
  <c r="R390" i="43"/>
  <c r="J390" i="43"/>
  <c r="L390" i="43"/>
  <c r="T390" i="43"/>
  <c r="X390" i="43"/>
  <c r="U390" i="43"/>
  <c r="Q390" i="43"/>
  <c r="S390" i="43"/>
  <c r="K390" i="43"/>
  <c r="N390" i="43"/>
  <c r="V390" i="43"/>
  <c r="P391" i="43"/>
  <c r="R391" i="43"/>
  <c r="J391" i="43"/>
  <c r="L391" i="43"/>
  <c r="T391" i="43"/>
  <c r="X391" i="43"/>
  <c r="U391" i="43"/>
  <c r="Q391" i="43"/>
  <c r="S391" i="43"/>
  <c r="K391" i="43"/>
  <c r="N391" i="43"/>
  <c r="V391" i="43"/>
  <c r="P392" i="43"/>
  <c r="R392" i="43"/>
  <c r="J392" i="43"/>
  <c r="L392" i="43"/>
  <c r="T392" i="43"/>
  <c r="X392" i="43"/>
  <c r="U392" i="43"/>
  <c r="Q392" i="43"/>
  <c r="S392" i="43"/>
  <c r="K392" i="43"/>
  <c r="N392" i="43"/>
  <c r="V392" i="43"/>
  <c r="P393" i="43"/>
  <c r="R393" i="43"/>
  <c r="J393" i="43"/>
  <c r="L393" i="43"/>
  <c r="T393" i="43"/>
  <c r="X393" i="43"/>
  <c r="U393" i="43"/>
  <c r="Q393" i="43"/>
  <c r="S393" i="43"/>
  <c r="K393" i="43"/>
  <c r="N393" i="43"/>
  <c r="V393" i="43"/>
  <c r="P394" i="43"/>
  <c r="R394" i="43"/>
  <c r="J394" i="43"/>
  <c r="L394" i="43"/>
  <c r="T394" i="43"/>
  <c r="X394" i="43"/>
  <c r="U394" i="43"/>
  <c r="Q394" i="43"/>
  <c r="S394" i="43"/>
  <c r="K394" i="43"/>
  <c r="N394" i="43"/>
  <c r="V394" i="43"/>
  <c r="P395" i="43"/>
  <c r="R395" i="43"/>
  <c r="J395" i="43"/>
  <c r="L395" i="43"/>
  <c r="T395" i="43"/>
  <c r="X395" i="43"/>
  <c r="U395" i="43"/>
  <c r="Q395" i="43"/>
  <c r="S395" i="43"/>
  <c r="K395" i="43"/>
  <c r="N395" i="43"/>
  <c r="V395" i="43"/>
  <c r="P396" i="43"/>
  <c r="R396" i="43"/>
  <c r="J396" i="43"/>
  <c r="L396" i="43"/>
  <c r="T396" i="43"/>
  <c r="X396" i="43"/>
  <c r="U396" i="43"/>
  <c r="C422" i="11"/>
  <c r="Q396" i="43"/>
  <c r="S396" i="43"/>
  <c r="K396" i="43"/>
  <c r="N396" i="43"/>
  <c r="V396" i="43"/>
  <c r="P397" i="43"/>
  <c r="R397" i="43"/>
  <c r="J397" i="43"/>
  <c r="L397" i="43"/>
  <c r="T397" i="43"/>
  <c r="X397" i="43"/>
  <c r="U397" i="43"/>
  <c r="Q397" i="43"/>
  <c r="S397" i="43"/>
  <c r="K397" i="43"/>
  <c r="N397" i="43"/>
  <c r="V397" i="43"/>
  <c r="P398" i="43"/>
  <c r="R398" i="43"/>
  <c r="J398" i="43"/>
  <c r="L398" i="43"/>
  <c r="T398" i="43"/>
  <c r="X398" i="43"/>
  <c r="U398" i="43"/>
  <c r="Q398" i="43"/>
  <c r="S398" i="43"/>
  <c r="K398" i="43"/>
  <c r="N398" i="43"/>
  <c r="V398" i="43"/>
  <c r="P399" i="43"/>
  <c r="R399" i="43"/>
  <c r="J399" i="43"/>
  <c r="L399" i="43"/>
  <c r="T399" i="43"/>
  <c r="X399" i="43"/>
  <c r="U399" i="43"/>
  <c r="Q399" i="43"/>
  <c r="S399" i="43"/>
  <c r="K399" i="43"/>
  <c r="N399" i="43"/>
  <c r="V399" i="43"/>
  <c r="P400" i="43"/>
  <c r="R400" i="43"/>
  <c r="J400" i="43"/>
  <c r="L400" i="43"/>
  <c r="T400" i="43"/>
  <c r="X400" i="43"/>
  <c r="U400" i="43"/>
  <c r="Q400" i="43"/>
  <c r="S400" i="43"/>
  <c r="K400" i="43"/>
  <c r="N400" i="43"/>
  <c r="V400" i="43"/>
  <c r="P401" i="43"/>
  <c r="R401" i="43"/>
  <c r="J401" i="43"/>
  <c r="L401" i="43"/>
  <c r="T401" i="43"/>
  <c r="X401" i="43"/>
  <c r="U401" i="43"/>
  <c r="Q401" i="43"/>
  <c r="S401" i="43"/>
  <c r="K401" i="43"/>
  <c r="N401" i="43"/>
  <c r="V401" i="43"/>
  <c r="P402" i="43"/>
  <c r="R402" i="43"/>
  <c r="J402" i="43"/>
  <c r="L402" i="43"/>
  <c r="T402" i="43"/>
  <c r="X402" i="43"/>
  <c r="U402" i="43"/>
  <c r="Q402" i="43"/>
  <c r="S402" i="43"/>
  <c r="K402" i="43"/>
  <c r="N402" i="43"/>
  <c r="V402" i="43"/>
  <c r="P403" i="43"/>
  <c r="R403" i="43"/>
  <c r="J403" i="43"/>
  <c r="L403" i="43"/>
  <c r="T403" i="43"/>
  <c r="X403" i="43"/>
  <c r="U403" i="43"/>
  <c r="Q403" i="43"/>
  <c r="S403" i="43"/>
  <c r="K403" i="43"/>
  <c r="N403" i="43"/>
  <c r="V403" i="43"/>
  <c r="P404" i="43"/>
  <c r="R404" i="43"/>
  <c r="J404" i="43"/>
  <c r="L404" i="43"/>
  <c r="T404" i="43"/>
  <c r="X404" i="43"/>
  <c r="U404" i="43"/>
  <c r="Q404" i="43"/>
  <c r="S404" i="43"/>
  <c r="K404" i="43"/>
  <c r="N404" i="43"/>
  <c r="V404" i="43"/>
  <c r="P405" i="43"/>
  <c r="R405" i="43"/>
  <c r="J405" i="43"/>
  <c r="L405" i="43"/>
  <c r="T405" i="43"/>
  <c r="X405" i="43"/>
  <c r="U405" i="43"/>
  <c r="Q405" i="43"/>
  <c r="S405" i="43"/>
  <c r="K405" i="43"/>
  <c r="N405" i="43"/>
  <c r="V405" i="43"/>
  <c r="P406" i="43"/>
  <c r="R406" i="43"/>
  <c r="J406" i="43"/>
  <c r="L406" i="43"/>
  <c r="T406" i="43"/>
  <c r="X406" i="43"/>
  <c r="U406" i="43"/>
  <c r="Q406" i="43"/>
  <c r="S406" i="43"/>
  <c r="K406" i="43"/>
  <c r="N406" i="43"/>
  <c r="V406" i="43"/>
  <c r="P407" i="43"/>
  <c r="R407" i="43"/>
  <c r="J407" i="43"/>
  <c r="L407" i="43"/>
  <c r="T407" i="43"/>
  <c r="X407" i="43"/>
  <c r="U407" i="43"/>
  <c r="Q407" i="43"/>
  <c r="S407" i="43"/>
  <c r="K407" i="43"/>
  <c r="N407" i="43"/>
  <c r="V407" i="43"/>
  <c r="P408" i="43"/>
  <c r="R408" i="43"/>
  <c r="J408" i="43"/>
  <c r="L408" i="43"/>
  <c r="T408" i="43"/>
  <c r="X408" i="43"/>
  <c r="U408" i="43"/>
  <c r="Q408" i="43"/>
  <c r="S408" i="43"/>
  <c r="K408" i="43"/>
  <c r="N408" i="43"/>
  <c r="V408" i="43"/>
  <c r="P409" i="43"/>
  <c r="R409" i="43"/>
  <c r="J409" i="43"/>
  <c r="L409" i="43"/>
  <c r="T409" i="43"/>
  <c r="X409" i="43"/>
  <c r="U409" i="43"/>
  <c r="Q409" i="43"/>
  <c r="S409" i="43"/>
  <c r="K409" i="43"/>
  <c r="N409" i="43"/>
  <c r="V409" i="43"/>
  <c r="P410" i="43"/>
  <c r="R410" i="43"/>
  <c r="J410" i="43"/>
  <c r="L410" i="43"/>
  <c r="T410" i="43"/>
  <c r="X410" i="43"/>
  <c r="U410" i="43"/>
  <c r="Q410" i="43"/>
  <c r="S410" i="43"/>
  <c r="K410" i="43"/>
  <c r="N410" i="43"/>
  <c r="V410" i="43"/>
  <c r="P411" i="43"/>
  <c r="R411" i="43"/>
  <c r="J411" i="43"/>
  <c r="L411" i="43"/>
  <c r="T411" i="43"/>
  <c r="X411" i="43"/>
  <c r="U411" i="43"/>
  <c r="Q411" i="43"/>
  <c r="S411" i="43"/>
  <c r="K411" i="43"/>
  <c r="N411" i="43"/>
  <c r="V411" i="43"/>
  <c r="P412" i="43"/>
  <c r="R412" i="43"/>
  <c r="J412" i="43"/>
  <c r="L412" i="43"/>
  <c r="T412" i="43"/>
  <c r="X412" i="43"/>
  <c r="U412" i="43"/>
  <c r="Q412" i="43"/>
  <c r="S412" i="43"/>
  <c r="K412" i="43"/>
  <c r="N412" i="43"/>
  <c r="V412" i="43"/>
  <c r="P413" i="43"/>
  <c r="R413" i="43"/>
  <c r="J413" i="43"/>
  <c r="L413" i="43"/>
  <c r="T413" i="43"/>
  <c r="X413" i="43"/>
  <c r="U413" i="43"/>
  <c r="Q413" i="43"/>
  <c r="S413" i="43"/>
  <c r="K413" i="43"/>
  <c r="N413" i="43"/>
  <c r="V413" i="43"/>
  <c r="P414" i="43"/>
  <c r="R414" i="43"/>
  <c r="J414" i="43"/>
  <c r="L414" i="43"/>
  <c r="T414" i="43"/>
  <c r="X414" i="43"/>
  <c r="U414" i="43"/>
  <c r="Q414" i="43"/>
  <c r="S414" i="43"/>
  <c r="K414" i="43"/>
  <c r="N414" i="43"/>
  <c r="V414" i="43"/>
  <c r="P415" i="43"/>
  <c r="R415" i="43"/>
  <c r="J415" i="43"/>
  <c r="L415" i="43"/>
  <c r="T415" i="43"/>
  <c r="X415" i="43"/>
  <c r="U415" i="43"/>
  <c r="Q415" i="43"/>
  <c r="S415" i="43"/>
  <c r="K415" i="43"/>
  <c r="N415" i="43"/>
  <c r="V415" i="43"/>
  <c r="P416" i="43"/>
  <c r="R416" i="43"/>
  <c r="J416" i="43"/>
  <c r="L416" i="43"/>
  <c r="T416" i="43"/>
  <c r="X416" i="43"/>
  <c r="U416" i="43"/>
  <c r="Q416" i="43"/>
  <c r="S416" i="43"/>
  <c r="K416" i="43"/>
  <c r="N416" i="43"/>
  <c r="V416" i="43"/>
  <c r="P417" i="43"/>
  <c r="R417" i="43"/>
  <c r="J417" i="43"/>
  <c r="L417" i="43"/>
  <c r="T417" i="43"/>
  <c r="X417" i="43"/>
  <c r="U417" i="43"/>
  <c r="Q417" i="43"/>
  <c r="S417" i="43"/>
  <c r="K417" i="43"/>
  <c r="N417" i="43"/>
  <c r="V417" i="43"/>
  <c r="P418" i="43"/>
  <c r="R418" i="43"/>
  <c r="J418" i="43"/>
  <c r="L418" i="43"/>
  <c r="T418" i="43"/>
  <c r="X418" i="43"/>
  <c r="U418" i="43"/>
  <c r="Q418" i="43"/>
  <c r="S418" i="43"/>
  <c r="K418" i="43"/>
  <c r="N418" i="43"/>
  <c r="V418" i="43"/>
  <c r="P419" i="43"/>
  <c r="R419" i="43"/>
  <c r="J419" i="43"/>
  <c r="L419" i="43"/>
  <c r="T419" i="43"/>
  <c r="X419" i="43"/>
  <c r="U419" i="43"/>
  <c r="Q419" i="43"/>
  <c r="S419" i="43"/>
  <c r="K419" i="43"/>
  <c r="N419" i="43"/>
  <c r="V419" i="43"/>
  <c r="P420" i="43"/>
  <c r="R420" i="43"/>
  <c r="J420" i="43"/>
  <c r="L420" i="43"/>
  <c r="T420" i="43"/>
  <c r="X420" i="43"/>
  <c r="U420" i="43"/>
  <c r="Q420" i="43"/>
  <c r="S420" i="43"/>
  <c r="K420" i="43"/>
  <c r="N420" i="43"/>
  <c r="V420" i="43"/>
  <c r="P421" i="43"/>
  <c r="R421" i="43"/>
  <c r="J421" i="43"/>
  <c r="L421" i="43"/>
  <c r="T421" i="43"/>
  <c r="X421" i="43"/>
  <c r="U421" i="43"/>
  <c r="Q421" i="43"/>
  <c r="S421" i="43"/>
  <c r="K421" i="43"/>
  <c r="N421" i="43"/>
  <c r="V421" i="43"/>
  <c r="P422" i="43"/>
  <c r="R422" i="43"/>
  <c r="J422" i="43"/>
  <c r="L422" i="43"/>
  <c r="T422" i="43"/>
  <c r="X422" i="43"/>
  <c r="U422" i="43"/>
  <c r="Q422" i="43"/>
  <c r="S422" i="43"/>
  <c r="K422" i="43"/>
  <c r="N422" i="43"/>
  <c r="V422" i="43"/>
  <c r="P423" i="43"/>
  <c r="R423" i="43"/>
  <c r="J423" i="43"/>
  <c r="L423" i="43"/>
  <c r="T423" i="43"/>
  <c r="X423" i="43"/>
  <c r="U423" i="43"/>
  <c r="Q423" i="43"/>
  <c r="S423" i="43"/>
  <c r="K423" i="43"/>
  <c r="N423" i="43"/>
  <c r="V423" i="43"/>
  <c r="P424" i="43"/>
  <c r="R424" i="43"/>
  <c r="J424" i="43"/>
  <c r="L424" i="43"/>
  <c r="T424" i="43"/>
  <c r="X424" i="43"/>
  <c r="U424" i="43"/>
  <c r="Q424" i="43"/>
  <c r="S424" i="43"/>
  <c r="K424" i="43"/>
  <c r="N424" i="43"/>
  <c r="V424" i="43"/>
  <c r="P425" i="43"/>
  <c r="R425" i="43"/>
  <c r="J425" i="43"/>
  <c r="L425" i="43"/>
  <c r="T425" i="43"/>
  <c r="X425" i="43"/>
  <c r="U425" i="43"/>
  <c r="Q425" i="43"/>
  <c r="S425" i="43"/>
  <c r="K425" i="43"/>
  <c r="N425" i="43"/>
  <c r="V425" i="43"/>
  <c r="P426" i="43"/>
  <c r="R426" i="43"/>
  <c r="J426" i="43"/>
  <c r="L426" i="43"/>
  <c r="T426" i="43"/>
  <c r="X426" i="43"/>
  <c r="U426" i="43"/>
  <c r="Q426" i="43"/>
  <c r="S426" i="43"/>
  <c r="K426" i="43"/>
  <c r="N426" i="43"/>
  <c r="V426" i="43"/>
  <c r="P427" i="43"/>
  <c r="R427" i="43"/>
  <c r="J427" i="43"/>
  <c r="L427" i="43"/>
  <c r="T427" i="43"/>
  <c r="X427" i="43"/>
  <c r="U427" i="43"/>
  <c r="Q427" i="43"/>
  <c r="S427" i="43"/>
  <c r="K427" i="43"/>
  <c r="N427" i="43"/>
  <c r="V427" i="43"/>
  <c r="P428" i="43"/>
  <c r="R428" i="43"/>
  <c r="J428" i="43"/>
  <c r="L428" i="43"/>
  <c r="T428" i="43"/>
  <c r="X428" i="43"/>
  <c r="U428" i="43"/>
  <c r="Q428" i="43"/>
  <c r="S428" i="43"/>
  <c r="K428" i="43"/>
  <c r="N428" i="43"/>
  <c r="V428" i="43"/>
  <c r="P429" i="43"/>
  <c r="R429" i="43"/>
  <c r="J429" i="43"/>
  <c r="L429" i="43"/>
  <c r="T429" i="43"/>
  <c r="X429" i="43"/>
  <c r="U429" i="43"/>
  <c r="Q429" i="43"/>
  <c r="S429" i="43"/>
  <c r="K429" i="43"/>
  <c r="N429" i="43"/>
  <c r="V429" i="43"/>
  <c r="P430" i="43"/>
  <c r="R430" i="43"/>
  <c r="J430" i="43"/>
  <c r="L430" i="43"/>
  <c r="T430" i="43"/>
  <c r="X430" i="43"/>
  <c r="U430" i="43"/>
  <c r="Q430" i="43"/>
  <c r="S430" i="43"/>
  <c r="K430" i="43"/>
  <c r="N430" i="43"/>
  <c r="V430" i="43"/>
  <c r="P431" i="43"/>
  <c r="R431" i="43"/>
  <c r="J431" i="43"/>
  <c r="L431" i="43"/>
  <c r="T431" i="43"/>
  <c r="X431" i="43"/>
  <c r="U431" i="43"/>
  <c r="Q431" i="43"/>
  <c r="S431" i="43"/>
  <c r="K431" i="43"/>
  <c r="N431" i="43"/>
  <c r="V431" i="43"/>
  <c r="P432" i="43"/>
  <c r="R432" i="43"/>
  <c r="J432" i="43"/>
  <c r="L432" i="43"/>
  <c r="T432" i="43"/>
  <c r="X432" i="43"/>
  <c r="U432" i="43"/>
  <c r="Q432" i="43"/>
  <c r="S432" i="43"/>
  <c r="K432" i="43"/>
  <c r="N432" i="43"/>
  <c r="V432" i="43"/>
  <c r="P433" i="43"/>
  <c r="R433" i="43"/>
  <c r="J433" i="43"/>
  <c r="L433" i="43"/>
  <c r="T433" i="43"/>
  <c r="X433" i="43"/>
  <c r="U433" i="43"/>
  <c r="Q433" i="43"/>
  <c r="S433" i="43"/>
  <c r="K433" i="43"/>
  <c r="N433" i="43"/>
  <c r="V433" i="43"/>
  <c r="P434" i="43"/>
  <c r="R434" i="43"/>
  <c r="J434" i="43"/>
  <c r="L434" i="43"/>
  <c r="T434" i="43"/>
  <c r="X434" i="43"/>
  <c r="U434" i="43"/>
  <c r="Q434" i="43"/>
  <c r="S434" i="43"/>
  <c r="K434" i="43"/>
  <c r="N434" i="43"/>
  <c r="V434" i="43"/>
  <c r="P435" i="43"/>
  <c r="R435" i="43"/>
  <c r="J435" i="43"/>
  <c r="L435" i="43"/>
  <c r="T435" i="43"/>
  <c r="X435" i="43"/>
  <c r="U435" i="43"/>
  <c r="Q435" i="43"/>
  <c r="S435" i="43"/>
  <c r="K435" i="43"/>
  <c r="N435" i="43"/>
  <c r="V435" i="43"/>
  <c r="P436" i="43"/>
  <c r="R436" i="43"/>
  <c r="J436" i="43"/>
  <c r="L436" i="43"/>
  <c r="T436" i="43"/>
  <c r="X436" i="43"/>
  <c r="U436" i="43"/>
  <c r="Q436" i="43"/>
  <c r="S436" i="43"/>
  <c r="K436" i="43"/>
  <c r="N436" i="43"/>
  <c r="V436" i="43"/>
  <c r="P437" i="43"/>
  <c r="R437" i="43"/>
  <c r="J437" i="43"/>
  <c r="L437" i="43"/>
  <c r="T437" i="43"/>
  <c r="X437" i="43"/>
  <c r="U437" i="43"/>
  <c r="Q437" i="43"/>
  <c r="S437" i="43"/>
  <c r="K437" i="43"/>
  <c r="N437" i="43"/>
  <c r="V437" i="43"/>
  <c r="P438" i="43"/>
  <c r="R438" i="43"/>
  <c r="J438" i="43"/>
  <c r="L438" i="43"/>
  <c r="T438" i="43"/>
  <c r="X438" i="43"/>
  <c r="U438" i="43"/>
  <c r="Q438" i="43"/>
  <c r="S438" i="43"/>
  <c r="K438" i="43"/>
  <c r="N438" i="43"/>
  <c r="V438" i="43"/>
  <c r="P439" i="43"/>
  <c r="R439" i="43"/>
  <c r="J439" i="43"/>
  <c r="L439" i="43"/>
  <c r="T439" i="43"/>
  <c r="X439" i="43"/>
  <c r="U439" i="43"/>
  <c r="Q439" i="43"/>
  <c r="S439" i="43"/>
  <c r="K439" i="43"/>
  <c r="N439" i="43"/>
  <c r="V439" i="43"/>
  <c r="P440" i="43"/>
  <c r="R440" i="43"/>
  <c r="J440" i="43"/>
  <c r="L440" i="43"/>
  <c r="T440" i="43"/>
  <c r="X440" i="43"/>
  <c r="U440" i="43"/>
  <c r="Q440" i="43"/>
  <c r="S440" i="43"/>
  <c r="K440" i="43"/>
  <c r="N440" i="43"/>
  <c r="V440" i="43"/>
  <c r="P441" i="43"/>
  <c r="R441" i="43"/>
  <c r="J441" i="43"/>
  <c r="L441" i="43"/>
  <c r="T441" i="43"/>
  <c r="X441" i="43"/>
  <c r="U441" i="43"/>
  <c r="Q441" i="43"/>
  <c r="S441" i="43"/>
  <c r="K441" i="43"/>
  <c r="N441" i="43"/>
  <c r="V441" i="43"/>
  <c r="P442" i="43"/>
  <c r="R442" i="43"/>
  <c r="J442" i="43"/>
  <c r="L442" i="43"/>
  <c r="T442" i="43"/>
  <c r="X442" i="43"/>
  <c r="U442" i="43"/>
  <c r="Q442" i="43"/>
  <c r="S442" i="43"/>
  <c r="K442" i="43"/>
  <c r="N442" i="43"/>
  <c r="V442" i="43"/>
  <c r="P443" i="43"/>
  <c r="R443" i="43"/>
  <c r="J443" i="43"/>
  <c r="L443" i="43"/>
  <c r="T443" i="43"/>
  <c r="X443" i="43"/>
  <c r="U443" i="43"/>
  <c r="Q443" i="43"/>
  <c r="S443" i="43"/>
  <c r="K443" i="43"/>
  <c r="N443" i="43"/>
  <c r="V443" i="43"/>
  <c r="P444" i="43"/>
  <c r="R444" i="43"/>
  <c r="J444" i="43"/>
  <c r="L444" i="43"/>
  <c r="T444" i="43"/>
  <c r="X444" i="43"/>
  <c r="U444" i="43"/>
  <c r="Q444" i="43"/>
  <c r="S444" i="43"/>
  <c r="K444" i="43"/>
  <c r="N444" i="43"/>
  <c r="V444" i="43"/>
  <c r="P445" i="43"/>
  <c r="R445" i="43"/>
  <c r="J445" i="43"/>
  <c r="L445" i="43"/>
  <c r="T445" i="43"/>
  <c r="X445" i="43"/>
  <c r="U445" i="43"/>
  <c r="Q445" i="43"/>
  <c r="S445" i="43"/>
  <c r="K445" i="43"/>
  <c r="N445" i="43"/>
  <c r="V445" i="43"/>
  <c r="P446" i="43"/>
  <c r="R446" i="43"/>
  <c r="J446" i="43"/>
  <c r="L446" i="43"/>
  <c r="T446" i="43"/>
  <c r="X446" i="43"/>
  <c r="U446" i="43"/>
  <c r="Q446" i="43"/>
  <c r="S446" i="43"/>
  <c r="K446" i="43"/>
  <c r="N446" i="43"/>
  <c r="V446" i="43"/>
  <c r="P447" i="43"/>
  <c r="R447" i="43"/>
  <c r="J447" i="43"/>
  <c r="L447" i="43"/>
  <c r="T447" i="43"/>
  <c r="X447" i="43"/>
  <c r="U447" i="43"/>
  <c r="Q447" i="43"/>
  <c r="S447" i="43"/>
  <c r="K447" i="43"/>
  <c r="N447" i="43"/>
  <c r="V447" i="43"/>
  <c r="P448" i="43"/>
  <c r="R448" i="43"/>
  <c r="J448" i="43"/>
  <c r="L448" i="43"/>
  <c r="T448" i="43"/>
  <c r="X448" i="43"/>
  <c r="U448" i="43"/>
  <c r="Q448" i="43"/>
  <c r="S448" i="43"/>
  <c r="K448" i="43"/>
  <c r="N448" i="43"/>
  <c r="V448" i="43"/>
  <c r="P449" i="43"/>
  <c r="R449" i="43"/>
  <c r="J449" i="43"/>
  <c r="L449" i="43"/>
  <c r="T449" i="43"/>
  <c r="X449" i="43"/>
  <c r="U449" i="43"/>
  <c r="Q449" i="43"/>
  <c r="S449" i="43"/>
  <c r="K449" i="43"/>
  <c r="N449" i="43"/>
  <c r="V449" i="43"/>
  <c r="P450" i="43"/>
  <c r="R450" i="43"/>
  <c r="J450" i="43"/>
  <c r="L450" i="43"/>
  <c r="T450" i="43"/>
  <c r="X450" i="43"/>
  <c r="U450" i="43"/>
  <c r="Q450" i="43"/>
  <c r="S450" i="43"/>
  <c r="K450" i="43"/>
  <c r="N450" i="43"/>
  <c r="V450" i="43"/>
  <c r="P451" i="43"/>
  <c r="R451" i="43"/>
  <c r="J451" i="43"/>
  <c r="L451" i="43"/>
  <c r="T451" i="43"/>
  <c r="X451" i="43"/>
  <c r="U451" i="43"/>
  <c r="Q451" i="43"/>
  <c r="S451" i="43"/>
  <c r="K451" i="43"/>
  <c r="N451" i="43"/>
  <c r="V451" i="43"/>
  <c r="P452" i="43"/>
  <c r="R452" i="43"/>
  <c r="J452" i="43"/>
  <c r="L452" i="43"/>
  <c r="T452" i="43"/>
  <c r="X452" i="43"/>
  <c r="U452" i="43"/>
  <c r="Q452" i="43"/>
  <c r="S452" i="43"/>
  <c r="K452" i="43"/>
  <c r="N452" i="43"/>
  <c r="V452" i="43"/>
  <c r="P453" i="43"/>
  <c r="R453" i="43"/>
  <c r="J453" i="43"/>
  <c r="L453" i="43"/>
  <c r="T453" i="43"/>
  <c r="X453" i="43"/>
  <c r="U453" i="43"/>
  <c r="Q453" i="43"/>
  <c r="S453" i="43"/>
  <c r="K453" i="43"/>
  <c r="N453" i="43"/>
  <c r="V453" i="43"/>
  <c r="P454" i="43"/>
  <c r="R454" i="43"/>
  <c r="J454" i="43"/>
  <c r="L454" i="43"/>
  <c r="T454" i="43"/>
  <c r="X454" i="43"/>
  <c r="U454" i="43"/>
  <c r="Q454" i="43"/>
  <c r="S454" i="43"/>
  <c r="K454" i="43"/>
  <c r="N454" i="43"/>
  <c r="V454" i="43"/>
  <c r="P455" i="43"/>
  <c r="R455" i="43"/>
  <c r="J455" i="43"/>
  <c r="L455" i="43"/>
  <c r="T455" i="43"/>
  <c r="X455" i="43"/>
  <c r="U455" i="43"/>
  <c r="Q455" i="43"/>
  <c r="S455" i="43"/>
  <c r="K455" i="43"/>
  <c r="N455" i="43"/>
  <c r="V455" i="43"/>
  <c r="P456" i="43"/>
  <c r="R456" i="43"/>
  <c r="J456" i="43"/>
  <c r="L456" i="43"/>
  <c r="T456" i="43"/>
  <c r="X456" i="43"/>
  <c r="U456" i="43"/>
  <c r="Q456" i="43"/>
  <c r="S456" i="43"/>
  <c r="K456" i="43"/>
  <c r="N456" i="43"/>
  <c r="V456" i="43"/>
  <c r="P457" i="43"/>
  <c r="R457" i="43"/>
  <c r="J457" i="43"/>
  <c r="L457" i="43"/>
  <c r="T457" i="43"/>
  <c r="X457" i="43"/>
  <c r="U457" i="43"/>
  <c r="Q457" i="43"/>
  <c r="S457" i="43"/>
  <c r="K457" i="43"/>
  <c r="N457" i="43"/>
  <c r="V457" i="43"/>
  <c r="P458" i="43"/>
  <c r="R458" i="43"/>
  <c r="J458" i="43"/>
  <c r="L458" i="43"/>
  <c r="T458" i="43"/>
  <c r="X458" i="43"/>
  <c r="U458" i="43"/>
  <c r="Q458" i="43"/>
  <c r="S458" i="43"/>
  <c r="K458" i="43"/>
  <c r="N458" i="43"/>
  <c r="V458" i="43"/>
  <c r="P459" i="43"/>
  <c r="R459" i="43"/>
  <c r="J459" i="43"/>
  <c r="L459" i="43"/>
  <c r="T459" i="43"/>
  <c r="X459" i="43"/>
  <c r="U459" i="43"/>
  <c r="Q459" i="43"/>
  <c r="S459" i="43"/>
  <c r="K459" i="43"/>
  <c r="N459" i="43"/>
  <c r="V459" i="43"/>
  <c r="P460" i="43"/>
  <c r="R460" i="43"/>
  <c r="J460" i="43"/>
  <c r="L460" i="43"/>
  <c r="T460" i="43"/>
  <c r="X460" i="43"/>
  <c r="U460" i="43"/>
  <c r="Q460" i="43"/>
  <c r="S460" i="43"/>
  <c r="K460" i="43"/>
  <c r="N460" i="43"/>
  <c r="V460" i="43"/>
  <c r="P461" i="43"/>
  <c r="R461" i="43"/>
  <c r="J461" i="43"/>
  <c r="L461" i="43"/>
  <c r="T461" i="43"/>
  <c r="X461" i="43"/>
  <c r="U461" i="43"/>
  <c r="Q461" i="43"/>
  <c r="S461" i="43"/>
  <c r="K461" i="43"/>
  <c r="N461" i="43"/>
  <c r="V461" i="43"/>
  <c r="P462" i="43"/>
  <c r="R462" i="43"/>
  <c r="J462" i="43"/>
  <c r="L462" i="43"/>
  <c r="T462" i="43"/>
  <c r="X462" i="43"/>
  <c r="U462" i="43"/>
  <c r="Q462" i="43"/>
  <c r="S462" i="43"/>
  <c r="K462" i="43"/>
  <c r="N462" i="43"/>
  <c r="V462" i="43"/>
  <c r="P463" i="43"/>
  <c r="R463" i="43"/>
  <c r="J463" i="43"/>
  <c r="L463" i="43"/>
  <c r="T463" i="43"/>
  <c r="X463" i="43"/>
  <c r="U463" i="43"/>
  <c r="Q463" i="43"/>
  <c r="S463" i="43"/>
  <c r="K463" i="43"/>
  <c r="N463" i="43"/>
  <c r="V463" i="43"/>
  <c r="P464" i="43"/>
  <c r="R464" i="43"/>
  <c r="J464" i="43"/>
  <c r="L464" i="43"/>
  <c r="T464" i="43"/>
  <c r="X464" i="43"/>
  <c r="U464" i="43"/>
  <c r="Q464" i="43"/>
  <c r="S464" i="43"/>
  <c r="K464" i="43"/>
  <c r="N464" i="43"/>
  <c r="V464" i="43"/>
  <c r="P465" i="43"/>
  <c r="R465" i="43"/>
  <c r="J465" i="43"/>
  <c r="L465" i="43"/>
  <c r="T465" i="43"/>
  <c r="X465" i="43"/>
  <c r="U465" i="43"/>
  <c r="Q465" i="43"/>
  <c r="S465" i="43"/>
  <c r="K465" i="43"/>
  <c r="N465" i="43"/>
  <c r="V465" i="43"/>
  <c r="P466" i="43"/>
  <c r="R466" i="43"/>
  <c r="J466" i="43"/>
  <c r="L466" i="43"/>
  <c r="T466" i="43"/>
  <c r="X466" i="43"/>
  <c r="U466" i="43"/>
  <c r="Q466" i="43"/>
  <c r="S466" i="43"/>
  <c r="K466" i="43"/>
  <c r="N466" i="43"/>
  <c r="V466" i="43"/>
  <c r="P467" i="43"/>
  <c r="R467" i="43"/>
  <c r="J467" i="43"/>
  <c r="L467" i="43"/>
  <c r="T467" i="43"/>
  <c r="X467" i="43"/>
  <c r="U467" i="43"/>
  <c r="Q467" i="43"/>
  <c r="S467" i="43"/>
  <c r="K467" i="43"/>
  <c r="N467" i="43"/>
  <c r="V467" i="43"/>
  <c r="P468" i="43"/>
  <c r="R468" i="43"/>
  <c r="J468" i="43"/>
  <c r="L468" i="43"/>
  <c r="T468" i="43"/>
  <c r="X468" i="43"/>
  <c r="U468" i="43"/>
  <c r="Q468" i="43"/>
  <c r="S468" i="43"/>
  <c r="K468" i="43"/>
  <c r="N468" i="43"/>
  <c r="V468" i="43"/>
  <c r="P469" i="43"/>
  <c r="R469" i="43"/>
  <c r="J469" i="43"/>
  <c r="L469" i="43"/>
  <c r="T469" i="43"/>
  <c r="X469" i="43"/>
  <c r="U469" i="43"/>
  <c r="Q469" i="43"/>
  <c r="S469" i="43"/>
  <c r="K469" i="43"/>
  <c r="N469" i="43"/>
  <c r="V469" i="43"/>
  <c r="P470" i="43"/>
  <c r="R470" i="43"/>
  <c r="J470" i="43"/>
  <c r="L470" i="43"/>
  <c r="T470" i="43"/>
  <c r="X470" i="43"/>
  <c r="U470" i="43"/>
  <c r="Q470" i="43"/>
  <c r="S470" i="43"/>
  <c r="K470" i="43"/>
  <c r="N470" i="43"/>
  <c r="V470" i="43"/>
  <c r="P471" i="43"/>
  <c r="R471" i="43"/>
  <c r="J471" i="43"/>
  <c r="L471" i="43"/>
  <c r="T471" i="43"/>
  <c r="X471" i="43"/>
  <c r="U471" i="43"/>
  <c r="Q471" i="43"/>
  <c r="S471" i="43"/>
  <c r="K471" i="43"/>
  <c r="N471" i="43"/>
  <c r="V471" i="43"/>
  <c r="P472" i="43"/>
  <c r="R472" i="43"/>
  <c r="J472" i="43"/>
  <c r="L472" i="43"/>
  <c r="T472" i="43"/>
  <c r="X472" i="43"/>
  <c r="U472" i="43"/>
  <c r="Q472" i="43"/>
  <c r="S472" i="43"/>
  <c r="K472" i="43"/>
  <c r="N472" i="43"/>
  <c r="V472" i="43"/>
  <c r="P473" i="43"/>
  <c r="R473" i="43"/>
  <c r="J473" i="43"/>
  <c r="L473" i="43"/>
  <c r="T473" i="43"/>
  <c r="X473" i="43"/>
  <c r="U473" i="43"/>
  <c r="Q473" i="43"/>
  <c r="S473" i="43"/>
  <c r="K473" i="43"/>
  <c r="N473" i="43"/>
  <c r="V473" i="43"/>
  <c r="P474" i="43"/>
  <c r="R474" i="43"/>
  <c r="J474" i="43"/>
  <c r="L474" i="43"/>
  <c r="T474" i="43"/>
  <c r="X474" i="43"/>
  <c r="U474" i="43"/>
  <c r="Q474" i="43"/>
  <c r="S474" i="43"/>
  <c r="K474" i="43"/>
  <c r="N474" i="43"/>
  <c r="V474" i="43"/>
  <c r="P475" i="43"/>
  <c r="R475" i="43"/>
  <c r="J475" i="43"/>
  <c r="L475" i="43"/>
  <c r="T475" i="43"/>
  <c r="X475" i="43"/>
  <c r="U475" i="43"/>
  <c r="Q475" i="43"/>
  <c r="S475" i="43"/>
  <c r="K475" i="43"/>
  <c r="N475" i="43"/>
  <c r="V475" i="43"/>
  <c r="P476" i="43"/>
  <c r="R476" i="43"/>
  <c r="J476" i="43"/>
  <c r="L476" i="43"/>
  <c r="T476" i="43"/>
  <c r="X476" i="43"/>
  <c r="U476" i="43"/>
  <c r="Q476" i="43"/>
  <c r="S476" i="43"/>
  <c r="K476" i="43"/>
  <c r="N476" i="43"/>
  <c r="V476" i="43"/>
  <c r="P477" i="43"/>
  <c r="R477" i="43"/>
  <c r="J477" i="43"/>
  <c r="L477" i="43"/>
  <c r="T477" i="43"/>
  <c r="X477" i="43"/>
  <c r="U477" i="43"/>
  <c r="Q477" i="43"/>
  <c r="S477" i="43"/>
  <c r="K477" i="43"/>
  <c r="N477" i="43"/>
  <c r="V477" i="43"/>
  <c r="P478" i="43"/>
  <c r="R478" i="43"/>
  <c r="J478" i="43"/>
  <c r="L478" i="43"/>
  <c r="T478" i="43"/>
  <c r="X478" i="43"/>
  <c r="U478" i="43"/>
  <c r="Q478" i="43"/>
  <c r="S478" i="43"/>
  <c r="K478" i="43"/>
  <c r="N478" i="43"/>
  <c r="V478" i="43"/>
  <c r="P479" i="43"/>
  <c r="R479" i="43"/>
  <c r="J479" i="43"/>
  <c r="L479" i="43"/>
  <c r="T479" i="43"/>
  <c r="X479" i="43"/>
  <c r="U479" i="43"/>
  <c r="Q479" i="43"/>
  <c r="S479" i="43"/>
  <c r="K479" i="43"/>
  <c r="N479" i="43"/>
  <c r="V479" i="43"/>
  <c r="P480" i="43"/>
  <c r="R480" i="43"/>
  <c r="J480" i="43"/>
  <c r="L480" i="43"/>
  <c r="T480" i="43"/>
  <c r="X480" i="43"/>
  <c r="U480" i="43"/>
  <c r="Q480" i="43"/>
  <c r="S480" i="43"/>
  <c r="K480" i="43"/>
  <c r="N480" i="43"/>
  <c r="V480" i="43"/>
  <c r="P481" i="43"/>
  <c r="R481" i="43"/>
  <c r="J481" i="43"/>
  <c r="L481" i="43"/>
  <c r="T481" i="43"/>
  <c r="X481" i="43"/>
  <c r="U481" i="43"/>
  <c r="Q481" i="43"/>
  <c r="S481" i="43"/>
  <c r="K481" i="43"/>
  <c r="N481" i="43"/>
  <c r="V481" i="43"/>
  <c r="P482" i="43"/>
  <c r="R482" i="43"/>
  <c r="J482" i="43"/>
  <c r="L482" i="43"/>
  <c r="T482" i="43"/>
  <c r="X482" i="43"/>
  <c r="U482" i="43"/>
  <c r="Q482" i="43"/>
  <c r="S482" i="43"/>
  <c r="K482" i="43"/>
  <c r="N482" i="43"/>
  <c r="V482" i="43"/>
  <c r="P483" i="43"/>
  <c r="R483" i="43"/>
  <c r="J483" i="43"/>
  <c r="L483" i="43"/>
  <c r="T483" i="43"/>
  <c r="X483" i="43"/>
  <c r="U483" i="43"/>
  <c r="Q483" i="43"/>
  <c r="S483" i="43"/>
  <c r="K483" i="43"/>
  <c r="N483" i="43"/>
  <c r="V483" i="43"/>
  <c r="P484" i="43"/>
  <c r="R484" i="43"/>
  <c r="J484" i="43"/>
  <c r="L484" i="43"/>
  <c r="T484" i="43"/>
  <c r="X484" i="43"/>
  <c r="U484" i="43"/>
  <c r="Q484" i="43"/>
  <c r="S484" i="43"/>
  <c r="K484" i="43"/>
  <c r="N484" i="43"/>
  <c r="V484" i="43"/>
  <c r="P485" i="43"/>
  <c r="R485" i="43"/>
  <c r="J485" i="43"/>
  <c r="L485" i="43"/>
  <c r="T485" i="43"/>
  <c r="X485" i="43"/>
  <c r="U485" i="43"/>
  <c r="Q485" i="43"/>
  <c r="S485" i="43"/>
  <c r="K485" i="43"/>
  <c r="N485" i="43"/>
  <c r="V485" i="43"/>
  <c r="P486" i="43"/>
  <c r="R486" i="43"/>
  <c r="J486" i="43"/>
  <c r="L486" i="43"/>
  <c r="T486" i="43"/>
  <c r="X486" i="43"/>
  <c r="U486" i="43"/>
  <c r="Q486" i="43"/>
  <c r="S486" i="43"/>
  <c r="K486" i="43"/>
  <c r="N486" i="43"/>
  <c r="V486" i="43"/>
  <c r="P487" i="43"/>
  <c r="R487" i="43"/>
  <c r="J487" i="43"/>
  <c r="L487" i="43"/>
  <c r="T487" i="43"/>
  <c r="X487" i="43"/>
  <c r="U487" i="43"/>
  <c r="Q487" i="43"/>
  <c r="S487" i="43"/>
  <c r="K487" i="43"/>
  <c r="N487" i="43"/>
  <c r="V487" i="43"/>
  <c r="P488" i="43"/>
  <c r="R488" i="43"/>
  <c r="J488" i="43"/>
  <c r="L488" i="43"/>
  <c r="T488" i="43"/>
  <c r="X488" i="43"/>
  <c r="U488" i="43"/>
  <c r="Q488" i="43"/>
  <c r="S488" i="43"/>
  <c r="K488" i="43"/>
  <c r="N488" i="43"/>
  <c r="V488" i="43"/>
  <c r="P489" i="43"/>
  <c r="R489" i="43"/>
  <c r="J489" i="43"/>
  <c r="L489" i="43"/>
  <c r="T489" i="43"/>
  <c r="X489" i="43"/>
  <c r="U489" i="43"/>
  <c r="Q489" i="43"/>
  <c r="S489" i="43"/>
  <c r="K489" i="43"/>
  <c r="N489" i="43"/>
  <c r="V489" i="43"/>
  <c r="P490" i="43"/>
  <c r="R490" i="43"/>
  <c r="J490" i="43"/>
  <c r="L490" i="43"/>
  <c r="T490" i="43"/>
  <c r="X490" i="43"/>
  <c r="U490" i="43"/>
  <c r="Q490" i="43"/>
  <c r="S490" i="43"/>
  <c r="K490" i="43"/>
  <c r="N490" i="43"/>
  <c r="V490" i="43"/>
  <c r="P491" i="43"/>
  <c r="R491" i="43"/>
  <c r="J491" i="43"/>
  <c r="L491" i="43"/>
  <c r="T491" i="43"/>
  <c r="X491" i="43"/>
  <c r="U491" i="43"/>
  <c r="Q491" i="43"/>
  <c r="S491" i="43"/>
  <c r="K491" i="43"/>
  <c r="N491" i="43"/>
  <c r="V491" i="43"/>
  <c r="P492" i="43"/>
  <c r="R492" i="43"/>
  <c r="J492" i="43"/>
  <c r="L492" i="43"/>
  <c r="T492" i="43"/>
  <c r="X492" i="43"/>
  <c r="U492" i="43"/>
  <c r="Q492" i="43"/>
  <c r="S492" i="43"/>
  <c r="K492" i="43"/>
  <c r="N492" i="43"/>
  <c r="V492" i="43"/>
  <c r="P493" i="43"/>
  <c r="R493" i="43"/>
  <c r="J493" i="43"/>
  <c r="L493" i="43"/>
  <c r="T493" i="43"/>
  <c r="X493" i="43"/>
  <c r="U493" i="43"/>
  <c r="Q493" i="43"/>
  <c r="S493" i="43"/>
  <c r="K493" i="43"/>
  <c r="N493" i="43"/>
  <c r="V493" i="43"/>
  <c r="P494" i="43"/>
  <c r="R494" i="43"/>
  <c r="J494" i="43"/>
  <c r="L494" i="43"/>
  <c r="T494" i="43"/>
  <c r="X494" i="43"/>
  <c r="U494" i="43"/>
  <c r="Q494" i="43"/>
  <c r="S494" i="43"/>
  <c r="K494" i="43"/>
  <c r="N494" i="43"/>
  <c r="V494" i="43"/>
  <c r="P495" i="43"/>
  <c r="R495" i="43"/>
  <c r="J495" i="43"/>
  <c r="L495" i="43"/>
  <c r="T495" i="43"/>
  <c r="X495" i="43"/>
  <c r="U495" i="43"/>
  <c r="Q495" i="43"/>
  <c r="S495" i="43"/>
  <c r="K495" i="43"/>
  <c r="N495" i="43"/>
  <c r="V495" i="43"/>
  <c r="P496" i="43"/>
  <c r="R496" i="43"/>
  <c r="J496" i="43"/>
  <c r="L496" i="43"/>
  <c r="T496" i="43"/>
  <c r="X496" i="43"/>
  <c r="U496" i="43"/>
  <c r="Q496" i="43"/>
  <c r="S496" i="43"/>
  <c r="K496" i="43"/>
  <c r="N496" i="43"/>
  <c r="V496" i="43"/>
  <c r="P497" i="43"/>
  <c r="R497" i="43"/>
  <c r="J497" i="43"/>
  <c r="L497" i="43"/>
  <c r="T497" i="43"/>
  <c r="X497" i="43"/>
  <c r="U497" i="43"/>
  <c r="Q497" i="43"/>
  <c r="S497" i="43"/>
  <c r="K497" i="43"/>
  <c r="N497" i="43"/>
  <c r="V497" i="43"/>
  <c r="P498" i="43"/>
  <c r="R498" i="43"/>
  <c r="J498" i="43"/>
  <c r="L498" i="43"/>
  <c r="T498" i="43"/>
  <c r="X498" i="43"/>
  <c r="U498" i="43"/>
  <c r="Q498" i="43"/>
  <c r="S498" i="43"/>
  <c r="K498" i="43"/>
  <c r="N498" i="43"/>
  <c r="V498" i="43"/>
  <c r="P499" i="43"/>
  <c r="R499" i="43"/>
  <c r="J499" i="43"/>
  <c r="L499" i="43"/>
  <c r="T499" i="43"/>
  <c r="X499" i="43"/>
  <c r="U499" i="43"/>
  <c r="Q499" i="43"/>
  <c r="S499" i="43"/>
  <c r="K499" i="43"/>
  <c r="N499" i="43"/>
  <c r="V499" i="43"/>
  <c r="P500" i="43"/>
  <c r="R500" i="43"/>
  <c r="J500" i="43"/>
  <c r="L500" i="43"/>
  <c r="T500" i="43"/>
  <c r="X500" i="43"/>
  <c r="U500" i="43"/>
  <c r="Q500" i="43"/>
  <c r="S500" i="43"/>
  <c r="K500" i="43"/>
  <c r="N500" i="43"/>
  <c r="V500" i="43"/>
  <c r="P501" i="43"/>
  <c r="R501" i="43"/>
  <c r="J501" i="43"/>
  <c r="L501" i="43"/>
  <c r="T501" i="43"/>
  <c r="X501" i="43"/>
  <c r="U501" i="43"/>
  <c r="Q501" i="43"/>
  <c r="S501" i="43"/>
  <c r="K501" i="43"/>
  <c r="N501" i="43"/>
  <c r="V501" i="43"/>
  <c r="P502" i="43"/>
  <c r="R502" i="43"/>
  <c r="J502" i="43"/>
  <c r="L502" i="43"/>
  <c r="T502" i="43"/>
  <c r="X502" i="43"/>
  <c r="U502" i="43"/>
  <c r="Q502" i="43"/>
  <c r="S502" i="43"/>
  <c r="K502" i="43"/>
  <c r="N502" i="43"/>
  <c r="V502" i="43"/>
  <c r="P503" i="43"/>
  <c r="R503" i="43"/>
  <c r="J503" i="43"/>
  <c r="L503" i="43"/>
  <c r="T503" i="43"/>
  <c r="X503" i="43"/>
  <c r="U503" i="43"/>
  <c r="Q503" i="43"/>
  <c r="S503" i="43"/>
  <c r="K503" i="43"/>
  <c r="N503" i="43"/>
  <c r="V503" i="43"/>
  <c r="P504" i="43"/>
  <c r="R504" i="43"/>
  <c r="J504" i="43"/>
  <c r="L504" i="43"/>
  <c r="T504" i="43"/>
  <c r="X504" i="43"/>
  <c r="U504" i="43"/>
  <c r="Q504" i="43"/>
  <c r="S504" i="43"/>
  <c r="K504" i="43"/>
  <c r="N504" i="43"/>
  <c r="V504" i="43"/>
  <c r="P505" i="43"/>
  <c r="R505" i="43"/>
  <c r="J505" i="43"/>
  <c r="L505" i="43"/>
  <c r="T505" i="43"/>
  <c r="X505" i="43"/>
  <c r="U505" i="43"/>
  <c r="Q505" i="43"/>
  <c r="S505" i="43"/>
  <c r="K505" i="43"/>
  <c r="N505" i="43"/>
  <c r="V505" i="43"/>
  <c r="P506" i="43"/>
  <c r="R506" i="43"/>
  <c r="J506" i="43"/>
  <c r="L506" i="43"/>
  <c r="T506" i="43"/>
  <c r="X506" i="43"/>
  <c r="U506" i="43"/>
  <c r="Q506" i="43"/>
  <c r="S506" i="43"/>
  <c r="K506" i="43"/>
  <c r="N506" i="43"/>
  <c r="V506" i="43"/>
  <c r="P507" i="43"/>
  <c r="R507" i="43"/>
  <c r="J507" i="43"/>
  <c r="L507" i="43"/>
  <c r="T507" i="43"/>
  <c r="X507" i="43"/>
  <c r="U507" i="43"/>
  <c r="Q507" i="43"/>
  <c r="S507" i="43"/>
  <c r="K507" i="43"/>
  <c r="N507" i="43"/>
  <c r="V507" i="43"/>
  <c r="P508" i="43"/>
  <c r="R508" i="43"/>
  <c r="J508" i="43"/>
  <c r="L508" i="43"/>
  <c r="T508" i="43"/>
  <c r="X508" i="43"/>
  <c r="U508" i="43"/>
  <c r="Q508" i="43"/>
  <c r="S508" i="43"/>
  <c r="K508" i="43"/>
  <c r="N508" i="43"/>
  <c r="V508" i="43"/>
  <c r="P509" i="43"/>
  <c r="R509" i="43"/>
  <c r="J509" i="43"/>
  <c r="L509" i="43"/>
  <c r="T509" i="43"/>
  <c r="X509" i="43"/>
  <c r="U509" i="43"/>
  <c r="Q509" i="43"/>
  <c r="S509" i="43"/>
  <c r="K509" i="43"/>
  <c r="N509" i="43"/>
  <c r="V509" i="43"/>
  <c r="P510" i="43"/>
  <c r="R510" i="43"/>
  <c r="J510" i="43"/>
  <c r="L510" i="43"/>
  <c r="T510" i="43"/>
  <c r="X510" i="43"/>
  <c r="U510" i="43"/>
  <c r="Q510" i="43"/>
  <c r="S510" i="43"/>
  <c r="K510" i="43"/>
  <c r="N510" i="43"/>
  <c r="V510" i="43"/>
  <c r="P511" i="43"/>
  <c r="R511" i="43"/>
  <c r="J511" i="43"/>
  <c r="L511" i="43"/>
  <c r="T511" i="43"/>
  <c r="X511" i="43"/>
  <c r="U511" i="43"/>
  <c r="Q511" i="43"/>
  <c r="S511" i="43"/>
  <c r="K511" i="43"/>
  <c r="N511" i="43"/>
  <c r="V511" i="43"/>
  <c r="P512" i="43"/>
  <c r="R512" i="43"/>
  <c r="J512" i="43"/>
  <c r="L512" i="43"/>
  <c r="T512" i="43"/>
  <c r="X512" i="43"/>
  <c r="U512" i="43"/>
  <c r="Q512" i="43"/>
  <c r="S512" i="43"/>
  <c r="K512" i="43"/>
  <c r="N512" i="43"/>
  <c r="V512" i="43"/>
  <c r="P513" i="43"/>
  <c r="R513" i="43"/>
  <c r="J513" i="43"/>
  <c r="L513" i="43"/>
  <c r="T513" i="43"/>
  <c r="X513" i="43"/>
  <c r="U513" i="43"/>
  <c r="Q513" i="43"/>
  <c r="S513" i="43"/>
  <c r="K513" i="43"/>
  <c r="N513" i="43"/>
  <c r="V513" i="43"/>
  <c r="P514" i="43"/>
  <c r="R514" i="43"/>
  <c r="J514" i="43"/>
  <c r="L514" i="43"/>
  <c r="T514" i="43"/>
  <c r="X514" i="43"/>
  <c r="U514" i="43"/>
  <c r="Q514" i="43"/>
  <c r="S514" i="43"/>
  <c r="K514" i="43"/>
  <c r="N514" i="43"/>
  <c r="V514" i="43"/>
  <c r="P515" i="43"/>
  <c r="R515" i="43"/>
  <c r="J515" i="43"/>
  <c r="L515" i="43"/>
  <c r="T515" i="43"/>
  <c r="X515" i="43"/>
  <c r="U515" i="43"/>
  <c r="Q515" i="43"/>
  <c r="S515" i="43"/>
  <c r="K515" i="43"/>
  <c r="N515" i="43"/>
  <c r="V515" i="43"/>
  <c r="Q76" i="43"/>
  <c r="S76" i="43"/>
  <c r="K76" i="43"/>
  <c r="N76" i="43"/>
  <c r="V76" i="43"/>
  <c r="P76" i="43"/>
  <c r="R76" i="43"/>
  <c r="J76" i="43"/>
  <c r="L76" i="43"/>
  <c r="T76" i="43"/>
  <c r="X76" i="43"/>
  <c r="U76" i="43"/>
  <c r="H515" i="43"/>
  <c r="F29" i="43"/>
  <c r="M515" i="43"/>
  <c r="I515" i="43"/>
  <c r="O515" i="43"/>
  <c r="G515" i="43"/>
  <c r="W515" i="43"/>
  <c r="Y515" i="43"/>
  <c r="C515" i="43"/>
  <c r="B515" i="43"/>
  <c r="H514" i="43"/>
  <c r="M514" i="43"/>
  <c r="I514" i="43"/>
  <c r="O514" i="43"/>
  <c r="G514" i="43"/>
  <c r="W514" i="43"/>
  <c r="Y514" i="43"/>
  <c r="C514" i="43"/>
  <c r="B514" i="43"/>
  <c r="H513" i="43"/>
  <c r="M513" i="43"/>
  <c r="I513" i="43"/>
  <c r="O513" i="43"/>
  <c r="G513" i="43"/>
  <c r="W513" i="43"/>
  <c r="Y513" i="43"/>
  <c r="C513" i="43"/>
  <c r="B513" i="43"/>
  <c r="H512" i="43"/>
  <c r="M512" i="43"/>
  <c r="I512" i="43"/>
  <c r="O512" i="43"/>
  <c r="G512" i="43"/>
  <c r="W512" i="43"/>
  <c r="Y512" i="43"/>
  <c r="C512" i="43"/>
  <c r="B512" i="43"/>
  <c r="H511" i="43"/>
  <c r="M511" i="43"/>
  <c r="I511" i="43"/>
  <c r="O511" i="43"/>
  <c r="G511" i="43"/>
  <c r="W511" i="43"/>
  <c r="Y511" i="43"/>
  <c r="C511" i="43"/>
  <c r="B511" i="43"/>
  <c r="H510" i="43"/>
  <c r="M510" i="43"/>
  <c r="I510" i="43"/>
  <c r="O510" i="43"/>
  <c r="G510" i="43"/>
  <c r="W510" i="43"/>
  <c r="Y510" i="43"/>
  <c r="C510" i="43"/>
  <c r="B510" i="43"/>
  <c r="H509" i="43"/>
  <c r="M509" i="43"/>
  <c r="I509" i="43"/>
  <c r="O509" i="43"/>
  <c r="G509" i="43"/>
  <c r="W509" i="43"/>
  <c r="Y509" i="43"/>
  <c r="C509" i="43"/>
  <c r="B509" i="43"/>
  <c r="H508" i="43"/>
  <c r="M508" i="43"/>
  <c r="I508" i="43"/>
  <c r="O508" i="43"/>
  <c r="G508" i="43"/>
  <c r="W508" i="43"/>
  <c r="Y508" i="43"/>
  <c r="C508" i="43"/>
  <c r="B508" i="43"/>
  <c r="H507" i="43"/>
  <c r="M507" i="43"/>
  <c r="I507" i="43"/>
  <c r="O507" i="43"/>
  <c r="G507" i="43"/>
  <c r="W507" i="43"/>
  <c r="Y507" i="43"/>
  <c r="C507" i="43"/>
  <c r="B507" i="43"/>
  <c r="H506" i="43"/>
  <c r="M506" i="43"/>
  <c r="I506" i="43"/>
  <c r="O506" i="43"/>
  <c r="G506" i="43"/>
  <c r="W506" i="43"/>
  <c r="Y506" i="43"/>
  <c r="C506" i="43"/>
  <c r="B506" i="43"/>
  <c r="H505" i="43"/>
  <c r="M505" i="43"/>
  <c r="I505" i="43"/>
  <c r="O505" i="43"/>
  <c r="G505" i="43"/>
  <c r="W505" i="43"/>
  <c r="Y505" i="43"/>
  <c r="C505" i="43"/>
  <c r="B505" i="43"/>
  <c r="H504" i="43"/>
  <c r="M504" i="43"/>
  <c r="I504" i="43"/>
  <c r="O504" i="43"/>
  <c r="G504" i="43"/>
  <c r="W504" i="43"/>
  <c r="Y504" i="43"/>
  <c r="C504" i="43"/>
  <c r="B504" i="43"/>
  <c r="H503" i="43"/>
  <c r="M503" i="43"/>
  <c r="I503" i="43"/>
  <c r="O503" i="43"/>
  <c r="G503" i="43"/>
  <c r="W503" i="43"/>
  <c r="Y503" i="43"/>
  <c r="C503" i="43"/>
  <c r="B503" i="43"/>
  <c r="H502" i="43"/>
  <c r="M502" i="43"/>
  <c r="I502" i="43"/>
  <c r="O502" i="43"/>
  <c r="G502" i="43"/>
  <c r="W502" i="43"/>
  <c r="Y502" i="43"/>
  <c r="C502" i="43"/>
  <c r="B502" i="43"/>
  <c r="H501" i="43"/>
  <c r="M501" i="43"/>
  <c r="I501" i="43"/>
  <c r="O501" i="43"/>
  <c r="G501" i="43"/>
  <c r="W501" i="43"/>
  <c r="Y501" i="43"/>
  <c r="C501" i="43"/>
  <c r="B501" i="43"/>
  <c r="H500" i="43"/>
  <c r="M500" i="43"/>
  <c r="I500" i="43"/>
  <c r="O500" i="43"/>
  <c r="G500" i="43"/>
  <c r="W500" i="43"/>
  <c r="Y500" i="43"/>
  <c r="C500" i="43"/>
  <c r="B500" i="43"/>
  <c r="H499" i="43"/>
  <c r="M499" i="43"/>
  <c r="I499" i="43"/>
  <c r="O499" i="43"/>
  <c r="G499" i="43"/>
  <c r="W499" i="43"/>
  <c r="Y499" i="43"/>
  <c r="C499" i="43"/>
  <c r="B499" i="43"/>
  <c r="H498" i="43"/>
  <c r="M498" i="43"/>
  <c r="I498" i="43"/>
  <c r="O498" i="43"/>
  <c r="G498" i="43"/>
  <c r="W498" i="43"/>
  <c r="Y498" i="43"/>
  <c r="C498" i="43"/>
  <c r="B498" i="43"/>
  <c r="H497" i="43"/>
  <c r="M497" i="43"/>
  <c r="I497" i="43"/>
  <c r="O497" i="43"/>
  <c r="G497" i="43"/>
  <c r="W497" i="43"/>
  <c r="Y497" i="43"/>
  <c r="C497" i="43"/>
  <c r="B497" i="43"/>
  <c r="H496" i="43"/>
  <c r="M496" i="43"/>
  <c r="I496" i="43"/>
  <c r="O496" i="43"/>
  <c r="G496" i="43"/>
  <c r="W496" i="43"/>
  <c r="Y496" i="43"/>
  <c r="C496" i="43"/>
  <c r="B496" i="43"/>
  <c r="H495" i="43"/>
  <c r="M495" i="43"/>
  <c r="I495" i="43"/>
  <c r="O495" i="43"/>
  <c r="G495" i="43"/>
  <c r="W495" i="43"/>
  <c r="Y495" i="43"/>
  <c r="C495" i="43"/>
  <c r="B495" i="43"/>
  <c r="H494" i="43"/>
  <c r="M494" i="43"/>
  <c r="I494" i="43"/>
  <c r="O494" i="43"/>
  <c r="G494" i="43"/>
  <c r="W494" i="43"/>
  <c r="Y494" i="43"/>
  <c r="C494" i="43"/>
  <c r="B494" i="43"/>
  <c r="H493" i="43"/>
  <c r="M493" i="43"/>
  <c r="I493" i="43"/>
  <c r="O493" i="43"/>
  <c r="G493" i="43"/>
  <c r="W493" i="43"/>
  <c r="Y493" i="43"/>
  <c r="C493" i="43"/>
  <c r="B493" i="43"/>
  <c r="H492" i="43"/>
  <c r="M492" i="43"/>
  <c r="I492" i="43"/>
  <c r="O492" i="43"/>
  <c r="G492" i="43"/>
  <c r="W492" i="43"/>
  <c r="Y492" i="43"/>
  <c r="C492" i="43"/>
  <c r="B492" i="43"/>
  <c r="H491" i="43"/>
  <c r="M491" i="43"/>
  <c r="I491" i="43"/>
  <c r="O491" i="43"/>
  <c r="G491" i="43"/>
  <c r="W491" i="43"/>
  <c r="Y491" i="43"/>
  <c r="C491" i="43"/>
  <c r="B491" i="43"/>
  <c r="H490" i="43"/>
  <c r="M490" i="43"/>
  <c r="I490" i="43"/>
  <c r="O490" i="43"/>
  <c r="G490" i="43"/>
  <c r="W490" i="43"/>
  <c r="Y490" i="43"/>
  <c r="C490" i="43"/>
  <c r="B490" i="43"/>
  <c r="H489" i="43"/>
  <c r="M489" i="43"/>
  <c r="I489" i="43"/>
  <c r="O489" i="43"/>
  <c r="G489" i="43"/>
  <c r="W489" i="43"/>
  <c r="Y489" i="43"/>
  <c r="C489" i="43"/>
  <c r="B489" i="43"/>
  <c r="H488" i="43"/>
  <c r="M488" i="43"/>
  <c r="I488" i="43"/>
  <c r="O488" i="43"/>
  <c r="G488" i="43"/>
  <c r="W488" i="43"/>
  <c r="Y488" i="43"/>
  <c r="C488" i="43"/>
  <c r="B488" i="43"/>
  <c r="H487" i="43"/>
  <c r="M487" i="43"/>
  <c r="I487" i="43"/>
  <c r="O487" i="43"/>
  <c r="G487" i="43"/>
  <c r="W487" i="43"/>
  <c r="Y487" i="43"/>
  <c r="C487" i="43"/>
  <c r="B487" i="43"/>
  <c r="H486" i="43"/>
  <c r="M486" i="43"/>
  <c r="I486" i="43"/>
  <c r="O486" i="43"/>
  <c r="G486" i="43"/>
  <c r="W486" i="43"/>
  <c r="Y486" i="43"/>
  <c r="C486" i="43"/>
  <c r="B486" i="43"/>
  <c r="H485" i="43"/>
  <c r="M485" i="43"/>
  <c r="I485" i="43"/>
  <c r="O485" i="43"/>
  <c r="G485" i="43"/>
  <c r="W485" i="43"/>
  <c r="Y485" i="43"/>
  <c r="C485" i="43"/>
  <c r="B485" i="43"/>
  <c r="H484" i="43"/>
  <c r="M484" i="43"/>
  <c r="I484" i="43"/>
  <c r="O484" i="43"/>
  <c r="G484" i="43"/>
  <c r="W484" i="43"/>
  <c r="Y484" i="43"/>
  <c r="C484" i="43"/>
  <c r="B484" i="43"/>
  <c r="H483" i="43"/>
  <c r="M483" i="43"/>
  <c r="I483" i="43"/>
  <c r="O483" i="43"/>
  <c r="G483" i="43"/>
  <c r="W483" i="43"/>
  <c r="Y483" i="43"/>
  <c r="C483" i="43"/>
  <c r="B483" i="43"/>
  <c r="H482" i="43"/>
  <c r="M482" i="43"/>
  <c r="I482" i="43"/>
  <c r="O482" i="43"/>
  <c r="G482" i="43"/>
  <c r="W482" i="43"/>
  <c r="Y482" i="43"/>
  <c r="C482" i="43"/>
  <c r="B482" i="43"/>
  <c r="H481" i="43"/>
  <c r="M481" i="43"/>
  <c r="I481" i="43"/>
  <c r="O481" i="43"/>
  <c r="G481" i="43"/>
  <c r="W481" i="43"/>
  <c r="Y481" i="43"/>
  <c r="C481" i="43"/>
  <c r="B481" i="43"/>
  <c r="H480" i="43"/>
  <c r="M480" i="43"/>
  <c r="I480" i="43"/>
  <c r="O480" i="43"/>
  <c r="G480" i="43"/>
  <c r="W480" i="43"/>
  <c r="Y480" i="43"/>
  <c r="C480" i="43"/>
  <c r="B480" i="43"/>
  <c r="H479" i="43"/>
  <c r="M479" i="43"/>
  <c r="I479" i="43"/>
  <c r="O479" i="43"/>
  <c r="G479" i="43"/>
  <c r="W479" i="43"/>
  <c r="Y479" i="43"/>
  <c r="C479" i="43"/>
  <c r="B479" i="43"/>
  <c r="H478" i="43"/>
  <c r="M478" i="43"/>
  <c r="I478" i="43"/>
  <c r="O478" i="43"/>
  <c r="G478" i="43"/>
  <c r="W478" i="43"/>
  <c r="Y478" i="43"/>
  <c r="C478" i="43"/>
  <c r="B478" i="43"/>
  <c r="H477" i="43"/>
  <c r="M477" i="43"/>
  <c r="I477" i="43"/>
  <c r="O477" i="43"/>
  <c r="G477" i="43"/>
  <c r="W477" i="43"/>
  <c r="Y477" i="43"/>
  <c r="C477" i="43"/>
  <c r="B477" i="43"/>
  <c r="H476" i="43"/>
  <c r="M476" i="43"/>
  <c r="I476" i="43"/>
  <c r="O476" i="43"/>
  <c r="G476" i="43"/>
  <c r="W476" i="43"/>
  <c r="Y476" i="43"/>
  <c r="C476" i="43"/>
  <c r="B476" i="43"/>
  <c r="H475" i="43"/>
  <c r="M475" i="43"/>
  <c r="I475" i="43"/>
  <c r="O475" i="43"/>
  <c r="G475" i="43"/>
  <c r="W475" i="43"/>
  <c r="Y475" i="43"/>
  <c r="C475" i="43"/>
  <c r="B475" i="43"/>
  <c r="H474" i="43"/>
  <c r="M474" i="43"/>
  <c r="I474" i="43"/>
  <c r="O474" i="43"/>
  <c r="G474" i="43"/>
  <c r="W474" i="43"/>
  <c r="Y474" i="43"/>
  <c r="C474" i="43"/>
  <c r="B474" i="43"/>
  <c r="H473" i="43"/>
  <c r="M473" i="43"/>
  <c r="I473" i="43"/>
  <c r="O473" i="43"/>
  <c r="G473" i="43"/>
  <c r="W473" i="43"/>
  <c r="Y473" i="43"/>
  <c r="C473" i="43"/>
  <c r="B473" i="43"/>
  <c r="H472" i="43"/>
  <c r="M472" i="43"/>
  <c r="I472" i="43"/>
  <c r="O472" i="43"/>
  <c r="G472" i="43"/>
  <c r="W472" i="43"/>
  <c r="Y472" i="43"/>
  <c r="C472" i="43"/>
  <c r="B472" i="43"/>
  <c r="H471" i="43"/>
  <c r="M471" i="43"/>
  <c r="I471" i="43"/>
  <c r="O471" i="43"/>
  <c r="G471" i="43"/>
  <c r="W471" i="43"/>
  <c r="Y471" i="43"/>
  <c r="C471" i="43"/>
  <c r="B471" i="43"/>
  <c r="H470" i="43"/>
  <c r="M470" i="43"/>
  <c r="I470" i="43"/>
  <c r="O470" i="43"/>
  <c r="G470" i="43"/>
  <c r="W470" i="43"/>
  <c r="Y470" i="43"/>
  <c r="C470" i="43"/>
  <c r="B470" i="43"/>
  <c r="H469" i="43"/>
  <c r="M469" i="43"/>
  <c r="I469" i="43"/>
  <c r="O469" i="43"/>
  <c r="G469" i="43"/>
  <c r="W469" i="43"/>
  <c r="Y469" i="43"/>
  <c r="C469" i="43"/>
  <c r="B469" i="43"/>
  <c r="H468" i="43"/>
  <c r="M468" i="43"/>
  <c r="I468" i="43"/>
  <c r="O468" i="43"/>
  <c r="G468" i="43"/>
  <c r="W468" i="43"/>
  <c r="Y468" i="43"/>
  <c r="C468" i="43"/>
  <c r="B468" i="43"/>
  <c r="H467" i="43"/>
  <c r="M467" i="43"/>
  <c r="I467" i="43"/>
  <c r="O467" i="43"/>
  <c r="G467" i="43"/>
  <c r="W467" i="43"/>
  <c r="Y467" i="43"/>
  <c r="C467" i="43"/>
  <c r="B467" i="43"/>
  <c r="H466" i="43"/>
  <c r="M466" i="43"/>
  <c r="I466" i="43"/>
  <c r="O466" i="43"/>
  <c r="G466" i="43"/>
  <c r="W466" i="43"/>
  <c r="Y466" i="43"/>
  <c r="C466" i="43"/>
  <c r="B466" i="43"/>
  <c r="H465" i="43"/>
  <c r="M465" i="43"/>
  <c r="I465" i="43"/>
  <c r="O465" i="43"/>
  <c r="G465" i="43"/>
  <c r="W465" i="43"/>
  <c r="Y465" i="43"/>
  <c r="C465" i="43"/>
  <c r="B465" i="43"/>
  <c r="H464" i="43"/>
  <c r="M464" i="43"/>
  <c r="I464" i="43"/>
  <c r="O464" i="43"/>
  <c r="G464" i="43"/>
  <c r="W464" i="43"/>
  <c r="Y464" i="43"/>
  <c r="C464" i="43"/>
  <c r="B464" i="43"/>
  <c r="H463" i="43"/>
  <c r="M463" i="43"/>
  <c r="I463" i="43"/>
  <c r="O463" i="43"/>
  <c r="G463" i="43"/>
  <c r="W463" i="43"/>
  <c r="Y463" i="43"/>
  <c r="C463" i="43"/>
  <c r="B463" i="43"/>
  <c r="H462" i="43"/>
  <c r="M462" i="43"/>
  <c r="I462" i="43"/>
  <c r="O462" i="43"/>
  <c r="G462" i="43"/>
  <c r="W462" i="43"/>
  <c r="Y462" i="43"/>
  <c r="C462" i="43"/>
  <c r="B462" i="43"/>
  <c r="H461" i="43"/>
  <c r="M461" i="43"/>
  <c r="I461" i="43"/>
  <c r="O461" i="43"/>
  <c r="G461" i="43"/>
  <c r="W461" i="43"/>
  <c r="Y461" i="43"/>
  <c r="C461" i="43"/>
  <c r="B461" i="43"/>
  <c r="H460" i="43"/>
  <c r="M460" i="43"/>
  <c r="I460" i="43"/>
  <c r="O460" i="43"/>
  <c r="G460" i="43"/>
  <c r="W460" i="43"/>
  <c r="Y460" i="43"/>
  <c r="C460" i="43"/>
  <c r="B460" i="43"/>
  <c r="H459" i="43"/>
  <c r="M459" i="43"/>
  <c r="I459" i="43"/>
  <c r="O459" i="43"/>
  <c r="G459" i="43"/>
  <c r="W459" i="43"/>
  <c r="Y459" i="43"/>
  <c r="C459" i="43"/>
  <c r="B459" i="43"/>
  <c r="H458" i="43"/>
  <c r="M458" i="43"/>
  <c r="I458" i="43"/>
  <c r="O458" i="43"/>
  <c r="G458" i="43"/>
  <c r="W458" i="43"/>
  <c r="Y458" i="43"/>
  <c r="C458" i="43"/>
  <c r="B458" i="43"/>
  <c r="H457" i="43"/>
  <c r="M457" i="43"/>
  <c r="I457" i="43"/>
  <c r="O457" i="43"/>
  <c r="G457" i="43"/>
  <c r="W457" i="43"/>
  <c r="Y457" i="43"/>
  <c r="C457" i="43"/>
  <c r="B457" i="43"/>
  <c r="H456" i="43"/>
  <c r="M456" i="43"/>
  <c r="I456" i="43"/>
  <c r="O456" i="43"/>
  <c r="G456" i="43"/>
  <c r="W456" i="43"/>
  <c r="Y456" i="43"/>
  <c r="C456" i="43"/>
  <c r="B456" i="43"/>
  <c r="H455" i="43"/>
  <c r="M455" i="43"/>
  <c r="I455" i="43"/>
  <c r="O455" i="43"/>
  <c r="G455" i="43"/>
  <c r="W455" i="43"/>
  <c r="Y455" i="43"/>
  <c r="C455" i="43"/>
  <c r="B455" i="43"/>
  <c r="H454" i="43"/>
  <c r="M454" i="43"/>
  <c r="I454" i="43"/>
  <c r="O454" i="43"/>
  <c r="G454" i="43"/>
  <c r="W454" i="43"/>
  <c r="Y454" i="43"/>
  <c r="C454" i="43"/>
  <c r="B454" i="43"/>
  <c r="H453" i="43"/>
  <c r="M453" i="43"/>
  <c r="I453" i="43"/>
  <c r="O453" i="43"/>
  <c r="G453" i="43"/>
  <c r="W453" i="43"/>
  <c r="Y453" i="43"/>
  <c r="C453" i="43"/>
  <c r="B453" i="43"/>
  <c r="H452" i="43"/>
  <c r="M452" i="43"/>
  <c r="I452" i="43"/>
  <c r="O452" i="43"/>
  <c r="G452" i="43"/>
  <c r="W452" i="43"/>
  <c r="Y452" i="43"/>
  <c r="C452" i="43"/>
  <c r="B452" i="43"/>
  <c r="H451" i="43"/>
  <c r="M451" i="43"/>
  <c r="I451" i="43"/>
  <c r="O451" i="43"/>
  <c r="G451" i="43"/>
  <c r="W451" i="43"/>
  <c r="Y451" i="43"/>
  <c r="C451" i="43"/>
  <c r="B451" i="43"/>
  <c r="H450" i="43"/>
  <c r="M450" i="43"/>
  <c r="I450" i="43"/>
  <c r="O450" i="43"/>
  <c r="G450" i="43"/>
  <c r="W450" i="43"/>
  <c r="Y450" i="43"/>
  <c r="C450" i="43"/>
  <c r="B450" i="43"/>
  <c r="H449" i="43"/>
  <c r="M449" i="43"/>
  <c r="I449" i="43"/>
  <c r="O449" i="43"/>
  <c r="G449" i="43"/>
  <c r="W449" i="43"/>
  <c r="Y449" i="43"/>
  <c r="C449" i="43"/>
  <c r="B449" i="43"/>
  <c r="H448" i="43"/>
  <c r="M448" i="43"/>
  <c r="I448" i="43"/>
  <c r="O448" i="43"/>
  <c r="G448" i="43"/>
  <c r="W448" i="43"/>
  <c r="Y448" i="43"/>
  <c r="C448" i="43"/>
  <c r="B448" i="43"/>
  <c r="H447" i="43"/>
  <c r="M447" i="43"/>
  <c r="I447" i="43"/>
  <c r="O447" i="43"/>
  <c r="G447" i="43"/>
  <c r="W447" i="43"/>
  <c r="Y447" i="43"/>
  <c r="C447" i="43"/>
  <c r="B447" i="43"/>
  <c r="H446" i="43"/>
  <c r="M446" i="43"/>
  <c r="I446" i="43"/>
  <c r="O446" i="43"/>
  <c r="G446" i="43"/>
  <c r="W446" i="43"/>
  <c r="Y446" i="43"/>
  <c r="C446" i="43"/>
  <c r="B446" i="43"/>
  <c r="H445" i="43"/>
  <c r="M445" i="43"/>
  <c r="I445" i="43"/>
  <c r="O445" i="43"/>
  <c r="G445" i="43"/>
  <c r="W445" i="43"/>
  <c r="Y445" i="43"/>
  <c r="C445" i="43"/>
  <c r="B445" i="43"/>
  <c r="H444" i="43"/>
  <c r="M444" i="43"/>
  <c r="I444" i="43"/>
  <c r="O444" i="43"/>
  <c r="G444" i="43"/>
  <c r="W444" i="43"/>
  <c r="Y444" i="43"/>
  <c r="C444" i="43"/>
  <c r="B444" i="43"/>
  <c r="H443" i="43"/>
  <c r="M443" i="43"/>
  <c r="I443" i="43"/>
  <c r="O443" i="43"/>
  <c r="G443" i="43"/>
  <c r="W443" i="43"/>
  <c r="Y443" i="43"/>
  <c r="C443" i="43"/>
  <c r="B443" i="43"/>
  <c r="H442" i="43"/>
  <c r="M442" i="43"/>
  <c r="I442" i="43"/>
  <c r="O442" i="43"/>
  <c r="G442" i="43"/>
  <c r="W442" i="43"/>
  <c r="Y442" i="43"/>
  <c r="C442" i="43"/>
  <c r="B442" i="43"/>
  <c r="H441" i="43"/>
  <c r="M441" i="43"/>
  <c r="I441" i="43"/>
  <c r="O441" i="43"/>
  <c r="G441" i="43"/>
  <c r="W441" i="43"/>
  <c r="Y441" i="43"/>
  <c r="C441" i="43"/>
  <c r="B441" i="43"/>
  <c r="H440" i="43"/>
  <c r="M440" i="43"/>
  <c r="I440" i="43"/>
  <c r="O440" i="43"/>
  <c r="G440" i="43"/>
  <c r="W440" i="43"/>
  <c r="Y440" i="43"/>
  <c r="C440" i="43"/>
  <c r="B440" i="43"/>
  <c r="H439" i="43"/>
  <c r="M439" i="43"/>
  <c r="I439" i="43"/>
  <c r="O439" i="43"/>
  <c r="G439" i="43"/>
  <c r="W439" i="43"/>
  <c r="Y439" i="43"/>
  <c r="C439" i="43"/>
  <c r="B439" i="43"/>
  <c r="H438" i="43"/>
  <c r="M438" i="43"/>
  <c r="I438" i="43"/>
  <c r="O438" i="43"/>
  <c r="G438" i="43"/>
  <c r="W438" i="43"/>
  <c r="Y438" i="43"/>
  <c r="C438" i="43"/>
  <c r="B438" i="43"/>
  <c r="H437" i="43"/>
  <c r="M437" i="43"/>
  <c r="I437" i="43"/>
  <c r="O437" i="43"/>
  <c r="G437" i="43"/>
  <c r="W437" i="43"/>
  <c r="Y437" i="43"/>
  <c r="C437" i="43"/>
  <c r="B437" i="43"/>
  <c r="H436" i="43"/>
  <c r="M436" i="43"/>
  <c r="I436" i="43"/>
  <c r="O436" i="43"/>
  <c r="G436" i="43"/>
  <c r="W436" i="43"/>
  <c r="Y436" i="43"/>
  <c r="C436" i="43"/>
  <c r="B436" i="43"/>
  <c r="H435" i="43"/>
  <c r="M435" i="43"/>
  <c r="I435" i="43"/>
  <c r="O435" i="43"/>
  <c r="G435" i="43"/>
  <c r="W435" i="43"/>
  <c r="Y435" i="43"/>
  <c r="C435" i="43"/>
  <c r="B435" i="43"/>
  <c r="H434" i="43"/>
  <c r="M434" i="43"/>
  <c r="I434" i="43"/>
  <c r="O434" i="43"/>
  <c r="G434" i="43"/>
  <c r="W434" i="43"/>
  <c r="Y434" i="43"/>
  <c r="C434" i="43"/>
  <c r="B434" i="43"/>
  <c r="H433" i="43"/>
  <c r="M433" i="43"/>
  <c r="I433" i="43"/>
  <c r="O433" i="43"/>
  <c r="G433" i="43"/>
  <c r="W433" i="43"/>
  <c r="Y433" i="43"/>
  <c r="C433" i="43"/>
  <c r="B433" i="43"/>
  <c r="H432" i="43"/>
  <c r="M432" i="43"/>
  <c r="I432" i="43"/>
  <c r="O432" i="43"/>
  <c r="G432" i="43"/>
  <c r="W432" i="43"/>
  <c r="Y432" i="43"/>
  <c r="C432" i="43"/>
  <c r="B432" i="43"/>
  <c r="H431" i="43"/>
  <c r="M431" i="43"/>
  <c r="I431" i="43"/>
  <c r="O431" i="43"/>
  <c r="G431" i="43"/>
  <c r="W431" i="43"/>
  <c r="Y431" i="43"/>
  <c r="C431" i="43"/>
  <c r="B431" i="43"/>
  <c r="H430" i="43"/>
  <c r="M430" i="43"/>
  <c r="I430" i="43"/>
  <c r="O430" i="43"/>
  <c r="G430" i="43"/>
  <c r="W430" i="43"/>
  <c r="Y430" i="43"/>
  <c r="C430" i="43"/>
  <c r="B430" i="43"/>
  <c r="H429" i="43"/>
  <c r="M429" i="43"/>
  <c r="I429" i="43"/>
  <c r="O429" i="43"/>
  <c r="G429" i="43"/>
  <c r="W429" i="43"/>
  <c r="Y429" i="43"/>
  <c r="C429" i="43"/>
  <c r="B429" i="43"/>
  <c r="H428" i="43"/>
  <c r="M428" i="43"/>
  <c r="I428" i="43"/>
  <c r="O428" i="43"/>
  <c r="G428" i="43"/>
  <c r="W428" i="43"/>
  <c r="Y428" i="43"/>
  <c r="C428" i="43"/>
  <c r="B428" i="43"/>
  <c r="H427" i="43"/>
  <c r="M427" i="43"/>
  <c r="I427" i="43"/>
  <c r="O427" i="43"/>
  <c r="G427" i="43"/>
  <c r="W427" i="43"/>
  <c r="Y427" i="43"/>
  <c r="C427" i="43"/>
  <c r="B427" i="43"/>
  <c r="H426" i="43"/>
  <c r="M426" i="43"/>
  <c r="I426" i="43"/>
  <c r="O426" i="43"/>
  <c r="G426" i="43"/>
  <c r="W426" i="43"/>
  <c r="Y426" i="43"/>
  <c r="C426" i="43"/>
  <c r="B426" i="43"/>
  <c r="H425" i="43"/>
  <c r="M425" i="43"/>
  <c r="I425" i="43"/>
  <c r="O425" i="43"/>
  <c r="G425" i="43"/>
  <c r="W425" i="43"/>
  <c r="Y425" i="43"/>
  <c r="C425" i="43"/>
  <c r="B425" i="43"/>
  <c r="H424" i="43"/>
  <c r="M424" i="43"/>
  <c r="I424" i="43"/>
  <c r="O424" i="43"/>
  <c r="G424" i="43"/>
  <c r="W424" i="43"/>
  <c r="Y424" i="43"/>
  <c r="C424" i="43"/>
  <c r="B424" i="43"/>
  <c r="H423" i="43"/>
  <c r="M423" i="43"/>
  <c r="I423" i="43"/>
  <c r="O423" i="43"/>
  <c r="G423" i="43"/>
  <c r="W423" i="43"/>
  <c r="Y423" i="43"/>
  <c r="C423" i="43"/>
  <c r="B423" i="43"/>
  <c r="H422" i="43"/>
  <c r="M422" i="43"/>
  <c r="I422" i="43"/>
  <c r="O422" i="43"/>
  <c r="G422" i="43"/>
  <c r="W422" i="43"/>
  <c r="Y422" i="43"/>
  <c r="C422" i="43"/>
  <c r="B422" i="43"/>
  <c r="H421" i="43"/>
  <c r="M421" i="43"/>
  <c r="I421" i="43"/>
  <c r="O421" i="43"/>
  <c r="G421" i="43"/>
  <c r="W421" i="43"/>
  <c r="Y421" i="43"/>
  <c r="C421" i="43"/>
  <c r="B421" i="43"/>
  <c r="H420" i="43"/>
  <c r="M420" i="43"/>
  <c r="I420" i="43"/>
  <c r="O420" i="43"/>
  <c r="G420" i="43"/>
  <c r="W420" i="43"/>
  <c r="Y420" i="43"/>
  <c r="C420" i="43"/>
  <c r="B420" i="43"/>
  <c r="H419" i="43"/>
  <c r="M419" i="43"/>
  <c r="I419" i="43"/>
  <c r="O419" i="43"/>
  <c r="G419" i="43"/>
  <c r="W419" i="43"/>
  <c r="Y419" i="43"/>
  <c r="C419" i="43"/>
  <c r="B419" i="43"/>
  <c r="H418" i="43"/>
  <c r="M418" i="43"/>
  <c r="I418" i="43"/>
  <c r="O418" i="43"/>
  <c r="G418" i="43"/>
  <c r="W418" i="43"/>
  <c r="Y418" i="43"/>
  <c r="C418" i="43"/>
  <c r="B418" i="43"/>
  <c r="H417" i="43"/>
  <c r="M417" i="43"/>
  <c r="I417" i="43"/>
  <c r="O417" i="43"/>
  <c r="G417" i="43"/>
  <c r="W417" i="43"/>
  <c r="Y417" i="43"/>
  <c r="C417" i="43"/>
  <c r="B417" i="43"/>
  <c r="H416" i="43"/>
  <c r="M416" i="43"/>
  <c r="I416" i="43"/>
  <c r="O416" i="43"/>
  <c r="G416" i="43"/>
  <c r="W416" i="43"/>
  <c r="Y416" i="43"/>
  <c r="C416" i="43"/>
  <c r="B416" i="43"/>
  <c r="H415" i="43"/>
  <c r="M415" i="43"/>
  <c r="I415" i="43"/>
  <c r="O415" i="43"/>
  <c r="G415" i="43"/>
  <c r="W415" i="43"/>
  <c r="Y415" i="43"/>
  <c r="C415" i="43"/>
  <c r="B415" i="43"/>
  <c r="H414" i="43"/>
  <c r="M414" i="43"/>
  <c r="I414" i="43"/>
  <c r="O414" i="43"/>
  <c r="G414" i="43"/>
  <c r="W414" i="43"/>
  <c r="Y414" i="43"/>
  <c r="C414" i="43"/>
  <c r="B414" i="43"/>
  <c r="H413" i="43"/>
  <c r="M413" i="43"/>
  <c r="I413" i="43"/>
  <c r="O413" i="43"/>
  <c r="G413" i="43"/>
  <c r="W413" i="43"/>
  <c r="Y413" i="43"/>
  <c r="C413" i="43"/>
  <c r="B413" i="43"/>
  <c r="H412" i="43"/>
  <c r="M412" i="43"/>
  <c r="I412" i="43"/>
  <c r="O412" i="43"/>
  <c r="G412" i="43"/>
  <c r="W412" i="43"/>
  <c r="Y412" i="43"/>
  <c r="C412" i="43"/>
  <c r="B412" i="43"/>
  <c r="H411" i="43"/>
  <c r="M411" i="43"/>
  <c r="I411" i="43"/>
  <c r="O411" i="43"/>
  <c r="G411" i="43"/>
  <c r="W411" i="43"/>
  <c r="Y411" i="43"/>
  <c r="C411" i="43"/>
  <c r="B411" i="43"/>
  <c r="H410" i="43"/>
  <c r="M410" i="43"/>
  <c r="I410" i="43"/>
  <c r="O410" i="43"/>
  <c r="G410" i="43"/>
  <c r="W410" i="43"/>
  <c r="Y410" i="43"/>
  <c r="C410" i="43"/>
  <c r="B410" i="43"/>
  <c r="H409" i="43"/>
  <c r="M409" i="43"/>
  <c r="I409" i="43"/>
  <c r="O409" i="43"/>
  <c r="G409" i="43"/>
  <c r="W409" i="43"/>
  <c r="Y409" i="43"/>
  <c r="C409" i="43"/>
  <c r="B409" i="43"/>
  <c r="H408" i="43"/>
  <c r="M408" i="43"/>
  <c r="I408" i="43"/>
  <c r="O408" i="43"/>
  <c r="G408" i="43"/>
  <c r="W408" i="43"/>
  <c r="Y408" i="43"/>
  <c r="C408" i="43"/>
  <c r="B408" i="43"/>
  <c r="H407" i="43"/>
  <c r="M407" i="43"/>
  <c r="I407" i="43"/>
  <c r="O407" i="43"/>
  <c r="G407" i="43"/>
  <c r="W407" i="43"/>
  <c r="Y407" i="43"/>
  <c r="C407" i="43"/>
  <c r="B407" i="43"/>
  <c r="H406" i="43"/>
  <c r="M406" i="43"/>
  <c r="I406" i="43"/>
  <c r="O406" i="43"/>
  <c r="G406" i="43"/>
  <c r="W406" i="43"/>
  <c r="Y406" i="43"/>
  <c r="C406" i="43"/>
  <c r="B406" i="43"/>
  <c r="H405" i="43"/>
  <c r="M405" i="43"/>
  <c r="I405" i="43"/>
  <c r="O405" i="43"/>
  <c r="G405" i="43"/>
  <c r="W405" i="43"/>
  <c r="Y405" i="43"/>
  <c r="C405" i="43"/>
  <c r="B405" i="43"/>
  <c r="H404" i="43"/>
  <c r="M404" i="43"/>
  <c r="I404" i="43"/>
  <c r="O404" i="43"/>
  <c r="G404" i="43"/>
  <c r="W404" i="43"/>
  <c r="Y404" i="43"/>
  <c r="C404" i="43"/>
  <c r="B404" i="43"/>
  <c r="H403" i="43"/>
  <c r="M403" i="43"/>
  <c r="I403" i="43"/>
  <c r="O403" i="43"/>
  <c r="G403" i="43"/>
  <c r="W403" i="43"/>
  <c r="Y403" i="43"/>
  <c r="C403" i="43"/>
  <c r="B403" i="43"/>
  <c r="H402" i="43"/>
  <c r="M402" i="43"/>
  <c r="I402" i="43"/>
  <c r="O402" i="43"/>
  <c r="G402" i="43"/>
  <c r="W402" i="43"/>
  <c r="Y402" i="43"/>
  <c r="C402" i="43"/>
  <c r="B402" i="43"/>
  <c r="H401" i="43"/>
  <c r="M401" i="43"/>
  <c r="I401" i="43"/>
  <c r="O401" i="43"/>
  <c r="G401" i="43"/>
  <c r="W401" i="43"/>
  <c r="Y401" i="43"/>
  <c r="C401" i="43"/>
  <c r="B401" i="43"/>
  <c r="H400" i="43"/>
  <c r="M400" i="43"/>
  <c r="I400" i="43"/>
  <c r="O400" i="43"/>
  <c r="G400" i="43"/>
  <c r="W400" i="43"/>
  <c r="Y400" i="43"/>
  <c r="C400" i="43"/>
  <c r="B400" i="43"/>
  <c r="H399" i="43"/>
  <c r="M399" i="43"/>
  <c r="I399" i="43"/>
  <c r="O399" i="43"/>
  <c r="G399" i="43"/>
  <c r="W399" i="43"/>
  <c r="Y399" i="43"/>
  <c r="C399" i="43"/>
  <c r="B399" i="43"/>
  <c r="H398" i="43"/>
  <c r="M398" i="43"/>
  <c r="I398" i="43"/>
  <c r="O398" i="43"/>
  <c r="G398" i="43"/>
  <c r="W398" i="43"/>
  <c r="Y398" i="43"/>
  <c r="C398" i="43"/>
  <c r="B398" i="43"/>
  <c r="H397" i="43"/>
  <c r="M397" i="43"/>
  <c r="I397" i="43"/>
  <c r="O397" i="43"/>
  <c r="G397" i="43"/>
  <c r="W397" i="43"/>
  <c r="Y397" i="43"/>
  <c r="C397" i="43"/>
  <c r="B397" i="43"/>
  <c r="H396" i="43"/>
  <c r="M396" i="43"/>
  <c r="I396" i="43"/>
  <c r="O396" i="43"/>
  <c r="G396" i="43"/>
  <c r="W396" i="43"/>
  <c r="Y396" i="43"/>
  <c r="C396" i="43"/>
  <c r="B396" i="43"/>
  <c r="H395" i="43"/>
  <c r="M395" i="43"/>
  <c r="I395" i="43"/>
  <c r="O395" i="43"/>
  <c r="G395" i="43"/>
  <c r="W395" i="43"/>
  <c r="Y395" i="43"/>
  <c r="C395" i="43"/>
  <c r="B395" i="43"/>
  <c r="H394" i="43"/>
  <c r="M394" i="43"/>
  <c r="I394" i="43"/>
  <c r="O394" i="43"/>
  <c r="G394" i="43"/>
  <c r="W394" i="43"/>
  <c r="Y394" i="43"/>
  <c r="C394" i="43"/>
  <c r="B394" i="43"/>
  <c r="H393" i="43"/>
  <c r="M393" i="43"/>
  <c r="I393" i="43"/>
  <c r="O393" i="43"/>
  <c r="G393" i="43"/>
  <c r="W393" i="43"/>
  <c r="Y393" i="43"/>
  <c r="C393" i="43"/>
  <c r="B393" i="43"/>
  <c r="H392" i="43"/>
  <c r="M392" i="43"/>
  <c r="I392" i="43"/>
  <c r="O392" i="43"/>
  <c r="G392" i="43"/>
  <c r="W392" i="43"/>
  <c r="Y392" i="43"/>
  <c r="C392" i="43"/>
  <c r="B392" i="43"/>
  <c r="H391" i="43"/>
  <c r="M391" i="43"/>
  <c r="I391" i="43"/>
  <c r="O391" i="43"/>
  <c r="G391" i="43"/>
  <c r="W391" i="43"/>
  <c r="Y391" i="43"/>
  <c r="C391" i="43"/>
  <c r="B391" i="43"/>
  <c r="H390" i="43"/>
  <c r="M390" i="43"/>
  <c r="I390" i="43"/>
  <c r="O390" i="43"/>
  <c r="G390" i="43"/>
  <c r="W390" i="43"/>
  <c r="Y390" i="43"/>
  <c r="C390" i="43"/>
  <c r="B390" i="43"/>
  <c r="H389" i="43"/>
  <c r="M389" i="43"/>
  <c r="I389" i="43"/>
  <c r="O389" i="43"/>
  <c r="G389" i="43"/>
  <c r="W389" i="43"/>
  <c r="Y389" i="43"/>
  <c r="C389" i="43"/>
  <c r="B389" i="43"/>
  <c r="H388" i="43"/>
  <c r="M388" i="43"/>
  <c r="I388" i="43"/>
  <c r="O388" i="43"/>
  <c r="G388" i="43"/>
  <c r="W388" i="43"/>
  <c r="Y388" i="43"/>
  <c r="C388" i="43"/>
  <c r="B388" i="43"/>
  <c r="H387" i="43"/>
  <c r="M387" i="43"/>
  <c r="I387" i="43"/>
  <c r="O387" i="43"/>
  <c r="G387" i="43"/>
  <c r="W387" i="43"/>
  <c r="Y387" i="43"/>
  <c r="C387" i="43"/>
  <c r="B387" i="43"/>
  <c r="H386" i="43"/>
  <c r="M386" i="43"/>
  <c r="I386" i="43"/>
  <c r="O386" i="43"/>
  <c r="G386" i="43"/>
  <c r="W386" i="43"/>
  <c r="Y386" i="43"/>
  <c r="C386" i="43"/>
  <c r="B386" i="43"/>
  <c r="H385" i="43"/>
  <c r="M385" i="43"/>
  <c r="I385" i="43"/>
  <c r="O385" i="43"/>
  <c r="G385" i="43"/>
  <c r="W385" i="43"/>
  <c r="Y385" i="43"/>
  <c r="C385" i="43"/>
  <c r="B385" i="43"/>
  <c r="H384" i="43"/>
  <c r="M384" i="43"/>
  <c r="I384" i="43"/>
  <c r="O384" i="43"/>
  <c r="G384" i="43"/>
  <c r="W384" i="43"/>
  <c r="Y384" i="43"/>
  <c r="C384" i="43"/>
  <c r="B384" i="43"/>
  <c r="H383" i="43"/>
  <c r="M383" i="43"/>
  <c r="I383" i="43"/>
  <c r="O383" i="43"/>
  <c r="G383" i="43"/>
  <c r="W383" i="43"/>
  <c r="Y383" i="43"/>
  <c r="C383" i="43"/>
  <c r="B383" i="43"/>
  <c r="H382" i="43"/>
  <c r="M382" i="43"/>
  <c r="I382" i="43"/>
  <c r="O382" i="43"/>
  <c r="G382" i="43"/>
  <c r="W382" i="43"/>
  <c r="Y382" i="43"/>
  <c r="C382" i="43"/>
  <c r="B382" i="43"/>
  <c r="H381" i="43"/>
  <c r="M381" i="43"/>
  <c r="I381" i="43"/>
  <c r="O381" i="43"/>
  <c r="G381" i="43"/>
  <c r="W381" i="43"/>
  <c r="Y381" i="43"/>
  <c r="C381" i="43"/>
  <c r="B381" i="43"/>
  <c r="H380" i="43"/>
  <c r="M380" i="43"/>
  <c r="I380" i="43"/>
  <c r="O380" i="43"/>
  <c r="G380" i="43"/>
  <c r="W380" i="43"/>
  <c r="Y380" i="43"/>
  <c r="C380" i="43"/>
  <c r="B380" i="43"/>
  <c r="H379" i="43"/>
  <c r="M379" i="43"/>
  <c r="I379" i="43"/>
  <c r="O379" i="43"/>
  <c r="G379" i="43"/>
  <c r="W379" i="43"/>
  <c r="Y379" i="43"/>
  <c r="C379" i="43"/>
  <c r="B379" i="43"/>
  <c r="H378" i="43"/>
  <c r="M378" i="43"/>
  <c r="I378" i="43"/>
  <c r="O378" i="43"/>
  <c r="G378" i="43"/>
  <c r="W378" i="43"/>
  <c r="Y378" i="43"/>
  <c r="C378" i="43"/>
  <c r="B378" i="43"/>
  <c r="H377" i="43"/>
  <c r="M377" i="43"/>
  <c r="I377" i="43"/>
  <c r="O377" i="43"/>
  <c r="G377" i="43"/>
  <c r="W377" i="43"/>
  <c r="Y377" i="43"/>
  <c r="C377" i="43"/>
  <c r="B377" i="43"/>
  <c r="H376" i="43"/>
  <c r="M376" i="43"/>
  <c r="I376" i="43"/>
  <c r="O376" i="43"/>
  <c r="G376" i="43"/>
  <c r="W376" i="43"/>
  <c r="Y376" i="43"/>
  <c r="C376" i="43"/>
  <c r="B376" i="43"/>
  <c r="H375" i="43"/>
  <c r="M375" i="43"/>
  <c r="I375" i="43"/>
  <c r="O375" i="43"/>
  <c r="G375" i="43"/>
  <c r="W375" i="43"/>
  <c r="Y375" i="43"/>
  <c r="C375" i="43"/>
  <c r="B375" i="43"/>
  <c r="H374" i="43"/>
  <c r="M374" i="43"/>
  <c r="I374" i="43"/>
  <c r="O374" i="43"/>
  <c r="G374" i="43"/>
  <c r="W374" i="43"/>
  <c r="Y374" i="43"/>
  <c r="C374" i="43"/>
  <c r="B374" i="43"/>
  <c r="H373" i="43"/>
  <c r="M373" i="43"/>
  <c r="I373" i="43"/>
  <c r="O373" i="43"/>
  <c r="G373" i="43"/>
  <c r="W373" i="43"/>
  <c r="Y373" i="43"/>
  <c r="C373" i="43"/>
  <c r="B373" i="43"/>
  <c r="H372" i="43"/>
  <c r="M372" i="43"/>
  <c r="I372" i="43"/>
  <c r="O372" i="43"/>
  <c r="G372" i="43"/>
  <c r="W372" i="43"/>
  <c r="Y372" i="43"/>
  <c r="C372" i="43"/>
  <c r="B372" i="43"/>
  <c r="H371" i="43"/>
  <c r="M371" i="43"/>
  <c r="I371" i="43"/>
  <c r="O371" i="43"/>
  <c r="G371" i="43"/>
  <c r="W371" i="43"/>
  <c r="Y371" i="43"/>
  <c r="C371" i="43"/>
  <c r="B371" i="43"/>
  <c r="H370" i="43"/>
  <c r="M370" i="43"/>
  <c r="I370" i="43"/>
  <c r="O370" i="43"/>
  <c r="G370" i="43"/>
  <c r="W370" i="43"/>
  <c r="Y370" i="43"/>
  <c r="C370" i="43"/>
  <c r="B370" i="43"/>
  <c r="H369" i="43"/>
  <c r="M369" i="43"/>
  <c r="I369" i="43"/>
  <c r="O369" i="43"/>
  <c r="G369" i="43"/>
  <c r="W369" i="43"/>
  <c r="Y369" i="43"/>
  <c r="C369" i="43"/>
  <c r="B369" i="43"/>
  <c r="H368" i="43"/>
  <c r="M368" i="43"/>
  <c r="I368" i="43"/>
  <c r="O368" i="43"/>
  <c r="G368" i="43"/>
  <c r="W368" i="43"/>
  <c r="Y368" i="43"/>
  <c r="C368" i="43"/>
  <c r="B368" i="43"/>
  <c r="H367" i="43"/>
  <c r="M367" i="43"/>
  <c r="I367" i="43"/>
  <c r="O367" i="43"/>
  <c r="G367" i="43"/>
  <c r="W367" i="43"/>
  <c r="Y367" i="43"/>
  <c r="C367" i="43"/>
  <c r="B367" i="43"/>
  <c r="H366" i="43"/>
  <c r="M366" i="43"/>
  <c r="I366" i="43"/>
  <c r="O366" i="43"/>
  <c r="G366" i="43"/>
  <c r="W366" i="43"/>
  <c r="Y366" i="43"/>
  <c r="C366" i="43"/>
  <c r="B366" i="43"/>
  <c r="H365" i="43"/>
  <c r="M365" i="43"/>
  <c r="I365" i="43"/>
  <c r="O365" i="43"/>
  <c r="G365" i="43"/>
  <c r="W365" i="43"/>
  <c r="Y365" i="43"/>
  <c r="C365" i="43"/>
  <c r="B365" i="43"/>
  <c r="H364" i="43"/>
  <c r="M364" i="43"/>
  <c r="I364" i="43"/>
  <c r="O364" i="43"/>
  <c r="G364" i="43"/>
  <c r="W364" i="43"/>
  <c r="Y364" i="43"/>
  <c r="C364" i="43"/>
  <c r="B364" i="43"/>
  <c r="H363" i="43"/>
  <c r="M363" i="43"/>
  <c r="I363" i="43"/>
  <c r="O363" i="43"/>
  <c r="G363" i="43"/>
  <c r="W363" i="43"/>
  <c r="Y363" i="43"/>
  <c r="C363" i="43"/>
  <c r="B363" i="43"/>
  <c r="H362" i="43"/>
  <c r="M362" i="43"/>
  <c r="I362" i="43"/>
  <c r="O362" i="43"/>
  <c r="G362" i="43"/>
  <c r="W362" i="43"/>
  <c r="Y362" i="43"/>
  <c r="C362" i="43"/>
  <c r="B362" i="43"/>
  <c r="H361" i="43"/>
  <c r="M361" i="43"/>
  <c r="I361" i="43"/>
  <c r="O361" i="43"/>
  <c r="G361" i="43"/>
  <c r="W361" i="43"/>
  <c r="Y361" i="43"/>
  <c r="C361" i="43"/>
  <c r="B361" i="43"/>
  <c r="H360" i="43"/>
  <c r="M360" i="43"/>
  <c r="I360" i="43"/>
  <c r="O360" i="43"/>
  <c r="G360" i="43"/>
  <c r="W360" i="43"/>
  <c r="Y360" i="43"/>
  <c r="C360" i="43"/>
  <c r="B360" i="43"/>
  <c r="H359" i="43"/>
  <c r="M359" i="43"/>
  <c r="I359" i="43"/>
  <c r="O359" i="43"/>
  <c r="G359" i="43"/>
  <c r="W359" i="43"/>
  <c r="Y359" i="43"/>
  <c r="C359" i="43"/>
  <c r="B359" i="43"/>
  <c r="H358" i="43"/>
  <c r="M358" i="43"/>
  <c r="I358" i="43"/>
  <c r="O358" i="43"/>
  <c r="G358" i="43"/>
  <c r="W358" i="43"/>
  <c r="Y358" i="43"/>
  <c r="C358" i="43"/>
  <c r="B358" i="43"/>
  <c r="H357" i="43"/>
  <c r="M357" i="43"/>
  <c r="I357" i="43"/>
  <c r="O357" i="43"/>
  <c r="G357" i="43"/>
  <c r="W357" i="43"/>
  <c r="Y357" i="43"/>
  <c r="C357" i="43"/>
  <c r="B357" i="43"/>
  <c r="H356" i="43"/>
  <c r="M356" i="43"/>
  <c r="I356" i="43"/>
  <c r="O356" i="43"/>
  <c r="G356" i="43"/>
  <c r="W356" i="43"/>
  <c r="Y356" i="43"/>
  <c r="C356" i="43"/>
  <c r="B356" i="43"/>
  <c r="H355" i="43"/>
  <c r="M355" i="43"/>
  <c r="I355" i="43"/>
  <c r="O355" i="43"/>
  <c r="G355" i="43"/>
  <c r="W355" i="43"/>
  <c r="Y355" i="43"/>
  <c r="C355" i="43"/>
  <c r="B355" i="43"/>
  <c r="H354" i="43"/>
  <c r="M354" i="43"/>
  <c r="I354" i="43"/>
  <c r="O354" i="43"/>
  <c r="G354" i="43"/>
  <c r="W354" i="43"/>
  <c r="Y354" i="43"/>
  <c r="C354" i="43"/>
  <c r="B354" i="43"/>
  <c r="H353" i="43"/>
  <c r="M353" i="43"/>
  <c r="I353" i="43"/>
  <c r="O353" i="43"/>
  <c r="G353" i="43"/>
  <c r="W353" i="43"/>
  <c r="Y353" i="43"/>
  <c r="C353" i="43"/>
  <c r="B353" i="43"/>
  <c r="H352" i="43"/>
  <c r="M352" i="43"/>
  <c r="I352" i="43"/>
  <c r="O352" i="43"/>
  <c r="G352" i="43"/>
  <c r="W352" i="43"/>
  <c r="Y352" i="43"/>
  <c r="C352" i="43"/>
  <c r="B352" i="43"/>
  <c r="H351" i="43"/>
  <c r="M351" i="43"/>
  <c r="I351" i="43"/>
  <c r="O351" i="43"/>
  <c r="G351" i="43"/>
  <c r="W351" i="43"/>
  <c r="Y351" i="43"/>
  <c r="C351" i="43"/>
  <c r="B351" i="43"/>
  <c r="H350" i="43"/>
  <c r="M350" i="43"/>
  <c r="I350" i="43"/>
  <c r="O350" i="43"/>
  <c r="G350" i="43"/>
  <c r="W350" i="43"/>
  <c r="Y350" i="43"/>
  <c r="C350" i="43"/>
  <c r="B350" i="43"/>
  <c r="H349" i="43"/>
  <c r="M349" i="43"/>
  <c r="I349" i="43"/>
  <c r="O349" i="43"/>
  <c r="G349" i="43"/>
  <c r="W349" i="43"/>
  <c r="Y349" i="43"/>
  <c r="C349" i="43"/>
  <c r="B349" i="43"/>
  <c r="H348" i="43"/>
  <c r="M348" i="43"/>
  <c r="I348" i="43"/>
  <c r="O348" i="43"/>
  <c r="G348" i="43"/>
  <c r="W348" i="43"/>
  <c r="Y348" i="43"/>
  <c r="C348" i="43"/>
  <c r="B348" i="43"/>
  <c r="H347" i="43"/>
  <c r="M347" i="43"/>
  <c r="I347" i="43"/>
  <c r="O347" i="43"/>
  <c r="G347" i="43"/>
  <c r="W347" i="43"/>
  <c r="Y347" i="43"/>
  <c r="C347" i="43"/>
  <c r="B347" i="43"/>
  <c r="H346" i="43"/>
  <c r="M346" i="43"/>
  <c r="I346" i="43"/>
  <c r="O346" i="43"/>
  <c r="G346" i="43"/>
  <c r="W346" i="43"/>
  <c r="Y346" i="43"/>
  <c r="C346" i="43"/>
  <c r="B346" i="43"/>
  <c r="H345" i="43"/>
  <c r="M345" i="43"/>
  <c r="I345" i="43"/>
  <c r="O345" i="43"/>
  <c r="G345" i="43"/>
  <c r="W345" i="43"/>
  <c r="Y345" i="43"/>
  <c r="C345" i="43"/>
  <c r="B345" i="43"/>
  <c r="H344" i="43"/>
  <c r="M344" i="43"/>
  <c r="I344" i="43"/>
  <c r="O344" i="43"/>
  <c r="G344" i="43"/>
  <c r="W344" i="43"/>
  <c r="Y344" i="43"/>
  <c r="C344" i="43"/>
  <c r="B344" i="43"/>
  <c r="H343" i="43"/>
  <c r="M343" i="43"/>
  <c r="I343" i="43"/>
  <c r="O343" i="43"/>
  <c r="G343" i="43"/>
  <c r="W343" i="43"/>
  <c r="Y343" i="43"/>
  <c r="C343" i="43"/>
  <c r="B343" i="43"/>
  <c r="H342" i="43"/>
  <c r="M342" i="43"/>
  <c r="I342" i="43"/>
  <c r="O342" i="43"/>
  <c r="G342" i="43"/>
  <c r="W342" i="43"/>
  <c r="Y342" i="43"/>
  <c r="C342" i="43"/>
  <c r="B342" i="43"/>
  <c r="H341" i="43"/>
  <c r="M341" i="43"/>
  <c r="I341" i="43"/>
  <c r="O341" i="43"/>
  <c r="G341" i="43"/>
  <c r="W341" i="43"/>
  <c r="Y341" i="43"/>
  <c r="C341" i="43"/>
  <c r="B341" i="43"/>
  <c r="H340" i="43"/>
  <c r="M340" i="43"/>
  <c r="I340" i="43"/>
  <c r="O340" i="43"/>
  <c r="G340" i="43"/>
  <c r="W340" i="43"/>
  <c r="Y340" i="43"/>
  <c r="C340" i="43"/>
  <c r="B340" i="43"/>
  <c r="H339" i="43"/>
  <c r="M339" i="43"/>
  <c r="I339" i="43"/>
  <c r="O339" i="43"/>
  <c r="G339" i="43"/>
  <c r="W339" i="43"/>
  <c r="Y339" i="43"/>
  <c r="C339" i="43"/>
  <c r="B339" i="43"/>
  <c r="H338" i="43"/>
  <c r="M338" i="43"/>
  <c r="I338" i="43"/>
  <c r="O338" i="43"/>
  <c r="G338" i="43"/>
  <c r="W338" i="43"/>
  <c r="Y338" i="43"/>
  <c r="C338" i="43"/>
  <c r="B338" i="43"/>
  <c r="H337" i="43"/>
  <c r="M337" i="43"/>
  <c r="I337" i="43"/>
  <c r="O337" i="43"/>
  <c r="G337" i="43"/>
  <c r="W337" i="43"/>
  <c r="Y337" i="43"/>
  <c r="C337" i="43"/>
  <c r="B337" i="43"/>
  <c r="H336" i="43"/>
  <c r="M336" i="43"/>
  <c r="I336" i="43"/>
  <c r="O336" i="43"/>
  <c r="G336" i="43"/>
  <c r="W336" i="43"/>
  <c r="Y336" i="43"/>
  <c r="C336" i="43"/>
  <c r="B336" i="43"/>
  <c r="H335" i="43"/>
  <c r="M335" i="43"/>
  <c r="I335" i="43"/>
  <c r="O335" i="43"/>
  <c r="G335" i="43"/>
  <c r="W335" i="43"/>
  <c r="Y335" i="43"/>
  <c r="C335" i="43"/>
  <c r="B335" i="43"/>
  <c r="H334" i="43"/>
  <c r="M334" i="43"/>
  <c r="I334" i="43"/>
  <c r="O334" i="43"/>
  <c r="G334" i="43"/>
  <c r="W334" i="43"/>
  <c r="Y334" i="43"/>
  <c r="C334" i="43"/>
  <c r="B334" i="43"/>
  <c r="H333" i="43"/>
  <c r="M333" i="43"/>
  <c r="I333" i="43"/>
  <c r="O333" i="43"/>
  <c r="G333" i="43"/>
  <c r="W333" i="43"/>
  <c r="Y333" i="43"/>
  <c r="C333" i="43"/>
  <c r="B333" i="43"/>
  <c r="H332" i="43"/>
  <c r="M332" i="43"/>
  <c r="I332" i="43"/>
  <c r="O332" i="43"/>
  <c r="G332" i="43"/>
  <c r="W332" i="43"/>
  <c r="Y332" i="43"/>
  <c r="C332" i="43"/>
  <c r="B332" i="43"/>
  <c r="H331" i="43"/>
  <c r="M331" i="43"/>
  <c r="I331" i="43"/>
  <c r="O331" i="43"/>
  <c r="G331" i="43"/>
  <c r="W331" i="43"/>
  <c r="Y331" i="43"/>
  <c r="C331" i="43"/>
  <c r="B331" i="43"/>
  <c r="H330" i="43"/>
  <c r="M330" i="43"/>
  <c r="I330" i="43"/>
  <c r="O330" i="43"/>
  <c r="G330" i="43"/>
  <c r="W330" i="43"/>
  <c r="Y330" i="43"/>
  <c r="C330" i="43"/>
  <c r="B330" i="43"/>
  <c r="H329" i="43"/>
  <c r="M329" i="43"/>
  <c r="I329" i="43"/>
  <c r="O329" i="43"/>
  <c r="G329" i="43"/>
  <c r="W329" i="43"/>
  <c r="Y329" i="43"/>
  <c r="C329" i="43"/>
  <c r="B329" i="43"/>
  <c r="H328" i="43"/>
  <c r="M328" i="43"/>
  <c r="I328" i="43"/>
  <c r="O328" i="43"/>
  <c r="G328" i="43"/>
  <c r="W328" i="43"/>
  <c r="Y328" i="43"/>
  <c r="C328" i="43"/>
  <c r="B328" i="43"/>
  <c r="H327" i="43"/>
  <c r="M327" i="43"/>
  <c r="I327" i="43"/>
  <c r="O327" i="43"/>
  <c r="G327" i="43"/>
  <c r="W327" i="43"/>
  <c r="Y327" i="43"/>
  <c r="C327" i="43"/>
  <c r="B327" i="43"/>
  <c r="H326" i="43"/>
  <c r="M326" i="43"/>
  <c r="I326" i="43"/>
  <c r="O326" i="43"/>
  <c r="G326" i="43"/>
  <c r="W326" i="43"/>
  <c r="Y326" i="43"/>
  <c r="C326" i="43"/>
  <c r="B326" i="43"/>
  <c r="H325" i="43"/>
  <c r="M325" i="43"/>
  <c r="I325" i="43"/>
  <c r="O325" i="43"/>
  <c r="G325" i="43"/>
  <c r="W325" i="43"/>
  <c r="Y325" i="43"/>
  <c r="C325" i="43"/>
  <c r="B325" i="43"/>
  <c r="H324" i="43"/>
  <c r="M324" i="43"/>
  <c r="I324" i="43"/>
  <c r="O324" i="43"/>
  <c r="G324" i="43"/>
  <c r="W324" i="43"/>
  <c r="Y324" i="43"/>
  <c r="C324" i="43"/>
  <c r="B324" i="43"/>
  <c r="H323" i="43"/>
  <c r="M323" i="43"/>
  <c r="I323" i="43"/>
  <c r="O323" i="43"/>
  <c r="G323" i="43"/>
  <c r="W323" i="43"/>
  <c r="Y323" i="43"/>
  <c r="C323" i="43"/>
  <c r="B323" i="43"/>
  <c r="H322" i="43"/>
  <c r="M322" i="43"/>
  <c r="I322" i="43"/>
  <c r="O322" i="43"/>
  <c r="G322" i="43"/>
  <c r="W322" i="43"/>
  <c r="Y322" i="43"/>
  <c r="C322" i="43"/>
  <c r="B322" i="43"/>
  <c r="H321" i="43"/>
  <c r="M321" i="43"/>
  <c r="I321" i="43"/>
  <c r="O321" i="43"/>
  <c r="G321" i="43"/>
  <c r="W321" i="43"/>
  <c r="Y321" i="43"/>
  <c r="C321" i="43"/>
  <c r="B321" i="43"/>
  <c r="H320" i="43"/>
  <c r="M320" i="43"/>
  <c r="I320" i="43"/>
  <c r="O320" i="43"/>
  <c r="G320" i="43"/>
  <c r="W320" i="43"/>
  <c r="Y320" i="43"/>
  <c r="C320" i="43"/>
  <c r="B320" i="43"/>
  <c r="H319" i="43"/>
  <c r="M319" i="43"/>
  <c r="I319" i="43"/>
  <c r="O319" i="43"/>
  <c r="G319" i="43"/>
  <c r="W319" i="43"/>
  <c r="Y319" i="43"/>
  <c r="C319" i="43"/>
  <c r="B319" i="43"/>
  <c r="H318" i="43"/>
  <c r="M318" i="43"/>
  <c r="I318" i="43"/>
  <c r="O318" i="43"/>
  <c r="G318" i="43"/>
  <c r="W318" i="43"/>
  <c r="Y318" i="43"/>
  <c r="C318" i="43"/>
  <c r="B318" i="43"/>
  <c r="H317" i="43"/>
  <c r="M317" i="43"/>
  <c r="I317" i="43"/>
  <c r="O317" i="43"/>
  <c r="G317" i="43"/>
  <c r="W317" i="43"/>
  <c r="Y317" i="43"/>
  <c r="C317" i="43"/>
  <c r="B317" i="43"/>
  <c r="H316" i="43"/>
  <c r="M316" i="43"/>
  <c r="O316" i="43"/>
  <c r="G316" i="43"/>
  <c r="W316" i="43"/>
  <c r="Y316" i="43"/>
  <c r="C316" i="43"/>
  <c r="B316" i="43"/>
  <c r="H315" i="43"/>
  <c r="M315" i="43"/>
  <c r="I315" i="43"/>
  <c r="O315" i="43"/>
  <c r="G315" i="43"/>
  <c r="W315" i="43"/>
  <c r="Y315" i="43"/>
  <c r="C315" i="43"/>
  <c r="B315" i="43"/>
  <c r="H314" i="43"/>
  <c r="M314" i="43"/>
  <c r="I314" i="43"/>
  <c r="O314" i="43"/>
  <c r="G314" i="43"/>
  <c r="W314" i="43"/>
  <c r="Y314" i="43"/>
  <c r="C314" i="43"/>
  <c r="B314" i="43"/>
  <c r="H313" i="43"/>
  <c r="M313" i="43"/>
  <c r="I313" i="43"/>
  <c r="O313" i="43"/>
  <c r="G313" i="43"/>
  <c r="W313" i="43"/>
  <c r="Y313" i="43"/>
  <c r="C313" i="43"/>
  <c r="B313" i="43"/>
  <c r="H312" i="43"/>
  <c r="M312" i="43"/>
  <c r="I312" i="43"/>
  <c r="O312" i="43"/>
  <c r="G312" i="43"/>
  <c r="W312" i="43"/>
  <c r="Y312" i="43"/>
  <c r="C312" i="43"/>
  <c r="B312" i="43"/>
  <c r="H311" i="43"/>
  <c r="M311" i="43"/>
  <c r="I311" i="43"/>
  <c r="O311" i="43"/>
  <c r="G311" i="43"/>
  <c r="W311" i="43"/>
  <c r="Y311" i="43"/>
  <c r="C311" i="43"/>
  <c r="B311" i="43"/>
  <c r="H310" i="43"/>
  <c r="M310" i="43"/>
  <c r="I310" i="43"/>
  <c r="O310" i="43"/>
  <c r="G310" i="43"/>
  <c r="W310" i="43"/>
  <c r="Y310" i="43"/>
  <c r="C310" i="43"/>
  <c r="B310" i="43"/>
  <c r="H309" i="43"/>
  <c r="M309" i="43"/>
  <c r="I309" i="43"/>
  <c r="O309" i="43"/>
  <c r="G309" i="43"/>
  <c r="W309" i="43"/>
  <c r="Y309" i="43"/>
  <c r="C309" i="43"/>
  <c r="B309" i="43"/>
  <c r="H308" i="43"/>
  <c r="M308" i="43"/>
  <c r="I308" i="43"/>
  <c r="O308" i="43"/>
  <c r="G308" i="43"/>
  <c r="W308" i="43"/>
  <c r="Y308" i="43"/>
  <c r="C308" i="43"/>
  <c r="B308" i="43"/>
  <c r="H307" i="43"/>
  <c r="M307" i="43"/>
  <c r="I307" i="43"/>
  <c r="O307" i="43"/>
  <c r="G307" i="43"/>
  <c r="W307" i="43"/>
  <c r="Y307" i="43"/>
  <c r="C307" i="43"/>
  <c r="B307" i="43"/>
  <c r="H306" i="43"/>
  <c r="M306" i="43"/>
  <c r="I306" i="43"/>
  <c r="O306" i="43"/>
  <c r="G306" i="43"/>
  <c r="W306" i="43"/>
  <c r="Y306" i="43"/>
  <c r="C306" i="43"/>
  <c r="B306" i="43"/>
  <c r="H305" i="43"/>
  <c r="M305" i="43"/>
  <c r="I305" i="43"/>
  <c r="O305" i="43"/>
  <c r="G305" i="43"/>
  <c r="W305" i="43"/>
  <c r="Y305" i="43"/>
  <c r="C305" i="43"/>
  <c r="B305" i="43"/>
  <c r="H304" i="43"/>
  <c r="M304" i="43"/>
  <c r="I304" i="43"/>
  <c r="O304" i="43"/>
  <c r="G304" i="43"/>
  <c r="W304" i="43"/>
  <c r="Y304" i="43"/>
  <c r="C304" i="43"/>
  <c r="B304" i="43"/>
  <c r="H303" i="43"/>
  <c r="M303" i="43"/>
  <c r="I303" i="43"/>
  <c r="O303" i="43"/>
  <c r="G303" i="43"/>
  <c r="W303" i="43"/>
  <c r="Y303" i="43"/>
  <c r="C303" i="43"/>
  <c r="B303" i="43"/>
  <c r="H302" i="43"/>
  <c r="M302" i="43"/>
  <c r="I302" i="43"/>
  <c r="O302" i="43"/>
  <c r="G302" i="43"/>
  <c r="W302" i="43"/>
  <c r="Y302" i="43"/>
  <c r="C302" i="43"/>
  <c r="B302" i="43"/>
  <c r="H301" i="43"/>
  <c r="M301" i="43"/>
  <c r="I301" i="43"/>
  <c r="O301" i="43"/>
  <c r="G301" i="43"/>
  <c r="W301" i="43"/>
  <c r="Y301" i="43"/>
  <c r="C301" i="43"/>
  <c r="B301" i="43"/>
  <c r="H300" i="43"/>
  <c r="M300" i="43"/>
  <c r="I300" i="43"/>
  <c r="O300" i="43"/>
  <c r="G300" i="43"/>
  <c r="W300" i="43"/>
  <c r="Y300" i="43"/>
  <c r="C300" i="43"/>
  <c r="B300" i="43"/>
  <c r="H299" i="43"/>
  <c r="M299" i="43"/>
  <c r="I299" i="43"/>
  <c r="O299" i="43"/>
  <c r="G299" i="43"/>
  <c r="W299" i="43"/>
  <c r="Y299" i="43"/>
  <c r="C299" i="43"/>
  <c r="B299" i="43"/>
  <c r="H298" i="43"/>
  <c r="M298" i="43"/>
  <c r="I298" i="43"/>
  <c r="O298" i="43"/>
  <c r="G298" i="43"/>
  <c r="W298" i="43"/>
  <c r="Y298" i="43"/>
  <c r="C298" i="43"/>
  <c r="B298" i="43"/>
  <c r="H297" i="43"/>
  <c r="M297" i="43"/>
  <c r="I297" i="43"/>
  <c r="O297" i="43"/>
  <c r="G297" i="43"/>
  <c r="W297" i="43"/>
  <c r="Y297" i="43"/>
  <c r="C297" i="43"/>
  <c r="B297" i="43"/>
  <c r="H296" i="43"/>
  <c r="M296" i="43"/>
  <c r="I296" i="43"/>
  <c r="O296" i="43"/>
  <c r="G296" i="43"/>
  <c r="W296" i="43"/>
  <c r="Y296" i="43"/>
  <c r="C296" i="43"/>
  <c r="B296" i="43"/>
  <c r="H295" i="43"/>
  <c r="M295" i="43"/>
  <c r="I295" i="43"/>
  <c r="O295" i="43"/>
  <c r="G295" i="43"/>
  <c r="W295" i="43"/>
  <c r="Y295" i="43"/>
  <c r="C295" i="43"/>
  <c r="B295" i="43"/>
  <c r="H294" i="43"/>
  <c r="M294" i="43"/>
  <c r="I294" i="43"/>
  <c r="O294" i="43"/>
  <c r="G294" i="43"/>
  <c r="W294" i="43"/>
  <c r="Y294" i="43"/>
  <c r="C294" i="43"/>
  <c r="B294" i="43"/>
  <c r="H293" i="43"/>
  <c r="M293" i="43"/>
  <c r="I293" i="43"/>
  <c r="O293" i="43"/>
  <c r="G293" i="43"/>
  <c r="W293" i="43"/>
  <c r="Y293" i="43"/>
  <c r="C293" i="43"/>
  <c r="B293" i="43"/>
  <c r="H292" i="43"/>
  <c r="M292" i="43"/>
  <c r="I292" i="43"/>
  <c r="O292" i="43"/>
  <c r="G292" i="43"/>
  <c r="W292" i="43"/>
  <c r="Y292" i="43"/>
  <c r="C292" i="43"/>
  <c r="B292" i="43"/>
  <c r="H291" i="43"/>
  <c r="M291" i="43"/>
  <c r="I291" i="43"/>
  <c r="O291" i="43"/>
  <c r="G291" i="43"/>
  <c r="W291" i="43"/>
  <c r="Y291" i="43"/>
  <c r="C291" i="43"/>
  <c r="B291" i="43"/>
  <c r="H290" i="43"/>
  <c r="M290" i="43"/>
  <c r="I290" i="43"/>
  <c r="O290" i="43"/>
  <c r="G290" i="43"/>
  <c r="W290" i="43"/>
  <c r="Y290" i="43"/>
  <c r="C290" i="43"/>
  <c r="B290" i="43"/>
  <c r="H289" i="43"/>
  <c r="M289" i="43"/>
  <c r="I289" i="43"/>
  <c r="O289" i="43"/>
  <c r="G289" i="43"/>
  <c r="W289" i="43"/>
  <c r="Y289" i="43"/>
  <c r="C289" i="43"/>
  <c r="B289" i="43"/>
  <c r="H288" i="43"/>
  <c r="M288" i="43"/>
  <c r="I288" i="43"/>
  <c r="O288" i="43"/>
  <c r="G288" i="43"/>
  <c r="W288" i="43"/>
  <c r="Y288" i="43"/>
  <c r="C288" i="43"/>
  <c r="B288" i="43"/>
  <c r="H287" i="43"/>
  <c r="M287" i="43"/>
  <c r="I287" i="43"/>
  <c r="O287" i="43"/>
  <c r="G287" i="43"/>
  <c r="W287" i="43"/>
  <c r="Y287" i="43"/>
  <c r="C287" i="43"/>
  <c r="B287" i="43"/>
  <c r="H286" i="43"/>
  <c r="M286" i="43"/>
  <c r="I286" i="43"/>
  <c r="O286" i="43"/>
  <c r="G286" i="43"/>
  <c r="W286" i="43"/>
  <c r="Y286" i="43"/>
  <c r="C286" i="43"/>
  <c r="B286" i="43"/>
  <c r="H285" i="43"/>
  <c r="M285" i="43"/>
  <c r="I285" i="43"/>
  <c r="O285" i="43"/>
  <c r="G285" i="43"/>
  <c r="W285" i="43"/>
  <c r="Y285" i="43"/>
  <c r="C285" i="43"/>
  <c r="B285" i="43"/>
  <c r="H284" i="43"/>
  <c r="M284" i="43"/>
  <c r="I284" i="43"/>
  <c r="O284" i="43"/>
  <c r="G284" i="43"/>
  <c r="W284" i="43"/>
  <c r="Y284" i="43"/>
  <c r="C284" i="43"/>
  <c r="B284" i="43"/>
  <c r="H283" i="43"/>
  <c r="M283" i="43"/>
  <c r="I283" i="43"/>
  <c r="O283" i="43"/>
  <c r="G283" i="43"/>
  <c r="W283" i="43"/>
  <c r="Y283" i="43"/>
  <c r="C283" i="43"/>
  <c r="B283" i="43"/>
  <c r="H282" i="43"/>
  <c r="M282" i="43"/>
  <c r="I282" i="43"/>
  <c r="O282" i="43"/>
  <c r="G282" i="43"/>
  <c r="W282" i="43"/>
  <c r="Y282" i="43"/>
  <c r="C282" i="43"/>
  <c r="B282" i="43"/>
  <c r="H281" i="43"/>
  <c r="M281" i="43"/>
  <c r="I281" i="43"/>
  <c r="O281" i="43"/>
  <c r="G281" i="43"/>
  <c r="W281" i="43"/>
  <c r="Y281" i="43"/>
  <c r="C281" i="43"/>
  <c r="B281" i="43"/>
  <c r="H280" i="43"/>
  <c r="M280" i="43"/>
  <c r="I280" i="43"/>
  <c r="O280" i="43"/>
  <c r="G280" i="43"/>
  <c r="W280" i="43"/>
  <c r="Y280" i="43"/>
  <c r="C280" i="43"/>
  <c r="B280" i="43"/>
  <c r="H279" i="43"/>
  <c r="M279" i="43"/>
  <c r="I279" i="43"/>
  <c r="O279" i="43"/>
  <c r="G279" i="43"/>
  <c r="W279" i="43"/>
  <c r="Y279" i="43"/>
  <c r="C279" i="43"/>
  <c r="B279" i="43"/>
  <c r="H278" i="43"/>
  <c r="M278" i="43"/>
  <c r="I278" i="43"/>
  <c r="O278" i="43"/>
  <c r="G278" i="43"/>
  <c r="W278" i="43"/>
  <c r="Y278" i="43"/>
  <c r="C278" i="43"/>
  <c r="B278" i="43"/>
  <c r="H277" i="43"/>
  <c r="M277" i="43"/>
  <c r="I277" i="43"/>
  <c r="O277" i="43"/>
  <c r="G277" i="43"/>
  <c r="W277" i="43"/>
  <c r="Y277" i="43"/>
  <c r="C277" i="43"/>
  <c r="B277" i="43"/>
  <c r="H276" i="43"/>
  <c r="M276" i="43"/>
  <c r="I276" i="43"/>
  <c r="O276" i="43"/>
  <c r="G276" i="43"/>
  <c r="W276" i="43"/>
  <c r="Y276" i="43"/>
  <c r="C276" i="43"/>
  <c r="B276" i="43"/>
  <c r="H275" i="43"/>
  <c r="M275" i="43"/>
  <c r="I275" i="43"/>
  <c r="O275" i="43"/>
  <c r="G275" i="43"/>
  <c r="W275" i="43"/>
  <c r="Y275" i="43"/>
  <c r="C275" i="43"/>
  <c r="B275" i="43"/>
  <c r="H274" i="43"/>
  <c r="M274" i="43"/>
  <c r="I274" i="43"/>
  <c r="O274" i="43"/>
  <c r="G274" i="43"/>
  <c r="W274" i="43"/>
  <c r="Y274" i="43"/>
  <c r="C274" i="43"/>
  <c r="B274" i="43"/>
  <c r="H273" i="43"/>
  <c r="M273" i="43"/>
  <c r="I273" i="43"/>
  <c r="O273" i="43"/>
  <c r="G273" i="43"/>
  <c r="W273" i="43"/>
  <c r="Y273" i="43"/>
  <c r="C273" i="43"/>
  <c r="B273" i="43"/>
  <c r="H272" i="43"/>
  <c r="M272" i="43"/>
  <c r="I272" i="43"/>
  <c r="O272" i="43"/>
  <c r="G272" i="43"/>
  <c r="W272" i="43"/>
  <c r="Y272" i="43"/>
  <c r="C272" i="43"/>
  <c r="B272" i="43"/>
  <c r="H271" i="43"/>
  <c r="M271" i="43"/>
  <c r="I271" i="43"/>
  <c r="O271" i="43"/>
  <c r="G271" i="43"/>
  <c r="W271" i="43"/>
  <c r="Y271" i="43"/>
  <c r="C271" i="43"/>
  <c r="B271" i="43"/>
  <c r="H270" i="43"/>
  <c r="M270" i="43"/>
  <c r="I270" i="43"/>
  <c r="O270" i="43"/>
  <c r="G270" i="43"/>
  <c r="W270" i="43"/>
  <c r="Y270" i="43"/>
  <c r="C270" i="43"/>
  <c r="B270" i="43"/>
  <c r="H269" i="43"/>
  <c r="M269" i="43"/>
  <c r="I269" i="43"/>
  <c r="O269" i="43"/>
  <c r="G269" i="43"/>
  <c r="W269" i="43"/>
  <c r="Y269" i="43"/>
  <c r="C269" i="43"/>
  <c r="B269" i="43"/>
  <c r="H268" i="43"/>
  <c r="M268" i="43"/>
  <c r="I268" i="43"/>
  <c r="O268" i="43"/>
  <c r="G268" i="43"/>
  <c r="W268" i="43"/>
  <c r="Y268" i="43"/>
  <c r="C268" i="43"/>
  <c r="B268" i="43"/>
  <c r="H267" i="43"/>
  <c r="M267" i="43"/>
  <c r="I267" i="43"/>
  <c r="O267" i="43"/>
  <c r="G267" i="43"/>
  <c r="W267" i="43"/>
  <c r="Y267" i="43"/>
  <c r="C267" i="43"/>
  <c r="B267" i="43"/>
  <c r="H266" i="43"/>
  <c r="M266" i="43"/>
  <c r="I266" i="43"/>
  <c r="O266" i="43"/>
  <c r="G266" i="43"/>
  <c r="W266" i="43"/>
  <c r="Y266" i="43"/>
  <c r="C266" i="43"/>
  <c r="B266" i="43"/>
  <c r="H265" i="43"/>
  <c r="M265" i="43"/>
  <c r="I265" i="43"/>
  <c r="O265" i="43"/>
  <c r="G265" i="43"/>
  <c r="W265" i="43"/>
  <c r="Y265" i="43"/>
  <c r="C265" i="43"/>
  <c r="B265" i="43"/>
  <c r="H264" i="43"/>
  <c r="M264" i="43"/>
  <c r="I264" i="43"/>
  <c r="O264" i="43"/>
  <c r="G264" i="43"/>
  <c r="W264" i="43"/>
  <c r="Y264" i="43"/>
  <c r="C264" i="43"/>
  <c r="B264" i="43"/>
  <c r="H263" i="43"/>
  <c r="M263" i="43"/>
  <c r="I263" i="43"/>
  <c r="O263" i="43"/>
  <c r="G263" i="43"/>
  <c r="W263" i="43"/>
  <c r="Y263" i="43"/>
  <c r="C263" i="43"/>
  <c r="B263" i="43"/>
  <c r="H262" i="43"/>
  <c r="M262" i="43"/>
  <c r="I262" i="43"/>
  <c r="O262" i="43"/>
  <c r="G262" i="43"/>
  <c r="W262" i="43"/>
  <c r="Y262" i="43"/>
  <c r="C262" i="43"/>
  <c r="B262" i="43"/>
  <c r="H261" i="43"/>
  <c r="M261" i="43"/>
  <c r="I261" i="43"/>
  <c r="O261" i="43"/>
  <c r="G261" i="43"/>
  <c r="W261" i="43"/>
  <c r="Y261" i="43"/>
  <c r="C261" i="43"/>
  <c r="B261" i="43"/>
  <c r="H260" i="43"/>
  <c r="M260" i="43"/>
  <c r="I260" i="43"/>
  <c r="O260" i="43"/>
  <c r="G260" i="43"/>
  <c r="W260" i="43"/>
  <c r="Y260" i="43"/>
  <c r="C260" i="43"/>
  <c r="B260" i="43"/>
  <c r="H259" i="43"/>
  <c r="M259" i="43"/>
  <c r="I259" i="43"/>
  <c r="O259" i="43"/>
  <c r="G259" i="43"/>
  <c r="W259" i="43"/>
  <c r="Y259" i="43"/>
  <c r="C259" i="43"/>
  <c r="B259" i="43"/>
  <c r="H258" i="43"/>
  <c r="M258" i="43"/>
  <c r="I258" i="43"/>
  <c r="O258" i="43"/>
  <c r="G258" i="43"/>
  <c r="W258" i="43"/>
  <c r="Y258" i="43"/>
  <c r="C258" i="43"/>
  <c r="B258" i="43"/>
  <c r="H257" i="43"/>
  <c r="M257" i="43"/>
  <c r="I257" i="43"/>
  <c r="O257" i="43"/>
  <c r="G257" i="43"/>
  <c r="W257" i="43"/>
  <c r="Y257" i="43"/>
  <c r="C257" i="43"/>
  <c r="B257" i="43"/>
  <c r="H256" i="43"/>
  <c r="M256" i="43"/>
  <c r="I256" i="43"/>
  <c r="O256" i="43"/>
  <c r="G256" i="43"/>
  <c r="W256" i="43"/>
  <c r="Y256" i="43"/>
  <c r="C256" i="43"/>
  <c r="B256" i="43"/>
  <c r="H255" i="43"/>
  <c r="M255" i="43"/>
  <c r="I255" i="43"/>
  <c r="O255" i="43"/>
  <c r="G255" i="43"/>
  <c r="W255" i="43"/>
  <c r="Y255" i="43"/>
  <c r="C255" i="43"/>
  <c r="B255" i="43"/>
  <c r="H254" i="43"/>
  <c r="M254" i="43"/>
  <c r="I254" i="43"/>
  <c r="O254" i="43"/>
  <c r="G254" i="43"/>
  <c r="W254" i="43"/>
  <c r="Y254" i="43"/>
  <c r="C254" i="43"/>
  <c r="B254" i="43"/>
  <c r="H253" i="43"/>
  <c r="M253" i="43"/>
  <c r="I253" i="43"/>
  <c r="O253" i="43"/>
  <c r="G253" i="43"/>
  <c r="W253" i="43"/>
  <c r="Y253" i="43"/>
  <c r="C253" i="43"/>
  <c r="B253" i="43"/>
  <c r="H252" i="43"/>
  <c r="M252" i="43"/>
  <c r="I252" i="43"/>
  <c r="O252" i="43"/>
  <c r="G252" i="43"/>
  <c r="W252" i="43"/>
  <c r="Y252" i="43"/>
  <c r="C252" i="43"/>
  <c r="B252" i="43"/>
  <c r="H251" i="43"/>
  <c r="M251" i="43"/>
  <c r="I251" i="43"/>
  <c r="O251" i="43"/>
  <c r="G251" i="43"/>
  <c r="W251" i="43"/>
  <c r="Y251" i="43"/>
  <c r="C251" i="43"/>
  <c r="B251" i="43"/>
  <c r="H250" i="43"/>
  <c r="M250" i="43"/>
  <c r="I250" i="43"/>
  <c r="O250" i="43"/>
  <c r="G250" i="43"/>
  <c r="W250" i="43"/>
  <c r="Y250" i="43"/>
  <c r="C250" i="43"/>
  <c r="B250" i="43"/>
  <c r="H249" i="43"/>
  <c r="M249" i="43"/>
  <c r="I249" i="43"/>
  <c r="O249" i="43"/>
  <c r="G249" i="43"/>
  <c r="W249" i="43"/>
  <c r="Y249" i="43"/>
  <c r="C249" i="43"/>
  <c r="B249" i="43"/>
  <c r="H248" i="43"/>
  <c r="M248" i="43"/>
  <c r="I248" i="43"/>
  <c r="O248" i="43"/>
  <c r="G248" i="43"/>
  <c r="W248" i="43"/>
  <c r="Y248" i="43"/>
  <c r="C248" i="43"/>
  <c r="B248" i="43"/>
  <c r="H247" i="43"/>
  <c r="M247" i="43"/>
  <c r="I247" i="43"/>
  <c r="O247" i="43"/>
  <c r="G247" i="43"/>
  <c r="W247" i="43"/>
  <c r="Y247" i="43"/>
  <c r="C247" i="43"/>
  <c r="B247" i="43"/>
  <c r="H246" i="43"/>
  <c r="M246" i="43"/>
  <c r="I246" i="43"/>
  <c r="O246" i="43"/>
  <c r="G246" i="43"/>
  <c r="W246" i="43"/>
  <c r="Y246" i="43"/>
  <c r="C246" i="43"/>
  <c r="B246" i="43"/>
  <c r="H245" i="43"/>
  <c r="M245" i="43"/>
  <c r="I245" i="43"/>
  <c r="O245" i="43"/>
  <c r="G245" i="43"/>
  <c r="W245" i="43"/>
  <c r="Y245" i="43"/>
  <c r="C245" i="43"/>
  <c r="B245" i="43"/>
  <c r="H244" i="43"/>
  <c r="M244" i="43"/>
  <c r="I244" i="43"/>
  <c r="O244" i="43"/>
  <c r="G244" i="43"/>
  <c r="W244" i="43"/>
  <c r="Y244" i="43"/>
  <c r="C244" i="43"/>
  <c r="B244" i="43"/>
  <c r="H243" i="43"/>
  <c r="M243" i="43"/>
  <c r="I243" i="43"/>
  <c r="O243" i="43"/>
  <c r="G243" i="43"/>
  <c r="W243" i="43"/>
  <c r="Y243" i="43"/>
  <c r="C243" i="43"/>
  <c r="B243" i="43"/>
  <c r="H242" i="43"/>
  <c r="M242" i="43"/>
  <c r="I242" i="43"/>
  <c r="O242" i="43"/>
  <c r="G242" i="43"/>
  <c r="W242" i="43"/>
  <c r="Y242" i="43"/>
  <c r="C242" i="43"/>
  <c r="B242" i="43"/>
  <c r="H241" i="43"/>
  <c r="M241" i="43"/>
  <c r="I241" i="43"/>
  <c r="O241" i="43"/>
  <c r="G241" i="43"/>
  <c r="W241" i="43"/>
  <c r="Y241" i="43"/>
  <c r="C241" i="43"/>
  <c r="B241" i="43"/>
  <c r="H240" i="43"/>
  <c r="M240" i="43"/>
  <c r="I240" i="43"/>
  <c r="O240" i="43"/>
  <c r="G240" i="43"/>
  <c r="W240" i="43"/>
  <c r="Y240" i="43"/>
  <c r="C240" i="43"/>
  <c r="B240" i="43"/>
  <c r="H239" i="43"/>
  <c r="M239" i="43"/>
  <c r="I239" i="43"/>
  <c r="O239" i="43"/>
  <c r="G239" i="43"/>
  <c r="W239" i="43"/>
  <c r="Y239" i="43"/>
  <c r="C239" i="43"/>
  <c r="B239" i="43"/>
  <c r="H238" i="43"/>
  <c r="M238" i="43"/>
  <c r="I238" i="43"/>
  <c r="O238" i="43"/>
  <c r="G238" i="43"/>
  <c r="W238" i="43"/>
  <c r="Y238" i="43"/>
  <c r="C238" i="43"/>
  <c r="B238" i="43"/>
  <c r="H237" i="43"/>
  <c r="M237" i="43"/>
  <c r="I237" i="43"/>
  <c r="O237" i="43"/>
  <c r="G237" i="43"/>
  <c r="W237" i="43"/>
  <c r="Y237" i="43"/>
  <c r="C237" i="43"/>
  <c r="B237" i="43"/>
  <c r="H236" i="43"/>
  <c r="M236" i="43"/>
  <c r="I236" i="43"/>
  <c r="O236" i="43"/>
  <c r="G236" i="43"/>
  <c r="W236" i="43"/>
  <c r="Y236" i="43"/>
  <c r="C236" i="43"/>
  <c r="B236" i="43"/>
  <c r="H235" i="43"/>
  <c r="M235" i="43"/>
  <c r="I235" i="43"/>
  <c r="O235" i="43"/>
  <c r="G235" i="43"/>
  <c r="W235" i="43"/>
  <c r="Y235" i="43"/>
  <c r="C235" i="43"/>
  <c r="B235" i="43"/>
  <c r="H234" i="43"/>
  <c r="M234" i="43"/>
  <c r="I234" i="43"/>
  <c r="O234" i="43"/>
  <c r="G234" i="43"/>
  <c r="W234" i="43"/>
  <c r="Y234" i="43"/>
  <c r="C234" i="43"/>
  <c r="B234" i="43"/>
  <c r="H233" i="43"/>
  <c r="M233" i="43"/>
  <c r="I233" i="43"/>
  <c r="O233" i="43"/>
  <c r="G233" i="43"/>
  <c r="W233" i="43"/>
  <c r="Y233" i="43"/>
  <c r="C233" i="43"/>
  <c r="B233" i="43"/>
  <c r="H232" i="43"/>
  <c r="M232" i="43"/>
  <c r="I232" i="43"/>
  <c r="O232" i="43"/>
  <c r="G232" i="43"/>
  <c r="W232" i="43"/>
  <c r="Y232" i="43"/>
  <c r="C232" i="43"/>
  <c r="B232" i="43"/>
  <c r="H231" i="43"/>
  <c r="M231" i="43"/>
  <c r="I231" i="43"/>
  <c r="O231" i="43"/>
  <c r="G231" i="43"/>
  <c r="W231" i="43"/>
  <c r="Y231" i="43"/>
  <c r="C231" i="43"/>
  <c r="B231" i="43"/>
  <c r="H230" i="43"/>
  <c r="M230" i="43"/>
  <c r="I230" i="43"/>
  <c r="O230" i="43"/>
  <c r="G230" i="43"/>
  <c r="W230" i="43"/>
  <c r="Y230" i="43"/>
  <c r="C230" i="43"/>
  <c r="B230" i="43"/>
  <c r="H229" i="43"/>
  <c r="M229" i="43"/>
  <c r="I229" i="43"/>
  <c r="O229" i="43"/>
  <c r="G229" i="43"/>
  <c r="W229" i="43"/>
  <c r="Y229" i="43"/>
  <c r="C229" i="43"/>
  <c r="B229" i="43"/>
  <c r="H228" i="43"/>
  <c r="M228" i="43"/>
  <c r="I228" i="43"/>
  <c r="O228" i="43"/>
  <c r="G228" i="43"/>
  <c r="W228" i="43"/>
  <c r="Y228" i="43"/>
  <c r="C228" i="43"/>
  <c r="B228" i="43"/>
  <c r="H227" i="43"/>
  <c r="M227" i="43"/>
  <c r="I227" i="43"/>
  <c r="O227" i="43"/>
  <c r="G227" i="43"/>
  <c r="W227" i="43"/>
  <c r="Y227" i="43"/>
  <c r="C227" i="43"/>
  <c r="B227" i="43"/>
  <c r="H226" i="43"/>
  <c r="M226" i="43"/>
  <c r="I226" i="43"/>
  <c r="O226" i="43"/>
  <c r="G226" i="43"/>
  <c r="W226" i="43"/>
  <c r="Y226" i="43"/>
  <c r="C226" i="43"/>
  <c r="B226" i="43"/>
  <c r="H225" i="43"/>
  <c r="M225" i="43"/>
  <c r="I225" i="43"/>
  <c r="O225" i="43"/>
  <c r="G225" i="43"/>
  <c r="W225" i="43"/>
  <c r="Y225" i="43"/>
  <c r="C225" i="43"/>
  <c r="B225" i="43"/>
  <c r="H224" i="43"/>
  <c r="M224" i="43"/>
  <c r="I224" i="43"/>
  <c r="O224" i="43"/>
  <c r="G224" i="43"/>
  <c r="W224" i="43"/>
  <c r="Y224" i="43"/>
  <c r="C224" i="43"/>
  <c r="B224" i="43"/>
  <c r="H223" i="43"/>
  <c r="M223" i="43"/>
  <c r="I223" i="43"/>
  <c r="O223" i="43"/>
  <c r="G223" i="43"/>
  <c r="W223" i="43"/>
  <c r="Y223" i="43"/>
  <c r="C223" i="43"/>
  <c r="B223" i="43"/>
  <c r="H222" i="43"/>
  <c r="M222" i="43"/>
  <c r="I222" i="43"/>
  <c r="O222" i="43"/>
  <c r="G222" i="43"/>
  <c r="W222" i="43"/>
  <c r="Y222" i="43"/>
  <c r="C222" i="43"/>
  <c r="B222" i="43"/>
  <c r="H221" i="43"/>
  <c r="M221" i="43"/>
  <c r="I221" i="43"/>
  <c r="O221" i="43"/>
  <c r="G221" i="43"/>
  <c r="W221" i="43"/>
  <c r="Y221" i="43"/>
  <c r="C221" i="43"/>
  <c r="B221" i="43"/>
  <c r="H220" i="43"/>
  <c r="M220" i="43"/>
  <c r="I220" i="43"/>
  <c r="O220" i="43"/>
  <c r="G220" i="43"/>
  <c r="W220" i="43"/>
  <c r="Y220" i="43"/>
  <c r="C220" i="43"/>
  <c r="B220" i="43"/>
  <c r="H219" i="43"/>
  <c r="M219" i="43"/>
  <c r="I219" i="43"/>
  <c r="O219" i="43"/>
  <c r="G219" i="43"/>
  <c r="W219" i="43"/>
  <c r="Y219" i="43"/>
  <c r="C219" i="43"/>
  <c r="B219" i="43"/>
  <c r="H218" i="43"/>
  <c r="M218" i="43"/>
  <c r="I218" i="43"/>
  <c r="O218" i="43"/>
  <c r="G218" i="43"/>
  <c r="W218" i="43"/>
  <c r="Y218" i="43"/>
  <c r="C218" i="43"/>
  <c r="B218" i="43"/>
  <c r="H217" i="43"/>
  <c r="M217" i="43"/>
  <c r="I217" i="43"/>
  <c r="O217" i="43"/>
  <c r="G217" i="43"/>
  <c r="W217" i="43"/>
  <c r="Y217" i="43"/>
  <c r="C217" i="43"/>
  <c r="B217" i="43"/>
  <c r="H216" i="43"/>
  <c r="M216" i="43"/>
  <c r="I216" i="43"/>
  <c r="O216" i="43"/>
  <c r="G216" i="43"/>
  <c r="W216" i="43"/>
  <c r="Y216" i="43"/>
  <c r="C216" i="43"/>
  <c r="B216" i="43"/>
  <c r="H215" i="43"/>
  <c r="M215" i="43"/>
  <c r="I215" i="43"/>
  <c r="O215" i="43"/>
  <c r="G215" i="43"/>
  <c r="W215" i="43"/>
  <c r="Y215" i="43"/>
  <c r="C215" i="43"/>
  <c r="B215" i="43"/>
  <c r="H214" i="43"/>
  <c r="M214" i="43"/>
  <c r="I214" i="43"/>
  <c r="O214" i="43"/>
  <c r="G214" i="43"/>
  <c r="W214" i="43"/>
  <c r="Y214" i="43"/>
  <c r="C214" i="43"/>
  <c r="B214" i="43"/>
  <c r="H213" i="43"/>
  <c r="M213" i="43"/>
  <c r="I213" i="43"/>
  <c r="O213" i="43"/>
  <c r="G213" i="43"/>
  <c r="W213" i="43"/>
  <c r="Y213" i="43"/>
  <c r="C213" i="43"/>
  <c r="B213" i="43"/>
  <c r="H212" i="43"/>
  <c r="M212" i="43"/>
  <c r="I212" i="43"/>
  <c r="O212" i="43"/>
  <c r="G212" i="43"/>
  <c r="W212" i="43"/>
  <c r="Y212" i="43"/>
  <c r="C212" i="43"/>
  <c r="B212" i="43"/>
  <c r="H211" i="43"/>
  <c r="M211" i="43"/>
  <c r="I211" i="43"/>
  <c r="O211" i="43"/>
  <c r="G211" i="43"/>
  <c r="W211" i="43"/>
  <c r="Y211" i="43"/>
  <c r="C211" i="43"/>
  <c r="B211" i="43"/>
  <c r="H210" i="43"/>
  <c r="M210" i="43"/>
  <c r="I210" i="43"/>
  <c r="O210" i="43"/>
  <c r="G210" i="43"/>
  <c r="W210" i="43"/>
  <c r="Y210" i="43"/>
  <c r="C210" i="43"/>
  <c r="B210" i="43"/>
  <c r="H209" i="43"/>
  <c r="M209" i="43"/>
  <c r="I209" i="43"/>
  <c r="O209" i="43"/>
  <c r="G209" i="43"/>
  <c r="W209" i="43"/>
  <c r="Y209" i="43"/>
  <c r="C209" i="43"/>
  <c r="B209" i="43"/>
  <c r="H208" i="43"/>
  <c r="M208" i="43"/>
  <c r="I208" i="43"/>
  <c r="O208" i="43"/>
  <c r="G208" i="43"/>
  <c r="W208" i="43"/>
  <c r="Y208" i="43"/>
  <c r="C208" i="43"/>
  <c r="B208" i="43"/>
  <c r="H207" i="43"/>
  <c r="M207" i="43"/>
  <c r="I207" i="43"/>
  <c r="O207" i="43"/>
  <c r="G207" i="43"/>
  <c r="W207" i="43"/>
  <c r="Y207" i="43"/>
  <c r="C207" i="43"/>
  <c r="B207" i="43"/>
  <c r="H206" i="43"/>
  <c r="M206" i="43"/>
  <c r="I206" i="43"/>
  <c r="O206" i="43"/>
  <c r="G206" i="43"/>
  <c r="W206" i="43"/>
  <c r="Y206" i="43"/>
  <c r="C206" i="43"/>
  <c r="B206" i="43"/>
  <c r="H205" i="43"/>
  <c r="M205" i="43"/>
  <c r="I205" i="43"/>
  <c r="O205" i="43"/>
  <c r="G205" i="43"/>
  <c r="W205" i="43"/>
  <c r="Y205" i="43"/>
  <c r="C205" i="43"/>
  <c r="B205" i="43"/>
  <c r="H204" i="43"/>
  <c r="M204" i="43"/>
  <c r="I204" i="43"/>
  <c r="O204" i="43"/>
  <c r="G204" i="43"/>
  <c r="W204" i="43"/>
  <c r="Y204" i="43"/>
  <c r="C204" i="43"/>
  <c r="B204" i="43"/>
  <c r="H203" i="43"/>
  <c r="M203" i="43"/>
  <c r="I203" i="43"/>
  <c r="O203" i="43"/>
  <c r="G203" i="43"/>
  <c r="W203" i="43"/>
  <c r="Y203" i="43"/>
  <c r="C203" i="43"/>
  <c r="B203" i="43"/>
  <c r="H202" i="43"/>
  <c r="M202" i="43"/>
  <c r="I202" i="43"/>
  <c r="O202" i="43"/>
  <c r="G202" i="43"/>
  <c r="W202" i="43"/>
  <c r="Y202" i="43"/>
  <c r="C202" i="43"/>
  <c r="B202" i="43"/>
  <c r="H201" i="43"/>
  <c r="M201" i="43"/>
  <c r="I201" i="43"/>
  <c r="O201" i="43"/>
  <c r="G201" i="43"/>
  <c r="W201" i="43"/>
  <c r="Y201" i="43"/>
  <c r="C201" i="43"/>
  <c r="B201" i="43"/>
  <c r="H200" i="43"/>
  <c r="M200" i="43"/>
  <c r="I200" i="43"/>
  <c r="O200" i="43"/>
  <c r="G200" i="43"/>
  <c r="W200" i="43"/>
  <c r="Y200" i="43"/>
  <c r="C200" i="43"/>
  <c r="B200" i="43"/>
  <c r="H199" i="43"/>
  <c r="M199" i="43"/>
  <c r="I199" i="43"/>
  <c r="O199" i="43"/>
  <c r="G199" i="43"/>
  <c r="W199" i="43"/>
  <c r="Y199" i="43"/>
  <c r="C199" i="43"/>
  <c r="B199" i="43"/>
  <c r="H198" i="43"/>
  <c r="M198" i="43"/>
  <c r="I198" i="43"/>
  <c r="O198" i="43"/>
  <c r="G198" i="43"/>
  <c r="W198" i="43"/>
  <c r="Y198" i="43"/>
  <c r="C198" i="43"/>
  <c r="B198" i="43"/>
  <c r="H197" i="43"/>
  <c r="M197" i="43"/>
  <c r="I197" i="43"/>
  <c r="O197" i="43"/>
  <c r="G197" i="43"/>
  <c r="W197" i="43"/>
  <c r="Y197" i="43"/>
  <c r="C197" i="43"/>
  <c r="B197" i="43"/>
  <c r="H196" i="43"/>
  <c r="M196" i="43"/>
  <c r="I196" i="43"/>
  <c r="O196" i="43"/>
  <c r="G196" i="43"/>
  <c r="W196" i="43"/>
  <c r="Y196" i="43"/>
  <c r="C196" i="43"/>
  <c r="B196" i="43"/>
  <c r="H195" i="43"/>
  <c r="M195" i="43"/>
  <c r="I195" i="43"/>
  <c r="O195" i="43"/>
  <c r="G195" i="43"/>
  <c r="W195" i="43"/>
  <c r="Y195" i="43"/>
  <c r="C195" i="43"/>
  <c r="B195" i="43"/>
  <c r="H194" i="43"/>
  <c r="M194" i="43"/>
  <c r="I194" i="43"/>
  <c r="O194" i="43"/>
  <c r="G194" i="43"/>
  <c r="W194" i="43"/>
  <c r="Y194" i="43"/>
  <c r="C194" i="43"/>
  <c r="B194" i="43"/>
  <c r="H193" i="43"/>
  <c r="M193" i="43"/>
  <c r="I193" i="43"/>
  <c r="O193" i="43"/>
  <c r="G193" i="43"/>
  <c r="W193" i="43"/>
  <c r="Y193" i="43"/>
  <c r="C193" i="43"/>
  <c r="B193" i="43"/>
  <c r="H192" i="43"/>
  <c r="M192" i="43"/>
  <c r="I192" i="43"/>
  <c r="O192" i="43"/>
  <c r="G192" i="43"/>
  <c r="W192" i="43"/>
  <c r="Y192" i="43"/>
  <c r="C192" i="43"/>
  <c r="B192" i="43"/>
  <c r="H191" i="43"/>
  <c r="M191" i="43"/>
  <c r="I191" i="43"/>
  <c r="O191" i="43"/>
  <c r="G191" i="43"/>
  <c r="W191" i="43"/>
  <c r="Y191" i="43"/>
  <c r="C191" i="43"/>
  <c r="B191" i="43"/>
  <c r="H190" i="43"/>
  <c r="M190" i="43"/>
  <c r="I190" i="43"/>
  <c r="O190" i="43"/>
  <c r="G190" i="43"/>
  <c r="W190" i="43"/>
  <c r="Y190" i="43"/>
  <c r="C190" i="43"/>
  <c r="B190" i="43"/>
  <c r="H189" i="43"/>
  <c r="M189" i="43"/>
  <c r="I189" i="43"/>
  <c r="O189" i="43"/>
  <c r="G189" i="43"/>
  <c r="W189" i="43"/>
  <c r="Y189" i="43"/>
  <c r="C189" i="43"/>
  <c r="B189" i="43"/>
  <c r="H188" i="43"/>
  <c r="M188" i="43"/>
  <c r="I188" i="43"/>
  <c r="O188" i="43"/>
  <c r="G188" i="43"/>
  <c r="W188" i="43"/>
  <c r="Y188" i="43"/>
  <c r="C188" i="43"/>
  <c r="B188" i="43"/>
  <c r="H187" i="43"/>
  <c r="M187" i="43"/>
  <c r="I187" i="43"/>
  <c r="O187" i="43"/>
  <c r="G187" i="43"/>
  <c r="W187" i="43"/>
  <c r="Y187" i="43"/>
  <c r="C187" i="43"/>
  <c r="B187" i="43"/>
  <c r="H186" i="43"/>
  <c r="M186" i="43"/>
  <c r="I186" i="43"/>
  <c r="O186" i="43"/>
  <c r="G186" i="43"/>
  <c r="W186" i="43"/>
  <c r="Y186" i="43"/>
  <c r="C186" i="43"/>
  <c r="B186" i="43"/>
  <c r="H185" i="43"/>
  <c r="M185" i="43"/>
  <c r="I185" i="43"/>
  <c r="O185" i="43"/>
  <c r="G185" i="43"/>
  <c r="W185" i="43"/>
  <c r="Y185" i="43"/>
  <c r="C185" i="43"/>
  <c r="B185" i="43"/>
  <c r="H184" i="43"/>
  <c r="M184" i="43"/>
  <c r="I184" i="43"/>
  <c r="O184" i="43"/>
  <c r="G184" i="43"/>
  <c r="W184" i="43"/>
  <c r="Y184" i="43"/>
  <c r="C184" i="43"/>
  <c r="B184" i="43"/>
  <c r="H183" i="43"/>
  <c r="M183" i="43"/>
  <c r="I183" i="43"/>
  <c r="O183" i="43"/>
  <c r="G183" i="43"/>
  <c r="W183" i="43"/>
  <c r="Y183" i="43"/>
  <c r="C183" i="43"/>
  <c r="B183" i="43"/>
  <c r="H182" i="43"/>
  <c r="M182" i="43"/>
  <c r="I182" i="43"/>
  <c r="O182" i="43"/>
  <c r="G182" i="43"/>
  <c r="W182" i="43"/>
  <c r="Y182" i="43"/>
  <c r="C182" i="43"/>
  <c r="B182" i="43"/>
  <c r="H181" i="43"/>
  <c r="M181" i="43"/>
  <c r="I181" i="43"/>
  <c r="O181" i="43"/>
  <c r="G181" i="43"/>
  <c r="W181" i="43"/>
  <c r="Y181" i="43"/>
  <c r="C181" i="43"/>
  <c r="B181" i="43"/>
  <c r="H180" i="43"/>
  <c r="M180" i="43"/>
  <c r="I180" i="43"/>
  <c r="O180" i="43"/>
  <c r="G180" i="43"/>
  <c r="W180" i="43"/>
  <c r="Y180" i="43"/>
  <c r="C180" i="43"/>
  <c r="B180" i="43"/>
  <c r="H179" i="43"/>
  <c r="M179" i="43"/>
  <c r="I179" i="43"/>
  <c r="O179" i="43"/>
  <c r="G179" i="43"/>
  <c r="W179" i="43"/>
  <c r="Y179" i="43"/>
  <c r="C179" i="43"/>
  <c r="B179" i="43"/>
  <c r="H178" i="43"/>
  <c r="M178" i="43"/>
  <c r="I178" i="43"/>
  <c r="O178" i="43"/>
  <c r="G178" i="43"/>
  <c r="W178" i="43"/>
  <c r="Y178" i="43"/>
  <c r="C178" i="43"/>
  <c r="B178" i="43"/>
  <c r="H177" i="43"/>
  <c r="M177" i="43"/>
  <c r="I177" i="43"/>
  <c r="O177" i="43"/>
  <c r="G177" i="43"/>
  <c r="W177" i="43"/>
  <c r="Y177" i="43"/>
  <c r="C177" i="43"/>
  <c r="B177" i="43"/>
  <c r="H176" i="43"/>
  <c r="M176" i="43"/>
  <c r="I176" i="43"/>
  <c r="O176" i="43"/>
  <c r="G176" i="43"/>
  <c r="W176" i="43"/>
  <c r="Y176" i="43"/>
  <c r="C176" i="43"/>
  <c r="B176" i="43"/>
  <c r="H175" i="43"/>
  <c r="M175" i="43"/>
  <c r="I175" i="43"/>
  <c r="O175" i="43"/>
  <c r="G175" i="43"/>
  <c r="W175" i="43"/>
  <c r="Y175" i="43"/>
  <c r="C175" i="43"/>
  <c r="B175" i="43"/>
  <c r="H174" i="43"/>
  <c r="M174" i="43"/>
  <c r="I174" i="43"/>
  <c r="O174" i="43"/>
  <c r="G174" i="43"/>
  <c r="W174" i="43"/>
  <c r="Y174" i="43"/>
  <c r="C174" i="43"/>
  <c r="B174" i="43"/>
  <c r="H173" i="43"/>
  <c r="M173" i="43"/>
  <c r="I173" i="43"/>
  <c r="O173" i="43"/>
  <c r="G173" i="43"/>
  <c r="W173" i="43"/>
  <c r="Y173" i="43"/>
  <c r="C173" i="43"/>
  <c r="B173" i="43"/>
  <c r="H172" i="43"/>
  <c r="M172" i="43"/>
  <c r="I172" i="43"/>
  <c r="O172" i="43"/>
  <c r="G172" i="43"/>
  <c r="W172" i="43"/>
  <c r="Y172" i="43"/>
  <c r="C172" i="43"/>
  <c r="B172" i="43"/>
  <c r="H171" i="43"/>
  <c r="M171" i="43"/>
  <c r="I171" i="43"/>
  <c r="O171" i="43"/>
  <c r="G171" i="43"/>
  <c r="W171" i="43"/>
  <c r="Y171" i="43"/>
  <c r="C171" i="43"/>
  <c r="B171" i="43"/>
  <c r="H170" i="43"/>
  <c r="M170" i="43"/>
  <c r="I170" i="43"/>
  <c r="O170" i="43"/>
  <c r="G170" i="43"/>
  <c r="W170" i="43"/>
  <c r="Y170" i="43"/>
  <c r="C170" i="43"/>
  <c r="B170" i="43"/>
  <c r="H169" i="43"/>
  <c r="M169" i="43"/>
  <c r="I169" i="43"/>
  <c r="O169" i="43"/>
  <c r="G169" i="43"/>
  <c r="W169" i="43"/>
  <c r="Y169" i="43"/>
  <c r="C169" i="43"/>
  <c r="B169" i="43"/>
  <c r="H168" i="43"/>
  <c r="M168" i="43"/>
  <c r="I168" i="43"/>
  <c r="O168" i="43"/>
  <c r="G168" i="43"/>
  <c r="W168" i="43"/>
  <c r="Y168" i="43"/>
  <c r="C168" i="43"/>
  <c r="B168" i="43"/>
  <c r="H167" i="43"/>
  <c r="M167" i="43"/>
  <c r="I167" i="43"/>
  <c r="O167" i="43"/>
  <c r="G167" i="43"/>
  <c r="W167" i="43"/>
  <c r="Y167" i="43"/>
  <c r="C167" i="43"/>
  <c r="B167" i="43"/>
  <c r="H166" i="43"/>
  <c r="M166" i="43"/>
  <c r="I166" i="43"/>
  <c r="O166" i="43"/>
  <c r="G166" i="43"/>
  <c r="W166" i="43"/>
  <c r="Y166" i="43"/>
  <c r="C166" i="43"/>
  <c r="B166" i="43"/>
  <c r="H165" i="43"/>
  <c r="M165" i="43"/>
  <c r="I165" i="43"/>
  <c r="O165" i="43"/>
  <c r="G165" i="43"/>
  <c r="W165" i="43"/>
  <c r="Y165" i="43"/>
  <c r="C165" i="43"/>
  <c r="B165" i="43"/>
  <c r="H164" i="43"/>
  <c r="M164" i="43"/>
  <c r="I164" i="43"/>
  <c r="O164" i="43"/>
  <c r="G164" i="43"/>
  <c r="W164" i="43"/>
  <c r="Y164" i="43"/>
  <c r="C164" i="43"/>
  <c r="B164" i="43"/>
  <c r="H163" i="43"/>
  <c r="M163" i="43"/>
  <c r="I163" i="43"/>
  <c r="O163" i="43"/>
  <c r="G163" i="43"/>
  <c r="W163" i="43"/>
  <c r="Y163" i="43"/>
  <c r="C163" i="43"/>
  <c r="B163" i="43"/>
  <c r="H162" i="43"/>
  <c r="M162" i="43"/>
  <c r="I162" i="43"/>
  <c r="O162" i="43"/>
  <c r="G162" i="43"/>
  <c r="W162" i="43"/>
  <c r="Y162" i="43"/>
  <c r="C162" i="43"/>
  <c r="B162" i="43"/>
  <c r="H161" i="43"/>
  <c r="M161" i="43"/>
  <c r="I161" i="43"/>
  <c r="O161" i="43"/>
  <c r="G161" i="43"/>
  <c r="W161" i="43"/>
  <c r="Y161" i="43"/>
  <c r="C161" i="43"/>
  <c r="B161" i="43"/>
  <c r="H160" i="43"/>
  <c r="M160" i="43"/>
  <c r="I160" i="43"/>
  <c r="O160" i="43"/>
  <c r="G160" i="43"/>
  <c r="W160" i="43"/>
  <c r="Y160" i="43"/>
  <c r="C160" i="43"/>
  <c r="B160" i="43"/>
  <c r="H159" i="43"/>
  <c r="M159" i="43"/>
  <c r="I159" i="43"/>
  <c r="O159" i="43"/>
  <c r="G159" i="43"/>
  <c r="W159" i="43"/>
  <c r="Y159" i="43"/>
  <c r="C159" i="43"/>
  <c r="B159" i="43"/>
  <c r="H158" i="43"/>
  <c r="M158" i="43"/>
  <c r="I158" i="43"/>
  <c r="O158" i="43"/>
  <c r="G158" i="43"/>
  <c r="W158" i="43"/>
  <c r="Y158" i="43"/>
  <c r="C158" i="43"/>
  <c r="B158" i="43"/>
  <c r="H157" i="43"/>
  <c r="M157" i="43"/>
  <c r="I157" i="43"/>
  <c r="O157" i="43"/>
  <c r="G157" i="43"/>
  <c r="W157" i="43"/>
  <c r="Y157" i="43"/>
  <c r="C157" i="43"/>
  <c r="B157" i="43"/>
  <c r="H156" i="43"/>
  <c r="M156" i="43"/>
  <c r="I156" i="43"/>
  <c r="O156" i="43"/>
  <c r="G156" i="43"/>
  <c r="W156" i="43"/>
  <c r="Y156" i="43"/>
  <c r="C156" i="43"/>
  <c r="B156" i="43"/>
  <c r="H155" i="43"/>
  <c r="M155" i="43"/>
  <c r="I155" i="43"/>
  <c r="O155" i="43"/>
  <c r="G155" i="43"/>
  <c r="W155" i="43"/>
  <c r="Y155" i="43"/>
  <c r="C155" i="43"/>
  <c r="B155" i="43"/>
  <c r="H154" i="43"/>
  <c r="M154" i="43"/>
  <c r="I154" i="43"/>
  <c r="O154" i="43"/>
  <c r="G154" i="43"/>
  <c r="W154" i="43"/>
  <c r="Y154" i="43"/>
  <c r="C154" i="43"/>
  <c r="B154" i="43"/>
  <c r="H153" i="43"/>
  <c r="M153" i="43"/>
  <c r="I153" i="43"/>
  <c r="O153" i="43"/>
  <c r="G153" i="43"/>
  <c r="W153" i="43"/>
  <c r="Y153" i="43"/>
  <c r="C153" i="43"/>
  <c r="B153" i="43"/>
  <c r="H152" i="43"/>
  <c r="M152" i="43"/>
  <c r="I152" i="43"/>
  <c r="O152" i="43"/>
  <c r="G152" i="43"/>
  <c r="W152" i="43"/>
  <c r="Y152" i="43"/>
  <c r="C152" i="43"/>
  <c r="B152" i="43"/>
  <c r="H151" i="43"/>
  <c r="M151" i="43"/>
  <c r="I151" i="43"/>
  <c r="O151" i="43"/>
  <c r="G151" i="43"/>
  <c r="W151" i="43"/>
  <c r="Y151" i="43"/>
  <c r="C151" i="43"/>
  <c r="B151" i="43"/>
  <c r="H150" i="43"/>
  <c r="M150" i="43"/>
  <c r="I150" i="43"/>
  <c r="O150" i="43"/>
  <c r="G150" i="43"/>
  <c r="W150" i="43"/>
  <c r="Y150" i="43"/>
  <c r="C150" i="43"/>
  <c r="B150" i="43"/>
  <c r="H149" i="43"/>
  <c r="M149" i="43"/>
  <c r="I149" i="43"/>
  <c r="O149" i="43"/>
  <c r="G149" i="43"/>
  <c r="W149" i="43"/>
  <c r="Y149" i="43"/>
  <c r="C149" i="43"/>
  <c r="B149" i="43"/>
  <c r="H148" i="43"/>
  <c r="M148" i="43"/>
  <c r="I148" i="43"/>
  <c r="O148" i="43"/>
  <c r="G148" i="43"/>
  <c r="W148" i="43"/>
  <c r="Y148" i="43"/>
  <c r="C148" i="43"/>
  <c r="B148" i="43"/>
  <c r="H147" i="43"/>
  <c r="M147" i="43"/>
  <c r="I147" i="43"/>
  <c r="O147" i="43"/>
  <c r="G147" i="43"/>
  <c r="W147" i="43"/>
  <c r="Y147" i="43"/>
  <c r="C147" i="43"/>
  <c r="B147" i="43"/>
  <c r="H146" i="43"/>
  <c r="M146" i="43"/>
  <c r="I146" i="43"/>
  <c r="O146" i="43"/>
  <c r="G146" i="43"/>
  <c r="W146" i="43"/>
  <c r="Y146" i="43"/>
  <c r="C146" i="43"/>
  <c r="B146" i="43"/>
  <c r="H145" i="43"/>
  <c r="M145" i="43"/>
  <c r="I145" i="43"/>
  <c r="O145" i="43"/>
  <c r="G145" i="43"/>
  <c r="W145" i="43"/>
  <c r="Y145" i="43"/>
  <c r="C145" i="43"/>
  <c r="B145" i="43"/>
  <c r="H144" i="43"/>
  <c r="M144" i="43"/>
  <c r="I144" i="43"/>
  <c r="O144" i="43"/>
  <c r="G144" i="43"/>
  <c r="W144" i="43"/>
  <c r="Y144" i="43"/>
  <c r="C144" i="43"/>
  <c r="B144" i="43"/>
  <c r="H143" i="43"/>
  <c r="M143" i="43"/>
  <c r="I143" i="43"/>
  <c r="O143" i="43"/>
  <c r="G143" i="43"/>
  <c r="W143" i="43"/>
  <c r="Y143" i="43"/>
  <c r="C143" i="43"/>
  <c r="B143" i="43"/>
  <c r="H142" i="43"/>
  <c r="M142" i="43"/>
  <c r="I142" i="43"/>
  <c r="O142" i="43"/>
  <c r="G142" i="43"/>
  <c r="W142" i="43"/>
  <c r="Y142" i="43"/>
  <c r="C142" i="43"/>
  <c r="B142" i="43"/>
  <c r="H141" i="43"/>
  <c r="M141" i="43"/>
  <c r="I141" i="43"/>
  <c r="O141" i="43"/>
  <c r="G141" i="43"/>
  <c r="W141" i="43"/>
  <c r="Y141" i="43"/>
  <c r="C141" i="43"/>
  <c r="B141" i="43"/>
  <c r="H140" i="43"/>
  <c r="M140" i="43"/>
  <c r="I140" i="43"/>
  <c r="O140" i="43"/>
  <c r="G140" i="43"/>
  <c r="W140" i="43"/>
  <c r="Y140" i="43"/>
  <c r="C140" i="43"/>
  <c r="B140" i="43"/>
  <c r="H139" i="43"/>
  <c r="M139" i="43"/>
  <c r="I139" i="43"/>
  <c r="O139" i="43"/>
  <c r="G139" i="43"/>
  <c r="W139" i="43"/>
  <c r="Y139" i="43"/>
  <c r="C139" i="43"/>
  <c r="B139" i="43"/>
  <c r="H138" i="43"/>
  <c r="M138" i="43"/>
  <c r="I138" i="43"/>
  <c r="O138" i="43"/>
  <c r="G138" i="43"/>
  <c r="W138" i="43"/>
  <c r="Y138" i="43"/>
  <c r="C138" i="43"/>
  <c r="B138" i="43"/>
  <c r="H137" i="43"/>
  <c r="M137" i="43"/>
  <c r="I137" i="43"/>
  <c r="O137" i="43"/>
  <c r="G137" i="43"/>
  <c r="W137" i="43"/>
  <c r="Y137" i="43"/>
  <c r="C137" i="43"/>
  <c r="B137" i="43"/>
  <c r="H136" i="43"/>
  <c r="M136" i="43"/>
  <c r="I136" i="43"/>
  <c r="O136" i="43"/>
  <c r="G136" i="43"/>
  <c r="W136" i="43"/>
  <c r="Y136" i="43"/>
  <c r="C136" i="43"/>
  <c r="B136" i="43"/>
  <c r="H135" i="43"/>
  <c r="M135" i="43"/>
  <c r="I135" i="43"/>
  <c r="O135" i="43"/>
  <c r="G135" i="43"/>
  <c r="W135" i="43"/>
  <c r="Y135" i="43"/>
  <c r="C135" i="43"/>
  <c r="B135" i="43"/>
  <c r="H134" i="43"/>
  <c r="M134" i="43"/>
  <c r="I134" i="43"/>
  <c r="O134" i="43"/>
  <c r="G134" i="43"/>
  <c r="W134" i="43"/>
  <c r="Y134" i="43"/>
  <c r="C134" i="43"/>
  <c r="B134" i="43"/>
  <c r="H133" i="43"/>
  <c r="M133" i="43"/>
  <c r="I133" i="43"/>
  <c r="O133" i="43"/>
  <c r="G133" i="43"/>
  <c r="W133" i="43"/>
  <c r="Y133" i="43"/>
  <c r="C133" i="43"/>
  <c r="B133" i="43"/>
  <c r="M132" i="43"/>
  <c r="I132" i="43"/>
  <c r="O132" i="43"/>
  <c r="G132" i="43"/>
  <c r="W132" i="43"/>
  <c r="Y132" i="43"/>
  <c r="C132" i="43"/>
  <c r="B132" i="43"/>
  <c r="H131" i="43"/>
  <c r="M131" i="43"/>
  <c r="I131" i="43"/>
  <c r="O131" i="43"/>
  <c r="G131" i="43"/>
  <c r="W131" i="43"/>
  <c r="Y131" i="43"/>
  <c r="C131" i="43"/>
  <c r="B131" i="43"/>
  <c r="H130" i="43"/>
  <c r="M130" i="43"/>
  <c r="I130" i="43"/>
  <c r="O130" i="43"/>
  <c r="G130" i="43"/>
  <c r="W130" i="43"/>
  <c r="Y130" i="43"/>
  <c r="C130" i="43"/>
  <c r="B130" i="43"/>
  <c r="H129" i="43"/>
  <c r="M129" i="43"/>
  <c r="I129" i="43"/>
  <c r="O129" i="43"/>
  <c r="G129" i="43"/>
  <c r="W129" i="43"/>
  <c r="Y129" i="43"/>
  <c r="C129" i="43"/>
  <c r="B129" i="43"/>
  <c r="H128" i="43"/>
  <c r="M128" i="43"/>
  <c r="I128" i="43"/>
  <c r="O128" i="43"/>
  <c r="G128" i="43"/>
  <c r="W128" i="43"/>
  <c r="Y128" i="43"/>
  <c r="C128" i="43"/>
  <c r="B128" i="43"/>
  <c r="H127" i="43"/>
  <c r="M127" i="43"/>
  <c r="I127" i="43"/>
  <c r="O127" i="43"/>
  <c r="G127" i="43"/>
  <c r="W127" i="43"/>
  <c r="Y127" i="43"/>
  <c r="C127" i="43"/>
  <c r="B127" i="43"/>
  <c r="H126" i="43"/>
  <c r="M126" i="43"/>
  <c r="I126" i="43"/>
  <c r="O126" i="43"/>
  <c r="G126" i="43"/>
  <c r="W126" i="43"/>
  <c r="Y126" i="43"/>
  <c r="C126" i="43"/>
  <c r="B126" i="43"/>
  <c r="H125" i="43"/>
  <c r="M125" i="43"/>
  <c r="I125" i="43"/>
  <c r="O125" i="43"/>
  <c r="G125" i="43"/>
  <c r="W125" i="43"/>
  <c r="Y125" i="43"/>
  <c r="C125" i="43"/>
  <c r="B125" i="43"/>
  <c r="H124" i="43"/>
  <c r="M124" i="43"/>
  <c r="I124" i="43"/>
  <c r="O124" i="43"/>
  <c r="G124" i="43"/>
  <c r="W124" i="43"/>
  <c r="Y124" i="43"/>
  <c r="C124" i="43"/>
  <c r="B124" i="43"/>
  <c r="H123" i="43"/>
  <c r="M123" i="43"/>
  <c r="I123" i="43"/>
  <c r="O123" i="43"/>
  <c r="G123" i="43"/>
  <c r="W123" i="43"/>
  <c r="Y123" i="43"/>
  <c r="C123" i="43"/>
  <c r="B123" i="43"/>
  <c r="H122" i="43"/>
  <c r="M122" i="43"/>
  <c r="I122" i="43"/>
  <c r="O122" i="43"/>
  <c r="G122" i="43"/>
  <c r="W122" i="43"/>
  <c r="Y122" i="43"/>
  <c r="C122" i="43"/>
  <c r="B122" i="43"/>
  <c r="H121" i="43"/>
  <c r="M121" i="43"/>
  <c r="I121" i="43"/>
  <c r="O121" i="43"/>
  <c r="G121" i="43"/>
  <c r="W121" i="43"/>
  <c r="Y121" i="43"/>
  <c r="C121" i="43"/>
  <c r="B121" i="43"/>
  <c r="H120" i="43"/>
  <c r="M120" i="43"/>
  <c r="I120" i="43"/>
  <c r="O120" i="43"/>
  <c r="G120" i="43"/>
  <c r="W120" i="43"/>
  <c r="Y120" i="43"/>
  <c r="C120" i="43"/>
  <c r="B120" i="43"/>
  <c r="H119" i="43"/>
  <c r="M119" i="43"/>
  <c r="I119" i="43"/>
  <c r="O119" i="43"/>
  <c r="G119" i="43"/>
  <c r="W119" i="43"/>
  <c r="Y119" i="43"/>
  <c r="C119" i="43"/>
  <c r="B119" i="43"/>
  <c r="H118" i="43"/>
  <c r="M118" i="43"/>
  <c r="I118" i="43"/>
  <c r="O118" i="43"/>
  <c r="G118" i="43"/>
  <c r="W118" i="43"/>
  <c r="Y118" i="43"/>
  <c r="C118" i="43"/>
  <c r="B118" i="43"/>
  <c r="H117" i="43"/>
  <c r="M117" i="43"/>
  <c r="I117" i="43"/>
  <c r="O117" i="43"/>
  <c r="G117" i="43"/>
  <c r="W117" i="43"/>
  <c r="Y117" i="43"/>
  <c r="C117" i="43"/>
  <c r="B117" i="43"/>
  <c r="H116" i="43"/>
  <c r="M116" i="43"/>
  <c r="I116" i="43"/>
  <c r="O116" i="43"/>
  <c r="G116" i="43"/>
  <c r="W116" i="43"/>
  <c r="Y116" i="43"/>
  <c r="C116" i="43"/>
  <c r="B116" i="43"/>
  <c r="H115" i="43"/>
  <c r="M115" i="43"/>
  <c r="I115" i="43"/>
  <c r="O115" i="43"/>
  <c r="G115" i="43"/>
  <c r="W115" i="43"/>
  <c r="Y115" i="43"/>
  <c r="C115" i="43"/>
  <c r="B115" i="43"/>
  <c r="H114" i="43"/>
  <c r="M114" i="43"/>
  <c r="I114" i="43"/>
  <c r="O114" i="43"/>
  <c r="G114" i="43"/>
  <c r="W114" i="43"/>
  <c r="Y114" i="43"/>
  <c r="C114" i="43"/>
  <c r="B114" i="43"/>
  <c r="H113" i="43"/>
  <c r="M113" i="43"/>
  <c r="I113" i="43"/>
  <c r="O113" i="43"/>
  <c r="G113" i="43"/>
  <c r="W113" i="43"/>
  <c r="Y113" i="43"/>
  <c r="C113" i="43"/>
  <c r="B113" i="43"/>
  <c r="H112" i="43"/>
  <c r="M112" i="43"/>
  <c r="I112" i="43"/>
  <c r="O112" i="43"/>
  <c r="G112" i="43"/>
  <c r="W112" i="43"/>
  <c r="Y112" i="43"/>
  <c r="C112" i="43"/>
  <c r="B112" i="43"/>
  <c r="H111" i="43"/>
  <c r="M111" i="43"/>
  <c r="I111" i="43"/>
  <c r="O111" i="43"/>
  <c r="G111" i="43"/>
  <c r="W111" i="43"/>
  <c r="Y111" i="43"/>
  <c r="C111" i="43"/>
  <c r="B111" i="43"/>
  <c r="H110" i="43"/>
  <c r="M110" i="43"/>
  <c r="I110" i="43"/>
  <c r="O110" i="43"/>
  <c r="G110" i="43"/>
  <c r="W110" i="43"/>
  <c r="Y110" i="43"/>
  <c r="C110" i="43"/>
  <c r="B110" i="43"/>
  <c r="H109" i="43"/>
  <c r="M109" i="43"/>
  <c r="I109" i="43"/>
  <c r="O109" i="43"/>
  <c r="G109" i="43"/>
  <c r="W109" i="43"/>
  <c r="Y109" i="43"/>
  <c r="C109" i="43"/>
  <c r="B109" i="43"/>
  <c r="H108" i="43"/>
  <c r="M108" i="43"/>
  <c r="I108" i="43"/>
  <c r="O108" i="43"/>
  <c r="G108" i="43"/>
  <c r="W108" i="43"/>
  <c r="Y108" i="43"/>
  <c r="C108" i="43"/>
  <c r="B108" i="43"/>
  <c r="H107" i="43"/>
  <c r="M107" i="43"/>
  <c r="I107" i="43"/>
  <c r="O107" i="43"/>
  <c r="G107" i="43"/>
  <c r="W107" i="43"/>
  <c r="Y107" i="43"/>
  <c r="C107" i="43"/>
  <c r="B107" i="43"/>
  <c r="H106" i="43"/>
  <c r="M106" i="43"/>
  <c r="I106" i="43"/>
  <c r="O106" i="43"/>
  <c r="G106" i="43"/>
  <c r="W106" i="43"/>
  <c r="Y106" i="43"/>
  <c r="C106" i="43"/>
  <c r="B106" i="43"/>
  <c r="H105" i="43"/>
  <c r="M105" i="43"/>
  <c r="I105" i="43"/>
  <c r="O105" i="43"/>
  <c r="G105" i="43"/>
  <c r="W105" i="43"/>
  <c r="Y105" i="43"/>
  <c r="C105" i="43"/>
  <c r="B105" i="43"/>
  <c r="H104" i="43"/>
  <c r="M104" i="43"/>
  <c r="I104" i="43"/>
  <c r="O104" i="43"/>
  <c r="G104" i="43"/>
  <c r="W104" i="43"/>
  <c r="Y104" i="43"/>
  <c r="C104" i="43"/>
  <c r="B104" i="43"/>
  <c r="H103" i="43"/>
  <c r="M103" i="43"/>
  <c r="I103" i="43"/>
  <c r="O103" i="43"/>
  <c r="G103" i="43"/>
  <c r="W103" i="43"/>
  <c r="Y103" i="43"/>
  <c r="C103" i="43"/>
  <c r="B103" i="43"/>
  <c r="H102" i="43"/>
  <c r="M102" i="43"/>
  <c r="I102" i="43"/>
  <c r="O102" i="43"/>
  <c r="G102" i="43"/>
  <c r="W102" i="43"/>
  <c r="Y102" i="43"/>
  <c r="C102" i="43"/>
  <c r="B102" i="43"/>
  <c r="H101" i="43"/>
  <c r="M101" i="43"/>
  <c r="I101" i="43"/>
  <c r="O101" i="43"/>
  <c r="G101" i="43"/>
  <c r="W101" i="43"/>
  <c r="Y101" i="43"/>
  <c r="C101" i="43"/>
  <c r="B101" i="43"/>
  <c r="H100" i="43"/>
  <c r="M100" i="43"/>
  <c r="I100" i="43"/>
  <c r="O100" i="43"/>
  <c r="G100" i="43"/>
  <c r="W100" i="43"/>
  <c r="Y100" i="43"/>
  <c r="C100" i="43"/>
  <c r="B100" i="43"/>
  <c r="H99" i="43"/>
  <c r="M99" i="43"/>
  <c r="I99" i="43"/>
  <c r="O99" i="43"/>
  <c r="G99" i="43"/>
  <c r="W99" i="43"/>
  <c r="Y99" i="43"/>
  <c r="C99" i="43"/>
  <c r="B99" i="43"/>
  <c r="H98" i="43"/>
  <c r="M98" i="43"/>
  <c r="I98" i="43"/>
  <c r="O98" i="43"/>
  <c r="G98" i="43"/>
  <c r="W98" i="43"/>
  <c r="Y98" i="43"/>
  <c r="C98" i="43"/>
  <c r="B98" i="43"/>
  <c r="H97" i="43"/>
  <c r="M97" i="43"/>
  <c r="I97" i="43"/>
  <c r="O97" i="43"/>
  <c r="G97" i="43"/>
  <c r="W97" i="43"/>
  <c r="Y97" i="43"/>
  <c r="C97" i="43"/>
  <c r="B97" i="43"/>
  <c r="H96" i="43"/>
  <c r="M96" i="43"/>
  <c r="I96" i="43"/>
  <c r="O96" i="43"/>
  <c r="G96" i="43"/>
  <c r="W96" i="43"/>
  <c r="Y96" i="43"/>
  <c r="C96" i="43"/>
  <c r="B96" i="43"/>
  <c r="H95" i="43"/>
  <c r="M95" i="43"/>
  <c r="I95" i="43"/>
  <c r="O95" i="43"/>
  <c r="G95" i="43"/>
  <c r="W95" i="43"/>
  <c r="Y95" i="43"/>
  <c r="C95" i="43"/>
  <c r="B95" i="43"/>
  <c r="H94" i="43"/>
  <c r="M94" i="43"/>
  <c r="I94" i="43"/>
  <c r="O94" i="43"/>
  <c r="G94" i="43"/>
  <c r="W94" i="43"/>
  <c r="Y94" i="43"/>
  <c r="C94" i="43"/>
  <c r="B94" i="43"/>
  <c r="H93" i="43"/>
  <c r="M93" i="43"/>
  <c r="I93" i="43"/>
  <c r="O93" i="43"/>
  <c r="G93" i="43"/>
  <c r="W93" i="43"/>
  <c r="Y93" i="43"/>
  <c r="C93" i="43"/>
  <c r="B93" i="43"/>
  <c r="H92" i="43"/>
  <c r="M92" i="43"/>
  <c r="I92" i="43"/>
  <c r="O92" i="43"/>
  <c r="G92" i="43"/>
  <c r="W92" i="43"/>
  <c r="Y92" i="43"/>
  <c r="C92" i="43"/>
  <c r="B92" i="43"/>
  <c r="H91" i="43"/>
  <c r="M91" i="43"/>
  <c r="I91" i="43"/>
  <c r="O91" i="43"/>
  <c r="G91" i="43"/>
  <c r="W91" i="43"/>
  <c r="Y91" i="43"/>
  <c r="C91" i="43"/>
  <c r="B91" i="43"/>
  <c r="H90" i="43"/>
  <c r="M90" i="43"/>
  <c r="I90" i="43"/>
  <c r="O90" i="43"/>
  <c r="G90" i="43"/>
  <c r="W90" i="43"/>
  <c r="Y90" i="43"/>
  <c r="C90" i="43"/>
  <c r="B90" i="43"/>
  <c r="H89" i="43"/>
  <c r="M89" i="43"/>
  <c r="I89" i="43"/>
  <c r="O89" i="43"/>
  <c r="G89" i="43"/>
  <c r="W89" i="43"/>
  <c r="Y89" i="43"/>
  <c r="C89" i="43"/>
  <c r="B89" i="43"/>
  <c r="H88" i="43"/>
  <c r="M88" i="43"/>
  <c r="I88" i="43"/>
  <c r="O88" i="43"/>
  <c r="G88" i="43"/>
  <c r="W88" i="43"/>
  <c r="Y88" i="43"/>
  <c r="C88" i="43"/>
  <c r="B88" i="43"/>
  <c r="H87" i="43"/>
  <c r="M87" i="43"/>
  <c r="I87" i="43"/>
  <c r="O87" i="43"/>
  <c r="G87" i="43"/>
  <c r="W87" i="43"/>
  <c r="Y87" i="43"/>
  <c r="C87" i="43"/>
  <c r="B87" i="43"/>
  <c r="H86" i="43"/>
  <c r="M86" i="43"/>
  <c r="I86" i="43"/>
  <c r="O86" i="43"/>
  <c r="G86" i="43"/>
  <c r="W86" i="43"/>
  <c r="Y86" i="43"/>
  <c r="C86" i="43"/>
  <c r="B86" i="43"/>
  <c r="H85" i="43"/>
  <c r="M85" i="43"/>
  <c r="I85" i="43"/>
  <c r="O85" i="43"/>
  <c r="G85" i="43"/>
  <c r="W85" i="43"/>
  <c r="Y85" i="43"/>
  <c r="C85" i="43"/>
  <c r="B85" i="43"/>
  <c r="H84" i="43"/>
  <c r="M84" i="43"/>
  <c r="I84" i="43"/>
  <c r="O84" i="43"/>
  <c r="G84" i="43"/>
  <c r="W84" i="43"/>
  <c r="Y84" i="43"/>
  <c r="C84" i="43"/>
  <c r="B84" i="43"/>
  <c r="H83" i="43"/>
  <c r="M83" i="43"/>
  <c r="I83" i="43"/>
  <c r="O83" i="43"/>
  <c r="G83" i="43"/>
  <c r="W83" i="43"/>
  <c r="Y83" i="43"/>
  <c r="C83" i="43"/>
  <c r="B83" i="43"/>
  <c r="H82" i="43"/>
  <c r="M82" i="43"/>
  <c r="I82" i="43"/>
  <c r="O82" i="43"/>
  <c r="G82" i="43"/>
  <c r="W82" i="43"/>
  <c r="Y82" i="43"/>
  <c r="C82" i="43"/>
  <c r="B82" i="43"/>
  <c r="H81" i="43"/>
  <c r="M81" i="43"/>
  <c r="I81" i="43"/>
  <c r="O81" i="43"/>
  <c r="G81" i="43"/>
  <c r="W81" i="43"/>
  <c r="Y81" i="43"/>
  <c r="C81" i="43"/>
  <c r="B81" i="43"/>
  <c r="H80" i="43"/>
  <c r="M80" i="43"/>
  <c r="I80" i="43"/>
  <c r="O80" i="43"/>
  <c r="G80" i="43"/>
  <c r="W80" i="43"/>
  <c r="Y80" i="43"/>
  <c r="C80" i="43"/>
  <c r="B80" i="43"/>
  <c r="H79" i="43"/>
  <c r="M79" i="43"/>
  <c r="I79" i="43"/>
  <c r="O79" i="43"/>
  <c r="G79" i="43"/>
  <c r="W79" i="43"/>
  <c r="Y79" i="43"/>
  <c r="C79" i="43"/>
  <c r="B79" i="43"/>
  <c r="H78" i="43"/>
  <c r="M78" i="43"/>
  <c r="I78" i="43"/>
  <c r="O78" i="43"/>
  <c r="G78" i="43"/>
  <c r="W78" i="43"/>
  <c r="Y78" i="43"/>
  <c r="C78" i="43"/>
  <c r="B78" i="43"/>
  <c r="H77" i="43"/>
  <c r="M77" i="43"/>
  <c r="I77" i="43"/>
  <c r="O77" i="43"/>
  <c r="G77" i="43"/>
  <c r="W77" i="43"/>
  <c r="Y77" i="43"/>
  <c r="C77" i="43"/>
  <c r="B77" i="43"/>
  <c r="H76" i="43"/>
  <c r="M76" i="43"/>
  <c r="I76" i="43"/>
  <c r="O76" i="43"/>
  <c r="G76" i="43"/>
  <c r="W76" i="43"/>
  <c r="Y76" i="43"/>
  <c r="C76" i="43"/>
  <c r="B76" i="43"/>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116" i="37"/>
  <c r="P117" i="37"/>
  <c r="P118" i="37"/>
  <c r="P119" i="37"/>
  <c r="P120" i="37"/>
  <c r="P121" i="37"/>
  <c r="P122" i="37"/>
  <c r="P123" i="37"/>
  <c r="P124" i="37"/>
  <c r="P125" i="37"/>
  <c r="P126" i="37"/>
  <c r="P127" i="37"/>
  <c r="P128" i="37"/>
  <c r="P129" i="37"/>
  <c r="P130" i="37"/>
  <c r="P131" i="37"/>
  <c r="P132" i="37"/>
  <c r="P133" i="37"/>
  <c r="P134" i="37"/>
  <c r="P135" i="37"/>
  <c r="P136" i="37"/>
  <c r="P137" i="37"/>
  <c r="P138" i="37"/>
  <c r="P139" i="37"/>
  <c r="P140" i="37"/>
  <c r="P141" i="37"/>
  <c r="P142" i="37"/>
  <c r="P143" i="37"/>
  <c r="P144" i="37"/>
  <c r="P145" i="37"/>
  <c r="P146" i="37"/>
  <c r="P147" i="37"/>
  <c r="P148" i="37"/>
  <c r="P149" i="37"/>
  <c r="P150" i="37"/>
  <c r="P151" i="37"/>
  <c r="P152" i="37"/>
  <c r="P153" i="37"/>
  <c r="P154" i="37"/>
  <c r="P155" i="37"/>
  <c r="P156" i="37"/>
  <c r="P157" i="37"/>
  <c r="P158" i="37"/>
  <c r="P159" i="37"/>
  <c r="P160" i="37"/>
  <c r="P161" i="37"/>
  <c r="P162" i="37"/>
  <c r="P163" i="37"/>
  <c r="P164" i="37"/>
  <c r="P165" i="37"/>
  <c r="P166" i="37"/>
  <c r="P167" i="37"/>
  <c r="P168" i="37"/>
  <c r="P169" i="37"/>
  <c r="P170" i="37"/>
  <c r="P171" i="37"/>
  <c r="P172" i="37"/>
  <c r="P173" i="37"/>
  <c r="P174" i="37"/>
  <c r="P175" i="37"/>
  <c r="P176" i="37"/>
  <c r="P177" i="37"/>
  <c r="P178" i="37"/>
  <c r="P179" i="37"/>
  <c r="P180" i="37"/>
  <c r="P181" i="37"/>
  <c r="P182" i="37"/>
  <c r="P183" i="37"/>
  <c r="P184" i="37"/>
  <c r="P185" i="37"/>
  <c r="P186" i="37"/>
  <c r="P187" i="37"/>
  <c r="P188" i="37"/>
  <c r="P189" i="37"/>
  <c r="P190" i="37"/>
  <c r="P191" i="37"/>
  <c r="P192" i="37"/>
  <c r="P193" i="37"/>
  <c r="P194" i="37"/>
  <c r="P195" i="37"/>
  <c r="P196" i="37"/>
  <c r="P197" i="37"/>
  <c r="P198" i="37"/>
  <c r="P199" i="37"/>
  <c r="P200" i="37"/>
  <c r="P201" i="37"/>
  <c r="P202" i="37"/>
  <c r="P203" i="37"/>
  <c r="P204" i="37"/>
  <c r="P205" i="37"/>
  <c r="P206" i="37"/>
  <c r="P207" i="37"/>
  <c r="P208" i="37"/>
  <c r="P209" i="37"/>
  <c r="P210" i="37"/>
  <c r="P211" i="37"/>
  <c r="P212" i="37"/>
  <c r="P213" i="37"/>
  <c r="P214" i="37"/>
  <c r="P215" i="37"/>
  <c r="P216" i="37"/>
  <c r="P217" i="37"/>
  <c r="P218" i="37"/>
  <c r="P219" i="37"/>
  <c r="P220" i="37"/>
  <c r="P221" i="37"/>
  <c r="P222" i="37"/>
  <c r="P223" i="37"/>
  <c r="P224" i="37"/>
  <c r="P225" i="37"/>
  <c r="P226" i="37"/>
  <c r="P227" i="37"/>
  <c r="P228" i="37"/>
  <c r="P229" i="37"/>
  <c r="P230" i="37"/>
  <c r="P231" i="37"/>
  <c r="P232" i="37"/>
  <c r="P233" i="37"/>
  <c r="P234" i="37"/>
  <c r="P235" i="37"/>
  <c r="P236" i="37"/>
  <c r="P237" i="37"/>
  <c r="P238" i="37"/>
  <c r="P239" i="37"/>
  <c r="P240" i="37"/>
  <c r="P241" i="37"/>
  <c r="P242" i="37"/>
  <c r="P243" i="37"/>
  <c r="P244" i="37"/>
  <c r="P245" i="37"/>
  <c r="P246" i="37"/>
  <c r="P247" i="37"/>
  <c r="P248" i="37"/>
  <c r="P249" i="37"/>
  <c r="P250" i="37"/>
  <c r="P251" i="37"/>
  <c r="P252" i="37"/>
  <c r="P253" i="37"/>
  <c r="P254" i="37"/>
  <c r="P255" i="37"/>
  <c r="P256" i="37"/>
  <c r="P257" i="37"/>
  <c r="P258" i="37"/>
  <c r="P259" i="37"/>
  <c r="P260" i="37"/>
  <c r="P261" i="37"/>
  <c r="P262" i="37"/>
  <c r="P263" i="37"/>
  <c r="P264" i="37"/>
  <c r="P265" i="37"/>
  <c r="P266" i="37"/>
  <c r="P267" i="37"/>
  <c r="P268" i="37"/>
  <c r="P269" i="37"/>
  <c r="P270" i="37"/>
  <c r="P271" i="37"/>
  <c r="P272" i="37"/>
  <c r="P273" i="37"/>
  <c r="P274" i="37"/>
  <c r="P275" i="37"/>
  <c r="P276" i="37"/>
  <c r="P277" i="37"/>
  <c r="P278" i="37"/>
  <c r="P279" i="37"/>
  <c r="P280" i="37"/>
  <c r="P281" i="37"/>
  <c r="P282" i="37"/>
  <c r="P283" i="37"/>
  <c r="P284" i="37"/>
  <c r="P285" i="37"/>
  <c r="P286" i="37"/>
  <c r="P287" i="37"/>
  <c r="P288" i="37"/>
  <c r="P289" i="37"/>
  <c r="P290" i="37"/>
  <c r="P291" i="37"/>
  <c r="P292" i="37"/>
  <c r="P293" i="37"/>
  <c r="P294" i="37"/>
  <c r="P295" i="37"/>
  <c r="P296" i="37"/>
  <c r="P297" i="37"/>
  <c r="P298" i="37"/>
  <c r="P299" i="37"/>
  <c r="P300" i="37"/>
  <c r="P301" i="37"/>
  <c r="P302" i="37"/>
  <c r="P303" i="37"/>
  <c r="P304" i="37"/>
  <c r="P305" i="37"/>
  <c r="P306" i="37"/>
  <c r="P307" i="37"/>
  <c r="P308" i="37"/>
  <c r="P309" i="37"/>
  <c r="P310" i="37"/>
  <c r="P311" i="37"/>
  <c r="P312" i="37"/>
  <c r="P313" i="37"/>
  <c r="P314" i="37"/>
  <c r="P315" i="37"/>
  <c r="P316" i="37"/>
  <c r="P317" i="37"/>
  <c r="P318" i="37"/>
  <c r="P319" i="37"/>
  <c r="P320" i="37"/>
  <c r="P321" i="37"/>
  <c r="P322" i="37"/>
  <c r="P323" i="37"/>
  <c r="P324" i="37"/>
  <c r="P325" i="37"/>
  <c r="P326" i="37"/>
  <c r="P327" i="37"/>
  <c r="P328" i="37"/>
  <c r="P329" i="37"/>
  <c r="P330" i="37"/>
  <c r="P331" i="37"/>
  <c r="P332" i="37"/>
  <c r="P333" i="37"/>
  <c r="P334" i="37"/>
  <c r="P335" i="37"/>
  <c r="P336" i="37"/>
  <c r="P337" i="37"/>
  <c r="P338" i="37"/>
  <c r="P339" i="37"/>
  <c r="P340" i="37"/>
  <c r="P341" i="37"/>
  <c r="P342" i="37"/>
  <c r="P343" i="37"/>
  <c r="P344" i="37"/>
  <c r="P345" i="37"/>
  <c r="P346" i="37"/>
  <c r="P347" i="37"/>
  <c r="P348" i="37"/>
  <c r="P349" i="37"/>
  <c r="P350" i="37"/>
  <c r="P351" i="37"/>
  <c r="P352" i="37"/>
  <c r="P353" i="37"/>
  <c r="P354" i="37"/>
  <c r="P355" i="37"/>
  <c r="P356" i="37"/>
  <c r="P357" i="37"/>
  <c r="P358" i="37"/>
  <c r="P359" i="37"/>
  <c r="P360" i="37"/>
  <c r="P361" i="37"/>
  <c r="P362" i="37"/>
  <c r="P363" i="37"/>
  <c r="P364" i="37"/>
  <c r="P365" i="37"/>
  <c r="P366" i="37"/>
  <c r="P367" i="37"/>
  <c r="P368" i="37"/>
  <c r="P369" i="37"/>
  <c r="P370" i="37"/>
  <c r="P371" i="37"/>
  <c r="P372" i="37"/>
  <c r="P373" i="37"/>
  <c r="P374" i="37"/>
  <c r="P375" i="37"/>
  <c r="P376" i="37"/>
  <c r="P377" i="37"/>
  <c r="P378" i="37"/>
  <c r="P379" i="37"/>
  <c r="P380" i="37"/>
  <c r="P381" i="37"/>
  <c r="P382" i="37"/>
  <c r="P383" i="37"/>
  <c r="P384" i="37"/>
  <c r="P385" i="37"/>
  <c r="P386" i="37"/>
  <c r="P387" i="37"/>
  <c r="P388" i="37"/>
  <c r="P389" i="37"/>
  <c r="P390" i="37"/>
  <c r="P391" i="37"/>
  <c r="P392" i="37"/>
  <c r="P393" i="37"/>
  <c r="P394" i="37"/>
  <c r="P395" i="37"/>
  <c r="P396" i="37"/>
  <c r="P397" i="37"/>
  <c r="P398" i="37"/>
  <c r="P399" i="37"/>
  <c r="P400" i="37"/>
  <c r="P401" i="37"/>
  <c r="P402" i="37"/>
  <c r="P403" i="37"/>
  <c r="P404" i="37"/>
  <c r="P405" i="37"/>
  <c r="P406" i="37"/>
  <c r="P407" i="37"/>
  <c r="P408" i="37"/>
  <c r="P409" i="37"/>
  <c r="P410" i="37"/>
  <c r="P411" i="37"/>
  <c r="P412" i="37"/>
  <c r="P413" i="37"/>
  <c r="P414" i="37"/>
  <c r="P415" i="37"/>
  <c r="P416" i="37"/>
  <c r="P417" i="37"/>
  <c r="P418" i="37"/>
  <c r="P419" i="37"/>
  <c r="P420" i="37"/>
  <c r="P421" i="37"/>
  <c r="P422" i="37"/>
  <c r="P423" i="37"/>
  <c r="P424" i="37"/>
  <c r="P425" i="37"/>
  <c r="P426" i="37"/>
  <c r="P427" i="37"/>
  <c r="P428" i="37"/>
  <c r="P429" i="37"/>
  <c r="P430" i="37"/>
  <c r="P431" i="37"/>
  <c r="P432" i="37"/>
  <c r="P433" i="37"/>
  <c r="P434" i="37"/>
  <c r="P435" i="37"/>
  <c r="P436" i="37"/>
  <c r="P437" i="37"/>
  <c r="P438" i="37"/>
  <c r="P439" i="37"/>
  <c r="P440" i="37"/>
  <c r="P441" i="37"/>
  <c r="P442" i="37"/>
  <c r="P443" i="37"/>
  <c r="P444" i="37"/>
  <c r="P445" i="37"/>
  <c r="P446" i="37"/>
  <c r="P447" i="37"/>
  <c r="P448" i="37"/>
  <c r="P449" i="37"/>
  <c r="P450" i="37"/>
  <c r="P451" i="37"/>
  <c r="P452" i="37"/>
  <c r="P453" i="37"/>
  <c r="P454" i="37"/>
  <c r="P455" i="37"/>
  <c r="P456" i="37"/>
  <c r="P457" i="37"/>
  <c r="P458" i="37"/>
  <c r="P459" i="37"/>
  <c r="P460" i="37"/>
  <c r="P461" i="37"/>
  <c r="P462" i="37"/>
  <c r="P463" i="37"/>
  <c r="P464" i="37"/>
  <c r="P465" i="37"/>
  <c r="P466" i="37"/>
  <c r="P467" i="37"/>
  <c r="P468" i="37"/>
  <c r="P469" i="37"/>
  <c r="P470" i="37"/>
  <c r="P471" i="37"/>
  <c r="P472" i="37"/>
  <c r="P473" i="37"/>
  <c r="P474" i="37"/>
  <c r="P475" i="37"/>
  <c r="P476" i="37"/>
  <c r="P477" i="37"/>
  <c r="P478" i="37"/>
  <c r="P479" i="37"/>
  <c r="P480" i="37"/>
  <c r="P481" i="37"/>
  <c r="P482" i="37"/>
  <c r="P483" i="37"/>
  <c r="P484" i="37"/>
  <c r="P485" i="37"/>
  <c r="P486" i="37"/>
  <c r="P487" i="37"/>
  <c r="P488" i="37"/>
  <c r="P489" i="37"/>
  <c r="P490" i="37"/>
  <c r="P491" i="37"/>
  <c r="P492" i="37"/>
  <c r="P493" i="37"/>
  <c r="P494" i="37"/>
  <c r="P495" i="37"/>
  <c r="P496" i="37"/>
  <c r="P497" i="37"/>
  <c r="P498" i="37"/>
  <c r="P499" i="37"/>
  <c r="P500" i="37"/>
  <c r="P501" i="37"/>
  <c r="P502" i="37"/>
  <c r="P503" i="37"/>
  <c r="P504" i="37"/>
  <c r="P505" i="37"/>
  <c r="P506" i="37"/>
  <c r="P507" i="37"/>
  <c r="P508" i="37"/>
  <c r="P509" i="37"/>
  <c r="P510" i="37"/>
  <c r="P511" i="37"/>
  <c r="P512" i="37"/>
  <c r="P513" i="37"/>
  <c r="P514" i="37"/>
  <c r="P515" i="37"/>
  <c r="P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116" i="37"/>
  <c r="M117" i="37"/>
  <c r="M118" i="37"/>
  <c r="M119" i="37"/>
  <c r="M120" i="37"/>
  <c r="M121" i="37"/>
  <c r="M122" i="37"/>
  <c r="M123" i="37"/>
  <c r="M124" i="37"/>
  <c r="M125" i="37"/>
  <c r="M126" i="37"/>
  <c r="M127" i="37"/>
  <c r="M128" i="37"/>
  <c r="M129" i="37"/>
  <c r="M130" i="37"/>
  <c r="M131" i="37"/>
  <c r="M132" i="37"/>
  <c r="M133" i="37"/>
  <c r="M134" i="37"/>
  <c r="M135" i="37"/>
  <c r="M136" i="37"/>
  <c r="M137" i="37"/>
  <c r="M138" i="37"/>
  <c r="M139" i="37"/>
  <c r="M140" i="37"/>
  <c r="M141" i="37"/>
  <c r="M142" i="37"/>
  <c r="M143" i="37"/>
  <c r="M144" i="37"/>
  <c r="M145" i="37"/>
  <c r="M146" i="37"/>
  <c r="M147" i="37"/>
  <c r="M148" i="37"/>
  <c r="M149" i="37"/>
  <c r="M150" i="37"/>
  <c r="M151" i="37"/>
  <c r="M152" i="37"/>
  <c r="M153" i="37"/>
  <c r="M154" i="37"/>
  <c r="M155" i="37"/>
  <c r="M156" i="37"/>
  <c r="M157" i="37"/>
  <c r="M158" i="37"/>
  <c r="M159" i="37"/>
  <c r="M160" i="37"/>
  <c r="M161" i="37"/>
  <c r="M162" i="37"/>
  <c r="M163" i="37"/>
  <c r="M164" i="37"/>
  <c r="M165" i="37"/>
  <c r="M166" i="37"/>
  <c r="M167" i="37"/>
  <c r="M168" i="37"/>
  <c r="M169" i="37"/>
  <c r="M170" i="37"/>
  <c r="M171" i="37"/>
  <c r="M172" i="37"/>
  <c r="M173" i="37"/>
  <c r="M174" i="37"/>
  <c r="M175" i="37"/>
  <c r="M176" i="37"/>
  <c r="M177" i="37"/>
  <c r="M178" i="37"/>
  <c r="M179" i="37"/>
  <c r="M180" i="37"/>
  <c r="M181" i="37"/>
  <c r="M182" i="37"/>
  <c r="M183" i="37"/>
  <c r="M184" i="37"/>
  <c r="M185" i="37"/>
  <c r="M186" i="37"/>
  <c r="M187" i="37"/>
  <c r="M188" i="37"/>
  <c r="M189" i="37"/>
  <c r="M190" i="37"/>
  <c r="M191" i="37"/>
  <c r="M192" i="37"/>
  <c r="M193" i="37"/>
  <c r="M194" i="37"/>
  <c r="M195" i="37"/>
  <c r="M196" i="37"/>
  <c r="M197" i="37"/>
  <c r="M198" i="37"/>
  <c r="M199" i="37"/>
  <c r="M200" i="37"/>
  <c r="M201" i="37"/>
  <c r="M202" i="37"/>
  <c r="M203" i="37"/>
  <c r="M204" i="37"/>
  <c r="M205" i="37"/>
  <c r="M206" i="37"/>
  <c r="M207" i="37"/>
  <c r="M208" i="37"/>
  <c r="M209" i="37"/>
  <c r="M210" i="37"/>
  <c r="M211" i="37"/>
  <c r="M212" i="37"/>
  <c r="M213" i="37"/>
  <c r="M214" i="37"/>
  <c r="M215" i="37"/>
  <c r="M216" i="37"/>
  <c r="M217" i="37"/>
  <c r="M218" i="37"/>
  <c r="M219" i="37"/>
  <c r="M220" i="37"/>
  <c r="M221" i="37"/>
  <c r="M222" i="37"/>
  <c r="M223" i="37"/>
  <c r="M224" i="37"/>
  <c r="M225" i="37"/>
  <c r="M226" i="37"/>
  <c r="M227" i="37"/>
  <c r="M228" i="37"/>
  <c r="M229" i="37"/>
  <c r="M230" i="37"/>
  <c r="M231" i="37"/>
  <c r="M232" i="37"/>
  <c r="M233" i="37"/>
  <c r="M234" i="37"/>
  <c r="M235" i="37"/>
  <c r="M236" i="37"/>
  <c r="M237" i="37"/>
  <c r="M238" i="37"/>
  <c r="M239" i="37"/>
  <c r="M240" i="37"/>
  <c r="M241" i="37"/>
  <c r="M242" i="37"/>
  <c r="M243" i="37"/>
  <c r="M244" i="37"/>
  <c r="M245" i="37"/>
  <c r="M246" i="37"/>
  <c r="M247" i="37"/>
  <c r="M248" i="37"/>
  <c r="M249" i="37"/>
  <c r="M250" i="37"/>
  <c r="M251" i="37"/>
  <c r="M252" i="37"/>
  <c r="M253" i="37"/>
  <c r="M254" i="37"/>
  <c r="M255" i="37"/>
  <c r="M256" i="37"/>
  <c r="M257" i="37"/>
  <c r="M258" i="37"/>
  <c r="M259" i="37"/>
  <c r="M260" i="37"/>
  <c r="M261" i="37"/>
  <c r="M262" i="37"/>
  <c r="M263" i="37"/>
  <c r="M264" i="37"/>
  <c r="M265" i="37"/>
  <c r="M266" i="37"/>
  <c r="M267" i="37"/>
  <c r="M268" i="37"/>
  <c r="M269" i="37"/>
  <c r="M270" i="37"/>
  <c r="M271" i="37"/>
  <c r="M272" i="37"/>
  <c r="M273" i="37"/>
  <c r="M274" i="37"/>
  <c r="M275" i="37"/>
  <c r="M276" i="37"/>
  <c r="M277" i="37"/>
  <c r="M278" i="37"/>
  <c r="M279" i="37"/>
  <c r="M280" i="37"/>
  <c r="M281" i="37"/>
  <c r="M282" i="37"/>
  <c r="M283" i="37"/>
  <c r="M284" i="37"/>
  <c r="M285" i="37"/>
  <c r="M286" i="37"/>
  <c r="M287" i="37"/>
  <c r="M288" i="37"/>
  <c r="M289" i="37"/>
  <c r="M290" i="37"/>
  <c r="M291" i="37"/>
  <c r="M292" i="37"/>
  <c r="M293" i="37"/>
  <c r="M294" i="37"/>
  <c r="M295" i="37"/>
  <c r="M296" i="37"/>
  <c r="M297" i="37"/>
  <c r="M298" i="37"/>
  <c r="M299" i="37"/>
  <c r="M300" i="37"/>
  <c r="M301" i="37"/>
  <c r="M302" i="37"/>
  <c r="M303" i="37"/>
  <c r="M304" i="37"/>
  <c r="M305" i="37"/>
  <c r="M306" i="37"/>
  <c r="M307" i="37"/>
  <c r="M308" i="37"/>
  <c r="M309" i="37"/>
  <c r="M310" i="37"/>
  <c r="M311" i="37"/>
  <c r="M312" i="37"/>
  <c r="M313" i="37"/>
  <c r="M314" i="37"/>
  <c r="M315" i="37"/>
  <c r="M316" i="37"/>
  <c r="M317" i="37"/>
  <c r="M318" i="37"/>
  <c r="M319" i="37"/>
  <c r="M320" i="37"/>
  <c r="M321" i="37"/>
  <c r="M322" i="37"/>
  <c r="M323" i="37"/>
  <c r="M324" i="37"/>
  <c r="M325" i="37"/>
  <c r="M326" i="37"/>
  <c r="M327" i="37"/>
  <c r="M328" i="37"/>
  <c r="M329" i="37"/>
  <c r="M330" i="37"/>
  <c r="M331" i="37"/>
  <c r="M332" i="37"/>
  <c r="M333" i="37"/>
  <c r="M334" i="37"/>
  <c r="M335" i="37"/>
  <c r="M336" i="37"/>
  <c r="M337" i="37"/>
  <c r="M338" i="37"/>
  <c r="M339" i="37"/>
  <c r="M340" i="37"/>
  <c r="M341" i="37"/>
  <c r="M342" i="37"/>
  <c r="M343" i="37"/>
  <c r="M344" i="37"/>
  <c r="M345" i="37"/>
  <c r="M346" i="37"/>
  <c r="M347" i="37"/>
  <c r="M348" i="37"/>
  <c r="M349" i="37"/>
  <c r="M350" i="37"/>
  <c r="M351" i="37"/>
  <c r="M352" i="37"/>
  <c r="M353" i="37"/>
  <c r="M354" i="37"/>
  <c r="M355" i="37"/>
  <c r="M356" i="37"/>
  <c r="M357" i="37"/>
  <c r="M358" i="37"/>
  <c r="M359" i="37"/>
  <c r="M360" i="37"/>
  <c r="M361" i="37"/>
  <c r="M362" i="37"/>
  <c r="M363" i="37"/>
  <c r="M364" i="37"/>
  <c r="M365" i="37"/>
  <c r="M366" i="37"/>
  <c r="M367" i="37"/>
  <c r="M368" i="37"/>
  <c r="M369" i="37"/>
  <c r="M370" i="37"/>
  <c r="M371" i="37"/>
  <c r="M372" i="37"/>
  <c r="M373" i="37"/>
  <c r="M374" i="37"/>
  <c r="M375" i="37"/>
  <c r="M376" i="37"/>
  <c r="M377" i="37"/>
  <c r="M378" i="37"/>
  <c r="M379" i="37"/>
  <c r="M380" i="37"/>
  <c r="M381" i="37"/>
  <c r="M382" i="37"/>
  <c r="M383" i="37"/>
  <c r="M384" i="37"/>
  <c r="M385" i="37"/>
  <c r="M386" i="37"/>
  <c r="M387" i="37"/>
  <c r="M388" i="37"/>
  <c r="M389" i="37"/>
  <c r="M390" i="37"/>
  <c r="M391" i="37"/>
  <c r="M392" i="37"/>
  <c r="M393" i="37"/>
  <c r="M394" i="37"/>
  <c r="M395" i="37"/>
  <c r="M396" i="37"/>
  <c r="M397" i="37"/>
  <c r="M398" i="37"/>
  <c r="M399" i="37"/>
  <c r="M400" i="37"/>
  <c r="M401" i="37"/>
  <c r="M402" i="37"/>
  <c r="M403" i="37"/>
  <c r="M404" i="37"/>
  <c r="M405" i="37"/>
  <c r="M406" i="37"/>
  <c r="M407" i="37"/>
  <c r="M408" i="37"/>
  <c r="M409" i="37"/>
  <c r="M410" i="37"/>
  <c r="M411" i="37"/>
  <c r="M412" i="37"/>
  <c r="M413" i="37"/>
  <c r="M414" i="37"/>
  <c r="M415" i="37"/>
  <c r="M416" i="37"/>
  <c r="M417" i="37"/>
  <c r="M418" i="37"/>
  <c r="M419" i="37"/>
  <c r="M420" i="37"/>
  <c r="M421" i="37"/>
  <c r="M422" i="37"/>
  <c r="M423" i="37"/>
  <c r="M424" i="37"/>
  <c r="M425" i="37"/>
  <c r="M426" i="37"/>
  <c r="M427" i="37"/>
  <c r="M428" i="37"/>
  <c r="M429" i="37"/>
  <c r="M430" i="37"/>
  <c r="M431" i="37"/>
  <c r="M432" i="37"/>
  <c r="M433" i="37"/>
  <c r="M434" i="37"/>
  <c r="M435" i="37"/>
  <c r="M436" i="37"/>
  <c r="M437" i="37"/>
  <c r="M438" i="37"/>
  <c r="M439" i="37"/>
  <c r="M440" i="37"/>
  <c r="M441" i="37"/>
  <c r="M442" i="37"/>
  <c r="M443" i="37"/>
  <c r="M444" i="37"/>
  <c r="M445" i="37"/>
  <c r="M446" i="37"/>
  <c r="M447" i="37"/>
  <c r="M448" i="37"/>
  <c r="M449" i="37"/>
  <c r="M450" i="37"/>
  <c r="M451" i="37"/>
  <c r="M452" i="37"/>
  <c r="M453" i="37"/>
  <c r="M454" i="37"/>
  <c r="M455" i="37"/>
  <c r="M456" i="37"/>
  <c r="M457" i="37"/>
  <c r="M458" i="37"/>
  <c r="M459" i="37"/>
  <c r="M460" i="37"/>
  <c r="M461" i="37"/>
  <c r="M462" i="37"/>
  <c r="M463" i="37"/>
  <c r="M464" i="37"/>
  <c r="M465" i="37"/>
  <c r="M466" i="37"/>
  <c r="M467" i="37"/>
  <c r="M468" i="37"/>
  <c r="M469" i="37"/>
  <c r="M470" i="37"/>
  <c r="M471" i="37"/>
  <c r="M472" i="37"/>
  <c r="M473" i="37"/>
  <c r="M474" i="37"/>
  <c r="M475" i="37"/>
  <c r="M476" i="37"/>
  <c r="M477" i="37"/>
  <c r="M478" i="37"/>
  <c r="M479" i="37"/>
  <c r="M480" i="37"/>
  <c r="M481" i="37"/>
  <c r="M482" i="37"/>
  <c r="M483" i="37"/>
  <c r="M484" i="37"/>
  <c r="M485" i="37"/>
  <c r="M486" i="37"/>
  <c r="M487" i="37"/>
  <c r="M488" i="37"/>
  <c r="M489" i="37"/>
  <c r="M490" i="37"/>
  <c r="M491" i="37"/>
  <c r="M492" i="37"/>
  <c r="M493" i="37"/>
  <c r="M494" i="37"/>
  <c r="M495" i="37"/>
  <c r="M496" i="37"/>
  <c r="M497" i="37"/>
  <c r="M498" i="37"/>
  <c r="M499" i="37"/>
  <c r="M500" i="37"/>
  <c r="M501" i="37"/>
  <c r="M502" i="37"/>
  <c r="M503" i="37"/>
  <c r="M504" i="37"/>
  <c r="M505" i="37"/>
  <c r="M506" i="37"/>
  <c r="M507" i="37"/>
  <c r="M508" i="37"/>
  <c r="M509" i="37"/>
  <c r="M510" i="37"/>
  <c r="M511" i="37"/>
  <c r="M512" i="37"/>
  <c r="M513" i="37"/>
  <c r="M514" i="37"/>
  <c r="M515" i="37"/>
  <c r="M76" i="37"/>
  <c r="J76" i="37"/>
  <c r="L76" i="37"/>
  <c r="N76" i="37"/>
  <c r="J77" i="37"/>
  <c r="L77" i="37"/>
  <c r="N77" i="37"/>
  <c r="J78" i="37"/>
  <c r="L78" i="37"/>
  <c r="N78" i="37"/>
  <c r="J79" i="37"/>
  <c r="L79" i="37"/>
  <c r="N79" i="37"/>
  <c r="J80" i="37"/>
  <c r="L80" i="37"/>
  <c r="N80" i="37"/>
  <c r="J81" i="37"/>
  <c r="L81" i="37"/>
  <c r="N81" i="37"/>
  <c r="J82" i="37"/>
  <c r="L82" i="37"/>
  <c r="N82" i="37"/>
  <c r="J83" i="37"/>
  <c r="L83" i="37"/>
  <c r="N83" i="37"/>
  <c r="J84" i="37"/>
  <c r="L84" i="37"/>
  <c r="N84" i="37"/>
  <c r="J85" i="37"/>
  <c r="L85" i="37"/>
  <c r="N85" i="37"/>
  <c r="J86" i="37"/>
  <c r="L86" i="37"/>
  <c r="N86" i="37"/>
  <c r="J87" i="37"/>
  <c r="L87" i="37"/>
  <c r="N87" i="37"/>
  <c r="J88" i="37"/>
  <c r="L88" i="37"/>
  <c r="N88" i="37"/>
  <c r="J89" i="37"/>
  <c r="L89" i="37"/>
  <c r="N89" i="37"/>
  <c r="J90" i="37"/>
  <c r="L90" i="37"/>
  <c r="N90" i="37"/>
  <c r="J91" i="37"/>
  <c r="L91" i="37"/>
  <c r="N91" i="37"/>
  <c r="J92" i="37"/>
  <c r="L92" i="37"/>
  <c r="N92" i="37"/>
  <c r="J93" i="37"/>
  <c r="L93" i="37"/>
  <c r="N93" i="37"/>
  <c r="J94" i="37"/>
  <c r="L94" i="37"/>
  <c r="N94" i="37"/>
  <c r="J95" i="37"/>
  <c r="L95" i="37"/>
  <c r="N95" i="37"/>
  <c r="J96" i="37"/>
  <c r="L96" i="37"/>
  <c r="N96" i="37"/>
  <c r="J97" i="37"/>
  <c r="L97" i="37"/>
  <c r="N97" i="37"/>
  <c r="J98" i="37"/>
  <c r="L98" i="37"/>
  <c r="N98" i="37"/>
  <c r="J99" i="37"/>
  <c r="L99" i="37"/>
  <c r="N99" i="37"/>
  <c r="J100" i="37"/>
  <c r="L100" i="37"/>
  <c r="N100" i="37"/>
  <c r="J101" i="37"/>
  <c r="L101" i="37"/>
  <c r="N101" i="37"/>
  <c r="J102" i="37"/>
  <c r="L102" i="37"/>
  <c r="N102" i="37"/>
  <c r="J103" i="37"/>
  <c r="L103" i="37"/>
  <c r="N103" i="37"/>
  <c r="J104" i="37"/>
  <c r="L104" i="37"/>
  <c r="N104" i="37"/>
  <c r="J105" i="37"/>
  <c r="L105" i="37"/>
  <c r="N105" i="37"/>
  <c r="J106" i="37"/>
  <c r="L106" i="37"/>
  <c r="N106" i="37"/>
  <c r="J107" i="37"/>
  <c r="L107" i="37"/>
  <c r="N107" i="37"/>
  <c r="J108" i="37"/>
  <c r="L108" i="37"/>
  <c r="N108" i="37"/>
  <c r="J109" i="37"/>
  <c r="L109" i="37"/>
  <c r="N109" i="37"/>
  <c r="J110" i="37"/>
  <c r="L110" i="37"/>
  <c r="N110" i="37"/>
  <c r="J111" i="37"/>
  <c r="L111" i="37"/>
  <c r="N111" i="37"/>
  <c r="J112" i="37"/>
  <c r="L112" i="37"/>
  <c r="N112" i="37"/>
  <c r="J113" i="37"/>
  <c r="L113" i="37"/>
  <c r="N113" i="37"/>
  <c r="J114" i="37"/>
  <c r="L114" i="37"/>
  <c r="N114" i="37"/>
  <c r="J115" i="37"/>
  <c r="L115" i="37"/>
  <c r="N115" i="37"/>
  <c r="J116" i="37"/>
  <c r="L116" i="37"/>
  <c r="N116" i="37"/>
  <c r="J117" i="37"/>
  <c r="L117" i="37"/>
  <c r="N117" i="37"/>
  <c r="J118" i="37"/>
  <c r="L118" i="37"/>
  <c r="N118" i="37"/>
  <c r="J119" i="37"/>
  <c r="L119" i="37"/>
  <c r="N119" i="37"/>
  <c r="J120" i="37"/>
  <c r="L120" i="37"/>
  <c r="N120" i="37"/>
  <c r="J121" i="37"/>
  <c r="L121" i="37"/>
  <c r="N121" i="37"/>
  <c r="J122" i="37"/>
  <c r="L122" i="37"/>
  <c r="N122" i="37"/>
  <c r="J123" i="37"/>
  <c r="L123" i="37"/>
  <c r="N123" i="37"/>
  <c r="J124" i="37"/>
  <c r="L124" i="37"/>
  <c r="N124" i="37"/>
  <c r="J125" i="37"/>
  <c r="L125" i="37"/>
  <c r="N125" i="37"/>
  <c r="J126" i="37"/>
  <c r="L126" i="37"/>
  <c r="N126" i="37"/>
  <c r="J127" i="37"/>
  <c r="L127" i="37"/>
  <c r="N127" i="37"/>
  <c r="J128" i="37"/>
  <c r="L128" i="37"/>
  <c r="N128" i="37"/>
  <c r="J129" i="37"/>
  <c r="L129" i="37"/>
  <c r="N129" i="37"/>
  <c r="J130" i="37"/>
  <c r="L130" i="37"/>
  <c r="N130" i="37"/>
  <c r="J131" i="37"/>
  <c r="L131" i="37"/>
  <c r="N131" i="37"/>
  <c r="J132" i="37"/>
  <c r="L132" i="37"/>
  <c r="N132" i="37"/>
  <c r="J133" i="37"/>
  <c r="L133" i="37"/>
  <c r="N133" i="37"/>
  <c r="J134" i="37"/>
  <c r="L134" i="37"/>
  <c r="N134" i="37"/>
  <c r="J135" i="37"/>
  <c r="L135" i="37"/>
  <c r="N135" i="37"/>
  <c r="J136" i="37"/>
  <c r="L136" i="37"/>
  <c r="N136" i="37"/>
  <c r="J137" i="37"/>
  <c r="L137" i="37"/>
  <c r="N137" i="37"/>
  <c r="J138" i="37"/>
  <c r="L138" i="37"/>
  <c r="N138" i="37"/>
  <c r="J139" i="37"/>
  <c r="L139" i="37"/>
  <c r="N139" i="37"/>
  <c r="J140" i="37"/>
  <c r="L140" i="37"/>
  <c r="N140" i="37"/>
  <c r="J141" i="37"/>
  <c r="L141" i="37"/>
  <c r="N141" i="37"/>
  <c r="J142" i="37"/>
  <c r="L142" i="37"/>
  <c r="N142" i="37"/>
  <c r="J143" i="37"/>
  <c r="L143" i="37"/>
  <c r="N143" i="37"/>
  <c r="J144" i="37"/>
  <c r="L144" i="37"/>
  <c r="N144" i="37"/>
  <c r="J145" i="37"/>
  <c r="L145" i="37"/>
  <c r="N145" i="37"/>
  <c r="J146" i="37"/>
  <c r="L146" i="37"/>
  <c r="N146" i="37"/>
  <c r="J147" i="37"/>
  <c r="L147" i="37"/>
  <c r="N147" i="37"/>
  <c r="J148" i="37"/>
  <c r="L148" i="37"/>
  <c r="N148" i="37"/>
  <c r="J149" i="37"/>
  <c r="L149" i="37"/>
  <c r="N149" i="37"/>
  <c r="J150" i="37"/>
  <c r="L150" i="37"/>
  <c r="N150" i="37"/>
  <c r="J151" i="37"/>
  <c r="L151" i="37"/>
  <c r="N151" i="37"/>
  <c r="J152" i="37"/>
  <c r="L152" i="37"/>
  <c r="N152" i="37"/>
  <c r="J153" i="37"/>
  <c r="L153" i="37"/>
  <c r="N153" i="37"/>
  <c r="J154" i="37"/>
  <c r="L154" i="37"/>
  <c r="N154" i="37"/>
  <c r="J155" i="37"/>
  <c r="L155" i="37"/>
  <c r="N155" i="37"/>
  <c r="J156" i="37"/>
  <c r="L156" i="37"/>
  <c r="N156" i="37"/>
  <c r="J157" i="37"/>
  <c r="L157" i="37"/>
  <c r="N157" i="37"/>
  <c r="J158" i="37"/>
  <c r="L158" i="37"/>
  <c r="N158" i="37"/>
  <c r="J159" i="37"/>
  <c r="L159" i="37"/>
  <c r="N159" i="37"/>
  <c r="J160" i="37"/>
  <c r="L160" i="37"/>
  <c r="N160" i="37"/>
  <c r="J161" i="37"/>
  <c r="L161" i="37"/>
  <c r="N161" i="37"/>
  <c r="J162" i="37"/>
  <c r="L162" i="37"/>
  <c r="N162" i="37"/>
  <c r="J163" i="37"/>
  <c r="L163" i="37"/>
  <c r="N163" i="37"/>
  <c r="J164" i="37"/>
  <c r="L164" i="37"/>
  <c r="N164" i="37"/>
  <c r="J165" i="37"/>
  <c r="L165" i="37"/>
  <c r="N165" i="37"/>
  <c r="J166" i="37"/>
  <c r="L166" i="37"/>
  <c r="N166" i="37"/>
  <c r="J167" i="37"/>
  <c r="L167" i="37"/>
  <c r="N167" i="37"/>
  <c r="J168" i="37"/>
  <c r="L168" i="37"/>
  <c r="N168" i="37"/>
  <c r="J169" i="37"/>
  <c r="L169" i="37"/>
  <c r="N169" i="37"/>
  <c r="J170" i="37"/>
  <c r="L170" i="37"/>
  <c r="N170" i="37"/>
  <c r="J171" i="37"/>
  <c r="L171" i="37"/>
  <c r="N171" i="37"/>
  <c r="J172" i="37"/>
  <c r="L172" i="37"/>
  <c r="N172" i="37"/>
  <c r="J173" i="37"/>
  <c r="L173" i="37"/>
  <c r="N173" i="37"/>
  <c r="J174" i="37"/>
  <c r="L174" i="37"/>
  <c r="N174" i="37"/>
  <c r="J175" i="37"/>
  <c r="L175" i="37"/>
  <c r="N175" i="37"/>
  <c r="J176" i="37"/>
  <c r="L176" i="37"/>
  <c r="N176" i="37"/>
  <c r="J177" i="37"/>
  <c r="L177" i="37"/>
  <c r="N177" i="37"/>
  <c r="J178" i="37"/>
  <c r="L178" i="37"/>
  <c r="N178" i="37"/>
  <c r="J179" i="37"/>
  <c r="L179" i="37"/>
  <c r="N179" i="37"/>
  <c r="J180" i="37"/>
  <c r="L180" i="37"/>
  <c r="N180" i="37"/>
  <c r="J181" i="37"/>
  <c r="L181" i="37"/>
  <c r="N181" i="37"/>
  <c r="J182" i="37"/>
  <c r="L182" i="37"/>
  <c r="N182" i="37"/>
  <c r="J183" i="37"/>
  <c r="L183" i="37"/>
  <c r="N183" i="37"/>
  <c r="J184" i="37"/>
  <c r="L184" i="37"/>
  <c r="N184" i="37"/>
  <c r="J185" i="37"/>
  <c r="L185" i="37"/>
  <c r="N185" i="37"/>
  <c r="J186" i="37"/>
  <c r="L186" i="37"/>
  <c r="N186" i="37"/>
  <c r="J187" i="37"/>
  <c r="L187" i="37"/>
  <c r="N187" i="37"/>
  <c r="J188" i="37"/>
  <c r="L188" i="37"/>
  <c r="N188" i="37"/>
  <c r="J189" i="37"/>
  <c r="L189" i="37"/>
  <c r="N189" i="37"/>
  <c r="J190" i="37"/>
  <c r="L190" i="37"/>
  <c r="N190" i="37"/>
  <c r="J191" i="37"/>
  <c r="L191" i="37"/>
  <c r="N191" i="37"/>
  <c r="J192" i="37"/>
  <c r="L192" i="37"/>
  <c r="N192" i="37"/>
  <c r="J193" i="37"/>
  <c r="L193" i="37"/>
  <c r="N193" i="37"/>
  <c r="J194" i="37"/>
  <c r="L194" i="37"/>
  <c r="N194" i="37"/>
  <c r="J195" i="37"/>
  <c r="L195" i="37"/>
  <c r="N195" i="37"/>
  <c r="J196" i="37"/>
  <c r="L196" i="37"/>
  <c r="N196" i="37"/>
  <c r="J197" i="37"/>
  <c r="L197" i="37"/>
  <c r="N197" i="37"/>
  <c r="J198" i="37"/>
  <c r="L198" i="37"/>
  <c r="N198" i="37"/>
  <c r="J199" i="37"/>
  <c r="L199" i="37"/>
  <c r="N199" i="37"/>
  <c r="J200" i="37"/>
  <c r="L200" i="37"/>
  <c r="N200" i="37"/>
  <c r="J201" i="37"/>
  <c r="L201" i="37"/>
  <c r="N201" i="37"/>
  <c r="J202" i="37"/>
  <c r="L202" i="37"/>
  <c r="N202" i="37"/>
  <c r="J203" i="37"/>
  <c r="L203" i="37"/>
  <c r="N203" i="37"/>
  <c r="J204" i="37"/>
  <c r="L204" i="37"/>
  <c r="N204" i="37"/>
  <c r="J205" i="37"/>
  <c r="L205" i="37"/>
  <c r="N205" i="37"/>
  <c r="J206" i="37"/>
  <c r="L206" i="37"/>
  <c r="N206" i="37"/>
  <c r="J207" i="37"/>
  <c r="L207" i="37"/>
  <c r="N207" i="37"/>
  <c r="J208" i="37"/>
  <c r="L208" i="37"/>
  <c r="N208" i="37"/>
  <c r="J209" i="37"/>
  <c r="L209" i="37"/>
  <c r="N209" i="37"/>
  <c r="J210" i="37"/>
  <c r="L210" i="37"/>
  <c r="N210" i="37"/>
  <c r="J211" i="37"/>
  <c r="L211" i="37"/>
  <c r="N211" i="37"/>
  <c r="J212" i="37"/>
  <c r="L212" i="37"/>
  <c r="N212" i="37"/>
  <c r="J213" i="37"/>
  <c r="L213" i="37"/>
  <c r="N213" i="37"/>
  <c r="J214" i="37"/>
  <c r="L214" i="37"/>
  <c r="N214" i="37"/>
  <c r="J215" i="37"/>
  <c r="L215" i="37"/>
  <c r="N215" i="37"/>
  <c r="J216" i="37"/>
  <c r="L216" i="37"/>
  <c r="N216" i="37"/>
  <c r="J217" i="37"/>
  <c r="L217" i="37"/>
  <c r="N217" i="37"/>
  <c r="J218" i="37"/>
  <c r="L218" i="37"/>
  <c r="N218" i="37"/>
  <c r="J219" i="37"/>
  <c r="L219" i="37"/>
  <c r="N219" i="37"/>
  <c r="J220" i="37"/>
  <c r="L220" i="37"/>
  <c r="N220" i="37"/>
  <c r="J221" i="37"/>
  <c r="L221" i="37"/>
  <c r="N221" i="37"/>
  <c r="J222" i="37"/>
  <c r="L222" i="37"/>
  <c r="N222" i="37"/>
  <c r="J223" i="37"/>
  <c r="L223" i="37"/>
  <c r="N223" i="37"/>
  <c r="J224" i="37"/>
  <c r="L224" i="37"/>
  <c r="N224" i="37"/>
  <c r="J225" i="37"/>
  <c r="L225" i="37"/>
  <c r="N225" i="37"/>
  <c r="J226" i="37"/>
  <c r="L226" i="37"/>
  <c r="N226" i="37"/>
  <c r="J227" i="37"/>
  <c r="L227" i="37"/>
  <c r="N227" i="37"/>
  <c r="J228" i="37"/>
  <c r="L228" i="37"/>
  <c r="N228" i="37"/>
  <c r="J229" i="37"/>
  <c r="L229" i="37"/>
  <c r="N229" i="37"/>
  <c r="J230" i="37"/>
  <c r="L230" i="37"/>
  <c r="N230" i="37"/>
  <c r="J231" i="37"/>
  <c r="L231" i="37"/>
  <c r="N231" i="37"/>
  <c r="J232" i="37"/>
  <c r="L232" i="37"/>
  <c r="N232" i="37"/>
  <c r="J233" i="37"/>
  <c r="L233" i="37"/>
  <c r="N233" i="37"/>
  <c r="J234" i="37"/>
  <c r="L234" i="37"/>
  <c r="N234" i="37"/>
  <c r="J235" i="37"/>
  <c r="L235" i="37"/>
  <c r="N235" i="37"/>
  <c r="J236" i="37"/>
  <c r="L236" i="37"/>
  <c r="N236" i="37"/>
  <c r="J237" i="37"/>
  <c r="L237" i="37"/>
  <c r="N237" i="37"/>
  <c r="J238" i="37"/>
  <c r="L238" i="37"/>
  <c r="N238" i="37"/>
  <c r="J239" i="37"/>
  <c r="L239" i="37"/>
  <c r="N239" i="37"/>
  <c r="J240" i="37"/>
  <c r="L240" i="37"/>
  <c r="N240" i="37"/>
  <c r="J241" i="37"/>
  <c r="L241" i="37"/>
  <c r="N241" i="37"/>
  <c r="J242" i="37"/>
  <c r="L242" i="37"/>
  <c r="N242" i="37"/>
  <c r="J243" i="37"/>
  <c r="L243" i="37"/>
  <c r="N243" i="37"/>
  <c r="J244" i="37"/>
  <c r="L244" i="37"/>
  <c r="N244" i="37"/>
  <c r="J245" i="37"/>
  <c r="L245" i="37"/>
  <c r="N245" i="37"/>
  <c r="J246" i="37"/>
  <c r="L246" i="37"/>
  <c r="N246" i="37"/>
  <c r="J247" i="37"/>
  <c r="L247" i="37"/>
  <c r="N247" i="37"/>
  <c r="J248" i="37"/>
  <c r="L248" i="37"/>
  <c r="N248" i="37"/>
  <c r="J249" i="37"/>
  <c r="L249" i="37"/>
  <c r="N249" i="37"/>
  <c r="J250" i="37"/>
  <c r="L250" i="37"/>
  <c r="N250" i="37"/>
  <c r="J251" i="37"/>
  <c r="L251" i="37"/>
  <c r="N251" i="37"/>
  <c r="J252" i="37"/>
  <c r="L252" i="37"/>
  <c r="N252" i="37"/>
  <c r="J253" i="37"/>
  <c r="L253" i="37"/>
  <c r="N253" i="37"/>
  <c r="J254" i="37"/>
  <c r="L254" i="37"/>
  <c r="N254" i="37"/>
  <c r="J255" i="37"/>
  <c r="L255" i="37"/>
  <c r="N255" i="37"/>
  <c r="J256" i="37"/>
  <c r="L256" i="37"/>
  <c r="N256" i="37"/>
  <c r="J257" i="37"/>
  <c r="L257" i="37"/>
  <c r="N257" i="37"/>
  <c r="J258" i="37"/>
  <c r="L258" i="37"/>
  <c r="N258" i="37"/>
  <c r="J259" i="37"/>
  <c r="L259" i="37"/>
  <c r="N259" i="37"/>
  <c r="J260" i="37"/>
  <c r="L260" i="37"/>
  <c r="N260" i="37"/>
  <c r="J261" i="37"/>
  <c r="L261" i="37"/>
  <c r="N261" i="37"/>
  <c r="J262" i="37"/>
  <c r="L262" i="37"/>
  <c r="N262" i="37"/>
  <c r="J263" i="37"/>
  <c r="L263" i="37"/>
  <c r="N263" i="37"/>
  <c r="J264" i="37"/>
  <c r="L264" i="37"/>
  <c r="N264" i="37"/>
  <c r="J265" i="37"/>
  <c r="L265" i="37"/>
  <c r="N265" i="37"/>
  <c r="J266" i="37"/>
  <c r="L266" i="37"/>
  <c r="N266" i="37"/>
  <c r="J267" i="37"/>
  <c r="L267" i="37"/>
  <c r="N267" i="37"/>
  <c r="J268" i="37"/>
  <c r="L268" i="37"/>
  <c r="N268" i="37"/>
  <c r="J269" i="37"/>
  <c r="L269" i="37"/>
  <c r="N269" i="37"/>
  <c r="J270" i="37"/>
  <c r="L270" i="37"/>
  <c r="N270" i="37"/>
  <c r="J271" i="37"/>
  <c r="L271" i="37"/>
  <c r="N271" i="37"/>
  <c r="J272" i="37"/>
  <c r="L272" i="37"/>
  <c r="N272" i="37"/>
  <c r="J273" i="37"/>
  <c r="L273" i="37"/>
  <c r="N273" i="37"/>
  <c r="J274" i="37"/>
  <c r="L274" i="37"/>
  <c r="N274" i="37"/>
  <c r="J275" i="37"/>
  <c r="L275" i="37"/>
  <c r="N275" i="37"/>
  <c r="J276" i="37"/>
  <c r="L276" i="37"/>
  <c r="N276" i="37"/>
  <c r="J277" i="37"/>
  <c r="L277" i="37"/>
  <c r="N277" i="37"/>
  <c r="J278" i="37"/>
  <c r="L278" i="37"/>
  <c r="N278" i="37"/>
  <c r="J279" i="37"/>
  <c r="L279" i="37"/>
  <c r="N279" i="37"/>
  <c r="J280" i="37"/>
  <c r="L280" i="37"/>
  <c r="N280" i="37"/>
  <c r="J281" i="37"/>
  <c r="L281" i="37"/>
  <c r="N281" i="37"/>
  <c r="J282" i="37"/>
  <c r="L282" i="37"/>
  <c r="N282" i="37"/>
  <c r="J283" i="37"/>
  <c r="L283" i="37"/>
  <c r="N283" i="37"/>
  <c r="J284" i="37"/>
  <c r="L284" i="37"/>
  <c r="N284" i="37"/>
  <c r="J285" i="37"/>
  <c r="L285" i="37"/>
  <c r="N285" i="37"/>
  <c r="J286" i="37"/>
  <c r="L286" i="37"/>
  <c r="N286" i="37"/>
  <c r="J287" i="37"/>
  <c r="L287" i="37"/>
  <c r="N287" i="37"/>
  <c r="J288" i="37"/>
  <c r="L288" i="37"/>
  <c r="N288" i="37"/>
  <c r="J289" i="37"/>
  <c r="L289" i="37"/>
  <c r="N289" i="37"/>
  <c r="J290" i="37"/>
  <c r="L290" i="37"/>
  <c r="N290" i="37"/>
  <c r="J291" i="37"/>
  <c r="L291" i="37"/>
  <c r="N291" i="37"/>
  <c r="J292" i="37"/>
  <c r="L292" i="37"/>
  <c r="N292" i="37"/>
  <c r="J293" i="37"/>
  <c r="L293" i="37"/>
  <c r="N293" i="37"/>
  <c r="J294" i="37"/>
  <c r="L294" i="37"/>
  <c r="N294" i="37"/>
  <c r="J295" i="37"/>
  <c r="L295" i="37"/>
  <c r="N295" i="37"/>
  <c r="J296" i="37"/>
  <c r="L296" i="37"/>
  <c r="N296" i="37"/>
  <c r="J297" i="37"/>
  <c r="L297" i="37"/>
  <c r="N297" i="37"/>
  <c r="J298" i="37"/>
  <c r="L298" i="37"/>
  <c r="N298" i="37"/>
  <c r="J299" i="37"/>
  <c r="L299" i="37"/>
  <c r="N299" i="37"/>
  <c r="J300" i="37"/>
  <c r="L300" i="37"/>
  <c r="N300" i="37"/>
  <c r="J301" i="37"/>
  <c r="L301" i="37"/>
  <c r="N301" i="37"/>
  <c r="J302" i="37"/>
  <c r="L302" i="37"/>
  <c r="N302" i="37"/>
  <c r="J303" i="37"/>
  <c r="L303" i="37"/>
  <c r="N303" i="37"/>
  <c r="J304" i="37"/>
  <c r="L304" i="37"/>
  <c r="N304" i="37"/>
  <c r="J305" i="37"/>
  <c r="L305" i="37"/>
  <c r="N305" i="37"/>
  <c r="J306" i="37"/>
  <c r="L306" i="37"/>
  <c r="N306" i="37"/>
  <c r="J307" i="37"/>
  <c r="L307" i="37"/>
  <c r="N307" i="37"/>
  <c r="J308" i="37"/>
  <c r="L308" i="37"/>
  <c r="N308" i="37"/>
  <c r="J309" i="37"/>
  <c r="L309" i="37"/>
  <c r="N309" i="37"/>
  <c r="J310" i="37"/>
  <c r="L310" i="37"/>
  <c r="N310" i="37"/>
  <c r="J311" i="37"/>
  <c r="L311" i="37"/>
  <c r="N311" i="37"/>
  <c r="J312" i="37"/>
  <c r="L312" i="37"/>
  <c r="N312" i="37"/>
  <c r="J313" i="37"/>
  <c r="L313" i="37"/>
  <c r="N313" i="37"/>
  <c r="J314" i="37"/>
  <c r="L314" i="37"/>
  <c r="N314" i="37"/>
  <c r="J315" i="37"/>
  <c r="L315" i="37"/>
  <c r="N315" i="37"/>
  <c r="J316" i="37"/>
  <c r="L316" i="37"/>
  <c r="N316" i="37"/>
  <c r="J317" i="37"/>
  <c r="L317" i="37"/>
  <c r="N317" i="37"/>
  <c r="J318" i="37"/>
  <c r="L318" i="37"/>
  <c r="N318" i="37"/>
  <c r="J319" i="37"/>
  <c r="L319" i="37"/>
  <c r="N319" i="37"/>
  <c r="J320" i="37"/>
  <c r="L320" i="37"/>
  <c r="N320" i="37"/>
  <c r="J321" i="37"/>
  <c r="L321" i="37"/>
  <c r="N321" i="37"/>
  <c r="J322" i="37"/>
  <c r="L322" i="37"/>
  <c r="N322" i="37"/>
  <c r="J323" i="37"/>
  <c r="L323" i="37"/>
  <c r="N323" i="37"/>
  <c r="J324" i="37"/>
  <c r="L324" i="37"/>
  <c r="N324" i="37"/>
  <c r="J325" i="37"/>
  <c r="L325" i="37"/>
  <c r="N325" i="37"/>
  <c r="J326" i="37"/>
  <c r="L326" i="37"/>
  <c r="N326" i="37"/>
  <c r="J327" i="37"/>
  <c r="L327" i="37"/>
  <c r="N327" i="37"/>
  <c r="J328" i="37"/>
  <c r="L328" i="37"/>
  <c r="N328" i="37"/>
  <c r="J329" i="37"/>
  <c r="L329" i="37"/>
  <c r="N329" i="37"/>
  <c r="J330" i="37"/>
  <c r="L330" i="37"/>
  <c r="N330" i="37"/>
  <c r="J331" i="37"/>
  <c r="L331" i="37"/>
  <c r="N331" i="37"/>
  <c r="J332" i="37"/>
  <c r="L332" i="37"/>
  <c r="N332" i="37"/>
  <c r="J333" i="37"/>
  <c r="L333" i="37"/>
  <c r="N333" i="37"/>
  <c r="J334" i="37"/>
  <c r="L334" i="37"/>
  <c r="N334" i="37"/>
  <c r="J335" i="37"/>
  <c r="L335" i="37"/>
  <c r="N335" i="37"/>
  <c r="J336" i="37"/>
  <c r="L336" i="37"/>
  <c r="N336" i="37"/>
  <c r="J337" i="37"/>
  <c r="L337" i="37"/>
  <c r="N337" i="37"/>
  <c r="J338" i="37"/>
  <c r="L338" i="37"/>
  <c r="N338" i="37"/>
  <c r="J339" i="37"/>
  <c r="L339" i="37"/>
  <c r="N339" i="37"/>
  <c r="J340" i="37"/>
  <c r="L340" i="37"/>
  <c r="N340" i="37"/>
  <c r="J341" i="37"/>
  <c r="L341" i="37"/>
  <c r="N341" i="37"/>
  <c r="J342" i="37"/>
  <c r="L342" i="37"/>
  <c r="N342" i="37"/>
  <c r="J343" i="37"/>
  <c r="L343" i="37"/>
  <c r="N343" i="37"/>
  <c r="J344" i="37"/>
  <c r="L344" i="37"/>
  <c r="N344" i="37"/>
  <c r="J345" i="37"/>
  <c r="L345" i="37"/>
  <c r="N345" i="37"/>
  <c r="J346" i="37"/>
  <c r="L346" i="37"/>
  <c r="N346" i="37"/>
  <c r="J347" i="37"/>
  <c r="L347" i="37"/>
  <c r="N347" i="37"/>
  <c r="J348" i="37"/>
  <c r="L348" i="37"/>
  <c r="N348" i="37"/>
  <c r="J349" i="37"/>
  <c r="L349" i="37"/>
  <c r="N349" i="37"/>
  <c r="J350" i="37"/>
  <c r="L350" i="37"/>
  <c r="N350" i="37"/>
  <c r="J351" i="37"/>
  <c r="L351" i="37"/>
  <c r="N351" i="37"/>
  <c r="J352" i="37"/>
  <c r="L352" i="37"/>
  <c r="N352" i="37"/>
  <c r="J353" i="37"/>
  <c r="L353" i="37"/>
  <c r="N353" i="37"/>
  <c r="J354" i="37"/>
  <c r="L354" i="37"/>
  <c r="N354" i="37"/>
  <c r="J355" i="37"/>
  <c r="L355" i="37"/>
  <c r="N355" i="37"/>
  <c r="J356" i="37"/>
  <c r="L356" i="37"/>
  <c r="N356" i="37"/>
  <c r="J357" i="37"/>
  <c r="L357" i="37"/>
  <c r="N357" i="37"/>
  <c r="J358" i="37"/>
  <c r="L358" i="37"/>
  <c r="N358" i="37"/>
  <c r="J359" i="37"/>
  <c r="L359" i="37"/>
  <c r="N359" i="37"/>
  <c r="J360" i="37"/>
  <c r="L360" i="37"/>
  <c r="N360" i="37"/>
  <c r="J361" i="37"/>
  <c r="L361" i="37"/>
  <c r="N361" i="37"/>
  <c r="J362" i="37"/>
  <c r="L362" i="37"/>
  <c r="N362" i="37"/>
  <c r="J363" i="37"/>
  <c r="L363" i="37"/>
  <c r="N363" i="37"/>
  <c r="J364" i="37"/>
  <c r="L364" i="37"/>
  <c r="N364" i="37"/>
  <c r="J365" i="37"/>
  <c r="L365" i="37"/>
  <c r="N365" i="37"/>
  <c r="J366" i="37"/>
  <c r="L366" i="37"/>
  <c r="N366" i="37"/>
  <c r="J367" i="37"/>
  <c r="L367" i="37"/>
  <c r="N367" i="37"/>
  <c r="J368" i="37"/>
  <c r="L368" i="37"/>
  <c r="N368" i="37"/>
  <c r="J369" i="37"/>
  <c r="L369" i="37"/>
  <c r="N369" i="37"/>
  <c r="J370" i="37"/>
  <c r="L370" i="37"/>
  <c r="N370" i="37"/>
  <c r="J371" i="37"/>
  <c r="L371" i="37"/>
  <c r="N371" i="37"/>
  <c r="J372" i="37"/>
  <c r="L372" i="37"/>
  <c r="N372" i="37"/>
  <c r="J373" i="37"/>
  <c r="L373" i="37"/>
  <c r="N373" i="37"/>
  <c r="J374" i="37"/>
  <c r="L374" i="37"/>
  <c r="N374" i="37"/>
  <c r="J375" i="37"/>
  <c r="L375" i="37"/>
  <c r="N375" i="37"/>
  <c r="J376" i="37"/>
  <c r="L376" i="37"/>
  <c r="N376" i="37"/>
  <c r="J377" i="37"/>
  <c r="L377" i="37"/>
  <c r="N377" i="37"/>
  <c r="J378" i="37"/>
  <c r="L378" i="37"/>
  <c r="N378" i="37"/>
  <c r="J379" i="37"/>
  <c r="L379" i="37"/>
  <c r="N379" i="37"/>
  <c r="J380" i="37"/>
  <c r="L380" i="37"/>
  <c r="N380" i="37"/>
  <c r="J381" i="37"/>
  <c r="L381" i="37"/>
  <c r="N381" i="37"/>
  <c r="J382" i="37"/>
  <c r="L382" i="37"/>
  <c r="N382" i="37"/>
  <c r="J383" i="37"/>
  <c r="L383" i="37"/>
  <c r="N383" i="37"/>
  <c r="J384" i="37"/>
  <c r="L384" i="37"/>
  <c r="N384" i="37"/>
  <c r="J385" i="37"/>
  <c r="L385" i="37"/>
  <c r="N385" i="37"/>
  <c r="J386" i="37"/>
  <c r="L386" i="37"/>
  <c r="N386" i="37"/>
  <c r="J387" i="37"/>
  <c r="L387" i="37"/>
  <c r="N387" i="37"/>
  <c r="J388" i="37"/>
  <c r="L388" i="37"/>
  <c r="N388" i="37"/>
  <c r="J389" i="37"/>
  <c r="L389" i="37"/>
  <c r="N389" i="37"/>
  <c r="J390" i="37"/>
  <c r="L390" i="37"/>
  <c r="N390" i="37"/>
  <c r="J391" i="37"/>
  <c r="L391" i="37"/>
  <c r="N391" i="37"/>
  <c r="J392" i="37"/>
  <c r="L392" i="37"/>
  <c r="N392" i="37"/>
  <c r="J393" i="37"/>
  <c r="L393" i="37"/>
  <c r="N393" i="37"/>
  <c r="J394" i="37"/>
  <c r="L394" i="37"/>
  <c r="N394" i="37"/>
  <c r="J395" i="37"/>
  <c r="L395" i="37"/>
  <c r="N395" i="37"/>
  <c r="J396" i="37"/>
  <c r="L396" i="37"/>
  <c r="N396" i="37"/>
  <c r="J397" i="37"/>
  <c r="L397" i="37"/>
  <c r="N397" i="37"/>
  <c r="J398" i="37"/>
  <c r="L398" i="37"/>
  <c r="N398" i="37"/>
  <c r="J399" i="37"/>
  <c r="L399" i="37"/>
  <c r="N399" i="37"/>
  <c r="J400" i="37"/>
  <c r="L400" i="37"/>
  <c r="N400" i="37"/>
  <c r="J401" i="37"/>
  <c r="L401" i="37"/>
  <c r="N401" i="37"/>
  <c r="J402" i="37"/>
  <c r="L402" i="37"/>
  <c r="N402" i="37"/>
  <c r="J403" i="37"/>
  <c r="L403" i="37"/>
  <c r="N403" i="37"/>
  <c r="J404" i="37"/>
  <c r="L404" i="37"/>
  <c r="N404" i="37"/>
  <c r="J405" i="37"/>
  <c r="L405" i="37"/>
  <c r="N405" i="37"/>
  <c r="J406" i="37"/>
  <c r="L406" i="37"/>
  <c r="N406" i="37"/>
  <c r="J407" i="37"/>
  <c r="L407" i="37"/>
  <c r="N407" i="37"/>
  <c r="J408" i="37"/>
  <c r="L408" i="37"/>
  <c r="N408" i="37"/>
  <c r="J409" i="37"/>
  <c r="L409" i="37"/>
  <c r="N409" i="37"/>
  <c r="J410" i="37"/>
  <c r="L410" i="37"/>
  <c r="N410" i="37"/>
  <c r="J411" i="37"/>
  <c r="L411" i="37"/>
  <c r="N411" i="37"/>
  <c r="J412" i="37"/>
  <c r="L412" i="37"/>
  <c r="N412" i="37"/>
  <c r="J413" i="37"/>
  <c r="L413" i="37"/>
  <c r="N413" i="37"/>
  <c r="J414" i="37"/>
  <c r="L414" i="37"/>
  <c r="N414" i="37"/>
  <c r="J415" i="37"/>
  <c r="L415" i="37"/>
  <c r="N415" i="37"/>
  <c r="J416" i="37"/>
  <c r="L416" i="37"/>
  <c r="N416" i="37"/>
  <c r="J417" i="37"/>
  <c r="L417" i="37"/>
  <c r="N417" i="37"/>
  <c r="J418" i="37"/>
  <c r="L418" i="37"/>
  <c r="N418" i="37"/>
  <c r="J419" i="37"/>
  <c r="L419" i="37"/>
  <c r="N419" i="37"/>
  <c r="J420" i="37"/>
  <c r="L420" i="37"/>
  <c r="N420" i="37"/>
  <c r="J421" i="37"/>
  <c r="L421" i="37"/>
  <c r="N421" i="37"/>
  <c r="J422" i="37"/>
  <c r="L422" i="37"/>
  <c r="N422" i="37"/>
  <c r="J423" i="37"/>
  <c r="L423" i="37"/>
  <c r="N423" i="37"/>
  <c r="J424" i="37"/>
  <c r="L424" i="37"/>
  <c r="N424" i="37"/>
  <c r="J425" i="37"/>
  <c r="L425" i="37"/>
  <c r="N425" i="37"/>
  <c r="J426" i="37"/>
  <c r="L426" i="37"/>
  <c r="N426" i="37"/>
  <c r="J427" i="37"/>
  <c r="L427" i="37"/>
  <c r="N427" i="37"/>
  <c r="J428" i="37"/>
  <c r="L428" i="37"/>
  <c r="N428" i="37"/>
  <c r="J429" i="37"/>
  <c r="L429" i="37"/>
  <c r="N429" i="37"/>
  <c r="J430" i="37"/>
  <c r="L430" i="37"/>
  <c r="N430" i="37"/>
  <c r="J431" i="37"/>
  <c r="L431" i="37"/>
  <c r="N431" i="37"/>
  <c r="J432" i="37"/>
  <c r="L432" i="37"/>
  <c r="N432" i="37"/>
  <c r="J433" i="37"/>
  <c r="L433" i="37"/>
  <c r="N433" i="37"/>
  <c r="J434" i="37"/>
  <c r="L434" i="37"/>
  <c r="N434" i="37"/>
  <c r="J435" i="37"/>
  <c r="L435" i="37"/>
  <c r="N435" i="37"/>
  <c r="J436" i="37"/>
  <c r="L436" i="37"/>
  <c r="N436" i="37"/>
  <c r="J437" i="37"/>
  <c r="L437" i="37"/>
  <c r="N437" i="37"/>
  <c r="J438" i="37"/>
  <c r="L438" i="37"/>
  <c r="N438" i="37"/>
  <c r="J439" i="37"/>
  <c r="L439" i="37"/>
  <c r="N439" i="37"/>
  <c r="J440" i="37"/>
  <c r="L440" i="37"/>
  <c r="N440" i="37"/>
  <c r="J441" i="37"/>
  <c r="L441" i="37"/>
  <c r="N441" i="37"/>
  <c r="J442" i="37"/>
  <c r="L442" i="37"/>
  <c r="N442" i="37"/>
  <c r="J443" i="37"/>
  <c r="L443" i="37"/>
  <c r="N443" i="37"/>
  <c r="J444" i="37"/>
  <c r="L444" i="37"/>
  <c r="N444" i="37"/>
  <c r="J445" i="37"/>
  <c r="L445" i="37"/>
  <c r="N445" i="37"/>
  <c r="J446" i="37"/>
  <c r="L446" i="37"/>
  <c r="N446" i="37"/>
  <c r="J447" i="37"/>
  <c r="L447" i="37"/>
  <c r="N447" i="37"/>
  <c r="J448" i="37"/>
  <c r="L448" i="37"/>
  <c r="N448" i="37"/>
  <c r="J449" i="37"/>
  <c r="L449" i="37"/>
  <c r="N449" i="37"/>
  <c r="J450" i="37"/>
  <c r="L450" i="37"/>
  <c r="N450" i="37"/>
  <c r="J451" i="37"/>
  <c r="L451" i="37"/>
  <c r="N451" i="37"/>
  <c r="J452" i="37"/>
  <c r="L452" i="37"/>
  <c r="N452" i="37"/>
  <c r="J453" i="37"/>
  <c r="L453" i="37"/>
  <c r="N453" i="37"/>
  <c r="J454" i="37"/>
  <c r="L454" i="37"/>
  <c r="N454" i="37"/>
  <c r="J455" i="37"/>
  <c r="L455" i="37"/>
  <c r="N455" i="37"/>
  <c r="J456" i="37"/>
  <c r="L456" i="37"/>
  <c r="N456" i="37"/>
  <c r="J457" i="37"/>
  <c r="L457" i="37"/>
  <c r="N457" i="37"/>
  <c r="J458" i="37"/>
  <c r="L458" i="37"/>
  <c r="N458" i="37"/>
  <c r="J459" i="37"/>
  <c r="L459" i="37"/>
  <c r="N459" i="37"/>
  <c r="J460" i="37"/>
  <c r="L460" i="37"/>
  <c r="N460" i="37"/>
  <c r="J461" i="37"/>
  <c r="L461" i="37"/>
  <c r="N461" i="37"/>
  <c r="J462" i="37"/>
  <c r="L462" i="37"/>
  <c r="N462" i="37"/>
  <c r="J463" i="37"/>
  <c r="L463" i="37"/>
  <c r="N463" i="37"/>
  <c r="J464" i="37"/>
  <c r="L464" i="37"/>
  <c r="N464" i="37"/>
  <c r="J465" i="37"/>
  <c r="L465" i="37"/>
  <c r="N465" i="37"/>
  <c r="J466" i="37"/>
  <c r="L466" i="37"/>
  <c r="N466" i="37"/>
  <c r="J467" i="37"/>
  <c r="L467" i="37"/>
  <c r="N467" i="37"/>
  <c r="J468" i="37"/>
  <c r="L468" i="37"/>
  <c r="N468" i="37"/>
  <c r="J469" i="37"/>
  <c r="L469" i="37"/>
  <c r="N469" i="37"/>
  <c r="J470" i="37"/>
  <c r="L470" i="37"/>
  <c r="N470" i="37"/>
  <c r="J471" i="37"/>
  <c r="L471" i="37"/>
  <c r="N471" i="37"/>
  <c r="J472" i="37"/>
  <c r="L472" i="37"/>
  <c r="N472" i="37"/>
  <c r="J473" i="37"/>
  <c r="L473" i="37"/>
  <c r="N473" i="37"/>
  <c r="J474" i="37"/>
  <c r="L474" i="37"/>
  <c r="N474" i="37"/>
  <c r="J475" i="37"/>
  <c r="L475" i="37"/>
  <c r="N475" i="37"/>
  <c r="J476" i="37"/>
  <c r="L476" i="37"/>
  <c r="N476" i="37"/>
  <c r="J477" i="37"/>
  <c r="L477" i="37"/>
  <c r="N477" i="37"/>
  <c r="J478" i="37"/>
  <c r="L478" i="37"/>
  <c r="N478" i="37"/>
  <c r="J479" i="37"/>
  <c r="L479" i="37"/>
  <c r="N479" i="37"/>
  <c r="J480" i="37"/>
  <c r="L480" i="37"/>
  <c r="N480" i="37"/>
  <c r="J481" i="37"/>
  <c r="L481" i="37"/>
  <c r="N481" i="37"/>
  <c r="J482" i="37"/>
  <c r="L482" i="37"/>
  <c r="N482" i="37"/>
  <c r="J483" i="37"/>
  <c r="L483" i="37"/>
  <c r="N483" i="37"/>
  <c r="J484" i="37"/>
  <c r="L484" i="37"/>
  <c r="N484" i="37"/>
  <c r="J485" i="37"/>
  <c r="L485" i="37"/>
  <c r="N485" i="37"/>
  <c r="J486" i="37"/>
  <c r="L486" i="37"/>
  <c r="N486" i="37"/>
  <c r="J487" i="37"/>
  <c r="L487" i="37"/>
  <c r="N487" i="37"/>
  <c r="J488" i="37"/>
  <c r="L488" i="37"/>
  <c r="N488" i="37"/>
  <c r="J489" i="37"/>
  <c r="L489" i="37"/>
  <c r="N489" i="37"/>
  <c r="J490" i="37"/>
  <c r="L490" i="37"/>
  <c r="N490" i="37"/>
  <c r="J491" i="37"/>
  <c r="L491" i="37"/>
  <c r="N491" i="37"/>
  <c r="J492" i="37"/>
  <c r="L492" i="37"/>
  <c r="N492" i="37"/>
  <c r="J493" i="37"/>
  <c r="L493" i="37"/>
  <c r="N493" i="37"/>
  <c r="J494" i="37"/>
  <c r="L494" i="37"/>
  <c r="N494" i="37"/>
  <c r="J495" i="37"/>
  <c r="L495" i="37"/>
  <c r="N495" i="37"/>
  <c r="J496" i="37"/>
  <c r="L496" i="37"/>
  <c r="N496" i="37"/>
  <c r="J497" i="37"/>
  <c r="L497" i="37"/>
  <c r="N497" i="37"/>
  <c r="J498" i="37"/>
  <c r="L498" i="37"/>
  <c r="N498" i="37"/>
  <c r="J499" i="37"/>
  <c r="L499" i="37"/>
  <c r="N499" i="37"/>
  <c r="J500" i="37"/>
  <c r="L500" i="37"/>
  <c r="N500" i="37"/>
  <c r="J501" i="37"/>
  <c r="L501" i="37"/>
  <c r="N501" i="37"/>
  <c r="J502" i="37"/>
  <c r="L502" i="37"/>
  <c r="N502" i="37"/>
  <c r="J503" i="37"/>
  <c r="L503" i="37"/>
  <c r="N503" i="37"/>
  <c r="J504" i="37"/>
  <c r="L504" i="37"/>
  <c r="N504" i="37"/>
  <c r="J505" i="37"/>
  <c r="L505" i="37"/>
  <c r="N505" i="37"/>
  <c r="J506" i="37"/>
  <c r="L506" i="37"/>
  <c r="N506" i="37"/>
  <c r="J507" i="37"/>
  <c r="L507" i="37"/>
  <c r="N507" i="37"/>
  <c r="J508" i="37"/>
  <c r="L508" i="37"/>
  <c r="N508" i="37"/>
  <c r="J509" i="37"/>
  <c r="L509" i="37"/>
  <c r="N509" i="37"/>
  <c r="J510" i="37"/>
  <c r="L510" i="37"/>
  <c r="N510" i="37"/>
  <c r="J511" i="37"/>
  <c r="L511" i="37"/>
  <c r="N511" i="37"/>
  <c r="J512" i="37"/>
  <c r="L512" i="37"/>
  <c r="N512" i="37"/>
  <c r="J513" i="37"/>
  <c r="L513" i="37"/>
  <c r="N513" i="37"/>
  <c r="J514" i="37"/>
  <c r="L514" i="37"/>
  <c r="N514" i="37"/>
  <c r="J515" i="37"/>
  <c r="L515" i="37"/>
  <c r="N515" i="37"/>
  <c r="K77" i="37"/>
  <c r="O77" i="37"/>
  <c r="Q77" i="37"/>
  <c r="K78" i="37"/>
  <c r="O78" i="37"/>
  <c r="Q78" i="37"/>
  <c r="K79" i="37"/>
  <c r="O79" i="37"/>
  <c r="Q79" i="37"/>
  <c r="K80" i="37"/>
  <c r="O80" i="37"/>
  <c r="Q80" i="37"/>
  <c r="K81" i="37"/>
  <c r="O81" i="37"/>
  <c r="Q81" i="37"/>
  <c r="K82" i="37"/>
  <c r="O82" i="37"/>
  <c r="Q82" i="37"/>
  <c r="K83" i="37"/>
  <c r="O83" i="37"/>
  <c r="Q83" i="37"/>
  <c r="K84" i="37"/>
  <c r="O84" i="37"/>
  <c r="Q84" i="37"/>
  <c r="K85" i="37"/>
  <c r="O85" i="37"/>
  <c r="Q85" i="37"/>
  <c r="K86" i="37"/>
  <c r="O86" i="37"/>
  <c r="Q86" i="37"/>
  <c r="K87" i="37"/>
  <c r="O87" i="37"/>
  <c r="Q87" i="37"/>
  <c r="K88" i="37"/>
  <c r="O88" i="37"/>
  <c r="Q88" i="37"/>
  <c r="K89" i="37"/>
  <c r="O89" i="37"/>
  <c r="Q89" i="37"/>
  <c r="K90" i="37"/>
  <c r="O90" i="37"/>
  <c r="Q90" i="37"/>
  <c r="K91" i="37"/>
  <c r="O91" i="37"/>
  <c r="Q91" i="37"/>
  <c r="K92" i="37"/>
  <c r="O92" i="37"/>
  <c r="Q92" i="37"/>
  <c r="K93" i="37"/>
  <c r="O93" i="37"/>
  <c r="Q93" i="37"/>
  <c r="K94" i="37"/>
  <c r="O94" i="37"/>
  <c r="Q94" i="37"/>
  <c r="K95" i="37"/>
  <c r="O95" i="37"/>
  <c r="Q95" i="37"/>
  <c r="K96" i="37"/>
  <c r="O96" i="37"/>
  <c r="Q96" i="37"/>
  <c r="K97" i="37"/>
  <c r="O97" i="37"/>
  <c r="Q97" i="37"/>
  <c r="K98" i="37"/>
  <c r="O98" i="37"/>
  <c r="Q98" i="37"/>
  <c r="K99" i="37"/>
  <c r="O99" i="37"/>
  <c r="Q99" i="37"/>
  <c r="K100" i="37"/>
  <c r="O100" i="37"/>
  <c r="Q100" i="37"/>
  <c r="K101" i="37"/>
  <c r="O101" i="37"/>
  <c r="Q101" i="37"/>
  <c r="K102" i="37"/>
  <c r="O102" i="37"/>
  <c r="Q102" i="37"/>
  <c r="K103" i="37"/>
  <c r="O103" i="37"/>
  <c r="Q103" i="37"/>
  <c r="K104" i="37"/>
  <c r="O104" i="37"/>
  <c r="Q104" i="37"/>
  <c r="K105" i="37"/>
  <c r="O105" i="37"/>
  <c r="Q105" i="37"/>
  <c r="K106" i="37"/>
  <c r="O106" i="37"/>
  <c r="Q106" i="37"/>
  <c r="K107" i="37"/>
  <c r="O107" i="37"/>
  <c r="Q107" i="37"/>
  <c r="K108" i="37"/>
  <c r="O108" i="37"/>
  <c r="Q108" i="37"/>
  <c r="K109" i="37"/>
  <c r="O109" i="37"/>
  <c r="Q109" i="37"/>
  <c r="K110" i="37"/>
  <c r="O110" i="37"/>
  <c r="Q110" i="37"/>
  <c r="K111" i="37"/>
  <c r="O111" i="37"/>
  <c r="Q111" i="37"/>
  <c r="K112" i="37"/>
  <c r="O112" i="37"/>
  <c r="Q112" i="37"/>
  <c r="K113" i="37"/>
  <c r="O113" i="37"/>
  <c r="Q113" i="37"/>
  <c r="K114" i="37"/>
  <c r="O114" i="37"/>
  <c r="Q114" i="37"/>
  <c r="K115" i="37"/>
  <c r="O115" i="37"/>
  <c r="Q115" i="37"/>
  <c r="K116" i="37"/>
  <c r="O116" i="37"/>
  <c r="Q116" i="37"/>
  <c r="K117" i="37"/>
  <c r="O117" i="37"/>
  <c r="Q117" i="37"/>
  <c r="K118" i="37"/>
  <c r="O118" i="37"/>
  <c r="Q118" i="37"/>
  <c r="K119" i="37"/>
  <c r="O119" i="37"/>
  <c r="Q119" i="37"/>
  <c r="K120" i="37"/>
  <c r="O120" i="37"/>
  <c r="Q120" i="37"/>
  <c r="K121" i="37"/>
  <c r="O121" i="37"/>
  <c r="Q121" i="37"/>
  <c r="K122" i="37"/>
  <c r="O122" i="37"/>
  <c r="Q122" i="37"/>
  <c r="K123" i="37"/>
  <c r="O123" i="37"/>
  <c r="Q123" i="37"/>
  <c r="K124" i="37"/>
  <c r="O124" i="37"/>
  <c r="Q124" i="37"/>
  <c r="K125" i="37"/>
  <c r="O125" i="37"/>
  <c r="Q125" i="37"/>
  <c r="K126" i="37"/>
  <c r="O126" i="37"/>
  <c r="Q126" i="37"/>
  <c r="K127" i="37"/>
  <c r="O127" i="37"/>
  <c r="Q127" i="37"/>
  <c r="K128" i="37"/>
  <c r="O128" i="37"/>
  <c r="Q128" i="37"/>
  <c r="K129" i="37"/>
  <c r="O129" i="37"/>
  <c r="Q129" i="37"/>
  <c r="K130" i="37"/>
  <c r="O130" i="37"/>
  <c r="Q130" i="37"/>
  <c r="K131" i="37"/>
  <c r="O131" i="37"/>
  <c r="Q131" i="37"/>
  <c r="K132" i="37"/>
  <c r="O132" i="37"/>
  <c r="Q132" i="37"/>
  <c r="K133" i="37"/>
  <c r="O133" i="37"/>
  <c r="Q133" i="37"/>
  <c r="K134" i="37"/>
  <c r="O134" i="37"/>
  <c r="Q134" i="37"/>
  <c r="K135" i="37"/>
  <c r="O135" i="37"/>
  <c r="Q135" i="37"/>
  <c r="K136" i="37"/>
  <c r="O136" i="37"/>
  <c r="Q136" i="37"/>
  <c r="K137" i="37"/>
  <c r="O137" i="37"/>
  <c r="Q137" i="37"/>
  <c r="K138" i="37"/>
  <c r="O138" i="37"/>
  <c r="Q138" i="37"/>
  <c r="K139" i="37"/>
  <c r="O139" i="37"/>
  <c r="Q139" i="37"/>
  <c r="K140" i="37"/>
  <c r="O140" i="37"/>
  <c r="Q140" i="37"/>
  <c r="K141" i="37"/>
  <c r="O141" i="37"/>
  <c r="Q141" i="37"/>
  <c r="K142" i="37"/>
  <c r="O142" i="37"/>
  <c r="Q142" i="37"/>
  <c r="K143" i="37"/>
  <c r="O143" i="37"/>
  <c r="Q143" i="37"/>
  <c r="K144" i="37"/>
  <c r="O144" i="37"/>
  <c r="Q144" i="37"/>
  <c r="K145" i="37"/>
  <c r="O145" i="37"/>
  <c r="Q145" i="37"/>
  <c r="K146" i="37"/>
  <c r="O146" i="37"/>
  <c r="Q146" i="37"/>
  <c r="K147" i="37"/>
  <c r="O147" i="37"/>
  <c r="Q147" i="37"/>
  <c r="K148" i="37"/>
  <c r="O148" i="37"/>
  <c r="Q148" i="37"/>
  <c r="K149" i="37"/>
  <c r="O149" i="37"/>
  <c r="Q149" i="37"/>
  <c r="K150" i="37"/>
  <c r="O150" i="37"/>
  <c r="Q150" i="37"/>
  <c r="K151" i="37"/>
  <c r="O151" i="37"/>
  <c r="Q151" i="37"/>
  <c r="K152" i="37"/>
  <c r="O152" i="37"/>
  <c r="Q152" i="37"/>
  <c r="K153" i="37"/>
  <c r="O153" i="37"/>
  <c r="Q153" i="37"/>
  <c r="K154" i="37"/>
  <c r="O154" i="37"/>
  <c r="Q154" i="37"/>
  <c r="K155" i="37"/>
  <c r="O155" i="37"/>
  <c r="Q155" i="37"/>
  <c r="K156" i="37"/>
  <c r="O156" i="37"/>
  <c r="Q156" i="37"/>
  <c r="K157" i="37"/>
  <c r="O157" i="37"/>
  <c r="Q157" i="37"/>
  <c r="K158" i="37"/>
  <c r="O158" i="37"/>
  <c r="Q158" i="37"/>
  <c r="K159" i="37"/>
  <c r="O159" i="37"/>
  <c r="Q159" i="37"/>
  <c r="K160" i="37"/>
  <c r="O160" i="37"/>
  <c r="Q160" i="37"/>
  <c r="K161" i="37"/>
  <c r="O161" i="37"/>
  <c r="Q161" i="37"/>
  <c r="K162" i="37"/>
  <c r="O162" i="37"/>
  <c r="Q162" i="37"/>
  <c r="K163" i="37"/>
  <c r="O163" i="37"/>
  <c r="Q163" i="37"/>
  <c r="K164" i="37"/>
  <c r="O164" i="37"/>
  <c r="Q164" i="37"/>
  <c r="K165" i="37"/>
  <c r="O165" i="37"/>
  <c r="Q165" i="37"/>
  <c r="K166" i="37"/>
  <c r="O166" i="37"/>
  <c r="Q166" i="37"/>
  <c r="K167" i="37"/>
  <c r="O167" i="37"/>
  <c r="Q167" i="37"/>
  <c r="K168" i="37"/>
  <c r="O168" i="37"/>
  <c r="Q168" i="37"/>
  <c r="K169" i="37"/>
  <c r="O169" i="37"/>
  <c r="Q169" i="37"/>
  <c r="K170" i="37"/>
  <c r="O170" i="37"/>
  <c r="Q170" i="37"/>
  <c r="K171" i="37"/>
  <c r="O171" i="37"/>
  <c r="Q171" i="37"/>
  <c r="K172" i="37"/>
  <c r="O172" i="37"/>
  <c r="Q172" i="37"/>
  <c r="K173" i="37"/>
  <c r="O173" i="37"/>
  <c r="Q173" i="37"/>
  <c r="K174" i="37"/>
  <c r="O174" i="37"/>
  <c r="Q174" i="37"/>
  <c r="K175" i="37"/>
  <c r="O175" i="37"/>
  <c r="Q175" i="37"/>
  <c r="K176" i="37"/>
  <c r="O176" i="37"/>
  <c r="Q176" i="37"/>
  <c r="K177" i="37"/>
  <c r="O177" i="37"/>
  <c r="Q177" i="37"/>
  <c r="K178" i="37"/>
  <c r="O178" i="37"/>
  <c r="Q178" i="37"/>
  <c r="K179" i="37"/>
  <c r="O179" i="37"/>
  <c r="Q179" i="37"/>
  <c r="K180" i="37"/>
  <c r="O180" i="37"/>
  <c r="Q180" i="37"/>
  <c r="K181" i="37"/>
  <c r="O181" i="37"/>
  <c r="Q181" i="37"/>
  <c r="K182" i="37"/>
  <c r="O182" i="37"/>
  <c r="Q182" i="37"/>
  <c r="K183" i="37"/>
  <c r="O183" i="37"/>
  <c r="Q183" i="37"/>
  <c r="K184" i="37"/>
  <c r="O184" i="37"/>
  <c r="Q184" i="37"/>
  <c r="K185" i="37"/>
  <c r="O185" i="37"/>
  <c r="Q185" i="37"/>
  <c r="K186" i="37"/>
  <c r="O186" i="37"/>
  <c r="Q186" i="37"/>
  <c r="K187" i="37"/>
  <c r="O187" i="37"/>
  <c r="Q187" i="37"/>
  <c r="K188" i="37"/>
  <c r="O188" i="37"/>
  <c r="Q188" i="37"/>
  <c r="K189" i="37"/>
  <c r="O189" i="37"/>
  <c r="Q189" i="37"/>
  <c r="K190" i="37"/>
  <c r="O190" i="37"/>
  <c r="Q190" i="37"/>
  <c r="K191" i="37"/>
  <c r="O191" i="37"/>
  <c r="Q191" i="37"/>
  <c r="K192" i="37"/>
  <c r="O192" i="37"/>
  <c r="Q192" i="37"/>
  <c r="K193" i="37"/>
  <c r="O193" i="37"/>
  <c r="Q193" i="37"/>
  <c r="K194" i="37"/>
  <c r="O194" i="37"/>
  <c r="Q194" i="37"/>
  <c r="K195" i="37"/>
  <c r="O195" i="37"/>
  <c r="Q195" i="37"/>
  <c r="K196" i="37"/>
  <c r="O196" i="37"/>
  <c r="Q196" i="37"/>
  <c r="K197" i="37"/>
  <c r="O197" i="37"/>
  <c r="Q197" i="37"/>
  <c r="K198" i="37"/>
  <c r="O198" i="37"/>
  <c r="Q198" i="37"/>
  <c r="K199" i="37"/>
  <c r="O199" i="37"/>
  <c r="Q199" i="37"/>
  <c r="K200" i="37"/>
  <c r="O200" i="37"/>
  <c r="Q200" i="37"/>
  <c r="K201" i="37"/>
  <c r="O201" i="37"/>
  <c r="Q201" i="37"/>
  <c r="K202" i="37"/>
  <c r="O202" i="37"/>
  <c r="Q202" i="37"/>
  <c r="K203" i="37"/>
  <c r="O203" i="37"/>
  <c r="Q203" i="37"/>
  <c r="K204" i="37"/>
  <c r="O204" i="37"/>
  <c r="Q204" i="37"/>
  <c r="K205" i="37"/>
  <c r="O205" i="37"/>
  <c r="Q205" i="37"/>
  <c r="K206" i="37"/>
  <c r="O206" i="37"/>
  <c r="Q206" i="37"/>
  <c r="K207" i="37"/>
  <c r="O207" i="37"/>
  <c r="Q207" i="37"/>
  <c r="K208" i="37"/>
  <c r="O208" i="37"/>
  <c r="Q208" i="37"/>
  <c r="K209" i="37"/>
  <c r="O209" i="37"/>
  <c r="Q209" i="37"/>
  <c r="K210" i="37"/>
  <c r="O210" i="37"/>
  <c r="Q210" i="37"/>
  <c r="K211" i="37"/>
  <c r="O211" i="37"/>
  <c r="Q211" i="37"/>
  <c r="K212" i="37"/>
  <c r="O212" i="37"/>
  <c r="Q212" i="37"/>
  <c r="K213" i="37"/>
  <c r="O213" i="37"/>
  <c r="Q213" i="37"/>
  <c r="K214" i="37"/>
  <c r="O214" i="37"/>
  <c r="Q214" i="37"/>
  <c r="K215" i="37"/>
  <c r="O215" i="37"/>
  <c r="Q215" i="37"/>
  <c r="K216" i="37"/>
  <c r="O216" i="37"/>
  <c r="Q216" i="37"/>
  <c r="K217" i="37"/>
  <c r="O217" i="37"/>
  <c r="Q217" i="37"/>
  <c r="K218" i="37"/>
  <c r="O218" i="37"/>
  <c r="Q218" i="37"/>
  <c r="K219" i="37"/>
  <c r="O219" i="37"/>
  <c r="Q219" i="37"/>
  <c r="K220" i="37"/>
  <c r="O220" i="37"/>
  <c r="Q220" i="37"/>
  <c r="K221" i="37"/>
  <c r="O221" i="37"/>
  <c r="Q221" i="37"/>
  <c r="K222" i="37"/>
  <c r="O222" i="37"/>
  <c r="Q222" i="37"/>
  <c r="K223" i="37"/>
  <c r="O223" i="37"/>
  <c r="Q223" i="37"/>
  <c r="K224" i="37"/>
  <c r="O224" i="37"/>
  <c r="Q224" i="37"/>
  <c r="K225" i="37"/>
  <c r="O225" i="37"/>
  <c r="Q225" i="37"/>
  <c r="K226" i="37"/>
  <c r="O226" i="37"/>
  <c r="Q226" i="37"/>
  <c r="K227" i="37"/>
  <c r="O227" i="37"/>
  <c r="Q227" i="37"/>
  <c r="K228" i="37"/>
  <c r="O228" i="37"/>
  <c r="Q228" i="37"/>
  <c r="K229" i="37"/>
  <c r="O229" i="37"/>
  <c r="Q229" i="37"/>
  <c r="K230" i="37"/>
  <c r="O230" i="37"/>
  <c r="Q230" i="37"/>
  <c r="K231" i="37"/>
  <c r="O231" i="37"/>
  <c r="Q231" i="37"/>
  <c r="K232" i="37"/>
  <c r="O232" i="37"/>
  <c r="Q232" i="37"/>
  <c r="K233" i="37"/>
  <c r="O233" i="37"/>
  <c r="Q233" i="37"/>
  <c r="K234" i="37"/>
  <c r="O234" i="37"/>
  <c r="Q234" i="37"/>
  <c r="K235" i="37"/>
  <c r="O235" i="37"/>
  <c r="Q235" i="37"/>
  <c r="K236" i="37"/>
  <c r="O236" i="37"/>
  <c r="Q236" i="37"/>
  <c r="K237" i="37"/>
  <c r="O237" i="37"/>
  <c r="Q237" i="37"/>
  <c r="K238" i="37"/>
  <c r="O238" i="37"/>
  <c r="Q238" i="37"/>
  <c r="K239" i="37"/>
  <c r="O239" i="37"/>
  <c r="Q239" i="37"/>
  <c r="K240" i="37"/>
  <c r="O240" i="37"/>
  <c r="Q240" i="37"/>
  <c r="K241" i="37"/>
  <c r="O241" i="37"/>
  <c r="Q241" i="37"/>
  <c r="K242" i="37"/>
  <c r="O242" i="37"/>
  <c r="Q242" i="37"/>
  <c r="K243" i="37"/>
  <c r="O243" i="37"/>
  <c r="Q243" i="37"/>
  <c r="K244" i="37"/>
  <c r="O244" i="37"/>
  <c r="Q244" i="37"/>
  <c r="K245" i="37"/>
  <c r="O245" i="37"/>
  <c r="Q245" i="37"/>
  <c r="K246" i="37"/>
  <c r="O246" i="37"/>
  <c r="Q246" i="37"/>
  <c r="K247" i="37"/>
  <c r="O247" i="37"/>
  <c r="Q247" i="37"/>
  <c r="K248" i="37"/>
  <c r="O248" i="37"/>
  <c r="Q248" i="37"/>
  <c r="K249" i="37"/>
  <c r="O249" i="37"/>
  <c r="Q249" i="37"/>
  <c r="K250" i="37"/>
  <c r="O250" i="37"/>
  <c r="Q250" i="37"/>
  <c r="K251" i="37"/>
  <c r="O251" i="37"/>
  <c r="Q251" i="37"/>
  <c r="K252" i="37"/>
  <c r="O252" i="37"/>
  <c r="Q252" i="37"/>
  <c r="K253" i="37"/>
  <c r="O253" i="37"/>
  <c r="Q253" i="37"/>
  <c r="K254" i="37"/>
  <c r="O254" i="37"/>
  <c r="Q254" i="37"/>
  <c r="K255" i="37"/>
  <c r="O255" i="37"/>
  <c r="Q255" i="37"/>
  <c r="K256" i="37"/>
  <c r="O256" i="37"/>
  <c r="Q256" i="37"/>
  <c r="K257" i="37"/>
  <c r="O257" i="37"/>
  <c r="Q257" i="37"/>
  <c r="K258" i="37"/>
  <c r="O258" i="37"/>
  <c r="Q258" i="37"/>
  <c r="K259" i="37"/>
  <c r="O259" i="37"/>
  <c r="Q259" i="37"/>
  <c r="K260" i="37"/>
  <c r="O260" i="37"/>
  <c r="Q260" i="37"/>
  <c r="K261" i="37"/>
  <c r="O261" i="37"/>
  <c r="Q261" i="37"/>
  <c r="K262" i="37"/>
  <c r="O262" i="37"/>
  <c r="Q262" i="37"/>
  <c r="K263" i="37"/>
  <c r="O263" i="37"/>
  <c r="Q263" i="37"/>
  <c r="K264" i="37"/>
  <c r="O264" i="37"/>
  <c r="Q264" i="37"/>
  <c r="K265" i="37"/>
  <c r="O265" i="37"/>
  <c r="Q265" i="37"/>
  <c r="K266" i="37"/>
  <c r="O266" i="37"/>
  <c r="Q266" i="37"/>
  <c r="K267" i="37"/>
  <c r="O267" i="37"/>
  <c r="Q267" i="37"/>
  <c r="K268" i="37"/>
  <c r="O268" i="37"/>
  <c r="Q268" i="37"/>
  <c r="K269" i="37"/>
  <c r="O269" i="37"/>
  <c r="Q269" i="37"/>
  <c r="K270" i="37"/>
  <c r="O270" i="37"/>
  <c r="Q270" i="37"/>
  <c r="K271" i="37"/>
  <c r="O271" i="37"/>
  <c r="Q271" i="37"/>
  <c r="K272" i="37"/>
  <c r="O272" i="37"/>
  <c r="Q272" i="37"/>
  <c r="K273" i="37"/>
  <c r="O273" i="37"/>
  <c r="Q273" i="37"/>
  <c r="K274" i="37"/>
  <c r="O274" i="37"/>
  <c r="Q274" i="37"/>
  <c r="K275" i="37"/>
  <c r="O275" i="37"/>
  <c r="Q275" i="37"/>
  <c r="K276" i="37"/>
  <c r="O276" i="37"/>
  <c r="Q276" i="37"/>
  <c r="K277" i="37"/>
  <c r="O277" i="37"/>
  <c r="Q277" i="37"/>
  <c r="K278" i="37"/>
  <c r="O278" i="37"/>
  <c r="Q278" i="37"/>
  <c r="K279" i="37"/>
  <c r="O279" i="37"/>
  <c r="Q279" i="37"/>
  <c r="K280" i="37"/>
  <c r="O280" i="37"/>
  <c r="Q280" i="37"/>
  <c r="K281" i="37"/>
  <c r="O281" i="37"/>
  <c r="Q281" i="37"/>
  <c r="K282" i="37"/>
  <c r="O282" i="37"/>
  <c r="Q282" i="37"/>
  <c r="K283" i="37"/>
  <c r="O283" i="37"/>
  <c r="Q283" i="37"/>
  <c r="K284" i="37"/>
  <c r="O284" i="37"/>
  <c r="Q284" i="37"/>
  <c r="K285" i="37"/>
  <c r="O285" i="37"/>
  <c r="Q285" i="37"/>
  <c r="K286" i="37"/>
  <c r="O286" i="37"/>
  <c r="Q286" i="37"/>
  <c r="K287" i="37"/>
  <c r="O287" i="37"/>
  <c r="Q287" i="37"/>
  <c r="K288" i="37"/>
  <c r="O288" i="37"/>
  <c r="Q288" i="37"/>
  <c r="K289" i="37"/>
  <c r="O289" i="37"/>
  <c r="Q289" i="37"/>
  <c r="K290" i="37"/>
  <c r="O290" i="37"/>
  <c r="Q290" i="37"/>
  <c r="K291" i="37"/>
  <c r="O291" i="37"/>
  <c r="Q291" i="37"/>
  <c r="K292" i="37"/>
  <c r="O292" i="37"/>
  <c r="Q292" i="37"/>
  <c r="K293" i="37"/>
  <c r="O293" i="37"/>
  <c r="Q293" i="37"/>
  <c r="K294" i="37"/>
  <c r="O294" i="37"/>
  <c r="Q294" i="37"/>
  <c r="K295" i="37"/>
  <c r="O295" i="37"/>
  <c r="Q295" i="37"/>
  <c r="K296" i="37"/>
  <c r="O296" i="37"/>
  <c r="Q296" i="37"/>
  <c r="K297" i="37"/>
  <c r="O297" i="37"/>
  <c r="Q297" i="37"/>
  <c r="K298" i="37"/>
  <c r="O298" i="37"/>
  <c r="Q298" i="37"/>
  <c r="K299" i="37"/>
  <c r="O299" i="37"/>
  <c r="Q299" i="37"/>
  <c r="K300" i="37"/>
  <c r="O300" i="37"/>
  <c r="Q300" i="37"/>
  <c r="K301" i="37"/>
  <c r="O301" i="37"/>
  <c r="Q301" i="37"/>
  <c r="K302" i="37"/>
  <c r="O302" i="37"/>
  <c r="Q302" i="37"/>
  <c r="K303" i="37"/>
  <c r="O303" i="37"/>
  <c r="Q303" i="37"/>
  <c r="K304" i="37"/>
  <c r="O304" i="37"/>
  <c r="Q304" i="37"/>
  <c r="K305" i="37"/>
  <c r="O305" i="37"/>
  <c r="Q305" i="37"/>
  <c r="K306" i="37"/>
  <c r="O306" i="37"/>
  <c r="Q306" i="37"/>
  <c r="K307" i="37"/>
  <c r="O307" i="37"/>
  <c r="Q307" i="37"/>
  <c r="K308" i="37"/>
  <c r="O308" i="37"/>
  <c r="Q308" i="37"/>
  <c r="K309" i="37"/>
  <c r="O309" i="37"/>
  <c r="Q309" i="37"/>
  <c r="K310" i="37"/>
  <c r="O310" i="37"/>
  <c r="Q310" i="37"/>
  <c r="K311" i="37"/>
  <c r="O311" i="37"/>
  <c r="Q311" i="37"/>
  <c r="K312" i="37"/>
  <c r="O312" i="37"/>
  <c r="Q312" i="37"/>
  <c r="K313" i="37"/>
  <c r="O313" i="37"/>
  <c r="Q313" i="37"/>
  <c r="K314" i="37"/>
  <c r="O314" i="37"/>
  <c r="Q314" i="37"/>
  <c r="K315" i="37"/>
  <c r="O315" i="37"/>
  <c r="Q315" i="37"/>
  <c r="K316" i="37"/>
  <c r="O316" i="37"/>
  <c r="Q316" i="37"/>
  <c r="K317" i="37"/>
  <c r="O317" i="37"/>
  <c r="Q317" i="37"/>
  <c r="K318" i="37"/>
  <c r="O318" i="37"/>
  <c r="Q318" i="37"/>
  <c r="K319" i="37"/>
  <c r="O319" i="37"/>
  <c r="Q319" i="37"/>
  <c r="K320" i="37"/>
  <c r="O320" i="37"/>
  <c r="Q320" i="37"/>
  <c r="K321" i="37"/>
  <c r="O321" i="37"/>
  <c r="Q321" i="37"/>
  <c r="K322" i="37"/>
  <c r="O322" i="37"/>
  <c r="Q322" i="37"/>
  <c r="K323" i="37"/>
  <c r="O323" i="37"/>
  <c r="Q323" i="37"/>
  <c r="K324" i="37"/>
  <c r="O324" i="37"/>
  <c r="Q324" i="37"/>
  <c r="K325" i="37"/>
  <c r="O325" i="37"/>
  <c r="Q325" i="37"/>
  <c r="K326" i="37"/>
  <c r="O326" i="37"/>
  <c r="Q326" i="37"/>
  <c r="K327" i="37"/>
  <c r="O327" i="37"/>
  <c r="Q327" i="37"/>
  <c r="K328" i="37"/>
  <c r="O328" i="37"/>
  <c r="Q328" i="37"/>
  <c r="K329" i="37"/>
  <c r="O329" i="37"/>
  <c r="Q329" i="37"/>
  <c r="K330" i="37"/>
  <c r="O330" i="37"/>
  <c r="Q330" i="37"/>
  <c r="K331" i="37"/>
  <c r="O331" i="37"/>
  <c r="Q331" i="37"/>
  <c r="K332" i="37"/>
  <c r="O332" i="37"/>
  <c r="Q332" i="37"/>
  <c r="K333" i="37"/>
  <c r="O333" i="37"/>
  <c r="Q333" i="37"/>
  <c r="K334" i="37"/>
  <c r="O334" i="37"/>
  <c r="Q334" i="37"/>
  <c r="K335" i="37"/>
  <c r="O335" i="37"/>
  <c r="Q335" i="37"/>
  <c r="K336" i="37"/>
  <c r="O336" i="37"/>
  <c r="Q336" i="37"/>
  <c r="K337" i="37"/>
  <c r="O337" i="37"/>
  <c r="Q337" i="37"/>
  <c r="K338" i="37"/>
  <c r="O338" i="37"/>
  <c r="Q338" i="37"/>
  <c r="K339" i="37"/>
  <c r="O339" i="37"/>
  <c r="Q339" i="37"/>
  <c r="K340" i="37"/>
  <c r="O340" i="37"/>
  <c r="Q340" i="37"/>
  <c r="K341" i="37"/>
  <c r="O341" i="37"/>
  <c r="Q341" i="37"/>
  <c r="K342" i="37"/>
  <c r="O342" i="37"/>
  <c r="Q342" i="37"/>
  <c r="K343" i="37"/>
  <c r="O343" i="37"/>
  <c r="Q343" i="37"/>
  <c r="K344" i="37"/>
  <c r="O344" i="37"/>
  <c r="Q344" i="37"/>
  <c r="K345" i="37"/>
  <c r="O345" i="37"/>
  <c r="Q345" i="37"/>
  <c r="K346" i="37"/>
  <c r="O346" i="37"/>
  <c r="Q346" i="37"/>
  <c r="K347" i="37"/>
  <c r="O347" i="37"/>
  <c r="Q347" i="37"/>
  <c r="K348" i="37"/>
  <c r="O348" i="37"/>
  <c r="Q348" i="37"/>
  <c r="K349" i="37"/>
  <c r="O349" i="37"/>
  <c r="Q349" i="37"/>
  <c r="K350" i="37"/>
  <c r="O350" i="37"/>
  <c r="Q350" i="37"/>
  <c r="K351" i="37"/>
  <c r="O351" i="37"/>
  <c r="Q351" i="37"/>
  <c r="K352" i="37"/>
  <c r="O352" i="37"/>
  <c r="Q352" i="37"/>
  <c r="K353" i="37"/>
  <c r="O353" i="37"/>
  <c r="Q353" i="37"/>
  <c r="K354" i="37"/>
  <c r="O354" i="37"/>
  <c r="Q354" i="37"/>
  <c r="K355" i="37"/>
  <c r="O355" i="37"/>
  <c r="Q355" i="37"/>
  <c r="K356" i="37"/>
  <c r="O356" i="37"/>
  <c r="Q356" i="37"/>
  <c r="K357" i="37"/>
  <c r="O357" i="37"/>
  <c r="Q357" i="37"/>
  <c r="K358" i="37"/>
  <c r="O358" i="37"/>
  <c r="Q358" i="37"/>
  <c r="K359" i="37"/>
  <c r="O359" i="37"/>
  <c r="Q359" i="37"/>
  <c r="K360" i="37"/>
  <c r="O360" i="37"/>
  <c r="Q360" i="37"/>
  <c r="K361" i="37"/>
  <c r="O361" i="37"/>
  <c r="Q361" i="37"/>
  <c r="K362" i="37"/>
  <c r="O362" i="37"/>
  <c r="Q362" i="37"/>
  <c r="K363" i="37"/>
  <c r="O363" i="37"/>
  <c r="Q363" i="37"/>
  <c r="K364" i="37"/>
  <c r="O364" i="37"/>
  <c r="Q364" i="37"/>
  <c r="K365" i="37"/>
  <c r="O365" i="37"/>
  <c r="Q365" i="37"/>
  <c r="K366" i="37"/>
  <c r="O366" i="37"/>
  <c r="Q366" i="37"/>
  <c r="K367" i="37"/>
  <c r="O367" i="37"/>
  <c r="Q367" i="37"/>
  <c r="K368" i="37"/>
  <c r="O368" i="37"/>
  <c r="Q368" i="37"/>
  <c r="K369" i="37"/>
  <c r="O369" i="37"/>
  <c r="Q369" i="37"/>
  <c r="K370" i="37"/>
  <c r="O370" i="37"/>
  <c r="Q370" i="37"/>
  <c r="K371" i="37"/>
  <c r="O371" i="37"/>
  <c r="Q371" i="37"/>
  <c r="K372" i="37"/>
  <c r="O372" i="37"/>
  <c r="Q372" i="37"/>
  <c r="K373" i="37"/>
  <c r="O373" i="37"/>
  <c r="Q373" i="37"/>
  <c r="K374" i="37"/>
  <c r="O374" i="37"/>
  <c r="Q374" i="37"/>
  <c r="K375" i="37"/>
  <c r="O375" i="37"/>
  <c r="Q375" i="37"/>
  <c r="K376" i="37"/>
  <c r="O376" i="37"/>
  <c r="Q376" i="37"/>
  <c r="K377" i="37"/>
  <c r="O377" i="37"/>
  <c r="Q377" i="37"/>
  <c r="K378" i="37"/>
  <c r="O378" i="37"/>
  <c r="Q378" i="37"/>
  <c r="K379" i="37"/>
  <c r="O379" i="37"/>
  <c r="Q379" i="37"/>
  <c r="K380" i="37"/>
  <c r="O380" i="37"/>
  <c r="Q380" i="37"/>
  <c r="K381" i="37"/>
  <c r="O381" i="37"/>
  <c r="Q381" i="37"/>
  <c r="K382" i="37"/>
  <c r="O382" i="37"/>
  <c r="Q382" i="37"/>
  <c r="K383" i="37"/>
  <c r="O383" i="37"/>
  <c r="Q383" i="37"/>
  <c r="K384" i="37"/>
  <c r="O384" i="37"/>
  <c r="Q384" i="37"/>
  <c r="K385" i="37"/>
  <c r="O385" i="37"/>
  <c r="Q385" i="37"/>
  <c r="K386" i="37"/>
  <c r="O386" i="37"/>
  <c r="Q386" i="37"/>
  <c r="K387" i="37"/>
  <c r="O387" i="37"/>
  <c r="Q387" i="37"/>
  <c r="K388" i="37"/>
  <c r="O388" i="37"/>
  <c r="Q388" i="37"/>
  <c r="K389" i="37"/>
  <c r="O389" i="37"/>
  <c r="Q389" i="37"/>
  <c r="K390" i="37"/>
  <c r="O390" i="37"/>
  <c r="Q390" i="37"/>
  <c r="K391" i="37"/>
  <c r="O391" i="37"/>
  <c r="Q391" i="37"/>
  <c r="K392" i="37"/>
  <c r="O392" i="37"/>
  <c r="Q392" i="37"/>
  <c r="K393" i="37"/>
  <c r="O393" i="37"/>
  <c r="Q393" i="37"/>
  <c r="K394" i="37"/>
  <c r="O394" i="37"/>
  <c r="Q394" i="37"/>
  <c r="K395" i="37"/>
  <c r="O395" i="37"/>
  <c r="Q395" i="37"/>
  <c r="K396" i="37"/>
  <c r="O396" i="37"/>
  <c r="Q396" i="37"/>
  <c r="K397" i="37"/>
  <c r="O397" i="37"/>
  <c r="Q397" i="37"/>
  <c r="K398" i="37"/>
  <c r="O398" i="37"/>
  <c r="Q398" i="37"/>
  <c r="K399" i="37"/>
  <c r="O399" i="37"/>
  <c r="Q399" i="37"/>
  <c r="K400" i="37"/>
  <c r="O400" i="37"/>
  <c r="Q400" i="37"/>
  <c r="K401" i="37"/>
  <c r="O401" i="37"/>
  <c r="Q401" i="37"/>
  <c r="K402" i="37"/>
  <c r="O402" i="37"/>
  <c r="Q402" i="37"/>
  <c r="K403" i="37"/>
  <c r="O403" i="37"/>
  <c r="Q403" i="37"/>
  <c r="K404" i="37"/>
  <c r="O404" i="37"/>
  <c r="Q404" i="37"/>
  <c r="K405" i="37"/>
  <c r="O405" i="37"/>
  <c r="Q405" i="37"/>
  <c r="K406" i="37"/>
  <c r="O406" i="37"/>
  <c r="Q406" i="37"/>
  <c r="K407" i="37"/>
  <c r="O407" i="37"/>
  <c r="Q407" i="37"/>
  <c r="K408" i="37"/>
  <c r="O408" i="37"/>
  <c r="Q408" i="37"/>
  <c r="K409" i="37"/>
  <c r="O409" i="37"/>
  <c r="Q409" i="37"/>
  <c r="K410" i="37"/>
  <c r="O410" i="37"/>
  <c r="Q410" i="37"/>
  <c r="K411" i="37"/>
  <c r="O411" i="37"/>
  <c r="Q411" i="37"/>
  <c r="K412" i="37"/>
  <c r="O412" i="37"/>
  <c r="Q412" i="37"/>
  <c r="K413" i="37"/>
  <c r="O413" i="37"/>
  <c r="Q413" i="37"/>
  <c r="K414" i="37"/>
  <c r="O414" i="37"/>
  <c r="Q414" i="37"/>
  <c r="K415" i="37"/>
  <c r="O415" i="37"/>
  <c r="Q415" i="37"/>
  <c r="K416" i="37"/>
  <c r="O416" i="37"/>
  <c r="Q416" i="37"/>
  <c r="K417" i="37"/>
  <c r="O417" i="37"/>
  <c r="Q417" i="37"/>
  <c r="K418" i="37"/>
  <c r="O418" i="37"/>
  <c r="Q418" i="37"/>
  <c r="K419" i="37"/>
  <c r="O419" i="37"/>
  <c r="Q419" i="37"/>
  <c r="K420" i="37"/>
  <c r="O420" i="37"/>
  <c r="Q420" i="37"/>
  <c r="K421" i="37"/>
  <c r="O421" i="37"/>
  <c r="Q421" i="37"/>
  <c r="K422" i="37"/>
  <c r="O422" i="37"/>
  <c r="Q422" i="37"/>
  <c r="K423" i="37"/>
  <c r="O423" i="37"/>
  <c r="Q423" i="37"/>
  <c r="K424" i="37"/>
  <c r="O424" i="37"/>
  <c r="Q424" i="37"/>
  <c r="K425" i="37"/>
  <c r="O425" i="37"/>
  <c r="Q425" i="37"/>
  <c r="K426" i="37"/>
  <c r="O426" i="37"/>
  <c r="Q426" i="37"/>
  <c r="K427" i="37"/>
  <c r="O427" i="37"/>
  <c r="Q427" i="37"/>
  <c r="K428" i="37"/>
  <c r="O428" i="37"/>
  <c r="Q428" i="37"/>
  <c r="K429" i="37"/>
  <c r="O429" i="37"/>
  <c r="Q429" i="37"/>
  <c r="K430" i="37"/>
  <c r="O430" i="37"/>
  <c r="Q430" i="37"/>
  <c r="K431" i="37"/>
  <c r="O431" i="37"/>
  <c r="Q431" i="37"/>
  <c r="K432" i="37"/>
  <c r="O432" i="37"/>
  <c r="Q432" i="37"/>
  <c r="K433" i="37"/>
  <c r="O433" i="37"/>
  <c r="Q433" i="37"/>
  <c r="K434" i="37"/>
  <c r="O434" i="37"/>
  <c r="Q434" i="37"/>
  <c r="K435" i="37"/>
  <c r="O435" i="37"/>
  <c r="Q435" i="37"/>
  <c r="K436" i="37"/>
  <c r="O436" i="37"/>
  <c r="Q436" i="37"/>
  <c r="K437" i="37"/>
  <c r="O437" i="37"/>
  <c r="Q437" i="37"/>
  <c r="K438" i="37"/>
  <c r="O438" i="37"/>
  <c r="Q438" i="37"/>
  <c r="K439" i="37"/>
  <c r="O439" i="37"/>
  <c r="Q439" i="37"/>
  <c r="K440" i="37"/>
  <c r="O440" i="37"/>
  <c r="Q440" i="37"/>
  <c r="K441" i="37"/>
  <c r="O441" i="37"/>
  <c r="Q441" i="37"/>
  <c r="K442" i="37"/>
  <c r="O442" i="37"/>
  <c r="Q442" i="37"/>
  <c r="K443" i="37"/>
  <c r="O443" i="37"/>
  <c r="Q443" i="37"/>
  <c r="K444" i="37"/>
  <c r="O444" i="37"/>
  <c r="Q444" i="37"/>
  <c r="K445" i="37"/>
  <c r="O445" i="37"/>
  <c r="Q445" i="37"/>
  <c r="K446" i="37"/>
  <c r="O446" i="37"/>
  <c r="Q446" i="37"/>
  <c r="K447" i="37"/>
  <c r="O447" i="37"/>
  <c r="Q447" i="37"/>
  <c r="K448" i="37"/>
  <c r="O448" i="37"/>
  <c r="Q448" i="37"/>
  <c r="K449" i="37"/>
  <c r="O449" i="37"/>
  <c r="Q449" i="37"/>
  <c r="K450" i="37"/>
  <c r="O450" i="37"/>
  <c r="Q450" i="37"/>
  <c r="K451" i="37"/>
  <c r="O451" i="37"/>
  <c r="Q451" i="37"/>
  <c r="K452" i="37"/>
  <c r="O452" i="37"/>
  <c r="Q452" i="37"/>
  <c r="K453" i="37"/>
  <c r="O453" i="37"/>
  <c r="Q453" i="37"/>
  <c r="K454" i="37"/>
  <c r="O454" i="37"/>
  <c r="Q454" i="37"/>
  <c r="K455" i="37"/>
  <c r="O455" i="37"/>
  <c r="Q455" i="37"/>
  <c r="K456" i="37"/>
  <c r="O456" i="37"/>
  <c r="Q456" i="37"/>
  <c r="K457" i="37"/>
  <c r="O457" i="37"/>
  <c r="Q457" i="37"/>
  <c r="K458" i="37"/>
  <c r="O458" i="37"/>
  <c r="Q458" i="37"/>
  <c r="K459" i="37"/>
  <c r="O459" i="37"/>
  <c r="Q459" i="37"/>
  <c r="K460" i="37"/>
  <c r="O460" i="37"/>
  <c r="Q460" i="37"/>
  <c r="K461" i="37"/>
  <c r="O461" i="37"/>
  <c r="Q461" i="37"/>
  <c r="K462" i="37"/>
  <c r="O462" i="37"/>
  <c r="Q462" i="37"/>
  <c r="K463" i="37"/>
  <c r="O463" i="37"/>
  <c r="Q463" i="37"/>
  <c r="K464" i="37"/>
  <c r="O464" i="37"/>
  <c r="Q464" i="37"/>
  <c r="K465" i="37"/>
  <c r="O465" i="37"/>
  <c r="Q465" i="37"/>
  <c r="K466" i="37"/>
  <c r="O466" i="37"/>
  <c r="Q466" i="37"/>
  <c r="K467" i="37"/>
  <c r="O467" i="37"/>
  <c r="Q467" i="37"/>
  <c r="K468" i="37"/>
  <c r="O468" i="37"/>
  <c r="Q468" i="37"/>
  <c r="K469" i="37"/>
  <c r="O469" i="37"/>
  <c r="Q469" i="37"/>
  <c r="K470" i="37"/>
  <c r="O470" i="37"/>
  <c r="Q470" i="37"/>
  <c r="K471" i="37"/>
  <c r="O471" i="37"/>
  <c r="Q471" i="37"/>
  <c r="K472" i="37"/>
  <c r="O472" i="37"/>
  <c r="Q472" i="37"/>
  <c r="K473" i="37"/>
  <c r="O473" i="37"/>
  <c r="Q473" i="37"/>
  <c r="K474" i="37"/>
  <c r="O474" i="37"/>
  <c r="Q474" i="37"/>
  <c r="K475" i="37"/>
  <c r="O475" i="37"/>
  <c r="Q475" i="37"/>
  <c r="K476" i="37"/>
  <c r="O476" i="37"/>
  <c r="Q476" i="37"/>
  <c r="K477" i="37"/>
  <c r="O477" i="37"/>
  <c r="Q477" i="37"/>
  <c r="K478" i="37"/>
  <c r="O478" i="37"/>
  <c r="Q478" i="37"/>
  <c r="K479" i="37"/>
  <c r="O479" i="37"/>
  <c r="Q479" i="37"/>
  <c r="K480" i="37"/>
  <c r="O480" i="37"/>
  <c r="Q480" i="37"/>
  <c r="K481" i="37"/>
  <c r="O481" i="37"/>
  <c r="Q481" i="37"/>
  <c r="K482" i="37"/>
  <c r="O482" i="37"/>
  <c r="Q482" i="37"/>
  <c r="K483" i="37"/>
  <c r="O483" i="37"/>
  <c r="Q483" i="37"/>
  <c r="K484" i="37"/>
  <c r="O484" i="37"/>
  <c r="Q484" i="37"/>
  <c r="K485" i="37"/>
  <c r="O485" i="37"/>
  <c r="Q485" i="37"/>
  <c r="K486" i="37"/>
  <c r="O486" i="37"/>
  <c r="Q486" i="37"/>
  <c r="K487" i="37"/>
  <c r="O487" i="37"/>
  <c r="Q487" i="37"/>
  <c r="K488" i="37"/>
  <c r="O488" i="37"/>
  <c r="Q488" i="37"/>
  <c r="K489" i="37"/>
  <c r="O489" i="37"/>
  <c r="Q489" i="37"/>
  <c r="K490" i="37"/>
  <c r="O490" i="37"/>
  <c r="Q490" i="37"/>
  <c r="K491" i="37"/>
  <c r="O491" i="37"/>
  <c r="Q491" i="37"/>
  <c r="K492" i="37"/>
  <c r="O492" i="37"/>
  <c r="Q492" i="37"/>
  <c r="K493" i="37"/>
  <c r="O493" i="37"/>
  <c r="Q493" i="37"/>
  <c r="K494" i="37"/>
  <c r="O494" i="37"/>
  <c r="Q494" i="37"/>
  <c r="K495" i="37"/>
  <c r="O495" i="37"/>
  <c r="Q495" i="37"/>
  <c r="K496" i="37"/>
  <c r="O496" i="37"/>
  <c r="Q496" i="37"/>
  <c r="K497" i="37"/>
  <c r="O497" i="37"/>
  <c r="Q497" i="37"/>
  <c r="K498" i="37"/>
  <c r="O498" i="37"/>
  <c r="Q498" i="37"/>
  <c r="K499" i="37"/>
  <c r="O499" i="37"/>
  <c r="Q499" i="37"/>
  <c r="K500" i="37"/>
  <c r="O500" i="37"/>
  <c r="Q500" i="37"/>
  <c r="K501" i="37"/>
  <c r="O501" i="37"/>
  <c r="Q501" i="37"/>
  <c r="K502" i="37"/>
  <c r="O502" i="37"/>
  <c r="Q502" i="37"/>
  <c r="K503" i="37"/>
  <c r="O503" i="37"/>
  <c r="Q503" i="37"/>
  <c r="K504" i="37"/>
  <c r="O504" i="37"/>
  <c r="Q504" i="37"/>
  <c r="K505" i="37"/>
  <c r="O505" i="37"/>
  <c r="Q505" i="37"/>
  <c r="K506" i="37"/>
  <c r="O506" i="37"/>
  <c r="Q506" i="37"/>
  <c r="K507" i="37"/>
  <c r="O507" i="37"/>
  <c r="Q507" i="37"/>
  <c r="K508" i="37"/>
  <c r="O508" i="37"/>
  <c r="Q508" i="37"/>
  <c r="K509" i="37"/>
  <c r="O509" i="37"/>
  <c r="Q509" i="37"/>
  <c r="K510" i="37"/>
  <c r="O510" i="37"/>
  <c r="Q510" i="37"/>
  <c r="K511" i="37"/>
  <c r="O511" i="37"/>
  <c r="Q511" i="37"/>
  <c r="K512" i="37"/>
  <c r="O512" i="37"/>
  <c r="Q512" i="37"/>
  <c r="K513" i="37"/>
  <c r="O513" i="37"/>
  <c r="Q513" i="37"/>
  <c r="K514" i="37"/>
  <c r="O514" i="37"/>
  <c r="Q514" i="37"/>
  <c r="K515" i="37"/>
  <c r="O515" i="37"/>
  <c r="Q515" i="37"/>
  <c r="K76" i="37"/>
  <c r="O76" i="37"/>
  <c r="Q76" i="37"/>
  <c r="I77" i="42"/>
  <c r="P77" i="42"/>
  <c r="F29" i="42"/>
  <c r="R77" i="42"/>
  <c r="U77" i="42"/>
  <c r="I78" i="42"/>
  <c r="P78" i="42"/>
  <c r="R78" i="42"/>
  <c r="U78" i="42"/>
  <c r="I79" i="42"/>
  <c r="P79" i="42"/>
  <c r="R79" i="42"/>
  <c r="U79" i="42"/>
  <c r="I80" i="42"/>
  <c r="P80" i="42"/>
  <c r="R80" i="42"/>
  <c r="U80" i="42"/>
  <c r="I81" i="42"/>
  <c r="P81" i="42"/>
  <c r="R81" i="42"/>
  <c r="U81" i="42"/>
  <c r="I82" i="42"/>
  <c r="P82" i="42"/>
  <c r="R82" i="42"/>
  <c r="U82" i="42"/>
  <c r="I83" i="42"/>
  <c r="P83" i="42"/>
  <c r="R83" i="42"/>
  <c r="U83" i="42"/>
  <c r="I84" i="42"/>
  <c r="P84" i="42"/>
  <c r="R84" i="42"/>
  <c r="U84" i="42"/>
  <c r="I85" i="42"/>
  <c r="P85" i="42"/>
  <c r="R85" i="42"/>
  <c r="U85" i="42"/>
  <c r="I86" i="42"/>
  <c r="P86" i="42"/>
  <c r="R86" i="42"/>
  <c r="U86" i="42"/>
  <c r="I87" i="42"/>
  <c r="P87" i="42"/>
  <c r="R87" i="42"/>
  <c r="U87" i="42"/>
  <c r="I88" i="42"/>
  <c r="P88" i="42"/>
  <c r="R88" i="42"/>
  <c r="U88" i="42"/>
  <c r="I89" i="42"/>
  <c r="P89" i="42"/>
  <c r="R89" i="42"/>
  <c r="U89" i="42"/>
  <c r="I90" i="42"/>
  <c r="P90" i="42"/>
  <c r="R90" i="42"/>
  <c r="U90" i="42"/>
  <c r="I91" i="42"/>
  <c r="P91" i="42"/>
  <c r="R91" i="42"/>
  <c r="U91" i="42"/>
  <c r="I92" i="42"/>
  <c r="P92" i="42"/>
  <c r="R92" i="42"/>
  <c r="U92" i="42"/>
  <c r="I93" i="42"/>
  <c r="P93" i="42"/>
  <c r="R93" i="42"/>
  <c r="U93" i="42"/>
  <c r="I94" i="42"/>
  <c r="P94" i="42"/>
  <c r="R94" i="42"/>
  <c r="U94" i="42"/>
  <c r="I95" i="42"/>
  <c r="P95" i="42"/>
  <c r="R95" i="42"/>
  <c r="U95" i="42"/>
  <c r="I96" i="42"/>
  <c r="P96" i="42"/>
  <c r="R96" i="42"/>
  <c r="U96" i="42"/>
  <c r="I97" i="42"/>
  <c r="P97" i="42"/>
  <c r="R97" i="42"/>
  <c r="U97" i="42"/>
  <c r="I98" i="42"/>
  <c r="P98" i="42"/>
  <c r="R98" i="42"/>
  <c r="U98" i="42"/>
  <c r="I99" i="42"/>
  <c r="P99" i="42"/>
  <c r="R99" i="42"/>
  <c r="U99" i="42"/>
  <c r="I100" i="42"/>
  <c r="P100" i="42"/>
  <c r="R100" i="42"/>
  <c r="U100" i="42"/>
  <c r="I101" i="42"/>
  <c r="P101" i="42"/>
  <c r="R101" i="42"/>
  <c r="U101" i="42"/>
  <c r="I102" i="42"/>
  <c r="P102" i="42"/>
  <c r="R102" i="42"/>
  <c r="U102" i="42"/>
  <c r="I103" i="42"/>
  <c r="P103" i="42"/>
  <c r="R103" i="42"/>
  <c r="U103" i="42"/>
  <c r="I104" i="42"/>
  <c r="P104" i="42"/>
  <c r="R104" i="42"/>
  <c r="U104" i="42"/>
  <c r="I105" i="42"/>
  <c r="P105" i="42"/>
  <c r="R105" i="42"/>
  <c r="U105" i="42"/>
  <c r="I106" i="42"/>
  <c r="P106" i="42"/>
  <c r="R106" i="42"/>
  <c r="U106" i="42"/>
  <c r="I107" i="42"/>
  <c r="P107" i="42"/>
  <c r="R107" i="42"/>
  <c r="U107" i="42"/>
  <c r="I108" i="42"/>
  <c r="P108" i="42"/>
  <c r="R108" i="42"/>
  <c r="U108" i="42"/>
  <c r="I109" i="42"/>
  <c r="P109" i="42"/>
  <c r="R109" i="42"/>
  <c r="U109" i="42"/>
  <c r="I110" i="42"/>
  <c r="P110" i="42"/>
  <c r="R110" i="42"/>
  <c r="U110" i="42"/>
  <c r="I111" i="42"/>
  <c r="P111" i="42"/>
  <c r="R111" i="42"/>
  <c r="U111" i="42"/>
  <c r="I112" i="42"/>
  <c r="P112" i="42"/>
  <c r="R112" i="42"/>
  <c r="U112" i="42"/>
  <c r="I113" i="42"/>
  <c r="P113" i="42"/>
  <c r="R113" i="42"/>
  <c r="U113" i="42"/>
  <c r="I114" i="42"/>
  <c r="P114" i="42"/>
  <c r="R114" i="42"/>
  <c r="U114" i="42"/>
  <c r="I115" i="42"/>
  <c r="P115" i="42"/>
  <c r="R115" i="42"/>
  <c r="U115" i="42"/>
  <c r="I116" i="42"/>
  <c r="P116" i="42"/>
  <c r="R116" i="42"/>
  <c r="U116" i="42"/>
  <c r="I117" i="42"/>
  <c r="P117" i="42"/>
  <c r="R117" i="42"/>
  <c r="U117" i="42"/>
  <c r="I118" i="42"/>
  <c r="P118" i="42"/>
  <c r="R118" i="42"/>
  <c r="U118" i="42"/>
  <c r="I119" i="42"/>
  <c r="P119" i="42"/>
  <c r="R119" i="42"/>
  <c r="U119" i="42"/>
  <c r="I120" i="42"/>
  <c r="P120" i="42"/>
  <c r="R120" i="42"/>
  <c r="U120" i="42"/>
  <c r="I121" i="42"/>
  <c r="P121" i="42"/>
  <c r="R121" i="42"/>
  <c r="U121" i="42"/>
  <c r="I122" i="42"/>
  <c r="P122" i="42"/>
  <c r="R122" i="42"/>
  <c r="U122" i="42"/>
  <c r="I123" i="42"/>
  <c r="P123" i="42"/>
  <c r="R123" i="42"/>
  <c r="U123" i="42"/>
  <c r="I124" i="42"/>
  <c r="P124" i="42"/>
  <c r="R124" i="42"/>
  <c r="U124" i="42"/>
  <c r="I125" i="42"/>
  <c r="P125" i="42"/>
  <c r="R125" i="42"/>
  <c r="U125" i="42"/>
  <c r="I126" i="42"/>
  <c r="P126" i="42"/>
  <c r="R126" i="42"/>
  <c r="U126" i="42"/>
  <c r="I127" i="42"/>
  <c r="P127" i="42"/>
  <c r="R127" i="42"/>
  <c r="U127" i="42"/>
  <c r="I128" i="42"/>
  <c r="P128" i="42"/>
  <c r="R128" i="42"/>
  <c r="U128" i="42"/>
  <c r="I129" i="42"/>
  <c r="P129" i="42"/>
  <c r="R129" i="42"/>
  <c r="U129" i="42"/>
  <c r="I130" i="42"/>
  <c r="P130" i="42"/>
  <c r="R130" i="42"/>
  <c r="U130" i="42"/>
  <c r="I131" i="42"/>
  <c r="P131" i="42"/>
  <c r="R131" i="42"/>
  <c r="U131" i="42"/>
  <c r="I132" i="42"/>
  <c r="P132" i="42"/>
  <c r="R132" i="42"/>
  <c r="U132" i="42"/>
  <c r="I133" i="42"/>
  <c r="P133" i="42"/>
  <c r="R133" i="42"/>
  <c r="U133" i="42"/>
  <c r="I134" i="42"/>
  <c r="P134" i="42"/>
  <c r="R134" i="42"/>
  <c r="U134" i="42"/>
  <c r="I135" i="42"/>
  <c r="P135" i="42"/>
  <c r="R135" i="42"/>
  <c r="U135" i="42"/>
  <c r="I136" i="42"/>
  <c r="P136" i="42"/>
  <c r="R136" i="42"/>
  <c r="U136" i="42"/>
  <c r="I137" i="42"/>
  <c r="P137" i="42"/>
  <c r="R137" i="42"/>
  <c r="U137" i="42"/>
  <c r="I138" i="42"/>
  <c r="P138" i="42"/>
  <c r="R138" i="42"/>
  <c r="U138" i="42"/>
  <c r="I139" i="42"/>
  <c r="P139" i="42"/>
  <c r="R139" i="42"/>
  <c r="U139" i="42"/>
  <c r="I140" i="42"/>
  <c r="P140" i="42"/>
  <c r="R140" i="42"/>
  <c r="U140" i="42"/>
  <c r="I141" i="42"/>
  <c r="P141" i="42"/>
  <c r="R141" i="42"/>
  <c r="U141" i="42"/>
  <c r="I142" i="42"/>
  <c r="P142" i="42"/>
  <c r="R142" i="42"/>
  <c r="U142" i="42"/>
  <c r="I143" i="42"/>
  <c r="P143" i="42"/>
  <c r="R143" i="42"/>
  <c r="U143" i="42"/>
  <c r="I144" i="42"/>
  <c r="P144" i="42"/>
  <c r="R144" i="42"/>
  <c r="U144" i="42"/>
  <c r="I145" i="42"/>
  <c r="P145" i="42"/>
  <c r="R145" i="42"/>
  <c r="U145" i="42"/>
  <c r="I146" i="42"/>
  <c r="P146" i="42"/>
  <c r="R146" i="42"/>
  <c r="U146" i="42"/>
  <c r="I147" i="42"/>
  <c r="P147" i="42"/>
  <c r="R147" i="42"/>
  <c r="U147" i="42"/>
  <c r="I148" i="42"/>
  <c r="P148" i="42"/>
  <c r="R148" i="42"/>
  <c r="U148" i="42"/>
  <c r="I149" i="42"/>
  <c r="P149" i="42"/>
  <c r="R149" i="42"/>
  <c r="U149" i="42"/>
  <c r="I150" i="42"/>
  <c r="P150" i="42"/>
  <c r="R150" i="42"/>
  <c r="U150" i="42"/>
  <c r="I151" i="42"/>
  <c r="P151" i="42"/>
  <c r="R151" i="42"/>
  <c r="U151" i="42"/>
  <c r="I152" i="42"/>
  <c r="P152" i="42"/>
  <c r="R152" i="42"/>
  <c r="U152" i="42"/>
  <c r="I153" i="42"/>
  <c r="P153" i="42"/>
  <c r="R153" i="42"/>
  <c r="U153" i="42"/>
  <c r="I154" i="42"/>
  <c r="P154" i="42"/>
  <c r="R154" i="42"/>
  <c r="U154" i="42"/>
  <c r="I155" i="42"/>
  <c r="P155" i="42"/>
  <c r="R155" i="42"/>
  <c r="U155" i="42"/>
  <c r="I156" i="42"/>
  <c r="P156" i="42"/>
  <c r="R156" i="42"/>
  <c r="U156" i="42"/>
  <c r="I157" i="42"/>
  <c r="P157" i="42"/>
  <c r="R157" i="42"/>
  <c r="U157" i="42"/>
  <c r="I158" i="42"/>
  <c r="P158" i="42"/>
  <c r="R158" i="42"/>
  <c r="U158" i="42"/>
  <c r="I159" i="42"/>
  <c r="P159" i="42"/>
  <c r="R159" i="42"/>
  <c r="U159" i="42"/>
  <c r="I160" i="42"/>
  <c r="P160" i="42"/>
  <c r="R160" i="42"/>
  <c r="U160" i="42"/>
  <c r="I161" i="42"/>
  <c r="P161" i="42"/>
  <c r="R161" i="42"/>
  <c r="U161" i="42"/>
  <c r="I162" i="42"/>
  <c r="P162" i="42"/>
  <c r="R162" i="42"/>
  <c r="U162" i="42"/>
  <c r="I163" i="42"/>
  <c r="P163" i="42"/>
  <c r="R163" i="42"/>
  <c r="U163" i="42"/>
  <c r="I164" i="42"/>
  <c r="P164" i="42"/>
  <c r="R164" i="42"/>
  <c r="U164" i="42"/>
  <c r="I165" i="42"/>
  <c r="P165" i="42"/>
  <c r="R165" i="42"/>
  <c r="U165" i="42"/>
  <c r="I166" i="42"/>
  <c r="P166" i="42"/>
  <c r="R166" i="42"/>
  <c r="U166" i="42"/>
  <c r="I167" i="42"/>
  <c r="P167" i="42"/>
  <c r="R167" i="42"/>
  <c r="U167" i="42"/>
  <c r="I168" i="42"/>
  <c r="P168" i="42"/>
  <c r="R168" i="42"/>
  <c r="U168" i="42"/>
  <c r="I169" i="42"/>
  <c r="P169" i="42"/>
  <c r="R169" i="42"/>
  <c r="U169" i="42"/>
  <c r="I170" i="42"/>
  <c r="P170" i="42"/>
  <c r="R170" i="42"/>
  <c r="U170" i="42"/>
  <c r="I171" i="42"/>
  <c r="P171" i="42"/>
  <c r="R171" i="42"/>
  <c r="U171" i="42"/>
  <c r="I172" i="42"/>
  <c r="P172" i="42"/>
  <c r="R172" i="42"/>
  <c r="U172" i="42"/>
  <c r="I173" i="42"/>
  <c r="P173" i="42"/>
  <c r="R173" i="42"/>
  <c r="U173" i="42"/>
  <c r="I174" i="42"/>
  <c r="P174" i="42"/>
  <c r="R174" i="42"/>
  <c r="U174" i="42"/>
  <c r="I175" i="42"/>
  <c r="P175" i="42"/>
  <c r="R175" i="42"/>
  <c r="U175" i="42"/>
  <c r="I176" i="42"/>
  <c r="P176" i="42"/>
  <c r="R176" i="42"/>
  <c r="U176" i="42"/>
  <c r="I177" i="42"/>
  <c r="P177" i="42"/>
  <c r="R177" i="42"/>
  <c r="U177" i="42"/>
  <c r="I178" i="42"/>
  <c r="P178" i="42"/>
  <c r="R178" i="42"/>
  <c r="U178" i="42"/>
  <c r="I179" i="42"/>
  <c r="P179" i="42"/>
  <c r="R179" i="42"/>
  <c r="U179" i="42"/>
  <c r="I180" i="42"/>
  <c r="P180" i="42"/>
  <c r="R180" i="42"/>
  <c r="U180" i="42"/>
  <c r="I181" i="42"/>
  <c r="P181" i="42"/>
  <c r="R181" i="42"/>
  <c r="U181" i="42"/>
  <c r="I182" i="42"/>
  <c r="P182" i="42"/>
  <c r="R182" i="42"/>
  <c r="U182" i="42"/>
  <c r="I183" i="42"/>
  <c r="P183" i="42"/>
  <c r="R183" i="42"/>
  <c r="U183" i="42"/>
  <c r="I184" i="42"/>
  <c r="P184" i="42"/>
  <c r="R184" i="42"/>
  <c r="U184" i="42"/>
  <c r="I185" i="42"/>
  <c r="P185" i="42"/>
  <c r="R185" i="42"/>
  <c r="U185" i="42"/>
  <c r="I186" i="42"/>
  <c r="P186" i="42"/>
  <c r="R186" i="42"/>
  <c r="U186" i="42"/>
  <c r="I187" i="42"/>
  <c r="P187" i="42"/>
  <c r="R187" i="42"/>
  <c r="U187" i="42"/>
  <c r="I188" i="42"/>
  <c r="P188" i="42"/>
  <c r="R188" i="42"/>
  <c r="U188" i="42"/>
  <c r="I189" i="42"/>
  <c r="P189" i="42"/>
  <c r="R189" i="42"/>
  <c r="U189" i="42"/>
  <c r="I190" i="42"/>
  <c r="P190" i="42"/>
  <c r="R190" i="42"/>
  <c r="U190" i="42"/>
  <c r="I191" i="42"/>
  <c r="P191" i="42"/>
  <c r="R191" i="42"/>
  <c r="U191" i="42"/>
  <c r="I192" i="42"/>
  <c r="P192" i="42"/>
  <c r="R192" i="42"/>
  <c r="U192" i="42"/>
  <c r="I193" i="42"/>
  <c r="P193" i="42"/>
  <c r="R193" i="42"/>
  <c r="U193" i="42"/>
  <c r="I194" i="42"/>
  <c r="P194" i="42"/>
  <c r="R194" i="42"/>
  <c r="U194" i="42"/>
  <c r="I195" i="42"/>
  <c r="P195" i="42"/>
  <c r="R195" i="42"/>
  <c r="U195" i="42"/>
  <c r="I196" i="42"/>
  <c r="P196" i="42"/>
  <c r="R196" i="42"/>
  <c r="U196" i="42"/>
  <c r="I197" i="42"/>
  <c r="P197" i="42"/>
  <c r="R197" i="42"/>
  <c r="U197" i="42"/>
  <c r="I198" i="42"/>
  <c r="P198" i="42"/>
  <c r="R198" i="42"/>
  <c r="U198" i="42"/>
  <c r="I199" i="42"/>
  <c r="P199" i="42"/>
  <c r="R199" i="42"/>
  <c r="U199" i="42"/>
  <c r="I200" i="42"/>
  <c r="P200" i="42"/>
  <c r="R200" i="42"/>
  <c r="U200" i="42"/>
  <c r="I201" i="42"/>
  <c r="P201" i="42"/>
  <c r="R201" i="42"/>
  <c r="U201" i="42"/>
  <c r="I202" i="42"/>
  <c r="P202" i="42"/>
  <c r="R202" i="42"/>
  <c r="U202" i="42"/>
  <c r="I203" i="42"/>
  <c r="P203" i="42"/>
  <c r="R203" i="42"/>
  <c r="U203" i="42"/>
  <c r="I204" i="42"/>
  <c r="P204" i="42"/>
  <c r="R204" i="42"/>
  <c r="U204" i="42"/>
  <c r="I205" i="42"/>
  <c r="P205" i="42"/>
  <c r="R205" i="42"/>
  <c r="U205" i="42"/>
  <c r="I206" i="42"/>
  <c r="P206" i="42"/>
  <c r="R206" i="42"/>
  <c r="U206" i="42"/>
  <c r="I207" i="42"/>
  <c r="P207" i="42"/>
  <c r="R207" i="42"/>
  <c r="U207" i="42"/>
  <c r="I208" i="42"/>
  <c r="P208" i="42"/>
  <c r="R208" i="42"/>
  <c r="U208" i="42"/>
  <c r="I209" i="42"/>
  <c r="P209" i="42"/>
  <c r="R209" i="42"/>
  <c r="U209" i="42"/>
  <c r="I210" i="42"/>
  <c r="P210" i="42"/>
  <c r="R210" i="42"/>
  <c r="U210" i="42"/>
  <c r="I211" i="42"/>
  <c r="P211" i="42"/>
  <c r="R211" i="42"/>
  <c r="U211" i="42"/>
  <c r="I212" i="42"/>
  <c r="P212" i="42"/>
  <c r="R212" i="42"/>
  <c r="U212" i="42"/>
  <c r="I213" i="42"/>
  <c r="P213" i="42"/>
  <c r="R213" i="42"/>
  <c r="U213" i="42"/>
  <c r="I214" i="42"/>
  <c r="P214" i="42"/>
  <c r="R214" i="42"/>
  <c r="U214" i="42"/>
  <c r="I215" i="42"/>
  <c r="P215" i="42"/>
  <c r="R215" i="42"/>
  <c r="U215" i="42"/>
  <c r="I216" i="42"/>
  <c r="P216" i="42"/>
  <c r="R216" i="42"/>
  <c r="U216" i="42"/>
  <c r="I217" i="42"/>
  <c r="P217" i="42"/>
  <c r="R217" i="42"/>
  <c r="U217" i="42"/>
  <c r="I218" i="42"/>
  <c r="P218" i="42"/>
  <c r="R218" i="42"/>
  <c r="U218" i="42"/>
  <c r="I219" i="42"/>
  <c r="P219" i="42"/>
  <c r="R219" i="42"/>
  <c r="U219" i="42"/>
  <c r="I220" i="42"/>
  <c r="P220" i="42"/>
  <c r="R220" i="42"/>
  <c r="U220" i="42"/>
  <c r="I221" i="42"/>
  <c r="P221" i="42"/>
  <c r="R221" i="42"/>
  <c r="U221" i="42"/>
  <c r="I222" i="42"/>
  <c r="P222" i="42"/>
  <c r="R222" i="42"/>
  <c r="U222" i="42"/>
  <c r="I223" i="42"/>
  <c r="P223" i="42"/>
  <c r="R223" i="42"/>
  <c r="U223" i="42"/>
  <c r="I224" i="42"/>
  <c r="P224" i="42"/>
  <c r="R224" i="42"/>
  <c r="U224" i="42"/>
  <c r="I225" i="42"/>
  <c r="P225" i="42"/>
  <c r="R225" i="42"/>
  <c r="U225" i="42"/>
  <c r="I226" i="42"/>
  <c r="P226" i="42"/>
  <c r="R226" i="42"/>
  <c r="U226" i="42"/>
  <c r="I227" i="42"/>
  <c r="P227" i="42"/>
  <c r="R227" i="42"/>
  <c r="U227" i="42"/>
  <c r="I228" i="42"/>
  <c r="P228" i="42"/>
  <c r="R228" i="42"/>
  <c r="U228" i="42"/>
  <c r="I229" i="42"/>
  <c r="P229" i="42"/>
  <c r="R229" i="42"/>
  <c r="U229" i="42"/>
  <c r="I230" i="42"/>
  <c r="P230" i="42"/>
  <c r="R230" i="42"/>
  <c r="U230" i="42"/>
  <c r="I231" i="42"/>
  <c r="P231" i="42"/>
  <c r="R231" i="42"/>
  <c r="U231" i="42"/>
  <c r="I232" i="42"/>
  <c r="P232" i="42"/>
  <c r="R232" i="42"/>
  <c r="U232" i="42"/>
  <c r="I233" i="42"/>
  <c r="P233" i="42"/>
  <c r="R233" i="42"/>
  <c r="U233" i="42"/>
  <c r="I234" i="42"/>
  <c r="P234" i="42"/>
  <c r="R234" i="42"/>
  <c r="U234" i="42"/>
  <c r="I235" i="42"/>
  <c r="P235" i="42"/>
  <c r="R235" i="42"/>
  <c r="U235" i="42"/>
  <c r="I236" i="42"/>
  <c r="P236" i="42"/>
  <c r="R236" i="42"/>
  <c r="U236" i="42"/>
  <c r="I237" i="42"/>
  <c r="P237" i="42"/>
  <c r="R237" i="42"/>
  <c r="U237" i="42"/>
  <c r="I238" i="42"/>
  <c r="P238" i="42"/>
  <c r="R238" i="42"/>
  <c r="U238" i="42"/>
  <c r="I239" i="42"/>
  <c r="P239" i="42"/>
  <c r="R239" i="42"/>
  <c r="U239" i="42"/>
  <c r="I240" i="42"/>
  <c r="P240" i="42"/>
  <c r="R240" i="42"/>
  <c r="U240" i="42"/>
  <c r="I241" i="42"/>
  <c r="P241" i="42"/>
  <c r="R241" i="42"/>
  <c r="U241" i="42"/>
  <c r="I242" i="42"/>
  <c r="P242" i="42"/>
  <c r="R242" i="42"/>
  <c r="U242" i="42"/>
  <c r="I243" i="42"/>
  <c r="P243" i="42"/>
  <c r="R243" i="42"/>
  <c r="U243" i="42"/>
  <c r="I244" i="42"/>
  <c r="P244" i="42"/>
  <c r="R244" i="42"/>
  <c r="U244" i="42"/>
  <c r="I245" i="42"/>
  <c r="P245" i="42"/>
  <c r="R245" i="42"/>
  <c r="U245" i="42"/>
  <c r="I246" i="42"/>
  <c r="P246" i="42"/>
  <c r="R246" i="42"/>
  <c r="U246" i="42"/>
  <c r="I247" i="42"/>
  <c r="P247" i="42"/>
  <c r="R247" i="42"/>
  <c r="U247" i="42"/>
  <c r="I248" i="42"/>
  <c r="P248" i="42"/>
  <c r="R248" i="42"/>
  <c r="U248" i="42"/>
  <c r="I249" i="42"/>
  <c r="P249" i="42"/>
  <c r="R249" i="42"/>
  <c r="U249" i="42"/>
  <c r="I250" i="42"/>
  <c r="P250" i="42"/>
  <c r="R250" i="42"/>
  <c r="U250" i="42"/>
  <c r="I251" i="42"/>
  <c r="P251" i="42"/>
  <c r="R251" i="42"/>
  <c r="U251" i="42"/>
  <c r="I252" i="42"/>
  <c r="P252" i="42"/>
  <c r="R252" i="42"/>
  <c r="U252" i="42"/>
  <c r="I253" i="42"/>
  <c r="P253" i="42"/>
  <c r="R253" i="42"/>
  <c r="U253" i="42"/>
  <c r="I254" i="42"/>
  <c r="P254" i="42"/>
  <c r="R254" i="42"/>
  <c r="U254" i="42"/>
  <c r="I255" i="42"/>
  <c r="P255" i="42"/>
  <c r="R255" i="42"/>
  <c r="U255" i="42"/>
  <c r="I256" i="42"/>
  <c r="P256" i="42"/>
  <c r="R256" i="42"/>
  <c r="U256" i="42"/>
  <c r="I257" i="42"/>
  <c r="P257" i="42"/>
  <c r="R257" i="42"/>
  <c r="U257" i="42"/>
  <c r="I258" i="42"/>
  <c r="P258" i="42"/>
  <c r="R258" i="42"/>
  <c r="U258" i="42"/>
  <c r="I259" i="42"/>
  <c r="P259" i="42"/>
  <c r="R259" i="42"/>
  <c r="U259" i="42"/>
  <c r="I260" i="42"/>
  <c r="P260" i="42"/>
  <c r="R260" i="42"/>
  <c r="U260" i="42"/>
  <c r="I261" i="42"/>
  <c r="P261" i="42"/>
  <c r="R261" i="42"/>
  <c r="U261" i="42"/>
  <c r="I262" i="42"/>
  <c r="P262" i="42"/>
  <c r="R262" i="42"/>
  <c r="U262" i="42"/>
  <c r="I263" i="42"/>
  <c r="P263" i="42"/>
  <c r="R263" i="42"/>
  <c r="U263" i="42"/>
  <c r="I264" i="42"/>
  <c r="P264" i="42"/>
  <c r="R264" i="42"/>
  <c r="U264" i="42"/>
  <c r="I265" i="42"/>
  <c r="P265" i="42"/>
  <c r="R265" i="42"/>
  <c r="U265" i="42"/>
  <c r="I266" i="42"/>
  <c r="P266" i="42"/>
  <c r="R266" i="42"/>
  <c r="U266" i="42"/>
  <c r="I267" i="42"/>
  <c r="P267" i="42"/>
  <c r="R267" i="42"/>
  <c r="U267" i="42"/>
  <c r="I268" i="42"/>
  <c r="P268" i="42"/>
  <c r="R268" i="42"/>
  <c r="U268" i="42"/>
  <c r="I269" i="42"/>
  <c r="P269" i="42"/>
  <c r="R269" i="42"/>
  <c r="U269" i="42"/>
  <c r="I270" i="42"/>
  <c r="P270" i="42"/>
  <c r="R270" i="42"/>
  <c r="U270" i="42"/>
  <c r="I271" i="42"/>
  <c r="P271" i="42"/>
  <c r="R271" i="42"/>
  <c r="U271" i="42"/>
  <c r="I272" i="42"/>
  <c r="P272" i="42"/>
  <c r="R272" i="42"/>
  <c r="U272" i="42"/>
  <c r="I273" i="42"/>
  <c r="P273" i="42"/>
  <c r="R273" i="42"/>
  <c r="U273" i="42"/>
  <c r="I274" i="42"/>
  <c r="P274" i="42"/>
  <c r="R274" i="42"/>
  <c r="U274" i="42"/>
  <c r="I275" i="42"/>
  <c r="P275" i="42"/>
  <c r="R275" i="42"/>
  <c r="U275" i="42"/>
  <c r="I276" i="42"/>
  <c r="P276" i="42"/>
  <c r="R276" i="42"/>
  <c r="U276" i="42"/>
  <c r="I277" i="42"/>
  <c r="P277" i="42"/>
  <c r="R277" i="42"/>
  <c r="U277" i="42"/>
  <c r="I278" i="42"/>
  <c r="P278" i="42"/>
  <c r="R278" i="42"/>
  <c r="U278" i="42"/>
  <c r="I279" i="42"/>
  <c r="P279" i="42"/>
  <c r="R279" i="42"/>
  <c r="U279" i="42"/>
  <c r="I280" i="42"/>
  <c r="P280" i="42"/>
  <c r="R280" i="42"/>
  <c r="U280" i="42"/>
  <c r="I281" i="42"/>
  <c r="P281" i="42"/>
  <c r="R281" i="42"/>
  <c r="U281" i="42"/>
  <c r="I282" i="42"/>
  <c r="P282" i="42"/>
  <c r="R282" i="42"/>
  <c r="U282" i="42"/>
  <c r="I283" i="42"/>
  <c r="P283" i="42"/>
  <c r="R283" i="42"/>
  <c r="U283" i="42"/>
  <c r="I284" i="42"/>
  <c r="P284" i="42"/>
  <c r="R284" i="42"/>
  <c r="U284" i="42"/>
  <c r="I285" i="42"/>
  <c r="P285" i="42"/>
  <c r="R285" i="42"/>
  <c r="U285" i="42"/>
  <c r="I286" i="42"/>
  <c r="P286" i="42"/>
  <c r="R286" i="42"/>
  <c r="U286" i="42"/>
  <c r="I287" i="42"/>
  <c r="P287" i="42"/>
  <c r="R287" i="42"/>
  <c r="U287" i="42"/>
  <c r="I288" i="42"/>
  <c r="P288" i="42"/>
  <c r="R288" i="42"/>
  <c r="U288" i="42"/>
  <c r="I289" i="42"/>
  <c r="P289" i="42"/>
  <c r="R289" i="42"/>
  <c r="U289" i="42"/>
  <c r="I290" i="42"/>
  <c r="P290" i="42"/>
  <c r="R290" i="42"/>
  <c r="U290" i="42"/>
  <c r="I291" i="42"/>
  <c r="P291" i="42"/>
  <c r="R291" i="42"/>
  <c r="U291" i="42"/>
  <c r="I292" i="42"/>
  <c r="P292" i="42"/>
  <c r="R292" i="42"/>
  <c r="U292" i="42"/>
  <c r="I293" i="42"/>
  <c r="P293" i="42"/>
  <c r="R293" i="42"/>
  <c r="U293" i="42"/>
  <c r="I294" i="42"/>
  <c r="P294" i="42"/>
  <c r="R294" i="42"/>
  <c r="U294" i="42"/>
  <c r="I295" i="42"/>
  <c r="P295" i="42"/>
  <c r="R295" i="42"/>
  <c r="U295" i="42"/>
  <c r="I296" i="42"/>
  <c r="P296" i="42"/>
  <c r="R296" i="42"/>
  <c r="U296" i="42"/>
  <c r="I297" i="42"/>
  <c r="P297" i="42"/>
  <c r="R297" i="42"/>
  <c r="U297" i="42"/>
  <c r="I298" i="42"/>
  <c r="P298" i="42"/>
  <c r="R298" i="42"/>
  <c r="U298" i="42"/>
  <c r="I299" i="42"/>
  <c r="P299" i="42"/>
  <c r="R299" i="42"/>
  <c r="U299" i="42"/>
  <c r="I300" i="42"/>
  <c r="P300" i="42"/>
  <c r="R300" i="42"/>
  <c r="U300" i="42"/>
  <c r="I301" i="42"/>
  <c r="P301" i="42"/>
  <c r="R301" i="42"/>
  <c r="U301" i="42"/>
  <c r="I302" i="42"/>
  <c r="P302" i="42"/>
  <c r="R302" i="42"/>
  <c r="U302" i="42"/>
  <c r="I303" i="42"/>
  <c r="P303" i="42"/>
  <c r="R303" i="42"/>
  <c r="U303" i="42"/>
  <c r="I304" i="42"/>
  <c r="P304" i="42"/>
  <c r="R304" i="42"/>
  <c r="U304" i="42"/>
  <c r="I305" i="42"/>
  <c r="P305" i="42"/>
  <c r="R305" i="42"/>
  <c r="U305" i="42"/>
  <c r="I306" i="42"/>
  <c r="P306" i="42"/>
  <c r="R306" i="42"/>
  <c r="U306" i="42"/>
  <c r="I307" i="42"/>
  <c r="P307" i="42"/>
  <c r="R307" i="42"/>
  <c r="U307" i="42"/>
  <c r="I308" i="42"/>
  <c r="P308" i="42"/>
  <c r="R308" i="42"/>
  <c r="U308" i="42"/>
  <c r="I309" i="42"/>
  <c r="P309" i="42"/>
  <c r="R309" i="42"/>
  <c r="U309" i="42"/>
  <c r="I310" i="42"/>
  <c r="P310" i="42"/>
  <c r="R310" i="42"/>
  <c r="U310" i="42"/>
  <c r="I311" i="42"/>
  <c r="P311" i="42"/>
  <c r="R311" i="42"/>
  <c r="U311" i="42"/>
  <c r="I312" i="42"/>
  <c r="P312" i="42"/>
  <c r="R312" i="42"/>
  <c r="U312" i="42"/>
  <c r="I313" i="42"/>
  <c r="P313" i="42"/>
  <c r="R313" i="42"/>
  <c r="U313" i="42"/>
  <c r="I314" i="42"/>
  <c r="P314" i="42"/>
  <c r="R314" i="42"/>
  <c r="U314" i="42"/>
  <c r="I315" i="42"/>
  <c r="P315" i="42"/>
  <c r="R315" i="42"/>
  <c r="U315" i="42"/>
  <c r="I316" i="42"/>
  <c r="P316" i="42"/>
  <c r="R316" i="42"/>
  <c r="U316" i="42"/>
  <c r="I317" i="42"/>
  <c r="P317" i="42"/>
  <c r="R317" i="42"/>
  <c r="U317" i="42"/>
  <c r="I318" i="42"/>
  <c r="P318" i="42"/>
  <c r="R318" i="42"/>
  <c r="U318" i="42"/>
  <c r="I319" i="42"/>
  <c r="P319" i="42"/>
  <c r="R319" i="42"/>
  <c r="U319" i="42"/>
  <c r="I320" i="42"/>
  <c r="P320" i="42"/>
  <c r="R320" i="42"/>
  <c r="U320" i="42"/>
  <c r="I321" i="42"/>
  <c r="P321" i="42"/>
  <c r="R321" i="42"/>
  <c r="U321" i="42"/>
  <c r="I322" i="42"/>
  <c r="P322" i="42"/>
  <c r="R322" i="42"/>
  <c r="U322" i="42"/>
  <c r="I323" i="42"/>
  <c r="P323" i="42"/>
  <c r="R323" i="42"/>
  <c r="U323" i="42"/>
  <c r="I324" i="42"/>
  <c r="P324" i="42"/>
  <c r="R324" i="42"/>
  <c r="U324" i="42"/>
  <c r="I325" i="42"/>
  <c r="P325" i="42"/>
  <c r="R325" i="42"/>
  <c r="U325" i="42"/>
  <c r="I326" i="42"/>
  <c r="P326" i="42"/>
  <c r="R326" i="42"/>
  <c r="U326" i="42"/>
  <c r="I327" i="42"/>
  <c r="P327" i="42"/>
  <c r="R327" i="42"/>
  <c r="U327" i="42"/>
  <c r="I328" i="42"/>
  <c r="P328" i="42"/>
  <c r="R328" i="42"/>
  <c r="U328" i="42"/>
  <c r="I329" i="42"/>
  <c r="P329" i="42"/>
  <c r="R329" i="42"/>
  <c r="U329" i="42"/>
  <c r="I330" i="42"/>
  <c r="P330" i="42"/>
  <c r="R330" i="42"/>
  <c r="U330" i="42"/>
  <c r="I331" i="42"/>
  <c r="P331" i="42"/>
  <c r="R331" i="42"/>
  <c r="U331" i="42"/>
  <c r="I332" i="42"/>
  <c r="P332" i="42"/>
  <c r="R332" i="42"/>
  <c r="U332" i="42"/>
  <c r="I333" i="42"/>
  <c r="P333" i="42"/>
  <c r="R333" i="42"/>
  <c r="U333" i="42"/>
  <c r="I334" i="42"/>
  <c r="P334" i="42"/>
  <c r="R334" i="42"/>
  <c r="U334" i="42"/>
  <c r="I335" i="42"/>
  <c r="P335" i="42"/>
  <c r="R335" i="42"/>
  <c r="U335" i="42"/>
  <c r="I336" i="42"/>
  <c r="P336" i="42"/>
  <c r="R336" i="42"/>
  <c r="U336" i="42"/>
  <c r="I337" i="42"/>
  <c r="P337" i="42"/>
  <c r="R337" i="42"/>
  <c r="U337" i="42"/>
  <c r="I338" i="42"/>
  <c r="P338" i="42"/>
  <c r="R338" i="42"/>
  <c r="U338" i="42"/>
  <c r="I339" i="42"/>
  <c r="P339" i="42"/>
  <c r="R339" i="42"/>
  <c r="U339" i="42"/>
  <c r="I340" i="42"/>
  <c r="P340" i="42"/>
  <c r="R340" i="42"/>
  <c r="U340" i="42"/>
  <c r="I341" i="42"/>
  <c r="P341" i="42"/>
  <c r="R341" i="42"/>
  <c r="U341" i="42"/>
  <c r="I342" i="42"/>
  <c r="P342" i="42"/>
  <c r="R342" i="42"/>
  <c r="U342" i="42"/>
  <c r="I343" i="42"/>
  <c r="P343" i="42"/>
  <c r="R343" i="42"/>
  <c r="U343" i="42"/>
  <c r="I344" i="42"/>
  <c r="P344" i="42"/>
  <c r="R344" i="42"/>
  <c r="U344" i="42"/>
  <c r="I345" i="42"/>
  <c r="P345" i="42"/>
  <c r="R345" i="42"/>
  <c r="U345" i="42"/>
  <c r="I346" i="42"/>
  <c r="P346" i="42"/>
  <c r="R346" i="42"/>
  <c r="U346" i="42"/>
  <c r="I347" i="42"/>
  <c r="P347" i="42"/>
  <c r="R347" i="42"/>
  <c r="U347" i="42"/>
  <c r="I348" i="42"/>
  <c r="P348" i="42"/>
  <c r="R348" i="42"/>
  <c r="U348" i="42"/>
  <c r="I349" i="42"/>
  <c r="P349" i="42"/>
  <c r="R349" i="42"/>
  <c r="U349" i="42"/>
  <c r="I350" i="42"/>
  <c r="P350" i="42"/>
  <c r="R350" i="42"/>
  <c r="U350" i="42"/>
  <c r="I351" i="42"/>
  <c r="P351" i="42"/>
  <c r="R351" i="42"/>
  <c r="U351" i="42"/>
  <c r="I352" i="42"/>
  <c r="P352" i="42"/>
  <c r="R352" i="42"/>
  <c r="U352" i="42"/>
  <c r="I353" i="42"/>
  <c r="P353" i="42"/>
  <c r="R353" i="42"/>
  <c r="U353" i="42"/>
  <c r="I354" i="42"/>
  <c r="P354" i="42"/>
  <c r="R354" i="42"/>
  <c r="U354" i="42"/>
  <c r="I355" i="42"/>
  <c r="P355" i="42"/>
  <c r="R355" i="42"/>
  <c r="U355" i="42"/>
  <c r="I356" i="42"/>
  <c r="P356" i="42"/>
  <c r="R356" i="42"/>
  <c r="U356" i="42"/>
  <c r="I357" i="42"/>
  <c r="P357" i="42"/>
  <c r="R357" i="42"/>
  <c r="U357" i="42"/>
  <c r="I358" i="42"/>
  <c r="P358" i="42"/>
  <c r="R358" i="42"/>
  <c r="U358" i="42"/>
  <c r="I359" i="42"/>
  <c r="P359" i="42"/>
  <c r="R359" i="42"/>
  <c r="U359" i="42"/>
  <c r="I360" i="42"/>
  <c r="P360" i="42"/>
  <c r="R360" i="42"/>
  <c r="U360" i="42"/>
  <c r="I361" i="42"/>
  <c r="P361" i="42"/>
  <c r="R361" i="42"/>
  <c r="U361" i="42"/>
  <c r="I362" i="42"/>
  <c r="P362" i="42"/>
  <c r="R362" i="42"/>
  <c r="U362" i="42"/>
  <c r="I363" i="42"/>
  <c r="P363" i="42"/>
  <c r="R363" i="42"/>
  <c r="U363" i="42"/>
  <c r="I364" i="42"/>
  <c r="P364" i="42"/>
  <c r="R364" i="42"/>
  <c r="U364" i="42"/>
  <c r="I365" i="42"/>
  <c r="P365" i="42"/>
  <c r="R365" i="42"/>
  <c r="U365" i="42"/>
  <c r="I366" i="42"/>
  <c r="P366" i="42"/>
  <c r="R366" i="42"/>
  <c r="U366" i="42"/>
  <c r="I367" i="42"/>
  <c r="P367" i="42"/>
  <c r="R367" i="42"/>
  <c r="U367" i="42"/>
  <c r="I368" i="42"/>
  <c r="P368" i="42"/>
  <c r="R368" i="42"/>
  <c r="U368" i="42"/>
  <c r="I369" i="42"/>
  <c r="P369" i="42"/>
  <c r="R369" i="42"/>
  <c r="U369" i="42"/>
  <c r="I370" i="42"/>
  <c r="P370" i="42"/>
  <c r="R370" i="42"/>
  <c r="U370" i="42"/>
  <c r="I371" i="42"/>
  <c r="P371" i="42"/>
  <c r="R371" i="42"/>
  <c r="U371" i="42"/>
  <c r="I372" i="42"/>
  <c r="P372" i="42"/>
  <c r="R372" i="42"/>
  <c r="U372" i="42"/>
  <c r="I373" i="42"/>
  <c r="P373" i="42"/>
  <c r="R373" i="42"/>
  <c r="U373" i="42"/>
  <c r="I374" i="42"/>
  <c r="P374" i="42"/>
  <c r="R374" i="42"/>
  <c r="U374" i="42"/>
  <c r="I375" i="42"/>
  <c r="P375" i="42"/>
  <c r="R375" i="42"/>
  <c r="U375" i="42"/>
  <c r="I376" i="42"/>
  <c r="P376" i="42"/>
  <c r="R376" i="42"/>
  <c r="U376" i="42"/>
  <c r="I377" i="42"/>
  <c r="P377" i="42"/>
  <c r="R377" i="42"/>
  <c r="U377" i="42"/>
  <c r="I378" i="42"/>
  <c r="P378" i="42"/>
  <c r="R378" i="42"/>
  <c r="U378" i="42"/>
  <c r="I379" i="42"/>
  <c r="P379" i="42"/>
  <c r="R379" i="42"/>
  <c r="U379" i="42"/>
  <c r="I380" i="42"/>
  <c r="P380" i="42"/>
  <c r="R380" i="42"/>
  <c r="U380" i="42"/>
  <c r="I381" i="42"/>
  <c r="P381" i="42"/>
  <c r="R381" i="42"/>
  <c r="U381" i="42"/>
  <c r="I382" i="42"/>
  <c r="P382" i="42"/>
  <c r="R382" i="42"/>
  <c r="U382" i="42"/>
  <c r="I383" i="42"/>
  <c r="P383" i="42"/>
  <c r="R383" i="42"/>
  <c r="U383" i="42"/>
  <c r="P384" i="42"/>
  <c r="R384" i="42"/>
  <c r="U384" i="42"/>
  <c r="I385" i="42"/>
  <c r="P385" i="42"/>
  <c r="R385" i="42"/>
  <c r="U385" i="42"/>
  <c r="I386" i="42"/>
  <c r="P386" i="42"/>
  <c r="R386" i="42"/>
  <c r="U386" i="42"/>
  <c r="I387" i="42"/>
  <c r="P387" i="42"/>
  <c r="R387" i="42"/>
  <c r="U387" i="42"/>
  <c r="I388" i="42"/>
  <c r="P388" i="42"/>
  <c r="R388" i="42"/>
  <c r="U388" i="42"/>
  <c r="I389" i="42"/>
  <c r="P389" i="42"/>
  <c r="R389" i="42"/>
  <c r="U389" i="42"/>
  <c r="I390" i="42"/>
  <c r="P390" i="42"/>
  <c r="R390" i="42"/>
  <c r="U390" i="42"/>
  <c r="I391" i="42"/>
  <c r="P391" i="42"/>
  <c r="R391" i="42"/>
  <c r="U391" i="42"/>
  <c r="I392" i="42"/>
  <c r="P392" i="42"/>
  <c r="R392" i="42"/>
  <c r="U392" i="42"/>
  <c r="I393" i="42"/>
  <c r="P393" i="42"/>
  <c r="R393" i="42"/>
  <c r="U393" i="42"/>
  <c r="I394" i="42"/>
  <c r="P394" i="42"/>
  <c r="R394" i="42"/>
  <c r="U394" i="42"/>
  <c r="I395" i="42"/>
  <c r="P395" i="42"/>
  <c r="R395" i="42"/>
  <c r="U395" i="42"/>
  <c r="I396" i="42"/>
  <c r="P396" i="42"/>
  <c r="R396" i="42"/>
  <c r="U396" i="42"/>
  <c r="I397" i="42"/>
  <c r="P397" i="42"/>
  <c r="R397" i="42"/>
  <c r="U397" i="42"/>
  <c r="I398" i="42"/>
  <c r="P398" i="42"/>
  <c r="R398" i="42"/>
  <c r="U398" i="42"/>
  <c r="I399" i="42"/>
  <c r="P399" i="42"/>
  <c r="R399" i="42"/>
  <c r="U399" i="42"/>
  <c r="I400" i="42"/>
  <c r="P400" i="42"/>
  <c r="R400" i="42"/>
  <c r="U400" i="42"/>
  <c r="I401" i="42"/>
  <c r="P401" i="42"/>
  <c r="R401" i="42"/>
  <c r="U401" i="42"/>
  <c r="I402" i="42"/>
  <c r="P402" i="42"/>
  <c r="R402" i="42"/>
  <c r="U402" i="42"/>
  <c r="I403" i="42"/>
  <c r="P403" i="42"/>
  <c r="R403" i="42"/>
  <c r="U403" i="42"/>
  <c r="I404" i="42"/>
  <c r="P404" i="42"/>
  <c r="R404" i="42"/>
  <c r="U404" i="42"/>
  <c r="I405" i="42"/>
  <c r="P405" i="42"/>
  <c r="R405" i="42"/>
  <c r="U405" i="42"/>
  <c r="I406" i="42"/>
  <c r="P406" i="42"/>
  <c r="R406" i="42"/>
  <c r="U406" i="42"/>
  <c r="I407" i="42"/>
  <c r="P407" i="42"/>
  <c r="R407" i="42"/>
  <c r="U407" i="42"/>
  <c r="I408" i="42"/>
  <c r="P408" i="42"/>
  <c r="R408" i="42"/>
  <c r="U408" i="42"/>
  <c r="I409" i="42"/>
  <c r="P409" i="42"/>
  <c r="R409" i="42"/>
  <c r="U409" i="42"/>
  <c r="I410" i="42"/>
  <c r="P410" i="42"/>
  <c r="R410" i="42"/>
  <c r="U410" i="42"/>
  <c r="I411" i="42"/>
  <c r="P411" i="42"/>
  <c r="R411" i="42"/>
  <c r="U411" i="42"/>
  <c r="I412" i="42"/>
  <c r="P412" i="42"/>
  <c r="R412" i="42"/>
  <c r="U412" i="42"/>
  <c r="I413" i="42"/>
  <c r="P413" i="42"/>
  <c r="R413" i="42"/>
  <c r="U413" i="42"/>
  <c r="I414" i="42"/>
  <c r="P414" i="42"/>
  <c r="R414" i="42"/>
  <c r="U414" i="42"/>
  <c r="I415" i="42"/>
  <c r="P415" i="42"/>
  <c r="R415" i="42"/>
  <c r="U415" i="42"/>
  <c r="I416" i="42"/>
  <c r="P416" i="42"/>
  <c r="R416" i="42"/>
  <c r="U416" i="42"/>
  <c r="I417" i="42"/>
  <c r="P417" i="42"/>
  <c r="R417" i="42"/>
  <c r="U417" i="42"/>
  <c r="I418" i="42"/>
  <c r="P418" i="42"/>
  <c r="R418" i="42"/>
  <c r="U418" i="42"/>
  <c r="I419" i="42"/>
  <c r="P419" i="42"/>
  <c r="R419" i="42"/>
  <c r="U419" i="42"/>
  <c r="I420" i="42"/>
  <c r="P420" i="42"/>
  <c r="R420" i="42"/>
  <c r="U420" i="42"/>
  <c r="I421" i="42"/>
  <c r="P421" i="42"/>
  <c r="R421" i="42"/>
  <c r="U421" i="42"/>
  <c r="I422" i="42"/>
  <c r="P422" i="42"/>
  <c r="R422" i="42"/>
  <c r="U422" i="42"/>
  <c r="I423" i="42"/>
  <c r="P423" i="42"/>
  <c r="R423" i="42"/>
  <c r="U423" i="42"/>
  <c r="I424" i="42"/>
  <c r="P424" i="42"/>
  <c r="R424" i="42"/>
  <c r="U424" i="42"/>
  <c r="I425" i="42"/>
  <c r="P425" i="42"/>
  <c r="R425" i="42"/>
  <c r="U425" i="42"/>
  <c r="I426" i="42"/>
  <c r="P426" i="42"/>
  <c r="R426" i="42"/>
  <c r="U426" i="42"/>
  <c r="I427" i="42"/>
  <c r="P427" i="42"/>
  <c r="R427" i="42"/>
  <c r="U427" i="42"/>
  <c r="I428" i="42"/>
  <c r="P428" i="42"/>
  <c r="R428" i="42"/>
  <c r="U428" i="42"/>
  <c r="I429" i="42"/>
  <c r="P429" i="42"/>
  <c r="R429" i="42"/>
  <c r="U429" i="42"/>
  <c r="I430" i="42"/>
  <c r="P430" i="42"/>
  <c r="R430" i="42"/>
  <c r="U430" i="42"/>
  <c r="I431" i="42"/>
  <c r="P431" i="42"/>
  <c r="R431" i="42"/>
  <c r="U431" i="42"/>
  <c r="I432" i="42"/>
  <c r="P432" i="42"/>
  <c r="R432" i="42"/>
  <c r="U432" i="42"/>
  <c r="I433" i="42"/>
  <c r="P433" i="42"/>
  <c r="R433" i="42"/>
  <c r="U433" i="42"/>
  <c r="I434" i="42"/>
  <c r="P434" i="42"/>
  <c r="R434" i="42"/>
  <c r="U434" i="42"/>
  <c r="I435" i="42"/>
  <c r="P435" i="42"/>
  <c r="R435" i="42"/>
  <c r="U435" i="42"/>
  <c r="I436" i="42"/>
  <c r="P436" i="42"/>
  <c r="R436" i="42"/>
  <c r="U436" i="42"/>
  <c r="I437" i="42"/>
  <c r="P437" i="42"/>
  <c r="R437" i="42"/>
  <c r="U437" i="42"/>
  <c r="I438" i="42"/>
  <c r="P438" i="42"/>
  <c r="R438" i="42"/>
  <c r="U438" i="42"/>
  <c r="I439" i="42"/>
  <c r="P439" i="42"/>
  <c r="R439" i="42"/>
  <c r="U439" i="42"/>
  <c r="I440" i="42"/>
  <c r="P440" i="42"/>
  <c r="R440" i="42"/>
  <c r="U440" i="42"/>
  <c r="I441" i="42"/>
  <c r="P441" i="42"/>
  <c r="R441" i="42"/>
  <c r="U441" i="42"/>
  <c r="I442" i="42"/>
  <c r="P442" i="42"/>
  <c r="R442" i="42"/>
  <c r="U442" i="42"/>
  <c r="I443" i="42"/>
  <c r="P443" i="42"/>
  <c r="R443" i="42"/>
  <c r="U443" i="42"/>
  <c r="I444" i="42"/>
  <c r="P444" i="42"/>
  <c r="R444" i="42"/>
  <c r="U444" i="42"/>
  <c r="I445" i="42"/>
  <c r="P445" i="42"/>
  <c r="R445" i="42"/>
  <c r="U445" i="42"/>
  <c r="I446" i="42"/>
  <c r="P446" i="42"/>
  <c r="R446" i="42"/>
  <c r="U446" i="42"/>
  <c r="I447" i="42"/>
  <c r="P447" i="42"/>
  <c r="R447" i="42"/>
  <c r="U447" i="42"/>
  <c r="I448" i="42"/>
  <c r="P448" i="42"/>
  <c r="R448" i="42"/>
  <c r="U448" i="42"/>
  <c r="I449" i="42"/>
  <c r="P449" i="42"/>
  <c r="R449" i="42"/>
  <c r="U449" i="42"/>
  <c r="I450" i="42"/>
  <c r="P450" i="42"/>
  <c r="R450" i="42"/>
  <c r="U450" i="42"/>
  <c r="I451" i="42"/>
  <c r="P451" i="42"/>
  <c r="R451" i="42"/>
  <c r="U451" i="42"/>
  <c r="I452" i="42"/>
  <c r="P452" i="42"/>
  <c r="R452" i="42"/>
  <c r="U452" i="42"/>
  <c r="I453" i="42"/>
  <c r="P453" i="42"/>
  <c r="R453" i="42"/>
  <c r="U453" i="42"/>
  <c r="I454" i="42"/>
  <c r="P454" i="42"/>
  <c r="R454" i="42"/>
  <c r="U454" i="42"/>
  <c r="I455" i="42"/>
  <c r="P455" i="42"/>
  <c r="R455" i="42"/>
  <c r="U455" i="42"/>
  <c r="I456" i="42"/>
  <c r="P456" i="42"/>
  <c r="R456" i="42"/>
  <c r="U456" i="42"/>
  <c r="I457" i="42"/>
  <c r="P457" i="42"/>
  <c r="R457" i="42"/>
  <c r="U457" i="42"/>
  <c r="I458" i="42"/>
  <c r="P458" i="42"/>
  <c r="R458" i="42"/>
  <c r="U458" i="42"/>
  <c r="I459" i="42"/>
  <c r="P459" i="42"/>
  <c r="R459" i="42"/>
  <c r="U459" i="42"/>
  <c r="I460" i="42"/>
  <c r="P460" i="42"/>
  <c r="R460" i="42"/>
  <c r="U460" i="42"/>
  <c r="I461" i="42"/>
  <c r="P461" i="42"/>
  <c r="R461" i="42"/>
  <c r="U461" i="42"/>
  <c r="I462" i="42"/>
  <c r="P462" i="42"/>
  <c r="R462" i="42"/>
  <c r="U462" i="42"/>
  <c r="I463" i="42"/>
  <c r="P463" i="42"/>
  <c r="R463" i="42"/>
  <c r="U463" i="42"/>
  <c r="I464" i="42"/>
  <c r="P464" i="42"/>
  <c r="R464" i="42"/>
  <c r="U464" i="42"/>
  <c r="I465" i="42"/>
  <c r="P465" i="42"/>
  <c r="R465" i="42"/>
  <c r="U465" i="42"/>
  <c r="I466" i="42"/>
  <c r="P466" i="42"/>
  <c r="R466" i="42"/>
  <c r="U466" i="42"/>
  <c r="I467" i="42"/>
  <c r="P467" i="42"/>
  <c r="R467" i="42"/>
  <c r="U467" i="42"/>
  <c r="I468" i="42"/>
  <c r="P468" i="42"/>
  <c r="R468" i="42"/>
  <c r="U468" i="42"/>
  <c r="I469" i="42"/>
  <c r="P469" i="42"/>
  <c r="R469" i="42"/>
  <c r="U469" i="42"/>
  <c r="I470" i="42"/>
  <c r="P470" i="42"/>
  <c r="R470" i="42"/>
  <c r="U470" i="42"/>
  <c r="I471" i="42"/>
  <c r="P471" i="42"/>
  <c r="R471" i="42"/>
  <c r="U471" i="42"/>
  <c r="I472" i="42"/>
  <c r="P472" i="42"/>
  <c r="R472" i="42"/>
  <c r="U472" i="42"/>
  <c r="I473" i="42"/>
  <c r="P473" i="42"/>
  <c r="R473" i="42"/>
  <c r="U473" i="42"/>
  <c r="I474" i="42"/>
  <c r="P474" i="42"/>
  <c r="R474" i="42"/>
  <c r="U474" i="42"/>
  <c r="I475" i="42"/>
  <c r="P475" i="42"/>
  <c r="R475" i="42"/>
  <c r="U475" i="42"/>
  <c r="I476" i="42"/>
  <c r="P476" i="42"/>
  <c r="R476" i="42"/>
  <c r="U476" i="42"/>
  <c r="I477" i="42"/>
  <c r="P477" i="42"/>
  <c r="R477" i="42"/>
  <c r="U477" i="42"/>
  <c r="I478" i="42"/>
  <c r="P478" i="42"/>
  <c r="R478" i="42"/>
  <c r="U478" i="42"/>
  <c r="I479" i="42"/>
  <c r="P479" i="42"/>
  <c r="R479" i="42"/>
  <c r="U479" i="42"/>
  <c r="I480" i="42"/>
  <c r="P480" i="42"/>
  <c r="R480" i="42"/>
  <c r="U480" i="42"/>
  <c r="I481" i="42"/>
  <c r="P481" i="42"/>
  <c r="R481" i="42"/>
  <c r="U481" i="42"/>
  <c r="I482" i="42"/>
  <c r="P482" i="42"/>
  <c r="R482" i="42"/>
  <c r="U482" i="42"/>
  <c r="I483" i="42"/>
  <c r="P483" i="42"/>
  <c r="R483" i="42"/>
  <c r="U483" i="42"/>
  <c r="I484" i="42"/>
  <c r="P484" i="42"/>
  <c r="R484" i="42"/>
  <c r="U484" i="42"/>
  <c r="I485" i="42"/>
  <c r="P485" i="42"/>
  <c r="R485" i="42"/>
  <c r="U485" i="42"/>
  <c r="I486" i="42"/>
  <c r="P486" i="42"/>
  <c r="R486" i="42"/>
  <c r="U486" i="42"/>
  <c r="I487" i="42"/>
  <c r="P487" i="42"/>
  <c r="R487" i="42"/>
  <c r="U487" i="42"/>
  <c r="I488" i="42"/>
  <c r="P488" i="42"/>
  <c r="R488" i="42"/>
  <c r="U488" i="42"/>
  <c r="I489" i="42"/>
  <c r="P489" i="42"/>
  <c r="R489" i="42"/>
  <c r="U489" i="42"/>
  <c r="I490" i="42"/>
  <c r="P490" i="42"/>
  <c r="R490" i="42"/>
  <c r="U490" i="42"/>
  <c r="I491" i="42"/>
  <c r="P491" i="42"/>
  <c r="R491" i="42"/>
  <c r="U491" i="42"/>
  <c r="I492" i="42"/>
  <c r="P492" i="42"/>
  <c r="R492" i="42"/>
  <c r="U492" i="42"/>
  <c r="I493" i="42"/>
  <c r="P493" i="42"/>
  <c r="R493" i="42"/>
  <c r="U493" i="42"/>
  <c r="I494" i="42"/>
  <c r="P494" i="42"/>
  <c r="R494" i="42"/>
  <c r="U494" i="42"/>
  <c r="I495" i="42"/>
  <c r="P495" i="42"/>
  <c r="R495" i="42"/>
  <c r="U495" i="42"/>
  <c r="I496" i="42"/>
  <c r="P496" i="42"/>
  <c r="R496" i="42"/>
  <c r="U496" i="42"/>
  <c r="I497" i="42"/>
  <c r="P497" i="42"/>
  <c r="R497" i="42"/>
  <c r="U497" i="42"/>
  <c r="I498" i="42"/>
  <c r="P498" i="42"/>
  <c r="R498" i="42"/>
  <c r="U498" i="42"/>
  <c r="I499" i="42"/>
  <c r="P499" i="42"/>
  <c r="R499" i="42"/>
  <c r="U499" i="42"/>
  <c r="I500" i="42"/>
  <c r="P500" i="42"/>
  <c r="R500" i="42"/>
  <c r="U500" i="42"/>
  <c r="I501" i="42"/>
  <c r="P501" i="42"/>
  <c r="R501" i="42"/>
  <c r="U501" i="42"/>
  <c r="I502" i="42"/>
  <c r="P502" i="42"/>
  <c r="R502" i="42"/>
  <c r="U502" i="42"/>
  <c r="I503" i="42"/>
  <c r="P503" i="42"/>
  <c r="R503" i="42"/>
  <c r="U503" i="42"/>
  <c r="I504" i="42"/>
  <c r="P504" i="42"/>
  <c r="R504" i="42"/>
  <c r="U504" i="42"/>
  <c r="I505" i="42"/>
  <c r="P505" i="42"/>
  <c r="R505" i="42"/>
  <c r="U505" i="42"/>
  <c r="I506" i="42"/>
  <c r="P506" i="42"/>
  <c r="R506" i="42"/>
  <c r="U506" i="42"/>
  <c r="I507" i="42"/>
  <c r="P507" i="42"/>
  <c r="R507" i="42"/>
  <c r="U507" i="42"/>
  <c r="I508" i="42"/>
  <c r="P508" i="42"/>
  <c r="R508" i="42"/>
  <c r="U508" i="42"/>
  <c r="I509" i="42"/>
  <c r="P509" i="42"/>
  <c r="R509" i="42"/>
  <c r="U509" i="42"/>
  <c r="I510" i="42"/>
  <c r="P510" i="42"/>
  <c r="R510" i="42"/>
  <c r="U510" i="42"/>
  <c r="I511" i="42"/>
  <c r="P511" i="42"/>
  <c r="R511" i="42"/>
  <c r="U511" i="42"/>
  <c r="I512" i="42"/>
  <c r="P512" i="42"/>
  <c r="R512" i="42"/>
  <c r="U512" i="42"/>
  <c r="I513" i="42"/>
  <c r="P513" i="42"/>
  <c r="R513" i="42"/>
  <c r="U513" i="42"/>
  <c r="I514" i="42"/>
  <c r="P514" i="42"/>
  <c r="R514" i="42"/>
  <c r="U514" i="42"/>
  <c r="I515" i="42"/>
  <c r="P515" i="42"/>
  <c r="R515" i="42"/>
  <c r="U515" i="42"/>
  <c r="H77" i="42"/>
  <c r="O77" i="42"/>
  <c r="Q77" i="42"/>
  <c r="S77" i="42"/>
  <c r="W77" i="42"/>
  <c r="T77" i="42"/>
  <c r="H78" i="42"/>
  <c r="O78" i="42"/>
  <c r="Q78" i="42"/>
  <c r="S78" i="42"/>
  <c r="W78" i="42"/>
  <c r="T78" i="42"/>
  <c r="H79" i="42"/>
  <c r="O79" i="42"/>
  <c r="Q79" i="42"/>
  <c r="S79" i="42"/>
  <c r="W79" i="42"/>
  <c r="T79" i="42"/>
  <c r="H80" i="42"/>
  <c r="O80" i="42"/>
  <c r="Q80" i="42"/>
  <c r="S80" i="42"/>
  <c r="W80" i="42"/>
  <c r="T80" i="42"/>
  <c r="H81" i="42"/>
  <c r="O81" i="42"/>
  <c r="Q81" i="42"/>
  <c r="S81" i="42"/>
  <c r="W81" i="42"/>
  <c r="T81" i="42"/>
  <c r="H82" i="42"/>
  <c r="O82" i="42"/>
  <c r="Q82" i="42"/>
  <c r="S82" i="42"/>
  <c r="W82" i="42"/>
  <c r="T82" i="42"/>
  <c r="H83" i="42"/>
  <c r="O83" i="42"/>
  <c r="Q83" i="42"/>
  <c r="S83" i="42"/>
  <c r="W83" i="42"/>
  <c r="T83" i="42"/>
  <c r="H84" i="42"/>
  <c r="O84" i="42"/>
  <c r="Q84" i="42"/>
  <c r="S84" i="42"/>
  <c r="W84" i="42"/>
  <c r="T84" i="42"/>
  <c r="H85" i="42"/>
  <c r="O85" i="42"/>
  <c r="Q85" i="42"/>
  <c r="S85" i="42"/>
  <c r="W85" i="42"/>
  <c r="T85" i="42"/>
  <c r="H86" i="42"/>
  <c r="O86" i="42"/>
  <c r="Q86" i="42"/>
  <c r="S86" i="42"/>
  <c r="W86" i="42"/>
  <c r="T86" i="42"/>
  <c r="H87" i="42"/>
  <c r="O87" i="42"/>
  <c r="Q87" i="42"/>
  <c r="S87" i="42"/>
  <c r="W87" i="42"/>
  <c r="T87" i="42"/>
  <c r="H88" i="42"/>
  <c r="O88" i="42"/>
  <c r="Q88" i="42"/>
  <c r="S88" i="42"/>
  <c r="W88" i="42"/>
  <c r="T88" i="42"/>
  <c r="H89" i="42"/>
  <c r="O89" i="42"/>
  <c r="Q89" i="42"/>
  <c r="S89" i="42"/>
  <c r="W89" i="42"/>
  <c r="T89" i="42"/>
  <c r="H90" i="42"/>
  <c r="O90" i="42"/>
  <c r="Q90" i="42"/>
  <c r="S90" i="42"/>
  <c r="W90" i="42"/>
  <c r="T90" i="42"/>
  <c r="H91" i="42"/>
  <c r="O91" i="42"/>
  <c r="Q91" i="42"/>
  <c r="S91" i="42"/>
  <c r="W91" i="42"/>
  <c r="T91" i="42"/>
  <c r="H92" i="42"/>
  <c r="O92" i="42"/>
  <c r="Q92" i="42"/>
  <c r="S92" i="42"/>
  <c r="W92" i="42"/>
  <c r="T92" i="42"/>
  <c r="H93" i="42"/>
  <c r="O93" i="42"/>
  <c r="Q93" i="42"/>
  <c r="S93" i="42"/>
  <c r="W93" i="42"/>
  <c r="T93" i="42"/>
  <c r="H94" i="42"/>
  <c r="O94" i="42"/>
  <c r="Q94" i="42"/>
  <c r="S94" i="42"/>
  <c r="W94" i="42"/>
  <c r="T94" i="42"/>
  <c r="H95" i="42"/>
  <c r="O95" i="42"/>
  <c r="Q95" i="42"/>
  <c r="S95" i="42"/>
  <c r="W95" i="42"/>
  <c r="T95" i="42"/>
  <c r="H96" i="42"/>
  <c r="O96" i="42"/>
  <c r="Q96" i="42"/>
  <c r="S96" i="42"/>
  <c r="W96" i="42"/>
  <c r="T96" i="42"/>
  <c r="H97" i="42"/>
  <c r="O97" i="42"/>
  <c r="Q97" i="42"/>
  <c r="S97" i="42"/>
  <c r="W97" i="42"/>
  <c r="T97" i="42"/>
  <c r="H98" i="42"/>
  <c r="O98" i="42"/>
  <c r="Q98" i="42"/>
  <c r="S98" i="42"/>
  <c r="W98" i="42"/>
  <c r="T98" i="42"/>
  <c r="H99" i="42"/>
  <c r="O99" i="42"/>
  <c r="Q99" i="42"/>
  <c r="S99" i="42"/>
  <c r="W99" i="42"/>
  <c r="T99" i="42"/>
  <c r="H100" i="42"/>
  <c r="O100" i="42"/>
  <c r="Q100" i="42"/>
  <c r="S100" i="42"/>
  <c r="W100" i="42"/>
  <c r="T100" i="42"/>
  <c r="H101" i="42"/>
  <c r="O101" i="42"/>
  <c r="Q101" i="42"/>
  <c r="S101" i="42"/>
  <c r="W101" i="42"/>
  <c r="T101" i="42"/>
  <c r="H102" i="42"/>
  <c r="O102" i="42"/>
  <c r="Q102" i="42"/>
  <c r="S102" i="42"/>
  <c r="W102" i="42"/>
  <c r="T102" i="42"/>
  <c r="H103" i="42"/>
  <c r="O103" i="42"/>
  <c r="Q103" i="42"/>
  <c r="S103" i="42"/>
  <c r="W103" i="42"/>
  <c r="T103" i="42"/>
  <c r="H104" i="42"/>
  <c r="O104" i="42"/>
  <c r="Q104" i="42"/>
  <c r="S104" i="42"/>
  <c r="W104" i="42"/>
  <c r="T104" i="42"/>
  <c r="H105" i="42"/>
  <c r="O105" i="42"/>
  <c r="Q105" i="42"/>
  <c r="S105" i="42"/>
  <c r="W105" i="42"/>
  <c r="T105" i="42"/>
  <c r="H106" i="42"/>
  <c r="O106" i="42"/>
  <c r="Q106" i="42"/>
  <c r="S106" i="42"/>
  <c r="W106" i="42"/>
  <c r="T106" i="42"/>
  <c r="H107" i="42"/>
  <c r="O107" i="42"/>
  <c r="Q107" i="42"/>
  <c r="S107" i="42"/>
  <c r="W107" i="42"/>
  <c r="T107" i="42"/>
  <c r="H108" i="42"/>
  <c r="O108" i="42"/>
  <c r="Q108" i="42"/>
  <c r="S108" i="42"/>
  <c r="W108" i="42"/>
  <c r="T108" i="42"/>
  <c r="H109" i="42"/>
  <c r="O109" i="42"/>
  <c r="Q109" i="42"/>
  <c r="S109" i="42"/>
  <c r="W109" i="42"/>
  <c r="T109" i="42"/>
  <c r="H110" i="42"/>
  <c r="O110" i="42"/>
  <c r="Q110" i="42"/>
  <c r="S110" i="42"/>
  <c r="W110" i="42"/>
  <c r="T110" i="42"/>
  <c r="H111" i="42"/>
  <c r="O111" i="42"/>
  <c r="Q111" i="42"/>
  <c r="S111" i="42"/>
  <c r="W111" i="42"/>
  <c r="T111" i="42"/>
  <c r="H112" i="42"/>
  <c r="O112" i="42"/>
  <c r="Q112" i="42"/>
  <c r="S112" i="42"/>
  <c r="W112" i="42"/>
  <c r="T112" i="42"/>
  <c r="H113" i="42"/>
  <c r="O113" i="42"/>
  <c r="Q113" i="42"/>
  <c r="S113" i="42"/>
  <c r="W113" i="42"/>
  <c r="T113" i="42"/>
  <c r="H114" i="42"/>
  <c r="O114" i="42"/>
  <c r="Q114" i="42"/>
  <c r="S114" i="42"/>
  <c r="W114" i="42"/>
  <c r="T114" i="42"/>
  <c r="H115" i="42"/>
  <c r="O115" i="42"/>
  <c r="Q115" i="42"/>
  <c r="S115" i="42"/>
  <c r="W115" i="42"/>
  <c r="T115" i="42"/>
  <c r="H116" i="42"/>
  <c r="O116" i="42"/>
  <c r="Q116" i="42"/>
  <c r="S116" i="42"/>
  <c r="W116" i="42"/>
  <c r="T116" i="42"/>
  <c r="H117" i="42"/>
  <c r="O117" i="42"/>
  <c r="Q117" i="42"/>
  <c r="S117" i="42"/>
  <c r="W117" i="42"/>
  <c r="T117" i="42"/>
  <c r="H118" i="42"/>
  <c r="O118" i="42"/>
  <c r="Q118" i="42"/>
  <c r="S118" i="42"/>
  <c r="W118" i="42"/>
  <c r="T118" i="42"/>
  <c r="H119" i="42"/>
  <c r="O119" i="42"/>
  <c r="Q119" i="42"/>
  <c r="S119" i="42"/>
  <c r="W119" i="42"/>
  <c r="T119" i="42"/>
  <c r="H120" i="42"/>
  <c r="O120" i="42"/>
  <c r="Q120" i="42"/>
  <c r="S120" i="42"/>
  <c r="W120" i="42"/>
  <c r="T120" i="42"/>
  <c r="H121" i="42"/>
  <c r="O121" i="42"/>
  <c r="Q121" i="42"/>
  <c r="S121" i="42"/>
  <c r="W121" i="42"/>
  <c r="T121" i="42"/>
  <c r="H122" i="42"/>
  <c r="O122" i="42"/>
  <c r="Q122" i="42"/>
  <c r="S122" i="42"/>
  <c r="W122" i="42"/>
  <c r="T122" i="42"/>
  <c r="H123" i="42"/>
  <c r="O123" i="42"/>
  <c r="Q123" i="42"/>
  <c r="S123" i="42"/>
  <c r="W123" i="42"/>
  <c r="T123" i="42"/>
  <c r="H124" i="42"/>
  <c r="O124" i="42"/>
  <c r="Q124" i="42"/>
  <c r="S124" i="42"/>
  <c r="W124" i="42"/>
  <c r="T124" i="42"/>
  <c r="H125" i="42"/>
  <c r="O125" i="42"/>
  <c r="Q125" i="42"/>
  <c r="S125" i="42"/>
  <c r="W125" i="42"/>
  <c r="T125" i="42"/>
  <c r="H126" i="42"/>
  <c r="O126" i="42"/>
  <c r="Q126" i="42"/>
  <c r="S126" i="42"/>
  <c r="W126" i="42"/>
  <c r="T126" i="42"/>
  <c r="H127" i="42"/>
  <c r="O127" i="42"/>
  <c r="Q127" i="42"/>
  <c r="S127" i="42"/>
  <c r="W127" i="42"/>
  <c r="T127" i="42"/>
  <c r="H128" i="42"/>
  <c r="O128" i="42"/>
  <c r="Q128" i="42"/>
  <c r="S128" i="42"/>
  <c r="W128" i="42"/>
  <c r="T128" i="42"/>
  <c r="H129" i="42"/>
  <c r="O129" i="42"/>
  <c r="Q129" i="42"/>
  <c r="S129" i="42"/>
  <c r="W129" i="42"/>
  <c r="T129" i="42"/>
  <c r="H130" i="42"/>
  <c r="O130" i="42"/>
  <c r="Q130" i="42"/>
  <c r="S130" i="42"/>
  <c r="W130" i="42"/>
  <c r="T130" i="42"/>
  <c r="H131" i="42"/>
  <c r="O131" i="42"/>
  <c r="Q131" i="42"/>
  <c r="S131" i="42"/>
  <c r="W131" i="42"/>
  <c r="T131" i="42"/>
  <c r="H132" i="42"/>
  <c r="O132" i="42"/>
  <c r="Q132" i="42"/>
  <c r="S132" i="42"/>
  <c r="W132" i="42"/>
  <c r="T132" i="42"/>
  <c r="H133" i="42"/>
  <c r="O133" i="42"/>
  <c r="Q133" i="42"/>
  <c r="S133" i="42"/>
  <c r="W133" i="42"/>
  <c r="T133" i="42"/>
  <c r="H134" i="42"/>
  <c r="O134" i="42"/>
  <c r="Q134" i="42"/>
  <c r="S134" i="42"/>
  <c r="W134" i="42"/>
  <c r="T134" i="42"/>
  <c r="H135" i="42"/>
  <c r="O135" i="42"/>
  <c r="Q135" i="42"/>
  <c r="S135" i="42"/>
  <c r="W135" i="42"/>
  <c r="T135" i="42"/>
  <c r="H136" i="42"/>
  <c r="O136" i="42"/>
  <c r="Q136" i="42"/>
  <c r="S136" i="42"/>
  <c r="W136" i="42"/>
  <c r="T136" i="42"/>
  <c r="H137" i="42"/>
  <c r="O137" i="42"/>
  <c r="Q137" i="42"/>
  <c r="S137" i="42"/>
  <c r="W137" i="42"/>
  <c r="T137" i="42"/>
  <c r="H138" i="42"/>
  <c r="O138" i="42"/>
  <c r="Q138" i="42"/>
  <c r="S138" i="42"/>
  <c r="W138" i="42"/>
  <c r="T138" i="42"/>
  <c r="H139" i="42"/>
  <c r="O139" i="42"/>
  <c r="Q139" i="42"/>
  <c r="S139" i="42"/>
  <c r="W139" i="42"/>
  <c r="T139" i="42"/>
  <c r="H140" i="42"/>
  <c r="O140" i="42"/>
  <c r="Q140" i="42"/>
  <c r="S140" i="42"/>
  <c r="W140" i="42"/>
  <c r="T140" i="42"/>
  <c r="H141" i="42"/>
  <c r="O141" i="42"/>
  <c r="Q141" i="42"/>
  <c r="S141" i="42"/>
  <c r="W141" i="42"/>
  <c r="T141" i="42"/>
  <c r="H142" i="42"/>
  <c r="O142" i="42"/>
  <c r="Q142" i="42"/>
  <c r="S142" i="42"/>
  <c r="W142" i="42"/>
  <c r="T142" i="42"/>
  <c r="H143" i="42"/>
  <c r="O143" i="42"/>
  <c r="Q143" i="42"/>
  <c r="S143" i="42"/>
  <c r="W143" i="42"/>
  <c r="T143" i="42"/>
  <c r="H144" i="42"/>
  <c r="O144" i="42"/>
  <c r="Q144" i="42"/>
  <c r="S144" i="42"/>
  <c r="W144" i="42"/>
  <c r="T144" i="42"/>
  <c r="H145" i="42"/>
  <c r="O145" i="42"/>
  <c r="Q145" i="42"/>
  <c r="S145" i="42"/>
  <c r="W145" i="42"/>
  <c r="T145" i="42"/>
  <c r="H146" i="42"/>
  <c r="O146" i="42"/>
  <c r="Q146" i="42"/>
  <c r="S146" i="42"/>
  <c r="W146" i="42"/>
  <c r="T146" i="42"/>
  <c r="H147" i="42"/>
  <c r="O147" i="42"/>
  <c r="Q147" i="42"/>
  <c r="S147" i="42"/>
  <c r="W147" i="42"/>
  <c r="T147" i="42"/>
  <c r="H148" i="42"/>
  <c r="O148" i="42"/>
  <c r="Q148" i="42"/>
  <c r="S148" i="42"/>
  <c r="W148" i="42"/>
  <c r="T148" i="42"/>
  <c r="H149" i="42"/>
  <c r="O149" i="42"/>
  <c r="Q149" i="42"/>
  <c r="S149" i="42"/>
  <c r="W149" i="42"/>
  <c r="T149" i="42"/>
  <c r="H150" i="42"/>
  <c r="O150" i="42"/>
  <c r="Q150" i="42"/>
  <c r="S150" i="42"/>
  <c r="W150" i="42"/>
  <c r="T150" i="42"/>
  <c r="H151" i="42"/>
  <c r="O151" i="42"/>
  <c r="Q151" i="42"/>
  <c r="S151" i="42"/>
  <c r="W151" i="42"/>
  <c r="T151" i="42"/>
  <c r="H152" i="42"/>
  <c r="O152" i="42"/>
  <c r="Q152" i="42"/>
  <c r="S152" i="42"/>
  <c r="W152" i="42"/>
  <c r="T152" i="42"/>
  <c r="H153" i="42"/>
  <c r="O153" i="42"/>
  <c r="Q153" i="42"/>
  <c r="S153" i="42"/>
  <c r="W153" i="42"/>
  <c r="T153" i="42"/>
  <c r="O154" i="42"/>
  <c r="Q154" i="42"/>
  <c r="S154" i="42"/>
  <c r="W154" i="42"/>
  <c r="T154" i="42"/>
  <c r="H155" i="42"/>
  <c r="O155" i="42"/>
  <c r="Q155" i="42"/>
  <c r="S155" i="42"/>
  <c r="W155" i="42"/>
  <c r="T155" i="42"/>
  <c r="H156" i="42"/>
  <c r="O156" i="42"/>
  <c r="Q156" i="42"/>
  <c r="S156" i="42"/>
  <c r="W156" i="42"/>
  <c r="T156" i="42"/>
  <c r="H157" i="42"/>
  <c r="O157" i="42"/>
  <c r="Q157" i="42"/>
  <c r="S157" i="42"/>
  <c r="W157" i="42"/>
  <c r="T157" i="42"/>
  <c r="H158" i="42"/>
  <c r="O158" i="42"/>
  <c r="Q158" i="42"/>
  <c r="S158" i="42"/>
  <c r="W158" i="42"/>
  <c r="T158" i="42"/>
  <c r="H159" i="42"/>
  <c r="O159" i="42"/>
  <c r="Q159" i="42"/>
  <c r="S159" i="42"/>
  <c r="W159" i="42"/>
  <c r="T159" i="42"/>
  <c r="H160" i="42"/>
  <c r="O160" i="42"/>
  <c r="Q160" i="42"/>
  <c r="S160" i="42"/>
  <c r="W160" i="42"/>
  <c r="T160" i="42"/>
  <c r="H161" i="42"/>
  <c r="O161" i="42"/>
  <c r="Q161" i="42"/>
  <c r="S161" i="42"/>
  <c r="W161" i="42"/>
  <c r="T161" i="42"/>
  <c r="H162" i="42"/>
  <c r="O162" i="42"/>
  <c r="Q162" i="42"/>
  <c r="S162" i="42"/>
  <c r="W162" i="42"/>
  <c r="T162" i="42"/>
  <c r="H163" i="42"/>
  <c r="O163" i="42"/>
  <c r="Q163" i="42"/>
  <c r="S163" i="42"/>
  <c r="W163" i="42"/>
  <c r="T163" i="42"/>
  <c r="H164" i="42"/>
  <c r="O164" i="42"/>
  <c r="Q164" i="42"/>
  <c r="S164" i="42"/>
  <c r="W164" i="42"/>
  <c r="T164" i="42"/>
  <c r="H165" i="42"/>
  <c r="O165" i="42"/>
  <c r="Q165" i="42"/>
  <c r="S165" i="42"/>
  <c r="W165" i="42"/>
  <c r="T165" i="42"/>
  <c r="H166" i="42"/>
  <c r="O166" i="42"/>
  <c r="Q166" i="42"/>
  <c r="S166" i="42"/>
  <c r="W166" i="42"/>
  <c r="T166" i="42"/>
  <c r="H167" i="42"/>
  <c r="O167" i="42"/>
  <c r="Q167" i="42"/>
  <c r="S167" i="42"/>
  <c r="W167" i="42"/>
  <c r="T167" i="42"/>
  <c r="H168" i="42"/>
  <c r="O168" i="42"/>
  <c r="Q168" i="42"/>
  <c r="S168" i="42"/>
  <c r="W168" i="42"/>
  <c r="T168" i="42"/>
  <c r="H169" i="42"/>
  <c r="O169" i="42"/>
  <c r="Q169" i="42"/>
  <c r="S169" i="42"/>
  <c r="W169" i="42"/>
  <c r="T169" i="42"/>
  <c r="H170" i="42"/>
  <c r="O170" i="42"/>
  <c r="Q170" i="42"/>
  <c r="S170" i="42"/>
  <c r="W170" i="42"/>
  <c r="T170" i="42"/>
  <c r="H171" i="42"/>
  <c r="O171" i="42"/>
  <c r="Q171" i="42"/>
  <c r="S171" i="42"/>
  <c r="W171" i="42"/>
  <c r="T171" i="42"/>
  <c r="H172" i="42"/>
  <c r="O172" i="42"/>
  <c r="Q172" i="42"/>
  <c r="S172" i="42"/>
  <c r="W172" i="42"/>
  <c r="T172" i="42"/>
  <c r="H173" i="42"/>
  <c r="O173" i="42"/>
  <c r="Q173" i="42"/>
  <c r="S173" i="42"/>
  <c r="W173" i="42"/>
  <c r="T173" i="42"/>
  <c r="H174" i="42"/>
  <c r="O174" i="42"/>
  <c r="Q174" i="42"/>
  <c r="S174" i="42"/>
  <c r="W174" i="42"/>
  <c r="T174" i="42"/>
  <c r="H175" i="42"/>
  <c r="O175" i="42"/>
  <c r="Q175" i="42"/>
  <c r="S175" i="42"/>
  <c r="W175" i="42"/>
  <c r="T175" i="42"/>
  <c r="H176" i="42"/>
  <c r="O176" i="42"/>
  <c r="Q176" i="42"/>
  <c r="S176" i="42"/>
  <c r="W176" i="42"/>
  <c r="T176" i="42"/>
  <c r="H177" i="42"/>
  <c r="O177" i="42"/>
  <c r="Q177" i="42"/>
  <c r="S177" i="42"/>
  <c r="W177" i="42"/>
  <c r="T177" i="42"/>
  <c r="H178" i="42"/>
  <c r="O178" i="42"/>
  <c r="Q178" i="42"/>
  <c r="S178" i="42"/>
  <c r="W178" i="42"/>
  <c r="T178" i="42"/>
  <c r="H179" i="42"/>
  <c r="O179" i="42"/>
  <c r="Q179" i="42"/>
  <c r="S179" i="42"/>
  <c r="W179" i="42"/>
  <c r="T179" i="42"/>
  <c r="H180" i="42"/>
  <c r="O180" i="42"/>
  <c r="Q180" i="42"/>
  <c r="S180" i="42"/>
  <c r="W180" i="42"/>
  <c r="T180" i="42"/>
  <c r="H181" i="42"/>
  <c r="O181" i="42"/>
  <c r="Q181" i="42"/>
  <c r="S181" i="42"/>
  <c r="W181" i="42"/>
  <c r="T181" i="42"/>
  <c r="H182" i="42"/>
  <c r="O182" i="42"/>
  <c r="Q182" i="42"/>
  <c r="S182" i="42"/>
  <c r="W182" i="42"/>
  <c r="T182" i="42"/>
  <c r="H183" i="42"/>
  <c r="O183" i="42"/>
  <c r="Q183" i="42"/>
  <c r="S183" i="42"/>
  <c r="W183" i="42"/>
  <c r="T183" i="42"/>
  <c r="H184" i="42"/>
  <c r="O184" i="42"/>
  <c r="Q184" i="42"/>
  <c r="S184" i="42"/>
  <c r="W184" i="42"/>
  <c r="T184" i="42"/>
  <c r="H185" i="42"/>
  <c r="O185" i="42"/>
  <c r="Q185" i="42"/>
  <c r="S185" i="42"/>
  <c r="W185" i="42"/>
  <c r="T185" i="42"/>
  <c r="H186" i="42"/>
  <c r="O186" i="42"/>
  <c r="Q186" i="42"/>
  <c r="S186" i="42"/>
  <c r="W186" i="42"/>
  <c r="T186" i="42"/>
  <c r="H187" i="42"/>
  <c r="O187" i="42"/>
  <c r="Q187" i="42"/>
  <c r="S187" i="42"/>
  <c r="W187" i="42"/>
  <c r="T187" i="42"/>
  <c r="H188" i="42"/>
  <c r="O188" i="42"/>
  <c r="Q188" i="42"/>
  <c r="S188" i="42"/>
  <c r="W188" i="42"/>
  <c r="T188" i="42"/>
  <c r="H189" i="42"/>
  <c r="O189" i="42"/>
  <c r="Q189" i="42"/>
  <c r="S189" i="42"/>
  <c r="W189" i="42"/>
  <c r="T189" i="42"/>
  <c r="H190" i="42"/>
  <c r="O190" i="42"/>
  <c r="Q190" i="42"/>
  <c r="S190" i="42"/>
  <c r="W190" i="42"/>
  <c r="T190" i="42"/>
  <c r="H191" i="42"/>
  <c r="O191" i="42"/>
  <c r="Q191" i="42"/>
  <c r="S191" i="42"/>
  <c r="W191" i="42"/>
  <c r="T191" i="42"/>
  <c r="H192" i="42"/>
  <c r="O192" i="42"/>
  <c r="Q192" i="42"/>
  <c r="S192" i="42"/>
  <c r="W192" i="42"/>
  <c r="T192" i="42"/>
  <c r="H193" i="42"/>
  <c r="O193" i="42"/>
  <c r="Q193" i="42"/>
  <c r="S193" i="42"/>
  <c r="W193" i="42"/>
  <c r="T193" i="42"/>
  <c r="H194" i="42"/>
  <c r="O194" i="42"/>
  <c r="Q194" i="42"/>
  <c r="S194" i="42"/>
  <c r="W194" i="42"/>
  <c r="T194" i="42"/>
  <c r="H195" i="42"/>
  <c r="O195" i="42"/>
  <c r="Q195" i="42"/>
  <c r="S195" i="42"/>
  <c r="W195" i="42"/>
  <c r="T195" i="42"/>
  <c r="H196" i="42"/>
  <c r="O196" i="42"/>
  <c r="Q196" i="42"/>
  <c r="S196" i="42"/>
  <c r="W196" i="42"/>
  <c r="T196" i="42"/>
  <c r="H197" i="42"/>
  <c r="O197" i="42"/>
  <c r="Q197" i="42"/>
  <c r="S197" i="42"/>
  <c r="W197" i="42"/>
  <c r="T197" i="42"/>
  <c r="H198" i="42"/>
  <c r="O198" i="42"/>
  <c r="Q198" i="42"/>
  <c r="S198" i="42"/>
  <c r="W198" i="42"/>
  <c r="T198" i="42"/>
  <c r="H199" i="42"/>
  <c r="O199" i="42"/>
  <c r="Q199" i="42"/>
  <c r="S199" i="42"/>
  <c r="W199" i="42"/>
  <c r="T199" i="42"/>
  <c r="H200" i="42"/>
  <c r="O200" i="42"/>
  <c r="Q200" i="42"/>
  <c r="S200" i="42"/>
  <c r="W200" i="42"/>
  <c r="T200" i="42"/>
  <c r="H201" i="42"/>
  <c r="O201" i="42"/>
  <c r="Q201" i="42"/>
  <c r="S201" i="42"/>
  <c r="W201" i="42"/>
  <c r="T201" i="42"/>
  <c r="H202" i="42"/>
  <c r="O202" i="42"/>
  <c r="Q202" i="42"/>
  <c r="S202" i="42"/>
  <c r="W202" i="42"/>
  <c r="T202" i="42"/>
  <c r="H203" i="42"/>
  <c r="O203" i="42"/>
  <c r="Q203" i="42"/>
  <c r="S203" i="42"/>
  <c r="W203" i="42"/>
  <c r="T203" i="42"/>
  <c r="H204" i="42"/>
  <c r="O204" i="42"/>
  <c r="Q204" i="42"/>
  <c r="S204" i="42"/>
  <c r="W204" i="42"/>
  <c r="T204" i="42"/>
  <c r="H205" i="42"/>
  <c r="O205" i="42"/>
  <c r="Q205" i="42"/>
  <c r="S205" i="42"/>
  <c r="W205" i="42"/>
  <c r="T205" i="42"/>
  <c r="H206" i="42"/>
  <c r="O206" i="42"/>
  <c r="Q206" i="42"/>
  <c r="S206" i="42"/>
  <c r="W206" i="42"/>
  <c r="T206" i="42"/>
  <c r="H207" i="42"/>
  <c r="O207" i="42"/>
  <c r="Q207" i="42"/>
  <c r="S207" i="42"/>
  <c r="W207" i="42"/>
  <c r="T207" i="42"/>
  <c r="H208" i="42"/>
  <c r="O208" i="42"/>
  <c r="Q208" i="42"/>
  <c r="S208" i="42"/>
  <c r="W208" i="42"/>
  <c r="T208" i="42"/>
  <c r="H209" i="42"/>
  <c r="O209" i="42"/>
  <c r="Q209" i="42"/>
  <c r="S209" i="42"/>
  <c r="W209" i="42"/>
  <c r="T209" i="42"/>
  <c r="H210" i="42"/>
  <c r="O210" i="42"/>
  <c r="Q210" i="42"/>
  <c r="S210" i="42"/>
  <c r="W210" i="42"/>
  <c r="T210" i="42"/>
  <c r="H211" i="42"/>
  <c r="O211" i="42"/>
  <c r="Q211" i="42"/>
  <c r="S211" i="42"/>
  <c r="W211" i="42"/>
  <c r="T211" i="42"/>
  <c r="H212" i="42"/>
  <c r="O212" i="42"/>
  <c r="Q212" i="42"/>
  <c r="S212" i="42"/>
  <c r="W212" i="42"/>
  <c r="T212" i="42"/>
  <c r="H213" i="42"/>
  <c r="O213" i="42"/>
  <c r="Q213" i="42"/>
  <c r="S213" i="42"/>
  <c r="W213" i="42"/>
  <c r="T213" i="42"/>
  <c r="O214" i="42"/>
  <c r="Q214" i="42"/>
  <c r="S214" i="42"/>
  <c r="W214" i="42"/>
  <c r="T214" i="42"/>
  <c r="H215" i="42"/>
  <c r="O215" i="42"/>
  <c r="Q215" i="42"/>
  <c r="S215" i="42"/>
  <c r="W215" i="42"/>
  <c r="T215" i="42"/>
  <c r="H216" i="42"/>
  <c r="O216" i="42"/>
  <c r="Q216" i="42"/>
  <c r="S216" i="42"/>
  <c r="W216" i="42"/>
  <c r="T216" i="42"/>
  <c r="H217" i="42"/>
  <c r="O217" i="42"/>
  <c r="Q217" i="42"/>
  <c r="S217" i="42"/>
  <c r="W217" i="42"/>
  <c r="T217" i="42"/>
  <c r="H218" i="42"/>
  <c r="O218" i="42"/>
  <c r="Q218" i="42"/>
  <c r="S218" i="42"/>
  <c r="W218" i="42"/>
  <c r="T218" i="42"/>
  <c r="H219" i="42"/>
  <c r="O219" i="42"/>
  <c r="Q219" i="42"/>
  <c r="S219" i="42"/>
  <c r="W219" i="42"/>
  <c r="T219" i="42"/>
  <c r="H220" i="42"/>
  <c r="O220" i="42"/>
  <c r="Q220" i="42"/>
  <c r="S220" i="42"/>
  <c r="W220" i="42"/>
  <c r="T220" i="42"/>
  <c r="H221" i="42"/>
  <c r="O221" i="42"/>
  <c r="Q221" i="42"/>
  <c r="S221" i="42"/>
  <c r="W221" i="42"/>
  <c r="T221" i="42"/>
  <c r="H222" i="42"/>
  <c r="O222" i="42"/>
  <c r="Q222" i="42"/>
  <c r="S222" i="42"/>
  <c r="W222" i="42"/>
  <c r="T222" i="42"/>
  <c r="H223" i="42"/>
  <c r="O223" i="42"/>
  <c r="Q223" i="42"/>
  <c r="S223" i="42"/>
  <c r="W223" i="42"/>
  <c r="T223" i="42"/>
  <c r="H224" i="42"/>
  <c r="O224" i="42"/>
  <c r="Q224" i="42"/>
  <c r="S224" i="42"/>
  <c r="W224" i="42"/>
  <c r="T224" i="42"/>
  <c r="H225" i="42"/>
  <c r="O225" i="42"/>
  <c r="Q225" i="42"/>
  <c r="S225" i="42"/>
  <c r="W225" i="42"/>
  <c r="T225" i="42"/>
  <c r="H226" i="42"/>
  <c r="O226" i="42"/>
  <c r="Q226" i="42"/>
  <c r="S226" i="42"/>
  <c r="W226" i="42"/>
  <c r="T226" i="42"/>
  <c r="H227" i="42"/>
  <c r="O227" i="42"/>
  <c r="Q227" i="42"/>
  <c r="S227" i="42"/>
  <c r="W227" i="42"/>
  <c r="T227" i="42"/>
  <c r="H228" i="42"/>
  <c r="O228" i="42"/>
  <c r="Q228" i="42"/>
  <c r="S228" i="42"/>
  <c r="W228" i="42"/>
  <c r="T228" i="42"/>
  <c r="H229" i="42"/>
  <c r="O229" i="42"/>
  <c r="Q229" i="42"/>
  <c r="S229" i="42"/>
  <c r="W229" i="42"/>
  <c r="T229" i="42"/>
  <c r="H230" i="42"/>
  <c r="O230" i="42"/>
  <c r="Q230" i="42"/>
  <c r="S230" i="42"/>
  <c r="W230" i="42"/>
  <c r="T230" i="42"/>
  <c r="H231" i="42"/>
  <c r="O231" i="42"/>
  <c r="Q231" i="42"/>
  <c r="S231" i="42"/>
  <c r="W231" i="42"/>
  <c r="T231" i="42"/>
  <c r="H232" i="42"/>
  <c r="O232" i="42"/>
  <c r="Q232" i="42"/>
  <c r="S232" i="42"/>
  <c r="W232" i="42"/>
  <c r="T232" i="42"/>
  <c r="H233" i="42"/>
  <c r="O233" i="42"/>
  <c r="Q233" i="42"/>
  <c r="S233" i="42"/>
  <c r="W233" i="42"/>
  <c r="T233" i="42"/>
  <c r="H234" i="42"/>
  <c r="O234" i="42"/>
  <c r="Q234" i="42"/>
  <c r="S234" i="42"/>
  <c r="W234" i="42"/>
  <c r="T234" i="42"/>
  <c r="H235" i="42"/>
  <c r="O235" i="42"/>
  <c r="Q235" i="42"/>
  <c r="S235" i="42"/>
  <c r="W235" i="42"/>
  <c r="T235" i="42"/>
  <c r="H236" i="42"/>
  <c r="O236" i="42"/>
  <c r="Q236" i="42"/>
  <c r="S236" i="42"/>
  <c r="W236" i="42"/>
  <c r="T236" i="42"/>
  <c r="H237" i="42"/>
  <c r="O237" i="42"/>
  <c r="Q237" i="42"/>
  <c r="S237" i="42"/>
  <c r="W237" i="42"/>
  <c r="T237" i="42"/>
  <c r="H238" i="42"/>
  <c r="O238" i="42"/>
  <c r="Q238" i="42"/>
  <c r="S238" i="42"/>
  <c r="W238" i="42"/>
  <c r="T238" i="42"/>
  <c r="H239" i="42"/>
  <c r="O239" i="42"/>
  <c r="Q239" i="42"/>
  <c r="S239" i="42"/>
  <c r="W239" i="42"/>
  <c r="T239" i="42"/>
  <c r="H240" i="42"/>
  <c r="O240" i="42"/>
  <c r="Q240" i="42"/>
  <c r="S240" i="42"/>
  <c r="W240" i="42"/>
  <c r="T240" i="42"/>
  <c r="H241" i="42"/>
  <c r="O241" i="42"/>
  <c r="Q241" i="42"/>
  <c r="S241" i="42"/>
  <c r="W241" i="42"/>
  <c r="T241" i="42"/>
  <c r="H242" i="42"/>
  <c r="O242" i="42"/>
  <c r="Q242" i="42"/>
  <c r="S242" i="42"/>
  <c r="W242" i="42"/>
  <c r="T242" i="42"/>
  <c r="H243" i="42"/>
  <c r="O243" i="42"/>
  <c r="Q243" i="42"/>
  <c r="S243" i="42"/>
  <c r="W243" i="42"/>
  <c r="T243" i="42"/>
  <c r="H244" i="42"/>
  <c r="O244" i="42"/>
  <c r="Q244" i="42"/>
  <c r="S244" i="42"/>
  <c r="W244" i="42"/>
  <c r="T244" i="42"/>
  <c r="H245" i="42"/>
  <c r="O245" i="42"/>
  <c r="Q245" i="42"/>
  <c r="S245" i="42"/>
  <c r="W245" i="42"/>
  <c r="T245" i="42"/>
  <c r="H246" i="42"/>
  <c r="O246" i="42"/>
  <c r="Q246" i="42"/>
  <c r="S246" i="42"/>
  <c r="W246" i="42"/>
  <c r="T246" i="42"/>
  <c r="H247" i="42"/>
  <c r="O247" i="42"/>
  <c r="Q247" i="42"/>
  <c r="S247" i="42"/>
  <c r="W247" i="42"/>
  <c r="T247" i="42"/>
  <c r="H248" i="42"/>
  <c r="O248" i="42"/>
  <c r="Q248" i="42"/>
  <c r="S248" i="42"/>
  <c r="W248" i="42"/>
  <c r="T248" i="42"/>
  <c r="H249" i="42"/>
  <c r="O249" i="42"/>
  <c r="Q249" i="42"/>
  <c r="S249" i="42"/>
  <c r="W249" i="42"/>
  <c r="T249" i="42"/>
  <c r="H250" i="42"/>
  <c r="O250" i="42"/>
  <c r="Q250" i="42"/>
  <c r="S250" i="42"/>
  <c r="W250" i="42"/>
  <c r="T250" i="42"/>
  <c r="H251" i="42"/>
  <c r="O251" i="42"/>
  <c r="Q251" i="42"/>
  <c r="S251" i="42"/>
  <c r="W251" i="42"/>
  <c r="T251" i="42"/>
  <c r="H252" i="42"/>
  <c r="O252" i="42"/>
  <c r="Q252" i="42"/>
  <c r="S252" i="42"/>
  <c r="W252" i="42"/>
  <c r="T252" i="42"/>
  <c r="H253" i="42"/>
  <c r="O253" i="42"/>
  <c r="Q253" i="42"/>
  <c r="S253" i="42"/>
  <c r="W253" i="42"/>
  <c r="T253" i="42"/>
  <c r="H254" i="42"/>
  <c r="O254" i="42"/>
  <c r="Q254" i="42"/>
  <c r="S254" i="42"/>
  <c r="W254" i="42"/>
  <c r="T254" i="42"/>
  <c r="H255" i="42"/>
  <c r="O255" i="42"/>
  <c r="Q255" i="42"/>
  <c r="S255" i="42"/>
  <c r="W255" i="42"/>
  <c r="T255" i="42"/>
  <c r="H256" i="42"/>
  <c r="O256" i="42"/>
  <c r="Q256" i="42"/>
  <c r="S256" i="42"/>
  <c r="W256" i="42"/>
  <c r="T256" i="42"/>
  <c r="H257" i="42"/>
  <c r="O257" i="42"/>
  <c r="Q257" i="42"/>
  <c r="S257" i="42"/>
  <c r="W257" i="42"/>
  <c r="T257" i="42"/>
  <c r="H258" i="42"/>
  <c r="O258" i="42"/>
  <c r="Q258" i="42"/>
  <c r="S258" i="42"/>
  <c r="W258" i="42"/>
  <c r="T258" i="42"/>
  <c r="H259" i="42"/>
  <c r="O259" i="42"/>
  <c r="Q259" i="42"/>
  <c r="S259" i="42"/>
  <c r="W259" i="42"/>
  <c r="T259" i="42"/>
  <c r="H260" i="42"/>
  <c r="O260" i="42"/>
  <c r="Q260" i="42"/>
  <c r="S260" i="42"/>
  <c r="W260" i="42"/>
  <c r="T260" i="42"/>
  <c r="H261" i="42"/>
  <c r="O261" i="42"/>
  <c r="Q261" i="42"/>
  <c r="S261" i="42"/>
  <c r="W261" i="42"/>
  <c r="T261" i="42"/>
  <c r="H262" i="42"/>
  <c r="O262" i="42"/>
  <c r="Q262" i="42"/>
  <c r="S262" i="42"/>
  <c r="W262" i="42"/>
  <c r="T262" i="42"/>
  <c r="H263" i="42"/>
  <c r="O263" i="42"/>
  <c r="Q263" i="42"/>
  <c r="S263" i="42"/>
  <c r="W263" i="42"/>
  <c r="T263" i="42"/>
  <c r="H264" i="42"/>
  <c r="O264" i="42"/>
  <c r="Q264" i="42"/>
  <c r="S264" i="42"/>
  <c r="W264" i="42"/>
  <c r="T264" i="42"/>
  <c r="H265" i="42"/>
  <c r="O265" i="42"/>
  <c r="Q265" i="42"/>
  <c r="S265" i="42"/>
  <c r="W265" i="42"/>
  <c r="T265" i="42"/>
  <c r="H266" i="42"/>
  <c r="O266" i="42"/>
  <c r="Q266" i="42"/>
  <c r="S266" i="42"/>
  <c r="W266" i="42"/>
  <c r="T266" i="42"/>
  <c r="H267" i="42"/>
  <c r="O267" i="42"/>
  <c r="Q267" i="42"/>
  <c r="S267" i="42"/>
  <c r="W267" i="42"/>
  <c r="T267" i="42"/>
  <c r="H268" i="42"/>
  <c r="O268" i="42"/>
  <c r="Q268" i="42"/>
  <c r="S268" i="42"/>
  <c r="W268" i="42"/>
  <c r="T268" i="42"/>
  <c r="H269" i="42"/>
  <c r="O269" i="42"/>
  <c r="Q269" i="42"/>
  <c r="S269" i="42"/>
  <c r="W269" i="42"/>
  <c r="T269" i="42"/>
  <c r="H270" i="42"/>
  <c r="O270" i="42"/>
  <c r="Q270" i="42"/>
  <c r="S270" i="42"/>
  <c r="W270" i="42"/>
  <c r="T270" i="42"/>
  <c r="H271" i="42"/>
  <c r="O271" i="42"/>
  <c r="Q271" i="42"/>
  <c r="S271" i="42"/>
  <c r="W271" i="42"/>
  <c r="T271" i="42"/>
  <c r="H272" i="42"/>
  <c r="O272" i="42"/>
  <c r="Q272" i="42"/>
  <c r="S272" i="42"/>
  <c r="W272" i="42"/>
  <c r="T272" i="42"/>
  <c r="H273" i="42"/>
  <c r="O273" i="42"/>
  <c r="Q273" i="42"/>
  <c r="S273" i="42"/>
  <c r="W273" i="42"/>
  <c r="T273" i="42"/>
  <c r="H274" i="42"/>
  <c r="O274" i="42"/>
  <c r="Q274" i="42"/>
  <c r="S274" i="42"/>
  <c r="W274" i="42"/>
  <c r="T274" i="42"/>
  <c r="H275" i="42"/>
  <c r="O275" i="42"/>
  <c r="Q275" i="42"/>
  <c r="S275" i="42"/>
  <c r="W275" i="42"/>
  <c r="T275" i="42"/>
  <c r="H276" i="42"/>
  <c r="O276" i="42"/>
  <c r="Q276" i="42"/>
  <c r="S276" i="42"/>
  <c r="W276" i="42"/>
  <c r="T276" i="42"/>
  <c r="H277" i="42"/>
  <c r="O277" i="42"/>
  <c r="Q277" i="42"/>
  <c r="S277" i="42"/>
  <c r="W277" i="42"/>
  <c r="T277" i="42"/>
  <c r="H278" i="42"/>
  <c r="O278" i="42"/>
  <c r="Q278" i="42"/>
  <c r="S278" i="42"/>
  <c r="W278" i="42"/>
  <c r="T278" i="42"/>
  <c r="H279" i="42"/>
  <c r="O279" i="42"/>
  <c r="Q279" i="42"/>
  <c r="S279" i="42"/>
  <c r="W279" i="42"/>
  <c r="T279" i="42"/>
  <c r="H280" i="42"/>
  <c r="O280" i="42"/>
  <c r="Q280" i="42"/>
  <c r="S280" i="42"/>
  <c r="W280" i="42"/>
  <c r="T280" i="42"/>
  <c r="H281" i="42"/>
  <c r="O281" i="42"/>
  <c r="Q281" i="42"/>
  <c r="S281" i="42"/>
  <c r="W281" i="42"/>
  <c r="T281" i="42"/>
  <c r="H282" i="42"/>
  <c r="O282" i="42"/>
  <c r="Q282" i="42"/>
  <c r="S282" i="42"/>
  <c r="W282" i="42"/>
  <c r="T282" i="42"/>
  <c r="H283" i="42"/>
  <c r="O283" i="42"/>
  <c r="Q283" i="42"/>
  <c r="S283" i="42"/>
  <c r="W283" i="42"/>
  <c r="T283" i="42"/>
  <c r="H284" i="42"/>
  <c r="O284" i="42"/>
  <c r="Q284" i="42"/>
  <c r="S284" i="42"/>
  <c r="W284" i="42"/>
  <c r="T284" i="42"/>
  <c r="H285" i="42"/>
  <c r="O285" i="42"/>
  <c r="Q285" i="42"/>
  <c r="S285" i="42"/>
  <c r="W285" i="42"/>
  <c r="T285" i="42"/>
  <c r="H286" i="42"/>
  <c r="O286" i="42"/>
  <c r="Q286" i="42"/>
  <c r="S286" i="42"/>
  <c r="W286" i="42"/>
  <c r="T286" i="42"/>
  <c r="H287" i="42"/>
  <c r="O287" i="42"/>
  <c r="Q287" i="42"/>
  <c r="S287" i="42"/>
  <c r="W287" i="42"/>
  <c r="T287" i="42"/>
  <c r="H288" i="42"/>
  <c r="O288" i="42"/>
  <c r="Q288" i="42"/>
  <c r="S288" i="42"/>
  <c r="W288" i="42"/>
  <c r="T288" i="42"/>
  <c r="H289" i="42"/>
  <c r="O289" i="42"/>
  <c r="Q289" i="42"/>
  <c r="S289" i="42"/>
  <c r="W289" i="42"/>
  <c r="T289" i="42"/>
  <c r="H290" i="42"/>
  <c r="O290" i="42"/>
  <c r="Q290" i="42"/>
  <c r="S290" i="42"/>
  <c r="W290" i="42"/>
  <c r="T290" i="42"/>
  <c r="H291" i="42"/>
  <c r="O291" i="42"/>
  <c r="Q291" i="42"/>
  <c r="S291" i="42"/>
  <c r="W291" i="42"/>
  <c r="T291" i="42"/>
  <c r="H292" i="42"/>
  <c r="O292" i="42"/>
  <c r="Q292" i="42"/>
  <c r="S292" i="42"/>
  <c r="W292" i="42"/>
  <c r="T292" i="42"/>
  <c r="H293" i="42"/>
  <c r="O293" i="42"/>
  <c r="Q293" i="42"/>
  <c r="S293" i="42"/>
  <c r="W293" i="42"/>
  <c r="T293" i="42"/>
  <c r="H294" i="42"/>
  <c r="O294" i="42"/>
  <c r="Q294" i="42"/>
  <c r="S294" i="42"/>
  <c r="W294" i="42"/>
  <c r="T294" i="42"/>
  <c r="H295" i="42"/>
  <c r="O295" i="42"/>
  <c r="Q295" i="42"/>
  <c r="S295" i="42"/>
  <c r="W295" i="42"/>
  <c r="T295" i="42"/>
  <c r="H296" i="42"/>
  <c r="O296" i="42"/>
  <c r="Q296" i="42"/>
  <c r="S296" i="42"/>
  <c r="W296" i="42"/>
  <c r="T296" i="42"/>
  <c r="H297" i="42"/>
  <c r="O297" i="42"/>
  <c r="Q297" i="42"/>
  <c r="S297" i="42"/>
  <c r="W297" i="42"/>
  <c r="T297" i="42"/>
  <c r="H298" i="42"/>
  <c r="O298" i="42"/>
  <c r="Q298" i="42"/>
  <c r="S298" i="42"/>
  <c r="W298" i="42"/>
  <c r="T298" i="42"/>
  <c r="H299" i="42"/>
  <c r="O299" i="42"/>
  <c r="Q299" i="42"/>
  <c r="S299" i="42"/>
  <c r="W299" i="42"/>
  <c r="T299" i="42"/>
  <c r="H300" i="42"/>
  <c r="O300" i="42"/>
  <c r="Q300" i="42"/>
  <c r="S300" i="42"/>
  <c r="W300" i="42"/>
  <c r="T300" i="42"/>
  <c r="H301" i="42"/>
  <c r="O301" i="42"/>
  <c r="Q301" i="42"/>
  <c r="S301" i="42"/>
  <c r="W301" i="42"/>
  <c r="T301" i="42"/>
  <c r="H302" i="42"/>
  <c r="O302" i="42"/>
  <c r="Q302" i="42"/>
  <c r="S302" i="42"/>
  <c r="W302" i="42"/>
  <c r="T302" i="42"/>
  <c r="H303" i="42"/>
  <c r="O303" i="42"/>
  <c r="Q303" i="42"/>
  <c r="S303" i="42"/>
  <c r="W303" i="42"/>
  <c r="T303" i="42"/>
  <c r="H304" i="42"/>
  <c r="O304" i="42"/>
  <c r="Q304" i="42"/>
  <c r="S304" i="42"/>
  <c r="W304" i="42"/>
  <c r="T304" i="42"/>
  <c r="H305" i="42"/>
  <c r="O305" i="42"/>
  <c r="Q305" i="42"/>
  <c r="S305" i="42"/>
  <c r="W305" i="42"/>
  <c r="T305" i="42"/>
  <c r="H306" i="42"/>
  <c r="O306" i="42"/>
  <c r="Q306" i="42"/>
  <c r="S306" i="42"/>
  <c r="W306" i="42"/>
  <c r="T306" i="42"/>
  <c r="H307" i="42"/>
  <c r="O307" i="42"/>
  <c r="Q307" i="42"/>
  <c r="S307" i="42"/>
  <c r="W307" i="42"/>
  <c r="T307" i="42"/>
  <c r="H308" i="42"/>
  <c r="O308" i="42"/>
  <c r="Q308" i="42"/>
  <c r="S308" i="42"/>
  <c r="W308" i="42"/>
  <c r="T308" i="42"/>
  <c r="H309" i="42"/>
  <c r="O309" i="42"/>
  <c r="Q309" i="42"/>
  <c r="S309" i="42"/>
  <c r="W309" i="42"/>
  <c r="T309" i="42"/>
  <c r="H310" i="42"/>
  <c r="O310" i="42"/>
  <c r="Q310" i="42"/>
  <c r="S310" i="42"/>
  <c r="W310" i="42"/>
  <c r="T310" i="42"/>
  <c r="H311" i="42"/>
  <c r="O311" i="42"/>
  <c r="Q311" i="42"/>
  <c r="S311" i="42"/>
  <c r="W311" i="42"/>
  <c r="T311" i="42"/>
  <c r="H312" i="42"/>
  <c r="O312" i="42"/>
  <c r="Q312" i="42"/>
  <c r="S312" i="42"/>
  <c r="W312" i="42"/>
  <c r="T312" i="42"/>
  <c r="H313" i="42"/>
  <c r="O313" i="42"/>
  <c r="Q313" i="42"/>
  <c r="S313" i="42"/>
  <c r="W313" i="42"/>
  <c r="T313" i="42"/>
  <c r="H314" i="42"/>
  <c r="O314" i="42"/>
  <c r="Q314" i="42"/>
  <c r="S314" i="42"/>
  <c r="W314" i="42"/>
  <c r="T314" i="42"/>
  <c r="H315" i="42"/>
  <c r="O315" i="42"/>
  <c r="Q315" i="42"/>
  <c r="S315" i="42"/>
  <c r="W315" i="42"/>
  <c r="T315" i="42"/>
  <c r="H316" i="42"/>
  <c r="O316" i="42"/>
  <c r="Q316" i="42"/>
  <c r="S316" i="42"/>
  <c r="W316" i="42"/>
  <c r="T316" i="42"/>
  <c r="H317" i="42"/>
  <c r="O317" i="42"/>
  <c r="Q317" i="42"/>
  <c r="S317" i="42"/>
  <c r="W317" i="42"/>
  <c r="T317" i="42"/>
  <c r="H318" i="42"/>
  <c r="O318" i="42"/>
  <c r="Q318" i="42"/>
  <c r="S318" i="42"/>
  <c r="W318" i="42"/>
  <c r="T318" i="42"/>
  <c r="H319" i="42"/>
  <c r="O319" i="42"/>
  <c r="Q319" i="42"/>
  <c r="S319" i="42"/>
  <c r="W319" i="42"/>
  <c r="T319" i="42"/>
  <c r="H320" i="42"/>
  <c r="O320" i="42"/>
  <c r="Q320" i="42"/>
  <c r="S320" i="42"/>
  <c r="W320" i="42"/>
  <c r="T320" i="42"/>
  <c r="H321" i="42"/>
  <c r="O321" i="42"/>
  <c r="Q321" i="42"/>
  <c r="S321" i="42"/>
  <c r="W321" i="42"/>
  <c r="T321" i="42"/>
  <c r="H322" i="42"/>
  <c r="O322" i="42"/>
  <c r="Q322" i="42"/>
  <c r="S322" i="42"/>
  <c r="W322" i="42"/>
  <c r="T322" i="42"/>
  <c r="H323" i="42"/>
  <c r="O323" i="42"/>
  <c r="Q323" i="42"/>
  <c r="S323" i="42"/>
  <c r="W323" i="42"/>
  <c r="T323" i="42"/>
  <c r="H324" i="42"/>
  <c r="O324" i="42"/>
  <c r="Q324" i="42"/>
  <c r="S324" i="42"/>
  <c r="W324" i="42"/>
  <c r="T324" i="42"/>
  <c r="H325" i="42"/>
  <c r="O325" i="42"/>
  <c r="Q325" i="42"/>
  <c r="S325" i="42"/>
  <c r="W325" i="42"/>
  <c r="T325" i="42"/>
  <c r="H326" i="42"/>
  <c r="O326" i="42"/>
  <c r="Q326" i="42"/>
  <c r="S326" i="42"/>
  <c r="W326" i="42"/>
  <c r="T326" i="42"/>
  <c r="H327" i="42"/>
  <c r="O327" i="42"/>
  <c r="Q327" i="42"/>
  <c r="S327" i="42"/>
  <c r="W327" i="42"/>
  <c r="T327" i="42"/>
  <c r="H328" i="42"/>
  <c r="O328" i="42"/>
  <c r="Q328" i="42"/>
  <c r="S328" i="42"/>
  <c r="W328" i="42"/>
  <c r="T328" i="42"/>
  <c r="H329" i="42"/>
  <c r="O329" i="42"/>
  <c r="Q329" i="42"/>
  <c r="S329" i="42"/>
  <c r="W329" i="42"/>
  <c r="T329" i="42"/>
  <c r="H330" i="42"/>
  <c r="O330" i="42"/>
  <c r="Q330" i="42"/>
  <c r="S330" i="42"/>
  <c r="W330" i="42"/>
  <c r="T330" i="42"/>
  <c r="H331" i="42"/>
  <c r="O331" i="42"/>
  <c r="Q331" i="42"/>
  <c r="S331" i="42"/>
  <c r="W331" i="42"/>
  <c r="T331" i="42"/>
  <c r="H332" i="42"/>
  <c r="O332" i="42"/>
  <c r="Q332" i="42"/>
  <c r="S332" i="42"/>
  <c r="W332" i="42"/>
  <c r="T332" i="42"/>
  <c r="H333" i="42"/>
  <c r="O333" i="42"/>
  <c r="Q333" i="42"/>
  <c r="S333" i="42"/>
  <c r="W333" i="42"/>
  <c r="T333" i="42"/>
  <c r="H334" i="42"/>
  <c r="O334" i="42"/>
  <c r="Q334" i="42"/>
  <c r="S334" i="42"/>
  <c r="W334" i="42"/>
  <c r="T334" i="42"/>
  <c r="H335" i="42"/>
  <c r="O335" i="42"/>
  <c r="Q335" i="42"/>
  <c r="S335" i="42"/>
  <c r="W335" i="42"/>
  <c r="T335" i="42"/>
  <c r="H336" i="42"/>
  <c r="O336" i="42"/>
  <c r="Q336" i="42"/>
  <c r="S336" i="42"/>
  <c r="W336" i="42"/>
  <c r="T336" i="42"/>
  <c r="H337" i="42"/>
  <c r="O337" i="42"/>
  <c r="Q337" i="42"/>
  <c r="S337" i="42"/>
  <c r="W337" i="42"/>
  <c r="T337" i="42"/>
  <c r="H338" i="42"/>
  <c r="O338" i="42"/>
  <c r="Q338" i="42"/>
  <c r="S338" i="42"/>
  <c r="W338" i="42"/>
  <c r="T338" i="42"/>
  <c r="H339" i="42"/>
  <c r="O339" i="42"/>
  <c r="Q339" i="42"/>
  <c r="S339" i="42"/>
  <c r="W339" i="42"/>
  <c r="T339" i="42"/>
  <c r="H340" i="42"/>
  <c r="O340" i="42"/>
  <c r="Q340" i="42"/>
  <c r="S340" i="42"/>
  <c r="W340" i="42"/>
  <c r="T340" i="42"/>
  <c r="H341" i="42"/>
  <c r="O341" i="42"/>
  <c r="Q341" i="42"/>
  <c r="S341" i="42"/>
  <c r="W341" i="42"/>
  <c r="T341" i="42"/>
  <c r="H342" i="42"/>
  <c r="O342" i="42"/>
  <c r="Q342" i="42"/>
  <c r="S342" i="42"/>
  <c r="W342" i="42"/>
  <c r="T342" i="42"/>
  <c r="H343" i="42"/>
  <c r="O343" i="42"/>
  <c r="Q343" i="42"/>
  <c r="S343" i="42"/>
  <c r="W343" i="42"/>
  <c r="T343" i="42"/>
  <c r="H344" i="42"/>
  <c r="O344" i="42"/>
  <c r="Q344" i="42"/>
  <c r="S344" i="42"/>
  <c r="W344" i="42"/>
  <c r="T344" i="42"/>
  <c r="H345" i="42"/>
  <c r="O345" i="42"/>
  <c r="Q345" i="42"/>
  <c r="S345" i="42"/>
  <c r="W345" i="42"/>
  <c r="T345" i="42"/>
  <c r="H346" i="42"/>
  <c r="O346" i="42"/>
  <c r="Q346" i="42"/>
  <c r="S346" i="42"/>
  <c r="W346" i="42"/>
  <c r="T346" i="42"/>
  <c r="H347" i="42"/>
  <c r="O347" i="42"/>
  <c r="Q347" i="42"/>
  <c r="S347" i="42"/>
  <c r="W347" i="42"/>
  <c r="T347" i="42"/>
  <c r="H348" i="42"/>
  <c r="O348" i="42"/>
  <c r="Q348" i="42"/>
  <c r="S348" i="42"/>
  <c r="W348" i="42"/>
  <c r="T348" i="42"/>
  <c r="H349" i="42"/>
  <c r="O349" i="42"/>
  <c r="Q349" i="42"/>
  <c r="S349" i="42"/>
  <c r="W349" i="42"/>
  <c r="T349" i="42"/>
  <c r="H350" i="42"/>
  <c r="O350" i="42"/>
  <c r="Q350" i="42"/>
  <c r="S350" i="42"/>
  <c r="W350" i="42"/>
  <c r="T350" i="42"/>
  <c r="H351" i="42"/>
  <c r="O351" i="42"/>
  <c r="Q351" i="42"/>
  <c r="S351" i="42"/>
  <c r="W351" i="42"/>
  <c r="T351" i="42"/>
  <c r="H352" i="42"/>
  <c r="O352" i="42"/>
  <c r="Q352" i="42"/>
  <c r="S352" i="42"/>
  <c r="W352" i="42"/>
  <c r="T352" i="42"/>
  <c r="H353" i="42"/>
  <c r="O353" i="42"/>
  <c r="Q353" i="42"/>
  <c r="S353" i="42"/>
  <c r="W353" i="42"/>
  <c r="T353" i="42"/>
  <c r="H354" i="42"/>
  <c r="O354" i="42"/>
  <c r="Q354" i="42"/>
  <c r="S354" i="42"/>
  <c r="W354" i="42"/>
  <c r="T354" i="42"/>
  <c r="H355" i="42"/>
  <c r="O355" i="42"/>
  <c r="Q355" i="42"/>
  <c r="S355" i="42"/>
  <c r="W355" i="42"/>
  <c r="T355" i="42"/>
  <c r="H356" i="42"/>
  <c r="O356" i="42"/>
  <c r="Q356" i="42"/>
  <c r="S356" i="42"/>
  <c r="W356" i="42"/>
  <c r="T356" i="42"/>
  <c r="H357" i="42"/>
  <c r="O357" i="42"/>
  <c r="Q357" i="42"/>
  <c r="S357" i="42"/>
  <c r="W357" i="42"/>
  <c r="T357" i="42"/>
  <c r="H358" i="42"/>
  <c r="O358" i="42"/>
  <c r="Q358" i="42"/>
  <c r="S358" i="42"/>
  <c r="W358" i="42"/>
  <c r="T358" i="42"/>
  <c r="H359" i="42"/>
  <c r="O359" i="42"/>
  <c r="Q359" i="42"/>
  <c r="S359" i="42"/>
  <c r="W359" i="42"/>
  <c r="T359" i="42"/>
  <c r="H360" i="42"/>
  <c r="O360" i="42"/>
  <c r="Q360" i="42"/>
  <c r="S360" i="42"/>
  <c r="W360" i="42"/>
  <c r="T360" i="42"/>
  <c r="H361" i="42"/>
  <c r="O361" i="42"/>
  <c r="Q361" i="42"/>
  <c r="S361" i="42"/>
  <c r="W361" i="42"/>
  <c r="T361" i="42"/>
  <c r="H362" i="42"/>
  <c r="O362" i="42"/>
  <c r="Q362" i="42"/>
  <c r="S362" i="42"/>
  <c r="W362" i="42"/>
  <c r="T362" i="42"/>
  <c r="H363" i="42"/>
  <c r="O363" i="42"/>
  <c r="Q363" i="42"/>
  <c r="S363" i="42"/>
  <c r="W363" i="42"/>
  <c r="T363" i="42"/>
  <c r="H364" i="42"/>
  <c r="O364" i="42"/>
  <c r="Q364" i="42"/>
  <c r="S364" i="42"/>
  <c r="W364" i="42"/>
  <c r="T364" i="42"/>
  <c r="H365" i="42"/>
  <c r="O365" i="42"/>
  <c r="Q365" i="42"/>
  <c r="S365" i="42"/>
  <c r="W365" i="42"/>
  <c r="T365" i="42"/>
  <c r="H366" i="42"/>
  <c r="O366" i="42"/>
  <c r="Q366" i="42"/>
  <c r="S366" i="42"/>
  <c r="W366" i="42"/>
  <c r="T366" i="42"/>
  <c r="H367" i="42"/>
  <c r="O367" i="42"/>
  <c r="Q367" i="42"/>
  <c r="S367" i="42"/>
  <c r="W367" i="42"/>
  <c r="T367" i="42"/>
  <c r="H368" i="42"/>
  <c r="O368" i="42"/>
  <c r="Q368" i="42"/>
  <c r="S368" i="42"/>
  <c r="W368" i="42"/>
  <c r="T368" i="42"/>
  <c r="H369" i="42"/>
  <c r="O369" i="42"/>
  <c r="Q369" i="42"/>
  <c r="S369" i="42"/>
  <c r="W369" i="42"/>
  <c r="T369" i="42"/>
  <c r="H370" i="42"/>
  <c r="O370" i="42"/>
  <c r="Q370" i="42"/>
  <c r="S370" i="42"/>
  <c r="W370" i="42"/>
  <c r="T370" i="42"/>
  <c r="H371" i="42"/>
  <c r="O371" i="42"/>
  <c r="Q371" i="42"/>
  <c r="S371" i="42"/>
  <c r="W371" i="42"/>
  <c r="T371" i="42"/>
  <c r="H372" i="42"/>
  <c r="O372" i="42"/>
  <c r="Q372" i="42"/>
  <c r="S372" i="42"/>
  <c r="W372" i="42"/>
  <c r="T372" i="42"/>
  <c r="H373" i="42"/>
  <c r="O373" i="42"/>
  <c r="Q373" i="42"/>
  <c r="S373" i="42"/>
  <c r="W373" i="42"/>
  <c r="T373" i="42"/>
  <c r="H374" i="42"/>
  <c r="O374" i="42"/>
  <c r="Q374" i="42"/>
  <c r="S374" i="42"/>
  <c r="W374" i="42"/>
  <c r="T374" i="42"/>
  <c r="H375" i="42"/>
  <c r="O375" i="42"/>
  <c r="Q375" i="42"/>
  <c r="S375" i="42"/>
  <c r="W375" i="42"/>
  <c r="T375" i="42"/>
  <c r="H376" i="42"/>
  <c r="O376" i="42"/>
  <c r="Q376" i="42"/>
  <c r="S376" i="42"/>
  <c r="W376" i="42"/>
  <c r="T376" i="42"/>
  <c r="H377" i="42"/>
  <c r="O377" i="42"/>
  <c r="Q377" i="42"/>
  <c r="S377" i="42"/>
  <c r="W377" i="42"/>
  <c r="T377" i="42"/>
  <c r="H378" i="42"/>
  <c r="O378" i="42"/>
  <c r="Q378" i="42"/>
  <c r="S378" i="42"/>
  <c r="W378" i="42"/>
  <c r="T378" i="42"/>
  <c r="H379" i="42"/>
  <c r="O379" i="42"/>
  <c r="Q379" i="42"/>
  <c r="S379" i="42"/>
  <c r="W379" i="42"/>
  <c r="T379" i="42"/>
  <c r="H380" i="42"/>
  <c r="O380" i="42"/>
  <c r="Q380" i="42"/>
  <c r="S380" i="42"/>
  <c r="W380" i="42"/>
  <c r="T380" i="42"/>
  <c r="H381" i="42"/>
  <c r="O381" i="42"/>
  <c r="Q381" i="42"/>
  <c r="S381" i="42"/>
  <c r="W381" i="42"/>
  <c r="T381" i="42"/>
  <c r="H382" i="42"/>
  <c r="O382" i="42"/>
  <c r="Q382" i="42"/>
  <c r="S382" i="42"/>
  <c r="W382" i="42"/>
  <c r="T382" i="42"/>
  <c r="H383" i="42"/>
  <c r="O383" i="42"/>
  <c r="Q383" i="42"/>
  <c r="S383" i="42"/>
  <c r="W383" i="42"/>
  <c r="T383" i="42"/>
  <c r="H384" i="42"/>
  <c r="O384" i="42"/>
  <c r="Q384" i="42"/>
  <c r="S384" i="42"/>
  <c r="W384" i="42"/>
  <c r="T384" i="42"/>
  <c r="H385" i="42"/>
  <c r="O385" i="42"/>
  <c r="Q385" i="42"/>
  <c r="S385" i="42"/>
  <c r="W385" i="42"/>
  <c r="T385" i="42"/>
  <c r="H386" i="42"/>
  <c r="O386" i="42"/>
  <c r="Q386" i="42"/>
  <c r="S386" i="42"/>
  <c r="W386" i="42"/>
  <c r="T386" i="42"/>
  <c r="H387" i="42"/>
  <c r="O387" i="42"/>
  <c r="Q387" i="42"/>
  <c r="S387" i="42"/>
  <c r="W387" i="42"/>
  <c r="T387" i="42"/>
  <c r="H388" i="42"/>
  <c r="O388" i="42"/>
  <c r="Q388" i="42"/>
  <c r="S388" i="42"/>
  <c r="W388" i="42"/>
  <c r="T388" i="42"/>
  <c r="H389" i="42"/>
  <c r="O389" i="42"/>
  <c r="Q389" i="42"/>
  <c r="S389" i="42"/>
  <c r="W389" i="42"/>
  <c r="T389" i="42"/>
  <c r="H390" i="42"/>
  <c r="O390" i="42"/>
  <c r="Q390" i="42"/>
  <c r="S390" i="42"/>
  <c r="W390" i="42"/>
  <c r="T390" i="42"/>
  <c r="H391" i="42"/>
  <c r="O391" i="42"/>
  <c r="Q391" i="42"/>
  <c r="S391" i="42"/>
  <c r="W391" i="42"/>
  <c r="T391" i="42"/>
  <c r="H392" i="42"/>
  <c r="O392" i="42"/>
  <c r="Q392" i="42"/>
  <c r="S392" i="42"/>
  <c r="W392" i="42"/>
  <c r="T392" i="42"/>
  <c r="H393" i="42"/>
  <c r="O393" i="42"/>
  <c r="Q393" i="42"/>
  <c r="S393" i="42"/>
  <c r="W393" i="42"/>
  <c r="T393" i="42"/>
  <c r="H394" i="42"/>
  <c r="O394" i="42"/>
  <c r="Q394" i="42"/>
  <c r="S394" i="42"/>
  <c r="W394" i="42"/>
  <c r="T394" i="42"/>
  <c r="H395" i="42"/>
  <c r="O395" i="42"/>
  <c r="Q395" i="42"/>
  <c r="S395" i="42"/>
  <c r="W395" i="42"/>
  <c r="T395" i="42"/>
  <c r="H396" i="42"/>
  <c r="O396" i="42"/>
  <c r="Q396" i="42"/>
  <c r="S396" i="42"/>
  <c r="W396" i="42"/>
  <c r="T396" i="42"/>
  <c r="H397" i="42"/>
  <c r="O397" i="42"/>
  <c r="Q397" i="42"/>
  <c r="S397" i="42"/>
  <c r="W397" i="42"/>
  <c r="T397" i="42"/>
  <c r="H398" i="42"/>
  <c r="O398" i="42"/>
  <c r="Q398" i="42"/>
  <c r="S398" i="42"/>
  <c r="W398" i="42"/>
  <c r="T398" i="42"/>
  <c r="H399" i="42"/>
  <c r="O399" i="42"/>
  <c r="Q399" i="42"/>
  <c r="S399" i="42"/>
  <c r="W399" i="42"/>
  <c r="T399" i="42"/>
  <c r="H400" i="42"/>
  <c r="O400" i="42"/>
  <c r="Q400" i="42"/>
  <c r="S400" i="42"/>
  <c r="W400" i="42"/>
  <c r="T400" i="42"/>
  <c r="H401" i="42"/>
  <c r="O401" i="42"/>
  <c r="Q401" i="42"/>
  <c r="S401" i="42"/>
  <c r="W401" i="42"/>
  <c r="T401" i="42"/>
  <c r="H402" i="42"/>
  <c r="O402" i="42"/>
  <c r="Q402" i="42"/>
  <c r="S402" i="42"/>
  <c r="W402" i="42"/>
  <c r="T402" i="42"/>
  <c r="H403" i="42"/>
  <c r="O403" i="42"/>
  <c r="Q403" i="42"/>
  <c r="S403" i="42"/>
  <c r="W403" i="42"/>
  <c r="T403" i="42"/>
  <c r="H404" i="42"/>
  <c r="O404" i="42"/>
  <c r="Q404" i="42"/>
  <c r="S404" i="42"/>
  <c r="W404" i="42"/>
  <c r="T404" i="42"/>
  <c r="H405" i="42"/>
  <c r="O405" i="42"/>
  <c r="Q405" i="42"/>
  <c r="S405" i="42"/>
  <c r="W405" i="42"/>
  <c r="T405" i="42"/>
  <c r="H406" i="42"/>
  <c r="O406" i="42"/>
  <c r="Q406" i="42"/>
  <c r="S406" i="42"/>
  <c r="W406" i="42"/>
  <c r="T406" i="42"/>
  <c r="H407" i="42"/>
  <c r="O407" i="42"/>
  <c r="Q407" i="42"/>
  <c r="S407" i="42"/>
  <c r="W407" i="42"/>
  <c r="T407" i="42"/>
  <c r="H408" i="42"/>
  <c r="O408" i="42"/>
  <c r="Q408" i="42"/>
  <c r="S408" i="42"/>
  <c r="W408" i="42"/>
  <c r="T408" i="42"/>
  <c r="H409" i="42"/>
  <c r="O409" i="42"/>
  <c r="Q409" i="42"/>
  <c r="S409" i="42"/>
  <c r="W409" i="42"/>
  <c r="T409" i="42"/>
  <c r="H410" i="42"/>
  <c r="O410" i="42"/>
  <c r="Q410" i="42"/>
  <c r="S410" i="42"/>
  <c r="W410" i="42"/>
  <c r="T410" i="42"/>
  <c r="H411" i="42"/>
  <c r="O411" i="42"/>
  <c r="Q411" i="42"/>
  <c r="S411" i="42"/>
  <c r="W411" i="42"/>
  <c r="T411" i="42"/>
  <c r="H412" i="42"/>
  <c r="O412" i="42"/>
  <c r="Q412" i="42"/>
  <c r="S412" i="42"/>
  <c r="W412" i="42"/>
  <c r="T412" i="42"/>
  <c r="H413" i="42"/>
  <c r="O413" i="42"/>
  <c r="Q413" i="42"/>
  <c r="S413" i="42"/>
  <c r="W413" i="42"/>
  <c r="T413" i="42"/>
  <c r="H414" i="42"/>
  <c r="O414" i="42"/>
  <c r="Q414" i="42"/>
  <c r="S414" i="42"/>
  <c r="W414" i="42"/>
  <c r="T414" i="42"/>
  <c r="H415" i="42"/>
  <c r="O415" i="42"/>
  <c r="Q415" i="42"/>
  <c r="S415" i="42"/>
  <c r="W415" i="42"/>
  <c r="T415" i="42"/>
  <c r="H416" i="42"/>
  <c r="O416" i="42"/>
  <c r="Q416" i="42"/>
  <c r="S416" i="42"/>
  <c r="W416" i="42"/>
  <c r="T416" i="42"/>
  <c r="H417" i="42"/>
  <c r="O417" i="42"/>
  <c r="Q417" i="42"/>
  <c r="S417" i="42"/>
  <c r="W417" i="42"/>
  <c r="T417" i="42"/>
  <c r="H418" i="42"/>
  <c r="O418" i="42"/>
  <c r="Q418" i="42"/>
  <c r="S418" i="42"/>
  <c r="W418" i="42"/>
  <c r="T418" i="42"/>
  <c r="H419" i="42"/>
  <c r="O419" i="42"/>
  <c r="Q419" i="42"/>
  <c r="S419" i="42"/>
  <c r="W419" i="42"/>
  <c r="T419" i="42"/>
  <c r="H420" i="42"/>
  <c r="O420" i="42"/>
  <c r="Q420" i="42"/>
  <c r="S420" i="42"/>
  <c r="W420" i="42"/>
  <c r="T420" i="42"/>
  <c r="H421" i="42"/>
  <c r="O421" i="42"/>
  <c r="Q421" i="42"/>
  <c r="S421" i="42"/>
  <c r="W421" i="42"/>
  <c r="T421" i="42"/>
  <c r="H422" i="42"/>
  <c r="O422" i="42"/>
  <c r="Q422" i="42"/>
  <c r="S422" i="42"/>
  <c r="W422" i="42"/>
  <c r="T422" i="42"/>
  <c r="H423" i="42"/>
  <c r="O423" i="42"/>
  <c r="Q423" i="42"/>
  <c r="S423" i="42"/>
  <c r="W423" i="42"/>
  <c r="T423" i="42"/>
  <c r="H424" i="42"/>
  <c r="O424" i="42"/>
  <c r="Q424" i="42"/>
  <c r="S424" i="42"/>
  <c r="W424" i="42"/>
  <c r="T424" i="42"/>
  <c r="H425" i="42"/>
  <c r="O425" i="42"/>
  <c r="Q425" i="42"/>
  <c r="S425" i="42"/>
  <c r="W425" i="42"/>
  <c r="T425" i="42"/>
  <c r="H426" i="42"/>
  <c r="O426" i="42"/>
  <c r="Q426" i="42"/>
  <c r="S426" i="42"/>
  <c r="W426" i="42"/>
  <c r="T426" i="42"/>
  <c r="H427" i="42"/>
  <c r="O427" i="42"/>
  <c r="Q427" i="42"/>
  <c r="S427" i="42"/>
  <c r="W427" i="42"/>
  <c r="T427" i="42"/>
  <c r="H428" i="42"/>
  <c r="O428" i="42"/>
  <c r="Q428" i="42"/>
  <c r="S428" i="42"/>
  <c r="W428" i="42"/>
  <c r="T428" i="42"/>
  <c r="H429" i="42"/>
  <c r="O429" i="42"/>
  <c r="Q429" i="42"/>
  <c r="S429" i="42"/>
  <c r="W429" i="42"/>
  <c r="T429" i="42"/>
  <c r="H430" i="42"/>
  <c r="O430" i="42"/>
  <c r="Q430" i="42"/>
  <c r="S430" i="42"/>
  <c r="W430" i="42"/>
  <c r="T430" i="42"/>
  <c r="H431" i="42"/>
  <c r="O431" i="42"/>
  <c r="Q431" i="42"/>
  <c r="S431" i="42"/>
  <c r="W431" i="42"/>
  <c r="T431" i="42"/>
  <c r="H432" i="42"/>
  <c r="O432" i="42"/>
  <c r="Q432" i="42"/>
  <c r="S432" i="42"/>
  <c r="W432" i="42"/>
  <c r="T432" i="42"/>
  <c r="H433" i="42"/>
  <c r="O433" i="42"/>
  <c r="Q433" i="42"/>
  <c r="S433" i="42"/>
  <c r="W433" i="42"/>
  <c r="T433" i="42"/>
  <c r="H434" i="42"/>
  <c r="O434" i="42"/>
  <c r="Q434" i="42"/>
  <c r="S434" i="42"/>
  <c r="W434" i="42"/>
  <c r="T434" i="42"/>
  <c r="H435" i="42"/>
  <c r="O435" i="42"/>
  <c r="Q435" i="42"/>
  <c r="S435" i="42"/>
  <c r="W435" i="42"/>
  <c r="T435" i="42"/>
  <c r="H436" i="42"/>
  <c r="O436" i="42"/>
  <c r="Q436" i="42"/>
  <c r="S436" i="42"/>
  <c r="W436" i="42"/>
  <c r="T436" i="42"/>
  <c r="H437" i="42"/>
  <c r="O437" i="42"/>
  <c r="Q437" i="42"/>
  <c r="S437" i="42"/>
  <c r="W437" i="42"/>
  <c r="T437" i="42"/>
  <c r="H438" i="42"/>
  <c r="O438" i="42"/>
  <c r="Q438" i="42"/>
  <c r="S438" i="42"/>
  <c r="W438" i="42"/>
  <c r="T438" i="42"/>
  <c r="H439" i="42"/>
  <c r="O439" i="42"/>
  <c r="Q439" i="42"/>
  <c r="S439" i="42"/>
  <c r="W439" i="42"/>
  <c r="T439" i="42"/>
  <c r="H440" i="42"/>
  <c r="O440" i="42"/>
  <c r="Q440" i="42"/>
  <c r="S440" i="42"/>
  <c r="W440" i="42"/>
  <c r="T440" i="42"/>
  <c r="H441" i="42"/>
  <c r="O441" i="42"/>
  <c r="Q441" i="42"/>
  <c r="S441" i="42"/>
  <c r="W441" i="42"/>
  <c r="T441" i="42"/>
  <c r="H442" i="42"/>
  <c r="O442" i="42"/>
  <c r="Q442" i="42"/>
  <c r="S442" i="42"/>
  <c r="W442" i="42"/>
  <c r="T442" i="42"/>
  <c r="H443" i="42"/>
  <c r="O443" i="42"/>
  <c r="Q443" i="42"/>
  <c r="S443" i="42"/>
  <c r="W443" i="42"/>
  <c r="T443" i="42"/>
  <c r="H444" i="42"/>
  <c r="O444" i="42"/>
  <c r="Q444" i="42"/>
  <c r="S444" i="42"/>
  <c r="W444" i="42"/>
  <c r="T444" i="42"/>
  <c r="H445" i="42"/>
  <c r="O445" i="42"/>
  <c r="Q445" i="42"/>
  <c r="S445" i="42"/>
  <c r="W445" i="42"/>
  <c r="T445" i="42"/>
  <c r="H446" i="42"/>
  <c r="O446" i="42"/>
  <c r="Q446" i="42"/>
  <c r="S446" i="42"/>
  <c r="W446" i="42"/>
  <c r="T446" i="42"/>
  <c r="H447" i="42"/>
  <c r="O447" i="42"/>
  <c r="Q447" i="42"/>
  <c r="S447" i="42"/>
  <c r="W447" i="42"/>
  <c r="T447" i="42"/>
  <c r="H448" i="42"/>
  <c r="O448" i="42"/>
  <c r="Q448" i="42"/>
  <c r="S448" i="42"/>
  <c r="W448" i="42"/>
  <c r="T448" i="42"/>
  <c r="H449" i="42"/>
  <c r="O449" i="42"/>
  <c r="Q449" i="42"/>
  <c r="S449" i="42"/>
  <c r="W449" i="42"/>
  <c r="T449" i="42"/>
  <c r="H450" i="42"/>
  <c r="O450" i="42"/>
  <c r="Q450" i="42"/>
  <c r="S450" i="42"/>
  <c r="W450" i="42"/>
  <c r="T450" i="42"/>
  <c r="H451" i="42"/>
  <c r="O451" i="42"/>
  <c r="Q451" i="42"/>
  <c r="S451" i="42"/>
  <c r="W451" i="42"/>
  <c r="T451" i="42"/>
  <c r="H452" i="42"/>
  <c r="O452" i="42"/>
  <c r="Q452" i="42"/>
  <c r="S452" i="42"/>
  <c r="W452" i="42"/>
  <c r="T452" i="42"/>
  <c r="H453" i="42"/>
  <c r="O453" i="42"/>
  <c r="Q453" i="42"/>
  <c r="S453" i="42"/>
  <c r="W453" i="42"/>
  <c r="T453" i="42"/>
  <c r="H454" i="42"/>
  <c r="O454" i="42"/>
  <c r="Q454" i="42"/>
  <c r="S454" i="42"/>
  <c r="W454" i="42"/>
  <c r="T454" i="42"/>
  <c r="H455" i="42"/>
  <c r="O455" i="42"/>
  <c r="Q455" i="42"/>
  <c r="S455" i="42"/>
  <c r="W455" i="42"/>
  <c r="T455" i="42"/>
  <c r="H456" i="42"/>
  <c r="O456" i="42"/>
  <c r="Q456" i="42"/>
  <c r="S456" i="42"/>
  <c r="W456" i="42"/>
  <c r="T456" i="42"/>
  <c r="H457" i="42"/>
  <c r="O457" i="42"/>
  <c r="Q457" i="42"/>
  <c r="S457" i="42"/>
  <c r="W457" i="42"/>
  <c r="T457" i="42"/>
  <c r="H458" i="42"/>
  <c r="O458" i="42"/>
  <c r="Q458" i="42"/>
  <c r="S458" i="42"/>
  <c r="W458" i="42"/>
  <c r="T458" i="42"/>
  <c r="H459" i="42"/>
  <c r="O459" i="42"/>
  <c r="Q459" i="42"/>
  <c r="S459" i="42"/>
  <c r="W459" i="42"/>
  <c r="T459" i="42"/>
  <c r="H460" i="42"/>
  <c r="O460" i="42"/>
  <c r="Q460" i="42"/>
  <c r="S460" i="42"/>
  <c r="W460" i="42"/>
  <c r="T460" i="42"/>
  <c r="H461" i="42"/>
  <c r="O461" i="42"/>
  <c r="Q461" i="42"/>
  <c r="S461" i="42"/>
  <c r="W461" i="42"/>
  <c r="T461" i="42"/>
  <c r="H462" i="42"/>
  <c r="O462" i="42"/>
  <c r="Q462" i="42"/>
  <c r="S462" i="42"/>
  <c r="W462" i="42"/>
  <c r="T462" i="42"/>
  <c r="H463" i="42"/>
  <c r="O463" i="42"/>
  <c r="Q463" i="42"/>
  <c r="S463" i="42"/>
  <c r="W463" i="42"/>
  <c r="T463" i="42"/>
  <c r="H464" i="42"/>
  <c r="O464" i="42"/>
  <c r="Q464" i="42"/>
  <c r="S464" i="42"/>
  <c r="W464" i="42"/>
  <c r="T464" i="42"/>
  <c r="H465" i="42"/>
  <c r="O465" i="42"/>
  <c r="Q465" i="42"/>
  <c r="S465" i="42"/>
  <c r="W465" i="42"/>
  <c r="T465" i="42"/>
  <c r="H466" i="42"/>
  <c r="O466" i="42"/>
  <c r="Q466" i="42"/>
  <c r="S466" i="42"/>
  <c r="W466" i="42"/>
  <c r="T466" i="42"/>
  <c r="H467" i="42"/>
  <c r="O467" i="42"/>
  <c r="Q467" i="42"/>
  <c r="S467" i="42"/>
  <c r="W467" i="42"/>
  <c r="T467" i="42"/>
  <c r="H468" i="42"/>
  <c r="O468" i="42"/>
  <c r="Q468" i="42"/>
  <c r="S468" i="42"/>
  <c r="W468" i="42"/>
  <c r="T468" i="42"/>
  <c r="H469" i="42"/>
  <c r="O469" i="42"/>
  <c r="Q469" i="42"/>
  <c r="S469" i="42"/>
  <c r="W469" i="42"/>
  <c r="T469" i="42"/>
  <c r="H470" i="42"/>
  <c r="O470" i="42"/>
  <c r="Q470" i="42"/>
  <c r="S470" i="42"/>
  <c r="W470" i="42"/>
  <c r="T470" i="42"/>
  <c r="H471" i="42"/>
  <c r="O471" i="42"/>
  <c r="Q471" i="42"/>
  <c r="S471" i="42"/>
  <c r="W471" i="42"/>
  <c r="T471" i="42"/>
  <c r="H472" i="42"/>
  <c r="O472" i="42"/>
  <c r="Q472" i="42"/>
  <c r="S472" i="42"/>
  <c r="W472" i="42"/>
  <c r="T472" i="42"/>
  <c r="H473" i="42"/>
  <c r="O473" i="42"/>
  <c r="Q473" i="42"/>
  <c r="S473" i="42"/>
  <c r="W473" i="42"/>
  <c r="T473" i="42"/>
  <c r="H474" i="42"/>
  <c r="O474" i="42"/>
  <c r="Q474" i="42"/>
  <c r="S474" i="42"/>
  <c r="W474" i="42"/>
  <c r="T474" i="42"/>
  <c r="H475" i="42"/>
  <c r="O475" i="42"/>
  <c r="Q475" i="42"/>
  <c r="S475" i="42"/>
  <c r="W475" i="42"/>
  <c r="T475" i="42"/>
  <c r="H476" i="42"/>
  <c r="O476" i="42"/>
  <c r="Q476" i="42"/>
  <c r="S476" i="42"/>
  <c r="W476" i="42"/>
  <c r="T476" i="42"/>
  <c r="H477" i="42"/>
  <c r="O477" i="42"/>
  <c r="Q477" i="42"/>
  <c r="S477" i="42"/>
  <c r="W477" i="42"/>
  <c r="T477" i="42"/>
  <c r="H478" i="42"/>
  <c r="O478" i="42"/>
  <c r="Q478" i="42"/>
  <c r="S478" i="42"/>
  <c r="W478" i="42"/>
  <c r="T478" i="42"/>
  <c r="H479" i="42"/>
  <c r="O479" i="42"/>
  <c r="Q479" i="42"/>
  <c r="S479" i="42"/>
  <c r="W479" i="42"/>
  <c r="T479" i="42"/>
  <c r="H480" i="42"/>
  <c r="O480" i="42"/>
  <c r="Q480" i="42"/>
  <c r="S480" i="42"/>
  <c r="W480" i="42"/>
  <c r="T480" i="42"/>
  <c r="H481" i="42"/>
  <c r="O481" i="42"/>
  <c r="Q481" i="42"/>
  <c r="S481" i="42"/>
  <c r="W481" i="42"/>
  <c r="T481" i="42"/>
  <c r="H482" i="42"/>
  <c r="O482" i="42"/>
  <c r="Q482" i="42"/>
  <c r="S482" i="42"/>
  <c r="W482" i="42"/>
  <c r="T482" i="42"/>
  <c r="H483" i="42"/>
  <c r="O483" i="42"/>
  <c r="Q483" i="42"/>
  <c r="S483" i="42"/>
  <c r="W483" i="42"/>
  <c r="T483" i="42"/>
  <c r="H484" i="42"/>
  <c r="O484" i="42"/>
  <c r="Q484" i="42"/>
  <c r="S484" i="42"/>
  <c r="W484" i="42"/>
  <c r="T484" i="42"/>
  <c r="H485" i="42"/>
  <c r="O485" i="42"/>
  <c r="Q485" i="42"/>
  <c r="S485" i="42"/>
  <c r="W485" i="42"/>
  <c r="T485" i="42"/>
  <c r="H486" i="42"/>
  <c r="O486" i="42"/>
  <c r="Q486" i="42"/>
  <c r="S486" i="42"/>
  <c r="W486" i="42"/>
  <c r="T486" i="42"/>
  <c r="H487" i="42"/>
  <c r="O487" i="42"/>
  <c r="Q487" i="42"/>
  <c r="S487" i="42"/>
  <c r="W487" i="42"/>
  <c r="T487" i="42"/>
  <c r="H488" i="42"/>
  <c r="O488" i="42"/>
  <c r="Q488" i="42"/>
  <c r="S488" i="42"/>
  <c r="W488" i="42"/>
  <c r="T488" i="42"/>
  <c r="H489" i="42"/>
  <c r="O489" i="42"/>
  <c r="Q489" i="42"/>
  <c r="S489" i="42"/>
  <c r="W489" i="42"/>
  <c r="T489" i="42"/>
  <c r="H490" i="42"/>
  <c r="O490" i="42"/>
  <c r="Q490" i="42"/>
  <c r="S490" i="42"/>
  <c r="W490" i="42"/>
  <c r="T490" i="42"/>
  <c r="H491" i="42"/>
  <c r="O491" i="42"/>
  <c r="Q491" i="42"/>
  <c r="S491" i="42"/>
  <c r="W491" i="42"/>
  <c r="T491" i="42"/>
  <c r="H492" i="42"/>
  <c r="O492" i="42"/>
  <c r="Q492" i="42"/>
  <c r="S492" i="42"/>
  <c r="W492" i="42"/>
  <c r="T492" i="42"/>
  <c r="H493" i="42"/>
  <c r="O493" i="42"/>
  <c r="Q493" i="42"/>
  <c r="S493" i="42"/>
  <c r="W493" i="42"/>
  <c r="T493" i="42"/>
  <c r="H494" i="42"/>
  <c r="O494" i="42"/>
  <c r="Q494" i="42"/>
  <c r="S494" i="42"/>
  <c r="W494" i="42"/>
  <c r="T494" i="42"/>
  <c r="H495" i="42"/>
  <c r="O495" i="42"/>
  <c r="Q495" i="42"/>
  <c r="S495" i="42"/>
  <c r="W495" i="42"/>
  <c r="T495" i="42"/>
  <c r="H496" i="42"/>
  <c r="O496" i="42"/>
  <c r="Q496" i="42"/>
  <c r="S496" i="42"/>
  <c r="W496" i="42"/>
  <c r="T496" i="42"/>
  <c r="H497" i="42"/>
  <c r="O497" i="42"/>
  <c r="Q497" i="42"/>
  <c r="S497" i="42"/>
  <c r="W497" i="42"/>
  <c r="T497" i="42"/>
  <c r="H498" i="42"/>
  <c r="O498" i="42"/>
  <c r="Q498" i="42"/>
  <c r="S498" i="42"/>
  <c r="W498" i="42"/>
  <c r="T498" i="42"/>
  <c r="H499" i="42"/>
  <c r="O499" i="42"/>
  <c r="Q499" i="42"/>
  <c r="S499" i="42"/>
  <c r="W499" i="42"/>
  <c r="T499" i="42"/>
  <c r="H500" i="42"/>
  <c r="O500" i="42"/>
  <c r="Q500" i="42"/>
  <c r="S500" i="42"/>
  <c r="W500" i="42"/>
  <c r="T500" i="42"/>
  <c r="H501" i="42"/>
  <c r="O501" i="42"/>
  <c r="Q501" i="42"/>
  <c r="S501" i="42"/>
  <c r="W501" i="42"/>
  <c r="T501" i="42"/>
  <c r="H502" i="42"/>
  <c r="O502" i="42"/>
  <c r="Q502" i="42"/>
  <c r="S502" i="42"/>
  <c r="W502" i="42"/>
  <c r="T502" i="42"/>
  <c r="H503" i="42"/>
  <c r="O503" i="42"/>
  <c r="Q503" i="42"/>
  <c r="S503" i="42"/>
  <c r="W503" i="42"/>
  <c r="T503" i="42"/>
  <c r="H504" i="42"/>
  <c r="O504" i="42"/>
  <c r="Q504" i="42"/>
  <c r="S504" i="42"/>
  <c r="W504" i="42"/>
  <c r="T504" i="42"/>
  <c r="H505" i="42"/>
  <c r="O505" i="42"/>
  <c r="Q505" i="42"/>
  <c r="S505" i="42"/>
  <c r="W505" i="42"/>
  <c r="T505" i="42"/>
  <c r="H506" i="42"/>
  <c r="O506" i="42"/>
  <c r="Q506" i="42"/>
  <c r="S506" i="42"/>
  <c r="W506" i="42"/>
  <c r="T506" i="42"/>
  <c r="H507" i="42"/>
  <c r="O507" i="42"/>
  <c r="Q507" i="42"/>
  <c r="S507" i="42"/>
  <c r="W507" i="42"/>
  <c r="T507" i="42"/>
  <c r="H508" i="42"/>
  <c r="O508" i="42"/>
  <c r="Q508" i="42"/>
  <c r="S508" i="42"/>
  <c r="W508" i="42"/>
  <c r="T508" i="42"/>
  <c r="H509" i="42"/>
  <c r="O509" i="42"/>
  <c r="Q509" i="42"/>
  <c r="S509" i="42"/>
  <c r="W509" i="42"/>
  <c r="T509" i="42"/>
  <c r="H510" i="42"/>
  <c r="O510" i="42"/>
  <c r="Q510" i="42"/>
  <c r="S510" i="42"/>
  <c r="W510" i="42"/>
  <c r="T510" i="42"/>
  <c r="H511" i="42"/>
  <c r="O511" i="42"/>
  <c r="Q511" i="42"/>
  <c r="S511" i="42"/>
  <c r="W511" i="42"/>
  <c r="T511" i="42"/>
  <c r="H512" i="42"/>
  <c r="O512" i="42"/>
  <c r="Q512" i="42"/>
  <c r="S512" i="42"/>
  <c r="W512" i="42"/>
  <c r="T512" i="42"/>
  <c r="H513" i="42"/>
  <c r="O513" i="42"/>
  <c r="Q513" i="42"/>
  <c r="S513" i="42"/>
  <c r="W513" i="42"/>
  <c r="T513" i="42"/>
  <c r="H514" i="42"/>
  <c r="O514" i="42"/>
  <c r="Q514" i="42"/>
  <c r="S514" i="42"/>
  <c r="W514" i="42"/>
  <c r="T514" i="42"/>
  <c r="H515" i="42"/>
  <c r="O515" i="42"/>
  <c r="Q515" i="42"/>
  <c r="S515" i="42"/>
  <c r="W515" i="42"/>
  <c r="T515" i="42"/>
  <c r="I76" i="42"/>
  <c r="P76" i="42"/>
  <c r="R76" i="42"/>
  <c r="U76" i="42"/>
  <c r="H76" i="42"/>
  <c r="O76" i="42"/>
  <c r="Q76" i="42"/>
  <c r="S76" i="42"/>
  <c r="W76" i="42"/>
  <c r="T76" i="42"/>
  <c r="N515" i="42"/>
  <c r="G515" i="42"/>
  <c r="V515" i="42"/>
  <c r="X515" i="42"/>
  <c r="C515" i="42"/>
  <c r="B515" i="42"/>
  <c r="N514" i="42"/>
  <c r="G514" i="42"/>
  <c r="V514" i="42"/>
  <c r="X514" i="42"/>
  <c r="C514" i="42"/>
  <c r="B514" i="42"/>
  <c r="N513" i="42"/>
  <c r="G513" i="42"/>
  <c r="V513" i="42"/>
  <c r="X513" i="42"/>
  <c r="C513" i="42"/>
  <c r="B513" i="42"/>
  <c r="N512" i="42"/>
  <c r="G512" i="42"/>
  <c r="V512" i="42"/>
  <c r="X512" i="42"/>
  <c r="C512" i="42"/>
  <c r="B512" i="42"/>
  <c r="N511" i="42"/>
  <c r="G511" i="42"/>
  <c r="V511" i="42"/>
  <c r="X511" i="42"/>
  <c r="C511" i="42"/>
  <c r="B511" i="42"/>
  <c r="N510" i="42"/>
  <c r="G510" i="42"/>
  <c r="V510" i="42"/>
  <c r="X510" i="42"/>
  <c r="C510" i="42"/>
  <c r="B510" i="42"/>
  <c r="N509" i="42"/>
  <c r="G509" i="42"/>
  <c r="V509" i="42"/>
  <c r="X509" i="42"/>
  <c r="C509" i="42"/>
  <c r="B509" i="42"/>
  <c r="N508" i="42"/>
  <c r="G508" i="42"/>
  <c r="V508" i="42"/>
  <c r="X508" i="42"/>
  <c r="C508" i="42"/>
  <c r="B508" i="42"/>
  <c r="N507" i="42"/>
  <c r="G507" i="42"/>
  <c r="V507" i="42"/>
  <c r="X507" i="42"/>
  <c r="C507" i="42"/>
  <c r="B507" i="42"/>
  <c r="N506" i="42"/>
  <c r="G506" i="42"/>
  <c r="V506" i="42"/>
  <c r="X506" i="42"/>
  <c r="C506" i="42"/>
  <c r="B506" i="42"/>
  <c r="N505" i="42"/>
  <c r="G505" i="42"/>
  <c r="V505" i="42"/>
  <c r="X505" i="42"/>
  <c r="C505" i="42"/>
  <c r="B505" i="42"/>
  <c r="N504" i="42"/>
  <c r="G504" i="42"/>
  <c r="V504" i="42"/>
  <c r="X504" i="42"/>
  <c r="C504" i="42"/>
  <c r="B504" i="42"/>
  <c r="N503" i="42"/>
  <c r="G503" i="42"/>
  <c r="V503" i="42"/>
  <c r="X503" i="42"/>
  <c r="C503" i="42"/>
  <c r="B503" i="42"/>
  <c r="N502" i="42"/>
  <c r="G502" i="42"/>
  <c r="V502" i="42"/>
  <c r="X502" i="42"/>
  <c r="C502" i="42"/>
  <c r="B502" i="42"/>
  <c r="N501" i="42"/>
  <c r="G501" i="42"/>
  <c r="V501" i="42"/>
  <c r="X501" i="42"/>
  <c r="C501" i="42"/>
  <c r="B501" i="42"/>
  <c r="N500" i="42"/>
  <c r="G500" i="42"/>
  <c r="V500" i="42"/>
  <c r="X500" i="42"/>
  <c r="C500" i="42"/>
  <c r="B500" i="42"/>
  <c r="N499" i="42"/>
  <c r="G499" i="42"/>
  <c r="V499" i="42"/>
  <c r="X499" i="42"/>
  <c r="C499" i="42"/>
  <c r="B499" i="42"/>
  <c r="N498" i="42"/>
  <c r="G498" i="42"/>
  <c r="V498" i="42"/>
  <c r="X498" i="42"/>
  <c r="C498" i="42"/>
  <c r="B498" i="42"/>
  <c r="N497" i="42"/>
  <c r="G497" i="42"/>
  <c r="V497" i="42"/>
  <c r="X497" i="42"/>
  <c r="C497" i="42"/>
  <c r="B497" i="42"/>
  <c r="N496" i="42"/>
  <c r="G496" i="42"/>
  <c r="V496" i="42"/>
  <c r="X496" i="42"/>
  <c r="C496" i="42"/>
  <c r="B496" i="42"/>
  <c r="N495" i="42"/>
  <c r="G495" i="42"/>
  <c r="V495" i="42"/>
  <c r="X495" i="42"/>
  <c r="C495" i="42"/>
  <c r="B495" i="42"/>
  <c r="N494" i="42"/>
  <c r="G494" i="42"/>
  <c r="V494" i="42"/>
  <c r="X494" i="42"/>
  <c r="C494" i="42"/>
  <c r="B494" i="42"/>
  <c r="N493" i="42"/>
  <c r="G493" i="42"/>
  <c r="V493" i="42"/>
  <c r="X493" i="42"/>
  <c r="C493" i="42"/>
  <c r="B493" i="42"/>
  <c r="N492" i="42"/>
  <c r="G492" i="42"/>
  <c r="V492" i="42"/>
  <c r="X492" i="42"/>
  <c r="C492" i="42"/>
  <c r="B492" i="42"/>
  <c r="N491" i="42"/>
  <c r="G491" i="42"/>
  <c r="V491" i="42"/>
  <c r="X491" i="42"/>
  <c r="C491" i="42"/>
  <c r="B491" i="42"/>
  <c r="N490" i="42"/>
  <c r="G490" i="42"/>
  <c r="V490" i="42"/>
  <c r="X490" i="42"/>
  <c r="C490" i="42"/>
  <c r="B490" i="42"/>
  <c r="N489" i="42"/>
  <c r="G489" i="42"/>
  <c r="V489" i="42"/>
  <c r="X489" i="42"/>
  <c r="C489" i="42"/>
  <c r="B489" i="42"/>
  <c r="N488" i="42"/>
  <c r="G488" i="42"/>
  <c r="V488" i="42"/>
  <c r="X488" i="42"/>
  <c r="C488" i="42"/>
  <c r="B488" i="42"/>
  <c r="N487" i="42"/>
  <c r="G487" i="42"/>
  <c r="V487" i="42"/>
  <c r="X487" i="42"/>
  <c r="C487" i="42"/>
  <c r="B487" i="42"/>
  <c r="N486" i="42"/>
  <c r="G486" i="42"/>
  <c r="V486" i="42"/>
  <c r="X486" i="42"/>
  <c r="C486" i="42"/>
  <c r="B486" i="42"/>
  <c r="N485" i="42"/>
  <c r="G485" i="42"/>
  <c r="V485" i="42"/>
  <c r="X485" i="42"/>
  <c r="C485" i="42"/>
  <c r="B485" i="42"/>
  <c r="N484" i="42"/>
  <c r="G484" i="42"/>
  <c r="V484" i="42"/>
  <c r="X484" i="42"/>
  <c r="C484" i="42"/>
  <c r="B484" i="42"/>
  <c r="N483" i="42"/>
  <c r="G483" i="42"/>
  <c r="V483" i="42"/>
  <c r="X483" i="42"/>
  <c r="C483" i="42"/>
  <c r="B483" i="42"/>
  <c r="N482" i="42"/>
  <c r="G482" i="42"/>
  <c r="V482" i="42"/>
  <c r="X482" i="42"/>
  <c r="C482" i="42"/>
  <c r="B482" i="42"/>
  <c r="N481" i="42"/>
  <c r="G481" i="42"/>
  <c r="V481" i="42"/>
  <c r="X481" i="42"/>
  <c r="C481" i="42"/>
  <c r="B481" i="42"/>
  <c r="N480" i="42"/>
  <c r="G480" i="42"/>
  <c r="V480" i="42"/>
  <c r="X480" i="42"/>
  <c r="C480" i="42"/>
  <c r="B480" i="42"/>
  <c r="N479" i="42"/>
  <c r="G479" i="42"/>
  <c r="V479" i="42"/>
  <c r="X479" i="42"/>
  <c r="C479" i="42"/>
  <c r="B479" i="42"/>
  <c r="N478" i="42"/>
  <c r="G478" i="42"/>
  <c r="V478" i="42"/>
  <c r="X478" i="42"/>
  <c r="C478" i="42"/>
  <c r="B478" i="42"/>
  <c r="N477" i="42"/>
  <c r="G477" i="42"/>
  <c r="V477" i="42"/>
  <c r="X477" i="42"/>
  <c r="C477" i="42"/>
  <c r="B477" i="42"/>
  <c r="N476" i="42"/>
  <c r="G476" i="42"/>
  <c r="V476" i="42"/>
  <c r="X476" i="42"/>
  <c r="C476" i="42"/>
  <c r="B476" i="42"/>
  <c r="N475" i="42"/>
  <c r="G475" i="42"/>
  <c r="V475" i="42"/>
  <c r="X475" i="42"/>
  <c r="C475" i="42"/>
  <c r="B475" i="42"/>
  <c r="N474" i="42"/>
  <c r="G474" i="42"/>
  <c r="V474" i="42"/>
  <c r="X474" i="42"/>
  <c r="C474" i="42"/>
  <c r="B474" i="42"/>
  <c r="N473" i="42"/>
  <c r="G473" i="42"/>
  <c r="V473" i="42"/>
  <c r="X473" i="42"/>
  <c r="C473" i="42"/>
  <c r="B473" i="42"/>
  <c r="N472" i="42"/>
  <c r="G472" i="42"/>
  <c r="V472" i="42"/>
  <c r="X472" i="42"/>
  <c r="C472" i="42"/>
  <c r="B472" i="42"/>
  <c r="N471" i="42"/>
  <c r="G471" i="42"/>
  <c r="V471" i="42"/>
  <c r="X471" i="42"/>
  <c r="C471" i="42"/>
  <c r="B471" i="42"/>
  <c r="N470" i="42"/>
  <c r="G470" i="42"/>
  <c r="V470" i="42"/>
  <c r="X470" i="42"/>
  <c r="C470" i="42"/>
  <c r="B470" i="42"/>
  <c r="N469" i="42"/>
  <c r="G469" i="42"/>
  <c r="V469" i="42"/>
  <c r="X469" i="42"/>
  <c r="C469" i="42"/>
  <c r="B469" i="42"/>
  <c r="N468" i="42"/>
  <c r="G468" i="42"/>
  <c r="V468" i="42"/>
  <c r="X468" i="42"/>
  <c r="C468" i="42"/>
  <c r="B468" i="42"/>
  <c r="N467" i="42"/>
  <c r="G467" i="42"/>
  <c r="V467" i="42"/>
  <c r="X467" i="42"/>
  <c r="C467" i="42"/>
  <c r="B467" i="42"/>
  <c r="N466" i="42"/>
  <c r="G466" i="42"/>
  <c r="V466" i="42"/>
  <c r="X466" i="42"/>
  <c r="C466" i="42"/>
  <c r="B466" i="42"/>
  <c r="N465" i="42"/>
  <c r="G465" i="42"/>
  <c r="V465" i="42"/>
  <c r="X465" i="42"/>
  <c r="C465" i="42"/>
  <c r="B465" i="42"/>
  <c r="N464" i="42"/>
  <c r="G464" i="42"/>
  <c r="V464" i="42"/>
  <c r="X464" i="42"/>
  <c r="C464" i="42"/>
  <c r="B464" i="42"/>
  <c r="N463" i="42"/>
  <c r="G463" i="42"/>
  <c r="V463" i="42"/>
  <c r="X463" i="42"/>
  <c r="C463" i="42"/>
  <c r="B463" i="42"/>
  <c r="N462" i="42"/>
  <c r="G462" i="42"/>
  <c r="V462" i="42"/>
  <c r="X462" i="42"/>
  <c r="C462" i="42"/>
  <c r="B462" i="42"/>
  <c r="N461" i="42"/>
  <c r="G461" i="42"/>
  <c r="V461" i="42"/>
  <c r="X461" i="42"/>
  <c r="C461" i="42"/>
  <c r="B461" i="42"/>
  <c r="N460" i="42"/>
  <c r="G460" i="42"/>
  <c r="V460" i="42"/>
  <c r="X460" i="42"/>
  <c r="C460" i="42"/>
  <c r="B460" i="42"/>
  <c r="N459" i="42"/>
  <c r="G459" i="42"/>
  <c r="V459" i="42"/>
  <c r="X459" i="42"/>
  <c r="C459" i="42"/>
  <c r="B459" i="42"/>
  <c r="N458" i="42"/>
  <c r="G458" i="42"/>
  <c r="V458" i="42"/>
  <c r="X458" i="42"/>
  <c r="C458" i="42"/>
  <c r="B458" i="42"/>
  <c r="N457" i="42"/>
  <c r="G457" i="42"/>
  <c r="V457" i="42"/>
  <c r="X457" i="42"/>
  <c r="C457" i="42"/>
  <c r="B457" i="42"/>
  <c r="N456" i="42"/>
  <c r="G456" i="42"/>
  <c r="V456" i="42"/>
  <c r="X456" i="42"/>
  <c r="C456" i="42"/>
  <c r="B456" i="42"/>
  <c r="N455" i="42"/>
  <c r="G455" i="42"/>
  <c r="V455" i="42"/>
  <c r="X455" i="42"/>
  <c r="C455" i="42"/>
  <c r="B455" i="42"/>
  <c r="N454" i="42"/>
  <c r="G454" i="42"/>
  <c r="V454" i="42"/>
  <c r="X454" i="42"/>
  <c r="C454" i="42"/>
  <c r="B454" i="42"/>
  <c r="N453" i="42"/>
  <c r="G453" i="42"/>
  <c r="V453" i="42"/>
  <c r="X453" i="42"/>
  <c r="C453" i="42"/>
  <c r="B453" i="42"/>
  <c r="N452" i="42"/>
  <c r="G452" i="42"/>
  <c r="V452" i="42"/>
  <c r="X452" i="42"/>
  <c r="C452" i="42"/>
  <c r="B452" i="42"/>
  <c r="N451" i="42"/>
  <c r="G451" i="42"/>
  <c r="V451" i="42"/>
  <c r="X451" i="42"/>
  <c r="C451" i="42"/>
  <c r="B451" i="42"/>
  <c r="N450" i="42"/>
  <c r="G450" i="42"/>
  <c r="V450" i="42"/>
  <c r="X450" i="42"/>
  <c r="C450" i="42"/>
  <c r="B450" i="42"/>
  <c r="N449" i="42"/>
  <c r="G449" i="42"/>
  <c r="V449" i="42"/>
  <c r="X449" i="42"/>
  <c r="C449" i="42"/>
  <c r="B449" i="42"/>
  <c r="N448" i="42"/>
  <c r="G448" i="42"/>
  <c r="V448" i="42"/>
  <c r="X448" i="42"/>
  <c r="C448" i="42"/>
  <c r="B448" i="42"/>
  <c r="N447" i="42"/>
  <c r="G447" i="42"/>
  <c r="V447" i="42"/>
  <c r="X447" i="42"/>
  <c r="C447" i="42"/>
  <c r="B447" i="42"/>
  <c r="N446" i="42"/>
  <c r="G446" i="42"/>
  <c r="V446" i="42"/>
  <c r="X446" i="42"/>
  <c r="C446" i="42"/>
  <c r="B446" i="42"/>
  <c r="N445" i="42"/>
  <c r="G445" i="42"/>
  <c r="V445" i="42"/>
  <c r="X445" i="42"/>
  <c r="C445" i="42"/>
  <c r="B445" i="42"/>
  <c r="N444" i="42"/>
  <c r="G444" i="42"/>
  <c r="V444" i="42"/>
  <c r="X444" i="42"/>
  <c r="C444" i="42"/>
  <c r="B444" i="42"/>
  <c r="N443" i="42"/>
  <c r="G443" i="42"/>
  <c r="V443" i="42"/>
  <c r="X443" i="42"/>
  <c r="C443" i="42"/>
  <c r="B443" i="42"/>
  <c r="N442" i="42"/>
  <c r="G442" i="42"/>
  <c r="V442" i="42"/>
  <c r="X442" i="42"/>
  <c r="C442" i="42"/>
  <c r="B442" i="42"/>
  <c r="N441" i="42"/>
  <c r="G441" i="42"/>
  <c r="V441" i="42"/>
  <c r="X441" i="42"/>
  <c r="C441" i="42"/>
  <c r="B441" i="42"/>
  <c r="N440" i="42"/>
  <c r="G440" i="42"/>
  <c r="V440" i="42"/>
  <c r="X440" i="42"/>
  <c r="C440" i="42"/>
  <c r="B440" i="42"/>
  <c r="N439" i="42"/>
  <c r="G439" i="42"/>
  <c r="V439" i="42"/>
  <c r="X439" i="42"/>
  <c r="C439" i="42"/>
  <c r="B439" i="42"/>
  <c r="N438" i="42"/>
  <c r="G438" i="42"/>
  <c r="V438" i="42"/>
  <c r="X438" i="42"/>
  <c r="C438" i="42"/>
  <c r="B438" i="42"/>
  <c r="N437" i="42"/>
  <c r="G437" i="42"/>
  <c r="V437" i="42"/>
  <c r="X437" i="42"/>
  <c r="C437" i="42"/>
  <c r="B437" i="42"/>
  <c r="N436" i="42"/>
  <c r="G436" i="42"/>
  <c r="V436" i="42"/>
  <c r="X436" i="42"/>
  <c r="C436" i="42"/>
  <c r="B436" i="42"/>
  <c r="N435" i="42"/>
  <c r="G435" i="42"/>
  <c r="V435" i="42"/>
  <c r="X435" i="42"/>
  <c r="C435" i="42"/>
  <c r="B435" i="42"/>
  <c r="N434" i="42"/>
  <c r="G434" i="42"/>
  <c r="V434" i="42"/>
  <c r="X434" i="42"/>
  <c r="C434" i="42"/>
  <c r="B434" i="42"/>
  <c r="N433" i="42"/>
  <c r="G433" i="42"/>
  <c r="V433" i="42"/>
  <c r="X433" i="42"/>
  <c r="C433" i="42"/>
  <c r="B433" i="42"/>
  <c r="N432" i="42"/>
  <c r="G432" i="42"/>
  <c r="V432" i="42"/>
  <c r="X432" i="42"/>
  <c r="C432" i="42"/>
  <c r="B432" i="42"/>
  <c r="N431" i="42"/>
  <c r="G431" i="42"/>
  <c r="V431" i="42"/>
  <c r="X431" i="42"/>
  <c r="C431" i="42"/>
  <c r="B431" i="42"/>
  <c r="N430" i="42"/>
  <c r="G430" i="42"/>
  <c r="V430" i="42"/>
  <c r="X430" i="42"/>
  <c r="C430" i="42"/>
  <c r="B430" i="42"/>
  <c r="N429" i="42"/>
  <c r="G429" i="42"/>
  <c r="V429" i="42"/>
  <c r="X429" i="42"/>
  <c r="C429" i="42"/>
  <c r="B429" i="42"/>
  <c r="N428" i="42"/>
  <c r="G428" i="42"/>
  <c r="V428" i="42"/>
  <c r="X428" i="42"/>
  <c r="C428" i="42"/>
  <c r="B428" i="42"/>
  <c r="N427" i="42"/>
  <c r="G427" i="42"/>
  <c r="V427" i="42"/>
  <c r="X427" i="42"/>
  <c r="C427" i="42"/>
  <c r="B427" i="42"/>
  <c r="N426" i="42"/>
  <c r="G426" i="42"/>
  <c r="V426" i="42"/>
  <c r="X426" i="42"/>
  <c r="C426" i="42"/>
  <c r="B426" i="42"/>
  <c r="N425" i="42"/>
  <c r="G425" i="42"/>
  <c r="V425" i="42"/>
  <c r="X425" i="42"/>
  <c r="C425" i="42"/>
  <c r="B425" i="42"/>
  <c r="N424" i="42"/>
  <c r="G424" i="42"/>
  <c r="V424" i="42"/>
  <c r="X424" i="42"/>
  <c r="C424" i="42"/>
  <c r="B424" i="42"/>
  <c r="N423" i="42"/>
  <c r="G423" i="42"/>
  <c r="V423" i="42"/>
  <c r="X423" i="42"/>
  <c r="C423" i="42"/>
  <c r="B423" i="42"/>
  <c r="N422" i="42"/>
  <c r="G422" i="42"/>
  <c r="V422" i="42"/>
  <c r="X422" i="42"/>
  <c r="C422" i="42"/>
  <c r="B422" i="42"/>
  <c r="N421" i="42"/>
  <c r="G421" i="42"/>
  <c r="V421" i="42"/>
  <c r="X421" i="42"/>
  <c r="C421" i="42"/>
  <c r="B421" i="42"/>
  <c r="N420" i="42"/>
  <c r="G420" i="42"/>
  <c r="V420" i="42"/>
  <c r="X420" i="42"/>
  <c r="C420" i="42"/>
  <c r="B420" i="42"/>
  <c r="N419" i="42"/>
  <c r="G419" i="42"/>
  <c r="V419" i="42"/>
  <c r="X419" i="42"/>
  <c r="C419" i="42"/>
  <c r="B419" i="42"/>
  <c r="N418" i="42"/>
  <c r="G418" i="42"/>
  <c r="V418" i="42"/>
  <c r="X418" i="42"/>
  <c r="C418" i="42"/>
  <c r="B418" i="42"/>
  <c r="N417" i="42"/>
  <c r="G417" i="42"/>
  <c r="V417" i="42"/>
  <c r="X417" i="42"/>
  <c r="C417" i="42"/>
  <c r="B417" i="42"/>
  <c r="N416" i="42"/>
  <c r="G416" i="42"/>
  <c r="V416" i="42"/>
  <c r="X416" i="42"/>
  <c r="C416" i="42"/>
  <c r="B416" i="42"/>
  <c r="N415" i="42"/>
  <c r="G415" i="42"/>
  <c r="V415" i="42"/>
  <c r="X415" i="42"/>
  <c r="C415" i="42"/>
  <c r="B415" i="42"/>
  <c r="N414" i="42"/>
  <c r="G414" i="42"/>
  <c r="V414" i="42"/>
  <c r="X414" i="42"/>
  <c r="C414" i="42"/>
  <c r="B414" i="42"/>
  <c r="N413" i="42"/>
  <c r="G413" i="42"/>
  <c r="V413" i="42"/>
  <c r="X413" i="42"/>
  <c r="C413" i="42"/>
  <c r="B413" i="42"/>
  <c r="N412" i="42"/>
  <c r="G412" i="42"/>
  <c r="V412" i="42"/>
  <c r="X412" i="42"/>
  <c r="C412" i="42"/>
  <c r="B412" i="42"/>
  <c r="N411" i="42"/>
  <c r="G411" i="42"/>
  <c r="V411" i="42"/>
  <c r="X411" i="42"/>
  <c r="C411" i="42"/>
  <c r="B411" i="42"/>
  <c r="N410" i="42"/>
  <c r="G410" i="42"/>
  <c r="V410" i="42"/>
  <c r="X410" i="42"/>
  <c r="C410" i="42"/>
  <c r="B410" i="42"/>
  <c r="N409" i="42"/>
  <c r="G409" i="42"/>
  <c r="V409" i="42"/>
  <c r="X409" i="42"/>
  <c r="C409" i="42"/>
  <c r="B409" i="42"/>
  <c r="N408" i="42"/>
  <c r="G408" i="42"/>
  <c r="V408" i="42"/>
  <c r="X408" i="42"/>
  <c r="C408" i="42"/>
  <c r="B408" i="42"/>
  <c r="N407" i="42"/>
  <c r="G407" i="42"/>
  <c r="V407" i="42"/>
  <c r="X407" i="42"/>
  <c r="C407" i="42"/>
  <c r="B407" i="42"/>
  <c r="N406" i="42"/>
  <c r="G406" i="42"/>
  <c r="V406" i="42"/>
  <c r="X406" i="42"/>
  <c r="C406" i="42"/>
  <c r="B406" i="42"/>
  <c r="N405" i="42"/>
  <c r="G405" i="42"/>
  <c r="V405" i="42"/>
  <c r="X405" i="42"/>
  <c r="C405" i="42"/>
  <c r="B405" i="42"/>
  <c r="N404" i="42"/>
  <c r="G404" i="42"/>
  <c r="V404" i="42"/>
  <c r="X404" i="42"/>
  <c r="C404" i="42"/>
  <c r="B404" i="42"/>
  <c r="N403" i="42"/>
  <c r="G403" i="42"/>
  <c r="V403" i="42"/>
  <c r="X403" i="42"/>
  <c r="C403" i="42"/>
  <c r="B403" i="42"/>
  <c r="N402" i="42"/>
  <c r="G402" i="42"/>
  <c r="V402" i="42"/>
  <c r="X402" i="42"/>
  <c r="C402" i="42"/>
  <c r="B402" i="42"/>
  <c r="N401" i="42"/>
  <c r="G401" i="42"/>
  <c r="V401" i="42"/>
  <c r="X401" i="42"/>
  <c r="C401" i="42"/>
  <c r="B401" i="42"/>
  <c r="N400" i="42"/>
  <c r="G400" i="42"/>
  <c r="V400" i="42"/>
  <c r="X400" i="42"/>
  <c r="C400" i="42"/>
  <c r="B400" i="42"/>
  <c r="N399" i="42"/>
  <c r="G399" i="42"/>
  <c r="V399" i="42"/>
  <c r="X399" i="42"/>
  <c r="C399" i="42"/>
  <c r="B399" i="42"/>
  <c r="N398" i="42"/>
  <c r="G398" i="42"/>
  <c r="V398" i="42"/>
  <c r="X398" i="42"/>
  <c r="C398" i="42"/>
  <c r="B398" i="42"/>
  <c r="N397" i="42"/>
  <c r="G397" i="42"/>
  <c r="V397" i="42"/>
  <c r="X397" i="42"/>
  <c r="C397" i="42"/>
  <c r="B397" i="42"/>
  <c r="N396" i="42"/>
  <c r="G396" i="42"/>
  <c r="V396" i="42"/>
  <c r="X396" i="42"/>
  <c r="C396" i="42"/>
  <c r="B396" i="42"/>
  <c r="N395" i="42"/>
  <c r="G395" i="42"/>
  <c r="V395" i="42"/>
  <c r="X395" i="42"/>
  <c r="C395" i="42"/>
  <c r="B395" i="42"/>
  <c r="N394" i="42"/>
  <c r="G394" i="42"/>
  <c r="V394" i="42"/>
  <c r="X394" i="42"/>
  <c r="C394" i="42"/>
  <c r="B394" i="42"/>
  <c r="N393" i="42"/>
  <c r="G393" i="42"/>
  <c r="V393" i="42"/>
  <c r="X393" i="42"/>
  <c r="C393" i="42"/>
  <c r="B393" i="42"/>
  <c r="N392" i="42"/>
  <c r="G392" i="42"/>
  <c r="V392" i="42"/>
  <c r="X392" i="42"/>
  <c r="C392" i="42"/>
  <c r="B392" i="42"/>
  <c r="N391" i="42"/>
  <c r="G391" i="42"/>
  <c r="V391" i="42"/>
  <c r="X391" i="42"/>
  <c r="C391" i="42"/>
  <c r="B391" i="42"/>
  <c r="N390" i="42"/>
  <c r="G390" i="42"/>
  <c r="V390" i="42"/>
  <c r="X390" i="42"/>
  <c r="C390" i="42"/>
  <c r="B390" i="42"/>
  <c r="N389" i="42"/>
  <c r="G389" i="42"/>
  <c r="V389" i="42"/>
  <c r="X389" i="42"/>
  <c r="C389" i="42"/>
  <c r="B389" i="42"/>
  <c r="N388" i="42"/>
  <c r="G388" i="42"/>
  <c r="V388" i="42"/>
  <c r="X388" i="42"/>
  <c r="C388" i="42"/>
  <c r="B388" i="42"/>
  <c r="N387" i="42"/>
  <c r="G387" i="42"/>
  <c r="V387" i="42"/>
  <c r="X387" i="42"/>
  <c r="C387" i="42"/>
  <c r="B387" i="42"/>
  <c r="N386" i="42"/>
  <c r="G386" i="42"/>
  <c r="V386" i="42"/>
  <c r="X386" i="42"/>
  <c r="C386" i="42"/>
  <c r="B386" i="42"/>
  <c r="N385" i="42"/>
  <c r="G385" i="42"/>
  <c r="V385" i="42"/>
  <c r="X385" i="42"/>
  <c r="C385" i="42"/>
  <c r="B385" i="42"/>
  <c r="N384" i="42"/>
  <c r="G384" i="42"/>
  <c r="V384" i="42"/>
  <c r="X384" i="42"/>
  <c r="C384" i="42"/>
  <c r="B384" i="42"/>
  <c r="N383" i="42"/>
  <c r="G383" i="42"/>
  <c r="V383" i="42"/>
  <c r="X383" i="42"/>
  <c r="C383" i="42"/>
  <c r="B383" i="42"/>
  <c r="N382" i="42"/>
  <c r="G382" i="42"/>
  <c r="V382" i="42"/>
  <c r="X382" i="42"/>
  <c r="C382" i="42"/>
  <c r="B382" i="42"/>
  <c r="N381" i="42"/>
  <c r="G381" i="42"/>
  <c r="V381" i="42"/>
  <c r="X381" i="42"/>
  <c r="C381" i="42"/>
  <c r="B381" i="42"/>
  <c r="N380" i="42"/>
  <c r="G380" i="42"/>
  <c r="V380" i="42"/>
  <c r="X380" i="42"/>
  <c r="C380" i="42"/>
  <c r="B380" i="42"/>
  <c r="N379" i="42"/>
  <c r="G379" i="42"/>
  <c r="V379" i="42"/>
  <c r="X379" i="42"/>
  <c r="C379" i="42"/>
  <c r="B379" i="42"/>
  <c r="N378" i="42"/>
  <c r="G378" i="42"/>
  <c r="V378" i="42"/>
  <c r="X378" i="42"/>
  <c r="C378" i="42"/>
  <c r="B378" i="42"/>
  <c r="N377" i="42"/>
  <c r="G377" i="42"/>
  <c r="V377" i="42"/>
  <c r="X377" i="42"/>
  <c r="C377" i="42"/>
  <c r="B377" i="42"/>
  <c r="N376" i="42"/>
  <c r="G376" i="42"/>
  <c r="V376" i="42"/>
  <c r="X376" i="42"/>
  <c r="C376" i="42"/>
  <c r="B376" i="42"/>
  <c r="N375" i="42"/>
  <c r="G375" i="42"/>
  <c r="V375" i="42"/>
  <c r="X375" i="42"/>
  <c r="C375" i="42"/>
  <c r="B375" i="42"/>
  <c r="N374" i="42"/>
  <c r="G374" i="42"/>
  <c r="V374" i="42"/>
  <c r="X374" i="42"/>
  <c r="C374" i="42"/>
  <c r="B374" i="42"/>
  <c r="N373" i="42"/>
  <c r="G373" i="42"/>
  <c r="V373" i="42"/>
  <c r="X373" i="42"/>
  <c r="C373" i="42"/>
  <c r="B373" i="42"/>
  <c r="N372" i="42"/>
  <c r="G372" i="42"/>
  <c r="V372" i="42"/>
  <c r="X372" i="42"/>
  <c r="C372" i="42"/>
  <c r="B372" i="42"/>
  <c r="N371" i="42"/>
  <c r="G371" i="42"/>
  <c r="V371" i="42"/>
  <c r="X371" i="42"/>
  <c r="C371" i="42"/>
  <c r="B371" i="42"/>
  <c r="N370" i="42"/>
  <c r="G370" i="42"/>
  <c r="V370" i="42"/>
  <c r="X370" i="42"/>
  <c r="C370" i="42"/>
  <c r="B370" i="42"/>
  <c r="N369" i="42"/>
  <c r="G369" i="42"/>
  <c r="V369" i="42"/>
  <c r="X369" i="42"/>
  <c r="C369" i="42"/>
  <c r="B369" i="42"/>
  <c r="N368" i="42"/>
  <c r="G368" i="42"/>
  <c r="V368" i="42"/>
  <c r="X368" i="42"/>
  <c r="C368" i="42"/>
  <c r="B368" i="42"/>
  <c r="N367" i="42"/>
  <c r="G367" i="42"/>
  <c r="V367" i="42"/>
  <c r="X367" i="42"/>
  <c r="C367" i="42"/>
  <c r="B367" i="42"/>
  <c r="N366" i="42"/>
  <c r="G366" i="42"/>
  <c r="V366" i="42"/>
  <c r="X366" i="42"/>
  <c r="C366" i="42"/>
  <c r="B366" i="42"/>
  <c r="N365" i="42"/>
  <c r="G365" i="42"/>
  <c r="V365" i="42"/>
  <c r="X365" i="42"/>
  <c r="C365" i="42"/>
  <c r="B365" i="42"/>
  <c r="N364" i="42"/>
  <c r="G364" i="42"/>
  <c r="V364" i="42"/>
  <c r="X364" i="42"/>
  <c r="C364" i="42"/>
  <c r="B364" i="42"/>
  <c r="N363" i="42"/>
  <c r="G363" i="42"/>
  <c r="V363" i="42"/>
  <c r="X363" i="42"/>
  <c r="C363" i="42"/>
  <c r="B363" i="42"/>
  <c r="N362" i="42"/>
  <c r="G362" i="42"/>
  <c r="V362" i="42"/>
  <c r="X362" i="42"/>
  <c r="C362" i="42"/>
  <c r="B362" i="42"/>
  <c r="N361" i="42"/>
  <c r="G361" i="42"/>
  <c r="V361" i="42"/>
  <c r="X361" i="42"/>
  <c r="C361" i="42"/>
  <c r="B361" i="42"/>
  <c r="N360" i="42"/>
  <c r="G360" i="42"/>
  <c r="V360" i="42"/>
  <c r="X360" i="42"/>
  <c r="C360" i="42"/>
  <c r="B360" i="42"/>
  <c r="N359" i="42"/>
  <c r="G359" i="42"/>
  <c r="V359" i="42"/>
  <c r="X359" i="42"/>
  <c r="C359" i="42"/>
  <c r="B359" i="42"/>
  <c r="N358" i="42"/>
  <c r="G358" i="42"/>
  <c r="V358" i="42"/>
  <c r="X358" i="42"/>
  <c r="C358" i="42"/>
  <c r="B358" i="42"/>
  <c r="N357" i="42"/>
  <c r="G357" i="42"/>
  <c r="V357" i="42"/>
  <c r="X357" i="42"/>
  <c r="C357" i="42"/>
  <c r="B357" i="42"/>
  <c r="N356" i="42"/>
  <c r="G356" i="42"/>
  <c r="V356" i="42"/>
  <c r="X356" i="42"/>
  <c r="C356" i="42"/>
  <c r="B356" i="42"/>
  <c r="N355" i="42"/>
  <c r="G355" i="42"/>
  <c r="V355" i="42"/>
  <c r="X355" i="42"/>
  <c r="C355" i="42"/>
  <c r="B355" i="42"/>
  <c r="N354" i="42"/>
  <c r="G354" i="42"/>
  <c r="V354" i="42"/>
  <c r="X354" i="42"/>
  <c r="C354" i="42"/>
  <c r="B354" i="42"/>
  <c r="N353" i="42"/>
  <c r="G353" i="42"/>
  <c r="V353" i="42"/>
  <c r="X353" i="42"/>
  <c r="C353" i="42"/>
  <c r="B353" i="42"/>
  <c r="N352" i="42"/>
  <c r="G352" i="42"/>
  <c r="V352" i="42"/>
  <c r="X352" i="42"/>
  <c r="C352" i="42"/>
  <c r="B352" i="42"/>
  <c r="N351" i="42"/>
  <c r="G351" i="42"/>
  <c r="V351" i="42"/>
  <c r="X351" i="42"/>
  <c r="C351" i="42"/>
  <c r="B351" i="42"/>
  <c r="N350" i="42"/>
  <c r="G350" i="42"/>
  <c r="V350" i="42"/>
  <c r="X350" i="42"/>
  <c r="C350" i="42"/>
  <c r="B350" i="42"/>
  <c r="N349" i="42"/>
  <c r="G349" i="42"/>
  <c r="V349" i="42"/>
  <c r="X349" i="42"/>
  <c r="C349" i="42"/>
  <c r="B349" i="42"/>
  <c r="N348" i="42"/>
  <c r="G348" i="42"/>
  <c r="V348" i="42"/>
  <c r="X348" i="42"/>
  <c r="C348" i="42"/>
  <c r="B348" i="42"/>
  <c r="N347" i="42"/>
  <c r="G347" i="42"/>
  <c r="V347" i="42"/>
  <c r="X347" i="42"/>
  <c r="C347" i="42"/>
  <c r="B347" i="42"/>
  <c r="N346" i="42"/>
  <c r="G346" i="42"/>
  <c r="V346" i="42"/>
  <c r="X346" i="42"/>
  <c r="C346" i="42"/>
  <c r="B346" i="42"/>
  <c r="N345" i="42"/>
  <c r="G345" i="42"/>
  <c r="V345" i="42"/>
  <c r="X345" i="42"/>
  <c r="C345" i="42"/>
  <c r="B345" i="42"/>
  <c r="N344" i="42"/>
  <c r="G344" i="42"/>
  <c r="V344" i="42"/>
  <c r="X344" i="42"/>
  <c r="C344" i="42"/>
  <c r="B344" i="42"/>
  <c r="N343" i="42"/>
  <c r="G343" i="42"/>
  <c r="V343" i="42"/>
  <c r="X343" i="42"/>
  <c r="C343" i="42"/>
  <c r="B343" i="42"/>
  <c r="N342" i="42"/>
  <c r="G342" i="42"/>
  <c r="V342" i="42"/>
  <c r="X342" i="42"/>
  <c r="C342" i="42"/>
  <c r="B342" i="42"/>
  <c r="N341" i="42"/>
  <c r="G341" i="42"/>
  <c r="V341" i="42"/>
  <c r="X341" i="42"/>
  <c r="C341" i="42"/>
  <c r="B341" i="42"/>
  <c r="N340" i="42"/>
  <c r="G340" i="42"/>
  <c r="V340" i="42"/>
  <c r="X340" i="42"/>
  <c r="C340" i="42"/>
  <c r="B340" i="42"/>
  <c r="N339" i="42"/>
  <c r="G339" i="42"/>
  <c r="V339" i="42"/>
  <c r="X339" i="42"/>
  <c r="C339" i="42"/>
  <c r="B339" i="42"/>
  <c r="N338" i="42"/>
  <c r="G338" i="42"/>
  <c r="V338" i="42"/>
  <c r="X338" i="42"/>
  <c r="C338" i="42"/>
  <c r="B338" i="42"/>
  <c r="N337" i="42"/>
  <c r="G337" i="42"/>
  <c r="V337" i="42"/>
  <c r="X337" i="42"/>
  <c r="C337" i="42"/>
  <c r="B337" i="42"/>
  <c r="N336" i="42"/>
  <c r="G336" i="42"/>
  <c r="V336" i="42"/>
  <c r="X336" i="42"/>
  <c r="C336" i="42"/>
  <c r="B336" i="42"/>
  <c r="N335" i="42"/>
  <c r="G335" i="42"/>
  <c r="V335" i="42"/>
  <c r="X335" i="42"/>
  <c r="C335" i="42"/>
  <c r="B335" i="42"/>
  <c r="N334" i="42"/>
  <c r="G334" i="42"/>
  <c r="V334" i="42"/>
  <c r="X334" i="42"/>
  <c r="C334" i="42"/>
  <c r="B334" i="42"/>
  <c r="N333" i="42"/>
  <c r="G333" i="42"/>
  <c r="V333" i="42"/>
  <c r="X333" i="42"/>
  <c r="C333" i="42"/>
  <c r="B333" i="42"/>
  <c r="N332" i="42"/>
  <c r="G332" i="42"/>
  <c r="V332" i="42"/>
  <c r="X332" i="42"/>
  <c r="C332" i="42"/>
  <c r="B332" i="42"/>
  <c r="N331" i="42"/>
  <c r="G331" i="42"/>
  <c r="V331" i="42"/>
  <c r="X331" i="42"/>
  <c r="C331" i="42"/>
  <c r="B331" i="42"/>
  <c r="N330" i="42"/>
  <c r="G330" i="42"/>
  <c r="V330" i="42"/>
  <c r="X330" i="42"/>
  <c r="C330" i="42"/>
  <c r="B330" i="42"/>
  <c r="N329" i="42"/>
  <c r="G329" i="42"/>
  <c r="V329" i="42"/>
  <c r="X329" i="42"/>
  <c r="C329" i="42"/>
  <c r="B329" i="42"/>
  <c r="N328" i="42"/>
  <c r="G328" i="42"/>
  <c r="V328" i="42"/>
  <c r="X328" i="42"/>
  <c r="C328" i="42"/>
  <c r="B328" i="42"/>
  <c r="N327" i="42"/>
  <c r="G327" i="42"/>
  <c r="V327" i="42"/>
  <c r="X327" i="42"/>
  <c r="C327" i="42"/>
  <c r="B327" i="42"/>
  <c r="N326" i="42"/>
  <c r="G326" i="42"/>
  <c r="V326" i="42"/>
  <c r="X326" i="42"/>
  <c r="C326" i="42"/>
  <c r="B326" i="42"/>
  <c r="N325" i="42"/>
  <c r="G325" i="42"/>
  <c r="V325" i="42"/>
  <c r="X325" i="42"/>
  <c r="C325" i="42"/>
  <c r="B325" i="42"/>
  <c r="N324" i="42"/>
  <c r="G324" i="42"/>
  <c r="V324" i="42"/>
  <c r="X324" i="42"/>
  <c r="C324" i="42"/>
  <c r="B324" i="42"/>
  <c r="N323" i="42"/>
  <c r="G323" i="42"/>
  <c r="V323" i="42"/>
  <c r="X323" i="42"/>
  <c r="C323" i="42"/>
  <c r="B323" i="42"/>
  <c r="N322" i="42"/>
  <c r="G322" i="42"/>
  <c r="V322" i="42"/>
  <c r="X322" i="42"/>
  <c r="C322" i="42"/>
  <c r="B322" i="42"/>
  <c r="N321" i="42"/>
  <c r="G321" i="42"/>
  <c r="V321" i="42"/>
  <c r="X321" i="42"/>
  <c r="C321" i="42"/>
  <c r="B321" i="42"/>
  <c r="N320" i="42"/>
  <c r="G320" i="42"/>
  <c r="V320" i="42"/>
  <c r="X320" i="42"/>
  <c r="C320" i="42"/>
  <c r="B320" i="42"/>
  <c r="N319" i="42"/>
  <c r="G319" i="42"/>
  <c r="V319" i="42"/>
  <c r="X319" i="42"/>
  <c r="C319" i="42"/>
  <c r="B319" i="42"/>
  <c r="N318" i="42"/>
  <c r="G318" i="42"/>
  <c r="V318" i="42"/>
  <c r="X318" i="42"/>
  <c r="C318" i="42"/>
  <c r="B318" i="42"/>
  <c r="N317" i="42"/>
  <c r="G317" i="42"/>
  <c r="V317" i="42"/>
  <c r="X317" i="42"/>
  <c r="C317" i="42"/>
  <c r="B317" i="42"/>
  <c r="N316" i="42"/>
  <c r="G316" i="42"/>
  <c r="V316" i="42"/>
  <c r="X316" i="42"/>
  <c r="C316" i="42"/>
  <c r="B316" i="42"/>
  <c r="N315" i="42"/>
  <c r="G315" i="42"/>
  <c r="V315" i="42"/>
  <c r="X315" i="42"/>
  <c r="C315" i="42"/>
  <c r="B315" i="42"/>
  <c r="N314" i="42"/>
  <c r="G314" i="42"/>
  <c r="V314" i="42"/>
  <c r="X314" i="42"/>
  <c r="C314" i="42"/>
  <c r="B314" i="42"/>
  <c r="N313" i="42"/>
  <c r="G313" i="42"/>
  <c r="V313" i="42"/>
  <c r="X313" i="42"/>
  <c r="C313" i="42"/>
  <c r="B313" i="42"/>
  <c r="N312" i="42"/>
  <c r="G312" i="42"/>
  <c r="V312" i="42"/>
  <c r="X312" i="42"/>
  <c r="C312" i="42"/>
  <c r="B312" i="42"/>
  <c r="N311" i="42"/>
  <c r="G311" i="42"/>
  <c r="V311" i="42"/>
  <c r="X311" i="42"/>
  <c r="C311" i="42"/>
  <c r="B311" i="42"/>
  <c r="N310" i="42"/>
  <c r="G310" i="42"/>
  <c r="V310" i="42"/>
  <c r="X310" i="42"/>
  <c r="C310" i="42"/>
  <c r="B310" i="42"/>
  <c r="N309" i="42"/>
  <c r="G309" i="42"/>
  <c r="V309" i="42"/>
  <c r="X309" i="42"/>
  <c r="C309" i="42"/>
  <c r="B309" i="42"/>
  <c r="N308" i="42"/>
  <c r="G308" i="42"/>
  <c r="V308" i="42"/>
  <c r="X308" i="42"/>
  <c r="C308" i="42"/>
  <c r="B308" i="42"/>
  <c r="N307" i="42"/>
  <c r="G307" i="42"/>
  <c r="V307" i="42"/>
  <c r="X307" i="42"/>
  <c r="C307" i="42"/>
  <c r="B307" i="42"/>
  <c r="N306" i="42"/>
  <c r="G306" i="42"/>
  <c r="V306" i="42"/>
  <c r="X306" i="42"/>
  <c r="C306" i="42"/>
  <c r="B306" i="42"/>
  <c r="N305" i="42"/>
  <c r="G305" i="42"/>
  <c r="V305" i="42"/>
  <c r="X305" i="42"/>
  <c r="C305" i="42"/>
  <c r="B305" i="42"/>
  <c r="N304" i="42"/>
  <c r="G304" i="42"/>
  <c r="V304" i="42"/>
  <c r="X304" i="42"/>
  <c r="C304" i="42"/>
  <c r="B304" i="42"/>
  <c r="N303" i="42"/>
  <c r="G303" i="42"/>
  <c r="V303" i="42"/>
  <c r="X303" i="42"/>
  <c r="C303" i="42"/>
  <c r="B303" i="42"/>
  <c r="N302" i="42"/>
  <c r="G302" i="42"/>
  <c r="V302" i="42"/>
  <c r="X302" i="42"/>
  <c r="C302" i="42"/>
  <c r="B302" i="42"/>
  <c r="N301" i="42"/>
  <c r="G301" i="42"/>
  <c r="V301" i="42"/>
  <c r="X301" i="42"/>
  <c r="C301" i="42"/>
  <c r="B301" i="42"/>
  <c r="N300" i="42"/>
  <c r="G300" i="42"/>
  <c r="V300" i="42"/>
  <c r="X300" i="42"/>
  <c r="C300" i="42"/>
  <c r="B300" i="42"/>
  <c r="N299" i="42"/>
  <c r="G299" i="42"/>
  <c r="V299" i="42"/>
  <c r="X299" i="42"/>
  <c r="C299" i="42"/>
  <c r="B299" i="42"/>
  <c r="N298" i="42"/>
  <c r="G298" i="42"/>
  <c r="V298" i="42"/>
  <c r="X298" i="42"/>
  <c r="C298" i="42"/>
  <c r="B298" i="42"/>
  <c r="N297" i="42"/>
  <c r="G297" i="42"/>
  <c r="V297" i="42"/>
  <c r="X297" i="42"/>
  <c r="C297" i="42"/>
  <c r="B297" i="42"/>
  <c r="N296" i="42"/>
  <c r="G296" i="42"/>
  <c r="V296" i="42"/>
  <c r="X296" i="42"/>
  <c r="C296" i="42"/>
  <c r="B296" i="42"/>
  <c r="N295" i="42"/>
  <c r="G295" i="42"/>
  <c r="V295" i="42"/>
  <c r="X295" i="42"/>
  <c r="C295" i="42"/>
  <c r="B295" i="42"/>
  <c r="N294" i="42"/>
  <c r="G294" i="42"/>
  <c r="V294" i="42"/>
  <c r="X294" i="42"/>
  <c r="C294" i="42"/>
  <c r="B294" i="42"/>
  <c r="N293" i="42"/>
  <c r="G293" i="42"/>
  <c r="V293" i="42"/>
  <c r="X293" i="42"/>
  <c r="C293" i="42"/>
  <c r="B293" i="42"/>
  <c r="N292" i="42"/>
  <c r="G292" i="42"/>
  <c r="V292" i="42"/>
  <c r="X292" i="42"/>
  <c r="C292" i="42"/>
  <c r="B292" i="42"/>
  <c r="N291" i="42"/>
  <c r="G291" i="42"/>
  <c r="V291" i="42"/>
  <c r="X291" i="42"/>
  <c r="C291" i="42"/>
  <c r="B291" i="42"/>
  <c r="N290" i="42"/>
  <c r="G290" i="42"/>
  <c r="V290" i="42"/>
  <c r="X290" i="42"/>
  <c r="C290" i="42"/>
  <c r="B290" i="42"/>
  <c r="N289" i="42"/>
  <c r="G289" i="42"/>
  <c r="V289" i="42"/>
  <c r="X289" i="42"/>
  <c r="C289" i="42"/>
  <c r="B289" i="42"/>
  <c r="N288" i="42"/>
  <c r="G288" i="42"/>
  <c r="V288" i="42"/>
  <c r="X288" i="42"/>
  <c r="C288" i="42"/>
  <c r="B288" i="42"/>
  <c r="N287" i="42"/>
  <c r="G287" i="42"/>
  <c r="V287" i="42"/>
  <c r="X287" i="42"/>
  <c r="C287" i="42"/>
  <c r="B287" i="42"/>
  <c r="N286" i="42"/>
  <c r="G286" i="42"/>
  <c r="V286" i="42"/>
  <c r="X286" i="42"/>
  <c r="C286" i="42"/>
  <c r="B286" i="42"/>
  <c r="N285" i="42"/>
  <c r="G285" i="42"/>
  <c r="V285" i="42"/>
  <c r="X285" i="42"/>
  <c r="C285" i="42"/>
  <c r="B285" i="42"/>
  <c r="N284" i="42"/>
  <c r="G284" i="42"/>
  <c r="V284" i="42"/>
  <c r="X284" i="42"/>
  <c r="C284" i="42"/>
  <c r="B284" i="42"/>
  <c r="N283" i="42"/>
  <c r="G283" i="42"/>
  <c r="V283" i="42"/>
  <c r="X283" i="42"/>
  <c r="C283" i="42"/>
  <c r="B283" i="42"/>
  <c r="N282" i="42"/>
  <c r="G282" i="42"/>
  <c r="V282" i="42"/>
  <c r="X282" i="42"/>
  <c r="C282" i="42"/>
  <c r="B282" i="42"/>
  <c r="N281" i="42"/>
  <c r="G281" i="42"/>
  <c r="V281" i="42"/>
  <c r="X281" i="42"/>
  <c r="C281" i="42"/>
  <c r="B281" i="42"/>
  <c r="N280" i="42"/>
  <c r="G280" i="42"/>
  <c r="V280" i="42"/>
  <c r="X280" i="42"/>
  <c r="C280" i="42"/>
  <c r="B280" i="42"/>
  <c r="N279" i="42"/>
  <c r="G279" i="42"/>
  <c r="V279" i="42"/>
  <c r="X279" i="42"/>
  <c r="C279" i="42"/>
  <c r="B279" i="42"/>
  <c r="N278" i="42"/>
  <c r="G278" i="42"/>
  <c r="V278" i="42"/>
  <c r="X278" i="42"/>
  <c r="C278" i="42"/>
  <c r="B278" i="42"/>
  <c r="N277" i="42"/>
  <c r="G277" i="42"/>
  <c r="V277" i="42"/>
  <c r="X277" i="42"/>
  <c r="C277" i="42"/>
  <c r="B277" i="42"/>
  <c r="N276" i="42"/>
  <c r="G276" i="42"/>
  <c r="V276" i="42"/>
  <c r="X276" i="42"/>
  <c r="C276" i="42"/>
  <c r="B276" i="42"/>
  <c r="N275" i="42"/>
  <c r="G275" i="42"/>
  <c r="V275" i="42"/>
  <c r="X275" i="42"/>
  <c r="C275" i="42"/>
  <c r="B275" i="42"/>
  <c r="N274" i="42"/>
  <c r="G274" i="42"/>
  <c r="V274" i="42"/>
  <c r="X274" i="42"/>
  <c r="C274" i="42"/>
  <c r="B274" i="42"/>
  <c r="N273" i="42"/>
  <c r="G273" i="42"/>
  <c r="V273" i="42"/>
  <c r="X273" i="42"/>
  <c r="C273" i="42"/>
  <c r="B273" i="42"/>
  <c r="N272" i="42"/>
  <c r="G272" i="42"/>
  <c r="V272" i="42"/>
  <c r="X272" i="42"/>
  <c r="C272" i="42"/>
  <c r="B272" i="42"/>
  <c r="N271" i="42"/>
  <c r="G271" i="42"/>
  <c r="V271" i="42"/>
  <c r="X271" i="42"/>
  <c r="C271" i="42"/>
  <c r="B271" i="42"/>
  <c r="N270" i="42"/>
  <c r="G270" i="42"/>
  <c r="V270" i="42"/>
  <c r="X270" i="42"/>
  <c r="C270" i="42"/>
  <c r="B270" i="42"/>
  <c r="N269" i="42"/>
  <c r="G269" i="42"/>
  <c r="V269" i="42"/>
  <c r="X269" i="42"/>
  <c r="C269" i="42"/>
  <c r="B269" i="42"/>
  <c r="N268" i="42"/>
  <c r="G268" i="42"/>
  <c r="V268" i="42"/>
  <c r="X268" i="42"/>
  <c r="C268" i="42"/>
  <c r="B268" i="42"/>
  <c r="N267" i="42"/>
  <c r="G267" i="42"/>
  <c r="V267" i="42"/>
  <c r="X267" i="42"/>
  <c r="C267" i="42"/>
  <c r="B267" i="42"/>
  <c r="N266" i="42"/>
  <c r="G266" i="42"/>
  <c r="V266" i="42"/>
  <c r="X266" i="42"/>
  <c r="C266" i="42"/>
  <c r="B266" i="42"/>
  <c r="N265" i="42"/>
  <c r="G265" i="42"/>
  <c r="V265" i="42"/>
  <c r="X265" i="42"/>
  <c r="C265" i="42"/>
  <c r="B265" i="42"/>
  <c r="N264" i="42"/>
  <c r="G264" i="42"/>
  <c r="V264" i="42"/>
  <c r="X264" i="42"/>
  <c r="C264" i="42"/>
  <c r="B264" i="42"/>
  <c r="N263" i="42"/>
  <c r="G263" i="42"/>
  <c r="V263" i="42"/>
  <c r="X263" i="42"/>
  <c r="C263" i="42"/>
  <c r="B263" i="42"/>
  <c r="N262" i="42"/>
  <c r="G262" i="42"/>
  <c r="V262" i="42"/>
  <c r="X262" i="42"/>
  <c r="C262" i="42"/>
  <c r="B262" i="42"/>
  <c r="N261" i="42"/>
  <c r="G261" i="42"/>
  <c r="V261" i="42"/>
  <c r="X261" i="42"/>
  <c r="C261" i="42"/>
  <c r="B261" i="42"/>
  <c r="N260" i="42"/>
  <c r="G260" i="42"/>
  <c r="V260" i="42"/>
  <c r="X260" i="42"/>
  <c r="C260" i="42"/>
  <c r="B260" i="42"/>
  <c r="N259" i="42"/>
  <c r="G259" i="42"/>
  <c r="V259" i="42"/>
  <c r="X259" i="42"/>
  <c r="C259" i="42"/>
  <c r="B259" i="42"/>
  <c r="N258" i="42"/>
  <c r="G258" i="42"/>
  <c r="V258" i="42"/>
  <c r="X258" i="42"/>
  <c r="C258" i="42"/>
  <c r="B258" i="42"/>
  <c r="N257" i="42"/>
  <c r="G257" i="42"/>
  <c r="V257" i="42"/>
  <c r="X257" i="42"/>
  <c r="C257" i="42"/>
  <c r="B257" i="42"/>
  <c r="N256" i="42"/>
  <c r="G256" i="42"/>
  <c r="V256" i="42"/>
  <c r="X256" i="42"/>
  <c r="C256" i="42"/>
  <c r="B256" i="42"/>
  <c r="N255" i="42"/>
  <c r="G255" i="42"/>
  <c r="V255" i="42"/>
  <c r="X255" i="42"/>
  <c r="C255" i="42"/>
  <c r="B255" i="42"/>
  <c r="N254" i="42"/>
  <c r="G254" i="42"/>
  <c r="V254" i="42"/>
  <c r="X254" i="42"/>
  <c r="C254" i="42"/>
  <c r="B254" i="42"/>
  <c r="N253" i="42"/>
  <c r="G253" i="42"/>
  <c r="V253" i="42"/>
  <c r="X253" i="42"/>
  <c r="C253" i="42"/>
  <c r="B253" i="42"/>
  <c r="N252" i="42"/>
  <c r="G252" i="42"/>
  <c r="V252" i="42"/>
  <c r="X252" i="42"/>
  <c r="C252" i="42"/>
  <c r="B252" i="42"/>
  <c r="N251" i="42"/>
  <c r="G251" i="42"/>
  <c r="V251" i="42"/>
  <c r="X251" i="42"/>
  <c r="C251" i="42"/>
  <c r="B251" i="42"/>
  <c r="N250" i="42"/>
  <c r="G250" i="42"/>
  <c r="V250" i="42"/>
  <c r="X250" i="42"/>
  <c r="C250" i="42"/>
  <c r="B250" i="42"/>
  <c r="N249" i="42"/>
  <c r="G249" i="42"/>
  <c r="V249" i="42"/>
  <c r="X249" i="42"/>
  <c r="C249" i="42"/>
  <c r="B249" i="42"/>
  <c r="N248" i="42"/>
  <c r="G248" i="42"/>
  <c r="V248" i="42"/>
  <c r="X248" i="42"/>
  <c r="C248" i="42"/>
  <c r="B248" i="42"/>
  <c r="N247" i="42"/>
  <c r="G247" i="42"/>
  <c r="V247" i="42"/>
  <c r="X247" i="42"/>
  <c r="C247" i="42"/>
  <c r="B247" i="42"/>
  <c r="N246" i="42"/>
  <c r="G246" i="42"/>
  <c r="V246" i="42"/>
  <c r="X246" i="42"/>
  <c r="C246" i="42"/>
  <c r="B246" i="42"/>
  <c r="N245" i="42"/>
  <c r="G245" i="42"/>
  <c r="V245" i="42"/>
  <c r="X245" i="42"/>
  <c r="C245" i="42"/>
  <c r="B245" i="42"/>
  <c r="N244" i="42"/>
  <c r="G244" i="42"/>
  <c r="V244" i="42"/>
  <c r="X244" i="42"/>
  <c r="C244" i="42"/>
  <c r="B244" i="42"/>
  <c r="N243" i="42"/>
  <c r="G243" i="42"/>
  <c r="V243" i="42"/>
  <c r="X243" i="42"/>
  <c r="C243" i="42"/>
  <c r="B243" i="42"/>
  <c r="N242" i="42"/>
  <c r="G242" i="42"/>
  <c r="V242" i="42"/>
  <c r="X242" i="42"/>
  <c r="C242" i="42"/>
  <c r="B242" i="42"/>
  <c r="N241" i="42"/>
  <c r="G241" i="42"/>
  <c r="V241" i="42"/>
  <c r="X241" i="42"/>
  <c r="C241" i="42"/>
  <c r="B241" i="42"/>
  <c r="N240" i="42"/>
  <c r="G240" i="42"/>
  <c r="V240" i="42"/>
  <c r="X240" i="42"/>
  <c r="C240" i="42"/>
  <c r="B240" i="42"/>
  <c r="N239" i="42"/>
  <c r="G239" i="42"/>
  <c r="V239" i="42"/>
  <c r="X239" i="42"/>
  <c r="C239" i="42"/>
  <c r="B239" i="42"/>
  <c r="N238" i="42"/>
  <c r="G238" i="42"/>
  <c r="V238" i="42"/>
  <c r="X238" i="42"/>
  <c r="C238" i="42"/>
  <c r="B238" i="42"/>
  <c r="N237" i="42"/>
  <c r="G237" i="42"/>
  <c r="V237" i="42"/>
  <c r="X237" i="42"/>
  <c r="C237" i="42"/>
  <c r="B237" i="42"/>
  <c r="N236" i="42"/>
  <c r="G236" i="42"/>
  <c r="V236" i="42"/>
  <c r="X236" i="42"/>
  <c r="C236" i="42"/>
  <c r="B236" i="42"/>
  <c r="N235" i="42"/>
  <c r="G235" i="42"/>
  <c r="V235" i="42"/>
  <c r="X235" i="42"/>
  <c r="C235" i="42"/>
  <c r="B235" i="42"/>
  <c r="N234" i="42"/>
  <c r="G234" i="42"/>
  <c r="V234" i="42"/>
  <c r="X234" i="42"/>
  <c r="C234" i="42"/>
  <c r="B234" i="42"/>
  <c r="N233" i="42"/>
  <c r="G233" i="42"/>
  <c r="V233" i="42"/>
  <c r="X233" i="42"/>
  <c r="C233" i="42"/>
  <c r="B233" i="42"/>
  <c r="N232" i="42"/>
  <c r="G232" i="42"/>
  <c r="V232" i="42"/>
  <c r="X232" i="42"/>
  <c r="C232" i="42"/>
  <c r="B232" i="42"/>
  <c r="N231" i="42"/>
  <c r="G231" i="42"/>
  <c r="V231" i="42"/>
  <c r="X231" i="42"/>
  <c r="C231" i="42"/>
  <c r="B231" i="42"/>
  <c r="N230" i="42"/>
  <c r="G230" i="42"/>
  <c r="V230" i="42"/>
  <c r="X230" i="42"/>
  <c r="C230" i="42"/>
  <c r="B230" i="42"/>
  <c r="N229" i="42"/>
  <c r="G229" i="42"/>
  <c r="V229" i="42"/>
  <c r="X229" i="42"/>
  <c r="C229" i="42"/>
  <c r="B229" i="42"/>
  <c r="N228" i="42"/>
  <c r="G228" i="42"/>
  <c r="V228" i="42"/>
  <c r="X228" i="42"/>
  <c r="C228" i="42"/>
  <c r="B228" i="42"/>
  <c r="N227" i="42"/>
  <c r="G227" i="42"/>
  <c r="V227" i="42"/>
  <c r="X227" i="42"/>
  <c r="C227" i="42"/>
  <c r="B227" i="42"/>
  <c r="N226" i="42"/>
  <c r="G226" i="42"/>
  <c r="V226" i="42"/>
  <c r="X226" i="42"/>
  <c r="C226" i="42"/>
  <c r="B226" i="42"/>
  <c r="N225" i="42"/>
  <c r="G225" i="42"/>
  <c r="V225" i="42"/>
  <c r="X225" i="42"/>
  <c r="C225" i="42"/>
  <c r="B225" i="42"/>
  <c r="N224" i="42"/>
  <c r="G224" i="42"/>
  <c r="V224" i="42"/>
  <c r="X224" i="42"/>
  <c r="C224" i="42"/>
  <c r="B224" i="42"/>
  <c r="N223" i="42"/>
  <c r="G223" i="42"/>
  <c r="V223" i="42"/>
  <c r="X223" i="42"/>
  <c r="C223" i="42"/>
  <c r="B223" i="42"/>
  <c r="N222" i="42"/>
  <c r="G222" i="42"/>
  <c r="V222" i="42"/>
  <c r="X222" i="42"/>
  <c r="C222" i="42"/>
  <c r="B222" i="42"/>
  <c r="N221" i="42"/>
  <c r="G221" i="42"/>
  <c r="V221" i="42"/>
  <c r="X221" i="42"/>
  <c r="C221" i="42"/>
  <c r="B221" i="42"/>
  <c r="N220" i="42"/>
  <c r="G220" i="42"/>
  <c r="V220" i="42"/>
  <c r="X220" i="42"/>
  <c r="C220" i="42"/>
  <c r="B220" i="42"/>
  <c r="N219" i="42"/>
  <c r="G219" i="42"/>
  <c r="V219" i="42"/>
  <c r="X219" i="42"/>
  <c r="C219" i="42"/>
  <c r="B219" i="42"/>
  <c r="N218" i="42"/>
  <c r="G218" i="42"/>
  <c r="V218" i="42"/>
  <c r="X218" i="42"/>
  <c r="C218" i="42"/>
  <c r="B218" i="42"/>
  <c r="N217" i="42"/>
  <c r="G217" i="42"/>
  <c r="V217" i="42"/>
  <c r="X217" i="42"/>
  <c r="C217" i="42"/>
  <c r="B217" i="42"/>
  <c r="N216" i="42"/>
  <c r="G216" i="42"/>
  <c r="V216" i="42"/>
  <c r="X216" i="42"/>
  <c r="C216" i="42"/>
  <c r="B216" i="42"/>
  <c r="N215" i="42"/>
  <c r="G215" i="42"/>
  <c r="V215" i="42"/>
  <c r="X215" i="42"/>
  <c r="C215" i="42"/>
  <c r="B215" i="42"/>
  <c r="N214" i="42"/>
  <c r="G214" i="42"/>
  <c r="V214" i="42"/>
  <c r="X214" i="42"/>
  <c r="C214" i="42"/>
  <c r="B214" i="42"/>
  <c r="N213" i="42"/>
  <c r="G213" i="42"/>
  <c r="V213" i="42"/>
  <c r="X213" i="42"/>
  <c r="C213" i="42"/>
  <c r="B213" i="42"/>
  <c r="N212" i="42"/>
  <c r="G212" i="42"/>
  <c r="V212" i="42"/>
  <c r="X212" i="42"/>
  <c r="C212" i="42"/>
  <c r="B212" i="42"/>
  <c r="N211" i="42"/>
  <c r="G211" i="42"/>
  <c r="V211" i="42"/>
  <c r="X211" i="42"/>
  <c r="C211" i="42"/>
  <c r="B211" i="42"/>
  <c r="N210" i="42"/>
  <c r="G210" i="42"/>
  <c r="V210" i="42"/>
  <c r="X210" i="42"/>
  <c r="C210" i="42"/>
  <c r="B210" i="42"/>
  <c r="N209" i="42"/>
  <c r="G209" i="42"/>
  <c r="V209" i="42"/>
  <c r="X209" i="42"/>
  <c r="C209" i="42"/>
  <c r="B209" i="42"/>
  <c r="N208" i="42"/>
  <c r="G208" i="42"/>
  <c r="V208" i="42"/>
  <c r="X208" i="42"/>
  <c r="C208" i="42"/>
  <c r="B208" i="42"/>
  <c r="N207" i="42"/>
  <c r="G207" i="42"/>
  <c r="V207" i="42"/>
  <c r="X207" i="42"/>
  <c r="C207" i="42"/>
  <c r="B207" i="42"/>
  <c r="N206" i="42"/>
  <c r="G206" i="42"/>
  <c r="V206" i="42"/>
  <c r="X206" i="42"/>
  <c r="C206" i="42"/>
  <c r="B206" i="42"/>
  <c r="N205" i="42"/>
  <c r="G205" i="42"/>
  <c r="V205" i="42"/>
  <c r="X205" i="42"/>
  <c r="C205" i="42"/>
  <c r="B205" i="42"/>
  <c r="N204" i="42"/>
  <c r="G204" i="42"/>
  <c r="V204" i="42"/>
  <c r="X204" i="42"/>
  <c r="C204" i="42"/>
  <c r="B204" i="42"/>
  <c r="N203" i="42"/>
  <c r="G203" i="42"/>
  <c r="V203" i="42"/>
  <c r="X203" i="42"/>
  <c r="C203" i="42"/>
  <c r="B203" i="42"/>
  <c r="N202" i="42"/>
  <c r="G202" i="42"/>
  <c r="V202" i="42"/>
  <c r="X202" i="42"/>
  <c r="C202" i="42"/>
  <c r="B202" i="42"/>
  <c r="N201" i="42"/>
  <c r="G201" i="42"/>
  <c r="V201" i="42"/>
  <c r="X201" i="42"/>
  <c r="C201" i="42"/>
  <c r="B201" i="42"/>
  <c r="N200" i="42"/>
  <c r="G200" i="42"/>
  <c r="V200" i="42"/>
  <c r="X200" i="42"/>
  <c r="C200" i="42"/>
  <c r="B200" i="42"/>
  <c r="N199" i="42"/>
  <c r="G199" i="42"/>
  <c r="V199" i="42"/>
  <c r="X199" i="42"/>
  <c r="C199" i="42"/>
  <c r="B199" i="42"/>
  <c r="N198" i="42"/>
  <c r="G198" i="42"/>
  <c r="V198" i="42"/>
  <c r="X198" i="42"/>
  <c r="C198" i="42"/>
  <c r="B198" i="42"/>
  <c r="N197" i="42"/>
  <c r="G197" i="42"/>
  <c r="V197" i="42"/>
  <c r="X197" i="42"/>
  <c r="C197" i="42"/>
  <c r="B197" i="42"/>
  <c r="N196" i="42"/>
  <c r="G196" i="42"/>
  <c r="V196" i="42"/>
  <c r="X196" i="42"/>
  <c r="C196" i="42"/>
  <c r="B196" i="42"/>
  <c r="N195" i="42"/>
  <c r="G195" i="42"/>
  <c r="V195" i="42"/>
  <c r="X195" i="42"/>
  <c r="C195" i="42"/>
  <c r="B195" i="42"/>
  <c r="N194" i="42"/>
  <c r="G194" i="42"/>
  <c r="V194" i="42"/>
  <c r="X194" i="42"/>
  <c r="C194" i="42"/>
  <c r="B194" i="42"/>
  <c r="N193" i="42"/>
  <c r="G193" i="42"/>
  <c r="V193" i="42"/>
  <c r="X193" i="42"/>
  <c r="C193" i="42"/>
  <c r="B193" i="42"/>
  <c r="N192" i="42"/>
  <c r="G192" i="42"/>
  <c r="V192" i="42"/>
  <c r="X192" i="42"/>
  <c r="C192" i="42"/>
  <c r="B192" i="42"/>
  <c r="N191" i="42"/>
  <c r="G191" i="42"/>
  <c r="V191" i="42"/>
  <c r="X191" i="42"/>
  <c r="C191" i="42"/>
  <c r="B191" i="42"/>
  <c r="N190" i="42"/>
  <c r="G190" i="42"/>
  <c r="V190" i="42"/>
  <c r="X190" i="42"/>
  <c r="C190" i="42"/>
  <c r="B190" i="42"/>
  <c r="N189" i="42"/>
  <c r="G189" i="42"/>
  <c r="V189" i="42"/>
  <c r="X189" i="42"/>
  <c r="C189" i="42"/>
  <c r="B189" i="42"/>
  <c r="N188" i="42"/>
  <c r="G188" i="42"/>
  <c r="V188" i="42"/>
  <c r="X188" i="42"/>
  <c r="C188" i="42"/>
  <c r="B188" i="42"/>
  <c r="N187" i="42"/>
  <c r="G187" i="42"/>
  <c r="V187" i="42"/>
  <c r="X187" i="42"/>
  <c r="C187" i="42"/>
  <c r="B187" i="42"/>
  <c r="N186" i="42"/>
  <c r="G186" i="42"/>
  <c r="V186" i="42"/>
  <c r="X186" i="42"/>
  <c r="C186" i="42"/>
  <c r="B186" i="42"/>
  <c r="N185" i="42"/>
  <c r="G185" i="42"/>
  <c r="V185" i="42"/>
  <c r="X185" i="42"/>
  <c r="C185" i="42"/>
  <c r="B185" i="42"/>
  <c r="N184" i="42"/>
  <c r="G184" i="42"/>
  <c r="V184" i="42"/>
  <c r="X184" i="42"/>
  <c r="C184" i="42"/>
  <c r="B184" i="42"/>
  <c r="N183" i="42"/>
  <c r="G183" i="42"/>
  <c r="V183" i="42"/>
  <c r="X183" i="42"/>
  <c r="C183" i="42"/>
  <c r="B183" i="42"/>
  <c r="N182" i="42"/>
  <c r="G182" i="42"/>
  <c r="V182" i="42"/>
  <c r="X182" i="42"/>
  <c r="C182" i="42"/>
  <c r="B182" i="42"/>
  <c r="N181" i="42"/>
  <c r="G181" i="42"/>
  <c r="V181" i="42"/>
  <c r="X181" i="42"/>
  <c r="C181" i="42"/>
  <c r="B181" i="42"/>
  <c r="N180" i="42"/>
  <c r="G180" i="42"/>
  <c r="V180" i="42"/>
  <c r="X180" i="42"/>
  <c r="C180" i="42"/>
  <c r="B180" i="42"/>
  <c r="N179" i="42"/>
  <c r="G179" i="42"/>
  <c r="V179" i="42"/>
  <c r="X179" i="42"/>
  <c r="C179" i="42"/>
  <c r="B179" i="42"/>
  <c r="N178" i="42"/>
  <c r="G178" i="42"/>
  <c r="V178" i="42"/>
  <c r="X178" i="42"/>
  <c r="C178" i="42"/>
  <c r="B178" i="42"/>
  <c r="N177" i="42"/>
  <c r="G177" i="42"/>
  <c r="V177" i="42"/>
  <c r="X177" i="42"/>
  <c r="C177" i="42"/>
  <c r="B177" i="42"/>
  <c r="N176" i="42"/>
  <c r="G176" i="42"/>
  <c r="V176" i="42"/>
  <c r="X176" i="42"/>
  <c r="C176" i="42"/>
  <c r="B176" i="42"/>
  <c r="N175" i="42"/>
  <c r="G175" i="42"/>
  <c r="V175" i="42"/>
  <c r="X175" i="42"/>
  <c r="C175" i="42"/>
  <c r="B175" i="42"/>
  <c r="N174" i="42"/>
  <c r="G174" i="42"/>
  <c r="V174" i="42"/>
  <c r="X174" i="42"/>
  <c r="C174" i="42"/>
  <c r="B174" i="42"/>
  <c r="N173" i="42"/>
  <c r="G173" i="42"/>
  <c r="V173" i="42"/>
  <c r="X173" i="42"/>
  <c r="C173" i="42"/>
  <c r="B173" i="42"/>
  <c r="N172" i="42"/>
  <c r="G172" i="42"/>
  <c r="V172" i="42"/>
  <c r="X172" i="42"/>
  <c r="C172" i="42"/>
  <c r="B172" i="42"/>
  <c r="N171" i="42"/>
  <c r="G171" i="42"/>
  <c r="V171" i="42"/>
  <c r="X171" i="42"/>
  <c r="C171" i="42"/>
  <c r="B171" i="42"/>
  <c r="N170" i="42"/>
  <c r="G170" i="42"/>
  <c r="V170" i="42"/>
  <c r="X170" i="42"/>
  <c r="C170" i="42"/>
  <c r="B170" i="42"/>
  <c r="N169" i="42"/>
  <c r="G169" i="42"/>
  <c r="V169" i="42"/>
  <c r="X169" i="42"/>
  <c r="C169" i="42"/>
  <c r="B169" i="42"/>
  <c r="N168" i="42"/>
  <c r="G168" i="42"/>
  <c r="V168" i="42"/>
  <c r="X168" i="42"/>
  <c r="C168" i="42"/>
  <c r="B168" i="42"/>
  <c r="N167" i="42"/>
  <c r="G167" i="42"/>
  <c r="V167" i="42"/>
  <c r="X167" i="42"/>
  <c r="C167" i="42"/>
  <c r="B167" i="42"/>
  <c r="N166" i="42"/>
  <c r="G166" i="42"/>
  <c r="V166" i="42"/>
  <c r="X166" i="42"/>
  <c r="C166" i="42"/>
  <c r="B166" i="42"/>
  <c r="N165" i="42"/>
  <c r="G165" i="42"/>
  <c r="V165" i="42"/>
  <c r="X165" i="42"/>
  <c r="C165" i="42"/>
  <c r="B165" i="42"/>
  <c r="N164" i="42"/>
  <c r="G164" i="42"/>
  <c r="V164" i="42"/>
  <c r="X164" i="42"/>
  <c r="C164" i="42"/>
  <c r="B164" i="42"/>
  <c r="N163" i="42"/>
  <c r="G163" i="42"/>
  <c r="V163" i="42"/>
  <c r="X163" i="42"/>
  <c r="C163" i="42"/>
  <c r="B163" i="42"/>
  <c r="N162" i="42"/>
  <c r="G162" i="42"/>
  <c r="V162" i="42"/>
  <c r="X162" i="42"/>
  <c r="C162" i="42"/>
  <c r="B162" i="42"/>
  <c r="N161" i="42"/>
  <c r="G161" i="42"/>
  <c r="V161" i="42"/>
  <c r="X161" i="42"/>
  <c r="C161" i="42"/>
  <c r="B161" i="42"/>
  <c r="N160" i="42"/>
  <c r="G160" i="42"/>
  <c r="V160" i="42"/>
  <c r="X160" i="42"/>
  <c r="C160" i="42"/>
  <c r="B160" i="42"/>
  <c r="N159" i="42"/>
  <c r="G159" i="42"/>
  <c r="V159" i="42"/>
  <c r="X159" i="42"/>
  <c r="C159" i="42"/>
  <c r="B159" i="42"/>
  <c r="N158" i="42"/>
  <c r="G158" i="42"/>
  <c r="V158" i="42"/>
  <c r="X158" i="42"/>
  <c r="C158" i="42"/>
  <c r="B158" i="42"/>
  <c r="N157" i="42"/>
  <c r="G157" i="42"/>
  <c r="V157" i="42"/>
  <c r="X157" i="42"/>
  <c r="C157" i="42"/>
  <c r="B157" i="42"/>
  <c r="N156" i="42"/>
  <c r="G156" i="42"/>
  <c r="V156" i="42"/>
  <c r="X156" i="42"/>
  <c r="C156" i="42"/>
  <c r="B156" i="42"/>
  <c r="N155" i="42"/>
  <c r="G155" i="42"/>
  <c r="V155" i="42"/>
  <c r="X155" i="42"/>
  <c r="C155" i="42"/>
  <c r="B155" i="42"/>
  <c r="N154" i="42"/>
  <c r="G154" i="42"/>
  <c r="V154" i="42"/>
  <c r="X154" i="42"/>
  <c r="C154" i="42"/>
  <c r="B154" i="42"/>
  <c r="N153" i="42"/>
  <c r="G153" i="42"/>
  <c r="V153" i="42"/>
  <c r="X153" i="42"/>
  <c r="C153" i="42"/>
  <c r="B153" i="42"/>
  <c r="N152" i="42"/>
  <c r="G152" i="42"/>
  <c r="V152" i="42"/>
  <c r="X152" i="42"/>
  <c r="C152" i="42"/>
  <c r="B152" i="42"/>
  <c r="N151" i="42"/>
  <c r="G151" i="42"/>
  <c r="V151" i="42"/>
  <c r="X151" i="42"/>
  <c r="C151" i="42"/>
  <c r="B151" i="42"/>
  <c r="N150" i="42"/>
  <c r="G150" i="42"/>
  <c r="V150" i="42"/>
  <c r="X150" i="42"/>
  <c r="C150" i="42"/>
  <c r="B150" i="42"/>
  <c r="N149" i="42"/>
  <c r="G149" i="42"/>
  <c r="V149" i="42"/>
  <c r="X149" i="42"/>
  <c r="C149" i="42"/>
  <c r="B149" i="42"/>
  <c r="N148" i="42"/>
  <c r="G148" i="42"/>
  <c r="V148" i="42"/>
  <c r="X148" i="42"/>
  <c r="C148" i="42"/>
  <c r="B148" i="42"/>
  <c r="N147" i="42"/>
  <c r="G147" i="42"/>
  <c r="V147" i="42"/>
  <c r="X147" i="42"/>
  <c r="C147" i="42"/>
  <c r="B147" i="42"/>
  <c r="N146" i="42"/>
  <c r="G146" i="42"/>
  <c r="V146" i="42"/>
  <c r="X146" i="42"/>
  <c r="C146" i="42"/>
  <c r="B146" i="42"/>
  <c r="N145" i="42"/>
  <c r="G145" i="42"/>
  <c r="V145" i="42"/>
  <c r="X145" i="42"/>
  <c r="C145" i="42"/>
  <c r="B145" i="42"/>
  <c r="N144" i="42"/>
  <c r="G144" i="42"/>
  <c r="V144" i="42"/>
  <c r="X144" i="42"/>
  <c r="C144" i="42"/>
  <c r="B144" i="42"/>
  <c r="N143" i="42"/>
  <c r="G143" i="42"/>
  <c r="V143" i="42"/>
  <c r="X143" i="42"/>
  <c r="C143" i="42"/>
  <c r="B143" i="42"/>
  <c r="N142" i="42"/>
  <c r="G142" i="42"/>
  <c r="V142" i="42"/>
  <c r="X142" i="42"/>
  <c r="C142" i="42"/>
  <c r="B142" i="42"/>
  <c r="N141" i="42"/>
  <c r="G141" i="42"/>
  <c r="V141" i="42"/>
  <c r="X141" i="42"/>
  <c r="C141" i="42"/>
  <c r="B141" i="42"/>
  <c r="N140" i="42"/>
  <c r="G140" i="42"/>
  <c r="V140" i="42"/>
  <c r="X140" i="42"/>
  <c r="C140" i="42"/>
  <c r="B140" i="42"/>
  <c r="N139" i="42"/>
  <c r="G139" i="42"/>
  <c r="V139" i="42"/>
  <c r="X139" i="42"/>
  <c r="C139" i="42"/>
  <c r="B139" i="42"/>
  <c r="N138" i="42"/>
  <c r="G138" i="42"/>
  <c r="V138" i="42"/>
  <c r="X138" i="42"/>
  <c r="C138" i="42"/>
  <c r="B138" i="42"/>
  <c r="N137" i="42"/>
  <c r="G137" i="42"/>
  <c r="V137" i="42"/>
  <c r="X137" i="42"/>
  <c r="C137" i="42"/>
  <c r="B137" i="42"/>
  <c r="N136" i="42"/>
  <c r="G136" i="42"/>
  <c r="V136" i="42"/>
  <c r="X136" i="42"/>
  <c r="C136" i="42"/>
  <c r="B136" i="42"/>
  <c r="N135" i="42"/>
  <c r="G135" i="42"/>
  <c r="V135" i="42"/>
  <c r="X135" i="42"/>
  <c r="C135" i="42"/>
  <c r="B135" i="42"/>
  <c r="N134" i="42"/>
  <c r="G134" i="42"/>
  <c r="V134" i="42"/>
  <c r="X134" i="42"/>
  <c r="C134" i="42"/>
  <c r="B134" i="42"/>
  <c r="N133" i="42"/>
  <c r="G133" i="42"/>
  <c r="V133" i="42"/>
  <c r="X133" i="42"/>
  <c r="C133" i="42"/>
  <c r="B133" i="42"/>
  <c r="N132" i="42"/>
  <c r="G132" i="42"/>
  <c r="V132" i="42"/>
  <c r="X132" i="42"/>
  <c r="C132" i="42"/>
  <c r="B132" i="42"/>
  <c r="N131" i="42"/>
  <c r="G131" i="42"/>
  <c r="V131" i="42"/>
  <c r="X131" i="42"/>
  <c r="C131" i="42"/>
  <c r="B131" i="42"/>
  <c r="N130" i="42"/>
  <c r="G130" i="42"/>
  <c r="V130" i="42"/>
  <c r="X130" i="42"/>
  <c r="C130" i="42"/>
  <c r="B130" i="42"/>
  <c r="N129" i="42"/>
  <c r="G129" i="42"/>
  <c r="V129" i="42"/>
  <c r="X129" i="42"/>
  <c r="C129" i="42"/>
  <c r="B129" i="42"/>
  <c r="N128" i="42"/>
  <c r="G128" i="42"/>
  <c r="V128" i="42"/>
  <c r="X128" i="42"/>
  <c r="C128" i="42"/>
  <c r="B128" i="42"/>
  <c r="N127" i="42"/>
  <c r="G127" i="42"/>
  <c r="V127" i="42"/>
  <c r="X127" i="42"/>
  <c r="C127" i="42"/>
  <c r="B127" i="42"/>
  <c r="N126" i="42"/>
  <c r="G126" i="42"/>
  <c r="V126" i="42"/>
  <c r="X126" i="42"/>
  <c r="C126" i="42"/>
  <c r="B126" i="42"/>
  <c r="N125" i="42"/>
  <c r="G125" i="42"/>
  <c r="V125" i="42"/>
  <c r="X125" i="42"/>
  <c r="C125" i="42"/>
  <c r="B125" i="42"/>
  <c r="N124" i="42"/>
  <c r="G124" i="42"/>
  <c r="V124" i="42"/>
  <c r="X124" i="42"/>
  <c r="C124" i="42"/>
  <c r="B124" i="42"/>
  <c r="N123" i="42"/>
  <c r="G123" i="42"/>
  <c r="V123" i="42"/>
  <c r="X123" i="42"/>
  <c r="C123" i="42"/>
  <c r="B123" i="42"/>
  <c r="N122" i="42"/>
  <c r="G122" i="42"/>
  <c r="V122" i="42"/>
  <c r="X122" i="42"/>
  <c r="C122" i="42"/>
  <c r="B122" i="42"/>
  <c r="N121" i="42"/>
  <c r="G121" i="42"/>
  <c r="V121" i="42"/>
  <c r="X121" i="42"/>
  <c r="C121" i="42"/>
  <c r="B121" i="42"/>
  <c r="N120" i="42"/>
  <c r="G120" i="42"/>
  <c r="V120" i="42"/>
  <c r="X120" i="42"/>
  <c r="C120" i="42"/>
  <c r="B120" i="42"/>
  <c r="N119" i="42"/>
  <c r="G119" i="42"/>
  <c r="V119" i="42"/>
  <c r="X119" i="42"/>
  <c r="C119" i="42"/>
  <c r="B119" i="42"/>
  <c r="N118" i="42"/>
  <c r="G118" i="42"/>
  <c r="V118" i="42"/>
  <c r="X118" i="42"/>
  <c r="C118" i="42"/>
  <c r="B118" i="42"/>
  <c r="N117" i="42"/>
  <c r="G117" i="42"/>
  <c r="V117" i="42"/>
  <c r="X117" i="42"/>
  <c r="C117" i="42"/>
  <c r="B117" i="42"/>
  <c r="N116" i="42"/>
  <c r="G116" i="42"/>
  <c r="V116" i="42"/>
  <c r="X116" i="42"/>
  <c r="C116" i="42"/>
  <c r="B116" i="42"/>
  <c r="N115" i="42"/>
  <c r="G115" i="42"/>
  <c r="V115" i="42"/>
  <c r="X115" i="42"/>
  <c r="C115" i="42"/>
  <c r="B115" i="42"/>
  <c r="N114" i="42"/>
  <c r="G114" i="42"/>
  <c r="V114" i="42"/>
  <c r="X114" i="42"/>
  <c r="C114" i="42"/>
  <c r="B114" i="42"/>
  <c r="N113" i="42"/>
  <c r="G113" i="42"/>
  <c r="V113" i="42"/>
  <c r="X113" i="42"/>
  <c r="C113" i="42"/>
  <c r="B113" i="42"/>
  <c r="N112" i="42"/>
  <c r="G112" i="42"/>
  <c r="V112" i="42"/>
  <c r="X112" i="42"/>
  <c r="C112" i="42"/>
  <c r="B112" i="42"/>
  <c r="N111" i="42"/>
  <c r="G111" i="42"/>
  <c r="V111" i="42"/>
  <c r="X111" i="42"/>
  <c r="C111" i="42"/>
  <c r="B111" i="42"/>
  <c r="N110" i="42"/>
  <c r="G110" i="42"/>
  <c r="V110" i="42"/>
  <c r="X110" i="42"/>
  <c r="C110" i="42"/>
  <c r="B110" i="42"/>
  <c r="N109" i="42"/>
  <c r="G109" i="42"/>
  <c r="V109" i="42"/>
  <c r="X109" i="42"/>
  <c r="C109" i="42"/>
  <c r="B109" i="42"/>
  <c r="N108" i="42"/>
  <c r="G108" i="42"/>
  <c r="V108" i="42"/>
  <c r="X108" i="42"/>
  <c r="C108" i="42"/>
  <c r="B108" i="42"/>
  <c r="N107" i="42"/>
  <c r="G107" i="42"/>
  <c r="V107" i="42"/>
  <c r="X107" i="42"/>
  <c r="C107" i="42"/>
  <c r="B107" i="42"/>
  <c r="N106" i="42"/>
  <c r="G106" i="42"/>
  <c r="V106" i="42"/>
  <c r="X106" i="42"/>
  <c r="C106" i="42"/>
  <c r="B106" i="42"/>
  <c r="N105" i="42"/>
  <c r="G105" i="42"/>
  <c r="V105" i="42"/>
  <c r="X105" i="42"/>
  <c r="C105" i="42"/>
  <c r="B105" i="42"/>
  <c r="N104" i="42"/>
  <c r="G104" i="42"/>
  <c r="V104" i="42"/>
  <c r="X104" i="42"/>
  <c r="C104" i="42"/>
  <c r="B104" i="42"/>
  <c r="N103" i="42"/>
  <c r="G103" i="42"/>
  <c r="V103" i="42"/>
  <c r="X103" i="42"/>
  <c r="C103" i="42"/>
  <c r="B103" i="42"/>
  <c r="N102" i="42"/>
  <c r="G102" i="42"/>
  <c r="V102" i="42"/>
  <c r="X102" i="42"/>
  <c r="C102" i="42"/>
  <c r="B102" i="42"/>
  <c r="N101" i="42"/>
  <c r="G101" i="42"/>
  <c r="V101" i="42"/>
  <c r="X101" i="42"/>
  <c r="C101" i="42"/>
  <c r="B101" i="42"/>
  <c r="N100" i="42"/>
  <c r="G100" i="42"/>
  <c r="V100" i="42"/>
  <c r="X100" i="42"/>
  <c r="C100" i="42"/>
  <c r="B100" i="42"/>
  <c r="N99" i="42"/>
  <c r="G99" i="42"/>
  <c r="V99" i="42"/>
  <c r="X99" i="42"/>
  <c r="C99" i="42"/>
  <c r="B99" i="42"/>
  <c r="N98" i="42"/>
  <c r="G98" i="42"/>
  <c r="V98" i="42"/>
  <c r="X98" i="42"/>
  <c r="C98" i="42"/>
  <c r="B98" i="42"/>
  <c r="N97" i="42"/>
  <c r="G97" i="42"/>
  <c r="V97" i="42"/>
  <c r="X97" i="42"/>
  <c r="C97" i="42"/>
  <c r="B97" i="42"/>
  <c r="N96" i="42"/>
  <c r="G96" i="42"/>
  <c r="V96" i="42"/>
  <c r="X96" i="42"/>
  <c r="C96" i="42"/>
  <c r="B96" i="42"/>
  <c r="N95" i="42"/>
  <c r="G95" i="42"/>
  <c r="V95" i="42"/>
  <c r="X95" i="42"/>
  <c r="C95" i="42"/>
  <c r="B95" i="42"/>
  <c r="N94" i="42"/>
  <c r="G94" i="42"/>
  <c r="V94" i="42"/>
  <c r="X94" i="42"/>
  <c r="C94" i="42"/>
  <c r="B94" i="42"/>
  <c r="N93" i="42"/>
  <c r="G93" i="42"/>
  <c r="V93" i="42"/>
  <c r="X93" i="42"/>
  <c r="C93" i="42"/>
  <c r="B93" i="42"/>
  <c r="N92" i="42"/>
  <c r="G92" i="42"/>
  <c r="V92" i="42"/>
  <c r="X92" i="42"/>
  <c r="C92" i="42"/>
  <c r="B92" i="42"/>
  <c r="N91" i="42"/>
  <c r="G91" i="42"/>
  <c r="V91" i="42"/>
  <c r="X91" i="42"/>
  <c r="C91" i="42"/>
  <c r="B91" i="42"/>
  <c r="N90" i="42"/>
  <c r="G90" i="42"/>
  <c r="V90" i="42"/>
  <c r="X90" i="42"/>
  <c r="C90" i="42"/>
  <c r="B90" i="42"/>
  <c r="N89" i="42"/>
  <c r="G89" i="42"/>
  <c r="V89" i="42"/>
  <c r="X89" i="42"/>
  <c r="C89" i="42"/>
  <c r="B89" i="42"/>
  <c r="N88" i="42"/>
  <c r="G88" i="42"/>
  <c r="V88" i="42"/>
  <c r="X88" i="42"/>
  <c r="C88" i="42"/>
  <c r="B88" i="42"/>
  <c r="N87" i="42"/>
  <c r="G87" i="42"/>
  <c r="V87" i="42"/>
  <c r="X87" i="42"/>
  <c r="C87" i="42"/>
  <c r="B87" i="42"/>
  <c r="N86" i="42"/>
  <c r="G86" i="42"/>
  <c r="V86" i="42"/>
  <c r="X86" i="42"/>
  <c r="C86" i="42"/>
  <c r="B86" i="42"/>
  <c r="N85" i="42"/>
  <c r="G85" i="42"/>
  <c r="V85" i="42"/>
  <c r="X85" i="42"/>
  <c r="C85" i="42"/>
  <c r="B85" i="42"/>
  <c r="N84" i="42"/>
  <c r="G84" i="42"/>
  <c r="V84" i="42"/>
  <c r="X84" i="42"/>
  <c r="C84" i="42"/>
  <c r="B84" i="42"/>
  <c r="N83" i="42"/>
  <c r="G83" i="42"/>
  <c r="V83" i="42"/>
  <c r="X83" i="42"/>
  <c r="C83" i="42"/>
  <c r="B83" i="42"/>
  <c r="N82" i="42"/>
  <c r="G82" i="42"/>
  <c r="V82" i="42"/>
  <c r="X82" i="42"/>
  <c r="C82" i="42"/>
  <c r="B82" i="42"/>
  <c r="N81" i="42"/>
  <c r="G81" i="42"/>
  <c r="V81" i="42"/>
  <c r="X81" i="42"/>
  <c r="C81" i="42"/>
  <c r="B81" i="42"/>
  <c r="N80" i="42"/>
  <c r="G80" i="42"/>
  <c r="V80" i="42"/>
  <c r="X80" i="42"/>
  <c r="C80" i="42"/>
  <c r="B80" i="42"/>
  <c r="N79" i="42"/>
  <c r="G79" i="42"/>
  <c r="V79" i="42"/>
  <c r="X79" i="42"/>
  <c r="C79" i="42"/>
  <c r="B79" i="42"/>
  <c r="N78" i="42"/>
  <c r="G78" i="42"/>
  <c r="V78" i="42"/>
  <c r="X78" i="42"/>
  <c r="C78" i="42"/>
  <c r="B78" i="42"/>
  <c r="N77" i="42"/>
  <c r="G77" i="42"/>
  <c r="V77" i="42"/>
  <c r="X77" i="42"/>
  <c r="C77" i="42"/>
  <c r="B77" i="42"/>
  <c r="N76" i="42"/>
  <c r="G76" i="42"/>
  <c r="V76" i="42"/>
  <c r="X76" i="42"/>
  <c r="C76" i="42"/>
  <c r="B76" i="42"/>
  <c r="G211" i="35"/>
  <c r="I211" i="35"/>
  <c r="J211" i="35"/>
  <c r="K211" i="35"/>
  <c r="W76" i="40"/>
  <c r="X515" i="40"/>
  <c r="G395" i="35"/>
  <c r="I395" i="35"/>
  <c r="J395" i="35"/>
  <c r="K395" i="35"/>
  <c r="X514" i="40"/>
  <c r="G504" i="35"/>
  <c r="I504" i="35"/>
  <c r="J504" i="35"/>
  <c r="K504" i="35"/>
  <c r="X513" i="40"/>
  <c r="G475" i="35"/>
  <c r="I475" i="35"/>
  <c r="J475" i="35"/>
  <c r="K475" i="35"/>
  <c r="X512" i="40"/>
  <c r="G490" i="35"/>
  <c r="I490" i="35"/>
  <c r="J490" i="35"/>
  <c r="K490" i="35"/>
  <c r="X511" i="40"/>
  <c r="G524" i="35"/>
  <c r="I524" i="35"/>
  <c r="J524" i="35"/>
  <c r="K524" i="35"/>
  <c r="X510" i="40"/>
  <c r="G553" i="35"/>
  <c r="I553" i="35"/>
  <c r="J553" i="35"/>
  <c r="K553" i="35"/>
  <c r="X509" i="40"/>
  <c r="G519" i="35"/>
  <c r="I519" i="35"/>
  <c r="J519" i="35"/>
  <c r="K519" i="35"/>
  <c r="X508" i="40"/>
  <c r="G399" i="35"/>
  <c r="I399" i="35"/>
  <c r="J399" i="35"/>
  <c r="K399" i="35"/>
  <c r="X507" i="40"/>
  <c r="G529" i="35"/>
  <c r="I529" i="35"/>
  <c r="J529" i="35"/>
  <c r="K529" i="35"/>
  <c r="X506" i="40"/>
  <c r="G468" i="35"/>
  <c r="I468" i="35"/>
  <c r="J468" i="35"/>
  <c r="K468" i="35"/>
  <c r="X505" i="40"/>
  <c r="G510" i="35"/>
  <c r="I510" i="35"/>
  <c r="J510" i="35"/>
  <c r="K510" i="35"/>
  <c r="X504" i="40"/>
  <c r="G493" i="35"/>
  <c r="I493" i="35"/>
  <c r="J493" i="35"/>
  <c r="K493" i="35"/>
  <c r="X503" i="40"/>
  <c r="G472" i="35"/>
  <c r="I472" i="35"/>
  <c r="J472" i="35"/>
  <c r="K472" i="35"/>
  <c r="X502" i="40"/>
  <c r="G413" i="35"/>
  <c r="I413" i="35"/>
  <c r="J413" i="35"/>
  <c r="K413" i="35"/>
  <c r="X501" i="40"/>
  <c r="G502" i="35"/>
  <c r="I502" i="35"/>
  <c r="J502" i="35"/>
  <c r="K502" i="35"/>
  <c r="X500" i="40"/>
  <c r="G561" i="35"/>
  <c r="I561" i="35"/>
  <c r="J561" i="35"/>
  <c r="K561" i="35"/>
  <c r="X499" i="40"/>
  <c r="G489" i="35"/>
  <c r="I489" i="35"/>
  <c r="J489" i="35"/>
  <c r="K489" i="35"/>
  <c r="X498" i="40"/>
  <c r="G380" i="35"/>
  <c r="I380" i="35"/>
  <c r="J380" i="35"/>
  <c r="K380" i="35"/>
  <c r="X497" i="40"/>
  <c r="G526" i="35"/>
  <c r="I526" i="35"/>
  <c r="J526" i="35"/>
  <c r="K526" i="35"/>
  <c r="X496" i="40"/>
  <c r="G369" i="35"/>
  <c r="I369" i="35"/>
  <c r="J369" i="35"/>
  <c r="K369" i="35"/>
  <c r="X495" i="40"/>
  <c r="G387" i="35"/>
  <c r="I387" i="35"/>
  <c r="J387" i="35"/>
  <c r="K387" i="35"/>
  <c r="X494" i="40"/>
  <c r="G564" i="35"/>
  <c r="I564" i="35"/>
  <c r="J564" i="35"/>
  <c r="K564" i="35"/>
  <c r="X493" i="40"/>
  <c r="G345" i="35"/>
  <c r="I345" i="35"/>
  <c r="J345" i="35"/>
  <c r="K345" i="35"/>
  <c r="X492" i="40"/>
  <c r="G562" i="35"/>
  <c r="I562" i="35"/>
  <c r="J562" i="35"/>
  <c r="K562" i="35"/>
  <c r="X491" i="40"/>
  <c r="G508" i="35"/>
  <c r="I508" i="35"/>
  <c r="J508" i="35"/>
  <c r="K508" i="35"/>
  <c r="X490" i="40"/>
  <c r="G479" i="35"/>
  <c r="I479" i="35"/>
  <c r="J479" i="35"/>
  <c r="K479" i="35"/>
  <c r="X489" i="40"/>
  <c r="G491" i="35"/>
  <c r="I491" i="35"/>
  <c r="J491" i="35"/>
  <c r="K491" i="35"/>
  <c r="X488" i="40"/>
  <c r="X487" i="40"/>
  <c r="G391" i="35"/>
  <c r="I391" i="35"/>
  <c r="J391" i="35"/>
  <c r="K391" i="35"/>
  <c r="X486" i="40"/>
  <c r="G473" i="35"/>
  <c r="I473" i="35"/>
  <c r="J473" i="35"/>
  <c r="K473" i="35"/>
  <c r="X485" i="40"/>
  <c r="G547" i="35"/>
  <c r="I547" i="35"/>
  <c r="J547" i="35"/>
  <c r="K547" i="35"/>
  <c r="X484" i="40"/>
  <c r="G540" i="35"/>
  <c r="I540" i="35"/>
  <c r="J540" i="35"/>
  <c r="K540" i="35"/>
  <c r="X483" i="40"/>
  <c r="G537" i="35"/>
  <c r="I537" i="35"/>
  <c r="J537" i="35"/>
  <c r="K537" i="35"/>
  <c r="X482" i="40"/>
  <c r="G496" i="35"/>
  <c r="I496" i="35"/>
  <c r="J496" i="35"/>
  <c r="K496" i="35"/>
  <c r="X481" i="40"/>
  <c r="X480" i="40"/>
  <c r="G532" i="35"/>
  <c r="I532" i="35"/>
  <c r="J532" i="35"/>
  <c r="K532" i="35"/>
  <c r="X479" i="40"/>
  <c r="X478" i="40"/>
  <c r="G551" i="35"/>
  <c r="I551" i="35"/>
  <c r="J551" i="35"/>
  <c r="K551" i="35"/>
  <c r="X477" i="40"/>
  <c r="G349" i="35"/>
  <c r="I349" i="35"/>
  <c r="J349" i="35"/>
  <c r="K349" i="35"/>
  <c r="X476" i="40"/>
  <c r="G528" i="35"/>
  <c r="I528" i="35"/>
  <c r="J528" i="35"/>
  <c r="K528" i="35"/>
  <c r="X475" i="40"/>
  <c r="G505" i="35"/>
  <c r="I505" i="35"/>
  <c r="J505" i="35"/>
  <c r="K505" i="35"/>
  <c r="X474" i="40"/>
  <c r="G571" i="35"/>
  <c r="I571" i="35"/>
  <c r="J571" i="35"/>
  <c r="K571" i="35"/>
  <c r="X473" i="40"/>
  <c r="X472" i="40"/>
  <c r="G431" i="35"/>
  <c r="I431" i="35"/>
  <c r="J431" i="35"/>
  <c r="K431" i="35"/>
  <c r="X471" i="40"/>
  <c r="G352" i="35"/>
  <c r="I352" i="35"/>
  <c r="J352" i="35"/>
  <c r="K352" i="35"/>
  <c r="X470" i="40"/>
  <c r="G555" i="35"/>
  <c r="I555" i="35"/>
  <c r="J555" i="35"/>
  <c r="K555" i="35"/>
  <c r="X469" i="40"/>
  <c r="X468" i="40"/>
  <c r="X467" i="40"/>
  <c r="G498" i="35"/>
  <c r="I498" i="35"/>
  <c r="J498" i="35"/>
  <c r="K498" i="35"/>
  <c r="X466" i="40"/>
  <c r="G372" i="35"/>
  <c r="I372" i="35"/>
  <c r="J372" i="35"/>
  <c r="K372" i="35"/>
  <c r="X465" i="40"/>
  <c r="G642" i="35"/>
  <c r="I642" i="35"/>
  <c r="J642" i="35"/>
  <c r="K642" i="35"/>
  <c r="X464" i="40"/>
  <c r="X463" i="40"/>
  <c r="X462" i="40"/>
  <c r="G404" i="35"/>
  <c r="I404" i="35"/>
  <c r="J404" i="35"/>
  <c r="K404" i="35"/>
  <c r="X461" i="40"/>
  <c r="G424" i="35"/>
  <c r="I424" i="35"/>
  <c r="J424" i="35"/>
  <c r="K424" i="35"/>
  <c r="X460" i="40"/>
  <c r="G374" i="35"/>
  <c r="I374" i="35"/>
  <c r="J374" i="35"/>
  <c r="K374" i="35"/>
  <c r="X459" i="40"/>
  <c r="G403" i="35"/>
  <c r="I403" i="35"/>
  <c r="J403" i="35"/>
  <c r="K403" i="35"/>
  <c r="X458" i="40"/>
  <c r="G457" i="35"/>
  <c r="I457" i="35"/>
  <c r="J457" i="35"/>
  <c r="K457" i="35"/>
  <c r="X457" i="40"/>
  <c r="G426" i="35"/>
  <c r="I426" i="35"/>
  <c r="J426" i="35"/>
  <c r="K426" i="35"/>
  <c r="X456" i="40"/>
  <c r="G437" i="35"/>
  <c r="I437" i="35"/>
  <c r="J437" i="35"/>
  <c r="K437" i="35"/>
  <c r="X455" i="40"/>
  <c r="X454" i="40"/>
  <c r="G389" i="35"/>
  <c r="I389" i="35"/>
  <c r="J389" i="35"/>
  <c r="K389" i="35"/>
  <c r="X453" i="40"/>
  <c r="X452" i="40"/>
  <c r="G675" i="35"/>
  <c r="I675" i="35"/>
  <c r="J675" i="35"/>
  <c r="K675" i="35"/>
  <c r="X451" i="40"/>
  <c r="G485" i="35"/>
  <c r="I485" i="35"/>
  <c r="J485" i="35"/>
  <c r="K485" i="35"/>
  <c r="X450" i="40"/>
  <c r="G444" i="35"/>
  <c r="I444" i="35"/>
  <c r="J444" i="35"/>
  <c r="K444" i="35"/>
  <c r="X449" i="40"/>
  <c r="G514" i="35"/>
  <c r="I514" i="35"/>
  <c r="J514" i="35"/>
  <c r="K514" i="35"/>
  <c r="X448" i="40"/>
  <c r="G500" i="35"/>
  <c r="I500" i="35"/>
  <c r="J500" i="35"/>
  <c r="K500" i="35"/>
  <c r="X447" i="40"/>
  <c r="X446" i="40"/>
  <c r="X445" i="40"/>
  <c r="G525" i="35"/>
  <c r="I525" i="35"/>
  <c r="J525" i="35"/>
  <c r="K525" i="35"/>
  <c r="X444" i="40"/>
  <c r="G456" i="35"/>
  <c r="I456" i="35"/>
  <c r="J456" i="35"/>
  <c r="K456" i="35"/>
  <c r="X443" i="40"/>
  <c r="G393" i="35"/>
  <c r="I393" i="35"/>
  <c r="J393" i="35"/>
  <c r="K393" i="35"/>
  <c r="X442" i="40"/>
  <c r="G415" i="35"/>
  <c r="I415" i="35"/>
  <c r="J415" i="35"/>
  <c r="K415" i="35"/>
  <c r="X441" i="40"/>
  <c r="G476" i="35"/>
  <c r="I476" i="35"/>
  <c r="J476" i="35"/>
  <c r="K476" i="35"/>
  <c r="X440" i="40"/>
  <c r="G417" i="35"/>
  <c r="I417" i="35"/>
  <c r="J417" i="35"/>
  <c r="K417" i="35"/>
  <c r="X439" i="40"/>
  <c r="G363" i="35"/>
  <c r="I363" i="35"/>
  <c r="J363" i="35"/>
  <c r="K363" i="35"/>
  <c r="X438" i="40"/>
  <c r="X437" i="40"/>
  <c r="X436" i="40"/>
  <c r="G563" i="35"/>
  <c r="I563" i="35"/>
  <c r="J563" i="35"/>
  <c r="K563" i="35"/>
  <c r="X435" i="40"/>
  <c r="G559" i="35"/>
  <c r="I559" i="35"/>
  <c r="J559" i="35"/>
  <c r="K559" i="35"/>
  <c r="X434" i="40"/>
  <c r="G365" i="35"/>
  <c r="I365" i="35"/>
  <c r="J365" i="35"/>
  <c r="K365" i="35"/>
  <c r="X433" i="40"/>
  <c r="G495" i="35"/>
  <c r="I495" i="35"/>
  <c r="J495" i="35"/>
  <c r="K495" i="35"/>
  <c r="X432" i="40"/>
  <c r="G377" i="35"/>
  <c r="I377" i="35"/>
  <c r="J377" i="35"/>
  <c r="K377" i="35"/>
  <c r="X431" i="40"/>
  <c r="G379" i="35"/>
  <c r="I379" i="35"/>
  <c r="J379" i="35"/>
  <c r="K379" i="35"/>
  <c r="X430" i="40"/>
  <c r="G512" i="35"/>
  <c r="I512" i="35"/>
  <c r="J512" i="35"/>
  <c r="K512" i="35"/>
  <c r="X429" i="40"/>
  <c r="X428" i="40"/>
  <c r="X427" i="40"/>
  <c r="G359" i="35"/>
  <c r="I359" i="35"/>
  <c r="J359" i="35"/>
  <c r="K359" i="35"/>
  <c r="X426" i="40"/>
  <c r="G362" i="35"/>
  <c r="I362" i="35"/>
  <c r="J362" i="35"/>
  <c r="K362" i="35"/>
  <c r="X425" i="40"/>
  <c r="G371" i="35"/>
  <c r="I371" i="35"/>
  <c r="J371" i="35"/>
  <c r="K371" i="35"/>
  <c r="X424" i="40"/>
  <c r="J406" i="35"/>
  <c r="K406" i="35"/>
  <c r="X423" i="40"/>
  <c r="G383" i="35"/>
  <c r="I383" i="35"/>
  <c r="J383" i="35"/>
  <c r="K383" i="35"/>
  <c r="X422" i="40"/>
  <c r="X421" i="40"/>
  <c r="G356" i="35"/>
  <c r="I356" i="35"/>
  <c r="J356" i="35"/>
  <c r="K356" i="35"/>
  <c r="X420" i="40"/>
  <c r="G459" i="35"/>
  <c r="I459" i="35"/>
  <c r="J459" i="35"/>
  <c r="K459" i="35"/>
  <c r="X419" i="40"/>
  <c r="G411" i="35"/>
  <c r="I411" i="35"/>
  <c r="J411" i="35"/>
  <c r="K411" i="35"/>
  <c r="X418" i="40"/>
  <c r="G448" i="35"/>
  <c r="I448" i="35"/>
  <c r="J448" i="35"/>
  <c r="K448" i="35"/>
  <c r="X417" i="40"/>
  <c r="X416" i="40"/>
  <c r="X415" i="40"/>
  <c r="G445" i="35"/>
  <c r="I445" i="35"/>
  <c r="J445" i="35"/>
  <c r="K445" i="35"/>
  <c r="X414" i="40"/>
  <c r="G350" i="35"/>
  <c r="I350" i="35"/>
  <c r="J350" i="35"/>
  <c r="K350" i="35"/>
  <c r="X413" i="40"/>
  <c r="X412" i="40"/>
  <c r="G503" i="35"/>
  <c r="I503" i="35"/>
  <c r="J503" i="35"/>
  <c r="K503" i="35"/>
  <c r="X411" i="40"/>
  <c r="G530" i="35"/>
  <c r="I530" i="35"/>
  <c r="J530" i="35"/>
  <c r="K530" i="35"/>
  <c r="X410" i="40"/>
  <c r="G396" i="35"/>
  <c r="I396" i="35"/>
  <c r="J396" i="35"/>
  <c r="K396" i="35"/>
  <c r="X409" i="40"/>
  <c r="G425" i="35"/>
  <c r="I425" i="35"/>
  <c r="J425" i="35"/>
  <c r="K425" i="35"/>
  <c r="X408" i="40"/>
  <c r="X407" i="40"/>
  <c r="G390" i="35"/>
  <c r="I390" i="35"/>
  <c r="J390" i="35"/>
  <c r="K390" i="35"/>
  <c r="X406" i="40"/>
  <c r="G501" i="35"/>
  <c r="I501" i="35"/>
  <c r="J501" i="35"/>
  <c r="K501" i="35"/>
  <c r="X405" i="40"/>
  <c r="G420" i="35"/>
  <c r="I420" i="35"/>
  <c r="J420" i="35"/>
  <c r="K420" i="35"/>
  <c r="X404" i="40"/>
  <c r="G370" i="35"/>
  <c r="I370" i="35"/>
  <c r="J370" i="35"/>
  <c r="K370" i="35"/>
  <c r="X403" i="40"/>
  <c r="X402" i="40"/>
  <c r="G521" i="35"/>
  <c r="I521" i="35"/>
  <c r="J521" i="35"/>
  <c r="K521" i="35"/>
  <c r="X401" i="40"/>
  <c r="G375" i="35"/>
  <c r="I375" i="35"/>
  <c r="J375" i="35"/>
  <c r="K375" i="35"/>
  <c r="X400" i="40"/>
  <c r="G442" i="35"/>
  <c r="I442" i="35"/>
  <c r="J442" i="35"/>
  <c r="K442" i="35"/>
  <c r="X399" i="40"/>
  <c r="G554" i="35"/>
  <c r="I554" i="35"/>
  <c r="J554" i="35"/>
  <c r="K554" i="35"/>
  <c r="X398" i="40"/>
  <c r="G567" i="35"/>
  <c r="I567" i="35"/>
  <c r="J567" i="35"/>
  <c r="K567" i="35"/>
  <c r="X397" i="40"/>
  <c r="G394" i="35"/>
  <c r="I394" i="35"/>
  <c r="J394" i="35"/>
  <c r="K394" i="35"/>
  <c r="X396" i="40"/>
  <c r="G506" i="35"/>
  <c r="I506" i="35"/>
  <c r="J506" i="35"/>
  <c r="K506" i="35"/>
  <c r="X395" i="40"/>
  <c r="X394" i="40"/>
  <c r="G560" i="35"/>
  <c r="I560" i="35"/>
  <c r="J560" i="35"/>
  <c r="K560" i="35"/>
  <c r="X393" i="40"/>
  <c r="X392" i="40"/>
  <c r="G552" i="35"/>
  <c r="I552" i="35"/>
  <c r="J552" i="35"/>
  <c r="K552" i="35"/>
  <c r="X391" i="40"/>
  <c r="G386" i="35"/>
  <c r="I386" i="35"/>
  <c r="J386" i="35"/>
  <c r="K386" i="35"/>
  <c r="X390" i="40"/>
  <c r="X389" i="40"/>
  <c r="G339" i="35"/>
  <c r="I339" i="35"/>
  <c r="J339" i="35"/>
  <c r="K339" i="35"/>
  <c r="X388" i="40"/>
  <c r="G487" i="35"/>
  <c r="I487" i="35"/>
  <c r="J487" i="35"/>
  <c r="K487" i="35"/>
  <c r="X387" i="40"/>
  <c r="G520" i="35"/>
  <c r="I520" i="35"/>
  <c r="J520" i="35"/>
  <c r="K520" i="35"/>
  <c r="X386" i="40"/>
  <c r="X385" i="40"/>
  <c r="X384" i="40"/>
  <c r="G364" i="35"/>
  <c r="I364" i="35"/>
  <c r="J364" i="35"/>
  <c r="K364" i="35"/>
  <c r="X383" i="40"/>
  <c r="G409" i="35"/>
  <c r="I409" i="35"/>
  <c r="J409" i="35"/>
  <c r="K409" i="35"/>
  <c r="X382" i="40"/>
  <c r="X381" i="40"/>
  <c r="X380" i="40"/>
  <c r="G572" i="35"/>
  <c r="I572" i="35"/>
  <c r="J572" i="35"/>
  <c r="K572" i="35"/>
  <c r="X379" i="40"/>
  <c r="G482" i="35"/>
  <c r="I482" i="35"/>
  <c r="J482" i="35"/>
  <c r="K482" i="35"/>
  <c r="X378" i="40"/>
  <c r="G478" i="35"/>
  <c r="I478" i="35"/>
  <c r="J478" i="35"/>
  <c r="K478" i="35"/>
  <c r="X377" i="40"/>
  <c r="G443" i="35"/>
  <c r="I443" i="35"/>
  <c r="J443" i="35"/>
  <c r="K443" i="35"/>
  <c r="X376" i="40"/>
  <c r="G488" i="35"/>
  <c r="I488" i="35"/>
  <c r="J488" i="35"/>
  <c r="K488" i="35"/>
  <c r="X375" i="40"/>
  <c r="G477" i="35"/>
  <c r="I477" i="35"/>
  <c r="J477" i="35"/>
  <c r="K477" i="35"/>
  <c r="X374" i="40"/>
  <c r="G446" i="35"/>
  <c r="I446" i="35"/>
  <c r="J446" i="35"/>
  <c r="K446" i="35"/>
  <c r="X373" i="40"/>
  <c r="X372" i="40"/>
  <c r="G423" i="35"/>
  <c r="I423" i="35"/>
  <c r="J423" i="35"/>
  <c r="K423" i="35"/>
  <c r="X371" i="40"/>
  <c r="G518" i="35"/>
  <c r="I518" i="35"/>
  <c r="J518" i="35"/>
  <c r="K518" i="35"/>
  <c r="X370" i="40"/>
  <c r="G407" i="35"/>
  <c r="I407" i="35"/>
  <c r="J407" i="35"/>
  <c r="K407" i="35"/>
  <c r="X369" i="40"/>
  <c r="X368" i="40"/>
  <c r="G360" i="35"/>
  <c r="I360" i="35"/>
  <c r="J360" i="35"/>
  <c r="K360" i="35"/>
  <c r="X367" i="40"/>
  <c r="G367" i="35"/>
  <c r="I367" i="35"/>
  <c r="J367" i="35"/>
  <c r="K367" i="35"/>
  <c r="X366" i="40"/>
  <c r="G402" i="35"/>
  <c r="I402" i="35"/>
  <c r="J402" i="35"/>
  <c r="K402" i="35"/>
  <c r="X365" i="40"/>
  <c r="G351" i="35"/>
  <c r="I351" i="35"/>
  <c r="J351" i="35"/>
  <c r="K351" i="35"/>
  <c r="X364" i="40"/>
  <c r="G366" i="35"/>
  <c r="I366" i="35"/>
  <c r="J366" i="35"/>
  <c r="K366" i="35"/>
  <c r="X363" i="40"/>
  <c r="X362" i="40"/>
  <c r="G499" i="35"/>
  <c r="I499" i="35"/>
  <c r="J499" i="35"/>
  <c r="K499" i="35"/>
  <c r="X361" i="40"/>
  <c r="X360" i="40"/>
  <c r="G388" i="35"/>
  <c r="I388" i="35"/>
  <c r="J388" i="35"/>
  <c r="K388" i="35"/>
  <c r="X359" i="40"/>
  <c r="G566" i="35"/>
  <c r="I566" i="35"/>
  <c r="J566" i="35"/>
  <c r="K566" i="35"/>
  <c r="X358" i="40"/>
  <c r="X357" i="40"/>
  <c r="X356" i="40"/>
  <c r="G418" i="35"/>
  <c r="I418" i="35"/>
  <c r="J418" i="35"/>
  <c r="K418" i="35"/>
  <c r="X355" i="40"/>
  <c r="G385" i="35"/>
  <c r="I385" i="35"/>
  <c r="J385" i="35"/>
  <c r="K385" i="35"/>
  <c r="X354" i="40"/>
  <c r="G544" i="35"/>
  <c r="I544" i="35"/>
  <c r="J544" i="35"/>
  <c r="K544" i="35"/>
  <c r="X353" i="40"/>
  <c r="G455" i="35"/>
  <c r="I455" i="35"/>
  <c r="J455" i="35"/>
  <c r="K455" i="35"/>
  <c r="X352" i="40"/>
  <c r="G382" i="35"/>
  <c r="I382" i="35"/>
  <c r="J382" i="35"/>
  <c r="K382" i="35"/>
  <c r="X351" i="40"/>
  <c r="G361" i="35"/>
  <c r="I361" i="35"/>
  <c r="J361" i="35"/>
  <c r="K361" i="35"/>
  <c r="X350" i="40"/>
  <c r="X349" i="40"/>
  <c r="G346" i="35"/>
  <c r="I346" i="35"/>
  <c r="J346" i="35"/>
  <c r="K346" i="35"/>
  <c r="X348" i="40"/>
  <c r="G511" i="35"/>
  <c r="I511" i="35"/>
  <c r="J511" i="35"/>
  <c r="K511" i="35"/>
  <c r="X347" i="40"/>
  <c r="G392" i="35"/>
  <c r="I392" i="35"/>
  <c r="J392" i="35"/>
  <c r="K392" i="35"/>
  <c r="X346" i="40"/>
  <c r="X345" i="40"/>
  <c r="X344" i="40"/>
  <c r="G378" i="35"/>
  <c r="I378" i="35"/>
  <c r="J378" i="35"/>
  <c r="K378" i="35"/>
  <c r="X343" i="40"/>
  <c r="G474" i="35"/>
  <c r="I474" i="35"/>
  <c r="J474" i="35"/>
  <c r="K474" i="35"/>
  <c r="X342" i="40"/>
  <c r="X341" i="40"/>
  <c r="X340" i="40"/>
  <c r="G569" i="35"/>
  <c r="I569" i="35"/>
  <c r="J569" i="35"/>
  <c r="K569" i="35"/>
  <c r="X339" i="40"/>
  <c r="G545" i="35"/>
  <c r="I545" i="35"/>
  <c r="J545" i="35"/>
  <c r="K545" i="35"/>
  <c r="X338" i="40"/>
  <c r="G400" i="35"/>
  <c r="I400" i="35"/>
  <c r="J400" i="35"/>
  <c r="K400" i="35"/>
  <c r="X337" i="40"/>
  <c r="X336" i="40"/>
  <c r="G453" i="35"/>
  <c r="I453" i="35"/>
  <c r="J453" i="35"/>
  <c r="K453" i="35"/>
  <c r="X335" i="40"/>
  <c r="X334" i="40"/>
  <c r="G401" i="35"/>
  <c r="I401" i="35"/>
  <c r="J401" i="35"/>
  <c r="K401" i="35"/>
  <c r="X333" i="40"/>
  <c r="G539" i="35"/>
  <c r="I539" i="35"/>
  <c r="J539" i="35"/>
  <c r="K539" i="35"/>
  <c r="X332" i="40"/>
  <c r="X331" i="40"/>
  <c r="G340" i="35"/>
  <c r="I340" i="35"/>
  <c r="J340" i="35"/>
  <c r="K340" i="35"/>
  <c r="X330" i="40"/>
  <c r="X329" i="40"/>
  <c r="G565" i="35"/>
  <c r="I565" i="35"/>
  <c r="J565" i="35"/>
  <c r="K565" i="35"/>
  <c r="X328" i="40"/>
  <c r="G522" i="35"/>
  <c r="I522" i="35"/>
  <c r="J522" i="35"/>
  <c r="K522" i="35"/>
  <c r="X327" i="40"/>
  <c r="X326" i="40"/>
  <c r="G435" i="35"/>
  <c r="I435" i="35"/>
  <c r="J435" i="35"/>
  <c r="K435" i="35"/>
  <c r="X325" i="40"/>
  <c r="G348" i="35"/>
  <c r="I348" i="35"/>
  <c r="J348" i="35"/>
  <c r="K348" i="35"/>
  <c r="X324" i="40"/>
  <c r="G347" i="35"/>
  <c r="I347" i="35"/>
  <c r="J347" i="35"/>
  <c r="K347" i="35"/>
  <c r="X323" i="40"/>
  <c r="X322" i="40"/>
  <c r="G507" i="35"/>
  <c r="I507" i="35"/>
  <c r="J507" i="35"/>
  <c r="K507" i="35"/>
  <c r="X321" i="40"/>
  <c r="G384" i="35"/>
  <c r="I384" i="35"/>
  <c r="J384" i="35"/>
  <c r="K384" i="35"/>
  <c r="X320" i="40"/>
  <c r="G513" i="35"/>
  <c r="I513" i="35"/>
  <c r="J513" i="35"/>
  <c r="K513" i="35"/>
  <c r="X319" i="40"/>
  <c r="X318" i="40"/>
  <c r="G509" i="35"/>
  <c r="I509" i="35"/>
  <c r="J509" i="35"/>
  <c r="K509" i="35"/>
  <c r="X317" i="40"/>
  <c r="X316" i="40"/>
  <c r="G427" i="35"/>
  <c r="I427" i="35"/>
  <c r="J427" i="35"/>
  <c r="K427" i="35"/>
  <c r="X315" i="40"/>
  <c r="G410" i="35"/>
  <c r="I410" i="35"/>
  <c r="J410" i="35"/>
  <c r="K410" i="35"/>
  <c r="X314" i="40"/>
  <c r="G441" i="35"/>
  <c r="I441" i="35"/>
  <c r="J441" i="35"/>
  <c r="K441" i="35"/>
  <c r="X313" i="40"/>
  <c r="G454" i="35"/>
  <c r="I454" i="35"/>
  <c r="J454" i="35"/>
  <c r="K454" i="35"/>
  <c r="X312" i="40"/>
  <c r="X311" i="40"/>
  <c r="G421" i="35"/>
  <c r="I421" i="35"/>
  <c r="J421" i="35"/>
  <c r="K421" i="35"/>
  <c r="X310" i="40"/>
  <c r="G515" i="35"/>
  <c r="I515" i="35"/>
  <c r="J515" i="35"/>
  <c r="K515" i="35"/>
  <c r="X309" i="40"/>
  <c r="G471" i="35"/>
  <c r="I471" i="35"/>
  <c r="J471" i="35"/>
  <c r="K471" i="35"/>
  <c r="X308" i="40"/>
  <c r="X307" i="40"/>
  <c r="G484" i="35"/>
  <c r="I484" i="35"/>
  <c r="J484" i="35"/>
  <c r="K484" i="35"/>
  <c r="X306" i="40"/>
  <c r="X305" i="40"/>
  <c r="G557" i="35"/>
  <c r="I557" i="35"/>
  <c r="J557" i="35"/>
  <c r="K557" i="35"/>
  <c r="X304" i="40"/>
  <c r="G376" i="35"/>
  <c r="I376" i="35"/>
  <c r="J376" i="35"/>
  <c r="K376" i="35"/>
  <c r="X303" i="40"/>
  <c r="G373" i="35"/>
  <c r="I373" i="35"/>
  <c r="J373" i="35"/>
  <c r="K373" i="35"/>
  <c r="X302" i="40"/>
  <c r="X301" i="40"/>
  <c r="X300" i="40"/>
  <c r="G419" i="35"/>
  <c r="I419" i="35"/>
  <c r="J419" i="35"/>
  <c r="K419" i="35"/>
  <c r="X299" i="40"/>
  <c r="G412" i="35"/>
  <c r="I412" i="35"/>
  <c r="J412" i="35"/>
  <c r="K412" i="35"/>
  <c r="X298" i="40"/>
  <c r="X297" i="40"/>
  <c r="G368" i="35"/>
  <c r="I368" i="35"/>
  <c r="J368" i="35"/>
  <c r="K368" i="35"/>
  <c r="X296" i="40"/>
  <c r="X295" i="40"/>
  <c r="G353" i="35"/>
  <c r="I353" i="35"/>
  <c r="J353" i="35"/>
  <c r="K353" i="35"/>
  <c r="X294" i="40"/>
  <c r="X293" i="40"/>
  <c r="G614" i="35"/>
  <c r="I614" i="35"/>
  <c r="J614" i="35"/>
  <c r="K614" i="35"/>
  <c r="X292" i="40"/>
  <c r="G447" i="35"/>
  <c r="I447" i="35"/>
  <c r="J447" i="35"/>
  <c r="K447" i="35"/>
  <c r="X291" i="40"/>
  <c r="G535" i="35"/>
  <c r="I535" i="35"/>
  <c r="J535" i="35"/>
  <c r="K535" i="35"/>
  <c r="X290" i="40"/>
  <c r="G428" i="35"/>
  <c r="I428" i="35"/>
  <c r="J428" i="35"/>
  <c r="K428" i="35"/>
  <c r="X289" i="40"/>
  <c r="G645" i="35"/>
  <c r="I645" i="35"/>
  <c r="J645" i="35"/>
  <c r="K645" i="35"/>
  <c r="X288" i="40"/>
  <c r="G494" i="35"/>
  <c r="I494" i="35"/>
  <c r="J494" i="35"/>
  <c r="K494" i="35"/>
  <c r="X287" i="40"/>
  <c r="G397" i="35"/>
  <c r="I397" i="35"/>
  <c r="J397" i="35"/>
  <c r="K397" i="35"/>
  <c r="X286" i="40"/>
  <c r="G432" i="35"/>
  <c r="I432" i="35"/>
  <c r="J432" i="35"/>
  <c r="K432" i="35"/>
  <c r="X285" i="40"/>
  <c r="G536" i="35"/>
  <c r="I536" i="35"/>
  <c r="J536" i="35"/>
  <c r="K536" i="35"/>
  <c r="X284" i="40"/>
  <c r="G464" i="35"/>
  <c r="I464" i="35"/>
  <c r="J464" i="35"/>
  <c r="K464" i="35"/>
  <c r="X283" i="40"/>
  <c r="G466" i="35"/>
  <c r="I466" i="35"/>
  <c r="J466" i="35"/>
  <c r="K466" i="35"/>
  <c r="X282" i="40"/>
  <c r="G543" i="35"/>
  <c r="I543" i="35"/>
  <c r="J543" i="35"/>
  <c r="K543" i="35"/>
  <c r="X281" i="40"/>
  <c r="G436" i="35"/>
  <c r="I436" i="35"/>
  <c r="J436" i="35"/>
  <c r="K436" i="35"/>
  <c r="X280" i="40"/>
  <c r="G398" i="35"/>
  <c r="I398" i="35"/>
  <c r="J398" i="35"/>
  <c r="K398" i="35"/>
  <c r="X279" i="40"/>
  <c r="G542" i="35"/>
  <c r="I542" i="35"/>
  <c r="J542" i="35"/>
  <c r="K542" i="35"/>
  <c r="X278" i="40"/>
  <c r="G534" i="35"/>
  <c r="I534" i="35"/>
  <c r="J534" i="35"/>
  <c r="K534" i="35"/>
  <c r="X277" i="40"/>
  <c r="G440" i="35"/>
  <c r="I440" i="35"/>
  <c r="J440" i="35"/>
  <c r="K440" i="35"/>
  <c r="X276" i="40"/>
  <c r="X275" i="40"/>
  <c r="G430" i="35"/>
  <c r="I430" i="35"/>
  <c r="J430" i="35"/>
  <c r="K430" i="35"/>
  <c r="X274" i="40"/>
  <c r="G438" i="35"/>
  <c r="I438" i="35"/>
  <c r="J438" i="35"/>
  <c r="K438" i="35"/>
  <c r="X273" i="40"/>
  <c r="G546" i="35"/>
  <c r="I546" i="35"/>
  <c r="J546" i="35"/>
  <c r="K546" i="35"/>
  <c r="X272" i="40"/>
  <c r="J460" i="35"/>
  <c r="K460" i="35"/>
  <c r="X271" i="40"/>
  <c r="G449" i="35"/>
  <c r="I449" i="35"/>
  <c r="J449" i="35"/>
  <c r="K449" i="35"/>
  <c r="X270" i="40"/>
  <c r="G516" i="35"/>
  <c r="I516" i="35"/>
  <c r="J516" i="35"/>
  <c r="K516" i="35"/>
  <c r="X269" i="40"/>
  <c r="G549" i="35"/>
  <c r="I549" i="35"/>
  <c r="J549" i="35"/>
  <c r="K549" i="35"/>
  <c r="X268" i="40"/>
  <c r="X267" i="40"/>
  <c r="G568" i="35"/>
  <c r="I568" i="35"/>
  <c r="J568" i="35"/>
  <c r="K568" i="35"/>
  <c r="X266" i="40"/>
  <c r="G451" i="35"/>
  <c r="I451" i="35"/>
  <c r="J451" i="35"/>
  <c r="K451" i="35"/>
  <c r="X265" i="40"/>
  <c r="G355" i="35"/>
  <c r="I355" i="35"/>
  <c r="J355" i="35"/>
  <c r="K355" i="35"/>
  <c r="X264" i="40"/>
  <c r="X263" i="40"/>
  <c r="G603" i="35"/>
  <c r="I603" i="35"/>
  <c r="J603" i="35"/>
  <c r="K603" i="35"/>
  <c r="X262" i="40"/>
  <c r="G570" i="35"/>
  <c r="I570" i="35"/>
  <c r="J570" i="35"/>
  <c r="K570" i="35"/>
  <c r="X261" i="40"/>
  <c r="X260" i="40"/>
  <c r="G354" i="35"/>
  <c r="I354" i="35"/>
  <c r="J354" i="35"/>
  <c r="K354" i="35"/>
  <c r="X259" i="40"/>
  <c r="X258" i="40"/>
  <c r="G481" i="35"/>
  <c r="I481" i="35"/>
  <c r="J481" i="35"/>
  <c r="K481" i="35"/>
  <c r="X257" i="40"/>
  <c r="G341" i="35"/>
  <c r="I341" i="35"/>
  <c r="J341" i="35"/>
  <c r="K341" i="35"/>
  <c r="X256" i="40"/>
  <c r="G429" i="35"/>
  <c r="I429" i="35"/>
  <c r="J429" i="35"/>
  <c r="K429" i="35"/>
  <c r="X255" i="40"/>
  <c r="G461" i="35"/>
  <c r="I461" i="35"/>
  <c r="J461" i="35"/>
  <c r="K461" i="35"/>
  <c r="X254" i="40"/>
  <c r="G480" i="35"/>
  <c r="I480" i="35"/>
  <c r="J480" i="35"/>
  <c r="K480" i="35"/>
  <c r="X253" i="40"/>
  <c r="X252" i="40"/>
  <c r="G465" i="35"/>
  <c r="I465" i="35"/>
  <c r="J465" i="35"/>
  <c r="K465" i="35"/>
  <c r="X251" i="40"/>
  <c r="G434" i="35"/>
  <c r="I434" i="35"/>
  <c r="J434" i="35"/>
  <c r="K434" i="35"/>
  <c r="X250" i="40"/>
  <c r="G586" i="35"/>
  <c r="I586" i="35"/>
  <c r="J586" i="35"/>
  <c r="K586" i="35"/>
  <c r="X249" i="40"/>
  <c r="X248" i="40"/>
  <c r="X247" i="40"/>
  <c r="G517" i="35"/>
  <c r="I517" i="35"/>
  <c r="J517" i="35"/>
  <c r="K517" i="35"/>
  <c r="X246" i="40"/>
  <c r="G548" i="35"/>
  <c r="I548" i="35"/>
  <c r="J548" i="35"/>
  <c r="K548" i="35"/>
  <c r="X245" i="40"/>
  <c r="G541" i="35"/>
  <c r="I541" i="35"/>
  <c r="J541" i="35"/>
  <c r="K541" i="35"/>
  <c r="X244" i="40"/>
  <c r="X243" i="40"/>
  <c r="X242" i="40"/>
  <c r="G599" i="35"/>
  <c r="I599" i="35"/>
  <c r="J599" i="35"/>
  <c r="K599" i="35"/>
  <c r="X241" i="40"/>
  <c r="G343" i="35"/>
  <c r="I343" i="35"/>
  <c r="J343" i="35"/>
  <c r="K343" i="35"/>
  <c r="X240" i="40"/>
  <c r="G463" i="35"/>
  <c r="I463" i="35"/>
  <c r="J463" i="35"/>
  <c r="K463" i="35"/>
  <c r="X239" i="40"/>
  <c r="G483" i="35"/>
  <c r="I483" i="35"/>
  <c r="J483" i="35"/>
  <c r="K483" i="35"/>
  <c r="X238" i="40"/>
  <c r="G653" i="35"/>
  <c r="I653" i="35"/>
  <c r="J653" i="35"/>
  <c r="K653" i="35"/>
  <c r="X237" i="40"/>
  <c r="G531" i="35"/>
  <c r="I531" i="35"/>
  <c r="J531" i="35"/>
  <c r="K531" i="35"/>
  <c r="X236" i="40"/>
  <c r="G452" i="35"/>
  <c r="I452" i="35"/>
  <c r="J452" i="35"/>
  <c r="K452" i="35"/>
  <c r="X235" i="40"/>
  <c r="X234" i="40"/>
  <c r="G616" i="35"/>
  <c r="I616" i="35"/>
  <c r="J616" i="35"/>
  <c r="K616" i="35"/>
  <c r="X233" i="40"/>
  <c r="X232" i="40"/>
  <c r="G342" i="35"/>
  <c r="I342" i="35"/>
  <c r="J342" i="35"/>
  <c r="K342" i="35"/>
  <c r="X231" i="40"/>
  <c r="G433" i="35"/>
  <c r="I433" i="35"/>
  <c r="J433" i="35"/>
  <c r="K433" i="35"/>
  <c r="X230" i="40"/>
  <c r="G671" i="35"/>
  <c r="I671" i="35"/>
  <c r="J671" i="35"/>
  <c r="K671" i="35"/>
  <c r="X229" i="40"/>
  <c r="G585" i="35"/>
  <c r="I585" i="35"/>
  <c r="J585" i="35"/>
  <c r="K585" i="35"/>
  <c r="X228" i="40"/>
  <c r="G630" i="35"/>
  <c r="I630" i="35"/>
  <c r="J630" i="35"/>
  <c r="K630" i="35"/>
  <c r="X227" i="40"/>
  <c r="X226" i="40"/>
  <c r="X225" i="40"/>
  <c r="G556" i="35"/>
  <c r="I556" i="35"/>
  <c r="J556" i="35"/>
  <c r="K556" i="35"/>
  <c r="X224" i="40"/>
  <c r="G660" i="35"/>
  <c r="I660" i="35"/>
  <c r="J660" i="35"/>
  <c r="K660" i="35"/>
  <c r="X223" i="40"/>
  <c r="G668" i="35"/>
  <c r="I668" i="35"/>
  <c r="J668" i="35"/>
  <c r="K668" i="35"/>
  <c r="X222" i="40"/>
  <c r="G344" i="35"/>
  <c r="I344" i="35"/>
  <c r="J344" i="35"/>
  <c r="K344" i="35"/>
  <c r="X221" i="40"/>
  <c r="G580" i="35"/>
  <c r="I580" i="35"/>
  <c r="J580" i="35"/>
  <c r="K580" i="35"/>
  <c r="X220" i="40"/>
  <c r="X219" i="40"/>
  <c r="G617" i="35"/>
  <c r="I617" i="35"/>
  <c r="J617" i="35"/>
  <c r="K617" i="35"/>
  <c r="X218" i="40"/>
  <c r="X217" i="40"/>
  <c r="X216" i="40"/>
  <c r="G581" i="35"/>
  <c r="I581" i="35"/>
  <c r="J581" i="35"/>
  <c r="K581" i="35"/>
  <c r="X215" i="40"/>
  <c r="G652" i="35"/>
  <c r="I652" i="35"/>
  <c r="J652" i="35"/>
  <c r="K652" i="35"/>
  <c r="X214" i="40"/>
  <c r="X213" i="40"/>
  <c r="G594" i="35"/>
  <c r="I594" i="35"/>
  <c r="J594" i="35"/>
  <c r="K594" i="35"/>
  <c r="X212" i="40"/>
  <c r="G358" i="35"/>
  <c r="I358" i="35"/>
  <c r="J358" i="35"/>
  <c r="K358" i="35"/>
  <c r="X211" i="40"/>
  <c r="G600" i="35"/>
  <c r="I600" i="35"/>
  <c r="J600" i="35"/>
  <c r="K600" i="35"/>
  <c r="X210" i="40"/>
  <c r="G672" i="35"/>
  <c r="I672" i="35"/>
  <c r="J672" i="35"/>
  <c r="K672" i="35"/>
  <c r="X209" i="40"/>
  <c r="X208" i="40"/>
  <c r="X207" i="40"/>
  <c r="G467" i="35"/>
  <c r="I467" i="35"/>
  <c r="J467" i="35"/>
  <c r="K467" i="35"/>
  <c r="X206" i="40"/>
  <c r="G631" i="35"/>
  <c r="I631" i="35"/>
  <c r="J631" i="35"/>
  <c r="K631" i="35"/>
  <c r="X205" i="40"/>
  <c r="G611" i="35"/>
  <c r="I611" i="35"/>
  <c r="J611" i="35"/>
  <c r="K611" i="35"/>
  <c r="X204" i="40"/>
  <c r="G657" i="35"/>
  <c r="I657" i="35"/>
  <c r="J657" i="35"/>
  <c r="K657" i="35"/>
  <c r="X203" i="40"/>
  <c r="G598" i="35"/>
  <c r="I598" i="35"/>
  <c r="J598" i="35"/>
  <c r="K598" i="35"/>
  <c r="X202" i="40"/>
  <c r="X201" i="40"/>
  <c r="G637" i="35"/>
  <c r="I637" i="35"/>
  <c r="J637" i="35"/>
  <c r="K637" i="35"/>
  <c r="X200" i="40"/>
  <c r="G639" i="35"/>
  <c r="I639" i="35"/>
  <c r="J639" i="35"/>
  <c r="K639" i="35"/>
  <c r="X199" i="40"/>
  <c r="G589" i="35"/>
  <c r="I589" i="35"/>
  <c r="J589" i="35"/>
  <c r="K589" i="35"/>
  <c r="X198" i="40"/>
  <c r="X197" i="40"/>
  <c r="X196" i="40"/>
  <c r="X195" i="40"/>
  <c r="G644" i="35"/>
  <c r="I644" i="35"/>
  <c r="J644" i="35"/>
  <c r="K644" i="35"/>
  <c r="X194" i="40"/>
  <c r="G633" i="35"/>
  <c r="I633" i="35"/>
  <c r="J633" i="35"/>
  <c r="K633" i="35"/>
  <c r="X193" i="40"/>
  <c r="X192" i="40"/>
  <c r="G601" i="35"/>
  <c r="I601" i="35"/>
  <c r="J601" i="35"/>
  <c r="K601" i="35"/>
  <c r="X191" i="40"/>
  <c r="G610" i="35"/>
  <c r="I610" i="35"/>
  <c r="J610" i="35"/>
  <c r="K610" i="35"/>
  <c r="X190" i="40"/>
  <c r="G665" i="35"/>
  <c r="I665" i="35"/>
  <c r="J665" i="35"/>
  <c r="K665" i="35"/>
  <c r="X189" i="40"/>
  <c r="G648" i="35"/>
  <c r="I648" i="35"/>
  <c r="J648" i="35"/>
  <c r="K648" i="35"/>
  <c r="X188" i="40"/>
  <c r="X187" i="40"/>
  <c r="G670" i="35"/>
  <c r="I670" i="35"/>
  <c r="J670" i="35"/>
  <c r="K670" i="35"/>
  <c r="X186" i="40"/>
  <c r="G628" i="35"/>
  <c r="I628" i="35"/>
  <c r="J628" i="35"/>
  <c r="K628" i="35"/>
  <c r="X185" i="40"/>
  <c r="G646" i="35"/>
  <c r="I646" i="35"/>
  <c r="J646" i="35"/>
  <c r="K646" i="35"/>
  <c r="X184" i="40"/>
  <c r="G619" i="35"/>
  <c r="I619" i="35"/>
  <c r="J619" i="35"/>
  <c r="K619" i="35"/>
  <c r="X183" i="40"/>
  <c r="X182" i="40"/>
  <c r="G632" i="35"/>
  <c r="I632" i="35"/>
  <c r="J632" i="35"/>
  <c r="K632" i="35"/>
  <c r="X181" i="40"/>
  <c r="G661" i="35"/>
  <c r="I661" i="35"/>
  <c r="J661" i="35"/>
  <c r="K661" i="35"/>
  <c r="X180" i="40"/>
  <c r="G593" i="35"/>
  <c r="I593" i="35"/>
  <c r="J593" i="35"/>
  <c r="K593" i="35"/>
  <c r="X179" i="40"/>
  <c r="G615" i="35"/>
  <c r="I615" i="35"/>
  <c r="J615" i="35"/>
  <c r="K615" i="35"/>
  <c r="X178" i="40"/>
  <c r="G623" i="35"/>
  <c r="I623" i="35"/>
  <c r="J623" i="35"/>
  <c r="K623" i="35"/>
  <c r="X177" i="40"/>
  <c r="G492" i="35"/>
  <c r="I492" i="35"/>
  <c r="J492" i="35"/>
  <c r="K492" i="35"/>
  <c r="X176" i="40"/>
  <c r="G408" i="35"/>
  <c r="I408" i="35"/>
  <c r="J408" i="35"/>
  <c r="K408" i="35"/>
  <c r="X175" i="40"/>
  <c r="X174" i="40"/>
  <c r="X173" i="40"/>
  <c r="X172" i="40"/>
  <c r="G587" i="35"/>
  <c r="I587" i="35"/>
  <c r="J587" i="35"/>
  <c r="K587" i="35"/>
  <c r="X171" i="40"/>
  <c r="G636" i="35"/>
  <c r="I636" i="35"/>
  <c r="J636" i="35"/>
  <c r="K636" i="35"/>
  <c r="X170" i="40"/>
  <c r="X169" i="40"/>
  <c r="G533" i="35"/>
  <c r="I533" i="35"/>
  <c r="J533" i="35"/>
  <c r="K533" i="35"/>
  <c r="X168" i="40"/>
  <c r="G651" i="35"/>
  <c r="I651" i="35"/>
  <c r="J651" i="35"/>
  <c r="K651" i="35"/>
  <c r="X167" i="40"/>
  <c r="G629" i="35"/>
  <c r="I629" i="35"/>
  <c r="J629" i="35"/>
  <c r="K629" i="35"/>
  <c r="X166" i="40"/>
  <c r="X165" i="40"/>
  <c r="G656" i="35"/>
  <c r="I656" i="35"/>
  <c r="J656" i="35"/>
  <c r="K656" i="35"/>
  <c r="X164" i="40"/>
  <c r="X163" i="40"/>
  <c r="G450" i="35"/>
  <c r="I450" i="35"/>
  <c r="J450" i="35"/>
  <c r="K450" i="35"/>
  <c r="X162" i="40"/>
  <c r="X161" i="40"/>
  <c r="X160" i="40"/>
  <c r="G620" i="35"/>
  <c r="I620" i="35"/>
  <c r="J620" i="35"/>
  <c r="K620" i="35"/>
  <c r="X159" i="40"/>
  <c r="G608" i="35"/>
  <c r="I608" i="35"/>
  <c r="J608" i="35"/>
  <c r="K608" i="35"/>
  <c r="X158" i="40"/>
  <c r="G643" i="35"/>
  <c r="I643" i="35"/>
  <c r="J643" i="35"/>
  <c r="K643" i="35"/>
  <c r="X157" i="40"/>
  <c r="G588" i="35"/>
  <c r="I588" i="35"/>
  <c r="J588" i="35"/>
  <c r="K588" i="35"/>
  <c r="X156" i="40"/>
  <c r="G578" i="35"/>
  <c r="I578" i="35"/>
  <c r="J578" i="35"/>
  <c r="K578" i="35"/>
  <c r="X155" i="40"/>
  <c r="G405" i="35"/>
  <c r="I405" i="35"/>
  <c r="J405" i="35"/>
  <c r="K405" i="35"/>
  <c r="X154" i="40"/>
  <c r="G550" i="35"/>
  <c r="I550" i="35"/>
  <c r="J550" i="35"/>
  <c r="K550" i="35"/>
  <c r="X153" i="40"/>
  <c r="X152" i="40"/>
  <c r="G613" i="35"/>
  <c r="I613" i="35"/>
  <c r="J613" i="35"/>
  <c r="K613" i="35"/>
  <c r="X151" i="40"/>
  <c r="G676" i="35"/>
  <c r="I676" i="35"/>
  <c r="J676" i="35"/>
  <c r="K676" i="35"/>
  <c r="X150" i="40"/>
  <c r="G662" i="35"/>
  <c r="I662" i="35"/>
  <c r="J662" i="35"/>
  <c r="K662" i="35"/>
  <c r="X149" i="40"/>
  <c r="X148" i="40"/>
  <c r="G622" i="35"/>
  <c r="I622" i="35"/>
  <c r="J622" i="35"/>
  <c r="K622" i="35"/>
  <c r="X147" i="40"/>
  <c r="G605" i="35"/>
  <c r="I605" i="35"/>
  <c r="J605" i="35"/>
  <c r="K605" i="35"/>
  <c r="X146" i="40"/>
  <c r="G416" i="35"/>
  <c r="I416" i="35"/>
  <c r="J416" i="35"/>
  <c r="K416" i="35"/>
  <c r="X145" i="40"/>
  <c r="G590" i="35"/>
  <c r="I590" i="35"/>
  <c r="J590" i="35"/>
  <c r="K590" i="35"/>
  <c r="X144" i="40"/>
  <c r="G654" i="35"/>
  <c r="I654" i="35"/>
  <c r="J654" i="35"/>
  <c r="K654" i="35"/>
  <c r="X143" i="40"/>
  <c r="X142" i="40"/>
  <c r="G655" i="35"/>
  <c r="I655" i="35"/>
  <c r="J655" i="35"/>
  <c r="K655" i="35"/>
  <c r="X141" i="40"/>
  <c r="X140" i="40"/>
  <c r="G609" i="35"/>
  <c r="I609" i="35"/>
  <c r="J609" i="35"/>
  <c r="K609" i="35"/>
  <c r="X139" i="40"/>
  <c r="G583" i="35"/>
  <c r="I583" i="35"/>
  <c r="J583" i="35"/>
  <c r="K583" i="35"/>
  <c r="X138" i="40"/>
  <c r="X137" i="40"/>
  <c r="X136" i="40"/>
  <c r="G607" i="35"/>
  <c r="I607" i="35"/>
  <c r="J607" i="35"/>
  <c r="K607" i="35"/>
  <c r="X135" i="40"/>
  <c r="G573" i="35"/>
  <c r="I573" i="35"/>
  <c r="J573" i="35"/>
  <c r="K573" i="35"/>
  <c r="X134" i="40"/>
  <c r="G576" i="35"/>
  <c r="I576" i="35"/>
  <c r="J576" i="35"/>
  <c r="K576" i="35"/>
  <c r="X133" i="40"/>
  <c r="G666" i="35"/>
  <c r="I666" i="35"/>
  <c r="J666" i="35"/>
  <c r="K666" i="35"/>
  <c r="X132" i="40"/>
  <c r="G604" i="35"/>
  <c r="I604" i="35"/>
  <c r="J604" i="35"/>
  <c r="K604" i="35"/>
  <c r="X131" i="40"/>
  <c r="G674" i="35"/>
  <c r="I674" i="35"/>
  <c r="J674" i="35"/>
  <c r="K674" i="35"/>
  <c r="X130" i="40"/>
  <c r="X129" i="40"/>
  <c r="G584" i="35"/>
  <c r="I584" i="35"/>
  <c r="J584" i="35"/>
  <c r="K584" i="35"/>
  <c r="X128" i="40"/>
  <c r="G669" i="35"/>
  <c r="I669" i="35"/>
  <c r="J669" i="35"/>
  <c r="K669" i="35"/>
  <c r="X127" i="40"/>
  <c r="G640" i="35"/>
  <c r="I640" i="35"/>
  <c r="J640" i="35"/>
  <c r="K640" i="35"/>
  <c r="X126" i="40"/>
  <c r="X125" i="40"/>
  <c r="X124" i="40"/>
  <c r="G664" i="35"/>
  <c r="I664" i="35"/>
  <c r="J664" i="35"/>
  <c r="K664" i="35"/>
  <c r="X123" i="40"/>
  <c r="G667" i="35"/>
  <c r="I667" i="35"/>
  <c r="J667" i="35"/>
  <c r="K667" i="35"/>
  <c r="X122" i="40"/>
  <c r="X121" i="40"/>
  <c r="X120" i="40"/>
  <c r="G625" i="35"/>
  <c r="I625" i="35"/>
  <c r="J625" i="35"/>
  <c r="K625" i="35"/>
  <c r="X119" i="40"/>
  <c r="G602" i="35"/>
  <c r="I602" i="35"/>
  <c r="J602" i="35"/>
  <c r="K602" i="35"/>
  <c r="X118" i="40"/>
  <c r="X117" i="40"/>
  <c r="G658" i="35"/>
  <c r="I658" i="35"/>
  <c r="J658" i="35"/>
  <c r="K658" i="35"/>
  <c r="X116" i="40"/>
  <c r="G624" i="35"/>
  <c r="I624" i="35"/>
  <c r="J624" i="35"/>
  <c r="K624" i="35"/>
  <c r="X115" i="40"/>
  <c r="X114" i="40"/>
  <c r="G638" i="35"/>
  <c r="I638" i="35"/>
  <c r="J638" i="35"/>
  <c r="K638" i="35"/>
  <c r="X113" i="40"/>
  <c r="G574" i="35"/>
  <c r="I574" i="35"/>
  <c r="J574" i="35"/>
  <c r="K574" i="35"/>
  <c r="X112" i="40"/>
  <c r="G641" i="35"/>
  <c r="I641" i="35"/>
  <c r="J641" i="35"/>
  <c r="K641" i="35"/>
  <c r="X111" i="40"/>
  <c r="G618" i="35"/>
  <c r="I618" i="35"/>
  <c r="J618" i="35"/>
  <c r="K618" i="35"/>
  <c r="X110" i="40"/>
  <c r="X109" i="40"/>
  <c r="G612" i="35"/>
  <c r="I612" i="35"/>
  <c r="J612" i="35"/>
  <c r="K612" i="35"/>
  <c r="X108" i="40"/>
  <c r="G592" i="35"/>
  <c r="I592" i="35"/>
  <c r="J592" i="35"/>
  <c r="K592" i="35"/>
  <c r="X107" i="40"/>
  <c r="X106" i="40"/>
  <c r="G527" i="35"/>
  <c r="I527" i="35"/>
  <c r="J527" i="35"/>
  <c r="K527" i="35"/>
  <c r="X105" i="40"/>
  <c r="G422" i="35"/>
  <c r="I422" i="35"/>
  <c r="J422" i="35"/>
  <c r="K422" i="35"/>
  <c r="X104" i="40"/>
  <c r="G558" i="35"/>
  <c r="I558" i="35"/>
  <c r="J558" i="35"/>
  <c r="K558" i="35"/>
  <c r="X103" i="40"/>
  <c r="X102" i="40"/>
  <c r="G470" i="35"/>
  <c r="I470" i="35"/>
  <c r="J470" i="35"/>
  <c r="K470" i="35"/>
  <c r="X101" i="40"/>
  <c r="G458" i="35"/>
  <c r="I458" i="35"/>
  <c r="J458" i="35"/>
  <c r="K458" i="35"/>
  <c r="X100" i="40"/>
  <c r="G381" i="35"/>
  <c r="I381" i="35"/>
  <c r="J381" i="35"/>
  <c r="K381" i="35"/>
  <c r="X99" i="40"/>
  <c r="X98" i="40"/>
  <c r="G575" i="35"/>
  <c r="I575" i="35"/>
  <c r="J575" i="35"/>
  <c r="K575" i="35"/>
  <c r="X97" i="40"/>
  <c r="X96" i="40"/>
  <c r="G497" i="35"/>
  <c r="I497" i="35"/>
  <c r="J497" i="35"/>
  <c r="K497" i="35"/>
  <c r="X95" i="40"/>
  <c r="G596" i="35"/>
  <c r="I596" i="35"/>
  <c r="J596" i="35"/>
  <c r="K596" i="35"/>
  <c r="X94" i="40"/>
  <c r="G582" i="35"/>
  <c r="I582" i="35"/>
  <c r="J582" i="35"/>
  <c r="K582" i="35"/>
  <c r="X93" i="40"/>
  <c r="G663" i="35"/>
  <c r="I663" i="35"/>
  <c r="J663" i="35"/>
  <c r="K663" i="35"/>
  <c r="X92" i="40"/>
  <c r="X91" i="40"/>
  <c r="X90" i="40"/>
  <c r="G673" i="35"/>
  <c r="I673" i="35"/>
  <c r="J673" i="35"/>
  <c r="K673" i="35"/>
  <c r="X89" i="40"/>
  <c r="G626" i="35"/>
  <c r="I626" i="35"/>
  <c r="J626" i="35"/>
  <c r="K626" i="35"/>
  <c r="X88" i="40"/>
  <c r="X87" i="40"/>
  <c r="G595" i="35"/>
  <c r="I595" i="35"/>
  <c r="J595" i="35"/>
  <c r="K595" i="35"/>
  <c r="X86" i="40"/>
  <c r="X85" i="40"/>
  <c r="G627" i="35"/>
  <c r="I627" i="35"/>
  <c r="J627" i="35"/>
  <c r="K627" i="35"/>
  <c r="X84" i="40"/>
  <c r="G579" i="35"/>
  <c r="I579" i="35"/>
  <c r="J579" i="35"/>
  <c r="K579" i="35"/>
  <c r="X83" i="40"/>
  <c r="G606" i="35"/>
  <c r="I606" i="35"/>
  <c r="J606" i="35"/>
  <c r="K606" i="35"/>
  <c r="X82" i="40"/>
  <c r="X81" i="40"/>
  <c r="X80" i="40"/>
  <c r="G523" i="35"/>
  <c r="I523" i="35"/>
  <c r="J523" i="35"/>
  <c r="K523" i="35"/>
  <c r="X79" i="40"/>
  <c r="G591" i="35"/>
  <c r="I591" i="35"/>
  <c r="J591" i="35"/>
  <c r="K591" i="35"/>
  <c r="X78" i="40"/>
  <c r="X77" i="40"/>
  <c r="G650" i="35"/>
  <c r="I650" i="35"/>
  <c r="J650" i="35"/>
  <c r="K650" i="35"/>
  <c r="X76" i="40"/>
  <c r="W515" i="40"/>
  <c r="G19" i="35"/>
  <c r="I19" i="35"/>
  <c r="J19" i="35"/>
  <c r="K19" i="35"/>
  <c r="W514" i="40"/>
  <c r="G60" i="35"/>
  <c r="I60" i="35"/>
  <c r="J60" i="35"/>
  <c r="K60" i="35"/>
  <c r="W513" i="40"/>
  <c r="G86" i="35"/>
  <c r="I86" i="35"/>
  <c r="J86" i="35"/>
  <c r="K86" i="35"/>
  <c r="W512" i="40"/>
  <c r="G191" i="35"/>
  <c r="I191" i="35"/>
  <c r="J191" i="35"/>
  <c r="K191" i="35"/>
  <c r="W511" i="40"/>
  <c r="G303" i="35"/>
  <c r="I303" i="35"/>
  <c r="J303" i="35"/>
  <c r="K303" i="35"/>
  <c r="W510" i="40"/>
  <c r="G244" i="35"/>
  <c r="I244" i="35"/>
  <c r="J244" i="35"/>
  <c r="K244" i="35"/>
  <c r="W509" i="40"/>
  <c r="G192" i="35"/>
  <c r="I192" i="35"/>
  <c r="J192" i="35"/>
  <c r="K192" i="35"/>
  <c r="W508" i="40"/>
  <c r="G254" i="35"/>
  <c r="I254" i="35"/>
  <c r="J254" i="35"/>
  <c r="K254" i="35"/>
  <c r="W507" i="40"/>
  <c r="G223" i="35"/>
  <c r="I223" i="35"/>
  <c r="J223" i="35"/>
  <c r="K223" i="35"/>
  <c r="W506" i="40"/>
  <c r="G190" i="35"/>
  <c r="I190" i="35"/>
  <c r="J190" i="35"/>
  <c r="K190" i="35"/>
  <c r="W505" i="40"/>
  <c r="G332" i="35"/>
  <c r="I332" i="35"/>
  <c r="J332" i="35"/>
  <c r="K332" i="35"/>
  <c r="W504" i="40"/>
  <c r="G35" i="35"/>
  <c r="I35" i="35"/>
  <c r="J35" i="35"/>
  <c r="K35" i="35"/>
  <c r="W503" i="40"/>
  <c r="G105" i="35"/>
  <c r="I105" i="35"/>
  <c r="J105" i="35"/>
  <c r="K105" i="35"/>
  <c r="W502" i="40"/>
  <c r="G136" i="35"/>
  <c r="I136" i="35"/>
  <c r="J136" i="35"/>
  <c r="K136" i="35"/>
  <c r="W501" i="40"/>
  <c r="G63" i="35"/>
  <c r="I63" i="35"/>
  <c r="J63" i="35"/>
  <c r="K63" i="35"/>
  <c r="W500" i="40"/>
  <c r="G286" i="35"/>
  <c r="I286" i="35"/>
  <c r="J286" i="35"/>
  <c r="K286" i="35"/>
  <c r="W499" i="40"/>
  <c r="G56" i="35"/>
  <c r="I56" i="35"/>
  <c r="J56" i="35"/>
  <c r="K56" i="35"/>
  <c r="W498" i="40"/>
  <c r="G41" i="35"/>
  <c r="I41" i="35"/>
  <c r="J41" i="35"/>
  <c r="K41" i="35"/>
  <c r="W497" i="40"/>
  <c r="G163" i="35"/>
  <c r="I163" i="35"/>
  <c r="J163" i="35"/>
  <c r="K163" i="35"/>
  <c r="W496" i="40"/>
  <c r="G73" i="35"/>
  <c r="I73" i="35"/>
  <c r="J73" i="35"/>
  <c r="K73" i="35"/>
  <c r="W495" i="40"/>
  <c r="G69" i="35"/>
  <c r="I69" i="35"/>
  <c r="J69" i="35"/>
  <c r="K69" i="35"/>
  <c r="W494" i="40"/>
  <c r="G306" i="35"/>
  <c r="I306" i="35"/>
  <c r="J306" i="35"/>
  <c r="K306" i="35"/>
  <c r="W493" i="40"/>
  <c r="G126" i="35"/>
  <c r="I126" i="35"/>
  <c r="J126" i="35"/>
  <c r="K126" i="35"/>
  <c r="W492" i="40"/>
  <c r="G117" i="35"/>
  <c r="I117" i="35"/>
  <c r="J117" i="35"/>
  <c r="K117" i="35"/>
  <c r="W491" i="40"/>
  <c r="G176" i="35"/>
  <c r="I176" i="35"/>
  <c r="J176" i="35"/>
  <c r="K176" i="35"/>
  <c r="W490" i="40"/>
  <c r="G330" i="35"/>
  <c r="I330" i="35"/>
  <c r="J330" i="35"/>
  <c r="K330" i="35"/>
  <c r="W489" i="40"/>
  <c r="G227" i="35"/>
  <c r="I227" i="35"/>
  <c r="J227" i="35"/>
  <c r="K227" i="35"/>
  <c r="W488" i="40"/>
  <c r="W487" i="40"/>
  <c r="G165" i="35"/>
  <c r="I165" i="35"/>
  <c r="J165" i="35"/>
  <c r="K165" i="35"/>
  <c r="W486" i="40"/>
  <c r="G232" i="35"/>
  <c r="I232" i="35"/>
  <c r="J232" i="35"/>
  <c r="K232" i="35"/>
  <c r="W485" i="40"/>
  <c r="G157" i="35"/>
  <c r="I157" i="35"/>
  <c r="J157" i="35"/>
  <c r="K157" i="35"/>
  <c r="W484" i="40"/>
  <c r="G72" i="35"/>
  <c r="I72" i="35"/>
  <c r="J72" i="35"/>
  <c r="K72" i="35"/>
  <c r="W483" i="40"/>
  <c r="G195" i="35"/>
  <c r="I195" i="35"/>
  <c r="J195" i="35"/>
  <c r="K195" i="35"/>
  <c r="W482" i="40"/>
  <c r="G97" i="35"/>
  <c r="I97" i="35"/>
  <c r="J97" i="35"/>
  <c r="K97" i="35"/>
  <c r="W481" i="40"/>
  <c r="W480" i="40"/>
  <c r="G139" i="35"/>
  <c r="I139" i="35"/>
  <c r="J139" i="35"/>
  <c r="K139" i="35"/>
  <c r="W479" i="40"/>
  <c r="W478" i="40"/>
  <c r="G30" i="35"/>
  <c r="I30" i="35"/>
  <c r="J30" i="35"/>
  <c r="K30" i="35"/>
  <c r="W477" i="40"/>
  <c r="G324" i="35"/>
  <c r="I324" i="35"/>
  <c r="J324" i="35"/>
  <c r="K324" i="35"/>
  <c r="W476" i="40"/>
  <c r="G219" i="35"/>
  <c r="I219" i="35"/>
  <c r="J219" i="35"/>
  <c r="K219" i="35"/>
  <c r="W475" i="40"/>
  <c r="G305" i="35"/>
  <c r="I305" i="35"/>
  <c r="J305" i="35"/>
  <c r="K305" i="35"/>
  <c r="W474" i="40"/>
  <c r="G214" i="35"/>
  <c r="I214" i="35"/>
  <c r="J214" i="35"/>
  <c r="K214" i="35"/>
  <c r="W473" i="40"/>
  <c r="W472" i="40"/>
  <c r="G168" i="35"/>
  <c r="I168" i="35"/>
  <c r="J168" i="35"/>
  <c r="K168" i="35"/>
  <c r="W471" i="40"/>
  <c r="G292" i="35"/>
  <c r="I292" i="35"/>
  <c r="J292" i="35"/>
  <c r="K292" i="35"/>
  <c r="W470" i="40"/>
  <c r="G47" i="35"/>
  <c r="I47" i="35"/>
  <c r="J47" i="35"/>
  <c r="K47" i="35"/>
  <c r="W469" i="40"/>
  <c r="W468" i="40"/>
  <c r="W467" i="40"/>
  <c r="G183" i="35"/>
  <c r="I183" i="35"/>
  <c r="J183" i="35"/>
  <c r="K183" i="35"/>
  <c r="W466" i="40"/>
  <c r="G248" i="35"/>
  <c r="I248" i="35"/>
  <c r="J248" i="35"/>
  <c r="K248" i="35"/>
  <c r="W465" i="40"/>
  <c r="G29" i="35"/>
  <c r="I29" i="35"/>
  <c r="J29" i="35"/>
  <c r="K29" i="35"/>
  <c r="W464" i="40"/>
  <c r="W463" i="40"/>
  <c r="W462" i="40"/>
  <c r="G212" i="35"/>
  <c r="I212" i="35"/>
  <c r="J212" i="35"/>
  <c r="K212" i="35"/>
  <c r="W461" i="40"/>
  <c r="G180" i="35"/>
  <c r="I180" i="35"/>
  <c r="J180" i="35"/>
  <c r="K180" i="35"/>
  <c r="W460" i="40"/>
  <c r="G114" i="35"/>
  <c r="I114" i="35"/>
  <c r="J114" i="35"/>
  <c r="K114" i="35"/>
  <c r="W459" i="40"/>
  <c r="G294" i="35"/>
  <c r="I294" i="35"/>
  <c r="J294" i="35"/>
  <c r="K294" i="35"/>
  <c r="W458" i="40"/>
  <c r="G260" i="35"/>
  <c r="I260" i="35"/>
  <c r="J260" i="35"/>
  <c r="K260" i="35"/>
  <c r="W457" i="40"/>
  <c r="G89" i="35"/>
  <c r="I89" i="35"/>
  <c r="J89" i="35"/>
  <c r="K89" i="35"/>
  <c r="W456" i="40"/>
  <c r="G65" i="35"/>
  <c r="I65" i="35"/>
  <c r="J65" i="35"/>
  <c r="K65" i="35"/>
  <c r="W455" i="40"/>
  <c r="W454" i="40"/>
  <c r="G46" i="35"/>
  <c r="I46" i="35"/>
  <c r="J46" i="35"/>
  <c r="K46" i="35"/>
  <c r="W453" i="40"/>
  <c r="W452" i="40"/>
  <c r="G279" i="35"/>
  <c r="I279" i="35"/>
  <c r="J279" i="35"/>
  <c r="K279" i="35"/>
  <c r="W451" i="40"/>
  <c r="G149" i="35"/>
  <c r="I149" i="35"/>
  <c r="J149" i="35"/>
  <c r="K149" i="35"/>
  <c r="W450" i="40"/>
  <c r="G145" i="35"/>
  <c r="I145" i="35"/>
  <c r="J145" i="35"/>
  <c r="K145" i="35"/>
  <c r="W449" i="40"/>
  <c r="W448" i="40"/>
  <c r="W447" i="40"/>
  <c r="W446" i="40"/>
  <c r="W445" i="40"/>
  <c r="G230" i="35"/>
  <c r="I230" i="35"/>
  <c r="J230" i="35"/>
  <c r="K230" i="35"/>
  <c r="W444" i="40"/>
  <c r="G53" i="35"/>
  <c r="I53" i="35"/>
  <c r="J53" i="35"/>
  <c r="K53" i="35"/>
  <c r="W443" i="40"/>
  <c r="G158" i="35"/>
  <c r="I158" i="35"/>
  <c r="J158" i="35"/>
  <c r="K158" i="35"/>
  <c r="W442" i="40"/>
  <c r="G175" i="35"/>
  <c r="I175" i="35"/>
  <c r="J175" i="35"/>
  <c r="K175" i="35"/>
  <c r="W441" i="40"/>
  <c r="G293" i="35"/>
  <c r="I293" i="35"/>
  <c r="J293" i="35"/>
  <c r="K293" i="35"/>
  <c r="W440" i="40"/>
  <c r="G202" i="35"/>
  <c r="I202" i="35"/>
  <c r="J202" i="35"/>
  <c r="K202" i="35"/>
  <c r="W439" i="40"/>
  <c r="G87" i="35"/>
  <c r="I87" i="35"/>
  <c r="J87" i="35"/>
  <c r="K87" i="35"/>
  <c r="W438" i="40"/>
  <c r="W437" i="40"/>
  <c r="W436" i="40"/>
  <c r="G308" i="35"/>
  <c r="I308" i="35"/>
  <c r="J308" i="35"/>
  <c r="K308" i="35"/>
  <c r="W435" i="40"/>
  <c r="G323" i="35"/>
  <c r="I323" i="35"/>
  <c r="J323" i="35"/>
  <c r="K323" i="35"/>
  <c r="W434" i="40"/>
  <c r="G239" i="35"/>
  <c r="I239" i="35"/>
  <c r="J239" i="35"/>
  <c r="K239" i="35"/>
  <c r="W433" i="40"/>
  <c r="G174" i="35"/>
  <c r="I174" i="35"/>
  <c r="J174" i="35"/>
  <c r="K174" i="35"/>
  <c r="W432" i="40"/>
  <c r="G284" i="35"/>
  <c r="I284" i="35"/>
  <c r="J284" i="35"/>
  <c r="K284" i="35"/>
  <c r="W431" i="40"/>
  <c r="G249" i="35"/>
  <c r="I249" i="35"/>
  <c r="J249" i="35"/>
  <c r="K249" i="35"/>
  <c r="W430" i="40"/>
  <c r="G208" i="35"/>
  <c r="I208" i="35"/>
  <c r="J208" i="35"/>
  <c r="K208" i="35"/>
  <c r="W429" i="40"/>
  <c r="W428" i="40"/>
  <c r="W427" i="40"/>
  <c r="G236" i="35"/>
  <c r="I236" i="35"/>
  <c r="J236" i="35"/>
  <c r="K236" i="35"/>
  <c r="W426" i="40"/>
  <c r="G209" i="35"/>
  <c r="I209" i="35"/>
  <c r="J209" i="35"/>
  <c r="K209" i="35"/>
  <c r="W425" i="40"/>
  <c r="G285" i="35"/>
  <c r="I285" i="35"/>
  <c r="J285" i="35"/>
  <c r="K285" i="35"/>
  <c r="W424" i="40"/>
  <c r="G28" i="35"/>
  <c r="I28" i="35"/>
  <c r="J28" i="35"/>
  <c r="K28" i="35"/>
  <c r="W423" i="40"/>
  <c r="G336" i="35"/>
  <c r="I336" i="35"/>
  <c r="J336" i="35"/>
  <c r="K336" i="35"/>
  <c r="W422" i="40"/>
  <c r="W421" i="40"/>
  <c r="G297" i="35"/>
  <c r="I297" i="35"/>
  <c r="J297" i="35"/>
  <c r="K297" i="35"/>
  <c r="W420" i="40"/>
  <c r="G99" i="35"/>
  <c r="I99" i="35"/>
  <c r="J99" i="35"/>
  <c r="K99" i="35"/>
  <c r="W419" i="40"/>
  <c r="G181" i="35"/>
  <c r="I181" i="35"/>
  <c r="J181" i="35"/>
  <c r="K181" i="35"/>
  <c r="W418" i="40"/>
  <c r="G9" i="35"/>
  <c r="I9" i="35"/>
  <c r="J9" i="35"/>
  <c r="K9" i="35"/>
  <c r="W417" i="40"/>
  <c r="G52" i="35"/>
  <c r="I52" i="35"/>
  <c r="J52" i="35"/>
  <c r="K52" i="35"/>
  <c r="W416" i="40"/>
  <c r="W415" i="40"/>
  <c r="G51" i="35"/>
  <c r="I51" i="35"/>
  <c r="J51" i="35"/>
  <c r="K51" i="35"/>
  <c r="W414" i="40"/>
  <c r="G312" i="35"/>
  <c r="I312" i="35"/>
  <c r="J312" i="35"/>
  <c r="K312" i="35"/>
  <c r="W413" i="40"/>
  <c r="W412" i="40"/>
  <c r="G88" i="35"/>
  <c r="I88" i="35"/>
  <c r="J88" i="35"/>
  <c r="K88" i="35"/>
  <c r="W411" i="40"/>
  <c r="G326" i="35"/>
  <c r="I326" i="35"/>
  <c r="J326" i="35"/>
  <c r="K326" i="35"/>
  <c r="W410" i="40"/>
  <c r="G280" i="35"/>
  <c r="I280" i="35"/>
  <c r="J280" i="35"/>
  <c r="K280" i="35"/>
  <c r="W409" i="40"/>
  <c r="G242" i="35"/>
  <c r="I242" i="35"/>
  <c r="J242" i="35"/>
  <c r="K242" i="35"/>
  <c r="W408" i="40"/>
  <c r="W407" i="40"/>
  <c r="G228" i="35"/>
  <c r="I228" i="35"/>
  <c r="J228" i="35"/>
  <c r="K228" i="35"/>
  <c r="W406" i="40"/>
  <c r="G138" i="35"/>
  <c r="I138" i="35"/>
  <c r="J138" i="35"/>
  <c r="K138" i="35"/>
  <c r="W405" i="40"/>
  <c r="G5" i="35"/>
  <c r="I5" i="35"/>
  <c r="J5" i="35"/>
  <c r="K5" i="35"/>
  <c r="W404" i="40"/>
  <c r="G271" i="35"/>
  <c r="I271" i="35"/>
  <c r="J271" i="35"/>
  <c r="K271" i="35"/>
  <c r="W403" i="40"/>
  <c r="W402" i="40"/>
  <c r="G55" i="35"/>
  <c r="I55" i="35"/>
  <c r="J55" i="35"/>
  <c r="K55" i="35"/>
  <c r="W401" i="40"/>
  <c r="G257" i="35"/>
  <c r="I257" i="35"/>
  <c r="J257" i="35"/>
  <c r="K257" i="35"/>
  <c r="W400" i="40"/>
  <c r="G299" i="35"/>
  <c r="I299" i="35"/>
  <c r="J299" i="35"/>
  <c r="K299" i="35"/>
  <c r="W399" i="40"/>
  <c r="G39" i="35"/>
  <c r="I39" i="35"/>
  <c r="J39" i="35"/>
  <c r="K39" i="35"/>
  <c r="W398" i="40"/>
  <c r="G18" i="35"/>
  <c r="I18" i="35"/>
  <c r="J18" i="35"/>
  <c r="K18" i="35"/>
  <c r="W397" i="40"/>
  <c r="G206" i="35"/>
  <c r="I206" i="35"/>
  <c r="J206" i="35"/>
  <c r="K206" i="35"/>
  <c r="W396" i="40"/>
  <c r="G74" i="35"/>
  <c r="I74" i="35"/>
  <c r="J74" i="35"/>
  <c r="K74" i="35"/>
  <c r="W395" i="40"/>
  <c r="W394" i="40"/>
  <c r="G123" i="35"/>
  <c r="I123" i="35"/>
  <c r="J123" i="35"/>
  <c r="K123" i="35"/>
  <c r="W393" i="40"/>
  <c r="W392" i="40"/>
  <c r="G196" i="35"/>
  <c r="I196" i="35"/>
  <c r="J196" i="35"/>
  <c r="K196" i="35"/>
  <c r="W391" i="40"/>
  <c r="G314" i="35"/>
  <c r="I314" i="35"/>
  <c r="J314" i="35"/>
  <c r="K314" i="35"/>
  <c r="W390" i="40"/>
  <c r="W389" i="40"/>
  <c r="G325" i="35"/>
  <c r="I325" i="35"/>
  <c r="J325" i="35"/>
  <c r="K325" i="35"/>
  <c r="W388" i="40"/>
  <c r="G200" i="35"/>
  <c r="I200" i="35"/>
  <c r="J200" i="35"/>
  <c r="K200" i="35"/>
  <c r="W387" i="40"/>
  <c r="G262" i="35"/>
  <c r="I262" i="35"/>
  <c r="J262" i="35"/>
  <c r="K262" i="35"/>
  <c r="W386" i="40"/>
  <c r="W385" i="40"/>
  <c r="G321" i="35"/>
  <c r="I321" i="35"/>
  <c r="J321" i="35"/>
  <c r="K321" i="35"/>
  <c r="W384" i="40"/>
  <c r="G193" i="35"/>
  <c r="I193" i="35"/>
  <c r="J193" i="35"/>
  <c r="K193" i="35"/>
  <c r="W383" i="40"/>
  <c r="G331" i="35"/>
  <c r="I331" i="35"/>
  <c r="J331" i="35"/>
  <c r="K331" i="35"/>
  <c r="W382" i="40"/>
  <c r="W381" i="40"/>
  <c r="W380" i="40"/>
  <c r="G318" i="35"/>
  <c r="I318" i="35"/>
  <c r="J318" i="35"/>
  <c r="K318" i="35"/>
  <c r="W379" i="40"/>
  <c r="G328" i="35"/>
  <c r="I328" i="35"/>
  <c r="J328" i="35"/>
  <c r="K328" i="35"/>
  <c r="W378" i="40"/>
  <c r="G194" i="35"/>
  <c r="I194" i="35"/>
  <c r="J194" i="35"/>
  <c r="K194" i="35"/>
  <c r="W377" i="40"/>
  <c r="G217" i="35"/>
  <c r="I217" i="35"/>
  <c r="J217" i="35"/>
  <c r="K217" i="35"/>
  <c r="W376" i="40"/>
  <c r="G319" i="35"/>
  <c r="I319" i="35"/>
  <c r="J319" i="35"/>
  <c r="K319" i="35"/>
  <c r="W375" i="40"/>
  <c r="G101" i="35"/>
  <c r="I101" i="35"/>
  <c r="J101" i="35"/>
  <c r="K101" i="35"/>
  <c r="W374" i="40"/>
  <c r="G49" i="35"/>
  <c r="I49" i="35"/>
  <c r="J49" i="35"/>
  <c r="K49" i="35"/>
  <c r="W373" i="40"/>
  <c r="W372" i="40"/>
  <c r="G266" i="35"/>
  <c r="I266" i="35"/>
  <c r="J266" i="35"/>
  <c r="K266" i="35"/>
  <c r="W371" i="40"/>
  <c r="G289" i="35"/>
  <c r="I289" i="35"/>
  <c r="J289" i="35"/>
  <c r="K289" i="35"/>
  <c r="W370" i="40"/>
  <c r="G322" i="35"/>
  <c r="I322" i="35"/>
  <c r="J322" i="35"/>
  <c r="K322" i="35"/>
  <c r="W369" i="40"/>
  <c r="W368" i="40"/>
  <c r="G290" i="35"/>
  <c r="I290" i="35"/>
  <c r="J290" i="35"/>
  <c r="K290" i="35"/>
  <c r="W367" i="40"/>
  <c r="G64" i="35"/>
  <c r="I64" i="35"/>
  <c r="J64" i="35"/>
  <c r="K64" i="35"/>
  <c r="W366" i="40"/>
  <c r="G221" i="35"/>
  <c r="I221" i="35"/>
  <c r="J221" i="35"/>
  <c r="K221" i="35"/>
  <c r="W365" i="40"/>
  <c r="G300" i="35"/>
  <c r="I300" i="35"/>
  <c r="J300" i="35"/>
  <c r="K300" i="35"/>
  <c r="W364" i="40"/>
  <c r="G233" i="35"/>
  <c r="I233" i="35"/>
  <c r="J233" i="35"/>
  <c r="K233" i="35"/>
  <c r="W363" i="40"/>
  <c r="W362" i="40"/>
  <c r="G317" i="35"/>
  <c r="I317" i="35"/>
  <c r="J317" i="35"/>
  <c r="K317" i="35"/>
  <c r="W361" i="40"/>
  <c r="W360" i="40"/>
  <c r="G313" i="35"/>
  <c r="I313" i="35"/>
  <c r="J313" i="35"/>
  <c r="K313" i="35"/>
  <c r="W359" i="40"/>
  <c r="G274" i="35"/>
  <c r="I274" i="35"/>
  <c r="J274" i="35"/>
  <c r="K274" i="35"/>
  <c r="W358" i="40"/>
  <c r="W357" i="40"/>
  <c r="W356" i="40"/>
  <c r="W355" i="40"/>
  <c r="G253" i="35"/>
  <c r="I253" i="35"/>
  <c r="J253" i="35"/>
  <c r="K253" i="35"/>
  <c r="W354" i="40"/>
  <c r="G295" i="35"/>
  <c r="I295" i="35"/>
  <c r="J295" i="35"/>
  <c r="K295" i="35"/>
  <c r="W353" i="40"/>
  <c r="G179" i="35"/>
  <c r="I179" i="35"/>
  <c r="J179" i="35"/>
  <c r="K179" i="35"/>
  <c r="W352" i="40"/>
  <c r="G243" i="35"/>
  <c r="I243" i="35"/>
  <c r="J243" i="35"/>
  <c r="K243" i="35"/>
  <c r="W351" i="40"/>
  <c r="G134" i="35"/>
  <c r="I134" i="35"/>
  <c r="J134" i="35"/>
  <c r="K134" i="35"/>
  <c r="W350" i="40"/>
  <c r="W349" i="40"/>
  <c r="G298" i="35"/>
  <c r="I298" i="35"/>
  <c r="J298" i="35"/>
  <c r="K298" i="35"/>
  <c r="W348" i="40"/>
  <c r="G315" i="35"/>
  <c r="I315" i="35"/>
  <c r="J315" i="35"/>
  <c r="K315" i="35"/>
  <c r="W347" i="40"/>
  <c r="G263" i="35"/>
  <c r="I263" i="35"/>
  <c r="J263" i="35"/>
  <c r="K263" i="35"/>
  <c r="W346" i="40"/>
  <c r="W345" i="40"/>
  <c r="W344" i="40"/>
  <c r="G140" i="35"/>
  <c r="I140" i="35"/>
  <c r="J140" i="35"/>
  <c r="K140" i="35"/>
  <c r="W343" i="40"/>
  <c r="G281" i="35"/>
  <c r="I281" i="35"/>
  <c r="J281" i="35"/>
  <c r="K281" i="35"/>
  <c r="W342" i="40"/>
  <c r="W341" i="40"/>
  <c r="W340" i="40"/>
  <c r="G311" i="35"/>
  <c r="I311" i="35"/>
  <c r="J311" i="35"/>
  <c r="K311" i="35"/>
  <c r="W339" i="40"/>
  <c r="G156" i="35"/>
  <c r="I156" i="35"/>
  <c r="J156" i="35"/>
  <c r="K156" i="35"/>
  <c r="W338" i="40"/>
  <c r="G141" i="35"/>
  <c r="I141" i="35"/>
  <c r="J141" i="35"/>
  <c r="K141" i="35"/>
  <c r="W337" i="40"/>
  <c r="G220" i="35"/>
  <c r="I220" i="35"/>
  <c r="J220" i="35"/>
  <c r="K220" i="35"/>
  <c r="W336" i="40"/>
  <c r="G278" i="35"/>
  <c r="I278" i="35"/>
  <c r="J278" i="35"/>
  <c r="K278" i="35"/>
  <c r="W335" i="40"/>
  <c r="W334" i="40"/>
  <c r="G12" i="35"/>
  <c r="I12" i="35"/>
  <c r="J12" i="35"/>
  <c r="K12" i="35"/>
  <c r="W333" i="40"/>
  <c r="G235" i="35"/>
  <c r="I235" i="35"/>
  <c r="J235" i="35"/>
  <c r="K235" i="35"/>
  <c r="W332" i="40"/>
  <c r="G301" i="35"/>
  <c r="I301" i="35"/>
  <c r="J301" i="35"/>
  <c r="K301" i="35"/>
  <c r="W331" i="40"/>
  <c r="G291" i="35"/>
  <c r="I291" i="35"/>
  <c r="J291" i="35"/>
  <c r="K291" i="35"/>
  <c r="W330" i="40"/>
  <c r="W329" i="40"/>
  <c r="G33" i="35"/>
  <c r="I33" i="35"/>
  <c r="J33" i="35"/>
  <c r="K33" i="35"/>
  <c r="G34" i="35"/>
  <c r="I34" i="35"/>
  <c r="J34" i="35"/>
  <c r="K34" i="35"/>
  <c r="W328" i="40"/>
  <c r="G152" i="35"/>
  <c r="I152" i="35"/>
  <c r="J152" i="35"/>
  <c r="K152" i="35"/>
  <c r="W327" i="40"/>
  <c r="W326" i="40"/>
  <c r="G54" i="35"/>
  <c r="I54" i="35"/>
  <c r="J54" i="35"/>
  <c r="K54" i="35"/>
  <c r="W325" i="40"/>
  <c r="G205" i="35"/>
  <c r="I205" i="35"/>
  <c r="J205" i="35"/>
  <c r="K205" i="35"/>
  <c r="W324" i="40"/>
  <c r="G229" i="35"/>
  <c r="I229" i="35"/>
  <c r="J229" i="35"/>
  <c r="K229" i="35"/>
  <c r="W323" i="40"/>
  <c r="W322" i="40"/>
  <c r="G252" i="35"/>
  <c r="I252" i="35"/>
  <c r="J252" i="35"/>
  <c r="K252" i="35"/>
  <c r="W321" i="40"/>
  <c r="G48" i="35"/>
  <c r="I48" i="35"/>
  <c r="J48" i="35"/>
  <c r="K48" i="35"/>
  <c r="W320" i="40"/>
  <c r="G255" i="35"/>
  <c r="I255" i="35"/>
  <c r="J255" i="35"/>
  <c r="K255" i="35"/>
  <c r="W319" i="40"/>
  <c r="W318" i="40"/>
  <c r="G296" i="35"/>
  <c r="I296" i="35"/>
  <c r="J296" i="35"/>
  <c r="K296" i="35"/>
  <c r="W317" i="40"/>
  <c r="W316" i="40"/>
  <c r="G307" i="35"/>
  <c r="I307" i="35"/>
  <c r="J307" i="35"/>
  <c r="K307" i="35"/>
  <c r="W315" i="40"/>
  <c r="G203" i="35"/>
  <c r="I203" i="35"/>
  <c r="J203" i="35"/>
  <c r="K203" i="35"/>
  <c r="W314" i="40"/>
  <c r="G13" i="35"/>
  <c r="I13" i="35"/>
  <c r="J13" i="35"/>
  <c r="K13" i="35"/>
  <c r="W313" i="40"/>
  <c r="G184" i="35"/>
  <c r="I184" i="35"/>
  <c r="J184" i="35"/>
  <c r="K184" i="35"/>
  <c r="W312" i="40"/>
  <c r="W311" i="40"/>
  <c r="G276" i="35"/>
  <c r="I276" i="35"/>
  <c r="J276" i="35"/>
  <c r="K276" i="35"/>
  <c r="W310" i="40"/>
  <c r="G96" i="35"/>
  <c r="I96" i="35"/>
  <c r="J96" i="35"/>
  <c r="K96" i="35"/>
  <c r="W309" i="40"/>
  <c r="G327" i="35"/>
  <c r="I327" i="35"/>
  <c r="J327" i="35"/>
  <c r="K327" i="35"/>
  <c r="W308" i="40"/>
  <c r="W307" i="40"/>
  <c r="G283" i="35"/>
  <c r="I283" i="35"/>
  <c r="J283" i="35"/>
  <c r="K283" i="35"/>
  <c r="W306" i="40"/>
  <c r="W305" i="40"/>
  <c r="G258" i="35"/>
  <c r="I258" i="35"/>
  <c r="J258" i="35"/>
  <c r="K258" i="35"/>
  <c r="W304" i="40"/>
  <c r="G104" i="35"/>
  <c r="I104" i="35"/>
  <c r="J104" i="35"/>
  <c r="K104" i="35"/>
  <c r="W303" i="40"/>
  <c r="G304" i="35"/>
  <c r="I304" i="35"/>
  <c r="J304" i="35"/>
  <c r="K304" i="35"/>
  <c r="W302" i="40"/>
  <c r="W301" i="40"/>
  <c r="W300" i="40"/>
  <c r="G189" i="35"/>
  <c r="I189" i="35"/>
  <c r="J189" i="35"/>
  <c r="K189" i="35"/>
  <c r="W299" i="40"/>
  <c r="G225" i="35"/>
  <c r="I225" i="35"/>
  <c r="J225" i="35"/>
  <c r="K225" i="35"/>
  <c r="W298" i="40"/>
  <c r="W297" i="40"/>
  <c r="G197" i="35"/>
  <c r="I197" i="35"/>
  <c r="J197" i="35"/>
  <c r="K197" i="35"/>
  <c r="W296" i="40"/>
  <c r="W295" i="40"/>
  <c r="G80" i="35"/>
  <c r="I80" i="35"/>
  <c r="J80" i="35"/>
  <c r="K80" i="35"/>
  <c r="W294" i="40"/>
  <c r="G240" i="35"/>
  <c r="I240" i="35"/>
  <c r="J240" i="35"/>
  <c r="K240" i="35"/>
  <c r="W293" i="40"/>
  <c r="G161" i="35"/>
  <c r="I161" i="35"/>
  <c r="J161" i="35"/>
  <c r="K161" i="35"/>
  <c r="W292" i="40"/>
  <c r="G335" i="35"/>
  <c r="I335" i="35"/>
  <c r="J335" i="35"/>
  <c r="K335" i="35"/>
  <c r="W291" i="40"/>
  <c r="G24" i="35"/>
  <c r="I24" i="35"/>
  <c r="J24" i="35"/>
  <c r="K24" i="35"/>
  <c r="W290" i="40"/>
  <c r="G37" i="35"/>
  <c r="I37" i="35"/>
  <c r="J37" i="35"/>
  <c r="K37" i="35"/>
  <c r="W289" i="40"/>
  <c r="G287" i="35"/>
  <c r="I287" i="35"/>
  <c r="J287" i="35"/>
  <c r="K287" i="35"/>
  <c r="W288" i="40"/>
  <c r="G57" i="35"/>
  <c r="I57" i="35"/>
  <c r="J57" i="35"/>
  <c r="K57" i="35"/>
  <c r="G58" i="35"/>
  <c r="I58" i="35"/>
  <c r="J58" i="35"/>
  <c r="K58" i="35"/>
  <c r="W287" i="40"/>
  <c r="G133" i="35"/>
  <c r="I133" i="35"/>
  <c r="J133" i="35"/>
  <c r="K133" i="35"/>
  <c r="W286" i="40"/>
  <c r="G333" i="35"/>
  <c r="I333" i="35"/>
  <c r="J333" i="35"/>
  <c r="K333" i="35"/>
  <c r="W285" i="40"/>
  <c r="G334" i="35"/>
  <c r="I334" i="35"/>
  <c r="J334" i="35"/>
  <c r="K334" i="35"/>
  <c r="W284" i="40"/>
  <c r="G216" i="35"/>
  <c r="I216" i="35"/>
  <c r="J216" i="35"/>
  <c r="K216" i="35"/>
  <c r="W283" i="40"/>
  <c r="G109" i="35"/>
  <c r="I109" i="35"/>
  <c r="J109" i="35"/>
  <c r="K109" i="35"/>
  <c r="W282" i="40"/>
  <c r="G20" i="35"/>
  <c r="I20" i="35"/>
  <c r="J20" i="35"/>
  <c r="K20" i="35"/>
  <c r="W281" i="40"/>
  <c r="G251" i="35"/>
  <c r="I251" i="35"/>
  <c r="J251" i="35"/>
  <c r="K251" i="35"/>
  <c r="W280" i="40"/>
  <c r="G122" i="35"/>
  <c r="I122" i="35"/>
  <c r="J122" i="35"/>
  <c r="K122" i="35"/>
  <c r="W279" i="40"/>
  <c r="G67" i="35"/>
  <c r="I67" i="35"/>
  <c r="J67" i="35"/>
  <c r="K67" i="35"/>
  <c r="W278" i="40"/>
  <c r="G68" i="35"/>
  <c r="I68" i="35"/>
  <c r="J68" i="35"/>
  <c r="K68" i="35"/>
  <c r="W277" i="40"/>
  <c r="G92" i="35"/>
  <c r="I92" i="35"/>
  <c r="J92" i="35"/>
  <c r="K92" i="35"/>
  <c r="W276" i="40"/>
  <c r="G50" i="35"/>
  <c r="I50" i="35"/>
  <c r="J50" i="35"/>
  <c r="K50" i="35"/>
  <c r="W275" i="40"/>
  <c r="G100" i="35"/>
  <c r="I100" i="35"/>
  <c r="J100" i="35"/>
  <c r="K100" i="35"/>
  <c r="W274" i="40"/>
  <c r="G142" i="35"/>
  <c r="I142" i="35"/>
  <c r="J142" i="35"/>
  <c r="K142" i="35"/>
  <c r="W273" i="40"/>
  <c r="G207" i="35"/>
  <c r="I207" i="35"/>
  <c r="J207" i="35"/>
  <c r="K207" i="35"/>
  <c r="W272" i="40"/>
  <c r="G17" i="35"/>
  <c r="I17" i="35"/>
  <c r="J17" i="35"/>
  <c r="K17" i="35"/>
  <c r="W271" i="40"/>
  <c r="G6" i="35"/>
  <c r="I6" i="35"/>
  <c r="J6" i="35"/>
  <c r="K6" i="35"/>
  <c r="W270" i="40"/>
  <c r="G42" i="35"/>
  <c r="I42" i="35"/>
  <c r="J42" i="35"/>
  <c r="K42" i="35"/>
  <c r="W269" i="40"/>
  <c r="G130" i="35"/>
  <c r="I130" i="35"/>
  <c r="J130" i="35"/>
  <c r="K130" i="35"/>
  <c r="W268" i="40"/>
  <c r="W267" i="40"/>
  <c r="G107" i="35"/>
  <c r="I107" i="35"/>
  <c r="J107" i="35"/>
  <c r="K107" i="35"/>
  <c r="W266" i="40"/>
  <c r="G61" i="35"/>
  <c r="I61" i="35"/>
  <c r="J61" i="35"/>
  <c r="K61" i="35"/>
  <c r="W265" i="40"/>
  <c r="G38" i="35"/>
  <c r="I38" i="35"/>
  <c r="J38" i="35"/>
  <c r="K38" i="35"/>
  <c r="W264" i="40"/>
  <c r="G40" i="35"/>
  <c r="I40" i="35"/>
  <c r="J40" i="35"/>
  <c r="K40" i="35"/>
  <c r="W263" i="40"/>
  <c r="G116" i="35"/>
  <c r="I116" i="35"/>
  <c r="J116" i="35"/>
  <c r="K116" i="35"/>
  <c r="W262" i="40"/>
  <c r="G154" i="35"/>
  <c r="I154" i="35"/>
  <c r="J154" i="35"/>
  <c r="K154" i="35"/>
  <c r="W261" i="40"/>
  <c r="W260" i="40"/>
  <c r="G110" i="35"/>
  <c r="I110" i="35"/>
  <c r="J110" i="35"/>
  <c r="K110" i="35"/>
  <c r="W259" i="40"/>
  <c r="W258" i="40"/>
  <c r="G159" i="35"/>
  <c r="I159" i="35"/>
  <c r="J159" i="35"/>
  <c r="K159" i="35"/>
  <c r="W257" i="40"/>
  <c r="G215" i="35"/>
  <c r="I215" i="35"/>
  <c r="J215" i="35"/>
  <c r="K215" i="35"/>
  <c r="W256" i="40"/>
  <c r="G119" i="35"/>
  <c r="I119" i="35"/>
  <c r="J119" i="35"/>
  <c r="K119" i="35"/>
  <c r="W255" i="40"/>
  <c r="G218" i="35"/>
  <c r="I218" i="35"/>
  <c r="J218" i="35"/>
  <c r="K218" i="35"/>
  <c r="W254" i="40"/>
  <c r="G187" i="35"/>
  <c r="I187" i="35"/>
  <c r="J187" i="35"/>
  <c r="K187" i="35"/>
  <c r="W253" i="40"/>
  <c r="W252" i="40"/>
  <c r="G70" i="35"/>
  <c r="I70" i="35"/>
  <c r="J70" i="35"/>
  <c r="K70" i="35"/>
  <c r="W251" i="40"/>
  <c r="G269" i="35"/>
  <c r="I269" i="35"/>
  <c r="J269" i="35"/>
  <c r="K269" i="35"/>
  <c r="W250" i="40"/>
  <c r="G204" i="35"/>
  <c r="I204" i="35"/>
  <c r="J204" i="35"/>
  <c r="K204" i="35"/>
  <c r="W249" i="40"/>
  <c r="W248" i="40"/>
  <c r="W247" i="40"/>
  <c r="G43" i="35"/>
  <c r="I43" i="35"/>
  <c r="J43" i="35"/>
  <c r="K43" i="35"/>
  <c r="W246" i="40"/>
  <c r="G272" i="35"/>
  <c r="I272" i="35"/>
  <c r="J272" i="35"/>
  <c r="K272" i="35"/>
  <c r="W245" i="40"/>
  <c r="G124" i="35"/>
  <c r="I124" i="35"/>
  <c r="J124" i="35"/>
  <c r="K124" i="35"/>
  <c r="W244" i="40"/>
  <c r="W243" i="40"/>
  <c r="W242" i="40"/>
  <c r="G2" i="35"/>
  <c r="I2" i="35"/>
  <c r="J2" i="35"/>
  <c r="K2" i="35"/>
  <c r="W241" i="40"/>
  <c r="G316" i="35"/>
  <c r="I316" i="35"/>
  <c r="J316" i="35"/>
  <c r="K316" i="35"/>
  <c r="W240" i="40"/>
  <c r="G288" i="35"/>
  <c r="I288" i="35"/>
  <c r="J288" i="35"/>
  <c r="K288" i="35"/>
  <c r="W239" i="40"/>
  <c r="G261" i="35"/>
  <c r="I261" i="35"/>
  <c r="J261" i="35"/>
  <c r="K261" i="35"/>
  <c r="W238" i="40"/>
  <c r="G113" i="35"/>
  <c r="I113" i="35"/>
  <c r="J113" i="35"/>
  <c r="K113" i="35"/>
  <c r="W237" i="40"/>
  <c r="G247" i="35"/>
  <c r="I247" i="35"/>
  <c r="J247" i="35"/>
  <c r="K247" i="35"/>
  <c r="W236" i="40"/>
  <c r="G238" i="35"/>
  <c r="I238" i="35"/>
  <c r="J238" i="35"/>
  <c r="K238" i="35"/>
  <c r="W235" i="40"/>
  <c r="W234" i="40"/>
  <c r="W233" i="40"/>
  <c r="W232" i="40"/>
  <c r="G234" i="35"/>
  <c r="I234" i="35"/>
  <c r="J234" i="35"/>
  <c r="K234" i="35"/>
  <c r="W231" i="40"/>
  <c r="G125" i="35"/>
  <c r="I125" i="35"/>
  <c r="J125" i="35"/>
  <c r="K125" i="35"/>
  <c r="W230" i="40"/>
  <c r="G23" i="35"/>
  <c r="I23" i="35"/>
  <c r="J23" i="35"/>
  <c r="K23" i="35"/>
  <c r="W229" i="40"/>
  <c r="G81" i="35"/>
  <c r="I81" i="35"/>
  <c r="J81" i="35"/>
  <c r="K81" i="35"/>
  <c r="W228" i="40"/>
  <c r="G82" i="35"/>
  <c r="I82" i="35"/>
  <c r="J82" i="35"/>
  <c r="K82" i="35"/>
  <c r="W227" i="40"/>
  <c r="W226" i="40"/>
  <c r="W225" i="40"/>
  <c r="G79" i="35"/>
  <c r="I79" i="35"/>
  <c r="J79" i="35"/>
  <c r="K79" i="35"/>
  <c r="W224" i="40"/>
  <c r="G150" i="35"/>
  <c r="I150" i="35"/>
  <c r="J150" i="35"/>
  <c r="K150" i="35"/>
  <c r="W223" i="40"/>
  <c r="G44" i="35"/>
  <c r="I44" i="35"/>
  <c r="J44" i="35"/>
  <c r="K44" i="35"/>
  <c r="W222" i="40"/>
  <c r="G231" i="35"/>
  <c r="I231" i="35"/>
  <c r="J231" i="35"/>
  <c r="K231" i="35"/>
  <c r="W221" i="40"/>
  <c r="G27" i="35"/>
  <c r="I27" i="35"/>
  <c r="J27" i="35"/>
  <c r="K27" i="35"/>
  <c r="W220" i="40"/>
  <c r="G36" i="35"/>
  <c r="I36" i="35"/>
  <c r="J36" i="35"/>
  <c r="K36" i="35"/>
  <c r="W219" i="40"/>
  <c r="G246" i="35"/>
  <c r="I246" i="35"/>
  <c r="J246" i="35"/>
  <c r="K246" i="35"/>
  <c r="W218" i="40"/>
  <c r="W217" i="40"/>
  <c r="W216" i="40"/>
  <c r="G210" i="35"/>
  <c r="I210" i="35"/>
  <c r="J210" i="35"/>
  <c r="K210" i="35"/>
  <c r="W215" i="40"/>
  <c r="G59" i="35"/>
  <c r="I59" i="35"/>
  <c r="J59" i="35"/>
  <c r="K59" i="35"/>
  <c r="W214" i="40"/>
  <c r="G93" i="35"/>
  <c r="I93" i="35"/>
  <c r="J93" i="35"/>
  <c r="K93" i="35"/>
  <c r="W213" i="40"/>
  <c r="G155" i="35"/>
  <c r="I155" i="35"/>
  <c r="J155" i="35"/>
  <c r="K155" i="35"/>
  <c r="W212" i="40"/>
  <c r="G173" i="35"/>
  <c r="I173" i="35"/>
  <c r="J173" i="35"/>
  <c r="K173" i="35"/>
  <c r="W211" i="40"/>
  <c r="G302" i="35"/>
  <c r="I302" i="35"/>
  <c r="J302" i="35"/>
  <c r="K302" i="35"/>
  <c r="W210" i="40"/>
  <c r="W209" i="40"/>
  <c r="W208" i="40"/>
  <c r="W207" i="40"/>
  <c r="G16" i="35"/>
  <c r="I16" i="35"/>
  <c r="J16" i="35"/>
  <c r="K16" i="35"/>
  <c r="W206" i="40"/>
  <c r="G277" i="35"/>
  <c r="I277" i="35"/>
  <c r="J277" i="35"/>
  <c r="K277" i="35"/>
  <c r="W205" i="40"/>
  <c r="G310" i="35"/>
  <c r="I310" i="35"/>
  <c r="J310" i="35"/>
  <c r="K310" i="35"/>
  <c r="W204" i="40"/>
  <c r="G177" i="35"/>
  <c r="I177" i="35"/>
  <c r="J177" i="35"/>
  <c r="K177" i="35"/>
  <c r="W203" i="40"/>
  <c r="G164" i="35"/>
  <c r="I164" i="35"/>
  <c r="J164" i="35"/>
  <c r="K164" i="35"/>
  <c r="W202" i="40"/>
  <c r="W201" i="40"/>
  <c r="G245" i="35"/>
  <c r="I245" i="35"/>
  <c r="J245" i="35"/>
  <c r="K245" i="35"/>
  <c r="W200" i="40"/>
  <c r="G15" i="35"/>
  <c r="I15" i="35"/>
  <c r="J15" i="35"/>
  <c r="K15" i="35"/>
  <c r="W199" i="40"/>
  <c r="G151" i="35"/>
  <c r="I151" i="35"/>
  <c r="J151" i="35"/>
  <c r="K151" i="35"/>
  <c r="W198" i="40"/>
  <c r="G106" i="35"/>
  <c r="I106" i="35"/>
  <c r="J106" i="35"/>
  <c r="K106" i="35"/>
  <c r="W197" i="40"/>
  <c r="W196" i="40"/>
  <c r="W195" i="40"/>
  <c r="G111" i="35"/>
  <c r="I111" i="35"/>
  <c r="J111" i="35"/>
  <c r="K111" i="35"/>
  <c r="W194" i="40"/>
  <c r="G85" i="35"/>
  <c r="I85" i="35"/>
  <c r="J85" i="35"/>
  <c r="K85" i="35"/>
  <c r="W193" i="40"/>
  <c r="W192" i="40"/>
  <c r="G76" i="35"/>
  <c r="I76" i="35"/>
  <c r="J76" i="35"/>
  <c r="K76" i="35"/>
  <c r="W191" i="40"/>
  <c r="G21" i="35"/>
  <c r="I21" i="35"/>
  <c r="J21" i="35"/>
  <c r="K21" i="35"/>
  <c r="W190" i="40"/>
  <c r="G137" i="35"/>
  <c r="I137" i="35"/>
  <c r="J137" i="35"/>
  <c r="K137" i="35"/>
  <c r="W189" i="40"/>
  <c r="G162" i="35"/>
  <c r="I162" i="35"/>
  <c r="J162" i="35"/>
  <c r="K162" i="35"/>
  <c r="W188" i="40"/>
  <c r="W187" i="40"/>
  <c r="G144" i="35"/>
  <c r="I144" i="35"/>
  <c r="J144" i="35"/>
  <c r="K144" i="35"/>
  <c r="W186" i="40"/>
  <c r="G186" i="35"/>
  <c r="I186" i="35"/>
  <c r="J186" i="35"/>
  <c r="K186" i="35"/>
  <c r="W185" i="40"/>
  <c r="G153" i="35"/>
  <c r="I153" i="35"/>
  <c r="J153" i="35"/>
  <c r="K153" i="35"/>
  <c r="W184" i="40"/>
  <c r="G131" i="35"/>
  <c r="I131" i="35"/>
  <c r="J131" i="35"/>
  <c r="K131" i="35"/>
  <c r="W183" i="40"/>
  <c r="W182" i="40"/>
  <c r="G84" i="35"/>
  <c r="I84" i="35"/>
  <c r="J84" i="35"/>
  <c r="K84" i="35"/>
  <c r="W181" i="40"/>
  <c r="G264" i="35"/>
  <c r="I264" i="35"/>
  <c r="J264" i="35"/>
  <c r="K264" i="35"/>
  <c r="W180" i="40"/>
  <c r="W179" i="40"/>
  <c r="G170" i="35"/>
  <c r="I170" i="35"/>
  <c r="J170" i="35"/>
  <c r="K170" i="35"/>
  <c r="W178" i="40"/>
  <c r="I148" i="35"/>
  <c r="J148" i="35"/>
  <c r="K148" i="35"/>
  <c r="W177" i="40"/>
  <c r="G10" i="35"/>
  <c r="I10" i="35"/>
  <c r="J10" i="35"/>
  <c r="K10" i="35"/>
  <c r="W176" i="40"/>
  <c r="G66" i="35"/>
  <c r="I66" i="35"/>
  <c r="J66" i="35"/>
  <c r="K66" i="35"/>
  <c r="W175" i="40"/>
  <c r="W174" i="40"/>
  <c r="G71" i="35"/>
  <c r="I71" i="35"/>
  <c r="J71" i="35"/>
  <c r="K71" i="35"/>
  <c r="W173" i="40"/>
  <c r="W172" i="40"/>
  <c r="G118" i="35"/>
  <c r="I118" i="35"/>
  <c r="J118" i="35"/>
  <c r="K118" i="35"/>
  <c r="W171" i="40"/>
  <c r="G22" i="35"/>
  <c r="I22" i="35"/>
  <c r="J22" i="35"/>
  <c r="K22" i="35"/>
  <c r="W170" i="40"/>
  <c r="W169" i="40"/>
  <c r="G338" i="35"/>
  <c r="I338" i="35"/>
  <c r="J338" i="35"/>
  <c r="K338" i="35"/>
  <c r="W168" i="40"/>
  <c r="G169" i="35"/>
  <c r="I169" i="35"/>
  <c r="J169" i="35"/>
  <c r="K169" i="35"/>
  <c r="W167" i="40"/>
  <c r="G25" i="35"/>
  <c r="I25" i="35"/>
  <c r="J25" i="35"/>
  <c r="K25" i="35"/>
  <c r="W166" i="40"/>
  <c r="W165" i="40"/>
  <c r="G185" i="35"/>
  <c r="I185" i="35"/>
  <c r="J185" i="35"/>
  <c r="K185" i="35"/>
  <c r="W164" i="40"/>
  <c r="G250" i="35"/>
  <c r="I250" i="35"/>
  <c r="J250" i="35"/>
  <c r="K250" i="35"/>
  <c r="W163" i="40"/>
  <c r="G98" i="35"/>
  <c r="I98" i="35"/>
  <c r="J98" i="35"/>
  <c r="K98" i="35"/>
  <c r="W162" i="40"/>
  <c r="W161" i="40"/>
  <c r="W160" i="40"/>
  <c r="G4" i="35"/>
  <c r="I4" i="35"/>
  <c r="J4" i="35"/>
  <c r="K4" i="35"/>
  <c r="W159" i="40"/>
  <c r="G172" i="35"/>
  <c r="I172" i="35"/>
  <c r="J172" i="35"/>
  <c r="K172" i="35"/>
  <c r="W158" i="40"/>
  <c r="G188" i="35"/>
  <c r="I188" i="35"/>
  <c r="J188" i="35"/>
  <c r="K188" i="35"/>
  <c r="W157" i="40"/>
  <c r="G160" i="35"/>
  <c r="I160" i="35"/>
  <c r="J160" i="35"/>
  <c r="K160" i="35"/>
  <c r="W156" i="40"/>
  <c r="J115" i="35"/>
  <c r="K115" i="35"/>
  <c r="W155" i="40"/>
  <c r="G26" i="35"/>
  <c r="I26" i="35"/>
  <c r="J26" i="35"/>
  <c r="K26" i="35"/>
  <c r="W154" i="40"/>
  <c r="G337" i="35"/>
  <c r="I337" i="35"/>
  <c r="J337" i="35"/>
  <c r="K337" i="35"/>
  <c r="W153" i="40"/>
  <c r="W152" i="40"/>
  <c r="G265" i="35"/>
  <c r="I265" i="35"/>
  <c r="J265" i="35"/>
  <c r="K265" i="35"/>
  <c r="W151" i="40"/>
  <c r="G94" i="35"/>
  <c r="I94" i="35"/>
  <c r="J94" i="35"/>
  <c r="K94" i="35"/>
  <c r="W150" i="40"/>
  <c r="G171" i="35"/>
  <c r="I171" i="35"/>
  <c r="J171" i="35"/>
  <c r="K171" i="35"/>
  <c r="W149" i="40"/>
  <c r="W148" i="40"/>
  <c r="G222" i="35"/>
  <c r="I222" i="35"/>
  <c r="J222" i="35"/>
  <c r="K222" i="35"/>
  <c r="W147" i="40"/>
  <c r="G32" i="35"/>
  <c r="I32" i="35"/>
  <c r="J32" i="35"/>
  <c r="K32" i="35"/>
  <c r="W146" i="40"/>
  <c r="G147" i="35"/>
  <c r="I147" i="35"/>
  <c r="J147" i="35"/>
  <c r="K147" i="35"/>
  <c r="W145" i="40"/>
  <c r="G201" i="35"/>
  <c r="I201" i="35"/>
  <c r="J201" i="35"/>
  <c r="K201" i="35"/>
  <c r="W144" i="40"/>
  <c r="G275" i="35"/>
  <c r="I275" i="35"/>
  <c r="J275" i="35"/>
  <c r="K275" i="35"/>
  <c r="W143" i="40"/>
  <c r="W142" i="40"/>
  <c r="G121" i="35"/>
  <c r="I121" i="35"/>
  <c r="J121" i="35"/>
  <c r="K121" i="35"/>
  <c r="W141" i="40"/>
  <c r="W140" i="40"/>
  <c r="G182" i="35"/>
  <c r="I182" i="35"/>
  <c r="J182" i="35"/>
  <c r="K182" i="35"/>
  <c r="W139" i="40"/>
  <c r="G241" i="35"/>
  <c r="I241" i="35"/>
  <c r="J241" i="35"/>
  <c r="K241" i="35"/>
  <c r="W138" i="40"/>
  <c r="W137" i="40"/>
  <c r="W136" i="40"/>
  <c r="G45" i="35"/>
  <c r="I45" i="35"/>
  <c r="J45" i="35"/>
  <c r="K45" i="35"/>
  <c r="W135" i="40"/>
  <c r="G135" i="35"/>
  <c r="I135" i="35"/>
  <c r="J135" i="35"/>
  <c r="K135" i="35"/>
  <c r="W134" i="40"/>
  <c r="G237" i="35"/>
  <c r="I237" i="35"/>
  <c r="J237" i="35"/>
  <c r="K237" i="35"/>
  <c r="W133" i="40"/>
  <c r="G213" i="35"/>
  <c r="I213" i="35"/>
  <c r="J213" i="35"/>
  <c r="K213" i="35"/>
  <c r="W132" i="40"/>
  <c r="G8" i="35"/>
  <c r="I8" i="35"/>
  <c r="J8" i="35"/>
  <c r="K8" i="35"/>
  <c r="W131" i="40"/>
  <c r="G320" i="35"/>
  <c r="I320" i="35"/>
  <c r="J320" i="35"/>
  <c r="K320" i="35"/>
  <c r="W130" i="40"/>
  <c r="W129" i="40"/>
  <c r="G62" i="35"/>
  <c r="I62" i="35"/>
  <c r="J62" i="35"/>
  <c r="K62" i="35"/>
  <c r="W128" i="40"/>
  <c r="G112" i="35"/>
  <c r="I112" i="35"/>
  <c r="J112" i="35"/>
  <c r="K112" i="35"/>
  <c r="W127" i="40"/>
  <c r="G102" i="35"/>
  <c r="I102" i="35"/>
  <c r="J102" i="35"/>
  <c r="K102" i="35"/>
  <c r="W126" i="40"/>
  <c r="W125" i="40"/>
  <c r="W124" i="40"/>
  <c r="G108" i="35"/>
  <c r="I108" i="35"/>
  <c r="J108" i="35"/>
  <c r="K108" i="35"/>
  <c r="W123" i="40"/>
  <c r="G11" i="35"/>
  <c r="I11" i="35"/>
  <c r="J11" i="35"/>
  <c r="K11" i="35"/>
  <c r="W122" i="40"/>
  <c r="W121" i="40"/>
  <c r="W120" i="40"/>
  <c r="G14" i="35"/>
  <c r="I14" i="35"/>
  <c r="J14" i="35"/>
  <c r="K14" i="35"/>
  <c r="W119" i="40"/>
  <c r="G120" i="35"/>
  <c r="I120" i="35"/>
  <c r="J120" i="35"/>
  <c r="K120" i="35"/>
  <c r="W118" i="40"/>
  <c r="G178" i="35"/>
  <c r="I178" i="35"/>
  <c r="J178" i="35"/>
  <c r="K178" i="35"/>
  <c r="W117" i="40"/>
  <c r="G129" i="35"/>
  <c r="I129" i="35"/>
  <c r="J129" i="35"/>
  <c r="K129" i="35"/>
  <c r="W116" i="40"/>
  <c r="J329" i="35"/>
  <c r="K329" i="35"/>
  <c r="W115" i="40"/>
  <c r="W114" i="40"/>
  <c r="G273" i="35"/>
  <c r="I273" i="35"/>
  <c r="J273" i="35"/>
  <c r="K273" i="35"/>
  <c r="W113" i="40"/>
  <c r="G282" i="35"/>
  <c r="I282" i="35"/>
  <c r="J282" i="35"/>
  <c r="K282" i="35"/>
  <c r="W112" i="40"/>
  <c r="G198" i="35"/>
  <c r="I198" i="35"/>
  <c r="J198" i="35"/>
  <c r="K198" i="35"/>
  <c r="W111" i="40"/>
  <c r="G75" i="35"/>
  <c r="I75" i="35"/>
  <c r="J75" i="35"/>
  <c r="K75" i="35"/>
  <c r="W110" i="40"/>
  <c r="W109" i="40"/>
  <c r="G95" i="35"/>
  <c r="I95" i="35"/>
  <c r="J95" i="35"/>
  <c r="K95" i="35"/>
  <c r="W108" i="40"/>
  <c r="G78" i="35"/>
  <c r="I78" i="35"/>
  <c r="J78" i="35"/>
  <c r="K78" i="35"/>
  <c r="W107" i="40"/>
  <c r="W106" i="40"/>
  <c r="G143" i="35"/>
  <c r="I143" i="35"/>
  <c r="J143" i="35"/>
  <c r="K143" i="35"/>
  <c r="W105" i="40"/>
  <c r="W104" i="40"/>
  <c r="G267" i="35"/>
  <c r="I267" i="35"/>
  <c r="J267" i="35"/>
  <c r="K267" i="35"/>
  <c r="W103" i="40"/>
  <c r="W102" i="40"/>
  <c r="G259" i="35"/>
  <c r="I259" i="35"/>
  <c r="J259" i="35"/>
  <c r="K259" i="35"/>
  <c r="W101" i="40"/>
  <c r="G167" i="35"/>
  <c r="I167" i="35"/>
  <c r="J167" i="35"/>
  <c r="K167" i="35"/>
  <c r="W100" i="40"/>
  <c r="G166" i="35"/>
  <c r="I166" i="35"/>
  <c r="J166" i="35"/>
  <c r="K166" i="35"/>
  <c r="W99" i="40"/>
  <c r="W98" i="40"/>
  <c r="G309" i="35"/>
  <c r="I309" i="35"/>
  <c r="J309" i="35"/>
  <c r="K309" i="35"/>
  <c r="W97" i="40"/>
  <c r="W96" i="40"/>
  <c r="G199" i="35"/>
  <c r="I199" i="35"/>
  <c r="J199" i="35"/>
  <c r="K199" i="35"/>
  <c r="W95" i="40"/>
  <c r="G77" i="35"/>
  <c r="I77" i="35"/>
  <c r="J77" i="35"/>
  <c r="K77" i="35"/>
  <c r="W94" i="40"/>
  <c r="G3" i="35"/>
  <c r="I3" i="35"/>
  <c r="J3" i="35"/>
  <c r="K3" i="35"/>
  <c r="W93" i="40"/>
  <c r="G90" i="35"/>
  <c r="I90" i="35"/>
  <c r="J90" i="35"/>
  <c r="K90" i="35"/>
  <c r="W92" i="40"/>
  <c r="W91" i="40"/>
  <c r="G226" i="35"/>
  <c r="I226" i="35"/>
  <c r="J226" i="35"/>
  <c r="K226" i="35"/>
  <c r="W90" i="40"/>
  <c r="W89" i="40"/>
  <c r="G83" i="35"/>
  <c r="I83" i="35"/>
  <c r="J83" i="35"/>
  <c r="K83" i="35"/>
  <c r="W88" i="40"/>
  <c r="W87" i="40"/>
  <c r="G224" i="35"/>
  <c r="I224" i="35"/>
  <c r="J224" i="35"/>
  <c r="K224" i="35"/>
  <c r="W86" i="40"/>
  <c r="W85" i="40"/>
  <c r="G146" i="35"/>
  <c r="I146" i="35"/>
  <c r="J146" i="35"/>
  <c r="K146" i="35"/>
  <c r="W84" i="40"/>
  <c r="G103" i="35"/>
  <c r="I103" i="35"/>
  <c r="J103" i="35"/>
  <c r="K103" i="35"/>
  <c r="W83" i="40"/>
  <c r="F7" i="35"/>
  <c r="G7" i="35"/>
  <c r="I7" i="35"/>
  <c r="J7" i="35"/>
  <c r="K7" i="35"/>
  <c r="W82" i="40"/>
  <c r="W81" i="40"/>
  <c r="W80" i="40"/>
  <c r="G127" i="35"/>
  <c r="I127" i="35"/>
  <c r="J127" i="35"/>
  <c r="K127" i="35"/>
  <c r="G128" i="35"/>
  <c r="I128" i="35"/>
  <c r="J128" i="35"/>
  <c r="K128" i="35"/>
  <c r="W79" i="40"/>
  <c r="G132" i="35"/>
  <c r="I132" i="35"/>
  <c r="J132" i="35"/>
  <c r="K132" i="35"/>
  <c r="W78" i="40"/>
  <c r="W77" i="40"/>
  <c r="T77" i="40"/>
  <c r="T78" i="40"/>
  <c r="T79" i="40"/>
  <c r="T80" i="40"/>
  <c r="T81" i="40"/>
  <c r="T82" i="40"/>
  <c r="T83" i="40"/>
  <c r="T84" i="40"/>
  <c r="T85" i="40"/>
  <c r="T86" i="40"/>
  <c r="T87" i="40"/>
  <c r="T88" i="40"/>
  <c r="T89" i="40"/>
  <c r="T90" i="40"/>
  <c r="T91" i="40"/>
  <c r="T92" i="40"/>
  <c r="T93" i="40"/>
  <c r="T94" i="40"/>
  <c r="T95" i="40"/>
  <c r="T96" i="40"/>
  <c r="T97" i="40"/>
  <c r="T98" i="40"/>
  <c r="T99" i="40"/>
  <c r="T100" i="40"/>
  <c r="T101" i="40"/>
  <c r="T102" i="40"/>
  <c r="T103" i="40"/>
  <c r="T104" i="40"/>
  <c r="T105" i="40"/>
  <c r="T106" i="40"/>
  <c r="T107" i="40"/>
  <c r="T108" i="40"/>
  <c r="T109" i="40"/>
  <c r="T110" i="40"/>
  <c r="T111" i="40"/>
  <c r="T112" i="40"/>
  <c r="T113" i="40"/>
  <c r="T114" i="40"/>
  <c r="T115" i="40"/>
  <c r="T116" i="40"/>
  <c r="T117" i="40"/>
  <c r="T118" i="40"/>
  <c r="T119" i="40"/>
  <c r="T120" i="40"/>
  <c r="T121" i="40"/>
  <c r="T122" i="40"/>
  <c r="T123" i="40"/>
  <c r="T124" i="40"/>
  <c r="T125" i="40"/>
  <c r="T126" i="40"/>
  <c r="T127" i="40"/>
  <c r="T128" i="40"/>
  <c r="T129" i="40"/>
  <c r="T130" i="40"/>
  <c r="T131" i="40"/>
  <c r="T132" i="40"/>
  <c r="T133" i="40"/>
  <c r="T134" i="40"/>
  <c r="T135" i="40"/>
  <c r="T136" i="40"/>
  <c r="T137" i="40"/>
  <c r="T138" i="40"/>
  <c r="T139" i="40"/>
  <c r="T140" i="40"/>
  <c r="T141" i="40"/>
  <c r="T142" i="40"/>
  <c r="T143" i="40"/>
  <c r="T144" i="40"/>
  <c r="T145" i="40"/>
  <c r="T146" i="40"/>
  <c r="T147" i="40"/>
  <c r="T148" i="40"/>
  <c r="T149" i="40"/>
  <c r="T150" i="40"/>
  <c r="T151" i="40"/>
  <c r="T152" i="40"/>
  <c r="T153" i="40"/>
  <c r="T154" i="40"/>
  <c r="T155" i="40"/>
  <c r="T156" i="40"/>
  <c r="T157" i="40"/>
  <c r="T158" i="40"/>
  <c r="T159" i="40"/>
  <c r="T160" i="40"/>
  <c r="T161" i="40"/>
  <c r="T162" i="40"/>
  <c r="T163" i="40"/>
  <c r="T164" i="40"/>
  <c r="T165" i="40"/>
  <c r="T166" i="40"/>
  <c r="T167" i="40"/>
  <c r="T168" i="40"/>
  <c r="T169" i="40"/>
  <c r="T170" i="40"/>
  <c r="T171" i="40"/>
  <c r="T172" i="40"/>
  <c r="T173" i="40"/>
  <c r="T174" i="40"/>
  <c r="T175" i="40"/>
  <c r="T176" i="40"/>
  <c r="T177" i="40"/>
  <c r="T178" i="40"/>
  <c r="T179" i="40"/>
  <c r="T180" i="40"/>
  <c r="T181" i="40"/>
  <c r="T182" i="40"/>
  <c r="T183" i="40"/>
  <c r="T184" i="40"/>
  <c r="T185" i="40"/>
  <c r="T186" i="40"/>
  <c r="T187" i="40"/>
  <c r="T188" i="40"/>
  <c r="T189" i="40"/>
  <c r="T190" i="40"/>
  <c r="T191" i="40"/>
  <c r="T192" i="40"/>
  <c r="T193" i="40"/>
  <c r="T194" i="40"/>
  <c r="T195" i="40"/>
  <c r="T196" i="40"/>
  <c r="T197" i="40"/>
  <c r="T198" i="40"/>
  <c r="T199" i="40"/>
  <c r="T200" i="40"/>
  <c r="T201" i="40"/>
  <c r="T202" i="40"/>
  <c r="T203" i="40"/>
  <c r="T204" i="40"/>
  <c r="T205" i="40"/>
  <c r="T206" i="40"/>
  <c r="T207" i="40"/>
  <c r="T208" i="40"/>
  <c r="T209" i="40"/>
  <c r="T210" i="40"/>
  <c r="T211" i="40"/>
  <c r="T212" i="40"/>
  <c r="T213" i="40"/>
  <c r="T214" i="40"/>
  <c r="T215" i="40"/>
  <c r="T216" i="40"/>
  <c r="T217" i="40"/>
  <c r="T218" i="40"/>
  <c r="T219" i="40"/>
  <c r="T220" i="40"/>
  <c r="T221" i="40"/>
  <c r="T222" i="40"/>
  <c r="T223" i="40"/>
  <c r="T224" i="40"/>
  <c r="T225" i="40"/>
  <c r="T226" i="40"/>
  <c r="T227" i="40"/>
  <c r="T228" i="40"/>
  <c r="T229" i="40"/>
  <c r="T230" i="40"/>
  <c r="T231" i="40"/>
  <c r="T232" i="40"/>
  <c r="T233" i="40"/>
  <c r="T234" i="40"/>
  <c r="T235" i="40"/>
  <c r="T236" i="40"/>
  <c r="T237" i="40"/>
  <c r="T238" i="40"/>
  <c r="T239" i="40"/>
  <c r="T240" i="40"/>
  <c r="T241" i="40"/>
  <c r="T242" i="40"/>
  <c r="T243" i="40"/>
  <c r="T244" i="40"/>
  <c r="T245" i="40"/>
  <c r="T246" i="40"/>
  <c r="T247" i="40"/>
  <c r="T248" i="40"/>
  <c r="T249" i="40"/>
  <c r="T250" i="40"/>
  <c r="T251" i="40"/>
  <c r="T252" i="40"/>
  <c r="T253" i="40"/>
  <c r="T254" i="40"/>
  <c r="T255" i="40"/>
  <c r="T256" i="40"/>
  <c r="T257" i="40"/>
  <c r="T258" i="40"/>
  <c r="T259" i="40"/>
  <c r="T260" i="40"/>
  <c r="T261" i="40"/>
  <c r="T262" i="40"/>
  <c r="T263" i="40"/>
  <c r="T264" i="40"/>
  <c r="T265" i="40"/>
  <c r="T266" i="40"/>
  <c r="T267" i="40"/>
  <c r="T268" i="40"/>
  <c r="T269" i="40"/>
  <c r="T270" i="40"/>
  <c r="T271" i="40"/>
  <c r="T272" i="40"/>
  <c r="T273" i="40"/>
  <c r="T274" i="40"/>
  <c r="T275" i="40"/>
  <c r="T276" i="40"/>
  <c r="T277" i="40"/>
  <c r="T278" i="40"/>
  <c r="T279" i="40"/>
  <c r="T280" i="40"/>
  <c r="T281" i="40"/>
  <c r="T282" i="40"/>
  <c r="T283" i="40"/>
  <c r="T284" i="40"/>
  <c r="T285" i="40"/>
  <c r="T286" i="40"/>
  <c r="T287" i="40"/>
  <c r="T288" i="40"/>
  <c r="T289" i="40"/>
  <c r="T290" i="40"/>
  <c r="T291" i="40"/>
  <c r="T292" i="40"/>
  <c r="T293" i="40"/>
  <c r="T294" i="40"/>
  <c r="T295" i="40"/>
  <c r="T296" i="40"/>
  <c r="T297" i="40"/>
  <c r="T298" i="40"/>
  <c r="T299" i="40"/>
  <c r="T300" i="40"/>
  <c r="T301" i="40"/>
  <c r="T302" i="40"/>
  <c r="T303" i="40"/>
  <c r="T304" i="40"/>
  <c r="T305" i="40"/>
  <c r="T306" i="40"/>
  <c r="T307" i="40"/>
  <c r="T308" i="40"/>
  <c r="T309" i="40"/>
  <c r="T310" i="40"/>
  <c r="T311" i="40"/>
  <c r="T312" i="40"/>
  <c r="T313" i="40"/>
  <c r="T314" i="40"/>
  <c r="T315" i="40"/>
  <c r="T316" i="40"/>
  <c r="T317" i="40"/>
  <c r="T318" i="40"/>
  <c r="T319" i="40"/>
  <c r="T320" i="40"/>
  <c r="T321" i="40"/>
  <c r="T322" i="40"/>
  <c r="T323" i="40"/>
  <c r="T324" i="40"/>
  <c r="T325" i="40"/>
  <c r="T326" i="40"/>
  <c r="T327" i="40"/>
  <c r="T328" i="40"/>
  <c r="T329" i="40"/>
  <c r="T330" i="40"/>
  <c r="T331" i="40"/>
  <c r="T332" i="40"/>
  <c r="T333" i="40"/>
  <c r="T334" i="40"/>
  <c r="T335" i="40"/>
  <c r="T336" i="40"/>
  <c r="T337" i="40"/>
  <c r="T338" i="40"/>
  <c r="T339" i="40"/>
  <c r="T340" i="40"/>
  <c r="T341" i="40"/>
  <c r="T342" i="40"/>
  <c r="T343" i="40"/>
  <c r="T344" i="40"/>
  <c r="T345" i="40"/>
  <c r="T346" i="40"/>
  <c r="T347" i="40"/>
  <c r="T348" i="40"/>
  <c r="T349" i="40"/>
  <c r="T350" i="40"/>
  <c r="T351" i="40"/>
  <c r="T352" i="40"/>
  <c r="T353" i="40"/>
  <c r="T354" i="40"/>
  <c r="T355" i="40"/>
  <c r="T356" i="40"/>
  <c r="T357" i="40"/>
  <c r="T358" i="40"/>
  <c r="T359" i="40"/>
  <c r="T360" i="40"/>
  <c r="T361" i="40"/>
  <c r="T362" i="40"/>
  <c r="T363" i="40"/>
  <c r="T364" i="40"/>
  <c r="T365" i="40"/>
  <c r="T366" i="40"/>
  <c r="T367" i="40"/>
  <c r="T368" i="40"/>
  <c r="T369" i="40"/>
  <c r="T370" i="40"/>
  <c r="T371" i="40"/>
  <c r="T372" i="40"/>
  <c r="T373" i="40"/>
  <c r="T374" i="40"/>
  <c r="T375" i="40"/>
  <c r="T376" i="40"/>
  <c r="T377" i="40"/>
  <c r="T378" i="40"/>
  <c r="T379" i="40"/>
  <c r="T380" i="40"/>
  <c r="T381" i="40"/>
  <c r="T382" i="40"/>
  <c r="T383" i="40"/>
  <c r="T384" i="40"/>
  <c r="T385" i="40"/>
  <c r="T386" i="40"/>
  <c r="T387" i="40"/>
  <c r="T388" i="40"/>
  <c r="T389" i="40"/>
  <c r="T390" i="40"/>
  <c r="T391" i="40"/>
  <c r="T392" i="40"/>
  <c r="T393" i="40"/>
  <c r="T394" i="40"/>
  <c r="T395" i="40"/>
  <c r="T396" i="40"/>
  <c r="T397" i="40"/>
  <c r="T398" i="40"/>
  <c r="T399" i="40"/>
  <c r="T400" i="40"/>
  <c r="T401" i="40"/>
  <c r="T402" i="40"/>
  <c r="T403" i="40"/>
  <c r="T404" i="40"/>
  <c r="T405" i="40"/>
  <c r="T406" i="40"/>
  <c r="T407" i="40"/>
  <c r="T408" i="40"/>
  <c r="T409" i="40"/>
  <c r="T410" i="40"/>
  <c r="T411" i="40"/>
  <c r="T412" i="40"/>
  <c r="T413" i="40"/>
  <c r="T414" i="40"/>
  <c r="T415" i="40"/>
  <c r="T416" i="40"/>
  <c r="T417" i="40"/>
  <c r="T418" i="40"/>
  <c r="T419" i="40"/>
  <c r="T420" i="40"/>
  <c r="T421" i="40"/>
  <c r="T422" i="40"/>
  <c r="T423" i="40"/>
  <c r="T424" i="40"/>
  <c r="T425" i="40"/>
  <c r="T426" i="40"/>
  <c r="T427" i="40"/>
  <c r="T428" i="40"/>
  <c r="T429" i="40"/>
  <c r="T430" i="40"/>
  <c r="T431" i="40"/>
  <c r="T432" i="40"/>
  <c r="T433" i="40"/>
  <c r="T434" i="40"/>
  <c r="T435" i="40"/>
  <c r="T436" i="40"/>
  <c r="T437" i="40"/>
  <c r="T438" i="40"/>
  <c r="T439" i="40"/>
  <c r="T440" i="40"/>
  <c r="T441" i="40"/>
  <c r="T442" i="40"/>
  <c r="T443" i="40"/>
  <c r="T444" i="40"/>
  <c r="T445" i="40"/>
  <c r="T446" i="40"/>
  <c r="T447" i="40"/>
  <c r="T448" i="40"/>
  <c r="T449" i="40"/>
  <c r="T450" i="40"/>
  <c r="T451" i="40"/>
  <c r="T452" i="40"/>
  <c r="T453" i="40"/>
  <c r="T454" i="40"/>
  <c r="T455" i="40"/>
  <c r="T456" i="40"/>
  <c r="T457" i="40"/>
  <c r="T458" i="40"/>
  <c r="T459" i="40"/>
  <c r="T460" i="40"/>
  <c r="T461" i="40"/>
  <c r="T462" i="40"/>
  <c r="T463" i="40"/>
  <c r="T464" i="40"/>
  <c r="T465" i="40"/>
  <c r="T466" i="40"/>
  <c r="T467" i="40"/>
  <c r="T468" i="40"/>
  <c r="T469" i="40"/>
  <c r="T470" i="40"/>
  <c r="T471" i="40"/>
  <c r="T472" i="40"/>
  <c r="T473" i="40"/>
  <c r="T474" i="40"/>
  <c r="T475" i="40"/>
  <c r="T476" i="40"/>
  <c r="T477" i="40"/>
  <c r="T478" i="40"/>
  <c r="T479" i="40"/>
  <c r="T480" i="40"/>
  <c r="T481" i="40"/>
  <c r="T482" i="40"/>
  <c r="T483" i="40"/>
  <c r="T484" i="40"/>
  <c r="T485" i="40"/>
  <c r="T486" i="40"/>
  <c r="T487" i="40"/>
  <c r="T488" i="40"/>
  <c r="T489" i="40"/>
  <c r="T490" i="40"/>
  <c r="T491" i="40"/>
  <c r="T492" i="40"/>
  <c r="T493" i="40"/>
  <c r="T494" i="40"/>
  <c r="T495" i="40"/>
  <c r="T496" i="40"/>
  <c r="T497" i="40"/>
  <c r="T498" i="40"/>
  <c r="T499" i="40"/>
  <c r="T500" i="40"/>
  <c r="T501" i="40"/>
  <c r="T502" i="40"/>
  <c r="T503" i="40"/>
  <c r="T504" i="40"/>
  <c r="T505" i="40"/>
  <c r="T506" i="40"/>
  <c r="T507" i="40"/>
  <c r="T508" i="40"/>
  <c r="T509" i="40"/>
  <c r="T510" i="40"/>
  <c r="T511" i="40"/>
  <c r="T512" i="40"/>
  <c r="T513" i="40"/>
  <c r="T514" i="40"/>
  <c r="T515" i="40"/>
  <c r="T76" i="40"/>
  <c r="S77" i="40"/>
  <c r="S78" i="40"/>
  <c r="S79" i="40"/>
  <c r="S80" i="40"/>
  <c r="S81" i="40"/>
  <c r="S82" i="40"/>
  <c r="S83" i="40"/>
  <c r="S84" i="40"/>
  <c r="S85" i="40"/>
  <c r="S86" i="40"/>
  <c r="S87" i="40"/>
  <c r="S88" i="40"/>
  <c r="S89" i="40"/>
  <c r="S90" i="40"/>
  <c r="S91" i="40"/>
  <c r="S92" i="40"/>
  <c r="S93" i="40"/>
  <c r="S94" i="40"/>
  <c r="S95" i="40"/>
  <c r="S96" i="40"/>
  <c r="S97" i="40"/>
  <c r="S98" i="40"/>
  <c r="S99" i="40"/>
  <c r="S100" i="40"/>
  <c r="S101" i="40"/>
  <c r="S102" i="40"/>
  <c r="S103" i="40"/>
  <c r="S104" i="40"/>
  <c r="S105" i="40"/>
  <c r="S106" i="40"/>
  <c r="S107" i="40"/>
  <c r="S108" i="40"/>
  <c r="S109" i="40"/>
  <c r="S110" i="40"/>
  <c r="S111" i="40"/>
  <c r="S112" i="40"/>
  <c r="S113" i="40"/>
  <c r="S114" i="40"/>
  <c r="S115" i="40"/>
  <c r="S116" i="40"/>
  <c r="S117" i="40"/>
  <c r="S118" i="40"/>
  <c r="S119" i="40"/>
  <c r="S120" i="40"/>
  <c r="S121" i="40"/>
  <c r="S122" i="40"/>
  <c r="S123" i="40"/>
  <c r="S124" i="40"/>
  <c r="S125" i="40"/>
  <c r="S126" i="40"/>
  <c r="S127" i="40"/>
  <c r="S128" i="40"/>
  <c r="S129" i="40"/>
  <c r="S130" i="40"/>
  <c r="S131" i="40"/>
  <c r="S132" i="40"/>
  <c r="S133" i="40"/>
  <c r="S134" i="40"/>
  <c r="S135" i="40"/>
  <c r="S136" i="40"/>
  <c r="S137" i="40"/>
  <c r="S138" i="40"/>
  <c r="S139" i="40"/>
  <c r="S140" i="40"/>
  <c r="S141" i="40"/>
  <c r="S142" i="40"/>
  <c r="S143" i="40"/>
  <c r="S144" i="40"/>
  <c r="S145" i="40"/>
  <c r="S146" i="40"/>
  <c r="S147" i="40"/>
  <c r="S148" i="40"/>
  <c r="S149" i="40"/>
  <c r="S150" i="40"/>
  <c r="S151" i="40"/>
  <c r="S152" i="40"/>
  <c r="S153" i="40"/>
  <c r="S154" i="40"/>
  <c r="S155" i="40"/>
  <c r="S156" i="40"/>
  <c r="S157" i="40"/>
  <c r="S158" i="40"/>
  <c r="S159" i="40"/>
  <c r="S160" i="40"/>
  <c r="S161" i="40"/>
  <c r="S162" i="40"/>
  <c r="S163" i="40"/>
  <c r="S164" i="40"/>
  <c r="S165" i="40"/>
  <c r="S166" i="40"/>
  <c r="S167" i="40"/>
  <c r="S168" i="40"/>
  <c r="S169" i="40"/>
  <c r="S170" i="40"/>
  <c r="S171" i="40"/>
  <c r="S172" i="40"/>
  <c r="S173" i="40"/>
  <c r="S174" i="40"/>
  <c r="S175" i="40"/>
  <c r="S176" i="40"/>
  <c r="S177" i="40"/>
  <c r="S178" i="40"/>
  <c r="S179" i="40"/>
  <c r="S180" i="40"/>
  <c r="S181" i="40"/>
  <c r="S182" i="40"/>
  <c r="S183" i="40"/>
  <c r="S184" i="40"/>
  <c r="S185" i="40"/>
  <c r="S186" i="40"/>
  <c r="S187" i="40"/>
  <c r="S188" i="40"/>
  <c r="S189" i="40"/>
  <c r="S190" i="40"/>
  <c r="S191" i="40"/>
  <c r="S192" i="40"/>
  <c r="S193" i="40"/>
  <c r="S194" i="40"/>
  <c r="S195" i="40"/>
  <c r="S196" i="40"/>
  <c r="S197" i="40"/>
  <c r="S198" i="40"/>
  <c r="S199" i="40"/>
  <c r="S200" i="40"/>
  <c r="S201" i="40"/>
  <c r="S202" i="40"/>
  <c r="S203" i="40"/>
  <c r="S204" i="40"/>
  <c r="S205" i="40"/>
  <c r="S206" i="40"/>
  <c r="S207" i="40"/>
  <c r="S208" i="40"/>
  <c r="S209" i="40"/>
  <c r="S210" i="40"/>
  <c r="S211" i="40"/>
  <c r="S212" i="40"/>
  <c r="S213" i="40"/>
  <c r="S214" i="40"/>
  <c r="S215" i="40"/>
  <c r="S216" i="40"/>
  <c r="S217" i="40"/>
  <c r="S218" i="40"/>
  <c r="S219" i="40"/>
  <c r="S220" i="40"/>
  <c r="S221" i="40"/>
  <c r="S222" i="40"/>
  <c r="S223" i="40"/>
  <c r="S224" i="40"/>
  <c r="S225" i="40"/>
  <c r="S226" i="40"/>
  <c r="S227" i="40"/>
  <c r="S228" i="40"/>
  <c r="S229" i="40"/>
  <c r="S230" i="40"/>
  <c r="S231" i="40"/>
  <c r="S232" i="40"/>
  <c r="S233" i="40"/>
  <c r="S234" i="40"/>
  <c r="S235" i="40"/>
  <c r="S236" i="40"/>
  <c r="S237" i="40"/>
  <c r="S238" i="40"/>
  <c r="S239" i="40"/>
  <c r="S240" i="40"/>
  <c r="S241" i="40"/>
  <c r="S242" i="40"/>
  <c r="S243" i="40"/>
  <c r="S244" i="40"/>
  <c r="S245" i="40"/>
  <c r="S246" i="40"/>
  <c r="S247" i="40"/>
  <c r="S248" i="40"/>
  <c r="S249" i="40"/>
  <c r="S250" i="40"/>
  <c r="S251" i="40"/>
  <c r="S252" i="40"/>
  <c r="S253" i="40"/>
  <c r="S254" i="40"/>
  <c r="S255" i="40"/>
  <c r="S256" i="40"/>
  <c r="S257" i="40"/>
  <c r="S258" i="40"/>
  <c r="S259" i="40"/>
  <c r="S260" i="40"/>
  <c r="S261" i="40"/>
  <c r="S262" i="40"/>
  <c r="S263" i="40"/>
  <c r="S264" i="40"/>
  <c r="S265" i="40"/>
  <c r="S266" i="40"/>
  <c r="S267" i="40"/>
  <c r="S268" i="40"/>
  <c r="S269" i="40"/>
  <c r="S270" i="40"/>
  <c r="S271" i="40"/>
  <c r="S272" i="40"/>
  <c r="S273" i="40"/>
  <c r="S274" i="40"/>
  <c r="S275" i="40"/>
  <c r="S276" i="40"/>
  <c r="S277" i="40"/>
  <c r="S278" i="40"/>
  <c r="S279" i="40"/>
  <c r="S280" i="40"/>
  <c r="S281" i="40"/>
  <c r="S282" i="40"/>
  <c r="S283" i="40"/>
  <c r="S284" i="40"/>
  <c r="S285" i="40"/>
  <c r="S286" i="40"/>
  <c r="S287" i="40"/>
  <c r="S288" i="40"/>
  <c r="S289" i="40"/>
  <c r="S290" i="40"/>
  <c r="S291" i="40"/>
  <c r="S292" i="40"/>
  <c r="S293" i="40"/>
  <c r="S294" i="40"/>
  <c r="S295" i="40"/>
  <c r="S296" i="40"/>
  <c r="S297" i="40"/>
  <c r="S298" i="40"/>
  <c r="S299" i="40"/>
  <c r="S300" i="40"/>
  <c r="S301" i="40"/>
  <c r="S302" i="40"/>
  <c r="S303" i="40"/>
  <c r="S304" i="40"/>
  <c r="S305" i="40"/>
  <c r="S306" i="40"/>
  <c r="S307" i="40"/>
  <c r="S308" i="40"/>
  <c r="S309" i="40"/>
  <c r="S310" i="40"/>
  <c r="S311" i="40"/>
  <c r="S312" i="40"/>
  <c r="S313" i="40"/>
  <c r="S314" i="40"/>
  <c r="S315" i="40"/>
  <c r="S316" i="40"/>
  <c r="S317" i="40"/>
  <c r="S318" i="40"/>
  <c r="S319" i="40"/>
  <c r="S320" i="40"/>
  <c r="S321" i="40"/>
  <c r="S322" i="40"/>
  <c r="S323" i="40"/>
  <c r="S324" i="40"/>
  <c r="S325" i="40"/>
  <c r="S326" i="40"/>
  <c r="S327" i="40"/>
  <c r="S328" i="40"/>
  <c r="S329" i="40"/>
  <c r="S330" i="40"/>
  <c r="S331" i="40"/>
  <c r="S332" i="40"/>
  <c r="S333" i="40"/>
  <c r="S334" i="40"/>
  <c r="S335" i="40"/>
  <c r="S336" i="40"/>
  <c r="S337" i="40"/>
  <c r="S338" i="40"/>
  <c r="S339" i="40"/>
  <c r="S340" i="40"/>
  <c r="S341" i="40"/>
  <c r="S342" i="40"/>
  <c r="S343" i="40"/>
  <c r="S344" i="40"/>
  <c r="S345" i="40"/>
  <c r="S346" i="40"/>
  <c r="S347" i="40"/>
  <c r="S348" i="40"/>
  <c r="S349" i="40"/>
  <c r="S350" i="40"/>
  <c r="S351" i="40"/>
  <c r="S352" i="40"/>
  <c r="S353" i="40"/>
  <c r="S354" i="40"/>
  <c r="S355" i="40"/>
  <c r="S356" i="40"/>
  <c r="S357" i="40"/>
  <c r="S358" i="40"/>
  <c r="S359" i="40"/>
  <c r="S360" i="40"/>
  <c r="S361" i="40"/>
  <c r="S362" i="40"/>
  <c r="S363" i="40"/>
  <c r="S364" i="40"/>
  <c r="S365" i="40"/>
  <c r="S366" i="40"/>
  <c r="S367" i="40"/>
  <c r="S368" i="40"/>
  <c r="S369" i="40"/>
  <c r="S370" i="40"/>
  <c r="S371" i="40"/>
  <c r="S372" i="40"/>
  <c r="S373" i="40"/>
  <c r="S374" i="40"/>
  <c r="S375" i="40"/>
  <c r="S376" i="40"/>
  <c r="S377" i="40"/>
  <c r="S378" i="40"/>
  <c r="S379" i="40"/>
  <c r="S380" i="40"/>
  <c r="S381" i="40"/>
  <c r="S382" i="40"/>
  <c r="S383" i="40"/>
  <c r="S384" i="40"/>
  <c r="S385" i="40"/>
  <c r="S386" i="40"/>
  <c r="S387" i="40"/>
  <c r="S388" i="40"/>
  <c r="S389" i="40"/>
  <c r="S390" i="40"/>
  <c r="S391" i="40"/>
  <c r="S392" i="40"/>
  <c r="S393" i="40"/>
  <c r="S394" i="40"/>
  <c r="S395" i="40"/>
  <c r="S396" i="40"/>
  <c r="S397" i="40"/>
  <c r="S398" i="40"/>
  <c r="S399" i="40"/>
  <c r="S400" i="40"/>
  <c r="S401" i="40"/>
  <c r="S402" i="40"/>
  <c r="S403" i="40"/>
  <c r="S404" i="40"/>
  <c r="S405" i="40"/>
  <c r="S406" i="40"/>
  <c r="S407" i="40"/>
  <c r="S408" i="40"/>
  <c r="S409" i="40"/>
  <c r="S410" i="40"/>
  <c r="S411" i="40"/>
  <c r="S412" i="40"/>
  <c r="S413" i="40"/>
  <c r="S414" i="40"/>
  <c r="S415" i="40"/>
  <c r="S416" i="40"/>
  <c r="S417" i="40"/>
  <c r="S418" i="40"/>
  <c r="S419" i="40"/>
  <c r="S420" i="40"/>
  <c r="S421" i="40"/>
  <c r="S422" i="40"/>
  <c r="S423" i="40"/>
  <c r="S424" i="40"/>
  <c r="S425" i="40"/>
  <c r="S426" i="40"/>
  <c r="S427" i="40"/>
  <c r="S428" i="40"/>
  <c r="S429" i="40"/>
  <c r="S430" i="40"/>
  <c r="S431" i="40"/>
  <c r="S432" i="40"/>
  <c r="S433" i="40"/>
  <c r="S434" i="40"/>
  <c r="S435" i="40"/>
  <c r="S436" i="40"/>
  <c r="S437" i="40"/>
  <c r="S438" i="40"/>
  <c r="S439" i="40"/>
  <c r="S440" i="40"/>
  <c r="S441" i="40"/>
  <c r="S442" i="40"/>
  <c r="S443" i="40"/>
  <c r="S444" i="40"/>
  <c r="S445" i="40"/>
  <c r="S446" i="40"/>
  <c r="S447" i="40"/>
  <c r="S448" i="40"/>
  <c r="S449" i="40"/>
  <c r="S450" i="40"/>
  <c r="S451" i="40"/>
  <c r="S452" i="40"/>
  <c r="S453" i="40"/>
  <c r="S454" i="40"/>
  <c r="S455" i="40"/>
  <c r="S456" i="40"/>
  <c r="S457" i="40"/>
  <c r="S458" i="40"/>
  <c r="S459" i="40"/>
  <c r="S460" i="40"/>
  <c r="S461" i="40"/>
  <c r="S462" i="40"/>
  <c r="S463" i="40"/>
  <c r="S464" i="40"/>
  <c r="S465" i="40"/>
  <c r="S466" i="40"/>
  <c r="S467" i="40"/>
  <c r="S468" i="40"/>
  <c r="S469" i="40"/>
  <c r="S470" i="40"/>
  <c r="S471" i="40"/>
  <c r="S472" i="40"/>
  <c r="S473" i="40"/>
  <c r="S474" i="40"/>
  <c r="S475" i="40"/>
  <c r="S476" i="40"/>
  <c r="S477" i="40"/>
  <c r="S478" i="40"/>
  <c r="S479" i="40"/>
  <c r="S480" i="40"/>
  <c r="S481" i="40"/>
  <c r="S482" i="40"/>
  <c r="S483" i="40"/>
  <c r="S484" i="40"/>
  <c r="S485" i="40"/>
  <c r="S486" i="40"/>
  <c r="S487" i="40"/>
  <c r="S488" i="40"/>
  <c r="S489" i="40"/>
  <c r="S490" i="40"/>
  <c r="S491" i="40"/>
  <c r="S492" i="40"/>
  <c r="S493" i="40"/>
  <c r="S494" i="40"/>
  <c r="S495" i="40"/>
  <c r="S496" i="40"/>
  <c r="S497" i="40"/>
  <c r="S498" i="40"/>
  <c r="S499" i="40"/>
  <c r="S500" i="40"/>
  <c r="S501" i="40"/>
  <c r="S502" i="40"/>
  <c r="S503" i="40"/>
  <c r="S504" i="40"/>
  <c r="S505" i="40"/>
  <c r="S506" i="40"/>
  <c r="S507" i="40"/>
  <c r="S508" i="40"/>
  <c r="S509" i="40"/>
  <c r="S510" i="40"/>
  <c r="S511" i="40"/>
  <c r="S512" i="40"/>
  <c r="S513" i="40"/>
  <c r="S514" i="40"/>
  <c r="S515" i="40"/>
  <c r="S76" i="40"/>
  <c r="P77" i="40"/>
  <c r="P78" i="40"/>
  <c r="P79" i="40"/>
  <c r="P80" i="40"/>
  <c r="P81" i="40"/>
  <c r="P82" i="40"/>
  <c r="P83" i="40"/>
  <c r="P84" i="40"/>
  <c r="P85" i="40"/>
  <c r="P86" i="40"/>
  <c r="P87" i="40"/>
  <c r="P88" i="40"/>
  <c r="P89" i="40"/>
  <c r="P90" i="40"/>
  <c r="P91" i="40"/>
  <c r="P92" i="40"/>
  <c r="P93" i="40"/>
  <c r="P94" i="40"/>
  <c r="P95" i="40"/>
  <c r="P96" i="40"/>
  <c r="P97" i="40"/>
  <c r="P98" i="40"/>
  <c r="P99" i="40"/>
  <c r="P100" i="40"/>
  <c r="P101" i="40"/>
  <c r="P102" i="40"/>
  <c r="P103" i="40"/>
  <c r="P104" i="40"/>
  <c r="P105" i="40"/>
  <c r="P106" i="40"/>
  <c r="P107" i="40"/>
  <c r="P108" i="40"/>
  <c r="P109" i="40"/>
  <c r="P110" i="40"/>
  <c r="P111" i="40"/>
  <c r="P112" i="40"/>
  <c r="P113" i="40"/>
  <c r="P114" i="40"/>
  <c r="P115" i="40"/>
  <c r="P116" i="40"/>
  <c r="P117" i="40"/>
  <c r="P118" i="40"/>
  <c r="P119" i="40"/>
  <c r="P120" i="40"/>
  <c r="P121" i="40"/>
  <c r="P122" i="40"/>
  <c r="P123" i="40"/>
  <c r="P124" i="40"/>
  <c r="P125" i="40"/>
  <c r="P126" i="40"/>
  <c r="P127" i="40"/>
  <c r="P128" i="40"/>
  <c r="P129" i="40"/>
  <c r="P130" i="40"/>
  <c r="P131" i="40"/>
  <c r="P132" i="40"/>
  <c r="P133" i="40"/>
  <c r="P134" i="40"/>
  <c r="P135" i="40"/>
  <c r="P136" i="40"/>
  <c r="P137" i="40"/>
  <c r="P138" i="40"/>
  <c r="P139" i="40"/>
  <c r="P140" i="40"/>
  <c r="P141" i="40"/>
  <c r="P142" i="40"/>
  <c r="P143" i="40"/>
  <c r="P144" i="40"/>
  <c r="P145" i="40"/>
  <c r="P146" i="40"/>
  <c r="P147" i="40"/>
  <c r="P148" i="40"/>
  <c r="P149" i="40"/>
  <c r="P150" i="40"/>
  <c r="P151" i="40"/>
  <c r="P152" i="40"/>
  <c r="P153" i="40"/>
  <c r="P154" i="40"/>
  <c r="P155" i="40"/>
  <c r="P156" i="40"/>
  <c r="P157" i="40"/>
  <c r="P158" i="40"/>
  <c r="P159" i="40"/>
  <c r="P160" i="40"/>
  <c r="P161" i="40"/>
  <c r="P162" i="40"/>
  <c r="P163" i="40"/>
  <c r="P164" i="40"/>
  <c r="P165" i="40"/>
  <c r="P166" i="40"/>
  <c r="P167" i="40"/>
  <c r="P168" i="40"/>
  <c r="P169" i="40"/>
  <c r="P170" i="40"/>
  <c r="P171" i="40"/>
  <c r="P172" i="40"/>
  <c r="P173" i="40"/>
  <c r="P174" i="40"/>
  <c r="P175" i="40"/>
  <c r="P176" i="40"/>
  <c r="P177" i="40"/>
  <c r="P178" i="40"/>
  <c r="P179" i="40"/>
  <c r="P180" i="40"/>
  <c r="P181" i="40"/>
  <c r="P182" i="40"/>
  <c r="P183" i="40"/>
  <c r="P184" i="40"/>
  <c r="P185" i="40"/>
  <c r="P186" i="40"/>
  <c r="P187" i="40"/>
  <c r="P188" i="40"/>
  <c r="P189" i="40"/>
  <c r="P190" i="40"/>
  <c r="P191" i="40"/>
  <c r="P192" i="40"/>
  <c r="P193" i="40"/>
  <c r="P194" i="40"/>
  <c r="P195" i="40"/>
  <c r="P196" i="40"/>
  <c r="P197" i="40"/>
  <c r="P198" i="40"/>
  <c r="P199" i="40"/>
  <c r="P200" i="40"/>
  <c r="P201" i="40"/>
  <c r="P202" i="40"/>
  <c r="P203" i="40"/>
  <c r="P204" i="40"/>
  <c r="P205" i="40"/>
  <c r="P206" i="40"/>
  <c r="P207" i="40"/>
  <c r="P208" i="40"/>
  <c r="P209" i="40"/>
  <c r="P210" i="40"/>
  <c r="P211" i="40"/>
  <c r="P212" i="40"/>
  <c r="P213" i="40"/>
  <c r="P214" i="40"/>
  <c r="P215" i="40"/>
  <c r="P216" i="40"/>
  <c r="P217" i="40"/>
  <c r="P218" i="40"/>
  <c r="P219" i="40"/>
  <c r="P220" i="40"/>
  <c r="P221" i="40"/>
  <c r="P222" i="40"/>
  <c r="P223" i="40"/>
  <c r="P224" i="40"/>
  <c r="P225" i="40"/>
  <c r="P226" i="40"/>
  <c r="P227" i="40"/>
  <c r="P228" i="40"/>
  <c r="P229" i="40"/>
  <c r="P230" i="40"/>
  <c r="P231" i="40"/>
  <c r="P232" i="40"/>
  <c r="P233" i="40"/>
  <c r="P234" i="40"/>
  <c r="P235" i="40"/>
  <c r="P236" i="40"/>
  <c r="P237" i="40"/>
  <c r="P238" i="40"/>
  <c r="P239" i="40"/>
  <c r="P240" i="40"/>
  <c r="P241" i="40"/>
  <c r="P242" i="40"/>
  <c r="P243" i="40"/>
  <c r="P244" i="40"/>
  <c r="P245" i="40"/>
  <c r="P246" i="40"/>
  <c r="P247" i="40"/>
  <c r="P248" i="40"/>
  <c r="P249" i="40"/>
  <c r="P250" i="40"/>
  <c r="P251" i="40"/>
  <c r="P252" i="40"/>
  <c r="P253" i="40"/>
  <c r="P254" i="40"/>
  <c r="P255" i="40"/>
  <c r="P256" i="40"/>
  <c r="P257" i="40"/>
  <c r="P258" i="40"/>
  <c r="P259" i="40"/>
  <c r="P260" i="40"/>
  <c r="P261" i="40"/>
  <c r="P262" i="40"/>
  <c r="P263" i="40"/>
  <c r="P264" i="40"/>
  <c r="P265" i="40"/>
  <c r="P266" i="40"/>
  <c r="P267" i="40"/>
  <c r="P268" i="40"/>
  <c r="P269" i="40"/>
  <c r="P270" i="40"/>
  <c r="P271" i="40"/>
  <c r="P272" i="40"/>
  <c r="P273" i="40"/>
  <c r="P274" i="40"/>
  <c r="P275" i="40"/>
  <c r="P276" i="40"/>
  <c r="P277" i="40"/>
  <c r="P278" i="40"/>
  <c r="P279" i="40"/>
  <c r="P280" i="40"/>
  <c r="P281" i="40"/>
  <c r="P282" i="40"/>
  <c r="P283" i="40"/>
  <c r="P284" i="40"/>
  <c r="P285" i="40"/>
  <c r="P286" i="40"/>
  <c r="P287" i="40"/>
  <c r="P288" i="40"/>
  <c r="P289" i="40"/>
  <c r="P290" i="40"/>
  <c r="P291" i="40"/>
  <c r="P292" i="40"/>
  <c r="P293" i="40"/>
  <c r="P294" i="40"/>
  <c r="P295" i="40"/>
  <c r="P296" i="40"/>
  <c r="P297" i="40"/>
  <c r="P298" i="40"/>
  <c r="P299" i="40"/>
  <c r="P300" i="40"/>
  <c r="P301" i="40"/>
  <c r="P302" i="40"/>
  <c r="P303" i="40"/>
  <c r="P304" i="40"/>
  <c r="P305" i="40"/>
  <c r="P306" i="40"/>
  <c r="P307" i="40"/>
  <c r="P308" i="40"/>
  <c r="P309" i="40"/>
  <c r="P310" i="40"/>
  <c r="P311" i="40"/>
  <c r="P312" i="40"/>
  <c r="P313" i="40"/>
  <c r="P314" i="40"/>
  <c r="P315" i="40"/>
  <c r="P316" i="40"/>
  <c r="P317" i="40"/>
  <c r="P318" i="40"/>
  <c r="P319" i="40"/>
  <c r="P320" i="40"/>
  <c r="P321" i="40"/>
  <c r="P322" i="40"/>
  <c r="P323" i="40"/>
  <c r="P324" i="40"/>
  <c r="P325" i="40"/>
  <c r="P326" i="40"/>
  <c r="P327" i="40"/>
  <c r="P328" i="40"/>
  <c r="P329" i="40"/>
  <c r="P330" i="40"/>
  <c r="P331" i="40"/>
  <c r="P332" i="40"/>
  <c r="P333" i="40"/>
  <c r="P334" i="40"/>
  <c r="P335" i="40"/>
  <c r="P336" i="40"/>
  <c r="P337" i="40"/>
  <c r="P338" i="40"/>
  <c r="P339" i="40"/>
  <c r="P340" i="40"/>
  <c r="P341" i="40"/>
  <c r="P342" i="40"/>
  <c r="P343" i="40"/>
  <c r="P344" i="40"/>
  <c r="P345" i="40"/>
  <c r="P346" i="40"/>
  <c r="P347" i="40"/>
  <c r="P348" i="40"/>
  <c r="P349" i="40"/>
  <c r="P350" i="40"/>
  <c r="P351" i="40"/>
  <c r="P352" i="40"/>
  <c r="P353" i="40"/>
  <c r="P354" i="40"/>
  <c r="P355" i="40"/>
  <c r="P356" i="40"/>
  <c r="P357" i="40"/>
  <c r="P358" i="40"/>
  <c r="P359" i="40"/>
  <c r="P360" i="40"/>
  <c r="P361" i="40"/>
  <c r="P362" i="40"/>
  <c r="P363" i="40"/>
  <c r="P364" i="40"/>
  <c r="P365" i="40"/>
  <c r="P366" i="40"/>
  <c r="P367" i="40"/>
  <c r="P368" i="40"/>
  <c r="P369" i="40"/>
  <c r="P370" i="40"/>
  <c r="P371" i="40"/>
  <c r="P372" i="40"/>
  <c r="P373" i="40"/>
  <c r="P374" i="40"/>
  <c r="P375" i="40"/>
  <c r="P376" i="40"/>
  <c r="P377" i="40"/>
  <c r="P378" i="40"/>
  <c r="P379" i="40"/>
  <c r="P380" i="40"/>
  <c r="P381" i="40"/>
  <c r="P382" i="40"/>
  <c r="P383" i="40"/>
  <c r="P384" i="40"/>
  <c r="P385" i="40"/>
  <c r="P386" i="40"/>
  <c r="P387" i="40"/>
  <c r="P388" i="40"/>
  <c r="P389" i="40"/>
  <c r="P390" i="40"/>
  <c r="P391" i="40"/>
  <c r="P392" i="40"/>
  <c r="P393" i="40"/>
  <c r="P394" i="40"/>
  <c r="P395" i="40"/>
  <c r="P396" i="40"/>
  <c r="P397" i="40"/>
  <c r="P398" i="40"/>
  <c r="P399" i="40"/>
  <c r="P400" i="40"/>
  <c r="P401" i="40"/>
  <c r="P402" i="40"/>
  <c r="P403" i="40"/>
  <c r="P404" i="40"/>
  <c r="P405" i="40"/>
  <c r="P406" i="40"/>
  <c r="P407" i="40"/>
  <c r="P408" i="40"/>
  <c r="P409" i="40"/>
  <c r="P410" i="40"/>
  <c r="P411" i="40"/>
  <c r="P412" i="40"/>
  <c r="P413" i="40"/>
  <c r="P414" i="40"/>
  <c r="P415" i="40"/>
  <c r="P416" i="40"/>
  <c r="P417" i="40"/>
  <c r="P418" i="40"/>
  <c r="P419" i="40"/>
  <c r="P420" i="40"/>
  <c r="P421" i="40"/>
  <c r="P422" i="40"/>
  <c r="P423" i="40"/>
  <c r="P424" i="40"/>
  <c r="P425" i="40"/>
  <c r="P426" i="40"/>
  <c r="P427" i="40"/>
  <c r="P428" i="40"/>
  <c r="P429" i="40"/>
  <c r="P430" i="40"/>
  <c r="P431" i="40"/>
  <c r="P432" i="40"/>
  <c r="P433" i="40"/>
  <c r="P434" i="40"/>
  <c r="P435" i="40"/>
  <c r="P436" i="40"/>
  <c r="P437" i="40"/>
  <c r="P438" i="40"/>
  <c r="P439" i="40"/>
  <c r="P440" i="40"/>
  <c r="P441" i="40"/>
  <c r="P442" i="40"/>
  <c r="P443" i="40"/>
  <c r="P444" i="40"/>
  <c r="P445" i="40"/>
  <c r="P446" i="40"/>
  <c r="P447" i="40"/>
  <c r="P448" i="40"/>
  <c r="P449" i="40"/>
  <c r="P450" i="40"/>
  <c r="P451" i="40"/>
  <c r="P452" i="40"/>
  <c r="P453" i="40"/>
  <c r="P454" i="40"/>
  <c r="P455" i="40"/>
  <c r="P456" i="40"/>
  <c r="P457" i="40"/>
  <c r="P458" i="40"/>
  <c r="P459" i="40"/>
  <c r="P460" i="40"/>
  <c r="P461" i="40"/>
  <c r="P462" i="40"/>
  <c r="P463" i="40"/>
  <c r="P464" i="40"/>
  <c r="P465" i="40"/>
  <c r="P466" i="40"/>
  <c r="P467" i="40"/>
  <c r="P468" i="40"/>
  <c r="P469" i="40"/>
  <c r="P470" i="40"/>
  <c r="P471" i="40"/>
  <c r="P472" i="40"/>
  <c r="P473" i="40"/>
  <c r="P474" i="40"/>
  <c r="P475" i="40"/>
  <c r="P476" i="40"/>
  <c r="P477" i="40"/>
  <c r="P478" i="40"/>
  <c r="P479" i="40"/>
  <c r="P480" i="40"/>
  <c r="P481" i="40"/>
  <c r="P482" i="40"/>
  <c r="P483" i="40"/>
  <c r="P484" i="40"/>
  <c r="P485" i="40"/>
  <c r="P486" i="40"/>
  <c r="P487" i="40"/>
  <c r="P488" i="40"/>
  <c r="P489" i="40"/>
  <c r="P490" i="40"/>
  <c r="P491" i="40"/>
  <c r="P492" i="40"/>
  <c r="P493" i="40"/>
  <c r="P494" i="40"/>
  <c r="P495" i="40"/>
  <c r="P496" i="40"/>
  <c r="P497" i="40"/>
  <c r="P498" i="40"/>
  <c r="P499" i="40"/>
  <c r="P500" i="40"/>
  <c r="P501" i="40"/>
  <c r="P502" i="40"/>
  <c r="P503" i="40"/>
  <c r="P504" i="40"/>
  <c r="P505" i="40"/>
  <c r="P506" i="40"/>
  <c r="P507" i="40"/>
  <c r="P508" i="40"/>
  <c r="P509" i="40"/>
  <c r="P510" i="40"/>
  <c r="P511" i="40"/>
  <c r="P512" i="40"/>
  <c r="P513" i="40"/>
  <c r="P514" i="40"/>
  <c r="P515" i="40"/>
  <c r="M77"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3" i="40"/>
  <c r="M104" i="40"/>
  <c r="M105" i="40"/>
  <c r="M106" i="40"/>
  <c r="M107" i="40"/>
  <c r="M108" i="40"/>
  <c r="M109" i="40"/>
  <c r="M110" i="40"/>
  <c r="M111" i="40"/>
  <c r="M112" i="40"/>
  <c r="M113" i="40"/>
  <c r="M114" i="40"/>
  <c r="M115" i="40"/>
  <c r="M116" i="40"/>
  <c r="M117" i="40"/>
  <c r="M118" i="40"/>
  <c r="M119" i="40"/>
  <c r="M120" i="40"/>
  <c r="M121" i="40"/>
  <c r="M122" i="40"/>
  <c r="M123"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4" i="40"/>
  <c r="M195" i="40"/>
  <c r="M196" i="40"/>
  <c r="M197" i="40"/>
  <c r="M198" i="40"/>
  <c r="M199" i="40"/>
  <c r="M200" i="40"/>
  <c r="M201" i="40"/>
  <c r="M202" i="40"/>
  <c r="M203" i="40"/>
  <c r="M204" i="40"/>
  <c r="M205" i="40"/>
  <c r="M206" i="40"/>
  <c r="M207" i="40"/>
  <c r="M208" i="40"/>
  <c r="M209" i="40"/>
  <c r="M210" i="40"/>
  <c r="M211" i="40"/>
  <c r="M212" i="40"/>
  <c r="M213" i="40"/>
  <c r="M214" i="40"/>
  <c r="M215" i="40"/>
  <c r="M216" i="40"/>
  <c r="M217" i="40"/>
  <c r="M218" i="40"/>
  <c r="M219" i="40"/>
  <c r="M220" i="40"/>
  <c r="M221" i="40"/>
  <c r="M222" i="40"/>
  <c r="M223" i="40"/>
  <c r="M224" i="40"/>
  <c r="M225" i="40"/>
  <c r="M226" i="40"/>
  <c r="M227" i="40"/>
  <c r="M228" i="40"/>
  <c r="M229" i="40"/>
  <c r="M230" i="40"/>
  <c r="M231" i="40"/>
  <c r="M232" i="40"/>
  <c r="M233" i="40"/>
  <c r="M234" i="40"/>
  <c r="M235" i="40"/>
  <c r="M236" i="40"/>
  <c r="M237" i="40"/>
  <c r="M238" i="40"/>
  <c r="M239" i="40"/>
  <c r="M240" i="40"/>
  <c r="M241" i="40"/>
  <c r="M242" i="40"/>
  <c r="M243" i="40"/>
  <c r="M244" i="40"/>
  <c r="M245" i="40"/>
  <c r="M246" i="40"/>
  <c r="M247" i="40"/>
  <c r="M248" i="40"/>
  <c r="M249" i="40"/>
  <c r="M250" i="40"/>
  <c r="M251" i="40"/>
  <c r="M252" i="40"/>
  <c r="M253" i="40"/>
  <c r="M254" i="40"/>
  <c r="M255" i="40"/>
  <c r="M256" i="40"/>
  <c r="M257" i="40"/>
  <c r="M258" i="40"/>
  <c r="M259" i="40"/>
  <c r="M260" i="40"/>
  <c r="M261" i="40"/>
  <c r="M262" i="40"/>
  <c r="M263" i="40"/>
  <c r="M264" i="40"/>
  <c r="M265" i="40"/>
  <c r="M266" i="40"/>
  <c r="M267" i="40"/>
  <c r="M268" i="40"/>
  <c r="M269" i="40"/>
  <c r="M270" i="40"/>
  <c r="M271" i="40"/>
  <c r="M272" i="40"/>
  <c r="M273" i="40"/>
  <c r="M274" i="40"/>
  <c r="M275" i="40"/>
  <c r="M276" i="40"/>
  <c r="M277" i="40"/>
  <c r="M278" i="40"/>
  <c r="M279" i="40"/>
  <c r="M280" i="40"/>
  <c r="M281" i="40"/>
  <c r="M282" i="40"/>
  <c r="M283" i="40"/>
  <c r="M284" i="40"/>
  <c r="M285" i="40"/>
  <c r="M286" i="40"/>
  <c r="M287" i="40"/>
  <c r="M288" i="40"/>
  <c r="M289" i="40"/>
  <c r="M290" i="40"/>
  <c r="M291" i="40"/>
  <c r="M292" i="40"/>
  <c r="M293" i="40"/>
  <c r="M294" i="40"/>
  <c r="M295" i="40"/>
  <c r="M296" i="40"/>
  <c r="M297" i="40"/>
  <c r="M298" i="40"/>
  <c r="M299" i="40"/>
  <c r="M300" i="40"/>
  <c r="M301" i="40"/>
  <c r="M302" i="40"/>
  <c r="M303" i="40"/>
  <c r="M304" i="40"/>
  <c r="M305" i="40"/>
  <c r="M306" i="40"/>
  <c r="M307" i="40"/>
  <c r="M308" i="40"/>
  <c r="M309" i="40"/>
  <c r="M310" i="40"/>
  <c r="M311" i="40"/>
  <c r="M312" i="40"/>
  <c r="M313" i="40"/>
  <c r="M314" i="40"/>
  <c r="M315" i="40"/>
  <c r="M316" i="40"/>
  <c r="M317" i="40"/>
  <c r="M318" i="40"/>
  <c r="M319" i="40"/>
  <c r="M320" i="40"/>
  <c r="M321" i="40"/>
  <c r="M322" i="40"/>
  <c r="M323" i="40"/>
  <c r="M324" i="40"/>
  <c r="M325" i="40"/>
  <c r="M326" i="40"/>
  <c r="M327" i="40"/>
  <c r="M328" i="40"/>
  <c r="M329" i="40"/>
  <c r="M330" i="40"/>
  <c r="M331" i="40"/>
  <c r="M332" i="40"/>
  <c r="M333" i="40"/>
  <c r="M334" i="40"/>
  <c r="M335" i="40"/>
  <c r="M336" i="40"/>
  <c r="M337" i="40"/>
  <c r="M338" i="40"/>
  <c r="M339" i="40"/>
  <c r="M340" i="40"/>
  <c r="M341" i="40"/>
  <c r="M342" i="40"/>
  <c r="M343" i="40"/>
  <c r="M344" i="40"/>
  <c r="M345" i="40"/>
  <c r="M346" i="40"/>
  <c r="M347" i="40"/>
  <c r="M348" i="40"/>
  <c r="M349" i="40"/>
  <c r="M350" i="40"/>
  <c r="M351" i="40"/>
  <c r="M352" i="40"/>
  <c r="M353" i="40"/>
  <c r="M354" i="40"/>
  <c r="M355" i="40"/>
  <c r="M356" i="40"/>
  <c r="M357" i="40"/>
  <c r="M358" i="40"/>
  <c r="M359" i="40"/>
  <c r="M360" i="40"/>
  <c r="M361" i="40"/>
  <c r="M362" i="40"/>
  <c r="M363" i="40"/>
  <c r="M364" i="40"/>
  <c r="M365" i="40"/>
  <c r="M366" i="40"/>
  <c r="M367" i="40"/>
  <c r="M368" i="40"/>
  <c r="M369" i="40"/>
  <c r="M370" i="40"/>
  <c r="M371" i="40"/>
  <c r="M372" i="40"/>
  <c r="M373" i="40"/>
  <c r="M374" i="40"/>
  <c r="M375" i="40"/>
  <c r="M376" i="40"/>
  <c r="M377" i="40"/>
  <c r="M378" i="40"/>
  <c r="M379" i="40"/>
  <c r="M380" i="40"/>
  <c r="M381" i="40"/>
  <c r="M382" i="40"/>
  <c r="M383" i="40"/>
  <c r="M384" i="40"/>
  <c r="M385" i="40"/>
  <c r="M386" i="40"/>
  <c r="M387" i="40"/>
  <c r="M388" i="40"/>
  <c r="M389" i="40"/>
  <c r="M390" i="40"/>
  <c r="M391" i="40"/>
  <c r="M392" i="40"/>
  <c r="M393" i="40"/>
  <c r="M394" i="40"/>
  <c r="M395" i="40"/>
  <c r="M396" i="40"/>
  <c r="M397" i="40"/>
  <c r="M398" i="40"/>
  <c r="M399" i="40"/>
  <c r="M400" i="40"/>
  <c r="M401" i="40"/>
  <c r="M402" i="40"/>
  <c r="M403" i="40"/>
  <c r="M404" i="40"/>
  <c r="M405" i="40"/>
  <c r="M406" i="40"/>
  <c r="M407" i="40"/>
  <c r="M408" i="40"/>
  <c r="M409" i="40"/>
  <c r="M410" i="40"/>
  <c r="M411" i="40"/>
  <c r="M412" i="40"/>
  <c r="M413" i="40"/>
  <c r="M414" i="40"/>
  <c r="M415" i="40"/>
  <c r="M416" i="40"/>
  <c r="M417" i="40"/>
  <c r="M418" i="40"/>
  <c r="M419" i="40"/>
  <c r="M420" i="40"/>
  <c r="M421" i="40"/>
  <c r="M422" i="40"/>
  <c r="M423" i="40"/>
  <c r="M424" i="40"/>
  <c r="M425" i="40"/>
  <c r="M426" i="40"/>
  <c r="M427" i="40"/>
  <c r="M428" i="40"/>
  <c r="M429" i="40"/>
  <c r="M430" i="40"/>
  <c r="M431" i="40"/>
  <c r="M432" i="40"/>
  <c r="M433" i="40"/>
  <c r="M434" i="40"/>
  <c r="M435" i="40"/>
  <c r="M436" i="40"/>
  <c r="M437" i="40"/>
  <c r="M438" i="40"/>
  <c r="M439" i="40"/>
  <c r="M440" i="40"/>
  <c r="M441" i="40"/>
  <c r="M442" i="40"/>
  <c r="M443" i="40"/>
  <c r="M444" i="40"/>
  <c r="M445" i="40"/>
  <c r="M446" i="40"/>
  <c r="M447" i="40"/>
  <c r="M448" i="40"/>
  <c r="M449" i="40"/>
  <c r="M450" i="40"/>
  <c r="M451" i="40"/>
  <c r="M452" i="40"/>
  <c r="M453" i="40"/>
  <c r="M454" i="40"/>
  <c r="M455" i="40"/>
  <c r="M456" i="40"/>
  <c r="M457" i="40"/>
  <c r="M458" i="40"/>
  <c r="M459" i="40"/>
  <c r="M460" i="40"/>
  <c r="M461" i="40"/>
  <c r="M462" i="40"/>
  <c r="M463" i="40"/>
  <c r="M464" i="40"/>
  <c r="M465" i="40"/>
  <c r="M466" i="40"/>
  <c r="M467" i="40"/>
  <c r="M468" i="40"/>
  <c r="M469" i="40"/>
  <c r="M470" i="40"/>
  <c r="M471" i="40"/>
  <c r="M472" i="40"/>
  <c r="M473" i="40"/>
  <c r="M474" i="40"/>
  <c r="M475" i="40"/>
  <c r="M476" i="40"/>
  <c r="M477" i="40"/>
  <c r="M478" i="40"/>
  <c r="M479" i="40"/>
  <c r="M480" i="40"/>
  <c r="M481" i="40"/>
  <c r="M482" i="40"/>
  <c r="M483" i="40"/>
  <c r="M484" i="40"/>
  <c r="M485" i="40"/>
  <c r="M486" i="40"/>
  <c r="M487" i="40"/>
  <c r="M488" i="40"/>
  <c r="M489" i="40"/>
  <c r="M490" i="40"/>
  <c r="M491" i="40"/>
  <c r="M492" i="40"/>
  <c r="M493" i="40"/>
  <c r="M494" i="40"/>
  <c r="M495" i="40"/>
  <c r="M496" i="40"/>
  <c r="M497" i="40"/>
  <c r="M498" i="40"/>
  <c r="M499" i="40"/>
  <c r="M500" i="40"/>
  <c r="M501" i="40"/>
  <c r="M502" i="40"/>
  <c r="M503" i="40"/>
  <c r="M504" i="40"/>
  <c r="M505" i="40"/>
  <c r="M506" i="40"/>
  <c r="M507" i="40"/>
  <c r="M508" i="40"/>
  <c r="M509" i="40"/>
  <c r="M510" i="40"/>
  <c r="M511" i="40"/>
  <c r="M512" i="40"/>
  <c r="M513" i="40"/>
  <c r="M514" i="40"/>
  <c r="M515" i="40"/>
  <c r="J9" i="41"/>
  <c r="K9" i="41"/>
  <c r="M76" i="40"/>
  <c r="P76" i="40"/>
  <c r="G2" i="41"/>
  <c r="I2" i="41"/>
  <c r="J2" i="41"/>
  <c r="K2" i="41"/>
  <c r="G3" i="41"/>
  <c r="I3" i="41"/>
  <c r="J3" i="41"/>
  <c r="K3" i="41"/>
  <c r="G4" i="41"/>
  <c r="I4" i="41"/>
  <c r="J4" i="41"/>
  <c r="K4" i="41"/>
  <c r="G5" i="41"/>
  <c r="I5" i="41"/>
  <c r="J5" i="41"/>
  <c r="K5" i="41"/>
  <c r="G6" i="41"/>
  <c r="I6" i="41"/>
  <c r="J6" i="41"/>
  <c r="K6" i="41"/>
  <c r="G7" i="41"/>
  <c r="I7" i="41"/>
  <c r="J7" i="41"/>
  <c r="K7" i="41"/>
  <c r="G8" i="41"/>
  <c r="I8" i="41"/>
  <c r="J8" i="41"/>
  <c r="K8" i="41"/>
  <c r="G10" i="41"/>
  <c r="I10" i="41"/>
  <c r="J10" i="41"/>
  <c r="K10" i="41"/>
  <c r="G11" i="41"/>
  <c r="I11" i="41"/>
  <c r="J11" i="41"/>
  <c r="K11" i="41"/>
  <c r="G14" i="41"/>
  <c r="I14" i="41"/>
  <c r="J14" i="41"/>
  <c r="K14" i="41"/>
  <c r="G13" i="41"/>
  <c r="I13" i="41"/>
  <c r="J13" i="41"/>
  <c r="K13" i="41"/>
  <c r="G12" i="41"/>
  <c r="I12" i="41"/>
  <c r="J12" i="41"/>
  <c r="K12" i="41"/>
  <c r="B76" i="40"/>
  <c r="I515" i="40"/>
  <c r="I514" i="40"/>
  <c r="I513" i="40"/>
  <c r="I512" i="40"/>
  <c r="I511" i="40"/>
  <c r="I510" i="40"/>
  <c r="I509" i="40"/>
  <c r="I508" i="40"/>
  <c r="I507" i="40"/>
  <c r="I506" i="40"/>
  <c r="I505" i="40"/>
  <c r="I504" i="40"/>
  <c r="I503" i="40"/>
  <c r="I502" i="40"/>
  <c r="I501" i="40"/>
  <c r="I500" i="40"/>
  <c r="I499" i="40"/>
  <c r="I498" i="40"/>
  <c r="I497" i="40"/>
  <c r="I496" i="40"/>
  <c r="I495" i="40"/>
  <c r="I494" i="40"/>
  <c r="I493" i="40"/>
  <c r="I492" i="40"/>
  <c r="I491" i="40"/>
  <c r="I490" i="40"/>
  <c r="I489" i="40"/>
  <c r="I488" i="40"/>
  <c r="I487" i="40"/>
  <c r="I486" i="40"/>
  <c r="I485" i="40"/>
  <c r="I484" i="40"/>
  <c r="I483" i="40"/>
  <c r="I482" i="40"/>
  <c r="I481" i="40"/>
  <c r="I480" i="40"/>
  <c r="I479" i="40"/>
  <c r="I478" i="40"/>
  <c r="I477" i="40"/>
  <c r="I476" i="40"/>
  <c r="I475" i="40"/>
  <c r="I474" i="40"/>
  <c r="I473" i="40"/>
  <c r="I472" i="40"/>
  <c r="I471" i="40"/>
  <c r="I470" i="40"/>
  <c r="I469" i="40"/>
  <c r="I468" i="40"/>
  <c r="I467" i="40"/>
  <c r="I466" i="40"/>
  <c r="I465" i="40"/>
  <c r="I464" i="40"/>
  <c r="I463" i="40"/>
  <c r="I462" i="40"/>
  <c r="I461" i="40"/>
  <c r="I460" i="40"/>
  <c r="I459" i="40"/>
  <c r="I458" i="40"/>
  <c r="I457" i="40"/>
  <c r="I456" i="40"/>
  <c r="I455" i="40"/>
  <c r="I454" i="40"/>
  <c r="I453" i="40"/>
  <c r="I452" i="40"/>
  <c r="I451" i="40"/>
  <c r="I450" i="40"/>
  <c r="I449" i="40"/>
  <c r="I448" i="40"/>
  <c r="I447" i="40"/>
  <c r="I446" i="40"/>
  <c r="I445" i="40"/>
  <c r="I444" i="40"/>
  <c r="I443" i="40"/>
  <c r="I442" i="40"/>
  <c r="I441" i="40"/>
  <c r="I440" i="40"/>
  <c r="I439" i="40"/>
  <c r="I438" i="40"/>
  <c r="I437" i="40"/>
  <c r="I436" i="40"/>
  <c r="I435" i="40"/>
  <c r="I434" i="40"/>
  <c r="I433" i="40"/>
  <c r="I432" i="40"/>
  <c r="I431" i="40"/>
  <c r="I430" i="40"/>
  <c r="I429" i="40"/>
  <c r="I428" i="40"/>
  <c r="I427" i="40"/>
  <c r="I426" i="40"/>
  <c r="I425" i="40"/>
  <c r="I424" i="40"/>
  <c r="I423" i="40"/>
  <c r="I422" i="40"/>
  <c r="I421" i="40"/>
  <c r="I420" i="40"/>
  <c r="I419" i="40"/>
  <c r="I418" i="40"/>
  <c r="I417" i="40"/>
  <c r="I416" i="40"/>
  <c r="I415" i="40"/>
  <c r="I414" i="40"/>
  <c r="I413" i="40"/>
  <c r="I412" i="40"/>
  <c r="I411" i="40"/>
  <c r="I410" i="40"/>
  <c r="I409" i="40"/>
  <c r="I408" i="40"/>
  <c r="I407" i="40"/>
  <c r="I406" i="40"/>
  <c r="I405" i="40"/>
  <c r="I404" i="40"/>
  <c r="I403" i="40"/>
  <c r="I402" i="40"/>
  <c r="I401" i="40"/>
  <c r="I400" i="40"/>
  <c r="I399" i="40"/>
  <c r="I398" i="40"/>
  <c r="I397" i="40"/>
  <c r="I396" i="40"/>
  <c r="I395" i="40"/>
  <c r="I394" i="40"/>
  <c r="I393" i="40"/>
  <c r="I392" i="40"/>
  <c r="I391" i="40"/>
  <c r="I390" i="40"/>
  <c r="I389" i="40"/>
  <c r="I388" i="40"/>
  <c r="I387" i="40"/>
  <c r="I386" i="40"/>
  <c r="I385" i="40"/>
  <c r="I383" i="40"/>
  <c r="I382" i="40"/>
  <c r="I381" i="40"/>
  <c r="I380" i="40"/>
  <c r="I379" i="40"/>
  <c r="I378" i="40"/>
  <c r="I377" i="40"/>
  <c r="I376" i="40"/>
  <c r="I375" i="40"/>
  <c r="I374" i="40"/>
  <c r="I373" i="40"/>
  <c r="I372" i="40"/>
  <c r="I371" i="40"/>
  <c r="I370" i="40"/>
  <c r="I369" i="40"/>
  <c r="I368" i="40"/>
  <c r="I367" i="40"/>
  <c r="I366" i="40"/>
  <c r="I365" i="40"/>
  <c r="I364" i="40"/>
  <c r="I363" i="40"/>
  <c r="I362" i="40"/>
  <c r="I361" i="40"/>
  <c r="I360" i="40"/>
  <c r="I359" i="40"/>
  <c r="I358" i="40"/>
  <c r="I357" i="40"/>
  <c r="I356" i="40"/>
  <c r="I355" i="40"/>
  <c r="I354" i="40"/>
  <c r="I353" i="40"/>
  <c r="I352" i="40"/>
  <c r="I351" i="40"/>
  <c r="I350" i="40"/>
  <c r="I349" i="40"/>
  <c r="I348" i="40"/>
  <c r="I347" i="40"/>
  <c r="I346" i="40"/>
  <c r="I345" i="40"/>
  <c r="I344" i="40"/>
  <c r="I343" i="40"/>
  <c r="I342" i="40"/>
  <c r="I341" i="40"/>
  <c r="I340" i="40"/>
  <c r="I339" i="40"/>
  <c r="I338" i="40"/>
  <c r="I337" i="40"/>
  <c r="I336" i="40"/>
  <c r="I335" i="40"/>
  <c r="I334" i="40"/>
  <c r="I333" i="40"/>
  <c r="I332" i="40"/>
  <c r="I331" i="40"/>
  <c r="I330" i="40"/>
  <c r="I329" i="40"/>
  <c r="I328" i="40"/>
  <c r="I327" i="40"/>
  <c r="I326" i="40"/>
  <c r="I325" i="40"/>
  <c r="I324" i="40"/>
  <c r="I323" i="40"/>
  <c r="I322" i="40"/>
  <c r="I321" i="40"/>
  <c r="I320" i="40"/>
  <c r="I319" i="40"/>
  <c r="I318" i="40"/>
  <c r="I317" i="40"/>
  <c r="I316" i="40"/>
  <c r="I315" i="40"/>
  <c r="I314" i="40"/>
  <c r="I313" i="40"/>
  <c r="I312" i="40"/>
  <c r="I311" i="40"/>
  <c r="I310" i="40"/>
  <c r="I309" i="40"/>
  <c r="I308" i="40"/>
  <c r="I307" i="40"/>
  <c r="I306" i="40"/>
  <c r="I305" i="40"/>
  <c r="I304" i="40"/>
  <c r="I303" i="40"/>
  <c r="I302" i="40"/>
  <c r="I301" i="40"/>
  <c r="I300" i="40"/>
  <c r="I299" i="40"/>
  <c r="I298" i="40"/>
  <c r="I297" i="40"/>
  <c r="I296" i="40"/>
  <c r="I295" i="40"/>
  <c r="I294" i="40"/>
  <c r="I293" i="40"/>
  <c r="I292" i="40"/>
  <c r="I291" i="40"/>
  <c r="I290" i="40"/>
  <c r="I289" i="40"/>
  <c r="I288" i="40"/>
  <c r="I287" i="40"/>
  <c r="I286" i="40"/>
  <c r="I285" i="40"/>
  <c r="I284" i="40"/>
  <c r="I283" i="40"/>
  <c r="I282" i="40"/>
  <c r="I281" i="40"/>
  <c r="I280" i="40"/>
  <c r="I279" i="40"/>
  <c r="I278" i="40"/>
  <c r="I277" i="40"/>
  <c r="I276" i="40"/>
  <c r="I275" i="40"/>
  <c r="I274" i="40"/>
  <c r="I273" i="40"/>
  <c r="I272" i="40"/>
  <c r="I271" i="40"/>
  <c r="I270" i="40"/>
  <c r="I269" i="40"/>
  <c r="I268" i="40"/>
  <c r="I267" i="40"/>
  <c r="I266" i="40"/>
  <c r="I265" i="40"/>
  <c r="I264" i="40"/>
  <c r="I263" i="40"/>
  <c r="I262" i="40"/>
  <c r="I261" i="40"/>
  <c r="I260" i="40"/>
  <c r="I259" i="40"/>
  <c r="I258" i="40"/>
  <c r="I257" i="40"/>
  <c r="I256" i="40"/>
  <c r="I255" i="40"/>
  <c r="I254" i="40"/>
  <c r="I253" i="40"/>
  <c r="I252" i="40"/>
  <c r="I251" i="40"/>
  <c r="I250" i="40"/>
  <c r="I249" i="40"/>
  <c r="I248" i="40"/>
  <c r="I247" i="40"/>
  <c r="I246" i="40"/>
  <c r="I245" i="40"/>
  <c r="I244" i="40"/>
  <c r="I243" i="40"/>
  <c r="I242" i="40"/>
  <c r="I241" i="40"/>
  <c r="I240" i="40"/>
  <c r="I239" i="40"/>
  <c r="I238" i="40"/>
  <c r="I237" i="40"/>
  <c r="I236" i="40"/>
  <c r="I235" i="40"/>
  <c r="I234" i="40"/>
  <c r="I233" i="40"/>
  <c r="I232" i="40"/>
  <c r="I231" i="40"/>
  <c r="I230" i="40"/>
  <c r="I229" i="40"/>
  <c r="I228" i="40"/>
  <c r="I227" i="40"/>
  <c r="I226" i="40"/>
  <c r="I225" i="40"/>
  <c r="I224" i="40"/>
  <c r="I223" i="40"/>
  <c r="I222" i="40"/>
  <c r="I221" i="40"/>
  <c r="I220" i="40"/>
  <c r="I219" i="40"/>
  <c r="I218" i="40"/>
  <c r="I217" i="40"/>
  <c r="I216" i="40"/>
  <c r="I215" i="40"/>
  <c r="I214" i="40"/>
  <c r="I213" i="40"/>
  <c r="I212" i="40"/>
  <c r="I211" i="40"/>
  <c r="I210" i="40"/>
  <c r="I209" i="40"/>
  <c r="I208" i="40"/>
  <c r="I207" i="40"/>
  <c r="I206" i="40"/>
  <c r="I205" i="40"/>
  <c r="I204" i="40"/>
  <c r="I203" i="40"/>
  <c r="I202" i="40"/>
  <c r="I201" i="40"/>
  <c r="I200" i="40"/>
  <c r="I199" i="40"/>
  <c r="I198" i="40"/>
  <c r="I197" i="40"/>
  <c r="I196" i="40"/>
  <c r="I195" i="40"/>
  <c r="I194" i="40"/>
  <c r="I193" i="40"/>
  <c r="I192" i="40"/>
  <c r="I191" i="40"/>
  <c r="I190" i="40"/>
  <c r="I189" i="40"/>
  <c r="I188" i="40"/>
  <c r="I187" i="40"/>
  <c r="I186" i="40"/>
  <c r="I185" i="40"/>
  <c r="I184" i="40"/>
  <c r="I183" i="40"/>
  <c r="I182" i="40"/>
  <c r="I181" i="40"/>
  <c r="I180" i="40"/>
  <c r="I179" i="40"/>
  <c r="I178" i="40"/>
  <c r="I177" i="40"/>
  <c r="I176" i="40"/>
  <c r="I175" i="40"/>
  <c r="I174" i="40"/>
  <c r="I173" i="40"/>
  <c r="I172" i="40"/>
  <c r="I171" i="40"/>
  <c r="I170" i="40"/>
  <c r="I169" i="40"/>
  <c r="I168" i="40"/>
  <c r="I167" i="40"/>
  <c r="I166" i="40"/>
  <c r="I165" i="40"/>
  <c r="I164" i="40"/>
  <c r="I163" i="40"/>
  <c r="I162" i="40"/>
  <c r="I161" i="40"/>
  <c r="I160" i="40"/>
  <c r="I159" i="40"/>
  <c r="I158" i="40"/>
  <c r="I157" i="40"/>
  <c r="I156" i="40"/>
  <c r="I155" i="40"/>
  <c r="I154" i="40"/>
  <c r="I153" i="40"/>
  <c r="I152" i="40"/>
  <c r="I151" i="40"/>
  <c r="I150" i="40"/>
  <c r="I149" i="40"/>
  <c r="I148" i="40"/>
  <c r="I147" i="40"/>
  <c r="I146" i="40"/>
  <c r="I145" i="40"/>
  <c r="I144" i="40"/>
  <c r="I143" i="40"/>
  <c r="I142" i="40"/>
  <c r="I141" i="40"/>
  <c r="I140" i="40"/>
  <c r="I139" i="40"/>
  <c r="I138" i="40"/>
  <c r="I137" i="40"/>
  <c r="I136" i="40"/>
  <c r="I135" i="40"/>
  <c r="I134" i="40"/>
  <c r="I133" i="40"/>
  <c r="I132" i="40"/>
  <c r="I131" i="40"/>
  <c r="I130" i="40"/>
  <c r="I129" i="40"/>
  <c r="I128" i="40"/>
  <c r="I127" i="40"/>
  <c r="I126" i="40"/>
  <c r="I125" i="40"/>
  <c r="I124" i="40"/>
  <c r="I123" i="40"/>
  <c r="I122" i="40"/>
  <c r="I121" i="40"/>
  <c r="I120" i="40"/>
  <c r="I119" i="40"/>
  <c r="I118" i="40"/>
  <c r="I117" i="40"/>
  <c r="I116" i="40"/>
  <c r="I115" i="40"/>
  <c r="I114" i="40"/>
  <c r="I113" i="40"/>
  <c r="I112" i="40"/>
  <c r="I111" i="40"/>
  <c r="I110" i="40"/>
  <c r="I109" i="40"/>
  <c r="I108" i="40"/>
  <c r="I107" i="40"/>
  <c r="I106" i="40"/>
  <c r="I105" i="40"/>
  <c r="I104" i="40"/>
  <c r="I103" i="40"/>
  <c r="I102" i="40"/>
  <c r="I101" i="40"/>
  <c r="I100" i="40"/>
  <c r="I99" i="40"/>
  <c r="I98" i="40"/>
  <c r="I97" i="40"/>
  <c r="I96" i="40"/>
  <c r="I95" i="40"/>
  <c r="I94" i="40"/>
  <c r="I93" i="40"/>
  <c r="I92" i="40"/>
  <c r="I91" i="40"/>
  <c r="I90" i="40"/>
  <c r="I89" i="40"/>
  <c r="I88" i="40"/>
  <c r="I87" i="40"/>
  <c r="I86" i="40"/>
  <c r="I85" i="40"/>
  <c r="I84" i="40"/>
  <c r="I83" i="40"/>
  <c r="I82" i="40"/>
  <c r="I81" i="40"/>
  <c r="I80" i="40"/>
  <c r="I79" i="40"/>
  <c r="I78" i="40"/>
  <c r="I77" i="40"/>
  <c r="I76" i="40"/>
  <c r="H515" i="40"/>
  <c r="H514" i="40"/>
  <c r="H513" i="40"/>
  <c r="H512" i="40"/>
  <c r="H511" i="40"/>
  <c r="H510" i="40"/>
  <c r="H509" i="40"/>
  <c r="H508" i="40"/>
  <c r="H507" i="40"/>
  <c r="H506" i="40"/>
  <c r="H505" i="40"/>
  <c r="H504" i="40"/>
  <c r="H503" i="40"/>
  <c r="H502" i="40"/>
  <c r="H501" i="40"/>
  <c r="H500" i="40"/>
  <c r="H499" i="40"/>
  <c r="H498" i="40"/>
  <c r="H497" i="40"/>
  <c r="H496" i="40"/>
  <c r="H495" i="40"/>
  <c r="H494" i="40"/>
  <c r="H493" i="40"/>
  <c r="H492" i="40"/>
  <c r="H491" i="40"/>
  <c r="H490" i="40"/>
  <c r="H489" i="40"/>
  <c r="H488" i="40"/>
  <c r="H487" i="40"/>
  <c r="H486" i="40"/>
  <c r="H485" i="40"/>
  <c r="H484" i="40"/>
  <c r="H483" i="40"/>
  <c r="H482" i="40"/>
  <c r="H481" i="40"/>
  <c r="H480" i="40"/>
  <c r="H479" i="40"/>
  <c r="H478" i="40"/>
  <c r="H477" i="40"/>
  <c r="H476" i="40"/>
  <c r="H475" i="40"/>
  <c r="H474" i="40"/>
  <c r="H473" i="40"/>
  <c r="H472" i="40"/>
  <c r="H471" i="40"/>
  <c r="H470" i="40"/>
  <c r="H469" i="40"/>
  <c r="H468" i="40"/>
  <c r="H467" i="40"/>
  <c r="H466" i="40"/>
  <c r="H465" i="40"/>
  <c r="H464" i="40"/>
  <c r="H463" i="40"/>
  <c r="H462" i="40"/>
  <c r="H461" i="40"/>
  <c r="H460" i="40"/>
  <c r="H459" i="40"/>
  <c r="H458" i="40"/>
  <c r="H457" i="40"/>
  <c r="H456" i="40"/>
  <c r="H455" i="40"/>
  <c r="H454" i="40"/>
  <c r="H453" i="40"/>
  <c r="H452" i="40"/>
  <c r="H451" i="40"/>
  <c r="H450" i="40"/>
  <c r="H449" i="40"/>
  <c r="H448" i="40"/>
  <c r="H447" i="40"/>
  <c r="H446" i="40"/>
  <c r="H445" i="40"/>
  <c r="H444" i="40"/>
  <c r="H443" i="40"/>
  <c r="H442" i="40"/>
  <c r="H441" i="40"/>
  <c r="H440" i="40"/>
  <c r="H439" i="40"/>
  <c r="H438" i="40"/>
  <c r="H437" i="40"/>
  <c r="H436" i="40"/>
  <c r="H435" i="40"/>
  <c r="H434" i="40"/>
  <c r="H433" i="40"/>
  <c r="H432" i="40"/>
  <c r="H431" i="40"/>
  <c r="H430" i="40"/>
  <c r="H429" i="40"/>
  <c r="H428" i="40"/>
  <c r="H427" i="40"/>
  <c r="H426" i="40"/>
  <c r="H425" i="40"/>
  <c r="H424" i="40"/>
  <c r="H423" i="40"/>
  <c r="H422" i="40"/>
  <c r="H421" i="40"/>
  <c r="H420" i="40"/>
  <c r="H419" i="40"/>
  <c r="H418" i="40"/>
  <c r="H417" i="40"/>
  <c r="H416" i="40"/>
  <c r="H415" i="40"/>
  <c r="H414" i="40"/>
  <c r="H413" i="40"/>
  <c r="H412" i="40"/>
  <c r="H411" i="40"/>
  <c r="H410" i="40"/>
  <c r="H409" i="40"/>
  <c r="H408" i="40"/>
  <c r="H407" i="40"/>
  <c r="H406" i="40"/>
  <c r="H405" i="40"/>
  <c r="H404" i="40"/>
  <c r="H403" i="40"/>
  <c r="H402" i="40"/>
  <c r="H401" i="40"/>
  <c r="H400" i="40"/>
  <c r="H399" i="40"/>
  <c r="H398" i="40"/>
  <c r="H397" i="40"/>
  <c r="H396" i="40"/>
  <c r="H395" i="40"/>
  <c r="H394" i="40"/>
  <c r="H393" i="40"/>
  <c r="H392" i="40"/>
  <c r="H391" i="40"/>
  <c r="H390" i="40"/>
  <c r="H389" i="40"/>
  <c r="H388" i="40"/>
  <c r="H387" i="40"/>
  <c r="H386" i="40"/>
  <c r="H385" i="40"/>
  <c r="H384" i="40"/>
  <c r="H383" i="40"/>
  <c r="H382" i="40"/>
  <c r="H381" i="40"/>
  <c r="H380" i="40"/>
  <c r="H379" i="40"/>
  <c r="H378" i="40"/>
  <c r="H377" i="40"/>
  <c r="H376" i="40"/>
  <c r="H375" i="40"/>
  <c r="H374" i="40"/>
  <c r="H373" i="40"/>
  <c r="H372" i="40"/>
  <c r="H371" i="40"/>
  <c r="H370" i="40"/>
  <c r="H369" i="40"/>
  <c r="H368" i="40"/>
  <c r="H367" i="40"/>
  <c r="H366" i="40"/>
  <c r="H365" i="40"/>
  <c r="H364" i="40"/>
  <c r="H363" i="40"/>
  <c r="H362" i="40"/>
  <c r="H361" i="40"/>
  <c r="H360" i="40"/>
  <c r="H359" i="40"/>
  <c r="H358" i="40"/>
  <c r="H357" i="40"/>
  <c r="H356" i="40"/>
  <c r="H355" i="40"/>
  <c r="H354" i="40"/>
  <c r="H353" i="40"/>
  <c r="H352" i="40"/>
  <c r="H351" i="40"/>
  <c r="H350" i="40"/>
  <c r="H349" i="40"/>
  <c r="H348" i="40"/>
  <c r="H347" i="40"/>
  <c r="H346" i="40"/>
  <c r="H345" i="40"/>
  <c r="H344" i="40"/>
  <c r="H343" i="40"/>
  <c r="H342" i="40"/>
  <c r="H341" i="40"/>
  <c r="H340" i="40"/>
  <c r="H339" i="40"/>
  <c r="H338" i="40"/>
  <c r="H337" i="40"/>
  <c r="H336" i="40"/>
  <c r="H335" i="40"/>
  <c r="H334" i="40"/>
  <c r="H333" i="40"/>
  <c r="H332" i="40"/>
  <c r="H331" i="40"/>
  <c r="H330" i="40"/>
  <c r="H329" i="40"/>
  <c r="H328" i="40"/>
  <c r="H327" i="40"/>
  <c r="H326" i="40"/>
  <c r="H325" i="40"/>
  <c r="H324" i="40"/>
  <c r="H323" i="40"/>
  <c r="H322" i="40"/>
  <c r="H321" i="40"/>
  <c r="H320" i="40"/>
  <c r="H319" i="40"/>
  <c r="H318" i="40"/>
  <c r="H317" i="40"/>
  <c r="H316" i="40"/>
  <c r="H315" i="40"/>
  <c r="H314" i="40"/>
  <c r="H313" i="40"/>
  <c r="H312" i="40"/>
  <c r="H311" i="40"/>
  <c r="H310" i="40"/>
  <c r="H309" i="40"/>
  <c r="H308" i="40"/>
  <c r="H307" i="40"/>
  <c r="H306" i="40"/>
  <c r="H305" i="40"/>
  <c r="H304" i="40"/>
  <c r="H303" i="40"/>
  <c r="H302" i="40"/>
  <c r="H301" i="40"/>
  <c r="H300" i="40"/>
  <c r="H299" i="40"/>
  <c r="H298" i="40"/>
  <c r="H297" i="40"/>
  <c r="H296" i="40"/>
  <c r="H295" i="40"/>
  <c r="H294" i="40"/>
  <c r="H293" i="40"/>
  <c r="H292" i="40"/>
  <c r="H291" i="40"/>
  <c r="H290" i="40"/>
  <c r="H289" i="40"/>
  <c r="H288" i="40"/>
  <c r="H287" i="40"/>
  <c r="H286" i="40"/>
  <c r="H285" i="40"/>
  <c r="H284" i="40"/>
  <c r="H283" i="40"/>
  <c r="H282" i="40"/>
  <c r="H281" i="40"/>
  <c r="H280" i="40"/>
  <c r="H279" i="40"/>
  <c r="H278" i="40"/>
  <c r="H277" i="40"/>
  <c r="H276" i="40"/>
  <c r="H275" i="40"/>
  <c r="H274" i="40"/>
  <c r="H273" i="40"/>
  <c r="H272" i="40"/>
  <c r="H271" i="40"/>
  <c r="H270" i="40"/>
  <c r="H269" i="40"/>
  <c r="H268" i="40"/>
  <c r="H267" i="40"/>
  <c r="H266" i="40"/>
  <c r="H265" i="40"/>
  <c r="H264" i="40"/>
  <c r="H263" i="40"/>
  <c r="H262" i="40"/>
  <c r="H261" i="40"/>
  <c r="H260" i="40"/>
  <c r="H259" i="40"/>
  <c r="H258" i="40"/>
  <c r="H257" i="40"/>
  <c r="H256" i="40"/>
  <c r="H255" i="40"/>
  <c r="H254" i="40"/>
  <c r="H253" i="40"/>
  <c r="H252" i="40"/>
  <c r="H251" i="40"/>
  <c r="H250" i="40"/>
  <c r="H249" i="40"/>
  <c r="H248" i="40"/>
  <c r="H247" i="40"/>
  <c r="H246" i="40"/>
  <c r="H245" i="40"/>
  <c r="H244" i="40"/>
  <c r="H243" i="40"/>
  <c r="H242" i="40"/>
  <c r="H241" i="40"/>
  <c r="H240" i="40"/>
  <c r="H239" i="40"/>
  <c r="H238" i="40"/>
  <c r="H237" i="40"/>
  <c r="H236" i="40"/>
  <c r="H235" i="40"/>
  <c r="H234" i="40"/>
  <c r="H233" i="40"/>
  <c r="H232" i="40"/>
  <c r="H231" i="40"/>
  <c r="H230" i="40"/>
  <c r="H229" i="40"/>
  <c r="H228" i="40"/>
  <c r="H227" i="40"/>
  <c r="H226" i="40"/>
  <c r="H225" i="40"/>
  <c r="H224" i="40"/>
  <c r="H223" i="40"/>
  <c r="H222" i="40"/>
  <c r="H221" i="40"/>
  <c r="H220" i="40"/>
  <c r="H219" i="40"/>
  <c r="H218" i="40"/>
  <c r="H217" i="40"/>
  <c r="H216" i="40"/>
  <c r="H215" i="40"/>
  <c r="H213" i="40"/>
  <c r="H212" i="40"/>
  <c r="H211" i="40"/>
  <c r="H210" i="40"/>
  <c r="H209" i="40"/>
  <c r="H208" i="40"/>
  <c r="H207" i="40"/>
  <c r="H206" i="40"/>
  <c r="H205" i="40"/>
  <c r="H204" i="40"/>
  <c r="H203" i="40"/>
  <c r="H202" i="40"/>
  <c r="H201" i="40"/>
  <c r="H200" i="40"/>
  <c r="H199" i="40"/>
  <c r="H198" i="40"/>
  <c r="H197" i="40"/>
  <c r="H196" i="40"/>
  <c r="H195" i="40"/>
  <c r="H194" i="40"/>
  <c r="H193" i="40"/>
  <c r="H192" i="40"/>
  <c r="H191" i="40"/>
  <c r="H190" i="40"/>
  <c r="H189" i="40"/>
  <c r="H188" i="40"/>
  <c r="H187" i="40"/>
  <c r="H186" i="40"/>
  <c r="H185" i="40"/>
  <c r="H184" i="40"/>
  <c r="H183" i="40"/>
  <c r="H182" i="40"/>
  <c r="H181" i="40"/>
  <c r="H180" i="40"/>
  <c r="H179" i="40"/>
  <c r="H178" i="40"/>
  <c r="H177" i="40"/>
  <c r="H176" i="40"/>
  <c r="H175" i="40"/>
  <c r="H174" i="40"/>
  <c r="H173" i="40"/>
  <c r="H172" i="40"/>
  <c r="H171" i="40"/>
  <c r="H170" i="40"/>
  <c r="H169" i="40"/>
  <c r="H168" i="40"/>
  <c r="H167" i="40"/>
  <c r="H166" i="40"/>
  <c r="H165" i="40"/>
  <c r="H164" i="40"/>
  <c r="H163" i="40"/>
  <c r="H162" i="40"/>
  <c r="H161" i="40"/>
  <c r="H160" i="40"/>
  <c r="H159" i="40"/>
  <c r="H158" i="40"/>
  <c r="H157" i="40"/>
  <c r="H156" i="40"/>
  <c r="H155" i="40"/>
  <c r="H153" i="40"/>
  <c r="H152" i="40"/>
  <c r="H151" i="40"/>
  <c r="H150" i="40"/>
  <c r="H149" i="40"/>
  <c r="H148" i="40"/>
  <c r="H147" i="40"/>
  <c r="H146" i="40"/>
  <c r="H145" i="40"/>
  <c r="H144" i="40"/>
  <c r="H143" i="40"/>
  <c r="H142" i="40"/>
  <c r="H141" i="40"/>
  <c r="H140" i="40"/>
  <c r="H139" i="40"/>
  <c r="H138" i="40"/>
  <c r="H137" i="40"/>
  <c r="H136" i="40"/>
  <c r="H135" i="40"/>
  <c r="H134" i="40"/>
  <c r="H133" i="40"/>
  <c r="H132" i="40"/>
  <c r="H131" i="40"/>
  <c r="H130" i="40"/>
  <c r="H129" i="40"/>
  <c r="H128" i="40"/>
  <c r="H127" i="40"/>
  <c r="H126" i="40"/>
  <c r="H125" i="40"/>
  <c r="H124" i="40"/>
  <c r="H123" i="40"/>
  <c r="H122" i="40"/>
  <c r="H121" i="40"/>
  <c r="H120" i="40"/>
  <c r="H119" i="40"/>
  <c r="H118" i="40"/>
  <c r="H117" i="40"/>
  <c r="H116" i="40"/>
  <c r="H115" i="40"/>
  <c r="H114" i="40"/>
  <c r="H113" i="40"/>
  <c r="H112" i="40"/>
  <c r="H111" i="40"/>
  <c r="H110" i="40"/>
  <c r="H109" i="40"/>
  <c r="H108" i="40"/>
  <c r="H107" i="40"/>
  <c r="H106" i="40"/>
  <c r="H105" i="40"/>
  <c r="H104" i="40"/>
  <c r="H103" i="40"/>
  <c r="H102" i="40"/>
  <c r="H101" i="40"/>
  <c r="H100" i="40"/>
  <c r="H99" i="40"/>
  <c r="H98" i="40"/>
  <c r="H97" i="40"/>
  <c r="H96" i="40"/>
  <c r="H95" i="40"/>
  <c r="H94" i="40"/>
  <c r="H93" i="40"/>
  <c r="H92" i="40"/>
  <c r="H91" i="40"/>
  <c r="H90" i="40"/>
  <c r="H89" i="40"/>
  <c r="H88" i="40"/>
  <c r="H87" i="40"/>
  <c r="H86" i="40"/>
  <c r="H85" i="40"/>
  <c r="H84" i="40"/>
  <c r="H83" i="40"/>
  <c r="H82" i="40"/>
  <c r="H81" i="40"/>
  <c r="H80" i="40"/>
  <c r="H79" i="40"/>
  <c r="H78" i="40"/>
  <c r="H77" i="40"/>
  <c r="H76" i="40"/>
  <c r="C515" i="40"/>
  <c r="C514" i="40"/>
  <c r="C513" i="40"/>
  <c r="C512" i="40"/>
  <c r="C511" i="40"/>
  <c r="C510" i="40"/>
  <c r="C509" i="40"/>
  <c r="C508" i="40"/>
  <c r="C507" i="40"/>
  <c r="C506" i="40"/>
  <c r="C505" i="40"/>
  <c r="C504" i="40"/>
  <c r="C503" i="40"/>
  <c r="C502" i="40"/>
  <c r="C501" i="40"/>
  <c r="C500" i="40"/>
  <c r="C499" i="40"/>
  <c r="C498" i="40"/>
  <c r="C497" i="40"/>
  <c r="C496" i="40"/>
  <c r="C495" i="40"/>
  <c r="C494" i="40"/>
  <c r="C493" i="40"/>
  <c r="C492" i="40"/>
  <c r="C491" i="40"/>
  <c r="C490" i="40"/>
  <c r="C489" i="40"/>
  <c r="C488" i="40"/>
  <c r="C487" i="40"/>
  <c r="C486" i="40"/>
  <c r="C485" i="40"/>
  <c r="C484" i="40"/>
  <c r="C483" i="40"/>
  <c r="C482" i="40"/>
  <c r="C481" i="40"/>
  <c r="C480" i="40"/>
  <c r="C479" i="40"/>
  <c r="C478" i="40"/>
  <c r="C477" i="40"/>
  <c r="C476" i="40"/>
  <c r="C475" i="40"/>
  <c r="C474" i="40"/>
  <c r="C473" i="40"/>
  <c r="C472" i="40"/>
  <c r="C471" i="40"/>
  <c r="C470" i="40"/>
  <c r="C469" i="40"/>
  <c r="C468" i="40"/>
  <c r="C467" i="40"/>
  <c r="C466" i="40"/>
  <c r="C465" i="40"/>
  <c r="C464" i="40"/>
  <c r="C463" i="40"/>
  <c r="C462" i="40"/>
  <c r="C461" i="40"/>
  <c r="C460" i="40"/>
  <c r="C459" i="40"/>
  <c r="C458" i="40"/>
  <c r="C457" i="40"/>
  <c r="C456" i="40"/>
  <c r="C455" i="40"/>
  <c r="C454" i="40"/>
  <c r="C453" i="40"/>
  <c r="C452" i="40"/>
  <c r="C451" i="40"/>
  <c r="C450" i="40"/>
  <c r="C449" i="40"/>
  <c r="C448" i="40"/>
  <c r="C447" i="40"/>
  <c r="C446" i="40"/>
  <c r="C445" i="40"/>
  <c r="C444" i="40"/>
  <c r="C443" i="40"/>
  <c r="C442" i="40"/>
  <c r="C441" i="40"/>
  <c r="C440" i="40"/>
  <c r="C439" i="40"/>
  <c r="C438" i="40"/>
  <c r="C437" i="40"/>
  <c r="C436" i="40"/>
  <c r="C435" i="40"/>
  <c r="C434" i="40"/>
  <c r="C433" i="40"/>
  <c r="C432" i="40"/>
  <c r="C431" i="40"/>
  <c r="C430" i="40"/>
  <c r="C429" i="40"/>
  <c r="C428" i="40"/>
  <c r="C427" i="40"/>
  <c r="C426" i="40"/>
  <c r="C425" i="40"/>
  <c r="C424" i="40"/>
  <c r="C423" i="40"/>
  <c r="C422" i="40"/>
  <c r="C421" i="40"/>
  <c r="C420" i="40"/>
  <c r="C419" i="40"/>
  <c r="C418" i="40"/>
  <c r="C417" i="40"/>
  <c r="C416" i="40"/>
  <c r="C415" i="40"/>
  <c r="C414" i="40"/>
  <c r="C413" i="40"/>
  <c r="C412" i="40"/>
  <c r="C411" i="40"/>
  <c r="C410" i="40"/>
  <c r="C409" i="40"/>
  <c r="C408" i="40"/>
  <c r="C407" i="40"/>
  <c r="C406" i="40"/>
  <c r="C405" i="40"/>
  <c r="C404" i="40"/>
  <c r="C403" i="40"/>
  <c r="C402" i="40"/>
  <c r="C401" i="40"/>
  <c r="C400" i="40"/>
  <c r="C399" i="40"/>
  <c r="C398" i="40"/>
  <c r="C397" i="40"/>
  <c r="C396" i="40"/>
  <c r="C395" i="40"/>
  <c r="C394" i="40"/>
  <c r="C393" i="40"/>
  <c r="C392" i="40"/>
  <c r="C391" i="40"/>
  <c r="C390" i="40"/>
  <c r="C389" i="40"/>
  <c r="C388" i="40"/>
  <c r="C387" i="40"/>
  <c r="C386" i="40"/>
  <c r="C385" i="40"/>
  <c r="C384" i="40"/>
  <c r="C383" i="40"/>
  <c r="C382" i="40"/>
  <c r="C381" i="40"/>
  <c r="C380" i="40"/>
  <c r="C379" i="40"/>
  <c r="C378" i="40"/>
  <c r="C377" i="40"/>
  <c r="C376" i="40"/>
  <c r="C375" i="40"/>
  <c r="C374" i="40"/>
  <c r="C373" i="40"/>
  <c r="C372" i="40"/>
  <c r="C371" i="40"/>
  <c r="C370" i="40"/>
  <c r="C369" i="40"/>
  <c r="C368" i="40"/>
  <c r="C367" i="40"/>
  <c r="C366" i="40"/>
  <c r="C365" i="40"/>
  <c r="C364" i="40"/>
  <c r="C363" i="40"/>
  <c r="C362" i="40"/>
  <c r="C361" i="40"/>
  <c r="C360" i="40"/>
  <c r="C359" i="40"/>
  <c r="C358" i="40"/>
  <c r="C357" i="40"/>
  <c r="C356" i="40"/>
  <c r="C355" i="40"/>
  <c r="C354" i="40"/>
  <c r="C353" i="40"/>
  <c r="C352" i="40"/>
  <c r="C351" i="40"/>
  <c r="C350" i="40"/>
  <c r="C349" i="40"/>
  <c r="C348" i="40"/>
  <c r="C347" i="40"/>
  <c r="C346" i="40"/>
  <c r="C345" i="40"/>
  <c r="C344" i="40"/>
  <c r="C343" i="40"/>
  <c r="C342" i="40"/>
  <c r="C341" i="40"/>
  <c r="C340" i="40"/>
  <c r="C339" i="40"/>
  <c r="C338" i="40"/>
  <c r="C337" i="40"/>
  <c r="C336" i="40"/>
  <c r="C335" i="40"/>
  <c r="C334" i="40"/>
  <c r="C333" i="40"/>
  <c r="C332" i="40"/>
  <c r="C331" i="40"/>
  <c r="C330" i="40"/>
  <c r="C329" i="40"/>
  <c r="C328" i="40"/>
  <c r="C327" i="40"/>
  <c r="C326" i="40"/>
  <c r="C325" i="40"/>
  <c r="C324" i="40"/>
  <c r="C323" i="40"/>
  <c r="C322" i="40"/>
  <c r="C321" i="40"/>
  <c r="C320" i="40"/>
  <c r="C319" i="40"/>
  <c r="C318" i="40"/>
  <c r="C317" i="40"/>
  <c r="C316" i="40"/>
  <c r="C315" i="40"/>
  <c r="C314" i="40"/>
  <c r="C313" i="40"/>
  <c r="C312" i="40"/>
  <c r="C311" i="40"/>
  <c r="C310" i="40"/>
  <c r="C309" i="40"/>
  <c r="C308" i="40"/>
  <c r="C307" i="40"/>
  <c r="C306" i="40"/>
  <c r="C305" i="40"/>
  <c r="C304" i="40"/>
  <c r="C303" i="40"/>
  <c r="C302" i="40"/>
  <c r="C301" i="40"/>
  <c r="C300" i="40"/>
  <c r="C299" i="40"/>
  <c r="C298" i="40"/>
  <c r="C297" i="40"/>
  <c r="C296" i="40"/>
  <c r="C295" i="40"/>
  <c r="C294" i="40"/>
  <c r="C293" i="40"/>
  <c r="C292" i="40"/>
  <c r="C291" i="40"/>
  <c r="C290" i="40"/>
  <c r="C289" i="40"/>
  <c r="C288" i="40"/>
  <c r="C287" i="40"/>
  <c r="C286" i="40"/>
  <c r="C285" i="40"/>
  <c r="C284" i="40"/>
  <c r="C283" i="40"/>
  <c r="C282" i="40"/>
  <c r="C281" i="40"/>
  <c r="C280" i="40"/>
  <c r="C279" i="40"/>
  <c r="C278" i="40"/>
  <c r="C277" i="40"/>
  <c r="C276" i="40"/>
  <c r="C275" i="40"/>
  <c r="C274" i="40"/>
  <c r="C273" i="40"/>
  <c r="C272" i="40"/>
  <c r="C271" i="40"/>
  <c r="C270" i="40"/>
  <c r="C269" i="40"/>
  <c r="C268" i="40"/>
  <c r="C267" i="40"/>
  <c r="C266" i="40"/>
  <c r="C265" i="40"/>
  <c r="C264" i="40"/>
  <c r="C263" i="40"/>
  <c r="C262" i="40"/>
  <c r="C261" i="40"/>
  <c r="C260" i="40"/>
  <c r="C259" i="40"/>
  <c r="C258" i="40"/>
  <c r="C257" i="40"/>
  <c r="C256" i="40"/>
  <c r="C255" i="40"/>
  <c r="C254" i="40"/>
  <c r="C253" i="40"/>
  <c r="C252" i="40"/>
  <c r="C251" i="40"/>
  <c r="C250" i="40"/>
  <c r="C249" i="40"/>
  <c r="C248" i="40"/>
  <c r="C247" i="40"/>
  <c r="C246" i="40"/>
  <c r="C245" i="40"/>
  <c r="C244" i="40"/>
  <c r="C243" i="40"/>
  <c r="C242" i="40"/>
  <c r="C241" i="40"/>
  <c r="C240" i="40"/>
  <c r="C239" i="40"/>
  <c r="C238" i="40"/>
  <c r="C237" i="40"/>
  <c r="C236" i="40"/>
  <c r="C235" i="40"/>
  <c r="C234" i="40"/>
  <c r="C233" i="40"/>
  <c r="C232" i="40"/>
  <c r="C231" i="40"/>
  <c r="C230" i="40"/>
  <c r="C229" i="40"/>
  <c r="C228" i="40"/>
  <c r="C227" i="40"/>
  <c r="C226" i="40"/>
  <c r="C225" i="40"/>
  <c r="C224" i="40"/>
  <c r="C223" i="40"/>
  <c r="C222" i="40"/>
  <c r="C221"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87" i="40"/>
  <c r="R515" i="40"/>
  <c r="R514" i="40"/>
  <c r="R513" i="40"/>
  <c r="R512" i="40"/>
  <c r="R511" i="40"/>
  <c r="R510" i="40"/>
  <c r="R509" i="40"/>
  <c r="R508" i="40"/>
  <c r="R507" i="40"/>
  <c r="R506" i="40"/>
  <c r="R505" i="40"/>
  <c r="R504" i="40"/>
  <c r="R503" i="40"/>
  <c r="R502" i="40"/>
  <c r="R501" i="40"/>
  <c r="R500" i="40"/>
  <c r="R499" i="40"/>
  <c r="R498" i="40"/>
  <c r="R497" i="40"/>
  <c r="R496" i="40"/>
  <c r="R495" i="40"/>
  <c r="R494" i="40"/>
  <c r="R493" i="40"/>
  <c r="R492" i="40"/>
  <c r="R491" i="40"/>
  <c r="R490" i="40"/>
  <c r="R489" i="40"/>
  <c r="R488" i="40"/>
  <c r="R487" i="40"/>
  <c r="R486" i="40"/>
  <c r="R485" i="40"/>
  <c r="R484" i="40"/>
  <c r="R483" i="40"/>
  <c r="R482" i="40"/>
  <c r="R481" i="40"/>
  <c r="R480" i="40"/>
  <c r="R479" i="40"/>
  <c r="R478" i="40"/>
  <c r="R477" i="40"/>
  <c r="R476" i="40"/>
  <c r="R475" i="40"/>
  <c r="R474" i="40"/>
  <c r="R473" i="40"/>
  <c r="R472" i="40"/>
  <c r="R471" i="40"/>
  <c r="R470" i="40"/>
  <c r="R469" i="40"/>
  <c r="R468" i="40"/>
  <c r="R467" i="40"/>
  <c r="R466" i="40"/>
  <c r="R465" i="40"/>
  <c r="R464" i="40"/>
  <c r="R463" i="40"/>
  <c r="R462" i="40"/>
  <c r="R461" i="40"/>
  <c r="R460" i="40"/>
  <c r="R459" i="40"/>
  <c r="R458" i="40"/>
  <c r="R457" i="40"/>
  <c r="R456" i="40"/>
  <c r="R455" i="40"/>
  <c r="R454" i="40"/>
  <c r="R453" i="40"/>
  <c r="R452" i="40"/>
  <c r="R451" i="40"/>
  <c r="R450" i="40"/>
  <c r="R449" i="40"/>
  <c r="R448" i="40"/>
  <c r="R447" i="40"/>
  <c r="R446" i="40"/>
  <c r="R445" i="40"/>
  <c r="R444" i="40"/>
  <c r="R443" i="40"/>
  <c r="R442" i="40"/>
  <c r="R441" i="40"/>
  <c r="R440" i="40"/>
  <c r="R439" i="40"/>
  <c r="R438" i="40"/>
  <c r="R437" i="40"/>
  <c r="R436" i="40"/>
  <c r="R435" i="40"/>
  <c r="R434" i="40"/>
  <c r="R433" i="40"/>
  <c r="R432" i="40"/>
  <c r="R431" i="40"/>
  <c r="R430" i="40"/>
  <c r="R429" i="40"/>
  <c r="R428" i="40"/>
  <c r="R427" i="40"/>
  <c r="R426" i="40"/>
  <c r="R425" i="40"/>
  <c r="R424" i="40"/>
  <c r="R423" i="40"/>
  <c r="R422" i="40"/>
  <c r="R421" i="40"/>
  <c r="R420" i="40"/>
  <c r="R419" i="40"/>
  <c r="R418" i="40"/>
  <c r="R417" i="40"/>
  <c r="R416" i="40"/>
  <c r="R415" i="40"/>
  <c r="R414" i="40"/>
  <c r="R413" i="40"/>
  <c r="R412" i="40"/>
  <c r="R411" i="40"/>
  <c r="R410" i="40"/>
  <c r="R409" i="40"/>
  <c r="R408" i="40"/>
  <c r="R407" i="40"/>
  <c r="R406" i="40"/>
  <c r="R405" i="40"/>
  <c r="R404" i="40"/>
  <c r="R403" i="40"/>
  <c r="R402" i="40"/>
  <c r="R401" i="40"/>
  <c r="R400" i="40"/>
  <c r="R399" i="40"/>
  <c r="R398" i="40"/>
  <c r="R397" i="40"/>
  <c r="R396" i="40"/>
  <c r="R395" i="40"/>
  <c r="R394" i="40"/>
  <c r="R393" i="40"/>
  <c r="R392" i="40"/>
  <c r="R391" i="40"/>
  <c r="R390" i="40"/>
  <c r="R389" i="40"/>
  <c r="R388" i="40"/>
  <c r="R387" i="40"/>
  <c r="R386" i="40"/>
  <c r="R385" i="40"/>
  <c r="R384" i="40"/>
  <c r="R383" i="40"/>
  <c r="R382" i="40"/>
  <c r="R381" i="40"/>
  <c r="R380" i="40"/>
  <c r="R379" i="40"/>
  <c r="R378" i="40"/>
  <c r="R377" i="40"/>
  <c r="R376" i="40"/>
  <c r="R375" i="40"/>
  <c r="R374" i="40"/>
  <c r="R373" i="40"/>
  <c r="R372" i="40"/>
  <c r="R371" i="40"/>
  <c r="R370" i="40"/>
  <c r="R369" i="40"/>
  <c r="R368" i="40"/>
  <c r="R367" i="40"/>
  <c r="R366" i="40"/>
  <c r="R365" i="40"/>
  <c r="R364" i="40"/>
  <c r="R363" i="40"/>
  <c r="R362" i="40"/>
  <c r="R361" i="40"/>
  <c r="R360" i="40"/>
  <c r="R359" i="40"/>
  <c r="R358" i="40"/>
  <c r="R357" i="40"/>
  <c r="R356" i="40"/>
  <c r="R355" i="40"/>
  <c r="R354" i="40"/>
  <c r="R353" i="40"/>
  <c r="R352" i="40"/>
  <c r="R351" i="40"/>
  <c r="R350" i="40"/>
  <c r="R349" i="40"/>
  <c r="R348" i="40"/>
  <c r="R347" i="40"/>
  <c r="R346" i="40"/>
  <c r="R345" i="40"/>
  <c r="R344" i="40"/>
  <c r="R343" i="40"/>
  <c r="R342" i="40"/>
  <c r="R341" i="40"/>
  <c r="R340" i="40"/>
  <c r="R339" i="40"/>
  <c r="R338" i="40"/>
  <c r="R337" i="40"/>
  <c r="R336" i="40"/>
  <c r="R335" i="40"/>
  <c r="R334" i="40"/>
  <c r="R333" i="40"/>
  <c r="R332" i="40"/>
  <c r="R331" i="40"/>
  <c r="R330" i="40"/>
  <c r="R329" i="40"/>
  <c r="R328" i="40"/>
  <c r="R327" i="40"/>
  <c r="R326" i="40"/>
  <c r="R325" i="40"/>
  <c r="R324" i="40"/>
  <c r="R323" i="40"/>
  <c r="R322" i="40"/>
  <c r="R321" i="40"/>
  <c r="R320" i="40"/>
  <c r="R319" i="40"/>
  <c r="R318" i="40"/>
  <c r="R317" i="40"/>
  <c r="R316" i="40"/>
  <c r="R315" i="40"/>
  <c r="R314" i="40"/>
  <c r="R313" i="40"/>
  <c r="R312" i="40"/>
  <c r="R311" i="40"/>
  <c r="R310" i="40"/>
  <c r="R309" i="40"/>
  <c r="R308" i="40"/>
  <c r="R307" i="40"/>
  <c r="R306" i="40"/>
  <c r="R305" i="40"/>
  <c r="R304" i="40"/>
  <c r="R303" i="40"/>
  <c r="R302" i="40"/>
  <c r="R301" i="40"/>
  <c r="R300" i="40"/>
  <c r="R299" i="40"/>
  <c r="R298" i="40"/>
  <c r="R297" i="40"/>
  <c r="R296" i="40"/>
  <c r="R295" i="40"/>
  <c r="R294" i="40"/>
  <c r="R293" i="40"/>
  <c r="R292" i="40"/>
  <c r="R291" i="40"/>
  <c r="R290" i="40"/>
  <c r="R289" i="40"/>
  <c r="R288" i="40"/>
  <c r="R287" i="40"/>
  <c r="R286" i="40"/>
  <c r="R285" i="40"/>
  <c r="R284" i="40"/>
  <c r="R283" i="40"/>
  <c r="R282" i="40"/>
  <c r="R281" i="40"/>
  <c r="R280" i="40"/>
  <c r="R279" i="40"/>
  <c r="R278" i="40"/>
  <c r="R277" i="40"/>
  <c r="R276" i="40"/>
  <c r="R275" i="40"/>
  <c r="R274" i="40"/>
  <c r="R273" i="40"/>
  <c r="R272" i="40"/>
  <c r="R271" i="40"/>
  <c r="R270" i="40"/>
  <c r="R269" i="40"/>
  <c r="R268" i="40"/>
  <c r="R267" i="40"/>
  <c r="R266" i="40"/>
  <c r="R265" i="40"/>
  <c r="R264" i="40"/>
  <c r="R263" i="40"/>
  <c r="R262" i="40"/>
  <c r="R261" i="40"/>
  <c r="R260" i="40"/>
  <c r="R259" i="40"/>
  <c r="R258" i="40"/>
  <c r="R257" i="40"/>
  <c r="R256" i="40"/>
  <c r="R255" i="40"/>
  <c r="R254" i="40"/>
  <c r="R253" i="40"/>
  <c r="R252" i="40"/>
  <c r="R251" i="40"/>
  <c r="R250" i="40"/>
  <c r="R249" i="40"/>
  <c r="R248" i="40"/>
  <c r="R247" i="40"/>
  <c r="R246" i="40"/>
  <c r="R245" i="40"/>
  <c r="R244" i="40"/>
  <c r="R243" i="40"/>
  <c r="R242" i="40"/>
  <c r="R241" i="40"/>
  <c r="R240" i="40"/>
  <c r="R239" i="40"/>
  <c r="R238" i="40"/>
  <c r="R237" i="40"/>
  <c r="R236" i="40"/>
  <c r="R235" i="40"/>
  <c r="R234" i="40"/>
  <c r="R233" i="40"/>
  <c r="R232" i="40"/>
  <c r="R231" i="40"/>
  <c r="R230" i="40"/>
  <c r="R229" i="40"/>
  <c r="R228" i="40"/>
  <c r="R227" i="40"/>
  <c r="R226" i="40"/>
  <c r="R225" i="40"/>
  <c r="R224" i="40"/>
  <c r="R223" i="40"/>
  <c r="R222" i="40"/>
  <c r="R221" i="40"/>
  <c r="R220" i="40"/>
  <c r="R219" i="40"/>
  <c r="R218" i="40"/>
  <c r="R217" i="40"/>
  <c r="R216" i="40"/>
  <c r="R215" i="40"/>
  <c r="R214" i="40"/>
  <c r="R213" i="40"/>
  <c r="R212" i="40"/>
  <c r="R211" i="40"/>
  <c r="R210" i="40"/>
  <c r="R209" i="40"/>
  <c r="R208" i="40"/>
  <c r="R207" i="40"/>
  <c r="R206" i="40"/>
  <c r="R205" i="40"/>
  <c r="R204" i="40"/>
  <c r="R203" i="40"/>
  <c r="R202" i="40"/>
  <c r="R201" i="40"/>
  <c r="R200" i="40"/>
  <c r="R199" i="40"/>
  <c r="R198" i="40"/>
  <c r="R197" i="40"/>
  <c r="R196" i="40"/>
  <c r="R195" i="40"/>
  <c r="R194" i="40"/>
  <c r="R193" i="40"/>
  <c r="R192" i="40"/>
  <c r="R191" i="40"/>
  <c r="R190" i="40"/>
  <c r="R189" i="40"/>
  <c r="R188" i="40"/>
  <c r="R187" i="40"/>
  <c r="R186" i="40"/>
  <c r="R185" i="40"/>
  <c r="R184" i="40"/>
  <c r="R183" i="40"/>
  <c r="R182" i="40"/>
  <c r="R181" i="40"/>
  <c r="R180" i="40"/>
  <c r="R179" i="40"/>
  <c r="R178" i="40"/>
  <c r="R177" i="40"/>
  <c r="R176" i="40"/>
  <c r="R175" i="40"/>
  <c r="R174" i="40"/>
  <c r="R173" i="40"/>
  <c r="R172" i="40"/>
  <c r="R171" i="40"/>
  <c r="R170" i="40"/>
  <c r="R169" i="40"/>
  <c r="R168" i="40"/>
  <c r="R167" i="40"/>
  <c r="R166" i="40"/>
  <c r="R165" i="40"/>
  <c r="R164" i="40"/>
  <c r="R163" i="40"/>
  <c r="R162" i="40"/>
  <c r="R161" i="40"/>
  <c r="R160" i="40"/>
  <c r="R159" i="40"/>
  <c r="R158" i="40"/>
  <c r="R157" i="40"/>
  <c r="R156" i="40"/>
  <c r="R155" i="40"/>
  <c r="R154" i="40"/>
  <c r="R153" i="40"/>
  <c r="R152" i="40"/>
  <c r="R151" i="40"/>
  <c r="R150" i="40"/>
  <c r="R149" i="40"/>
  <c r="R148" i="40"/>
  <c r="R147" i="40"/>
  <c r="R146" i="40"/>
  <c r="R145" i="40"/>
  <c r="R144" i="40"/>
  <c r="R143" i="40"/>
  <c r="R142" i="40"/>
  <c r="R141" i="40"/>
  <c r="R140" i="40"/>
  <c r="R139" i="40"/>
  <c r="R138" i="40"/>
  <c r="R137" i="40"/>
  <c r="R136" i="40"/>
  <c r="R135" i="40"/>
  <c r="R134" i="40"/>
  <c r="R133" i="40"/>
  <c r="R132" i="40"/>
  <c r="R131" i="40"/>
  <c r="R130" i="40"/>
  <c r="R129" i="40"/>
  <c r="R128" i="40"/>
  <c r="R127" i="40"/>
  <c r="R126" i="40"/>
  <c r="R125" i="40"/>
  <c r="R124" i="40"/>
  <c r="R123" i="40"/>
  <c r="R122" i="40"/>
  <c r="R121" i="40"/>
  <c r="R120" i="40"/>
  <c r="R119" i="40"/>
  <c r="R118" i="40"/>
  <c r="R117" i="40"/>
  <c r="R116" i="40"/>
  <c r="R115" i="40"/>
  <c r="R114" i="40"/>
  <c r="R113" i="40"/>
  <c r="R112" i="40"/>
  <c r="R111" i="40"/>
  <c r="R110" i="40"/>
  <c r="R109" i="40"/>
  <c r="R108" i="40"/>
  <c r="R107" i="40"/>
  <c r="R106" i="40"/>
  <c r="R105" i="40"/>
  <c r="R104" i="40"/>
  <c r="R103" i="40"/>
  <c r="R102" i="40"/>
  <c r="R101" i="40"/>
  <c r="R100" i="40"/>
  <c r="R99" i="40"/>
  <c r="R98" i="40"/>
  <c r="R97" i="40"/>
  <c r="R96" i="40"/>
  <c r="R95" i="40"/>
  <c r="R94" i="40"/>
  <c r="R93" i="40"/>
  <c r="R92" i="40"/>
  <c r="R91" i="40"/>
  <c r="R90" i="40"/>
  <c r="R89" i="40"/>
  <c r="R88" i="40"/>
  <c r="R87" i="40"/>
  <c r="R86" i="40"/>
  <c r="R85" i="40"/>
  <c r="R84" i="40"/>
  <c r="R83" i="40"/>
  <c r="R82" i="40"/>
  <c r="R81" i="40"/>
  <c r="R80" i="40"/>
  <c r="R79" i="40"/>
  <c r="R78" i="40"/>
  <c r="R77" i="40"/>
  <c r="R76" i="40"/>
  <c r="G515" i="40"/>
  <c r="G514" i="40"/>
  <c r="G513" i="40"/>
  <c r="G512" i="40"/>
  <c r="G511" i="40"/>
  <c r="G510" i="40"/>
  <c r="G509" i="40"/>
  <c r="G508" i="40"/>
  <c r="G507" i="40"/>
  <c r="G506" i="40"/>
  <c r="G505" i="40"/>
  <c r="G504" i="40"/>
  <c r="G503" i="40"/>
  <c r="G502" i="40"/>
  <c r="G501" i="40"/>
  <c r="G500" i="40"/>
  <c r="G499" i="40"/>
  <c r="G498" i="40"/>
  <c r="G497" i="40"/>
  <c r="G496" i="40"/>
  <c r="G495" i="40"/>
  <c r="G494" i="40"/>
  <c r="G493" i="40"/>
  <c r="G492" i="40"/>
  <c r="G491" i="40"/>
  <c r="G490" i="40"/>
  <c r="G489" i="40"/>
  <c r="G488" i="40"/>
  <c r="G487" i="40"/>
  <c r="G486" i="40"/>
  <c r="G485" i="40"/>
  <c r="G484" i="40"/>
  <c r="G483" i="40"/>
  <c r="G482" i="40"/>
  <c r="G481" i="40"/>
  <c r="G480" i="40"/>
  <c r="G479" i="40"/>
  <c r="G478" i="40"/>
  <c r="G477" i="40"/>
  <c r="G476" i="40"/>
  <c r="G475" i="40"/>
  <c r="G474" i="40"/>
  <c r="G473" i="40"/>
  <c r="G472" i="40"/>
  <c r="G471" i="40"/>
  <c r="G470" i="40"/>
  <c r="G469" i="40"/>
  <c r="G468" i="40"/>
  <c r="G467" i="40"/>
  <c r="G466" i="40"/>
  <c r="G465" i="40"/>
  <c r="G464" i="40"/>
  <c r="G463" i="40"/>
  <c r="G462" i="40"/>
  <c r="G461" i="40"/>
  <c r="G460" i="40"/>
  <c r="G459" i="40"/>
  <c r="G458" i="40"/>
  <c r="G457" i="40"/>
  <c r="G456" i="40"/>
  <c r="G455" i="40"/>
  <c r="G454" i="40"/>
  <c r="G453" i="40"/>
  <c r="G452" i="40"/>
  <c r="G451" i="40"/>
  <c r="G450" i="40"/>
  <c r="G449" i="40"/>
  <c r="G448" i="40"/>
  <c r="G447" i="40"/>
  <c r="G446" i="40"/>
  <c r="G445" i="40"/>
  <c r="G444" i="40"/>
  <c r="G443" i="40"/>
  <c r="G442" i="40"/>
  <c r="G441" i="40"/>
  <c r="G440" i="40"/>
  <c r="G439" i="40"/>
  <c r="G438" i="40"/>
  <c r="G437" i="40"/>
  <c r="G436" i="40"/>
  <c r="G435" i="40"/>
  <c r="G434" i="40"/>
  <c r="G433" i="40"/>
  <c r="G432" i="40"/>
  <c r="G431" i="40"/>
  <c r="G430" i="40"/>
  <c r="G429" i="40"/>
  <c r="G428" i="40"/>
  <c r="G427" i="40"/>
  <c r="G426" i="40"/>
  <c r="G425" i="40"/>
  <c r="G424" i="40"/>
  <c r="G423" i="40"/>
  <c r="G422" i="40"/>
  <c r="G421" i="40"/>
  <c r="G420" i="40"/>
  <c r="G419" i="40"/>
  <c r="G418" i="40"/>
  <c r="G417" i="40"/>
  <c r="G416" i="40"/>
  <c r="G415" i="40"/>
  <c r="G414" i="40"/>
  <c r="G413" i="40"/>
  <c r="G412" i="40"/>
  <c r="G411" i="40"/>
  <c r="G410" i="40"/>
  <c r="G409" i="40"/>
  <c r="G408" i="40"/>
  <c r="G407" i="40"/>
  <c r="G406" i="40"/>
  <c r="G405" i="40"/>
  <c r="G404" i="40"/>
  <c r="G403" i="40"/>
  <c r="G402" i="40"/>
  <c r="G401" i="40"/>
  <c r="G400" i="40"/>
  <c r="G399" i="40"/>
  <c r="G398" i="40"/>
  <c r="G397" i="40"/>
  <c r="G396" i="40"/>
  <c r="G395" i="40"/>
  <c r="G394" i="40"/>
  <c r="G393" i="40"/>
  <c r="G392" i="40"/>
  <c r="G391" i="40"/>
  <c r="G390" i="40"/>
  <c r="G389" i="40"/>
  <c r="G388" i="40"/>
  <c r="G387" i="40"/>
  <c r="G386" i="40"/>
  <c r="G385" i="40"/>
  <c r="G384" i="40"/>
  <c r="G383" i="40"/>
  <c r="G382" i="40"/>
  <c r="G381" i="40"/>
  <c r="G380" i="40"/>
  <c r="G379" i="40"/>
  <c r="G378" i="40"/>
  <c r="G377" i="40"/>
  <c r="G376" i="40"/>
  <c r="G375" i="40"/>
  <c r="G374" i="40"/>
  <c r="G373" i="40"/>
  <c r="G372" i="40"/>
  <c r="G371" i="40"/>
  <c r="G370" i="40"/>
  <c r="G369" i="40"/>
  <c r="G368" i="40"/>
  <c r="G367" i="40"/>
  <c r="G366" i="40"/>
  <c r="G365" i="40"/>
  <c r="G364" i="40"/>
  <c r="G363" i="40"/>
  <c r="G362" i="40"/>
  <c r="G361" i="40"/>
  <c r="G360" i="40"/>
  <c r="G359" i="40"/>
  <c r="G358" i="40"/>
  <c r="G357" i="40"/>
  <c r="G356" i="40"/>
  <c r="G355" i="40"/>
  <c r="G354" i="40"/>
  <c r="G353" i="40"/>
  <c r="G352" i="40"/>
  <c r="G351" i="40"/>
  <c r="G350" i="40"/>
  <c r="G349" i="40"/>
  <c r="G348" i="40"/>
  <c r="G347" i="40"/>
  <c r="G346" i="40"/>
  <c r="G345" i="40"/>
  <c r="G344" i="40"/>
  <c r="G343" i="40"/>
  <c r="G342" i="40"/>
  <c r="G341" i="40"/>
  <c r="G340" i="40"/>
  <c r="G339" i="40"/>
  <c r="G338" i="40"/>
  <c r="G337" i="40"/>
  <c r="G336" i="40"/>
  <c r="G335" i="40"/>
  <c r="G334" i="40"/>
  <c r="G333" i="40"/>
  <c r="G332" i="40"/>
  <c r="G331" i="40"/>
  <c r="G330" i="40"/>
  <c r="G329" i="40"/>
  <c r="G328" i="40"/>
  <c r="G327" i="40"/>
  <c r="G326" i="40"/>
  <c r="G325" i="40"/>
  <c r="G324" i="40"/>
  <c r="G323" i="40"/>
  <c r="G322" i="40"/>
  <c r="G321" i="40"/>
  <c r="G320" i="40"/>
  <c r="G319" i="40"/>
  <c r="G318" i="40"/>
  <c r="G317" i="40"/>
  <c r="G316" i="40"/>
  <c r="G315" i="40"/>
  <c r="G314" i="40"/>
  <c r="G313" i="40"/>
  <c r="G312" i="40"/>
  <c r="G311" i="40"/>
  <c r="G310" i="40"/>
  <c r="G309" i="40"/>
  <c r="G308" i="40"/>
  <c r="G307" i="40"/>
  <c r="G306" i="40"/>
  <c r="G305" i="40"/>
  <c r="G304" i="40"/>
  <c r="G303" i="40"/>
  <c r="G302" i="40"/>
  <c r="G301" i="40"/>
  <c r="G300" i="40"/>
  <c r="G299" i="40"/>
  <c r="G298" i="40"/>
  <c r="G297" i="40"/>
  <c r="G296" i="40"/>
  <c r="G295" i="40"/>
  <c r="G294" i="40"/>
  <c r="G293" i="40"/>
  <c r="G292" i="40"/>
  <c r="G291" i="40"/>
  <c r="G290" i="40"/>
  <c r="G289" i="40"/>
  <c r="G288" i="40"/>
  <c r="G287" i="40"/>
  <c r="G286" i="40"/>
  <c r="G285" i="40"/>
  <c r="G284" i="40"/>
  <c r="G283" i="40"/>
  <c r="G282" i="40"/>
  <c r="G281" i="40"/>
  <c r="G280" i="40"/>
  <c r="G279" i="40"/>
  <c r="G278" i="40"/>
  <c r="G277" i="40"/>
  <c r="G276" i="40"/>
  <c r="G275" i="40"/>
  <c r="G274" i="40"/>
  <c r="G273" i="40"/>
  <c r="G272" i="40"/>
  <c r="G271" i="40"/>
  <c r="G270" i="40"/>
  <c r="G269" i="40"/>
  <c r="G268" i="40"/>
  <c r="G267" i="40"/>
  <c r="G266" i="40"/>
  <c r="G265" i="40"/>
  <c r="G264" i="40"/>
  <c r="G263" i="40"/>
  <c r="G262" i="40"/>
  <c r="G261" i="40"/>
  <c r="G260" i="40"/>
  <c r="G259" i="40"/>
  <c r="G258" i="40"/>
  <c r="G257" i="40"/>
  <c r="G256" i="40"/>
  <c r="G255" i="40"/>
  <c r="G254" i="40"/>
  <c r="G253" i="40"/>
  <c r="G252" i="40"/>
  <c r="G251" i="40"/>
  <c r="G250" i="40"/>
  <c r="G249" i="40"/>
  <c r="G248" i="40"/>
  <c r="G247" i="40"/>
  <c r="G246" i="40"/>
  <c r="G245" i="40"/>
  <c r="G244" i="40"/>
  <c r="G243" i="40"/>
  <c r="G242" i="40"/>
  <c r="G241" i="40"/>
  <c r="G240" i="40"/>
  <c r="G239" i="40"/>
  <c r="G238" i="40"/>
  <c r="G237" i="40"/>
  <c r="G236" i="40"/>
  <c r="G235" i="40"/>
  <c r="G234" i="40"/>
  <c r="G233" i="40"/>
  <c r="G232" i="40"/>
  <c r="G231" i="40"/>
  <c r="G230" i="40"/>
  <c r="G229" i="40"/>
  <c r="G228" i="40"/>
  <c r="G227" i="40"/>
  <c r="G226" i="40"/>
  <c r="G225" i="40"/>
  <c r="G224" i="40"/>
  <c r="G223" i="40"/>
  <c r="G222" i="40"/>
  <c r="G221" i="40"/>
  <c r="G220" i="40"/>
  <c r="G219" i="40"/>
  <c r="G218" i="40"/>
  <c r="G217" i="40"/>
  <c r="G216" i="40"/>
  <c r="G215" i="40"/>
  <c r="G214" i="40"/>
  <c r="G213" i="40"/>
  <c r="G212" i="40"/>
  <c r="G211" i="40"/>
  <c r="G210" i="40"/>
  <c r="G209" i="40"/>
  <c r="G208" i="40"/>
  <c r="G207" i="40"/>
  <c r="G206" i="40"/>
  <c r="G205" i="40"/>
  <c r="G204" i="40"/>
  <c r="G203" i="40"/>
  <c r="G202" i="40"/>
  <c r="G201" i="40"/>
  <c r="G200" i="40"/>
  <c r="G199" i="40"/>
  <c r="G198" i="40"/>
  <c r="G197" i="40"/>
  <c r="G196" i="40"/>
  <c r="G195" i="40"/>
  <c r="G194" i="40"/>
  <c r="G193" i="40"/>
  <c r="G192" i="40"/>
  <c r="G191" i="40"/>
  <c r="G190" i="40"/>
  <c r="G189" i="40"/>
  <c r="G188" i="40"/>
  <c r="G187" i="40"/>
  <c r="G186" i="40"/>
  <c r="G185" i="40"/>
  <c r="G184" i="40"/>
  <c r="G183" i="40"/>
  <c r="G182" i="40"/>
  <c r="G181" i="40"/>
  <c r="G180" i="40"/>
  <c r="G179" i="40"/>
  <c r="G178" i="40"/>
  <c r="G177" i="40"/>
  <c r="G176" i="40"/>
  <c r="G175" i="40"/>
  <c r="G174" i="40"/>
  <c r="G173" i="40"/>
  <c r="G172" i="40"/>
  <c r="G171" i="40"/>
  <c r="G170" i="40"/>
  <c r="G169" i="40"/>
  <c r="G168" i="40"/>
  <c r="G167" i="40"/>
  <c r="G166" i="40"/>
  <c r="G165" i="40"/>
  <c r="G164" i="40"/>
  <c r="G163" i="40"/>
  <c r="G162" i="40"/>
  <c r="G161" i="40"/>
  <c r="G160" i="40"/>
  <c r="G159" i="40"/>
  <c r="G158" i="40"/>
  <c r="G157" i="40"/>
  <c r="G156" i="40"/>
  <c r="G155" i="40"/>
  <c r="G154" i="40"/>
  <c r="G153" i="40"/>
  <c r="G152" i="40"/>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6" i="40"/>
  <c r="G85" i="40"/>
  <c r="G84" i="40"/>
  <c r="G83" i="40"/>
  <c r="G82" i="40"/>
  <c r="G81" i="40"/>
  <c r="G80" i="40"/>
  <c r="G79" i="40"/>
  <c r="G78" i="40"/>
  <c r="G77" i="40"/>
  <c r="G76" i="40"/>
  <c r="F29" i="40"/>
  <c r="U515" i="40"/>
  <c r="Y515" i="40"/>
  <c r="N515" i="40"/>
  <c r="AA515" i="40"/>
  <c r="AE515" i="40"/>
  <c r="AB515" i="40"/>
  <c r="V515" i="40"/>
  <c r="Z515" i="40"/>
  <c r="Q515" i="40"/>
  <c r="AC515" i="40"/>
  <c r="AD515" i="40"/>
  <c r="AF515" i="40"/>
  <c r="U514" i="40"/>
  <c r="Y514" i="40"/>
  <c r="N514" i="40"/>
  <c r="AA514" i="40"/>
  <c r="AE514" i="40"/>
  <c r="AB514" i="40"/>
  <c r="V514" i="40"/>
  <c r="Z514" i="40"/>
  <c r="Q514" i="40"/>
  <c r="AC514" i="40"/>
  <c r="AD514" i="40"/>
  <c r="AF514" i="40"/>
  <c r="U513" i="40"/>
  <c r="Y513" i="40"/>
  <c r="N513" i="40"/>
  <c r="AA513" i="40"/>
  <c r="AE513" i="40"/>
  <c r="AB513" i="40"/>
  <c r="V513" i="40"/>
  <c r="Z513" i="40"/>
  <c r="Q513" i="40"/>
  <c r="AC513" i="40"/>
  <c r="AD513" i="40"/>
  <c r="AF513" i="40"/>
  <c r="U512" i="40"/>
  <c r="Y512" i="40"/>
  <c r="N512" i="40"/>
  <c r="AA512" i="40"/>
  <c r="AE512" i="40"/>
  <c r="AB512" i="40"/>
  <c r="V512" i="40"/>
  <c r="Z512" i="40"/>
  <c r="Q512" i="40"/>
  <c r="AC512" i="40"/>
  <c r="AD512" i="40"/>
  <c r="AF512" i="40"/>
  <c r="U511" i="40"/>
  <c r="Y511" i="40"/>
  <c r="N511" i="40"/>
  <c r="AA511" i="40"/>
  <c r="AE511" i="40"/>
  <c r="AB511" i="40"/>
  <c r="V511" i="40"/>
  <c r="Z511" i="40"/>
  <c r="Q511" i="40"/>
  <c r="AC511" i="40"/>
  <c r="AD511" i="40"/>
  <c r="AF511" i="40"/>
  <c r="U510" i="40"/>
  <c r="Y510" i="40"/>
  <c r="N510" i="40"/>
  <c r="AA510" i="40"/>
  <c r="AE510" i="40"/>
  <c r="AB510" i="40"/>
  <c r="V510" i="40"/>
  <c r="Z510" i="40"/>
  <c r="Q510" i="40"/>
  <c r="AC510" i="40"/>
  <c r="AD510" i="40"/>
  <c r="AF510" i="40"/>
  <c r="U509" i="40"/>
  <c r="Y509" i="40"/>
  <c r="N509" i="40"/>
  <c r="AA509" i="40"/>
  <c r="AE509" i="40"/>
  <c r="AB509" i="40"/>
  <c r="V509" i="40"/>
  <c r="Z509" i="40"/>
  <c r="Q509" i="40"/>
  <c r="AC509" i="40"/>
  <c r="AD509" i="40"/>
  <c r="AF509" i="40"/>
  <c r="U508" i="40"/>
  <c r="Y508" i="40"/>
  <c r="N508" i="40"/>
  <c r="AA508" i="40"/>
  <c r="AE508" i="40"/>
  <c r="AB508" i="40"/>
  <c r="V508" i="40"/>
  <c r="Z508" i="40"/>
  <c r="Q508" i="40"/>
  <c r="AC508" i="40"/>
  <c r="AD508" i="40"/>
  <c r="AF508" i="40"/>
  <c r="U507" i="40"/>
  <c r="Y507" i="40"/>
  <c r="N507" i="40"/>
  <c r="AA507" i="40"/>
  <c r="AE507" i="40"/>
  <c r="AB507" i="40"/>
  <c r="V507" i="40"/>
  <c r="Z507" i="40"/>
  <c r="Q507" i="40"/>
  <c r="AC507" i="40"/>
  <c r="AD507" i="40"/>
  <c r="AF507" i="40"/>
  <c r="U506" i="40"/>
  <c r="Y506" i="40"/>
  <c r="N506" i="40"/>
  <c r="AA506" i="40"/>
  <c r="AE506" i="40"/>
  <c r="AB506" i="40"/>
  <c r="V506" i="40"/>
  <c r="Z506" i="40"/>
  <c r="Q506" i="40"/>
  <c r="AC506" i="40"/>
  <c r="AD506" i="40"/>
  <c r="AF506" i="40"/>
  <c r="U505" i="40"/>
  <c r="Y505" i="40"/>
  <c r="N505" i="40"/>
  <c r="AA505" i="40"/>
  <c r="AE505" i="40"/>
  <c r="AB505" i="40"/>
  <c r="V505" i="40"/>
  <c r="Z505" i="40"/>
  <c r="Q505" i="40"/>
  <c r="AC505" i="40"/>
  <c r="AD505" i="40"/>
  <c r="AF505" i="40"/>
  <c r="U504" i="40"/>
  <c r="Y504" i="40"/>
  <c r="N504" i="40"/>
  <c r="AA504" i="40"/>
  <c r="AE504" i="40"/>
  <c r="AB504" i="40"/>
  <c r="V504" i="40"/>
  <c r="Z504" i="40"/>
  <c r="Q504" i="40"/>
  <c r="AC504" i="40"/>
  <c r="AD504" i="40"/>
  <c r="AF504" i="40"/>
  <c r="U503" i="40"/>
  <c r="Y503" i="40"/>
  <c r="N503" i="40"/>
  <c r="AA503" i="40"/>
  <c r="AE503" i="40"/>
  <c r="AB503" i="40"/>
  <c r="V503" i="40"/>
  <c r="Z503" i="40"/>
  <c r="Q503" i="40"/>
  <c r="AC503" i="40"/>
  <c r="AD503" i="40"/>
  <c r="AF503" i="40"/>
  <c r="U502" i="40"/>
  <c r="Y502" i="40"/>
  <c r="N502" i="40"/>
  <c r="AA502" i="40"/>
  <c r="AE502" i="40"/>
  <c r="AB502" i="40"/>
  <c r="V502" i="40"/>
  <c r="Z502" i="40"/>
  <c r="Q502" i="40"/>
  <c r="AC502" i="40"/>
  <c r="AD502" i="40"/>
  <c r="AF502" i="40"/>
  <c r="U501" i="40"/>
  <c r="Y501" i="40"/>
  <c r="N501" i="40"/>
  <c r="AA501" i="40"/>
  <c r="AE501" i="40"/>
  <c r="AB501" i="40"/>
  <c r="V501" i="40"/>
  <c r="Z501" i="40"/>
  <c r="Q501" i="40"/>
  <c r="AC501" i="40"/>
  <c r="AD501" i="40"/>
  <c r="AF501" i="40"/>
  <c r="U500" i="40"/>
  <c r="Y500" i="40"/>
  <c r="N500" i="40"/>
  <c r="AA500" i="40"/>
  <c r="AE500" i="40"/>
  <c r="AB500" i="40"/>
  <c r="V500" i="40"/>
  <c r="Z500" i="40"/>
  <c r="Q500" i="40"/>
  <c r="AC500" i="40"/>
  <c r="AD500" i="40"/>
  <c r="AF500" i="40"/>
  <c r="U499" i="40"/>
  <c r="Y499" i="40"/>
  <c r="N499" i="40"/>
  <c r="AA499" i="40"/>
  <c r="AE499" i="40"/>
  <c r="AB499" i="40"/>
  <c r="V499" i="40"/>
  <c r="Z499" i="40"/>
  <c r="Q499" i="40"/>
  <c r="AC499" i="40"/>
  <c r="AD499" i="40"/>
  <c r="AF499" i="40"/>
  <c r="U498" i="40"/>
  <c r="Y498" i="40"/>
  <c r="N498" i="40"/>
  <c r="AA498" i="40"/>
  <c r="AE498" i="40"/>
  <c r="AB498" i="40"/>
  <c r="V498" i="40"/>
  <c r="Z498" i="40"/>
  <c r="Q498" i="40"/>
  <c r="AC498" i="40"/>
  <c r="AD498" i="40"/>
  <c r="AF498" i="40"/>
  <c r="U497" i="40"/>
  <c r="Y497" i="40"/>
  <c r="N497" i="40"/>
  <c r="AA497" i="40"/>
  <c r="AE497" i="40"/>
  <c r="AB497" i="40"/>
  <c r="V497" i="40"/>
  <c r="Z497" i="40"/>
  <c r="Q497" i="40"/>
  <c r="AC497" i="40"/>
  <c r="AD497" i="40"/>
  <c r="AF497" i="40"/>
  <c r="U496" i="40"/>
  <c r="Y496" i="40"/>
  <c r="N496" i="40"/>
  <c r="AA496" i="40"/>
  <c r="AE496" i="40"/>
  <c r="AB496" i="40"/>
  <c r="V496" i="40"/>
  <c r="Z496" i="40"/>
  <c r="Q496" i="40"/>
  <c r="AC496" i="40"/>
  <c r="AD496" i="40"/>
  <c r="AF496" i="40"/>
  <c r="U495" i="40"/>
  <c r="Y495" i="40"/>
  <c r="N495" i="40"/>
  <c r="AA495" i="40"/>
  <c r="AE495" i="40"/>
  <c r="AB495" i="40"/>
  <c r="V495" i="40"/>
  <c r="Z495" i="40"/>
  <c r="Q495" i="40"/>
  <c r="AC495" i="40"/>
  <c r="AD495" i="40"/>
  <c r="AF495" i="40"/>
  <c r="U494" i="40"/>
  <c r="Y494" i="40"/>
  <c r="N494" i="40"/>
  <c r="AA494" i="40"/>
  <c r="AE494" i="40"/>
  <c r="AB494" i="40"/>
  <c r="V494" i="40"/>
  <c r="Z494" i="40"/>
  <c r="Q494" i="40"/>
  <c r="AC494" i="40"/>
  <c r="AD494" i="40"/>
  <c r="AF494" i="40"/>
  <c r="U493" i="40"/>
  <c r="Y493" i="40"/>
  <c r="N493" i="40"/>
  <c r="AA493" i="40"/>
  <c r="AE493" i="40"/>
  <c r="AB493" i="40"/>
  <c r="V493" i="40"/>
  <c r="Z493" i="40"/>
  <c r="Q493" i="40"/>
  <c r="AC493" i="40"/>
  <c r="AD493" i="40"/>
  <c r="AF493" i="40"/>
  <c r="U492" i="40"/>
  <c r="Y492" i="40"/>
  <c r="N492" i="40"/>
  <c r="AA492" i="40"/>
  <c r="AE492" i="40"/>
  <c r="AB492" i="40"/>
  <c r="V492" i="40"/>
  <c r="Z492" i="40"/>
  <c r="Q492" i="40"/>
  <c r="AC492" i="40"/>
  <c r="AD492" i="40"/>
  <c r="AF492" i="40"/>
  <c r="U491" i="40"/>
  <c r="Y491" i="40"/>
  <c r="N491" i="40"/>
  <c r="AA491" i="40"/>
  <c r="AE491" i="40"/>
  <c r="AB491" i="40"/>
  <c r="V491" i="40"/>
  <c r="Z491" i="40"/>
  <c r="Q491" i="40"/>
  <c r="AC491" i="40"/>
  <c r="AD491" i="40"/>
  <c r="AF491" i="40"/>
  <c r="U490" i="40"/>
  <c r="Y490" i="40"/>
  <c r="N490" i="40"/>
  <c r="AA490" i="40"/>
  <c r="AE490" i="40"/>
  <c r="AB490" i="40"/>
  <c r="V490" i="40"/>
  <c r="Z490" i="40"/>
  <c r="Q490" i="40"/>
  <c r="AC490" i="40"/>
  <c r="AD490" i="40"/>
  <c r="AF490" i="40"/>
  <c r="U489" i="40"/>
  <c r="Y489" i="40"/>
  <c r="N489" i="40"/>
  <c r="AA489" i="40"/>
  <c r="AE489" i="40"/>
  <c r="AB489" i="40"/>
  <c r="V489" i="40"/>
  <c r="Z489" i="40"/>
  <c r="Q489" i="40"/>
  <c r="AC489" i="40"/>
  <c r="AD489" i="40"/>
  <c r="AF489" i="40"/>
  <c r="U488" i="40"/>
  <c r="Y488" i="40"/>
  <c r="N488" i="40"/>
  <c r="AA488" i="40"/>
  <c r="AE488" i="40"/>
  <c r="AB488" i="40"/>
  <c r="V488" i="40"/>
  <c r="Z488" i="40"/>
  <c r="Q488" i="40"/>
  <c r="AC488" i="40"/>
  <c r="AD488" i="40"/>
  <c r="AF488" i="40"/>
  <c r="U487" i="40"/>
  <c r="Y487" i="40"/>
  <c r="N487" i="40"/>
  <c r="AA487" i="40"/>
  <c r="AE487" i="40"/>
  <c r="AB487" i="40"/>
  <c r="V487" i="40"/>
  <c r="Z487" i="40"/>
  <c r="Q487" i="40"/>
  <c r="AC487" i="40"/>
  <c r="AD487" i="40"/>
  <c r="AF487" i="40"/>
  <c r="U486" i="40"/>
  <c r="Y486" i="40"/>
  <c r="N486" i="40"/>
  <c r="AA486" i="40"/>
  <c r="AE486" i="40"/>
  <c r="AB486" i="40"/>
  <c r="V486" i="40"/>
  <c r="Z486" i="40"/>
  <c r="Q486" i="40"/>
  <c r="AC486" i="40"/>
  <c r="AD486" i="40"/>
  <c r="AF486" i="40"/>
  <c r="U485" i="40"/>
  <c r="Y485" i="40"/>
  <c r="N485" i="40"/>
  <c r="AA485" i="40"/>
  <c r="AE485" i="40"/>
  <c r="AB485" i="40"/>
  <c r="V485" i="40"/>
  <c r="Z485" i="40"/>
  <c r="Q485" i="40"/>
  <c r="AC485" i="40"/>
  <c r="AD485" i="40"/>
  <c r="AF485" i="40"/>
  <c r="U484" i="40"/>
  <c r="Y484" i="40"/>
  <c r="N484" i="40"/>
  <c r="AA484" i="40"/>
  <c r="AE484" i="40"/>
  <c r="AB484" i="40"/>
  <c r="V484" i="40"/>
  <c r="Z484" i="40"/>
  <c r="Q484" i="40"/>
  <c r="AC484" i="40"/>
  <c r="AD484" i="40"/>
  <c r="AF484" i="40"/>
  <c r="U483" i="40"/>
  <c r="Y483" i="40"/>
  <c r="N483" i="40"/>
  <c r="AA483" i="40"/>
  <c r="AE483" i="40"/>
  <c r="AB483" i="40"/>
  <c r="V483" i="40"/>
  <c r="Z483" i="40"/>
  <c r="Q483" i="40"/>
  <c r="AC483" i="40"/>
  <c r="AD483" i="40"/>
  <c r="AF483" i="40"/>
  <c r="U482" i="40"/>
  <c r="Y482" i="40"/>
  <c r="N482" i="40"/>
  <c r="AA482" i="40"/>
  <c r="AE482" i="40"/>
  <c r="AB482" i="40"/>
  <c r="V482" i="40"/>
  <c r="Z482" i="40"/>
  <c r="Q482" i="40"/>
  <c r="AC482" i="40"/>
  <c r="AD482" i="40"/>
  <c r="AF482" i="40"/>
  <c r="U481" i="40"/>
  <c r="Y481" i="40"/>
  <c r="N481" i="40"/>
  <c r="AA481" i="40"/>
  <c r="AE481" i="40"/>
  <c r="AB481" i="40"/>
  <c r="V481" i="40"/>
  <c r="Z481" i="40"/>
  <c r="Q481" i="40"/>
  <c r="AC481" i="40"/>
  <c r="AD481" i="40"/>
  <c r="AF481" i="40"/>
  <c r="U480" i="40"/>
  <c r="Y480" i="40"/>
  <c r="N480" i="40"/>
  <c r="AA480" i="40"/>
  <c r="AE480" i="40"/>
  <c r="AB480" i="40"/>
  <c r="V480" i="40"/>
  <c r="Z480" i="40"/>
  <c r="Q480" i="40"/>
  <c r="AC480" i="40"/>
  <c r="AD480" i="40"/>
  <c r="AF480" i="40"/>
  <c r="U479" i="40"/>
  <c r="Y479" i="40"/>
  <c r="N479" i="40"/>
  <c r="AA479" i="40"/>
  <c r="AE479" i="40"/>
  <c r="AB479" i="40"/>
  <c r="V479" i="40"/>
  <c r="Z479" i="40"/>
  <c r="Q479" i="40"/>
  <c r="AC479" i="40"/>
  <c r="AD479" i="40"/>
  <c r="AF479" i="40"/>
  <c r="U478" i="40"/>
  <c r="Y478" i="40"/>
  <c r="N478" i="40"/>
  <c r="AA478" i="40"/>
  <c r="AE478" i="40"/>
  <c r="AB478" i="40"/>
  <c r="V478" i="40"/>
  <c r="Z478" i="40"/>
  <c r="Q478" i="40"/>
  <c r="AC478" i="40"/>
  <c r="AD478" i="40"/>
  <c r="AF478" i="40"/>
  <c r="U477" i="40"/>
  <c r="Y477" i="40"/>
  <c r="N477" i="40"/>
  <c r="AA477" i="40"/>
  <c r="AE477" i="40"/>
  <c r="AB477" i="40"/>
  <c r="V477" i="40"/>
  <c r="Z477" i="40"/>
  <c r="Q477" i="40"/>
  <c r="AC477" i="40"/>
  <c r="AD477" i="40"/>
  <c r="AF477" i="40"/>
  <c r="U476" i="40"/>
  <c r="Y476" i="40"/>
  <c r="N476" i="40"/>
  <c r="AA476" i="40"/>
  <c r="AE476" i="40"/>
  <c r="AB476" i="40"/>
  <c r="V476" i="40"/>
  <c r="Z476" i="40"/>
  <c r="Q476" i="40"/>
  <c r="AC476" i="40"/>
  <c r="AD476" i="40"/>
  <c r="AF476" i="40"/>
  <c r="U475" i="40"/>
  <c r="Y475" i="40"/>
  <c r="N475" i="40"/>
  <c r="AA475" i="40"/>
  <c r="AE475" i="40"/>
  <c r="AB475" i="40"/>
  <c r="V475" i="40"/>
  <c r="Z475" i="40"/>
  <c r="Q475" i="40"/>
  <c r="AC475" i="40"/>
  <c r="AD475" i="40"/>
  <c r="AF475" i="40"/>
  <c r="U474" i="40"/>
  <c r="Y474" i="40"/>
  <c r="N474" i="40"/>
  <c r="AA474" i="40"/>
  <c r="AE474" i="40"/>
  <c r="AB474" i="40"/>
  <c r="V474" i="40"/>
  <c r="Z474" i="40"/>
  <c r="Q474" i="40"/>
  <c r="AC474" i="40"/>
  <c r="AD474" i="40"/>
  <c r="AF474" i="40"/>
  <c r="U473" i="40"/>
  <c r="Y473" i="40"/>
  <c r="N473" i="40"/>
  <c r="AA473" i="40"/>
  <c r="AE473" i="40"/>
  <c r="AB473" i="40"/>
  <c r="V473" i="40"/>
  <c r="Z473" i="40"/>
  <c r="Q473" i="40"/>
  <c r="AC473" i="40"/>
  <c r="AD473" i="40"/>
  <c r="AF473" i="40"/>
  <c r="U472" i="40"/>
  <c r="Y472" i="40"/>
  <c r="N472" i="40"/>
  <c r="AA472" i="40"/>
  <c r="AE472" i="40"/>
  <c r="AB472" i="40"/>
  <c r="V472" i="40"/>
  <c r="Z472" i="40"/>
  <c r="Q472" i="40"/>
  <c r="AC472" i="40"/>
  <c r="AD472" i="40"/>
  <c r="AF472" i="40"/>
  <c r="U471" i="40"/>
  <c r="Y471" i="40"/>
  <c r="N471" i="40"/>
  <c r="AA471" i="40"/>
  <c r="AE471" i="40"/>
  <c r="AB471" i="40"/>
  <c r="V471" i="40"/>
  <c r="Z471" i="40"/>
  <c r="Q471" i="40"/>
  <c r="AC471" i="40"/>
  <c r="AD471" i="40"/>
  <c r="AF471" i="40"/>
  <c r="U470" i="40"/>
  <c r="Y470" i="40"/>
  <c r="N470" i="40"/>
  <c r="AA470" i="40"/>
  <c r="AE470" i="40"/>
  <c r="AB470" i="40"/>
  <c r="V470" i="40"/>
  <c r="Z470" i="40"/>
  <c r="Q470" i="40"/>
  <c r="AC470" i="40"/>
  <c r="AD470" i="40"/>
  <c r="AF470" i="40"/>
  <c r="U469" i="40"/>
  <c r="Y469" i="40"/>
  <c r="N469" i="40"/>
  <c r="AA469" i="40"/>
  <c r="AE469" i="40"/>
  <c r="AB469" i="40"/>
  <c r="V469" i="40"/>
  <c r="Z469" i="40"/>
  <c r="Q469" i="40"/>
  <c r="AC469" i="40"/>
  <c r="AD469" i="40"/>
  <c r="AF469" i="40"/>
  <c r="U468" i="40"/>
  <c r="Y468" i="40"/>
  <c r="N468" i="40"/>
  <c r="AA468" i="40"/>
  <c r="AE468" i="40"/>
  <c r="AB468" i="40"/>
  <c r="V468" i="40"/>
  <c r="Z468" i="40"/>
  <c r="Q468" i="40"/>
  <c r="AC468" i="40"/>
  <c r="AD468" i="40"/>
  <c r="AF468" i="40"/>
  <c r="U467" i="40"/>
  <c r="Y467" i="40"/>
  <c r="N467" i="40"/>
  <c r="AA467" i="40"/>
  <c r="AE467" i="40"/>
  <c r="AB467" i="40"/>
  <c r="V467" i="40"/>
  <c r="Z467" i="40"/>
  <c r="Q467" i="40"/>
  <c r="AC467" i="40"/>
  <c r="AD467" i="40"/>
  <c r="AF467" i="40"/>
  <c r="U466" i="40"/>
  <c r="Y466" i="40"/>
  <c r="N466" i="40"/>
  <c r="AA466" i="40"/>
  <c r="AE466" i="40"/>
  <c r="AB466" i="40"/>
  <c r="V466" i="40"/>
  <c r="Z466" i="40"/>
  <c r="Q466" i="40"/>
  <c r="AC466" i="40"/>
  <c r="AD466" i="40"/>
  <c r="AF466" i="40"/>
  <c r="U465" i="40"/>
  <c r="Y465" i="40"/>
  <c r="N465" i="40"/>
  <c r="AA465" i="40"/>
  <c r="AE465" i="40"/>
  <c r="AB465" i="40"/>
  <c r="V465" i="40"/>
  <c r="Z465" i="40"/>
  <c r="Q465" i="40"/>
  <c r="AC465" i="40"/>
  <c r="AD465" i="40"/>
  <c r="AF465" i="40"/>
  <c r="U464" i="40"/>
  <c r="Y464" i="40"/>
  <c r="N464" i="40"/>
  <c r="AA464" i="40"/>
  <c r="AE464" i="40"/>
  <c r="AB464" i="40"/>
  <c r="V464" i="40"/>
  <c r="Z464" i="40"/>
  <c r="Q464" i="40"/>
  <c r="AC464" i="40"/>
  <c r="AD464" i="40"/>
  <c r="AF464" i="40"/>
  <c r="U463" i="40"/>
  <c r="Y463" i="40"/>
  <c r="N463" i="40"/>
  <c r="AA463" i="40"/>
  <c r="AE463" i="40"/>
  <c r="AB463" i="40"/>
  <c r="V463" i="40"/>
  <c r="Z463" i="40"/>
  <c r="Q463" i="40"/>
  <c r="AC463" i="40"/>
  <c r="AD463" i="40"/>
  <c r="AF463" i="40"/>
  <c r="U462" i="40"/>
  <c r="Y462" i="40"/>
  <c r="N462" i="40"/>
  <c r="AA462" i="40"/>
  <c r="AE462" i="40"/>
  <c r="AB462" i="40"/>
  <c r="V462" i="40"/>
  <c r="Z462" i="40"/>
  <c r="Q462" i="40"/>
  <c r="AC462" i="40"/>
  <c r="AD462" i="40"/>
  <c r="AF462" i="40"/>
  <c r="U461" i="40"/>
  <c r="Y461" i="40"/>
  <c r="N461" i="40"/>
  <c r="AA461" i="40"/>
  <c r="AE461" i="40"/>
  <c r="AB461" i="40"/>
  <c r="V461" i="40"/>
  <c r="Z461" i="40"/>
  <c r="Q461" i="40"/>
  <c r="AC461" i="40"/>
  <c r="AD461" i="40"/>
  <c r="AF461" i="40"/>
  <c r="U460" i="40"/>
  <c r="Y460" i="40"/>
  <c r="N460" i="40"/>
  <c r="AA460" i="40"/>
  <c r="AE460" i="40"/>
  <c r="AB460" i="40"/>
  <c r="V460" i="40"/>
  <c r="Z460" i="40"/>
  <c r="Q460" i="40"/>
  <c r="AC460" i="40"/>
  <c r="AD460" i="40"/>
  <c r="AF460" i="40"/>
  <c r="U459" i="40"/>
  <c r="Y459" i="40"/>
  <c r="N459" i="40"/>
  <c r="AA459" i="40"/>
  <c r="AE459" i="40"/>
  <c r="AB459" i="40"/>
  <c r="V459" i="40"/>
  <c r="Z459" i="40"/>
  <c r="Q459" i="40"/>
  <c r="AC459" i="40"/>
  <c r="AD459" i="40"/>
  <c r="AF459" i="40"/>
  <c r="U458" i="40"/>
  <c r="Y458" i="40"/>
  <c r="N458" i="40"/>
  <c r="AA458" i="40"/>
  <c r="AE458" i="40"/>
  <c r="AB458" i="40"/>
  <c r="V458" i="40"/>
  <c r="Z458" i="40"/>
  <c r="Q458" i="40"/>
  <c r="AC458" i="40"/>
  <c r="AD458" i="40"/>
  <c r="AF458" i="40"/>
  <c r="U457" i="40"/>
  <c r="Y457" i="40"/>
  <c r="N457" i="40"/>
  <c r="AA457" i="40"/>
  <c r="AE457" i="40"/>
  <c r="AB457" i="40"/>
  <c r="V457" i="40"/>
  <c r="Z457" i="40"/>
  <c r="Q457" i="40"/>
  <c r="AC457" i="40"/>
  <c r="AD457" i="40"/>
  <c r="AF457" i="40"/>
  <c r="U456" i="40"/>
  <c r="Y456" i="40"/>
  <c r="N456" i="40"/>
  <c r="AA456" i="40"/>
  <c r="AE456" i="40"/>
  <c r="AB456" i="40"/>
  <c r="V456" i="40"/>
  <c r="Z456" i="40"/>
  <c r="Q456" i="40"/>
  <c r="AC456" i="40"/>
  <c r="AD456" i="40"/>
  <c r="AF456" i="40"/>
  <c r="U455" i="40"/>
  <c r="Y455" i="40"/>
  <c r="N455" i="40"/>
  <c r="AA455" i="40"/>
  <c r="AE455" i="40"/>
  <c r="AB455" i="40"/>
  <c r="V455" i="40"/>
  <c r="Z455" i="40"/>
  <c r="Q455" i="40"/>
  <c r="AC455" i="40"/>
  <c r="AD455" i="40"/>
  <c r="AF455" i="40"/>
  <c r="U454" i="40"/>
  <c r="Y454" i="40"/>
  <c r="N454" i="40"/>
  <c r="AA454" i="40"/>
  <c r="AE454" i="40"/>
  <c r="AB454" i="40"/>
  <c r="V454" i="40"/>
  <c r="Z454" i="40"/>
  <c r="Q454" i="40"/>
  <c r="AC454" i="40"/>
  <c r="AD454" i="40"/>
  <c r="AF454" i="40"/>
  <c r="U453" i="40"/>
  <c r="Y453" i="40"/>
  <c r="N453" i="40"/>
  <c r="AA453" i="40"/>
  <c r="AE453" i="40"/>
  <c r="AB453" i="40"/>
  <c r="V453" i="40"/>
  <c r="Z453" i="40"/>
  <c r="Q453" i="40"/>
  <c r="AC453" i="40"/>
  <c r="AD453" i="40"/>
  <c r="AF453" i="40"/>
  <c r="U452" i="40"/>
  <c r="Y452" i="40"/>
  <c r="N452" i="40"/>
  <c r="AA452" i="40"/>
  <c r="AE452" i="40"/>
  <c r="AB452" i="40"/>
  <c r="V452" i="40"/>
  <c r="Z452" i="40"/>
  <c r="Q452" i="40"/>
  <c r="AC452" i="40"/>
  <c r="AD452" i="40"/>
  <c r="AF452" i="40"/>
  <c r="U451" i="40"/>
  <c r="Y451" i="40"/>
  <c r="N451" i="40"/>
  <c r="AA451" i="40"/>
  <c r="AE451" i="40"/>
  <c r="AB451" i="40"/>
  <c r="V451" i="40"/>
  <c r="Z451" i="40"/>
  <c r="Q451" i="40"/>
  <c r="AC451" i="40"/>
  <c r="AD451" i="40"/>
  <c r="AF451" i="40"/>
  <c r="U450" i="40"/>
  <c r="Y450" i="40"/>
  <c r="N450" i="40"/>
  <c r="AA450" i="40"/>
  <c r="AE450" i="40"/>
  <c r="AB450" i="40"/>
  <c r="V450" i="40"/>
  <c r="Z450" i="40"/>
  <c r="Q450" i="40"/>
  <c r="AC450" i="40"/>
  <c r="AD450" i="40"/>
  <c r="AF450" i="40"/>
  <c r="U449" i="40"/>
  <c r="Y449" i="40"/>
  <c r="N449" i="40"/>
  <c r="AA449" i="40"/>
  <c r="AE449" i="40"/>
  <c r="AB449" i="40"/>
  <c r="V449" i="40"/>
  <c r="Z449" i="40"/>
  <c r="Q449" i="40"/>
  <c r="AC449" i="40"/>
  <c r="AD449" i="40"/>
  <c r="AF449" i="40"/>
  <c r="U448" i="40"/>
  <c r="Y448" i="40"/>
  <c r="N448" i="40"/>
  <c r="AA448" i="40"/>
  <c r="AE448" i="40"/>
  <c r="AB448" i="40"/>
  <c r="V448" i="40"/>
  <c r="Z448" i="40"/>
  <c r="Q448" i="40"/>
  <c r="AC448" i="40"/>
  <c r="AD448" i="40"/>
  <c r="AF448" i="40"/>
  <c r="U447" i="40"/>
  <c r="Y447" i="40"/>
  <c r="N447" i="40"/>
  <c r="AA447" i="40"/>
  <c r="AE447" i="40"/>
  <c r="AB447" i="40"/>
  <c r="V447" i="40"/>
  <c r="Z447" i="40"/>
  <c r="Q447" i="40"/>
  <c r="AC447" i="40"/>
  <c r="AD447" i="40"/>
  <c r="AF447" i="40"/>
  <c r="U446" i="40"/>
  <c r="Y446" i="40"/>
  <c r="N446" i="40"/>
  <c r="AA446" i="40"/>
  <c r="AE446" i="40"/>
  <c r="AB446" i="40"/>
  <c r="V446" i="40"/>
  <c r="Z446" i="40"/>
  <c r="Q446" i="40"/>
  <c r="AC446" i="40"/>
  <c r="AD446" i="40"/>
  <c r="AF446" i="40"/>
  <c r="U445" i="40"/>
  <c r="Y445" i="40"/>
  <c r="N445" i="40"/>
  <c r="AA445" i="40"/>
  <c r="AE445" i="40"/>
  <c r="AB445" i="40"/>
  <c r="V445" i="40"/>
  <c r="Z445" i="40"/>
  <c r="Q445" i="40"/>
  <c r="AC445" i="40"/>
  <c r="AD445" i="40"/>
  <c r="AF445" i="40"/>
  <c r="U444" i="40"/>
  <c r="Y444" i="40"/>
  <c r="N444" i="40"/>
  <c r="AA444" i="40"/>
  <c r="AE444" i="40"/>
  <c r="AB444" i="40"/>
  <c r="V444" i="40"/>
  <c r="Z444" i="40"/>
  <c r="Q444" i="40"/>
  <c r="AC444" i="40"/>
  <c r="AD444" i="40"/>
  <c r="AF444" i="40"/>
  <c r="U443" i="40"/>
  <c r="Y443" i="40"/>
  <c r="N443" i="40"/>
  <c r="AA443" i="40"/>
  <c r="AE443" i="40"/>
  <c r="AB443" i="40"/>
  <c r="V443" i="40"/>
  <c r="Z443" i="40"/>
  <c r="Q443" i="40"/>
  <c r="AC443" i="40"/>
  <c r="AD443" i="40"/>
  <c r="AF443" i="40"/>
  <c r="U442" i="40"/>
  <c r="Y442" i="40"/>
  <c r="N442" i="40"/>
  <c r="AA442" i="40"/>
  <c r="AE442" i="40"/>
  <c r="AB442" i="40"/>
  <c r="V442" i="40"/>
  <c r="Z442" i="40"/>
  <c r="Q442" i="40"/>
  <c r="AC442" i="40"/>
  <c r="AD442" i="40"/>
  <c r="AF442" i="40"/>
  <c r="U441" i="40"/>
  <c r="Y441" i="40"/>
  <c r="N441" i="40"/>
  <c r="AA441" i="40"/>
  <c r="AE441" i="40"/>
  <c r="AB441" i="40"/>
  <c r="V441" i="40"/>
  <c r="Z441" i="40"/>
  <c r="Q441" i="40"/>
  <c r="AC441" i="40"/>
  <c r="AD441" i="40"/>
  <c r="AF441" i="40"/>
  <c r="U440" i="40"/>
  <c r="Y440" i="40"/>
  <c r="N440" i="40"/>
  <c r="AA440" i="40"/>
  <c r="AE440" i="40"/>
  <c r="AB440" i="40"/>
  <c r="V440" i="40"/>
  <c r="Z440" i="40"/>
  <c r="Q440" i="40"/>
  <c r="AC440" i="40"/>
  <c r="AD440" i="40"/>
  <c r="AF440" i="40"/>
  <c r="U439" i="40"/>
  <c r="Y439" i="40"/>
  <c r="N439" i="40"/>
  <c r="AA439" i="40"/>
  <c r="AE439" i="40"/>
  <c r="AB439" i="40"/>
  <c r="V439" i="40"/>
  <c r="Z439" i="40"/>
  <c r="Q439" i="40"/>
  <c r="AC439" i="40"/>
  <c r="AD439" i="40"/>
  <c r="AF439" i="40"/>
  <c r="U438" i="40"/>
  <c r="Y438" i="40"/>
  <c r="N438" i="40"/>
  <c r="AA438" i="40"/>
  <c r="AE438" i="40"/>
  <c r="AB438" i="40"/>
  <c r="V438" i="40"/>
  <c r="Z438" i="40"/>
  <c r="Q438" i="40"/>
  <c r="AC438" i="40"/>
  <c r="AD438" i="40"/>
  <c r="AF438" i="40"/>
  <c r="U437" i="40"/>
  <c r="Y437" i="40"/>
  <c r="N437" i="40"/>
  <c r="AA437" i="40"/>
  <c r="AE437" i="40"/>
  <c r="AB437" i="40"/>
  <c r="V437" i="40"/>
  <c r="Z437" i="40"/>
  <c r="Q437" i="40"/>
  <c r="AC437" i="40"/>
  <c r="AD437" i="40"/>
  <c r="AF437" i="40"/>
  <c r="U436" i="40"/>
  <c r="Y436" i="40"/>
  <c r="N436" i="40"/>
  <c r="AA436" i="40"/>
  <c r="AE436" i="40"/>
  <c r="AB436" i="40"/>
  <c r="V436" i="40"/>
  <c r="Z436" i="40"/>
  <c r="Q436" i="40"/>
  <c r="AC436" i="40"/>
  <c r="AD436" i="40"/>
  <c r="AF436" i="40"/>
  <c r="U435" i="40"/>
  <c r="Y435" i="40"/>
  <c r="N435" i="40"/>
  <c r="AA435" i="40"/>
  <c r="AE435" i="40"/>
  <c r="AB435" i="40"/>
  <c r="V435" i="40"/>
  <c r="Z435" i="40"/>
  <c r="Q435" i="40"/>
  <c r="AC435" i="40"/>
  <c r="AD435" i="40"/>
  <c r="AF435" i="40"/>
  <c r="U434" i="40"/>
  <c r="Y434" i="40"/>
  <c r="N434" i="40"/>
  <c r="AA434" i="40"/>
  <c r="AE434" i="40"/>
  <c r="AB434" i="40"/>
  <c r="V434" i="40"/>
  <c r="Z434" i="40"/>
  <c r="Q434" i="40"/>
  <c r="AC434" i="40"/>
  <c r="AD434" i="40"/>
  <c r="AF434" i="40"/>
  <c r="U433" i="40"/>
  <c r="Y433" i="40"/>
  <c r="N433" i="40"/>
  <c r="AA433" i="40"/>
  <c r="AE433" i="40"/>
  <c r="AB433" i="40"/>
  <c r="V433" i="40"/>
  <c r="Z433" i="40"/>
  <c r="Q433" i="40"/>
  <c r="AC433" i="40"/>
  <c r="AD433" i="40"/>
  <c r="AF433" i="40"/>
  <c r="U432" i="40"/>
  <c r="Y432" i="40"/>
  <c r="N432" i="40"/>
  <c r="AA432" i="40"/>
  <c r="AE432" i="40"/>
  <c r="AB432" i="40"/>
  <c r="V432" i="40"/>
  <c r="Z432" i="40"/>
  <c r="Q432" i="40"/>
  <c r="AC432" i="40"/>
  <c r="AD432" i="40"/>
  <c r="AF432" i="40"/>
  <c r="U431" i="40"/>
  <c r="Y431" i="40"/>
  <c r="N431" i="40"/>
  <c r="AA431" i="40"/>
  <c r="AE431" i="40"/>
  <c r="AB431" i="40"/>
  <c r="V431" i="40"/>
  <c r="Z431" i="40"/>
  <c r="Q431" i="40"/>
  <c r="AC431" i="40"/>
  <c r="AD431" i="40"/>
  <c r="AF431" i="40"/>
  <c r="U430" i="40"/>
  <c r="Y430" i="40"/>
  <c r="N430" i="40"/>
  <c r="AA430" i="40"/>
  <c r="AE430" i="40"/>
  <c r="AB430" i="40"/>
  <c r="V430" i="40"/>
  <c r="Z430" i="40"/>
  <c r="Q430" i="40"/>
  <c r="AC430" i="40"/>
  <c r="AD430" i="40"/>
  <c r="AF430" i="40"/>
  <c r="U429" i="40"/>
  <c r="Y429" i="40"/>
  <c r="N429" i="40"/>
  <c r="AA429" i="40"/>
  <c r="AE429" i="40"/>
  <c r="AB429" i="40"/>
  <c r="V429" i="40"/>
  <c r="Z429" i="40"/>
  <c r="Q429" i="40"/>
  <c r="AC429" i="40"/>
  <c r="AD429" i="40"/>
  <c r="AF429" i="40"/>
  <c r="U428" i="40"/>
  <c r="Y428" i="40"/>
  <c r="N428" i="40"/>
  <c r="AA428" i="40"/>
  <c r="AE428" i="40"/>
  <c r="AB428" i="40"/>
  <c r="V428" i="40"/>
  <c r="Z428" i="40"/>
  <c r="Q428" i="40"/>
  <c r="AC428" i="40"/>
  <c r="AD428" i="40"/>
  <c r="AF428" i="40"/>
  <c r="U427" i="40"/>
  <c r="Y427" i="40"/>
  <c r="N427" i="40"/>
  <c r="AA427" i="40"/>
  <c r="AE427" i="40"/>
  <c r="AB427" i="40"/>
  <c r="V427" i="40"/>
  <c r="Z427" i="40"/>
  <c r="Q427" i="40"/>
  <c r="AC427" i="40"/>
  <c r="AD427" i="40"/>
  <c r="AF427" i="40"/>
  <c r="U426" i="40"/>
  <c r="Y426" i="40"/>
  <c r="N426" i="40"/>
  <c r="AA426" i="40"/>
  <c r="AE426" i="40"/>
  <c r="AB426" i="40"/>
  <c r="V426" i="40"/>
  <c r="Z426" i="40"/>
  <c r="Q426" i="40"/>
  <c r="AC426" i="40"/>
  <c r="AD426" i="40"/>
  <c r="AF426" i="40"/>
  <c r="U425" i="40"/>
  <c r="Y425" i="40"/>
  <c r="N425" i="40"/>
  <c r="AA425" i="40"/>
  <c r="AE425" i="40"/>
  <c r="AB425" i="40"/>
  <c r="V425" i="40"/>
  <c r="Z425" i="40"/>
  <c r="Q425" i="40"/>
  <c r="AC425" i="40"/>
  <c r="AD425" i="40"/>
  <c r="AF425" i="40"/>
  <c r="U424" i="40"/>
  <c r="Y424" i="40"/>
  <c r="N424" i="40"/>
  <c r="AA424" i="40"/>
  <c r="AE424" i="40"/>
  <c r="AB424" i="40"/>
  <c r="V424" i="40"/>
  <c r="Z424" i="40"/>
  <c r="Q424" i="40"/>
  <c r="AC424" i="40"/>
  <c r="AD424" i="40"/>
  <c r="AF424" i="40"/>
  <c r="U423" i="40"/>
  <c r="Y423" i="40"/>
  <c r="N423" i="40"/>
  <c r="AA423" i="40"/>
  <c r="AE423" i="40"/>
  <c r="AB423" i="40"/>
  <c r="V423" i="40"/>
  <c r="Z423" i="40"/>
  <c r="Q423" i="40"/>
  <c r="AC423" i="40"/>
  <c r="AD423" i="40"/>
  <c r="AF423" i="40"/>
  <c r="U422" i="40"/>
  <c r="Y422" i="40"/>
  <c r="N422" i="40"/>
  <c r="AA422" i="40"/>
  <c r="AE422" i="40"/>
  <c r="AB422" i="40"/>
  <c r="V422" i="40"/>
  <c r="Z422" i="40"/>
  <c r="Q422" i="40"/>
  <c r="AC422" i="40"/>
  <c r="AD422" i="40"/>
  <c r="AF422" i="40"/>
  <c r="U421" i="40"/>
  <c r="Y421" i="40"/>
  <c r="N421" i="40"/>
  <c r="AA421" i="40"/>
  <c r="AE421" i="40"/>
  <c r="AB421" i="40"/>
  <c r="V421" i="40"/>
  <c r="Z421" i="40"/>
  <c r="Q421" i="40"/>
  <c r="AC421" i="40"/>
  <c r="AD421" i="40"/>
  <c r="AF421" i="40"/>
  <c r="U420" i="40"/>
  <c r="Y420" i="40"/>
  <c r="N420" i="40"/>
  <c r="AA420" i="40"/>
  <c r="AE420" i="40"/>
  <c r="AB420" i="40"/>
  <c r="V420" i="40"/>
  <c r="Z420" i="40"/>
  <c r="Q420" i="40"/>
  <c r="AC420" i="40"/>
  <c r="AD420" i="40"/>
  <c r="AF420" i="40"/>
  <c r="U419" i="40"/>
  <c r="Y419" i="40"/>
  <c r="N419" i="40"/>
  <c r="AA419" i="40"/>
  <c r="AE419" i="40"/>
  <c r="AB419" i="40"/>
  <c r="V419" i="40"/>
  <c r="Z419" i="40"/>
  <c r="Q419" i="40"/>
  <c r="AC419" i="40"/>
  <c r="AD419" i="40"/>
  <c r="AF419" i="40"/>
  <c r="U418" i="40"/>
  <c r="Y418" i="40"/>
  <c r="N418" i="40"/>
  <c r="AA418" i="40"/>
  <c r="AE418" i="40"/>
  <c r="AB418" i="40"/>
  <c r="V418" i="40"/>
  <c r="Z418" i="40"/>
  <c r="Q418" i="40"/>
  <c r="AC418" i="40"/>
  <c r="AD418" i="40"/>
  <c r="AF418" i="40"/>
  <c r="U417" i="40"/>
  <c r="Y417" i="40"/>
  <c r="N417" i="40"/>
  <c r="AA417" i="40"/>
  <c r="AE417" i="40"/>
  <c r="AB417" i="40"/>
  <c r="V417" i="40"/>
  <c r="Z417" i="40"/>
  <c r="Q417" i="40"/>
  <c r="AC417" i="40"/>
  <c r="AD417" i="40"/>
  <c r="AF417" i="40"/>
  <c r="U416" i="40"/>
  <c r="Y416" i="40"/>
  <c r="N416" i="40"/>
  <c r="AA416" i="40"/>
  <c r="AE416" i="40"/>
  <c r="AB416" i="40"/>
  <c r="V416" i="40"/>
  <c r="Z416" i="40"/>
  <c r="Q416" i="40"/>
  <c r="AC416" i="40"/>
  <c r="AD416" i="40"/>
  <c r="AF416" i="40"/>
  <c r="U415" i="40"/>
  <c r="Y415" i="40"/>
  <c r="N415" i="40"/>
  <c r="AA415" i="40"/>
  <c r="AE415" i="40"/>
  <c r="AB415" i="40"/>
  <c r="V415" i="40"/>
  <c r="Z415" i="40"/>
  <c r="Q415" i="40"/>
  <c r="AC415" i="40"/>
  <c r="AD415" i="40"/>
  <c r="AF415" i="40"/>
  <c r="U414" i="40"/>
  <c r="Y414" i="40"/>
  <c r="N414" i="40"/>
  <c r="AA414" i="40"/>
  <c r="AE414" i="40"/>
  <c r="AB414" i="40"/>
  <c r="V414" i="40"/>
  <c r="Z414" i="40"/>
  <c r="Q414" i="40"/>
  <c r="AC414" i="40"/>
  <c r="AD414" i="40"/>
  <c r="AF414" i="40"/>
  <c r="U413" i="40"/>
  <c r="Y413" i="40"/>
  <c r="N413" i="40"/>
  <c r="AA413" i="40"/>
  <c r="AE413" i="40"/>
  <c r="AB413" i="40"/>
  <c r="V413" i="40"/>
  <c r="Z413" i="40"/>
  <c r="Q413" i="40"/>
  <c r="AC413" i="40"/>
  <c r="AD413" i="40"/>
  <c r="AF413" i="40"/>
  <c r="U412" i="40"/>
  <c r="Y412" i="40"/>
  <c r="N412" i="40"/>
  <c r="AA412" i="40"/>
  <c r="AE412" i="40"/>
  <c r="AB412" i="40"/>
  <c r="V412" i="40"/>
  <c r="Z412" i="40"/>
  <c r="Q412" i="40"/>
  <c r="AC412" i="40"/>
  <c r="AD412" i="40"/>
  <c r="AF412" i="40"/>
  <c r="U411" i="40"/>
  <c r="Y411" i="40"/>
  <c r="N411" i="40"/>
  <c r="AA411" i="40"/>
  <c r="AE411" i="40"/>
  <c r="AB411" i="40"/>
  <c r="V411" i="40"/>
  <c r="Z411" i="40"/>
  <c r="Q411" i="40"/>
  <c r="AC411" i="40"/>
  <c r="AD411" i="40"/>
  <c r="AF411" i="40"/>
  <c r="U410" i="40"/>
  <c r="Y410" i="40"/>
  <c r="N410" i="40"/>
  <c r="AA410" i="40"/>
  <c r="AE410" i="40"/>
  <c r="AB410" i="40"/>
  <c r="V410" i="40"/>
  <c r="Z410" i="40"/>
  <c r="Q410" i="40"/>
  <c r="AC410" i="40"/>
  <c r="AD410" i="40"/>
  <c r="AF410" i="40"/>
  <c r="U409" i="40"/>
  <c r="Y409" i="40"/>
  <c r="N409" i="40"/>
  <c r="AA409" i="40"/>
  <c r="AE409" i="40"/>
  <c r="AB409" i="40"/>
  <c r="V409" i="40"/>
  <c r="Z409" i="40"/>
  <c r="Q409" i="40"/>
  <c r="AC409" i="40"/>
  <c r="AD409" i="40"/>
  <c r="AF409" i="40"/>
  <c r="U408" i="40"/>
  <c r="Y408" i="40"/>
  <c r="N408" i="40"/>
  <c r="AA408" i="40"/>
  <c r="AE408" i="40"/>
  <c r="AB408" i="40"/>
  <c r="V408" i="40"/>
  <c r="Z408" i="40"/>
  <c r="Q408" i="40"/>
  <c r="AC408" i="40"/>
  <c r="AD408" i="40"/>
  <c r="AF408" i="40"/>
  <c r="U407" i="40"/>
  <c r="Y407" i="40"/>
  <c r="N407" i="40"/>
  <c r="AA407" i="40"/>
  <c r="AE407" i="40"/>
  <c r="AB407" i="40"/>
  <c r="V407" i="40"/>
  <c r="Z407" i="40"/>
  <c r="Q407" i="40"/>
  <c r="AC407" i="40"/>
  <c r="AD407" i="40"/>
  <c r="AF407" i="40"/>
  <c r="U406" i="40"/>
  <c r="Y406" i="40"/>
  <c r="N406" i="40"/>
  <c r="AA406" i="40"/>
  <c r="AE406" i="40"/>
  <c r="AB406" i="40"/>
  <c r="V406" i="40"/>
  <c r="Z406" i="40"/>
  <c r="Q406" i="40"/>
  <c r="AC406" i="40"/>
  <c r="AD406" i="40"/>
  <c r="AF406" i="40"/>
  <c r="U405" i="40"/>
  <c r="Y405" i="40"/>
  <c r="N405" i="40"/>
  <c r="AA405" i="40"/>
  <c r="AE405" i="40"/>
  <c r="AB405" i="40"/>
  <c r="V405" i="40"/>
  <c r="Z405" i="40"/>
  <c r="Q405" i="40"/>
  <c r="AC405" i="40"/>
  <c r="AD405" i="40"/>
  <c r="AF405" i="40"/>
  <c r="U404" i="40"/>
  <c r="Y404" i="40"/>
  <c r="N404" i="40"/>
  <c r="AA404" i="40"/>
  <c r="AE404" i="40"/>
  <c r="AB404" i="40"/>
  <c r="V404" i="40"/>
  <c r="Z404" i="40"/>
  <c r="Q404" i="40"/>
  <c r="AC404" i="40"/>
  <c r="AD404" i="40"/>
  <c r="AF404" i="40"/>
  <c r="U403" i="40"/>
  <c r="Y403" i="40"/>
  <c r="N403" i="40"/>
  <c r="AA403" i="40"/>
  <c r="AE403" i="40"/>
  <c r="AB403" i="40"/>
  <c r="V403" i="40"/>
  <c r="Z403" i="40"/>
  <c r="Q403" i="40"/>
  <c r="AC403" i="40"/>
  <c r="AD403" i="40"/>
  <c r="AF403" i="40"/>
  <c r="U402" i="40"/>
  <c r="Y402" i="40"/>
  <c r="N402" i="40"/>
  <c r="AA402" i="40"/>
  <c r="AE402" i="40"/>
  <c r="AB402" i="40"/>
  <c r="V402" i="40"/>
  <c r="Z402" i="40"/>
  <c r="Q402" i="40"/>
  <c r="AC402" i="40"/>
  <c r="AD402" i="40"/>
  <c r="AF402" i="40"/>
  <c r="U401" i="40"/>
  <c r="Y401" i="40"/>
  <c r="N401" i="40"/>
  <c r="AA401" i="40"/>
  <c r="AE401" i="40"/>
  <c r="AB401" i="40"/>
  <c r="V401" i="40"/>
  <c r="Z401" i="40"/>
  <c r="Q401" i="40"/>
  <c r="AC401" i="40"/>
  <c r="AD401" i="40"/>
  <c r="AF401" i="40"/>
  <c r="U400" i="40"/>
  <c r="Y400" i="40"/>
  <c r="N400" i="40"/>
  <c r="AA400" i="40"/>
  <c r="AE400" i="40"/>
  <c r="AB400" i="40"/>
  <c r="V400" i="40"/>
  <c r="Z400" i="40"/>
  <c r="Q400" i="40"/>
  <c r="AC400" i="40"/>
  <c r="AD400" i="40"/>
  <c r="AF400" i="40"/>
  <c r="U399" i="40"/>
  <c r="Y399" i="40"/>
  <c r="N399" i="40"/>
  <c r="AA399" i="40"/>
  <c r="AE399" i="40"/>
  <c r="AB399" i="40"/>
  <c r="V399" i="40"/>
  <c r="Z399" i="40"/>
  <c r="Q399" i="40"/>
  <c r="AC399" i="40"/>
  <c r="AD399" i="40"/>
  <c r="AF399" i="40"/>
  <c r="U398" i="40"/>
  <c r="Y398" i="40"/>
  <c r="N398" i="40"/>
  <c r="AA398" i="40"/>
  <c r="AE398" i="40"/>
  <c r="AB398" i="40"/>
  <c r="V398" i="40"/>
  <c r="Z398" i="40"/>
  <c r="Q398" i="40"/>
  <c r="AC398" i="40"/>
  <c r="AD398" i="40"/>
  <c r="AF398" i="40"/>
  <c r="U397" i="40"/>
  <c r="Y397" i="40"/>
  <c r="N397" i="40"/>
  <c r="AA397" i="40"/>
  <c r="AE397" i="40"/>
  <c r="AB397" i="40"/>
  <c r="V397" i="40"/>
  <c r="Z397" i="40"/>
  <c r="Q397" i="40"/>
  <c r="AC397" i="40"/>
  <c r="AD397" i="40"/>
  <c r="AF397" i="40"/>
  <c r="U396" i="40"/>
  <c r="Y396" i="40"/>
  <c r="N396" i="40"/>
  <c r="AA396" i="40"/>
  <c r="AE396" i="40"/>
  <c r="AB396" i="40"/>
  <c r="V396" i="40"/>
  <c r="Z396" i="40"/>
  <c r="Q396" i="40"/>
  <c r="AC396" i="40"/>
  <c r="AD396" i="40"/>
  <c r="AF396" i="40"/>
  <c r="U395" i="40"/>
  <c r="Y395" i="40"/>
  <c r="N395" i="40"/>
  <c r="AA395" i="40"/>
  <c r="AE395" i="40"/>
  <c r="AB395" i="40"/>
  <c r="V395" i="40"/>
  <c r="Z395" i="40"/>
  <c r="Q395" i="40"/>
  <c r="AC395" i="40"/>
  <c r="AD395" i="40"/>
  <c r="AF395" i="40"/>
  <c r="U394" i="40"/>
  <c r="Y394" i="40"/>
  <c r="N394" i="40"/>
  <c r="AA394" i="40"/>
  <c r="AE394" i="40"/>
  <c r="AB394" i="40"/>
  <c r="V394" i="40"/>
  <c r="Z394" i="40"/>
  <c r="Q394" i="40"/>
  <c r="AC394" i="40"/>
  <c r="AD394" i="40"/>
  <c r="AF394" i="40"/>
  <c r="U393" i="40"/>
  <c r="Y393" i="40"/>
  <c r="N393" i="40"/>
  <c r="AA393" i="40"/>
  <c r="AE393" i="40"/>
  <c r="AB393" i="40"/>
  <c r="V393" i="40"/>
  <c r="Z393" i="40"/>
  <c r="Q393" i="40"/>
  <c r="AC393" i="40"/>
  <c r="AD393" i="40"/>
  <c r="AF393" i="40"/>
  <c r="U392" i="40"/>
  <c r="Y392" i="40"/>
  <c r="N392" i="40"/>
  <c r="AA392" i="40"/>
  <c r="AE392" i="40"/>
  <c r="AB392" i="40"/>
  <c r="V392" i="40"/>
  <c r="Z392" i="40"/>
  <c r="Q392" i="40"/>
  <c r="AC392" i="40"/>
  <c r="AD392" i="40"/>
  <c r="AF392" i="40"/>
  <c r="U391" i="40"/>
  <c r="Y391" i="40"/>
  <c r="N391" i="40"/>
  <c r="AA391" i="40"/>
  <c r="AE391" i="40"/>
  <c r="AB391" i="40"/>
  <c r="V391" i="40"/>
  <c r="Z391" i="40"/>
  <c r="Q391" i="40"/>
  <c r="AC391" i="40"/>
  <c r="AD391" i="40"/>
  <c r="AF391" i="40"/>
  <c r="U390" i="40"/>
  <c r="Y390" i="40"/>
  <c r="N390" i="40"/>
  <c r="AA390" i="40"/>
  <c r="AE390" i="40"/>
  <c r="AB390" i="40"/>
  <c r="V390" i="40"/>
  <c r="Z390" i="40"/>
  <c r="Q390" i="40"/>
  <c r="AC390" i="40"/>
  <c r="AD390" i="40"/>
  <c r="AF390" i="40"/>
  <c r="U389" i="40"/>
  <c r="Y389" i="40"/>
  <c r="N389" i="40"/>
  <c r="AA389" i="40"/>
  <c r="AE389" i="40"/>
  <c r="AB389" i="40"/>
  <c r="V389" i="40"/>
  <c r="Z389" i="40"/>
  <c r="Q389" i="40"/>
  <c r="AC389" i="40"/>
  <c r="AD389" i="40"/>
  <c r="AF389" i="40"/>
  <c r="U388" i="40"/>
  <c r="Y388" i="40"/>
  <c r="N388" i="40"/>
  <c r="AA388" i="40"/>
  <c r="AE388" i="40"/>
  <c r="AB388" i="40"/>
  <c r="V388" i="40"/>
  <c r="Z388" i="40"/>
  <c r="Q388" i="40"/>
  <c r="AC388" i="40"/>
  <c r="AD388" i="40"/>
  <c r="AF388" i="40"/>
  <c r="U387" i="40"/>
  <c r="Y387" i="40"/>
  <c r="N387" i="40"/>
  <c r="AA387" i="40"/>
  <c r="AE387" i="40"/>
  <c r="AB387" i="40"/>
  <c r="V387" i="40"/>
  <c r="Z387" i="40"/>
  <c r="Q387" i="40"/>
  <c r="AC387" i="40"/>
  <c r="AD387" i="40"/>
  <c r="AF387" i="40"/>
  <c r="U386" i="40"/>
  <c r="Y386" i="40"/>
  <c r="N386" i="40"/>
  <c r="AA386" i="40"/>
  <c r="AE386" i="40"/>
  <c r="AB386" i="40"/>
  <c r="V386" i="40"/>
  <c r="Z386" i="40"/>
  <c r="Q386" i="40"/>
  <c r="AC386" i="40"/>
  <c r="AD386" i="40"/>
  <c r="AF386" i="40"/>
  <c r="U385" i="40"/>
  <c r="Y385" i="40"/>
  <c r="N385" i="40"/>
  <c r="AA385" i="40"/>
  <c r="AE385" i="40"/>
  <c r="AB385" i="40"/>
  <c r="V385" i="40"/>
  <c r="Z385" i="40"/>
  <c r="Q385" i="40"/>
  <c r="AC385" i="40"/>
  <c r="AD385" i="40"/>
  <c r="AF385" i="40"/>
  <c r="U384" i="40"/>
  <c r="Y384" i="40"/>
  <c r="N384" i="40"/>
  <c r="AA384" i="40"/>
  <c r="AE384" i="40"/>
  <c r="AB384" i="40"/>
  <c r="V384" i="40"/>
  <c r="Z384" i="40"/>
  <c r="Q384" i="40"/>
  <c r="AC384" i="40"/>
  <c r="AD384" i="40"/>
  <c r="AF384" i="40"/>
  <c r="U383" i="40"/>
  <c r="Y383" i="40"/>
  <c r="N383" i="40"/>
  <c r="AA383" i="40"/>
  <c r="AE383" i="40"/>
  <c r="AB383" i="40"/>
  <c r="V383" i="40"/>
  <c r="Z383" i="40"/>
  <c r="Q383" i="40"/>
  <c r="AC383" i="40"/>
  <c r="AD383" i="40"/>
  <c r="AF383" i="40"/>
  <c r="U382" i="40"/>
  <c r="Y382" i="40"/>
  <c r="N382" i="40"/>
  <c r="AA382" i="40"/>
  <c r="AE382" i="40"/>
  <c r="AB382" i="40"/>
  <c r="V382" i="40"/>
  <c r="Z382" i="40"/>
  <c r="Q382" i="40"/>
  <c r="AC382" i="40"/>
  <c r="AD382" i="40"/>
  <c r="AF382" i="40"/>
  <c r="U381" i="40"/>
  <c r="Y381" i="40"/>
  <c r="N381" i="40"/>
  <c r="AA381" i="40"/>
  <c r="AE381" i="40"/>
  <c r="AB381" i="40"/>
  <c r="V381" i="40"/>
  <c r="Z381" i="40"/>
  <c r="Q381" i="40"/>
  <c r="AC381" i="40"/>
  <c r="AD381" i="40"/>
  <c r="AF381" i="40"/>
  <c r="U380" i="40"/>
  <c r="Y380" i="40"/>
  <c r="N380" i="40"/>
  <c r="AA380" i="40"/>
  <c r="AE380" i="40"/>
  <c r="AB380" i="40"/>
  <c r="V380" i="40"/>
  <c r="Z380" i="40"/>
  <c r="Q380" i="40"/>
  <c r="AC380" i="40"/>
  <c r="AD380" i="40"/>
  <c r="AF380" i="40"/>
  <c r="U379" i="40"/>
  <c r="Y379" i="40"/>
  <c r="N379" i="40"/>
  <c r="AA379" i="40"/>
  <c r="AE379" i="40"/>
  <c r="AB379" i="40"/>
  <c r="V379" i="40"/>
  <c r="Z379" i="40"/>
  <c r="Q379" i="40"/>
  <c r="AC379" i="40"/>
  <c r="AD379" i="40"/>
  <c r="AF379" i="40"/>
  <c r="U378" i="40"/>
  <c r="Y378" i="40"/>
  <c r="N378" i="40"/>
  <c r="AA378" i="40"/>
  <c r="AE378" i="40"/>
  <c r="AB378" i="40"/>
  <c r="V378" i="40"/>
  <c r="Z378" i="40"/>
  <c r="Q378" i="40"/>
  <c r="AC378" i="40"/>
  <c r="AD378" i="40"/>
  <c r="AF378" i="40"/>
  <c r="U377" i="40"/>
  <c r="Y377" i="40"/>
  <c r="N377" i="40"/>
  <c r="AA377" i="40"/>
  <c r="AE377" i="40"/>
  <c r="AB377" i="40"/>
  <c r="V377" i="40"/>
  <c r="Z377" i="40"/>
  <c r="Q377" i="40"/>
  <c r="AC377" i="40"/>
  <c r="AD377" i="40"/>
  <c r="AF377" i="40"/>
  <c r="U376" i="40"/>
  <c r="Y376" i="40"/>
  <c r="N376" i="40"/>
  <c r="AA376" i="40"/>
  <c r="AE376" i="40"/>
  <c r="AB376" i="40"/>
  <c r="V376" i="40"/>
  <c r="Z376" i="40"/>
  <c r="Q376" i="40"/>
  <c r="AC376" i="40"/>
  <c r="AD376" i="40"/>
  <c r="AF376" i="40"/>
  <c r="U375" i="40"/>
  <c r="Y375" i="40"/>
  <c r="N375" i="40"/>
  <c r="AA375" i="40"/>
  <c r="AE375" i="40"/>
  <c r="AB375" i="40"/>
  <c r="V375" i="40"/>
  <c r="Z375" i="40"/>
  <c r="Q375" i="40"/>
  <c r="AC375" i="40"/>
  <c r="AD375" i="40"/>
  <c r="AF375" i="40"/>
  <c r="U374" i="40"/>
  <c r="Y374" i="40"/>
  <c r="N374" i="40"/>
  <c r="AA374" i="40"/>
  <c r="AE374" i="40"/>
  <c r="AB374" i="40"/>
  <c r="V374" i="40"/>
  <c r="Z374" i="40"/>
  <c r="Q374" i="40"/>
  <c r="AC374" i="40"/>
  <c r="AD374" i="40"/>
  <c r="AF374" i="40"/>
  <c r="U373" i="40"/>
  <c r="Y373" i="40"/>
  <c r="N373" i="40"/>
  <c r="AA373" i="40"/>
  <c r="AE373" i="40"/>
  <c r="AB373" i="40"/>
  <c r="V373" i="40"/>
  <c r="Z373" i="40"/>
  <c r="Q373" i="40"/>
  <c r="AC373" i="40"/>
  <c r="AD373" i="40"/>
  <c r="AF373" i="40"/>
  <c r="U372" i="40"/>
  <c r="Y372" i="40"/>
  <c r="N372" i="40"/>
  <c r="AA372" i="40"/>
  <c r="AE372" i="40"/>
  <c r="AB372" i="40"/>
  <c r="V372" i="40"/>
  <c r="Z372" i="40"/>
  <c r="Q372" i="40"/>
  <c r="AC372" i="40"/>
  <c r="AD372" i="40"/>
  <c r="AF372" i="40"/>
  <c r="U371" i="40"/>
  <c r="Y371" i="40"/>
  <c r="N371" i="40"/>
  <c r="AA371" i="40"/>
  <c r="AE371" i="40"/>
  <c r="AB371" i="40"/>
  <c r="V371" i="40"/>
  <c r="Z371" i="40"/>
  <c r="Q371" i="40"/>
  <c r="AC371" i="40"/>
  <c r="AD371" i="40"/>
  <c r="AF371" i="40"/>
  <c r="U370" i="40"/>
  <c r="Y370" i="40"/>
  <c r="N370" i="40"/>
  <c r="AA370" i="40"/>
  <c r="AE370" i="40"/>
  <c r="AB370" i="40"/>
  <c r="V370" i="40"/>
  <c r="Z370" i="40"/>
  <c r="Q370" i="40"/>
  <c r="AC370" i="40"/>
  <c r="AD370" i="40"/>
  <c r="AF370" i="40"/>
  <c r="U369" i="40"/>
  <c r="Y369" i="40"/>
  <c r="N369" i="40"/>
  <c r="AA369" i="40"/>
  <c r="AE369" i="40"/>
  <c r="AB369" i="40"/>
  <c r="V369" i="40"/>
  <c r="Z369" i="40"/>
  <c r="Q369" i="40"/>
  <c r="AC369" i="40"/>
  <c r="AD369" i="40"/>
  <c r="AF369" i="40"/>
  <c r="U368" i="40"/>
  <c r="Y368" i="40"/>
  <c r="N368" i="40"/>
  <c r="AA368" i="40"/>
  <c r="AE368" i="40"/>
  <c r="AB368" i="40"/>
  <c r="V368" i="40"/>
  <c r="Z368" i="40"/>
  <c r="Q368" i="40"/>
  <c r="AC368" i="40"/>
  <c r="AD368" i="40"/>
  <c r="AF368" i="40"/>
  <c r="U367" i="40"/>
  <c r="Y367" i="40"/>
  <c r="N367" i="40"/>
  <c r="AA367" i="40"/>
  <c r="AE367" i="40"/>
  <c r="AB367" i="40"/>
  <c r="V367" i="40"/>
  <c r="Z367" i="40"/>
  <c r="Q367" i="40"/>
  <c r="AC367" i="40"/>
  <c r="AD367" i="40"/>
  <c r="AF367" i="40"/>
  <c r="U366" i="40"/>
  <c r="Y366" i="40"/>
  <c r="N366" i="40"/>
  <c r="AA366" i="40"/>
  <c r="AE366" i="40"/>
  <c r="AB366" i="40"/>
  <c r="V366" i="40"/>
  <c r="Z366" i="40"/>
  <c r="Q366" i="40"/>
  <c r="AC366" i="40"/>
  <c r="AD366" i="40"/>
  <c r="AF366" i="40"/>
  <c r="U365" i="40"/>
  <c r="Y365" i="40"/>
  <c r="N365" i="40"/>
  <c r="AA365" i="40"/>
  <c r="AE365" i="40"/>
  <c r="AB365" i="40"/>
  <c r="V365" i="40"/>
  <c r="Z365" i="40"/>
  <c r="Q365" i="40"/>
  <c r="AC365" i="40"/>
  <c r="AD365" i="40"/>
  <c r="AF365" i="40"/>
  <c r="U364" i="40"/>
  <c r="Y364" i="40"/>
  <c r="N364" i="40"/>
  <c r="AA364" i="40"/>
  <c r="AE364" i="40"/>
  <c r="AB364" i="40"/>
  <c r="V364" i="40"/>
  <c r="Z364" i="40"/>
  <c r="Q364" i="40"/>
  <c r="AC364" i="40"/>
  <c r="AD364" i="40"/>
  <c r="AF364" i="40"/>
  <c r="U363" i="40"/>
  <c r="Y363" i="40"/>
  <c r="N363" i="40"/>
  <c r="AA363" i="40"/>
  <c r="AE363" i="40"/>
  <c r="AB363" i="40"/>
  <c r="V363" i="40"/>
  <c r="Z363" i="40"/>
  <c r="Q363" i="40"/>
  <c r="AC363" i="40"/>
  <c r="AD363" i="40"/>
  <c r="AF363" i="40"/>
  <c r="U362" i="40"/>
  <c r="Y362" i="40"/>
  <c r="N362" i="40"/>
  <c r="AA362" i="40"/>
  <c r="AE362" i="40"/>
  <c r="AB362" i="40"/>
  <c r="V362" i="40"/>
  <c r="Z362" i="40"/>
  <c r="Q362" i="40"/>
  <c r="AC362" i="40"/>
  <c r="AD362" i="40"/>
  <c r="AF362" i="40"/>
  <c r="U361" i="40"/>
  <c r="Y361" i="40"/>
  <c r="N361" i="40"/>
  <c r="AA361" i="40"/>
  <c r="AE361" i="40"/>
  <c r="AB361" i="40"/>
  <c r="V361" i="40"/>
  <c r="Z361" i="40"/>
  <c r="Q361" i="40"/>
  <c r="AC361" i="40"/>
  <c r="AD361" i="40"/>
  <c r="AF361" i="40"/>
  <c r="U360" i="40"/>
  <c r="Y360" i="40"/>
  <c r="N360" i="40"/>
  <c r="AA360" i="40"/>
  <c r="AE360" i="40"/>
  <c r="AB360" i="40"/>
  <c r="V360" i="40"/>
  <c r="Z360" i="40"/>
  <c r="Q360" i="40"/>
  <c r="AC360" i="40"/>
  <c r="AD360" i="40"/>
  <c r="AF360" i="40"/>
  <c r="U359" i="40"/>
  <c r="Y359" i="40"/>
  <c r="N359" i="40"/>
  <c r="AA359" i="40"/>
  <c r="AE359" i="40"/>
  <c r="AB359" i="40"/>
  <c r="V359" i="40"/>
  <c r="Z359" i="40"/>
  <c r="Q359" i="40"/>
  <c r="AC359" i="40"/>
  <c r="AD359" i="40"/>
  <c r="AF359" i="40"/>
  <c r="U358" i="40"/>
  <c r="Y358" i="40"/>
  <c r="N358" i="40"/>
  <c r="AA358" i="40"/>
  <c r="AE358" i="40"/>
  <c r="AB358" i="40"/>
  <c r="V358" i="40"/>
  <c r="Z358" i="40"/>
  <c r="Q358" i="40"/>
  <c r="AC358" i="40"/>
  <c r="AD358" i="40"/>
  <c r="AF358" i="40"/>
  <c r="U357" i="40"/>
  <c r="Y357" i="40"/>
  <c r="N357" i="40"/>
  <c r="AA357" i="40"/>
  <c r="AE357" i="40"/>
  <c r="AB357" i="40"/>
  <c r="V357" i="40"/>
  <c r="Z357" i="40"/>
  <c r="Q357" i="40"/>
  <c r="AC357" i="40"/>
  <c r="AD357" i="40"/>
  <c r="AF357" i="40"/>
  <c r="U356" i="40"/>
  <c r="Y356" i="40"/>
  <c r="N356" i="40"/>
  <c r="AA356" i="40"/>
  <c r="AE356" i="40"/>
  <c r="AB356" i="40"/>
  <c r="V356" i="40"/>
  <c r="Z356" i="40"/>
  <c r="Q356" i="40"/>
  <c r="AC356" i="40"/>
  <c r="AD356" i="40"/>
  <c r="AF356" i="40"/>
  <c r="U355" i="40"/>
  <c r="Y355" i="40"/>
  <c r="N355" i="40"/>
  <c r="AA355" i="40"/>
  <c r="AE355" i="40"/>
  <c r="AB355" i="40"/>
  <c r="V355" i="40"/>
  <c r="Z355" i="40"/>
  <c r="Q355" i="40"/>
  <c r="AC355" i="40"/>
  <c r="AD355" i="40"/>
  <c r="AF355" i="40"/>
  <c r="U354" i="40"/>
  <c r="Y354" i="40"/>
  <c r="N354" i="40"/>
  <c r="AA354" i="40"/>
  <c r="AE354" i="40"/>
  <c r="AB354" i="40"/>
  <c r="V354" i="40"/>
  <c r="Z354" i="40"/>
  <c r="Q354" i="40"/>
  <c r="AC354" i="40"/>
  <c r="AD354" i="40"/>
  <c r="AF354" i="40"/>
  <c r="U353" i="40"/>
  <c r="Y353" i="40"/>
  <c r="N353" i="40"/>
  <c r="AA353" i="40"/>
  <c r="AE353" i="40"/>
  <c r="AB353" i="40"/>
  <c r="V353" i="40"/>
  <c r="Z353" i="40"/>
  <c r="Q353" i="40"/>
  <c r="AC353" i="40"/>
  <c r="AD353" i="40"/>
  <c r="AF353" i="40"/>
  <c r="U352" i="40"/>
  <c r="Y352" i="40"/>
  <c r="N352" i="40"/>
  <c r="AA352" i="40"/>
  <c r="AE352" i="40"/>
  <c r="AB352" i="40"/>
  <c r="V352" i="40"/>
  <c r="Z352" i="40"/>
  <c r="Q352" i="40"/>
  <c r="AC352" i="40"/>
  <c r="AD352" i="40"/>
  <c r="AF352" i="40"/>
  <c r="U351" i="40"/>
  <c r="Y351" i="40"/>
  <c r="N351" i="40"/>
  <c r="AA351" i="40"/>
  <c r="AE351" i="40"/>
  <c r="AB351" i="40"/>
  <c r="V351" i="40"/>
  <c r="Z351" i="40"/>
  <c r="Q351" i="40"/>
  <c r="AC351" i="40"/>
  <c r="AD351" i="40"/>
  <c r="AF351" i="40"/>
  <c r="U350" i="40"/>
  <c r="Y350" i="40"/>
  <c r="N350" i="40"/>
  <c r="AA350" i="40"/>
  <c r="AE350" i="40"/>
  <c r="AB350" i="40"/>
  <c r="V350" i="40"/>
  <c r="Z350" i="40"/>
  <c r="Q350" i="40"/>
  <c r="AC350" i="40"/>
  <c r="AD350" i="40"/>
  <c r="AF350" i="40"/>
  <c r="U349" i="40"/>
  <c r="Y349" i="40"/>
  <c r="N349" i="40"/>
  <c r="AA349" i="40"/>
  <c r="AE349" i="40"/>
  <c r="AB349" i="40"/>
  <c r="V349" i="40"/>
  <c r="Z349" i="40"/>
  <c r="Q349" i="40"/>
  <c r="AC349" i="40"/>
  <c r="AD349" i="40"/>
  <c r="AF349" i="40"/>
  <c r="U348" i="40"/>
  <c r="Y348" i="40"/>
  <c r="N348" i="40"/>
  <c r="AA348" i="40"/>
  <c r="AE348" i="40"/>
  <c r="AB348" i="40"/>
  <c r="V348" i="40"/>
  <c r="Z348" i="40"/>
  <c r="Q348" i="40"/>
  <c r="AC348" i="40"/>
  <c r="AD348" i="40"/>
  <c r="AF348" i="40"/>
  <c r="U347" i="40"/>
  <c r="Y347" i="40"/>
  <c r="N347" i="40"/>
  <c r="AA347" i="40"/>
  <c r="AE347" i="40"/>
  <c r="AB347" i="40"/>
  <c r="V347" i="40"/>
  <c r="Z347" i="40"/>
  <c r="Q347" i="40"/>
  <c r="AC347" i="40"/>
  <c r="AD347" i="40"/>
  <c r="AF347" i="40"/>
  <c r="U346" i="40"/>
  <c r="Y346" i="40"/>
  <c r="N346" i="40"/>
  <c r="AA346" i="40"/>
  <c r="AE346" i="40"/>
  <c r="AB346" i="40"/>
  <c r="V346" i="40"/>
  <c r="Z346" i="40"/>
  <c r="Q346" i="40"/>
  <c r="AC346" i="40"/>
  <c r="AD346" i="40"/>
  <c r="AF346" i="40"/>
  <c r="U345" i="40"/>
  <c r="Y345" i="40"/>
  <c r="N345" i="40"/>
  <c r="AA345" i="40"/>
  <c r="AE345" i="40"/>
  <c r="AB345" i="40"/>
  <c r="V345" i="40"/>
  <c r="Z345" i="40"/>
  <c r="Q345" i="40"/>
  <c r="AC345" i="40"/>
  <c r="AD345" i="40"/>
  <c r="AF345" i="40"/>
  <c r="U344" i="40"/>
  <c r="Y344" i="40"/>
  <c r="N344" i="40"/>
  <c r="AA344" i="40"/>
  <c r="AE344" i="40"/>
  <c r="AB344" i="40"/>
  <c r="V344" i="40"/>
  <c r="Z344" i="40"/>
  <c r="Q344" i="40"/>
  <c r="AC344" i="40"/>
  <c r="AD344" i="40"/>
  <c r="AF344" i="40"/>
  <c r="U343" i="40"/>
  <c r="Y343" i="40"/>
  <c r="N343" i="40"/>
  <c r="AA343" i="40"/>
  <c r="AE343" i="40"/>
  <c r="AB343" i="40"/>
  <c r="V343" i="40"/>
  <c r="Z343" i="40"/>
  <c r="Q343" i="40"/>
  <c r="AC343" i="40"/>
  <c r="AD343" i="40"/>
  <c r="AF343" i="40"/>
  <c r="U342" i="40"/>
  <c r="Y342" i="40"/>
  <c r="N342" i="40"/>
  <c r="AA342" i="40"/>
  <c r="AE342" i="40"/>
  <c r="AB342" i="40"/>
  <c r="V342" i="40"/>
  <c r="Z342" i="40"/>
  <c r="Q342" i="40"/>
  <c r="AC342" i="40"/>
  <c r="AD342" i="40"/>
  <c r="AF342" i="40"/>
  <c r="U341" i="40"/>
  <c r="Y341" i="40"/>
  <c r="N341" i="40"/>
  <c r="AA341" i="40"/>
  <c r="AE341" i="40"/>
  <c r="AB341" i="40"/>
  <c r="V341" i="40"/>
  <c r="Z341" i="40"/>
  <c r="Q341" i="40"/>
  <c r="AC341" i="40"/>
  <c r="AD341" i="40"/>
  <c r="AF341" i="40"/>
  <c r="U340" i="40"/>
  <c r="Y340" i="40"/>
  <c r="N340" i="40"/>
  <c r="AA340" i="40"/>
  <c r="AE340" i="40"/>
  <c r="AB340" i="40"/>
  <c r="V340" i="40"/>
  <c r="Z340" i="40"/>
  <c r="Q340" i="40"/>
  <c r="AC340" i="40"/>
  <c r="AD340" i="40"/>
  <c r="AF340" i="40"/>
  <c r="U339" i="40"/>
  <c r="Y339" i="40"/>
  <c r="N339" i="40"/>
  <c r="AA339" i="40"/>
  <c r="AE339" i="40"/>
  <c r="AB339" i="40"/>
  <c r="V339" i="40"/>
  <c r="Z339" i="40"/>
  <c r="Q339" i="40"/>
  <c r="AC339" i="40"/>
  <c r="AD339" i="40"/>
  <c r="AF339" i="40"/>
  <c r="U338" i="40"/>
  <c r="Y338" i="40"/>
  <c r="N338" i="40"/>
  <c r="AA338" i="40"/>
  <c r="AE338" i="40"/>
  <c r="AB338" i="40"/>
  <c r="V338" i="40"/>
  <c r="Z338" i="40"/>
  <c r="Q338" i="40"/>
  <c r="AC338" i="40"/>
  <c r="AD338" i="40"/>
  <c r="AF338" i="40"/>
  <c r="U337" i="40"/>
  <c r="Y337" i="40"/>
  <c r="N337" i="40"/>
  <c r="AA337" i="40"/>
  <c r="AE337" i="40"/>
  <c r="AB337" i="40"/>
  <c r="V337" i="40"/>
  <c r="Z337" i="40"/>
  <c r="Q337" i="40"/>
  <c r="AC337" i="40"/>
  <c r="AD337" i="40"/>
  <c r="AF337" i="40"/>
  <c r="U336" i="40"/>
  <c r="Y336" i="40"/>
  <c r="N336" i="40"/>
  <c r="AA336" i="40"/>
  <c r="AE336" i="40"/>
  <c r="AB336" i="40"/>
  <c r="V336" i="40"/>
  <c r="Z336" i="40"/>
  <c r="Q336" i="40"/>
  <c r="AC336" i="40"/>
  <c r="AD336" i="40"/>
  <c r="AF336" i="40"/>
  <c r="U335" i="40"/>
  <c r="Y335" i="40"/>
  <c r="N335" i="40"/>
  <c r="AA335" i="40"/>
  <c r="AE335" i="40"/>
  <c r="AB335" i="40"/>
  <c r="V335" i="40"/>
  <c r="Z335" i="40"/>
  <c r="Q335" i="40"/>
  <c r="AC335" i="40"/>
  <c r="AD335" i="40"/>
  <c r="AF335" i="40"/>
  <c r="U334" i="40"/>
  <c r="Y334" i="40"/>
  <c r="N334" i="40"/>
  <c r="AA334" i="40"/>
  <c r="AE334" i="40"/>
  <c r="AB334" i="40"/>
  <c r="V334" i="40"/>
  <c r="Z334" i="40"/>
  <c r="Q334" i="40"/>
  <c r="AC334" i="40"/>
  <c r="AD334" i="40"/>
  <c r="AF334" i="40"/>
  <c r="U333" i="40"/>
  <c r="Y333" i="40"/>
  <c r="N333" i="40"/>
  <c r="AA333" i="40"/>
  <c r="AE333" i="40"/>
  <c r="AB333" i="40"/>
  <c r="V333" i="40"/>
  <c r="Z333" i="40"/>
  <c r="Q333" i="40"/>
  <c r="AC333" i="40"/>
  <c r="AD333" i="40"/>
  <c r="AF333" i="40"/>
  <c r="U332" i="40"/>
  <c r="Y332" i="40"/>
  <c r="N332" i="40"/>
  <c r="AA332" i="40"/>
  <c r="AE332" i="40"/>
  <c r="AB332" i="40"/>
  <c r="V332" i="40"/>
  <c r="Z332" i="40"/>
  <c r="Q332" i="40"/>
  <c r="AC332" i="40"/>
  <c r="AD332" i="40"/>
  <c r="AF332" i="40"/>
  <c r="U331" i="40"/>
  <c r="Y331" i="40"/>
  <c r="N331" i="40"/>
  <c r="AA331" i="40"/>
  <c r="AE331" i="40"/>
  <c r="AB331" i="40"/>
  <c r="V331" i="40"/>
  <c r="Z331" i="40"/>
  <c r="Q331" i="40"/>
  <c r="AC331" i="40"/>
  <c r="AD331" i="40"/>
  <c r="AF331" i="40"/>
  <c r="U330" i="40"/>
  <c r="Y330" i="40"/>
  <c r="N330" i="40"/>
  <c r="AA330" i="40"/>
  <c r="AE330" i="40"/>
  <c r="AB330" i="40"/>
  <c r="V330" i="40"/>
  <c r="Z330" i="40"/>
  <c r="Q330" i="40"/>
  <c r="AC330" i="40"/>
  <c r="AD330" i="40"/>
  <c r="AF330" i="40"/>
  <c r="U329" i="40"/>
  <c r="Y329" i="40"/>
  <c r="N329" i="40"/>
  <c r="AA329" i="40"/>
  <c r="AE329" i="40"/>
  <c r="AB329" i="40"/>
  <c r="V329" i="40"/>
  <c r="Z329" i="40"/>
  <c r="Q329" i="40"/>
  <c r="AC329" i="40"/>
  <c r="AD329" i="40"/>
  <c r="AF329" i="40"/>
  <c r="U328" i="40"/>
  <c r="Y328" i="40"/>
  <c r="N328" i="40"/>
  <c r="AA328" i="40"/>
  <c r="AE328" i="40"/>
  <c r="AB328" i="40"/>
  <c r="V328" i="40"/>
  <c r="Z328" i="40"/>
  <c r="Q328" i="40"/>
  <c r="AC328" i="40"/>
  <c r="AD328" i="40"/>
  <c r="AF328" i="40"/>
  <c r="U327" i="40"/>
  <c r="Y327" i="40"/>
  <c r="N327" i="40"/>
  <c r="AA327" i="40"/>
  <c r="AE327" i="40"/>
  <c r="AB327" i="40"/>
  <c r="V327" i="40"/>
  <c r="Z327" i="40"/>
  <c r="Q327" i="40"/>
  <c r="AC327" i="40"/>
  <c r="AD327" i="40"/>
  <c r="AF327" i="40"/>
  <c r="U326" i="40"/>
  <c r="Y326" i="40"/>
  <c r="N326" i="40"/>
  <c r="AA326" i="40"/>
  <c r="AE326" i="40"/>
  <c r="AB326" i="40"/>
  <c r="V326" i="40"/>
  <c r="Z326" i="40"/>
  <c r="Q326" i="40"/>
  <c r="AC326" i="40"/>
  <c r="AD326" i="40"/>
  <c r="AF326" i="40"/>
  <c r="U325" i="40"/>
  <c r="Y325" i="40"/>
  <c r="N325" i="40"/>
  <c r="AA325" i="40"/>
  <c r="AE325" i="40"/>
  <c r="AB325" i="40"/>
  <c r="V325" i="40"/>
  <c r="Z325" i="40"/>
  <c r="Q325" i="40"/>
  <c r="AC325" i="40"/>
  <c r="AD325" i="40"/>
  <c r="AF325" i="40"/>
  <c r="U324" i="40"/>
  <c r="Y324" i="40"/>
  <c r="N324" i="40"/>
  <c r="AA324" i="40"/>
  <c r="AE324" i="40"/>
  <c r="AB324" i="40"/>
  <c r="V324" i="40"/>
  <c r="Z324" i="40"/>
  <c r="Q324" i="40"/>
  <c r="AC324" i="40"/>
  <c r="AD324" i="40"/>
  <c r="AF324" i="40"/>
  <c r="U323" i="40"/>
  <c r="Y323" i="40"/>
  <c r="N323" i="40"/>
  <c r="AA323" i="40"/>
  <c r="AE323" i="40"/>
  <c r="AB323" i="40"/>
  <c r="V323" i="40"/>
  <c r="Z323" i="40"/>
  <c r="Q323" i="40"/>
  <c r="AC323" i="40"/>
  <c r="AD323" i="40"/>
  <c r="AF323" i="40"/>
  <c r="U322" i="40"/>
  <c r="Y322" i="40"/>
  <c r="N322" i="40"/>
  <c r="AA322" i="40"/>
  <c r="AE322" i="40"/>
  <c r="AB322" i="40"/>
  <c r="V322" i="40"/>
  <c r="Z322" i="40"/>
  <c r="Q322" i="40"/>
  <c r="AC322" i="40"/>
  <c r="AD322" i="40"/>
  <c r="AF322" i="40"/>
  <c r="U321" i="40"/>
  <c r="Y321" i="40"/>
  <c r="N321" i="40"/>
  <c r="AA321" i="40"/>
  <c r="AE321" i="40"/>
  <c r="AB321" i="40"/>
  <c r="V321" i="40"/>
  <c r="Z321" i="40"/>
  <c r="Q321" i="40"/>
  <c r="AC321" i="40"/>
  <c r="AD321" i="40"/>
  <c r="AF321" i="40"/>
  <c r="U320" i="40"/>
  <c r="Y320" i="40"/>
  <c r="N320" i="40"/>
  <c r="AA320" i="40"/>
  <c r="AE320" i="40"/>
  <c r="AB320" i="40"/>
  <c r="V320" i="40"/>
  <c r="Z320" i="40"/>
  <c r="Q320" i="40"/>
  <c r="AC320" i="40"/>
  <c r="AD320" i="40"/>
  <c r="AF320" i="40"/>
  <c r="U319" i="40"/>
  <c r="Y319" i="40"/>
  <c r="N319" i="40"/>
  <c r="AA319" i="40"/>
  <c r="AE319" i="40"/>
  <c r="AB319" i="40"/>
  <c r="V319" i="40"/>
  <c r="Z319" i="40"/>
  <c r="Q319" i="40"/>
  <c r="AC319" i="40"/>
  <c r="AD319" i="40"/>
  <c r="AF319" i="40"/>
  <c r="U318" i="40"/>
  <c r="Y318" i="40"/>
  <c r="N318" i="40"/>
  <c r="AA318" i="40"/>
  <c r="AE318" i="40"/>
  <c r="AB318" i="40"/>
  <c r="V318" i="40"/>
  <c r="Z318" i="40"/>
  <c r="Q318" i="40"/>
  <c r="AC318" i="40"/>
  <c r="AD318" i="40"/>
  <c r="AF318" i="40"/>
  <c r="U317" i="40"/>
  <c r="Y317" i="40"/>
  <c r="N317" i="40"/>
  <c r="AA317" i="40"/>
  <c r="AE317" i="40"/>
  <c r="AB317" i="40"/>
  <c r="V317" i="40"/>
  <c r="Z317" i="40"/>
  <c r="Q317" i="40"/>
  <c r="AC317" i="40"/>
  <c r="AD317" i="40"/>
  <c r="AF317" i="40"/>
  <c r="U316" i="40"/>
  <c r="Y316" i="40"/>
  <c r="N316" i="40"/>
  <c r="AA316" i="40"/>
  <c r="AE316" i="40"/>
  <c r="AB316" i="40"/>
  <c r="V316" i="40"/>
  <c r="Z316" i="40"/>
  <c r="Q316" i="40"/>
  <c r="AC316" i="40"/>
  <c r="AD316" i="40"/>
  <c r="AF316" i="40"/>
  <c r="U315" i="40"/>
  <c r="Y315" i="40"/>
  <c r="N315" i="40"/>
  <c r="AA315" i="40"/>
  <c r="AE315" i="40"/>
  <c r="AB315" i="40"/>
  <c r="V315" i="40"/>
  <c r="Z315" i="40"/>
  <c r="Q315" i="40"/>
  <c r="AC315" i="40"/>
  <c r="AD315" i="40"/>
  <c r="AF315" i="40"/>
  <c r="U314" i="40"/>
  <c r="Y314" i="40"/>
  <c r="N314" i="40"/>
  <c r="AA314" i="40"/>
  <c r="AE314" i="40"/>
  <c r="AB314" i="40"/>
  <c r="V314" i="40"/>
  <c r="Z314" i="40"/>
  <c r="Q314" i="40"/>
  <c r="AC314" i="40"/>
  <c r="AD314" i="40"/>
  <c r="AF314" i="40"/>
  <c r="U313" i="40"/>
  <c r="Y313" i="40"/>
  <c r="N313" i="40"/>
  <c r="AA313" i="40"/>
  <c r="AE313" i="40"/>
  <c r="AB313" i="40"/>
  <c r="V313" i="40"/>
  <c r="Z313" i="40"/>
  <c r="Q313" i="40"/>
  <c r="AC313" i="40"/>
  <c r="AD313" i="40"/>
  <c r="AF313" i="40"/>
  <c r="U312" i="40"/>
  <c r="Y312" i="40"/>
  <c r="N312" i="40"/>
  <c r="AA312" i="40"/>
  <c r="AE312" i="40"/>
  <c r="AB312" i="40"/>
  <c r="V312" i="40"/>
  <c r="Z312" i="40"/>
  <c r="Q312" i="40"/>
  <c r="AC312" i="40"/>
  <c r="AD312" i="40"/>
  <c r="AF312" i="40"/>
  <c r="U311" i="40"/>
  <c r="Y311" i="40"/>
  <c r="N311" i="40"/>
  <c r="AA311" i="40"/>
  <c r="AE311" i="40"/>
  <c r="AB311" i="40"/>
  <c r="V311" i="40"/>
  <c r="Z311" i="40"/>
  <c r="Q311" i="40"/>
  <c r="AC311" i="40"/>
  <c r="AD311" i="40"/>
  <c r="AF311" i="40"/>
  <c r="U310" i="40"/>
  <c r="Y310" i="40"/>
  <c r="N310" i="40"/>
  <c r="AA310" i="40"/>
  <c r="AE310" i="40"/>
  <c r="AB310" i="40"/>
  <c r="V310" i="40"/>
  <c r="Z310" i="40"/>
  <c r="Q310" i="40"/>
  <c r="AC310" i="40"/>
  <c r="AD310" i="40"/>
  <c r="AF310" i="40"/>
  <c r="U309" i="40"/>
  <c r="Y309" i="40"/>
  <c r="N309" i="40"/>
  <c r="AA309" i="40"/>
  <c r="AE309" i="40"/>
  <c r="AB309" i="40"/>
  <c r="V309" i="40"/>
  <c r="Z309" i="40"/>
  <c r="Q309" i="40"/>
  <c r="AC309" i="40"/>
  <c r="AD309" i="40"/>
  <c r="AF309" i="40"/>
  <c r="U308" i="40"/>
  <c r="Y308" i="40"/>
  <c r="N308" i="40"/>
  <c r="AA308" i="40"/>
  <c r="AE308" i="40"/>
  <c r="AB308" i="40"/>
  <c r="V308" i="40"/>
  <c r="Z308" i="40"/>
  <c r="Q308" i="40"/>
  <c r="AC308" i="40"/>
  <c r="AD308" i="40"/>
  <c r="AF308" i="40"/>
  <c r="U307" i="40"/>
  <c r="Y307" i="40"/>
  <c r="N307" i="40"/>
  <c r="AA307" i="40"/>
  <c r="AE307" i="40"/>
  <c r="AB307" i="40"/>
  <c r="V307" i="40"/>
  <c r="Z307" i="40"/>
  <c r="Q307" i="40"/>
  <c r="AC307" i="40"/>
  <c r="AD307" i="40"/>
  <c r="AF307" i="40"/>
  <c r="U306" i="40"/>
  <c r="Y306" i="40"/>
  <c r="N306" i="40"/>
  <c r="AA306" i="40"/>
  <c r="AE306" i="40"/>
  <c r="AB306" i="40"/>
  <c r="V306" i="40"/>
  <c r="Z306" i="40"/>
  <c r="Q306" i="40"/>
  <c r="AC306" i="40"/>
  <c r="AD306" i="40"/>
  <c r="AF306" i="40"/>
  <c r="U305" i="40"/>
  <c r="Y305" i="40"/>
  <c r="N305" i="40"/>
  <c r="AA305" i="40"/>
  <c r="AE305" i="40"/>
  <c r="AB305" i="40"/>
  <c r="V305" i="40"/>
  <c r="Z305" i="40"/>
  <c r="Q305" i="40"/>
  <c r="AC305" i="40"/>
  <c r="AD305" i="40"/>
  <c r="AF305" i="40"/>
  <c r="U304" i="40"/>
  <c r="Y304" i="40"/>
  <c r="N304" i="40"/>
  <c r="AA304" i="40"/>
  <c r="AE304" i="40"/>
  <c r="AB304" i="40"/>
  <c r="V304" i="40"/>
  <c r="Z304" i="40"/>
  <c r="Q304" i="40"/>
  <c r="AC304" i="40"/>
  <c r="AD304" i="40"/>
  <c r="AF304" i="40"/>
  <c r="U303" i="40"/>
  <c r="Y303" i="40"/>
  <c r="N303" i="40"/>
  <c r="AA303" i="40"/>
  <c r="AE303" i="40"/>
  <c r="AB303" i="40"/>
  <c r="V303" i="40"/>
  <c r="Z303" i="40"/>
  <c r="Q303" i="40"/>
  <c r="AC303" i="40"/>
  <c r="AD303" i="40"/>
  <c r="AF303" i="40"/>
  <c r="U302" i="40"/>
  <c r="Y302" i="40"/>
  <c r="N302" i="40"/>
  <c r="AA302" i="40"/>
  <c r="AE302" i="40"/>
  <c r="AB302" i="40"/>
  <c r="V302" i="40"/>
  <c r="Z302" i="40"/>
  <c r="Q302" i="40"/>
  <c r="AC302" i="40"/>
  <c r="AD302" i="40"/>
  <c r="AF302" i="40"/>
  <c r="U301" i="40"/>
  <c r="Y301" i="40"/>
  <c r="N301" i="40"/>
  <c r="AA301" i="40"/>
  <c r="AE301" i="40"/>
  <c r="AB301" i="40"/>
  <c r="V301" i="40"/>
  <c r="Z301" i="40"/>
  <c r="Q301" i="40"/>
  <c r="AC301" i="40"/>
  <c r="AD301" i="40"/>
  <c r="AF301" i="40"/>
  <c r="U300" i="40"/>
  <c r="Y300" i="40"/>
  <c r="N300" i="40"/>
  <c r="AA300" i="40"/>
  <c r="AE300" i="40"/>
  <c r="AB300" i="40"/>
  <c r="V300" i="40"/>
  <c r="Z300" i="40"/>
  <c r="Q300" i="40"/>
  <c r="AC300" i="40"/>
  <c r="AD300" i="40"/>
  <c r="AF300" i="40"/>
  <c r="U299" i="40"/>
  <c r="Y299" i="40"/>
  <c r="N299" i="40"/>
  <c r="AA299" i="40"/>
  <c r="AE299" i="40"/>
  <c r="AB299" i="40"/>
  <c r="V299" i="40"/>
  <c r="Z299" i="40"/>
  <c r="Q299" i="40"/>
  <c r="AC299" i="40"/>
  <c r="AD299" i="40"/>
  <c r="AF299" i="40"/>
  <c r="U298" i="40"/>
  <c r="Y298" i="40"/>
  <c r="N298" i="40"/>
  <c r="AA298" i="40"/>
  <c r="AE298" i="40"/>
  <c r="AB298" i="40"/>
  <c r="V298" i="40"/>
  <c r="Z298" i="40"/>
  <c r="Q298" i="40"/>
  <c r="AC298" i="40"/>
  <c r="AD298" i="40"/>
  <c r="AF298" i="40"/>
  <c r="U297" i="40"/>
  <c r="Y297" i="40"/>
  <c r="N297" i="40"/>
  <c r="AA297" i="40"/>
  <c r="AE297" i="40"/>
  <c r="AB297" i="40"/>
  <c r="V297" i="40"/>
  <c r="Z297" i="40"/>
  <c r="Q297" i="40"/>
  <c r="AC297" i="40"/>
  <c r="AD297" i="40"/>
  <c r="AF297" i="40"/>
  <c r="U296" i="40"/>
  <c r="Y296" i="40"/>
  <c r="N296" i="40"/>
  <c r="AA296" i="40"/>
  <c r="AE296" i="40"/>
  <c r="AB296" i="40"/>
  <c r="V296" i="40"/>
  <c r="Z296" i="40"/>
  <c r="Q296" i="40"/>
  <c r="AC296" i="40"/>
  <c r="AD296" i="40"/>
  <c r="AF296" i="40"/>
  <c r="U295" i="40"/>
  <c r="Y295" i="40"/>
  <c r="N295" i="40"/>
  <c r="AA295" i="40"/>
  <c r="AE295" i="40"/>
  <c r="AB295" i="40"/>
  <c r="V295" i="40"/>
  <c r="Z295" i="40"/>
  <c r="Q295" i="40"/>
  <c r="AC295" i="40"/>
  <c r="AD295" i="40"/>
  <c r="AF295" i="40"/>
  <c r="U294" i="40"/>
  <c r="Y294" i="40"/>
  <c r="N294" i="40"/>
  <c r="AA294" i="40"/>
  <c r="AE294" i="40"/>
  <c r="AB294" i="40"/>
  <c r="V294" i="40"/>
  <c r="Z294" i="40"/>
  <c r="Q294" i="40"/>
  <c r="AC294" i="40"/>
  <c r="AD294" i="40"/>
  <c r="AF294" i="40"/>
  <c r="U293" i="40"/>
  <c r="Y293" i="40"/>
  <c r="N293" i="40"/>
  <c r="AA293" i="40"/>
  <c r="AE293" i="40"/>
  <c r="AB293" i="40"/>
  <c r="V293" i="40"/>
  <c r="Z293" i="40"/>
  <c r="Q293" i="40"/>
  <c r="AC293" i="40"/>
  <c r="AD293" i="40"/>
  <c r="AF293" i="40"/>
  <c r="U292" i="40"/>
  <c r="Y292" i="40"/>
  <c r="N292" i="40"/>
  <c r="AA292" i="40"/>
  <c r="AE292" i="40"/>
  <c r="AB292" i="40"/>
  <c r="V292" i="40"/>
  <c r="Z292" i="40"/>
  <c r="Q292" i="40"/>
  <c r="AC292" i="40"/>
  <c r="AD292" i="40"/>
  <c r="AF292" i="40"/>
  <c r="U291" i="40"/>
  <c r="Y291" i="40"/>
  <c r="N291" i="40"/>
  <c r="AA291" i="40"/>
  <c r="AE291" i="40"/>
  <c r="AB291" i="40"/>
  <c r="V291" i="40"/>
  <c r="Z291" i="40"/>
  <c r="Q291" i="40"/>
  <c r="AC291" i="40"/>
  <c r="AD291" i="40"/>
  <c r="AF291" i="40"/>
  <c r="U290" i="40"/>
  <c r="Y290" i="40"/>
  <c r="N290" i="40"/>
  <c r="AA290" i="40"/>
  <c r="AE290" i="40"/>
  <c r="AB290" i="40"/>
  <c r="V290" i="40"/>
  <c r="Z290" i="40"/>
  <c r="Q290" i="40"/>
  <c r="AC290" i="40"/>
  <c r="AD290" i="40"/>
  <c r="AF290" i="40"/>
  <c r="U289" i="40"/>
  <c r="Y289" i="40"/>
  <c r="N289" i="40"/>
  <c r="AA289" i="40"/>
  <c r="AE289" i="40"/>
  <c r="AB289" i="40"/>
  <c r="V289" i="40"/>
  <c r="Z289" i="40"/>
  <c r="Q289" i="40"/>
  <c r="AC289" i="40"/>
  <c r="AD289" i="40"/>
  <c r="AF289" i="40"/>
  <c r="U288" i="40"/>
  <c r="Y288" i="40"/>
  <c r="N288" i="40"/>
  <c r="AA288" i="40"/>
  <c r="AE288" i="40"/>
  <c r="AB288" i="40"/>
  <c r="V288" i="40"/>
  <c r="Z288" i="40"/>
  <c r="Q288" i="40"/>
  <c r="AC288" i="40"/>
  <c r="AD288" i="40"/>
  <c r="AF288" i="40"/>
  <c r="U287" i="40"/>
  <c r="Y287" i="40"/>
  <c r="N287" i="40"/>
  <c r="AA287" i="40"/>
  <c r="AE287" i="40"/>
  <c r="AB287" i="40"/>
  <c r="V287" i="40"/>
  <c r="Z287" i="40"/>
  <c r="Q287" i="40"/>
  <c r="AC287" i="40"/>
  <c r="AD287" i="40"/>
  <c r="AF287" i="40"/>
  <c r="U286" i="40"/>
  <c r="Y286" i="40"/>
  <c r="N286" i="40"/>
  <c r="AA286" i="40"/>
  <c r="AE286" i="40"/>
  <c r="AB286" i="40"/>
  <c r="V286" i="40"/>
  <c r="Z286" i="40"/>
  <c r="Q286" i="40"/>
  <c r="AC286" i="40"/>
  <c r="AD286" i="40"/>
  <c r="AF286" i="40"/>
  <c r="U285" i="40"/>
  <c r="Y285" i="40"/>
  <c r="N285" i="40"/>
  <c r="AA285" i="40"/>
  <c r="AE285" i="40"/>
  <c r="AB285" i="40"/>
  <c r="V285" i="40"/>
  <c r="Z285" i="40"/>
  <c r="Q285" i="40"/>
  <c r="AC285" i="40"/>
  <c r="AD285" i="40"/>
  <c r="AF285" i="40"/>
  <c r="U284" i="40"/>
  <c r="Y284" i="40"/>
  <c r="N284" i="40"/>
  <c r="AA284" i="40"/>
  <c r="AE284" i="40"/>
  <c r="AB284" i="40"/>
  <c r="V284" i="40"/>
  <c r="Z284" i="40"/>
  <c r="Q284" i="40"/>
  <c r="AC284" i="40"/>
  <c r="AD284" i="40"/>
  <c r="AF284" i="40"/>
  <c r="U283" i="40"/>
  <c r="Y283" i="40"/>
  <c r="N283" i="40"/>
  <c r="AA283" i="40"/>
  <c r="AE283" i="40"/>
  <c r="AB283" i="40"/>
  <c r="V283" i="40"/>
  <c r="Z283" i="40"/>
  <c r="Q283" i="40"/>
  <c r="AC283" i="40"/>
  <c r="AD283" i="40"/>
  <c r="AF283" i="40"/>
  <c r="U282" i="40"/>
  <c r="Y282" i="40"/>
  <c r="N282" i="40"/>
  <c r="AA282" i="40"/>
  <c r="AE282" i="40"/>
  <c r="AB282" i="40"/>
  <c r="V282" i="40"/>
  <c r="Z282" i="40"/>
  <c r="Q282" i="40"/>
  <c r="AC282" i="40"/>
  <c r="AD282" i="40"/>
  <c r="AF282" i="40"/>
  <c r="U281" i="40"/>
  <c r="Y281" i="40"/>
  <c r="N281" i="40"/>
  <c r="AA281" i="40"/>
  <c r="AE281" i="40"/>
  <c r="AB281" i="40"/>
  <c r="V281" i="40"/>
  <c r="Z281" i="40"/>
  <c r="Q281" i="40"/>
  <c r="AC281" i="40"/>
  <c r="AD281" i="40"/>
  <c r="AF281" i="40"/>
  <c r="U280" i="40"/>
  <c r="Y280" i="40"/>
  <c r="N280" i="40"/>
  <c r="AA280" i="40"/>
  <c r="AE280" i="40"/>
  <c r="AB280" i="40"/>
  <c r="V280" i="40"/>
  <c r="Z280" i="40"/>
  <c r="Q280" i="40"/>
  <c r="AC280" i="40"/>
  <c r="AD280" i="40"/>
  <c r="AF280" i="40"/>
  <c r="U279" i="40"/>
  <c r="Y279" i="40"/>
  <c r="N279" i="40"/>
  <c r="AA279" i="40"/>
  <c r="AE279" i="40"/>
  <c r="AB279" i="40"/>
  <c r="V279" i="40"/>
  <c r="Z279" i="40"/>
  <c r="Q279" i="40"/>
  <c r="AC279" i="40"/>
  <c r="AD279" i="40"/>
  <c r="AF279" i="40"/>
  <c r="U278" i="40"/>
  <c r="Y278" i="40"/>
  <c r="N278" i="40"/>
  <c r="AA278" i="40"/>
  <c r="AE278" i="40"/>
  <c r="AB278" i="40"/>
  <c r="V278" i="40"/>
  <c r="Z278" i="40"/>
  <c r="Q278" i="40"/>
  <c r="AC278" i="40"/>
  <c r="AD278" i="40"/>
  <c r="AF278" i="40"/>
  <c r="U277" i="40"/>
  <c r="Y277" i="40"/>
  <c r="N277" i="40"/>
  <c r="AA277" i="40"/>
  <c r="AE277" i="40"/>
  <c r="AB277" i="40"/>
  <c r="V277" i="40"/>
  <c r="Z277" i="40"/>
  <c r="Q277" i="40"/>
  <c r="AC277" i="40"/>
  <c r="AD277" i="40"/>
  <c r="AF277" i="40"/>
  <c r="U276" i="40"/>
  <c r="Y276" i="40"/>
  <c r="N276" i="40"/>
  <c r="AA276" i="40"/>
  <c r="AE276" i="40"/>
  <c r="AB276" i="40"/>
  <c r="V276" i="40"/>
  <c r="Z276" i="40"/>
  <c r="Q276" i="40"/>
  <c r="AC276" i="40"/>
  <c r="AD276" i="40"/>
  <c r="AF276" i="40"/>
  <c r="U275" i="40"/>
  <c r="Y275" i="40"/>
  <c r="N275" i="40"/>
  <c r="AA275" i="40"/>
  <c r="AE275" i="40"/>
  <c r="AB275" i="40"/>
  <c r="V275" i="40"/>
  <c r="Z275" i="40"/>
  <c r="Q275" i="40"/>
  <c r="AC275" i="40"/>
  <c r="AD275" i="40"/>
  <c r="AF275" i="40"/>
  <c r="U274" i="40"/>
  <c r="Y274" i="40"/>
  <c r="N274" i="40"/>
  <c r="AA274" i="40"/>
  <c r="AE274" i="40"/>
  <c r="AB274" i="40"/>
  <c r="V274" i="40"/>
  <c r="Z274" i="40"/>
  <c r="Q274" i="40"/>
  <c r="AC274" i="40"/>
  <c r="AD274" i="40"/>
  <c r="AF274" i="40"/>
  <c r="U273" i="40"/>
  <c r="Y273" i="40"/>
  <c r="N273" i="40"/>
  <c r="AA273" i="40"/>
  <c r="AE273" i="40"/>
  <c r="AB273" i="40"/>
  <c r="V273" i="40"/>
  <c r="Z273" i="40"/>
  <c r="Q273" i="40"/>
  <c r="AC273" i="40"/>
  <c r="AD273" i="40"/>
  <c r="AF273" i="40"/>
  <c r="U272" i="40"/>
  <c r="Y272" i="40"/>
  <c r="N272" i="40"/>
  <c r="AA272" i="40"/>
  <c r="AE272" i="40"/>
  <c r="AB272" i="40"/>
  <c r="V272" i="40"/>
  <c r="Z272" i="40"/>
  <c r="Q272" i="40"/>
  <c r="AC272" i="40"/>
  <c r="AD272" i="40"/>
  <c r="AF272" i="40"/>
  <c r="U271" i="40"/>
  <c r="Y271" i="40"/>
  <c r="N271" i="40"/>
  <c r="AA271" i="40"/>
  <c r="AE271" i="40"/>
  <c r="AB271" i="40"/>
  <c r="V271" i="40"/>
  <c r="Z271" i="40"/>
  <c r="Q271" i="40"/>
  <c r="AC271" i="40"/>
  <c r="AD271" i="40"/>
  <c r="AF271" i="40"/>
  <c r="U270" i="40"/>
  <c r="Y270" i="40"/>
  <c r="N270" i="40"/>
  <c r="AA270" i="40"/>
  <c r="AE270" i="40"/>
  <c r="AB270" i="40"/>
  <c r="V270" i="40"/>
  <c r="Z270" i="40"/>
  <c r="Q270" i="40"/>
  <c r="AC270" i="40"/>
  <c r="AD270" i="40"/>
  <c r="AF270" i="40"/>
  <c r="U269" i="40"/>
  <c r="Y269" i="40"/>
  <c r="N269" i="40"/>
  <c r="AA269" i="40"/>
  <c r="AE269" i="40"/>
  <c r="AB269" i="40"/>
  <c r="V269" i="40"/>
  <c r="Z269" i="40"/>
  <c r="Q269" i="40"/>
  <c r="AC269" i="40"/>
  <c r="AD269" i="40"/>
  <c r="AF269" i="40"/>
  <c r="U268" i="40"/>
  <c r="Y268" i="40"/>
  <c r="N268" i="40"/>
  <c r="AA268" i="40"/>
  <c r="AE268" i="40"/>
  <c r="AB268" i="40"/>
  <c r="V268" i="40"/>
  <c r="Z268" i="40"/>
  <c r="Q268" i="40"/>
  <c r="AC268" i="40"/>
  <c r="AD268" i="40"/>
  <c r="AF268" i="40"/>
  <c r="U267" i="40"/>
  <c r="Y267" i="40"/>
  <c r="N267" i="40"/>
  <c r="AA267" i="40"/>
  <c r="AE267" i="40"/>
  <c r="AB267" i="40"/>
  <c r="V267" i="40"/>
  <c r="Z267" i="40"/>
  <c r="Q267" i="40"/>
  <c r="AC267" i="40"/>
  <c r="AD267" i="40"/>
  <c r="AF267" i="40"/>
  <c r="U266" i="40"/>
  <c r="Y266" i="40"/>
  <c r="N266" i="40"/>
  <c r="AA266" i="40"/>
  <c r="AE266" i="40"/>
  <c r="AB266" i="40"/>
  <c r="V266" i="40"/>
  <c r="Z266" i="40"/>
  <c r="Q266" i="40"/>
  <c r="AC266" i="40"/>
  <c r="AD266" i="40"/>
  <c r="AF266" i="40"/>
  <c r="U265" i="40"/>
  <c r="Y265" i="40"/>
  <c r="N265" i="40"/>
  <c r="AA265" i="40"/>
  <c r="AE265" i="40"/>
  <c r="AB265" i="40"/>
  <c r="V265" i="40"/>
  <c r="Z265" i="40"/>
  <c r="Q265" i="40"/>
  <c r="AC265" i="40"/>
  <c r="AD265" i="40"/>
  <c r="AF265" i="40"/>
  <c r="U264" i="40"/>
  <c r="Y264" i="40"/>
  <c r="N264" i="40"/>
  <c r="AA264" i="40"/>
  <c r="AE264" i="40"/>
  <c r="AB264" i="40"/>
  <c r="V264" i="40"/>
  <c r="Z264" i="40"/>
  <c r="Q264" i="40"/>
  <c r="AC264" i="40"/>
  <c r="AD264" i="40"/>
  <c r="AF264" i="40"/>
  <c r="U263" i="40"/>
  <c r="Y263" i="40"/>
  <c r="N263" i="40"/>
  <c r="AA263" i="40"/>
  <c r="AE263" i="40"/>
  <c r="AB263" i="40"/>
  <c r="V263" i="40"/>
  <c r="Z263" i="40"/>
  <c r="Q263" i="40"/>
  <c r="AC263" i="40"/>
  <c r="AD263" i="40"/>
  <c r="AF263" i="40"/>
  <c r="U262" i="40"/>
  <c r="Y262" i="40"/>
  <c r="N262" i="40"/>
  <c r="AA262" i="40"/>
  <c r="AE262" i="40"/>
  <c r="AB262" i="40"/>
  <c r="V262" i="40"/>
  <c r="Z262" i="40"/>
  <c r="Q262" i="40"/>
  <c r="AC262" i="40"/>
  <c r="AD262" i="40"/>
  <c r="AF262" i="40"/>
  <c r="U261" i="40"/>
  <c r="Y261" i="40"/>
  <c r="N261" i="40"/>
  <c r="AA261" i="40"/>
  <c r="AE261" i="40"/>
  <c r="AB261" i="40"/>
  <c r="V261" i="40"/>
  <c r="Z261" i="40"/>
  <c r="Q261" i="40"/>
  <c r="AC261" i="40"/>
  <c r="AD261" i="40"/>
  <c r="AF261" i="40"/>
  <c r="U260" i="40"/>
  <c r="Y260" i="40"/>
  <c r="N260" i="40"/>
  <c r="AA260" i="40"/>
  <c r="AE260" i="40"/>
  <c r="AB260" i="40"/>
  <c r="V260" i="40"/>
  <c r="Z260" i="40"/>
  <c r="Q260" i="40"/>
  <c r="AC260" i="40"/>
  <c r="AD260" i="40"/>
  <c r="AF260" i="40"/>
  <c r="U259" i="40"/>
  <c r="Y259" i="40"/>
  <c r="N259" i="40"/>
  <c r="AA259" i="40"/>
  <c r="AE259" i="40"/>
  <c r="AB259" i="40"/>
  <c r="V259" i="40"/>
  <c r="Z259" i="40"/>
  <c r="Q259" i="40"/>
  <c r="AC259" i="40"/>
  <c r="AD259" i="40"/>
  <c r="AF259" i="40"/>
  <c r="U258" i="40"/>
  <c r="Y258" i="40"/>
  <c r="N258" i="40"/>
  <c r="AA258" i="40"/>
  <c r="AE258" i="40"/>
  <c r="AB258" i="40"/>
  <c r="V258" i="40"/>
  <c r="Z258" i="40"/>
  <c r="Q258" i="40"/>
  <c r="AC258" i="40"/>
  <c r="AD258" i="40"/>
  <c r="AF258" i="40"/>
  <c r="U257" i="40"/>
  <c r="Y257" i="40"/>
  <c r="N257" i="40"/>
  <c r="AA257" i="40"/>
  <c r="AE257" i="40"/>
  <c r="AB257" i="40"/>
  <c r="V257" i="40"/>
  <c r="Z257" i="40"/>
  <c r="Q257" i="40"/>
  <c r="AC257" i="40"/>
  <c r="AD257" i="40"/>
  <c r="AF257" i="40"/>
  <c r="U256" i="40"/>
  <c r="Y256" i="40"/>
  <c r="N256" i="40"/>
  <c r="AA256" i="40"/>
  <c r="AE256" i="40"/>
  <c r="AB256" i="40"/>
  <c r="V256" i="40"/>
  <c r="Z256" i="40"/>
  <c r="Q256" i="40"/>
  <c r="AC256" i="40"/>
  <c r="AD256" i="40"/>
  <c r="AF256" i="40"/>
  <c r="U255" i="40"/>
  <c r="Y255" i="40"/>
  <c r="N255" i="40"/>
  <c r="AA255" i="40"/>
  <c r="AE255" i="40"/>
  <c r="AB255" i="40"/>
  <c r="V255" i="40"/>
  <c r="Z255" i="40"/>
  <c r="Q255" i="40"/>
  <c r="AC255" i="40"/>
  <c r="AD255" i="40"/>
  <c r="AF255" i="40"/>
  <c r="U254" i="40"/>
  <c r="Y254" i="40"/>
  <c r="N254" i="40"/>
  <c r="AA254" i="40"/>
  <c r="AE254" i="40"/>
  <c r="AB254" i="40"/>
  <c r="V254" i="40"/>
  <c r="Z254" i="40"/>
  <c r="Q254" i="40"/>
  <c r="AC254" i="40"/>
  <c r="AD254" i="40"/>
  <c r="AF254" i="40"/>
  <c r="U253" i="40"/>
  <c r="Y253" i="40"/>
  <c r="N253" i="40"/>
  <c r="AA253" i="40"/>
  <c r="AE253" i="40"/>
  <c r="AB253" i="40"/>
  <c r="V253" i="40"/>
  <c r="Z253" i="40"/>
  <c r="Q253" i="40"/>
  <c r="AC253" i="40"/>
  <c r="AD253" i="40"/>
  <c r="AF253" i="40"/>
  <c r="U252" i="40"/>
  <c r="Y252" i="40"/>
  <c r="N252" i="40"/>
  <c r="AA252" i="40"/>
  <c r="AE252" i="40"/>
  <c r="AB252" i="40"/>
  <c r="V252" i="40"/>
  <c r="Z252" i="40"/>
  <c r="Q252" i="40"/>
  <c r="AC252" i="40"/>
  <c r="AD252" i="40"/>
  <c r="AF252" i="40"/>
  <c r="U251" i="40"/>
  <c r="Y251" i="40"/>
  <c r="N251" i="40"/>
  <c r="AA251" i="40"/>
  <c r="AE251" i="40"/>
  <c r="AB251" i="40"/>
  <c r="V251" i="40"/>
  <c r="Z251" i="40"/>
  <c r="Q251" i="40"/>
  <c r="AC251" i="40"/>
  <c r="AD251" i="40"/>
  <c r="AF251" i="40"/>
  <c r="U250" i="40"/>
  <c r="Y250" i="40"/>
  <c r="N250" i="40"/>
  <c r="AA250" i="40"/>
  <c r="AE250" i="40"/>
  <c r="AB250" i="40"/>
  <c r="V250" i="40"/>
  <c r="Z250" i="40"/>
  <c r="Q250" i="40"/>
  <c r="AC250" i="40"/>
  <c r="AD250" i="40"/>
  <c r="AF250" i="40"/>
  <c r="U249" i="40"/>
  <c r="Y249" i="40"/>
  <c r="N249" i="40"/>
  <c r="AA249" i="40"/>
  <c r="AE249" i="40"/>
  <c r="AB249" i="40"/>
  <c r="V249" i="40"/>
  <c r="Z249" i="40"/>
  <c r="Q249" i="40"/>
  <c r="AC249" i="40"/>
  <c r="AD249" i="40"/>
  <c r="AF249" i="40"/>
  <c r="U248" i="40"/>
  <c r="Y248" i="40"/>
  <c r="N248" i="40"/>
  <c r="AA248" i="40"/>
  <c r="AE248" i="40"/>
  <c r="AB248" i="40"/>
  <c r="V248" i="40"/>
  <c r="Z248" i="40"/>
  <c r="Q248" i="40"/>
  <c r="AC248" i="40"/>
  <c r="AD248" i="40"/>
  <c r="AF248" i="40"/>
  <c r="U247" i="40"/>
  <c r="Y247" i="40"/>
  <c r="N247" i="40"/>
  <c r="AA247" i="40"/>
  <c r="AE247" i="40"/>
  <c r="AB247" i="40"/>
  <c r="V247" i="40"/>
  <c r="Z247" i="40"/>
  <c r="Q247" i="40"/>
  <c r="AC247" i="40"/>
  <c r="AD247" i="40"/>
  <c r="AF247" i="40"/>
  <c r="U246" i="40"/>
  <c r="Y246" i="40"/>
  <c r="N246" i="40"/>
  <c r="AA246" i="40"/>
  <c r="AE246" i="40"/>
  <c r="AB246" i="40"/>
  <c r="V246" i="40"/>
  <c r="Z246" i="40"/>
  <c r="Q246" i="40"/>
  <c r="AC246" i="40"/>
  <c r="AD246" i="40"/>
  <c r="AF246" i="40"/>
  <c r="U245" i="40"/>
  <c r="Y245" i="40"/>
  <c r="N245" i="40"/>
  <c r="AA245" i="40"/>
  <c r="AE245" i="40"/>
  <c r="AB245" i="40"/>
  <c r="V245" i="40"/>
  <c r="Z245" i="40"/>
  <c r="Q245" i="40"/>
  <c r="AC245" i="40"/>
  <c r="AD245" i="40"/>
  <c r="AF245" i="40"/>
  <c r="U244" i="40"/>
  <c r="Y244" i="40"/>
  <c r="N244" i="40"/>
  <c r="AA244" i="40"/>
  <c r="AE244" i="40"/>
  <c r="AB244" i="40"/>
  <c r="V244" i="40"/>
  <c r="Z244" i="40"/>
  <c r="Q244" i="40"/>
  <c r="AC244" i="40"/>
  <c r="AD244" i="40"/>
  <c r="AF244" i="40"/>
  <c r="U243" i="40"/>
  <c r="Y243" i="40"/>
  <c r="N243" i="40"/>
  <c r="AA243" i="40"/>
  <c r="AE243" i="40"/>
  <c r="AB243" i="40"/>
  <c r="V243" i="40"/>
  <c r="Z243" i="40"/>
  <c r="Q243" i="40"/>
  <c r="AC243" i="40"/>
  <c r="AD243" i="40"/>
  <c r="AF243" i="40"/>
  <c r="U242" i="40"/>
  <c r="Y242" i="40"/>
  <c r="N242" i="40"/>
  <c r="AA242" i="40"/>
  <c r="AE242" i="40"/>
  <c r="AB242" i="40"/>
  <c r="V242" i="40"/>
  <c r="Z242" i="40"/>
  <c r="Q242" i="40"/>
  <c r="AC242" i="40"/>
  <c r="AD242" i="40"/>
  <c r="AF242" i="40"/>
  <c r="U241" i="40"/>
  <c r="Y241" i="40"/>
  <c r="N241" i="40"/>
  <c r="AA241" i="40"/>
  <c r="AE241" i="40"/>
  <c r="AB241" i="40"/>
  <c r="V241" i="40"/>
  <c r="Z241" i="40"/>
  <c r="Q241" i="40"/>
  <c r="AC241" i="40"/>
  <c r="AD241" i="40"/>
  <c r="AF241" i="40"/>
  <c r="U240" i="40"/>
  <c r="Y240" i="40"/>
  <c r="N240" i="40"/>
  <c r="AA240" i="40"/>
  <c r="AE240" i="40"/>
  <c r="AB240" i="40"/>
  <c r="V240" i="40"/>
  <c r="Z240" i="40"/>
  <c r="Q240" i="40"/>
  <c r="AC240" i="40"/>
  <c r="AD240" i="40"/>
  <c r="AF240" i="40"/>
  <c r="U239" i="40"/>
  <c r="Y239" i="40"/>
  <c r="N239" i="40"/>
  <c r="AA239" i="40"/>
  <c r="AE239" i="40"/>
  <c r="AB239" i="40"/>
  <c r="V239" i="40"/>
  <c r="Z239" i="40"/>
  <c r="Q239" i="40"/>
  <c r="AC239" i="40"/>
  <c r="AD239" i="40"/>
  <c r="AF239" i="40"/>
  <c r="U238" i="40"/>
  <c r="Y238" i="40"/>
  <c r="N238" i="40"/>
  <c r="AA238" i="40"/>
  <c r="AE238" i="40"/>
  <c r="AB238" i="40"/>
  <c r="V238" i="40"/>
  <c r="Z238" i="40"/>
  <c r="Q238" i="40"/>
  <c r="AC238" i="40"/>
  <c r="AD238" i="40"/>
  <c r="AF238" i="40"/>
  <c r="U237" i="40"/>
  <c r="Y237" i="40"/>
  <c r="N237" i="40"/>
  <c r="AA237" i="40"/>
  <c r="AE237" i="40"/>
  <c r="AB237" i="40"/>
  <c r="V237" i="40"/>
  <c r="Z237" i="40"/>
  <c r="Q237" i="40"/>
  <c r="AC237" i="40"/>
  <c r="AD237" i="40"/>
  <c r="AF237" i="40"/>
  <c r="U236" i="40"/>
  <c r="Y236" i="40"/>
  <c r="N236" i="40"/>
  <c r="AA236" i="40"/>
  <c r="AE236" i="40"/>
  <c r="AB236" i="40"/>
  <c r="V236" i="40"/>
  <c r="Z236" i="40"/>
  <c r="Q236" i="40"/>
  <c r="AC236" i="40"/>
  <c r="AD236" i="40"/>
  <c r="AF236" i="40"/>
  <c r="U235" i="40"/>
  <c r="Y235" i="40"/>
  <c r="N235" i="40"/>
  <c r="AA235" i="40"/>
  <c r="AE235" i="40"/>
  <c r="AB235" i="40"/>
  <c r="V235" i="40"/>
  <c r="Z235" i="40"/>
  <c r="Q235" i="40"/>
  <c r="AC235" i="40"/>
  <c r="AD235" i="40"/>
  <c r="AF235" i="40"/>
  <c r="U234" i="40"/>
  <c r="Y234" i="40"/>
  <c r="N234" i="40"/>
  <c r="AA234" i="40"/>
  <c r="AE234" i="40"/>
  <c r="AB234" i="40"/>
  <c r="V234" i="40"/>
  <c r="Z234" i="40"/>
  <c r="Q234" i="40"/>
  <c r="AC234" i="40"/>
  <c r="AD234" i="40"/>
  <c r="AF234" i="40"/>
  <c r="U233" i="40"/>
  <c r="Y233" i="40"/>
  <c r="N233" i="40"/>
  <c r="AA233" i="40"/>
  <c r="AE233" i="40"/>
  <c r="AB233" i="40"/>
  <c r="V233" i="40"/>
  <c r="Z233" i="40"/>
  <c r="Q233" i="40"/>
  <c r="AC233" i="40"/>
  <c r="AD233" i="40"/>
  <c r="AF233" i="40"/>
  <c r="U232" i="40"/>
  <c r="Y232" i="40"/>
  <c r="N232" i="40"/>
  <c r="AA232" i="40"/>
  <c r="AE232" i="40"/>
  <c r="AB232" i="40"/>
  <c r="V232" i="40"/>
  <c r="Z232" i="40"/>
  <c r="Q232" i="40"/>
  <c r="AC232" i="40"/>
  <c r="AD232" i="40"/>
  <c r="AF232" i="40"/>
  <c r="U231" i="40"/>
  <c r="Y231" i="40"/>
  <c r="N231" i="40"/>
  <c r="AA231" i="40"/>
  <c r="AE231" i="40"/>
  <c r="AB231" i="40"/>
  <c r="V231" i="40"/>
  <c r="Z231" i="40"/>
  <c r="Q231" i="40"/>
  <c r="AC231" i="40"/>
  <c r="AD231" i="40"/>
  <c r="AF231" i="40"/>
  <c r="U230" i="40"/>
  <c r="Y230" i="40"/>
  <c r="N230" i="40"/>
  <c r="AA230" i="40"/>
  <c r="AE230" i="40"/>
  <c r="AB230" i="40"/>
  <c r="V230" i="40"/>
  <c r="Z230" i="40"/>
  <c r="Q230" i="40"/>
  <c r="AC230" i="40"/>
  <c r="AD230" i="40"/>
  <c r="AF230" i="40"/>
  <c r="U229" i="40"/>
  <c r="Y229" i="40"/>
  <c r="N229" i="40"/>
  <c r="AA229" i="40"/>
  <c r="AE229" i="40"/>
  <c r="AB229" i="40"/>
  <c r="V229" i="40"/>
  <c r="Z229" i="40"/>
  <c r="Q229" i="40"/>
  <c r="AC229" i="40"/>
  <c r="AD229" i="40"/>
  <c r="AF229" i="40"/>
  <c r="U228" i="40"/>
  <c r="Y228" i="40"/>
  <c r="N228" i="40"/>
  <c r="AA228" i="40"/>
  <c r="AE228" i="40"/>
  <c r="AB228" i="40"/>
  <c r="V228" i="40"/>
  <c r="Z228" i="40"/>
  <c r="Q228" i="40"/>
  <c r="AC228" i="40"/>
  <c r="AD228" i="40"/>
  <c r="AF228" i="40"/>
  <c r="U227" i="40"/>
  <c r="Y227" i="40"/>
  <c r="N227" i="40"/>
  <c r="AA227" i="40"/>
  <c r="AE227" i="40"/>
  <c r="AB227" i="40"/>
  <c r="V227" i="40"/>
  <c r="Z227" i="40"/>
  <c r="Q227" i="40"/>
  <c r="AC227" i="40"/>
  <c r="AD227" i="40"/>
  <c r="AF227" i="40"/>
  <c r="U226" i="40"/>
  <c r="Y226" i="40"/>
  <c r="N226" i="40"/>
  <c r="AA226" i="40"/>
  <c r="AE226" i="40"/>
  <c r="AB226" i="40"/>
  <c r="V226" i="40"/>
  <c r="Z226" i="40"/>
  <c r="Q226" i="40"/>
  <c r="AC226" i="40"/>
  <c r="AD226" i="40"/>
  <c r="AF226" i="40"/>
  <c r="U225" i="40"/>
  <c r="Y225" i="40"/>
  <c r="N225" i="40"/>
  <c r="AA225" i="40"/>
  <c r="AE225" i="40"/>
  <c r="AB225" i="40"/>
  <c r="V225" i="40"/>
  <c r="Z225" i="40"/>
  <c r="Q225" i="40"/>
  <c r="AC225" i="40"/>
  <c r="AD225" i="40"/>
  <c r="AF225" i="40"/>
  <c r="U224" i="40"/>
  <c r="Y224" i="40"/>
  <c r="N224" i="40"/>
  <c r="AA224" i="40"/>
  <c r="AE224" i="40"/>
  <c r="AB224" i="40"/>
  <c r="V224" i="40"/>
  <c r="Z224" i="40"/>
  <c r="Q224" i="40"/>
  <c r="AC224" i="40"/>
  <c r="AD224" i="40"/>
  <c r="AF224" i="40"/>
  <c r="U223" i="40"/>
  <c r="Y223" i="40"/>
  <c r="N223" i="40"/>
  <c r="AA223" i="40"/>
  <c r="AE223" i="40"/>
  <c r="AB223" i="40"/>
  <c r="V223" i="40"/>
  <c r="Z223" i="40"/>
  <c r="Q223" i="40"/>
  <c r="AC223" i="40"/>
  <c r="AD223" i="40"/>
  <c r="AF223" i="40"/>
  <c r="U222" i="40"/>
  <c r="Y222" i="40"/>
  <c r="N222" i="40"/>
  <c r="AA222" i="40"/>
  <c r="AE222" i="40"/>
  <c r="AB222" i="40"/>
  <c r="V222" i="40"/>
  <c r="Z222" i="40"/>
  <c r="Q222" i="40"/>
  <c r="AC222" i="40"/>
  <c r="AD222" i="40"/>
  <c r="AF222" i="40"/>
  <c r="U221" i="40"/>
  <c r="Y221" i="40"/>
  <c r="N221" i="40"/>
  <c r="AA221" i="40"/>
  <c r="AE221" i="40"/>
  <c r="AB221" i="40"/>
  <c r="V221" i="40"/>
  <c r="Z221" i="40"/>
  <c r="Q221" i="40"/>
  <c r="AC221" i="40"/>
  <c r="AD221" i="40"/>
  <c r="AF221" i="40"/>
  <c r="U220" i="40"/>
  <c r="Y220" i="40"/>
  <c r="N220" i="40"/>
  <c r="AA220" i="40"/>
  <c r="AE220" i="40"/>
  <c r="AB220" i="40"/>
  <c r="V220" i="40"/>
  <c r="Z220" i="40"/>
  <c r="Q220" i="40"/>
  <c r="AC220" i="40"/>
  <c r="AD220" i="40"/>
  <c r="AF220" i="40"/>
  <c r="U219" i="40"/>
  <c r="Y219" i="40"/>
  <c r="N219" i="40"/>
  <c r="AA219" i="40"/>
  <c r="AE219" i="40"/>
  <c r="AB219" i="40"/>
  <c r="V219" i="40"/>
  <c r="Z219" i="40"/>
  <c r="Q219" i="40"/>
  <c r="AC219" i="40"/>
  <c r="AD219" i="40"/>
  <c r="AF219" i="40"/>
  <c r="U218" i="40"/>
  <c r="Y218" i="40"/>
  <c r="N218" i="40"/>
  <c r="AA218" i="40"/>
  <c r="AE218" i="40"/>
  <c r="AB218" i="40"/>
  <c r="V218" i="40"/>
  <c r="Z218" i="40"/>
  <c r="Q218" i="40"/>
  <c r="AC218" i="40"/>
  <c r="AD218" i="40"/>
  <c r="AF218" i="40"/>
  <c r="U217" i="40"/>
  <c r="Y217" i="40"/>
  <c r="N217" i="40"/>
  <c r="AA217" i="40"/>
  <c r="AE217" i="40"/>
  <c r="AB217" i="40"/>
  <c r="V217" i="40"/>
  <c r="Z217" i="40"/>
  <c r="Q217" i="40"/>
  <c r="AC217" i="40"/>
  <c r="AD217" i="40"/>
  <c r="AF217" i="40"/>
  <c r="U216" i="40"/>
  <c r="Y216" i="40"/>
  <c r="N216" i="40"/>
  <c r="AA216" i="40"/>
  <c r="AE216" i="40"/>
  <c r="AB216" i="40"/>
  <c r="V216" i="40"/>
  <c r="Z216" i="40"/>
  <c r="Q216" i="40"/>
  <c r="AC216" i="40"/>
  <c r="AD216" i="40"/>
  <c r="AF216" i="40"/>
  <c r="U215" i="40"/>
  <c r="Y215" i="40"/>
  <c r="N215" i="40"/>
  <c r="AA215" i="40"/>
  <c r="AE215" i="40"/>
  <c r="AB215" i="40"/>
  <c r="V215" i="40"/>
  <c r="Z215" i="40"/>
  <c r="Q215" i="40"/>
  <c r="AC215" i="40"/>
  <c r="AD215" i="40"/>
  <c r="AF215" i="40"/>
  <c r="U214" i="40"/>
  <c r="Y214" i="40"/>
  <c r="N214" i="40"/>
  <c r="AA214" i="40"/>
  <c r="AE214" i="40"/>
  <c r="AB214" i="40"/>
  <c r="V214" i="40"/>
  <c r="Z214" i="40"/>
  <c r="Q214" i="40"/>
  <c r="AC214" i="40"/>
  <c r="AD214" i="40"/>
  <c r="AF214" i="40"/>
  <c r="U213" i="40"/>
  <c r="Y213" i="40"/>
  <c r="N213" i="40"/>
  <c r="AA213" i="40"/>
  <c r="AE213" i="40"/>
  <c r="AB213" i="40"/>
  <c r="V213" i="40"/>
  <c r="Z213" i="40"/>
  <c r="Q213" i="40"/>
  <c r="AC213" i="40"/>
  <c r="AD213" i="40"/>
  <c r="AF213" i="40"/>
  <c r="U212" i="40"/>
  <c r="Y212" i="40"/>
  <c r="N212" i="40"/>
  <c r="AA212" i="40"/>
  <c r="AE212" i="40"/>
  <c r="AB212" i="40"/>
  <c r="V212" i="40"/>
  <c r="Z212" i="40"/>
  <c r="Q212" i="40"/>
  <c r="AC212" i="40"/>
  <c r="AD212" i="40"/>
  <c r="AF212" i="40"/>
  <c r="U211" i="40"/>
  <c r="Y211" i="40"/>
  <c r="N211" i="40"/>
  <c r="AA211" i="40"/>
  <c r="AE211" i="40"/>
  <c r="AB211" i="40"/>
  <c r="V211" i="40"/>
  <c r="Z211" i="40"/>
  <c r="Q211" i="40"/>
  <c r="AC211" i="40"/>
  <c r="AD211" i="40"/>
  <c r="AF211" i="40"/>
  <c r="U210" i="40"/>
  <c r="Y210" i="40"/>
  <c r="N210" i="40"/>
  <c r="AA210" i="40"/>
  <c r="AE210" i="40"/>
  <c r="AB210" i="40"/>
  <c r="V210" i="40"/>
  <c r="Z210" i="40"/>
  <c r="Q210" i="40"/>
  <c r="AC210" i="40"/>
  <c r="AD210" i="40"/>
  <c r="AF210" i="40"/>
  <c r="U209" i="40"/>
  <c r="Y209" i="40"/>
  <c r="N209" i="40"/>
  <c r="AA209" i="40"/>
  <c r="AE209" i="40"/>
  <c r="AB209" i="40"/>
  <c r="V209" i="40"/>
  <c r="Z209" i="40"/>
  <c r="Q209" i="40"/>
  <c r="AC209" i="40"/>
  <c r="AD209" i="40"/>
  <c r="AF209" i="40"/>
  <c r="U208" i="40"/>
  <c r="Y208" i="40"/>
  <c r="N208" i="40"/>
  <c r="AA208" i="40"/>
  <c r="AE208" i="40"/>
  <c r="AB208" i="40"/>
  <c r="V208" i="40"/>
  <c r="Z208" i="40"/>
  <c r="Q208" i="40"/>
  <c r="AC208" i="40"/>
  <c r="AD208" i="40"/>
  <c r="AF208" i="40"/>
  <c r="U207" i="40"/>
  <c r="Y207" i="40"/>
  <c r="N207" i="40"/>
  <c r="AA207" i="40"/>
  <c r="AE207" i="40"/>
  <c r="AB207" i="40"/>
  <c r="V207" i="40"/>
  <c r="Z207" i="40"/>
  <c r="Q207" i="40"/>
  <c r="AC207" i="40"/>
  <c r="AD207" i="40"/>
  <c r="AF207" i="40"/>
  <c r="U206" i="40"/>
  <c r="Y206" i="40"/>
  <c r="N206" i="40"/>
  <c r="AA206" i="40"/>
  <c r="AE206" i="40"/>
  <c r="AB206" i="40"/>
  <c r="V206" i="40"/>
  <c r="Z206" i="40"/>
  <c r="Q206" i="40"/>
  <c r="AC206" i="40"/>
  <c r="AD206" i="40"/>
  <c r="AF206" i="40"/>
  <c r="U205" i="40"/>
  <c r="Y205" i="40"/>
  <c r="N205" i="40"/>
  <c r="AA205" i="40"/>
  <c r="AE205" i="40"/>
  <c r="AB205" i="40"/>
  <c r="V205" i="40"/>
  <c r="Z205" i="40"/>
  <c r="Q205" i="40"/>
  <c r="AC205" i="40"/>
  <c r="AD205" i="40"/>
  <c r="AF205" i="40"/>
  <c r="U204" i="40"/>
  <c r="Y204" i="40"/>
  <c r="N204" i="40"/>
  <c r="AA204" i="40"/>
  <c r="AE204" i="40"/>
  <c r="AB204" i="40"/>
  <c r="V204" i="40"/>
  <c r="Z204" i="40"/>
  <c r="Q204" i="40"/>
  <c r="AC204" i="40"/>
  <c r="AD204" i="40"/>
  <c r="AF204" i="40"/>
  <c r="U203" i="40"/>
  <c r="Y203" i="40"/>
  <c r="N203" i="40"/>
  <c r="AA203" i="40"/>
  <c r="AE203" i="40"/>
  <c r="AB203" i="40"/>
  <c r="V203" i="40"/>
  <c r="Z203" i="40"/>
  <c r="Q203" i="40"/>
  <c r="AC203" i="40"/>
  <c r="AD203" i="40"/>
  <c r="AF203" i="40"/>
  <c r="U202" i="40"/>
  <c r="Y202" i="40"/>
  <c r="N202" i="40"/>
  <c r="AA202" i="40"/>
  <c r="AE202" i="40"/>
  <c r="AB202" i="40"/>
  <c r="V202" i="40"/>
  <c r="Z202" i="40"/>
  <c r="Q202" i="40"/>
  <c r="AC202" i="40"/>
  <c r="AD202" i="40"/>
  <c r="AF202" i="40"/>
  <c r="U201" i="40"/>
  <c r="Y201" i="40"/>
  <c r="N201" i="40"/>
  <c r="AA201" i="40"/>
  <c r="AE201" i="40"/>
  <c r="AB201" i="40"/>
  <c r="V201" i="40"/>
  <c r="Z201" i="40"/>
  <c r="Q201" i="40"/>
  <c r="AC201" i="40"/>
  <c r="AD201" i="40"/>
  <c r="AF201" i="40"/>
  <c r="U200" i="40"/>
  <c r="Y200" i="40"/>
  <c r="N200" i="40"/>
  <c r="AA200" i="40"/>
  <c r="AE200" i="40"/>
  <c r="AB200" i="40"/>
  <c r="V200" i="40"/>
  <c r="Z200" i="40"/>
  <c r="Q200" i="40"/>
  <c r="AC200" i="40"/>
  <c r="AD200" i="40"/>
  <c r="AF200" i="40"/>
  <c r="U199" i="40"/>
  <c r="Y199" i="40"/>
  <c r="N199" i="40"/>
  <c r="AA199" i="40"/>
  <c r="AE199" i="40"/>
  <c r="AB199" i="40"/>
  <c r="V199" i="40"/>
  <c r="Z199" i="40"/>
  <c r="Q199" i="40"/>
  <c r="AC199" i="40"/>
  <c r="AD199" i="40"/>
  <c r="AF199" i="40"/>
  <c r="U198" i="40"/>
  <c r="Y198" i="40"/>
  <c r="N198" i="40"/>
  <c r="AA198" i="40"/>
  <c r="AE198" i="40"/>
  <c r="AB198" i="40"/>
  <c r="V198" i="40"/>
  <c r="Z198" i="40"/>
  <c r="Q198" i="40"/>
  <c r="AC198" i="40"/>
  <c r="AD198" i="40"/>
  <c r="AF198" i="40"/>
  <c r="U197" i="40"/>
  <c r="Y197" i="40"/>
  <c r="N197" i="40"/>
  <c r="AA197" i="40"/>
  <c r="AE197" i="40"/>
  <c r="AB197" i="40"/>
  <c r="V197" i="40"/>
  <c r="Z197" i="40"/>
  <c r="Q197" i="40"/>
  <c r="AC197" i="40"/>
  <c r="AD197" i="40"/>
  <c r="AF197" i="40"/>
  <c r="U196" i="40"/>
  <c r="Y196" i="40"/>
  <c r="N196" i="40"/>
  <c r="AA196" i="40"/>
  <c r="AE196" i="40"/>
  <c r="AB196" i="40"/>
  <c r="V196" i="40"/>
  <c r="Z196" i="40"/>
  <c r="Q196" i="40"/>
  <c r="AC196" i="40"/>
  <c r="AD196" i="40"/>
  <c r="AF196" i="40"/>
  <c r="U195" i="40"/>
  <c r="Y195" i="40"/>
  <c r="N195" i="40"/>
  <c r="AA195" i="40"/>
  <c r="AE195" i="40"/>
  <c r="AB195" i="40"/>
  <c r="V195" i="40"/>
  <c r="Z195" i="40"/>
  <c r="Q195" i="40"/>
  <c r="AC195" i="40"/>
  <c r="AD195" i="40"/>
  <c r="AF195" i="40"/>
  <c r="U194" i="40"/>
  <c r="Y194" i="40"/>
  <c r="N194" i="40"/>
  <c r="AA194" i="40"/>
  <c r="AE194" i="40"/>
  <c r="AB194" i="40"/>
  <c r="V194" i="40"/>
  <c r="Z194" i="40"/>
  <c r="Q194" i="40"/>
  <c r="AC194" i="40"/>
  <c r="AD194" i="40"/>
  <c r="AF194" i="40"/>
  <c r="U193" i="40"/>
  <c r="Y193" i="40"/>
  <c r="N193" i="40"/>
  <c r="AA193" i="40"/>
  <c r="AE193" i="40"/>
  <c r="AB193" i="40"/>
  <c r="V193" i="40"/>
  <c r="Z193" i="40"/>
  <c r="Q193" i="40"/>
  <c r="AC193" i="40"/>
  <c r="AD193" i="40"/>
  <c r="AF193" i="40"/>
  <c r="U192" i="40"/>
  <c r="Y192" i="40"/>
  <c r="N192" i="40"/>
  <c r="AA192" i="40"/>
  <c r="AE192" i="40"/>
  <c r="AB192" i="40"/>
  <c r="V192" i="40"/>
  <c r="Z192" i="40"/>
  <c r="Q192" i="40"/>
  <c r="AC192" i="40"/>
  <c r="AD192" i="40"/>
  <c r="AF192" i="40"/>
  <c r="U191" i="40"/>
  <c r="Y191" i="40"/>
  <c r="N191" i="40"/>
  <c r="AA191" i="40"/>
  <c r="AE191" i="40"/>
  <c r="AB191" i="40"/>
  <c r="V191" i="40"/>
  <c r="Z191" i="40"/>
  <c r="Q191" i="40"/>
  <c r="AC191" i="40"/>
  <c r="AD191" i="40"/>
  <c r="AF191" i="40"/>
  <c r="U190" i="40"/>
  <c r="Y190" i="40"/>
  <c r="N190" i="40"/>
  <c r="AA190" i="40"/>
  <c r="AE190" i="40"/>
  <c r="AB190" i="40"/>
  <c r="V190" i="40"/>
  <c r="Z190" i="40"/>
  <c r="Q190" i="40"/>
  <c r="AC190" i="40"/>
  <c r="AD190" i="40"/>
  <c r="AF190" i="40"/>
  <c r="U189" i="40"/>
  <c r="Y189" i="40"/>
  <c r="N189" i="40"/>
  <c r="AA189" i="40"/>
  <c r="AE189" i="40"/>
  <c r="AB189" i="40"/>
  <c r="V189" i="40"/>
  <c r="Z189" i="40"/>
  <c r="Q189" i="40"/>
  <c r="AC189" i="40"/>
  <c r="AD189" i="40"/>
  <c r="AF189" i="40"/>
  <c r="U188" i="40"/>
  <c r="Y188" i="40"/>
  <c r="N188" i="40"/>
  <c r="AA188" i="40"/>
  <c r="AE188" i="40"/>
  <c r="AB188" i="40"/>
  <c r="V188" i="40"/>
  <c r="Z188" i="40"/>
  <c r="Q188" i="40"/>
  <c r="AC188" i="40"/>
  <c r="AD188" i="40"/>
  <c r="AF188" i="40"/>
  <c r="U187" i="40"/>
  <c r="Y187" i="40"/>
  <c r="N187" i="40"/>
  <c r="AA187" i="40"/>
  <c r="AE187" i="40"/>
  <c r="AB187" i="40"/>
  <c r="V187" i="40"/>
  <c r="Z187" i="40"/>
  <c r="Q187" i="40"/>
  <c r="AC187" i="40"/>
  <c r="AD187" i="40"/>
  <c r="AF187" i="40"/>
  <c r="U186" i="40"/>
  <c r="Y186" i="40"/>
  <c r="N186" i="40"/>
  <c r="AA186" i="40"/>
  <c r="AE186" i="40"/>
  <c r="AB186" i="40"/>
  <c r="V186" i="40"/>
  <c r="Z186" i="40"/>
  <c r="Q186" i="40"/>
  <c r="AC186" i="40"/>
  <c r="AD186" i="40"/>
  <c r="AF186" i="40"/>
  <c r="U185" i="40"/>
  <c r="Y185" i="40"/>
  <c r="N185" i="40"/>
  <c r="AA185" i="40"/>
  <c r="AE185" i="40"/>
  <c r="AB185" i="40"/>
  <c r="V185" i="40"/>
  <c r="Z185" i="40"/>
  <c r="Q185" i="40"/>
  <c r="AC185" i="40"/>
  <c r="AD185" i="40"/>
  <c r="AF185" i="40"/>
  <c r="U184" i="40"/>
  <c r="Y184" i="40"/>
  <c r="N184" i="40"/>
  <c r="AA184" i="40"/>
  <c r="AE184" i="40"/>
  <c r="AB184" i="40"/>
  <c r="V184" i="40"/>
  <c r="Z184" i="40"/>
  <c r="Q184" i="40"/>
  <c r="AC184" i="40"/>
  <c r="AD184" i="40"/>
  <c r="AF184" i="40"/>
  <c r="U183" i="40"/>
  <c r="Y183" i="40"/>
  <c r="N183" i="40"/>
  <c r="AA183" i="40"/>
  <c r="AE183" i="40"/>
  <c r="AB183" i="40"/>
  <c r="V183" i="40"/>
  <c r="Z183" i="40"/>
  <c r="Q183" i="40"/>
  <c r="AC183" i="40"/>
  <c r="AD183" i="40"/>
  <c r="AF183" i="40"/>
  <c r="U182" i="40"/>
  <c r="Y182" i="40"/>
  <c r="N182" i="40"/>
  <c r="AA182" i="40"/>
  <c r="AE182" i="40"/>
  <c r="AB182" i="40"/>
  <c r="V182" i="40"/>
  <c r="Z182" i="40"/>
  <c r="Q182" i="40"/>
  <c r="AC182" i="40"/>
  <c r="AD182" i="40"/>
  <c r="AF182" i="40"/>
  <c r="U181" i="40"/>
  <c r="Y181" i="40"/>
  <c r="N181" i="40"/>
  <c r="AA181" i="40"/>
  <c r="AE181" i="40"/>
  <c r="AB181" i="40"/>
  <c r="V181" i="40"/>
  <c r="Z181" i="40"/>
  <c r="Q181" i="40"/>
  <c r="AC181" i="40"/>
  <c r="AD181" i="40"/>
  <c r="AF181" i="40"/>
  <c r="U180" i="40"/>
  <c r="Y180" i="40"/>
  <c r="N180" i="40"/>
  <c r="AA180" i="40"/>
  <c r="AE180" i="40"/>
  <c r="AB180" i="40"/>
  <c r="V180" i="40"/>
  <c r="Z180" i="40"/>
  <c r="Q180" i="40"/>
  <c r="AC180" i="40"/>
  <c r="AD180" i="40"/>
  <c r="AF180" i="40"/>
  <c r="U179" i="40"/>
  <c r="Y179" i="40"/>
  <c r="N179" i="40"/>
  <c r="AA179" i="40"/>
  <c r="AE179" i="40"/>
  <c r="AB179" i="40"/>
  <c r="V179" i="40"/>
  <c r="Z179" i="40"/>
  <c r="Q179" i="40"/>
  <c r="AC179" i="40"/>
  <c r="AD179" i="40"/>
  <c r="AF179" i="40"/>
  <c r="U178" i="40"/>
  <c r="Y178" i="40"/>
  <c r="N178" i="40"/>
  <c r="AA178" i="40"/>
  <c r="AE178" i="40"/>
  <c r="AB178" i="40"/>
  <c r="V178" i="40"/>
  <c r="Z178" i="40"/>
  <c r="Q178" i="40"/>
  <c r="AC178" i="40"/>
  <c r="AD178" i="40"/>
  <c r="AF178" i="40"/>
  <c r="U177" i="40"/>
  <c r="Y177" i="40"/>
  <c r="N177" i="40"/>
  <c r="AA177" i="40"/>
  <c r="AE177" i="40"/>
  <c r="AB177" i="40"/>
  <c r="V177" i="40"/>
  <c r="Z177" i="40"/>
  <c r="Q177" i="40"/>
  <c r="AC177" i="40"/>
  <c r="AD177" i="40"/>
  <c r="AF177" i="40"/>
  <c r="U176" i="40"/>
  <c r="Y176" i="40"/>
  <c r="N176" i="40"/>
  <c r="AA176" i="40"/>
  <c r="AE176" i="40"/>
  <c r="AB176" i="40"/>
  <c r="V176" i="40"/>
  <c r="Z176" i="40"/>
  <c r="Q176" i="40"/>
  <c r="AC176" i="40"/>
  <c r="AD176" i="40"/>
  <c r="AF176" i="40"/>
  <c r="U175" i="40"/>
  <c r="Y175" i="40"/>
  <c r="N175" i="40"/>
  <c r="AA175" i="40"/>
  <c r="AE175" i="40"/>
  <c r="AB175" i="40"/>
  <c r="V175" i="40"/>
  <c r="Z175" i="40"/>
  <c r="Q175" i="40"/>
  <c r="AC175" i="40"/>
  <c r="AD175" i="40"/>
  <c r="AF175" i="40"/>
  <c r="U174" i="40"/>
  <c r="Y174" i="40"/>
  <c r="N174" i="40"/>
  <c r="AA174" i="40"/>
  <c r="AE174" i="40"/>
  <c r="AB174" i="40"/>
  <c r="V174" i="40"/>
  <c r="Z174" i="40"/>
  <c r="Q174" i="40"/>
  <c r="AC174" i="40"/>
  <c r="AD174" i="40"/>
  <c r="AF174" i="40"/>
  <c r="U173" i="40"/>
  <c r="Y173" i="40"/>
  <c r="N173" i="40"/>
  <c r="AA173" i="40"/>
  <c r="AE173" i="40"/>
  <c r="AB173" i="40"/>
  <c r="V173" i="40"/>
  <c r="Z173" i="40"/>
  <c r="Q173" i="40"/>
  <c r="AC173" i="40"/>
  <c r="AD173" i="40"/>
  <c r="AF173" i="40"/>
  <c r="U172" i="40"/>
  <c r="Y172" i="40"/>
  <c r="N172" i="40"/>
  <c r="AA172" i="40"/>
  <c r="AE172" i="40"/>
  <c r="AB172" i="40"/>
  <c r="V172" i="40"/>
  <c r="Z172" i="40"/>
  <c r="Q172" i="40"/>
  <c r="AC172" i="40"/>
  <c r="AD172" i="40"/>
  <c r="AF172" i="40"/>
  <c r="U171" i="40"/>
  <c r="Y171" i="40"/>
  <c r="N171" i="40"/>
  <c r="AA171" i="40"/>
  <c r="AE171" i="40"/>
  <c r="AB171" i="40"/>
  <c r="V171" i="40"/>
  <c r="Z171" i="40"/>
  <c r="Q171" i="40"/>
  <c r="AC171" i="40"/>
  <c r="AD171" i="40"/>
  <c r="AF171" i="40"/>
  <c r="U170" i="40"/>
  <c r="Y170" i="40"/>
  <c r="N170" i="40"/>
  <c r="AA170" i="40"/>
  <c r="AE170" i="40"/>
  <c r="AB170" i="40"/>
  <c r="V170" i="40"/>
  <c r="Z170" i="40"/>
  <c r="Q170" i="40"/>
  <c r="AC170" i="40"/>
  <c r="AD170" i="40"/>
  <c r="AF170" i="40"/>
  <c r="U169" i="40"/>
  <c r="Y169" i="40"/>
  <c r="N169" i="40"/>
  <c r="AA169" i="40"/>
  <c r="AE169" i="40"/>
  <c r="AB169" i="40"/>
  <c r="V169" i="40"/>
  <c r="Z169" i="40"/>
  <c r="Q169" i="40"/>
  <c r="AC169" i="40"/>
  <c r="AD169" i="40"/>
  <c r="AF169" i="40"/>
  <c r="U168" i="40"/>
  <c r="Y168" i="40"/>
  <c r="N168" i="40"/>
  <c r="AA168" i="40"/>
  <c r="AE168" i="40"/>
  <c r="AB168" i="40"/>
  <c r="V168" i="40"/>
  <c r="Z168" i="40"/>
  <c r="Q168" i="40"/>
  <c r="AC168" i="40"/>
  <c r="AD168" i="40"/>
  <c r="AF168" i="40"/>
  <c r="U167" i="40"/>
  <c r="Y167" i="40"/>
  <c r="N167" i="40"/>
  <c r="AA167" i="40"/>
  <c r="AE167" i="40"/>
  <c r="AB167" i="40"/>
  <c r="V167" i="40"/>
  <c r="Z167" i="40"/>
  <c r="Q167" i="40"/>
  <c r="AC167" i="40"/>
  <c r="AD167" i="40"/>
  <c r="AF167" i="40"/>
  <c r="U166" i="40"/>
  <c r="Y166" i="40"/>
  <c r="N166" i="40"/>
  <c r="AA166" i="40"/>
  <c r="AE166" i="40"/>
  <c r="AB166" i="40"/>
  <c r="V166" i="40"/>
  <c r="Z166" i="40"/>
  <c r="Q166" i="40"/>
  <c r="AC166" i="40"/>
  <c r="AD166" i="40"/>
  <c r="AF166" i="40"/>
  <c r="U165" i="40"/>
  <c r="Y165" i="40"/>
  <c r="N165" i="40"/>
  <c r="AA165" i="40"/>
  <c r="AE165" i="40"/>
  <c r="AB165" i="40"/>
  <c r="V165" i="40"/>
  <c r="Z165" i="40"/>
  <c r="Q165" i="40"/>
  <c r="AC165" i="40"/>
  <c r="AD165" i="40"/>
  <c r="AF165" i="40"/>
  <c r="U164" i="40"/>
  <c r="Y164" i="40"/>
  <c r="N164" i="40"/>
  <c r="AA164" i="40"/>
  <c r="AE164" i="40"/>
  <c r="AB164" i="40"/>
  <c r="V164" i="40"/>
  <c r="Z164" i="40"/>
  <c r="Q164" i="40"/>
  <c r="AC164" i="40"/>
  <c r="AD164" i="40"/>
  <c r="AF164" i="40"/>
  <c r="U163" i="40"/>
  <c r="Y163" i="40"/>
  <c r="N163" i="40"/>
  <c r="AA163" i="40"/>
  <c r="AE163" i="40"/>
  <c r="AB163" i="40"/>
  <c r="V163" i="40"/>
  <c r="Z163" i="40"/>
  <c r="Q163" i="40"/>
  <c r="AC163" i="40"/>
  <c r="AD163" i="40"/>
  <c r="AF163" i="40"/>
  <c r="U162" i="40"/>
  <c r="Y162" i="40"/>
  <c r="N162" i="40"/>
  <c r="AA162" i="40"/>
  <c r="AE162" i="40"/>
  <c r="AB162" i="40"/>
  <c r="V162" i="40"/>
  <c r="Z162" i="40"/>
  <c r="Q162" i="40"/>
  <c r="AC162" i="40"/>
  <c r="AD162" i="40"/>
  <c r="AF162" i="40"/>
  <c r="U161" i="40"/>
  <c r="Y161" i="40"/>
  <c r="N161" i="40"/>
  <c r="AA161" i="40"/>
  <c r="AE161" i="40"/>
  <c r="AB161" i="40"/>
  <c r="V161" i="40"/>
  <c r="Z161" i="40"/>
  <c r="Q161" i="40"/>
  <c r="AC161" i="40"/>
  <c r="AD161" i="40"/>
  <c r="AF161" i="40"/>
  <c r="U160" i="40"/>
  <c r="Y160" i="40"/>
  <c r="N160" i="40"/>
  <c r="AA160" i="40"/>
  <c r="AE160" i="40"/>
  <c r="AB160" i="40"/>
  <c r="V160" i="40"/>
  <c r="Z160" i="40"/>
  <c r="Q160" i="40"/>
  <c r="AC160" i="40"/>
  <c r="AD160" i="40"/>
  <c r="AF160" i="40"/>
  <c r="U159" i="40"/>
  <c r="Y159" i="40"/>
  <c r="N159" i="40"/>
  <c r="AA159" i="40"/>
  <c r="AE159" i="40"/>
  <c r="AB159" i="40"/>
  <c r="V159" i="40"/>
  <c r="Z159" i="40"/>
  <c r="Q159" i="40"/>
  <c r="AC159" i="40"/>
  <c r="AD159" i="40"/>
  <c r="AF159" i="40"/>
  <c r="U158" i="40"/>
  <c r="Y158" i="40"/>
  <c r="N158" i="40"/>
  <c r="AA158" i="40"/>
  <c r="AE158" i="40"/>
  <c r="AB158" i="40"/>
  <c r="V158" i="40"/>
  <c r="Z158" i="40"/>
  <c r="Q158" i="40"/>
  <c r="AC158" i="40"/>
  <c r="AD158" i="40"/>
  <c r="AF158" i="40"/>
  <c r="U157" i="40"/>
  <c r="Y157" i="40"/>
  <c r="N157" i="40"/>
  <c r="AA157" i="40"/>
  <c r="AE157" i="40"/>
  <c r="AB157" i="40"/>
  <c r="V157" i="40"/>
  <c r="Z157" i="40"/>
  <c r="Q157" i="40"/>
  <c r="AC157" i="40"/>
  <c r="AD157" i="40"/>
  <c r="AF157" i="40"/>
  <c r="U156" i="40"/>
  <c r="Y156" i="40"/>
  <c r="N156" i="40"/>
  <c r="AA156" i="40"/>
  <c r="AE156" i="40"/>
  <c r="AB156" i="40"/>
  <c r="V156" i="40"/>
  <c r="Z156" i="40"/>
  <c r="Q156" i="40"/>
  <c r="AC156" i="40"/>
  <c r="AD156" i="40"/>
  <c r="AF156" i="40"/>
  <c r="U155" i="40"/>
  <c r="Y155" i="40"/>
  <c r="N155" i="40"/>
  <c r="AA155" i="40"/>
  <c r="AE155" i="40"/>
  <c r="AB155" i="40"/>
  <c r="V155" i="40"/>
  <c r="Z155" i="40"/>
  <c r="Q155" i="40"/>
  <c r="AC155" i="40"/>
  <c r="AD155" i="40"/>
  <c r="AF155" i="40"/>
  <c r="U154" i="40"/>
  <c r="Y154" i="40"/>
  <c r="N154" i="40"/>
  <c r="AA154" i="40"/>
  <c r="AE154" i="40"/>
  <c r="AB154" i="40"/>
  <c r="V154" i="40"/>
  <c r="Z154" i="40"/>
  <c r="Q154" i="40"/>
  <c r="AC154" i="40"/>
  <c r="AD154" i="40"/>
  <c r="AF154" i="40"/>
  <c r="U153" i="40"/>
  <c r="Y153" i="40"/>
  <c r="N153" i="40"/>
  <c r="AA153" i="40"/>
  <c r="AE153" i="40"/>
  <c r="AB153" i="40"/>
  <c r="V153" i="40"/>
  <c r="Z153" i="40"/>
  <c r="Q153" i="40"/>
  <c r="AC153" i="40"/>
  <c r="AD153" i="40"/>
  <c r="AF153" i="40"/>
  <c r="U152" i="40"/>
  <c r="Y152" i="40"/>
  <c r="N152" i="40"/>
  <c r="AA152" i="40"/>
  <c r="AE152" i="40"/>
  <c r="AB152" i="40"/>
  <c r="V152" i="40"/>
  <c r="Z152" i="40"/>
  <c r="Q152" i="40"/>
  <c r="AC152" i="40"/>
  <c r="AD152" i="40"/>
  <c r="AF152" i="40"/>
  <c r="U151" i="40"/>
  <c r="Y151" i="40"/>
  <c r="N151" i="40"/>
  <c r="AA151" i="40"/>
  <c r="AE151" i="40"/>
  <c r="AB151" i="40"/>
  <c r="V151" i="40"/>
  <c r="Z151" i="40"/>
  <c r="Q151" i="40"/>
  <c r="AC151" i="40"/>
  <c r="AD151" i="40"/>
  <c r="AF151" i="40"/>
  <c r="U150" i="40"/>
  <c r="Y150" i="40"/>
  <c r="N150" i="40"/>
  <c r="AA150" i="40"/>
  <c r="AE150" i="40"/>
  <c r="AB150" i="40"/>
  <c r="V150" i="40"/>
  <c r="Z150" i="40"/>
  <c r="Q150" i="40"/>
  <c r="AC150" i="40"/>
  <c r="AD150" i="40"/>
  <c r="AF150" i="40"/>
  <c r="U149" i="40"/>
  <c r="Y149" i="40"/>
  <c r="N149" i="40"/>
  <c r="AA149" i="40"/>
  <c r="AE149" i="40"/>
  <c r="AB149" i="40"/>
  <c r="V149" i="40"/>
  <c r="Z149" i="40"/>
  <c r="Q149" i="40"/>
  <c r="AC149" i="40"/>
  <c r="AD149" i="40"/>
  <c r="AF149" i="40"/>
  <c r="U148" i="40"/>
  <c r="Y148" i="40"/>
  <c r="N148" i="40"/>
  <c r="AA148" i="40"/>
  <c r="AE148" i="40"/>
  <c r="AB148" i="40"/>
  <c r="V148" i="40"/>
  <c r="Z148" i="40"/>
  <c r="Q148" i="40"/>
  <c r="AC148" i="40"/>
  <c r="AD148" i="40"/>
  <c r="AF148" i="40"/>
  <c r="U147" i="40"/>
  <c r="Y147" i="40"/>
  <c r="N147" i="40"/>
  <c r="AA147" i="40"/>
  <c r="AE147" i="40"/>
  <c r="AB147" i="40"/>
  <c r="V147" i="40"/>
  <c r="Z147" i="40"/>
  <c r="Q147" i="40"/>
  <c r="AC147" i="40"/>
  <c r="AD147" i="40"/>
  <c r="AF147" i="40"/>
  <c r="U146" i="40"/>
  <c r="Y146" i="40"/>
  <c r="N146" i="40"/>
  <c r="AA146" i="40"/>
  <c r="AE146" i="40"/>
  <c r="AB146" i="40"/>
  <c r="V146" i="40"/>
  <c r="Z146" i="40"/>
  <c r="Q146" i="40"/>
  <c r="AC146" i="40"/>
  <c r="AD146" i="40"/>
  <c r="AF146" i="40"/>
  <c r="U145" i="40"/>
  <c r="Y145" i="40"/>
  <c r="N145" i="40"/>
  <c r="AA145" i="40"/>
  <c r="AE145" i="40"/>
  <c r="AB145" i="40"/>
  <c r="V145" i="40"/>
  <c r="Z145" i="40"/>
  <c r="Q145" i="40"/>
  <c r="AC145" i="40"/>
  <c r="AD145" i="40"/>
  <c r="AF145" i="40"/>
  <c r="U144" i="40"/>
  <c r="Y144" i="40"/>
  <c r="N144" i="40"/>
  <c r="AA144" i="40"/>
  <c r="AE144" i="40"/>
  <c r="AB144" i="40"/>
  <c r="V144" i="40"/>
  <c r="Z144" i="40"/>
  <c r="Q144" i="40"/>
  <c r="AC144" i="40"/>
  <c r="AD144" i="40"/>
  <c r="AF144" i="40"/>
  <c r="U143" i="40"/>
  <c r="Y143" i="40"/>
  <c r="N143" i="40"/>
  <c r="AA143" i="40"/>
  <c r="AE143" i="40"/>
  <c r="AB143" i="40"/>
  <c r="V143" i="40"/>
  <c r="Z143" i="40"/>
  <c r="Q143" i="40"/>
  <c r="AC143" i="40"/>
  <c r="AD143" i="40"/>
  <c r="AF143" i="40"/>
  <c r="U142" i="40"/>
  <c r="Y142" i="40"/>
  <c r="N142" i="40"/>
  <c r="AA142" i="40"/>
  <c r="AE142" i="40"/>
  <c r="AB142" i="40"/>
  <c r="V142" i="40"/>
  <c r="Z142" i="40"/>
  <c r="Q142" i="40"/>
  <c r="AC142" i="40"/>
  <c r="AD142" i="40"/>
  <c r="AF142" i="40"/>
  <c r="U141" i="40"/>
  <c r="Y141" i="40"/>
  <c r="N141" i="40"/>
  <c r="AA141" i="40"/>
  <c r="AE141" i="40"/>
  <c r="AB141" i="40"/>
  <c r="V141" i="40"/>
  <c r="Z141" i="40"/>
  <c r="Q141" i="40"/>
  <c r="AC141" i="40"/>
  <c r="AD141" i="40"/>
  <c r="AF141" i="40"/>
  <c r="U140" i="40"/>
  <c r="Y140" i="40"/>
  <c r="N140" i="40"/>
  <c r="AA140" i="40"/>
  <c r="AE140" i="40"/>
  <c r="AB140" i="40"/>
  <c r="V140" i="40"/>
  <c r="Z140" i="40"/>
  <c r="Q140" i="40"/>
  <c r="AC140" i="40"/>
  <c r="AD140" i="40"/>
  <c r="AF140" i="40"/>
  <c r="U139" i="40"/>
  <c r="Y139" i="40"/>
  <c r="N139" i="40"/>
  <c r="AA139" i="40"/>
  <c r="AE139" i="40"/>
  <c r="AB139" i="40"/>
  <c r="V139" i="40"/>
  <c r="Z139" i="40"/>
  <c r="Q139" i="40"/>
  <c r="AC139" i="40"/>
  <c r="AD139" i="40"/>
  <c r="AF139" i="40"/>
  <c r="U138" i="40"/>
  <c r="Y138" i="40"/>
  <c r="N138" i="40"/>
  <c r="AA138" i="40"/>
  <c r="AE138" i="40"/>
  <c r="AB138" i="40"/>
  <c r="V138" i="40"/>
  <c r="Z138" i="40"/>
  <c r="Q138" i="40"/>
  <c r="AC138" i="40"/>
  <c r="AD138" i="40"/>
  <c r="AF138" i="40"/>
  <c r="U137" i="40"/>
  <c r="Y137" i="40"/>
  <c r="N137" i="40"/>
  <c r="AA137" i="40"/>
  <c r="AE137" i="40"/>
  <c r="AB137" i="40"/>
  <c r="V137" i="40"/>
  <c r="Z137" i="40"/>
  <c r="Q137" i="40"/>
  <c r="AC137" i="40"/>
  <c r="AD137" i="40"/>
  <c r="AF137" i="40"/>
  <c r="U136" i="40"/>
  <c r="Y136" i="40"/>
  <c r="N136" i="40"/>
  <c r="AA136" i="40"/>
  <c r="AE136" i="40"/>
  <c r="AB136" i="40"/>
  <c r="V136" i="40"/>
  <c r="Z136" i="40"/>
  <c r="Q136" i="40"/>
  <c r="AC136" i="40"/>
  <c r="AD136" i="40"/>
  <c r="AF136" i="40"/>
  <c r="U135" i="40"/>
  <c r="Y135" i="40"/>
  <c r="N135" i="40"/>
  <c r="AA135" i="40"/>
  <c r="AE135" i="40"/>
  <c r="AB135" i="40"/>
  <c r="V135" i="40"/>
  <c r="Z135" i="40"/>
  <c r="Q135" i="40"/>
  <c r="AC135" i="40"/>
  <c r="AD135" i="40"/>
  <c r="AF135" i="40"/>
  <c r="U134" i="40"/>
  <c r="Y134" i="40"/>
  <c r="N134" i="40"/>
  <c r="AA134" i="40"/>
  <c r="AE134" i="40"/>
  <c r="AB134" i="40"/>
  <c r="V134" i="40"/>
  <c r="Z134" i="40"/>
  <c r="Q134" i="40"/>
  <c r="AC134" i="40"/>
  <c r="AD134" i="40"/>
  <c r="AF134" i="40"/>
  <c r="U133" i="40"/>
  <c r="Y133" i="40"/>
  <c r="N133" i="40"/>
  <c r="AA133" i="40"/>
  <c r="AE133" i="40"/>
  <c r="AB133" i="40"/>
  <c r="V133" i="40"/>
  <c r="Z133" i="40"/>
  <c r="Q133" i="40"/>
  <c r="AC133" i="40"/>
  <c r="AD133" i="40"/>
  <c r="AF133" i="40"/>
  <c r="U132" i="40"/>
  <c r="Y132" i="40"/>
  <c r="N132" i="40"/>
  <c r="AA132" i="40"/>
  <c r="AE132" i="40"/>
  <c r="AB132" i="40"/>
  <c r="V132" i="40"/>
  <c r="Z132" i="40"/>
  <c r="Q132" i="40"/>
  <c r="AC132" i="40"/>
  <c r="AD132" i="40"/>
  <c r="AF132" i="40"/>
  <c r="U131" i="40"/>
  <c r="Y131" i="40"/>
  <c r="N131" i="40"/>
  <c r="AA131" i="40"/>
  <c r="AE131" i="40"/>
  <c r="AB131" i="40"/>
  <c r="V131" i="40"/>
  <c r="Z131" i="40"/>
  <c r="Q131" i="40"/>
  <c r="AC131" i="40"/>
  <c r="AD131" i="40"/>
  <c r="AF131" i="40"/>
  <c r="U130" i="40"/>
  <c r="Y130" i="40"/>
  <c r="N130" i="40"/>
  <c r="AA130" i="40"/>
  <c r="AE130" i="40"/>
  <c r="AB130" i="40"/>
  <c r="V130" i="40"/>
  <c r="Z130" i="40"/>
  <c r="Q130" i="40"/>
  <c r="AC130" i="40"/>
  <c r="AD130" i="40"/>
  <c r="AF130" i="40"/>
  <c r="U129" i="40"/>
  <c r="Y129" i="40"/>
  <c r="N129" i="40"/>
  <c r="AA129" i="40"/>
  <c r="AE129" i="40"/>
  <c r="AB129" i="40"/>
  <c r="V129" i="40"/>
  <c r="Z129" i="40"/>
  <c r="Q129" i="40"/>
  <c r="AC129" i="40"/>
  <c r="AD129" i="40"/>
  <c r="AF129" i="40"/>
  <c r="U128" i="40"/>
  <c r="Y128" i="40"/>
  <c r="N128" i="40"/>
  <c r="AA128" i="40"/>
  <c r="AE128" i="40"/>
  <c r="AB128" i="40"/>
  <c r="V128" i="40"/>
  <c r="Z128" i="40"/>
  <c r="Q128" i="40"/>
  <c r="AC128" i="40"/>
  <c r="AD128" i="40"/>
  <c r="AF128" i="40"/>
  <c r="U127" i="40"/>
  <c r="Y127" i="40"/>
  <c r="N127" i="40"/>
  <c r="AA127" i="40"/>
  <c r="AE127" i="40"/>
  <c r="AB127" i="40"/>
  <c r="V127" i="40"/>
  <c r="Z127" i="40"/>
  <c r="Q127" i="40"/>
  <c r="AC127" i="40"/>
  <c r="AD127" i="40"/>
  <c r="AF127" i="40"/>
  <c r="U126" i="40"/>
  <c r="Y126" i="40"/>
  <c r="N126" i="40"/>
  <c r="AA126" i="40"/>
  <c r="AE126" i="40"/>
  <c r="AB126" i="40"/>
  <c r="V126" i="40"/>
  <c r="Z126" i="40"/>
  <c r="Q126" i="40"/>
  <c r="AC126" i="40"/>
  <c r="AD126" i="40"/>
  <c r="AF126" i="40"/>
  <c r="U125" i="40"/>
  <c r="Y125" i="40"/>
  <c r="N125" i="40"/>
  <c r="AA125" i="40"/>
  <c r="AE125" i="40"/>
  <c r="AB125" i="40"/>
  <c r="V125" i="40"/>
  <c r="Z125" i="40"/>
  <c r="Q125" i="40"/>
  <c r="AC125" i="40"/>
  <c r="AD125" i="40"/>
  <c r="AF125" i="40"/>
  <c r="U124" i="40"/>
  <c r="Y124" i="40"/>
  <c r="N124" i="40"/>
  <c r="AA124" i="40"/>
  <c r="AE124" i="40"/>
  <c r="AB124" i="40"/>
  <c r="V124" i="40"/>
  <c r="Z124" i="40"/>
  <c r="Q124" i="40"/>
  <c r="AC124" i="40"/>
  <c r="AD124" i="40"/>
  <c r="AF124" i="40"/>
  <c r="U123" i="40"/>
  <c r="Y123" i="40"/>
  <c r="N123" i="40"/>
  <c r="AA123" i="40"/>
  <c r="AE123" i="40"/>
  <c r="AB123" i="40"/>
  <c r="V123" i="40"/>
  <c r="Z123" i="40"/>
  <c r="Q123" i="40"/>
  <c r="AC123" i="40"/>
  <c r="AD123" i="40"/>
  <c r="AF123" i="40"/>
  <c r="U122" i="40"/>
  <c r="Y122" i="40"/>
  <c r="N122" i="40"/>
  <c r="AA122" i="40"/>
  <c r="AE122" i="40"/>
  <c r="AB122" i="40"/>
  <c r="V122" i="40"/>
  <c r="Z122" i="40"/>
  <c r="Q122" i="40"/>
  <c r="AC122" i="40"/>
  <c r="AD122" i="40"/>
  <c r="AF122" i="40"/>
  <c r="U121" i="40"/>
  <c r="Y121" i="40"/>
  <c r="N121" i="40"/>
  <c r="AA121" i="40"/>
  <c r="AE121" i="40"/>
  <c r="AB121" i="40"/>
  <c r="V121" i="40"/>
  <c r="Z121" i="40"/>
  <c r="Q121" i="40"/>
  <c r="AC121" i="40"/>
  <c r="AD121" i="40"/>
  <c r="AF121" i="40"/>
  <c r="U120" i="40"/>
  <c r="Y120" i="40"/>
  <c r="N120" i="40"/>
  <c r="AA120" i="40"/>
  <c r="AE120" i="40"/>
  <c r="AB120" i="40"/>
  <c r="V120" i="40"/>
  <c r="Z120" i="40"/>
  <c r="Q120" i="40"/>
  <c r="AC120" i="40"/>
  <c r="AD120" i="40"/>
  <c r="AF120" i="40"/>
  <c r="U119" i="40"/>
  <c r="Y119" i="40"/>
  <c r="N119" i="40"/>
  <c r="AA119" i="40"/>
  <c r="AE119" i="40"/>
  <c r="AB119" i="40"/>
  <c r="V119" i="40"/>
  <c r="Z119" i="40"/>
  <c r="Q119" i="40"/>
  <c r="AC119" i="40"/>
  <c r="AD119" i="40"/>
  <c r="AF119" i="40"/>
  <c r="U118" i="40"/>
  <c r="Y118" i="40"/>
  <c r="N118" i="40"/>
  <c r="AA118" i="40"/>
  <c r="AE118" i="40"/>
  <c r="AB118" i="40"/>
  <c r="V118" i="40"/>
  <c r="Z118" i="40"/>
  <c r="Q118" i="40"/>
  <c r="AC118" i="40"/>
  <c r="AD118" i="40"/>
  <c r="AF118" i="40"/>
  <c r="U117" i="40"/>
  <c r="Y117" i="40"/>
  <c r="N117" i="40"/>
  <c r="AA117" i="40"/>
  <c r="AE117" i="40"/>
  <c r="AB117" i="40"/>
  <c r="V117" i="40"/>
  <c r="Z117" i="40"/>
  <c r="Q117" i="40"/>
  <c r="AC117" i="40"/>
  <c r="AD117" i="40"/>
  <c r="AF117" i="40"/>
  <c r="U116" i="40"/>
  <c r="Y116" i="40"/>
  <c r="N116" i="40"/>
  <c r="AA116" i="40"/>
  <c r="AE116" i="40"/>
  <c r="AB116" i="40"/>
  <c r="V116" i="40"/>
  <c r="Z116" i="40"/>
  <c r="Q116" i="40"/>
  <c r="AC116" i="40"/>
  <c r="AD116" i="40"/>
  <c r="AF116" i="40"/>
  <c r="U115" i="40"/>
  <c r="Y115" i="40"/>
  <c r="N115" i="40"/>
  <c r="AA115" i="40"/>
  <c r="AE115" i="40"/>
  <c r="AB115" i="40"/>
  <c r="V115" i="40"/>
  <c r="Z115" i="40"/>
  <c r="Q115" i="40"/>
  <c r="AC115" i="40"/>
  <c r="AD115" i="40"/>
  <c r="AF115" i="40"/>
  <c r="U114" i="40"/>
  <c r="Y114" i="40"/>
  <c r="N114" i="40"/>
  <c r="AA114" i="40"/>
  <c r="AE114" i="40"/>
  <c r="AB114" i="40"/>
  <c r="V114" i="40"/>
  <c r="Z114" i="40"/>
  <c r="Q114" i="40"/>
  <c r="AC114" i="40"/>
  <c r="AD114" i="40"/>
  <c r="AF114" i="40"/>
  <c r="U113" i="40"/>
  <c r="Y113" i="40"/>
  <c r="N113" i="40"/>
  <c r="AA113" i="40"/>
  <c r="AE113" i="40"/>
  <c r="AB113" i="40"/>
  <c r="V113" i="40"/>
  <c r="Z113" i="40"/>
  <c r="Q113" i="40"/>
  <c r="AC113" i="40"/>
  <c r="AD113" i="40"/>
  <c r="AF113" i="40"/>
  <c r="U112" i="40"/>
  <c r="Y112" i="40"/>
  <c r="N112" i="40"/>
  <c r="AA112" i="40"/>
  <c r="AE112" i="40"/>
  <c r="AB112" i="40"/>
  <c r="V112" i="40"/>
  <c r="Z112" i="40"/>
  <c r="Q112" i="40"/>
  <c r="AC112" i="40"/>
  <c r="AD112" i="40"/>
  <c r="AF112" i="40"/>
  <c r="U111" i="40"/>
  <c r="Y111" i="40"/>
  <c r="N111" i="40"/>
  <c r="AA111" i="40"/>
  <c r="AE111" i="40"/>
  <c r="AB111" i="40"/>
  <c r="V111" i="40"/>
  <c r="Z111" i="40"/>
  <c r="Q111" i="40"/>
  <c r="AC111" i="40"/>
  <c r="AD111" i="40"/>
  <c r="AF111" i="40"/>
  <c r="U110" i="40"/>
  <c r="Y110" i="40"/>
  <c r="N110" i="40"/>
  <c r="AA110" i="40"/>
  <c r="AE110" i="40"/>
  <c r="AB110" i="40"/>
  <c r="V110" i="40"/>
  <c r="Z110" i="40"/>
  <c r="Q110" i="40"/>
  <c r="AC110" i="40"/>
  <c r="AD110" i="40"/>
  <c r="AF110" i="40"/>
  <c r="U109" i="40"/>
  <c r="Y109" i="40"/>
  <c r="N109" i="40"/>
  <c r="AA109" i="40"/>
  <c r="AE109" i="40"/>
  <c r="AB109" i="40"/>
  <c r="V109" i="40"/>
  <c r="Z109" i="40"/>
  <c r="Q109" i="40"/>
  <c r="AC109" i="40"/>
  <c r="AD109" i="40"/>
  <c r="AF109" i="40"/>
  <c r="U108" i="40"/>
  <c r="Y108" i="40"/>
  <c r="N108" i="40"/>
  <c r="AA108" i="40"/>
  <c r="AE108" i="40"/>
  <c r="AB108" i="40"/>
  <c r="V108" i="40"/>
  <c r="Z108" i="40"/>
  <c r="Q108" i="40"/>
  <c r="AC108" i="40"/>
  <c r="AD108" i="40"/>
  <c r="AF108" i="40"/>
  <c r="U107" i="40"/>
  <c r="Y107" i="40"/>
  <c r="N107" i="40"/>
  <c r="AA107" i="40"/>
  <c r="AE107" i="40"/>
  <c r="AB107" i="40"/>
  <c r="V107" i="40"/>
  <c r="Z107" i="40"/>
  <c r="Q107" i="40"/>
  <c r="AC107" i="40"/>
  <c r="AD107" i="40"/>
  <c r="AF107" i="40"/>
  <c r="U106" i="40"/>
  <c r="Y106" i="40"/>
  <c r="N106" i="40"/>
  <c r="AA106" i="40"/>
  <c r="AE106" i="40"/>
  <c r="AB106" i="40"/>
  <c r="V106" i="40"/>
  <c r="Z106" i="40"/>
  <c r="Q106" i="40"/>
  <c r="AC106" i="40"/>
  <c r="AD106" i="40"/>
  <c r="AF106" i="40"/>
  <c r="U105" i="40"/>
  <c r="Y105" i="40"/>
  <c r="N105" i="40"/>
  <c r="AA105" i="40"/>
  <c r="AE105" i="40"/>
  <c r="AB105" i="40"/>
  <c r="V105" i="40"/>
  <c r="Z105" i="40"/>
  <c r="Q105" i="40"/>
  <c r="AC105" i="40"/>
  <c r="AD105" i="40"/>
  <c r="AF105" i="40"/>
  <c r="U104" i="40"/>
  <c r="Y104" i="40"/>
  <c r="N104" i="40"/>
  <c r="AA104" i="40"/>
  <c r="AE104" i="40"/>
  <c r="AB104" i="40"/>
  <c r="V104" i="40"/>
  <c r="Z104" i="40"/>
  <c r="Q104" i="40"/>
  <c r="AC104" i="40"/>
  <c r="AD104" i="40"/>
  <c r="AF104" i="40"/>
  <c r="U103" i="40"/>
  <c r="Y103" i="40"/>
  <c r="N103" i="40"/>
  <c r="AA103" i="40"/>
  <c r="AE103" i="40"/>
  <c r="AB103" i="40"/>
  <c r="V103" i="40"/>
  <c r="Z103" i="40"/>
  <c r="Q103" i="40"/>
  <c r="AC103" i="40"/>
  <c r="AD103" i="40"/>
  <c r="AF103" i="40"/>
  <c r="U102" i="40"/>
  <c r="Y102" i="40"/>
  <c r="N102" i="40"/>
  <c r="AA102" i="40"/>
  <c r="AE102" i="40"/>
  <c r="AB102" i="40"/>
  <c r="V102" i="40"/>
  <c r="Z102" i="40"/>
  <c r="Q102" i="40"/>
  <c r="AC102" i="40"/>
  <c r="AD102" i="40"/>
  <c r="AF102" i="40"/>
  <c r="U101" i="40"/>
  <c r="Y101" i="40"/>
  <c r="N101" i="40"/>
  <c r="AA101" i="40"/>
  <c r="AE101" i="40"/>
  <c r="AB101" i="40"/>
  <c r="V101" i="40"/>
  <c r="Z101" i="40"/>
  <c r="Q101" i="40"/>
  <c r="AC101" i="40"/>
  <c r="AD101" i="40"/>
  <c r="AF101" i="40"/>
  <c r="U100" i="40"/>
  <c r="Y100" i="40"/>
  <c r="N100" i="40"/>
  <c r="AA100" i="40"/>
  <c r="AE100" i="40"/>
  <c r="AB100" i="40"/>
  <c r="V100" i="40"/>
  <c r="Z100" i="40"/>
  <c r="Q100" i="40"/>
  <c r="AC100" i="40"/>
  <c r="AD100" i="40"/>
  <c r="AF100" i="40"/>
  <c r="U99" i="40"/>
  <c r="Y99" i="40"/>
  <c r="N99" i="40"/>
  <c r="AA99" i="40"/>
  <c r="AE99" i="40"/>
  <c r="AB99" i="40"/>
  <c r="V99" i="40"/>
  <c r="Z99" i="40"/>
  <c r="Q99" i="40"/>
  <c r="AC99" i="40"/>
  <c r="AD99" i="40"/>
  <c r="AF99" i="40"/>
  <c r="U98" i="40"/>
  <c r="Y98" i="40"/>
  <c r="N98" i="40"/>
  <c r="AA98" i="40"/>
  <c r="AE98" i="40"/>
  <c r="AB98" i="40"/>
  <c r="V98" i="40"/>
  <c r="Z98" i="40"/>
  <c r="Q98" i="40"/>
  <c r="AC98" i="40"/>
  <c r="AD98" i="40"/>
  <c r="AF98" i="40"/>
  <c r="U97" i="40"/>
  <c r="Y97" i="40"/>
  <c r="N97" i="40"/>
  <c r="AA97" i="40"/>
  <c r="AE97" i="40"/>
  <c r="AB97" i="40"/>
  <c r="V97" i="40"/>
  <c r="Z97" i="40"/>
  <c r="Q97" i="40"/>
  <c r="AC97" i="40"/>
  <c r="AD97" i="40"/>
  <c r="AF97" i="40"/>
  <c r="U96" i="40"/>
  <c r="Y96" i="40"/>
  <c r="N96" i="40"/>
  <c r="AA96" i="40"/>
  <c r="AE96" i="40"/>
  <c r="AB96" i="40"/>
  <c r="V96" i="40"/>
  <c r="Z96" i="40"/>
  <c r="Q96" i="40"/>
  <c r="AC96" i="40"/>
  <c r="AD96" i="40"/>
  <c r="AF96" i="40"/>
  <c r="U95" i="40"/>
  <c r="Y95" i="40"/>
  <c r="N95" i="40"/>
  <c r="AA95" i="40"/>
  <c r="AE95" i="40"/>
  <c r="AB95" i="40"/>
  <c r="V95" i="40"/>
  <c r="Z95" i="40"/>
  <c r="Q95" i="40"/>
  <c r="AC95" i="40"/>
  <c r="AD95" i="40"/>
  <c r="AF95" i="40"/>
  <c r="U94" i="40"/>
  <c r="Y94" i="40"/>
  <c r="N94" i="40"/>
  <c r="AA94" i="40"/>
  <c r="AE94" i="40"/>
  <c r="AB94" i="40"/>
  <c r="V94" i="40"/>
  <c r="Z94" i="40"/>
  <c r="Q94" i="40"/>
  <c r="AC94" i="40"/>
  <c r="AD94" i="40"/>
  <c r="AF94" i="40"/>
  <c r="U93" i="40"/>
  <c r="Y93" i="40"/>
  <c r="N93" i="40"/>
  <c r="AA93" i="40"/>
  <c r="AE93" i="40"/>
  <c r="AB93" i="40"/>
  <c r="V93" i="40"/>
  <c r="Z93" i="40"/>
  <c r="Q93" i="40"/>
  <c r="AC93" i="40"/>
  <c r="AD93" i="40"/>
  <c r="AF93" i="40"/>
  <c r="U92" i="40"/>
  <c r="Y92" i="40"/>
  <c r="N92" i="40"/>
  <c r="AA92" i="40"/>
  <c r="AE92" i="40"/>
  <c r="AB92" i="40"/>
  <c r="V92" i="40"/>
  <c r="Z92" i="40"/>
  <c r="Q92" i="40"/>
  <c r="AC92" i="40"/>
  <c r="AD92" i="40"/>
  <c r="AF92" i="40"/>
  <c r="U91" i="40"/>
  <c r="Y91" i="40"/>
  <c r="N91" i="40"/>
  <c r="AA91" i="40"/>
  <c r="AE91" i="40"/>
  <c r="AB91" i="40"/>
  <c r="V91" i="40"/>
  <c r="Z91" i="40"/>
  <c r="Q91" i="40"/>
  <c r="AC91" i="40"/>
  <c r="AD91" i="40"/>
  <c r="AF91" i="40"/>
  <c r="U90" i="40"/>
  <c r="Y90" i="40"/>
  <c r="N90" i="40"/>
  <c r="AA90" i="40"/>
  <c r="AE90" i="40"/>
  <c r="AB90" i="40"/>
  <c r="V90" i="40"/>
  <c r="Z90" i="40"/>
  <c r="Q90" i="40"/>
  <c r="AC90" i="40"/>
  <c r="AD90" i="40"/>
  <c r="AF90" i="40"/>
  <c r="U89" i="40"/>
  <c r="Y89" i="40"/>
  <c r="N89" i="40"/>
  <c r="AA89" i="40"/>
  <c r="AE89" i="40"/>
  <c r="AB89" i="40"/>
  <c r="V89" i="40"/>
  <c r="Z89" i="40"/>
  <c r="Q89" i="40"/>
  <c r="AC89" i="40"/>
  <c r="AD89" i="40"/>
  <c r="AF89" i="40"/>
  <c r="U88" i="40"/>
  <c r="Y88" i="40"/>
  <c r="N88" i="40"/>
  <c r="AA88" i="40"/>
  <c r="AE88" i="40"/>
  <c r="AB88" i="40"/>
  <c r="V88" i="40"/>
  <c r="Z88" i="40"/>
  <c r="Q88" i="40"/>
  <c r="AC88" i="40"/>
  <c r="AD88" i="40"/>
  <c r="AF88" i="40"/>
  <c r="U87" i="40"/>
  <c r="Y87" i="40"/>
  <c r="N87" i="40"/>
  <c r="AA87" i="40"/>
  <c r="AE87" i="40"/>
  <c r="AB87" i="40"/>
  <c r="V87" i="40"/>
  <c r="Z87" i="40"/>
  <c r="Q87" i="40"/>
  <c r="AC87" i="40"/>
  <c r="AD87" i="40"/>
  <c r="AF87" i="40"/>
  <c r="U86" i="40"/>
  <c r="Y86" i="40"/>
  <c r="N86" i="40"/>
  <c r="AA86" i="40"/>
  <c r="AE86" i="40"/>
  <c r="AB86" i="40"/>
  <c r="V86" i="40"/>
  <c r="Z86" i="40"/>
  <c r="Q86" i="40"/>
  <c r="AC86" i="40"/>
  <c r="AD86" i="40"/>
  <c r="AF86" i="40"/>
  <c r="U85" i="40"/>
  <c r="Y85" i="40"/>
  <c r="N85" i="40"/>
  <c r="AA85" i="40"/>
  <c r="AE85" i="40"/>
  <c r="AB85" i="40"/>
  <c r="V85" i="40"/>
  <c r="Z85" i="40"/>
  <c r="Q85" i="40"/>
  <c r="AC85" i="40"/>
  <c r="AD85" i="40"/>
  <c r="AF85" i="40"/>
  <c r="U84" i="40"/>
  <c r="Y84" i="40"/>
  <c r="N84" i="40"/>
  <c r="AA84" i="40"/>
  <c r="AE84" i="40"/>
  <c r="AB84" i="40"/>
  <c r="V84" i="40"/>
  <c r="Z84" i="40"/>
  <c r="Q84" i="40"/>
  <c r="AC84" i="40"/>
  <c r="AD84" i="40"/>
  <c r="AF84" i="40"/>
  <c r="U83" i="40"/>
  <c r="Y83" i="40"/>
  <c r="N83" i="40"/>
  <c r="AA83" i="40"/>
  <c r="AE83" i="40"/>
  <c r="AB83" i="40"/>
  <c r="V83" i="40"/>
  <c r="Z83" i="40"/>
  <c r="Q83" i="40"/>
  <c r="AC83" i="40"/>
  <c r="AD83" i="40"/>
  <c r="AF83" i="40"/>
  <c r="U82" i="40"/>
  <c r="Y82" i="40"/>
  <c r="N82" i="40"/>
  <c r="AA82" i="40"/>
  <c r="AE82" i="40"/>
  <c r="AB82" i="40"/>
  <c r="V82" i="40"/>
  <c r="Z82" i="40"/>
  <c r="Q82" i="40"/>
  <c r="AC82" i="40"/>
  <c r="AD82" i="40"/>
  <c r="AF82" i="40"/>
  <c r="U81" i="40"/>
  <c r="Y81" i="40"/>
  <c r="N81" i="40"/>
  <c r="AA81" i="40"/>
  <c r="AE81" i="40"/>
  <c r="AB81" i="40"/>
  <c r="V81" i="40"/>
  <c r="Z81" i="40"/>
  <c r="Q81" i="40"/>
  <c r="AC81" i="40"/>
  <c r="AD81" i="40"/>
  <c r="AF81" i="40"/>
  <c r="U80" i="40"/>
  <c r="Y80" i="40"/>
  <c r="N80" i="40"/>
  <c r="AA80" i="40"/>
  <c r="AE80" i="40"/>
  <c r="AB80" i="40"/>
  <c r="V80" i="40"/>
  <c r="Z80" i="40"/>
  <c r="Q80" i="40"/>
  <c r="AC80" i="40"/>
  <c r="AD80" i="40"/>
  <c r="AF80" i="40"/>
  <c r="U79" i="40"/>
  <c r="Y79" i="40"/>
  <c r="N79" i="40"/>
  <c r="AA79" i="40"/>
  <c r="AE79" i="40"/>
  <c r="AB79" i="40"/>
  <c r="V79" i="40"/>
  <c r="Z79" i="40"/>
  <c r="Q79" i="40"/>
  <c r="AC79" i="40"/>
  <c r="AD79" i="40"/>
  <c r="AF79" i="40"/>
  <c r="U78" i="40"/>
  <c r="Y78" i="40"/>
  <c r="N78" i="40"/>
  <c r="AA78" i="40"/>
  <c r="AE78" i="40"/>
  <c r="AB78" i="40"/>
  <c r="V78" i="40"/>
  <c r="Z78" i="40"/>
  <c r="Q78" i="40"/>
  <c r="AC78" i="40"/>
  <c r="AD78" i="40"/>
  <c r="AF78" i="40"/>
  <c r="U77" i="40"/>
  <c r="Y77" i="40"/>
  <c r="N77" i="40"/>
  <c r="AA77" i="40"/>
  <c r="AE77" i="40"/>
  <c r="AB77" i="40"/>
  <c r="V77" i="40"/>
  <c r="Z77" i="40"/>
  <c r="Q77" i="40"/>
  <c r="AC77" i="40"/>
  <c r="AD77" i="40"/>
  <c r="AF77" i="40"/>
  <c r="U76" i="40"/>
  <c r="Y76" i="40"/>
  <c r="N76" i="40"/>
  <c r="AA76" i="40"/>
  <c r="AE76" i="40"/>
  <c r="AB76" i="40"/>
  <c r="V76" i="40"/>
  <c r="Z76" i="40"/>
  <c r="Q76" i="40"/>
  <c r="AC76" i="40"/>
  <c r="AD76" i="40"/>
  <c r="AF76" i="40"/>
  <c r="G435" i="23"/>
  <c r="I435" i="23"/>
  <c r="J435" i="23"/>
  <c r="K435" i="23"/>
  <c r="X77" i="37"/>
  <c r="X78" i="37"/>
  <c r="G431" i="23"/>
  <c r="I431" i="23"/>
  <c r="J431" i="23"/>
  <c r="K431" i="23"/>
  <c r="X79" i="37"/>
  <c r="G682" i="23"/>
  <c r="I682" i="23"/>
  <c r="J682" i="23"/>
  <c r="K682" i="23"/>
  <c r="X80" i="37"/>
  <c r="G479" i="23"/>
  <c r="I479" i="23"/>
  <c r="J479" i="23"/>
  <c r="K479" i="23"/>
  <c r="X81" i="37"/>
  <c r="G708" i="23"/>
  <c r="I708" i="23"/>
  <c r="J708" i="23"/>
  <c r="K708" i="23"/>
  <c r="X82" i="37"/>
  <c r="G606" i="23"/>
  <c r="I606" i="23"/>
  <c r="J606" i="23"/>
  <c r="K606" i="23"/>
  <c r="X83" i="37"/>
  <c r="G474" i="23"/>
  <c r="I474" i="23"/>
  <c r="J474" i="23"/>
  <c r="K474" i="23"/>
  <c r="X84" i="37"/>
  <c r="G804" i="23"/>
  <c r="I804" i="23"/>
  <c r="J804" i="23"/>
  <c r="K804" i="23"/>
  <c r="X85" i="37"/>
  <c r="G634" i="23"/>
  <c r="I634" i="23"/>
  <c r="J634" i="23"/>
  <c r="K634" i="23"/>
  <c r="X86" i="37"/>
  <c r="X87" i="37"/>
  <c r="G639" i="23"/>
  <c r="I639" i="23"/>
  <c r="J639" i="23"/>
  <c r="K639" i="23"/>
  <c r="X88" i="37"/>
  <c r="G590" i="23"/>
  <c r="I590" i="23"/>
  <c r="J590" i="23"/>
  <c r="K590" i="23"/>
  <c r="X89" i="37"/>
  <c r="G612" i="23"/>
  <c r="I612" i="23"/>
  <c r="J612" i="23"/>
  <c r="K612" i="23"/>
  <c r="X90" i="37"/>
  <c r="G696" i="23"/>
  <c r="I696" i="23"/>
  <c r="J696" i="23"/>
  <c r="K696" i="23"/>
  <c r="X91" i="37"/>
  <c r="G720" i="23"/>
  <c r="I720" i="23"/>
  <c r="J720" i="23"/>
  <c r="K720" i="23"/>
  <c r="X92" i="37"/>
  <c r="G439" i="23"/>
  <c r="I439" i="23"/>
  <c r="J439" i="23"/>
  <c r="K439" i="23"/>
  <c r="X93" i="37"/>
  <c r="G797" i="23"/>
  <c r="I797" i="23"/>
  <c r="J797" i="23"/>
  <c r="K797" i="23"/>
  <c r="X94" i="37"/>
  <c r="G679" i="23"/>
  <c r="I679" i="23"/>
  <c r="J679" i="23"/>
  <c r="K679" i="23"/>
  <c r="X95" i="37"/>
  <c r="G706" i="23"/>
  <c r="I706" i="23"/>
  <c r="J706" i="23"/>
  <c r="K706" i="23"/>
  <c r="X96" i="37"/>
  <c r="G576" i="23"/>
  <c r="I576" i="23"/>
  <c r="J576" i="23"/>
  <c r="K576" i="23"/>
  <c r="X97" i="37"/>
  <c r="G486" i="23"/>
  <c r="I486" i="23"/>
  <c r="J486" i="23"/>
  <c r="K486" i="23"/>
  <c r="X98" i="37"/>
  <c r="G453" i="23"/>
  <c r="I453" i="23"/>
  <c r="J453" i="23"/>
  <c r="K453" i="23"/>
  <c r="X99" i="37"/>
  <c r="G524" i="23"/>
  <c r="I524" i="23"/>
  <c r="J524" i="23"/>
  <c r="K524" i="23"/>
  <c r="X100" i="37"/>
  <c r="G457" i="23"/>
  <c r="I457" i="23"/>
  <c r="J457" i="23"/>
  <c r="K457" i="23"/>
  <c r="X101" i="37"/>
  <c r="G429" i="23"/>
  <c r="I429" i="23"/>
  <c r="J429" i="23"/>
  <c r="K429" i="23"/>
  <c r="X102" i="37"/>
  <c r="G628" i="23"/>
  <c r="I628" i="23"/>
  <c r="J628" i="23"/>
  <c r="K628" i="23"/>
  <c r="X103" i="37"/>
  <c r="G593" i="23"/>
  <c r="I593" i="23"/>
  <c r="J593" i="23"/>
  <c r="K593" i="23"/>
  <c r="X104" i="37"/>
  <c r="G686" i="23"/>
  <c r="I686" i="23"/>
  <c r="J686" i="23"/>
  <c r="K686" i="23"/>
  <c r="X105" i="37"/>
  <c r="G450" i="23"/>
  <c r="I450" i="23"/>
  <c r="J450" i="23"/>
  <c r="K450" i="23"/>
  <c r="X106" i="37"/>
  <c r="G601" i="23"/>
  <c r="I601" i="23"/>
  <c r="J601" i="23"/>
  <c r="K601" i="23"/>
  <c r="X107" i="37"/>
  <c r="X108" i="37"/>
  <c r="X109" i="37"/>
  <c r="G782" i="23"/>
  <c r="I782" i="23"/>
  <c r="J782" i="23"/>
  <c r="K782" i="23"/>
  <c r="X110" i="37"/>
  <c r="G438" i="23"/>
  <c r="I438" i="23"/>
  <c r="J438" i="23"/>
  <c r="K438" i="23"/>
  <c r="X111" i="37"/>
  <c r="G781" i="23"/>
  <c r="I781" i="23"/>
  <c r="J781" i="23"/>
  <c r="K781" i="23"/>
  <c r="X112" i="37"/>
  <c r="G800" i="23"/>
  <c r="I800" i="23"/>
  <c r="J800" i="23"/>
  <c r="K800" i="23"/>
  <c r="X113" i="37"/>
  <c r="G629" i="23"/>
  <c r="I629" i="23"/>
  <c r="J629" i="23"/>
  <c r="K629" i="23"/>
  <c r="X114" i="37"/>
  <c r="G430" i="23"/>
  <c r="I430" i="23"/>
  <c r="J430" i="23"/>
  <c r="K430" i="23"/>
  <c r="X115" i="37"/>
  <c r="G698" i="23"/>
  <c r="I698" i="23"/>
  <c r="J698" i="23"/>
  <c r="K698" i="23"/>
  <c r="X116" i="37"/>
  <c r="G582" i="23"/>
  <c r="I582" i="23"/>
  <c r="J582" i="23"/>
  <c r="K582" i="23"/>
  <c r="X117" i="37"/>
  <c r="G585" i="23"/>
  <c r="I585" i="23"/>
  <c r="J585" i="23"/>
  <c r="K585" i="23"/>
  <c r="X118" i="37"/>
  <c r="G471" i="23"/>
  <c r="I471" i="23"/>
  <c r="J471" i="23"/>
  <c r="K471" i="23"/>
  <c r="X119" i="37"/>
  <c r="G654" i="23"/>
  <c r="I654" i="23"/>
  <c r="J654" i="23"/>
  <c r="K654" i="23"/>
  <c r="X120" i="37"/>
  <c r="X121" i="37"/>
  <c r="G455" i="23"/>
  <c r="I455" i="23"/>
  <c r="J455" i="23"/>
  <c r="K455" i="23"/>
  <c r="X122" i="37"/>
  <c r="G788" i="23"/>
  <c r="I788" i="23"/>
  <c r="J788" i="23"/>
  <c r="K788" i="23"/>
  <c r="X123" i="37"/>
  <c r="G525" i="23"/>
  <c r="I525" i="23"/>
  <c r="J525" i="23"/>
  <c r="K525" i="23"/>
  <c r="X124" i="37"/>
  <c r="X125" i="37"/>
  <c r="G799" i="23"/>
  <c r="I799" i="23"/>
  <c r="J799" i="23"/>
  <c r="K799" i="23"/>
  <c r="X126" i="37"/>
  <c r="G693" i="23"/>
  <c r="I693" i="23"/>
  <c r="J693" i="23"/>
  <c r="K693" i="23"/>
  <c r="X127" i="37"/>
  <c r="X128" i="37"/>
  <c r="X129" i="37"/>
  <c r="X130" i="37"/>
  <c r="G777" i="23"/>
  <c r="I777" i="23"/>
  <c r="J777" i="23"/>
  <c r="K777" i="23"/>
  <c r="X131" i="37"/>
  <c r="G468" i="23"/>
  <c r="I468" i="23"/>
  <c r="J468" i="23"/>
  <c r="K468" i="23"/>
  <c r="X132" i="37"/>
  <c r="G661" i="23"/>
  <c r="I661" i="23"/>
  <c r="J661" i="23"/>
  <c r="K661" i="23"/>
  <c r="X133" i="37"/>
  <c r="G499" i="23"/>
  <c r="I499" i="23"/>
  <c r="J499" i="23"/>
  <c r="K499" i="23"/>
  <c r="X134" i="37"/>
  <c r="G793" i="23"/>
  <c r="I793" i="23"/>
  <c r="J793" i="23"/>
  <c r="K793" i="23"/>
  <c r="X135" i="37"/>
  <c r="X136" i="37"/>
  <c r="G433" i="23"/>
  <c r="I433" i="23"/>
  <c r="J433" i="23"/>
  <c r="K433" i="23"/>
  <c r="X137" i="37"/>
  <c r="G482" i="23"/>
  <c r="I482" i="23"/>
  <c r="J482" i="23"/>
  <c r="K482" i="23"/>
  <c r="X138" i="37"/>
  <c r="G466" i="23"/>
  <c r="I466" i="23"/>
  <c r="J466" i="23"/>
  <c r="K466" i="23"/>
  <c r="X139" i="37"/>
  <c r="G702" i="23"/>
  <c r="I702" i="23"/>
  <c r="J702" i="23"/>
  <c r="K702" i="23"/>
  <c r="X140" i="37"/>
  <c r="J460" i="23"/>
  <c r="K460" i="23"/>
  <c r="X141" i="37"/>
  <c r="G470" i="23"/>
  <c r="I470" i="23"/>
  <c r="J470" i="23"/>
  <c r="K470" i="23"/>
  <c r="X142" i="37"/>
  <c r="G440" i="23"/>
  <c r="I440" i="23"/>
  <c r="J440" i="23"/>
  <c r="K440" i="23"/>
  <c r="X143" i="37"/>
  <c r="G611" i="23"/>
  <c r="I611" i="23"/>
  <c r="J611" i="23"/>
  <c r="K611" i="23"/>
  <c r="X144" i="37"/>
  <c r="G461" i="23"/>
  <c r="I461" i="23"/>
  <c r="J461" i="23"/>
  <c r="K461" i="23"/>
  <c r="X145" i="37"/>
  <c r="G808" i="23"/>
  <c r="I808" i="23"/>
  <c r="J808" i="23"/>
  <c r="K808" i="23"/>
  <c r="X146" i="37"/>
  <c r="G724" i="23"/>
  <c r="I724" i="23"/>
  <c r="J724" i="23"/>
  <c r="K724" i="23"/>
  <c r="X147" i="37"/>
  <c r="X148" i="37"/>
  <c r="X149" i="37"/>
  <c r="X150" i="37"/>
  <c r="G681" i="23"/>
  <c r="I681" i="23"/>
  <c r="J681" i="23"/>
  <c r="K681" i="23"/>
  <c r="X151" i="37"/>
  <c r="G446" i="23"/>
  <c r="I446" i="23"/>
  <c r="J446" i="23"/>
  <c r="K446" i="23"/>
  <c r="X152" i="37"/>
  <c r="X153" i="37"/>
  <c r="G502" i="23"/>
  <c r="I502" i="23"/>
  <c r="J502" i="23"/>
  <c r="K502" i="23"/>
  <c r="X154" i="37"/>
  <c r="X155" i="37"/>
  <c r="G484" i="23"/>
  <c r="I484" i="23"/>
  <c r="J484" i="23"/>
  <c r="K484" i="23"/>
  <c r="X156" i="37"/>
  <c r="G798" i="23"/>
  <c r="I798" i="23"/>
  <c r="J798" i="23"/>
  <c r="K798" i="23"/>
  <c r="X157" i="37"/>
  <c r="G443" i="23"/>
  <c r="I443" i="23"/>
  <c r="J443" i="23"/>
  <c r="K443" i="23"/>
  <c r="X158" i="37"/>
  <c r="G672" i="23"/>
  <c r="I672" i="23"/>
  <c r="J672" i="23"/>
  <c r="K672" i="23"/>
  <c r="X159" i="37"/>
  <c r="G545" i="23"/>
  <c r="I545" i="23"/>
  <c r="J545" i="23"/>
  <c r="K545" i="23"/>
  <c r="X160" i="37"/>
  <c r="X161" i="37"/>
  <c r="X162" i="37"/>
  <c r="X163" i="37"/>
  <c r="X164" i="37"/>
  <c r="G807" i="23"/>
  <c r="I807" i="23"/>
  <c r="J807" i="23"/>
  <c r="K807" i="23"/>
  <c r="X165" i="37"/>
  <c r="G566" i="23"/>
  <c r="I566" i="23"/>
  <c r="J566" i="23"/>
  <c r="K566" i="23"/>
  <c r="X166" i="37"/>
  <c r="X167" i="37"/>
  <c r="X168" i="37"/>
  <c r="X169" i="37"/>
  <c r="G574" i="23"/>
  <c r="I574" i="23"/>
  <c r="J574" i="23"/>
  <c r="K574" i="23"/>
  <c r="X170" i="37"/>
  <c r="G547" i="23"/>
  <c r="I547" i="23"/>
  <c r="J547" i="23"/>
  <c r="K547" i="23"/>
  <c r="X171" i="37"/>
  <c r="X172" i="37"/>
  <c r="G671" i="23"/>
  <c r="I671" i="23"/>
  <c r="J671" i="23"/>
  <c r="K671" i="23"/>
  <c r="X173" i="37"/>
  <c r="G727" i="23"/>
  <c r="I727" i="23"/>
  <c r="J727" i="23"/>
  <c r="K727" i="23"/>
  <c r="X174" i="37"/>
  <c r="G680" i="23"/>
  <c r="I680" i="23"/>
  <c r="J680" i="23"/>
  <c r="K680" i="23"/>
  <c r="X175" i="37"/>
  <c r="G664" i="23"/>
  <c r="I664" i="23"/>
  <c r="J664" i="23"/>
  <c r="K664" i="23"/>
  <c r="X176" i="37"/>
  <c r="G747" i="23"/>
  <c r="I747" i="23"/>
  <c r="J747" i="23"/>
  <c r="K747" i="23"/>
  <c r="X177" i="37"/>
  <c r="G623" i="23"/>
  <c r="I623" i="23"/>
  <c r="J623" i="23"/>
  <c r="K623" i="23"/>
  <c r="X178" i="37"/>
  <c r="G755" i="23"/>
  <c r="I755" i="23"/>
  <c r="J755" i="23"/>
  <c r="K755" i="23"/>
  <c r="X179" i="37"/>
  <c r="G726" i="23"/>
  <c r="I726" i="23"/>
  <c r="J726" i="23"/>
  <c r="K726" i="23"/>
  <c r="X180" i="37"/>
  <c r="G768" i="23"/>
  <c r="I768" i="23"/>
  <c r="J768" i="23"/>
  <c r="K768" i="23"/>
  <c r="X181" i="37"/>
  <c r="G752" i="23"/>
  <c r="I752" i="23"/>
  <c r="J752" i="23"/>
  <c r="K752" i="23"/>
  <c r="X182" i="37"/>
  <c r="G795" i="23"/>
  <c r="I795" i="23"/>
  <c r="J795" i="23"/>
  <c r="K795" i="23"/>
  <c r="X183" i="37"/>
  <c r="G732" i="23"/>
  <c r="I732" i="23"/>
  <c r="J732" i="23"/>
  <c r="K732" i="23"/>
  <c r="X184" i="37"/>
  <c r="G647" i="23"/>
  <c r="I647" i="23"/>
  <c r="J647" i="23"/>
  <c r="K647" i="23"/>
  <c r="X185" i="37"/>
  <c r="G684" i="23"/>
  <c r="I684" i="23"/>
  <c r="J684" i="23"/>
  <c r="K684" i="23"/>
  <c r="X186" i="37"/>
  <c r="G607" i="23"/>
  <c r="I607" i="23"/>
  <c r="J607" i="23"/>
  <c r="K607" i="23"/>
  <c r="X187" i="37"/>
  <c r="G621" i="23"/>
  <c r="I621" i="23"/>
  <c r="J621" i="23"/>
  <c r="K621" i="23"/>
  <c r="X188" i="37"/>
  <c r="G779" i="23"/>
  <c r="I779" i="23"/>
  <c r="J779" i="23"/>
  <c r="K779" i="23"/>
  <c r="X189" i="37"/>
  <c r="G733" i="23"/>
  <c r="I733" i="23"/>
  <c r="J733" i="23"/>
  <c r="K733" i="23"/>
  <c r="X190" i="37"/>
  <c r="G645" i="23"/>
  <c r="I645" i="23"/>
  <c r="J645" i="23"/>
  <c r="K645" i="23"/>
  <c r="X191" i="37"/>
  <c r="G691" i="23"/>
  <c r="I691" i="23"/>
  <c r="J691" i="23"/>
  <c r="K691" i="23"/>
  <c r="X192" i="37"/>
  <c r="G676" i="23"/>
  <c r="I676" i="23"/>
  <c r="J676" i="23"/>
  <c r="K676" i="23"/>
  <c r="X193" i="37"/>
  <c r="X194" i="37"/>
  <c r="X195" i="37"/>
  <c r="G709" i="23"/>
  <c r="I709" i="23"/>
  <c r="J709" i="23"/>
  <c r="K709" i="23"/>
  <c r="X196" i="37"/>
  <c r="G426" i="23"/>
  <c r="I426" i="23"/>
  <c r="J426" i="23"/>
  <c r="K426" i="23"/>
  <c r="X197" i="37"/>
  <c r="G753" i="23"/>
  <c r="I753" i="23"/>
  <c r="J753" i="23"/>
  <c r="K753" i="23"/>
  <c r="X198" i="37"/>
  <c r="G595" i="23"/>
  <c r="I595" i="23"/>
  <c r="J595" i="23"/>
  <c r="K595" i="23"/>
  <c r="X199" i="37"/>
  <c r="G741" i="23"/>
  <c r="I741" i="23"/>
  <c r="J741" i="23"/>
  <c r="K741" i="23"/>
  <c r="X200" i="37"/>
  <c r="X201" i="37"/>
  <c r="G685" i="23"/>
  <c r="I685" i="23"/>
  <c r="J685" i="23"/>
  <c r="K685" i="23"/>
  <c r="X202" i="37"/>
  <c r="G734" i="23"/>
  <c r="I734" i="23"/>
  <c r="J734" i="23"/>
  <c r="K734" i="23"/>
  <c r="X203" i="37"/>
  <c r="X204" i="37"/>
  <c r="G763" i="23"/>
  <c r="I763" i="23"/>
  <c r="J763" i="23"/>
  <c r="K763" i="23"/>
  <c r="X205" i="37"/>
  <c r="X206" i="37"/>
  <c r="G714" i="23"/>
  <c r="I714" i="23"/>
  <c r="J714" i="23"/>
  <c r="K714" i="23"/>
  <c r="X207" i="37"/>
  <c r="G701" i="23"/>
  <c r="I701" i="23"/>
  <c r="J701" i="23"/>
  <c r="K701" i="23"/>
  <c r="X208" i="37"/>
  <c r="G778" i="23"/>
  <c r="I778" i="23"/>
  <c r="J778" i="23"/>
  <c r="K778" i="23"/>
  <c r="X209" i="37"/>
  <c r="G624" i="23"/>
  <c r="I624" i="23"/>
  <c r="J624" i="23"/>
  <c r="K624" i="23"/>
  <c r="X210" i="37"/>
  <c r="G657" i="23"/>
  <c r="I657" i="23"/>
  <c r="J657" i="23"/>
  <c r="K657" i="23"/>
  <c r="X211" i="37"/>
  <c r="G562" i="23"/>
  <c r="I562" i="23"/>
  <c r="J562" i="23"/>
  <c r="K562" i="23"/>
  <c r="X212" i="37"/>
  <c r="G619" i="23"/>
  <c r="I619" i="23"/>
  <c r="J619" i="23"/>
  <c r="K619" i="23"/>
  <c r="X213" i="37"/>
  <c r="G743" i="23"/>
  <c r="I743" i="23"/>
  <c r="J743" i="23"/>
  <c r="K743" i="23"/>
  <c r="X214" i="37"/>
  <c r="G712" i="23"/>
  <c r="I712" i="23"/>
  <c r="J712" i="23"/>
  <c r="K712" i="23"/>
  <c r="X215" i="37"/>
  <c r="G760" i="23"/>
  <c r="I760" i="23"/>
  <c r="J760" i="23"/>
  <c r="K760" i="23"/>
  <c r="X216" i="37"/>
  <c r="X217" i="37"/>
  <c r="G642" i="23"/>
  <c r="I642" i="23"/>
  <c r="J642" i="23"/>
  <c r="K642" i="23"/>
  <c r="X218" i="37"/>
  <c r="G749" i="23"/>
  <c r="I749" i="23"/>
  <c r="J749" i="23"/>
  <c r="K749" i="23"/>
  <c r="X219" i="37"/>
  <c r="G520" i="23"/>
  <c r="I520" i="23"/>
  <c r="J520" i="23"/>
  <c r="K520" i="23"/>
  <c r="X220" i="37"/>
  <c r="G674" i="23"/>
  <c r="I674" i="23"/>
  <c r="J674" i="23"/>
  <c r="K674" i="23"/>
  <c r="X221" i="37"/>
  <c r="G751" i="23"/>
  <c r="I751" i="23"/>
  <c r="J751" i="23"/>
  <c r="K751" i="23"/>
  <c r="X222" i="37"/>
  <c r="X223" i="37"/>
  <c r="G723" i="23"/>
  <c r="I723" i="23"/>
  <c r="J723" i="23"/>
  <c r="K723" i="23"/>
  <c r="X224" i="37"/>
  <c r="G786" i="23"/>
  <c r="I786" i="23"/>
  <c r="J786" i="23"/>
  <c r="K786" i="23"/>
  <c r="X225" i="37"/>
  <c r="G635" i="23"/>
  <c r="I635" i="23"/>
  <c r="J635" i="23"/>
  <c r="K635" i="23"/>
  <c r="X226" i="37"/>
  <c r="G769" i="23"/>
  <c r="I769" i="23"/>
  <c r="J769" i="23"/>
  <c r="K769" i="23"/>
  <c r="X227" i="37"/>
  <c r="G660" i="23"/>
  <c r="I660" i="23"/>
  <c r="J660" i="23"/>
  <c r="K660" i="23"/>
  <c r="X228" i="37"/>
  <c r="X229" i="37"/>
  <c r="G666" i="23"/>
  <c r="I666" i="23"/>
  <c r="J666" i="23"/>
  <c r="K666" i="23"/>
  <c r="X230" i="37"/>
  <c r="G775" i="23"/>
  <c r="I775" i="23"/>
  <c r="J775" i="23"/>
  <c r="K775" i="23"/>
  <c r="X231" i="37"/>
  <c r="G536" i="23"/>
  <c r="I536" i="23"/>
  <c r="J536" i="23"/>
  <c r="K536" i="23"/>
  <c r="X232" i="37"/>
  <c r="G467" i="23"/>
  <c r="I467" i="23"/>
  <c r="J467" i="23"/>
  <c r="K467" i="23"/>
  <c r="X233" i="37"/>
  <c r="X234" i="37"/>
  <c r="G616" i="23"/>
  <c r="I616" i="23"/>
  <c r="J616" i="23"/>
  <c r="K616" i="23"/>
  <c r="X235" i="37"/>
  <c r="G436" i="23"/>
  <c r="I436" i="23"/>
  <c r="J436" i="23"/>
  <c r="K436" i="23"/>
  <c r="X236" i="37"/>
  <c r="G489" i="23"/>
  <c r="I489" i="23"/>
  <c r="J489" i="23"/>
  <c r="K489" i="23"/>
  <c r="X237" i="37"/>
  <c r="G809" i="23"/>
  <c r="I809" i="23"/>
  <c r="J809" i="23"/>
  <c r="K809" i="23"/>
  <c r="X238" i="37"/>
  <c r="G546" i="23"/>
  <c r="I546" i="23"/>
  <c r="J546" i="23"/>
  <c r="K546" i="23"/>
  <c r="X239" i="37"/>
  <c r="J557" i="23"/>
  <c r="K557" i="23"/>
  <c r="X240" i="37"/>
  <c r="G528" i="23"/>
  <c r="I528" i="23"/>
  <c r="J528" i="23"/>
  <c r="K528" i="23"/>
  <c r="X241" i="37"/>
  <c r="G510" i="23"/>
  <c r="I510" i="23"/>
  <c r="J510" i="23"/>
  <c r="K510" i="23"/>
  <c r="X242" i="37"/>
  <c r="G711" i="23"/>
  <c r="I711" i="23"/>
  <c r="J711" i="23"/>
  <c r="K711" i="23"/>
  <c r="X243" i="37"/>
  <c r="X244" i="37"/>
  <c r="G556" i="23"/>
  <c r="I556" i="23"/>
  <c r="J556" i="23"/>
  <c r="K556" i="23"/>
  <c r="X245" i="37"/>
  <c r="G738" i="23"/>
  <c r="I738" i="23"/>
  <c r="J738" i="23"/>
  <c r="K738" i="23"/>
  <c r="X246" i="37"/>
  <c r="G465" i="23"/>
  <c r="I465" i="23"/>
  <c r="J465" i="23"/>
  <c r="K465" i="23"/>
  <c r="X247" i="37"/>
  <c r="X248" i="37"/>
  <c r="G540" i="23"/>
  <c r="I540" i="23"/>
  <c r="J540" i="23"/>
  <c r="K540" i="23"/>
  <c r="X249" i="37"/>
  <c r="G644" i="23"/>
  <c r="I644" i="23"/>
  <c r="J644" i="23"/>
  <c r="K644" i="23"/>
  <c r="X250" i="37"/>
  <c r="G552" i="23"/>
  <c r="I552" i="23"/>
  <c r="J552" i="23"/>
  <c r="K552" i="23"/>
  <c r="X251" i="37"/>
  <c r="G514" i="23"/>
  <c r="I514" i="23"/>
  <c r="J514" i="23"/>
  <c r="K514" i="23"/>
  <c r="X252" i="37"/>
  <c r="G541" i="23"/>
  <c r="I541" i="23"/>
  <c r="J541" i="23"/>
  <c r="K541" i="23"/>
  <c r="X253" i="37"/>
  <c r="G549" i="23"/>
  <c r="I549" i="23"/>
  <c r="J549" i="23"/>
  <c r="K549" i="23"/>
  <c r="X254" i="37"/>
  <c r="G519" i="23"/>
  <c r="I519" i="23"/>
  <c r="J519" i="23"/>
  <c r="K519" i="23"/>
  <c r="X255" i="37"/>
  <c r="G764" i="23"/>
  <c r="I764" i="23"/>
  <c r="J764" i="23"/>
  <c r="K764" i="23"/>
  <c r="X256" i="37"/>
  <c r="G633" i="23"/>
  <c r="I633" i="23"/>
  <c r="J633" i="23"/>
  <c r="K633" i="23"/>
  <c r="X257" i="37"/>
  <c r="X258" i="37"/>
  <c r="G719" i="23"/>
  <c r="I719" i="23"/>
  <c r="J719" i="23"/>
  <c r="K719" i="23"/>
  <c r="X259" i="37"/>
  <c r="G689" i="23"/>
  <c r="I689" i="23"/>
  <c r="J689" i="23"/>
  <c r="K689" i="23"/>
  <c r="X260" i="37"/>
  <c r="G737" i="23"/>
  <c r="I737" i="23"/>
  <c r="J737" i="23"/>
  <c r="K737" i="23"/>
  <c r="X261" i="37"/>
  <c r="G620" i="23"/>
  <c r="I620" i="23"/>
  <c r="J620" i="23"/>
  <c r="K620" i="23"/>
  <c r="X262" i="37"/>
  <c r="G700" i="23"/>
  <c r="I700" i="23"/>
  <c r="J700" i="23"/>
  <c r="K700" i="23"/>
  <c r="X263" i="37"/>
  <c r="G571" i="23"/>
  <c r="I571" i="23"/>
  <c r="J571" i="23"/>
  <c r="K571" i="23"/>
  <c r="X264" i="37"/>
  <c r="G469" i="23"/>
  <c r="I469" i="23"/>
  <c r="J469" i="23"/>
  <c r="K469" i="23"/>
  <c r="X265" i="37"/>
  <c r="G560" i="23"/>
  <c r="I560" i="23"/>
  <c r="J560" i="23"/>
  <c r="K560" i="23"/>
  <c r="X266" i="37"/>
  <c r="G515" i="23"/>
  <c r="I515" i="23"/>
  <c r="J515" i="23"/>
  <c r="K515" i="23"/>
  <c r="X267" i="37"/>
  <c r="G437" i="23"/>
  <c r="I437" i="23"/>
  <c r="J437" i="23"/>
  <c r="K437" i="23"/>
  <c r="X268" i="37"/>
  <c r="G529" i="23"/>
  <c r="I529" i="23"/>
  <c r="J529" i="23"/>
  <c r="K529" i="23"/>
  <c r="X269" i="37"/>
  <c r="G586" i="23"/>
  <c r="I586" i="23"/>
  <c r="J586" i="23"/>
  <c r="K586" i="23"/>
  <c r="X270" i="37"/>
  <c r="G584" i="23"/>
  <c r="I584" i="23"/>
  <c r="J584" i="23"/>
  <c r="K584" i="23"/>
  <c r="X271" i="37"/>
  <c r="G495" i="23"/>
  <c r="I495" i="23"/>
  <c r="J495" i="23"/>
  <c r="K495" i="23"/>
  <c r="X272" i="37"/>
  <c r="G648" i="23"/>
  <c r="I648" i="23"/>
  <c r="J648" i="23"/>
  <c r="K648" i="23"/>
  <c r="X273" i="37"/>
  <c r="G561" i="23"/>
  <c r="I561" i="23"/>
  <c r="J561" i="23"/>
  <c r="K561" i="23"/>
  <c r="X274" i="37"/>
  <c r="G539" i="23"/>
  <c r="I539" i="23"/>
  <c r="J539" i="23"/>
  <c r="K539" i="23"/>
  <c r="X275" i="37"/>
  <c r="G494" i="23"/>
  <c r="I494" i="23"/>
  <c r="J494" i="23"/>
  <c r="K494" i="23"/>
  <c r="X276" i="37"/>
  <c r="G444" i="23"/>
  <c r="I444" i="23"/>
  <c r="J444" i="23"/>
  <c r="K444" i="23"/>
  <c r="X277" i="37"/>
  <c r="G583" i="23"/>
  <c r="I583" i="23"/>
  <c r="J583" i="23"/>
  <c r="K583" i="23"/>
  <c r="X278" i="37"/>
  <c r="G559" i="23"/>
  <c r="I559" i="23"/>
  <c r="J559" i="23"/>
  <c r="K559" i="23"/>
  <c r="X279" i="37"/>
  <c r="G517" i="23"/>
  <c r="I517" i="23"/>
  <c r="J517" i="23"/>
  <c r="K517" i="23"/>
  <c r="X280" i="37"/>
  <c r="G501" i="23"/>
  <c r="I501" i="23"/>
  <c r="J501" i="23"/>
  <c r="K501" i="23"/>
  <c r="X281" i="37"/>
  <c r="G511" i="23"/>
  <c r="I511" i="23"/>
  <c r="J511" i="23"/>
  <c r="K511" i="23"/>
  <c r="X282" i="37"/>
  <c r="G567" i="23"/>
  <c r="I567" i="23"/>
  <c r="J567" i="23"/>
  <c r="K567" i="23"/>
  <c r="X283" i="37"/>
  <c r="G521" i="23"/>
  <c r="I521" i="23"/>
  <c r="J521" i="23"/>
  <c r="K521" i="23"/>
  <c r="X284" i="37"/>
  <c r="G563" i="23"/>
  <c r="I563" i="23"/>
  <c r="J563" i="23"/>
  <c r="K563" i="23"/>
  <c r="X285" i="37"/>
  <c r="G589" i="23"/>
  <c r="I589" i="23"/>
  <c r="J589" i="23"/>
  <c r="K589" i="23"/>
  <c r="X286" i="37"/>
  <c r="G806" i="23"/>
  <c r="I806" i="23"/>
  <c r="J806" i="23"/>
  <c r="K806" i="23"/>
  <c r="X287" i="37"/>
  <c r="G801" i="23"/>
  <c r="I801" i="23"/>
  <c r="J801" i="23"/>
  <c r="K801" i="23"/>
  <c r="X288" i="37"/>
  <c r="J591" i="23"/>
  <c r="K591" i="23"/>
  <c r="X289" i="37"/>
  <c r="G454" i="23"/>
  <c r="I454" i="23"/>
  <c r="J454" i="23"/>
  <c r="K454" i="23"/>
  <c r="X290" i="37"/>
  <c r="G504" i="23"/>
  <c r="I504" i="23"/>
  <c r="J504" i="23"/>
  <c r="K504" i="23"/>
  <c r="X291" i="37"/>
  <c r="G538" i="23"/>
  <c r="I538" i="23"/>
  <c r="J538" i="23"/>
  <c r="K538" i="23"/>
  <c r="X292" i="37"/>
  <c r="G632" i="23"/>
  <c r="I632" i="23"/>
  <c r="J632" i="23"/>
  <c r="K632" i="23"/>
  <c r="X293" i="37"/>
  <c r="G478" i="23"/>
  <c r="I478" i="23"/>
  <c r="J478" i="23"/>
  <c r="K478" i="23"/>
  <c r="X294" i="37"/>
  <c r="G507" i="23"/>
  <c r="I507" i="23"/>
  <c r="J507" i="23"/>
  <c r="K507" i="23"/>
  <c r="X295" i="37"/>
  <c r="X296" i="37"/>
  <c r="G704" i="23"/>
  <c r="I704" i="23"/>
  <c r="J704" i="23"/>
  <c r="K704" i="23"/>
  <c r="X297" i="37"/>
  <c r="X298" i="37"/>
  <c r="G687" i="23"/>
  <c r="I687" i="23"/>
  <c r="J687" i="23"/>
  <c r="K687" i="23"/>
  <c r="X299" i="37"/>
  <c r="G587" i="23"/>
  <c r="I587" i="23"/>
  <c r="J587" i="23"/>
  <c r="K587" i="23"/>
  <c r="X300" i="37"/>
  <c r="G767" i="23"/>
  <c r="I767" i="23"/>
  <c r="J767" i="23"/>
  <c r="K767" i="23"/>
  <c r="X301" i="37"/>
  <c r="G602" i="23"/>
  <c r="I602" i="23"/>
  <c r="J602" i="23"/>
  <c r="K602" i="23"/>
  <c r="X302" i="37"/>
  <c r="G692" i="23"/>
  <c r="I692" i="23"/>
  <c r="J692" i="23"/>
  <c r="K692" i="23"/>
  <c r="X303" i="37"/>
  <c r="G421" i="23"/>
  <c r="I421" i="23"/>
  <c r="J421" i="23"/>
  <c r="K421" i="23"/>
  <c r="X304" i="37"/>
  <c r="G694" i="23"/>
  <c r="I694" i="23"/>
  <c r="J694" i="23"/>
  <c r="K694" i="23"/>
  <c r="X305" i="37"/>
  <c r="G487" i="23"/>
  <c r="I487" i="23"/>
  <c r="J487" i="23"/>
  <c r="K487" i="23"/>
  <c r="X306" i="37"/>
  <c r="X307" i="37"/>
  <c r="G535" i="23"/>
  <c r="I535" i="23"/>
  <c r="J535" i="23"/>
  <c r="K535" i="23"/>
  <c r="X308" i="37"/>
  <c r="G526" i="23"/>
  <c r="I526" i="23"/>
  <c r="J526" i="23"/>
  <c r="K526" i="23"/>
  <c r="X309" i="37"/>
  <c r="G811" i="23"/>
  <c r="I811" i="23"/>
  <c r="J811" i="23"/>
  <c r="K811" i="23"/>
  <c r="X310" i="37"/>
  <c r="G462" i="23"/>
  <c r="I462" i="23"/>
  <c r="J462" i="23"/>
  <c r="K462" i="23"/>
  <c r="X311" i="37"/>
  <c r="G588" i="23"/>
  <c r="I588" i="23"/>
  <c r="J588" i="23"/>
  <c r="K588" i="23"/>
  <c r="X312" i="37"/>
  <c r="G523" i="23"/>
  <c r="I523" i="23"/>
  <c r="J523" i="23"/>
  <c r="K523" i="23"/>
  <c r="X313" i="37"/>
  <c r="G745" i="23"/>
  <c r="I745" i="23"/>
  <c r="J745" i="23"/>
  <c r="K745" i="23"/>
  <c r="X314" i="37"/>
  <c r="G427" i="23"/>
  <c r="I427" i="23"/>
  <c r="J427" i="23"/>
  <c r="K427" i="23"/>
  <c r="X315" i="37"/>
  <c r="G794" i="23"/>
  <c r="I794" i="23"/>
  <c r="J794" i="23"/>
  <c r="K794" i="23"/>
  <c r="X316" i="37"/>
  <c r="G638" i="23"/>
  <c r="I638" i="23"/>
  <c r="J638" i="23"/>
  <c r="K638" i="23"/>
  <c r="X317" i="37"/>
  <c r="G442" i="23"/>
  <c r="I442" i="23"/>
  <c r="J442" i="23"/>
  <c r="K442" i="23"/>
  <c r="X318" i="37"/>
  <c r="G787" i="23"/>
  <c r="I787" i="23"/>
  <c r="J787" i="23"/>
  <c r="K787" i="23"/>
  <c r="X319" i="37"/>
  <c r="G423" i="23"/>
  <c r="I423" i="23"/>
  <c r="J423" i="23"/>
  <c r="K423" i="23"/>
  <c r="X320" i="37"/>
  <c r="G485" i="23"/>
  <c r="I485" i="23"/>
  <c r="J485" i="23"/>
  <c r="K485" i="23"/>
  <c r="X321" i="37"/>
  <c r="G493" i="23"/>
  <c r="I493" i="23"/>
  <c r="J493" i="23"/>
  <c r="K493" i="23"/>
  <c r="X322" i="37"/>
  <c r="G477" i="23"/>
  <c r="I477" i="23"/>
  <c r="J477" i="23"/>
  <c r="K477" i="23"/>
  <c r="X323" i="37"/>
  <c r="G569" i="23"/>
  <c r="I569" i="23"/>
  <c r="J569" i="23"/>
  <c r="K569" i="23"/>
  <c r="X324" i="37"/>
  <c r="G534" i="23"/>
  <c r="I534" i="23"/>
  <c r="J534" i="23"/>
  <c r="K534" i="23"/>
  <c r="X325" i="37"/>
  <c r="G551" i="23"/>
  <c r="I551" i="23"/>
  <c r="J551" i="23"/>
  <c r="K551" i="23"/>
  <c r="X326" i="37"/>
  <c r="G464" i="23"/>
  <c r="I464" i="23"/>
  <c r="J464" i="23"/>
  <c r="K464" i="23"/>
  <c r="X327" i="37"/>
  <c r="G641" i="23"/>
  <c r="I641" i="23"/>
  <c r="J641" i="23"/>
  <c r="K641" i="23"/>
  <c r="X328" i="37"/>
  <c r="G503" i="23"/>
  <c r="I503" i="23"/>
  <c r="J503" i="23"/>
  <c r="K503" i="23"/>
  <c r="X329" i="37"/>
  <c r="G785" i="23"/>
  <c r="I785" i="23"/>
  <c r="J785" i="23"/>
  <c r="K785" i="23"/>
  <c r="X330" i="37"/>
  <c r="G810" i="23"/>
  <c r="I810" i="23"/>
  <c r="J810" i="23"/>
  <c r="K810" i="23"/>
  <c r="X331" i="37"/>
  <c r="G802" i="23"/>
  <c r="I802" i="23"/>
  <c r="J802" i="23"/>
  <c r="K802" i="23"/>
  <c r="X332" i="37"/>
  <c r="G456" i="23"/>
  <c r="I456" i="23"/>
  <c r="J456" i="23"/>
  <c r="K456" i="23"/>
  <c r="X333" i="37"/>
  <c r="G783" i="23"/>
  <c r="I783" i="23"/>
  <c r="J783" i="23"/>
  <c r="K783" i="23"/>
  <c r="X334" i="37"/>
  <c r="G615" i="23"/>
  <c r="I615" i="23"/>
  <c r="J615" i="23"/>
  <c r="K615" i="23"/>
  <c r="X335" i="37"/>
  <c r="G792" i="23"/>
  <c r="I792" i="23"/>
  <c r="J792" i="23"/>
  <c r="K792" i="23"/>
  <c r="X336" i="37"/>
  <c r="G796" i="23"/>
  <c r="I796" i="23"/>
  <c r="J796" i="23"/>
  <c r="K796" i="23"/>
  <c r="X337" i="37"/>
  <c r="G432" i="23"/>
  <c r="I432" i="23"/>
  <c r="J432" i="23"/>
  <c r="K432" i="23"/>
  <c r="X338" i="37"/>
  <c r="G776" i="23"/>
  <c r="I776" i="23"/>
  <c r="J776" i="23"/>
  <c r="K776" i="23"/>
  <c r="X339" i="37"/>
  <c r="G790" i="23"/>
  <c r="I790" i="23"/>
  <c r="J790" i="23"/>
  <c r="K790" i="23"/>
  <c r="X340" i="37"/>
  <c r="X341" i="37"/>
  <c r="G791" i="23"/>
  <c r="I791" i="23"/>
  <c r="J791" i="23"/>
  <c r="K791" i="23"/>
  <c r="X342" i="37"/>
  <c r="G425" i="23"/>
  <c r="I425" i="23"/>
  <c r="J425" i="23"/>
  <c r="K425" i="23"/>
  <c r="X343" i="37"/>
  <c r="G463" i="23"/>
  <c r="I463" i="23"/>
  <c r="J463" i="23"/>
  <c r="K463" i="23"/>
  <c r="X344" i="37"/>
  <c r="X345" i="37"/>
  <c r="G530" i="23"/>
  <c r="I530" i="23"/>
  <c r="J530" i="23"/>
  <c r="K530" i="23"/>
  <c r="X346" i="37"/>
  <c r="G543" i="23"/>
  <c r="I543" i="23"/>
  <c r="J543" i="23"/>
  <c r="K543" i="23"/>
  <c r="X347" i="37"/>
  <c r="X348" i="37"/>
  <c r="X349" i="37"/>
  <c r="G729" i="23"/>
  <c r="I729" i="23"/>
  <c r="J729" i="23"/>
  <c r="K729" i="23"/>
  <c r="X350" i="37"/>
  <c r="G758" i="23"/>
  <c r="I758" i="23"/>
  <c r="J758" i="23"/>
  <c r="K758" i="23"/>
  <c r="X351" i="37"/>
  <c r="G627" i="23"/>
  <c r="I627" i="23"/>
  <c r="J627" i="23"/>
  <c r="K627" i="23"/>
  <c r="X352" i="37"/>
  <c r="X353" i="37"/>
  <c r="G434" i="23"/>
  <c r="I434" i="23"/>
  <c r="J434" i="23"/>
  <c r="K434" i="23"/>
  <c r="X354" i="37"/>
  <c r="G596" i="23"/>
  <c r="I596" i="23"/>
  <c r="J596" i="23"/>
  <c r="K596" i="23"/>
  <c r="X355" i="37"/>
  <c r="G452" i="23"/>
  <c r="I452" i="23"/>
  <c r="J452" i="23"/>
  <c r="K452" i="23"/>
  <c r="X356" i="37"/>
  <c r="G636" i="23"/>
  <c r="I636" i="23"/>
  <c r="J636" i="23"/>
  <c r="K636" i="23"/>
  <c r="X357" i="37"/>
  <c r="G617" i="23"/>
  <c r="I617" i="23"/>
  <c r="J617" i="23"/>
  <c r="K617" i="23"/>
  <c r="X358" i="37"/>
  <c r="G731" i="23"/>
  <c r="I731" i="23"/>
  <c r="J731" i="23"/>
  <c r="K731" i="23"/>
  <c r="X359" i="37"/>
  <c r="G558" i="23"/>
  <c r="I558" i="23"/>
  <c r="J558" i="23"/>
  <c r="K558" i="23"/>
  <c r="X360" i="37"/>
  <c r="X361" i="37"/>
  <c r="G630" i="23"/>
  <c r="I630" i="23"/>
  <c r="J630" i="23"/>
  <c r="K630" i="23"/>
  <c r="X362" i="37"/>
  <c r="G803" i="23"/>
  <c r="I803" i="23"/>
  <c r="J803" i="23"/>
  <c r="K803" i="23"/>
  <c r="X363" i="37"/>
  <c r="G508" i="23"/>
  <c r="I508" i="23"/>
  <c r="J508" i="23"/>
  <c r="K508" i="23"/>
  <c r="X364" i="37"/>
  <c r="G518" i="23"/>
  <c r="I518" i="23"/>
  <c r="J518" i="23"/>
  <c r="K518" i="23"/>
  <c r="X365" i="37"/>
  <c r="G705" i="23"/>
  <c r="I705" i="23"/>
  <c r="J705" i="23"/>
  <c r="K705" i="23"/>
  <c r="X366" i="37"/>
  <c r="G449" i="23"/>
  <c r="I449" i="23"/>
  <c r="J449" i="23"/>
  <c r="K449" i="23"/>
  <c r="X367" i="37"/>
  <c r="G599" i="23"/>
  <c r="I599" i="23"/>
  <c r="J599" i="23"/>
  <c r="K599" i="23"/>
  <c r="X368" i="37"/>
  <c r="G447" i="23"/>
  <c r="I447" i="23"/>
  <c r="J447" i="23"/>
  <c r="K447" i="23"/>
  <c r="X369" i="37"/>
  <c r="G542" i="23"/>
  <c r="I542" i="23"/>
  <c r="J542" i="23"/>
  <c r="K542" i="23"/>
  <c r="X370" i="37"/>
  <c r="G481" i="23"/>
  <c r="I481" i="23"/>
  <c r="J481" i="23"/>
  <c r="K481" i="23"/>
  <c r="X371" i="37"/>
  <c r="G498" i="23"/>
  <c r="I498" i="23"/>
  <c r="J498" i="23"/>
  <c r="K498" i="23"/>
  <c r="X372" i="37"/>
  <c r="G420" i="23"/>
  <c r="I420" i="23"/>
  <c r="J420" i="23"/>
  <c r="K420" i="23"/>
  <c r="X373" i="37"/>
  <c r="G740" i="23"/>
  <c r="I740" i="23"/>
  <c r="J740" i="23"/>
  <c r="K740" i="23"/>
  <c r="X374" i="37"/>
  <c r="G784" i="23"/>
  <c r="I784" i="23"/>
  <c r="J784" i="23"/>
  <c r="K784" i="23"/>
  <c r="X375" i="37"/>
  <c r="G533" i="23"/>
  <c r="I533" i="23"/>
  <c r="J533" i="23"/>
  <c r="K533" i="23"/>
  <c r="X376" i="37"/>
  <c r="G579" i="23"/>
  <c r="I579" i="23"/>
  <c r="J579" i="23"/>
  <c r="K579" i="23"/>
  <c r="X377" i="37"/>
  <c r="G496" i="23"/>
  <c r="I496" i="23"/>
  <c r="J496" i="23"/>
  <c r="K496" i="23"/>
  <c r="X378" i="37"/>
  <c r="G613" i="23"/>
  <c r="I613" i="23"/>
  <c r="J613" i="23"/>
  <c r="K613" i="23"/>
  <c r="X379" i="37"/>
  <c r="G597" i="23"/>
  <c r="I597" i="23"/>
  <c r="J597" i="23"/>
  <c r="K597" i="23"/>
  <c r="X380" i="37"/>
  <c r="G780" i="23"/>
  <c r="I780" i="23"/>
  <c r="J780" i="23"/>
  <c r="K780" i="23"/>
  <c r="X381" i="37"/>
  <c r="G554" i="23"/>
  <c r="I554" i="23"/>
  <c r="J554" i="23"/>
  <c r="K554" i="23"/>
  <c r="X382" i="37"/>
  <c r="X383" i="37"/>
  <c r="G476" i="23"/>
  <c r="I476" i="23"/>
  <c r="J476" i="23"/>
  <c r="K476" i="23"/>
  <c r="X384" i="37"/>
  <c r="G695" i="23"/>
  <c r="I695" i="23"/>
  <c r="J695" i="23"/>
  <c r="K695" i="23"/>
  <c r="X385" i="37"/>
  <c r="G789" i="23"/>
  <c r="I789" i="23"/>
  <c r="J789" i="23"/>
  <c r="K789" i="23"/>
  <c r="X386" i="37"/>
  <c r="G603" i="23"/>
  <c r="I603" i="23"/>
  <c r="J603" i="23"/>
  <c r="K603" i="23"/>
  <c r="X387" i="37"/>
  <c r="G445" i="23"/>
  <c r="I445" i="23"/>
  <c r="J445" i="23"/>
  <c r="K445" i="23"/>
  <c r="X388" i="37"/>
  <c r="X389" i="37"/>
  <c r="G725" i="23"/>
  <c r="I725" i="23"/>
  <c r="J725" i="23"/>
  <c r="K725" i="23"/>
  <c r="X390" i="37"/>
  <c r="G765" i="23"/>
  <c r="I765" i="23"/>
  <c r="J765" i="23"/>
  <c r="K765" i="23"/>
  <c r="X391" i="37"/>
  <c r="G754" i="23"/>
  <c r="I754" i="23"/>
  <c r="J754" i="23"/>
  <c r="K754" i="23"/>
  <c r="X392" i="37"/>
  <c r="G742" i="23"/>
  <c r="I742" i="23"/>
  <c r="J742" i="23"/>
  <c r="K742" i="23"/>
  <c r="X393" i="37"/>
  <c r="G677" i="23"/>
  <c r="I677" i="23"/>
  <c r="J677" i="23"/>
  <c r="K677" i="23"/>
  <c r="X394" i="37"/>
  <c r="G678" i="23"/>
  <c r="I678" i="23"/>
  <c r="J678" i="23"/>
  <c r="K678" i="23"/>
  <c r="X395" i="37"/>
  <c r="G419" i="23"/>
  <c r="I419" i="23"/>
  <c r="J419" i="23"/>
  <c r="K419" i="23"/>
  <c r="X396" i="37"/>
  <c r="G513" i="23"/>
  <c r="I513" i="23"/>
  <c r="J513" i="23"/>
  <c r="K513" i="23"/>
  <c r="X397" i="37"/>
  <c r="G675" i="23"/>
  <c r="I675" i="23"/>
  <c r="J675" i="23"/>
  <c r="K675" i="23"/>
  <c r="X398" i="37"/>
  <c r="G658" i="23"/>
  <c r="I658" i="23"/>
  <c r="J658" i="23"/>
  <c r="K658" i="23"/>
  <c r="X399" i="37"/>
  <c r="G718" i="23"/>
  <c r="I718" i="23"/>
  <c r="J718" i="23"/>
  <c r="K718" i="23"/>
  <c r="X400" i="37"/>
  <c r="G771" i="23"/>
  <c r="I771" i="23"/>
  <c r="J771" i="23"/>
  <c r="K771" i="23"/>
  <c r="X401" i="37"/>
  <c r="G690" i="23"/>
  <c r="I690" i="23"/>
  <c r="J690" i="23"/>
  <c r="K690" i="23"/>
  <c r="X402" i="37"/>
  <c r="G688" i="23"/>
  <c r="I688" i="23"/>
  <c r="J688" i="23"/>
  <c r="K688" i="23"/>
  <c r="X403" i="37"/>
  <c r="G555" i="23"/>
  <c r="I555" i="23"/>
  <c r="J555" i="23"/>
  <c r="K555" i="23"/>
  <c r="X404" i="37"/>
  <c r="G728" i="23"/>
  <c r="I728" i="23"/>
  <c r="J728" i="23"/>
  <c r="K728" i="23"/>
  <c r="X405" i="37"/>
  <c r="G669" i="23"/>
  <c r="I669" i="23"/>
  <c r="J669" i="23"/>
  <c r="K669" i="23"/>
  <c r="X406" i="37"/>
  <c r="J707" i="23"/>
  <c r="K707" i="23"/>
  <c r="X407" i="37"/>
  <c r="G756" i="23"/>
  <c r="I756" i="23"/>
  <c r="J756" i="23"/>
  <c r="K756" i="23"/>
  <c r="X408" i="37"/>
  <c r="G580" i="23"/>
  <c r="I580" i="23"/>
  <c r="J580" i="23"/>
  <c r="K580" i="23"/>
  <c r="X409" i="37"/>
  <c r="G699" i="23"/>
  <c r="I699" i="23"/>
  <c r="J699" i="23"/>
  <c r="K699" i="23"/>
  <c r="X410" i="37"/>
  <c r="G662" i="23"/>
  <c r="I662" i="23"/>
  <c r="J662" i="23"/>
  <c r="K662" i="23"/>
  <c r="X411" i="37"/>
  <c r="X412" i="37"/>
  <c r="G722" i="23"/>
  <c r="I722" i="23"/>
  <c r="J722" i="23"/>
  <c r="K722" i="23"/>
  <c r="X413" i="37"/>
  <c r="G703" i="23"/>
  <c r="I703" i="23"/>
  <c r="J703" i="23"/>
  <c r="K703" i="23"/>
  <c r="X414" i="37"/>
  <c r="G772" i="23"/>
  <c r="I772" i="23"/>
  <c r="J772" i="23"/>
  <c r="K772" i="23"/>
  <c r="X415" i="37"/>
  <c r="G744" i="23"/>
  <c r="I744" i="23"/>
  <c r="J744" i="23"/>
  <c r="K744" i="23"/>
  <c r="X416" i="37"/>
  <c r="G622" i="23"/>
  <c r="I622" i="23"/>
  <c r="J622" i="23"/>
  <c r="K622" i="23"/>
  <c r="X417" i="37"/>
  <c r="G651" i="23"/>
  <c r="I651" i="23"/>
  <c r="J651" i="23"/>
  <c r="K651" i="23"/>
  <c r="X418" i="37"/>
  <c r="G656" i="23"/>
  <c r="I656" i="23"/>
  <c r="J656" i="23"/>
  <c r="K656" i="23"/>
  <c r="X419" i="37"/>
  <c r="G668" i="23"/>
  <c r="I668" i="23"/>
  <c r="J668" i="23"/>
  <c r="K668" i="23"/>
  <c r="X420" i="37"/>
  <c r="G730" i="23"/>
  <c r="I730" i="23"/>
  <c r="J730" i="23"/>
  <c r="K730" i="23"/>
  <c r="X421" i="37"/>
  <c r="G618" i="23"/>
  <c r="I618" i="23"/>
  <c r="J618" i="23"/>
  <c r="K618" i="23"/>
  <c r="X422" i="37"/>
  <c r="G614" i="23"/>
  <c r="I614" i="23"/>
  <c r="J614" i="23"/>
  <c r="K614" i="23"/>
  <c r="X423" i="37"/>
  <c r="G697" i="23"/>
  <c r="I697" i="23"/>
  <c r="J697" i="23"/>
  <c r="K697" i="23"/>
  <c r="X424" i="37"/>
  <c r="G625" i="23"/>
  <c r="I625" i="23"/>
  <c r="J625" i="23"/>
  <c r="K625" i="23"/>
  <c r="X425" i="37"/>
  <c r="G770" i="23"/>
  <c r="I770" i="23"/>
  <c r="J770" i="23"/>
  <c r="K770" i="23"/>
  <c r="X426" i="37"/>
  <c r="G659" i="23"/>
  <c r="I659" i="23"/>
  <c r="J659" i="23"/>
  <c r="K659" i="23"/>
  <c r="X427" i="37"/>
  <c r="G774" i="23"/>
  <c r="I774" i="23"/>
  <c r="J774" i="23"/>
  <c r="K774" i="23"/>
  <c r="X428" i="37"/>
  <c r="G652" i="23"/>
  <c r="I652" i="23"/>
  <c r="J652" i="23"/>
  <c r="K652" i="23"/>
  <c r="X429" i="37"/>
  <c r="G773" i="23"/>
  <c r="I773" i="23"/>
  <c r="J773" i="23"/>
  <c r="K773" i="23"/>
  <c r="X430" i="37"/>
  <c r="G721" i="23"/>
  <c r="I721" i="23"/>
  <c r="J721" i="23"/>
  <c r="K721" i="23"/>
  <c r="X431" i="37"/>
  <c r="G665" i="23"/>
  <c r="I665" i="23"/>
  <c r="J665" i="23"/>
  <c r="K665" i="23"/>
  <c r="X432" i="37"/>
  <c r="G490" i="23"/>
  <c r="I490" i="23"/>
  <c r="J490" i="23"/>
  <c r="K490" i="23"/>
  <c r="X433" i="37"/>
  <c r="G716" i="23"/>
  <c r="I716" i="23"/>
  <c r="J716" i="23"/>
  <c r="K716" i="23"/>
  <c r="X434" i="37"/>
  <c r="G739" i="23"/>
  <c r="I739" i="23"/>
  <c r="J739" i="23"/>
  <c r="K739" i="23"/>
  <c r="X435" i="37"/>
  <c r="G650" i="23"/>
  <c r="I650" i="23"/>
  <c r="J650" i="23"/>
  <c r="K650" i="23"/>
  <c r="X436" i="37"/>
  <c r="X437" i="37"/>
  <c r="G746" i="23"/>
  <c r="I746" i="23"/>
  <c r="J746" i="23"/>
  <c r="K746" i="23"/>
  <c r="X438" i="37"/>
  <c r="G459" i="23"/>
  <c r="I459" i="23"/>
  <c r="J459" i="23"/>
  <c r="K459" i="23"/>
  <c r="X439" i="37"/>
  <c r="G604" i="23"/>
  <c r="I604" i="23"/>
  <c r="J604" i="23"/>
  <c r="K604" i="23"/>
  <c r="X440" i="37"/>
  <c r="G653" i="23"/>
  <c r="I653" i="23"/>
  <c r="J653" i="23"/>
  <c r="K653" i="23"/>
  <c r="X441" i="37"/>
  <c r="G761" i="23"/>
  <c r="I761" i="23"/>
  <c r="J761" i="23"/>
  <c r="K761" i="23"/>
  <c r="X442" i="37"/>
  <c r="G488" i="23"/>
  <c r="I488" i="23"/>
  <c r="J488" i="23"/>
  <c r="K488" i="23"/>
  <c r="X443" i="37"/>
  <c r="G710" i="23"/>
  <c r="I710" i="23"/>
  <c r="J710" i="23"/>
  <c r="K710" i="23"/>
  <c r="X444" i="37"/>
  <c r="G750" i="23"/>
  <c r="I750" i="23"/>
  <c r="J750" i="23"/>
  <c r="K750" i="23"/>
  <c r="X445" i="37"/>
  <c r="G683" i="23"/>
  <c r="I683" i="23"/>
  <c r="J683" i="23"/>
  <c r="K683" i="23"/>
  <c r="X446" i="37"/>
  <c r="G757" i="23"/>
  <c r="I757" i="23"/>
  <c r="J757" i="23"/>
  <c r="K757" i="23"/>
  <c r="X447" i="37"/>
  <c r="G631" i="23"/>
  <c r="I631" i="23"/>
  <c r="J631" i="23"/>
  <c r="K631" i="23"/>
  <c r="X448" i="37"/>
  <c r="G667" i="23"/>
  <c r="I667" i="23"/>
  <c r="J667" i="23"/>
  <c r="K667" i="23"/>
  <c r="X449" i="37"/>
  <c r="G736" i="23"/>
  <c r="I736" i="23"/>
  <c r="J736" i="23"/>
  <c r="K736" i="23"/>
  <c r="X450" i="37"/>
  <c r="G649" i="23"/>
  <c r="I649" i="23"/>
  <c r="J649" i="23"/>
  <c r="K649" i="23"/>
  <c r="X451" i="37"/>
  <c r="G570" i="23"/>
  <c r="I570" i="23"/>
  <c r="J570" i="23"/>
  <c r="K570" i="23"/>
  <c r="X452" i="37"/>
  <c r="G748" i="23"/>
  <c r="I748" i="23"/>
  <c r="J748" i="23"/>
  <c r="K748" i="23"/>
  <c r="X453" i="37"/>
  <c r="X454" i="37"/>
  <c r="G646" i="23"/>
  <c r="I646" i="23"/>
  <c r="J646" i="23"/>
  <c r="K646" i="23"/>
  <c r="X455" i="37"/>
  <c r="G509" i="23"/>
  <c r="I509" i="23"/>
  <c r="J509" i="23"/>
  <c r="K509" i="23"/>
  <c r="X456" i="37"/>
  <c r="G527" i="23"/>
  <c r="I527" i="23"/>
  <c r="J527" i="23"/>
  <c r="K527" i="23"/>
  <c r="X457" i="37"/>
  <c r="G564" i="23"/>
  <c r="I564" i="23"/>
  <c r="J564" i="23"/>
  <c r="K564" i="23"/>
  <c r="X458" i="37"/>
  <c r="G516" i="23"/>
  <c r="I516" i="23"/>
  <c r="J516" i="23"/>
  <c r="K516" i="23"/>
  <c r="X459" i="37"/>
  <c r="G609" i="23"/>
  <c r="I609" i="23"/>
  <c r="J609" i="23"/>
  <c r="K609" i="23"/>
  <c r="X460" i="37"/>
  <c r="G512" i="23"/>
  <c r="I512" i="23"/>
  <c r="J512" i="23"/>
  <c r="K512" i="23"/>
  <c r="X461" i="37"/>
  <c r="G491" i="23"/>
  <c r="I491" i="23"/>
  <c r="J491" i="23"/>
  <c r="K491" i="23"/>
  <c r="X462" i="37"/>
  <c r="G550" i="23"/>
  <c r="I550" i="23"/>
  <c r="J550" i="23"/>
  <c r="K550" i="23"/>
  <c r="X463" i="37"/>
  <c r="G605" i="23"/>
  <c r="I605" i="23"/>
  <c r="J605" i="23"/>
  <c r="K605" i="23"/>
  <c r="X464" i="37"/>
  <c r="G762" i="23"/>
  <c r="I762" i="23"/>
  <c r="J762" i="23"/>
  <c r="K762" i="23"/>
  <c r="X465" i="37"/>
  <c r="G640" i="23"/>
  <c r="I640" i="23"/>
  <c r="J640" i="23"/>
  <c r="K640" i="23"/>
  <c r="X466" i="37"/>
  <c r="X467" i="37"/>
  <c r="G424" i="23"/>
  <c r="I424" i="23"/>
  <c r="J424" i="23"/>
  <c r="K424" i="23"/>
  <c r="X468" i="37"/>
  <c r="G592" i="23"/>
  <c r="I592" i="23"/>
  <c r="J592" i="23"/>
  <c r="K592" i="23"/>
  <c r="X469" i="37"/>
  <c r="G663" i="23"/>
  <c r="I663" i="23"/>
  <c r="J663" i="23"/>
  <c r="K663" i="23"/>
  <c r="X470" i="37"/>
  <c r="G673" i="23"/>
  <c r="I673" i="23"/>
  <c r="J673" i="23"/>
  <c r="K673" i="23"/>
  <c r="X471" i="37"/>
  <c r="G655" i="23"/>
  <c r="I655" i="23"/>
  <c r="J655" i="23"/>
  <c r="K655" i="23"/>
  <c r="X472" i="37"/>
  <c r="G670" i="23"/>
  <c r="I670" i="23"/>
  <c r="J670" i="23"/>
  <c r="K670" i="23"/>
  <c r="X473" i="37"/>
  <c r="G522" i="23"/>
  <c r="I522" i="23"/>
  <c r="J522" i="23"/>
  <c r="K522" i="23"/>
  <c r="X474" i="37"/>
  <c r="G537" i="23"/>
  <c r="I537" i="23"/>
  <c r="J537" i="23"/>
  <c r="K537" i="23"/>
  <c r="X475" i="37"/>
  <c r="G532" i="23"/>
  <c r="I532" i="23"/>
  <c r="J532" i="23"/>
  <c r="K532" i="23"/>
  <c r="X476" i="37"/>
  <c r="G715" i="23"/>
  <c r="I715" i="23"/>
  <c r="J715" i="23"/>
  <c r="K715" i="23"/>
  <c r="X477" i="37"/>
  <c r="G531" i="23"/>
  <c r="I531" i="23"/>
  <c r="J531" i="23"/>
  <c r="K531" i="23"/>
  <c r="X478" i="37"/>
  <c r="G735" i="23"/>
  <c r="I735" i="23"/>
  <c r="J735" i="23"/>
  <c r="K735" i="23"/>
  <c r="X479" i="37"/>
  <c r="G717" i="23"/>
  <c r="I717" i="23"/>
  <c r="J717" i="23"/>
  <c r="K717" i="23"/>
  <c r="X480" i="37"/>
  <c r="G483" i="23"/>
  <c r="I483" i="23"/>
  <c r="J483" i="23"/>
  <c r="K483" i="23"/>
  <c r="X481" i="37"/>
  <c r="G759" i="23"/>
  <c r="I759" i="23"/>
  <c r="J759" i="23"/>
  <c r="K759" i="23"/>
  <c r="X482" i="37"/>
  <c r="G497" i="23"/>
  <c r="I497" i="23"/>
  <c r="J497" i="23"/>
  <c r="K497" i="23"/>
  <c r="X483" i="37"/>
  <c r="G492" i="23"/>
  <c r="I492" i="23"/>
  <c r="J492" i="23"/>
  <c r="K492" i="23"/>
  <c r="X484" i="37"/>
  <c r="G500" i="23"/>
  <c r="I500" i="23"/>
  <c r="J500" i="23"/>
  <c r="K500" i="23"/>
  <c r="X485" i="37"/>
  <c r="G594" i="23"/>
  <c r="I594" i="23"/>
  <c r="J594" i="23"/>
  <c r="K594" i="23"/>
  <c r="X486" i="37"/>
  <c r="G568" i="23"/>
  <c r="I568" i="23"/>
  <c r="J568" i="23"/>
  <c r="K568" i="23"/>
  <c r="X487" i="37"/>
  <c r="G577" i="23"/>
  <c r="I577" i="23"/>
  <c r="J577" i="23"/>
  <c r="K577" i="23"/>
  <c r="X488" i="37"/>
  <c r="G472" i="23"/>
  <c r="I472" i="23"/>
  <c r="J472" i="23"/>
  <c r="K472" i="23"/>
  <c r="X489" i="37"/>
  <c r="G505" i="23"/>
  <c r="I505" i="23"/>
  <c r="J505" i="23"/>
  <c r="K505" i="23"/>
  <c r="X490" i="37"/>
  <c r="G575" i="23"/>
  <c r="I575" i="23"/>
  <c r="J575" i="23"/>
  <c r="K575" i="23"/>
  <c r="X491" i="37"/>
  <c r="G581" i="23"/>
  <c r="I581" i="23"/>
  <c r="J581" i="23"/>
  <c r="K581" i="23"/>
  <c r="X492" i="37"/>
  <c r="G473" i="23"/>
  <c r="I473" i="23"/>
  <c r="J473" i="23"/>
  <c r="K473" i="23"/>
  <c r="X493" i="37"/>
  <c r="X494" i="37"/>
  <c r="G573" i="23"/>
  <c r="I573" i="23"/>
  <c r="J573" i="23"/>
  <c r="K573" i="23"/>
  <c r="X495" i="37"/>
  <c r="G600" i="23"/>
  <c r="I600" i="23"/>
  <c r="J600" i="23"/>
  <c r="K600" i="23"/>
  <c r="X496" i="37"/>
  <c r="G480" i="23"/>
  <c r="I480" i="23"/>
  <c r="J480" i="23"/>
  <c r="K480" i="23"/>
  <c r="X497" i="37"/>
  <c r="G565" i="23"/>
  <c r="I565" i="23"/>
  <c r="J565" i="23"/>
  <c r="K565" i="23"/>
  <c r="X498" i="37"/>
  <c r="G448" i="23"/>
  <c r="I448" i="23"/>
  <c r="J448" i="23"/>
  <c r="K448" i="23"/>
  <c r="X499" i="37"/>
  <c r="G805" i="23"/>
  <c r="I805" i="23"/>
  <c r="J805" i="23"/>
  <c r="K805" i="23"/>
  <c r="X500" i="37"/>
  <c r="G553" i="23"/>
  <c r="I553" i="23"/>
  <c r="J553" i="23"/>
  <c r="K553" i="23"/>
  <c r="X501" i="37"/>
  <c r="G458" i="23"/>
  <c r="I458" i="23"/>
  <c r="J458" i="23"/>
  <c r="K458" i="23"/>
  <c r="X502" i="37"/>
  <c r="G637" i="23"/>
  <c r="I637" i="23"/>
  <c r="J637" i="23"/>
  <c r="K637" i="23"/>
  <c r="X503" i="37"/>
  <c r="G451" i="23"/>
  <c r="I451" i="23"/>
  <c r="J451" i="23"/>
  <c r="K451" i="23"/>
  <c r="X504" i="37"/>
  <c r="G598" i="23"/>
  <c r="I598" i="23"/>
  <c r="J598" i="23"/>
  <c r="K598" i="23"/>
  <c r="X505" i="37"/>
  <c r="G766" i="23"/>
  <c r="I766" i="23"/>
  <c r="J766" i="23"/>
  <c r="K766" i="23"/>
  <c r="X506" i="37"/>
  <c r="G441" i="23"/>
  <c r="I441" i="23"/>
  <c r="J441" i="23"/>
  <c r="K441" i="23"/>
  <c r="X507" i="37"/>
  <c r="G428" i="23"/>
  <c r="I428" i="23"/>
  <c r="J428" i="23"/>
  <c r="K428" i="23"/>
  <c r="X508" i="37"/>
  <c r="G610" i="23"/>
  <c r="I610" i="23"/>
  <c r="J610" i="23"/>
  <c r="K610" i="23"/>
  <c r="X509" i="37"/>
  <c r="G626" i="23"/>
  <c r="I626" i="23"/>
  <c r="J626" i="23"/>
  <c r="K626" i="23"/>
  <c r="X510" i="37"/>
  <c r="G643" i="23"/>
  <c r="I643" i="23"/>
  <c r="J643" i="23"/>
  <c r="K643" i="23"/>
  <c r="X511" i="37"/>
  <c r="G608" i="23"/>
  <c r="I608" i="23"/>
  <c r="J608" i="23"/>
  <c r="K608" i="23"/>
  <c r="X512" i="37"/>
  <c r="G422" i="23"/>
  <c r="I422" i="23"/>
  <c r="J422" i="23"/>
  <c r="K422" i="23"/>
  <c r="X513" i="37"/>
  <c r="G572" i="23"/>
  <c r="I572" i="23"/>
  <c r="J572" i="23"/>
  <c r="K572" i="23"/>
  <c r="X514" i="37"/>
  <c r="G548" i="23"/>
  <c r="I548" i="23"/>
  <c r="J548" i="23"/>
  <c r="K548" i="23"/>
  <c r="X515" i="37"/>
  <c r="G475" i="23"/>
  <c r="I475" i="23"/>
  <c r="J475" i="23"/>
  <c r="K475" i="23"/>
  <c r="X76" i="37"/>
  <c r="G162" i="23"/>
  <c r="I162" i="23"/>
  <c r="J162" i="23"/>
  <c r="K162" i="23"/>
  <c r="W77" i="37"/>
  <c r="W78" i="37"/>
  <c r="W79" i="37"/>
  <c r="G103" i="23"/>
  <c r="I103" i="23"/>
  <c r="J103" i="23"/>
  <c r="K103" i="23"/>
  <c r="W80" i="37"/>
  <c r="G74" i="23"/>
  <c r="I74" i="23"/>
  <c r="J74" i="23"/>
  <c r="K74" i="23"/>
  <c r="W81" i="37"/>
  <c r="G78" i="23"/>
  <c r="I78" i="23"/>
  <c r="J78" i="23"/>
  <c r="K78" i="23"/>
  <c r="W82" i="37"/>
  <c r="G45" i="23"/>
  <c r="I45" i="23"/>
  <c r="J45" i="23"/>
  <c r="K45" i="23"/>
  <c r="W83" i="37"/>
  <c r="G118" i="23"/>
  <c r="I118" i="23"/>
  <c r="J118" i="23"/>
  <c r="K118" i="23"/>
  <c r="W84" i="37"/>
  <c r="G16" i="23"/>
  <c r="I16" i="23"/>
  <c r="J16" i="23"/>
  <c r="K16" i="23"/>
  <c r="W85" i="37"/>
  <c r="G141" i="23"/>
  <c r="I141" i="23"/>
  <c r="J141" i="23"/>
  <c r="K141" i="23"/>
  <c r="W86" i="37"/>
  <c r="W87" i="37"/>
  <c r="G180" i="23"/>
  <c r="I180" i="23"/>
  <c r="J180" i="23"/>
  <c r="K180" i="23"/>
  <c r="W88" i="37"/>
  <c r="G190" i="23"/>
  <c r="I190" i="23"/>
  <c r="J190" i="23"/>
  <c r="K190" i="23"/>
  <c r="W89" i="37"/>
  <c r="G7" i="23"/>
  <c r="I7" i="23"/>
  <c r="J7" i="23"/>
  <c r="K7" i="23"/>
  <c r="W90" i="37"/>
  <c r="G51" i="23"/>
  <c r="I51" i="23"/>
  <c r="J51" i="23"/>
  <c r="K51" i="23"/>
  <c r="W91" i="37"/>
  <c r="G163" i="23"/>
  <c r="I163" i="23"/>
  <c r="J163" i="23"/>
  <c r="K163" i="23"/>
  <c r="W92" i="37"/>
  <c r="G57" i="23"/>
  <c r="I57" i="23"/>
  <c r="J57" i="23"/>
  <c r="K57" i="23"/>
  <c r="W93" i="37"/>
  <c r="G8" i="23"/>
  <c r="I8" i="23"/>
  <c r="J8" i="23"/>
  <c r="K8" i="23"/>
  <c r="W94" i="37"/>
  <c r="G126" i="23"/>
  <c r="I126" i="23"/>
  <c r="J126" i="23"/>
  <c r="K126" i="23"/>
  <c r="W95" i="37"/>
  <c r="G257" i="23"/>
  <c r="I257" i="23"/>
  <c r="J257" i="23"/>
  <c r="K257" i="23"/>
  <c r="W96" i="37"/>
  <c r="G167" i="23"/>
  <c r="I167" i="23"/>
  <c r="J167" i="23"/>
  <c r="K167" i="23"/>
  <c r="W97" i="37"/>
  <c r="G100" i="23"/>
  <c r="I100" i="23"/>
  <c r="J100" i="23"/>
  <c r="K100" i="23"/>
  <c r="W98" i="37"/>
  <c r="G345" i="23"/>
  <c r="I345" i="23"/>
  <c r="J345" i="23"/>
  <c r="K345" i="23"/>
  <c r="W99" i="37"/>
  <c r="G52" i="23"/>
  <c r="I52" i="23"/>
  <c r="J52" i="23"/>
  <c r="K52" i="23"/>
  <c r="W100" i="37"/>
  <c r="G219" i="23"/>
  <c r="I219" i="23"/>
  <c r="J219" i="23"/>
  <c r="K219" i="23"/>
  <c r="W101" i="37"/>
  <c r="G172" i="23"/>
  <c r="I172" i="23"/>
  <c r="J172" i="23"/>
  <c r="K172" i="23"/>
  <c r="W102" i="37"/>
  <c r="G260" i="23"/>
  <c r="I260" i="23"/>
  <c r="J260" i="23"/>
  <c r="K260" i="23"/>
  <c r="W103" i="37"/>
  <c r="G367" i="23"/>
  <c r="I367" i="23"/>
  <c r="J367" i="23"/>
  <c r="K367" i="23"/>
  <c r="W104" i="37"/>
  <c r="G120" i="23"/>
  <c r="I120" i="23"/>
  <c r="J120" i="23"/>
  <c r="K120" i="23"/>
  <c r="W105" i="37"/>
  <c r="G50" i="23"/>
  <c r="I50" i="23"/>
  <c r="J50" i="23"/>
  <c r="K50" i="23"/>
  <c r="W106" i="37"/>
  <c r="G129" i="23"/>
  <c r="I129" i="23"/>
  <c r="J129" i="23"/>
  <c r="K129" i="23"/>
  <c r="W107" i="37"/>
  <c r="G35" i="23"/>
  <c r="I35" i="23"/>
  <c r="J35" i="23"/>
  <c r="K35" i="23"/>
  <c r="W108" i="37"/>
  <c r="G119" i="23"/>
  <c r="I119" i="23"/>
  <c r="J119" i="23"/>
  <c r="K119" i="23"/>
  <c r="W109" i="37"/>
  <c r="G232" i="23"/>
  <c r="I232" i="23"/>
  <c r="J232" i="23"/>
  <c r="K232" i="23"/>
  <c r="W110" i="37"/>
  <c r="G112" i="23"/>
  <c r="I112" i="23"/>
  <c r="J112" i="23"/>
  <c r="K112" i="23"/>
  <c r="W111" i="37"/>
  <c r="G31" i="23"/>
  <c r="I31" i="23"/>
  <c r="J31" i="23"/>
  <c r="K31" i="23"/>
  <c r="W112" i="37"/>
  <c r="G105" i="23"/>
  <c r="I105" i="23"/>
  <c r="J105" i="23"/>
  <c r="K105" i="23"/>
  <c r="W113" i="37"/>
  <c r="G4" i="23"/>
  <c r="I4" i="23"/>
  <c r="J4" i="23"/>
  <c r="K4" i="23"/>
  <c r="W114" i="37"/>
  <c r="G171" i="23"/>
  <c r="I171" i="23"/>
  <c r="J171" i="23"/>
  <c r="K171" i="23"/>
  <c r="W115" i="37"/>
  <c r="G79" i="23"/>
  <c r="I79" i="23"/>
  <c r="J79" i="23"/>
  <c r="K79" i="23"/>
  <c r="W116" i="37"/>
  <c r="G307" i="23"/>
  <c r="I307" i="23"/>
  <c r="J307" i="23"/>
  <c r="K307" i="23"/>
  <c r="W117" i="37"/>
  <c r="W118" i="37"/>
  <c r="G314" i="23"/>
  <c r="I314" i="23"/>
  <c r="J314" i="23"/>
  <c r="K314" i="23"/>
  <c r="W119" i="37"/>
  <c r="G121" i="23"/>
  <c r="I121" i="23"/>
  <c r="J121" i="23"/>
  <c r="K121" i="23"/>
  <c r="W120" i="37"/>
  <c r="W121" i="37"/>
  <c r="G137" i="23"/>
  <c r="I137" i="23"/>
  <c r="J137" i="23"/>
  <c r="K137" i="23"/>
  <c r="W122" i="37"/>
  <c r="G239" i="23"/>
  <c r="I239" i="23"/>
  <c r="J239" i="23"/>
  <c r="K239" i="23"/>
  <c r="W123" i="37"/>
  <c r="G26" i="23"/>
  <c r="I26" i="23"/>
  <c r="J26" i="23"/>
  <c r="K26" i="23"/>
  <c r="W124" i="37"/>
  <c r="W125" i="37"/>
  <c r="G146" i="23"/>
  <c r="I146" i="23"/>
  <c r="J146" i="23"/>
  <c r="K146" i="23"/>
  <c r="W126" i="37"/>
  <c r="G209" i="23"/>
  <c r="I209" i="23"/>
  <c r="J209" i="23"/>
  <c r="K209" i="23"/>
  <c r="W127" i="37"/>
  <c r="W128" i="37"/>
  <c r="W129" i="37"/>
  <c r="W130" i="37"/>
  <c r="G136" i="23"/>
  <c r="I136" i="23"/>
  <c r="J136" i="23"/>
  <c r="K136" i="23"/>
  <c r="W131" i="37"/>
  <c r="G144" i="23"/>
  <c r="I144" i="23"/>
  <c r="J144" i="23"/>
  <c r="K144" i="23"/>
  <c r="W132" i="37"/>
  <c r="G117" i="23"/>
  <c r="I117" i="23"/>
  <c r="J117" i="23"/>
  <c r="K117" i="23"/>
  <c r="W133" i="37"/>
  <c r="G98" i="23"/>
  <c r="I98" i="23"/>
  <c r="J98" i="23"/>
  <c r="K98" i="23"/>
  <c r="W134" i="37"/>
  <c r="G205" i="23"/>
  <c r="I205" i="23"/>
  <c r="J205" i="23"/>
  <c r="K205" i="23"/>
  <c r="W135" i="37"/>
  <c r="G139" i="23"/>
  <c r="I139" i="23"/>
  <c r="J139" i="23"/>
  <c r="K139" i="23"/>
  <c r="W136" i="37"/>
  <c r="G158" i="23"/>
  <c r="I158" i="23"/>
  <c r="J158" i="23"/>
  <c r="K158" i="23"/>
  <c r="W137" i="37"/>
  <c r="G43" i="23"/>
  <c r="I43" i="23"/>
  <c r="J43" i="23"/>
  <c r="K43" i="23"/>
  <c r="W138" i="37"/>
  <c r="G151" i="23"/>
  <c r="I151" i="23"/>
  <c r="J151" i="23"/>
  <c r="K151" i="23"/>
  <c r="W139" i="37"/>
  <c r="G193" i="23"/>
  <c r="I193" i="23"/>
  <c r="J193" i="23"/>
  <c r="K193" i="23"/>
  <c r="W140" i="37"/>
  <c r="G14" i="23"/>
  <c r="I14" i="23"/>
  <c r="J14" i="23"/>
  <c r="K14" i="23"/>
  <c r="W141" i="37"/>
  <c r="G76" i="23"/>
  <c r="I76" i="23"/>
  <c r="J76" i="23"/>
  <c r="K76" i="23"/>
  <c r="W142" i="37"/>
  <c r="G12" i="23"/>
  <c r="I12" i="23"/>
  <c r="J12" i="23"/>
  <c r="K12" i="23"/>
  <c r="W143" i="37"/>
  <c r="W144" i="37"/>
  <c r="G30" i="23"/>
  <c r="I30" i="23"/>
  <c r="J30" i="23"/>
  <c r="K30" i="23"/>
  <c r="W145" i="37"/>
  <c r="G115" i="23"/>
  <c r="I115" i="23"/>
  <c r="J115" i="23"/>
  <c r="K115" i="23"/>
  <c r="W146" i="37"/>
  <c r="G40" i="23"/>
  <c r="I40" i="23"/>
  <c r="J40" i="23"/>
  <c r="K40" i="23"/>
  <c r="W147" i="37"/>
  <c r="G147" i="23"/>
  <c r="I147" i="23"/>
  <c r="J147" i="23"/>
  <c r="K147" i="23"/>
  <c r="W148" i="37"/>
  <c r="G186" i="23"/>
  <c r="I186" i="23"/>
  <c r="J186" i="23"/>
  <c r="K186" i="23"/>
  <c r="W149" i="37"/>
  <c r="G53" i="23"/>
  <c r="I53" i="23"/>
  <c r="J53" i="23"/>
  <c r="K53" i="23"/>
  <c r="W150" i="37"/>
  <c r="G55" i="23"/>
  <c r="I55" i="23"/>
  <c r="J55" i="23"/>
  <c r="K55" i="23"/>
  <c r="W151" i="37"/>
  <c r="G179" i="23"/>
  <c r="I179" i="23"/>
  <c r="J179" i="23"/>
  <c r="K179" i="23"/>
  <c r="W152" i="37"/>
  <c r="G85" i="23"/>
  <c r="I85" i="23"/>
  <c r="J85" i="23"/>
  <c r="K85" i="23"/>
  <c r="W153" i="37"/>
  <c r="G6" i="23"/>
  <c r="I6" i="23"/>
  <c r="J6" i="23"/>
  <c r="K6" i="23"/>
  <c r="W154" i="37"/>
  <c r="G188" i="23"/>
  <c r="I188" i="23"/>
  <c r="J188" i="23"/>
  <c r="K188" i="23"/>
  <c r="W155" i="37"/>
  <c r="G140" i="23"/>
  <c r="I140" i="23"/>
  <c r="J140" i="23"/>
  <c r="K140" i="23"/>
  <c r="W156" i="37"/>
  <c r="G134" i="23"/>
  <c r="I134" i="23"/>
  <c r="J134" i="23"/>
  <c r="K134" i="23"/>
  <c r="W157" i="37"/>
  <c r="G101" i="23"/>
  <c r="I101" i="23"/>
  <c r="J101" i="23"/>
  <c r="K101" i="23"/>
  <c r="W158" i="37"/>
  <c r="G18" i="23"/>
  <c r="I18" i="23"/>
  <c r="J18" i="23"/>
  <c r="K18" i="23"/>
  <c r="W159" i="37"/>
  <c r="G22" i="23"/>
  <c r="I22" i="23"/>
  <c r="J22" i="23"/>
  <c r="K22" i="23"/>
  <c r="W160" i="37"/>
  <c r="G275" i="23"/>
  <c r="I275" i="23"/>
  <c r="J275" i="23"/>
  <c r="K275" i="23"/>
  <c r="W161" i="37"/>
  <c r="G203" i="23"/>
  <c r="I203" i="23"/>
  <c r="J203" i="23"/>
  <c r="K203" i="23"/>
  <c r="W162" i="37"/>
  <c r="W163" i="37"/>
  <c r="W164" i="37"/>
  <c r="G177" i="23"/>
  <c r="I177" i="23"/>
  <c r="J177" i="23"/>
  <c r="K177" i="23"/>
  <c r="W165" i="37"/>
  <c r="G90" i="23"/>
  <c r="I90" i="23"/>
  <c r="J90" i="23"/>
  <c r="K90" i="23"/>
  <c r="W166" i="37"/>
  <c r="G131" i="23"/>
  <c r="I131" i="23"/>
  <c r="J131" i="23"/>
  <c r="K131" i="23"/>
  <c r="W167" i="37"/>
  <c r="G207" i="23"/>
  <c r="I207" i="23"/>
  <c r="J207" i="23"/>
  <c r="K207" i="23"/>
  <c r="W168" i="37"/>
  <c r="W169" i="37"/>
  <c r="G212" i="23"/>
  <c r="I212" i="23"/>
  <c r="J212" i="23"/>
  <c r="K212" i="23"/>
  <c r="W170" i="37"/>
  <c r="G95" i="23"/>
  <c r="I95" i="23"/>
  <c r="J95" i="23"/>
  <c r="K95" i="23"/>
  <c r="W171" i="37"/>
  <c r="G289" i="23"/>
  <c r="I289" i="23"/>
  <c r="J289" i="23"/>
  <c r="K289" i="23"/>
  <c r="W172" i="37"/>
  <c r="G191" i="23"/>
  <c r="I191" i="23"/>
  <c r="J191" i="23"/>
  <c r="K191" i="23"/>
  <c r="W173" i="37"/>
  <c r="G308" i="23"/>
  <c r="I308" i="23"/>
  <c r="J308" i="23"/>
  <c r="K308" i="23"/>
  <c r="W174" i="37"/>
  <c r="G279" i="23"/>
  <c r="I279" i="23"/>
  <c r="J279" i="23"/>
  <c r="K279" i="23"/>
  <c r="W175" i="37"/>
  <c r="G341" i="23"/>
  <c r="I341" i="23"/>
  <c r="J341" i="23"/>
  <c r="K341" i="23"/>
  <c r="W176" i="37"/>
  <c r="G407" i="23"/>
  <c r="I407" i="23"/>
  <c r="J407" i="23"/>
  <c r="K407" i="23"/>
  <c r="W177" i="37"/>
  <c r="G389" i="23"/>
  <c r="I389" i="23"/>
  <c r="J389" i="23"/>
  <c r="K389" i="23"/>
  <c r="W178" i="37"/>
  <c r="G396" i="23"/>
  <c r="I396" i="23"/>
  <c r="J396" i="23"/>
  <c r="K396" i="23"/>
  <c r="W179" i="37"/>
  <c r="G280" i="23"/>
  <c r="I280" i="23"/>
  <c r="J280" i="23"/>
  <c r="K280" i="23"/>
  <c r="W180" i="37"/>
  <c r="G366" i="23"/>
  <c r="I366" i="23"/>
  <c r="J366" i="23"/>
  <c r="K366" i="23"/>
  <c r="W181" i="37"/>
  <c r="G247" i="23"/>
  <c r="I247" i="23"/>
  <c r="J247" i="23"/>
  <c r="K247" i="23"/>
  <c r="W182" i="37"/>
  <c r="G398" i="23"/>
  <c r="I398" i="23"/>
  <c r="J398" i="23"/>
  <c r="K398" i="23"/>
  <c r="W183" i="37"/>
  <c r="G262" i="23"/>
  <c r="I262" i="23"/>
  <c r="J262" i="23"/>
  <c r="K262" i="23"/>
  <c r="W184" i="37"/>
  <c r="G290" i="23"/>
  <c r="I290" i="23"/>
  <c r="J290" i="23"/>
  <c r="K290" i="23"/>
  <c r="W185" i="37"/>
  <c r="G361" i="23"/>
  <c r="I361" i="23"/>
  <c r="J361" i="23"/>
  <c r="K361" i="23"/>
  <c r="W186" i="37"/>
  <c r="G414" i="23"/>
  <c r="I414" i="23"/>
  <c r="J414" i="23"/>
  <c r="K414" i="23"/>
  <c r="W187" i="37"/>
  <c r="G276" i="23"/>
  <c r="I276" i="23"/>
  <c r="J276" i="23"/>
  <c r="K276" i="23"/>
  <c r="W188" i="37"/>
  <c r="G336" i="23"/>
  <c r="I336" i="23"/>
  <c r="J336" i="23"/>
  <c r="K336" i="23"/>
  <c r="W189" i="37"/>
  <c r="G251" i="23"/>
  <c r="I251" i="23"/>
  <c r="J251" i="23"/>
  <c r="K251" i="23"/>
  <c r="W190" i="37"/>
  <c r="G412" i="23"/>
  <c r="I412" i="23"/>
  <c r="J412" i="23"/>
  <c r="K412" i="23"/>
  <c r="W191" i="37"/>
  <c r="G326" i="23"/>
  <c r="I326" i="23"/>
  <c r="J326" i="23"/>
  <c r="K326" i="23"/>
  <c r="W192" i="37"/>
  <c r="G241" i="23"/>
  <c r="I241" i="23"/>
  <c r="J241" i="23"/>
  <c r="K241" i="23"/>
  <c r="W193" i="37"/>
  <c r="G224" i="23"/>
  <c r="I224" i="23"/>
  <c r="J224" i="23"/>
  <c r="K224" i="23"/>
  <c r="W194" i="37"/>
  <c r="G302" i="23"/>
  <c r="I302" i="23"/>
  <c r="J302" i="23"/>
  <c r="K302" i="23"/>
  <c r="W195" i="37"/>
  <c r="G228" i="23"/>
  <c r="I228" i="23"/>
  <c r="J228" i="23"/>
  <c r="K228" i="23"/>
  <c r="W196" i="37"/>
  <c r="G383" i="23"/>
  <c r="I383" i="23"/>
  <c r="J383" i="23"/>
  <c r="K383" i="23"/>
  <c r="W197" i="37"/>
  <c r="G252" i="23"/>
  <c r="I252" i="23"/>
  <c r="J252" i="23"/>
  <c r="K252" i="23"/>
  <c r="W198" i="37"/>
  <c r="G388" i="23"/>
  <c r="I388" i="23"/>
  <c r="J388" i="23"/>
  <c r="K388" i="23"/>
  <c r="W199" i="37"/>
  <c r="G328" i="23"/>
  <c r="I328" i="23"/>
  <c r="J328" i="23"/>
  <c r="K328" i="23"/>
  <c r="W200" i="37"/>
  <c r="G296" i="23"/>
  <c r="I296" i="23"/>
  <c r="J296" i="23"/>
  <c r="K296" i="23"/>
  <c r="W201" i="37"/>
  <c r="G413" i="23"/>
  <c r="I413" i="23"/>
  <c r="J413" i="23"/>
  <c r="K413" i="23"/>
  <c r="W202" i="37"/>
  <c r="G364" i="23"/>
  <c r="I364" i="23"/>
  <c r="J364" i="23"/>
  <c r="K364" i="23"/>
  <c r="W203" i="37"/>
  <c r="G351" i="23"/>
  <c r="I351" i="23"/>
  <c r="J351" i="23"/>
  <c r="K351" i="23"/>
  <c r="W204" i="37"/>
  <c r="G360" i="23"/>
  <c r="I360" i="23"/>
  <c r="J360" i="23"/>
  <c r="K360" i="23"/>
  <c r="W205" i="37"/>
  <c r="G294" i="23"/>
  <c r="I294" i="23"/>
  <c r="J294" i="23"/>
  <c r="K294" i="23"/>
  <c r="W206" i="37"/>
  <c r="G277" i="23"/>
  <c r="I277" i="23"/>
  <c r="J277" i="23"/>
  <c r="K277" i="23"/>
  <c r="W207" i="37"/>
  <c r="G373" i="23"/>
  <c r="I373" i="23"/>
  <c r="J373" i="23"/>
  <c r="K373" i="23"/>
  <c r="W208" i="37"/>
  <c r="G301" i="23"/>
  <c r="I301" i="23"/>
  <c r="J301" i="23"/>
  <c r="K301" i="23"/>
  <c r="W209" i="37"/>
  <c r="G293" i="23"/>
  <c r="I293" i="23"/>
  <c r="J293" i="23"/>
  <c r="K293" i="23"/>
  <c r="W210" i="37"/>
  <c r="G362" i="23"/>
  <c r="I362" i="23"/>
  <c r="J362" i="23"/>
  <c r="K362" i="23"/>
  <c r="W211" i="37"/>
  <c r="G338" i="23"/>
  <c r="I338" i="23"/>
  <c r="J338" i="23"/>
  <c r="K338" i="23"/>
  <c r="W212" i="37"/>
  <c r="G347" i="23"/>
  <c r="I347" i="23"/>
  <c r="J347" i="23"/>
  <c r="K347" i="23"/>
  <c r="W213" i="37"/>
  <c r="G331" i="23"/>
  <c r="I331" i="23"/>
  <c r="J331" i="23"/>
  <c r="K331" i="23"/>
  <c r="W214" i="37"/>
  <c r="G325" i="23"/>
  <c r="I325" i="23"/>
  <c r="J325" i="23"/>
  <c r="K325" i="23"/>
  <c r="W215" i="37"/>
  <c r="G416" i="23"/>
  <c r="I416" i="23"/>
  <c r="J416" i="23"/>
  <c r="K416" i="23"/>
  <c r="W216" i="37"/>
  <c r="G349" i="23"/>
  <c r="I349" i="23"/>
  <c r="J349" i="23"/>
  <c r="K349" i="23"/>
  <c r="W217" i="37"/>
  <c r="G365" i="23"/>
  <c r="I365" i="23"/>
  <c r="J365" i="23"/>
  <c r="K365" i="23"/>
  <c r="W218" i="37"/>
  <c r="G322" i="23"/>
  <c r="I322" i="23"/>
  <c r="J322" i="23"/>
  <c r="K322" i="23"/>
  <c r="W219" i="37"/>
  <c r="G418" i="23"/>
  <c r="I418" i="23"/>
  <c r="J418" i="23"/>
  <c r="K418" i="23"/>
  <c r="W220" i="37"/>
  <c r="G248" i="23"/>
  <c r="I248" i="23"/>
  <c r="J248" i="23"/>
  <c r="K248" i="23"/>
  <c r="W221" i="37"/>
  <c r="G238" i="23"/>
  <c r="I238" i="23"/>
  <c r="J238" i="23"/>
  <c r="K238" i="23"/>
  <c r="W222" i="37"/>
  <c r="W223" i="37"/>
  <c r="G283" i="23"/>
  <c r="I283" i="23"/>
  <c r="J283" i="23"/>
  <c r="K283" i="23"/>
  <c r="W224" i="37"/>
  <c r="G225" i="23"/>
  <c r="I225" i="23"/>
  <c r="J225" i="23"/>
  <c r="K225" i="23"/>
  <c r="W225" i="37"/>
  <c r="G161" i="23"/>
  <c r="I161" i="23"/>
  <c r="J161" i="23"/>
  <c r="K161" i="23"/>
  <c r="W226" i="37"/>
  <c r="G378" i="23"/>
  <c r="I378" i="23"/>
  <c r="J378" i="23"/>
  <c r="K378" i="23"/>
  <c r="W227" i="37"/>
  <c r="G333" i="23"/>
  <c r="I333" i="23"/>
  <c r="J333" i="23"/>
  <c r="K333" i="23"/>
  <c r="W228" i="37"/>
  <c r="G235" i="23"/>
  <c r="I235" i="23"/>
  <c r="J235" i="23"/>
  <c r="K235" i="23"/>
  <c r="W229" i="37"/>
  <c r="G382" i="23"/>
  <c r="I382" i="23"/>
  <c r="J382" i="23"/>
  <c r="K382" i="23"/>
  <c r="W230" i="37"/>
  <c r="G221" i="23"/>
  <c r="I221" i="23"/>
  <c r="J221" i="23"/>
  <c r="K221" i="23"/>
  <c r="W231" i="37"/>
  <c r="G405" i="23"/>
  <c r="I405" i="23"/>
  <c r="J405" i="23"/>
  <c r="K405" i="23"/>
  <c r="W232" i="37"/>
  <c r="W233" i="37"/>
  <c r="W234" i="37"/>
  <c r="G342" i="23"/>
  <c r="I342" i="23"/>
  <c r="J342" i="23"/>
  <c r="K342" i="23"/>
  <c r="W235" i="37"/>
  <c r="W236" i="37"/>
  <c r="G41" i="23"/>
  <c r="I41" i="23"/>
  <c r="J41" i="23"/>
  <c r="K41" i="23"/>
  <c r="W237" i="37"/>
  <c r="G3" i="23"/>
  <c r="I3" i="23"/>
  <c r="J3" i="23"/>
  <c r="K3" i="23"/>
  <c r="W238" i="37"/>
  <c r="G245" i="23"/>
  <c r="I245" i="23"/>
  <c r="J245" i="23"/>
  <c r="K245" i="23"/>
  <c r="W239" i="37"/>
  <c r="G37" i="23"/>
  <c r="I37" i="23"/>
  <c r="J37" i="23"/>
  <c r="K37" i="23"/>
  <c r="W240" i="37"/>
  <c r="G23" i="23"/>
  <c r="I23" i="23"/>
  <c r="J23" i="23"/>
  <c r="K23" i="23"/>
  <c r="W241" i="37"/>
  <c r="G63" i="23"/>
  <c r="I63" i="23"/>
  <c r="J63" i="23"/>
  <c r="K63" i="23"/>
  <c r="W242" i="37"/>
  <c r="G86" i="23"/>
  <c r="I86" i="23"/>
  <c r="J86" i="23"/>
  <c r="K86" i="23"/>
  <c r="W243" i="37"/>
  <c r="G62" i="23"/>
  <c r="I62" i="23"/>
  <c r="J62" i="23"/>
  <c r="K62" i="23"/>
  <c r="W244" i="37"/>
  <c r="G64" i="23"/>
  <c r="I64" i="23"/>
  <c r="J64" i="23"/>
  <c r="K64" i="23"/>
  <c r="W245" i="37"/>
  <c r="G223" i="23"/>
  <c r="I223" i="23"/>
  <c r="J223" i="23"/>
  <c r="K223" i="23"/>
  <c r="W246" i="37"/>
  <c r="G13" i="23"/>
  <c r="I13" i="23"/>
  <c r="J13" i="23"/>
  <c r="K13" i="23"/>
  <c r="W247" i="37"/>
  <c r="G5" i="23"/>
  <c r="I5" i="23"/>
  <c r="J5" i="23"/>
  <c r="K5" i="23"/>
  <c r="W248" i="37"/>
  <c r="G222" i="23"/>
  <c r="I222" i="23"/>
  <c r="J222" i="23"/>
  <c r="K222" i="23"/>
  <c r="W249" i="37"/>
  <c r="G82" i="23"/>
  <c r="I82" i="23"/>
  <c r="J82" i="23"/>
  <c r="K82" i="23"/>
  <c r="W250" i="37"/>
  <c r="G80" i="23"/>
  <c r="I80" i="23"/>
  <c r="J80" i="23"/>
  <c r="K80" i="23"/>
  <c r="W251" i="37"/>
  <c r="G33" i="23"/>
  <c r="I33" i="23"/>
  <c r="J33" i="23"/>
  <c r="K33" i="23"/>
  <c r="W252" i="37"/>
  <c r="G319" i="23"/>
  <c r="I319" i="23"/>
  <c r="J319" i="23"/>
  <c r="K319" i="23"/>
  <c r="W253" i="37"/>
  <c r="G77" i="23"/>
  <c r="I77" i="23"/>
  <c r="J77" i="23"/>
  <c r="K77" i="23"/>
  <c r="W254" i="37"/>
  <c r="G32" i="23"/>
  <c r="I32" i="23"/>
  <c r="J32" i="23"/>
  <c r="K32" i="23"/>
  <c r="W255" i="37"/>
  <c r="G83" i="23"/>
  <c r="I83" i="23"/>
  <c r="J83" i="23"/>
  <c r="K83" i="23"/>
  <c r="W256" i="37"/>
  <c r="G49" i="23"/>
  <c r="I49" i="23"/>
  <c r="J49" i="23"/>
  <c r="K49" i="23"/>
  <c r="W257" i="37"/>
  <c r="G174" i="23"/>
  <c r="I174" i="23"/>
  <c r="J174" i="23"/>
  <c r="K174" i="23"/>
  <c r="W258" i="37"/>
  <c r="G231" i="23"/>
  <c r="I231" i="23"/>
  <c r="J231" i="23"/>
  <c r="K231" i="23"/>
  <c r="W259" i="37"/>
  <c r="G60" i="23"/>
  <c r="I60" i="23"/>
  <c r="J60" i="23"/>
  <c r="K60" i="23"/>
  <c r="W260" i="37"/>
  <c r="G142" i="23"/>
  <c r="I142" i="23"/>
  <c r="J142" i="23"/>
  <c r="K142" i="23"/>
  <c r="W261" i="37"/>
  <c r="G198" i="23"/>
  <c r="I198" i="23"/>
  <c r="J198" i="23"/>
  <c r="K198" i="23"/>
  <c r="W262" i="37"/>
  <c r="G58" i="23"/>
  <c r="I58" i="23"/>
  <c r="J58" i="23"/>
  <c r="K58" i="23"/>
  <c r="W263" i="37"/>
  <c r="G36" i="23"/>
  <c r="I36" i="23"/>
  <c r="J36" i="23"/>
  <c r="K36" i="23"/>
  <c r="W264" i="37"/>
  <c r="G128" i="23"/>
  <c r="I128" i="23"/>
  <c r="J128" i="23"/>
  <c r="K128" i="23"/>
  <c r="W265" i="37"/>
  <c r="G124" i="23"/>
  <c r="I124" i="23"/>
  <c r="J124" i="23"/>
  <c r="K124" i="23"/>
  <c r="W266" i="37"/>
  <c r="G176" i="23"/>
  <c r="I176" i="23"/>
  <c r="J176" i="23"/>
  <c r="K176" i="23"/>
  <c r="W267" i="37"/>
  <c r="G385" i="23"/>
  <c r="I385" i="23"/>
  <c r="J385" i="23"/>
  <c r="K385" i="23"/>
  <c r="W268" i="37"/>
  <c r="G194" i="23"/>
  <c r="I194" i="23"/>
  <c r="J194" i="23"/>
  <c r="K194" i="23"/>
  <c r="W269" i="37"/>
  <c r="G353" i="23"/>
  <c r="I353" i="23"/>
  <c r="J353" i="23"/>
  <c r="K353" i="23"/>
  <c r="W270" i="37"/>
  <c r="G299" i="23"/>
  <c r="I299" i="23"/>
  <c r="J299" i="23"/>
  <c r="K299" i="23"/>
  <c r="W271" i="37"/>
  <c r="G270" i="23"/>
  <c r="I270" i="23"/>
  <c r="J270" i="23"/>
  <c r="K270" i="23"/>
  <c r="W272" i="37"/>
  <c r="G323" i="23"/>
  <c r="I323" i="23"/>
  <c r="J323" i="23"/>
  <c r="K323" i="23"/>
  <c r="W273" i="37"/>
  <c r="G393" i="23"/>
  <c r="I393" i="23"/>
  <c r="J393" i="23"/>
  <c r="K393" i="23"/>
  <c r="W274" i="37"/>
  <c r="G348" i="23"/>
  <c r="I348" i="23"/>
  <c r="J348" i="23"/>
  <c r="K348" i="23"/>
  <c r="W275" i="37"/>
  <c r="G344" i="23"/>
  <c r="I344" i="23"/>
  <c r="J344" i="23"/>
  <c r="K344" i="23"/>
  <c r="W276" i="37"/>
  <c r="G313" i="23"/>
  <c r="I313" i="23"/>
  <c r="J313" i="23"/>
  <c r="K313" i="23"/>
  <c r="W277" i="37"/>
  <c r="G215" i="23"/>
  <c r="I215" i="23"/>
  <c r="J215" i="23"/>
  <c r="K215" i="23"/>
  <c r="W278" i="37"/>
  <c r="G346" i="23"/>
  <c r="I346" i="23"/>
  <c r="J346" i="23"/>
  <c r="K346" i="23"/>
  <c r="W279" i="37"/>
  <c r="G199" i="23"/>
  <c r="I199" i="23"/>
  <c r="J199" i="23"/>
  <c r="K199" i="23"/>
  <c r="W280" i="37"/>
  <c r="G237" i="23"/>
  <c r="I237" i="23"/>
  <c r="J237" i="23"/>
  <c r="K237" i="23"/>
  <c r="W281" i="37"/>
  <c r="G166" i="23"/>
  <c r="I166" i="23"/>
  <c r="J166" i="23"/>
  <c r="K166" i="23"/>
  <c r="W282" i="37"/>
  <c r="G267" i="23"/>
  <c r="I267" i="23"/>
  <c r="J267" i="23"/>
  <c r="K267" i="23"/>
  <c r="W283" i="37"/>
  <c r="G185" i="23"/>
  <c r="I185" i="23"/>
  <c r="J185" i="23"/>
  <c r="K185" i="23"/>
  <c r="W284" i="37"/>
  <c r="G390" i="23"/>
  <c r="I390" i="23"/>
  <c r="J390" i="23"/>
  <c r="K390" i="23"/>
  <c r="W285" i="37"/>
  <c r="G354" i="23"/>
  <c r="I354" i="23"/>
  <c r="J354" i="23"/>
  <c r="K354" i="23"/>
  <c r="W286" i="37"/>
  <c r="G324" i="23"/>
  <c r="I324" i="23"/>
  <c r="J324" i="23"/>
  <c r="K324" i="23"/>
  <c r="W287" i="37"/>
  <c r="G164" i="23"/>
  <c r="I164" i="23"/>
  <c r="J164" i="23"/>
  <c r="K164" i="23"/>
  <c r="W288" i="37"/>
  <c r="G304" i="23"/>
  <c r="I304" i="23"/>
  <c r="J304" i="23"/>
  <c r="K304" i="23"/>
  <c r="W289" i="37"/>
  <c r="G381" i="23"/>
  <c r="I381" i="23"/>
  <c r="J381" i="23"/>
  <c r="K381" i="23"/>
  <c r="W290" i="37"/>
  <c r="G300" i="23"/>
  <c r="I300" i="23"/>
  <c r="J300" i="23"/>
  <c r="K300" i="23"/>
  <c r="W291" i="37"/>
  <c r="G329" i="23"/>
  <c r="I329" i="23"/>
  <c r="J329" i="23"/>
  <c r="K329" i="23"/>
  <c r="W292" i="37"/>
  <c r="G11" i="23"/>
  <c r="I11" i="23"/>
  <c r="J11" i="23"/>
  <c r="K11" i="23"/>
  <c r="W293" i="37"/>
  <c r="G278" i="23"/>
  <c r="I278" i="23"/>
  <c r="J278" i="23"/>
  <c r="K278" i="23"/>
  <c r="W294" i="37"/>
  <c r="G320" i="23"/>
  <c r="I320" i="23"/>
  <c r="J320" i="23"/>
  <c r="K320" i="23"/>
  <c r="W295" i="37"/>
  <c r="G297" i="23"/>
  <c r="I297" i="23"/>
  <c r="J297" i="23"/>
  <c r="K297" i="23"/>
  <c r="W296" i="37"/>
  <c r="G285" i="23"/>
  <c r="I285" i="23"/>
  <c r="J285" i="23"/>
  <c r="K285" i="23"/>
  <c r="W297" i="37"/>
  <c r="W298" i="37"/>
  <c r="G132" i="23"/>
  <c r="I132" i="23"/>
  <c r="J132" i="23"/>
  <c r="K132" i="23"/>
  <c r="W299" i="37"/>
  <c r="G168" i="23"/>
  <c r="I168" i="23"/>
  <c r="J168" i="23"/>
  <c r="K168" i="23"/>
  <c r="W300" i="37"/>
  <c r="G206" i="23"/>
  <c r="I206" i="23"/>
  <c r="J206" i="23"/>
  <c r="K206" i="23"/>
  <c r="W301" i="37"/>
  <c r="G227" i="23"/>
  <c r="I227" i="23"/>
  <c r="J227" i="23"/>
  <c r="K227" i="23"/>
  <c r="W302" i="37"/>
  <c r="G259" i="23"/>
  <c r="I259" i="23"/>
  <c r="J259" i="23"/>
  <c r="K259" i="23"/>
  <c r="W303" i="37"/>
  <c r="G93" i="23"/>
  <c r="I93" i="23"/>
  <c r="J93" i="23"/>
  <c r="K93" i="23"/>
  <c r="W304" i="37"/>
  <c r="G187" i="23"/>
  <c r="I187" i="23"/>
  <c r="J187" i="23"/>
  <c r="K187" i="23"/>
  <c r="W305" i="37"/>
  <c r="G125" i="23"/>
  <c r="I125" i="23"/>
  <c r="J125" i="23"/>
  <c r="K125" i="23"/>
  <c r="W306" i="37"/>
  <c r="W307" i="37"/>
  <c r="G9" i="23"/>
  <c r="I9" i="23"/>
  <c r="J9" i="23"/>
  <c r="K9" i="23"/>
  <c r="W308" i="37"/>
  <c r="G108" i="23"/>
  <c r="I108" i="23"/>
  <c r="J108" i="23"/>
  <c r="K108" i="23"/>
  <c r="W309" i="37"/>
  <c r="G244" i="23"/>
  <c r="I244" i="23"/>
  <c r="J244" i="23"/>
  <c r="K244" i="23"/>
  <c r="W310" i="37"/>
  <c r="G214" i="23"/>
  <c r="I214" i="23"/>
  <c r="J214" i="23"/>
  <c r="K214" i="23"/>
  <c r="W311" i="37"/>
  <c r="G217" i="23"/>
  <c r="I217" i="23"/>
  <c r="J217" i="23"/>
  <c r="K217" i="23"/>
  <c r="W312" i="37"/>
  <c r="G165" i="23"/>
  <c r="I165" i="23"/>
  <c r="J165" i="23"/>
  <c r="K165" i="23"/>
  <c r="W313" i="37"/>
  <c r="G210" i="23"/>
  <c r="I210" i="23"/>
  <c r="J210" i="23"/>
  <c r="K210" i="23"/>
  <c r="W314" i="37"/>
  <c r="G110" i="23"/>
  <c r="I110" i="23"/>
  <c r="J110" i="23"/>
  <c r="K110" i="23"/>
  <c r="W315" i="37"/>
  <c r="G274" i="23"/>
  <c r="I274" i="23"/>
  <c r="J274" i="23"/>
  <c r="K274" i="23"/>
  <c r="W316" i="37"/>
  <c r="G150" i="23"/>
  <c r="I150" i="23"/>
  <c r="J150" i="23"/>
  <c r="K150" i="23"/>
  <c r="W317" i="37"/>
  <c r="G81" i="23"/>
  <c r="I81" i="23"/>
  <c r="J81" i="23"/>
  <c r="K81" i="23"/>
  <c r="W318" i="37"/>
  <c r="G59" i="23"/>
  <c r="I59" i="23"/>
  <c r="J59" i="23"/>
  <c r="K59" i="23"/>
  <c r="W319" i="37"/>
  <c r="G386" i="23"/>
  <c r="I386" i="23"/>
  <c r="J386" i="23"/>
  <c r="K386" i="23"/>
  <c r="W320" i="37"/>
  <c r="G111" i="23"/>
  <c r="I111" i="23"/>
  <c r="J111" i="23"/>
  <c r="K111" i="23"/>
  <c r="W321" i="37"/>
  <c r="G75" i="23"/>
  <c r="I75" i="23"/>
  <c r="J75" i="23"/>
  <c r="K75" i="23"/>
  <c r="W322" i="37"/>
  <c r="G107" i="23"/>
  <c r="I107" i="23"/>
  <c r="J107" i="23"/>
  <c r="K107" i="23"/>
  <c r="W323" i="37"/>
  <c r="G25" i="23"/>
  <c r="I25" i="23"/>
  <c r="J25" i="23"/>
  <c r="K25" i="23"/>
  <c r="W324" i="37"/>
  <c r="G106" i="23"/>
  <c r="I106" i="23"/>
  <c r="J106" i="23"/>
  <c r="K106" i="23"/>
  <c r="W325" i="37"/>
  <c r="G123" i="23"/>
  <c r="I123" i="23"/>
  <c r="J123" i="23"/>
  <c r="K123" i="23"/>
  <c r="W326" i="37"/>
  <c r="G2" i="23"/>
  <c r="I2" i="23"/>
  <c r="J2" i="23"/>
  <c r="K2" i="23"/>
  <c r="W327" i="37"/>
  <c r="G152" i="23"/>
  <c r="I152" i="23"/>
  <c r="J152" i="23"/>
  <c r="K152" i="23"/>
  <c r="W328" i="37"/>
  <c r="G218" i="23"/>
  <c r="I218" i="23"/>
  <c r="J218" i="23"/>
  <c r="K218" i="23"/>
  <c r="W329" i="37"/>
  <c r="G282" i="23"/>
  <c r="I282" i="23"/>
  <c r="J282" i="23"/>
  <c r="K282" i="23"/>
  <c r="W330" i="37"/>
  <c r="G148" i="23"/>
  <c r="I148" i="23"/>
  <c r="J148" i="23"/>
  <c r="K148" i="23"/>
  <c r="W331" i="37"/>
  <c r="G130" i="23"/>
  <c r="I130" i="23"/>
  <c r="J130" i="23"/>
  <c r="K130" i="23"/>
  <c r="W332" i="37"/>
  <c r="G261" i="23"/>
  <c r="I261" i="23"/>
  <c r="J261" i="23"/>
  <c r="K261" i="23"/>
  <c r="W333" i="37"/>
  <c r="G160" i="23"/>
  <c r="I160" i="23"/>
  <c r="J160" i="23"/>
  <c r="K160" i="23"/>
  <c r="W334" i="37"/>
  <c r="G197" i="23"/>
  <c r="I197" i="23"/>
  <c r="J197" i="23"/>
  <c r="K197" i="23"/>
  <c r="W335" i="37"/>
  <c r="G201" i="23"/>
  <c r="I201" i="23"/>
  <c r="J201" i="23"/>
  <c r="K201" i="23"/>
  <c r="W336" i="37"/>
  <c r="G66" i="23"/>
  <c r="I66" i="23"/>
  <c r="J66" i="23"/>
  <c r="K66" i="23"/>
  <c r="W337" i="37"/>
  <c r="G213" i="23"/>
  <c r="I213" i="23"/>
  <c r="J213" i="23"/>
  <c r="K213" i="23"/>
  <c r="W338" i="37"/>
  <c r="G15" i="23"/>
  <c r="I15" i="23"/>
  <c r="J15" i="23"/>
  <c r="K15" i="23"/>
  <c r="W339" i="37"/>
  <c r="G183" i="23"/>
  <c r="I183" i="23"/>
  <c r="J183" i="23"/>
  <c r="K183" i="23"/>
  <c r="W340" i="37"/>
  <c r="W341" i="37"/>
  <c r="G116" i="23"/>
  <c r="I116" i="23"/>
  <c r="J116" i="23"/>
  <c r="K116" i="23"/>
  <c r="W342" i="37"/>
  <c r="G21" i="23"/>
  <c r="I21" i="23"/>
  <c r="J21" i="23"/>
  <c r="K21" i="23"/>
  <c r="W343" i="37"/>
  <c r="G287" i="23"/>
  <c r="I287" i="23"/>
  <c r="J287" i="23"/>
  <c r="K287" i="23"/>
  <c r="W344" i="37"/>
  <c r="W345" i="37"/>
  <c r="G379" i="23"/>
  <c r="I379" i="23"/>
  <c r="J379" i="23"/>
  <c r="K379" i="23"/>
  <c r="W346" i="37"/>
  <c r="G181" i="23"/>
  <c r="I181" i="23"/>
  <c r="J181" i="23"/>
  <c r="K181" i="23"/>
  <c r="W347" i="37"/>
  <c r="W348" i="37"/>
  <c r="W349" i="37"/>
  <c r="G195" i="23"/>
  <c r="I195" i="23"/>
  <c r="J195" i="23"/>
  <c r="K195" i="23"/>
  <c r="W350" i="37"/>
  <c r="G153" i="23"/>
  <c r="I153" i="23"/>
  <c r="J153" i="23"/>
  <c r="K153" i="23"/>
  <c r="W351" i="37"/>
  <c r="G196" i="23"/>
  <c r="I196" i="23"/>
  <c r="J196" i="23"/>
  <c r="K196" i="23"/>
  <c r="W352" i="37"/>
  <c r="G178" i="23"/>
  <c r="I178" i="23"/>
  <c r="J178" i="23"/>
  <c r="K178" i="23"/>
  <c r="W353" i="37"/>
  <c r="G182" i="23"/>
  <c r="I182" i="23"/>
  <c r="J182" i="23"/>
  <c r="K182" i="23"/>
  <c r="W354" i="37"/>
  <c r="G133" i="23"/>
  <c r="I133" i="23"/>
  <c r="J133" i="23"/>
  <c r="K133" i="23"/>
  <c r="W355" i="37"/>
  <c r="G47" i="23"/>
  <c r="I47" i="23"/>
  <c r="J47" i="23"/>
  <c r="K47" i="23"/>
  <c r="W356" i="37"/>
  <c r="G72" i="23"/>
  <c r="I72" i="23"/>
  <c r="J72" i="23"/>
  <c r="K72" i="23"/>
  <c r="W357" i="37"/>
  <c r="G68" i="23"/>
  <c r="I68" i="23"/>
  <c r="J68" i="23"/>
  <c r="K68" i="23"/>
  <c r="W358" i="37"/>
  <c r="G233" i="23"/>
  <c r="I233" i="23"/>
  <c r="J233" i="23"/>
  <c r="K233" i="23"/>
  <c r="W359" i="37"/>
  <c r="G258" i="23"/>
  <c r="I258" i="23"/>
  <c r="J258" i="23"/>
  <c r="K258" i="23"/>
  <c r="W360" i="37"/>
  <c r="G303" i="23"/>
  <c r="I303" i="23"/>
  <c r="J303" i="23"/>
  <c r="K303" i="23"/>
  <c r="W361" i="37"/>
  <c r="G226" i="23"/>
  <c r="I226" i="23"/>
  <c r="J226" i="23"/>
  <c r="K226" i="23"/>
  <c r="W362" i="37"/>
  <c r="G94" i="23"/>
  <c r="I94" i="23"/>
  <c r="J94" i="23"/>
  <c r="K94" i="23"/>
  <c r="W363" i="37"/>
  <c r="G42" i="23"/>
  <c r="I42" i="23"/>
  <c r="J42" i="23"/>
  <c r="K42" i="23"/>
  <c r="W364" i="37"/>
  <c r="G54" i="23"/>
  <c r="I54" i="23"/>
  <c r="J54" i="23"/>
  <c r="K54" i="23"/>
  <c r="W365" i="37"/>
  <c r="G84" i="23"/>
  <c r="I84" i="23"/>
  <c r="J84" i="23"/>
  <c r="K84" i="23"/>
  <c r="W366" i="37"/>
  <c r="G202" i="23"/>
  <c r="I202" i="23"/>
  <c r="J202" i="23"/>
  <c r="K202" i="23"/>
  <c r="W367" i="37"/>
  <c r="G104" i="23"/>
  <c r="I104" i="23"/>
  <c r="J104" i="23"/>
  <c r="K104" i="23"/>
  <c r="W368" i="37"/>
  <c r="G169" i="23"/>
  <c r="I169" i="23"/>
  <c r="J169" i="23"/>
  <c r="K169" i="23"/>
  <c r="W369" i="37"/>
  <c r="G38" i="23"/>
  <c r="I38" i="23"/>
  <c r="J38" i="23"/>
  <c r="K38" i="23"/>
  <c r="W370" i="37"/>
  <c r="G184" i="23"/>
  <c r="I184" i="23"/>
  <c r="J184" i="23"/>
  <c r="K184" i="23"/>
  <c r="W371" i="37"/>
  <c r="W372" i="37"/>
  <c r="G73" i="23"/>
  <c r="I73" i="23"/>
  <c r="J73" i="23"/>
  <c r="K73" i="23"/>
  <c r="W373" i="37"/>
  <c r="G10" i="23"/>
  <c r="I10" i="23"/>
  <c r="J10" i="23"/>
  <c r="K10" i="23"/>
  <c r="W374" i="37"/>
  <c r="G91" i="23"/>
  <c r="I91" i="23"/>
  <c r="J91" i="23"/>
  <c r="K91" i="23"/>
  <c r="W375" i="37"/>
  <c r="G92" i="23"/>
  <c r="I92" i="23"/>
  <c r="J92" i="23"/>
  <c r="K92" i="23"/>
  <c r="W376" i="37"/>
  <c r="G369" i="23"/>
  <c r="I369" i="23"/>
  <c r="J369" i="23"/>
  <c r="K369" i="23"/>
  <c r="W377" i="37"/>
  <c r="G20" i="23"/>
  <c r="I20" i="23"/>
  <c r="J20" i="23"/>
  <c r="K20" i="23"/>
  <c r="W378" i="37"/>
  <c r="G122" i="23"/>
  <c r="I122" i="23"/>
  <c r="J122" i="23"/>
  <c r="K122" i="23"/>
  <c r="W379" i="37"/>
  <c r="G69" i="23"/>
  <c r="I69" i="23"/>
  <c r="J69" i="23"/>
  <c r="K69" i="23"/>
  <c r="W380" i="37"/>
  <c r="G155" i="23"/>
  <c r="I155" i="23"/>
  <c r="J155" i="23"/>
  <c r="K155" i="23"/>
  <c r="W381" i="37"/>
  <c r="G204" i="23"/>
  <c r="I204" i="23"/>
  <c r="J204" i="23"/>
  <c r="K204" i="23"/>
  <c r="W382" i="37"/>
  <c r="W383" i="37"/>
  <c r="G88" i="23"/>
  <c r="I88" i="23"/>
  <c r="J88" i="23"/>
  <c r="K88" i="23"/>
  <c r="W384" i="37"/>
  <c r="G29" i="23"/>
  <c r="I29" i="23"/>
  <c r="J29" i="23"/>
  <c r="K29" i="23"/>
  <c r="W385" i="37"/>
  <c r="G145" i="23"/>
  <c r="I145" i="23"/>
  <c r="J145" i="23"/>
  <c r="K145" i="23"/>
  <c r="W386" i="37"/>
  <c r="G306" i="23"/>
  <c r="I306" i="23"/>
  <c r="J306" i="23"/>
  <c r="K306" i="23"/>
  <c r="W387" i="37"/>
  <c r="G61" i="23"/>
  <c r="I61" i="23"/>
  <c r="J61" i="23"/>
  <c r="K61" i="23"/>
  <c r="W388" i="37"/>
  <c r="W389" i="37"/>
  <c r="G97" i="23"/>
  <c r="I97" i="23"/>
  <c r="J97" i="23"/>
  <c r="K97" i="23"/>
  <c r="W390" i="37"/>
  <c r="G143" i="23"/>
  <c r="I143" i="23"/>
  <c r="J143" i="23"/>
  <c r="K143" i="23"/>
  <c r="W391" i="37"/>
  <c r="G374" i="23"/>
  <c r="I374" i="23"/>
  <c r="J374" i="23"/>
  <c r="K374" i="23"/>
  <c r="W392" i="37"/>
  <c r="G281" i="23"/>
  <c r="I281" i="23"/>
  <c r="J281" i="23"/>
  <c r="K281" i="23"/>
  <c r="W393" i="37"/>
  <c r="G249" i="23"/>
  <c r="I249" i="23"/>
  <c r="J249" i="23"/>
  <c r="K249" i="23"/>
  <c r="W394" i="37"/>
  <c r="G359" i="23"/>
  <c r="I359" i="23"/>
  <c r="J359" i="23"/>
  <c r="K359" i="23"/>
  <c r="W395" i="37"/>
  <c r="G391" i="23"/>
  <c r="I391" i="23"/>
  <c r="J391" i="23"/>
  <c r="K391" i="23"/>
  <c r="W396" i="37"/>
  <c r="G355" i="23"/>
  <c r="I355" i="23"/>
  <c r="J355" i="23"/>
  <c r="K355" i="23"/>
  <c r="W397" i="37"/>
  <c r="G250" i="23"/>
  <c r="I250" i="23"/>
  <c r="J250" i="23"/>
  <c r="K250" i="23"/>
  <c r="W398" i="37"/>
  <c r="G339" i="23"/>
  <c r="I339" i="23"/>
  <c r="J339" i="23"/>
  <c r="K339" i="23"/>
  <c r="W399" i="37"/>
  <c r="G384" i="23"/>
  <c r="I384" i="23"/>
  <c r="J384" i="23"/>
  <c r="K384" i="23"/>
  <c r="W400" i="37"/>
  <c r="G286" i="23"/>
  <c r="I286" i="23"/>
  <c r="J286" i="23"/>
  <c r="K286" i="23"/>
  <c r="W401" i="37"/>
  <c r="G236" i="23"/>
  <c r="I236" i="23"/>
  <c r="J236" i="23"/>
  <c r="K236" i="23"/>
  <c r="W402" i="37"/>
  <c r="G372" i="23"/>
  <c r="I372" i="23"/>
  <c r="J372" i="23"/>
  <c r="K372" i="23"/>
  <c r="W403" i="37"/>
  <c r="G402" i="23"/>
  <c r="I402" i="23"/>
  <c r="J402" i="23"/>
  <c r="K402" i="23"/>
  <c r="W404" i="37"/>
  <c r="G397" i="23"/>
  <c r="I397" i="23"/>
  <c r="J397" i="23"/>
  <c r="K397" i="23"/>
  <c r="W405" i="37"/>
  <c r="G253" i="23"/>
  <c r="I253" i="23"/>
  <c r="J253" i="23"/>
  <c r="K253" i="23"/>
  <c r="W406" i="37"/>
  <c r="G377" i="23"/>
  <c r="I377" i="23"/>
  <c r="J377" i="23"/>
  <c r="K377" i="23"/>
  <c r="W407" i="37"/>
  <c r="G310" i="23"/>
  <c r="I310" i="23"/>
  <c r="J310" i="23"/>
  <c r="K310" i="23"/>
  <c r="W408" i="37"/>
  <c r="G404" i="23"/>
  <c r="I404" i="23"/>
  <c r="J404" i="23"/>
  <c r="K404" i="23"/>
  <c r="W409" i="37"/>
  <c r="G317" i="23"/>
  <c r="I317" i="23"/>
  <c r="J317" i="23"/>
  <c r="K317" i="23"/>
  <c r="W410" i="37"/>
  <c r="G156" i="23"/>
  <c r="I156" i="23"/>
  <c r="J156" i="23"/>
  <c r="K156" i="23"/>
  <c r="W411" i="37"/>
  <c r="G417" i="23"/>
  <c r="I417" i="23"/>
  <c r="J417" i="23"/>
  <c r="K417" i="23"/>
  <c r="W412" i="37"/>
  <c r="G327" i="23"/>
  <c r="I327" i="23"/>
  <c r="J327" i="23"/>
  <c r="K327" i="23"/>
  <c r="W413" i="37"/>
  <c r="G335" i="23"/>
  <c r="I335" i="23"/>
  <c r="J335" i="23"/>
  <c r="K335" i="23"/>
  <c r="W414" i="37"/>
  <c r="G256" i="23"/>
  <c r="I256" i="23"/>
  <c r="J256" i="23"/>
  <c r="K256" i="23"/>
  <c r="W415" i="37"/>
  <c r="G356" i="23"/>
  <c r="I356" i="23"/>
  <c r="J356" i="23"/>
  <c r="K356" i="23"/>
  <c r="W416" i="37"/>
  <c r="G368" i="23"/>
  <c r="I368" i="23"/>
  <c r="J368" i="23"/>
  <c r="K368" i="23"/>
  <c r="W417" i="37"/>
  <c r="G410" i="23"/>
  <c r="I410" i="23"/>
  <c r="J410" i="23"/>
  <c r="K410" i="23"/>
  <c r="W418" i="37"/>
  <c r="G242" i="23"/>
  <c r="I242" i="23"/>
  <c r="J242" i="23"/>
  <c r="K242" i="23"/>
  <c r="W419" i="37"/>
  <c r="G288" i="23"/>
  <c r="I288" i="23"/>
  <c r="J288" i="23"/>
  <c r="K288" i="23"/>
  <c r="W420" i="37"/>
  <c r="G370" i="23"/>
  <c r="I370" i="23"/>
  <c r="J370" i="23"/>
  <c r="K370" i="23"/>
  <c r="W421" i="37"/>
  <c r="G246" i="23"/>
  <c r="I246" i="23"/>
  <c r="J246" i="23"/>
  <c r="K246" i="23"/>
  <c r="W422" i="37"/>
  <c r="G363" i="23"/>
  <c r="I363" i="23"/>
  <c r="J363" i="23"/>
  <c r="K363" i="23"/>
  <c r="W423" i="37"/>
  <c r="G403" i="23"/>
  <c r="I403" i="23"/>
  <c r="J403" i="23"/>
  <c r="K403" i="23"/>
  <c r="W424" i="37"/>
  <c r="G265" i="23"/>
  <c r="I265" i="23"/>
  <c r="J265" i="23"/>
  <c r="K265" i="23"/>
  <c r="W425" i="37"/>
  <c r="G309" i="23"/>
  <c r="I309" i="23"/>
  <c r="J309" i="23"/>
  <c r="K309" i="23"/>
  <c r="W426" i="37"/>
  <c r="G318" i="23"/>
  <c r="I318" i="23"/>
  <c r="J318" i="23"/>
  <c r="K318" i="23"/>
  <c r="W427" i="37"/>
  <c r="G332" i="23"/>
  <c r="I332" i="23"/>
  <c r="J332" i="23"/>
  <c r="K332" i="23"/>
  <c r="W428" i="37"/>
  <c r="G352" i="23"/>
  <c r="I352" i="23"/>
  <c r="J352" i="23"/>
  <c r="K352" i="23"/>
  <c r="W429" i="37"/>
  <c r="G371" i="23"/>
  <c r="I371" i="23"/>
  <c r="J371" i="23"/>
  <c r="K371" i="23"/>
  <c r="W430" i="37"/>
  <c r="G295" i="23"/>
  <c r="I295" i="23"/>
  <c r="J295" i="23"/>
  <c r="K295" i="23"/>
  <c r="W431" i="37"/>
  <c r="G380" i="23"/>
  <c r="I380" i="23"/>
  <c r="J380" i="23"/>
  <c r="K380" i="23"/>
  <c r="W432" i="37"/>
  <c r="G200" i="23"/>
  <c r="I200" i="23"/>
  <c r="J200" i="23"/>
  <c r="K200" i="23"/>
  <c r="W433" i="37"/>
  <c r="G395" i="23"/>
  <c r="I395" i="23"/>
  <c r="J395" i="23"/>
  <c r="K395" i="23"/>
  <c r="W434" i="37"/>
  <c r="G263" i="23"/>
  <c r="I263" i="23"/>
  <c r="J263" i="23"/>
  <c r="K263" i="23"/>
  <c r="W435" i="37"/>
  <c r="G315" i="23"/>
  <c r="I315" i="23"/>
  <c r="J315" i="23"/>
  <c r="K315" i="23"/>
  <c r="W436" i="37"/>
  <c r="G376" i="23"/>
  <c r="I376" i="23"/>
  <c r="J376" i="23"/>
  <c r="K376" i="23"/>
  <c r="W437" i="37"/>
  <c r="G255" i="23"/>
  <c r="I255" i="23"/>
  <c r="J255" i="23"/>
  <c r="K255" i="23"/>
  <c r="W438" i="37"/>
  <c r="G409" i="23"/>
  <c r="I409" i="23"/>
  <c r="J409" i="23"/>
  <c r="K409" i="23"/>
  <c r="W439" i="37"/>
  <c r="G220" i="23"/>
  <c r="I220" i="23"/>
  <c r="J220" i="23"/>
  <c r="K220" i="23"/>
  <c r="W440" i="37"/>
  <c r="G305" i="23"/>
  <c r="I305" i="23"/>
  <c r="J305" i="23"/>
  <c r="K305" i="23"/>
  <c r="W441" i="37"/>
  <c r="G394" i="23"/>
  <c r="I394" i="23"/>
  <c r="J394" i="23"/>
  <c r="K394" i="23"/>
  <c r="W442" i="37"/>
  <c r="G340" i="23"/>
  <c r="I340" i="23"/>
  <c r="J340" i="23"/>
  <c r="K340" i="23"/>
  <c r="W443" i="37"/>
  <c r="G254" i="23"/>
  <c r="I254" i="23"/>
  <c r="J254" i="23"/>
  <c r="K254" i="23"/>
  <c r="W444" i="37"/>
  <c r="G334" i="23"/>
  <c r="I334" i="23"/>
  <c r="J334" i="23"/>
  <c r="K334" i="23"/>
  <c r="W445" i="37"/>
  <c r="G216" i="23"/>
  <c r="I216" i="23"/>
  <c r="J216" i="23"/>
  <c r="K216" i="23"/>
  <c r="W446" i="37"/>
  <c r="G292" i="23"/>
  <c r="I292" i="23"/>
  <c r="J292" i="23"/>
  <c r="K292" i="23"/>
  <c r="W447" i="37"/>
  <c r="G400" i="23"/>
  <c r="I400" i="23"/>
  <c r="J400" i="23"/>
  <c r="K400" i="23"/>
  <c r="W448" i="37"/>
  <c r="G243" i="23"/>
  <c r="I243" i="23"/>
  <c r="J243" i="23"/>
  <c r="K243" i="23"/>
  <c r="W449" i="37"/>
  <c r="G358" i="23"/>
  <c r="I358" i="23"/>
  <c r="J358" i="23"/>
  <c r="K358" i="23"/>
  <c r="W450" i="37"/>
  <c r="G229" i="23"/>
  <c r="I229" i="23"/>
  <c r="J229" i="23"/>
  <c r="K229" i="23"/>
  <c r="W451" i="37"/>
  <c r="G316" i="23"/>
  <c r="I316" i="23"/>
  <c r="J316" i="23"/>
  <c r="K316" i="23"/>
  <c r="W452" i="37"/>
  <c r="G399" i="23"/>
  <c r="I399" i="23"/>
  <c r="J399" i="23"/>
  <c r="K399" i="23"/>
  <c r="W453" i="37"/>
  <c r="W454" i="37"/>
  <c r="G392" i="23"/>
  <c r="I392" i="23"/>
  <c r="J392" i="23"/>
  <c r="K392" i="23"/>
  <c r="W455" i="37"/>
  <c r="G27" i="23"/>
  <c r="I27" i="23"/>
  <c r="J27" i="23"/>
  <c r="K27" i="23"/>
  <c r="W456" i="37"/>
  <c r="G70" i="23"/>
  <c r="I70" i="23"/>
  <c r="J70" i="23"/>
  <c r="K70" i="23"/>
  <c r="W457" i="37"/>
  <c r="G291" i="23"/>
  <c r="I291" i="23"/>
  <c r="J291" i="23"/>
  <c r="K291" i="23"/>
  <c r="W458" i="37"/>
  <c r="G46" i="23"/>
  <c r="I46" i="23"/>
  <c r="J46" i="23"/>
  <c r="K46" i="23"/>
  <c r="W459" i="37"/>
  <c r="G343" i="23"/>
  <c r="I343" i="23"/>
  <c r="J343" i="23"/>
  <c r="K343" i="23"/>
  <c r="W460" i="37"/>
  <c r="G17" i="23"/>
  <c r="I17" i="23"/>
  <c r="J17" i="23"/>
  <c r="K17" i="23"/>
  <c r="W461" i="37"/>
  <c r="G71" i="23"/>
  <c r="I71" i="23"/>
  <c r="J71" i="23"/>
  <c r="K71" i="23"/>
  <c r="W462" i="37"/>
  <c r="G240" i="23"/>
  <c r="I240" i="23"/>
  <c r="J240" i="23"/>
  <c r="K240" i="23"/>
  <c r="W463" i="37"/>
  <c r="G102" i="23"/>
  <c r="I102" i="23"/>
  <c r="J102" i="23"/>
  <c r="K102" i="23"/>
  <c r="W464" i="37"/>
  <c r="G234" i="23"/>
  <c r="I234" i="23"/>
  <c r="J234" i="23"/>
  <c r="K234" i="23"/>
  <c r="W465" i="37"/>
  <c r="G109" i="23"/>
  <c r="I109" i="23"/>
  <c r="J109" i="23"/>
  <c r="K109" i="23"/>
  <c r="W466" i="37"/>
  <c r="G67" i="23"/>
  <c r="I67" i="23"/>
  <c r="J67" i="23"/>
  <c r="K67" i="23"/>
  <c r="W467" i="37"/>
  <c r="G387" i="23"/>
  <c r="I387" i="23"/>
  <c r="J387" i="23"/>
  <c r="K387" i="23"/>
  <c r="W468" i="37"/>
  <c r="G284" i="23"/>
  <c r="I284" i="23"/>
  <c r="J284" i="23"/>
  <c r="K284" i="23"/>
  <c r="W469" i="37"/>
  <c r="W470" i="37"/>
  <c r="G89" i="23"/>
  <c r="I89" i="23"/>
  <c r="J89" i="23"/>
  <c r="K89" i="23"/>
  <c r="W471" i="37"/>
  <c r="G96" i="23"/>
  <c r="I96" i="23"/>
  <c r="J96" i="23"/>
  <c r="K96" i="23"/>
  <c r="W472" i="37"/>
  <c r="G408" i="23"/>
  <c r="I408" i="23"/>
  <c r="J408" i="23"/>
  <c r="K408" i="23"/>
  <c r="W473" i="37"/>
  <c r="G357" i="23"/>
  <c r="I357" i="23"/>
  <c r="J357" i="23"/>
  <c r="K357" i="23"/>
  <c r="W474" i="37"/>
  <c r="G321" i="23"/>
  <c r="I321" i="23"/>
  <c r="J321" i="23"/>
  <c r="K321" i="23"/>
  <c r="W475" i="37"/>
  <c r="G149" i="23"/>
  <c r="I149" i="23"/>
  <c r="J149" i="23"/>
  <c r="K149" i="23"/>
  <c r="W476" i="37"/>
  <c r="G350" i="23"/>
  <c r="I350" i="23"/>
  <c r="J350" i="23"/>
  <c r="K350" i="23"/>
  <c r="W477" i="37"/>
  <c r="G411" i="23"/>
  <c r="I411" i="23"/>
  <c r="J411" i="23"/>
  <c r="K411" i="23"/>
  <c r="W478" i="37"/>
  <c r="G24" i="23"/>
  <c r="I24" i="23"/>
  <c r="J24" i="23"/>
  <c r="K24" i="23"/>
  <c r="W479" i="37"/>
  <c r="G157" i="23"/>
  <c r="I157" i="23"/>
  <c r="J157" i="23"/>
  <c r="K157" i="23"/>
  <c r="W480" i="37"/>
  <c r="G189" i="23"/>
  <c r="I189" i="23"/>
  <c r="J189" i="23"/>
  <c r="K189" i="23"/>
  <c r="W481" i="37"/>
  <c r="G34" i="23"/>
  <c r="I34" i="23"/>
  <c r="J34" i="23"/>
  <c r="K34" i="23"/>
  <c r="W482" i="37"/>
  <c r="G39" i="23"/>
  <c r="I39" i="23"/>
  <c r="J39" i="23"/>
  <c r="K39" i="23"/>
  <c r="W483" i="37"/>
  <c r="G135" i="23"/>
  <c r="I135" i="23"/>
  <c r="J135" i="23"/>
  <c r="K135" i="23"/>
  <c r="W484" i="37"/>
  <c r="G48" i="23"/>
  <c r="I48" i="23"/>
  <c r="J48" i="23"/>
  <c r="K48" i="23"/>
  <c r="W485" i="37"/>
  <c r="G56" i="23"/>
  <c r="I56" i="23"/>
  <c r="J56" i="23"/>
  <c r="K56" i="23"/>
  <c r="W486" i="37"/>
  <c r="G19" i="23"/>
  <c r="I19" i="23"/>
  <c r="J19" i="23"/>
  <c r="K19" i="23"/>
  <c r="W487" i="37"/>
  <c r="G173" i="23"/>
  <c r="I173" i="23"/>
  <c r="J173" i="23"/>
  <c r="K173" i="23"/>
  <c r="W488" i="37"/>
  <c r="G269" i="23"/>
  <c r="I269" i="23"/>
  <c r="J269" i="23"/>
  <c r="K269" i="23"/>
  <c r="W489" i="37"/>
  <c r="G127" i="23"/>
  <c r="I127" i="23"/>
  <c r="J127" i="23"/>
  <c r="K127" i="23"/>
  <c r="W490" i="37"/>
  <c r="G401" i="23"/>
  <c r="I401" i="23"/>
  <c r="J401" i="23"/>
  <c r="K401" i="23"/>
  <c r="W491" i="37"/>
  <c r="G44" i="23"/>
  <c r="I44" i="23"/>
  <c r="J44" i="23"/>
  <c r="K44" i="23"/>
  <c r="W492" i="37"/>
  <c r="G87" i="23"/>
  <c r="I87" i="23"/>
  <c r="J87" i="23"/>
  <c r="K87" i="23"/>
  <c r="W493" i="37"/>
  <c r="G268" i="23"/>
  <c r="I268" i="23"/>
  <c r="J268" i="23"/>
  <c r="K268" i="23"/>
  <c r="W494" i="37"/>
  <c r="G266" i="23"/>
  <c r="I266" i="23"/>
  <c r="J266" i="23"/>
  <c r="K266" i="23"/>
  <c r="W495" i="37"/>
  <c r="G264" i="23"/>
  <c r="I264" i="23"/>
  <c r="J264" i="23"/>
  <c r="K264" i="23"/>
  <c r="W496" i="37"/>
  <c r="G311" i="23"/>
  <c r="I311" i="23"/>
  <c r="J311" i="23"/>
  <c r="K311" i="23"/>
  <c r="W497" i="37"/>
  <c r="G298" i="23"/>
  <c r="I298" i="23"/>
  <c r="J298" i="23"/>
  <c r="K298" i="23"/>
  <c r="W498" i="37"/>
  <c r="G211" i="23"/>
  <c r="I211" i="23"/>
  <c r="J211" i="23"/>
  <c r="K211" i="23"/>
  <c r="W499" i="37"/>
  <c r="G230" i="23"/>
  <c r="I230" i="23"/>
  <c r="J230" i="23"/>
  <c r="K230" i="23"/>
  <c r="W500" i="37"/>
  <c r="G406" i="23"/>
  <c r="I406" i="23"/>
  <c r="J406" i="23"/>
  <c r="K406" i="23"/>
  <c r="W501" i="37"/>
  <c r="G138" i="23"/>
  <c r="I138" i="23"/>
  <c r="J138" i="23"/>
  <c r="K138" i="23"/>
  <c r="W502" i="37"/>
  <c r="G113" i="23"/>
  <c r="I113" i="23"/>
  <c r="J113" i="23"/>
  <c r="K113" i="23"/>
  <c r="W503" i="37"/>
  <c r="G208" i="23"/>
  <c r="I208" i="23"/>
  <c r="J208" i="23"/>
  <c r="K208" i="23"/>
  <c r="W504" i="37"/>
  <c r="G273" i="23"/>
  <c r="I273" i="23"/>
  <c r="J273" i="23"/>
  <c r="K273" i="23"/>
  <c r="W505" i="37"/>
  <c r="G330" i="23"/>
  <c r="I330" i="23"/>
  <c r="J330" i="23"/>
  <c r="K330" i="23"/>
  <c r="W506" i="37"/>
  <c r="G154" i="23"/>
  <c r="I154" i="23"/>
  <c r="J154" i="23"/>
  <c r="K154" i="23"/>
  <c r="W507" i="37"/>
  <c r="G271" i="23"/>
  <c r="I271" i="23"/>
  <c r="J271" i="23"/>
  <c r="K271" i="23"/>
  <c r="W508" i="37"/>
  <c r="G170" i="23"/>
  <c r="I170" i="23"/>
  <c r="J170" i="23"/>
  <c r="K170" i="23"/>
  <c r="W509" i="37"/>
  <c r="G272" i="23"/>
  <c r="I272" i="23"/>
  <c r="J272" i="23"/>
  <c r="K272" i="23"/>
  <c r="W510" i="37"/>
  <c r="G192" i="23"/>
  <c r="I192" i="23"/>
  <c r="J192" i="23"/>
  <c r="K192" i="23"/>
  <c r="W511" i="37"/>
  <c r="G337" i="23"/>
  <c r="I337" i="23"/>
  <c r="J337" i="23"/>
  <c r="K337" i="23"/>
  <c r="W512" i="37"/>
  <c r="G175" i="23"/>
  <c r="I175" i="23"/>
  <c r="J175" i="23"/>
  <c r="K175" i="23"/>
  <c r="W513" i="37"/>
  <c r="G99" i="23"/>
  <c r="I99" i="23"/>
  <c r="J99" i="23"/>
  <c r="K99" i="23"/>
  <c r="W514" i="37"/>
  <c r="G375" i="23"/>
  <c r="I375" i="23"/>
  <c r="J375" i="23"/>
  <c r="K375" i="23"/>
  <c r="W515" i="37"/>
  <c r="G65" i="23"/>
  <c r="I65" i="23"/>
  <c r="J65" i="23"/>
  <c r="K65" i="23"/>
  <c r="W76" i="37"/>
  <c r="H515" i="37"/>
  <c r="S515" i="37"/>
  <c r="F29" i="37"/>
  <c r="U515" i="37"/>
  <c r="Y515" i="37"/>
  <c r="AA515" i="37"/>
  <c r="AE515" i="37"/>
  <c r="AB515" i="37"/>
  <c r="I515" i="37"/>
  <c r="T515" i="37"/>
  <c r="V515" i="37"/>
  <c r="Z515" i="37"/>
  <c r="AC515" i="37"/>
  <c r="R515" i="37"/>
  <c r="G515" i="37"/>
  <c r="AD515" i="37"/>
  <c r="AF515" i="37"/>
  <c r="C515" i="37"/>
  <c r="B515" i="37"/>
  <c r="H514" i="37"/>
  <c r="S514" i="37"/>
  <c r="U514" i="37"/>
  <c r="Y514" i="37"/>
  <c r="AA514" i="37"/>
  <c r="AE514" i="37"/>
  <c r="AB514" i="37"/>
  <c r="I514" i="37"/>
  <c r="T514" i="37"/>
  <c r="V514" i="37"/>
  <c r="Z514" i="37"/>
  <c r="AC514" i="37"/>
  <c r="R514" i="37"/>
  <c r="G514" i="37"/>
  <c r="AD514" i="37"/>
  <c r="AF514" i="37"/>
  <c r="C514" i="37"/>
  <c r="B514" i="37"/>
  <c r="H513" i="37"/>
  <c r="S513" i="37"/>
  <c r="U513" i="37"/>
  <c r="Y513" i="37"/>
  <c r="AA513" i="37"/>
  <c r="AE513" i="37"/>
  <c r="AB513" i="37"/>
  <c r="I513" i="37"/>
  <c r="T513" i="37"/>
  <c r="V513" i="37"/>
  <c r="Z513" i="37"/>
  <c r="AC513" i="37"/>
  <c r="R513" i="37"/>
  <c r="G513" i="37"/>
  <c r="AD513" i="37"/>
  <c r="AF513" i="37"/>
  <c r="C513" i="37"/>
  <c r="B513" i="37"/>
  <c r="H512" i="37"/>
  <c r="S512" i="37"/>
  <c r="U512" i="37"/>
  <c r="Y512" i="37"/>
  <c r="AA512" i="37"/>
  <c r="AE512" i="37"/>
  <c r="AB512" i="37"/>
  <c r="I512" i="37"/>
  <c r="T512" i="37"/>
  <c r="V512" i="37"/>
  <c r="Z512" i="37"/>
  <c r="AC512" i="37"/>
  <c r="R512" i="37"/>
  <c r="G512" i="37"/>
  <c r="AD512" i="37"/>
  <c r="AF512" i="37"/>
  <c r="C512" i="37"/>
  <c r="B512" i="37"/>
  <c r="H511" i="37"/>
  <c r="S511" i="37"/>
  <c r="U511" i="37"/>
  <c r="Y511" i="37"/>
  <c r="AA511" i="37"/>
  <c r="AE511" i="37"/>
  <c r="AB511" i="37"/>
  <c r="I511" i="37"/>
  <c r="T511" i="37"/>
  <c r="V511" i="37"/>
  <c r="Z511" i="37"/>
  <c r="AC511" i="37"/>
  <c r="R511" i="37"/>
  <c r="G511" i="37"/>
  <c r="AD511" i="37"/>
  <c r="AF511" i="37"/>
  <c r="C511" i="37"/>
  <c r="B511" i="37"/>
  <c r="H510" i="37"/>
  <c r="S510" i="37"/>
  <c r="U510" i="37"/>
  <c r="Y510" i="37"/>
  <c r="AA510" i="37"/>
  <c r="AE510" i="37"/>
  <c r="AB510" i="37"/>
  <c r="I510" i="37"/>
  <c r="T510" i="37"/>
  <c r="V510" i="37"/>
  <c r="Z510" i="37"/>
  <c r="AC510" i="37"/>
  <c r="R510" i="37"/>
  <c r="G510" i="37"/>
  <c r="AD510" i="37"/>
  <c r="AF510" i="37"/>
  <c r="C510" i="37"/>
  <c r="B510" i="37"/>
  <c r="H509" i="37"/>
  <c r="S509" i="37"/>
  <c r="U509" i="37"/>
  <c r="Y509" i="37"/>
  <c r="AA509" i="37"/>
  <c r="AE509" i="37"/>
  <c r="AB509" i="37"/>
  <c r="I509" i="37"/>
  <c r="T509" i="37"/>
  <c r="V509" i="37"/>
  <c r="Z509" i="37"/>
  <c r="AC509" i="37"/>
  <c r="R509" i="37"/>
  <c r="G509" i="37"/>
  <c r="AD509" i="37"/>
  <c r="AF509" i="37"/>
  <c r="C509" i="37"/>
  <c r="B509" i="37"/>
  <c r="H508" i="37"/>
  <c r="S508" i="37"/>
  <c r="U508" i="37"/>
  <c r="Y508" i="37"/>
  <c r="AA508" i="37"/>
  <c r="AE508" i="37"/>
  <c r="AB508" i="37"/>
  <c r="I508" i="37"/>
  <c r="T508" i="37"/>
  <c r="V508" i="37"/>
  <c r="Z508" i="37"/>
  <c r="AC508" i="37"/>
  <c r="R508" i="37"/>
  <c r="G508" i="37"/>
  <c r="AD508" i="37"/>
  <c r="AF508" i="37"/>
  <c r="C508" i="37"/>
  <c r="B508" i="37"/>
  <c r="H507" i="37"/>
  <c r="S507" i="37"/>
  <c r="U507" i="37"/>
  <c r="Y507" i="37"/>
  <c r="AA507" i="37"/>
  <c r="AE507" i="37"/>
  <c r="AB507" i="37"/>
  <c r="I507" i="37"/>
  <c r="T507" i="37"/>
  <c r="V507" i="37"/>
  <c r="Z507" i="37"/>
  <c r="AC507" i="37"/>
  <c r="R507" i="37"/>
  <c r="G507" i="37"/>
  <c r="AD507" i="37"/>
  <c r="AF507" i="37"/>
  <c r="C507" i="37"/>
  <c r="B507" i="37"/>
  <c r="H506" i="37"/>
  <c r="S506" i="37"/>
  <c r="U506" i="37"/>
  <c r="Y506" i="37"/>
  <c r="AA506" i="37"/>
  <c r="AE506" i="37"/>
  <c r="AB506" i="37"/>
  <c r="I506" i="37"/>
  <c r="T506" i="37"/>
  <c r="V506" i="37"/>
  <c r="Z506" i="37"/>
  <c r="AC506" i="37"/>
  <c r="R506" i="37"/>
  <c r="G506" i="37"/>
  <c r="AD506" i="37"/>
  <c r="AF506" i="37"/>
  <c r="C506" i="37"/>
  <c r="B506" i="37"/>
  <c r="H505" i="37"/>
  <c r="S505" i="37"/>
  <c r="U505" i="37"/>
  <c r="Y505" i="37"/>
  <c r="AA505" i="37"/>
  <c r="AE505" i="37"/>
  <c r="AB505" i="37"/>
  <c r="I505" i="37"/>
  <c r="T505" i="37"/>
  <c r="V505" i="37"/>
  <c r="Z505" i="37"/>
  <c r="AC505" i="37"/>
  <c r="R505" i="37"/>
  <c r="G505" i="37"/>
  <c r="AD505" i="37"/>
  <c r="AF505" i="37"/>
  <c r="C505" i="37"/>
  <c r="B505" i="37"/>
  <c r="H504" i="37"/>
  <c r="S504" i="37"/>
  <c r="U504" i="37"/>
  <c r="Y504" i="37"/>
  <c r="AA504" i="37"/>
  <c r="AE504" i="37"/>
  <c r="AB504" i="37"/>
  <c r="I504" i="37"/>
  <c r="T504" i="37"/>
  <c r="V504" i="37"/>
  <c r="Z504" i="37"/>
  <c r="AC504" i="37"/>
  <c r="R504" i="37"/>
  <c r="G504" i="37"/>
  <c r="AD504" i="37"/>
  <c r="AF504" i="37"/>
  <c r="C504" i="37"/>
  <c r="B504" i="37"/>
  <c r="H503" i="37"/>
  <c r="S503" i="37"/>
  <c r="U503" i="37"/>
  <c r="Y503" i="37"/>
  <c r="AA503" i="37"/>
  <c r="AE503" i="37"/>
  <c r="AB503" i="37"/>
  <c r="I503" i="37"/>
  <c r="T503" i="37"/>
  <c r="V503" i="37"/>
  <c r="Z503" i="37"/>
  <c r="AC503" i="37"/>
  <c r="R503" i="37"/>
  <c r="G503" i="37"/>
  <c r="AD503" i="37"/>
  <c r="AF503" i="37"/>
  <c r="C503" i="37"/>
  <c r="B503" i="37"/>
  <c r="H502" i="37"/>
  <c r="S502" i="37"/>
  <c r="U502" i="37"/>
  <c r="Y502" i="37"/>
  <c r="AA502" i="37"/>
  <c r="AE502" i="37"/>
  <c r="AB502" i="37"/>
  <c r="I502" i="37"/>
  <c r="T502" i="37"/>
  <c r="V502" i="37"/>
  <c r="Z502" i="37"/>
  <c r="AC502" i="37"/>
  <c r="R502" i="37"/>
  <c r="G502" i="37"/>
  <c r="AD502" i="37"/>
  <c r="AF502" i="37"/>
  <c r="C502" i="37"/>
  <c r="B502" i="37"/>
  <c r="H501" i="37"/>
  <c r="S501" i="37"/>
  <c r="U501" i="37"/>
  <c r="Y501" i="37"/>
  <c r="AA501" i="37"/>
  <c r="AE501" i="37"/>
  <c r="AB501" i="37"/>
  <c r="I501" i="37"/>
  <c r="T501" i="37"/>
  <c r="V501" i="37"/>
  <c r="Z501" i="37"/>
  <c r="AC501" i="37"/>
  <c r="R501" i="37"/>
  <c r="G501" i="37"/>
  <c r="AD501" i="37"/>
  <c r="AF501" i="37"/>
  <c r="C501" i="37"/>
  <c r="B501" i="37"/>
  <c r="H500" i="37"/>
  <c r="S500" i="37"/>
  <c r="U500" i="37"/>
  <c r="Y500" i="37"/>
  <c r="AA500" i="37"/>
  <c r="AE500" i="37"/>
  <c r="AB500" i="37"/>
  <c r="I500" i="37"/>
  <c r="T500" i="37"/>
  <c r="V500" i="37"/>
  <c r="Z500" i="37"/>
  <c r="AC500" i="37"/>
  <c r="R500" i="37"/>
  <c r="G500" i="37"/>
  <c r="AD500" i="37"/>
  <c r="AF500" i="37"/>
  <c r="C500" i="37"/>
  <c r="B500" i="37"/>
  <c r="H499" i="37"/>
  <c r="S499" i="37"/>
  <c r="U499" i="37"/>
  <c r="Y499" i="37"/>
  <c r="AA499" i="37"/>
  <c r="AE499" i="37"/>
  <c r="AB499" i="37"/>
  <c r="I499" i="37"/>
  <c r="T499" i="37"/>
  <c r="V499" i="37"/>
  <c r="Z499" i="37"/>
  <c r="AC499" i="37"/>
  <c r="R499" i="37"/>
  <c r="G499" i="37"/>
  <c r="AD499" i="37"/>
  <c r="AF499" i="37"/>
  <c r="C499" i="37"/>
  <c r="B499" i="37"/>
  <c r="H498" i="37"/>
  <c r="S498" i="37"/>
  <c r="U498" i="37"/>
  <c r="Y498" i="37"/>
  <c r="AA498" i="37"/>
  <c r="AE498" i="37"/>
  <c r="AB498" i="37"/>
  <c r="I498" i="37"/>
  <c r="T498" i="37"/>
  <c r="V498" i="37"/>
  <c r="Z498" i="37"/>
  <c r="AC498" i="37"/>
  <c r="R498" i="37"/>
  <c r="G498" i="37"/>
  <c r="AD498" i="37"/>
  <c r="AF498" i="37"/>
  <c r="C498" i="37"/>
  <c r="B498" i="37"/>
  <c r="H497" i="37"/>
  <c r="S497" i="37"/>
  <c r="U497" i="37"/>
  <c r="Y497" i="37"/>
  <c r="AA497" i="37"/>
  <c r="AE497" i="37"/>
  <c r="AB497" i="37"/>
  <c r="I497" i="37"/>
  <c r="T497" i="37"/>
  <c r="V497" i="37"/>
  <c r="Z497" i="37"/>
  <c r="AC497" i="37"/>
  <c r="R497" i="37"/>
  <c r="G497" i="37"/>
  <c r="AD497" i="37"/>
  <c r="AF497" i="37"/>
  <c r="C497" i="37"/>
  <c r="B497" i="37"/>
  <c r="H496" i="37"/>
  <c r="S496" i="37"/>
  <c r="U496" i="37"/>
  <c r="Y496" i="37"/>
  <c r="AA496" i="37"/>
  <c r="AE496" i="37"/>
  <c r="AB496" i="37"/>
  <c r="I496" i="37"/>
  <c r="T496" i="37"/>
  <c r="V496" i="37"/>
  <c r="Z496" i="37"/>
  <c r="AC496" i="37"/>
  <c r="R496" i="37"/>
  <c r="G496" i="37"/>
  <c r="AD496" i="37"/>
  <c r="AF496" i="37"/>
  <c r="C496" i="37"/>
  <c r="B496" i="37"/>
  <c r="H495" i="37"/>
  <c r="S495" i="37"/>
  <c r="U495" i="37"/>
  <c r="Y495" i="37"/>
  <c r="AA495" i="37"/>
  <c r="AE495" i="37"/>
  <c r="AB495" i="37"/>
  <c r="I495" i="37"/>
  <c r="T495" i="37"/>
  <c r="V495" i="37"/>
  <c r="Z495" i="37"/>
  <c r="AC495" i="37"/>
  <c r="R495" i="37"/>
  <c r="G495" i="37"/>
  <c r="AD495" i="37"/>
  <c r="AF495" i="37"/>
  <c r="C495" i="37"/>
  <c r="B495" i="37"/>
  <c r="H494" i="37"/>
  <c r="S494" i="37"/>
  <c r="U494" i="37"/>
  <c r="Y494" i="37"/>
  <c r="AA494" i="37"/>
  <c r="AE494" i="37"/>
  <c r="AB494" i="37"/>
  <c r="I494" i="37"/>
  <c r="T494" i="37"/>
  <c r="V494" i="37"/>
  <c r="Z494" i="37"/>
  <c r="AC494" i="37"/>
  <c r="R494" i="37"/>
  <c r="G494" i="37"/>
  <c r="AD494" i="37"/>
  <c r="AF494" i="37"/>
  <c r="C494" i="37"/>
  <c r="B494" i="37"/>
  <c r="H493" i="37"/>
  <c r="S493" i="37"/>
  <c r="U493" i="37"/>
  <c r="Y493" i="37"/>
  <c r="AA493" i="37"/>
  <c r="AE493" i="37"/>
  <c r="AB493" i="37"/>
  <c r="I493" i="37"/>
  <c r="T493" i="37"/>
  <c r="V493" i="37"/>
  <c r="Z493" i="37"/>
  <c r="AC493" i="37"/>
  <c r="R493" i="37"/>
  <c r="G493" i="37"/>
  <c r="AD493" i="37"/>
  <c r="AF493" i="37"/>
  <c r="C493" i="37"/>
  <c r="B493" i="37"/>
  <c r="H492" i="37"/>
  <c r="S492" i="37"/>
  <c r="U492" i="37"/>
  <c r="Y492" i="37"/>
  <c r="AA492" i="37"/>
  <c r="AE492" i="37"/>
  <c r="AB492" i="37"/>
  <c r="I492" i="37"/>
  <c r="T492" i="37"/>
  <c r="V492" i="37"/>
  <c r="Z492" i="37"/>
  <c r="AC492" i="37"/>
  <c r="R492" i="37"/>
  <c r="G492" i="37"/>
  <c r="AD492" i="37"/>
  <c r="AF492" i="37"/>
  <c r="C492" i="37"/>
  <c r="B492" i="37"/>
  <c r="H491" i="37"/>
  <c r="S491" i="37"/>
  <c r="U491" i="37"/>
  <c r="Y491" i="37"/>
  <c r="AA491" i="37"/>
  <c r="AE491" i="37"/>
  <c r="AB491" i="37"/>
  <c r="I491" i="37"/>
  <c r="T491" i="37"/>
  <c r="V491" i="37"/>
  <c r="Z491" i="37"/>
  <c r="AC491" i="37"/>
  <c r="R491" i="37"/>
  <c r="G491" i="37"/>
  <c r="AD491" i="37"/>
  <c r="AF491" i="37"/>
  <c r="C491" i="37"/>
  <c r="B491" i="37"/>
  <c r="H490" i="37"/>
  <c r="S490" i="37"/>
  <c r="U490" i="37"/>
  <c r="Y490" i="37"/>
  <c r="AA490" i="37"/>
  <c r="AE490" i="37"/>
  <c r="AB490" i="37"/>
  <c r="I490" i="37"/>
  <c r="T490" i="37"/>
  <c r="V490" i="37"/>
  <c r="Z490" i="37"/>
  <c r="AC490" i="37"/>
  <c r="R490" i="37"/>
  <c r="G490" i="37"/>
  <c r="AD490" i="37"/>
  <c r="AF490" i="37"/>
  <c r="C490" i="37"/>
  <c r="B490" i="37"/>
  <c r="H489" i="37"/>
  <c r="S489" i="37"/>
  <c r="U489" i="37"/>
  <c r="Y489" i="37"/>
  <c r="AA489" i="37"/>
  <c r="AE489" i="37"/>
  <c r="AB489" i="37"/>
  <c r="I489" i="37"/>
  <c r="T489" i="37"/>
  <c r="V489" i="37"/>
  <c r="Z489" i="37"/>
  <c r="AC489" i="37"/>
  <c r="R489" i="37"/>
  <c r="G489" i="37"/>
  <c r="AD489" i="37"/>
  <c r="AF489" i="37"/>
  <c r="C489" i="37"/>
  <c r="B489" i="37"/>
  <c r="H488" i="37"/>
  <c r="S488" i="37"/>
  <c r="U488" i="37"/>
  <c r="Y488" i="37"/>
  <c r="AA488" i="37"/>
  <c r="AE488" i="37"/>
  <c r="AB488" i="37"/>
  <c r="I488" i="37"/>
  <c r="T488" i="37"/>
  <c r="V488" i="37"/>
  <c r="Z488" i="37"/>
  <c r="AC488" i="37"/>
  <c r="R488" i="37"/>
  <c r="G488" i="37"/>
  <c r="AD488" i="37"/>
  <c r="AF488" i="37"/>
  <c r="C488" i="37"/>
  <c r="B488" i="37"/>
  <c r="H487" i="37"/>
  <c r="S487" i="37"/>
  <c r="U487" i="37"/>
  <c r="Y487" i="37"/>
  <c r="AA487" i="37"/>
  <c r="AE487" i="37"/>
  <c r="AB487" i="37"/>
  <c r="I487" i="37"/>
  <c r="T487" i="37"/>
  <c r="V487" i="37"/>
  <c r="Z487" i="37"/>
  <c r="AC487" i="37"/>
  <c r="R487" i="37"/>
  <c r="G487" i="37"/>
  <c r="AD487" i="37"/>
  <c r="AF487" i="37"/>
  <c r="C487" i="37"/>
  <c r="B487" i="37"/>
  <c r="H486" i="37"/>
  <c r="S486" i="37"/>
  <c r="U486" i="37"/>
  <c r="Y486" i="37"/>
  <c r="AA486" i="37"/>
  <c r="AE486" i="37"/>
  <c r="AB486" i="37"/>
  <c r="I486" i="37"/>
  <c r="T486" i="37"/>
  <c r="V486" i="37"/>
  <c r="Z486" i="37"/>
  <c r="AC486" i="37"/>
  <c r="R486" i="37"/>
  <c r="G486" i="37"/>
  <c r="AD486" i="37"/>
  <c r="AF486" i="37"/>
  <c r="C486" i="37"/>
  <c r="B486" i="37"/>
  <c r="H485" i="37"/>
  <c r="S485" i="37"/>
  <c r="U485" i="37"/>
  <c r="Y485" i="37"/>
  <c r="AA485" i="37"/>
  <c r="AE485" i="37"/>
  <c r="AB485" i="37"/>
  <c r="I485" i="37"/>
  <c r="T485" i="37"/>
  <c r="V485" i="37"/>
  <c r="Z485" i="37"/>
  <c r="AC485" i="37"/>
  <c r="R485" i="37"/>
  <c r="G485" i="37"/>
  <c r="AD485" i="37"/>
  <c r="AF485" i="37"/>
  <c r="C485" i="37"/>
  <c r="B485" i="37"/>
  <c r="H484" i="37"/>
  <c r="S484" i="37"/>
  <c r="U484" i="37"/>
  <c r="Y484" i="37"/>
  <c r="AA484" i="37"/>
  <c r="AE484" i="37"/>
  <c r="AB484" i="37"/>
  <c r="I484" i="37"/>
  <c r="T484" i="37"/>
  <c r="V484" i="37"/>
  <c r="Z484" i="37"/>
  <c r="AC484" i="37"/>
  <c r="R484" i="37"/>
  <c r="G484" i="37"/>
  <c r="AD484" i="37"/>
  <c r="AF484" i="37"/>
  <c r="C484" i="37"/>
  <c r="B484" i="37"/>
  <c r="H483" i="37"/>
  <c r="S483" i="37"/>
  <c r="U483" i="37"/>
  <c r="Y483" i="37"/>
  <c r="AA483" i="37"/>
  <c r="AE483" i="37"/>
  <c r="AB483" i="37"/>
  <c r="I483" i="37"/>
  <c r="T483" i="37"/>
  <c r="V483" i="37"/>
  <c r="Z483" i="37"/>
  <c r="AC483" i="37"/>
  <c r="R483" i="37"/>
  <c r="G483" i="37"/>
  <c r="AD483" i="37"/>
  <c r="AF483" i="37"/>
  <c r="C483" i="37"/>
  <c r="B483" i="37"/>
  <c r="H482" i="37"/>
  <c r="S482" i="37"/>
  <c r="U482" i="37"/>
  <c r="Y482" i="37"/>
  <c r="AA482" i="37"/>
  <c r="AE482" i="37"/>
  <c r="AB482" i="37"/>
  <c r="I482" i="37"/>
  <c r="T482" i="37"/>
  <c r="V482" i="37"/>
  <c r="Z482" i="37"/>
  <c r="AC482" i="37"/>
  <c r="R482" i="37"/>
  <c r="G482" i="37"/>
  <c r="AD482" i="37"/>
  <c r="AF482" i="37"/>
  <c r="C482" i="37"/>
  <c r="B482" i="37"/>
  <c r="H481" i="37"/>
  <c r="S481" i="37"/>
  <c r="U481" i="37"/>
  <c r="Y481" i="37"/>
  <c r="AA481" i="37"/>
  <c r="AE481" i="37"/>
  <c r="AB481" i="37"/>
  <c r="I481" i="37"/>
  <c r="T481" i="37"/>
  <c r="V481" i="37"/>
  <c r="Z481" i="37"/>
  <c r="AC481" i="37"/>
  <c r="R481" i="37"/>
  <c r="G481" i="37"/>
  <c r="AD481" i="37"/>
  <c r="AF481" i="37"/>
  <c r="C481" i="37"/>
  <c r="B481" i="37"/>
  <c r="H480" i="37"/>
  <c r="S480" i="37"/>
  <c r="U480" i="37"/>
  <c r="Y480" i="37"/>
  <c r="AA480" i="37"/>
  <c r="AE480" i="37"/>
  <c r="AB480" i="37"/>
  <c r="I480" i="37"/>
  <c r="T480" i="37"/>
  <c r="V480" i="37"/>
  <c r="Z480" i="37"/>
  <c r="AC480" i="37"/>
  <c r="R480" i="37"/>
  <c r="G480" i="37"/>
  <c r="AD480" i="37"/>
  <c r="AF480" i="37"/>
  <c r="C480" i="37"/>
  <c r="B480" i="37"/>
  <c r="H479" i="37"/>
  <c r="S479" i="37"/>
  <c r="U479" i="37"/>
  <c r="Y479" i="37"/>
  <c r="AA479" i="37"/>
  <c r="AE479" i="37"/>
  <c r="AB479" i="37"/>
  <c r="I479" i="37"/>
  <c r="T479" i="37"/>
  <c r="V479" i="37"/>
  <c r="Z479" i="37"/>
  <c r="AC479" i="37"/>
  <c r="R479" i="37"/>
  <c r="G479" i="37"/>
  <c r="AD479" i="37"/>
  <c r="AF479" i="37"/>
  <c r="C479" i="37"/>
  <c r="B479" i="37"/>
  <c r="H478" i="37"/>
  <c r="S478" i="37"/>
  <c r="U478" i="37"/>
  <c r="Y478" i="37"/>
  <c r="AA478" i="37"/>
  <c r="AE478" i="37"/>
  <c r="AB478" i="37"/>
  <c r="I478" i="37"/>
  <c r="T478" i="37"/>
  <c r="V478" i="37"/>
  <c r="Z478" i="37"/>
  <c r="AC478" i="37"/>
  <c r="R478" i="37"/>
  <c r="G478" i="37"/>
  <c r="AD478" i="37"/>
  <c r="AF478" i="37"/>
  <c r="C478" i="37"/>
  <c r="B478" i="37"/>
  <c r="H477" i="37"/>
  <c r="S477" i="37"/>
  <c r="U477" i="37"/>
  <c r="Y477" i="37"/>
  <c r="AA477" i="37"/>
  <c r="AE477" i="37"/>
  <c r="AB477" i="37"/>
  <c r="I477" i="37"/>
  <c r="T477" i="37"/>
  <c r="V477" i="37"/>
  <c r="Z477" i="37"/>
  <c r="AC477" i="37"/>
  <c r="R477" i="37"/>
  <c r="G477" i="37"/>
  <c r="AD477" i="37"/>
  <c r="AF477" i="37"/>
  <c r="C477" i="37"/>
  <c r="B477" i="37"/>
  <c r="H476" i="37"/>
  <c r="S476" i="37"/>
  <c r="U476" i="37"/>
  <c r="Y476" i="37"/>
  <c r="AA476" i="37"/>
  <c r="AE476" i="37"/>
  <c r="AB476" i="37"/>
  <c r="I476" i="37"/>
  <c r="T476" i="37"/>
  <c r="V476" i="37"/>
  <c r="Z476" i="37"/>
  <c r="AC476" i="37"/>
  <c r="R476" i="37"/>
  <c r="G476" i="37"/>
  <c r="AD476" i="37"/>
  <c r="AF476" i="37"/>
  <c r="C476" i="37"/>
  <c r="B476" i="37"/>
  <c r="H475" i="37"/>
  <c r="S475" i="37"/>
  <c r="U475" i="37"/>
  <c r="Y475" i="37"/>
  <c r="AA475" i="37"/>
  <c r="AE475" i="37"/>
  <c r="AB475" i="37"/>
  <c r="I475" i="37"/>
  <c r="T475" i="37"/>
  <c r="V475" i="37"/>
  <c r="Z475" i="37"/>
  <c r="AC475" i="37"/>
  <c r="R475" i="37"/>
  <c r="G475" i="37"/>
  <c r="AD475" i="37"/>
  <c r="AF475" i="37"/>
  <c r="C475" i="37"/>
  <c r="B475" i="37"/>
  <c r="H474" i="37"/>
  <c r="S474" i="37"/>
  <c r="U474" i="37"/>
  <c r="Y474" i="37"/>
  <c r="AA474" i="37"/>
  <c r="AE474" i="37"/>
  <c r="AB474" i="37"/>
  <c r="I474" i="37"/>
  <c r="T474" i="37"/>
  <c r="V474" i="37"/>
  <c r="Z474" i="37"/>
  <c r="AC474" i="37"/>
  <c r="R474" i="37"/>
  <c r="G474" i="37"/>
  <c r="AD474" i="37"/>
  <c r="AF474" i="37"/>
  <c r="C474" i="37"/>
  <c r="B474" i="37"/>
  <c r="H473" i="37"/>
  <c r="S473" i="37"/>
  <c r="U473" i="37"/>
  <c r="Y473" i="37"/>
  <c r="AA473" i="37"/>
  <c r="AE473" i="37"/>
  <c r="AB473" i="37"/>
  <c r="I473" i="37"/>
  <c r="T473" i="37"/>
  <c r="V473" i="37"/>
  <c r="Z473" i="37"/>
  <c r="AC473" i="37"/>
  <c r="R473" i="37"/>
  <c r="G473" i="37"/>
  <c r="AD473" i="37"/>
  <c r="AF473" i="37"/>
  <c r="C473" i="37"/>
  <c r="B473" i="37"/>
  <c r="H472" i="37"/>
  <c r="S472" i="37"/>
  <c r="U472" i="37"/>
  <c r="Y472" i="37"/>
  <c r="AA472" i="37"/>
  <c r="AE472" i="37"/>
  <c r="AB472" i="37"/>
  <c r="I472" i="37"/>
  <c r="T472" i="37"/>
  <c r="V472" i="37"/>
  <c r="Z472" i="37"/>
  <c r="AC472" i="37"/>
  <c r="R472" i="37"/>
  <c r="G472" i="37"/>
  <c r="AD472" i="37"/>
  <c r="AF472" i="37"/>
  <c r="C472" i="37"/>
  <c r="B472" i="37"/>
  <c r="H471" i="37"/>
  <c r="S471" i="37"/>
  <c r="U471" i="37"/>
  <c r="Y471" i="37"/>
  <c r="AA471" i="37"/>
  <c r="AE471" i="37"/>
  <c r="AB471" i="37"/>
  <c r="I471" i="37"/>
  <c r="T471" i="37"/>
  <c r="V471" i="37"/>
  <c r="Z471" i="37"/>
  <c r="AC471" i="37"/>
  <c r="R471" i="37"/>
  <c r="G471" i="37"/>
  <c r="AD471" i="37"/>
  <c r="AF471" i="37"/>
  <c r="C471" i="37"/>
  <c r="B471" i="37"/>
  <c r="H470" i="37"/>
  <c r="S470" i="37"/>
  <c r="U470" i="37"/>
  <c r="Y470" i="37"/>
  <c r="AA470" i="37"/>
  <c r="AE470" i="37"/>
  <c r="AB470" i="37"/>
  <c r="I470" i="37"/>
  <c r="T470" i="37"/>
  <c r="V470" i="37"/>
  <c r="Z470" i="37"/>
  <c r="AC470" i="37"/>
  <c r="R470" i="37"/>
  <c r="G470" i="37"/>
  <c r="AD470" i="37"/>
  <c r="AF470" i="37"/>
  <c r="C470" i="37"/>
  <c r="B470" i="37"/>
  <c r="H469" i="37"/>
  <c r="S469" i="37"/>
  <c r="U469" i="37"/>
  <c r="Y469" i="37"/>
  <c r="AA469" i="37"/>
  <c r="AE469" i="37"/>
  <c r="AB469" i="37"/>
  <c r="I469" i="37"/>
  <c r="T469" i="37"/>
  <c r="V469" i="37"/>
  <c r="Z469" i="37"/>
  <c r="AC469" i="37"/>
  <c r="R469" i="37"/>
  <c r="G469" i="37"/>
  <c r="AD469" i="37"/>
  <c r="AF469" i="37"/>
  <c r="C469" i="37"/>
  <c r="B469" i="37"/>
  <c r="H468" i="37"/>
  <c r="S468" i="37"/>
  <c r="U468" i="37"/>
  <c r="Y468" i="37"/>
  <c r="AA468" i="37"/>
  <c r="AE468" i="37"/>
  <c r="AB468" i="37"/>
  <c r="I468" i="37"/>
  <c r="T468" i="37"/>
  <c r="V468" i="37"/>
  <c r="Z468" i="37"/>
  <c r="AC468" i="37"/>
  <c r="R468" i="37"/>
  <c r="G468" i="37"/>
  <c r="AD468" i="37"/>
  <c r="AF468" i="37"/>
  <c r="C468" i="37"/>
  <c r="B468" i="37"/>
  <c r="H467" i="37"/>
  <c r="S467" i="37"/>
  <c r="U467" i="37"/>
  <c r="Y467" i="37"/>
  <c r="AA467" i="37"/>
  <c r="AE467" i="37"/>
  <c r="AB467" i="37"/>
  <c r="I467" i="37"/>
  <c r="T467" i="37"/>
  <c r="V467" i="37"/>
  <c r="Z467" i="37"/>
  <c r="AC467" i="37"/>
  <c r="R467" i="37"/>
  <c r="G467" i="37"/>
  <c r="AD467" i="37"/>
  <c r="AF467" i="37"/>
  <c r="C467" i="37"/>
  <c r="B467" i="37"/>
  <c r="H466" i="37"/>
  <c r="S466" i="37"/>
  <c r="U466" i="37"/>
  <c r="Y466" i="37"/>
  <c r="AA466" i="37"/>
  <c r="AE466" i="37"/>
  <c r="AB466" i="37"/>
  <c r="I466" i="37"/>
  <c r="T466" i="37"/>
  <c r="V466" i="37"/>
  <c r="Z466" i="37"/>
  <c r="AC466" i="37"/>
  <c r="R466" i="37"/>
  <c r="G466" i="37"/>
  <c r="AD466" i="37"/>
  <c r="AF466" i="37"/>
  <c r="C466" i="37"/>
  <c r="B466" i="37"/>
  <c r="H465" i="37"/>
  <c r="S465" i="37"/>
  <c r="U465" i="37"/>
  <c r="Y465" i="37"/>
  <c r="AA465" i="37"/>
  <c r="AE465" i="37"/>
  <c r="AB465" i="37"/>
  <c r="I465" i="37"/>
  <c r="T465" i="37"/>
  <c r="V465" i="37"/>
  <c r="Z465" i="37"/>
  <c r="AC465" i="37"/>
  <c r="R465" i="37"/>
  <c r="G465" i="37"/>
  <c r="AD465" i="37"/>
  <c r="AF465" i="37"/>
  <c r="C465" i="37"/>
  <c r="B465" i="37"/>
  <c r="H464" i="37"/>
  <c r="S464" i="37"/>
  <c r="U464" i="37"/>
  <c r="Y464" i="37"/>
  <c r="AA464" i="37"/>
  <c r="AE464" i="37"/>
  <c r="AB464" i="37"/>
  <c r="I464" i="37"/>
  <c r="T464" i="37"/>
  <c r="V464" i="37"/>
  <c r="Z464" i="37"/>
  <c r="AC464" i="37"/>
  <c r="R464" i="37"/>
  <c r="G464" i="37"/>
  <c r="AD464" i="37"/>
  <c r="AF464" i="37"/>
  <c r="C464" i="37"/>
  <c r="B464" i="37"/>
  <c r="H463" i="37"/>
  <c r="S463" i="37"/>
  <c r="U463" i="37"/>
  <c r="Y463" i="37"/>
  <c r="AA463" i="37"/>
  <c r="AE463" i="37"/>
  <c r="AB463" i="37"/>
  <c r="I463" i="37"/>
  <c r="T463" i="37"/>
  <c r="V463" i="37"/>
  <c r="Z463" i="37"/>
  <c r="AC463" i="37"/>
  <c r="R463" i="37"/>
  <c r="G463" i="37"/>
  <c r="AD463" i="37"/>
  <c r="AF463" i="37"/>
  <c r="C463" i="37"/>
  <c r="B463" i="37"/>
  <c r="H462" i="37"/>
  <c r="S462" i="37"/>
  <c r="U462" i="37"/>
  <c r="Y462" i="37"/>
  <c r="AA462" i="37"/>
  <c r="AE462" i="37"/>
  <c r="AB462" i="37"/>
  <c r="I462" i="37"/>
  <c r="T462" i="37"/>
  <c r="V462" i="37"/>
  <c r="Z462" i="37"/>
  <c r="AC462" i="37"/>
  <c r="R462" i="37"/>
  <c r="G462" i="37"/>
  <c r="AD462" i="37"/>
  <c r="AF462" i="37"/>
  <c r="C462" i="37"/>
  <c r="B462" i="37"/>
  <c r="H461" i="37"/>
  <c r="S461" i="37"/>
  <c r="U461" i="37"/>
  <c r="Y461" i="37"/>
  <c r="AA461" i="37"/>
  <c r="AE461" i="37"/>
  <c r="AB461" i="37"/>
  <c r="I461" i="37"/>
  <c r="T461" i="37"/>
  <c r="V461" i="37"/>
  <c r="Z461" i="37"/>
  <c r="AC461" i="37"/>
  <c r="R461" i="37"/>
  <c r="G461" i="37"/>
  <c r="AD461" i="37"/>
  <c r="AF461" i="37"/>
  <c r="C461" i="37"/>
  <c r="B461" i="37"/>
  <c r="H460" i="37"/>
  <c r="S460" i="37"/>
  <c r="U460" i="37"/>
  <c r="Y460" i="37"/>
  <c r="AA460" i="37"/>
  <c r="AE460" i="37"/>
  <c r="AB460" i="37"/>
  <c r="I460" i="37"/>
  <c r="T460" i="37"/>
  <c r="V460" i="37"/>
  <c r="Z460" i="37"/>
  <c r="AC460" i="37"/>
  <c r="R460" i="37"/>
  <c r="G460" i="37"/>
  <c r="AD460" i="37"/>
  <c r="AF460" i="37"/>
  <c r="C460" i="37"/>
  <c r="B460" i="37"/>
  <c r="H459" i="37"/>
  <c r="S459" i="37"/>
  <c r="U459" i="37"/>
  <c r="Y459" i="37"/>
  <c r="AA459" i="37"/>
  <c r="AE459" i="37"/>
  <c r="AB459" i="37"/>
  <c r="I459" i="37"/>
  <c r="T459" i="37"/>
  <c r="V459" i="37"/>
  <c r="Z459" i="37"/>
  <c r="AC459" i="37"/>
  <c r="R459" i="37"/>
  <c r="G459" i="37"/>
  <c r="AD459" i="37"/>
  <c r="AF459" i="37"/>
  <c r="C459" i="37"/>
  <c r="B459" i="37"/>
  <c r="H458" i="37"/>
  <c r="S458" i="37"/>
  <c r="U458" i="37"/>
  <c r="Y458" i="37"/>
  <c r="AA458" i="37"/>
  <c r="AE458" i="37"/>
  <c r="AB458" i="37"/>
  <c r="I458" i="37"/>
  <c r="T458" i="37"/>
  <c r="V458" i="37"/>
  <c r="Z458" i="37"/>
  <c r="AC458" i="37"/>
  <c r="R458" i="37"/>
  <c r="G458" i="37"/>
  <c r="AD458" i="37"/>
  <c r="AF458" i="37"/>
  <c r="C458" i="37"/>
  <c r="B458" i="37"/>
  <c r="H457" i="37"/>
  <c r="S457" i="37"/>
  <c r="U457" i="37"/>
  <c r="Y457" i="37"/>
  <c r="AA457" i="37"/>
  <c r="AE457" i="37"/>
  <c r="AB457" i="37"/>
  <c r="I457" i="37"/>
  <c r="T457" i="37"/>
  <c r="V457" i="37"/>
  <c r="Z457" i="37"/>
  <c r="AC457" i="37"/>
  <c r="R457" i="37"/>
  <c r="G457" i="37"/>
  <c r="AD457" i="37"/>
  <c r="AF457" i="37"/>
  <c r="C457" i="37"/>
  <c r="B457" i="37"/>
  <c r="H456" i="37"/>
  <c r="S456" i="37"/>
  <c r="U456" i="37"/>
  <c r="Y456" i="37"/>
  <c r="AA456" i="37"/>
  <c r="AE456" i="37"/>
  <c r="AB456" i="37"/>
  <c r="I456" i="37"/>
  <c r="T456" i="37"/>
  <c r="V456" i="37"/>
  <c r="Z456" i="37"/>
  <c r="AC456" i="37"/>
  <c r="R456" i="37"/>
  <c r="G456" i="37"/>
  <c r="AD456" i="37"/>
  <c r="AF456" i="37"/>
  <c r="C456" i="37"/>
  <c r="B456" i="37"/>
  <c r="H455" i="37"/>
  <c r="S455" i="37"/>
  <c r="U455" i="37"/>
  <c r="Y455" i="37"/>
  <c r="AA455" i="37"/>
  <c r="AE455" i="37"/>
  <c r="AB455" i="37"/>
  <c r="I455" i="37"/>
  <c r="T455" i="37"/>
  <c r="V455" i="37"/>
  <c r="Z455" i="37"/>
  <c r="AC455" i="37"/>
  <c r="R455" i="37"/>
  <c r="G455" i="37"/>
  <c r="AD455" i="37"/>
  <c r="AF455" i="37"/>
  <c r="C455" i="37"/>
  <c r="B455" i="37"/>
  <c r="H454" i="37"/>
  <c r="S454" i="37"/>
  <c r="U454" i="37"/>
  <c r="Y454" i="37"/>
  <c r="AA454" i="37"/>
  <c r="AE454" i="37"/>
  <c r="AB454" i="37"/>
  <c r="I454" i="37"/>
  <c r="T454" i="37"/>
  <c r="V454" i="37"/>
  <c r="Z454" i="37"/>
  <c r="AC454" i="37"/>
  <c r="R454" i="37"/>
  <c r="G454" i="37"/>
  <c r="AD454" i="37"/>
  <c r="AF454" i="37"/>
  <c r="C454" i="37"/>
  <c r="B454" i="37"/>
  <c r="H453" i="37"/>
  <c r="S453" i="37"/>
  <c r="U453" i="37"/>
  <c r="Y453" i="37"/>
  <c r="AA453" i="37"/>
  <c r="AE453" i="37"/>
  <c r="AB453" i="37"/>
  <c r="I453" i="37"/>
  <c r="T453" i="37"/>
  <c r="V453" i="37"/>
  <c r="Z453" i="37"/>
  <c r="AC453" i="37"/>
  <c r="R453" i="37"/>
  <c r="G453" i="37"/>
  <c r="AD453" i="37"/>
  <c r="AF453" i="37"/>
  <c r="C453" i="37"/>
  <c r="B453" i="37"/>
  <c r="H452" i="37"/>
  <c r="S452" i="37"/>
  <c r="U452" i="37"/>
  <c r="Y452" i="37"/>
  <c r="AA452" i="37"/>
  <c r="AE452" i="37"/>
  <c r="AB452" i="37"/>
  <c r="I452" i="37"/>
  <c r="T452" i="37"/>
  <c r="V452" i="37"/>
  <c r="Z452" i="37"/>
  <c r="AC452" i="37"/>
  <c r="R452" i="37"/>
  <c r="G452" i="37"/>
  <c r="AD452" i="37"/>
  <c r="AF452" i="37"/>
  <c r="C452" i="37"/>
  <c r="B452" i="37"/>
  <c r="H451" i="37"/>
  <c r="S451" i="37"/>
  <c r="U451" i="37"/>
  <c r="Y451" i="37"/>
  <c r="AA451" i="37"/>
  <c r="AE451" i="37"/>
  <c r="AB451" i="37"/>
  <c r="I451" i="37"/>
  <c r="T451" i="37"/>
  <c r="V451" i="37"/>
  <c r="Z451" i="37"/>
  <c r="AC451" i="37"/>
  <c r="R451" i="37"/>
  <c r="G451" i="37"/>
  <c r="AD451" i="37"/>
  <c r="AF451" i="37"/>
  <c r="C451" i="37"/>
  <c r="B451" i="37"/>
  <c r="H450" i="37"/>
  <c r="S450" i="37"/>
  <c r="U450" i="37"/>
  <c r="Y450" i="37"/>
  <c r="AA450" i="37"/>
  <c r="AE450" i="37"/>
  <c r="AB450" i="37"/>
  <c r="I450" i="37"/>
  <c r="T450" i="37"/>
  <c r="V450" i="37"/>
  <c r="Z450" i="37"/>
  <c r="AC450" i="37"/>
  <c r="R450" i="37"/>
  <c r="G450" i="37"/>
  <c r="AD450" i="37"/>
  <c r="AF450" i="37"/>
  <c r="C450" i="37"/>
  <c r="B450" i="37"/>
  <c r="H449" i="37"/>
  <c r="S449" i="37"/>
  <c r="U449" i="37"/>
  <c r="Y449" i="37"/>
  <c r="AA449" i="37"/>
  <c r="AE449" i="37"/>
  <c r="AB449" i="37"/>
  <c r="I449" i="37"/>
  <c r="T449" i="37"/>
  <c r="V449" i="37"/>
  <c r="Z449" i="37"/>
  <c r="AC449" i="37"/>
  <c r="R449" i="37"/>
  <c r="G449" i="37"/>
  <c r="AD449" i="37"/>
  <c r="AF449" i="37"/>
  <c r="C449" i="37"/>
  <c r="B449" i="37"/>
  <c r="H448" i="37"/>
  <c r="S448" i="37"/>
  <c r="U448" i="37"/>
  <c r="Y448" i="37"/>
  <c r="AA448" i="37"/>
  <c r="AE448" i="37"/>
  <c r="AB448" i="37"/>
  <c r="I448" i="37"/>
  <c r="T448" i="37"/>
  <c r="V448" i="37"/>
  <c r="Z448" i="37"/>
  <c r="AC448" i="37"/>
  <c r="R448" i="37"/>
  <c r="G448" i="37"/>
  <c r="AD448" i="37"/>
  <c r="AF448" i="37"/>
  <c r="C448" i="37"/>
  <c r="B448" i="37"/>
  <c r="H447" i="37"/>
  <c r="S447" i="37"/>
  <c r="U447" i="37"/>
  <c r="Y447" i="37"/>
  <c r="AA447" i="37"/>
  <c r="AE447" i="37"/>
  <c r="AB447" i="37"/>
  <c r="I447" i="37"/>
  <c r="T447" i="37"/>
  <c r="V447" i="37"/>
  <c r="Z447" i="37"/>
  <c r="AC447" i="37"/>
  <c r="R447" i="37"/>
  <c r="G447" i="37"/>
  <c r="AD447" i="37"/>
  <c r="AF447" i="37"/>
  <c r="C447" i="37"/>
  <c r="B447" i="37"/>
  <c r="H446" i="37"/>
  <c r="S446" i="37"/>
  <c r="U446" i="37"/>
  <c r="Y446" i="37"/>
  <c r="AA446" i="37"/>
  <c r="AE446" i="37"/>
  <c r="AB446" i="37"/>
  <c r="I446" i="37"/>
  <c r="T446" i="37"/>
  <c r="V446" i="37"/>
  <c r="Z446" i="37"/>
  <c r="AC446" i="37"/>
  <c r="R446" i="37"/>
  <c r="G446" i="37"/>
  <c r="AD446" i="37"/>
  <c r="AF446" i="37"/>
  <c r="C446" i="37"/>
  <c r="B446" i="37"/>
  <c r="H445" i="37"/>
  <c r="S445" i="37"/>
  <c r="U445" i="37"/>
  <c r="Y445" i="37"/>
  <c r="AA445" i="37"/>
  <c r="AE445" i="37"/>
  <c r="AB445" i="37"/>
  <c r="I445" i="37"/>
  <c r="T445" i="37"/>
  <c r="V445" i="37"/>
  <c r="Z445" i="37"/>
  <c r="AC445" i="37"/>
  <c r="R445" i="37"/>
  <c r="G445" i="37"/>
  <c r="AD445" i="37"/>
  <c r="AF445" i="37"/>
  <c r="C445" i="37"/>
  <c r="B445" i="37"/>
  <c r="H444" i="37"/>
  <c r="S444" i="37"/>
  <c r="U444" i="37"/>
  <c r="Y444" i="37"/>
  <c r="AA444" i="37"/>
  <c r="AE444" i="37"/>
  <c r="AB444" i="37"/>
  <c r="I444" i="37"/>
  <c r="T444" i="37"/>
  <c r="V444" i="37"/>
  <c r="Z444" i="37"/>
  <c r="AC444" i="37"/>
  <c r="R444" i="37"/>
  <c r="G444" i="37"/>
  <c r="AD444" i="37"/>
  <c r="AF444" i="37"/>
  <c r="C444" i="37"/>
  <c r="B444" i="37"/>
  <c r="H443" i="37"/>
  <c r="S443" i="37"/>
  <c r="U443" i="37"/>
  <c r="Y443" i="37"/>
  <c r="AA443" i="37"/>
  <c r="AE443" i="37"/>
  <c r="AB443" i="37"/>
  <c r="I443" i="37"/>
  <c r="T443" i="37"/>
  <c r="V443" i="37"/>
  <c r="Z443" i="37"/>
  <c r="AC443" i="37"/>
  <c r="R443" i="37"/>
  <c r="G443" i="37"/>
  <c r="AD443" i="37"/>
  <c r="AF443" i="37"/>
  <c r="C443" i="37"/>
  <c r="B443" i="37"/>
  <c r="H442" i="37"/>
  <c r="S442" i="37"/>
  <c r="U442" i="37"/>
  <c r="Y442" i="37"/>
  <c r="AA442" i="37"/>
  <c r="AE442" i="37"/>
  <c r="AB442" i="37"/>
  <c r="I442" i="37"/>
  <c r="T442" i="37"/>
  <c r="V442" i="37"/>
  <c r="Z442" i="37"/>
  <c r="AC442" i="37"/>
  <c r="R442" i="37"/>
  <c r="G442" i="37"/>
  <c r="AD442" i="37"/>
  <c r="AF442" i="37"/>
  <c r="C442" i="37"/>
  <c r="B442" i="37"/>
  <c r="H441" i="37"/>
  <c r="S441" i="37"/>
  <c r="U441" i="37"/>
  <c r="Y441" i="37"/>
  <c r="AA441" i="37"/>
  <c r="AE441" i="37"/>
  <c r="AB441" i="37"/>
  <c r="I441" i="37"/>
  <c r="T441" i="37"/>
  <c r="V441" i="37"/>
  <c r="Z441" i="37"/>
  <c r="AC441" i="37"/>
  <c r="R441" i="37"/>
  <c r="G441" i="37"/>
  <c r="AD441" i="37"/>
  <c r="AF441" i="37"/>
  <c r="C441" i="37"/>
  <c r="B441" i="37"/>
  <c r="H440" i="37"/>
  <c r="S440" i="37"/>
  <c r="U440" i="37"/>
  <c r="Y440" i="37"/>
  <c r="AA440" i="37"/>
  <c r="AE440" i="37"/>
  <c r="AB440" i="37"/>
  <c r="I440" i="37"/>
  <c r="T440" i="37"/>
  <c r="V440" i="37"/>
  <c r="Z440" i="37"/>
  <c r="AC440" i="37"/>
  <c r="R440" i="37"/>
  <c r="G440" i="37"/>
  <c r="AD440" i="37"/>
  <c r="AF440" i="37"/>
  <c r="C440" i="37"/>
  <c r="B440" i="37"/>
  <c r="H439" i="37"/>
  <c r="S439" i="37"/>
  <c r="U439" i="37"/>
  <c r="Y439" i="37"/>
  <c r="AA439" i="37"/>
  <c r="AE439" i="37"/>
  <c r="AB439" i="37"/>
  <c r="I439" i="37"/>
  <c r="T439" i="37"/>
  <c r="V439" i="37"/>
  <c r="Z439" i="37"/>
  <c r="AC439" i="37"/>
  <c r="R439" i="37"/>
  <c r="G439" i="37"/>
  <c r="AD439" i="37"/>
  <c r="AF439" i="37"/>
  <c r="C439" i="37"/>
  <c r="B439" i="37"/>
  <c r="H438" i="37"/>
  <c r="S438" i="37"/>
  <c r="U438" i="37"/>
  <c r="Y438" i="37"/>
  <c r="AA438" i="37"/>
  <c r="AE438" i="37"/>
  <c r="AB438" i="37"/>
  <c r="I438" i="37"/>
  <c r="T438" i="37"/>
  <c r="V438" i="37"/>
  <c r="Z438" i="37"/>
  <c r="AC438" i="37"/>
  <c r="R438" i="37"/>
  <c r="G438" i="37"/>
  <c r="AD438" i="37"/>
  <c r="AF438" i="37"/>
  <c r="C438" i="37"/>
  <c r="B438" i="37"/>
  <c r="H437" i="37"/>
  <c r="S437" i="37"/>
  <c r="U437" i="37"/>
  <c r="Y437" i="37"/>
  <c r="AA437" i="37"/>
  <c r="AE437" i="37"/>
  <c r="AB437" i="37"/>
  <c r="I437" i="37"/>
  <c r="T437" i="37"/>
  <c r="V437" i="37"/>
  <c r="Z437" i="37"/>
  <c r="AC437" i="37"/>
  <c r="R437" i="37"/>
  <c r="G437" i="37"/>
  <c r="AD437" i="37"/>
  <c r="AF437" i="37"/>
  <c r="C437" i="37"/>
  <c r="B437" i="37"/>
  <c r="H436" i="37"/>
  <c r="S436" i="37"/>
  <c r="U436" i="37"/>
  <c r="Y436" i="37"/>
  <c r="AA436" i="37"/>
  <c r="AE436" i="37"/>
  <c r="AB436" i="37"/>
  <c r="I436" i="37"/>
  <c r="T436" i="37"/>
  <c r="V436" i="37"/>
  <c r="Z436" i="37"/>
  <c r="AC436" i="37"/>
  <c r="R436" i="37"/>
  <c r="G436" i="37"/>
  <c r="AD436" i="37"/>
  <c r="AF436" i="37"/>
  <c r="C436" i="37"/>
  <c r="B436" i="37"/>
  <c r="H435" i="37"/>
  <c r="S435" i="37"/>
  <c r="U435" i="37"/>
  <c r="Y435" i="37"/>
  <c r="AA435" i="37"/>
  <c r="AE435" i="37"/>
  <c r="AB435" i="37"/>
  <c r="I435" i="37"/>
  <c r="T435" i="37"/>
  <c r="V435" i="37"/>
  <c r="Z435" i="37"/>
  <c r="AC435" i="37"/>
  <c r="R435" i="37"/>
  <c r="G435" i="37"/>
  <c r="AD435" i="37"/>
  <c r="AF435" i="37"/>
  <c r="C435" i="37"/>
  <c r="B435" i="37"/>
  <c r="H434" i="37"/>
  <c r="S434" i="37"/>
  <c r="U434" i="37"/>
  <c r="Y434" i="37"/>
  <c r="AA434" i="37"/>
  <c r="AE434" i="37"/>
  <c r="AB434" i="37"/>
  <c r="I434" i="37"/>
  <c r="T434" i="37"/>
  <c r="V434" i="37"/>
  <c r="Z434" i="37"/>
  <c r="AC434" i="37"/>
  <c r="R434" i="37"/>
  <c r="G434" i="37"/>
  <c r="AD434" i="37"/>
  <c r="AF434" i="37"/>
  <c r="C434" i="37"/>
  <c r="B434" i="37"/>
  <c r="H433" i="37"/>
  <c r="S433" i="37"/>
  <c r="U433" i="37"/>
  <c r="Y433" i="37"/>
  <c r="AA433" i="37"/>
  <c r="AE433" i="37"/>
  <c r="AB433" i="37"/>
  <c r="I433" i="37"/>
  <c r="T433" i="37"/>
  <c r="V433" i="37"/>
  <c r="Z433" i="37"/>
  <c r="AC433" i="37"/>
  <c r="R433" i="37"/>
  <c r="G433" i="37"/>
  <c r="AD433" i="37"/>
  <c r="AF433" i="37"/>
  <c r="C433" i="37"/>
  <c r="B433" i="37"/>
  <c r="H432" i="37"/>
  <c r="S432" i="37"/>
  <c r="U432" i="37"/>
  <c r="Y432" i="37"/>
  <c r="AA432" i="37"/>
  <c r="AE432" i="37"/>
  <c r="AB432" i="37"/>
  <c r="I432" i="37"/>
  <c r="T432" i="37"/>
  <c r="V432" i="37"/>
  <c r="Z432" i="37"/>
  <c r="AC432" i="37"/>
  <c r="R432" i="37"/>
  <c r="G432" i="37"/>
  <c r="AD432" i="37"/>
  <c r="AF432" i="37"/>
  <c r="C432" i="37"/>
  <c r="B432" i="37"/>
  <c r="H431" i="37"/>
  <c r="S431" i="37"/>
  <c r="U431" i="37"/>
  <c r="Y431" i="37"/>
  <c r="AA431" i="37"/>
  <c r="AE431" i="37"/>
  <c r="AB431" i="37"/>
  <c r="I431" i="37"/>
  <c r="T431" i="37"/>
  <c r="V431" i="37"/>
  <c r="Z431" i="37"/>
  <c r="AC431" i="37"/>
  <c r="R431" i="37"/>
  <c r="G431" i="37"/>
  <c r="AD431" i="37"/>
  <c r="AF431" i="37"/>
  <c r="C431" i="37"/>
  <c r="B431" i="37"/>
  <c r="H430" i="37"/>
  <c r="S430" i="37"/>
  <c r="U430" i="37"/>
  <c r="Y430" i="37"/>
  <c r="AA430" i="37"/>
  <c r="AE430" i="37"/>
  <c r="AB430" i="37"/>
  <c r="I430" i="37"/>
  <c r="T430" i="37"/>
  <c r="V430" i="37"/>
  <c r="Z430" i="37"/>
  <c r="AC430" i="37"/>
  <c r="R430" i="37"/>
  <c r="G430" i="37"/>
  <c r="AD430" i="37"/>
  <c r="AF430" i="37"/>
  <c r="C430" i="37"/>
  <c r="B430" i="37"/>
  <c r="H429" i="37"/>
  <c r="S429" i="37"/>
  <c r="U429" i="37"/>
  <c r="Y429" i="37"/>
  <c r="AA429" i="37"/>
  <c r="AE429" i="37"/>
  <c r="AB429" i="37"/>
  <c r="I429" i="37"/>
  <c r="T429" i="37"/>
  <c r="V429" i="37"/>
  <c r="Z429" i="37"/>
  <c r="AC429" i="37"/>
  <c r="R429" i="37"/>
  <c r="G429" i="37"/>
  <c r="AD429" i="37"/>
  <c r="AF429" i="37"/>
  <c r="C429" i="37"/>
  <c r="B429" i="37"/>
  <c r="H428" i="37"/>
  <c r="S428" i="37"/>
  <c r="U428" i="37"/>
  <c r="Y428" i="37"/>
  <c r="AA428" i="37"/>
  <c r="AE428" i="37"/>
  <c r="AB428" i="37"/>
  <c r="I428" i="37"/>
  <c r="T428" i="37"/>
  <c r="V428" i="37"/>
  <c r="Z428" i="37"/>
  <c r="AC428" i="37"/>
  <c r="R428" i="37"/>
  <c r="G428" i="37"/>
  <c r="AD428" i="37"/>
  <c r="AF428" i="37"/>
  <c r="C428" i="37"/>
  <c r="B428" i="37"/>
  <c r="H427" i="37"/>
  <c r="S427" i="37"/>
  <c r="U427" i="37"/>
  <c r="Y427" i="37"/>
  <c r="AA427" i="37"/>
  <c r="AE427" i="37"/>
  <c r="AB427" i="37"/>
  <c r="I427" i="37"/>
  <c r="T427" i="37"/>
  <c r="V427" i="37"/>
  <c r="Z427" i="37"/>
  <c r="AC427" i="37"/>
  <c r="R427" i="37"/>
  <c r="G427" i="37"/>
  <c r="AD427" i="37"/>
  <c r="AF427" i="37"/>
  <c r="C427" i="37"/>
  <c r="B427" i="37"/>
  <c r="H426" i="37"/>
  <c r="S426" i="37"/>
  <c r="U426" i="37"/>
  <c r="Y426" i="37"/>
  <c r="AA426" i="37"/>
  <c r="AE426" i="37"/>
  <c r="AB426" i="37"/>
  <c r="I426" i="37"/>
  <c r="T426" i="37"/>
  <c r="V426" i="37"/>
  <c r="Z426" i="37"/>
  <c r="AC426" i="37"/>
  <c r="R426" i="37"/>
  <c r="G426" i="37"/>
  <c r="AD426" i="37"/>
  <c r="AF426" i="37"/>
  <c r="C426" i="37"/>
  <c r="B426" i="37"/>
  <c r="H425" i="37"/>
  <c r="S425" i="37"/>
  <c r="U425" i="37"/>
  <c r="Y425" i="37"/>
  <c r="AA425" i="37"/>
  <c r="AE425" i="37"/>
  <c r="AB425" i="37"/>
  <c r="I425" i="37"/>
  <c r="T425" i="37"/>
  <c r="V425" i="37"/>
  <c r="Z425" i="37"/>
  <c r="AC425" i="37"/>
  <c r="R425" i="37"/>
  <c r="G425" i="37"/>
  <c r="AD425" i="37"/>
  <c r="AF425" i="37"/>
  <c r="C425" i="37"/>
  <c r="B425" i="37"/>
  <c r="H424" i="37"/>
  <c r="S424" i="37"/>
  <c r="U424" i="37"/>
  <c r="Y424" i="37"/>
  <c r="AA424" i="37"/>
  <c r="AE424" i="37"/>
  <c r="AB424" i="37"/>
  <c r="I424" i="37"/>
  <c r="T424" i="37"/>
  <c r="V424" i="37"/>
  <c r="Z424" i="37"/>
  <c r="AC424" i="37"/>
  <c r="R424" i="37"/>
  <c r="G424" i="37"/>
  <c r="AD424" i="37"/>
  <c r="AF424" i="37"/>
  <c r="C424" i="37"/>
  <c r="B424" i="37"/>
  <c r="H423" i="37"/>
  <c r="S423" i="37"/>
  <c r="U423" i="37"/>
  <c r="Y423" i="37"/>
  <c r="AA423" i="37"/>
  <c r="AE423" i="37"/>
  <c r="AB423" i="37"/>
  <c r="I423" i="37"/>
  <c r="T423" i="37"/>
  <c r="V423" i="37"/>
  <c r="Z423" i="37"/>
  <c r="AC423" i="37"/>
  <c r="R423" i="37"/>
  <c r="G423" i="37"/>
  <c r="AD423" i="37"/>
  <c r="AF423" i="37"/>
  <c r="C423" i="37"/>
  <c r="B423" i="37"/>
  <c r="H422" i="37"/>
  <c r="S422" i="37"/>
  <c r="U422" i="37"/>
  <c r="Y422" i="37"/>
  <c r="AA422" i="37"/>
  <c r="AE422" i="37"/>
  <c r="AB422" i="37"/>
  <c r="I422" i="37"/>
  <c r="T422" i="37"/>
  <c r="V422" i="37"/>
  <c r="Z422" i="37"/>
  <c r="AC422" i="37"/>
  <c r="R422" i="37"/>
  <c r="G422" i="37"/>
  <c r="AD422" i="37"/>
  <c r="AF422" i="37"/>
  <c r="C422" i="37"/>
  <c r="B422" i="37"/>
  <c r="H421" i="37"/>
  <c r="S421" i="37"/>
  <c r="U421" i="37"/>
  <c r="Y421" i="37"/>
  <c r="AA421" i="37"/>
  <c r="AE421" i="37"/>
  <c r="AB421" i="37"/>
  <c r="I421" i="37"/>
  <c r="T421" i="37"/>
  <c r="V421" i="37"/>
  <c r="Z421" i="37"/>
  <c r="AC421" i="37"/>
  <c r="R421" i="37"/>
  <c r="G421" i="37"/>
  <c r="AD421" i="37"/>
  <c r="AF421" i="37"/>
  <c r="C421" i="37"/>
  <c r="B421" i="37"/>
  <c r="H420" i="37"/>
  <c r="S420" i="37"/>
  <c r="U420" i="37"/>
  <c r="Y420" i="37"/>
  <c r="AA420" i="37"/>
  <c r="AE420" i="37"/>
  <c r="AB420" i="37"/>
  <c r="I420" i="37"/>
  <c r="T420" i="37"/>
  <c r="V420" i="37"/>
  <c r="Z420" i="37"/>
  <c r="AC420" i="37"/>
  <c r="R420" i="37"/>
  <c r="G420" i="37"/>
  <c r="AD420" i="37"/>
  <c r="AF420" i="37"/>
  <c r="C420" i="37"/>
  <c r="B420" i="37"/>
  <c r="H419" i="37"/>
  <c r="S419" i="37"/>
  <c r="U419" i="37"/>
  <c r="Y419" i="37"/>
  <c r="AA419" i="37"/>
  <c r="AE419" i="37"/>
  <c r="AB419" i="37"/>
  <c r="I419" i="37"/>
  <c r="T419" i="37"/>
  <c r="V419" i="37"/>
  <c r="Z419" i="37"/>
  <c r="AC419" i="37"/>
  <c r="R419" i="37"/>
  <c r="G419" i="37"/>
  <c r="AD419" i="37"/>
  <c r="AF419" i="37"/>
  <c r="C419" i="37"/>
  <c r="B419" i="37"/>
  <c r="H418" i="37"/>
  <c r="S418" i="37"/>
  <c r="U418" i="37"/>
  <c r="Y418" i="37"/>
  <c r="AA418" i="37"/>
  <c r="AE418" i="37"/>
  <c r="AB418" i="37"/>
  <c r="I418" i="37"/>
  <c r="T418" i="37"/>
  <c r="V418" i="37"/>
  <c r="Z418" i="37"/>
  <c r="AC418" i="37"/>
  <c r="R418" i="37"/>
  <c r="G418" i="37"/>
  <c r="AD418" i="37"/>
  <c r="AF418" i="37"/>
  <c r="C418" i="37"/>
  <c r="B418" i="37"/>
  <c r="H417" i="37"/>
  <c r="S417" i="37"/>
  <c r="U417" i="37"/>
  <c r="Y417" i="37"/>
  <c r="AA417" i="37"/>
  <c r="AE417" i="37"/>
  <c r="AB417" i="37"/>
  <c r="I417" i="37"/>
  <c r="T417" i="37"/>
  <c r="V417" i="37"/>
  <c r="Z417" i="37"/>
  <c r="AC417" i="37"/>
  <c r="R417" i="37"/>
  <c r="G417" i="37"/>
  <c r="AD417" i="37"/>
  <c r="AF417" i="37"/>
  <c r="C417" i="37"/>
  <c r="B417" i="37"/>
  <c r="H416" i="37"/>
  <c r="S416" i="37"/>
  <c r="U416" i="37"/>
  <c r="Y416" i="37"/>
  <c r="AA416" i="37"/>
  <c r="AE416" i="37"/>
  <c r="AB416" i="37"/>
  <c r="I416" i="37"/>
  <c r="T416" i="37"/>
  <c r="V416" i="37"/>
  <c r="Z416" i="37"/>
  <c r="AC416" i="37"/>
  <c r="R416" i="37"/>
  <c r="G416" i="37"/>
  <c r="AD416" i="37"/>
  <c r="AF416" i="37"/>
  <c r="C416" i="37"/>
  <c r="B416" i="37"/>
  <c r="H415" i="37"/>
  <c r="S415" i="37"/>
  <c r="U415" i="37"/>
  <c r="Y415" i="37"/>
  <c r="AA415" i="37"/>
  <c r="AE415" i="37"/>
  <c r="AB415" i="37"/>
  <c r="I415" i="37"/>
  <c r="T415" i="37"/>
  <c r="V415" i="37"/>
  <c r="Z415" i="37"/>
  <c r="AC415" i="37"/>
  <c r="R415" i="37"/>
  <c r="G415" i="37"/>
  <c r="AD415" i="37"/>
  <c r="AF415" i="37"/>
  <c r="C415" i="37"/>
  <c r="B415" i="37"/>
  <c r="H414" i="37"/>
  <c r="S414" i="37"/>
  <c r="U414" i="37"/>
  <c r="Y414" i="37"/>
  <c r="AA414" i="37"/>
  <c r="AE414" i="37"/>
  <c r="AB414" i="37"/>
  <c r="I414" i="37"/>
  <c r="T414" i="37"/>
  <c r="V414" i="37"/>
  <c r="Z414" i="37"/>
  <c r="AC414" i="37"/>
  <c r="R414" i="37"/>
  <c r="G414" i="37"/>
  <c r="AD414" i="37"/>
  <c r="AF414" i="37"/>
  <c r="C414" i="37"/>
  <c r="B414" i="37"/>
  <c r="H413" i="37"/>
  <c r="S413" i="37"/>
  <c r="U413" i="37"/>
  <c r="Y413" i="37"/>
  <c r="AA413" i="37"/>
  <c r="AE413" i="37"/>
  <c r="AB413" i="37"/>
  <c r="I413" i="37"/>
  <c r="T413" i="37"/>
  <c r="V413" i="37"/>
  <c r="Z413" i="37"/>
  <c r="AC413" i="37"/>
  <c r="R413" i="37"/>
  <c r="G413" i="37"/>
  <c r="AD413" i="37"/>
  <c r="AF413" i="37"/>
  <c r="C413" i="37"/>
  <c r="B413" i="37"/>
  <c r="H412" i="37"/>
  <c r="S412" i="37"/>
  <c r="U412" i="37"/>
  <c r="Y412" i="37"/>
  <c r="AA412" i="37"/>
  <c r="AE412" i="37"/>
  <c r="AB412" i="37"/>
  <c r="I412" i="37"/>
  <c r="T412" i="37"/>
  <c r="V412" i="37"/>
  <c r="Z412" i="37"/>
  <c r="AC412" i="37"/>
  <c r="R412" i="37"/>
  <c r="G412" i="37"/>
  <c r="AD412" i="37"/>
  <c r="AF412" i="37"/>
  <c r="C412" i="37"/>
  <c r="B412" i="37"/>
  <c r="H411" i="37"/>
  <c r="S411" i="37"/>
  <c r="U411" i="37"/>
  <c r="Y411" i="37"/>
  <c r="AA411" i="37"/>
  <c r="AE411" i="37"/>
  <c r="AB411" i="37"/>
  <c r="I411" i="37"/>
  <c r="T411" i="37"/>
  <c r="V411" i="37"/>
  <c r="Z411" i="37"/>
  <c r="AC411" i="37"/>
  <c r="R411" i="37"/>
  <c r="G411" i="37"/>
  <c r="AD411" i="37"/>
  <c r="AF411" i="37"/>
  <c r="C411" i="37"/>
  <c r="B411" i="37"/>
  <c r="H410" i="37"/>
  <c r="S410" i="37"/>
  <c r="U410" i="37"/>
  <c r="Y410" i="37"/>
  <c r="AA410" i="37"/>
  <c r="AE410" i="37"/>
  <c r="AB410" i="37"/>
  <c r="I410" i="37"/>
  <c r="T410" i="37"/>
  <c r="V410" i="37"/>
  <c r="Z410" i="37"/>
  <c r="AC410" i="37"/>
  <c r="R410" i="37"/>
  <c r="G410" i="37"/>
  <c r="AD410" i="37"/>
  <c r="AF410" i="37"/>
  <c r="C410" i="37"/>
  <c r="B410" i="37"/>
  <c r="H409" i="37"/>
  <c r="S409" i="37"/>
  <c r="U409" i="37"/>
  <c r="Y409" i="37"/>
  <c r="AA409" i="37"/>
  <c r="AE409" i="37"/>
  <c r="AB409" i="37"/>
  <c r="I409" i="37"/>
  <c r="T409" i="37"/>
  <c r="V409" i="37"/>
  <c r="Z409" i="37"/>
  <c r="AC409" i="37"/>
  <c r="R409" i="37"/>
  <c r="G409" i="37"/>
  <c r="AD409" i="37"/>
  <c r="AF409" i="37"/>
  <c r="C409" i="37"/>
  <c r="B409" i="37"/>
  <c r="H408" i="37"/>
  <c r="S408" i="37"/>
  <c r="U408" i="37"/>
  <c r="Y408" i="37"/>
  <c r="AA408" i="37"/>
  <c r="AE408" i="37"/>
  <c r="AB408" i="37"/>
  <c r="I408" i="37"/>
  <c r="T408" i="37"/>
  <c r="V408" i="37"/>
  <c r="Z408" i="37"/>
  <c r="AC408" i="37"/>
  <c r="R408" i="37"/>
  <c r="G408" i="37"/>
  <c r="AD408" i="37"/>
  <c r="AF408" i="37"/>
  <c r="C408" i="37"/>
  <c r="B408" i="37"/>
  <c r="H407" i="37"/>
  <c r="S407" i="37"/>
  <c r="U407" i="37"/>
  <c r="Y407" i="37"/>
  <c r="AA407" i="37"/>
  <c r="AE407" i="37"/>
  <c r="AB407" i="37"/>
  <c r="I407" i="37"/>
  <c r="T407" i="37"/>
  <c r="V407" i="37"/>
  <c r="Z407" i="37"/>
  <c r="AC407" i="37"/>
  <c r="R407" i="37"/>
  <c r="G407" i="37"/>
  <c r="AD407" i="37"/>
  <c r="AF407" i="37"/>
  <c r="C407" i="37"/>
  <c r="B407" i="37"/>
  <c r="H406" i="37"/>
  <c r="S406" i="37"/>
  <c r="U406" i="37"/>
  <c r="Y406" i="37"/>
  <c r="AA406" i="37"/>
  <c r="AE406" i="37"/>
  <c r="AB406" i="37"/>
  <c r="I406" i="37"/>
  <c r="T406" i="37"/>
  <c r="V406" i="37"/>
  <c r="Z406" i="37"/>
  <c r="AC406" i="37"/>
  <c r="R406" i="37"/>
  <c r="G406" i="37"/>
  <c r="AD406" i="37"/>
  <c r="AF406" i="37"/>
  <c r="C406" i="37"/>
  <c r="B406" i="37"/>
  <c r="H405" i="37"/>
  <c r="S405" i="37"/>
  <c r="U405" i="37"/>
  <c r="Y405" i="37"/>
  <c r="AA405" i="37"/>
  <c r="AE405" i="37"/>
  <c r="AB405" i="37"/>
  <c r="I405" i="37"/>
  <c r="T405" i="37"/>
  <c r="V405" i="37"/>
  <c r="Z405" i="37"/>
  <c r="AC405" i="37"/>
  <c r="R405" i="37"/>
  <c r="G405" i="37"/>
  <c r="AD405" i="37"/>
  <c r="AF405" i="37"/>
  <c r="C405" i="37"/>
  <c r="B405" i="37"/>
  <c r="H404" i="37"/>
  <c r="S404" i="37"/>
  <c r="U404" i="37"/>
  <c r="Y404" i="37"/>
  <c r="AA404" i="37"/>
  <c r="AE404" i="37"/>
  <c r="AB404" i="37"/>
  <c r="I404" i="37"/>
  <c r="T404" i="37"/>
  <c r="V404" i="37"/>
  <c r="Z404" i="37"/>
  <c r="AC404" i="37"/>
  <c r="R404" i="37"/>
  <c r="G404" i="37"/>
  <c r="AD404" i="37"/>
  <c r="AF404" i="37"/>
  <c r="C404" i="37"/>
  <c r="B404" i="37"/>
  <c r="H403" i="37"/>
  <c r="S403" i="37"/>
  <c r="U403" i="37"/>
  <c r="Y403" i="37"/>
  <c r="AA403" i="37"/>
  <c r="AE403" i="37"/>
  <c r="AB403" i="37"/>
  <c r="I403" i="37"/>
  <c r="T403" i="37"/>
  <c r="V403" i="37"/>
  <c r="Z403" i="37"/>
  <c r="AC403" i="37"/>
  <c r="R403" i="37"/>
  <c r="G403" i="37"/>
  <c r="AD403" i="37"/>
  <c r="AF403" i="37"/>
  <c r="C403" i="37"/>
  <c r="B403" i="37"/>
  <c r="H402" i="37"/>
  <c r="S402" i="37"/>
  <c r="U402" i="37"/>
  <c r="Y402" i="37"/>
  <c r="AA402" i="37"/>
  <c r="AE402" i="37"/>
  <c r="AB402" i="37"/>
  <c r="I402" i="37"/>
  <c r="T402" i="37"/>
  <c r="V402" i="37"/>
  <c r="Z402" i="37"/>
  <c r="AC402" i="37"/>
  <c r="R402" i="37"/>
  <c r="G402" i="37"/>
  <c r="AD402" i="37"/>
  <c r="AF402" i="37"/>
  <c r="C402" i="37"/>
  <c r="B402" i="37"/>
  <c r="H401" i="37"/>
  <c r="S401" i="37"/>
  <c r="U401" i="37"/>
  <c r="Y401" i="37"/>
  <c r="AA401" i="37"/>
  <c r="AE401" i="37"/>
  <c r="AB401" i="37"/>
  <c r="I401" i="37"/>
  <c r="T401" i="37"/>
  <c r="V401" i="37"/>
  <c r="Z401" i="37"/>
  <c r="AC401" i="37"/>
  <c r="R401" i="37"/>
  <c r="G401" i="37"/>
  <c r="AD401" i="37"/>
  <c r="AF401" i="37"/>
  <c r="C401" i="37"/>
  <c r="B401" i="37"/>
  <c r="H400" i="37"/>
  <c r="S400" i="37"/>
  <c r="U400" i="37"/>
  <c r="Y400" i="37"/>
  <c r="AA400" i="37"/>
  <c r="AE400" i="37"/>
  <c r="AB400" i="37"/>
  <c r="I400" i="37"/>
  <c r="T400" i="37"/>
  <c r="V400" i="37"/>
  <c r="Z400" i="37"/>
  <c r="AC400" i="37"/>
  <c r="R400" i="37"/>
  <c r="G400" i="37"/>
  <c r="AD400" i="37"/>
  <c r="AF400" i="37"/>
  <c r="C400" i="37"/>
  <c r="B400" i="37"/>
  <c r="H399" i="37"/>
  <c r="S399" i="37"/>
  <c r="U399" i="37"/>
  <c r="Y399" i="37"/>
  <c r="AA399" i="37"/>
  <c r="AE399" i="37"/>
  <c r="AB399" i="37"/>
  <c r="I399" i="37"/>
  <c r="T399" i="37"/>
  <c r="V399" i="37"/>
  <c r="Z399" i="37"/>
  <c r="AC399" i="37"/>
  <c r="R399" i="37"/>
  <c r="G399" i="37"/>
  <c r="AD399" i="37"/>
  <c r="AF399" i="37"/>
  <c r="C399" i="37"/>
  <c r="B399" i="37"/>
  <c r="H398" i="37"/>
  <c r="S398" i="37"/>
  <c r="U398" i="37"/>
  <c r="Y398" i="37"/>
  <c r="AA398" i="37"/>
  <c r="AE398" i="37"/>
  <c r="AB398" i="37"/>
  <c r="I398" i="37"/>
  <c r="T398" i="37"/>
  <c r="V398" i="37"/>
  <c r="Z398" i="37"/>
  <c r="AC398" i="37"/>
  <c r="R398" i="37"/>
  <c r="G398" i="37"/>
  <c r="AD398" i="37"/>
  <c r="AF398" i="37"/>
  <c r="C398" i="37"/>
  <c r="B398" i="37"/>
  <c r="H397" i="37"/>
  <c r="S397" i="37"/>
  <c r="U397" i="37"/>
  <c r="Y397" i="37"/>
  <c r="AA397" i="37"/>
  <c r="AE397" i="37"/>
  <c r="AB397" i="37"/>
  <c r="I397" i="37"/>
  <c r="T397" i="37"/>
  <c r="V397" i="37"/>
  <c r="Z397" i="37"/>
  <c r="AC397" i="37"/>
  <c r="R397" i="37"/>
  <c r="G397" i="37"/>
  <c r="AD397" i="37"/>
  <c r="AF397" i="37"/>
  <c r="C397" i="37"/>
  <c r="B397" i="37"/>
  <c r="H396" i="37"/>
  <c r="S396" i="37"/>
  <c r="U396" i="37"/>
  <c r="Y396" i="37"/>
  <c r="AA396" i="37"/>
  <c r="AE396" i="37"/>
  <c r="AB396" i="37"/>
  <c r="I396" i="37"/>
  <c r="T396" i="37"/>
  <c r="V396" i="37"/>
  <c r="Z396" i="37"/>
  <c r="AC396" i="37"/>
  <c r="R396" i="37"/>
  <c r="G396" i="37"/>
  <c r="AD396" i="37"/>
  <c r="AF396" i="37"/>
  <c r="C396" i="37"/>
  <c r="B396" i="37"/>
  <c r="H395" i="37"/>
  <c r="S395" i="37"/>
  <c r="U395" i="37"/>
  <c r="Y395" i="37"/>
  <c r="AA395" i="37"/>
  <c r="AE395" i="37"/>
  <c r="AB395" i="37"/>
  <c r="I395" i="37"/>
  <c r="T395" i="37"/>
  <c r="V395" i="37"/>
  <c r="Z395" i="37"/>
  <c r="AC395" i="37"/>
  <c r="R395" i="37"/>
  <c r="G395" i="37"/>
  <c r="AD395" i="37"/>
  <c r="AF395" i="37"/>
  <c r="C395" i="37"/>
  <c r="B395" i="37"/>
  <c r="H394" i="37"/>
  <c r="S394" i="37"/>
  <c r="U394" i="37"/>
  <c r="Y394" i="37"/>
  <c r="AA394" i="37"/>
  <c r="AE394" i="37"/>
  <c r="AB394" i="37"/>
  <c r="I394" i="37"/>
  <c r="T394" i="37"/>
  <c r="V394" i="37"/>
  <c r="Z394" i="37"/>
  <c r="AC394" i="37"/>
  <c r="R394" i="37"/>
  <c r="G394" i="37"/>
  <c r="AD394" i="37"/>
  <c r="AF394" i="37"/>
  <c r="C394" i="37"/>
  <c r="B394" i="37"/>
  <c r="H393" i="37"/>
  <c r="S393" i="37"/>
  <c r="U393" i="37"/>
  <c r="Y393" i="37"/>
  <c r="AA393" i="37"/>
  <c r="AE393" i="37"/>
  <c r="AB393" i="37"/>
  <c r="I393" i="37"/>
  <c r="T393" i="37"/>
  <c r="V393" i="37"/>
  <c r="Z393" i="37"/>
  <c r="AC393" i="37"/>
  <c r="R393" i="37"/>
  <c r="G393" i="37"/>
  <c r="AD393" i="37"/>
  <c r="AF393" i="37"/>
  <c r="C393" i="37"/>
  <c r="B393" i="37"/>
  <c r="H392" i="37"/>
  <c r="S392" i="37"/>
  <c r="U392" i="37"/>
  <c r="Y392" i="37"/>
  <c r="AA392" i="37"/>
  <c r="AE392" i="37"/>
  <c r="AB392" i="37"/>
  <c r="I392" i="37"/>
  <c r="T392" i="37"/>
  <c r="V392" i="37"/>
  <c r="Z392" i="37"/>
  <c r="AC392" i="37"/>
  <c r="R392" i="37"/>
  <c r="G392" i="37"/>
  <c r="AD392" i="37"/>
  <c r="AF392" i="37"/>
  <c r="C392" i="37"/>
  <c r="B392" i="37"/>
  <c r="H391" i="37"/>
  <c r="S391" i="37"/>
  <c r="U391" i="37"/>
  <c r="Y391" i="37"/>
  <c r="AA391" i="37"/>
  <c r="AE391" i="37"/>
  <c r="AB391" i="37"/>
  <c r="I391" i="37"/>
  <c r="T391" i="37"/>
  <c r="V391" i="37"/>
  <c r="Z391" i="37"/>
  <c r="AC391" i="37"/>
  <c r="R391" i="37"/>
  <c r="G391" i="37"/>
  <c r="AD391" i="37"/>
  <c r="AF391" i="37"/>
  <c r="C391" i="37"/>
  <c r="B391" i="37"/>
  <c r="H390" i="37"/>
  <c r="S390" i="37"/>
  <c r="U390" i="37"/>
  <c r="Y390" i="37"/>
  <c r="AA390" i="37"/>
  <c r="AE390" i="37"/>
  <c r="AB390" i="37"/>
  <c r="I390" i="37"/>
  <c r="T390" i="37"/>
  <c r="V390" i="37"/>
  <c r="Z390" i="37"/>
  <c r="AC390" i="37"/>
  <c r="R390" i="37"/>
  <c r="G390" i="37"/>
  <c r="AD390" i="37"/>
  <c r="AF390" i="37"/>
  <c r="C390" i="37"/>
  <c r="B390" i="37"/>
  <c r="H389" i="37"/>
  <c r="S389" i="37"/>
  <c r="U389" i="37"/>
  <c r="Y389" i="37"/>
  <c r="AA389" i="37"/>
  <c r="AE389" i="37"/>
  <c r="AB389" i="37"/>
  <c r="I389" i="37"/>
  <c r="T389" i="37"/>
  <c r="V389" i="37"/>
  <c r="Z389" i="37"/>
  <c r="AC389" i="37"/>
  <c r="R389" i="37"/>
  <c r="G389" i="37"/>
  <c r="AD389" i="37"/>
  <c r="AF389" i="37"/>
  <c r="C389" i="37"/>
  <c r="B389" i="37"/>
  <c r="H388" i="37"/>
  <c r="S388" i="37"/>
  <c r="U388" i="37"/>
  <c r="Y388" i="37"/>
  <c r="AA388" i="37"/>
  <c r="AE388" i="37"/>
  <c r="AB388" i="37"/>
  <c r="I388" i="37"/>
  <c r="T388" i="37"/>
  <c r="V388" i="37"/>
  <c r="Z388" i="37"/>
  <c r="AC388" i="37"/>
  <c r="R388" i="37"/>
  <c r="G388" i="37"/>
  <c r="AD388" i="37"/>
  <c r="AF388" i="37"/>
  <c r="C388" i="37"/>
  <c r="B388" i="37"/>
  <c r="H387" i="37"/>
  <c r="S387" i="37"/>
  <c r="U387" i="37"/>
  <c r="Y387" i="37"/>
  <c r="AA387" i="37"/>
  <c r="AE387" i="37"/>
  <c r="AB387" i="37"/>
  <c r="I387" i="37"/>
  <c r="T387" i="37"/>
  <c r="V387" i="37"/>
  <c r="Z387" i="37"/>
  <c r="AC387" i="37"/>
  <c r="R387" i="37"/>
  <c r="G387" i="37"/>
  <c r="AD387" i="37"/>
  <c r="AF387" i="37"/>
  <c r="C387" i="37"/>
  <c r="B387" i="37"/>
  <c r="H386" i="37"/>
  <c r="S386" i="37"/>
  <c r="U386" i="37"/>
  <c r="Y386" i="37"/>
  <c r="AA386" i="37"/>
  <c r="AE386" i="37"/>
  <c r="AB386" i="37"/>
  <c r="I386" i="37"/>
  <c r="T386" i="37"/>
  <c r="V386" i="37"/>
  <c r="Z386" i="37"/>
  <c r="AC386" i="37"/>
  <c r="R386" i="37"/>
  <c r="G386" i="37"/>
  <c r="AD386" i="37"/>
  <c r="AF386" i="37"/>
  <c r="C386" i="37"/>
  <c r="B386" i="37"/>
  <c r="H385" i="37"/>
  <c r="S385" i="37"/>
  <c r="U385" i="37"/>
  <c r="Y385" i="37"/>
  <c r="AA385" i="37"/>
  <c r="AE385" i="37"/>
  <c r="AB385" i="37"/>
  <c r="I385" i="37"/>
  <c r="T385" i="37"/>
  <c r="V385" i="37"/>
  <c r="Z385" i="37"/>
  <c r="AC385" i="37"/>
  <c r="R385" i="37"/>
  <c r="G385" i="37"/>
  <c r="AD385" i="37"/>
  <c r="AF385" i="37"/>
  <c r="C385" i="37"/>
  <c r="B385" i="37"/>
  <c r="H384" i="37"/>
  <c r="S384" i="37"/>
  <c r="U384" i="37"/>
  <c r="Y384" i="37"/>
  <c r="AA384" i="37"/>
  <c r="AE384" i="37"/>
  <c r="AB384" i="37"/>
  <c r="I384" i="37"/>
  <c r="T384" i="37"/>
  <c r="V384" i="37"/>
  <c r="Z384" i="37"/>
  <c r="AC384" i="37"/>
  <c r="R384" i="37"/>
  <c r="G384" i="37"/>
  <c r="AD384" i="37"/>
  <c r="AF384" i="37"/>
  <c r="C384" i="37"/>
  <c r="B384" i="37"/>
  <c r="H383" i="37"/>
  <c r="S383" i="37"/>
  <c r="U383" i="37"/>
  <c r="Y383" i="37"/>
  <c r="AA383" i="37"/>
  <c r="AE383" i="37"/>
  <c r="AB383" i="37"/>
  <c r="I383" i="37"/>
  <c r="T383" i="37"/>
  <c r="V383" i="37"/>
  <c r="Z383" i="37"/>
  <c r="AC383" i="37"/>
  <c r="R383" i="37"/>
  <c r="G383" i="37"/>
  <c r="AD383" i="37"/>
  <c r="AF383" i="37"/>
  <c r="C383" i="37"/>
  <c r="B383" i="37"/>
  <c r="H382" i="37"/>
  <c r="S382" i="37"/>
  <c r="U382" i="37"/>
  <c r="Y382" i="37"/>
  <c r="AA382" i="37"/>
  <c r="AE382" i="37"/>
  <c r="AB382" i="37"/>
  <c r="I382" i="37"/>
  <c r="T382" i="37"/>
  <c r="V382" i="37"/>
  <c r="Z382" i="37"/>
  <c r="AC382" i="37"/>
  <c r="R382" i="37"/>
  <c r="G382" i="37"/>
  <c r="AD382" i="37"/>
  <c r="AF382" i="37"/>
  <c r="C382" i="37"/>
  <c r="B382" i="37"/>
  <c r="H381" i="37"/>
  <c r="S381" i="37"/>
  <c r="U381" i="37"/>
  <c r="Y381" i="37"/>
  <c r="AA381" i="37"/>
  <c r="AE381" i="37"/>
  <c r="AB381" i="37"/>
  <c r="I381" i="37"/>
  <c r="T381" i="37"/>
  <c r="V381" i="37"/>
  <c r="Z381" i="37"/>
  <c r="AC381" i="37"/>
  <c r="R381" i="37"/>
  <c r="G381" i="37"/>
  <c r="AD381" i="37"/>
  <c r="AF381" i="37"/>
  <c r="C381" i="37"/>
  <c r="B381" i="37"/>
  <c r="H380" i="37"/>
  <c r="S380" i="37"/>
  <c r="U380" i="37"/>
  <c r="Y380" i="37"/>
  <c r="AA380" i="37"/>
  <c r="AE380" i="37"/>
  <c r="AB380" i="37"/>
  <c r="I380" i="37"/>
  <c r="T380" i="37"/>
  <c r="V380" i="37"/>
  <c r="Z380" i="37"/>
  <c r="AC380" i="37"/>
  <c r="R380" i="37"/>
  <c r="G380" i="37"/>
  <c r="AD380" i="37"/>
  <c r="AF380" i="37"/>
  <c r="C380" i="37"/>
  <c r="B380" i="37"/>
  <c r="H379" i="37"/>
  <c r="S379" i="37"/>
  <c r="U379" i="37"/>
  <c r="Y379" i="37"/>
  <c r="AA379" i="37"/>
  <c r="AE379" i="37"/>
  <c r="AB379" i="37"/>
  <c r="I379" i="37"/>
  <c r="T379" i="37"/>
  <c r="V379" i="37"/>
  <c r="Z379" i="37"/>
  <c r="AC379" i="37"/>
  <c r="R379" i="37"/>
  <c r="G379" i="37"/>
  <c r="AD379" i="37"/>
  <c r="AF379" i="37"/>
  <c r="C379" i="37"/>
  <c r="B379" i="37"/>
  <c r="H378" i="37"/>
  <c r="S378" i="37"/>
  <c r="U378" i="37"/>
  <c r="Y378" i="37"/>
  <c r="AA378" i="37"/>
  <c r="AE378" i="37"/>
  <c r="AB378" i="37"/>
  <c r="I378" i="37"/>
  <c r="T378" i="37"/>
  <c r="V378" i="37"/>
  <c r="Z378" i="37"/>
  <c r="AC378" i="37"/>
  <c r="R378" i="37"/>
  <c r="G378" i="37"/>
  <c r="AD378" i="37"/>
  <c r="AF378" i="37"/>
  <c r="C378" i="37"/>
  <c r="B378" i="37"/>
  <c r="H377" i="37"/>
  <c r="S377" i="37"/>
  <c r="U377" i="37"/>
  <c r="Y377" i="37"/>
  <c r="AA377" i="37"/>
  <c r="AE377" i="37"/>
  <c r="AB377" i="37"/>
  <c r="I377" i="37"/>
  <c r="T377" i="37"/>
  <c r="V377" i="37"/>
  <c r="Z377" i="37"/>
  <c r="AC377" i="37"/>
  <c r="R377" i="37"/>
  <c r="G377" i="37"/>
  <c r="AD377" i="37"/>
  <c r="AF377" i="37"/>
  <c r="C377" i="37"/>
  <c r="B377" i="37"/>
  <c r="H376" i="37"/>
  <c r="S376" i="37"/>
  <c r="U376" i="37"/>
  <c r="Y376" i="37"/>
  <c r="AA376" i="37"/>
  <c r="AE376" i="37"/>
  <c r="AB376" i="37"/>
  <c r="I376" i="37"/>
  <c r="T376" i="37"/>
  <c r="V376" i="37"/>
  <c r="Z376" i="37"/>
  <c r="AC376" i="37"/>
  <c r="R376" i="37"/>
  <c r="G376" i="37"/>
  <c r="AD376" i="37"/>
  <c r="AF376" i="37"/>
  <c r="C376" i="37"/>
  <c r="B376" i="37"/>
  <c r="H375" i="37"/>
  <c r="S375" i="37"/>
  <c r="U375" i="37"/>
  <c r="Y375" i="37"/>
  <c r="AA375" i="37"/>
  <c r="AE375" i="37"/>
  <c r="AB375" i="37"/>
  <c r="I375" i="37"/>
  <c r="T375" i="37"/>
  <c r="V375" i="37"/>
  <c r="Z375" i="37"/>
  <c r="AC375" i="37"/>
  <c r="R375" i="37"/>
  <c r="G375" i="37"/>
  <c r="AD375" i="37"/>
  <c r="AF375" i="37"/>
  <c r="C375" i="37"/>
  <c r="B375" i="37"/>
  <c r="H374" i="37"/>
  <c r="S374" i="37"/>
  <c r="U374" i="37"/>
  <c r="Y374" i="37"/>
  <c r="AA374" i="37"/>
  <c r="AE374" i="37"/>
  <c r="AB374" i="37"/>
  <c r="I374" i="37"/>
  <c r="T374" i="37"/>
  <c r="V374" i="37"/>
  <c r="Z374" i="37"/>
  <c r="AC374" i="37"/>
  <c r="R374" i="37"/>
  <c r="G374" i="37"/>
  <c r="AD374" i="37"/>
  <c r="AF374" i="37"/>
  <c r="C374" i="37"/>
  <c r="B374" i="37"/>
  <c r="H373" i="37"/>
  <c r="S373" i="37"/>
  <c r="U373" i="37"/>
  <c r="Y373" i="37"/>
  <c r="AA373" i="37"/>
  <c r="AE373" i="37"/>
  <c r="AB373" i="37"/>
  <c r="I373" i="37"/>
  <c r="T373" i="37"/>
  <c r="V373" i="37"/>
  <c r="Z373" i="37"/>
  <c r="AC373" i="37"/>
  <c r="R373" i="37"/>
  <c r="G373" i="37"/>
  <c r="AD373" i="37"/>
  <c r="AF373" i="37"/>
  <c r="C373" i="37"/>
  <c r="B373" i="37"/>
  <c r="H372" i="37"/>
  <c r="S372" i="37"/>
  <c r="U372" i="37"/>
  <c r="Y372" i="37"/>
  <c r="AA372" i="37"/>
  <c r="AE372" i="37"/>
  <c r="AB372" i="37"/>
  <c r="I372" i="37"/>
  <c r="T372" i="37"/>
  <c r="V372" i="37"/>
  <c r="Z372" i="37"/>
  <c r="AC372" i="37"/>
  <c r="R372" i="37"/>
  <c r="G372" i="37"/>
  <c r="AD372" i="37"/>
  <c r="AF372" i="37"/>
  <c r="C372" i="37"/>
  <c r="B372" i="37"/>
  <c r="H371" i="37"/>
  <c r="S371" i="37"/>
  <c r="U371" i="37"/>
  <c r="Y371" i="37"/>
  <c r="AA371" i="37"/>
  <c r="AE371" i="37"/>
  <c r="AB371" i="37"/>
  <c r="I371" i="37"/>
  <c r="T371" i="37"/>
  <c r="V371" i="37"/>
  <c r="Z371" i="37"/>
  <c r="AC371" i="37"/>
  <c r="R371" i="37"/>
  <c r="G371" i="37"/>
  <c r="AD371" i="37"/>
  <c r="AF371" i="37"/>
  <c r="C371" i="37"/>
  <c r="B371" i="37"/>
  <c r="H370" i="37"/>
  <c r="S370" i="37"/>
  <c r="U370" i="37"/>
  <c r="Y370" i="37"/>
  <c r="AA370" i="37"/>
  <c r="AE370" i="37"/>
  <c r="AB370" i="37"/>
  <c r="I370" i="37"/>
  <c r="T370" i="37"/>
  <c r="V370" i="37"/>
  <c r="Z370" i="37"/>
  <c r="AC370" i="37"/>
  <c r="R370" i="37"/>
  <c r="G370" i="37"/>
  <c r="AD370" i="37"/>
  <c r="AF370" i="37"/>
  <c r="C370" i="37"/>
  <c r="B370" i="37"/>
  <c r="H369" i="37"/>
  <c r="S369" i="37"/>
  <c r="U369" i="37"/>
  <c r="Y369" i="37"/>
  <c r="AA369" i="37"/>
  <c r="AE369" i="37"/>
  <c r="AB369" i="37"/>
  <c r="I369" i="37"/>
  <c r="T369" i="37"/>
  <c r="V369" i="37"/>
  <c r="Z369" i="37"/>
  <c r="AC369" i="37"/>
  <c r="R369" i="37"/>
  <c r="G369" i="37"/>
  <c r="AD369" i="37"/>
  <c r="AF369" i="37"/>
  <c r="C369" i="37"/>
  <c r="B369" i="37"/>
  <c r="H368" i="37"/>
  <c r="S368" i="37"/>
  <c r="U368" i="37"/>
  <c r="Y368" i="37"/>
  <c r="AA368" i="37"/>
  <c r="AE368" i="37"/>
  <c r="AB368" i="37"/>
  <c r="I368" i="37"/>
  <c r="T368" i="37"/>
  <c r="V368" i="37"/>
  <c r="Z368" i="37"/>
  <c r="AC368" i="37"/>
  <c r="R368" i="37"/>
  <c r="G368" i="37"/>
  <c r="AD368" i="37"/>
  <c r="AF368" i="37"/>
  <c r="C368" i="37"/>
  <c r="B368" i="37"/>
  <c r="H367" i="37"/>
  <c r="S367" i="37"/>
  <c r="U367" i="37"/>
  <c r="Y367" i="37"/>
  <c r="AA367" i="37"/>
  <c r="AE367" i="37"/>
  <c r="AB367" i="37"/>
  <c r="I367" i="37"/>
  <c r="T367" i="37"/>
  <c r="V367" i="37"/>
  <c r="Z367" i="37"/>
  <c r="AC367" i="37"/>
  <c r="R367" i="37"/>
  <c r="G367" i="37"/>
  <c r="AD367" i="37"/>
  <c r="AF367" i="37"/>
  <c r="C367" i="37"/>
  <c r="B367" i="37"/>
  <c r="H366" i="37"/>
  <c r="S366" i="37"/>
  <c r="U366" i="37"/>
  <c r="Y366" i="37"/>
  <c r="AA366" i="37"/>
  <c r="AE366" i="37"/>
  <c r="AB366" i="37"/>
  <c r="I366" i="37"/>
  <c r="T366" i="37"/>
  <c r="V366" i="37"/>
  <c r="Z366" i="37"/>
  <c r="AC366" i="37"/>
  <c r="R366" i="37"/>
  <c r="G366" i="37"/>
  <c r="AD366" i="37"/>
  <c r="AF366" i="37"/>
  <c r="C366" i="37"/>
  <c r="B366" i="37"/>
  <c r="H365" i="37"/>
  <c r="S365" i="37"/>
  <c r="U365" i="37"/>
  <c r="Y365" i="37"/>
  <c r="AA365" i="37"/>
  <c r="AE365" i="37"/>
  <c r="AB365" i="37"/>
  <c r="I365" i="37"/>
  <c r="T365" i="37"/>
  <c r="V365" i="37"/>
  <c r="Z365" i="37"/>
  <c r="AC365" i="37"/>
  <c r="R365" i="37"/>
  <c r="G365" i="37"/>
  <c r="AD365" i="37"/>
  <c r="AF365" i="37"/>
  <c r="C365" i="37"/>
  <c r="B365" i="37"/>
  <c r="H364" i="37"/>
  <c r="S364" i="37"/>
  <c r="U364" i="37"/>
  <c r="Y364" i="37"/>
  <c r="AA364" i="37"/>
  <c r="AE364" i="37"/>
  <c r="AB364" i="37"/>
  <c r="I364" i="37"/>
  <c r="T364" i="37"/>
  <c r="V364" i="37"/>
  <c r="Z364" i="37"/>
  <c r="AC364" i="37"/>
  <c r="R364" i="37"/>
  <c r="G364" i="37"/>
  <c r="AD364" i="37"/>
  <c r="AF364" i="37"/>
  <c r="C364" i="37"/>
  <c r="B364" i="37"/>
  <c r="H363" i="37"/>
  <c r="S363" i="37"/>
  <c r="U363" i="37"/>
  <c r="Y363" i="37"/>
  <c r="AA363" i="37"/>
  <c r="AE363" i="37"/>
  <c r="AB363" i="37"/>
  <c r="I363" i="37"/>
  <c r="T363" i="37"/>
  <c r="V363" i="37"/>
  <c r="Z363" i="37"/>
  <c r="AC363" i="37"/>
  <c r="R363" i="37"/>
  <c r="G363" i="37"/>
  <c r="AD363" i="37"/>
  <c r="AF363" i="37"/>
  <c r="C363" i="37"/>
  <c r="B363" i="37"/>
  <c r="H362" i="37"/>
  <c r="S362" i="37"/>
  <c r="U362" i="37"/>
  <c r="Y362" i="37"/>
  <c r="AA362" i="37"/>
  <c r="AE362" i="37"/>
  <c r="AB362" i="37"/>
  <c r="I362" i="37"/>
  <c r="T362" i="37"/>
  <c r="V362" i="37"/>
  <c r="Z362" i="37"/>
  <c r="AC362" i="37"/>
  <c r="R362" i="37"/>
  <c r="G362" i="37"/>
  <c r="AD362" i="37"/>
  <c r="AF362" i="37"/>
  <c r="C362" i="37"/>
  <c r="B362" i="37"/>
  <c r="H361" i="37"/>
  <c r="S361" i="37"/>
  <c r="U361" i="37"/>
  <c r="Y361" i="37"/>
  <c r="AA361" i="37"/>
  <c r="AE361" i="37"/>
  <c r="AB361" i="37"/>
  <c r="I361" i="37"/>
  <c r="T361" i="37"/>
  <c r="V361" i="37"/>
  <c r="Z361" i="37"/>
  <c r="AC361" i="37"/>
  <c r="R361" i="37"/>
  <c r="G361" i="37"/>
  <c r="AD361" i="37"/>
  <c r="AF361" i="37"/>
  <c r="C361" i="37"/>
  <c r="B361" i="37"/>
  <c r="H360" i="37"/>
  <c r="S360" i="37"/>
  <c r="U360" i="37"/>
  <c r="Y360" i="37"/>
  <c r="AA360" i="37"/>
  <c r="AE360" i="37"/>
  <c r="AB360" i="37"/>
  <c r="I360" i="37"/>
  <c r="T360" i="37"/>
  <c r="V360" i="37"/>
  <c r="Z360" i="37"/>
  <c r="AC360" i="37"/>
  <c r="R360" i="37"/>
  <c r="G360" i="37"/>
  <c r="AD360" i="37"/>
  <c r="AF360" i="37"/>
  <c r="C360" i="37"/>
  <c r="B360" i="37"/>
  <c r="H359" i="37"/>
  <c r="S359" i="37"/>
  <c r="U359" i="37"/>
  <c r="Y359" i="37"/>
  <c r="AA359" i="37"/>
  <c r="AE359" i="37"/>
  <c r="AB359" i="37"/>
  <c r="I359" i="37"/>
  <c r="T359" i="37"/>
  <c r="V359" i="37"/>
  <c r="Z359" i="37"/>
  <c r="AC359" i="37"/>
  <c r="R359" i="37"/>
  <c r="G359" i="37"/>
  <c r="AD359" i="37"/>
  <c r="AF359" i="37"/>
  <c r="C359" i="37"/>
  <c r="B359" i="37"/>
  <c r="H358" i="37"/>
  <c r="S358" i="37"/>
  <c r="U358" i="37"/>
  <c r="Y358" i="37"/>
  <c r="AA358" i="37"/>
  <c r="AE358" i="37"/>
  <c r="AB358" i="37"/>
  <c r="I358" i="37"/>
  <c r="T358" i="37"/>
  <c r="V358" i="37"/>
  <c r="Z358" i="37"/>
  <c r="AC358" i="37"/>
  <c r="R358" i="37"/>
  <c r="G358" i="37"/>
  <c r="AD358" i="37"/>
  <c r="AF358" i="37"/>
  <c r="C358" i="37"/>
  <c r="B358" i="37"/>
  <c r="H357" i="37"/>
  <c r="S357" i="37"/>
  <c r="U357" i="37"/>
  <c r="Y357" i="37"/>
  <c r="AA357" i="37"/>
  <c r="AE357" i="37"/>
  <c r="AB357" i="37"/>
  <c r="I357" i="37"/>
  <c r="T357" i="37"/>
  <c r="V357" i="37"/>
  <c r="Z357" i="37"/>
  <c r="AC357" i="37"/>
  <c r="R357" i="37"/>
  <c r="G357" i="37"/>
  <c r="AD357" i="37"/>
  <c r="AF357" i="37"/>
  <c r="C357" i="37"/>
  <c r="B357" i="37"/>
  <c r="H356" i="37"/>
  <c r="S356" i="37"/>
  <c r="U356" i="37"/>
  <c r="Y356" i="37"/>
  <c r="AA356" i="37"/>
  <c r="AE356" i="37"/>
  <c r="AB356" i="37"/>
  <c r="I356" i="37"/>
  <c r="T356" i="37"/>
  <c r="V356" i="37"/>
  <c r="Z356" i="37"/>
  <c r="AC356" i="37"/>
  <c r="R356" i="37"/>
  <c r="G356" i="37"/>
  <c r="AD356" i="37"/>
  <c r="AF356" i="37"/>
  <c r="C356" i="37"/>
  <c r="B356" i="37"/>
  <c r="H355" i="37"/>
  <c r="S355" i="37"/>
  <c r="U355" i="37"/>
  <c r="Y355" i="37"/>
  <c r="AA355" i="37"/>
  <c r="AE355" i="37"/>
  <c r="AB355" i="37"/>
  <c r="I355" i="37"/>
  <c r="T355" i="37"/>
  <c r="V355" i="37"/>
  <c r="Z355" i="37"/>
  <c r="AC355" i="37"/>
  <c r="R355" i="37"/>
  <c r="G355" i="37"/>
  <c r="AD355" i="37"/>
  <c r="AF355" i="37"/>
  <c r="C355" i="37"/>
  <c r="B355" i="37"/>
  <c r="H354" i="37"/>
  <c r="S354" i="37"/>
  <c r="U354" i="37"/>
  <c r="Y354" i="37"/>
  <c r="AA354" i="37"/>
  <c r="AE354" i="37"/>
  <c r="AB354" i="37"/>
  <c r="I354" i="37"/>
  <c r="T354" i="37"/>
  <c r="V354" i="37"/>
  <c r="Z354" i="37"/>
  <c r="AC354" i="37"/>
  <c r="R354" i="37"/>
  <c r="G354" i="37"/>
  <c r="AD354" i="37"/>
  <c r="AF354" i="37"/>
  <c r="C354" i="37"/>
  <c r="B354" i="37"/>
  <c r="H353" i="37"/>
  <c r="S353" i="37"/>
  <c r="U353" i="37"/>
  <c r="Y353" i="37"/>
  <c r="AA353" i="37"/>
  <c r="AE353" i="37"/>
  <c r="AB353" i="37"/>
  <c r="I353" i="37"/>
  <c r="T353" i="37"/>
  <c r="V353" i="37"/>
  <c r="Z353" i="37"/>
  <c r="AC353" i="37"/>
  <c r="R353" i="37"/>
  <c r="G353" i="37"/>
  <c r="AD353" i="37"/>
  <c r="AF353" i="37"/>
  <c r="C353" i="37"/>
  <c r="B353" i="37"/>
  <c r="H352" i="37"/>
  <c r="S352" i="37"/>
  <c r="U352" i="37"/>
  <c r="Y352" i="37"/>
  <c r="AA352" i="37"/>
  <c r="AE352" i="37"/>
  <c r="AB352" i="37"/>
  <c r="I352" i="37"/>
  <c r="T352" i="37"/>
  <c r="V352" i="37"/>
  <c r="Z352" i="37"/>
  <c r="AC352" i="37"/>
  <c r="R352" i="37"/>
  <c r="G352" i="37"/>
  <c r="AD352" i="37"/>
  <c r="AF352" i="37"/>
  <c r="C352" i="37"/>
  <c r="B352" i="37"/>
  <c r="H351" i="37"/>
  <c r="S351" i="37"/>
  <c r="U351" i="37"/>
  <c r="Y351" i="37"/>
  <c r="AA351" i="37"/>
  <c r="AE351" i="37"/>
  <c r="AB351" i="37"/>
  <c r="I351" i="37"/>
  <c r="T351" i="37"/>
  <c r="V351" i="37"/>
  <c r="Z351" i="37"/>
  <c r="AC351" i="37"/>
  <c r="R351" i="37"/>
  <c r="G351" i="37"/>
  <c r="AD351" i="37"/>
  <c r="AF351" i="37"/>
  <c r="C351" i="37"/>
  <c r="B351" i="37"/>
  <c r="H350" i="37"/>
  <c r="S350" i="37"/>
  <c r="U350" i="37"/>
  <c r="Y350" i="37"/>
  <c r="AA350" i="37"/>
  <c r="AE350" i="37"/>
  <c r="AB350" i="37"/>
  <c r="I350" i="37"/>
  <c r="T350" i="37"/>
  <c r="V350" i="37"/>
  <c r="Z350" i="37"/>
  <c r="AC350" i="37"/>
  <c r="R350" i="37"/>
  <c r="G350" i="37"/>
  <c r="AD350" i="37"/>
  <c r="AF350" i="37"/>
  <c r="C350" i="37"/>
  <c r="B350" i="37"/>
  <c r="H349" i="37"/>
  <c r="S349" i="37"/>
  <c r="U349" i="37"/>
  <c r="Y349" i="37"/>
  <c r="AA349" i="37"/>
  <c r="AE349" i="37"/>
  <c r="AB349" i="37"/>
  <c r="I349" i="37"/>
  <c r="T349" i="37"/>
  <c r="V349" i="37"/>
  <c r="Z349" i="37"/>
  <c r="AC349" i="37"/>
  <c r="R349" i="37"/>
  <c r="G349" i="37"/>
  <c r="AD349" i="37"/>
  <c r="AF349" i="37"/>
  <c r="C349" i="37"/>
  <c r="B349" i="37"/>
  <c r="H348" i="37"/>
  <c r="S348" i="37"/>
  <c r="U348" i="37"/>
  <c r="Y348" i="37"/>
  <c r="AA348" i="37"/>
  <c r="AE348" i="37"/>
  <c r="AB348" i="37"/>
  <c r="I348" i="37"/>
  <c r="T348" i="37"/>
  <c r="V348" i="37"/>
  <c r="Z348" i="37"/>
  <c r="AC348" i="37"/>
  <c r="R348" i="37"/>
  <c r="G348" i="37"/>
  <c r="AD348" i="37"/>
  <c r="AF348" i="37"/>
  <c r="C348" i="37"/>
  <c r="B348" i="37"/>
  <c r="H347" i="37"/>
  <c r="S347" i="37"/>
  <c r="U347" i="37"/>
  <c r="Y347" i="37"/>
  <c r="AA347" i="37"/>
  <c r="AE347" i="37"/>
  <c r="AB347" i="37"/>
  <c r="I347" i="37"/>
  <c r="T347" i="37"/>
  <c r="V347" i="37"/>
  <c r="Z347" i="37"/>
  <c r="AC347" i="37"/>
  <c r="R347" i="37"/>
  <c r="G347" i="37"/>
  <c r="AD347" i="37"/>
  <c r="AF347" i="37"/>
  <c r="C347" i="37"/>
  <c r="B347" i="37"/>
  <c r="H346" i="37"/>
  <c r="S346" i="37"/>
  <c r="U346" i="37"/>
  <c r="Y346" i="37"/>
  <c r="AA346" i="37"/>
  <c r="AE346" i="37"/>
  <c r="AB346" i="37"/>
  <c r="I346" i="37"/>
  <c r="T346" i="37"/>
  <c r="V346" i="37"/>
  <c r="Z346" i="37"/>
  <c r="AC346" i="37"/>
  <c r="R346" i="37"/>
  <c r="G346" i="37"/>
  <c r="AD346" i="37"/>
  <c r="AF346" i="37"/>
  <c r="C346" i="37"/>
  <c r="B346" i="37"/>
  <c r="H345" i="37"/>
  <c r="S345" i="37"/>
  <c r="U345" i="37"/>
  <c r="Y345" i="37"/>
  <c r="AA345" i="37"/>
  <c r="AE345" i="37"/>
  <c r="AB345" i="37"/>
  <c r="I345" i="37"/>
  <c r="T345" i="37"/>
  <c r="V345" i="37"/>
  <c r="Z345" i="37"/>
  <c r="AC345" i="37"/>
  <c r="R345" i="37"/>
  <c r="G345" i="37"/>
  <c r="AD345" i="37"/>
  <c r="AF345" i="37"/>
  <c r="C345" i="37"/>
  <c r="B345" i="37"/>
  <c r="H344" i="37"/>
  <c r="S344" i="37"/>
  <c r="U344" i="37"/>
  <c r="Y344" i="37"/>
  <c r="AA344" i="37"/>
  <c r="AE344" i="37"/>
  <c r="AB344" i="37"/>
  <c r="I344" i="37"/>
  <c r="T344" i="37"/>
  <c r="V344" i="37"/>
  <c r="Z344" i="37"/>
  <c r="AC344" i="37"/>
  <c r="R344" i="37"/>
  <c r="G344" i="37"/>
  <c r="AD344" i="37"/>
  <c r="AF344" i="37"/>
  <c r="C344" i="37"/>
  <c r="B344" i="37"/>
  <c r="H343" i="37"/>
  <c r="S343" i="37"/>
  <c r="U343" i="37"/>
  <c r="Y343" i="37"/>
  <c r="AA343" i="37"/>
  <c r="AE343" i="37"/>
  <c r="AB343" i="37"/>
  <c r="I343" i="37"/>
  <c r="T343" i="37"/>
  <c r="V343" i="37"/>
  <c r="Z343" i="37"/>
  <c r="AC343" i="37"/>
  <c r="R343" i="37"/>
  <c r="G343" i="37"/>
  <c r="AD343" i="37"/>
  <c r="AF343" i="37"/>
  <c r="C343" i="37"/>
  <c r="B343" i="37"/>
  <c r="H342" i="37"/>
  <c r="S342" i="37"/>
  <c r="U342" i="37"/>
  <c r="Y342" i="37"/>
  <c r="AA342" i="37"/>
  <c r="AE342" i="37"/>
  <c r="AB342" i="37"/>
  <c r="I342" i="37"/>
  <c r="T342" i="37"/>
  <c r="V342" i="37"/>
  <c r="Z342" i="37"/>
  <c r="AC342" i="37"/>
  <c r="R342" i="37"/>
  <c r="G342" i="37"/>
  <c r="AD342" i="37"/>
  <c r="AF342" i="37"/>
  <c r="C342" i="37"/>
  <c r="B342" i="37"/>
  <c r="H341" i="37"/>
  <c r="S341" i="37"/>
  <c r="U341" i="37"/>
  <c r="Y341" i="37"/>
  <c r="AA341" i="37"/>
  <c r="AE341" i="37"/>
  <c r="AB341" i="37"/>
  <c r="I341" i="37"/>
  <c r="T341" i="37"/>
  <c r="V341" i="37"/>
  <c r="Z341" i="37"/>
  <c r="AC341" i="37"/>
  <c r="R341" i="37"/>
  <c r="G341" i="37"/>
  <c r="AD341" i="37"/>
  <c r="AF341" i="37"/>
  <c r="C341" i="37"/>
  <c r="B341" i="37"/>
  <c r="H340" i="37"/>
  <c r="S340" i="37"/>
  <c r="U340" i="37"/>
  <c r="Y340" i="37"/>
  <c r="AA340" i="37"/>
  <c r="AE340" i="37"/>
  <c r="AB340" i="37"/>
  <c r="I340" i="37"/>
  <c r="T340" i="37"/>
  <c r="V340" i="37"/>
  <c r="Z340" i="37"/>
  <c r="AC340" i="37"/>
  <c r="R340" i="37"/>
  <c r="G340" i="37"/>
  <c r="AD340" i="37"/>
  <c r="AF340" i="37"/>
  <c r="C340" i="37"/>
  <c r="B340" i="37"/>
  <c r="H339" i="37"/>
  <c r="S339" i="37"/>
  <c r="U339" i="37"/>
  <c r="Y339" i="37"/>
  <c r="AA339" i="37"/>
  <c r="AE339" i="37"/>
  <c r="AB339" i="37"/>
  <c r="I339" i="37"/>
  <c r="T339" i="37"/>
  <c r="V339" i="37"/>
  <c r="Z339" i="37"/>
  <c r="AC339" i="37"/>
  <c r="R339" i="37"/>
  <c r="G339" i="37"/>
  <c r="AD339" i="37"/>
  <c r="AF339" i="37"/>
  <c r="C339" i="37"/>
  <c r="B339" i="37"/>
  <c r="H338" i="37"/>
  <c r="S338" i="37"/>
  <c r="U338" i="37"/>
  <c r="Y338" i="37"/>
  <c r="AA338" i="37"/>
  <c r="AE338" i="37"/>
  <c r="AB338" i="37"/>
  <c r="I338" i="37"/>
  <c r="T338" i="37"/>
  <c r="V338" i="37"/>
  <c r="Z338" i="37"/>
  <c r="AC338" i="37"/>
  <c r="R338" i="37"/>
  <c r="G338" i="37"/>
  <c r="AD338" i="37"/>
  <c r="AF338" i="37"/>
  <c r="C338" i="37"/>
  <c r="B338" i="37"/>
  <c r="H337" i="37"/>
  <c r="S337" i="37"/>
  <c r="U337" i="37"/>
  <c r="Y337" i="37"/>
  <c r="AA337" i="37"/>
  <c r="AE337" i="37"/>
  <c r="AB337" i="37"/>
  <c r="I337" i="37"/>
  <c r="T337" i="37"/>
  <c r="V337" i="37"/>
  <c r="Z337" i="37"/>
  <c r="AC337" i="37"/>
  <c r="R337" i="37"/>
  <c r="G337" i="37"/>
  <c r="AD337" i="37"/>
  <c r="AF337" i="37"/>
  <c r="C337" i="37"/>
  <c r="B337" i="37"/>
  <c r="H336" i="37"/>
  <c r="S336" i="37"/>
  <c r="U336" i="37"/>
  <c r="Y336" i="37"/>
  <c r="AA336" i="37"/>
  <c r="AE336" i="37"/>
  <c r="AB336" i="37"/>
  <c r="I336" i="37"/>
  <c r="T336" i="37"/>
  <c r="V336" i="37"/>
  <c r="Z336" i="37"/>
  <c r="AC336" i="37"/>
  <c r="R336" i="37"/>
  <c r="G336" i="37"/>
  <c r="AD336" i="37"/>
  <c r="AF336" i="37"/>
  <c r="C336" i="37"/>
  <c r="B336" i="37"/>
  <c r="H335" i="37"/>
  <c r="S335" i="37"/>
  <c r="U335" i="37"/>
  <c r="Y335" i="37"/>
  <c r="AA335" i="37"/>
  <c r="AE335" i="37"/>
  <c r="AB335" i="37"/>
  <c r="I335" i="37"/>
  <c r="T335" i="37"/>
  <c r="V335" i="37"/>
  <c r="Z335" i="37"/>
  <c r="AC335" i="37"/>
  <c r="R335" i="37"/>
  <c r="G335" i="37"/>
  <c r="AD335" i="37"/>
  <c r="AF335" i="37"/>
  <c r="C335" i="37"/>
  <c r="B335" i="37"/>
  <c r="H334" i="37"/>
  <c r="S334" i="37"/>
  <c r="U334" i="37"/>
  <c r="Y334" i="37"/>
  <c r="AA334" i="37"/>
  <c r="AE334" i="37"/>
  <c r="AB334" i="37"/>
  <c r="I334" i="37"/>
  <c r="T334" i="37"/>
  <c r="V334" i="37"/>
  <c r="Z334" i="37"/>
  <c r="AC334" i="37"/>
  <c r="R334" i="37"/>
  <c r="G334" i="37"/>
  <c r="AD334" i="37"/>
  <c r="AF334" i="37"/>
  <c r="C334" i="37"/>
  <c r="B334" i="37"/>
  <c r="H333" i="37"/>
  <c r="S333" i="37"/>
  <c r="U333" i="37"/>
  <c r="Y333" i="37"/>
  <c r="AA333" i="37"/>
  <c r="AE333" i="37"/>
  <c r="AB333" i="37"/>
  <c r="I333" i="37"/>
  <c r="T333" i="37"/>
  <c r="V333" i="37"/>
  <c r="Z333" i="37"/>
  <c r="AC333" i="37"/>
  <c r="R333" i="37"/>
  <c r="G333" i="37"/>
  <c r="AD333" i="37"/>
  <c r="AF333" i="37"/>
  <c r="C333" i="37"/>
  <c r="B333" i="37"/>
  <c r="H332" i="37"/>
  <c r="S332" i="37"/>
  <c r="U332" i="37"/>
  <c r="Y332" i="37"/>
  <c r="AA332" i="37"/>
  <c r="AE332" i="37"/>
  <c r="AB332" i="37"/>
  <c r="I332" i="37"/>
  <c r="T332" i="37"/>
  <c r="V332" i="37"/>
  <c r="Z332" i="37"/>
  <c r="AC332" i="37"/>
  <c r="R332" i="37"/>
  <c r="G332" i="37"/>
  <c r="AD332" i="37"/>
  <c r="AF332" i="37"/>
  <c r="C332" i="37"/>
  <c r="B332" i="37"/>
  <c r="H331" i="37"/>
  <c r="S331" i="37"/>
  <c r="U331" i="37"/>
  <c r="Y331" i="37"/>
  <c r="AA331" i="37"/>
  <c r="AE331" i="37"/>
  <c r="AB331" i="37"/>
  <c r="I331" i="37"/>
  <c r="T331" i="37"/>
  <c r="V331" i="37"/>
  <c r="Z331" i="37"/>
  <c r="AC331" i="37"/>
  <c r="R331" i="37"/>
  <c r="G331" i="37"/>
  <c r="AD331" i="37"/>
  <c r="AF331" i="37"/>
  <c r="C331" i="37"/>
  <c r="B331" i="37"/>
  <c r="H330" i="37"/>
  <c r="S330" i="37"/>
  <c r="U330" i="37"/>
  <c r="Y330" i="37"/>
  <c r="AA330" i="37"/>
  <c r="AE330" i="37"/>
  <c r="AB330" i="37"/>
  <c r="I330" i="37"/>
  <c r="T330" i="37"/>
  <c r="V330" i="37"/>
  <c r="Z330" i="37"/>
  <c r="AC330" i="37"/>
  <c r="R330" i="37"/>
  <c r="G330" i="37"/>
  <c r="AD330" i="37"/>
  <c r="AF330" i="37"/>
  <c r="C330" i="37"/>
  <c r="B330" i="37"/>
  <c r="H329" i="37"/>
  <c r="S329" i="37"/>
  <c r="U329" i="37"/>
  <c r="Y329" i="37"/>
  <c r="AA329" i="37"/>
  <c r="AE329" i="37"/>
  <c r="AB329" i="37"/>
  <c r="I329" i="37"/>
  <c r="T329" i="37"/>
  <c r="V329" i="37"/>
  <c r="Z329" i="37"/>
  <c r="AC329" i="37"/>
  <c r="R329" i="37"/>
  <c r="G329" i="37"/>
  <c r="AD329" i="37"/>
  <c r="AF329" i="37"/>
  <c r="C329" i="37"/>
  <c r="B329" i="37"/>
  <c r="H328" i="37"/>
  <c r="S328" i="37"/>
  <c r="U328" i="37"/>
  <c r="Y328" i="37"/>
  <c r="AA328" i="37"/>
  <c r="AE328" i="37"/>
  <c r="AB328" i="37"/>
  <c r="I328" i="37"/>
  <c r="T328" i="37"/>
  <c r="V328" i="37"/>
  <c r="Z328" i="37"/>
  <c r="AC328" i="37"/>
  <c r="R328" i="37"/>
  <c r="G328" i="37"/>
  <c r="AD328" i="37"/>
  <c r="AF328" i="37"/>
  <c r="C328" i="37"/>
  <c r="B328" i="37"/>
  <c r="H327" i="37"/>
  <c r="S327" i="37"/>
  <c r="U327" i="37"/>
  <c r="Y327" i="37"/>
  <c r="AA327" i="37"/>
  <c r="AE327" i="37"/>
  <c r="AB327" i="37"/>
  <c r="I327" i="37"/>
  <c r="T327" i="37"/>
  <c r="V327" i="37"/>
  <c r="Z327" i="37"/>
  <c r="AC327" i="37"/>
  <c r="R327" i="37"/>
  <c r="G327" i="37"/>
  <c r="AD327" i="37"/>
  <c r="AF327" i="37"/>
  <c r="C327" i="37"/>
  <c r="B327" i="37"/>
  <c r="H326" i="37"/>
  <c r="S326" i="37"/>
  <c r="U326" i="37"/>
  <c r="Y326" i="37"/>
  <c r="AA326" i="37"/>
  <c r="AE326" i="37"/>
  <c r="AB326" i="37"/>
  <c r="I326" i="37"/>
  <c r="T326" i="37"/>
  <c r="V326" i="37"/>
  <c r="Z326" i="37"/>
  <c r="AC326" i="37"/>
  <c r="R326" i="37"/>
  <c r="G326" i="37"/>
  <c r="AD326" i="37"/>
  <c r="AF326" i="37"/>
  <c r="C326" i="37"/>
  <c r="B326" i="37"/>
  <c r="H325" i="37"/>
  <c r="S325" i="37"/>
  <c r="U325" i="37"/>
  <c r="Y325" i="37"/>
  <c r="AA325" i="37"/>
  <c r="AE325" i="37"/>
  <c r="AB325" i="37"/>
  <c r="I325" i="37"/>
  <c r="T325" i="37"/>
  <c r="V325" i="37"/>
  <c r="Z325" i="37"/>
  <c r="AC325" i="37"/>
  <c r="R325" i="37"/>
  <c r="G325" i="37"/>
  <c r="AD325" i="37"/>
  <c r="AF325" i="37"/>
  <c r="C325" i="37"/>
  <c r="B325" i="37"/>
  <c r="H324" i="37"/>
  <c r="S324" i="37"/>
  <c r="U324" i="37"/>
  <c r="Y324" i="37"/>
  <c r="AA324" i="37"/>
  <c r="AE324" i="37"/>
  <c r="AB324" i="37"/>
  <c r="I324" i="37"/>
  <c r="T324" i="37"/>
  <c r="V324" i="37"/>
  <c r="Z324" i="37"/>
  <c r="AC324" i="37"/>
  <c r="R324" i="37"/>
  <c r="G324" i="37"/>
  <c r="AD324" i="37"/>
  <c r="AF324" i="37"/>
  <c r="C324" i="37"/>
  <c r="B324" i="37"/>
  <c r="H323" i="37"/>
  <c r="S323" i="37"/>
  <c r="U323" i="37"/>
  <c r="Y323" i="37"/>
  <c r="AA323" i="37"/>
  <c r="AE323" i="37"/>
  <c r="AB323" i="37"/>
  <c r="I323" i="37"/>
  <c r="T323" i="37"/>
  <c r="V323" i="37"/>
  <c r="Z323" i="37"/>
  <c r="AC323" i="37"/>
  <c r="R323" i="37"/>
  <c r="G323" i="37"/>
  <c r="AD323" i="37"/>
  <c r="AF323" i="37"/>
  <c r="C323" i="37"/>
  <c r="B323" i="37"/>
  <c r="H322" i="37"/>
  <c r="S322" i="37"/>
  <c r="U322" i="37"/>
  <c r="Y322" i="37"/>
  <c r="AA322" i="37"/>
  <c r="AE322" i="37"/>
  <c r="AB322" i="37"/>
  <c r="I322" i="37"/>
  <c r="T322" i="37"/>
  <c r="V322" i="37"/>
  <c r="Z322" i="37"/>
  <c r="AC322" i="37"/>
  <c r="R322" i="37"/>
  <c r="G322" i="37"/>
  <c r="AD322" i="37"/>
  <c r="AF322" i="37"/>
  <c r="C322" i="37"/>
  <c r="B322" i="37"/>
  <c r="H321" i="37"/>
  <c r="S321" i="37"/>
  <c r="U321" i="37"/>
  <c r="Y321" i="37"/>
  <c r="AA321" i="37"/>
  <c r="AE321" i="37"/>
  <c r="AB321" i="37"/>
  <c r="I321" i="37"/>
  <c r="T321" i="37"/>
  <c r="V321" i="37"/>
  <c r="Z321" i="37"/>
  <c r="AC321" i="37"/>
  <c r="R321" i="37"/>
  <c r="G321" i="37"/>
  <c r="AD321" i="37"/>
  <c r="AF321" i="37"/>
  <c r="C321" i="37"/>
  <c r="B321" i="37"/>
  <c r="H320" i="37"/>
  <c r="S320" i="37"/>
  <c r="U320" i="37"/>
  <c r="Y320" i="37"/>
  <c r="AA320" i="37"/>
  <c r="AE320" i="37"/>
  <c r="AB320" i="37"/>
  <c r="I320" i="37"/>
  <c r="T320" i="37"/>
  <c r="V320" i="37"/>
  <c r="Z320" i="37"/>
  <c r="AC320" i="37"/>
  <c r="R320" i="37"/>
  <c r="G320" i="37"/>
  <c r="AD320" i="37"/>
  <c r="AF320" i="37"/>
  <c r="C320" i="37"/>
  <c r="B320" i="37"/>
  <c r="H319" i="37"/>
  <c r="S319" i="37"/>
  <c r="U319" i="37"/>
  <c r="Y319" i="37"/>
  <c r="AA319" i="37"/>
  <c r="AE319" i="37"/>
  <c r="AB319" i="37"/>
  <c r="I319" i="37"/>
  <c r="T319" i="37"/>
  <c r="V319" i="37"/>
  <c r="Z319" i="37"/>
  <c r="AC319" i="37"/>
  <c r="R319" i="37"/>
  <c r="G319" i="37"/>
  <c r="AD319" i="37"/>
  <c r="AF319" i="37"/>
  <c r="C319" i="37"/>
  <c r="B319" i="37"/>
  <c r="H318" i="37"/>
  <c r="S318" i="37"/>
  <c r="U318" i="37"/>
  <c r="Y318" i="37"/>
  <c r="AA318" i="37"/>
  <c r="AE318" i="37"/>
  <c r="AB318" i="37"/>
  <c r="I318" i="37"/>
  <c r="T318" i="37"/>
  <c r="V318" i="37"/>
  <c r="Z318" i="37"/>
  <c r="AC318" i="37"/>
  <c r="R318" i="37"/>
  <c r="G318" i="37"/>
  <c r="AD318" i="37"/>
  <c r="AF318" i="37"/>
  <c r="C318" i="37"/>
  <c r="B318" i="37"/>
  <c r="H317" i="37"/>
  <c r="S317" i="37"/>
  <c r="U317" i="37"/>
  <c r="Y317" i="37"/>
  <c r="AA317" i="37"/>
  <c r="AE317" i="37"/>
  <c r="AB317" i="37"/>
  <c r="I317" i="37"/>
  <c r="T317" i="37"/>
  <c r="V317" i="37"/>
  <c r="Z317" i="37"/>
  <c r="AC317" i="37"/>
  <c r="R317" i="37"/>
  <c r="G317" i="37"/>
  <c r="AD317" i="37"/>
  <c r="AF317" i="37"/>
  <c r="C317" i="37"/>
  <c r="B317" i="37"/>
  <c r="H316" i="37"/>
  <c r="S316" i="37"/>
  <c r="U316" i="37"/>
  <c r="Y316" i="37"/>
  <c r="AA316" i="37"/>
  <c r="AE316" i="37"/>
  <c r="AB316" i="37"/>
  <c r="T316" i="37"/>
  <c r="V316" i="37"/>
  <c r="Z316" i="37"/>
  <c r="AC316" i="37"/>
  <c r="R316" i="37"/>
  <c r="G316" i="37"/>
  <c r="AD316" i="37"/>
  <c r="AF316" i="37"/>
  <c r="C316" i="37"/>
  <c r="B316" i="37"/>
  <c r="H315" i="37"/>
  <c r="S315" i="37"/>
  <c r="U315" i="37"/>
  <c r="Y315" i="37"/>
  <c r="AA315" i="37"/>
  <c r="AE315" i="37"/>
  <c r="AB315" i="37"/>
  <c r="I315" i="37"/>
  <c r="T315" i="37"/>
  <c r="V315" i="37"/>
  <c r="Z315" i="37"/>
  <c r="AC315" i="37"/>
  <c r="R315" i="37"/>
  <c r="G315" i="37"/>
  <c r="AD315" i="37"/>
  <c r="AF315" i="37"/>
  <c r="C315" i="37"/>
  <c r="B315" i="37"/>
  <c r="H314" i="37"/>
  <c r="S314" i="37"/>
  <c r="U314" i="37"/>
  <c r="Y314" i="37"/>
  <c r="AA314" i="37"/>
  <c r="AE314" i="37"/>
  <c r="AB314" i="37"/>
  <c r="I314" i="37"/>
  <c r="T314" i="37"/>
  <c r="V314" i="37"/>
  <c r="Z314" i="37"/>
  <c r="AC314" i="37"/>
  <c r="R314" i="37"/>
  <c r="G314" i="37"/>
  <c r="AD314" i="37"/>
  <c r="AF314" i="37"/>
  <c r="C314" i="37"/>
  <c r="B314" i="37"/>
  <c r="H313" i="37"/>
  <c r="S313" i="37"/>
  <c r="U313" i="37"/>
  <c r="Y313" i="37"/>
  <c r="AA313" i="37"/>
  <c r="AE313" i="37"/>
  <c r="AB313" i="37"/>
  <c r="I313" i="37"/>
  <c r="T313" i="37"/>
  <c r="V313" i="37"/>
  <c r="Z313" i="37"/>
  <c r="AC313" i="37"/>
  <c r="R313" i="37"/>
  <c r="G313" i="37"/>
  <c r="AD313" i="37"/>
  <c r="AF313" i="37"/>
  <c r="C313" i="37"/>
  <c r="B313" i="37"/>
  <c r="H312" i="37"/>
  <c r="S312" i="37"/>
  <c r="U312" i="37"/>
  <c r="Y312" i="37"/>
  <c r="AA312" i="37"/>
  <c r="AE312" i="37"/>
  <c r="AB312" i="37"/>
  <c r="I312" i="37"/>
  <c r="T312" i="37"/>
  <c r="V312" i="37"/>
  <c r="Z312" i="37"/>
  <c r="AC312" i="37"/>
  <c r="R312" i="37"/>
  <c r="G312" i="37"/>
  <c r="AD312" i="37"/>
  <c r="AF312" i="37"/>
  <c r="C312" i="37"/>
  <c r="B312" i="37"/>
  <c r="H311" i="37"/>
  <c r="S311" i="37"/>
  <c r="U311" i="37"/>
  <c r="Y311" i="37"/>
  <c r="AA311" i="37"/>
  <c r="AE311" i="37"/>
  <c r="AB311" i="37"/>
  <c r="I311" i="37"/>
  <c r="T311" i="37"/>
  <c r="V311" i="37"/>
  <c r="Z311" i="37"/>
  <c r="AC311" i="37"/>
  <c r="R311" i="37"/>
  <c r="G311" i="37"/>
  <c r="AD311" i="37"/>
  <c r="AF311" i="37"/>
  <c r="C311" i="37"/>
  <c r="B311" i="37"/>
  <c r="H310" i="37"/>
  <c r="S310" i="37"/>
  <c r="U310" i="37"/>
  <c r="Y310" i="37"/>
  <c r="AA310" i="37"/>
  <c r="AE310" i="37"/>
  <c r="AB310" i="37"/>
  <c r="I310" i="37"/>
  <c r="T310" i="37"/>
  <c r="V310" i="37"/>
  <c r="Z310" i="37"/>
  <c r="AC310" i="37"/>
  <c r="R310" i="37"/>
  <c r="G310" i="37"/>
  <c r="AD310" i="37"/>
  <c r="AF310" i="37"/>
  <c r="C310" i="37"/>
  <c r="B310" i="37"/>
  <c r="H309" i="37"/>
  <c r="S309" i="37"/>
  <c r="U309" i="37"/>
  <c r="Y309" i="37"/>
  <c r="AA309" i="37"/>
  <c r="AE309" i="37"/>
  <c r="AB309" i="37"/>
  <c r="I309" i="37"/>
  <c r="T309" i="37"/>
  <c r="V309" i="37"/>
  <c r="Z309" i="37"/>
  <c r="AC309" i="37"/>
  <c r="R309" i="37"/>
  <c r="G309" i="37"/>
  <c r="AD309" i="37"/>
  <c r="AF309" i="37"/>
  <c r="C309" i="37"/>
  <c r="B309" i="37"/>
  <c r="H308" i="37"/>
  <c r="S308" i="37"/>
  <c r="U308" i="37"/>
  <c r="Y308" i="37"/>
  <c r="AA308" i="37"/>
  <c r="AE308" i="37"/>
  <c r="AB308" i="37"/>
  <c r="I308" i="37"/>
  <c r="T308" i="37"/>
  <c r="V308" i="37"/>
  <c r="Z308" i="37"/>
  <c r="AC308" i="37"/>
  <c r="R308" i="37"/>
  <c r="G308" i="37"/>
  <c r="AD308" i="37"/>
  <c r="AF308" i="37"/>
  <c r="C308" i="37"/>
  <c r="B308" i="37"/>
  <c r="H307" i="37"/>
  <c r="S307" i="37"/>
  <c r="U307" i="37"/>
  <c r="Y307" i="37"/>
  <c r="AA307" i="37"/>
  <c r="AE307" i="37"/>
  <c r="AB307" i="37"/>
  <c r="I307" i="37"/>
  <c r="T307" i="37"/>
  <c r="V307" i="37"/>
  <c r="Z307" i="37"/>
  <c r="AC307" i="37"/>
  <c r="R307" i="37"/>
  <c r="G307" i="37"/>
  <c r="AD307" i="37"/>
  <c r="AF307" i="37"/>
  <c r="C307" i="37"/>
  <c r="B307" i="37"/>
  <c r="H306" i="37"/>
  <c r="S306" i="37"/>
  <c r="U306" i="37"/>
  <c r="Y306" i="37"/>
  <c r="AA306" i="37"/>
  <c r="AE306" i="37"/>
  <c r="AB306" i="37"/>
  <c r="I306" i="37"/>
  <c r="T306" i="37"/>
  <c r="V306" i="37"/>
  <c r="Z306" i="37"/>
  <c r="AC306" i="37"/>
  <c r="R306" i="37"/>
  <c r="G306" i="37"/>
  <c r="AD306" i="37"/>
  <c r="AF306" i="37"/>
  <c r="C306" i="37"/>
  <c r="B306" i="37"/>
  <c r="H305" i="37"/>
  <c r="S305" i="37"/>
  <c r="U305" i="37"/>
  <c r="Y305" i="37"/>
  <c r="AA305" i="37"/>
  <c r="AE305" i="37"/>
  <c r="AB305" i="37"/>
  <c r="I305" i="37"/>
  <c r="T305" i="37"/>
  <c r="V305" i="37"/>
  <c r="Z305" i="37"/>
  <c r="AC305" i="37"/>
  <c r="R305" i="37"/>
  <c r="G305" i="37"/>
  <c r="AD305" i="37"/>
  <c r="AF305" i="37"/>
  <c r="C305" i="37"/>
  <c r="B305" i="37"/>
  <c r="H304" i="37"/>
  <c r="S304" i="37"/>
  <c r="U304" i="37"/>
  <c r="Y304" i="37"/>
  <c r="AA304" i="37"/>
  <c r="AE304" i="37"/>
  <c r="AB304" i="37"/>
  <c r="I304" i="37"/>
  <c r="T304" i="37"/>
  <c r="V304" i="37"/>
  <c r="Z304" i="37"/>
  <c r="AC304" i="37"/>
  <c r="R304" i="37"/>
  <c r="G304" i="37"/>
  <c r="AD304" i="37"/>
  <c r="AF304" i="37"/>
  <c r="C304" i="37"/>
  <c r="B304" i="37"/>
  <c r="H303" i="37"/>
  <c r="S303" i="37"/>
  <c r="U303" i="37"/>
  <c r="Y303" i="37"/>
  <c r="AA303" i="37"/>
  <c r="AE303" i="37"/>
  <c r="AB303" i="37"/>
  <c r="I303" i="37"/>
  <c r="T303" i="37"/>
  <c r="V303" i="37"/>
  <c r="Z303" i="37"/>
  <c r="AC303" i="37"/>
  <c r="R303" i="37"/>
  <c r="G303" i="37"/>
  <c r="AD303" i="37"/>
  <c r="AF303" i="37"/>
  <c r="C303" i="37"/>
  <c r="B303" i="37"/>
  <c r="H302" i="37"/>
  <c r="S302" i="37"/>
  <c r="U302" i="37"/>
  <c r="Y302" i="37"/>
  <c r="AA302" i="37"/>
  <c r="AE302" i="37"/>
  <c r="AB302" i="37"/>
  <c r="I302" i="37"/>
  <c r="T302" i="37"/>
  <c r="V302" i="37"/>
  <c r="Z302" i="37"/>
  <c r="AC302" i="37"/>
  <c r="R302" i="37"/>
  <c r="G302" i="37"/>
  <c r="AD302" i="37"/>
  <c r="AF302" i="37"/>
  <c r="C302" i="37"/>
  <c r="B302" i="37"/>
  <c r="H301" i="37"/>
  <c r="S301" i="37"/>
  <c r="U301" i="37"/>
  <c r="Y301" i="37"/>
  <c r="AA301" i="37"/>
  <c r="AE301" i="37"/>
  <c r="AB301" i="37"/>
  <c r="I301" i="37"/>
  <c r="T301" i="37"/>
  <c r="V301" i="37"/>
  <c r="Z301" i="37"/>
  <c r="AC301" i="37"/>
  <c r="R301" i="37"/>
  <c r="G301" i="37"/>
  <c r="AD301" i="37"/>
  <c r="AF301" i="37"/>
  <c r="C301" i="37"/>
  <c r="B301" i="37"/>
  <c r="H300" i="37"/>
  <c r="S300" i="37"/>
  <c r="U300" i="37"/>
  <c r="Y300" i="37"/>
  <c r="AA300" i="37"/>
  <c r="AE300" i="37"/>
  <c r="AB300" i="37"/>
  <c r="I300" i="37"/>
  <c r="T300" i="37"/>
  <c r="V300" i="37"/>
  <c r="Z300" i="37"/>
  <c r="AC300" i="37"/>
  <c r="R300" i="37"/>
  <c r="G300" i="37"/>
  <c r="AD300" i="37"/>
  <c r="AF300" i="37"/>
  <c r="C300" i="37"/>
  <c r="B300" i="37"/>
  <c r="H299" i="37"/>
  <c r="S299" i="37"/>
  <c r="U299" i="37"/>
  <c r="Y299" i="37"/>
  <c r="AA299" i="37"/>
  <c r="AE299" i="37"/>
  <c r="AB299" i="37"/>
  <c r="I299" i="37"/>
  <c r="T299" i="37"/>
  <c r="V299" i="37"/>
  <c r="Z299" i="37"/>
  <c r="AC299" i="37"/>
  <c r="R299" i="37"/>
  <c r="G299" i="37"/>
  <c r="AD299" i="37"/>
  <c r="AF299" i="37"/>
  <c r="C299" i="37"/>
  <c r="B299" i="37"/>
  <c r="H298" i="37"/>
  <c r="S298" i="37"/>
  <c r="U298" i="37"/>
  <c r="Y298" i="37"/>
  <c r="AA298" i="37"/>
  <c r="AE298" i="37"/>
  <c r="AB298" i="37"/>
  <c r="I298" i="37"/>
  <c r="T298" i="37"/>
  <c r="V298" i="37"/>
  <c r="Z298" i="37"/>
  <c r="AC298" i="37"/>
  <c r="R298" i="37"/>
  <c r="G298" i="37"/>
  <c r="AD298" i="37"/>
  <c r="AF298" i="37"/>
  <c r="C298" i="37"/>
  <c r="B298" i="37"/>
  <c r="H297" i="37"/>
  <c r="S297" i="37"/>
  <c r="U297" i="37"/>
  <c r="Y297" i="37"/>
  <c r="AA297" i="37"/>
  <c r="AE297" i="37"/>
  <c r="AB297" i="37"/>
  <c r="I297" i="37"/>
  <c r="T297" i="37"/>
  <c r="V297" i="37"/>
  <c r="Z297" i="37"/>
  <c r="AC297" i="37"/>
  <c r="R297" i="37"/>
  <c r="G297" i="37"/>
  <c r="AD297" i="37"/>
  <c r="AF297" i="37"/>
  <c r="C297" i="37"/>
  <c r="B297" i="37"/>
  <c r="H296" i="37"/>
  <c r="S296" i="37"/>
  <c r="U296" i="37"/>
  <c r="Y296" i="37"/>
  <c r="AA296" i="37"/>
  <c r="AE296" i="37"/>
  <c r="AB296" i="37"/>
  <c r="I296" i="37"/>
  <c r="T296" i="37"/>
  <c r="V296" i="37"/>
  <c r="Z296" i="37"/>
  <c r="AC296" i="37"/>
  <c r="R296" i="37"/>
  <c r="G296" i="37"/>
  <c r="AD296" i="37"/>
  <c r="AF296" i="37"/>
  <c r="C296" i="37"/>
  <c r="B296" i="37"/>
  <c r="H295" i="37"/>
  <c r="S295" i="37"/>
  <c r="U295" i="37"/>
  <c r="Y295" i="37"/>
  <c r="AA295" i="37"/>
  <c r="AE295" i="37"/>
  <c r="AB295" i="37"/>
  <c r="I295" i="37"/>
  <c r="T295" i="37"/>
  <c r="V295" i="37"/>
  <c r="Z295" i="37"/>
  <c r="AC295" i="37"/>
  <c r="R295" i="37"/>
  <c r="G295" i="37"/>
  <c r="AD295" i="37"/>
  <c r="AF295" i="37"/>
  <c r="C295" i="37"/>
  <c r="B295" i="37"/>
  <c r="H294" i="37"/>
  <c r="S294" i="37"/>
  <c r="U294" i="37"/>
  <c r="Y294" i="37"/>
  <c r="AA294" i="37"/>
  <c r="AE294" i="37"/>
  <c r="AB294" i="37"/>
  <c r="I294" i="37"/>
  <c r="T294" i="37"/>
  <c r="V294" i="37"/>
  <c r="Z294" i="37"/>
  <c r="AC294" i="37"/>
  <c r="R294" i="37"/>
  <c r="G294" i="37"/>
  <c r="AD294" i="37"/>
  <c r="AF294" i="37"/>
  <c r="C294" i="37"/>
  <c r="B294" i="37"/>
  <c r="H293" i="37"/>
  <c r="S293" i="37"/>
  <c r="U293" i="37"/>
  <c r="Y293" i="37"/>
  <c r="AA293" i="37"/>
  <c r="AE293" i="37"/>
  <c r="AB293" i="37"/>
  <c r="I293" i="37"/>
  <c r="T293" i="37"/>
  <c r="V293" i="37"/>
  <c r="Z293" i="37"/>
  <c r="AC293" i="37"/>
  <c r="R293" i="37"/>
  <c r="G293" i="37"/>
  <c r="AD293" i="37"/>
  <c r="AF293" i="37"/>
  <c r="C293" i="37"/>
  <c r="B293" i="37"/>
  <c r="H292" i="37"/>
  <c r="S292" i="37"/>
  <c r="U292" i="37"/>
  <c r="Y292" i="37"/>
  <c r="AA292" i="37"/>
  <c r="AE292" i="37"/>
  <c r="AB292" i="37"/>
  <c r="I292" i="37"/>
  <c r="T292" i="37"/>
  <c r="V292" i="37"/>
  <c r="Z292" i="37"/>
  <c r="AC292" i="37"/>
  <c r="R292" i="37"/>
  <c r="G292" i="37"/>
  <c r="AD292" i="37"/>
  <c r="AF292" i="37"/>
  <c r="C292" i="37"/>
  <c r="B292" i="37"/>
  <c r="H291" i="37"/>
  <c r="S291" i="37"/>
  <c r="U291" i="37"/>
  <c r="Y291" i="37"/>
  <c r="AA291" i="37"/>
  <c r="AE291" i="37"/>
  <c r="AB291" i="37"/>
  <c r="I291" i="37"/>
  <c r="T291" i="37"/>
  <c r="V291" i="37"/>
  <c r="Z291" i="37"/>
  <c r="AC291" i="37"/>
  <c r="R291" i="37"/>
  <c r="G291" i="37"/>
  <c r="AD291" i="37"/>
  <c r="AF291" i="37"/>
  <c r="C291" i="37"/>
  <c r="B291" i="37"/>
  <c r="H290" i="37"/>
  <c r="S290" i="37"/>
  <c r="U290" i="37"/>
  <c r="Y290" i="37"/>
  <c r="AA290" i="37"/>
  <c r="AE290" i="37"/>
  <c r="AB290" i="37"/>
  <c r="I290" i="37"/>
  <c r="T290" i="37"/>
  <c r="V290" i="37"/>
  <c r="Z290" i="37"/>
  <c r="AC290" i="37"/>
  <c r="R290" i="37"/>
  <c r="G290" i="37"/>
  <c r="AD290" i="37"/>
  <c r="AF290" i="37"/>
  <c r="C290" i="37"/>
  <c r="B290" i="37"/>
  <c r="H289" i="37"/>
  <c r="S289" i="37"/>
  <c r="U289" i="37"/>
  <c r="Y289" i="37"/>
  <c r="AA289" i="37"/>
  <c r="AE289" i="37"/>
  <c r="AB289" i="37"/>
  <c r="I289" i="37"/>
  <c r="T289" i="37"/>
  <c r="V289" i="37"/>
  <c r="Z289" i="37"/>
  <c r="AC289" i="37"/>
  <c r="R289" i="37"/>
  <c r="G289" i="37"/>
  <c r="AD289" i="37"/>
  <c r="AF289" i="37"/>
  <c r="C289" i="37"/>
  <c r="B289" i="37"/>
  <c r="H288" i="37"/>
  <c r="S288" i="37"/>
  <c r="U288" i="37"/>
  <c r="Y288" i="37"/>
  <c r="AA288" i="37"/>
  <c r="AE288" i="37"/>
  <c r="AB288" i="37"/>
  <c r="I288" i="37"/>
  <c r="T288" i="37"/>
  <c r="V288" i="37"/>
  <c r="Z288" i="37"/>
  <c r="AC288" i="37"/>
  <c r="R288" i="37"/>
  <c r="G288" i="37"/>
  <c r="AD288" i="37"/>
  <c r="AF288" i="37"/>
  <c r="C288" i="37"/>
  <c r="B288" i="37"/>
  <c r="H287" i="37"/>
  <c r="S287" i="37"/>
  <c r="U287" i="37"/>
  <c r="Y287" i="37"/>
  <c r="AA287" i="37"/>
  <c r="AE287" i="37"/>
  <c r="AB287" i="37"/>
  <c r="I287" i="37"/>
  <c r="T287" i="37"/>
  <c r="V287" i="37"/>
  <c r="Z287" i="37"/>
  <c r="AC287" i="37"/>
  <c r="R287" i="37"/>
  <c r="G287" i="37"/>
  <c r="AD287" i="37"/>
  <c r="AF287" i="37"/>
  <c r="C287" i="37"/>
  <c r="B287" i="37"/>
  <c r="H286" i="37"/>
  <c r="S286" i="37"/>
  <c r="U286" i="37"/>
  <c r="Y286" i="37"/>
  <c r="AA286" i="37"/>
  <c r="AE286" i="37"/>
  <c r="AB286" i="37"/>
  <c r="I286" i="37"/>
  <c r="T286" i="37"/>
  <c r="V286" i="37"/>
  <c r="Z286" i="37"/>
  <c r="AC286" i="37"/>
  <c r="R286" i="37"/>
  <c r="G286" i="37"/>
  <c r="AD286" i="37"/>
  <c r="AF286" i="37"/>
  <c r="C286" i="37"/>
  <c r="B286" i="37"/>
  <c r="H285" i="37"/>
  <c r="S285" i="37"/>
  <c r="U285" i="37"/>
  <c r="Y285" i="37"/>
  <c r="AA285" i="37"/>
  <c r="AE285" i="37"/>
  <c r="AB285" i="37"/>
  <c r="I285" i="37"/>
  <c r="T285" i="37"/>
  <c r="V285" i="37"/>
  <c r="Z285" i="37"/>
  <c r="AC285" i="37"/>
  <c r="R285" i="37"/>
  <c r="G285" i="37"/>
  <c r="AD285" i="37"/>
  <c r="AF285" i="37"/>
  <c r="C285" i="37"/>
  <c r="B285" i="37"/>
  <c r="H284" i="37"/>
  <c r="S284" i="37"/>
  <c r="U284" i="37"/>
  <c r="Y284" i="37"/>
  <c r="AA284" i="37"/>
  <c r="AE284" i="37"/>
  <c r="AB284" i="37"/>
  <c r="I284" i="37"/>
  <c r="T284" i="37"/>
  <c r="V284" i="37"/>
  <c r="Z284" i="37"/>
  <c r="AC284" i="37"/>
  <c r="R284" i="37"/>
  <c r="G284" i="37"/>
  <c r="AD284" i="37"/>
  <c r="AF284" i="37"/>
  <c r="C284" i="37"/>
  <c r="B284" i="37"/>
  <c r="H283" i="37"/>
  <c r="S283" i="37"/>
  <c r="U283" i="37"/>
  <c r="Y283" i="37"/>
  <c r="AA283" i="37"/>
  <c r="AE283" i="37"/>
  <c r="AB283" i="37"/>
  <c r="I283" i="37"/>
  <c r="T283" i="37"/>
  <c r="V283" i="37"/>
  <c r="Z283" i="37"/>
  <c r="AC283" i="37"/>
  <c r="R283" i="37"/>
  <c r="G283" i="37"/>
  <c r="AD283" i="37"/>
  <c r="AF283" i="37"/>
  <c r="C283" i="37"/>
  <c r="B283" i="37"/>
  <c r="H282" i="37"/>
  <c r="S282" i="37"/>
  <c r="U282" i="37"/>
  <c r="Y282" i="37"/>
  <c r="AA282" i="37"/>
  <c r="AE282" i="37"/>
  <c r="AB282" i="37"/>
  <c r="I282" i="37"/>
  <c r="T282" i="37"/>
  <c r="V282" i="37"/>
  <c r="Z282" i="37"/>
  <c r="AC282" i="37"/>
  <c r="R282" i="37"/>
  <c r="G282" i="37"/>
  <c r="AD282" i="37"/>
  <c r="AF282" i="37"/>
  <c r="C282" i="37"/>
  <c r="B282" i="37"/>
  <c r="H281" i="37"/>
  <c r="S281" i="37"/>
  <c r="U281" i="37"/>
  <c r="Y281" i="37"/>
  <c r="AA281" i="37"/>
  <c r="AE281" i="37"/>
  <c r="AB281" i="37"/>
  <c r="I281" i="37"/>
  <c r="T281" i="37"/>
  <c r="V281" i="37"/>
  <c r="Z281" i="37"/>
  <c r="AC281" i="37"/>
  <c r="R281" i="37"/>
  <c r="G281" i="37"/>
  <c r="AD281" i="37"/>
  <c r="AF281" i="37"/>
  <c r="C281" i="37"/>
  <c r="B281" i="37"/>
  <c r="H280" i="37"/>
  <c r="S280" i="37"/>
  <c r="U280" i="37"/>
  <c r="Y280" i="37"/>
  <c r="AA280" i="37"/>
  <c r="AE280" i="37"/>
  <c r="AB280" i="37"/>
  <c r="I280" i="37"/>
  <c r="T280" i="37"/>
  <c r="V280" i="37"/>
  <c r="Z280" i="37"/>
  <c r="AC280" i="37"/>
  <c r="R280" i="37"/>
  <c r="G280" i="37"/>
  <c r="AD280" i="37"/>
  <c r="AF280" i="37"/>
  <c r="C280" i="37"/>
  <c r="B280" i="37"/>
  <c r="H279" i="37"/>
  <c r="S279" i="37"/>
  <c r="U279" i="37"/>
  <c r="Y279" i="37"/>
  <c r="AA279" i="37"/>
  <c r="AE279" i="37"/>
  <c r="AB279" i="37"/>
  <c r="I279" i="37"/>
  <c r="T279" i="37"/>
  <c r="V279" i="37"/>
  <c r="Z279" i="37"/>
  <c r="AC279" i="37"/>
  <c r="R279" i="37"/>
  <c r="G279" i="37"/>
  <c r="AD279" i="37"/>
  <c r="AF279" i="37"/>
  <c r="C279" i="37"/>
  <c r="B279" i="37"/>
  <c r="H278" i="37"/>
  <c r="S278" i="37"/>
  <c r="U278" i="37"/>
  <c r="Y278" i="37"/>
  <c r="AA278" i="37"/>
  <c r="AE278" i="37"/>
  <c r="AB278" i="37"/>
  <c r="I278" i="37"/>
  <c r="T278" i="37"/>
  <c r="V278" i="37"/>
  <c r="Z278" i="37"/>
  <c r="AC278" i="37"/>
  <c r="R278" i="37"/>
  <c r="G278" i="37"/>
  <c r="AD278" i="37"/>
  <c r="AF278" i="37"/>
  <c r="C278" i="37"/>
  <c r="B278" i="37"/>
  <c r="H277" i="37"/>
  <c r="S277" i="37"/>
  <c r="U277" i="37"/>
  <c r="Y277" i="37"/>
  <c r="AA277" i="37"/>
  <c r="AE277" i="37"/>
  <c r="AB277" i="37"/>
  <c r="I277" i="37"/>
  <c r="T277" i="37"/>
  <c r="V277" i="37"/>
  <c r="Z277" i="37"/>
  <c r="AC277" i="37"/>
  <c r="R277" i="37"/>
  <c r="G277" i="37"/>
  <c r="AD277" i="37"/>
  <c r="AF277" i="37"/>
  <c r="C277" i="37"/>
  <c r="B277" i="37"/>
  <c r="H276" i="37"/>
  <c r="S276" i="37"/>
  <c r="U276" i="37"/>
  <c r="Y276" i="37"/>
  <c r="AA276" i="37"/>
  <c r="AE276" i="37"/>
  <c r="AB276" i="37"/>
  <c r="I276" i="37"/>
  <c r="T276" i="37"/>
  <c r="V276" i="37"/>
  <c r="Z276" i="37"/>
  <c r="AC276" i="37"/>
  <c r="R276" i="37"/>
  <c r="G276" i="37"/>
  <c r="AD276" i="37"/>
  <c r="AF276" i="37"/>
  <c r="C276" i="37"/>
  <c r="B276" i="37"/>
  <c r="H275" i="37"/>
  <c r="S275" i="37"/>
  <c r="U275" i="37"/>
  <c r="Y275" i="37"/>
  <c r="AA275" i="37"/>
  <c r="AE275" i="37"/>
  <c r="AB275" i="37"/>
  <c r="I275" i="37"/>
  <c r="T275" i="37"/>
  <c r="V275" i="37"/>
  <c r="Z275" i="37"/>
  <c r="AC275" i="37"/>
  <c r="R275" i="37"/>
  <c r="G275" i="37"/>
  <c r="AD275" i="37"/>
  <c r="AF275" i="37"/>
  <c r="C275" i="37"/>
  <c r="B275" i="37"/>
  <c r="H274" i="37"/>
  <c r="S274" i="37"/>
  <c r="U274" i="37"/>
  <c r="Y274" i="37"/>
  <c r="AA274" i="37"/>
  <c r="AE274" i="37"/>
  <c r="AB274" i="37"/>
  <c r="I274" i="37"/>
  <c r="T274" i="37"/>
  <c r="V274" i="37"/>
  <c r="Z274" i="37"/>
  <c r="AC274" i="37"/>
  <c r="R274" i="37"/>
  <c r="G274" i="37"/>
  <c r="AD274" i="37"/>
  <c r="AF274" i="37"/>
  <c r="C274" i="37"/>
  <c r="B274" i="37"/>
  <c r="H273" i="37"/>
  <c r="S273" i="37"/>
  <c r="U273" i="37"/>
  <c r="Y273" i="37"/>
  <c r="AA273" i="37"/>
  <c r="AE273" i="37"/>
  <c r="AB273" i="37"/>
  <c r="I273" i="37"/>
  <c r="T273" i="37"/>
  <c r="V273" i="37"/>
  <c r="Z273" i="37"/>
  <c r="AC273" i="37"/>
  <c r="R273" i="37"/>
  <c r="G273" i="37"/>
  <c r="AD273" i="37"/>
  <c r="AF273" i="37"/>
  <c r="C273" i="37"/>
  <c r="B273" i="37"/>
  <c r="H272" i="37"/>
  <c r="S272" i="37"/>
  <c r="U272" i="37"/>
  <c r="Y272" i="37"/>
  <c r="AA272" i="37"/>
  <c r="AE272" i="37"/>
  <c r="AB272" i="37"/>
  <c r="I272" i="37"/>
  <c r="T272" i="37"/>
  <c r="V272" i="37"/>
  <c r="Z272" i="37"/>
  <c r="AC272" i="37"/>
  <c r="R272" i="37"/>
  <c r="G272" i="37"/>
  <c r="AD272" i="37"/>
  <c r="AF272" i="37"/>
  <c r="C272" i="37"/>
  <c r="B272" i="37"/>
  <c r="H271" i="37"/>
  <c r="S271" i="37"/>
  <c r="U271" i="37"/>
  <c r="Y271" i="37"/>
  <c r="AA271" i="37"/>
  <c r="AE271" i="37"/>
  <c r="AB271" i="37"/>
  <c r="I271" i="37"/>
  <c r="T271" i="37"/>
  <c r="V271" i="37"/>
  <c r="Z271" i="37"/>
  <c r="AC271" i="37"/>
  <c r="R271" i="37"/>
  <c r="G271" i="37"/>
  <c r="AD271" i="37"/>
  <c r="AF271" i="37"/>
  <c r="C271" i="37"/>
  <c r="B271" i="37"/>
  <c r="H270" i="37"/>
  <c r="S270" i="37"/>
  <c r="U270" i="37"/>
  <c r="Y270" i="37"/>
  <c r="AA270" i="37"/>
  <c r="AE270" i="37"/>
  <c r="AB270" i="37"/>
  <c r="I270" i="37"/>
  <c r="T270" i="37"/>
  <c r="V270" i="37"/>
  <c r="Z270" i="37"/>
  <c r="AC270" i="37"/>
  <c r="R270" i="37"/>
  <c r="G270" i="37"/>
  <c r="AD270" i="37"/>
  <c r="AF270" i="37"/>
  <c r="C270" i="37"/>
  <c r="B270" i="37"/>
  <c r="H269" i="37"/>
  <c r="S269" i="37"/>
  <c r="U269" i="37"/>
  <c r="Y269" i="37"/>
  <c r="AA269" i="37"/>
  <c r="AE269" i="37"/>
  <c r="AB269" i="37"/>
  <c r="I269" i="37"/>
  <c r="T269" i="37"/>
  <c r="V269" i="37"/>
  <c r="Z269" i="37"/>
  <c r="AC269" i="37"/>
  <c r="R269" i="37"/>
  <c r="G269" i="37"/>
  <c r="AD269" i="37"/>
  <c r="AF269" i="37"/>
  <c r="C269" i="37"/>
  <c r="B269" i="37"/>
  <c r="H268" i="37"/>
  <c r="S268" i="37"/>
  <c r="U268" i="37"/>
  <c r="Y268" i="37"/>
  <c r="AA268" i="37"/>
  <c r="AE268" i="37"/>
  <c r="AB268" i="37"/>
  <c r="I268" i="37"/>
  <c r="T268" i="37"/>
  <c r="V268" i="37"/>
  <c r="Z268" i="37"/>
  <c r="AC268" i="37"/>
  <c r="R268" i="37"/>
  <c r="G268" i="37"/>
  <c r="AD268" i="37"/>
  <c r="AF268" i="37"/>
  <c r="C268" i="37"/>
  <c r="B268" i="37"/>
  <c r="H267" i="37"/>
  <c r="S267" i="37"/>
  <c r="U267" i="37"/>
  <c r="Y267" i="37"/>
  <c r="AA267" i="37"/>
  <c r="AE267" i="37"/>
  <c r="AB267" i="37"/>
  <c r="I267" i="37"/>
  <c r="T267" i="37"/>
  <c r="V267" i="37"/>
  <c r="Z267" i="37"/>
  <c r="AC267" i="37"/>
  <c r="R267" i="37"/>
  <c r="G267" i="37"/>
  <c r="AD267" i="37"/>
  <c r="AF267" i="37"/>
  <c r="C267" i="37"/>
  <c r="B267" i="37"/>
  <c r="H266" i="37"/>
  <c r="S266" i="37"/>
  <c r="U266" i="37"/>
  <c r="Y266" i="37"/>
  <c r="AA266" i="37"/>
  <c r="AE266" i="37"/>
  <c r="AB266" i="37"/>
  <c r="I266" i="37"/>
  <c r="T266" i="37"/>
  <c r="V266" i="37"/>
  <c r="Z266" i="37"/>
  <c r="AC266" i="37"/>
  <c r="R266" i="37"/>
  <c r="G266" i="37"/>
  <c r="AD266" i="37"/>
  <c r="AF266" i="37"/>
  <c r="C266" i="37"/>
  <c r="B266" i="37"/>
  <c r="H265" i="37"/>
  <c r="S265" i="37"/>
  <c r="U265" i="37"/>
  <c r="Y265" i="37"/>
  <c r="AA265" i="37"/>
  <c r="AE265" i="37"/>
  <c r="AB265" i="37"/>
  <c r="I265" i="37"/>
  <c r="T265" i="37"/>
  <c r="V265" i="37"/>
  <c r="Z265" i="37"/>
  <c r="AC265" i="37"/>
  <c r="R265" i="37"/>
  <c r="G265" i="37"/>
  <c r="AD265" i="37"/>
  <c r="AF265" i="37"/>
  <c r="C265" i="37"/>
  <c r="B265" i="37"/>
  <c r="H264" i="37"/>
  <c r="S264" i="37"/>
  <c r="U264" i="37"/>
  <c r="Y264" i="37"/>
  <c r="AA264" i="37"/>
  <c r="AE264" i="37"/>
  <c r="AB264" i="37"/>
  <c r="I264" i="37"/>
  <c r="T264" i="37"/>
  <c r="V264" i="37"/>
  <c r="Z264" i="37"/>
  <c r="AC264" i="37"/>
  <c r="R264" i="37"/>
  <c r="G264" i="37"/>
  <c r="AD264" i="37"/>
  <c r="AF264" i="37"/>
  <c r="C264" i="37"/>
  <c r="B264" i="37"/>
  <c r="H263" i="37"/>
  <c r="S263" i="37"/>
  <c r="U263" i="37"/>
  <c r="Y263" i="37"/>
  <c r="AA263" i="37"/>
  <c r="AE263" i="37"/>
  <c r="AB263" i="37"/>
  <c r="I263" i="37"/>
  <c r="T263" i="37"/>
  <c r="V263" i="37"/>
  <c r="Z263" i="37"/>
  <c r="AC263" i="37"/>
  <c r="R263" i="37"/>
  <c r="G263" i="37"/>
  <c r="AD263" i="37"/>
  <c r="AF263" i="37"/>
  <c r="C263" i="37"/>
  <c r="B263" i="37"/>
  <c r="H262" i="37"/>
  <c r="S262" i="37"/>
  <c r="U262" i="37"/>
  <c r="Y262" i="37"/>
  <c r="AA262" i="37"/>
  <c r="AE262" i="37"/>
  <c r="AB262" i="37"/>
  <c r="I262" i="37"/>
  <c r="T262" i="37"/>
  <c r="V262" i="37"/>
  <c r="Z262" i="37"/>
  <c r="AC262" i="37"/>
  <c r="R262" i="37"/>
  <c r="G262" i="37"/>
  <c r="AD262" i="37"/>
  <c r="AF262" i="37"/>
  <c r="C262" i="37"/>
  <c r="B262" i="37"/>
  <c r="H261" i="37"/>
  <c r="S261" i="37"/>
  <c r="U261" i="37"/>
  <c r="Y261" i="37"/>
  <c r="AA261" i="37"/>
  <c r="AE261" i="37"/>
  <c r="AB261" i="37"/>
  <c r="I261" i="37"/>
  <c r="T261" i="37"/>
  <c r="V261" i="37"/>
  <c r="Z261" i="37"/>
  <c r="AC261" i="37"/>
  <c r="R261" i="37"/>
  <c r="G261" i="37"/>
  <c r="AD261" i="37"/>
  <c r="AF261" i="37"/>
  <c r="C261" i="37"/>
  <c r="B261" i="37"/>
  <c r="H260" i="37"/>
  <c r="S260" i="37"/>
  <c r="U260" i="37"/>
  <c r="Y260" i="37"/>
  <c r="AA260" i="37"/>
  <c r="AE260" i="37"/>
  <c r="AB260" i="37"/>
  <c r="I260" i="37"/>
  <c r="T260" i="37"/>
  <c r="V260" i="37"/>
  <c r="Z260" i="37"/>
  <c r="AC260" i="37"/>
  <c r="R260" i="37"/>
  <c r="G260" i="37"/>
  <c r="AD260" i="37"/>
  <c r="AF260" i="37"/>
  <c r="C260" i="37"/>
  <c r="B260" i="37"/>
  <c r="H259" i="37"/>
  <c r="S259" i="37"/>
  <c r="U259" i="37"/>
  <c r="Y259" i="37"/>
  <c r="AA259" i="37"/>
  <c r="AE259" i="37"/>
  <c r="AB259" i="37"/>
  <c r="I259" i="37"/>
  <c r="T259" i="37"/>
  <c r="V259" i="37"/>
  <c r="Z259" i="37"/>
  <c r="AC259" i="37"/>
  <c r="R259" i="37"/>
  <c r="G259" i="37"/>
  <c r="AD259" i="37"/>
  <c r="AF259" i="37"/>
  <c r="C259" i="37"/>
  <c r="B259" i="37"/>
  <c r="H258" i="37"/>
  <c r="S258" i="37"/>
  <c r="U258" i="37"/>
  <c r="Y258" i="37"/>
  <c r="AA258" i="37"/>
  <c r="AE258" i="37"/>
  <c r="AB258" i="37"/>
  <c r="I258" i="37"/>
  <c r="T258" i="37"/>
  <c r="V258" i="37"/>
  <c r="Z258" i="37"/>
  <c r="AC258" i="37"/>
  <c r="R258" i="37"/>
  <c r="G258" i="37"/>
  <c r="AD258" i="37"/>
  <c r="AF258" i="37"/>
  <c r="C258" i="37"/>
  <c r="B258" i="37"/>
  <c r="H257" i="37"/>
  <c r="S257" i="37"/>
  <c r="U257" i="37"/>
  <c r="Y257" i="37"/>
  <c r="AA257" i="37"/>
  <c r="AE257" i="37"/>
  <c r="AB257" i="37"/>
  <c r="I257" i="37"/>
  <c r="T257" i="37"/>
  <c r="V257" i="37"/>
  <c r="Z257" i="37"/>
  <c r="AC257" i="37"/>
  <c r="R257" i="37"/>
  <c r="G257" i="37"/>
  <c r="AD257" i="37"/>
  <c r="AF257" i="37"/>
  <c r="C257" i="37"/>
  <c r="B257" i="37"/>
  <c r="H256" i="37"/>
  <c r="S256" i="37"/>
  <c r="U256" i="37"/>
  <c r="Y256" i="37"/>
  <c r="AA256" i="37"/>
  <c r="AE256" i="37"/>
  <c r="AB256" i="37"/>
  <c r="I256" i="37"/>
  <c r="T256" i="37"/>
  <c r="V256" i="37"/>
  <c r="Z256" i="37"/>
  <c r="AC256" i="37"/>
  <c r="R256" i="37"/>
  <c r="G256" i="37"/>
  <c r="AD256" i="37"/>
  <c r="AF256" i="37"/>
  <c r="C256" i="37"/>
  <c r="B256" i="37"/>
  <c r="H255" i="37"/>
  <c r="S255" i="37"/>
  <c r="U255" i="37"/>
  <c r="Y255" i="37"/>
  <c r="AA255" i="37"/>
  <c r="AE255" i="37"/>
  <c r="AB255" i="37"/>
  <c r="I255" i="37"/>
  <c r="T255" i="37"/>
  <c r="V255" i="37"/>
  <c r="Z255" i="37"/>
  <c r="AC255" i="37"/>
  <c r="R255" i="37"/>
  <c r="G255" i="37"/>
  <c r="AD255" i="37"/>
  <c r="AF255" i="37"/>
  <c r="C255" i="37"/>
  <c r="B255" i="37"/>
  <c r="H254" i="37"/>
  <c r="S254" i="37"/>
  <c r="U254" i="37"/>
  <c r="Y254" i="37"/>
  <c r="AA254" i="37"/>
  <c r="AE254" i="37"/>
  <c r="AB254" i="37"/>
  <c r="I254" i="37"/>
  <c r="T254" i="37"/>
  <c r="V254" i="37"/>
  <c r="Z254" i="37"/>
  <c r="AC254" i="37"/>
  <c r="R254" i="37"/>
  <c r="G254" i="37"/>
  <c r="AD254" i="37"/>
  <c r="AF254" i="37"/>
  <c r="C254" i="37"/>
  <c r="B254" i="37"/>
  <c r="H253" i="37"/>
  <c r="S253" i="37"/>
  <c r="U253" i="37"/>
  <c r="Y253" i="37"/>
  <c r="AA253" i="37"/>
  <c r="AE253" i="37"/>
  <c r="AB253" i="37"/>
  <c r="I253" i="37"/>
  <c r="T253" i="37"/>
  <c r="V253" i="37"/>
  <c r="Z253" i="37"/>
  <c r="AC253" i="37"/>
  <c r="R253" i="37"/>
  <c r="G253" i="37"/>
  <c r="AD253" i="37"/>
  <c r="AF253" i="37"/>
  <c r="C253" i="37"/>
  <c r="B253" i="37"/>
  <c r="H252" i="37"/>
  <c r="S252" i="37"/>
  <c r="U252" i="37"/>
  <c r="Y252" i="37"/>
  <c r="AA252" i="37"/>
  <c r="AE252" i="37"/>
  <c r="AB252" i="37"/>
  <c r="I252" i="37"/>
  <c r="T252" i="37"/>
  <c r="V252" i="37"/>
  <c r="Z252" i="37"/>
  <c r="AC252" i="37"/>
  <c r="R252" i="37"/>
  <c r="G252" i="37"/>
  <c r="AD252" i="37"/>
  <c r="AF252" i="37"/>
  <c r="C252" i="37"/>
  <c r="B252" i="37"/>
  <c r="H251" i="37"/>
  <c r="S251" i="37"/>
  <c r="U251" i="37"/>
  <c r="Y251" i="37"/>
  <c r="AA251" i="37"/>
  <c r="AE251" i="37"/>
  <c r="AB251" i="37"/>
  <c r="I251" i="37"/>
  <c r="T251" i="37"/>
  <c r="V251" i="37"/>
  <c r="Z251" i="37"/>
  <c r="AC251" i="37"/>
  <c r="R251" i="37"/>
  <c r="G251" i="37"/>
  <c r="AD251" i="37"/>
  <c r="AF251" i="37"/>
  <c r="C251" i="37"/>
  <c r="B251" i="37"/>
  <c r="H250" i="37"/>
  <c r="S250" i="37"/>
  <c r="U250" i="37"/>
  <c r="Y250" i="37"/>
  <c r="AA250" i="37"/>
  <c r="AE250" i="37"/>
  <c r="AB250" i="37"/>
  <c r="I250" i="37"/>
  <c r="T250" i="37"/>
  <c r="V250" i="37"/>
  <c r="Z250" i="37"/>
  <c r="AC250" i="37"/>
  <c r="R250" i="37"/>
  <c r="G250" i="37"/>
  <c r="AD250" i="37"/>
  <c r="AF250" i="37"/>
  <c r="C250" i="37"/>
  <c r="B250" i="37"/>
  <c r="H249" i="37"/>
  <c r="S249" i="37"/>
  <c r="U249" i="37"/>
  <c r="Y249" i="37"/>
  <c r="AA249" i="37"/>
  <c r="AE249" i="37"/>
  <c r="AB249" i="37"/>
  <c r="I249" i="37"/>
  <c r="T249" i="37"/>
  <c r="V249" i="37"/>
  <c r="Z249" i="37"/>
  <c r="AC249" i="37"/>
  <c r="R249" i="37"/>
  <c r="G249" i="37"/>
  <c r="AD249" i="37"/>
  <c r="AF249" i="37"/>
  <c r="C249" i="37"/>
  <c r="B249" i="37"/>
  <c r="H248" i="37"/>
  <c r="S248" i="37"/>
  <c r="U248" i="37"/>
  <c r="Y248" i="37"/>
  <c r="AA248" i="37"/>
  <c r="AE248" i="37"/>
  <c r="AB248" i="37"/>
  <c r="I248" i="37"/>
  <c r="T248" i="37"/>
  <c r="V248" i="37"/>
  <c r="Z248" i="37"/>
  <c r="AC248" i="37"/>
  <c r="R248" i="37"/>
  <c r="G248" i="37"/>
  <c r="AD248" i="37"/>
  <c r="AF248" i="37"/>
  <c r="C248" i="37"/>
  <c r="B248" i="37"/>
  <c r="H247" i="37"/>
  <c r="S247" i="37"/>
  <c r="U247" i="37"/>
  <c r="Y247" i="37"/>
  <c r="AA247" i="37"/>
  <c r="AE247" i="37"/>
  <c r="AB247" i="37"/>
  <c r="I247" i="37"/>
  <c r="T247" i="37"/>
  <c r="V247" i="37"/>
  <c r="Z247" i="37"/>
  <c r="AC247" i="37"/>
  <c r="R247" i="37"/>
  <c r="G247" i="37"/>
  <c r="AD247" i="37"/>
  <c r="AF247" i="37"/>
  <c r="C247" i="37"/>
  <c r="B247" i="37"/>
  <c r="H246" i="37"/>
  <c r="S246" i="37"/>
  <c r="U246" i="37"/>
  <c r="Y246" i="37"/>
  <c r="AA246" i="37"/>
  <c r="AE246" i="37"/>
  <c r="AB246" i="37"/>
  <c r="I246" i="37"/>
  <c r="T246" i="37"/>
  <c r="V246" i="37"/>
  <c r="Z246" i="37"/>
  <c r="AC246" i="37"/>
  <c r="R246" i="37"/>
  <c r="G246" i="37"/>
  <c r="AD246" i="37"/>
  <c r="AF246" i="37"/>
  <c r="C246" i="37"/>
  <c r="B246" i="37"/>
  <c r="H245" i="37"/>
  <c r="S245" i="37"/>
  <c r="U245" i="37"/>
  <c r="Y245" i="37"/>
  <c r="AA245" i="37"/>
  <c r="AE245" i="37"/>
  <c r="AB245" i="37"/>
  <c r="I245" i="37"/>
  <c r="T245" i="37"/>
  <c r="V245" i="37"/>
  <c r="Z245" i="37"/>
  <c r="AC245" i="37"/>
  <c r="R245" i="37"/>
  <c r="G245" i="37"/>
  <c r="AD245" i="37"/>
  <c r="AF245" i="37"/>
  <c r="C245" i="37"/>
  <c r="B245" i="37"/>
  <c r="H244" i="37"/>
  <c r="S244" i="37"/>
  <c r="U244" i="37"/>
  <c r="Y244" i="37"/>
  <c r="AA244" i="37"/>
  <c r="AE244" i="37"/>
  <c r="AB244" i="37"/>
  <c r="I244" i="37"/>
  <c r="T244" i="37"/>
  <c r="V244" i="37"/>
  <c r="Z244" i="37"/>
  <c r="AC244" i="37"/>
  <c r="R244" i="37"/>
  <c r="G244" i="37"/>
  <c r="AD244" i="37"/>
  <c r="AF244" i="37"/>
  <c r="C244" i="37"/>
  <c r="B244" i="37"/>
  <c r="H243" i="37"/>
  <c r="S243" i="37"/>
  <c r="U243" i="37"/>
  <c r="Y243" i="37"/>
  <c r="AA243" i="37"/>
  <c r="AE243" i="37"/>
  <c r="AB243" i="37"/>
  <c r="I243" i="37"/>
  <c r="T243" i="37"/>
  <c r="V243" i="37"/>
  <c r="Z243" i="37"/>
  <c r="AC243" i="37"/>
  <c r="R243" i="37"/>
  <c r="G243" i="37"/>
  <c r="AD243" i="37"/>
  <c r="AF243" i="37"/>
  <c r="C243" i="37"/>
  <c r="B243" i="37"/>
  <c r="H242" i="37"/>
  <c r="S242" i="37"/>
  <c r="U242" i="37"/>
  <c r="Y242" i="37"/>
  <c r="AA242" i="37"/>
  <c r="AE242" i="37"/>
  <c r="AB242" i="37"/>
  <c r="I242" i="37"/>
  <c r="T242" i="37"/>
  <c r="V242" i="37"/>
  <c r="Z242" i="37"/>
  <c r="AC242" i="37"/>
  <c r="R242" i="37"/>
  <c r="G242" i="37"/>
  <c r="AD242" i="37"/>
  <c r="AF242" i="37"/>
  <c r="C242" i="37"/>
  <c r="B242" i="37"/>
  <c r="H241" i="37"/>
  <c r="S241" i="37"/>
  <c r="U241" i="37"/>
  <c r="Y241" i="37"/>
  <c r="AA241" i="37"/>
  <c r="AE241" i="37"/>
  <c r="AB241" i="37"/>
  <c r="I241" i="37"/>
  <c r="T241" i="37"/>
  <c r="V241" i="37"/>
  <c r="Z241" i="37"/>
  <c r="AC241" i="37"/>
  <c r="R241" i="37"/>
  <c r="G241" i="37"/>
  <c r="AD241" i="37"/>
  <c r="AF241" i="37"/>
  <c r="C241" i="37"/>
  <c r="B241" i="37"/>
  <c r="H240" i="37"/>
  <c r="S240" i="37"/>
  <c r="U240" i="37"/>
  <c r="Y240" i="37"/>
  <c r="AA240" i="37"/>
  <c r="AE240" i="37"/>
  <c r="AB240" i="37"/>
  <c r="I240" i="37"/>
  <c r="T240" i="37"/>
  <c r="V240" i="37"/>
  <c r="Z240" i="37"/>
  <c r="AC240" i="37"/>
  <c r="R240" i="37"/>
  <c r="G240" i="37"/>
  <c r="AD240" i="37"/>
  <c r="AF240" i="37"/>
  <c r="C240" i="37"/>
  <c r="B240" i="37"/>
  <c r="H239" i="37"/>
  <c r="S239" i="37"/>
  <c r="U239" i="37"/>
  <c r="Y239" i="37"/>
  <c r="AA239" i="37"/>
  <c r="AE239" i="37"/>
  <c r="AB239" i="37"/>
  <c r="I239" i="37"/>
  <c r="T239" i="37"/>
  <c r="V239" i="37"/>
  <c r="Z239" i="37"/>
  <c r="AC239" i="37"/>
  <c r="R239" i="37"/>
  <c r="G239" i="37"/>
  <c r="AD239" i="37"/>
  <c r="AF239" i="37"/>
  <c r="C239" i="37"/>
  <c r="B239" i="37"/>
  <c r="H238" i="37"/>
  <c r="S238" i="37"/>
  <c r="U238" i="37"/>
  <c r="Y238" i="37"/>
  <c r="AA238" i="37"/>
  <c r="AE238" i="37"/>
  <c r="AB238" i="37"/>
  <c r="I238" i="37"/>
  <c r="T238" i="37"/>
  <c r="V238" i="37"/>
  <c r="Z238" i="37"/>
  <c r="AC238" i="37"/>
  <c r="R238" i="37"/>
  <c r="G238" i="37"/>
  <c r="AD238" i="37"/>
  <c r="AF238" i="37"/>
  <c r="C238" i="37"/>
  <c r="B238" i="37"/>
  <c r="H237" i="37"/>
  <c r="S237" i="37"/>
  <c r="U237" i="37"/>
  <c r="Y237" i="37"/>
  <c r="AA237" i="37"/>
  <c r="AE237" i="37"/>
  <c r="AB237" i="37"/>
  <c r="I237" i="37"/>
  <c r="T237" i="37"/>
  <c r="V237" i="37"/>
  <c r="Z237" i="37"/>
  <c r="AC237" i="37"/>
  <c r="R237" i="37"/>
  <c r="G237" i="37"/>
  <c r="AD237" i="37"/>
  <c r="AF237" i="37"/>
  <c r="C237" i="37"/>
  <c r="B237" i="37"/>
  <c r="H236" i="37"/>
  <c r="S236" i="37"/>
  <c r="U236" i="37"/>
  <c r="Y236" i="37"/>
  <c r="AA236" i="37"/>
  <c r="AE236" i="37"/>
  <c r="AB236" i="37"/>
  <c r="I236" i="37"/>
  <c r="T236" i="37"/>
  <c r="V236" i="37"/>
  <c r="Z236" i="37"/>
  <c r="AC236" i="37"/>
  <c r="R236" i="37"/>
  <c r="G236" i="37"/>
  <c r="AD236" i="37"/>
  <c r="AF236" i="37"/>
  <c r="C236" i="37"/>
  <c r="B236" i="37"/>
  <c r="H235" i="37"/>
  <c r="S235" i="37"/>
  <c r="U235" i="37"/>
  <c r="Y235" i="37"/>
  <c r="AA235" i="37"/>
  <c r="AE235" i="37"/>
  <c r="AB235" i="37"/>
  <c r="I235" i="37"/>
  <c r="T235" i="37"/>
  <c r="V235" i="37"/>
  <c r="Z235" i="37"/>
  <c r="AC235" i="37"/>
  <c r="R235" i="37"/>
  <c r="G235" i="37"/>
  <c r="AD235" i="37"/>
  <c r="AF235" i="37"/>
  <c r="C235" i="37"/>
  <c r="B235" i="37"/>
  <c r="H234" i="37"/>
  <c r="S234" i="37"/>
  <c r="U234" i="37"/>
  <c r="Y234" i="37"/>
  <c r="AA234" i="37"/>
  <c r="AE234" i="37"/>
  <c r="AB234" i="37"/>
  <c r="I234" i="37"/>
  <c r="T234" i="37"/>
  <c r="V234" i="37"/>
  <c r="Z234" i="37"/>
  <c r="AC234" i="37"/>
  <c r="R234" i="37"/>
  <c r="G234" i="37"/>
  <c r="AD234" i="37"/>
  <c r="AF234" i="37"/>
  <c r="C234" i="37"/>
  <c r="B234" i="37"/>
  <c r="H233" i="37"/>
  <c r="S233" i="37"/>
  <c r="U233" i="37"/>
  <c r="Y233" i="37"/>
  <c r="AA233" i="37"/>
  <c r="AE233" i="37"/>
  <c r="AB233" i="37"/>
  <c r="I233" i="37"/>
  <c r="T233" i="37"/>
  <c r="V233" i="37"/>
  <c r="Z233" i="37"/>
  <c r="AC233" i="37"/>
  <c r="R233" i="37"/>
  <c r="G233" i="37"/>
  <c r="AD233" i="37"/>
  <c r="AF233" i="37"/>
  <c r="C233" i="37"/>
  <c r="B233" i="37"/>
  <c r="H232" i="37"/>
  <c r="S232" i="37"/>
  <c r="U232" i="37"/>
  <c r="Y232" i="37"/>
  <c r="AA232" i="37"/>
  <c r="AE232" i="37"/>
  <c r="AB232" i="37"/>
  <c r="I232" i="37"/>
  <c r="T232" i="37"/>
  <c r="V232" i="37"/>
  <c r="Z232" i="37"/>
  <c r="AC232" i="37"/>
  <c r="R232" i="37"/>
  <c r="G232" i="37"/>
  <c r="AD232" i="37"/>
  <c r="AF232" i="37"/>
  <c r="C232" i="37"/>
  <c r="B232" i="37"/>
  <c r="H231" i="37"/>
  <c r="S231" i="37"/>
  <c r="U231" i="37"/>
  <c r="Y231" i="37"/>
  <c r="AA231" i="37"/>
  <c r="AE231" i="37"/>
  <c r="AB231" i="37"/>
  <c r="I231" i="37"/>
  <c r="T231" i="37"/>
  <c r="V231" i="37"/>
  <c r="Z231" i="37"/>
  <c r="AC231" i="37"/>
  <c r="R231" i="37"/>
  <c r="G231" i="37"/>
  <c r="AD231" i="37"/>
  <c r="AF231" i="37"/>
  <c r="C231" i="37"/>
  <c r="B231" i="37"/>
  <c r="H230" i="37"/>
  <c r="S230" i="37"/>
  <c r="U230" i="37"/>
  <c r="Y230" i="37"/>
  <c r="AA230" i="37"/>
  <c r="AE230" i="37"/>
  <c r="AB230" i="37"/>
  <c r="I230" i="37"/>
  <c r="T230" i="37"/>
  <c r="V230" i="37"/>
  <c r="Z230" i="37"/>
  <c r="AC230" i="37"/>
  <c r="R230" i="37"/>
  <c r="G230" i="37"/>
  <c r="AD230" i="37"/>
  <c r="AF230" i="37"/>
  <c r="C230" i="37"/>
  <c r="B230" i="37"/>
  <c r="H229" i="37"/>
  <c r="S229" i="37"/>
  <c r="U229" i="37"/>
  <c r="Y229" i="37"/>
  <c r="AA229" i="37"/>
  <c r="AE229" i="37"/>
  <c r="AB229" i="37"/>
  <c r="I229" i="37"/>
  <c r="T229" i="37"/>
  <c r="V229" i="37"/>
  <c r="Z229" i="37"/>
  <c r="AC229" i="37"/>
  <c r="R229" i="37"/>
  <c r="G229" i="37"/>
  <c r="AD229" i="37"/>
  <c r="AF229" i="37"/>
  <c r="C229" i="37"/>
  <c r="B229" i="37"/>
  <c r="H228" i="37"/>
  <c r="S228" i="37"/>
  <c r="U228" i="37"/>
  <c r="Y228" i="37"/>
  <c r="AA228" i="37"/>
  <c r="AE228" i="37"/>
  <c r="AB228" i="37"/>
  <c r="I228" i="37"/>
  <c r="T228" i="37"/>
  <c r="V228" i="37"/>
  <c r="Z228" i="37"/>
  <c r="AC228" i="37"/>
  <c r="R228" i="37"/>
  <c r="G228" i="37"/>
  <c r="AD228" i="37"/>
  <c r="AF228" i="37"/>
  <c r="C228" i="37"/>
  <c r="B228" i="37"/>
  <c r="H227" i="37"/>
  <c r="S227" i="37"/>
  <c r="U227" i="37"/>
  <c r="Y227" i="37"/>
  <c r="AA227" i="37"/>
  <c r="AE227" i="37"/>
  <c r="AB227" i="37"/>
  <c r="I227" i="37"/>
  <c r="T227" i="37"/>
  <c r="V227" i="37"/>
  <c r="Z227" i="37"/>
  <c r="AC227" i="37"/>
  <c r="R227" i="37"/>
  <c r="G227" i="37"/>
  <c r="AD227" i="37"/>
  <c r="AF227" i="37"/>
  <c r="C227" i="37"/>
  <c r="B227" i="37"/>
  <c r="H226" i="37"/>
  <c r="S226" i="37"/>
  <c r="U226" i="37"/>
  <c r="Y226" i="37"/>
  <c r="AA226" i="37"/>
  <c r="AE226" i="37"/>
  <c r="AB226" i="37"/>
  <c r="I226" i="37"/>
  <c r="T226" i="37"/>
  <c r="V226" i="37"/>
  <c r="Z226" i="37"/>
  <c r="AC226" i="37"/>
  <c r="R226" i="37"/>
  <c r="G226" i="37"/>
  <c r="AD226" i="37"/>
  <c r="AF226" i="37"/>
  <c r="C226" i="37"/>
  <c r="B226" i="37"/>
  <c r="H225" i="37"/>
  <c r="S225" i="37"/>
  <c r="U225" i="37"/>
  <c r="Y225" i="37"/>
  <c r="AA225" i="37"/>
  <c r="AE225" i="37"/>
  <c r="AB225" i="37"/>
  <c r="I225" i="37"/>
  <c r="T225" i="37"/>
  <c r="V225" i="37"/>
  <c r="Z225" i="37"/>
  <c r="AC225" i="37"/>
  <c r="R225" i="37"/>
  <c r="G225" i="37"/>
  <c r="AD225" i="37"/>
  <c r="AF225" i="37"/>
  <c r="C225" i="37"/>
  <c r="B225" i="37"/>
  <c r="H224" i="37"/>
  <c r="S224" i="37"/>
  <c r="U224" i="37"/>
  <c r="Y224" i="37"/>
  <c r="AA224" i="37"/>
  <c r="AE224" i="37"/>
  <c r="AB224" i="37"/>
  <c r="I224" i="37"/>
  <c r="T224" i="37"/>
  <c r="V224" i="37"/>
  <c r="Z224" i="37"/>
  <c r="AC224" i="37"/>
  <c r="R224" i="37"/>
  <c r="G224" i="37"/>
  <c r="AD224" i="37"/>
  <c r="AF224" i="37"/>
  <c r="C224" i="37"/>
  <c r="B224" i="37"/>
  <c r="H223" i="37"/>
  <c r="S223" i="37"/>
  <c r="U223" i="37"/>
  <c r="Y223" i="37"/>
  <c r="AA223" i="37"/>
  <c r="AE223" i="37"/>
  <c r="AB223" i="37"/>
  <c r="I223" i="37"/>
  <c r="T223" i="37"/>
  <c r="V223" i="37"/>
  <c r="Z223" i="37"/>
  <c r="AC223" i="37"/>
  <c r="R223" i="37"/>
  <c r="G223" i="37"/>
  <c r="AD223" i="37"/>
  <c r="AF223" i="37"/>
  <c r="C223" i="37"/>
  <c r="B223" i="37"/>
  <c r="H222" i="37"/>
  <c r="S222" i="37"/>
  <c r="U222" i="37"/>
  <c r="Y222" i="37"/>
  <c r="AA222" i="37"/>
  <c r="AE222" i="37"/>
  <c r="AB222" i="37"/>
  <c r="I222" i="37"/>
  <c r="T222" i="37"/>
  <c r="V222" i="37"/>
  <c r="Z222" i="37"/>
  <c r="AC222" i="37"/>
  <c r="R222" i="37"/>
  <c r="G222" i="37"/>
  <c r="AD222" i="37"/>
  <c r="AF222" i="37"/>
  <c r="C222" i="37"/>
  <c r="B222" i="37"/>
  <c r="H221" i="37"/>
  <c r="S221" i="37"/>
  <c r="U221" i="37"/>
  <c r="Y221" i="37"/>
  <c r="AA221" i="37"/>
  <c r="AE221" i="37"/>
  <c r="AB221" i="37"/>
  <c r="I221" i="37"/>
  <c r="T221" i="37"/>
  <c r="V221" i="37"/>
  <c r="Z221" i="37"/>
  <c r="AC221" i="37"/>
  <c r="R221" i="37"/>
  <c r="G221" i="37"/>
  <c r="AD221" i="37"/>
  <c r="AF221" i="37"/>
  <c r="C221" i="37"/>
  <c r="B221" i="37"/>
  <c r="H220" i="37"/>
  <c r="S220" i="37"/>
  <c r="U220" i="37"/>
  <c r="Y220" i="37"/>
  <c r="AA220" i="37"/>
  <c r="AE220" i="37"/>
  <c r="AB220" i="37"/>
  <c r="I220" i="37"/>
  <c r="T220" i="37"/>
  <c r="V220" i="37"/>
  <c r="Z220" i="37"/>
  <c r="AC220" i="37"/>
  <c r="R220" i="37"/>
  <c r="G220" i="37"/>
  <c r="AD220" i="37"/>
  <c r="AF220" i="37"/>
  <c r="C220" i="37"/>
  <c r="B220" i="37"/>
  <c r="H219" i="37"/>
  <c r="S219" i="37"/>
  <c r="U219" i="37"/>
  <c r="Y219" i="37"/>
  <c r="AA219" i="37"/>
  <c r="AE219" i="37"/>
  <c r="AB219" i="37"/>
  <c r="I219" i="37"/>
  <c r="T219" i="37"/>
  <c r="V219" i="37"/>
  <c r="Z219" i="37"/>
  <c r="AC219" i="37"/>
  <c r="R219" i="37"/>
  <c r="G219" i="37"/>
  <c r="AD219" i="37"/>
  <c r="AF219" i="37"/>
  <c r="C219" i="37"/>
  <c r="B219" i="37"/>
  <c r="H218" i="37"/>
  <c r="S218" i="37"/>
  <c r="U218" i="37"/>
  <c r="Y218" i="37"/>
  <c r="AA218" i="37"/>
  <c r="AE218" i="37"/>
  <c r="AB218" i="37"/>
  <c r="I218" i="37"/>
  <c r="T218" i="37"/>
  <c r="V218" i="37"/>
  <c r="Z218" i="37"/>
  <c r="AC218" i="37"/>
  <c r="R218" i="37"/>
  <c r="G218" i="37"/>
  <c r="AD218" i="37"/>
  <c r="AF218" i="37"/>
  <c r="C218" i="37"/>
  <c r="B218" i="37"/>
  <c r="H217" i="37"/>
  <c r="S217" i="37"/>
  <c r="U217" i="37"/>
  <c r="Y217" i="37"/>
  <c r="AA217" i="37"/>
  <c r="AE217" i="37"/>
  <c r="AB217" i="37"/>
  <c r="I217" i="37"/>
  <c r="T217" i="37"/>
  <c r="V217" i="37"/>
  <c r="Z217" i="37"/>
  <c r="AC217" i="37"/>
  <c r="R217" i="37"/>
  <c r="G217" i="37"/>
  <c r="AD217" i="37"/>
  <c r="AF217" i="37"/>
  <c r="C217" i="37"/>
  <c r="B217" i="37"/>
  <c r="H216" i="37"/>
  <c r="S216" i="37"/>
  <c r="U216" i="37"/>
  <c r="Y216" i="37"/>
  <c r="AA216" i="37"/>
  <c r="AE216" i="37"/>
  <c r="AB216" i="37"/>
  <c r="I216" i="37"/>
  <c r="T216" i="37"/>
  <c r="V216" i="37"/>
  <c r="Z216" i="37"/>
  <c r="AC216" i="37"/>
  <c r="R216" i="37"/>
  <c r="G216" i="37"/>
  <c r="AD216" i="37"/>
  <c r="AF216" i="37"/>
  <c r="C216" i="37"/>
  <c r="B216" i="37"/>
  <c r="H215" i="37"/>
  <c r="S215" i="37"/>
  <c r="U215" i="37"/>
  <c r="Y215" i="37"/>
  <c r="AA215" i="37"/>
  <c r="AE215" i="37"/>
  <c r="AB215" i="37"/>
  <c r="I215" i="37"/>
  <c r="T215" i="37"/>
  <c r="V215" i="37"/>
  <c r="Z215" i="37"/>
  <c r="AC215" i="37"/>
  <c r="R215" i="37"/>
  <c r="G215" i="37"/>
  <c r="AD215" i="37"/>
  <c r="AF215" i="37"/>
  <c r="C215" i="37"/>
  <c r="B215" i="37"/>
  <c r="H214" i="37"/>
  <c r="S214" i="37"/>
  <c r="U214" i="37"/>
  <c r="Y214" i="37"/>
  <c r="AA214" i="37"/>
  <c r="AE214" i="37"/>
  <c r="AB214" i="37"/>
  <c r="I214" i="37"/>
  <c r="T214" i="37"/>
  <c r="V214" i="37"/>
  <c r="Z214" i="37"/>
  <c r="AC214" i="37"/>
  <c r="R214" i="37"/>
  <c r="G214" i="37"/>
  <c r="AD214" i="37"/>
  <c r="AF214" i="37"/>
  <c r="C214" i="37"/>
  <c r="B214" i="37"/>
  <c r="H213" i="37"/>
  <c r="S213" i="37"/>
  <c r="U213" i="37"/>
  <c r="Y213" i="37"/>
  <c r="AA213" i="37"/>
  <c r="AE213" i="37"/>
  <c r="AB213" i="37"/>
  <c r="I213" i="37"/>
  <c r="T213" i="37"/>
  <c r="V213" i="37"/>
  <c r="Z213" i="37"/>
  <c r="AC213" i="37"/>
  <c r="R213" i="37"/>
  <c r="G213" i="37"/>
  <c r="AD213" i="37"/>
  <c r="AF213" i="37"/>
  <c r="C213" i="37"/>
  <c r="B213" i="37"/>
  <c r="H212" i="37"/>
  <c r="S212" i="37"/>
  <c r="U212" i="37"/>
  <c r="Y212" i="37"/>
  <c r="AA212" i="37"/>
  <c r="AE212" i="37"/>
  <c r="AB212" i="37"/>
  <c r="I212" i="37"/>
  <c r="T212" i="37"/>
  <c r="V212" i="37"/>
  <c r="Z212" i="37"/>
  <c r="AC212" i="37"/>
  <c r="R212" i="37"/>
  <c r="G212" i="37"/>
  <c r="AD212" i="37"/>
  <c r="AF212" i="37"/>
  <c r="C212" i="37"/>
  <c r="B212" i="37"/>
  <c r="H211" i="37"/>
  <c r="S211" i="37"/>
  <c r="U211" i="37"/>
  <c r="Y211" i="37"/>
  <c r="AA211" i="37"/>
  <c r="AE211" i="37"/>
  <c r="AB211" i="37"/>
  <c r="I211" i="37"/>
  <c r="T211" i="37"/>
  <c r="V211" i="37"/>
  <c r="Z211" i="37"/>
  <c r="AC211" i="37"/>
  <c r="R211" i="37"/>
  <c r="G211" i="37"/>
  <c r="AD211" i="37"/>
  <c r="AF211" i="37"/>
  <c r="C211" i="37"/>
  <c r="B211" i="37"/>
  <c r="H210" i="37"/>
  <c r="S210" i="37"/>
  <c r="U210" i="37"/>
  <c r="Y210" i="37"/>
  <c r="AA210" i="37"/>
  <c r="AE210" i="37"/>
  <c r="AB210" i="37"/>
  <c r="I210" i="37"/>
  <c r="T210" i="37"/>
  <c r="V210" i="37"/>
  <c r="Z210" i="37"/>
  <c r="AC210" i="37"/>
  <c r="R210" i="37"/>
  <c r="G210" i="37"/>
  <c r="AD210" i="37"/>
  <c r="AF210" i="37"/>
  <c r="C210" i="37"/>
  <c r="B210" i="37"/>
  <c r="H209" i="37"/>
  <c r="S209" i="37"/>
  <c r="U209" i="37"/>
  <c r="Y209" i="37"/>
  <c r="AA209" i="37"/>
  <c r="AE209" i="37"/>
  <c r="AB209" i="37"/>
  <c r="I209" i="37"/>
  <c r="T209" i="37"/>
  <c r="V209" i="37"/>
  <c r="Z209" i="37"/>
  <c r="AC209" i="37"/>
  <c r="R209" i="37"/>
  <c r="G209" i="37"/>
  <c r="AD209" i="37"/>
  <c r="AF209" i="37"/>
  <c r="C209" i="37"/>
  <c r="B209" i="37"/>
  <c r="H208" i="37"/>
  <c r="S208" i="37"/>
  <c r="U208" i="37"/>
  <c r="Y208" i="37"/>
  <c r="AA208" i="37"/>
  <c r="AE208" i="37"/>
  <c r="AB208" i="37"/>
  <c r="I208" i="37"/>
  <c r="T208" i="37"/>
  <c r="V208" i="37"/>
  <c r="Z208" i="37"/>
  <c r="AC208" i="37"/>
  <c r="R208" i="37"/>
  <c r="G208" i="37"/>
  <c r="AD208" i="37"/>
  <c r="AF208" i="37"/>
  <c r="C208" i="37"/>
  <c r="B208" i="37"/>
  <c r="H207" i="37"/>
  <c r="S207" i="37"/>
  <c r="U207" i="37"/>
  <c r="Y207" i="37"/>
  <c r="AA207" i="37"/>
  <c r="AE207" i="37"/>
  <c r="AB207" i="37"/>
  <c r="I207" i="37"/>
  <c r="T207" i="37"/>
  <c r="V207" i="37"/>
  <c r="Z207" i="37"/>
  <c r="AC207" i="37"/>
  <c r="R207" i="37"/>
  <c r="G207" i="37"/>
  <c r="AD207" i="37"/>
  <c r="AF207" i="37"/>
  <c r="C207" i="37"/>
  <c r="B207" i="37"/>
  <c r="H206" i="37"/>
  <c r="S206" i="37"/>
  <c r="U206" i="37"/>
  <c r="Y206" i="37"/>
  <c r="AA206" i="37"/>
  <c r="AE206" i="37"/>
  <c r="AB206" i="37"/>
  <c r="I206" i="37"/>
  <c r="T206" i="37"/>
  <c r="V206" i="37"/>
  <c r="Z206" i="37"/>
  <c r="AC206" i="37"/>
  <c r="R206" i="37"/>
  <c r="G206" i="37"/>
  <c r="AD206" i="37"/>
  <c r="AF206" i="37"/>
  <c r="C206" i="37"/>
  <c r="B206" i="37"/>
  <c r="H205" i="37"/>
  <c r="S205" i="37"/>
  <c r="U205" i="37"/>
  <c r="Y205" i="37"/>
  <c r="AA205" i="37"/>
  <c r="AE205" i="37"/>
  <c r="AB205" i="37"/>
  <c r="I205" i="37"/>
  <c r="T205" i="37"/>
  <c r="V205" i="37"/>
  <c r="Z205" i="37"/>
  <c r="AC205" i="37"/>
  <c r="R205" i="37"/>
  <c r="G205" i="37"/>
  <c r="AD205" i="37"/>
  <c r="AF205" i="37"/>
  <c r="C205" i="37"/>
  <c r="B205" i="37"/>
  <c r="H204" i="37"/>
  <c r="S204" i="37"/>
  <c r="U204" i="37"/>
  <c r="Y204" i="37"/>
  <c r="AA204" i="37"/>
  <c r="AE204" i="37"/>
  <c r="AB204" i="37"/>
  <c r="I204" i="37"/>
  <c r="T204" i="37"/>
  <c r="V204" i="37"/>
  <c r="Z204" i="37"/>
  <c r="AC204" i="37"/>
  <c r="R204" i="37"/>
  <c r="G204" i="37"/>
  <c r="AD204" i="37"/>
  <c r="AF204" i="37"/>
  <c r="C204" i="37"/>
  <c r="B204" i="37"/>
  <c r="H203" i="37"/>
  <c r="S203" i="37"/>
  <c r="U203" i="37"/>
  <c r="Y203" i="37"/>
  <c r="AA203" i="37"/>
  <c r="AE203" i="37"/>
  <c r="AB203" i="37"/>
  <c r="I203" i="37"/>
  <c r="T203" i="37"/>
  <c r="V203" i="37"/>
  <c r="Z203" i="37"/>
  <c r="AC203" i="37"/>
  <c r="R203" i="37"/>
  <c r="G203" i="37"/>
  <c r="AD203" i="37"/>
  <c r="AF203" i="37"/>
  <c r="C203" i="37"/>
  <c r="B203" i="37"/>
  <c r="H202" i="37"/>
  <c r="S202" i="37"/>
  <c r="U202" i="37"/>
  <c r="Y202" i="37"/>
  <c r="AA202" i="37"/>
  <c r="AE202" i="37"/>
  <c r="AB202" i="37"/>
  <c r="I202" i="37"/>
  <c r="T202" i="37"/>
  <c r="V202" i="37"/>
  <c r="Z202" i="37"/>
  <c r="AC202" i="37"/>
  <c r="R202" i="37"/>
  <c r="G202" i="37"/>
  <c r="AD202" i="37"/>
  <c r="AF202" i="37"/>
  <c r="C202" i="37"/>
  <c r="B202" i="37"/>
  <c r="H201" i="37"/>
  <c r="S201" i="37"/>
  <c r="U201" i="37"/>
  <c r="Y201" i="37"/>
  <c r="AA201" i="37"/>
  <c r="AE201" i="37"/>
  <c r="AB201" i="37"/>
  <c r="I201" i="37"/>
  <c r="T201" i="37"/>
  <c r="V201" i="37"/>
  <c r="Z201" i="37"/>
  <c r="AC201" i="37"/>
  <c r="R201" i="37"/>
  <c r="G201" i="37"/>
  <c r="AD201" i="37"/>
  <c r="AF201" i="37"/>
  <c r="C201" i="37"/>
  <c r="B201" i="37"/>
  <c r="H200" i="37"/>
  <c r="S200" i="37"/>
  <c r="U200" i="37"/>
  <c r="Y200" i="37"/>
  <c r="AA200" i="37"/>
  <c r="AE200" i="37"/>
  <c r="AB200" i="37"/>
  <c r="I200" i="37"/>
  <c r="T200" i="37"/>
  <c r="V200" i="37"/>
  <c r="Z200" i="37"/>
  <c r="AC200" i="37"/>
  <c r="R200" i="37"/>
  <c r="G200" i="37"/>
  <c r="AD200" i="37"/>
  <c r="AF200" i="37"/>
  <c r="C200" i="37"/>
  <c r="B200" i="37"/>
  <c r="H199" i="37"/>
  <c r="S199" i="37"/>
  <c r="U199" i="37"/>
  <c r="Y199" i="37"/>
  <c r="AA199" i="37"/>
  <c r="AE199" i="37"/>
  <c r="AB199" i="37"/>
  <c r="I199" i="37"/>
  <c r="T199" i="37"/>
  <c r="V199" i="37"/>
  <c r="Z199" i="37"/>
  <c r="AC199" i="37"/>
  <c r="R199" i="37"/>
  <c r="G199" i="37"/>
  <c r="AD199" i="37"/>
  <c r="AF199" i="37"/>
  <c r="C199" i="37"/>
  <c r="B199" i="37"/>
  <c r="H198" i="37"/>
  <c r="S198" i="37"/>
  <c r="U198" i="37"/>
  <c r="Y198" i="37"/>
  <c r="AA198" i="37"/>
  <c r="AE198" i="37"/>
  <c r="AB198" i="37"/>
  <c r="I198" i="37"/>
  <c r="T198" i="37"/>
  <c r="V198" i="37"/>
  <c r="Z198" i="37"/>
  <c r="AC198" i="37"/>
  <c r="R198" i="37"/>
  <c r="G198" i="37"/>
  <c r="AD198" i="37"/>
  <c r="AF198" i="37"/>
  <c r="C198" i="37"/>
  <c r="B198" i="37"/>
  <c r="H197" i="37"/>
  <c r="S197" i="37"/>
  <c r="U197" i="37"/>
  <c r="Y197" i="37"/>
  <c r="AA197" i="37"/>
  <c r="AE197" i="37"/>
  <c r="AB197" i="37"/>
  <c r="I197" i="37"/>
  <c r="T197" i="37"/>
  <c r="V197" i="37"/>
  <c r="Z197" i="37"/>
  <c r="AC197" i="37"/>
  <c r="R197" i="37"/>
  <c r="G197" i="37"/>
  <c r="AD197" i="37"/>
  <c r="AF197" i="37"/>
  <c r="C197" i="37"/>
  <c r="B197" i="37"/>
  <c r="H196" i="37"/>
  <c r="S196" i="37"/>
  <c r="U196" i="37"/>
  <c r="Y196" i="37"/>
  <c r="AA196" i="37"/>
  <c r="AE196" i="37"/>
  <c r="AB196" i="37"/>
  <c r="I196" i="37"/>
  <c r="T196" i="37"/>
  <c r="V196" i="37"/>
  <c r="Z196" i="37"/>
  <c r="AC196" i="37"/>
  <c r="R196" i="37"/>
  <c r="G196" i="37"/>
  <c r="AD196" i="37"/>
  <c r="AF196" i="37"/>
  <c r="C196" i="37"/>
  <c r="B196" i="37"/>
  <c r="H195" i="37"/>
  <c r="S195" i="37"/>
  <c r="U195" i="37"/>
  <c r="Y195" i="37"/>
  <c r="AA195" i="37"/>
  <c r="AE195" i="37"/>
  <c r="AB195" i="37"/>
  <c r="I195" i="37"/>
  <c r="T195" i="37"/>
  <c r="V195" i="37"/>
  <c r="Z195" i="37"/>
  <c r="AC195" i="37"/>
  <c r="R195" i="37"/>
  <c r="G195" i="37"/>
  <c r="AD195" i="37"/>
  <c r="AF195" i="37"/>
  <c r="C195" i="37"/>
  <c r="B195" i="37"/>
  <c r="H194" i="37"/>
  <c r="S194" i="37"/>
  <c r="U194" i="37"/>
  <c r="Y194" i="37"/>
  <c r="AA194" i="37"/>
  <c r="AE194" i="37"/>
  <c r="AB194" i="37"/>
  <c r="I194" i="37"/>
  <c r="T194" i="37"/>
  <c r="V194" i="37"/>
  <c r="Z194" i="37"/>
  <c r="AC194" i="37"/>
  <c r="R194" i="37"/>
  <c r="G194" i="37"/>
  <c r="AD194" i="37"/>
  <c r="AF194" i="37"/>
  <c r="C194" i="37"/>
  <c r="B194" i="37"/>
  <c r="H193" i="37"/>
  <c r="S193" i="37"/>
  <c r="U193" i="37"/>
  <c r="Y193" i="37"/>
  <c r="AA193" i="37"/>
  <c r="AE193" i="37"/>
  <c r="AB193" i="37"/>
  <c r="I193" i="37"/>
  <c r="T193" i="37"/>
  <c r="V193" i="37"/>
  <c r="Z193" i="37"/>
  <c r="AC193" i="37"/>
  <c r="R193" i="37"/>
  <c r="G193" i="37"/>
  <c r="AD193" i="37"/>
  <c r="AF193" i="37"/>
  <c r="C193" i="37"/>
  <c r="B193" i="37"/>
  <c r="H192" i="37"/>
  <c r="S192" i="37"/>
  <c r="U192" i="37"/>
  <c r="Y192" i="37"/>
  <c r="AA192" i="37"/>
  <c r="AE192" i="37"/>
  <c r="AB192" i="37"/>
  <c r="I192" i="37"/>
  <c r="T192" i="37"/>
  <c r="V192" i="37"/>
  <c r="Z192" i="37"/>
  <c r="AC192" i="37"/>
  <c r="R192" i="37"/>
  <c r="G192" i="37"/>
  <c r="AD192" i="37"/>
  <c r="AF192" i="37"/>
  <c r="C192" i="37"/>
  <c r="B192" i="37"/>
  <c r="H191" i="37"/>
  <c r="S191" i="37"/>
  <c r="U191" i="37"/>
  <c r="Y191" i="37"/>
  <c r="AA191" i="37"/>
  <c r="AE191" i="37"/>
  <c r="AB191" i="37"/>
  <c r="I191" i="37"/>
  <c r="T191" i="37"/>
  <c r="V191" i="37"/>
  <c r="Z191" i="37"/>
  <c r="AC191" i="37"/>
  <c r="R191" i="37"/>
  <c r="G191" i="37"/>
  <c r="AD191" i="37"/>
  <c r="AF191" i="37"/>
  <c r="C191" i="37"/>
  <c r="B191" i="37"/>
  <c r="H190" i="37"/>
  <c r="S190" i="37"/>
  <c r="U190" i="37"/>
  <c r="Y190" i="37"/>
  <c r="AA190" i="37"/>
  <c r="AE190" i="37"/>
  <c r="AB190" i="37"/>
  <c r="I190" i="37"/>
  <c r="T190" i="37"/>
  <c r="V190" i="37"/>
  <c r="Z190" i="37"/>
  <c r="AC190" i="37"/>
  <c r="R190" i="37"/>
  <c r="G190" i="37"/>
  <c r="AD190" i="37"/>
  <c r="AF190" i="37"/>
  <c r="C190" i="37"/>
  <c r="B190" i="37"/>
  <c r="H189" i="37"/>
  <c r="S189" i="37"/>
  <c r="U189" i="37"/>
  <c r="Y189" i="37"/>
  <c r="AA189" i="37"/>
  <c r="AE189" i="37"/>
  <c r="AB189" i="37"/>
  <c r="I189" i="37"/>
  <c r="T189" i="37"/>
  <c r="V189" i="37"/>
  <c r="Z189" i="37"/>
  <c r="AC189" i="37"/>
  <c r="R189" i="37"/>
  <c r="G189" i="37"/>
  <c r="AD189" i="37"/>
  <c r="AF189" i="37"/>
  <c r="C189" i="37"/>
  <c r="B189" i="37"/>
  <c r="H188" i="37"/>
  <c r="S188" i="37"/>
  <c r="U188" i="37"/>
  <c r="Y188" i="37"/>
  <c r="AA188" i="37"/>
  <c r="AE188" i="37"/>
  <c r="AB188" i="37"/>
  <c r="I188" i="37"/>
  <c r="T188" i="37"/>
  <c r="V188" i="37"/>
  <c r="Z188" i="37"/>
  <c r="AC188" i="37"/>
  <c r="R188" i="37"/>
  <c r="G188" i="37"/>
  <c r="AD188" i="37"/>
  <c r="AF188" i="37"/>
  <c r="C188" i="37"/>
  <c r="B188" i="37"/>
  <c r="H187" i="37"/>
  <c r="S187" i="37"/>
  <c r="U187" i="37"/>
  <c r="Y187" i="37"/>
  <c r="AA187" i="37"/>
  <c r="AE187" i="37"/>
  <c r="AB187" i="37"/>
  <c r="I187" i="37"/>
  <c r="T187" i="37"/>
  <c r="V187" i="37"/>
  <c r="Z187" i="37"/>
  <c r="AC187" i="37"/>
  <c r="R187" i="37"/>
  <c r="G187" i="37"/>
  <c r="AD187" i="37"/>
  <c r="AF187" i="37"/>
  <c r="C187" i="37"/>
  <c r="B187" i="37"/>
  <c r="H186" i="37"/>
  <c r="S186" i="37"/>
  <c r="U186" i="37"/>
  <c r="Y186" i="37"/>
  <c r="AA186" i="37"/>
  <c r="AE186" i="37"/>
  <c r="AB186" i="37"/>
  <c r="I186" i="37"/>
  <c r="T186" i="37"/>
  <c r="V186" i="37"/>
  <c r="Z186" i="37"/>
  <c r="AC186" i="37"/>
  <c r="R186" i="37"/>
  <c r="G186" i="37"/>
  <c r="AD186" i="37"/>
  <c r="AF186" i="37"/>
  <c r="C186" i="37"/>
  <c r="B186" i="37"/>
  <c r="H185" i="37"/>
  <c r="S185" i="37"/>
  <c r="U185" i="37"/>
  <c r="Y185" i="37"/>
  <c r="AA185" i="37"/>
  <c r="AE185" i="37"/>
  <c r="AB185" i="37"/>
  <c r="I185" i="37"/>
  <c r="T185" i="37"/>
  <c r="V185" i="37"/>
  <c r="Z185" i="37"/>
  <c r="AC185" i="37"/>
  <c r="R185" i="37"/>
  <c r="G185" i="37"/>
  <c r="AD185" i="37"/>
  <c r="AF185" i="37"/>
  <c r="C185" i="37"/>
  <c r="B185" i="37"/>
  <c r="H184" i="37"/>
  <c r="S184" i="37"/>
  <c r="U184" i="37"/>
  <c r="Y184" i="37"/>
  <c r="AA184" i="37"/>
  <c r="AE184" i="37"/>
  <c r="AB184" i="37"/>
  <c r="I184" i="37"/>
  <c r="T184" i="37"/>
  <c r="V184" i="37"/>
  <c r="Z184" i="37"/>
  <c r="AC184" i="37"/>
  <c r="R184" i="37"/>
  <c r="G184" i="37"/>
  <c r="AD184" i="37"/>
  <c r="AF184" i="37"/>
  <c r="C184" i="37"/>
  <c r="B184" i="37"/>
  <c r="H183" i="37"/>
  <c r="S183" i="37"/>
  <c r="U183" i="37"/>
  <c r="Y183" i="37"/>
  <c r="AA183" i="37"/>
  <c r="AE183" i="37"/>
  <c r="AB183" i="37"/>
  <c r="I183" i="37"/>
  <c r="T183" i="37"/>
  <c r="V183" i="37"/>
  <c r="Z183" i="37"/>
  <c r="AC183" i="37"/>
  <c r="R183" i="37"/>
  <c r="G183" i="37"/>
  <c r="AD183" i="37"/>
  <c r="AF183" i="37"/>
  <c r="C183" i="37"/>
  <c r="B183" i="37"/>
  <c r="H182" i="37"/>
  <c r="S182" i="37"/>
  <c r="U182" i="37"/>
  <c r="Y182" i="37"/>
  <c r="AA182" i="37"/>
  <c r="AE182" i="37"/>
  <c r="AB182" i="37"/>
  <c r="I182" i="37"/>
  <c r="T182" i="37"/>
  <c r="V182" i="37"/>
  <c r="Z182" i="37"/>
  <c r="AC182" i="37"/>
  <c r="R182" i="37"/>
  <c r="G182" i="37"/>
  <c r="AD182" i="37"/>
  <c r="AF182" i="37"/>
  <c r="C182" i="37"/>
  <c r="B182" i="37"/>
  <c r="H181" i="37"/>
  <c r="S181" i="37"/>
  <c r="U181" i="37"/>
  <c r="Y181" i="37"/>
  <c r="AA181" i="37"/>
  <c r="AE181" i="37"/>
  <c r="AB181" i="37"/>
  <c r="I181" i="37"/>
  <c r="T181" i="37"/>
  <c r="V181" i="37"/>
  <c r="Z181" i="37"/>
  <c r="AC181" i="37"/>
  <c r="R181" i="37"/>
  <c r="G181" i="37"/>
  <c r="AD181" i="37"/>
  <c r="AF181" i="37"/>
  <c r="C181" i="37"/>
  <c r="B181" i="37"/>
  <c r="H180" i="37"/>
  <c r="S180" i="37"/>
  <c r="U180" i="37"/>
  <c r="Y180" i="37"/>
  <c r="AA180" i="37"/>
  <c r="AE180" i="37"/>
  <c r="AB180" i="37"/>
  <c r="I180" i="37"/>
  <c r="T180" i="37"/>
  <c r="V180" i="37"/>
  <c r="Z180" i="37"/>
  <c r="AC180" i="37"/>
  <c r="R180" i="37"/>
  <c r="G180" i="37"/>
  <c r="AD180" i="37"/>
  <c r="AF180" i="37"/>
  <c r="C180" i="37"/>
  <c r="B180" i="37"/>
  <c r="H179" i="37"/>
  <c r="S179" i="37"/>
  <c r="U179" i="37"/>
  <c r="Y179" i="37"/>
  <c r="AA179" i="37"/>
  <c r="AE179" i="37"/>
  <c r="AB179" i="37"/>
  <c r="I179" i="37"/>
  <c r="T179" i="37"/>
  <c r="V179" i="37"/>
  <c r="Z179" i="37"/>
  <c r="AC179" i="37"/>
  <c r="R179" i="37"/>
  <c r="G179" i="37"/>
  <c r="AD179" i="37"/>
  <c r="AF179" i="37"/>
  <c r="C179" i="37"/>
  <c r="B179" i="37"/>
  <c r="H178" i="37"/>
  <c r="S178" i="37"/>
  <c r="U178" i="37"/>
  <c r="Y178" i="37"/>
  <c r="AA178" i="37"/>
  <c r="AE178" i="37"/>
  <c r="AB178" i="37"/>
  <c r="I178" i="37"/>
  <c r="T178" i="37"/>
  <c r="V178" i="37"/>
  <c r="Z178" i="37"/>
  <c r="AC178" i="37"/>
  <c r="R178" i="37"/>
  <c r="G178" i="37"/>
  <c r="AD178" i="37"/>
  <c r="AF178" i="37"/>
  <c r="C178" i="37"/>
  <c r="B178" i="37"/>
  <c r="H177" i="37"/>
  <c r="S177" i="37"/>
  <c r="U177" i="37"/>
  <c r="Y177" i="37"/>
  <c r="AA177" i="37"/>
  <c r="AE177" i="37"/>
  <c r="AB177" i="37"/>
  <c r="I177" i="37"/>
  <c r="T177" i="37"/>
  <c r="V177" i="37"/>
  <c r="Z177" i="37"/>
  <c r="AC177" i="37"/>
  <c r="R177" i="37"/>
  <c r="G177" i="37"/>
  <c r="AD177" i="37"/>
  <c r="AF177" i="37"/>
  <c r="C177" i="37"/>
  <c r="B177" i="37"/>
  <c r="H176" i="37"/>
  <c r="S176" i="37"/>
  <c r="U176" i="37"/>
  <c r="Y176" i="37"/>
  <c r="AA176" i="37"/>
  <c r="AE176" i="37"/>
  <c r="AB176" i="37"/>
  <c r="I176" i="37"/>
  <c r="T176" i="37"/>
  <c r="V176" i="37"/>
  <c r="Z176" i="37"/>
  <c r="AC176" i="37"/>
  <c r="R176" i="37"/>
  <c r="G176" i="37"/>
  <c r="AD176" i="37"/>
  <c r="AF176" i="37"/>
  <c r="C176" i="37"/>
  <c r="B176" i="37"/>
  <c r="H175" i="37"/>
  <c r="S175" i="37"/>
  <c r="U175" i="37"/>
  <c r="Y175" i="37"/>
  <c r="AA175" i="37"/>
  <c r="AE175" i="37"/>
  <c r="AB175" i="37"/>
  <c r="I175" i="37"/>
  <c r="T175" i="37"/>
  <c r="V175" i="37"/>
  <c r="Z175" i="37"/>
  <c r="AC175" i="37"/>
  <c r="R175" i="37"/>
  <c r="G175" i="37"/>
  <c r="AD175" i="37"/>
  <c r="AF175" i="37"/>
  <c r="C175" i="37"/>
  <c r="B175" i="37"/>
  <c r="H174" i="37"/>
  <c r="S174" i="37"/>
  <c r="U174" i="37"/>
  <c r="Y174" i="37"/>
  <c r="AA174" i="37"/>
  <c r="AE174" i="37"/>
  <c r="AB174" i="37"/>
  <c r="I174" i="37"/>
  <c r="T174" i="37"/>
  <c r="V174" i="37"/>
  <c r="Z174" i="37"/>
  <c r="AC174" i="37"/>
  <c r="R174" i="37"/>
  <c r="G174" i="37"/>
  <c r="AD174" i="37"/>
  <c r="AF174" i="37"/>
  <c r="C174" i="37"/>
  <c r="B174" i="37"/>
  <c r="H173" i="37"/>
  <c r="S173" i="37"/>
  <c r="U173" i="37"/>
  <c r="Y173" i="37"/>
  <c r="AA173" i="37"/>
  <c r="AE173" i="37"/>
  <c r="AB173" i="37"/>
  <c r="I173" i="37"/>
  <c r="T173" i="37"/>
  <c r="V173" i="37"/>
  <c r="Z173" i="37"/>
  <c r="AC173" i="37"/>
  <c r="R173" i="37"/>
  <c r="G173" i="37"/>
  <c r="AD173" i="37"/>
  <c r="AF173" i="37"/>
  <c r="C173" i="37"/>
  <c r="B173" i="37"/>
  <c r="H172" i="37"/>
  <c r="S172" i="37"/>
  <c r="U172" i="37"/>
  <c r="Y172" i="37"/>
  <c r="AA172" i="37"/>
  <c r="AE172" i="37"/>
  <c r="AB172" i="37"/>
  <c r="I172" i="37"/>
  <c r="T172" i="37"/>
  <c r="V172" i="37"/>
  <c r="Z172" i="37"/>
  <c r="AC172" i="37"/>
  <c r="R172" i="37"/>
  <c r="G172" i="37"/>
  <c r="AD172" i="37"/>
  <c r="AF172" i="37"/>
  <c r="C172" i="37"/>
  <c r="B172" i="37"/>
  <c r="H171" i="37"/>
  <c r="S171" i="37"/>
  <c r="U171" i="37"/>
  <c r="Y171" i="37"/>
  <c r="AA171" i="37"/>
  <c r="AE171" i="37"/>
  <c r="AB171" i="37"/>
  <c r="I171" i="37"/>
  <c r="T171" i="37"/>
  <c r="V171" i="37"/>
  <c r="Z171" i="37"/>
  <c r="AC171" i="37"/>
  <c r="R171" i="37"/>
  <c r="G171" i="37"/>
  <c r="AD171" i="37"/>
  <c r="AF171" i="37"/>
  <c r="C171" i="37"/>
  <c r="B171" i="37"/>
  <c r="H170" i="37"/>
  <c r="S170" i="37"/>
  <c r="U170" i="37"/>
  <c r="Y170" i="37"/>
  <c r="AA170" i="37"/>
  <c r="AE170" i="37"/>
  <c r="AB170" i="37"/>
  <c r="I170" i="37"/>
  <c r="T170" i="37"/>
  <c r="V170" i="37"/>
  <c r="Z170" i="37"/>
  <c r="AC170" i="37"/>
  <c r="R170" i="37"/>
  <c r="G170" i="37"/>
  <c r="AD170" i="37"/>
  <c r="AF170" i="37"/>
  <c r="C170" i="37"/>
  <c r="B170" i="37"/>
  <c r="H169" i="37"/>
  <c r="S169" i="37"/>
  <c r="U169" i="37"/>
  <c r="Y169" i="37"/>
  <c r="AA169" i="37"/>
  <c r="AE169" i="37"/>
  <c r="AB169" i="37"/>
  <c r="I169" i="37"/>
  <c r="T169" i="37"/>
  <c r="V169" i="37"/>
  <c r="Z169" i="37"/>
  <c r="AC169" i="37"/>
  <c r="R169" i="37"/>
  <c r="G169" i="37"/>
  <c r="AD169" i="37"/>
  <c r="AF169" i="37"/>
  <c r="C169" i="37"/>
  <c r="B169" i="37"/>
  <c r="H168" i="37"/>
  <c r="S168" i="37"/>
  <c r="U168" i="37"/>
  <c r="Y168" i="37"/>
  <c r="AA168" i="37"/>
  <c r="AE168" i="37"/>
  <c r="AB168" i="37"/>
  <c r="I168" i="37"/>
  <c r="T168" i="37"/>
  <c r="V168" i="37"/>
  <c r="Z168" i="37"/>
  <c r="AC168" i="37"/>
  <c r="R168" i="37"/>
  <c r="G168" i="37"/>
  <c r="AD168" i="37"/>
  <c r="AF168" i="37"/>
  <c r="C168" i="37"/>
  <c r="B168" i="37"/>
  <c r="H167" i="37"/>
  <c r="S167" i="37"/>
  <c r="U167" i="37"/>
  <c r="Y167" i="37"/>
  <c r="AA167" i="37"/>
  <c r="AE167" i="37"/>
  <c r="AB167" i="37"/>
  <c r="I167" i="37"/>
  <c r="T167" i="37"/>
  <c r="V167" i="37"/>
  <c r="Z167" i="37"/>
  <c r="AC167" i="37"/>
  <c r="R167" i="37"/>
  <c r="G167" i="37"/>
  <c r="AD167" i="37"/>
  <c r="AF167" i="37"/>
  <c r="C167" i="37"/>
  <c r="B167" i="37"/>
  <c r="H166" i="37"/>
  <c r="S166" i="37"/>
  <c r="U166" i="37"/>
  <c r="Y166" i="37"/>
  <c r="AA166" i="37"/>
  <c r="AE166" i="37"/>
  <c r="AB166" i="37"/>
  <c r="I166" i="37"/>
  <c r="T166" i="37"/>
  <c r="V166" i="37"/>
  <c r="Z166" i="37"/>
  <c r="AC166" i="37"/>
  <c r="R166" i="37"/>
  <c r="G166" i="37"/>
  <c r="AD166" i="37"/>
  <c r="AF166" i="37"/>
  <c r="C166" i="37"/>
  <c r="B166" i="37"/>
  <c r="H165" i="37"/>
  <c r="S165" i="37"/>
  <c r="U165" i="37"/>
  <c r="Y165" i="37"/>
  <c r="AA165" i="37"/>
  <c r="AE165" i="37"/>
  <c r="AB165" i="37"/>
  <c r="I165" i="37"/>
  <c r="T165" i="37"/>
  <c r="V165" i="37"/>
  <c r="Z165" i="37"/>
  <c r="AC165" i="37"/>
  <c r="R165" i="37"/>
  <c r="G165" i="37"/>
  <c r="AD165" i="37"/>
  <c r="AF165" i="37"/>
  <c r="C165" i="37"/>
  <c r="B165" i="37"/>
  <c r="H164" i="37"/>
  <c r="S164" i="37"/>
  <c r="U164" i="37"/>
  <c r="Y164" i="37"/>
  <c r="AA164" i="37"/>
  <c r="AE164" i="37"/>
  <c r="AB164" i="37"/>
  <c r="I164" i="37"/>
  <c r="T164" i="37"/>
  <c r="V164" i="37"/>
  <c r="Z164" i="37"/>
  <c r="AC164" i="37"/>
  <c r="R164" i="37"/>
  <c r="G164" i="37"/>
  <c r="AD164" i="37"/>
  <c r="AF164" i="37"/>
  <c r="C164" i="37"/>
  <c r="B164" i="37"/>
  <c r="H163" i="37"/>
  <c r="S163" i="37"/>
  <c r="U163" i="37"/>
  <c r="Y163" i="37"/>
  <c r="AA163" i="37"/>
  <c r="AE163" i="37"/>
  <c r="AB163" i="37"/>
  <c r="I163" i="37"/>
  <c r="T163" i="37"/>
  <c r="V163" i="37"/>
  <c r="Z163" i="37"/>
  <c r="AC163" i="37"/>
  <c r="R163" i="37"/>
  <c r="G163" i="37"/>
  <c r="AD163" i="37"/>
  <c r="AF163" i="37"/>
  <c r="C163" i="37"/>
  <c r="B163" i="37"/>
  <c r="H162" i="37"/>
  <c r="S162" i="37"/>
  <c r="U162" i="37"/>
  <c r="Y162" i="37"/>
  <c r="AA162" i="37"/>
  <c r="AE162" i="37"/>
  <c r="AB162" i="37"/>
  <c r="I162" i="37"/>
  <c r="T162" i="37"/>
  <c r="V162" i="37"/>
  <c r="Z162" i="37"/>
  <c r="AC162" i="37"/>
  <c r="R162" i="37"/>
  <c r="G162" i="37"/>
  <c r="AD162" i="37"/>
  <c r="AF162" i="37"/>
  <c r="C162" i="37"/>
  <c r="B162" i="37"/>
  <c r="H161" i="37"/>
  <c r="S161" i="37"/>
  <c r="U161" i="37"/>
  <c r="Y161" i="37"/>
  <c r="AA161" i="37"/>
  <c r="AE161" i="37"/>
  <c r="AB161" i="37"/>
  <c r="I161" i="37"/>
  <c r="T161" i="37"/>
  <c r="V161" i="37"/>
  <c r="Z161" i="37"/>
  <c r="AC161" i="37"/>
  <c r="R161" i="37"/>
  <c r="G161" i="37"/>
  <c r="AD161" i="37"/>
  <c r="AF161" i="37"/>
  <c r="C161" i="37"/>
  <c r="B161" i="37"/>
  <c r="H160" i="37"/>
  <c r="S160" i="37"/>
  <c r="U160" i="37"/>
  <c r="Y160" i="37"/>
  <c r="AA160" i="37"/>
  <c r="AE160" i="37"/>
  <c r="AB160" i="37"/>
  <c r="I160" i="37"/>
  <c r="T160" i="37"/>
  <c r="V160" i="37"/>
  <c r="Z160" i="37"/>
  <c r="AC160" i="37"/>
  <c r="R160" i="37"/>
  <c r="G160" i="37"/>
  <c r="AD160" i="37"/>
  <c r="AF160" i="37"/>
  <c r="C160" i="37"/>
  <c r="B160" i="37"/>
  <c r="H159" i="37"/>
  <c r="S159" i="37"/>
  <c r="U159" i="37"/>
  <c r="Y159" i="37"/>
  <c r="AA159" i="37"/>
  <c r="AE159" i="37"/>
  <c r="AB159" i="37"/>
  <c r="I159" i="37"/>
  <c r="T159" i="37"/>
  <c r="V159" i="37"/>
  <c r="Z159" i="37"/>
  <c r="AC159" i="37"/>
  <c r="R159" i="37"/>
  <c r="G159" i="37"/>
  <c r="AD159" i="37"/>
  <c r="AF159" i="37"/>
  <c r="C159" i="37"/>
  <c r="B159" i="37"/>
  <c r="H158" i="37"/>
  <c r="S158" i="37"/>
  <c r="U158" i="37"/>
  <c r="Y158" i="37"/>
  <c r="AA158" i="37"/>
  <c r="AE158" i="37"/>
  <c r="AB158" i="37"/>
  <c r="I158" i="37"/>
  <c r="T158" i="37"/>
  <c r="V158" i="37"/>
  <c r="Z158" i="37"/>
  <c r="AC158" i="37"/>
  <c r="R158" i="37"/>
  <c r="G158" i="37"/>
  <c r="AD158" i="37"/>
  <c r="AF158" i="37"/>
  <c r="C158" i="37"/>
  <c r="B158" i="37"/>
  <c r="H157" i="37"/>
  <c r="S157" i="37"/>
  <c r="U157" i="37"/>
  <c r="Y157" i="37"/>
  <c r="AA157" i="37"/>
  <c r="AE157" i="37"/>
  <c r="AB157" i="37"/>
  <c r="I157" i="37"/>
  <c r="T157" i="37"/>
  <c r="V157" i="37"/>
  <c r="Z157" i="37"/>
  <c r="AC157" i="37"/>
  <c r="R157" i="37"/>
  <c r="G157" i="37"/>
  <c r="AD157" i="37"/>
  <c r="AF157" i="37"/>
  <c r="C157" i="37"/>
  <c r="B157" i="37"/>
  <c r="H156" i="37"/>
  <c r="S156" i="37"/>
  <c r="U156" i="37"/>
  <c r="Y156" i="37"/>
  <c r="AA156" i="37"/>
  <c r="AE156" i="37"/>
  <c r="AB156" i="37"/>
  <c r="I156" i="37"/>
  <c r="T156" i="37"/>
  <c r="V156" i="37"/>
  <c r="Z156" i="37"/>
  <c r="AC156" i="37"/>
  <c r="R156" i="37"/>
  <c r="G156" i="37"/>
  <c r="AD156" i="37"/>
  <c r="AF156" i="37"/>
  <c r="C156" i="37"/>
  <c r="B156" i="37"/>
  <c r="H155" i="37"/>
  <c r="S155" i="37"/>
  <c r="U155" i="37"/>
  <c r="Y155" i="37"/>
  <c r="AA155" i="37"/>
  <c r="AE155" i="37"/>
  <c r="AB155" i="37"/>
  <c r="I155" i="37"/>
  <c r="T155" i="37"/>
  <c r="V155" i="37"/>
  <c r="Z155" i="37"/>
  <c r="AC155" i="37"/>
  <c r="R155" i="37"/>
  <c r="G155" i="37"/>
  <c r="AD155" i="37"/>
  <c r="AF155" i="37"/>
  <c r="C155" i="37"/>
  <c r="B155" i="37"/>
  <c r="H154" i="37"/>
  <c r="S154" i="37"/>
  <c r="U154" i="37"/>
  <c r="Y154" i="37"/>
  <c r="AA154" i="37"/>
  <c r="AE154" i="37"/>
  <c r="AB154" i="37"/>
  <c r="I154" i="37"/>
  <c r="T154" i="37"/>
  <c r="V154" i="37"/>
  <c r="Z154" i="37"/>
  <c r="AC154" i="37"/>
  <c r="R154" i="37"/>
  <c r="G154" i="37"/>
  <c r="AD154" i="37"/>
  <c r="AF154" i="37"/>
  <c r="C154" i="37"/>
  <c r="B154" i="37"/>
  <c r="H153" i="37"/>
  <c r="S153" i="37"/>
  <c r="U153" i="37"/>
  <c r="Y153" i="37"/>
  <c r="AA153" i="37"/>
  <c r="AE153" i="37"/>
  <c r="AB153" i="37"/>
  <c r="I153" i="37"/>
  <c r="T153" i="37"/>
  <c r="V153" i="37"/>
  <c r="Z153" i="37"/>
  <c r="AC153" i="37"/>
  <c r="R153" i="37"/>
  <c r="G153" i="37"/>
  <c r="AD153" i="37"/>
  <c r="AF153" i="37"/>
  <c r="C153" i="37"/>
  <c r="B153" i="37"/>
  <c r="H152" i="37"/>
  <c r="S152" i="37"/>
  <c r="U152" i="37"/>
  <c r="Y152" i="37"/>
  <c r="AA152" i="37"/>
  <c r="AE152" i="37"/>
  <c r="AB152" i="37"/>
  <c r="I152" i="37"/>
  <c r="T152" i="37"/>
  <c r="V152" i="37"/>
  <c r="Z152" i="37"/>
  <c r="AC152" i="37"/>
  <c r="R152" i="37"/>
  <c r="G152" i="37"/>
  <c r="AD152" i="37"/>
  <c r="AF152" i="37"/>
  <c r="C152" i="37"/>
  <c r="B152" i="37"/>
  <c r="H151" i="37"/>
  <c r="S151" i="37"/>
  <c r="U151" i="37"/>
  <c r="Y151" i="37"/>
  <c r="AA151" i="37"/>
  <c r="AE151" i="37"/>
  <c r="AB151" i="37"/>
  <c r="I151" i="37"/>
  <c r="T151" i="37"/>
  <c r="V151" i="37"/>
  <c r="Z151" i="37"/>
  <c r="AC151" i="37"/>
  <c r="R151" i="37"/>
  <c r="G151" i="37"/>
  <c r="AD151" i="37"/>
  <c r="AF151" i="37"/>
  <c r="C151" i="37"/>
  <c r="B151" i="37"/>
  <c r="H150" i="37"/>
  <c r="S150" i="37"/>
  <c r="U150" i="37"/>
  <c r="Y150" i="37"/>
  <c r="AA150" i="37"/>
  <c r="AE150" i="37"/>
  <c r="AB150" i="37"/>
  <c r="I150" i="37"/>
  <c r="T150" i="37"/>
  <c r="V150" i="37"/>
  <c r="Z150" i="37"/>
  <c r="AC150" i="37"/>
  <c r="R150" i="37"/>
  <c r="G150" i="37"/>
  <c r="AD150" i="37"/>
  <c r="AF150" i="37"/>
  <c r="C150" i="37"/>
  <c r="B150" i="37"/>
  <c r="H149" i="37"/>
  <c r="S149" i="37"/>
  <c r="U149" i="37"/>
  <c r="Y149" i="37"/>
  <c r="AA149" i="37"/>
  <c r="AE149" i="37"/>
  <c r="AB149" i="37"/>
  <c r="I149" i="37"/>
  <c r="T149" i="37"/>
  <c r="V149" i="37"/>
  <c r="Z149" i="37"/>
  <c r="AC149" i="37"/>
  <c r="R149" i="37"/>
  <c r="G149" i="37"/>
  <c r="AD149" i="37"/>
  <c r="AF149" i="37"/>
  <c r="C149" i="37"/>
  <c r="B149" i="37"/>
  <c r="H148" i="37"/>
  <c r="S148" i="37"/>
  <c r="U148" i="37"/>
  <c r="Y148" i="37"/>
  <c r="AA148" i="37"/>
  <c r="AE148" i="37"/>
  <c r="AB148" i="37"/>
  <c r="I148" i="37"/>
  <c r="T148" i="37"/>
  <c r="V148" i="37"/>
  <c r="Z148" i="37"/>
  <c r="AC148" i="37"/>
  <c r="R148" i="37"/>
  <c r="G148" i="37"/>
  <c r="AD148" i="37"/>
  <c r="AF148" i="37"/>
  <c r="C148" i="37"/>
  <c r="B148" i="37"/>
  <c r="H147" i="37"/>
  <c r="S147" i="37"/>
  <c r="U147" i="37"/>
  <c r="Y147" i="37"/>
  <c r="AA147" i="37"/>
  <c r="AE147" i="37"/>
  <c r="AB147" i="37"/>
  <c r="I147" i="37"/>
  <c r="T147" i="37"/>
  <c r="V147" i="37"/>
  <c r="Z147" i="37"/>
  <c r="AC147" i="37"/>
  <c r="R147" i="37"/>
  <c r="G147" i="37"/>
  <c r="AD147" i="37"/>
  <c r="AF147" i="37"/>
  <c r="C147" i="37"/>
  <c r="B147" i="37"/>
  <c r="H146" i="37"/>
  <c r="S146" i="37"/>
  <c r="U146" i="37"/>
  <c r="Y146" i="37"/>
  <c r="AA146" i="37"/>
  <c r="AE146" i="37"/>
  <c r="AB146" i="37"/>
  <c r="I146" i="37"/>
  <c r="T146" i="37"/>
  <c r="V146" i="37"/>
  <c r="Z146" i="37"/>
  <c r="AC146" i="37"/>
  <c r="R146" i="37"/>
  <c r="G146" i="37"/>
  <c r="AD146" i="37"/>
  <c r="AF146" i="37"/>
  <c r="C146" i="37"/>
  <c r="B146" i="37"/>
  <c r="H145" i="37"/>
  <c r="S145" i="37"/>
  <c r="U145" i="37"/>
  <c r="Y145" i="37"/>
  <c r="AA145" i="37"/>
  <c r="AE145" i="37"/>
  <c r="AB145" i="37"/>
  <c r="I145" i="37"/>
  <c r="T145" i="37"/>
  <c r="V145" i="37"/>
  <c r="Z145" i="37"/>
  <c r="AC145" i="37"/>
  <c r="R145" i="37"/>
  <c r="G145" i="37"/>
  <c r="AD145" i="37"/>
  <c r="AF145" i="37"/>
  <c r="C145" i="37"/>
  <c r="B145" i="37"/>
  <c r="H144" i="37"/>
  <c r="S144" i="37"/>
  <c r="U144" i="37"/>
  <c r="Y144" i="37"/>
  <c r="AA144" i="37"/>
  <c r="AE144" i="37"/>
  <c r="AB144" i="37"/>
  <c r="I144" i="37"/>
  <c r="T144" i="37"/>
  <c r="V144" i="37"/>
  <c r="Z144" i="37"/>
  <c r="AC144" i="37"/>
  <c r="R144" i="37"/>
  <c r="G144" i="37"/>
  <c r="AD144" i="37"/>
  <c r="AF144" i="37"/>
  <c r="C144" i="37"/>
  <c r="B144" i="37"/>
  <c r="H143" i="37"/>
  <c r="S143" i="37"/>
  <c r="U143" i="37"/>
  <c r="Y143" i="37"/>
  <c r="AA143" i="37"/>
  <c r="AE143" i="37"/>
  <c r="AB143" i="37"/>
  <c r="I143" i="37"/>
  <c r="T143" i="37"/>
  <c r="V143" i="37"/>
  <c r="Z143" i="37"/>
  <c r="AC143" i="37"/>
  <c r="R143" i="37"/>
  <c r="G143" i="37"/>
  <c r="AD143" i="37"/>
  <c r="AF143" i="37"/>
  <c r="C143" i="37"/>
  <c r="B143" i="37"/>
  <c r="H142" i="37"/>
  <c r="S142" i="37"/>
  <c r="U142" i="37"/>
  <c r="Y142" i="37"/>
  <c r="AA142" i="37"/>
  <c r="AE142" i="37"/>
  <c r="AB142" i="37"/>
  <c r="I142" i="37"/>
  <c r="T142" i="37"/>
  <c r="V142" i="37"/>
  <c r="Z142" i="37"/>
  <c r="AC142" i="37"/>
  <c r="R142" i="37"/>
  <c r="G142" i="37"/>
  <c r="AD142" i="37"/>
  <c r="AF142" i="37"/>
  <c r="C142" i="37"/>
  <c r="B142" i="37"/>
  <c r="H141" i="37"/>
  <c r="S141" i="37"/>
  <c r="U141" i="37"/>
  <c r="Y141" i="37"/>
  <c r="AA141" i="37"/>
  <c r="AE141" i="37"/>
  <c r="AB141" i="37"/>
  <c r="I141" i="37"/>
  <c r="T141" i="37"/>
  <c r="V141" i="37"/>
  <c r="Z141" i="37"/>
  <c r="AC141" i="37"/>
  <c r="R141" i="37"/>
  <c r="G141" i="37"/>
  <c r="AD141" i="37"/>
  <c r="AF141" i="37"/>
  <c r="C141" i="37"/>
  <c r="B141" i="37"/>
  <c r="H140" i="37"/>
  <c r="S140" i="37"/>
  <c r="U140" i="37"/>
  <c r="Y140" i="37"/>
  <c r="AA140" i="37"/>
  <c r="AE140" i="37"/>
  <c r="AB140" i="37"/>
  <c r="I140" i="37"/>
  <c r="T140" i="37"/>
  <c r="V140" i="37"/>
  <c r="Z140" i="37"/>
  <c r="AC140" i="37"/>
  <c r="R140" i="37"/>
  <c r="G140" i="37"/>
  <c r="AD140" i="37"/>
  <c r="AF140" i="37"/>
  <c r="C140" i="37"/>
  <c r="B140" i="37"/>
  <c r="H139" i="37"/>
  <c r="S139" i="37"/>
  <c r="U139" i="37"/>
  <c r="Y139" i="37"/>
  <c r="AA139" i="37"/>
  <c r="AE139" i="37"/>
  <c r="AB139" i="37"/>
  <c r="I139" i="37"/>
  <c r="T139" i="37"/>
  <c r="V139" i="37"/>
  <c r="Z139" i="37"/>
  <c r="AC139" i="37"/>
  <c r="R139" i="37"/>
  <c r="G139" i="37"/>
  <c r="AD139" i="37"/>
  <c r="AF139" i="37"/>
  <c r="C139" i="37"/>
  <c r="B139" i="37"/>
  <c r="H138" i="37"/>
  <c r="S138" i="37"/>
  <c r="U138" i="37"/>
  <c r="Y138" i="37"/>
  <c r="AA138" i="37"/>
  <c r="AE138" i="37"/>
  <c r="AB138" i="37"/>
  <c r="I138" i="37"/>
  <c r="T138" i="37"/>
  <c r="V138" i="37"/>
  <c r="Z138" i="37"/>
  <c r="AC138" i="37"/>
  <c r="R138" i="37"/>
  <c r="G138" i="37"/>
  <c r="AD138" i="37"/>
  <c r="AF138" i="37"/>
  <c r="C138" i="37"/>
  <c r="B138" i="37"/>
  <c r="H137" i="37"/>
  <c r="S137" i="37"/>
  <c r="U137" i="37"/>
  <c r="Y137" i="37"/>
  <c r="AA137" i="37"/>
  <c r="AE137" i="37"/>
  <c r="AB137" i="37"/>
  <c r="I137" i="37"/>
  <c r="T137" i="37"/>
  <c r="V137" i="37"/>
  <c r="Z137" i="37"/>
  <c r="AC137" i="37"/>
  <c r="R137" i="37"/>
  <c r="G137" i="37"/>
  <c r="AD137" i="37"/>
  <c r="AF137" i="37"/>
  <c r="C137" i="37"/>
  <c r="B137" i="37"/>
  <c r="H136" i="37"/>
  <c r="S136" i="37"/>
  <c r="U136" i="37"/>
  <c r="Y136" i="37"/>
  <c r="AA136" i="37"/>
  <c r="AE136" i="37"/>
  <c r="AB136" i="37"/>
  <c r="I136" i="37"/>
  <c r="T136" i="37"/>
  <c r="V136" i="37"/>
  <c r="Z136" i="37"/>
  <c r="AC136" i="37"/>
  <c r="R136" i="37"/>
  <c r="G136" i="37"/>
  <c r="AD136" i="37"/>
  <c r="AF136" i="37"/>
  <c r="C136" i="37"/>
  <c r="B136" i="37"/>
  <c r="H135" i="37"/>
  <c r="S135" i="37"/>
  <c r="U135" i="37"/>
  <c r="Y135" i="37"/>
  <c r="AA135" i="37"/>
  <c r="AE135" i="37"/>
  <c r="AB135" i="37"/>
  <c r="I135" i="37"/>
  <c r="T135" i="37"/>
  <c r="V135" i="37"/>
  <c r="Z135" i="37"/>
  <c r="AC135" i="37"/>
  <c r="R135" i="37"/>
  <c r="G135" i="37"/>
  <c r="AD135" i="37"/>
  <c r="AF135" i="37"/>
  <c r="C135" i="37"/>
  <c r="B135" i="37"/>
  <c r="H134" i="37"/>
  <c r="S134" i="37"/>
  <c r="U134" i="37"/>
  <c r="Y134" i="37"/>
  <c r="AA134" i="37"/>
  <c r="AE134" i="37"/>
  <c r="AB134" i="37"/>
  <c r="I134" i="37"/>
  <c r="T134" i="37"/>
  <c r="V134" i="37"/>
  <c r="Z134" i="37"/>
  <c r="AC134" i="37"/>
  <c r="R134" i="37"/>
  <c r="G134" i="37"/>
  <c r="AD134" i="37"/>
  <c r="AF134" i="37"/>
  <c r="C134" i="37"/>
  <c r="B134" i="37"/>
  <c r="H133" i="37"/>
  <c r="S133" i="37"/>
  <c r="U133" i="37"/>
  <c r="Y133" i="37"/>
  <c r="AA133" i="37"/>
  <c r="AE133" i="37"/>
  <c r="AB133" i="37"/>
  <c r="I133" i="37"/>
  <c r="T133" i="37"/>
  <c r="V133" i="37"/>
  <c r="Z133" i="37"/>
  <c r="AC133" i="37"/>
  <c r="R133" i="37"/>
  <c r="G133" i="37"/>
  <c r="AD133" i="37"/>
  <c r="AF133" i="37"/>
  <c r="C133" i="37"/>
  <c r="B133" i="37"/>
  <c r="S132" i="37"/>
  <c r="U132" i="37"/>
  <c r="Y132" i="37"/>
  <c r="AA132" i="37"/>
  <c r="AE132" i="37"/>
  <c r="AB132" i="37"/>
  <c r="I132" i="37"/>
  <c r="T132" i="37"/>
  <c r="V132" i="37"/>
  <c r="Z132" i="37"/>
  <c r="AC132" i="37"/>
  <c r="R132" i="37"/>
  <c r="G132" i="37"/>
  <c r="AD132" i="37"/>
  <c r="AF132" i="37"/>
  <c r="C132" i="37"/>
  <c r="B132" i="37"/>
  <c r="H131" i="37"/>
  <c r="S131" i="37"/>
  <c r="U131" i="37"/>
  <c r="Y131" i="37"/>
  <c r="AA131" i="37"/>
  <c r="AE131" i="37"/>
  <c r="AB131" i="37"/>
  <c r="I131" i="37"/>
  <c r="T131" i="37"/>
  <c r="V131" i="37"/>
  <c r="Z131" i="37"/>
  <c r="AC131" i="37"/>
  <c r="R131" i="37"/>
  <c r="G131" i="37"/>
  <c r="AD131" i="37"/>
  <c r="AF131" i="37"/>
  <c r="C131" i="37"/>
  <c r="B131" i="37"/>
  <c r="H130" i="37"/>
  <c r="S130" i="37"/>
  <c r="U130" i="37"/>
  <c r="Y130" i="37"/>
  <c r="AA130" i="37"/>
  <c r="AE130" i="37"/>
  <c r="AB130" i="37"/>
  <c r="I130" i="37"/>
  <c r="T130" i="37"/>
  <c r="V130" i="37"/>
  <c r="Z130" i="37"/>
  <c r="AC130" i="37"/>
  <c r="R130" i="37"/>
  <c r="G130" i="37"/>
  <c r="AD130" i="37"/>
  <c r="AF130" i="37"/>
  <c r="C130" i="37"/>
  <c r="B130" i="37"/>
  <c r="H129" i="37"/>
  <c r="S129" i="37"/>
  <c r="U129" i="37"/>
  <c r="Y129" i="37"/>
  <c r="AA129" i="37"/>
  <c r="AE129" i="37"/>
  <c r="AB129" i="37"/>
  <c r="I129" i="37"/>
  <c r="T129" i="37"/>
  <c r="V129" i="37"/>
  <c r="Z129" i="37"/>
  <c r="AC129" i="37"/>
  <c r="R129" i="37"/>
  <c r="G129" i="37"/>
  <c r="AD129" i="37"/>
  <c r="AF129" i="37"/>
  <c r="C129" i="37"/>
  <c r="B129" i="37"/>
  <c r="H128" i="37"/>
  <c r="S128" i="37"/>
  <c r="U128" i="37"/>
  <c r="Y128" i="37"/>
  <c r="AA128" i="37"/>
  <c r="AE128" i="37"/>
  <c r="AB128" i="37"/>
  <c r="I128" i="37"/>
  <c r="T128" i="37"/>
  <c r="V128" i="37"/>
  <c r="Z128" i="37"/>
  <c r="AC128" i="37"/>
  <c r="R128" i="37"/>
  <c r="G128" i="37"/>
  <c r="AD128" i="37"/>
  <c r="AF128" i="37"/>
  <c r="C128" i="37"/>
  <c r="B128" i="37"/>
  <c r="H127" i="37"/>
  <c r="S127" i="37"/>
  <c r="U127" i="37"/>
  <c r="Y127" i="37"/>
  <c r="AA127" i="37"/>
  <c r="AE127" i="37"/>
  <c r="AB127" i="37"/>
  <c r="I127" i="37"/>
  <c r="T127" i="37"/>
  <c r="V127" i="37"/>
  <c r="Z127" i="37"/>
  <c r="AC127" i="37"/>
  <c r="R127" i="37"/>
  <c r="G127" i="37"/>
  <c r="AD127" i="37"/>
  <c r="AF127" i="37"/>
  <c r="C127" i="37"/>
  <c r="B127" i="37"/>
  <c r="H126" i="37"/>
  <c r="S126" i="37"/>
  <c r="U126" i="37"/>
  <c r="Y126" i="37"/>
  <c r="AA126" i="37"/>
  <c r="AE126" i="37"/>
  <c r="AB126" i="37"/>
  <c r="I126" i="37"/>
  <c r="T126" i="37"/>
  <c r="V126" i="37"/>
  <c r="Z126" i="37"/>
  <c r="AC126" i="37"/>
  <c r="R126" i="37"/>
  <c r="G126" i="37"/>
  <c r="AD126" i="37"/>
  <c r="AF126" i="37"/>
  <c r="C126" i="37"/>
  <c r="B126" i="37"/>
  <c r="H125" i="37"/>
  <c r="S125" i="37"/>
  <c r="U125" i="37"/>
  <c r="Y125" i="37"/>
  <c r="AA125" i="37"/>
  <c r="AE125" i="37"/>
  <c r="AB125" i="37"/>
  <c r="I125" i="37"/>
  <c r="T125" i="37"/>
  <c r="V125" i="37"/>
  <c r="Z125" i="37"/>
  <c r="AC125" i="37"/>
  <c r="R125" i="37"/>
  <c r="G125" i="37"/>
  <c r="AD125" i="37"/>
  <c r="AF125" i="37"/>
  <c r="C125" i="37"/>
  <c r="B125" i="37"/>
  <c r="H124" i="37"/>
  <c r="S124" i="37"/>
  <c r="U124" i="37"/>
  <c r="Y124" i="37"/>
  <c r="AA124" i="37"/>
  <c r="AE124" i="37"/>
  <c r="AB124" i="37"/>
  <c r="I124" i="37"/>
  <c r="T124" i="37"/>
  <c r="V124" i="37"/>
  <c r="Z124" i="37"/>
  <c r="AC124" i="37"/>
  <c r="R124" i="37"/>
  <c r="G124" i="37"/>
  <c r="AD124" i="37"/>
  <c r="AF124" i="37"/>
  <c r="C124" i="37"/>
  <c r="B124" i="37"/>
  <c r="H123" i="37"/>
  <c r="S123" i="37"/>
  <c r="U123" i="37"/>
  <c r="Y123" i="37"/>
  <c r="AA123" i="37"/>
  <c r="AE123" i="37"/>
  <c r="AB123" i="37"/>
  <c r="I123" i="37"/>
  <c r="T123" i="37"/>
  <c r="V123" i="37"/>
  <c r="Z123" i="37"/>
  <c r="AC123" i="37"/>
  <c r="R123" i="37"/>
  <c r="G123" i="37"/>
  <c r="AD123" i="37"/>
  <c r="AF123" i="37"/>
  <c r="C123" i="37"/>
  <c r="B123" i="37"/>
  <c r="H122" i="37"/>
  <c r="S122" i="37"/>
  <c r="U122" i="37"/>
  <c r="Y122" i="37"/>
  <c r="AA122" i="37"/>
  <c r="AE122" i="37"/>
  <c r="AB122" i="37"/>
  <c r="I122" i="37"/>
  <c r="T122" i="37"/>
  <c r="V122" i="37"/>
  <c r="Z122" i="37"/>
  <c r="AC122" i="37"/>
  <c r="R122" i="37"/>
  <c r="G122" i="37"/>
  <c r="AD122" i="37"/>
  <c r="AF122" i="37"/>
  <c r="C122" i="37"/>
  <c r="B122" i="37"/>
  <c r="H121" i="37"/>
  <c r="S121" i="37"/>
  <c r="U121" i="37"/>
  <c r="Y121" i="37"/>
  <c r="AA121" i="37"/>
  <c r="AE121" i="37"/>
  <c r="AB121" i="37"/>
  <c r="I121" i="37"/>
  <c r="T121" i="37"/>
  <c r="V121" i="37"/>
  <c r="Z121" i="37"/>
  <c r="AC121" i="37"/>
  <c r="R121" i="37"/>
  <c r="G121" i="37"/>
  <c r="AD121" i="37"/>
  <c r="AF121" i="37"/>
  <c r="C121" i="37"/>
  <c r="B121" i="37"/>
  <c r="H120" i="37"/>
  <c r="S120" i="37"/>
  <c r="U120" i="37"/>
  <c r="Y120" i="37"/>
  <c r="AA120" i="37"/>
  <c r="AE120" i="37"/>
  <c r="AB120" i="37"/>
  <c r="I120" i="37"/>
  <c r="T120" i="37"/>
  <c r="V120" i="37"/>
  <c r="Z120" i="37"/>
  <c r="AC120" i="37"/>
  <c r="R120" i="37"/>
  <c r="G120" i="37"/>
  <c r="AD120" i="37"/>
  <c r="AF120" i="37"/>
  <c r="C120" i="37"/>
  <c r="B120" i="37"/>
  <c r="H119" i="37"/>
  <c r="S119" i="37"/>
  <c r="U119" i="37"/>
  <c r="Y119" i="37"/>
  <c r="AA119" i="37"/>
  <c r="AE119" i="37"/>
  <c r="AB119" i="37"/>
  <c r="I119" i="37"/>
  <c r="T119" i="37"/>
  <c r="V119" i="37"/>
  <c r="Z119" i="37"/>
  <c r="AC119" i="37"/>
  <c r="R119" i="37"/>
  <c r="G119" i="37"/>
  <c r="AD119" i="37"/>
  <c r="AF119" i="37"/>
  <c r="C119" i="37"/>
  <c r="B119" i="37"/>
  <c r="H118" i="37"/>
  <c r="S118" i="37"/>
  <c r="U118" i="37"/>
  <c r="Y118" i="37"/>
  <c r="AA118" i="37"/>
  <c r="AE118" i="37"/>
  <c r="AB118" i="37"/>
  <c r="I118" i="37"/>
  <c r="T118" i="37"/>
  <c r="V118" i="37"/>
  <c r="Z118" i="37"/>
  <c r="AC118" i="37"/>
  <c r="R118" i="37"/>
  <c r="G118" i="37"/>
  <c r="AD118" i="37"/>
  <c r="AF118" i="37"/>
  <c r="C118" i="37"/>
  <c r="B118" i="37"/>
  <c r="H117" i="37"/>
  <c r="S117" i="37"/>
  <c r="U117" i="37"/>
  <c r="Y117" i="37"/>
  <c r="AA117" i="37"/>
  <c r="AE117" i="37"/>
  <c r="AB117" i="37"/>
  <c r="I117" i="37"/>
  <c r="T117" i="37"/>
  <c r="V117" i="37"/>
  <c r="Z117" i="37"/>
  <c r="AC117" i="37"/>
  <c r="R117" i="37"/>
  <c r="G117" i="37"/>
  <c r="AD117" i="37"/>
  <c r="AF117" i="37"/>
  <c r="C117" i="37"/>
  <c r="B117" i="37"/>
  <c r="H116" i="37"/>
  <c r="S116" i="37"/>
  <c r="U116" i="37"/>
  <c r="Y116" i="37"/>
  <c r="AA116" i="37"/>
  <c r="AE116" i="37"/>
  <c r="AB116" i="37"/>
  <c r="I116" i="37"/>
  <c r="T116" i="37"/>
  <c r="V116" i="37"/>
  <c r="Z116" i="37"/>
  <c r="AC116" i="37"/>
  <c r="R116" i="37"/>
  <c r="G116" i="37"/>
  <c r="AD116" i="37"/>
  <c r="AF116" i="37"/>
  <c r="C116" i="37"/>
  <c r="B116" i="37"/>
  <c r="H115" i="37"/>
  <c r="S115" i="37"/>
  <c r="U115" i="37"/>
  <c r="Y115" i="37"/>
  <c r="AA115" i="37"/>
  <c r="AE115" i="37"/>
  <c r="AB115" i="37"/>
  <c r="I115" i="37"/>
  <c r="T115" i="37"/>
  <c r="V115" i="37"/>
  <c r="Z115" i="37"/>
  <c r="AC115" i="37"/>
  <c r="R115" i="37"/>
  <c r="G115" i="37"/>
  <c r="AD115" i="37"/>
  <c r="AF115" i="37"/>
  <c r="C115" i="37"/>
  <c r="B115" i="37"/>
  <c r="H114" i="37"/>
  <c r="S114" i="37"/>
  <c r="U114" i="37"/>
  <c r="Y114" i="37"/>
  <c r="AA114" i="37"/>
  <c r="AE114" i="37"/>
  <c r="AB114" i="37"/>
  <c r="I114" i="37"/>
  <c r="T114" i="37"/>
  <c r="V114" i="37"/>
  <c r="Z114" i="37"/>
  <c r="AC114" i="37"/>
  <c r="R114" i="37"/>
  <c r="G114" i="37"/>
  <c r="AD114" i="37"/>
  <c r="AF114" i="37"/>
  <c r="C114" i="37"/>
  <c r="B114" i="37"/>
  <c r="H113" i="37"/>
  <c r="S113" i="37"/>
  <c r="U113" i="37"/>
  <c r="Y113" i="37"/>
  <c r="AA113" i="37"/>
  <c r="AE113" i="37"/>
  <c r="AB113" i="37"/>
  <c r="I113" i="37"/>
  <c r="T113" i="37"/>
  <c r="V113" i="37"/>
  <c r="Z113" i="37"/>
  <c r="AC113" i="37"/>
  <c r="R113" i="37"/>
  <c r="G113" i="37"/>
  <c r="AD113" i="37"/>
  <c r="AF113" i="37"/>
  <c r="C113" i="37"/>
  <c r="B113" i="37"/>
  <c r="H112" i="37"/>
  <c r="S112" i="37"/>
  <c r="U112" i="37"/>
  <c r="Y112" i="37"/>
  <c r="AA112" i="37"/>
  <c r="AE112" i="37"/>
  <c r="AB112" i="37"/>
  <c r="I112" i="37"/>
  <c r="T112" i="37"/>
  <c r="V112" i="37"/>
  <c r="Z112" i="37"/>
  <c r="AC112" i="37"/>
  <c r="R112" i="37"/>
  <c r="G112" i="37"/>
  <c r="AD112" i="37"/>
  <c r="AF112" i="37"/>
  <c r="C112" i="37"/>
  <c r="B112" i="37"/>
  <c r="H111" i="37"/>
  <c r="S111" i="37"/>
  <c r="U111" i="37"/>
  <c r="Y111" i="37"/>
  <c r="AA111" i="37"/>
  <c r="AE111" i="37"/>
  <c r="AB111" i="37"/>
  <c r="I111" i="37"/>
  <c r="T111" i="37"/>
  <c r="V111" i="37"/>
  <c r="Z111" i="37"/>
  <c r="AC111" i="37"/>
  <c r="R111" i="37"/>
  <c r="G111" i="37"/>
  <c r="AD111" i="37"/>
  <c r="AF111" i="37"/>
  <c r="C111" i="37"/>
  <c r="B111" i="37"/>
  <c r="H110" i="37"/>
  <c r="S110" i="37"/>
  <c r="U110" i="37"/>
  <c r="Y110" i="37"/>
  <c r="AA110" i="37"/>
  <c r="AE110" i="37"/>
  <c r="AB110" i="37"/>
  <c r="I110" i="37"/>
  <c r="T110" i="37"/>
  <c r="V110" i="37"/>
  <c r="Z110" i="37"/>
  <c r="AC110" i="37"/>
  <c r="R110" i="37"/>
  <c r="G110" i="37"/>
  <c r="AD110" i="37"/>
  <c r="AF110" i="37"/>
  <c r="C110" i="37"/>
  <c r="B110" i="37"/>
  <c r="H109" i="37"/>
  <c r="S109" i="37"/>
  <c r="U109" i="37"/>
  <c r="Y109" i="37"/>
  <c r="AA109" i="37"/>
  <c r="AE109" i="37"/>
  <c r="AB109" i="37"/>
  <c r="I109" i="37"/>
  <c r="T109" i="37"/>
  <c r="V109" i="37"/>
  <c r="Z109" i="37"/>
  <c r="AC109" i="37"/>
  <c r="R109" i="37"/>
  <c r="G109" i="37"/>
  <c r="AD109" i="37"/>
  <c r="AF109" i="37"/>
  <c r="C109" i="37"/>
  <c r="B109" i="37"/>
  <c r="H108" i="37"/>
  <c r="S108" i="37"/>
  <c r="U108" i="37"/>
  <c r="Y108" i="37"/>
  <c r="AA108" i="37"/>
  <c r="AE108" i="37"/>
  <c r="AB108" i="37"/>
  <c r="I108" i="37"/>
  <c r="T108" i="37"/>
  <c r="V108" i="37"/>
  <c r="Z108" i="37"/>
  <c r="AC108" i="37"/>
  <c r="R108" i="37"/>
  <c r="G108" i="37"/>
  <c r="AD108" i="37"/>
  <c r="AF108" i="37"/>
  <c r="C108" i="37"/>
  <c r="B108" i="37"/>
  <c r="H107" i="37"/>
  <c r="S107" i="37"/>
  <c r="U107" i="37"/>
  <c r="Y107" i="37"/>
  <c r="AA107" i="37"/>
  <c r="AE107" i="37"/>
  <c r="AB107" i="37"/>
  <c r="I107" i="37"/>
  <c r="T107" i="37"/>
  <c r="V107" i="37"/>
  <c r="Z107" i="37"/>
  <c r="AC107" i="37"/>
  <c r="R107" i="37"/>
  <c r="G107" i="37"/>
  <c r="AD107" i="37"/>
  <c r="AF107" i="37"/>
  <c r="C107" i="37"/>
  <c r="B107" i="37"/>
  <c r="H106" i="37"/>
  <c r="S106" i="37"/>
  <c r="U106" i="37"/>
  <c r="Y106" i="37"/>
  <c r="AA106" i="37"/>
  <c r="AE106" i="37"/>
  <c r="AB106" i="37"/>
  <c r="I106" i="37"/>
  <c r="T106" i="37"/>
  <c r="V106" i="37"/>
  <c r="Z106" i="37"/>
  <c r="AC106" i="37"/>
  <c r="R106" i="37"/>
  <c r="G106" i="37"/>
  <c r="AD106" i="37"/>
  <c r="AF106" i="37"/>
  <c r="C106" i="37"/>
  <c r="B106" i="37"/>
  <c r="H105" i="37"/>
  <c r="S105" i="37"/>
  <c r="U105" i="37"/>
  <c r="Y105" i="37"/>
  <c r="AA105" i="37"/>
  <c r="AE105" i="37"/>
  <c r="AB105" i="37"/>
  <c r="I105" i="37"/>
  <c r="T105" i="37"/>
  <c r="V105" i="37"/>
  <c r="Z105" i="37"/>
  <c r="AC105" i="37"/>
  <c r="R105" i="37"/>
  <c r="G105" i="37"/>
  <c r="AD105" i="37"/>
  <c r="AF105" i="37"/>
  <c r="C105" i="37"/>
  <c r="B105" i="37"/>
  <c r="H104" i="37"/>
  <c r="S104" i="37"/>
  <c r="U104" i="37"/>
  <c r="Y104" i="37"/>
  <c r="AA104" i="37"/>
  <c r="AE104" i="37"/>
  <c r="AB104" i="37"/>
  <c r="I104" i="37"/>
  <c r="T104" i="37"/>
  <c r="V104" i="37"/>
  <c r="Z104" i="37"/>
  <c r="AC104" i="37"/>
  <c r="R104" i="37"/>
  <c r="G104" i="37"/>
  <c r="AD104" i="37"/>
  <c r="AF104" i="37"/>
  <c r="C104" i="37"/>
  <c r="B104" i="37"/>
  <c r="H103" i="37"/>
  <c r="S103" i="37"/>
  <c r="U103" i="37"/>
  <c r="Y103" i="37"/>
  <c r="AA103" i="37"/>
  <c r="AE103" i="37"/>
  <c r="AB103" i="37"/>
  <c r="I103" i="37"/>
  <c r="T103" i="37"/>
  <c r="V103" i="37"/>
  <c r="Z103" i="37"/>
  <c r="AC103" i="37"/>
  <c r="R103" i="37"/>
  <c r="G103" i="37"/>
  <c r="AD103" i="37"/>
  <c r="AF103" i="37"/>
  <c r="C103" i="37"/>
  <c r="B103" i="37"/>
  <c r="H102" i="37"/>
  <c r="S102" i="37"/>
  <c r="U102" i="37"/>
  <c r="Y102" i="37"/>
  <c r="AA102" i="37"/>
  <c r="AE102" i="37"/>
  <c r="AB102" i="37"/>
  <c r="I102" i="37"/>
  <c r="T102" i="37"/>
  <c r="V102" i="37"/>
  <c r="Z102" i="37"/>
  <c r="AC102" i="37"/>
  <c r="R102" i="37"/>
  <c r="G102" i="37"/>
  <c r="AD102" i="37"/>
  <c r="AF102" i="37"/>
  <c r="C102" i="37"/>
  <c r="B102" i="37"/>
  <c r="H101" i="37"/>
  <c r="S101" i="37"/>
  <c r="U101" i="37"/>
  <c r="Y101" i="37"/>
  <c r="AA101" i="37"/>
  <c r="AE101" i="37"/>
  <c r="AB101" i="37"/>
  <c r="I101" i="37"/>
  <c r="T101" i="37"/>
  <c r="V101" i="37"/>
  <c r="Z101" i="37"/>
  <c r="AC101" i="37"/>
  <c r="R101" i="37"/>
  <c r="G101" i="37"/>
  <c r="AD101" i="37"/>
  <c r="AF101" i="37"/>
  <c r="C101" i="37"/>
  <c r="B101" i="37"/>
  <c r="H100" i="37"/>
  <c r="S100" i="37"/>
  <c r="U100" i="37"/>
  <c r="Y100" i="37"/>
  <c r="AA100" i="37"/>
  <c r="AE100" i="37"/>
  <c r="AB100" i="37"/>
  <c r="I100" i="37"/>
  <c r="T100" i="37"/>
  <c r="V100" i="37"/>
  <c r="Z100" i="37"/>
  <c r="AC100" i="37"/>
  <c r="R100" i="37"/>
  <c r="G100" i="37"/>
  <c r="AD100" i="37"/>
  <c r="AF100" i="37"/>
  <c r="C100" i="37"/>
  <c r="B100" i="37"/>
  <c r="H99" i="37"/>
  <c r="S99" i="37"/>
  <c r="U99" i="37"/>
  <c r="Y99" i="37"/>
  <c r="AA99" i="37"/>
  <c r="AE99" i="37"/>
  <c r="AB99" i="37"/>
  <c r="I99" i="37"/>
  <c r="T99" i="37"/>
  <c r="V99" i="37"/>
  <c r="Z99" i="37"/>
  <c r="AC99" i="37"/>
  <c r="R99" i="37"/>
  <c r="G99" i="37"/>
  <c r="AD99" i="37"/>
  <c r="AF99" i="37"/>
  <c r="C99" i="37"/>
  <c r="B99" i="37"/>
  <c r="H98" i="37"/>
  <c r="S98" i="37"/>
  <c r="U98" i="37"/>
  <c r="Y98" i="37"/>
  <c r="AA98" i="37"/>
  <c r="AE98" i="37"/>
  <c r="AB98" i="37"/>
  <c r="I98" i="37"/>
  <c r="T98" i="37"/>
  <c r="V98" i="37"/>
  <c r="Z98" i="37"/>
  <c r="AC98" i="37"/>
  <c r="R98" i="37"/>
  <c r="G98" i="37"/>
  <c r="AD98" i="37"/>
  <c r="AF98" i="37"/>
  <c r="C98" i="37"/>
  <c r="B98" i="37"/>
  <c r="H97" i="37"/>
  <c r="S97" i="37"/>
  <c r="U97" i="37"/>
  <c r="Y97" i="37"/>
  <c r="AA97" i="37"/>
  <c r="AE97" i="37"/>
  <c r="AB97" i="37"/>
  <c r="I97" i="37"/>
  <c r="T97" i="37"/>
  <c r="V97" i="37"/>
  <c r="Z97" i="37"/>
  <c r="AC97" i="37"/>
  <c r="R97" i="37"/>
  <c r="G97" i="37"/>
  <c r="AD97" i="37"/>
  <c r="AF97" i="37"/>
  <c r="C97" i="37"/>
  <c r="B97" i="37"/>
  <c r="H96" i="37"/>
  <c r="S96" i="37"/>
  <c r="U96" i="37"/>
  <c r="Y96" i="37"/>
  <c r="AA96" i="37"/>
  <c r="AE96" i="37"/>
  <c r="AB96" i="37"/>
  <c r="I96" i="37"/>
  <c r="T96" i="37"/>
  <c r="V96" i="37"/>
  <c r="Z96" i="37"/>
  <c r="AC96" i="37"/>
  <c r="R96" i="37"/>
  <c r="G96" i="37"/>
  <c r="AD96" i="37"/>
  <c r="AF96" i="37"/>
  <c r="C96" i="37"/>
  <c r="B96" i="37"/>
  <c r="H95" i="37"/>
  <c r="S95" i="37"/>
  <c r="U95" i="37"/>
  <c r="Y95" i="37"/>
  <c r="AA95" i="37"/>
  <c r="AE95" i="37"/>
  <c r="AB95" i="37"/>
  <c r="I95" i="37"/>
  <c r="T95" i="37"/>
  <c r="V95" i="37"/>
  <c r="Z95" i="37"/>
  <c r="AC95" i="37"/>
  <c r="R95" i="37"/>
  <c r="G95" i="37"/>
  <c r="AD95" i="37"/>
  <c r="AF95" i="37"/>
  <c r="C95" i="37"/>
  <c r="B95" i="37"/>
  <c r="H94" i="37"/>
  <c r="S94" i="37"/>
  <c r="U94" i="37"/>
  <c r="Y94" i="37"/>
  <c r="AA94" i="37"/>
  <c r="AE94" i="37"/>
  <c r="AB94" i="37"/>
  <c r="I94" i="37"/>
  <c r="T94" i="37"/>
  <c r="V94" i="37"/>
  <c r="Z94" i="37"/>
  <c r="AC94" i="37"/>
  <c r="R94" i="37"/>
  <c r="G94" i="37"/>
  <c r="AD94" i="37"/>
  <c r="AF94" i="37"/>
  <c r="C94" i="37"/>
  <c r="B94" i="37"/>
  <c r="H93" i="37"/>
  <c r="S93" i="37"/>
  <c r="U93" i="37"/>
  <c r="Y93" i="37"/>
  <c r="AA93" i="37"/>
  <c r="AE93" i="37"/>
  <c r="AB93" i="37"/>
  <c r="I93" i="37"/>
  <c r="T93" i="37"/>
  <c r="V93" i="37"/>
  <c r="Z93" i="37"/>
  <c r="AC93" i="37"/>
  <c r="R93" i="37"/>
  <c r="G93" i="37"/>
  <c r="AD93" i="37"/>
  <c r="AF93" i="37"/>
  <c r="C93" i="37"/>
  <c r="B93" i="37"/>
  <c r="H92" i="37"/>
  <c r="S92" i="37"/>
  <c r="U92" i="37"/>
  <c r="Y92" i="37"/>
  <c r="AA92" i="37"/>
  <c r="AE92" i="37"/>
  <c r="AB92" i="37"/>
  <c r="I92" i="37"/>
  <c r="T92" i="37"/>
  <c r="V92" i="37"/>
  <c r="Z92" i="37"/>
  <c r="AC92" i="37"/>
  <c r="R92" i="37"/>
  <c r="G92" i="37"/>
  <c r="AD92" i="37"/>
  <c r="AF92" i="37"/>
  <c r="C92" i="37"/>
  <c r="B92" i="37"/>
  <c r="H91" i="37"/>
  <c r="S91" i="37"/>
  <c r="U91" i="37"/>
  <c r="Y91" i="37"/>
  <c r="AA91" i="37"/>
  <c r="AE91" i="37"/>
  <c r="AB91" i="37"/>
  <c r="I91" i="37"/>
  <c r="T91" i="37"/>
  <c r="V91" i="37"/>
  <c r="Z91" i="37"/>
  <c r="AC91" i="37"/>
  <c r="R91" i="37"/>
  <c r="G91" i="37"/>
  <c r="AD91" i="37"/>
  <c r="AF91" i="37"/>
  <c r="C91" i="37"/>
  <c r="B91" i="37"/>
  <c r="H90" i="37"/>
  <c r="S90" i="37"/>
  <c r="U90" i="37"/>
  <c r="Y90" i="37"/>
  <c r="AA90" i="37"/>
  <c r="AE90" i="37"/>
  <c r="AB90" i="37"/>
  <c r="I90" i="37"/>
  <c r="T90" i="37"/>
  <c r="V90" i="37"/>
  <c r="Z90" i="37"/>
  <c r="AC90" i="37"/>
  <c r="R90" i="37"/>
  <c r="G90" i="37"/>
  <c r="AD90" i="37"/>
  <c r="AF90" i="37"/>
  <c r="C90" i="37"/>
  <c r="B90" i="37"/>
  <c r="H89" i="37"/>
  <c r="S89" i="37"/>
  <c r="U89" i="37"/>
  <c r="Y89" i="37"/>
  <c r="AA89" i="37"/>
  <c r="AE89" i="37"/>
  <c r="AB89" i="37"/>
  <c r="I89" i="37"/>
  <c r="T89" i="37"/>
  <c r="V89" i="37"/>
  <c r="Z89" i="37"/>
  <c r="AC89" i="37"/>
  <c r="R89" i="37"/>
  <c r="G89" i="37"/>
  <c r="AD89" i="37"/>
  <c r="AF89" i="37"/>
  <c r="C89" i="37"/>
  <c r="B89" i="37"/>
  <c r="H88" i="37"/>
  <c r="S88" i="37"/>
  <c r="U88" i="37"/>
  <c r="Y88" i="37"/>
  <c r="AA88" i="37"/>
  <c r="AE88" i="37"/>
  <c r="AB88" i="37"/>
  <c r="I88" i="37"/>
  <c r="T88" i="37"/>
  <c r="V88" i="37"/>
  <c r="Z88" i="37"/>
  <c r="AC88" i="37"/>
  <c r="R88" i="37"/>
  <c r="G88" i="37"/>
  <c r="AD88" i="37"/>
  <c r="AF88" i="37"/>
  <c r="C88" i="37"/>
  <c r="B88" i="37"/>
  <c r="H87" i="37"/>
  <c r="S87" i="37"/>
  <c r="U87" i="37"/>
  <c r="Y87" i="37"/>
  <c r="AA87" i="37"/>
  <c r="AE87" i="37"/>
  <c r="AB87" i="37"/>
  <c r="I87" i="37"/>
  <c r="T87" i="37"/>
  <c r="V87" i="37"/>
  <c r="Z87" i="37"/>
  <c r="AC87" i="37"/>
  <c r="R87" i="37"/>
  <c r="G87" i="37"/>
  <c r="AD87" i="37"/>
  <c r="AF87" i="37"/>
  <c r="C87" i="37"/>
  <c r="B87" i="37"/>
  <c r="H86" i="37"/>
  <c r="S86" i="37"/>
  <c r="U86" i="37"/>
  <c r="Y86" i="37"/>
  <c r="AA86" i="37"/>
  <c r="AE86" i="37"/>
  <c r="AB86" i="37"/>
  <c r="I86" i="37"/>
  <c r="T86" i="37"/>
  <c r="V86" i="37"/>
  <c r="Z86" i="37"/>
  <c r="AC86" i="37"/>
  <c r="R86" i="37"/>
  <c r="G86" i="37"/>
  <c r="AD86" i="37"/>
  <c r="AF86" i="37"/>
  <c r="C86" i="37"/>
  <c r="B86" i="37"/>
  <c r="H85" i="37"/>
  <c r="S85" i="37"/>
  <c r="U85" i="37"/>
  <c r="Y85" i="37"/>
  <c r="AA85" i="37"/>
  <c r="AE85" i="37"/>
  <c r="AB85" i="37"/>
  <c r="I85" i="37"/>
  <c r="T85" i="37"/>
  <c r="V85" i="37"/>
  <c r="Z85" i="37"/>
  <c r="AC85" i="37"/>
  <c r="R85" i="37"/>
  <c r="G85" i="37"/>
  <c r="AD85" i="37"/>
  <c r="AF85" i="37"/>
  <c r="C85" i="37"/>
  <c r="B85" i="37"/>
  <c r="H84" i="37"/>
  <c r="S84" i="37"/>
  <c r="U84" i="37"/>
  <c r="Y84" i="37"/>
  <c r="AA84" i="37"/>
  <c r="AE84" i="37"/>
  <c r="AB84" i="37"/>
  <c r="I84" i="37"/>
  <c r="T84" i="37"/>
  <c r="V84" i="37"/>
  <c r="Z84" i="37"/>
  <c r="AC84" i="37"/>
  <c r="R84" i="37"/>
  <c r="G84" i="37"/>
  <c r="AD84" i="37"/>
  <c r="AF84" i="37"/>
  <c r="C84" i="37"/>
  <c r="B84" i="37"/>
  <c r="H83" i="37"/>
  <c r="S83" i="37"/>
  <c r="U83" i="37"/>
  <c r="Y83" i="37"/>
  <c r="AA83" i="37"/>
  <c r="AE83" i="37"/>
  <c r="AB83" i="37"/>
  <c r="I83" i="37"/>
  <c r="T83" i="37"/>
  <c r="V83" i="37"/>
  <c r="Z83" i="37"/>
  <c r="AC83" i="37"/>
  <c r="R83" i="37"/>
  <c r="G83" i="37"/>
  <c r="AD83" i="37"/>
  <c r="AF83" i="37"/>
  <c r="C83" i="37"/>
  <c r="B83" i="37"/>
  <c r="H82" i="37"/>
  <c r="S82" i="37"/>
  <c r="U82" i="37"/>
  <c r="Y82" i="37"/>
  <c r="AA82" i="37"/>
  <c r="AE82" i="37"/>
  <c r="AB82" i="37"/>
  <c r="I82" i="37"/>
  <c r="T82" i="37"/>
  <c r="V82" i="37"/>
  <c r="Z82" i="37"/>
  <c r="AC82" i="37"/>
  <c r="R82" i="37"/>
  <c r="G82" i="37"/>
  <c r="AD82" i="37"/>
  <c r="AF82" i="37"/>
  <c r="C82" i="37"/>
  <c r="B82" i="37"/>
  <c r="H81" i="37"/>
  <c r="S81" i="37"/>
  <c r="U81" i="37"/>
  <c r="Y81" i="37"/>
  <c r="AA81" i="37"/>
  <c r="AE81" i="37"/>
  <c r="AB81" i="37"/>
  <c r="I81" i="37"/>
  <c r="T81" i="37"/>
  <c r="V81" i="37"/>
  <c r="Z81" i="37"/>
  <c r="AC81" i="37"/>
  <c r="R81" i="37"/>
  <c r="G81" i="37"/>
  <c r="AD81" i="37"/>
  <c r="AF81" i="37"/>
  <c r="C81" i="37"/>
  <c r="B81" i="37"/>
  <c r="H80" i="37"/>
  <c r="S80" i="37"/>
  <c r="U80" i="37"/>
  <c r="Y80" i="37"/>
  <c r="AA80" i="37"/>
  <c r="AE80" i="37"/>
  <c r="AB80" i="37"/>
  <c r="I80" i="37"/>
  <c r="T80" i="37"/>
  <c r="V80" i="37"/>
  <c r="Z80" i="37"/>
  <c r="AC80" i="37"/>
  <c r="R80" i="37"/>
  <c r="G80" i="37"/>
  <c r="AD80" i="37"/>
  <c r="AF80" i="37"/>
  <c r="C80" i="37"/>
  <c r="B80" i="37"/>
  <c r="H79" i="37"/>
  <c r="S79" i="37"/>
  <c r="U79" i="37"/>
  <c r="Y79" i="37"/>
  <c r="AA79" i="37"/>
  <c r="AE79" i="37"/>
  <c r="AB79" i="37"/>
  <c r="I79" i="37"/>
  <c r="T79" i="37"/>
  <c r="V79" i="37"/>
  <c r="Z79" i="37"/>
  <c r="AC79" i="37"/>
  <c r="R79" i="37"/>
  <c r="G79" i="37"/>
  <c r="AD79" i="37"/>
  <c r="AF79" i="37"/>
  <c r="C79" i="37"/>
  <c r="B79" i="37"/>
  <c r="H78" i="37"/>
  <c r="S78" i="37"/>
  <c r="U78" i="37"/>
  <c r="Y78" i="37"/>
  <c r="AA78" i="37"/>
  <c r="AE78" i="37"/>
  <c r="AB78" i="37"/>
  <c r="I78" i="37"/>
  <c r="T78" i="37"/>
  <c r="V78" i="37"/>
  <c r="Z78" i="37"/>
  <c r="AC78" i="37"/>
  <c r="R78" i="37"/>
  <c r="G78" i="37"/>
  <c r="AD78" i="37"/>
  <c r="AF78" i="37"/>
  <c r="C78" i="37"/>
  <c r="B78" i="37"/>
  <c r="H77" i="37"/>
  <c r="S77" i="37"/>
  <c r="U77" i="37"/>
  <c r="Y77" i="37"/>
  <c r="AA77" i="37"/>
  <c r="AE77" i="37"/>
  <c r="AB77" i="37"/>
  <c r="I77" i="37"/>
  <c r="T77" i="37"/>
  <c r="V77" i="37"/>
  <c r="Z77" i="37"/>
  <c r="AC77" i="37"/>
  <c r="R77" i="37"/>
  <c r="G77" i="37"/>
  <c r="AD77" i="37"/>
  <c r="AF77" i="37"/>
  <c r="C77" i="37"/>
  <c r="B77" i="37"/>
  <c r="H76" i="37"/>
  <c r="S76" i="37"/>
  <c r="U76" i="37"/>
  <c r="Y76" i="37"/>
  <c r="AA76" i="37"/>
  <c r="AE76" i="37"/>
  <c r="AB76" i="37"/>
  <c r="I76" i="37"/>
  <c r="T76" i="37"/>
  <c r="V76" i="37"/>
  <c r="Z76" i="37"/>
  <c r="AC76" i="37"/>
  <c r="R76" i="37"/>
  <c r="G76" i="37"/>
  <c r="AD76" i="37"/>
  <c r="AF76" i="37"/>
  <c r="C76" i="37"/>
  <c r="B76" i="37"/>
  <c r="K3" i="31"/>
  <c r="L3" i="31"/>
  <c r="N3" i="31"/>
  <c r="Q3" i="31"/>
  <c r="O3" i="31"/>
  <c r="P3" i="31"/>
  <c r="R3" i="31"/>
  <c r="W3" i="31"/>
  <c r="K4" i="31"/>
  <c r="L4" i="31"/>
  <c r="N4" i="31"/>
  <c r="Q4" i="31"/>
  <c r="O4" i="31"/>
  <c r="P4" i="31"/>
  <c r="R4" i="31"/>
  <c r="W4" i="31"/>
  <c r="K5" i="31"/>
  <c r="L5" i="31"/>
  <c r="N5" i="31"/>
  <c r="Q5" i="31"/>
  <c r="O5" i="31"/>
  <c r="P5" i="31"/>
  <c r="R5" i="31"/>
  <c r="W5" i="31"/>
  <c r="K6" i="31"/>
  <c r="L6" i="31"/>
  <c r="N6" i="31"/>
  <c r="Q6" i="31"/>
  <c r="O6" i="31"/>
  <c r="P6" i="31"/>
  <c r="R6" i="31"/>
  <c r="W6" i="31"/>
  <c r="K7" i="31"/>
  <c r="L7" i="31"/>
  <c r="N7" i="31"/>
  <c r="Q7" i="31"/>
  <c r="O7" i="31"/>
  <c r="P7" i="31"/>
  <c r="R7" i="31"/>
  <c r="W7" i="31"/>
  <c r="K8" i="31"/>
  <c r="L8" i="31"/>
  <c r="N8" i="31"/>
  <c r="Q8" i="31"/>
  <c r="O8" i="31"/>
  <c r="P8" i="31"/>
  <c r="R8" i="31"/>
  <c r="W8" i="31"/>
  <c r="K9" i="31"/>
  <c r="L9" i="31"/>
  <c r="N9" i="31"/>
  <c r="Q9" i="31"/>
  <c r="O9" i="31"/>
  <c r="P9" i="31"/>
  <c r="R9" i="31"/>
  <c r="W9" i="31"/>
  <c r="K10" i="31"/>
  <c r="L10" i="31"/>
  <c r="N10" i="31"/>
  <c r="Q10" i="31"/>
  <c r="O10" i="31"/>
  <c r="P10" i="31"/>
  <c r="R10" i="31"/>
  <c r="W10" i="31"/>
  <c r="K11" i="31"/>
  <c r="L11" i="31"/>
  <c r="N11" i="31"/>
  <c r="Q11" i="31"/>
  <c r="O11" i="31"/>
  <c r="P11" i="31"/>
  <c r="R11" i="31"/>
  <c r="W11" i="31"/>
  <c r="K12" i="31"/>
  <c r="L12" i="31"/>
  <c r="N12" i="31"/>
  <c r="Q12" i="31"/>
  <c r="O12" i="31"/>
  <c r="P12" i="31"/>
  <c r="R12" i="31"/>
  <c r="W12" i="31"/>
  <c r="K13" i="31"/>
  <c r="L13" i="31"/>
  <c r="N13" i="31"/>
  <c r="Q13" i="31"/>
  <c r="O13" i="31"/>
  <c r="P13" i="31"/>
  <c r="R13" i="31"/>
  <c r="W13" i="31"/>
  <c r="K14" i="31"/>
  <c r="L14" i="31"/>
  <c r="N14" i="31"/>
  <c r="Q14" i="31"/>
  <c r="O14" i="31"/>
  <c r="P14" i="31"/>
  <c r="R14" i="31"/>
  <c r="W14" i="31"/>
  <c r="K15" i="31"/>
  <c r="L15" i="31"/>
  <c r="N15" i="31"/>
  <c r="Q15" i="31"/>
  <c r="O15" i="31"/>
  <c r="P15" i="31"/>
  <c r="R15" i="31"/>
  <c r="W15" i="31"/>
  <c r="K16" i="31"/>
  <c r="L16" i="31"/>
  <c r="N16" i="31"/>
  <c r="Q16" i="31"/>
  <c r="O16" i="31"/>
  <c r="P16" i="31"/>
  <c r="R16" i="31"/>
  <c r="W16" i="31"/>
  <c r="K17" i="31"/>
  <c r="L17" i="31"/>
  <c r="N17" i="31"/>
  <c r="Q17" i="31"/>
  <c r="O17" i="31"/>
  <c r="P17" i="31"/>
  <c r="R17" i="31"/>
  <c r="W17" i="31"/>
  <c r="K18" i="31"/>
  <c r="L18" i="31"/>
  <c r="N18" i="31"/>
  <c r="Q18" i="31"/>
  <c r="O18" i="31"/>
  <c r="P18" i="31"/>
  <c r="R18" i="31"/>
  <c r="W18" i="31"/>
  <c r="K19" i="31"/>
  <c r="L19" i="31"/>
  <c r="N19" i="31"/>
  <c r="Q19" i="31"/>
  <c r="O19" i="31"/>
  <c r="P19" i="31"/>
  <c r="R19" i="31"/>
  <c r="W19" i="31"/>
  <c r="K20" i="31"/>
  <c r="L20" i="31"/>
  <c r="N20" i="31"/>
  <c r="Q20" i="31"/>
  <c r="O20" i="31"/>
  <c r="P20" i="31"/>
  <c r="R20" i="31"/>
  <c r="W20" i="31"/>
  <c r="K21" i="31"/>
  <c r="L21" i="31"/>
  <c r="N21" i="31"/>
  <c r="Q21" i="31"/>
  <c r="O21" i="31"/>
  <c r="P21" i="31"/>
  <c r="R21" i="31"/>
  <c r="W21" i="31"/>
  <c r="K22" i="31"/>
  <c r="L22" i="31"/>
  <c r="N22" i="31"/>
  <c r="Q22" i="31"/>
  <c r="O22" i="31"/>
  <c r="P22" i="31"/>
  <c r="R22" i="31"/>
  <c r="W22" i="31"/>
  <c r="K23" i="31"/>
  <c r="L23" i="31"/>
  <c r="N23" i="31"/>
  <c r="Q23" i="31"/>
  <c r="O23" i="31"/>
  <c r="P23" i="31"/>
  <c r="R23" i="31"/>
  <c r="W23" i="31"/>
  <c r="K24" i="31"/>
  <c r="L24" i="31"/>
  <c r="N24" i="31"/>
  <c r="Q24" i="31"/>
  <c r="O24" i="31"/>
  <c r="P24" i="31"/>
  <c r="R24" i="31"/>
  <c r="W24" i="31"/>
  <c r="K25" i="31"/>
  <c r="L25" i="31"/>
  <c r="N25" i="31"/>
  <c r="Q25" i="31"/>
  <c r="O25" i="31"/>
  <c r="P25" i="31"/>
  <c r="R25" i="31"/>
  <c r="W25" i="31"/>
  <c r="K26" i="31"/>
  <c r="L26" i="31"/>
  <c r="N26" i="31"/>
  <c r="Q26" i="31"/>
  <c r="O26" i="31"/>
  <c r="P26" i="31"/>
  <c r="R26" i="31"/>
  <c r="W26" i="31"/>
  <c r="K27" i="31"/>
  <c r="L27" i="31"/>
  <c r="N27" i="31"/>
  <c r="Q27" i="31"/>
  <c r="O27" i="31"/>
  <c r="P27" i="31"/>
  <c r="R27" i="31"/>
  <c r="W27" i="31"/>
  <c r="K28" i="31"/>
  <c r="L28" i="31"/>
  <c r="N28" i="31"/>
  <c r="Q28" i="31"/>
  <c r="O28" i="31"/>
  <c r="P28" i="31"/>
  <c r="R28" i="31"/>
  <c r="W28" i="31"/>
  <c r="K29" i="31"/>
  <c r="L29" i="31"/>
  <c r="N29" i="31"/>
  <c r="Q29" i="31"/>
  <c r="O29" i="31"/>
  <c r="P29" i="31"/>
  <c r="R29" i="31"/>
  <c r="W29" i="31"/>
  <c r="K30" i="31"/>
  <c r="L30" i="31"/>
  <c r="N30" i="31"/>
  <c r="Q30" i="31"/>
  <c r="O30" i="31"/>
  <c r="P30" i="31"/>
  <c r="R30" i="31"/>
  <c r="W30" i="31"/>
  <c r="K31" i="31"/>
  <c r="L31" i="31"/>
  <c r="N31" i="31"/>
  <c r="Q31" i="31"/>
  <c r="O31" i="31"/>
  <c r="P31" i="31"/>
  <c r="R31" i="31"/>
  <c r="W31" i="31"/>
  <c r="K32" i="31"/>
  <c r="L32" i="31"/>
  <c r="N32" i="31"/>
  <c r="Q32" i="31"/>
  <c r="O32" i="31"/>
  <c r="P32" i="31"/>
  <c r="R32" i="31"/>
  <c r="W32" i="31"/>
  <c r="K33" i="31"/>
  <c r="L33" i="31"/>
  <c r="N33" i="31"/>
  <c r="Q33" i="31"/>
  <c r="O33" i="31"/>
  <c r="P33" i="31"/>
  <c r="R33" i="31"/>
  <c r="W33" i="31"/>
  <c r="K34" i="31"/>
  <c r="L34" i="31"/>
  <c r="N34" i="31"/>
  <c r="Q34" i="31"/>
  <c r="O34" i="31"/>
  <c r="P34" i="31"/>
  <c r="R34" i="31"/>
  <c r="W34" i="31"/>
  <c r="K35" i="31"/>
  <c r="L35" i="31"/>
  <c r="N35" i="31"/>
  <c r="Q35" i="31"/>
  <c r="O35" i="31"/>
  <c r="P35" i="31"/>
  <c r="R35" i="31"/>
  <c r="W35" i="31"/>
  <c r="K36" i="31"/>
  <c r="L36" i="31"/>
  <c r="N36" i="31"/>
  <c r="Q36" i="31"/>
  <c r="O36" i="31"/>
  <c r="P36" i="31"/>
  <c r="R36" i="31"/>
  <c r="W36" i="31"/>
  <c r="K37" i="31"/>
  <c r="L37" i="31"/>
  <c r="N37" i="31"/>
  <c r="Q37" i="31"/>
  <c r="O37" i="31"/>
  <c r="P37" i="31"/>
  <c r="R37" i="31"/>
  <c r="W37" i="31"/>
  <c r="K38" i="31"/>
  <c r="L38" i="31"/>
  <c r="N38" i="31"/>
  <c r="Q38" i="31"/>
  <c r="O38" i="31"/>
  <c r="P38" i="31"/>
  <c r="R38" i="31"/>
  <c r="W38" i="31"/>
  <c r="K39" i="31"/>
  <c r="L39" i="31"/>
  <c r="N39" i="31"/>
  <c r="Q39" i="31"/>
  <c r="O39" i="31"/>
  <c r="P39" i="31"/>
  <c r="R39" i="31"/>
  <c r="W39" i="31"/>
  <c r="K40" i="31"/>
  <c r="L40" i="31"/>
  <c r="N40" i="31"/>
  <c r="Q40" i="31"/>
  <c r="O40" i="31"/>
  <c r="P40" i="31"/>
  <c r="R40" i="31"/>
  <c r="W40" i="31"/>
  <c r="K41" i="31"/>
  <c r="L41" i="31"/>
  <c r="N41" i="31"/>
  <c r="Q41" i="31"/>
  <c r="O41" i="31"/>
  <c r="P41" i="31"/>
  <c r="R41" i="31"/>
  <c r="W41" i="31"/>
  <c r="K42" i="31"/>
  <c r="L42" i="31"/>
  <c r="N42" i="31"/>
  <c r="Q42" i="31"/>
  <c r="O42" i="31"/>
  <c r="P42" i="31"/>
  <c r="R42" i="31"/>
  <c r="W42" i="31"/>
  <c r="K43" i="31"/>
  <c r="L43" i="31"/>
  <c r="N43" i="31"/>
  <c r="Q43" i="31"/>
  <c r="O43" i="31"/>
  <c r="P43" i="31"/>
  <c r="R43" i="31"/>
  <c r="W43" i="31"/>
  <c r="K44" i="31"/>
  <c r="L44" i="31"/>
  <c r="N44" i="31"/>
  <c r="Q44" i="31"/>
  <c r="O44" i="31"/>
  <c r="P44" i="31"/>
  <c r="R44" i="31"/>
  <c r="W44" i="31"/>
  <c r="K45" i="31"/>
  <c r="L45" i="31"/>
  <c r="N45" i="31"/>
  <c r="Q45" i="31"/>
  <c r="O45" i="31"/>
  <c r="P45" i="31"/>
  <c r="R45" i="31"/>
  <c r="W45" i="31"/>
  <c r="K46" i="31"/>
  <c r="L46" i="31"/>
  <c r="N46" i="31"/>
  <c r="Q46" i="31"/>
  <c r="O46" i="31"/>
  <c r="P46" i="31"/>
  <c r="R46" i="31"/>
  <c r="W46" i="31"/>
  <c r="K47" i="31"/>
  <c r="L47" i="31"/>
  <c r="N47" i="31"/>
  <c r="Q47" i="31"/>
  <c r="O47" i="31"/>
  <c r="P47" i="31"/>
  <c r="R47" i="31"/>
  <c r="W47" i="31"/>
  <c r="K48" i="31"/>
  <c r="L48" i="31"/>
  <c r="N48" i="31"/>
  <c r="Q48" i="31"/>
  <c r="O48" i="31"/>
  <c r="P48" i="31"/>
  <c r="R48" i="31"/>
  <c r="W48" i="31"/>
  <c r="K49" i="31"/>
  <c r="L49" i="31"/>
  <c r="N49" i="31"/>
  <c r="Q49" i="31"/>
  <c r="O49" i="31"/>
  <c r="P49" i="31"/>
  <c r="R49" i="31"/>
  <c r="W49" i="31"/>
  <c r="K50" i="31"/>
  <c r="L50" i="31"/>
  <c r="N50" i="31"/>
  <c r="Q50" i="31"/>
  <c r="O50" i="31"/>
  <c r="P50" i="31"/>
  <c r="R50" i="31"/>
  <c r="W50" i="31"/>
  <c r="K51" i="31"/>
  <c r="L51" i="31"/>
  <c r="N51" i="31"/>
  <c r="Q51" i="31"/>
  <c r="O51" i="31"/>
  <c r="P51" i="31"/>
  <c r="R51" i="31"/>
  <c r="W51" i="31"/>
  <c r="K52" i="31"/>
  <c r="L52" i="31"/>
  <c r="N52" i="31"/>
  <c r="Q52" i="31"/>
  <c r="O52" i="31"/>
  <c r="P52" i="31"/>
  <c r="R52" i="31"/>
  <c r="W52" i="31"/>
  <c r="K53" i="31"/>
  <c r="L53" i="31"/>
  <c r="N53" i="31"/>
  <c r="Q53" i="31"/>
  <c r="O53" i="31"/>
  <c r="P53" i="31"/>
  <c r="R53" i="31"/>
  <c r="W53" i="31"/>
  <c r="K54" i="31"/>
  <c r="L54" i="31"/>
  <c r="N54" i="31"/>
  <c r="Q54" i="31"/>
  <c r="O54" i="31"/>
  <c r="P54" i="31"/>
  <c r="R54" i="31"/>
  <c r="W54" i="31"/>
  <c r="K55" i="31"/>
  <c r="L55" i="31"/>
  <c r="N55" i="31"/>
  <c r="Q55" i="31"/>
  <c r="O55" i="31"/>
  <c r="P55" i="31"/>
  <c r="R55" i="31"/>
  <c r="W55" i="31"/>
  <c r="K56" i="31"/>
  <c r="L56" i="31"/>
  <c r="N56" i="31"/>
  <c r="Q56" i="31"/>
  <c r="O56" i="31"/>
  <c r="P56" i="31"/>
  <c r="R56" i="31"/>
  <c r="W56" i="31"/>
  <c r="K57" i="31"/>
  <c r="L57" i="31"/>
  <c r="N57" i="31"/>
  <c r="Q57" i="31"/>
  <c r="O57" i="31"/>
  <c r="P57" i="31"/>
  <c r="R57" i="31"/>
  <c r="W57" i="31"/>
  <c r="K58" i="31"/>
  <c r="L58" i="31"/>
  <c r="N58" i="31"/>
  <c r="Q58" i="31"/>
  <c r="O58" i="31"/>
  <c r="P58" i="31"/>
  <c r="R58" i="31"/>
  <c r="W58" i="31"/>
  <c r="K59" i="31"/>
  <c r="L59" i="31"/>
  <c r="N59" i="31"/>
  <c r="Q59" i="31"/>
  <c r="O59" i="31"/>
  <c r="P59" i="31"/>
  <c r="R59" i="31"/>
  <c r="W59" i="31"/>
  <c r="K60" i="31"/>
  <c r="L60" i="31"/>
  <c r="N60" i="31"/>
  <c r="Q60" i="31"/>
  <c r="O60" i="31"/>
  <c r="P60" i="31"/>
  <c r="R60" i="31"/>
  <c r="W60" i="31"/>
  <c r="K61" i="31"/>
  <c r="L61" i="31"/>
  <c r="N61" i="31"/>
  <c r="Q61" i="31"/>
  <c r="O61" i="31"/>
  <c r="P61" i="31"/>
  <c r="R61" i="31"/>
  <c r="W61" i="31"/>
  <c r="K62" i="31"/>
  <c r="L62" i="31"/>
  <c r="N62" i="31"/>
  <c r="Q62" i="31"/>
  <c r="O62" i="31"/>
  <c r="P62" i="31"/>
  <c r="R62" i="31"/>
  <c r="W62" i="31"/>
  <c r="K63" i="31"/>
  <c r="L63" i="31"/>
  <c r="N63" i="31"/>
  <c r="Q63" i="31"/>
  <c r="O63" i="31"/>
  <c r="P63" i="31"/>
  <c r="R63" i="31"/>
  <c r="W63" i="31"/>
  <c r="K64" i="31"/>
  <c r="L64" i="31"/>
  <c r="N64" i="31"/>
  <c r="Q64" i="31"/>
  <c r="O64" i="31"/>
  <c r="P64" i="31"/>
  <c r="R64" i="31"/>
  <c r="W64" i="31"/>
  <c r="K65" i="31"/>
  <c r="L65" i="31"/>
  <c r="N65" i="31"/>
  <c r="Q65" i="31"/>
  <c r="O65" i="31"/>
  <c r="P65" i="31"/>
  <c r="R65" i="31"/>
  <c r="W65" i="31"/>
  <c r="K66" i="31"/>
  <c r="L66" i="31"/>
  <c r="N66" i="31"/>
  <c r="Q66" i="31"/>
  <c r="O66" i="31"/>
  <c r="P66" i="31"/>
  <c r="R66" i="31"/>
  <c r="W66" i="31"/>
  <c r="K67" i="31"/>
  <c r="L67" i="31"/>
  <c r="N67" i="31"/>
  <c r="Q67" i="31"/>
  <c r="O67" i="31"/>
  <c r="P67" i="31"/>
  <c r="R67" i="31"/>
  <c r="W67" i="31"/>
  <c r="K68" i="31"/>
  <c r="L68" i="31"/>
  <c r="N68" i="31"/>
  <c r="Q68" i="31"/>
  <c r="O68" i="31"/>
  <c r="P68" i="31"/>
  <c r="R68" i="31"/>
  <c r="W68" i="31"/>
  <c r="K69" i="31"/>
  <c r="L69" i="31"/>
  <c r="N69" i="31"/>
  <c r="Q69" i="31"/>
  <c r="O69" i="31"/>
  <c r="P69" i="31"/>
  <c r="R69" i="31"/>
  <c r="W69" i="31"/>
  <c r="K70" i="31"/>
  <c r="L70" i="31"/>
  <c r="N70" i="31"/>
  <c r="Q70" i="31"/>
  <c r="O70" i="31"/>
  <c r="P70" i="31"/>
  <c r="R70" i="31"/>
  <c r="W70" i="31"/>
  <c r="K71" i="31"/>
  <c r="L71" i="31"/>
  <c r="N71" i="31"/>
  <c r="Q71" i="31"/>
  <c r="O71" i="31"/>
  <c r="P71" i="31"/>
  <c r="R71" i="31"/>
  <c r="W71" i="31"/>
  <c r="K72" i="31"/>
  <c r="L72" i="31"/>
  <c r="N72" i="31"/>
  <c r="Q72" i="31"/>
  <c r="O72" i="31"/>
  <c r="P72" i="31"/>
  <c r="R72" i="31"/>
  <c r="W72" i="31"/>
  <c r="K73" i="31"/>
  <c r="L73" i="31"/>
  <c r="N73" i="31"/>
  <c r="Q73" i="31"/>
  <c r="O73" i="31"/>
  <c r="P73" i="31"/>
  <c r="R73" i="31"/>
  <c r="W73" i="31"/>
  <c r="K74" i="31"/>
  <c r="L74" i="31"/>
  <c r="N74" i="31"/>
  <c r="Q74" i="31"/>
  <c r="O74" i="31"/>
  <c r="P74" i="31"/>
  <c r="R74" i="31"/>
  <c r="W74" i="31"/>
  <c r="K75" i="31"/>
  <c r="L75" i="31"/>
  <c r="N75" i="31"/>
  <c r="Q75" i="31"/>
  <c r="O75" i="31"/>
  <c r="P75" i="31"/>
  <c r="R75" i="31"/>
  <c r="W75" i="31"/>
  <c r="K76" i="31"/>
  <c r="L76" i="31"/>
  <c r="N76" i="31"/>
  <c r="Q76" i="31"/>
  <c r="O76" i="31"/>
  <c r="P76" i="31"/>
  <c r="R76" i="31"/>
  <c r="W76" i="31"/>
  <c r="K77" i="31"/>
  <c r="L77" i="31"/>
  <c r="N77" i="31"/>
  <c r="Q77" i="31"/>
  <c r="O77" i="31"/>
  <c r="P77" i="31"/>
  <c r="R77" i="31"/>
  <c r="W77" i="31"/>
  <c r="K78" i="31"/>
  <c r="L78" i="31"/>
  <c r="N78" i="31"/>
  <c r="Q78" i="31"/>
  <c r="O78" i="31"/>
  <c r="P78" i="31"/>
  <c r="R78" i="31"/>
  <c r="W78" i="31"/>
  <c r="K79" i="31"/>
  <c r="L79" i="31"/>
  <c r="N79" i="31"/>
  <c r="Q79" i="31"/>
  <c r="O79" i="31"/>
  <c r="P79" i="31"/>
  <c r="R79" i="31"/>
  <c r="W79" i="31"/>
  <c r="K80" i="31"/>
  <c r="L80" i="31"/>
  <c r="N80" i="31"/>
  <c r="Q80" i="31"/>
  <c r="O80" i="31"/>
  <c r="P80" i="31"/>
  <c r="R80" i="31"/>
  <c r="W80" i="31"/>
  <c r="K81" i="31"/>
  <c r="L81" i="31"/>
  <c r="N81" i="31"/>
  <c r="Q81" i="31"/>
  <c r="O81" i="31"/>
  <c r="P81" i="31"/>
  <c r="R81" i="31"/>
  <c r="W81" i="31"/>
  <c r="K82" i="31"/>
  <c r="L82" i="31"/>
  <c r="N82" i="31"/>
  <c r="Q82" i="31"/>
  <c r="O82" i="31"/>
  <c r="P82" i="31"/>
  <c r="R82" i="31"/>
  <c r="W82" i="31"/>
  <c r="K83" i="31"/>
  <c r="L83" i="31"/>
  <c r="N83" i="31"/>
  <c r="Q83" i="31"/>
  <c r="O83" i="31"/>
  <c r="P83" i="31"/>
  <c r="R83" i="31"/>
  <c r="W83" i="31"/>
  <c r="K84" i="31"/>
  <c r="L84" i="31"/>
  <c r="N84" i="31"/>
  <c r="Q84" i="31"/>
  <c r="O84" i="31"/>
  <c r="P84" i="31"/>
  <c r="R84" i="31"/>
  <c r="W84" i="31"/>
  <c r="K85" i="31"/>
  <c r="L85" i="31"/>
  <c r="N85" i="31"/>
  <c r="Q85" i="31"/>
  <c r="O85" i="31"/>
  <c r="P85" i="31"/>
  <c r="R85" i="31"/>
  <c r="W85" i="31"/>
  <c r="K86" i="31"/>
  <c r="L86" i="31"/>
  <c r="N86" i="31"/>
  <c r="Q86" i="31"/>
  <c r="O86" i="31"/>
  <c r="P86" i="31"/>
  <c r="R86" i="31"/>
  <c r="W86" i="31"/>
  <c r="K87" i="31"/>
  <c r="L87" i="31"/>
  <c r="N87" i="31"/>
  <c r="Q87" i="31"/>
  <c r="O87" i="31"/>
  <c r="P87" i="31"/>
  <c r="R87" i="31"/>
  <c r="W87" i="31"/>
  <c r="K88" i="31"/>
  <c r="L88" i="31"/>
  <c r="N88" i="31"/>
  <c r="Q88" i="31"/>
  <c r="O88" i="31"/>
  <c r="P88" i="31"/>
  <c r="R88" i="31"/>
  <c r="W88" i="31"/>
  <c r="K89" i="31"/>
  <c r="L89" i="31"/>
  <c r="N89" i="31"/>
  <c r="Q89" i="31"/>
  <c r="O89" i="31"/>
  <c r="P89" i="31"/>
  <c r="R89" i="31"/>
  <c r="W89" i="31"/>
  <c r="K90" i="31"/>
  <c r="L90" i="31"/>
  <c r="N90" i="31"/>
  <c r="Q90" i="31"/>
  <c r="O90" i="31"/>
  <c r="P90" i="31"/>
  <c r="R90" i="31"/>
  <c r="W90" i="31"/>
  <c r="K91" i="31"/>
  <c r="L91" i="31"/>
  <c r="N91" i="31"/>
  <c r="Q91" i="31"/>
  <c r="O91" i="31"/>
  <c r="P91" i="31"/>
  <c r="R91" i="31"/>
  <c r="W91" i="31"/>
  <c r="K92" i="31"/>
  <c r="L92" i="31"/>
  <c r="N92" i="31"/>
  <c r="Q92" i="31"/>
  <c r="O92" i="31"/>
  <c r="P92" i="31"/>
  <c r="R92" i="31"/>
  <c r="W92" i="31"/>
  <c r="K93" i="31"/>
  <c r="L93" i="31"/>
  <c r="N93" i="31"/>
  <c r="Q93" i="31"/>
  <c r="O93" i="31"/>
  <c r="P93" i="31"/>
  <c r="R93" i="31"/>
  <c r="W93" i="31"/>
  <c r="K94" i="31"/>
  <c r="L94" i="31"/>
  <c r="N94" i="31"/>
  <c r="Q94" i="31"/>
  <c r="O94" i="31"/>
  <c r="P94" i="31"/>
  <c r="R94" i="31"/>
  <c r="W94" i="31"/>
  <c r="K95" i="31"/>
  <c r="L95" i="31"/>
  <c r="N95" i="31"/>
  <c r="Q95" i="31"/>
  <c r="O95" i="31"/>
  <c r="P95" i="31"/>
  <c r="R95" i="31"/>
  <c r="W95" i="31"/>
  <c r="K96" i="31"/>
  <c r="L96" i="31"/>
  <c r="N96" i="31"/>
  <c r="Q96" i="31"/>
  <c r="O96" i="31"/>
  <c r="P96" i="31"/>
  <c r="R96" i="31"/>
  <c r="W96" i="31"/>
  <c r="K97" i="31"/>
  <c r="L97" i="31"/>
  <c r="N97" i="31"/>
  <c r="Q97" i="31"/>
  <c r="O97" i="31"/>
  <c r="P97" i="31"/>
  <c r="R97" i="31"/>
  <c r="W97" i="31"/>
  <c r="K98" i="31"/>
  <c r="L98" i="31"/>
  <c r="N98" i="31"/>
  <c r="Q98" i="31"/>
  <c r="O98" i="31"/>
  <c r="P98" i="31"/>
  <c r="R98" i="31"/>
  <c r="W98" i="31"/>
  <c r="K99" i="31"/>
  <c r="L99" i="31"/>
  <c r="N99" i="31"/>
  <c r="Q99" i="31"/>
  <c r="O99" i="31"/>
  <c r="P99" i="31"/>
  <c r="R99" i="31"/>
  <c r="W99" i="31"/>
  <c r="K100" i="31"/>
  <c r="L100" i="31"/>
  <c r="N100" i="31"/>
  <c r="Q100" i="31"/>
  <c r="O100" i="31"/>
  <c r="P100" i="31"/>
  <c r="R100" i="31"/>
  <c r="W100" i="31"/>
  <c r="K101" i="31"/>
  <c r="L101" i="31"/>
  <c r="N101" i="31"/>
  <c r="Q101" i="31"/>
  <c r="O101" i="31"/>
  <c r="P101" i="31"/>
  <c r="R101" i="31"/>
  <c r="W101" i="31"/>
  <c r="K102" i="31"/>
  <c r="L102" i="31"/>
  <c r="N102" i="31"/>
  <c r="Q102" i="31"/>
  <c r="O102" i="31"/>
  <c r="P102" i="31"/>
  <c r="R102" i="31"/>
  <c r="W102" i="31"/>
  <c r="K103" i="31"/>
  <c r="L103" i="31"/>
  <c r="N103" i="31"/>
  <c r="Q103" i="31"/>
  <c r="O103" i="31"/>
  <c r="P103" i="31"/>
  <c r="R103" i="31"/>
  <c r="W103" i="31"/>
  <c r="K104" i="31"/>
  <c r="L104" i="31"/>
  <c r="N104" i="31"/>
  <c r="Q104" i="31"/>
  <c r="O104" i="31"/>
  <c r="P104" i="31"/>
  <c r="R104" i="31"/>
  <c r="W104" i="31"/>
  <c r="K105" i="31"/>
  <c r="L105" i="31"/>
  <c r="N105" i="31"/>
  <c r="Q105" i="31"/>
  <c r="O105" i="31"/>
  <c r="P105" i="31"/>
  <c r="R105" i="31"/>
  <c r="W105" i="31"/>
  <c r="K106" i="31"/>
  <c r="L106" i="31"/>
  <c r="N106" i="31"/>
  <c r="Q106" i="31"/>
  <c r="O106" i="31"/>
  <c r="P106" i="31"/>
  <c r="R106" i="31"/>
  <c r="W106" i="31"/>
  <c r="K107" i="31"/>
  <c r="L107" i="31"/>
  <c r="N107" i="31"/>
  <c r="Q107" i="31"/>
  <c r="O107" i="31"/>
  <c r="P107" i="31"/>
  <c r="R107" i="31"/>
  <c r="W107" i="31"/>
  <c r="K108" i="31"/>
  <c r="L108" i="31"/>
  <c r="N108" i="31"/>
  <c r="Q108" i="31"/>
  <c r="O108" i="31"/>
  <c r="P108" i="31"/>
  <c r="R108" i="31"/>
  <c r="W108" i="31"/>
  <c r="K109" i="31"/>
  <c r="L109" i="31"/>
  <c r="N109" i="31"/>
  <c r="Q109" i="31"/>
  <c r="O109" i="31"/>
  <c r="P109" i="31"/>
  <c r="R109" i="31"/>
  <c r="W109" i="31"/>
  <c r="K110" i="31"/>
  <c r="L110" i="31"/>
  <c r="N110" i="31"/>
  <c r="Q110" i="31"/>
  <c r="O110" i="31"/>
  <c r="P110" i="31"/>
  <c r="R110" i="31"/>
  <c r="W110" i="31"/>
  <c r="K111" i="31"/>
  <c r="L111" i="31"/>
  <c r="N111" i="31"/>
  <c r="Q111" i="31"/>
  <c r="O111" i="31"/>
  <c r="P111" i="31"/>
  <c r="R111" i="31"/>
  <c r="W111" i="31"/>
  <c r="K112" i="31"/>
  <c r="L112" i="31"/>
  <c r="N112" i="31"/>
  <c r="Q112" i="31"/>
  <c r="O112" i="31"/>
  <c r="P112" i="31"/>
  <c r="R112" i="31"/>
  <c r="W112" i="31"/>
  <c r="K113" i="31"/>
  <c r="L113" i="31"/>
  <c r="N113" i="31"/>
  <c r="Q113" i="31"/>
  <c r="O113" i="31"/>
  <c r="P113" i="31"/>
  <c r="R113" i="31"/>
  <c r="W113" i="31"/>
  <c r="K114" i="31"/>
  <c r="L114" i="31"/>
  <c r="N114" i="31"/>
  <c r="Q114" i="31"/>
  <c r="O114" i="31"/>
  <c r="P114" i="31"/>
  <c r="R114" i="31"/>
  <c r="W114" i="31"/>
  <c r="K115" i="31"/>
  <c r="L115" i="31"/>
  <c r="N115" i="31"/>
  <c r="Q115" i="31"/>
  <c r="O115" i="31"/>
  <c r="P115" i="31"/>
  <c r="R115" i="31"/>
  <c r="W115" i="31"/>
  <c r="K116" i="31"/>
  <c r="L116" i="31"/>
  <c r="N116" i="31"/>
  <c r="Q116" i="31"/>
  <c r="O116" i="31"/>
  <c r="P116" i="31"/>
  <c r="R116" i="31"/>
  <c r="W116" i="31"/>
  <c r="K117" i="31"/>
  <c r="L117" i="31"/>
  <c r="N117" i="31"/>
  <c r="Q117" i="31"/>
  <c r="O117" i="31"/>
  <c r="P117" i="31"/>
  <c r="R117" i="31"/>
  <c r="W117" i="31"/>
  <c r="K118" i="31"/>
  <c r="L118" i="31"/>
  <c r="N118" i="31"/>
  <c r="Q118" i="31"/>
  <c r="O118" i="31"/>
  <c r="P118" i="31"/>
  <c r="R118" i="31"/>
  <c r="W118" i="31"/>
  <c r="K119" i="31"/>
  <c r="L119" i="31"/>
  <c r="N119" i="31"/>
  <c r="Q119" i="31"/>
  <c r="O119" i="31"/>
  <c r="P119" i="31"/>
  <c r="R119" i="31"/>
  <c r="W119" i="31"/>
  <c r="K120" i="31"/>
  <c r="L120" i="31"/>
  <c r="N120" i="31"/>
  <c r="Q120" i="31"/>
  <c r="O120" i="31"/>
  <c r="P120" i="31"/>
  <c r="R120" i="31"/>
  <c r="W120" i="31"/>
  <c r="K121" i="31"/>
  <c r="L121" i="31"/>
  <c r="N121" i="31"/>
  <c r="Q121" i="31"/>
  <c r="O121" i="31"/>
  <c r="P121" i="31"/>
  <c r="R121" i="31"/>
  <c r="W121" i="31"/>
  <c r="K122" i="31"/>
  <c r="L122" i="31"/>
  <c r="N122" i="31"/>
  <c r="Q122" i="31"/>
  <c r="O122" i="31"/>
  <c r="P122" i="31"/>
  <c r="R122" i="31"/>
  <c r="W122" i="31"/>
  <c r="K123" i="31"/>
  <c r="L123" i="31"/>
  <c r="N123" i="31"/>
  <c r="Q123" i="31"/>
  <c r="O123" i="31"/>
  <c r="P123" i="31"/>
  <c r="R123" i="31"/>
  <c r="W123" i="31"/>
  <c r="K124" i="31"/>
  <c r="L124" i="31"/>
  <c r="N124" i="31"/>
  <c r="Q124" i="31"/>
  <c r="O124" i="31"/>
  <c r="P124" i="31"/>
  <c r="R124" i="31"/>
  <c r="W124" i="31"/>
  <c r="K125" i="31"/>
  <c r="L125" i="31"/>
  <c r="N125" i="31"/>
  <c r="Q125" i="31"/>
  <c r="O125" i="31"/>
  <c r="P125" i="31"/>
  <c r="R125" i="31"/>
  <c r="W125" i="31"/>
  <c r="K126" i="31"/>
  <c r="L126" i="31"/>
  <c r="N126" i="31"/>
  <c r="Q126" i="31"/>
  <c r="O126" i="31"/>
  <c r="P126" i="31"/>
  <c r="R126" i="31"/>
  <c r="W126" i="31"/>
  <c r="K127" i="31"/>
  <c r="L127" i="31"/>
  <c r="N127" i="31"/>
  <c r="Q127" i="31"/>
  <c r="O127" i="31"/>
  <c r="P127" i="31"/>
  <c r="R127" i="31"/>
  <c r="W127" i="31"/>
  <c r="K128" i="31"/>
  <c r="L128" i="31"/>
  <c r="N128" i="31"/>
  <c r="Q128" i="31"/>
  <c r="O128" i="31"/>
  <c r="P128" i="31"/>
  <c r="R128" i="31"/>
  <c r="W128" i="31"/>
  <c r="K129" i="31"/>
  <c r="L129" i="31"/>
  <c r="N129" i="31"/>
  <c r="Q129" i="31"/>
  <c r="O129" i="31"/>
  <c r="P129" i="31"/>
  <c r="R129" i="31"/>
  <c r="W129" i="31"/>
  <c r="K130" i="31"/>
  <c r="L130" i="31"/>
  <c r="N130" i="31"/>
  <c r="Q130" i="31"/>
  <c r="O130" i="31"/>
  <c r="P130" i="31"/>
  <c r="R130" i="31"/>
  <c r="W130" i="31"/>
  <c r="K131" i="31"/>
  <c r="L131" i="31"/>
  <c r="N131" i="31"/>
  <c r="Q131" i="31"/>
  <c r="O131" i="31"/>
  <c r="P131" i="31"/>
  <c r="R131" i="31"/>
  <c r="W131" i="31"/>
  <c r="K132" i="31"/>
  <c r="L132" i="31"/>
  <c r="N132" i="31"/>
  <c r="Q132" i="31"/>
  <c r="O132" i="31"/>
  <c r="P132" i="31"/>
  <c r="R132" i="31"/>
  <c r="W132" i="31"/>
  <c r="K133" i="31"/>
  <c r="L133" i="31"/>
  <c r="N133" i="31"/>
  <c r="Q133" i="31"/>
  <c r="O133" i="31"/>
  <c r="P133" i="31"/>
  <c r="R133" i="31"/>
  <c r="W133" i="31"/>
  <c r="K134" i="31"/>
  <c r="L134" i="31"/>
  <c r="N134" i="31"/>
  <c r="Q134" i="31"/>
  <c r="O134" i="31"/>
  <c r="P134" i="31"/>
  <c r="R134" i="31"/>
  <c r="W134" i="31"/>
  <c r="K135" i="31"/>
  <c r="L135" i="31"/>
  <c r="N135" i="31"/>
  <c r="Q135" i="31"/>
  <c r="O135" i="31"/>
  <c r="P135" i="31"/>
  <c r="R135" i="31"/>
  <c r="W135" i="31"/>
  <c r="K136" i="31"/>
  <c r="L136" i="31"/>
  <c r="N136" i="31"/>
  <c r="Q136" i="31"/>
  <c r="O136" i="31"/>
  <c r="P136" i="31"/>
  <c r="R136" i="31"/>
  <c r="W136" i="31"/>
  <c r="K137" i="31"/>
  <c r="L137" i="31"/>
  <c r="N137" i="31"/>
  <c r="Q137" i="31"/>
  <c r="O137" i="31"/>
  <c r="P137" i="31"/>
  <c r="R137" i="31"/>
  <c r="W137" i="31"/>
  <c r="K138" i="31"/>
  <c r="L138" i="31"/>
  <c r="N138" i="31"/>
  <c r="Q138" i="31"/>
  <c r="O138" i="31"/>
  <c r="P138" i="31"/>
  <c r="R138" i="31"/>
  <c r="W138" i="31"/>
  <c r="K139" i="31"/>
  <c r="L139" i="31"/>
  <c r="N139" i="31"/>
  <c r="Q139" i="31"/>
  <c r="O139" i="31"/>
  <c r="P139" i="31"/>
  <c r="R139" i="31"/>
  <c r="W139" i="31"/>
  <c r="K140" i="31"/>
  <c r="L140" i="31"/>
  <c r="N140" i="31"/>
  <c r="Q140" i="31"/>
  <c r="O140" i="31"/>
  <c r="P140" i="31"/>
  <c r="R140" i="31"/>
  <c r="W140" i="31"/>
  <c r="K141" i="31"/>
  <c r="L141" i="31"/>
  <c r="N141" i="31"/>
  <c r="Q141" i="31"/>
  <c r="O141" i="31"/>
  <c r="P141" i="31"/>
  <c r="R141" i="31"/>
  <c r="W141" i="31"/>
  <c r="K142" i="31"/>
  <c r="L142" i="31"/>
  <c r="N142" i="31"/>
  <c r="Q142" i="31"/>
  <c r="O142" i="31"/>
  <c r="P142" i="31"/>
  <c r="R142" i="31"/>
  <c r="W142" i="31"/>
  <c r="K143" i="31"/>
  <c r="L143" i="31"/>
  <c r="N143" i="31"/>
  <c r="Q143" i="31"/>
  <c r="O143" i="31"/>
  <c r="P143" i="31"/>
  <c r="R143" i="31"/>
  <c r="W143" i="31"/>
  <c r="K144" i="31"/>
  <c r="L144" i="31"/>
  <c r="N144" i="31"/>
  <c r="Q144" i="31"/>
  <c r="O144" i="31"/>
  <c r="P144" i="31"/>
  <c r="R144" i="31"/>
  <c r="W144" i="31"/>
  <c r="K145" i="31"/>
  <c r="L145" i="31"/>
  <c r="N145" i="31"/>
  <c r="Q145" i="31"/>
  <c r="O145" i="31"/>
  <c r="P145" i="31"/>
  <c r="R145" i="31"/>
  <c r="W145" i="31"/>
  <c r="K146" i="31"/>
  <c r="L146" i="31"/>
  <c r="N146" i="31"/>
  <c r="Q146" i="31"/>
  <c r="O146" i="31"/>
  <c r="P146" i="31"/>
  <c r="R146" i="31"/>
  <c r="W146" i="31"/>
  <c r="K147" i="31"/>
  <c r="L147" i="31"/>
  <c r="N147" i="31"/>
  <c r="Q147" i="31"/>
  <c r="O147" i="31"/>
  <c r="P147" i="31"/>
  <c r="R147" i="31"/>
  <c r="W147" i="31"/>
  <c r="K148" i="31"/>
  <c r="L148" i="31"/>
  <c r="N148" i="31"/>
  <c r="Q148" i="31"/>
  <c r="O148" i="31"/>
  <c r="P148" i="31"/>
  <c r="R148" i="31"/>
  <c r="W148" i="31"/>
  <c r="K149" i="31"/>
  <c r="L149" i="31"/>
  <c r="N149" i="31"/>
  <c r="Q149" i="31"/>
  <c r="O149" i="31"/>
  <c r="P149" i="31"/>
  <c r="R149" i="31"/>
  <c r="W149" i="31"/>
  <c r="K150" i="31"/>
  <c r="L150" i="31"/>
  <c r="N150" i="31"/>
  <c r="Q150" i="31"/>
  <c r="O150" i="31"/>
  <c r="P150" i="31"/>
  <c r="R150" i="31"/>
  <c r="W150" i="31"/>
  <c r="K151" i="31"/>
  <c r="L151" i="31"/>
  <c r="N151" i="31"/>
  <c r="Q151" i="31"/>
  <c r="O151" i="31"/>
  <c r="P151" i="31"/>
  <c r="R151" i="31"/>
  <c r="W151" i="31"/>
  <c r="K152" i="31"/>
  <c r="L152" i="31"/>
  <c r="N152" i="31"/>
  <c r="Q152" i="31"/>
  <c r="O152" i="31"/>
  <c r="P152" i="31"/>
  <c r="R152" i="31"/>
  <c r="W152" i="31"/>
  <c r="K153" i="31"/>
  <c r="L153" i="31"/>
  <c r="N153" i="31"/>
  <c r="Q153" i="31"/>
  <c r="O153" i="31"/>
  <c r="P153" i="31"/>
  <c r="R153" i="31"/>
  <c r="W153" i="31"/>
  <c r="K154" i="31"/>
  <c r="L154" i="31"/>
  <c r="N154" i="31"/>
  <c r="Q154" i="31"/>
  <c r="O154" i="31"/>
  <c r="P154" i="31"/>
  <c r="R154" i="31"/>
  <c r="W154" i="31"/>
  <c r="K155" i="31"/>
  <c r="L155" i="31"/>
  <c r="N155" i="31"/>
  <c r="Q155" i="31"/>
  <c r="O155" i="31"/>
  <c r="P155" i="31"/>
  <c r="R155" i="31"/>
  <c r="W155" i="31"/>
  <c r="K156" i="31"/>
  <c r="L156" i="31"/>
  <c r="N156" i="31"/>
  <c r="Q156" i="31"/>
  <c r="O156" i="31"/>
  <c r="P156" i="31"/>
  <c r="R156" i="31"/>
  <c r="W156" i="31"/>
  <c r="K157" i="31"/>
  <c r="L157" i="31"/>
  <c r="N157" i="31"/>
  <c r="Q157" i="31"/>
  <c r="O157" i="31"/>
  <c r="P157" i="31"/>
  <c r="R157" i="31"/>
  <c r="W157" i="31"/>
  <c r="K158" i="31"/>
  <c r="L158" i="31"/>
  <c r="N158" i="31"/>
  <c r="Q158" i="31"/>
  <c r="O158" i="31"/>
  <c r="P158" i="31"/>
  <c r="R158" i="31"/>
  <c r="W158" i="31"/>
  <c r="K159" i="31"/>
  <c r="L159" i="31"/>
  <c r="N159" i="31"/>
  <c r="Q159" i="31"/>
  <c r="O159" i="31"/>
  <c r="P159" i="31"/>
  <c r="R159" i="31"/>
  <c r="W159" i="31"/>
  <c r="K160" i="31"/>
  <c r="L160" i="31"/>
  <c r="N160" i="31"/>
  <c r="Q160" i="31"/>
  <c r="O160" i="31"/>
  <c r="P160" i="31"/>
  <c r="R160" i="31"/>
  <c r="W160" i="31"/>
  <c r="K161" i="31"/>
  <c r="L161" i="31"/>
  <c r="N161" i="31"/>
  <c r="Q161" i="31"/>
  <c r="O161" i="31"/>
  <c r="P161" i="31"/>
  <c r="R161" i="31"/>
  <c r="W161" i="31"/>
  <c r="K162" i="31"/>
  <c r="L162" i="31"/>
  <c r="N162" i="31"/>
  <c r="Q162" i="31"/>
  <c r="O162" i="31"/>
  <c r="P162" i="31"/>
  <c r="R162" i="31"/>
  <c r="W162" i="31"/>
  <c r="K163" i="31"/>
  <c r="L163" i="31"/>
  <c r="N163" i="31"/>
  <c r="Q163" i="31"/>
  <c r="O163" i="31"/>
  <c r="P163" i="31"/>
  <c r="R163" i="31"/>
  <c r="W163" i="31"/>
  <c r="K164" i="31"/>
  <c r="L164" i="31"/>
  <c r="N164" i="31"/>
  <c r="Q164" i="31"/>
  <c r="O164" i="31"/>
  <c r="P164" i="31"/>
  <c r="R164" i="31"/>
  <c r="W164" i="31"/>
  <c r="K165" i="31"/>
  <c r="L165" i="31"/>
  <c r="N165" i="31"/>
  <c r="Q165" i="31"/>
  <c r="O165" i="31"/>
  <c r="P165" i="31"/>
  <c r="R165" i="31"/>
  <c r="W165" i="31"/>
  <c r="K166" i="31"/>
  <c r="L166" i="31"/>
  <c r="N166" i="31"/>
  <c r="Q166" i="31"/>
  <c r="O166" i="31"/>
  <c r="P166" i="31"/>
  <c r="R166" i="31"/>
  <c r="W166" i="31"/>
  <c r="K167" i="31"/>
  <c r="L167" i="31"/>
  <c r="N167" i="31"/>
  <c r="Q167" i="31"/>
  <c r="O167" i="31"/>
  <c r="P167" i="31"/>
  <c r="R167" i="31"/>
  <c r="W167" i="31"/>
  <c r="K168" i="31"/>
  <c r="L168" i="31"/>
  <c r="N168" i="31"/>
  <c r="Q168" i="31"/>
  <c r="O168" i="31"/>
  <c r="P168" i="31"/>
  <c r="R168" i="31"/>
  <c r="W168" i="31"/>
  <c r="K169" i="31"/>
  <c r="L169" i="31"/>
  <c r="N169" i="31"/>
  <c r="Q169" i="31"/>
  <c r="O169" i="31"/>
  <c r="P169" i="31"/>
  <c r="R169" i="31"/>
  <c r="W169" i="31"/>
  <c r="K170" i="31"/>
  <c r="L170" i="31"/>
  <c r="N170" i="31"/>
  <c r="Q170" i="31"/>
  <c r="O170" i="31"/>
  <c r="P170" i="31"/>
  <c r="R170" i="31"/>
  <c r="W170" i="31"/>
  <c r="K171" i="31"/>
  <c r="L171" i="31"/>
  <c r="N171" i="31"/>
  <c r="Q171" i="31"/>
  <c r="O171" i="31"/>
  <c r="P171" i="31"/>
  <c r="R171" i="31"/>
  <c r="W171" i="31"/>
  <c r="K172" i="31"/>
  <c r="L172" i="31"/>
  <c r="N172" i="31"/>
  <c r="Q172" i="31"/>
  <c r="O172" i="31"/>
  <c r="P172" i="31"/>
  <c r="R172" i="31"/>
  <c r="W172" i="31"/>
  <c r="K173" i="31"/>
  <c r="L173" i="31"/>
  <c r="N173" i="31"/>
  <c r="Q173" i="31"/>
  <c r="O173" i="31"/>
  <c r="P173" i="31"/>
  <c r="R173" i="31"/>
  <c r="W173" i="31"/>
  <c r="K174" i="31"/>
  <c r="L174" i="31"/>
  <c r="N174" i="31"/>
  <c r="Q174" i="31"/>
  <c r="O174" i="31"/>
  <c r="P174" i="31"/>
  <c r="R174" i="31"/>
  <c r="W174" i="31"/>
  <c r="K175" i="31"/>
  <c r="L175" i="31"/>
  <c r="N175" i="31"/>
  <c r="Q175" i="31"/>
  <c r="O175" i="31"/>
  <c r="P175" i="31"/>
  <c r="R175" i="31"/>
  <c r="W175" i="31"/>
  <c r="K176" i="31"/>
  <c r="L176" i="31"/>
  <c r="N176" i="31"/>
  <c r="Q176" i="31"/>
  <c r="O176" i="31"/>
  <c r="P176" i="31"/>
  <c r="R176" i="31"/>
  <c r="W176" i="31"/>
  <c r="K177" i="31"/>
  <c r="L177" i="31"/>
  <c r="N177" i="31"/>
  <c r="Q177" i="31"/>
  <c r="O177" i="31"/>
  <c r="P177" i="31"/>
  <c r="R177" i="31"/>
  <c r="W177" i="31"/>
  <c r="K178" i="31"/>
  <c r="L178" i="31"/>
  <c r="N178" i="31"/>
  <c r="Q178" i="31"/>
  <c r="O178" i="31"/>
  <c r="P178" i="31"/>
  <c r="R178" i="31"/>
  <c r="W178" i="31"/>
  <c r="K179" i="31"/>
  <c r="L179" i="31"/>
  <c r="N179" i="31"/>
  <c r="Q179" i="31"/>
  <c r="O179" i="31"/>
  <c r="P179" i="31"/>
  <c r="R179" i="31"/>
  <c r="W179" i="31"/>
  <c r="K180" i="31"/>
  <c r="L180" i="31"/>
  <c r="N180" i="31"/>
  <c r="Q180" i="31"/>
  <c r="O180" i="31"/>
  <c r="P180" i="31"/>
  <c r="R180" i="31"/>
  <c r="W180" i="31"/>
  <c r="K181" i="31"/>
  <c r="L181" i="31"/>
  <c r="N181" i="31"/>
  <c r="Q181" i="31"/>
  <c r="O181" i="31"/>
  <c r="P181" i="31"/>
  <c r="R181" i="31"/>
  <c r="W181" i="31"/>
  <c r="K182" i="31"/>
  <c r="L182" i="31"/>
  <c r="N182" i="31"/>
  <c r="Q182" i="31"/>
  <c r="O182" i="31"/>
  <c r="P182" i="31"/>
  <c r="R182" i="31"/>
  <c r="W182" i="31"/>
  <c r="K183" i="31"/>
  <c r="L183" i="31"/>
  <c r="N183" i="31"/>
  <c r="Q183" i="31"/>
  <c r="O183" i="31"/>
  <c r="P183" i="31"/>
  <c r="R183" i="31"/>
  <c r="W183" i="31"/>
  <c r="K184" i="31"/>
  <c r="L184" i="31"/>
  <c r="N184" i="31"/>
  <c r="Q184" i="31"/>
  <c r="O184" i="31"/>
  <c r="P184" i="31"/>
  <c r="R184" i="31"/>
  <c r="W184" i="31"/>
  <c r="K185" i="31"/>
  <c r="L185" i="31"/>
  <c r="N185" i="31"/>
  <c r="Q185" i="31"/>
  <c r="O185" i="31"/>
  <c r="P185" i="31"/>
  <c r="R185" i="31"/>
  <c r="W185" i="31"/>
  <c r="K186" i="31"/>
  <c r="L186" i="31"/>
  <c r="N186" i="31"/>
  <c r="Q186" i="31"/>
  <c r="O186" i="31"/>
  <c r="P186" i="31"/>
  <c r="R186" i="31"/>
  <c r="W186" i="31"/>
  <c r="K187" i="31"/>
  <c r="L187" i="31"/>
  <c r="N187" i="31"/>
  <c r="Q187" i="31"/>
  <c r="O187" i="31"/>
  <c r="P187" i="31"/>
  <c r="R187" i="31"/>
  <c r="W187" i="31"/>
  <c r="K188" i="31"/>
  <c r="L188" i="31"/>
  <c r="N188" i="31"/>
  <c r="Q188" i="31"/>
  <c r="O188" i="31"/>
  <c r="P188" i="31"/>
  <c r="R188" i="31"/>
  <c r="W188" i="31"/>
  <c r="K189" i="31"/>
  <c r="L189" i="31"/>
  <c r="N189" i="31"/>
  <c r="Q189" i="31"/>
  <c r="O189" i="31"/>
  <c r="P189" i="31"/>
  <c r="R189" i="31"/>
  <c r="W189" i="31"/>
  <c r="K190" i="31"/>
  <c r="L190" i="31"/>
  <c r="N190" i="31"/>
  <c r="Q190" i="31"/>
  <c r="O190" i="31"/>
  <c r="P190" i="31"/>
  <c r="R190" i="31"/>
  <c r="W190" i="31"/>
  <c r="K191" i="31"/>
  <c r="L191" i="31"/>
  <c r="N191" i="31"/>
  <c r="Q191" i="31"/>
  <c r="O191" i="31"/>
  <c r="P191" i="31"/>
  <c r="R191" i="31"/>
  <c r="W191" i="31"/>
  <c r="K192" i="31"/>
  <c r="L192" i="31"/>
  <c r="N192" i="31"/>
  <c r="Q192" i="31"/>
  <c r="O192" i="31"/>
  <c r="P192" i="31"/>
  <c r="R192" i="31"/>
  <c r="W192" i="31"/>
  <c r="K193" i="31"/>
  <c r="L193" i="31"/>
  <c r="N193" i="31"/>
  <c r="Q193" i="31"/>
  <c r="O193" i="31"/>
  <c r="P193" i="31"/>
  <c r="R193" i="31"/>
  <c r="W193" i="31"/>
  <c r="K194" i="31"/>
  <c r="L194" i="31"/>
  <c r="N194" i="31"/>
  <c r="Q194" i="31"/>
  <c r="O194" i="31"/>
  <c r="P194" i="31"/>
  <c r="R194" i="31"/>
  <c r="W194" i="31"/>
  <c r="K195" i="31"/>
  <c r="L195" i="31"/>
  <c r="N195" i="31"/>
  <c r="Q195" i="31"/>
  <c r="O195" i="31"/>
  <c r="P195" i="31"/>
  <c r="R195" i="31"/>
  <c r="W195" i="31"/>
  <c r="K196" i="31"/>
  <c r="L196" i="31"/>
  <c r="N196" i="31"/>
  <c r="Q196" i="31"/>
  <c r="O196" i="31"/>
  <c r="P196" i="31"/>
  <c r="R196" i="31"/>
  <c r="W196" i="31"/>
  <c r="K197" i="31"/>
  <c r="L197" i="31"/>
  <c r="N197" i="31"/>
  <c r="Q197" i="31"/>
  <c r="O197" i="31"/>
  <c r="P197" i="31"/>
  <c r="R197" i="31"/>
  <c r="W197" i="31"/>
  <c r="K198" i="31"/>
  <c r="L198" i="31"/>
  <c r="N198" i="31"/>
  <c r="Q198" i="31"/>
  <c r="O198" i="31"/>
  <c r="P198" i="31"/>
  <c r="R198" i="31"/>
  <c r="W198" i="31"/>
  <c r="K199" i="31"/>
  <c r="L199" i="31"/>
  <c r="N199" i="31"/>
  <c r="Q199" i="31"/>
  <c r="O199" i="31"/>
  <c r="P199" i="31"/>
  <c r="R199" i="31"/>
  <c r="W199" i="31"/>
  <c r="K200" i="31"/>
  <c r="L200" i="31"/>
  <c r="N200" i="31"/>
  <c r="Q200" i="31"/>
  <c r="O200" i="31"/>
  <c r="P200" i="31"/>
  <c r="R200" i="31"/>
  <c r="W200" i="31"/>
  <c r="K201" i="31"/>
  <c r="L201" i="31"/>
  <c r="N201" i="31"/>
  <c r="Q201" i="31"/>
  <c r="O201" i="31"/>
  <c r="P201" i="31"/>
  <c r="R201" i="31"/>
  <c r="W201" i="31"/>
  <c r="K202" i="31"/>
  <c r="L202" i="31"/>
  <c r="N202" i="31"/>
  <c r="Q202" i="31"/>
  <c r="O202" i="31"/>
  <c r="P202" i="31"/>
  <c r="R202" i="31"/>
  <c r="W202" i="31"/>
  <c r="K203" i="31"/>
  <c r="L203" i="31"/>
  <c r="N203" i="31"/>
  <c r="Q203" i="31"/>
  <c r="O203" i="31"/>
  <c r="P203" i="31"/>
  <c r="R203" i="31"/>
  <c r="W203" i="31"/>
  <c r="K204" i="31"/>
  <c r="L204" i="31"/>
  <c r="N204" i="31"/>
  <c r="Q204" i="31"/>
  <c r="O204" i="31"/>
  <c r="P204" i="31"/>
  <c r="R204" i="31"/>
  <c r="W204" i="31"/>
  <c r="K205" i="31"/>
  <c r="L205" i="31"/>
  <c r="N205" i="31"/>
  <c r="Q205" i="31"/>
  <c r="O205" i="31"/>
  <c r="P205" i="31"/>
  <c r="R205" i="31"/>
  <c r="W205" i="31"/>
  <c r="K206" i="31"/>
  <c r="L206" i="31"/>
  <c r="N206" i="31"/>
  <c r="Q206" i="31"/>
  <c r="O206" i="31"/>
  <c r="P206" i="31"/>
  <c r="R206" i="31"/>
  <c r="W206" i="31"/>
  <c r="K207" i="31"/>
  <c r="L207" i="31"/>
  <c r="N207" i="31"/>
  <c r="Q207" i="31"/>
  <c r="O207" i="31"/>
  <c r="P207" i="31"/>
  <c r="R207" i="31"/>
  <c r="W207" i="31"/>
  <c r="K208" i="31"/>
  <c r="L208" i="31"/>
  <c r="N208" i="31"/>
  <c r="Q208" i="31"/>
  <c r="O208" i="31"/>
  <c r="P208" i="31"/>
  <c r="R208" i="31"/>
  <c r="W208" i="31"/>
  <c r="K209" i="31"/>
  <c r="L209" i="31"/>
  <c r="N209" i="31"/>
  <c r="Q209" i="31"/>
  <c r="O209" i="31"/>
  <c r="P209" i="31"/>
  <c r="R209" i="31"/>
  <c r="W209" i="31"/>
  <c r="K210" i="31"/>
  <c r="L210" i="31"/>
  <c r="N210" i="31"/>
  <c r="Q210" i="31"/>
  <c r="O210" i="31"/>
  <c r="P210" i="31"/>
  <c r="R210" i="31"/>
  <c r="W210" i="31"/>
  <c r="K211" i="31"/>
  <c r="L211" i="31"/>
  <c r="N211" i="31"/>
  <c r="Q211" i="31"/>
  <c r="O211" i="31"/>
  <c r="P211" i="31"/>
  <c r="R211" i="31"/>
  <c r="W211" i="31"/>
  <c r="K212" i="31"/>
  <c r="L212" i="31"/>
  <c r="N212" i="31"/>
  <c r="Q212" i="31"/>
  <c r="O212" i="31"/>
  <c r="P212" i="31"/>
  <c r="R212" i="31"/>
  <c r="W212" i="31"/>
  <c r="K213" i="31"/>
  <c r="L213" i="31"/>
  <c r="N213" i="31"/>
  <c r="Q213" i="31"/>
  <c r="O213" i="31"/>
  <c r="P213" i="31"/>
  <c r="R213" i="31"/>
  <c r="W213" i="31"/>
  <c r="K214" i="31"/>
  <c r="L214" i="31"/>
  <c r="N214" i="31"/>
  <c r="Q214" i="31"/>
  <c r="O214" i="31"/>
  <c r="P214" i="31"/>
  <c r="R214" i="31"/>
  <c r="W214" i="31"/>
  <c r="K215" i="31"/>
  <c r="L215" i="31"/>
  <c r="N215" i="31"/>
  <c r="Q215" i="31"/>
  <c r="O215" i="31"/>
  <c r="P215" i="31"/>
  <c r="R215" i="31"/>
  <c r="W215" i="31"/>
  <c r="K216" i="31"/>
  <c r="L216" i="31"/>
  <c r="N216" i="31"/>
  <c r="Q216" i="31"/>
  <c r="O216" i="31"/>
  <c r="P216" i="31"/>
  <c r="R216" i="31"/>
  <c r="W216" i="31"/>
  <c r="K217" i="31"/>
  <c r="L217" i="31"/>
  <c r="N217" i="31"/>
  <c r="Q217" i="31"/>
  <c r="O217" i="31"/>
  <c r="P217" i="31"/>
  <c r="R217" i="31"/>
  <c r="W217" i="31"/>
  <c r="K218" i="31"/>
  <c r="L218" i="31"/>
  <c r="N218" i="31"/>
  <c r="Q218" i="31"/>
  <c r="O218" i="31"/>
  <c r="P218" i="31"/>
  <c r="R218" i="31"/>
  <c r="W218" i="31"/>
  <c r="K219" i="31"/>
  <c r="L219" i="31"/>
  <c r="N219" i="31"/>
  <c r="Q219" i="31"/>
  <c r="O219" i="31"/>
  <c r="P219" i="31"/>
  <c r="R219" i="31"/>
  <c r="W219" i="31"/>
  <c r="K220" i="31"/>
  <c r="L220" i="31"/>
  <c r="N220" i="31"/>
  <c r="Q220" i="31"/>
  <c r="O220" i="31"/>
  <c r="P220" i="31"/>
  <c r="R220" i="31"/>
  <c r="W220" i="31"/>
  <c r="K221" i="31"/>
  <c r="L221" i="31"/>
  <c r="N221" i="31"/>
  <c r="Q221" i="31"/>
  <c r="O221" i="31"/>
  <c r="P221" i="31"/>
  <c r="R221" i="31"/>
  <c r="W221" i="31"/>
  <c r="K222" i="31"/>
  <c r="L222" i="31"/>
  <c r="N222" i="31"/>
  <c r="Q222" i="31"/>
  <c r="O222" i="31"/>
  <c r="P222" i="31"/>
  <c r="R222" i="31"/>
  <c r="W222" i="31"/>
  <c r="K223" i="31"/>
  <c r="L223" i="31"/>
  <c r="N223" i="31"/>
  <c r="Q223" i="31"/>
  <c r="O223" i="31"/>
  <c r="P223" i="31"/>
  <c r="R223" i="31"/>
  <c r="W223" i="31"/>
  <c r="K224" i="31"/>
  <c r="L224" i="31"/>
  <c r="N224" i="31"/>
  <c r="Q224" i="31"/>
  <c r="O224" i="31"/>
  <c r="P224" i="31"/>
  <c r="R224" i="31"/>
  <c r="W224" i="31"/>
  <c r="K225" i="31"/>
  <c r="L225" i="31"/>
  <c r="N225" i="31"/>
  <c r="Q225" i="31"/>
  <c r="O225" i="31"/>
  <c r="P225" i="31"/>
  <c r="R225" i="31"/>
  <c r="W225" i="31"/>
  <c r="K226" i="31"/>
  <c r="L226" i="31"/>
  <c r="N226" i="31"/>
  <c r="Q226" i="31"/>
  <c r="O226" i="31"/>
  <c r="P226" i="31"/>
  <c r="R226" i="31"/>
  <c r="W226" i="31"/>
  <c r="K227" i="31"/>
  <c r="L227" i="31"/>
  <c r="N227" i="31"/>
  <c r="Q227" i="31"/>
  <c r="O227" i="31"/>
  <c r="P227" i="31"/>
  <c r="R227" i="31"/>
  <c r="W227" i="31"/>
  <c r="K228" i="31"/>
  <c r="L228" i="31"/>
  <c r="N228" i="31"/>
  <c r="Q228" i="31"/>
  <c r="O228" i="31"/>
  <c r="P228" i="31"/>
  <c r="R228" i="31"/>
  <c r="W228" i="31"/>
  <c r="K229" i="31"/>
  <c r="L229" i="31"/>
  <c r="N229" i="31"/>
  <c r="Q229" i="31"/>
  <c r="O229" i="31"/>
  <c r="P229" i="31"/>
  <c r="R229" i="31"/>
  <c r="W229" i="31"/>
  <c r="K230" i="31"/>
  <c r="L230" i="31"/>
  <c r="N230" i="31"/>
  <c r="Q230" i="31"/>
  <c r="O230" i="31"/>
  <c r="P230" i="31"/>
  <c r="R230" i="31"/>
  <c r="W230" i="31"/>
  <c r="K231" i="31"/>
  <c r="L231" i="31"/>
  <c r="N231" i="31"/>
  <c r="Q231" i="31"/>
  <c r="O231" i="31"/>
  <c r="P231" i="31"/>
  <c r="R231" i="31"/>
  <c r="W231" i="31"/>
  <c r="K232" i="31"/>
  <c r="L232" i="31"/>
  <c r="N232" i="31"/>
  <c r="Q232" i="31"/>
  <c r="O232" i="31"/>
  <c r="P232" i="31"/>
  <c r="R232" i="31"/>
  <c r="W232" i="31"/>
  <c r="K233" i="31"/>
  <c r="L233" i="31"/>
  <c r="N233" i="31"/>
  <c r="Q233" i="31"/>
  <c r="O233" i="31"/>
  <c r="P233" i="31"/>
  <c r="R233" i="31"/>
  <c r="W233" i="31"/>
  <c r="K234" i="31"/>
  <c r="L234" i="31"/>
  <c r="N234" i="31"/>
  <c r="Q234" i="31"/>
  <c r="O234" i="31"/>
  <c r="P234" i="31"/>
  <c r="R234" i="31"/>
  <c r="W234" i="31"/>
  <c r="K235" i="31"/>
  <c r="L235" i="31"/>
  <c r="N235" i="31"/>
  <c r="Q235" i="31"/>
  <c r="O235" i="31"/>
  <c r="P235" i="31"/>
  <c r="R235" i="31"/>
  <c r="W235" i="31"/>
  <c r="K236" i="31"/>
  <c r="L236" i="31"/>
  <c r="N236" i="31"/>
  <c r="Q236" i="31"/>
  <c r="O236" i="31"/>
  <c r="P236" i="31"/>
  <c r="R236" i="31"/>
  <c r="W236" i="31"/>
  <c r="K237" i="31"/>
  <c r="L237" i="31"/>
  <c r="N237" i="31"/>
  <c r="Q237" i="31"/>
  <c r="O237" i="31"/>
  <c r="P237" i="31"/>
  <c r="R237" i="31"/>
  <c r="W237" i="31"/>
  <c r="K238" i="31"/>
  <c r="L238" i="31"/>
  <c r="N238" i="31"/>
  <c r="Q238" i="31"/>
  <c r="O238" i="31"/>
  <c r="P238" i="31"/>
  <c r="R238" i="31"/>
  <c r="W238" i="31"/>
  <c r="K239" i="31"/>
  <c r="L239" i="31"/>
  <c r="N239" i="31"/>
  <c r="Q239" i="31"/>
  <c r="O239" i="31"/>
  <c r="P239" i="31"/>
  <c r="R239" i="31"/>
  <c r="W239" i="31"/>
  <c r="K240" i="31"/>
  <c r="L240" i="31"/>
  <c r="N240" i="31"/>
  <c r="Q240" i="31"/>
  <c r="O240" i="31"/>
  <c r="P240" i="31"/>
  <c r="R240" i="31"/>
  <c r="W240" i="31"/>
  <c r="K241" i="31"/>
  <c r="L241" i="31"/>
  <c r="N241" i="31"/>
  <c r="Q241" i="31"/>
  <c r="O241" i="31"/>
  <c r="P241" i="31"/>
  <c r="R241" i="31"/>
  <c r="W241" i="31"/>
  <c r="K242" i="31"/>
  <c r="L242" i="31"/>
  <c r="N242" i="31"/>
  <c r="Q242" i="31"/>
  <c r="O242" i="31"/>
  <c r="P242" i="31"/>
  <c r="R242" i="31"/>
  <c r="W242" i="31"/>
  <c r="K243" i="31"/>
  <c r="L243" i="31"/>
  <c r="N243" i="31"/>
  <c r="Q243" i="31"/>
  <c r="O243" i="31"/>
  <c r="P243" i="31"/>
  <c r="R243" i="31"/>
  <c r="W243" i="31"/>
  <c r="K244" i="31"/>
  <c r="L244" i="31"/>
  <c r="N244" i="31"/>
  <c r="Q244" i="31"/>
  <c r="O244" i="31"/>
  <c r="P244" i="31"/>
  <c r="R244" i="31"/>
  <c r="W244" i="31"/>
  <c r="K245" i="31"/>
  <c r="L245" i="31"/>
  <c r="N245" i="31"/>
  <c r="Q245" i="31"/>
  <c r="O245" i="31"/>
  <c r="P245" i="31"/>
  <c r="R245" i="31"/>
  <c r="W245" i="31"/>
  <c r="K246" i="31"/>
  <c r="L246" i="31"/>
  <c r="N246" i="31"/>
  <c r="Q246" i="31"/>
  <c r="O246" i="31"/>
  <c r="P246" i="31"/>
  <c r="R246" i="31"/>
  <c r="W246" i="31"/>
  <c r="K247" i="31"/>
  <c r="L247" i="31"/>
  <c r="N247" i="31"/>
  <c r="Q247" i="31"/>
  <c r="O247" i="31"/>
  <c r="P247" i="31"/>
  <c r="R247" i="31"/>
  <c r="W247" i="31"/>
  <c r="K248" i="31"/>
  <c r="L248" i="31"/>
  <c r="N248" i="31"/>
  <c r="Q248" i="31"/>
  <c r="O248" i="31"/>
  <c r="P248" i="31"/>
  <c r="R248" i="31"/>
  <c r="W248" i="31"/>
  <c r="K249" i="31"/>
  <c r="L249" i="31"/>
  <c r="N249" i="31"/>
  <c r="Q249" i="31"/>
  <c r="O249" i="31"/>
  <c r="P249" i="31"/>
  <c r="R249" i="31"/>
  <c r="W249" i="31"/>
  <c r="K250" i="31"/>
  <c r="L250" i="31"/>
  <c r="N250" i="31"/>
  <c r="Q250" i="31"/>
  <c r="O250" i="31"/>
  <c r="P250" i="31"/>
  <c r="R250" i="31"/>
  <c r="W250" i="31"/>
  <c r="K251" i="31"/>
  <c r="L251" i="31"/>
  <c r="N251" i="31"/>
  <c r="Q251" i="31"/>
  <c r="O251" i="31"/>
  <c r="P251" i="31"/>
  <c r="R251" i="31"/>
  <c r="W251" i="31"/>
  <c r="K252" i="31"/>
  <c r="L252" i="31"/>
  <c r="N252" i="31"/>
  <c r="Q252" i="31"/>
  <c r="O252" i="31"/>
  <c r="P252" i="31"/>
  <c r="R252" i="31"/>
  <c r="W252" i="31"/>
  <c r="K253" i="31"/>
  <c r="L253" i="31"/>
  <c r="N253" i="31"/>
  <c r="Q253" i="31"/>
  <c r="O253" i="31"/>
  <c r="P253" i="31"/>
  <c r="R253" i="31"/>
  <c r="W253" i="31"/>
  <c r="K254" i="31"/>
  <c r="L254" i="31"/>
  <c r="N254" i="31"/>
  <c r="Q254" i="31"/>
  <c r="O254" i="31"/>
  <c r="P254" i="31"/>
  <c r="R254" i="31"/>
  <c r="W254" i="31"/>
  <c r="K255" i="31"/>
  <c r="L255" i="31"/>
  <c r="N255" i="31"/>
  <c r="Q255" i="31"/>
  <c r="O255" i="31"/>
  <c r="P255" i="31"/>
  <c r="R255" i="31"/>
  <c r="W255" i="31"/>
  <c r="K256" i="31"/>
  <c r="L256" i="31"/>
  <c r="N256" i="31"/>
  <c r="Q256" i="31"/>
  <c r="O256" i="31"/>
  <c r="P256" i="31"/>
  <c r="R256" i="31"/>
  <c r="W256" i="31"/>
  <c r="K257" i="31"/>
  <c r="L257" i="31"/>
  <c r="N257" i="31"/>
  <c r="Q257" i="31"/>
  <c r="O257" i="31"/>
  <c r="P257" i="31"/>
  <c r="R257" i="31"/>
  <c r="W257" i="31"/>
  <c r="K258" i="31"/>
  <c r="L258" i="31"/>
  <c r="N258" i="31"/>
  <c r="Q258" i="31"/>
  <c r="O258" i="31"/>
  <c r="P258" i="31"/>
  <c r="R258" i="31"/>
  <c r="W258" i="31"/>
  <c r="K259" i="31"/>
  <c r="L259" i="31"/>
  <c r="N259" i="31"/>
  <c r="Q259" i="31"/>
  <c r="O259" i="31"/>
  <c r="P259" i="31"/>
  <c r="R259" i="31"/>
  <c r="W259" i="31"/>
  <c r="K260" i="31"/>
  <c r="L260" i="31"/>
  <c r="N260" i="31"/>
  <c r="Q260" i="31"/>
  <c r="O260" i="31"/>
  <c r="P260" i="31"/>
  <c r="R260" i="31"/>
  <c r="W260" i="31"/>
  <c r="K261" i="31"/>
  <c r="L261" i="31"/>
  <c r="N261" i="31"/>
  <c r="Q261" i="31"/>
  <c r="O261" i="31"/>
  <c r="P261" i="31"/>
  <c r="R261" i="31"/>
  <c r="W261" i="31"/>
  <c r="K262" i="31"/>
  <c r="L262" i="31"/>
  <c r="N262" i="31"/>
  <c r="Q262" i="31"/>
  <c r="O262" i="31"/>
  <c r="P262" i="31"/>
  <c r="R262" i="31"/>
  <c r="W262" i="31"/>
  <c r="K263" i="31"/>
  <c r="L263" i="31"/>
  <c r="N263" i="31"/>
  <c r="Q263" i="31"/>
  <c r="O263" i="31"/>
  <c r="P263" i="31"/>
  <c r="R263" i="31"/>
  <c r="W263" i="31"/>
  <c r="K264" i="31"/>
  <c r="L264" i="31"/>
  <c r="N264" i="31"/>
  <c r="Q264" i="31"/>
  <c r="O264" i="31"/>
  <c r="P264" i="31"/>
  <c r="R264" i="31"/>
  <c r="W264" i="31"/>
  <c r="K265" i="31"/>
  <c r="L265" i="31"/>
  <c r="N265" i="31"/>
  <c r="Q265" i="31"/>
  <c r="O265" i="31"/>
  <c r="P265" i="31"/>
  <c r="R265" i="31"/>
  <c r="W265" i="31"/>
  <c r="K266" i="31"/>
  <c r="L266" i="31"/>
  <c r="N266" i="31"/>
  <c r="Q266" i="31"/>
  <c r="O266" i="31"/>
  <c r="P266" i="31"/>
  <c r="R266" i="31"/>
  <c r="W266" i="31"/>
  <c r="K267" i="31"/>
  <c r="L267" i="31"/>
  <c r="N267" i="31"/>
  <c r="Q267" i="31"/>
  <c r="O267" i="31"/>
  <c r="P267" i="31"/>
  <c r="R267" i="31"/>
  <c r="W267" i="31"/>
  <c r="K268" i="31"/>
  <c r="L268" i="31"/>
  <c r="N268" i="31"/>
  <c r="Q268" i="31"/>
  <c r="O268" i="31"/>
  <c r="P268" i="31"/>
  <c r="R268" i="31"/>
  <c r="W268" i="31"/>
  <c r="K269" i="31"/>
  <c r="L269" i="31"/>
  <c r="N269" i="31"/>
  <c r="Q269" i="31"/>
  <c r="O269" i="31"/>
  <c r="P269" i="31"/>
  <c r="R269" i="31"/>
  <c r="W269" i="31"/>
  <c r="K270" i="31"/>
  <c r="L270" i="31"/>
  <c r="N270" i="31"/>
  <c r="Q270" i="31"/>
  <c r="O270" i="31"/>
  <c r="P270" i="31"/>
  <c r="R270" i="31"/>
  <c r="W270" i="31"/>
  <c r="K271" i="31"/>
  <c r="L271" i="31"/>
  <c r="N271" i="31"/>
  <c r="Q271" i="31"/>
  <c r="O271" i="31"/>
  <c r="P271" i="31"/>
  <c r="R271" i="31"/>
  <c r="W271" i="31"/>
  <c r="K272" i="31"/>
  <c r="L272" i="31"/>
  <c r="N272" i="31"/>
  <c r="Q272" i="31"/>
  <c r="O272" i="31"/>
  <c r="P272" i="31"/>
  <c r="R272" i="31"/>
  <c r="W272" i="31"/>
  <c r="K273" i="31"/>
  <c r="L273" i="31"/>
  <c r="N273" i="31"/>
  <c r="Q273" i="31"/>
  <c r="O273" i="31"/>
  <c r="P273" i="31"/>
  <c r="R273" i="31"/>
  <c r="W273" i="31"/>
  <c r="K274" i="31"/>
  <c r="L274" i="31"/>
  <c r="N274" i="31"/>
  <c r="Q274" i="31"/>
  <c r="O274" i="31"/>
  <c r="P274" i="31"/>
  <c r="R274" i="31"/>
  <c r="W274" i="31"/>
  <c r="K275" i="31"/>
  <c r="L275" i="31"/>
  <c r="N275" i="31"/>
  <c r="Q275" i="31"/>
  <c r="O275" i="31"/>
  <c r="P275" i="31"/>
  <c r="R275" i="31"/>
  <c r="W275" i="31"/>
  <c r="K276" i="31"/>
  <c r="L276" i="31"/>
  <c r="N276" i="31"/>
  <c r="Q276" i="31"/>
  <c r="O276" i="31"/>
  <c r="P276" i="31"/>
  <c r="R276" i="31"/>
  <c r="W276" i="31"/>
  <c r="K277" i="31"/>
  <c r="L277" i="31"/>
  <c r="N277" i="31"/>
  <c r="Q277" i="31"/>
  <c r="O277" i="31"/>
  <c r="P277" i="31"/>
  <c r="R277" i="31"/>
  <c r="W277" i="31"/>
  <c r="K278" i="31"/>
  <c r="L278" i="31"/>
  <c r="N278" i="31"/>
  <c r="Q278" i="31"/>
  <c r="O278" i="31"/>
  <c r="P278" i="31"/>
  <c r="R278" i="31"/>
  <c r="W278" i="31"/>
  <c r="K279" i="31"/>
  <c r="L279" i="31"/>
  <c r="N279" i="31"/>
  <c r="Q279" i="31"/>
  <c r="O279" i="31"/>
  <c r="P279" i="31"/>
  <c r="R279" i="31"/>
  <c r="W279" i="31"/>
  <c r="K280" i="31"/>
  <c r="L280" i="31"/>
  <c r="N280" i="31"/>
  <c r="Q280" i="31"/>
  <c r="O280" i="31"/>
  <c r="P280" i="31"/>
  <c r="R280" i="31"/>
  <c r="W280" i="31"/>
  <c r="K281" i="31"/>
  <c r="L281" i="31"/>
  <c r="N281" i="31"/>
  <c r="Q281" i="31"/>
  <c r="O281" i="31"/>
  <c r="P281" i="31"/>
  <c r="R281" i="31"/>
  <c r="W281" i="31"/>
  <c r="K282" i="31"/>
  <c r="L282" i="31"/>
  <c r="N282" i="31"/>
  <c r="Q282" i="31"/>
  <c r="O282" i="31"/>
  <c r="P282" i="31"/>
  <c r="R282" i="31"/>
  <c r="W282" i="31"/>
  <c r="K283" i="31"/>
  <c r="L283" i="31"/>
  <c r="N283" i="31"/>
  <c r="Q283" i="31"/>
  <c r="O283" i="31"/>
  <c r="P283" i="31"/>
  <c r="R283" i="31"/>
  <c r="W283" i="31"/>
  <c r="K284" i="31"/>
  <c r="L284" i="31"/>
  <c r="N284" i="31"/>
  <c r="Q284" i="31"/>
  <c r="O284" i="31"/>
  <c r="P284" i="31"/>
  <c r="R284" i="31"/>
  <c r="W284" i="31"/>
  <c r="K285" i="31"/>
  <c r="L285" i="31"/>
  <c r="N285" i="31"/>
  <c r="Q285" i="31"/>
  <c r="O285" i="31"/>
  <c r="P285" i="31"/>
  <c r="R285" i="31"/>
  <c r="W285" i="31"/>
  <c r="K286" i="31"/>
  <c r="L286" i="31"/>
  <c r="N286" i="31"/>
  <c r="Q286" i="31"/>
  <c r="O286" i="31"/>
  <c r="P286" i="31"/>
  <c r="R286" i="31"/>
  <c r="W286" i="31"/>
  <c r="K287" i="31"/>
  <c r="L287" i="31"/>
  <c r="N287" i="31"/>
  <c r="Q287" i="31"/>
  <c r="O287" i="31"/>
  <c r="P287" i="31"/>
  <c r="R287" i="31"/>
  <c r="W287" i="31"/>
  <c r="K288" i="31"/>
  <c r="L288" i="31"/>
  <c r="N288" i="31"/>
  <c r="Q288" i="31"/>
  <c r="O288" i="31"/>
  <c r="P288" i="31"/>
  <c r="R288" i="31"/>
  <c r="W288" i="31"/>
  <c r="K289" i="31"/>
  <c r="L289" i="31"/>
  <c r="N289" i="31"/>
  <c r="Q289" i="31"/>
  <c r="O289" i="31"/>
  <c r="P289" i="31"/>
  <c r="R289" i="31"/>
  <c r="W289" i="31"/>
  <c r="K290" i="31"/>
  <c r="L290" i="31"/>
  <c r="N290" i="31"/>
  <c r="Q290" i="31"/>
  <c r="O290" i="31"/>
  <c r="P290" i="31"/>
  <c r="R290" i="31"/>
  <c r="W290" i="31"/>
  <c r="K291" i="31"/>
  <c r="L291" i="31"/>
  <c r="N291" i="31"/>
  <c r="Q291" i="31"/>
  <c r="O291" i="31"/>
  <c r="P291" i="31"/>
  <c r="R291" i="31"/>
  <c r="W291" i="31"/>
  <c r="K292" i="31"/>
  <c r="L292" i="31"/>
  <c r="N292" i="31"/>
  <c r="Q292" i="31"/>
  <c r="O292" i="31"/>
  <c r="P292" i="31"/>
  <c r="R292" i="31"/>
  <c r="W292" i="31"/>
  <c r="K293" i="31"/>
  <c r="L293" i="31"/>
  <c r="N293" i="31"/>
  <c r="Q293" i="31"/>
  <c r="O293" i="31"/>
  <c r="P293" i="31"/>
  <c r="R293" i="31"/>
  <c r="W293" i="31"/>
  <c r="K294" i="31"/>
  <c r="L294" i="31"/>
  <c r="N294" i="31"/>
  <c r="Q294" i="31"/>
  <c r="O294" i="31"/>
  <c r="P294" i="31"/>
  <c r="R294" i="31"/>
  <c r="W294" i="31"/>
  <c r="K295" i="31"/>
  <c r="L295" i="31"/>
  <c r="N295" i="31"/>
  <c r="Q295" i="31"/>
  <c r="O295" i="31"/>
  <c r="P295" i="31"/>
  <c r="R295" i="31"/>
  <c r="W295" i="31"/>
  <c r="K296" i="31"/>
  <c r="L296" i="31"/>
  <c r="N296" i="31"/>
  <c r="Q296" i="31"/>
  <c r="O296" i="31"/>
  <c r="P296" i="31"/>
  <c r="R296" i="31"/>
  <c r="W296" i="31"/>
  <c r="K297" i="31"/>
  <c r="L297" i="31"/>
  <c r="N297" i="31"/>
  <c r="Q297" i="31"/>
  <c r="O297" i="31"/>
  <c r="P297" i="31"/>
  <c r="R297" i="31"/>
  <c r="W297" i="31"/>
  <c r="K298" i="31"/>
  <c r="L298" i="31"/>
  <c r="N298" i="31"/>
  <c r="Q298" i="31"/>
  <c r="O298" i="31"/>
  <c r="P298" i="31"/>
  <c r="R298" i="31"/>
  <c r="W298" i="31"/>
  <c r="K299" i="31"/>
  <c r="L299" i="31"/>
  <c r="N299" i="31"/>
  <c r="Q299" i="31"/>
  <c r="O299" i="31"/>
  <c r="P299" i="31"/>
  <c r="R299" i="31"/>
  <c r="W299" i="31"/>
  <c r="K300" i="31"/>
  <c r="L300" i="31"/>
  <c r="N300" i="31"/>
  <c r="Q300" i="31"/>
  <c r="O300" i="31"/>
  <c r="P300" i="31"/>
  <c r="R300" i="31"/>
  <c r="W300" i="31"/>
  <c r="K301" i="31"/>
  <c r="L301" i="31"/>
  <c r="N301" i="31"/>
  <c r="Q301" i="31"/>
  <c r="O301" i="31"/>
  <c r="P301" i="31"/>
  <c r="R301" i="31"/>
  <c r="W301" i="31"/>
  <c r="K302" i="31"/>
  <c r="L302" i="31"/>
  <c r="N302" i="31"/>
  <c r="Q302" i="31"/>
  <c r="O302" i="31"/>
  <c r="P302" i="31"/>
  <c r="R302" i="31"/>
  <c r="W302" i="31"/>
  <c r="K303" i="31"/>
  <c r="L303" i="31"/>
  <c r="N303" i="31"/>
  <c r="Q303" i="31"/>
  <c r="O303" i="31"/>
  <c r="P303" i="31"/>
  <c r="R303" i="31"/>
  <c r="W303" i="31"/>
  <c r="K304" i="31"/>
  <c r="L304" i="31"/>
  <c r="N304" i="31"/>
  <c r="Q304" i="31"/>
  <c r="O304" i="31"/>
  <c r="P304" i="31"/>
  <c r="R304" i="31"/>
  <c r="W304" i="31"/>
  <c r="K305" i="31"/>
  <c r="L305" i="31"/>
  <c r="N305" i="31"/>
  <c r="Q305" i="31"/>
  <c r="O305" i="31"/>
  <c r="P305" i="31"/>
  <c r="R305" i="31"/>
  <c r="W305" i="31"/>
  <c r="K306" i="31"/>
  <c r="L306" i="31"/>
  <c r="N306" i="31"/>
  <c r="Q306" i="31"/>
  <c r="O306" i="31"/>
  <c r="P306" i="31"/>
  <c r="R306" i="31"/>
  <c r="W306" i="31"/>
  <c r="K307" i="31"/>
  <c r="L307" i="31"/>
  <c r="N307" i="31"/>
  <c r="Q307" i="31"/>
  <c r="O307" i="31"/>
  <c r="P307" i="31"/>
  <c r="R307" i="31"/>
  <c r="W307" i="31"/>
  <c r="K308" i="31"/>
  <c r="L308" i="31"/>
  <c r="N308" i="31"/>
  <c r="Q308" i="31"/>
  <c r="O308" i="31"/>
  <c r="P308" i="31"/>
  <c r="R308" i="31"/>
  <c r="W308" i="31"/>
  <c r="K309" i="31"/>
  <c r="L309" i="31"/>
  <c r="N309" i="31"/>
  <c r="Q309" i="31"/>
  <c r="O309" i="31"/>
  <c r="P309" i="31"/>
  <c r="R309" i="31"/>
  <c r="W309" i="31"/>
  <c r="K310" i="31"/>
  <c r="L310" i="31"/>
  <c r="N310" i="31"/>
  <c r="Q310" i="31"/>
  <c r="O310" i="31"/>
  <c r="P310" i="31"/>
  <c r="R310" i="31"/>
  <c r="W310" i="31"/>
  <c r="K311" i="31"/>
  <c r="L311" i="31"/>
  <c r="N311" i="31"/>
  <c r="Q311" i="31"/>
  <c r="O311" i="31"/>
  <c r="P311" i="31"/>
  <c r="R311" i="31"/>
  <c r="W311" i="31"/>
  <c r="K312" i="31"/>
  <c r="L312" i="31"/>
  <c r="N312" i="31"/>
  <c r="Q312" i="31"/>
  <c r="O312" i="31"/>
  <c r="P312" i="31"/>
  <c r="R312" i="31"/>
  <c r="W312" i="31"/>
  <c r="K313" i="31"/>
  <c r="L313" i="31"/>
  <c r="N313" i="31"/>
  <c r="Q313" i="31"/>
  <c r="O313" i="31"/>
  <c r="P313" i="31"/>
  <c r="R313" i="31"/>
  <c r="W313" i="31"/>
  <c r="K314" i="31"/>
  <c r="L314" i="31"/>
  <c r="N314" i="31"/>
  <c r="Q314" i="31"/>
  <c r="O314" i="31"/>
  <c r="P314" i="31"/>
  <c r="R314" i="31"/>
  <c r="W314" i="31"/>
  <c r="K315" i="31"/>
  <c r="L315" i="31"/>
  <c r="N315" i="31"/>
  <c r="Q315" i="31"/>
  <c r="O315" i="31"/>
  <c r="P315" i="31"/>
  <c r="R315" i="31"/>
  <c r="W315" i="31"/>
  <c r="K316" i="31"/>
  <c r="L316" i="31"/>
  <c r="N316" i="31"/>
  <c r="Q316" i="31"/>
  <c r="O316" i="31"/>
  <c r="P316" i="31"/>
  <c r="R316" i="31"/>
  <c r="W316" i="31"/>
  <c r="K317" i="31"/>
  <c r="L317" i="31"/>
  <c r="N317" i="31"/>
  <c r="Q317" i="31"/>
  <c r="O317" i="31"/>
  <c r="P317" i="31"/>
  <c r="R317" i="31"/>
  <c r="W317" i="31"/>
  <c r="K318" i="31"/>
  <c r="L318" i="31"/>
  <c r="N318" i="31"/>
  <c r="Q318" i="31"/>
  <c r="O318" i="31"/>
  <c r="P318" i="31"/>
  <c r="R318" i="31"/>
  <c r="W318" i="31"/>
  <c r="K319" i="31"/>
  <c r="L319" i="31"/>
  <c r="N319" i="31"/>
  <c r="Q319" i="31"/>
  <c r="O319" i="31"/>
  <c r="P319" i="31"/>
  <c r="R319" i="31"/>
  <c r="W319" i="31"/>
  <c r="K320" i="31"/>
  <c r="L320" i="31"/>
  <c r="N320" i="31"/>
  <c r="Q320" i="31"/>
  <c r="O320" i="31"/>
  <c r="P320" i="31"/>
  <c r="R320" i="31"/>
  <c r="W320" i="31"/>
  <c r="K321" i="31"/>
  <c r="L321" i="31"/>
  <c r="N321" i="31"/>
  <c r="Q321" i="31"/>
  <c r="O321" i="31"/>
  <c r="P321" i="31"/>
  <c r="R321" i="31"/>
  <c r="W321" i="31"/>
  <c r="K322" i="31"/>
  <c r="L322" i="31"/>
  <c r="N322" i="31"/>
  <c r="Q322" i="31"/>
  <c r="O322" i="31"/>
  <c r="P322" i="31"/>
  <c r="R322" i="31"/>
  <c r="W322" i="31"/>
  <c r="K323" i="31"/>
  <c r="L323" i="31"/>
  <c r="N323" i="31"/>
  <c r="Q323" i="31"/>
  <c r="O323" i="31"/>
  <c r="P323" i="31"/>
  <c r="R323" i="31"/>
  <c r="W323" i="31"/>
  <c r="K324" i="31"/>
  <c r="L324" i="31"/>
  <c r="N324" i="31"/>
  <c r="Q324" i="31"/>
  <c r="O324" i="31"/>
  <c r="P324" i="31"/>
  <c r="R324" i="31"/>
  <c r="W324" i="31"/>
  <c r="K325" i="31"/>
  <c r="L325" i="31"/>
  <c r="N325" i="31"/>
  <c r="Q325" i="31"/>
  <c r="O325" i="31"/>
  <c r="P325" i="31"/>
  <c r="R325" i="31"/>
  <c r="W325" i="31"/>
  <c r="K326" i="31"/>
  <c r="L326" i="31"/>
  <c r="N326" i="31"/>
  <c r="Q326" i="31"/>
  <c r="O326" i="31"/>
  <c r="P326" i="31"/>
  <c r="R326" i="31"/>
  <c r="W326" i="31"/>
  <c r="K327" i="31"/>
  <c r="L327" i="31"/>
  <c r="N327" i="31"/>
  <c r="Q327" i="31"/>
  <c r="O327" i="31"/>
  <c r="P327" i="31"/>
  <c r="R327" i="31"/>
  <c r="W327" i="31"/>
  <c r="K328" i="31"/>
  <c r="L328" i="31"/>
  <c r="N328" i="31"/>
  <c r="Q328" i="31"/>
  <c r="O328" i="31"/>
  <c r="P328" i="31"/>
  <c r="R328" i="31"/>
  <c r="W328" i="31"/>
  <c r="K329" i="31"/>
  <c r="L329" i="31"/>
  <c r="N329" i="31"/>
  <c r="Q329" i="31"/>
  <c r="O329" i="31"/>
  <c r="P329" i="31"/>
  <c r="R329" i="31"/>
  <c r="W329" i="31"/>
  <c r="K330" i="31"/>
  <c r="L330" i="31"/>
  <c r="N330" i="31"/>
  <c r="Q330" i="31"/>
  <c r="O330" i="31"/>
  <c r="P330" i="31"/>
  <c r="R330" i="31"/>
  <c r="W330" i="31"/>
  <c r="K331" i="31"/>
  <c r="L331" i="31"/>
  <c r="N331" i="31"/>
  <c r="Q331" i="31"/>
  <c r="O331" i="31"/>
  <c r="P331" i="31"/>
  <c r="R331" i="31"/>
  <c r="W331" i="31"/>
  <c r="K332" i="31"/>
  <c r="L332" i="31"/>
  <c r="N332" i="31"/>
  <c r="Q332" i="31"/>
  <c r="O332" i="31"/>
  <c r="P332" i="31"/>
  <c r="R332" i="31"/>
  <c r="W332" i="31"/>
  <c r="K333" i="31"/>
  <c r="L333" i="31"/>
  <c r="N333" i="31"/>
  <c r="Q333" i="31"/>
  <c r="O333" i="31"/>
  <c r="P333" i="31"/>
  <c r="R333" i="31"/>
  <c r="W333" i="31"/>
  <c r="K334" i="31"/>
  <c r="L334" i="31"/>
  <c r="N334" i="31"/>
  <c r="Q334" i="31"/>
  <c r="O334" i="31"/>
  <c r="P334" i="31"/>
  <c r="R334" i="31"/>
  <c r="W334" i="31"/>
  <c r="K335" i="31"/>
  <c r="L335" i="31"/>
  <c r="N335" i="31"/>
  <c r="Q335" i="31"/>
  <c r="O335" i="31"/>
  <c r="P335" i="31"/>
  <c r="R335" i="31"/>
  <c r="W335" i="31"/>
  <c r="K336" i="31"/>
  <c r="L336" i="31"/>
  <c r="N336" i="31"/>
  <c r="Q336" i="31"/>
  <c r="O336" i="31"/>
  <c r="P336" i="31"/>
  <c r="R336" i="31"/>
  <c r="W336" i="31"/>
  <c r="K337" i="31"/>
  <c r="L337" i="31"/>
  <c r="N337" i="31"/>
  <c r="Q337" i="31"/>
  <c r="O337" i="31"/>
  <c r="P337" i="31"/>
  <c r="R337" i="31"/>
  <c r="W337" i="31"/>
  <c r="K338" i="31"/>
  <c r="L338" i="31"/>
  <c r="N338" i="31"/>
  <c r="Q338" i="31"/>
  <c r="O338" i="31"/>
  <c r="P338" i="31"/>
  <c r="R338" i="31"/>
  <c r="W338" i="31"/>
  <c r="K339" i="31"/>
  <c r="L339" i="31"/>
  <c r="N339" i="31"/>
  <c r="Q339" i="31"/>
  <c r="O339" i="31"/>
  <c r="P339" i="31"/>
  <c r="R339" i="31"/>
  <c r="W339" i="31"/>
  <c r="K340" i="31"/>
  <c r="L340" i="31"/>
  <c r="N340" i="31"/>
  <c r="Q340" i="31"/>
  <c r="O340" i="31"/>
  <c r="P340" i="31"/>
  <c r="R340" i="31"/>
  <c r="W340" i="31"/>
  <c r="K341" i="31"/>
  <c r="L341" i="31"/>
  <c r="N341" i="31"/>
  <c r="Q341" i="31"/>
  <c r="O341" i="31"/>
  <c r="P341" i="31"/>
  <c r="R341" i="31"/>
  <c r="W341" i="31"/>
  <c r="K342" i="31"/>
  <c r="L342" i="31"/>
  <c r="N342" i="31"/>
  <c r="Q342" i="31"/>
  <c r="O342" i="31"/>
  <c r="P342" i="31"/>
  <c r="R342" i="31"/>
  <c r="W342" i="31"/>
  <c r="K343" i="31"/>
  <c r="L343" i="31"/>
  <c r="N343" i="31"/>
  <c r="Q343" i="31"/>
  <c r="O343" i="31"/>
  <c r="P343" i="31"/>
  <c r="R343" i="31"/>
  <c r="W343" i="31"/>
  <c r="K344" i="31"/>
  <c r="L344" i="31"/>
  <c r="N344" i="31"/>
  <c r="Q344" i="31"/>
  <c r="O344" i="31"/>
  <c r="P344" i="31"/>
  <c r="R344" i="31"/>
  <c r="W344" i="31"/>
  <c r="K345" i="31"/>
  <c r="L345" i="31"/>
  <c r="N345" i="31"/>
  <c r="Q345" i="31"/>
  <c r="O345" i="31"/>
  <c r="P345" i="31"/>
  <c r="R345" i="31"/>
  <c r="W345" i="31"/>
  <c r="K346" i="31"/>
  <c r="L346" i="31"/>
  <c r="N346" i="31"/>
  <c r="Q346" i="31"/>
  <c r="O346" i="31"/>
  <c r="P346" i="31"/>
  <c r="R346" i="31"/>
  <c r="W346" i="31"/>
  <c r="K347" i="31"/>
  <c r="L347" i="31"/>
  <c r="N347" i="31"/>
  <c r="Q347" i="31"/>
  <c r="O347" i="31"/>
  <c r="P347" i="31"/>
  <c r="R347" i="31"/>
  <c r="W347" i="31"/>
  <c r="K348" i="31"/>
  <c r="L348" i="31"/>
  <c r="N348" i="31"/>
  <c r="Q348" i="31"/>
  <c r="O348" i="31"/>
  <c r="P348" i="31"/>
  <c r="R348" i="31"/>
  <c r="W348" i="31"/>
  <c r="K349" i="31"/>
  <c r="L349" i="31"/>
  <c r="N349" i="31"/>
  <c r="Q349" i="31"/>
  <c r="O349" i="31"/>
  <c r="P349" i="31"/>
  <c r="R349" i="31"/>
  <c r="W349" i="31"/>
  <c r="K350" i="31"/>
  <c r="L350" i="31"/>
  <c r="N350" i="31"/>
  <c r="Q350" i="31"/>
  <c r="O350" i="31"/>
  <c r="P350" i="31"/>
  <c r="R350" i="31"/>
  <c r="W350" i="31"/>
  <c r="K351" i="31"/>
  <c r="L351" i="31"/>
  <c r="N351" i="31"/>
  <c r="Q351" i="31"/>
  <c r="O351" i="31"/>
  <c r="P351" i="31"/>
  <c r="R351" i="31"/>
  <c r="W351" i="31"/>
  <c r="K352" i="31"/>
  <c r="L352" i="31"/>
  <c r="N352" i="31"/>
  <c r="Q352" i="31"/>
  <c r="O352" i="31"/>
  <c r="P352" i="31"/>
  <c r="R352" i="31"/>
  <c r="W352" i="31"/>
  <c r="K353" i="31"/>
  <c r="L353" i="31"/>
  <c r="N353" i="31"/>
  <c r="Q353" i="31"/>
  <c r="O353" i="31"/>
  <c r="P353" i="31"/>
  <c r="R353" i="31"/>
  <c r="W353" i="31"/>
  <c r="K354" i="31"/>
  <c r="L354" i="31"/>
  <c r="N354" i="31"/>
  <c r="Q354" i="31"/>
  <c r="O354" i="31"/>
  <c r="P354" i="31"/>
  <c r="R354" i="31"/>
  <c r="W354" i="31"/>
  <c r="K355" i="31"/>
  <c r="L355" i="31"/>
  <c r="N355" i="31"/>
  <c r="Q355" i="31"/>
  <c r="O355" i="31"/>
  <c r="P355" i="31"/>
  <c r="R355" i="31"/>
  <c r="W355" i="31"/>
  <c r="K356" i="31"/>
  <c r="L356" i="31"/>
  <c r="N356" i="31"/>
  <c r="Q356" i="31"/>
  <c r="O356" i="31"/>
  <c r="P356" i="31"/>
  <c r="R356" i="31"/>
  <c r="W356" i="31"/>
  <c r="K357" i="31"/>
  <c r="L357" i="31"/>
  <c r="N357" i="31"/>
  <c r="Q357" i="31"/>
  <c r="O357" i="31"/>
  <c r="P357" i="31"/>
  <c r="R357" i="31"/>
  <c r="W357" i="31"/>
  <c r="K358" i="31"/>
  <c r="L358" i="31"/>
  <c r="N358" i="31"/>
  <c r="Q358" i="31"/>
  <c r="O358" i="31"/>
  <c r="P358" i="31"/>
  <c r="R358" i="31"/>
  <c r="W358" i="31"/>
  <c r="K359" i="31"/>
  <c r="L359" i="31"/>
  <c r="N359" i="31"/>
  <c r="Q359" i="31"/>
  <c r="O359" i="31"/>
  <c r="P359" i="31"/>
  <c r="R359" i="31"/>
  <c r="W359" i="31"/>
  <c r="K360" i="31"/>
  <c r="L360" i="31"/>
  <c r="N360" i="31"/>
  <c r="Q360" i="31"/>
  <c r="O360" i="31"/>
  <c r="P360" i="31"/>
  <c r="R360" i="31"/>
  <c r="W360" i="31"/>
  <c r="K361" i="31"/>
  <c r="L361" i="31"/>
  <c r="N361" i="31"/>
  <c r="Q361" i="31"/>
  <c r="O361" i="31"/>
  <c r="P361" i="31"/>
  <c r="R361" i="31"/>
  <c r="W361" i="31"/>
  <c r="K362" i="31"/>
  <c r="L362" i="31"/>
  <c r="N362" i="31"/>
  <c r="Q362" i="31"/>
  <c r="O362" i="31"/>
  <c r="P362" i="31"/>
  <c r="R362" i="31"/>
  <c r="W362" i="31"/>
  <c r="K363" i="31"/>
  <c r="L363" i="31"/>
  <c r="N363" i="31"/>
  <c r="Q363" i="31"/>
  <c r="O363" i="31"/>
  <c r="P363" i="31"/>
  <c r="R363" i="31"/>
  <c r="W363" i="31"/>
  <c r="K364" i="31"/>
  <c r="L364" i="31"/>
  <c r="N364" i="31"/>
  <c r="Q364" i="31"/>
  <c r="O364" i="31"/>
  <c r="P364" i="31"/>
  <c r="R364" i="31"/>
  <c r="W364" i="31"/>
  <c r="K365" i="31"/>
  <c r="L365" i="31"/>
  <c r="N365" i="31"/>
  <c r="Q365" i="31"/>
  <c r="O365" i="31"/>
  <c r="P365" i="31"/>
  <c r="R365" i="31"/>
  <c r="W365" i="31"/>
  <c r="K366" i="31"/>
  <c r="L366" i="31"/>
  <c r="N366" i="31"/>
  <c r="Q366" i="31"/>
  <c r="O366" i="31"/>
  <c r="P366" i="31"/>
  <c r="R366" i="31"/>
  <c r="W366" i="31"/>
  <c r="K367" i="31"/>
  <c r="L367" i="31"/>
  <c r="N367" i="31"/>
  <c r="Q367" i="31"/>
  <c r="O367" i="31"/>
  <c r="P367" i="31"/>
  <c r="R367" i="31"/>
  <c r="W367" i="31"/>
  <c r="K368" i="31"/>
  <c r="L368" i="31"/>
  <c r="N368" i="31"/>
  <c r="Q368" i="31"/>
  <c r="O368" i="31"/>
  <c r="P368" i="31"/>
  <c r="R368" i="31"/>
  <c r="W368" i="31"/>
  <c r="K369" i="31"/>
  <c r="L369" i="31"/>
  <c r="N369" i="31"/>
  <c r="Q369" i="31"/>
  <c r="O369" i="31"/>
  <c r="P369" i="31"/>
  <c r="R369" i="31"/>
  <c r="W369" i="31"/>
  <c r="K370" i="31"/>
  <c r="L370" i="31"/>
  <c r="N370" i="31"/>
  <c r="Q370" i="31"/>
  <c r="O370" i="31"/>
  <c r="P370" i="31"/>
  <c r="R370" i="31"/>
  <c r="W370" i="31"/>
  <c r="K371" i="31"/>
  <c r="L371" i="31"/>
  <c r="N371" i="31"/>
  <c r="Q371" i="31"/>
  <c r="O371" i="31"/>
  <c r="P371" i="31"/>
  <c r="R371" i="31"/>
  <c r="W371" i="31"/>
  <c r="K372" i="31"/>
  <c r="L372" i="31"/>
  <c r="N372" i="31"/>
  <c r="Q372" i="31"/>
  <c r="O372" i="31"/>
  <c r="P372" i="31"/>
  <c r="R372" i="31"/>
  <c r="W372" i="31"/>
  <c r="K373" i="31"/>
  <c r="L373" i="31"/>
  <c r="N373" i="31"/>
  <c r="Q373" i="31"/>
  <c r="O373" i="31"/>
  <c r="P373" i="31"/>
  <c r="R373" i="31"/>
  <c r="W373" i="31"/>
  <c r="K374" i="31"/>
  <c r="L374" i="31"/>
  <c r="N374" i="31"/>
  <c r="Q374" i="31"/>
  <c r="O374" i="31"/>
  <c r="P374" i="31"/>
  <c r="R374" i="31"/>
  <c r="W374" i="31"/>
  <c r="K375" i="31"/>
  <c r="L375" i="31"/>
  <c r="N375" i="31"/>
  <c r="Q375" i="31"/>
  <c r="O375" i="31"/>
  <c r="P375" i="31"/>
  <c r="R375" i="31"/>
  <c r="W375" i="31"/>
  <c r="K376" i="31"/>
  <c r="L376" i="31"/>
  <c r="N376" i="31"/>
  <c r="Q376" i="31"/>
  <c r="O376" i="31"/>
  <c r="P376" i="31"/>
  <c r="R376" i="31"/>
  <c r="W376" i="31"/>
  <c r="K377" i="31"/>
  <c r="L377" i="31"/>
  <c r="N377" i="31"/>
  <c r="Q377" i="31"/>
  <c r="O377" i="31"/>
  <c r="P377" i="31"/>
  <c r="R377" i="31"/>
  <c r="W377" i="31"/>
  <c r="K378" i="31"/>
  <c r="L378" i="31"/>
  <c r="N378" i="31"/>
  <c r="Q378" i="31"/>
  <c r="O378" i="31"/>
  <c r="P378" i="31"/>
  <c r="R378" i="31"/>
  <c r="W378" i="31"/>
  <c r="K379" i="31"/>
  <c r="L379" i="31"/>
  <c r="N379" i="31"/>
  <c r="Q379" i="31"/>
  <c r="O379" i="31"/>
  <c r="P379" i="31"/>
  <c r="R379" i="31"/>
  <c r="W379" i="31"/>
  <c r="K380" i="31"/>
  <c r="L380" i="31"/>
  <c r="N380" i="31"/>
  <c r="Q380" i="31"/>
  <c r="O380" i="31"/>
  <c r="P380" i="31"/>
  <c r="R380" i="31"/>
  <c r="W380" i="31"/>
  <c r="K381" i="31"/>
  <c r="L381" i="31"/>
  <c r="N381" i="31"/>
  <c r="Q381" i="31"/>
  <c r="O381" i="31"/>
  <c r="P381" i="31"/>
  <c r="R381" i="31"/>
  <c r="W381" i="31"/>
  <c r="K382" i="31"/>
  <c r="L382" i="31"/>
  <c r="N382" i="31"/>
  <c r="Q382" i="31"/>
  <c r="O382" i="31"/>
  <c r="P382" i="31"/>
  <c r="R382" i="31"/>
  <c r="W382" i="31"/>
  <c r="K383" i="31"/>
  <c r="L383" i="31"/>
  <c r="N383" i="31"/>
  <c r="Q383" i="31"/>
  <c r="O383" i="31"/>
  <c r="P383" i="31"/>
  <c r="R383" i="31"/>
  <c r="W383" i="31"/>
  <c r="K384" i="31"/>
  <c r="L384" i="31"/>
  <c r="N384" i="31"/>
  <c r="Q384" i="31"/>
  <c r="O384" i="31"/>
  <c r="P384" i="31"/>
  <c r="R384" i="31"/>
  <c r="W384" i="31"/>
  <c r="K385" i="31"/>
  <c r="L385" i="31"/>
  <c r="N385" i="31"/>
  <c r="Q385" i="31"/>
  <c r="O385" i="31"/>
  <c r="P385" i="31"/>
  <c r="R385" i="31"/>
  <c r="W385" i="31"/>
  <c r="K386" i="31"/>
  <c r="L386" i="31"/>
  <c r="N386" i="31"/>
  <c r="Q386" i="31"/>
  <c r="O386" i="31"/>
  <c r="P386" i="31"/>
  <c r="R386" i="31"/>
  <c r="W386" i="31"/>
  <c r="K387" i="31"/>
  <c r="L387" i="31"/>
  <c r="N387" i="31"/>
  <c r="Q387" i="31"/>
  <c r="O387" i="31"/>
  <c r="P387" i="31"/>
  <c r="R387" i="31"/>
  <c r="W387" i="31"/>
  <c r="K388" i="31"/>
  <c r="L388" i="31"/>
  <c r="N388" i="31"/>
  <c r="Q388" i="31"/>
  <c r="O388" i="31"/>
  <c r="P388" i="31"/>
  <c r="R388" i="31"/>
  <c r="W388" i="31"/>
  <c r="K389" i="31"/>
  <c r="L389" i="31"/>
  <c r="N389" i="31"/>
  <c r="Q389" i="31"/>
  <c r="O389" i="31"/>
  <c r="P389" i="31"/>
  <c r="R389" i="31"/>
  <c r="W389" i="31"/>
  <c r="K390" i="31"/>
  <c r="L390" i="31"/>
  <c r="N390" i="31"/>
  <c r="Q390" i="31"/>
  <c r="O390" i="31"/>
  <c r="P390" i="31"/>
  <c r="R390" i="31"/>
  <c r="W390" i="31"/>
  <c r="K391" i="31"/>
  <c r="L391" i="31"/>
  <c r="N391" i="31"/>
  <c r="Q391" i="31"/>
  <c r="O391" i="31"/>
  <c r="P391" i="31"/>
  <c r="R391" i="31"/>
  <c r="W391" i="31"/>
  <c r="K392" i="31"/>
  <c r="L392" i="31"/>
  <c r="N392" i="31"/>
  <c r="Q392" i="31"/>
  <c r="O392" i="31"/>
  <c r="P392" i="31"/>
  <c r="R392" i="31"/>
  <c r="W392" i="31"/>
  <c r="K393" i="31"/>
  <c r="L393" i="31"/>
  <c r="N393" i="31"/>
  <c r="Q393" i="31"/>
  <c r="O393" i="31"/>
  <c r="P393" i="31"/>
  <c r="R393" i="31"/>
  <c r="W393" i="31"/>
  <c r="K394" i="31"/>
  <c r="L394" i="31"/>
  <c r="N394" i="31"/>
  <c r="Q394" i="31"/>
  <c r="O394" i="31"/>
  <c r="P394" i="31"/>
  <c r="R394" i="31"/>
  <c r="W394" i="31"/>
  <c r="K395" i="31"/>
  <c r="L395" i="31"/>
  <c r="N395" i="31"/>
  <c r="Q395" i="31"/>
  <c r="O395" i="31"/>
  <c r="P395" i="31"/>
  <c r="R395" i="31"/>
  <c r="W395" i="31"/>
  <c r="K396" i="31"/>
  <c r="L396" i="31"/>
  <c r="N396" i="31"/>
  <c r="Q396" i="31"/>
  <c r="O396" i="31"/>
  <c r="P396" i="31"/>
  <c r="R396" i="31"/>
  <c r="W396" i="31"/>
  <c r="K397" i="31"/>
  <c r="L397" i="31"/>
  <c r="N397" i="31"/>
  <c r="Q397" i="31"/>
  <c r="O397" i="31"/>
  <c r="P397" i="31"/>
  <c r="R397" i="31"/>
  <c r="W397" i="31"/>
  <c r="K398" i="31"/>
  <c r="L398" i="31"/>
  <c r="N398" i="31"/>
  <c r="Q398" i="31"/>
  <c r="O398" i="31"/>
  <c r="P398" i="31"/>
  <c r="R398" i="31"/>
  <c r="W398" i="31"/>
  <c r="K399" i="31"/>
  <c r="L399" i="31"/>
  <c r="N399" i="31"/>
  <c r="Q399" i="31"/>
  <c r="O399" i="31"/>
  <c r="P399" i="31"/>
  <c r="R399" i="31"/>
  <c r="W399" i="31"/>
  <c r="K400" i="31"/>
  <c r="L400" i="31"/>
  <c r="N400" i="31"/>
  <c r="Q400" i="31"/>
  <c r="O400" i="31"/>
  <c r="P400" i="31"/>
  <c r="R400" i="31"/>
  <c r="W400" i="31"/>
  <c r="K401" i="31"/>
  <c r="L401" i="31"/>
  <c r="N401" i="31"/>
  <c r="Q401" i="31"/>
  <c r="O401" i="31"/>
  <c r="P401" i="31"/>
  <c r="R401" i="31"/>
  <c r="W401" i="31"/>
  <c r="K402" i="31"/>
  <c r="L402" i="31"/>
  <c r="N402" i="31"/>
  <c r="Q402" i="31"/>
  <c r="O402" i="31"/>
  <c r="P402" i="31"/>
  <c r="R402" i="31"/>
  <c r="W402" i="31"/>
  <c r="K403" i="31"/>
  <c r="L403" i="31"/>
  <c r="N403" i="31"/>
  <c r="Q403" i="31"/>
  <c r="O403" i="31"/>
  <c r="P403" i="31"/>
  <c r="R403" i="31"/>
  <c r="W403" i="31"/>
  <c r="K404" i="31"/>
  <c r="L404" i="31"/>
  <c r="N404" i="31"/>
  <c r="Q404" i="31"/>
  <c r="O404" i="31"/>
  <c r="P404" i="31"/>
  <c r="R404" i="31"/>
  <c r="W404" i="31"/>
  <c r="K405" i="31"/>
  <c r="L405" i="31"/>
  <c r="N405" i="31"/>
  <c r="Q405" i="31"/>
  <c r="O405" i="31"/>
  <c r="P405" i="31"/>
  <c r="R405" i="31"/>
  <c r="W405" i="31"/>
  <c r="K406" i="31"/>
  <c r="L406" i="31"/>
  <c r="N406" i="31"/>
  <c r="Q406" i="31"/>
  <c r="O406" i="31"/>
  <c r="P406" i="31"/>
  <c r="R406" i="31"/>
  <c r="W406" i="31"/>
  <c r="K407" i="31"/>
  <c r="L407" i="31"/>
  <c r="N407" i="31"/>
  <c r="Q407" i="31"/>
  <c r="O407" i="31"/>
  <c r="P407" i="31"/>
  <c r="R407" i="31"/>
  <c r="W407" i="31"/>
  <c r="K408" i="31"/>
  <c r="L408" i="31"/>
  <c r="N408" i="31"/>
  <c r="Q408" i="31"/>
  <c r="O408" i="31"/>
  <c r="P408" i="31"/>
  <c r="R408" i="31"/>
  <c r="W408" i="31"/>
  <c r="K409" i="31"/>
  <c r="L409" i="31"/>
  <c r="N409" i="31"/>
  <c r="Q409" i="31"/>
  <c r="O409" i="31"/>
  <c r="P409" i="31"/>
  <c r="R409" i="31"/>
  <c r="W409" i="31"/>
  <c r="K410" i="31"/>
  <c r="L410" i="31"/>
  <c r="N410" i="31"/>
  <c r="Q410" i="31"/>
  <c r="O410" i="31"/>
  <c r="P410" i="31"/>
  <c r="R410" i="31"/>
  <c r="W410" i="31"/>
  <c r="K411" i="31"/>
  <c r="L411" i="31"/>
  <c r="N411" i="31"/>
  <c r="Q411" i="31"/>
  <c r="O411" i="31"/>
  <c r="P411" i="31"/>
  <c r="R411" i="31"/>
  <c r="W411" i="31"/>
  <c r="K412" i="31"/>
  <c r="L412" i="31"/>
  <c r="N412" i="31"/>
  <c r="Q412" i="31"/>
  <c r="O412" i="31"/>
  <c r="P412" i="31"/>
  <c r="R412" i="31"/>
  <c r="W412" i="31"/>
  <c r="K413" i="31"/>
  <c r="L413" i="31"/>
  <c r="N413" i="31"/>
  <c r="Q413" i="31"/>
  <c r="O413" i="31"/>
  <c r="P413" i="31"/>
  <c r="R413" i="31"/>
  <c r="W413" i="31"/>
  <c r="K414" i="31"/>
  <c r="L414" i="31"/>
  <c r="N414" i="31"/>
  <c r="Q414" i="31"/>
  <c r="O414" i="31"/>
  <c r="P414" i="31"/>
  <c r="R414" i="31"/>
  <c r="W414" i="31"/>
  <c r="K415" i="31"/>
  <c r="L415" i="31"/>
  <c r="N415" i="31"/>
  <c r="Q415" i="31"/>
  <c r="O415" i="31"/>
  <c r="P415" i="31"/>
  <c r="R415" i="31"/>
  <c r="W415" i="31"/>
  <c r="K416" i="31"/>
  <c r="L416" i="31"/>
  <c r="N416" i="31"/>
  <c r="Q416" i="31"/>
  <c r="O416" i="31"/>
  <c r="P416" i="31"/>
  <c r="R416" i="31"/>
  <c r="W416" i="31"/>
  <c r="K417" i="31"/>
  <c r="L417" i="31"/>
  <c r="N417" i="31"/>
  <c r="Q417" i="31"/>
  <c r="O417" i="31"/>
  <c r="P417" i="31"/>
  <c r="R417" i="31"/>
  <c r="W417" i="31"/>
  <c r="K418" i="31"/>
  <c r="L418" i="31"/>
  <c r="N418" i="31"/>
  <c r="Q418" i="31"/>
  <c r="O418" i="31"/>
  <c r="P418" i="31"/>
  <c r="R418" i="31"/>
  <c r="W418" i="31"/>
  <c r="K419" i="31"/>
  <c r="L419" i="31"/>
  <c r="N419" i="31"/>
  <c r="Q419" i="31"/>
  <c r="O419" i="31"/>
  <c r="P419" i="31"/>
  <c r="R419" i="31"/>
  <c r="W419" i="31"/>
  <c r="K420" i="31"/>
  <c r="L420" i="31"/>
  <c r="N420" i="31"/>
  <c r="Q420" i="31"/>
  <c r="O420" i="31"/>
  <c r="P420" i="31"/>
  <c r="R420" i="31"/>
  <c r="W420" i="31"/>
  <c r="K421" i="31"/>
  <c r="L421" i="31"/>
  <c r="N421" i="31"/>
  <c r="Q421" i="31"/>
  <c r="O421" i="31"/>
  <c r="P421" i="31"/>
  <c r="R421" i="31"/>
  <c r="W421" i="31"/>
  <c r="K422" i="31"/>
  <c r="L422" i="31"/>
  <c r="N422" i="31"/>
  <c r="Q422" i="31"/>
  <c r="O422" i="31"/>
  <c r="P422" i="31"/>
  <c r="R422" i="31"/>
  <c r="W422" i="31"/>
  <c r="K423" i="31"/>
  <c r="L423" i="31"/>
  <c r="N423" i="31"/>
  <c r="Q423" i="31"/>
  <c r="O423" i="31"/>
  <c r="P423" i="31"/>
  <c r="R423" i="31"/>
  <c r="W423" i="31"/>
  <c r="K424" i="31"/>
  <c r="L424" i="31"/>
  <c r="N424" i="31"/>
  <c r="Q424" i="31"/>
  <c r="O424" i="31"/>
  <c r="P424" i="31"/>
  <c r="R424" i="31"/>
  <c r="W424" i="31"/>
  <c r="K425" i="31"/>
  <c r="L425" i="31"/>
  <c r="N425" i="31"/>
  <c r="Q425" i="31"/>
  <c r="O425" i="31"/>
  <c r="P425" i="31"/>
  <c r="R425" i="31"/>
  <c r="W425" i="31"/>
  <c r="K426" i="31"/>
  <c r="L426" i="31"/>
  <c r="N426" i="31"/>
  <c r="Q426" i="31"/>
  <c r="O426" i="31"/>
  <c r="P426" i="31"/>
  <c r="R426" i="31"/>
  <c r="W426" i="31"/>
  <c r="K427" i="31"/>
  <c r="L427" i="31"/>
  <c r="N427" i="31"/>
  <c r="Q427" i="31"/>
  <c r="O427" i="31"/>
  <c r="P427" i="31"/>
  <c r="R427" i="31"/>
  <c r="W427" i="31"/>
  <c r="K428" i="31"/>
  <c r="L428" i="31"/>
  <c r="N428" i="31"/>
  <c r="Q428" i="31"/>
  <c r="O428" i="31"/>
  <c r="P428" i="31"/>
  <c r="R428" i="31"/>
  <c r="W428" i="31"/>
  <c r="K429" i="31"/>
  <c r="L429" i="31"/>
  <c r="N429" i="31"/>
  <c r="Q429" i="31"/>
  <c r="O429" i="31"/>
  <c r="P429" i="31"/>
  <c r="R429" i="31"/>
  <c r="W429" i="31"/>
  <c r="K430" i="31"/>
  <c r="L430" i="31"/>
  <c r="N430" i="31"/>
  <c r="Q430" i="31"/>
  <c r="O430" i="31"/>
  <c r="P430" i="31"/>
  <c r="R430" i="31"/>
  <c r="W430" i="31"/>
  <c r="K431" i="31"/>
  <c r="L431" i="31"/>
  <c r="N431" i="31"/>
  <c r="Q431" i="31"/>
  <c r="O431" i="31"/>
  <c r="P431" i="31"/>
  <c r="R431" i="31"/>
  <c r="W431" i="31"/>
  <c r="K432" i="31"/>
  <c r="L432" i="31"/>
  <c r="N432" i="31"/>
  <c r="Q432" i="31"/>
  <c r="O432" i="31"/>
  <c r="P432" i="31"/>
  <c r="R432" i="31"/>
  <c r="W432" i="31"/>
  <c r="K433" i="31"/>
  <c r="L433" i="31"/>
  <c r="N433" i="31"/>
  <c r="Q433" i="31"/>
  <c r="O433" i="31"/>
  <c r="P433" i="31"/>
  <c r="R433" i="31"/>
  <c r="W433" i="31"/>
  <c r="K434" i="31"/>
  <c r="L434" i="31"/>
  <c r="N434" i="31"/>
  <c r="Q434" i="31"/>
  <c r="O434" i="31"/>
  <c r="P434" i="31"/>
  <c r="R434" i="31"/>
  <c r="W434" i="31"/>
  <c r="K435" i="31"/>
  <c r="L435" i="31"/>
  <c r="N435" i="31"/>
  <c r="Q435" i="31"/>
  <c r="O435" i="31"/>
  <c r="P435" i="31"/>
  <c r="R435" i="31"/>
  <c r="W435" i="31"/>
  <c r="K436" i="31"/>
  <c r="L436" i="31"/>
  <c r="N436" i="31"/>
  <c r="Q436" i="31"/>
  <c r="O436" i="31"/>
  <c r="P436" i="31"/>
  <c r="R436" i="31"/>
  <c r="W436" i="31"/>
  <c r="K437" i="31"/>
  <c r="L437" i="31"/>
  <c r="N437" i="31"/>
  <c r="Q437" i="31"/>
  <c r="O437" i="31"/>
  <c r="P437" i="31"/>
  <c r="R437" i="31"/>
  <c r="W437" i="31"/>
  <c r="K438" i="31"/>
  <c r="L438" i="31"/>
  <c r="N438" i="31"/>
  <c r="Q438" i="31"/>
  <c r="O438" i="31"/>
  <c r="P438" i="31"/>
  <c r="R438" i="31"/>
  <c r="W438" i="31"/>
  <c r="K439" i="31"/>
  <c r="L439" i="31"/>
  <c r="N439" i="31"/>
  <c r="Q439" i="31"/>
  <c r="O439" i="31"/>
  <c r="P439" i="31"/>
  <c r="R439" i="31"/>
  <c r="W439" i="31"/>
  <c r="K440" i="31"/>
  <c r="L440" i="31"/>
  <c r="N440" i="31"/>
  <c r="Q440" i="31"/>
  <c r="O440" i="31"/>
  <c r="P440" i="31"/>
  <c r="R440" i="31"/>
  <c r="W440" i="31"/>
  <c r="K441" i="31"/>
  <c r="L441" i="31"/>
  <c r="N441" i="31"/>
  <c r="Q441" i="31"/>
  <c r="O441" i="31"/>
  <c r="P441" i="31"/>
  <c r="R441" i="31"/>
  <c r="W441" i="31"/>
  <c r="K442" i="31"/>
  <c r="L442" i="31"/>
  <c r="N442" i="31"/>
  <c r="Q442" i="31"/>
  <c r="O442" i="31"/>
  <c r="P442" i="31"/>
  <c r="R442" i="31"/>
  <c r="W442" i="31"/>
  <c r="K443" i="31"/>
  <c r="L443" i="31"/>
  <c r="N443" i="31"/>
  <c r="Q443" i="31"/>
  <c r="O443" i="31"/>
  <c r="P443" i="31"/>
  <c r="R443" i="31"/>
  <c r="W443" i="31"/>
  <c r="K444" i="31"/>
  <c r="L444" i="31"/>
  <c r="N444" i="31"/>
  <c r="Q444" i="31"/>
  <c r="O444" i="31"/>
  <c r="P444" i="31"/>
  <c r="R444" i="31"/>
  <c r="W444" i="31"/>
  <c r="K445" i="31"/>
  <c r="L445" i="31"/>
  <c r="N445" i="31"/>
  <c r="Q445" i="31"/>
  <c r="O445" i="31"/>
  <c r="P445" i="31"/>
  <c r="R445" i="31"/>
  <c r="W445" i="31"/>
  <c r="K446" i="31"/>
  <c r="L446" i="31"/>
  <c r="N446" i="31"/>
  <c r="Q446" i="31"/>
  <c r="O446" i="31"/>
  <c r="P446" i="31"/>
  <c r="R446" i="31"/>
  <c r="W446" i="31"/>
  <c r="K447" i="31"/>
  <c r="L447" i="31"/>
  <c r="N447" i="31"/>
  <c r="Q447" i="31"/>
  <c r="O447" i="31"/>
  <c r="P447" i="31"/>
  <c r="R447" i="31"/>
  <c r="W447" i="31"/>
  <c r="K448" i="31"/>
  <c r="L448" i="31"/>
  <c r="N448" i="31"/>
  <c r="Q448" i="31"/>
  <c r="O448" i="31"/>
  <c r="P448" i="31"/>
  <c r="R448" i="31"/>
  <c r="W448" i="31"/>
  <c r="K449" i="31"/>
  <c r="L449" i="31"/>
  <c r="N449" i="31"/>
  <c r="Q449" i="31"/>
  <c r="O449" i="31"/>
  <c r="P449" i="31"/>
  <c r="R449" i="31"/>
  <c r="W449" i="31"/>
  <c r="K450" i="31"/>
  <c r="L450" i="31"/>
  <c r="N450" i="31"/>
  <c r="Q450" i="31"/>
  <c r="O450" i="31"/>
  <c r="P450" i="31"/>
  <c r="R450" i="31"/>
  <c r="W450" i="31"/>
  <c r="K451" i="31"/>
  <c r="L451" i="31"/>
  <c r="N451" i="31"/>
  <c r="Q451" i="31"/>
  <c r="O451" i="31"/>
  <c r="P451" i="31"/>
  <c r="R451" i="31"/>
  <c r="W451" i="31"/>
  <c r="K452" i="31"/>
  <c r="L452" i="31"/>
  <c r="N452" i="31"/>
  <c r="Q452" i="31"/>
  <c r="O452" i="31"/>
  <c r="P452" i="31"/>
  <c r="R452" i="31"/>
  <c r="W452" i="31"/>
  <c r="K453" i="31"/>
  <c r="L453" i="31"/>
  <c r="N453" i="31"/>
  <c r="Q453" i="31"/>
  <c r="O453" i="31"/>
  <c r="P453" i="31"/>
  <c r="R453" i="31"/>
  <c r="W453" i="31"/>
  <c r="K454" i="31"/>
  <c r="L454" i="31"/>
  <c r="N454" i="31"/>
  <c r="Q454" i="31"/>
  <c r="O454" i="31"/>
  <c r="P454" i="31"/>
  <c r="R454" i="31"/>
  <c r="W454" i="31"/>
  <c r="K455" i="31"/>
  <c r="L455" i="31"/>
  <c r="N455" i="31"/>
  <c r="Q455" i="31"/>
  <c r="O455" i="31"/>
  <c r="P455" i="31"/>
  <c r="R455" i="31"/>
  <c r="W455" i="31"/>
  <c r="K456" i="31"/>
  <c r="L456" i="31"/>
  <c r="N456" i="31"/>
  <c r="Q456" i="31"/>
  <c r="O456" i="31"/>
  <c r="P456" i="31"/>
  <c r="R456" i="31"/>
  <c r="W456" i="31"/>
  <c r="K457" i="31"/>
  <c r="L457" i="31"/>
  <c r="N457" i="31"/>
  <c r="Q457" i="31"/>
  <c r="O457" i="31"/>
  <c r="P457" i="31"/>
  <c r="R457" i="31"/>
  <c r="W457" i="31"/>
  <c r="K458" i="31"/>
  <c r="L458" i="31"/>
  <c r="N458" i="31"/>
  <c r="Q458" i="31"/>
  <c r="O458" i="31"/>
  <c r="P458" i="31"/>
  <c r="R458" i="31"/>
  <c r="W458" i="31"/>
  <c r="K459" i="31"/>
  <c r="L459" i="31"/>
  <c r="N459" i="31"/>
  <c r="Q459" i="31"/>
  <c r="O459" i="31"/>
  <c r="P459" i="31"/>
  <c r="R459" i="31"/>
  <c r="W459" i="31"/>
  <c r="K460" i="31"/>
  <c r="L460" i="31"/>
  <c r="N460" i="31"/>
  <c r="Q460" i="31"/>
  <c r="O460" i="31"/>
  <c r="P460" i="31"/>
  <c r="R460" i="31"/>
  <c r="W460" i="31"/>
  <c r="K461" i="31"/>
  <c r="L461" i="31"/>
  <c r="N461" i="31"/>
  <c r="Q461" i="31"/>
  <c r="O461" i="31"/>
  <c r="P461" i="31"/>
  <c r="R461" i="31"/>
  <c r="W461" i="31"/>
  <c r="K462" i="31"/>
  <c r="L462" i="31"/>
  <c r="N462" i="31"/>
  <c r="Q462" i="31"/>
  <c r="O462" i="31"/>
  <c r="P462" i="31"/>
  <c r="R462" i="31"/>
  <c r="W462" i="31"/>
  <c r="K463" i="31"/>
  <c r="L463" i="31"/>
  <c r="N463" i="31"/>
  <c r="Q463" i="31"/>
  <c r="O463" i="31"/>
  <c r="P463" i="31"/>
  <c r="R463" i="31"/>
  <c r="W463" i="31"/>
  <c r="K464" i="31"/>
  <c r="L464" i="31"/>
  <c r="N464" i="31"/>
  <c r="Q464" i="31"/>
  <c r="O464" i="31"/>
  <c r="P464" i="31"/>
  <c r="R464" i="31"/>
  <c r="W464" i="31"/>
  <c r="K465" i="31"/>
  <c r="L465" i="31"/>
  <c r="N465" i="31"/>
  <c r="Q465" i="31"/>
  <c r="O465" i="31"/>
  <c r="P465" i="31"/>
  <c r="R465" i="31"/>
  <c r="W465" i="31"/>
  <c r="K466" i="31"/>
  <c r="L466" i="31"/>
  <c r="N466" i="31"/>
  <c r="Q466" i="31"/>
  <c r="O466" i="31"/>
  <c r="P466" i="31"/>
  <c r="R466" i="31"/>
  <c r="W466" i="31"/>
  <c r="K467" i="31"/>
  <c r="L467" i="31"/>
  <c r="N467" i="31"/>
  <c r="Q467" i="31"/>
  <c r="O467" i="31"/>
  <c r="P467" i="31"/>
  <c r="R467" i="31"/>
  <c r="W467" i="31"/>
  <c r="K468" i="31"/>
  <c r="L468" i="31"/>
  <c r="N468" i="31"/>
  <c r="Q468" i="31"/>
  <c r="O468" i="31"/>
  <c r="P468" i="31"/>
  <c r="R468" i="31"/>
  <c r="W468" i="31"/>
  <c r="K469" i="31"/>
  <c r="L469" i="31"/>
  <c r="N469" i="31"/>
  <c r="Q469" i="31"/>
  <c r="O469" i="31"/>
  <c r="P469" i="31"/>
  <c r="R469" i="31"/>
  <c r="W469" i="31"/>
  <c r="K470" i="31"/>
  <c r="L470" i="31"/>
  <c r="N470" i="31"/>
  <c r="Q470" i="31"/>
  <c r="O470" i="31"/>
  <c r="P470" i="31"/>
  <c r="R470" i="31"/>
  <c r="W470" i="31"/>
  <c r="K471" i="31"/>
  <c r="L471" i="31"/>
  <c r="N471" i="31"/>
  <c r="Q471" i="31"/>
  <c r="O471" i="31"/>
  <c r="P471" i="31"/>
  <c r="R471" i="31"/>
  <c r="W471" i="31"/>
  <c r="K472" i="31"/>
  <c r="L472" i="31"/>
  <c r="N472" i="31"/>
  <c r="Q472" i="31"/>
  <c r="O472" i="31"/>
  <c r="P472" i="31"/>
  <c r="R472" i="31"/>
  <c r="W472" i="31"/>
  <c r="K473" i="31"/>
  <c r="L473" i="31"/>
  <c r="N473" i="31"/>
  <c r="Q473" i="31"/>
  <c r="O473" i="31"/>
  <c r="P473" i="31"/>
  <c r="R473" i="31"/>
  <c r="W473" i="31"/>
  <c r="K474" i="31"/>
  <c r="L474" i="31"/>
  <c r="N474" i="31"/>
  <c r="Q474" i="31"/>
  <c r="O474" i="31"/>
  <c r="P474" i="31"/>
  <c r="R474" i="31"/>
  <c r="W474" i="31"/>
  <c r="K475" i="31"/>
  <c r="L475" i="31"/>
  <c r="N475" i="31"/>
  <c r="Q475" i="31"/>
  <c r="O475" i="31"/>
  <c r="P475" i="31"/>
  <c r="R475" i="31"/>
  <c r="W475" i="31"/>
  <c r="K476" i="31"/>
  <c r="L476" i="31"/>
  <c r="N476" i="31"/>
  <c r="Q476" i="31"/>
  <c r="O476" i="31"/>
  <c r="P476" i="31"/>
  <c r="R476" i="31"/>
  <c r="W476" i="31"/>
  <c r="K477" i="31"/>
  <c r="L477" i="31"/>
  <c r="N477" i="31"/>
  <c r="Q477" i="31"/>
  <c r="O477" i="31"/>
  <c r="P477" i="31"/>
  <c r="R477" i="31"/>
  <c r="W477" i="31"/>
  <c r="K478" i="31"/>
  <c r="L478" i="31"/>
  <c r="N478" i="31"/>
  <c r="Q478" i="31"/>
  <c r="O478" i="31"/>
  <c r="P478" i="31"/>
  <c r="R478" i="31"/>
  <c r="W478" i="31"/>
  <c r="K479" i="31"/>
  <c r="L479" i="31"/>
  <c r="N479" i="31"/>
  <c r="Q479" i="31"/>
  <c r="O479" i="31"/>
  <c r="P479" i="31"/>
  <c r="R479" i="31"/>
  <c r="W479" i="31"/>
  <c r="K480" i="31"/>
  <c r="L480" i="31"/>
  <c r="N480" i="31"/>
  <c r="Q480" i="31"/>
  <c r="O480" i="31"/>
  <c r="P480" i="31"/>
  <c r="R480" i="31"/>
  <c r="W480" i="31"/>
  <c r="K481" i="31"/>
  <c r="L481" i="31"/>
  <c r="N481" i="31"/>
  <c r="Q481" i="31"/>
  <c r="O481" i="31"/>
  <c r="P481" i="31"/>
  <c r="R481" i="31"/>
  <c r="W481" i="31"/>
  <c r="K482" i="31"/>
  <c r="L482" i="31"/>
  <c r="N482" i="31"/>
  <c r="Q482" i="31"/>
  <c r="O482" i="31"/>
  <c r="P482" i="31"/>
  <c r="R482" i="31"/>
  <c r="W482" i="31"/>
  <c r="K483" i="31"/>
  <c r="L483" i="31"/>
  <c r="N483" i="31"/>
  <c r="Q483" i="31"/>
  <c r="O483" i="31"/>
  <c r="P483" i="31"/>
  <c r="R483" i="31"/>
  <c r="W483" i="31"/>
  <c r="K484" i="31"/>
  <c r="L484" i="31"/>
  <c r="N484" i="31"/>
  <c r="Q484" i="31"/>
  <c r="O484" i="31"/>
  <c r="P484" i="31"/>
  <c r="R484" i="31"/>
  <c r="W484" i="31"/>
  <c r="K485" i="31"/>
  <c r="L485" i="31"/>
  <c r="N485" i="31"/>
  <c r="Q485" i="31"/>
  <c r="O485" i="31"/>
  <c r="P485" i="31"/>
  <c r="R485" i="31"/>
  <c r="W485" i="31"/>
  <c r="K486" i="31"/>
  <c r="L486" i="31"/>
  <c r="N486" i="31"/>
  <c r="Q486" i="31"/>
  <c r="O486" i="31"/>
  <c r="P486" i="31"/>
  <c r="R486" i="31"/>
  <c r="W486" i="31"/>
  <c r="K487" i="31"/>
  <c r="L487" i="31"/>
  <c r="N487" i="31"/>
  <c r="Q487" i="31"/>
  <c r="O487" i="31"/>
  <c r="P487" i="31"/>
  <c r="R487" i="31"/>
  <c r="W487" i="31"/>
  <c r="K488" i="31"/>
  <c r="L488" i="31"/>
  <c r="N488" i="31"/>
  <c r="Q488" i="31"/>
  <c r="O488" i="31"/>
  <c r="P488" i="31"/>
  <c r="R488" i="31"/>
  <c r="W488" i="31"/>
  <c r="K489" i="31"/>
  <c r="L489" i="31"/>
  <c r="N489" i="31"/>
  <c r="Q489" i="31"/>
  <c r="O489" i="31"/>
  <c r="P489" i="31"/>
  <c r="R489" i="31"/>
  <c r="W489" i="31"/>
  <c r="K490" i="31"/>
  <c r="L490" i="31"/>
  <c r="N490" i="31"/>
  <c r="Q490" i="31"/>
  <c r="O490" i="31"/>
  <c r="P490" i="31"/>
  <c r="R490" i="31"/>
  <c r="W490" i="31"/>
  <c r="K491" i="31"/>
  <c r="L491" i="31"/>
  <c r="N491" i="31"/>
  <c r="Q491" i="31"/>
  <c r="O491" i="31"/>
  <c r="P491" i="31"/>
  <c r="R491" i="31"/>
  <c r="W491" i="31"/>
  <c r="K492" i="31"/>
  <c r="L492" i="31"/>
  <c r="N492" i="31"/>
  <c r="Q492" i="31"/>
  <c r="O492" i="31"/>
  <c r="P492" i="31"/>
  <c r="R492" i="31"/>
  <c r="W492" i="31"/>
  <c r="K493" i="31"/>
  <c r="L493" i="31"/>
  <c r="N493" i="31"/>
  <c r="Q493" i="31"/>
  <c r="O493" i="31"/>
  <c r="P493" i="31"/>
  <c r="R493" i="31"/>
  <c r="W493" i="31"/>
  <c r="K494" i="31"/>
  <c r="L494" i="31"/>
  <c r="N494" i="31"/>
  <c r="Q494" i="31"/>
  <c r="O494" i="31"/>
  <c r="P494" i="31"/>
  <c r="R494" i="31"/>
  <c r="W494" i="31"/>
  <c r="K495" i="31"/>
  <c r="L495" i="31"/>
  <c r="N495" i="31"/>
  <c r="Q495" i="31"/>
  <c r="O495" i="31"/>
  <c r="P495" i="31"/>
  <c r="R495" i="31"/>
  <c r="W495" i="31"/>
  <c r="K496" i="31"/>
  <c r="L496" i="31"/>
  <c r="N496" i="31"/>
  <c r="Q496" i="31"/>
  <c r="O496" i="31"/>
  <c r="P496" i="31"/>
  <c r="R496" i="31"/>
  <c r="W496" i="31"/>
  <c r="K497" i="31"/>
  <c r="L497" i="31"/>
  <c r="N497" i="31"/>
  <c r="Q497" i="31"/>
  <c r="O497" i="31"/>
  <c r="P497" i="31"/>
  <c r="R497" i="31"/>
  <c r="W497" i="31"/>
  <c r="K498" i="31"/>
  <c r="L498" i="31"/>
  <c r="N498" i="31"/>
  <c r="Q498" i="31"/>
  <c r="O498" i="31"/>
  <c r="P498" i="31"/>
  <c r="R498" i="31"/>
  <c r="W498" i="31"/>
  <c r="K499" i="31"/>
  <c r="L499" i="31"/>
  <c r="N499" i="31"/>
  <c r="Q499" i="31"/>
  <c r="O499" i="31"/>
  <c r="P499" i="31"/>
  <c r="R499" i="31"/>
  <c r="W499" i="31"/>
  <c r="K500" i="31"/>
  <c r="L500" i="31"/>
  <c r="N500" i="31"/>
  <c r="Q500" i="31"/>
  <c r="O500" i="31"/>
  <c r="P500" i="31"/>
  <c r="R500" i="31"/>
  <c r="W500" i="31"/>
  <c r="K501" i="31"/>
  <c r="L501" i="31"/>
  <c r="N501" i="31"/>
  <c r="Q501" i="31"/>
  <c r="O501" i="31"/>
  <c r="P501" i="31"/>
  <c r="R501" i="31"/>
  <c r="W501" i="31"/>
  <c r="K502" i="31"/>
  <c r="L502" i="31"/>
  <c r="N502" i="31"/>
  <c r="Q502" i="31"/>
  <c r="O502" i="31"/>
  <c r="P502" i="31"/>
  <c r="R502" i="31"/>
  <c r="W502" i="31"/>
  <c r="K503" i="31"/>
  <c r="L503" i="31"/>
  <c r="N503" i="31"/>
  <c r="Q503" i="31"/>
  <c r="O503" i="31"/>
  <c r="P503" i="31"/>
  <c r="R503" i="31"/>
  <c r="W503" i="31"/>
  <c r="K504" i="31"/>
  <c r="L504" i="31"/>
  <c r="N504" i="31"/>
  <c r="Q504" i="31"/>
  <c r="O504" i="31"/>
  <c r="P504" i="31"/>
  <c r="R504" i="31"/>
  <c r="W504" i="31"/>
  <c r="K505" i="31"/>
  <c r="L505" i="31"/>
  <c r="N505" i="31"/>
  <c r="Q505" i="31"/>
  <c r="O505" i="31"/>
  <c r="P505" i="31"/>
  <c r="R505" i="31"/>
  <c r="W505" i="31"/>
  <c r="K506" i="31"/>
  <c r="L506" i="31"/>
  <c r="N506" i="31"/>
  <c r="Q506" i="31"/>
  <c r="O506" i="31"/>
  <c r="P506" i="31"/>
  <c r="R506" i="31"/>
  <c r="W506" i="31"/>
  <c r="K507" i="31"/>
  <c r="L507" i="31"/>
  <c r="N507" i="31"/>
  <c r="Q507" i="31"/>
  <c r="O507" i="31"/>
  <c r="P507" i="31"/>
  <c r="R507" i="31"/>
  <c r="W507" i="31"/>
  <c r="K508" i="31"/>
  <c r="L508" i="31"/>
  <c r="N508" i="31"/>
  <c r="Q508" i="31"/>
  <c r="O508" i="31"/>
  <c r="P508" i="31"/>
  <c r="R508" i="31"/>
  <c r="W508" i="31"/>
  <c r="K509" i="31"/>
  <c r="L509" i="31"/>
  <c r="N509" i="31"/>
  <c r="Q509" i="31"/>
  <c r="O509" i="31"/>
  <c r="P509" i="31"/>
  <c r="R509" i="31"/>
  <c r="W509" i="31"/>
  <c r="K510" i="31"/>
  <c r="L510" i="31"/>
  <c r="N510" i="31"/>
  <c r="Q510" i="31"/>
  <c r="O510" i="31"/>
  <c r="P510" i="31"/>
  <c r="R510" i="31"/>
  <c r="W510" i="31"/>
  <c r="K511" i="31"/>
  <c r="L511" i="31"/>
  <c r="N511" i="31"/>
  <c r="Q511" i="31"/>
  <c r="O511" i="31"/>
  <c r="P511" i="31"/>
  <c r="R511" i="31"/>
  <c r="W511" i="31"/>
  <c r="K512" i="31"/>
  <c r="L512" i="31"/>
  <c r="N512" i="31"/>
  <c r="Q512" i="31"/>
  <c r="O512" i="31"/>
  <c r="P512" i="31"/>
  <c r="R512" i="31"/>
  <c r="W512" i="31"/>
  <c r="K513" i="31"/>
  <c r="L513" i="31"/>
  <c r="N513" i="31"/>
  <c r="Q513" i="31"/>
  <c r="O513" i="31"/>
  <c r="P513" i="31"/>
  <c r="R513" i="31"/>
  <c r="W513" i="31"/>
  <c r="K514" i="31"/>
  <c r="L514" i="31"/>
  <c r="N514" i="31"/>
  <c r="Q514" i="31"/>
  <c r="O514" i="31"/>
  <c r="P514" i="31"/>
  <c r="R514" i="31"/>
  <c r="W514" i="31"/>
  <c r="K515" i="31"/>
  <c r="L515" i="31"/>
  <c r="N515" i="31"/>
  <c r="Q515" i="31"/>
  <c r="O515" i="31"/>
  <c r="P515" i="31"/>
  <c r="R515" i="31"/>
  <c r="W515" i="31"/>
  <c r="K516" i="31"/>
  <c r="L516" i="31"/>
  <c r="N516" i="31"/>
  <c r="Q516" i="31"/>
  <c r="O516" i="31"/>
  <c r="P516" i="31"/>
  <c r="R516" i="31"/>
  <c r="W516" i="31"/>
  <c r="K517" i="31"/>
  <c r="L517" i="31"/>
  <c r="N517" i="31"/>
  <c r="Q517" i="31"/>
  <c r="O517" i="31"/>
  <c r="P517" i="31"/>
  <c r="R517" i="31"/>
  <c r="W517" i="31"/>
  <c r="K518" i="31"/>
  <c r="L518" i="31"/>
  <c r="N518" i="31"/>
  <c r="Q518" i="31"/>
  <c r="O518" i="31"/>
  <c r="P518" i="31"/>
  <c r="R518" i="31"/>
  <c r="W518" i="31"/>
  <c r="K519" i="31"/>
  <c r="L519" i="31"/>
  <c r="N519" i="31"/>
  <c r="Q519" i="31"/>
  <c r="O519" i="31"/>
  <c r="P519" i="31"/>
  <c r="R519" i="31"/>
  <c r="W519" i="31"/>
  <c r="K520" i="31"/>
  <c r="L520" i="31"/>
  <c r="N520" i="31"/>
  <c r="Q520" i="31"/>
  <c r="O520" i="31"/>
  <c r="P520" i="31"/>
  <c r="R520" i="31"/>
  <c r="W520" i="31"/>
  <c r="K521" i="31"/>
  <c r="L521" i="31"/>
  <c r="N521" i="31"/>
  <c r="Q521" i="31"/>
  <c r="O521" i="31"/>
  <c r="P521" i="31"/>
  <c r="R521" i="31"/>
  <c r="W521" i="31"/>
  <c r="K522" i="31"/>
  <c r="L522" i="31"/>
  <c r="N522" i="31"/>
  <c r="Q522" i="31"/>
  <c r="O522" i="31"/>
  <c r="P522" i="31"/>
  <c r="R522" i="31"/>
  <c r="W522" i="31"/>
  <c r="K523" i="31"/>
  <c r="L523" i="31"/>
  <c r="N523" i="31"/>
  <c r="Q523" i="31"/>
  <c r="O523" i="31"/>
  <c r="P523" i="31"/>
  <c r="R523" i="31"/>
  <c r="W523" i="31"/>
  <c r="K524" i="31"/>
  <c r="L524" i="31"/>
  <c r="N524" i="31"/>
  <c r="Q524" i="31"/>
  <c r="O524" i="31"/>
  <c r="P524" i="31"/>
  <c r="R524" i="31"/>
  <c r="W524" i="31"/>
  <c r="K525" i="31"/>
  <c r="L525" i="31"/>
  <c r="N525" i="31"/>
  <c r="Q525" i="31"/>
  <c r="O525" i="31"/>
  <c r="P525" i="31"/>
  <c r="R525" i="31"/>
  <c r="W525" i="31"/>
  <c r="K526" i="31"/>
  <c r="L526" i="31"/>
  <c r="N526" i="31"/>
  <c r="Q526" i="31"/>
  <c r="O526" i="31"/>
  <c r="P526" i="31"/>
  <c r="R526" i="31"/>
  <c r="W526" i="31"/>
  <c r="K527" i="31"/>
  <c r="L527" i="31"/>
  <c r="N527" i="31"/>
  <c r="Q527" i="31"/>
  <c r="O527" i="31"/>
  <c r="P527" i="31"/>
  <c r="R527" i="31"/>
  <c r="W527" i="31"/>
  <c r="K528" i="31"/>
  <c r="L528" i="31"/>
  <c r="N528" i="31"/>
  <c r="Q528" i="31"/>
  <c r="O528" i="31"/>
  <c r="P528" i="31"/>
  <c r="R528" i="31"/>
  <c r="W528" i="31"/>
  <c r="K529" i="31"/>
  <c r="L529" i="31"/>
  <c r="N529" i="31"/>
  <c r="Q529" i="31"/>
  <c r="O529" i="31"/>
  <c r="P529" i="31"/>
  <c r="R529" i="31"/>
  <c r="W529" i="31"/>
  <c r="K530" i="31"/>
  <c r="L530" i="31"/>
  <c r="N530" i="31"/>
  <c r="Q530" i="31"/>
  <c r="O530" i="31"/>
  <c r="P530" i="31"/>
  <c r="R530" i="31"/>
  <c r="W530" i="31"/>
  <c r="K531" i="31"/>
  <c r="L531" i="31"/>
  <c r="N531" i="31"/>
  <c r="Q531" i="31"/>
  <c r="O531" i="31"/>
  <c r="P531" i="31"/>
  <c r="R531" i="31"/>
  <c r="W531" i="31"/>
  <c r="K532" i="31"/>
  <c r="L532" i="31"/>
  <c r="N532" i="31"/>
  <c r="Q532" i="31"/>
  <c r="O532" i="31"/>
  <c r="P532" i="31"/>
  <c r="R532" i="31"/>
  <c r="W532" i="31"/>
  <c r="K533" i="31"/>
  <c r="L533" i="31"/>
  <c r="N533" i="31"/>
  <c r="Q533" i="31"/>
  <c r="O533" i="31"/>
  <c r="P533" i="31"/>
  <c r="R533" i="31"/>
  <c r="W533" i="31"/>
  <c r="K534" i="31"/>
  <c r="L534" i="31"/>
  <c r="N534" i="31"/>
  <c r="Q534" i="31"/>
  <c r="O534" i="31"/>
  <c r="P534" i="31"/>
  <c r="R534" i="31"/>
  <c r="W534" i="31"/>
  <c r="K535" i="31"/>
  <c r="L535" i="31"/>
  <c r="N535" i="31"/>
  <c r="Q535" i="31"/>
  <c r="O535" i="31"/>
  <c r="P535" i="31"/>
  <c r="R535" i="31"/>
  <c r="W535" i="31"/>
  <c r="K536" i="31"/>
  <c r="L536" i="31"/>
  <c r="N536" i="31"/>
  <c r="Q536" i="31"/>
  <c r="O536" i="31"/>
  <c r="P536" i="31"/>
  <c r="R536" i="31"/>
  <c r="W536" i="31"/>
  <c r="K537" i="31"/>
  <c r="L537" i="31"/>
  <c r="N537" i="31"/>
  <c r="Q537" i="31"/>
  <c r="O537" i="31"/>
  <c r="P537" i="31"/>
  <c r="R537" i="31"/>
  <c r="W537" i="31"/>
  <c r="K538" i="31"/>
  <c r="L538" i="31"/>
  <c r="N538" i="31"/>
  <c r="Q538" i="31"/>
  <c r="O538" i="31"/>
  <c r="P538" i="31"/>
  <c r="R538" i="31"/>
  <c r="W538" i="31"/>
  <c r="K539" i="31"/>
  <c r="L539" i="31"/>
  <c r="N539" i="31"/>
  <c r="Q539" i="31"/>
  <c r="O539" i="31"/>
  <c r="P539" i="31"/>
  <c r="R539" i="31"/>
  <c r="W539" i="31"/>
  <c r="K540" i="31"/>
  <c r="L540" i="31"/>
  <c r="N540" i="31"/>
  <c r="Q540" i="31"/>
  <c r="O540" i="31"/>
  <c r="P540" i="31"/>
  <c r="R540" i="31"/>
  <c r="W540" i="31"/>
  <c r="K541" i="31"/>
  <c r="L541" i="31"/>
  <c r="N541" i="31"/>
  <c r="Q541" i="31"/>
  <c r="O541" i="31"/>
  <c r="P541" i="31"/>
  <c r="R541" i="31"/>
  <c r="W541" i="31"/>
  <c r="K542" i="31"/>
  <c r="L542" i="31"/>
  <c r="N542" i="31"/>
  <c r="Q542" i="31"/>
  <c r="O542" i="31"/>
  <c r="P542" i="31"/>
  <c r="R542" i="31"/>
  <c r="W542" i="31"/>
  <c r="K543" i="31"/>
  <c r="L543" i="31"/>
  <c r="N543" i="31"/>
  <c r="Q543" i="31"/>
  <c r="O543" i="31"/>
  <c r="P543" i="31"/>
  <c r="R543" i="31"/>
  <c r="W543" i="31"/>
  <c r="K544" i="31"/>
  <c r="L544" i="31"/>
  <c r="N544" i="31"/>
  <c r="Q544" i="31"/>
  <c r="O544" i="31"/>
  <c r="P544" i="31"/>
  <c r="R544" i="31"/>
  <c r="W544" i="31"/>
  <c r="K545" i="31"/>
  <c r="L545" i="31"/>
  <c r="N545" i="31"/>
  <c r="Q545" i="31"/>
  <c r="O545" i="31"/>
  <c r="P545" i="31"/>
  <c r="R545" i="31"/>
  <c r="W545" i="31"/>
  <c r="K546" i="31"/>
  <c r="L546" i="31"/>
  <c r="N546" i="31"/>
  <c r="Q546" i="31"/>
  <c r="O546" i="31"/>
  <c r="P546" i="31"/>
  <c r="R546" i="31"/>
  <c r="W546" i="31"/>
  <c r="K547" i="31"/>
  <c r="L547" i="31"/>
  <c r="N547" i="31"/>
  <c r="Q547" i="31"/>
  <c r="O547" i="31"/>
  <c r="P547" i="31"/>
  <c r="R547" i="31"/>
  <c r="W547" i="31"/>
  <c r="K548" i="31"/>
  <c r="L548" i="31"/>
  <c r="N548" i="31"/>
  <c r="Q548" i="31"/>
  <c r="O548" i="31"/>
  <c r="P548" i="31"/>
  <c r="R548" i="31"/>
  <c r="W548" i="31"/>
  <c r="K549" i="31"/>
  <c r="L549" i="31"/>
  <c r="N549" i="31"/>
  <c r="Q549" i="31"/>
  <c r="O549" i="31"/>
  <c r="P549" i="31"/>
  <c r="R549" i="31"/>
  <c r="W549" i="31"/>
  <c r="K550" i="31"/>
  <c r="L550" i="31"/>
  <c r="N550" i="31"/>
  <c r="Q550" i="31"/>
  <c r="O550" i="31"/>
  <c r="P550" i="31"/>
  <c r="R550" i="31"/>
  <c r="W550" i="31"/>
  <c r="K551" i="31"/>
  <c r="L551" i="31"/>
  <c r="N551" i="31"/>
  <c r="Q551" i="31"/>
  <c r="O551" i="31"/>
  <c r="P551" i="31"/>
  <c r="R551" i="31"/>
  <c r="W551" i="31"/>
  <c r="K552" i="31"/>
  <c r="L552" i="31"/>
  <c r="N552" i="31"/>
  <c r="Q552" i="31"/>
  <c r="O552" i="31"/>
  <c r="P552" i="31"/>
  <c r="R552" i="31"/>
  <c r="W552" i="31"/>
  <c r="K553" i="31"/>
  <c r="L553" i="31"/>
  <c r="N553" i="31"/>
  <c r="Q553" i="31"/>
  <c r="O553" i="31"/>
  <c r="P553" i="31"/>
  <c r="R553" i="31"/>
  <c r="W553" i="31"/>
  <c r="K554" i="31"/>
  <c r="L554" i="31"/>
  <c r="N554" i="31"/>
  <c r="Q554" i="31"/>
  <c r="O554" i="31"/>
  <c r="P554" i="31"/>
  <c r="R554" i="31"/>
  <c r="W554" i="31"/>
  <c r="K555" i="31"/>
  <c r="L555" i="31"/>
  <c r="N555" i="31"/>
  <c r="Q555" i="31"/>
  <c r="O555" i="31"/>
  <c r="P555" i="31"/>
  <c r="R555" i="31"/>
  <c r="W555" i="31"/>
  <c r="K556" i="31"/>
  <c r="L556" i="31"/>
  <c r="N556" i="31"/>
  <c r="Q556" i="31"/>
  <c r="O556" i="31"/>
  <c r="P556" i="31"/>
  <c r="R556" i="31"/>
  <c r="W556" i="31"/>
  <c r="K557" i="31"/>
  <c r="L557" i="31"/>
  <c r="N557" i="31"/>
  <c r="Q557" i="31"/>
  <c r="O557" i="31"/>
  <c r="P557" i="31"/>
  <c r="R557" i="31"/>
  <c r="W557" i="31"/>
  <c r="K558" i="31"/>
  <c r="L558" i="31"/>
  <c r="N558" i="31"/>
  <c r="Q558" i="31"/>
  <c r="O558" i="31"/>
  <c r="P558" i="31"/>
  <c r="R558" i="31"/>
  <c r="W558" i="31"/>
  <c r="K559" i="31"/>
  <c r="L559" i="31"/>
  <c r="N559" i="31"/>
  <c r="Q559" i="31"/>
  <c r="O559" i="31"/>
  <c r="P559" i="31"/>
  <c r="R559" i="31"/>
  <c r="W559" i="31"/>
  <c r="K560" i="31"/>
  <c r="L560" i="31"/>
  <c r="N560" i="31"/>
  <c r="Q560" i="31"/>
  <c r="O560" i="31"/>
  <c r="P560" i="31"/>
  <c r="R560" i="31"/>
  <c r="W560" i="31"/>
  <c r="K561" i="31"/>
  <c r="L561" i="31"/>
  <c r="N561" i="31"/>
  <c r="Q561" i="31"/>
  <c r="O561" i="31"/>
  <c r="P561" i="31"/>
  <c r="R561" i="31"/>
  <c r="W561" i="31"/>
  <c r="K562" i="31"/>
  <c r="L562" i="31"/>
  <c r="N562" i="31"/>
  <c r="Q562" i="31"/>
  <c r="O562" i="31"/>
  <c r="P562" i="31"/>
  <c r="R562" i="31"/>
  <c r="W562" i="31"/>
  <c r="K563" i="31"/>
  <c r="L563" i="31"/>
  <c r="N563" i="31"/>
  <c r="Q563" i="31"/>
  <c r="O563" i="31"/>
  <c r="P563" i="31"/>
  <c r="R563" i="31"/>
  <c r="W563" i="31"/>
  <c r="K564" i="31"/>
  <c r="L564" i="31"/>
  <c r="N564" i="31"/>
  <c r="Q564" i="31"/>
  <c r="O564" i="31"/>
  <c r="P564" i="31"/>
  <c r="R564" i="31"/>
  <c r="W564" i="31"/>
  <c r="K565" i="31"/>
  <c r="L565" i="31"/>
  <c r="N565" i="31"/>
  <c r="Q565" i="31"/>
  <c r="O565" i="31"/>
  <c r="P565" i="31"/>
  <c r="R565" i="31"/>
  <c r="W565" i="31"/>
  <c r="K566" i="31"/>
  <c r="L566" i="31"/>
  <c r="N566" i="31"/>
  <c r="Q566" i="31"/>
  <c r="O566" i="31"/>
  <c r="P566" i="31"/>
  <c r="R566" i="31"/>
  <c r="W566" i="31"/>
  <c r="K567" i="31"/>
  <c r="L567" i="31"/>
  <c r="N567" i="31"/>
  <c r="Q567" i="31"/>
  <c r="O567" i="31"/>
  <c r="P567" i="31"/>
  <c r="R567" i="31"/>
  <c r="W567" i="31"/>
  <c r="K568" i="31"/>
  <c r="L568" i="31"/>
  <c r="N568" i="31"/>
  <c r="Q568" i="31"/>
  <c r="O568" i="31"/>
  <c r="P568" i="31"/>
  <c r="R568" i="31"/>
  <c r="W568" i="31"/>
  <c r="K569" i="31"/>
  <c r="L569" i="31"/>
  <c r="N569" i="31"/>
  <c r="Q569" i="31"/>
  <c r="O569" i="31"/>
  <c r="P569" i="31"/>
  <c r="R569" i="31"/>
  <c r="W569" i="31"/>
  <c r="K570" i="31"/>
  <c r="L570" i="31"/>
  <c r="N570" i="31"/>
  <c r="Q570" i="31"/>
  <c r="O570" i="31"/>
  <c r="P570" i="31"/>
  <c r="R570" i="31"/>
  <c r="W570" i="31"/>
  <c r="K571" i="31"/>
  <c r="L571" i="31"/>
  <c r="N571" i="31"/>
  <c r="Q571" i="31"/>
  <c r="O571" i="31"/>
  <c r="P571" i="31"/>
  <c r="R571" i="31"/>
  <c r="W571" i="31"/>
  <c r="K572" i="31"/>
  <c r="L572" i="31"/>
  <c r="N572" i="31"/>
  <c r="Q572" i="31"/>
  <c r="O572" i="31"/>
  <c r="P572" i="31"/>
  <c r="R572" i="31"/>
  <c r="W572" i="31"/>
  <c r="K573" i="31"/>
  <c r="L573" i="31"/>
  <c r="N573" i="31"/>
  <c r="Q573" i="31"/>
  <c r="O573" i="31"/>
  <c r="P573" i="31"/>
  <c r="R573" i="31"/>
  <c r="W573" i="31"/>
  <c r="K574" i="31"/>
  <c r="L574" i="31"/>
  <c r="N574" i="31"/>
  <c r="Q574" i="31"/>
  <c r="O574" i="31"/>
  <c r="P574" i="31"/>
  <c r="R574" i="31"/>
  <c r="W574" i="31"/>
  <c r="K575" i="31"/>
  <c r="L575" i="31"/>
  <c r="N575" i="31"/>
  <c r="Q575" i="31"/>
  <c r="O575" i="31"/>
  <c r="P575" i="31"/>
  <c r="R575" i="31"/>
  <c r="W575" i="31"/>
  <c r="K576" i="31"/>
  <c r="L576" i="31"/>
  <c r="N576" i="31"/>
  <c r="Q576" i="31"/>
  <c r="O576" i="31"/>
  <c r="P576" i="31"/>
  <c r="R576" i="31"/>
  <c r="W576" i="31"/>
  <c r="K577" i="31"/>
  <c r="L577" i="31"/>
  <c r="N577" i="31"/>
  <c r="Q577" i="31"/>
  <c r="O577" i="31"/>
  <c r="P577" i="31"/>
  <c r="R577" i="31"/>
  <c r="W577" i="31"/>
  <c r="K578" i="31"/>
  <c r="L578" i="31"/>
  <c r="N578" i="31"/>
  <c r="Q578" i="31"/>
  <c r="O578" i="31"/>
  <c r="P578" i="31"/>
  <c r="R578" i="31"/>
  <c r="W578" i="31"/>
  <c r="K579" i="31"/>
  <c r="L579" i="31"/>
  <c r="N579" i="31"/>
  <c r="Q579" i="31"/>
  <c r="O579" i="31"/>
  <c r="P579" i="31"/>
  <c r="R579" i="31"/>
  <c r="W579" i="31"/>
  <c r="K580" i="31"/>
  <c r="L580" i="31"/>
  <c r="N580" i="31"/>
  <c r="Q580" i="31"/>
  <c r="O580" i="31"/>
  <c r="P580" i="31"/>
  <c r="R580" i="31"/>
  <c r="W580" i="31"/>
  <c r="K581" i="31"/>
  <c r="L581" i="31"/>
  <c r="N581" i="31"/>
  <c r="Q581" i="31"/>
  <c r="O581" i="31"/>
  <c r="P581" i="31"/>
  <c r="R581" i="31"/>
  <c r="W581" i="31"/>
  <c r="K582" i="31"/>
  <c r="L582" i="31"/>
  <c r="N582" i="31"/>
  <c r="Q582" i="31"/>
  <c r="O582" i="31"/>
  <c r="P582" i="31"/>
  <c r="R582" i="31"/>
  <c r="W582" i="31"/>
  <c r="K583" i="31"/>
  <c r="L583" i="31"/>
  <c r="N583" i="31"/>
  <c r="Q583" i="31"/>
  <c r="O583" i="31"/>
  <c r="P583" i="31"/>
  <c r="R583" i="31"/>
  <c r="W583" i="31"/>
  <c r="K584" i="31"/>
  <c r="L584" i="31"/>
  <c r="N584" i="31"/>
  <c r="Q584" i="31"/>
  <c r="O584" i="31"/>
  <c r="P584" i="31"/>
  <c r="R584" i="31"/>
  <c r="W584" i="31"/>
  <c r="K585" i="31"/>
  <c r="L585" i="31"/>
  <c r="N585" i="31"/>
  <c r="Q585" i="31"/>
  <c r="O585" i="31"/>
  <c r="P585" i="31"/>
  <c r="R585" i="31"/>
  <c r="W585" i="31"/>
  <c r="K586" i="31"/>
  <c r="L586" i="31"/>
  <c r="N586" i="31"/>
  <c r="Q586" i="31"/>
  <c r="O586" i="31"/>
  <c r="P586" i="31"/>
  <c r="R586" i="31"/>
  <c r="W586" i="31"/>
  <c r="K587" i="31"/>
  <c r="L587" i="31"/>
  <c r="N587" i="31"/>
  <c r="Q587" i="31"/>
  <c r="O587" i="31"/>
  <c r="P587" i="31"/>
  <c r="R587" i="31"/>
  <c r="W587" i="31"/>
  <c r="K588" i="31"/>
  <c r="L588" i="31"/>
  <c r="N588" i="31"/>
  <c r="Q588" i="31"/>
  <c r="O588" i="31"/>
  <c r="P588" i="31"/>
  <c r="R588" i="31"/>
  <c r="W588" i="31"/>
  <c r="K589" i="31"/>
  <c r="L589" i="31"/>
  <c r="N589" i="31"/>
  <c r="Q589" i="31"/>
  <c r="O589" i="31"/>
  <c r="P589" i="31"/>
  <c r="R589" i="31"/>
  <c r="W589" i="31"/>
  <c r="K590" i="31"/>
  <c r="L590" i="31"/>
  <c r="N590" i="31"/>
  <c r="Q590" i="31"/>
  <c r="O590" i="31"/>
  <c r="P590" i="31"/>
  <c r="R590" i="31"/>
  <c r="W590" i="31"/>
  <c r="K591" i="31"/>
  <c r="L591" i="31"/>
  <c r="N591" i="31"/>
  <c r="Q591" i="31"/>
  <c r="O591" i="31"/>
  <c r="P591" i="31"/>
  <c r="R591" i="31"/>
  <c r="W591" i="31"/>
  <c r="K592" i="31"/>
  <c r="L592" i="31"/>
  <c r="N592" i="31"/>
  <c r="Q592" i="31"/>
  <c r="O592" i="31"/>
  <c r="P592" i="31"/>
  <c r="R592" i="31"/>
  <c r="W592" i="31"/>
  <c r="K593" i="31"/>
  <c r="L593" i="31"/>
  <c r="N593" i="31"/>
  <c r="Q593" i="31"/>
  <c r="O593" i="31"/>
  <c r="P593" i="31"/>
  <c r="R593" i="31"/>
  <c r="W593" i="31"/>
  <c r="K594" i="31"/>
  <c r="L594" i="31"/>
  <c r="N594" i="31"/>
  <c r="Q594" i="31"/>
  <c r="O594" i="31"/>
  <c r="P594" i="31"/>
  <c r="R594" i="31"/>
  <c r="W594" i="31"/>
  <c r="K595" i="31"/>
  <c r="L595" i="31"/>
  <c r="N595" i="31"/>
  <c r="Q595" i="31"/>
  <c r="O595" i="31"/>
  <c r="P595" i="31"/>
  <c r="R595" i="31"/>
  <c r="W595" i="31"/>
  <c r="K596" i="31"/>
  <c r="L596" i="31"/>
  <c r="N596" i="31"/>
  <c r="Q596" i="31"/>
  <c r="O596" i="31"/>
  <c r="P596" i="31"/>
  <c r="R596" i="31"/>
  <c r="W596" i="31"/>
  <c r="K597" i="31"/>
  <c r="L597" i="31"/>
  <c r="N597" i="31"/>
  <c r="Q597" i="31"/>
  <c r="O597" i="31"/>
  <c r="P597" i="31"/>
  <c r="R597" i="31"/>
  <c r="W597" i="31"/>
  <c r="K598" i="31"/>
  <c r="L598" i="31"/>
  <c r="N598" i="31"/>
  <c r="Q598" i="31"/>
  <c r="O598" i="31"/>
  <c r="P598" i="31"/>
  <c r="R598" i="31"/>
  <c r="W598" i="31"/>
  <c r="K599" i="31"/>
  <c r="L599" i="31"/>
  <c r="N599" i="31"/>
  <c r="Q599" i="31"/>
  <c r="O599" i="31"/>
  <c r="P599" i="31"/>
  <c r="R599" i="31"/>
  <c r="W599" i="31"/>
  <c r="K600" i="31"/>
  <c r="L600" i="31"/>
  <c r="N600" i="31"/>
  <c r="Q600" i="31"/>
  <c r="O600" i="31"/>
  <c r="P600" i="31"/>
  <c r="R600" i="31"/>
  <c r="W600" i="31"/>
  <c r="K601" i="31"/>
  <c r="L601" i="31"/>
  <c r="N601" i="31"/>
  <c r="Q601" i="31"/>
  <c r="O601" i="31"/>
  <c r="P601" i="31"/>
  <c r="R601" i="31"/>
  <c r="W601" i="31"/>
  <c r="K602" i="31"/>
  <c r="L602" i="31"/>
  <c r="N602" i="31"/>
  <c r="Q602" i="31"/>
  <c r="O602" i="31"/>
  <c r="P602" i="31"/>
  <c r="R602" i="31"/>
  <c r="W602" i="31"/>
  <c r="K603" i="31"/>
  <c r="L603" i="31"/>
  <c r="N603" i="31"/>
  <c r="Q603" i="31"/>
  <c r="O603" i="31"/>
  <c r="P603" i="31"/>
  <c r="R603" i="31"/>
  <c r="W603" i="31"/>
  <c r="K604" i="31"/>
  <c r="L604" i="31"/>
  <c r="N604" i="31"/>
  <c r="Q604" i="31"/>
  <c r="O604" i="31"/>
  <c r="P604" i="31"/>
  <c r="R604" i="31"/>
  <c r="W604" i="31"/>
  <c r="K605" i="31"/>
  <c r="L605" i="31"/>
  <c r="N605" i="31"/>
  <c r="Q605" i="31"/>
  <c r="O605" i="31"/>
  <c r="P605" i="31"/>
  <c r="R605" i="31"/>
  <c r="W605" i="31"/>
  <c r="K606" i="31"/>
  <c r="L606" i="31"/>
  <c r="N606" i="31"/>
  <c r="Q606" i="31"/>
  <c r="O606" i="31"/>
  <c r="P606" i="31"/>
  <c r="R606" i="31"/>
  <c r="W606" i="31"/>
  <c r="K607" i="31"/>
  <c r="L607" i="31"/>
  <c r="N607" i="31"/>
  <c r="Q607" i="31"/>
  <c r="O607" i="31"/>
  <c r="P607" i="31"/>
  <c r="R607" i="31"/>
  <c r="W607" i="31"/>
  <c r="K608" i="31"/>
  <c r="L608" i="31"/>
  <c r="N608" i="31"/>
  <c r="Q608" i="31"/>
  <c r="O608" i="31"/>
  <c r="P608" i="31"/>
  <c r="R608" i="31"/>
  <c r="W608" i="31"/>
  <c r="K609" i="31"/>
  <c r="L609" i="31"/>
  <c r="N609" i="31"/>
  <c r="Q609" i="31"/>
  <c r="O609" i="31"/>
  <c r="P609" i="31"/>
  <c r="R609" i="31"/>
  <c r="W609" i="31"/>
  <c r="K610" i="31"/>
  <c r="L610" i="31"/>
  <c r="N610" i="31"/>
  <c r="Q610" i="31"/>
  <c r="O610" i="31"/>
  <c r="P610" i="31"/>
  <c r="R610" i="31"/>
  <c r="W610" i="31"/>
  <c r="K611" i="31"/>
  <c r="L611" i="31"/>
  <c r="N611" i="31"/>
  <c r="Q611" i="31"/>
  <c r="O611" i="31"/>
  <c r="P611" i="31"/>
  <c r="R611" i="31"/>
  <c r="W611" i="31"/>
  <c r="K612" i="31"/>
  <c r="L612" i="31"/>
  <c r="N612" i="31"/>
  <c r="Q612" i="31"/>
  <c r="O612" i="31"/>
  <c r="P612" i="31"/>
  <c r="R612" i="31"/>
  <c r="W612" i="31"/>
  <c r="K613" i="31"/>
  <c r="L613" i="31"/>
  <c r="N613" i="31"/>
  <c r="Q613" i="31"/>
  <c r="O613" i="31"/>
  <c r="P613" i="31"/>
  <c r="R613" i="31"/>
  <c r="W613" i="31"/>
  <c r="K614" i="31"/>
  <c r="L614" i="31"/>
  <c r="N614" i="31"/>
  <c r="Q614" i="31"/>
  <c r="O614" i="31"/>
  <c r="P614" i="31"/>
  <c r="R614" i="31"/>
  <c r="W614" i="31"/>
  <c r="K615" i="31"/>
  <c r="L615" i="31"/>
  <c r="N615" i="31"/>
  <c r="Q615" i="31"/>
  <c r="O615" i="31"/>
  <c r="P615" i="31"/>
  <c r="R615" i="31"/>
  <c r="W615" i="31"/>
  <c r="K616" i="31"/>
  <c r="L616" i="31"/>
  <c r="N616" i="31"/>
  <c r="Q616" i="31"/>
  <c r="O616" i="31"/>
  <c r="P616" i="31"/>
  <c r="R616" i="31"/>
  <c r="W616" i="31"/>
  <c r="K617" i="31"/>
  <c r="L617" i="31"/>
  <c r="N617" i="31"/>
  <c r="Q617" i="31"/>
  <c r="O617" i="31"/>
  <c r="P617" i="31"/>
  <c r="R617" i="31"/>
  <c r="W617" i="31"/>
  <c r="K618" i="31"/>
  <c r="L618" i="31"/>
  <c r="N618" i="31"/>
  <c r="Q618" i="31"/>
  <c r="O618" i="31"/>
  <c r="P618" i="31"/>
  <c r="R618" i="31"/>
  <c r="W618" i="31"/>
  <c r="K619" i="31"/>
  <c r="L619" i="31"/>
  <c r="N619" i="31"/>
  <c r="Q619" i="31"/>
  <c r="O619" i="31"/>
  <c r="P619" i="31"/>
  <c r="R619" i="31"/>
  <c r="W619" i="31"/>
  <c r="K620" i="31"/>
  <c r="L620" i="31"/>
  <c r="N620" i="31"/>
  <c r="Q620" i="31"/>
  <c r="O620" i="31"/>
  <c r="P620" i="31"/>
  <c r="R620" i="31"/>
  <c r="W620" i="31"/>
  <c r="K621" i="31"/>
  <c r="L621" i="31"/>
  <c r="N621" i="31"/>
  <c r="Q621" i="31"/>
  <c r="O621" i="31"/>
  <c r="P621" i="31"/>
  <c r="R621" i="31"/>
  <c r="W621" i="31"/>
  <c r="K622" i="31"/>
  <c r="L622" i="31"/>
  <c r="N622" i="31"/>
  <c r="Q622" i="31"/>
  <c r="O622" i="31"/>
  <c r="P622" i="31"/>
  <c r="R622" i="31"/>
  <c r="W622" i="31"/>
  <c r="K623" i="31"/>
  <c r="L623" i="31"/>
  <c r="N623" i="31"/>
  <c r="Q623" i="31"/>
  <c r="O623" i="31"/>
  <c r="P623" i="31"/>
  <c r="R623" i="31"/>
  <c r="W623" i="31"/>
  <c r="K624" i="31"/>
  <c r="L624" i="31"/>
  <c r="N624" i="31"/>
  <c r="Q624" i="31"/>
  <c r="O624" i="31"/>
  <c r="P624" i="31"/>
  <c r="R624" i="31"/>
  <c r="W624" i="31"/>
  <c r="K625" i="31"/>
  <c r="L625" i="31"/>
  <c r="N625" i="31"/>
  <c r="Q625" i="31"/>
  <c r="O625" i="31"/>
  <c r="P625" i="31"/>
  <c r="R625" i="31"/>
  <c r="W625" i="31"/>
  <c r="K626" i="31"/>
  <c r="L626" i="31"/>
  <c r="N626" i="31"/>
  <c r="Q626" i="31"/>
  <c r="O626" i="31"/>
  <c r="P626" i="31"/>
  <c r="R626" i="31"/>
  <c r="W626" i="31"/>
  <c r="K627" i="31"/>
  <c r="L627" i="31"/>
  <c r="N627" i="31"/>
  <c r="Q627" i="31"/>
  <c r="O627" i="31"/>
  <c r="P627" i="31"/>
  <c r="R627" i="31"/>
  <c r="W627" i="31"/>
  <c r="K628" i="31"/>
  <c r="L628" i="31"/>
  <c r="N628" i="31"/>
  <c r="Q628" i="31"/>
  <c r="O628" i="31"/>
  <c r="P628" i="31"/>
  <c r="R628" i="31"/>
  <c r="W628" i="31"/>
  <c r="K629" i="31"/>
  <c r="L629" i="31"/>
  <c r="N629" i="31"/>
  <c r="Q629" i="31"/>
  <c r="O629" i="31"/>
  <c r="P629" i="31"/>
  <c r="R629" i="31"/>
  <c r="W629" i="31"/>
  <c r="K630" i="31"/>
  <c r="L630" i="31"/>
  <c r="N630" i="31"/>
  <c r="Q630" i="31"/>
  <c r="O630" i="31"/>
  <c r="P630" i="31"/>
  <c r="R630" i="31"/>
  <c r="W630" i="31"/>
  <c r="K631" i="31"/>
  <c r="L631" i="31"/>
  <c r="N631" i="31"/>
  <c r="Q631" i="31"/>
  <c r="O631" i="31"/>
  <c r="P631" i="31"/>
  <c r="R631" i="31"/>
  <c r="W631" i="31"/>
  <c r="K632" i="31"/>
  <c r="L632" i="31"/>
  <c r="N632" i="31"/>
  <c r="Q632" i="31"/>
  <c r="O632" i="31"/>
  <c r="P632" i="31"/>
  <c r="R632" i="31"/>
  <c r="W632" i="31"/>
  <c r="K633" i="31"/>
  <c r="L633" i="31"/>
  <c r="N633" i="31"/>
  <c r="Q633" i="31"/>
  <c r="O633" i="31"/>
  <c r="P633" i="31"/>
  <c r="R633" i="31"/>
  <c r="W633" i="31"/>
  <c r="K634" i="31"/>
  <c r="L634" i="31"/>
  <c r="N634" i="31"/>
  <c r="Q634" i="31"/>
  <c r="O634" i="31"/>
  <c r="P634" i="31"/>
  <c r="R634" i="31"/>
  <c r="W634" i="31"/>
  <c r="K635" i="31"/>
  <c r="L635" i="31"/>
  <c r="N635" i="31"/>
  <c r="Q635" i="31"/>
  <c r="O635" i="31"/>
  <c r="P635" i="31"/>
  <c r="R635" i="31"/>
  <c r="W635" i="31"/>
  <c r="K636" i="31"/>
  <c r="L636" i="31"/>
  <c r="N636" i="31"/>
  <c r="Q636" i="31"/>
  <c r="O636" i="31"/>
  <c r="P636" i="31"/>
  <c r="R636" i="31"/>
  <c r="W636" i="31"/>
  <c r="K637" i="31"/>
  <c r="L637" i="31"/>
  <c r="N637" i="31"/>
  <c r="Q637" i="31"/>
  <c r="O637" i="31"/>
  <c r="P637" i="31"/>
  <c r="R637" i="31"/>
  <c r="W637" i="31"/>
  <c r="K638" i="31"/>
  <c r="L638" i="31"/>
  <c r="N638" i="31"/>
  <c r="Q638" i="31"/>
  <c r="O638" i="31"/>
  <c r="P638" i="31"/>
  <c r="R638" i="31"/>
  <c r="W638" i="31"/>
  <c r="K639" i="31"/>
  <c r="L639" i="31"/>
  <c r="N639" i="31"/>
  <c r="Q639" i="31"/>
  <c r="O639" i="31"/>
  <c r="P639" i="31"/>
  <c r="R639" i="31"/>
  <c r="W639" i="31"/>
  <c r="K640" i="31"/>
  <c r="L640" i="31"/>
  <c r="N640" i="31"/>
  <c r="Q640" i="31"/>
  <c r="O640" i="31"/>
  <c r="P640" i="31"/>
  <c r="R640" i="31"/>
  <c r="W640" i="31"/>
  <c r="K641" i="31"/>
  <c r="L641" i="31"/>
  <c r="N641" i="31"/>
  <c r="Q641" i="31"/>
  <c r="O641" i="31"/>
  <c r="P641" i="31"/>
  <c r="R641" i="31"/>
  <c r="W641" i="31"/>
  <c r="K642" i="31"/>
  <c r="L642" i="31"/>
  <c r="N642" i="31"/>
  <c r="Q642" i="31"/>
  <c r="O642" i="31"/>
  <c r="P642" i="31"/>
  <c r="R642" i="31"/>
  <c r="W642" i="31"/>
  <c r="K643" i="31"/>
  <c r="L643" i="31"/>
  <c r="N643" i="31"/>
  <c r="Q643" i="31"/>
  <c r="O643" i="31"/>
  <c r="P643" i="31"/>
  <c r="R643" i="31"/>
  <c r="W643" i="31"/>
  <c r="K644" i="31"/>
  <c r="L644" i="31"/>
  <c r="N644" i="31"/>
  <c r="Q644" i="31"/>
  <c r="O644" i="31"/>
  <c r="P644" i="31"/>
  <c r="R644" i="31"/>
  <c r="W644" i="31"/>
  <c r="K645" i="31"/>
  <c r="L645" i="31"/>
  <c r="N645" i="31"/>
  <c r="Q645" i="31"/>
  <c r="O645" i="31"/>
  <c r="P645" i="31"/>
  <c r="R645" i="31"/>
  <c r="W645" i="31"/>
  <c r="K646" i="31"/>
  <c r="L646" i="31"/>
  <c r="N646" i="31"/>
  <c r="Q646" i="31"/>
  <c r="O646" i="31"/>
  <c r="P646" i="31"/>
  <c r="R646" i="31"/>
  <c r="W646" i="31"/>
  <c r="K647" i="31"/>
  <c r="L647" i="31"/>
  <c r="N647" i="31"/>
  <c r="Q647" i="31"/>
  <c r="O647" i="31"/>
  <c r="P647" i="31"/>
  <c r="R647" i="31"/>
  <c r="W647" i="31"/>
  <c r="K648" i="31"/>
  <c r="L648" i="31"/>
  <c r="N648" i="31"/>
  <c r="Q648" i="31"/>
  <c r="O648" i="31"/>
  <c r="P648" i="31"/>
  <c r="R648" i="31"/>
  <c r="W648" i="31"/>
  <c r="K649" i="31"/>
  <c r="L649" i="31"/>
  <c r="N649" i="31"/>
  <c r="Q649" i="31"/>
  <c r="O649" i="31"/>
  <c r="P649" i="31"/>
  <c r="R649" i="31"/>
  <c r="W649" i="31"/>
  <c r="K650" i="31"/>
  <c r="L650" i="31"/>
  <c r="N650" i="31"/>
  <c r="Q650" i="31"/>
  <c r="O650" i="31"/>
  <c r="P650" i="31"/>
  <c r="R650" i="31"/>
  <c r="W650" i="31"/>
  <c r="K651" i="31"/>
  <c r="L651" i="31"/>
  <c r="N651" i="31"/>
  <c r="Q651" i="31"/>
  <c r="O651" i="31"/>
  <c r="P651" i="31"/>
  <c r="R651" i="31"/>
  <c r="W651" i="31"/>
  <c r="K652" i="31"/>
  <c r="L652" i="31"/>
  <c r="N652" i="31"/>
  <c r="Q652" i="31"/>
  <c r="O652" i="31"/>
  <c r="P652" i="31"/>
  <c r="R652" i="31"/>
  <c r="W652" i="31"/>
  <c r="K653" i="31"/>
  <c r="L653" i="31"/>
  <c r="N653" i="31"/>
  <c r="Q653" i="31"/>
  <c r="O653" i="31"/>
  <c r="P653" i="31"/>
  <c r="R653" i="31"/>
  <c r="W653" i="31"/>
  <c r="K654" i="31"/>
  <c r="L654" i="31"/>
  <c r="N654" i="31"/>
  <c r="Q654" i="31"/>
  <c r="O654" i="31"/>
  <c r="P654" i="31"/>
  <c r="R654" i="31"/>
  <c r="W654" i="31"/>
  <c r="K655" i="31"/>
  <c r="L655" i="31"/>
  <c r="N655" i="31"/>
  <c r="Q655" i="31"/>
  <c r="O655" i="31"/>
  <c r="P655" i="31"/>
  <c r="R655" i="31"/>
  <c r="W655" i="31"/>
  <c r="K656" i="31"/>
  <c r="L656" i="31"/>
  <c r="N656" i="31"/>
  <c r="Q656" i="31"/>
  <c r="O656" i="31"/>
  <c r="P656" i="31"/>
  <c r="R656" i="31"/>
  <c r="W656" i="31"/>
  <c r="K657" i="31"/>
  <c r="L657" i="31"/>
  <c r="N657" i="31"/>
  <c r="Q657" i="31"/>
  <c r="O657" i="31"/>
  <c r="P657" i="31"/>
  <c r="R657" i="31"/>
  <c r="W657" i="31"/>
  <c r="K658" i="31"/>
  <c r="L658" i="31"/>
  <c r="N658" i="31"/>
  <c r="Q658" i="31"/>
  <c r="O658" i="31"/>
  <c r="P658" i="31"/>
  <c r="R658" i="31"/>
  <c r="W658" i="31"/>
  <c r="K659" i="31"/>
  <c r="L659" i="31"/>
  <c r="N659" i="31"/>
  <c r="Q659" i="31"/>
  <c r="O659" i="31"/>
  <c r="P659" i="31"/>
  <c r="R659" i="31"/>
  <c r="W659" i="31"/>
  <c r="K660" i="31"/>
  <c r="L660" i="31"/>
  <c r="N660" i="31"/>
  <c r="Q660" i="31"/>
  <c r="O660" i="31"/>
  <c r="P660" i="31"/>
  <c r="R660" i="31"/>
  <c r="W660" i="31"/>
  <c r="K661" i="31"/>
  <c r="L661" i="31"/>
  <c r="N661" i="31"/>
  <c r="Q661" i="31"/>
  <c r="O661" i="31"/>
  <c r="P661" i="31"/>
  <c r="R661" i="31"/>
  <c r="W661" i="31"/>
  <c r="K662" i="31"/>
  <c r="L662" i="31"/>
  <c r="N662" i="31"/>
  <c r="Q662" i="31"/>
  <c r="O662" i="31"/>
  <c r="P662" i="31"/>
  <c r="R662" i="31"/>
  <c r="W662" i="31"/>
  <c r="K663" i="31"/>
  <c r="L663" i="31"/>
  <c r="N663" i="31"/>
  <c r="Q663" i="31"/>
  <c r="O663" i="31"/>
  <c r="P663" i="31"/>
  <c r="R663" i="31"/>
  <c r="W663" i="31"/>
  <c r="K664" i="31"/>
  <c r="L664" i="31"/>
  <c r="N664" i="31"/>
  <c r="Q664" i="31"/>
  <c r="O664" i="31"/>
  <c r="P664" i="31"/>
  <c r="R664" i="31"/>
  <c r="W664" i="31"/>
  <c r="K665" i="31"/>
  <c r="L665" i="31"/>
  <c r="N665" i="31"/>
  <c r="Q665" i="31"/>
  <c r="O665" i="31"/>
  <c r="P665" i="31"/>
  <c r="R665" i="31"/>
  <c r="W665" i="31"/>
  <c r="K666" i="31"/>
  <c r="L666" i="31"/>
  <c r="N666" i="31"/>
  <c r="Q666" i="31"/>
  <c r="O666" i="31"/>
  <c r="P666" i="31"/>
  <c r="R666" i="31"/>
  <c r="W666" i="31"/>
  <c r="K667" i="31"/>
  <c r="L667" i="31"/>
  <c r="N667" i="31"/>
  <c r="Q667" i="31"/>
  <c r="O667" i="31"/>
  <c r="P667" i="31"/>
  <c r="R667" i="31"/>
  <c r="W667" i="31"/>
  <c r="K668" i="31"/>
  <c r="L668" i="31"/>
  <c r="N668" i="31"/>
  <c r="Q668" i="31"/>
  <c r="O668" i="31"/>
  <c r="P668" i="31"/>
  <c r="R668" i="31"/>
  <c r="W668" i="31"/>
  <c r="K669" i="31"/>
  <c r="L669" i="31"/>
  <c r="N669" i="31"/>
  <c r="Q669" i="31"/>
  <c r="O669" i="31"/>
  <c r="P669" i="31"/>
  <c r="R669" i="31"/>
  <c r="W669" i="31"/>
  <c r="K670" i="31"/>
  <c r="L670" i="31"/>
  <c r="N670" i="31"/>
  <c r="Q670" i="31"/>
  <c r="O670" i="31"/>
  <c r="P670" i="31"/>
  <c r="R670" i="31"/>
  <c r="W670" i="31"/>
  <c r="K671" i="31"/>
  <c r="L671" i="31"/>
  <c r="N671" i="31"/>
  <c r="Q671" i="31"/>
  <c r="O671" i="31"/>
  <c r="P671" i="31"/>
  <c r="R671" i="31"/>
  <c r="W671" i="31"/>
  <c r="K672" i="31"/>
  <c r="L672" i="31"/>
  <c r="N672" i="31"/>
  <c r="Q672" i="31"/>
  <c r="O672" i="31"/>
  <c r="P672" i="31"/>
  <c r="R672" i="31"/>
  <c r="W672" i="31"/>
  <c r="K673" i="31"/>
  <c r="L673" i="31"/>
  <c r="N673" i="31"/>
  <c r="Q673" i="31"/>
  <c r="O673" i="31"/>
  <c r="P673" i="31"/>
  <c r="R673" i="31"/>
  <c r="W673" i="31"/>
  <c r="K674" i="31"/>
  <c r="L674" i="31"/>
  <c r="N674" i="31"/>
  <c r="Q674" i="31"/>
  <c r="O674" i="31"/>
  <c r="P674" i="31"/>
  <c r="R674" i="31"/>
  <c r="W674" i="31"/>
  <c r="K675" i="31"/>
  <c r="L675" i="31"/>
  <c r="N675" i="31"/>
  <c r="Q675" i="31"/>
  <c r="O675" i="31"/>
  <c r="P675" i="31"/>
  <c r="R675" i="31"/>
  <c r="W675" i="31"/>
  <c r="K676" i="31"/>
  <c r="L676" i="31"/>
  <c r="N676" i="31"/>
  <c r="Q676" i="31"/>
  <c r="O676" i="31"/>
  <c r="P676" i="31"/>
  <c r="R676" i="31"/>
  <c r="W676" i="31"/>
  <c r="K677" i="31"/>
  <c r="L677" i="31"/>
  <c r="N677" i="31"/>
  <c r="Q677" i="31"/>
  <c r="O677" i="31"/>
  <c r="P677" i="31"/>
  <c r="R677" i="31"/>
  <c r="W677" i="31"/>
  <c r="K678" i="31"/>
  <c r="L678" i="31"/>
  <c r="N678" i="31"/>
  <c r="Q678" i="31"/>
  <c r="O678" i="31"/>
  <c r="P678" i="31"/>
  <c r="R678" i="31"/>
  <c r="W678" i="31"/>
  <c r="K679" i="31"/>
  <c r="L679" i="31"/>
  <c r="N679" i="31"/>
  <c r="Q679" i="31"/>
  <c r="O679" i="31"/>
  <c r="P679" i="31"/>
  <c r="R679" i="31"/>
  <c r="W679" i="31"/>
  <c r="K680" i="31"/>
  <c r="L680" i="31"/>
  <c r="N680" i="31"/>
  <c r="Q680" i="31"/>
  <c r="O680" i="31"/>
  <c r="P680" i="31"/>
  <c r="R680" i="31"/>
  <c r="W680" i="31"/>
  <c r="K681" i="31"/>
  <c r="L681" i="31"/>
  <c r="N681" i="31"/>
  <c r="Q681" i="31"/>
  <c r="O681" i="31"/>
  <c r="P681" i="31"/>
  <c r="R681" i="31"/>
  <c r="W681" i="31"/>
  <c r="K682" i="31"/>
  <c r="L682" i="31"/>
  <c r="N682" i="31"/>
  <c r="Q682" i="31"/>
  <c r="O682" i="31"/>
  <c r="P682" i="31"/>
  <c r="R682" i="31"/>
  <c r="W682" i="31"/>
  <c r="K683" i="31"/>
  <c r="L683" i="31"/>
  <c r="N683" i="31"/>
  <c r="Q683" i="31"/>
  <c r="O683" i="31"/>
  <c r="P683" i="31"/>
  <c r="R683" i="31"/>
  <c r="W683" i="31"/>
  <c r="K684" i="31"/>
  <c r="L684" i="31"/>
  <c r="N684" i="31"/>
  <c r="Q684" i="31"/>
  <c r="O684" i="31"/>
  <c r="P684" i="31"/>
  <c r="R684" i="31"/>
  <c r="W684" i="31"/>
  <c r="K685" i="31"/>
  <c r="L685" i="31"/>
  <c r="N685" i="31"/>
  <c r="Q685" i="31"/>
  <c r="O685" i="31"/>
  <c r="P685" i="31"/>
  <c r="R685" i="31"/>
  <c r="W685" i="31"/>
  <c r="K686" i="31"/>
  <c r="L686" i="31"/>
  <c r="N686" i="31"/>
  <c r="Q686" i="31"/>
  <c r="O686" i="31"/>
  <c r="P686" i="31"/>
  <c r="R686" i="31"/>
  <c r="W686" i="31"/>
  <c r="K687" i="31"/>
  <c r="L687" i="31"/>
  <c r="N687" i="31"/>
  <c r="Q687" i="31"/>
  <c r="O687" i="31"/>
  <c r="P687" i="31"/>
  <c r="R687" i="31"/>
  <c r="W687" i="31"/>
  <c r="K688" i="31"/>
  <c r="L688" i="31"/>
  <c r="N688" i="31"/>
  <c r="Q688" i="31"/>
  <c r="O688" i="31"/>
  <c r="P688" i="31"/>
  <c r="R688" i="31"/>
  <c r="W688" i="31"/>
  <c r="K689" i="31"/>
  <c r="L689" i="31"/>
  <c r="N689" i="31"/>
  <c r="Q689" i="31"/>
  <c r="O689" i="31"/>
  <c r="P689" i="31"/>
  <c r="R689" i="31"/>
  <c r="W689" i="31"/>
  <c r="K690" i="31"/>
  <c r="L690" i="31"/>
  <c r="N690" i="31"/>
  <c r="Q690" i="31"/>
  <c r="O690" i="31"/>
  <c r="P690" i="31"/>
  <c r="R690" i="31"/>
  <c r="W690" i="31"/>
  <c r="K691" i="31"/>
  <c r="L691" i="31"/>
  <c r="N691" i="31"/>
  <c r="Q691" i="31"/>
  <c r="O691" i="31"/>
  <c r="P691" i="31"/>
  <c r="R691" i="31"/>
  <c r="W691" i="31"/>
  <c r="K692" i="31"/>
  <c r="L692" i="31"/>
  <c r="N692" i="31"/>
  <c r="Q692" i="31"/>
  <c r="O692" i="31"/>
  <c r="P692" i="31"/>
  <c r="R692" i="31"/>
  <c r="W692" i="31"/>
  <c r="K693" i="31"/>
  <c r="L693" i="31"/>
  <c r="N693" i="31"/>
  <c r="Q693" i="31"/>
  <c r="O693" i="31"/>
  <c r="P693" i="31"/>
  <c r="R693" i="31"/>
  <c r="W693" i="31"/>
  <c r="K694" i="31"/>
  <c r="L694" i="31"/>
  <c r="N694" i="31"/>
  <c r="Q694" i="31"/>
  <c r="O694" i="31"/>
  <c r="P694" i="31"/>
  <c r="R694" i="31"/>
  <c r="W694" i="31"/>
  <c r="K695" i="31"/>
  <c r="L695" i="31"/>
  <c r="N695" i="31"/>
  <c r="Q695" i="31"/>
  <c r="O695" i="31"/>
  <c r="P695" i="31"/>
  <c r="R695" i="31"/>
  <c r="W695" i="31"/>
  <c r="K696" i="31"/>
  <c r="L696" i="31"/>
  <c r="N696" i="31"/>
  <c r="Q696" i="31"/>
  <c r="O696" i="31"/>
  <c r="P696" i="31"/>
  <c r="R696" i="31"/>
  <c r="W696" i="31"/>
  <c r="K697" i="31"/>
  <c r="L697" i="31"/>
  <c r="N697" i="31"/>
  <c r="Q697" i="31"/>
  <c r="O697" i="31"/>
  <c r="P697" i="31"/>
  <c r="R697" i="31"/>
  <c r="W697" i="31"/>
  <c r="K698" i="31"/>
  <c r="L698" i="31"/>
  <c r="N698" i="31"/>
  <c r="Q698" i="31"/>
  <c r="O698" i="31"/>
  <c r="P698" i="31"/>
  <c r="R698" i="31"/>
  <c r="W698" i="31"/>
  <c r="K699" i="31"/>
  <c r="L699" i="31"/>
  <c r="N699" i="31"/>
  <c r="Q699" i="31"/>
  <c r="O699" i="31"/>
  <c r="P699" i="31"/>
  <c r="R699" i="31"/>
  <c r="W699" i="31"/>
  <c r="K700" i="31"/>
  <c r="L700" i="31"/>
  <c r="N700" i="31"/>
  <c r="Q700" i="31"/>
  <c r="O700" i="31"/>
  <c r="P700" i="31"/>
  <c r="R700" i="31"/>
  <c r="W700" i="31"/>
  <c r="K701" i="31"/>
  <c r="L701" i="31"/>
  <c r="N701" i="31"/>
  <c r="Q701" i="31"/>
  <c r="O701" i="31"/>
  <c r="P701" i="31"/>
  <c r="R701" i="31"/>
  <c r="W701" i="31"/>
  <c r="K702" i="31"/>
  <c r="L702" i="31"/>
  <c r="N702" i="31"/>
  <c r="Q702" i="31"/>
  <c r="O702" i="31"/>
  <c r="P702" i="31"/>
  <c r="R702" i="31"/>
  <c r="W702" i="31"/>
  <c r="K703" i="31"/>
  <c r="L703" i="31"/>
  <c r="N703" i="31"/>
  <c r="Q703" i="31"/>
  <c r="O703" i="31"/>
  <c r="P703" i="31"/>
  <c r="R703" i="31"/>
  <c r="W703" i="31"/>
  <c r="K704" i="31"/>
  <c r="L704" i="31"/>
  <c r="N704" i="31"/>
  <c r="Q704" i="31"/>
  <c r="O704" i="31"/>
  <c r="P704" i="31"/>
  <c r="R704" i="31"/>
  <c r="W704" i="31"/>
  <c r="K705" i="31"/>
  <c r="L705" i="31"/>
  <c r="N705" i="31"/>
  <c r="Q705" i="31"/>
  <c r="O705" i="31"/>
  <c r="P705" i="31"/>
  <c r="R705" i="31"/>
  <c r="W705" i="31"/>
  <c r="K706" i="31"/>
  <c r="L706" i="31"/>
  <c r="N706" i="31"/>
  <c r="Q706" i="31"/>
  <c r="O706" i="31"/>
  <c r="P706" i="31"/>
  <c r="R706" i="31"/>
  <c r="W706" i="31"/>
  <c r="K707" i="31"/>
  <c r="L707" i="31"/>
  <c r="N707" i="31"/>
  <c r="Q707" i="31"/>
  <c r="O707" i="31"/>
  <c r="P707" i="31"/>
  <c r="R707" i="31"/>
  <c r="W707" i="31"/>
  <c r="K708" i="31"/>
  <c r="L708" i="31"/>
  <c r="N708" i="31"/>
  <c r="Q708" i="31"/>
  <c r="O708" i="31"/>
  <c r="P708" i="31"/>
  <c r="R708" i="31"/>
  <c r="W708" i="31"/>
  <c r="K709" i="31"/>
  <c r="L709" i="31"/>
  <c r="N709" i="31"/>
  <c r="Q709" i="31"/>
  <c r="O709" i="31"/>
  <c r="P709" i="31"/>
  <c r="R709" i="31"/>
  <c r="W709" i="31"/>
  <c r="K710" i="31"/>
  <c r="L710" i="31"/>
  <c r="N710" i="31"/>
  <c r="Q710" i="31"/>
  <c r="O710" i="31"/>
  <c r="P710" i="31"/>
  <c r="R710" i="31"/>
  <c r="W710" i="31"/>
  <c r="K711" i="31"/>
  <c r="L711" i="31"/>
  <c r="N711" i="31"/>
  <c r="Q711" i="31"/>
  <c r="O711" i="31"/>
  <c r="P711" i="31"/>
  <c r="R711" i="31"/>
  <c r="W711" i="31"/>
  <c r="K712" i="31"/>
  <c r="L712" i="31"/>
  <c r="N712" i="31"/>
  <c r="Q712" i="31"/>
  <c r="O712" i="31"/>
  <c r="P712" i="31"/>
  <c r="R712" i="31"/>
  <c r="W712" i="31"/>
  <c r="K713" i="31"/>
  <c r="L713" i="31"/>
  <c r="N713" i="31"/>
  <c r="Q713" i="31"/>
  <c r="O713" i="31"/>
  <c r="P713" i="31"/>
  <c r="R713" i="31"/>
  <c r="W713" i="31"/>
  <c r="K714" i="31"/>
  <c r="L714" i="31"/>
  <c r="N714" i="31"/>
  <c r="Q714" i="31"/>
  <c r="O714" i="31"/>
  <c r="P714" i="31"/>
  <c r="R714" i="31"/>
  <c r="W714" i="31"/>
  <c r="K715" i="31"/>
  <c r="L715" i="31"/>
  <c r="N715" i="31"/>
  <c r="Q715" i="31"/>
  <c r="O715" i="31"/>
  <c r="P715" i="31"/>
  <c r="R715" i="31"/>
  <c r="W715" i="31"/>
  <c r="K716" i="31"/>
  <c r="L716" i="31"/>
  <c r="N716" i="31"/>
  <c r="Q716" i="31"/>
  <c r="O716" i="31"/>
  <c r="P716" i="31"/>
  <c r="R716" i="31"/>
  <c r="W716" i="31"/>
  <c r="K717" i="31"/>
  <c r="L717" i="31"/>
  <c r="N717" i="31"/>
  <c r="Q717" i="31"/>
  <c r="O717" i="31"/>
  <c r="P717" i="31"/>
  <c r="R717" i="31"/>
  <c r="W717" i="31"/>
  <c r="K718" i="31"/>
  <c r="L718" i="31"/>
  <c r="N718" i="31"/>
  <c r="Q718" i="31"/>
  <c r="O718" i="31"/>
  <c r="P718" i="31"/>
  <c r="R718" i="31"/>
  <c r="W718" i="31"/>
  <c r="K719" i="31"/>
  <c r="L719" i="31"/>
  <c r="N719" i="31"/>
  <c r="Q719" i="31"/>
  <c r="O719" i="31"/>
  <c r="P719" i="31"/>
  <c r="R719" i="31"/>
  <c r="W719" i="31"/>
  <c r="K720" i="31"/>
  <c r="L720" i="31"/>
  <c r="N720" i="31"/>
  <c r="Q720" i="31"/>
  <c r="O720" i="31"/>
  <c r="P720" i="31"/>
  <c r="R720" i="31"/>
  <c r="W720" i="31"/>
  <c r="K721" i="31"/>
  <c r="L721" i="31"/>
  <c r="N721" i="31"/>
  <c r="Q721" i="31"/>
  <c r="O721" i="31"/>
  <c r="P721" i="31"/>
  <c r="R721" i="31"/>
  <c r="W721" i="31"/>
  <c r="K722" i="31"/>
  <c r="L722" i="31"/>
  <c r="N722" i="31"/>
  <c r="Q722" i="31"/>
  <c r="O722" i="31"/>
  <c r="P722" i="31"/>
  <c r="R722" i="31"/>
  <c r="W722" i="31"/>
  <c r="K723" i="31"/>
  <c r="L723" i="31"/>
  <c r="N723" i="31"/>
  <c r="Q723" i="31"/>
  <c r="O723" i="31"/>
  <c r="P723" i="31"/>
  <c r="R723" i="31"/>
  <c r="W723" i="31"/>
  <c r="K724" i="31"/>
  <c r="L724" i="31"/>
  <c r="N724" i="31"/>
  <c r="Q724" i="31"/>
  <c r="O724" i="31"/>
  <c r="P724" i="31"/>
  <c r="R724" i="31"/>
  <c r="W724" i="31"/>
  <c r="K725" i="31"/>
  <c r="L725" i="31"/>
  <c r="N725" i="31"/>
  <c r="Q725" i="31"/>
  <c r="O725" i="31"/>
  <c r="P725" i="31"/>
  <c r="R725" i="31"/>
  <c r="W725" i="31"/>
  <c r="K726" i="31"/>
  <c r="L726" i="31"/>
  <c r="N726" i="31"/>
  <c r="Q726" i="31"/>
  <c r="O726" i="31"/>
  <c r="P726" i="31"/>
  <c r="R726" i="31"/>
  <c r="W726" i="31"/>
  <c r="K727" i="31"/>
  <c r="L727" i="31"/>
  <c r="N727" i="31"/>
  <c r="Q727" i="31"/>
  <c r="O727" i="31"/>
  <c r="P727" i="31"/>
  <c r="R727" i="31"/>
  <c r="W727" i="31"/>
  <c r="K728" i="31"/>
  <c r="L728" i="31"/>
  <c r="N728" i="31"/>
  <c r="Q728" i="31"/>
  <c r="O728" i="31"/>
  <c r="P728" i="31"/>
  <c r="R728" i="31"/>
  <c r="W728" i="31"/>
  <c r="K729" i="31"/>
  <c r="L729" i="31"/>
  <c r="N729" i="31"/>
  <c r="Q729" i="31"/>
  <c r="O729" i="31"/>
  <c r="P729" i="31"/>
  <c r="R729" i="31"/>
  <c r="W729" i="31"/>
  <c r="K730" i="31"/>
  <c r="L730" i="31"/>
  <c r="N730" i="31"/>
  <c r="Q730" i="31"/>
  <c r="O730" i="31"/>
  <c r="P730" i="31"/>
  <c r="R730" i="31"/>
  <c r="W730" i="31"/>
  <c r="K731" i="31"/>
  <c r="L731" i="31"/>
  <c r="N731" i="31"/>
  <c r="Q731" i="31"/>
  <c r="O731" i="31"/>
  <c r="P731" i="31"/>
  <c r="R731" i="31"/>
  <c r="W731" i="31"/>
  <c r="K732" i="31"/>
  <c r="L732" i="31"/>
  <c r="N732" i="31"/>
  <c r="Q732" i="31"/>
  <c r="O732" i="31"/>
  <c r="P732" i="31"/>
  <c r="R732" i="31"/>
  <c r="W732" i="31"/>
  <c r="K733" i="31"/>
  <c r="L733" i="31"/>
  <c r="N733" i="31"/>
  <c r="Q733" i="31"/>
  <c r="O733" i="31"/>
  <c r="P733" i="31"/>
  <c r="R733" i="31"/>
  <c r="W733" i="31"/>
  <c r="K734" i="31"/>
  <c r="L734" i="31"/>
  <c r="N734" i="31"/>
  <c r="Q734" i="31"/>
  <c r="O734" i="31"/>
  <c r="P734" i="31"/>
  <c r="R734" i="31"/>
  <c r="W734" i="31"/>
  <c r="K735" i="31"/>
  <c r="L735" i="31"/>
  <c r="N735" i="31"/>
  <c r="Q735" i="31"/>
  <c r="O735" i="31"/>
  <c r="P735" i="31"/>
  <c r="R735" i="31"/>
  <c r="W735" i="31"/>
  <c r="K736" i="31"/>
  <c r="L736" i="31"/>
  <c r="N736" i="31"/>
  <c r="Q736" i="31"/>
  <c r="O736" i="31"/>
  <c r="P736" i="31"/>
  <c r="R736" i="31"/>
  <c r="W736" i="31"/>
  <c r="K737" i="31"/>
  <c r="L737" i="31"/>
  <c r="N737" i="31"/>
  <c r="Q737" i="31"/>
  <c r="O737" i="31"/>
  <c r="P737" i="31"/>
  <c r="R737" i="31"/>
  <c r="W737" i="31"/>
  <c r="K738" i="31"/>
  <c r="L738" i="31"/>
  <c r="N738" i="31"/>
  <c r="Q738" i="31"/>
  <c r="O738" i="31"/>
  <c r="P738" i="31"/>
  <c r="R738" i="31"/>
  <c r="W738" i="31"/>
  <c r="K739" i="31"/>
  <c r="L739" i="31"/>
  <c r="N739" i="31"/>
  <c r="Q739" i="31"/>
  <c r="O739" i="31"/>
  <c r="P739" i="31"/>
  <c r="R739" i="31"/>
  <c r="W739" i="31"/>
  <c r="K740" i="31"/>
  <c r="L740" i="31"/>
  <c r="N740" i="31"/>
  <c r="Q740" i="31"/>
  <c r="O740" i="31"/>
  <c r="P740" i="31"/>
  <c r="R740" i="31"/>
  <c r="W740" i="31"/>
  <c r="K741" i="31"/>
  <c r="L741" i="31"/>
  <c r="N741" i="31"/>
  <c r="Q741" i="31"/>
  <c r="O741" i="31"/>
  <c r="P741" i="31"/>
  <c r="R741" i="31"/>
  <c r="W741" i="31"/>
  <c r="K742" i="31"/>
  <c r="L742" i="31"/>
  <c r="N742" i="31"/>
  <c r="Q742" i="31"/>
  <c r="O742" i="31"/>
  <c r="P742" i="31"/>
  <c r="R742" i="31"/>
  <c r="W742" i="31"/>
  <c r="K743" i="31"/>
  <c r="L743" i="31"/>
  <c r="N743" i="31"/>
  <c r="Q743" i="31"/>
  <c r="O743" i="31"/>
  <c r="P743" i="31"/>
  <c r="R743" i="31"/>
  <c r="W743" i="31"/>
  <c r="K744" i="31"/>
  <c r="L744" i="31"/>
  <c r="N744" i="31"/>
  <c r="Q744" i="31"/>
  <c r="O744" i="31"/>
  <c r="P744" i="31"/>
  <c r="R744" i="31"/>
  <c r="W744" i="31"/>
  <c r="K745" i="31"/>
  <c r="L745" i="31"/>
  <c r="N745" i="31"/>
  <c r="Q745" i="31"/>
  <c r="O745" i="31"/>
  <c r="P745" i="31"/>
  <c r="R745" i="31"/>
  <c r="W745" i="31"/>
  <c r="K746" i="31"/>
  <c r="L746" i="31"/>
  <c r="N746" i="31"/>
  <c r="Q746" i="31"/>
  <c r="O746" i="31"/>
  <c r="P746" i="31"/>
  <c r="R746" i="31"/>
  <c r="W746" i="31"/>
  <c r="K747" i="31"/>
  <c r="L747" i="31"/>
  <c r="N747" i="31"/>
  <c r="Q747" i="31"/>
  <c r="O747" i="31"/>
  <c r="P747" i="31"/>
  <c r="R747" i="31"/>
  <c r="W747" i="31"/>
  <c r="K748" i="31"/>
  <c r="L748" i="31"/>
  <c r="N748" i="31"/>
  <c r="Q748" i="31"/>
  <c r="O748" i="31"/>
  <c r="P748" i="31"/>
  <c r="R748" i="31"/>
  <c r="W748" i="31"/>
  <c r="K749" i="31"/>
  <c r="L749" i="31"/>
  <c r="N749" i="31"/>
  <c r="Q749" i="31"/>
  <c r="O749" i="31"/>
  <c r="P749" i="31"/>
  <c r="R749" i="31"/>
  <c r="W749" i="31"/>
  <c r="K750" i="31"/>
  <c r="L750" i="31"/>
  <c r="N750" i="31"/>
  <c r="Q750" i="31"/>
  <c r="O750" i="31"/>
  <c r="P750" i="31"/>
  <c r="R750" i="31"/>
  <c r="W750" i="31"/>
  <c r="K751" i="31"/>
  <c r="L751" i="31"/>
  <c r="N751" i="31"/>
  <c r="Q751" i="31"/>
  <c r="O751" i="31"/>
  <c r="P751" i="31"/>
  <c r="R751" i="31"/>
  <c r="W751" i="31"/>
  <c r="K752" i="31"/>
  <c r="L752" i="31"/>
  <c r="N752" i="31"/>
  <c r="Q752" i="31"/>
  <c r="O752" i="31"/>
  <c r="P752" i="31"/>
  <c r="R752" i="31"/>
  <c r="W752" i="31"/>
  <c r="K753" i="31"/>
  <c r="L753" i="31"/>
  <c r="N753" i="31"/>
  <c r="Q753" i="31"/>
  <c r="O753" i="31"/>
  <c r="P753" i="31"/>
  <c r="R753" i="31"/>
  <c r="W753" i="31"/>
  <c r="K754" i="31"/>
  <c r="L754" i="31"/>
  <c r="N754" i="31"/>
  <c r="Q754" i="31"/>
  <c r="O754" i="31"/>
  <c r="P754" i="31"/>
  <c r="R754" i="31"/>
  <c r="W754" i="31"/>
  <c r="K755" i="31"/>
  <c r="L755" i="31"/>
  <c r="N755" i="31"/>
  <c r="Q755" i="31"/>
  <c r="O755" i="31"/>
  <c r="P755" i="31"/>
  <c r="R755" i="31"/>
  <c r="W755" i="31"/>
  <c r="K756" i="31"/>
  <c r="L756" i="31"/>
  <c r="N756" i="31"/>
  <c r="Q756" i="31"/>
  <c r="O756" i="31"/>
  <c r="P756" i="31"/>
  <c r="R756" i="31"/>
  <c r="W756" i="31"/>
  <c r="K757" i="31"/>
  <c r="L757" i="31"/>
  <c r="N757" i="31"/>
  <c r="Q757" i="31"/>
  <c r="O757" i="31"/>
  <c r="P757" i="31"/>
  <c r="R757" i="31"/>
  <c r="W757" i="31"/>
  <c r="K758" i="31"/>
  <c r="L758" i="31"/>
  <c r="N758" i="31"/>
  <c r="Q758" i="31"/>
  <c r="O758" i="31"/>
  <c r="P758" i="31"/>
  <c r="R758" i="31"/>
  <c r="W758" i="31"/>
  <c r="K759" i="31"/>
  <c r="L759" i="31"/>
  <c r="N759" i="31"/>
  <c r="Q759" i="31"/>
  <c r="O759" i="31"/>
  <c r="P759" i="31"/>
  <c r="R759" i="31"/>
  <c r="W759" i="31"/>
  <c r="K760" i="31"/>
  <c r="L760" i="31"/>
  <c r="N760" i="31"/>
  <c r="Q760" i="31"/>
  <c r="O760" i="31"/>
  <c r="P760" i="31"/>
  <c r="R760" i="31"/>
  <c r="W760" i="31"/>
  <c r="K761" i="31"/>
  <c r="L761" i="31"/>
  <c r="N761" i="31"/>
  <c r="Q761" i="31"/>
  <c r="O761" i="31"/>
  <c r="P761" i="31"/>
  <c r="R761" i="31"/>
  <c r="W761" i="31"/>
  <c r="K762" i="31"/>
  <c r="L762" i="31"/>
  <c r="N762" i="31"/>
  <c r="Q762" i="31"/>
  <c r="O762" i="31"/>
  <c r="P762" i="31"/>
  <c r="R762" i="31"/>
  <c r="W762" i="31"/>
  <c r="K763" i="31"/>
  <c r="L763" i="31"/>
  <c r="N763" i="31"/>
  <c r="Q763" i="31"/>
  <c r="O763" i="31"/>
  <c r="P763" i="31"/>
  <c r="R763" i="31"/>
  <c r="W763" i="31"/>
  <c r="K764" i="31"/>
  <c r="L764" i="31"/>
  <c r="N764" i="31"/>
  <c r="Q764" i="31"/>
  <c r="O764" i="31"/>
  <c r="P764" i="31"/>
  <c r="R764" i="31"/>
  <c r="W764" i="31"/>
  <c r="K765" i="31"/>
  <c r="L765" i="31"/>
  <c r="N765" i="31"/>
  <c r="Q765" i="31"/>
  <c r="O765" i="31"/>
  <c r="P765" i="31"/>
  <c r="R765" i="31"/>
  <c r="W765" i="31"/>
  <c r="K766" i="31"/>
  <c r="L766" i="31"/>
  <c r="N766" i="31"/>
  <c r="Q766" i="31"/>
  <c r="O766" i="31"/>
  <c r="P766" i="31"/>
  <c r="R766" i="31"/>
  <c r="W766" i="31"/>
  <c r="K767" i="31"/>
  <c r="L767" i="31"/>
  <c r="N767" i="31"/>
  <c r="Q767" i="31"/>
  <c r="O767" i="31"/>
  <c r="P767" i="31"/>
  <c r="R767" i="31"/>
  <c r="W767" i="31"/>
  <c r="K768" i="31"/>
  <c r="L768" i="31"/>
  <c r="N768" i="31"/>
  <c r="Q768" i="31"/>
  <c r="O768" i="31"/>
  <c r="P768" i="31"/>
  <c r="R768" i="31"/>
  <c r="W768" i="31"/>
  <c r="K769" i="31"/>
  <c r="L769" i="31"/>
  <c r="N769" i="31"/>
  <c r="Q769" i="31"/>
  <c r="O769" i="31"/>
  <c r="P769" i="31"/>
  <c r="R769" i="31"/>
  <c r="W769" i="31"/>
  <c r="K770" i="31"/>
  <c r="L770" i="31"/>
  <c r="N770" i="31"/>
  <c r="Q770" i="31"/>
  <c r="O770" i="31"/>
  <c r="P770" i="31"/>
  <c r="R770" i="31"/>
  <c r="W770" i="31"/>
  <c r="K771" i="31"/>
  <c r="L771" i="31"/>
  <c r="N771" i="31"/>
  <c r="Q771" i="31"/>
  <c r="O771" i="31"/>
  <c r="P771" i="31"/>
  <c r="R771" i="31"/>
  <c r="W771" i="31"/>
  <c r="K772" i="31"/>
  <c r="L772" i="31"/>
  <c r="N772" i="31"/>
  <c r="Q772" i="31"/>
  <c r="O772" i="31"/>
  <c r="P772" i="31"/>
  <c r="R772" i="31"/>
  <c r="W772" i="31"/>
  <c r="K773" i="31"/>
  <c r="L773" i="31"/>
  <c r="N773" i="31"/>
  <c r="Q773" i="31"/>
  <c r="O773" i="31"/>
  <c r="P773" i="31"/>
  <c r="R773" i="31"/>
  <c r="W773" i="31"/>
  <c r="K774" i="31"/>
  <c r="L774" i="31"/>
  <c r="N774" i="31"/>
  <c r="Q774" i="31"/>
  <c r="O774" i="31"/>
  <c r="P774" i="31"/>
  <c r="R774" i="31"/>
  <c r="W774" i="31"/>
  <c r="K775" i="31"/>
  <c r="L775" i="31"/>
  <c r="N775" i="31"/>
  <c r="Q775" i="31"/>
  <c r="O775" i="31"/>
  <c r="P775" i="31"/>
  <c r="R775" i="31"/>
  <c r="W775" i="31"/>
  <c r="K776" i="31"/>
  <c r="L776" i="31"/>
  <c r="N776" i="31"/>
  <c r="Q776" i="31"/>
  <c r="O776" i="31"/>
  <c r="P776" i="31"/>
  <c r="R776" i="31"/>
  <c r="W776" i="31"/>
  <c r="K777" i="31"/>
  <c r="L777" i="31"/>
  <c r="N777" i="31"/>
  <c r="Q777" i="31"/>
  <c r="O777" i="31"/>
  <c r="P777" i="31"/>
  <c r="R777" i="31"/>
  <c r="W777" i="31"/>
  <c r="K778" i="31"/>
  <c r="L778" i="31"/>
  <c r="N778" i="31"/>
  <c r="Q778" i="31"/>
  <c r="O778" i="31"/>
  <c r="P778" i="31"/>
  <c r="R778" i="31"/>
  <c r="W778" i="31"/>
  <c r="K779" i="31"/>
  <c r="L779" i="31"/>
  <c r="N779" i="31"/>
  <c r="Q779" i="31"/>
  <c r="O779" i="31"/>
  <c r="P779" i="31"/>
  <c r="R779" i="31"/>
  <c r="W779" i="31"/>
  <c r="K780" i="31"/>
  <c r="L780" i="31"/>
  <c r="N780" i="31"/>
  <c r="Q780" i="31"/>
  <c r="O780" i="31"/>
  <c r="P780" i="31"/>
  <c r="R780" i="31"/>
  <c r="W780" i="31"/>
  <c r="K781" i="31"/>
  <c r="L781" i="31"/>
  <c r="N781" i="31"/>
  <c r="Q781" i="31"/>
  <c r="O781" i="31"/>
  <c r="P781" i="31"/>
  <c r="R781" i="31"/>
  <c r="W781" i="31"/>
  <c r="K782" i="31"/>
  <c r="L782" i="31"/>
  <c r="N782" i="31"/>
  <c r="Q782" i="31"/>
  <c r="O782" i="31"/>
  <c r="P782" i="31"/>
  <c r="R782" i="31"/>
  <c r="W782" i="31"/>
  <c r="K783" i="31"/>
  <c r="L783" i="31"/>
  <c r="N783" i="31"/>
  <c r="Q783" i="31"/>
  <c r="O783" i="31"/>
  <c r="P783" i="31"/>
  <c r="R783" i="31"/>
  <c r="W783" i="31"/>
  <c r="K784" i="31"/>
  <c r="L784" i="31"/>
  <c r="N784" i="31"/>
  <c r="Q784" i="31"/>
  <c r="O784" i="31"/>
  <c r="P784" i="31"/>
  <c r="R784" i="31"/>
  <c r="W784" i="31"/>
  <c r="K785" i="31"/>
  <c r="L785" i="31"/>
  <c r="N785" i="31"/>
  <c r="Q785" i="31"/>
  <c r="O785" i="31"/>
  <c r="P785" i="31"/>
  <c r="R785" i="31"/>
  <c r="W785" i="31"/>
  <c r="K786" i="31"/>
  <c r="L786" i="31"/>
  <c r="N786" i="31"/>
  <c r="Q786" i="31"/>
  <c r="O786" i="31"/>
  <c r="P786" i="31"/>
  <c r="R786" i="31"/>
  <c r="W786" i="31"/>
  <c r="K787" i="31"/>
  <c r="L787" i="31"/>
  <c r="N787" i="31"/>
  <c r="Q787" i="31"/>
  <c r="O787" i="31"/>
  <c r="P787" i="31"/>
  <c r="R787" i="31"/>
  <c r="W787" i="31"/>
  <c r="K788" i="31"/>
  <c r="L788" i="31"/>
  <c r="N788" i="31"/>
  <c r="Q788" i="31"/>
  <c r="O788" i="31"/>
  <c r="P788" i="31"/>
  <c r="R788" i="31"/>
  <c r="W788" i="31"/>
  <c r="K789" i="31"/>
  <c r="L789" i="31"/>
  <c r="N789" i="31"/>
  <c r="Q789" i="31"/>
  <c r="O789" i="31"/>
  <c r="P789" i="31"/>
  <c r="R789" i="31"/>
  <c r="W789" i="31"/>
  <c r="K790" i="31"/>
  <c r="L790" i="31"/>
  <c r="N790" i="31"/>
  <c r="Q790" i="31"/>
  <c r="O790" i="31"/>
  <c r="P790" i="31"/>
  <c r="R790" i="31"/>
  <c r="W790" i="31"/>
  <c r="K791" i="31"/>
  <c r="L791" i="31"/>
  <c r="N791" i="31"/>
  <c r="Q791" i="31"/>
  <c r="O791" i="31"/>
  <c r="P791" i="31"/>
  <c r="R791" i="31"/>
  <c r="W791" i="31"/>
  <c r="K792" i="31"/>
  <c r="L792" i="31"/>
  <c r="N792" i="31"/>
  <c r="Q792" i="31"/>
  <c r="O792" i="31"/>
  <c r="P792" i="31"/>
  <c r="R792" i="31"/>
  <c r="W792" i="31"/>
  <c r="K793" i="31"/>
  <c r="L793" i="31"/>
  <c r="N793" i="31"/>
  <c r="Q793" i="31"/>
  <c r="O793" i="31"/>
  <c r="P793" i="31"/>
  <c r="R793" i="31"/>
  <c r="W793" i="31"/>
  <c r="K794" i="31"/>
  <c r="L794" i="31"/>
  <c r="N794" i="31"/>
  <c r="Q794" i="31"/>
  <c r="O794" i="31"/>
  <c r="P794" i="31"/>
  <c r="R794" i="31"/>
  <c r="W794" i="31"/>
  <c r="K795" i="31"/>
  <c r="L795" i="31"/>
  <c r="N795" i="31"/>
  <c r="Q795" i="31"/>
  <c r="O795" i="31"/>
  <c r="P795" i="31"/>
  <c r="R795" i="31"/>
  <c r="W795" i="31"/>
  <c r="K796" i="31"/>
  <c r="L796" i="31"/>
  <c r="N796" i="31"/>
  <c r="Q796" i="31"/>
  <c r="O796" i="31"/>
  <c r="P796" i="31"/>
  <c r="R796" i="31"/>
  <c r="W796" i="31"/>
  <c r="K797" i="31"/>
  <c r="L797" i="31"/>
  <c r="N797" i="31"/>
  <c r="Q797" i="31"/>
  <c r="O797" i="31"/>
  <c r="P797" i="31"/>
  <c r="R797" i="31"/>
  <c r="W797" i="31"/>
  <c r="K798" i="31"/>
  <c r="L798" i="31"/>
  <c r="N798" i="31"/>
  <c r="Q798" i="31"/>
  <c r="O798" i="31"/>
  <c r="P798" i="31"/>
  <c r="R798" i="31"/>
  <c r="W798" i="31"/>
  <c r="K799" i="31"/>
  <c r="L799" i="31"/>
  <c r="N799" i="31"/>
  <c r="Q799" i="31"/>
  <c r="O799" i="31"/>
  <c r="P799" i="31"/>
  <c r="R799" i="31"/>
  <c r="W799" i="31"/>
  <c r="K800" i="31"/>
  <c r="L800" i="31"/>
  <c r="N800" i="31"/>
  <c r="Q800" i="31"/>
  <c r="O800" i="31"/>
  <c r="P800" i="31"/>
  <c r="R800" i="31"/>
  <c r="W800" i="31"/>
  <c r="K801" i="31"/>
  <c r="L801" i="31"/>
  <c r="N801" i="31"/>
  <c r="Q801" i="31"/>
  <c r="O801" i="31"/>
  <c r="P801" i="31"/>
  <c r="R801" i="31"/>
  <c r="W801" i="31"/>
  <c r="K802" i="31"/>
  <c r="L802" i="31"/>
  <c r="N802" i="31"/>
  <c r="Q802" i="31"/>
  <c r="O802" i="31"/>
  <c r="P802" i="31"/>
  <c r="R802" i="31"/>
  <c r="W802" i="31"/>
  <c r="K803" i="31"/>
  <c r="L803" i="31"/>
  <c r="N803" i="31"/>
  <c r="Q803" i="31"/>
  <c r="O803" i="31"/>
  <c r="P803" i="31"/>
  <c r="R803" i="31"/>
  <c r="W803" i="31"/>
  <c r="K804" i="31"/>
  <c r="L804" i="31"/>
  <c r="N804" i="31"/>
  <c r="Q804" i="31"/>
  <c r="O804" i="31"/>
  <c r="P804" i="31"/>
  <c r="R804" i="31"/>
  <c r="W804" i="31"/>
  <c r="K805" i="31"/>
  <c r="L805" i="31"/>
  <c r="N805" i="31"/>
  <c r="Q805" i="31"/>
  <c r="O805" i="31"/>
  <c r="P805" i="31"/>
  <c r="R805" i="31"/>
  <c r="W805" i="31"/>
  <c r="K806" i="31"/>
  <c r="L806" i="31"/>
  <c r="N806" i="31"/>
  <c r="Q806" i="31"/>
  <c r="O806" i="31"/>
  <c r="P806" i="31"/>
  <c r="R806" i="31"/>
  <c r="W806" i="31"/>
  <c r="K807" i="31"/>
  <c r="L807" i="31"/>
  <c r="N807" i="31"/>
  <c r="Q807" i="31"/>
  <c r="O807" i="31"/>
  <c r="P807" i="31"/>
  <c r="R807" i="31"/>
  <c r="W807" i="31"/>
  <c r="K808" i="31"/>
  <c r="L808" i="31"/>
  <c r="N808" i="31"/>
  <c r="Q808" i="31"/>
  <c r="O808" i="31"/>
  <c r="P808" i="31"/>
  <c r="R808" i="31"/>
  <c r="W808" i="31"/>
  <c r="K809" i="31"/>
  <c r="L809" i="31"/>
  <c r="N809" i="31"/>
  <c r="Q809" i="31"/>
  <c r="O809" i="31"/>
  <c r="P809" i="31"/>
  <c r="R809" i="31"/>
  <c r="W809" i="31"/>
  <c r="K810" i="31"/>
  <c r="L810" i="31"/>
  <c r="N810" i="31"/>
  <c r="Q810" i="31"/>
  <c r="O810" i="31"/>
  <c r="P810" i="31"/>
  <c r="R810" i="31"/>
  <c r="W810" i="31"/>
  <c r="K811" i="31"/>
  <c r="L811" i="31"/>
  <c r="N811" i="31"/>
  <c r="Q811" i="31"/>
  <c r="O811" i="31"/>
  <c r="P811" i="31"/>
  <c r="R811" i="31"/>
  <c r="W811" i="31"/>
  <c r="K812" i="31"/>
  <c r="L812" i="31"/>
  <c r="N812" i="31"/>
  <c r="Q812" i="31"/>
  <c r="O812" i="31"/>
  <c r="P812" i="31"/>
  <c r="R812" i="31"/>
  <c r="W812" i="31"/>
  <c r="K813" i="31"/>
  <c r="L813" i="31"/>
  <c r="N813" i="31"/>
  <c r="Q813" i="31"/>
  <c r="O813" i="31"/>
  <c r="P813" i="31"/>
  <c r="R813" i="31"/>
  <c r="W813" i="31"/>
  <c r="K814" i="31"/>
  <c r="L814" i="31"/>
  <c r="N814" i="31"/>
  <c r="Q814" i="31"/>
  <c r="O814" i="31"/>
  <c r="P814" i="31"/>
  <c r="R814" i="31"/>
  <c r="W814" i="31"/>
  <c r="K815" i="31"/>
  <c r="L815" i="31"/>
  <c r="N815" i="31"/>
  <c r="Q815" i="31"/>
  <c r="O815" i="31"/>
  <c r="P815" i="31"/>
  <c r="R815" i="31"/>
  <c r="W815" i="31"/>
  <c r="K816" i="31"/>
  <c r="L816" i="31"/>
  <c r="N816" i="31"/>
  <c r="Q816" i="31"/>
  <c r="O816" i="31"/>
  <c r="P816" i="31"/>
  <c r="R816" i="31"/>
  <c r="W816" i="31"/>
  <c r="K817" i="31"/>
  <c r="L817" i="31"/>
  <c r="N817" i="31"/>
  <c r="Q817" i="31"/>
  <c r="O817" i="31"/>
  <c r="P817" i="31"/>
  <c r="R817" i="31"/>
  <c r="W817" i="31"/>
  <c r="K818" i="31"/>
  <c r="L818" i="31"/>
  <c r="N818" i="31"/>
  <c r="Q818" i="31"/>
  <c r="O818" i="31"/>
  <c r="P818" i="31"/>
  <c r="R818" i="31"/>
  <c r="W818" i="31"/>
  <c r="K819" i="31"/>
  <c r="L819" i="31"/>
  <c r="N819" i="31"/>
  <c r="Q819" i="31"/>
  <c r="O819" i="31"/>
  <c r="P819" i="31"/>
  <c r="R819" i="31"/>
  <c r="W819" i="31"/>
  <c r="K820" i="31"/>
  <c r="L820" i="31"/>
  <c r="N820" i="31"/>
  <c r="Q820" i="31"/>
  <c r="O820" i="31"/>
  <c r="P820" i="31"/>
  <c r="R820" i="31"/>
  <c r="W820" i="31"/>
  <c r="K821" i="31"/>
  <c r="L821" i="31"/>
  <c r="N821" i="31"/>
  <c r="Q821" i="31"/>
  <c r="O821" i="31"/>
  <c r="P821" i="31"/>
  <c r="R821" i="31"/>
  <c r="W821" i="31"/>
  <c r="K822" i="31"/>
  <c r="L822" i="31"/>
  <c r="N822" i="31"/>
  <c r="Q822" i="31"/>
  <c r="O822" i="31"/>
  <c r="P822" i="31"/>
  <c r="R822" i="31"/>
  <c r="W822" i="31"/>
  <c r="K823" i="31"/>
  <c r="L823" i="31"/>
  <c r="N823" i="31"/>
  <c r="Q823" i="31"/>
  <c r="O823" i="31"/>
  <c r="P823" i="31"/>
  <c r="R823" i="31"/>
  <c r="W823" i="31"/>
  <c r="K824" i="31"/>
  <c r="L824" i="31"/>
  <c r="N824" i="31"/>
  <c r="Q824" i="31"/>
  <c r="O824" i="31"/>
  <c r="P824" i="31"/>
  <c r="R824" i="31"/>
  <c r="W824" i="31"/>
  <c r="K825" i="31"/>
  <c r="L825" i="31"/>
  <c r="N825" i="31"/>
  <c r="Q825" i="31"/>
  <c r="O825" i="31"/>
  <c r="P825" i="31"/>
  <c r="R825" i="31"/>
  <c r="W825" i="31"/>
  <c r="K826" i="31"/>
  <c r="L826" i="31"/>
  <c r="N826" i="31"/>
  <c r="Q826" i="31"/>
  <c r="O826" i="31"/>
  <c r="P826" i="31"/>
  <c r="R826" i="31"/>
  <c r="W826" i="31"/>
  <c r="K827" i="31"/>
  <c r="L827" i="31"/>
  <c r="N827" i="31"/>
  <c r="Q827" i="31"/>
  <c r="O827" i="31"/>
  <c r="P827" i="31"/>
  <c r="R827" i="31"/>
  <c r="W827" i="31"/>
  <c r="K828" i="31"/>
  <c r="L828" i="31"/>
  <c r="N828" i="31"/>
  <c r="Q828" i="31"/>
  <c r="O828" i="31"/>
  <c r="P828" i="31"/>
  <c r="R828" i="31"/>
  <c r="W828" i="31"/>
  <c r="K829" i="31"/>
  <c r="L829" i="31"/>
  <c r="N829" i="31"/>
  <c r="Q829" i="31"/>
  <c r="O829" i="31"/>
  <c r="P829" i="31"/>
  <c r="R829" i="31"/>
  <c r="W829" i="31"/>
  <c r="K830" i="31"/>
  <c r="L830" i="31"/>
  <c r="N830" i="31"/>
  <c r="Q830" i="31"/>
  <c r="O830" i="31"/>
  <c r="P830" i="31"/>
  <c r="R830" i="31"/>
  <c r="W830" i="31"/>
  <c r="K831" i="31"/>
  <c r="L831" i="31"/>
  <c r="N831" i="31"/>
  <c r="Q831" i="31"/>
  <c r="O831" i="31"/>
  <c r="P831" i="31"/>
  <c r="R831" i="31"/>
  <c r="W831" i="31"/>
  <c r="K832" i="31"/>
  <c r="L832" i="31"/>
  <c r="N832" i="31"/>
  <c r="Q832" i="31"/>
  <c r="O832" i="31"/>
  <c r="P832" i="31"/>
  <c r="R832" i="31"/>
  <c r="W832" i="31"/>
  <c r="K833" i="31"/>
  <c r="L833" i="31"/>
  <c r="N833" i="31"/>
  <c r="Q833" i="31"/>
  <c r="O833" i="31"/>
  <c r="P833" i="31"/>
  <c r="R833" i="31"/>
  <c r="W833" i="31"/>
  <c r="K834" i="31"/>
  <c r="L834" i="31"/>
  <c r="N834" i="31"/>
  <c r="Q834" i="31"/>
  <c r="O834" i="31"/>
  <c r="P834" i="31"/>
  <c r="R834" i="31"/>
  <c r="W834" i="31"/>
  <c r="K835" i="31"/>
  <c r="L835" i="31"/>
  <c r="N835" i="31"/>
  <c r="Q835" i="31"/>
  <c r="O835" i="31"/>
  <c r="P835" i="31"/>
  <c r="R835" i="31"/>
  <c r="W835" i="31"/>
  <c r="K836" i="31"/>
  <c r="L836" i="31"/>
  <c r="N836" i="31"/>
  <c r="Q836" i="31"/>
  <c r="O836" i="31"/>
  <c r="P836" i="31"/>
  <c r="R836" i="31"/>
  <c r="W836" i="31"/>
  <c r="K837" i="31"/>
  <c r="L837" i="31"/>
  <c r="N837" i="31"/>
  <c r="Q837" i="31"/>
  <c r="O837" i="31"/>
  <c r="P837" i="31"/>
  <c r="R837" i="31"/>
  <c r="W837" i="31"/>
  <c r="K838" i="31"/>
  <c r="L838" i="31"/>
  <c r="N838" i="31"/>
  <c r="Q838" i="31"/>
  <c r="O838" i="31"/>
  <c r="P838" i="31"/>
  <c r="R838" i="31"/>
  <c r="W838" i="31"/>
  <c r="K839" i="31"/>
  <c r="L839" i="31"/>
  <c r="N839" i="31"/>
  <c r="Q839" i="31"/>
  <c r="O839" i="31"/>
  <c r="P839" i="31"/>
  <c r="R839" i="31"/>
  <c r="W839" i="31"/>
  <c r="K840" i="31"/>
  <c r="L840" i="31"/>
  <c r="N840" i="31"/>
  <c r="Q840" i="31"/>
  <c r="O840" i="31"/>
  <c r="P840" i="31"/>
  <c r="R840" i="31"/>
  <c r="W840" i="31"/>
  <c r="K841" i="31"/>
  <c r="L841" i="31"/>
  <c r="N841" i="31"/>
  <c r="Q841" i="31"/>
  <c r="O841" i="31"/>
  <c r="P841" i="31"/>
  <c r="R841" i="31"/>
  <c r="W841" i="31"/>
  <c r="K842" i="31"/>
  <c r="L842" i="31"/>
  <c r="N842" i="31"/>
  <c r="Q842" i="31"/>
  <c r="O842" i="31"/>
  <c r="P842" i="31"/>
  <c r="R842" i="31"/>
  <c r="W842" i="31"/>
  <c r="K843" i="31"/>
  <c r="L843" i="31"/>
  <c r="N843" i="31"/>
  <c r="Q843" i="31"/>
  <c r="O843" i="31"/>
  <c r="P843" i="31"/>
  <c r="R843" i="31"/>
  <c r="W843" i="31"/>
  <c r="K844" i="31"/>
  <c r="L844" i="31"/>
  <c r="N844" i="31"/>
  <c r="Q844" i="31"/>
  <c r="O844" i="31"/>
  <c r="P844" i="31"/>
  <c r="R844" i="31"/>
  <c r="W844" i="31"/>
  <c r="K845" i="31"/>
  <c r="L845" i="31"/>
  <c r="N845" i="31"/>
  <c r="Q845" i="31"/>
  <c r="O845" i="31"/>
  <c r="P845" i="31"/>
  <c r="R845" i="31"/>
  <c r="W845" i="31"/>
  <c r="K846" i="31"/>
  <c r="L846" i="31"/>
  <c r="N846" i="31"/>
  <c r="Q846" i="31"/>
  <c r="O846" i="31"/>
  <c r="P846" i="31"/>
  <c r="R846" i="31"/>
  <c r="W846" i="31"/>
  <c r="K847" i="31"/>
  <c r="L847" i="31"/>
  <c r="N847" i="31"/>
  <c r="Q847" i="31"/>
  <c r="O847" i="31"/>
  <c r="P847" i="31"/>
  <c r="R847" i="31"/>
  <c r="W847" i="31"/>
  <c r="K848" i="31"/>
  <c r="L848" i="31"/>
  <c r="N848" i="31"/>
  <c r="Q848" i="31"/>
  <c r="O848" i="31"/>
  <c r="P848" i="31"/>
  <c r="R848" i="31"/>
  <c r="W848" i="31"/>
  <c r="K849" i="31"/>
  <c r="L849" i="31"/>
  <c r="N849" i="31"/>
  <c r="Q849" i="31"/>
  <c r="O849" i="31"/>
  <c r="P849" i="31"/>
  <c r="R849" i="31"/>
  <c r="W849" i="31"/>
  <c r="K850" i="31"/>
  <c r="L850" i="31"/>
  <c r="N850" i="31"/>
  <c r="Q850" i="31"/>
  <c r="O850" i="31"/>
  <c r="P850" i="31"/>
  <c r="R850" i="31"/>
  <c r="W850" i="31"/>
  <c r="K851" i="31"/>
  <c r="L851" i="31"/>
  <c r="N851" i="31"/>
  <c r="Q851" i="31"/>
  <c r="O851" i="31"/>
  <c r="P851" i="31"/>
  <c r="R851" i="31"/>
  <c r="W851" i="31"/>
  <c r="K852" i="31"/>
  <c r="L852" i="31"/>
  <c r="N852" i="31"/>
  <c r="Q852" i="31"/>
  <c r="O852" i="31"/>
  <c r="P852" i="31"/>
  <c r="R852" i="31"/>
  <c r="W852" i="31"/>
  <c r="K853" i="31"/>
  <c r="L853" i="31"/>
  <c r="N853" i="31"/>
  <c r="Q853" i="31"/>
  <c r="O853" i="31"/>
  <c r="P853" i="31"/>
  <c r="R853" i="31"/>
  <c r="W853" i="31"/>
  <c r="K854" i="31"/>
  <c r="L854" i="31"/>
  <c r="N854" i="31"/>
  <c r="Q854" i="31"/>
  <c r="O854" i="31"/>
  <c r="P854" i="31"/>
  <c r="R854" i="31"/>
  <c r="W854" i="31"/>
  <c r="K855" i="31"/>
  <c r="L855" i="31"/>
  <c r="N855" i="31"/>
  <c r="Q855" i="31"/>
  <c r="O855" i="31"/>
  <c r="P855" i="31"/>
  <c r="R855" i="31"/>
  <c r="W855" i="31"/>
  <c r="K856" i="31"/>
  <c r="L856" i="31"/>
  <c r="N856" i="31"/>
  <c r="Q856" i="31"/>
  <c r="O856" i="31"/>
  <c r="P856" i="31"/>
  <c r="R856" i="31"/>
  <c r="W856" i="31"/>
  <c r="K857" i="31"/>
  <c r="L857" i="31"/>
  <c r="N857" i="31"/>
  <c r="Q857" i="31"/>
  <c r="O857" i="31"/>
  <c r="P857" i="31"/>
  <c r="R857" i="31"/>
  <c r="W857" i="31"/>
  <c r="K858" i="31"/>
  <c r="L858" i="31"/>
  <c r="N858" i="31"/>
  <c r="Q858" i="31"/>
  <c r="O858" i="31"/>
  <c r="P858" i="31"/>
  <c r="R858" i="31"/>
  <c r="W858" i="31"/>
  <c r="K859" i="31"/>
  <c r="L859" i="31"/>
  <c r="N859" i="31"/>
  <c r="Q859" i="31"/>
  <c r="O859" i="31"/>
  <c r="P859" i="31"/>
  <c r="R859" i="31"/>
  <c r="W859" i="31"/>
  <c r="K860" i="31"/>
  <c r="L860" i="31"/>
  <c r="N860" i="31"/>
  <c r="Q860" i="31"/>
  <c r="O860" i="31"/>
  <c r="P860" i="31"/>
  <c r="R860" i="31"/>
  <c r="W860" i="31"/>
  <c r="K861" i="31"/>
  <c r="L861" i="31"/>
  <c r="N861" i="31"/>
  <c r="Q861" i="31"/>
  <c r="O861" i="31"/>
  <c r="P861" i="31"/>
  <c r="R861" i="31"/>
  <c r="W861" i="31"/>
  <c r="K862" i="31"/>
  <c r="L862" i="31"/>
  <c r="N862" i="31"/>
  <c r="Q862" i="31"/>
  <c r="O862" i="31"/>
  <c r="P862" i="31"/>
  <c r="R862" i="31"/>
  <c r="W862" i="31"/>
  <c r="K863" i="31"/>
  <c r="L863" i="31"/>
  <c r="N863" i="31"/>
  <c r="Q863" i="31"/>
  <c r="O863" i="31"/>
  <c r="P863" i="31"/>
  <c r="R863" i="31"/>
  <c r="W863" i="31"/>
  <c r="K864" i="31"/>
  <c r="L864" i="31"/>
  <c r="N864" i="31"/>
  <c r="Q864" i="31"/>
  <c r="O864" i="31"/>
  <c r="P864" i="31"/>
  <c r="R864" i="31"/>
  <c r="W864" i="31"/>
  <c r="K865" i="31"/>
  <c r="L865" i="31"/>
  <c r="N865" i="31"/>
  <c r="Q865" i="31"/>
  <c r="O865" i="31"/>
  <c r="P865" i="31"/>
  <c r="R865" i="31"/>
  <c r="W865" i="31"/>
  <c r="K866" i="31"/>
  <c r="L866" i="31"/>
  <c r="N866" i="31"/>
  <c r="Q866" i="31"/>
  <c r="O866" i="31"/>
  <c r="P866" i="31"/>
  <c r="R866" i="31"/>
  <c r="W866" i="31"/>
  <c r="K867" i="31"/>
  <c r="L867" i="31"/>
  <c r="N867" i="31"/>
  <c r="Q867" i="31"/>
  <c r="O867" i="31"/>
  <c r="P867" i="31"/>
  <c r="R867" i="31"/>
  <c r="W867" i="31"/>
  <c r="K868" i="31"/>
  <c r="L868" i="31"/>
  <c r="N868" i="31"/>
  <c r="Q868" i="31"/>
  <c r="O868" i="31"/>
  <c r="P868" i="31"/>
  <c r="R868" i="31"/>
  <c r="W868" i="31"/>
  <c r="K869" i="31"/>
  <c r="L869" i="31"/>
  <c r="N869" i="31"/>
  <c r="Q869" i="31"/>
  <c r="O869" i="31"/>
  <c r="P869" i="31"/>
  <c r="R869" i="31"/>
  <c r="W869" i="31"/>
  <c r="K870" i="31"/>
  <c r="L870" i="31"/>
  <c r="N870" i="31"/>
  <c r="Q870" i="31"/>
  <c r="O870" i="31"/>
  <c r="P870" i="31"/>
  <c r="R870" i="31"/>
  <c r="W870" i="31"/>
  <c r="K871" i="31"/>
  <c r="L871" i="31"/>
  <c r="N871" i="31"/>
  <c r="Q871" i="31"/>
  <c r="O871" i="31"/>
  <c r="P871" i="31"/>
  <c r="R871" i="31"/>
  <c r="W871" i="31"/>
  <c r="K872" i="31"/>
  <c r="L872" i="31"/>
  <c r="N872" i="31"/>
  <c r="Q872" i="31"/>
  <c r="O872" i="31"/>
  <c r="P872" i="31"/>
  <c r="R872" i="31"/>
  <c r="W872" i="31"/>
  <c r="K873" i="31"/>
  <c r="L873" i="31"/>
  <c r="N873" i="31"/>
  <c r="Q873" i="31"/>
  <c r="O873" i="31"/>
  <c r="P873" i="31"/>
  <c r="R873" i="31"/>
  <c r="W873" i="31"/>
  <c r="K874" i="31"/>
  <c r="L874" i="31"/>
  <c r="N874" i="31"/>
  <c r="Q874" i="31"/>
  <c r="O874" i="31"/>
  <c r="P874" i="31"/>
  <c r="R874" i="31"/>
  <c r="W874" i="31"/>
  <c r="K875" i="31"/>
  <c r="L875" i="31"/>
  <c r="N875" i="31"/>
  <c r="Q875" i="31"/>
  <c r="O875" i="31"/>
  <c r="P875" i="31"/>
  <c r="R875" i="31"/>
  <c r="W875" i="31"/>
  <c r="K876" i="31"/>
  <c r="L876" i="31"/>
  <c r="N876" i="31"/>
  <c r="Q876" i="31"/>
  <c r="O876" i="31"/>
  <c r="P876" i="31"/>
  <c r="R876" i="31"/>
  <c r="W876" i="31"/>
  <c r="K877" i="31"/>
  <c r="L877" i="31"/>
  <c r="N877" i="31"/>
  <c r="Q877" i="31"/>
  <c r="O877" i="31"/>
  <c r="P877" i="31"/>
  <c r="R877" i="31"/>
  <c r="W877" i="31"/>
  <c r="K878" i="31"/>
  <c r="L878" i="31"/>
  <c r="N878" i="31"/>
  <c r="Q878" i="31"/>
  <c r="O878" i="31"/>
  <c r="P878" i="31"/>
  <c r="R878" i="31"/>
  <c r="W878" i="31"/>
  <c r="K879" i="31"/>
  <c r="L879" i="31"/>
  <c r="N879" i="31"/>
  <c r="Q879" i="31"/>
  <c r="O879" i="31"/>
  <c r="P879" i="31"/>
  <c r="R879" i="31"/>
  <c r="W879" i="31"/>
  <c r="K880" i="31"/>
  <c r="L880" i="31"/>
  <c r="N880" i="31"/>
  <c r="Q880" i="31"/>
  <c r="O880" i="31"/>
  <c r="P880" i="31"/>
  <c r="R880" i="31"/>
  <c r="W880" i="31"/>
  <c r="K881" i="31"/>
  <c r="L881" i="31"/>
  <c r="N881" i="31"/>
  <c r="Q881" i="31"/>
  <c r="O881" i="31"/>
  <c r="P881" i="31"/>
  <c r="R881" i="31"/>
  <c r="W881" i="31"/>
  <c r="Q2" i="31"/>
  <c r="O2" i="31"/>
  <c r="P2" i="31"/>
  <c r="R2" i="31"/>
  <c r="K2" i="31"/>
  <c r="L2" i="31"/>
  <c r="N2" i="31"/>
  <c r="W2" i="31"/>
  <c r="G268" i="35"/>
  <c r="I268" i="35"/>
  <c r="J268" i="35"/>
  <c r="K268" i="35"/>
  <c r="G414" i="35"/>
  <c r="I414" i="35"/>
  <c r="J414" i="35"/>
  <c r="K414" i="35"/>
  <c r="G357" i="35"/>
  <c r="I357" i="35"/>
  <c r="J357" i="35"/>
  <c r="K357" i="35"/>
  <c r="G460" i="35"/>
  <c r="G462" i="35"/>
  <c r="I462" i="35"/>
  <c r="J462" i="35"/>
  <c r="K462" i="35"/>
  <c r="G256" i="35"/>
  <c r="I256" i="35"/>
  <c r="J256" i="35"/>
  <c r="K256" i="35"/>
  <c r="G31" i="35"/>
  <c r="I31" i="35"/>
  <c r="J31" i="35"/>
  <c r="K31" i="35"/>
  <c r="G486" i="35"/>
  <c r="I486" i="35"/>
  <c r="J486" i="35"/>
  <c r="K486" i="35"/>
  <c r="G270" i="35"/>
  <c r="I270" i="35"/>
  <c r="J270" i="35"/>
  <c r="K270" i="35"/>
  <c r="D232" i="35"/>
  <c r="G469" i="35"/>
  <c r="I469" i="35"/>
  <c r="J469" i="35"/>
  <c r="K469" i="35"/>
  <c r="D188" i="35"/>
  <c r="D336" i="35"/>
  <c r="I577" i="35"/>
  <c r="J577" i="35"/>
  <c r="K577" i="35"/>
  <c r="E148" i="35"/>
  <c r="G415" i="23"/>
  <c r="I415" i="23"/>
  <c r="J415" i="23"/>
  <c r="K415" i="23"/>
  <c r="G544" i="23"/>
  <c r="I544" i="23"/>
  <c r="J544" i="23"/>
  <c r="K544" i="23"/>
  <c r="G159" i="23"/>
  <c r="I159" i="23"/>
  <c r="J159" i="23"/>
  <c r="K159" i="23"/>
  <c r="G28" i="23"/>
  <c r="I28" i="23"/>
  <c r="J28" i="23"/>
  <c r="K28" i="23"/>
  <c r="G713" i="23"/>
  <c r="I713" i="23"/>
  <c r="J713" i="23"/>
  <c r="K713" i="23"/>
  <c r="G312" i="23"/>
  <c r="I312" i="23"/>
  <c r="J312" i="23"/>
  <c r="K312" i="23"/>
  <c r="G506" i="23"/>
  <c r="I506" i="23"/>
  <c r="J506" i="23"/>
  <c r="K506" i="23"/>
  <c r="G578" i="23"/>
  <c r="I578" i="23"/>
  <c r="J578" i="23"/>
  <c r="K578" i="23"/>
  <c r="G812" i="23"/>
  <c r="I812" i="23"/>
  <c r="J812" i="23"/>
  <c r="K812" i="23"/>
  <c r="K3" i="25"/>
  <c r="L3" i="25"/>
  <c r="K4" i="25"/>
  <c r="L4" i="25"/>
  <c r="K5" i="25"/>
  <c r="L5" i="25"/>
  <c r="K6" i="25"/>
  <c r="L6" i="25"/>
  <c r="K7" i="25"/>
  <c r="L7" i="25"/>
  <c r="K8" i="25"/>
  <c r="L8" i="25"/>
  <c r="K9" i="25"/>
  <c r="L9" i="25"/>
  <c r="K10" i="25"/>
  <c r="L10" i="25"/>
  <c r="K11" i="25"/>
  <c r="L11" i="25"/>
  <c r="K12" i="25"/>
  <c r="L12" i="25"/>
  <c r="K13" i="25"/>
  <c r="L13" i="25"/>
  <c r="K14" i="25"/>
  <c r="L14" i="25"/>
  <c r="K15" i="25"/>
  <c r="L15" i="25"/>
  <c r="K16" i="25"/>
  <c r="L16" i="25"/>
  <c r="K17" i="25"/>
  <c r="L17" i="25"/>
  <c r="K18" i="25"/>
  <c r="L18" i="25"/>
  <c r="K19" i="25"/>
  <c r="L19" i="25"/>
  <c r="K20" i="25"/>
  <c r="L20" i="25"/>
  <c r="K21" i="25"/>
  <c r="L21" i="25"/>
  <c r="K22" i="25"/>
  <c r="L22" i="25"/>
  <c r="K23" i="25"/>
  <c r="L23" i="25"/>
  <c r="K24" i="25"/>
  <c r="L24" i="25"/>
  <c r="K25" i="25"/>
  <c r="L25" i="25"/>
  <c r="K26" i="25"/>
  <c r="L26" i="25"/>
  <c r="K27" i="25"/>
  <c r="L27" i="25"/>
  <c r="K28" i="25"/>
  <c r="L28" i="25"/>
  <c r="K29" i="25"/>
  <c r="L29" i="25"/>
  <c r="K30" i="25"/>
  <c r="L30" i="25"/>
  <c r="K31" i="25"/>
  <c r="L31" i="25"/>
  <c r="K32" i="25"/>
  <c r="L32" i="25"/>
  <c r="K33" i="25"/>
  <c r="L33" i="25"/>
  <c r="K34" i="25"/>
  <c r="L34" i="25"/>
  <c r="K35" i="25"/>
  <c r="L35" i="25"/>
  <c r="K36" i="25"/>
  <c r="L36" i="25"/>
  <c r="K37" i="25"/>
  <c r="L37" i="25"/>
  <c r="K38" i="25"/>
  <c r="L38" i="25"/>
  <c r="K39" i="25"/>
  <c r="L39" i="25"/>
  <c r="K40" i="25"/>
  <c r="L40" i="25"/>
  <c r="K41" i="25"/>
  <c r="L41" i="25"/>
  <c r="K42" i="25"/>
  <c r="L42" i="25"/>
  <c r="K43" i="25"/>
  <c r="L43" i="25"/>
  <c r="K44" i="25"/>
  <c r="L44" i="25"/>
  <c r="K45" i="25"/>
  <c r="L45" i="25"/>
  <c r="K46" i="25"/>
  <c r="L46" i="25"/>
  <c r="K47" i="25"/>
  <c r="L47" i="25"/>
  <c r="K48" i="25"/>
  <c r="L48" i="25"/>
  <c r="K49" i="25"/>
  <c r="L49" i="25"/>
  <c r="K50" i="25"/>
  <c r="L50" i="25"/>
  <c r="K51" i="25"/>
  <c r="L51" i="25"/>
  <c r="K52" i="25"/>
  <c r="L52" i="25"/>
  <c r="K53" i="25"/>
  <c r="L53" i="25"/>
  <c r="K54" i="25"/>
  <c r="L54" i="25"/>
  <c r="K55" i="25"/>
  <c r="L55" i="25"/>
  <c r="K56" i="25"/>
  <c r="L56" i="25"/>
  <c r="K57" i="25"/>
  <c r="L57" i="25"/>
  <c r="K58" i="25"/>
  <c r="L58" i="25"/>
  <c r="K59" i="25"/>
  <c r="L59" i="25"/>
  <c r="K60" i="25"/>
  <c r="L60" i="25"/>
  <c r="K61" i="25"/>
  <c r="L61" i="25"/>
  <c r="K62" i="25"/>
  <c r="L62" i="25"/>
  <c r="K63" i="25"/>
  <c r="L63" i="25"/>
  <c r="K64" i="25"/>
  <c r="L64" i="25"/>
  <c r="K65" i="25"/>
  <c r="L65" i="25"/>
  <c r="K66" i="25"/>
  <c r="L66" i="25"/>
  <c r="K67" i="25"/>
  <c r="L67" i="25"/>
  <c r="K68" i="25"/>
  <c r="L68" i="25"/>
  <c r="K69" i="25"/>
  <c r="L69" i="25"/>
  <c r="K70" i="25"/>
  <c r="L70" i="25"/>
  <c r="K71" i="25"/>
  <c r="L71" i="25"/>
  <c r="K72" i="25"/>
  <c r="L72" i="25"/>
  <c r="K73" i="25"/>
  <c r="L73" i="25"/>
  <c r="K74" i="25"/>
  <c r="L74" i="25"/>
  <c r="K75" i="25"/>
  <c r="L75" i="25"/>
  <c r="K76" i="25"/>
  <c r="L76" i="25"/>
  <c r="K77" i="25"/>
  <c r="L77" i="25"/>
  <c r="K78" i="25"/>
  <c r="L78" i="25"/>
  <c r="K79" i="25"/>
  <c r="L79" i="25"/>
  <c r="K80" i="25"/>
  <c r="L80" i="25"/>
  <c r="K81" i="25"/>
  <c r="L81" i="25"/>
  <c r="K82" i="25"/>
  <c r="L82" i="25"/>
  <c r="K83" i="25"/>
  <c r="L83" i="25"/>
  <c r="K84" i="25"/>
  <c r="L84" i="25"/>
  <c r="K85" i="25"/>
  <c r="L85" i="25"/>
  <c r="K86" i="25"/>
  <c r="L86" i="25"/>
  <c r="K87" i="25"/>
  <c r="L87" i="25"/>
  <c r="K88" i="25"/>
  <c r="L88" i="25"/>
  <c r="K89" i="25"/>
  <c r="L89" i="25"/>
  <c r="K90" i="25"/>
  <c r="L90" i="25"/>
  <c r="K91" i="25"/>
  <c r="L91" i="25"/>
  <c r="K92" i="25"/>
  <c r="L92" i="25"/>
  <c r="K93" i="25"/>
  <c r="L93" i="25"/>
  <c r="K94" i="25"/>
  <c r="L94" i="25"/>
  <c r="K95" i="25"/>
  <c r="L95" i="25"/>
  <c r="K96" i="25"/>
  <c r="L96" i="25"/>
  <c r="K97" i="25"/>
  <c r="L97" i="25"/>
  <c r="K98" i="25"/>
  <c r="L98" i="25"/>
  <c r="K99" i="25"/>
  <c r="L99" i="25"/>
  <c r="K100" i="25"/>
  <c r="L100" i="25"/>
  <c r="K101" i="25"/>
  <c r="L101" i="25"/>
  <c r="K102" i="25"/>
  <c r="L102" i="25"/>
  <c r="K103" i="25"/>
  <c r="L103" i="25"/>
  <c r="K104" i="25"/>
  <c r="L104" i="25"/>
  <c r="K105" i="25"/>
  <c r="L105" i="25"/>
  <c r="K106" i="25"/>
  <c r="L106" i="25"/>
  <c r="K107" i="25"/>
  <c r="L107" i="25"/>
  <c r="K108" i="25"/>
  <c r="L108" i="25"/>
  <c r="K109" i="25"/>
  <c r="L109" i="25"/>
  <c r="K110" i="25"/>
  <c r="L110" i="25"/>
  <c r="K111" i="25"/>
  <c r="L111" i="25"/>
  <c r="K112" i="25"/>
  <c r="L112" i="25"/>
  <c r="K113" i="25"/>
  <c r="L113" i="25"/>
  <c r="K114" i="25"/>
  <c r="L114" i="25"/>
  <c r="K115" i="25"/>
  <c r="L115" i="25"/>
  <c r="K116" i="25"/>
  <c r="L116" i="25"/>
  <c r="K117" i="25"/>
  <c r="L117" i="25"/>
  <c r="K118" i="25"/>
  <c r="L118" i="25"/>
  <c r="K119" i="25"/>
  <c r="L119" i="25"/>
  <c r="K120" i="25"/>
  <c r="L120" i="25"/>
  <c r="K121" i="25"/>
  <c r="L121" i="25"/>
  <c r="K122" i="25"/>
  <c r="L122" i="25"/>
  <c r="K123" i="25"/>
  <c r="L123" i="25"/>
  <c r="K124" i="25"/>
  <c r="L124" i="25"/>
  <c r="K125" i="25"/>
  <c r="L125" i="25"/>
  <c r="K126" i="25"/>
  <c r="L126" i="25"/>
  <c r="K127" i="25"/>
  <c r="L127" i="25"/>
  <c r="K128" i="25"/>
  <c r="L128" i="25"/>
  <c r="K129" i="25"/>
  <c r="L129" i="25"/>
  <c r="K130" i="25"/>
  <c r="L130" i="25"/>
  <c r="K131" i="25"/>
  <c r="L131" i="25"/>
  <c r="K132" i="25"/>
  <c r="L132" i="25"/>
  <c r="K133" i="25"/>
  <c r="L133" i="25"/>
  <c r="K134" i="25"/>
  <c r="L134" i="25"/>
  <c r="K135" i="25"/>
  <c r="L135" i="25"/>
  <c r="K136" i="25"/>
  <c r="L136" i="25"/>
  <c r="K137" i="25"/>
  <c r="L137" i="25"/>
  <c r="K138" i="25"/>
  <c r="L138" i="25"/>
  <c r="K139" i="25"/>
  <c r="L139" i="25"/>
  <c r="K140" i="25"/>
  <c r="L140" i="25"/>
  <c r="K141" i="25"/>
  <c r="L141" i="25"/>
  <c r="K142" i="25"/>
  <c r="L142" i="25"/>
  <c r="K143" i="25"/>
  <c r="L143" i="25"/>
  <c r="K144" i="25"/>
  <c r="L144" i="25"/>
  <c r="K145" i="25"/>
  <c r="L145" i="25"/>
  <c r="K146" i="25"/>
  <c r="L146" i="25"/>
  <c r="K147" i="25"/>
  <c r="L147" i="25"/>
  <c r="K148" i="25"/>
  <c r="L148" i="25"/>
  <c r="K149" i="25"/>
  <c r="L149" i="25"/>
  <c r="K150" i="25"/>
  <c r="L150" i="25"/>
  <c r="K151" i="25"/>
  <c r="L151" i="25"/>
  <c r="K152" i="25"/>
  <c r="L152" i="25"/>
  <c r="K153" i="25"/>
  <c r="L153" i="25"/>
  <c r="K154" i="25"/>
  <c r="L154" i="25"/>
  <c r="K155" i="25"/>
  <c r="L155" i="25"/>
  <c r="K156" i="25"/>
  <c r="L156" i="25"/>
  <c r="K157" i="25"/>
  <c r="L157" i="25"/>
  <c r="K158" i="25"/>
  <c r="L158" i="25"/>
  <c r="K159" i="25"/>
  <c r="L159" i="25"/>
  <c r="K160" i="25"/>
  <c r="L160" i="25"/>
  <c r="K161" i="25"/>
  <c r="L161" i="25"/>
  <c r="K162" i="25"/>
  <c r="L162" i="25"/>
  <c r="K163" i="25"/>
  <c r="L163" i="25"/>
  <c r="K164" i="25"/>
  <c r="L164" i="25"/>
  <c r="K165" i="25"/>
  <c r="L165" i="25"/>
  <c r="K166" i="25"/>
  <c r="L166" i="25"/>
  <c r="K167" i="25"/>
  <c r="L167" i="25"/>
  <c r="K168" i="25"/>
  <c r="L168" i="25"/>
  <c r="K169" i="25"/>
  <c r="L169" i="25"/>
  <c r="K170" i="25"/>
  <c r="L170" i="25"/>
  <c r="K171" i="25"/>
  <c r="L171" i="25"/>
  <c r="K172" i="25"/>
  <c r="L172" i="25"/>
  <c r="K173" i="25"/>
  <c r="L173" i="25"/>
  <c r="K174" i="25"/>
  <c r="L174" i="25"/>
  <c r="K175" i="25"/>
  <c r="L175" i="25"/>
  <c r="K176" i="25"/>
  <c r="L176" i="25"/>
  <c r="K177" i="25"/>
  <c r="L177" i="25"/>
  <c r="K178" i="25"/>
  <c r="L178" i="25"/>
  <c r="K179" i="25"/>
  <c r="L179" i="25"/>
  <c r="K180" i="25"/>
  <c r="L180" i="25"/>
  <c r="K181" i="25"/>
  <c r="L181" i="25"/>
  <c r="K182" i="25"/>
  <c r="L182" i="25"/>
  <c r="K183" i="25"/>
  <c r="L183" i="25"/>
  <c r="K184" i="25"/>
  <c r="L184" i="25"/>
  <c r="K185" i="25"/>
  <c r="L185" i="25"/>
  <c r="K186" i="25"/>
  <c r="L186" i="25"/>
  <c r="K187" i="25"/>
  <c r="L187" i="25"/>
  <c r="K188" i="25"/>
  <c r="L188" i="25"/>
  <c r="K189" i="25"/>
  <c r="L189" i="25"/>
  <c r="K190" i="25"/>
  <c r="L190" i="25"/>
  <c r="K191" i="25"/>
  <c r="L191" i="25"/>
  <c r="K192" i="25"/>
  <c r="L192" i="25"/>
  <c r="K193" i="25"/>
  <c r="L193" i="25"/>
  <c r="K194" i="25"/>
  <c r="L194" i="25"/>
  <c r="K195" i="25"/>
  <c r="L195" i="25"/>
  <c r="K196" i="25"/>
  <c r="L196" i="25"/>
  <c r="K197" i="25"/>
  <c r="L197" i="25"/>
  <c r="K198" i="25"/>
  <c r="L198" i="25"/>
  <c r="K199" i="25"/>
  <c r="L199" i="25"/>
  <c r="K200" i="25"/>
  <c r="L200" i="25"/>
  <c r="K201" i="25"/>
  <c r="L201" i="25"/>
  <c r="K202" i="25"/>
  <c r="L202" i="25"/>
  <c r="K203" i="25"/>
  <c r="L203" i="25"/>
  <c r="K204" i="25"/>
  <c r="L204" i="25"/>
  <c r="K205" i="25"/>
  <c r="L205" i="25"/>
  <c r="K206" i="25"/>
  <c r="L206" i="25"/>
  <c r="K207" i="25"/>
  <c r="L207" i="25"/>
  <c r="K208" i="25"/>
  <c r="L208" i="25"/>
  <c r="K209" i="25"/>
  <c r="L209" i="25"/>
  <c r="K210" i="25"/>
  <c r="L210" i="25"/>
  <c r="K211" i="25"/>
  <c r="L211" i="25"/>
  <c r="K212" i="25"/>
  <c r="L212" i="25"/>
  <c r="K213" i="25"/>
  <c r="L213" i="25"/>
  <c r="K214" i="25"/>
  <c r="L214" i="25"/>
  <c r="K215" i="25"/>
  <c r="L215" i="25"/>
  <c r="K216" i="25"/>
  <c r="L216" i="25"/>
  <c r="K217" i="25"/>
  <c r="L217" i="25"/>
  <c r="K218" i="25"/>
  <c r="L218" i="25"/>
  <c r="K219" i="25"/>
  <c r="L219" i="25"/>
  <c r="K220" i="25"/>
  <c r="L220" i="25"/>
  <c r="K221" i="25"/>
  <c r="L221" i="25"/>
  <c r="K222" i="25"/>
  <c r="L222" i="25"/>
  <c r="K223" i="25"/>
  <c r="L223" i="25"/>
  <c r="K224" i="25"/>
  <c r="L224" i="25"/>
  <c r="K225" i="25"/>
  <c r="L225" i="25"/>
  <c r="K226" i="25"/>
  <c r="L226" i="25"/>
  <c r="K227" i="25"/>
  <c r="L227" i="25"/>
  <c r="K228" i="25"/>
  <c r="L228" i="25"/>
  <c r="K229" i="25"/>
  <c r="L229" i="25"/>
  <c r="K230" i="25"/>
  <c r="L230" i="25"/>
  <c r="K231" i="25"/>
  <c r="L231" i="25"/>
  <c r="K232" i="25"/>
  <c r="L232" i="25"/>
  <c r="K233" i="25"/>
  <c r="L233" i="25"/>
  <c r="K234" i="25"/>
  <c r="L234" i="25"/>
  <c r="K235" i="25"/>
  <c r="L235" i="25"/>
  <c r="K236" i="25"/>
  <c r="L236" i="25"/>
  <c r="K237" i="25"/>
  <c r="L237" i="25"/>
  <c r="K238" i="25"/>
  <c r="L238" i="25"/>
  <c r="K239" i="25"/>
  <c r="L239" i="25"/>
  <c r="K240" i="25"/>
  <c r="L240" i="25"/>
  <c r="K241" i="25"/>
  <c r="L241" i="25"/>
  <c r="K242" i="25"/>
  <c r="L242" i="25"/>
  <c r="K243" i="25"/>
  <c r="L243" i="25"/>
  <c r="K244" i="25"/>
  <c r="L244" i="25"/>
  <c r="K245" i="25"/>
  <c r="L245" i="25"/>
  <c r="K246" i="25"/>
  <c r="L246" i="25"/>
  <c r="K247" i="25"/>
  <c r="L247" i="25"/>
  <c r="K248" i="25"/>
  <c r="L248" i="25"/>
  <c r="K249" i="25"/>
  <c r="L249" i="25"/>
  <c r="K250" i="25"/>
  <c r="L250" i="25"/>
  <c r="K251" i="25"/>
  <c r="L251" i="25"/>
  <c r="K252" i="25"/>
  <c r="L252" i="25"/>
  <c r="K253" i="25"/>
  <c r="L253" i="25"/>
  <c r="K254" i="25"/>
  <c r="L254" i="25"/>
  <c r="K255" i="25"/>
  <c r="L255" i="25"/>
  <c r="K256" i="25"/>
  <c r="L256" i="25"/>
  <c r="K257" i="25"/>
  <c r="L257" i="25"/>
  <c r="K258" i="25"/>
  <c r="L258" i="25"/>
  <c r="K259" i="25"/>
  <c r="L259" i="25"/>
  <c r="K260" i="25"/>
  <c r="L260" i="25"/>
  <c r="K261" i="25"/>
  <c r="L261" i="25"/>
  <c r="K262" i="25"/>
  <c r="L262" i="25"/>
  <c r="K263" i="25"/>
  <c r="L263" i="25"/>
  <c r="K264" i="25"/>
  <c r="L264" i="25"/>
  <c r="K265" i="25"/>
  <c r="L265" i="25"/>
  <c r="K266" i="25"/>
  <c r="L266" i="25"/>
  <c r="K267" i="25"/>
  <c r="L267" i="25"/>
  <c r="K268" i="25"/>
  <c r="L268" i="25"/>
  <c r="K269" i="25"/>
  <c r="L269" i="25"/>
  <c r="K270" i="25"/>
  <c r="L270" i="25"/>
  <c r="K271" i="25"/>
  <c r="L271" i="25"/>
  <c r="K272" i="25"/>
  <c r="L272" i="25"/>
  <c r="K273" i="25"/>
  <c r="L273" i="25"/>
  <c r="K274" i="25"/>
  <c r="L274" i="25"/>
  <c r="K275" i="25"/>
  <c r="L275" i="25"/>
  <c r="K276" i="25"/>
  <c r="L276" i="25"/>
  <c r="K277" i="25"/>
  <c r="L277" i="25"/>
  <c r="K278" i="25"/>
  <c r="L278" i="25"/>
  <c r="K279" i="25"/>
  <c r="L279" i="25"/>
  <c r="K280" i="25"/>
  <c r="L280" i="25"/>
  <c r="K281" i="25"/>
  <c r="L281" i="25"/>
  <c r="K282" i="25"/>
  <c r="L282" i="25"/>
  <c r="K283" i="25"/>
  <c r="L283" i="25"/>
  <c r="K284" i="25"/>
  <c r="L284" i="25"/>
  <c r="K285" i="25"/>
  <c r="L285" i="25"/>
  <c r="K286" i="25"/>
  <c r="L286" i="25"/>
  <c r="K287" i="25"/>
  <c r="L287" i="25"/>
  <c r="K288" i="25"/>
  <c r="L288" i="25"/>
  <c r="K289" i="25"/>
  <c r="L289" i="25"/>
  <c r="K290" i="25"/>
  <c r="L290" i="25"/>
  <c r="K291" i="25"/>
  <c r="L291" i="25"/>
  <c r="K292" i="25"/>
  <c r="L292" i="25"/>
  <c r="K293" i="25"/>
  <c r="L293" i="25"/>
  <c r="K294" i="25"/>
  <c r="L294" i="25"/>
  <c r="K295" i="25"/>
  <c r="L295" i="25"/>
  <c r="K296" i="25"/>
  <c r="L296" i="25"/>
  <c r="K297" i="25"/>
  <c r="L297" i="25"/>
  <c r="K298" i="25"/>
  <c r="L298" i="25"/>
  <c r="K299" i="25"/>
  <c r="L299" i="25"/>
  <c r="K300" i="25"/>
  <c r="L300" i="25"/>
  <c r="K301" i="25"/>
  <c r="L301" i="25"/>
  <c r="K302" i="25"/>
  <c r="L302" i="25"/>
  <c r="K303" i="25"/>
  <c r="L303" i="25"/>
  <c r="K304" i="25"/>
  <c r="L304" i="25"/>
  <c r="K305" i="25"/>
  <c r="L305" i="25"/>
  <c r="K306" i="25"/>
  <c r="L306" i="25"/>
  <c r="K307" i="25"/>
  <c r="L307" i="25"/>
  <c r="K308" i="25"/>
  <c r="L308" i="25"/>
  <c r="K309" i="25"/>
  <c r="L309" i="25"/>
  <c r="K310" i="25"/>
  <c r="L310" i="25"/>
  <c r="K311" i="25"/>
  <c r="L311" i="25"/>
  <c r="K312" i="25"/>
  <c r="L312" i="25"/>
  <c r="K313" i="25"/>
  <c r="L313" i="25"/>
  <c r="K314" i="25"/>
  <c r="L314" i="25"/>
  <c r="K315" i="25"/>
  <c r="L315" i="25"/>
  <c r="K316" i="25"/>
  <c r="L316" i="25"/>
  <c r="K317" i="25"/>
  <c r="L317" i="25"/>
  <c r="K318" i="25"/>
  <c r="L318" i="25"/>
  <c r="K319" i="25"/>
  <c r="L319" i="25"/>
  <c r="K320" i="25"/>
  <c r="L320" i="25"/>
  <c r="K321" i="25"/>
  <c r="L321" i="25"/>
  <c r="K322" i="25"/>
  <c r="L322" i="25"/>
  <c r="K323" i="25"/>
  <c r="L323" i="25"/>
  <c r="K324" i="25"/>
  <c r="L324" i="25"/>
  <c r="K325" i="25"/>
  <c r="L325" i="25"/>
  <c r="K326" i="25"/>
  <c r="L326" i="25"/>
  <c r="K327" i="25"/>
  <c r="L327" i="25"/>
  <c r="K328" i="25"/>
  <c r="L328" i="25"/>
  <c r="K329" i="25"/>
  <c r="L329" i="25"/>
  <c r="K330" i="25"/>
  <c r="L330" i="25"/>
  <c r="K331" i="25"/>
  <c r="L331" i="25"/>
  <c r="K332" i="25"/>
  <c r="L332" i="25"/>
  <c r="K333" i="25"/>
  <c r="L333" i="25"/>
  <c r="K334" i="25"/>
  <c r="L334" i="25"/>
  <c r="K335" i="25"/>
  <c r="L335" i="25"/>
  <c r="K336" i="25"/>
  <c r="L336" i="25"/>
  <c r="K337" i="25"/>
  <c r="L337" i="25"/>
  <c r="K338" i="25"/>
  <c r="L338" i="25"/>
  <c r="K339" i="25"/>
  <c r="L339" i="25"/>
  <c r="K340" i="25"/>
  <c r="L340" i="25"/>
  <c r="K341" i="25"/>
  <c r="L341" i="25"/>
  <c r="K342" i="25"/>
  <c r="L342" i="25"/>
  <c r="K343" i="25"/>
  <c r="L343" i="25"/>
  <c r="K344" i="25"/>
  <c r="L344" i="25"/>
  <c r="K345" i="25"/>
  <c r="L345" i="25"/>
  <c r="K346" i="25"/>
  <c r="L346" i="25"/>
  <c r="K347" i="25"/>
  <c r="L347" i="25"/>
  <c r="K348" i="25"/>
  <c r="L348" i="25"/>
  <c r="K349" i="25"/>
  <c r="L349" i="25"/>
  <c r="K350" i="25"/>
  <c r="L350" i="25"/>
  <c r="K351" i="25"/>
  <c r="L351" i="25"/>
  <c r="K352" i="25"/>
  <c r="L352" i="25"/>
  <c r="K353" i="25"/>
  <c r="L353" i="25"/>
  <c r="K354" i="25"/>
  <c r="L354" i="25"/>
  <c r="K355" i="25"/>
  <c r="L355" i="25"/>
  <c r="K356" i="25"/>
  <c r="L356" i="25"/>
  <c r="K357" i="25"/>
  <c r="L357" i="25"/>
  <c r="K358" i="25"/>
  <c r="L358" i="25"/>
  <c r="K359" i="25"/>
  <c r="L359" i="25"/>
  <c r="K360" i="25"/>
  <c r="L360" i="25"/>
  <c r="K361" i="25"/>
  <c r="L361" i="25"/>
  <c r="K362" i="25"/>
  <c r="L362" i="25"/>
  <c r="K363" i="25"/>
  <c r="L363" i="25"/>
  <c r="K364" i="25"/>
  <c r="L364" i="25"/>
  <c r="K365" i="25"/>
  <c r="L365" i="25"/>
  <c r="K366" i="25"/>
  <c r="L366" i="25"/>
  <c r="K367" i="25"/>
  <c r="L367" i="25"/>
  <c r="K368" i="25"/>
  <c r="L368" i="25"/>
  <c r="K369" i="25"/>
  <c r="L369" i="25"/>
  <c r="K370" i="25"/>
  <c r="L370" i="25"/>
  <c r="K371" i="25"/>
  <c r="L371" i="25"/>
  <c r="K372" i="25"/>
  <c r="L372" i="25"/>
  <c r="K373" i="25"/>
  <c r="L373" i="25"/>
  <c r="K374" i="25"/>
  <c r="L374" i="25"/>
  <c r="K375" i="25"/>
  <c r="L375" i="25"/>
  <c r="K376" i="25"/>
  <c r="L376" i="25"/>
  <c r="K377" i="25"/>
  <c r="L377" i="25"/>
  <c r="K378" i="25"/>
  <c r="L378" i="25"/>
  <c r="K379" i="25"/>
  <c r="L379" i="25"/>
  <c r="K380" i="25"/>
  <c r="L380" i="25"/>
  <c r="K381" i="25"/>
  <c r="L381" i="25"/>
  <c r="K382" i="25"/>
  <c r="L382" i="25"/>
  <c r="K383" i="25"/>
  <c r="L383" i="25"/>
  <c r="K384" i="25"/>
  <c r="L384" i="25"/>
  <c r="K385" i="25"/>
  <c r="L385" i="25"/>
  <c r="K386" i="25"/>
  <c r="L386" i="25"/>
  <c r="K387" i="25"/>
  <c r="L387" i="25"/>
  <c r="K388" i="25"/>
  <c r="L388" i="25"/>
  <c r="K389" i="25"/>
  <c r="L389" i="25"/>
  <c r="K390" i="25"/>
  <c r="L390" i="25"/>
  <c r="K391" i="25"/>
  <c r="L391" i="25"/>
  <c r="K392" i="25"/>
  <c r="L392" i="25"/>
  <c r="K393" i="25"/>
  <c r="L393" i="25"/>
  <c r="K394" i="25"/>
  <c r="L394" i="25"/>
  <c r="K395" i="25"/>
  <c r="L395" i="25"/>
  <c r="K396" i="25"/>
  <c r="L396" i="25"/>
  <c r="K397" i="25"/>
  <c r="L397" i="25"/>
  <c r="K398" i="25"/>
  <c r="L398" i="25"/>
  <c r="K399" i="25"/>
  <c r="L399" i="25"/>
  <c r="K400" i="25"/>
  <c r="L400" i="25"/>
  <c r="K401" i="25"/>
  <c r="L401" i="25"/>
  <c r="K402" i="25"/>
  <c r="L402" i="25"/>
  <c r="K403" i="25"/>
  <c r="L403" i="25"/>
  <c r="K404" i="25"/>
  <c r="L404" i="25"/>
  <c r="K405" i="25"/>
  <c r="L405" i="25"/>
  <c r="K406" i="25"/>
  <c r="L406" i="25"/>
  <c r="K407" i="25"/>
  <c r="L407" i="25"/>
  <c r="K408" i="25"/>
  <c r="L408" i="25"/>
  <c r="K409" i="25"/>
  <c r="L409" i="25"/>
  <c r="K410" i="25"/>
  <c r="L410" i="25"/>
  <c r="K411" i="25"/>
  <c r="L411" i="25"/>
  <c r="K412" i="25"/>
  <c r="L412" i="25"/>
  <c r="K413" i="25"/>
  <c r="L413" i="25"/>
  <c r="K414" i="25"/>
  <c r="L414" i="25"/>
  <c r="K415" i="25"/>
  <c r="L415" i="25"/>
  <c r="K416" i="25"/>
  <c r="L416" i="25"/>
  <c r="K417" i="25"/>
  <c r="L417" i="25"/>
  <c r="K418" i="25"/>
  <c r="L418" i="25"/>
  <c r="K419" i="25"/>
  <c r="L419" i="25"/>
  <c r="K420" i="25"/>
  <c r="L420" i="25"/>
  <c r="K421" i="25"/>
  <c r="L421" i="25"/>
  <c r="K422" i="25"/>
  <c r="L422" i="25"/>
  <c r="K423" i="25"/>
  <c r="L423" i="25"/>
  <c r="K424" i="25"/>
  <c r="L424" i="25"/>
  <c r="K425" i="25"/>
  <c r="L425" i="25"/>
  <c r="K426" i="25"/>
  <c r="L426" i="25"/>
  <c r="K427" i="25"/>
  <c r="L427" i="25"/>
  <c r="K428" i="25"/>
  <c r="L428" i="25"/>
  <c r="K429" i="25"/>
  <c r="L429" i="25"/>
  <c r="K430" i="25"/>
  <c r="L430" i="25"/>
  <c r="K431" i="25"/>
  <c r="L431" i="25"/>
  <c r="K432" i="25"/>
  <c r="L432" i="25"/>
  <c r="K433" i="25"/>
  <c r="L433" i="25"/>
  <c r="K434" i="25"/>
  <c r="L434" i="25"/>
  <c r="K435" i="25"/>
  <c r="L435" i="25"/>
  <c r="K436" i="25"/>
  <c r="L436" i="25"/>
  <c r="K437" i="25"/>
  <c r="L437" i="25"/>
  <c r="K438" i="25"/>
  <c r="L438" i="25"/>
  <c r="K439" i="25"/>
  <c r="L439" i="25"/>
  <c r="K440" i="25"/>
  <c r="L440" i="25"/>
  <c r="K441" i="25"/>
  <c r="L441" i="25"/>
  <c r="K442" i="25"/>
  <c r="L442" i="25"/>
  <c r="K443" i="25"/>
  <c r="L443" i="25"/>
  <c r="K444" i="25"/>
  <c r="L444" i="25"/>
  <c r="K445" i="25"/>
  <c r="L445" i="25"/>
  <c r="K446" i="25"/>
  <c r="L446" i="25"/>
  <c r="K447" i="25"/>
  <c r="L447" i="25"/>
  <c r="K448" i="25"/>
  <c r="L448" i="25"/>
  <c r="K449" i="25"/>
  <c r="L449" i="25"/>
  <c r="K450" i="25"/>
  <c r="L450" i="25"/>
  <c r="K451" i="25"/>
  <c r="L451" i="25"/>
  <c r="K452" i="25"/>
  <c r="L452" i="25"/>
  <c r="K453" i="25"/>
  <c r="L453" i="25"/>
  <c r="K454" i="25"/>
  <c r="L454" i="25"/>
  <c r="K455" i="25"/>
  <c r="L455" i="25"/>
  <c r="K456" i="25"/>
  <c r="L456" i="25"/>
  <c r="K457" i="25"/>
  <c r="L457" i="25"/>
  <c r="K458" i="25"/>
  <c r="L458" i="25"/>
  <c r="K459" i="25"/>
  <c r="L459" i="25"/>
  <c r="K460" i="25"/>
  <c r="L460" i="25"/>
  <c r="K461" i="25"/>
  <c r="L461" i="25"/>
  <c r="K462" i="25"/>
  <c r="L462" i="25"/>
  <c r="K463" i="25"/>
  <c r="L463" i="25"/>
  <c r="K464" i="25"/>
  <c r="L464" i="25"/>
  <c r="K465" i="25"/>
  <c r="L465" i="25"/>
  <c r="K466" i="25"/>
  <c r="L466" i="25"/>
  <c r="K467" i="25"/>
  <c r="L467" i="25"/>
  <c r="K468" i="25"/>
  <c r="L468" i="25"/>
  <c r="K469" i="25"/>
  <c r="L469" i="25"/>
  <c r="K470" i="25"/>
  <c r="L470" i="25"/>
  <c r="K471" i="25"/>
  <c r="L471" i="25"/>
  <c r="K472" i="25"/>
  <c r="L472" i="25"/>
  <c r="K473" i="25"/>
  <c r="L473" i="25"/>
  <c r="K474" i="25"/>
  <c r="L474" i="25"/>
  <c r="K475" i="25"/>
  <c r="L475" i="25"/>
  <c r="K476" i="25"/>
  <c r="L476" i="25"/>
  <c r="K477" i="25"/>
  <c r="L477" i="25"/>
  <c r="K478" i="25"/>
  <c r="L478" i="25"/>
  <c r="K479" i="25"/>
  <c r="L479" i="25"/>
  <c r="K480" i="25"/>
  <c r="L480" i="25"/>
  <c r="K481" i="25"/>
  <c r="L481" i="25"/>
  <c r="K482" i="25"/>
  <c r="L482" i="25"/>
  <c r="K483" i="25"/>
  <c r="L483" i="25"/>
  <c r="K484" i="25"/>
  <c r="L484" i="25"/>
  <c r="K485" i="25"/>
  <c r="L485" i="25"/>
  <c r="K486" i="25"/>
  <c r="L486" i="25"/>
  <c r="K487" i="25"/>
  <c r="L487" i="25"/>
  <c r="K488" i="25"/>
  <c r="L488" i="25"/>
  <c r="K489" i="25"/>
  <c r="L489" i="25"/>
  <c r="K490" i="25"/>
  <c r="L490" i="25"/>
  <c r="K491" i="25"/>
  <c r="L491" i="25"/>
  <c r="K492" i="25"/>
  <c r="L492" i="25"/>
  <c r="K493" i="25"/>
  <c r="L493" i="25"/>
  <c r="K494" i="25"/>
  <c r="L494" i="25"/>
  <c r="K495" i="25"/>
  <c r="L495" i="25"/>
  <c r="K496" i="25"/>
  <c r="L496" i="25"/>
  <c r="K497" i="25"/>
  <c r="L497" i="25"/>
  <c r="K498" i="25"/>
  <c r="L498" i="25"/>
  <c r="K499" i="25"/>
  <c r="L499" i="25"/>
  <c r="K500" i="25"/>
  <c r="L500" i="25"/>
  <c r="K501" i="25"/>
  <c r="L501" i="25"/>
  <c r="K502" i="25"/>
  <c r="L502" i="25"/>
  <c r="K503" i="25"/>
  <c r="L503" i="25"/>
  <c r="K504" i="25"/>
  <c r="L504" i="25"/>
  <c r="K505" i="25"/>
  <c r="L505" i="25"/>
  <c r="K506" i="25"/>
  <c r="L506" i="25"/>
  <c r="K507" i="25"/>
  <c r="L507" i="25"/>
  <c r="K508" i="25"/>
  <c r="L508" i="25"/>
  <c r="K509" i="25"/>
  <c r="L509" i="25"/>
  <c r="K510" i="25"/>
  <c r="L510" i="25"/>
  <c r="K511" i="25"/>
  <c r="L511" i="25"/>
  <c r="K512" i="25"/>
  <c r="L512" i="25"/>
  <c r="K513" i="25"/>
  <c r="L513" i="25"/>
  <c r="K514" i="25"/>
  <c r="L514" i="25"/>
  <c r="K515" i="25"/>
  <c r="L515" i="25"/>
  <c r="K516" i="25"/>
  <c r="L516" i="25"/>
  <c r="K517" i="25"/>
  <c r="L517" i="25"/>
  <c r="K518" i="25"/>
  <c r="L518" i="25"/>
  <c r="K519" i="25"/>
  <c r="L519" i="25"/>
  <c r="K520" i="25"/>
  <c r="L520" i="25"/>
  <c r="K521" i="25"/>
  <c r="L521" i="25"/>
  <c r="K522" i="25"/>
  <c r="L522" i="25"/>
  <c r="K523" i="25"/>
  <c r="L523" i="25"/>
  <c r="K524" i="25"/>
  <c r="L524" i="25"/>
  <c r="K525" i="25"/>
  <c r="L525" i="25"/>
  <c r="K526" i="25"/>
  <c r="L526" i="25"/>
  <c r="K527" i="25"/>
  <c r="L527" i="25"/>
  <c r="K528" i="25"/>
  <c r="L528" i="25"/>
  <c r="K529" i="25"/>
  <c r="L529" i="25"/>
  <c r="K530" i="25"/>
  <c r="L530" i="25"/>
  <c r="K531" i="25"/>
  <c r="L531" i="25"/>
  <c r="K532" i="25"/>
  <c r="L532" i="25"/>
  <c r="K533" i="25"/>
  <c r="L533" i="25"/>
  <c r="K534" i="25"/>
  <c r="L534" i="25"/>
  <c r="K535" i="25"/>
  <c r="L535" i="25"/>
  <c r="K536" i="25"/>
  <c r="L536" i="25"/>
  <c r="K537" i="25"/>
  <c r="L537" i="25"/>
  <c r="K538" i="25"/>
  <c r="L538" i="25"/>
  <c r="K539" i="25"/>
  <c r="L539" i="25"/>
  <c r="K540" i="25"/>
  <c r="L540" i="25"/>
  <c r="K541" i="25"/>
  <c r="L541" i="25"/>
  <c r="K542" i="25"/>
  <c r="L542" i="25"/>
  <c r="K543" i="25"/>
  <c r="L543" i="25"/>
  <c r="K544" i="25"/>
  <c r="L544" i="25"/>
  <c r="K545" i="25"/>
  <c r="L545" i="25"/>
  <c r="K546" i="25"/>
  <c r="L546" i="25"/>
  <c r="K547" i="25"/>
  <c r="L547" i="25"/>
  <c r="K548" i="25"/>
  <c r="L548" i="25"/>
  <c r="K549" i="25"/>
  <c r="L549" i="25"/>
  <c r="K550" i="25"/>
  <c r="L550" i="25"/>
  <c r="K551" i="25"/>
  <c r="L551" i="25"/>
  <c r="K552" i="25"/>
  <c r="L552" i="25"/>
  <c r="K553" i="25"/>
  <c r="L553" i="25"/>
  <c r="K554" i="25"/>
  <c r="L554" i="25"/>
  <c r="K555" i="25"/>
  <c r="L555" i="25"/>
  <c r="K556" i="25"/>
  <c r="L556" i="25"/>
  <c r="K557" i="25"/>
  <c r="L557" i="25"/>
  <c r="K558" i="25"/>
  <c r="L558" i="25"/>
  <c r="K559" i="25"/>
  <c r="L559" i="25"/>
  <c r="K560" i="25"/>
  <c r="L560" i="25"/>
  <c r="K561" i="25"/>
  <c r="L561" i="25"/>
  <c r="K562" i="25"/>
  <c r="L562" i="25"/>
  <c r="K563" i="25"/>
  <c r="L563" i="25"/>
  <c r="K564" i="25"/>
  <c r="L564" i="25"/>
  <c r="K565" i="25"/>
  <c r="L565" i="25"/>
  <c r="K566" i="25"/>
  <c r="L566" i="25"/>
  <c r="K567" i="25"/>
  <c r="L567" i="25"/>
  <c r="K568" i="25"/>
  <c r="L568" i="25"/>
  <c r="K569" i="25"/>
  <c r="L569" i="25"/>
  <c r="K570" i="25"/>
  <c r="L570" i="25"/>
  <c r="K571" i="25"/>
  <c r="L571" i="25"/>
  <c r="K572" i="25"/>
  <c r="L572" i="25"/>
  <c r="K573" i="25"/>
  <c r="L573" i="25"/>
  <c r="K574" i="25"/>
  <c r="L574" i="25"/>
  <c r="K575" i="25"/>
  <c r="L575" i="25"/>
  <c r="K576" i="25"/>
  <c r="L576" i="25"/>
  <c r="K577" i="25"/>
  <c r="L577" i="25"/>
  <c r="K578" i="25"/>
  <c r="L578" i="25"/>
  <c r="K579" i="25"/>
  <c r="L579" i="25"/>
  <c r="K580" i="25"/>
  <c r="L580" i="25"/>
  <c r="K581" i="25"/>
  <c r="L581" i="25"/>
  <c r="K582" i="25"/>
  <c r="L582" i="25"/>
  <c r="K583" i="25"/>
  <c r="L583" i="25"/>
  <c r="K584" i="25"/>
  <c r="L584" i="25"/>
  <c r="K585" i="25"/>
  <c r="L585" i="25"/>
  <c r="K586" i="25"/>
  <c r="L586" i="25"/>
  <c r="K587" i="25"/>
  <c r="L587" i="25"/>
  <c r="K588" i="25"/>
  <c r="L588" i="25"/>
  <c r="K589" i="25"/>
  <c r="L589" i="25"/>
  <c r="K590" i="25"/>
  <c r="L590" i="25"/>
  <c r="K591" i="25"/>
  <c r="L591" i="25"/>
  <c r="K592" i="25"/>
  <c r="L592" i="25"/>
  <c r="K593" i="25"/>
  <c r="L593" i="25"/>
  <c r="K594" i="25"/>
  <c r="L594" i="25"/>
  <c r="K595" i="25"/>
  <c r="L595" i="25"/>
  <c r="K596" i="25"/>
  <c r="L596" i="25"/>
  <c r="K597" i="25"/>
  <c r="L597" i="25"/>
  <c r="K598" i="25"/>
  <c r="L598" i="25"/>
  <c r="K599" i="25"/>
  <c r="L599" i="25"/>
  <c r="K600" i="25"/>
  <c r="L600" i="25"/>
  <c r="K601" i="25"/>
  <c r="L601" i="25"/>
  <c r="K602" i="25"/>
  <c r="L602" i="25"/>
  <c r="K603" i="25"/>
  <c r="L603" i="25"/>
  <c r="K604" i="25"/>
  <c r="L604" i="25"/>
  <c r="K605" i="25"/>
  <c r="L605" i="25"/>
  <c r="K606" i="25"/>
  <c r="L606" i="25"/>
  <c r="K607" i="25"/>
  <c r="L607" i="25"/>
  <c r="K608" i="25"/>
  <c r="L608" i="25"/>
  <c r="K609" i="25"/>
  <c r="L609" i="25"/>
  <c r="K610" i="25"/>
  <c r="L610" i="25"/>
  <c r="K611" i="25"/>
  <c r="L611" i="25"/>
  <c r="K612" i="25"/>
  <c r="L612" i="25"/>
  <c r="K613" i="25"/>
  <c r="L613" i="25"/>
  <c r="K614" i="25"/>
  <c r="L614" i="25"/>
  <c r="K615" i="25"/>
  <c r="L615" i="25"/>
  <c r="K616" i="25"/>
  <c r="L616" i="25"/>
  <c r="K617" i="25"/>
  <c r="L617" i="25"/>
  <c r="K618" i="25"/>
  <c r="L618" i="25"/>
  <c r="K619" i="25"/>
  <c r="L619" i="25"/>
  <c r="K620" i="25"/>
  <c r="L620" i="25"/>
  <c r="K621" i="25"/>
  <c r="L621" i="25"/>
  <c r="K622" i="25"/>
  <c r="L622" i="25"/>
  <c r="K623" i="25"/>
  <c r="L623" i="25"/>
  <c r="K624" i="25"/>
  <c r="L624" i="25"/>
  <c r="K625" i="25"/>
  <c r="L625" i="25"/>
  <c r="K626" i="25"/>
  <c r="L626" i="25"/>
  <c r="K627" i="25"/>
  <c r="L627" i="25"/>
  <c r="K628" i="25"/>
  <c r="L628" i="25"/>
  <c r="K629" i="25"/>
  <c r="L629" i="25"/>
  <c r="K630" i="25"/>
  <c r="L630" i="25"/>
  <c r="K631" i="25"/>
  <c r="L631" i="25"/>
  <c r="K632" i="25"/>
  <c r="L632" i="25"/>
  <c r="K633" i="25"/>
  <c r="L633" i="25"/>
  <c r="K634" i="25"/>
  <c r="L634" i="25"/>
  <c r="K635" i="25"/>
  <c r="L635" i="25"/>
  <c r="K636" i="25"/>
  <c r="L636" i="25"/>
  <c r="K637" i="25"/>
  <c r="L637" i="25"/>
  <c r="K638" i="25"/>
  <c r="L638" i="25"/>
  <c r="K640" i="25"/>
  <c r="L640" i="25"/>
  <c r="K641" i="25"/>
  <c r="L641" i="25"/>
  <c r="K642" i="25"/>
  <c r="L642" i="25"/>
  <c r="K643" i="25"/>
  <c r="L643" i="25"/>
  <c r="K644" i="25"/>
  <c r="L644" i="25"/>
  <c r="K645" i="25"/>
  <c r="L645" i="25"/>
  <c r="K646" i="25"/>
  <c r="L646" i="25"/>
  <c r="K647" i="25"/>
  <c r="L647" i="25"/>
  <c r="K648" i="25"/>
  <c r="L648" i="25"/>
  <c r="K649" i="25"/>
  <c r="L649" i="25"/>
  <c r="K650" i="25"/>
  <c r="L650" i="25"/>
  <c r="K651" i="25"/>
  <c r="L651" i="25"/>
  <c r="K652" i="25"/>
  <c r="L652" i="25"/>
  <c r="K653" i="25"/>
  <c r="L653" i="25"/>
  <c r="K654" i="25"/>
  <c r="L654" i="25"/>
  <c r="K655" i="25"/>
  <c r="L655" i="25"/>
  <c r="K656" i="25"/>
  <c r="L656" i="25"/>
  <c r="K657" i="25"/>
  <c r="L657" i="25"/>
  <c r="K658" i="25"/>
  <c r="L658" i="25"/>
  <c r="K659" i="25"/>
  <c r="L659" i="25"/>
  <c r="K660" i="25"/>
  <c r="L660" i="25"/>
  <c r="K661" i="25"/>
  <c r="L661" i="25"/>
  <c r="K662" i="25"/>
  <c r="L662" i="25"/>
  <c r="K663" i="25"/>
  <c r="L663" i="25"/>
  <c r="K664" i="25"/>
  <c r="L664" i="25"/>
  <c r="K665" i="25"/>
  <c r="L665" i="25"/>
  <c r="K666" i="25"/>
  <c r="L666" i="25"/>
  <c r="K667" i="25"/>
  <c r="L667" i="25"/>
  <c r="K668" i="25"/>
  <c r="L668" i="25"/>
  <c r="K669" i="25"/>
  <c r="L669" i="25"/>
  <c r="K670" i="25"/>
  <c r="L670" i="25"/>
  <c r="K671" i="25"/>
  <c r="L671" i="25"/>
  <c r="K672" i="25"/>
  <c r="L672" i="25"/>
  <c r="K673" i="25"/>
  <c r="L673" i="25"/>
  <c r="K674" i="25"/>
  <c r="L674" i="25"/>
  <c r="K675" i="25"/>
  <c r="L675" i="25"/>
  <c r="K676" i="25"/>
  <c r="L676" i="25"/>
  <c r="K677" i="25"/>
  <c r="L677" i="25"/>
  <c r="K678" i="25"/>
  <c r="L678" i="25"/>
  <c r="K679" i="25"/>
  <c r="L679" i="25"/>
  <c r="K680" i="25"/>
  <c r="L680" i="25"/>
  <c r="K681" i="25"/>
  <c r="L681" i="25"/>
  <c r="K682" i="25"/>
  <c r="L682" i="25"/>
  <c r="K683" i="25"/>
  <c r="L683" i="25"/>
  <c r="K684" i="25"/>
  <c r="L684" i="25"/>
  <c r="K685" i="25"/>
  <c r="L685" i="25"/>
  <c r="K686" i="25"/>
  <c r="L686" i="25"/>
  <c r="K687" i="25"/>
  <c r="L687" i="25"/>
  <c r="K688" i="25"/>
  <c r="L688" i="25"/>
  <c r="K689" i="25"/>
  <c r="L689" i="25"/>
  <c r="K690" i="25"/>
  <c r="L690" i="25"/>
  <c r="K691" i="25"/>
  <c r="L691" i="25"/>
  <c r="K692" i="25"/>
  <c r="L692" i="25"/>
  <c r="K693" i="25"/>
  <c r="L693" i="25"/>
  <c r="K694" i="25"/>
  <c r="L694" i="25"/>
  <c r="K695" i="25"/>
  <c r="L695" i="25"/>
  <c r="K696" i="25"/>
  <c r="L696" i="25"/>
  <c r="K697" i="25"/>
  <c r="L697" i="25"/>
  <c r="K698" i="25"/>
  <c r="L698" i="25"/>
  <c r="K699" i="25"/>
  <c r="L699" i="25"/>
  <c r="K700" i="25"/>
  <c r="L700" i="25"/>
  <c r="K701" i="25"/>
  <c r="L701" i="25"/>
  <c r="K702" i="25"/>
  <c r="L702" i="25"/>
  <c r="K703" i="25"/>
  <c r="L703" i="25"/>
  <c r="K704" i="25"/>
  <c r="L704" i="25"/>
  <c r="K705" i="25"/>
  <c r="L705" i="25"/>
  <c r="K706" i="25"/>
  <c r="L706" i="25"/>
  <c r="K707" i="25"/>
  <c r="L707" i="25"/>
  <c r="K708" i="25"/>
  <c r="L708" i="25"/>
  <c r="K709" i="25"/>
  <c r="L709" i="25"/>
  <c r="K710" i="25"/>
  <c r="L710" i="25"/>
  <c r="K711" i="25"/>
  <c r="L711" i="25"/>
  <c r="K712" i="25"/>
  <c r="L712" i="25"/>
  <c r="K713" i="25"/>
  <c r="L713" i="25"/>
  <c r="K714" i="25"/>
  <c r="L714" i="25"/>
  <c r="K715" i="25"/>
  <c r="L715" i="25"/>
  <c r="K716" i="25"/>
  <c r="L716" i="25"/>
  <c r="K717" i="25"/>
  <c r="L717" i="25"/>
  <c r="K718" i="25"/>
  <c r="L718" i="25"/>
  <c r="K719" i="25"/>
  <c r="L719" i="25"/>
  <c r="K720" i="25"/>
  <c r="L720" i="25"/>
  <c r="K721" i="25"/>
  <c r="L721" i="25"/>
  <c r="K722" i="25"/>
  <c r="L722" i="25"/>
  <c r="K723" i="25"/>
  <c r="L723" i="25"/>
  <c r="K724" i="25"/>
  <c r="L724" i="25"/>
  <c r="K725" i="25"/>
  <c r="L725" i="25"/>
  <c r="K726" i="25"/>
  <c r="L726" i="25"/>
  <c r="K727" i="25"/>
  <c r="L727" i="25"/>
  <c r="K728" i="25"/>
  <c r="L728" i="25"/>
  <c r="K729" i="25"/>
  <c r="L729" i="25"/>
  <c r="K730" i="25"/>
  <c r="L730" i="25"/>
  <c r="K731" i="25"/>
  <c r="L731" i="25"/>
  <c r="K732" i="25"/>
  <c r="L732" i="25"/>
  <c r="K733" i="25"/>
  <c r="L733" i="25"/>
  <c r="K734" i="25"/>
  <c r="L734" i="25"/>
  <c r="K735" i="25"/>
  <c r="L735" i="25"/>
  <c r="K736" i="25"/>
  <c r="L736" i="25"/>
  <c r="K737" i="25"/>
  <c r="L737" i="25"/>
  <c r="K738" i="25"/>
  <c r="L738" i="25"/>
  <c r="K739" i="25"/>
  <c r="L739" i="25"/>
  <c r="K740" i="25"/>
  <c r="L740" i="25"/>
  <c r="K741" i="25"/>
  <c r="L741" i="25"/>
  <c r="K742" i="25"/>
  <c r="L742" i="25"/>
  <c r="K743" i="25"/>
  <c r="L743" i="25"/>
  <c r="K744" i="25"/>
  <c r="L744" i="25"/>
  <c r="K745" i="25"/>
  <c r="L745" i="25"/>
  <c r="K746" i="25"/>
  <c r="L746" i="25"/>
  <c r="K747" i="25"/>
  <c r="L747" i="25"/>
  <c r="K748" i="25"/>
  <c r="L748" i="25"/>
  <c r="K749" i="25"/>
  <c r="L749" i="25"/>
  <c r="K750" i="25"/>
  <c r="L750" i="25"/>
  <c r="K751" i="25"/>
  <c r="L751" i="25"/>
  <c r="K752" i="25"/>
  <c r="L752" i="25"/>
  <c r="K753" i="25"/>
  <c r="L753" i="25"/>
  <c r="K754" i="25"/>
  <c r="L754" i="25"/>
  <c r="K755" i="25"/>
  <c r="L755" i="25"/>
  <c r="K756" i="25"/>
  <c r="L756" i="25"/>
  <c r="K757" i="25"/>
  <c r="L757" i="25"/>
  <c r="K758" i="25"/>
  <c r="L758" i="25"/>
  <c r="K759" i="25"/>
  <c r="L759" i="25"/>
  <c r="K760" i="25"/>
  <c r="L760" i="25"/>
  <c r="K761" i="25"/>
  <c r="L761" i="25"/>
  <c r="K762" i="25"/>
  <c r="L762" i="25"/>
  <c r="K763" i="25"/>
  <c r="L763" i="25"/>
  <c r="K764" i="25"/>
  <c r="L764" i="25"/>
  <c r="K765" i="25"/>
  <c r="L765" i="25"/>
  <c r="K766" i="25"/>
  <c r="L766" i="25"/>
  <c r="K767" i="25"/>
  <c r="L767" i="25"/>
  <c r="K768" i="25"/>
  <c r="L768" i="25"/>
  <c r="K769" i="25"/>
  <c r="L769" i="25"/>
  <c r="K770" i="25"/>
  <c r="L770" i="25"/>
  <c r="K771" i="25"/>
  <c r="L771" i="25"/>
  <c r="K772" i="25"/>
  <c r="L772" i="25"/>
  <c r="K773" i="25"/>
  <c r="L773" i="25"/>
  <c r="K774" i="25"/>
  <c r="L774" i="25"/>
  <c r="K775" i="25"/>
  <c r="L775" i="25"/>
  <c r="K776" i="25"/>
  <c r="L776" i="25"/>
  <c r="K777" i="25"/>
  <c r="L777" i="25"/>
  <c r="K778" i="25"/>
  <c r="L778" i="25"/>
  <c r="K779" i="25"/>
  <c r="L779" i="25"/>
  <c r="K780" i="25"/>
  <c r="L780" i="25"/>
  <c r="K781" i="25"/>
  <c r="L781" i="25"/>
  <c r="K782" i="25"/>
  <c r="L782" i="25"/>
  <c r="K783" i="25"/>
  <c r="L783" i="25"/>
  <c r="K784" i="25"/>
  <c r="L784" i="25"/>
  <c r="K785" i="25"/>
  <c r="L785" i="25"/>
  <c r="K786" i="25"/>
  <c r="L786" i="25"/>
  <c r="K787" i="25"/>
  <c r="L787" i="25"/>
  <c r="K788" i="25"/>
  <c r="L788" i="25"/>
  <c r="K789" i="25"/>
  <c r="L789" i="25"/>
  <c r="K790" i="25"/>
  <c r="L790" i="25"/>
  <c r="K791" i="25"/>
  <c r="L791" i="25"/>
  <c r="K792" i="25"/>
  <c r="L792" i="25"/>
  <c r="K793" i="25"/>
  <c r="L793" i="25"/>
  <c r="K794" i="25"/>
  <c r="L794" i="25"/>
  <c r="K795" i="25"/>
  <c r="L795" i="25"/>
  <c r="K796" i="25"/>
  <c r="L796" i="25"/>
  <c r="K797" i="25"/>
  <c r="L797" i="25"/>
  <c r="K798" i="25"/>
  <c r="L798" i="25"/>
  <c r="K799" i="25"/>
  <c r="L799" i="25"/>
  <c r="K800" i="25"/>
  <c r="L800" i="25"/>
  <c r="K801" i="25"/>
  <c r="L801" i="25"/>
  <c r="K802" i="25"/>
  <c r="L802" i="25"/>
  <c r="K803" i="25"/>
  <c r="L803" i="25"/>
  <c r="K804" i="25"/>
  <c r="L804" i="25"/>
  <c r="K805" i="25"/>
  <c r="L805" i="25"/>
  <c r="K806" i="25"/>
  <c r="L806" i="25"/>
  <c r="K807" i="25"/>
  <c r="L807" i="25"/>
  <c r="K808" i="25"/>
  <c r="L808" i="25"/>
  <c r="K809" i="25"/>
  <c r="L809" i="25"/>
  <c r="K810" i="25"/>
  <c r="L810" i="25"/>
  <c r="K811" i="25"/>
  <c r="L811" i="25"/>
  <c r="K812" i="25"/>
  <c r="L812" i="25"/>
  <c r="K813" i="25"/>
  <c r="L813" i="25"/>
  <c r="K814" i="25"/>
  <c r="L814" i="25"/>
  <c r="K815" i="25"/>
  <c r="L815" i="25"/>
  <c r="K816" i="25"/>
  <c r="L816" i="25"/>
  <c r="K817" i="25"/>
  <c r="L817" i="25"/>
  <c r="K818" i="25"/>
  <c r="L818" i="25"/>
  <c r="K819" i="25"/>
  <c r="L819" i="25"/>
  <c r="K820" i="25"/>
  <c r="L820" i="25"/>
  <c r="K821" i="25"/>
  <c r="L821" i="25"/>
  <c r="K822" i="25"/>
  <c r="L822" i="25"/>
  <c r="K823" i="25"/>
  <c r="L823" i="25"/>
  <c r="K824" i="25"/>
  <c r="L824" i="25"/>
  <c r="K825" i="25"/>
  <c r="L825" i="25"/>
  <c r="K826" i="25"/>
  <c r="L826" i="25"/>
  <c r="K827" i="25"/>
  <c r="L827" i="25"/>
  <c r="K828" i="25"/>
  <c r="L828" i="25"/>
  <c r="K829" i="25"/>
  <c r="L829" i="25"/>
  <c r="K830" i="25"/>
  <c r="L830" i="25"/>
  <c r="K831" i="25"/>
  <c r="L831" i="25"/>
  <c r="K832" i="25"/>
  <c r="L832" i="25"/>
  <c r="K833" i="25"/>
  <c r="L833" i="25"/>
  <c r="K834" i="25"/>
  <c r="L834" i="25"/>
  <c r="K835" i="25"/>
  <c r="L835" i="25"/>
  <c r="K836" i="25"/>
  <c r="L836" i="25"/>
  <c r="K837" i="25"/>
  <c r="L837" i="25"/>
  <c r="K838" i="25"/>
  <c r="L838" i="25"/>
  <c r="K839" i="25"/>
  <c r="L839" i="25"/>
  <c r="K840" i="25"/>
  <c r="L840" i="25"/>
  <c r="K841" i="25"/>
  <c r="L841" i="25"/>
  <c r="K842" i="25"/>
  <c r="L842" i="25"/>
  <c r="K843" i="25"/>
  <c r="L843" i="25"/>
  <c r="K844" i="25"/>
  <c r="L844" i="25"/>
  <c r="K845" i="25"/>
  <c r="L845" i="25"/>
  <c r="K846" i="25"/>
  <c r="L846" i="25"/>
  <c r="K847" i="25"/>
  <c r="L847" i="25"/>
  <c r="K848" i="25"/>
  <c r="L848" i="25"/>
  <c r="K849" i="25"/>
  <c r="L849" i="25"/>
  <c r="K850" i="25"/>
  <c r="L850" i="25"/>
  <c r="K851" i="25"/>
  <c r="L851" i="25"/>
  <c r="K852" i="25"/>
  <c r="L852" i="25"/>
  <c r="K853" i="25"/>
  <c r="L853" i="25"/>
  <c r="K854" i="25"/>
  <c r="L854" i="25"/>
  <c r="K855" i="25"/>
  <c r="L855" i="25"/>
  <c r="K856" i="25"/>
  <c r="L856" i="25"/>
  <c r="K857" i="25"/>
  <c r="L857" i="25"/>
  <c r="K858" i="25"/>
  <c r="L858" i="25"/>
  <c r="K859" i="25"/>
  <c r="L859" i="25"/>
  <c r="K860" i="25"/>
  <c r="L860" i="25"/>
  <c r="K861" i="25"/>
  <c r="L861" i="25"/>
  <c r="K862" i="25"/>
  <c r="L862" i="25"/>
  <c r="K863" i="25"/>
  <c r="L863" i="25"/>
  <c r="K864" i="25"/>
  <c r="L864" i="25"/>
  <c r="K865" i="25"/>
  <c r="L865" i="25"/>
  <c r="K866" i="25"/>
  <c r="L866" i="25"/>
  <c r="K867" i="25"/>
  <c r="L867" i="25"/>
  <c r="K868" i="25"/>
  <c r="L868" i="25"/>
  <c r="K869" i="25"/>
  <c r="L869" i="25"/>
  <c r="K870" i="25"/>
  <c r="L870" i="25"/>
  <c r="K871" i="25"/>
  <c r="L871" i="25"/>
  <c r="K872" i="25"/>
  <c r="L872" i="25"/>
  <c r="K873" i="25"/>
  <c r="L873" i="25"/>
  <c r="K874" i="25"/>
  <c r="L874" i="25"/>
  <c r="K875" i="25"/>
  <c r="L875" i="25"/>
  <c r="K876" i="25"/>
  <c r="L876" i="25"/>
  <c r="K877" i="25"/>
  <c r="L877" i="25"/>
  <c r="K878" i="25"/>
  <c r="L878" i="25"/>
  <c r="K879" i="25"/>
  <c r="L879" i="25"/>
  <c r="K880" i="25"/>
  <c r="L880" i="25"/>
  <c r="K881" i="25"/>
  <c r="L881" i="25"/>
  <c r="K2" i="25"/>
  <c r="L2" i="25"/>
  <c r="Q9" i="34"/>
  <c r="H9" i="34"/>
  <c r="B220" i="25"/>
  <c r="C220" i="25"/>
  <c r="K30" i="26"/>
  <c r="H30" i="26"/>
  <c r="I30" i="26"/>
  <c r="G30" i="26"/>
  <c r="B18" i="24"/>
  <c r="F18" i="24"/>
  <c r="I18" i="24"/>
  <c r="K18" i="24"/>
  <c r="I19"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K4" i="12"/>
  <c r="J3" i="25"/>
  <c r="O3" i="25"/>
  <c r="P3" i="25"/>
  <c r="Q3" i="25"/>
  <c r="R3" i="25"/>
  <c r="N3" i="25"/>
  <c r="W3" i="25"/>
  <c r="K5" i="12"/>
  <c r="J4" i="25"/>
  <c r="O4" i="25"/>
  <c r="P4" i="25"/>
  <c r="Q4" i="25"/>
  <c r="R4" i="25"/>
  <c r="N4" i="25"/>
  <c r="W4" i="25"/>
  <c r="K6" i="12"/>
  <c r="J5" i="25"/>
  <c r="O5" i="25"/>
  <c r="P5" i="25"/>
  <c r="Q5" i="25"/>
  <c r="R5" i="25"/>
  <c r="N5" i="25"/>
  <c r="W5" i="25"/>
  <c r="K7" i="12"/>
  <c r="J6" i="25"/>
  <c r="O6" i="25"/>
  <c r="P6" i="25"/>
  <c r="Q6" i="25"/>
  <c r="R6" i="25"/>
  <c r="N6" i="25"/>
  <c r="W6" i="25"/>
  <c r="K8" i="12"/>
  <c r="J7" i="25"/>
  <c r="O7" i="25"/>
  <c r="P7" i="25"/>
  <c r="Q7" i="25"/>
  <c r="R7" i="25"/>
  <c r="N7" i="25"/>
  <c r="W7" i="25"/>
  <c r="K9" i="12"/>
  <c r="J8" i="25"/>
  <c r="O8" i="25"/>
  <c r="P8" i="25"/>
  <c r="Q8" i="25"/>
  <c r="R8" i="25"/>
  <c r="N8" i="25"/>
  <c r="W8" i="25"/>
  <c r="K10" i="12"/>
  <c r="J9" i="25"/>
  <c r="O9" i="25"/>
  <c r="P9" i="25"/>
  <c r="Q9" i="25"/>
  <c r="R9" i="25"/>
  <c r="N9" i="25"/>
  <c r="W9" i="25"/>
  <c r="K11" i="12"/>
  <c r="J10" i="25"/>
  <c r="O10" i="25"/>
  <c r="P10" i="25"/>
  <c r="Q10" i="25"/>
  <c r="R10" i="25"/>
  <c r="N10" i="25"/>
  <c r="W10" i="25"/>
  <c r="K12" i="12"/>
  <c r="J11" i="25"/>
  <c r="O11" i="25"/>
  <c r="P11" i="25"/>
  <c r="Q11" i="25"/>
  <c r="R11" i="25"/>
  <c r="N11" i="25"/>
  <c r="W11" i="25"/>
  <c r="K13" i="12"/>
  <c r="J12" i="25"/>
  <c r="O12" i="25"/>
  <c r="P12" i="25"/>
  <c r="Q12" i="25"/>
  <c r="R12" i="25"/>
  <c r="N12" i="25"/>
  <c r="W12" i="25"/>
  <c r="K14" i="12"/>
  <c r="J13" i="25"/>
  <c r="O13" i="25"/>
  <c r="P13" i="25"/>
  <c r="Q13" i="25"/>
  <c r="R13" i="25"/>
  <c r="N13" i="25"/>
  <c r="W13" i="25"/>
  <c r="K15" i="12"/>
  <c r="J14" i="25"/>
  <c r="O14" i="25"/>
  <c r="P14" i="25"/>
  <c r="Q14" i="25"/>
  <c r="R14" i="25"/>
  <c r="N14" i="25"/>
  <c r="W14" i="25"/>
  <c r="K16" i="12"/>
  <c r="J15" i="25"/>
  <c r="O15" i="25"/>
  <c r="P15" i="25"/>
  <c r="Q15" i="25"/>
  <c r="R15" i="25"/>
  <c r="N15" i="25"/>
  <c r="W15" i="25"/>
  <c r="K17" i="12"/>
  <c r="J16" i="25"/>
  <c r="O16" i="25"/>
  <c r="P16" i="25"/>
  <c r="Q16" i="25"/>
  <c r="R16" i="25"/>
  <c r="N16" i="25"/>
  <c r="W16" i="25"/>
  <c r="K18" i="12"/>
  <c r="J17" i="25"/>
  <c r="O17" i="25"/>
  <c r="P17" i="25"/>
  <c r="Q17" i="25"/>
  <c r="R17" i="25"/>
  <c r="N17" i="25"/>
  <c r="W17" i="25"/>
  <c r="K19" i="12"/>
  <c r="J18" i="25"/>
  <c r="O18" i="25"/>
  <c r="P18" i="25"/>
  <c r="Q18" i="25"/>
  <c r="R18" i="25"/>
  <c r="N18" i="25"/>
  <c r="W18" i="25"/>
  <c r="K20" i="12"/>
  <c r="J19" i="25"/>
  <c r="O19" i="25"/>
  <c r="P19" i="25"/>
  <c r="Q19" i="25"/>
  <c r="R19" i="25"/>
  <c r="N19" i="25"/>
  <c r="W19" i="25"/>
  <c r="K21" i="12"/>
  <c r="J20" i="25"/>
  <c r="O20" i="25"/>
  <c r="P20" i="25"/>
  <c r="Q20" i="25"/>
  <c r="R20" i="25"/>
  <c r="N20" i="25"/>
  <c r="W20" i="25"/>
  <c r="K22" i="12"/>
  <c r="J21" i="25"/>
  <c r="O21" i="25"/>
  <c r="P21" i="25"/>
  <c r="Q21" i="25"/>
  <c r="R21" i="25"/>
  <c r="N21" i="25"/>
  <c r="W21" i="25"/>
  <c r="K23" i="12"/>
  <c r="J22" i="25"/>
  <c r="O22" i="25"/>
  <c r="P22" i="25"/>
  <c r="Q22" i="25"/>
  <c r="R22" i="25"/>
  <c r="N22" i="25"/>
  <c r="W22" i="25"/>
  <c r="K24" i="12"/>
  <c r="J23" i="25"/>
  <c r="O23" i="25"/>
  <c r="P23" i="25"/>
  <c r="Q23" i="25"/>
  <c r="R23" i="25"/>
  <c r="N23" i="25"/>
  <c r="W23" i="25"/>
  <c r="K25" i="12"/>
  <c r="J24" i="25"/>
  <c r="O24" i="25"/>
  <c r="P24" i="25"/>
  <c r="Q24" i="25"/>
  <c r="R24" i="25"/>
  <c r="N24" i="25"/>
  <c r="W24" i="25"/>
  <c r="K26" i="12"/>
  <c r="J25" i="25"/>
  <c r="O25" i="25"/>
  <c r="P25" i="25"/>
  <c r="Q25" i="25"/>
  <c r="R25" i="25"/>
  <c r="N25" i="25"/>
  <c r="W25" i="25"/>
  <c r="K27" i="12"/>
  <c r="J26" i="25"/>
  <c r="O26" i="25"/>
  <c r="P26" i="25"/>
  <c r="Q26" i="25"/>
  <c r="R26" i="25"/>
  <c r="N26" i="25"/>
  <c r="W26" i="25"/>
  <c r="K28" i="12"/>
  <c r="J27" i="25"/>
  <c r="O27" i="25"/>
  <c r="P27" i="25"/>
  <c r="Q27" i="25"/>
  <c r="R27" i="25"/>
  <c r="N27" i="25"/>
  <c r="W27" i="25"/>
  <c r="K29" i="12"/>
  <c r="J28" i="25"/>
  <c r="O28" i="25"/>
  <c r="P28" i="25"/>
  <c r="Q28" i="25"/>
  <c r="R28" i="25"/>
  <c r="N28" i="25"/>
  <c r="W28" i="25"/>
  <c r="K30" i="12"/>
  <c r="J29" i="25"/>
  <c r="O29" i="25"/>
  <c r="P29" i="25"/>
  <c r="Q29" i="25"/>
  <c r="R29" i="25"/>
  <c r="N29" i="25"/>
  <c r="W29" i="25"/>
  <c r="K31" i="12"/>
  <c r="J30" i="25"/>
  <c r="O30" i="25"/>
  <c r="P30" i="25"/>
  <c r="Q30" i="25"/>
  <c r="R30" i="25"/>
  <c r="N30" i="25"/>
  <c r="W30" i="25"/>
  <c r="K32" i="12"/>
  <c r="J31" i="25"/>
  <c r="O31" i="25"/>
  <c r="P31" i="25"/>
  <c r="Q31" i="25"/>
  <c r="R31" i="25"/>
  <c r="N31" i="25"/>
  <c r="W31" i="25"/>
  <c r="K33" i="12"/>
  <c r="J32" i="25"/>
  <c r="O32" i="25"/>
  <c r="P32" i="25"/>
  <c r="Q32" i="25"/>
  <c r="R32" i="25"/>
  <c r="N32" i="25"/>
  <c r="W32" i="25"/>
  <c r="K34" i="12"/>
  <c r="J33" i="25"/>
  <c r="O33" i="25"/>
  <c r="P33" i="25"/>
  <c r="Q33" i="25"/>
  <c r="R33" i="25"/>
  <c r="N33" i="25"/>
  <c r="W33" i="25"/>
  <c r="K35" i="12"/>
  <c r="J34" i="25"/>
  <c r="O34" i="25"/>
  <c r="P34" i="25"/>
  <c r="Q34" i="25"/>
  <c r="R34" i="25"/>
  <c r="N34" i="25"/>
  <c r="W34" i="25"/>
  <c r="K36" i="12"/>
  <c r="J35" i="25"/>
  <c r="O35" i="25"/>
  <c r="P35" i="25"/>
  <c r="Q35" i="25"/>
  <c r="R35" i="25"/>
  <c r="N35" i="25"/>
  <c r="W35" i="25"/>
  <c r="K37" i="12"/>
  <c r="J36" i="25"/>
  <c r="O36" i="25"/>
  <c r="P36" i="25"/>
  <c r="Q36" i="25"/>
  <c r="R36" i="25"/>
  <c r="N36" i="25"/>
  <c r="W36" i="25"/>
  <c r="K38" i="12"/>
  <c r="J37" i="25"/>
  <c r="O37" i="25"/>
  <c r="P37" i="25"/>
  <c r="Q37" i="25"/>
  <c r="R37" i="25"/>
  <c r="N37" i="25"/>
  <c r="W37" i="25"/>
  <c r="K39" i="12"/>
  <c r="J38" i="25"/>
  <c r="O38" i="25"/>
  <c r="P38" i="25"/>
  <c r="Q38" i="25"/>
  <c r="R38" i="25"/>
  <c r="N38" i="25"/>
  <c r="W38" i="25"/>
  <c r="K40" i="12"/>
  <c r="J39" i="25"/>
  <c r="O39" i="25"/>
  <c r="P39" i="25"/>
  <c r="Q39" i="25"/>
  <c r="R39" i="25"/>
  <c r="N39" i="25"/>
  <c r="W39" i="25"/>
  <c r="K41" i="12"/>
  <c r="J40" i="25"/>
  <c r="O40" i="25"/>
  <c r="P40" i="25"/>
  <c r="Q40" i="25"/>
  <c r="R40" i="25"/>
  <c r="N40" i="25"/>
  <c r="W40" i="25"/>
  <c r="K42" i="12"/>
  <c r="J41" i="25"/>
  <c r="O41" i="25"/>
  <c r="P41" i="25"/>
  <c r="Q41" i="25"/>
  <c r="R41" i="25"/>
  <c r="N41" i="25"/>
  <c r="W41" i="25"/>
  <c r="K43" i="12"/>
  <c r="J42" i="25"/>
  <c r="O42" i="25"/>
  <c r="P42" i="25"/>
  <c r="Q42" i="25"/>
  <c r="R42" i="25"/>
  <c r="N42" i="25"/>
  <c r="W42" i="25"/>
  <c r="K44" i="12"/>
  <c r="J43" i="25"/>
  <c r="O43" i="25"/>
  <c r="P43" i="25"/>
  <c r="Q43" i="25"/>
  <c r="R43" i="25"/>
  <c r="N43" i="25"/>
  <c r="W43" i="25"/>
  <c r="K45" i="12"/>
  <c r="J44" i="25"/>
  <c r="O44" i="25"/>
  <c r="P44" i="25"/>
  <c r="Q44" i="25"/>
  <c r="R44" i="25"/>
  <c r="N44" i="25"/>
  <c r="W44" i="25"/>
  <c r="K46" i="12"/>
  <c r="J45" i="25"/>
  <c r="O45" i="25"/>
  <c r="P45" i="25"/>
  <c r="Q45" i="25"/>
  <c r="R45" i="25"/>
  <c r="N45" i="25"/>
  <c r="W45" i="25"/>
  <c r="K47" i="12"/>
  <c r="J46" i="25"/>
  <c r="O46" i="25"/>
  <c r="P46" i="25"/>
  <c r="Q46" i="25"/>
  <c r="R46" i="25"/>
  <c r="N46" i="25"/>
  <c r="W46" i="25"/>
  <c r="K48" i="12"/>
  <c r="J47" i="25"/>
  <c r="O47" i="25"/>
  <c r="P47" i="25"/>
  <c r="Q47" i="25"/>
  <c r="R47" i="25"/>
  <c r="N47" i="25"/>
  <c r="W47" i="25"/>
  <c r="K49" i="12"/>
  <c r="J48" i="25"/>
  <c r="O48" i="25"/>
  <c r="P48" i="25"/>
  <c r="Q48" i="25"/>
  <c r="R48" i="25"/>
  <c r="N48" i="25"/>
  <c r="W48" i="25"/>
  <c r="K50" i="12"/>
  <c r="J49" i="25"/>
  <c r="O49" i="25"/>
  <c r="P49" i="25"/>
  <c r="Q49" i="25"/>
  <c r="R49" i="25"/>
  <c r="N49" i="25"/>
  <c r="W49" i="25"/>
  <c r="K51" i="12"/>
  <c r="J50" i="25"/>
  <c r="O50" i="25"/>
  <c r="P50" i="25"/>
  <c r="Q50" i="25"/>
  <c r="R50" i="25"/>
  <c r="N50" i="25"/>
  <c r="W50" i="25"/>
  <c r="K52" i="12"/>
  <c r="J51" i="25"/>
  <c r="O51" i="25"/>
  <c r="P51" i="25"/>
  <c r="Q51" i="25"/>
  <c r="R51" i="25"/>
  <c r="N51" i="25"/>
  <c r="W51" i="25"/>
  <c r="K53" i="12"/>
  <c r="J52" i="25"/>
  <c r="O52" i="25"/>
  <c r="P52" i="25"/>
  <c r="Q52" i="25"/>
  <c r="R52" i="25"/>
  <c r="N52" i="25"/>
  <c r="W52" i="25"/>
  <c r="K54" i="12"/>
  <c r="J53" i="25"/>
  <c r="O53" i="25"/>
  <c r="P53" i="25"/>
  <c r="Q53" i="25"/>
  <c r="R53" i="25"/>
  <c r="N53" i="25"/>
  <c r="W53" i="25"/>
  <c r="K55" i="12"/>
  <c r="J54" i="25"/>
  <c r="O54" i="25"/>
  <c r="P54" i="25"/>
  <c r="Q54" i="25"/>
  <c r="R54" i="25"/>
  <c r="N54" i="25"/>
  <c r="W54" i="25"/>
  <c r="K56" i="12"/>
  <c r="J55" i="25"/>
  <c r="O55" i="25"/>
  <c r="P55" i="25"/>
  <c r="Q55" i="25"/>
  <c r="R55" i="25"/>
  <c r="N55" i="25"/>
  <c r="W55" i="25"/>
  <c r="K57" i="12"/>
  <c r="J56" i="25"/>
  <c r="O56" i="25"/>
  <c r="P56" i="25"/>
  <c r="Q56" i="25"/>
  <c r="R56" i="25"/>
  <c r="N56" i="25"/>
  <c r="W56" i="25"/>
  <c r="K58" i="12"/>
  <c r="J57" i="25"/>
  <c r="O57" i="25"/>
  <c r="P57" i="25"/>
  <c r="Q57" i="25"/>
  <c r="R57" i="25"/>
  <c r="N57" i="25"/>
  <c r="W57" i="25"/>
  <c r="O58" i="25"/>
  <c r="P58" i="25"/>
  <c r="Q58" i="25"/>
  <c r="R58" i="25"/>
  <c r="N58" i="25"/>
  <c r="W58" i="25"/>
  <c r="K60" i="12"/>
  <c r="J59" i="25"/>
  <c r="O59" i="25"/>
  <c r="P59" i="25"/>
  <c r="Q59" i="25"/>
  <c r="R59" i="25"/>
  <c r="N59" i="25"/>
  <c r="W59" i="25"/>
  <c r="K61" i="12"/>
  <c r="J60" i="25"/>
  <c r="O60" i="25"/>
  <c r="P60" i="25"/>
  <c r="Q60" i="25"/>
  <c r="R60" i="25"/>
  <c r="N60" i="25"/>
  <c r="W60" i="25"/>
  <c r="K62" i="12"/>
  <c r="J61" i="25"/>
  <c r="O61" i="25"/>
  <c r="P61" i="25"/>
  <c r="Q61" i="25"/>
  <c r="R61" i="25"/>
  <c r="N61" i="25"/>
  <c r="W61" i="25"/>
  <c r="K63" i="12"/>
  <c r="J62" i="25"/>
  <c r="O62" i="25"/>
  <c r="P62" i="25"/>
  <c r="Q62" i="25"/>
  <c r="R62" i="25"/>
  <c r="N62" i="25"/>
  <c r="W62" i="25"/>
  <c r="K64" i="12"/>
  <c r="J63" i="25"/>
  <c r="O63" i="25"/>
  <c r="P63" i="25"/>
  <c r="Q63" i="25"/>
  <c r="R63" i="25"/>
  <c r="N63" i="25"/>
  <c r="W63" i="25"/>
  <c r="K65" i="12"/>
  <c r="J64" i="25"/>
  <c r="O64" i="25"/>
  <c r="P64" i="25"/>
  <c r="Q64" i="25"/>
  <c r="R64" i="25"/>
  <c r="N64" i="25"/>
  <c r="W64" i="25"/>
  <c r="K66" i="12"/>
  <c r="J65" i="25"/>
  <c r="O65" i="25"/>
  <c r="P65" i="25"/>
  <c r="Q65" i="25"/>
  <c r="R65" i="25"/>
  <c r="N65" i="25"/>
  <c r="W65" i="25"/>
  <c r="K67" i="12"/>
  <c r="J66" i="25"/>
  <c r="O66" i="25"/>
  <c r="P66" i="25"/>
  <c r="Q66" i="25"/>
  <c r="R66" i="25"/>
  <c r="N66" i="25"/>
  <c r="W66" i="25"/>
  <c r="K68" i="12"/>
  <c r="J67" i="25"/>
  <c r="O67" i="25"/>
  <c r="P67" i="25"/>
  <c r="Q67" i="25"/>
  <c r="R67" i="25"/>
  <c r="N67" i="25"/>
  <c r="W67" i="25"/>
  <c r="K69" i="12"/>
  <c r="J68" i="25"/>
  <c r="O68" i="25"/>
  <c r="P68" i="25"/>
  <c r="Q68" i="25"/>
  <c r="R68" i="25"/>
  <c r="N68" i="25"/>
  <c r="W68" i="25"/>
  <c r="K70" i="12"/>
  <c r="J69" i="25"/>
  <c r="O69" i="25"/>
  <c r="P69" i="25"/>
  <c r="Q69" i="25"/>
  <c r="R69" i="25"/>
  <c r="N69" i="25"/>
  <c r="W69" i="25"/>
  <c r="K71" i="12"/>
  <c r="J70" i="25"/>
  <c r="O70" i="25"/>
  <c r="P70" i="25"/>
  <c r="Q70" i="25"/>
  <c r="R70" i="25"/>
  <c r="N70" i="25"/>
  <c r="W70" i="25"/>
  <c r="K72" i="12"/>
  <c r="J71" i="25"/>
  <c r="O71" i="25"/>
  <c r="P71" i="25"/>
  <c r="Q71" i="25"/>
  <c r="R71" i="25"/>
  <c r="N71" i="25"/>
  <c r="W71" i="25"/>
  <c r="K73" i="12"/>
  <c r="J72" i="25"/>
  <c r="O72" i="25"/>
  <c r="P72" i="25"/>
  <c r="Q72" i="25"/>
  <c r="R72" i="25"/>
  <c r="N72" i="25"/>
  <c r="W72" i="25"/>
  <c r="K74" i="12"/>
  <c r="J73" i="25"/>
  <c r="O73" i="25"/>
  <c r="P73" i="25"/>
  <c r="Q73" i="25"/>
  <c r="R73" i="25"/>
  <c r="N73" i="25"/>
  <c r="W73" i="25"/>
  <c r="K75" i="12"/>
  <c r="J74" i="25"/>
  <c r="O74" i="25"/>
  <c r="P74" i="25"/>
  <c r="Q74" i="25"/>
  <c r="R74" i="25"/>
  <c r="N74" i="25"/>
  <c r="W74" i="25"/>
  <c r="K76" i="12"/>
  <c r="J75" i="25"/>
  <c r="O75" i="25"/>
  <c r="P75" i="25"/>
  <c r="Q75" i="25"/>
  <c r="R75" i="25"/>
  <c r="N75" i="25"/>
  <c r="W75" i="25"/>
  <c r="K77" i="12"/>
  <c r="J76" i="25"/>
  <c r="O76" i="25"/>
  <c r="P76" i="25"/>
  <c r="Q76" i="25"/>
  <c r="R76" i="25"/>
  <c r="N76" i="25"/>
  <c r="W76" i="25"/>
  <c r="K78" i="12"/>
  <c r="J77" i="25"/>
  <c r="O77" i="25"/>
  <c r="P77" i="25"/>
  <c r="Q77" i="25"/>
  <c r="R77" i="25"/>
  <c r="N77" i="25"/>
  <c r="W77" i="25"/>
  <c r="K79" i="12"/>
  <c r="J78" i="25"/>
  <c r="O78" i="25"/>
  <c r="P78" i="25"/>
  <c r="Q78" i="25"/>
  <c r="R78" i="25"/>
  <c r="N78" i="25"/>
  <c r="W78" i="25"/>
  <c r="K80" i="12"/>
  <c r="J79" i="25"/>
  <c r="O79" i="25"/>
  <c r="P79" i="25"/>
  <c r="Q79" i="25"/>
  <c r="R79" i="25"/>
  <c r="N79" i="25"/>
  <c r="W79" i="25"/>
  <c r="K81" i="12"/>
  <c r="J80" i="25"/>
  <c r="O80" i="25"/>
  <c r="P80" i="25"/>
  <c r="Q80" i="25"/>
  <c r="R80" i="25"/>
  <c r="N80" i="25"/>
  <c r="W80" i="25"/>
  <c r="K82" i="12"/>
  <c r="J81" i="25"/>
  <c r="O81" i="25"/>
  <c r="P81" i="25"/>
  <c r="Q81" i="25"/>
  <c r="R81" i="25"/>
  <c r="N81" i="25"/>
  <c r="W81" i="25"/>
  <c r="K83" i="12"/>
  <c r="J82" i="25"/>
  <c r="O82" i="25"/>
  <c r="P82" i="25"/>
  <c r="Q82" i="25"/>
  <c r="R82" i="25"/>
  <c r="N82" i="25"/>
  <c r="W82" i="25"/>
  <c r="K84" i="12"/>
  <c r="J83" i="25"/>
  <c r="O83" i="25"/>
  <c r="P83" i="25"/>
  <c r="Q83" i="25"/>
  <c r="R83" i="25"/>
  <c r="N83" i="25"/>
  <c r="W83" i="25"/>
  <c r="K85" i="12"/>
  <c r="J84" i="25"/>
  <c r="O84" i="25"/>
  <c r="P84" i="25"/>
  <c r="Q84" i="25"/>
  <c r="R84" i="25"/>
  <c r="N84" i="25"/>
  <c r="W84" i="25"/>
  <c r="K86" i="12"/>
  <c r="J85" i="25"/>
  <c r="O85" i="25"/>
  <c r="P85" i="25"/>
  <c r="Q85" i="25"/>
  <c r="R85" i="25"/>
  <c r="N85" i="25"/>
  <c r="W85" i="25"/>
  <c r="K87" i="12"/>
  <c r="J86" i="25"/>
  <c r="O86" i="25"/>
  <c r="P86" i="25"/>
  <c r="Q86" i="25"/>
  <c r="R86" i="25"/>
  <c r="N86" i="25"/>
  <c r="W86" i="25"/>
  <c r="K88" i="12"/>
  <c r="J87" i="25"/>
  <c r="O87" i="25"/>
  <c r="P87" i="25"/>
  <c r="Q87" i="25"/>
  <c r="R87" i="25"/>
  <c r="N87" i="25"/>
  <c r="W87" i="25"/>
  <c r="K89" i="12"/>
  <c r="J88" i="25"/>
  <c r="O88" i="25"/>
  <c r="P88" i="25"/>
  <c r="Q88" i="25"/>
  <c r="R88" i="25"/>
  <c r="N88" i="25"/>
  <c r="W88" i="25"/>
  <c r="K90" i="12"/>
  <c r="J89" i="25"/>
  <c r="O89" i="25"/>
  <c r="P89" i="25"/>
  <c r="Q89" i="25"/>
  <c r="R89" i="25"/>
  <c r="N89" i="25"/>
  <c r="W89" i="25"/>
  <c r="K91" i="12"/>
  <c r="J90" i="25"/>
  <c r="O90" i="25"/>
  <c r="P90" i="25"/>
  <c r="Q90" i="25"/>
  <c r="R90" i="25"/>
  <c r="N90" i="25"/>
  <c r="W90" i="25"/>
  <c r="K92" i="12"/>
  <c r="J91" i="25"/>
  <c r="O91" i="25"/>
  <c r="P91" i="25"/>
  <c r="Q91" i="25"/>
  <c r="R91" i="25"/>
  <c r="N91" i="25"/>
  <c r="W91" i="25"/>
  <c r="K93" i="12"/>
  <c r="J92" i="25"/>
  <c r="O92" i="25"/>
  <c r="P92" i="25"/>
  <c r="Q92" i="25"/>
  <c r="R92" i="25"/>
  <c r="N92" i="25"/>
  <c r="W92" i="25"/>
  <c r="K94" i="12"/>
  <c r="J93" i="25"/>
  <c r="O93" i="25"/>
  <c r="P93" i="25"/>
  <c r="Q93" i="25"/>
  <c r="R93" i="25"/>
  <c r="N93" i="25"/>
  <c r="W93" i="25"/>
  <c r="K95" i="12"/>
  <c r="J94" i="25"/>
  <c r="O94" i="25"/>
  <c r="P94" i="25"/>
  <c r="Q94" i="25"/>
  <c r="R94" i="25"/>
  <c r="N94" i="25"/>
  <c r="W94" i="25"/>
  <c r="K96" i="12"/>
  <c r="J95" i="25"/>
  <c r="O95" i="25"/>
  <c r="P95" i="25"/>
  <c r="Q95" i="25"/>
  <c r="R95" i="25"/>
  <c r="N95" i="25"/>
  <c r="W95" i="25"/>
  <c r="K97" i="12"/>
  <c r="J96" i="25"/>
  <c r="O96" i="25"/>
  <c r="P96" i="25"/>
  <c r="Q96" i="25"/>
  <c r="R96" i="25"/>
  <c r="N96" i="25"/>
  <c r="W96" i="25"/>
  <c r="K98" i="12"/>
  <c r="J97" i="25"/>
  <c r="O97" i="25"/>
  <c r="P97" i="25"/>
  <c r="Q97" i="25"/>
  <c r="R97" i="25"/>
  <c r="N97" i="25"/>
  <c r="W97" i="25"/>
  <c r="K99" i="12"/>
  <c r="J98" i="25"/>
  <c r="O98" i="25"/>
  <c r="P98" i="25"/>
  <c r="Q98" i="25"/>
  <c r="R98" i="25"/>
  <c r="N98" i="25"/>
  <c r="W98" i="25"/>
  <c r="K100" i="12"/>
  <c r="J99" i="25"/>
  <c r="O99" i="25"/>
  <c r="P99" i="25"/>
  <c r="Q99" i="25"/>
  <c r="R99" i="25"/>
  <c r="N99" i="25"/>
  <c r="W99" i="25"/>
  <c r="K101" i="12"/>
  <c r="J100" i="25"/>
  <c r="O100" i="25"/>
  <c r="P100" i="25"/>
  <c r="Q100" i="25"/>
  <c r="R100" i="25"/>
  <c r="N100" i="25"/>
  <c r="W100" i="25"/>
  <c r="K102" i="12"/>
  <c r="J101" i="25"/>
  <c r="O101" i="25"/>
  <c r="P101" i="25"/>
  <c r="Q101" i="25"/>
  <c r="R101" i="25"/>
  <c r="N101" i="25"/>
  <c r="W101" i="25"/>
  <c r="K103" i="12"/>
  <c r="J102" i="25"/>
  <c r="O102" i="25"/>
  <c r="P102" i="25"/>
  <c r="Q102" i="25"/>
  <c r="R102" i="25"/>
  <c r="N102" i="25"/>
  <c r="W102" i="25"/>
  <c r="K104" i="12"/>
  <c r="J103" i="25"/>
  <c r="O103" i="25"/>
  <c r="P103" i="25"/>
  <c r="Q103" i="25"/>
  <c r="R103" i="25"/>
  <c r="N103" i="25"/>
  <c r="W103" i="25"/>
  <c r="K105" i="12"/>
  <c r="J104" i="25"/>
  <c r="O104" i="25"/>
  <c r="P104" i="25"/>
  <c r="Q104" i="25"/>
  <c r="R104" i="25"/>
  <c r="N104" i="25"/>
  <c r="W104" i="25"/>
  <c r="K106" i="12"/>
  <c r="J105" i="25"/>
  <c r="O105" i="25"/>
  <c r="P105" i="25"/>
  <c r="Q105" i="25"/>
  <c r="R105" i="25"/>
  <c r="N105" i="25"/>
  <c r="W105" i="25"/>
  <c r="K107" i="12"/>
  <c r="J106" i="25"/>
  <c r="O106" i="25"/>
  <c r="P106" i="25"/>
  <c r="Q106" i="25"/>
  <c r="R106" i="25"/>
  <c r="N106" i="25"/>
  <c r="W106" i="25"/>
  <c r="K108" i="12"/>
  <c r="J107" i="25"/>
  <c r="O107" i="25"/>
  <c r="P107" i="25"/>
  <c r="Q107" i="25"/>
  <c r="R107" i="25"/>
  <c r="N107" i="25"/>
  <c r="W107" i="25"/>
  <c r="K109" i="12"/>
  <c r="J108" i="25"/>
  <c r="O108" i="25"/>
  <c r="P108" i="25"/>
  <c r="Q108" i="25"/>
  <c r="R108" i="25"/>
  <c r="N108" i="25"/>
  <c r="W108" i="25"/>
  <c r="K110" i="12"/>
  <c r="J109" i="25"/>
  <c r="O109" i="25"/>
  <c r="P109" i="25"/>
  <c r="Q109" i="25"/>
  <c r="R109" i="25"/>
  <c r="N109" i="25"/>
  <c r="W109" i="25"/>
  <c r="K111" i="12"/>
  <c r="J110" i="25"/>
  <c r="O110" i="25"/>
  <c r="P110" i="25"/>
  <c r="Q110" i="25"/>
  <c r="R110" i="25"/>
  <c r="N110" i="25"/>
  <c r="W110" i="25"/>
  <c r="K112" i="12"/>
  <c r="J111" i="25"/>
  <c r="O111" i="25"/>
  <c r="P111" i="25"/>
  <c r="Q111" i="25"/>
  <c r="R111" i="25"/>
  <c r="N111" i="25"/>
  <c r="W111" i="25"/>
  <c r="K113" i="12"/>
  <c r="J112" i="25"/>
  <c r="O112" i="25"/>
  <c r="P112" i="25"/>
  <c r="Q112" i="25"/>
  <c r="R112" i="25"/>
  <c r="N112" i="25"/>
  <c r="W112" i="25"/>
  <c r="K114" i="12"/>
  <c r="J113" i="25"/>
  <c r="O113" i="25"/>
  <c r="P113" i="25"/>
  <c r="Q113" i="25"/>
  <c r="R113" i="25"/>
  <c r="N113" i="25"/>
  <c r="W113" i="25"/>
  <c r="K115" i="12"/>
  <c r="J114" i="25"/>
  <c r="O114" i="25"/>
  <c r="P114" i="25"/>
  <c r="Q114" i="25"/>
  <c r="R114" i="25"/>
  <c r="N114" i="25"/>
  <c r="W114" i="25"/>
  <c r="K116" i="12"/>
  <c r="J115" i="25"/>
  <c r="O115" i="25"/>
  <c r="P115" i="25"/>
  <c r="Q115" i="25"/>
  <c r="R115" i="25"/>
  <c r="N115" i="25"/>
  <c r="W115" i="25"/>
  <c r="K117" i="12"/>
  <c r="J116" i="25"/>
  <c r="O116" i="25"/>
  <c r="P116" i="25"/>
  <c r="Q116" i="25"/>
  <c r="R116" i="25"/>
  <c r="N116" i="25"/>
  <c r="W116" i="25"/>
  <c r="K118" i="12"/>
  <c r="J117" i="25"/>
  <c r="O117" i="25"/>
  <c r="P117" i="25"/>
  <c r="Q117" i="25"/>
  <c r="R117" i="25"/>
  <c r="N117" i="25"/>
  <c r="W117" i="25"/>
  <c r="K119" i="12"/>
  <c r="J118" i="25"/>
  <c r="O118" i="25"/>
  <c r="P118" i="25"/>
  <c r="Q118" i="25"/>
  <c r="R118" i="25"/>
  <c r="N118" i="25"/>
  <c r="W118" i="25"/>
  <c r="K120" i="12"/>
  <c r="J119" i="25"/>
  <c r="O119" i="25"/>
  <c r="P119" i="25"/>
  <c r="Q119" i="25"/>
  <c r="R119" i="25"/>
  <c r="N119" i="25"/>
  <c r="W119" i="25"/>
  <c r="K121" i="12"/>
  <c r="J120" i="25"/>
  <c r="O120" i="25"/>
  <c r="P120" i="25"/>
  <c r="Q120" i="25"/>
  <c r="R120" i="25"/>
  <c r="N120" i="25"/>
  <c r="W120" i="25"/>
  <c r="K122" i="12"/>
  <c r="J121" i="25"/>
  <c r="O121" i="25"/>
  <c r="P121" i="25"/>
  <c r="Q121" i="25"/>
  <c r="R121" i="25"/>
  <c r="N121" i="25"/>
  <c r="W121" i="25"/>
  <c r="K123" i="12"/>
  <c r="J122" i="25"/>
  <c r="O122" i="25"/>
  <c r="P122" i="25"/>
  <c r="Q122" i="25"/>
  <c r="R122" i="25"/>
  <c r="N122" i="25"/>
  <c r="W122" i="25"/>
  <c r="K124" i="12"/>
  <c r="J123" i="25"/>
  <c r="O123" i="25"/>
  <c r="P123" i="25"/>
  <c r="Q123" i="25"/>
  <c r="R123" i="25"/>
  <c r="N123" i="25"/>
  <c r="W123" i="25"/>
  <c r="K125" i="12"/>
  <c r="J124" i="25"/>
  <c r="O124" i="25"/>
  <c r="P124" i="25"/>
  <c r="Q124" i="25"/>
  <c r="R124" i="25"/>
  <c r="N124" i="25"/>
  <c r="W124" i="25"/>
  <c r="K126" i="12"/>
  <c r="J125" i="25"/>
  <c r="O125" i="25"/>
  <c r="P125" i="25"/>
  <c r="Q125" i="25"/>
  <c r="R125" i="25"/>
  <c r="N125" i="25"/>
  <c r="W125" i="25"/>
  <c r="K127" i="12"/>
  <c r="J126" i="25"/>
  <c r="O126" i="25"/>
  <c r="P126" i="25"/>
  <c r="Q126" i="25"/>
  <c r="R126" i="25"/>
  <c r="N126" i="25"/>
  <c r="W126" i="25"/>
  <c r="K128" i="12"/>
  <c r="J127" i="25"/>
  <c r="O127" i="25"/>
  <c r="P127" i="25"/>
  <c r="Q127" i="25"/>
  <c r="R127" i="25"/>
  <c r="N127" i="25"/>
  <c r="W127" i="25"/>
  <c r="K129" i="12"/>
  <c r="J128" i="25"/>
  <c r="O128" i="25"/>
  <c r="P128" i="25"/>
  <c r="Q128" i="25"/>
  <c r="R128" i="25"/>
  <c r="N128" i="25"/>
  <c r="W128" i="25"/>
  <c r="K130" i="12"/>
  <c r="J129" i="25"/>
  <c r="O129" i="25"/>
  <c r="P129" i="25"/>
  <c r="Q129" i="25"/>
  <c r="R129" i="25"/>
  <c r="N129" i="25"/>
  <c r="W129" i="25"/>
  <c r="K131" i="12"/>
  <c r="J130" i="25"/>
  <c r="O130" i="25"/>
  <c r="P130" i="25"/>
  <c r="Q130" i="25"/>
  <c r="R130" i="25"/>
  <c r="N130" i="25"/>
  <c r="W130" i="25"/>
  <c r="K132" i="12"/>
  <c r="J131" i="25"/>
  <c r="O131" i="25"/>
  <c r="P131" i="25"/>
  <c r="Q131" i="25"/>
  <c r="R131" i="25"/>
  <c r="N131" i="25"/>
  <c r="W131" i="25"/>
  <c r="K133" i="12"/>
  <c r="J132" i="25"/>
  <c r="O132" i="25"/>
  <c r="P132" i="25"/>
  <c r="Q132" i="25"/>
  <c r="R132" i="25"/>
  <c r="N132" i="25"/>
  <c r="W132" i="25"/>
  <c r="K134" i="12"/>
  <c r="J133" i="25"/>
  <c r="O133" i="25"/>
  <c r="P133" i="25"/>
  <c r="Q133" i="25"/>
  <c r="R133" i="25"/>
  <c r="N133" i="25"/>
  <c r="W133" i="25"/>
  <c r="K135" i="12"/>
  <c r="J134" i="25"/>
  <c r="O134" i="25"/>
  <c r="P134" i="25"/>
  <c r="Q134" i="25"/>
  <c r="R134" i="25"/>
  <c r="N134" i="25"/>
  <c r="W134" i="25"/>
  <c r="K136" i="12"/>
  <c r="J135" i="25"/>
  <c r="O135" i="25"/>
  <c r="P135" i="25"/>
  <c r="Q135" i="25"/>
  <c r="R135" i="25"/>
  <c r="N135" i="25"/>
  <c r="W135" i="25"/>
  <c r="K137" i="12"/>
  <c r="J136" i="25"/>
  <c r="O136" i="25"/>
  <c r="P136" i="25"/>
  <c r="Q136" i="25"/>
  <c r="R136" i="25"/>
  <c r="N136" i="25"/>
  <c r="W136" i="25"/>
  <c r="K138" i="12"/>
  <c r="J137" i="25"/>
  <c r="O137" i="25"/>
  <c r="P137" i="25"/>
  <c r="Q137" i="25"/>
  <c r="R137" i="25"/>
  <c r="N137" i="25"/>
  <c r="W137" i="25"/>
  <c r="K139" i="12"/>
  <c r="J138" i="25"/>
  <c r="O138" i="25"/>
  <c r="P138" i="25"/>
  <c r="Q138" i="25"/>
  <c r="R138" i="25"/>
  <c r="N138" i="25"/>
  <c r="W138" i="25"/>
  <c r="K140" i="12"/>
  <c r="J139" i="25"/>
  <c r="O139" i="25"/>
  <c r="P139" i="25"/>
  <c r="Q139" i="25"/>
  <c r="R139" i="25"/>
  <c r="N139" i="25"/>
  <c r="W139" i="25"/>
  <c r="K141" i="12"/>
  <c r="J140" i="25"/>
  <c r="O140" i="25"/>
  <c r="P140" i="25"/>
  <c r="Q140" i="25"/>
  <c r="R140" i="25"/>
  <c r="N140" i="25"/>
  <c r="W140" i="25"/>
  <c r="K142" i="12"/>
  <c r="J141" i="25"/>
  <c r="O141" i="25"/>
  <c r="P141" i="25"/>
  <c r="Q141" i="25"/>
  <c r="R141" i="25"/>
  <c r="N141" i="25"/>
  <c r="W141" i="25"/>
  <c r="K143" i="12"/>
  <c r="J142" i="25"/>
  <c r="O142" i="25"/>
  <c r="P142" i="25"/>
  <c r="Q142" i="25"/>
  <c r="R142" i="25"/>
  <c r="N142" i="25"/>
  <c r="W142" i="25"/>
  <c r="K144" i="12"/>
  <c r="J143" i="25"/>
  <c r="O143" i="25"/>
  <c r="P143" i="25"/>
  <c r="Q143" i="25"/>
  <c r="R143" i="25"/>
  <c r="N143" i="25"/>
  <c r="W143" i="25"/>
  <c r="K145" i="12"/>
  <c r="J144" i="25"/>
  <c r="O144" i="25"/>
  <c r="P144" i="25"/>
  <c r="Q144" i="25"/>
  <c r="R144" i="25"/>
  <c r="N144" i="25"/>
  <c r="W144" i="25"/>
  <c r="K146" i="12"/>
  <c r="J145" i="25"/>
  <c r="O145" i="25"/>
  <c r="P145" i="25"/>
  <c r="Q145" i="25"/>
  <c r="R145" i="25"/>
  <c r="N145" i="25"/>
  <c r="W145" i="25"/>
  <c r="K147" i="12"/>
  <c r="J146" i="25"/>
  <c r="O146" i="25"/>
  <c r="P146" i="25"/>
  <c r="Q146" i="25"/>
  <c r="R146" i="25"/>
  <c r="N146" i="25"/>
  <c r="W146" i="25"/>
  <c r="K148" i="12"/>
  <c r="J147" i="25"/>
  <c r="O147" i="25"/>
  <c r="P147" i="25"/>
  <c r="Q147" i="25"/>
  <c r="R147" i="25"/>
  <c r="N147" i="25"/>
  <c r="W147" i="25"/>
  <c r="K149" i="12"/>
  <c r="J148" i="25"/>
  <c r="O148" i="25"/>
  <c r="P148" i="25"/>
  <c r="Q148" i="25"/>
  <c r="R148" i="25"/>
  <c r="N148" i="25"/>
  <c r="W148" i="25"/>
  <c r="K150" i="12"/>
  <c r="J149" i="25"/>
  <c r="O149" i="25"/>
  <c r="P149" i="25"/>
  <c r="Q149" i="25"/>
  <c r="R149" i="25"/>
  <c r="N149" i="25"/>
  <c r="W149" i="25"/>
  <c r="K151" i="12"/>
  <c r="J150" i="25"/>
  <c r="O150" i="25"/>
  <c r="P150" i="25"/>
  <c r="Q150" i="25"/>
  <c r="R150" i="25"/>
  <c r="N150" i="25"/>
  <c r="W150" i="25"/>
  <c r="K152" i="12"/>
  <c r="J151" i="25"/>
  <c r="O151" i="25"/>
  <c r="P151" i="25"/>
  <c r="Q151" i="25"/>
  <c r="R151" i="25"/>
  <c r="N151" i="25"/>
  <c r="W151" i="25"/>
  <c r="K153" i="12"/>
  <c r="J152" i="25"/>
  <c r="O152" i="25"/>
  <c r="P152" i="25"/>
  <c r="Q152" i="25"/>
  <c r="R152" i="25"/>
  <c r="N152" i="25"/>
  <c r="W152" i="25"/>
  <c r="K154" i="12"/>
  <c r="J153" i="25"/>
  <c r="O153" i="25"/>
  <c r="P153" i="25"/>
  <c r="Q153" i="25"/>
  <c r="R153" i="25"/>
  <c r="N153" i="25"/>
  <c r="W153" i="25"/>
  <c r="K155" i="12"/>
  <c r="J154" i="25"/>
  <c r="O154" i="25"/>
  <c r="P154" i="25"/>
  <c r="Q154" i="25"/>
  <c r="R154" i="25"/>
  <c r="N154" i="25"/>
  <c r="W154" i="25"/>
  <c r="K156" i="12"/>
  <c r="J155" i="25"/>
  <c r="O155" i="25"/>
  <c r="P155" i="25"/>
  <c r="Q155" i="25"/>
  <c r="R155" i="25"/>
  <c r="N155" i="25"/>
  <c r="W155" i="25"/>
  <c r="K157" i="12"/>
  <c r="J156" i="25"/>
  <c r="O156" i="25"/>
  <c r="P156" i="25"/>
  <c r="Q156" i="25"/>
  <c r="R156" i="25"/>
  <c r="N156" i="25"/>
  <c r="W156" i="25"/>
  <c r="K158" i="12"/>
  <c r="J157" i="25"/>
  <c r="O157" i="25"/>
  <c r="P157" i="25"/>
  <c r="Q157" i="25"/>
  <c r="R157" i="25"/>
  <c r="N157" i="25"/>
  <c r="W157" i="25"/>
  <c r="K159" i="12"/>
  <c r="J158" i="25"/>
  <c r="O158" i="25"/>
  <c r="P158" i="25"/>
  <c r="Q158" i="25"/>
  <c r="R158" i="25"/>
  <c r="N158" i="25"/>
  <c r="W158" i="25"/>
  <c r="K160" i="12"/>
  <c r="J159" i="25"/>
  <c r="O159" i="25"/>
  <c r="P159" i="25"/>
  <c r="Q159" i="25"/>
  <c r="R159" i="25"/>
  <c r="N159" i="25"/>
  <c r="W159" i="25"/>
  <c r="K161" i="12"/>
  <c r="J160" i="25"/>
  <c r="O160" i="25"/>
  <c r="P160" i="25"/>
  <c r="Q160" i="25"/>
  <c r="R160" i="25"/>
  <c r="N160" i="25"/>
  <c r="W160" i="25"/>
  <c r="K162" i="12"/>
  <c r="J161" i="25"/>
  <c r="O161" i="25"/>
  <c r="P161" i="25"/>
  <c r="Q161" i="25"/>
  <c r="R161" i="25"/>
  <c r="N161" i="25"/>
  <c r="W161" i="25"/>
  <c r="K163" i="12"/>
  <c r="J162" i="25"/>
  <c r="O162" i="25"/>
  <c r="P162" i="25"/>
  <c r="Q162" i="25"/>
  <c r="R162" i="25"/>
  <c r="N162" i="25"/>
  <c r="W162" i="25"/>
  <c r="K164" i="12"/>
  <c r="J163" i="25"/>
  <c r="O163" i="25"/>
  <c r="P163" i="25"/>
  <c r="Q163" i="25"/>
  <c r="R163" i="25"/>
  <c r="N163" i="25"/>
  <c r="W163" i="25"/>
  <c r="K165" i="12"/>
  <c r="J164" i="25"/>
  <c r="O164" i="25"/>
  <c r="P164" i="25"/>
  <c r="Q164" i="25"/>
  <c r="R164" i="25"/>
  <c r="N164" i="25"/>
  <c r="W164" i="25"/>
  <c r="K166" i="12"/>
  <c r="J165" i="25"/>
  <c r="O165" i="25"/>
  <c r="P165" i="25"/>
  <c r="Q165" i="25"/>
  <c r="R165" i="25"/>
  <c r="N165" i="25"/>
  <c r="W165" i="25"/>
  <c r="K167" i="12"/>
  <c r="J166" i="25"/>
  <c r="O166" i="25"/>
  <c r="P166" i="25"/>
  <c r="Q166" i="25"/>
  <c r="R166" i="25"/>
  <c r="N166" i="25"/>
  <c r="W166" i="25"/>
  <c r="K168" i="12"/>
  <c r="J167" i="25"/>
  <c r="O167" i="25"/>
  <c r="P167" i="25"/>
  <c r="Q167" i="25"/>
  <c r="R167" i="25"/>
  <c r="N167" i="25"/>
  <c r="W167" i="25"/>
  <c r="K169" i="12"/>
  <c r="J168" i="25"/>
  <c r="O168" i="25"/>
  <c r="P168" i="25"/>
  <c r="Q168" i="25"/>
  <c r="R168" i="25"/>
  <c r="N168" i="25"/>
  <c r="W168" i="25"/>
  <c r="K170" i="12"/>
  <c r="J169" i="25"/>
  <c r="O169" i="25"/>
  <c r="P169" i="25"/>
  <c r="Q169" i="25"/>
  <c r="R169" i="25"/>
  <c r="N169" i="25"/>
  <c r="W169" i="25"/>
  <c r="K171" i="12"/>
  <c r="J170" i="25"/>
  <c r="O170" i="25"/>
  <c r="P170" i="25"/>
  <c r="Q170" i="25"/>
  <c r="R170" i="25"/>
  <c r="N170" i="25"/>
  <c r="W170" i="25"/>
  <c r="K172" i="12"/>
  <c r="J171" i="25"/>
  <c r="O171" i="25"/>
  <c r="P171" i="25"/>
  <c r="Q171" i="25"/>
  <c r="R171" i="25"/>
  <c r="N171" i="25"/>
  <c r="W171" i="25"/>
  <c r="K173" i="12"/>
  <c r="J172" i="25"/>
  <c r="O172" i="25"/>
  <c r="P172" i="25"/>
  <c r="Q172" i="25"/>
  <c r="R172" i="25"/>
  <c r="N172" i="25"/>
  <c r="W172" i="25"/>
  <c r="K174" i="12"/>
  <c r="J173" i="25"/>
  <c r="O173" i="25"/>
  <c r="P173" i="25"/>
  <c r="Q173" i="25"/>
  <c r="R173" i="25"/>
  <c r="N173" i="25"/>
  <c r="W173" i="25"/>
  <c r="K175" i="12"/>
  <c r="J174" i="25"/>
  <c r="O174" i="25"/>
  <c r="P174" i="25"/>
  <c r="Q174" i="25"/>
  <c r="R174" i="25"/>
  <c r="N174" i="25"/>
  <c r="W174" i="25"/>
  <c r="K176" i="12"/>
  <c r="J175" i="25"/>
  <c r="O175" i="25"/>
  <c r="P175" i="25"/>
  <c r="Q175" i="25"/>
  <c r="R175" i="25"/>
  <c r="N175" i="25"/>
  <c r="W175" i="25"/>
  <c r="K177" i="12"/>
  <c r="J176" i="25"/>
  <c r="O176" i="25"/>
  <c r="P176" i="25"/>
  <c r="Q176" i="25"/>
  <c r="R176" i="25"/>
  <c r="N176" i="25"/>
  <c r="W176" i="25"/>
  <c r="K178" i="12"/>
  <c r="J177" i="25"/>
  <c r="O177" i="25"/>
  <c r="P177" i="25"/>
  <c r="Q177" i="25"/>
  <c r="R177" i="25"/>
  <c r="N177" i="25"/>
  <c r="W177" i="25"/>
  <c r="K179" i="12"/>
  <c r="J178" i="25"/>
  <c r="O178" i="25"/>
  <c r="P178" i="25"/>
  <c r="Q178" i="25"/>
  <c r="R178" i="25"/>
  <c r="N178" i="25"/>
  <c r="W178" i="25"/>
  <c r="K180" i="12"/>
  <c r="J179" i="25"/>
  <c r="O179" i="25"/>
  <c r="P179" i="25"/>
  <c r="Q179" i="25"/>
  <c r="R179" i="25"/>
  <c r="N179" i="25"/>
  <c r="W179" i="25"/>
  <c r="K181" i="12"/>
  <c r="J180" i="25"/>
  <c r="O180" i="25"/>
  <c r="P180" i="25"/>
  <c r="Q180" i="25"/>
  <c r="R180" i="25"/>
  <c r="N180" i="25"/>
  <c r="W180" i="25"/>
  <c r="K182" i="12"/>
  <c r="J181" i="25"/>
  <c r="O181" i="25"/>
  <c r="P181" i="25"/>
  <c r="Q181" i="25"/>
  <c r="R181" i="25"/>
  <c r="N181" i="25"/>
  <c r="W181" i="25"/>
  <c r="K183" i="12"/>
  <c r="J182" i="25"/>
  <c r="O182" i="25"/>
  <c r="P182" i="25"/>
  <c r="Q182" i="25"/>
  <c r="R182" i="25"/>
  <c r="N182" i="25"/>
  <c r="W182" i="25"/>
  <c r="K184" i="12"/>
  <c r="J183" i="25"/>
  <c r="O183" i="25"/>
  <c r="P183" i="25"/>
  <c r="Q183" i="25"/>
  <c r="R183" i="25"/>
  <c r="N183" i="25"/>
  <c r="W183" i="25"/>
  <c r="K185" i="12"/>
  <c r="J184" i="25"/>
  <c r="O184" i="25"/>
  <c r="P184" i="25"/>
  <c r="Q184" i="25"/>
  <c r="R184" i="25"/>
  <c r="N184" i="25"/>
  <c r="W184" i="25"/>
  <c r="K186" i="12"/>
  <c r="J185" i="25"/>
  <c r="O185" i="25"/>
  <c r="P185" i="25"/>
  <c r="Q185" i="25"/>
  <c r="R185" i="25"/>
  <c r="N185" i="25"/>
  <c r="W185" i="25"/>
  <c r="K187" i="12"/>
  <c r="J186" i="25"/>
  <c r="O186" i="25"/>
  <c r="P186" i="25"/>
  <c r="Q186" i="25"/>
  <c r="R186" i="25"/>
  <c r="N186" i="25"/>
  <c r="W186" i="25"/>
  <c r="K188" i="12"/>
  <c r="J187" i="25"/>
  <c r="O187" i="25"/>
  <c r="P187" i="25"/>
  <c r="Q187" i="25"/>
  <c r="R187" i="25"/>
  <c r="N187" i="25"/>
  <c r="W187" i="25"/>
  <c r="K189" i="12"/>
  <c r="J188" i="25"/>
  <c r="O188" i="25"/>
  <c r="P188" i="25"/>
  <c r="Q188" i="25"/>
  <c r="R188" i="25"/>
  <c r="N188" i="25"/>
  <c r="W188" i="25"/>
  <c r="K190" i="12"/>
  <c r="J189" i="25"/>
  <c r="O189" i="25"/>
  <c r="P189" i="25"/>
  <c r="Q189" i="25"/>
  <c r="R189" i="25"/>
  <c r="N189" i="25"/>
  <c r="W189" i="25"/>
  <c r="K191" i="12"/>
  <c r="J190" i="25"/>
  <c r="O190" i="25"/>
  <c r="P190" i="25"/>
  <c r="Q190" i="25"/>
  <c r="R190" i="25"/>
  <c r="N190" i="25"/>
  <c r="W190" i="25"/>
  <c r="K192" i="12"/>
  <c r="J191" i="25"/>
  <c r="O191" i="25"/>
  <c r="P191" i="25"/>
  <c r="Q191" i="25"/>
  <c r="R191" i="25"/>
  <c r="N191" i="25"/>
  <c r="W191" i="25"/>
  <c r="K193" i="12"/>
  <c r="J192" i="25"/>
  <c r="O192" i="25"/>
  <c r="P192" i="25"/>
  <c r="Q192" i="25"/>
  <c r="R192" i="25"/>
  <c r="N192" i="25"/>
  <c r="W192" i="25"/>
  <c r="K194" i="12"/>
  <c r="J193" i="25"/>
  <c r="O193" i="25"/>
  <c r="P193" i="25"/>
  <c r="Q193" i="25"/>
  <c r="R193" i="25"/>
  <c r="N193" i="25"/>
  <c r="W193" i="25"/>
  <c r="K195" i="12"/>
  <c r="J194" i="25"/>
  <c r="O194" i="25"/>
  <c r="P194" i="25"/>
  <c r="Q194" i="25"/>
  <c r="R194" i="25"/>
  <c r="N194" i="25"/>
  <c r="W194" i="25"/>
  <c r="K196" i="12"/>
  <c r="J195" i="25"/>
  <c r="O195" i="25"/>
  <c r="P195" i="25"/>
  <c r="Q195" i="25"/>
  <c r="R195" i="25"/>
  <c r="N195" i="25"/>
  <c r="W195" i="25"/>
  <c r="K197" i="12"/>
  <c r="J196" i="25"/>
  <c r="O196" i="25"/>
  <c r="P196" i="25"/>
  <c r="Q196" i="25"/>
  <c r="R196" i="25"/>
  <c r="N196" i="25"/>
  <c r="W196" i="25"/>
  <c r="K198" i="12"/>
  <c r="J197" i="25"/>
  <c r="O197" i="25"/>
  <c r="P197" i="25"/>
  <c r="Q197" i="25"/>
  <c r="R197" i="25"/>
  <c r="N197" i="25"/>
  <c r="W197" i="25"/>
  <c r="K199" i="12"/>
  <c r="J198" i="25"/>
  <c r="O198" i="25"/>
  <c r="P198" i="25"/>
  <c r="Q198" i="25"/>
  <c r="R198" i="25"/>
  <c r="N198" i="25"/>
  <c r="W198" i="25"/>
  <c r="K200" i="12"/>
  <c r="J199" i="25"/>
  <c r="O199" i="25"/>
  <c r="P199" i="25"/>
  <c r="Q199" i="25"/>
  <c r="R199" i="25"/>
  <c r="N199" i="25"/>
  <c r="W199" i="25"/>
  <c r="K201" i="12"/>
  <c r="J200" i="25"/>
  <c r="O200" i="25"/>
  <c r="P200" i="25"/>
  <c r="Q200" i="25"/>
  <c r="R200" i="25"/>
  <c r="N200" i="25"/>
  <c r="W200" i="25"/>
  <c r="K202" i="12"/>
  <c r="J201" i="25"/>
  <c r="O201" i="25"/>
  <c r="P201" i="25"/>
  <c r="Q201" i="25"/>
  <c r="R201" i="25"/>
  <c r="N201" i="25"/>
  <c r="W201" i="25"/>
  <c r="K203" i="12"/>
  <c r="J202" i="25"/>
  <c r="O202" i="25"/>
  <c r="P202" i="25"/>
  <c r="Q202" i="25"/>
  <c r="R202" i="25"/>
  <c r="N202" i="25"/>
  <c r="W202" i="25"/>
  <c r="K204" i="12"/>
  <c r="J203" i="25"/>
  <c r="O203" i="25"/>
  <c r="P203" i="25"/>
  <c r="Q203" i="25"/>
  <c r="R203" i="25"/>
  <c r="N203" i="25"/>
  <c r="W203" i="25"/>
  <c r="K205" i="12"/>
  <c r="J204" i="25"/>
  <c r="O204" i="25"/>
  <c r="P204" i="25"/>
  <c r="Q204" i="25"/>
  <c r="R204" i="25"/>
  <c r="N204" i="25"/>
  <c r="W204" i="25"/>
  <c r="K206" i="12"/>
  <c r="J205" i="25"/>
  <c r="O205" i="25"/>
  <c r="P205" i="25"/>
  <c r="Q205" i="25"/>
  <c r="R205" i="25"/>
  <c r="N205" i="25"/>
  <c r="W205" i="25"/>
  <c r="K207" i="12"/>
  <c r="J206" i="25"/>
  <c r="O206" i="25"/>
  <c r="P206" i="25"/>
  <c r="Q206" i="25"/>
  <c r="R206" i="25"/>
  <c r="N206" i="25"/>
  <c r="W206" i="25"/>
  <c r="K208" i="12"/>
  <c r="J207" i="25"/>
  <c r="O207" i="25"/>
  <c r="P207" i="25"/>
  <c r="Q207" i="25"/>
  <c r="R207" i="25"/>
  <c r="N207" i="25"/>
  <c r="W207" i="25"/>
  <c r="K209" i="12"/>
  <c r="J208" i="25"/>
  <c r="O208" i="25"/>
  <c r="P208" i="25"/>
  <c r="Q208" i="25"/>
  <c r="R208" i="25"/>
  <c r="N208" i="25"/>
  <c r="W208" i="25"/>
  <c r="K210" i="12"/>
  <c r="J209" i="25"/>
  <c r="O209" i="25"/>
  <c r="P209" i="25"/>
  <c r="Q209" i="25"/>
  <c r="R209" i="25"/>
  <c r="N209" i="25"/>
  <c r="W209" i="25"/>
  <c r="K211" i="12"/>
  <c r="J210" i="25"/>
  <c r="O210" i="25"/>
  <c r="P210" i="25"/>
  <c r="Q210" i="25"/>
  <c r="R210" i="25"/>
  <c r="N210" i="25"/>
  <c r="W210" i="25"/>
  <c r="K212" i="12"/>
  <c r="J211" i="25"/>
  <c r="O211" i="25"/>
  <c r="P211" i="25"/>
  <c r="Q211" i="25"/>
  <c r="R211" i="25"/>
  <c r="N211" i="25"/>
  <c r="W211" i="25"/>
  <c r="K213" i="12"/>
  <c r="J212" i="25"/>
  <c r="O212" i="25"/>
  <c r="P212" i="25"/>
  <c r="Q212" i="25"/>
  <c r="R212" i="25"/>
  <c r="N212" i="25"/>
  <c r="W212" i="25"/>
  <c r="K214" i="12"/>
  <c r="J213" i="25"/>
  <c r="O213" i="25"/>
  <c r="P213" i="25"/>
  <c r="Q213" i="25"/>
  <c r="R213" i="25"/>
  <c r="N213" i="25"/>
  <c r="W213" i="25"/>
  <c r="K215" i="12"/>
  <c r="J214" i="25"/>
  <c r="O214" i="25"/>
  <c r="P214" i="25"/>
  <c r="Q214" i="25"/>
  <c r="R214" i="25"/>
  <c r="N214" i="25"/>
  <c r="W214" i="25"/>
  <c r="K216" i="12"/>
  <c r="J215" i="25"/>
  <c r="O215" i="25"/>
  <c r="P215" i="25"/>
  <c r="Q215" i="25"/>
  <c r="R215" i="25"/>
  <c r="N215" i="25"/>
  <c r="W215" i="25"/>
  <c r="K217" i="12"/>
  <c r="J216" i="25"/>
  <c r="O216" i="25"/>
  <c r="P216" i="25"/>
  <c r="Q216" i="25"/>
  <c r="R216" i="25"/>
  <c r="N216" i="25"/>
  <c r="W216" i="25"/>
  <c r="K218" i="12"/>
  <c r="J217" i="25"/>
  <c r="O217" i="25"/>
  <c r="P217" i="25"/>
  <c r="Q217" i="25"/>
  <c r="R217" i="25"/>
  <c r="N217" i="25"/>
  <c r="W217" i="25"/>
  <c r="K219" i="12"/>
  <c r="J218" i="25"/>
  <c r="O218" i="25"/>
  <c r="P218" i="25"/>
  <c r="Q218" i="25"/>
  <c r="R218" i="25"/>
  <c r="N218" i="25"/>
  <c r="W218" i="25"/>
  <c r="K220" i="12"/>
  <c r="J219" i="25"/>
  <c r="O219" i="25"/>
  <c r="P219" i="25"/>
  <c r="Q219" i="25"/>
  <c r="R219" i="25"/>
  <c r="N219" i="25"/>
  <c r="W219" i="25"/>
  <c r="K221" i="12"/>
  <c r="J220" i="25"/>
  <c r="O220" i="25"/>
  <c r="P220" i="25"/>
  <c r="Q220" i="25"/>
  <c r="R220" i="25"/>
  <c r="N220" i="25"/>
  <c r="W220" i="25"/>
  <c r="K222" i="12"/>
  <c r="J221" i="25"/>
  <c r="O221" i="25"/>
  <c r="P221" i="25"/>
  <c r="Q221" i="25"/>
  <c r="R221" i="25"/>
  <c r="N221" i="25"/>
  <c r="W221" i="25"/>
  <c r="M3" i="12"/>
  <c r="J222" i="25"/>
  <c r="O222" i="25"/>
  <c r="P222" i="25"/>
  <c r="Q222" i="25"/>
  <c r="R222" i="25"/>
  <c r="N222" i="25"/>
  <c r="W222" i="25"/>
  <c r="M4" i="12"/>
  <c r="J223" i="25"/>
  <c r="O223" i="25"/>
  <c r="P223" i="25"/>
  <c r="Q223" i="25"/>
  <c r="R223" i="25"/>
  <c r="N223" i="25"/>
  <c r="W223" i="25"/>
  <c r="M5" i="12"/>
  <c r="J224" i="25"/>
  <c r="O224" i="25"/>
  <c r="P224" i="25"/>
  <c r="Q224" i="25"/>
  <c r="R224" i="25"/>
  <c r="N224" i="25"/>
  <c r="W224" i="25"/>
  <c r="M6" i="12"/>
  <c r="J225" i="25"/>
  <c r="O225" i="25"/>
  <c r="P225" i="25"/>
  <c r="Q225" i="25"/>
  <c r="R225" i="25"/>
  <c r="N225" i="25"/>
  <c r="W225" i="25"/>
  <c r="M7" i="12"/>
  <c r="J226" i="25"/>
  <c r="O226" i="25"/>
  <c r="P226" i="25"/>
  <c r="Q226" i="25"/>
  <c r="R226" i="25"/>
  <c r="N226" i="25"/>
  <c r="W226" i="25"/>
  <c r="M8" i="12"/>
  <c r="J227" i="25"/>
  <c r="O227" i="25"/>
  <c r="P227" i="25"/>
  <c r="Q227" i="25"/>
  <c r="R227" i="25"/>
  <c r="N227" i="25"/>
  <c r="W227" i="25"/>
  <c r="M9" i="12"/>
  <c r="J228" i="25"/>
  <c r="O228" i="25"/>
  <c r="P228" i="25"/>
  <c r="Q228" i="25"/>
  <c r="R228" i="25"/>
  <c r="N228" i="25"/>
  <c r="W228" i="25"/>
  <c r="M10" i="12"/>
  <c r="J229" i="25"/>
  <c r="O229" i="25"/>
  <c r="P229" i="25"/>
  <c r="Q229" i="25"/>
  <c r="R229" i="25"/>
  <c r="N229" i="25"/>
  <c r="W229" i="25"/>
  <c r="M11" i="12"/>
  <c r="J230" i="25"/>
  <c r="O230" i="25"/>
  <c r="P230" i="25"/>
  <c r="Q230" i="25"/>
  <c r="R230" i="25"/>
  <c r="N230" i="25"/>
  <c r="W230" i="25"/>
  <c r="M12" i="12"/>
  <c r="J231" i="25"/>
  <c r="O231" i="25"/>
  <c r="P231" i="25"/>
  <c r="Q231" i="25"/>
  <c r="R231" i="25"/>
  <c r="N231" i="25"/>
  <c r="W231" i="25"/>
  <c r="M13" i="12"/>
  <c r="J232" i="25"/>
  <c r="O232" i="25"/>
  <c r="P232" i="25"/>
  <c r="Q232" i="25"/>
  <c r="R232" i="25"/>
  <c r="N232" i="25"/>
  <c r="W232" i="25"/>
  <c r="M14" i="12"/>
  <c r="J233" i="25"/>
  <c r="O233" i="25"/>
  <c r="P233" i="25"/>
  <c r="Q233" i="25"/>
  <c r="R233" i="25"/>
  <c r="N233" i="25"/>
  <c r="W233" i="25"/>
  <c r="M15" i="12"/>
  <c r="J234" i="25"/>
  <c r="O234" i="25"/>
  <c r="P234" i="25"/>
  <c r="Q234" i="25"/>
  <c r="R234" i="25"/>
  <c r="N234" i="25"/>
  <c r="W234" i="25"/>
  <c r="M16" i="12"/>
  <c r="J235" i="25"/>
  <c r="O235" i="25"/>
  <c r="P235" i="25"/>
  <c r="Q235" i="25"/>
  <c r="R235" i="25"/>
  <c r="N235" i="25"/>
  <c r="W235" i="25"/>
  <c r="M17" i="12"/>
  <c r="J236" i="25"/>
  <c r="O236" i="25"/>
  <c r="P236" i="25"/>
  <c r="Q236" i="25"/>
  <c r="R236" i="25"/>
  <c r="N236" i="25"/>
  <c r="W236" i="25"/>
  <c r="M18" i="12"/>
  <c r="J237" i="25"/>
  <c r="O237" i="25"/>
  <c r="P237" i="25"/>
  <c r="Q237" i="25"/>
  <c r="R237" i="25"/>
  <c r="N237" i="25"/>
  <c r="W237" i="25"/>
  <c r="M19" i="12"/>
  <c r="J238" i="25"/>
  <c r="O238" i="25"/>
  <c r="P238" i="25"/>
  <c r="Q238" i="25"/>
  <c r="R238" i="25"/>
  <c r="N238" i="25"/>
  <c r="W238" i="25"/>
  <c r="M20" i="12"/>
  <c r="J239" i="25"/>
  <c r="O239" i="25"/>
  <c r="P239" i="25"/>
  <c r="Q239" i="25"/>
  <c r="R239" i="25"/>
  <c r="N239" i="25"/>
  <c r="W239" i="25"/>
  <c r="M21" i="12"/>
  <c r="J240" i="25"/>
  <c r="O240" i="25"/>
  <c r="P240" i="25"/>
  <c r="Q240" i="25"/>
  <c r="R240" i="25"/>
  <c r="N240" i="25"/>
  <c r="W240" i="25"/>
  <c r="M22" i="12"/>
  <c r="J241" i="25"/>
  <c r="O241" i="25"/>
  <c r="P241" i="25"/>
  <c r="Q241" i="25"/>
  <c r="R241" i="25"/>
  <c r="N241" i="25"/>
  <c r="W241" i="25"/>
  <c r="M23" i="12"/>
  <c r="J242" i="25"/>
  <c r="O242" i="25"/>
  <c r="P242" i="25"/>
  <c r="Q242" i="25"/>
  <c r="R242" i="25"/>
  <c r="N242" i="25"/>
  <c r="W242" i="25"/>
  <c r="M24" i="12"/>
  <c r="J243" i="25"/>
  <c r="O243" i="25"/>
  <c r="P243" i="25"/>
  <c r="Q243" i="25"/>
  <c r="R243" i="25"/>
  <c r="N243" i="25"/>
  <c r="W243" i="25"/>
  <c r="M25" i="12"/>
  <c r="J244" i="25"/>
  <c r="O244" i="25"/>
  <c r="P244" i="25"/>
  <c r="Q244" i="25"/>
  <c r="R244" i="25"/>
  <c r="N244" i="25"/>
  <c r="W244" i="25"/>
  <c r="M26" i="12"/>
  <c r="J245" i="25"/>
  <c r="O245" i="25"/>
  <c r="P245" i="25"/>
  <c r="Q245" i="25"/>
  <c r="R245" i="25"/>
  <c r="N245" i="25"/>
  <c r="W245" i="25"/>
  <c r="M27" i="12"/>
  <c r="J246" i="25"/>
  <c r="O246" i="25"/>
  <c r="P246" i="25"/>
  <c r="Q246" i="25"/>
  <c r="R246" i="25"/>
  <c r="N246" i="25"/>
  <c r="W246" i="25"/>
  <c r="M28" i="12"/>
  <c r="J247" i="25"/>
  <c r="O247" i="25"/>
  <c r="P247" i="25"/>
  <c r="Q247" i="25"/>
  <c r="R247" i="25"/>
  <c r="N247" i="25"/>
  <c r="W247" i="25"/>
  <c r="M29" i="12"/>
  <c r="J248" i="25"/>
  <c r="O248" i="25"/>
  <c r="P248" i="25"/>
  <c r="Q248" i="25"/>
  <c r="R248" i="25"/>
  <c r="N248" i="25"/>
  <c r="W248" i="25"/>
  <c r="M30" i="12"/>
  <c r="J249" i="25"/>
  <c r="O249" i="25"/>
  <c r="P249" i="25"/>
  <c r="Q249" i="25"/>
  <c r="R249" i="25"/>
  <c r="N249" i="25"/>
  <c r="W249" i="25"/>
  <c r="M31" i="12"/>
  <c r="J250" i="25"/>
  <c r="O250" i="25"/>
  <c r="P250" i="25"/>
  <c r="Q250" i="25"/>
  <c r="R250" i="25"/>
  <c r="N250" i="25"/>
  <c r="W250" i="25"/>
  <c r="M32" i="12"/>
  <c r="J251" i="25"/>
  <c r="O251" i="25"/>
  <c r="P251" i="25"/>
  <c r="Q251" i="25"/>
  <c r="R251" i="25"/>
  <c r="N251" i="25"/>
  <c r="W251" i="25"/>
  <c r="M33" i="12"/>
  <c r="J252" i="25"/>
  <c r="O252" i="25"/>
  <c r="P252" i="25"/>
  <c r="Q252" i="25"/>
  <c r="R252" i="25"/>
  <c r="N252" i="25"/>
  <c r="W252" i="25"/>
  <c r="M34" i="12"/>
  <c r="J253" i="25"/>
  <c r="O253" i="25"/>
  <c r="P253" i="25"/>
  <c r="Q253" i="25"/>
  <c r="R253" i="25"/>
  <c r="N253" i="25"/>
  <c r="W253" i="25"/>
  <c r="M35" i="12"/>
  <c r="J254" i="25"/>
  <c r="O254" i="25"/>
  <c r="P254" i="25"/>
  <c r="Q254" i="25"/>
  <c r="R254" i="25"/>
  <c r="N254" i="25"/>
  <c r="W254" i="25"/>
  <c r="M36" i="12"/>
  <c r="J255" i="25"/>
  <c r="O255" i="25"/>
  <c r="P255" i="25"/>
  <c r="Q255" i="25"/>
  <c r="R255" i="25"/>
  <c r="N255" i="25"/>
  <c r="W255" i="25"/>
  <c r="M37" i="12"/>
  <c r="J256" i="25"/>
  <c r="O256" i="25"/>
  <c r="P256" i="25"/>
  <c r="Q256" i="25"/>
  <c r="R256" i="25"/>
  <c r="N256" i="25"/>
  <c r="W256" i="25"/>
  <c r="M38" i="12"/>
  <c r="J257" i="25"/>
  <c r="O257" i="25"/>
  <c r="P257" i="25"/>
  <c r="Q257" i="25"/>
  <c r="R257" i="25"/>
  <c r="N257" i="25"/>
  <c r="W257" i="25"/>
  <c r="M39" i="12"/>
  <c r="J258" i="25"/>
  <c r="O258" i="25"/>
  <c r="P258" i="25"/>
  <c r="Q258" i="25"/>
  <c r="R258" i="25"/>
  <c r="N258" i="25"/>
  <c r="W258" i="25"/>
  <c r="M40" i="12"/>
  <c r="J259" i="25"/>
  <c r="O259" i="25"/>
  <c r="P259" i="25"/>
  <c r="Q259" i="25"/>
  <c r="R259" i="25"/>
  <c r="N259" i="25"/>
  <c r="W259" i="25"/>
  <c r="M41" i="12"/>
  <c r="J260" i="25"/>
  <c r="O260" i="25"/>
  <c r="P260" i="25"/>
  <c r="Q260" i="25"/>
  <c r="R260" i="25"/>
  <c r="N260" i="25"/>
  <c r="W260" i="25"/>
  <c r="M42" i="12"/>
  <c r="J261" i="25"/>
  <c r="O261" i="25"/>
  <c r="P261" i="25"/>
  <c r="Q261" i="25"/>
  <c r="R261" i="25"/>
  <c r="N261" i="25"/>
  <c r="W261" i="25"/>
  <c r="M43" i="12"/>
  <c r="J262" i="25"/>
  <c r="O262" i="25"/>
  <c r="P262" i="25"/>
  <c r="Q262" i="25"/>
  <c r="R262" i="25"/>
  <c r="N262" i="25"/>
  <c r="W262" i="25"/>
  <c r="M44" i="12"/>
  <c r="J263" i="25"/>
  <c r="O263" i="25"/>
  <c r="P263" i="25"/>
  <c r="Q263" i="25"/>
  <c r="R263" i="25"/>
  <c r="N263" i="25"/>
  <c r="W263" i="25"/>
  <c r="M45" i="12"/>
  <c r="J264" i="25"/>
  <c r="O264" i="25"/>
  <c r="P264" i="25"/>
  <c r="Q264" i="25"/>
  <c r="R264" i="25"/>
  <c r="N264" i="25"/>
  <c r="W264" i="25"/>
  <c r="M46" i="12"/>
  <c r="J265" i="25"/>
  <c r="O265" i="25"/>
  <c r="P265" i="25"/>
  <c r="Q265" i="25"/>
  <c r="R265" i="25"/>
  <c r="N265" i="25"/>
  <c r="W265" i="25"/>
  <c r="M47" i="12"/>
  <c r="J266" i="25"/>
  <c r="O266" i="25"/>
  <c r="P266" i="25"/>
  <c r="Q266" i="25"/>
  <c r="R266" i="25"/>
  <c r="N266" i="25"/>
  <c r="W266" i="25"/>
  <c r="M48" i="12"/>
  <c r="J267" i="25"/>
  <c r="O267" i="25"/>
  <c r="P267" i="25"/>
  <c r="Q267" i="25"/>
  <c r="R267" i="25"/>
  <c r="N267" i="25"/>
  <c r="W267" i="25"/>
  <c r="M49" i="12"/>
  <c r="J268" i="25"/>
  <c r="O268" i="25"/>
  <c r="P268" i="25"/>
  <c r="Q268" i="25"/>
  <c r="R268" i="25"/>
  <c r="N268" i="25"/>
  <c r="W268" i="25"/>
  <c r="M50" i="12"/>
  <c r="J269" i="25"/>
  <c r="O269" i="25"/>
  <c r="P269" i="25"/>
  <c r="Q269" i="25"/>
  <c r="R269" i="25"/>
  <c r="N269" i="25"/>
  <c r="W269" i="25"/>
  <c r="M51" i="12"/>
  <c r="J270" i="25"/>
  <c r="O270" i="25"/>
  <c r="P270" i="25"/>
  <c r="Q270" i="25"/>
  <c r="R270" i="25"/>
  <c r="N270" i="25"/>
  <c r="W270" i="25"/>
  <c r="M52" i="12"/>
  <c r="J271" i="25"/>
  <c r="O271" i="25"/>
  <c r="P271" i="25"/>
  <c r="Q271" i="25"/>
  <c r="R271" i="25"/>
  <c r="N271" i="25"/>
  <c r="W271" i="25"/>
  <c r="M53" i="12"/>
  <c r="J272" i="25"/>
  <c r="O272" i="25"/>
  <c r="P272" i="25"/>
  <c r="Q272" i="25"/>
  <c r="R272" i="25"/>
  <c r="N272" i="25"/>
  <c r="W272" i="25"/>
  <c r="M54" i="12"/>
  <c r="J273" i="25"/>
  <c r="O273" i="25"/>
  <c r="P273" i="25"/>
  <c r="Q273" i="25"/>
  <c r="R273" i="25"/>
  <c r="N273" i="25"/>
  <c r="W273" i="25"/>
  <c r="M55" i="12"/>
  <c r="J274" i="25"/>
  <c r="O274" i="25"/>
  <c r="P274" i="25"/>
  <c r="Q274" i="25"/>
  <c r="R274" i="25"/>
  <c r="N274" i="25"/>
  <c r="W274" i="25"/>
  <c r="M56" i="12"/>
  <c r="J275" i="25"/>
  <c r="O275" i="25"/>
  <c r="P275" i="25"/>
  <c r="Q275" i="25"/>
  <c r="R275" i="25"/>
  <c r="N275" i="25"/>
  <c r="W275" i="25"/>
  <c r="M57" i="12"/>
  <c r="J276" i="25"/>
  <c r="O276" i="25"/>
  <c r="P276" i="25"/>
  <c r="Q276" i="25"/>
  <c r="R276" i="25"/>
  <c r="N276" i="25"/>
  <c r="W276" i="25"/>
  <c r="M58" i="12"/>
  <c r="J277" i="25"/>
  <c r="O277" i="25"/>
  <c r="P277" i="25"/>
  <c r="Q277" i="25"/>
  <c r="R277" i="25"/>
  <c r="N277" i="25"/>
  <c r="W277" i="25"/>
  <c r="M59" i="12"/>
  <c r="J278" i="25"/>
  <c r="O278" i="25"/>
  <c r="P278" i="25"/>
  <c r="Q278" i="25"/>
  <c r="R278" i="25"/>
  <c r="N278" i="25"/>
  <c r="W278" i="25"/>
  <c r="M60" i="12"/>
  <c r="J279" i="25"/>
  <c r="O279" i="25"/>
  <c r="P279" i="25"/>
  <c r="Q279" i="25"/>
  <c r="R279" i="25"/>
  <c r="N279" i="25"/>
  <c r="W279" i="25"/>
  <c r="M61" i="12"/>
  <c r="J280" i="25"/>
  <c r="O280" i="25"/>
  <c r="P280" i="25"/>
  <c r="Q280" i="25"/>
  <c r="R280" i="25"/>
  <c r="N280" i="25"/>
  <c r="W280" i="25"/>
  <c r="M62" i="12"/>
  <c r="J281" i="25"/>
  <c r="O281" i="25"/>
  <c r="P281" i="25"/>
  <c r="Q281" i="25"/>
  <c r="R281" i="25"/>
  <c r="N281" i="25"/>
  <c r="W281" i="25"/>
  <c r="M63" i="12"/>
  <c r="J282" i="25"/>
  <c r="O282" i="25"/>
  <c r="P282" i="25"/>
  <c r="Q282" i="25"/>
  <c r="R282" i="25"/>
  <c r="N282" i="25"/>
  <c r="W282" i="25"/>
  <c r="M64" i="12"/>
  <c r="J283" i="25"/>
  <c r="O283" i="25"/>
  <c r="P283" i="25"/>
  <c r="Q283" i="25"/>
  <c r="R283" i="25"/>
  <c r="N283" i="25"/>
  <c r="W283" i="25"/>
  <c r="M65" i="12"/>
  <c r="J284" i="25"/>
  <c r="O284" i="25"/>
  <c r="P284" i="25"/>
  <c r="Q284" i="25"/>
  <c r="R284" i="25"/>
  <c r="N284" i="25"/>
  <c r="W284" i="25"/>
  <c r="M66" i="12"/>
  <c r="J285" i="25"/>
  <c r="O285" i="25"/>
  <c r="P285" i="25"/>
  <c r="Q285" i="25"/>
  <c r="R285" i="25"/>
  <c r="N285" i="25"/>
  <c r="W285" i="25"/>
  <c r="M67" i="12"/>
  <c r="J286" i="25"/>
  <c r="O286" i="25"/>
  <c r="P286" i="25"/>
  <c r="Q286" i="25"/>
  <c r="R286" i="25"/>
  <c r="N286" i="25"/>
  <c r="W286" i="25"/>
  <c r="M68" i="12"/>
  <c r="J287" i="25"/>
  <c r="O287" i="25"/>
  <c r="P287" i="25"/>
  <c r="Q287" i="25"/>
  <c r="R287" i="25"/>
  <c r="N287" i="25"/>
  <c r="W287" i="25"/>
  <c r="M69" i="12"/>
  <c r="J288" i="25"/>
  <c r="O288" i="25"/>
  <c r="P288" i="25"/>
  <c r="Q288" i="25"/>
  <c r="R288" i="25"/>
  <c r="N288" i="25"/>
  <c r="W288" i="25"/>
  <c r="M70" i="12"/>
  <c r="J289" i="25"/>
  <c r="O289" i="25"/>
  <c r="P289" i="25"/>
  <c r="Q289" i="25"/>
  <c r="R289" i="25"/>
  <c r="N289" i="25"/>
  <c r="W289" i="25"/>
  <c r="M71" i="12"/>
  <c r="J290" i="25"/>
  <c r="O290" i="25"/>
  <c r="P290" i="25"/>
  <c r="Q290" i="25"/>
  <c r="R290" i="25"/>
  <c r="N290" i="25"/>
  <c r="W290" i="25"/>
  <c r="M72" i="12"/>
  <c r="J291" i="25"/>
  <c r="O291" i="25"/>
  <c r="P291" i="25"/>
  <c r="Q291" i="25"/>
  <c r="R291" i="25"/>
  <c r="N291" i="25"/>
  <c r="W291" i="25"/>
  <c r="M73" i="12"/>
  <c r="J292" i="25"/>
  <c r="O292" i="25"/>
  <c r="P292" i="25"/>
  <c r="Q292" i="25"/>
  <c r="R292" i="25"/>
  <c r="N292" i="25"/>
  <c r="W292" i="25"/>
  <c r="M74" i="12"/>
  <c r="J293" i="25"/>
  <c r="O293" i="25"/>
  <c r="P293" i="25"/>
  <c r="Q293" i="25"/>
  <c r="R293" i="25"/>
  <c r="N293" i="25"/>
  <c r="W293" i="25"/>
  <c r="M75" i="12"/>
  <c r="J294" i="25"/>
  <c r="O294" i="25"/>
  <c r="P294" i="25"/>
  <c r="Q294" i="25"/>
  <c r="R294" i="25"/>
  <c r="N294" i="25"/>
  <c r="W294" i="25"/>
  <c r="M76" i="12"/>
  <c r="J295" i="25"/>
  <c r="O295" i="25"/>
  <c r="P295" i="25"/>
  <c r="Q295" i="25"/>
  <c r="R295" i="25"/>
  <c r="N295" i="25"/>
  <c r="W295" i="25"/>
  <c r="M77" i="12"/>
  <c r="J296" i="25"/>
  <c r="O296" i="25"/>
  <c r="P296" i="25"/>
  <c r="Q296" i="25"/>
  <c r="R296" i="25"/>
  <c r="N296" i="25"/>
  <c r="W296" i="25"/>
  <c r="M78" i="12"/>
  <c r="J297" i="25"/>
  <c r="O297" i="25"/>
  <c r="P297" i="25"/>
  <c r="Q297" i="25"/>
  <c r="R297" i="25"/>
  <c r="N297" i="25"/>
  <c r="W297" i="25"/>
  <c r="M79" i="12"/>
  <c r="J298" i="25"/>
  <c r="O298" i="25"/>
  <c r="P298" i="25"/>
  <c r="Q298" i="25"/>
  <c r="R298" i="25"/>
  <c r="N298" i="25"/>
  <c r="W298" i="25"/>
  <c r="M80" i="12"/>
  <c r="J299" i="25"/>
  <c r="O299" i="25"/>
  <c r="P299" i="25"/>
  <c r="Q299" i="25"/>
  <c r="R299" i="25"/>
  <c r="N299" i="25"/>
  <c r="W299" i="25"/>
  <c r="M81" i="12"/>
  <c r="J300" i="25"/>
  <c r="O300" i="25"/>
  <c r="P300" i="25"/>
  <c r="Q300" i="25"/>
  <c r="R300" i="25"/>
  <c r="N300" i="25"/>
  <c r="W300" i="25"/>
  <c r="M82" i="12"/>
  <c r="J301" i="25"/>
  <c r="O301" i="25"/>
  <c r="P301" i="25"/>
  <c r="Q301" i="25"/>
  <c r="R301" i="25"/>
  <c r="N301" i="25"/>
  <c r="W301" i="25"/>
  <c r="M83" i="12"/>
  <c r="J302" i="25"/>
  <c r="O302" i="25"/>
  <c r="P302" i="25"/>
  <c r="Q302" i="25"/>
  <c r="R302" i="25"/>
  <c r="N302" i="25"/>
  <c r="W302" i="25"/>
  <c r="M84" i="12"/>
  <c r="J303" i="25"/>
  <c r="O303" i="25"/>
  <c r="P303" i="25"/>
  <c r="Q303" i="25"/>
  <c r="R303" i="25"/>
  <c r="N303" i="25"/>
  <c r="W303" i="25"/>
  <c r="M85" i="12"/>
  <c r="J304" i="25"/>
  <c r="O304" i="25"/>
  <c r="P304" i="25"/>
  <c r="Q304" i="25"/>
  <c r="R304" i="25"/>
  <c r="N304" i="25"/>
  <c r="W304" i="25"/>
  <c r="M86" i="12"/>
  <c r="J305" i="25"/>
  <c r="O305" i="25"/>
  <c r="P305" i="25"/>
  <c r="Q305" i="25"/>
  <c r="R305" i="25"/>
  <c r="N305" i="25"/>
  <c r="W305" i="25"/>
  <c r="M87" i="12"/>
  <c r="J306" i="25"/>
  <c r="O306" i="25"/>
  <c r="P306" i="25"/>
  <c r="Q306" i="25"/>
  <c r="R306" i="25"/>
  <c r="N306" i="25"/>
  <c r="W306" i="25"/>
  <c r="M88" i="12"/>
  <c r="J307" i="25"/>
  <c r="O307" i="25"/>
  <c r="P307" i="25"/>
  <c r="Q307" i="25"/>
  <c r="R307" i="25"/>
  <c r="N307" i="25"/>
  <c r="W307" i="25"/>
  <c r="M89" i="12"/>
  <c r="J308" i="25"/>
  <c r="O308" i="25"/>
  <c r="P308" i="25"/>
  <c r="Q308" i="25"/>
  <c r="R308" i="25"/>
  <c r="N308" i="25"/>
  <c r="W308" i="25"/>
  <c r="M90" i="12"/>
  <c r="J309" i="25"/>
  <c r="O309" i="25"/>
  <c r="P309" i="25"/>
  <c r="Q309" i="25"/>
  <c r="R309" i="25"/>
  <c r="N309" i="25"/>
  <c r="W309" i="25"/>
  <c r="M91" i="12"/>
  <c r="J310" i="25"/>
  <c r="O310" i="25"/>
  <c r="P310" i="25"/>
  <c r="Q310" i="25"/>
  <c r="R310" i="25"/>
  <c r="N310" i="25"/>
  <c r="W310" i="25"/>
  <c r="M92" i="12"/>
  <c r="J311" i="25"/>
  <c r="O311" i="25"/>
  <c r="P311" i="25"/>
  <c r="Q311" i="25"/>
  <c r="R311" i="25"/>
  <c r="N311" i="25"/>
  <c r="W311" i="25"/>
  <c r="M93" i="12"/>
  <c r="J312" i="25"/>
  <c r="O312" i="25"/>
  <c r="P312" i="25"/>
  <c r="Q312" i="25"/>
  <c r="R312" i="25"/>
  <c r="N312" i="25"/>
  <c r="W312" i="25"/>
  <c r="M94" i="12"/>
  <c r="J313" i="25"/>
  <c r="O313" i="25"/>
  <c r="P313" i="25"/>
  <c r="Q313" i="25"/>
  <c r="R313" i="25"/>
  <c r="N313" i="25"/>
  <c r="W313" i="25"/>
  <c r="M95" i="12"/>
  <c r="J314" i="25"/>
  <c r="O314" i="25"/>
  <c r="P314" i="25"/>
  <c r="Q314" i="25"/>
  <c r="R314" i="25"/>
  <c r="N314" i="25"/>
  <c r="W314" i="25"/>
  <c r="M96" i="12"/>
  <c r="J315" i="25"/>
  <c r="O315" i="25"/>
  <c r="P315" i="25"/>
  <c r="Q315" i="25"/>
  <c r="R315" i="25"/>
  <c r="N315" i="25"/>
  <c r="W315" i="25"/>
  <c r="M97" i="12"/>
  <c r="J316" i="25"/>
  <c r="O316" i="25"/>
  <c r="P316" i="25"/>
  <c r="Q316" i="25"/>
  <c r="R316" i="25"/>
  <c r="N316" i="25"/>
  <c r="W316" i="25"/>
  <c r="M98" i="12"/>
  <c r="J317" i="25"/>
  <c r="O317" i="25"/>
  <c r="P317" i="25"/>
  <c r="Q317" i="25"/>
  <c r="R317" i="25"/>
  <c r="N317" i="25"/>
  <c r="W317" i="25"/>
  <c r="M99" i="12"/>
  <c r="J318" i="25"/>
  <c r="O318" i="25"/>
  <c r="P318" i="25"/>
  <c r="Q318" i="25"/>
  <c r="R318" i="25"/>
  <c r="N318" i="25"/>
  <c r="W318" i="25"/>
  <c r="M100" i="12"/>
  <c r="J319" i="25"/>
  <c r="O319" i="25"/>
  <c r="P319" i="25"/>
  <c r="Q319" i="25"/>
  <c r="R319" i="25"/>
  <c r="N319" i="25"/>
  <c r="W319" i="25"/>
  <c r="M101" i="12"/>
  <c r="J320" i="25"/>
  <c r="O320" i="25"/>
  <c r="P320" i="25"/>
  <c r="Q320" i="25"/>
  <c r="R320" i="25"/>
  <c r="N320" i="25"/>
  <c r="W320" i="25"/>
  <c r="M102" i="12"/>
  <c r="J321" i="25"/>
  <c r="O321" i="25"/>
  <c r="P321" i="25"/>
  <c r="Q321" i="25"/>
  <c r="R321" i="25"/>
  <c r="N321" i="25"/>
  <c r="W321" i="25"/>
  <c r="M103" i="12"/>
  <c r="J322" i="25"/>
  <c r="O322" i="25"/>
  <c r="P322" i="25"/>
  <c r="Q322" i="25"/>
  <c r="R322" i="25"/>
  <c r="N322" i="25"/>
  <c r="W322" i="25"/>
  <c r="M104" i="12"/>
  <c r="J323" i="25"/>
  <c r="O323" i="25"/>
  <c r="P323" i="25"/>
  <c r="Q323" i="25"/>
  <c r="R323" i="25"/>
  <c r="N323" i="25"/>
  <c r="W323" i="25"/>
  <c r="M105" i="12"/>
  <c r="J324" i="25"/>
  <c r="O324" i="25"/>
  <c r="P324" i="25"/>
  <c r="Q324" i="25"/>
  <c r="R324" i="25"/>
  <c r="N324" i="25"/>
  <c r="W324" i="25"/>
  <c r="M106" i="12"/>
  <c r="J325" i="25"/>
  <c r="O325" i="25"/>
  <c r="P325" i="25"/>
  <c r="Q325" i="25"/>
  <c r="R325" i="25"/>
  <c r="N325" i="25"/>
  <c r="W325" i="25"/>
  <c r="M107" i="12"/>
  <c r="J326" i="25"/>
  <c r="O326" i="25"/>
  <c r="P326" i="25"/>
  <c r="Q326" i="25"/>
  <c r="R326" i="25"/>
  <c r="N326" i="25"/>
  <c r="W326" i="25"/>
  <c r="M108" i="12"/>
  <c r="J327" i="25"/>
  <c r="O327" i="25"/>
  <c r="P327" i="25"/>
  <c r="Q327" i="25"/>
  <c r="R327" i="25"/>
  <c r="N327" i="25"/>
  <c r="W327" i="25"/>
  <c r="M109" i="12"/>
  <c r="J328" i="25"/>
  <c r="O328" i="25"/>
  <c r="P328" i="25"/>
  <c r="Q328" i="25"/>
  <c r="R328" i="25"/>
  <c r="N328" i="25"/>
  <c r="W328" i="25"/>
  <c r="M110" i="12"/>
  <c r="J329" i="25"/>
  <c r="O329" i="25"/>
  <c r="P329" i="25"/>
  <c r="Q329" i="25"/>
  <c r="R329" i="25"/>
  <c r="N329" i="25"/>
  <c r="W329" i="25"/>
  <c r="M111" i="12"/>
  <c r="J330" i="25"/>
  <c r="O330" i="25"/>
  <c r="P330" i="25"/>
  <c r="Q330" i="25"/>
  <c r="R330" i="25"/>
  <c r="N330" i="25"/>
  <c r="W330" i="25"/>
  <c r="M112" i="12"/>
  <c r="J331" i="25"/>
  <c r="O331" i="25"/>
  <c r="P331" i="25"/>
  <c r="Q331" i="25"/>
  <c r="R331" i="25"/>
  <c r="N331" i="25"/>
  <c r="W331" i="25"/>
  <c r="M113" i="12"/>
  <c r="J332" i="25"/>
  <c r="O332" i="25"/>
  <c r="P332" i="25"/>
  <c r="Q332" i="25"/>
  <c r="R332" i="25"/>
  <c r="N332" i="25"/>
  <c r="W332" i="25"/>
  <c r="M114" i="12"/>
  <c r="J333" i="25"/>
  <c r="O333" i="25"/>
  <c r="P333" i="25"/>
  <c r="Q333" i="25"/>
  <c r="R333" i="25"/>
  <c r="N333" i="25"/>
  <c r="W333" i="25"/>
  <c r="M115" i="12"/>
  <c r="J334" i="25"/>
  <c r="O334" i="25"/>
  <c r="P334" i="25"/>
  <c r="Q334" i="25"/>
  <c r="R334" i="25"/>
  <c r="N334" i="25"/>
  <c r="W334" i="25"/>
  <c r="M116" i="12"/>
  <c r="J335" i="25"/>
  <c r="O335" i="25"/>
  <c r="P335" i="25"/>
  <c r="Q335" i="25"/>
  <c r="R335" i="25"/>
  <c r="N335" i="25"/>
  <c r="W335" i="25"/>
  <c r="M117" i="12"/>
  <c r="J336" i="25"/>
  <c r="O336" i="25"/>
  <c r="P336" i="25"/>
  <c r="Q336" i="25"/>
  <c r="R336" i="25"/>
  <c r="N336" i="25"/>
  <c r="W336" i="25"/>
  <c r="M118" i="12"/>
  <c r="J337" i="25"/>
  <c r="O337" i="25"/>
  <c r="P337" i="25"/>
  <c r="Q337" i="25"/>
  <c r="R337" i="25"/>
  <c r="N337" i="25"/>
  <c r="W337" i="25"/>
  <c r="M119" i="12"/>
  <c r="J338" i="25"/>
  <c r="O338" i="25"/>
  <c r="P338" i="25"/>
  <c r="Q338" i="25"/>
  <c r="R338" i="25"/>
  <c r="N338" i="25"/>
  <c r="W338" i="25"/>
  <c r="M120" i="12"/>
  <c r="J339" i="25"/>
  <c r="O339" i="25"/>
  <c r="P339" i="25"/>
  <c r="Q339" i="25"/>
  <c r="R339" i="25"/>
  <c r="N339" i="25"/>
  <c r="W339" i="25"/>
  <c r="M121" i="12"/>
  <c r="J340" i="25"/>
  <c r="O340" i="25"/>
  <c r="P340" i="25"/>
  <c r="Q340" i="25"/>
  <c r="R340" i="25"/>
  <c r="N340" i="25"/>
  <c r="W340" i="25"/>
  <c r="M122" i="12"/>
  <c r="J341" i="25"/>
  <c r="O341" i="25"/>
  <c r="P341" i="25"/>
  <c r="Q341" i="25"/>
  <c r="R341" i="25"/>
  <c r="N341" i="25"/>
  <c r="W341" i="25"/>
  <c r="M123" i="12"/>
  <c r="J342" i="25"/>
  <c r="O342" i="25"/>
  <c r="P342" i="25"/>
  <c r="Q342" i="25"/>
  <c r="R342" i="25"/>
  <c r="N342" i="25"/>
  <c r="W342" i="25"/>
  <c r="M124" i="12"/>
  <c r="J343" i="25"/>
  <c r="O343" i="25"/>
  <c r="P343" i="25"/>
  <c r="Q343" i="25"/>
  <c r="R343" i="25"/>
  <c r="N343" i="25"/>
  <c r="W343" i="25"/>
  <c r="M125" i="12"/>
  <c r="J344" i="25"/>
  <c r="O344" i="25"/>
  <c r="P344" i="25"/>
  <c r="Q344" i="25"/>
  <c r="R344" i="25"/>
  <c r="N344" i="25"/>
  <c r="W344" i="25"/>
  <c r="M126" i="12"/>
  <c r="J345" i="25"/>
  <c r="O345" i="25"/>
  <c r="P345" i="25"/>
  <c r="Q345" i="25"/>
  <c r="R345" i="25"/>
  <c r="N345" i="25"/>
  <c r="W345" i="25"/>
  <c r="M127" i="12"/>
  <c r="J346" i="25"/>
  <c r="O346" i="25"/>
  <c r="P346" i="25"/>
  <c r="Q346" i="25"/>
  <c r="R346" i="25"/>
  <c r="N346" i="25"/>
  <c r="W346" i="25"/>
  <c r="M128" i="12"/>
  <c r="J347" i="25"/>
  <c r="O347" i="25"/>
  <c r="P347" i="25"/>
  <c r="Q347" i="25"/>
  <c r="R347" i="25"/>
  <c r="N347" i="25"/>
  <c r="W347" i="25"/>
  <c r="M129" i="12"/>
  <c r="J348" i="25"/>
  <c r="O348" i="25"/>
  <c r="P348" i="25"/>
  <c r="Q348" i="25"/>
  <c r="R348" i="25"/>
  <c r="N348" i="25"/>
  <c r="W348" i="25"/>
  <c r="M130" i="12"/>
  <c r="J349" i="25"/>
  <c r="O349" i="25"/>
  <c r="P349" i="25"/>
  <c r="Q349" i="25"/>
  <c r="R349" i="25"/>
  <c r="N349" i="25"/>
  <c r="W349" i="25"/>
  <c r="M131" i="12"/>
  <c r="J350" i="25"/>
  <c r="O350" i="25"/>
  <c r="P350" i="25"/>
  <c r="Q350" i="25"/>
  <c r="R350" i="25"/>
  <c r="N350" i="25"/>
  <c r="W350" i="25"/>
  <c r="M132" i="12"/>
  <c r="J351" i="25"/>
  <c r="O351" i="25"/>
  <c r="P351" i="25"/>
  <c r="Q351" i="25"/>
  <c r="R351" i="25"/>
  <c r="N351" i="25"/>
  <c r="W351" i="25"/>
  <c r="M133" i="12"/>
  <c r="J352" i="25"/>
  <c r="O352" i="25"/>
  <c r="P352" i="25"/>
  <c r="Q352" i="25"/>
  <c r="R352" i="25"/>
  <c r="N352" i="25"/>
  <c r="W352" i="25"/>
  <c r="M134" i="12"/>
  <c r="J353" i="25"/>
  <c r="O353" i="25"/>
  <c r="P353" i="25"/>
  <c r="Q353" i="25"/>
  <c r="R353" i="25"/>
  <c r="N353" i="25"/>
  <c r="W353" i="25"/>
  <c r="M135" i="12"/>
  <c r="J354" i="25"/>
  <c r="O354" i="25"/>
  <c r="P354" i="25"/>
  <c r="Q354" i="25"/>
  <c r="R354" i="25"/>
  <c r="N354" i="25"/>
  <c r="W354" i="25"/>
  <c r="M136" i="12"/>
  <c r="J355" i="25"/>
  <c r="O355" i="25"/>
  <c r="P355" i="25"/>
  <c r="Q355" i="25"/>
  <c r="R355" i="25"/>
  <c r="N355" i="25"/>
  <c r="W355" i="25"/>
  <c r="M137" i="12"/>
  <c r="J356" i="25"/>
  <c r="O356" i="25"/>
  <c r="P356" i="25"/>
  <c r="Q356" i="25"/>
  <c r="R356" i="25"/>
  <c r="N356" i="25"/>
  <c r="W356" i="25"/>
  <c r="M138" i="12"/>
  <c r="J357" i="25"/>
  <c r="O357" i="25"/>
  <c r="P357" i="25"/>
  <c r="Q357" i="25"/>
  <c r="R357" i="25"/>
  <c r="N357" i="25"/>
  <c r="W357" i="25"/>
  <c r="M139" i="12"/>
  <c r="J358" i="25"/>
  <c r="O358" i="25"/>
  <c r="P358" i="25"/>
  <c r="Q358" i="25"/>
  <c r="R358" i="25"/>
  <c r="N358" i="25"/>
  <c r="W358" i="25"/>
  <c r="M140" i="12"/>
  <c r="J359" i="25"/>
  <c r="O359" i="25"/>
  <c r="P359" i="25"/>
  <c r="Q359" i="25"/>
  <c r="R359" i="25"/>
  <c r="N359" i="25"/>
  <c r="W359" i="25"/>
  <c r="M141" i="12"/>
  <c r="J360" i="25"/>
  <c r="O360" i="25"/>
  <c r="P360" i="25"/>
  <c r="Q360" i="25"/>
  <c r="R360" i="25"/>
  <c r="N360" i="25"/>
  <c r="W360" i="25"/>
  <c r="M142" i="12"/>
  <c r="J361" i="25"/>
  <c r="O361" i="25"/>
  <c r="P361" i="25"/>
  <c r="Q361" i="25"/>
  <c r="R361" i="25"/>
  <c r="N361" i="25"/>
  <c r="W361" i="25"/>
  <c r="M143" i="12"/>
  <c r="J362" i="25"/>
  <c r="O362" i="25"/>
  <c r="P362" i="25"/>
  <c r="Q362" i="25"/>
  <c r="R362" i="25"/>
  <c r="N362" i="25"/>
  <c r="W362" i="25"/>
  <c r="M144" i="12"/>
  <c r="J363" i="25"/>
  <c r="O363" i="25"/>
  <c r="P363" i="25"/>
  <c r="Q363" i="25"/>
  <c r="R363" i="25"/>
  <c r="N363" i="25"/>
  <c r="W363" i="25"/>
  <c r="M145" i="12"/>
  <c r="J364" i="25"/>
  <c r="O364" i="25"/>
  <c r="P364" i="25"/>
  <c r="Q364" i="25"/>
  <c r="R364" i="25"/>
  <c r="N364" i="25"/>
  <c r="W364" i="25"/>
  <c r="M146" i="12"/>
  <c r="J365" i="25"/>
  <c r="O365" i="25"/>
  <c r="P365" i="25"/>
  <c r="Q365" i="25"/>
  <c r="R365" i="25"/>
  <c r="N365" i="25"/>
  <c r="W365" i="25"/>
  <c r="M147" i="12"/>
  <c r="J366" i="25"/>
  <c r="O366" i="25"/>
  <c r="P366" i="25"/>
  <c r="Q366" i="25"/>
  <c r="R366" i="25"/>
  <c r="N366" i="25"/>
  <c r="W366" i="25"/>
  <c r="M148" i="12"/>
  <c r="J367" i="25"/>
  <c r="O367" i="25"/>
  <c r="P367" i="25"/>
  <c r="Q367" i="25"/>
  <c r="R367" i="25"/>
  <c r="N367" i="25"/>
  <c r="W367" i="25"/>
  <c r="M149" i="12"/>
  <c r="J368" i="25"/>
  <c r="O368" i="25"/>
  <c r="P368" i="25"/>
  <c r="Q368" i="25"/>
  <c r="R368" i="25"/>
  <c r="N368" i="25"/>
  <c r="W368" i="25"/>
  <c r="M150" i="12"/>
  <c r="J369" i="25"/>
  <c r="O369" i="25"/>
  <c r="P369" i="25"/>
  <c r="Q369" i="25"/>
  <c r="R369" i="25"/>
  <c r="N369" i="25"/>
  <c r="W369" i="25"/>
  <c r="M151" i="12"/>
  <c r="J370" i="25"/>
  <c r="O370" i="25"/>
  <c r="P370" i="25"/>
  <c r="Q370" i="25"/>
  <c r="R370" i="25"/>
  <c r="N370" i="25"/>
  <c r="W370" i="25"/>
  <c r="M152" i="12"/>
  <c r="J371" i="25"/>
  <c r="O371" i="25"/>
  <c r="P371" i="25"/>
  <c r="Q371" i="25"/>
  <c r="R371" i="25"/>
  <c r="N371" i="25"/>
  <c r="W371" i="25"/>
  <c r="M153" i="12"/>
  <c r="J372" i="25"/>
  <c r="O372" i="25"/>
  <c r="P372" i="25"/>
  <c r="Q372" i="25"/>
  <c r="R372" i="25"/>
  <c r="N372" i="25"/>
  <c r="W372" i="25"/>
  <c r="M154" i="12"/>
  <c r="J373" i="25"/>
  <c r="O373" i="25"/>
  <c r="P373" i="25"/>
  <c r="Q373" i="25"/>
  <c r="R373" i="25"/>
  <c r="N373" i="25"/>
  <c r="W373" i="25"/>
  <c r="M155" i="12"/>
  <c r="J374" i="25"/>
  <c r="O374" i="25"/>
  <c r="P374" i="25"/>
  <c r="Q374" i="25"/>
  <c r="R374" i="25"/>
  <c r="N374" i="25"/>
  <c r="W374" i="25"/>
  <c r="M156" i="12"/>
  <c r="J375" i="25"/>
  <c r="O375" i="25"/>
  <c r="P375" i="25"/>
  <c r="Q375" i="25"/>
  <c r="R375" i="25"/>
  <c r="N375" i="25"/>
  <c r="W375" i="25"/>
  <c r="M157" i="12"/>
  <c r="J376" i="25"/>
  <c r="O376" i="25"/>
  <c r="P376" i="25"/>
  <c r="Q376" i="25"/>
  <c r="R376" i="25"/>
  <c r="N376" i="25"/>
  <c r="W376" i="25"/>
  <c r="M158" i="12"/>
  <c r="J377" i="25"/>
  <c r="O377" i="25"/>
  <c r="P377" i="25"/>
  <c r="Q377" i="25"/>
  <c r="R377" i="25"/>
  <c r="N377" i="25"/>
  <c r="W377" i="25"/>
  <c r="M159" i="12"/>
  <c r="J378" i="25"/>
  <c r="O378" i="25"/>
  <c r="P378" i="25"/>
  <c r="Q378" i="25"/>
  <c r="R378" i="25"/>
  <c r="N378" i="25"/>
  <c r="W378" i="25"/>
  <c r="M160" i="12"/>
  <c r="J379" i="25"/>
  <c r="O379" i="25"/>
  <c r="P379" i="25"/>
  <c r="Q379" i="25"/>
  <c r="R379" i="25"/>
  <c r="N379" i="25"/>
  <c r="W379" i="25"/>
  <c r="M161" i="12"/>
  <c r="J380" i="25"/>
  <c r="O380" i="25"/>
  <c r="P380" i="25"/>
  <c r="Q380" i="25"/>
  <c r="R380" i="25"/>
  <c r="N380" i="25"/>
  <c r="W380" i="25"/>
  <c r="M162" i="12"/>
  <c r="J381" i="25"/>
  <c r="O381" i="25"/>
  <c r="P381" i="25"/>
  <c r="Q381" i="25"/>
  <c r="R381" i="25"/>
  <c r="N381" i="25"/>
  <c r="W381" i="25"/>
  <c r="M163" i="12"/>
  <c r="J382" i="25"/>
  <c r="O382" i="25"/>
  <c r="P382" i="25"/>
  <c r="Q382" i="25"/>
  <c r="R382" i="25"/>
  <c r="N382" i="25"/>
  <c r="W382" i="25"/>
  <c r="M164" i="12"/>
  <c r="J383" i="25"/>
  <c r="O383" i="25"/>
  <c r="P383" i="25"/>
  <c r="Q383" i="25"/>
  <c r="R383" i="25"/>
  <c r="N383" i="25"/>
  <c r="W383" i="25"/>
  <c r="M165" i="12"/>
  <c r="J384" i="25"/>
  <c r="O384" i="25"/>
  <c r="P384" i="25"/>
  <c r="Q384" i="25"/>
  <c r="R384" i="25"/>
  <c r="N384" i="25"/>
  <c r="W384" i="25"/>
  <c r="M166" i="12"/>
  <c r="J385" i="25"/>
  <c r="O385" i="25"/>
  <c r="P385" i="25"/>
  <c r="Q385" i="25"/>
  <c r="R385" i="25"/>
  <c r="N385" i="25"/>
  <c r="W385" i="25"/>
  <c r="M167" i="12"/>
  <c r="J386" i="25"/>
  <c r="O386" i="25"/>
  <c r="P386" i="25"/>
  <c r="Q386" i="25"/>
  <c r="R386" i="25"/>
  <c r="N386" i="25"/>
  <c r="W386" i="25"/>
  <c r="M168" i="12"/>
  <c r="J387" i="25"/>
  <c r="O387" i="25"/>
  <c r="P387" i="25"/>
  <c r="Q387" i="25"/>
  <c r="R387" i="25"/>
  <c r="N387" i="25"/>
  <c r="W387" i="25"/>
  <c r="M169" i="12"/>
  <c r="J388" i="25"/>
  <c r="O388" i="25"/>
  <c r="P388" i="25"/>
  <c r="Q388" i="25"/>
  <c r="R388" i="25"/>
  <c r="N388" i="25"/>
  <c r="W388" i="25"/>
  <c r="M170" i="12"/>
  <c r="J389" i="25"/>
  <c r="O389" i="25"/>
  <c r="P389" i="25"/>
  <c r="Q389" i="25"/>
  <c r="R389" i="25"/>
  <c r="N389" i="25"/>
  <c r="W389" i="25"/>
  <c r="M171" i="12"/>
  <c r="J390" i="25"/>
  <c r="O390" i="25"/>
  <c r="P390" i="25"/>
  <c r="Q390" i="25"/>
  <c r="R390" i="25"/>
  <c r="N390" i="25"/>
  <c r="W390" i="25"/>
  <c r="M172" i="12"/>
  <c r="J391" i="25"/>
  <c r="O391" i="25"/>
  <c r="P391" i="25"/>
  <c r="Q391" i="25"/>
  <c r="R391" i="25"/>
  <c r="N391" i="25"/>
  <c r="W391" i="25"/>
  <c r="M173" i="12"/>
  <c r="J392" i="25"/>
  <c r="O392" i="25"/>
  <c r="P392" i="25"/>
  <c r="Q392" i="25"/>
  <c r="R392" i="25"/>
  <c r="N392" i="25"/>
  <c r="W392" i="25"/>
  <c r="M174" i="12"/>
  <c r="J393" i="25"/>
  <c r="O393" i="25"/>
  <c r="P393" i="25"/>
  <c r="Q393" i="25"/>
  <c r="R393" i="25"/>
  <c r="N393" i="25"/>
  <c r="W393" i="25"/>
  <c r="M175" i="12"/>
  <c r="J394" i="25"/>
  <c r="O394" i="25"/>
  <c r="P394" i="25"/>
  <c r="Q394" i="25"/>
  <c r="R394" i="25"/>
  <c r="N394" i="25"/>
  <c r="W394" i="25"/>
  <c r="M176" i="12"/>
  <c r="J395" i="25"/>
  <c r="O395" i="25"/>
  <c r="P395" i="25"/>
  <c r="Q395" i="25"/>
  <c r="R395" i="25"/>
  <c r="N395" i="25"/>
  <c r="W395" i="25"/>
  <c r="M177" i="12"/>
  <c r="J396" i="25"/>
  <c r="O396" i="25"/>
  <c r="P396" i="25"/>
  <c r="Q396" i="25"/>
  <c r="R396" i="25"/>
  <c r="N396" i="25"/>
  <c r="W396" i="25"/>
  <c r="M178" i="12"/>
  <c r="J397" i="25"/>
  <c r="O397" i="25"/>
  <c r="P397" i="25"/>
  <c r="Q397" i="25"/>
  <c r="R397" i="25"/>
  <c r="N397" i="25"/>
  <c r="W397" i="25"/>
  <c r="M179" i="12"/>
  <c r="J398" i="25"/>
  <c r="O398" i="25"/>
  <c r="P398" i="25"/>
  <c r="Q398" i="25"/>
  <c r="R398" i="25"/>
  <c r="N398" i="25"/>
  <c r="W398" i="25"/>
  <c r="M180" i="12"/>
  <c r="J399" i="25"/>
  <c r="O399" i="25"/>
  <c r="P399" i="25"/>
  <c r="Q399" i="25"/>
  <c r="R399" i="25"/>
  <c r="N399" i="25"/>
  <c r="W399" i="25"/>
  <c r="M181" i="12"/>
  <c r="J400" i="25"/>
  <c r="O400" i="25"/>
  <c r="P400" i="25"/>
  <c r="Q400" i="25"/>
  <c r="R400" i="25"/>
  <c r="N400" i="25"/>
  <c r="W400" i="25"/>
  <c r="M182" i="12"/>
  <c r="J401" i="25"/>
  <c r="O401" i="25"/>
  <c r="P401" i="25"/>
  <c r="Q401" i="25"/>
  <c r="R401" i="25"/>
  <c r="N401" i="25"/>
  <c r="W401" i="25"/>
  <c r="M183" i="12"/>
  <c r="J402" i="25"/>
  <c r="O402" i="25"/>
  <c r="P402" i="25"/>
  <c r="Q402" i="25"/>
  <c r="R402" i="25"/>
  <c r="N402" i="25"/>
  <c r="W402" i="25"/>
  <c r="M184" i="12"/>
  <c r="J403" i="25"/>
  <c r="O403" i="25"/>
  <c r="P403" i="25"/>
  <c r="Q403" i="25"/>
  <c r="R403" i="25"/>
  <c r="N403" i="25"/>
  <c r="W403" i="25"/>
  <c r="M185" i="12"/>
  <c r="J404" i="25"/>
  <c r="O404" i="25"/>
  <c r="P404" i="25"/>
  <c r="Q404" i="25"/>
  <c r="R404" i="25"/>
  <c r="N404" i="25"/>
  <c r="W404" i="25"/>
  <c r="M186" i="12"/>
  <c r="J405" i="25"/>
  <c r="O405" i="25"/>
  <c r="P405" i="25"/>
  <c r="Q405" i="25"/>
  <c r="R405" i="25"/>
  <c r="N405" i="25"/>
  <c r="W405" i="25"/>
  <c r="M187" i="12"/>
  <c r="J406" i="25"/>
  <c r="O406" i="25"/>
  <c r="P406" i="25"/>
  <c r="Q406" i="25"/>
  <c r="R406" i="25"/>
  <c r="N406" i="25"/>
  <c r="W406" i="25"/>
  <c r="M188" i="12"/>
  <c r="J407" i="25"/>
  <c r="O407" i="25"/>
  <c r="P407" i="25"/>
  <c r="Q407" i="25"/>
  <c r="R407" i="25"/>
  <c r="N407" i="25"/>
  <c r="W407" i="25"/>
  <c r="M189" i="12"/>
  <c r="J408" i="25"/>
  <c r="O408" i="25"/>
  <c r="P408" i="25"/>
  <c r="Q408" i="25"/>
  <c r="R408" i="25"/>
  <c r="N408" i="25"/>
  <c r="W408" i="25"/>
  <c r="M190" i="12"/>
  <c r="J409" i="25"/>
  <c r="O409" i="25"/>
  <c r="P409" i="25"/>
  <c r="Q409" i="25"/>
  <c r="R409" i="25"/>
  <c r="N409" i="25"/>
  <c r="W409" i="25"/>
  <c r="M191" i="12"/>
  <c r="J410" i="25"/>
  <c r="O410" i="25"/>
  <c r="P410" i="25"/>
  <c r="Q410" i="25"/>
  <c r="R410" i="25"/>
  <c r="N410" i="25"/>
  <c r="W410" i="25"/>
  <c r="M192" i="12"/>
  <c r="J411" i="25"/>
  <c r="O411" i="25"/>
  <c r="P411" i="25"/>
  <c r="Q411" i="25"/>
  <c r="R411" i="25"/>
  <c r="N411" i="25"/>
  <c r="W411" i="25"/>
  <c r="M193" i="12"/>
  <c r="J412" i="25"/>
  <c r="O412" i="25"/>
  <c r="P412" i="25"/>
  <c r="Q412" i="25"/>
  <c r="R412" i="25"/>
  <c r="N412" i="25"/>
  <c r="W412" i="25"/>
  <c r="M194" i="12"/>
  <c r="J413" i="25"/>
  <c r="O413" i="25"/>
  <c r="P413" i="25"/>
  <c r="Q413" i="25"/>
  <c r="R413" i="25"/>
  <c r="N413" i="25"/>
  <c r="W413" i="25"/>
  <c r="M195" i="12"/>
  <c r="J414" i="25"/>
  <c r="O414" i="25"/>
  <c r="P414" i="25"/>
  <c r="Q414" i="25"/>
  <c r="R414" i="25"/>
  <c r="N414" i="25"/>
  <c r="W414" i="25"/>
  <c r="M196" i="12"/>
  <c r="J415" i="25"/>
  <c r="O415" i="25"/>
  <c r="P415" i="25"/>
  <c r="Q415" i="25"/>
  <c r="R415" i="25"/>
  <c r="N415" i="25"/>
  <c r="W415" i="25"/>
  <c r="M197" i="12"/>
  <c r="J416" i="25"/>
  <c r="O416" i="25"/>
  <c r="P416" i="25"/>
  <c r="Q416" i="25"/>
  <c r="R416" i="25"/>
  <c r="N416" i="25"/>
  <c r="W416" i="25"/>
  <c r="M198" i="12"/>
  <c r="J417" i="25"/>
  <c r="O417" i="25"/>
  <c r="P417" i="25"/>
  <c r="Q417" i="25"/>
  <c r="R417" i="25"/>
  <c r="N417" i="25"/>
  <c r="W417" i="25"/>
  <c r="M199" i="12"/>
  <c r="J418" i="25"/>
  <c r="O418" i="25"/>
  <c r="P418" i="25"/>
  <c r="Q418" i="25"/>
  <c r="R418" i="25"/>
  <c r="N418" i="25"/>
  <c r="W418" i="25"/>
  <c r="M200" i="12"/>
  <c r="J419" i="25"/>
  <c r="O419" i="25"/>
  <c r="P419" i="25"/>
  <c r="Q419" i="25"/>
  <c r="R419" i="25"/>
  <c r="N419" i="25"/>
  <c r="W419" i="25"/>
  <c r="M201" i="12"/>
  <c r="J420" i="25"/>
  <c r="O420" i="25"/>
  <c r="P420" i="25"/>
  <c r="Q420" i="25"/>
  <c r="R420" i="25"/>
  <c r="N420" i="25"/>
  <c r="W420" i="25"/>
  <c r="M202" i="12"/>
  <c r="J421" i="25"/>
  <c r="O421" i="25"/>
  <c r="P421" i="25"/>
  <c r="Q421" i="25"/>
  <c r="R421" i="25"/>
  <c r="N421" i="25"/>
  <c r="W421" i="25"/>
  <c r="M203" i="12"/>
  <c r="J422" i="25"/>
  <c r="O422" i="25"/>
  <c r="P422" i="25"/>
  <c r="Q422" i="25"/>
  <c r="R422" i="25"/>
  <c r="N422" i="25"/>
  <c r="W422" i="25"/>
  <c r="M204" i="12"/>
  <c r="J423" i="25"/>
  <c r="O423" i="25"/>
  <c r="P423" i="25"/>
  <c r="Q423" i="25"/>
  <c r="R423" i="25"/>
  <c r="N423" i="25"/>
  <c r="W423" i="25"/>
  <c r="M205" i="12"/>
  <c r="J424" i="25"/>
  <c r="O424" i="25"/>
  <c r="P424" i="25"/>
  <c r="Q424" i="25"/>
  <c r="R424" i="25"/>
  <c r="N424" i="25"/>
  <c r="W424" i="25"/>
  <c r="M206" i="12"/>
  <c r="J425" i="25"/>
  <c r="O425" i="25"/>
  <c r="P425" i="25"/>
  <c r="Q425" i="25"/>
  <c r="R425" i="25"/>
  <c r="N425" i="25"/>
  <c r="W425" i="25"/>
  <c r="M207" i="12"/>
  <c r="J426" i="25"/>
  <c r="O426" i="25"/>
  <c r="P426" i="25"/>
  <c r="Q426" i="25"/>
  <c r="R426" i="25"/>
  <c r="N426" i="25"/>
  <c r="W426" i="25"/>
  <c r="M208" i="12"/>
  <c r="J427" i="25"/>
  <c r="O427" i="25"/>
  <c r="P427" i="25"/>
  <c r="Q427" i="25"/>
  <c r="R427" i="25"/>
  <c r="N427" i="25"/>
  <c r="W427" i="25"/>
  <c r="M209" i="12"/>
  <c r="J428" i="25"/>
  <c r="O428" i="25"/>
  <c r="P428" i="25"/>
  <c r="Q428" i="25"/>
  <c r="R428" i="25"/>
  <c r="N428" i="25"/>
  <c r="W428" i="25"/>
  <c r="M210" i="12"/>
  <c r="J429" i="25"/>
  <c r="O429" i="25"/>
  <c r="P429" i="25"/>
  <c r="Q429" i="25"/>
  <c r="R429" i="25"/>
  <c r="N429" i="25"/>
  <c r="W429" i="25"/>
  <c r="M211" i="12"/>
  <c r="J430" i="25"/>
  <c r="O430" i="25"/>
  <c r="P430" i="25"/>
  <c r="Q430" i="25"/>
  <c r="R430" i="25"/>
  <c r="N430" i="25"/>
  <c r="W430" i="25"/>
  <c r="M212" i="12"/>
  <c r="J431" i="25"/>
  <c r="O431" i="25"/>
  <c r="P431" i="25"/>
  <c r="Q431" i="25"/>
  <c r="R431" i="25"/>
  <c r="N431" i="25"/>
  <c r="W431" i="25"/>
  <c r="M213" i="12"/>
  <c r="J432" i="25"/>
  <c r="O432" i="25"/>
  <c r="P432" i="25"/>
  <c r="Q432" i="25"/>
  <c r="R432" i="25"/>
  <c r="N432" i="25"/>
  <c r="W432" i="25"/>
  <c r="M214" i="12"/>
  <c r="J433" i="25"/>
  <c r="O433" i="25"/>
  <c r="P433" i="25"/>
  <c r="Q433" i="25"/>
  <c r="R433" i="25"/>
  <c r="N433" i="25"/>
  <c r="W433" i="25"/>
  <c r="M215" i="12"/>
  <c r="J434" i="25"/>
  <c r="O434" i="25"/>
  <c r="P434" i="25"/>
  <c r="Q434" i="25"/>
  <c r="R434" i="25"/>
  <c r="N434" i="25"/>
  <c r="W434" i="25"/>
  <c r="M216" i="12"/>
  <c r="J435" i="25"/>
  <c r="O435" i="25"/>
  <c r="P435" i="25"/>
  <c r="Q435" i="25"/>
  <c r="R435" i="25"/>
  <c r="N435" i="25"/>
  <c r="W435" i="25"/>
  <c r="M217" i="12"/>
  <c r="J436" i="25"/>
  <c r="O436" i="25"/>
  <c r="P436" i="25"/>
  <c r="Q436" i="25"/>
  <c r="R436" i="25"/>
  <c r="N436" i="25"/>
  <c r="W436" i="25"/>
  <c r="M218" i="12"/>
  <c r="J437" i="25"/>
  <c r="O437" i="25"/>
  <c r="P437" i="25"/>
  <c r="Q437" i="25"/>
  <c r="R437" i="25"/>
  <c r="N437" i="25"/>
  <c r="W437" i="25"/>
  <c r="M219" i="12"/>
  <c r="J438" i="25"/>
  <c r="O438" i="25"/>
  <c r="P438" i="25"/>
  <c r="Q438" i="25"/>
  <c r="R438" i="25"/>
  <c r="N438" i="25"/>
  <c r="W438" i="25"/>
  <c r="M220" i="12"/>
  <c r="J439" i="25"/>
  <c r="O439" i="25"/>
  <c r="P439" i="25"/>
  <c r="Q439" i="25"/>
  <c r="R439" i="25"/>
  <c r="N439" i="25"/>
  <c r="W439" i="25"/>
  <c r="M221" i="12"/>
  <c r="J440" i="25"/>
  <c r="O440" i="25"/>
  <c r="P440" i="25"/>
  <c r="Q440" i="25"/>
  <c r="R440" i="25"/>
  <c r="N440" i="25"/>
  <c r="W440" i="25"/>
  <c r="M222" i="12"/>
  <c r="J441" i="25"/>
  <c r="O441" i="25"/>
  <c r="P441" i="25"/>
  <c r="Q441" i="25"/>
  <c r="R441" i="25"/>
  <c r="N441" i="25"/>
  <c r="W441" i="25"/>
  <c r="O3" i="12"/>
  <c r="J442" i="25"/>
  <c r="O442" i="25"/>
  <c r="P442" i="25"/>
  <c r="Q442" i="25"/>
  <c r="R442" i="25"/>
  <c r="N442" i="25"/>
  <c r="W442" i="25"/>
  <c r="O4" i="12"/>
  <c r="J443" i="25"/>
  <c r="O443" i="25"/>
  <c r="P443" i="25"/>
  <c r="Q443" i="25"/>
  <c r="R443" i="25"/>
  <c r="N443" i="25"/>
  <c r="W443" i="25"/>
  <c r="O5" i="12"/>
  <c r="J444" i="25"/>
  <c r="O444" i="25"/>
  <c r="P444" i="25"/>
  <c r="Q444" i="25"/>
  <c r="R444" i="25"/>
  <c r="N444" i="25"/>
  <c r="W444" i="25"/>
  <c r="O6" i="12"/>
  <c r="J445" i="25"/>
  <c r="O445" i="25"/>
  <c r="P445" i="25"/>
  <c r="Q445" i="25"/>
  <c r="R445" i="25"/>
  <c r="N445" i="25"/>
  <c r="W445" i="25"/>
  <c r="O7" i="12"/>
  <c r="J446" i="25"/>
  <c r="O446" i="25"/>
  <c r="P446" i="25"/>
  <c r="Q446" i="25"/>
  <c r="R446" i="25"/>
  <c r="N446" i="25"/>
  <c r="W446" i="25"/>
  <c r="O8" i="12"/>
  <c r="J447" i="25"/>
  <c r="O447" i="25"/>
  <c r="P447" i="25"/>
  <c r="Q447" i="25"/>
  <c r="R447" i="25"/>
  <c r="N447" i="25"/>
  <c r="W447" i="25"/>
  <c r="O9" i="12"/>
  <c r="J448" i="25"/>
  <c r="O448" i="25"/>
  <c r="P448" i="25"/>
  <c r="Q448" i="25"/>
  <c r="R448" i="25"/>
  <c r="N448" i="25"/>
  <c r="W448" i="25"/>
  <c r="O10" i="12"/>
  <c r="J449" i="25"/>
  <c r="O449" i="25"/>
  <c r="P449" i="25"/>
  <c r="Q449" i="25"/>
  <c r="R449" i="25"/>
  <c r="N449" i="25"/>
  <c r="W449" i="25"/>
  <c r="O11" i="12"/>
  <c r="J450" i="25"/>
  <c r="O450" i="25"/>
  <c r="P450" i="25"/>
  <c r="Q450" i="25"/>
  <c r="R450" i="25"/>
  <c r="N450" i="25"/>
  <c r="W450" i="25"/>
  <c r="O12" i="12"/>
  <c r="J451" i="25"/>
  <c r="O451" i="25"/>
  <c r="P451" i="25"/>
  <c r="Q451" i="25"/>
  <c r="R451" i="25"/>
  <c r="N451" i="25"/>
  <c r="W451" i="25"/>
  <c r="O13" i="12"/>
  <c r="J452" i="25"/>
  <c r="O452" i="25"/>
  <c r="P452" i="25"/>
  <c r="Q452" i="25"/>
  <c r="R452" i="25"/>
  <c r="N452" i="25"/>
  <c r="W452" i="25"/>
  <c r="O14" i="12"/>
  <c r="J453" i="25"/>
  <c r="O453" i="25"/>
  <c r="P453" i="25"/>
  <c r="Q453" i="25"/>
  <c r="R453" i="25"/>
  <c r="N453" i="25"/>
  <c r="W453" i="25"/>
  <c r="O15" i="12"/>
  <c r="J454" i="25"/>
  <c r="O454" i="25"/>
  <c r="P454" i="25"/>
  <c r="Q454" i="25"/>
  <c r="R454" i="25"/>
  <c r="N454" i="25"/>
  <c r="W454" i="25"/>
  <c r="O16" i="12"/>
  <c r="J455" i="25"/>
  <c r="O455" i="25"/>
  <c r="P455" i="25"/>
  <c r="Q455" i="25"/>
  <c r="R455" i="25"/>
  <c r="N455" i="25"/>
  <c r="W455" i="25"/>
  <c r="O17" i="12"/>
  <c r="J456" i="25"/>
  <c r="O456" i="25"/>
  <c r="P456" i="25"/>
  <c r="Q456" i="25"/>
  <c r="R456" i="25"/>
  <c r="N456" i="25"/>
  <c r="W456" i="25"/>
  <c r="O18" i="12"/>
  <c r="J457" i="25"/>
  <c r="O457" i="25"/>
  <c r="P457" i="25"/>
  <c r="Q457" i="25"/>
  <c r="R457" i="25"/>
  <c r="N457" i="25"/>
  <c r="W457" i="25"/>
  <c r="O19" i="12"/>
  <c r="J458" i="25"/>
  <c r="O458" i="25"/>
  <c r="P458" i="25"/>
  <c r="Q458" i="25"/>
  <c r="R458" i="25"/>
  <c r="N458" i="25"/>
  <c r="W458" i="25"/>
  <c r="O20" i="12"/>
  <c r="J459" i="25"/>
  <c r="O459" i="25"/>
  <c r="P459" i="25"/>
  <c r="Q459" i="25"/>
  <c r="R459" i="25"/>
  <c r="N459" i="25"/>
  <c r="W459" i="25"/>
  <c r="O21" i="12"/>
  <c r="J460" i="25"/>
  <c r="O460" i="25"/>
  <c r="P460" i="25"/>
  <c r="Q460" i="25"/>
  <c r="R460" i="25"/>
  <c r="N460" i="25"/>
  <c r="W460" i="25"/>
  <c r="O22" i="12"/>
  <c r="J461" i="25"/>
  <c r="O461" i="25"/>
  <c r="P461" i="25"/>
  <c r="Q461" i="25"/>
  <c r="R461" i="25"/>
  <c r="N461" i="25"/>
  <c r="W461" i="25"/>
  <c r="O23" i="12"/>
  <c r="J462" i="25"/>
  <c r="O462" i="25"/>
  <c r="P462" i="25"/>
  <c r="Q462" i="25"/>
  <c r="R462" i="25"/>
  <c r="N462" i="25"/>
  <c r="W462" i="25"/>
  <c r="O24" i="12"/>
  <c r="J463" i="25"/>
  <c r="O463" i="25"/>
  <c r="P463" i="25"/>
  <c r="Q463" i="25"/>
  <c r="R463" i="25"/>
  <c r="N463" i="25"/>
  <c r="W463" i="25"/>
  <c r="O25" i="12"/>
  <c r="J464" i="25"/>
  <c r="O464" i="25"/>
  <c r="P464" i="25"/>
  <c r="Q464" i="25"/>
  <c r="R464" i="25"/>
  <c r="N464" i="25"/>
  <c r="W464" i="25"/>
  <c r="O26" i="12"/>
  <c r="J465" i="25"/>
  <c r="O465" i="25"/>
  <c r="P465" i="25"/>
  <c r="Q465" i="25"/>
  <c r="R465" i="25"/>
  <c r="N465" i="25"/>
  <c r="W465" i="25"/>
  <c r="O27" i="12"/>
  <c r="J466" i="25"/>
  <c r="O466" i="25"/>
  <c r="P466" i="25"/>
  <c r="Q466" i="25"/>
  <c r="R466" i="25"/>
  <c r="N466" i="25"/>
  <c r="W466" i="25"/>
  <c r="O28" i="12"/>
  <c r="J467" i="25"/>
  <c r="O467" i="25"/>
  <c r="P467" i="25"/>
  <c r="Q467" i="25"/>
  <c r="R467" i="25"/>
  <c r="N467" i="25"/>
  <c r="W467" i="25"/>
  <c r="O29" i="12"/>
  <c r="J468" i="25"/>
  <c r="O468" i="25"/>
  <c r="P468" i="25"/>
  <c r="Q468" i="25"/>
  <c r="R468" i="25"/>
  <c r="N468" i="25"/>
  <c r="W468" i="25"/>
  <c r="O30" i="12"/>
  <c r="J469" i="25"/>
  <c r="O469" i="25"/>
  <c r="P469" i="25"/>
  <c r="Q469" i="25"/>
  <c r="R469" i="25"/>
  <c r="N469" i="25"/>
  <c r="W469" i="25"/>
  <c r="O31" i="12"/>
  <c r="J470" i="25"/>
  <c r="O470" i="25"/>
  <c r="P470" i="25"/>
  <c r="Q470" i="25"/>
  <c r="R470" i="25"/>
  <c r="N470" i="25"/>
  <c r="W470" i="25"/>
  <c r="O32" i="12"/>
  <c r="J471" i="25"/>
  <c r="O471" i="25"/>
  <c r="P471" i="25"/>
  <c r="Q471" i="25"/>
  <c r="R471" i="25"/>
  <c r="N471" i="25"/>
  <c r="W471" i="25"/>
  <c r="O33" i="12"/>
  <c r="J472" i="25"/>
  <c r="O472" i="25"/>
  <c r="P472" i="25"/>
  <c r="Q472" i="25"/>
  <c r="R472" i="25"/>
  <c r="N472" i="25"/>
  <c r="W472" i="25"/>
  <c r="O34" i="12"/>
  <c r="J473" i="25"/>
  <c r="O473" i="25"/>
  <c r="P473" i="25"/>
  <c r="Q473" i="25"/>
  <c r="R473" i="25"/>
  <c r="N473" i="25"/>
  <c r="W473" i="25"/>
  <c r="O35" i="12"/>
  <c r="J474" i="25"/>
  <c r="O474" i="25"/>
  <c r="P474" i="25"/>
  <c r="Q474" i="25"/>
  <c r="R474" i="25"/>
  <c r="N474" i="25"/>
  <c r="W474" i="25"/>
  <c r="O36" i="12"/>
  <c r="J475" i="25"/>
  <c r="O475" i="25"/>
  <c r="P475" i="25"/>
  <c r="Q475" i="25"/>
  <c r="R475" i="25"/>
  <c r="N475" i="25"/>
  <c r="W475" i="25"/>
  <c r="O37" i="12"/>
  <c r="J476" i="25"/>
  <c r="O476" i="25"/>
  <c r="P476" i="25"/>
  <c r="Q476" i="25"/>
  <c r="R476" i="25"/>
  <c r="N476" i="25"/>
  <c r="W476" i="25"/>
  <c r="O38" i="12"/>
  <c r="J477" i="25"/>
  <c r="O477" i="25"/>
  <c r="P477" i="25"/>
  <c r="Q477" i="25"/>
  <c r="R477" i="25"/>
  <c r="N477" i="25"/>
  <c r="W477" i="25"/>
  <c r="O39" i="12"/>
  <c r="J478" i="25"/>
  <c r="O478" i="25"/>
  <c r="P478" i="25"/>
  <c r="Q478" i="25"/>
  <c r="R478" i="25"/>
  <c r="N478" i="25"/>
  <c r="W478" i="25"/>
  <c r="O40" i="12"/>
  <c r="J479" i="25"/>
  <c r="O479" i="25"/>
  <c r="P479" i="25"/>
  <c r="Q479" i="25"/>
  <c r="R479" i="25"/>
  <c r="N479" i="25"/>
  <c r="W479" i="25"/>
  <c r="O41" i="12"/>
  <c r="J480" i="25"/>
  <c r="O480" i="25"/>
  <c r="P480" i="25"/>
  <c r="Q480" i="25"/>
  <c r="R480" i="25"/>
  <c r="N480" i="25"/>
  <c r="W480" i="25"/>
  <c r="O42" i="12"/>
  <c r="J481" i="25"/>
  <c r="O481" i="25"/>
  <c r="P481" i="25"/>
  <c r="Q481" i="25"/>
  <c r="R481" i="25"/>
  <c r="N481" i="25"/>
  <c r="W481" i="25"/>
  <c r="O43" i="12"/>
  <c r="J482" i="25"/>
  <c r="O482" i="25"/>
  <c r="P482" i="25"/>
  <c r="Q482" i="25"/>
  <c r="R482" i="25"/>
  <c r="N482" i="25"/>
  <c r="W482" i="25"/>
  <c r="O44" i="12"/>
  <c r="J483" i="25"/>
  <c r="O483" i="25"/>
  <c r="P483" i="25"/>
  <c r="Q483" i="25"/>
  <c r="R483" i="25"/>
  <c r="N483" i="25"/>
  <c r="W483" i="25"/>
  <c r="O45" i="12"/>
  <c r="J484" i="25"/>
  <c r="O484" i="25"/>
  <c r="P484" i="25"/>
  <c r="Q484" i="25"/>
  <c r="R484" i="25"/>
  <c r="N484" i="25"/>
  <c r="W484" i="25"/>
  <c r="O46" i="12"/>
  <c r="J485" i="25"/>
  <c r="O485" i="25"/>
  <c r="P485" i="25"/>
  <c r="Q485" i="25"/>
  <c r="R485" i="25"/>
  <c r="N485" i="25"/>
  <c r="W485" i="25"/>
  <c r="O47" i="12"/>
  <c r="J486" i="25"/>
  <c r="O486" i="25"/>
  <c r="P486" i="25"/>
  <c r="Q486" i="25"/>
  <c r="R486" i="25"/>
  <c r="N486" i="25"/>
  <c r="W486" i="25"/>
  <c r="O48" i="12"/>
  <c r="J487" i="25"/>
  <c r="O487" i="25"/>
  <c r="P487" i="25"/>
  <c r="Q487" i="25"/>
  <c r="R487" i="25"/>
  <c r="N487" i="25"/>
  <c r="W487" i="25"/>
  <c r="O49" i="12"/>
  <c r="J488" i="25"/>
  <c r="O488" i="25"/>
  <c r="P488" i="25"/>
  <c r="Q488" i="25"/>
  <c r="R488" i="25"/>
  <c r="N488" i="25"/>
  <c r="W488" i="25"/>
  <c r="O50" i="12"/>
  <c r="J489" i="25"/>
  <c r="O489" i="25"/>
  <c r="P489" i="25"/>
  <c r="Q489" i="25"/>
  <c r="R489" i="25"/>
  <c r="N489" i="25"/>
  <c r="W489" i="25"/>
  <c r="O51" i="12"/>
  <c r="J490" i="25"/>
  <c r="O490" i="25"/>
  <c r="P490" i="25"/>
  <c r="Q490" i="25"/>
  <c r="R490" i="25"/>
  <c r="N490" i="25"/>
  <c r="W490" i="25"/>
  <c r="O52" i="12"/>
  <c r="J491" i="25"/>
  <c r="O491" i="25"/>
  <c r="P491" i="25"/>
  <c r="Q491" i="25"/>
  <c r="R491" i="25"/>
  <c r="N491" i="25"/>
  <c r="W491" i="25"/>
  <c r="O53" i="12"/>
  <c r="J492" i="25"/>
  <c r="O492" i="25"/>
  <c r="P492" i="25"/>
  <c r="Q492" i="25"/>
  <c r="R492" i="25"/>
  <c r="N492" i="25"/>
  <c r="W492" i="25"/>
  <c r="O54" i="12"/>
  <c r="J493" i="25"/>
  <c r="O493" i="25"/>
  <c r="P493" i="25"/>
  <c r="Q493" i="25"/>
  <c r="R493" i="25"/>
  <c r="N493" i="25"/>
  <c r="W493" i="25"/>
  <c r="O55" i="12"/>
  <c r="J494" i="25"/>
  <c r="O494" i="25"/>
  <c r="P494" i="25"/>
  <c r="Q494" i="25"/>
  <c r="R494" i="25"/>
  <c r="N494" i="25"/>
  <c r="W494" i="25"/>
  <c r="O56" i="12"/>
  <c r="J495" i="25"/>
  <c r="O495" i="25"/>
  <c r="P495" i="25"/>
  <c r="Q495" i="25"/>
  <c r="R495" i="25"/>
  <c r="N495" i="25"/>
  <c r="W495" i="25"/>
  <c r="O57" i="12"/>
  <c r="J496" i="25"/>
  <c r="O496" i="25"/>
  <c r="P496" i="25"/>
  <c r="Q496" i="25"/>
  <c r="R496" i="25"/>
  <c r="N496" i="25"/>
  <c r="W496" i="25"/>
  <c r="O58" i="12"/>
  <c r="J497" i="25"/>
  <c r="O497" i="25"/>
  <c r="P497" i="25"/>
  <c r="Q497" i="25"/>
  <c r="R497" i="25"/>
  <c r="N497" i="25"/>
  <c r="W497" i="25"/>
  <c r="O59" i="12"/>
  <c r="J498" i="25"/>
  <c r="O498" i="25"/>
  <c r="P498" i="25"/>
  <c r="Q498" i="25"/>
  <c r="R498" i="25"/>
  <c r="N498" i="25"/>
  <c r="W498" i="25"/>
  <c r="O60" i="12"/>
  <c r="J499" i="25"/>
  <c r="O499" i="25"/>
  <c r="P499" i="25"/>
  <c r="Q499" i="25"/>
  <c r="R499" i="25"/>
  <c r="N499" i="25"/>
  <c r="W499" i="25"/>
  <c r="O61" i="12"/>
  <c r="J500" i="25"/>
  <c r="O500" i="25"/>
  <c r="P500" i="25"/>
  <c r="Q500" i="25"/>
  <c r="R500" i="25"/>
  <c r="N500" i="25"/>
  <c r="W500" i="25"/>
  <c r="O62" i="12"/>
  <c r="J501" i="25"/>
  <c r="O501" i="25"/>
  <c r="P501" i="25"/>
  <c r="Q501" i="25"/>
  <c r="R501" i="25"/>
  <c r="N501" i="25"/>
  <c r="W501" i="25"/>
  <c r="O63" i="12"/>
  <c r="J502" i="25"/>
  <c r="O502" i="25"/>
  <c r="P502" i="25"/>
  <c r="Q502" i="25"/>
  <c r="R502" i="25"/>
  <c r="N502" i="25"/>
  <c r="W502" i="25"/>
  <c r="O64" i="12"/>
  <c r="J503" i="25"/>
  <c r="O503" i="25"/>
  <c r="P503" i="25"/>
  <c r="Q503" i="25"/>
  <c r="R503" i="25"/>
  <c r="N503" i="25"/>
  <c r="W503" i="25"/>
  <c r="O65" i="12"/>
  <c r="J504" i="25"/>
  <c r="O504" i="25"/>
  <c r="P504" i="25"/>
  <c r="Q504" i="25"/>
  <c r="R504" i="25"/>
  <c r="N504" i="25"/>
  <c r="W504" i="25"/>
  <c r="O66" i="12"/>
  <c r="J505" i="25"/>
  <c r="O505" i="25"/>
  <c r="P505" i="25"/>
  <c r="Q505" i="25"/>
  <c r="R505" i="25"/>
  <c r="N505" i="25"/>
  <c r="W505" i="25"/>
  <c r="O67" i="12"/>
  <c r="J506" i="25"/>
  <c r="O506" i="25"/>
  <c r="P506" i="25"/>
  <c r="Q506" i="25"/>
  <c r="R506" i="25"/>
  <c r="N506" i="25"/>
  <c r="W506" i="25"/>
  <c r="O68" i="12"/>
  <c r="J507" i="25"/>
  <c r="O507" i="25"/>
  <c r="P507" i="25"/>
  <c r="Q507" i="25"/>
  <c r="R507" i="25"/>
  <c r="N507" i="25"/>
  <c r="W507" i="25"/>
  <c r="O69" i="12"/>
  <c r="J508" i="25"/>
  <c r="O508" i="25"/>
  <c r="P508" i="25"/>
  <c r="Q508" i="25"/>
  <c r="R508" i="25"/>
  <c r="N508" i="25"/>
  <c r="W508" i="25"/>
  <c r="O70" i="12"/>
  <c r="J509" i="25"/>
  <c r="O509" i="25"/>
  <c r="P509" i="25"/>
  <c r="Q509" i="25"/>
  <c r="R509" i="25"/>
  <c r="N509" i="25"/>
  <c r="W509" i="25"/>
  <c r="O71" i="12"/>
  <c r="J510" i="25"/>
  <c r="O510" i="25"/>
  <c r="P510" i="25"/>
  <c r="Q510" i="25"/>
  <c r="R510" i="25"/>
  <c r="N510" i="25"/>
  <c r="W510" i="25"/>
  <c r="O72" i="12"/>
  <c r="J511" i="25"/>
  <c r="O511" i="25"/>
  <c r="P511" i="25"/>
  <c r="Q511" i="25"/>
  <c r="R511" i="25"/>
  <c r="N511" i="25"/>
  <c r="W511" i="25"/>
  <c r="O73" i="12"/>
  <c r="J512" i="25"/>
  <c r="O512" i="25"/>
  <c r="P512" i="25"/>
  <c r="Q512" i="25"/>
  <c r="R512" i="25"/>
  <c r="N512" i="25"/>
  <c r="W512" i="25"/>
  <c r="O74" i="12"/>
  <c r="J513" i="25"/>
  <c r="O513" i="25"/>
  <c r="P513" i="25"/>
  <c r="Q513" i="25"/>
  <c r="R513" i="25"/>
  <c r="N513" i="25"/>
  <c r="W513" i="25"/>
  <c r="O75" i="12"/>
  <c r="J514" i="25"/>
  <c r="O514" i="25"/>
  <c r="P514" i="25"/>
  <c r="Q514" i="25"/>
  <c r="R514" i="25"/>
  <c r="N514" i="25"/>
  <c r="W514" i="25"/>
  <c r="O76" i="12"/>
  <c r="J515" i="25"/>
  <c r="O515" i="25"/>
  <c r="P515" i="25"/>
  <c r="Q515" i="25"/>
  <c r="R515" i="25"/>
  <c r="N515" i="25"/>
  <c r="W515" i="25"/>
  <c r="O77" i="12"/>
  <c r="J516" i="25"/>
  <c r="O516" i="25"/>
  <c r="P516" i="25"/>
  <c r="Q516" i="25"/>
  <c r="R516" i="25"/>
  <c r="N516" i="25"/>
  <c r="W516" i="25"/>
  <c r="O78" i="12"/>
  <c r="J517" i="25"/>
  <c r="O517" i="25"/>
  <c r="P517" i="25"/>
  <c r="Q517" i="25"/>
  <c r="R517" i="25"/>
  <c r="N517" i="25"/>
  <c r="W517" i="25"/>
  <c r="O79" i="12"/>
  <c r="J518" i="25"/>
  <c r="O518" i="25"/>
  <c r="P518" i="25"/>
  <c r="Q518" i="25"/>
  <c r="R518" i="25"/>
  <c r="N518" i="25"/>
  <c r="W518" i="25"/>
  <c r="O80" i="12"/>
  <c r="J519" i="25"/>
  <c r="O519" i="25"/>
  <c r="P519" i="25"/>
  <c r="Q519" i="25"/>
  <c r="R519" i="25"/>
  <c r="N519" i="25"/>
  <c r="W519" i="25"/>
  <c r="O81" i="12"/>
  <c r="J520" i="25"/>
  <c r="O520" i="25"/>
  <c r="P520" i="25"/>
  <c r="Q520" i="25"/>
  <c r="R520" i="25"/>
  <c r="N520" i="25"/>
  <c r="W520" i="25"/>
  <c r="O82" i="12"/>
  <c r="J521" i="25"/>
  <c r="O521" i="25"/>
  <c r="P521" i="25"/>
  <c r="Q521" i="25"/>
  <c r="R521" i="25"/>
  <c r="N521" i="25"/>
  <c r="W521" i="25"/>
  <c r="O83" i="12"/>
  <c r="J522" i="25"/>
  <c r="O522" i="25"/>
  <c r="P522" i="25"/>
  <c r="Q522" i="25"/>
  <c r="R522" i="25"/>
  <c r="N522" i="25"/>
  <c r="W522" i="25"/>
  <c r="O84" i="12"/>
  <c r="J523" i="25"/>
  <c r="O523" i="25"/>
  <c r="P523" i="25"/>
  <c r="Q523" i="25"/>
  <c r="R523" i="25"/>
  <c r="N523" i="25"/>
  <c r="W523" i="25"/>
  <c r="O85" i="12"/>
  <c r="J524" i="25"/>
  <c r="O524" i="25"/>
  <c r="P524" i="25"/>
  <c r="Q524" i="25"/>
  <c r="R524" i="25"/>
  <c r="N524" i="25"/>
  <c r="W524" i="25"/>
  <c r="O86" i="12"/>
  <c r="J525" i="25"/>
  <c r="O525" i="25"/>
  <c r="P525" i="25"/>
  <c r="Q525" i="25"/>
  <c r="R525" i="25"/>
  <c r="N525" i="25"/>
  <c r="W525" i="25"/>
  <c r="O87" i="12"/>
  <c r="J526" i="25"/>
  <c r="O526" i="25"/>
  <c r="P526" i="25"/>
  <c r="Q526" i="25"/>
  <c r="R526" i="25"/>
  <c r="N526" i="25"/>
  <c r="W526" i="25"/>
  <c r="O88" i="12"/>
  <c r="J527" i="25"/>
  <c r="O527" i="25"/>
  <c r="P527" i="25"/>
  <c r="Q527" i="25"/>
  <c r="R527" i="25"/>
  <c r="N527" i="25"/>
  <c r="W527" i="25"/>
  <c r="O89" i="12"/>
  <c r="J528" i="25"/>
  <c r="O528" i="25"/>
  <c r="P528" i="25"/>
  <c r="Q528" i="25"/>
  <c r="R528" i="25"/>
  <c r="N528" i="25"/>
  <c r="W528" i="25"/>
  <c r="O90" i="12"/>
  <c r="J529" i="25"/>
  <c r="O529" i="25"/>
  <c r="P529" i="25"/>
  <c r="Q529" i="25"/>
  <c r="R529" i="25"/>
  <c r="N529" i="25"/>
  <c r="W529" i="25"/>
  <c r="O91" i="12"/>
  <c r="J530" i="25"/>
  <c r="O530" i="25"/>
  <c r="P530" i="25"/>
  <c r="Q530" i="25"/>
  <c r="R530" i="25"/>
  <c r="N530" i="25"/>
  <c r="W530" i="25"/>
  <c r="O92" i="12"/>
  <c r="J531" i="25"/>
  <c r="O531" i="25"/>
  <c r="P531" i="25"/>
  <c r="Q531" i="25"/>
  <c r="R531" i="25"/>
  <c r="N531" i="25"/>
  <c r="W531" i="25"/>
  <c r="O93" i="12"/>
  <c r="J532" i="25"/>
  <c r="O532" i="25"/>
  <c r="P532" i="25"/>
  <c r="Q532" i="25"/>
  <c r="R532" i="25"/>
  <c r="N532" i="25"/>
  <c r="W532" i="25"/>
  <c r="O94" i="12"/>
  <c r="J533" i="25"/>
  <c r="O533" i="25"/>
  <c r="P533" i="25"/>
  <c r="Q533" i="25"/>
  <c r="R533" i="25"/>
  <c r="N533" i="25"/>
  <c r="W533" i="25"/>
  <c r="O95" i="12"/>
  <c r="J534" i="25"/>
  <c r="O534" i="25"/>
  <c r="P534" i="25"/>
  <c r="Q534" i="25"/>
  <c r="R534" i="25"/>
  <c r="N534" i="25"/>
  <c r="W534" i="25"/>
  <c r="O96" i="12"/>
  <c r="J535" i="25"/>
  <c r="O535" i="25"/>
  <c r="P535" i="25"/>
  <c r="Q535" i="25"/>
  <c r="R535" i="25"/>
  <c r="N535" i="25"/>
  <c r="W535" i="25"/>
  <c r="O97" i="12"/>
  <c r="J536" i="25"/>
  <c r="O536" i="25"/>
  <c r="P536" i="25"/>
  <c r="Q536" i="25"/>
  <c r="R536" i="25"/>
  <c r="N536" i="25"/>
  <c r="W536" i="25"/>
  <c r="O98" i="12"/>
  <c r="J537" i="25"/>
  <c r="O537" i="25"/>
  <c r="P537" i="25"/>
  <c r="Q537" i="25"/>
  <c r="R537" i="25"/>
  <c r="N537" i="25"/>
  <c r="W537" i="25"/>
  <c r="O99" i="12"/>
  <c r="J538" i="25"/>
  <c r="O538" i="25"/>
  <c r="P538" i="25"/>
  <c r="Q538" i="25"/>
  <c r="R538" i="25"/>
  <c r="N538" i="25"/>
  <c r="W538" i="25"/>
  <c r="O100" i="12"/>
  <c r="J539" i="25"/>
  <c r="O539" i="25"/>
  <c r="P539" i="25"/>
  <c r="Q539" i="25"/>
  <c r="R539" i="25"/>
  <c r="N539" i="25"/>
  <c r="W539" i="25"/>
  <c r="O101" i="12"/>
  <c r="J540" i="25"/>
  <c r="O540" i="25"/>
  <c r="P540" i="25"/>
  <c r="Q540" i="25"/>
  <c r="R540" i="25"/>
  <c r="N540" i="25"/>
  <c r="W540" i="25"/>
  <c r="O102" i="12"/>
  <c r="J541" i="25"/>
  <c r="O541" i="25"/>
  <c r="P541" i="25"/>
  <c r="Q541" i="25"/>
  <c r="R541" i="25"/>
  <c r="N541" i="25"/>
  <c r="W541" i="25"/>
  <c r="O103" i="12"/>
  <c r="J542" i="25"/>
  <c r="O542" i="25"/>
  <c r="P542" i="25"/>
  <c r="Q542" i="25"/>
  <c r="R542" i="25"/>
  <c r="N542" i="25"/>
  <c r="W542" i="25"/>
  <c r="O104" i="12"/>
  <c r="J543" i="25"/>
  <c r="O543" i="25"/>
  <c r="P543" i="25"/>
  <c r="Q543" i="25"/>
  <c r="R543" i="25"/>
  <c r="N543" i="25"/>
  <c r="W543" i="25"/>
  <c r="O105" i="12"/>
  <c r="J544" i="25"/>
  <c r="O544" i="25"/>
  <c r="P544" i="25"/>
  <c r="Q544" i="25"/>
  <c r="R544" i="25"/>
  <c r="N544" i="25"/>
  <c r="W544" i="25"/>
  <c r="O106" i="12"/>
  <c r="J545" i="25"/>
  <c r="O545" i="25"/>
  <c r="P545" i="25"/>
  <c r="Q545" i="25"/>
  <c r="R545" i="25"/>
  <c r="N545" i="25"/>
  <c r="W545" i="25"/>
  <c r="O107" i="12"/>
  <c r="J546" i="25"/>
  <c r="O546" i="25"/>
  <c r="P546" i="25"/>
  <c r="Q546" i="25"/>
  <c r="R546" i="25"/>
  <c r="N546" i="25"/>
  <c r="W546" i="25"/>
  <c r="O108" i="12"/>
  <c r="J547" i="25"/>
  <c r="O547" i="25"/>
  <c r="P547" i="25"/>
  <c r="Q547" i="25"/>
  <c r="R547" i="25"/>
  <c r="N547" i="25"/>
  <c r="W547" i="25"/>
  <c r="O109" i="12"/>
  <c r="J548" i="25"/>
  <c r="O548" i="25"/>
  <c r="P548" i="25"/>
  <c r="Q548" i="25"/>
  <c r="R548" i="25"/>
  <c r="N548" i="25"/>
  <c r="W548" i="25"/>
  <c r="O110" i="12"/>
  <c r="J549" i="25"/>
  <c r="O549" i="25"/>
  <c r="P549" i="25"/>
  <c r="Q549" i="25"/>
  <c r="R549" i="25"/>
  <c r="N549" i="25"/>
  <c r="W549" i="25"/>
  <c r="O111" i="12"/>
  <c r="J550" i="25"/>
  <c r="O550" i="25"/>
  <c r="P550" i="25"/>
  <c r="Q550" i="25"/>
  <c r="R550" i="25"/>
  <c r="N550" i="25"/>
  <c r="W550" i="25"/>
  <c r="O112" i="12"/>
  <c r="J551" i="25"/>
  <c r="O551" i="25"/>
  <c r="P551" i="25"/>
  <c r="Q551" i="25"/>
  <c r="R551" i="25"/>
  <c r="N551" i="25"/>
  <c r="W551" i="25"/>
  <c r="O113" i="12"/>
  <c r="J552" i="25"/>
  <c r="O552" i="25"/>
  <c r="P552" i="25"/>
  <c r="Q552" i="25"/>
  <c r="R552" i="25"/>
  <c r="N552" i="25"/>
  <c r="W552" i="25"/>
  <c r="O114" i="12"/>
  <c r="J553" i="25"/>
  <c r="O553" i="25"/>
  <c r="P553" i="25"/>
  <c r="Q553" i="25"/>
  <c r="R553" i="25"/>
  <c r="N553" i="25"/>
  <c r="W553" i="25"/>
  <c r="O115" i="12"/>
  <c r="J554" i="25"/>
  <c r="O554" i="25"/>
  <c r="P554" i="25"/>
  <c r="Q554" i="25"/>
  <c r="R554" i="25"/>
  <c r="N554" i="25"/>
  <c r="W554" i="25"/>
  <c r="O116" i="12"/>
  <c r="J555" i="25"/>
  <c r="O555" i="25"/>
  <c r="P555" i="25"/>
  <c r="Q555" i="25"/>
  <c r="R555" i="25"/>
  <c r="N555" i="25"/>
  <c r="W555" i="25"/>
  <c r="O117" i="12"/>
  <c r="J556" i="25"/>
  <c r="O556" i="25"/>
  <c r="P556" i="25"/>
  <c r="Q556" i="25"/>
  <c r="R556" i="25"/>
  <c r="N556" i="25"/>
  <c r="W556" i="25"/>
  <c r="O118" i="12"/>
  <c r="J557" i="25"/>
  <c r="O557" i="25"/>
  <c r="P557" i="25"/>
  <c r="Q557" i="25"/>
  <c r="R557" i="25"/>
  <c r="N557" i="25"/>
  <c r="W557" i="25"/>
  <c r="O119" i="12"/>
  <c r="J558" i="25"/>
  <c r="O558" i="25"/>
  <c r="P558" i="25"/>
  <c r="Q558" i="25"/>
  <c r="R558" i="25"/>
  <c r="N558" i="25"/>
  <c r="W558" i="25"/>
  <c r="O120" i="12"/>
  <c r="J559" i="25"/>
  <c r="O559" i="25"/>
  <c r="P559" i="25"/>
  <c r="Q559" i="25"/>
  <c r="R559" i="25"/>
  <c r="N559" i="25"/>
  <c r="W559" i="25"/>
  <c r="O121" i="12"/>
  <c r="J560" i="25"/>
  <c r="O560" i="25"/>
  <c r="P560" i="25"/>
  <c r="Q560" i="25"/>
  <c r="R560" i="25"/>
  <c r="N560" i="25"/>
  <c r="W560" i="25"/>
  <c r="O122" i="12"/>
  <c r="J561" i="25"/>
  <c r="O561" i="25"/>
  <c r="P561" i="25"/>
  <c r="Q561" i="25"/>
  <c r="R561" i="25"/>
  <c r="N561" i="25"/>
  <c r="W561" i="25"/>
  <c r="O123" i="12"/>
  <c r="J562" i="25"/>
  <c r="O562" i="25"/>
  <c r="P562" i="25"/>
  <c r="Q562" i="25"/>
  <c r="R562" i="25"/>
  <c r="N562" i="25"/>
  <c r="W562" i="25"/>
  <c r="O124" i="12"/>
  <c r="J563" i="25"/>
  <c r="O563" i="25"/>
  <c r="P563" i="25"/>
  <c r="Q563" i="25"/>
  <c r="R563" i="25"/>
  <c r="N563" i="25"/>
  <c r="W563" i="25"/>
  <c r="O125" i="12"/>
  <c r="J564" i="25"/>
  <c r="O564" i="25"/>
  <c r="P564" i="25"/>
  <c r="Q564" i="25"/>
  <c r="R564" i="25"/>
  <c r="N564" i="25"/>
  <c r="W564" i="25"/>
  <c r="O126" i="12"/>
  <c r="J565" i="25"/>
  <c r="O565" i="25"/>
  <c r="P565" i="25"/>
  <c r="Q565" i="25"/>
  <c r="R565" i="25"/>
  <c r="N565" i="25"/>
  <c r="W565" i="25"/>
  <c r="O127" i="12"/>
  <c r="J566" i="25"/>
  <c r="O566" i="25"/>
  <c r="P566" i="25"/>
  <c r="Q566" i="25"/>
  <c r="R566" i="25"/>
  <c r="N566" i="25"/>
  <c r="W566" i="25"/>
  <c r="O128" i="12"/>
  <c r="J567" i="25"/>
  <c r="O567" i="25"/>
  <c r="P567" i="25"/>
  <c r="Q567" i="25"/>
  <c r="R567" i="25"/>
  <c r="N567" i="25"/>
  <c r="W567" i="25"/>
  <c r="O129" i="12"/>
  <c r="J568" i="25"/>
  <c r="O568" i="25"/>
  <c r="P568" i="25"/>
  <c r="Q568" i="25"/>
  <c r="R568" i="25"/>
  <c r="N568" i="25"/>
  <c r="W568" i="25"/>
  <c r="O130" i="12"/>
  <c r="J569" i="25"/>
  <c r="O569" i="25"/>
  <c r="P569" i="25"/>
  <c r="Q569" i="25"/>
  <c r="R569" i="25"/>
  <c r="N569" i="25"/>
  <c r="W569" i="25"/>
  <c r="O131" i="12"/>
  <c r="J570" i="25"/>
  <c r="O570" i="25"/>
  <c r="P570" i="25"/>
  <c r="Q570" i="25"/>
  <c r="R570" i="25"/>
  <c r="N570" i="25"/>
  <c r="W570" i="25"/>
  <c r="O132" i="12"/>
  <c r="J571" i="25"/>
  <c r="O571" i="25"/>
  <c r="P571" i="25"/>
  <c r="Q571" i="25"/>
  <c r="R571" i="25"/>
  <c r="N571" i="25"/>
  <c r="W571" i="25"/>
  <c r="O133" i="12"/>
  <c r="J572" i="25"/>
  <c r="O572" i="25"/>
  <c r="P572" i="25"/>
  <c r="Q572" i="25"/>
  <c r="R572" i="25"/>
  <c r="N572" i="25"/>
  <c r="W572" i="25"/>
  <c r="O134" i="12"/>
  <c r="J573" i="25"/>
  <c r="O573" i="25"/>
  <c r="P573" i="25"/>
  <c r="Q573" i="25"/>
  <c r="R573" i="25"/>
  <c r="N573" i="25"/>
  <c r="W573" i="25"/>
  <c r="O135" i="12"/>
  <c r="J574" i="25"/>
  <c r="O574" i="25"/>
  <c r="P574" i="25"/>
  <c r="Q574" i="25"/>
  <c r="R574" i="25"/>
  <c r="N574" i="25"/>
  <c r="W574" i="25"/>
  <c r="O136" i="12"/>
  <c r="J575" i="25"/>
  <c r="O575" i="25"/>
  <c r="P575" i="25"/>
  <c r="Q575" i="25"/>
  <c r="R575" i="25"/>
  <c r="N575" i="25"/>
  <c r="W575" i="25"/>
  <c r="O137" i="12"/>
  <c r="J576" i="25"/>
  <c r="O576" i="25"/>
  <c r="P576" i="25"/>
  <c r="Q576" i="25"/>
  <c r="R576" i="25"/>
  <c r="N576" i="25"/>
  <c r="W576" i="25"/>
  <c r="O138" i="12"/>
  <c r="J577" i="25"/>
  <c r="O577" i="25"/>
  <c r="P577" i="25"/>
  <c r="Q577" i="25"/>
  <c r="R577" i="25"/>
  <c r="N577" i="25"/>
  <c r="W577" i="25"/>
  <c r="O139" i="12"/>
  <c r="J578" i="25"/>
  <c r="O578" i="25"/>
  <c r="P578" i="25"/>
  <c r="Q578" i="25"/>
  <c r="R578" i="25"/>
  <c r="N578" i="25"/>
  <c r="W578" i="25"/>
  <c r="O140" i="12"/>
  <c r="J579" i="25"/>
  <c r="O579" i="25"/>
  <c r="P579" i="25"/>
  <c r="Q579" i="25"/>
  <c r="R579" i="25"/>
  <c r="N579" i="25"/>
  <c r="W579" i="25"/>
  <c r="O141" i="12"/>
  <c r="J580" i="25"/>
  <c r="O580" i="25"/>
  <c r="P580" i="25"/>
  <c r="Q580" i="25"/>
  <c r="R580" i="25"/>
  <c r="N580" i="25"/>
  <c r="W580" i="25"/>
  <c r="O142" i="12"/>
  <c r="J581" i="25"/>
  <c r="O581" i="25"/>
  <c r="P581" i="25"/>
  <c r="Q581" i="25"/>
  <c r="R581" i="25"/>
  <c r="N581" i="25"/>
  <c r="W581" i="25"/>
  <c r="O143" i="12"/>
  <c r="J582" i="25"/>
  <c r="O582" i="25"/>
  <c r="P582" i="25"/>
  <c r="Q582" i="25"/>
  <c r="R582" i="25"/>
  <c r="N582" i="25"/>
  <c r="W582" i="25"/>
  <c r="O144" i="12"/>
  <c r="J583" i="25"/>
  <c r="O583" i="25"/>
  <c r="P583" i="25"/>
  <c r="Q583" i="25"/>
  <c r="R583" i="25"/>
  <c r="N583" i="25"/>
  <c r="W583" i="25"/>
  <c r="O145" i="12"/>
  <c r="J584" i="25"/>
  <c r="O584" i="25"/>
  <c r="P584" i="25"/>
  <c r="Q584" i="25"/>
  <c r="R584" i="25"/>
  <c r="N584" i="25"/>
  <c r="W584" i="25"/>
  <c r="O146" i="12"/>
  <c r="J585" i="25"/>
  <c r="O585" i="25"/>
  <c r="P585" i="25"/>
  <c r="Q585" i="25"/>
  <c r="R585" i="25"/>
  <c r="N585" i="25"/>
  <c r="W585" i="25"/>
  <c r="O147" i="12"/>
  <c r="J586" i="25"/>
  <c r="O586" i="25"/>
  <c r="P586" i="25"/>
  <c r="Q586" i="25"/>
  <c r="R586" i="25"/>
  <c r="N586" i="25"/>
  <c r="W586" i="25"/>
  <c r="O148" i="12"/>
  <c r="J587" i="25"/>
  <c r="O587" i="25"/>
  <c r="P587" i="25"/>
  <c r="Q587" i="25"/>
  <c r="R587" i="25"/>
  <c r="N587" i="25"/>
  <c r="W587" i="25"/>
  <c r="O149" i="12"/>
  <c r="J588" i="25"/>
  <c r="O588" i="25"/>
  <c r="P588" i="25"/>
  <c r="Q588" i="25"/>
  <c r="R588" i="25"/>
  <c r="N588" i="25"/>
  <c r="W588" i="25"/>
  <c r="O150" i="12"/>
  <c r="J589" i="25"/>
  <c r="O589" i="25"/>
  <c r="P589" i="25"/>
  <c r="Q589" i="25"/>
  <c r="R589" i="25"/>
  <c r="N589" i="25"/>
  <c r="W589" i="25"/>
  <c r="O151" i="12"/>
  <c r="J590" i="25"/>
  <c r="O590" i="25"/>
  <c r="P590" i="25"/>
  <c r="Q590" i="25"/>
  <c r="R590" i="25"/>
  <c r="N590" i="25"/>
  <c r="W590" i="25"/>
  <c r="O152" i="12"/>
  <c r="J591" i="25"/>
  <c r="O591" i="25"/>
  <c r="P591" i="25"/>
  <c r="Q591" i="25"/>
  <c r="R591" i="25"/>
  <c r="N591" i="25"/>
  <c r="W591" i="25"/>
  <c r="O153" i="12"/>
  <c r="J592" i="25"/>
  <c r="O592" i="25"/>
  <c r="P592" i="25"/>
  <c r="Q592" i="25"/>
  <c r="R592" i="25"/>
  <c r="N592" i="25"/>
  <c r="W592" i="25"/>
  <c r="O154" i="12"/>
  <c r="J593" i="25"/>
  <c r="O593" i="25"/>
  <c r="P593" i="25"/>
  <c r="Q593" i="25"/>
  <c r="R593" i="25"/>
  <c r="N593" i="25"/>
  <c r="W593" i="25"/>
  <c r="O155" i="12"/>
  <c r="J594" i="25"/>
  <c r="O594" i="25"/>
  <c r="P594" i="25"/>
  <c r="Q594" i="25"/>
  <c r="R594" i="25"/>
  <c r="N594" i="25"/>
  <c r="W594" i="25"/>
  <c r="O156" i="12"/>
  <c r="J595" i="25"/>
  <c r="O595" i="25"/>
  <c r="P595" i="25"/>
  <c r="Q595" i="25"/>
  <c r="R595" i="25"/>
  <c r="N595" i="25"/>
  <c r="W595" i="25"/>
  <c r="O157" i="12"/>
  <c r="J596" i="25"/>
  <c r="O596" i="25"/>
  <c r="P596" i="25"/>
  <c r="Q596" i="25"/>
  <c r="R596" i="25"/>
  <c r="N596" i="25"/>
  <c r="W596" i="25"/>
  <c r="O158" i="12"/>
  <c r="J597" i="25"/>
  <c r="O597" i="25"/>
  <c r="P597" i="25"/>
  <c r="Q597" i="25"/>
  <c r="R597" i="25"/>
  <c r="N597" i="25"/>
  <c r="W597" i="25"/>
  <c r="O159" i="12"/>
  <c r="J598" i="25"/>
  <c r="O598" i="25"/>
  <c r="P598" i="25"/>
  <c r="Q598" i="25"/>
  <c r="R598" i="25"/>
  <c r="N598" i="25"/>
  <c r="W598" i="25"/>
  <c r="O160" i="12"/>
  <c r="J599" i="25"/>
  <c r="O599" i="25"/>
  <c r="P599" i="25"/>
  <c r="Q599" i="25"/>
  <c r="R599" i="25"/>
  <c r="N599" i="25"/>
  <c r="W599" i="25"/>
  <c r="O161" i="12"/>
  <c r="J600" i="25"/>
  <c r="O600" i="25"/>
  <c r="P600" i="25"/>
  <c r="Q600" i="25"/>
  <c r="R600" i="25"/>
  <c r="N600" i="25"/>
  <c r="W600" i="25"/>
  <c r="O162" i="12"/>
  <c r="J601" i="25"/>
  <c r="O601" i="25"/>
  <c r="P601" i="25"/>
  <c r="Q601" i="25"/>
  <c r="R601" i="25"/>
  <c r="N601" i="25"/>
  <c r="W601" i="25"/>
  <c r="O163" i="12"/>
  <c r="J602" i="25"/>
  <c r="O602" i="25"/>
  <c r="P602" i="25"/>
  <c r="Q602" i="25"/>
  <c r="R602" i="25"/>
  <c r="N602" i="25"/>
  <c r="W602" i="25"/>
  <c r="O164" i="12"/>
  <c r="J603" i="25"/>
  <c r="O603" i="25"/>
  <c r="P603" i="25"/>
  <c r="Q603" i="25"/>
  <c r="R603" i="25"/>
  <c r="N603" i="25"/>
  <c r="W603" i="25"/>
  <c r="O165" i="12"/>
  <c r="J604" i="25"/>
  <c r="O604" i="25"/>
  <c r="P604" i="25"/>
  <c r="Q604" i="25"/>
  <c r="R604" i="25"/>
  <c r="N604" i="25"/>
  <c r="W604" i="25"/>
  <c r="O166" i="12"/>
  <c r="J605" i="25"/>
  <c r="O605" i="25"/>
  <c r="P605" i="25"/>
  <c r="Q605" i="25"/>
  <c r="R605" i="25"/>
  <c r="N605" i="25"/>
  <c r="W605" i="25"/>
  <c r="O167" i="12"/>
  <c r="J606" i="25"/>
  <c r="O606" i="25"/>
  <c r="P606" i="25"/>
  <c r="Q606" i="25"/>
  <c r="R606" i="25"/>
  <c r="N606" i="25"/>
  <c r="W606" i="25"/>
  <c r="O168" i="12"/>
  <c r="J607" i="25"/>
  <c r="O607" i="25"/>
  <c r="P607" i="25"/>
  <c r="Q607" i="25"/>
  <c r="R607" i="25"/>
  <c r="N607" i="25"/>
  <c r="W607" i="25"/>
  <c r="O169" i="12"/>
  <c r="J608" i="25"/>
  <c r="O608" i="25"/>
  <c r="P608" i="25"/>
  <c r="Q608" i="25"/>
  <c r="R608" i="25"/>
  <c r="N608" i="25"/>
  <c r="W608" i="25"/>
  <c r="O170" i="12"/>
  <c r="J609" i="25"/>
  <c r="O609" i="25"/>
  <c r="P609" i="25"/>
  <c r="Q609" i="25"/>
  <c r="R609" i="25"/>
  <c r="N609" i="25"/>
  <c r="W609" i="25"/>
  <c r="O171" i="12"/>
  <c r="J610" i="25"/>
  <c r="O610" i="25"/>
  <c r="P610" i="25"/>
  <c r="Q610" i="25"/>
  <c r="R610" i="25"/>
  <c r="N610" i="25"/>
  <c r="W610" i="25"/>
  <c r="O172" i="12"/>
  <c r="J611" i="25"/>
  <c r="O611" i="25"/>
  <c r="P611" i="25"/>
  <c r="Q611" i="25"/>
  <c r="R611" i="25"/>
  <c r="N611" i="25"/>
  <c r="W611" i="25"/>
  <c r="O173" i="12"/>
  <c r="J612" i="25"/>
  <c r="O612" i="25"/>
  <c r="P612" i="25"/>
  <c r="Q612" i="25"/>
  <c r="R612" i="25"/>
  <c r="N612" i="25"/>
  <c r="W612" i="25"/>
  <c r="O174" i="12"/>
  <c r="J613" i="25"/>
  <c r="O613" i="25"/>
  <c r="P613" i="25"/>
  <c r="Q613" i="25"/>
  <c r="R613" i="25"/>
  <c r="N613" i="25"/>
  <c r="W613" i="25"/>
  <c r="O175" i="12"/>
  <c r="J614" i="25"/>
  <c r="O614" i="25"/>
  <c r="P614" i="25"/>
  <c r="Q614" i="25"/>
  <c r="R614" i="25"/>
  <c r="N614" i="25"/>
  <c r="W614" i="25"/>
  <c r="O176" i="12"/>
  <c r="J615" i="25"/>
  <c r="O615" i="25"/>
  <c r="P615" i="25"/>
  <c r="Q615" i="25"/>
  <c r="R615" i="25"/>
  <c r="N615" i="25"/>
  <c r="W615" i="25"/>
  <c r="O177" i="12"/>
  <c r="J616" i="25"/>
  <c r="O616" i="25"/>
  <c r="P616" i="25"/>
  <c r="Q616" i="25"/>
  <c r="R616" i="25"/>
  <c r="N616" i="25"/>
  <c r="W616" i="25"/>
  <c r="O178" i="12"/>
  <c r="J617" i="25"/>
  <c r="O617" i="25"/>
  <c r="P617" i="25"/>
  <c r="Q617" i="25"/>
  <c r="R617" i="25"/>
  <c r="N617" i="25"/>
  <c r="W617" i="25"/>
  <c r="O179" i="12"/>
  <c r="J618" i="25"/>
  <c r="O618" i="25"/>
  <c r="P618" i="25"/>
  <c r="Q618" i="25"/>
  <c r="R618" i="25"/>
  <c r="N618" i="25"/>
  <c r="W618" i="25"/>
  <c r="O180" i="12"/>
  <c r="J619" i="25"/>
  <c r="O619" i="25"/>
  <c r="P619" i="25"/>
  <c r="Q619" i="25"/>
  <c r="R619" i="25"/>
  <c r="N619" i="25"/>
  <c r="W619" i="25"/>
  <c r="O181" i="12"/>
  <c r="J620" i="25"/>
  <c r="O620" i="25"/>
  <c r="P620" i="25"/>
  <c r="Q620" i="25"/>
  <c r="R620" i="25"/>
  <c r="N620" i="25"/>
  <c r="W620" i="25"/>
  <c r="O182" i="12"/>
  <c r="J621" i="25"/>
  <c r="O621" i="25"/>
  <c r="P621" i="25"/>
  <c r="Q621" i="25"/>
  <c r="R621" i="25"/>
  <c r="N621" i="25"/>
  <c r="W621" i="25"/>
  <c r="O183" i="12"/>
  <c r="J622" i="25"/>
  <c r="O622" i="25"/>
  <c r="P622" i="25"/>
  <c r="Q622" i="25"/>
  <c r="R622" i="25"/>
  <c r="N622" i="25"/>
  <c r="W622" i="25"/>
  <c r="O184" i="12"/>
  <c r="J623" i="25"/>
  <c r="O623" i="25"/>
  <c r="P623" i="25"/>
  <c r="Q623" i="25"/>
  <c r="R623" i="25"/>
  <c r="N623" i="25"/>
  <c r="W623" i="25"/>
  <c r="O185" i="12"/>
  <c r="J624" i="25"/>
  <c r="O624" i="25"/>
  <c r="P624" i="25"/>
  <c r="Q624" i="25"/>
  <c r="R624" i="25"/>
  <c r="N624" i="25"/>
  <c r="W624" i="25"/>
  <c r="O186" i="12"/>
  <c r="J625" i="25"/>
  <c r="O625" i="25"/>
  <c r="P625" i="25"/>
  <c r="Q625" i="25"/>
  <c r="R625" i="25"/>
  <c r="N625" i="25"/>
  <c r="W625" i="25"/>
  <c r="O187" i="12"/>
  <c r="J626" i="25"/>
  <c r="O626" i="25"/>
  <c r="P626" i="25"/>
  <c r="Q626" i="25"/>
  <c r="R626" i="25"/>
  <c r="N626" i="25"/>
  <c r="W626" i="25"/>
  <c r="O188" i="12"/>
  <c r="J627" i="25"/>
  <c r="O627" i="25"/>
  <c r="P627" i="25"/>
  <c r="Q627" i="25"/>
  <c r="R627" i="25"/>
  <c r="N627" i="25"/>
  <c r="W627" i="25"/>
  <c r="O189" i="12"/>
  <c r="J628" i="25"/>
  <c r="O628" i="25"/>
  <c r="P628" i="25"/>
  <c r="Q628" i="25"/>
  <c r="R628" i="25"/>
  <c r="N628" i="25"/>
  <c r="W628" i="25"/>
  <c r="O190" i="12"/>
  <c r="J629" i="25"/>
  <c r="O629" i="25"/>
  <c r="P629" i="25"/>
  <c r="Q629" i="25"/>
  <c r="R629" i="25"/>
  <c r="N629" i="25"/>
  <c r="W629" i="25"/>
  <c r="O191" i="12"/>
  <c r="J630" i="25"/>
  <c r="O630" i="25"/>
  <c r="P630" i="25"/>
  <c r="Q630" i="25"/>
  <c r="R630" i="25"/>
  <c r="N630" i="25"/>
  <c r="W630" i="25"/>
  <c r="O192" i="12"/>
  <c r="J631" i="25"/>
  <c r="O631" i="25"/>
  <c r="P631" i="25"/>
  <c r="Q631" i="25"/>
  <c r="R631" i="25"/>
  <c r="N631" i="25"/>
  <c r="W631" i="25"/>
  <c r="O193" i="12"/>
  <c r="J632" i="25"/>
  <c r="O632" i="25"/>
  <c r="P632" i="25"/>
  <c r="Q632" i="25"/>
  <c r="R632" i="25"/>
  <c r="N632" i="25"/>
  <c r="W632" i="25"/>
  <c r="O194" i="12"/>
  <c r="J633" i="25"/>
  <c r="O633" i="25"/>
  <c r="P633" i="25"/>
  <c r="Q633" i="25"/>
  <c r="R633" i="25"/>
  <c r="N633" i="25"/>
  <c r="W633" i="25"/>
  <c r="O195" i="12"/>
  <c r="J634" i="25"/>
  <c r="O634" i="25"/>
  <c r="P634" i="25"/>
  <c r="Q634" i="25"/>
  <c r="R634" i="25"/>
  <c r="N634" i="25"/>
  <c r="W634" i="25"/>
  <c r="O196" i="12"/>
  <c r="J635" i="25"/>
  <c r="O635" i="25"/>
  <c r="P635" i="25"/>
  <c r="Q635" i="25"/>
  <c r="R635" i="25"/>
  <c r="N635" i="25"/>
  <c r="W635" i="25"/>
  <c r="O197" i="12"/>
  <c r="J636" i="25"/>
  <c r="O636" i="25"/>
  <c r="P636" i="25"/>
  <c r="Q636" i="25"/>
  <c r="R636" i="25"/>
  <c r="N636" i="25"/>
  <c r="W636" i="25"/>
  <c r="O198" i="12"/>
  <c r="J637" i="25"/>
  <c r="O637" i="25"/>
  <c r="P637" i="25"/>
  <c r="Q637" i="25"/>
  <c r="R637" i="25"/>
  <c r="N637" i="25"/>
  <c r="W637" i="25"/>
  <c r="O199" i="12"/>
  <c r="J638" i="25"/>
  <c r="O638" i="25"/>
  <c r="P638" i="25"/>
  <c r="Q638" i="25"/>
  <c r="R638" i="25"/>
  <c r="N638" i="25"/>
  <c r="W638" i="25"/>
  <c r="O200" i="12"/>
  <c r="J639" i="25"/>
  <c r="O639" i="25"/>
  <c r="P639" i="25"/>
  <c r="Q639" i="25"/>
  <c r="R639" i="25"/>
  <c r="W639" i="25"/>
  <c r="O201" i="12"/>
  <c r="J640" i="25"/>
  <c r="O640" i="25"/>
  <c r="P640" i="25"/>
  <c r="Q640" i="25"/>
  <c r="R640" i="25"/>
  <c r="N640" i="25"/>
  <c r="W640" i="25"/>
  <c r="O202" i="12"/>
  <c r="J641" i="25"/>
  <c r="O641" i="25"/>
  <c r="P641" i="25"/>
  <c r="Q641" i="25"/>
  <c r="R641" i="25"/>
  <c r="N641" i="25"/>
  <c r="W641" i="25"/>
  <c r="O203" i="12"/>
  <c r="J642" i="25"/>
  <c r="O642" i="25"/>
  <c r="P642" i="25"/>
  <c r="Q642" i="25"/>
  <c r="R642" i="25"/>
  <c r="N642" i="25"/>
  <c r="W642" i="25"/>
  <c r="O204" i="12"/>
  <c r="J643" i="25"/>
  <c r="O643" i="25"/>
  <c r="P643" i="25"/>
  <c r="Q643" i="25"/>
  <c r="R643" i="25"/>
  <c r="N643" i="25"/>
  <c r="W643" i="25"/>
  <c r="O205" i="12"/>
  <c r="J644" i="25"/>
  <c r="O644" i="25"/>
  <c r="P644" i="25"/>
  <c r="Q644" i="25"/>
  <c r="R644" i="25"/>
  <c r="N644" i="25"/>
  <c r="W644" i="25"/>
  <c r="O206" i="12"/>
  <c r="J645" i="25"/>
  <c r="O645" i="25"/>
  <c r="P645" i="25"/>
  <c r="Q645" i="25"/>
  <c r="R645" i="25"/>
  <c r="N645" i="25"/>
  <c r="W645" i="25"/>
  <c r="O207" i="12"/>
  <c r="J646" i="25"/>
  <c r="O646" i="25"/>
  <c r="P646" i="25"/>
  <c r="Q646" i="25"/>
  <c r="R646" i="25"/>
  <c r="N646" i="25"/>
  <c r="W646" i="25"/>
  <c r="O208" i="12"/>
  <c r="J647" i="25"/>
  <c r="O647" i="25"/>
  <c r="P647" i="25"/>
  <c r="Q647" i="25"/>
  <c r="R647" i="25"/>
  <c r="N647" i="25"/>
  <c r="W647" i="25"/>
  <c r="O209" i="12"/>
  <c r="J648" i="25"/>
  <c r="O648" i="25"/>
  <c r="P648" i="25"/>
  <c r="Q648" i="25"/>
  <c r="R648" i="25"/>
  <c r="N648" i="25"/>
  <c r="W648" i="25"/>
  <c r="O210" i="12"/>
  <c r="J649" i="25"/>
  <c r="O649" i="25"/>
  <c r="P649" i="25"/>
  <c r="Q649" i="25"/>
  <c r="R649" i="25"/>
  <c r="N649" i="25"/>
  <c r="W649" i="25"/>
  <c r="O211" i="12"/>
  <c r="J650" i="25"/>
  <c r="O650" i="25"/>
  <c r="P650" i="25"/>
  <c r="Q650" i="25"/>
  <c r="R650" i="25"/>
  <c r="N650" i="25"/>
  <c r="W650" i="25"/>
  <c r="O212" i="12"/>
  <c r="J651" i="25"/>
  <c r="O651" i="25"/>
  <c r="P651" i="25"/>
  <c r="Q651" i="25"/>
  <c r="R651" i="25"/>
  <c r="N651" i="25"/>
  <c r="W651" i="25"/>
  <c r="O213" i="12"/>
  <c r="J652" i="25"/>
  <c r="O652" i="25"/>
  <c r="P652" i="25"/>
  <c r="Q652" i="25"/>
  <c r="R652" i="25"/>
  <c r="N652" i="25"/>
  <c r="W652" i="25"/>
  <c r="O214" i="12"/>
  <c r="J653" i="25"/>
  <c r="O653" i="25"/>
  <c r="P653" i="25"/>
  <c r="Q653" i="25"/>
  <c r="R653" i="25"/>
  <c r="N653" i="25"/>
  <c r="W653" i="25"/>
  <c r="O215" i="12"/>
  <c r="J654" i="25"/>
  <c r="O654" i="25"/>
  <c r="P654" i="25"/>
  <c r="Q654" i="25"/>
  <c r="R654" i="25"/>
  <c r="N654" i="25"/>
  <c r="W654" i="25"/>
  <c r="O216" i="12"/>
  <c r="J655" i="25"/>
  <c r="O655" i="25"/>
  <c r="P655" i="25"/>
  <c r="Q655" i="25"/>
  <c r="R655" i="25"/>
  <c r="N655" i="25"/>
  <c r="W655" i="25"/>
  <c r="O217" i="12"/>
  <c r="J656" i="25"/>
  <c r="O656" i="25"/>
  <c r="P656" i="25"/>
  <c r="Q656" i="25"/>
  <c r="R656" i="25"/>
  <c r="N656" i="25"/>
  <c r="W656" i="25"/>
  <c r="O218" i="12"/>
  <c r="J657" i="25"/>
  <c r="O657" i="25"/>
  <c r="P657" i="25"/>
  <c r="Q657" i="25"/>
  <c r="R657" i="25"/>
  <c r="N657" i="25"/>
  <c r="W657" i="25"/>
  <c r="O219" i="12"/>
  <c r="J658" i="25"/>
  <c r="O658" i="25"/>
  <c r="P658" i="25"/>
  <c r="Q658" i="25"/>
  <c r="R658" i="25"/>
  <c r="N658" i="25"/>
  <c r="W658" i="25"/>
  <c r="O220" i="12"/>
  <c r="J659" i="25"/>
  <c r="O659" i="25"/>
  <c r="P659" i="25"/>
  <c r="Q659" i="25"/>
  <c r="R659" i="25"/>
  <c r="N659" i="25"/>
  <c r="W659" i="25"/>
  <c r="O221" i="12"/>
  <c r="J660" i="25"/>
  <c r="O660" i="25"/>
  <c r="P660" i="25"/>
  <c r="Q660" i="25"/>
  <c r="R660" i="25"/>
  <c r="N660" i="25"/>
  <c r="W660" i="25"/>
  <c r="O222" i="12"/>
  <c r="J661" i="25"/>
  <c r="O661" i="25"/>
  <c r="P661" i="25"/>
  <c r="Q661" i="25"/>
  <c r="R661" i="25"/>
  <c r="N661" i="25"/>
  <c r="W661" i="25"/>
  <c r="Q3" i="12"/>
  <c r="J662" i="25"/>
  <c r="O662" i="25"/>
  <c r="P662" i="25"/>
  <c r="Q662" i="25"/>
  <c r="R662" i="25"/>
  <c r="N662" i="25"/>
  <c r="W662" i="25"/>
  <c r="Q4" i="12"/>
  <c r="J663" i="25"/>
  <c r="O663" i="25"/>
  <c r="P663" i="25"/>
  <c r="Q663" i="25"/>
  <c r="R663" i="25"/>
  <c r="N663" i="25"/>
  <c r="W663" i="25"/>
  <c r="Q5" i="12"/>
  <c r="J664" i="25"/>
  <c r="O664" i="25"/>
  <c r="P664" i="25"/>
  <c r="Q664" i="25"/>
  <c r="R664" i="25"/>
  <c r="N664" i="25"/>
  <c r="W664" i="25"/>
  <c r="Q6" i="12"/>
  <c r="J665" i="25"/>
  <c r="O665" i="25"/>
  <c r="P665" i="25"/>
  <c r="Q665" i="25"/>
  <c r="R665" i="25"/>
  <c r="N665" i="25"/>
  <c r="W665" i="25"/>
  <c r="Q7" i="12"/>
  <c r="J666" i="25"/>
  <c r="O666" i="25"/>
  <c r="P666" i="25"/>
  <c r="Q666" i="25"/>
  <c r="R666" i="25"/>
  <c r="N666" i="25"/>
  <c r="W666" i="25"/>
  <c r="Q8" i="12"/>
  <c r="J667" i="25"/>
  <c r="O667" i="25"/>
  <c r="P667" i="25"/>
  <c r="Q667" i="25"/>
  <c r="R667" i="25"/>
  <c r="N667" i="25"/>
  <c r="W667" i="25"/>
  <c r="Q9" i="12"/>
  <c r="J668" i="25"/>
  <c r="O668" i="25"/>
  <c r="P668" i="25"/>
  <c r="Q668" i="25"/>
  <c r="R668" i="25"/>
  <c r="N668" i="25"/>
  <c r="W668" i="25"/>
  <c r="Q10" i="12"/>
  <c r="J669" i="25"/>
  <c r="O669" i="25"/>
  <c r="P669" i="25"/>
  <c r="Q669" i="25"/>
  <c r="R669" i="25"/>
  <c r="N669" i="25"/>
  <c r="W669" i="25"/>
  <c r="Q11" i="12"/>
  <c r="J670" i="25"/>
  <c r="O670" i="25"/>
  <c r="P670" i="25"/>
  <c r="Q670" i="25"/>
  <c r="R670" i="25"/>
  <c r="N670" i="25"/>
  <c r="W670" i="25"/>
  <c r="Q12" i="12"/>
  <c r="J671" i="25"/>
  <c r="O671" i="25"/>
  <c r="P671" i="25"/>
  <c r="Q671" i="25"/>
  <c r="R671" i="25"/>
  <c r="N671" i="25"/>
  <c r="W671" i="25"/>
  <c r="Q13" i="12"/>
  <c r="J672" i="25"/>
  <c r="O672" i="25"/>
  <c r="P672" i="25"/>
  <c r="Q672" i="25"/>
  <c r="R672" i="25"/>
  <c r="N672" i="25"/>
  <c r="W672" i="25"/>
  <c r="Q14" i="12"/>
  <c r="J673" i="25"/>
  <c r="O673" i="25"/>
  <c r="P673" i="25"/>
  <c r="Q673" i="25"/>
  <c r="R673" i="25"/>
  <c r="N673" i="25"/>
  <c r="W673" i="25"/>
  <c r="Q15" i="12"/>
  <c r="J674" i="25"/>
  <c r="O674" i="25"/>
  <c r="P674" i="25"/>
  <c r="Q674" i="25"/>
  <c r="R674" i="25"/>
  <c r="N674" i="25"/>
  <c r="W674" i="25"/>
  <c r="Q16" i="12"/>
  <c r="J675" i="25"/>
  <c r="O675" i="25"/>
  <c r="P675" i="25"/>
  <c r="Q675" i="25"/>
  <c r="R675" i="25"/>
  <c r="N675" i="25"/>
  <c r="W675" i="25"/>
  <c r="Q17" i="12"/>
  <c r="J676" i="25"/>
  <c r="O676" i="25"/>
  <c r="P676" i="25"/>
  <c r="Q676" i="25"/>
  <c r="R676" i="25"/>
  <c r="N676" i="25"/>
  <c r="W676" i="25"/>
  <c r="Q18" i="12"/>
  <c r="J677" i="25"/>
  <c r="O677" i="25"/>
  <c r="P677" i="25"/>
  <c r="Q677" i="25"/>
  <c r="R677" i="25"/>
  <c r="N677" i="25"/>
  <c r="W677" i="25"/>
  <c r="Q19" i="12"/>
  <c r="J678" i="25"/>
  <c r="O678" i="25"/>
  <c r="P678" i="25"/>
  <c r="Q678" i="25"/>
  <c r="R678" i="25"/>
  <c r="N678" i="25"/>
  <c r="W678" i="25"/>
  <c r="Q20" i="12"/>
  <c r="J679" i="25"/>
  <c r="O679" i="25"/>
  <c r="P679" i="25"/>
  <c r="Q679" i="25"/>
  <c r="R679" i="25"/>
  <c r="N679" i="25"/>
  <c r="W679" i="25"/>
  <c r="Q21" i="12"/>
  <c r="J680" i="25"/>
  <c r="O680" i="25"/>
  <c r="P680" i="25"/>
  <c r="Q680" i="25"/>
  <c r="R680" i="25"/>
  <c r="N680" i="25"/>
  <c r="W680" i="25"/>
  <c r="Q22" i="12"/>
  <c r="J681" i="25"/>
  <c r="O681" i="25"/>
  <c r="P681" i="25"/>
  <c r="Q681" i="25"/>
  <c r="R681" i="25"/>
  <c r="N681" i="25"/>
  <c r="W681" i="25"/>
  <c r="O682" i="25"/>
  <c r="P682" i="25"/>
  <c r="Q682" i="25"/>
  <c r="R682" i="25"/>
  <c r="N682" i="25"/>
  <c r="W682" i="25"/>
  <c r="Q24" i="12"/>
  <c r="J683" i="25"/>
  <c r="O683" i="25"/>
  <c r="P683" i="25"/>
  <c r="Q683" i="25"/>
  <c r="R683" i="25"/>
  <c r="N683" i="25"/>
  <c r="W683" i="25"/>
  <c r="Q25" i="12"/>
  <c r="J684" i="25"/>
  <c r="O684" i="25"/>
  <c r="P684" i="25"/>
  <c r="Q684" i="25"/>
  <c r="R684" i="25"/>
  <c r="N684" i="25"/>
  <c r="W684" i="25"/>
  <c r="Q26" i="12"/>
  <c r="J685" i="25"/>
  <c r="O685" i="25"/>
  <c r="P685" i="25"/>
  <c r="Q685" i="25"/>
  <c r="R685" i="25"/>
  <c r="N685" i="25"/>
  <c r="W685" i="25"/>
  <c r="Q27" i="12"/>
  <c r="J686" i="25"/>
  <c r="O686" i="25"/>
  <c r="P686" i="25"/>
  <c r="Q686" i="25"/>
  <c r="R686" i="25"/>
  <c r="N686" i="25"/>
  <c r="W686" i="25"/>
  <c r="Q28" i="12"/>
  <c r="J687" i="25"/>
  <c r="O687" i="25"/>
  <c r="P687" i="25"/>
  <c r="Q687" i="25"/>
  <c r="R687" i="25"/>
  <c r="N687" i="25"/>
  <c r="W687" i="25"/>
  <c r="Q29" i="12"/>
  <c r="J688" i="25"/>
  <c r="O688" i="25"/>
  <c r="P688" i="25"/>
  <c r="Q688" i="25"/>
  <c r="R688" i="25"/>
  <c r="N688" i="25"/>
  <c r="W688" i="25"/>
  <c r="Q30" i="12"/>
  <c r="J689" i="25"/>
  <c r="O689" i="25"/>
  <c r="P689" i="25"/>
  <c r="Q689" i="25"/>
  <c r="R689" i="25"/>
  <c r="N689" i="25"/>
  <c r="W689" i="25"/>
  <c r="Q31" i="12"/>
  <c r="J690" i="25"/>
  <c r="O690" i="25"/>
  <c r="P690" i="25"/>
  <c r="Q690" i="25"/>
  <c r="R690" i="25"/>
  <c r="N690" i="25"/>
  <c r="W690" i="25"/>
  <c r="Q32" i="12"/>
  <c r="J691" i="25"/>
  <c r="O691" i="25"/>
  <c r="P691" i="25"/>
  <c r="Q691" i="25"/>
  <c r="R691" i="25"/>
  <c r="N691" i="25"/>
  <c r="W691" i="25"/>
  <c r="Q33" i="12"/>
  <c r="J692" i="25"/>
  <c r="O692" i="25"/>
  <c r="P692" i="25"/>
  <c r="Q692" i="25"/>
  <c r="R692" i="25"/>
  <c r="N692" i="25"/>
  <c r="W692" i="25"/>
  <c r="Q34" i="12"/>
  <c r="J693" i="25"/>
  <c r="O693" i="25"/>
  <c r="P693" i="25"/>
  <c r="Q693" i="25"/>
  <c r="R693" i="25"/>
  <c r="N693" i="25"/>
  <c r="W693" i="25"/>
  <c r="Q35" i="12"/>
  <c r="J694" i="25"/>
  <c r="O694" i="25"/>
  <c r="P694" i="25"/>
  <c r="Q694" i="25"/>
  <c r="R694" i="25"/>
  <c r="N694" i="25"/>
  <c r="W694" i="25"/>
  <c r="Q36" i="12"/>
  <c r="J695" i="25"/>
  <c r="O695" i="25"/>
  <c r="P695" i="25"/>
  <c r="Q695" i="25"/>
  <c r="R695" i="25"/>
  <c r="N695" i="25"/>
  <c r="W695" i="25"/>
  <c r="Q37" i="12"/>
  <c r="J696" i="25"/>
  <c r="O696" i="25"/>
  <c r="P696" i="25"/>
  <c r="Q696" i="25"/>
  <c r="R696" i="25"/>
  <c r="N696" i="25"/>
  <c r="W696" i="25"/>
  <c r="Q38" i="12"/>
  <c r="J697" i="25"/>
  <c r="O697" i="25"/>
  <c r="P697" i="25"/>
  <c r="Q697" i="25"/>
  <c r="R697" i="25"/>
  <c r="N697" i="25"/>
  <c r="W697" i="25"/>
  <c r="Q39" i="12"/>
  <c r="J698" i="25"/>
  <c r="O698" i="25"/>
  <c r="P698" i="25"/>
  <c r="Q698" i="25"/>
  <c r="R698" i="25"/>
  <c r="N698" i="25"/>
  <c r="W698" i="25"/>
  <c r="Q40" i="12"/>
  <c r="J699" i="25"/>
  <c r="O699" i="25"/>
  <c r="P699" i="25"/>
  <c r="Q699" i="25"/>
  <c r="R699" i="25"/>
  <c r="N699" i="25"/>
  <c r="W699" i="25"/>
  <c r="Q41" i="12"/>
  <c r="J700" i="25"/>
  <c r="O700" i="25"/>
  <c r="P700" i="25"/>
  <c r="Q700" i="25"/>
  <c r="R700" i="25"/>
  <c r="N700" i="25"/>
  <c r="W700" i="25"/>
  <c r="Q42" i="12"/>
  <c r="J701" i="25"/>
  <c r="O701" i="25"/>
  <c r="P701" i="25"/>
  <c r="Q701" i="25"/>
  <c r="R701" i="25"/>
  <c r="N701" i="25"/>
  <c r="W701" i="25"/>
  <c r="Q43" i="12"/>
  <c r="J702" i="25"/>
  <c r="O702" i="25"/>
  <c r="P702" i="25"/>
  <c r="Q702" i="25"/>
  <c r="R702" i="25"/>
  <c r="N702" i="25"/>
  <c r="W702" i="25"/>
  <c r="Q44" i="12"/>
  <c r="J703" i="25"/>
  <c r="O703" i="25"/>
  <c r="P703" i="25"/>
  <c r="Q703" i="25"/>
  <c r="R703" i="25"/>
  <c r="N703" i="25"/>
  <c r="W703" i="25"/>
  <c r="Q45" i="12"/>
  <c r="J704" i="25"/>
  <c r="O704" i="25"/>
  <c r="P704" i="25"/>
  <c r="Q704" i="25"/>
  <c r="R704" i="25"/>
  <c r="N704" i="25"/>
  <c r="W704" i="25"/>
  <c r="Q46" i="12"/>
  <c r="J705" i="25"/>
  <c r="O705" i="25"/>
  <c r="P705" i="25"/>
  <c r="Q705" i="25"/>
  <c r="R705" i="25"/>
  <c r="N705" i="25"/>
  <c r="W705" i="25"/>
  <c r="Q47" i="12"/>
  <c r="J706" i="25"/>
  <c r="O706" i="25"/>
  <c r="P706" i="25"/>
  <c r="Q706" i="25"/>
  <c r="R706" i="25"/>
  <c r="N706" i="25"/>
  <c r="W706" i="25"/>
  <c r="Q48" i="12"/>
  <c r="J707" i="25"/>
  <c r="O707" i="25"/>
  <c r="P707" i="25"/>
  <c r="Q707" i="25"/>
  <c r="R707" i="25"/>
  <c r="N707" i="25"/>
  <c r="W707" i="25"/>
  <c r="Q49" i="12"/>
  <c r="J708" i="25"/>
  <c r="O708" i="25"/>
  <c r="P708" i="25"/>
  <c r="Q708" i="25"/>
  <c r="R708" i="25"/>
  <c r="N708" i="25"/>
  <c r="W708" i="25"/>
  <c r="Q50" i="12"/>
  <c r="J709" i="25"/>
  <c r="O709" i="25"/>
  <c r="P709" i="25"/>
  <c r="Q709" i="25"/>
  <c r="R709" i="25"/>
  <c r="N709" i="25"/>
  <c r="W709" i="25"/>
  <c r="Q51" i="12"/>
  <c r="J710" i="25"/>
  <c r="O710" i="25"/>
  <c r="P710" i="25"/>
  <c r="Q710" i="25"/>
  <c r="R710" i="25"/>
  <c r="N710" i="25"/>
  <c r="W710" i="25"/>
  <c r="Q52" i="12"/>
  <c r="J711" i="25"/>
  <c r="O711" i="25"/>
  <c r="P711" i="25"/>
  <c r="Q711" i="25"/>
  <c r="R711" i="25"/>
  <c r="N711" i="25"/>
  <c r="W711" i="25"/>
  <c r="Q53" i="12"/>
  <c r="J712" i="25"/>
  <c r="O712" i="25"/>
  <c r="P712" i="25"/>
  <c r="Q712" i="25"/>
  <c r="R712" i="25"/>
  <c r="N712" i="25"/>
  <c r="W712" i="25"/>
  <c r="Q54" i="12"/>
  <c r="J713" i="25"/>
  <c r="O713" i="25"/>
  <c r="P713" i="25"/>
  <c r="Q713" i="25"/>
  <c r="R713" i="25"/>
  <c r="N713" i="25"/>
  <c r="W713" i="25"/>
  <c r="Q55" i="12"/>
  <c r="J714" i="25"/>
  <c r="O714" i="25"/>
  <c r="P714" i="25"/>
  <c r="Q714" i="25"/>
  <c r="R714" i="25"/>
  <c r="N714" i="25"/>
  <c r="W714" i="25"/>
  <c r="Q56" i="12"/>
  <c r="J715" i="25"/>
  <c r="O715" i="25"/>
  <c r="P715" i="25"/>
  <c r="Q715" i="25"/>
  <c r="R715" i="25"/>
  <c r="N715" i="25"/>
  <c r="W715" i="25"/>
  <c r="Q57" i="12"/>
  <c r="J716" i="25"/>
  <c r="O716" i="25"/>
  <c r="P716" i="25"/>
  <c r="Q716" i="25"/>
  <c r="R716" i="25"/>
  <c r="N716" i="25"/>
  <c r="W716" i="25"/>
  <c r="Q58" i="12"/>
  <c r="J717" i="25"/>
  <c r="O717" i="25"/>
  <c r="P717" i="25"/>
  <c r="Q717" i="25"/>
  <c r="R717" i="25"/>
  <c r="N717" i="25"/>
  <c r="W717" i="25"/>
  <c r="Q59" i="12"/>
  <c r="J718" i="25"/>
  <c r="O718" i="25"/>
  <c r="P718" i="25"/>
  <c r="Q718" i="25"/>
  <c r="R718" i="25"/>
  <c r="N718" i="25"/>
  <c r="W718" i="25"/>
  <c r="Q60" i="12"/>
  <c r="J719" i="25"/>
  <c r="O719" i="25"/>
  <c r="P719" i="25"/>
  <c r="Q719" i="25"/>
  <c r="R719" i="25"/>
  <c r="N719" i="25"/>
  <c r="W719" i="25"/>
  <c r="Q61" i="12"/>
  <c r="J720" i="25"/>
  <c r="O720" i="25"/>
  <c r="P720" i="25"/>
  <c r="Q720" i="25"/>
  <c r="R720" i="25"/>
  <c r="N720" i="25"/>
  <c r="W720" i="25"/>
  <c r="Q62" i="12"/>
  <c r="J721" i="25"/>
  <c r="O721" i="25"/>
  <c r="P721" i="25"/>
  <c r="Q721" i="25"/>
  <c r="R721" i="25"/>
  <c r="N721" i="25"/>
  <c r="W721" i="25"/>
  <c r="Q63" i="12"/>
  <c r="J722" i="25"/>
  <c r="O722" i="25"/>
  <c r="P722" i="25"/>
  <c r="Q722" i="25"/>
  <c r="R722" i="25"/>
  <c r="N722" i="25"/>
  <c r="W722" i="25"/>
  <c r="Q64" i="12"/>
  <c r="J723" i="25"/>
  <c r="O723" i="25"/>
  <c r="P723" i="25"/>
  <c r="Q723" i="25"/>
  <c r="R723" i="25"/>
  <c r="N723" i="25"/>
  <c r="W723" i="25"/>
  <c r="Q65" i="12"/>
  <c r="J724" i="25"/>
  <c r="O724" i="25"/>
  <c r="P724" i="25"/>
  <c r="Q724" i="25"/>
  <c r="R724" i="25"/>
  <c r="N724" i="25"/>
  <c r="W724" i="25"/>
  <c r="Q66" i="12"/>
  <c r="J725" i="25"/>
  <c r="O725" i="25"/>
  <c r="P725" i="25"/>
  <c r="Q725" i="25"/>
  <c r="R725" i="25"/>
  <c r="N725" i="25"/>
  <c r="W725" i="25"/>
  <c r="Q67" i="12"/>
  <c r="J726" i="25"/>
  <c r="O726" i="25"/>
  <c r="P726" i="25"/>
  <c r="Q726" i="25"/>
  <c r="R726" i="25"/>
  <c r="N726" i="25"/>
  <c r="W726" i="25"/>
  <c r="Q68" i="12"/>
  <c r="J727" i="25"/>
  <c r="O727" i="25"/>
  <c r="P727" i="25"/>
  <c r="Q727" i="25"/>
  <c r="R727" i="25"/>
  <c r="N727" i="25"/>
  <c r="W727" i="25"/>
  <c r="Q69" i="12"/>
  <c r="J728" i="25"/>
  <c r="O728" i="25"/>
  <c r="P728" i="25"/>
  <c r="Q728" i="25"/>
  <c r="R728" i="25"/>
  <c r="N728" i="25"/>
  <c r="W728" i="25"/>
  <c r="Q70" i="12"/>
  <c r="J729" i="25"/>
  <c r="O729" i="25"/>
  <c r="P729" i="25"/>
  <c r="Q729" i="25"/>
  <c r="R729" i="25"/>
  <c r="N729" i="25"/>
  <c r="W729" i="25"/>
  <c r="Q71" i="12"/>
  <c r="J730" i="25"/>
  <c r="O730" i="25"/>
  <c r="P730" i="25"/>
  <c r="Q730" i="25"/>
  <c r="R730" i="25"/>
  <c r="N730" i="25"/>
  <c r="W730" i="25"/>
  <c r="Q72" i="12"/>
  <c r="J731" i="25"/>
  <c r="O731" i="25"/>
  <c r="P731" i="25"/>
  <c r="Q731" i="25"/>
  <c r="R731" i="25"/>
  <c r="N731" i="25"/>
  <c r="W731" i="25"/>
  <c r="Q73" i="12"/>
  <c r="J732" i="25"/>
  <c r="O732" i="25"/>
  <c r="P732" i="25"/>
  <c r="Q732" i="25"/>
  <c r="R732" i="25"/>
  <c r="N732" i="25"/>
  <c r="W732" i="25"/>
  <c r="Q74" i="12"/>
  <c r="J733" i="25"/>
  <c r="O733" i="25"/>
  <c r="P733" i="25"/>
  <c r="Q733" i="25"/>
  <c r="R733" i="25"/>
  <c r="N733" i="25"/>
  <c r="W733" i="25"/>
  <c r="Q75" i="12"/>
  <c r="J734" i="25"/>
  <c r="O734" i="25"/>
  <c r="P734" i="25"/>
  <c r="Q734" i="25"/>
  <c r="R734" i="25"/>
  <c r="N734" i="25"/>
  <c r="W734" i="25"/>
  <c r="Q76" i="12"/>
  <c r="J735" i="25"/>
  <c r="O735" i="25"/>
  <c r="P735" i="25"/>
  <c r="Q735" i="25"/>
  <c r="R735" i="25"/>
  <c r="N735" i="25"/>
  <c r="W735" i="25"/>
  <c r="Q77" i="12"/>
  <c r="J736" i="25"/>
  <c r="O736" i="25"/>
  <c r="P736" i="25"/>
  <c r="Q736" i="25"/>
  <c r="R736" i="25"/>
  <c r="N736" i="25"/>
  <c r="W736" i="25"/>
  <c r="Q78" i="12"/>
  <c r="J737" i="25"/>
  <c r="O737" i="25"/>
  <c r="P737" i="25"/>
  <c r="Q737" i="25"/>
  <c r="R737" i="25"/>
  <c r="N737" i="25"/>
  <c r="W737" i="25"/>
  <c r="Q79" i="12"/>
  <c r="J738" i="25"/>
  <c r="O738" i="25"/>
  <c r="P738" i="25"/>
  <c r="Q738" i="25"/>
  <c r="R738" i="25"/>
  <c r="N738" i="25"/>
  <c r="W738" i="25"/>
  <c r="Q80" i="12"/>
  <c r="J739" i="25"/>
  <c r="O739" i="25"/>
  <c r="P739" i="25"/>
  <c r="Q739" i="25"/>
  <c r="R739" i="25"/>
  <c r="N739" i="25"/>
  <c r="W739" i="25"/>
  <c r="Q81" i="12"/>
  <c r="J740" i="25"/>
  <c r="O740" i="25"/>
  <c r="P740" i="25"/>
  <c r="Q740" i="25"/>
  <c r="R740" i="25"/>
  <c r="N740" i="25"/>
  <c r="W740" i="25"/>
  <c r="Q82" i="12"/>
  <c r="J741" i="25"/>
  <c r="O741" i="25"/>
  <c r="P741" i="25"/>
  <c r="Q741" i="25"/>
  <c r="R741" i="25"/>
  <c r="N741" i="25"/>
  <c r="W741" i="25"/>
  <c r="Q83" i="12"/>
  <c r="J742" i="25"/>
  <c r="O742" i="25"/>
  <c r="P742" i="25"/>
  <c r="Q742" i="25"/>
  <c r="R742" i="25"/>
  <c r="N742" i="25"/>
  <c r="W742" i="25"/>
  <c r="Q84" i="12"/>
  <c r="J743" i="25"/>
  <c r="O743" i="25"/>
  <c r="P743" i="25"/>
  <c r="Q743" i="25"/>
  <c r="R743" i="25"/>
  <c r="N743" i="25"/>
  <c r="W743" i="25"/>
  <c r="Q85" i="12"/>
  <c r="J744" i="25"/>
  <c r="O744" i="25"/>
  <c r="P744" i="25"/>
  <c r="Q744" i="25"/>
  <c r="R744" i="25"/>
  <c r="N744" i="25"/>
  <c r="W744" i="25"/>
  <c r="Q86" i="12"/>
  <c r="J745" i="25"/>
  <c r="O745" i="25"/>
  <c r="P745" i="25"/>
  <c r="Q745" i="25"/>
  <c r="R745" i="25"/>
  <c r="N745" i="25"/>
  <c r="W745" i="25"/>
  <c r="Q87" i="12"/>
  <c r="J746" i="25"/>
  <c r="O746" i="25"/>
  <c r="P746" i="25"/>
  <c r="Q746" i="25"/>
  <c r="R746" i="25"/>
  <c r="N746" i="25"/>
  <c r="W746" i="25"/>
  <c r="Q88" i="12"/>
  <c r="J747" i="25"/>
  <c r="O747" i="25"/>
  <c r="P747" i="25"/>
  <c r="Q747" i="25"/>
  <c r="R747" i="25"/>
  <c r="N747" i="25"/>
  <c r="W747" i="25"/>
  <c r="Q89" i="12"/>
  <c r="J748" i="25"/>
  <c r="O748" i="25"/>
  <c r="P748" i="25"/>
  <c r="Q748" i="25"/>
  <c r="R748" i="25"/>
  <c r="N748" i="25"/>
  <c r="W748" i="25"/>
  <c r="Q90" i="12"/>
  <c r="J749" i="25"/>
  <c r="O749" i="25"/>
  <c r="P749" i="25"/>
  <c r="Q749" i="25"/>
  <c r="R749" i="25"/>
  <c r="N749" i="25"/>
  <c r="W749" i="25"/>
  <c r="Q91" i="12"/>
  <c r="J750" i="25"/>
  <c r="O750" i="25"/>
  <c r="P750" i="25"/>
  <c r="Q750" i="25"/>
  <c r="R750" i="25"/>
  <c r="N750" i="25"/>
  <c r="W750" i="25"/>
  <c r="Q92" i="12"/>
  <c r="J751" i="25"/>
  <c r="O751" i="25"/>
  <c r="P751" i="25"/>
  <c r="Q751" i="25"/>
  <c r="R751" i="25"/>
  <c r="N751" i="25"/>
  <c r="W751" i="25"/>
  <c r="Q93" i="12"/>
  <c r="J752" i="25"/>
  <c r="O752" i="25"/>
  <c r="P752" i="25"/>
  <c r="Q752" i="25"/>
  <c r="R752" i="25"/>
  <c r="N752" i="25"/>
  <c r="W752" i="25"/>
  <c r="Q94" i="12"/>
  <c r="J753" i="25"/>
  <c r="O753" i="25"/>
  <c r="P753" i="25"/>
  <c r="Q753" i="25"/>
  <c r="R753" i="25"/>
  <c r="N753" i="25"/>
  <c r="W753" i="25"/>
  <c r="Q95" i="12"/>
  <c r="J754" i="25"/>
  <c r="O754" i="25"/>
  <c r="P754" i="25"/>
  <c r="Q754" i="25"/>
  <c r="R754" i="25"/>
  <c r="N754" i="25"/>
  <c r="W754" i="25"/>
  <c r="Q96" i="12"/>
  <c r="J755" i="25"/>
  <c r="O755" i="25"/>
  <c r="P755" i="25"/>
  <c r="Q755" i="25"/>
  <c r="R755" i="25"/>
  <c r="N755" i="25"/>
  <c r="W755" i="25"/>
  <c r="Q97" i="12"/>
  <c r="J756" i="25"/>
  <c r="O756" i="25"/>
  <c r="P756" i="25"/>
  <c r="Q756" i="25"/>
  <c r="R756" i="25"/>
  <c r="N756" i="25"/>
  <c r="W756" i="25"/>
  <c r="Q98" i="12"/>
  <c r="J757" i="25"/>
  <c r="O757" i="25"/>
  <c r="P757" i="25"/>
  <c r="Q757" i="25"/>
  <c r="R757" i="25"/>
  <c r="N757" i="25"/>
  <c r="W757" i="25"/>
  <c r="Q99" i="12"/>
  <c r="J758" i="25"/>
  <c r="O758" i="25"/>
  <c r="P758" i="25"/>
  <c r="Q758" i="25"/>
  <c r="R758" i="25"/>
  <c r="N758" i="25"/>
  <c r="W758" i="25"/>
  <c r="Q100" i="12"/>
  <c r="J759" i="25"/>
  <c r="O759" i="25"/>
  <c r="P759" i="25"/>
  <c r="Q759" i="25"/>
  <c r="R759" i="25"/>
  <c r="N759" i="25"/>
  <c r="W759" i="25"/>
  <c r="Q101" i="12"/>
  <c r="J760" i="25"/>
  <c r="O760" i="25"/>
  <c r="P760" i="25"/>
  <c r="Q760" i="25"/>
  <c r="R760" i="25"/>
  <c r="N760" i="25"/>
  <c r="W760" i="25"/>
  <c r="Q102" i="12"/>
  <c r="J761" i="25"/>
  <c r="O761" i="25"/>
  <c r="P761" i="25"/>
  <c r="Q761" i="25"/>
  <c r="R761" i="25"/>
  <c r="N761" i="25"/>
  <c r="W761" i="25"/>
  <c r="Q103" i="12"/>
  <c r="J762" i="25"/>
  <c r="O762" i="25"/>
  <c r="P762" i="25"/>
  <c r="Q762" i="25"/>
  <c r="R762" i="25"/>
  <c r="N762" i="25"/>
  <c r="W762" i="25"/>
  <c r="Q104" i="12"/>
  <c r="J763" i="25"/>
  <c r="O763" i="25"/>
  <c r="P763" i="25"/>
  <c r="Q763" i="25"/>
  <c r="R763" i="25"/>
  <c r="N763" i="25"/>
  <c r="W763" i="25"/>
  <c r="Q105" i="12"/>
  <c r="J764" i="25"/>
  <c r="O764" i="25"/>
  <c r="P764" i="25"/>
  <c r="Q764" i="25"/>
  <c r="R764" i="25"/>
  <c r="N764" i="25"/>
  <c r="W764" i="25"/>
  <c r="Q106" i="12"/>
  <c r="J765" i="25"/>
  <c r="O765" i="25"/>
  <c r="P765" i="25"/>
  <c r="Q765" i="25"/>
  <c r="R765" i="25"/>
  <c r="N765" i="25"/>
  <c r="W765" i="25"/>
  <c r="Q107" i="12"/>
  <c r="J766" i="25"/>
  <c r="O766" i="25"/>
  <c r="P766" i="25"/>
  <c r="Q766" i="25"/>
  <c r="R766" i="25"/>
  <c r="N766" i="25"/>
  <c r="W766" i="25"/>
  <c r="Q108" i="12"/>
  <c r="J767" i="25"/>
  <c r="O767" i="25"/>
  <c r="P767" i="25"/>
  <c r="Q767" i="25"/>
  <c r="R767" i="25"/>
  <c r="N767" i="25"/>
  <c r="W767" i="25"/>
  <c r="Q109" i="12"/>
  <c r="J768" i="25"/>
  <c r="O768" i="25"/>
  <c r="P768" i="25"/>
  <c r="Q768" i="25"/>
  <c r="R768" i="25"/>
  <c r="N768" i="25"/>
  <c r="W768" i="25"/>
  <c r="Q110" i="12"/>
  <c r="J769" i="25"/>
  <c r="O769" i="25"/>
  <c r="P769" i="25"/>
  <c r="Q769" i="25"/>
  <c r="R769" i="25"/>
  <c r="N769" i="25"/>
  <c r="W769" i="25"/>
  <c r="Q111" i="12"/>
  <c r="J770" i="25"/>
  <c r="O770" i="25"/>
  <c r="P770" i="25"/>
  <c r="Q770" i="25"/>
  <c r="R770" i="25"/>
  <c r="N770" i="25"/>
  <c r="W770" i="25"/>
  <c r="Q112" i="12"/>
  <c r="J771" i="25"/>
  <c r="O771" i="25"/>
  <c r="P771" i="25"/>
  <c r="Q771" i="25"/>
  <c r="R771" i="25"/>
  <c r="N771" i="25"/>
  <c r="W771" i="25"/>
  <c r="Q113" i="12"/>
  <c r="J772" i="25"/>
  <c r="O772" i="25"/>
  <c r="P772" i="25"/>
  <c r="Q772" i="25"/>
  <c r="R772" i="25"/>
  <c r="N772" i="25"/>
  <c r="W772" i="25"/>
  <c r="Q114" i="12"/>
  <c r="J773" i="25"/>
  <c r="O773" i="25"/>
  <c r="P773" i="25"/>
  <c r="Q773" i="25"/>
  <c r="R773" i="25"/>
  <c r="N773" i="25"/>
  <c r="W773" i="25"/>
  <c r="Q115" i="12"/>
  <c r="J774" i="25"/>
  <c r="O774" i="25"/>
  <c r="P774" i="25"/>
  <c r="Q774" i="25"/>
  <c r="R774" i="25"/>
  <c r="N774" i="25"/>
  <c r="W774" i="25"/>
  <c r="Q116" i="12"/>
  <c r="J775" i="25"/>
  <c r="O775" i="25"/>
  <c r="P775" i="25"/>
  <c r="Q775" i="25"/>
  <c r="R775" i="25"/>
  <c r="N775" i="25"/>
  <c r="W775" i="25"/>
  <c r="Q117" i="12"/>
  <c r="J776" i="25"/>
  <c r="O776" i="25"/>
  <c r="P776" i="25"/>
  <c r="Q776" i="25"/>
  <c r="R776" i="25"/>
  <c r="N776" i="25"/>
  <c r="W776" i="25"/>
  <c r="Q118" i="12"/>
  <c r="J777" i="25"/>
  <c r="O777" i="25"/>
  <c r="P777" i="25"/>
  <c r="Q777" i="25"/>
  <c r="R777" i="25"/>
  <c r="N777" i="25"/>
  <c r="W777" i="25"/>
  <c r="Q119" i="12"/>
  <c r="J778" i="25"/>
  <c r="O778" i="25"/>
  <c r="P778" i="25"/>
  <c r="Q778" i="25"/>
  <c r="R778" i="25"/>
  <c r="N778" i="25"/>
  <c r="W778" i="25"/>
  <c r="Q120" i="12"/>
  <c r="J779" i="25"/>
  <c r="O779" i="25"/>
  <c r="P779" i="25"/>
  <c r="Q779" i="25"/>
  <c r="R779" i="25"/>
  <c r="N779" i="25"/>
  <c r="W779" i="25"/>
  <c r="Q121" i="12"/>
  <c r="J780" i="25"/>
  <c r="O780" i="25"/>
  <c r="P780" i="25"/>
  <c r="Q780" i="25"/>
  <c r="R780" i="25"/>
  <c r="N780" i="25"/>
  <c r="W780" i="25"/>
  <c r="Q122" i="12"/>
  <c r="J781" i="25"/>
  <c r="O781" i="25"/>
  <c r="P781" i="25"/>
  <c r="Q781" i="25"/>
  <c r="R781" i="25"/>
  <c r="N781" i="25"/>
  <c r="W781" i="25"/>
  <c r="Q123" i="12"/>
  <c r="J782" i="25"/>
  <c r="O782" i="25"/>
  <c r="P782" i="25"/>
  <c r="Q782" i="25"/>
  <c r="R782" i="25"/>
  <c r="N782" i="25"/>
  <c r="W782" i="25"/>
  <c r="Q124" i="12"/>
  <c r="J783" i="25"/>
  <c r="O783" i="25"/>
  <c r="P783" i="25"/>
  <c r="Q783" i="25"/>
  <c r="R783" i="25"/>
  <c r="N783" i="25"/>
  <c r="W783" i="25"/>
  <c r="Q125" i="12"/>
  <c r="J784" i="25"/>
  <c r="O784" i="25"/>
  <c r="P784" i="25"/>
  <c r="Q784" i="25"/>
  <c r="R784" i="25"/>
  <c r="N784" i="25"/>
  <c r="W784" i="25"/>
  <c r="Q126" i="12"/>
  <c r="J785" i="25"/>
  <c r="O785" i="25"/>
  <c r="P785" i="25"/>
  <c r="Q785" i="25"/>
  <c r="R785" i="25"/>
  <c r="N785" i="25"/>
  <c r="W785" i="25"/>
  <c r="Q127" i="12"/>
  <c r="J786" i="25"/>
  <c r="O786" i="25"/>
  <c r="P786" i="25"/>
  <c r="Q786" i="25"/>
  <c r="R786" i="25"/>
  <c r="N786" i="25"/>
  <c r="W786" i="25"/>
  <c r="Q128" i="12"/>
  <c r="J787" i="25"/>
  <c r="O787" i="25"/>
  <c r="P787" i="25"/>
  <c r="Q787" i="25"/>
  <c r="R787" i="25"/>
  <c r="N787" i="25"/>
  <c r="W787" i="25"/>
  <c r="Q129" i="12"/>
  <c r="J788" i="25"/>
  <c r="O788" i="25"/>
  <c r="P788" i="25"/>
  <c r="Q788" i="25"/>
  <c r="R788" i="25"/>
  <c r="N788" i="25"/>
  <c r="W788" i="25"/>
  <c r="Q130" i="12"/>
  <c r="J789" i="25"/>
  <c r="O789" i="25"/>
  <c r="P789" i="25"/>
  <c r="Q789" i="25"/>
  <c r="R789" i="25"/>
  <c r="N789" i="25"/>
  <c r="W789" i="25"/>
  <c r="Q131" i="12"/>
  <c r="J790" i="25"/>
  <c r="O790" i="25"/>
  <c r="P790" i="25"/>
  <c r="Q790" i="25"/>
  <c r="R790" i="25"/>
  <c r="N790" i="25"/>
  <c r="W790" i="25"/>
  <c r="Q132" i="12"/>
  <c r="J791" i="25"/>
  <c r="O791" i="25"/>
  <c r="P791" i="25"/>
  <c r="Q791" i="25"/>
  <c r="R791" i="25"/>
  <c r="N791" i="25"/>
  <c r="W791" i="25"/>
  <c r="Q133" i="12"/>
  <c r="J792" i="25"/>
  <c r="O792" i="25"/>
  <c r="P792" i="25"/>
  <c r="Q792" i="25"/>
  <c r="R792" i="25"/>
  <c r="N792" i="25"/>
  <c r="W792" i="25"/>
  <c r="Q134" i="12"/>
  <c r="J793" i="25"/>
  <c r="O793" i="25"/>
  <c r="P793" i="25"/>
  <c r="Q793" i="25"/>
  <c r="R793" i="25"/>
  <c r="N793" i="25"/>
  <c r="W793" i="25"/>
  <c r="Q135" i="12"/>
  <c r="J794" i="25"/>
  <c r="O794" i="25"/>
  <c r="P794" i="25"/>
  <c r="Q794" i="25"/>
  <c r="R794" i="25"/>
  <c r="N794" i="25"/>
  <c r="W794" i="25"/>
  <c r="Q136" i="12"/>
  <c r="J795" i="25"/>
  <c r="O795" i="25"/>
  <c r="P795" i="25"/>
  <c r="Q795" i="25"/>
  <c r="R795" i="25"/>
  <c r="N795" i="25"/>
  <c r="W795" i="25"/>
  <c r="Q137" i="12"/>
  <c r="J796" i="25"/>
  <c r="O796" i="25"/>
  <c r="P796" i="25"/>
  <c r="Q796" i="25"/>
  <c r="R796" i="25"/>
  <c r="N796" i="25"/>
  <c r="W796" i="25"/>
  <c r="Q138" i="12"/>
  <c r="J797" i="25"/>
  <c r="O797" i="25"/>
  <c r="P797" i="25"/>
  <c r="Q797" i="25"/>
  <c r="R797" i="25"/>
  <c r="N797" i="25"/>
  <c r="W797" i="25"/>
  <c r="Q139" i="12"/>
  <c r="J798" i="25"/>
  <c r="O798" i="25"/>
  <c r="P798" i="25"/>
  <c r="Q798" i="25"/>
  <c r="R798" i="25"/>
  <c r="N798" i="25"/>
  <c r="W798" i="25"/>
  <c r="Q140" i="12"/>
  <c r="J799" i="25"/>
  <c r="O799" i="25"/>
  <c r="P799" i="25"/>
  <c r="Q799" i="25"/>
  <c r="R799" i="25"/>
  <c r="N799" i="25"/>
  <c r="W799" i="25"/>
  <c r="Q141" i="12"/>
  <c r="J800" i="25"/>
  <c r="O800" i="25"/>
  <c r="P800" i="25"/>
  <c r="Q800" i="25"/>
  <c r="R800" i="25"/>
  <c r="N800" i="25"/>
  <c r="W800" i="25"/>
  <c r="Q142" i="12"/>
  <c r="J801" i="25"/>
  <c r="O801" i="25"/>
  <c r="P801" i="25"/>
  <c r="Q801" i="25"/>
  <c r="R801" i="25"/>
  <c r="N801" i="25"/>
  <c r="W801" i="25"/>
  <c r="Q143" i="12"/>
  <c r="J802" i="25"/>
  <c r="O802" i="25"/>
  <c r="P802" i="25"/>
  <c r="Q802" i="25"/>
  <c r="R802" i="25"/>
  <c r="N802" i="25"/>
  <c r="W802" i="25"/>
  <c r="Q144" i="12"/>
  <c r="J803" i="25"/>
  <c r="O803" i="25"/>
  <c r="P803" i="25"/>
  <c r="Q803" i="25"/>
  <c r="R803" i="25"/>
  <c r="N803" i="25"/>
  <c r="W803" i="25"/>
  <c r="Q145" i="12"/>
  <c r="J804" i="25"/>
  <c r="O804" i="25"/>
  <c r="P804" i="25"/>
  <c r="Q804" i="25"/>
  <c r="R804" i="25"/>
  <c r="N804" i="25"/>
  <c r="W804" i="25"/>
  <c r="Q146" i="12"/>
  <c r="J805" i="25"/>
  <c r="O805" i="25"/>
  <c r="P805" i="25"/>
  <c r="Q805" i="25"/>
  <c r="R805" i="25"/>
  <c r="N805" i="25"/>
  <c r="W805" i="25"/>
  <c r="Q147" i="12"/>
  <c r="J806" i="25"/>
  <c r="O806" i="25"/>
  <c r="P806" i="25"/>
  <c r="Q806" i="25"/>
  <c r="R806" i="25"/>
  <c r="N806" i="25"/>
  <c r="W806" i="25"/>
  <c r="Q148" i="12"/>
  <c r="J807" i="25"/>
  <c r="O807" i="25"/>
  <c r="P807" i="25"/>
  <c r="Q807" i="25"/>
  <c r="R807" i="25"/>
  <c r="N807" i="25"/>
  <c r="W807" i="25"/>
  <c r="Q149" i="12"/>
  <c r="J808" i="25"/>
  <c r="O808" i="25"/>
  <c r="P808" i="25"/>
  <c r="Q808" i="25"/>
  <c r="R808" i="25"/>
  <c r="N808" i="25"/>
  <c r="W808" i="25"/>
  <c r="Q150" i="12"/>
  <c r="J809" i="25"/>
  <c r="O809" i="25"/>
  <c r="P809" i="25"/>
  <c r="Q809" i="25"/>
  <c r="R809" i="25"/>
  <c r="N809" i="25"/>
  <c r="W809" i="25"/>
  <c r="Q151" i="12"/>
  <c r="J810" i="25"/>
  <c r="O810" i="25"/>
  <c r="P810" i="25"/>
  <c r="Q810" i="25"/>
  <c r="R810" i="25"/>
  <c r="N810" i="25"/>
  <c r="W810" i="25"/>
  <c r="Q152" i="12"/>
  <c r="J811" i="25"/>
  <c r="O811" i="25"/>
  <c r="P811" i="25"/>
  <c r="Q811" i="25"/>
  <c r="R811" i="25"/>
  <c r="N811" i="25"/>
  <c r="W811" i="25"/>
  <c r="Q153" i="12"/>
  <c r="J812" i="25"/>
  <c r="O812" i="25"/>
  <c r="P812" i="25"/>
  <c r="Q812" i="25"/>
  <c r="R812" i="25"/>
  <c r="N812" i="25"/>
  <c r="W812" i="25"/>
  <c r="Q154" i="12"/>
  <c r="J813" i="25"/>
  <c r="O813" i="25"/>
  <c r="P813" i="25"/>
  <c r="Q813" i="25"/>
  <c r="R813" i="25"/>
  <c r="N813" i="25"/>
  <c r="W813" i="25"/>
  <c r="Q155" i="12"/>
  <c r="J814" i="25"/>
  <c r="O814" i="25"/>
  <c r="P814" i="25"/>
  <c r="Q814" i="25"/>
  <c r="R814" i="25"/>
  <c r="N814" i="25"/>
  <c r="W814" i="25"/>
  <c r="Q156" i="12"/>
  <c r="J815" i="25"/>
  <c r="O815" i="25"/>
  <c r="P815" i="25"/>
  <c r="Q815" i="25"/>
  <c r="R815" i="25"/>
  <c r="N815" i="25"/>
  <c r="W815" i="25"/>
  <c r="Q157" i="12"/>
  <c r="J816" i="25"/>
  <c r="O816" i="25"/>
  <c r="P816" i="25"/>
  <c r="Q816" i="25"/>
  <c r="R816" i="25"/>
  <c r="N816" i="25"/>
  <c r="W816" i="25"/>
  <c r="Q158" i="12"/>
  <c r="J817" i="25"/>
  <c r="O817" i="25"/>
  <c r="P817" i="25"/>
  <c r="Q817" i="25"/>
  <c r="R817" i="25"/>
  <c r="N817" i="25"/>
  <c r="W817" i="25"/>
  <c r="Q159" i="12"/>
  <c r="J818" i="25"/>
  <c r="O818" i="25"/>
  <c r="P818" i="25"/>
  <c r="Q818" i="25"/>
  <c r="R818" i="25"/>
  <c r="N818" i="25"/>
  <c r="W818" i="25"/>
  <c r="Q160" i="12"/>
  <c r="J819" i="25"/>
  <c r="O819" i="25"/>
  <c r="P819" i="25"/>
  <c r="Q819" i="25"/>
  <c r="R819" i="25"/>
  <c r="N819" i="25"/>
  <c r="W819" i="25"/>
  <c r="Q161" i="12"/>
  <c r="J820" i="25"/>
  <c r="O820" i="25"/>
  <c r="P820" i="25"/>
  <c r="Q820" i="25"/>
  <c r="R820" i="25"/>
  <c r="N820" i="25"/>
  <c r="W820" i="25"/>
  <c r="Q162" i="12"/>
  <c r="J821" i="25"/>
  <c r="O821" i="25"/>
  <c r="P821" i="25"/>
  <c r="Q821" i="25"/>
  <c r="R821" i="25"/>
  <c r="N821" i="25"/>
  <c r="W821" i="25"/>
  <c r="Q163" i="12"/>
  <c r="J822" i="25"/>
  <c r="O822" i="25"/>
  <c r="P822" i="25"/>
  <c r="Q822" i="25"/>
  <c r="R822" i="25"/>
  <c r="N822" i="25"/>
  <c r="W822" i="25"/>
  <c r="Q164" i="12"/>
  <c r="J823" i="25"/>
  <c r="O823" i="25"/>
  <c r="P823" i="25"/>
  <c r="Q823" i="25"/>
  <c r="R823" i="25"/>
  <c r="N823" i="25"/>
  <c r="W823" i="25"/>
  <c r="Q165" i="12"/>
  <c r="J824" i="25"/>
  <c r="O824" i="25"/>
  <c r="P824" i="25"/>
  <c r="Q824" i="25"/>
  <c r="R824" i="25"/>
  <c r="N824" i="25"/>
  <c r="W824" i="25"/>
  <c r="Q166" i="12"/>
  <c r="J825" i="25"/>
  <c r="O825" i="25"/>
  <c r="P825" i="25"/>
  <c r="Q825" i="25"/>
  <c r="R825" i="25"/>
  <c r="N825" i="25"/>
  <c r="W825" i="25"/>
  <c r="Q167" i="12"/>
  <c r="J826" i="25"/>
  <c r="O826" i="25"/>
  <c r="P826" i="25"/>
  <c r="Q826" i="25"/>
  <c r="R826" i="25"/>
  <c r="N826" i="25"/>
  <c r="W826" i="25"/>
  <c r="Q168" i="12"/>
  <c r="J827" i="25"/>
  <c r="O827" i="25"/>
  <c r="P827" i="25"/>
  <c r="Q827" i="25"/>
  <c r="R827" i="25"/>
  <c r="N827" i="25"/>
  <c r="W827" i="25"/>
  <c r="Q169" i="12"/>
  <c r="J828" i="25"/>
  <c r="O828" i="25"/>
  <c r="P828" i="25"/>
  <c r="Q828" i="25"/>
  <c r="R828" i="25"/>
  <c r="N828" i="25"/>
  <c r="W828" i="25"/>
  <c r="Q170" i="12"/>
  <c r="J829" i="25"/>
  <c r="O829" i="25"/>
  <c r="P829" i="25"/>
  <c r="Q829" i="25"/>
  <c r="R829" i="25"/>
  <c r="N829" i="25"/>
  <c r="W829" i="25"/>
  <c r="Q171" i="12"/>
  <c r="J830" i="25"/>
  <c r="O830" i="25"/>
  <c r="P830" i="25"/>
  <c r="Q830" i="25"/>
  <c r="R830" i="25"/>
  <c r="N830" i="25"/>
  <c r="W830" i="25"/>
  <c r="Q172" i="12"/>
  <c r="J831" i="25"/>
  <c r="O831" i="25"/>
  <c r="P831" i="25"/>
  <c r="Q831" i="25"/>
  <c r="R831" i="25"/>
  <c r="N831" i="25"/>
  <c r="W831" i="25"/>
  <c r="Q173" i="12"/>
  <c r="J832" i="25"/>
  <c r="O832" i="25"/>
  <c r="P832" i="25"/>
  <c r="Q832" i="25"/>
  <c r="R832" i="25"/>
  <c r="N832" i="25"/>
  <c r="W832" i="25"/>
  <c r="Q174" i="12"/>
  <c r="J833" i="25"/>
  <c r="O833" i="25"/>
  <c r="P833" i="25"/>
  <c r="Q833" i="25"/>
  <c r="R833" i="25"/>
  <c r="N833" i="25"/>
  <c r="W833" i="25"/>
  <c r="Q175" i="12"/>
  <c r="J834" i="25"/>
  <c r="O834" i="25"/>
  <c r="P834" i="25"/>
  <c r="Q834" i="25"/>
  <c r="R834" i="25"/>
  <c r="N834" i="25"/>
  <c r="W834" i="25"/>
  <c r="Q176" i="12"/>
  <c r="J835" i="25"/>
  <c r="O835" i="25"/>
  <c r="P835" i="25"/>
  <c r="Q835" i="25"/>
  <c r="R835" i="25"/>
  <c r="N835" i="25"/>
  <c r="W835" i="25"/>
  <c r="Q177" i="12"/>
  <c r="J836" i="25"/>
  <c r="O836" i="25"/>
  <c r="P836" i="25"/>
  <c r="Q836" i="25"/>
  <c r="R836" i="25"/>
  <c r="N836" i="25"/>
  <c r="W836" i="25"/>
  <c r="Q178" i="12"/>
  <c r="J837" i="25"/>
  <c r="O837" i="25"/>
  <c r="P837" i="25"/>
  <c r="Q837" i="25"/>
  <c r="R837" i="25"/>
  <c r="N837" i="25"/>
  <c r="W837" i="25"/>
  <c r="Q179" i="12"/>
  <c r="J838" i="25"/>
  <c r="O838" i="25"/>
  <c r="P838" i="25"/>
  <c r="Q838" i="25"/>
  <c r="R838" i="25"/>
  <c r="N838" i="25"/>
  <c r="W838" i="25"/>
  <c r="Q180" i="12"/>
  <c r="J839" i="25"/>
  <c r="O839" i="25"/>
  <c r="P839" i="25"/>
  <c r="Q839" i="25"/>
  <c r="R839" i="25"/>
  <c r="N839" i="25"/>
  <c r="W839" i="25"/>
  <c r="Q181" i="12"/>
  <c r="J840" i="25"/>
  <c r="O840" i="25"/>
  <c r="P840" i="25"/>
  <c r="Q840" i="25"/>
  <c r="R840" i="25"/>
  <c r="N840" i="25"/>
  <c r="W840" i="25"/>
  <c r="Q182" i="12"/>
  <c r="J841" i="25"/>
  <c r="O841" i="25"/>
  <c r="P841" i="25"/>
  <c r="Q841" i="25"/>
  <c r="R841" i="25"/>
  <c r="N841" i="25"/>
  <c r="W841" i="25"/>
  <c r="Q183" i="12"/>
  <c r="J842" i="25"/>
  <c r="O842" i="25"/>
  <c r="P842" i="25"/>
  <c r="Q842" i="25"/>
  <c r="R842" i="25"/>
  <c r="N842" i="25"/>
  <c r="W842" i="25"/>
  <c r="Q184" i="12"/>
  <c r="J843" i="25"/>
  <c r="O843" i="25"/>
  <c r="P843" i="25"/>
  <c r="Q843" i="25"/>
  <c r="R843" i="25"/>
  <c r="N843" i="25"/>
  <c r="W843" i="25"/>
  <c r="Q185" i="12"/>
  <c r="J844" i="25"/>
  <c r="O844" i="25"/>
  <c r="P844" i="25"/>
  <c r="Q844" i="25"/>
  <c r="R844" i="25"/>
  <c r="N844" i="25"/>
  <c r="W844" i="25"/>
  <c r="Q186" i="12"/>
  <c r="J845" i="25"/>
  <c r="O845" i="25"/>
  <c r="P845" i="25"/>
  <c r="Q845" i="25"/>
  <c r="R845" i="25"/>
  <c r="N845" i="25"/>
  <c r="W845" i="25"/>
  <c r="Q187" i="12"/>
  <c r="J846" i="25"/>
  <c r="O846" i="25"/>
  <c r="P846" i="25"/>
  <c r="Q846" i="25"/>
  <c r="R846" i="25"/>
  <c r="N846" i="25"/>
  <c r="W846" i="25"/>
  <c r="Q188" i="12"/>
  <c r="J847" i="25"/>
  <c r="O847" i="25"/>
  <c r="P847" i="25"/>
  <c r="Q847" i="25"/>
  <c r="R847" i="25"/>
  <c r="N847" i="25"/>
  <c r="W847" i="25"/>
  <c r="Q189" i="12"/>
  <c r="J848" i="25"/>
  <c r="O848" i="25"/>
  <c r="P848" i="25"/>
  <c r="Q848" i="25"/>
  <c r="R848" i="25"/>
  <c r="N848" i="25"/>
  <c r="W848" i="25"/>
  <c r="Q190" i="12"/>
  <c r="J849" i="25"/>
  <c r="O849" i="25"/>
  <c r="P849" i="25"/>
  <c r="Q849" i="25"/>
  <c r="R849" i="25"/>
  <c r="N849" i="25"/>
  <c r="W849" i="25"/>
  <c r="Q191" i="12"/>
  <c r="J850" i="25"/>
  <c r="O850" i="25"/>
  <c r="P850" i="25"/>
  <c r="Q850" i="25"/>
  <c r="R850" i="25"/>
  <c r="N850" i="25"/>
  <c r="W850" i="25"/>
  <c r="Q192" i="12"/>
  <c r="J851" i="25"/>
  <c r="O851" i="25"/>
  <c r="P851" i="25"/>
  <c r="Q851" i="25"/>
  <c r="R851" i="25"/>
  <c r="N851" i="25"/>
  <c r="W851" i="25"/>
  <c r="Q193" i="12"/>
  <c r="J852" i="25"/>
  <c r="O852" i="25"/>
  <c r="P852" i="25"/>
  <c r="Q852" i="25"/>
  <c r="R852" i="25"/>
  <c r="N852" i="25"/>
  <c r="W852" i="25"/>
  <c r="Q194" i="12"/>
  <c r="J853" i="25"/>
  <c r="O853" i="25"/>
  <c r="P853" i="25"/>
  <c r="Q853" i="25"/>
  <c r="R853" i="25"/>
  <c r="N853" i="25"/>
  <c r="W853" i="25"/>
  <c r="Q195" i="12"/>
  <c r="J854" i="25"/>
  <c r="O854" i="25"/>
  <c r="P854" i="25"/>
  <c r="Q854" i="25"/>
  <c r="R854" i="25"/>
  <c r="N854" i="25"/>
  <c r="W854" i="25"/>
  <c r="Q196" i="12"/>
  <c r="J855" i="25"/>
  <c r="O855" i="25"/>
  <c r="P855" i="25"/>
  <c r="Q855" i="25"/>
  <c r="R855" i="25"/>
  <c r="N855" i="25"/>
  <c r="W855" i="25"/>
  <c r="Q197" i="12"/>
  <c r="J856" i="25"/>
  <c r="O856" i="25"/>
  <c r="P856" i="25"/>
  <c r="Q856" i="25"/>
  <c r="R856" i="25"/>
  <c r="N856" i="25"/>
  <c r="W856" i="25"/>
  <c r="Q198" i="12"/>
  <c r="J857" i="25"/>
  <c r="O857" i="25"/>
  <c r="P857" i="25"/>
  <c r="Q857" i="25"/>
  <c r="R857" i="25"/>
  <c r="N857" i="25"/>
  <c r="W857" i="25"/>
  <c r="Q199" i="12"/>
  <c r="J858" i="25"/>
  <c r="O858" i="25"/>
  <c r="P858" i="25"/>
  <c r="Q858" i="25"/>
  <c r="R858" i="25"/>
  <c r="N858" i="25"/>
  <c r="W858" i="25"/>
  <c r="Q200" i="12"/>
  <c r="J859" i="25"/>
  <c r="O859" i="25"/>
  <c r="P859" i="25"/>
  <c r="Q859" i="25"/>
  <c r="R859" i="25"/>
  <c r="N859" i="25"/>
  <c r="W859" i="25"/>
  <c r="Q201" i="12"/>
  <c r="J860" i="25"/>
  <c r="O860" i="25"/>
  <c r="P860" i="25"/>
  <c r="Q860" i="25"/>
  <c r="R860" i="25"/>
  <c r="N860" i="25"/>
  <c r="W860" i="25"/>
  <c r="Q202" i="12"/>
  <c r="J861" i="25"/>
  <c r="O861" i="25"/>
  <c r="P861" i="25"/>
  <c r="Q861" i="25"/>
  <c r="R861" i="25"/>
  <c r="N861" i="25"/>
  <c r="W861" i="25"/>
  <c r="Q203" i="12"/>
  <c r="J862" i="25"/>
  <c r="O862" i="25"/>
  <c r="P862" i="25"/>
  <c r="Q862" i="25"/>
  <c r="R862" i="25"/>
  <c r="N862" i="25"/>
  <c r="W862" i="25"/>
  <c r="Q204" i="12"/>
  <c r="J863" i="25"/>
  <c r="O863" i="25"/>
  <c r="P863" i="25"/>
  <c r="Q863" i="25"/>
  <c r="R863" i="25"/>
  <c r="N863" i="25"/>
  <c r="W863" i="25"/>
  <c r="Q205" i="12"/>
  <c r="J864" i="25"/>
  <c r="O864" i="25"/>
  <c r="P864" i="25"/>
  <c r="Q864" i="25"/>
  <c r="R864" i="25"/>
  <c r="N864" i="25"/>
  <c r="W864" i="25"/>
  <c r="Q206" i="12"/>
  <c r="J865" i="25"/>
  <c r="O865" i="25"/>
  <c r="P865" i="25"/>
  <c r="Q865" i="25"/>
  <c r="R865" i="25"/>
  <c r="N865" i="25"/>
  <c r="W865" i="25"/>
  <c r="Q207" i="12"/>
  <c r="J866" i="25"/>
  <c r="O866" i="25"/>
  <c r="P866" i="25"/>
  <c r="Q866" i="25"/>
  <c r="R866" i="25"/>
  <c r="N866" i="25"/>
  <c r="W866" i="25"/>
  <c r="Q208" i="12"/>
  <c r="J867" i="25"/>
  <c r="O867" i="25"/>
  <c r="P867" i="25"/>
  <c r="Q867" i="25"/>
  <c r="R867" i="25"/>
  <c r="N867" i="25"/>
  <c r="W867" i="25"/>
  <c r="Q209" i="12"/>
  <c r="J868" i="25"/>
  <c r="O868" i="25"/>
  <c r="P868" i="25"/>
  <c r="Q868" i="25"/>
  <c r="R868" i="25"/>
  <c r="N868" i="25"/>
  <c r="W868" i="25"/>
  <c r="Q210" i="12"/>
  <c r="J869" i="25"/>
  <c r="O869" i="25"/>
  <c r="P869" i="25"/>
  <c r="Q869" i="25"/>
  <c r="R869" i="25"/>
  <c r="N869" i="25"/>
  <c r="W869" i="25"/>
  <c r="Q211" i="12"/>
  <c r="J870" i="25"/>
  <c r="O870" i="25"/>
  <c r="P870" i="25"/>
  <c r="Q870" i="25"/>
  <c r="R870" i="25"/>
  <c r="N870" i="25"/>
  <c r="W870" i="25"/>
  <c r="Q212" i="12"/>
  <c r="J871" i="25"/>
  <c r="O871" i="25"/>
  <c r="P871" i="25"/>
  <c r="Q871" i="25"/>
  <c r="R871" i="25"/>
  <c r="N871" i="25"/>
  <c r="W871" i="25"/>
  <c r="Q213" i="12"/>
  <c r="J872" i="25"/>
  <c r="O872" i="25"/>
  <c r="P872" i="25"/>
  <c r="Q872" i="25"/>
  <c r="R872" i="25"/>
  <c r="N872" i="25"/>
  <c r="W872" i="25"/>
  <c r="Q214" i="12"/>
  <c r="J873" i="25"/>
  <c r="O873" i="25"/>
  <c r="P873" i="25"/>
  <c r="Q873" i="25"/>
  <c r="R873" i="25"/>
  <c r="N873" i="25"/>
  <c r="W873" i="25"/>
  <c r="Q215" i="12"/>
  <c r="J874" i="25"/>
  <c r="O874" i="25"/>
  <c r="P874" i="25"/>
  <c r="Q874" i="25"/>
  <c r="R874" i="25"/>
  <c r="N874" i="25"/>
  <c r="W874" i="25"/>
  <c r="Q216" i="12"/>
  <c r="J875" i="25"/>
  <c r="O875" i="25"/>
  <c r="P875" i="25"/>
  <c r="Q875" i="25"/>
  <c r="R875" i="25"/>
  <c r="N875" i="25"/>
  <c r="W875" i="25"/>
  <c r="Q217" i="12"/>
  <c r="J876" i="25"/>
  <c r="O876" i="25"/>
  <c r="P876" i="25"/>
  <c r="Q876" i="25"/>
  <c r="R876" i="25"/>
  <c r="N876" i="25"/>
  <c r="W876" i="25"/>
  <c r="Q218" i="12"/>
  <c r="J877" i="25"/>
  <c r="O877" i="25"/>
  <c r="P877" i="25"/>
  <c r="Q877" i="25"/>
  <c r="R877" i="25"/>
  <c r="N877" i="25"/>
  <c r="W877" i="25"/>
  <c r="Q219" i="12"/>
  <c r="J878" i="25"/>
  <c r="O878" i="25"/>
  <c r="P878" i="25"/>
  <c r="Q878" i="25"/>
  <c r="R878" i="25"/>
  <c r="N878" i="25"/>
  <c r="W878" i="25"/>
  <c r="Q220" i="12"/>
  <c r="J879" i="25"/>
  <c r="O879" i="25"/>
  <c r="P879" i="25"/>
  <c r="Q879" i="25"/>
  <c r="R879" i="25"/>
  <c r="N879" i="25"/>
  <c r="W879" i="25"/>
  <c r="Q221" i="12"/>
  <c r="J880" i="25"/>
  <c r="O880" i="25"/>
  <c r="P880" i="25"/>
  <c r="Q880" i="25"/>
  <c r="R880" i="25"/>
  <c r="N880" i="25"/>
  <c r="W880" i="25"/>
  <c r="Q222" i="12"/>
  <c r="J881" i="25"/>
  <c r="O881" i="25"/>
  <c r="P881" i="25"/>
  <c r="Q881" i="25"/>
  <c r="R881" i="25"/>
  <c r="N881" i="25"/>
  <c r="W881" i="25"/>
  <c r="K3" i="12"/>
  <c r="J2" i="25"/>
  <c r="O2" i="25"/>
  <c r="P2" i="25"/>
  <c r="Q2" i="25"/>
  <c r="R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J664" i="31"/>
  <c r="J665" i="31"/>
  <c r="J666" i="31"/>
  <c r="J667" i="31"/>
  <c r="J668" i="31"/>
  <c r="J669" i="31"/>
  <c r="J670" i="31"/>
  <c r="J671" i="31"/>
  <c r="J672" i="31"/>
  <c r="J673" i="31"/>
  <c r="J674" i="31"/>
  <c r="J675" i="31"/>
  <c r="J676" i="31"/>
  <c r="J677" i="31"/>
  <c r="J678" i="31"/>
  <c r="J679" i="31"/>
  <c r="J680" i="31"/>
  <c r="J681" i="31"/>
  <c r="J682" i="31"/>
  <c r="J683" i="31"/>
  <c r="J684" i="31"/>
  <c r="J685" i="31"/>
  <c r="J686" i="31"/>
  <c r="J687" i="31"/>
  <c r="J688" i="31"/>
  <c r="J689" i="31"/>
  <c r="J690" i="31"/>
  <c r="J691" i="31"/>
  <c r="J692" i="31"/>
  <c r="J693" i="31"/>
  <c r="J694" i="31"/>
  <c r="J695" i="31"/>
  <c r="J696" i="31"/>
  <c r="J697" i="31"/>
  <c r="J698" i="31"/>
  <c r="J699" i="31"/>
  <c r="J700" i="31"/>
  <c r="J701" i="31"/>
  <c r="J702" i="31"/>
  <c r="J703" i="31"/>
  <c r="J704" i="31"/>
  <c r="J705" i="31"/>
  <c r="J706" i="31"/>
  <c r="J707" i="31"/>
  <c r="J708" i="31"/>
  <c r="J709" i="31"/>
  <c r="J710" i="31"/>
  <c r="J711" i="31"/>
  <c r="J712" i="31"/>
  <c r="J713" i="31"/>
  <c r="J714" i="31"/>
  <c r="J715" i="31"/>
  <c r="J716" i="31"/>
  <c r="J717" i="31"/>
  <c r="J718" i="31"/>
  <c r="J719" i="31"/>
  <c r="J720" i="31"/>
  <c r="J721" i="31"/>
  <c r="J722" i="31"/>
  <c r="J723" i="31"/>
  <c r="J724" i="31"/>
  <c r="J725" i="31"/>
  <c r="J726" i="31"/>
  <c r="J727" i="31"/>
  <c r="J728" i="31"/>
  <c r="J729" i="31"/>
  <c r="J730" i="31"/>
  <c r="J731" i="31"/>
  <c r="J732" i="31"/>
  <c r="J733" i="31"/>
  <c r="J734" i="31"/>
  <c r="J735" i="31"/>
  <c r="J736" i="31"/>
  <c r="J737" i="31"/>
  <c r="J738" i="31"/>
  <c r="J739" i="31"/>
  <c r="J740" i="31"/>
  <c r="J741" i="31"/>
  <c r="J742" i="31"/>
  <c r="J743" i="31"/>
  <c r="J744" i="31"/>
  <c r="J745" i="31"/>
  <c r="J746" i="31"/>
  <c r="J747" i="31"/>
  <c r="J748" i="31"/>
  <c r="J749" i="31"/>
  <c r="J751" i="31"/>
  <c r="J752" i="31"/>
  <c r="J753" i="31"/>
  <c r="J754" i="31"/>
  <c r="J755" i="31"/>
  <c r="J756" i="31"/>
  <c r="J757" i="31"/>
  <c r="J758" i="31"/>
  <c r="J759" i="31"/>
  <c r="J760" i="31"/>
  <c r="J761" i="31"/>
  <c r="J762" i="31"/>
  <c r="J763" i="31"/>
  <c r="J764" i="31"/>
  <c r="J765" i="31"/>
  <c r="J766" i="31"/>
  <c r="J767" i="31"/>
  <c r="J768" i="31"/>
  <c r="J769" i="31"/>
  <c r="J770" i="31"/>
  <c r="J771" i="31"/>
  <c r="J772" i="31"/>
  <c r="J773" i="31"/>
  <c r="J774" i="31"/>
  <c r="J775" i="31"/>
  <c r="J776" i="31"/>
  <c r="J777" i="31"/>
  <c r="J778" i="31"/>
  <c r="J779" i="31"/>
  <c r="J780" i="31"/>
  <c r="J781" i="31"/>
  <c r="J782" i="31"/>
  <c r="J783" i="31"/>
  <c r="J784" i="31"/>
  <c r="J785" i="31"/>
  <c r="J786" i="31"/>
  <c r="J787" i="31"/>
  <c r="J788" i="31"/>
  <c r="J789" i="31"/>
  <c r="J790" i="31"/>
  <c r="J791" i="31"/>
  <c r="J792" i="31"/>
  <c r="J793" i="31"/>
  <c r="J794" i="31"/>
  <c r="J795" i="31"/>
  <c r="J796" i="31"/>
  <c r="J797" i="31"/>
  <c r="J798" i="31"/>
  <c r="J799" i="31"/>
  <c r="J800" i="31"/>
  <c r="J801" i="31"/>
  <c r="J802" i="31"/>
  <c r="J803" i="31"/>
  <c r="J804" i="31"/>
  <c r="J805" i="31"/>
  <c r="J806" i="31"/>
  <c r="J807" i="31"/>
  <c r="J808" i="31"/>
  <c r="J809" i="31"/>
  <c r="J810" i="31"/>
  <c r="J811" i="31"/>
  <c r="J812" i="31"/>
  <c r="J813" i="31"/>
  <c r="J814" i="31"/>
  <c r="J815" i="31"/>
  <c r="J816" i="31"/>
  <c r="J817" i="31"/>
  <c r="J818" i="31"/>
  <c r="J819" i="31"/>
  <c r="J820" i="31"/>
  <c r="J821" i="31"/>
  <c r="J822" i="31"/>
  <c r="J823" i="31"/>
  <c r="J824" i="31"/>
  <c r="J825" i="31"/>
  <c r="J826" i="31"/>
  <c r="J827" i="31"/>
  <c r="J828" i="31"/>
  <c r="J829" i="31"/>
  <c r="J830" i="31"/>
  <c r="J831" i="31"/>
  <c r="J832" i="31"/>
  <c r="J833" i="31"/>
  <c r="J834" i="31"/>
  <c r="J835" i="31"/>
  <c r="J836" i="31"/>
  <c r="J837" i="31"/>
  <c r="J838" i="31"/>
  <c r="J839" i="31"/>
  <c r="J840" i="31"/>
  <c r="J841" i="31"/>
  <c r="J842" i="31"/>
  <c r="J843" i="31"/>
  <c r="J844" i="31"/>
  <c r="J845" i="31"/>
  <c r="J846" i="31"/>
  <c r="J847" i="31"/>
  <c r="J848" i="31"/>
  <c r="J849" i="31"/>
  <c r="J850" i="31"/>
  <c r="J851" i="31"/>
  <c r="J852" i="31"/>
  <c r="J853" i="31"/>
  <c r="J854" i="31"/>
  <c r="J855" i="31"/>
  <c r="J856" i="31"/>
  <c r="J857" i="31"/>
  <c r="J858" i="31"/>
  <c r="J859" i="31"/>
  <c r="J860" i="31"/>
  <c r="J861" i="31"/>
  <c r="J862" i="31"/>
  <c r="J863" i="31"/>
  <c r="J864" i="31"/>
  <c r="J865" i="31"/>
  <c r="J866" i="31"/>
  <c r="J867" i="31"/>
  <c r="J868" i="31"/>
  <c r="J869" i="31"/>
  <c r="J870" i="31"/>
  <c r="J871" i="31"/>
  <c r="J872" i="31"/>
  <c r="J873" i="31"/>
  <c r="J874" i="31"/>
  <c r="J875" i="31"/>
  <c r="J876" i="31"/>
  <c r="J877" i="31"/>
  <c r="J878" i="31"/>
  <c r="J879" i="31"/>
  <c r="J880" i="31"/>
  <c r="J881" i="31"/>
  <c r="J66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571" i="31"/>
  <c r="J572" i="31"/>
  <c r="J573" i="31"/>
  <c r="J574" i="31"/>
  <c r="J575" i="31"/>
  <c r="J576" i="31"/>
  <c r="J577" i="31"/>
  <c r="J578" i="31"/>
  <c r="J579" i="31"/>
  <c r="J580" i="31"/>
  <c r="J581" i="31"/>
  <c r="J582" i="31"/>
  <c r="J583" i="31"/>
  <c r="J584" i="31"/>
  <c r="J585" i="31"/>
  <c r="J586" i="31"/>
  <c r="J587" i="31"/>
  <c r="J588" i="31"/>
  <c r="J589" i="31"/>
  <c r="J590" i="31"/>
  <c r="J591" i="31"/>
  <c r="J592" i="31"/>
  <c r="J593" i="31"/>
  <c r="J594" i="31"/>
  <c r="J595" i="31"/>
  <c r="J596" i="31"/>
  <c r="J597" i="31"/>
  <c r="J598" i="31"/>
  <c r="J599" i="31"/>
  <c r="J600" i="31"/>
  <c r="J601" i="31"/>
  <c r="J602" i="31"/>
  <c r="J603" i="31"/>
  <c r="J604" i="31"/>
  <c r="J605" i="31"/>
  <c r="J606" i="31"/>
  <c r="J607" i="31"/>
  <c r="J608" i="31"/>
  <c r="J609" i="31"/>
  <c r="J610" i="31"/>
  <c r="J611" i="31"/>
  <c r="J612" i="31"/>
  <c r="J613" i="31"/>
  <c r="J614" i="31"/>
  <c r="J615" i="31"/>
  <c r="J616" i="31"/>
  <c r="J617" i="31"/>
  <c r="J618" i="31"/>
  <c r="J619" i="31"/>
  <c r="J620" i="31"/>
  <c r="J621" i="31"/>
  <c r="J622" i="31"/>
  <c r="J623" i="31"/>
  <c r="J624" i="31"/>
  <c r="J625" i="31"/>
  <c r="J626" i="31"/>
  <c r="J627" i="31"/>
  <c r="J628" i="31"/>
  <c r="J629" i="31"/>
  <c r="J630" i="31"/>
  <c r="J631" i="31"/>
  <c r="J632" i="31"/>
  <c r="J633" i="31"/>
  <c r="J634" i="31"/>
  <c r="J635" i="31"/>
  <c r="J636" i="31"/>
  <c r="J637" i="31"/>
  <c r="J638" i="31"/>
  <c r="J639" i="31"/>
  <c r="J640" i="31"/>
  <c r="J641" i="31"/>
  <c r="J642" i="31"/>
  <c r="J643" i="31"/>
  <c r="J644" i="31"/>
  <c r="J645" i="31"/>
  <c r="J646" i="31"/>
  <c r="J647" i="31"/>
  <c r="J648" i="31"/>
  <c r="J649" i="31"/>
  <c r="J650" i="31"/>
  <c r="J651" i="31"/>
  <c r="J652" i="31"/>
  <c r="J653" i="31"/>
  <c r="J654" i="31"/>
  <c r="J655" i="31"/>
  <c r="J656" i="31"/>
  <c r="J657" i="31"/>
  <c r="J658" i="31"/>
  <c r="J659" i="31"/>
  <c r="J660" i="31"/>
  <c r="J661" i="31"/>
  <c r="J44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222" i="31"/>
  <c r="J3" i="3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T818" i="25"/>
  <c r="T817" i="25"/>
  <c r="T443"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K20" i="24"/>
  <c r="T21" i="23"/>
  <c r="W21" i="23"/>
  <c r="W239" i="23"/>
  <c r="W26" i="23"/>
  <c r="W463" i="23"/>
  <c r="W287" i="23"/>
  <c r="W525" i="23"/>
  <c r="W530" i="23"/>
  <c r="W799" i="23"/>
  <c r="W379" i="23"/>
  <c r="W146" i="23"/>
  <c r="W543" i="23"/>
  <c r="W693" i="23"/>
  <c r="W181" i="23"/>
  <c r="W209" i="23"/>
  <c r="W729" i="23"/>
  <c r="W195" i="23"/>
  <c r="W758" i="23"/>
  <c r="W777" i="23"/>
  <c r="W153" i="23"/>
  <c r="W136" i="23"/>
  <c r="W627" i="23"/>
  <c r="W196" i="23"/>
  <c r="W468" i="23"/>
  <c r="W661" i="23"/>
  <c r="W544" i="23"/>
  <c r="W117" i="23"/>
  <c r="W178" i="23"/>
  <c r="W434" i="23"/>
  <c r="W499" i="23"/>
  <c r="W182" i="23"/>
  <c r="W98" i="23"/>
  <c r="W133" i="23"/>
  <c r="G460" i="23"/>
  <c r="D574" i="23"/>
  <c r="D97" i="23"/>
  <c r="D212" i="23"/>
  <c r="D396" i="23"/>
  <c r="D658" i="23"/>
  <c r="D755" i="23"/>
  <c r="D339" i="23"/>
  <c r="D753" i="23"/>
  <c r="D773" i="23"/>
  <c r="D624" i="23"/>
  <c r="D293" i="23"/>
  <c r="D371" i="23"/>
  <c r="D67" i="23"/>
  <c r="D713" i="23"/>
  <c r="D13" i="23"/>
  <c r="D465"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I2" i="11"/>
  <c r="H2"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V667" i="31"/>
  <c r="U435" i="31"/>
  <c r="U403" i="31"/>
  <c r="U391" i="31"/>
  <c r="U379" i="31"/>
  <c r="U359" i="31"/>
  <c r="U351" i="31"/>
  <c r="U339" i="31"/>
  <c r="U327" i="31"/>
  <c r="U307" i="31"/>
  <c r="U299" i="31"/>
  <c r="V663" i="31"/>
  <c r="U219" i="31"/>
  <c r="U215" i="31"/>
  <c r="U211" i="31"/>
  <c r="U207" i="31"/>
  <c r="U203" i="31"/>
  <c r="U199"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V811" i="31"/>
  <c r="V791" i="31"/>
  <c r="V767" i="31"/>
  <c r="V747" i="31"/>
  <c r="V727" i="31"/>
  <c r="V703" i="31"/>
  <c r="V683" i="31"/>
  <c r="V807" i="31"/>
  <c r="V783" i="31"/>
  <c r="V763" i="31"/>
  <c r="V743" i="31"/>
  <c r="V719" i="31"/>
  <c r="V699" i="31"/>
  <c r="V679" i="31"/>
  <c r="V798" i="31"/>
  <c r="V787" i="31"/>
  <c r="V755" i="31"/>
  <c r="V723" i="31"/>
  <c r="V691" i="31"/>
  <c r="V799" i="31"/>
  <c r="V779" i="31"/>
  <c r="V759" i="31"/>
  <c r="V735" i="31"/>
  <c r="V715" i="31"/>
  <c r="V695" i="31"/>
  <c r="V734" i="31"/>
  <c r="V815" i="31"/>
  <c r="V795" i="31"/>
  <c r="V775" i="31"/>
  <c r="V751" i="31"/>
  <c r="V731" i="31"/>
  <c r="V711" i="31"/>
  <c r="V687"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V880" i="31"/>
  <c r="V876" i="31"/>
  <c r="V872" i="31"/>
  <c r="V868" i="31"/>
  <c r="V864" i="31"/>
  <c r="V860" i="31"/>
  <c r="V856" i="31"/>
  <c r="V852" i="31"/>
  <c r="V848" i="31"/>
  <c r="V844" i="31"/>
  <c r="V840" i="31"/>
  <c r="V836" i="31"/>
  <c r="V832" i="31"/>
  <c r="V828" i="31"/>
  <c r="V824" i="31"/>
  <c r="V820" i="31"/>
  <c r="V816" i="31"/>
  <c r="V812" i="31"/>
  <c r="V808" i="31"/>
  <c r="V804" i="31"/>
  <c r="V800" i="31"/>
  <c r="V796" i="31"/>
  <c r="V792" i="31"/>
  <c r="V788" i="31"/>
  <c r="V784" i="31"/>
  <c r="V780" i="31"/>
  <c r="V776" i="31"/>
  <c r="V772" i="31"/>
  <c r="V768" i="31"/>
  <c r="V764" i="31"/>
  <c r="V760" i="31"/>
  <c r="V756" i="31"/>
  <c r="V752" i="31"/>
  <c r="V748" i="31"/>
  <c r="V744" i="31"/>
  <c r="V740" i="31"/>
  <c r="V736" i="31"/>
  <c r="V732" i="31"/>
  <c r="V728" i="31"/>
  <c r="V724" i="31"/>
  <c r="V720" i="31"/>
  <c r="V716" i="31"/>
  <c r="V712" i="31"/>
  <c r="V708" i="31"/>
  <c r="V704" i="31"/>
  <c r="V700" i="31"/>
  <c r="V696" i="31"/>
  <c r="V692" i="31"/>
  <c r="V688" i="31"/>
  <c r="V684" i="31"/>
  <c r="V680" i="31"/>
  <c r="V676" i="31"/>
  <c r="V672" i="31"/>
  <c r="V668" i="31"/>
  <c r="V664" i="31"/>
  <c r="V660" i="31"/>
  <c r="V656" i="31"/>
  <c r="V652" i="31"/>
  <c r="V648" i="31"/>
  <c r="V644" i="31"/>
  <c r="V640" i="31"/>
  <c r="V636" i="31"/>
  <c r="V632" i="31"/>
  <c r="V628" i="31"/>
  <c r="V624" i="31"/>
  <c r="V620" i="31"/>
  <c r="V616" i="31"/>
  <c r="V612" i="31"/>
  <c r="V608" i="31"/>
  <c r="V604" i="31"/>
  <c r="V600" i="31"/>
  <c r="V596" i="31"/>
  <c r="V592" i="31"/>
  <c r="V588" i="31"/>
  <c r="V584" i="31"/>
  <c r="V580" i="31"/>
  <c r="V576" i="31"/>
  <c r="V572" i="31"/>
  <c r="V568" i="31"/>
  <c r="V564" i="31"/>
  <c r="V560" i="31"/>
  <c r="V556" i="31"/>
  <c r="V552" i="31"/>
  <c r="V548" i="31"/>
  <c r="V544" i="31"/>
  <c r="V540" i="31"/>
  <c r="V536" i="31"/>
  <c r="V532" i="31"/>
  <c r="V528" i="31"/>
  <c r="V524" i="31"/>
  <c r="V520" i="31"/>
  <c r="V516" i="31"/>
  <c r="V512" i="31"/>
  <c r="V508" i="31"/>
  <c r="V504" i="31"/>
  <c r="V500" i="31"/>
  <c r="V496" i="31"/>
  <c r="V491" i="31"/>
  <c r="V487" i="31"/>
  <c r="V483" i="31"/>
  <c r="V479" i="31"/>
  <c r="V475" i="31"/>
  <c r="V471" i="31"/>
  <c r="V467" i="31"/>
  <c r="V463" i="31"/>
  <c r="V459" i="31"/>
  <c r="V455" i="31"/>
  <c r="V451" i="31"/>
  <c r="V447" i="31"/>
  <c r="V443" i="31"/>
  <c r="V439" i="31"/>
  <c r="V435" i="31"/>
  <c r="V431" i="31"/>
  <c r="V427" i="31"/>
  <c r="V423" i="31"/>
  <c r="V419" i="31"/>
  <c r="V415" i="31"/>
  <c r="V411" i="31"/>
  <c r="V407" i="31"/>
  <c r="V403" i="31"/>
  <c r="V399" i="31"/>
  <c r="V395" i="31"/>
  <c r="V391" i="31"/>
  <c r="V387" i="31"/>
  <c r="V383" i="31"/>
  <c r="V379" i="31"/>
  <c r="V375" i="31"/>
  <c r="V371" i="31"/>
  <c r="V367" i="31"/>
  <c r="V363" i="31"/>
  <c r="V359" i="31"/>
  <c r="V355" i="31"/>
  <c r="V351" i="31"/>
  <c r="V347" i="31"/>
  <c r="V343" i="31"/>
  <c r="V339" i="31"/>
  <c r="V335" i="31"/>
  <c r="V331" i="31"/>
  <c r="V327" i="31"/>
  <c r="V323" i="31"/>
  <c r="V319" i="31"/>
  <c r="V315" i="31"/>
  <c r="V311" i="31"/>
  <c r="V307" i="31"/>
  <c r="V303" i="31"/>
  <c r="V299" i="31"/>
  <c r="V295" i="31"/>
  <c r="V291" i="31"/>
  <c r="V287" i="31"/>
  <c r="V283" i="31"/>
  <c r="V279" i="31"/>
  <c r="V275" i="31"/>
  <c r="V271" i="31"/>
  <c r="V267" i="31"/>
  <c r="V263" i="31"/>
  <c r="V259" i="31"/>
  <c r="V255" i="31"/>
  <c r="V251" i="31"/>
  <c r="V247" i="31"/>
  <c r="V243" i="31"/>
  <c r="V239" i="31"/>
  <c r="V235" i="31"/>
  <c r="V231" i="31"/>
  <c r="V227" i="31"/>
  <c r="V223" i="31"/>
  <c r="V219" i="31"/>
  <c r="V215" i="31"/>
  <c r="V211" i="31"/>
  <c r="V207" i="31"/>
  <c r="V203" i="31"/>
  <c r="V199" i="31"/>
  <c r="V195" i="31"/>
  <c r="V191" i="31"/>
  <c r="V187" i="31"/>
  <c r="V183" i="31"/>
  <c r="V179" i="31"/>
  <c r="V175" i="31"/>
  <c r="V171" i="31"/>
  <c r="V167" i="31"/>
  <c r="V163" i="31"/>
  <c r="V159" i="31"/>
  <c r="V155" i="31"/>
  <c r="V151" i="31"/>
  <c r="V147" i="31"/>
  <c r="V143" i="31"/>
  <c r="V139" i="31"/>
  <c r="V135" i="31"/>
  <c r="V131" i="31"/>
  <c r="V127" i="31"/>
  <c r="V123" i="31"/>
  <c r="V119" i="31"/>
  <c r="V115" i="31"/>
  <c r="V111" i="31"/>
  <c r="V107" i="31"/>
  <c r="V103" i="31"/>
  <c r="V99" i="31"/>
  <c r="V95" i="31"/>
  <c r="V91" i="31"/>
  <c r="V87" i="31"/>
  <c r="V83" i="31"/>
  <c r="V79" i="31"/>
  <c r="V75" i="31"/>
  <c r="V71" i="31"/>
  <c r="V67" i="31"/>
  <c r="V63" i="31"/>
  <c r="V59" i="31"/>
  <c r="V55" i="31"/>
  <c r="V51" i="31"/>
  <c r="V47" i="31"/>
  <c r="V43" i="31"/>
  <c r="V39" i="31"/>
  <c r="V35" i="31"/>
  <c r="V31" i="31"/>
  <c r="V27" i="31"/>
  <c r="V23" i="31"/>
  <c r="V19" i="31"/>
  <c r="V15" i="31"/>
  <c r="V11" i="31"/>
  <c r="V7" i="31"/>
  <c r="V3" i="31"/>
  <c r="V809" i="31"/>
  <c r="V793" i="31"/>
  <c r="V777" i="31"/>
  <c r="V761" i="31"/>
  <c r="V745" i="31"/>
  <c r="V729" i="31"/>
  <c r="V713" i="31"/>
  <c r="V697" i="31"/>
  <c r="V681" i="31"/>
  <c r="V665" i="31"/>
  <c r="V654" i="31"/>
  <c r="V649" i="31"/>
  <c r="V638" i="31"/>
  <c r="V633" i="31"/>
  <c r="V622" i="31"/>
  <c r="V617" i="31"/>
  <c r="V606" i="31"/>
  <c r="V601" i="31"/>
  <c r="V590" i="31"/>
  <c r="V585" i="31"/>
  <c r="V574" i="31"/>
  <c r="V569" i="31"/>
  <c r="V558" i="31"/>
  <c r="V553" i="31"/>
  <c r="V542" i="31"/>
  <c r="V537" i="31"/>
  <c r="V526" i="31"/>
  <c r="V521" i="31"/>
  <c r="V510" i="31"/>
  <c r="V505" i="31"/>
  <c r="V494" i="31"/>
  <c r="V488" i="31"/>
  <c r="V477" i="31"/>
  <c r="V472" i="31"/>
  <c r="V461" i="31"/>
  <c r="V456" i="31"/>
  <c r="V445" i="31"/>
  <c r="V440" i="31"/>
  <c r="V429" i="31"/>
  <c r="V424" i="31"/>
  <c r="V413" i="31"/>
  <c r="V408" i="31"/>
  <c r="V397" i="31"/>
  <c r="V392" i="31"/>
  <c r="V381" i="31"/>
  <c r="V376" i="31"/>
  <c r="V365" i="31"/>
  <c r="V360" i="31"/>
  <c r="V349" i="31"/>
  <c r="V344" i="31"/>
  <c r="V333" i="31"/>
  <c r="V328" i="31"/>
  <c r="V317" i="31"/>
  <c r="V312" i="31"/>
  <c r="V301" i="31"/>
  <c r="V296" i="31"/>
  <c r="V285" i="31"/>
  <c r="V280" i="31"/>
  <c r="V269" i="31"/>
  <c r="V264" i="31"/>
  <c r="V253" i="31"/>
  <c r="V248" i="31"/>
  <c r="V237" i="31"/>
  <c r="V232" i="31"/>
  <c r="V221" i="31"/>
  <c r="V216" i="31"/>
  <c r="V205" i="31"/>
  <c r="V200" i="31"/>
  <c r="V189" i="31"/>
  <c r="V184" i="31"/>
  <c r="V173" i="31"/>
  <c r="V168" i="31"/>
  <c r="V157" i="31"/>
  <c r="V152" i="31"/>
  <c r="V141" i="31"/>
  <c r="V136" i="31"/>
  <c r="V125" i="31"/>
  <c r="V120" i="31"/>
  <c r="V109" i="31"/>
  <c r="V104" i="31"/>
  <c r="V93" i="31"/>
  <c r="V88" i="31"/>
  <c r="V77" i="31"/>
  <c r="V72" i="31"/>
  <c r="V61" i="31"/>
  <c r="V56" i="31"/>
  <c r="V45" i="31"/>
  <c r="V40" i="31"/>
  <c r="V29" i="31"/>
  <c r="V24" i="31"/>
  <c r="V13"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V659" i="31"/>
  <c r="V655" i="31"/>
  <c r="V651" i="31"/>
  <c r="V647" i="31"/>
  <c r="V643" i="31"/>
  <c r="V639" i="31"/>
  <c r="V635" i="31"/>
  <c r="V631" i="31"/>
  <c r="V627" i="31"/>
  <c r="V623" i="31"/>
  <c r="V619" i="31"/>
  <c r="V615" i="31"/>
  <c r="V611" i="31"/>
  <c r="V607" i="31"/>
  <c r="V603" i="31"/>
  <c r="V599" i="31"/>
  <c r="V595" i="31"/>
  <c r="V591" i="31"/>
  <c r="V587" i="31"/>
  <c r="V583" i="31"/>
  <c r="V579" i="31"/>
  <c r="V575" i="31"/>
  <c r="V571" i="31"/>
  <c r="V567" i="31"/>
  <c r="V563" i="31"/>
  <c r="V559" i="31"/>
  <c r="V555" i="31"/>
  <c r="V551" i="31"/>
  <c r="V547" i="31"/>
  <c r="V543" i="31"/>
  <c r="V539" i="31"/>
  <c r="V535" i="31"/>
  <c r="V531" i="31"/>
  <c r="V527" i="31"/>
  <c r="V523" i="31"/>
  <c r="V519" i="31"/>
  <c r="V515" i="31"/>
  <c r="V511" i="31"/>
  <c r="V507" i="31"/>
  <c r="V503" i="31"/>
  <c r="V499" i="31"/>
  <c r="V495" i="31"/>
  <c r="V490" i="31"/>
  <c r="V486" i="31"/>
  <c r="V482" i="31"/>
  <c r="V478" i="31"/>
  <c r="V474" i="31"/>
  <c r="V470" i="31"/>
  <c r="V466" i="31"/>
  <c r="V462" i="31"/>
  <c r="V458" i="31"/>
  <c r="V454" i="31"/>
  <c r="V450" i="31"/>
  <c r="V446" i="31"/>
  <c r="V442" i="31"/>
  <c r="V438" i="31"/>
  <c r="V434" i="31"/>
  <c r="V430" i="31"/>
  <c r="V426" i="31"/>
  <c r="V422" i="31"/>
  <c r="V418" i="31"/>
  <c r="V414" i="31"/>
  <c r="V410" i="31"/>
  <c r="V406" i="31"/>
  <c r="V402" i="31"/>
  <c r="V398" i="31"/>
  <c r="V394" i="31"/>
  <c r="V390" i="31"/>
  <c r="V386" i="31"/>
  <c r="V382" i="31"/>
  <c r="V378" i="31"/>
  <c r="V374" i="31"/>
  <c r="V370" i="31"/>
  <c r="V366" i="31"/>
  <c r="V362" i="31"/>
  <c r="V358" i="31"/>
  <c r="V354" i="31"/>
  <c r="V350" i="31"/>
  <c r="V346" i="31"/>
  <c r="V342" i="31"/>
  <c r="V338" i="31"/>
  <c r="V334" i="31"/>
  <c r="V330" i="31"/>
  <c r="V326" i="31"/>
  <c r="V322" i="31"/>
  <c r="V318" i="31"/>
  <c r="V314" i="31"/>
  <c r="V310" i="31"/>
  <c r="V306" i="31"/>
  <c r="V302" i="31"/>
  <c r="V298" i="31"/>
  <c r="V294" i="31"/>
  <c r="V290" i="31"/>
  <c r="V286" i="31"/>
  <c r="V282" i="31"/>
  <c r="V278" i="31"/>
  <c r="V274" i="31"/>
  <c r="V270" i="31"/>
  <c r="V266" i="31"/>
  <c r="V262" i="31"/>
  <c r="V258" i="31"/>
  <c r="V254" i="31"/>
  <c r="V250" i="31"/>
  <c r="V246" i="31"/>
  <c r="V242" i="31"/>
  <c r="V238" i="31"/>
  <c r="V234" i="31"/>
  <c r="V230" i="31"/>
  <c r="V226" i="31"/>
  <c r="V222" i="31"/>
  <c r="V218" i="31"/>
  <c r="V214" i="31"/>
  <c r="V210" i="31"/>
  <c r="V206" i="31"/>
  <c r="V202" i="31"/>
  <c r="V198" i="31"/>
  <c r="V194" i="31"/>
  <c r="V190" i="31"/>
  <c r="V186" i="31"/>
  <c r="V182" i="31"/>
  <c r="V178" i="31"/>
  <c r="V174" i="31"/>
  <c r="V170" i="31"/>
  <c r="V166" i="31"/>
  <c r="V162" i="31"/>
  <c r="V158" i="31"/>
  <c r="V154" i="31"/>
  <c r="V150" i="31"/>
  <c r="V146" i="31"/>
  <c r="V142" i="31"/>
  <c r="V138" i="31"/>
  <c r="V134" i="31"/>
  <c r="V130" i="31"/>
  <c r="V126" i="31"/>
  <c r="V122" i="31"/>
  <c r="V118" i="31"/>
  <c r="V114" i="31"/>
  <c r="V110" i="31"/>
  <c r="V106" i="31"/>
  <c r="V102" i="31"/>
  <c r="V98" i="31"/>
  <c r="V94" i="31"/>
  <c r="V90" i="31"/>
  <c r="V86" i="31"/>
  <c r="V82" i="31"/>
  <c r="V78" i="31"/>
  <c r="V74" i="31"/>
  <c r="V70" i="31"/>
  <c r="V66" i="31"/>
  <c r="V62" i="31"/>
  <c r="V58" i="31"/>
  <c r="V54" i="31"/>
  <c r="V50" i="31"/>
  <c r="V46" i="31"/>
  <c r="V42" i="31"/>
  <c r="V38" i="31"/>
  <c r="V34" i="31"/>
  <c r="V30" i="31"/>
  <c r="V26" i="31"/>
  <c r="V22" i="31"/>
  <c r="V18" i="31"/>
  <c r="V14" i="31"/>
  <c r="V10" i="31"/>
  <c r="V6" i="31"/>
  <c r="V878" i="31"/>
  <c r="V874" i="31"/>
  <c r="V870" i="31"/>
  <c r="V866" i="31"/>
  <c r="V862" i="31"/>
  <c r="V858" i="31"/>
  <c r="V854" i="31"/>
  <c r="V850" i="31"/>
  <c r="V846" i="31"/>
  <c r="V842" i="31"/>
  <c r="V838" i="31"/>
  <c r="V834" i="31"/>
  <c r="V830" i="31"/>
  <c r="V826" i="31"/>
  <c r="V822" i="31"/>
  <c r="V818" i="31"/>
  <c r="V813" i="31"/>
  <c r="V802" i="31"/>
  <c r="V797" i="31"/>
  <c r="V786" i="31"/>
  <c r="V781" i="31"/>
  <c r="V770" i="31"/>
  <c r="V765" i="31"/>
  <c r="V754" i="31"/>
  <c r="V749" i="31"/>
  <c r="V738" i="31"/>
  <c r="V733" i="31"/>
  <c r="V722" i="31"/>
  <c r="V717" i="31"/>
  <c r="V706" i="31"/>
  <c r="V701" i="31"/>
  <c r="V690" i="31"/>
  <c r="V685" i="31"/>
  <c r="V674" i="31"/>
  <c r="V669" i="31"/>
  <c r="V658" i="31"/>
  <c r="V653" i="31"/>
  <c r="V642" i="31"/>
  <c r="V637" i="31"/>
  <c r="V626" i="31"/>
  <c r="V621" i="31"/>
  <c r="V610" i="31"/>
  <c r="V605" i="31"/>
  <c r="V594" i="31"/>
  <c r="V589" i="31"/>
  <c r="V578" i="31"/>
  <c r="V573" i="31"/>
  <c r="V562" i="31"/>
  <c r="V557" i="31"/>
  <c r="V546" i="31"/>
  <c r="V541" i="31"/>
  <c r="V530" i="31"/>
  <c r="V525" i="31"/>
  <c r="V514" i="31"/>
  <c r="V509" i="31"/>
  <c r="V498" i="31"/>
  <c r="V492" i="31"/>
  <c r="V481" i="31"/>
  <c r="V476" i="31"/>
  <c r="V465" i="31"/>
  <c r="V460" i="31"/>
  <c r="V449" i="31"/>
  <c r="V444" i="31"/>
  <c r="V433" i="31"/>
  <c r="V428" i="31"/>
  <c r="V417" i="31"/>
  <c r="V412" i="31"/>
  <c r="V401" i="31"/>
  <c r="V396" i="31"/>
  <c r="V385" i="31"/>
  <c r="V380" i="31"/>
  <c r="V369" i="31"/>
  <c r="V364" i="31"/>
  <c r="V353" i="31"/>
  <c r="V348" i="31"/>
  <c r="V337" i="31"/>
  <c r="V332" i="31"/>
  <c r="V321" i="31"/>
  <c r="V316" i="31"/>
  <c r="V305" i="31"/>
  <c r="V300" i="31"/>
  <c r="V289" i="31"/>
  <c r="V284" i="31"/>
  <c r="V273" i="31"/>
  <c r="V268" i="31"/>
  <c r="V257" i="31"/>
  <c r="V252" i="31"/>
  <c r="V241" i="31"/>
  <c r="V236" i="31"/>
  <c r="V225" i="31"/>
  <c r="V220" i="31"/>
  <c r="V209" i="31"/>
  <c r="V204" i="31"/>
  <c r="V193" i="31"/>
  <c r="V188" i="31"/>
  <c r="V177" i="31"/>
  <c r="V172" i="31"/>
  <c r="V161" i="31"/>
  <c r="V156" i="31"/>
  <c r="V145" i="31"/>
  <c r="V140" i="31"/>
  <c r="V129" i="31"/>
  <c r="V124" i="31"/>
  <c r="V113" i="31"/>
  <c r="V108" i="31"/>
  <c r="V97" i="31"/>
  <c r="V92" i="31"/>
  <c r="V81" i="31"/>
  <c r="V76" i="31"/>
  <c r="V65" i="31"/>
  <c r="V60" i="31"/>
  <c r="V49" i="31"/>
  <c r="V44" i="31"/>
  <c r="V33" i="31"/>
  <c r="V28" i="31"/>
  <c r="V17"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V810" i="31"/>
  <c r="V806" i="31"/>
  <c r="V794" i="31"/>
  <c r="V790" i="31"/>
  <c r="V778" i="31"/>
  <c r="V774" i="31"/>
  <c r="V762" i="31"/>
  <c r="V758" i="31"/>
  <c r="V746" i="31"/>
  <c r="V742" i="31"/>
  <c r="V730" i="31"/>
  <c r="V726" i="31"/>
  <c r="V714" i="31"/>
  <c r="V710" i="31"/>
  <c r="V698" i="31"/>
  <c r="V694" i="31"/>
  <c r="V682" i="31"/>
  <c r="V678" i="31"/>
  <c r="V666" i="31"/>
  <c r="V662" i="31"/>
  <c r="V650" i="31"/>
  <c r="V646" i="31"/>
  <c r="V634" i="31"/>
  <c r="V630" i="31"/>
  <c r="V618" i="31"/>
  <c r="V614" i="31"/>
  <c r="V602" i="31"/>
  <c r="V598" i="31"/>
  <c r="V586" i="31"/>
  <c r="V582" i="31"/>
  <c r="V570" i="31"/>
  <c r="V566" i="31"/>
  <c r="V554" i="31"/>
  <c r="V550" i="31"/>
  <c r="V538" i="31"/>
  <c r="V534" i="31"/>
  <c r="V522" i="31"/>
  <c r="V518" i="31"/>
  <c r="V506" i="31"/>
  <c r="V502" i="31"/>
  <c r="V489" i="31"/>
  <c r="V485" i="31"/>
  <c r="V473" i="31"/>
  <c r="V469" i="31"/>
  <c r="V457" i="31"/>
  <c r="V453" i="31"/>
  <c r="V441" i="31"/>
  <c r="V437" i="31"/>
  <c r="V425" i="31"/>
  <c r="V421" i="31"/>
  <c r="V409" i="31"/>
  <c r="V405" i="31"/>
  <c r="V393" i="31"/>
  <c r="V389" i="31"/>
  <c r="V377" i="31"/>
  <c r="V373" i="31"/>
  <c r="V361" i="31"/>
  <c r="V357" i="31"/>
  <c r="V345" i="31"/>
  <c r="V341" i="31"/>
  <c r="V329" i="31"/>
  <c r="V325" i="31"/>
  <c r="V313" i="31"/>
  <c r="V309" i="31"/>
  <c r="V297" i="31"/>
  <c r="V293" i="31"/>
  <c r="V281" i="31"/>
  <c r="V277" i="31"/>
  <c r="V265" i="31"/>
  <c r="V261" i="31"/>
  <c r="V249" i="31"/>
  <c r="V245" i="31"/>
  <c r="V233" i="31"/>
  <c r="V229" i="31"/>
  <c r="V217" i="31"/>
  <c r="V213" i="31"/>
  <c r="V201" i="31"/>
  <c r="V197" i="31"/>
  <c r="V185" i="31"/>
  <c r="V181" i="31"/>
  <c r="V169" i="31"/>
  <c r="V165" i="31"/>
  <c r="V153" i="31"/>
  <c r="V149" i="31"/>
  <c r="V137" i="31"/>
  <c r="V133" i="31"/>
  <c r="V121" i="31"/>
  <c r="V117" i="31"/>
  <c r="V105" i="31"/>
  <c r="V101" i="31"/>
  <c r="V89" i="31"/>
  <c r="V85" i="31"/>
  <c r="V73" i="31"/>
  <c r="V69" i="31"/>
  <c r="V57" i="31"/>
  <c r="V53" i="31"/>
  <c r="V41" i="31"/>
  <c r="V37" i="31"/>
  <c r="V25" i="31"/>
  <c r="V21" i="31"/>
  <c r="V9" i="31"/>
  <c r="V5" i="31"/>
  <c r="V881" i="31"/>
  <c r="V877" i="31"/>
  <c r="V873" i="31"/>
  <c r="V869" i="31"/>
  <c r="V865" i="31"/>
  <c r="V861" i="31"/>
  <c r="V857" i="31"/>
  <c r="V853" i="31"/>
  <c r="V849" i="31"/>
  <c r="V845" i="31"/>
  <c r="V841" i="31"/>
  <c r="V837" i="31"/>
  <c r="V833" i="31"/>
  <c r="V829" i="31"/>
  <c r="V825" i="31"/>
  <c r="V821" i="31"/>
  <c r="V817" i="31"/>
  <c r="V801" i="31"/>
  <c r="V785" i="31"/>
  <c r="V769" i="31"/>
  <c r="V753" i="31"/>
  <c r="V737" i="31"/>
  <c r="V721" i="31"/>
  <c r="V705" i="31"/>
  <c r="V689" i="31"/>
  <c r="V673" i="31"/>
  <c r="V657" i="31"/>
  <c r="V641" i="31"/>
  <c r="V625" i="31"/>
  <c r="V609" i="31"/>
  <c r="V593" i="31"/>
  <c r="V577" i="31"/>
  <c r="V561" i="31"/>
  <c r="V545" i="31"/>
  <c r="V529" i="31"/>
  <c r="V513" i="31"/>
  <c r="V497" i="31"/>
  <c r="V480" i="31"/>
  <c r="V464" i="31"/>
  <c r="V448" i="31"/>
  <c r="V432" i="31"/>
  <c r="V416" i="31"/>
  <c r="V400" i="31"/>
  <c r="V384" i="31"/>
  <c r="V368" i="31"/>
  <c r="V352" i="31"/>
  <c r="V336" i="31"/>
  <c r="V320" i="31"/>
  <c r="V304" i="31"/>
  <c r="V288" i="31"/>
  <c r="V272" i="31"/>
  <c r="V256" i="31"/>
  <c r="V240" i="31"/>
  <c r="V224" i="31"/>
  <c r="V208" i="31"/>
  <c r="V192" i="31"/>
  <c r="V176" i="31"/>
  <c r="V160" i="31"/>
  <c r="V144" i="31"/>
  <c r="V128" i="31"/>
  <c r="V112" i="31"/>
  <c r="V96" i="31"/>
  <c r="V80" i="31"/>
  <c r="V64" i="31"/>
  <c r="V48" i="31"/>
  <c r="V32"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V805" i="31"/>
  <c r="V789" i="31"/>
  <c r="V773" i="31"/>
  <c r="V757" i="31"/>
  <c r="V741" i="31"/>
  <c r="V725" i="31"/>
  <c r="V709" i="31"/>
  <c r="V693" i="31"/>
  <c r="V677" i="31"/>
  <c r="V661" i="31"/>
  <c r="V645" i="31"/>
  <c r="V629" i="31"/>
  <c r="V613" i="31"/>
  <c r="V597" i="31"/>
  <c r="V581" i="31"/>
  <c r="V565" i="31"/>
  <c r="V549" i="31"/>
  <c r="V533" i="31"/>
  <c r="V517" i="31"/>
  <c r="V501" i="31"/>
  <c r="V484" i="31"/>
  <c r="V468" i="31"/>
  <c r="V452" i="31"/>
  <c r="V436" i="31"/>
  <c r="V420" i="31"/>
  <c r="V404" i="31"/>
  <c r="V388" i="31"/>
  <c r="V372" i="31"/>
  <c r="V356" i="31"/>
  <c r="V340" i="31"/>
  <c r="V324" i="31"/>
  <c r="V308" i="31"/>
  <c r="V292" i="31"/>
  <c r="V276" i="31"/>
  <c r="V260" i="31"/>
  <c r="V244" i="31"/>
  <c r="V228" i="31"/>
  <c r="V212" i="31"/>
  <c r="V196" i="31"/>
  <c r="V180" i="31"/>
  <c r="V164" i="31"/>
  <c r="V148" i="31"/>
  <c r="V132" i="31"/>
  <c r="V116" i="31"/>
  <c r="V100" i="31"/>
  <c r="V84" i="31"/>
  <c r="V68" i="31"/>
  <c r="V52" i="31"/>
  <c r="V36" i="31"/>
  <c r="V20"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Anders Sundsdal:</t>
        </r>
        <r>
          <rPr>
            <sz val="9"/>
            <color indexed="81"/>
            <rFont val="Tahoma"/>
            <charset val="1"/>
          </rPr>
          <t xml:space="preserve">
Changed from R601 to R841 due to duplicate</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W126" authorId="0" shapeId="0" xr:uid="{AEBA629E-6AE3-4CF6-9FC5-5015DF44570D}">
      <text>
        <r>
          <rPr>
            <b/>
            <sz val="9"/>
            <color indexed="81"/>
            <rFont val="Tahoma"/>
            <charset val="1"/>
          </rPr>
          <t>Anders Sundsdal:</t>
        </r>
        <r>
          <rPr>
            <sz val="9"/>
            <color indexed="81"/>
            <rFont val="Tahoma"/>
            <charset val="1"/>
          </rPr>
          <t xml:space="preserve">
This is prob. Wrong.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A159" authorId="0" shapeId="0" xr:uid="{A58B1ACB-5968-4064-BC8E-6DCFFC36C5AF}">
      <text>
        <r>
          <rPr>
            <b/>
            <sz val="9"/>
            <color indexed="81"/>
            <rFont val="Tahoma"/>
            <charset val="1"/>
          </rPr>
          <t>Anders Sundsdal:</t>
        </r>
        <r>
          <rPr>
            <sz val="9"/>
            <color indexed="81"/>
            <rFont val="Tahoma"/>
            <charset val="1"/>
          </rPr>
          <t xml:space="preserve">
Wrong. There is 3 Green in this plot…?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7"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261" authorId="0" shapeId="0" xr:uid="{E4BA2D92-CB95-4864-8234-3AC61E89039F}">
      <text>
        <r>
          <rPr>
            <b/>
            <sz val="9"/>
            <color indexed="81"/>
            <rFont val="Tahoma"/>
            <family val="2"/>
          </rPr>
          <t>Anders Sundsdal:</t>
        </r>
        <r>
          <rPr>
            <sz val="9"/>
            <color indexed="81"/>
            <rFont val="Tahoma"/>
            <family val="2"/>
          </rPr>
          <t xml:space="preserve">
No bag</t>
        </r>
      </text>
    </comment>
    <comment ref="C268"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1"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3"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06"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415"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425"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28"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38" authorId="0" shapeId="0" xr:uid="{FE7A7F6B-B96C-49EC-8C5E-19A2AF7783CE}">
      <text>
        <r>
          <rPr>
            <b/>
            <sz val="9"/>
            <color indexed="81"/>
            <rFont val="Tahoma"/>
            <family val="2"/>
          </rPr>
          <t>Anders Sundsdal:</t>
        </r>
        <r>
          <rPr>
            <sz val="9"/>
            <color indexed="81"/>
            <rFont val="Tahoma"/>
            <family val="2"/>
          </rPr>
          <t xml:space="preserve">
No bag</t>
        </r>
      </text>
    </comment>
    <comment ref="C455" authorId="0" shapeId="0" xr:uid="{8CDEF242-9D4E-43DC-B974-B3E3A216C583}">
      <text>
        <r>
          <rPr>
            <b/>
            <sz val="9"/>
            <color indexed="81"/>
            <rFont val="Tahoma"/>
            <family val="2"/>
          </rPr>
          <t>Anders Sundsdal:</t>
        </r>
        <r>
          <rPr>
            <sz val="9"/>
            <color indexed="81"/>
            <rFont val="Tahoma"/>
            <family val="2"/>
          </rPr>
          <t xml:space="preserve">
No bag</t>
        </r>
      </text>
    </comment>
    <comment ref="C456" authorId="0" shapeId="0" xr:uid="{510E5160-3E60-46DC-8DE5-9A506DE1702B}">
      <text>
        <r>
          <rPr>
            <b/>
            <sz val="9"/>
            <color indexed="81"/>
            <rFont val="Tahoma"/>
            <family val="2"/>
          </rPr>
          <t>Anders Sundsdal:</t>
        </r>
        <r>
          <rPr>
            <sz val="9"/>
            <color indexed="81"/>
            <rFont val="Tahoma"/>
            <family val="2"/>
          </rPr>
          <t xml:space="preserve">
No bag</t>
        </r>
      </text>
    </comment>
    <comment ref="C458"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489" authorId="0" shapeId="0" xr:uid="{6FEF8B36-BC55-47FB-93F2-BB654E5DF871}">
      <text>
        <r>
          <rPr>
            <b/>
            <sz val="9"/>
            <color indexed="81"/>
            <rFont val="Tahoma"/>
            <family val="2"/>
          </rPr>
          <t>Anders Sundsdal:</t>
        </r>
        <r>
          <rPr>
            <sz val="9"/>
            <color indexed="81"/>
            <rFont val="Tahoma"/>
            <family val="2"/>
          </rPr>
          <t xml:space="preserve">
No plot number on bag</t>
        </r>
      </text>
    </comment>
    <comment ref="C501"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06" authorId="0" shapeId="0" xr:uid="{975283A9-88F8-4912-B01E-8DD9285DB580}">
      <text>
        <r>
          <rPr>
            <b/>
            <sz val="9"/>
            <color indexed="81"/>
            <rFont val="Tahoma"/>
            <charset val="1"/>
          </rPr>
          <t>Anders Sundsdal:</t>
        </r>
        <r>
          <rPr>
            <sz val="9"/>
            <color indexed="81"/>
            <rFont val="Tahoma"/>
            <charset val="1"/>
          </rPr>
          <t xml:space="preserve">
This is most likely not correct bagcode.</t>
        </r>
      </text>
    </comment>
    <comment ref="C511"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C553"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59"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61"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78"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C578"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0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A749"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794"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00" authorId="0" shapeId="0" xr:uid="{F42BDC11-1BDF-43E5-91A9-BA0B8A34581A}">
      <text>
        <r>
          <rPr>
            <b/>
            <sz val="9"/>
            <color indexed="81"/>
            <rFont val="Tahoma"/>
            <family val="2"/>
          </rPr>
          <t>Anders Sundsdal:</t>
        </r>
        <r>
          <rPr>
            <sz val="9"/>
            <color indexed="81"/>
            <rFont val="Tahoma"/>
            <family val="2"/>
          </rPr>
          <t xml:space="preserve">
No bag</t>
        </r>
      </text>
    </comment>
    <comment ref="C801"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812"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Renamed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4"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A22"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4"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A29"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29"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33"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B36" authorId="0" shapeId="0" xr:uid="{5FA4EE17-780B-4E56-B24D-358FECD93DC8}">
      <text>
        <r>
          <rPr>
            <b/>
            <sz val="9"/>
            <color indexed="81"/>
            <rFont val="Tahoma"/>
            <charset val="1"/>
          </rPr>
          <t>Anders Sundsdal:</t>
        </r>
        <r>
          <rPr>
            <sz val="9"/>
            <color indexed="81"/>
            <rFont val="Tahoma"/>
            <charset val="1"/>
          </rPr>
          <t xml:space="preserve">
Added later</t>
        </r>
      </text>
    </comment>
    <comment ref="A43"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B59"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63" authorId="0" shapeId="0" xr:uid="{30D32D46-4ADF-43FA-A828-B2C7D50298EF}">
      <text>
        <r>
          <rPr>
            <b/>
            <sz val="9"/>
            <color indexed="81"/>
            <rFont val="Tahoma"/>
            <charset val="1"/>
          </rPr>
          <t>Anders Sundsdal:</t>
        </r>
        <r>
          <rPr>
            <sz val="9"/>
            <color indexed="81"/>
            <rFont val="Tahoma"/>
            <charset val="1"/>
          </rPr>
          <t xml:space="preserve">
Added later</t>
        </r>
      </text>
    </comment>
    <comment ref="B67" authorId="0" shapeId="0" xr:uid="{401931BD-41BD-4AAA-B1D2-85C72A652FE9}">
      <text>
        <r>
          <rPr>
            <b/>
            <sz val="9"/>
            <color indexed="81"/>
            <rFont val="Tahoma"/>
            <family val="2"/>
          </rPr>
          <t>Anders Sundsdal:</t>
        </r>
        <r>
          <rPr>
            <sz val="9"/>
            <color indexed="81"/>
            <rFont val="Tahoma"/>
            <family val="2"/>
          </rPr>
          <t xml:space="preserve">
Added later</t>
        </r>
      </text>
    </comment>
    <comment ref="A68"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80" authorId="0" shapeId="0" xr:uid="{5C4389D9-7C76-4E7F-956A-A07BDCA9BE6B}">
      <text>
        <r>
          <rPr>
            <b/>
            <sz val="9"/>
            <color indexed="81"/>
            <rFont val="Tahoma"/>
            <family val="2"/>
          </rPr>
          <t>Anders Sundsdal:</t>
        </r>
        <r>
          <rPr>
            <sz val="9"/>
            <color indexed="81"/>
            <rFont val="Tahoma"/>
            <family val="2"/>
          </rPr>
          <t xml:space="preserve">
Added later</t>
        </r>
      </text>
    </comment>
    <comment ref="A93"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102"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104"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7"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37"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42"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43"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6"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55"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5"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9"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A163"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A166"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B168"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70"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7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9"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9"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G190"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G191"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A198"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A317"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3" authorId="0" shapeId="0" xr:uid="{B945EFF7-BDD5-4241-AEE4-5D371FEA2657}">
      <text>
        <r>
          <rPr>
            <b/>
            <sz val="9"/>
            <color indexed="81"/>
            <rFont val="Tahoma"/>
            <charset val="1"/>
          </rPr>
          <t>Anders Sundsdal:</t>
        </r>
        <r>
          <rPr>
            <sz val="9"/>
            <color indexed="81"/>
            <rFont val="Tahoma"/>
            <charset val="1"/>
          </rPr>
          <t xml:space="preserve">
Added later</t>
        </r>
      </text>
    </comment>
    <comment ref="A328"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29"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3"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8"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A346"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6" authorId="0" shapeId="0" xr:uid="{4123E9C2-519A-45CF-ACFC-749CA9AB5AA4}">
      <text>
        <r>
          <rPr>
            <b/>
            <sz val="9"/>
            <color indexed="81"/>
            <rFont val="Tahoma"/>
            <charset val="1"/>
          </rPr>
          <t>Anders Sundsdal:</t>
        </r>
        <r>
          <rPr>
            <sz val="9"/>
            <color indexed="81"/>
            <rFont val="Tahoma"/>
            <charset val="1"/>
          </rPr>
          <t xml:space="preserve">
Added later</t>
        </r>
      </text>
    </comment>
    <comment ref="B347" authorId="0" shapeId="0" xr:uid="{0FB5E4DB-9435-4C83-875A-508A4C358603}">
      <text>
        <r>
          <rPr>
            <b/>
            <sz val="9"/>
            <color indexed="81"/>
            <rFont val="Tahoma"/>
            <charset val="1"/>
          </rPr>
          <t>Anders Sundsdal:</t>
        </r>
        <r>
          <rPr>
            <sz val="9"/>
            <color indexed="81"/>
            <rFont val="Tahoma"/>
            <charset val="1"/>
          </rPr>
          <t xml:space="preserve">
Added later</t>
        </r>
      </text>
    </comment>
    <comment ref="A360"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6"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A36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68" authorId="0" shapeId="0" xr:uid="{89DC1B1E-9E97-4E75-A5B8-011708BC6334}">
      <text>
        <r>
          <rPr>
            <b/>
            <sz val="9"/>
            <color indexed="81"/>
            <rFont val="Tahoma"/>
            <family val="2"/>
          </rPr>
          <t>Anders Sundsdal:</t>
        </r>
        <r>
          <rPr>
            <sz val="9"/>
            <color indexed="81"/>
            <rFont val="Tahoma"/>
            <family val="2"/>
          </rPr>
          <t xml:space="preserve">
Plot 106 most likely</t>
        </r>
      </text>
    </comment>
    <comment ref="A37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77"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78"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A418"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32"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A441"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6"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A454"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60" authorId="0" shapeId="0" xr:uid="{9BD407AF-3AEF-4792-9C17-B8EB82C716E1}">
      <text>
        <r>
          <rPr>
            <b/>
            <sz val="9"/>
            <color indexed="81"/>
            <rFont val="Tahoma"/>
            <charset val="1"/>
          </rPr>
          <t>Anders Sundsdal:</t>
        </r>
        <r>
          <rPr>
            <sz val="9"/>
            <color indexed="81"/>
            <rFont val="Tahoma"/>
            <charset val="1"/>
          </rPr>
          <t xml:space="preserve">
Added later</t>
        </r>
      </text>
    </comment>
    <comment ref="B463" authorId="0" shapeId="0" xr:uid="{E612D8D1-92A9-438E-8E50-2D6190B9BDBB}">
      <text>
        <r>
          <rPr>
            <b/>
            <sz val="9"/>
            <color indexed="81"/>
            <rFont val="Tahoma"/>
            <family val="2"/>
          </rPr>
          <t>Anders Sundsdal:</t>
        </r>
        <r>
          <rPr>
            <sz val="9"/>
            <color indexed="81"/>
            <rFont val="Tahoma"/>
            <family val="2"/>
          </rPr>
          <t xml:space="preserve">
Added later</t>
        </r>
      </text>
    </comment>
    <comment ref="B465"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90"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2"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5" authorId="0" shapeId="0" xr:uid="{E855B8AF-73F2-4235-9AD0-0068D91D7942}">
      <text>
        <r>
          <rPr>
            <b/>
            <sz val="9"/>
            <color indexed="81"/>
            <rFont val="Tahoma"/>
            <charset val="1"/>
          </rPr>
          <t>Anders Sundsdal:</t>
        </r>
        <r>
          <rPr>
            <sz val="9"/>
            <color indexed="81"/>
            <rFont val="Tahoma"/>
            <charset val="1"/>
          </rPr>
          <t xml:space="preserve">
Added later</t>
        </r>
      </text>
    </comment>
    <comment ref="B522"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0" authorId="0" shapeId="0" xr:uid="{526E1162-73AA-421D-ABF3-64FB68199FB9}">
      <text>
        <r>
          <rPr>
            <b/>
            <sz val="9"/>
            <color indexed="81"/>
            <rFont val="Tahoma"/>
            <charset val="1"/>
          </rPr>
          <t>Anders Sundsdal:</t>
        </r>
        <r>
          <rPr>
            <sz val="9"/>
            <color indexed="81"/>
            <rFont val="Tahoma"/>
            <charset val="1"/>
          </rPr>
          <t xml:space="preserve">
Added later</t>
        </r>
      </text>
    </comment>
    <comment ref="B548" authorId="0" shapeId="0" xr:uid="{4291BCB9-2C50-4A28-ABD0-F235BB76221A}">
      <text>
        <r>
          <rPr>
            <b/>
            <sz val="9"/>
            <color indexed="81"/>
            <rFont val="Tahoma"/>
            <charset val="1"/>
          </rPr>
          <t>Anders Sundsdal:</t>
        </r>
        <r>
          <rPr>
            <sz val="9"/>
            <color indexed="81"/>
            <rFont val="Tahoma"/>
            <charset val="1"/>
          </rPr>
          <t xml:space="preserve">
Added later</t>
        </r>
      </text>
    </comment>
    <comment ref="A607"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1" authorId="0" shapeId="0" xr:uid="{E0B3F95F-780F-4D88-997A-7EE9E8B0B9B4}">
      <text>
        <r>
          <rPr>
            <b/>
            <sz val="9"/>
            <color indexed="81"/>
            <rFont val="Tahoma"/>
            <charset val="1"/>
          </rPr>
          <t>Anders Sundsdal:</t>
        </r>
        <r>
          <rPr>
            <sz val="9"/>
            <color indexed="81"/>
            <rFont val="Tahoma"/>
            <charset val="1"/>
          </rPr>
          <t xml:space="preserve">
Added later</t>
        </r>
      </text>
    </comment>
    <comment ref="A661"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5"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A682"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703"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3"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07"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38" authorId="0" shapeId="0" xr:uid="{33719FF1-2E45-404C-A903-ED47DAE95BDD}">
      <text>
        <r>
          <rPr>
            <b/>
            <sz val="9"/>
            <color indexed="81"/>
            <rFont val="Tahoma"/>
            <family val="2"/>
          </rPr>
          <t>Anders Sundsdal:</t>
        </r>
        <r>
          <rPr>
            <sz val="9"/>
            <color indexed="81"/>
            <rFont val="Tahoma"/>
            <family val="2"/>
          </rPr>
          <t xml:space="preserve">
plot 182?</t>
        </r>
      </text>
    </comment>
    <comment ref="A750"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C750"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1"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C751"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59"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67"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74"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76"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0"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8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A788"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794" authorId="0" shapeId="0" xr:uid="{8264AFC7-89B4-4A13-8847-7805301D21C0}">
      <text>
        <r>
          <rPr>
            <b/>
            <sz val="9"/>
            <color indexed="81"/>
            <rFont val="Tahoma"/>
            <family val="2"/>
          </rPr>
          <t>Anders Sundsdal:</t>
        </r>
        <r>
          <rPr>
            <sz val="9"/>
            <color indexed="81"/>
            <rFont val="Tahoma"/>
            <family val="2"/>
          </rPr>
          <t xml:space="preserve">
Plot 106 most likely</t>
        </r>
      </text>
    </comment>
    <comment ref="B797" authorId="0" shapeId="0" xr:uid="{01331946-0856-43D0-BE95-B3EFB0070C27}">
      <text>
        <r>
          <rPr>
            <b/>
            <sz val="9"/>
            <color indexed="81"/>
            <rFont val="Tahoma"/>
            <family val="2"/>
          </rPr>
          <t>Anders Sundsdal:</t>
        </r>
        <r>
          <rPr>
            <sz val="9"/>
            <color indexed="81"/>
            <rFont val="Tahoma"/>
            <family val="2"/>
          </rPr>
          <t xml:space="preserve">
Plot 106 most likely</t>
        </r>
      </text>
    </comment>
    <comment ref="B806"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810" authorId="0" shapeId="0" xr:uid="{1EBC5177-E452-4E61-A152-098C0EDCC87B}">
      <text>
        <r>
          <rPr>
            <b/>
            <sz val="9"/>
            <color indexed="81"/>
            <rFont val="Tahoma"/>
            <family val="2"/>
          </rPr>
          <t>Anders Sundsdal:</t>
        </r>
        <r>
          <rPr>
            <sz val="9"/>
            <color indexed="81"/>
            <rFont val="Tahoma"/>
            <family val="2"/>
          </rPr>
          <t xml:space="preserve">
Added later</t>
        </r>
      </text>
    </comment>
    <comment ref="B816" authorId="0" shapeId="0" xr:uid="{BF612AE5-FA10-4612-8170-2FB9EC9503BF}">
      <text>
        <r>
          <rPr>
            <b/>
            <sz val="9"/>
            <color indexed="81"/>
            <rFont val="Tahoma"/>
            <charset val="1"/>
          </rPr>
          <t>Anders Sundsdal:</t>
        </r>
        <r>
          <rPr>
            <sz val="9"/>
            <color indexed="81"/>
            <rFont val="Tahoma"/>
            <charset val="1"/>
          </rPr>
          <t xml:space="preserve">
Added later</t>
        </r>
      </text>
    </comment>
    <comment ref="B830" authorId="0" shapeId="0" xr:uid="{466F9910-399A-4870-A78E-D7B7DFCE09D6}">
      <text>
        <r>
          <rPr>
            <b/>
            <sz val="9"/>
            <color indexed="81"/>
            <rFont val="Tahoma"/>
            <family val="2"/>
          </rPr>
          <t>Anders Sundsdal:</t>
        </r>
        <r>
          <rPr>
            <sz val="9"/>
            <color indexed="81"/>
            <rFont val="Tahoma"/>
            <family val="2"/>
          </rPr>
          <t xml:space="preserve">
Added later</t>
        </r>
      </text>
    </comment>
    <comment ref="B831"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74" authorId="0" shapeId="0" xr:uid="{447D2031-DBE3-4078-ADD4-25CC266E458C}">
      <text>
        <r>
          <rPr>
            <b/>
            <sz val="9"/>
            <color indexed="81"/>
            <rFont val="Tahoma"/>
            <family val="2"/>
          </rPr>
          <t>Anders Sundsdal:</t>
        </r>
        <r>
          <rPr>
            <sz val="9"/>
            <color indexed="81"/>
            <rFont val="Tahoma"/>
            <family val="2"/>
          </rPr>
          <t xml:space="preserve">
Changed from ? to R722.</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3"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9"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86"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8"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438"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41"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 ref="A470" authorId="0" shapeId="0" xr:uid="{924B00F1-9F1B-4386-9845-7177602A8229}">
      <text>
        <r>
          <rPr>
            <b/>
            <sz val="9"/>
            <color indexed="81"/>
            <rFont val="Tahoma"/>
            <charset val="1"/>
          </rPr>
          <t>Anders Sundsdal:</t>
        </r>
        <r>
          <rPr>
            <sz val="9"/>
            <color indexed="81"/>
            <rFont val="Tahoma"/>
            <charset val="1"/>
          </rPr>
          <t xml:space="preserve">
Changed from R601 to R841 due to duplicate.</t>
        </r>
      </text>
    </comment>
    <comment ref="A541"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9"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5B02AD18-0733-495D-97A1-F294AD229FF0}">
      <text>
        <r>
          <rPr>
            <b/>
            <sz val="9"/>
            <color indexed="81"/>
            <rFont val="Tahoma"/>
            <family val="2"/>
          </rPr>
          <t>Anders Sundsdal:</t>
        </r>
        <r>
          <rPr>
            <sz val="9"/>
            <color indexed="81"/>
            <rFont val="Tahoma"/>
            <family val="2"/>
          </rPr>
          <t xml:space="preserve">
Finner ikke R54b i initial weight</t>
        </r>
      </text>
    </comment>
    <comment ref="K405" authorId="0" shapeId="0" xr:uid="{F7DD44AB-09B5-4BB5-914C-CC5F888832A5}">
      <text>
        <r>
          <rPr>
            <b/>
            <sz val="9"/>
            <color indexed="81"/>
            <rFont val="Tahoma"/>
            <family val="2"/>
          </rPr>
          <t>Anders Sundsdal:</t>
        </r>
        <r>
          <rPr>
            <sz val="9"/>
            <color indexed="81"/>
            <rFont val="Tahoma"/>
            <family val="2"/>
          </rPr>
          <t xml:space="preserve">
R54a ikke i initial weight arket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 ref="K405" authorId="0" shapeId="0" xr:uid="{52276EDC-C07F-46F1-BD3D-51AAB8BC74BA}">
      <text>
        <r>
          <rPr>
            <b/>
            <sz val="9"/>
            <color indexed="81"/>
            <rFont val="Tahoma"/>
            <family val="2"/>
          </rPr>
          <t>Anders Sundsdal:</t>
        </r>
        <r>
          <rPr>
            <sz val="9"/>
            <color indexed="81"/>
            <rFont val="Tahoma"/>
            <family val="2"/>
          </rPr>
          <t xml:space="preserve">
R54a ikke i initial weight arket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BAC4D850-1C80-4F94-B379-623A639DE898}">
      <text>
        <r>
          <rPr>
            <b/>
            <sz val="9"/>
            <color indexed="81"/>
            <rFont val="Tahoma"/>
            <family val="2"/>
          </rPr>
          <t>Anders Sundsdal:</t>
        </r>
        <r>
          <rPr>
            <sz val="9"/>
            <color indexed="81"/>
            <rFont val="Tahoma"/>
            <family val="2"/>
          </rPr>
          <t xml:space="preserve">
Finner ikke R54b i initial weight</t>
        </r>
      </text>
    </comment>
    <comment ref="K405" authorId="0" shapeId="0" xr:uid="{1E3B7806-557A-4278-9C25-2A053E6CA34D}">
      <text>
        <r>
          <rPr>
            <b/>
            <sz val="9"/>
            <color indexed="81"/>
            <rFont val="Tahoma"/>
            <family val="2"/>
          </rPr>
          <t>Anders Sundsdal:</t>
        </r>
        <r>
          <rPr>
            <sz val="9"/>
            <color indexed="81"/>
            <rFont val="Tahoma"/>
            <family val="2"/>
          </rPr>
          <t xml:space="preserve">
R54a ikke i initial weight arket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<sst xmlns="http://schemas.openxmlformats.org/spreadsheetml/2006/main" count="37601" uniqueCount="3932">
  <si>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</si>
  <si>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</si>
  <si>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</si>
  <si>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</si>
  <si>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</si>
  <si>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</si>
  <si>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</si>
  <si>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</si>
  <si>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</si>
  <si>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</si>
  <si>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</si>
  <si>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</si>
  <si>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</si>
  <si>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</si>
  <si>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</si>
  <si>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</si>
  <si>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</si>
  <si>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</si>
  <si>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</si>
  <si>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</si>
  <si>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</si>
  <si>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</si>
  <si>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</si>
  <si>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</si>
  <si>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</si>
  <si>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</si>
  <si>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</si>
  <si>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</si>
  <si>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</si>
  <si>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</si>
  <si>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</si>
  <si>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</si>
  <si>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</si>
  <si>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</si>
  <si>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</si>
  <si>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</si>
  <si>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</si>
  <si>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</si>
  <si>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</si>
  <si>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</si>
  <si>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</si>
  <si>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</si>
  <si>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</si>
  <si>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</si>
  <si>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</si>
  <si>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</si>
  <si>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</si>
  <si>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</si>
  <si>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</si>
  <si>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</si>
  <si>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</si>
  <si>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</si>
  <si>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</si>
  <si>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</si>
  <si>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</si>
  <si>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</si>
  <si>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</si>
  <si>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</si>
  <si>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</si>
  <si>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</si>
  <si>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</si>
  <si>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</si>
  <si>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</si>
  <si>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</si>
  <si>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</si>
  <si>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</si>
  <si>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</si>
  <si>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</si>
  <si>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</si>
  <si>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</si>
  <si>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</si>
  <si>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</si>
  <si>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</si>
  <si>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</si>
  <si>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</si>
  <si>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</si>
  <si>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</si>
  <si>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</si>
  <si>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</si>
  <si>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</si>
  <si>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</si>
  <si>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</si>
  <si>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</si>
  <si>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</si>
  <si>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</si>
  <si>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</si>
  <si>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</si>
  <si>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</si>
  <si>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</si>
  <si>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</si>
  <si>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</si>
  <si>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</si>
  <si>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</si>
  <si>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</si>
  <si>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</si>
  <si>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</si>
  <si>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</si>
  <si>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</si>
  <si>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</si>
  <si>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</si>
  <si>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</si>
  <si>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</si>
  <si>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</si>
  <si>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</si>
  <si>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</si>
  <si>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</si>
  <si>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</si>
  <si>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</si>
  <si>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</si>
  <si>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</si>
  <si>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</si>
  <si>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</si>
  <si>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</si>
  <si>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</si>
  <si>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</si>
  <si>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</si>
  <si>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</si>
  <si>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</si>
  <si>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</si>
  <si>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</si>
  <si>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</si>
  <si>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</si>
  <si>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</si>
  <si>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</si>
  <si>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</si>
  <si>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</si>
  <si>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</si>
  <si>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</si>
  <si>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</si>
  <si>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</si>
  <si>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</si>
  <si>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</si>
  <si>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</si>
  <si>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</si>
  <si>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</si>
  <si>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</si>
  <si>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</si>
  <si>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</si>
  <si>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</si>
  <si>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</si>
  <si>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</si>
  <si>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</si>
  <si>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</si>
  <si>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</si>
  <si>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</si>
  <si>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</si>
  <si>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</si>
  <si>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</si>
  <si>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</si>
  <si>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</si>
  <si>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</si>
  <si>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</si>
  <si>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</si>
  <si>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</si>
  <si>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</si>
  <si>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</si>
  <si>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</si>
  <si>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</si>
  <si>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</si>
  <si>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</si>
  <si>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</si>
  <si>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</si>
  <si>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</si>
  <si>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</si>
  <si>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</si>
  <si>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</si>
  <si>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</si>
  <si>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</si>
  <si>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</si>
  <si>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</si>
  <si>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</si>
  <si>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</si>
  <si>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</si>
  <si>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</si>
  <si>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</si>
  <si>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</si>
  <si>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</si>
  <si>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</si>
  <si>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</si>
  <si>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</si>
  <si>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</si>
  <si>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</si>
  <si>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</si>
  <si>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</si>
  <si>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</si>
  <si>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</si>
  <si>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</si>
  <si>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</si>
  <si>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</si>
  <si>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</si>
  <si>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</si>
  <si>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</si>
  <si>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</si>
  <si>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</si>
  <si>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</si>
  <si>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</si>
  <si>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</si>
  <si>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</si>
  <si>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</si>
  <si>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</si>
  <si>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</si>
  <si>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</si>
  <si>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</si>
  <si>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</si>
  <si>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</si>
  <si>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</si>
  <si>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</si>
  <si>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</si>
  <si>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</si>
  <si>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</si>
  <si>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</si>
  <si>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</si>
  <si>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</si>
  <si>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</si>
  <si>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</si>
  <si>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</si>
  <si>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</si>
  <si>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</si>
  <si>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</si>
  <si>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</si>
  <si>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</si>
  <si>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</si>
  <si>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</si>
  <si>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</si>
  <si>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</si>
  <si>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</si>
  <si>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</si>
  <si>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</si>
  <si>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</si>
  <si>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</si>
  <si>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</si>
  <si>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</si>
  <si>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</si>
  <si>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</si>
  <si>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</si>
  <si>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</si>
  <si>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</si>
  <si>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</si>
  <si>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</si>
  <si>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</si>
  <si>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</si>
  <si>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</si>
  <si>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</si>
  <si>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</si>
  <si>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</si>
  <si>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</si>
  <si>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</si>
  <si>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</si>
  <si>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</si>
  <si>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</si>
  <si>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</si>
  <si>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</si>
  <si>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</si>
  <si>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</si>
  <si>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</si>
  <si>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</si>
  <si>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</si>
  <si>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</si>
  <si>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</si>
  <si>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</si>
  <si>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</si>
  <si>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</si>
  <si>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</si>
  <si>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</si>
  <si>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</si>
  <si>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</si>
  <si>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</si>
  <si>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</si>
  <si>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</si>
  <si>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</si>
  <si>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</si>
  <si>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</si>
  <si>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</si>
  <si>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</si>
  <si>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</si>
  <si>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</si>
  <si>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</si>
  <si>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</si>
  <si>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</si>
  <si>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</si>
  <si>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</si>
  <si>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</si>
  <si>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</si>
  <si>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</si>
  <si>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</si>
  <si>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</si>
  <si>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</si>
  <si>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</si>
  <si>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</si>
  <si>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</si>
  <si>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</si>
  <si>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</si>
  <si>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</si>
  <si>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</si>
  <si>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</si>
  <si>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</si>
  <si>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</si>
  <si>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</si>
  <si>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</si>
  <si>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</si>
  <si>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</si>
  <si>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</si>
  <si>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</si>
  <si>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</si>
  <si>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</si>
  <si>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</si>
  <si>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</si>
  <si>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</si>
  <si>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</si>
  <si>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</si>
  <si>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</si>
  <si>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</si>
  <si>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</si>
  <si>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</si>
  <si>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</si>
  <si>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</si>
  <si>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</si>
  <si>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</si>
  <si>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</si>
  <si>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</si>
  <si>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</si>
  <si>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</si>
  <si>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</si>
  <si>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</si>
  <si>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</si>
  <si>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</si>
  <si>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</si>
  <si>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</si>
  <si>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</si>
  <si>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</si>
  <si>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</si>
  <si>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</si>
  <si>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</si>
  <si>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</si>
  <si>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</si>
  <si>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</si>
  <si>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</si>
  <si>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</si>
  <si>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</si>
  <si>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</si>
  <si>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</si>
  <si>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</si>
  <si>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</si>
  <si>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</si>
  <si>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</si>
  <si>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</si>
  <si>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</si>
  <si>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</si>
  <si>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</si>
  <si>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</si>
  <si>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</si>
  <si>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</si>
  <si>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</si>
  <si>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</si>
  <si>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</si>
  <si>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</si>
  <si>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</si>
  <si>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</si>
  <si>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</si>
  <si>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</si>
  <si>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</si>
  <si>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</si>
  <si>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</si>
  <si>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</si>
  <si>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</si>
  <si>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</si>
  <si>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</si>
  <si>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</si>
  <si>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</si>
  <si>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</si>
  <si>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</si>
  <si>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</si>
  <si>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</si>
  <si>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</si>
  <si>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</si>
  <si>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</si>
  <si>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</si>
  <si>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</si>
  <si>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</si>
  <si>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</si>
  <si>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</si>
  <si>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</si>
  <si>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</si>
  <si>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</si>
  <si>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</si>
  <si>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</si>
  <si>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</si>
  <si>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</si>
  <si>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</si>
  <si>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</si>
  <si>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</si>
  <si>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</si>
  <si>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</si>
  <si>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</si>
  <si>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</si>
  <si>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</si>
  <si>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</si>
  <si>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</si>
  <si>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</si>
  <si>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</si>
  <si>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</si>
  <si>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</si>
  <si>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</si>
  <si>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</si>
  <si>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</si>
  <si>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</si>
  <si>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</si>
  <si>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</si>
  <si>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</si>
  <si>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</si>
  <si>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</si>
  <si>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</si>
  <si>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</si>
  <si>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</si>
  <si>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</si>
  <si>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</si>
  <si>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</si>
  <si>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</si>
  <si>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</si>
  <si>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</si>
  <si>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</si>
  <si>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</si>
  <si>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</si>
  <si>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</si>
  <si>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</si>
  <si>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</si>
  <si>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</si>
  <si>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</si>
  <si>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</si>
  <si>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</si>
  <si>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</si>
  <si>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</si>
  <si>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</si>
  <si>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</si>
  <si>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</si>
  <si>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</si>
  <si>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</si>
  <si>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</si>
  <si>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</si>
  <si>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</si>
  <si>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</si>
  <si>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</si>
  <si>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</si>
  <si>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</si>
  <si>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</si>
  <si>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</si>
  <si>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</si>
  <si>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</si>
  <si>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</si>
  <si>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</si>
  <si>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</si>
  <si>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</si>
  <si>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</si>
  <si>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</si>
  <si>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</si>
  <si>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</si>
  <si>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</si>
  <si>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</si>
  <si>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</si>
  <si>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</si>
  <si>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</si>
  <si>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</si>
  <si>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</si>
  <si>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</si>
  <si>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</si>
  <si>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</si>
  <si>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</si>
  <si>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</si>
  <si>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</si>
  <si>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</si>
  <si>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</si>
  <si>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</si>
  <si>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</si>
  <si>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</si>
  <si>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</si>
  <si>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</si>
  <si>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</si>
  <si>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</si>
  <si>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</si>
  <si>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</si>
  <si>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</si>
  <si>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</si>
  <si>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</si>
  <si>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</si>
  <si>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</si>
  <si>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</si>
  <si>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</si>
  <si>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</si>
  <si>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</si>
  <si>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</si>
  <si>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</si>
  <si>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</si>
  <si>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</si>
  <si>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</si>
  <si>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</si>
  <si>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</si>
  <si>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</si>
  <si>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</si>
  <si>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</si>
  <si>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</si>
  <si>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</si>
  <si>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</si>
  <si>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</si>
  <si>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</si>
  <si>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</si>
  <si>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</si>
  <si>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</si>
  <si>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</si>
  <si>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</si>
  <si>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</si>
  <si>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</si>
  <si>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</si>
  <si>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</si>
  <si>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</si>
  <si>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</si>
  <si>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</si>
  <si>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</si>
  <si>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</si>
  <si>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</si>
  <si>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</si>
  <si>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</si>
  <si>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</si>
  <si>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</si>
  <si>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</si>
  <si>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</si>
  <si>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</si>
  <si>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</si>
  <si>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</si>
  <si>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</si>
  <si>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</si>
  <si>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</si>
  <si>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</si>
  <si>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</si>
  <si>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</si>
  <si>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</si>
  <si>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</si>
  <si>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</si>
  <si>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</si>
  <si>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</si>
  <si>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</si>
  <si>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</si>
  <si>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</si>
  <si>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</si>
  <si>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</si>
  <si>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</si>
  <si>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</si>
  <si>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</si>
  <si>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</si>
  <si>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</si>
  <si>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</si>
  <si>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</si>
  <si>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</si>
  <si>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</si>
  <si>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</si>
  <si>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</si>
  <si>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</si>
  <si>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</si>
  <si>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</si>
  <si>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</si>
  <si>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</si>
  <si>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</si>
  <si>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</si>
  <si>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</si>
  <si>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</si>
  <si>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</si>
  <si>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</si>
  <si>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</si>
  <si>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</si>
  <si>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</si>
  <si>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</si>
  <si>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</si>
  <si>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</si>
  <si>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</si>
  <si>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</si>
  <si>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</si>
  <si>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</si>
  <si>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</si>
  <si>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</si>
  <si>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</si>
  <si>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</si>
  <si>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</si>
  <si>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</si>
  <si>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</si>
  <si>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</si>
  <si>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</si>
  <si>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</si>
  <si>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</si>
  <si>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</si>
  <si>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</si>
  <si>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</si>
  <si>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</si>
  <si>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</si>
  <si>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</si>
  <si>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</si>
  <si>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</si>
  <si>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</si>
  <si>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</si>
  <si>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</si>
  <si>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</si>
  <si>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</si>
  <si>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</si>
  <si>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</si>
  <si>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</si>
  <si>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</si>
  <si>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</si>
  <si>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</si>
  <si>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</si>
  <si>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</si>
  <si>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</si>
  <si>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</si>
  <si>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</si>
  <si>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</si>
  <si>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</si>
  <si>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</si>
  <si>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</si>
  <si>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</si>
  <si>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</si>
  <si>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</si>
  <si>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</si>
  <si>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</si>
  <si>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</si>
  <si>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</si>
  <si>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</si>
  <si>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</si>
  <si>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</si>
  <si>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</si>
  <si>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</si>
  <si>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</si>
  <si>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</si>
  <si>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</si>
  <si>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</si>
  <si>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</si>
  <si>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</si>
  <si>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</si>
  <si>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</si>
  <si>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</si>
  <si>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</si>
  <si>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</si>
  <si>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</si>
  <si>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</si>
  <si>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</si>
  <si>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</si>
  <si>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</si>
  <si>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</si>
  <si>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</si>
  <si>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</si>
  <si>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</si>
  <si>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</si>
  <si>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</si>
  <si>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</si>
  <si>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</si>
  <si>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</si>
  <si>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</si>
  <si>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</si>
  <si>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</si>
  <si>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</si>
  <si>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</si>
  <si>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</si>
  <si>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</si>
  <si>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</si>
  <si>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</si>
  <si>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</si>
  <si>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</si>
  <si>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</si>
  <si>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</si>
  <si>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</si>
  <si>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</si>
  <si>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</si>
  <si>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</si>
  <si>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</si>
  <si>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</si>
  <si>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</si>
  <si>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</si>
  <si>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</si>
  <si>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</si>
  <si>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</si>
  <si>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</si>
  <si>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</si>
  <si>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</si>
  <si>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</si>
  <si>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</si>
  <si>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</si>
  <si>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</si>
  <si>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</si>
  <si>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</si>
  <si>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</si>
  <si>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</si>
  <si>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</si>
  <si>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</si>
  <si>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</si>
  <si>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</si>
  <si>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</si>
  <si>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</si>
  <si>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</si>
  <si>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</si>
  <si>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</si>
  <si>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</si>
  <si>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</si>
  <si>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</si>
  <si>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</si>
  <si>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</si>
  <si>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</si>
  <si>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</si>
  <si>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</si>
  <si>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</si>
  <si>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</si>
  <si>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</si>
  <si>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</si>
  <si>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</si>
  <si>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</si>
  <si>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</si>
  <si>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</si>
  <si>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</si>
  <si>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</si>
  <si>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</si>
  <si>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</si>
  <si>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</si>
  <si>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</si>
  <si>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</si>
  <si>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</si>
  <si>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</si>
  <si>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</si>
  <si>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</si>
  <si>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</si>
  <si>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</si>
  <si>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</si>
  <si>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</si>
  <si>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</si>
  <si>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</si>
  <si>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</si>
  <si>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</si>
  <si>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</si>
  <si>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</si>
  <si>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</si>
  <si>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</si>
  <si>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</si>
  <si>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</si>
  <si>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</si>
  <si>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</si>
  <si>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</si>
  <si>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</si>
  <si>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</si>
  <si>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</si>
  <si>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</si>
  <si>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</si>
  <si>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</si>
  <si>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</si>
  <si>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</si>
  <si>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</si>
  <si>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</si>
  <si>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</si>
  <si>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</si>
  <si>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</si>
  <si>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</si>
  <si>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</si>
  <si>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</si>
  <si>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</si>
  <si>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</si>
  <si>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</si>
  <si>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</si>
  <si>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</si>
  <si>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</si>
  <si>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</si>
  <si>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</si>
  <si>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</si>
  <si>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</si>
  <si>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</si>
  <si>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</si>
  <si>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</si>
  <si>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</si>
  <si>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</si>
  <si>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</si>
  <si>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</si>
  <si>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</si>
  <si>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</si>
  <si>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</si>
  <si>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</si>
  <si>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</si>
  <si>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</si>
  <si>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</si>
  <si>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</si>
  <si>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</si>
  <si>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</si>
  <si>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</si>
  <si>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</si>
  <si>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</si>
  <si>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</si>
  <si>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</si>
  <si>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</si>
  <si>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</si>
  <si>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</si>
  <si>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</si>
  <si>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</si>
  <si>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</si>
  <si>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</si>
  <si>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</si>
  <si>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</si>
  <si>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</si>
  <si>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</si>
  <si>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</si>
  <si>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</si>
  <si>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</si>
  <si>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</si>
  <si>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</si>
  <si>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</si>
  <si>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</si>
  <si>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</si>
  <si>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</si>
  <si>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</si>
  <si>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</si>
  <si>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</si>
  <si>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</si>
  <si>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</si>
  <si>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</si>
  <si>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</si>
  <si>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</si>
  <si>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</si>
  <si>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</si>
  <si>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</si>
  <si>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</si>
  <si>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</si>
  <si>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</si>
  <si>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</si>
  <si>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</si>
  <si>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</si>
  <si>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</si>
  <si>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</si>
  <si>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</si>
  <si>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</si>
  <si>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</si>
  <si>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</si>
  <si>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</si>
  <si>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</si>
  <si>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</si>
  <si>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</si>
  <si>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</si>
  <si>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</si>
  <si>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</si>
  <si>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</si>
  <si>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</si>
  <si>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</si>
  <si>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</si>
  <si>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</si>
  <si>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</si>
  <si>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</si>
  <si>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</si>
  <si>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</si>
  <si>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</si>
  <si>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</si>
  <si>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</si>
  <si>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</si>
  <si>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</si>
  <si>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</si>
  <si>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</si>
  <si>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</si>
  <si>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</si>
  <si>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</si>
  <si>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</si>
  <si>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</si>
  <si>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</si>
  <si>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</si>
  <si>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</si>
  <si>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</si>
  <si>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</si>
  <si>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</si>
  <si>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</si>
  <si>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</si>
  <si>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</si>
  <si>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</si>
  <si>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</si>
  <si>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</si>
  <si>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</si>
  <si>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</si>
  <si>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</si>
  <si>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</si>
  <si>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</si>
  <si>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</si>
  <si>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</si>
  <si>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</si>
  <si>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</si>
  <si>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</si>
  <si>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</si>
  <si>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</si>
  <si>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</si>
  <si>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</si>
  <si>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</si>
  <si>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</si>
  <si>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</si>
  <si>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</si>
  <si>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</si>
  <si>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</si>
  <si>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</si>
  <si>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</si>
  <si>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</si>
  <si>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</si>
  <si>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</si>
  <si>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</si>
  <si>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</si>
  <si>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</si>
  <si>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</si>
  <si>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</si>
  <si>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</si>
  <si>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</si>
  <si>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</si>
  <si>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</si>
  <si>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</si>
  <si>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</si>
  <si>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</si>
  <si>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</si>
  <si>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</si>
  <si>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</si>
  <si>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</si>
  <si>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</si>
  <si>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</si>
  <si>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</si>
  <si>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</si>
  <si>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</si>
  <si>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</si>
  <si>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</si>
  <si>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</si>
  <si>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</si>
  <si>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</si>
  <si>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</si>
  <si>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</si>
  <si>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</si>
  <si>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</si>
  <si>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</si>
  <si>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</si>
  <si>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</si>
  <si>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</si>
  <si>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</si>
  <si>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</si>
  <si>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</si>
  <si>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</si>
  <si>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</si>
  <si>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</si>
  <si>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</si>
  <si>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</si>
  <si>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</si>
  <si>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</si>
  <si>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</si>
  <si>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</si>
  <si>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</si>
  <si>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</si>
  <si>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</si>
  <si>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</si>
  <si>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</si>
  <si>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</si>
  <si>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</si>
  <si>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</si>
  <si>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</si>
  <si>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</si>
  <si>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</si>
  <si>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</si>
  <si>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</si>
  <si>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</si>
  <si>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</si>
  <si>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</si>
  <si>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</si>
  <si>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</si>
  <si>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</si>
  <si>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</si>
  <si>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</si>
  <si>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</si>
  <si>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</si>
  <si>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</si>
  <si>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</si>
  <si>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</si>
  <si>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</si>
  <si>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</si>
  <si>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</si>
  <si>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</si>
  <si>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</si>
  <si>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</si>
  <si>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</si>
  <si>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</si>
  <si>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</si>
  <si>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</si>
  <si>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</si>
  <si>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</si>
  <si>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</si>
  <si>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</si>
  <si>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</si>
  <si>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</si>
  <si>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</si>
  <si>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</si>
  <si>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</si>
  <si>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</si>
  <si>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</si>
  <si>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</si>
  <si>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</si>
  <si>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</si>
  <si>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</si>
  <si>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</si>
  <si>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</si>
  <si>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</si>
  <si>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</si>
  <si>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</si>
  <si>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</si>
  <si>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</si>
  <si>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</si>
  <si>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</si>
  <si>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</si>
  <si>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</si>
  <si>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</si>
  <si>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</si>
  <si>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</si>
  <si>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</si>
  <si>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</si>
  <si>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</si>
  <si>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</si>
  <si>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</si>
  <si>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</si>
  <si>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</si>
  <si>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</si>
  <si>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</si>
  <si>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</si>
  <si>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</si>
  <si>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</si>
  <si>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</si>
  <si>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</si>
  <si>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</si>
  <si>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</si>
  <si>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</si>
  <si>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</si>
  <si>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</si>
  <si>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</si>
  <si>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</si>
  <si>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</si>
  <si>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</si>
  <si>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</si>
  <si>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</si>
  <si>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</si>
  <si>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</si>
  <si>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</si>
  <si>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</si>
  <si>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</si>
  <si>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</si>
  <si>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</si>
  <si>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</si>
  <si>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</si>
  <si>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</si>
  <si>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</si>
  <si>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</si>
  <si>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</si>
  <si>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</si>
  <si>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</si>
  <si>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</si>
  <si>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</si>
  <si>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</si>
  <si>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</si>
  <si>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</si>
  <si>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</si>
  <si>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</si>
  <si>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</si>
  <si>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</si>
  <si>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</si>
  <si>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</si>
  <si>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</si>
  <si>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</si>
  <si>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</si>
  <si>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</si>
  <si>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</si>
  <si>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</si>
  <si>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</si>
  <si>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</si>
  <si>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</si>
  <si>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</si>
  <si>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</si>
  <si>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</si>
  <si>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</si>
  <si>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</si>
  <si>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</si>
  <si>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</si>
  <si>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</si>
  <si>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</si>
  <si>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</si>
  <si>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</si>
  <si>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</si>
  <si>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</si>
  <si>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</si>
  <si>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</si>
  <si>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</si>
  <si>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</si>
  <si>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</si>
  <si>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</si>
  <si>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</si>
  <si>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</si>
  <si>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</si>
  <si>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</si>
  <si>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</si>
  <si>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</si>
  <si>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</si>
  <si>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</si>
  <si>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</si>
  <si>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</si>
  <si>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</si>
  <si>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</si>
  <si>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</si>
  <si>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</si>
  <si>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</si>
  <si>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</si>
  <si>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</si>
  <si>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</si>
  <si>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</si>
  <si>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</si>
  <si>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</si>
  <si>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</si>
  <si>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</si>
  <si>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</si>
  <si>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</si>
  <si>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</si>
  <si>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</si>
  <si>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</si>
  <si>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</si>
  <si>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</si>
  <si>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</si>
  <si>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</si>
  <si>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</si>
  <si>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</si>
  <si>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</si>
  <si>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</si>
  <si>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</si>
  <si>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</si>
  <si>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</si>
  <si>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</si>
  <si>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</si>
  <si>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</si>
  <si>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</si>
  <si>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</si>
  <si>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</si>
  <si>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</si>
  <si>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</si>
  <si>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</si>
  <si>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</si>
  <si>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</si>
  <si>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</si>
  <si>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</si>
  <si>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</si>
  <si>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</si>
  <si>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</si>
  <si>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</si>
  <si>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</si>
  <si>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</si>
  <si>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</si>
  <si>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</si>
  <si>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</si>
  <si>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</si>
  <si>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</si>
  <si>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</si>
  <si>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</si>
  <si>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</si>
  <si>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</si>
  <si>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</si>
  <si>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</si>
  <si>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</si>
  <si>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</si>
  <si>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</si>
  <si>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</si>
  <si>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</si>
  <si>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</si>
  <si>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</si>
  <si>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</si>
  <si>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</si>
  <si>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</si>
  <si>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</si>
  <si>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</si>
  <si>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</si>
  <si>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</si>
  <si>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</si>
  <si>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</si>
  <si>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</si>
  <si>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</si>
  <si>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</si>
  <si>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</si>
  <si>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</si>
  <si>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</si>
  <si>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</si>
  <si>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</si>
  <si>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</si>
  <si>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</si>
  <si>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</si>
  <si>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</si>
  <si>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</si>
  <si>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</si>
  <si>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</si>
  <si>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</si>
  <si>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</si>
  <si>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</si>
  <si>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</si>
  <si>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</si>
  <si>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</si>
  <si>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</si>
  <si>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</si>
  <si>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</si>
  <si>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</si>
  <si>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</si>
  <si>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</si>
  <si>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</si>
  <si>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</si>
  <si>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</si>
  <si>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</si>
  <si>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</si>
  <si>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</si>
  <si>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</si>
  <si>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</si>
  <si>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</si>
  <si>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</si>
  <si>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</si>
  <si>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</si>
  <si>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</si>
  <si>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</si>
  <si>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</si>
  <si>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</si>
  <si>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</si>
  <si>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</si>
  <si>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</si>
  <si>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</si>
  <si>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</si>
  <si>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</si>
  <si>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</si>
  <si>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</si>
  <si>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</si>
  <si>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</si>
  <si>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</si>
  <si>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</si>
  <si>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</si>
  <si>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</si>
  <si>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</si>
  <si>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</si>
  <si>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</si>
  <si>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</si>
  <si>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</si>
  <si>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</si>
  <si>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</si>
  <si>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</si>
  <si>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</si>
  <si>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</si>
  <si>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</si>
  <si>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</si>
  <si>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</si>
  <si>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</si>
  <si>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</si>
  <si>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</si>
  <si>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</si>
  <si>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</si>
  <si>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</si>
  <si>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</si>
  <si>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</si>
  <si>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</si>
  <si>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</si>
  <si>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</si>
  <si>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</si>
  <si>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</si>
  <si>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</si>
  <si>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</si>
  <si>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</si>
  <si>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</si>
  <si>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</si>
  <si>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</si>
  <si>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</si>
  <si>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</si>
  <si>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</si>
  <si>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</si>
  <si>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</si>
  <si>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</si>
  <si>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</si>
  <si>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</si>
  <si>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</si>
  <si>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</si>
  <si>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</si>
  <si>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</si>
  <si>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</si>
  <si>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</si>
  <si>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</si>
  <si>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</si>
  <si>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</si>
  <si>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</si>
  <si>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</si>
  <si>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</si>
  <si>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</si>
  <si>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</si>
  <si>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</si>
  <si>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</si>
  <si>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</si>
  <si>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</si>
  <si>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</si>
  <si>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</si>
  <si>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</si>
  <si>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</si>
  <si>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</si>
  <si>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</si>
  <si>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</si>
  <si>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</si>
  <si>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</si>
  <si>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</si>
  <si>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</si>
  <si>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</si>
  <si>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</si>
  <si>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</si>
  <si>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</si>
  <si>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</si>
  <si>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</si>
  <si>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</si>
  <si>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</si>
  <si>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</si>
  <si>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</si>
  <si>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</si>
  <si>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</si>
  <si>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</si>
  <si>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</si>
  <si>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</si>
  <si>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</si>
  <si>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</si>
  <si>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</si>
  <si>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</si>
  <si>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</si>
  <si>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</si>
  <si>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</si>
  <si>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</si>
  <si>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</si>
  <si>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</si>
  <si>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</si>
  <si>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</si>
  <si>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</si>
  <si>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</si>
  <si>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</si>
  <si>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</si>
  <si>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</si>
  <si>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</si>
  <si>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</si>
  <si>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</si>
  <si>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</si>
  <si>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</si>
  <si>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</si>
  <si>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</si>
  <si>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</si>
  <si>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</si>
  <si>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</si>
  <si>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</si>
  <si>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</si>
  <si>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</si>
  <si>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</si>
  <si>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</si>
  <si>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</si>
  <si>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</si>
  <si>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</si>
  <si>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</si>
  <si>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</si>
  <si>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</si>
  <si>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</si>
  <si>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</si>
  <si>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</si>
  <si>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</si>
  <si>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</si>
  <si>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</si>
  <si>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</si>
  <si>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</si>
  <si>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</si>
  <si>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</si>
  <si>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</si>
  <si>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</si>
  <si>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</si>
  <si>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</si>
  <si>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</si>
  <si>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</si>
  <si>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</si>
  <si>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</si>
  <si>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</si>
  <si>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</si>
  <si>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</si>
  <si>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</si>
  <si>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</si>
  <si>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</si>
  <si>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</si>
  <si>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</si>
  <si>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</si>
  <si>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</si>
  <si>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</si>
  <si>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</si>
  <si>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</si>
  <si>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</si>
  <si>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</si>
  <si>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</si>
  <si>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</si>
  <si>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</si>
  <si>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</si>
  <si>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</si>
  <si>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</si>
  <si>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</si>
  <si>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</si>
  <si>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</si>
  <si>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</si>
  <si>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</si>
  <si>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</si>
  <si>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</si>
  <si>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</si>
  <si>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</si>
  <si>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</si>
  <si>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</si>
  <si>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</si>
  <si>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</si>
  <si>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</si>
  <si>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</si>
  <si>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</si>
  <si>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</si>
  <si>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</si>
  <si>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</si>
  <si>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</si>
  <si>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</si>
  <si>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</si>
  <si>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</si>
  <si>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</si>
  <si>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</si>
  <si>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</si>
  <si>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</si>
  <si>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</si>
  <si>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</si>
  <si>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</si>
  <si>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</si>
  <si>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</si>
  <si>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</si>
  <si>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</si>
  <si>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</si>
  <si>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</si>
  <si>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</si>
  <si>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</si>
  <si>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</si>
  <si>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</si>
  <si>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</si>
  <si>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</si>
  <si>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</si>
  <si>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</si>
  <si>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</si>
  <si>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</si>
  <si>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</si>
  <si>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</si>
  <si>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</si>
  <si>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</si>
  <si>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</si>
  <si>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</si>
  <si>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</si>
  <si>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</si>
  <si>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</si>
  <si>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</si>
  <si>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</si>
  <si>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</si>
  <si>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</si>
  <si>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</si>
  <si>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</si>
  <si>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</si>
  <si>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</si>
  <si>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</si>
  <si>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</si>
  <si>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</si>
  <si>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</si>
  <si>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</si>
  <si>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</si>
  <si>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</si>
  <si>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</si>
  <si>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</si>
  <si>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</si>
  <si>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</si>
  <si>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</si>
  <si>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</si>
  <si>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</si>
  <si>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</si>
  <si>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</si>
  <si>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</si>
  <si>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</si>
  <si>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</si>
  <si>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</si>
  <si>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</si>
  <si>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</si>
  <si>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</si>
  <si>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</si>
  <si>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</si>
  <si>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</si>
  <si>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</si>
  <si>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</si>
  <si>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</si>
  <si>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</si>
  <si>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</si>
  <si>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</si>
  <si>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</si>
  <si>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</si>
  <si>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</si>
  <si>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</si>
  <si>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</si>
  <si>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</si>
  <si>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</si>
  <si>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</si>
  <si>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</si>
  <si>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</si>
  <si>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</si>
  <si>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</si>
  <si>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</si>
  <si>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</si>
  <si>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</si>
  <si>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</si>
  <si>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</si>
  <si>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</si>
  <si>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</si>
  <si>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</si>
  <si>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</si>
  <si>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</si>
  <si>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</si>
  <si>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</si>
  <si>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</si>
  <si>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</si>
  <si>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</si>
  <si>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</si>
  <si>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</si>
  <si>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</si>
  <si>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</si>
  <si>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</si>
  <si>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</si>
  <si>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</si>
  <si>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</si>
  <si>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</si>
  <si>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</si>
  <si>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</si>
  <si>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</si>
  <si>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</si>
  <si>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</si>
  <si>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</si>
  <si>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</si>
  <si>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</si>
  <si>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</si>
  <si>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</si>
  <si>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</si>
  <si>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</si>
  <si>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</si>
  <si>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</si>
  <si>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</si>
  <si>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</si>
  <si>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</si>
  <si>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</si>
  <si>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</si>
  <si>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</si>
  <si>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</si>
  <si>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</si>
  <si>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</si>
  <si>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</si>
  <si>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</si>
  <si>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</si>
  <si>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</si>
  <si>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</si>
  <si>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</si>
  <si>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</si>
  <si>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</si>
  <si>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</si>
  <si>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</si>
  <si>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</si>
  <si>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</si>
  <si>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</si>
  <si>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</si>
  <si>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</si>
  <si>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</si>
  <si>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</si>
  <si>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</si>
  <si>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</si>
  <si>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</si>
  <si>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</si>
  <si>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</si>
  <si>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</si>
  <si>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</si>
  <si>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</si>
  <si>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</si>
  <si>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</si>
  <si>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</si>
  <si>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</si>
  <si>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</si>
  <si>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</si>
  <si>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</si>
  <si>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</si>
  <si>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</si>
  <si>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</si>
  <si>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</si>
  <si>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</si>
  <si>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</si>
  <si>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</si>
  <si>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</si>
  <si>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</si>
  <si>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</si>
  <si>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</si>
  <si>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</si>
  <si>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</si>
  <si>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</si>
  <si>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</si>
  <si>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</si>
  <si>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</si>
  <si>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</si>
  <si>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</si>
  <si>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</si>
  <si>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</si>
  <si>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</si>
  <si>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</si>
  <si>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</si>
  <si>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</si>
  <si>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</si>
  <si>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</si>
  <si>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</si>
  <si>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</si>
  <si>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</si>
  <si>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</si>
  <si>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</si>
  <si>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</si>
  <si>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</si>
  <si>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</si>
  <si>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</si>
  <si>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</si>
  <si>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</si>
  <si>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</si>
  <si>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</si>
  <si>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</si>
  <si>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</si>
  <si>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</si>
  <si>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</si>
  <si>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</si>
  <si>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</si>
  <si>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</si>
  <si>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</si>
  <si>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</si>
  <si>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</si>
  <si>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</si>
  <si>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</si>
  <si>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</si>
  <si>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</si>
  <si>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</si>
  <si>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</si>
  <si>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</si>
  <si>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</si>
  <si>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</si>
  <si>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</si>
  <si>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</si>
  <si>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</si>
  <si>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</si>
  <si>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</si>
  <si>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</si>
  <si>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</si>
  <si>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</si>
  <si>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</si>
  <si>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</si>
  <si>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</si>
  <si>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</si>
  <si>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</si>
  <si>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</si>
  <si>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</si>
  <si>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</si>
  <si>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</si>
  <si>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</si>
  <si>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</si>
  <si>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</si>
  <si>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</si>
  <si>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</si>
  <si>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</si>
  <si>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</si>
  <si>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</si>
  <si>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</si>
  <si>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</si>
  <si>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</si>
  <si>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</si>
  <si>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</si>
  <si>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</si>
  <si>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</si>
  <si>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</si>
  <si>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</si>
  <si>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</si>
  <si>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</si>
  <si>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</si>
  <si>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</si>
  <si>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</si>
  <si>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</si>
  <si>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</si>
  <si>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</si>
  <si>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</si>
  <si>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</si>
  <si>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</si>
  <si>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</si>
  <si>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</si>
  <si>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</si>
  <si>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</si>
  <si>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</si>
  <si>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</si>
  <si>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</si>
  <si>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</si>
  <si>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</si>
  <si>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</si>
  <si>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</si>
  <si>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</si>
  <si>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</si>
  <si>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</si>
  <si>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</si>
  <si>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</si>
  <si>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</si>
  <si>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</si>
  <si>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</si>
  <si>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</si>
  <si>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</si>
  <si>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</si>
  <si>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</si>
  <si>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</si>
  <si>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</si>
  <si>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</si>
  <si>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</si>
  <si>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</si>
  <si>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</si>
  <si>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</si>
  <si>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</si>
  <si>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</si>
  <si>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</si>
  <si>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</si>
  <si>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</si>
  <si>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</si>
  <si>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</si>
  <si>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</si>
  <si>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</si>
  <si>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</si>
  <si>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</si>
  <si>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</si>
  <si>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</si>
  <si>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</si>
  <si>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</si>
  <si>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</si>
  <si>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</si>
  <si>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</si>
  <si>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</si>
  <si>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</si>
  <si>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</si>
  <si>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</si>
  <si>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</si>
  <si>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</si>
  <si>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</si>
  <si>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</si>
  <si>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</si>
  <si>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</si>
  <si>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</si>
  <si>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</si>
  <si>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</si>
  <si>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</si>
  <si>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</si>
  <si>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</si>
  <si>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</si>
  <si>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</si>
  <si>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</si>
  <si>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</si>
  <si>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</si>
  <si>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</si>
  <si>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</si>
  <si>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</si>
  <si>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</si>
  <si>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</si>
  <si>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</si>
  <si>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</si>
  <si>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</si>
  <si>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</si>
  <si>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</si>
  <si>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</si>
  <si>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</si>
  <si>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</si>
  <si>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</si>
  <si>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</si>
  <si>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</si>
  <si>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</si>
  <si>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</si>
  <si>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</si>
  <si>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</si>
  <si>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</si>
  <si>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</si>
  <si>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</si>
  <si>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</si>
  <si>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</si>
  <si>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</si>
  <si>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</si>
  <si>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</si>
  <si>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</si>
  <si>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</si>
  <si>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</si>
  <si>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</si>
  <si>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</si>
  <si>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</si>
  <si>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</si>
  <si>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</si>
  <si>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</si>
  <si>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</si>
  <si>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</si>
  <si>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</si>
  <si>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</si>
  <si>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</si>
  <si>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</si>
  <si>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</si>
  <si>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</si>
  <si>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</si>
  <si>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</si>
  <si>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</si>
  <si>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</si>
  <si>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</si>
  <si>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</si>
  <si>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</si>
  <si>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</si>
  <si>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</si>
  <si>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</si>
  <si>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</si>
  <si>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</si>
  <si>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</si>
  <si>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</si>
  <si>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</si>
  <si>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</si>
  <si>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</si>
  <si>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</si>
  <si>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</si>
  <si>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</si>
  <si>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</si>
  <si>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</si>
  <si>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</si>
  <si>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</si>
  <si>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</si>
  <si>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</si>
  <si>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</si>
  <si>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</si>
  <si>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</si>
  <si>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</si>
  <si>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</si>
  <si>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</si>
  <si>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</si>
  <si>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</si>
  <si>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</si>
  <si>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</si>
  <si>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</si>
  <si>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</si>
  <si>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</si>
  <si>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</si>
  <si>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</si>
  <si>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</si>
  <si>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</si>
  <si>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</si>
  <si>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</si>
  <si>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</si>
  <si>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</si>
  <si>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</si>
  <si>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</si>
  <si>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</si>
  <si>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</si>
  <si>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</si>
  <si>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</si>
  <si>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</si>
  <si>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</si>
  <si>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</si>
  <si>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</si>
  <si>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</si>
  <si>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</si>
  <si>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</si>
  <si>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</si>
  <si>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</si>
  <si>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</si>
  <si>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</si>
  <si>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</si>
  <si>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</si>
  <si>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</si>
  <si>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</si>
  <si>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</si>
  <si>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</si>
  <si>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</si>
  <si>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</si>
  <si>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</si>
  <si>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</si>
  <si>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</si>
  <si>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</si>
  <si>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</si>
  <si>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</si>
  <si>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</si>
  <si>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</si>
  <si>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</si>
  <si>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</si>
  <si>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</si>
  <si>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</si>
  <si>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</si>
  <si>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</si>
  <si>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</si>
  <si>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</si>
  <si>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</si>
  <si>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</si>
  <si>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</si>
  <si>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</si>
  <si>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</si>
  <si>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</si>
  <si>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</si>
  <si>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</si>
  <si>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</si>
  <si>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</si>
  <si>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</si>
  <si>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</si>
  <si>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</si>
  <si>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</si>
  <si>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</si>
  <si>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</si>
  <si>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</si>
  <si>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</si>
  <si>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</si>
  <si>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</si>
  <si>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</si>
  <si>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</si>
  <si>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</si>
  <si>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</si>
  <si>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</si>
  <si>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</si>
  <si>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</si>
  <si>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</si>
  <si>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</si>
  <si>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</si>
  <si>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</si>
  <si>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</si>
  <si>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</si>
  <si>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</si>
  <si>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</si>
  <si>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</si>
  <si>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</si>
  <si>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</si>
  <si>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</si>
  <si>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</si>
  <si>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</si>
  <si>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</si>
  <si>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</si>
  <si>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</si>
  <si>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</si>
  <si>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</si>
  <si>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</si>
  <si>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</si>
  <si>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</si>
  <si>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</si>
  <si>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</si>
  <si>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</si>
  <si>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</si>
  <si>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</si>
  <si>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</si>
  <si>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</si>
  <si>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</si>
  <si>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</si>
  <si>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</si>
  <si>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</si>
  <si>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</si>
  <si>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</si>
  <si>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</si>
  <si>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</si>
  <si>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</si>
  <si>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</si>
  <si>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</si>
  <si>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</si>
  <si>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</si>
  <si>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</si>
  <si>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</si>
  <si>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</si>
  <si>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</si>
  <si>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</si>
  <si>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</si>
  <si>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</si>
  <si>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</si>
  <si>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</si>
  <si>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</si>
  <si>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</si>
  <si>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</si>
  <si>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</si>
  <si>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</si>
  <si>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</si>
  <si>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</si>
  <si>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</si>
  <si>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</si>
  <si>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</si>
  <si>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</si>
  <si>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</si>
  <si>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</si>
  <si>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</si>
  <si>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</si>
  <si>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</si>
  <si>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</si>
  <si>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</si>
  <si>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</si>
  <si>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</si>
  <si>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</si>
  <si>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</si>
  <si>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</si>
  <si>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</si>
  <si>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</si>
  <si>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</si>
  <si>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</si>
  <si>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</si>
  <si>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</si>
  <si>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</si>
  <si>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</si>
  <si>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</si>
  <si>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</si>
  <si>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</si>
  <si>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</si>
  <si>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</si>
  <si>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</si>
  <si>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</si>
  <si>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</si>
  <si>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</si>
  <si>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</si>
  <si>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</si>
  <si>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</si>
  <si>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</si>
  <si>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</si>
  <si>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</si>
  <si>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</si>
  <si>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</si>
  <si>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</si>
  <si>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</si>
  <si>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</si>
  <si>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</si>
  <si>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</si>
  <si>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</si>
  <si>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</si>
  <si>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</si>
  <si>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</si>
  <si>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</si>
  <si>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</si>
  <si>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</si>
  <si>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</si>
  <si>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</si>
  <si>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</si>
  <si>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</si>
  <si>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</si>
  <si>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</si>
  <si>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</si>
  <si>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</si>
  <si>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</si>
  <si>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</si>
  <si>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</si>
  <si>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</si>
  <si>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</si>
  <si>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</si>
  <si>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</si>
  <si>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</si>
  <si>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</si>
  <si>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</si>
  <si>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</si>
  <si>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</si>
  <si>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</si>
  <si>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</si>
  <si>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</si>
  <si>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</si>
  <si>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</si>
  <si>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</si>
  <si>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</si>
  <si>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</si>
  <si>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</si>
  <si>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</si>
  <si>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</si>
  <si>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</si>
  <si>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</si>
  <si>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</si>
  <si>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</si>
  <si>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</si>
  <si>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</si>
  <si>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</si>
  <si>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</si>
  <si>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</si>
  <si>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</si>
  <si>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</si>
  <si>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</si>
  <si>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</si>
  <si>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</si>
  <si>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</si>
  <si>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</si>
  <si>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</si>
  <si>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</si>
  <si>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</si>
  <si>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</si>
  <si>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</si>
  <si>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</si>
  <si>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</si>
  <si>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</si>
  <si>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</si>
  <si>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</si>
  <si>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</si>
  <si>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</si>
  <si>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</si>
  <si>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</si>
  <si>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</si>
  <si>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</si>
  <si>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</si>
  <si>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</si>
  <si>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</si>
  <si>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</si>
  <si>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</si>
  <si>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</si>
  <si>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</si>
  <si>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</si>
  <si>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</si>
  <si>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</si>
  <si>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</si>
  <si>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</si>
  <si>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</si>
  <si>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</si>
  <si>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</si>
  <si>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</si>
  <si>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</si>
  <si>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</si>
  <si>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</si>
  <si>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</si>
  <si>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</si>
  <si>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</si>
  <si>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</si>
  <si>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</si>
  <si>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</si>
  <si>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</si>
  <si>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</si>
  <si>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</si>
  <si>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</si>
  <si>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</si>
  <si>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</si>
  <si>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</si>
  <si>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</si>
  <si>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</si>
  <si>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</si>
  <si>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</si>
  <si>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</si>
  <si>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</si>
  <si>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</si>
  <si>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</si>
  <si>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</si>
  <si>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</si>
  <si>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</si>
  <si>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</si>
  <si>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</si>
  <si>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</si>
  <si>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</si>
  <si>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</si>
  <si>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</si>
  <si>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</si>
  <si>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</si>
  <si>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</si>
  <si>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</si>
  <si>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</si>
  <si>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</si>
  <si>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</si>
  <si>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</si>
  <si>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</si>
  <si>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</si>
  <si>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</si>
  <si>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</si>
  <si>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</si>
  <si>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</si>
  <si>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</si>
  <si>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</si>
  <si>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</si>
  <si>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</si>
  <si>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</si>
  <si>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</si>
  <si>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</si>
  <si>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</si>
  <si>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</si>
  <si>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</si>
  <si>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</si>
  <si>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</si>
  <si>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</si>
  <si>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</si>
  <si>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</si>
  <si>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</si>
  <si>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</si>
  <si>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</si>
  <si>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</si>
  <si>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</si>
  <si>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</si>
  <si>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</si>
  <si>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</si>
  <si>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</si>
  <si>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</si>
  <si>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</si>
  <si>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</si>
  <si>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</si>
  <si>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</si>
  <si>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</si>
  <si>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</si>
  <si>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</si>
  <si>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</si>
  <si>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</si>
  <si>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</si>
  <si>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</si>
  <si>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</si>
  <si>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</si>
  <si>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</si>
  <si>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</si>
  <si>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</si>
  <si>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</si>
  <si>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</si>
  <si>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</si>
  <si>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</si>
  <si>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</si>
  <si>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</si>
  <si>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</si>
  <si>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</si>
  <si>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</si>
  <si>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</si>
  <si>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</si>
  <si>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</si>
  <si>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</si>
  <si>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</si>
  <si>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</si>
  <si>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</si>
  <si>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</si>
  <si>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</si>
  <si>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</si>
  <si>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</si>
  <si>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</si>
  <si>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</si>
  <si>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</si>
  <si>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</si>
  <si>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</si>
  <si>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</si>
  <si>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</si>
  <si>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</si>
  <si>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</si>
  <si>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</si>
  <si>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</si>
  <si>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</si>
  <si>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</si>
  <si>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</si>
  <si>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</si>
  <si>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</si>
  <si>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</si>
  <si>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</si>
  <si>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</si>
  <si>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</si>
  <si>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</si>
  <si>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</si>
  <si>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</si>
  <si>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</si>
  <si>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</si>
  <si>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</si>
  <si>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</si>
  <si>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</si>
  <si>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</si>
  <si>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</si>
  <si>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</si>
  <si>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</si>
  <si>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</si>
  <si>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</si>
  <si>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</si>
  <si>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</si>
  <si>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</si>
  <si>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</si>
  <si>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</si>
  <si>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</si>
  <si>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</si>
  <si>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</si>
  <si>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</si>
  <si>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</si>
  <si>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</si>
  <si>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</si>
  <si>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</si>
  <si>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</si>
  <si>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</si>
  <si>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</si>
  <si>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</si>
  <si>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</si>
  <si>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</si>
  <si>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</si>
  <si>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</si>
  <si>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</si>
  <si>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</si>
  <si>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</si>
  <si>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</si>
  <si>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</si>
  <si>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</si>
  <si>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</si>
  <si>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</si>
  <si>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</si>
  <si>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</si>
  <si>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</si>
  <si>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</si>
  <si>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</si>
  <si>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</si>
  <si>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</si>
  <si>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</si>
  <si>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</si>
  <si>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</si>
  <si>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</si>
  <si>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</si>
  <si>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</si>
  <si>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</si>
  <si>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</si>
  <si>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</si>
  <si>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</si>
  <si>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</si>
  <si>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</si>
  <si>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</si>
  <si>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</si>
  <si>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</si>
  <si>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</si>
  <si>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</si>
  <si>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</si>
  <si>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</si>
  <si>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</si>
  <si>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</si>
  <si>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</si>
  <si>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</si>
  <si>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</si>
  <si>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</si>
  <si>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</si>
  <si>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</si>
  <si>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</si>
  <si>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</si>
  <si>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</si>
  <si>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</si>
  <si>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</si>
  <si>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</si>
  <si>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</si>
  <si>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</si>
  <si>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</si>
  <si>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</si>
  <si>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</si>
  <si>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</si>
  <si>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</si>
  <si>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</si>
  <si>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</si>
  <si>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</si>
  <si>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</si>
  <si>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</si>
  <si>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</si>
  <si>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</si>
  <si>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</si>
  <si>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</si>
  <si>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</si>
  <si>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</si>
  <si>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</si>
  <si>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</si>
  <si>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</si>
  <si>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</si>
  <si>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</si>
  <si>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</si>
  <si>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</si>
  <si>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</si>
  <si>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</si>
  <si>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</si>
  <si>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</si>
  <si>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</si>
  <si>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</si>
  <si>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</si>
  <si>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</si>
  <si>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</si>
  <si>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</si>
  <si>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</si>
  <si>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</si>
  <si>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</si>
  <si>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</si>
  <si>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</si>
  <si>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</si>
  <si>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</si>
  <si>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</si>
  <si>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</si>
  <si>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</si>
  <si>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</si>
  <si>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</si>
  <si>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</si>
  <si>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</si>
  <si>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</si>
  <si>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</si>
  <si>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</si>
  <si>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</si>
  <si>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</si>
  <si>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</si>
  <si>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</si>
  <si>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</si>
  <si>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</si>
  <si>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</si>
  <si>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</si>
  <si>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</si>
  <si>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</si>
  <si>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</si>
  <si>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</si>
  <si>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</si>
  <si>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</si>
  <si>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</si>
  <si>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</si>
  <si>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</si>
  <si>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</si>
  <si>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</si>
  <si>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</si>
  <si>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</si>
  <si>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</si>
  <si>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</si>
  <si>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</si>
  <si>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</si>
  <si>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</si>
  <si>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</si>
  <si>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</si>
  <si>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</si>
  <si>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</si>
  <si>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</si>
  <si>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</si>
  <si>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</si>
  <si>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</si>
  <si>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</si>
  <si>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</si>
  <si>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</si>
  <si>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</si>
  <si>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</si>
  <si>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</si>
  <si>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</si>
  <si>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</si>
  <si>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</si>
  <si>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</si>
  <si>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</si>
  <si>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</si>
  <si>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</si>
  <si>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</si>
  <si>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</si>
  <si>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</si>
  <si>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</si>
  <si>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</si>
  <si>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</si>
  <si>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</si>
  <si>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</si>
  <si>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</si>
  <si>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</si>
  <si>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</si>
  <si>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</si>
  <si>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</si>
  <si>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</si>
  <si>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</si>
  <si>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</si>
  <si>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</si>
  <si>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</si>
  <si>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</si>
  <si>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</si>
  <si>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</si>
  <si>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</si>
  <si>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</si>
  <si>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</si>
  <si>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</si>
  <si>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</si>
  <si>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</si>
  <si>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</si>
  <si>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</si>
  <si>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</si>
  <si>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</si>
  <si>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</si>
  <si>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</si>
  <si>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</si>
  <si>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</si>
  <si>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</si>
  <si>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</si>
  <si>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</si>
  <si>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</si>
  <si>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</si>
  <si>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</si>
  <si>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</si>
  <si>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</si>
  <si>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</si>
  <si>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</si>
  <si>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</si>
  <si>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</si>
  <si>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</si>
  <si>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</si>
  <si>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</si>
  <si>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</si>
  <si>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</si>
  <si>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</si>
  <si>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</si>
  <si>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</si>
  <si>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</si>
  <si>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</si>
  <si>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</si>
  <si>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</si>
  <si>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</si>
  <si>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</si>
  <si>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</si>
  <si>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</si>
  <si>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</si>
  <si>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</si>
  <si>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</si>
  <si>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</si>
  <si>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</si>
  <si>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</si>
  <si>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</si>
  <si>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</si>
  <si>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</si>
  <si>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</si>
  <si>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</si>
  <si>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</si>
  <si>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</si>
  <si>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</si>
  <si>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</si>
  <si>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</si>
  <si>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</si>
  <si>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</si>
  <si>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</si>
  <si>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</si>
  <si>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</si>
  <si>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</si>
  <si>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</si>
  <si>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</si>
  <si>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</si>
  <si>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</si>
  <si>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</si>
  <si>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</si>
  <si>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</si>
  <si>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</si>
  <si>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</si>
  <si>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</si>
  <si>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</si>
  <si>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</si>
  <si>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</si>
  <si>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</si>
  <si>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</si>
  <si>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</si>
  <si>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</si>
  <si>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</si>
  <si>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</si>
  <si>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</si>
  <si>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</si>
  <si>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</si>
  <si>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</si>
  <si>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</si>
  <si>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</si>
  <si>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</si>
  <si>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</si>
  <si>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</si>
  <si>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</si>
  <si>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</si>
  <si>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</si>
  <si>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</si>
  <si>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</si>
  <si>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</si>
  <si>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</si>
  <si>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</si>
  <si>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</si>
  <si>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</si>
  <si>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</si>
  <si>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</si>
  <si>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</si>
  <si>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</si>
  <si>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</si>
  <si>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</si>
  <si>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</si>
  <si>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</si>
  <si>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</si>
  <si>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</si>
  <si>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</si>
  <si>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</si>
  <si>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</si>
  <si>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</si>
  <si>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</si>
  <si>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</si>
  <si>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</si>
  <si>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</si>
  <si>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</si>
  <si>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</si>
  <si>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</si>
  <si>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</si>
  <si>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</si>
  <si>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</si>
  <si>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</si>
  <si>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</si>
  <si>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</si>
  <si>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</si>
  <si>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</si>
  <si>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</si>
  <si>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</si>
  <si>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</si>
  <si>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</si>
  <si>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</si>
  <si>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</si>
  <si>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</si>
  <si>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</si>
  <si>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</si>
  <si>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</si>
  <si>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</si>
  <si>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</si>
  <si>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</si>
  <si>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</si>
  <si>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</si>
  <si>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</si>
  <si>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</si>
  <si>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</si>
  <si>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</si>
  <si>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</si>
  <si>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</si>
  <si>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</si>
  <si>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</si>
  <si>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</si>
  <si>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</si>
  <si>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</si>
  <si>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</si>
  <si>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</si>
  <si>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</si>
  <si>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</si>
  <si>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</si>
  <si>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</si>
  <si>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</si>
  <si>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</si>
  <si>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</si>
  <si>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</si>
  <si>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</si>
  <si>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</si>
  <si>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</si>
  <si>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</si>
  <si>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</si>
  <si>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</si>
  <si>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</si>
  <si>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</si>
  <si>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</si>
  <si>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</si>
  <si>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</si>
  <si>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</si>
  <si>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</si>
  <si>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</si>
  <si>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</si>
  <si>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</si>
  <si>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</si>
  <si>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</si>
  <si>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</si>
  <si>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</si>
  <si>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</si>
  <si>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</si>
  <si>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</si>
  <si>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</si>
  <si>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</si>
  <si>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</si>
  <si>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</si>
  <si>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</si>
  <si>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</si>
  <si>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</si>
  <si>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</si>
  <si>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</si>
  <si>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</si>
  <si>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</si>
  <si>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</si>
  <si>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</si>
  <si>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</si>
  <si>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</si>
  <si>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</si>
  <si>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</si>
  <si>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</si>
  <si>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</si>
  <si>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</si>
  <si>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</si>
  <si>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</si>
  <si>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</si>
  <si>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</si>
  <si>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</si>
  <si>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</si>
  <si>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</si>
  <si>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</si>
  <si>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</si>
  <si>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</si>
  <si>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</si>
  <si>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</si>
  <si>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</si>
  <si>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</si>
  <si>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</si>
  <si>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</si>
  <si>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</si>
  <si>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</si>
  <si>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</si>
  <si>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</si>
  <si>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</si>
  <si>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</si>
  <si>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</si>
  <si>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</si>
  <si>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</si>
  <si>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</si>
  <si>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</si>
  <si>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</si>
  <si>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</si>
  <si>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</si>
  <si>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</si>
  <si>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</si>
  <si>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</si>
  <si>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</si>
  <si>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</si>
  <si>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</si>
  <si>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</si>
  <si>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</si>
  <si>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</si>
  <si>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</si>
  <si>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</si>
  <si>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</si>
  <si>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</si>
  <si>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</si>
  <si>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</si>
  <si>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</si>
  <si>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</si>
  <si>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</si>
  <si>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</si>
  <si>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</si>
  <si>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</si>
  <si>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</si>
  <si>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</si>
  <si>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</si>
  <si>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</si>
  <si>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</si>
  <si>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</si>
  <si>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</si>
  <si>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</si>
  <si>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</si>
  <si>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</si>
  <si>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</si>
  <si>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</si>
  <si>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</si>
  <si>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</si>
  <si>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</si>
  <si>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</si>
  <si>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</si>
  <si>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</si>
  <si>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</si>
  <si>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</si>
  <si>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</si>
  <si>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</si>
  <si>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</si>
  <si>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</si>
  <si>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</si>
  <si>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</si>
  <si>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</si>
  <si>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</si>
  <si>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</si>
  <si>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</si>
  <si>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</si>
  <si>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</si>
  <si>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</si>
  <si>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</si>
  <si>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</si>
  <si>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</si>
  <si>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</si>
  <si>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</si>
  <si>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</si>
  <si>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</si>
  <si>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</si>
  <si>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</si>
  <si>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</si>
  <si>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</si>
  <si>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</si>
  <si>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</si>
  <si>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</si>
  <si>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</si>
  <si>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</si>
  <si>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</si>
  <si>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</si>
  <si>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</si>
  <si>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</si>
  <si>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</si>
  <si>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</si>
  <si>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</si>
  <si>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</si>
  <si>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</si>
  <si>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</si>
  <si>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</si>
  <si>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</si>
  <si>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</si>
  <si>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</si>
  <si>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</si>
  <si>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</si>
  <si>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</si>
  <si>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</si>
  <si>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</si>
  <si>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</si>
  <si>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</si>
  <si>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</si>
  <si>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</si>
  <si>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</si>
  <si>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</si>
  <si>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</si>
  <si>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</si>
  <si>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</si>
  <si>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</si>
  <si>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</si>
  <si>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</si>
  <si>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</si>
  <si>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</si>
  <si>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</si>
  <si>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</si>
  <si>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</si>
  <si>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</si>
  <si>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</si>
  <si>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</si>
  <si>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</si>
  <si>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</si>
  <si>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</si>
  <si>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</si>
  <si>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</si>
  <si>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</si>
  <si>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</si>
  <si>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</si>
  <si>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</si>
  <si>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</si>
  <si>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</si>
  <si>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</si>
  <si>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</si>
  <si>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</si>
  <si>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</si>
  <si>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</si>
  <si>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</si>
  <si>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</si>
  <si>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</si>
  <si>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</si>
  <si>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</si>
  <si>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</si>
  <si>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</si>
  <si>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</si>
  <si>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</si>
  <si>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</si>
  <si>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</si>
  <si>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</si>
  <si>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</si>
  <si>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</si>
  <si>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</si>
  <si>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</si>
  <si>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</si>
  <si>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</si>
  <si>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</si>
  <si>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</si>
  <si>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</si>
  <si>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</si>
  <si>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</si>
  <si>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</si>
  <si>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</si>
  <si>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</si>
  <si>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</si>
  <si>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</si>
  <si>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</si>
  <si>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</si>
  <si>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</si>
  <si>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</si>
  <si>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</si>
  <si>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</si>
  <si>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</si>
  <si>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</si>
  <si>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</si>
  <si>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</si>
  <si>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</si>
  <si>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</si>
  <si>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</si>
  <si>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</si>
  <si>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</si>
  <si>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</si>
  <si>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</si>
  <si>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</si>
  <si>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</si>
  <si>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</si>
  <si>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</si>
  <si>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</si>
  <si>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</si>
  <si>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</si>
  <si>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</si>
  <si>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</si>
  <si>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</si>
  <si>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</si>
  <si>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</si>
  <si>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</si>
  <si>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</si>
  <si>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</si>
  <si>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</si>
  <si>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</si>
  <si>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</si>
  <si>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</si>
  <si>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</si>
  <si>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</si>
  <si>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</si>
  <si>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</si>
  <si>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</si>
  <si>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</si>
  <si>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</si>
  <si>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</si>
  <si>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</si>
  <si>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</si>
  <si>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</si>
  <si>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</si>
  <si>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</si>
  <si>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</si>
  <si>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</si>
  <si>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</si>
  <si>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</si>
  <si>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</si>
  <si>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</si>
  <si>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</si>
  <si>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</si>
  <si>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</si>
  <si>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</si>
  <si>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</si>
  <si>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</si>
  <si>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</si>
  <si>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</si>
  <si>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</si>
  <si>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</si>
  <si>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</si>
  <si>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</si>
  <si>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</si>
  <si>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</si>
  <si>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</si>
  <si>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</si>
  <si>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</si>
  <si>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</si>
  <si>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</si>
  <si>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</si>
  <si>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</si>
  <si>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</si>
  <si>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</si>
  <si>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</si>
  <si>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</si>
  <si>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</si>
  <si>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</si>
  <si>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</si>
  <si>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</si>
  <si>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</si>
  <si>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</si>
  <si>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</si>
  <si>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</si>
  <si>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</si>
  <si>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</si>
  <si>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</si>
  <si>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</si>
  <si>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</si>
  <si>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</si>
  <si>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</si>
  <si>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</si>
  <si>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</si>
  <si>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</si>
  <si>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</si>
  <si>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</si>
  <si>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</si>
  <si>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</si>
  <si>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</si>
  <si>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</si>
  <si>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</si>
  <si>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</si>
  <si>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</si>
  <si>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</si>
  <si>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</si>
  <si>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</si>
  <si>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</si>
  <si>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</si>
  <si>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</si>
  <si>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</si>
  <si>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</si>
  <si>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</si>
  <si>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</si>
  <si>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</si>
  <si>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</si>
  <si>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</si>
  <si>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</si>
  <si>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</si>
  <si>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</si>
  <si>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</si>
  <si>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</si>
  <si>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</si>
  <si>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</si>
  <si>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</si>
  <si>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</si>
  <si>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</si>
  <si>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</si>
  <si>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</si>
  <si>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</si>
  <si>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</si>
  <si>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</si>
  <si>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</si>
  <si>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</si>
  <si>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</si>
  <si>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</si>
  <si>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</si>
  <si>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</si>
  <si>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</si>
  <si>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</si>
  <si>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</si>
  <si>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</si>
  <si>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</si>
  <si>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</si>
  <si>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</si>
  <si>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</si>
  <si>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</si>
  <si>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</si>
  <si>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</si>
  <si>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</si>
  <si>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</si>
  <si>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</si>
  <si>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</si>
  <si>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</si>
  <si>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</si>
  <si>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</si>
  <si>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</si>
  <si>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</si>
  <si>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</si>
  <si>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</si>
  <si>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</si>
  <si>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</si>
  <si>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</si>
  <si>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</si>
  <si>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</si>
  <si>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</si>
  <si>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</si>
  <si>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</si>
  <si>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</si>
  <si>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</si>
  <si>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</si>
  <si>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</si>
  <si>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</si>
  <si>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</si>
  <si>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</si>
  <si>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</si>
  <si>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</si>
  <si>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</si>
  <si>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</si>
  <si>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</si>
  <si>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</si>
  <si>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</si>
  <si>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</si>
  <si>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</si>
  <si>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</si>
  <si>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</si>
  <si>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</si>
  <si>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</si>
  <si>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</si>
  <si>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</si>
  <si>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</si>
  <si>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</si>
  <si>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</si>
  <si>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</si>
  <si>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</si>
  <si>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</si>
  <si>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</si>
  <si>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</si>
  <si>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</si>
  <si>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</si>
  <si>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</si>
  <si>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</si>
  <si>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</si>
  <si>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</si>
  <si>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</si>
  <si>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</si>
  <si>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</si>
  <si>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</si>
  <si>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</si>
  <si>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</si>
  <si>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</si>
  <si>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</si>
  <si>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</si>
  <si>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</si>
  <si>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</si>
  <si>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</si>
  <si>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</si>
  <si>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</si>
  <si>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</si>
  <si>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</si>
  <si>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</si>
  <si>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</si>
  <si>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</si>
  <si>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</si>
  <si>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</si>
  <si>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</si>
  <si>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</si>
  <si>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</si>
  <si>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</si>
  <si>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</si>
  <si>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</si>
  <si>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</si>
  <si>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</si>
  <si>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</si>
  <si>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</si>
  <si>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</si>
  <si>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</si>
  <si>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</si>
  <si>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</si>
  <si>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</si>
  <si>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</si>
  <si>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</si>
  <si>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</si>
  <si>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</si>
  <si>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</si>
  <si>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</si>
  <si>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</si>
  <si>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</si>
  <si>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</si>
  <si>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</si>
  <si>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</si>
  <si>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</si>
  <si>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</si>
  <si>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</si>
  <si>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</si>
  <si>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</si>
  <si>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</si>
  <si>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</si>
  <si>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</si>
  <si>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</si>
  <si>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</si>
  <si>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</si>
  <si>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</si>
  <si>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</si>
  <si>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</si>
  <si>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</si>
  <si>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</si>
  <si>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</si>
  <si>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</si>
  <si>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</si>
  <si>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</si>
  <si>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</si>
  <si>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</si>
  <si>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</si>
  <si>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</si>
  <si>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</si>
  <si>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</si>
  <si>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</si>
  <si>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</si>
  <si>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</si>
  <si>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</si>
  <si>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</si>
  <si>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</si>
  <si>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</si>
  <si>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</si>
  <si>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</si>
  <si>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</si>
  <si>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</si>
  <si>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</si>
  <si>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</si>
  <si>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</si>
  <si>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</si>
  <si>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</si>
  <si>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</si>
  <si>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</si>
  <si>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</si>
  <si>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</si>
  <si>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</si>
  <si>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</si>
  <si>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</si>
  <si>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</si>
  <si>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</si>
  <si>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</si>
  <si>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</si>
  <si>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</si>
  <si>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</si>
  <si>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</si>
  <si>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</si>
  <si>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</si>
  <si>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</si>
  <si>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</si>
  <si>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</si>
  <si>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</si>
  <si>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</si>
  <si>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</si>
  <si>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</si>
  <si>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</si>
  <si>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</si>
  <si>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</si>
  <si>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</si>
  <si>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</si>
  <si>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</si>
  <si>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</si>
  <si>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</si>
  <si>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</si>
  <si>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</si>
  <si>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</si>
  <si>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</si>
  <si>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</si>
  <si>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</si>
  <si>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</si>
  <si>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</si>
  <si>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</si>
  <si>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</si>
  <si>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</si>
  <si>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</si>
  <si>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</si>
  <si>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</si>
  <si>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</si>
  <si>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</si>
  <si>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</si>
  <si>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</si>
  <si>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</si>
  <si>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</si>
  <si>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</si>
  <si>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</si>
  <si>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</si>
  <si>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</si>
  <si>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</si>
  <si>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</si>
  <si>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</si>
  <si>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</si>
  <si>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</si>
  <si>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</si>
  <si>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</si>
  <si>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</si>
  <si>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</si>
  <si>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</si>
  <si>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</si>
  <si>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</si>
  <si>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</si>
  <si>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</si>
  <si>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</si>
  <si>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</si>
  <si>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</si>
  <si>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</si>
  <si>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</si>
  <si>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</si>
  <si>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</si>
  <si>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</si>
  <si>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</si>
  <si>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</si>
  <si>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</si>
  <si>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</si>
  <si>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</si>
  <si>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</si>
  <si>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</si>
  <si>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</si>
  <si>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</si>
  <si>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</si>
  <si>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</si>
  <si>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</si>
  <si>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</si>
  <si>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</si>
  <si>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</si>
  <si>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</si>
  <si>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</si>
  <si>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</si>
  <si>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</si>
  <si>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</si>
  <si>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</si>
  <si>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</si>
  <si>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</si>
  <si>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</si>
  <si>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</si>
  <si>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</si>
  <si>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</si>
  <si>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</si>
  <si>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</si>
  <si>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</si>
  <si>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</si>
  <si>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</si>
  <si>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</si>
  <si>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</si>
  <si>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</si>
  <si>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</si>
  <si>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</si>
  <si>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</si>
  <si>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</si>
  <si>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</si>
  <si>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</si>
  <si>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</si>
  <si>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</si>
  <si>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</si>
  <si>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</si>
  <si>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</si>
  <si>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</si>
  <si>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</si>
  <si>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</si>
  <si>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</si>
  <si>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</si>
  <si>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</si>
  <si>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</si>
  <si>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</si>
  <si>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</si>
  <si>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</si>
  <si>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</si>
  <si>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</si>
  <si>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</si>
  <si>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</si>
  <si>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</si>
  <si>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</si>
  <si>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</si>
  <si>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</si>
  <si>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</si>
  <si>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</si>
  <si>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</si>
  <si>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</si>
  <si>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</si>
  <si>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</si>
  <si>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</si>
  <si>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</si>
  <si>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</si>
  <si>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</si>
  <si>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</si>
  <si>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</si>
  <si>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</si>
  <si>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</si>
  <si>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</si>
  <si>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</si>
  <si>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</si>
  <si>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</si>
  <si>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</si>
  <si>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</si>
  <si>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</si>
  <si>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</si>
  <si>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</si>
  <si>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</si>
  <si>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</si>
  <si>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</si>
  <si>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</si>
  <si>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</si>
  <si>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</si>
  <si>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</si>
  <si>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</si>
  <si>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</si>
  <si>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</si>
  <si>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</si>
  <si>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</si>
  <si>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</si>
  <si>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</si>
  <si>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</si>
  <si>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</si>
  <si>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</si>
  <si>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</si>
  <si>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</si>
  <si>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</si>
  <si>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</si>
  <si>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</si>
  <si>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</si>
  <si>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</si>
  <si>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</si>
  <si>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</si>
  <si>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</si>
  <si>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</si>
  <si>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</si>
  <si>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</si>
  <si>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</si>
  <si>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</si>
  <si>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</si>
  <si>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</si>
  <si>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</si>
  <si>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</si>
  <si>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</si>
  <si>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</si>
  <si>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</si>
  <si>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</si>
  <si>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</si>
  <si>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</si>
  <si>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</si>
  <si>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</si>
  <si>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</si>
  <si>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</si>
  <si>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</si>
  <si>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</si>
  <si>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</si>
  <si>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</si>
  <si>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</si>
  <si>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</si>
  <si>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</si>
  <si>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</si>
  <si>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</si>
  <si>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</si>
  <si>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</si>
  <si>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</si>
  <si>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</si>
  <si>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</si>
  <si>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</si>
  <si>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</si>
  <si>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</si>
  <si>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</si>
  <si>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</si>
  <si>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</si>
  <si>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</si>
  <si>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</si>
  <si>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</si>
  <si>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</si>
  <si>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</si>
  <si>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</si>
  <si>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</si>
  <si>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</si>
  <si>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</si>
  <si>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</si>
  <si>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</si>
  <si>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</si>
  <si>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</si>
  <si>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</si>
  <si>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</si>
  <si>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</si>
  <si>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</si>
  <si>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</si>
  <si>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</si>
  <si>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</si>
  <si>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</si>
  <si>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</si>
  <si>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</si>
  <si>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</si>
  <si>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</si>
  <si>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</si>
  <si>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</si>
  <si>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</si>
  <si>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</si>
  <si>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</si>
  <si>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</si>
  <si>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</si>
  <si>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</si>
  <si>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</si>
  <si>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</si>
  <si>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</si>
  <si>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</si>
  <si>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</si>
  <si>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</si>
  <si>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</si>
  <si>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</si>
  <si>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</si>
  <si>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</si>
  <si>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</si>
  <si>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</si>
  <si>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</si>
  <si>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</si>
  <si>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</si>
  <si>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</si>
  <si>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</si>
  <si>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</si>
  <si>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</si>
  <si>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</si>
  <si>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</si>
  <si>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</si>
  <si>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</si>
  <si>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</si>
  <si>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</si>
  <si>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</si>
  <si>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</si>
  <si>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</si>
  <si>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</si>
  <si>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</si>
  <si>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</si>
  <si>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</si>
  <si>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</si>
  <si>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</si>
  <si>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</si>
  <si>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</si>
  <si>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</si>
  <si>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</si>
  <si>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</si>
  <si>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</si>
  <si>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</si>
  <si>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</si>
  <si>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</si>
  <si>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</si>
  <si>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</si>
  <si>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</si>
  <si>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</si>
  <si>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</si>
  <si>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</si>
  <si>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</si>
  <si>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</si>
  <si>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</si>
  <si>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</si>
  <si>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</si>
  <si>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</si>
  <si>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</si>
  <si>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</si>
  <si>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</si>
  <si>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</si>
  <si>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</si>
  <si>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</si>
  <si>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</si>
  <si>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</si>
  <si>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</si>
  <si>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</si>
  <si>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</si>
  <si>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</si>
  <si>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</si>
  <si>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</si>
  <si>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</si>
  <si>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</si>
  <si>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</si>
  <si>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</si>
  <si>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</si>
  <si>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</si>
  <si>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</si>
  <si>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</si>
  <si>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</si>
  <si>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</si>
  <si>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</si>
  <si>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</si>
  <si>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</si>
  <si>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</si>
  <si>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</si>
  <si>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</si>
  <si>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</si>
  <si>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</si>
  <si>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</si>
  <si>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</si>
  <si>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</si>
  <si>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</si>
  <si>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</si>
  <si>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</si>
  <si>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</si>
  <si>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</si>
  <si>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</si>
  <si>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</si>
  <si>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</si>
  <si>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</si>
  <si>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</si>
  <si>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</si>
  <si>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</si>
  <si>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</si>
  <si>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</si>
  <si>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</si>
  <si>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</si>
  <si>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</si>
  <si>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</si>
  <si>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</si>
  <si>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</si>
  <si>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</si>
  <si>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</si>
  <si>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</si>
  <si>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</si>
  <si>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</si>
  <si>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</si>
  <si>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</si>
  <si>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</si>
  <si>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</si>
  <si>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</si>
  <si>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</si>
  <si>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</si>
  <si>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</si>
  <si>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</si>
  <si>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</si>
  <si>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</si>
  <si>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</si>
  <si>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</si>
  <si>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</si>
  <si>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</si>
  <si>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</si>
  <si>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</si>
  <si>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</si>
  <si>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</si>
  <si>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</si>
  <si>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</si>
  <si>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</si>
  <si>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</si>
  <si>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</si>
  <si>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</si>
  <si>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</si>
  <si>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</si>
  <si>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</si>
  <si>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</si>
  <si>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</si>
  <si>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</si>
  <si>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</si>
  <si>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</si>
  <si>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</si>
  <si>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</si>
  <si>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</si>
  <si>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</si>
  <si>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</si>
  <si>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</si>
  <si>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</si>
  <si>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</si>
  <si>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</si>
  <si>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</si>
  <si>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</si>
  <si>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</si>
  <si>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</si>
  <si>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</si>
  <si>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</si>
  <si>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</si>
  <si>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</si>
  <si>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</si>
  <si>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</si>
  <si>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</si>
  <si>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</si>
  <si>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</si>
  <si>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</si>
  <si>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</si>
  <si>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</si>
  <si>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</si>
  <si>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</si>
  <si>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</si>
  <si>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</si>
  <si>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</si>
  <si>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</si>
  <si>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</si>
  <si>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</si>
  <si>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</si>
  <si>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</si>
  <si>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</si>
  <si>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</si>
  <si>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</si>
  <si>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</si>
  <si>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</si>
  <si>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</si>
  <si>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</si>
  <si>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</si>
  <si>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</si>
  <si>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</si>
  <si>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</si>
  <si>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</si>
  <si>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</si>
  <si>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</si>
  <si>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</si>
  <si>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</si>
  <si>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</si>
  <si>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</si>
  <si>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</si>
  <si>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</si>
  <si>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</si>
  <si>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</si>
  <si>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</si>
  <si>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</si>
  <si>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</si>
  <si>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</si>
  <si>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</si>
  <si>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</si>
  <si>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</si>
  <si>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</si>
  <si>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</si>
  <si>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</si>
  <si>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</si>
  <si>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</si>
  <si>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</si>
  <si>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</si>
  <si>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</si>
  <si>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</si>
  <si>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</si>
  <si>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</si>
  <si>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</si>
  <si>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</si>
  <si>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</si>
  <si>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</si>
  <si>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</si>
  <si>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</si>
  <si>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</si>
  <si>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</si>
  <si>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</si>
  <si>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</si>
  <si>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</si>
  <si>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</si>
  <si>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</si>
  <si>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</si>
  <si>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</si>
  <si>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</si>
  <si>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</si>
  <si>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</si>
  <si>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</si>
  <si>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</si>
  <si>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</si>
  <si>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</si>
  <si>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</si>
  <si>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</si>
  <si>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</si>
  <si>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</si>
  <si>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</si>
  <si>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</si>
  <si>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</si>
  <si>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</si>
  <si>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</si>
  <si>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</si>
  <si>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</si>
  <si>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</si>
  <si>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</si>
  <si>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</si>
  <si>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</si>
  <si>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</si>
  <si>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</si>
  <si>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</si>
  <si>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</si>
  <si>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</si>
  <si>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</si>
  <si>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</si>
  <si>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</si>
  <si>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</si>
  <si>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</si>
  <si>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</si>
  <si>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</si>
  <si>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</si>
  <si>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
  </si>
  <si>
    <t>Antall digler pr batch</t>
  </si>
  <si>
    <t>TOTALT (timer</t>
  </si>
  <si>
    <t>Average common garden</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</si>
  <si>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</si>
  <si>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</si>
  <si>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</si>
  <si>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</si>
  <si>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</si>
  <si>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</si>
  <si>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</si>
  <si>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</si>
  <si>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</si>
  <si>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</si>
  <si>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</si>
  <si>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</si>
  <si>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</si>
  <si>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</si>
  <si>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</si>
  <si>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</si>
  <si>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</si>
  <si>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</si>
  <si>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</si>
  <si>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</si>
  <si>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</si>
  <si>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</si>
  <si>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</si>
  <si>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</si>
  <si>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</si>
  <si>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</si>
  <si>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</si>
  <si>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</si>
  <si>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</si>
  <si>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</si>
  <si>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</si>
  <si>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</si>
  <si>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</si>
  <si>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</si>
  <si>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</si>
  <si>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</si>
  <si>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</si>
  <si>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</si>
  <si>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</si>
  <si>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</si>
  <si>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</si>
  <si>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</si>
  <si>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</si>
  <si>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</si>
  <si>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</si>
  <si>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fell out of tea bag into paepr bag should be added to dry litter weight R725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</si>
  <si>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</si>
  <si>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</si>
  <si>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</si>
  <si>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</si>
  <si>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</si>
  <si>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</si>
  <si>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</si>
  <si>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</si>
  <si>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</si>
  <si>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</si>
  <si>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</si>
  <si>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</si>
  <si>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</si>
  <si>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</si>
  <si>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</si>
  <si>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</si>
  <si>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</si>
  <si>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</si>
  <si>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</si>
  <si>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</si>
  <si>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</si>
  <si>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</si>
  <si>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</si>
  <si>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</si>
  <si>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</si>
  <si>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</si>
  <si>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</si>
  <si>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</si>
  <si>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</si>
  <si>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</si>
  <si>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</si>
  <si>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</si>
  <si>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</si>
  <si>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</si>
  <si>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</si>
  <si>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</si>
  <si>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</si>
  <si>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</si>
  <si>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</si>
  <si>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</si>
  <si>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</si>
  <si>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</si>
  <si>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</si>
  <si>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</si>
  <si>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</si>
  <si>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</si>
  <si>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</si>
  <si>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</si>
  <si>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</si>
  <si>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</si>
  <si>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</si>
  <si>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</si>
  <si>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</si>
  <si>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</si>
  <si>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</si>
  <si>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</si>
  <si>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</si>
  <si>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</si>
  <si>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</si>
  <si>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</si>
  <si>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</si>
  <si>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</si>
  <si>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</si>
  <si>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</si>
  <si>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</si>
  <si>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</si>
  <si>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</si>
  <si>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</si>
  <si>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NO PLOT CODE</t>
  </si>
  <si>
    <t>EMPTY BAG, NO PLOT CODE</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</si>
  <si>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</si>
  <si>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</si>
  <si>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</si>
  <si>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</si>
  <si>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</si>
  <si>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</si>
  <si>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</si>
  <si>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</si>
  <si>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</si>
  <si>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</si>
  <si>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</si>
  <si>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</si>
  <si>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</si>
  <si>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</si>
  <si>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</si>
  <si>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</si>
  <si>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</si>
  <si>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</si>
  <si>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</si>
  <si>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</si>
  <si>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</si>
  <si>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</si>
  <si>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</si>
  <si>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</si>
  <si>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</si>
  <si>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</si>
  <si>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</si>
  <si>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</si>
  <si>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</si>
  <si>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</si>
  <si>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</si>
  <si>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</si>
  <si>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</si>
  <si>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</si>
  <si>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</si>
  <si>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</si>
  <si>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</si>
  <si>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</si>
  <si>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</si>
  <si>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</si>
  <si>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</si>
  <si>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</si>
  <si>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</si>
  <si>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</si>
  <si>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</si>
  <si>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</si>
  <si>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</si>
  <si>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</si>
  <si>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</si>
  <si>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</si>
  <si>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</si>
  <si>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</si>
  <si>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</si>
  <si>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</si>
  <si>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</si>
  <si>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</si>
  <si>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</si>
  <si>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</si>
  <si>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</si>
  <si>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</si>
  <si>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</si>
  <si>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</si>
  <si>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</si>
  <si>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</si>
  <si>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</si>
  <si>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</si>
  <si>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</si>
  <si>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</si>
  <si>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</si>
  <si>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</si>
  <si>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</si>
  <si>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</si>
  <si>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</si>
  <si>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</si>
  <si>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</si>
  <si>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</si>
  <si>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</si>
  <si>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</si>
  <si>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</si>
  <si>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</si>
  <si>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</si>
  <si>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</si>
  <si>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</si>
  <si>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</si>
  <si>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</si>
  <si>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</si>
  <si>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</si>
  <si>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</si>
  <si>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</si>
  <si>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</si>
  <si>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</si>
  <si>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</si>
  <si>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</si>
  <si>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</si>
  <si>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</si>
  <si>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</si>
  <si>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</si>
  <si>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</si>
  <si>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</si>
  <si>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</si>
  <si>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</si>
  <si>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</si>
  <si>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</si>
  <si>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</si>
  <si>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</si>
  <si>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</si>
  <si>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</si>
  <si>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</si>
  <si>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</si>
  <si>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</si>
  <si>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</si>
  <si>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</si>
  <si>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</si>
  <si>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</si>
  <si>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</si>
  <si>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</si>
  <si>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</si>
  <si>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</si>
  <si>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</si>
  <si>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</si>
  <si>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</si>
  <si>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</si>
  <si>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</si>
  <si>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</si>
  <si>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</si>
  <si>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</si>
  <si>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</si>
  <si>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</si>
  <si>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</si>
  <si>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</si>
  <si>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STATUS: 2</t>
  </si>
  <si>
    <t>Wet_Collection_placement</t>
  </si>
  <si>
    <t>Dry_Collection_placement</t>
  </si>
  <si>
    <t>STATUS: 4</t>
  </si>
  <si>
    <t>Ashed dry</t>
  </si>
  <si>
    <t>Ashed wet</t>
  </si>
  <si>
    <t>STATUS: 6</t>
  </si>
  <si>
    <t>After collected bags: two bags had the same number… So they are called R54a and R54b. Need to find out which of them is the real R54 and what the other one is.</t>
  </si>
  <si>
    <t>Afterwet</t>
  </si>
  <si>
    <t>Ashedwet</t>
  </si>
  <si>
    <t>Checking if all bags has been recorded in both: after wet and Ashed wet</t>
  </si>
  <si>
    <t>Duplikat? (1=ja)</t>
  </si>
  <si>
    <t>Betyr at koden er riktig iforhold til collection sheet.</t>
  </si>
  <si>
    <t>Comment: SANN er det bra. Hvis USANN betyr at det mangler i ett av datasettene.</t>
  </si>
  <si>
    <t>Green open</t>
  </si>
  <si>
    <t>Green excl.</t>
  </si>
  <si>
    <t>Red open</t>
  </si>
  <si>
    <t>Red excl.</t>
  </si>
  <si>
    <t>Plot nr corrected according to collecion sheet</t>
  </si>
  <si>
    <t>Corrected plot nr acording to placementcollcetion sheet</t>
  </si>
  <si>
    <t>Plot nr G</t>
  </si>
  <si>
    <t>Plot nr R</t>
  </si>
  <si>
    <t>Plot nr Gex</t>
  </si>
  <si>
    <t>Plot nr Rex</t>
  </si>
  <si>
    <t>Plot GREEN</t>
  </si>
  <si>
    <t>Plot RED</t>
  </si>
  <si>
    <t>From collectionsheet</t>
  </si>
  <si>
    <t>&lt;--Same code in both campaign?--&gt;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</si>
</sst>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4">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b/>
      <sz val="20"/>
      <color rgb="FF9C0006"/>
      <name val="Calibri"/>
      <family val="2"/>
      <scheme val="minor"/>
    </font>
    <font>
      <sz val="9"/>
      <color indexed="81"/>
      <name val="Tahoma"/>
      <charset val="1"/>
    </font>
    <font>
      <b/>
      <sz val="9"/>
      <color indexed="81"/>
      <name val="Tahoma"/>
      <charset val="1"/>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s>
  <borders count="43">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4" fillId="8" borderId="0" applyNumberFormat="0" applyBorder="0" applyAlignment="0" applyProtection="0"/>
    <xf numFmtId="0" fontId="16" fillId="0" borderId="0"/>
    <xf numFmtId="0" fontId="32" fillId="10" borderId="0" applyNumberFormat="0" applyBorder="0" applyAlignment="0" applyProtection="0"/>
    <xf numFmtId="0" fontId="33" fillId="11" borderId="25" applyNumberFormat="0" applyAlignment="0" applyProtection="0"/>
    <xf numFmtId="0" fontId="34" fillId="12" borderId="0" applyNumberFormat="0" applyBorder="0" applyAlignment="0" applyProtection="0"/>
    <xf numFmtId="0" fontId="39" fillId="0" borderId="0"/>
    <xf numFmtId="0" fontId="47" fillId="0" borderId="0"/>
    <xf numFmtId="0" fontId="48" fillId="15" borderId="30" applyNumberFormat="0" applyAlignment="0" applyProtection="0"/>
    <xf numFmtId="0" fontId="4" fillId="20" borderId="0" applyNumberFormat="0" applyBorder="0" applyAlignment="0" applyProtection="0"/>
    <xf numFmtId="0" fontId="51" fillId="0" borderId="0" applyNumberFormat="0" applyFill="0" applyBorder="0" applyAlignment="0" applyProtection="0"/>
    <xf numFmtId="0" fontId="4" fillId="19" borderId="35" applyNumberFormat="0" applyFont="0" applyAlignment="0" applyProtection="0"/>
    <xf numFmtId="0" fontId="60" fillId="22" borderId="0" applyNumberFormat="0" applyBorder="0" applyAlignment="0" applyProtection="0"/>
  </cellStyleXfs>
  <cellXfs count="447">
    <xf numFmtId="0" fontId="0" fillId="0" borderId="0" xfId="0"/>
    <xf numFmtId="0" fontId="0" fillId="0" borderId="0" xfId="0" applyFill="1"/>
    <xf numFmtId="0" fontId="17" fillId="0" borderId="0" xfId="0" applyFont="1" applyFill="1"/>
    <xf numFmtId="0" fontId="17" fillId="0" borderId="0" xfId="0" applyFont="1" applyFill="1" applyAlignment="1">
      <alignment wrapText="1"/>
    </xf>
    <xf numFmtId="166" fontId="17" fillId="0" borderId="0" xfId="0" applyNumberFormat="1" applyFont="1" applyFill="1"/>
    <xf numFmtId="166" fontId="0" fillId="0" borderId="0" xfId="0" applyNumberFormat="1"/>
    <xf numFmtId="166" fontId="17" fillId="0" borderId="0" xfId="0" applyNumberFormat="1" applyFont="1" applyFill="1" applyAlignment="1">
      <alignment wrapText="1"/>
    </xf>
    <xf numFmtId="0" fontId="19"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7"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3" fillId="3" borderId="0" xfId="0" applyFont="1" applyFill="1"/>
    <xf numFmtId="14" fontId="23" fillId="3" borderId="0" xfId="0" applyNumberFormat="1" applyFont="1" applyFill="1"/>
    <xf numFmtId="1" fontId="23" fillId="3" borderId="0" xfId="0" applyNumberFormat="1" applyFont="1" applyFill="1"/>
    <xf numFmtId="0" fontId="0" fillId="3" borderId="0" xfId="0" applyFill="1"/>
    <xf numFmtId="1" fontId="0" fillId="3" borderId="0" xfId="0" applyNumberFormat="1" applyFill="1"/>
    <xf numFmtId="0" fontId="20" fillId="0" borderId="0" xfId="0" applyFont="1" applyFill="1" applyBorder="1"/>
    <xf numFmtId="0" fontId="17" fillId="0" borderId="0" xfId="0" applyFont="1" applyFill="1" applyBorder="1" applyAlignment="1">
      <alignment horizontal="left" wrapText="1"/>
    </xf>
    <xf numFmtId="0" fontId="17" fillId="0" borderId="4" xfId="0" applyFont="1" applyFill="1" applyBorder="1" applyAlignment="1">
      <alignment horizontal="left" wrapText="1"/>
    </xf>
    <xf numFmtId="0" fontId="17"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7" fillId="0" borderId="0" xfId="0" applyFont="1" applyFill="1" applyAlignment="1">
      <alignment horizontal="left" wrapText="1"/>
    </xf>
    <xf numFmtId="166" fontId="17" fillId="0" borderId="0" xfId="0" applyNumberFormat="1" applyFont="1" applyFill="1" applyAlignment="1">
      <alignment horizontal="left" wrapText="1"/>
    </xf>
    <xf numFmtId="166" fontId="17" fillId="0" borderId="0" xfId="0" applyNumberFormat="1" applyFont="1" applyFill="1" applyAlignment="1">
      <alignment horizontal="left"/>
    </xf>
    <xf numFmtId="0" fontId="20"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7" fillId="2" borderId="0" xfId="0" applyFont="1" applyFill="1"/>
    <xf numFmtId="14" fontId="17" fillId="2" borderId="0" xfId="0" applyNumberFormat="1" applyFont="1" applyFill="1"/>
    <xf numFmtId="1" fontId="17" fillId="2" borderId="0" xfId="0" applyNumberFormat="1" applyFont="1" applyFill="1"/>
    <xf numFmtId="0" fontId="23" fillId="3" borderId="0" xfId="0" applyFont="1" applyFill="1" applyAlignment="1">
      <alignment wrapText="1"/>
    </xf>
    <xf numFmtId="168" fontId="0" fillId="0" borderId="0" xfId="0" applyNumberFormat="1"/>
    <xf numFmtId="0" fontId="23" fillId="2" borderId="0" xfId="0" applyFont="1" applyFill="1"/>
    <xf numFmtId="14" fontId="23" fillId="2" borderId="0" xfId="0" applyNumberFormat="1" applyFont="1" applyFill="1"/>
    <xf numFmtId="1" fontId="23" fillId="2" borderId="0" xfId="0" applyNumberFormat="1" applyFont="1" applyFill="1"/>
    <xf numFmtId="0" fontId="23"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7" fillId="4" borderId="0" xfId="0" applyFont="1" applyFill="1" applyBorder="1" applyAlignment="1">
      <alignment horizontal="left"/>
    </xf>
    <xf numFmtId="0" fontId="0" fillId="0" borderId="0" xfId="0" applyAlignment="1">
      <alignment horizontal="left" vertical="center" indent="1"/>
    </xf>
    <xf numFmtId="166" fontId="17"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0" fillId="0" borderId="5" xfId="0" applyFont="1" applyFill="1" applyBorder="1"/>
    <xf numFmtId="0" fontId="17" fillId="0" borderId="0" xfId="0" applyFont="1" applyFill="1" applyBorder="1"/>
    <xf numFmtId="0" fontId="17" fillId="0" borderId="4" xfId="0" applyFont="1" applyFill="1" applyBorder="1"/>
    <xf numFmtId="0" fontId="17" fillId="2" borderId="0" xfId="0" applyFont="1" applyFill="1" applyAlignment="1">
      <alignment wrapText="1"/>
    </xf>
    <xf numFmtId="0" fontId="17" fillId="0" borderId="8" xfId="0" applyFont="1" applyFill="1" applyBorder="1" applyAlignment="1">
      <alignment horizontal="left"/>
    </xf>
    <xf numFmtId="0" fontId="17" fillId="0" borderId="0" xfId="0" applyFont="1" applyFill="1" applyBorder="1" applyAlignment="1">
      <alignment horizontal="left"/>
    </xf>
    <xf numFmtId="0" fontId="17" fillId="0" borderId="6" xfId="0" applyFont="1" applyFill="1" applyBorder="1" applyAlignment="1">
      <alignment horizontal="left"/>
    </xf>
    <xf numFmtId="0" fontId="17" fillId="0" borderId="5" xfId="0" applyFont="1" applyFill="1" applyBorder="1" applyAlignment="1">
      <alignment horizontal="left"/>
    </xf>
    <xf numFmtId="0" fontId="17" fillId="0" borderId="9" xfId="0" applyFont="1" applyFill="1" applyBorder="1" applyAlignment="1">
      <alignment horizontal="left"/>
    </xf>
    <xf numFmtId="0" fontId="17"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7" fillId="0" borderId="8" xfId="0" applyFont="1" applyFill="1" applyBorder="1" applyAlignment="1" applyProtection="1">
      <alignment horizontal="left"/>
      <protection locked="0"/>
    </xf>
    <xf numFmtId="0" fontId="17" fillId="6" borderId="3" xfId="0" applyFont="1" applyFill="1" applyBorder="1" applyProtection="1">
      <protection locked="0"/>
    </xf>
    <xf numFmtId="0" fontId="17" fillId="6" borderId="7" xfId="0" applyFont="1" applyFill="1" applyBorder="1" applyProtection="1">
      <protection locked="0"/>
    </xf>
    <xf numFmtId="0" fontId="17" fillId="6" borderId="12" xfId="0" applyFont="1" applyFill="1" applyBorder="1" applyProtection="1">
      <protection locked="0"/>
    </xf>
    <xf numFmtId="167" fontId="17" fillId="6" borderId="7" xfId="0" applyNumberFormat="1" applyFont="1" applyFill="1" applyBorder="1" applyProtection="1">
      <protection locked="0"/>
    </xf>
    <xf numFmtId="166" fontId="17"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9" fillId="0" borderId="0" xfId="0" applyFont="1" applyAlignment="1">
      <alignment horizontal="left"/>
    </xf>
    <xf numFmtId="0" fontId="20" fillId="0" borderId="0" xfId="0" applyFont="1" applyFill="1" applyAlignment="1">
      <alignment horizontal="left" wrapText="1"/>
    </xf>
    <xf numFmtId="0" fontId="20" fillId="0" borderId="3" xfId="0" applyFont="1" applyFill="1" applyBorder="1" applyAlignment="1">
      <alignment horizontal="left"/>
    </xf>
    <xf numFmtId="0" fontId="17" fillId="0" borderId="7" xfId="0" applyFont="1" applyFill="1" applyBorder="1" applyAlignment="1">
      <alignment horizontal="left"/>
    </xf>
    <xf numFmtId="0" fontId="17" fillId="0" borderId="12" xfId="0" applyFont="1" applyFill="1" applyBorder="1" applyAlignment="1">
      <alignment horizontal="left"/>
    </xf>
    <xf numFmtId="0" fontId="17" fillId="0" borderId="10" xfId="0" applyFont="1" applyFill="1" applyBorder="1"/>
    <xf numFmtId="164" fontId="17" fillId="0" borderId="10" xfId="0" applyNumberFormat="1" applyFont="1" applyFill="1" applyBorder="1"/>
    <xf numFmtId="0" fontId="17" fillId="4" borderId="4" xfId="0" applyFont="1" applyFill="1" applyBorder="1" applyAlignment="1">
      <alignment horizontal="left"/>
    </xf>
    <xf numFmtId="0" fontId="20" fillId="0" borderId="0" xfId="0" applyFont="1" applyFill="1" applyAlignment="1">
      <alignment horizontal="left"/>
    </xf>
    <xf numFmtId="0" fontId="17" fillId="0" borderId="8" xfId="0" applyFont="1" applyFill="1" applyBorder="1"/>
    <xf numFmtId="0" fontId="0" fillId="0" borderId="0" xfId="0" applyFill="1" applyBorder="1"/>
    <xf numFmtId="0" fontId="0" fillId="0" borderId="8" xfId="0" applyBorder="1"/>
    <xf numFmtId="0" fontId="0" fillId="0" borderId="0" xfId="0" applyBorder="1"/>
    <xf numFmtId="0" fontId="20" fillId="0" borderId="8" xfId="0" applyFont="1" applyFill="1" applyBorder="1"/>
    <xf numFmtId="0" fontId="17" fillId="0" borderId="7" xfId="0" applyFont="1" applyFill="1" applyBorder="1"/>
    <xf numFmtId="0" fontId="17" fillId="0" borderId="12" xfId="0" applyFont="1" applyFill="1" applyBorder="1"/>
    <xf numFmtId="0" fontId="20" fillId="0" borderId="9" xfId="0" applyFont="1" applyFill="1" applyBorder="1"/>
    <xf numFmtId="0" fontId="17"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7" fillId="3" borderId="0" xfId="0" applyFont="1" applyFill="1"/>
    <xf numFmtId="14" fontId="17" fillId="3" borderId="0" xfId="0" applyNumberFormat="1" applyFont="1" applyFill="1"/>
    <xf numFmtId="1" fontId="17"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16" fillId="0" borderId="0" xfId="2"/>
    <xf numFmtId="0" fontId="22" fillId="0" borderId="0" xfId="2" applyFont="1"/>
    <xf numFmtId="14" fontId="16" fillId="0" borderId="0" xfId="2" applyNumberFormat="1"/>
    <xf numFmtId="0" fontId="24" fillId="8" borderId="0" xfId="1"/>
    <xf numFmtId="14" fontId="24" fillId="8" borderId="0" xfId="1" applyNumberFormat="1"/>
    <xf numFmtId="0" fontId="16" fillId="0" borderId="0" xfId="2" applyFont="1"/>
    <xf numFmtId="2" fontId="16" fillId="0" borderId="0" xfId="2" applyNumberFormat="1"/>
    <xf numFmtId="0" fontId="22" fillId="9" borderId="17" xfId="0" applyFont="1" applyFill="1" applyBorder="1"/>
    <xf numFmtId="0" fontId="22" fillId="9" borderId="17" xfId="0" applyFont="1" applyFill="1" applyBorder="1" applyAlignment="1">
      <alignment horizontal="center"/>
    </xf>
    <xf numFmtId="0" fontId="22" fillId="9" borderId="17" xfId="0" applyFont="1" applyFill="1" applyBorder="1" applyAlignment="1">
      <alignment horizontal="center" vertical="center"/>
    </xf>
    <xf numFmtId="0" fontId="25" fillId="9" borderId="17" xfId="0" applyFont="1" applyFill="1" applyBorder="1" applyAlignment="1">
      <alignment horizontal="center"/>
    </xf>
    <xf numFmtId="0" fontId="22"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7"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8" fillId="0" borderId="17" xfId="0" applyFont="1" applyBorder="1"/>
    <xf numFmtId="0" fontId="0" fillId="0" borderId="17" xfId="0" applyFill="1" applyBorder="1" applyAlignment="1">
      <alignment horizontal="center" vertical="center"/>
    </xf>
    <xf numFmtId="0" fontId="22" fillId="0" borderId="14" xfId="0" applyFont="1" applyBorder="1"/>
    <xf numFmtId="0" fontId="22"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7" fillId="0" borderId="17" xfId="0" applyFont="1" applyFill="1" applyBorder="1"/>
    <xf numFmtId="0" fontId="0" fillId="0" borderId="24" xfId="0" applyBorder="1"/>
    <xf numFmtId="0" fontId="0" fillId="0" borderId="17" xfId="0" applyFill="1" applyBorder="1"/>
    <xf numFmtId="0" fontId="0" fillId="0" borderId="18" xfId="0" applyBorder="1"/>
    <xf numFmtId="0" fontId="22"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5"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5"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2" fillId="0" borderId="0" xfId="0" applyFont="1" applyBorder="1" applyAlignment="1">
      <alignment vertical="center"/>
    </xf>
    <xf numFmtId="0" fontId="27"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6" fillId="0" borderId="22" xfId="0" applyFont="1" applyBorder="1"/>
    <xf numFmtId="0" fontId="0" fillId="0" borderId="24" xfId="0" applyFill="1" applyBorder="1"/>
    <xf numFmtId="0" fontId="24" fillId="8" borderId="17" xfId="1" applyBorder="1"/>
    <xf numFmtId="0" fontId="19" fillId="0" borderId="0" xfId="0" applyFont="1"/>
    <xf numFmtId="0" fontId="15" fillId="0" borderId="0" xfId="2" applyFont="1"/>
    <xf numFmtId="0" fontId="14" fillId="0" borderId="0" xfId="2" applyFont="1"/>
    <xf numFmtId="0" fontId="32" fillId="10" borderId="17" xfId="3" applyBorder="1"/>
    <xf numFmtId="0" fontId="32" fillId="10" borderId="17" xfId="3" applyBorder="1" applyAlignment="1">
      <alignment horizontal="center" vertical="center"/>
    </xf>
    <xf numFmtId="14" fontId="32" fillId="10" borderId="17" xfId="3" applyNumberFormat="1" applyBorder="1"/>
    <xf numFmtId="0" fontId="32" fillId="10" borderId="17" xfId="3" applyBorder="1" applyAlignment="1">
      <alignment horizontal="center"/>
    </xf>
    <xf numFmtId="14" fontId="32" fillId="10" borderId="14" xfId="3" applyNumberFormat="1" applyBorder="1"/>
    <xf numFmtId="20" fontId="32" fillId="10" borderId="17" xfId="3" applyNumberFormat="1" applyBorder="1"/>
    <xf numFmtId="0" fontId="32" fillId="10" borderId="17" xfId="3" applyNumberFormat="1" applyBorder="1"/>
    <xf numFmtId="0" fontId="33" fillId="11" borderId="25" xfId="4"/>
    <xf numFmtId="14" fontId="33" fillId="11" borderId="25" xfId="4" applyNumberFormat="1"/>
    <xf numFmtId="0" fontId="34" fillId="12" borderId="17" xfId="5" applyBorder="1"/>
    <xf numFmtId="0" fontId="13" fillId="0" borderId="0" xfId="2" applyFont="1"/>
    <xf numFmtId="0" fontId="34" fillId="12" borderId="0" xfId="5"/>
    <xf numFmtId="0" fontId="32" fillId="10" borderId="0" xfId="3"/>
    <xf numFmtId="0" fontId="12" fillId="0" borderId="0" xfId="2" applyFont="1"/>
    <xf numFmtId="0" fontId="11" fillId="0" borderId="17" xfId="0" applyFont="1" applyBorder="1"/>
    <xf numFmtId="0" fontId="11" fillId="0" borderId="0" xfId="2" applyFont="1"/>
    <xf numFmtId="0" fontId="0" fillId="0" borderId="17" xfId="0" applyBorder="1" applyAlignment="1">
      <alignment horizontal="left" vertical="center"/>
    </xf>
    <xf numFmtId="0" fontId="35" fillId="0" borderId="17" xfId="0" applyFont="1" applyBorder="1"/>
    <xf numFmtId="0" fontId="0" fillId="0" borderId="17" xfId="0" applyBorder="1" applyAlignment="1">
      <alignment horizontal="left" vertical="center" wrapText="1"/>
    </xf>
    <xf numFmtId="0" fontId="0" fillId="9" borderId="17" xfId="0" applyFont="1" applyFill="1" applyBorder="1"/>
    <xf numFmtId="0" fontId="22"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2"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37" fillId="12" borderId="0" xfId="5" applyFont="1"/>
    <xf numFmtId="0" fontId="39" fillId="0" borderId="0" xfId="6"/>
    <xf numFmtId="0" fontId="36" fillId="0" borderId="0" xfId="6" applyFont="1"/>
    <xf numFmtId="0" fontId="9" fillId="0" borderId="0" xfId="6" applyFont="1"/>
    <xf numFmtId="0" fontId="19" fillId="0" borderId="0" xfId="6" applyFont="1"/>
    <xf numFmtId="0" fontId="39" fillId="0" borderId="0" xfId="6" applyFill="1"/>
    <xf numFmtId="0" fontId="39" fillId="0" borderId="0" xfId="6" applyFont="1" applyFill="1"/>
    <xf numFmtId="22" fontId="39" fillId="0" borderId="0" xfId="6" applyNumberFormat="1" applyFill="1"/>
    <xf numFmtId="14" fontId="39" fillId="0" borderId="0" xfId="6" applyNumberFormat="1"/>
    <xf numFmtId="14" fontId="39" fillId="0" borderId="0" xfId="6" applyNumberFormat="1" applyFill="1"/>
    <xf numFmtId="0" fontId="39" fillId="0" borderId="0" xfId="6" applyFont="1"/>
    <xf numFmtId="22" fontId="39" fillId="0" borderId="0" xfId="6" applyNumberFormat="1"/>
    <xf numFmtId="0" fontId="39" fillId="0" borderId="0" xfId="6" applyFont="1" applyAlignment="1">
      <alignment wrapText="1"/>
    </xf>
    <xf numFmtId="0" fontId="39" fillId="13" borderId="0" xfId="6" applyFill="1" applyAlignment="1">
      <alignment horizontal="center"/>
    </xf>
    <xf numFmtId="0" fontId="28" fillId="14" borderId="23" xfId="6" applyFont="1" applyFill="1" applyBorder="1" applyAlignment="1">
      <alignment horizontal="center" wrapText="1"/>
    </xf>
    <xf numFmtId="0" fontId="28" fillId="14" borderId="17" xfId="6" applyFont="1" applyFill="1" applyBorder="1" applyAlignment="1">
      <alignment horizontal="center" wrapText="1"/>
    </xf>
    <xf numFmtId="0" fontId="22" fillId="0" borderId="0" xfId="6" applyFont="1"/>
    <xf numFmtId="0" fontId="39" fillId="0" borderId="0" xfId="6" applyAlignment="1">
      <alignment horizontal="center"/>
    </xf>
    <xf numFmtId="0" fontId="40" fillId="0" borderId="11" xfId="6" applyFont="1" applyBorder="1" applyAlignment="1">
      <alignment vertical="center" wrapText="1"/>
    </xf>
    <xf numFmtId="14" fontId="40" fillId="0" borderId="11" xfId="6" applyNumberFormat="1" applyFont="1" applyBorder="1" applyAlignment="1">
      <alignment vertical="center" wrapText="1"/>
    </xf>
    <xf numFmtId="0" fontId="40" fillId="0" borderId="26" xfId="6" applyFont="1" applyBorder="1" applyAlignment="1">
      <alignment vertical="center" wrapText="1"/>
    </xf>
    <xf numFmtId="0" fontId="40" fillId="0" borderId="12" xfId="6" applyFont="1" applyBorder="1" applyAlignment="1">
      <alignment vertical="center" wrapText="1"/>
    </xf>
    <xf numFmtId="0" fontId="40" fillId="0" borderId="13" xfId="6" applyFont="1" applyBorder="1" applyAlignment="1">
      <alignment vertical="center" wrapText="1"/>
    </xf>
    <xf numFmtId="0" fontId="40" fillId="0" borderId="0" xfId="6" applyFont="1" applyAlignment="1">
      <alignment horizontal="left" vertical="center" indent="5"/>
    </xf>
    <xf numFmtId="0" fontId="40" fillId="0" borderId="0" xfId="6" applyFont="1" applyAlignment="1">
      <alignment vertical="center"/>
    </xf>
    <xf numFmtId="0" fontId="43" fillId="0" borderId="0" xfId="6" applyFont="1" applyAlignment="1">
      <alignment vertical="center"/>
    </xf>
    <xf numFmtId="0" fontId="8"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4" fillId="8" borderId="0" xfId="1" applyNumberFormat="1" applyAlignment="1"/>
    <xf numFmtId="0" fontId="44" fillId="0" borderId="0" xfId="0" applyFont="1" applyFill="1" applyBorder="1" applyAlignment="1">
      <alignment horizontal="center" vertical="center"/>
    </xf>
    <xf numFmtId="0" fontId="45" fillId="0" borderId="0" xfId="0" applyFont="1" applyFill="1" applyBorder="1" applyAlignment="1">
      <alignment horizontal="center" vertical="center"/>
    </xf>
    <xf numFmtId="2" fontId="45" fillId="0" borderId="0" xfId="0" quotePrefix="1" applyNumberFormat="1" applyFont="1" applyFill="1" applyBorder="1" applyAlignment="1">
      <alignment horizontal="left" vertical="center"/>
    </xf>
    <xf numFmtId="0" fontId="45" fillId="0" borderId="0" xfId="0" applyFont="1" applyFill="1" applyBorder="1" applyAlignment="1">
      <alignment horizontal="left"/>
    </xf>
    <xf numFmtId="0" fontId="46" fillId="0" borderId="0" xfId="0" applyFont="1" applyFill="1" applyBorder="1" applyAlignment="1">
      <alignment horizontal="center" vertical="center"/>
    </xf>
    <xf numFmtId="2" fontId="46"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7"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7" fillId="0" borderId="17" xfId="0" applyFont="1" applyBorder="1"/>
    <xf numFmtId="0" fontId="48" fillId="15" borderId="30" xfId="8" applyAlignment="1">
      <alignment horizontal="center" vertical="center"/>
    </xf>
    <xf numFmtId="0" fontId="48" fillId="15" borderId="30" xfId="8"/>
    <xf numFmtId="0" fontId="48"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22"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2"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9"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7" fillId="0" borderId="0" xfId="0" quotePrefix="1" applyNumberFormat="1" applyFont="1" applyFill="1" applyBorder="1" applyAlignment="1">
      <alignment horizontal="left" vertical="center"/>
    </xf>
    <xf numFmtId="0" fontId="27" fillId="0" borderId="0" xfId="0" applyFont="1" applyFill="1" applyBorder="1" applyAlignment="1">
      <alignment horizontal="left"/>
    </xf>
    <xf numFmtId="0" fontId="50" fillId="16" borderId="0" xfId="0" applyFont="1" applyFill="1" applyAlignment="1"/>
    <xf numFmtId="0" fontId="50" fillId="0" borderId="0" xfId="0" applyFont="1" applyAlignment="1"/>
    <xf numFmtId="0" fontId="50" fillId="0" borderId="27" xfId="0" applyFont="1" applyBorder="1" applyAlignment="1"/>
    <xf numFmtId="0" fontId="50" fillId="4" borderId="0" xfId="0" applyFont="1" applyFill="1" applyAlignment="1"/>
    <xf numFmtId="0" fontId="50" fillId="17" borderId="0" xfId="0" applyFont="1" applyFill="1" applyAlignment="1"/>
    <xf numFmtId="164" fontId="50" fillId="0" borderId="0" xfId="0" applyNumberFormat="1" applyFont="1" applyAlignment="1"/>
    <xf numFmtId="14" fontId="50" fillId="0" borderId="0" xfId="0" applyNumberFormat="1" applyFont="1" applyAlignment="1"/>
    <xf numFmtId="1" fontId="50" fillId="0" borderId="0" xfId="0" applyNumberFormat="1" applyFont="1" applyAlignment="1"/>
    <xf numFmtId="0" fontId="50" fillId="0" borderId="0" xfId="0" applyFont="1"/>
    <xf numFmtId="2" fontId="50" fillId="0" borderId="0" xfId="0" applyNumberFormat="1" applyFont="1"/>
    <xf numFmtId="0" fontId="27" fillId="5" borderId="0" xfId="0" applyFont="1" applyFill="1" applyAlignment="1"/>
    <xf numFmtId="0" fontId="50" fillId="18" borderId="0" xfId="0" applyFont="1" applyFill="1" applyAlignment="1"/>
    <xf numFmtId="0" fontId="50" fillId="5" borderId="0" xfId="0" applyFont="1" applyFill="1" applyAlignment="1"/>
    <xf numFmtId="0" fontId="6" fillId="0" borderId="0" xfId="2" applyFont="1"/>
    <xf numFmtId="0" fontId="5"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0" fillId="0" borderId="0" xfId="0" applyNumberFormat="1" applyFont="1" applyAlignment="1"/>
    <xf numFmtId="164" fontId="0" fillId="0" borderId="2" xfId="0" applyNumberFormat="1" applyFont="1" applyFill="1" applyBorder="1" applyAlignment="1" applyProtection="1">
      <alignment horizontal="center" vertical="center" wrapText="1"/>
    </xf>
    <xf numFmtId="2" fontId="39" fillId="0" borderId="0" xfId="6" applyNumberFormat="1" applyFill="1"/>
    <xf numFmtId="0" fontId="28" fillId="14" borderId="17" xfId="0" applyFont="1" applyFill="1" applyBorder="1" applyAlignment="1">
      <alignment horizontal="center" wrapText="1"/>
    </xf>
    <xf numFmtId="0" fontId="28" fillId="14" borderId="23" xfId="0" applyFont="1" applyFill="1" applyBorder="1" applyAlignment="1">
      <alignment horizontal="center" wrapText="1"/>
    </xf>
    <xf numFmtId="0" fontId="27" fillId="0" borderId="0" xfId="0" applyFont="1"/>
    <xf numFmtId="0" fontId="27" fillId="0" borderId="0" xfId="0" applyFont="1" applyFill="1"/>
    <xf numFmtId="2" fontId="27" fillId="0" borderId="0" xfId="0" applyNumberFormat="1" applyFont="1"/>
    <xf numFmtId="14" fontId="27" fillId="0" borderId="0" xfId="0" applyNumberFormat="1" applyFont="1"/>
    <xf numFmtId="2" fontId="27" fillId="0" borderId="0" xfId="0" applyNumberFormat="1" applyFont="1" applyFill="1"/>
    <xf numFmtId="166" fontId="27"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19" fillId="0" borderId="0" xfId="0" applyFont="1" applyProtection="1">
      <protection locked="0"/>
    </xf>
    <xf numFmtId="0" fontId="52" fillId="2" borderId="0" xfId="0" applyFont="1" applyFill="1" applyProtection="1">
      <protection locked="0"/>
    </xf>
    <xf numFmtId="0" fontId="53" fillId="2" borderId="0" xfId="0" applyFont="1" applyFill="1" applyProtection="1">
      <protection locked="0"/>
    </xf>
    <xf numFmtId="167" fontId="53" fillId="2" borderId="0" xfId="0" applyNumberFormat="1" applyFont="1" applyFill="1" applyProtection="1">
      <protection locked="0"/>
    </xf>
    <xf numFmtId="166" fontId="53" fillId="2" borderId="0" xfId="0" applyNumberFormat="1" applyFont="1" applyFill="1" applyProtection="1">
      <protection locked="0"/>
    </xf>
    <xf numFmtId="0" fontId="23" fillId="0" borderId="0" xfId="0" applyFont="1" applyFill="1" applyProtection="1">
      <protection locked="0"/>
    </xf>
    <xf numFmtId="0" fontId="23" fillId="0" borderId="0" xfId="0" applyFont="1" applyProtection="1">
      <protection locked="0"/>
    </xf>
    <xf numFmtId="167" fontId="23" fillId="0" borderId="0" xfId="0" applyNumberFormat="1" applyFont="1" applyProtection="1">
      <protection locked="0"/>
    </xf>
    <xf numFmtId="166" fontId="23" fillId="0" borderId="0" xfId="0" applyNumberFormat="1" applyFont="1" applyProtection="1">
      <protection locked="0"/>
    </xf>
    <xf numFmtId="167" fontId="23" fillId="0" borderId="0" xfId="0" applyNumberFormat="1" applyFont="1" applyFill="1" applyProtection="1">
      <protection locked="0"/>
    </xf>
    <xf numFmtId="166" fontId="23" fillId="0" borderId="0" xfId="0" applyNumberFormat="1" applyFont="1" applyFill="1" applyProtection="1">
      <protection locked="0"/>
    </xf>
    <xf numFmtId="0" fontId="17"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19" fillId="0" borderId="0" xfId="0" applyFont="1" applyFill="1" applyBorder="1" applyProtection="1">
      <protection locked="0"/>
    </xf>
    <xf numFmtId="166" fontId="0" fillId="0" borderId="0" xfId="0" applyNumberFormat="1" applyFill="1" applyProtection="1">
      <protection locked="0"/>
    </xf>
    <xf numFmtId="0" fontId="17" fillId="4" borderId="36" xfId="0" applyFont="1" applyFill="1" applyBorder="1" applyAlignment="1" applyProtection="1">
      <alignment horizontal="left"/>
      <protection locked="0"/>
    </xf>
    <xf numFmtId="0" fontId="17" fillId="0" borderId="0" xfId="0" applyFont="1" applyFill="1" applyBorder="1" applyAlignment="1" applyProtection="1">
      <alignment horizontal="left"/>
      <protection locked="0"/>
    </xf>
    <xf numFmtId="167" fontId="17" fillId="0" borderId="0" xfId="0" applyNumberFormat="1" applyFont="1" applyFill="1" applyProtection="1">
      <protection locked="0"/>
    </xf>
    <xf numFmtId="166" fontId="17" fillId="0" borderId="0" xfId="0" applyNumberFormat="1" applyFont="1" applyFill="1" applyProtection="1">
      <protection locked="0"/>
    </xf>
    <xf numFmtId="0" fontId="17" fillId="0" borderId="0" xfId="0" applyFont="1" applyFill="1" applyBorder="1" applyAlignment="1" applyProtection="1">
      <alignment horizontal="left"/>
      <protection locked="0"/>
    </xf>
    <xf numFmtId="0" fontId="17" fillId="4" borderId="10" xfId="0" applyFont="1" applyFill="1" applyBorder="1" applyAlignment="1" applyProtection="1">
      <alignment horizontal="left"/>
      <protection locked="0"/>
    </xf>
    <xf numFmtId="0" fontId="4" fillId="20" borderId="10" xfId="9" applyBorder="1" applyProtection="1">
      <protection locked="0"/>
    </xf>
    <xf numFmtId="0" fontId="17" fillId="19" borderId="37" xfId="11" applyFont="1" applyBorder="1" applyProtection="1">
      <protection locked="0"/>
    </xf>
    <xf numFmtId="0" fontId="17" fillId="19" borderId="35" xfId="11" applyFont="1" applyProtection="1">
      <protection locked="0"/>
    </xf>
    <xf numFmtId="0" fontId="51" fillId="20" borderId="10" xfId="10" applyFill="1" applyBorder="1" applyProtection="1">
      <protection locked="0"/>
    </xf>
    <xf numFmtId="0" fontId="4" fillId="20" borderId="37" xfId="9" applyBorder="1" applyProtection="1">
      <protection locked="0"/>
    </xf>
    <xf numFmtId="0" fontId="17" fillId="0" borderId="0" xfId="0" applyFont="1" applyFill="1" applyBorder="1" applyProtection="1">
      <protection locked="0"/>
    </xf>
    <xf numFmtId="0" fontId="51" fillId="4" borderId="10" xfId="10" applyFill="1" applyBorder="1" applyProtection="1">
      <protection locked="0"/>
    </xf>
    <xf numFmtId="0" fontId="17" fillId="4" borderId="10" xfId="0" applyFont="1" applyFill="1" applyBorder="1" applyProtection="1">
      <protection locked="0"/>
    </xf>
    <xf numFmtId="0" fontId="4" fillId="20" borderId="35" xfId="9" applyBorder="1" applyProtection="1">
      <protection locked="0"/>
    </xf>
    <xf numFmtId="0" fontId="17" fillId="4" borderId="11" xfId="0" applyFont="1" applyFill="1" applyBorder="1" applyProtection="1">
      <protection locked="0"/>
    </xf>
    <xf numFmtId="0" fontId="20" fillId="0" borderId="0" xfId="0" applyFont="1" applyFill="1" applyBorder="1" applyAlignment="1" applyProtection="1">
      <alignment horizontal="left"/>
      <protection locked="0"/>
    </xf>
    <xf numFmtId="0" fontId="17" fillId="0" borderId="0" xfId="0" applyFont="1" applyFill="1" applyAlignment="1" applyProtection="1">
      <alignment horizontal="left"/>
      <protection locked="0"/>
    </xf>
    <xf numFmtId="167" fontId="17" fillId="0" borderId="0" xfId="0" applyNumberFormat="1" applyFont="1" applyFill="1" applyAlignment="1" applyProtection="1">
      <alignment horizontal="left"/>
      <protection locked="0"/>
    </xf>
    <xf numFmtId="0" fontId="17" fillId="0" borderId="36" xfId="0" applyFont="1" applyFill="1" applyBorder="1" applyProtection="1">
      <protection locked="0"/>
    </xf>
    <xf numFmtId="0" fontId="17" fillId="0" borderId="10" xfId="0" applyFont="1" applyFill="1" applyBorder="1" applyProtection="1">
      <protection locked="0"/>
    </xf>
    <xf numFmtId="0" fontId="54" fillId="21" borderId="10" xfId="0" applyFont="1" applyFill="1" applyBorder="1" applyProtection="1">
      <protection locked="0"/>
    </xf>
    <xf numFmtId="0" fontId="54" fillId="0" borderId="10" xfId="0" applyFont="1" applyBorder="1" applyProtection="1">
      <protection locked="0"/>
    </xf>
    <xf numFmtId="0" fontId="54" fillId="21" borderId="11" xfId="0" applyFont="1" applyFill="1" applyBorder="1" applyProtection="1">
      <protection locked="0"/>
    </xf>
    <xf numFmtId="0" fontId="54" fillId="0" borderId="0" xfId="0" applyFont="1" applyFill="1" applyBorder="1" applyProtection="1">
      <protection locked="0"/>
    </xf>
    <xf numFmtId="0" fontId="20" fillId="0" borderId="0" xfId="0" applyFont="1" applyFill="1" applyBorder="1" applyProtection="1">
      <protection locked="0"/>
    </xf>
    <xf numFmtId="0" fontId="17" fillId="0" borderId="6" xfId="0" applyFont="1" applyFill="1" applyBorder="1" applyProtection="1">
      <protection locked="0"/>
    </xf>
    <xf numFmtId="0" fontId="0" fillId="0" borderId="5" xfId="0" applyBorder="1"/>
    <xf numFmtId="0" fontId="17" fillId="0" borderId="5" xfId="0" applyFont="1" applyFill="1" applyBorder="1" applyProtection="1">
      <protection locked="0"/>
    </xf>
    <xf numFmtId="0" fontId="20" fillId="0" borderId="6" xfId="0" applyFont="1" applyFill="1" applyBorder="1" applyAlignment="1" applyProtection="1">
      <alignment horizontal="center" vertical="center"/>
      <protection locked="0"/>
    </xf>
    <xf numFmtId="0" fontId="20" fillId="0" borderId="36" xfId="0" applyFont="1" applyFill="1" applyBorder="1" applyAlignment="1" applyProtection="1">
      <alignment horizontal="center" vertical="center"/>
      <protection locked="0"/>
    </xf>
    <xf numFmtId="1" fontId="50" fillId="0" borderId="6" xfId="0" applyNumberFormat="1" applyFont="1" applyFill="1" applyBorder="1" applyAlignment="1" applyProtection="1">
      <alignment horizontal="center" vertical="center" wrapText="1"/>
    </xf>
    <xf numFmtId="1" fontId="50" fillId="0" borderId="5" xfId="0" applyNumberFormat="1" applyFont="1" applyFill="1" applyBorder="1" applyAlignment="1" applyProtection="1">
      <alignment horizontal="center" vertical="center" wrapText="1"/>
    </xf>
    <xf numFmtId="0" fontId="20" fillId="4" borderId="6" xfId="0" applyFont="1" applyFill="1" applyBorder="1" applyAlignment="1" applyProtection="1">
      <alignment vertical="center"/>
      <protection locked="0"/>
    </xf>
    <xf numFmtId="0" fontId="20" fillId="4" borderId="5" xfId="0" applyFont="1" applyFill="1" applyBorder="1" applyAlignment="1" applyProtection="1">
      <alignment vertical="center"/>
      <protection locked="0"/>
    </xf>
    <xf numFmtId="0" fontId="20" fillId="4" borderId="38" xfId="0" applyFont="1" applyFill="1" applyBorder="1" applyAlignment="1" applyProtection="1">
      <alignment vertical="center"/>
      <protection locked="0"/>
    </xf>
    <xf numFmtId="0" fontId="17" fillId="4" borderId="39" xfId="0" applyFont="1" applyFill="1" applyBorder="1" applyAlignment="1" applyProtection="1">
      <alignment horizontal="left"/>
      <protection locked="0"/>
    </xf>
    <xf numFmtId="0" fontId="17" fillId="4" borderId="38" xfId="0" applyFont="1" applyFill="1" applyBorder="1" applyAlignment="1" applyProtection="1">
      <alignment horizontal="left"/>
      <protection locked="0"/>
    </xf>
    <xf numFmtId="2" fontId="17" fillId="4" borderId="39" xfId="0" applyNumberFormat="1" applyFont="1" applyFill="1" applyBorder="1" applyAlignment="1" applyProtection="1">
      <alignment horizontal="left"/>
      <protection locked="0"/>
    </xf>
    <xf numFmtId="2" fontId="17" fillId="4" borderId="5" xfId="0" applyNumberFormat="1" applyFont="1" applyFill="1" applyBorder="1" applyAlignment="1" applyProtection="1">
      <alignment horizontal="left"/>
      <protection locked="0"/>
    </xf>
    <xf numFmtId="2" fontId="17" fillId="4" borderId="38" xfId="0" applyNumberFormat="1" applyFont="1" applyFill="1" applyBorder="1" applyAlignment="1" applyProtection="1">
      <alignment horizontal="left"/>
      <protection locked="0"/>
    </xf>
    <xf numFmtId="0" fontId="17" fillId="4" borderId="5" xfId="0" applyFont="1" applyFill="1" applyBorder="1" applyAlignment="1" applyProtection="1">
      <alignment horizontal="left"/>
      <protection locked="0"/>
    </xf>
    <xf numFmtId="0" fontId="20" fillId="4" borderId="8" xfId="0" applyFont="1" applyFill="1" applyBorder="1" applyAlignment="1" applyProtection="1">
      <alignment vertical="center"/>
      <protection locked="0"/>
    </xf>
    <xf numFmtId="0" fontId="20" fillId="4" borderId="0" xfId="0" applyFont="1" applyFill="1" applyBorder="1" applyAlignment="1" applyProtection="1">
      <alignment vertical="center"/>
      <protection locked="0"/>
    </xf>
    <xf numFmtId="0" fontId="20" fillId="4" borderId="29" xfId="0" applyFont="1" applyFill="1" applyBorder="1" applyAlignment="1" applyProtection="1">
      <alignment vertical="center"/>
      <protection locked="0"/>
    </xf>
    <xf numFmtId="0" fontId="17" fillId="4" borderId="22" xfId="0" applyFont="1" applyFill="1" applyBorder="1" applyAlignment="1" applyProtection="1">
      <alignment horizontal="left"/>
      <protection locked="0"/>
    </xf>
    <xf numFmtId="0" fontId="17" fillId="4" borderId="29" xfId="0" applyFont="1" applyFill="1" applyBorder="1" applyAlignment="1" applyProtection="1">
      <alignment horizontal="left"/>
      <protection locked="0"/>
    </xf>
    <xf numFmtId="2" fontId="17" fillId="4" borderId="22" xfId="0" applyNumberFormat="1" applyFont="1" applyFill="1" applyBorder="1" applyAlignment="1" applyProtection="1">
      <alignment horizontal="left"/>
      <protection locked="0"/>
    </xf>
    <xf numFmtId="2" fontId="17" fillId="4" borderId="0" xfId="0" applyNumberFormat="1" applyFont="1" applyFill="1" applyBorder="1" applyAlignment="1" applyProtection="1">
      <alignment horizontal="left"/>
      <protection locked="0"/>
    </xf>
    <xf numFmtId="2" fontId="17" fillId="4" borderId="29" xfId="0" applyNumberFormat="1" applyFont="1" applyFill="1" applyBorder="1" applyAlignment="1" applyProtection="1">
      <alignment horizontal="left"/>
      <protection locked="0"/>
    </xf>
    <xf numFmtId="0" fontId="17" fillId="4" borderId="0" xfId="0" applyFont="1" applyFill="1" applyBorder="1" applyAlignment="1" applyProtection="1">
      <alignment horizontal="left"/>
      <protection locked="0"/>
    </xf>
    <xf numFmtId="0" fontId="20" fillId="4" borderId="9" xfId="0" applyFont="1" applyFill="1" applyBorder="1" applyAlignment="1" applyProtection="1">
      <alignment vertical="center"/>
      <protection locked="0"/>
    </xf>
    <xf numFmtId="0" fontId="20" fillId="4" borderId="4" xfId="0" applyFont="1" applyFill="1" applyBorder="1" applyAlignment="1" applyProtection="1">
      <alignment vertical="center"/>
      <protection locked="0"/>
    </xf>
    <xf numFmtId="0" fontId="20" fillId="4" borderId="40" xfId="0" applyFont="1" applyFill="1" applyBorder="1" applyAlignment="1" applyProtection="1">
      <alignment vertical="center"/>
      <protection locked="0"/>
    </xf>
    <xf numFmtId="0" fontId="17" fillId="4" borderId="41" xfId="0" applyFont="1" applyFill="1" applyBorder="1" applyAlignment="1" applyProtection="1">
      <alignment horizontal="left"/>
      <protection locked="0"/>
    </xf>
    <xf numFmtId="0" fontId="17" fillId="4" borderId="40" xfId="0" applyFont="1" applyFill="1" applyBorder="1" applyAlignment="1" applyProtection="1">
      <alignment horizontal="left"/>
      <protection locked="0"/>
    </xf>
    <xf numFmtId="2" fontId="17" fillId="4" borderId="41" xfId="0" applyNumberFormat="1" applyFont="1" applyFill="1" applyBorder="1" applyAlignment="1" applyProtection="1">
      <alignment horizontal="left"/>
      <protection locked="0"/>
    </xf>
    <xf numFmtId="2" fontId="17" fillId="4" borderId="4" xfId="0" applyNumberFormat="1" applyFont="1" applyFill="1" applyBorder="1" applyAlignment="1" applyProtection="1">
      <alignment horizontal="left"/>
      <protection locked="0"/>
    </xf>
    <xf numFmtId="2" fontId="17" fillId="4" borderId="40" xfId="0" applyNumberFormat="1" applyFont="1" applyFill="1" applyBorder="1" applyAlignment="1" applyProtection="1">
      <alignment horizontal="left"/>
      <protection locked="0"/>
    </xf>
    <xf numFmtId="0" fontId="17" fillId="4" borderId="4" xfId="0" applyFont="1" applyFill="1" applyBorder="1" applyAlignment="1" applyProtection="1">
      <alignment horizontal="left"/>
      <protection locked="0"/>
    </xf>
    <xf numFmtId="0" fontId="17" fillId="4" borderId="11" xfId="0" applyFont="1" applyFill="1" applyBorder="1" applyAlignment="1" applyProtection="1">
      <alignment horizontal="left"/>
      <protection locked="0"/>
    </xf>
    <xf numFmtId="0" fontId="23" fillId="0" borderId="0" xfId="0" applyFont="1" applyFill="1" applyBorder="1" applyProtection="1">
      <protection locked="0"/>
    </xf>
    <xf numFmtId="167" fontId="17" fillId="0" borderId="0" xfId="0" applyNumberFormat="1" applyFont="1" applyFill="1" applyBorder="1" applyProtection="1">
      <protection locked="0"/>
    </xf>
    <xf numFmtId="166" fontId="17" fillId="0" borderId="0" xfId="0" applyNumberFormat="1" applyFont="1" applyFill="1" applyBorder="1" applyProtection="1">
      <protection locked="0"/>
    </xf>
    <xf numFmtId="0" fontId="20" fillId="0" borderId="39" xfId="0" applyFont="1" applyFill="1" applyBorder="1" applyAlignment="1" applyProtection="1">
      <protection locked="0"/>
    </xf>
    <xf numFmtId="0" fontId="20" fillId="0" borderId="5" xfId="0" applyFont="1" applyFill="1" applyBorder="1" applyAlignment="1" applyProtection="1">
      <protection locked="0"/>
    </xf>
    <xf numFmtId="0" fontId="20" fillId="0" borderId="36" xfId="0" applyFont="1" applyFill="1" applyBorder="1" applyAlignment="1" applyProtection="1">
      <protection locked="0"/>
    </xf>
    <xf numFmtId="0" fontId="17" fillId="4" borderId="39" xfId="0" applyFont="1" applyFill="1" applyBorder="1" applyAlignment="1" applyProtection="1">
      <protection locked="0"/>
    </xf>
    <xf numFmtId="0" fontId="17" fillId="4" borderId="5" xfId="0" applyFont="1" applyFill="1" applyBorder="1" applyAlignment="1" applyProtection="1">
      <protection locked="0"/>
    </xf>
    <xf numFmtId="0" fontId="17" fillId="4" borderId="36" xfId="0" applyFont="1" applyFill="1" applyBorder="1" applyAlignment="1" applyProtection="1">
      <protection locked="0"/>
    </xf>
    <xf numFmtId="0" fontId="17" fillId="4" borderId="22" xfId="0" applyFont="1" applyFill="1" applyBorder="1" applyAlignment="1" applyProtection="1">
      <alignment horizontal="left"/>
      <protection locked="0"/>
    </xf>
    <xf numFmtId="0" fontId="57" fillId="0" borderId="0" xfId="0" applyFont="1" applyAlignment="1"/>
    <xf numFmtId="0" fontId="20"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19"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0" fillId="0" borderId="0" xfId="0" applyFont="1" applyBorder="1" applyAlignment="1"/>
    <xf numFmtId="0" fontId="50" fillId="0" borderId="0" xfId="0" applyFont="1" applyFill="1" applyBorder="1" applyAlignment="1"/>
    <xf numFmtId="14" fontId="0" fillId="0" borderId="0" xfId="0" applyNumberFormat="1" applyBorder="1"/>
    <xf numFmtId="164" fontId="0" fillId="0" borderId="0" xfId="0" applyNumberFormat="1" applyBorder="1"/>
    <xf numFmtId="20" fontId="0" fillId="0" borderId="0" xfId="0" applyNumberFormat="1"/>
    <xf numFmtId="2" fontId="0" fillId="0" borderId="0" xfId="0" applyNumberFormat="1" applyAlignment="1"/>
    <xf numFmtId="0" fontId="19" fillId="0" borderId="0" xfId="0" applyFont="1" applyAlignment="1"/>
    <xf numFmtId="0" fontId="60" fillId="22" borderId="0" xfId="12"/>
    <xf numFmtId="0" fontId="10" fillId="0" borderId="0" xfId="2" applyFont="1" applyAlignment="1">
      <alignment vertical="top" wrapText="1"/>
    </xf>
    <xf numFmtId="0" fontId="16" fillId="0" borderId="0" xfId="2" applyAlignment="1">
      <alignment vertical="top" wrapText="1"/>
    </xf>
    <xf numFmtId="0" fontId="3" fillId="0" borderId="0" xfId="2" applyFont="1"/>
    <xf numFmtId="0" fontId="27" fillId="0" borderId="0" xfId="0" applyFont="1" applyFill="1" applyBorder="1"/>
    <xf numFmtId="0" fontId="27" fillId="0" borderId="0" xfId="0" applyFont="1" applyBorder="1"/>
    <xf numFmtId="2" fontId="27" fillId="0" borderId="0" xfId="0" applyNumberFormat="1" applyFont="1" applyBorder="1"/>
    <xf numFmtId="14" fontId="27" fillId="0" borderId="0" xfId="0" applyNumberFormat="1" applyFont="1" applyBorder="1"/>
    <xf numFmtId="0" fontId="0" fillId="0" borderId="0" xfId="0" applyFont="1"/>
    <xf numFmtId="0" fontId="38" fillId="0" borderId="0" xfId="0" applyFont="1"/>
    <xf numFmtId="0" fontId="2" fillId="0" borderId="0" xfId="2" applyFont="1"/>
    <xf numFmtId="0" fontId="22" fillId="9" borderId="14" xfId="0" applyFont="1" applyFill="1" applyBorder="1" applyAlignment="1">
      <alignment horizontal="center"/>
    </xf>
    <xf numFmtId="0" fontId="22" fillId="9" borderId="16" xfId="0" applyFont="1" applyFill="1" applyBorder="1" applyAlignment="1">
      <alignment horizontal="center"/>
    </xf>
    <xf numFmtId="0" fontId="25" fillId="9" borderId="21" xfId="0" applyFont="1" applyFill="1" applyBorder="1" applyAlignment="1">
      <alignment horizontal="center" vertical="center"/>
    </xf>
    <xf numFmtId="0" fontId="25" fillId="9" borderId="23" xfId="0" applyFont="1" applyFill="1" applyBorder="1" applyAlignment="1">
      <alignment horizontal="center" vertical="center"/>
    </xf>
    <xf numFmtId="0" fontId="22" fillId="9" borderId="15" xfId="0" applyFont="1" applyFill="1" applyBorder="1" applyAlignment="1">
      <alignment horizontal="center"/>
    </xf>
    <xf numFmtId="0" fontId="22" fillId="9" borderId="18" xfId="0" applyFont="1" applyFill="1" applyBorder="1" applyAlignment="1">
      <alignment horizontal="center"/>
    </xf>
    <xf numFmtId="0" fontId="22" fillId="9" borderId="19" xfId="0" applyFont="1" applyFill="1" applyBorder="1" applyAlignment="1">
      <alignment horizontal="center"/>
    </xf>
    <xf numFmtId="0" fontId="22" fillId="9" borderId="20" xfId="0" applyFont="1" applyFill="1" applyBorder="1" applyAlignment="1">
      <alignment horizontal="center"/>
    </xf>
    <xf numFmtId="0" fontId="48" fillId="15" borderId="32" xfId="8" applyBorder="1" applyAlignment="1">
      <alignment horizontal="center"/>
    </xf>
    <xf numFmtId="0" fontId="48" fillId="15" borderId="33" xfId="8" applyBorder="1" applyAlignment="1">
      <alignment horizontal="center"/>
    </xf>
    <xf numFmtId="0" fontId="48" fillId="15" borderId="34" xfId="8" applyBorder="1" applyAlignment="1">
      <alignment horizontal="center"/>
    </xf>
    <xf numFmtId="0" fontId="19" fillId="0" borderId="0" xfId="0" applyFont="1" applyAlignment="1">
      <alignment horizontal="center"/>
    </xf>
    <xf numFmtId="0" fontId="19" fillId="0" borderId="0" xfId="0" applyFont="1" applyAlignment="1">
      <alignment horizontal="center" wrapText="1"/>
    </xf>
    <xf numFmtId="0" fontId="16" fillId="0" borderId="0" xfId="2" applyAlignment="1">
      <alignment horizontal="center" vertical="top" wrapText="1"/>
    </xf>
    <xf numFmtId="0" fontId="17" fillId="0" borderId="8" xfId="0" applyFont="1" applyFill="1" applyBorder="1" applyAlignment="1" applyProtection="1">
      <alignment horizontal="left"/>
      <protection locked="0"/>
    </xf>
    <xf numFmtId="0" fontId="17" fillId="0" borderId="0" xfId="0" applyFont="1" applyFill="1" applyBorder="1" applyAlignment="1" applyProtection="1">
      <alignment horizontal="left"/>
      <protection locked="0"/>
    </xf>
    <xf numFmtId="0" fontId="17" fillId="0" borderId="6" xfId="0" applyFont="1" applyFill="1" applyBorder="1" applyAlignment="1" applyProtection="1">
      <alignment horizontal="left"/>
      <protection locked="0"/>
    </xf>
    <xf numFmtId="0" fontId="17" fillId="0" borderId="5" xfId="0" applyFont="1" applyFill="1" applyBorder="1" applyAlignment="1" applyProtection="1">
      <alignment horizontal="left"/>
      <protection locked="0"/>
    </xf>
    <xf numFmtId="0" fontId="17" fillId="0" borderId="9" xfId="0" applyFont="1" applyFill="1" applyBorder="1" applyAlignment="1" applyProtection="1">
      <alignment horizontal="left"/>
      <protection locked="0"/>
    </xf>
    <xf numFmtId="0" fontId="17" fillId="0" borderId="4" xfId="0" applyFont="1" applyFill="1" applyBorder="1" applyAlignment="1" applyProtection="1">
      <alignment horizontal="left"/>
      <protection locked="0"/>
    </xf>
    <xf numFmtId="0" fontId="17" fillId="4" borderId="0" xfId="0" applyFont="1" applyFill="1" applyBorder="1" applyAlignment="1" applyProtection="1">
      <alignment horizontal="left"/>
      <protection locked="0"/>
    </xf>
    <xf numFmtId="0" fontId="17" fillId="0" borderId="3" xfId="0" applyFont="1" applyFill="1" applyBorder="1" applyAlignment="1" applyProtection="1">
      <alignment horizontal="left"/>
      <protection locked="0"/>
    </xf>
    <xf numFmtId="0" fontId="17" fillId="0" borderId="7" xfId="0" applyFont="1" applyFill="1" applyBorder="1" applyAlignment="1" applyProtection="1">
      <alignment horizontal="left"/>
      <protection locked="0"/>
    </xf>
    <xf numFmtId="0" fontId="17" fillId="0" borderId="12" xfId="0" applyFont="1" applyFill="1" applyBorder="1" applyAlignment="1" applyProtection="1">
      <alignment horizontal="left"/>
      <protection locked="0"/>
    </xf>
    <xf numFmtId="0" fontId="20" fillId="0" borderId="6" xfId="0" applyFont="1" applyFill="1" applyBorder="1" applyAlignment="1" applyProtection="1">
      <alignment horizontal="center"/>
      <protection locked="0"/>
    </xf>
    <xf numFmtId="0" fontId="20" fillId="0" borderId="5" xfId="0" applyFont="1" applyFill="1" applyBorder="1" applyAlignment="1" applyProtection="1">
      <alignment horizontal="center"/>
      <protection locked="0"/>
    </xf>
    <xf numFmtId="0" fontId="55" fillId="0" borderId="4" xfId="0" applyFont="1" applyFill="1" applyBorder="1" applyAlignment="1" applyProtection="1">
      <alignment horizontal="center" wrapText="1"/>
      <protection locked="0"/>
    </xf>
    <xf numFmtId="0" fontId="56" fillId="0" borderId="4" xfId="0" applyFont="1" applyFill="1" applyBorder="1" applyAlignment="1" applyProtection="1">
      <alignment horizontal="center" wrapText="1"/>
      <protection locked="0"/>
    </xf>
    <xf numFmtId="0" fontId="23" fillId="0" borderId="6" xfId="0" applyFont="1" applyFill="1" applyBorder="1" applyAlignment="1" applyProtection="1">
      <alignment horizontal="center" vertical="center" wrapText="1"/>
      <protection locked="0"/>
    </xf>
    <xf numFmtId="0" fontId="23" fillId="0" borderId="36" xfId="0" applyFont="1" applyFill="1" applyBorder="1" applyAlignment="1" applyProtection="1">
      <alignment horizontal="center" vertical="center" wrapText="1"/>
      <protection locked="0"/>
    </xf>
    <xf numFmtId="0" fontId="38" fillId="0" borderId="0" xfId="0" applyFont="1" applyAlignment="1">
      <alignment horizontal="center" vertical="center"/>
    </xf>
    <xf numFmtId="0" fontId="38" fillId="0" borderId="4" xfId="0" applyFont="1" applyBorder="1" applyAlignment="1">
      <alignment horizontal="center" vertical="center"/>
    </xf>
    <xf numFmtId="0" fontId="57" fillId="0" borderId="42" xfId="0" applyFont="1" applyBorder="1" applyAlignment="1">
      <alignment horizontal="center"/>
    </xf>
    <xf numFmtId="0" fontId="20" fillId="0" borderId="6" xfId="0" applyFont="1" applyFill="1" applyBorder="1" applyAlignment="1" applyProtection="1">
      <protection locked="0"/>
    </xf>
    <xf numFmtId="0" fontId="20" fillId="0" borderId="5" xfId="0" applyFont="1" applyFill="1" applyBorder="1" applyAlignment="1" applyProtection="1">
      <protection locked="0"/>
    </xf>
    <xf numFmtId="0" fontId="17" fillId="0" borderId="6" xfId="0" applyFont="1" applyFill="1" applyBorder="1" applyAlignment="1" applyProtection="1">
      <protection locked="0"/>
    </xf>
    <xf numFmtId="0" fontId="17" fillId="0" borderId="5" xfId="0" applyFont="1" applyFill="1" applyBorder="1" applyAlignment="1" applyProtection="1">
      <protection locked="0"/>
    </xf>
    <xf numFmtId="0" fontId="17" fillId="0" borderId="9" xfId="0" applyFont="1" applyFill="1" applyBorder="1" applyAlignment="1" applyProtection="1">
      <protection locked="0"/>
    </xf>
    <xf numFmtId="0" fontId="17" fillId="0" borderId="4" xfId="0" applyFont="1" applyFill="1" applyBorder="1" applyAlignment="1" applyProtection="1">
      <protection locked="0"/>
    </xf>
    <xf numFmtId="0" fontId="17" fillId="4" borderId="22" xfId="0" applyFont="1" applyFill="1" applyBorder="1" applyAlignment="1" applyProtection="1">
      <alignment horizontal="left"/>
      <protection locked="0"/>
    </xf>
    <xf numFmtId="0" fontId="61" fillId="8" borderId="0" xfId="1" applyFont="1" applyAlignment="1">
      <alignment horizontal="center" vertical="center"/>
    </xf>
    <xf numFmtId="0" fontId="1" fillId="0" borderId="0" xfId="2" applyFont="1"/>
    <xf numFmtId="0" fontId="28" fillId="14" borderId="24" xfId="6" applyFont="1" applyFill="1" applyBorder="1" applyAlignment="1">
      <alignment horizontal="center" wrapText="1"/>
    </xf>
  </cellXfs>
  <cellStyles count="13">
    <cellStyle name="20 % – uthevingsfarge 4" xfId="9" builtinId="42"/>
    <cellStyle name="Dårlig" xfId="1" builtinId="27"/>
    <cellStyle name="God" xfId="5" builtinId="26"/>
    <cellStyle name="Hyperkobling" xfId="10" builtinId="8"/>
    <cellStyle name="Inndata" xfId="4" builtinId="20"/>
    <cellStyle name="Merknad 2" xfId="11"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 name="Uthevingsfarge4" xfId="12"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zoomScale="85" zoomScaleNormal="85" workbookViewId="0">
      <pane xSplit="7" ySplit="1" topLeftCell="J2" activePane="bottomRight" state="frozen"/>
      <selection pane="topRight" activeCell="F1" sqref="F1"/>
      <selection pane="bottomLeft" activeCell="A2" sqref="A2"/>
      <selection pane="bottomRight" activeCell="K2" sqref="K2"/>
    </sheetView>
  </sheetViews>
  <sheetFormatPr baseColWidth="10" defaultColWidth="11.44140625" defaultRowHeight="14.4"/>
  <cols>
    <col min="1" max="1" width="11.44140625" style="223"/>
    <col min="2" max="2" width="6.109375" style="223" customWidth="1"/>
    <col min="3" max="6" width="11.44140625" style="223"/>
    <col min="7" max="7" width="20.109375" style="224" customWidth="1"/>
    <col min="8" max="9" width="11.44140625" style="223"/>
    <col min="11" max="12" width="11.44140625" style="195"/>
    <col min="13" max="13" width="11.44140625" style="240"/>
    <col min="14" max="16" width="11.44140625" style="195"/>
    <col min="17" max="17" width="21.88671875" style="195" customWidth="1"/>
    <col min="18" max="18" width="24.44140625" style="195" customWidth="1"/>
    <col min="19" max="20" width="11.44140625" style="16"/>
    <col min="21" max="22" width="11.44140625" style="17"/>
    <col min="28" max="28" width="16.88671875" customWidth="1"/>
    <col min="32" max="32" width="11.44140625" style="246"/>
  </cols>
  <sheetData>
    <row r="1" spans="1:40" ht="87" thickBot="1">
      <c r="A1" s="257" t="s">
        <v>2457</v>
      </c>
      <c r="B1" s="70" t="s">
        <v>2164</v>
      </c>
      <c r="C1" s="70" t="s">
        <v>2643</v>
      </c>
      <c r="D1" s="70" t="s">
        <v>2665</v>
      </c>
      <c r="E1" s="70" t="s">
        <v>2648</v>
      </c>
      <c r="F1" s="70" t="s">
        <v>2641</v>
      </c>
      <c r="G1" s="235" t="s">
        <v>2642</v>
      </c>
      <c r="H1" s="70" t="s">
        <v>25</v>
      </c>
      <c r="I1" s="70" t="s">
        <v>2664</v>
      </c>
      <c r="J1" s="70" t="s">
        <v>2647</v>
      </c>
      <c r="K1" s="279" t="s">
        <v>2649</v>
      </c>
      <c r="L1" s="279" t="s">
        <v>2650</v>
      </c>
      <c r="M1" s="277" t="s">
        <v>2651</v>
      </c>
      <c r="N1" s="279" t="s">
        <v>2652</v>
      </c>
      <c r="O1" s="279" t="s">
        <v>2653</v>
      </c>
      <c r="P1" s="279" t="s">
        <v>2654</v>
      </c>
      <c r="Q1" s="279" t="s">
        <v>2655</v>
      </c>
      <c r="R1" s="279" t="s">
        <v>2656</v>
      </c>
      <c r="S1" s="236" t="s">
        <v>2658</v>
      </c>
      <c r="T1" s="237" t="s">
        <v>31</v>
      </c>
      <c r="U1" s="238" t="s">
        <v>2657</v>
      </c>
      <c r="V1" s="238" t="s">
        <v>3653</v>
      </c>
      <c r="W1" s="238" t="s">
        <v>2663</v>
      </c>
      <c r="X1" s="238" t="s">
        <v>3150</v>
      </c>
      <c r="Y1" s="238" t="s">
        <v>2677</v>
      </c>
      <c r="Z1" s="238" t="s">
        <v>2678</v>
      </c>
      <c r="AA1" s="238" t="s">
        <v>2679</v>
      </c>
      <c r="AB1" s="238" t="s">
        <v>3151</v>
      </c>
      <c r="AC1" s="238" t="s">
        <v>2680</v>
      </c>
      <c r="AD1" s="239" t="s">
        <v>3154</v>
      </c>
      <c r="AE1" s="239" t="s">
        <v>3155</v>
      </c>
      <c r="AF1" s="245" t="s">
        <v>3152</v>
      </c>
      <c r="AG1" s="239" t="s">
        <v>3153</v>
      </c>
      <c r="AH1" s="239" t="s">
        <v>3159</v>
      </c>
      <c r="AI1" s="239" t="s">
        <v>3160</v>
      </c>
      <c r="AJ1" s="239" t="s">
        <v>3162</v>
      </c>
      <c r="AK1" s="239" t="s">
        <v>3163</v>
      </c>
      <c r="AL1" s="251" t="s">
        <v>3519</v>
      </c>
      <c r="AM1" s="251" t="s">
        <v>3520</v>
      </c>
      <c r="AN1" s="251" t="s">
        <v>3521</v>
      </c>
    </row>
    <row r="2" spans="1:40">
      <c r="A2" s="258" t="s">
        <v>2460</v>
      </c>
      <c r="B2" s="263">
        <f>'Dry_Litterbag Placem_Collection'!A3</f>
        <v>1</v>
      </c>
      <c r="C2" s="263" t="str">
        <f>'Dry_Litterbag Placem_Collection'!B3</f>
        <v>Makao</v>
      </c>
      <c r="D2" s="263" t="s">
        <v>2659</v>
      </c>
      <c r="E2" s="263" t="s">
        <v>2660</v>
      </c>
      <c r="F2" s="263">
        <v>1</v>
      </c>
      <c r="G2" s="264" t="str">
        <f>'Dry_Litterbag Placem_Collection'!C3</f>
        <v>Dry_Ag1_T1</v>
      </c>
      <c r="H2" s="265" t="s">
        <v>2541</v>
      </c>
      <c r="I2" s="266" t="s">
        <v>1147</v>
      </c>
      <c r="J2" s="223" t="str">
        <f>'WetLitterbags placem_collection'!K3</f>
        <v>G436</v>
      </c>
      <c r="K2" s="225">
        <f>IFERROR(INDEX('Green_rooibos initial weight'!$C$5:$C$1749,MATCH(J2, 'Green_rooibos initial weight'!$A$5:$A$1749,0)),"")</f>
        <v>2.0329999999999999</v>
      </c>
      <c r="L2" s="225">
        <f>IFERROR(K2-(TBIcalc!$H$9+TBIcalc!$H$10),"")</f>
        <v>1.7831999999999999</v>
      </c>
      <c r="M2" s="391">
        <f>AVERAGE(Ashed_controlls!$K$2:$K$11)</f>
        <v>5.5147656768714146</v>
      </c>
      <c r="N2" s="225">
        <f>IFERROR(L2-(M2/100)*L2,"")</f>
        <v>1.6848606984500289</v>
      </c>
      <c r="O2" s="225">
        <f>IF(IFERROR(INDEX('Both teabags AfterWet'!$C$3:$C$841,MATCH(J2,'Both teabags AfterWet'!$A$3:$A$841,0)),"")="","",(IFERROR(INDEX('Both teabags AfterWet'!$C$3:$C$841,MATCH(J2,'Both teabags AfterWet'!$A$3:$A$841,0)),"")))</f>
        <v>0.43290000000000001</v>
      </c>
      <c r="P2" s="225">
        <f>IFERROR(IF(O2&gt;0,O2-(TBIcalc!$H$9),""),"")</f>
        <v>0.2823</v>
      </c>
      <c r="Q2" s="225">
        <f>IFERROR(INDEX('Ashed teabags wet'!$K$2:$K$821,MATCH(J2,'Ashed teabags wet'!$A$2:$A$821,0)),"")</f>
        <v>27.683896620278237</v>
      </c>
      <c r="R2" s="225">
        <f>IFERROR(P2-(Q2/100)*P2,"")</f>
        <v>0.20414835984095453</v>
      </c>
      <c r="S2" s="226">
        <f>'WetLitterbags placem_collection'!E3</f>
        <v>42766</v>
      </c>
      <c r="T2" s="226">
        <f>IF('WetLitterbags placem_collection'!G3="","",'WetLitterbags placem_collection'!G3)</f>
        <v>42818</v>
      </c>
      <c r="U2" s="227">
        <f t="shared" ref="U2" si="0">IFERROR(T2-S2,"")</f>
        <v>52</v>
      </c>
      <c r="V2" s="225">
        <f>IFERROR(L2-P2,"")</f>
        <v>1.5008999999999999</v>
      </c>
      <c r="W2" s="225">
        <f>IFERROR(N2-R2,"")</f>
        <v>1.4807123386090744</v>
      </c>
      <c r="X2">
        <f>IFERROR(INDEX(Rainfall_Wet!$O$2:$O$217,MATCH(B2, Rainfall_Wet!$A$2:$A$217,0)),"")</f>
        <v>194.43839254400001</v>
      </c>
      <c r="Y2" s="231">
        <v>12.565665055683967</v>
      </c>
      <c r="Z2" s="231">
        <v>0.9665896196679955</v>
      </c>
      <c r="AA2" s="231">
        <v>86.467745324648035</v>
      </c>
      <c r="AB2" s="232" t="s">
        <v>2672</v>
      </c>
      <c r="AC2" s="231">
        <v>1.0225726959093147</v>
      </c>
      <c r="AD2">
        <f>IF('WetLitterbags placem_collection'!AB3="","",'WetLitterbags placem_collection'!AB3)</f>
        <v>26.4</v>
      </c>
      <c r="AE2">
        <f>IF('WetLitterbags placem_collection'!Z3="","",'WetLitterbags placem_collection'!Z3)</f>
        <v>41</v>
      </c>
      <c r="AF2" s="246" t="str">
        <f>IF('WetLitterbags placem_collection'!AA3="","",'WetLitterbags placem_collection'!AA3)</f>
        <v>M</v>
      </c>
      <c r="AG2">
        <f>IF('WetLitterbags placem_collection'!AC3="","",'WetLitterbags placem_collection'!AC3)</f>
        <v>1</v>
      </c>
      <c r="AH2" s="24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placem_collection'!V3)),"YES","NO")</f>
        <v>NO</v>
      </c>
      <c r="AM2" t="str">
        <f>IF(ISNUMBER(SEARCH("H", 'WetLitterbags placem_collection'!V3)),"YES","NO")</f>
        <v>YES</v>
      </c>
      <c r="AN2" t="str">
        <f>IF(ISNUMBER(SEARCH("R", 'WetLitterbags placem_collection'!V3)),"YES","NO")</f>
        <v>NO</v>
      </c>
    </row>
    <row r="3" spans="1:40">
      <c r="A3" s="258" t="s">
        <v>2460</v>
      </c>
      <c r="B3" s="263">
        <f>'Dry_Litterbag Placem_Collection'!A4</f>
        <v>2</v>
      </c>
      <c r="C3" s="263" t="str">
        <f>'Dry_Litterbag Placem_Collection'!B4</f>
        <v>Makao</v>
      </c>
      <c r="D3" s="263" t="s">
        <v>2659</v>
      </c>
      <c r="E3" s="263" t="s">
        <v>2660</v>
      </c>
      <c r="F3" s="263">
        <v>1</v>
      </c>
      <c r="G3" s="264" t="str">
        <f>'Dry_Litterbag Placem_Collection'!C4</f>
        <v>Dry_Ag1_T2</v>
      </c>
      <c r="H3" s="265" t="s">
        <v>2541</v>
      </c>
      <c r="I3" s="266" t="s">
        <v>1147</v>
      </c>
      <c r="J3" s="223" t="str">
        <f>'WetLitterbags placem_collection'!K4</f>
        <v>G568</v>
      </c>
      <c r="K3" s="225">
        <f>IFERROR(INDEX('Green_rooibos initial weight'!$C$5:$C$1749,MATCH(J3, 'Green_rooibos initial weight'!$A$5:$A$1749,0)),"")</f>
        <v>2.0059999999999998</v>
      </c>
      <c r="L3" s="225">
        <f>IFERROR(K3-(TBIcalc!$H$9+TBIcalc!$H$10),"")</f>
        <v>1.7561999999999998</v>
      </c>
      <c r="M3" s="391">
        <f>AVERAGE(Ashed_controlls!$K$2:$K$11)</f>
        <v>5.5147656768714146</v>
      </c>
      <c r="N3" s="225">
        <f t="shared" ref="N3:N66" si="1">IFERROR(L3-(M3/100)*L3,"")</f>
        <v>1.659349685182784</v>
      </c>
      <c r="O3" s="225">
        <f>IF(IFERROR(INDEX('Both teabags AfterWet'!$C$3:$C$841,MATCH(J3,'Both teabags AfterWet'!$A$3:$A$841,0)),"")="","",(IFERROR(INDEX('Both teabags AfterWet'!$C$3:$C$841,MATCH(J3,'Both teabags AfterWet'!$A$3:$A$841,0)),"")))</f>
        <v>0.629</v>
      </c>
      <c r="P3" s="225">
        <f>IFERROR(IF(O3&gt;0,O3-(TBIcalc!$H$9),""),"")</f>
        <v>0.47839999999999999</v>
      </c>
      <c r="Q3" s="225">
        <f>IFERROR(INDEX('Ashed teabags wet'!$K$2:$K$821,MATCH(J3,'Ashed teabags wet'!$A$2:$A$821,0)),"")</f>
        <v>8.5032322227742174</v>
      </c>
      <c r="R3" s="225">
        <f t="shared" ref="R3:R10" si="2">IFERROR(P3-(Q3/100)*P3,"")</f>
        <v>0.43772053704624814</v>
      </c>
      <c r="S3" s="226">
        <f>'WetLitterbags placem_collection'!E4</f>
        <v>42766</v>
      </c>
      <c r="T3" s="226">
        <f>IF('WetLitterbags placem_collection'!G4="","",'WetLitterbags placem_collection'!G4)</f>
        <v>42818</v>
      </c>
      <c r="U3" s="227">
        <f t="shared" ref="U3:U66" si="3">IFERROR(T3-S3,"")</f>
        <v>52</v>
      </c>
      <c r="V3" s="225">
        <f t="shared" ref="V3:V66" si="4">IFERROR(L3-P3,"")</f>
        <v>1.2777999999999998</v>
      </c>
      <c r="W3" s="225">
        <f t="shared" ref="W3:W66" si="5">IFERROR(N3-R3,"")</f>
        <v>1.221629148136536</v>
      </c>
      <c r="X3">
        <f>IFERROR(INDEX(Rainfall_Wet!$O$2:$O$217,MATCH(B3, Rainfall_Wet!$A$2:$A$217,0)),"")</f>
        <v>194.43839254400001</v>
      </c>
      <c r="Y3" s="231">
        <v>12.565665055683967</v>
      </c>
      <c r="Z3" s="231">
        <v>0.9665896196679955</v>
      </c>
      <c r="AA3" s="231">
        <v>86.467745324648035</v>
      </c>
      <c r="AB3" s="232" t="s">
        <v>2672</v>
      </c>
      <c r="AC3" s="231">
        <v>2.02257269590931</v>
      </c>
      <c r="AD3">
        <f>IF('WetLitterbags placem_collection'!AB4="","",'WetLitterbags placem_collection'!AB4)</f>
        <v>22.4</v>
      </c>
      <c r="AE3">
        <f>IF('WetLitterbags placem_collection'!Z4="","",'WetLitterbags placem_collection'!Z4)</f>
        <v>39.799999999999997</v>
      </c>
      <c r="AF3" s="246" t="str">
        <f>IF('WetLitterbags placem_collection'!AA4="","",'WetLitterbags placem_collection'!AA4)</f>
        <v>M</v>
      </c>
      <c r="AG3">
        <f>IF('WetLitterbags placem_collection'!AC4="","",'WetLitterbags placem_collection'!AC4)</f>
        <v>1</v>
      </c>
      <c r="AH3" s="24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placem_collection'!V4)),"YES","NO")</f>
        <v>NO</v>
      </c>
      <c r="AM3" t="str">
        <f>IF(ISNUMBER(SEARCH("H", 'WetLitterbags placem_collection'!V4)),"YES","NO")</f>
        <v>NO</v>
      </c>
      <c r="AN3" t="str">
        <f>IF(ISNUMBER(SEARCH("R", 'WetLitterbags placem_collection'!V4)),"YES","NO")</f>
        <v>NO</v>
      </c>
    </row>
    <row r="4" spans="1:40">
      <c r="A4" s="258" t="s">
        <v>2460</v>
      </c>
      <c r="B4" s="263">
        <f>'Dry_Litterbag Placem_Collection'!A5</f>
        <v>3</v>
      </c>
      <c r="C4" s="263" t="str">
        <f>'Dry_Litterbag Placem_Collection'!B5</f>
        <v>Makao</v>
      </c>
      <c r="D4" s="263" t="s">
        <v>2659</v>
      </c>
      <c r="E4" s="263" t="s">
        <v>2660</v>
      </c>
      <c r="F4" s="263">
        <v>1</v>
      </c>
      <c r="G4" s="264" t="str">
        <f>'Dry_Litterbag Placem_Collection'!C5</f>
        <v>Dry_Ag1_T3</v>
      </c>
      <c r="H4" s="265" t="s">
        <v>2541</v>
      </c>
      <c r="I4" s="266" t="s">
        <v>1147</v>
      </c>
      <c r="J4" s="223" t="str">
        <f>'WetLitterbags placem_collection'!K5</f>
        <v>G631</v>
      </c>
      <c r="K4" s="225">
        <f>IFERROR(INDEX('Green_rooibos initial weight'!$C$5:$C$1749,MATCH(J4, 'Green_rooibos initial weight'!$A$5:$A$1749,0)),"")</f>
        <v>1.99</v>
      </c>
      <c r="L4" s="225">
        <f>IFERROR(K4-(TBIcalc!$H$9+TBIcalc!$H$10),"")</f>
        <v>1.7402</v>
      </c>
      <c r="M4" s="391">
        <f>AVERAGE(Ashed_controlls!$K$2:$K$11)</f>
        <v>5.5147656768714146</v>
      </c>
      <c r="N4" s="225">
        <f t="shared" si="1"/>
        <v>1.6442320476910837</v>
      </c>
      <c r="O4" s="225" t="str">
        <f>IF(IFERROR(INDEX('Both teabags AfterWet'!$C$3:$C$841,MATCH(J4,'Both teabags AfterWet'!$A$3:$A$841,0)),"")="","",(IFERROR(INDEX('Both teabags AfterWet'!$C$3:$C$841,MATCH(J4,'Both teabags AfterWet'!$A$3:$A$841,0)),"")))</f>
        <v/>
      </c>
      <c r="P4" s="225" t="str">
        <f>IFERROR(IF(O4&gt;0,O4-(TBIcalc!$H$9),""),"")</f>
        <v/>
      </c>
      <c r="Q4" s="225" t="str">
        <f>IFERROR(INDEX('Ashed teabags wet'!$K$2:$K$821,MATCH(J4,'Ashed teabags wet'!$A$2:$A$821,0)),"")</f>
        <v/>
      </c>
      <c r="R4" s="225" t="str">
        <f t="shared" si="2"/>
        <v/>
      </c>
      <c r="S4" s="226">
        <f>'WetLitterbags placem_collection'!E5</f>
        <v>42766</v>
      </c>
      <c r="T4" s="226" t="str">
        <f>IF('WetLitterbags placem_collection'!G5="","",'WetLitterbags placem_collection'!G5)</f>
        <v/>
      </c>
      <c r="U4" s="227" t="str">
        <f t="shared" si="3"/>
        <v/>
      </c>
      <c r="V4" s="225" t="str">
        <f t="shared" si="4"/>
        <v/>
      </c>
      <c r="W4" s="225" t="str">
        <f t="shared" si="5"/>
        <v/>
      </c>
      <c r="X4" t="str">
        <f>IFERROR(INDEX(Rainfall_Wet!$O$2:$O$217,MATCH(B4, Rainfall_Wet!$A$2:$A$217,0)),"")</f>
        <v/>
      </c>
      <c r="Y4" s="231">
        <v>12.565665055683967</v>
      </c>
      <c r="Z4" s="231">
        <v>0.9665896196679955</v>
      </c>
      <c r="AA4" s="231">
        <v>86.467745324648035</v>
      </c>
      <c r="AB4" s="232" t="s">
        <v>2672</v>
      </c>
      <c r="AC4" s="231">
        <v>3.02257269590931</v>
      </c>
      <c r="AD4" t="str">
        <f>IF('WetLitterbags placem_collection'!AB5="","",'WetLitterbags placem_collection'!AB5)</f>
        <v/>
      </c>
      <c r="AE4" t="str">
        <f>IF('WetLitterbags placem_collection'!Z5="","",'WetLitterbags placem_collection'!Z5)</f>
        <v/>
      </c>
      <c r="AF4" s="246" t="str">
        <f>IF('WetLitterbags placem_collection'!AA5="","",'WetLitterbags placem_collection'!AA5)</f>
        <v/>
      </c>
      <c r="AG4" t="str">
        <f>IF('WetLitterbags placem_collection'!AC5="","",'WetLitterbags placem_collection'!AC5)</f>
        <v/>
      </c>
      <c r="AH4" s="24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placem_collection'!V5)),"YES","NO")</f>
        <v>NO</v>
      </c>
      <c r="AM4" t="str">
        <f>IF(ISNUMBER(SEARCH("H", 'WetLitterbags placem_collection'!V5)),"YES","NO")</f>
        <v>NO</v>
      </c>
      <c r="AN4" t="str">
        <f>IF(ISNUMBER(SEARCH("R", 'WetLitterbags placem_collection'!V5)),"YES","NO")</f>
        <v>NO</v>
      </c>
    </row>
    <row r="5" spans="1:40">
      <c r="A5" s="258" t="s">
        <v>2460</v>
      </c>
      <c r="B5" s="263">
        <f>'Dry_Litterbag Placem_Collection'!A6</f>
        <v>4</v>
      </c>
      <c r="C5" s="263" t="str">
        <f>'Dry_Litterbag Placem_Collection'!B6</f>
        <v>Makao</v>
      </c>
      <c r="D5" s="263" t="s">
        <v>2659</v>
      </c>
      <c r="E5" s="263" t="s">
        <v>2660</v>
      </c>
      <c r="F5" s="263">
        <v>1</v>
      </c>
      <c r="G5" s="264" t="str">
        <f>'Dry_Litterbag Placem_Collection'!C6</f>
        <v>Dry_Ag1_T4</v>
      </c>
      <c r="H5" s="265" t="s">
        <v>2541</v>
      </c>
      <c r="I5" s="266" t="s">
        <v>1147</v>
      </c>
      <c r="J5" s="223" t="str">
        <f>'WetLitterbags placem_collection'!K6</f>
        <v>G652</v>
      </c>
      <c r="K5" s="225">
        <f>IFERROR(INDEX('Green_rooibos initial weight'!$C$5:$C$1749,MATCH(J5, 'Green_rooibos initial weight'!$A$5:$A$1749,0)),"")</f>
        <v>2.024</v>
      </c>
      <c r="L5" s="225">
        <f>IFERROR(K5-(TBIcalc!$H$9+TBIcalc!$H$10),"")</f>
        <v>1.7742</v>
      </c>
      <c r="M5" s="391">
        <f>AVERAGE(Ashed_controlls!$K$2:$K$11)</f>
        <v>5.5147656768714146</v>
      </c>
      <c r="N5" s="225">
        <f t="shared" si="1"/>
        <v>1.6763570273609474</v>
      </c>
      <c r="O5" s="225" t="str">
        <f>IF(IFERROR(INDEX('Both teabags AfterWet'!$C$3:$C$841,MATCH(J5,'Both teabags AfterWet'!$A$3:$A$841,0)),"")="","",(IFERROR(INDEX('Both teabags AfterWet'!$C$3:$C$841,MATCH(J5,'Both teabags AfterWet'!$A$3:$A$841,0)),"")))</f>
        <v/>
      </c>
      <c r="P5" s="225" t="str">
        <f>IFERROR(IF(O5&gt;0,O5-(TBIcalc!$H$9),""),"")</f>
        <v/>
      </c>
      <c r="Q5" s="225" t="str">
        <f>IFERROR(INDEX('Ashed teabags wet'!$K$2:$K$821,MATCH(J5,'Ashed teabags wet'!$A$2:$A$821,0)),"")</f>
        <v/>
      </c>
      <c r="R5" s="225" t="str">
        <f t="shared" si="2"/>
        <v/>
      </c>
      <c r="S5" s="226">
        <f>'WetLitterbags placem_collection'!E6</f>
        <v>42766</v>
      </c>
      <c r="T5" s="226">
        <f>IF('WetLitterbags placem_collection'!G6="","",'WetLitterbags placem_collection'!G6)</f>
        <v>42818</v>
      </c>
      <c r="U5" s="227">
        <f t="shared" si="3"/>
        <v>52</v>
      </c>
      <c r="V5" s="225" t="str">
        <f t="shared" si="4"/>
        <v/>
      </c>
      <c r="W5" s="225" t="str">
        <f t="shared" si="5"/>
        <v/>
      </c>
      <c r="X5">
        <f>IFERROR(INDEX(Rainfall_Wet!$O$2:$O$217,MATCH(B5, Rainfall_Wet!$A$2:$A$217,0)),"")</f>
        <v>194.43839254400001</v>
      </c>
      <c r="Y5" s="231">
        <v>12.565665055683967</v>
      </c>
      <c r="Z5" s="231">
        <v>0.9665896196679955</v>
      </c>
      <c r="AA5" s="231">
        <v>86.467745324648035</v>
      </c>
      <c r="AB5" s="232" t="s">
        <v>2672</v>
      </c>
      <c r="AC5" s="231">
        <v>4.02257269590931</v>
      </c>
      <c r="AD5" t="str">
        <f>IF('WetLitterbags placem_collection'!AB6="","",'WetLitterbags placem_collection'!AB6)</f>
        <v/>
      </c>
      <c r="AE5" t="str">
        <f>IF('WetLitterbags placem_collection'!Z6="","",'WetLitterbags placem_collection'!Z6)</f>
        <v/>
      </c>
      <c r="AF5" s="246" t="str">
        <f>IF('WetLitterbags placem_collection'!AA6="","",'WetLitterbags placem_collection'!AA6)</f>
        <v/>
      </c>
      <c r="AG5" t="str">
        <f>IF('WetLitterbags placem_collection'!AC6="","",'WetLitterbags placem_collection'!AC6)</f>
        <v/>
      </c>
      <c r="AH5" s="24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placem_collection'!V6)),"YES","NO")</f>
        <v>NO</v>
      </c>
      <c r="AM5" t="str">
        <f>IF(ISNUMBER(SEARCH("H", 'WetLitterbags placem_collection'!V6)),"YES","NO")</f>
        <v>NO</v>
      </c>
      <c r="AN5" t="str">
        <f>IF(ISNUMBER(SEARCH("R", 'WetLitterbags placem_collection'!V6)),"YES","NO")</f>
        <v>NO</v>
      </c>
    </row>
    <row r="6" spans="1:40">
      <c r="A6" s="258" t="s">
        <v>2460</v>
      </c>
      <c r="B6" s="263">
        <f>'Dry_Litterbag Placem_Collection'!A7</f>
        <v>5</v>
      </c>
      <c r="C6" s="263" t="str">
        <f>'Dry_Litterbag Placem_Collection'!B7</f>
        <v>Makao</v>
      </c>
      <c r="D6" s="263" t="s">
        <v>2659</v>
      </c>
      <c r="E6" s="263" t="s">
        <v>2660</v>
      </c>
      <c r="F6" s="263">
        <v>1</v>
      </c>
      <c r="G6" s="264" t="str">
        <f>'Dry_Litterbag Placem_Collection'!C7</f>
        <v>Dry_Ag1_T5</v>
      </c>
      <c r="H6" s="265" t="s">
        <v>2541</v>
      </c>
      <c r="I6" s="266" t="s">
        <v>1147</v>
      </c>
      <c r="J6" s="223" t="str">
        <f>'WetLitterbags placem_collection'!K7</f>
        <v>G497</v>
      </c>
      <c r="K6" s="225">
        <f>IFERROR(INDEX('Green_rooibos initial weight'!$C$5:$C$1749,MATCH(J6, 'Green_rooibos initial weight'!$A$5:$A$1749,0)),"")</f>
        <v>2.0019999999999998</v>
      </c>
      <c r="L6" s="225">
        <f>IFERROR(K6-(TBIcalc!$H$9+TBIcalc!$H$10),"")</f>
        <v>1.7521999999999998</v>
      </c>
      <c r="M6" s="391">
        <f>AVERAGE(Ashed_controlls!$K$2:$K$11)</f>
        <v>5.5147656768714146</v>
      </c>
      <c r="N6" s="225">
        <f t="shared" si="1"/>
        <v>1.6555702758098589</v>
      </c>
      <c r="O6" s="225">
        <f>IF(IFERROR(INDEX('Both teabags AfterWet'!$C$3:$C$841,MATCH(J6,'Both teabags AfterWet'!$A$3:$A$841,0)),"")="","",(IFERROR(INDEX('Both teabags AfterWet'!$C$3:$C$841,MATCH(J6,'Both teabags AfterWet'!$A$3:$A$841,0)),"")))</f>
        <v>0.46</v>
      </c>
      <c r="P6" s="225">
        <f>IFERROR(IF(O6&gt;0,O6-(TBIcalc!$H$9),""),"")</f>
        <v>0.30940000000000001</v>
      </c>
      <c r="Q6" s="225">
        <f>IFERROR(INDEX('Ashed teabags wet'!$K$2:$K$821,MATCH(J6,'Ashed teabags wet'!$A$2:$A$821,0)),"")</f>
        <v>19.444444444444176</v>
      </c>
      <c r="R6" s="225">
        <f t="shared" si="2"/>
        <v>0.24923888888888973</v>
      </c>
      <c r="S6" s="226">
        <f>'WetLitterbags placem_collection'!E7</f>
        <v>42766</v>
      </c>
      <c r="T6" s="226">
        <f>IF('WetLitterbags placem_collection'!G7="","",'WetLitterbags placem_collection'!G7)</f>
        <v>42818</v>
      </c>
      <c r="U6" s="227">
        <f t="shared" si="3"/>
        <v>52</v>
      </c>
      <c r="V6" s="225">
        <f t="shared" si="4"/>
        <v>1.4427999999999996</v>
      </c>
      <c r="W6" s="225">
        <f t="shared" si="5"/>
        <v>1.4063313869209693</v>
      </c>
      <c r="X6">
        <f>IFERROR(INDEX(Rainfall_Wet!$O$2:$O$217,MATCH(B6, Rainfall_Wet!$A$2:$A$217,0)),"")</f>
        <v>194.43839254400001</v>
      </c>
      <c r="Y6" s="231">
        <v>12.565665055683967</v>
      </c>
      <c r="Z6" s="231">
        <v>0.9665896196679955</v>
      </c>
      <c r="AA6" s="231">
        <v>86.467745324648035</v>
      </c>
      <c r="AB6" s="232" t="s">
        <v>2672</v>
      </c>
      <c r="AC6" s="231">
        <v>5.02257269590931</v>
      </c>
      <c r="AD6">
        <f>IF('WetLitterbags placem_collection'!AB7="","",'WetLitterbags placem_collection'!AB7)</f>
        <v>28.4</v>
      </c>
      <c r="AE6">
        <f>IF('WetLitterbags placem_collection'!Z7="","",'WetLitterbags placem_collection'!Z7)</f>
        <v>36.4</v>
      </c>
      <c r="AF6" s="246" t="str">
        <f>IF('WetLitterbags placem_collection'!AA7="","",'WetLitterbags placem_collection'!AA7)</f>
        <v>M</v>
      </c>
      <c r="AG6">
        <f>IF('WetLitterbags placem_collection'!AC7="","",'WetLitterbags placem_collection'!AC7)</f>
        <v>1</v>
      </c>
      <c r="AH6" s="24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placem_collection'!V7)),"YES","NO")</f>
        <v>NO</v>
      </c>
      <c r="AM6" t="str">
        <f>IF(ISNUMBER(SEARCH("H", 'WetLitterbags placem_collection'!V7)),"YES","NO")</f>
        <v>NO</v>
      </c>
      <c r="AN6" t="str">
        <f>IF(ISNUMBER(SEARCH("R", 'WetLitterbags placem_collection'!V7)),"YES","NO")</f>
        <v>NO</v>
      </c>
    </row>
    <row r="7" spans="1:40">
      <c r="A7" s="258" t="s">
        <v>2460</v>
      </c>
      <c r="B7" s="263">
        <f>'Dry_Litterbag Placem_Collection'!A8</f>
        <v>6</v>
      </c>
      <c r="C7" s="263" t="str">
        <f>'Dry_Litterbag Placem_Collection'!B8</f>
        <v>Makao</v>
      </c>
      <c r="D7" s="263" t="s">
        <v>2659</v>
      </c>
      <c r="E7" s="263" t="s">
        <v>2660</v>
      </c>
      <c r="F7" s="263">
        <v>1</v>
      </c>
      <c r="G7" s="264" t="str">
        <f>'Dry_Litterbag Placem_Collection'!C8</f>
        <v>Dry_Ag1_T6</v>
      </c>
      <c r="H7" s="265" t="s">
        <v>2541</v>
      </c>
      <c r="I7" s="266" t="s">
        <v>1147</v>
      </c>
      <c r="J7" s="223" t="str">
        <f>'WetLitterbags placem_collection'!K8</f>
        <v>G447</v>
      </c>
      <c r="K7" s="225">
        <f>IFERROR(INDEX('Green_rooibos initial weight'!$C$5:$C$1749,MATCH(J7, 'Green_rooibos initial weight'!$A$5:$A$1749,0)),"")</f>
        <v>2.0579999999999998</v>
      </c>
      <c r="L7" s="225">
        <f>IFERROR(K7-(TBIcalc!$H$9+TBIcalc!$H$10),"")</f>
        <v>1.8081999999999998</v>
      </c>
      <c r="M7" s="391">
        <f>AVERAGE(Ashed_controlls!$K$2:$K$11)</f>
        <v>5.5147656768714146</v>
      </c>
      <c r="N7" s="225">
        <f t="shared" si="1"/>
        <v>1.7084820070308109</v>
      </c>
      <c r="O7" s="225">
        <f>IF(IFERROR(INDEX('Both teabags AfterWet'!$C$3:$C$841,MATCH(J7,'Both teabags AfterWet'!$A$3:$A$841,0)),"")="","",(IFERROR(INDEX('Both teabags AfterWet'!$C$3:$C$841,MATCH(J7,'Both teabags AfterWet'!$A$3:$A$841,0)),"")))</f>
        <v>0.67749999999999999</v>
      </c>
      <c r="P7" s="225">
        <f>IFERROR(IF(O7&gt;0,O7-(TBIcalc!$H$9),""),"")</f>
        <v>0.52689999999999992</v>
      </c>
      <c r="Q7" s="225">
        <f>IFERROR(INDEX('Ashed teabags wet'!$K$2:$K$821,MATCH(J7,'Ashed teabags wet'!$A$2:$A$821,0)),"")</f>
        <v>11.472945891783862</v>
      </c>
      <c r="R7" s="225">
        <f t="shared" si="2"/>
        <v>0.46644904809619075</v>
      </c>
      <c r="S7" s="226">
        <f>'WetLitterbags placem_collection'!E8</f>
        <v>42766</v>
      </c>
      <c r="T7" s="226">
        <f>IF('WetLitterbags placem_collection'!G8="","",'WetLitterbags placem_collection'!G8)</f>
        <v>42818</v>
      </c>
      <c r="U7" s="227">
        <f t="shared" si="3"/>
        <v>52</v>
      </c>
      <c r="V7" s="225">
        <f t="shared" si="4"/>
        <v>1.2812999999999999</v>
      </c>
      <c r="W7" s="225">
        <f t="shared" si="5"/>
        <v>1.2420329589346202</v>
      </c>
      <c r="X7">
        <f>IFERROR(INDEX(Rainfall_Wet!$O$2:$O$217,MATCH(B7, Rainfall_Wet!$A$2:$A$217,0)),"")</f>
        <v>194.43839254400001</v>
      </c>
      <c r="Y7" s="231">
        <v>12.565665055683967</v>
      </c>
      <c r="Z7" s="231">
        <v>0.9665896196679955</v>
      </c>
      <c r="AA7" s="231">
        <v>86.467745324648035</v>
      </c>
      <c r="AB7" s="232" t="s">
        <v>2672</v>
      </c>
      <c r="AC7" s="231">
        <v>6.02257269590931</v>
      </c>
      <c r="AD7">
        <f>IF('WetLitterbags placem_collection'!AB8="","",'WetLitterbags placem_collection'!AB8)</f>
        <v>32.4</v>
      </c>
      <c r="AE7">
        <f>IF('WetLitterbags placem_collection'!Z8="","",'WetLitterbags placem_collection'!Z8)</f>
        <v>31</v>
      </c>
      <c r="AF7" s="246" t="str">
        <f>IF('WetLitterbags placem_collection'!AA8="","",'WetLitterbags placem_collection'!AA8)</f>
        <v>M</v>
      </c>
      <c r="AG7">
        <f>IF('WetLitterbags placem_collection'!AC8="","",'WetLitterbags placem_collection'!AC8)</f>
        <v>1</v>
      </c>
      <c r="AH7" s="24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placem_collection'!V8)),"YES","NO")</f>
        <v>NO</v>
      </c>
      <c r="AM7" t="str">
        <f>IF(ISNUMBER(SEARCH("H", 'WetLitterbags placem_collection'!V8)),"YES","NO")</f>
        <v>NO</v>
      </c>
      <c r="AN7" t="str">
        <f>IF(ISNUMBER(SEARCH("R", 'WetLitterbags placem_collection'!V8)),"YES","NO")</f>
        <v>NO</v>
      </c>
    </row>
    <row r="8" spans="1:40">
      <c r="A8" s="258" t="s">
        <v>2460</v>
      </c>
      <c r="B8" s="263">
        <f>'Dry_Litterbag Placem_Collection'!A9</f>
        <v>7</v>
      </c>
      <c r="C8" s="263" t="str">
        <f>'Dry_Litterbag Placem_Collection'!B9</f>
        <v>Makao</v>
      </c>
      <c r="D8" s="263" t="s">
        <v>2659</v>
      </c>
      <c r="E8" s="263" t="s">
        <v>2660</v>
      </c>
      <c r="F8" s="263">
        <v>1</v>
      </c>
      <c r="G8" s="264" t="str">
        <f>'Dry_Litterbag Placem_Collection'!C9</f>
        <v>Dry_Ag1_T7</v>
      </c>
      <c r="H8" s="265" t="s">
        <v>2541</v>
      </c>
      <c r="I8" s="266" t="s">
        <v>1147</v>
      </c>
      <c r="J8" s="223" t="str">
        <f>'WetLitterbags placem_collection'!K9</f>
        <v>G452</v>
      </c>
      <c r="K8" s="225">
        <f>IFERROR(INDEX('Green_rooibos initial weight'!$C$5:$C$1749,MATCH(J8, 'Green_rooibos initial weight'!$A$5:$A$1749,0)),"")</f>
        <v>2.0550000000000002</v>
      </c>
      <c r="L8" s="225">
        <f>IFERROR(K8-(TBIcalc!$H$9+TBIcalc!$H$10),"")</f>
        <v>1.8052000000000001</v>
      </c>
      <c r="M8" s="391">
        <f>AVERAGE(Ashed_controlls!$K$2:$K$11)</f>
        <v>5.5147656768714146</v>
      </c>
      <c r="N8" s="225">
        <f t="shared" si="1"/>
        <v>1.7056474500011174</v>
      </c>
      <c r="O8" s="225">
        <f>IF(IFERROR(INDEX('Both teabags AfterWet'!$C$3:$C$841,MATCH(J8,'Both teabags AfterWet'!$A$3:$A$841,0)),"")="","",(IFERROR(INDEX('Both teabags AfterWet'!$C$3:$C$841,MATCH(J8,'Both teabags AfterWet'!$A$3:$A$841,0)),"")))</f>
        <v>0.67900000000000005</v>
      </c>
      <c r="P8" s="225">
        <f>IFERROR(IF(O8&gt;0,O8-(TBIcalc!$H$9),""),"")</f>
        <v>0.52839999999999998</v>
      </c>
      <c r="Q8" s="225">
        <f>IFERROR(INDEX('Ashed teabags wet'!$K$2:$K$821,MATCH(J8,'Ashed teabags wet'!$A$2:$A$821,0)),"")</f>
        <v>11.36705057586399</v>
      </c>
      <c r="R8" s="225">
        <f t="shared" si="2"/>
        <v>0.46833650475713468</v>
      </c>
      <c r="S8" s="226">
        <f>'WetLitterbags placem_collection'!E9</f>
        <v>42766</v>
      </c>
      <c r="T8" s="226">
        <f>IF('WetLitterbags placem_collection'!G9="","",'WetLitterbags placem_collection'!G9)</f>
        <v>42818</v>
      </c>
      <c r="U8" s="227">
        <f t="shared" si="3"/>
        <v>52</v>
      </c>
      <c r="V8" s="225">
        <f t="shared" si="4"/>
        <v>1.2768000000000002</v>
      </c>
      <c r="W8" s="225">
        <f t="shared" si="5"/>
        <v>1.2373109452439828</v>
      </c>
      <c r="X8">
        <f>IFERROR(INDEX(Rainfall_Wet!$O$2:$O$217,MATCH(B8, Rainfall_Wet!$A$2:$A$217,0)),"")</f>
        <v>194.43839254400001</v>
      </c>
      <c r="Y8" s="231">
        <v>12.565665055683967</v>
      </c>
      <c r="Z8" s="231">
        <v>0.9665896196679955</v>
      </c>
      <c r="AA8" s="231">
        <v>86.467745324648035</v>
      </c>
      <c r="AB8" s="232" t="s">
        <v>2672</v>
      </c>
      <c r="AC8" s="231">
        <v>7.02257269590931</v>
      </c>
      <c r="AD8">
        <f>IF('WetLitterbags placem_collection'!AB9="","",'WetLitterbags placem_collection'!AB9)</f>
        <v>36</v>
      </c>
      <c r="AE8">
        <f>IF('WetLitterbags placem_collection'!Z9="","",'WetLitterbags placem_collection'!Z9)</f>
        <v>43.4</v>
      </c>
      <c r="AF8" s="246" t="str">
        <f>IF('WetLitterbags placem_collection'!AA9="","",'WetLitterbags placem_collection'!AA9)</f>
        <v>M</v>
      </c>
      <c r="AG8">
        <f>IF('WetLitterbags placem_collection'!AC9="","",'WetLitterbags placem_collection'!AC9)</f>
        <v>1</v>
      </c>
      <c r="AH8" s="24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placem_collection'!V9)),"YES","NO")</f>
        <v>NO</v>
      </c>
      <c r="AM8" t="str">
        <f>IF(ISNUMBER(SEARCH("H", 'WetLitterbags placem_collection'!V9)),"YES","NO")</f>
        <v>NO</v>
      </c>
      <c r="AN8" t="str">
        <f>IF(ISNUMBER(SEARCH("R", 'WetLitterbags placem_collection'!V9)),"YES","NO")</f>
        <v>NO</v>
      </c>
    </row>
    <row r="9" spans="1:40">
      <c r="A9" s="258" t="s">
        <v>2460</v>
      </c>
      <c r="B9" s="263">
        <f>'Dry_Litterbag Placem_Collection'!A10</f>
        <v>8</v>
      </c>
      <c r="C9" s="263" t="str">
        <f>'Dry_Litterbag Placem_Collection'!B10</f>
        <v>Makao</v>
      </c>
      <c r="D9" s="263" t="s">
        <v>2659</v>
      </c>
      <c r="E9" s="263" t="s">
        <v>2660</v>
      </c>
      <c r="F9" s="263">
        <v>1</v>
      </c>
      <c r="G9" s="264" t="str">
        <f>'Dry_Litterbag Placem_Collection'!C10</f>
        <v>Dry_Ag1_T8</v>
      </c>
      <c r="H9" s="265" t="s">
        <v>2541</v>
      </c>
      <c r="I9" s="266" t="s">
        <v>1147</v>
      </c>
      <c r="J9" s="223" t="str">
        <f>'WetLitterbags placem_collection'!K10</f>
        <v>G389</v>
      </c>
      <c r="K9" s="225">
        <f>IFERROR(INDEX('Green_rooibos initial weight'!$C$5:$C$1749,MATCH(J9, 'Green_rooibos initial weight'!$A$5:$A$1749,0)),"")</f>
        <v>1.9710000000000001</v>
      </c>
      <c r="L9" s="225">
        <f>IFERROR(K9-(TBIcalc!$H$9+TBIcalc!$H$10),"")</f>
        <v>1.7212000000000001</v>
      </c>
      <c r="M9" s="391">
        <f>AVERAGE(Ashed_controlls!$K$2:$K$11)</f>
        <v>5.5147656768714146</v>
      </c>
      <c r="N9" s="225">
        <f t="shared" si="1"/>
        <v>1.6262798531696894</v>
      </c>
      <c r="O9" s="225">
        <f>IF(IFERROR(INDEX('Both teabags AfterWet'!$C$3:$C$841,MATCH(J9,'Both teabags AfterWet'!$A$3:$A$841,0)),"")="","",(IFERROR(INDEX('Both teabags AfterWet'!$C$3:$C$841,MATCH(J9,'Both teabags AfterWet'!$A$3:$A$841,0)),"")))</f>
        <v>0.61950000000000005</v>
      </c>
      <c r="P9" s="225">
        <f>IFERROR(IF(O9&gt;0,O9-(TBIcalc!$H$9),""),"")</f>
        <v>0.46890000000000004</v>
      </c>
      <c r="Q9" s="225">
        <f>IFERROR(INDEX('Ashed teabags wet'!$K$2:$K$821,MATCH(J9,'Ashed teabags wet'!$A$2:$A$821,0)),"")</f>
        <v>9.7706879361918428</v>
      </c>
      <c r="R9" s="225">
        <f t="shared" si="2"/>
        <v>0.42308524426719651</v>
      </c>
      <c r="S9" s="226">
        <f>'WetLitterbags placem_collection'!E10</f>
        <v>42766</v>
      </c>
      <c r="T9" s="226">
        <f>IF('WetLitterbags placem_collection'!G10="","",'WetLitterbags placem_collection'!G10)</f>
        <v>42818</v>
      </c>
      <c r="U9" s="227">
        <f t="shared" si="3"/>
        <v>52</v>
      </c>
      <c r="V9" s="225">
        <f t="shared" si="4"/>
        <v>1.2523</v>
      </c>
      <c r="W9" s="225">
        <f t="shared" si="5"/>
        <v>1.2031946089024927</v>
      </c>
      <c r="X9">
        <f>IFERROR(INDEX(Rainfall_Wet!$O$2:$O$217,MATCH(B9, Rainfall_Wet!$A$2:$A$217,0)),"")</f>
        <v>194.43839254400001</v>
      </c>
      <c r="Y9" s="231">
        <v>12.565665055683967</v>
      </c>
      <c r="Z9" s="231">
        <v>0.9665896196679955</v>
      </c>
      <c r="AA9" s="231">
        <v>86.467745324648035</v>
      </c>
      <c r="AB9" s="232" t="s">
        <v>2672</v>
      </c>
      <c r="AC9" s="231">
        <v>8.0225726959093109</v>
      </c>
      <c r="AD9">
        <f>IF('WetLitterbags placem_collection'!AB10="","",'WetLitterbags placem_collection'!AB10)</f>
        <v>36</v>
      </c>
      <c r="AE9">
        <f>IF('WetLitterbags placem_collection'!Z10="","",'WetLitterbags placem_collection'!Z10)</f>
        <v>38.4</v>
      </c>
      <c r="AF9" s="246" t="str">
        <f>IF('WetLitterbags placem_collection'!AA10="","",'WetLitterbags placem_collection'!AA10)</f>
        <v>M</v>
      </c>
      <c r="AG9" t="str">
        <f>IF('WetLitterbags placem_collection'!AC10="","",'WetLitterbags placem_collection'!AC10)</f>
        <v/>
      </c>
      <c r="AH9" s="24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placem_collection'!V10)),"YES","NO")</f>
        <v>NO</v>
      </c>
      <c r="AM9" t="str">
        <f>IF(ISNUMBER(SEARCH("H", 'WetLitterbags placem_collection'!V10)),"YES","NO")</f>
        <v>YES</v>
      </c>
      <c r="AN9" t="str">
        <f>IF(ISNUMBER(SEARCH("R", 'WetLitterbags placem_collection'!V10)),"YES","NO")</f>
        <v>NO</v>
      </c>
    </row>
    <row r="10" spans="1:40">
      <c r="A10" s="258" t="s">
        <v>2460</v>
      </c>
      <c r="B10" s="263">
        <f>'Dry_Litterbag Placem_Collection'!A11</f>
        <v>9</v>
      </c>
      <c r="C10" s="263" t="str">
        <f>'Dry_Litterbag Placem_Collection'!B11</f>
        <v>Makao</v>
      </c>
      <c r="D10" s="263" t="s">
        <v>2659</v>
      </c>
      <c r="E10" s="263" t="s">
        <v>2660</v>
      </c>
      <c r="F10" s="263">
        <v>2</v>
      </c>
      <c r="G10" s="264" t="str">
        <f>'Dry_Litterbag Placem_Collection'!C11</f>
        <v>Dry_Ag2_T1</v>
      </c>
      <c r="H10" s="265" t="s">
        <v>2541</v>
      </c>
      <c r="I10" s="266" t="s">
        <v>1147</v>
      </c>
      <c r="J10" s="223" t="str">
        <f>'WetLitterbags placem_collection'!K11</f>
        <v>G514</v>
      </c>
      <c r="K10" s="225">
        <f>IFERROR(INDEX('Green_rooibos initial weight'!$C$5:$C$1749,MATCH(J10, 'Green_rooibos initial weight'!$A$5:$A$1749,0)),"")</f>
        <v>1.9350000000000001</v>
      </c>
      <c r="L10" s="225">
        <f>IFERROR(K10-(TBIcalc!$H$9+TBIcalc!$H$10),"")</f>
        <v>1.6852</v>
      </c>
      <c r="M10" s="391">
        <f>AVERAGE(Ashed_controlls!$K$2:$K$11)</f>
        <v>5.5147656768714146</v>
      </c>
      <c r="N10" s="225">
        <f t="shared" si="1"/>
        <v>1.5922651688133629</v>
      </c>
      <c r="O10" s="225" t="str">
        <f>IF(IFERROR(INDEX('Both teabags AfterWet'!$C$3:$C$841,MATCH(J10,'Both teabags AfterWet'!$A$3:$A$841,0)),"")="","",(IFERROR(INDEX('Both teabags AfterWet'!$C$3:$C$841,MATCH(J10,'Both teabags AfterWet'!$A$3:$A$841,0)),"")))</f>
        <v/>
      </c>
      <c r="P10" s="225" t="str">
        <f>IFERROR(IF(O10&gt;0,O10-(TBIcalc!$H$9),""),"")</f>
        <v/>
      </c>
      <c r="Q10" s="225">
        <f>IFERROR(INDEX('Ashed teabags wet'!$K$2:$K$821,MATCH(J10,'Ashed teabags wet'!$A$2:$A$821,0)),"")</f>
        <v>9.2933204259437421</v>
      </c>
      <c r="R10" s="225" t="str">
        <f t="shared" si="2"/>
        <v/>
      </c>
      <c r="S10" s="226">
        <f>'WetLitterbags placem_collection'!E11</f>
        <v>42766</v>
      </c>
      <c r="T10" s="226">
        <f>IF('WetLitterbags placem_collection'!G11="","",'WetLitterbags placem_collection'!G11)</f>
        <v>42818</v>
      </c>
      <c r="U10" s="227">
        <f t="shared" si="3"/>
        <v>52</v>
      </c>
      <c r="V10" s="225" t="str">
        <f t="shared" si="4"/>
        <v/>
      </c>
      <c r="W10" s="225" t="str">
        <f t="shared" si="5"/>
        <v/>
      </c>
      <c r="X10">
        <f>IFERROR(INDEX(Rainfall_Wet!$O$2:$O$217,MATCH(B10, Rainfall_Wet!$A$2:$A$217,0)),"")</f>
        <v>194.43839254400001</v>
      </c>
      <c r="Y10" s="231">
        <v>21.13063730679653</v>
      </c>
      <c r="Z10" s="231">
        <v>3.0912555579081076</v>
      </c>
      <c r="AA10" s="231">
        <v>75.778107135295357</v>
      </c>
      <c r="AB10" s="232" t="s">
        <v>2670</v>
      </c>
      <c r="AC10" s="231">
        <v>0.46131099063578063</v>
      </c>
      <c r="AD10">
        <f>IF('WetLitterbags placem_collection'!AB11="","",'WetLitterbags placem_collection'!AB11)</f>
        <v>10.8</v>
      </c>
      <c r="AE10">
        <f>IF('WetLitterbags placem_collection'!Z11="","",'WetLitterbags placem_collection'!Z11)</f>
        <v>28.4</v>
      </c>
      <c r="AF10" s="246" t="str">
        <f>IF('WetLitterbags placem_collection'!AA11="","",'WetLitterbags placem_collection'!AA11)</f>
        <v>M</v>
      </c>
      <c r="AG10">
        <f>IF('WetLitterbags placem_collection'!AC11="","",'WetLitterbags placem_collection'!AC11)</f>
        <v>0</v>
      </c>
      <c r="AH10" s="24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placem_collection'!V11)),"YES","NO")</f>
        <v>NO</v>
      </c>
      <c r="AM10" t="str">
        <f>IF(ISNUMBER(SEARCH("H", 'WetLitterbags placem_collection'!V11)),"YES","NO")</f>
        <v>NO</v>
      </c>
      <c r="AN10" t="str">
        <f>IF(ISNUMBER(SEARCH("R", 'WetLitterbags placem_collection'!V11)),"YES","NO")</f>
        <v>YES</v>
      </c>
    </row>
    <row r="11" spans="1:40">
      <c r="A11" s="258" t="s">
        <v>2460</v>
      </c>
      <c r="B11" s="263">
        <f>'Dry_Litterbag Placem_Collection'!A12</f>
        <v>10</v>
      </c>
      <c r="C11" s="263" t="str">
        <f>'Dry_Litterbag Placem_Collection'!B12</f>
        <v>Makao</v>
      </c>
      <c r="D11" s="263" t="s">
        <v>2659</v>
      </c>
      <c r="E11" s="263" t="s">
        <v>2660</v>
      </c>
      <c r="F11" s="263">
        <v>2</v>
      </c>
      <c r="G11" s="264" t="str">
        <f>'Dry_Litterbag Placem_Collection'!C12</f>
        <v>Dry_Ag2_T2</v>
      </c>
      <c r="H11" s="265" t="s">
        <v>2541</v>
      </c>
      <c r="I11" s="266" t="s">
        <v>1147</v>
      </c>
      <c r="J11" s="223" t="str">
        <f>'WetLitterbags placem_collection'!K12</f>
        <v>G286</v>
      </c>
      <c r="K11" s="225">
        <f>IFERROR(INDEX('Green_rooibos initial weight'!$C$5:$C$1749,MATCH(J11, 'Green_rooibos initial weight'!$A$5:$A$1749,0)),"")</f>
        <v>2.0710000000000002</v>
      </c>
      <c r="L11" s="225">
        <f>IFERROR(K11-(TBIcalc!$H$9+TBIcalc!$H$10),"")</f>
        <v>1.8212000000000002</v>
      </c>
      <c r="M11" s="391">
        <f>AVERAGE(Ashed_controlls!$K$2:$K$11)</f>
        <v>5.5147656768714146</v>
      </c>
      <c r="N11" s="225">
        <f t="shared" si="1"/>
        <v>1.720765087492818</v>
      </c>
      <c r="O11" s="225">
        <f>IF(IFERROR(INDEX('Both teabags AfterWet'!$C$3:$C$841,MATCH(J11,'Both teabags AfterWet'!$A$3:$A$841,0)),"")="","",(IFERROR(INDEX('Both teabags AfterWet'!$C$3:$C$841,MATCH(J11,'Both teabags AfterWet'!$A$3:$A$841,0)),"")))</f>
        <v>0.80200000000000005</v>
      </c>
      <c r="P11" s="225">
        <f>IFERROR(IF(O11&gt;0,O11-(TBIcalc!$H$9),""),"")</f>
        <v>0.65139999999999998</v>
      </c>
      <c r="Q11" s="225">
        <f>IFERROR(INDEX('Ashed teabags wet'!$K$2:$K$821,MATCH(J11,'Ashed teabags wet'!$A$2:$A$821,0)),"")</f>
        <v>14.321233217304874</v>
      </c>
      <c r="R11" s="225">
        <f t="shared" ref="R11:R74" si="6">IFERROR(P11-(Q11/100)*P11,"")</f>
        <v>0.55811148682247602</v>
      </c>
      <c r="S11" s="226">
        <f>'WetLitterbags placem_collection'!E12</f>
        <v>42766</v>
      </c>
      <c r="T11" s="226">
        <f>IF('WetLitterbags placem_collection'!G12="","",'WetLitterbags placem_collection'!G12)</f>
        <v>42818</v>
      </c>
      <c r="U11" s="227">
        <f t="shared" si="3"/>
        <v>52</v>
      </c>
      <c r="V11" s="225">
        <f t="shared" si="4"/>
        <v>1.1698000000000002</v>
      </c>
      <c r="W11" s="225">
        <f t="shared" si="5"/>
        <v>1.1626536006703421</v>
      </c>
      <c r="X11">
        <f>IFERROR(INDEX(Rainfall_Wet!$O$2:$O$217,MATCH(B11, Rainfall_Wet!$A$2:$A$217,0)),"")</f>
        <v>194.43839254400001</v>
      </c>
      <c r="Y11" s="231">
        <v>21.13063730679653</v>
      </c>
      <c r="Z11" s="231">
        <v>3.0912555579081076</v>
      </c>
      <c r="AA11" s="231">
        <v>75.778107135295357</v>
      </c>
      <c r="AB11" s="232" t="s">
        <v>2670</v>
      </c>
      <c r="AC11" s="231">
        <v>1.46131099063578</v>
      </c>
      <c r="AD11">
        <f>IF('WetLitterbags placem_collection'!AB12="","",'WetLitterbags placem_collection'!AB12)</f>
        <v>16.8</v>
      </c>
      <c r="AE11">
        <f>IF('WetLitterbags placem_collection'!Z12="","",'WetLitterbags placem_collection'!Z12)</f>
        <v>30</v>
      </c>
      <c r="AF11" s="246" t="str">
        <f>IF('WetLitterbags placem_collection'!AA12="","",'WetLitterbags placem_collection'!AA12)</f>
        <v>M</v>
      </c>
      <c r="AG11">
        <f>IF('WetLitterbags placem_collection'!AC12="","",'WetLitterbags placem_collection'!AC12)</f>
        <v>0</v>
      </c>
      <c r="AH11" s="24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placem_collection'!V12)),"YES","NO")</f>
        <v>NO</v>
      </c>
      <c r="AM11" t="str">
        <f>IF(ISNUMBER(SEARCH("H", 'WetLitterbags placem_collection'!V12)),"YES","NO")</f>
        <v>NO</v>
      </c>
      <c r="AN11" t="str">
        <f>IF(ISNUMBER(SEARCH("R", 'WetLitterbags placem_collection'!V12)),"YES","NO")</f>
        <v>NO</v>
      </c>
    </row>
    <row r="12" spans="1:40">
      <c r="A12" s="258" t="s">
        <v>2460</v>
      </c>
      <c r="B12" s="263">
        <f>'Dry_Litterbag Placem_Collection'!A13</f>
        <v>11</v>
      </c>
      <c r="C12" s="263" t="str">
        <f>'Dry_Litterbag Placem_Collection'!B13</f>
        <v>Makao</v>
      </c>
      <c r="D12" s="263" t="s">
        <v>2659</v>
      </c>
      <c r="E12" s="263" t="s">
        <v>2660</v>
      </c>
      <c r="F12" s="263">
        <v>2</v>
      </c>
      <c r="G12" s="264" t="str">
        <f>'Dry_Litterbag Placem_Collection'!C13</f>
        <v>Dry_Ag2_T3</v>
      </c>
      <c r="H12" s="265" t="s">
        <v>2541</v>
      </c>
      <c r="I12" s="266" t="s">
        <v>1147</v>
      </c>
      <c r="J12" s="223" t="str">
        <f>'WetLitterbags placem_collection'!K13</f>
        <v>G543</v>
      </c>
      <c r="K12" s="225">
        <f>IFERROR(INDEX('Green_rooibos initial weight'!$C$5:$C$1749,MATCH(J12, 'Green_rooibos initial weight'!$A$5:$A$1749,0)),"")</f>
        <v>2.0920000000000001</v>
      </c>
      <c r="L12" s="225">
        <f>IFERROR(K12-(TBIcalc!$H$9+TBIcalc!$H$10),"")</f>
        <v>1.8422000000000001</v>
      </c>
      <c r="M12" s="391">
        <f>AVERAGE(Ashed_controlls!$K$2:$K$11)</f>
        <v>5.5147656768714146</v>
      </c>
      <c r="N12" s="225">
        <f t="shared" si="1"/>
        <v>1.7406069867006748</v>
      </c>
      <c r="O12" s="225">
        <f>IF(IFERROR(INDEX('Both teabags AfterWet'!$C$3:$C$841,MATCH(J12,'Both teabags AfterWet'!$A$3:$A$841,0)),"")="","",(IFERROR(INDEX('Both teabags AfterWet'!$C$3:$C$841,MATCH(J12,'Both teabags AfterWet'!$A$3:$A$841,0)),"")))</f>
        <v>0.71650000000000003</v>
      </c>
      <c r="P12" s="225">
        <f>IFERROR(IF(O12&gt;0,O12-(TBIcalc!$H$9),""),"")</f>
        <v>0.56590000000000007</v>
      </c>
      <c r="Q12" s="225">
        <f>IFERROR(INDEX('Ashed teabags wet'!$K$2:$K$821,MATCH(J12,'Ashed teabags wet'!$A$2:$A$821,0)),"")</f>
        <v>12.04819277108421</v>
      </c>
      <c r="R12" s="225">
        <f t="shared" si="6"/>
        <v>0.4977192771084345</v>
      </c>
      <c r="S12" s="226">
        <f>'WetLitterbags placem_collection'!E13</f>
        <v>42766</v>
      </c>
      <c r="T12" s="226">
        <f>IF('WetLitterbags placem_collection'!G13="","",'WetLitterbags placem_collection'!G13)</f>
        <v>42818</v>
      </c>
      <c r="U12" s="227">
        <f t="shared" si="3"/>
        <v>52</v>
      </c>
      <c r="V12" s="225">
        <f t="shared" si="4"/>
        <v>1.2763</v>
      </c>
      <c r="W12" s="225">
        <f t="shared" si="5"/>
        <v>1.2428877095922404</v>
      </c>
      <c r="X12">
        <f>IFERROR(INDEX(Rainfall_Wet!$O$2:$O$217,MATCH(B12, Rainfall_Wet!$A$2:$A$217,0)),"")</f>
        <v>194.43839254400001</v>
      </c>
      <c r="Y12" s="231">
        <v>21.13063730679653</v>
      </c>
      <c r="Z12" s="231">
        <v>3.0912555579081076</v>
      </c>
      <c r="AA12" s="231">
        <v>75.778107135295357</v>
      </c>
      <c r="AB12" s="232" t="s">
        <v>2670</v>
      </c>
      <c r="AC12" s="231">
        <v>2.4613109906357802</v>
      </c>
      <c r="AD12">
        <f>IF('WetLitterbags placem_collection'!AB13="","",'WetLitterbags placem_collection'!AB13)</f>
        <v>11.4</v>
      </c>
      <c r="AE12">
        <f>IF('WetLitterbags placem_collection'!Z13="","",'WetLitterbags placem_collection'!Z13)</f>
        <v>24.4</v>
      </c>
      <c r="AF12" s="246" t="str">
        <f>IF('WetLitterbags placem_collection'!AA13="","",'WetLitterbags placem_collection'!AA13)</f>
        <v>M</v>
      </c>
      <c r="AG12">
        <f>IF('WetLitterbags placem_collection'!AC13="","",'WetLitterbags placem_collection'!AC13)</f>
        <v>0</v>
      </c>
      <c r="AH12" s="24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placem_collection'!V13)),"YES","NO")</f>
        <v>NO</v>
      </c>
      <c r="AM12" t="str">
        <f>IF(ISNUMBER(SEARCH("H", 'WetLitterbags placem_collection'!V13)),"YES","NO")</f>
        <v>NO</v>
      </c>
      <c r="AN12" t="str">
        <f>IF(ISNUMBER(SEARCH("R", 'WetLitterbags placem_collection'!V13)),"YES","NO")</f>
        <v>YES</v>
      </c>
    </row>
    <row r="13" spans="1:40">
      <c r="A13" s="258" t="s">
        <v>2460</v>
      </c>
      <c r="B13" s="263">
        <f>'Dry_Litterbag Placem_Collection'!A14</f>
        <v>12</v>
      </c>
      <c r="C13" s="263" t="str">
        <f>'Dry_Litterbag Placem_Collection'!B14</f>
        <v>Makao</v>
      </c>
      <c r="D13" s="263" t="s">
        <v>2659</v>
      </c>
      <c r="E13" s="263" t="s">
        <v>2660</v>
      </c>
      <c r="F13" s="263">
        <v>2</v>
      </c>
      <c r="G13" s="264" t="str">
        <f>'Dry_Litterbag Placem_Collection'!C14</f>
        <v>Dry_Ag2_T4</v>
      </c>
      <c r="H13" s="265" t="s">
        <v>2541</v>
      </c>
      <c r="I13" s="266" t="s">
        <v>1147</v>
      </c>
      <c r="J13" s="223" t="str">
        <f>'WetLitterbags placem_collection'!K14</f>
        <v>G590</v>
      </c>
      <c r="K13" s="225">
        <f>IFERROR(INDEX('Green_rooibos initial weight'!$C$5:$C$1749,MATCH(J13, 'Green_rooibos initial weight'!$A$5:$A$1749,0)),"")</f>
        <v>2.0830000000000002</v>
      </c>
      <c r="L13" s="225">
        <f>IFERROR(K13-(TBIcalc!$H$9+TBIcalc!$H$10),"")</f>
        <v>1.8332000000000002</v>
      </c>
      <c r="M13" s="391">
        <f>AVERAGE(Ashed_controlls!$K$2:$K$11)</f>
        <v>5.5147656768714146</v>
      </c>
      <c r="N13" s="225">
        <f t="shared" si="1"/>
        <v>1.7321033156115935</v>
      </c>
      <c r="O13" s="225" t="str">
        <f>IF(IFERROR(INDEX('Both teabags AfterWet'!$C$3:$C$841,MATCH(J13,'Both teabags AfterWet'!$A$3:$A$841,0)),"")="","",(IFERROR(INDEX('Both teabags AfterWet'!$C$3:$C$841,MATCH(J13,'Both teabags AfterWet'!$A$3:$A$841,0)),"")))</f>
        <v/>
      </c>
      <c r="P13" s="225" t="str">
        <f>IFERROR(IF(O13&gt;0,O13-(TBIcalc!$H$9),""),"")</f>
        <v/>
      </c>
      <c r="Q13" s="225" t="str">
        <f>IFERROR(INDEX('Ashed teabags wet'!$K$2:$K$821,MATCH(J13,'Ashed teabags wet'!$A$2:$A$821,0)),"")</f>
        <v/>
      </c>
      <c r="R13" s="225" t="str">
        <f t="shared" si="6"/>
        <v/>
      </c>
      <c r="S13" s="226">
        <f>'WetLitterbags placem_collection'!E14</f>
        <v>42766</v>
      </c>
      <c r="T13" s="226" t="str">
        <f>IF('WetLitterbags placem_collection'!G14="","",'WetLitterbags placem_collection'!G14)</f>
        <v/>
      </c>
      <c r="U13" s="227" t="str">
        <f t="shared" si="3"/>
        <v/>
      </c>
      <c r="V13" s="225" t="str">
        <f t="shared" si="4"/>
        <v/>
      </c>
      <c r="W13" s="225" t="str">
        <f t="shared" si="5"/>
        <v/>
      </c>
      <c r="X13" t="str">
        <f>IFERROR(INDEX(Rainfall_Wet!$O$2:$O$217,MATCH(B13, Rainfall_Wet!$A$2:$A$217,0)),"")</f>
        <v/>
      </c>
      <c r="Y13" s="231">
        <v>21.13063730679653</v>
      </c>
      <c r="Z13" s="231">
        <v>3.0912555579081076</v>
      </c>
      <c r="AA13" s="231">
        <v>75.778107135295357</v>
      </c>
      <c r="AB13" s="232" t="s">
        <v>2670</v>
      </c>
      <c r="AC13" s="231">
        <v>3.4613109906357802</v>
      </c>
      <c r="AD13" t="str">
        <f>IF('WetLitterbags placem_collection'!AB14="","",'WetLitterbags placem_collection'!AB14)</f>
        <v/>
      </c>
      <c r="AE13" t="str">
        <f>IF('WetLitterbags placem_collection'!Z14="","",'WetLitterbags placem_collection'!Z14)</f>
        <v/>
      </c>
      <c r="AF13" s="246" t="str">
        <f>IF('WetLitterbags placem_collection'!AA14="","",'WetLitterbags placem_collection'!AA14)</f>
        <v/>
      </c>
      <c r="AG13" t="str">
        <f>IF('WetLitterbags placem_collection'!AC14="","",'WetLitterbags placem_collection'!AC14)</f>
        <v/>
      </c>
      <c r="AH13" s="24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placem_collection'!V14)),"YES","NO")</f>
        <v>NO</v>
      </c>
      <c r="AM13" t="str">
        <f>IF(ISNUMBER(SEARCH("H", 'WetLitterbags placem_collection'!V14)),"YES","NO")</f>
        <v>NO</v>
      </c>
      <c r="AN13" t="str">
        <f>IF(ISNUMBER(SEARCH("R", 'WetLitterbags placem_collection'!V14)),"YES","NO")</f>
        <v>NO</v>
      </c>
    </row>
    <row r="14" spans="1:40">
      <c r="A14" s="258" t="s">
        <v>2460</v>
      </c>
      <c r="B14" s="263">
        <f>'Dry_Litterbag Placem_Collection'!A15</f>
        <v>13</v>
      </c>
      <c r="C14" s="263" t="str">
        <f>'Dry_Litterbag Placem_Collection'!B15</f>
        <v>Makao</v>
      </c>
      <c r="D14" s="263" t="s">
        <v>2659</v>
      </c>
      <c r="E14" s="263" t="s">
        <v>2660</v>
      </c>
      <c r="F14" s="263">
        <v>2</v>
      </c>
      <c r="G14" s="264" t="str">
        <f>'Dry_Litterbag Placem_Collection'!C15</f>
        <v>Dry_Ag2_T5</v>
      </c>
      <c r="H14" s="265" t="s">
        <v>2541</v>
      </c>
      <c r="I14" s="266" t="s">
        <v>1147</v>
      </c>
      <c r="J14" s="223" t="str">
        <f>'WetLitterbags placem_collection'!K15</f>
        <v>G595</v>
      </c>
      <c r="K14" s="225">
        <f>IFERROR(INDEX('Green_rooibos initial weight'!$C$5:$C$1749,MATCH(J14, 'Green_rooibos initial weight'!$A$5:$A$1749,0)),"")</f>
        <v>2.1160000000000001</v>
      </c>
      <c r="L14" s="225">
        <f>IFERROR(K14-(TBIcalc!$H$9+TBIcalc!$H$10),"")</f>
        <v>1.8662000000000001</v>
      </c>
      <c r="M14" s="391">
        <f>AVERAGE(Ashed_controlls!$K$2:$K$11)</f>
        <v>5.5147656768714146</v>
      </c>
      <c r="N14" s="225">
        <f t="shared" si="1"/>
        <v>1.7632834429382258</v>
      </c>
      <c r="O14" s="225">
        <f>IF(IFERROR(INDEX('Both teabags AfterWet'!$C$3:$C$841,MATCH(J14,'Both teabags AfterWet'!$A$3:$A$841,0)),"")="","",(IFERROR(INDEX('Both teabags AfterWet'!$C$3:$C$841,MATCH(J14,'Both teabags AfterWet'!$A$3:$A$841,0)),"")))</f>
        <v>0.62809999999999999</v>
      </c>
      <c r="P14" s="225">
        <f>IFERROR(IF(O14&gt;0,O14-(TBIcalc!$H$9),""),"")</f>
        <v>0.47749999999999998</v>
      </c>
      <c r="Q14" s="225">
        <f>IFERROR(INDEX('Ashed teabags wet'!$K$2:$K$821,MATCH(J14,'Ashed teabags wet'!$A$2:$A$821,0)),"")</f>
        <v>29.168740666998239</v>
      </c>
      <c r="R14" s="225">
        <f t="shared" si="6"/>
        <v>0.3382192633150834</v>
      </c>
      <c r="S14" s="226">
        <f>'WetLitterbags placem_collection'!E15</f>
        <v>42766</v>
      </c>
      <c r="T14" s="226">
        <f>IF('WetLitterbags placem_collection'!G15="","",'WetLitterbags placem_collection'!G15)</f>
        <v>42818</v>
      </c>
      <c r="U14" s="227">
        <f t="shared" si="3"/>
        <v>52</v>
      </c>
      <c r="V14" s="225">
        <f t="shared" si="4"/>
        <v>1.3887</v>
      </c>
      <c r="W14" s="225">
        <f t="shared" si="5"/>
        <v>1.4250641796231425</v>
      </c>
      <c r="X14">
        <f>IFERROR(INDEX(Rainfall_Wet!$O$2:$O$217,MATCH(B14, Rainfall_Wet!$A$2:$A$217,0)),"")</f>
        <v>194.43839254400001</v>
      </c>
      <c r="Y14" s="231">
        <v>21.13063730679653</v>
      </c>
      <c r="Z14" s="231">
        <v>3.0912555579081076</v>
      </c>
      <c r="AA14" s="231">
        <v>75.778107135295357</v>
      </c>
      <c r="AB14" s="232" t="s">
        <v>2670</v>
      </c>
      <c r="AC14" s="231">
        <v>4.4613109906357797</v>
      </c>
      <c r="AD14">
        <f>IF('WetLitterbags placem_collection'!AB15="","",'WetLitterbags placem_collection'!AB15)</f>
        <v>11.4</v>
      </c>
      <c r="AE14">
        <f>IF('WetLitterbags placem_collection'!Z15="","",'WetLitterbags placem_collection'!Z15)</f>
        <v>31</v>
      </c>
      <c r="AF14" s="246" t="str">
        <f>IF('WetLitterbags placem_collection'!AA15="","",'WetLitterbags placem_collection'!AA15)</f>
        <v>M</v>
      </c>
      <c r="AG14">
        <f>IF('WetLitterbags placem_collection'!AC15="","",'WetLitterbags placem_collection'!AC15)</f>
        <v>0</v>
      </c>
      <c r="AH14" s="24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placem_collection'!V15)),"YES","NO")</f>
        <v>NO</v>
      </c>
      <c r="AM14" t="str">
        <f>IF(ISNUMBER(SEARCH("H", 'WetLitterbags placem_collection'!V15)),"YES","NO")</f>
        <v>YES</v>
      </c>
      <c r="AN14" t="str">
        <f>IF(ISNUMBER(SEARCH("R", 'WetLitterbags placem_collection'!V15)),"YES","NO")</f>
        <v>NO</v>
      </c>
    </row>
    <row r="15" spans="1:40">
      <c r="A15" s="258" t="s">
        <v>2460</v>
      </c>
      <c r="B15" s="263">
        <f>'Dry_Litterbag Placem_Collection'!A16</f>
        <v>14</v>
      </c>
      <c r="C15" s="263" t="str">
        <f>'Dry_Litterbag Placem_Collection'!B16</f>
        <v>Makao</v>
      </c>
      <c r="D15" s="263" t="s">
        <v>2659</v>
      </c>
      <c r="E15" s="263" t="s">
        <v>2660</v>
      </c>
      <c r="F15" s="263">
        <v>2</v>
      </c>
      <c r="G15" s="264" t="str">
        <f>'Dry_Litterbag Placem_Collection'!C16</f>
        <v>Dry_Ag2_T6</v>
      </c>
      <c r="H15" s="265" t="s">
        <v>2541</v>
      </c>
      <c r="I15" s="266" t="s">
        <v>1147</v>
      </c>
      <c r="J15" s="223" t="str">
        <f>'WetLitterbags placem_collection'!K16</f>
        <v>G609</v>
      </c>
      <c r="K15" s="225">
        <f>IFERROR(INDEX('Green_rooibos initial weight'!$C$5:$C$1749,MATCH(J15, 'Green_rooibos initial weight'!$A$5:$A$1749,0)),"")</f>
        <v>2.089</v>
      </c>
      <c r="L15" s="225">
        <f>IFERROR(K15-(TBIcalc!$H$9+TBIcalc!$H$10),"")</f>
        <v>1.8391999999999999</v>
      </c>
      <c r="M15" s="391">
        <f>AVERAGE(Ashed_controlls!$K$2:$K$11)</f>
        <v>5.5147656768714146</v>
      </c>
      <c r="N15" s="225">
        <f t="shared" si="1"/>
        <v>1.7377724296709809</v>
      </c>
      <c r="O15" s="225">
        <f>IF(IFERROR(INDEX('Both teabags AfterWet'!$C$3:$C$841,MATCH(J15,'Both teabags AfterWet'!$A$3:$A$841,0)),"")="","",(IFERROR(INDEX('Both teabags AfterWet'!$C$3:$C$841,MATCH(J15,'Both teabags AfterWet'!$A$3:$A$841,0)),"")))</f>
        <v>0.498</v>
      </c>
      <c r="P15" s="225">
        <f>IFERROR(IF(O15&gt;0,O15-(TBIcalc!$H$9),""),"")</f>
        <v>0.34739999999999999</v>
      </c>
      <c r="Q15" s="225">
        <f>IFERROR(INDEX('Ashed teabags wet'!$K$2:$K$821,MATCH(J15,'Ashed teabags wet'!$A$2:$A$821,0)),"")</f>
        <v>16.033966033965626</v>
      </c>
      <c r="R15" s="225">
        <f t="shared" si="6"/>
        <v>0.29169800199800339</v>
      </c>
      <c r="S15" s="226">
        <f>'WetLitterbags placem_collection'!E16</f>
        <v>42766</v>
      </c>
      <c r="T15" s="226">
        <f>IF('WetLitterbags placem_collection'!G16="","",'WetLitterbags placem_collection'!G16)</f>
        <v>42818</v>
      </c>
      <c r="U15" s="227">
        <f t="shared" si="3"/>
        <v>52</v>
      </c>
      <c r="V15" s="225">
        <f t="shared" si="4"/>
        <v>1.4918</v>
      </c>
      <c r="W15" s="225">
        <f t="shared" si="5"/>
        <v>1.4460744276729776</v>
      </c>
      <c r="X15">
        <f>IFERROR(INDEX(Rainfall_Wet!$O$2:$O$217,MATCH(B15, Rainfall_Wet!$A$2:$A$217,0)),"")</f>
        <v>194.43839254400001</v>
      </c>
      <c r="Y15" s="231">
        <v>21.13063730679653</v>
      </c>
      <c r="Z15" s="231">
        <v>3.0912555579081076</v>
      </c>
      <c r="AA15" s="231">
        <v>75.778107135295357</v>
      </c>
      <c r="AB15" s="232" t="s">
        <v>2670</v>
      </c>
      <c r="AC15" s="231">
        <v>5.4613109906357797</v>
      </c>
      <c r="AD15">
        <f>IF('WetLitterbags placem_collection'!AB16="","",'WetLitterbags placem_collection'!AB16)</f>
        <v>28.4</v>
      </c>
      <c r="AE15">
        <f>IF('WetLitterbags placem_collection'!Z16="","",'WetLitterbags placem_collection'!Z16)</f>
        <v>42.4</v>
      </c>
      <c r="AF15" s="246" t="str">
        <f>IF('WetLitterbags placem_collection'!AA16="","",'WetLitterbags placem_collection'!AA16)</f>
        <v>M</v>
      </c>
      <c r="AG15">
        <f>IF('WetLitterbags placem_collection'!AC16="","",'WetLitterbags placem_collection'!AC16)</f>
        <v>0</v>
      </c>
      <c r="AH15" s="24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placem_collection'!V16)),"YES","NO")</f>
        <v>NO</v>
      </c>
      <c r="AM15" t="str">
        <f>IF(ISNUMBER(SEARCH("H", 'WetLitterbags placem_collection'!V16)),"YES","NO")</f>
        <v>NO</v>
      </c>
      <c r="AN15" t="str">
        <f>IF(ISNUMBER(SEARCH("R", 'WetLitterbags placem_collection'!V16)),"YES","NO")</f>
        <v>NO</v>
      </c>
    </row>
    <row r="16" spans="1:40">
      <c r="A16" s="258" t="s">
        <v>2460</v>
      </c>
      <c r="B16" s="263">
        <f>'Dry_Litterbag Placem_Collection'!A17</f>
        <v>15</v>
      </c>
      <c r="C16" s="263" t="str">
        <f>'Dry_Litterbag Placem_Collection'!B17</f>
        <v>Makao</v>
      </c>
      <c r="D16" s="263" t="s">
        <v>2659</v>
      </c>
      <c r="E16" s="263" t="s">
        <v>2660</v>
      </c>
      <c r="F16" s="263">
        <v>2</v>
      </c>
      <c r="G16" s="264" t="str">
        <f>'Dry_Litterbag Placem_Collection'!C17</f>
        <v>Dry_Ag2_T7</v>
      </c>
      <c r="H16" s="265" t="s">
        <v>2541</v>
      </c>
      <c r="I16" s="266" t="s">
        <v>1147</v>
      </c>
      <c r="J16" s="223" t="str">
        <f>'WetLitterbags placem_collection'!K17</f>
        <v>G222</v>
      </c>
      <c r="K16" s="225">
        <f>IFERROR(INDEX('Green_rooibos initial weight'!$C$5:$C$1749,MATCH(J16, 'Green_rooibos initial weight'!$A$5:$A$1749,0)),"")</f>
        <v>1.889</v>
      </c>
      <c r="L16" s="225">
        <f>IFERROR(K16-(TBIcalc!$H$9+TBIcalc!$H$10),"")</f>
        <v>1.6392</v>
      </c>
      <c r="M16" s="391">
        <f>AVERAGE(Ashed_controlls!$K$2:$K$11)</f>
        <v>5.5147656768714146</v>
      </c>
      <c r="N16" s="225">
        <f t="shared" si="1"/>
        <v>1.5488019610247237</v>
      </c>
      <c r="O16" s="225">
        <f>IF(IFERROR(INDEX('Both teabags AfterWet'!$C$3:$C$841,MATCH(J16,'Both teabags AfterWet'!$A$3:$A$841,0)),"")="","",(IFERROR(INDEX('Both teabags AfterWet'!$C$3:$C$841,MATCH(J16,'Both teabags AfterWet'!$A$3:$A$841,0)),"")))</f>
        <v>0.67100000000000004</v>
      </c>
      <c r="P16" s="225">
        <f>IFERROR(IF(O16&gt;0,O16-(TBIcalc!$H$9),""),"")</f>
        <v>0.52039999999999997</v>
      </c>
      <c r="Q16" s="225">
        <f>IFERROR(INDEX('Ashed teabags wet'!$K$2:$K$821,MATCH(J16,'Ashed teabags wet'!$A$2:$A$821,0)),"")</f>
        <v>15.805168986083718</v>
      </c>
      <c r="R16" s="225">
        <f t="shared" si="6"/>
        <v>0.43814990059642034</v>
      </c>
      <c r="S16" s="226">
        <f>'WetLitterbags placem_collection'!E17</f>
        <v>42766</v>
      </c>
      <c r="T16" s="226">
        <f>IF('WetLitterbags placem_collection'!G17="","",'WetLitterbags placem_collection'!G17)</f>
        <v>42818</v>
      </c>
      <c r="U16" s="227">
        <f t="shared" si="3"/>
        <v>52</v>
      </c>
      <c r="V16" s="225">
        <f t="shared" si="4"/>
        <v>1.1188</v>
      </c>
      <c r="W16" s="225">
        <f t="shared" si="5"/>
        <v>1.1106520604283032</v>
      </c>
      <c r="X16">
        <f>IFERROR(INDEX(Rainfall_Wet!$O$2:$O$217,MATCH(B16, Rainfall_Wet!$A$2:$A$217,0)),"")</f>
        <v>194.43839254400001</v>
      </c>
      <c r="Y16" s="231">
        <v>21.13063730679653</v>
      </c>
      <c r="Z16" s="231">
        <v>3.0912555579081076</v>
      </c>
      <c r="AA16" s="231">
        <v>75.778107135295357</v>
      </c>
      <c r="AB16" s="232" t="s">
        <v>2670</v>
      </c>
      <c r="AC16" s="231">
        <v>6.4613109906357797</v>
      </c>
      <c r="AD16">
        <f>IF('WetLitterbags placem_collection'!AB17="","",'WetLitterbags placem_collection'!AB17)</f>
        <v>15.8</v>
      </c>
      <c r="AE16">
        <f>IF('WetLitterbags placem_collection'!Z17="","",'WetLitterbags placem_collection'!Z17)</f>
        <v>30.4</v>
      </c>
      <c r="AF16" s="246" t="str">
        <f>IF('WetLitterbags placem_collection'!AA17="","",'WetLitterbags placem_collection'!AA17)</f>
        <v>M</v>
      </c>
      <c r="AG16">
        <f>IF('WetLitterbags placem_collection'!AC17="","",'WetLitterbags placem_collection'!AC17)</f>
        <v>0</v>
      </c>
      <c r="AH16" s="24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placem_collection'!V17)),"YES","NO")</f>
        <v>NO</v>
      </c>
      <c r="AM16" t="str">
        <f>IF(ISNUMBER(SEARCH("H", 'WetLitterbags placem_collection'!V17)),"YES","NO")</f>
        <v>NO</v>
      </c>
      <c r="AN16" t="str">
        <f>IF(ISNUMBER(SEARCH("R", 'WetLitterbags placem_collection'!V17)),"YES","NO")</f>
        <v>NO</v>
      </c>
    </row>
    <row r="17" spans="1:40">
      <c r="A17" s="258" t="s">
        <v>2460</v>
      </c>
      <c r="B17" s="263">
        <f>'Dry_Litterbag Placem_Collection'!A18</f>
        <v>16</v>
      </c>
      <c r="C17" s="263" t="str">
        <f>'Dry_Litterbag Placem_Collection'!B18</f>
        <v>Makao</v>
      </c>
      <c r="D17" s="263" t="s">
        <v>2659</v>
      </c>
      <c r="E17" s="263" t="s">
        <v>2660</v>
      </c>
      <c r="F17" s="263">
        <v>2</v>
      </c>
      <c r="G17" s="264" t="str">
        <f>'Dry_Litterbag Placem_Collection'!C18</f>
        <v>Dry_Ag2_T8</v>
      </c>
      <c r="H17" s="265" t="s">
        <v>2541</v>
      </c>
      <c r="I17" s="266" t="s">
        <v>1147</v>
      </c>
      <c r="J17" s="223" t="str">
        <f>'WetLitterbags placem_collection'!K18</f>
        <v>G405</v>
      </c>
      <c r="K17" s="225">
        <f>IFERROR(INDEX('Green_rooibos initial weight'!$C$5:$C$1749,MATCH(J17, 'Green_rooibos initial weight'!$A$5:$A$1749,0)),"")</f>
        <v>2.056</v>
      </c>
      <c r="L17" s="225">
        <f>IFERROR(K17-(TBIcalc!$H$9+TBIcalc!$H$10),"")</f>
        <v>1.8062</v>
      </c>
      <c r="M17" s="391">
        <f>AVERAGE(Ashed_controlls!$K$2:$K$11)</f>
        <v>5.5147656768714146</v>
      </c>
      <c r="N17" s="225">
        <f t="shared" si="1"/>
        <v>1.7065923023443486</v>
      </c>
      <c r="O17" s="225">
        <f>IF(IFERROR(INDEX('Both teabags AfterWet'!$C$3:$C$841,MATCH(J17,'Both teabags AfterWet'!$A$3:$A$841,0)),"")="","",(IFERROR(INDEX('Both teabags AfterWet'!$C$3:$C$841,MATCH(J17,'Both teabags AfterWet'!$A$3:$A$841,0)),"")))</f>
        <v>0.70150000000000001</v>
      </c>
      <c r="P17" s="225">
        <f>IFERROR(IF(O17&gt;0,O17-(TBIcalc!$H$9),""),"")</f>
        <v>0.55089999999999995</v>
      </c>
      <c r="Q17" s="225">
        <f>IFERROR(INDEX('Ashed teabags wet'!$K$2:$K$821,MATCH(J17,'Ashed teabags wet'!$A$2:$A$821,0)),"")</f>
        <v>15.725413826680606</v>
      </c>
      <c r="R17" s="225">
        <f t="shared" si="6"/>
        <v>0.46426869522881647</v>
      </c>
      <c r="S17" s="226">
        <f>'WetLitterbags placem_collection'!E18</f>
        <v>42766</v>
      </c>
      <c r="T17" s="226">
        <f>IF('WetLitterbags placem_collection'!G18="","",'WetLitterbags placem_collection'!G18)</f>
        <v>42818</v>
      </c>
      <c r="U17" s="227">
        <f t="shared" si="3"/>
        <v>52</v>
      </c>
      <c r="V17" s="225">
        <f t="shared" si="4"/>
        <v>1.2553000000000001</v>
      </c>
      <c r="W17" s="225">
        <f t="shared" si="5"/>
        <v>1.2423236071155321</v>
      </c>
      <c r="X17">
        <f>IFERROR(INDEX(Rainfall_Wet!$O$2:$O$217,MATCH(B17, Rainfall_Wet!$A$2:$A$217,0)),"")</f>
        <v>194.43839254400001</v>
      </c>
      <c r="Y17" s="231">
        <v>21.13063730679653</v>
      </c>
      <c r="Z17" s="231">
        <v>3.0912555579081076</v>
      </c>
      <c r="AA17" s="231">
        <v>75.778107135295357</v>
      </c>
      <c r="AB17" s="232" t="s">
        <v>2670</v>
      </c>
      <c r="AC17" s="231">
        <v>7.4613109906357797</v>
      </c>
      <c r="AD17">
        <f>IF('WetLitterbags placem_collection'!AB18="","",'WetLitterbags placem_collection'!AB18)</f>
        <v>8</v>
      </c>
      <c r="AE17">
        <f>IF('WetLitterbags placem_collection'!Z18="","",'WetLitterbags placem_collection'!Z18)</f>
        <v>12.4</v>
      </c>
      <c r="AF17" s="246" t="str">
        <f>IF('WetLitterbags placem_collection'!AA18="","",'WetLitterbags placem_collection'!AA18)</f>
        <v>M</v>
      </c>
      <c r="AG17">
        <f>IF('WetLitterbags placem_collection'!AC18="","",'WetLitterbags placem_collection'!AC18)</f>
        <v>0</v>
      </c>
      <c r="AH17" s="24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placem_collection'!V18)),"YES","NO")</f>
        <v>NO</v>
      </c>
      <c r="AM17" t="str">
        <f>IF(ISNUMBER(SEARCH("H", 'WetLitterbags placem_collection'!V18)),"YES","NO")</f>
        <v>YES</v>
      </c>
      <c r="AN17" t="str">
        <f>IF(ISNUMBER(SEARCH("R", 'WetLitterbags placem_collection'!V18)),"YES","NO")</f>
        <v>YES</v>
      </c>
    </row>
    <row r="18" spans="1:40">
      <c r="A18" s="258" t="s">
        <v>2460</v>
      </c>
      <c r="B18" s="263">
        <f>'Dry_Litterbag Placem_Collection'!A19</f>
        <v>17</v>
      </c>
      <c r="C18" s="263" t="str">
        <f>'Dry_Litterbag Placem_Collection'!B19</f>
        <v>Makao</v>
      </c>
      <c r="D18" s="263" t="s">
        <v>2659</v>
      </c>
      <c r="E18" s="263" t="s">
        <v>2660</v>
      </c>
      <c r="F18" s="263">
        <v>3</v>
      </c>
      <c r="G18" s="264" t="str">
        <f>'Dry_Litterbag Placem_Collection'!C19</f>
        <v>Dry_Ag3_T1</v>
      </c>
      <c r="H18" s="265" t="s">
        <v>2541</v>
      </c>
      <c r="I18" s="266" t="s">
        <v>1147</v>
      </c>
      <c r="J18" s="223" t="str">
        <f>'WetLitterbags placem_collection'!K19</f>
        <v>G571</v>
      </c>
      <c r="K18" s="225">
        <f>IFERROR(INDEX('Green_rooibos initial weight'!$C$5:$C$1749,MATCH(J18, 'Green_rooibos initial weight'!$A$5:$A$1749,0)),"")</f>
        <v>2.0489999999999999</v>
      </c>
      <c r="L18" s="225">
        <f>IFERROR(K18-(TBIcalc!$H$9+TBIcalc!$H$10),"")</f>
        <v>1.7991999999999999</v>
      </c>
      <c r="M18" s="391">
        <f>AVERAGE(Ashed_controlls!$K$2:$K$11)</f>
        <v>5.5147656768714146</v>
      </c>
      <c r="N18" s="225">
        <f t="shared" si="1"/>
        <v>1.6999783359417293</v>
      </c>
      <c r="O18" s="225">
        <f>IF(IFERROR(INDEX('Both teabags AfterWet'!$C$3:$C$841,MATCH(J18,'Both teabags AfterWet'!$A$3:$A$841,0)),"")="","",(IFERROR(INDEX('Both teabags AfterWet'!$C$3:$C$841,MATCH(J18,'Both teabags AfterWet'!$A$3:$A$841,0)),"")))</f>
        <v>0.67520000000000002</v>
      </c>
      <c r="P18" s="225">
        <f>IFERROR(IF(O18&gt;0,O18-(TBIcalc!$H$9),""),"")</f>
        <v>0.52459999999999996</v>
      </c>
      <c r="Q18" s="225">
        <f>IFERROR(INDEX('Ashed teabags wet'!$K$2:$K$821,MATCH(J18,'Ashed teabags wet'!$A$2:$A$821,0)),"")</f>
        <v>9.6710849288172405</v>
      </c>
      <c r="R18" s="225">
        <f t="shared" si="6"/>
        <v>0.47386548846342469</v>
      </c>
      <c r="S18" s="226">
        <f>'WetLitterbags placem_collection'!E19</f>
        <v>42767</v>
      </c>
      <c r="T18" s="226">
        <f>IF('WetLitterbags placem_collection'!G19="","",'WetLitterbags placem_collection'!G19)</f>
        <v>42818</v>
      </c>
      <c r="U18" s="227">
        <f t="shared" si="3"/>
        <v>51</v>
      </c>
      <c r="V18" s="225">
        <f t="shared" si="4"/>
        <v>1.2746</v>
      </c>
      <c r="W18" s="225">
        <f t="shared" si="5"/>
        <v>1.2261128474783045</v>
      </c>
      <c r="X18">
        <f>IFERROR(INDEX(Rainfall_Wet!$O$2:$O$217,MATCH(B18, Rainfall_Wet!$A$2:$A$217,0)),"")</f>
        <v>185.630065823</v>
      </c>
      <c r="Y18" s="231">
        <v>54.080969906906262</v>
      </c>
      <c r="Z18" s="231">
        <v>21.264484651351896</v>
      </c>
      <c r="AA18" s="231">
        <v>24.654545441741845</v>
      </c>
      <c r="AB18" s="232" t="s">
        <v>2673</v>
      </c>
      <c r="AC18" s="231">
        <v>1.8433218334154755</v>
      </c>
      <c r="AD18" t="str">
        <f>IF('WetLitterbags placem_collection'!AB19="","",'WetLitterbags placem_collection'!AB19)</f>
        <v/>
      </c>
      <c r="AE18" t="str">
        <f>IF('WetLitterbags placem_collection'!Z19="","",'WetLitterbags placem_collection'!Z19)</f>
        <v/>
      </c>
      <c r="AF18" s="246" t="str">
        <f>IF('WetLitterbags placem_collection'!AA19="","",'WetLitterbags placem_collection'!AA19)</f>
        <v/>
      </c>
      <c r="AG18" t="str">
        <f>IF('WetLitterbags placem_collection'!AC19="","",'WetLitterbags placem_collection'!AC19)</f>
        <v/>
      </c>
      <c r="AH18" s="24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placem_collection'!V19)),"YES","NO")</f>
        <v>NO</v>
      </c>
      <c r="AM18" t="str">
        <f>IF(ISNUMBER(SEARCH("H", 'WetLitterbags placem_collection'!V19)),"YES","NO")</f>
        <v>NO</v>
      </c>
      <c r="AN18" t="str">
        <f>IF(ISNUMBER(SEARCH("R", 'WetLitterbags placem_collection'!V19)),"YES","NO")</f>
        <v>NO</v>
      </c>
    </row>
    <row r="19" spans="1:40">
      <c r="A19" s="258" t="s">
        <v>2460</v>
      </c>
      <c r="B19" s="263">
        <f>'Dry_Litterbag Placem_Collection'!A20</f>
        <v>18</v>
      </c>
      <c r="C19" s="263" t="str">
        <f>'Dry_Litterbag Placem_Collection'!B20</f>
        <v>Makao</v>
      </c>
      <c r="D19" s="263" t="s">
        <v>2659</v>
      </c>
      <c r="E19" s="263" t="s">
        <v>2660</v>
      </c>
      <c r="F19" s="263">
        <v>3</v>
      </c>
      <c r="G19" s="264" t="str">
        <f>'Dry_Litterbag Placem_Collection'!C20</f>
        <v>Dry_Ag3_T2</v>
      </c>
      <c r="H19" s="265" t="s">
        <v>2541</v>
      </c>
      <c r="I19" s="266" t="s">
        <v>1147</v>
      </c>
      <c r="J19" s="223" t="str">
        <f>'WetLitterbags placem_collection'!K20</f>
        <v>G419</v>
      </c>
      <c r="K19" s="225">
        <f>IFERROR(INDEX('Green_rooibos initial weight'!$C$5:$C$1749,MATCH(J19, 'Green_rooibos initial weight'!$A$5:$A$1749,0)),"")</f>
        <v>2.0779999999999998</v>
      </c>
      <c r="L19" s="225">
        <f>IFERROR(K19-(TBIcalc!$H$9+TBIcalc!$H$10),"")</f>
        <v>1.8281999999999998</v>
      </c>
      <c r="M19" s="391">
        <f>AVERAGE(Ashed_controlls!$K$2:$K$11)</f>
        <v>5.5147656768714146</v>
      </c>
      <c r="N19" s="225">
        <f t="shared" si="1"/>
        <v>1.7273790538954366</v>
      </c>
      <c r="O19" s="225">
        <f>IF(IFERROR(INDEX('Both teabags AfterWet'!$C$3:$C$841,MATCH(J19,'Both teabags AfterWet'!$A$3:$A$841,0)),"")="","",(IFERROR(INDEX('Both teabags AfterWet'!$C$3:$C$841,MATCH(J19,'Both teabags AfterWet'!$A$3:$A$841,0)),"")))</f>
        <v>0.79100000000000004</v>
      </c>
      <c r="P19" s="225">
        <f>IFERROR(IF(O19&gt;0,O19-(TBIcalc!$H$9),""),"")</f>
        <v>0.64040000000000008</v>
      </c>
      <c r="Q19" s="225">
        <f>IFERROR(INDEX('Ashed teabags wet'!$K$2:$K$821,MATCH(J19,'Ashed teabags wet'!$A$2:$A$821,0)),"")</f>
        <v>15.166340508806261</v>
      </c>
      <c r="R19" s="225">
        <f t="shared" si="6"/>
        <v>0.54327475538160475</v>
      </c>
      <c r="S19" s="226">
        <f>'WetLitterbags placem_collection'!E20</f>
        <v>42767</v>
      </c>
      <c r="T19" s="226">
        <f>IF('WetLitterbags placem_collection'!G20="","",'WetLitterbags placem_collection'!G20)</f>
        <v>42818</v>
      </c>
      <c r="U19" s="227">
        <f t="shared" si="3"/>
        <v>51</v>
      </c>
      <c r="V19" s="225">
        <f t="shared" si="4"/>
        <v>1.1877999999999997</v>
      </c>
      <c r="W19" s="225">
        <f t="shared" si="5"/>
        <v>1.1841042985138319</v>
      </c>
      <c r="X19">
        <f>IFERROR(INDEX(Rainfall_Wet!$O$2:$O$217,MATCH(B19, Rainfall_Wet!$A$2:$A$217,0)),"")</f>
        <v>185.630065823</v>
      </c>
      <c r="Y19" s="231">
        <v>54.080969906906262</v>
      </c>
      <c r="Z19" s="231">
        <v>21.264484651351896</v>
      </c>
      <c r="AA19" s="231">
        <v>24.654545441741845</v>
      </c>
      <c r="AB19" s="232" t="s">
        <v>2673</v>
      </c>
      <c r="AC19" s="231">
        <v>2.8433218334154802</v>
      </c>
      <c r="AD19" t="str">
        <f>IF('WetLitterbags placem_collection'!AB20="","",'WetLitterbags placem_collection'!AB20)</f>
        <v/>
      </c>
      <c r="AE19" t="str">
        <f>IF('WetLitterbags placem_collection'!Z20="","",'WetLitterbags placem_collection'!Z20)</f>
        <v/>
      </c>
      <c r="AF19" s="246" t="str">
        <f>IF('WetLitterbags placem_collection'!AA20="","",'WetLitterbags placem_collection'!AA20)</f>
        <v/>
      </c>
      <c r="AG19" t="str">
        <f>IF('WetLitterbags placem_collection'!AC20="","",'WetLitterbags placem_collection'!AC20)</f>
        <v/>
      </c>
      <c r="AH19" s="24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placem_collection'!V20)),"YES","NO")</f>
        <v>NO</v>
      </c>
      <c r="AM19" t="str">
        <f>IF(ISNUMBER(SEARCH("H", 'WetLitterbags placem_collection'!V20)),"YES","NO")</f>
        <v>NO</v>
      </c>
      <c r="AN19" t="str">
        <f>IF(ISNUMBER(SEARCH("R", 'WetLitterbags placem_collection'!V20)),"YES","NO")</f>
        <v>YES</v>
      </c>
    </row>
    <row r="20" spans="1:40">
      <c r="A20" s="258" t="s">
        <v>2460</v>
      </c>
      <c r="B20" s="263">
        <f>'Dry_Litterbag Placem_Collection'!A21</f>
        <v>19</v>
      </c>
      <c r="C20" s="263" t="str">
        <f>'Dry_Litterbag Placem_Collection'!B21</f>
        <v>Makao</v>
      </c>
      <c r="D20" s="263" t="s">
        <v>2659</v>
      </c>
      <c r="E20" s="263" t="s">
        <v>2660</v>
      </c>
      <c r="F20" s="263">
        <v>3</v>
      </c>
      <c r="G20" s="264" t="str">
        <f>'Dry_Litterbag Placem_Collection'!C21</f>
        <v>Dry_Ag3_T3</v>
      </c>
      <c r="H20" s="265" t="s">
        <v>2541</v>
      </c>
      <c r="I20" s="266" t="s">
        <v>1147</v>
      </c>
      <c r="J20" s="223" t="str">
        <f>'WetLitterbags placem_collection'!K21</f>
        <v>G240</v>
      </c>
      <c r="K20" s="225">
        <f>IFERROR(INDEX('Green_rooibos initial weight'!$C$5:$C$1749,MATCH(J20, 'Green_rooibos initial weight'!$A$5:$A$1749,0)),"")</f>
        <v>2.117</v>
      </c>
      <c r="L20" s="225">
        <f>IFERROR(K20-(TBIcalc!$H$9+TBIcalc!$H$10),"")</f>
        <v>1.8672</v>
      </c>
      <c r="M20" s="391">
        <f>AVERAGE(Ashed_controlls!$K$2:$K$11)</f>
        <v>5.5147656768714146</v>
      </c>
      <c r="N20" s="225">
        <f t="shared" si="1"/>
        <v>1.764228295281457</v>
      </c>
      <c r="O20" s="225">
        <f>IF(IFERROR(INDEX('Both teabags AfterWet'!$C$3:$C$841,MATCH(J20,'Both teabags AfterWet'!$A$3:$A$841,0)),"")="","",(IFERROR(INDEX('Both teabags AfterWet'!$C$3:$C$841,MATCH(J20,'Both teabags AfterWet'!$A$3:$A$841,0)),"")))</f>
        <v>0.88690000000000002</v>
      </c>
      <c r="P20" s="225">
        <f>IFERROR(IF(O20&gt;0,O20-(TBIcalc!$H$9),""),"")</f>
        <v>0.73629999999999995</v>
      </c>
      <c r="Q20" s="225">
        <f>IFERROR(INDEX('Ashed teabags wet'!$K$2:$K$821,MATCH(J20,'Ashed teabags wet'!$A$2:$A$821,0)),"")</f>
        <v>18.480392156862031</v>
      </c>
      <c r="R20" s="225">
        <f t="shared" si="6"/>
        <v>0.60022887254902479</v>
      </c>
      <c r="S20" s="226">
        <f>'WetLitterbags placem_collection'!E21</f>
        <v>42767</v>
      </c>
      <c r="T20" s="226">
        <f>IF('WetLitterbags placem_collection'!G21="","",'WetLitterbags placem_collection'!G21)</f>
        <v>42818</v>
      </c>
      <c r="U20" s="227">
        <f t="shared" si="3"/>
        <v>51</v>
      </c>
      <c r="V20" s="225">
        <f t="shared" si="4"/>
        <v>1.1309</v>
      </c>
      <c r="W20" s="225">
        <f t="shared" si="5"/>
        <v>1.1639994227324322</v>
      </c>
      <c r="X20">
        <f>IFERROR(INDEX(Rainfall_Wet!$O$2:$O$217,MATCH(B20, Rainfall_Wet!$A$2:$A$217,0)),"")</f>
        <v>185.630065823</v>
      </c>
      <c r="Y20" s="231">
        <v>54.080969906906262</v>
      </c>
      <c r="Z20" s="231">
        <v>21.264484651351896</v>
      </c>
      <c r="AA20" s="231">
        <v>24.654545441741845</v>
      </c>
      <c r="AB20" s="232" t="s">
        <v>2673</v>
      </c>
      <c r="AC20" s="231">
        <v>3.8433218334154802</v>
      </c>
      <c r="AD20" t="str">
        <f>IF('WetLitterbags placem_collection'!AB21="","",'WetLitterbags placem_collection'!AB21)</f>
        <v/>
      </c>
      <c r="AE20" t="str">
        <f>IF('WetLitterbags placem_collection'!Z21="","",'WetLitterbags placem_collection'!Z21)</f>
        <v/>
      </c>
      <c r="AF20" s="246" t="str">
        <f>IF('WetLitterbags placem_collection'!AA21="","",'WetLitterbags placem_collection'!AA21)</f>
        <v/>
      </c>
      <c r="AG20" t="str">
        <f>IF('WetLitterbags placem_collection'!AC21="","",'WetLitterbags placem_collection'!AC21)</f>
        <v/>
      </c>
      <c r="AH20" s="24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placem_collection'!V21)),"YES","NO")</f>
        <v>NO</v>
      </c>
      <c r="AM20" t="str">
        <f>IF(ISNUMBER(SEARCH("H", 'WetLitterbags placem_collection'!V21)),"YES","NO")</f>
        <v>NO</v>
      </c>
      <c r="AN20" t="str">
        <f>IF(ISNUMBER(SEARCH("R", 'WetLitterbags placem_collection'!V21)),"YES","NO")</f>
        <v>NO</v>
      </c>
    </row>
    <row r="21" spans="1:40">
      <c r="A21" s="258" t="s">
        <v>2460</v>
      </c>
      <c r="B21" s="263">
        <f>'Dry_Litterbag Placem_Collection'!A22</f>
        <v>20</v>
      </c>
      <c r="C21" s="263" t="str">
        <f>'Dry_Litterbag Placem_Collection'!B22</f>
        <v>Makao</v>
      </c>
      <c r="D21" s="263" t="s">
        <v>2659</v>
      </c>
      <c r="E21" s="263" t="s">
        <v>2660</v>
      </c>
      <c r="F21" s="263">
        <v>3</v>
      </c>
      <c r="G21" s="264" t="str">
        <f>'Dry_Litterbag Placem_Collection'!C22</f>
        <v>Dry_Ag3_T4</v>
      </c>
      <c r="H21" s="265" t="s">
        <v>2541</v>
      </c>
      <c r="I21" s="266" t="s">
        <v>1147</v>
      </c>
      <c r="J21" s="223" t="str">
        <f>'WetLitterbags placem_collection'!K22</f>
        <v>G524</v>
      </c>
      <c r="K21" s="225">
        <f>IFERROR(INDEX('Green_rooibos initial weight'!$C$5:$C$1749,MATCH(J21, 'Green_rooibos initial weight'!$A$5:$A$1749,0)),"")</f>
        <v>1.962</v>
      </c>
      <c r="L21" s="225">
        <f>IFERROR(K21-(TBIcalc!$H$9+TBIcalc!$H$10),"")</f>
        <v>1.7121999999999999</v>
      </c>
      <c r="M21" s="391">
        <f>AVERAGE(Ashed_controlls!$K$2:$K$11)</f>
        <v>5.5147656768714146</v>
      </c>
      <c r="N21" s="225">
        <f t="shared" si="1"/>
        <v>1.6177761820806076</v>
      </c>
      <c r="O21" s="225">
        <f>IF(IFERROR(INDEX('Both teabags AfterWet'!$C$3:$C$841,MATCH(J21,'Both teabags AfterWet'!$A$3:$A$841,0)),"")="","",(IFERROR(INDEX('Both teabags AfterWet'!$C$3:$C$841,MATCH(J21,'Both teabags AfterWet'!$A$3:$A$841,0)),"")))</f>
        <v>0.71609999999999996</v>
      </c>
      <c r="P21" s="225">
        <f>IFERROR(IF(O21&gt;0,O21-(TBIcalc!$H$9),""),"")</f>
        <v>0.56549999999999989</v>
      </c>
      <c r="Q21" s="225">
        <f>IFERROR(INDEX('Ashed teabags wet'!$K$2:$K$821,MATCH(J21,'Ashed teabags wet'!$A$2:$A$821,0)),"")</f>
        <v>12.986381322956955</v>
      </c>
      <c r="R21" s="225">
        <f t="shared" si="6"/>
        <v>0.4920620136186783</v>
      </c>
      <c r="S21" s="226">
        <f>'WetLitterbags placem_collection'!E22</f>
        <v>42767</v>
      </c>
      <c r="T21" s="226">
        <f>IF('WetLitterbags placem_collection'!G22="","",'WetLitterbags placem_collection'!G22)</f>
        <v>42818</v>
      </c>
      <c r="U21" s="227">
        <f t="shared" si="3"/>
        <v>51</v>
      </c>
      <c r="V21" s="225">
        <f t="shared" si="4"/>
        <v>1.1467000000000001</v>
      </c>
      <c r="W21" s="225">
        <f t="shared" si="5"/>
        <v>1.1257141684619292</v>
      </c>
      <c r="X21">
        <f>IFERROR(INDEX(Rainfall_Wet!$O$2:$O$217,MATCH(B21, Rainfall_Wet!$A$2:$A$217,0)),"")</f>
        <v>185.630065823</v>
      </c>
      <c r="Y21" s="231">
        <v>54.080969906906262</v>
      </c>
      <c r="Z21" s="231">
        <v>21.264484651351896</v>
      </c>
      <c r="AA21" s="231">
        <v>24.654545441741845</v>
      </c>
      <c r="AB21" s="232" t="s">
        <v>2673</v>
      </c>
      <c r="AC21" s="231">
        <v>4.8433218334154802</v>
      </c>
      <c r="AD21" t="str">
        <f>IF('WetLitterbags placem_collection'!AB22="","",'WetLitterbags placem_collection'!AB22)</f>
        <v/>
      </c>
      <c r="AE21" t="str">
        <f>IF('WetLitterbags placem_collection'!Z22="","",'WetLitterbags placem_collection'!Z22)</f>
        <v/>
      </c>
      <c r="AF21" s="246" t="str">
        <f>IF('WetLitterbags placem_collection'!AA22="","",'WetLitterbags placem_collection'!AA22)</f>
        <v/>
      </c>
      <c r="AG21" t="str">
        <f>IF('WetLitterbags placem_collection'!AC22="","",'WetLitterbags placem_collection'!AC22)</f>
        <v/>
      </c>
      <c r="AH21" s="24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placem_collection'!V22)),"YES","NO")</f>
        <v>NO</v>
      </c>
      <c r="AM21" t="str">
        <f>IF(ISNUMBER(SEARCH("H", 'WetLitterbags placem_collection'!V22)),"YES","NO")</f>
        <v>NO</v>
      </c>
      <c r="AN21" t="str">
        <f>IF(ISNUMBER(SEARCH("R", 'WetLitterbags placem_collection'!V22)),"YES","NO")</f>
        <v>NO</v>
      </c>
    </row>
    <row r="22" spans="1:40">
      <c r="A22" s="258" t="s">
        <v>2460</v>
      </c>
      <c r="B22" s="263">
        <f>'Dry_Litterbag Placem_Collection'!A23</f>
        <v>21</v>
      </c>
      <c r="C22" s="263" t="str">
        <f>'Dry_Litterbag Placem_Collection'!B23</f>
        <v>Makao</v>
      </c>
      <c r="D22" s="263" t="s">
        <v>2659</v>
      </c>
      <c r="E22" s="263" t="s">
        <v>2660</v>
      </c>
      <c r="F22" s="263">
        <v>3</v>
      </c>
      <c r="G22" s="264" t="str">
        <f>'Dry_Litterbag Placem_Collection'!C23</f>
        <v>Dry_Ag3_T5</v>
      </c>
      <c r="H22" s="265" t="s">
        <v>2541</v>
      </c>
      <c r="I22" s="266" t="s">
        <v>1147</v>
      </c>
      <c r="J22" s="223" t="str">
        <f>'WetLitterbags placem_collection'!K23</f>
        <v>G699</v>
      </c>
      <c r="K22" s="225">
        <f>IFERROR(INDEX('Green_rooibos initial weight'!$C$5:$C$1749,MATCH(J22, 'Green_rooibos initial weight'!$A$5:$A$1749,0)),"")</f>
        <v>1.984</v>
      </c>
      <c r="L22" s="225">
        <f>IFERROR(K22-(TBIcalc!$H$9+TBIcalc!$H$10),"")</f>
        <v>1.7342</v>
      </c>
      <c r="M22" s="391">
        <f>AVERAGE(Ashed_controlls!$K$2:$K$11)</f>
        <v>5.5147656768714146</v>
      </c>
      <c r="N22" s="225">
        <f t="shared" si="1"/>
        <v>1.6385629336316958</v>
      </c>
      <c r="O22" s="225">
        <f>IF(IFERROR(INDEX('Both teabags AfterWet'!$C$3:$C$841,MATCH(J22,'Both teabags AfterWet'!$A$3:$A$841,0)),"")="","",(IFERROR(INDEX('Both teabags AfterWet'!$C$3:$C$841,MATCH(J22,'Both teabags AfterWet'!$A$3:$A$841,0)),"")))</f>
        <v>0.7389</v>
      </c>
      <c r="P22" s="225">
        <f>IFERROR(IF(O22&gt;0,O22-(TBIcalc!$H$9),""),"")</f>
        <v>0.58830000000000005</v>
      </c>
      <c r="Q22" s="225">
        <f>IFERROR(INDEX('Ashed teabags wet'!$K$2:$K$821,MATCH(J22,'Ashed teabags wet'!$A$2:$A$821,0)),"")</f>
        <v>10.099009900989453</v>
      </c>
      <c r="R22" s="225">
        <f t="shared" si="6"/>
        <v>0.52888752475247913</v>
      </c>
      <c r="S22" s="226">
        <f>'WetLitterbags placem_collection'!E23</f>
        <v>42767</v>
      </c>
      <c r="T22" s="226">
        <f>IF('WetLitterbags placem_collection'!G23="","",'WetLitterbags placem_collection'!G23)</f>
        <v>42818</v>
      </c>
      <c r="U22" s="227">
        <f t="shared" si="3"/>
        <v>51</v>
      </c>
      <c r="V22" s="225">
        <f t="shared" si="4"/>
        <v>1.1458999999999999</v>
      </c>
      <c r="W22" s="225">
        <f t="shared" si="5"/>
        <v>1.1096754088792167</v>
      </c>
      <c r="X22">
        <f>IFERROR(INDEX(Rainfall_Wet!$O$2:$O$217,MATCH(B22, Rainfall_Wet!$A$2:$A$217,0)),"")</f>
        <v>185.630065823</v>
      </c>
      <c r="Y22" s="231">
        <v>54.080969906906262</v>
      </c>
      <c r="Z22" s="231">
        <v>21.264484651351896</v>
      </c>
      <c r="AA22" s="231">
        <v>24.654545441741845</v>
      </c>
      <c r="AB22" s="232" t="s">
        <v>2673</v>
      </c>
      <c r="AC22" s="231">
        <v>5.8433218334154802</v>
      </c>
      <c r="AD22" t="str">
        <f>IF('WetLitterbags placem_collection'!AB23="","",'WetLitterbags placem_collection'!AB23)</f>
        <v/>
      </c>
      <c r="AE22" t="str">
        <f>IF('WetLitterbags placem_collection'!Z23="","",'WetLitterbags placem_collection'!Z23)</f>
        <v/>
      </c>
      <c r="AF22" s="246" t="str">
        <f>IF('WetLitterbags placem_collection'!AA23="","",'WetLitterbags placem_collection'!AA23)</f>
        <v/>
      </c>
      <c r="AG22" t="str">
        <f>IF('WetLitterbags placem_collection'!AC23="","",'WetLitterbags placem_collection'!AC23)</f>
        <v/>
      </c>
      <c r="AH22" s="24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placem_collection'!V23)),"YES","NO")</f>
        <v>NO</v>
      </c>
      <c r="AM22" t="str">
        <f>IF(ISNUMBER(SEARCH("H", 'WetLitterbags placem_collection'!V23)),"YES","NO")</f>
        <v>NO</v>
      </c>
      <c r="AN22" t="str">
        <f>IF(ISNUMBER(SEARCH("R", 'WetLitterbags placem_collection'!V23)),"YES","NO")</f>
        <v>YES</v>
      </c>
    </row>
    <row r="23" spans="1:40">
      <c r="A23" s="258" t="s">
        <v>2460</v>
      </c>
      <c r="B23" s="263">
        <f>'Dry_Litterbag Placem_Collection'!A24</f>
        <v>22</v>
      </c>
      <c r="C23" s="263" t="str">
        <f>'Dry_Litterbag Placem_Collection'!B24</f>
        <v>Makao</v>
      </c>
      <c r="D23" s="263" t="s">
        <v>2659</v>
      </c>
      <c r="E23" s="263" t="s">
        <v>2660</v>
      </c>
      <c r="F23" s="263">
        <v>3</v>
      </c>
      <c r="G23" s="264" t="str">
        <f>'Dry_Litterbag Placem_Collection'!C24</f>
        <v>Dry_Ag3_T6</v>
      </c>
      <c r="H23" s="265" t="s">
        <v>2541</v>
      </c>
      <c r="I23" s="266" t="s">
        <v>1147</v>
      </c>
      <c r="J23" s="223" t="str">
        <f>'WetLitterbags placem_collection'!K24</f>
        <v>G575</v>
      </c>
      <c r="K23" s="225">
        <f>IFERROR(INDEX('Green_rooibos initial weight'!$C$5:$C$1749,MATCH(J23, 'Green_rooibos initial weight'!$A$5:$A$1749,0)),"")</f>
        <v>1.9970000000000001</v>
      </c>
      <c r="L23" s="225">
        <f>IFERROR(K23-(TBIcalc!$H$9+TBIcalc!$H$10),"")</f>
        <v>1.7472000000000001</v>
      </c>
      <c r="M23" s="391">
        <f>AVERAGE(Ashed_controlls!$K$2:$K$11)</f>
        <v>5.5147656768714146</v>
      </c>
      <c r="N23" s="225">
        <f t="shared" si="1"/>
        <v>1.6508460140937027</v>
      </c>
      <c r="O23" s="225">
        <f>IF(IFERROR(INDEX('Both teabags AfterWet'!$C$3:$C$841,MATCH(J23,'Both teabags AfterWet'!$A$3:$A$841,0)),"")="","",(IFERROR(INDEX('Both teabags AfterWet'!$C$3:$C$841,MATCH(J23,'Both teabags AfterWet'!$A$3:$A$841,0)),"")))</f>
        <v>0.74019999999999997</v>
      </c>
      <c r="P23" s="225">
        <f>IFERROR(IF(O23&gt;0,O23-(TBIcalc!$H$9),""),"")</f>
        <v>0.5895999999999999</v>
      </c>
      <c r="Q23" s="225">
        <f>IFERROR(INDEX('Ashed teabags wet'!$K$2:$K$821,MATCH(J23,'Ashed teabags wet'!$A$2:$A$821,0)),"")</f>
        <v>9.8263027295288854</v>
      </c>
      <c r="R23" s="225">
        <f t="shared" si="6"/>
        <v>0.53166411910669764</v>
      </c>
      <c r="S23" s="226">
        <f>'WetLitterbags placem_collection'!E24</f>
        <v>42767</v>
      </c>
      <c r="T23" s="226">
        <f>IF('WetLitterbags placem_collection'!G24="","",'WetLitterbags placem_collection'!G24)</f>
        <v>42818</v>
      </c>
      <c r="U23" s="227">
        <f t="shared" si="3"/>
        <v>51</v>
      </c>
      <c r="V23" s="225">
        <f t="shared" si="4"/>
        <v>1.1576000000000002</v>
      </c>
      <c r="W23" s="225">
        <f t="shared" si="5"/>
        <v>1.1191818949870052</v>
      </c>
      <c r="X23">
        <f>IFERROR(INDEX(Rainfall_Wet!$O$2:$O$217,MATCH(B23, Rainfall_Wet!$A$2:$A$217,0)),"")</f>
        <v>185.630065823</v>
      </c>
      <c r="Y23" s="231">
        <v>54.080969906906262</v>
      </c>
      <c r="Z23" s="231">
        <v>21.264484651351896</v>
      </c>
      <c r="AA23" s="231">
        <v>24.654545441741845</v>
      </c>
      <c r="AB23" s="232" t="s">
        <v>2673</v>
      </c>
      <c r="AC23" s="231">
        <v>6.8433218334154802</v>
      </c>
      <c r="AD23" t="str">
        <f>IF('WetLitterbags placem_collection'!AB24="","",'WetLitterbags placem_collection'!AB24)</f>
        <v/>
      </c>
      <c r="AE23" t="str">
        <f>IF('WetLitterbags placem_collection'!Z24="","",'WetLitterbags placem_collection'!Z24)</f>
        <v/>
      </c>
      <c r="AF23" s="246" t="str">
        <f>IF('WetLitterbags placem_collection'!AA24="","",'WetLitterbags placem_collection'!AA24)</f>
        <v/>
      </c>
      <c r="AG23" t="str">
        <f>IF('WetLitterbags placem_collection'!AC24="","",'WetLitterbags placem_collection'!AC24)</f>
        <v/>
      </c>
      <c r="AH23" s="24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placem_collection'!V24)),"YES","NO")</f>
        <v>NO</v>
      </c>
      <c r="AM23" t="str">
        <f>IF(ISNUMBER(SEARCH("H", 'WetLitterbags placem_collection'!V24)),"YES","NO")</f>
        <v>NO</v>
      </c>
      <c r="AN23" t="str">
        <f>IF(ISNUMBER(SEARCH("R", 'WetLitterbags placem_collection'!V24)),"YES","NO")</f>
        <v>YES</v>
      </c>
    </row>
    <row r="24" spans="1:40">
      <c r="A24" s="258" t="s">
        <v>2460</v>
      </c>
      <c r="B24" s="263">
        <f>'Dry_Litterbag Placem_Collection'!A25</f>
        <v>23</v>
      </c>
      <c r="C24" s="263" t="str">
        <f>'Dry_Litterbag Placem_Collection'!B25</f>
        <v>Makao</v>
      </c>
      <c r="D24" s="263" t="s">
        <v>2659</v>
      </c>
      <c r="E24" s="263" t="s">
        <v>2660</v>
      </c>
      <c r="F24" s="263">
        <v>3</v>
      </c>
      <c r="G24" s="264" t="str">
        <f>'Dry_Litterbag Placem_Collection'!C25</f>
        <v>Dry_Ag3_T7</v>
      </c>
      <c r="H24" s="265" t="s">
        <v>2541</v>
      </c>
      <c r="I24" s="266" t="s">
        <v>1147</v>
      </c>
      <c r="J24" s="223" t="str">
        <f>'WetLitterbags placem_collection'!K25</f>
        <v>G492</v>
      </c>
      <c r="K24" s="225">
        <f>IFERROR(INDEX('Green_rooibos initial weight'!$C$5:$C$1749,MATCH(J24, 'Green_rooibos initial weight'!$A$5:$A$1749,0)),"")</f>
        <v>1.948</v>
      </c>
      <c r="L24" s="225">
        <f>IFERROR(K24-(TBIcalc!$H$9+TBIcalc!$H$10),"")</f>
        <v>1.6981999999999999</v>
      </c>
      <c r="M24" s="391">
        <f>AVERAGE(Ashed_controlls!$K$2:$K$11)</f>
        <v>5.5147656768714146</v>
      </c>
      <c r="N24" s="225">
        <f t="shared" si="1"/>
        <v>1.6045482492753695</v>
      </c>
      <c r="O24" s="225">
        <f>IF(IFERROR(INDEX('Both teabags AfterWet'!$C$3:$C$841,MATCH(J24,'Both teabags AfterWet'!$A$3:$A$841,0)),"")="","",(IFERROR(INDEX('Both teabags AfterWet'!$C$3:$C$841,MATCH(J24,'Both teabags AfterWet'!$A$3:$A$841,0)),"")))</f>
        <v>0.76959999999999995</v>
      </c>
      <c r="P24" s="225">
        <f>IFERROR(IF(O24&gt;0,O24-(TBIcalc!$H$9),""),"")</f>
        <v>0.61899999999999999</v>
      </c>
      <c r="Q24" s="225">
        <f>IFERROR(INDEX('Ashed teabags wet'!$K$2:$K$821,MATCH(J24,'Ashed teabags wet'!$A$2:$A$821,0)),"")</f>
        <v>11.478696741854373</v>
      </c>
      <c r="R24" s="225">
        <f t="shared" si="6"/>
        <v>0.5479468671679214</v>
      </c>
      <c r="S24" s="226">
        <f>'WetLitterbags placem_collection'!E25</f>
        <v>42767</v>
      </c>
      <c r="T24" s="226">
        <f>IF('WetLitterbags placem_collection'!G25="","",'WetLitterbags placem_collection'!G25)</f>
        <v>42818</v>
      </c>
      <c r="U24" s="227">
        <f t="shared" si="3"/>
        <v>51</v>
      </c>
      <c r="V24" s="225">
        <f t="shared" si="4"/>
        <v>1.0791999999999999</v>
      </c>
      <c r="W24" s="225">
        <f t="shared" si="5"/>
        <v>1.056601382107448</v>
      </c>
      <c r="X24">
        <f>IFERROR(INDEX(Rainfall_Wet!$O$2:$O$217,MATCH(B24, Rainfall_Wet!$A$2:$A$217,0)),"")</f>
        <v>185.630065823</v>
      </c>
      <c r="Y24" s="231">
        <v>54.080969906906262</v>
      </c>
      <c r="Z24" s="231">
        <v>21.264484651351896</v>
      </c>
      <c r="AA24" s="231">
        <v>24.654545441741845</v>
      </c>
      <c r="AB24" s="232" t="s">
        <v>2673</v>
      </c>
      <c r="AC24" s="231">
        <v>7.8433218334154802</v>
      </c>
      <c r="AD24" t="str">
        <f>IF('WetLitterbags placem_collection'!AB25="","",'WetLitterbags placem_collection'!AB25)</f>
        <v/>
      </c>
      <c r="AE24" t="str">
        <f>IF('WetLitterbags placem_collection'!Z25="","",'WetLitterbags placem_collection'!Z25)</f>
        <v/>
      </c>
      <c r="AF24" s="246" t="str">
        <f>IF('WetLitterbags placem_collection'!AA25="","",'WetLitterbags placem_collection'!AA25)</f>
        <v/>
      </c>
      <c r="AG24" t="str">
        <f>IF('WetLitterbags placem_collection'!AC25="","",'WetLitterbags placem_collection'!AC25)</f>
        <v/>
      </c>
      <c r="AH24" s="24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placem_collection'!V25)),"YES","NO")</f>
        <v>NO</v>
      </c>
      <c r="AM24" t="str">
        <f>IF(ISNUMBER(SEARCH("H", 'WetLitterbags placem_collection'!V25)),"YES","NO")</f>
        <v>NO</v>
      </c>
      <c r="AN24" t="str">
        <f>IF(ISNUMBER(SEARCH("R", 'WetLitterbags placem_collection'!V25)),"YES","NO")</f>
        <v>YES</v>
      </c>
    </row>
    <row r="25" spans="1:40">
      <c r="A25" s="258" t="s">
        <v>2460</v>
      </c>
      <c r="B25" s="263">
        <f>'Dry_Litterbag Placem_Collection'!A26</f>
        <v>24</v>
      </c>
      <c r="C25" s="263" t="str">
        <f>'Dry_Litterbag Placem_Collection'!B26</f>
        <v>Makao</v>
      </c>
      <c r="D25" s="263" t="s">
        <v>2659</v>
      </c>
      <c r="E25" s="263" t="s">
        <v>2660</v>
      </c>
      <c r="F25" s="263">
        <v>3</v>
      </c>
      <c r="G25" s="264" t="str">
        <f>'Dry_Litterbag Placem_Collection'!C26</f>
        <v>Dry_Ag3_T8</v>
      </c>
      <c r="H25" s="265" t="s">
        <v>2541</v>
      </c>
      <c r="I25" s="266" t="s">
        <v>1147</v>
      </c>
      <c r="J25" s="223" t="str">
        <f>'WetLitterbags placem_collection'!K26</f>
        <v>G813</v>
      </c>
      <c r="K25" s="225">
        <f>IFERROR(INDEX('Green_rooibos initial weight'!$C$5:$C$1749,MATCH(J25, 'Green_rooibos initial weight'!$A$5:$A$1749,0)),"")</f>
        <v>1.9550000000000001</v>
      </c>
      <c r="L25" s="225">
        <f>IFERROR(K25-(TBIcalc!$H$9+TBIcalc!$H$10),"")</f>
        <v>1.7052</v>
      </c>
      <c r="M25" s="391">
        <f>AVERAGE(Ashed_controlls!$K$2:$K$11)</f>
        <v>5.5147656768714146</v>
      </c>
      <c r="N25" s="225">
        <f t="shared" si="1"/>
        <v>1.6111622156779888</v>
      </c>
      <c r="O25" s="225">
        <f>IF(IFERROR(INDEX('Both teabags AfterWet'!$C$3:$C$841,MATCH(J25,'Both teabags AfterWet'!$A$3:$A$841,0)),"")="","",(IFERROR(INDEX('Both teabags AfterWet'!$C$3:$C$841,MATCH(J25,'Both teabags AfterWet'!$A$3:$A$841,0)),"")))</f>
        <v>0.74790000000000001</v>
      </c>
      <c r="P25" s="225">
        <f>IFERROR(IF(O25&gt;0,O25-(TBIcalc!$H$9),""),"")</f>
        <v>0.59729999999999994</v>
      </c>
      <c r="Q25" s="225">
        <f>IFERROR(INDEX('Ashed teabags wet'!$K$2:$K$821,MATCH(J25,'Ashed teabags wet'!$A$2:$A$821,0)),"")</f>
        <v>11.584158415841873</v>
      </c>
      <c r="R25" s="225">
        <f t="shared" si="6"/>
        <v>0.52810782178217641</v>
      </c>
      <c r="S25" s="226">
        <f>'WetLitterbags placem_collection'!E26</f>
        <v>42767</v>
      </c>
      <c r="T25" s="226">
        <f>IF('WetLitterbags placem_collection'!G26="","",'WetLitterbags placem_collection'!G26)</f>
        <v>42818</v>
      </c>
      <c r="U25" s="227">
        <f t="shared" si="3"/>
        <v>51</v>
      </c>
      <c r="V25" s="225">
        <f t="shared" si="4"/>
        <v>1.1079000000000001</v>
      </c>
      <c r="W25" s="225">
        <f t="shared" si="5"/>
        <v>1.0830543938958124</v>
      </c>
      <c r="X25">
        <f>IFERROR(INDEX(Rainfall_Wet!$O$2:$O$217,MATCH(B25, Rainfall_Wet!$A$2:$A$217,0)),"")</f>
        <v>185.630065823</v>
      </c>
      <c r="Y25" s="231">
        <v>54.080969906906262</v>
      </c>
      <c r="Z25" s="231">
        <v>21.264484651351896</v>
      </c>
      <c r="AA25" s="231">
        <v>24.654545441741845</v>
      </c>
      <c r="AB25" s="232" t="s">
        <v>2673</v>
      </c>
      <c r="AC25" s="231">
        <v>8.8433218334154695</v>
      </c>
      <c r="AD25" t="str">
        <f>IF('WetLitterbags placem_collection'!AB26="","",'WetLitterbags placem_collection'!AB26)</f>
        <v/>
      </c>
      <c r="AE25" t="str">
        <f>IF('WetLitterbags placem_collection'!Z26="","",'WetLitterbags placem_collection'!Z26)</f>
        <v/>
      </c>
      <c r="AF25" s="246" t="str">
        <f>IF('WetLitterbags placem_collection'!AA26="","",'WetLitterbags placem_collection'!AA26)</f>
        <v/>
      </c>
      <c r="AG25" t="str">
        <f>IF('WetLitterbags placem_collection'!AC26="","",'WetLitterbags placem_collection'!AC26)</f>
        <v/>
      </c>
      <c r="AH25" s="24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placem_collection'!V26)),"YES","NO")</f>
        <v>NO</v>
      </c>
      <c r="AM25" t="str">
        <f>IF(ISNUMBER(SEARCH("H", 'WetLitterbags placem_collection'!V26)),"YES","NO")</f>
        <v>NO</v>
      </c>
      <c r="AN25" t="str">
        <f>IF(ISNUMBER(SEARCH("R", 'WetLitterbags placem_collection'!V26)),"YES","NO")</f>
        <v>YES</v>
      </c>
    </row>
    <row r="26" spans="1:40">
      <c r="A26" s="258" t="s">
        <v>2460</v>
      </c>
      <c r="B26" s="263">
        <f>'Dry_Litterbag Placem_Collection'!A27</f>
        <v>25</v>
      </c>
      <c r="C26" s="263" t="str">
        <f>'Dry_Litterbag Placem_Collection'!B27</f>
        <v>Makao</v>
      </c>
      <c r="D26" s="263" t="s">
        <v>2659</v>
      </c>
      <c r="E26" s="263" t="s">
        <v>2660</v>
      </c>
      <c r="F26" s="263">
        <v>4</v>
      </c>
      <c r="G26" s="264" t="str">
        <f>'Dry_Litterbag Placem_Collection'!C27</f>
        <v>Dry_Ag4_T1</v>
      </c>
      <c r="H26" s="265" t="s">
        <v>2541</v>
      </c>
      <c r="I26" s="266" t="s">
        <v>1147</v>
      </c>
      <c r="J26" s="223" t="str">
        <f>'WetLitterbags placem_collection'!K27</f>
        <v>G406</v>
      </c>
      <c r="K26" s="225">
        <f>IFERROR(INDEX('Green_rooibos initial weight'!$C$5:$C$1749,MATCH(J26, 'Green_rooibos initial weight'!$A$5:$A$1749,0)),"")</f>
        <v>2.0910000000000002</v>
      </c>
      <c r="L26" s="225">
        <f>IFERROR(K26-(TBIcalc!$H$9+TBIcalc!$H$10),"")</f>
        <v>1.8412000000000002</v>
      </c>
      <c r="M26" s="391">
        <f>AVERAGE(Ashed_controlls!$K$2:$K$11)</f>
        <v>5.5147656768714146</v>
      </c>
      <c r="N26" s="225">
        <f t="shared" si="1"/>
        <v>1.7396621343574437</v>
      </c>
      <c r="O26" s="225">
        <f>IF(IFERROR(INDEX('Both teabags AfterWet'!$C$3:$C$841,MATCH(J26,'Both teabags AfterWet'!$A$3:$A$841,0)),"")="","",(IFERROR(INDEX('Both teabags AfterWet'!$C$3:$C$841,MATCH(J26,'Both teabags AfterWet'!$A$3:$A$841,0)),"")))</f>
        <v>0.68400000000000005</v>
      </c>
      <c r="P26" s="225">
        <f>IFERROR(IF(O26&gt;0,O26-(TBIcalc!$H$9),""),"")</f>
        <v>0.5334000000000001</v>
      </c>
      <c r="Q26" s="225">
        <f>IFERROR(INDEX('Ashed teabags wet'!$K$2:$K$821,MATCH(J26,'Ashed teabags wet'!$A$2:$A$821,0)),"")</f>
        <v>12.537313432835518</v>
      </c>
      <c r="R26" s="225">
        <f t="shared" si="6"/>
        <v>0.46652597014925545</v>
      </c>
      <c r="S26" s="226">
        <f>'WetLitterbags placem_collection'!E27</f>
        <v>42767</v>
      </c>
      <c r="T26" s="226">
        <f>IF('WetLitterbags placem_collection'!G27="","",'WetLitterbags placem_collection'!G27)</f>
        <v>42818</v>
      </c>
      <c r="U26" s="227">
        <f t="shared" si="3"/>
        <v>51</v>
      </c>
      <c r="V26" s="225">
        <f t="shared" si="4"/>
        <v>1.3078000000000001</v>
      </c>
      <c r="W26" s="225">
        <f t="shared" si="5"/>
        <v>1.2731361642081882</v>
      </c>
      <c r="X26">
        <f>IFERROR(INDEX(Rainfall_Wet!$O$2:$O$217,MATCH(B26, Rainfall_Wet!$A$2:$A$217,0)),"")</f>
        <v>185.630065823</v>
      </c>
      <c r="Y26" s="231">
        <v>51.960000000000008</v>
      </c>
      <c r="Z26" s="231">
        <v>18.919999999999995</v>
      </c>
      <c r="AA26" s="231">
        <v>29.120000000000005</v>
      </c>
      <c r="AB26" s="232" t="s">
        <v>2673</v>
      </c>
      <c r="AC26" s="231">
        <v>1.85293247905372</v>
      </c>
      <c r="AD26" t="str">
        <f>IF('WetLitterbags placem_collection'!AB27="","",'WetLitterbags placem_collection'!AB27)</f>
        <v/>
      </c>
      <c r="AE26" t="str">
        <f>IF('WetLitterbags placem_collection'!Z27="","",'WetLitterbags placem_collection'!Z27)</f>
        <v/>
      </c>
      <c r="AF26" s="246" t="str">
        <f>IF('WetLitterbags placem_collection'!AA27="","",'WetLitterbags placem_collection'!AA27)</f>
        <v/>
      </c>
      <c r="AG26" t="str">
        <f>IF('WetLitterbags placem_collection'!AC27="","",'WetLitterbags placem_collection'!AC27)</f>
        <v/>
      </c>
      <c r="AH26" s="24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placem_collection'!V27)),"YES","NO")</f>
        <v>NO</v>
      </c>
      <c r="AM26" t="str">
        <f>IF(ISNUMBER(SEARCH("H", 'WetLitterbags placem_collection'!V27)),"YES","NO")</f>
        <v>NO</v>
      </c>
      <c r="AN26" t="str">
        <f>IF(ISNUMBER(SEARCH("R", 'WetLitterbags placem_collection'!V27)),"YES","NO")</f>
        <v>NO</v>
      </c>
    </row>
    <row r="27" spans="1:40">
      <c r="A27" s="258" t="s">
        <v>2460</v>
      </c>
      <c r="B27" s="263">
        <f>'Dry_Litterbag Placem_Collection'!A28</f>
        <v>26</v>
      </c>
      <c r="C27" s="263" t="str">
        <f>'Dry_Litterbag Placem_Collection'!B28</f>
        <v>Makao</v>
      </c>
      <c r="D27" s="263" t="s">
        <v>2659</v>
      </c>
      <c r="E27" s="263" t="s">
        <v>2660</v>
      </c>
      <c r="F27" s="263">
        <v>4</v>
      </c>
      <c r="G27" s="264" t="str">
        <f>'Dry_Litterbag Placem_Collection'!C28</f>
        <v>Dry_Ag4_T2</v>
      </c>
      <c r="H27" s="265" t="s">
        <v>2541</v>
      </c>
      <c r="I27" s="266" t="s">
        <v>1147</v>
      </c>
      <c r="J27" s="223" t="str">
        <f>'WetLitterbags placem_collection'!K28</f>
        <v>G651</v>
      </c>
      <c r="K27" s="225">
        <f>IFERROR(INDEX('Green_rooibos initial weight'!$C$5:$C$1749,MATCH(J27, 'Green_rooibos initial weight'!$A$5:$A$1749,0)),"")</f>
        <v>1.97</v>
      </c>
      <c r="L27" s="225">
        <f>IFERROR(K27-(TBIcalc!$H$9+TBIcalc!$H$10),"")</f>
        <v>1.7202</v>
      </c>
      <c r="M27" s="391">
        <f>AVERAGE(Ashed_controlls!$K$2:$K$11)</f>
        <v>5.5147656768714146</v>
      </c>
      <c r="N27" s="225">
        <f t="shared" si="1"/>
        <v>1.6253350008264578</v>
      </c>
      <c r="O27" s="225">
        <f>IF(IFERROR(INDEX('Both teabags AfterWet'!$C$3:$C$841,MATCH(J27,'Both teabags AfterWet'!$A$3:$A$841,0)),"")="","",(IFERROR(INDEX('Both teabags AfterWet'!$C$3:$C$841,MATCH(J27,'Both teabags AfterWet'!$A$3:$A$841,0)),"")))</f>
        <v>0.77580000000000005</v>
      </c>
      <c r="P27" s="225">
        <f>IFERROR(IF(O27&gt;0,O27-(TBIcalc!$H$9),""),"")</f>
        <v>0.62519999999999998</v>
      </c>
      <c r="Q27" s="225">
        <f>IFERROR(INDEX('Ashed teabags wet'!$K$2:$K$821,MATCH(J27,'Ashed teabags wet'!$A$2:$A$821,0)),"")</f>
        <v>12.512218963832606</v>
      </c>
      <c r="R27" s="225">
        <f t="shared" si="6"/>
        <v>0.54697360703811859</v>
      </c>
      <c r="S27" s="226">
        <f>'WetLitterbags placem_collection'!E28</f>
        <v>42767</v>
      </c>
      <c r="T27" s="226">
        <f>IF('WetLitterbags placem_collection'!G28="","",'WetLitterbags placem_collection'!G28)</f>
        <v>42818</v>
      </c>
      <c r="U27" s="227">
        <f t="shared" si="3"/>
        <v>51</v>
      </c>
      <c r="V27" s="225">
        <f t="shared" si="4"/>
        <v>1.095</v>
      </c>
      <c r="W27" s="225">
        <f t="shared" si="5"/>
        <v>1.0783613937883392</v>
      </c>
      <c r="X27">
        <f>IFERROR(INDEX(Rainfall_Wet!$O$2:$O$217,MATCH(B27, Rainfall_Wet!$A$2:$A$217,0)),"")</f>
        <v>185.630065823</v>
      </c>
      <c r="Y27" s="231">
        <v>51.960000000000008</v>
      </c>
      <c r="Z27" s="231">
        <v>18.919999999999995</v>
      </c>
      <c r="AA27" s="231">
        <v>29.120000000000005</v>
      </c>
      <c r="AB27" s="232" t="s">
        <v>2673</v>
      </c>
      <c r="AC27" s="231">
        <v>2.8529324790537198</v>
      </c>
      <c r="AD27" t="str">
        <f>IF('WetLitterbags placem_collection'!AB28="","",'WetLitterbags placem_collection'!AB28)</f>
        <v/>
      </c>
      <c r="AE27" t="str">
        <f>IF('WetLitterbags placem_collection'!Z28="","",'WetLitterbags placem_collection'!Z28)</f>
        <v/>
      </c>
      <c r="AF27" s="246" t="str">
        <f>IF('WetLitterbags placem_collection'!AA28="","",'WetLitterbags placem_collection'!AA28)</f>
        <v/>
      </c>
      <c r="AG27" t="str">
        <f>IF('WetLitterbags placem_collection'!AC28="","",'WetLitterbags placem_collection'!AC28)</f>
        <v/>
      </c>
      <c r="AH27" s="24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placem_collection'!V28)),"YES","NO")</f>
        <v>NO</v>
      </c>
      <c r="AM27" t="str">
        <f>IF(ISNUMBER(SEARCH("H", 'WetLitterbags placem_collection'!V28)),"YES","NO")</f>
        <v>NO</v>
      </c>
      <c r="AN27" t="str">
        <f>IF(ISNUMBER(SEARCH("R", 'WetLitterbags placem_collection'!V28)),"YES","NO")</f>
        <v>YES</v>
      </c>
    </row>
    <row r="28" spans="1:40">
      <c r="A28" s="258" t="s">
        <v>2460</v>
      </c>
      <c r="B28" s="263">
        <f>'Dry_Litterbag Placem_Collection'!A29</f>
        <v>27</v>
      </c>
      <c r="C28" s="263" t="str">
        <f>'Dry_Litterbag Placem_Collection'!B29</f>
        <v>Makao</v>
      </c>
      <c r="D28" s="263" t="s">
        <v>2659</v>
      </c>
      <c r="E28" s="263" t="s">
        <v>2660</v>
      </c>
      <c r="F28" s="263">
        <v>4</v>
      </c>
      <c r="G28" s="264" t="str">
        <f>'Dry_Litterbag Placem_Collection'!C29</f>
        <v>Dry_Ag4_T3</v>
      </c>
      <c r="H28" s="265" t="s">
        <v>2541</v>
      </c>
      <c r="I28" s="266" t="s">
        <v>1147</v>
      </c>
      <c r="J28" s="223" t="str">
        <f>'WetLitterbags placem_collection'!K29</f>
        <v>G583</v>
      </c>
      <c r="K28" s="225">
        <f>IFERROR(INDEX('Green_rooibos initial weight'!$C$5:$C$1749,MATCH(J28, 'Green_rooibos initial weight'!$A$5:$A$1749,0)),"")</f>
        <v>2.1829999999999998</v>
      </c>
      <c r="L28" s="225">
        <f>IFERROR(K28-(TBIcalc!$H$9+TBIcalc!$H$10),"")</f>
        <v>1.9331999999999998</v>
      </c>
      <c r="M28" s="391">
        <f>AVERAGE(Ashed_controlls!$K$2:$K$11)</f>
        <v>5.5147656768714146</v>
      </c>
      <c r="N28" s="225">
        <f t="shared" si="1"/>
        <v>1.8265885499347216</v>
      </c>
      <c r="O28" s="225">
        <f>IF(IFERROR(INDEX('Both teabags AfterWet'!$C$3:$C$841,MATCH(J28,'Both teabags AfterWet'!$A$3:$A$841,0)),"")="","",(IFERROR(INDEX('Both teabags AfterWet'!$C$3:$C$841,MATCH(J28,'Both teabags AfterWet'!$A$3:$A$841,0)),"")))</f>
        <v>0.66169999999999995</v>
      </c>
      <c r="P28" s="225">
        <f>IFERROR(IF(O28&gt;0,O28-(TBIcalc!$H$9),""),"")</f>
        <v>0.51109999999999989</v>
      </c>
      <c r="Q28" s="225">
        <f>IFERROR(INDEX('Ashed teabags wet'!$K$2:$K$821,MATCH(J28,'Ashed teabags wet'!$A$2:$A$821,0)),"")</f>
        <v>12.756598240469378</v>
      </c>
      <c r="R28" s="225">
        <f t="shared" si="6"/>
        <v>0.44590102639296092</v>
      </c>
      <c r="S28" s="226">
        <f>'WetLitterbags placem_collection'!E29</f>
        <v>42767</v>
      </c>
      <c r="T28" s="226">
        <f>IF('WetLitterbags placem_collection'!G29="","",'WetLitterbags placem_collection'!G29)</f>
        <v>42818</v>
      </c>
      <c r="U28" s="227">
        <f t="shared" si="3"/>
        <v>51</v>
      </c>
      <c r="V28" s="225">
        <f t="shared" si="4"/>
        <v>1.4220999999999999</v>
      </c>
      <c r="W28" s="225">
        <f t="shared" si="5"/>
        <v>1.3806875235417606</v>
      </c>
      <c r="X28">
        <f>IFERROR(INDEX(Rainfall_Wet!$O$2:$O$217,MATCH(B28, Rainfall_Wet!$A$2:$A$217,0)),"")</f>
        <v>185.630065823</v>
      </c>
      <c r="Y28" s="231">
        <v>51.960000000000008</v>
      </c>
      <c r="Z28" s="231">
        <v>18.919999999999995</v>
      </c>
      <c r="AA28" s="231">
        <v>29.120000000000005</v>
      </c>
      <c r="AB28" s="232" t="s">
        <v>2673</v>
      </c>
      <c r="AC28" s="231">
        <v>3.8529324790537198</v>
      </c>
      <c r="AD28" t="str">
        <f>IF('WetLitterbags placem_collection'!AB29="","",'WetLitterbags placem_collection'!AB29)</f>
        <v/>
      </c>
      <c r="AE28" t="str">
        <f>IF('WetLitterbags placem_collection'!Z29="","",'WetLitterbags placem_collection'!Z29)</f>
        <v/>
      </c>
      <c r="AF28" s="246" t="str">
        <f>IF('WetLitterbags placem_collection'!AA29="","",'WetLitterbags placem_collection'!AA29)</f>
        <v/>
      </c>
      <c r="AG28" t="str">
        <f>IF('WetLitterbags placem_collection'!AC29="","",'WetLitterbags placem_collection'!AC29)</f>
        <v/>
      </c>
      <c r="AH28" s="24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placem_collection'!V29)),"YES","NO")</f>
        <v>NO</v>
      </c>
      <c r="AM28" t="str">
        <f>IF(ISNUMBER(SEARCH("H", 'WetLitterbags placem_collection'!V29)),"YES","NO")</f>
        <v>NO</v>
      </c>
      <c r="AN28" t="str">
        <f>IF(ISNUMBER(SEARCH("R", 'WetLitterbags placem_collection'!V29)),"YES","NO")</f>
        <v>NO</v>
      </c>
    </row>
    <row r="29" spans="1:40">
      <c r="A29" s="258" t="s">
        <v>2460</v>
      </c>
      <c r="B29" s="263">
        <f>'Dry_Litterbag Placem_Collection'!A30</f>
        <v>28</v>
      </c>
      <c r="C29" s="263" t="str">
        <f>'Dry_Litterbag Placem_Collection'!B30</f>
        <v>Makao</v>
      </c>
      <c r="D29" s="263" t="s">
        <v>2659</v>
      </c>
      <c r="E29" s="263" t="s">
        <v>2660</v>
      </c>
      <c r="F29" s="263">
        <v>4</v>
      </c>
      <c r="G29" s="264" t="str">
        <f>'Dry_Litterbag Placem_Collection'!C30</f>
        <v>Dry_Ag4_T4</v>
      </c>
      <c r="H29" s="265" t="s">
        <v>2541</v>
      </c>
      <c r="I29" s="266" t="s">
        <v>1147</v>
      </c>
      <c r="J29" s="223" t="str">
        <f>'WetLitterbags placem_collection'!K30</f>
        <v>G702</v>
      </c>
      <c r="K29" s="225">
        <f>IFERROR(INDEX('Green_rooibos initial weight'!$C$5:$C$1749,MATCH(J29, 'Green_rooibos initial weight'!$A$5:$A$1749,0)),"")</f>
        <v>2.109</v>
      </c>
      <c r="L29" s="225">
        <f>IFERROR(K29-(TBIcalc!$H$9+TBIcalc!$H$10),"")</f>
        <v>1.8592</v>
      </c>
      <c r="M29" s="391">
        <f>AVERAGE(Ashed_controlls!$K$2:$K$11)</f>
        <v>5.5147656768714146</v>
      </c>
      <c r="N29" s="225">
        <f t="shared" si="1"/>
        <v>1.7566694765356066</v>
      </c>
      <c r="O29" s="225">
        <f>IF(IFERROR(INDEX('Both teabags AfterWet'!$C$3:$C$841,MATCH(J29,'Both teabags AfterWet'!$A$3:$A$841,0)),"")="","",(IFERROR(INDEX('Both teabags AfterWet'!$C$3:$C$841,MATCH(J29,'Both teabags AfterWet'!$A$3:$A$841,0)),"")))</f>
        <v>0.73699999999999999</v>
      </c>
      <c r="P29" s="225">
        <f>IFERROR(IF(O29&gt;0,O29-(TBIcalc!$H$9),""),"")</f>
        <v>0.58640000000000003</v>
      </c>
      <c r="Q29" s="225">
        <f>IFERROR(INDEX('Ashed teabags wet'!$K$2:$K$821,MATCH(J29,'Ashed teabags wet'!$A$2:$A$821,0)),"")</f>
        <v>10.710760118459444</v>
      </c>
      <c r="R29" s="225">
        <f t="shared" si="6"/>
        <v>0.52359210266535383</v>
      </c>
      <c r="S29" s="226">
        <f>'WetLitterbags placem_collection'!E30</f>
        <v>42767</v>
      </c>
      <c r="T29" s="226">
        <f>IF('WetLitterbags placem_collection'!G30="","",'WetLitterbags placem_collection'!G30)</f>
        <v>42818</v>
      </c>
      <c r="U29" s="227">
        <f t="shared" si="3"/>
        <v>51</v>
      </c>
      <c r="V29" s="225">
        <f t="shared" si="4"/>
        <v>1.2727999999999999</v>
      </c>
      <c r="W29" s="225">
        <f t="shared" si="5"/>
        <v>1.2330773738702527</v>
      </c>
      <c r="X29">
        <f>IFERROR(INDEX(Rainfall_Wet!$O$2:$O$217,MATCH(B29, Rainfall_Wet!$A$2:$A$217,0)),"")</f>
        <v>185.630065823</v>
      </c>
      <c r="Y29" s="231">
        <v>51.960000000000008</v>
      </c>
      <c r="Z29" s="231">
        <v>18.919999999999995</v>
      </c>
      <c r="AA29" s="231">
        <v>29.120000000000005</v>
      </c>
      <c r="AB29" s="232" t="s">
        <v>2673</v>
      </c>
      <c r="AC29" s="231">
        <v>4.8529324790537203</v>
      </c>
      <c r="AD29" t="str">
        <f>IF('WetLitterbags placem_collection'!AB30="","",'WetLitterbags placem_collection'!AB30)</f>
        <v/>
      </c>
      <c r="AE29" t="str">
        <f>IF('WetLitterbags placem_collection'!Z30="","",'WetLitterbags placem_collection'!Z30)</f>
        <v/>
      </c>
      <c r="AF29" s="246" t="str">
        <f>IF('WetLitterbags placem_collection'!AA30="","",'WetLitterbags placem_collection'!AA30)</f>
        <v/>
      </c>
      <c r="AG29" t="str">
        <f>IF('WetLitterbags placem_collection'!AC30="","",'WetLitterbags placem_collection'!AC30)</f>
        <v/>
      </c>
      <c r="AH29" s="24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placem_collection'!V30)),"YES","NO")</f>
        <v>NO</v>
      </c>
      <c r="AM29" t="str">
        <f>IF(ISNUMBER(SEARCH("H", 'WetLitterbags placem_collection'!V30)),"YES","NO")</f>
        <v>NO</v>
      </c>
      <c r="AN29" t="str">
        <f>IF(ISNUMBER(SEARCH("R", 'WetLitterbags placem_collection'!V30)),"YES","NO")</f>
        <v>NO</v>
      </c>
    </row>
    <row r="30" spans="1:40">
      <c r="A30" s="258" t="s">
        <v>2460</v>
      </c>
      <c r="B30" s="263">
        <f>'Dry_Litterbag Placem_Collection'!A31</f>
        <v>29</v>
      </c>
      <c r="C30" s="263" t="str">
        <f>'Dry_Litterbag Placem_Collection'!B31</f>
        <v>Makao</v>
      </c>
      <c r="D30" s="263" t="s">
        <v>2659</v>
      </c>
      <c r="E30" s="263" t="s">
        <v>2660</v>
      </c>
      <c r="F30" s="263">
        <v>4</v>
      </c>
      <c r="G30" s="264" t="str">
        <f>'Dry_Litterbag Placem_Collection'!C31</f>
        <v>Dry_Ag4_T5</v>
      </c>
      <c r="H30" s="265" t="s">
        <v>2541</v>
      </c>
      <c r="I30" s="266" t="s">
        <v>1147</v>
      </c>
      <c r="J30" s="223" t="str">
        <f>'WetLitterbags placem_collection'!K31</f>
        <v>G838</v>
      </c>
      <c r="K30" s="225">
        <f>IFERROR(INDEX('Green_rooibos initial weight'!$C$5:$C$1749,MATCH(J30, 'Green_rooibos initial weight'!$A$5:$A$1749,0)),"")</f>
        <v>2.0369999999999999</v>
      </c>
      <c r="L30" s="225">
        <f>IFERROR(K30-(TBIcalc!$H$9+TBIcalc!$H$10),"")</f>
        <v>1.7871999999999999</v>
      </c>
      <c r="M30" s="391">
        <f>AVERAGE(Ashed_controlls!$K$2:$K$11)</f>
        <v>5.5147656768714146</v>
      </c>
      <c r="N30" s="225">
        <f t="shared" si="1"/>
        <v>1.688640107822954</v>
      </c>
      <c r="O30" s="225">
        <f>IF(IFERROR(INDEX('Both teabags AfterWet'!$C$3:$C$841,MATCH(J30,'Both teabags AfterWet'!$A$3:$A$841,0)),"")="","",(IFERROR(INDEX('Both teabags AfterWet'!$C$3:$C$841,MATCH(J30,'Both teabags AfterWet'!$A$3:$A$841,0)),"")))</f>
        <v>0.70830000000000004</v>
      </c>
      <c r="P30" s="225">
        <f>IFERROR(IF(O30&gt;0,O30-(TBIcalc!$H$9),""),"")</f>
        <v>0.55770000000000008</v>
      </c>
      <c r="Q30" s="225">
        <f>IFERROR(INDEX('Ashed teabags wet'!$K$2:$K$821,MATCH(J30,'Ashed teabags wet'!$A$2:$A$821,0)),"")</f>
        <v>8.2404265632568467</v>
      </c>
      <c r="R30" s="225">
        <f t="shared" si="6"/>
        <v>0.51174314105671659</v>
      </c>
      <c r="S30" s="226">
        <f>'WetLitterbags placem_collection'!E31</f>
        <v>42767</v>
      </c>
      <c r="T30" s="226">
        <f>IF('WetLitterbags placem_collection'!G31="","",'WetLitterbags placem_collection'!G31)</f>
        <v>42818</v>
      </c>
      <c r="U30" s="227">
        <f t="shared" si="3"/>
        <v>51</v>
      </c>
      <c r="V30" s="225">
        <f t="shared" si="4"/>
        <v>1.2294999999999998</v>
      </c>
      <c r="W30" s="225">
        <f t="shared" si="5"/>
        <v>1.1768969667662375</v>
      </c>
      <c r="X30">
        <f>IFERROR(INDEX(Rainfall_Wet!$O$2:$O$217,MATCH(B30, Rainfall_Wet!$A$2:$A$217,0)),"")</f>
        <v>185.630065823</v>
      </c>
      <c r="Y30" s="231">
        <v>51.960000000000008</v>
      </c>
      <c r="Z30" s="231">
        <v>18.919999999999995</v>
      </c>
      <c r="AA30" s="231">
        <v>29.120000000000005</v>
      </c>
      <c r="AB30" s="232" t="s">
        <v>2673</v>
      </c>
      <c r="AC30" s="231">
        <v>5.8529324790537203</v>
      </c>
      <c r="AD30" t="str">
        <f>IF('WetLitterbags placem_collection'!AB31="","",'WetLitterbags placem_collection'!AB31)</f>
        <v/>
      </c>
      <c r="AE30" t="str">
        <f>IF('WetLitterbags placem_collection'!Z31="","",'WetLitterbags placem_collection'!Z31)</f>
        <v/>
      </c>
      <c r="AF30" s="246" t="str">
        <f>IF('WetLitterbags placem_collection'!AA31="","",'WetLitterbags placem_collection'!AA31)</f>
        <v/>
      </c>
      <c r="AG30" t="str">
        <f>IF('WetLitterbags placem_collection'!AC31="","",'WetLitterbags placem_collection'!AC31)</f>
        <v/>
      </c>
      <c r="AH30" s="24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placem_collection'!V31)),"YES","NO")</f>
        <v>NO</v>
      </c>
      <c r="AM30" t="str">
        <f>IF(ISNUMBER(SEARCH("H", 'WetLitterbags placem_collection'!V31)),"YES","NO")</f>
        <v>NO</v>
      </c>
      <c r="AN30" t="str">
        <f>IF(ISNUMBER(SEARCH("R", 'WetLitterbags placem_collection'!V31)),"YES","NO")</f>
        <v>YES</v>
      </c>
    </row>
    <row r="31" spans="1:40">
      <c r="A31" s="258" t="s">
        <v>2460</v>
      </c>
      <c r="B31" s="263">
        <f>'Dry_Litterbag Placem_Collection'!A32</f>
        <v>30</v>
      </c>
      <c r="C31" s="263" t="str">
        <f>'Dry_Litterbag Placem_Collection'!B32</f>
        <v>Makao</v>
      </c>
      <c r="D31" s="263" t="s">
        <v>2659</v>
      </c>
      <c r="E31" s="263" t="s">
        <v>2660</v>
      </c>
      <c r="F31" s="263">
        <v>4</v>
      </c>
      <c r="G31" s="264" t="str">
        <f>'Dry_Litterbag Placem_Collection'!C32</f>
        <v>Dry_Ag4_T6</v>
      </c>
      <c r="H31" s="265" t="s">
        <v>2541</v>
      </c>
      <c r="I31" s="266" t="s">
        <v>1147</v>
      </c>
      <c r="J31" s="223" t="str">
        <f>'WetLitterbags placem_collection'!K32</f>
        <v>G518</v>
      </c>
      <c r="K31" s="225">
        <f>IFERROR(INDEX('Green_rooibos initial weight'!$C$5:$C$1749,MATCH(J31, 'Green_rooibos initial weight'!$A$5:$A$1749,0)),"")</f>
        <v>1.9950000000000001</v>
      </c>
      <c r="L31" s="225">
        <f>IFERROR(K31-(TBIcalc!$H$9+TBIcalc!$H$10),"")</f>
        <v>1.7452000000000001</v>
      </c>
      <c r="M31" s="391">
        <f>AVERAGE(Ashed_controlls!$K$2:$K$11)</f>
        <v>5.5147656768714146</v>
      </c>
      <c r="N31" s="225">
        <f t="shared" si="1"/>
        <v>1.6489563094072401</v>
      </c>
      <c r="O31" s="225">
        <f>IF(IFERROR(INDEX('Both teabags AfterWet'!$C$3:$C$841,MATCH(J31,'Both teabags AfterWet'!$A$3:$A$841,0)),"")="","",(IFERROR(INDEX('Both teabags AfterWet'!$C$3:$C$841,MATCH(J31,'Both teabags AfterWet'!$A$3:$A$841,0)),"")))</f>
        <v>0.68200000000000005</v>
      </c>
      <c r="P31" s="225">
        <f>IFERROR(IF(O31&gt;0,O31-(TBIcalc!$H$9),""),"")</f>
        <v>0.53140000000000009</v>
      </c>
      <c r="Q31" s="225">
        <f>IFERROR(INDEX('Ashed teabags wet'!$K$2:$K$821,MATCH(J31,'Ashed teabags wet'!$A$2:$A$821,0)),"")</f>
        <v>11.009615384615254</v>
      </c>
      <c r="R31" s="225">
        <f t="shared" si="6"/>
        <v>0.47289490384615462</v>
      </c>
      <c r="S31" s="226">
        <f>'WetLitterbags placem_collection'!E32</f>
        <v>42767</v>
      </c>
      <c r="T31" s="226">
        <f>IF('WetLitterbags placem_collection'!G32="","",'WetLitterbags placem_collection'!G32)</f>
        <v>42818</v>
      </c>
      <c r="U31" s="227">
        <f t="shared" si="3"/>
        <v>51</v>
      </c>
      <c r="V31" s="225">
        <f t="shared" si="4"/>
        <v>1.2138</v>
      </c>
      <c r="W31" s="225">
        <f t="shared" si="5"/>
        <v>1.1760614055610854</v>
      </c>
      <c r="X31">
        <f>IFERROR(INDEX(Rainfall_Wet!$O$2:$O$217,MATCH(B31, Rainfall_Wet!$A$2:$A$217,0)),"")</f>
        <v>185.630065823</v>
      </c>
      <c r="Y31" s="231">
        <v>51.960000000000008</v>
      </c>
      <c r="Z31" s="231">
        <v>18.919999999999995</v>
      </c>
      <c r="AA31" s="231">
        <v>29.120000000000005</v>
      </c>
      <c r="AB31" s="232" t="s">
        <v>2673</v>
      </c>
      <c r="AC31" s="231">
        <v>6.8529324790537203</v>
      </c>
      <c r="AD31" t="str">
        <f>IF('WetLitterbags placem_collection'!AB32="","",'WetLitterbags placem_collection'!AB32)</f>
        <v/>
      </c>
      <c r="AE31" t="str">
        <f>IF('WetLitterbags placem_collection'!Z32="","",'WetLitterbags placem_collection'!Z32)</f>
        <v/>
      </c>
      <c r="AF31" s="246" t="str">
        <f>IF('WetLitterbags placem_collection'!AA32="","",'WetLitterbags placem_collection'!AA32)</f>
        <v/>
      </c>
      <c r="AG31" t="str">
        <f>IF('WetLitterbags placem_collection'!AC32="","",'WetLitterbags placem_collection'!AC32)</f>
        <v/>
      </c>
      <c r="AH31" s="24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placem_collection'!V32)),"YES","NO")</f>
        <v>NO</v>
      </c>
      <c r="AM31" t="str">
        <f>IF(ISNUMBER(SEARCH("H", 'WetLitterbags placem_collection'!V32)),"YES","NO")</f>
        <v>NO</v>
      </c>
      <c r="AN31" t="str">
        <f>IF(ISNUMBER(SEARCH("R", 'WetLitterbags placem_collection'!V32)),"YES","NO")</f>
        <v>YES</v>
      </c>
    </row>
    <row r="32" spans="1:40">
      <c r="A32" s="258" t="s">
        <v>2460</v>
      </c>
      <c r="B32" s="263">
        <f>'Dry_Litterbag Placem_Collection'!A33</f>
        <v>31</v>
      </c>
      <c r="C32" s="263" t="str">
        <f>'Dry_Litterbag Placem_Collection'!B33</f>
        <v>Makao</v>
      </c>
      <c r="D32" s="263" t="s">
        <v>2659</v>
      </c>
      <c r="E32" s="263" t="s">
        <v>2660</v>
      </c>
      <c r="F32" s="263">
        <v>4</v>
      </c>
      <c r="G32" s="264" t="str">
        <f>'Dry_Litterbag Placem_Collection'!C33</f>
        <v>Dry_Ag4_T7</v>
      </c>
      <c r="H32" s="265" t="s">
        <v>2541</v>
      </c>
      <c r="I32" s="266" t="s">
        <v>1147</v>
      </c>
      <c r="J32" s="223" t="str">
        <f>'WetLitterbags placem_collection'!K33</f>
        <v>G404</v>
      </c>
      <c r="K32" s="225">
        <f>IFERROR(INDEX('Green_rooibos initial weight'!$C$5:$C$1749,MATCH(J32, 'Green_rooibos initial weight'!$A$5:$A$1749,0)),"")</f>
        <v>2.113</v>
      </c>
      <c r="L32" s="225">
        <f>IFERROR(K32-(TBIcalc!$H$9+TBIcalc!$H$10),"")</f>
        <v>1.8632</v>
      </c>
      <c r="M32" s="391">
        <f>AVERAGE(Ashed_controlls!$K$2:$K$11)</f>
        <v>5.5147656768714146</v>
      </c>
      <c r="N32" s="225">
        <f t="shared" si="1"/>
        <v>1.7604488859085319</v>
      </c>
      <c r="O32" s="225">
        <f>IF(IFERROR(INDEX('Both teabags AfterWet'!$C$3:$C$841,MATCH(J32,'Both teabags AfterWet'!$A$3:$A$841,0)),"")="","",(IFERROR(INDEX('Both teabags AfterWet'!$C$3:$C$841,MATCH(J32,'Both teabags AfterWet'!$A$3:$A$841,0)),"")))</f>
        <v>0.75349999999999995</v>
      </c>
      <c r="P32" s="225">
        <f>IFERROR(IF(O32&gt;0,O32-(TBIcalc!$H$9),""),"")</f>
        <v>0.60289999999999999</v>
      </c>
      <c r="Q32" s="225">
        <f>IFERROR(INDEX('Ashed teabags wet'!$K$2:$K$821,MATCH(J32,'Ashed teabags wet'!$A$2:$A$821,0)),"")</f>
        <v>13.930110100526482</v>
      </c>
      <c r="R32" s="225">
        <f t="shared" si="6"/>
        <v>0.51891536620392587</v>
      </c>
      <c r="S32" s="226">
        <f>'WetLitterbags placem_collection'!E33</f>
        <v>42767</v>
      </c>
      <c r="T32" s="226">
        <f>IF('WetLitterbags placem_collection'!G33="","",'WetLitterbags placem_collection'!G33)</f>
        <v>42818</v>
      </c>
      <c r="U32" s="227">
        <f t="shared" si="3"/>
        <v>51</v>
      </c>
      <c r="V32" s="225">
        <f t="shared" si="4"/>
        <v>1.2603</v>
      </c>
      <c r="W32" s="225">
        <f t="shared" si="5"/>
        <v>1.241533519704606</v>
      </c>
      <c r="X32">
        <f>IFERROR(INDEX(Rainfall_Wet!$O$2:$O$217,MATCH(B32, Rainfall_Wet!$A$2:$A$217,0)),"")</f>
        <v>185.630065823</v>
      </c>
      <c r="Y32" s="231">
        <v>51.960000000000008</v>
      </c>
      <c r="Z32" s="231">
        <v>18.919999999999995</v>
      </c>
      <c r="AA32" s="231">
        <v>29.120000000000005</v>
      </c>
      <c r="AB32" s="232" t="s">
        <v>2673</v>
      </c>
      <c r="AC32" s="231">
        <v>7.8529324790537203</v>
      </c>
      <c r="AD32" t="str">
        <f>IF('WetLitterbags placem_collection'!AB33="","",'WetLitterbags placem_collection'!AB33)</f>
        <v/>
      </c>
      <c r="AE32" t="str">
        <f>IF('WetLitterbags placem_collection'!Z33="","",'WetLitterbags placem_collection'!Z33)</f>
        <v/>
      </c>
      <c r="AF32" s="246" t="str">
        <f>IF('WetLitterbags placem_collection'!AA33="","",'WetLitterbags placem_collection'!AA33)</f>
        <v/>
      </c>
      <c r="AG32" t="str">
        <f>IF('WetLitterbags placem_collection'!AC33="","",'WetLitterbags placem_collection'!AC33)</f>
        <v/>
      </c>
      <c r="AH32" s="24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placem_collection'!V33)),"YES","NO")</f>
        <v>NO</v>
      </c>
      <c r="AM32" t="str">
        <f>IF(ISNUMBER(SEARCH("H", 'WetLitterbags placem_collection'!V33)),"YES","NO")</f>
        <v>NO</v>
      </c>
      <c r="AN32" t="str">
        <f>IF(ISNUMBER(SEARCH("R", 'WetLitterbags placem_collection'!V33)),"YES","NO")</f>
        <v>YES</v>
      </c>
    </row>
    <row r="33" spans="1:40">
      <c r="A33" s="258" t="s">
        <v>2460</v>
      </c>
      <c r="B33" s="263">
        <f>'Dry_Litterbag Placem_Collection'!A34</f>
        <v>32</v>
      </c>
      <c r="C33" s="263" t="str">
        <f>'Dry_Litterbag Placem_Collection'!B34</f>
        <v>Makao</v>
      </c>
      <c r="D33" s="263" t="s">
        <v>2659</v>
      </c>
      <c r="E33" s="263" t="s">
        <v>2660</v>
      </c>
      <c r="F33" s="263">
        <v>4</v>
      </c>
      <c r="G33" s="264" t="str">
        <f>'Dry_Litterbag Placem_Collection'!C34</f>
        <v>Dry_Ag4_T8</v>
      </c>
      <c r="H33" s="265" t="s">
        <v>2541</v>
      </c>
      <c r="I33" s="266" t="s">
        <v>1147</v>
      </c>
      <c r="J33" s="223" t="str">
        <f>'WetLitterbags placem_collection'!K34</f>
        <v>G527</v>
      </c>
      <c r="K33" s="225">
        <f>IFERROR(INDEX('Green_rooibos initial weight'!$C$5:$C$1749,MATCH(J33, 'Green_rooibos initial weight'!$A$5:$A$1749,0)),"")</f>
        <v>1.913</v>
      </c>
      <c r="L33" s="225">
        <f>IFERROR(K33-(TBIcalc!$H$9+TBIcalc!$H$10),"")</f>
        <v>1.6632</v>
      </c>
      <c r="M33" s="391">
        <f>AVERAGE(Ashed_controlls!$K$2:$K$11)</f>
        <v>5.5147656768714146</v>
      </c>
      <c r="N33" s="225">
        <f t="shared" si="1"/>
        <v>1.5714784172622747</v>
      </c>
      <c r="O33" s="225">
        <f>IF(IFERROR(INDEX('Both teabags AfterWet'!$C$3:$C$841,MATCH(J33,'Both teabags AfterWet'!$A$3:$A$841,0)),"")="","",(IFERROR(INDEX('Both teabags AfterWet'!$C$3:$C$841,MATCH(J33,'Both teabags AfterWet'!$A$3:$A$841,0)),"")))</f>
        <v>0.66439999999999999</v>
      </c>
      <c r="P33" s="225">
        <f>IFERROR(IF(O33&gt;0,O33-(TBIcalc!$H$9),""),"")</f>
        <v>0.51380000000000003</v>
      </c>
      <c r="Q33" s="225">
        <f>IFERROR(INDEX('Ashed teabags wet'!$K$2:$K$821,MATCH(J33,'Ashed teabags wet'!$A$2:$A$821,0)),"")</f>
        <v>8.4915084915079166</v>
      </c>
      <c r="R33" s="225">
        <f t="shared" si="6"/>
        <v>0.47017062937063236</v>
      </c>
      <c r="S33" s="226">
        <f>'WetLitterbags placem_collection'!E34</f>
        <v>42767</v>
      </c>
      <c r="T33" s="226">
        <f>IF('WetLitterbags placem_collection'!G34="","",'WetLitterbags placem_collection'!G34)</f>
        <v>42818</v>
      </c>
      <c r="U33" s="227">
        <f t="shared" si="3"/>
        <v>51</v>
      </c>
      <c r="V33" s="225">
        <f t="shared" si="4"/>
        <v>1.1494</v>
      </c>
      <c r="W33" s="225">
        <f t="shared" si="5"/>
        <v>1.1013077878916424</v>
      </c>
      <c r="X33">
        <f>IFERROR(INDEX(Rainfall_Wet!$O$2:$O$217,MATCH(B33, Rainfall_Wet!$A$2:$A$217,0)),"")</f>
        <v>185.630065823</v>
      </c>
      <c r="Y33" s="231">
        <v>51.960000000000008</v>
      </c>
      <c r="Z33" s="231">
        <v>18.919999999999995</v>
      </c>
      <c r="AA33" s="231">
        <v>29.120000000000005</v>
      </c>
      <c r="AB33" s="232" t="s">
        <v>2673</v>
      </c>
      <c r="AC33" s="231">
        <v>8.8529324790537203</v>
      </c>
      <c r="AD33" t="str">
        <f>IF('WetLitterbags placem_collection'!AB34="","",'WetLitterbags placem_collection'!AB34)</f>
        <v/>
      </c>
      <c r="AE33" t="str">
        <f>IF('WetLitterbags placem_collection'!Z34="","",'WetLitterbags placem_collection'!Z34)</f>
        <v/>
      </c>
      <c r="AF33" s="246" t="str">
        <f>IF('WetLitterbags placem_collection'!AA34="","",'WetLitterbags placem_collection'!AA34)</f>
        <v/>
      </c>
      <c r="AG33" t="str">
        <f>IF('WetLitterbags placem_collection'!AC34="","",'WetLitterbags placem_collection'!AC34)</f>
        <v/>
      </c>
      <c r="AH33" s="24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placem_collection'!V34)),"YES","NO")</f>
        <v>NO</v>
      </c>
      <c r="AM33" t="str">
        <f>IF(ISNUMBER(SEARCH("H", 'WetLitterbags placem_collection'!V34)),"YES","NO")</f>
        <v>NO</v>
      </c>
      <c r="AN33" t="str">
        <f>IF(ISNUMBER(SEARCH("R", 'WetLitterbags placem_collection'!V34)),"YES","NO")</f>
        <v>YES</v>
      </c>
    </row>
    <row r="34" spans="1:40">
      <c r="A34" s="258" t="s">
        <v>2460</v>
      </c>
      <c r="B34" s="263">
        <f>'Dry_Litterbag Placem_Collection'!A35</f>
        <v>33</v>
      </c>
      <c r="C34" s="263" t="str">
        <f>'Dry_Litterbag Placem_Collection'!B35</f>
        <v>Makao</v>
      </c>
      <c r="D34" s="263" t="s">
        <v>2659</v>
      </c>
      <c r="E34" s="263" t="s">
        <v>20</v>
      </c>
      <c r="F34" s="263">
        <v>1</v>
      </c>
      <c r="G34" s="264" t="str">
        <f>'Dry_Litterbag Placem_Collection'!C35</f>
        <v>Dry_P1_T1</v>
      </c>
      <c r="H34" s="265" t="s">
        <v>2541</v>
      </c>
      <c r="I34" s="266" t="s">
        <v>1147</v>
      </c>
      <c r="J34" s="223" t="str">
        <f>'WetLitterbags placem_collection'!K35</f>
        <v>G366</v>
      </c>
      <c r="K34" s="225">
        <f>IFERROR(INDEX('Green_rooibos initial weight'!$C$5:$C$1749,MATCH(J34, 'Green_rooibos initial weight'!$A$5:$A$1749,0)),"")</f>
        <v>2.1070000000000002</v>
      </c>
      <c r="L34" s="225">
        <f>IFERROR(K34-(TBIcalc!$H$9+TBIcalc!$H$10),"")</f>
        <v>1.8572000000000002</v>
      </c>
      <c r="M34" s="391">
        <f>AVERAGE(Ashed_controlls!$K$2:$K$11)</f>
        <v>5.5147656768714146</v>
      </c>
      <c r="N34" s="225">
        <f t="shared" si="1"/>
        <v>1.7547797718491442</v>
      </c>
      <c r="O34" s="225">
        <f>IF(IFERROR(INDEX('Both teabags AfterWet'!$C$3:$C$841,MATCH(J34,'Both teabags AfterWet'!$A$3:$A$841,0)),"")="","",(IFERROR(INDEX('Both teabags AfterWet'!$C$3:$C$841,MATCH(J34,'Both teabags AfterWet'!$A$3:$A$841,0)),"")))</f>
        <v>0.76700000000000002</v>
      </c>
      <c r="P34" s="225">
        <f>IFERROR(IF(O34&gt;0,O34-(TBIcalc!$H$9),""),"")</f>
        <v>0.61640000000000006</v>
      </c>
      <c r="Q34" s="225">
        <f>IFERROR(INDEX('Ashed teabags wet'!$K$2:$K$821,MATCH(J34,'Ashed teabags wet'!$A$2:$A$821,0)),"")</f>
        <v>9.3672147483803556</v>
      </c>
      <c r="R34" s="225">
        <f t="shared" si="6"/>
        <v>0.55866048829098358</v>
      </c>
      <c r="S34" s="226">
        <f>'WetLitterbags placem_collection'!E35</f>
        <v>42765</v>
      </c>
      <c r="T34" s="226">
        <f>IF('WetLitterbags placem_collection'!G35="","",'WetLitterbags placem_collection'!G35)</f>
        <v>42820</v>
      </c>
      <c r="U34" s="227">
        <f t="shared" si="3"/>
        <v>55</v>
      </c>
      <c r="V34" s="225">
        <f t="shared" si="4"/>
        <v>1.2408000000000001</v>
      </c>
      <c r="W34" s="225">
        <f t="shared" si="5"/>
        <v>1.1961192835581607</v>
      </c>
      <c r="X34">
        <f>IFERROR(INDEX(Rainfall_Wet!$O$2:$O$217,MATCH(B34, Rainfall_Wet!$A$2:$A$217,0)),"")</f>
        <v>228.324359195</v>
      </c>
      <c r="Y34" s="231">
        <v>23.96</v>
      </c>
      <c r="Z34" s="231">
        <v>0.91999999999999804</v>
      </c>
      <c r="AA34" s="231">
        <v>75.12</v>
      </c>
      <c r="AB34" s="232" t="s">
        <v>2670</v>
      </c>
      <c r="AC34" s="231">
        <v>1.2493839329719072</v>
      </c>
      <c r="AD34">
        <f>IF('WetLitterbags placem_collection'!AB35="","",'WetLitterbags placem_collection'!AB35)</f>
        <v>9.5</v>
      </c>
      <c r="AE34">
        <f>IF('WetLitterbags placem_collection'!Z35="","",'WetLitterbags placem_collection'!Z35)</f>
        <v>17.2</v>
      </c>
      <c r="AF34" s="246" t="str">
        <f>IF('WetLitterbags placem_collection'!AA35="","",'WetLitterbags placem_collection'!AA35)</f>
        <v>G</v>
      </c>
      <c r="AG34">
        <f>IF('WetLitterbags placem_collection'!AC35="","",'WetLitterbags placem_collection'!AC35)</f>
        <v>0</v>
      </c>
      <c r="AH34" s="24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placem_collection'!V35)),"YES","NO")</f>
        <v>NO</v>
      </c>
      <c r="AM34" t="str">
        <f>IF(ISNUMBER(SEARCH("H", 'WetLitterbags placem_collection'!V35)),"YES","NO")</f>
        <v>NO</v>
      </c>
      <c r="AN34" t="str">
        <f>IF(ISNUMBER(SEARCH("R", 'WetLitterbags placem_collection'!V35)),"YES","NO")</f>
        <v>YES</v>
      </c>
    </row>
    <row r="35" spans="1:40">
      <c r="A35" s="258" t="s">
        <v>2460</v>
      </c>
      <c r="B35" s="263">
        <f>'Dry_Litterbag Placem_Collection'!A36</f>
        <v>34</v>
      </c>
      <c r="C35" s="263" t="str">
        <f>'Dry_Litterbag Placem_Collection'!B36</f>
        <v>Makao</v>
      </c>
      <c r="D35" s="263" t="s">
        <v>2659</v>
      </c>
      <c r="E35" s="263" t="s">
        <v>20</v>
      </c>
      <c r="F35" s="263">
        <v>1</v>
      </c>
      <c r="G35" s="264" t="str">
        <f>'Dry_Litterbag Placem_Collection'!C36</f>
        <v>Dry_P1_T2</v>
      </c>
      <c r="H35" s="265" t="s">
        <v>2541</v>
      </c>
      <c r="I35" s="266" t="s">
        <v>1147</v>
      </c>
      <c r="J35" s="223" t="str">
        <f>'WetLitterbags placem_collection'!K36</f>
        <v>G516</v>
      </c>
      <c r="K35" s="225">
        <f>IFERROR(INDEX('Green_rooibos initial weight'!$C$5:$C$1749,MATCH(J35, 'Green_rooibos initial weight'!$A$5:$A$1749,0)),"")</f>
        <v>2.1160000000000001</v>
      </c>
      <c r="L35" s="225">
        <f>IFERROR(K35-(TBIcalc!$H$9+TBIcalc!$H$10),"")</f>
        <v>1.8662000000000001</v>
      </c>
      <c r="M35" s="391">
        <f>AVERAGE(Ashed_controlls!$K$2:$K$11)</f>
        <v>5.5147656768714146</v>
      </c>
      <c r="N35" s="225">
        <f t="shared" si="1"/>
        <v>1.7632834429382258</v>
      </c>
      <c r="O35" s="225">
        <f>IF(IFERROR(INDEX('Both teabags AfterWet'!$C$3:$C$841,MATCH(J35,'Both teabags AfterWet'!$A$3:$A$841,0)),"")="","",(IFERROR(INDEX('Both teabags AfterWet'!$C$3:$C$841,MATCH(J35,'Both teabags AfterWet'!$A$3:$A$841,0)),"")))</f>
        <v>0.87270000000000003</v>
      </c>
      <c r="P35" s="225">
        <f>IFERROR(IF(O35&gt;0,O35-(TBIcalc!$H$9),""),"")</f>
        <v>0.72209999999999996</v>
      </c>
      <c r="Q35" s="225">
        <f>IFERROR(INDEX('Ashed teabags wet'!$K$2:$K$821,MATCH(J35,'Ashed teabags wet'!$A$2:$A$821,0)),"")</f>
        <v>39.314115308151266</v>
      </c>
      <c r="R35" s="225">
        <f t="shared" si="6"/>
        <v>0.43821277335983971</v>
      </c>
      <c r="S35" s="226">
        <f>'WetLitterbags placem_collection'!E36</f>
        <v>42765</v>
      </c>
      <c r="T35" s="226">
        <f>IF('WetLitterbags placem_collection'!G36="","",'WetLitterbags placem_collection'!G36)</f>
        <v>42820</v>
      </c>
      <c r="U35" s="227">
        <f t="shared" si="3"/>
        <v>55</v>
      </c>
      <c r="V35" s="225">
        <f t="shared" si="4"/>
        <v>1.1441000000000001</v>
      </c>
      <c r="W35" s="225">
        <f t="shared" si="5"/>
        <v>1.325070669578386</v>
      </c>
      <c r="X35">
        <f>IFERROR(INDEX(Rainfall_Wet!$O$2:$O$217,MATCH(B35, Rainfall_Wet!$A$2:$A$217,0)),"")</f>
        <v>228.324359195</v>
      </c>
      <c r="Y35" s="231">
        <v>23.96</v>
      </c>
      <c r="Z35" s="231">
        <v>0.91999999999999804</v>
      </c>
      <c r="AA35" s="231">
        <v>75.12</v>
      </c>
      <c r="AB35" s="232" t="s">
        <v>2670</v>
      </c>
      <c r="AC35" s="231">
        <v>1.2493839329719072</v>
      </c>
      <c r="AD35">
        <f>IF('WetLitterbags placem_collection'!AB36="","",'WetLitterbags placem_collection'!AB36)</f>
        <v>6.5</v>
      </c>
      <c r="AE35">
        <f>IF('WetLitterbags placem_collection'!Z36="","",'WetLitterbags placem_collection'!Z36)</f>
        <v>14.2</v>
      </c>
      <c r="AF35" s="246" t="str">
        <f>IF('WetLitterbags placem_collection'!AA36="","",'WetLitterbags placem_collection'!AA36)</f>
        <v>G</v>
      </c>
      <c r="AG35">
        <f>IF('WetLitterbags placem_collection'!AC36="","",'WetLitterbags placem_collection'!AC36)</f>
        <v>0</v>
      </c>
      <c r="AH35" s="24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placem_collection'!V36)),"YES","NO")</f>
        <v>YES</v>
      </c>
      <c r="AM35" t="str">
        <f>IF(ISNUMBER(SEARCH("H", 'WetLitterbags placem_collection'!V36)),"YES","NO")</f>
        <v>YES</v>
      </c>
      <c r="AN35" t="str">
        <f>IF(ISNUMBER(SEARCH("R", 'WetLitterbags placem_collection'!V36)),"YES","NO")</f>
        <v>YES</v>
      </c>
    </row>
    <row r="36" spans="1:40">
      <c r="A36" s="258" t="s">
        <v>2460</v>
      </c>
      <c r="B36" s="263">
        <f>'Dry_Litterbag Placem_Collection'!A37</f>
        <v>35</v>
      </c>
      <c r="C36" s="263" t="str">
        <f>'Dry_Litterbag Placem_Collection'!B37</f>
        <v>Makao</v>
      </c>
      <c r="D36" s="263" t="s">
        <v>2659</v>
      </c>
      <c r="E36" s="263" t="s">
        <v>20</v>
      </c>
      <c r="F36" s="263">
        <v>1</v>
      </c>
      <c r="G36" s="264" t="str">
        <f>'Dry_Litterbag Placem_Collection'!C37</f>
        <v>Dry_P1_T3</v>
      </c>
      <c r="H36" s="265" t="s">
        <v>2541</v>
      </c>
      <c r="I36" s="266" t="s">
        <v>1147</v>
      </c>
      <c r="J36" s="223" t="str">
        <f>'WetLitterbags placem_collection'!K37</f>
        <v>G670</v>
      </c>
      <c r="K36" s="225">
        <f>IFERROR(INDEX('Green_rooibos initial weight'!$C$5:$C$1749,MATCH(J36, 'Green_rooibos initial weight'!$A$5:$A$1749,0)),"")</f>
        <v>2.0950000000000002</v>
      </c>
      <c r="L36" s="225">
        <f>IFERROR(K36-(TBIcalc!$H$9+TBIcalc!$H$10),"")</f>
        <v>1.8452000000000002</v>
      </c>
      <c r="M36" s="391">
        <f>AVERAGE(Ashed_controlls!$K$2:$K$11)</f>
        <v>5.5147656768714146</v>
      </c>
      <c r="N36" s="225">
        <f t="shared" si="1"/>
        <v>1.7434415437303687</v>
      </c>
      <c r="O36" s="225">
        <f>IF(IFERROR(INDEX('Both teabags AfterWet'!$C$3:$C$841,MATCH(J36,'Both teabags AfterWet'!$A$3:$A$841,0)),"")="","",(IFERROR(INDEX('Both teabags AfterWet'!$C$3:$C$841,MATCH(J36,'Both teabags AfterWet'!$A$3:$A$841,0)),"")))</f>
        <v>0.81699999999999995</v>
      </c>
      <c r="P36" s="225">
        <f>IFERROR(IF(O36&gt;0,O36-(TBIcalc!$H$9),""),"")</f>
        <v>0.66639999999999988</v>
      </c>
      <c r="Q36" s="225">
        <f>IFERROR(INDEX('Ashed teabags wet'!$K$2:$K$821,MATCH(J36,'Ashed teabags wet'!$A$2:$A$821,0)),"")</f>
        <v>18.585762064022571</v>
      </c>
      <c r="R36" s="225">
        <f t="shared" si="6"/>
        <v>0.54254448160535351</v>
      </c>
      <c r="S36" s="226">
        <f>'WetLitterbags placem_collection'!E37</f>
        <v>42765</v>
      </c>
      <c r="T36" s="226">
        <f>IF('WetLitterbags placem_collection'!G37="","",'WetLitterbags placem_collection'!G37)</f>
        <v>42820</v>
      </c>
      <c r="U36" s="227">
        <f t="shared" si="3"/>
        <v>55</v>
      </c>
      <c r="V36" s="225">
        <f t="shared" si="4"/>
        <v>1.1788000000000003</v>
      </c>
      <c r="W36" s="225">
        <f t="shared" si="5"/>
        <v>1.2008970621250152</v>
      </c>
      <c r="X36">
        <f>IFERROR(INDEX(Rainfall_Wet!$O$2:$O$217,MATCH(B36, Rainfall_Wet!$A$2:$A$217,0)),"")</f>
        <v>228.324359195</v>
      </c>
      <c r="Y36" s="231">
        <v>23.96</v>
      </c>
      <c r="Z36" s="231">
        <v>0.91999999999999804</v>
      </c>
      <c r="AA36" s="231">
        <v>75.12</v>
      </c>
      <c r="AB36" s="232" t="s">
        <v>2670</v>
      </c>
      <c r="AC36" s="231">
        <v>1.2493839329719072</v>
      </c>
      <c r="AD36">
        <f>IF('WetLitterbags placem_collection'!AB37="","",'WetLitterbags placem_collection'!AB37)</f>
        <v>0.7</v>
      </c>
      <c r="AE36">
        <f>IF('WetLitterbags placem_collection'!Z37="","",'WetLitterbags placem_collection'!Z37)</f>
        <v>10.6</v>
      </c>
      <c r="AF36" s="246" t="str">
        <f>IF('WetLitterbags placem_collection'!AA37="","",'WetLitterbags placem_collection'!AA37)</f>
        <v>G</v>
      </c>
      <c r="AG36">
        <f>IF('WetLitterbags placem_collection'!AC37="","",'WetLitterbags placem_collection'!AC37)</f>
        <v>0</v>
      </c>
      <c r="AH36" s="24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placem_collection'!V37)),"YES","NO")</f>
        <v>NO</v>
      </c>
      <c r="AM36" t="str">
        <f>IF(ISNUMBER(SEARCH("H", 'WetLitterbags placem_collection'!V37)),"YES","NO")</f>
        <v>NO</v>
      </c>
      <c r="AN36" t="str">
        <f>IF(ISNUMBER(SEARCH("R", 'WetLitterbags placem_collection'!V37)),"YES","NO")</f>
        <v>NO</v>
      </c>
    </row>
    <row r="37" spans="1:40">
      <c r="A37" s="258" t="s">
        <v>2460</v>
      </c>
      <c r="B37" s="263">
        <f>'Dry_Litterbag Placem_Collection'!A38</f>
        <v>36</v>
      </c>
      <c r="C37" s="263" t="str">
        <f>'Dry_Litterbag Placem_Collection'!B38</f>
        <v>Makao</v>
      </c>
      <c r="D37" s="263" t="s">
        <v>2659</v>
      </c>
      <c r="E37" s="263" t="s">
        <v>20</v>
      </c>
      <c r="F37" s="263">
        <v>1</v>
      </c>
      <c r="G37" s="264" t="str">
        <f>'Dry_Litterbag Placem_Collection'!C38</f>
        <v>Dry_P1_T4</v>
      </c>
      <c r="H37" s="265" t="s">
        <v>2541</v>
      </c>
      <c r="I37" s="266" t="s">
        <v>1147</v>
      </c>
      <c r="J37" s="223" t="str">
        <f>'WetLitterbags placem_collection'!K38</f>
        <v>G507</v>
      </c>
      <c r="K37" s="225">
        <f>IFERROR(INDEX('Green_rooibos initial weight'!$C$5:$C$1749,MATCH(J37, 'Green_rooibos initial weight'!$A$5:$A$1749,0)),"")</f>
        <v>1.99</v>
      </c>
      <c r="L37" s="225">
        <f>IFERROR(K37-(TBIcalc!$H$9+TBIcalc!$H$10),"")</f>
        <v>1.7402</v>
      </c>
      <c r="M37" s="391">
        <f>AVERAGE(Ashed_controlls!$K$2:$K$11)</f>
        <v>5.5147656768714146</v>
      </c>
      <c r="N37" s="225">
        <f t="shared" si="1"/>
        <v>1.6442320476910837</v>
      </c>
      <c r="O37" s="225">
        <f>IF(IFERROR(INDEX('Both teabags AfterWet'!$C$3:$C$841,MATCH(J37,'Both teabags AfterWet'!$A$3:$A$841,0)),"")="","",(IFERROR(INDEX('Both teabags AfterWet'!$C$3:$C$841,MATCH(J37,'Both teabags AfterWet'!$A$3:$A$841,0)),"")))</f>
        <v>0.68100000000000005</v>
      </c>
      <c r="P37" s="225">
        <f>IFERROR(IF(O37&gt;0,O37-(TBIcalc!$H$9),""),"")</f>
        <v>0.53039999999999998</v>
      </c>
      <c r="Q37" s="225">
        <f>IFERROR(INDEX('Ashed teabags wet'!$K$2:$K$821,MATCH(J37,'Ashed teabags wet'!$A$2:$A$821,0)),"")</f>
        <v>8.3009708737862624</v>
      </c>
      <c r="R37" s="225">
        <f t="shared" si="6"/>
        <v>0.48637165048543762</v>
      </c>
      <c r="S37" s="226">
        <f>'WetLitterbags placem_collection'!E38</f>
        <v>42765</v>
      </c>
      <c r="T37" s="226">
        <f>IF('WetLitterbags placem_collection'!G38="","",'WetLitterbags placem_collection'!G38)</f>
        <v>42820</v>
      </c>
      <c r="U37" s="227">
        <f t="shared" si="3"/>
        <v>55</v>
      </c>
      <c r="V37" s="225">
        <f t="shared" si="4"/>
        <v>1.2098</v>
      </c>
      <c r="W37" s="225">
        <f t="shared" si="5"/>
        <v>1.157860397205646</v>
      </c>
      <c r="X37">
        <f>IFERROR(INDEX(Rainfall_Wet!$O$2:$O$217,MATCH(B37, Rainfall_Wet!$A$2:$A$217,0)),"")</f>
        <v>228.324359195</v>
      </c>
      <c r="Y37" s="231">
        <v>23.96</v>
      </c>
      <c r="Z37" s="231">
        <v>0.91999999999999804</v>
      </c>
      <c r="AA37" s="231">
        <v>75.12</v>
      </c>
      <c r="AB37" s="232" t="s">
        <v>2670</v>
      </c>
      <c r="AC37" s="231">
        <v>1.2493839329719072</v>
      </c>
      <c r="AD37">
        <f>IF('WetLitterbags placem_collection'!AB38="","",'WetLitterbags placem_collection'!AB38)</f>
        <v>3.3</v>
      </c>
      <c r="AE37">
        <f>IF('WetLitterbags placem_collection'!Z38="","",'WetLitterbags placem_collection'!Z38)</f>
        <v>4.9000000000000004</v>
      </c>
      <c r="AF37" s="246" t="str">
        <f>IF('WetLitterbags placem_collection'!AA38="","",'WetLitterbags placem_collection'!AA38)</f>
        <v>G</v>
      </c>
      <c r="AG37">
        <f>IF('WetLitterbags placem_collection'!AC38="","",'WetLitterbags placem_collection'!AC38)</f>
        <v>1</v>
      </c>
      <c r="AH37" s="24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placem_collection'!V38)),"YES","NO")</f>
        <v>NO</v>
      </c>
      <c r="AM37" t="str">
        <f>IF(ISNUMBER(SEARCH("H", 'WetLitterbags placem_collection'!V38)),"YES","NO")</f>
        <v>NO</v>
      </c>
      <c r="AN37" t="str">
        <f>IF(ISNUMBER(SEARCH("R", 'WetLitterbags placem_collection'!V38)),"YES","NO")</f>
        <v>YES</v>
      </c>
    </row>
    <row r="38" spans="1:40">
      <c r="A38" s="258" t="s">
        <v>2460</v>
      </c>
      <c r="B38" s="263">
        <f>'Dry_Litterbag Placem_Collection'!A39</f>
        <v>37</v>
      </c>
      <c r="C38" s="263" t="str">
        <f>'Dry_Litterbag Placem_Collection'!B39</f>
        <v>Makao</v>
      </c>
      <c r="D38" s="263" t="s">
        <v>2659</v>
      </c>
      <c r="E38" s="263" t="s">
        <v>20</v>
      </c>
      <c r="F38" s="263">
        <v>1</v>
      </c>
      <c r="G38" s="264" t="str">
        <f>'Dry_Litterbag Placem_Collection'!C39</f>
        <v>Dry_P1_T5</v>
      </c>
      <c r="H38" s="265" t="s">
        <v>2541</v>
      </c>
      <c r="I38" s="266" t="s">
        <v>1147</v>
      </c>
      <c r="J38" s="223" t="str">
        <f>'WetLitterbags placem_collection'!K39</f>
        <v>G359</v>
      </c>
      <c r="K38" s="225">
        <f>IFERROR(INDEX('Green_rooibos initial weight'!$C$5:$C$1749,MATCH(J38, 'Green_rooibos initial weight'!$A$5:$A$1749,0)),"")</f>
        <v>1.9790000000000001</v>
      </c>
      <c r="L38" s="225">
        <f>IFERROR(K38-(TBIcalc!$H$9+TBIcalc!$H$10),"")</f>
        <v>1.7292000000000001</v>
      </c>
      <c r="M38" s="391">
        <f>AVERAGE(Ashed_controlls!$K$2:$K$11)</f>
        <v>5.5147656768714146</v>
      </c>
      <c r="N38" s="225">
        <f t="shared" si="1"/>
        <v>1.6338386719155396</v>
      </c>
      <c r="O38" s="225">
        <f>IF(IFERROR(INDEX('Both teabags AfterWet'!$C$3:$C$841,MATCH(J38,'Both teabags AfterWet'!$A$3:$A$841,0)),"")="","",(IFERROR(INDEX('Both teabags AfterWet'!$C$3:$C$841,MATCH(J38,'Both teabags AfterWet'!$A$3:$A$841,0)),"")))</f>
        <v>0.94699999999999995</v>
      </c>
      <c r="P38" s="225">
        <f>IFERROR(IF(O38&gt;0,O38-(TBIcalc!$H$9),""),"")</f>
        <v>0.7964</v>
      </c>
      <c r="Q38" s="225">
        <f>IFERROR(INDEX('Ashed teabags wet'!$K$2:$K$821,MATCH(J38,'Ashed teabags wet'!$A$2:$A$821,0)),"")</f>
        <v>25.172074729596577</v>
      </c>
      <c r="R38" s="225">
        <f t="shared" si="6"/>
        <v>0.59592959685349289</v>
      </c>
      <c r="S38" s="226">
        <f>'WetLitterbags placem_collection'!E39</f>
        <v>42765</v>
      </c>
      <c r="T38" s="226">
        <f>IF('WetLitterbags placem_collection'!G39="","",'WetLitterbags placem_collection'!G39)</f>
        <v>42820</v>
      </c>
      <c r="U38" s="227">
        <f t="shared" si="3"/>
        <v>55</v>
      </c>
      <c r="V38" s="225">
        <f t="shared" si="4"/>
        <v>0.93280000000000007</v>
      </c>
      <c r="W38" s="225">
        <f t="shared" si="5"/>
        <v>1.0379090750620468</v>
      </c>
      <c r="X38">
        <f>IFERROR(INDEX(Rainfall_Wet!$O$2:$O$217,MATCH(B38, Rainfall_Wet!$A$2:$A$217,0)),"")</f>
        <v>228.324359195</v>
      </c>
      <c r="Y38" s="231">
        <v>23.96</v>
      </c>
      <c r="Z38" s="231">
        <v>0.91999999999999804</v>
      </c>
      <c r="AA38" s="231">
        <v>75.12</v>
      </c>
      <c r="AB38" s="232" t="s">
        <v>2670</v>
      </c>
      <c r="AC38" s="231">
        <v>1.2493839329719072</v>
      </c>
      <c r="AD38">
        <f>IF('WetLitterbags placem_collection'!AB39="","",'WetLitterbags placem_collection'!AB39)</f>
        <v>8.3000000000000007</v>
      </c>
      <c r="AE38">
        <f>IF('WetLitterbags placem_collection'!Z39="","",'WetLitterbags placem_collection'!Z39)</f>
        <v>27.8</v>
      </c>
      <c r="AF38" s="246" t="str">
        <f>IF('WetLitterbags placem_collection'!AA39="","",'WetLitterbags placem_collection'!AA39)</f>
        <v>G</v>
      </c>
      <c r="AG38">
        <f>IF('WetLitterbags placem_collection'!AC39="","",'WetLitterbags placem_collection'!AC39)</f>
        <v>0</v>
      </c>
      <c r="AH38" s="24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placem_collection'!V39)),"YES","NO")</f>
        <v>YES</v>
      </c>
      <c r="AM38" t="str">
        <f>IF(ISNUMBER(SEARCH("H", 'WetLitterbags placem_collection'!V39)),"YES","NO")</f>
        <v>YES</v>
      </c>
      <c r="AN38" t="str">
        <f>IF(ISNUMBER(SEARCH("R", 'WetLitterbags placem_collection'!V39)),"YES","NO")</f>
        <v>NO</v>
      </c>
    </row>
    <row r="39" spans="1:40">
      <c r="A39" s="258" t="s">
        <v>2460</v>
      </c>
      <c r="B39" s="263">
        <f>'Dry_Litterbag Placem_Collection'!A40</f>
        <v>38</v>
      </c>
      <c r="C39" s="263" t="str">
        <f>'Dry_Litterbag Placem_Collection'!B40</f>
        <v>Makao</v>
      </c>
      <c r="D39" s="263" t="s">
        <v>2659</v>
      </c>
      <c r="E39" s="263" t="s">
        <v>20</v>
      </c>
      <c r="F39" s="263">
        <v>1</v>
      </c>
      <c r="G39" s="264" t="str">
        <f>'Dry_Litterbag Placem_Collection'!C40</f>
        <v>Dry_P1_T6</v>
      </c>
      <c r="H39" s="265" t="s">
        <v>2541</v>
      </c>
      <c r="I39" s="266" t="s">
        <v>1147</v>
      </c>
      <c r="J39" s="223" t="str">
        <f>'WetLitterbags placem_collection'!K40</f>
        <v>G499</v>
      </c>
      <c r="K39" s="225">
        <f>IFERROR(INDEX('Green_rooibos initial weight'!$C$5:$C$1749,MATCH(J39, 'Green_rooibos initial weight'!$A$5:$A$1749,0)),"")</f>
        <v>1.9419999999999999</v>
      </c>
      <c r="L39" s="225">
        <f>IFERROR(K39-(TBIcalc!$H$9+TBIcalc!$H$10),"")</f>
        <v>1.6921999999999999</v>
      </c>
      <c r="M39" s="391">
        <f>AVERAGE(Ashed_controlls!$K$2:$K$11)</f>
        <v>5.5147656768714146</v>
      </c>
      <c r="N39" s="225">
        <f t="shared" si="1"/>
        <v>1.5988791352159819</v>
      </c>
      <c r="O39" s="225">
        <f>IF(IFERROR(INDEX('Both teabags AfterWet'!$C$3:$C$841,MATCH(J39,'Both teabags AfterWet'!$A$3:$A$841,0)),"")="","",(IFERROR(INDEX('Both teabags AfterWet'!$C$3:$C$841,MATCH(J39,'Both teabags AfterWet'!$A$3:$A$841,0)),"")))</f>
        <v>1.4741</v>
      </c>
      <c r="P39" s="225">
        <f>IFERROR(IF(O39&gt;0,O39-(TBIcalc!$H$9),""),"")</f>
        <v>1.3234999999999999</v>
      </c>
      <c r="Q39" s="225">
        <f>IFERROR(INDEX('Ashed teabags wet'!$K$2:$K$821,MATCH(J39,'Ashed teabags wet'!$A$2:$A$821,0)),"")</f>
        <v>18.802992518703331</v>
      </c>
      <c r="R39" s="225">
        <f t="shared" si="6"/>
        <v>1.0746423940149614</v>
      </c>
      <c r="S39" s="226">
        <f>'WetLitterbags placem_collection'!E40</f>
        <v>42765</v>
      </c>
      <c r="T39" s="226">
        <f>IF('WetLitterbags placem_collection'!G40="","",'WetLitterbags placem_collection'!G40)</f>
        <v>42820</v>
      </c>
      <c r="U39" s="227">
        <f t="shared" si="3"/>
        <v>55</v>
      </c>
      <c r="V39" s="225">
        <f t="shared" si="4"/>
        <v>0.36870000000000003</v>
      </c>
      <c r="W39" s="225">
        <f t="shared" si="5"/>
        <v>0.52423674120102048</v>
      </c>
      <c r="X39">
        <f>IFERROR(INDEX(Rainfall_Wet!$O$2:$O$217,MATCH(B39, Rainfall_Wet!$A$2:$A$217,0)),"")</f>
        <v>228.324359195</v>
      </c>
      <c r="Y39" s="231">
        <v>23.96</v>
      </c>
      <c r="Z39" s="231">
        <v>0.91999999999999804</v>
      </c>
      <c r="AA39" s="231">
        <v>75.12</v>
      </c>
      <c r="AB39" s="232" t="s">
        <v>2670</v>
      </c>
      <c r="AC39" s="231">
        <v>1.2493839329719072</v>
      </c>
      <c r="AD39">
        <f>IF('WetLitterbags placem_collection'!AB40="","",'WetLitterbags placem_collection'!AB40)</f>
        <v>2</v>
      </c>
      <c r="AE39">
        <f>IF('WetLitterbags placem_collection'!Z40="","",'WetLitterbags placem_collection'!Z40)</f>
        <v>20.399999999999999</v>
      </c>
      <c r="AF39" s="246" t="str">
        <f>IF('WetLitterbags placem_collection'!AA40="","",'WetLitterbags placem_collection'!AA40)</f>
        <v>O</v>
      </c>
      <c r="AG39">
        <f>IF('WetLitterbags placem_collection'!AC40="","",'WetLitterbags placem_collection'!AC40)</f>
        <v>0</v>
      </c>
      <c r="AH39" s="24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placem_collection'!V40)),"YES","NO")</f>
        <v>YES</v>
      </c>
      <c r="AM39" t="str">
        <f>IF(ISNUMBER(SEARCH("H", 'WetLitterbags placem_collection'!V40)),"YES","NO")</f>
        <v>YES</v>
      </c>
      <c r="AN39" t="str">
        <f>IF(ISNUMBER(SEARCH("R", 'WetLitterbags placem_collection'!V40)),"YES","NO")</f>
        <v>YES</v>
      </c>
    </row>
    <row r="40" spans="1:40">
      <c r="A40" s="258" t="s">
        <v>2460</v>
      </c>
      <c r="B40" s="263">
        <f>'Dry_Litterbag Placem_Collection'!A41</f>
        <v>39</v>
      </c>
      <c r="C40" s="263" t="str">
        <f>'Dry_Litterbag Placem_Collection'!B41</f>
        <v>Makao</v>
      </c>
      <c r="D40" s="263" t="s">
        <v>2659</v>
      </c>
      <c r="E40" s="263" t="s">
        <v>20</v>
      </c>
      <c r="F40" s="263">
        <v>1</v>
      </c>
      <c r="G40" s="264" t="str">
        <f>'Dry_Litterbag Placem_Collection'!C41</f>
        <v>Dry_P1_T7</v>
      </c>
      <c r="H40" s="265" t="s">
        <v>2541</v>
      </c>
      <c r="I40" s="266" t="s">
        <v>1147</v>
      </c>
      <c r="J40" s="223" t="str">
        <f>'WetLitterbags placem_collection'!K41</f>
        <v>G214</v>
      </c>
      <c r="K40" s="225">
        <f>IFERROR(INDEX('Green_rooibos initial weight'!$C$5:$C$1749,MATCH(J40, 'Green_rooibos initial weight'!$A$5:$A$1749,0)),"")</f>
        <v>1.9850000000000001</v>
      </c>
      <c r="L40" s="225">
        <f>IFERROR(K40-(TBIcalc!$H$9+TBIcalc!$H$10),"")</f>
        <v>1.7352000000000001</v>
      </c>
      <c r="M40" s="391">
        <f>AVERAGE(Ashed_controlls!$K$2:$K$11)</f>
        <v>5.5147656768714146</v>
      </c>
      <c r="N40" s="225">
        <f t="shared" si="1"/>
        <v>1.6395077859749272</v>
      </c>
      <c r="O40" s="225">
        <f>IF(IFERROR(INDEX('Both teabags AfterWet'!$C$3:$C$841,MATCH(J40,'Both teabags AfterWet'!$A$3:$A$841,0)),"")="","",(IFERROR(INDEX('Both teabags AfterWet'!$C$3:$C$841,MATCH(J40,'Both teabags AfterWet'!$A$3:$A$841,0)),"")))</f>
        <v>0.8327</v>
      </c>
      <c r="P40" s="225">
        <f>IFERROR(IF(O40&gt;0,O40-(TBIcalc!$H$9),""),"")</f>
        <v>0.68209999999999993</v>
      </c>
      <c r="Q40" s="225">
        <f>IFERROR(INDEX('Ashed teabags wet'!$K$2:$K$821,MATCH(J40,'Ashed teabags wet'!$A$2:$A$821,0)),"")</f>
        <v>9.9461048505627083</v>
      </c>
      <c r="R40" s="225">
        <f t="shared" si="6"/>
        <v>0.61425761881431173</v>
      </c>
      <c r="S40" s="226">
        <f>'WetLitterbags placem_collection'!E41</f>
        <v>42765</v>
      </c>
      <c r="T40" s="226">
        <f>IF('WetLitterbags placem_collection'!G41="","",'WetLitterbags placem_collection'!G41)</f>
        <v>42820</v>
      </c>
      <c r="U40" s="227">
        <f t="shared" si="3"/>
        <v>55</v>
      </c>
      <c r="V40" s="225">
        <f t="shared" si="4"/>
        <v>1.0531000000000001</v>
      </c>
      <c r="W40" s="225">
        <f t="shared" si="5"/>
        <v>1.0252501671606153</v>
      </c>
      <c r="X40">
        <f>IFERROR(INDEX(Rainfall_Wet!$O$2:$O$217,MATCH(B40, Rainfall_Wet!$A$2:$A$217,0)),"")</f>
        <v>228.324359195</v>
      </c>
      <c r="Y40" s="231">
        <v>23.96</v>
      </c>
      <c r="Z40" s="231">
        <v>0.91999999999999804</v>
      </c>
      <c r="AA40" s="231">
        <v>75.12</v>
      </c>
      <c r="AB40" s="232" t="s">
        <v>2670</v>
      </c>
      <c r="AC40" s="231">
        <v>1.2493839329719072</v>
      </c>
      <c r="AD40">
        <f>IF('WetLitterbags placem_collection'!AB41="","",'WetLitterbags placem_collection'!AB41)</f>
        <v>2.4</v>
      </c>
      <c r="AE40">
        <f>IF('WetLitterbags placem_collection'!Z41="","",'WetLitterbags placem_collection'!Z41)</f>
        <v>18</v>
      </c>
      <c r="AF40" s="246" t="str">
        <f>IF('WetLitterbags placem_collection'!AA41="","",'WetLitterbags placem_collection'!AA41)</f>
        <v>G</v>
      </c>
      <c r="AG40">
        <f>IF('WetLitterbags placem_collection'!AC41="","",'WetLitterbags placem_collection'!AC41)</f>
        <v>1</v>
      </c>
      <c r="AH40" s="24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placem_collection'!V41)),"YES","NO")</f>
        <v>NO</v>
      </c>
      <c r="AM40" t="str">
        <f>IF(ISNUMBER(SEARCH("H", 'WetLitterbags placem_collection'!V41)),"YES","NO")</f>
        <v>NO</v>
      </c>
      <c r="AN40" t="str">
        <f>IF(ISNUMBER(SEARCH("R", 'WetLitterbags placem_collection'!V41)),"YES","NO")</f>
        <v>YES</v>
      </c>
    </row>
    <row r="41" spans="1:40">
      <c r="A41" s="258" t="s">
        <v>2460</v>
      </c>
      <c r="B41" s="263">
        <f>'Dry_Litterbag Placem_Collection'!A42</f>
        <v>40</v>
      </c>
      <c r="C41" s="263" t="str">
        <f>'Dry_Litterbag Placem_Collection'!B42</f>
        <v>Makao</v>
      </c>
      <c r="D41" s="263" t="s">
        <v>2659</v>
      </c>
      <c r="E41" s="263" t="s">
        <v>20</v>
      </c>
      <c r="F41" s="263">
        <v>1</v>
      </c>
      <c r="G41" s="264" t="str">
        <f>'Dry_Litterbag Placem_Collection'!C42</f>
        <v>Dry_P1_T8</v>
      </c>
      <c r="H41" s="265" t="s">
        <v>2541</v>
      </c>
      <c r="I41" s="266" t="s">
        <v>1147</v>
      </c>
      <c r="J41" s="223" t="str">
        <f>'WetLitterbags placem_collection'!K42</f>
        <v>G582</v>
      </c>
      <c r="K41" s="225">
        <f>IFERROR(INDEX('Green_rooibos initial weight'!$C$5:$C$1749,MATCH(J41, 'Green_rooibos initial weight'!$A$5:$A$1749,0)),"")</f>
        <v>2.0219999999999998</v>
      </c>
      <c r="L41" s="225">
        <f>IFERROR(K41-(TBIcalc!$H$9+TBIcalc!$H$10),"")</f>
        <v>1.7721999999999998</v>
      </c>
      <c r="M41" s="391">
        <f>AVERAGE(Ashed_controlls!$K$2:$K$11)</f>
        <v>5.5147656768714146</v>
      </c>
      <c r="N41" s="225">
        <f t="shared" si="1"/>
        <v>1.6744673226744846</v>
      </c>
      <c r="O41" s="225">
        <f>IF(IFERROR(INDEX('Both teabags AfterWet'!$C$3:$C$841,MATCH(J41,'Both teabags AfterWet'!$A$3:$A$841,0)),"")="","",(IFERROR(INDEX('Both teabags AfterWet'!$C$3:$C$841,MATCH(J41,'Both teabags AfterWet'!$A$3:$A$841,0)),"")))</f>
        <v>0.89800000000000002</v>
      </c>
      <c r="P41" s="225">
        <f>IFERROR(IF(O41&gt;0,O41-(TBIcalc!$H$9),""),"")</f>
        <v>0.74740000000000006</v>
      </c>
      <c r="Q41" s="225">
        <f>IFERROR(INDEX('Ashed teabags wet'!$K$2:$K$821,MATCH(J41,'Ashed teabags wet'!$A$2:$A$821,0)),"")</f>
        <v>16.507777220271233</v>
      </c>
      <c r="R41" s="225">
        <f t="shared" si="6"/>
        <v>0.62402087305569287</v>
      </c>
      <c r="S41" s="226">
        <f>'WetLitterbags placem_collection'!E42</f>
        <v>42765</v>
      </c>
      <c r="T41" s="226">
        <f>IF('WetLitterbags placem_collection'!G42="","",'WetLitterbags placem_collection'!G42)</f>
        <v>42820</v>
      </c>
      <c r="U41" s="227">
        <f t="shared" si="3"/>
        <v>55</v>
      </c>
      <c r="V41" s="225">
        <f t="shared" si="4"/>
        <v>1.0247999999999997</v>
      </c>
      <c r="W41" s="225">
        <f t="shared" si="5"/>
        <v>1.0504464496187917</v>
      </c>
      <c r="X41">
        <f>IFERROR(INDEX(Rainfall_Wet!$O$2:$O$217,MATCH(B41, Rainfall_Wet!$A$2:$A$217,0)),"")</f>
        <v>228.324359195</v>
      </c>
      <c r="Y41" s="231">
        <v>23.96</v>
      </c>
      <c r="Z41" s="231">
        <v>0.91999999999999804</v>
      </c>
      <c r="AA41" s="231">
        <v>75.12</v>
      </c>
      <c r="AB41" s="232" t="s">
        <v>2670</v>
      </c>
      <c r="AC41" s="231">
        <v>1.2493839329719072</v>
      </c>
      <c r="AD41">
        <f>IF('WetLitterbags placem_collection'!AB42="","",'WetLitterbags placem_collection'!AB42)</f>
        <v>8.6999999999999993</v>
      </c>
      <c r="AE41">
        <f>IF('WetLitterbags placem_collection'!Z42="","",'WetLitterbags placem_collection'!Z42)</f>
        <v>19.3</v>
      </c>
      <c r="AF41" s="246" t="str">
        <f>IF('WetLitterbags placem_collection'!AA42="","",'WetLitterbags placem_collection'!AA42)</f>
        <v>G</v>
      </c>
      <c r="AG41">
        <f>IF('WetLitterbags placem_collection'!AC42="","",'WetLitterbags placem_collection'!AC42)</f>
        <v>0</v>
      </c>
      <c r="AH41" s="24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placem_collection'!V42)),"YES","NO")</f>
        <v>NO</v>
      </c>
      <c r="AM41" t="str">
        <f>IF(ISNUMBER(SEARCH("H", 'WetLitterbags placem_collection'!V42)),"YES","NO")</f>
        <v>YES</v>
      </c>
      <c r="AN41" t="str">
        <f>IF(ISNUMBER(SEARCH("R", 'WetLitterbags placem_collection'!V42)),"YES","NO")</f>
        <v>NO</v>
      </c>
    </row>
    <row r="42" spans="1:40">
      <c r="A42" s="258" t="s">
        <v>2460</v>
      </c>
      <c r="B42" s="263">
        <f>'Dry_Litterbag Placem_Collection'!A43</f>
        <v>41</v>
      </c>
      <c r="C42" s="263" t="str">
        <f>'Dry_Litterbag Placem_Collection'!B43</f>
        <v>Makao</v>
      </c>
      <c r="D42" s="263" t="s">
        <v>2659</v>
      </c>
      <c r="E42" s="263" t="s">
        <v>20</v>
      </c>
      <c r="F42" s="263">
        <v>2</v>
      </c>
      <c r="G42" s="264" t="str">
        <f>'Dry_Litterbag Placem_Collection'!C43</f>
        <v>Dry_P2_T1</v>
      </c>
      <c r="H42" s="265" t="s">
        <v>2541</v>
      </c>
      <c r="I42" s="266" t="s">
        <v>1147</v>
      </c>
      <c r="J42" s="223" t="str">
        <f>'WetLitterbags placem_collection'!K43</f>
        <v>G453</v>
      </c>
      <c r="K42" s="225">
        <f>IFERROR(INDEX('Green_rooibos initial weight'!$C$5:$C$1749,MATCH(J42, 'Green_rooibos initial weight'!$A$5:$A$1749,0)),"")</f>
        <v>2.0790000000000002</v>
      </c>
      <c r="L42" s="225">
        <f>IFERROR(K42-(TBIcalc!$H$9+TBIcalc!$H$10),"")</f>
        <v>1.8292000000000002</v>
      </c>
      <c r="M42" s="391">
        <f>AVERAGE(Ashed_controlls!$K$2:$K$11)</f>
        <v>5.5147656768714146</v>
      </c>
      <c r="N42" s="225">
        <f t="shared" si="1"/>
        <v>1.7283239062386682</v>
      </c>
      <c r="O42" s="225">
        <f>IF(IFERROR(INDEX('Both teabags AfterWet'!$C$3:$C$841,MATCH(J42,'Both teabags AfterWet'!$A$3:$A$841,0)),"")="","",(IFERROR(INDEX('Both teabags AfterWet'!$C$3:$C$841,MATCH(J42,'Both teabags AfterWet'!$A$3:$A$841,0)),"")))</f>
        <v>1.0509999999999999</v>
      </c>
      <c r="P42" s="225">
        <f>IFERROR(IF(O42&gt;0,O42-(TBIcalc!$H$9),""),"")</f>
        <v>0.90039999999999987</v>
      </c>
      <c r="Q42" s="225">
        <f>IFERROR(INDEX('Ashed teabags wet'!$K$2:$K$821,MATCH(J42,'Ashed teabags wet'!$A$2:$A$821,0)),"")</f>
        <v>20.029673590504579</v>
      </c>
      <c r="R42" s="225">
        <f t="shared" si="6"/>
        <v>0.72005281899109663</v>
      </c>
      <c r="S42" s="226">
        <f>'WetLitterbags placem_collection'!E43</f>
        <v>42766</v>
      </c>
      <c r="T42" s="226">
        <f>IF('WetLitterbags placem_collection'!G43="","",'WetLitterbags placem_collection'!G43)</f>
        <v>42820</v>
      </c>
      <c r="U42" s="227">
        <f t="shared" si="3"/>
        <v>54</v>
      </c>
      <c r="V42" s="225">
        <f t="shared" si="4"/>
        <v>0.92880000000000029</v>
      </c>
      <c r="W42" s="225">
        <f t="shared" si="5"/>
        <v>1.0082710872475715</v>
      </c>
      <c r="X42">
        <f>IFERROR(INDEX(Rainfall_Wet!$O$2:$O$217,MATCH(B42, Rainfall_Wet!$A$2:$A$217,0)),"")</f>
        <v>214.262898705</v>
      </c>
      <c r="Y42" s="231">
        <v>19.96</v>
      </c>
      <c r="Z42" s="231">
        <v>4.9199999999999982</v>
      </c>
      <c r="AA42" s="231">
        <v>75.12</v>
      </c>
      <c r="AB42" s="232" t="s">
        <v>2671</v>
      </c>
      <c r="AC42" s="231">
        <v>1.641498275012321</v>
      </c>
      <c r="AD42">
        <f>IF('WetLitterbags placem_collection'!AB43="","",'WetLitterbags placem_collection'!AB43)</f>
        <v>4</v>
      </c>
      <c r="AE42">
        <f>IF('WetLitterbags placem_collection'!Z43="","",'WetLitterbags placem_collection'!Z43)</f>
        <v>19.100000000000001</v>
      </c>
      <c r="AF42" s="246" t="str">
        <f>IF('WetLitterbags placem_collection'!AA43="","",'WetLitterbags placem_collection'!AA43)</f>
        <v>G</v>
      </c>
      <c r="AG42">
        <f>IF('WetLitterbags placem_collection'!AC43="","",'WetLitterbags placem_collection'!AC43)</f>
        <v>0</v>
      </c>
      <c r="AH42" s="24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placem_collection'!V43)),"YES","NO")</f>
        <v>NO</v>
      </c>
      <c r="AM42" t="str">
        <f>IF(ISNUMBER(SEARCH("H", 'WetLitterbags placem_collection'!V43)),"YES","NO")</f>
        <v>YES</v>
      </c>
      <c r="AN42" t="str">
        <f>IF(ISNUMBER(SEARCH("R", 'WetLitterbags placem_collection'!V43)),"YES","NO")</f>
        <v>YES</v>
      </c>
    </row>
    <row r="43" spans="1:40">
      <c r="A43" s="258" t="s">
        <v>2460</v>
      </c>
      <c r="B43" s="263">
        <f>'Dry_Litterbag Placem_Collection'!A44</f>
        <v>42</v>
      </c>
      <c r="C43" s="263" t="str">
        <f>'Dry_Litterbag Placem_Collection'!B44</f>
        <v>Makao</v>
      </c>
      <c r="D43" s="263" t="s">
        <v>2659</v>
      </c>
      <c r="E43" s="263" t="s">
        <v>20</v>
      </c>
      <c r="F43" s="263">
        <v>2</v>
      </c>
      <c r="G43" s="264" t="str">
        <f>'Dry_Litterbag Placem_Collection'!C44</f>
        <v>Dry_P2_T2</v>
      </c>
      <c r="H43" s="265" t="s">
        <v>2541</v>
      </c>
      <c r="I43" s="266" t="s">
        <v>1147</v>
      </c>
      <c r="J43" s="223" t="str">
        <f>'WetLitterbags placem_collection'!K44</f>
        <v>G764</v>
      </c>
      <c r="K43" s="225">
        <f>IFERROR(INDEX('Green_rooibos initial weight'!$C$5:$C$1749,MATCH(J43, 'Green_rooibos initial weight'!$A$5:$A$1749,0)),"")</f>
        <v>1.9510000000000001</v>
      </c>
      <c r="L43" s="225">
        <f>IFERROR(K43-(TBIcalc!$H$9+TBIcalc!$H$10),"")</f>
        <v>1.7012</v>
      </c>
      <c r="M43" s="391">
        <f>AVERAGE(Ashed_controlls!$K$2:$K$11)</f>
        <v>5.5147656768714146</v>
      </c>
      <c r="N43" s="225">
        <f t="shared" si="1"/>
        <v>1.6073828063050635</v>
      </c>
      <c r="O43" s="225">
        <f>IF(IFERROR(INDEX('Both teabags AfterWet'!$C$3:$C$841,MATCH(J43,'Both teabags AfterWet'!$A$3:$A$841,0)),"")="","",(IFERROR(INDEX('Both teabags AfterWet'!$C$3:$C$841,MATCH(J43,'Both teabags AfterWet'!$A$3:$A$841,0)),"")))</f>
        <v>0.72199999999999998</v>
      </c>
      <c r="P43" s="225">
        <f>IFERROR(IF(O43&gt;0,O43-(TBIcalc!$H$9),""),"")</f>
        <v>0.57139999999999991</v>
      </c>
      <c r="Q43" s="225">
        <f>IFERROR(INDEX('Ashed teabags wet'!$K$2:$K$821,MATCH(J43,'Ashed teabags wet'!$A$2:$A$821,0)),"")</f>
        <v>14.236790606653615</v>
      </c>
      <c r="R43" s="225">
        <f t="shared" si="6"/>
        <v>0.49005097847358114</v>
      </c>
      <c r="S43" s="226">
        <f>'WetLitterbags placem_collection'!E44</f>
        <v>42766</v>
      </c>
      <c r="T43" s="226">
        <f>IF('WetLitterbags placem_collection'!G44="","",'WetLitterbags placem_collection'!G44)</f>
        <v>42820</v>
      </c>
      <c r="U43" s="227">
        <f t="shared" si="3"/>
        <v>54</v>
      </c>
      <c r="V43" s="225">
        <f t="shared" si="4"/>
        <v>1.1298000000000001</v>
      </c>
      <c r="W43" s="225">
        <f t="shared" si="5"/>
        <v>1.1173318278314823</v>
      </c>
      <c r="X43">
        <f>IFERROR(INDEX(Rainfall_Wet!$O$2:$O$217,MATCH(B43, Rainfall_Wet!$A$2:$A$217,0)),"")</f>
        <v>214.262898705</v>
      </c>
      <c r="Y43" s="231">
        <v>19.96</v>
      </c>
      <c r="Z43" s="231">
        <v>4.9199999999999982</v>
      </c>
      <c r="AA43" s="231">
        <v>75.12</v>
      </c>
      <c r="AB43" s="232" t="s">
        <v>2671</v>
      </c>
      <c r="AC43" s="231">
        <v>1.641498275012321</v>
      </c>
      <c r="AD43">
        <f>IF('WetLitterbags placem_collection'!AB44="","",'WetLitterbags placem_collection'!AB44)</f>
        <v>5.9</v>
      </c>
      <c r="AE43">
        <f>IF('WetLitterbags placem_collection'!Z44="","",'WetLitterbags placem_collection'!Z44)</f>
        <v>12.7</v>
      </c>
      <c r="AF43" s="246" t="str">
        <f>IF('WetLitterbags placem_collection'!AA44="","",'WetLitterbags placem_collection'!AA44)</f>
        <v>G</v>
      </c>
      <c r="AG43">
        <f>IF('WetLitterbags placem_collection'!AC44="","",'WetLitterbags placem_collection'!AC44)</f>
        <v>0</v>
      </c>
      <c r="AH43" s="24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placem_collection'!V44)),"YES","NO")</f>
        <v>NO</v>
      </c>
      <c r="AM43" t="str">
        <f>IF(ISNUMBER(SEARCH("H", 'WetLitterbags placem_collection'!V44)),"YES","NO")</f>
        <v>YES</v>
      </c>
      <c r="AN43" t="str">
        <f>IF(ISNUMBER(SEARCH("R", 'WetLitterbags placem_collection'!V44)),"YES","NO")</f>
        <v>NO</v>
      </c>
    </row>
    <row r="44" spans="1:40">
      <c r="A44" s="258" t="s">
        <v>2460</v>
      </c>
      <c r="B44" s="263">
        <f>'Dry_Litterbag Placem_Collection'!A45</f>
        <v>43</v>
      </c>
      <c r="C44" s="263" t="str">
        <f>'Dry_Litterbag Placem_Collection'!B45</f>
        <v>Makao</v>
      </c>
      <c r="D44" s="263" t="s">
        <v>2659</v>
      </c>
      <c r="E44" s="263" t="s">
        <v>20</v>
      </c>
      <c r="F44" s="263">
        <v>2</v>
      </c>
      <c r="G44" s="264" t="str">
        <f>'Dry_Litterbag Placem_Collection'!C45</f>
        <v>Dry_P2_T3</v>
      </c>
      <c r="H44" s="265" t="s">
        <v>2541</v>
      </c>
      <c r="I44" s="266" t="s">
        <v>1147</v>
      </c>
      <c r="J44" s="223" t="str">
        <f>'WetLitterbags placem_collection'!K45</f>
        <v>G690</v>
      </c>
      <c r="K44" s="225">
        <f>IFERROR(INDEX('Green_rooibos initial weight'!$C$5:$C$1749,MATCH(J44, 'Green_rooibos initial weight'!$A$5:$A$1749,0)),"")</f>
        <v>2.0739999999999998</v>
      </c>
      <c r="L44" s="225">
        <f>IFERROR(K44-(TBIcalc!$H$9+TBIcalc!$H$10),"")</f>
        <v>1.8241999999999998</v>
      </c>
      <c r="M44" s="391">
        <f>AVERAGE(Ashed_controlls!$K$2:$K$11)</f>
        <v>5.5147656768714146</v>
      </c>
      <c r="N44" s="225">
        <f t="shared" si="1"/>
        <v>1.7235996445225115</v>
      </c>
      <c r="O44" s="225">
        <f>IF(IFERROR(INDEX('Both teabags AfterWet'!$C$3:$C$841,MATCH(J44,'Both teabags AfterWet'!$A$3:$A$841,0)),"")="","",(IFERROR(INDEX('Both teabags AfterWet'!$C$3:$C$841,MATCH(J44,'Both teabags AfterWet'!$A$3:$A$841,0)),"")))</f>
        <v>0.71519999999999995</v>
      </c>
      <c r="P44" s="225">
        <f>IFERROR(IF(O44&gt;0,O44-(TBIcalc!$H$9),""),"")</f>
        <v>0.56459999999999999</v>
      </c>
      <c r="Q44" s="225">
        <f>IFERROR(INDEX('Ashed teabags wet'!$K$2:$K$821,MATCH(J44,'Ashed teabags wet'!$A$2:$A$821,0)),"")</f>
        <v>10.60532687651348</v>
      </c>
      <c r="R44" s="225">
        <f t="shared" si="6"/>
        <v>0.50472232445520493</v>
      </c>
      <c r="S44" s="226">
        <f>'WetLitterbags placem_collection'!E45</f>
        <v>42766</v>
      </c>
      <c r="T44" s="226">
        <f>IF('WetLitterbags placem_collection'!G45="","",'WetLitterbags placem_collection'!G45)</f>
        <v>42820</v>
      </c>
      <c r="U44" s="227">
        <f t="shared" si="3"/>
        <v>54</v>
      </c>
      <c r="V44" s="225">
        <f t="shared" si="4"/>
        <v>1.2595999999999998</v>
      </c>
      <c r="W44" s="225">
        <f t="shared" si="5"/>
        <v>1.2188773200673064</v>
      </c>
      <c r="X44">
        <f>IFERROR(INDEX(Rainfall_Wet!$O$2:$O$217,MATCH(B44, Rainfall_Wet!$A$2:$A$217,0)),"")</f>
        <v>214.262898705</v>
      </c>
      <c r="Y44" s="231">
        <v>19.96</v>
      </c>
      <c r="Z44" s="231">
        <v>4.9199999999999982</v>
      </c>
      <c r="AA44" s="231">
        <v>75.12</v>
      </c>
      <c r="AB44" s="232" t="s">
        <v>2671</v>
      </c>
      <c r="AC44" s="231">
        <v>1.641498275012321</v>
      </c>
      <c r="AD44">
        <f>IF('WetLitterbags placem_collection'!AB45="","",'WetLitterbags placem_collection'!AB45)</f>
        <v>5</v>
      </c>
      <c r="AE44">
        <f>IF('WetLitterbags placem_collection'!Z45="","",'WetLitterbags placem_collection'!Z45)</f>
        <v>26.3</v>
      </c>
      <c r="AF44" s="246" t="str">
        <f>IF('WetLitterbags placem_collection'!AA45="","",'WetLitterbags placem_collection'!AA45)</f>
        <v>G</v>
      </c>
      <c r="AG44">
        <f>IF('WetLitterbags placem_collection'!AC45="","",'WetLitterbags placem_collection'!AC45)</f>
        <v>0</v>
      </c>
      <c r="AH44" s="24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placem_collection'!V45)),"YES","NO")</f>
        <v>NO</v>
      </c>
      <c r="AM44" t="str">
        <f>IF(ISNUMBER(SEARCH("H", 'WetLitterbags placem_collection'!V45)),"YES","NO")</f>
        <v>YES</v>
      </c>
      <c r="AN44" t="str">
        <f>IF(ISNUMBER(SEARCH("R", 'WetLitterbags placem_collection'!V45)),"YES","NO")</f>
        <v>YES</v>
      </c>
    </row>
    <row r="45" spans="1:40">
      <c r="A45" s="258" t="s">
        <v>2460</v>
      </c>
      <c r="B45" s="263">
        <f>'Dry_Litterbag Placem_Collection'!A46</f>
        <v>44</v>
      </c>
      <c r="C45" s="263" t="str">
        <f>'Dry_Litterbag Placem_Collection'!B46</f>
        <v>Makao</v>
      </c>
      <c r="D45" s="263" t="s">
        <v>2659</v>
      </c>
      <c r="E45" s="263" t="s">
        <v>20</v>
      </c>
      <c r="F45" s="263">
        <v>2</v>
      </c>
      <c r="G45" s="264" t="str">
        <f>'Dry_Litterbag Placem_Collection'!C46</f>
        <v>Dry_P2_T4</v>
      </c>
      <c r="H45" s="265" t="s">
        <v>2541</v>
      </c>
      <c r="I45" s="266" t="s">
        <v>1147</v>
      </c>
      <c r="J45" s="223" t="str">
        <f>'WetLitterbags placem_collection'!K46</f>
        <v>G774</v>
      </c>
      <c r="K45" s="225">
        <f>IFERROR(INDEX('Green_rooibos initial weight'!$C$5:$C$1749,MATCH(J45, 'Green_rooibos initial weight'!$A$5:$A$1749,0)),"")</f>
        <v>2.0049999999999999</v>
      </c>
      <c r="L45" s="225">
        <f>IFERROR(K45-(TBIcalc!$H$9+TBIcalc!$H$10),"")</f>
        <v>1.7551999999999999</v>
      </c>
      <c r="M45" s="391">
        <f>AVERAGE(Ashed_controlls!$K$2:$K$11)</f>
        <v>5.5147656768714146</v>
      </c>
      <c r="N45" s="225">
        <f t="shared" si="1"/>
        <v>1.6584048328395529</v>
      </c>
      <c r="O45" s="225">
        <f>IF(IFERROR(INDEX('Both teabags AfterWet'!$C$3:$C$841,MATCH(J45,'Both teabags AfterWet'!$A$3:$A$841,0)),"")="","",(IFERROR(INDEX('Both teabags AfterWet'!$C$3:$C$841,MATCH(J45,'Both teabags AfterWet'!$A$3:$A$841,0)),"")))</f>
        <v>0.89559999999999995</v>
      </c>
      <c r="P45" s="225">
        <f>IFERROR(IF(O45&gt;0,O45-(TBIcalc!$H$9),""),"")</f>
        <v>0.74499999999999988</v>
      </c>
      <c r="Q45" s="225">
        <f>IFERROR(INDEX('Ashed teabags wet'!$K$2:$K$821,MATCH(J45,'Ashed teabags wet'!$A$2:$A$821,0)),"")</f>
        <v>8.346293416277824</v>
      </c>
      <c r="R45" s="225">
        <f t="shared" si="6"/>
        <v>0.68282011404873011</v>
      </c>
      <c r="S45" s="226">
        <f>'WetLitterbags placem_collection'!E46</f>
        <v>42766</v>
      </c>
      <c r="T45" s="226">
        <f>IF('WetLitterbags placem_collection'!G46="","",'WetLitterbags placem_collection'!G46)</f>
        <v>42820</v>
      </c>
      <c r="U45" s="227">
        <f t="shared" si="3"/>
        <v>54</v>
      </c>
      <c r="V45" s="225">
        <f t="shared" si="4"/>
        <v>1.0102</v>
      </c>
      <c r="W45" s="225">
        <f t="shared" si="5"/>
        <v>0.97558471879082276</v>
      </c>
      <c r="X45">
        <f>IFERROR(INDEX(Rainfall_Wet!$O$2:$O$217,MATCH(B45, Rainfall_Wet!$A$2:$A$217,0)),"")</f>
        <v>214.262898705</v>
      </c>
      <c r="Y45" s="231">
        <v>19.96</v>
      </c>
      <c r="Z45" s="231">
        <v>4.9199999999999982</v>
      </c>
      <c r="AA45" s="231">
        <v>75.12</v>
      </c>
      <c r="AB45" s="232" t="s">
        <v>2671</v>
      </c>
      <c r="AC45" s="231">
        <v>1.641498275012321</v>
      </c>
      <c r="AD45">
        <f>IF('WetLitterbags placem_collection'!AB46="","",'WetLitterbags placem_collection'!AB46)</f>
        <v>2.6</v>
      </c>
      <c r="AE45">
        <f>IF('WetLitterbags placem_collection'!Z46="","",'WetLitterbags placem_collection'!Z46)</f>
        <v>39.200000000000003</v>
      </c>
      <c r="AF45" s="246" t="str">
        <f>IF('WetLitterbags placem_collection'!AA46="","",'WetLitterbags placem_collection'!AA46)</f>
        <v>G</v>
      </c>
      <c r="AG45">
        <f>IF('WetLitterbags placem_collection'!AC46="","",'WetLitterbags placem_collection'!AC46)</f>
        <v>0</v>
      </c>
      <c r="AH45" s="24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placem_collection'!V46)),"YES","NO")</f>
        <v>NO</v>
      </c>
      <c r="AM45" t="str">
        <f>IF(ISNUMBER(SEARCH("H", 'WetLitterbags placem_collection'!V46)),"YES","NO")</f>
        <v>NO</v>
      </c>
      <c r="AN45" t="str">
        <f>IF(ISNUMBER(SEARCH("R", 'WetLitterbags placem_collection'!V46)),"YES","NO")</f>
        <v>YES</v>
      </c>
    </row>
    <row r="46" spans="1:40">
      <c r="A46" s="258" t="s">
        <v>2460</v>
      </c>
      <c r="B46" s="263">
        <f>'Dry_Litterbag Placem_Collection'!A47</f>
        <v>45</v>
      </c>
      <c r="C46" s="263" t="str">
        <f>'Dry_Litterbag Placem_Collection'!B47</f>
        <v>Makao</v>
      </c>
      <c r="D46" s="263" t="s">
        <v>2659</v>
      </c>
      <c r="E46" s="263" t="s">
        <v>20</v>
      </c>
      <c r="F46" s="263">
        <v>2</v>
      </c>
      <c r="G46" s="264" t="str">
        <f>'Dry_Litterbag Placem_Collection'!C47</f>
        <v>Dry_P2_T5</v>
      </c>
      <c r="H46" s="265" t="s">
        <v>2541</v>
      </c>
      <c r="I46" s="266" t="s">
        <v>1147</v>
      </c>
      <c r="J46" s="223" t="str">
        <f>'WetLitterbags placem_collection'!K47</f>
        <v>G519</v>
      </c>
      <c r="K46" s="225">
        <f>IFERROR(INDEX('Green_rooibos initial weight'!$C$5:$C$1749,MATCH(J46, 'Green_rooibos initial weight'!$A$5:$A$1749,0)),"")</f>
        <v>2.1429999999999998</v>
      </c>
      <c r="L46" s="225">
        <f>IFERROR(K46-(TBIcalc!$H$9+TBIcalc!$H$10),"")</f>
        <v>1.8931999999999998</v>
      </c>
      <c r="M46" s="391">
        <f>AVERAGE(Ashed_controlls!$K$2:$K$11)</f>
        <v>5.5147656768714146</v>
      </c>
      <c r="N46" s="225">
        <f t="shared" si="1"/>
        <v>1.7887944562054701</v>
      </c>
      <c r="O46" s="225">
        <f>IF(IFERROR(INDEX('Both teabags AfterWet'!$C$3:$C$841,MATCH(J46,'Both teabags AfterWet'!$A$3:$A$841,0)),"")="","",(IFERROR(INDEX('Both teabags AfterWet'!$C$3:$C$841,MATCH(J46,'Both teabags AfterWet'!$A$3:$A$841,0)),"")))</f>
        <v>0.77569999999999995</v>
      </c>
      <c r="P46" s="225">
        <f>IFERROR(IF(O46&gt;0,O46-(TBIcalc!$H$9),""),"")</f>
        <v>0.62509999999999999</v>
      </c>
      <c r="Q46" s="225">
        <f>IFERROR(INDEX('Ashed teabags wet'!$K$2:$K$821,MATCH(J46,'Ashed teabags wet'!$A$2:$A$821,0)),"")</f>
        <v>9.376558603491624</v>
      </c>
      <c r="R46" s="225">
        <f t="shared" si="6"/>
        <v>0.5664871321695738</v>
      </c>
      <c r="S46" s="226">
        <f>'WetLitterbags placem_collection'!E47</f>
        <v>42766</v>
      </c>
      <c r="T46" s="226">
        <f>IF('WetLitterbags placem_collection'!G47="","",'WetLitterbags placem_collection'!G47)</f>
        <v>42820</v>
      </c>
      <c r="U46" s="227">
        <f t="shared" si="3"/>
        <v>54</v>
      </c>
      <c r="V46" s="225">
        <f t="shared" si="4"/>
        <v>1.2680999999999998</v>
      </c>
      <c r="W46" s="225">
        <f t="shared" si="5"/>
        <v>1.2223073240358961</v>
      </c>
      <c r="X46">
        <f>IFERROR(INDEX(Rainfall_Wet!$O$2:$O$217,MATCH(B46, Rainfall_Wet!$A$2:$A$217,0)),"")</f>
        <v>214.262898705</v>
      </c>
      <c r="Y46" s="231">
        <v>19.96</v>
      </c>
      <c r="Z46" s="231">
        <v>4.9199999999999982</v>
      </c>
      <c r="AA46" s="231">
        <v>75.12</v>
      </c>
      <c r="AB46" s="232" t="s">
        <v>2671</v>
      </c>
      <c r="AC46" s="231">
        <v>1.641498275012321</v>
      </c>
      <c r="AD46">
        <f>IF('WetLitterbags placem_collection'!AB47="","",'WetLitterbags placem_collection'!AB47)</f>
        <v>2.2999999999999998</v>
      </c>
      <c r="AE46">
        <f>IF('WetLitterbags placem_collection'!Z47="","",'WetLitterbags placem_collection'!Z47)</f>
        <v>9.3000000000000007</v>
      </c>
      <c r="AF46" s="246" t="str">
        <f>IF('WetLitterbags placem_collection'!AA47="","",'WetLitterbags placem_collection'!AA47)</f>
        <v>O</v>
      </c>
      <c r="AG46">
        <f>IF('WetLitterbags placem_collection'!AC47="","",'WetLitterbags placem_collection'!AC47)</f>
        <v>0</v>
      </c>
      <c r="AH46" s="24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placem_collection'!V47)),"YES","NO")</f>
        <v>NO</v>
      </c>
      <c r="AM46" t="str">
        <f>IF(ISNUMBER(SEARCH("H", 'WetLitterbags placem_collection'!V47)),"YES","NO")</f>
        <v>NO</v>
      </c>
      <c r="AN46" t="str">
        <f>IF(ISNUMBER(SEARCH("R", 'WetLitterbags placem_collection'!V47)),"YES","NO")</f>
        <v>YES</v>
      </c>
    </row>
    <row r="47" spans="1:40">
      <c r="A47" s="258" t="s">
        <v>2460</v>
      </c>
      <c r="B47" s="263">
        <f>'Dry_Litterbag Placem_Collection'!A48</f>
        <v>46</v>
      </c>
      <c r="C47" s="263" t="str">
        <f>'Dry_Litterbag Placem_Collection'!B48</f>
        <v>Makao</v>
      </c>
      <c r="D47" s="263" t="s">
        <v>2659</v>
      </c>
      <c r="E47" s="263" t="s">
        <v>20</v>
      </c>
      <c r="F47" s="263">
        <v>2</v>
      </c>
      <c r="G47" s="264" t="str">
        <f>'Dry_Litterbag Placem_Collection'!C48</f>
        <v>Dry_P2_T6</v>
      </c>
      <c r="H47" s="265" t="s">
        <v>2541</v>
      </c>
      <c r="I47" s="266" t="s">
        <v>1147</v>
      </c>
      <c r="J47" s="223" t="str">
        <f>'WetLitterbags placem_collection'!K48</f>
        <v>G635</v>
      </c>
      <c r="K47" s="225">
        <f>IFERROR(INDEX('Green_rooibos initial weight'!$C$5:$C$1749,MATCH(J47, 'Green_rooibos initial weight'!$A$5:$A$1749,0)),"")</f>
        <v>2.073</v>
      </c>
      <c r="L47" s="225">
        <f>IFERROR(K47-(TBIcalc!$H$9+TBIcalc!$H$10),"")</f>
        <v>1.8231999999999999</v>
      </c>
      <c r="M47" s="391">
        <f>AVERAGE(Ashed_controlls!$K$2:$K$11)</f>
        <v>5.5147656768714146</v>
      </c>
      <c r="N47" s="225">
        <f t="shared" si="1"/>
        <v>1.7226547921792803</v>
      </c>
      <c r="O47" s="225" t="str">
        <f>IF(IFERROR(INDEX('Both teabags AfterWet'!$C$3:$C$841,MATCH(J47,'Both teabags AfterWet'!$A$3:$A$841,0)),"")="","",(IFERROR(INDEX('Both teabags AfterWet'!$C$3:$C$841,MATCH(J47,'Both teabags AfterWet'!$A$3:$A$841,0)),"")))</f>
        <v/>
      </c>
      <c r="P47" s="225" t="str">
        <f>IFERROR(IF(O47&gt;0,O47-(TBIcalc!$H$9),""),"")</f>
        <v/>
      </c>
      <c r="Q47" s="225" t="str">
        <f>IFERROR(INDEX('Ashed teabags wet'!$K$2:$K$821,MATCH(J47,'Ashed teabags wet'!$A$2:$A$821,0)),"")</f>
        <v/>
      </c>
      <c r="R47" s="225" t="str">
        <f t="shared" si="6"/>
        <v/>
      </c>
      <c r="S47" s="226">
        <f>'WetLitterbags placem_collection'!E48</f>
        <v>42766</v>
      </c>
      <c r="T47" s="226">
        <f>IF('WetLitterbags placem_collection'!G48="","",'WetLitterbags placem_collection'!G48)</f>
        <v>42820</v>
      </c>
      <c r="U47" s="227">
        <f t="shared" si="3"/>
        <v>54</v>
      </c>
      <c r="V47" s="225" t="str">
        <f t="shared" si="4"/>
        <v/>
      </c>
      <c r="W47" s="225" t="str">
        <f t="shared" si="5"/>
        <v/>
      </c>
      <c r="X47">
        <f>IFERROR(INDEX(Rainfall_Wet!$O$2:$O$217,MATCH(B47, Rainfall_Wet!$A$2:$A$217,0)),"")</f>
        <v>214.262898705</v>
      </c>
      <c r="Y47" s="231">
        <v>19.96</v>
      </c>
      <c r="Z47" s="231">
        <v>4.9199999999999982</v>
      </c>
      <c r="AA47" s="231">
        <v>75.12</v>
      </c>
      <c r="AB47" s="232" t="s">
        <v>2671</v>
      </c>
      <c r="AC47" s="231">
        <v>1.641498275012321</v>
      </c>
      <c r="AD47" t="str">
        <f>IF('WetLitterbags placem_collection'!AB48="","",'WetLitterbags placem_collection'!AB48)</f>
        <v/>
      </c>
      <c r="AE47" t="str">
        <f>IF('WetLitterbags placem_collection'!Z48="","",'WetLitterbags placem_collection'!Z48)</f>
        <v/>
      </c>
      <c r="AF47" s="246" t="str">
        <f>IF('WetLitterbags placem_collection'!AA48="","",'WetLitterbags placem_collection'!AA48)</f>
        <v/>
      </c>
      <c r="AG47" t="str">
        <f>IF('WetLitterbags placem_collection'!AC48="","",'WetLitterbags placem_collection'!AC48)</f>
        <v/>
      </c>
      <c r="AH47" s="24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placem_collection'!V48)),"YES","NO")</f>
        <v>NO</v>
      </c>
      <c r="AM47" t="str">
        <f>IF(ISNUMBER(SEARCH("H", 'WetLitterbags placem_collection'!V48)),"YES","NO")</f>
        <v>NO</v>
      </c>
      <c r="AN47" t="str">
        <f>IF(ISNUMBER(SEARCH("R", 'WetLitterbags placem_collection'!V48)),"YES","NO")</f>
        <v>NO</v>
      </c>
    </row>
    <row r="48" spans="1:40">
      <c r="A48" s="258" t="s">
        <v>2460</v>
      </c>
      <c r="B48" s="263">
        <f>'Dry_Litterbag Placem_Collection'!A49</f>
        <v>47</v>
      </c>
      <c r="C48" s="263" t="str">
        <f>'Dry_Litterbag Placem_Collection'!B49</f>
        <v>Makao</v>
      </c>
      <c r="D48" s="263" t="s">
        <v>2659</v>
      </c>
      <c r="E48" s="263" t="s">
        <v>20</v>
      </c>
      <c r="F48" s="263">
        <v>2</v>
      </c>
      <c r="G48" s="264" t="str">
        <f>'Dry_Litterbag Placem_Collection'!C49</f>
        <v>Dry_P2_T7</v>
      </c>
      <c r="H48" s="265" t="s">
        <v>2541</v>
      </c>
      <c r="I48" s="266" t="s">
        <v>1147</v>
      </c>
      <c r="J48" s="223" t="str">
        <f>'WetLitterbags placem_collection'!K49</f>
        <v>G539</v>
      </c>
      <c r="K48" s="225">
        <f>IFERROR(INDEX('Green_rooibos initial weight'!$C$5:$C$1749,MATCH(J48, 'Green_rooibos initial weight'!$A$5:$A$1749,0)),"")</f>
        <v>2.1219999999999999</v>
      </c>
      <c r="L48" s="225">
        <f>IFERROR(K48-(TBIcalc!$H$9+TBIcalc!$H$10),"")</f>
        <v>1.8721999999999999</v>
      </c>
      <c r="M48" s="391">
        <f>AVERAGE(Ashed_controlls!$K$2:$K$11)</f>
        <v>5.5147656768714146</v>
      </c>
      <c r="N48" s="225">
        <f t="shared" si="1"/>
        <v>1.7689525569976132</v>
      </c>
      <c r="O48" s="225">
        <f>IF(IFERROR(INDEX('Both teabags AfterWet'!$C$3:$C$841,MATCH(J48,'Both teabags AfterWet'!$A$3:$A$841,0)),"")="","",(IFERROR(INDEX('Both teabags AfterWet'!$C$3:$C$841,MATCH(J48,'Both teabags AfterWet'!$A$3:$A$841,0)),"")))</f>
        <v>0.80700000000000005</v>
      </c>
      <c r="P48" s="225">
        <f>IFERROR(IF(O48&gt;0,O48-(TBIcalc!$H$9),""),"")</f>
        <v>0.65640000000000009</v>
      </c>
      <c r="Q48" s="225">
        <f>IFERROR(INDEX('Ashed teabags wet'!$K$2:$K$821,MATCH(J48,'Ashed teabags wet'!$A$2:$A$821,0)),"")</f>
        <v>11.917347429120182</v>
      </c>
      <c r="R48" s="225">
        <f t="shared" si="6"/>
        <v>0.57817453147525522</v>
      </c>
      <c r="S48" s="226">
        <f>'WetLitterbags placem_collection'!E49</f>
        <v>42766</v>
      </c>
      <c r="T48" s="226">
        <f>IF('WetLitterbags placem_collection'!G49="","",'WetLitterbags placem_collection'!G49)</f>
        <v>42820</v>
      </c>
      <c r="U48" s="227">
        <f t="shared" si="3"/>
        <v>54</v>
      </c>
      <c r="V48" s="225">
        <f t="shared" si="4"/>
        <v>1.2157999999999998</v>
      </c>
      <c r="W48" s="225">
        <f t="shared" si="5"/>
        <v>1.1907780255223579</v>
      </c>
      <c r="X48">
        <f>IFERROR(INDEX(Rainfall_Wet!$O$2:$O$217,MATCH(B48, Rainfall_Wet!$A$2:$A$217,0)),"")</f>
        <v>214.262898705</v>
      </c>
      <c r="Y48" s="231">
        <v>19.96</v>
      </c>
      <c r="Z48" s="231">
        <v>4.9199999999999982</v>
      </c>
      <c r="AA48" s="231">
        <v>75.12</v>
      </c>
      <c r="AB48" s="232" t="s">
        <v>2671</v>
      </c>
      <c r="AC48" s="231">
        <v>1.641498275012321</v>
      </c>
      <c r="AD48">
        <f>IF('WetLitterbags placem_collection'!AB49="","",'WetLitterbags placem_collection'!AB49)</f>
        <v>5.2</v>
      </c>
      <c r="AE48">
        <f>IF('WetLitterbags placem_collection'!Z49="","",'WetLitterbags placem_collection'!Z49)</f>
        <v>5.2</v>
      </c>
      <c r="AF48" s="246" t="str">
        <f>IF('WetLitterbags placem_collection'!AA49="","",'WetLitterbags placem_collection'!AA49)</f>
        <v>G</v>
      </c>
      <c r="AG48">
        <f>IF('WetLitterbags placem_collection'!AC49="","",'WetLitterbags placem_collection'!AC49)</f>
        <v>0</v>
      </c>
      <c r="AH48" s="24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placem_collection'!V49)),"YES","NO")</f>
        <v>NO</v>
      </c>
      <c r="AM48" t="str">
        <f>IF(ISNUMBER(SEARCH("H", 'WetLitterbags placem_collection'!V49)),"YES","NO")</f>
        <v>NO</v>
      </c>
      <c r="AN48" t="str">
        <f>IF(ISNUMBER(SEARCH("R", 'WetLitterbags placem_collection'!V49)),"YES","NO")</f>
        <v>YES</v>
      </c>
    </row>
    <row r="49" spans="1:40">
      <c r="A49" s="258" t="s">
        <v>2460</v>
      </c>
      <c r="B49" s="263">
        <f>'Dry_Litterbag Placem_Collection'!A50</f>
        <v>48</v>
      </c>
      <c r="C49" s="263" t="str">
        <f>'Dry_Litterbag Placem_Collection'!B50</f>
        <v>Makao</v>
      </c>
      <c r="D49" s="263" t="s">
        <v>2659</v>
      </c>
      <c r="E49" s="263" t="s">
        <v>20</v>
      </c>
      <c r="F49" s="263">
        <v>2</v>
      </c>
      <c r="G49" s="264" t="str">
        <f>'Dry_Litterbag Placem_Collection'!C50</f>
        <v>Dry_P2_T8</v>
      </c>
      <c r="H49" s="265" t="s">
        <v>2541</v>
      </c>
      <c r="I49" s="266" t="s">
        <v>1147</v>
      </c>
      <c r="J49" s="223" t="str">
        <f>'WetLitterbags placem_collection'!K50</f>
        <v>G679</v>
      </c>
      <c r="K49" s="225">
        <f>IFERROR(INDEX('Green_rooibos initial weight'!$C$5:$C$1749,MATCH(J49, 'Green_rooibos initial weight'!$A$5:$A$1749,0)),"")</f>
        <v>2.052</v>
      </c>
      <c r="L49" s="225">
        <f>IFERROR(K49-(TBIcalc!$H$9+TBIcalc!$H$10),"")</f>
        <v>1.8022</v>
      </c>
      <c r="M49" s="391">
        <f>AVERAGE(Ashed_controlls!$K$2:$K$11)</f>
        <v>5.5147656768714146</v>
      </c>
      <c r="N49" s="225">
        <f t="shared" si="1"/>
        <v>1.7028128929714235</v>
      </c>
      <c r="O49" s="225">
        <f>IF(IFERROR(INDEX('Both teabags AfterWet'!$C$3:$C$841,MATCH(J49,'Both teabags AfterWet'!$A$3:$A$841,0)),"")="","",(IFERROR(INDEX('Both teabags AfterWet'!$C$3:$C$841,MATCH(J49,'Both teabags AfterWet'!$A$3:$A$841,0)),"")))</f>
        <v>0.83199999999999996</v>
      </c>
      <c r="P49" s="225">
        <f>IFERROR(IF(O49&gt;0,O49-(TBIcalc!$H$9),""),"")</f>
        <v>0.68140000000000001</v>
      </c>
      <c r="Q49" s="225">
        <f>IFERROR(INDEX('Ashed teabags wet'!$K$2:$K$821,MATCH(J49,'Ashed teabags wet'!$A$2:$A$821,0)),"")</f>
        <v>7.6283618581914308</v>
      </c>
      <c r="R49" s="225">
        <f t="shared" si="6"/>
        <v>0.62942034229828359</v>
      </c>
      <c r="S49" s="226">
        <f>'WetLitterbags placem_collection'!E50</f>
        <v>42766</v>
      </c>
      <c r="T49" s="226">
        <f>IF('WetLitterbags placem_collection'!G50="","",'WetLitterbags placem_collection'!G50)</f>
        <v>42820</v>
      </c>
      <c r="U49" s="227">
        <f t="shared" si="3"/>
        <v>54</v>
      </c>
      <c r="V49" s="225">
        <f t="shared" si="4"/>
        <v>1.1208</v>
      </c>
      <c r="W49" s="225">
        <f t="shared" si="5"/>
        <v>1.0733925506731399</v>
      </c>
      <c r="X49">
        <f>IFERROR(INDEX(Rainfall_Wet!$O$2:$O$217,MATCH(B49, Rainfall_Wet!$A$2:$A$217,0)),"")</f>
        <v>214.262898705</v>
      </c>
      <c r="Y49" s="231">
        <v>19.96</v>
      </c>
      <c r="Z49" s="231">
        <v>4.9199999999999982</v>
      </c>
      <c r="AA49" s="231">
        <v>75.12</v>
      </c>
      <c r="AB49" s="232" t="s">
        <v>2671</v>
      </c>
      <c r="AC49" s="231">
        <v>1.641498275012321</v>
      </c>
      <c r="AD49">
        <f>IF('WetLitterbags placem_collection'!AB50="","",'WetLitterbags placem_collection'!AB50)</f>
        <v>7.3</v>
      </c>
      <c r="AE49">
        <f>IF('WetLitterbags placem_collection'!Z50="","",'WetLitterbags placem_collection'!Z50)</f>
        <v>27.2</v>
      </c>
      <c r="AF49" s="246" t="str">
        <f>IF('WetLitterbags placem_collection'!AA50="","",'WetLitterbags placem_collection'!AA50)</f>
        <v>M</v>
      </c>
      <c r="AG49">
        <f>IF('WetLitterbags placem_collection'!AC50="","",'WetLitterbags placem_collection'!AC50)</f>
        <v>0</v>
      </c>
      <c r="AH49" s="24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placem_collection'!V50)),"YES","NO")</f>
        <v>NO</v>
      </c>
      <c r="AM49" t="str">
        <f>IF(ISNUMBER(SEARCH("H", 'WetLitterbags placem_collection'!V50)),"YES","NO")</f>
        <v>NO</v>
      </c>
      <c r="AN49" t="str">
        <f>IF(ISNUMBER(SEARCH("R", 'WetLitterbags placem_collection'!V50)),"YES","NO")</f>
        <v>YES</v>
      </c>
    </row>
    <row r="50" spans="1:40">
      <c r="A50" s="258" t="s">
        <v>2460</v>
      </c>
      <c r="B50" s="263">
        <f>'Dry_Litterbag Placem_Collection'!A51</f>
        <v>49</v>
      </c>
      <c r="C50" s="263" t="str">
        <f>'Dry_Litterbag Placem_Collection'!B51</f>
        <v>Makao</v>
      </c>
      <c r="D50" s="263" t="s">
        <v>2659</v>
      </c>
      <c r="E50" s="263" t="s">
        <v>20</v>
      </c>
      <c r="F50" s="263">
        <v>3</v>
      </c>
      <c r="G50" s="264" t="str">
        <f>'Dry_Litterbag Placem_Collection'!C51</f>
        <v>Dry_P3_T1</v>
      </c>
      <c r="H50" s="265" t="s">
        <v>2541</v>
      </c>
      <c r="I50" s="266" t="s">
        <v>1147</v>
      </c>
      <c r="J50" s="223" t="str">
        <f>'WetLitterbags placem_collection'!K51</f>
        <v>G346</v>
      </c>
      <c r="K50" s="225">
        <f>IFERROR(INDEX('Green_rooibos initial weight'!$C$5:$C$1749,MATCH(J50, 'Green_rooibos initial weight'!$A$5:$A$1749,0)),"")</f>
        <v>2.012</v>
      </c>
      <c r="L50" s="225">
        <f>IFERROR(K50-(TBIcalc!$H$9+TBIcalc!$H$10),"")</f>
        <v>1.7622</v>
      </c>
      <c r="M50" s="391">
        <f>AVERAGE(Ashed_controlls!$K$2:$K$11)</f>
        <v>5.5147656768714146</v>
      </c>
      <c r="N50" s="225">
        <f t="shared" si="1"/>
        <v>1.6650187992421719</v>
      </c>
      <c r="O50" s="225">
        <f>IF(IFERROR(INDEX('Both teabags AfterWet'!$C$3:$C$841,MATCH(J50,'Both teabags AfterWet'!$A$3:$A$841,0)),"")="","",(IFERROR(INDEX('Both teabags AfterWet'!$C$3:$C$841,MATCH(J50,'Both teabags AfterWet'!$A$3:$A$841,0)),"")))</f>
        <v>1.0001</v>
      </c>
      <c r="P50" s="225">
        <f>IFERROR(IF(O50&gt;0,O50-(TBIcalc!$H$9),""),"")</f>
        <v>0.84949999999999992</v>
      </c>
      <c r="Q50" s="225">
        <f>IFERROR(INDEX('Ashed teabags wet'!$K$2:$K$821,MATCH(J50,'Ashed teabags wet'!$A$2:$A$821,0)),"")</f>
        <v>20.217498764212234</v>
      </c>
      <c r="R50" s="225">
        <f t="shared" si="6"/>
        <v>0.67775234799801698</v>
      </c>
      <c r="S50" s="226">
        <f>'WetLitterbags placem_collection'!E51</f>
        <v>42766</v>
      </c>
      <c r="T50" s="226">
        <f>IF('WetLitterbags placem_collection'!G51="","",'WetLitterbags placem_collection'!G51)</f>
        <v>42820</v>
      </c>
      <c r="U50" s="227">
        <f t="shared" si="3"/>
        <v>54</v>
      </c>
      <c r="V50" s="225">
        <f t="shared" si="4"/>
        <v>0.91270000000000007</v>
      </c>
      <c r="W50" s="225">
        <f t="shared" si="5"/>
        <v>0.98726645124415491</v>
      </c>
      <c r="X50">
        <f>IFERROR(INDEX(Rainfall_Wet!$O$2:$O$217,MATCH(B50, Rainfall_Wet!$A$2:$A$217,0)),"")</f>
        <v>214.262898705</v>
      </c>
      <c r="Y50" s="231">
        <v>21.96</v>
      </c>
      <c r="Z50" s="231">
        <v>8.9199999999999982</v>
      </c>
      <c r="AA50" s="231">
        <v>69.12</v>
      </c>
      <c r="AB50" s="232" t="s">
        <v>2670</v>
      </c>
      <c r="AC50" s="231">
        <v>1.7491375061606702</v>
      </c>
      <c r="AD50">
        <f>IF('WetLitterbags placem_collection'!AB51="","",'WetLitterbags placem_collection'!AB51)</f>
        <v>10.4</v>
      </c>
      <c r="AE50">
        <f>IF('WetLitterbags placem_collection'!Z51="","",'WetLitterbags placem_collection'!Z51)</f>
        <v>36</v>
      </c>
      <c r="AF50" s="246" t="str">
        <f>IF('WetLitterbags placem_collection'!AA51="","",'WetLitterbags placem_collection'!AA51)</f>
        <v>M</v>
      </c>
      <c r="AG50">
        <f>IF('WetLitterbags placem_collection'!AC51="","",'WetLitterbags placem_collection'!AC51)</f>
        <v>1</v>
      </c>
      <c r="AH50" s="24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placem_collection'!V51)),"YES","NO")</f>
        <v>NO</v>
      </c>
      <c r="AM50" t="str">
        <f>IF(ISNUMBER(SEARCH("H", 'WetLitterbags placem_collection'!V51)),"YES","NO")</f>
        <v>NO</v>
      </c>
      <c r="AN50" t="str">
        <f>IF(ISNUMBER(SEARCH("R", 'WetLitterbags placem_collection'!V51)),"YES","NO")</f>
        <v>YES</v>
      </c>
    </row>
    <row r="51" spans="1:40">
      <c r="A51" s="258" t="s">
        <v>2460</v>
      </c>
      <c r="B51" s="263">
        <f>'Dry_Litterbag Placem_Collection'!A52</f>
        <v>50</v>
      </c>
      <c r="C51" s="263" t="str">
        <f>'Dry_Litterbag Placem_Collection'!B52</f>
        <v>Makao</v>
      </c>
      <c r="D51" s="263" t="s">
        <v>2659</v>
      </c>
      <c r="E51" s="263" t="s">
        <v>20</v>
      </c>
      <c r="F51" s="263">
        <v>3</v>
      </c>
      <c r="G51" s="264" t="str">
        <f>'Dry_Litterbag Placem_Collection'!C52</f>
        <v>Dry_P3_T2</v>
      </c>
      <c r="H51" s="265" t="s">
        <v>2541</v>
      </c>
      <c r="I51" s="266" t="s">
        <v>1147</v>
      </c>
      <c r="J51" s="223" t="str">
        <f>'WetLitterbags placem_collection'!K52</f>
        <v>G418</v>
      </c>
      <c r="K51" s="225">
        <f>IFERROR(INDEX('Green_rooibos initial weight'!$C$5:$C$1749,MATCH(J51, 'Green_rooibos initial weight'!$A$5:$A$1749,0)),"")</f>
        <v>2.016</v>
      </c>
      <c r="L51" s="225">
        <f>IFERROR(K51-(TBIcalc!$H$9+TBIcalc!$H$10),"")</f>
        <v>1.7662</v>
      </c>
      <c r="M51" s="391">
        <f>AVERAGE(Ashed_controlls!$K$2:$K$11)</f>
        <v>5.5147656768714146</v>
      </c>
      <c r="N51" s="225">
        <f t="shared" si="1"/>
        <v>1.668798208615097</v>
      </c>
      <c r="O51" s="225" t="str">
        <f>IF(IFERROR(INDEX('Both teabags AfterWet'!$C$3:$C$841,MATCH(J51,'Both teabags AfterWet'!$A$3:$A$841,0)),"")="","",(IFERROR(INDEX('Both teabags AfterWet'!$C$3:$C$841,MATCH(J51,'Both teabags AfterWet'!$A$3:$A$841,0)),"")))</f>
        <v/>
      </c>
      <c r="P51" s="225" t="str">
        <f>IFERROR(IF(O51&gt;0,O51-(TBIcalc!$H$9),""),"")</f>
        <v/>
      </c>
      <c r="Q51" s="225" t="str">
        <f>IFERROR(INDEX('Ashed teabags wet'!$K$2:$K$821,MATCH(J51,'Ashed teabags wet'!$A$2:$A$821,0)),"")</f>
        <v/>
      </c>
      <c r="R51" s="225" t="str">
        <f t="shared" si="6"/>
        <v/>
      </c>
      <c r="S51" s="226">
        <f>'WetLitterbags placem_collection'!E52</f>
        <v>42766</v>
      </c>
      <c r="T51" s="226">
        <f>IF('WetLitterbags placem_collection'!G52="","",'WetLitterbags placem_collection'!G52)</f>
        <v>42820</v>
      </c>
      <c r="U51" s="227">
        <f t="shared" si="3"/>
        <v>54</v>
      </c>
      <c r="V51" s="225" t="str">
        <f t="shared" si="4"/>
        <v/>
      </c>
      <c r="W51" s="225" t="str">
        <f t="shared" si="5"/>
        <v/>
      </c>
      <c r="X51">
        <f>IFERROR(INDEX(Rainfall_Wet!$O$2:$O$217,MATCH(B51, Rainfall_Wet!$A$2:$A$217,0)),"")</f>
        <v>214.262898705</v>
      </c>
      <c r="Y51" s="231">
        <v>21.96</v>
      </c>
      <c r="Z51" s="231">
        <v>8.9199999999999982</v>
      </c>
      <c r="AA51" s="231">
        <v>69.12</v>
      </c>
      <c r="AB51" s="232" t="s">
        <v>2670</v>
      </c>
      <c r="AC51" s="231">
        <v>1.7491375061606702</v>
      </c>
      <c r="AD51">
        <f>IF('WetLitterbags placem_collection'!AB52="","",'WetLitterbags placem_collection'!AB52)</f>
        <v>10</v>
      </c>
      <c r="AE51">
        <f>IF('WetLitterbags placem_collection'!Z52="","",'WetLitterbags placem_collection'!Z52)</f>
        <v>22.5</v>
      </c>
      <c r="AF51" s="246" t="str">
        <f>IF('WetLitterbags placem_collection'!AA52="","",'WetLitterbags placem_collection'!AA52)</f>
        <v>M</v>
      </c>
      <c r="AG51">
        <f>IF('WetLitterbags placem_collection'!AC52="","",'WetLitterbags placem_collection'!AC52)</f>
        <v>1</v>
      </c>
      <c r="AH51" s="24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placem_collection'!V52)),"YES","NO")</f>
        <v>NO</v>
      </c>
      <c r="AM51" t="str">
        <f>IF(ISNUMBER(SEARCH("H", 'WetLitterbags placem_collection'!V52)),"YES","NO")</f>
        <v>NO</v>
      </c>
      <c r="AN51" t="str">
        <f>IF(ISNUMBER(SEARCH("R", 'WetLitterbags placem_collection'!V52)),"YES","NO")</f>
        <v>NO</v>
      </c>
    </row>
    <row r="52" spans="1:40">
      <c r="A52" s="258" t="s">
        <v>2460</v>
      </c>
      <c r="B52" s="263">
        <f>'Dry_Litterbag Placem_Collection'!A53</f>
        <v>51</v>
      </c>
      <c r="C52" s="263" t="str">
        <f>'Dry_Litterbag Placem_Collection'!B53</f>
        <v>Makao</v>
      </c>
      <c r="D52" s="263" t="s">
        <v>2659</v>
      </c>
      <c r="E52" s="263" t="s">
        <v>20</v>
      </c>
      <c r="F52" s="263">
        <v>3</v>
      </c>
      <c r="G52" s="264" t="str">
        <f>'Dry_Litterbag Placem_Collection'!C53</f>
        <v>Dry_P3_T3</v>
      </c>
      <c r="H52" s="265" t="s">
        <v>2541</v>
      </c>
      <c r="I52" s="266" t="s">
        <v>1147</v>
      </c>
      <c r="J52" s="223" t="str">
        <f>'WetLitterbags placem_collection'!K53</f>
        <v>G548</v>
      </c>
      <c r="K52" s="225">
        <f>IFERROR(INDEX('Green_rooibos initial weight'!$C$5:$C$1749,MATCH(J52, 'Green_rooibos initial weight'!$A$5:$A$1749,0)),"")</f>
        <v>2.169</v>
      </c>
      <c r="L52" s="225">
        <f>IFERROR(K52-(TBIcalc!$H$9+TBIcalc!$H$10),"")</f>
        <v>1.9192</v>
      </c>
      <c r="M52" s="391">
        <f>AVERAGE(Ashed_controlls!$K$2:$K$11)</f>
        <v>5.5147656768714146</v>
      </c>
      <c r="N52" s="225">
        <f t="shared" si="1"/>
        <v>1.8133606171294838</v>
      </c>
      <c r="O52" s="225">
        <f>IF(IFERROR(INDEX('Both teabags AfterWet'!$C$3:$C$841,MATCH(J52,'Both teabags AfterWet'!$A$3:$A$841,0)),"")="","",(IFERROR(INDEX('Both teabags AfterWet'!$C$3:$C$841,MATCH(J52,'Both teabags AfterWet'!$A$3:$A$841,0)),"")))</f>
        <v>0.86399999999999999</v>
      </c>
      <c r="P52" s="225">
        <f>IFERROR(IF(O52&gt;0,O52-(TBIcalc!$H$9),""),"")</f>
        <v>0.71340000000000003</v>
      </c>
      <c r="Q52" s="225">
        <f>IFERROR(INDEX('Ashed teabags wet'!$K$2:$K$821,MATCH(J52,'Ashed teabags wet'!$A$2:$A$821,0)),"")</f>
        <v>8.9955022488745993</v>
      </c>
      <c r="R52" s="225">
        <f t="shared" si="6"/>
        <v>0.64922608695652861</v>
      </c>
      <c r="S52" s="226">
        <f>'WetLitterbags placem_collection'!E53</f>
        <v>42766</v>
      </c>
      <c r="T52" s="226">
        <f>IF('WetLitterbags placem_collection'!G53="","",'WetLitterbags placem_collection'!G53)</f>
        <v>42820</v>
      </c>
      <c r="U52" s="227">
        <f t="shared" si="3"/>
        <v>54</v>
      </c>
      <c r="V52" s="225">
        <f t="shared" si="4"/>
        <v>1.2058</v>
      </c>
      <c r="W52" s="225">
        <f t="shared" si="5"/>
        <v>1.1641345301729551</v>
      </c>
      <c r="X52">
        <f>IFERROR(INDEX(Rainfall_Wet!$O$2:$O$217,MATCH(B52, Rainfall_Wet!$A$2:$A$217,0)),"")</f>
        <v>214.262898705</v>
      </c>
      <c r="Y52" s="231">
        <v>21.96</v>
      </c>
      <c r="Z52" s="231">
        <v>8.9199999999999982</v>
      </c>
      <c r="AA52" s="231">
        <v>69.12</v>
      </c>
      <c r="AB52" s="232" t="s">
        <v>2670</v>
      </c>
      <c r="AC52" s="231">
        <v>1.7491375061606702</v>
      </c>
      <c r="AD52">
        <f>IF('WetLitterbags placem_collection'!AB53="","",'WetLitterbags placem_collection'!AB53)</f>
        <v>3</v>
      </c>
      <c r="AE52">
        <f>IF('WetLitterbags placem_collection'!Z53="","",'WetLitterbags placem_collection'!Z53)</f>
        <v>18</v>
      </c>
      <c r="AF52" s="246" t="str">
        <f>IF('WetLitterbags placem_collection'!AA53="","",'WetLitterbags placem_collection'!AA53)</f>
        <v>O</v>
      </c>
      <c r="AG52">
        <f>IF('WetLitterbags placem_collection'!AC53="","",'WetLitterbags placem_collection'!AC53)</f>
        <v>0</v>
      </c>
      <c r="AH52" s="24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placem_collection'!V53)),"YES","NO")</f>
        <v>NO</v>
      </c>
      <c r="AM52" t="str">
        <f>IF(ISNUMBER(SEARCH("H", 'WetLitterbags placem_collection'!V53)),"YES","NO")</f>
        <v>NO</v>
      </c>
      <c r="AN52" t="str">
        <f>IF(ISNUMBER(SEARCH("R", 'WetLitterbags placem_collection'!V53)),"YES","NO")</f>
        <v>YES</v>
      </c>
    </row>
    <row r="53" spans="1:40">
      <c r="A53" s="258" t="s">
        <v>2460</v>
      </c>
      <c r="B53" s="263">
        <f>'Dry_Litterbag Placem_Collection'!A54</f>
        <v>52</v>
      </c>
      <c r="C53" s="263" t="str">
        <f>'Dry_Litterbag Placem_Collection'!B54</f>
        <v>Makao</v>
      </c>
      <c r="D53" s="263" t="s">
        <v>2659</v>
      </c>
      <c r="E53" s="263" t="s">
        <v>20</v>
      </c>
      <c r="F53" s="263">
        <v>3</v>
      </c>
      <c r="G53" s="264" t="str">
        <f>'Dry_Litterbag Placem_Collection'!C54</f>
        <v>Dry_P3_T4</v>
      </c>
      <c r="H53" s="265" t="s">
        <v>2541</v>
      </c>
      <c r="I53" s="266" t="s">
        <v>1147</v>
      </c>
      <c r="J53" s="223" t="str">
        <f>'WetLitterbags placem_collection'!K54</f>
        <v>G638</v>
      </c>
      <c r="K53" s="225">
        <f>IFERROR(INDEX('Green_rooibos initial weight'!$C$5:$C$1749,MATCH(J53, 'Green_rooibos initial weight'!$A$5:$A$1749,0)),"")</f>
        <v>2.0409999999999999</v>
      </c>
      <c r="L53" s="225">
        <f>IFERROR(K53-(TBIcalc!$H$9+TBIcalc!$H$10),"")</f>
        <v>1.7911999999999999</v>
      </c>
      <c r="M53" s="391">
        <f>AVERAGE(Ashed_controlls!$K$2:$K$11)</f>
        <v>5.5147656768714146</v>
      </c>
      <c r="N53" s="225">
        <f t="shared" si="1"/>
        <v>1.6924195171958791</v>
      </c>
      <c r="O53" s="225">
        <f>IF(IFERROR(INDEX('Both teabags AfterWet'!$C$3:$C$841,MATCH(J53,'Both teabags AfterWet'!$A$3:$A$841,0)),"")="","",(IFERROR(INDEX('Both teabags AfterWet'!$C$3:$C$841,MATCH(J53,'Both teabags AfterWet'!$A$3:$A$841,0)),"")))</f>
        <v>1.075</v>
      </c>
      <c r="P53" s="225">
        <f>IFERROR(IF(O53&gt;0,O53-(TBIcalc!$H$9),""),"")</f>
        <v>0.92439999999999989</v>
      </c>
      <c r="Q53" s="225">
        <f>IFERROR(INDEX('Ashed teabags wet'!$K$2:$K$821,MATCH(J53,'Ashed teabags wet'!$A$2:$A$821,0)),"")</f>
        <v>30.654761904762275</v>
      </c>
      <c r="R53" s="225">
        <f t="shared" si="6"/>
        <v>0.64102738095237743</v>
      </c>
      <c r="S53" s="226">
        <f>'WetLitterbags placem_collection'!E54</f>
        <v>42766</v>
      </c>
      <c r="T53" s="226">
        <f>IF('WetLitterbags placem_collection'!G54="","",'WetLitterbags placem_collection'!G54)</f>
        <v>42820</v>
      </c>
      <c r="U53" s="227">
        <f t="shared" si="3"/>
        <v>54</v>
      </c>
      <c r="V53" s="225">
        <f t="shared" si="4"/>
        <v>0.86680000000000001</v>
      </c>
      <c r="W53" s="225">
        <f t="shared" si="5"/>
        <v>1.0513921362435017</v>
      </c>
      <c r="X53">
        <f>IFERROR(INDEX(Rainfall_Wet!$O$2:$O$217,MATCH(B53, Rainfall_Wet!$A$2:$A$217,0)),"")</f>
        <v>214.262898705</v>
      </c>
      <c r="Y53" s="231">
        <v>21.96</v>
      </c>
      <c r="Z53" s="231">
        <v>8.9199999999999982</v>
      </c>
      <c r="AA53" s="231">
        <v>69.12</v>
      </c>
      <c r="AB53" s="232" t="s">
        <v>2670</v>
      </c>
      <c r="AC53" s="231">
        <v>1.7491375061606702</v>
      </c>
      <c r="AD53">
        <f>IF('WetLitterbags placem_collection'!AB54="","",'WetLitterbags placem_collection'!AB54)</f>
        <v>13.4</v>
      </c>
      <c r="AE53">
        <f>IF('WetLitterbags placem_collection'!Z54="","",'WetLitterbags placem_collection'!Z54)</f>
        <v>67</v>
      </c>
      <c r="AF53" s="246" t="str">
        <f>IF('WetLitterbags placem_collection'!AA54="","",'WetLitterbags placem_collection'!AA54)</f>
        <v>M</v>
      </c>
      <c r="AG53">
        <f>IF('WetLitterbags placem_collection'!AC54="","",'WetLitterbags placem_collection'!AC54)</f>
        <v>1</v>
      </c>
      <c r="AH53" s="24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placem_collection'!V54)),"YES","NO")</f>
        <v>NO</v>
      </c>
      <c r="AM53" t="str">
        <f>IF(ISNUMBER(SEARCH("H", 'WetLitterbags placem_collection'!V54)),"YES","NO")</f>
        <v>YES</v>
      </c>
      <c r="AN53" t="str">
        <f>IF(ISNUMBER(SEARCH("R", 'WetLitterbags placem_collection'!V54)),"YES","NO")</f>
        <v>YES</v>
      </c>
    </row>
    <row r="54" spans="1:40">
      <c r="A54" s="258" t="s">
        <v>2460</v>
      </c>
      <c r="B54" s="263">
        <f>'Dry_Litterbag Placem_Collection'!A55</f>
        <v>53</v>
      </c>
      <c r="C54" s="263" t="str">
        <f>'Dry_Litterbag Placem_Collection'!B55</f>
        <v>Makao</v>
      </c>
      <c r="D54" s="263" t="s">
        <v>2659</v>
      </c>
      <c r="E54" s="263" t="s">
        <v>20</v>
      </c>
      <c r="F54" s="263">
        <v>3</v>
      </c>
      <c r="G54" s="264" t="str">
        <f>'Dry_Litterbag Placem_Collection'!C55</f>
        <v>Dry_P3_T5</v>
      </c>
      <c r="H54" s="265" t="s">
        <v>2541</v>
      </c>
      <c r="I54" s="266" t="s">
        <v>1147</v>
      </c>
      <c r="J54" s="223" t="str">
        <f>'WetLitterbags placem_collection'!K55</f>
        <v>G426</v>
      </c>
      <c r="K54" s="225">
        <f>IFERROR(INDEX('Green_rooibos initial weight'!$C$5:$C$1749,MATCH(J54, 'Green_rooibos initial weight'!$A$5:$A$1749,0)),"")</f>
        <v>2.0230000000000001</v>
      </c>
      <c r="L54" s="225">
        <f>IFERROR(K54-(TBIcalc!$H$9+TBIcalc!$H$10),"")</f>
        <v>1.7732000000000001</v>
      </c>
      <c r="M54" s="391">
        <f>AVERAGE(Ashed_controlls!$K$2:$K$11)</f>
        <v>5.5147656768714146</v>
      </c>
      <c r="N54" s="225">
        <f t="shared" si="1"/>
        <v>1.6754121750177162</v>
      </c>
      <c r="O54" s="225" t="str">
        <f>IF(IFERROR(INDEX('Both teabags AfterWet'!$C$3:$C$841,MATCH(J54,'Both teabags AfterWet'!$A$3:$A$841,0)),"")="","",(IFERROR(INDEX('Both teabags AfterWet'!$C$3:$C$841,MATCH(J54,'Both teabags AfterWet'!$A$3:$A$841,0)),"")))</f>
        <v/>
      </c>
      <c r="P54" s="225" t="str">
        <f>IFERROR(IF(O54&gt;0,O54-(TBIcalc!$H$9),""),"")</f>
        <v/>
      </c>
      <c r="Q54" s="225" t="str">
        <f>IFERROR(INDEX('Ashed teabags wet'!$K$2:$K$821,MATCH(J54,'Ashed teabags wet'!$A$2:$A$821,0)),"")</f>
        <v/>
      </c>
      <c r="R54" s="225" t="str">
        <f t="shared" si="6"/>
        <v/>
      </c>
      <c r="S54" s="226">
        <f>'WetLitterbags placem_collection'!E55</f>
        <v>42766</v>
      </c>
      <c r="T54" s="226">
        <f>IF('WetLitterbags placem_collection'!G55="","",'WetLitterbags placem_collection'!G55)</f>
        <v>42820</v>
      </c>
      <c r="U54" s="227">
        <f t="shared" si="3"/>
        <v>54</v>
      </c>
      <c r="V54" s="225" t="str">
        <f t="shared" si="4"/>
        <v/>
      </c>
      <c r="W54" s="225" t="str">
        <f t="shared" si="5"/>
        <v/>
      </c>
      <c r="X54">
        <f>IFERROR(INDEX(Rainfall_Wet!$O$2:$O$217,MATCH(B54, Rainfall_Wet!$A$2:$A$217,0)),"")</f>
        <v>214.262898705</v>
      </c>
      <c r="Y54" s="231">
        <v>21.96</v>
      </c>
      <c r="Z54" s="231">
        <v>8.9199999999999982</v>
      </c>
      <c r="AA54" s="231">
        <v>69.12</v>
      </c>
      <c r="AB54" s="232" t="s">
        <v>2670</v>
      </c>
      <c r="AC54" s="231">
        <v>1.7491375061606702</v>
      </c>
      <c r="AD54" t="str">
        <f>IF('WetLitterbags placem_collection'!AB55="","",'WetLitterbags placem_collection'!AB55)</f>
        <v/>
      </c>
      <c r="AE54" t="str">
        <f>IF('WetLitterbags placem_collection'!Z55="","",'WetLitterbags placem_collection'!Z55)</f>
        <v/>
      </c>
      <c r="AF54" s="246" t="str">
        <f>IF('WetLitterbags placem_collection'!AA55="","",'WetLitterbags placem_collection'!AA55)</f>
        <v/>
      </c>
      <c r="AG54" t="str">
        <f>IF('WetLitterbags placem_collection'!AC55="","",'WetLitterbags placem_collection'!AC55)</f>
        <v/>
      </c>
      <c r="AH54" s="24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placem_collection'!V55)),"YES","NO")</f>
        <v>NO</v>
      </c>
      <c r="AM54" t="str">
        <f>IF(ISNUMBER(SEARCH("H", 'WetLitterbags placem_collection'!V55)),"YES","NO")</f>
        <v>NO</v>
      </c>
      <c r="AN54" t="str">
        <f>IF(ISNUMBER(SEARCH("R", 'WetLitterbags placem_collection'!V55)),"YES","NO")</f>
        <v>NO</v>
      </c>
    </row>
    <row r="55" spans="1:40">
      <c r="A55" s="258" t="s">
        <v>2460</v>
      </c>
      <c r="B55" s="263">
        <f>'Dry_Litterbag Placem_Collection'!A56</f>
        <v>54</v>
      </c>
      <c r="C55" s="263" t="str">
        <f>'Dry_Litterbag Placem_Collection'!B56</f>
        <v>Makao</v>
      </c>
      <c r="D55" s="263" t="s">
        <v>2659</v>
      </c>
      <c r="E55" s="263" t="s">
        <v>20</v>
      </c>
      <c r="F55" s="263">
        <v>3</v>
      </c>
      <c r="G55" s="264" t="str">
        <f>'Dry_Litterbag Placem_Collection'!C56</f>
        <v>Dry_P3_T6</v>
      </c>
      <c r="H55" s="265" t="s">
        <v>2541</v>
      </c>
      <c r="I55" s="266" t="s">
        <v>1147</v>
      </c>
      <c r="J55" s="223" t="str">
        <f>'WetLitterbags placem_collection'!K56</f>
        <v>G589</v>
      </c>
      <c r="K55" s="225">
        <f>IFERROR(INDEX('Green_rooibos initial weight'!$C$5:$C$1749,MATCH(J55, 'Green_rooibos initial weight'!$A$5:$A$1749,0)),"")</f>
        <v>2.0419999999999998</v>
      </c>
      <c r="L55" s="225">
        <f>IFERROR(K55-(TBIcalc!$H$9+TBIcalc!$H$10),"")</f>
        <v>1.7921999999999998</v>
      </c>
      <c r="M55" s="391">
        <f>AVERAGE(Ashed_controlls!$K$2:$K$11)</f>
        <v>5.5147656768714146</v>
      </c>
      <c r="N55" s="225">
        <f t="shared" si="1"/>
        <v>1.6933643695391103</v>
      </c>
      <c r="O55" s="225" t="str">
        <f>IF(IFERROR(INDEX('Both teabags AfterWet'!$C$3:$C$841,MATCH(J55,'Both teabags AfterWet'!$A$3:$A$841,0)),"")="","",(IFERROR(INDEX('Both teabags AfterWet'!$C$3:$C$841,MATCH(J55,'Both teabags AfterWet'!$A$3:$A$841,0)),"")))</f>
        <v/>
      </c>
      <c r="P55" s="225" t="str">
        <f>IFERROR(IF(O55&gt;0,O55-(TBIcalc!$H$9),""),"")</f>
        <v/>
      </c>
      <c r="Q55" s="225" t="str">
        <f>IFERROR(INDEX('Ashed teabags wet'!$K$2:$K$821,MATCH(J55,'Ashed teabags wet'!$A$2:$A$821,0)),"")</f>
        <v/>
      </c>
      <c r="R55" s="225" t="str">
        <f t="shared" si="6"/>
        <v/>
      </c>
      <c r="S55" s="226">
        <f>'WetLitterbags placem_collection'!E56</f>
        <v>42766</v>
      </c>
      <c r="T55" s="226">
        <f>IF('WetLitterbags placem_collection'!G56="","",'WetLitterbags placem_collection'!G56)</f>
        <v>42820</v>
      </c>
      <c r="U55" s="227">
        <f t="shared" si="3"/>
        <v>54</v>
      </c>
      <c r="V55" s="225" t="str">
        <f t="shared" si="4"/>
        <v/>
      </c>
      <c r="W55" s="225" t="str">
        <f t="shared" si="5"/>
        <v/>
      </c>
      <c r="X55">
        <f>IFERROR(INDEX(Rainfall_Wet!$O$2:$O$217,MATCH(B55, Rainfall_Wet!$A$2:$A$217,0)),"")</f>
        <v>214.262898705</v>
      </c>
      <c r="Y55" s="231">
        <v>21.96</v>
      </c>
      <c r="Z55" s="231">
        <v>8.9199999999999982</v>
      </c>
      <c r="AA55" s="231">
        <v>69.12</v>
      </c>
      <c r="AB55" s="232" t="s">
        <v>2670</v>
      </c>
      <c r="AC55" s="231">
        <v>1.7491375061606702</v>
      </c>
      <c r="AD55" t="str">
        <f>IF('WetLitterbags placem_collection'!AB56="","",'WetLitterbags placem_collection'!AB56)</f>
        <v/>
      </c>
      <c r="AE55" t="str">
        <f>IF('WetLitterbags placem_collection'!Z56="","",'WetLitterbags placem_collection'!Z56)</f>
        <v/>
      </c>
      <c r="AF55" s="246" t="str">
        <f>IF('WetLitterbags placem_collection'!AA56="","",'WetLitterbags placem_collection'!AA56)</f>
        <v/>
      </c>
      <c r="AG55" t="str">
        <f>IF('WetLitterbags placem_collection'!AC56="","",'WetLitterbags placem_collection'!AC56)</f>
        <v/>
      </c>
      <c r="AH55" s="24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placem_collection'!V56)),"YES","NO")</f>
        <v>NO</v>
      </c>
      <c r="AM55" t="str">
        <f>IF(ISNUMBER(SEARCH("H", 'WetLitterbags placem_collection'!V56)),"YES","NO")</f>
        <v>NO</v>
      </c>
      <c r="AN55" t="str">
        <f>IF(ISNUMBER(SEARCH("R", 'WetLitterbags placem_collection'!V56)),"YES","NO")</f>
        <v>NO</v>
      </c>
    </row>
    <row r="56" spans="1:40">
      <c r="A56" s="258" t="s">
        <v>2460</v>
      </c>
      <c r="B56" s="263">
        <f>'Dry_Litterbag Placem_Collection'!A57</f>
        <v>55</v>
      </c>
      <c r="C56" s="263" t="str">
        <f>'Dry_Litterbag Placem_Collection'!B57</f>
        <v>Makao</v>
      </c>
      <c r="D56" s="263" t="s">
        <v>2659</v>
      </c>
      <c r="E56" s="263" t="s">
        <v>20</v>
      </c>
      <c r="F56" s="263">
        <v>3</v>
      </c>
      <c r="G56" s="264" t="str">
        <f>'Dry_Litterbag Placem_Collection'!C57</f>
        <v>Dry_P3_T7</v>
      </c>
      <c r="H56" s="265" t="s">
        <v>2541</v>
      </c>
      <c r="I56" s="266" t="s">
        <v>1147</v>
      </c>
      <c r="J56" s="223" t="str">
        <f>'WetLitterbags placem_collection'!K57</f>
        <v>G622</v>
      </c>
      <c r="K56" s="225">
        <f>IFERROR(INDEX('Green_rooibos initial weight'!$C$5:$C$1749,MATCH(J56, 'Green_rooibos initial weight'!$A$5:$A$1749,0)),"")</f>
        <v>1.978</v>
      </c>
      <c r="L56" s="225">
        <f>IFERROR(K56-(TBIcalc!$H$9+TBIcalc!$H$10),"")</f>
        <v>1.7282</v>
      </c>
      <c r="M56" s="391">
        <f>AVERAGE(Ashed_controlls!$K$2:$K$11)</f>
        <v>5.5147656768714146</v>
      </c>
      <c r="N56" s="225">
        <f t="shared" si="1"/>
        <v>1.6328938195723082</v>
      </c>
      <c r="O56" s="225" t="str">
        <f>IF(IFERROR(INDEX('Both teabags AfterWet'!$C$3:$C$841,MATCH(J56,'Both teabags AfterWet'!$A$3:$A$841,0)),"")="","",(IFERROR(INDEX('Both teabags AfterWet'!$C$3:$C$841,MATCH(J56,'Both teabags AfterWet'!$A$3:$A$841,0)),"")))</f>
        <v/>
      </c>
      <c r="P56" s="225" t="str">
        <f>IFERROR(IF(O56&gt;0,O56-(TBIcalc!$H$9),""),"")</f>
        <v/>
      </c>
      <c r="Q56" s="225" t="str">
        <f>IFERROR(INDEX('Ashed teabags wet'!$K$2:$K$821,MATCH(J56,'Ashed teabags wet'!$A$2:$A$821,0)),"")</f>
        <v/>
      </c>
      <c r="R56" s="225" t="str">
        <f t="shared" si="6"/>
        <v/>
      </c>
      <c r="S56" s="226">
        <f>'WetLitterbags placem_collection'!E57</f>
        <v>42766</v>
      </c>
      <c r="T56" s="226">
        <f>IF('WetLitterbags placem_collection'!G57="","",'WetLitterbags placem_collection'!G57)</f>
        <v>42820</v>
      </c>
      <c r="U56" s="227">
        <f t="shared" si="3"/>
        <v>54</v>
      </c>
      <c r="V56" s="225" t="str">
        <f t="shared" si="4"/>
        <v/>
      </c>
      <c r="W56" s="225" t="str">
        <f t="shared" si="5"/>
        <v/>
      </c>
      <c r="X56">
        <f>IFERROR(INDEX(Rainfall_Wet!$O$2:$O$217,MATCH(B56, Rainfall_Wet!$A$2:$A$217,0)),"")</f>
        <v>214.262898705</v>
      </c>
      <c r="Y56" s="231">
        <v>21.96</v>
      </c>
      <c r="Z56" s="231">
        <v>8.9199999999999982</v>
      </c>
      <c r="AA56" s="231">
        <v>69.12</v>
      </c>
      <c r="AB56" s="232" t="s">
        <v>2670</v>
      </c>
      <c r="AC56" s="231">
        <v>1.7491375061606702</v>
      </c>
      <c r="AD56">
        <f>IF('WetLitterbags placem_collection'!AB57="","",'WetLitterbags placem_collection'!AB57)</f>
        <v>15.8</v>
      </c>
      <c r="AE56">
        <f>IF('WetLitterbags placem_collection'!Z57="","",'WetLitterbags placem_collection'!Z57)</f>
        <v>45</v>
      </c>
      <c r="AF56" s="246" t="str">
        <f>IF('WetLitterbags placem_collection'!AA57="","",'WetLitterbags placem_collection'!AA57)</f>
        <v>M</v>
      </c>
      <c r="AG56">
        <f>IF('WetLitterbags placem_collection'!AC57="","",'WetLitterbags placem_collection'!AC57)</f>
        <v>1</v>
      </c>
      <c r="AH56" s="24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placem_collection'!V57)),"YES","NO")</f>
        <v>NO</v>
      </c>
      <c r="AM56" t="str">
        <f>IF(ISNUMBER(SEARCH("H", 'WetLitterbags placem_collection'!V57)),"YES","NO")</f>
        <v>NO</v>
      </c>
      <c r="AN56" t="str">
        <f>IF(ISNUMBER(SEARCH("R", 'WetLitterbags placem_collection'!V57)),"YES","NO")</f>
        <v>NO</v>
      </c>
    </row>
    <row r="57" spans="1:40">
      <c r="A57" s="258" t="s">
        <v>2460</v>
      </c>
      <c r="B57" s="263">
        <f>'Dry_Litterbag Placem_Collection'!A58</f>
        <v>56</v>
      </c>
      <c r="C57" s="263" t="str">
        <f>'Dry_Litterbag Placem_Collection'!B58</f>
        <v>Makao</v>
      </c>
      <c r="D57" s="263" t="s">
        <v>2659</v>
      </c>
      <c r="E57" s="263" t="s">
        <v>20</v>
      </c>
      <c r="F57" s="263">
        <v>3</v>
      </c>
      <c r="G57" s="264" t="str">
        <f>'Dry_Litterbag Placem_Collection'!C58</f>
        <v>Dry_P3_T8</v>
      </c>
      <c r="H57" s="265" t="s">
        <v>2541</v>
      </c>
      <c r="I57" s="266" t="s">
        <v>1147</v>
      </c>
      <c r="J57" s="223" t="str">
        <f>'WetLitterbags placem_collection'!K58</f>
        <v>G538</v>
      </c>
      <c r="K57" s="225">
        <f>IFERROR(INDEX('Green_rooibos initial weight'!$C$5:$C$1749,MATCH(J57, 'Green_rooibos initial weight'!$A$5:$A$1749,0)),"")</f>
        <v>2.1760000000000002</v>
      </c>
      <c r="L57" s="225">
        <f>IFERROR(K57-(TBIcalc!$H$9+TBIcalc!$H$10),"")</f>
        <v>1.9262000000000001</v>
      </c>
      <c r="M57" s="391">
        <f>AVERAGE(Ashed_controlls!$K$2:$K$11)</f>
        <v>5.5147656768714146</v>
      </c>
      <c r="N57" s="225">
        <f t="shared" si="1"/>
        <v>1.8199745835321028</v>
      </c>
      <c r="O57" s="225">
        <f>IF(IFERROR(INDEX('Both teabags AfterWet'!$C$3:$C$841,MATCH(J57,'Both teabags AfterWet'!$A$3:$A$841,0)),"")="","",(IFERROR(INDEX('Both teabags AfterWet'!$C$3:$C$841,MATCH(J57,'Both teabags AfterWet'!$A$3:$A$841,0)),"")))</f>
        <v>0.81</v>
      </c>
      <c r="P57" s="225">
        <f>IFERROR(IF(O57&gt;0,O57-(TBIcalc!$H$9),""),"")</f>
        <v>0.65939999999999999</v>
      </c>
      <c r="Q57" s="225">
        <f>IFERROR(INDEX('Ashed teabags wet'!$K$2:$K$821,MATCH(J57,'Ashed teabags wet'!$A$2:$A$821,0)),"")</f>
        <v>21.852387843704392</v>
      </c>
      <c r="R57" s="225">
        <f t="shared" si="6"/>
        <v>0.51530535455861326</v>
      </c>
      <c r="S57" s="226">
        <f>'WetLitterbags placem_collection'!E58</f>
        <v>42766</v>
      </c>
      <c r="T57" s="226">
        <f>IF('WetLitterbags placem_collection'!G58="","",'WetLitterbags placem_collection'!G58)</f>
        <v>42820</v>
      </c>
      <c r="U57" s="227">
        <f t="shared" si="3"/>
        <v>54</v>
      </c>
      <c r="V57" s="225">
        <f t="shared" si="4"/>
        <v>1.2668000000000001</v>
      </c>
      <c r="W57" s="225">
        <f t="shared" si="5"/>
        <v>1.3046692289734896</v>
      </c>
      <c r="X57">
        <f>IFERROR(INDEX(Rainfall_Wet!$O$2:$O$217,MATCH(B57, Rainfall_Wet!$A$2:$A$217,0)),"")</f>
        <v>214.262898705</v>
      </c>
      <c r="Y57" s="231">
        <v>21.96</v>
      </c>
      <c r="Z57" s="231">
        <v>8.9199999999999982</v>
      </c>
      <c r="AA57" s="231">
        <v>69.12</v>
      </c>
      <c r="AB57" s="232" t="s">
        <v>2670</v>
      </c>
      <c r="AC57" s="231">
        <v>1.7491375061606702</v>
      </c>
      <c r="AD57">
        <f>IF('WetLitterbags placem_collection'!AB58="","",'WetLitterbags placem_collection'!AB58)</f>
        <v>15.4</v>
      </c>
      <c r="AE57">
        <f>IF('WetLitterbags placem_collection'!Z58="","",'WetLitterbags placem_collection'!Z58)</f>
        <v>30.8</v>
      </c>
      <c r="AF57" s="246" t="str">
        <f>IF('WetLitterbags placem_collection'!AA58="","",'WetLitterbags placem_collection'!AA58)</f>
        <v>M</v>
      </c>
      <c r="AG57">
        <f>IF('WetLitterbags placem_collection'!AC58="","",'WetLitterbags placem_collection'!AC58)</f>
        <v>0</v>
      </c>
      <c r="AH57" s="24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placem_collection'!V58)),"YES","NO")</f>
        <v>NO</v>
      </c>
      <c r="AM57" t="str">
        <f>IF(ISNUMBER(SEARCH("H", 'WetLitterbags placem_collection'!V58)),"YES","NO")</f>
        <v>YES</v>
      </c>
      <c r="AN57" t="str">
        <f>IF(ISNUMBER(SEARCH("R", 'WetLitterbags placem_collection'!V58)),"YES","NO")</f>
        <v>YES</v>
      </c>
    </row>
    <row r="58" spans="1:40">
      <c r="A58" s="258" t="s">
        <v>2460</v>
      </c>
      <c r="B58" s="263">
        <f>'Dry_Litterbag Placem_Collection'!A59</f>
        <v>57</v>
      </c>
      <c r="C58" s="263" t="str">
        <f>'Dry_Litterbag Placem_Collection'!B59</f>
        <v>Makao</v>
      </c>
      <c r="D58" s="263" t="s">
        <v>2659</v>
      </c>
      <c r="E58" s="263" t="s">
        <v>20</v>
      </c>
      <c r="F58" s="263">
        <v>4</v>
      </c>
      <c r="G58" s="264" t="str">
        <f>'Dry_Litterbag Placem_Collection'!C59</f>
        <v>Dry_P4_T1</v>
      </c>
      <c r="H58" s="265" t="s">
        <v>2541</v>
      </c>
      <c r="I58" s="266" t="s">
        <v>1147</v>
      </c>
      <c r="J58" s="223" t="str">
        <f>'WetLitterbags placem_collection'!K59</f>
        <v>G546</v>
      </c>
      <c r="K58" s="225">
        <f>IFERROR(INDEX('Green_rooibos initial weight'!$C$5:$C$1749,MATCH(J58, 'Green_rooibos initial weight'!$A$5:$A$1749,0)),"")</f>
        <v>2.1429999999999998</v>
      </c>
      <c r="L58" s="225">
        <f>IFERROR(K58-(TBIcalc!$H$9+TBIcalc!$H$10),"")</f>
        <v>1.8931999999999998</v>
      </c>
      <c r="M58" s="391">
        <f>AVERAGE(Ashed_controlls!$K$2:$K$11)</f>
        <v>5.5147656768714146</v>
      </c>
      <c r="N58" s="225">
        <f t="shared" si="1"/>
        <v>1.7887944562054701</v>
      </c>
      <c r="O58" s="225">
        <f>IF(IFERROR(INDEX('Both teabags AfterWet'!$C$3:$C$841,MATCH(J58,'Both teabags AfterWet'!$A$3:$A$841,0)),"")="","",(IFERROR(INDEX('Both teabags AfterWet'!$C$3:$C$841,MATCH(J58,'Both teabags AfterWet'!$A$3:$A$841,0)),"")))</f>
        <v>0.88660000000000005</v>
      </c>
      <c r="P58" s="225">
        <f>IFERROR(IF(O58&gt;0,O58-(TBIcalc!$H$9),""),"")</f>
        <v>0.73599999999999999</v>
      </c>
      <c r="Q58" s="225">
        <f>IFERROR(INDEX('Ashed teabags wet'!$K$2:$K$821,MATCH(J58,'Ashed teabags wet'!$A$2:$A$821,0)),"")</f>
        <v>16.553398058252881</v>
      </c>
      <c r="R58" s="225">
        <f t="shared" si="6"/>
        <v>0.61416699029125876</v>
      </c>
      <c r="S58" s="226">
        <f>'WetLitterbags placem_collection'!E59</f>
        <v>42766</v>
      </c>
      <c r="T58" s="226">
        <f>IF('WetLitterbags placem_collection'!G59="","",'WetLitterbags placem_collection'!G59)</f>
        <v>42820</v>
      </c>
      <c r="U58" s="227">
        <f t="shared" si="3"/>
        <v>54</v>
      </c>
      <c r="V58" s="225">
        <f t="shared" si="4"/>
        <v>1.1571999999999998</v>
      </c>
      <c r="W58" s="225">
        <f t="shared" si="5"/>
        <v>1.1746274659142113</v>
      </c>
      <c r="X58">
        <f>IFERROR(INDEX(Rainfall_Wet!$O$2:$O$217,MATCH(B58, Rainfall_Wet!$A$2:$A$217,0)),"")</f>
        <v>214.262898705</v>
      </c>
      <c r="Y58" s="231">
        <v>25.96</v>
      </c>
      <c r="Z58" s="231">
        <v>6.9200000000000008</v>
      </c>
      <c r="AA58" s="231">
        <v>67.12</v>
      </c>
      <c r="AB58" s="232" t="s">
        <v>2670</v>
      </c>
      <c r="AC58" s="231">
        <v>1.7568260226712666</v>
      </c>
      <c r="AD58">
        <f>IF('WetLitterbags placem_collection'!AB59="","",'WetLitterbags placem_collection'!AB59)</f>
        <v>3.3</v>
      </c>
      <c r="AE58">
        <f>IF('WetLitterbags placem_collection'!Z59="","",'WetLitterbags placem_collection'!Z59)</f>
        <v>28.4</v>
      </c>
      <c r="AF58" s="246" t="str">
        <f>IF('WetLitterbags placem_collection'!AA59="","",'WetLitterbags placem_collection'!AA59)</f>
        <v>O</v>
      </c>
      <c r="AG58">
        <f>IF('WetLitterbags placem_collection'!AC59="","",'WetLitterbags placem_collection'!AC59)</f>
        <v>1</v>
      </c>
      <c r="AH58" s="24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placem_collection'!V59)),"YES","NO")</f>
        <v>NO</v>
      </c>
      <c r="AM58" t="str">
        <f>IF(ISNUMBER(SEARCH("H", 'WetLitterbags placem_collection'!V59)),"YES","NO")</f>
        <v>NO</v>
      </c>
      <c r="AN58" t="str">
        <f>IF(ISNUMBER(SEARCH("R", 'WetLitterbags placem_collection'!V59)),"YES","NO")</f>
        <v>YES</v>
      </c>
    </row>
    <row r="59" spans="1:40">
      <c r="A59" s="258" t="s">
        <v>2460</v>
      </c>
      <c r="B59" s="263">
        <f>'Dry_Litterbag Placem_Collection'!A60</f>
        <v>58</v>
      </c>
      <c r="C59" s="263" t="str">
        <f>'Dry_Litterbag Placem_Collection'!B60</f>
        <v>Makao</v>
      </c>
      <c r="D59" s="263" t="s">
        <v>2659</v>
      </c>
      <c r="E59" s="263" t="s">
        <v>20</v>
      </c>
      <c r="F59" s="263">
        <v>4</v>
      </c>
      <c r="G59" s="264" t="str">
        <f>'Dry_Litterbag Placem_Collection'!C60</f>
        <v>Dry_P4_T2</v>
      </c>
      <c r="H59" s="265" t="s">
        <v>2541</v>
      </c>
      <c r="I59" s="266" t="s">
        <v>1147</v>
      </c>
      <c r="J59" s="223" t="str">
        <f>'WetLitterbags placem_collection'!K60</f>
        <v>G513</v>
      </c>
      <c r="K59" s="225">
        <f>IFERROR(INDEX('Green_rooibos initial weight'!$C$5:$C$1749,MATCH(J59, 'Green_rooibos initial weight'!$A$5:$A$1749,0)),"")</f>
        <v>2.0179999999999998</v>
      </c>
      <c r="L59" s="225">
        <f>IFERROR(K59-(TBIcalc!$H$9+TBIcalc!$H$10),"")</f>
        <v>1.7681999999999998</v>
      </c>
      <c r="M59" s="391">
        <f>AVERAGE(Ashed_controlls!$K$2:$K$11)</f>
        <v>5.5147656768714146</v>
      </c>
      <c r="N59" s="225">
        <f t="shared" si="1"/>
        <v>1.6706879133015595</v>
      </c>
      <c r="O59" s="225">
        <f>IF(IFERROR(INDEX('Both teabags AfterWet'!$C$3:$C$841,MATCH(J59,'Both teabags AfterWet'!$A$3:$A$841,0)),"")="","",(IFERROR(INDEX('Both teabags AfterWet'!$C$3:$C$841,MATCH(J59,'Both teabags AfterWet'!$A$3:$A$841,0)),"")))</f>
        <v>0.93279999999999996</v>
      </c>
      <c r="P59" s="225">
        <f>IFERROR(IF(O59&gt;0,O59-(TBIcalc!$H$9),""),"")</f>
        <v>0.78220000000000001</v>
      </c>
      <c r="Q59" s="225">
        <f>IFERROR(INDEX('Ashed teabags wet'!$K$2:$K$821,MATCH(J59,'Ashed teabags wet'!$A$2:$A$821,0)),"")</f>
        <v>17.757936507936094</v>
      </c>
      <c r="R59" s="225">
        <f t="shared" si="6"/>
        <v>0.6432974206349239</v>
      </c>
      <c r="S59" s="226">
        <f>'WetLitterbags placem_collection'!E60</f>
        <v>42766</v>
      </c>
      <c r="T59" s="226">
        <f>IF('WetLitterbags placem_collection'!G60="","",'WetLitterbags placem_collection'!G60)</f>
        <v>42820</v>
      </c>
      <c r="U59" s="227">
        <f t="shared" si="3"/>
        <v>54</v>
      </c>
      <c r="V59" s="225">
        <f t="shared" si="4"/>
        <v>0.98599999999999977</v>
      </c>
      <c r="W59" s="225">
        <f t="shared" si="5"/>
        <v>1.0273904926666355</v>
      </c>
      <c r="X59">
        <f>IFERROR(INDEX(Rainfall_Wet!$O$2:$O$217,MATCH(B59, Rainfall_Wet!$A$2:$A$217,0)),"")</f>
        <v>214.262898705</v>
      </c>
      <c r="Y59" s="231">
        <v>25.96</v>
      </c>
      <c r="Z59" s="231">
        <v>6.9200000000000008</v>
      </c>
      <c r="AA59" s="231">
        <v>67.12</v>
      </c>
      <c r="AB59" s="232" t="s">
        <v>2670</v>
      </c>
      <c r="AC59" s="231">
        <v>1.7568260226712666</v>
      </c>
      <c r="AD59">
        <f>IF('WetLitterbags placem_collection'!AB60="","",'WetLitterbags placem_collection'!AB60)</f>
        <v>1.4</v>
      </c>
      <c r="AE59">
        <f>IF('WetLitterbags placem_collection'!Z60="","",'WetLitterbags placem_collection'!Z60)</f>
        <v>54.4</v>
      </c>
      <c r="AF59" s="246" t="str">
        <f>IF('WetLitterbags placem_collection'!AA60="","",'WetLitterbags placem_collection'!AA60)</f>
        <v>O</v>
      </c>
      <c r="AG59">
        <f>IF('WetLitterbags placem_collection'!AC60="","",'WetLitterbags placem_collection'!AC60)</f>
        <v>0</v>
      </c>
      <c r="AH59" s="24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placem_collection'!V60)),"YES","NO")</f>
        <v>NO</v>
      </c>
      <c r="AM59" t="str">
        <f>IF(ISNUMBER(SEARCH("H", 'WetLitterbags placem_collection'!V60)),"YES","NO")</f>
        <v>YES</v>
      </c>
      <c r="AN59" t="str">
        <f>IF(ISNUMBER(SEARCH("R", 'WetLitterbags placem_collection'!V60)),"YES","NO")</f>
        <v>YES</v>
      </c>
    </row>
    <row r="60" spans="1:40">
      <c r="A60" s="258" t="s">
        <v>2460</v>
      </c>
      <c r="B60" s="263">
        <f>'Dry_Litterbag Placem_Collection'!A61</f>
        <v>59</v>
      </c>
      <c r="C60" s="263" t="str">
        <f>'Dry_Litterbag Placem_Collection'!B61</f>
        <v>Makao</v>
      </c>
      <c r="D60" s="263" t="s">
        <v>2659</v>
      </c>
      <c r="E60" s="263" t="s">
        <v>20</v>
      </c>
      <c r="F60" s="263">
        <v>4</v>
      </c>
      <c r="G60" s="264" t="str">
        <f>'Dry_Litterbag Placem_Collection'!C61</f>
        <v>Dry_P4_T3</v>
      </c>
      <c r="H60" s="265" t="s">
        <v>2541</v>
      </c>
      <c r="I60" s="266" t="s">
        <v>1147</v>
      </c>
      <c r="J60" s="223" t="str">
        <f>'WetLitterbags placem_collection'!K61</f>
        <v>G489</v>
      </c>
      <c r="K60" s="225">
        <f>IFERROR(INDEX('Green_rooibos initial weight'!$C$5:$C$1749,MATCH(J60, 'Green_rooibos initial weight'!$A$5:$A$1749,0)),"")</f>
        <v>1.9</v>
      </c>
      <c r="L60" s="225">
        <f>IFERROR(K60-(TBIcalc!$H$9+TBIcalc!$H$10),"")</f>
        <v>1.6501999999999999</v>
      </c>
      <c r="M60" s="391">
        <f>AVERAGE(Ashed_controlls!$K$2:$K$11)</f>
        <v>5.5147656768714146</v>
      </c>
      <c r="N60" s="225">
        <f t="shared" si="1"/>
        <v>1.5591953368002678</v>
      </c>
      <c r="O60" s="225">
        <f>IF(IFERROR(INDEX('Both teabags AfterWet'!$C$3:$C$841,MATCH(J60,'Both teabags AfterWet'!$A$3:$A$841,0)),"")="","",(IFERROR(INDEX('Both teabags AfterWet'!$C$3:$C$841,MATCH(J60,'Both teabags AfterWet'!$A$3:$A$841,0)),"")))</f>
        <v>0.88400000000000001</v>
      </c>
      <c r="P60" s="225">
        <f>IFERROR(IF(O60&gt;0,O60-(TBIcalc!$H$9),""),"")</f>
        <v>0.73340000000000005</v>
      </c>
      <c r="Q60" s="225">
        <f>IFERROR(INDEX('Ashed teabags wet'!$K$2:$K$821,MATCH(J60,'Ashed teabags wet'!$A$2:$A$821,0)),"")</f>
        <v>11.144278606964582</v>
      </c>
      <c r="R60" s="225">
        <f t="shared" si="6"/>
        <v>0.65166786069652183</v>
      </c>
      <c r="S60" s="226">
        <f>'WetLitterbags placem_collection'!E61</f>
        <v>42766</v>
      </c>
      <c r="T60" s="226">
        <f>IF('WetLitterbags placem_collection'!G61="","",'WetLitterbags placem_collection'!G61)</f>
        <v>42820</v>
      </c>
      <c r="U60" s="227">
        <f t="shared" si="3"/>
        <v>54</v>
      </c>
      <c r="V60" s="225">
        <f t="shared" si="4"/>
        <v>0.91679999999999984</v>
      </c>
      <c r="W60" s="225">
        <f t="shared" si="5"/>
        <v>0.90752747610374596</v>
      </c>
      <c r="X60">
        <f>IFERROR(INDEX(Rainfall_Wet!$O$2:$O$217,MATCH(B60, Rainfall_Wet!$A$2:$A$217,0)),"")</f>
        <v>214.262898705</v>
      </c>
      <c r="Y60" s="231">
        <v>25.96</v>
      </c>
      <c r="Z60" s="231">
        <v>6.9200000000000008</v>
      </c>
      <c r="AA60" s="231">
        <v>67.12</v>
      </c>
      <c r="AB60" s="232" t="s">
        <v>2670</v>
      </c>
      <c r="AC60" s="231">
        <v>1.7568260226712666</v>
      </c>
      <c r="AD60">
        <f>IF('WetLitterbags placem_collection'!AB61="","",'WetLitterbags placem_collection'!AB61)</f>
        <v>3.3</v>
      </c>
      <c r="AE60">
        <f>IF('WetLitterbags placem_collection'!Z61="","",'WetLitterbags placem_collection'!Z61)</f>
        <v>46</v>
      </c>
      <c r="AF60" s="246" t="str">
        <f>IF('WetLitterbags placem_collection'!AA61="","",'WetLitterbags placem_collection'!AA61)</f>
        <v>O</v>
      </c>
      <c r="AG60">
        <f>IF('WetLitterbags placem_collection'!AC61="","",'WetLitterbags placem_collection'!AC61)</f>
        <v>0</v>
      </c>
      <c r="AH60" s="24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placem_collection'!V61)),"YES","NO")</f>
        <v>NO</v>
      </c>
      <c r="AM60" t="str">
        <f>IF(ISNUMBER(SEARCH("H", 'WetLitterbags placem_collection'!V61)),"YES","NO")</f>
        <v>NO</v>
      </c>
      <c r="AN60" t="str">
        <f>IF(ISNUMBER(SEARCH("R", 'WetLitterbags placem_collection'!V61)),"YES","NO")</f>
        <v>NO</v>
      </c>
    </row>
    <row r="61" spans="1:40">
      <c r="A61" s="258" t="s">
        <v>2460</v>
      </c>
      <c r="B61" s="263">
        <f>'Dry_Litterbag Placem_Collection'!A62</f>
        <v>60</v>
      </c>
      <c r="C61" s="263" t="str">
        <f>'Dry_Litterbag Placem_Collection'!B62</f>
        <v>Makao</v>
      </c>
      <c r="D61" s="263" t="s">
        <v>2659</v>
      </c>
      <c r="E61" s="263" t="s">
        <v>20</v>
      </c>
      <c r="F61" s="263">
        <v>4</v>
      </c>
      <c r="G61" s="264" t="str">
        <f>'Dry_Litterbag Placem_Collection'!C62</f>
        <v>Dry_P4_T4</v>
      </c>
      <c r="H61" s="265" t="s">
        <v>2541</v>
      </c>
      <c r="I61" s="266" t="s">
        <v>1147</v>
      </c>
      <c r="J61" s="223" t="str">
        <f>'WetLitterbags placem_collection'!K62</f>
        <v>G633</v>
      </c>
      <c r="K61" s="225">
        <f>IFERROR(INDEX('Green_rooibos initial weight'!$C$5:$C$1749,MATCH(J61, 'Green_rooibos initial weight'!$A$5:$A$1749,0)),"")</f>
        <v>2.0630000000000002</v>
      </c>
      <c r="L61" s="225">
        <f>IFERROR(K61-(TBIcalc!$H$9+TBIcalc!$H$10),"")</f>
        <v>1.8132000000000001</v>
      </c>
      <c r="M61" s="391">
        <f>AVERAGE(Ashed_controlls!$K$2:$K$11)</f>
        <v>5.5147656768714146</v>
      </c>
      <c r="N61" s="225">
        <f t="shared" si="1"/>
        <v>1.7132062687469676</v>
      </c>
      <c r="O61" s="225">
        <f>IF(IFERROR(INDEX('Both teabags AfterWet'!$C$3:$C$841,MATCH(J61,'Both teabags AfterWet'!$A$3:$A$841,0)),"")="","",(IFERROR(INDEX('Both teabags AfterWet'!$C$3:$C$841,MATCH(J61,'Both teabags AfterWet'!$A$3:$A$841,0)),"")))</f>
        <v>0.874</v>
      </c>
      <c r="P61" s="225">
        <f>IFERROR(IF(O61&gt;0,O61-(TBIcalc!$H$9),""),"")</f>
        <v>0.72340000000000004</v>
      </c>
      <c r="Q61" s="225">
        <f>IFERROR(INDEX('Ashed teabags wet'!$K$2:$K$821,MATCH(J61,'Ashed teabags wet'!$A$2:$A$821,0)),"")</f>
        <v>12.827988338192315</v>
      </c>
      <c r="R61" s="225">
        <f t="shared" si="6"/>
        <v>0.63060233236151686</v>
      </c>
      <c r="S61" s="226">
        <f>'WetLitterbags placem_collection'!E62</f>
        <v>42766</v>
      </c>
      <c r="T61" s="226">
        <f>IF('WetLitterbags placem_collection'!G62="","",'WetLitterbags placem_collection'!G62)</f>
        <v>42820</v>
      </c>
      <c r="U61" s="227">
        <f t="shared" si="3"/>
        <v>54</v>
      </c>
      <c r="V61" s="225">
        <f t="shared" si="4"/>
        <v>1.0898000000000001</v>
      </c>
      <c r="W61" s="225">
        <f t="shared" si="5"/>
        <v>1.0826039363854507</v>
      </c>
      <c r="X61">
        <f>IFERROR(INDEX(Rainfall_Wet!$O$2:$O$217,MATCH(B61, Rainfall_Wet!$A$2:$A$217,0)),"")</f>
        <v>214.262898705</v>
      </c>
      <c r="Y61" s="231">
        <v>25.96</v>
      </c>
      <c r="Z61" s="231">
        <v>6.9200000000000008</v>
      </c>
      <c r="AA61" s="231">
        <v>67.12</v>
      </c>
      <c r="AB61" s="232" t="s">
        <v>2670</v>
      </c>
      <c r="AC61" s="231">
        <v>1.7568260226712666</v>
      </c>
      <c r="AD61">
        <f>IF('WetLitterbags placem_collection'!AB62="","",'WetLitterbags placem_collection'!AB62)</f>
        <v>2.4</v>
      </c>
      <c r="AE61">
        <f>IF('WetLitterbags placem_collection'!Z62="","",'WetLitterbags placem_collection'!Z62)</f>
        <v>10.199999999999999</v>
      </c>
      <c r="AF61" s="246" t="str">
        <f>IF('WetLitterbags placem_collection'!AA62="","",'WetLitterbags placem_collection'!AA62)</f>
        <v>O</v>
      </c>
      <c r="AG61">
        <f>IF('WetLitterbags placem_collection'!AC62="","",'WetLitterbags placem_collection'!AC62)</f>
        <v>0</v>
      </c>
      <c r="AH61" s="24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placem_collection'!V62)),"YES","NO")</f>
        <v>NO</v>
      </c>
      <c r="AM61" t="str">
        <f>IF(ISNUMBER(SEARCH("H", 'WetLitterbags placem_collection'!V62)),"YES","NO")</f>
        <v>NO</v>
      </c>
      <c r="AN61" t="str">
        <f>IF(ISNUMBER(SEARCH("R", 'WetLitterbags placem_collection'!V62)),"YES","NO")</f>
        <v>YES</v>
      </c>
    </row>
    <row r="62" spans="1:40">
      <c r="A62" s="258" t="s">
        <v>2460</v>
      </c>
      <c r="B62" s="263">
        <f>'Dry_Litterbag Placem_Collection'!A63</f>
        <v>61</v>
      </c>
      <c r="C62" s="263" t="str">
        <f>'Dry_Litterbag Placem_Collection'!B63</f>
        <v>Makao</v>
      </c>
      <c r="D62" s="263" t="s">
        <v>2659</v>
      </c>
      <c r="E62" s="263" t="s">
        <v>20</v>
      </c>
      <c r="F62" s="263">
        <v>4</v>
      </c>
      <c r="G62" s="264" t="str">
        <f>'Dry_Litterbag Placem_Collection'!C63</f>
        <v>Dry_P4_T5</v>
      </c>
      <c r="H62" s="265" t="s">
        <v>2541</v>
      </c>
      <c r="I62" s="266" t="s">
        <v>1147</v>
      </c>
      <c r="J62" s="223" t="str">
        <f>'WetLitterbags placem_collection'!K63</f>
        <v>G541</v>
      </c>
      <c r="K62" s="225">
        <f>IFERROR(INDEX('Green_rooibos initial weight'!$C$5:$C$1749,MATCH(J62, 'Green_rooibos initial weight'!$A$5:$A$1749,0)),"")</f>
        <v>1.978</v>
      </c>
      <c r="L62" s="225">
        <f>IFERROR(K62-(TBIcalc!$H$9+TBIcalc!$H$10),"")</f>
        <v>1.7282</v>
      </c>
      <c r="M62" s="391">
        <f>AVERAGE(Ashed_controlls!$K$2:$K$11)</f>
        <v>5.5147656768714146</v>
      </c>
      <c r="N62" s="225">
        <f t="shared" si="1"/>
        <v>1.6328938195723082</v>
      </c>
      <c r="O62" s="225">
        <f>IF(IFERROR(INDEX('Both teabags AfterWet'!$C$3:$C$841,MATCH(J62,'Both teabags AfterWet'!$A$3:$A$841,0)),"")="","",(IFERROR(INDEX('Both teabags AfterWet'!$C$3:$C$841,MATCH(J62,'Both teabags AfterWet'!$A$3:$A$841,0)),"")))</f>
        <v>0.78600000000000003</v>
      </c>
      <c r="P62" s="225">
        <f>IFERROR(IF(O62&gt;0,O62-(TBIcalc!$H$9),""),"")</f>
        <v>0.63539999999999996</v>
      </c>
      <c r="Q62" s="225">
        <f>IFERROR(INDEX('Ashed teabags wet'!$K$2:$K$821,MATCH(J62,'Ashed teabags wet'!$A$2:$A$821,0)),"")</f>
        <v>12.728194726166139</v>
      </c>
      <c r="R62" s="225">
        <f t="shared" si="6"/>
        <v>0.55452505070994029</v>
      </c>
      <c r="S62" s="226">
        <f>'WetLitterbags placem_collection'!E63</f>
        <v>42766</v>
      </c>
      <c r="T62" s="226">
        <f>IF('WetLitterbags placem_collection'!G63="","",'WetLitterbags placem_collection'!G63)</f>
        <v>42820</v>
      </c>
      <c r="U62" s="227">
        <f t="shared" si="3"/>
        <v>54</v>
      </c>
      <c r="V62" s="225">
        <f t="shared" si="4"/>
        <v>1.0928</v>
      </c>
      <c r="W62" s="225">
        <f t="shared" si="5"/>
        <v>1.0783687688623678</v>
      </c>
      <c r="X62">
        <f>IFERROR(INDEX(Rainfall_Wet!$O$2:$O$217,MATCH(B62, Rainfall_Wet!$A$2:$A$217,0)),"")</f>
        <v>214.262898705</v>
      </c>
      <c r="Y62" s="231">
        <v>25.96</v>
      </c>
      <c r="Z62" s="231">
        <v>6.9200000000000008</v>
      </c>
      <c r="AA62" s="231">
        <v>67.12</v>
      </c>
      <c r="AB62" s="232" t="s">
        <v>2670</v>
      </c>
      <c r="AC62" s="231">
        <v>1.7568260226712666</v>
      </c>
      <c r="AD62">
        <f>IF('WetLitterbags placem_collection'!AB63="","",'WetLitterbags placem_collection'!AB63)</f>
        <v>5.6</v>
      </c>
      <c r="AE62">
        <f>IF('WetLitterbags placem_collection'!Z63="","",'WetLitterbags placem_collection'!Z63)</f>
        <v>34.200000000000003</v>
      </c>
      <c r="AF62" s="246" t="str">
        <f>IF('WetLitterbags placem_collection'!AA63="","",'WetLitterbags placem_collection'!AA63)</f>
        <v>O</v>
      </c>
      <c r="AG62">
        <f>IF('WetLitterbags placem_collection'!AC63="","",'WetLitterbags placem_collection'!AC63)</f>
        <v>0</v>
      </c>
      <c r="AH62" s="24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placem_collection'!V63)),"YES","NO")</f>
        <v>YES</v>
      </c>
      <c r="AM62" t="str">
        <f>IF(ISNUMBER(SEARCH("H", 'WetLitterbags placem_collection'!V63)),"YES","NO")</f>
        <v>YES</v>
      </c>
      <c r="AN62" t="str">
        <f>IF(ISNUMBER(SEARCH("R", 'WetLitterbags placem_collection'!V63)),"YES","NO")</f>
        <v>NO</v>
      </c>
    </row>
    <row r="63" spans="1:40">
      <c r="A63" s="258" t="s">
        <v>2460</v>
      </c>
      <c r="B63" s="263">
        <f>'Dry_Litterbag Placem_Collection'!A64</f>
        <v>62</v>
      </c>
      <c r="C63" s="263" t="str">
        <f>'Dry_Litterbag Placem_Collection'!B64</f>
        <v>Makao</v>
      </c>
      <c r="D63" s="263" t="s">
        <v>2659</v>
      </c>
      <c r="E63" s="263" t="s">
        <v>20</v>
      </c>
      <c r="F63" s="263">
        <v>4</v>
      </c>
      <c r="G63" s="264" t="str">
        <f>'Dry_Litterbag Placem_Collection'!C64</f>
        <v>Dry_P4_T6</v>
      </c>
      <c r="H63" s="265" t="s">
        <v>2541</v>
      </c>
      <c r="I63" s="266" t="s">
        <v>1147</v>
      </c>
      <c r="J63" s="223" t="str">
        <f>'WetLitterbags placem_collection'!K64</f>
        <v>G565</v>
      </c>
      <c r="K63" s="225">
        <f>IFERROR(INDEX('Green_rooibos initial weight'!$C$5:$C$1749,MATCH(J63, 'Green_rooibos initial weight'!$A$5:$A$1749,0)),"")</f>
        <v>2.109</v>
      </c>
      <c r="L63" s="225">
        <f>IFERROR(K63-(TBIcalc!$H$9+TBIcalc!$H$10),"")</f>
        <v>1.8592</v>
      </c>
      <c r="M63" s="391">
        <f>AVERAGE(Ashed_controlls!$K$2:$K$11)</f>
        <v>5.5147656768714146</v>
      </c>
      <c r="N63" s="225">
        <f t="shared" si="1"/>
        <v>1.7566694765356066</v>
      </c>
      <c r="O63" s="225">
        <f>IF(IFERROR(INDEX('Both teabags AfterWet'!$C$3:$C$841,MATCH(J63,'Both teabags AfterWet'!$A$3:$A$841,0)),"")="","",(IFERROR(INDEX('Both teabags AfterWet'!$C$3:$C$841,MATCH(J63,'Both teabags AfterWet'!$A$3:$A$841,0)),"")))</f>
        <v>0.9224</v>
      </c>
      <c r="P63" s="225">
        <f>IFERROR(IF(O63&gt;0,O63-(TBIcalc!$H$9),""),"")</f>
        <v>0.77180000000000004</v>
      </c>
      <c r="Q63" s="225">
        <f>IFERROR(INDEX('Ashed teabags wet'!$K$2:$K$821,MATCH(J63,'Ashed teabags wet'!$A$2:$A$821,0)),"")</f>
        <v>20.729927007299029</v>
      </c>
      <c r="R63" s="225">
        <f t="shared" si="6"/>
        <v>0.61180642335766611</v>
      </c>
      <c r="S63" s="226">
        <f>'WetLitterbags placem_collection'!E64</f>
        <v>42766</v>
      </c>
      <c r="T63" s="226">
        <f>IF('WetLitterbags placem_collection'!G64="","",'WetLitterbags placem_collection'!G64)</f>
        <v>42820</v>
      </c>
      <c r="U63" s="227">
        <f t="shared" si="3"/>
        <v>54</v>
      </c>
      <c r="V63" s="225">
        <f t="shared" si="4"/>
        <v>1.0873999999999999</v>
      </c>
      <c r="W63" s="225">
        <f t="shared" si="5"/>
        <v>1.1448630531779405</v>
      </c>
      <c r="X63">
        <f>IFERROR(INDEX(Rainfall_Wet!$O$2:$O$217,MATCH(B63, Rainfall_Wet!$A$2:$A$217,0)),"")</f>
        <v>214.262898705</v>
      </c>
      <c r="Y63" s="231">
        <v>25.96</v>
      </c>
      <c r="Z63" s="231">
        <v>6.9200000000000008</v>
      </c>
      <c r="AA63" s="231">
        <v>67.12</v>
      </c>
      <c r="AB63" s="232" t="s">
        <v>2670</v>
      </c>
      <c r="AC63" s="231">
        <v>1.7568260226712666</v>
      </c>
      <c r="AD63">
        <f>IF('WetLitterbags placem_collection'!AB64="","",'WetLitterbags placem_collection'!AB64)</f>
        <v>4.2</v>
      </c>
      <c r="AE63">
        <f>IF('WetLitterbags placem_collection'!Z64="","",'WetLitterbags placem_collection'!Z64)</f>
        <v>40.4</v>
      </c>
      <c r="AF63" s="246" t="str">
        <f>IF('WetLitterbags placem_collection'!AA64="","",'WetLitterbags placem_collection'!AA64)</f>
        <v>O</v>
      </c>
      <c r="AG63">
        <f>IF('WetLitterbags placem_collection'!AC64="","",'WetLitterbags placem_collection'!AC64)</f>
        <v>0</v>
      </c>
      <c r="AH63" s="24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placem_collection'!V64)),"YES","NO")</f>
        <v>NO</v>
      </c>
      <c r="AM63" t="str">
        <f>IF(ISNUMBER(SEARCH("H", 'WetLitterbags placem_collection'!V64)),"YES","NO")</f>
        <v>YES</v>
      </c>
      <c r="AN63" t="str">
        <f>IF(ISNUMBER(SEARCH("R", 'WetLitterbags placem_collection'!V64)),"YES","NO")</f>
        <v>NO</v>
      </c>
    </row>
    <row r="64" spans="1:40">
      <c r="A64" s="258" t="s">
        <v>2460</v>
      </c>
      <c r="B64" s="263">
        <f>'Dry_Litterbag Placem_Collection'!A65</f>
        <v>63</v>
      </c>
      <c r="C64" s="263" t="str">
        <f>'Dry_Litterbag Placem_Collection'!B65</f>
        <v>Makao</v>
      </c>
      <c r="D64" s="263" t="s">
        <v>2659</v>
      </c>
      <c r="E64" s="263" t="s">
        <v>20</v>
      </c>
      <c r="F64" s="263">
        <v>4</v>
      </c>
      <c r="G64" s="264" t="str">
        <f>'Dry_Litterbag Placem_Collection'!C65</f>
        <v>Dry_P4_T7</v>
      </c>
      <c r="H64" s="265" t="s">
        <v>2541</v>
      </c>
      <c r="I64" s="266" t="s">
        <v>1147</v>
      </c>
      <c r="J64" s="223" t="str">
        <f>'WetLitterbags placem_collection'!K65</f>
        <v>G387</v>
      </c>
      <c r="K64" s="225">
        <f>IFERROR(INDEX('Green_rooibos initial weight'!$C$5:$C$1749,MATCH(J64, 'Green_rooibos initial weight'!$A$5:$A$1749,0)),"")</f>
        <v>2.0139999999999998</v>
      </c>
      <c r="L64" s="225">
        <f>IFERROR(K64-(TBIcalc!$H$9+TBIcalc!$H$10),"")</f>
        <v>1.7641999999999998</v>
      </c>
      <c r="M64" s="391">
        <f>AVERAGE(Ashed_controlls!$K$2:$K$11)</f>
        <v>5.5147656768714146</v>
      </c>
      <c r="N64" s="225">
        <f t="shared" si="1"/>
        <v>1.6669085039286342</v>
      </c>
      <c r="O64" s="225">
        <f>IF(IFERROR(INDEX('Both teabags AfterWet'!$C$3:$C$841,MATCH(J64,'Both teabags AfterWet'!$A$3:$A$841,0)),"")="","",(IFERROR(INDEX('Both teabags AfterWet'!$C$3:$C$841,MATCH(J64,'Both teabags AfterWet'!$A$3:$A$841,0)),"")))</f>
        <v>1.083</v>
      </c>
      <c r="P64" s="225">
        <f>IFERROR(IF(O64&gt;0,O64-(TBIcalc!$H$9),""),"")</f>
        <v>0.9323999999999999</v>
      </c>
      <c r="Q64" s="225">
        <f>IFERROR(INDEX('Ashed teabags wet'!$K$2:$K$821,MATCH(J64,'Ashed teabags wet'!$A$2:$A$821,0)),"")</f>
        <v>20.515313563441481</v>
      </c>
      <c r="R64" s="225">
        <f t="shared" si="6"/>
        <v>0.74111521633447153</v>
      </c>
      <c r="S64" s="226">
        <f>'WetLitterbags placem_collection'!E65</f>
        <v>42766</v>
      </c>
      <c r="T64" s="226">
        <f>IF('WetLitterbags placem_collection'!G65="","",'WetLitterbags placem_collection'!G65)</f>
        <v>42820</v>
      </c>
      <c r="U64" s="227">
        <f t="shared" si="3"/>
        <v>54</v>
      </c>
      <c r="V64" s="225">
        <f t="shared" si="4"/>
        <v>0.83179999999999987</v>
      </c>
      <c r="W64" s="225">
        <f t="shared" si="5"/>
        <v>0.92579328759416268</v>
      </c>
      <c r="X64">
        <f>IFERROR(INDEX(Rainfall_Wet!$O$2:$O$217,MATCH(B64, Rainfall_Wet!$A$2:$A$217,0)),"")</f>
        <v>214.262898705</v>
      </c>
      <c r="Y64" s="231">
        <v>25.96</v>
      </c>
      <c r="Z64" s="231">
        <v>6.9200000000000008</v>
      </c>
      <c r="AA64" s="231">
        <v>67.12</v>
      </c>
      <c r="AB64" s="232" t="s">
        <v>2670</v>
      </c>
      <c r="AC64" s="231">
        <v>1.7568260226712666</v>
      </c>
      <c r="AD64">
        <f>IF('WetLitterbags placem_collection'!AB65="","",'WetLitterbags placem_collection'!AB65)</f>
        <v>4.9000000000000004</v>
      </c>
      <c r="AE64">
        <f>IF('WetLitterbags placem_collection'!Z65="","",'WetLitterbags placem_collection'!Z65)</f>
        <v>45</v>
      </c>
      <c r="AF64" s="246" t="str">
        <f>IF('WetLitterbags placem_collection'!AA65="","",'WetLitterbags placem_collection'!AA65)</f>
        <v>O</v>
      </c>
      <c r="AG64">
        <f>IF('WetLitterbags placem_collection'!AC65="","",'WetLitterbags placem_collection'!AC65)</f>
        <v>0</v>
      </c>
      <c r="AH64" s="24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placem_collection'!V65)),"YES","NO")</f>
        <v>NO</v>
      </c>
      <c r="AM64" t="str">
        <f>IF(ISNUMBER(SEARCH("H", 'WetLitterbags placem_collection'!V65)),"YES","NO")</f>
        <v>NO</v>
      </c>
      <c r="AN64" t="str">
        <f>IF(ISNUMBER(SEARCH("R", 'WetLitterbags placem_collection'!V65)),"YES","NO")</f>
        <v>YES</v>
      </c>
    </row>
    <row r="65" spans="1:40">
      <c r="A65" s="258" t="s">
        <v>2460</v>
      </c>
      <c r="B65" s="263">
        <f>'Dry_Litterbag Placem_Collection'!A66</f>
        <v>64</v>
      </c>
      <c r="C65" s="263" t="str">
        <f>'Dry_Litterbag Placem_Collection'!B66</f>
        <v>Makao</v>
      </c>
      <c r="D65" s="263" t="s">
        <v>2659</v>
      </c>
      <c r="E65" s="263" t="s">
        <v>20</v>
      </c>
      <c r="F65" s="263">
        <v>4</v>
      </c>
      <c r="G65" s="264" t="str">
        <f>'Dry_Litterbag Placem_Collection'!C66</f>
        <v>Dry_P4_T8</v>
      </c>
      <c r="H65" s="265" t="s">
        <v>2541</v>
      </c>
      <c r="I65" s="266" t="s">
        <v>1147</v>
      </c>
      <c r="J65" s="223" t="str">
        <f>'WetLitterbags placem_collection'!K66</f>
        <v>G554</v>
      </c>
      <c r="K65" s="225">
        <f>IFERROR(INDEX('Green_rooibos initial weight'!$C$5:$C$1749,MATCH(J65, 'Green_rooibos initial weight'!$A$5:$A$1749,0)),"")</f>
        <v>2.0840000000000001</v>
      </c>
      <c r="L65" s="225">
        <f>IFERROR(K65-(TBIcalc!$H$9+TBIcalc!$H$10),"")</f>
        <v>1.8342000000000001</v>
      </c>
      <c r="M65" s="391">
        <f>AVERAGE(Ashed_controlls!$K$2:$K$11)</f>
        <v>5.5147656768714146</v>
      </c>
      <c r="N65" s="225">
        <f t="shared" si="1"/>
        <v>1.7330481679548246</v>
      </c>
      <c r="O65" s="225">
        <f>IF(IFERROR(INDEX('Both teabags AfterWet'!$C$3:$C$841,MATCH(J65,'Both teabags AfterWet'!$A$3:$A$841,0)),"")="","",(IFERROR(INDEX('Both teabags AfterWet'!$C$3:$C$841,MATCH(J65,'Both teabags AfterWet'!$A$3:$A$841,0)),"")))</f>
        <v>1.29</v>
      </c>
      <c r="P65" s="225">
        <f>IFERROR(IF(O65&gt;0,O65-(TBIcalc!$H$9),""),"")</f>
        <v>1.1394</v>
      </c>
      <c r="Q65" s="225">
        <f>IFERROR(INDEX('Ashed teabags wet'!$K$2:$K$821,MATCH(J65,'Ashed teabags wet'!$A$2:$A$821,0)),"")</f>
        <v>36.815920398009624</v>
      </c>
      <c r="R65" s="225">
        <f t="shared" si="6"/>
        <v>0.71991940298507839</v>
      </c>
      <c r="S65" s="226">
        <f>'WetLitterbags placem_collection'!E66</f>
        <v>42766</v>
      </c>
      <c r="T65" s="226">
        <f>IF('WetLitterbags placem_collection'!G66="","",'WetLitterbags placem_collection'!G66)</f>
        <v>42820</v>
      </c>
      <c r="U65" s="227">
        <f t="shared" si="3"/>
        <v>54</v>
      </c>
      <c r="V65" s="225">
        <f t="shared" si="4"/>
        <v>0.69480000000000008</v>
      </c>
      <c r="W65" s="225">
        <f t="shared" si="5"/>
        <v>1.0131287649697462</v>
      </c>
      <c r="X65">
        <f>IFERROR(INDEX(Rainfall_Wet!$O$2:$O$217,MATCH(B65, Rainfall_Wet!$A$2:$A$217,0)),"")</f>
        <v>214.262898705</v>
      </c>
      <c r="Y65" s="231">
        <v>25.96</v>
      </c>
      <c r="Z65" s="231">
        <v>6.9200000000000008</v>
      </c>
      <c r="AA65" s="231">
        <v>67.12</v>
      </c>
      <c r="AB65" s="232" t="s">
        <v>2670</v>
      </c>
      <c r="AC65" s="231">
        <v>1.7568260226712666</v>
      </c>
      <c r="AD65">
        <f>IF('WetLitterbags placem_collection'!AB66="","",'WetLitterbags placem_collection'!AB66)</f>
        <v>3</v>
      </c>
      <c r="AE65">
        <f>IF('WetLitterbags placem_collection'!Z66="","",'WetLitterbags placem_collection'!Z66)</f>
        <v>22.8</v>
      </c>
      <c r="AF65" s="246" t="str">
        <f>IF('WetLitterbags placem_collection'!AA66="","",'WetLitterbags placem_collection'!AA66)</f>
        <v>O</v>
      </c>
      <c r="AG65">
        <f>IF('WetLitterbags placem_collection'!AC66="","",'WetLitterbags placem_collection'!AC66)</f>
        <v>1</v>
      </c>
      <c r="AH65" s="24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placem_collection'!V66)),"YES","NO")</f>
        <v>NO</v>
      </c>
      <c r="AM65" t="str">
        <f>IF(ISNUMBER(SEARCH("H", 'WetLitterbags placem_collection'!V66)),"YES","NO")</f>
        <v>YES</v>
      </c>
      <c r="AN65" t="str">
        <f>IF(ISNUMBER(SEARCH("R", 'WetLitterbags placem_collection'!V66)),"YES","NO")</f>
        <v>YES</v>
      </c>
    </row>
    <row r="66" spans="1:40">
      <c r="A66" s="258" t="s">
        <v>2460</v>
      </c>
      <c r="B66" s="263">
        <f>'Dry_Litterbag Placem_Collection'!A67</f>
        <v>65</v>
      </c>
      <c r="C66" s="263" t="str">
        <f>'Dry_Litterbag Placem_Collection'!B67</f>
        <v>Maswa</v>
      </c>
      <c r="D66" s="263" t="s">
        <v>2659</v>
      </c>
      <c r="E66" s="263" t="s">
        <v>2661</v>
      </c>
      <c r="F66" s="263">
        <v>1</v>
      </c>
      <c r="G66" s="264" t="str">
        <f>'Dry_Litterbag Placem_Collection'!C67</f>
        <v>Dry_W1_T1</v>
      </c>
      <c r="H66" s="265" t="s">
        <v>2541</v>
      </c>
      <c r="I66" s="266" t="s">
        <v>1147</v>
      </c>
      <c r="J66" s="223" t="str">
        <f>'WetLitterbags placem_collection'!K67</f>
        <v>G614</v>
      </c>
      <c r="K66" s="225">
        <f>IFERROR(INDEX('Green_rooibos initial weight'!$C$5:$C$1749,MATCH(J66, 'Green_rooibos initial weight'!$A$5:$A$1749,0)),"")</f>
        <v>2.1709999999999998</v>
      </c>
      <c r="L66" s="225">
        <f>IFERROR(K66-(TBIcalc!$H$9+TBIcalc!$H$10),"")</f>
        <v>1.9211999999999998</v>
      </c>
      <c r="M66" s="391">
        <f>AVERAGE(Ashed_controlls!$K$2:$K$11)</f>
        <v>5.5147656768714146</v>
      </c>
      <c r="N66" s="225">
        <f t="shared" si="1"/>
        <v>1.8152503218159461</v>
      </c>
      <c r="O66" s="225">
        <f>IF(IFERROR(INDEX('Both teabags AfterWet'!$C$3:$C$841,MATCH(J66,'Both teabags AfterWet'!$A$3:$A$841,0)),"")="","",(IFERROR(INDEX('Both teabags AfterWet'!$C$3:$C$841,MATCH(J66,'Both teabags AfterWet'!$A$3:$A$841,0)),"")))</f>
        <v>0.96099999999999997</v>
      </c>
      <c r="P66" s="225">
        <f>IFERROR(IF(O66&gt;0,O66-(TBIcalc!$H$9),""),"")</f>
        <v>0.81040000000000001</v>
      </c>
      <c r="Q66" s="225">
        <f>IFERROR(INDEX('Ashed teabags wet'!$K$2:$K$821,MATCH(J66,'Ashed teabags wet'!$A$2:$A$821,0)),"")</f>
        <v>15.67460317460233</v>
      </c>
      <c r="R66" s="225">
        <f t="shared" si="6"/>
        <v>0.68337301587302268</v>
      </c>
      <c r="S66" s="226">
        <f>'WetLitterbags placem_collection'!E67</f>
        <v>42767</v>
      </c>
      <c r="T66" s="226">
        <f>IF('WetLitterbags placem_collection'!G67="","",'WetLitterbags placem_collection'!G67)</f>
        <v>42818</v>
      </c>
      <c r="U66" s="227">
        <f t="shared" si="3"/>
        <v>51</v>
      </c>
      <c r="V66" s="225">
        <f t="shared" si="4"/>
        <v>1.1107999999999998</v>
      </c>
      <c r="W66" s="225">
        <f t="shared" si="5"/>
        <v>1.1318773059429235</v>
      </c>
      <c r="X66">
        <f>IFERROR(INDEX(Rainfall_Wet!$O$2:$O$217,MATCH(B66, Rainfall_Wet!$A$2:$A$217,0)),"")</f>
        <v>185.630065823</v>
      </c>
      <c r="Y66" s="231">
        <v>47.96</v>
      </c>
      <c r="Z66" s="231">
        <v>22.919999999999995</v>
      </c>
      <c r="AA66" s="231">
        <v>29.120000000000012</v>
      </c>
      <c r="AB66" s="232" t="s">
        <v>2673</v>
      </c>
      <c r="AC66" s="231">
        <v>2.8831936914736325</v>
      </c>
      <c r="AD66">
        <f>IF('WetLitterbags placem_collection'!AB67="","",'WetLitterbags placem_collection'!AB67)</f>
        <v>13.8</v>
      </c>
      <c r="AE66">
        <f>IF('WetLitterbags placem_collection'!Z67="","",'WetLitterbags placem_collection'!Z67)</f>
        <v>13.8</v>
      </c>
      <c r="AF66" s="246" t="str">
        <f>IF('WetLitterbags placem_collection'!AA67="","",'WetLitterbags placem_collection'!AA67)</f>
        <v>O</v>
      </c>
      <c r="AG66">
        <f>IF('WetLitterbags placem_collection'!AC67="","",'WetLitterbags placem_collection'!AC67)</f>
        <v>1</v>
      </c>
      <c r="AH66" s="24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placem_collection'!V67)),"YES","NO")</f>
        <v>NO</v>
      </c>
      <c r="AM66" t="str">
        <f>IF(ISNUMBER(SEARCH("H", 'WetLitterbags placem_collection'!V67)),"YES","NO")</f>
        <v>NO</v>
      </c>
      <c r="AN66" t="str">
        <f>IF(ISNUMBER(SEARCH("R", 'WetLitterbags placem_collection'!V67)),"YES","NO")</f>
        <v>YES</v>
      </c>
    </row>
    <row r="67" spans="1:40">
      <c r="A67" s="258" t="s">
        <v>2460</v>
      </c>
      <c r="B67" s="263">
        <f>'Dry_Litterbag Placem_Collection'!A68</f>
        <v>66</v>
      </c>
      <c r="C67" s="263" t="str">
        <f>'Dry_Litterbag Placem_Collection'!B68</f>
        <v>Maswa</v>
      </c>
      <c r="D67" s="263" t="s">
        <v>2659</v>
      </c>
      <c r="E67" s="263" t="s">
        <v>2661</v>
      </c>
      <c r="F67" s="263">
        <v>1</v>
      </c>
      <c r="G67" s="264" t="str">
        <f>'Dry_Litterbag Placem_Collection'!C68</f>
        <v>Dry_W1_T2</v>
      </c>
      <c r="H67" s="265" t="s">
        <v>2541</v>
      </c>
      <c r="I67" s="266" t="s">
        <v>1147</v>
      </c>
      <c r="J67" s="223" t="str">
        <f>'WetLitterbags placem_collection'!K68</f>
        <v>G282</v>
      </c>
      <c r="K67" s="225">
        <f>IFERROR(INDEX('Green_rooibos initial weight'!$C$5:$C$1749,MATCH(J67, 'Green_rooibos initial weight'!$A$5:$A$1749,0)),"")</f>
        <v>1.9730000000000001</v>
      </c>
      <c r="L67" s="225">
        <f>IFERROR(K67-(TBIcalc!$H$9+TBIcalc!$H$10),"")</f>
        <v>1.7232000000000001</v>
      </c>
      <c r="M67" s="391">
        <f>AVERAGE(Ashed_controlls!$K$2:$K$11)</f>
        <v>5.5147656768714146</v>
      </c>
      <c r="N67" s="225">
        <f t="shared" ref="N67:N130" si="7">IFERROR(L67-(M67/100)*L67,"")</f>
        <v>1.6281695578561519</v>
      </c>
      <c r="O67" s="225">
        <f>IF(IFERROR(INDEX('Both teabags AfterWet'!$C$3:$C$841,MATCH(J67,'Both teabags AfterWet'!$A$3:$A$841,0)),"")="","",(IFERROR(INDEX('Both teabags AfterWet'!$C$3:$C$841,MATCH(J67,'Both teabags AfterWet'!$A$3:$A$841,0)),"")))</f>
        <v>1.1456</v>
      </c>
      <c r="P67" s="225">
        <f>IFERROR(IF(O67&gt;0,O67-(TBIcalc!$H$9),""),"")</f>
        <v>0.99499999999999988</v>
      </c>
      <c r="Q67" s="225">
        <f>IFERROR(INDEX('Ashed teabags wet'!$K$2:$K$821,MATCH(J67,'Ashed teabags wet'!$A$2:$A$821,0)),"")</f>
        <v>31.190019193858088</v>
      </c>
      <c r="R67" s="225">
        <f t="shared" si="6"/>
        <v>0.68465930902111194</v>
      </c>
      <c r="S67" s="226">
        <f>'WetLitterbags placem_collection'!E68</f>
        <v>42767</v>
      </c>
      <c r="T67" s="226">
        <f>IF('WetLitterbags placem_collection'!G68="","",'WetLitterbags placem_collection'!G68)</f>
        <v>42818</v>
      </c>
      <c r="U67" s="227">
        <f t="shared" ref="U67:U130" si="8">IFERROR(T67-S67,"")</f>
        <v>51</v>
      </c>
      <c r="V67" s="225">
        <f t="shared" ref="V67:V130" si="9">IFERROR(L67-P67,"")</f>
        <v>0.72820000000000018</v>
      </c>
      <c r="W67" s="225">
        <f t="shared" ref="W67:W130" si="10">IFERROR(N67-R67,"")</f>
        <v>0.94351024883503998</v>
      </c>
      <c r="X67">
        <f>IFERROR(INDEX(Rainfall_Wet!$O$2:$O$217,MATCH(B67, Rainfall_Wet!$A$2:$A$217,0)),"")</f>
        <v>185.630065823</v>
      </c>
      <c r="Y67" s="231">
        <v>47.96</v>
      </c>
      <c r="Z67" s="231">
        <v>22.919999999999995</v>
      </c>
      <c r="AA67" s="231">
        <v>29.120000000000012</v>
      </c>
      <c r="AB67" s="232" t="s">
        <v>2673</v>
      </c>
      <c r="AC67" s="231">
        <v>3.8831936914736298</v>
      </c>
      <c r="AD67">
        <f>IF('WetLitterbags placem_collection'!AB68="","",'WetLitterbags placem_collection'!AB68)</f>
        <v>8</v>
      </c>
      <c r="AE67">
        <f>IF('WetLitterbags placem_collection'!Z68="","",'WetLitterbags placem_collection'!Z68)</f>
        <v>19.8</v>
      </c>
      <c r="AF67" s="246" t="str">
        <f>IF('WetLitterbags placem_collection'!AA68="","",'WetLitterbags placem_collection'!AA68)</f>
        <v>O</v>
      </c>
      <c r="AG67">
        <f>IF('WetLitterbags placem_collection'!AC68="","",'WetLitterbags placem_collection'!AC68)</f>
        <v>1</v>
      </c>
      <c r="AH67" s="24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placem_collection'!V68)),"YES","NO")</f>
        <v>NO</v>
      </c>
      <c r="AM67" t="str">
        <f>IF(ISNUMBER(SEARCH("H", 'WetLitterbags placem_collection'!V68)),"YES","NO")</f>
        <v>NO</v>
      </c>
      <c r="AN67" t="str">
        <f>IF(ISNUMBER(SEARCH("R", 'WetLitterbags placem_collection'!V68)),"YES","NO")</f>
        <v>YES</v>
      </c>
    </row>
    <row r="68" spans="1:40">
      <c r="A68" s="258" t="s">
        <v>2460</v>
      </c>
      <c r="B68" s="263">
        <f>'Dry_Litterbag Placem_Collection'!A69</f>
        <v>67</v>
      </c>
      <c r="C68" s="263" t="str">
        <f>'Dry_Litterbag Placem_Collection'!B69</f>
        <v>Maswa</v>
      </c>
      <c r="D68" s="263" t="s">
        <v>2659</v>
      </c>
      <c r="E68" s="263" t="s">
        <v>2661</v>
      </c>
      <c r="F68" s="263">
        <v>1</v>
      </c>
      <c r="G68" s="264" t="str">
        <f>'Dry_Litterbag Placem_Collection'!C69</f>
        <v>Dry_W1_T3</v>
      </c>
      <c r="H68" s="265" t="s">
        <v>2541</v>
      </c>
      <c r="I68" s="266" t="s">
        <v>1147</v>
      </c>
      <c r="J68" s="223" t="str">
        <f>'WetLitterbags placem_collection'!K69</f>
        <v>G450</v>
      </c>
      <c r="K68" s="225">
        <f>IFERROR(INDEX('Green_rooibos initial weight'!$C$5:$C$1749,MATCH(J68, 'Green_rooibos initial weight'!$A$5:$A$1749,0)),"")</f>
        <v>2.1629999999999998</v>
      </c>
      <c r="L68" s="225">
        <f>IFERROR(K68-(TBIcalc!$H$9+TBIcalc!$H$10),"")</f>
        <v>1.9131999999999998</v>
      </c>
      <c r="M68" s="391">
        <f>AVERAGE(Ashed_controlls!$K$2:$K$11)</f>
        <v>5.5147656768714146</v>
      </c>
      <c r="N68" s="225">
        <f t="shared" si="7"/>
        <v>1.807691503070096</v>
      </c>
      <c r="O68" s="225">
        <f>IF(IFERROR(INDEX('Both teabags AfterWet'!$C$3:$C$841,MATCH(J68,'Both teabags AfterWet'!$A$3:$A$841,0)),"")="","",(IFERROR(INDEX('Both teabags AfterWet'!$C$3:$C$841,MATCH(J68,'Both teabags AfterWet'!$A$3:$A$841,0)),"")))</f>
        <v>0.89059999999999995</v>
      </c>
      <c r="P68" s="225">
        <f>IFERROR(IF(O68&gt;0,O68-(TBIcalc!$H$9),""),"")</f>
        <v>0.74</v>
      </c>
      <c r="Q68" s="225">
        <f>IFERROR(INDEX('Ashed teabags wet'!$K$2:$K$821,MATCH(J68,'Ashed teabags wet'!$A$2:$A$821,0)),"")</f>
        <v>13.860419716935581</v>
      </c>
      <c r="R68" s="225">
        <f t="shared" si="6"/>
        <v>0.63743289409467674</v>
      </c>
      <c r="S68" s="226">
        <f>'WetLitterbags placem_collection'!E69</f>
        <v>42767</v>
      </c>
      <c r="T68" s="226">
        <f>IF('WetLitterbags placem_collection'!G69="","",'WetLitterbags placem_collection'!G69)</f>
        <v>42818</v>
      </c>
      <c r="U68" s="227">
        <f t="shared" si="8"/>
        <v>51</v>
      </c>
      <c r="V68" s="225">
        <f t="shared" si="9"/>
        <v>1.1731999999999998</v>
      </c>
      <c r="W68" s="225">
        <f t="shared" si="10"/>
        <v>1.1702586089754192</v>
      </c>
      <c r="X68">
        <f>IFERROR(INDEX(Rainfall_Wet!$O$2:$O$217,MATCH(B68, Rainfall_Wet!$A$2:$A$217,0)),"")</f>
        <v>185.630065823</v>
      </c>
      <c r="Y68" s="231">
        <v>47.96</v>
      </c>
      <c r="Z68" s="231">
        <v>22.919999999999995</v>
      </c>
      <c r="AA68" s="231">
        <v>29.120000000000012</v>
      </c>
      <c r="AB68" s="232" t="s">
        <v>2673</v>
      </c>
      <c r="AC68" s="231">
        <v>4.8831936914736298</v>
      </c>
      <c r="AD68">
        <f>IF('WetLitterbags placem_collection'!AB69="","",'WetLitterbags placem_collection'!AB69)</f>
        <v>5.5</v>
      </c>
      <c r="AE68">
        <f>IF('WetLitterbags placem_collection'!Z69="","",'WetLitterbags placem_collection'!Z69)</f>
        <v>5.5</v>
      </c>
      <c r="AF68" s="246" t="str">
        <f>IF('WetLitterbags placem_collection'!AA69="","",'WetLitterbags placem_collection'!AA69)</f>
        <v>O</v>
      </c>
      <c r="AG68">
        <f>IF('WetLitterbags placem_collection'!AC69="","",'WetLitterbags placem_collection'!AC69)</f>
        <v>1</v>
      </c>
      <c r="AH68" s="24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placem_collection'!V69)),"YES","NO")</f>
        <v>NO</v>
      </c>
      <c r="AM68" t="str">
        <f>IF(ISNUMBER(SEARCH("H", 'WetLitterbags placem_collection'!V69)),"YES","NO")</f>
        <v>YES</v>
      </c>
      <c r="AN68" t="str">
        <f>IF(ISNUMBER(SEARCH("R", 'WetLitterbags placem_collection'!V69)),"YES","NO")</f>
        <v>YES</v>
      </c>
    </row>
    <row r="69" spans="1:40">
      <c r="A69" s="258" t="s">
        <v>2460</v>
      </c>
      <c r="B69" s="263">
        <f>'Dry_Litterbag Placem_Collection'!A70</f>
        <v>68</v>
      </c>
      <c r="C69" s="263" t="str">
        <f>'Dry_Litterbag Placem_Collection'!B70</f>
        <v>Maswa</v>
      </c>
      <c r="D69" s="263" t="s">
        <v>2659</v>
      </c>
      <c r="E69" s="263" t="s">
        <v>2661</v>
      </c>
      <c r="F69" s="263">
        <v>1</v>
      </c>
      <c r="G69" s="264" t="str">
        <f>'Dry_Litterbag Placem_Collection'!C70</f>
        <v>Dry_W1_T4</v>
      </c>
      <c r="H69" s="265" t="s">
        <v>2541</v>
      </c>
      <c r="I69" s="266" t="s">
        <v>1147</v>
      </c>
      <c r="J69" s="223" t="str">
        <f>'WetLitterbags placem_collection'!K70</f>
        <v>G269</v>
      </c>
      <c r="K69" s="225">
        <f>IFERROR(INDEX('Green_rooibos initial weight'!$C$5:$C$1749,MATCH(J69, 'Green_rooibos initial weight'!$A$5:$A$1749,0)),"")</f>
        <v>2.0419999999999998</v>
      </c>
      <c r="L69" s="225">
        <f>IFERROR(K69-(TBIcalc!$H$9+TBIcalc!$H$10),"")</f>
        <v>1.7921999999999998</v>
      </c>
      <c r="M69" s="391">
        <f>AVERAGE(Ashed_controlls!$K$2:$K$11)</f>
        <v>5.5147656768714146</v>
      </c>
      <c r="N69" s="225">
        <f t="shared" si="7"/>
        <v>1.6933643695391103</v>
      </c>
      <c r="O69" s="225">
        <f>IF(IFERROR(INDEX('Both teabags AfterWet'!$C$3:$C$841,MATCH(J69,'Both teabags AfterWet'!$A$3:$A$841,0)),"")="","",(IFERROR(INDEX('Both teabags AfterWet'!$C$3:$C$841,MATCH(J69,'Both teabags AfterWet'!$A$3:$A$841,0)),"")))</f>
        <v>1.018</v>
      </c>
      <c r="P69" s="225">
        <f>IFERROR(IF(O69&gt;0,O69-(TBIcalc!$H$9),""),"")</f>
        <v>0.86739999999999995</v>
      </c>
      <c r="Q69" s="225">
        <f>IFERROR(INDEX('Ashed teabags wet'!$K$2:$K$821,MATCH(J69,'Ashed teabags wet'!$A$2:$A$821,0)),"")</f>
        <v>19.040626529613323</v>
      </c>
      <c r="R69" s="225">
        <f t="shared" si="6"/>
        <v>0.70224160548213399</v>
      </c>
      <c r="S69" s="226">
        <f>'WetLitterbags placem_collection'!E70</f>
        <v>42767</v>
      </c>
      <c r="T69" s="226">
        <f>IF('WetLitterbags placem_collection'!G70="","",'WetLitterbags placem_collection'!G70)</f>
        <v>42818</v>
      </c>
      <c r="U69" s="227">
        <f t="shared" si="8"/>
        <v>51</v>
      </c>
      <c r="V69" s="225">
        <f t="shared" si="9"/>
        <v>0.92479999999999984</v>
      </c>
      <c r="W69" s="225">
        <f t="shared" si="10"/>
        <v>0.9911227640569763</v>
      </c>
      <c r="X69">
        <f>IFERROR(INDEX(Rainfall_Wet!$O$2:$O$217,MATCH(B69, Rainfall_Wet!$A$2:$A$217,0)),"")</f>
        <v>185.630065823</v>
      </c>
      <c r="Y69" s="231">
        <v>47.96</v>
      </c>
      <c r="Z69" s="231">
        <v>22.919999999999995</v>
      </c>
      <c r="AA69" s="231">
        <v>29.120000000000012</v>
      </c>
      <c r="AB69" s="232" t="s">
        <v>2673</v>
      </c>
      <c r="AC69" s="231">
        <v>5.8831936914736298</v>
      </c>
      <c r="AD69">
        <f>IF('WetLitterbags placem_collection'!AB70="","",'WetLitterbags placem_collection'!AB70)</f>
        <v>9.6999999999999993</v>
      </c>
      <c r="AE69">
        <f>IF('WetLitterbags placem_collection'!Z70="","",'WetLitterbags placem_collection'!Z70)</f>
        <v>23.4</v>
      </c>
      <c r="AF69" s="246" t="str">
        <f>IF('WetLitterbags placem_collection'!AA70="","",'WetLitterbags placem_collection'!AA70)</f>
        <v>O</v>
      </c>
      <c r="AG69">
        <f>IF('WetLitterbags placem_collection'!AC70="","",'WetLitterbags placem_collection'!AC70)</f>
        <v>1</v>
      </c>
      <c r="AH69" s="24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placem_collection'!V70)),"YES","NO")</f>
        <v>NO</v>
      </c>
      <c r="AM69" t="str">
        <f>IF(ISNUMBER(SEARCH("H", 'WetLitterbags placem_collection'!V70)),"YES","NO")</f>
        <v>NO</v>
      </c>
      <c r="AN69" t="str">
        <f>IF(ISNUMBER(SEARCH("R", 'WetLitterbags placem_collection'!V70)),"YES","NO")</f>
        <v>YES</v>
      </c>
    </row>
    <row r="70" spans="1:40">
      <c r="A70" s="258" t="s">
        <v>2460</v>
      </c>
      <c r="B70" s="263">
        <f>'Dry_Litterbag Placem_Collection'!A71</f>
        <v>69</v>
      </c>
      <c r="C70" s="263" t="str">
        <f>'Dry_Litterbag Placem_Collection'!B71</f>
        <v>Maswa</v>
      </c>
      <c r="D70" s="263" t="s">
        <v>2659</v>
      </c>
      <c r="E70" s="263" t="s">
        <v>2661</v>
      </c>
      <c r="F70" s="263">
        <v>1</v>
      </c>
      <c r="G70" s="264" t="str">
        <f>'Dry_Litterbag Placem_Collection'!C71</f>
        <v>Dry_W1_T5</v>
      </c>
      <c r="H70" s="265" t="s">
        <v>2541</v>
      </c>
      <c r="I70" s="266" t="s">
        <v>1147</v>
      </c>
      <c r="J70" s="223" t="str">
        <f>'WetLitterbags placem_collection'!K71</f>
        <v>G448</v>
      </c>
      <c r="K70" s="225">
        <f>IFERROR(INDEX('Green_rooibos initial weight'!$C$5:$C$1749,MATCH(J70, 'Green_rooibos initial weight'!$A$5:$A$1749,0)),"")</f>
        <v>2.0179999999999998</v>
      </c>
      <c r="L70" s="225">
        <f>IFERROR(K70-(TBIcalc!$H$9+TBIcalc!$H$10),"")</f>
        <v>1.7681999999999998</v>
      </c>
      <c r="M70" s="391">
        <f>AVERAGE(Ashed_controlls!$K$2:$K$11)</f>
        <v>5.5147656768714146</v>
      </c>
      <c r="N70" s="225">
        <f t="shared" si="7"/>
        <v>1.6706879133015595</v>
      </c>
      <c r="O70" s="225" t="str">
        <f>IF(IFERROR(INDEX('Both teabags AfterWet'!$C$3:$C$841,MATCH(J70,'Both teabags AfterWet'!$A$3:$A$841,0)),"")="","",(IFERROR(INDEX('Both teabags AfterWet'!$C$3:$C$841,MATCH(J70,'Both teabags AfterWet'!$A$3:$A$841,0)),"")))</f>
        <v>N.A</v>
      </c>
      <c r="P70" s="225" t="str">
        <f>IFERROR(IF(O70&gt;0,O70-(TBIcalc!$H$9),""),"")</f>
        <v/>
      </c>
      <c r="Q70" s="225" t="str">
        <f>IFERROR(INDEX('Ashed teabags wet'!$K$2:$K$821,MATCH(J70,'Ashed teabags wet'!$A$2:$A$821,0)),"")</f>
        <v/>
      </c>
      <c r="R70" s="225" t="str">
        <f t="shared" si="6"/>
        <v/>
      </c>
      <c r="S70" s="226">
        <f>'WetLitterbags placem_collection'!E71</f>
        <v>42767</v>
      </c>
      <c r="T70" s="226">
        <f>IF('WetLitterbags placem_collection'!G71="","",'WetLitterbags placem_collection'!G71)</f>
        <v>42818</v>
      </c>
      <c r="U70" s="227">
        <f t="shared" si="8"/>
        <v>51</v>
      </c>
      <c r="V70" s="225" t="str">
        <f t="shared" si="9"/>
        <v/>
      </c>
      <c r="W70" s="225" t="str">
        <f t="shared" si="10"/>
        <v/>
      </c>
      <c r="X70">
        <f>IFERROR(INDEX(Rainfall_Wet!$O$2:$O$217,MATCH(B70, Rainfall_Wet!$A$2:$A$217,0)),"")</f>
        <v>185.630065823</v>
      </c>
      <c r="Y70" s="231">
        <v>47.96</v>
      </c>
      <c r="Z70" s="231">
        <v>22.919999999999995</v>
      </c>
      <c r="AA70" s="231">
        <v>29.120000000000012</v>
      </c>
      <c r="AB70" s="232" t="s">
        <v>2673</v>
      </c>
      <c r="AC70" s="231">
        <v>6.8831936914736298</v>
      </c>
      <c r="AD70">
        <f>IF('WetLitterbags placem_collection'!AB71="","",'WetLitterbags placem_collection'!AB71)</f>
        <v>14.4</v>
      </c>
      <c r="AE70">
        <f>IF('WetLitterbags placem_collection'!Z71="","",'WetLitterbags placem_collection'!Z71)</f>
        <v>24.4</v>
      </c>
      <c r="AF70" s="246" t="str">
        <f>IF('WetLitterbags placem_collection'!AA71="","",'WetLitterbags placem_collection'!AA71)</f>
        <v>O</v>
      </c>
      <c r="AG70">
        <f>IF('WetLitterbags placem_collection'!AC71="","",'WetLitterbags placem_collection'!AC71)</f>
        <v>1</v>
      </c>
      <c r="AH70" s="24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placem_collection'!V71)),"YES","NO")</f>
        <v>NO</v>
      </c>
      <c r="AM70" t="str">
        <f>IF(ISNUMBER(SEARCH("H", 'WetLitterbags placem_collection'!V71)),"YES","NO")</f>
        <v>NO</v>
      </c>
      <c r="AN70" t="str">
        <f>IF(ISNUMBER(SEARCH("R", 'WetLitterbags placem_collection'!V71)),"YES","NO")</f>
        <v>NO</v>
      </c>
    </row>
    <row r="71" spans="1:40">
      <c r="A71" s="258" t="s">
        <v>2460</v>
      </c>
      <c r="B71" s="263">
        <f>'Dry_Litterbag Placem_Collection'!A72</f>
        <v>70</v>
      </c>
      <c r="C71" s="263" t="str">
        <f>'Dry_Litterbag Placem_Collection'!B72</f>
        <v>Maswa</v>
      </c>
      <c r="D71" s="263" t="s">
        <v>2659</v>
      </c>
      <c r="E71" s="263" t="s">
        <v>2661</v>
      </c>
      <c r="F71" s="263">
        <v>1</v>
      </c>
      <c r="G71" s="264" t="str">
        <f>'Dry_Litterbag Placem_Collection'!C72</f>
        <v>Dry_W1_T6</v>
      </c>
      <c r="H71" s="265" t="s">
        <v>2541</v>
      </c>
      <c r="I71" s="266" t="s">
        <v>1147</v>
      </c>
      <c r="J71" s="223" t="str">
        <f>'WetLitterbags placem_collection'!K72</f>
        <v>G358</v>
      </c>
      <c r="K71" s="225">
        <f>IFERROR(INDEX('Green_rooibos initial weight'!$C$5:$C$1749,MATCH(J71, 'Green_rooibos initial weight'!$A$5:$A$1749,0)),"")</f>
        <v>2.016</v>
      </c>
      <c r="L71" s="225">
        <f>IFERROR(K71-(TBIcalc!$H$9+TBIcalc!$H$10),"")</f>
        <v>1.7662</v>
      </c>
      <c r="M71" s="391">
        <f>AVERAGE(Ashed_controlls!$K$2:$K$11)</f>
        <v>5.5147656768714146</v>
      </c>
      <c r="N71" s="225">
        <f t="shared" si="7"/>
        <v>1.668798208615097</v>
      </c>
      <c r="O71" s="225">
        <f>IF(IFERROR(INDEX('Both teabags AfterWet'!$C$3:$C$841,MATCH(J71,'Both teabags AfterWet'!$A$3:$A$841,0)),"")="","",(IFERROR(INDEX('Both teabags AfterWet'!$C$3:$C$841,MATCH(J71,'Both teabags AfterWet'!$A$3:$A$841,0)),"")))</f>
        <v>0.84299999999999997</v>
      </c>
      <c r="P71" s="225">
        <f>IFERROR(IF(O71&gt;0,O71-(TBIcalc!$H$9),""),"")</f>
        <v>0.6923999999999999</v>
      </c>
      <c r="Q71" s="225">
        <f>IFERROR(INDEX('Ashed teabags wet'!$K$2:$K$821,MATCH(J71,'Ashed teabags wet'!$A$2:$A$821,0)),"")</f>
        <v>13.570741097208547</v>
      </c>
      <c r="R71" s="225">
        <f t="shared" si="6"/>
        <v>0.59843618864292791</v>
      </c>
      <c r="S71" s="226">
        <f>'WetLitterbags placem_collection'!E72</f>
        <v>42767</v>
      </c>
      <c r="T71" s="226">
        <f>IF('WetLitterbags placem_collection'!G72="","",'WetLitterbags placem_collection'!G72)</f>
        <v>42818</v>
      </c>
      <c r="U71" s="227">
        <f t="shared" si="8"/>
        <v>51</v>
      </c>
      <c r="V71" s="225">
        <f t="shared" si="9"/>
        <v>1.0738000000000001</v>
      </c>
      <c r="W71" s="225">
        <f t="shared" si="10"/>
        <v>1.0703620199721691</v>
      </c>
      <c r="X71">
        <f>IFERROR(INDEX(Rainfall_Wet!$O$2:$O$217,MATCH(B71, Rainfall_Wet!$A$2:$A$217,0)),"")</f>
        <v>185.630065823</v>
      </c>
      <c r="Y71" s="231">
        <v>47.96</v>
      </c>
      <c r="Z71" s="231">
        <v>22.919999999999995</v>
      </c>
      <c r="AA71" s="231">
        <v>29.120000000000012</v>
      </c>
      <c r="AB71" s="232" t="s">
        <v>2673</v>
      </c>
      <c r="AC71" s="231">
        <v>7.8831936914736298</v>
      </c>
      <c r="AD71">
        <f>IF('WetLitterbags placem_collection'!AB72="","",'WetLitterbags placem_collection'!AB72)</f>
        <v>15</v>
      </c>
      <c r="AE71">
        <f>IF('WetLitterbags placem_collection'!Z72="","",'WetLitterbags placem_collection'!Z72)</f>
        <v>28</v>
      </c>
      <c r="AF71" s="246" t="str">
        <f>IF('WetLitterbags placem_collection'!AA72="","",'WetLitterbags placem_collection'!AA72)</f>
        <v>O</v>
      </c>
      <c r="AG71">
        <f>IF('WetLitterbags placem_collection'!AC72="","",'WetLitterbags placem_collection'!AC72)</f>
        <v>0</v>
      </c>
      <c r="AH71" s="24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placem_collection'!V72)),"YES","NO")</f>
        <v>YES</v>
      </c>
      <c r="AM71" t="str">
        <f>IF(ISNUMBER(SEARCH("H", 'WetLitterbags placem_collection'!V72)),"YES","NO")</f>
        <v>YES</v>
      </c>
      <c r="AN71" t="str">
        <f>IF(ISNUMBER(SEARCH("R", 'WetLitterbags placem_collection'!V72)),"YES","NO")</f>
        <v>YES</v>
      </c>
    </row>
    <row r="72" spans="1:40">
      <c r="A72" s="258" t="s">
        <v>2460</v>
      </c>
      <c r="B72" s="263">
        <f>'Dry_Litterbag Placem_Collection'!A73</f>
        <v>71</v>
      </c>
      <c r="C72" s="263" t="str">
        <f>'Dry_Litterbag Placem_Collection'!B73</f>
        <v>Maswa</v>
      </c>
      <c r="D72" s="263" t="s">
        <v>2659</v>
      </c>
      <c r="E72" s="263" t="s">
        <v>2661</v>
      </c>
      <c r="F72" s="263">
        <v>1</v>
      </c>
      <c r="G72" s="264" t="str">
        <f>'Dry_Litterbag Placem_Collection'!C73</f>
        <v>Dry_W1_T7</v>
      </c>
      <c r="H72" s="265" t="s">
        <v>2541</v>
      </c>
      <c r="I72" s="266" t="s">
        <v>1147</v>
      </c>
      <c r="J72" s="223" t="str">
        <f>'WetLitterbags placem_collection'!K73</f>
        <v>G511</v>
      </c>
      <c r="K72" s="225">
        <f>IFERROR(INDEX('Green_rooibos initial weight'!$C$5:$C$1749,MATCH(J72, 'Green_rooibos initial weight'!$A$5:$A$1749,0)),"")</f>
        <v>1.9930000000000001</v>
      </c>
      <c r="L72" s="225">
        <f>IFERROR(K72-(TBIcalc!$H$9+TBIcalc!$H$10),"")</f>
        <v>1.7432000000000001</v>
      </c>
      <c r="M72" s="391">
        <f>AVERAGE(Ashed_controlls!$K$2:$K$11)</f>
        <v>5.5147656768714146</v>
      </c>
      <c r="N72" s="225">
        <f t="shared" si="7"/>
        <v>1.6470666047207776</v>
      </c>
      <c r="O72" s="225">
        <f>IF(IFERROR(INDEX('Both teabags AfterWet'!$C$3:$C$841,MATCH(J72,'Both teabags AfterWet'!$A$3:$A$841,0)),"")="","",(IFERROR(INDEX('Both teabags AfterWet'!$C$3:$C$841,MATCH(J72,'Both teabags AfterWet'!$A$3:$A$841,0)),"")))</f>
        <v>0.83740000000000003</v>
      </c>
      <c r="P72" s="225">
        <f>IFERROR(IF(O72&gt;0,O72-(TBIcalc!$H$9),""),"")</f>
        <v>0.68680000000000008</v>
      </c>
      <c r="Q72" s="225">
        <f>IFERROR(INDEX('Ashed teabags wet'!$K$2:$K$821,MATCH(J72,'Ashed teabags wet'!$A$2:$A$821,0)),"")</f>
        <v>9.3359960059912463</v>
      </c>
      <c r="R72" s="225">
        <f t="shared" si="6"/>
        <v>0.62268037943085219</v>
      </c>
      <c r="S72" s="226">
        <f>'WetLitterbags placem_collection'!E73</f>
        <v>42767</v>
      </c>
      <c r="T72" s="226">
        <f>IF('WetLitterbags placem_collection'!G73="","",'WetLitterbags placem_collection'!G73)</f>
        <v>42818</v>
      </c>
      <c r="U72" s="227">
        <f t="shared" si="8"/>
        <v>51</v>
      </c>
      <c r="V72" s="225">
        <f t="shared" si="9"/>
        <v>1.0564</v>
      </c>
      <c r="W72" s="225">
        <f t="shared" si="10"/>
        <v>1.0243862252899254</v>
      </c>
      <c r="X72">
        <f>IFERROR(INDEX(Rainfall_Wet!$O$2:$O$217,MATCH(B72, Rainfall_Wet!$A$2:$A$217,0)),"")</f>
        <v>185.630065823</v>
      </c>
      <c r="Y72" s="231">
        <v>47.96</v>
      </c>
      <c r="Z72" s="231">
        <v>22.919999999999995</v>
      </c>
      <c r="AA72" s="231">
        <v>29.120000000000012</v>
      </c>
      <c r="AB72" s="232" t="s">
        <v>2673</v>
      </c>
      <c r="AC72" s="231">
        <v>8.8831936914736307</v>
      </c>
      <c r="AD72">
        <f>IF('WetLitterbags placem_collection'!AB73="","",'WetLitterbags placem_collection'!AB73)</f>
        <v>15.5</v>
      </c>
      <c r="AE72">
        <f>IF('WetLitterbags placem_collection'!Z73="","",'WetLitterbags placem_collection'!Z73)</f>
        <v>32</v>
      </c>
      <c r="AF72" s="246" t="str">
        <f>IF('WetLitterbags placem_collection'!AA73="","",'WetLitterbags placem_collection'!AA73)</f>
        <v>O</v>
      </c>
      <c r="AG72">
        <f>IF('WetLitterbags placem_collection'!AC73="","",'WetLitterbags placem_collection'!AC73)</f>
        <v>1</v>
      </c>
      <c r="AH72" s="24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placem_collection'!V73)),"YES","NO")</f>
        <v>NO</v>
      </c>
      <c r="AM72" t="str">
        <f>IF(ISNUMBER(SEARCH("H", 'WetLitterbags placem_collection'!V73)),"YES","NO")</f>
        <v>NO</v>
      </c>
      <c r="AN72" t="str">
        <f>IF(ISNUMBER(SEARCH("R", 'WetLitterbags placem_collection'!V73)),"YES","NO")</f>
        <v>YES</v>
      </c>
    </row>
    <row r="73" spans="1:40">
      <c r="A73" s="258" t="s">
        <v>2460</v>
      </c>
      <c r="B73" s="263">
        <f>'Dry_Litterbag Placem_Collection'!A74</f>
        <v>72</v>
      </c>
      <c r="C73" s="263" t="str">
        <f>'Dry_Litterbag Placem_Collection'!B74</f>
        <v>Maswa</v>
      </c>
      <c r="D73" s="263" t="s">
        <v>2659</v>
      </c>
      <c r="E73" s="263" t="s">
        <v>2661</v>
      </c>
      <c r="F73" s="263">
        <v>1</v>
      </c>
      <c r="G73" s="264" t="str">
        <f>'Dry_Litterbag Placem_Collection'!C74</f>
        <v>Dry_W1_T8</v>
      </c>
      <c r="H73" s="265" t="s">
        <v>2541</v>
      </c>
      <c r="I73" s="266" t="s">
        <v>1147</v>
      </c>
      <c r="J73" s="223" t="str">
        <f>'WetLitterbags placem_collection'!K74</f>
        <v>G383</v>
      </c>
      <c r="K73" s="225">
        <f>IFERROR(INDEX('Green_rooibos initial weight'!$C$5:$C$1749,MATCH(J73, 'Green_rooibos initial weight'!$A$5:$A$1749,0)),"")</f>
        <v>1.956</v>
      </c>
      <c r="L73" s="225">
        <f>IFERROR(K73-(TBIcalc!$H$9+TBIcalc!$H$10),"")</f>
        <v>1.7061999999999999</v>
      </c>
      <c r="M73" s="391">
        <f>AVERAGE(Ashed_controlls!$K$2:$K$11)</f>
        <v>5.5147656768714146</v>
      </c>
      <c r="N73" s="225">
        <f t="shared" si="7"/>
        <v>1.6121070680212199</v>
      </c>
      <c r="O73" s="225">
        <f>IF(IFERROR(INDEX('Both teabags AfterWet'!$C$3:$C$841,MATCH(J73,'Both teabags AfterWet'!$A$3:$A$841,0)),"")="","",(IFERROR(INDEX('Both teabags AfterWet'!$C$3:$C$841,MATCH(J73,'Both teabags AfterWet'!$A$3:$A$841,0)),"")))</f>
        <v>0.82550000000000001</v>
      </c>
      <c r="P73" s="225">
        <f>IFERROR(IF(O73&gt;0,O73-(TBIcalc!$H$9),""),"")</f>
        <v>0.67490000000000006</v>
      </c>
      <c r="Q73" s="225">
        <f>IFERROR(INDEX('Ashed teabags wet'!$K$2:$K$821,MATCH(J73,'Ashed teabags wet'!$A$2:$A$821,0)),"")</f>
        <v>8.9603960396033298</v>
      </c>
      <c r="R73" s="225">
        <f t="shared" si="6"/>
        <v>0.61442628712871716</v>
      </c>
      <c r="S73" s="226">
        <f>'WetLitterbags placem_collection'!E74</f>
        <v>42767</v>
      </c>
      <c r="T73" s="226">
        <f>IF('WetLitterbags placem_collection'!G74="","",'WetLitterbags placem_collection'!G74)</f>
        <v>42818</v>
      </c>
      <c r="U73" s="227">
        <f t="shared" si="8"/>
        <v>51</v>
      </c>
      <c r="V73" s="225">
        <f t="shared" si="9"/>
        <v>1.0312999999999999</v>
      </c>
      <c r="W73" s="225">
        <f t="shared" si="10"/>
        <v>0.99768078089250278</v>
      </c>
      <c r="X73">
        <f>IFERROR(INDEX(Rainfall_Wet!$O$2:$O$217,MATCH(B73, Rainfall_Wet!$A$2:$A$217,0)),"")</f>
        <v>185.630065823</v>
      </c>
      <c r="Y73" s="231">
        <v>47.96</v>
      </c>
      <c r="Z73" s="231">
        <v>22.919999999999995</v>
      </c>
      <c r="AA73" s="231">
        <v>29.120000000000012</v>
      </c>
      <c r="AB73" s="232" t="s">
        <v>2673</v>
      </c>
      <c r="AC73" s="231">
        <v>9.8831936914736307</v>
      </c>
      <c r="AD73">
        <f>IF('WetLitterbags placem_collection'!AB74="","",'WetLitterbags placem_collection'!AB74)</f>
        <v>2.6</v>
      </c>
      <c r="AE73">
        <f>IF('WetLitterbags placem_collection'!Z74="","",'WetLitterbags placem_collection'!Z74)</f>
        <v>44</v>
      </c>
      <c r="AF73" s="246" t="str">
        <f>IF('WetLitterbags placem_collection'!AA74="","",'WetLitterbags placem_collection'!AA74)</f>
        <v>O</v>
      </c>
      <c r="AG73">
        <f>IF('WetLitterbags placem_collection'!AC74="","",'WetLitterbags placem_collection'!AC74)</f>
        <v>1</v>
      </c>
      <c r="AH73" s="24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placem_collection'!V74)),"YES","NO")</f>
        <v>NO</v>
      </c>
      <c r="AM73" t="str">
        <f>IF(ISNUMBER(SEARCH("H", 'WetLitterbags placem_collection'!V74)),"YES","NO")</f>
        <v>NO</v>
      </c>
      <c r="AN73" t="str">
        <f>IF(ISNUMBER(SEARCH("R", 'WetLitterbags placem_collection'!V74)),"YES","NO")</f>
        <v>YES</v>
      </c>
    </row>
    <row r="74" spans="1:40">
      <c r="A74" s="258" t="s">
        <v>2460</v>
      </c>
      <c r="B74" s="263">
        <f>'Dry_Litterbag Placem_Collection'!A75</f>
        <v>73</v>
      </c>
      <c r="C74" s="263" t="str">
        <f>'Dry_Litterbag Placem_Collection'!B75</f>
        <v>Maswa</v>
      </c>
      <c r="D74" s="263" t="s">
        <v>2659</v>
      </c>
      <c r="E74" s="263" t="s">
        <v>2661</v>
      </c>
      <c r="F74" s="263">
        <v>2</v>
      </c>
      <c r="G74" s="264" t="str">
        <f>'Dry_Litterbag Placem_Collection'!C75</f>
        <v>Dry_W2_T1</v>
      </c>
      <c r="H74" s="265" t="s">
        <v>2541</v>
      </c>
      <c r="I74" s="266" t="s">
        <v>1147</v>
      </c>
      <c r="J74" s="223" t="str">
        <f>'WetLitterbags placem_collection'!K75</f>
        <v>G549</v>
      </c>
      <c r="K74" s="225">
        <f>IFERROR(INDEX('Green_rooibos initial weight'!$C$5:$C$1749,MATCH(J74, 'Green_rooibos initial weight'!$A$5:$A$1749,0)),"")</f>
        <v>2.016</v>
      </c>
      <c r="L74" s="225">
        <f>IFERROR(K74-(TBIcalc!$H$9+TBIcalc!$H$10),"")</f>
        <v>1.7662</v>
      </c>
      <c r="M74" s="391">
        <f>AVERAGE(Ashed_controlls!$K$2:$K$11)</f>
        <v>5.5147656768714146</v>
      </c>
      <c r="N74" s="225">
        <f t="shared" si="7"/>
        <v>1.668798208615097</v>
      </c>
      <c r="O74" s="225">
        <f>IF(IFERROR(INDEX('Both teabags AfterWet'!$C$3:$C$841,MATCH(J74,'Both teabags AfterWet'!$A$3:$A$841,0)),"")="","",(IFERROR(INDEX('Both teabags AfterWet'!$C$3:$C$841,MATCH(J74,'Both teabags AfterWet'!$A$3:$A$841,0)),"")))</f>
        <v>0.74199999999999999</v>
      </c>
      <c r="P74" s="225">
        <f>IFERROR(IF(O74&gt;0,O74-(TBIcalc!$H$9),""),"")</f>
        <v>0.59139999999999993</v>
      </c>
      <c r="Q74" s="225">
        <f>IFERROR(INDEX('Ashed teabags wet'!$K$2:$K$821,MATCH(J74,'Ashed teabags wet'!$A$2:$A$821,0)),"")</f>
        <v>10.980392156862093</v>
      </c>
      <c r="R74" s="225">
        <f t="shared" si="6"/>
        <v>0.52646196078431751</v>
      </c>
      <c r="S74" s="226">
        <f>'WetLitterbags placem_collection'!E75</f>
        <v>42767</v>
      </c>
      <c r="T74" s="226">
        <f>IF('WetLitterbags placem_collection'!G75="","",'WetLitterbags placem_collection'!G75)</f>
        <v>42818</v>
      </c>
      <c r="U74" s="227">
        <f t="shared" si="8"/>
        <v>51</v>
      </c>
      <c r="V74" s="225">
        <f t="shared" si="9"/>
        <v>1.1748000000000001</v>
      </c>
      <c r="W74" s="225">
        <f t="shared" si="10"/>
        <v>1.1423362478307795</v>
      </c>
      <c r="X74">
        <f>IFERROR(INDEX(Rainfall_Wet!$O$2:$O$217,MATCH(B74, Rainfall_Wet!$A$2:$A$217,0)),"")</f>
        <v>185.630065823</v>
      </c>
      <c r="Y74" s="231">
        <v>45.272914521112256</v>
      </c>
      <c r="Z74" s="231">
        <v>23.604531410916575</v>
      </c>
      <c r="AA74" s="231">
        <v>31.122554067971166</v>
      </c>
      <c r="AB74" s="232" t="s">
        <v>2673</v>
      </c>
      <c r="AC74" s="231">
        <v>2.0547560374568752</v>
      </c>
      <c r="AD74">
        <f>IF('WetLitterbags placem_collection'!AB75="","",'WetLitterbags placem_collection'!AB75)</f>
        <v>9.1</v>
      </c>
      <c r="AE74">
        <f>IF('WetLitterbags placem_collection'!Z75="","",'WetLitterbags placem_collection'!Z75)</f>
        <v>10</v>
      </c>
      <c r="AF74" s="246" t="str">
        <f>IF('WetLitterbags placem_collection'!AA75="","",'WetLitterbags placem_collection'!AA75)</f>
        <v>M</v>
      </c>
      <c r="AG74">
        <f>IF('WetLitterbags placem_collection'!AC75="","",'WetLitterbags placem_collection'!AC75)</f>
        <v>1</v>
      </c>
      <c r="AH74" s="24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placem_collection'!V75)),"YES","NO")</f>
        <v>NO</v>
      </c>
      <c r="AM74" t="str">
        <f>IF(ISNUMBER(SEARCH("H", 'WetLitterbags placem_collection'!V75)),"YES","NO")</f>
        <v>YES</v>
      </c>
      <c r="AN74" t="str">
        <f>IF(ISNUMBER(SEARCH("R", 'WetLitterbags placem_collection'!V75)),"YES","NO")</f>
        <v>YES</v>
      </c>
    </row>
    <row r="75" spans="1:40">
      <c r="A75" s="258" t="s">
        <v>2460</v>
      </c>
      <c r="B75" s="263">
        <f>'Dry_Litterbag Placem_Collection'!A76</f>
        <v>74</v>
      </c>
      <c r="C75" s="263" t="str">
        <f>'Dry_Litterbag Placem_Collection'!B76</f>
        <v>Maswa</v>
      </c>
      <c r="D75" s="263" t="s">
        <v>2659</v>
      </c>
      <c r="E75" s="263" t="s">
        <v>2661</v>
      </c>
      <c r="F75" s="263">
        <v>2</v>
      </c>
      <c r="G75" s="264" t="str">
        <f>'Dry_Litterbag Placem_Collection'!C76</f>
        <v>Dry_W2_T2</v>
      </c>
      <c r="H75" s="265" t="s">
        <v>2541</v>
      </c>
      <c r="I75" s="266" t="s">
        <v>1147</v>
      </c>
      <c r="J75" s="223" t="str">
        <f>'WetLitterbags placem_collection'!K76</f>
        <v>G605</v>
      </c>
      <c r="K75" s="225">
        <f>IFERROR(INDEX('Green_rooibos initial weight'!$C$5:$C$1749,MATCH(J75, 'Green_rooibos initial weight'!$A$5:$A$1749,0)),"")</f>
        <v>2.0459999999999998</v>
      </c>
      <c r="L75" s="225">
        <f>IFERROR(K75-(TBIcalc!$H$9+TBIcalc!$H$10),"")</f>
        <v>1.7961999999999998</v>
      </c>
      <c r="M75" s="391">
        <f>AVERAGE(Ashed_controlls!$K$2:$K$11)</f>
        <v>5.5147656768714146</v>
      </c>
      <c r="N75" s="225">
        <f t="shared" si="7"/>
        <v>1.6971437789120354</v>
      </c>
      <c r="O75" s="225">
        <f>IF(IFERROR(INDEX('Both teabags AfterWet'!$C$3:$C$841,MATCH(J75,'Both teabags AfterWet'!$A$3:$A$841,0)),"")="","",(IFERROR(INDEX('Both teabags AfterWet'!$C$3:$C$841,MATCH(J75,'Both teabags AfterWet'!$A$3:$A$841,0)),"")))</f>
        <v>1.1950000000000001</v>
      </c>
      <c r="P75" s="225">
        <f>IFERROR(IF(O75&gt;0,O75-(TBIcalc!$H$9),""),"")</f>
        <v>1.0444</v>
      </c>
      <c r="Q75" s="225">
        <f>IFERROR(INDEX('Ashed teabags wet'!$K$2:$K$821,MATCH(J75,'Ashed teabags wet'!$A$2:$A$821,0)),"")</f>
        <v>62.512315270936703</v>
      </c>
      <c r="R75" s="225">
        <f t="shared" ref="R75:R138" si="11">IFERROR(P75-(Q75/100)*P75,"")</f>
        <v>0.39152137931033704</v>
      </c>
      <c r="S75" s="226">
        <f>'WetLitterbags placem_collection'!E76</f>
        <v>42767</v>
      </c>
      <c r="T75" s="226">
        <f>IF('WetLitterbags placem_collection'!G76="","",'WetLitterbags placem_collection'!G76)</f>
        <v>42818</v>
      </c>
      <c r="U75" s="227">
        <f t="shared" si="8"/>
        <v>51</v>
      </c>
      <c r="V75" s="225">
        <f t="shared" si="9"/>
        <v>0.7517999999999998</v>
      </c>
      <c r="W75" s="225">
        <f t="shared" si="10"/>
        <v>1.3056223996016985</v>
      </c>
      <c r="X75">
        <f>IFERROR(INDEX(Rainfall_Wet!$O$2:$O$217,MATCH(B75, Rainfall_Wet!$A$2:$A$217,0)),"")</f>
        <v>185.630065823</v>
      </c>
      <c r="Y75" s="231">
        <v>45.272914521112256</v>
      </c>
      <c r="Z75" s="231">
        <v>23.604531410916575</v>
      </c>
      <c r="AA75" s="231">
        <v>31.122554067971166</v>
      </c>
      <c r="AB75" s="232" t="s">
        <v>2673</v>
      </c>
      <c r="AC75" s="231">
        <v>3.0547560374568801</v>
      </c>
      <c r="AD75">
        <f>IF('WetLitterbags placem_collection'!AB76="","",'WetLitterbags placem_collection'!AB76)</f>
        <v>7.7</v>
      </c>
      <c r="AE75">
        <f>IF('WetLitterbags placem_collection'!Z76="","",'WetLitterbags placem_collection'!Z76)</f>
        <v>9.4</v>
      </c>
      <c r="AF75" s="246" t="str">
        <f>IF('WetLitterbags placem_collection'!AA76="","",'WetLitterbags placem_collection'!AA76)</f>
        <v>M</v>
      </c>
      <c r="AG75">
        <f>IF('WetLitterbags placem_collection'!AC76="","",'WetLitterbags placem_collection'!AC76)</f>
        <v>1</v>
      </c>
      <c r="AH75" s="24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placem_collection'!V76)),"YES","NO")</f>
        <v>NO</v>
      </c>
      <c r="AM75" t="str">
        <f>IF(ISNUMBER(SEARCH("H", 'WetLitterbags placem_collection'!V76)),"YES","NO")</f>
        <v>YES</v>
      </c>
      <c r="AN75" t="str">
        <f>IF(ISNUMBER(SEARCH("R", 'WetLitterbags placem_collection'!V76)),"YES","NO")</f>
        <v>YES</v>
      </c>
    </row>
    <row r="76" spans="1:40">
      <c r="A76" s="258" t="s">
        <v>2460</v>
      </c>
      <c r="B76" s="263">
        <f>'Dry_Litterbag Placem_Collection'!A77</f>
        <v>75</v>
      </c>
      <c r="C76" s="263" t="str">
        <f>'Dry_Litterbag Placem_Collection'!B77</f>
        <v>Maswa</v>
      </c>
      <c r="D76" s="263" t="s">
        <v>2659</v>
      </c>
      <c r="E76" s="263" t="s">
        <v>2661</v>
      </c>
      <c r="F76" s="263">
        <v>2</v>
      </c>
      <c r="G76" s="264" t="str">
        <f>'Dry_Litterbag Placem_Collection'!C77</f>
        <v>Dry_W2_T3</v>
      </c>
      <c r="H76" s="265" t="s">
        <v>2541</v>
      </c>
      <c r="I76" s="266" t="s">
        <v>1147</v>
      </c>
      <c r="J76" s="223" t="str">
        <f>'WetLitterbags placem_collection'!K77</f>
        <v>G408</v>
      </c>
      <c r="K76" s="225">
        <f>IFERROR(INDEX('Green_rooibos initial weight'!$C$5:$C$1749,MATCH(J76, 'Green_rooibos initial weight'!$A$5:$A$1749,0)),"")</f>
        <v>2.044</v>
      </c>
      <c r="L76" s="225">
        <f>IFERROR(K76-(TBIcalc!$H$9+TBIcalc!$H$10),"")</f>
        <v>1.7942</v>
      </c>
      <c r="M76" s="391">
        <f>AVERAGE(Ashed_controlls!$K$2:$K$11)</f>
        <v>5.5147656768714146</v>
      </c>
      <c r="N76" s="225">
        <f t="shared" si="7"/>
        <v>1.6952540742255731</v>
      </c>
      <c r="O76" s="225">
        <f>IF(IFERROR(INDEX('Both teabags AfterWet'!$C$3:$C$841,MATCH(J76,'Both teabags AfterWet'!$A$3:$A$841,0)),"")="","",(IFERROR(INDEX('Both teabags AfterWet'!$C$3:$C$841,MATCH(J76,'Both teabags AfterWet'!$A$3:$A$841,0)),"")))</f>
        <v>0.85780000000000001</v>
      </c>
      <c r="P76" s="225">
        <f>IFERROR(IF(O76&gt;0,O76-(TBIcalc!$H$9),""),"")</f>
        <v>0.70720000000000005</v>
      </c>
      <c r="Q76" s="225">
        <f>IFERROR(INDEX('Ashed teabags wet'!$K$2:$K$821,MATCH(J76,'Ashed teabags wet'!$A$2:$A$821,0)),"")</f>
        <v>10.812157448929053</v>
      </c>
      <c r="R76" s="225">
        <f t="shared" si="11"/>
        <v>0.63073642252117379</v>
      </c>
      <c r="S76" s="226">
        <f>'WetLitterbags placem_collection'!E77</f>
        <v>42767</v>
      </c>
      <c r="T76" s="226">
        <f>IF('WetLitterbags placem_collection'!G77="","",'WetLitterbags placem_collection'!G77)</f>
        <v>42818</v>
      </c>
      <c r="U76" s="227">
        <f t="shared" si="8"/>
        <v>51</v>
      </c>
      <c r="V76" s="225">
        <f t="shared" si="9"/>
        <v>1.087</v>
      </c>
      <c r="W76" s="225">
        <f t="shared" si="10"/>
        <v>1.0645176517043993</v>
      </c>
      <c r="X76">
        <f>IFERROR(INDEX(Rainfall_Wet!$O$2:$O$217,MATCH(B76, Rainfall_Wet!$A$2:$A$217,0)),"")</f>
        <v>185.630065823</v>
      </c>
      <c r="Y76" s="231">
        <v>45.272914521112256</v>
      </c>
      <c r="Z76" s="231">
        <v>23.604531410916575</v>
      </c>
      <c r="AA76" s="231">
        <v>31.122554067971166</v>
      </c>
      <c r="AB76" s="232" t="s">
        <v>2673</v>
      </c>
      <c r="AC76" s="231">
        <v>4.0547560374568796</v>
      </c>
      <c r="AD76">
        <f>IF('WetLitterbags placem_collection'!AB77="","",'WetLitterbags placem_collection'!AB77)</f>
        <v>6.1</v>
      </c>
      <c r="AE76">
        <f>IF('WetLitterbags placem_collection'!Z77="","",'WetLitterbags placem_collection'!Z77)</f>
        <v>13.8</v>
      </c>
      <c r="AF76" s="246" t="str">
        <f>IF('WetLitterbags placem_collection'!AA77="","",'WetLitterbags placem_collection'!AA77)</f>
        <v>O</v>
      </c>
      <c r="AG76">
        <f>IF('WetLitterbags placem_collection'!AC77="","",'WetLitterbags placem_collection'!AC77)</f>
        <v>0</v>
      </c>
      <c r="AH76" s="24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placem_collection'!V77)),"YES","NO")</f>
        <v>NO</v>
      </c>
      <c r="AM76" t="str">
        <f>IF(ISNUMBER(SEARCH("H", 'WetLitterbags placem_collection'!V77)),"YES","NO")</f>
        <v>YES</v>
      </c>
      <c r="AN76" t="str">
        <f>IF(ISNUMBER(SEARCH("R", 'WetLitterbags placem_collection'!V77)),"YES","NO")</f>
        <v>YES</v>
      </c>
    </row>
    <row r="77" spans="1:40">
      <c r="A77" s="258" t="s">
        <v>2460</v>
      </c>
      <c r="B77" s="263">
        <f>'Dry_Litterbag Placem_Collection'!A78</f>
        <v>76</v>
      </c>
      <c r="C77" s="263" t="str">
        <f>'Dry_Litterbag Placem_Collection'!B78</f>
        <v>Maswa</v>
      </c>
      <c r="D77" s="263" t="s">
        <v>2659</v>
      </c>
      <c r="E77" s="263" t="s">
        <v>2661</v>
      </c>
      <c r="F77" s="263">
        <v>2</v>
      </c>
      <c r="G77" s="264" t="str">
        <f>'Dry_Litterbag Placem_Collection'!C78</f>
        <v>Dry_W2_T4</v>
      </c>
      <c r="H77" s="265" t="s">
        <v>2541</v>
      </c>
      <c r="I77" s="266" t="s">
        <v>1147</v>
      </c>
      <c r="J77" s="223" t="str">
        <f>'WetLitterbags placem_collection'!K78</f>
        <v>G416</v>
      </c>
      <c r="K77" s="225">
        <f>IFERROR(INDEX('Green_rooibos initial weight'!$C$5:$C$1749,MATCH(J77, 'Green_rooibos initial weight'!$A$5:$A$1749,0)),"")</f>
        <v>2.1819999999999999</v>
      </c>
      <c r="L77" s="225">
        <f>IFERROR(K77-(TBIcalc!$H$9+TBIcalc!$H$10),"")</f>
        <v>1.9321999999999999</v>
      </c>
      <c r="M77" s="391">
        <f>AVERAGE(Ashed_controlls!$K$2:$K$11)</f>
        <v>5.5147656768714146</v>
      </c>
      <c r="N77" s="225">
        <f t="shared" si="7"/>
        <v>1.8256436975914905</v>
      </c>
      <c r="O77" s="225">
        <f>IF(IFERROR(INDEX('Both teabags AfterWet'!$C$3:$C$841,MATCH(J77,'Both teabags AfterWet'!$A$3:$A$841,0)),"")="","",(IFERROR(INDEX('Both teabags AfterWet'!$C$3:$C$841,MATCH(J77,'Both teabags AfterWet'!$A$3:$A$841,0)),"")))</f>
        <v>0.94399999999999995</v>
      </c>
      <c r="P77" s="225">
        <f>IFERROR(IF(O77&gt;0,O77-(TBIcalc!$H$9),""),"")</f>
        <v>0.79339999999999988</v>
      </c>
      <c r="Q77" s="225">
        <f>IFERROR(INDEX('Ashed teabags wet'!$K$2:$K$821,MATCH(J77,'Ashed teabags wet'!$A$2:$A$821,0)),"")</f>
        <v>14.711729622266519</v>
      </c>
      <c r="R77" s="225">
        <f t="shared" si="11"/>
        <v>0.67667713717693734</v>
      </c>
      <c r="S77" s="226">
        <f>'WetLitterbags placem_collection'!E78</f>
        <v>42767</v>
      </c>
      <c r="T77" s="226">
        <f>IF('WetLitterbags placem_collection'!G78="","",'WetLitterbags placem_collection'!G78)</f>
        <v>42818</v>
      </c>
      <c r="U77" s="227">
        <f t="shared" si="8"/>
        <v>51</v>
      </c>
      <c r="V77" s="225">
        <f t="shared" si="9"/>
        <v>1.1388</v>
      </c>
      <c r="W77" s="225">
        <f t="shared" si="10"/>
        <v>1.1489665604145531</v>
      </c>
      <c r="X77">
        <f>IFERROR(INDEX(Rainfall_Wet!$O$2:$O$217,MATCH(B77, Rainfall_Wet!$A$2:$A$217,0)),"")</f>
        <v>185.630065823</v>
      </c>
      <c r="Y77" s="231">
        <v>45.272914521112256</v>
      </c>
      <c r="Z77" s="231">
        <v>23.604531410916575</v>
      </c>
      <c r="AA77" s="231">
        <v>31.122554067971166</v>
      </c>
      <c r="AB77" s="232" t="s">
        <v>2673</v>
      </c>
      <c r="AC77" s="231">
        <v>5.0547560374568796</v>
      </c>
      <c r="AD77">
        <f>IF('WetLitterbags placem_collection'!AB78="","",'WetLitterbags placem_collection'!AB78)</f>
        <v>6.7</v>
      </c>
      <c r="AE77">
        <f>IF('WetLitterbags placem_collection'!Z78="","",'WetLitterbags placem_collection'!Z78)</f>
        <v>19.3</v>
      </c>
      <c r="AF77" s="246" t="str">
        <f>IF('WetLitterbags placem_collection'!AA78="","",'WetLitterbags placem_collection'!AA78)</f>
        <v>M</v>
      </c>
      <c r="AG77">
        <f>IF('WetLitterbags placem_collection'!AC78="","",'WetLitterbags placem_collection'!AC78)</f>
        <v>1</v>
      </c>
      <c r="AH77" s="24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placem_collection'!V78)),"YES","NO")</f>
        <v>NO</v>
      </c>
      <c r="AM77" t="str">
        <f>IF(ISNUMBER(SEARCH("H", 'WetLitterbags placem_collection'!V78)),"YES","NO")</f>
        <v>YES</v>
      </c>
      <c r="AN77" t="str">
        <f>IF(ISNUMBER(SEARCH("R", 'WetLitterbags placem_collection'!V78)),"YES","NO")</f>
        <v>NO</v>
      </c>
    </row>
    <row r="78" spans="1:40">
      <c r="A78" s="258" t="s">
        <v>2460</v>
      </c>
      <c r="B78" s="263">
        <f>'Dry_Litterbag Placem_Collection'!A79</f>
        <v>77</v>
      </c>
      <c r="C78" s="263" t="str">
        <f>'Dry_Litterbag Placem_Collection'!B79</f>
        <v>Maswa</v>
      </c>
      <c r="D78" s="263" t="s">
        <v>2659</v>
      </c>
      <c r="E78" s="263" t="s">
        <v>2661</v>
      </c>
      <c r="F78" s="263">
        <v>2</v>
      </c>
      <c r="G78" s="264" t="str">
        <f>'Dry_Litterbag Placem_Collection'!C79</f>
        <v>Dry_W2_T5</v>
      </c>
      <c r="H78" s="265" t="s">
        <v>2541</v>
      </c>
      <c r="I78" s="266" t="s">
        <v>1147</v>
      </c>
      <c r="J78" s="223" t="str">
        <f>'WetLitterbags placem_collection'!K79</f>
        <v>G594</v>
      </c>
      <c r="K78" s="225">
        <f>IFERROR(INDEX('Green_rooibos initial weight'!$C$5:$C$1749,MATCH(J78, 'Green_rooibos initial weight'!$A$5:$A$1749,0)),"")</f>
        <v>2.0680000000000001</v>
      </c>
      <c r="L78" s="225">
        <f>IFERROR(K78-(TBIcalc!$H$9+TBIcalc!$H$10),"")</f>
        <v>1.8182</v>
      </c>
      <c r="M78" s="391">
        <f>AVERAGE(Ashed_controlls!$K$2:$K$11)</f>
        <v>5.5147656768714146</v>
      </c>
      <c r="N78" s="225">
        <f t="shared" si="7"/>
        <v>1.7179305304631241</v>
      </c>
      <c r="O78" s="225">
        <f>IF(IFERROR(INDEX('Both teabags AfterWet'!$C$3:$C$841,MATCH(J78,'Both teabags AfterWet'!$A$3:$A$841,0)),"")="","",(IFERROR(INDEX('Both teabags AfterWet'!$C$3:$C$841,MATCH(J78,'Both teabags AfterWet'!$A$3:$A$841,0)),"")))</f>
        <v>0.94699999999999995</v>
      </c>
      <c r="P78" s="225">
        <f>IFERROR(IF(O78&gt;0,O78-(TBIcalc!$H$9),""),"")</f>
        <v>0.7964</v>
      </c>
      <c r="Q78" s="225">
        <f>IFERROR(INDEX('Ashed teabags wet'!$K$2:$K$821,MATCH(J78,'Ashed teabags wet'!$A$2:$A$821,0)),"")</f>
        <v>12.475633528264789</v>
      </c>
      <c r="R78" s="225">
        <f t="shared" si="11"/>
        <v>0.69704405458089924</v>
      </c>
      <c r="S78" s="226">
        <f>'WetLitterbags placem_collection'!E79</f>
        <v>42767</v>
      </c>
      <c r="T78" s="226">
        <f>IF('WetLitterbags placem_collection'!G79="","",'WetLitterbags placem_collection'!G79)</f>
        <v>42818</v>
      </c>
      <c r="U78" s="227">
        <f t="shared" si="8"/>
        <v>51</v>
      </c>
      <c r="V78" s="225">
        <f t="shared" si="9"/>
        <v>1.0218</v>
      </c>
      <c r="W78" s="225">
        <f t="shared" si="10"/>
        <v>1.0208864758822247</v>
      </c>
      <c r="X78">
        <f>IFERROR(INDEX(Rainfall_Wet!$O$2:$O$217,MATCH(B78, Rainfall_Wet!$A$2:$A$217,0)),"")</f>
        <v>185.630065823</v>
      </c>
      <c r="Y78" s="231">
        <v>45.272914521112256</v>
      </c>
      <c r="Z78" s="231">
        <v>23.604531410916575</v>
      </c>
      <c r="AA78" s="231">
        <v>31.122554067971166</v>
      </c>
      <c r="AB78" s="232" t="s">
        <v>2673</v>
      </c>
      <c r="AC78" s="231">
        <v>6.0547560374568796</v>
      </c>
      <c r="AD78">
        <f>IF('WetLitterbags placem_collection'!AB79="","",'WetLitterbags placem_collection'!AB79)</f>
        <v>3.1</v>
      </c>
      <c r="AE78">
        <f>IF('WetLitterbags placem_collection'!Z79="","",'WetLitterbags placem_collection'!Z79)</f>
        <v>9.8000000000000007</v>
      </c>
      <c r="AF78" s="246" t="str">
        <f>IF('WetLitterbags placem_collection'!AA79="","",'WetLitterbags placem_collection'!AA79)</f>
        <v>O</v>
      </c>
      <c r="AG78">
        <f>IF('WetLitterbags placem_collection'!AC79="","",'WetLitterbags placem_collection'!AC79)</f>
        <v>1</v>
      </c>
      <c r="AH78" s="24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placem_collection'!V79)),"YES","NO")</f>
        <v>NO</v>
      </c>
      <c r="AM78" t="str">
        <f>IF(ISNUMBER(SEARCH("H", 'WetLitterbags placem_collection'!V79)),"YES","NO")</f>
        <v>NO</v>
      </c>
      <c r="AN78" t="str">
        <f>IF(ISNUMBER(SEARCH("R", 'WetLitterbags placem_collection'!V79)),"YES","NO")</f>
        <v>YES</v>
      </c>
    </row>
    <row r="79" spans="1:40">
      <c r="A79" s="258" t="s">
        <v>2460</v>
      </c>
      <c r="B79" s="263">
        <f>'Dry_Litterbag Placem_Collection'!A80</f>
        <v>78</v>
      </c>
      <c r="C79" s="263" t="str">
        <f>'Dry_Litterbag Placem_Collection'!B80</f>
        <v>Maswa</v>
      </c>
      <c r="D79" s="263" t="s">
        <v>2659</v>
      </c>
      <c r="E79" s="263" t="s">
        <v>2661</v>
      </c>
      <c r="F79" s="263">
        <v>2</v>
      </c>
      <c r="G79" s="264" t="str">
        <f>'Dry_Litterbag Placem_Collection'!C80</f>
        <v>Dry_W2_T6</v>
      </c>
      <c r="H79" s="265" t="s">
        <v>2541</v>
      </c>
      <c r="I79" s="266" t="s">
        <v>1147</v>
      </c>
      <c r="J79" s="223" t="str">
        <f>'WetLitterbags placem_collection'!K80</f>
        <v>G460</v>
      </c>
      <c r="K79" s="225">
        <f>IFERROR(INDEX('Green_rooibos initial weight'!$C$5:$C$1749,MATCH(J79, 'Green_rooibos initial weight'!$A$5:$A$1749,0)),"")</f>
        <v>2.1560000000000001</v>
      </c>
      <c r="L79" s="225">
        <f>IFERROR(K79-(TBIcalc!$H$9+TBIcalc!$H$10),"")</f>
        <v>1.9062000000000001</v>
      </c>
      <c r="M79" s="391">
        <f>AVERAGE(Ashed_controlls!$K$2:$K$11)</f>
        <v>5.5147656768714146</v>
      </c>
      <c r="N79" s="225">
        <f t="shared" si="7"/>
        <v>1.8010775366674772</v>
      </c>
      <c r="O79" s="225">
        <f>IF(IFERROR(INDEX('Both teabags AfterWet'!$C$3:$C$841,MATCH(J79,'Both teabags AfterWet'!$A$3:$A$841,0)),"")="","",(IFERROR(INDEX('Both teabags AfterWet'!$C$3:$C$841,MATCH(J79,'Both teabags AfterWet'!$A$3:$A$841,0)),"")))</f>
        <v>0.90669999999999995</v>
      </c>
      <c r="P79" s="225">
        <f>IFERROR(IF(O79&gt;0,O79-(TBIcalc!$H$9),""),"")</f>
        <v>0.75609999999999999</v>
      </c>
      <c r="Q79" s="225">
        <f>IFERROR(INDEX('Ashed teabags wet'!$K$2:$K$821,MATCH(J79,'Ashed teabags wet'!$A$2:$A$821,0)),"")</f>
        <v>10.069790628115374</v>
      </c>
      <c r="R79" s="225">
        <f t="shared" si="11"/>
        <v>0.67996231306081967</v>
      </c>
      <c r="S79" s="226">
        <f>'WetLitterbags placem_collection'!E80</f>
        <v>42767</v>
      </c>
      <c r="T79" s="226">
        <f>IF('WetLitterbags placem_collection'!G80="","",'WetLitterbags placem_collection'!G80)</f>
        <v>42818</v>
      </c>
      <c r="U79" s="227">
        <f t="shared" si="8"/>
        <v>51</v>
      </c>
      <c r="V79" s="225">
        <f t="shared" si="9"/>
        <v>1.1501000000000001</v>
      </c>
      <c r="W79" s="225">
        <f t="shared" si="10"/>
        <v>1.1211152236066575</v>
      </c>
      <c r="X79">
        <f>IFERROR(INDEX(Rainfall_Wet!$O$2:$O$217,MATCH(B79, Rainfall_Wet!$A$2:$A$217,0)),"")</f>
        <v>185.630065823</v>
      </c>
      <c r="Y79" s="231">
        <v>45.272914521112256</v>
      </c>
      <c r="Z79" s="231">
        <v>23.604531410916575</v>
      </c>
      <c r="AA79" s="231">
        <v>31.122554067971166</v>
      </c>
      <c r="AB79" s="232" t="s">
        <v>2673</v>
      </c>
      <c r="AC79" s="231">
        <v>7.0547560374568796</v>
      </c>
      <c r="AD79">
        <f>IF('WetLitterbags placem_collection'!AB80="","",'WetLitterbags placem_collection'!AB80)</f>
        <v>10.4</v>
      </c>
      <c r="AE79">
        <f>IF('WetLitterbags placem_collection'!Z80="","",'WetLitterbags placem_collection'!Z80)</f>
        <v>15.4</v>
      </c>
      <c r="AF79" s="246" t="str">
        <f>IF('WetLitterbags placem_collection'!AA80="","",'WetLitterbags placem_collection'!AA80)</f>
        <v>M</v>
      </c>
      <c r="AG79">
        <f>IF('WetLitterbags placem_collection'!AC80="","",'WetLitterbags placem_collection'!AC80)</f>
        <v>1</v>
      </c>
      <c r="AH79" s="24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placem_collection'!V80)),"YES","NO")</f>
        <v>NO</v>
      </c>
      <c r="AM79" t="str">
        <f>IF(ISNUMBER(SEARCH("H", 'WetLitterbags placem_collection'!V80)),"YES","NO")</f>
        <v>NO</v>
      </c>
      <c r="AN79" t="str">
        <f>IF(ISNUMBER(SEARCH("R", 'WetLitterbags placem_collection'!V80)),"YES","NO")</f>
        <v>YES</v>
      </c>
    </row>
    <row r="80" spans="1:40">
      <c r="A80" s="258" t="s">
        <v>2460</v>
      </c>
      <c r="B80" s="263">
        <f>'Dry_Litterbag Placem_Collection'!A81</f>
        <v>79</v>
      </c>
      <c r="C80" s="263" t="str">
        <f>'Dry_Litterbag Placem_Collection'!B81</f>
        <v>Maswa</v>
      </c>
      <c r="D80" s="263" t="s">
        <v>2659</v>
      </c>
      <c r="E80" s="263" t="s">
        <v>2661</v>
      </c>
      <c r="F80" s="263">
        <v>2</v>
      </c>
      <c r="G80" s="264" t="str">
        <f>'Dry_Litterbag Placem_Collection'!C81</f>
        <v>Dry_W2_T7</v>
      </c>
      <c r="H80" s="265" t="s">
        <v>2541</v>
      </c>
      <c r="I80" s="266" t="s">
        <v>1147</v>
      </c>
      <c r="J80" s="223" t="str">
        <f>'WetLitterbags placem_collection'!K81</f>
        <v>G217</v>
      </c>
      <c r="K80" s="225">
        <f>IFERROR(INDEX('Green_rooibos initial weight'!$C$5:$C$1749,MATCH(J80, 'Green_rooibos initial weight'!$A$5:$A$1749,0)),"")</f>
        <v>1.944</v>
      </c>
      <c r="L80" s="225">
        <f>IFERROR(K80-(TBIcalc!$H$9+TBIcalc!$H$10),"")</f>
        <v>1.6941999999999999</v>
      </c>
      <c r="M80" s="391">
        <f>AVERAGE(Ashed_controlls!$K$2:$K$11)</f>
        <v>5.5147656768714146</v>
      </c>
      <c r="N80" s="225">
        <f t="shared" si="7"/>
        <v>1.6007688399024445</v>
      </c>
      <c r="O80" s="225">
        <f>IF(IFERROR(INDEX('Both teabags AfterWet'!$C$3:$C$841,MATCH(J80,'Both teabags AfterWet'!$A$3:$A$841,0)),"")="","",(IFERROR(INDEX('Both teabags AfterWet'!$C$3:$C$841,MATCH(J80,'Both teabags AfterWet'!$A$3:$A$841,0)),"")))</f>
        <v>0.85370000000000001</v>
      </c>
      <c r="P80" s="225">
        <f>IFERROR(IF(O80&gt;0,O80-(TBIcalc!$H$9),""),"")</f>
        <v>0.70310000000000006</v>
      </c>
      <c r="Q80" s="225">
        <f>IFERROR(INDEX('Ashed teabags wet'!$K$2:$K$821,MATCH(J80,'Ashed teabags wet'!$A$2:$A$821,0)),"")</f>
        <v>15.104419621176483</v>
      </c>
      <c r="R80" s="225">
        <f t="shared" si="11"/>
        <v>0.59690082564350821</v>
      </c>
      <c r="S80" s="226">
        <f>'WetLitterbags placem_collection'!E81</f>
        <v>42767</v>
      </c>
      <c r="T80" s="226">
        <f>IF('WetLitterbags placem_collection'!G81="","",'WetLitterbags placem_collection'!G81)</f>
        <v>42818</v>
      </c>
      <c r="U80" s="227">
        <f t="shared" si="8"/>
        <v>51</v>
      </c>
      <c r="V80" s="225">
        <f t="shared" si="9"/>
        <v>0.99109999999999987</v>
      </c>
      <c r="W80" s="225">
        <f t="shared" si="10"/>
        <v>1.0038680142589362</v>
      </c>
      <c r="X80">
        <f>IFERROR(INDEX(Rainfall_Wet!$O$2:$O$217,MATCH(B80, Rainfall_Wet!$A$2:$A$217,0)),"")</f>
        <v>185.630065823</v>
      </c>
      <c r="Y80" s="231">
        <v>45.272914521112256</v>
      </c>
      <c r="Z80" s="231">
        <v>23.604531410916575</v>
      </c>
      <c r="AA80" s="231">
        <v>31.122554067971166</v>
      </c>
      <c r="AB80" s="232" t="s">
        <v>2673</v>
      </c>
      <c r="AC80" s="231">
        <v>8.0547560374568796</v>
      </c>
      <c r="AD80">
        <f>IF('WetLitterbags placem_collection'!AB81="","",'WetLitterbags placem_collection'!AB81)</f>
        <v>3</v>
      </c>
      <c r="AE80">
        <f>IF('WetLitterbags placem_collection'!Z81="","",'WetLitterbags placem_collection'!Z81)</f>
        <v>5</v>
      </c>
      <c r="AF80" s="246" t="str">
        <f>IF('WetLitterbags placem_collection'!AA81="","",'WetLitterbags placem_collection'!AA81)</f>
        <v>G</v>
      </c>
      <c r="AG80">
        <f>IF('WetLitterbags placem_collection'!AC81="","",'WetLitterbags placem_collection'!AC81)</f>
        <v>1</v>
      </c>
      <c r="AH80" s="24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placem_collection'!V81)),"YES","NO")</f>
        <v>NO</v>
      </c>
      <c r="AM80" t="str">
        <f>IF(ISNUMBER(SEARCH("H", 'WetLitterbags placem_collection'!V81)),"YES","NO")</f>
        <v>NO</v>
      </c>
      <c r="AN80" t="str">
        <f>IF(ISNUMBER(SEARCH("R", 'WetLitterbags placem_collection'!V81)),"YES","NO")</f>
        <v>YES</v>
      </c>
    </row>
    <row r="81" spans="1:40">
      <c r="A81" s="258" t="s">
        <v>2460</v>
      </c>
      <c r="B81" s="263">
        <f>'Dry_Litterbag Placem_Collection'!A82</f>
        <v>80</v>
      </c>
      <c r="C81" s="263" t="str">
        <f>'Dry_Litterbag Placem_Collection'!B82</f>
        <v>Maswa</v>
      </c>
      <c r="D81" s="263" t="s">
        <v>2659</v>
      </c>
      <c r="E81" s="263" t="s">
        <v>2661</v>
      </c>
      <c r="F81" s="263">
        <v>2</v>
      </c>
      <c r="G81" s="264" t="str">
        <f>'Dry_Litterbag Placem_Collection'!C82</f>
        <v>Dry_W2_T8</v>
      </c>
      <c r="H81" s="265" t="s">
        <v>2541</v>
      </c>
      <c r="I81" s="266" t="s">
        <v>1147</v>
      </c>
      <c r="J81" s="223" t="str">
        <f>'WetLitterbags placem_collection'!K82</f>
        <v>G607</v>
      </c>
      <c r="K81" s="225">
        <f>IFERROR(INDEX('Green_rooibos initial weight'!$C$5:$C$1749,MATCH(J81, 'Green_rooibos initial weight'!$A$5:$A$1749,0)),"")</f>
        <v>1.9450000000000001</v>
      </c>
      <c r="L81" s="225">
        <f>IFERROR(K81-(TBIcalc!$H$9+TBIcalc!$H$10),"")</f>
        <v>1.6952</v>
      </c>
      <c r="M81" s="391">
        <f>AVERAGE(Ashed_controlls!$K$2:$K$11)</f>
        <v>5.5147656768714146</v>
      </c>
      <c r="N81" s="225">
        <f t="shared" si="7"/>
        <v>1.6017136922456758</v>
      </c>
      <c r="O81" s="225">
        <f>IF(IFERROR(INDEX('Both teabags AfterWet'!$C$3:$C$841,MATCH(J81,'Both teabags AfterWet'!$A$3:$A$841,0)),"")="","",(IFERROR(INDEX('Both teabags AfterWet'!$C$3:$C$841,MATCH(J81,'Both teabags AfterWet'!$A$3:$A$841,0)),"")))</f>
        <v>0.92400000000000004</v>
      </c>
      <c r="P81" s="225">
        <f>IFERROR(IF(O81&gt;0,O81-(TBIcalc!$H$9),""),"")</f>
        <v>0.77340000000000009</v>
      </c>
      <c r="Q81" s="225">
        <f>IFERROR(INDEX('Ashed teabags wet'!$K$2:$K$821,MATCH(J81,'Ashed teabags wet'!$A$2:$A$821,0)),"")</f>
        <v>13.619696176008233</v>
      </c>
      <c r="R81" s="225">
        <f t="shared" si="11"/>
        <v>0.66806526977475245</v>
      </c>
      <c r="S81" s="226">
        <f>'WetLitterbags placem_collection'!E82</f>
        <v>42767</v>
      </c>
      <c r="T81" s="226">
        <f>IF('WetLitterbags placem_collection'!G82="","",'WetLitterbags placem_collection'!G82)</f>
        <v>42818</v>
      </c>
      <c r="U81" s="227">
        <f t="shared" si="8"/>
        <v>51</v>
      </c>
      <c r="V81" s="225">
        <f t="shared" si="9"/>
        <v>0.92179999999999995</v>
      </c>
      <c r="W81" s="225">
        <f t="shared" si="10"/>
        <v>0.93364842247092339</v>
      </c>
      <c r="X81">
        <f>IFERROR(INDEX(Rainfall_Wet!$O$2:$O$217,MATCH(B81, Rainfall_Wet!$A$2:$A$217,0)),"")</f>
        <v>185.630065823</v>
      </c>
      <c r="Y81" s="231">
        <v>45.272914521112256</v>
      </c>
      <c r="Z81" s="231">
        <v>23.604531410916575</v>
      </c>
      <c r="AA81" s="231">
        <v>31.122554067971166</v>
      </c>
      <c r="AB81" s="232" t="s">
        <v>2673</v>
      </c>
      <c r="AC81" s="231">
        <v>9.0547560374568796</v>
      </c>
      <c r="AD81">
        <f>IF('WetLitterbags placem_collection'!AB82="","",'WetLitterbags placem_collection'!AB82)</f>
        <v>2.7</v>
      </c>
      <c r="AE81">
        <f>IF('WetLitterbags placem_collection'!Z82="","",'WetLitterbags placem_collection'!Z82)</f>
        <v>12.4</v>
      </c>
      <c r="AF81" s="246" t="str">
        <f>IF('WetLitterbags placem_collection'!AA82="","",'WetLitterbags placem_collection'!AA82)</f>
        <v>O</v>
      </c>
      <c r="AG81">
        <f>IF('WetLitterbags placem_collection'!AC82="","",'WetLitterbags placem_collection'!AC82)</f>
        <v>1</v>
      </c>
      <c r="AH81" s="24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placem_collection'!V82)),"YES","NO")</f>
        <v>YES</v>
      </c>
      <c r="AM81" t="str">
        <f>IF(ISNUMBER(SEARCH("H", 'WetLitterbags placem_collection'!V82)),"YES","NO")</f>
        <v>YES</v>
      </c>
      <c r="AN81" t="str">
        <f>IF(ISNUMBER(SEARCH("R", 'WetLitterbags placem_collection'!V82)),"YES","NO")</f>
        <v>NO</v>
      </c>
    </row>
    <row r="82" spans="1:40">
      <c r="A82" s="258" t="s">
        <v>2460</v>
      </c>
      <c r="B82" s="263">
        <f>'Dry_Litterbag Placem_Collection'!A83</f>
        <v>81</v>
      </c>
      <c r="C82" s="263" t="str">
        <f>'Dry_Litterbag Placem_Collection'!B83</f>
        <v>Maswa</v>
      </c>
      <c r="D82" s="263" t="s">
        <v>2659</v>
      </c>
      <c r="E82" s="263" t="s">
        <v>2661</v>
      </c>
      <c r="F82" s="263">
        <v>3</v>
      </c>
      <c r="G82" s="264" t="str">
        <f>'Dry_Litterbag Placem_Collection'!C83</f>
        <v>Dry_W3_T1</v>
      </c>
      <c r="H82" s="265" t="s">
        <v>2541</v>
      </c>
      <c r="I82" s="266" t="s">
        <v>1147</v>
      </c>
      <c r="J82" s="223" t="str">
        <f>'WetLitterbags placem_collection'!K83</f>
        <v>G542</v>
      </c>
      <c r="K82" s="225">
        <f>IFERROR(INDEX('Green_rooibos initial weight'!$C$5:$C$1749,MATCH(J82, 'Green_rooibos initial weight'!$A$5:$A$1749,0)),"")</f>
        <v>2.0779999999999998</v>
      </c>
      <c r="L82" s="225">
        <f>IFERROR(K82-(TBIcalc!$H$9+TBIcalc!$H$10),"")</f>
        <v>1.8281999999999998</v>
      </c>
      <c r="M82" s="391">
        <f>AVERAGE(Ashed_controlls!$K$2:$K$11)</f>
        <v>5.5147656768714146</v>
      </c>
      <c r="N82" s="225">
        <f t="shared" si="7"/>
        <v>1.7273790538954366</v>
      </c>
      <c r="O82" s="225">
        <f>IF(IFERROR(INDEX('Both teabags AfterWet'!$C$3:$C$841,MATCH(J82,'Both teabags AfterWet'!$A$3:$A$841,0)),"")="","",(IFERROR(INDEX('Both teabags AfterWet'!$C$3:$C$841,MATCH(J82,'Both teabags AfterWet'!$A$3:$A$841,0)),"")))</f>
        <v>0.85099999999999998</v>
      </c>
      <c r="P82" s="225">
        <f>IFERROR(IF(O82&gt;0,O82-(TBIcalc!$H$9),""),"")</f>
        <v>0.70039999999999991</v>
      </c>
      <c r="Q82" s="225">
        <f>IFERROR(INDEX('Ashed teabags wet'!$K$2:$K$821,MATCH(J82,'Ashed teabags wet'!$A$2:$A$821,0)),"")</f>
        <v>15.009940357852306</v>
      </c>
      <c r="R82" s="225">
        <f t="shared" si="11"/>
        <v>0.59527037773360236</v>
      </c>
      <c r="S82" s="226">
        <f>'WetLitterbags placem_collection'!E83</f>
        <v>42767</v>
      </c>
      <c r="T82" s="226">
        <f>IF('WetLitterbags placem_collection'!G83="","",'WetLitterbags placem_collection'!G83)</f>
        <v>42818</v>
      </c>
      <c r="U82" s="227">
        <f t="shared" si="8"/>
        <v>51</v>
      </c>
      <c r="V82" s="225">
        <f t="shared" si="9"/>
        <v>1.1277999999999999</v>
      </c>
      <c r="W82" s="225">
        <f t="shared" si="10"/>
        <v>1.1321086761618342</v>
      </c>
      <c r="X82">
        <f>IFERROR(INDEX(Rainfall_Wet!$O$2:$O$217,MATCH(B82, Rainfall_Wet!$A$2:$A$217,0)),"")</f>
        <v>185.01185076100001</v>
      </c>
      <c r="Y82" s="231">
        <v>38.691629007962128</v>
      </c>
      <c r="Z82" s="231">
        <v>26.81299763288143</v>
      </c>
      <c r="AA82" s="231">
        <v>34.495373359156439</v>
      </c>
      <c r="AB82" s="232" t="s">
        <v>2675</v>
      </c>
      <c r="AC82" s="231">
        <v>2.5483587974371611</v>
      </c>
      <c r="AD82">
        <f>IF('WetLitterbags placem_collection'!AB83="","",'WetLitterbags placem_collection'!AB83)</f>
        <v>6.2</v>
      </c>
      <c r="AE82">
        <f>IF('WetLitterbags placem_collection'!Z83="","",'WetLitterbags placem_collection'!Z83)</f>
        <v>13.3</v>
      </c>
      <c r="AF82" s="246" t="str">
        <f>IF('WetLitterbags placem_collection'!AA83="","",'WetLitterbags placem_collection'!AA83)</f>
        <v>O</v>
      </c>
      <c r="AG82">
        <f>IF('WetLitterbags placem_collection'!AC83="","",'WetLitterbags placem_collection'!AC83)</f>
        <v>0</v>
      </c>
      <c r="AH82" s="24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placem_collection'!V83)),"YES","NO")</f>
        <v>NO</v>
      </c>
      <c r="AM82" t="str">
        <f>IF(ISNUMBER(SEARCH("H", 'WetLitterbags placem_collection'!V83)),"YES","NO")</f>
        <v>YES</v>
      </c>
      <c r="AN82" t="str">
        <f>IF(ISNUMBER(SEARCH("R", 'WetLitterbags placem_collection'!V83)),"YES","NO")</f>
        <v>YES</v>
      </c>
    </row>
    <row r="83" spans="1:40">
      <c r="A83" s="258" t="s">
        <v>2460</v>
      </c>
      <c r="B83" s="263">
        <f>'Dry_Litterbag Placem_Collection'!A84</f>
        <v>82</v>
      </c>
      <c r="C83" s="263" t="str">
        <f>'Dry_Litterbag Placem_Collection'!B84</f>
        <v>Maswa</v>
      </c>
      <c r="D83" s="263" t="s">
        <v>2659</v>
      </c>
      <c r="E83" s="263" t="s">
        <v>2661</v>
      </c>
      <c r="F83" s="263">
        <v>3</v>
      </c>
      <c r="G83" s="264" t="str">
        <f>'Dry_Litterbag Placem_Collection'!C84</f>
        <v>Dry_W3_T2</v>
      </c>
      <c r="H83" s="265" t="s">
        <v>2541</v>
      </c>
      <c r="I83" s="266" t="s">
        <v>1147</v>
      </c>
      <c r="J83" s="223" t="str">
        <f>'WetLitterbags placem_collection'!K84</f>
        <v>G536</v>
      </c>
      <c r="K83" s="225">
        <f>IFERROR(INDEX('Green_rooibos initial weight'!$C$5:$C$1749,MATCH(J83, 'Green_rooibos initial weight'!$A$5:$A$1749,0)),"")</f>
        <v>2.0510000000000002</v>
      </c>
      <c r="L83" s="225">
        <f>IFERROR(K83-(TBIcalc!$H$9+TBIcalc!$H$10),"")</f>
        <v>1.8012000000000001</v>
      </c>
      <c r="M83" s="391">
        <f>AVERAGE(Ashed_controlls!$K$2:$K$11)</f>
        <v>5.5147656768714146</v>
      </c>
      <c r="N83" s="225">
        <f t="shared" si="7"/>
        <v>1.7018680406281923</v>
      </c>
      <c r="O83" s="225">
        <f>IF(IFERROR(INDEX('Both teabags AfterWet'!$C$3:$C$841,MATCH(J83,'Both teabags AfterWet'!$A$3:$A$841,0)),"")="","",(IFERROR(INDEX('Both teabags AfterWet'!$C$3:$C$841,MATCH(J83,'Both teabags AfterWet'!$A$3:$A$841,0)),"")))</f>
        <v>0.748</v>
      </c>
      <c r="P83" s="225">
        <f>IFERROR(IF(O83&gt;0,O83-(TBIcalc!$H$9),""),"")</f>
        <v>0.59739999999999993</v>
      </c>
      <c r="Q83" s="225">
        <f>IFERROR(INDEX('Ashed teabags wet'!$K$2:$K$821,MATCH(J83,'Ashed teabags wet'!$A$2:$A$821,0)),"")</f>
        <v>10.317848410758481</v>
      </c>
      <c r="R83" s="225">
        <f t="shared" si="11"/>
        <v>0.53576117359412878</v>
      </c>
      <c r="S83" s="226">
        <f>'WetLitterbags placem_collection'!E84</f>
        <v>42767</v>
      </c>
      <c r="T83" s="226">
        <f>IF('WetLitterbags placem_collection'!G84="","",'WetLitterbags placem_collection'!G84)</f>
        <v>42819</v>
      </c>
      <c r="U83" s="227">
        <f t="shared" si="8"/>
        <v>52</v>
      </c>
      <c r="V83" s="225">
        <f t="shared" si="9"/>
        <v>1.2038000000000002</v>
      </c>
      <c r="W83" s="225">
        <f t="shared" si="10"/>
        <v>1.1661068670340635</v>
      </c>
      <c r="X83">
        <f>IFERROR(INDEX(Rainfall_Wet!$O$2:$O$217,MATCH(B83, Rainfall_Wet!$A$2:$A$217,0)),"")</f>
        <v>194.93009798400001</v>
      </c>
      <c r="Y83" s="231">
        <v>38.691629007962128</v>
      </c>
      <c r="Z83" s="231">
        <v>26.81299763288143</v>
      </c>
      <c r="AA83" s="231">
        <v>34.495373359156439</v>
      </c>
      <c r="AB83" s="232" t="s">
        <v>2675</v>
      </c>
      <c r="AC83" s="231">
        <v>3.5483587974371602</v>
      </c>
      <c r="AD83">
        <f>IF('WetLitterbags placem_collection'!AB84="","",'WetLitterbags placem_collection'!AB84)</f>
        <v>2.4</v>
      </c>
      <c r="AE83">
        <f>IF('WetLitterbags placem_collection'!Z84="","",'WetLitterbags placem_collection'!Z84)</f>
        <v>16.600000000000001</v>
      </c>
      <c r="AF83" s="246" t="str">
        <f>IF('WetLitterbags placem_collection'!AA84="","",'WetLitterbags placem_collection'!AA84)</f>
        <v>O</v>
      </c>
      <c r="AG83" t="str">
        <f>IF('WetLitterbags placem_collection'!AC84="","",'WetLitterbags placem_collection'!AC84)</f>
        <v/>
      </c>
      <c r="AH83" s="24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placem_collection'!V84)),"YES","NO")</f>
        <v>NO</v>
      </c>
      <c r="AM83" t="str">
        <f>IF(ISNUMBER(SEARCH("H", 'WetLitterbags placem_collection'!V84)),"YES","NO")</f>
        <v>YES</v>
      </c>
      <c r="AN83" t="str">
        <f>IF(ISNUMBER(SEARCH("R", 'WetLitterbags placem_collection'!V84)),"YES","NO")</f>
        <v>YES</v>
      </c>
    </row>
    <row r="84" spans="1:40">
      <c r="A84" s="258" t="s">
        <v>2460</v>
      </c>
      <c r="B84" s="263">
        <f>'Dry_Litterbag Placem_Collection'!A85</f>
        <v>83</v>
      </c>
      <c r="C84" s="263" t="str">
        <f>'Dry_Litterbag Placem_Collection'!B85</f>
        <v>Maswa</v>
      </c>
      <c r="D84" s="263" t="s">
        <v>2659</v>
      </c>
      <c r="E84" s="263" t="s">
        <v>2661</v>
      </c>
      <c r="F84" s="263">
        <v>3</v>
      </c>
      <c r="G84" s="264" t="str">
        <f>'Dry_Litterbag Placem_Collection'!C85</f>
        <v>Dry_W3_T3</v>
      </c>
      <c r="H84" s="265" t="s">
        <v>2541</v>
      </c>
      <c r="I84" s="266" t="s">
        <v>1147</v>
      </c>
      <c r="J84" s="223" t="str">
        <f>'WetLitterbags placem_collection'!K85</f>
        <v>G494</v>
      </c>
      <c r="K84" s="225">
        <f>IFERROR(INDEX('Green_rooibos initial weight'!$C$5:$C$1749,MATCH(J84, 'Green_rooibos initial weight'!$A$5:$A$1749,0)),"")</f>
        <v>1.903</v>
      </c>
      <c r="L84" s="225">
        <f>IFERROR(K84-(TBIcalc!$H$9+TBIcalc!$H$10),"")</f>
        <v>1.6532</v>
      </c>
      <c r="M84" s="391">
        <f>AVERAGE(Ashed_controlls!$K$2:$K$11)</f>
        <v>5.5147656768714146</v>
      </c>
      <c r="N84" s="225">
        <f t="shared" si="7"/>
        <v>1.5620298938299617</v>
      </c>
      <c r="O84" s="225">
        <f>IF(IFERROR(INDEX('Both teabags AfterWet'!$C$3:$C$841,MATCH(J84,'Both teabags AfterWet'!$A$3:$A$841,0)),"")="","",(IFERROR(INDEX('Both teabags AfterWet'!$C$3:$C$841,MATCH(J84,'Both teabags AfterWet'!$A$3:$A$841,0)),"")))</f>
        <v>0.90200000000000002</v>
      </c>
      <c r="P84" s="225">
        <f>IFERROR(IF(O84&gt;0,O84-(TBIcalc!$H$9),""),"")</f>
        <v>0.75140000000000007</v>
      </c>
      <c r="Q84" s="225">
        <f>IFERROR(INDEX('Ashed teabags wet'!$K$2:$K$821,MATCH(J84,'Ashed teabags wet'!$A$2:$A$821,0)),"")</f>
        <v>18.525798525798983</v>
      </c>
      <c r="R84" s="225">
        <f t="shared" si="11"/>
        <v>0.61219714987714646</v>
      </c>
      <c r="S84" s="226">
        <f>'WetLitterbags placem_collection'!E85</f>
        <v>42767</v>
      </c>
      <c r="T84" s="226">
        <f>IF('WetLitterbags placem_collection'!G85="","",'WetLitterbags placem_collection'!G85)</f>
        <v>42819</v>
      </c>
      <c r="U84" s="227">
        <f t="shared" si="8"/>
        <v>52</v>
      </c>
      <c r="V84" s="225">
        <f t="shared" si="9"/>
        <v>0.90179999999999993</v>
      </c>
      <c r="W84" s="225">
        <f t="shared" si="10"/>
        <v>0.94983274395281525</v>
      </c>
      <c r="X84">
        <f>IFERROR(INDEX(Rainfall_Wet!$O$2:$O$217,MATCH(B84, Rainfall_Wet!$A$2:$A$217,0)),"")</f>
        <v>194.93009798400001</v>
      </c>
      <c r="Y84" s="231">
        <v>38.691629007962128</v>
      </c>
      <c r="Z84" s="231">
        <v>26.81299763288143</v>
      </c>
      <c r="AA84" s="231">
        <v>34.495373359156439</v>
      </c>
      <c r="AB84" s="232" t="s">
        <v>2675</v>
      </c>
      <c r="AC84" s="231">
        <v>4.5483587974371602</v>
      </c>
      <c r="AD84">
        <f>IF('WetLitterbags placem_collection'!AB85="","",'WetLitterbags placem_collection'!AB85)</f>
        <v>6.4</v>
      </c>
      <c r="AE84">
        <f>IF('WetLitterbags placem_collection'!Z85="","",'WetLitterbags placem_collection'!Z85)</f>
        <v>42</v>
      </c>
      <c r="AF84" s="246" t="str">
        <f>IF('WetLitterbags placem_collection'!AA85="","",'WetLitterbags placem_collection'!AA85)</f>
        <v>M</v>
      </c>
      <c r="AG84">
        <f>IF('WetLitterbags placem_collection'!AC85="","",'WetLitterbags placem_collection'!AC85)</f>
        <v>1</v>
      </c>
      <c r="AH84" s="24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placem_collection'!V85)),"YES","NO")</f>
        <v>NO</v>
      </c>
      <c r="AM84" t="str">
        <f>IF(ISNUMBER(SEARCH("H", 'WetLitterbags placem_collection'!V85)),"YES","NO")</f>
        <v>NO</v>
      </c>
      <c r="AN84" t="str">
        <f>IF(ISNUMBER(SEARCH("R", 'WetLitterbags placem_collection'!V85)),"YES","NO")</f>
        <v>YES</v>
      </c>
    </row>
    <row r="85" spans="1:40">
      <c r="A85" s="258" t="s">
        <v>2460</v>
      </c>
      <c r="B85" s="263">
        <f>'Dry_Litterbag Placem_Collection'!A86</f>
        <v>84</v>
      </c>
      <c r="C85" s="263" t="str">
        <f>'Dry_Litterbag Placem_Collection'!B86</f>
        <v>Maswa</v>
      </c>
      <c r="D85" s="263" t="s">
        <v>2659</v>
      </c>
      <c r="E85" s="263" t="s">
        <v>2661</v>
      </c>
      <c r="F85" s="263">
        <v>3</v>
      </c>
      <c r="G85" s="264" t="str">
        <f>'Dry_Litterbag Placem_Collection'!C86</f>
        <v>Dry_W3_T4</v>
      </c>
      <c r="H85" s="265" t="s">
        <v>2541</v>
      </c>
      <c r="I85" s="266" t="s">
        <v>1147</v>
      </c>
      <c r="J85" s="223" t="str">
        <f>'WetLitterbags placem_collection'!K86</f>
        <v>G291</v>
      </c>
      <c r="K85" s="225">
        <f>IFERROR(INDEX('Green_rooibos initial weight'!$C$5:$C$1749,MATCH(J85, 'Green_rooibos initial weight'!$A$5:$A$1749,0)),"")</f>
        <v>2.0880000000000001</v>
      </c>
      <c r="L85" s="225">
        <f>IFERROR(K85-(TBIcalc!$H$9+TBIcalc!$H$10),"")</f>
        <v>1.8382000000000001</v>
      </c>
      <c r="M85" s="391">
        <f>AVERAGE(Ashed_controlls!$K$2:$K$11)</f>
        <v>5.5147656768714146</v>
      </c>
      <c r="N85" s="225">
        <f t="shared" si="7"/>
        <v>1.7368275773277497</v>
      </c>
      <c r="O85" s="225">
        <f>IF(IFERROR(INDEX('Both teabags AfterWet'!$C$3:$C$841,MATCH(J85,'Both teabags AfterWet'!$A$3:$A$841,0)),"")="","",(IFERROR(INDEX('Both teabags AfterWet'!$C$3:$C$841,MATCH(J85,'Both teabags AfterWet'!$A$3:$A$841,0)),"")))</f>
        <v>0.90300000000000002</v>
      </c>
      <c r="P85" s="225">
        <f>IFERROR(IF(O85&gt;0,O85-(TBIcalc!$H$9),""),"")</f>
        <v>0.75239999999999996</v>
      </c>
      <c r="Q85" s="225">
        <f>IFERROR(INDEX('Ashed teabags wet'!$K$2:$K$821,MATCH(J85,'Ashed teabags wet'!$A$2:$A$821,0)),"")</f>
        <v>11.922503725782521</v>
      </c>
      <c r="R85" s="225">
        <f t="shared" si="11"/>
        <v>0.66269508196721227</v>
      </c>
      <c r="S85" s="226">
        <f>'WetLitterbags placem_collection'!E86</f>
        <v>42767</v>
      </c>
      <c r="T85" s="226">
        <f>IF('WetLitterbags placem_collection'!G86="","",'WetLitterbags placem_collection'!G86)</f>
        <v>42819</v>
      </c>
      <c r="U85" s="227">
        <f t="shared" si="8"/>
        <v>52</v>
      </c>
      <c r="V85" s="225">
        <f t="shared" si="9"/>
        <v>1.0858000000000001</v>
      </c>
      <c r="W85" s="225">
        <f t="shared" si="10"/>
        <v>1.0741324953605376</v>
      </c>
      <c r="X85">
        <f>IFERROR(INDEX(Rainfall_Wet!$O$2:$O$217,MATCH(B85, Rainfall_Wet!$A$2:$A$217,0)),"")</f>
        <v>194.93009798400001</v>
      </c>
      <c r="Y85" s="231">
        <v>38.691629007962128</v>
      </c>
      <c r="Z85" s="231">
        <v>26.81299763288143</v>
      </c>
      <c r="AA85" s="231">
        <v>34.495373359156439</v>
      </c>
      <c r="AB85" s="232" t="s">
        <v>2675</v>
      </c>
      <c r="AC85" s="231">
        <v>5.5483587974371602</v>
      </c>
      <c r="AD85">
        <f>IF('WetLitterbags placem_collection'!AB86="","",'WetLitterbags placem_collection'!AB86)</f>
        <v>5.5</v>
      </c>
      <c r="AE85">
        <f>IF('WetLitterbags placem_collection'!Z86="","",'WetLitterbags placem_collection'!Z86)</f>
        <v>55.8</v>
      </c>
      <c r="AF85" s="246" t="str">
        <f>IF('WetLitterbags placem_collection'!AA86="","",'WetLitterbags placem_collection'!AA86)</f>
        <v>M</v>
      </c>
      <c r="AG85">
        <f>IF('WetLitterbags placem_collection'!AC86="","",'WetLitterbags placem_collection'!AC86)</f>
        <v>1</v>
      </c>
      <c r="AH85" s="24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placem_collection'!V86)),"YES","NO")</f>
        <v>NO</v>
      </c>
      <c r="AM85" t="str">
        <f>IF(ISNUMBER(SEARCH("H", 'WetLitterbags placem_collection'!V86)),"YES","NO")</f>
        <v>NO</v>
      </c>
      <c r="AN85" t="str">
        <f>IF(ISNUMBER(SEARCH("R", 'WetLitterbags placem_collection'!V86)),"YES","NO")</f>
        <v>YES</v>
      </c>
    </row>
    <row r="86" spans="1:40">
      <c r="A86" s="258" t="s">
        <v>2460</v>
      </c>
      <c r="B86" s="263">
        <f>'Dry_Litterbag Placem_Collection'!A87</f>
        <v>85</v>
      </c>
      <c r="C86" s="263" t="str">
        <f>'Dry_Litterbag Placem_Collection'!B87</f>
        <v>Maswa</v>
      </c>
      <c r="D86" s="263" t="s">
        <v>2659</v>
      </c>
      <c r="E86" s="263" t="s">
        <v>2661</v>
      </c>
      <c r="F86" s="263">
        <v>3</v>
      </c>
      <c r="G86" s="264" t="str">
        <f>'Dry_Litterbag Placem_Collection'!C87</f>
        <v>Dry_W3_T5</v>
      </c>
      <c r="H86" s="265" t="s">
        <v>2541</v>
      </c>
      <c r="I86" s="266" t="s">
        <v>1147</v>
      </c>
      <c r="J86" s="223" t="str">
        <f>'WetLitterbags placem_collection'!K87</f>
        <v>G308</v>
      </c>
      <c r="K86" s="225">
        <f>IFERROR(INDEX('Green_rooibos initial weight'!$C$5:$C$1749,MATCH(J86, 'Green_rooibos initial weight'!$A$5:$A$1749,0)),"")</f>
        <v>1.982</v>
      </c>
      <c r="L86" s="225">
        <f>IFERROR(K86-(TBIcalc!$H$9+TBIcalc!$H$10),"")</f>
        <v>1.7322</v>
      </c>
      <c r="M86" s="391">
        <f>AVERAGE(Ashed_controlls!$K$2:$K$11)</f>
        <v>5.5147656768714146</v>
      </c>
      <c r="N86" s="225">
        <f t="shared" si="7"/>
        <v>1.6366732289452333</v>
      </c>
      <c r="O86" s="225">
        <f>IF(IFERROR(INDEX('Both teabags AfterWet'!$C$3:$C$841,MATCH(J86,'Both teabags AfterWet'!$A$3:$A$841,0)),"")="","",(IFERROR(INDEX('Both teabags AfterWet'!$C$3:$C$841,MATCH(J86,'Both teabags AfterWet'!$A$3:$A$841,0)),"")))</f>
        <v>1.256</v>
      </c>
      <c r="P86" s="225">
        <f>IFERROR(IF(O86&gt;0,O86-(TBIcalc!$H$9),""),"")</f>
        <v>1.1053999999999999</v>
      </c>
      <c r="Q86" s="225">
        <f>IFERROR(INDEX('Ashed teabags wet'!$K$2:$K$821,MATCH(J86,'Ashed teabags wet'!$A$2:$A$821,0)),"")</f>
        <v>39.801980198020281</v>
      </c>
      <c r="R86" s="225">
        <f t="shared" si="11"/>
        <v>0.6654289108910838</v>
      </c>
      <c r="S86" s="226">
        <f>'WetLitterbags placem_collection'!E87</f>
        <v>42767</v>
      </c>
      <c r="T86" s="226">
        <f>IF('WetLitterbags placem_collection'!G87="","",'WetLitterbags placem_collection'!G87)</f>
        <v>42819</v>
      </c>
      <c r="U86" s="227">
        <f t="shared" si="8"/>
        <v>52</v>
      </c>
      <c r="V86" s="225">
        <f t="shared" si="9"/>
        <v>0.62680000000000002</v>
      </c>
      <c r="W86" s="225">
        <f t="shared" si="10"/>
        <v>0.97124431805414946</v>
      </c>
      <c r="X86">
        <f>IFERROR(INDEX(Rainfall_Wet!$O$2:$O$217,MATCH(B86, Rainfall_Wet!$A$2:$A$217,0)),"")</f>
        <v>194.93009798400001</v>
      </c>
      <c r="Y86" s="231">
        <v>38.691629007962128</v>
      </c>
      <c r="Z86" s="231">
        <v>26.81299763288143</v>
      </c>
      <c r="AA86" s="231">
        <v>34.495373359156439</v>
      </c>
      <c r="AB86" s="232" t="s">
        <v>2675</v>
      </c>
      <c r="AC86" s="231">
        <v>6.5483587974371602</v>
      </c>
      <c r="AD86">
        <f>IF('WetLitterbags placem_collection'!AB87="","",'WetLitterbags placem_collection'!AB87)</f>
        <v>8.6</v>
      </c>
      <c r="AE86">
        <f>IF('WetLitterbags placem_collection'!Z87="","",'WetLitterbags placem_collection'!Z87)</f>
        <v>3.8</v>
      </c>
      <c r="AF86" s="246" t="str">
        <f>IF('WetLitterbags placem_collection'!AA87="","",'WetLitterbags placem_collection'!AA87)</f>
        <v>O</v>
      </c>
      <c r="AG86">
        <f>IF('WetLitterbags placem_collection'!AC87="","",'WetLitterbags placem_collection'!AC87)</f>
        <v>0</v>
      </c>
      <c r="AH86" s="24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placem_collection'!V87)),"YES","NO")</f>
        <v>NO</v>
      </c>
      <c r="AM86" t="str">
        <f>IF(ISNUMBER(SEARCH("H", 'WetLitterbags placem_collection'!V87)),"YES","NO")</f>
        <v>YES</v>
      </c>
      <c r="AN86" t="str">
        <f>IF(ISNUMBER(SEARCH("R", 'WetLitterbags placem_collection'!V87)),"YES","NO")</f>
        <v>YES</v>
      </c>
    </row>
    <row r="87" spans="1:40">
      <c r="A87" s="258" t="s">
        <v>2460</v>
      </c>
      <c r="B87" s="263">
        <f>'Dry_Litterbag Placem_Collection'!A88</f>
        <v>86</v>
      </c>
      <c r="C87" s="263" t="str">
        <f>'Dry_Litterbag Placem_Collection'!B88</f>
        <v>Maswa</v>
      </c>
      <c r="D87" s="263" t="s">
        <v>2659</v>
      </c>
      <c r="E87" s="263" t="s">
        <v>2661</v>
      </c>
      <c r="F87" s="263">
        <v>3</v>
      </c>
      <c r="G87" s="264" t="str">
        <f>'Dry_Litterbag Placem_Collection'!C88</f>
        <v>Dry_W3_T6</v>
      </c>
      <c r="H87" s="265" t="s">
        <v>2541</v>
      </c>
      <c r="I87" s="266" t="s">
        <v>1147</v>
      </c>
      <c r="J87" s="223" t="str">
        <f>'WetLitterbags placem_collection'!K88</f>
        <v>G723</v>
      </c>
      <c r="K87" s="225">
        <f>IFERROR(INDEX('Green_rooibos initial weight'!$C$5:$C$1749,MATCH(J87, 'Green_rooibos initial weight'!$A$5:$A$1749,0)),"")</f>
        <v>2.0129999999999999</v>
      </c>
      <c r="L87" s="225">
        <f>IFERROR(K87-(TBIcalc!$H$9+TBIcalc!$H$10),"")</f>
        <v>1.7631999999999999</v>
      </c>
      <c r="M87" s="391">
        <f>AVERAGE(Ashed_controlls!$K$2:$K$11)</f>
        <v>5.5147656768714146</v>
      </c>
      <c r="N87" s="225">
        <f t="shared" si="7"/>
        <v>1.665963651585403</v>
      </c>
      <c r="O87" s="225">
        <f>IF(IFERROR(INDEX('Both teabags AfterWet'!$C$3:$C$841,MATCH(J87,'Both teabags AfterWet'!$A$3:$A$841,0)),"")="","",(IFERROR(INDEX('Both teabags AfterWet'!$C$3:$C$841,MATCH(J87,'Both teabags AfterWet'!$A$3:$A$841,0)),"")))</f>
        <v>0.78249999999999997</v>
      </c>
      <c r="P87" s="225">
        <f>IFERROR(IF(O87&gt;0,O87-(TBIcalc!$H$9),""),"")</f>
        <v>0.63189999999999991</v>
      </c>
      <c r="Q87" s="225">
        <f>IFERROR(INDEX('Ashed teabags wet'!$K$2:$K$821,MATCH(J87,'Ashed teabags wet'!$A$2:$A$821,0)),"")</f>
        <v>7.4680306905364882</v>
      </c>
      <c r="R87" s="225">
        <f t="shared" si="11"/>
        <v>0.58470951406649985</v>
      </c>
      <c r="S87" s="226">
        <f>'WetLitterbags placem_collection'!E88</f>
        <v>42767</v>
      </c>
      <c r="T87" s="226">
        <f>IF('WetLitterbags placem_collection'!G88="","",'WetLitterbags placem_collection'!G88)</f>
        <v>42819</v>
      </c>
      <c r="U87" s="227">
        <f t="shared" si="8"/>
        <v>52</v>
      </c>
      <c r="V87" s="225">
        <f t="shared" si="9"/>
        <v>1.1313</v>
      </c>
      <c r="W87" s="225">
        <f t="shared" si="10"/>
        <v>1.0812541375189033</v>
      </c>
      <c r="X87">
        <f>IFERROR(INDEX(Rainfall_Wet!$O$2:$O$217,MATCH(B87, Rainfall_Wet!$A$2:$A$217,0)),"")</f>
        <v>194.93009798400001</v>
      </c>
      <c r="Y87" s="231">
        <v>38.691629007962128</v>
      </c>
      <c r="Z87" s="231">
        <v>26.81299763288143</v>
      </c>
      <c r="AA87" s="231">
        <v>34.495373359156439</v>
      </c>
      <c r="AB87" s="232" t="s">
        <v>2675</v>
      </c>
      <c r="AC87" s="231">
        <v>7.5483587974371602</v>
      </c>
      <c r="AD87">
        <f>IF('WetLitterbags placem_collection'!AB88="","",'WetLitterbags placem_collection'!AB88)</f>
        <v>3.7</v>
      </c>
      <c r="AE87">
        <f>IF('WetLitterbags placem_collection'!Z88="","",'WetLitterbags placem_collection'!Z88)</f>
        <v>7.5</v>
      </c>
      <c r="AF87" s="246" t="str">
        <f>IF('WetLitterbags placem_collection'!AA88="","",'WetLitterbags placem_collection'!AA88)</f>
        <v>O</v>
      </c>
      <c r="AG87">
        <f>IF('WetLitterbags placem_collection'!AC88="","",'WetLitterbags placem_collection'!AC88)</f>
        <v>0</v>
      </c>
      <c r="AH87" s="24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placem_collection'!V88)),"YES","NO")</f>
        <v>NO</v>
      </c>
      <c r="AM87" t="str">
        <f>IF(ISNUMBER(SEARCH("H", 'WetLitterbags placem_collection'!V88)),"YES","NO")</f>
        <v>NO</v>
      </c>
      <c r="AN87" t="str">
        <f>IF(ISNUMBER(SEARCH("R", 'WetLitterbags placem_collection'!V88)),"YES","NO")</f>
        <v>YES</v>
      </c>
    </row>
    <row r="88" spans="1:40">
      <c r="A88" s="258" t="s">
        <v>2460</v>
      </c>
      <c r="B88" s="263">
        <f>'Dry_Litterbag Placem_Collection'!A89</f>
        <v>87</v>
      </c>
      <c r="C88" s="263" t="str">
        <f>'Dry_Litterbag Placem_Collection'!B89</f>
        <v>Maswa</v>
      </c>
      <c r="D88" s="263" t="s">
        <v>2659</v>
      </c>
      <c r="E88" s="263" t="s">
        <v>2661</v>
      </c>
      <c r="F88" s="263">
        <v>3</v>
      </c>
      <c r="G88" s="264" t="str">
        <f>'Dry_Litterbag Placem_Collection'!C89</f>
        <v>Dry_W3_T7</v>
      </c>
      <c r="H88" s="265" t="s">
        <v>2541</v>
      </c>
      <c r="I88" s="266" t="s">
        <v>1147</v>
      </c>
      <c r="J88" s="223" t="str">
        <f>'WetLitterbags placem_collection'!K89</f>
        <v>G628</v>
      </c>
      <c r="K88" s="225">
        <f>IFERROR(INDEX('Green_rooibos initial weight'!$C$5:$C$1749,MATCH(J88, 'Green_rooibos initial weight'!$A$5:$A$1749,0)),"")</f>
        <v>2.0739999999999998</v>
      </c>
      <c r="L88" s="225">
        <f>IFERROR(K88-(TBIcalc!$H$9+TBIcalc!$H$10),"")</f>
        <v>1.8241999999999998</v>
      </c>
      <c r="M88" s="391">
        <f>AVERAGE(Ashed_controlls!$K$2:$K$11)</f>
        <v>5.5147656768714146</v>
      </c>
      <c r="N88" s="225">
        <f t="shared" si="7"/>
        <v>1.7235996445225115</v>
      </c>
      <c r="O88" s="225">
        <f>IF(IFERROR(INDEX('Both teabags AfterWet'!$C$3:$C$841,MATCH(J88,'Both teabags AfterWet'!$A$3:$A$841,0)),"")="","",(IFERROR(INDEX('Both teabags AfterWet'!$C$3:$C$841,MATCH(J88,'Both teabags AfterWet'!$A$3:$A$841,0)),"")))</f>
        <v>0.8639</v>
      </c>
      <c r="P88" s="225">
        <f>IFERROR(IF(O88&gt;0,O88-(TBIcalc!$H$9),""),"")</f>
        <v>0.71330000000000005</v>
      </c>
      <c r="Q88" s="225">
        <f>IFERROR(INDEX('Ashed teabags wet'!$K$2:$K$821,MATCH(J88,'Ashed teabags wet'!$A$2:$A$821,0)),"")</f>
        <v>12.74038461538643</v>
      </c>
      <c r="R88" s="225">
        <f t="shared" si="11"/>
        <v>0.62242283653844865</v>
      </c>
      <c r="S88" s="226">
        <f>'WetLitterbags placem_collection'!E89</f>
        <v>42767</v>
      </c>
      <c r="T88" s="226">
        <f>IF('WetLitterbags placem_collection'!G89="","",'WetLitterbags placem_collection'!G89)</f>
        <v>42819</v>
      </c>
      <c r="U88" s="227">
        <f t="shared" si="8"/>
        <v>52</v>
      </c>
      <c r="V88" s="225">
        <f t="shared" si="9"/>
        <v>1.1108999999999998</v>
      </c>
      <c r="W88" s="225">
        <f t="shared" si="10"/>
        <v>1.1011768079840629</v>
      </c>
      <c r="X88">
        <f>IFERROR(INDEX(Rainfall_Wet!$O$2:$O$217,MATCH(B88, Rainfall_Wet!$A$2:$A$217,0)),"")</f>
        <v>194.93009798400001</v>
      </c>
      <c r="Y88" s="231">
        <v>38.691629007962128</v>
      </c>
      <c r="Z88" s="231">
        <v>26.81299763288143</v>
      </c>
      <c r="AA88" s="231">
        <v>34.495373359156439</v>
      </c>
      <c r="AB88" s="232" t="s">
        <v>2675</v>
      </c>
      <c r="AC88" s="231">
        <v>8.5483587974371602</v>
      </c>
      <c r="AD88">
        <f>IF('WetLitterbags placem_collection'!AB89="","",'WetLitterbags placem_collection'!AB89)</f>
        <v>7.5</v>
      </c>
      <c r="AE88">
        <f>IF('WetLitterbags placem_collection'!Z89="","",'WetLitterbags placem_collection'!Z89)</f>
        <v>12.6</v>
      </c>
      <c r="AF88" s="246" t="str">
        <f>IF('WetLitterbags placem_collection'!AA89="","",'WetLitterbags placem_collection'!AA89)</f>
        <v>O</v>
      </c>
      <c r="AG88">
        <f>IF('WetLitterbags placem_collection'!AC89="","",'WetLitterbags placem_collection'!AC89)</f>
        <v>1</v>
      </c>
      <c r="AH88" s="24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placem_collection'!V89)),"YES","NO")</f>
        <v>YES</v>
      </c>
      <c r="AM88" t="str">
        <f>IF(ISNUMBER(SEARCH("H", 'WetLitterbags placem_collection'!V89)),"YES","NO")</f>
        <v>YES</v>
      </c>
      <c r="AN88" t="str">
        <f>IF(ISNUMBER(SEARCH("R", 'WetLitterbags placem_collection'!V89)),"YES","NO")</f>
        <v>YES</v>
      </c>
    </row>
    <row r="89" spans="1:40">
      <c r="A89" s="258" t="s">
        <v>2460</v>
      </c>
      <c r="B89" s="263">
        <f>'Dry_Litterbag Placem_Collection'!A90</f>
        <v>88</v>
      </c>
      <c r="C89" s="263" t="str">
        <f>'Dry_Litterbag Placem_Collection'!B90</f>
        <v>Maswa</v>
      </c>
      <c r="D89" s="263" t="s">
        <v>2659</v>
      </c>
      <c r="E89" s="263" t="s">
        <v>2661</v>
      </c>
      <c r="F89" s="263">
        <v>3</v>
      </c>
      <c r="G89" s="264" t="str">
        <f>'Dry_Litterbag Placem_Collection'!C90</f>
        <v>Dry_W3_T8</v>
      </c>
      <c r="H89" s="265" t="s">
        <v>2541</v>
      </c>
      <c r="I89" s="266" t="s">
        <v>1147</v>
      </c>
      <c r="J89" s="223" t="str">
        <f>'WetLitterbags placem_collection'!K90</f>
        <v>G569</v>
      </c>
      <c r="K89" s="225">
        <f>IFERROR(INDEX('Green_rooibos initial weight'!$C$5:$C$1749,MATCH(J89, 'Green_rooibos initial weight'!$A$5:$A$1749,0)),"")</f>
        <v>1.9950000000000001</v>
      </c>
      <c r="L89" s="225">
        <f>IFERROR(K89-(TBIcalc!$H$9+TBIcalc!$H$10),"")</f>
        <v>1.7452000000000001</v>
      </c>
      <c r="M89" s="391">
        <f>AVERAGE(Ashed_controlls!$K$2:$K$11)</f>
        <v>5.5147656768714146</v>
      </c>
      <c r="N89" s="225">
        <f t="shared" si="7"/>
        <v>1.6489563094072401</v>
      </c>
      <c r="O89" s="225" t="str">
        <f>IF(IFERROR(INDEX('Both teabags AfterWet'!$C$3:$C$841,MATCH(J89,'Both teabags AfterWet'!$A$3:$A$841,0)),"")="","",(IFERROR(INDEX('Both teabags AfterWet'!$C$3:$C$841,MATCH(J89,'Both teabags AfterWet'!$A$3:$A$841,0)),"")))</f>
        <v/>
      </c>
      <c r="P89" s="225" t="str">
        <f>IFERROR(IF(O89&gt;0,O89-(TBIcalc!$H$9),""),"")</f>
        <v/>
      </c>
      <c r="Q89" s="225" t="str">
        <f>IFERROR(INDEX('Ashed teabags wet'!$K$2:$K$821,MATCH(J89,'Ashed teabags wet'!$A$2:$A$821,0)),"")</f>
        <v/>
      </c>
      <c r="R89" s="225" t="str">
        <f t="shared" si="11"/>
        <v/>
      </c>
      <c r="S89" s="226">
        <f>'WetLitterbags placem_collection'!E90</f>
        <v>42767</v>
      </c>
      <c r="T89" s="226" t="str">
        <f>IF('WetLitterbags placem_collection'!G90="","",'WetLitterbags placem_collection'!G90)</f>
        <v/>
      </c>
      <c r="U89" s="227" t="str">
        <f t="shared" si="8"/>
        <v/>
      </c>
      <c r="V89" s="225" t="str">
        <f t="shared" si="9"/>
        <v/>
      </c>
      <c r="W89" s="225" t="str">
        <f t="shared" si="10"/>
        <v/>
      </c>
      <c r="X89" t="str">
        <f>IFERROR(INDEX(Rainfall_Wet!$O$2:$O$217,MATCH(B89, Rainfall_Wet!$A$2:$A$217,0)),"")</f>
        <v/>
      </c>
      <c r="Y89" s="231">
        <v>38.691629007962128</v>
      </c>
      <c r="Z89" s="231">
        <v>26.81299763288143</v>
      </c>
      <c r="AA89" s="231">
        <v>34.495373359156439</v>
      </c>
      <c r="AB89" s="232" t="s">
        <v>2675</v>
      </c>
      <c r="AC89" s="231">
        <v>9.5483587974371602</v>
      </c>
      <c r="AD89" t="str">
        <f>IF('WetLitterbags placem_collection'!AB90="","",'WetLitterbags placem_collection'!AB90)</f>
        <v/>
      </c>
      <c r="AE89" t="str">
        <f>IF('WetLitterbags placem_collection'!Z90="","",'WetLitterbags placem_collection'!Z90)</f>
        <v/>
      </c>
      <c r="AF89" s="246" t="str">
        <f>IF('WetLitterbags placem_collection'!AA90="","",'WetLitterbags placem_collection'!AA90)</f>
        <v/>
      </c>
      <c r="AG89" t="str">
        <f>IF('WetLitterbags placem_collection'!AC90="","",'WetLitterbags placem_collection'!AC90)</f>
        <v/>
      </c>
      <c r="AH89" s="24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placem_collection'!V90)),"YES","NO")</f>
        <v>NO</v>
      </c>
      <c r="AM89" t="str">
        <f>IF(ISNUMBER(SEARCH("H", 'WetLitterbags placem_collection'!V90)),"YES","NO")</f>
        <v>NO</v>
      </c>
      <c r="AN89" t="str">
        <f>IF(ISNUMBER(SEARCH("R", 'WetLitterbags placem_collection'!V90)),"YES","NO")</f>
        <v>NO</v>
      </c>
    </row>
    <row r="90" spans="1:40">
      <c r="A90" s="258" t="s">
        <v>2460</v>
      </c>
      <c r="B90" s="263">
        <f>'Dry_Litterbag Placem_Collection'!A91</f>
        <v>89</v>
      </c>
      <c r="C90" s="263" t="str">
        <f>'Dry_Litterbag Placem_Collection'!B91</f>
        <v>Maswa</v>
      </c>
      <c r="D90" s="263" t="s">
        <v>2659</v>
      </c>
      <c r="E90" s="263" t="s">
        <v>2661</v>
      </c>
      <c r="F90" s="263">
        <v>4</v>
      </c>
      <c r="G90" s="264" t="str">
        <f>'Dry_Litterbag Placem_Collection'!C91</f>
        <v>Dry_W4_T1</v>
      </c>
      <c r="H90" s="265" t="s">
        <v>2541</v>
      </c>
      <c r="I90" s="266" t="s">
        <v>1147</v>
      </c>
      <c r="J90" s="223" t="str">
        <f>'WetLitterbags placem_collection'!K91</f>
        <v>G339</v>
      </c>
      <c r="K90" s="225">
        <f>IFERROR(INDEX('Green_rooibos initial weight'!$C$5:$C$1749,MATCH(J90, 'Green_rooibos initial weight'!$A$5:$A$1749,0)),"")</f>
        <v>2.0219999999999998</v>
      </c>
      <c r="L90" s="225">
        <f>IFERROR(K90-(TBIcalc!$H$9+TBIcalc!$H$10),"")</f>
        <v>1.7721999999999998</v>
      </c>
      <c r="M90" s="391">
        <f>AVERAGE(Ashed_controlls!$K$2:$K$11)</f>
        <v>5.5147656768714146</v>
      </c>
      <c r="N90" s="225">
        <f t="shared" si="7"/>
        <v>1.6744673226744846</v>
      </c>
      <c r="O90" s="225" t="str">
        <f>IF(IFERROR(INDEX('Both teabags AfterWet'!$C$3:$C$841,MATCH(J90,'Both teabags AfterWet'!$A$3:$A$841,0)),"")="","",(IFERROR(INDEX('Both teabags AfterWet'!$C$3:$C$841,MATCH(J90,'Both teabags AfterWet'!$A$3:$A$841,0)),"")))</f>
        <v/>
      </c>
      <c r="P90" s="225" t="str">
        <f>IFERROR(IF(O90&gt;0,O90-(TBIcalc!$H$9),""),"")</f>
        <v/>
      </c>
      <c r="Q90" s="225" t="str">
        <f>IFERROR(INDEX('Ashed teabags wet'!$K$2:$K$821,MATCH(J90,'Ashed teabags wet'!$A$2:$A$821,0)),"")</f>
        <v/>
      </c>
      <c r="R90" s="225" t="str">
        <f t="shared" si="11"/>
        <v/>
      </c>
      <c r="S90" s="226">
        <f>'WetLitterbags placem_collection'!E91</f>
        <v>42767</v>
      </c>
      <c r="T90" s="226">
        <f>IF('WetLitterbags placem_collection'!G91="","",'WetLitterbags placem_collection'!G91)</f>
        <v>42819</v>
      </c>
      <c r="U90" s="227">
        <f t="shared" si="8"/>
        <v>52</v>
      </c>
      <c r="V90" s="225" t="str">
        <f t="shared" si="9"/>
        <v/>
      </c>
      <c r="W90" s="225" t="str">
        <f t="shared" si="10"/>
        <v/>
      </c>
      <c r="X90">
        <f>IFERROR(INDEX(Rainfall_Wet!$O$2:$O$217,MATCH(B90, Rainfall_Wet!$A$2:$A$217,0)),"")</f>
        <v>194.93009798400001</v>
      </c>
      <c r="Y90" s="231">
        <v>28.145762029394</v>
      </c>
      <c r="Z90" s="231">
        <v>25.085564727199518</v>
      </c>
      <c r="AA90" s="231">
        <v>46.768673243406489</v>
      </c>
      <c r="AB90" s="232" t="s">
        <v>2670</v>
      </c>
      <c r="AC90" s="231">
        <v>2.1716214884179394</v>
      </c>
      <c r="AD90">
        <f>IF('WetLitterbags placem_collection'!AB91="","",'WetLitterbags placem_collection'!AB91)</f>
        <v>7.3</v>
      </c>
      <c r="AE90">
        <f>IF('WetLitterbags placem_collection'!Z91="","",'WetLitterbags placem_collection'!Z91)</f>
        <v>35.799999999999997</v>
      </c>
      <c r="AF90" s="246" t="str">
        <f>IF('WetLitterbags placem_collection'!AA91="","",'WetLitterbags placem_collection'!AA91)</f>
        <v>O</v>
      </c>
      <c r="AG90">
        <f>IF('WetLitterbags placem_collection'!AC91="","",'WetLitterbags placem_collection'!AC91)</f>
        <v>0</v>
      </c>
      <c r="AH90" s="24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placem_collection'!V91)),"YES","NO")</f>
        <v>NO</v>
      </c>
      <c r="AM90" t="str">
        <f>IF(ISNUMBER(SEARCH("H", 'WetLitterbags placem_collection'!V91)),"YES","NO")</f>
        <v>NO</v>
      </c>
      <c r="AN90" t="str">
        <f>IF(ISNUMBER(SEARCH("R", 'WetLitterbags placem_collection'!V91)),"YES","NO")</f>
        <v>NO</v>
      </c>
    </row>
    <row r="91" spans="1:40">
      <c r="A91" s="258" t="s">
        <v>2460</v>
      </c>
      <c r="B91" s="263">
        <f>'Dry_Litterbag Placem_Collection'!A92</f>
        <v>90</v>
      </c>
      <c r="C91" s="263" t="str">
        <f>'Dry_Litterbag Placem_Collection'!B92</f>
        <v>Maswa</v>
      </c>
      <c r="D91" s="263" t="s">
        <v>2659</v>
      </c>
      <c r="E91" s="263" t="s">
        <v>2661</v>
      </c>
      <c r="F91" s="263">
        <v>4</v>
      </c>
      <c r="G91" s="264" t="str">
        <f>'Dry_Litterbag Placem_Collection'!C92</f>
        <v>Dry_W4_T2</v>
      </c>
      <c r="H91" s="265" t="s">
        <v>2541</v>
      </c>
      <c r="I91" s="266" t="s">
        <v>1147</v>
      </c>
      <c r="J91" s="223" t="str">
        <f>'WetLitterbags placem_collection'!K92</f>
        <v>G592</v>
      </c>
      <c r="K91" s="225">
        <f>IFERROR(INDEX('Green_rooibos initial weight'!$C$5:$C$1749,MATCH(J91, 'Green_rooibos initial weight'!$A$5:$A$1749,0)),"")</f>
        <v>2.0699999999999998</v>
      </c>
      <c r="L91" s="225">
        <f>IFERROR(K91-(TBIcalc!$H$9+TBIcalc!$H$10),"")</f>
        <v>1.8201999999999998</v>
      </c>
      <c r="M91" s="391">
        <f>AVERAGE(Ashed_controlls!$K$2:$K$11)</f>
        <v>5.5147656768714146</v>
      </c>
      <c r="N91" s="225">
        <f t="shared" si="7"/>
        <v>1.7198202351495864</v>
      </c>
      <c r="O91" s="225">
        <f>IF(IFERROR(INDEX('Both teabags AfterWet'!$C$3:$C$841,MATCH(J91,'Both teabags AfterWet'!$A$3:$A$841,0)),"")="","",(IFERROR(INDEX('Both teabags AfterWet'!$C$3:$C$841,MATCH(J91,'Both teabags AfterWet'!$A$3:$A$841,0)),"")))</f>
        <v>1.0779000000000001</v>
      </c>
      <c r="P91" s="225">
        <f>IFERROR(IF(O91&gt;0,O91-(TBIcalc!$H$9),""),"")</f>
        <v>0.92730000000000001</v>
      </c>
      <c r="Q91" s="225">
        <f>IFERROR(INDEX('Ashed teabags wet'!$K$2:$K$821,MATCH(J91,'Ashed teabags wet'!$A$2:$A$821,0)),"")</f>
        <v>33.166583291646958</v>
      </c>
      <c r="R91" s="225">
        <f t="shared" si="11"/>
        <v>0.61974627313655772</v>
      </c>
      <c r="S91" s="226">
        <f>'WetLitterbags placem_collection'!E92</f>
        <v>42767</v>
      </c>
      <c r="T91" s="226">
        <f>IF('WetLitterbags placem_collection'!G92="","",'WetLitterbags placem_collection'!G92)</f>
        <v>42819</v>
      </c>
      <c r="U91" s="227">
        <f t="shared" si="8"/>
        <v>52</v>
      </c>
      <c r="V91" s="225">
        <f t="shared" si="9"/>
        <v>0.8928999999999998</v>
      </c>
      <c r="W91" s="225">
        <f t="shared" si="10"/>
        <v>1.1000739620130287</v>
      </c>
      <c r="X91">
        <f>IFERROR(INDEX(Rainfall_Wet!$O$2:$O$217,MATCH(B91, Rainfall_Wet!$A$2:$A$217,0)),"")</f>
        <v>194.93009798400001</v>
      </c>
      <c r="Y91" s="231">
        <v>28.145762029394</v>
      </c>
      <c r="Z91" s="231">
        <v>25.085564727199518</v>
      </c>
      <c r="AA91" s="231">
        <v>46.768673243406489</v>
      </c>
      <c r="AB91" s="232" t="s">
        <v>2670</v>
      </c>
      <c r="AC91" s="231">
        <v>3.1716214884179399</v>
      </c>
      <c r="AD91">
        <f>IF('WetLitterbags placem_collection'!AB92="","",'WetLitterbags placem_collection'!AB92)</f>
        <v>7.7</v>
      </c>
      <c r="AE91">
        <f>IF('WetLitterbags placem_collection'!Z92="","",'WetLitterbags placem_collection'!Z92)</f>
        <v>30.4</v>
      </c>
      <c r="AF91" s="246" t="str">
        <f>IF('WetLitterbags placem_collection'!AA92="","",'WetLitterbags placem_collection'!AA92)</f>
        <v>O</v>
      </c>
      <c r="AG91">
        <f>IF('WetLitterbags placem_collection'!AC92="","",'WetLitterbags placem_collection'!AC92)</f>
        <v>0</v>
      </c>
      <c r="AH91" s="24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placem_collection'!V92)),"YES","NO")</f>
        <v>NO</v>
      </c>
      <c r="AM91" t="str">
        <f>IF(ISNUMBER(SEARCH("H", 'WetLitterbags placem_collection'!V92)),"YES","NO")</f>
        <v>NO</v>
      </c>
      <c r="AN91" t="str">
        <f>IF(ISNUMBER(SEARCH("R", 'WetLitterbags placem_collection'!V92)),"YES","NO")</f>
        <v>NO</v>
      </c>
    </row>
    <row r="92" spans="1:40">
      <c r="A92" s="258" t="s">
        <v>2460</v>
      </c>
      <c r="B92" s="263">
        <f>'Dry_Litterbag Placem_Collection'!A93</f>
        <v>91</v>
      </c>
      <c r="C92" s="263" t="str">
        <f>'Dry_Litterbag Placem_Collection'!B93</f>
        <v>Maswa</v>
      </c>
      <c r="D92" s="263" t="s">
        <v>2659</v>
      </c>
      <c r="E92" s="263" t="s">
        <v>2661</v>
      </c>
      <c r="F92" s="263">
        <v>4</v>
      </c>
      <c r="G92" s="264" t="str">
        <f>'Dry_Litterbag Placem_Collection'!C93</f>
        <v>Dry_W4_T3</v>
      </c>
      <c r="H92" s="265" t="s">
        <v>2541</v>
      </c>
      <c r="I92" s="266" t="s">
        <v>1147</v>
      </c>
      <c r="J92" s="223" t="str">
        <f>'WetLitterbags placem_collection'!K93</f>
        <v>G472</v>
      </c>
      <c r="K92" s="225">
        <f>IFERROR(INDEX('Green_rooibos initial weight'!$C$5:$C$1749,MATCH(J92, 'Green_rooibos initial weight'!$A$5:$A$1749,0)),"")</f>
        <v>1.9710000000000001</v>
      </c>
      <c r="L92" s="225">
        <f>IFERROR(K92-(TBIcalc!$H$9+TBIcalc!$H$10),"")</f>
        <v>1.7212000000000001</v>
      </c>
      <c r="M92" s="391">
        <f>AVERAGE(Ashed_controlls!$K$2:$K$11)</f>
        <v>5.5147656768714146</v>
      </c>
      <c r="N92" s="225">
        <f t="shared" si="7"/>
        <v>1.6262798531696894</v>
      </c>
      <c r="O92" s="225">
        <f>IF(IFERROR(INDEX('Both teabags AfterWet'!$C$3:$C$841,MATCH(J92,'Both teabags AfterWet'!$A$3:$A$841,0)),"")="","",(IFERROR(INDEX('Both teabags AfterWet'!$C$3:$C$841,MATCH(J92,'Both teabags AfterWet'!$A$3:$A$841,0)),"")))</f>
        <v>0.76100000000000001</v>
      </c>
      <c r="P92" s="225">
        <f>IFERROR(IF(O92&gt;0,O92-(TBIcalc!$H$9),""),"")</f>
        <v>0.61040000000000005</v>
      </c>
      <c r="Q92" s="225">
        <f>IFERROR(INDEX('Ashed teabags wet'!$K$2:$K$821,MATCH(J92,'Ashed teabags wet'!$A$2:$A$821,0)),"")</f>
        <v>13.069604406610589</v>
      </c>
      <c r="R92" s="225">
        <f t="shared" si="11"/>
        <v>0.53062313470204903</v>
      </c>
      <c r="S92" s="226">
        <f>'WetLitterbags placem_collection'!E93</f>
        <v>42767</v>
      </c>
      <c r="T92" s="226">
        <f>IF('WetLitterbags placem_collection'!G93="","",'WetLitterbags placem_collection'!G93)</f>
        <v>42819</v>
      </c>
      <c r="U92" s="227">
        <f t="shared" si="8"/>
        <v>52</v>
      </c>
      <c r="V92" s="225">
        <f t="shared" si="9"/>
        <v>1.1108</v>
      </c>
      <c r="W92" s="225">
        <f t="shared" si="10"/>
        <v>1.0956567184676405</v>
      </c>
      <c r="X92">
        <f>IFERROR(INDEX(Rainfall_Wet!$O$2:$O$217,MATCH(B92, Rainfall_Wet!$A$2:$A$217,0)),"")</f>
        <v>194.93009798400001</v>
      </c>
      <c r="Y92" s="231">
        <v>28.145762029394</v>
      </c>
      <c r="Z92" s="231">
        <v>25.085564727199518</v>
      </c>
      <c r="AA92" s="231">
        <v>46.768673243406489</v>
      </c>
      <c r="AB92" s="232" t="s">
        <v>2670</v>
      </c>
      <c r="AC92" s="231">
        <v>4.1716214884179399</v>
      </c>
      <c r="AD92">
        <f>IF('WetLitterbags placem_collection'!AB93="","",'WetLitterbags placem_collection'!AB93)</f>
        <v>6.1</v>
      </c>
      <c r="AE92">
        <f>IF('WetLitterbags placem_collection'!Z93="","",'WetLitterbags placem_collection'!Z93)</f>
        <v>39.4</v>
      </c>
      <c r="AF92" s="246" t="str">
        <f>IF('WetLitterbags placem_collection'!AA93="","",'WetLitterbags placem_collection'!AA93)</f>
        <v>O</v>
      </c>
      <c r="AG92">
        <f>IF('WetLitterbags placem_collection'!AC93="","",'WetLitterbags placem_collection'!AC93)</f>
        <v>1</v>
      </c>
      <c r="AH92" s="24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placem_collection'!V93)),"YES","NO")</f>
        <v>NO</v>
      </c>
      <c r="AM92" t="str">
        <f>IF(ISNUMBER(SEARCH("H", 'WetLitterbags placem_collection'!V93)),"YES","NO")</f>
        <v>YES</v>
      </c>
      <c r="AN92" t="str">
        <f>IF(ISNUMBER(SEARCH("R", 'WetLitterbags placem_collection'!V93)),"YES","NO")</f>
        <v>YES</v>
      </c>
    </row>
    <row r="93" spans="1:40">
      <c r="A93" s="258" t="s">
        <v>2460</v>
      </c>
      <c r="B93" s="263">
        <f>'Dry_Litterbag Placem_Collection'!A94</f>
        <v>92</v>
      </c>
      <c r="C93" s="263" t="str">
        <f>'Dry_Litterbag Placem_Collection'!B94</f>
        <v>Maswa</v>
      </c>
      <c r="D93" s="263" t="s">
        <v>2659</v>
      </c>
      <c r="E93" s="263" t="s">
        <v>2661</v>
      </c>
      <c r="F93" s="263">
        <v>4</v>
      </c>
      <c r="G93" s="264" t="str">
        <f>'Dry_Litterbag Placem_Collection'!C94</f>
        <v>Dry_W4_T4</v>
      </c>
      <c r="H93" s="265" t="s">
        <v>2541</v>
      </c>
      <c r="I93" s="266" t="s">
        <v>1147</v>
      </c>
      <c r="J93" s="223" t="str">
        <f>'WetLitterbags placem_collection'!K94</f>
        <v>G529</v>
      </c>
      <c r="K93" s="225">
        <f>IFERROR(INDEX('Green_rooibos initial weight'!$C$5:$C$1749,MATCH(J93, 'Green_rooibos initial weight'!$A$5:$A$1749,0)),"")</f>
        <v>2.089</v>
      </c>
      <c r="L93" s="225">
        <f>IFERROR(K93-(TBIcalc!$H$9+TBIcalc!$H$10),"")</f>
        <v>1.8391999999999999</v>
      </c>
      <c r="M93" s="391">
        <f>AVERAGE(Ashed_controlls!$K$2:$K$11)</f>
        <v>5.5147656768714146</v>
      </c>
      <c r="N93" s="225">
        <f t="shared" si="7"/>
        <v>1.7377724296709809</v>
      </c>
      <c r="O93" s="225">
        <f>IF(IFERROR(INDEX('Both teabags AfterWet'!$C$3:$C$841,MATCH(J93,'Both teabags AfterWet'!$A$3:$A$841,0)),"")="","",(IFERROR(INDEX('Both teabags AfterWet'!$C$3:$C$841,MATCH(J93,'Both teabags AfterWet'!$A$3:$A$841,0)),"")))</f>
        <v>0.76500000000000001</v>
      </c>
      <c r="P93" s="225">
        <f>IFERROR(IF(O93&gt;0,O93-(TBIcalc!$H$9),""),"")</f>
        <v>0.61440000000000006</v>
      </c>
      <c r="Q93" s="225">
        <f>IFERROR(INDEX('Ashed teabags wet'!$K$2:$K$821,MATCH(J93,'Ashed teabags wet'!$A$2:$A$821,0)),"")</f>
        <v>11.868446139180241</v>
      </c>
      <c r="R93" s="225">
        <f t="shared" si="11"/>
        <v>0.5414802669208767</v>
      </c>
      <c r="S93" s="226">
        <f>'WetLitterbags placem_collection'!E94</f>
        <v>42767</v>
      </c>
      <c r="T93" s="226">
        <f>IF('WetLitterbags placem_collection'!G94="","",'WetLitterbags placem_collection'!G94)</f>
        <v>42819</v>
      </c>
      <c r="U93" s="227">
        <f t="shared" si="8"/>
        <v>52</v>
      </c>
      <c r="V93" s="225">
        <f t="shared" si="9"/>
        <v>1.2247999999999999</v>
      </c>
      <c r="W93" s="225">
        <f t="shared" si="10"/>
        <v>1.1962921627501042</v>
      </c>
      <c r="X93">
        <f>IFERROR(INDEX(Rainfall_Wet!$O$2:$O$217,MATCH(B93, Rainfall_Wet!$A$2:$A$217,0)),"")</f>
        <v>194.93009798400001</v>
      </c>
      <c r="Y93" s="231">
        <v>28.145762029394</v>
      </c>
      <c r="Z93" s="231">
        <v>25.085564727199518</v>
      </c>
      <c r="AA93" s="231">
        <v>46.768673243406489</v>
      </c>
      <c r="AB93" s="232" t="s">
        <v>2670</v>
      </c>
      <c r="AC93" s="231">
        <v>5.1716214884179399</v>
      </c>
      <c r="AD93">
        <f>IF('WetLitterbags placem_collection'!AB94="","",'WetLitterbags placem_collection'!AB94)</f>
        <v>7.7</v>
      </c>
      <c r="AE93">
        <f>IF('WetLitterbags placem_collection'!Z94="","",'WetLitterbags placem_collection'!Z94)</f>
        <v>24.8</v>
      </c>
      <c r="AF93" s="246" t="str">
        <f>IF('WetLitterbags placem_collection'!AA94="","",'WetLitterbags placem_collection'!AA94)</f>
        <v>O</v>
      </c>
      <c r="AG93">
        <f>IF('WetLitterbags placem_collection'!AC94="","",'WetLitterbags placem_collection'!AC94)</f>
        <v>1</v>
      </c>
      <c r="AH93" s="24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placem_collection'!V94)),"YES","NO")</f>
        <v>YES</v>
      </c>
      <c r="AM93" t="str">
        <f>IF(ISNUMBER(SEARCH("H", 'WetLitterbags placem_collection'!V94)),"YES","NO")</f>
        <v>YES</v>
      </c>
      <c r="AN93" t="str">
        <f>IF(ISNUMBER(SEARCH("R", 'WetLitterbags placem_collection'!V94)),"YES","NO")</f>
        <v>NO</v>
      </c>
    </row>
    <row r="94" spans="1:40">
      <c r="A94" s="258" t="s">
        <v>2460</v>
      </c>
      <c r="B94" s="263">
        <f>'Dry_Litterbag Placem_Collection'!A95</f>
        <v>93</v>
      </c>
      <c r="C94" s="263" t="str">
        <f>'Dry_Litterbag Placem_Collection'!B95</f>
        <v>Maswa</v>
      </c>
      <c r="D94" s="263" t="s">
        <v>2659</v>
      </c>
      <c r="E94" s="263" t="s">
        <v>2661</v>
      </c>
      <c r="F94" s="263">
        <v>4</v>
      </c>
      <c r="G94" s="264" t="str">
        <f>'Dry_Litterbag Placem_Collection'!C95</f>
        <v>Dry_W4_T5</v>
      </c>
      <c r="H94" s="265" t="s">
        <v>2541</v>
      </c>
      <c r="I94" s="266" t="s">
        <v>1147</v>
      </c>
      <c r="J94" s="223" t="str">
        <f>'WetLitterbags placem_collection'!K95</f>
        <v>G636</v>
      </c>
      <c r="K94" s="225">
        <f>IFERROR(INDEX('Green_rooibos initial weight'!$C$5:$C$1749,MATCH(J94, 'Green_rooibos initial weight'!$A$5:$A$1749,0)),"")</f>
        <v>2.133</v>
      </c>
      <c r="L94" s="225">
        <f>IFERROR(K94-(TBIcalc!$H$9+TBIcalc!$H$10),"")</f>
        <v>1.8832</v>
      </c>
      <c r="M94" s="391">
        <f>AVERAGE(Ashed_controlls!$K$2:$K$11)</f>
        <v>5.5147656768714146</v>
      </c>
      <c r="N94" s="225">
        <f t="shared" si="7"/>
        <v>1.7793459327731576</v>
      </c>
      <c r="O94" s="225">
        <f>IF(IFERROR(INDEX('Both teabags AfterWet'!$C$3:$C$841,MATCH(J94,'Both teabags AfterWet'!$A$3:$A$841,0)),"")="","",(IFERROR(INDEX('Both teabags AfterWet'!$C$3:$C$841,MATCH(J94,'Both teabags AfterWet'!$A$3:$A$841,0)),"")))</f>
        <v>0.79630000000000001</v>
      </c>
      <c r="P94" s="225">
        <f>IFERROR(IF(O94&gt;0,O94-(TBIcalc!$H$9),""),"")</f>
        <v>0.64569999999999994</v>
      </c>
      <c r="Q94" s="225">
        <f>IFERROR(INDEX('Ashed teabags wet'!$K$2:$K$821,MATCH(J94,'Ashed teabags wet'!$A$2:$A$821,0)),"")</f>
        <v>13.477619281849297</v>
      </c>
      <c r="R94" s="225">
        <f t="shared" si="11"/>
        <v>0.55867501229709904</v>
      </c>
      <c r="S94" s="226">
        <f>'WetLitterbags placem_collection'!E95</f>
        <v>42767</v>
      </c>
      <c r="T94" s="226">
        <f>IF('WetLitterbags placem_collection'!G95="","",'WetLitterbags placem_collection'!G95)</f>
        <v>42819</v>
      </c>
      <c r="U94" s="227">
        <f t="shared" si="8"/>
        <v>52</v>
      </c>
      <c r="V94" s="225">
        <f t="shared" si="9"/>
        <v>1.2375</v>
      </c>
      <c r="W94" s="225">
        <f t="shared" si="10"/>
        <v>1.2206709204760586</v>
      </c>
      <c r="X94">
        <f>IFERROR(INDEX(Rainfall_Wet!$O$2:$O$217,MATCH(B94, Rainfall_Wet!$A$2:$A$217,0)),"")</f>
        <v>194.93009798400001</v>
      </c>
      <c r="Y94" s="231">
        <v>28.145762029394</v>
      </c>
      <c r="Z94" s="231">
        <v>25.085564727199518</v>
      </c>
      <c r="AA94" s="231">
        <v>46.768673243406489</v>
      </c>
      <c r="AB94" s="232" t="s">
        <v>2670</v>
      </c>
      <c r="AC94" s="231">
        <v>6.1716214884179399</v>
      </c>
      <c r="AD94">
        <f>IF('WetLitterbags placem_collection'!AB95="","",'WetLitterbags placem_collection'!AB95)</f>
        <v>6.6</v>
      </c>
      <c r="AE94">
        <f>IF('WetLitterbags placem_collection'!Z95="","",'WetLitterbags placem_collection'!Z95)</f>
        <v>40</v>
      </c>
      <c r="AF94" s="246" t="str">
        <f>IF('WetLitterbags placem_collection'!AA95="","",'WetLitterbags placem_collection'!AA95)</f>
        <v>O</v>
      </c>
      <c r="AG94">
        <f>IF('WetLitterbags placem_collection'!AC95="","",'WetLitterbags placem_collection'!AC95)</f>
        <v>1</v>
      </c>
      <c r="AH94" s="24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placem_collection'!V95)),"YES","NO")</f>
        <v>NO</v>
      </c>
      <c r="AM94" t="str">
        <f>IF(ISNUMBER(SEARCH("H", 'WetLitterbags placem_collection'!V95)),"YES","NO")</f>
        <v>NO</v>
      </c>
      <c r="AN94" t="str">
        <f>IF(ISNUMBER(SEARCH("R", 'WetLitterbags placem_collection'!V95)),"YES","NO")</f>
        <v>YES</v>
      </c>
    </row>
    <row r="95" spans="1:40">
      <c r="A95" s="258" t="s">
        <v>2460</v>
      </c>
      <c r="B95" s="263">
        <f>'Dry_Litterbag Placem_Collection'!A96</f>
        <v>94</v>
      </c>
      <c r="C95" s="263" t="str">
        <f>'Dry_Litterbag Placem_Collection'!B96</f>
        <v>Maswa</v>
      </c>
      <c r="D95" s="263" t="s">
        <v>2659</v>
      </c>
      <c r="E95" s="263" t="s">
        <v>2661</v>
      </c>
      <c r="F95" s="263">
        <v>4</v>
      </c>
      <c r="G95" s="264" t="str">
        <f>'Dry_Litterbag Placem_Collection'!C96</f>
        <v>Dry_W4_T6</v>
      </c>
      <c r="H95" s="265" t="s">
        <v>2541</v>
      </c>
      <c r="I95" s="266" t="s">
        <v>1147</v>
      </c>
      <c r="J95" s="223" t="str">
        <f>'WetLitterbags placem_collection'!K96</f>
        <v>G534</v>
      </c>
      <c r="K95" s="225">
        <f>IFERROR(INDEX('Green_rooibos initial weight'!$C$5:$C$1749,MATCH(J95, 'Green_rooibos initial weight'!$A$5:$A$1749,0)),"")</f>
        <v>2.169</v>
      </c>
      <c r="L95" s="225">
        <f>IFERROR(K95-(TBIcalc!$H$9+TBIcalc!$H$10),"")</f>
        <v>1.9192</v>
      </c>
      <c r="M95" s="391">
        <f>AVERAGE(Ashed_controlls!$K$2:$K$11)</f>
        <v>5.5147656768714146</v>
      </c>
      <c r="N95" s="225">
        <f t="shared" si="7"/>
        <v>1.8133606171294838</v>
      </c>
      <c r="O95" s="225" t="str">
        <f>IF(IFERROR(INDEX('Both teabags AfterWet'!$C$3:$C$841,MATCH(J95,'Both teabags AfterWet'!$A$3:$A$841,0)),"")="","",(IFERROR(INDEX('Both teabags AfterWet'!$C$3:$C$841,MATCH(J95,'Both teabags AfterWet'!$A$3:$A$841,0)),"")))</f>
        <v/>
      </c>
      <c r="P95" s="225" t="str">
        <f>IFERROR(IF(O95&gt;0,O95-(TBIcalc!$H$9),""),"")</f>
        <v/>
      </c>
      <c r="Q95" s="225" t="str">
        <f>IFERROR(INDEX('Ashed teabags wet'!$K$2:$K$821,MATCH(J95,'Ashed teabags wet'!$A$2:$A$821,0)),"")</f>
        <v/>
      </c>
      <c r="R95" s="225" t="str">
        <f t="shared" si="11"/>
        <v/>
      </c>
      <c r="S95" s="226">
        <f>'WetLitterbags placem_collection'!E96</f>
        <v>42767</v>
      </c>
      <c r="T95" s="226" t="str">
        <f>IF('WetLitterbags placem_collection'!G96="","",'WetLitterbags placem_collection'!G96)</f>
        <v/>
      </c>
      <c r="U95" s="227" t="str">
        <f t="shared" si="8"/>
        <v/>
      </c>
      <c r="V95" s="225" t="str">
        <f t="shared" si="9"/>
        <v/>
      </c>
      <c r="W95" s="225" t="str">
        <f t="shared" si="10"/>
        <v/>
      </c>
      <c r="X95" t="str">
        <f>IFERROR(INDEX(Rainfall_Wet!$O$2:$O$217,MATCH(B95, Rainfall_Wet!$A$2:$A$217,0)),"")</f>
        <v/>
      </c>
      <c r="Y95" s="231">
        <v>28.145762029394</v>
      </c>
      <c r="Z95" s="231">
        <v>25.085564727199518</v>
      </c>
      <c r="AA95" s="231">
        <v>46.768673243406489</v>
      </c>
      <c r="AB95" s="232" t="s">
        <v>2670</v>
      </c>
      <c r="AC95" s="231">
        <v>7.1716214884179399</v>
      </c>
      <c r="AD95" t="str">
        <f>IF('WetLitterbags placem_collection'!AB96="","",'WetLitterbags placem_collection'!AB96)</f>
        <v/>
      </c>
      <c r="AE95" t="str">
        <f>IF('WetLitterbags placem_collection'!Z96="","",'WetLitterbags placem_collection'!Z96)</f>
        <v/>
      </c>
      <c r="AF95" s="246" t="str">
        <f>IF('WetLitterbags placem_collection'!AA96="","",'WetLitterbags placem_collection'!AA96)</f>
        <v/>
      </c>
      <c r="AG95" t="str">
        <f>IF('WetLitterbags placem_collection'!AC96="","",'WetLitterbags placem_collection'!AC96)</f>
        <v/>
      </c>
      <c r="AH95" s="24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placem_collection'!V96)),"YES","NO")</f>
        <v>NO</v>
      </c>
      <c r="AM95" t="str">
        <f>IF(ISNUMBER(SEARCH("H", 'WetLitterbags placem_collection'!V96)),"YES","NO")</f>
        <v>NO</v>
      </c>
      <c r="AN95" t="str">
        <f>IF(ISNUMBER(SEARCH("R", 'WetLitterbags placem_collection'!V96)),"YES","NO")</f>
        <v>NO</v>
      </c>
    </row>
    <row r="96" spans="1:40" ht="15" customHeight="1">
      <c r="A96" s="258" t="s">
        <v>2460</v>
      </c>
      <c r="B96" s="263">
        <f>'Dry_Litterbag Placem_Collection'!A97</f>
        <v>95</v>
      </c>
      <c r="C96" s="263" t="str">
        <f>'Dry_Litterbag Placem_Collection'!B97</f>
        <v>Maswa</v>
      </c>
      <c r="D96" s="263" t="s">
        <v>2659</v>
      </c>
      <c r="E96" s="263" t="s">
        <v>2661</v>
      </c>
      <c r="F96" s="263">
        <v>4</v>
      </c>
      <c r="G96" s="264" t="str">
        <f>'Dry_Litterbag Placem_Collection'!C97</f>
        <v>Dry_W4_T7</v>
      </c>
      <c r="H96" s="265" t="s">
        <v>2541</v>
      </c>
      <c r="I96" s="266" t="s">
        <v>1147</v>
      </c>
      <c r="J96" s="223" t="str">
        <f>'WetLitterbags placem_collection'!K97</f>
        <v>G641</v>
      </c>
      <c r="K96" s="225">
        <f>IFERROR(INDEX('Green_rooibos initial weight'!$C$5:$C$1749,MATCH(J96, 'Green_rooibos initial weight'!$A$5:$A$1749,0)),"")</f>
        <v>2.14</v>
      </c>
      <c r="L96" s="225">
        <f>IFERROR(K96-(TBIcalc!$H$9+TBIcalc!$H$10),"")</f>
        <v>1.8902000000000001</v>
      </c>
      <c r="M96" s="391">
        <f>AVERAGE(Ashed_controlls!$K$2:$K$11)</f>
        <v>5.5147656768714146</v>
      </c>
      <c r="N96" s="225">
        <f t="shared" si="7"/>
        <v>1.7859598991757766</v>
      </c>
      <c r="O96" s="225">
        <f>IF(IFERROR(INDEX('Both teabags AfterWet'!$C$3:$C$841,MATCH(J96,'Both teabags AfterWet'!$A$3:$A$841,0)),"")="","",(IFERROR(INDEX('Both teabags AfterWet'!$C$3:$C$841,MATCH(J96,'Both teabags AfterWet'!$A$3:$A$841,0)),"")))</f>
        <v>1.254</v>
      </c>
      <c r="P96" s="225">
        <f>IFERROR(IF(O96&gt;0,O96-(TBIcalc!$H$9),""),"")</f>
        <v>1.1033999999999999</v>
      </c>
      <c r="Q96" s="225">
        <f>IFERROR(INDEX('Ashed teabags wet'!$K$2:$K$821,MATCH(J96,'Ashed teabags wet'!$A$2:$A$821,0)),"")</f>
        <v>33.235294117646788</v>
      </c>
      <c r="R96" s="225">
        <f t="shared" si="11"/>
        <v>0.73668176470588531</v>
      </c>
      <c r="S96" s="226">
        <f>'WetLitterbags placem_collection'!E97</f>
        <v>42767</v>
      </c>
      <c r="T96" s="226">
        <f>IF('WetLitterbags placem_collection'!G97="","",'WetLitterbags placem_collection'!G97)</f>
        <v>42819</v>
      </c>
      <c r="U96" s="227">
        <f t="shared" si="8"/>
        <v>52</v>
      </c>
      <c r="V96" s="225">
        <f t="shared" si="9"/>
        <v>0.78680000000000017</v>
      </c>
      <c r="W96" s="225">
        <f t="shared" si="10"/>
        <v>1.0492781344698914</v>
      </c>
      <c r="X96">
        <f>IFERROR(INDEX(Rainfall_Wet!$O$2:$O$217,MATCH(B96, Rainfall_Wet!$A$2:$A$217,0)),"")</f>
        <v>194.93009798400001</v>
      </c>
      <c r="Y96" s="231">
        <v>28.145762029394</v>
      </c>
      <c r="Z96" s="231">
        <v>25.085564727199518</v>
      </c>
      <c r="AA96" s="231">
        <v>46.768673243406489</v>
      </c>
      <c r="AB96" s="232" t="s">
        <v>2670</v>
      </c>
      <c r="AC96" s="231">
        <v>8.1716214884179408</v>
      </c>
      <c r="AD96">
        <f>IF('WetLitterbags placem_collection'!AB97="","",'WetLitterbags placem_collection'!AB97)</f>
        <v>5.4</v>
      </c>
      <c r="AE96">
        <f>IF('WetLitterbags placem_collection'!Z97="","",'WetLitterbags placem_collection'!Z97)</f>
        <v>15.2</v>
      </c>
      <c r="AF96" s="246" t="str">
        <f>IF('WetLitterbags placem_collection'!AA97="","",'WetLitterbags placem_collection'!AA97)</f>
        <v>O</v>
      </c>
      <c r="AG96">
        <f>IF('WetLitterbags placem_collection'!AC97="","",'WetLitterbags placem_collection'!AC97)</f>
        <v>0</v>
      </c>
      <c r="AH96" s="24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placem_collection'!V97)),"YES","NO")</f>
        <v>YES</v>
      </c>
      <c r="AM96" t="str">
        <f>IF(ISNUMBER(SEARCH("H", 'WetLitterbags placem_collection'!V97)),"YES","NO")</f>
        <v>YES</v>
      </c>
      <c r="AN96" t="str">
        <f>IF(ISNUMBER(SEARCH("R", 'WetLitterbags placem_collection'!V97)),"YES","NO")</f>
        <v>YES</v>
      </c>
    </row>
    <row r="97" spans="1:40" ht="15" customHeight="1">
      <c r="A97" s="258" t="s">
        <v>2460</v>
      </c>
      <c r="B97" s="263">
        <f>'Dry_Litterbag Placem_Collection'!A98</f>
        <v>96</v>
      </c>
      <c r="C97" s="263" t="str">
        <f>'Dry_Litterbag Placem_Collection'!B98</f>
        <v>Maswa</v>
      </c>
      <c r="D97" s="263" t="s">
        <v>2659</v>
      </c>
      <c r="E97" s="263" t="s">
        <v>2661</v>
      </c>
      <c r="F97" s="263">
        <v>4</v>
      </c>
      <c r="G97" s="264" t="str">
        <f>'Dry_Litterbag Placem_Collection'!C98</f>
        <v>Dry_W4_T8</v>
      </c>
      <c r="H97" s="265" t="s">
        <v>2541</v>
      </c>
      <c r="I97" s="266" t="s">
        <v>1147</v>
      </c>
      <c r="J97" s="223" t="str">
        <f>'WetLitterbags placem_collection'!K98</f>
        <v>G479</v>
      </c>
      <c r="K97" s="225">
        <f>IFERROR(INDEX('Green_rooibos initial weight'!$C$5:$C$1749,MATCH(J97, 'Green_rooibos initial weight'!$A$5:$A$1749,0)),"")</f>
        <v>1.982</v>
      </c>
      <c r="L97" s="225">
        <f>IFERROR(K97-(TBIcalc!$H$9+TBIcalc!$H$10),"")</f>
        <v>1.7322</v>
      </c>
      <c r="M97" s="391">
        <f>AVERAGE(Ashed_controlls!$K$2:$K$11)</f>
        <v>5.5147656768714146</v>
      </c>
      <c r="N97" s="225">
        <f t="shared" si="7"/>
        <v>1.6366732289452333</v>
      </c>
      <c r="O97" s="225">
        <f>IF(IFERROR(INDEX('Both teabags AfterWet'!$C$3:$C$841,MATCH(J97,'Both teabags AfterWet'!$A$3:$A$841,0)),"")="","",(IFERROR(INDEX('Both teabags AfterWet'!$C$3:$C$841,MATCH(J97,'Both teabags AfterWet'!$A$3:$A$841,0)),"")))</f>
        <v>0.90410000000000001</v>
      </c>
      <c r="P97" s="225">
        <f>IFERROR(IF(O97&gt;0,O97-(TBIcalc!$H$9),""),"")</f>
        <v>0.75350000000000006</v>
      </c>
      <c r="Q97" s="225">
        <f>IFERROR(INDEX('Ashed teabags wet'!$K$2:$K$821,MATCH(J97,'Ashed teabags wet'!$A$2:$A$821,0)),"")</f>
        <v>16.839506172838583</v>
      </c>
      <c r="R97" s="225">
        <f t="shared" si="11"/>
        <v>0.62661432098766134</v>
      </c>
      <c r="S97" s="226">
        <f>'WetLitterbags placem_collection'!E98</f>
        <v>42767</v>
      </c>
      <c r="T97" s="226">
        <f>IF('WetLitterbags placem_collection'!G98="","",'WetLitterbags placem_collection'!G98)</f>
        <v>42819</v>
      </c>
      <c r="U97" s="227">
        <f t="shared" si="8"/>
        <v>52</v>
      </c>
      <c r="V97" s="225">
        <f t="shared" si="9"/>
        <v>0.9786999999999999</v>
      </c>
      <c r="W97" s="225">
        <f t="shared" si="10"/>
        <v>1.0100589079575719</v>
      </c>
      <c r="X97">
        <f>IFERROR(INDEX(Rainfall_Wet!$O$2:$O$217,MATCH(B97, Rainfall_Wet!$A$2:$A$217,0)),"")</f>
        <v>194.93009798400001</v>
      </c>
      <c r="Y97" s="231">
        <v>28.145762029394</v>
      </c>
      <c r="Z97" s="231">
        <v>25.085564727199518</v>
      </c>
      <c r="AA97" s="231">
        <v>46.768673243406489</v>
      </c>
      <c r="AB97" s="232" t="s">
        <v>2670</v>
      </c>
      <c r="AC97" s="231">
        <v>9.1716214884179408</v>
      </c>
      <c r="AD97">
        <f>IF('WetLitterbags placem_collection'!AB98="","",'WetLitterbags placem_collection'!AB98)</f>
        <v>4</v>
      </c>
      <c r="AE97">
        <f>IF('WetLitterbags placem_collection'!Z98="","",'WetLitterbags placem_collection'!Z98)</f>
        <v>34.4</v>
      </c>
      <c r="AF97" s="246" t="str">
        <f>IF('WetLitterbags placem_collection'!AA98="","",'WetLitterbags placem_collection'!AA98)</f>
        <v>O</v>
      </c>
      <c r="AG97">
        <f>IF('WetLitterbags placem_collection'!AC98="","",'WetLitterbags placem_collection'!AC98)</f>
        <v>0</v>
      </c>
      <c r="AH97" s="24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placem_collection'!V98)),"YES","NO")</f>
        <v>NO</v>
      </c>
      <c r="AM97" t="str">
        <f>IF(ISNUMBER(SEARCH("H", 'WetLitterbags placem_collection'!V98)),"YES","NO")</f>
        <v>NO</v>
      </c>
      <c r="AN97" t="str">
        <f>IF(ISNUMBER(SEARCH("R", 'WetLitterbags placem_collection'!V98)),"YES","NO")</f>
        <v>YES</v>
      </c>
    </row>
    <row r="98" spans="1:40" ht="15" customHeight="1">
      <c r="A98" s="258" t="s">
        <v>2460</v>
      </c>
      <c r="B98" s="263">
        <f>'Dry_Litterbag Placem_Collection'!A99</f>
        <v>97</v>
      </c>
      <c r="C98" s="263" t="str">
        <f>'Dry_Litterbag Placem_Collection'!B99</f>
        <v xml:space="preserve">Mwantimba
</v>
      </c>
      <c r="D98" s="263" t="s">
        <v>2460</v>
      </c>
      <c r="E98" s="263" t="s">
        <v>2660</v>
      </c>
      <c r="F98" s="263">
        <v>1</v>
      </c>
      <c r="G98" s="264" t="str">
        <f>'Dry_Litterbag Placem_Collection'!C99</f>
        <v>Wet_Ag1_T1</v>
      </c>
      <c r="H98" s="265" t="s">
        <v>2541</v>
      </c>
      <c r="I98" s="266" t="s">
        <v>1147</v>
      </c>
      <c r="J98" s="223" t="str">
        <f>'WetLitterbags placem_collection'!K99</f>
        <v>G741</v>
      </c>
      <c r="K98" s="225">
        <f>IFERROR(INDEX('Green_rooibos initial weight'!$C$5:$C$1749,MATCH(J98, 'Green_rooibos initial weight'!$A$5:$A$1749,0)),"")</f>
        <v>2.1019999999999999</v>
      </c>
      <c r="L98" s="225">
        <f>IFERROR(K98-(TBIcalc!$H$9+TBIcalc!$H$10),"")</f>
        <v>1.8521999999999998</v>
      </c>
      <c r="M98" s="391">
        <f>AVERAGE(Ashed_controlls!$K$2:$K$11)</f>
        <v>5.5147656768714146</v>
      </c>
      <c r="N98" s="225">
        <f t="shared" si="7"/>
        <v>1.7500555101329875</v>
      </c>
      <c r="O98" s="225">
        <f>IF(IFERROR(INDEX('Both teabags AfterWet'!$C$3:$C$841,MATCH(J98,'Both teabags AfterWet'!$A$3:$A$841,0)),"")="","",(IFERROR(INDEX('Both teabags AfterWet'!$C$3:$C$841,MATCH(J98,'Both teabags AfterWet'!$A$3:$A$841,0)),"")))</f>
        <v>0.60680000000000001</v>
      </c>
      <c r="P98" s="225">
        <f>IFERROR(IF(O98&gt;0,O98-(TBIcalc!$H$9),""),"")</f>
        <v>0.45619999999999999</v>
      </c>
      <c r="Q98" s="225">
        <f>IFERROR(INDEX('Ashed teabags wet'!$K$2:$K$821,MATCH(J98,'Ashed teabags wet'!$A$2:$A$821,0)),"")</f>
        <v>20.517928286852939</v>
      </c>
      <c r="R98" s="225">
        <f t="shared" si="11"/>
        <v>0.36259721115537691</v>
      </c>
      <c r="S98" s="226">
        <f>'WetLitterbags placem_collection'!E99</f>
        <v>42762</v>
      </c>
      <c r="T98" s="226">
        <f>IF('WetLitterbags placem_collection'!G99="","",'WetLitterbags placem_collection'!G99)</f>
        <v>42816</v>
      </c>
      <c r="U98" s="227">
        <f t="shared" si="8"/>
        <v>54</v>
      </c>
      <c r="V98" s="225">
        <f t="shared" si="9"/>
        <v>1.3959999999999999</v>
      </c>
      <c r="W98" s="225">
        <f t="shared" si="10"/>
        <v>1.3874582989776107</v>
      </c>
      <c r="X98">
        <f>IFERROR(INDEX(Rainfall_Wet!$O$2:$O$217,MATCH(B98, Rainfall_Wet!$A$2:$A$217,0)),"")</f>
        <v>206.85140822299999</v>
      </c>
      <c r="Y98" s="231">
        <v>45.96</v>
      </c>
      <c r="Z98" s="231">
        <v>14.920000000000003</v>
      </c>
      <c r="AA98" s="231">
        <v>39.119999999999997</v>
      </c>
      <c r="AB98" s="232" t="s">
        <v>2673</v>
      </c>
      <c r="AC98" s="231">
        <v>2.0374568753080333</v>
      </c>
      <c r="AD98">
        <f>IF('WetLitterbags placem_collection'!AB99="","",'WetLitterbags placem_collection'!AB99)</f>
        <v>2.4</v>
      </c>
      <c r="AE98">
        <f>IF('WetLitterbags placem_collection'!Z99="","",'WetLitterbags placem_collection'!Z99)</f>
        <v>8.9</v>
      </c>
      <c r="AF98" s="246" t="str">
        <f>IF('WetLitterbags placem_collection'!AA99="","",'WetLitterbags placem_collection'!AA99)</f>
        <v>G</v>
      </c>
      <c r="AG98">
        <f>IF('WetLitterbags placem_collection'!AC99="","",'WetLitterbags placem_collection'!AC99)</f>
        <v>1</v>
      </c>
      <c r="AH98" s="24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placem_collection'!V99)),"YES","NO")</f>
        <v>NO</v>
      </c>
      <c r="AM98" t="str">
        <f>IF(ISNUMBER(SEARCH("H", 'WetLitterbags placem_collection'!V99)),"YES","NO")</f>
        <v>NO</v>
      </c>
      <c r="AN98" t="str">
        <f>IF(ISNUMBER(SEARCH("R", 'WetLitterbags placem_collection'!V99)),"YES","NO")</f>
        <v>NO</v>
      </c>
    </row>
    <row r="99" spans="1:40" ht="15" customHeight="1">
      <c r="A99" s="258" t="s">
        <v>2460</v>
      </c>
      <c r="B99" s="263">
        <f>'Dry_Litterbag Placem_Collection'!A100</f>
        <v>98</v>
      </c>
      <c r="C99" s="263" t="str">
        <f>'Dry_Litterbag Placem_Collection'!B100</f>
        <v xml:space="preserve">Mwantimba
</v>
      </c>
      <c r="D99" s="263" t="s">
        <v>2460</v>
      </c>
      <c r="E99" s="263" t="s">
        <v>2660</v>
      </c>
      <c r="F99" s="263">
        <v>1</v>
      </c>
      <c r="G99" s="264" t="str">
        <f>'Dry_Litterbag Placem_Collection'!C100</f>
        <v>Wet_Ag1_T2</v>
      </c>
      <c r="H99" s="265" t="s">
        <v>2541</v>
      </c>
      <c r="I99" s="266" t="s">
        <v>1147</v>
      </c>
      <c r="J99" s="223" t="str">
        <f>'WetLitterbags placem_collection'!K100</f>
        <v>G610</v>
      </c>
      <c r="K99" s="225">
        <f>IFERROR(INDEX('Green_rooibos initial weight'!$C$5:$C$1749,MATCH(J99, 'Green_rooibos initial weight'!$A$5:$A$1749,0)),"")</f>
        <v>2.0379999999999998</v>
      </c>
      <c r="L99" s="225">
        <f>IFERROR(K99-(TBIcalc!$H$9+TBIcalc!$H$10),"")</f>
        <v>1.7881999999999998</v>
      </c>
      <c r="M99" s="391">
        <f>AVERAGE(Ashed_controlls!$K$2:$K$11)</f>
        <v>5.5147656768714146</v>
      </c>
      <c r="N99" s="225">
        <f t="shared" si="7"/>
        <v>1.6895849601661852</v>
      </c>
      <c r="O99" s="225">
        <f>IF(IFERROR(INDEX('Both teabags AfterWet'!$C$3:$C$841,MATCH(J99,'Both teabags AfterWet'!$A$3:$A$841,0)),"")="","",(IFERROR(INDEX('Both teabags AfterWet'!$C$3:$C$841,MATCH(J99,'Both teabags AfterWet'!$A$3:$A$841,0)),"")))</f>
        <v>0.56599999999999995</v>
      </c>
      <c r="P99" s="225">
        <f>IFERROR(IF(O99&gt;0,O99-(TBIcalc!$H$9),""),"")</f>
        <v>0.41539999999999994</v>
      </c>
      <c r="Q99" s="225">
        <f>IFERROR(INDEX('Ashed teabags wet'!$K$2:$K$821,MATCH(J99,'Ashed teabags wet'!$A$2:$A$821,0)),"")</f>
        <v>14.682539682539385</v>
      </c>
      <c r="R99" s="225">
        <f t="shared" si="11"/>
        <v>0.35440873015873131</v>
      </c>
      <c r="S99" s="226">
        <f>'WetLitterbags placem_collection'!E100</f>
        <v>42762</v>
      </c>
      <c r="T99" s="226">
        <f>IF('WetLitterbags placem_collection'!G100="","",'WetLitterbags placem_collection'!G100)</f>
        <v>42816</v>
      </c>
      <c r="U99" s="227">
        <f t="shared" si="8"/>
        <v>54</v>
      </c>
      <c r="V99" s="225">
        <f t="shared" si="9"/>
        <v>1.3727999999999998</v>
      </c>
      <c r="W99" s="225">
        <f t="shared" si="10"/>
        <v>1.3351762300074539</v>
      </c>
      <c r="X99">
        <f>IFERROR(INDEX(Rainfall_Wet!$O$2:$O$217,MATCH(B99, Rainfall_Wet!$A$2:$A$217,0)),"")</f>
        <v>206.85140822299999</v>
      </c>
      <c r="Y99" s="231">
        <v>45.96</v>
      </c>
      <c r="Z99" s="231">
        <v>14.920000000000003</v>
      </c>
      <c r="AA99" s="231">
        <v>39.119999999999997</v>
      </c>
      <c r="AB99" s="232" t="s">
        <v>2673</v>
      </c>
      <c r="AC99" s="231">
        <v>3.0374568753080302</v>
      </c>
      <c r="AD99">
        <f>IF('WetLitterbags placem_collection'!AB100="","",'WetLitterbags placem_collection'!AB100)</f>
        <v>7.8</v>
      </c>
      <c r="AE99">
        <f>IF('WetLitterbags placem_collection'!Z100="","",'WetLitterbags placem_collection'!Z100)</f>
        <v>4.45</v>
      </c>
      <c r="AF99" s="246" t="str">
        <f>IF('WetLitterbags placem_collection'!AA100="","",'WetLitterbags placem_collection'!AA100)</f>
        <v>G</v>
      </c>
      <c r="AG99">
        <f>IF('WetLitterbags placem_collection'!AC100="","",'WetLitterbags placem_collection'!AC100)</f>
        <v>1</v>
      </c>
      <c r="AH99" s="24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placem_collection'!V100)),"YES","NO")</f>
        <v>NO</v>
      </c>
      <c r="AM99" t="str">
        <f>IF(ISNUMBER(SEARCH("H", 'WetLitterbags placem_collection'!V100)),"YES","NO")</f>
        <v>NO</v>
      </c>
      <c r="AN99" t="str">
        <f>IF(ISNUMBER(SEARCH("R", 'WetLitterbags placem_collection'!V100)),"YES","NO")</f>
        <v>NO</v>
      </c>
    </row>
    <row r="100" spans="1:40" ht="15" customHeight="1">
      <c r="A100" s="258" t="s">
        <v>2460</v>
      </c>
      <c r="B100" s="263">
        <f>'Dry_Litterbag Placem_Collection'!A101</f>
        <v>99</v>
      </c>
      <c r="C100" s="263" t="str">
        <f>'Dry_Litterbag Placem_Collection'!B101</f>
        <v xml:space="preserve">Mwantimba
</v>
      </c>
      <c r="D100" s="263" t="s">
        <v>2460</v>
      </c>
      <c r="E100" s="263" t="s">
        <v>2660</v>
      </c>
      <c r="F100" s="263">
        <v>1</v>
      </c>
      <c r="G100" s="264" t="str">
        <f>'Dry_Litterbag Placem_Collection'!C101</f>
        <v>Wet_Ag1_T3</v>
      </c>
      <c r="H100" s="265" t="s">
        <v>2541</v>
      </c>
      <c r="I100" s="266" t="s">
        <v>1147</v>
      </c>
      <c r="J100" s="223" t="str">
        <f>'WetLitterbags placem_collection'!K101</f>
        <v>G765</v>
      </c>
      <c r="K100" s="225">
        <f>IFERROR(INDEX('Green_rooibos initial weight'!$C$5:$C$1749,MATCH(J100, 'Green_rooibos initial weight'!$A$5:$A$1749,0)),"")</f>
        <v>2.08</v>
      </c>
      <c r="L100" s="225">
        <f>IFERROR(K100-(TBIcalc!$H$9+TBIcalc!$H$10),"")</f>
        <v>1.8302</v>
      </c>
      <c r="M100" s="391">
        <f>AVERAGE(Ashed_controlls!$K$2:$K$11)</f>
        <v>5.5147656768714146</v>
      </c>
      <c r="N100" s="225">
        <f t="shared" si="7"/>
        <v>1.7292687585818993</v>
      </c>
      <c r="O100" s="225">
        <f>IF(IFERROR(INDEX('Both teabags AfterWet'!$C$3:$C$841,MATCH(J100,'Both teabags AfterWet'!$A$3:$A$841,0)),"")="","",(IFERROR(INDEX('Both teabags AfterWet'!$C$3:$C$841,MATCH(J100,'Both teabags AfterWet'!$A$3:$A$841,0)),"")))</f>
        <v>0.65149999999999997</v>
      </c>
      <c r="P100" s="225">
        <f>IFERROR(IF(O100&gt;0,O100-(TBIcalc!$H$9),""),"")</f>
        <v>0.5008999999999999</v>
      </c>
      <c r="Q100" s="225">
        <f>IFERROR(INDEX('Ashed teabags wet'!$K$2:$K$821,MATCH(J100,'Ashed teabags wet'!$A$2:$A$821,0)),"")</f>
        <v>16.733295259852824</v>
      </c>
      <c r="R100" s="225">
        <f t="shared" si="11"/>
        <v>0.41708292404339714</v>
      </c>
      <c r="S100" s="226">
        <f>'WetLitterbags placem_collection'!E101</f>
        <v>42762</v>
      </c>
      <c r="T100" s="226">
        <f>IF('WetLitterbags placem_collection'!G101="","",'WetLitterbags placem_collection'!G101)</f>
        <v>42816</v>
      </c>
      <c r="U100" s="227">
        <f t="shared" si="8"/>
        <v>54</v>
      </c>
      <c r="V100" s="225">
        <f t="shared" si="9"/>
        <v>1.3293000000000001</v>
      </c>
      <c r="W100" s="225">
        <f t="shared" si="10"/>
        <v>1.3121858345385022</v>
      </c>
      <c r="X100">
        <f>IFERROR(INDEX(Rainfall_Wet!$O$2:$O$217,MATCH(B100, Rainfall_Wet!$A$2:$A$217,0)),"")</f>
        <v>206.85140822299999</v>
      </c>
      <c r="Y100" s="231">
        <v>45.96</v>
      </c>
      <c r="Z100" s="231">
        <v>14.920000000000003</v>
      </c>
      <c r="AA100" s="231">
        <v>39.119999999999997</v>
      </c>
      <c r="AB100" s="232" t="s">
        <v>2673</v>
      </c>
      <c r="AC100" s="231">
        <v>4.0374568753080302</v>
      </c>
      <c r="AD100">
        <f>IF('WetLitterbags placem_collection'!AB101="","",'WetLitterbags placem_collection'!AB101)</f>
        <v>5.0999999999999996</v>
      </c>
      <c r="AE100">
        <f>IF('WetLitterbags placem_collection'!Z101="","",'WetLitterbags placem_collection'!Z101)</f>
        <v>2.2999999999999998</v>
      </c>
      <c r="AF100" s="246" t="str">
        <f>IF('WetLitterbags placem_collection'!AA101="","",'WetLitterbags placem_collection'!AA101)</f>
        <v>G</v>
      </c>
      <c r="AG100">
        <f>IF('WetLitterbags placem_collection'!AC101="","",'WetLitterbags placem_collection'!AC101)</f>
        <v>0</v>
      </c>
      <c r="AH100" s="24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placem_collection'!V101)),"YES","NO")</f>
        <v>NO</v>
      </c>
      <c r="AM100" t="str">
        <f>IF(ISNUMBER(SEARCH("H", 'WetLitterbags placem_collection'!V101)),"YES","NO")</f>
        <v>NO</v>
      </c>
      <c r="AN100" t="str">
        <f>IF(ISNUMBER(SEARCH("R", 'WetLitterbags placem_collection'!V101)),"YES","NO")</f>
        <v>YES</v>
      </c>
    </row>
    <row r="101" spans="1:40" ht="15" customHeight="1">
      <c r="A101" s="258" t="s">
        <v>2460</v>
      </c>
      <c r="B101" s="263">
        <f>'Dry_Litterbag Placem_Collection'!A102</f>
        <v>100</v>
      </c>
      <c r="C101" s="263" t="str">
        <f>'Dry_Litterbag Placem_Collection'!B102</f>
        <v xml:space="preserve">Mwantimba
</v>
      </c>
      <c r="D101" s="263" t="s">
        <v>2460</v>
      </c>
      <c r="E101" s="263" t="s">
        <v>2660</v>
      </c>
      <c r="F101" s="263">
        <v>1</v>
      </c>
      <c r="G101" s="264" t="str">
        <f>'Dry_Litterbag Placem_Collection'!C102</f>
        <v>Wet_Ag1_T4</v>
      </c>
      <c r="H101" s="265" t="s">
        <v>2541</v>
      </c>
      <c r="I101" s="266" t="s">
        <v>1147</v>
      </c>
      <c r="J101" s="223" t="str">
        <f>'WetLitterbags placem_collection'!K102</f>
        <v>G728</v>
      </c>
      <c r="K101" s="225">
        <f>IFERROR(INDEX('Green_rooibos initial weight'!$C$5:$C$1749,MATCH(J101, 'Green_rooibos initial weight'!$A$5:$A$1749,0)),"")</f>
        <v>1.962</v>
      </c>
      <c r="L101" s="225">
        <f>IFERROR(K101-(TBIcalc!$H$9+TBIcalc!$H$10),"")</f>
        <v>1.7121999999999999</v>
      </c>
      <c r="M101" s="391">
        <f>AVERAGE(Ashed_controlls!$K$2:$K$11)</f>
        <v>5.5147656768714146</v>
      </c>
      <c r="N101" s="225">
        <f t="shared" si="7"/>
        <v>1.6177761820806076</v>
      </c>
      <c r="O101" s="225">
        <f>IF(IFERROR(INDEX('Both teabags AfterWet'!$C$3:$C$841,MATCH(J101,'Both teabags AfterWet'!$A$3:$A$841,0)),"")="","",(IFERROR(INDEX('Both teabags AfterWet'!$C$3:$C$841,MATCH(J101,'Both teabags AfterWet'!$A$3:$A$841,0)),"")))</f>
        <v>0.59699999999999998</v>
      </c>
      <c r="P101" s="225">
        <f>IFERROR(IF(O101&gt;0,O101-(TBIcalc!$H$9),""),"")</f>
        <v>0.44639999999999996</v>
      </c>
      <c r="Q101" s="225">
        <f>IFERROR(INDEX('Ashed teabags wet'!$K$2:$K$821,MATCH(J101,'Ashed teabags wet'!$A$2:$A$821,0)),"")</f>
        <v>12.794117647059169</v>
      </c>
      <c r="R101" s="225">
        <f t="shared" si="11"/>
        <v>0.38928705882352782</v>
      </c>
      <c r="S101" s="226">
        <f>'WetLitterbags placem_collection'!E102</f>
        <v>42762</v>
      </c>
      <c r="T101" s="226">
        <f>IF('WetLitterbags placem_collection'!G102="","",'WetLitterbags placem_collection'!G102)</f>
        <v>42816</v>
      </c>
      <c r="U101" s="227">
        <f t="shared" si="8"/>
        <v>54</v>
      </c>
      <c r="V101" s="225">
        <f t="shared" si="9"/>
        <v>1.2658</v>
      </c>
      <c r="W101" s="225">
        <f t="shared" si="10"/>
        <v>1.2284891232570798</v>
      </c>
      <c r="X101">
        <f>IFERROR(INDEX(Rainfall_Wet!$O$2:$O$217,MATCH(B101, Rainfall_Wet!$A$2:$A$217,0)),"")</f>
        <v>206.85140822299999</v>
      </c>
      <c r="Y101" s="231">
        <v>45.96</v>
      </c>
      <c r="Z101" s="231">
        <v>14.920000000000003</v>
      </c>
      <c r="AA101" s="231">
        <v>39.119999999999997</v>
      </c>
      <c r="AB101" s="232" t="s">
        <v>2673</v>
      </c>
      <c r="AC101" s="231">
        <v>5.0374568753080302</v>
      </c>
      <c r="AD101">
        <f>IF('WetLitterbags placem_collection'!AB102="","",'WetLitterbags placem_collection'!AB102)</f>
        <v>1.6</v>
      </c>
      <c r="AE101">
        <f>IF('WetLitterbags placem_collection'!Z102="","",'WetLitterbags placem_collection'!Z102)</f>
        <v>15</v>
      </c>
      <c r="AF101" s="246" t="str">
        <f>IF('WetLitterbags placem_collection'!AA102="","",'WetLitterbags placem_collection'!AA102)</f>
        <v>G</v>
      </c>
      <c r="AG101">
        <f>IF('WetLitterbags placem_collection'!AC102="","",'WetLitterbags placem_collection'!AC102)</f>
        <v>1</v>
      </c>
      <c r="AH101" s="24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placem_collection'!V102)),"YES","NO")</f>
        <v>YES</v>
      </c>
      <c r="AM101" t="str">
        <f>IF(ISNUMBER(SEARCH("H", 'WetLitterbags placem_collection'!V102)),"YES","NO")</f>
        <v>NO</v>
      </c>
      <c r="AN101" t="str">
        <f>IF(ISNUMBER(SEARCH("R", 'WetLitterbags placem_collection'!V102)),"YES","NO")</f>
        <v>NO</v>
      </c>
    </row>
    <row r="102" spans="1:40" ht="15" customHeight="1">
      <c r="A102" s="258" t="s">
        <v>2460</v>
      </c>
      <c r="B102" s="263">
        <f>'Dry_Litterbag Placem_Collection'!A103</f>
        <v>101</v>
      </c>
      <c r="C102" s="263" t="str">
        <f>'Dry_Litterbag Placem_Collection'!B103</f>
        <v xml:space="preserve">Mwantimba
</v>
      </c>
      <c r="D102" s="263" t="s">
        <v>2460</v>
      </c>
      <c r="E102" s="263" t="s">
        <v>2660</v>
      </c>
      <c r="F102" s="263">
        <v>1</v>
      </c>
      <c r="G102" s="264" t="str">
        <f>'Dry_Litterbag Placem_Collection'!C103</f>
        <v>Wet_Ag1_T5</v>
      </c>
      <c r="H102" s="265" t="s">
        <v>2541</v>
      </c>
      <c r="I102" s="266" t="s">
        <v>1147</v>
      </c>
      <c r="J102" s="223" t="str">
        <f>'WetLitterbags placem_collection'!K103</f>
        <v>G808</v>
      </c>
      <c r="K102" s="225">
        <f>IFERROR(INDEX('Green_rooibos initial weight'!$C$5:$C$1749,MATCH(J102, 'Green_rooibos initial weight'!$A$5:$A$1749,0)),"")</f>
        <v>1.86</v>
      </c>
      <c r="L102" s="225">
        <f>IFERROR(K102-(TBIcalc!$H$9+TBIcalc!$H$10),"")</f>
        <v>1.6102000000000001</v>
      </c>
      <c r="M102" s="391">
        <f>AVERAGE(Ashed_controlls!$K$2:$K$11)</f>
        <v>5.5147656768714146</v>
      </c>
      <c r="N102" s="225">
        <f t="shared" si="7"/>
        <v>1.5214012430710167</v>
      </c>
      <c r="O102" s="225">
        <f>IF(IFERROR(INDEX('Both teabags AfterWet'!$C$3:$C$841,MATCH(J102,'Both teabags AfterWet'!$A$3:$A$841,0)),"")="","",(IFERROR(INDEX('Both teabags AfterWet'!$C$3:$C$841,MATCH(J102,'Both teabags AfterWet'!$A$3:$A$841,0)),"")))</f>
        <v>0.54810000000000003</v>
      </c>
      <c r="P102" s="225">
        <f>IFERROR(IF(O102&gt;0,O102-(TBIcalc!$H$9),""),"")</f>
        <v>0.39750000000000002</v>
      </c>
      <c r="Q102" s="225">
        <f>IFERROR(INDEX('Ashed teabags wet'!$K$2:$K$821,MATCH(J102,'Ashed teabags wet'!$A$2:$A$821,0)),"")</f>
        <v>16.81547619047533</v>
      </c>
      <c r="R102" s="225">
        <f t="shared" si="11"/>
        <v>0.33065848214286059</v>
      </c>
      <c r="S102" s="226">
        <f>'WetLitterbags placem_collection'!E103</f>
        <v>42762</v>
      </c>
      <c r="T102" s="226">
        <f>IF('WetLitterbags placem_collection'!G103="","",'WetLitterbags placem_collection'!G103)</f>
        <v>42816</v>
      </c>
      <c r="U102" s="227">
        <f t="shared" si="8"/>
        <v>54</v>
      </c>
      <c r="V102" s="225">
        <f t="shared" si="9"/>
        <v>1.2127000000000001</v>
      </c>
      <c r="W102" s="225">
        <f t="shared" si="10"/>
        <v>1.190742760928156</v>
      </c>
      <c r="X102">
        <f>IFERROR(INDEX(Rainfall_Wet!$O$2:$O$217,MATCH(B102, Rainfall_Wet!$A$2:$A$217,0)),"")</f>
        <v>206.85140822299999</v>
      </c>
      <c r="Y102" s="231">
        <v>45.96</v>
      </c>
      <c r="Z102" s="231">
        <v>14.920000000000003</v>
      </c>
      <c r="AA102" s="231">
        <v>39.119999999999997</v>
      </c>
      <c r="AB102" s="232" t="s">
        <v>2673</v>
      </c>
      <c r="AC102" s="231">
        <v>6.0374568753080302</v>
      </c>
      <c r="AD102">
        <f>IF('WetLitterbags placem_collection'!AB103="","",'WetLitterbags placem_collection'!AB103)</f>
        <v>4.3499999999999996</v>
      </c>
      <c r="AE102">
        <f>IF('WetLitterbags placem_collection'!Z103="","",'WetLitterbags placem_collection'!Z103)</f>
        <v>17</v>
      </c>
      <c r="AF102" s="246" t="str">
        <f>IF('WetLitterbags placem_collection'!AA103="","",'WetLitterbags placem_collection'!AA103)</f>
        <v>G</v>
      </c>
      <c r="AG102">
        <f>IF('WetLitterbags placem_collection'!AC103="","",'WetLitterbags placem_collection'!AC103)</f>
        <v>1</v>
      </c>
      <c r="AH102" s="24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placem_collection'!V103)),"YES","NO")</f>
        <v>NO</v>
      </c>
      <c r="AM102" t="str">
        <f>IF(ISNUMBER(SEARCH("H", 'WetLitterbags placem_collection'!V103)),"YES","NO")</f>
        <v>YES</v>
      </c>
      <c r="AN102" t="str">
        <f>IF(ISNUMBER(SEARCH("R", 'WetLitterbags placem_collection'!V103)),"YES","NO")</f>
        <v>NO</v>
      </c>
    </row>
    <row r="103" spans="1:40" ht="15" customHeight="1">
      <c r="A103" s="258" t="s">
        <v>2460</v>
      </c>
      <c r="B103" s="263">
        <f>'Dry_Litterbag Placem_Collection'!A104</f>
        <v>102</v>
      </c>
      <c r="C103" s="263" t="str">
        <f>'Dry_Litterbag Placem_Collection'!B104</f>
        <v xml:space="preserve">Mwantimba
</v>
      </c>
      <c r="D103" s="263" t="s">
        <v>2460</v>
      </c>
      <c r="E103" s="263" t="s">
        <v>2660</v>
      </c>
      <c r="F103" s="263">
        <v>1</v>
      </c>
      <c r="G103" s="264" t="str">
        <f>'Dry_Litterbag Placem_Collection'!C104</f>
        <v>Wet_Ag1_T6</v>
      </c>
      <c r="H103" s="265" t="s">
        <v>2541</v>
      </c>
      <c r="I103" s="266" t="s">
        <v>1147</v>
      </c>
      <c r="J103" s="223" t="str">
        <f>'WetLitterbags placem_collection'!K104</f>
        <v>G892</v>
      </c>
      <c r="K103" s="225">
        <f>IFERROR(INDEX('Green_rooibos initial weight'!$C$5:$C$1749,MATCH(J103, 'Green_rooibos initial weight'!$A$5:$A$1749,0)),"")</f>
        <v>1.9510000000000001</v>
      </c>
      <c r="L103" s="225">
        <f>IFERROR(K103-(TBIcalc!$H$9+TBIcalc!$H$10),"")</f>
        <v>1.7012</v>
      </c>
      <c r="M103" s="391">
        <f>AVERAGE(Ashed_controlls!$K$2:$K$11)</f>
        <v>5.5147656768714146</v>
      </c>
      <c r="N103" s="225">
        <f t="shared" si="7"/>
        <v>1.6073828063050635</v>
      </c>
      <c r="O103" s="225">
        <f>IF(IFERROR(INDEX('Both teabags AfterWet'!$C$3:$C$841,MATCH(J103,'Both teabags AfterWet'!$A$3:$A$841,0)),"")="","",(IFERROR(INDEX('Both teabags AfterWet'!$C$3:$C$841,MATCH(J103,'Both teabags AfterWet'!$A$3:$A$841,0)),"")))</f>
        <v>0.63100000000000001</v>
      </c>
      <c r="P103" s="225">
        <f>IFERROR(IF(O103&gt;0,O103-(TBIcalc!$H$9),""),"")</f>
        <v>0.48039999999999999</v>
      </c>
      <c r="Q103" s="225">
        <f>IFERROR(INDEX('Ashed teabags wet'!$K$2:$K$821,MATCH(J103,'Ashed teabags wet'!$A$2:$A$821,0)),"")</f>
        <v>12.703905091448961</v>
      </c>
      <c r="R103" s="225">
        <f t="shared" si="11"/>
        <v>0.41937043994067918</v>
      </c>
      <c r="S103" s="226">
        <f>'WetLitterbags placem_collection'!E104</f>
        <v>42762</v>
      </c>
      <c r="T103" s="226">
        <f>IF('WetLitterbags placem_collection'!G104="","",'WetLitterbags placem_collection'!G104)</f>
        <v>42816</v>
      </c>
      <c r="U103" s="227">
        <f t="shared" si="8"/>
        <v>54</v>
      </c>
      <c r="V103" s="225">
        <f t="shared" si="9"/>
        <v>1.2208000000000001</v>
      </c>
      <c r="W103" s="225">
        <f t="shared" si="10"/>
        <v>1.1880123663643842</v>
      </c>
      <c r="X103">
        <f>IFERROR(INDEX(Rainfall_Wet!$O$2:$O$217,MATCH(B103, Rainfall_Wet!$A$2:$A$217,0)),"")</f>
        <v>206.85140822299999</v>
      </c>
      <c r="Y103" s="231">
        <v>45.96</v>
      </c>
      <c r="Z103" s="231">
        <v>14.920000000000003</v>
      </c>
      <c r="AA103" s="231">
        <v>39.119999999999997</v>
      </c>
      <c r="AB103" s="232" t="s">
        <v>2673</v>
      </c>
      <c r="AC103" s="231">
        <v>7.0374568753080302</v>
      </c>
      <c r="AD103">
        <f>IF('WetLitterbags placem_collection'!AB104="","",'WetLitterbags placem_collection'!AB104)</f>
        <v>7.7</v>
      </c>
      <c r="AE103">
        <f>IF('WetLitterbags placem_collection'!Z104="","",'WetLitterbags placem_collection'!Z104)</f>
        <v>21</v>
      </c>
      <c r="AF103" s="246" t="str">
        <f>IF('WetLitterbags placem_collection'!AA104="","",'WetLitterbags placem_collection'!AA104)</f>
        <v>G</v>
      </c>
      <c r="AG103">
        <f>IF('WetLitterbags placem_collection'!AC104="","",'WetLitterbags placem_collection'!AC104)</f>
        <v>1</v>
      </c>
      <c r="AH103" s="24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placem_collection'!V104)),"YES","NO")</f>
        <v>NO</v>
      </c>
      <c r="AM103" t="str">
        <f>IF(ISNUMBER(SEARCH("H", 'WetLitterbags placem_collection'!V104)),"YES","NO")</f>
        <v>NO</v>
      </c>
      <c r="AN103" t="str">
        <f>IF(ISNUMBER(SEARCH("R", 'WetLitterbags placem_collection'!V104)),"YES","NO")</f>
        <v>NO</v>
      </c>
    </row>
    <row r="104" spans="1:40" ht="15" customHeight="1">
      <c r="A104" s="258" t="s">
        <v>2460</v>
      </c>
      <c r="B104" s="263">
        <f>'Dry_Litterbag Placem_Collection'!A105</f>
        <v>103</v>
      </c>
      <c r="C104" s="263" t="str">
        <f>'Dry_Litterbag Placem_Collection'!B105</f>
        <v xml:space="preserve">Mwantimba
</v>
      </c>
      <c r="D104" s="263" t="s">
        <v>2460</v>
      </c>
      <c r="E104" s="263" t="s">
        <v>2660</v>
      </c>
      <c r="F104" s="263">
        <v>1</v>
      </c>
      <c r="G104" s="264" t="str">
        <f>'Dry_Litterbag Placem_Collection'!C105</f>
        <v>Wet_Ag1_T7</v>
      </c>
      <c r="H104" s="265" t="s">
        <v>2541</v>
      </c>
      <c r="I104" s="266" t="s">
        <v>1147</v>
      </c>
      <c r="J104" s="223" t="str">
        <f>'WetLitterbags placem_collection'!K105</f>
        <v>G869</v>
      </c>
      <c r="K104" s="225">
        <f>IFERROR(INDEX('Green_rooibos initial weight'!$C$5:$C$1749,MATCH(J104, 'Green_rooibos initial weight'!$A$5:$A$1749,0)),"")</f>
        <v>2.0489999999999999</v>
      </c>
      <c r="L104" s="225">
        <f>IFERROR(K104-(TBIcalc!$H$9+TBIcalc!$H$10),"")</f>
        <v>1.7991999999999999</v>
      </c>
      <c r="M104" s="391">
        <f>AVERAGE(Ashed_controlls!$K$2:$K$11)</f>
        <v>5.5147656768714146</v>
      </c>
      <c r="N104" s="225">
        <f t="shared" si="7"/>
        <v>1.6999783359417293</v>
      </c>
      <c r="O104" s="225">
        <f>IF(IFERROR(INDEX('Both teabags AfterWet'!$C$3:$C$841,MATCH(J104,'Both teabags AfterWet'!$A$3:$A$841,0)),"")="","",(IFERROR(INDEX('Both teabags AfterWet'!$C$3:$C$841,MATCH(J104,'Both teabags AfterWet'!$A$3:$A$841,0)),"")))</f>
        <v>0.55800000000000005</v>
      </c>
      <c r="P104" s="225">
        <f>IFERROR(IF(O104&gt;0,O104-(TBIcalc!$H$9),""),"")</f>
        <v>0.40740000000000004</v>
      </c>
      <c r="Q104" s="225">
        <f>IFERROR(INDEX('Ashed teabags wet'!$K$2:$K$821,MATCH(J104,'Ashed teabags wet'!$A$2:$A$821,0)),"")</f>
        <v>13.925925925925654</v>
      </c>
      <c r="R104" s="225">
        <f t="shared" si="11"/>
        <v>0.35066577777777891</v>
      </c>
      <c r="S104" s="226">
        <f>'WetLitterbags placem_collection'!E105</f>
        <v>42762</v>
      </c>
      <c r="T104" s="226">
        <f>IF('WetLitterbags placem_collection'!G105="","",'WetLitterbags placem_collection'!G105)</f>
        <v>42816</v>
      </c>
      <c r="U104" s="227">
        <f t="shared" si="8"/>
        <v>54</v>
      </c>
      <c r="V104" s="225">
        <f t="shared" si="9"/>
        <v>1.3917999999999999</v>
      </c>
      <c r="W104" s="225">
        <f t="shared" si="10"/>
        <v>1.3493125581639505</v>
      </c>
      <c r="X104">
        <f>IFERROR(INDEX(Rainfall_Wet!$O$2:$O$217,MATCH(B104, Rainfall_Wet!$A$2:$A$217,0)),"")</f>
        <v>206.85140822299999</v>
      </c>
      <c r="Y104" s="231">
        <v>45.96</v>
      </c>
      <c r="Z104" s="231">
        <v>14.920000000000003</v>
      </c>
      <c r="AA104" s="231">
        <v>39.119999999999997</v>
      </c>
      <c r="AB104" s="232" t="s">
        <v>2673</v>
      </c>
      <c r="AC104" s="231">
        <v>8.0374568753080293</v>
      </c>
      <c r="AD104">
        <f>IF('WetLitterbags placem_collection'!AB105="","",'WetLitterbags placem_collection'!AB105)</f>
        <v>3.25</v>
      </c>
      <c r="AE104">
        <f>IF('WetLitterbags placem_collection'!Z105="","",'WetLitterbags placem_collection'!Z105)</f>
        <v>16</v>
      </c>
      <c r="AF104" s="246" t="str">
        <f>IF('WetLitterbags placem_collection'!AA105="","",'WetLitterbags placem_collection'!AA105)</f>
        <v>G</v>
      </c>
      <c r="AG104">
        <f>IF('WetLitterbags placem_collection'!AC105="","",'WetLitterbags placem_collection'!AC105)</f>
        <v>1</v>
      </c>
      <c r="AH104" s="24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placem_collection'!V105)),"YES","NO")</f>
        <v>NO</v>
      </c>
      <c r="AM104" t="str">
        <f>IF(ISNUMBER(SEARCH("H", 'WetLitterbags placem_collection'!V105)),"YES","NO")</f>
        <v>NO</v>
      </c>
      <c r="AN104" t="str">
        <f>IF(ISNUMBER(SEARCH("R", 'WetLitterbags placem_collection'!V105)),"YES","NO")</f>
        <v>NO</v>
      </c>
    </row>
    <row r="105" spans="1:40" ht="15" customHeight="1">
      <c r="A105" s="258" t="s">
        <v>2460</v>
      </c>
      <c r="B105" s="263">
        <f>'Dry_Litterbag Placem_Collection'!A106</f>
        <v>104</v>
      </c>
      <c r="C105" s="263" t="str">
        <f>'Dry_Litterbag Placem_Collection'!B106</f>
        <v xml:space="preserve">Mwantimba
</v>
      </c>
      <c r="D105" s="263" t="s">
        <v>2460</v>
      </c>
      <c r="E105" s="263" t="s">
        <v>2660</v>
      </c>
      <c r="F105" s="263">
        <v>1</v>
      </c>
      <c r="G105" s="264" t="str">
        <f>'Dry_Litterbag Placem_Collection'!C106</f>
        <v>Wet_Ag1_T8</v>
      </c>
      <c r="H105" s="265" t="s">
        <v>2541</v>
      </c>
      <c r="I105" s="266" t="s">
        <v>1147</v>
      </c>
      <c r="J105" s="223" t="str">
        <f>'WetLitterbags placem_collection'!K106</f>
        <v>G881</v>
      </c>
      <c r="K105" s="225">
        <f>IFERROR(INDEX('Green_rooibos initial weight'!$C$5:$C$1749,MATCH(J105, 'Green_rooibos initial weight'!$A$5:$A$1749,0)),"")</f>
        <v>1.9570000000000001</v>
      </c>
      <c r="L105" s="225">
        <f>IFERROR(K105-(TBIcalc!$H$9+TBIcalc!$H$10),"")</f>
        <v>1.7072000000000001</v>
      </c>
      <c r="M105" s="391">
        <f>AVERAGE(Ashed_controlls!$K$2:$K$11)</f>
        <v>5.5147656768714146</v>
      </c>
      <c r="N105" s="225">
        <f t="shared" si="7"/>
        <v>1.6130519203644513</v>
      </c>
      <c r="O105" s="225">
        <f>IF(IFERROR(INDEX('Both teabags AfterWet'!$C$3:$C$841,MATCH(J105,'Both teabags AfterWet'!$A$3:$A$841,0)),"")="","",(IFERROR(INDEX('Both teabags AfterWet'!$C$3:$C$841,MATCH(J105,'Both teabags AfterWet'!$A$3:$A$841,0)),"")))</f>
        <v>0.61</v>
      </c>
      <c r="P105" s="225">
        <f>IFERROR(IF(O105&gt;0,O105-(TBIcalc!$H$9),""),"")</f>
        <v>0.45939999999999998</v>
      </c>
      <c r="Q105" s="225">
        <f>IFERROR(INDEX('Ashed teabags wet'!$K$2:$K$821,MATCH(J105,'Ashed teabags wet'!$A$2:$A$821,0)),"")</f>
        <v>13.465250965250315</v>
      </c>
      <c r="R105" s="225">
        <f t="shared" si="11"/>
        <v>0.39754063706564002</v>
      </c>
      <c r="S105" s="226">
        <f>'WetLitterbags placem_collection'!E106</f>
        <v>42762</v>
      </c>
      <c r="T105" s="226">
        <f>IF('WetLitterbags placem_collection'!G106="","",'WetLitterbags placem_collection'!G106)</f>
        <v>42816</v>
      </c>
      <c r="U105" s="227">
        <f t="shared" si="8"/>
        <v>54</v>
      </c>
      <c r="V105" s="225">
        <f t="shared" si="9"/>
        <v>1.2478</v>
      </c>
      <c r="W105" s="225">
        <f t="shared" si="10"/>
        <v>1.2155112832988113</v>
      </c>
      <c r="X105">
        <f>IFERROR(INDEX(Rainfall_Wet!$O$2:$O$217,MATCH(B105, Rainfall_Wet!$A$2:$A$217,0)),"")</f>
        <v>206.85140822299999</v>
      </c>
      <c r="Y105" s="231">
        <v>45.96</v>
      </c>
      <c r="Z105" s="231">
        <v>14.920000000000003</v>
      </c>
      <c r="AA105" s="231">
        <v>39.119999999999997</v>
      </c>
      <c r="AB105" s="232" t="s">
        <v>2673</v>
      </c>
      <c r="AC105" s="231">
        <v>9.0374568753080293</v>
      </c>
      <c r="AD105">
        <f>IF('WetLitterbags placem_collection'!AB106="","",'WetLitterbags placem_collection'!AB106)</f>
        <v>10.5</v>
      </c>
      <c r="AE105">
        <f>IF('WetLitterbags placem_collection'!Z106="","",'WetLitterbags placem_collection'!Z106)</f>
        <v>17</v>
      </c>
      <c r="AF105" s="246" t="str">
        <f>IF('WetLitterbags placem_collection'!AA106="","",'WetLitterbags placem_collection'!AA106)</f>
        <v>G</v>
      </c>
      <c r="AG105">
        <f>IF('WetLitterbags placem_collection'!AC106="","",'WetLitterbags placem_collection'!AC106)</f>
        <v>1</v>
      </c>
      <c r="AH105" s="24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placem_collection'!V106)),"YES","NO")</f>
        <v>NO</v>
      </c>
      <c r="AM105" t="str">
        <f>IF(ISNUMBER(SEARCH("H", 'WetLitterbags placem_collection'!V106)),"YES","NO")</f>
        <v>NO</v>
      </c>
      <c r="AN105" t="str">
        <f>IF(ISNUMBER(SEARCH("R", 'WetLitterbags placem_collection'!V106)),"YES","NO")</f>
        <v>NO</v>
      </c>
    </row>
    <row r="106" spans="1:40" ht="15" customHeight="1">
      <c r="A106" s="258" t="s">
        <v>2460</v>
      </c>
      <c r="B106" s="263">
        <f>'Dry_Litterbag Placem_Collection'!A107</f>
        <v>105</v>
      </c>
      <c r="C106" s="263" t="str">
        <f>'Dry_Litterbag Placem_Collection'!B107</f>
        <v xml:space="preserve">Mwantimba
</v>
      </c>
      <c r="D106" s="263" t="s">
        <v>2460</v>
      </c>
      <c r="E106" s="263" t="s">
        <v>2660</v>
      </c>
      <c r="F106" s="263">
        <v>2</v>
      </c>
      <c r="G106" s="264" t="str">
        <f>'Dry_Litterbag Placem_Collection'!C107</f>
        <v>Wet_Ag2_T1</v>
      </c>
      <c r="H106" s="265" t="s">
        <v>2541</v>
      </c>
      <c r="I106" s="266" t="s">
        <v>1147</v>
      </c>
      <c r="J106" s="223" t="str">
        <f>'WetLitterbags placem_collection'!K107</f>
        <v>G729</v>
      </c>
      <c r="K106" s="225">
        <f>IFERROR(INDEX('Green_rooibos initial weight'!$C$5:$C$1749,MATCH(J106, 'Green_rooibos initial weight'!$A$5:$A$1749,0)),"")</f>
        <v>1.984</v>
      </c>
      <c r="L106" s="225">
        <f>IFERROR(K106-(TBIcalc!$H$9+TBIcalc!$H$10),"")</f>
        <v>1.7342</v>
      </c>
      <c r="M106" s="391">
        <f>AVERAGE(Ashed_controlls!$K$2:$K$11)</f>
        <v>5.5147656768714146</v>
      </c>
      <c r="N106" s="225">
        <f t="shared" si="7"/>
        <v>1.6385629336316958</v>
      </c>
      <c r="O106" s="225">
        <f>IF(IFERROR(INDEX('Both teabags AfterWet'!$C$3:$C$841,MATCH(J106,'Both teabags AfterWet'!$A$3:$A$841,0)),"")="","",(IFERROR(INDEX('Both teabags AfterWet'!$C$3:$C$841,MATCH(J106,'Both teabags AfterWet'!$A$3:$A$841,0)),"")))</f>
        <v>0.72399999999999998</v>
      </c>
      <c r="P106" s="225">
        <f>IFERROR(IF(O106&gt;0,O106-(TBIcalc!$H$9),""),"")</f>
        <v>0.57339999999999991</v>
      </c>
      <c r="Q106" s="225">
        <f>IFERROR(INDEX('Ashed teabags wet'!$K$2:$K$821,MATCH(J106,'Ashed teabags wet'!$A$2:$A$821,0)),"")</f>
        <v>19.719771665802661</v>
      </c>
      <c r="R106" s="225">
        <f t="shared" si="11"/>
        <v>0.4603268292682875</v>
      </c>
      <c r="S106" s="226">
        <f>'WetLitterbags placem_collection'!E107</f>
        <v>42762</v>
      </c>
      <c r="T106" s="226">
        <f>IF('WetLitterbags placem_collection'!G107="","",'WetLitterbags placem_collection'!G107)</f>
        <v>42816</v>
      </c>
      <c r="U106" s="227">
        <f t="shared" si="8"/>
        <v>54</v>
      </c>
      <c r="V106" s="225">
        <f t="shared" si="9"/>
        <v>1.1608000000000001</v>
      </c>
      <c r="W106" s="225">
        <f t="shared" si="10"/>
        <v>1.1782361043634082</v>
      </c>
      <c r="X106">
        <f>IFERROR(INDEX(Rainfall_Wet!$O$2:$O$217,MATCH(B106, Rainfall_Wet!$A$2:$A$217,0)),"")</f>
        <v>206.85140822299999</v>
      </c>
      <c r="Y106" s="231">
        <v>34.344660194174757</v>
      </c>
      <c r="Z106" s="231">
        <v>19.22727272727273</v>
      </c>
      <c r="AA106" s="231">
        <v>46.428067078552509</v>
      </c>
      <c r="AB106" s="232" t="s">
        <v>2670</v>
      </c>
      <c r="AC106" s="231">
        <v>1.7452932479053718</v>
      </c>
      <c r="AD106">
        <f>IF('WetLitterbags placem_collection'!AB107="","",'WetLitterbags placem_collection'!AB107)</f>
        <v>5.5</v>
      </c>
      <c r="AE106">
        <f>IF('WetLitterbags placem_collection'!Z107="","",'WetLitterbags placem_collection'!Z107)</f>
        <v>23.5</v>
      </c>
      <c r="AF106" s="246" t="str">
        <f>IF('WetLitterbags placem_collection'!AA107="","",'WetLitterbags placem_collection'!AA107)</f>
        <v>M</v>
      </c>
      <c r="AG106">
        <f>IF('WetLitterbags placem_collection'!AC107="","",'WetLitterbags placem_collection'!AC107)</f>
        <v>0</v>
      </c>
      <c r="AH106" s="24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placem_collection'!V107)),"YES","NO")</f>
        <v>NO</v>
      </c>
      <c r="AM106" t="str">
        <f>IF(ISNUMBER(SEARCH("H", 'WetLitterbags placem_collection'!V107)),"YES","NO")</f>
        <v>NO</v>
      </c>
      <c r="AN106" t="str">
        <f>IF(ISNUMBER(SEARCH("R", 'WetLitterbags placem_collection'!V107)),"YES","NO")</f>
        <v>NO</v>
      </c>
    </row>
    <row r="107" spans="1:40" ht="15" customHeight="1">
      <c r="A107" s="258" t="s">
        <v>2460</v>
      </c>
      <c r="B107" s="263">
        <f>'Dry_Litterbag Placem_Collection'!A108</f>
        <v>106</v>
      </c>
      <c r="C107" s="263" t="str">
        <f>'Dry_Litterbag Placem_Collection'!B108</f>
        <v xml:space="preserve">Mwantimba
</v>
      </c>
      <c r="D107" s="263" t="s">
        <v>2460</v>
      </c>
      <c r="E107" s="263" t="s">
        <v>2660</v>
      </c>
      <c r="F107" s="263">
        <v>2</v>
      </c>
      <c r="G107" s="264" t="str">
        <f>'Dry_Litterbag Placem_Collection'!C108</f>
        <v>Wet_Ag2_T2</v>
      </c>
      <c r="H107" s="265" t="s">
        <v>2541</v>
      </c>
      <c r="I107" s="266" t="s">
        <v>1147</v>
      </c>
      <c r="J107" s="223" t="str">
        <f>'WetLitterbags placem_collection'!K108</f>
        <v>G837</v>
      </c>
      <c r="K107" s="225">
        <f>IFERROR(INDEX('Green_rooibos initial weight'!$C$5:$C$1749,MATCH(J107, 'Green_rooibos initial weight'!$A$5:$A$1749,0)),"")</f>
        <v>1.1910000000000001</v>
      </c>
      <c r="L107" s="225">
        <f>IFERROR(K107-(TBIcalc!$H$9+TBIcalc!$H$10),"")</f>
        <v>0.94120000000000004</v>
      </c>
      <c r="M107" s="391">
        <f>AVERAGE(Ashed_controlls!$K$2:$K$11)</f>
        <v>5.5147656768714146</v>
      </c>
      <c r="N107" s="225">
        <f t="shared" si="7"/>
        <v>0.88929502544928629</v>
      </c>
      <c r="O107" s="225">
        <f>IF(IFERROR(INDEX('Both teabags AfterWet'!$C$3:$C$841,MATCH(J107,'Both teabags AfterWet'!$A$3:$A$841,0)),"")="","",(IFERROR(INDEX('Both teabags AfterWet'!$C$3:$C$841,MATCH(J107,'Both teabags AfterWet'!$A$3:$A$841,0)),"")))</f>
        <v>0.62</v>
      </c>
      <c r="P107" s="225">
        <f>IFERROR(IF(O107&gt;0,O107-(TBIcalc!$H$9),""),"")</f>
        <v>0.46939999999999998</v>
      </c>
      <c r="Q107" s="225">
        <f>IFERROR(INDEX('Ashed teabags wet'!$K$2:$K$821,MATCH(J107,'Ashed teabags wet'!$A$2:$A$821,0)),"")</f>
        <v>13.95235780262451</v>
      </c>
      <c r="R107" s="225">
        <f t="shared" si="11"/>
        <v>0.40390763247448053</v>
      </c>
      <c r="S107" s="226">
        <f>'WetLitterbags placem_collection'!E108</f>
        <v>42762</v>
      </c>
      <c r="T107" s="226">
        <f>IF('WetLitterbags placem_collection'!G108="","",'WetLitterbags placem_collection'!G108)</f>
        <v>42816</v>
      </c>
      <c r="U107" s="227">
        <f t="shared" si="8"/>
        <v>54</v>
      </c>
      <c r="V107" s="225">
        <f t="shared" si="9"/>
        <v>0.47180000000000005</v>
      </c>
      <c r="W107" s="225">
        <f t="shared" si="10"/>
        <v>0.48538739297480576</v>
      </c>
      <c r="X107">
        <f>IFERROR(INDEX(Rainfall_Wet!$O$2:$O$217,MATCH(B107, Rainfall_Wet!$A$2:$A$217,0)),"")</f>
        <v>206.85140822299999</v>
      </c>
      <c r="Y107" s="231">
        <v>34.344660194174757</v>
      </c>
      <c r="Z107" s="231">
        <v>19.22727272727273</v>
      </c>
      <c r="AA107" s="231">
        <v>46.428067078552509</v>
      </c>
      <c r="AB107" s="232" t="s">
        <v>2670</v>
      </c>
      <c r="AC107" s="231">
        <v>2.7452932479053702</v>
      </c>
      <c r="AD107">
        <f>IF('WetLitterbags placem_collection'!AB108="","",'WetLitterbags placem_collection'!AB108)</f>
        <v>8.6</v>
      </c>
      <c r="AE107">
        <f>IF('WetLitterbags placem_collection'!Z108="","",'WetLitterbags placem_collection'!Z108)</f>
        <v>17</v>
      </c>
      <c r="AF107" s="246" t="str">
        <f>IF('WetLitterbags placem_collection'!AA108="","",'WetLitterbags placem_collection'!AA108)</f>
        <v>M</v>
      </c>
      <c r="AG107">
        <f>IF('WetLitterbags placem_collection'!AC108="","",'WetLitterbags placem_collection'!AC108)</f>
        <v>0</v>
      </c>
      <c r="AH107" s="24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placem_collection'!V108)),"YES","NO")</f>
        <v>NO</v>
      </c>
      <c r="AM107" t="str">
        <f>IF(ISNUMBER(SEARCH("H", 'WetLitterbags placem_collection'!V108)),"YES","NO")</f>
        <v>NO</v>
      </c>
      <c r="AN107" t="str">
        <f>IF(ISNUMBER(SEARCH("R", 'WetLitterbags placem_collection'!V108)),"YES","NO")</f>
        <v>YES</v>
      </c>
    </row>
    <row r="108" spans="1:40" ht="15" customHeight="1">
      <c r="A108" s="258" t="s">
        <v>2460</v>
      </c>
      <c r="B108" s="263">
        <f>'Dry_Litterbag Placem_Collection'!A109</f>
        <v>107</v>
      </c>
      <c r="C108" s="263" t="str">
        <f>'Dry_Litterbag Placem_Collection'!B109</f>
        <v xml:space="preserve">Mwantimba
</v>
      </c>
      <c r="D108" s="263" t="s">
        <v>2460</v>
      </c>
      <c r="E108" s="263" t="s">
        <v>2660</v>
      </c>
      <c r="F108" s="263">
        <v>2</v>
      </c>
      <c r="G108" s="264" t="str">
        <f>'Dry_Litterbag Placem_Collection'!C109</f>
        <v>Wet_Ag2_T3</v>
      </c>
      <c r="H108" s="265" t="s">
        <v>2541</v>
      </c>
      <c r="I108" s="266" t="s">
        <v>1147</v>
      </c>
      <c r="J108" s="223" t="str">
        <f>'WetLitterbags placem_collection'!K109</f>
        <v>G688</v>
      </c>
      <c r="K108" s="225">
        <f>IFERROR(INDEX('Green_rooibos initial weight'!$C$5:$C$1749,MATCH(J108, 'Green_rooibos initial weight'!$A$5:$A$1749,0)),"")</f>
        <v>2.125</v>
      </c>
      <c r="L108" s="225">
        <f>IFERROR(K108-(TBIcalc!$H$9+TBIcalc!$H$10),"")</f>
        <v>1.8752</v>
      </c>
      <c r="M108" s="391">
        <f>AVERAGE(Ashed_controlls!$K$2:$K$11)</f>
        <v>5.5147656768714146</v>
      </c>
      <c r="N108" s="225">
        <f t="shared" si="7"/>
        <v>1.7717871140273072</v>
      </c>
      <c r="O108" s="225">
        <f>IF(IFERROR(INDEX('Both teabags AfterWet'!$C$3:$C$841,MATCH(J108,'Both teabags AfterWet'!$A$3:$A$841,0)),"")="","",(IFERROR(INDEX('Both teabags AfterWet'!$C$3:$C$841,MATCH(J108,'Both teabags AfterWet'!$A$3:$A$841,0)),"")))</f>
        <v>0.60899999999999999</v>
      </c>
      <c r="P108" s="225">
        <f>IFERROR(IF(O108&gt;0,O108-(TBIcalc!$H$9),""),"")</f>
        <v>0.45839999999999997</v>
      </c>
      <c r="Q108" s="225">
        <f>IFERROR(INDEX('Ashed teabags wet'!$K$2:$K$821,MATCH(J108,'Ashed teabags wet'!$A$2:$A$821,0)),"")</f>
        <v>14.504950495050023</v>
      </c>
      <c r="R108" s="225">
        <f t="shared" si="11"/>
        <v>0.3919093069306907</v>
      </c>
      <c r="S108" s="226">
        <f>'WetLitterbags placem_collection'!E109</f>
        <v>42762</v>
      </c>
      <c r="T108" s="226">
        <f>IF('WetLitterbags placem_collection'!G109="","",'WetLitterbags placem_collection'!G109)</f>
        <v>42816</v>
      </c>
      <c r="U108" s="227">
        <f t="shared" si="8"/>
        <v>54</v>
      </c>
      <c r="V108" s="225">
        <f t="shared" si="9"/>
        <v>1.4168000000000001</v>
      </c>
      <c r="W108" s="225">
        <f t="shared" si="10"/>
        <v>1.3798778070966164</v>
      </c>
      <c r="X108">
        <f>IFERROR(INDEX(Rainfall_Wet!$O$2:$O$217,MATCH(B108, Rainfall_Wet!$A$2:$A$217,0)),"")</f>
        <v>206.85140822299999</v>
      </c>
      <c r="Y108" s="231">
        <v>34.344660194174757</v>
      </c>
      <c r="Z108" s="231">
        <v>19.22727272727273</v>
      </c>
      <c r="AA108" s="231">
        <v>46.428067078552509</v>
      </c>
      <c r="AB108" s="232" t="s">
        <v>2670</v>
      </c>
      <c r="AC108" s="231">
        <v>3.7452932479053702</v>
      </c>
      <c r="AD108">
        <f>IF('WetLitterbags placem_collection'!AB109="","",'WetLitterbags placem_collection'!AB109)</f>
        <v>3.85</v>
      </c>
      <c r="AE108">
        <f>IF('WetLitterbags placem_collection'!Z109="","",'WetLitterbags placem_collection'!Z109)</f>
        <v>15.5</v>
      </c>
      <c r="AF108" s="246" t="str">
        <f>IF('WetLitterbags placem_collection'!AA109="","",'WetLitterbags placem_collection'!AA109)</f>
        <v>M</v>
      </c>
      <c r="AG108">
        <f>IF('WetLitterbags placem_collection'!AC109="","",'WetLitterbags placem_collection'!AC109)</f>
        <v>0</v>
      </c>
      <c r="AH108" s="24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placem_collection'!V109)),"YES","NO")</f>
        <v>NO</v>
      </c>
      <c r="AM108" t="str">
        <f>IF(ISNUMBER(SEARCH("H", 'WetLitterbags placem_collection'!V109)),"YES","NO")</f>
        <v>NO</v>
      </c>
      <c r="AN108" t="str">
        <f>IF(ISNUMBER(SEARCH("R", 'WetLitterbags placem_collection'!V109)),"YES","NO")</f>
        <v>YES</v>
      </c>
    </row>
    <row r="109" spans="1:40" ht="15" customHeight="1">
      <c r="A109" s="258" t="s">
        <v>2460</v>
      </c>
      <c r="B109" s="263">
        <f>'Dry_Litterbag Placem_Collection'!A110</f>
        <v>108</v>
      </c>
      <c r="C109" s="263" t="str">
        <f>'Dry_Litterbag Placem_Collection'!B110</f>
        <v xml:space="preserve">Mwantimba
</v>
      </c>
      <c r="D109" s="263" t="s">
        <v>2460</v>
      </c>
      <c r="E109" s="263" t="s">
        <v>2660</v>
      </c>
      <c r="F109" s="263">
        <v>2</v>
      </c>
      <c r="G109" s="264" t="str">
        <f>'Dry_Litterbag Placem_Collection'!C110</f>
        <v>Wet_Ag2_T4</v>
      </c>
      <c r="H109" s="265" t="s">
        <v>2541</v>
      </c>
      <c r="I109" s="266" t="s">
        <v>1147</v>
      </c>
      <c r="J109" s="223" t="str">
        <f>'WetLitterbags placem_collection'!K110</f>
        <v>G883</v>
      </c>
      <c r="K109" s="225">
        <f>IFERROR(INDEX('Green_rooibos initial weight'!$C$5:$C$1749,MATCH(J109, 'Green_rooibos initial weight'!$A$5:$A$1749,0)),"")</f>
        <v>2.073</v>
      </c>
      <c r="L109" s="225">
        <f>IFERROR(K109-(TBIcalc!$H$9+TBIcalc!$H$10),"")</f>
        <v>1.8231999999999999</v>
      </c>
      <c r="M109" s="391">
        <f>AVERAGE(Ashed_controlls!$K$2:$K$11)</f>
        <v>5.5147656768714146</v>
      </c>
      <c r="N109" s="225">
        <f t="shared" si="7"/>
        <v>1.7226547921792803</v>
      </c>
      <c r="O109" s="225">
        <f>IF(IFERROR(INDEX('Both teabags AfterWet'!$C$3:$C$841,MATCH(J109,'Both teabags AfterWet'!$A$3:$A$841,0)),"")="","",(IFERROR(INDEX('Both teabags AfterWet'!$C$3:$C$841,MATCH(J109,'Both teabags AfterWet'!$A$3:$A$841,0)),"")))</f>
        <v>0.67200000000000004</v>
      </c>
      <c r="P109" s="225">
        <f>IFERROR(IF(O109&gt;0,O109-(TBIcalc!$H$9),""),"")</f>
        <v>0.52140000000000009</v>
      </c>
      <c r="Q109" s="225">
        <f>IFERROR(INDEX('Ashed teabags wet'!$K$2:$K$821,MATCH(J109,'Ashed teabags wet'!$A$2:$A$821,0)),"")</f>
        <v>14.878892733563953</v>
      </c>
      <c r="R109" s="225">
        <f t="shared" si="11"/>
        <v>0.44382145328719763</v>
      </c>
      <c r="S109" s="226">
        <f>'WetLitterbags placem_collection'!E110</f>
        <v>42762</v>
      </c>
      <c r="T109" s="226">
        <f>IF('WetLitterbags placem_collection'!G110="","",'WetLitterbags placem_collection'!G110)</f>
        <v>42816</v>
      </c>
      <c r="U109" s="227">
        <f t="shared" si="8"/>
        <v>54</v>
      </c>
      <c r="V109" s="225">
        <f t="shared" si="9"/>
        <v>1.3017999999999998</v>
      </c>
      <c r="W109" s="225">
        <f t="shared" si="10"/>
        <v>1.2788333388920827</v>
      </c>
      <c r="X109">
        <f>IFERROR(INDEX(Rainfall_Wet!$O$2:$O$217,MATCH(B109, Rainfall_Wet!$A$2:$A$217,0)),"")</f>
        <v>206.85140822299999</v>
      </c>
      <c r="Y109" s="231">
        <v>34.344660194174757</v>
      </c>
      <c r="Z109" s="231">
        <v>19.22727272727273</v>
      </c>
      <c r="AA109" s="231">
        <v>46.428067078552509</v>
      </c>
      <c r="AB109" s="232" t="s">
        <v>2670</v>
      </c>
      <c r="AC109" s="231">
        <v>4.7452932479053702</v>
      </c>
      <c r="AD109">
        <f>IF('WetLitterbags placem_collection'!AB110="","",'WetLitterbags placem_collection'!AB110)</f>
        <v>9.6999999999999993</v>
      </c>
      <c r="AE109">
        <f>IF('WetLitterbags placem_collection'!Z110="","",'WetLitterbags placem_collection'!Z110)</f>
        <v>22.5</v>
      </c>
      <c r="AF109" s="246" t="str">
        <f>IF('WetLitterbags placem_collection'!AA110="","",'WetLitterbags placem_collection'!AA110)</f>
        <v>M</v>
      </c>
      <c r="AG109">
        <f>IF('WetLitterbags placem_collection'!AC110="","",'WetLitterbags placem_collection'!AC110)</f>
        <v>0</v>
      </c>
      <c r="AH109" s="24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placem_collection'!V110)),"YES","NO")</f>
        <v>NO</v>
      </c>
      <c r="AM109" t="str">
        <f>IF(ISNUMBER(SEARCH("H", 'WetLitterbags placem_collection'!V110)),"YES","NO")</f>
        <v>NO</v>
      </c>
      <c r="AN109" t="str">
        <f>IF(ISNUMBER(SEARCH("R", 'WetLitterbags placem_collection'!V110)),"YES","NO")</f>
        <v>YES</v>
      </c>
    </row>
    <row r="110" spans="1:40" ht="15" customHeight="1">
      <c r="A110" s="258" t="s">
        <v>2460</v>
      </c>
      <c r="B110" s="263">
        <f>'Dry_Litterbag Placem_Collection'!A111</f>
        <v>109</v>
      </c>
      <c r="C110" s="263" t="str">
        <f>'Dry_Litterbag Placem_Collection'!B111</f>
        <v xml:space="preserve">Mwantimba
</v>
      </c>
      <c r="D110" s="263" t="s">
        <v>2460</v>
      </c>
      <c r="E110" s="263" t="s">
        <v>2660</v>
      </c>
      <c r="F110" s="263">
        <v>2</v>
      </c>
      <c r="G110" s="264" t="str">
        <f>'Dry_Litterbag Placem_Collection'!C111</f>
        <v>Wet_Ag2_T5</v>
      </c>
      <c r="H110" s="265" t="s">
        <v>2541</v>
      </c>
      <c r="I110" s="266" t="s">
        <v>1147</v>
      </c>
      <c r="J110" s="223" t="str">
        <f>'WetLitterbags placem_collection'!K111</f>
        <v>G704</v>
      </c>
      <c r="K110" s="225">
        <f>IFERROR(INDEX('Green_rooibos initial weight'!$C$5:$C$1749,MATCH(J110, 'Green_rooibos initial weight'!$A$5:$A$1749,0)),"")</f>
        <v>2.0219999999999998</v>
      </c>
      <c r="L110" s="225">
        <f>IFERROR(K110-(TBIcalc!$H$9+TBIcalc!$H$10),"")</f>
        <v>1.7721999999999998</v>
      </c>
      <c r="M110" s="391">
        <f>AVERAGE(Ashed_controlls!$K$2:$K$11)</f>
        <v>5.5147656768714146</v>
      </c>
      <c r="N110" s="225">
        <f t="shared" si="7"/>
        <v>1.6744673226744846</v>
      </c>
      <c r="O110" s="225">
        <f>IF(IFERROR(INDEX('Both teabags AfterWet'!$C$3:$C$841,MATCH(J110,'Both teabags AfterWet'!$A$3:$A$841,0)),"")="","",(IFERROR(INDEX('Both teabags AfterWet'!$C$3:$C$841,MATCH(J110,'Both teabags AfterWet'!$A$3:$A$841,0)),"")))</f>
        <v>0.63019999999999998</v>
      </c>
      <c r="P110" s="225">
        <f>IFERROR(IF(O110&gt;0,O110-(TBIcalc!$H$9),""),"")</f>
        <v>0.47959999999999997</v>
      </c>
      <c r="Q110" s="225">
        <f>IFERROR(INDEX('Ashed teabags wet'!$K$2:$K$821,MATCH(J110,'Ashed teabags wet'!$A$2:$A$821,0)),"")</f>
        <v>7.733990147783028</v>
      </c>
      <c r="R110" s="225">
        <f t="shared" si="11"/>
        <v>0.44250778325123258</v>
      </c>
      <c r="S110" s="226">
        <f>'WetLitterbags placem_collection'!E111</f>
        <v>42762</v>
      </c>
      <c r="T110" s="226">
        <f>IF('WetLitterbags placem_collection'!G111="","",'WetLitterbags placem_collection'!G111)</f>
        <v>42816</v>
      </c>
      <c r="U110" s="227">
        <f t="shared" si="8"/>
        <v>54</v>
      </c>
      <c r="V110" s="225">
        <f t="shared" si="9"/>
        <v>1.2925999999999997</v>
      </c>
      <c r="W110" s="225">
        <f t="shared" si="10"/>
        <v>1.2319595394232521</v>
      </c>
      <c r="X110">
        <f>IFERROR(INDEX(Rainfall_Wet!$O$2:$O$217,MATCH(B110, Rainfall_Wet!$A$2:$A$217,0)),"")</f>
        <v>206.85140822299999</v>
      </c>
      <c r="Y110" s="231">
        <v>34.344660194174757</v>
      </c>
      <c r="Z110" s="231">
        <v>19.22727272727273</v>
      </c>
      <c r="AA110" s="231">
        <v>46.428067078552509</v>
      </c>
      <c r="AB110" s="232" t="s">
        <v>2670</v>
      </c>
      <c r="AC110" s="231">
        <v>5.7452932479053702</v>
      </c>
      <c r="AD110">
        <f>IF('WetLitterbags placem_collection'!AB111="","",'WetLitterbags placem_collection'!AB111)</f>
        <v>10.5</v>
      </c>
      <c r="AE110">
        <f>IF('WetLitterbags placem_collection'!Z111="","",'WetLitterbags placem_collection'!Z111)</f>
        <v>22.5</v>
      </c>
      <c r="AF110" s="246" t="str">
        <f>IF('WetLitterbags placem_collection'!AA111="","",'WetLitterbags placem_collection'!AA111)</f>
        <v>M</v>
      </c>
      <c r="AG110">
        <f>IF('WetLitterbags placem_collection'!AC111="","",'WetLitterbags placem_collection'!AC111)</f>
        <v>0</v>
      </c>
      <c r="AH110" s="24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placem_collection'!V111)),"YES","NO")</f>
        <v>NO</v>
      </c>
      <c r="AM110" t="str">
        <f>IF(ISNUMBER(SEARCH("H", 'WetLitterbags placem_collection'!V111)),"YES","NO")</f>
        <v>YES</v>
      </c>
      <c r="AN110" t="str">
        <f>IF(ISNUMBER(SEARCH("R", 'WetLitterbags placem_collection'!V111)),"YES","NO")</f>
        <v>NO</v>
      </c>
    </row>
    <row r="111" spans="1:40" ht="15" customHeight="1">
      <c r="A111" s="258" t="s">
        <v>2460</v>
      </c>
      <c r="B111" s="263">
        <f>'Dry_Litterbag Placem_Collection'!A112</f>
        <v>110</v>
      </c>
      <c r="C111" s="263" t="str">
        <f>'Dry_Litterbag Placem_Collection'!B112</f>
        <v xml:space="preserve">Mwantimba
</v>
      </c>
      <c r="D111" s="263" t="s">
        <v>2460</v>
      </c>
      <c r="E111" s="263" t="s">
        <v>2660</v>
      </c>
      <c r="F111" s="263">
        <v>2</v>
      </c>
      <c r="G111" s="264" t="str">
        <f>'Dry_Litterbag Placem_Collection'!C112</f>
        <v>Wet_Ag2_T6</v>
      </c>
      <c r="H111" s="265" t="s">
        <v>2541</v>
      </c>
      <c r="I111" s="266" t="s">
        <v>1147</v>
      </c>
      <c r="J111" s="223" t="str">
        <f>'WetLitterbags placem_collection'!K112</f>
        <v>G742</v>
      </c>
      <c r="K111" s="225">
        <f>IFERROR(INDEX('Green_rooibos initial weight'!$C$5:$C$1749,MATCH(J111, 'Green_rooibos initial weight'!$A$5:$A$1749,0)),"")</f>
        <v>2.0510000000000002</v>
      </c>
      <c r="L111" s="225">
        <f>IFERROR(K111-(TBIcalc!$H$9+TBIcalc!$H$10),"")</f>
        <v>1.8012000000000001</v>
      </c>
      <c r="M111" s="391">
        <f>AVERAGE(Ashed_controlls!$K$2:$K$11)</f>
        <v>5.5147656768714146</v>
      </c>
      <c r="N111" s="225">
        <f t="shared" si="7"/>
        <v>1.7018680406281923</v>
      </c>
      <c r="O111" s="225">
        <f>IF(IFERROR(INDEX('Both teabags AfterWet'!$C$3:$C$841,MATCH(J111,'Both teabags AfterWet'!$A$3:$A$841,0)),"")="","",(IFERROR(INDEX('Both teabags AfterWet'!$C$3:$C$841,MATCH(J111,'Both teabags AfterWet'!$A$3:$A$841,0)),"")))</f>
        <v>0.57879999999999998</v>
      </c>
      <c r="P111" s="225">
        <f>IFERROR(IF(O111&gt;0,O111-(TBIcalc!$H$9),""),"")</f>
        <v>0.42819999999999997</v>
      </c>
      <c r="Q111" s="225">
        <f>IFERROR(INDEX('Ashed teabags wet'!$K$2:$K$821,MATCH(J111,'Ashed teabags wet'!$A$2:$A$821,0)),"")</f>
        <v>13.253612356751738</v>
      </c>
      <c r="R111" s="225">
        <f t="shared" si="11"/>
        <v>0.37144803188838904</v>
      </c>
      <c r="S111" s="226">
        <f>'WetLitterbags placem_collection'!E112</f>
        <v>42762</v>
      </c>
      <c r="T111" s="226">
        <f>IF('WetLitterbags placem_collection'!G112="","",'WetLitterbags placem_collection'!G112)</f>
        <v>42816</v>
      </c>
      <c r="U111" s="227">
        <f t="shared" si="8"/>
        <v>54</v>
      </c>
      <c r="V111" s="225">
        <f t="shared" si="9"/>
        <v>1.3730000000000002</v>
      </c>
      <c r="W111" s="225">
        <f t="shared" si="10"/>
        <v>1.3304200087398033</v>
      </c>
      <c r="X111">
        <f>IFERROR(INDEX(Rainfall_Wet!$O$2:$O$217,MATCH(B111, Rainfall_Wet!$A$2:$A$217,0)),"")</f>
        <v>206.85140822299999</v>
      </c>
      <c r="Y111" s="231">
        <v>34.344660194174757</v>
      </c>
      <c r="Z111" s="231">
        <v>19.22727272727273</v>
      </c>
      <c r="AA111" s="231">
        <v>46.428067078552509</v>
      </c>
      <c r="AB111" s="232" t="s">
        <v>2670</v>
      </c>
      <c r="AC111" s="231">
        <v>6.7452932479053702</v>
      </c>
      <c r="AD111">
        <f>IF('WetLitterbags placem_collection'!AB112="","",'WetLitterbags placem_collection'!AB112)</f>
        <v>5.75</v>
      </c>
      <c r="AE111">
        <f>IF('WetLitterbags placem_collection'!Z112="","",'WetLitterbags placem_collection'!Z112)</f>
        <v>22.5</v>
      </c>
      <c r="AF111" s="246" t="str">
        <f>IF('WetLitterbags placem_collection'!AA112="","",'WetLitterbags placem_collection'!AA112)</f>
        <v>M</v>
      </c>
      <c r="AG111">
        <f>IF('WetLitterbags placem_collection'!AC112="","",'WetLitterbags placem_collection'!AC112)</f>
        <v>0</v>
      </c>
      <c r="AH111" s="24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placem_collection'!V112)),"YES","NO")</f>
        <v>NO</v>
      </c>
      <c r="AM111" t="str">
        <f>IF(ISNUMBER(SEARCH("H", 'WetLitterbags placem_collection'!V112)),"YES","NO")</f>
        <v>NO</v>
      </c>
      <c r="AN111" t="str">
        <f>IF(ISNUMBER(SEARCH("R", 'WetLitterbags placem_collection'!V112)),"YES","NO")</f>
        <v>NO</v>
      </c>
    </row>
    <row r="112" spans="1:40" ht="15" customHeight="1">
      <c r="A112" s="258" t="s">
        <v>2460</v>
      </c>
      <c r="B112" s="263">
        <f>'Dry_Litterbag Placem_Collection'!A113</f>
        <v>111</v>
      </c>
      <c r="C112" s="263" t="str">
        <f>'Dry_Litterbag Placem_Collection'!B113</f>
        <v xml:space="preserve">Mwantimba
</v>
      </c>
      <c r="D112" s="263" t="s">
        <v>2460</v>
      </c>
      <c r="E112" s="263" t="s">
        <v>2660</v>
      </c>
      <c r="F112" s="263">
        <v>2</v>
      </c>
      <c r="G112" s="264" t="str">
        <f>'Dry_Litterbag Placem_Collection'!C113</f>
        <v>Wet_Ag2_T7</v>
      </c>
      <c r="H112" s="265" t="s">
        <v>2541</v>
      </c>
      <c r="I112" s="266" t="s">
        <v>1147</v>
      </c>
      <c r="J112" s="223" t="str">
        <f>'WetLitterbags placem_collection'!K113</f>
        <v>G831</v>
      </c>
      <c r="K112" s="225">
        <f>IFERROR(INDEX('Green_rooibos initial weight'!$C$5:$C$1749,MATCH(J112, 'Green_rooibos initial weight'!$A$5:$A$1749,0)),"")</f>
        <v>2.1190000000000002</v>
      </c>
      <c r="L112" s="225">
        <f>IFERROR(K112-(TBIcalc!$H$9+TBIcalc!$H$10),"")</f>
        <v>1.8692000000000002</v>
      </c>
      <c r="M112" s="391">
        <f>AVERAGE(Ashed_controlls!$K$2:$K$11)</f>
        <v>5.5147656768714146</v>
      </c>
      <c r="N112" s="225">
        <f t="shared" si="7"/>
        <v>1.7661179999679197</v>
      </c>
      <c r="O112" s="225">
        <f>IF(IFERROR(INDEX('Both teabags AfterWet'!$C$3:$C$841,MATCH(J112,'Both teabags AfterWet'!$A$3:$A$841,0)),"")="","",(IFERROR(INDEX('Both teabags AfterWet'!$C$3:$C$841,MATCH(J112,'Both teabags AfterWet'!$A$3:$A$841,0)),"")))</f>
        <v>0.66200000000000003</v>
      </c>
      <c r="P112" s="225">
        <f>IFERROR(IF(O112&gt;0,O112-(TBIcalc!$H$9),""),"")</f>
        <v>0.51140000000000008</v>
      </c>
      <c r="Q112" s="225">
        <f>IFERROR(INDEX('Ashed teabags wet'!$K$2:$K$821,MATCH(J112,'Ashed teabags wet'!$A$2:$A$821,0)),"")</f>
        <v>14.3622200584224</v>
      </c>
      <c r="R112" s="225">
        <f t="shared" si="11"/>
        <v>0.4379516066212279</v>
      </c>
      <c r="S112" s="226">
        <f>'WetLitterbags placem_collection'!E113</f>
        <v>42762</v>
      </c>
      <c r="T112" s="226">
        <f>IF('WetLitterbags placem_collection'!G113="","",'WetLitterbags placem_collection'!G113)</f>
        <v>42816</v>
      </c>
      <c r="U112" s="227">
        <f t="shared" si="8"/>
        <v>54</v>
      </c>
      <c r="V112" s="225">
        <f t="shared" si="9"/>
        <v>1.3578000000000001</v>
      </c>
      <c r="W112" s="225">
        <f t="shared" si="10"/>
        <v>1.3281663933466918</v>
      </c>
      <c r="X112">
        <f>IFERROR(INDEX(Rainfall_Wet!$O$2:$O$217,MATCH(B112, Rainfall_Wet!$A$2:$A$217,0)),"")</f>
        <v>206.85140822299999</v>
      </c>
      <c r="Y112" s="231">
        <v>34.344660194174757</v>
      </c>
      <c r="Z112" s="231">
        <v>19.22727272727273</v>
      </c>
      <c r="AA112" s="231">
        <v>46.428067078552509</v>
      </c>
      <c r="AB112" s="232" t="s">
        <v>2670</v>
      </c>
      <c r="AC112" s="231">
        <v>7.7452932479053702</v>
      </c>
      <c r="AD112">
        <f>IF('WetLitterbags placem_collection'!AB113="","",'WetLitterbags placem_collection'!AB113)</f>
        <v>6.1</v>
      </c>
      <c r="AE112">
        <f>IF('WetLitterbags placem_collection'!Z113="","",'WetLitterbags placem_collection'!Z113)</f>
        <v>26</v>
      </c>
      <c r="AF112" s="246" t="str">
        <f>IF('WetLitterbags placem_collection'!AA113="","",'WetLitterbags placem_collection'!AA113)</f>
        <v>M</v>
      </c>
      <c r="AG112">
        <f>IF('WetLitterbags placem_collection'!AC113="","",'WetLitterbags placem_collection'!AC113)</f>
        <v>0</v>
      </c>
      <c r="AH112" s="24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placem_collection'!V113)),"YES","NO")</f>
        <v>NO</v>
      </c>
      <c r="AM112" t="str">
        <f>IF(ISNUMBER(SEARCH("H", 'WetLitterbags placem_collection'!V113)),"YES","NO")</f>
        <v>NO</v>
      </c>
      <c r="AN112" t="str">
        <f>IF(ISNUMBER(SEARCH("R", 'WetLitterbags placem_collection'!V113)),"YES","NO")</f>
        <v>NO</v>
      </c>
    </row>
    <row r="113" spans="1:40" ht="15" customHeight="1">
      <c r="A113" s="258" t="s">
        <v>2460</v>
      </c>
      <c r="B113" s="263">
        <f>'Dry_Litterbag Placem_Collection'!A114</f>
        <v>112</v>
      </c>
      <c r="C113" s="263" t="str">
        <f>'Dry_Litterbag Placem_Collection'!B114</f>
        <v xml:space="preserve">Mwantimba
</v>
      </c>
      <c r="D113" s="263" t="s">
        <v>2460</v>
      </c>
      <c r="E113" s="263" t="s">
        <v>2660</v>
      </c>
      <c r="F113" s="263">
        <v>2</v>
      </c>
      <c r="G113" s="264" t="str">
        <f>'Dry_Litterbag Placem_Collection'!C114</f>
        <v>Wet_Ag2_T8</v>
      </c>
      <c r="H113" s="265" t="s">
        <v>2541</v>
      </c>
      <c r="I113" s="266" t="s">
        <v>1147</v>
      </c>
      <c r="J113" s="223" t="str">
        <f>'WetLitterbags placem_collection'!K114</f>
        <v>G899</v>
      </c>
      <c r="K113" s="225">
        <f>IFERROR(INDEX('Green_rooibos initial weight'!$C$5:$C$1749,MATCH(J113, 'Green_rooibos initial weight'!$A$5:$A$1749,0)),"")</f>
        <v>2.0129999999999999</v>
      </c>
      <c r="L113" s="225">
        <f>IFERROR(K113-(TBIcalc!$H$9+TBIcalc!$H$10),"")</f>
        <v>1.7631999999999999</v>
      </c>
      <c r="M113" s="391">
        <f>AVERAGE(Ashed_controlls!$K$2:$K$11)</f>
        <v>5.5147656768714146</v>
      </c>
      <c r="N113" s="225">
        <f t="shared" si="7"/>
        <v>1.665963651585403</v>
      </c>
      <c r="O113" s="225">
        <f>IF(IFERROR(INDEX('Both teabags AfterWet'!$C$3:$C$841,MATCH(J113,'Both teabags AfterWet'!$A$3:$A$841,0)),"")="","",(IFERROR(INDEX('Both teabags AfterWet'!$C$3:$C$841,MATCH(J113,'Both teabags AfterWet'!$A$3:$A$841,0)),"")))</f>
        <v>0.71899999999999997</v>
      </c>
      <c r="P113" s="225">
        <f>IFERROR(IF(O113&gt;0,O113-(TBIcalc!$H$9),""),"")</f>
        <v>0.56840000000000002</v>
      </c>
      <c r="Q113" s="225">
        <f>IFERROR(INDEX('Ashed teabags wet'!$K$2:$K$821,MATCH(J113,'Ashed teabags wet'!$A$2:$A$821,0)),"")</f>
        <v>25.775193798450474</v>
      </c>
      <c r="R113" s="225">
        <f t="shared" si="11"/>
        <v>0.4218937984496075</v>
      </c>
      <c r="S113" s="226">
        <f>'WetLitterbags placem_collection'!E114</f>
        <v>42762</v>
      </c>
      <c r="T113" s="226">
        <f>IF('WetLitterbags placem_collection'!G114="","",'WetLitterbags placem_collection'!G114)</f>
        <v>42816</v>
      </c>
      <c r="U113" s="227">
        <f t="shared" si="8"/>
        <v>54</v>
      </c>
      <c r="V113" s="225">
        <f t="shared" si="9"/>
        <v>1.1947999999999999</v>
      </c>
      <c r="W113" s="225">
        <f t="shared" si="10"/>
        <v>1.2440698531357954</v>
      </c>
      <c r="X113">
        <f>IFERROR(INDEX(Rainfall_Wet!$O$2:$O$217,MATCH(B113, Rainfall_Wet!$A$2:$A$217,0)),"")</f>
        <v>206.85140822299999</v>
      </c>
      <c r="Y113" s="231">
        <v>34.344660194174757</v>
      </c>
      <c r="Z113" s="231">
        <v>19.22727272727273</v>
      </c>
      <c r="AA113" s="231">
        <v>46.428067078552509</v>
      </c>
      <c r="AB113" s="232" t="s">
        <v>2670</v>
      </c>
      <c r="AC113" s="231">
        <v>8.7452932479053693</v>
      </c>
      <c r="AD113">
        <f>IF('WetLitterbags placem_collection'!AB114="","",'WetLitterbags placem_collection'!AB114)</f>
        <v>11.5</v>
      </c>
      <c r="AE113">
        <f>IF('WetLitterbags placem_collection'!Z114="","",'WetLitterbags placem_collection'!Z114)</f>
        <v>15</v>
      </c>
      <c r="AF113" s="246" t="str">
        <f>IF('WetLitterbags placem_collection'!AA114="","",'WetLitterbags placem_collection'!AA114)</f>
        <v>M</v>
      </c>
      <c r="AG113">
        <f>IF('WetLitterbags placem_collection'!AC114="","",'WetLitterbags placem_collection'!AC114)</f>
        <v>0</v>
      </c>
      <c r="AH113" s="24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placem_collection'!V114)),"YES","NO")</f>
        <v>NO</v>
      </c>
      <c r="AM113" t="str">
        <f>IF(ISNUMBER(SEARCH("H", 'WetLitterbags placem_collection'!V114)),"YES","NO")</f>
        <v>YES</v>
      </c>
      <c r="AN113" t="str">
        <f>IF(ISNUMBER(SEARCH("R", 'WetLitterbags placem_collection'!V114)),"YES","NO")</f>
        <v>NO</v>
      </c>
    </row>
    <row r="114" spans="1:40" ht="15" customHeight="1">
      <c r="A114" s="258" t="s">
        <v>2460</v>
      </c>
      <c r="B114" s="263">
        <f>'Dry_Litterbag Placem_Collection'!A115</f>
        <v>113</v>
      </c>
      <c r="C114" s="263" t="str">
        <f>'Dry_Litterbag Placem_Collection'!B115</f>
        <v xml:space="preserve">Mwantimba
</v>
      </c>
      <c r="D114" s="263" t="s">
        <v>2460</v>
      </c>
      <c r="E114" s="263" t="s">
        <v>2660</v>
      </c>
      <c r="F114" s="263">
        <v>3</v>
      </c>
      <c r="G114" s="264" t="str">
        <f>'Dry_Litterbag Placem_Collection'!C115</f>
        <v>Wet_Ag3_T1</v>
      </c>
      <c r="H114" s="265" t="s">
        <v>2541</v>
      </c>
      <c r="I114" s="266" t="s">
        <v>1147</v>
      </c>
      <c r="J114" s="223" t="str">
        <f>'WetLitterbags placem_collection'!K115</f>
        <v>G724</v>
      </c>
      <c r="K114" s="225">
        <f>IFERROR(INDEX('Green_rooibos initial weight'!$C$5:$C$1749,MATCH(J114, 'Green_rooibos initial weight'!$A$5:$A$1749,0)),"")</f>
        <v>2.0289999999999999</v>
      </c>
      <c r="L114" s="225">
        <f>IFERROR(K114-(TBIcalc!$H$9+TBIcalc!$H$10),"")</f>
        <v>1.7791999999999999</v>
      </c>
      <c r="M114" s="391">
        <f>AVERAGE(Ashed_controlls!$K$2:$K$11)</f>
        <v>5.5147656768714146</v>
      </c>
      <c r="N114" s="225">
        <f t="shared" si="7"/>
        <v>1.6810812890771036</v>
      </c>
      <c r="O114" s="225">
        <f>IF(IFERROR(INDEX('Both teabags AfterWet'!$C$3:$C$841,MATCH(J114,'Both teabags AfterWet'!$A$3:$A$841,0)),"")="","",(IFERROR(INDEX('Both teabags AfterWet'!$C$3:$C$841,MATCH(J114,'Both teabags AfterWet'!$A$3:$A$841,0)),"")))</f>
        <v>0.61099999999999999</v>
      </c>
      <c r="P114" s="225">
        <f>IFERROR(IF(O114&gt;0,O114-(TBIcalc!$H$9),""),"")</f>
        <v>0.46039999999999998</v>
      </c>
      <c r="Q114" s="225">
        <f>IFERROR(INDEX('Ashed teabags wet'!$K$2:$K$821,MATCH(J114,'Ashed teabags wet'!$A$2:$A$821,0)),"")</f>
        <v>15.414073719482863</v>
      </c>
      <c r="R114" s="225">
        <f t="shared" si="11"/>
        <v>0.38943360459550092</v>
      </c>
      <c r="S114" s="226">
        <f>'WetLitterbags placem_collection'!E115</f>
        <v>42762</v>
      </c>
      <c r="T114" s="226">
        <f>IF('WetLitterbags placem_collection'!G115="","",'WetLitterbags placem_collection'!G115)</f>
        <v>42816</v>
      </c>
      <c r="U114" s="227">
        <f t="shared" si="8"/>
        <v>54</v>
      </c>
      <c r="V114" s="225">
        <f t="shared" si="9"/>
        <v>1.3188</v>
      </c>
      <c r="W114" s="225">
        <f t="shared" si="10"/>
        <v>1.2916476844816027</v>
      </c>
      <c r="X114">
        <f>IFERROR(INDEX(Rainfall_Wet!$O$2:$O$217,MATCH(B114, Rainfall_Wet!$A$2:$A$217,0)),"")</f>
        <v>206.85140822299999</v>
      </c>
      <c r="Y114" s="231">
        <v>27.96</v>
      </c>
      <c r="Z114" s="231">
        <v>4.9200000000000017</v>
      </c>
      <c r="AA114" s="231">
        <v>67.12</v>
      </c>
      <c r="AB114" s="232" t="s">
        <v>2670</v>
      </c>
      <c r="AC114" s="231">
        <v>0.88610152784622953</v>
      </c>
      <c r="AD114">
        <f>IF('WetLitterbags placem_collection'!AB115="","",'WetLitterbags placem_collection'!AB115)</f>
        <v>26</v>
      </c>
      <c r="AE114">
        <f>IF('WetLitterbags placem_collection'!Z115="","",'WetLitterbags placem_collection'!Z115)</f>
        <v>88.5</v>
      </c>
      <c r="AF114" s="246" t="str">
        <f>IF('WetLitterbags placem_collection'!AA115="","",'WetLitterbags placem_collection'!AA115)</f>
        <v>G</v>
      </c>
      <c r="AG114">
        <f>IF('WetLitterbags placem_collection'!AC115="","",'WetLitterbags placem_collection'!AC115)</f>
        <v>0</v>
      </c>
      <c r="AH114" s="24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placem_collection'!V115)),"YES","NO")</f>
        <v>YES</v>
      </c>
      <c r="AM114" t="str">
        <f>IF(ISNUMBER(SEARCH("H", 'WetLitterbags placem_collection'!V115)),"YES","NO")</f>
        <v>NO</v>
      </c>
      <c r="AN114" t="str">
        <f>IF(ISNUMBER(SEARCH("R", 'WetLitterbags placem_collection'!V115)),"YES","NO")</f>
        <v>YES</v>
      </c>
    </row>
    <row r="115" spans="1:40" ht="15" customHeight="1">
      <c r="A115" s="258" t="s">
        <v>2460</v>
      </c>
      <c r="B115" s="263">
        <f>'Dry_Litterbag Placem_Collection'!A116</f>
        <v>114</v>
      </c>
      <c r="C115" s="263" t="str">
        <f>'Dry_Litterbag Placem_Collection'!B116</f>
        <v xml:space="preserve">Mwantimba
</v>
      </c>
      <c r="D115" s="263" t="s">
        <v>2460</v>
      </c>
      <c r="E115" s="263" t="s">
        <v>2660</v>
      </c>
      <c r="F115" s="263">
        <v>3</v>
      </c>
      <c r="G115" s="264" t="str">
        <f>'Dry_Litterbag Placem_Collection'!C116</f>
        <v>Wet_Ag3_T2</v>
      </c>
      <c r="H115" s="265" t="s">
        <v>2541</v>
      </c>
      <c r="I115" s="266" t="s">
        <v>1147</v>
      </c>
      <c r="J115" s="223" t="str">
        <f>'WetLitterbags placem_collection'!K116</f>
        <v>G803</v>
      </c>
      <c r="K115" s="225">
        <f>IFERROR(INDEX('Green_rooibos initial weight'!$C$5:$C$1749,MATCH(J115, 'Green_rooibos initial weight'!$A$5:$A$1749,0)),"")</f>
        <v>2.0590000000000002</v>
      </c>
      <c r="L115" s="225">
        <f>IFERROR(K115-(TBIcalc!$H$9+TBIcalc!$H$10),"")</f>
        <v>1.8092000000000001</v>
      </c>
      <c r="M115" s="391">
        <f>AVERAGE(Ashed_controlls!$K$2:$K$11)</f>
        <v>5.5147656768714146</v>
      </c>
      <c r="N115" s="225">
        <f t="shared" si="7"/>
        <v>1.7094268593740425</v>
      </c>
      <c r="O115" s="225">
        <f>IF(IFERROR(INDEX('Both teabags AfterWet'!$C$3:$C$841,MATCH(J115,'Both teabags AfterWet'!$A$3:$A$841,0)),"")="","",(IFERROR(INDEX('Both teabags AfterWet'!$C$3:$C$841,MATCH(J115,'Both teabags AfterWet'!$A$3:$A$841,0)),"")))</f>
        <v>0.64300000000000002</v>
      </c>
      <c r="P115" s="225">
        <f>IFERROR(IF(O115&gt;0,O115-(TBIcalc!$H$9),""),"")</f>
        <v>0.4924</v>
      </c>
      <c r="Q115" s="225">
        <f>IFERROR(INDEX('Ashed teabags wet'!$K$2:$K$821,MATCH(J115,'Ashed teabags wet'!$A$2:$A$821,0)),"")</f>
        <v>21.028971028971405</v>
      </c>
      <c r="R115" s="225">
        <f t="shared" si="11"/>
        <v>0.38885334665334481</v>
      </c>
      <c r="S115" s="226">
        <f>'WetLitterbags placem_collection'!E116</f>
        <v>42762</v>
      </c>
      <c r="T115" s="226">
        <f>IF('WetLitterbags placem_collection'!G116="","",'WetLitterbags placem_collection'!G116)</f>
        <v>42816</v>
      </c>
      <c r="U115" s="227">
        <f t="shared" si="8"/>
        <v>54</v>
      </c>
      <c r="V115" s="225">
        <f t="shared" si="9"/>
        <v>1.3168000000000002</v>
      </c>
      <c r="W115" s="225">
        <f t="shared" si="10"/>
        <v>1.3205735127206977</v>
      </c>
      <c r="X115">
        <f>IFERROR(INDEX(Rainfall_Wet!$O$2:$O$217,MATCH(B115, Rainfall_Wet!$A$2:$A$217,0)),"")</f>
        <v>206.85140822299999</v>
      </c>
      <c r="Y115" s="231">
        <v>27.96</v>
      </c>
      <c r="Z115" s="231">
        <v>4.9200000000000017</v>
      </c>
      <c r="AA115" s="231">
        <v>67.12</v>
      </c>
      <c r="AB115" s="232" t="s">
        <v>2670</v>
      </c>
      <c r="AC115" s="231">
        <v>1.8861015278462301</v>
      </c>
      <c r="AD115">
        <f>IF('WetLitterbags placem_collection'!AB116="","",'WetLitterbags placem_collection'!AB116)</f>
        <v>16.5</v>
      </c>
      <c r="AE115">
        <f>IF('WetLitterbags placem_collection'!Z116="","",'WetLitterbags placem_collection'!Z116)</f>
        <v>87.5</v>
      </c>
      <c r="AF115" s="246" t="str">
        <f>IF('WetLitterbags placem_collection'!AA116="","",'WetLitterbags placem_collection'!AA116)</f>
        <v>G</v>
      </c>
      <c r="AG115">
        <f>IF('WetLitterbags placem_collection'!AC116="","",'WetLitterbags placem_collection'!AC116)</f>
        <v>0</v>
      </c>
      <c r="AH115" s="24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placem_collection'!V116)),"YES","NO")</f>
        <v>NO</v>
      </c>
      <c r="AM115" t="str">
        <f>IF(ISNUMBER(SEARCH("H", 'WetLitterbags placem_collection'!V116)),"YES","NO")</f>
        <v>YES</v>
      </c>
      <c r="AN115" t="str">
        <f>IF(ISNUMBER(SEARCH("R", 'WetLitterbags placem_collection'!V116)),"YES","NO")</f>
        <v>YES</v>
      </c>
    </row>
    <row r="116" spans="1:40" ht="15" customHeight="1">
      <c r="A116" s="258" t="s">
        <v>2460</v>
      </c>
      <c r="B116" s="263">
        <f>'Dry_Litterbag Placem_Collection'!A117</f>
        <v>115</v>
      </c>
      <c r="C116" s="263" t="str">
        <f>'Dry_Litterbag Placem_Collection'!B117</f>
        <v xml:space="preserve">Mwantimba
</v>
      </c>
      <c r="D116" s="263" t="s">
        <v>2460</v>
      </c>
      <c r="E116" s="263" t="s">
        <v>2660</v>
      </c>
      <c r="F116" s="263">
        <v>3</v>
      </c>
      <c r="G116" s="264" t="str">
        <f>'Dry_Litterbag Placem_Collection'!C117</f>
        <v>Wet_Ag3_T3</v>
      </c>
      <c r="H116" s="265" t="s">
        <v>2541</v>
      </c>
      <c r="I116" s="266" t="s">
        <v>1147</v>
      </c>
      <c r="J116" s="223" t="str">
        <f>'WetLitterbags placem_collection'!K117</f>
        <v>G693</v>
      </c>
      <c r="K116" s="225">
        <f>IFERROR(INDEX('Green_rooibos initial weight'!$C$5:$C$1749,MATCH(J116, 'Green_rooibos initial weight'!$A$5:$A$1749,0)),"")</f>
        <v>2.0710000000000002</v>
      </c>
      <c r="L116" s="225">
        <f>IFERROR(K116-(TBIcalc!$H$9+TBIcalc!$H$10),"")</f>
        <v>1.8212000000000002</v>
      </c>
      <c r="M116" s="391">
        <f>AVERAGE(Ashed_controlls!$K$2:$K$11)</f>
        <v>5.5147656768714146</v>
      </c>
      <c r="N116" s="225">
        <f t="shared" si="7"/>
        <v>1.720765087492818</v>
      </c>
      <c r="O116" s="225">
        <f>IF(IFERROR(INDEX('Both teabags AfterWet'!$C$3:$C$841,MATCH(J116,'Both teabags AfterWet'!$A$3:$A$841,0)),"")="","",(IFERROR(INDEX('Both teabags AfterWet'!$C$3:$C$841,MATCH(J116,'Both teabags AfterWet'!$A$3:$A$841,0)),"")))</f>
        <v>0.63400000000000001</v>
      </c>
      <c r="P116" s="225">
        <f>IFERROR(IF(O116&gt;0,O116-(TBIcalc!$H$9),""),"")</f>
        <v>0.4834</v>
      </c>
      <c r="Q116" s="225">
        <f>IFERROR(INDEX('Ashed teabags wet'!$K$2:$K$821,MATCH(J116,'Ashed teabags wet'!$A$2:$A$821,0)),"")</f>
        <v>16.568993074054781</v>
      </c>
      <c r="R116" s="225">
        <f t="shared" si="11"/>
        <v>0.40330548748001921</v>
      </c>
      <c r="S116" s="226">
        <f>'WetLitterbags placem_collection'!E117</f>
        <v>42762</v>
      </c>
      <c r="T116" s="226">
        <f>IF('WetLitterbags placem_collection'!G117="","",'WetLitterbags placem_collection'!G117)</f>
        <v>42816</v>
      </c>
      <c r="U116" s="227">
        <f t="shared" si="8"/>
        <v>54</v>
      </c>
      <c r="V116" s="225">
        <f t="shared" si="9"/>
        <v>1.3378000000000001</v>
      </c>
      <c r="W116" s="225">
        <f t="shared" si="10"/>
        <v>1.3174596000127987</v>
      </c>
      <c r="X116">
        <f>IFERROR(INDEX(Rainfall_Wet!$O$2:$O$217,MATCH(B116, Rainfall_Wet!$A$2:$A$217,0)),"")</f>
        <v>206.85140822299999</v>
      </c>
      <c r="Y116" s="231">
        <v>27.96</v>
      </c>
      <c r="Z116" s="231">
        <v>4.9200000000000017</v>
      </c>
      <c r="AA116" s="231">
        <v>67.12</v>
      </c>
      <c r="AB116" s="232" t="s">
        <v>2670</v>
      </c>
      <c r="AC116" s="231">
        <v>2.8861015278462299</v>
      </c>
      <c r="AD116">
        <f>IF('WetLitterbags placem_collection'!AB117="","",'WetLitterbags placem_collection'!AB117)</f>
        <v>19</v>
      </c>
      <c r="AE116">
        <f>IF('WetLitterbags placem_collection'!Z117="","",'WetLitterbags placem_collection'!Z117)</f>
        <v>79.5</v>
      </c>
      <c r="AF116" s="246" t="str">
        <f>IF('WetLitterbags placem_collection'!AA117="","",'WetLitterbags placem_collection'!AA117)</f>
        <v>G</v>
      </c>
      <c r="AG116">
        <f>IF('WetLitterbags placem_collection'!AC117="","",'WetLitterbags placem_collection'!AC117)</f>
        <v>1</v>
      </c>
      <c r="AH116" s="24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placem_collection'!V117)),"YES","NO")</f>
        <v>NO</v>
      </c>
      <c r="AM116" t="str">
        <f>IF(ISNUMBER(SEARCH("H", 'WetLitterbags placem_collection'!V117)),"YES","NO")</f>
        <v>NO</v>
      </c>
      <c r="AN116" t="str">
        <f>IF(ISNUMBER(SEARCH("R", 'WetLitterbags placem_collection'!V117)),"YES","NO")</f>
        <v>YES</v>
      </c>
    </row>
    <row r="117" spans="1:40" ht="15" customHeight="1">
      <c r="A117" s="258" t="s">
        <v>2460</v>
      </c>
      <c r="B117" s="263">
        <f>'Dry_Litterbag Placem_Collection'!A118</f>
        <v>116</v>
      </c>
      <c r="C117" s="263" t="str">
        <f>'Dry_Litterbag Placem_Collection'!B118</f>
        <v xml:space="preserve">Mwantimba
</v>
      </c>
      <c r="D117" s="263" t="s">
        <v>2460</v>
      </c>
      <c r="E117" s="263" t="s">
        <v>2660</v>
      </c>
      <c r="F117" s="263">
        <v>3</v>
      </c>
      <c r="G117" s="264" t="str">
        <f>'Dry_Litterbag Placem_Collection'!C118</f>
        <v>Wet_Ag3_T4</v>
      </c>
      <c r="H117" s="265" t="s">
        <v>2541</v>
      </c>
      <c r="I117" s="266" t="s">
        <v>1147</v>
      </c>
      <c r="J117" s="223" t="str">
        <f>'WetLitterbags placem_collection'!K118</f>
        <v>G897</v>
      </c>
      <c r="K117" s="225">
        <f>IFERROR(INDEX('Green_rooibos initial weight'!$C$5:$C$1749,MATCH(J117, 'Green_rooibos initial weight'!$A$5:$A$1749,0)),"")</f>
        <v>2.0299999999999998</v>
      </c>
      <c r="L117" s="225">
        <f>IFERROR(K117-(TBIcalc!$H$9+TBIcalc!$H$10),"")</f>
        <v>1.7801999999999998</v>
      </c>
      <c r="M117" s="391">
        <f>AVERAGE(Ashed_controlls!$K$2:$K$11)</f>
        <v>5.5147656768714146</v>
      </c>
      <c r="N117" s="225">
        <f t="shared" si="7"/>
        <v>1.6820261414203348</v>
      </c>
      <c r="O117" s="225">
        <f>IF(IFERROR(INDEX('Both teabags AfterWet'!$C$3:$C$841,MATCH(J117,'Both teabags AfterWet'!$A$3:$A$841,0)),"")="","",(IFERROR(INDEX('Both teabags AfterWet'!$C$3:$C$841,MATCH(J117,'Both teabags AfterWet'!$A$3:$A$841,0)),"")))</f>
        <v>0.67869999999999997</v>
      </c>
      <c r="P117" s="225">
        <f>IFERROR(IF(O117&gt;0,O117-(TBIcalc!$H$9),""),"")</f>
        <v>0.52810000000000001</v>
      </c>
      <c r="Q117" s="225">
        <f>IFERROR(INDEX('Ashed teabags wet'!$K$2:$K$821,MATCH(J117,'Ashed teabags wet'!$A$2:$A$821,0)),"")</f>
        <v>16.164658634537794</v>
      </c>
      <c r="R117" s="225">
        <f t="shared" si="11"/>
        <v>0.44273443775100596</v>
      </c>
      <c r="S117" s="226">
        <f>'WetLitterbags placem_collection'!E118</f>
        <v>42762</v>
      </c>
      <c r="T117" s="226">
        <f>IF('WetLitterbags placem_collection'!G118="","",'WetLitterbags placem_collection'!G118)</f>
        <v>42816</v>
      </c>
      <c r="U117" s="227">
        <f t="shared" si="8"/>
        <v>54</v>
      </c>
      <c r="V117" s="225">
        <f t="shared" si="9"/>
        <v>1.2520999999999998</v>
      </c>
      <c r="W117" s="225">
        <f t="shared" si="10"/>
        <v>1.2392917036693287</v>
      </c>
      <c r="X117">
        <f>IFERROR(INDEX(Rainfall_Wet!$O$2:$O$217,MATCH(B117, Rainfall_Wet!$A$2:$A$217,0)),"")</f>
        <v>206.85140822299999</v>
      </c>
      <c r="Y117" s="231">
        <v>27.96</v>
      </c>
      <c r="Z117" s="231">
        <v>4.9200000000000017</v>
      </c>
      <c r="AA117" s="231">
        <v>67.12</v>
      </c>
      <c r="AB117" s="232" t="s">
        <v>2670</v>
      </c>
      <c r="AC117" s="231">
        <v>3.8861015278462299</v>
      </c>
      <c r="AD117">
        <f>IF('WetLitterbags placem_collection'!AB118="","",'WetLitterbags placem_collection'!AB118)</f>
        <v>22.5</v>
      </c>
      <c r="AE117">
        <f>IF('WetLitterbags placem_collection'!Z118="","",'WetLitterbags placem_collection'!Z118)</f>
        <v>76</v>
      </c>
      <c r="AF117" s="246" t="str">
        <f>IF('WetLitterbags placem_collection'!AA118="","",'WetLitterbags placem_collection'!AA118)</f>
        <v>G</v>
      </c>
      <c r="AG117">
        <f>IF('WetLitterbags placem_collection'!AC118="","",'WetLitterbags placem_collection'!AC118)</f>
        <v>1</v>
      </c>
      <c r="AH117" s="24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placem_collection'!V118)),"YES","NO")</f>
        <v>NO</v>
      </c>
      <c r="AM117" t="str">
        <f>IF(ISNUMBER(SEARCH("H", 'WetLitterbags placem_collection'!V118)),"YES","NO")</f>
        <v>NO</v>
      </c>
      <c r="AN117" t="str">
        <f>IF(ISNUMBER(SEARCH("R", 'WetLitterbags placem_collection'!V118)),"YES","NO")</f>
        <v>NO</v>
      </c>
    </row>
    <row r="118" spans="1:40" ht="15" customHeight="1">
      <c r="A118" s="258" t="s">
        <v>2460</v>
      </c>
      <c r="B118" s="263">
        <f>'Dry_Litterbag Placem_Collection'!A119</f>
        <v>117</v>
      </c>
      <c r="C118" s="263" t="str">
        <f>'Dry_Litterbag Placem_Collection'!B119</f>
        <v xml:space="preserve">Mwantimba
</v>
      </c>
      <c r="D118" s="263" t="s">
        <v>2460</v>
      </c>
      <c r="E118" s="263" t="s">
        <v>2660</v>
      </c>
      <c r="F118" s="263">
        <v>3</v>
      </c>
      <c r="G118" s="264" t="str">
        <f>'Dry_Litterbag Placem_Collection'!C119</f>
        <v>Wet_Ag3_T5</v>
      </c>
      <c r="H118" s="265" t="s">
        <v>2541</v>
      </c>
      <c r="I118" s="266" t="s">
        <v>1147</v>
      </c>
      <c r="J118" s="223" t="str">
        <f>'WetLitterbags placem_collection'!K119</f>
        <v>G789</v>
      </c>
      <c r="K118" s="225">
        <f>IFERROR(INDEX('Green_rooibos initial weight'!$C$5:$C$1749,MATCH(J118, 'Green_rooibos initial weight'!$A$5:$A$1749,0)),"")</f>
        <v>2.109</v>
      </c>
      <c r="L118" s="225">
        <f>IFERROR(K118-(TBIcalc!$H$9+TBIcalc!$H$10),"")</f>
        <v>1.8592</v>
      </c>
      <c r="M118" s="391">
        <f>AVERAGE(Ashed_controlls!$K$2:$K$11)</f>
        <v>5.5147656768714146</v>
      </c>
      <c r="N118" s="225">
        <f t="shared" si="7"/>
        <v>1.7566694765356066</v>
      </c>
      <c r="O118" s="225">
        <f>IF(IFERROR(INDEX('Both teabags AfterWet'!$C$3:$C$841,MATCH(J118,'Both teabags AfterWet'!$A$3:$A$841,0)),"")="","",(IFERROR(INDEX('Both teabags AfterWet'!$C$3:$C$841,MATCH(J118,'Both teabags AfterWet'!$A$3:$A$841,0)),"")))</f>
        <v>0.79800000000000004</v>
      </c>
      <c r="P118" s="225">
        <f>IFERROR(IF(O118&gt;0,O118-(TBIcalc!$H$9),""),"")</f>
        <v>0.64739999999999998</v>
      </c>
      <c r="Q118" s="225">
        <f>IFERROR(INDEX('Ashed teabags wet'!$K$2:$K$821,MATCH(J118,'Ashed teabags wet'!$A$2:$A$821,0)),"")</f>
        <v>28.215353938185377</v>
      </c>
      <c r="R118" s="225">
        <f t="shared" si="11"/>
        <v>0.46473379860418784</v>
      </c>
      <c r="S118" s="226">
        <f>'WetLitterbags placem_collection'!E119</f>
        <v>42762</v>
      </c>
      <c r="T118" s="226">
        <f>IF('WetLitterbags placem_collection'!G119="","",'WetLitterbags placem_collection'!G119)</f>
        <v>42816</v>
      </c>
      <c r="U118" s="227">
        <f t="shared" si="8"/>
        <v>54</v>
      </c>
      <c r="V118" s="225">
        <f t="shared" si="9"/>
        <v>1.2118</v>
      </c>
      <c r="W118" s="225">
        <f t="shared" si="10"/>
        <v>1.2919356779314186</v>
      </c>
      <c r="X118">
        <f>IFERROR(INDEX(Rainfall_Wet!$O$2:$O$217,MATCH(B118, Rainfall_Wet!$A$2:$A$217,0)),"")</f>
        <v>206.85140822299999</v>
      </c>
      <c r="Y118" s="231">
        <v>27.96</v>
      </c>
      <c r="Z118" s="231">
        <v>4.9200000000000017</v>
      </c>
      <c r="AA118" s="231">
        <v>67.12</v>
      </c>
      <c r="AB118" s="232" t="s">
        <v>2670</v>
      </c>
      <c r="AC118" s="231">
        <v>4.8861015278462299</v>
      </c>
      <c r="AD118">
        <f>IF('WetLitterbags placem_collection'!AB119="","",'WetLitterbags placem_collection'!AB119)</f>
        <v>23.5</v>
      </c>
      <c r="AE118">
        <f>IF('WetLitterbags placem_collection'!Z119="","",'WetLitterbags placem_collection'!Z119)</f>
        <v>76</v>
      </c>
      <c r="AF118" s="246" t="str">
        <f>IF('WetLitterbags placem_collection'!AA119="","",'WetLitterbags placem_collection'!AA119)</f>
        <v>G</v>
      </c>
      <c r="AG118">
        <f>IF('WetLitterbags placem_collection'!AC119="","",'WetLitterbags placem_collection'!AC119)</f>
        <v>1</v>
      </c>
      <c r="AH118" s="24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placem_collection'!V119)),"YES","NO")</f>
        <v>NO</v>
      </c>
      <c r="AM118" t="str">
        <f>IF(ISNUMBER(SEARCH("H", 'WetLitterbags placem_collection'!V119)),"YES","NO")</f>
        <v>YES</v>
      </c>
      <c r="AN118" t="str">
        <f>IF(ISNUMBER(SEARCH("R", 'WetLitterbags placem_collection'!V119)),"YES","NO")</f>
        <v>YES</v>
      </c>
    </row>
    <row r="119" spans="1:40" ht="15" customHeight="1">
      <c r="A119" s="258" t="s">
        <v>2460</v>
      </c>
      <c r="B119" s="263">
        <f>'Dry_Litterbag Placem_Collection'!A120</f>
        <v>118</v>
      </c>
      <c r="C119" s="263" t="str">
        <f>'Dry_Litterbag Placem_Collection'!B120</f>
        <v xml:space="preserve">Mwantimba
</v>
      </c>
      <c r="D119" s="263" t="s">
        <v>2460</v>
      </c>
      <c r="E119" s="263" t="s">
        <v>2660</v>
      </c>
      <c r="F119" s="263">
        <v>3</v>
      </c>
      <c r="G119" s="264" t="str">
        <f>'Dry_Litterbag Placem_Collection'!C120</f>
        <v>Wet_Ag3_T6</v>
      </c>
      <c r="H119" s="265" t="s">
        <v>2541</v>
      </c>
      <c r="I119" s="266" t="s">
        <v>1147</v>
      </c>
      <c r="J119" s="223" t="str">
        <f>'WetLitterbags placem_collection'!K120</f>
        <v>G681</v>
      </c>
      <c r="K119" s="225">
        <f>IFERROR(INDEX('Green_rooibos initial weight'!$C$5:$C$1749,MATCH(J119, 'Green_rooibos initial weight'!$A$5:$A$1749,0)),"")</f>
        <v>2.0790000000000002</v>
      </c>
      <c r="L119" s="225">
        <f>IFERROR(K119-(TBIcalc!$H$9+TBIcalc!$H$10),"")</f>
        <v>1.8292000000000002</v>
      </c>
      <c r="M119" s="391">
        <f>AVERAGE(Ashed_controlls!$K$2:$K$11)</f>
        <v>5.5147656768714146</v>
      </c>
      <c r="N119" s="225">
        <f t="shared" si="7"/>
        <v>1.7283239062386682</v>
      </c>
      <c r="O119" s="225">
        <f>IF(IFERROR(INDEX('Both teabags AfterWet'!$C$3:$C$841,MATCH(J119,'Both teabags AfterWet'!$A$3:$A$841,0)),"")="","",(IFERROR(INDEX('Both teabags AfterWet'!$C$3:$C$841,MATCH(J119,'Both teabags AfterWet'!$A$3:$A$841,0)),"")))</f>
        <v>0.56799999999999995</v>
      </c>
      <c r="P119" s="225">
        <f>IFERROR(IF(O119&gt;0,O119-(TBIcalc!$H$9),""),"")</f>
        <v>0.41739999999999994</v>
      </c>
      <c r="Q119" s="225">
        <f>IFERROR(INDEX('Ashed teabags wet'!$K$2:$K$821,MATCH(J119,'Ashed teabags wet'!$A$2:$A$821,0)),"")</f>
        <v>15.039447731755478</v>
      </c>
      <c r="R119" s="225">
        <f t="shared" si="11"/>
        <v>0.35462534516765259</v>
      </c>
      <c r="S119" s="226">
        <f>'WetLitterbags placem_collection'!E120</f>
        <v>42762</v>
      </c>
      <c r="T119" s="226">
        <f>IF('WetLitterbags placem_collection'!G120="","",'WetLitterbags placem_collection'!G120)</f>
        <v>42816</v>
      </c>
      <c r="U119" s="227">
        <f t="shared" si="8"/>
        <v>54</v>
      </c>
      <c r="V119" s="225">
        <f t="shared" si="9"/>
        <v>1.4118000000000002</v>
      </c>
      <c r="W119" s="225">
        <f t="shared" si="10"/>
        <v>1.3736985610710155</v>
      </c>
      <c r="X119">
        <f>IFERROR(INDEX(Rainfall_Wet!$O$2:$O$217,MATCH(B119, Rainfall_Wet!$A$2:$A$217,0)),"")</f>
        <v>206.85140822299999</v>
      </c>
      <c r="Y119" s="231">
        <v>27.96</v>
      </c>
      <c r="Z119" s="231">
        <v>4.9200000000000017</v>
      </c>
      <c r="AA119" s="231">
        <v>67.12</v>
      </c>
      <c r="AB119" s="232" t="s">
        <v>2670</v>
      </c>
      <c r="AC119" s="231">
        <v>5.8861015278462299</v>
      </c>
      <c r="AD119">
        <f>IF('WetLitterbags placem_collection'!AB120="","",'WetLitterbags placem_collection'!AB120)</f>
        <v>17.5</v>
      </c>
      <c r="AE119">
        <f>IF('WetLitterbags placem_collection'!Z120="","",'WetLitterbags placem_collection'!Z120)</f>
        <v>70.5</v>
      </c>
      <c r="AF119" s="246" t="str">
        <f>IF('WetLitterbags placem_collection'!AA120="","",'WetLitterbags placem_collection'!AA120)</f>
        <v>G</v>
      </c>
      <c r="AG119">
        <f>IF('WetLitterbags placem_collection'!AC120="","",'WetLitterbags placem_collection'!AC120)</f>
        <v>1</v>
      </c>
      <c r="AH119" s="24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placem_collection'!V120)),"YES","NO")</f>
        <v>YES</v>
      </c>
      <c r="AM119" t="str">
        <f>IF(ISNUMBER(SEARCH("H", 'WetLitterbags placem_collection'!V120)),"YES","NO")</f>
        <v>YES</v>
      </c>
      <c r="AN119" t="str">
        <f>IF(ISNUMBER(SEARCH("R", 'WetLitterbags placem_collection'!V120)),"YES","NO")</f>
        <v>YES</v>
      </c>
    </row>
    <row r="120" spans="1:40" ht="15" customHeight="1">
      <c r="A120" s="258" t="s">
        <v>2460</v>
      </c>
      <c r="B120" s="263">
        <f>'Dry_Litterbag Placem_Collection'!A121</f>
        <v>119</v>
      </c>
      <c r="C120" s="263" t="str">
        <f>'Dry_Litterbag Placem_Collection'!B121</f>
        <v xml:space="preserve">Mwantimba
</v>
      </c>
      <c r="D120" s="263" t="s">
        <v>2460</v>
      </c>
      <c r="E120" s="263" t="s">
        <v>2660</v>
      </c>
      <c r="F120" s="263">
        <v>3</v>
      </c>
      <c r="G120" s="264" t="str">
        <f>'Dry_Litterbag Placem_Collection'!C121</f>
        <v>Wet_Ag3_T7</v>
      </c>
      <c r="H120" s="265" t="s">
        <v>2541</v>
      </c>
      <c r="I120" s="266" t="s">
        <v>1147</v>
      </c>
      <c r="J120" s="223" t="str">
        <f>'WetLitterbags placem_collection'!K121</f>
        <v>G657</v>
      </c>
      <c r="K120" s="225">
        <f>IFERROR(INDEX('Green_rooibos initial weight'!$C$5:$C$1749,MATCH(J120, 'Green_rooibos initial weight'!$A$5:$A$1749,0)),"")</f>
        <v>1.9910000000000001</v>
      </c>
      <c r="L120" s="225">
        <f>IFERROR(K120-(TBIcalc!$H$9+TBIcalc!$H$10),"")</f>
        <v>1.7412000000000001</v>
      </c>
      <c r="M120" s="391">
        <f>AVERAGE(Ashed_controlls!$K$2:$K$11)</f>
        <v>5.5147656768714146</v>
      </c>
      <c r="N120" s="225">
        <f t="shared" si="7"/>
        <v>1.645176900034315</v>
      </c>
      <c r="O120" s="225">
        <f>IF(IFERROR(INDEX('Both teabags AfterWet'!$C$3:$C$841,MATCH(J120,'Both teabags AfterWet'!$A$3:$A$841,0)),"")="","",(IFERROR(INDEX('Both teabags AfterWet'!$C$3:$C$841,MATCH(J120,'Both teabags AfterWet'!$A$3:$A$841,0)),"")))</f>
        <v>0.70099999999999996</v>
      </c>
      <c r="P120" s="225">
        <f>IFERROR(IF(O120&gt;0,O120-(TBIcalc!$H$9),""),"")</f>
        <v>0.5504</v>
      </c>
      <c r="Q120" s="225">
        <f>IFERROR(INDEX('Ashed teabags wet'!$K$2:$K$821,MATCH(J120,'Ashed teabags wet'!$A$2:$A$821,0)),"")</f>
        <v>15.711556829035821</v>
      </c>
      <c r="R120" s="225">
        <f t="shared" si="11"/>
        <v>0.46392359121298682</v>
      </c>
      <c r="S120" s="226">
        <f>'WetLitterbags placem_collection'!E121</f>
        <v>42762</v>
      </c>
      <c r="T120" s="226">
        <f>IF('WetLitterbags placem_collection'!G121="","",'WetLitterbags placem_collection'!G121)</f>
        <v>42816</v>
      </c>
      <c r="U120" s="227">
        <f t="shared" si="8"/>
        <v>54</v>
      </c>
      <c r="V120" s="225">
        <f t="shared" si="9"/>
        <v>1.1908000000000001</v>
      </c>
      <c r="W120" s="225">
        <f t="shared" si="10"/>
        <v>1.1812533088213282</v>
      </c>
      <c r="X120">
        <f>IFERROR(INDEX(Rainfall_Wet!$O$2:$O$217,MATCH(B120, Rainfall_Wet!$A$2:$A$217,0)),"")</f>
        <v>206.85140822299999</v>
      </c>
      <c r="Y120" s="231">
        <v>27.96</v>
      </c>
      <c r="Z120" s="231">
        <v>4.9200000000000017</v>
      </c>
      <c r="AA120" s="231">
        <v>67.12</v>
      </c>
      <c r="AB120" s="232" t="s">
        <v>2670</v>
      </c>
      <c r="AC120" s="231">
        <v>6.8861015278462299</v>
      </c>
      <c r="AD120">
        <f>IF('WetLitterbags placem_collection'!AB121="","",'WetLitterbags placem_collection'!AB121)</f>
        <v>18.5</v>
      </c>
      <c r="AE120">
        <f>IF('WetLitterbags placem_collection'!Z121="","",'WetLitterbags placem_collection'!Z121)</f>
        <v>74.5</v>
      </c>
      <c r="AF120" s="246" t="str">
        <f>IF('WetLitterbags placem_collection'!AA121="","",'WetLitterbags placem_collection'!AA121)</f>
        <v>G</v>
      </c>
      <c r="AG120">
        <f>IF('WetLitterbags placem_collection'!AC121="","",'WetLitterbags placem_collection'!AC121)</f>
        <v>1</v>
      </c>
      <c r="AH120" s="24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placem_collection'!V121)),"YES","NO")</f>
        <v>NO</v>
      </c>
      <c r="AM120" t="str">
        <f>IF(ISNUMBER(SEARCH("H", 'WetLitterbags placem_collection'!V121)),"YES","NO")</f>
        <v>NO</v>
      </c>
      <c r="AN120" t="str">
        <f>IF(ISNUMBER(SEARCH("R", 'WetLitterbags placem_collection'!V121)),"YES","NO")</f>
        <v>YES</v>
      </c>
    </row>
    <row r="121" spans="1:40" ht="15" customHeight="1">
      <c r="A121" s="258" t="s">
        <v>2460</v>
      </c>
      <c r="B121" s="263">
        <f>'Dry_Litterbag Placem_Collection'!A122</f>
        <v>120</v>
      </c>
      <c r="C121" s="263" t="str">
        <f>'Dry_Litterbag Placem_Collection'!B122</f>
        <v xml:space="preserve">Mwantimba
</v>
      </c>
      <c r="D121" s="263" t="s">
        <v>2460</v>
      </c>
      <c r="E121" s="263" t="s">
        <v>2660</v>
      </c>
      <c r="F121" s="263">
        <v>3</v>
      </c>
      <c r="G121" s="264" t="str">
        <f>'Dry_Litterbag Placem_Collection'!C122</f>
        <v>Wet_Ag3_T8</v>
      </c>
      <c r="H121" s="265" t="s">
        <v>2541</v>
      </c>
      <c r="I121" s="266" t="s">
        <v>1147</v>
      </c>
      <c r="J121" s="223" t="str">
        <f>'WetLitterbags placem_collection'!K122</f>
        <v>G758</v>
      </c>
      <c r="K121" s="225">
        <f>IFERROR(INDEX('Green_rooibos initial weight'!$C$5:$C$1749,MATCH(J121, 'Green_rooibos initial weight'!$A$5:$A$1749,0)),"")</f>
        <v>2.0310000000000001</v>
      </c>
      <c r="L121" s="225">
        <f>IFERROR(K121-(TBIcalc!$H$9+TBIcalc!$H$10),"")</f>
        <v>1.7812000000000001</v>
      </c>
      <c r="M121" s="391">
        <f>AVERAGE(Ashed_controlls!$K$2:$K$11)</f>
        <v>5.5147656768714146</v>
      </c>
      <c r="N121" s="225">
        <f t="shared" si="7"/>
        <v>1.6829709937635664</v>
      </c>
      <c r="O121" s="225">
        <f>IF(IFERROR(INDEX('Both teabags AfterWet'!$C$3:$C$841,MATCH(J121,'Both teabags AfterWet'!$A$3:$A$841,0)),"")="","",(IFERROR(INDEX('Both teabags AfterWet'!$C$3:$C$841,MATCH(J121,'Both teabags AfterWet'!$A$3:$A$841,0)),"")))</f>
        <v>0.67110000000000003</v>
      </c>
      <c r="P121" s="225">
        <f>IFERROR(IF(O121&gt;0,O121-(TBIcalc!$H$9),""),"")</f>
        <v>0.52049999999999996</v>
      </c>
      <c r="Q121" s="225">
        <f>IFERROR(INDEX('Ashed teabags wet'!$K$2:$K$821,MATCH(J121,'Ashed teabags wet'!$A$2:$A$821,0)),"")</f>
        <v>20.466444550213541</v>
      </c>
      <c r="R121" s="225">
        <f t="shared" si="11"/>
        <v>0.41397215611613847</v>
      </c>
      <c r="S121" s="226">
        <f>'WetLitterbags placem_collection'!E122</f>
        <v>42762</v>
      </c>
      <c r="T121" s="226">
        <f>IF('WetLitterbags placem_collection'!G122="","",'WetLitterbags placem_collection'!G122)</f>
        <v>42816</v>
      </c>
      <c r="U121" s="227">
        <f t="shared" si="8"/>
        <v>54</v>
      </c>
      <c r="V121" s="225">
        <f t="shared" si="9"/>
        <v>1.2607000000000002</v>
      </c>
      <c r="W121" s="225">
        <f t="shared" si="10"/>
        <v>1.2689988376474279</v>
      </c>
      <c r="X121">
        <f>IFERROR(INDEX(Rainfall_Wet!$O$2:$O$217,MATCH(B121, Rainfall_Wet!$A$2:$A$217,0)),"")</f>
        <v>206.85140822299999</v>
      </c>
      <c r="Y121" s="231">
        <v>27.96</v>
      </c>
      <c r="Z121" s="231">
        <v>4.9200000000000017</v>
      </c>
      <c r="AA121" s="231">
        <v>67.12</v>
      </c>
      <c r="AB121" s="232" t="s">
        <v>2670</v>
      </c>
      <c r="AC121" s="231">
        <v>7.8861015278462299</v>
      </c>
      <c r="AD121">
        <f>IF('WetLitterbags placem_collection'!AB122="","",'WetLitterbags placem_collection'!AB122)</f>
        <v>19</v>
      </c>
      <c r="AE121">
        <f>IF('WetLitterbags placem_collection'!Z122="","",'WetLitterbags placem_collection'!Z122)</f>
        <v>98.5</v>
      </c>
      <c r="AF121" s="246" t="str">
        <f>IF('WetLitterbags placem_collection'!AA122="","",'WetLitterbags placem_collection'!AA122)</f>
        <v>G</v>
      </c>
      <c r="AG121">
        <f>IF('WetLitterbags placem_collection'!AC122="","",'WetLitterbags placem_collection'!AC122)</f>
        <v>0</v>
      </c>
      <c r="AH121" s="24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placem_collection'!V122)),"YES","NO")</f>
        <v>NO</v>
      </c>
      <c r="AM121" t="str">
        <f>IF(ISNUMBER(SEARCH("H", 'WetLitterbags placem_collection'!V122)),"YES","NO")</f>
        <v>YES</v>
      </c>
      <c r="AN121" t="str">
        <f>IF(ISNUMBER(SEARCH("R", 'WetLitterbags placem_collection'!V122)),"YES","NO")</f>
        <v>NO</v>
      </c>
    </row>
    <row r="122" spans="1:40" ht="15" customHeight="1">
      <c r="A122" s="258" t="s">
        <v>2460</v>
      </c>
      <c r="B122" s="263">
        <f>'Dry_Litterbag Placem_Collection'!A123</f>
        <v>121</v>
      </c>
      <c r="C122" s="263" t="str">
        <f>'Dry_Litterbag Placem_Collection'!B123</f>
        <v xml:space="preserve">Mwantimba
</v>
      </c>
      <c r="D122" s="263" t="s">
        <v>2460</v>
      </c>
      <c r="E122" s="263" t="s">
        <v>2660</v>
      </c>
      <c r="F122" s="263">
        <v>4</v>
      </c>
      <c r="G122" s="264" t="str">
        <f>'Dry_Litterbag Placem_Collection'!C123</f>
        <v>Wet_Ag4_T1</v>
      </c>
      <c r="H122" s="265" t="s">
        <v>2541</v>
      </c>
      <c r="I122" s="266" t="s">
        <v>1147</v>
      </c>
      <c r="J122" s="223" t="str">
        <f>'WetLitterbags placem_collection'!K123</f>
        <v>G666</v>
      </c>
      <c r="K122" s="225">
        <f>IFERROR(INDEX('Green_rooibos initial weight'!$C$5:$C$1749,MATCH(J122, 'Green_rooibos initial weight'!$A$5:$A$1749,0)),"")</f>
        <v>2.0819999999999999</v>
      </c>
      <c r="L122" s="225">
        <f>IFERROR(K122-(TBIcalc!$H$9+TBIcalc!$H$10),"")</f>
        <v>1.8321999999999998</v>
      </c>
      <c r="M122" s="391">
        <f>AVERAGE(Ashed_controlls!$K$2:$K$11)</f>
        <v>5.5147656768714146</v>
      </c>
      <c r="N122" s="225">
        <f t="shared" si="7"/>
        <v>1.7311584632683619</v>
      </c>
      <c r="O122" s="225">
        <f>IF(IFERROR(INDEX('Both teabags AfterWet'!$C$3:$C$841,MATCH(J122,'Both teabags AfterWet'!$A$3:$A$841,0)),"")="","",(IFERROR(INDEX('Both teabags AfterWet'!$C$3:$C$841,MATCH(J122,'Both teabags AfterWet'!$A$3:$A$841,0)),"")))</f>
        <v>0.63500000000000001</v>
      </c>
      <c r="P122" s="225">
        <f>IFERROR(IF(O122&gt;0,O122-(TBIcalc!$H$9),""),"")</f>
        <v>0.4844</v>
      </c>
      <c r="Q122" s="225">
        <f>IFERROR(INDEX('Ashed teabags wet'!$K$2:$K$821,MATCH(J122,'Ashed teabags wet'!$A$2:$A$821,0)),"")</f>
        <v>11.971153846154037</v>
      </c>
      <c r="R122" s="225">
        <f t="shared" si="11"/>
        <v>0.42641173076922984</v>
      </c>
      <c r="S122" s="226">
        <f>'WetLitterbags placem_collection'!E123</f>
        <v>42762</v>
      </c>
      <c r="T122" s="226">
        <f>IF('WetLitterbags placem_collection'!G123="","",'WetLitterbags placem_collection'!G123)</f>
        <v>42816</v>
      </c>
      <c r="U122" s="227">
        <f t="shared" si="8"/>
        <v>54</v>
      </c>
      <c r="V122" s="225">
        <f t="shared" si="9"/>
        <v>1.3477999999999999</v>
      </c>
      <c r="W122" s="225">
        <f t="shared" si="10"/>
        <v>1.304746732499132</v>
      </c>
      <c r="X122">
        <f>IFERROR(INDEX(Rainfall_Wet!$O$2:$O$217,MATCH(B122, Rainfall_Wet!$A$2:$A$217,0)),"")</f>
        <v>206.85140822299999</v>
      </c>
      <c r="Y122" s="231">
        <v>17.96</v>
      </c>
      <c r="Z122" s="231">
        <v>4.9199999999999982</v>
      </c>
      <c r="AA122" s="231">
        <v>77.12</v>
      </c>
      <c r="AB122" s="232" t="s">
        <v>2671</v>
      </c>
      <c r="AC122" s="231">
        <v>2.0220798422868409</v>
      </c>
      <c r="AD122">
        <f>IF('WetLitterbags placem_collection'!AB123="","",'WetLitterbags placem_collection'!AB123)</f>
        <v>9.65</v>
      </c>
      <c r="AE122">
        <f>IF('WetLitterbags placem_collection'!Z123="","",'WetLitterbags placem_collection'!Z123)</f>
        <v>63</v>
      </c>
      <c r="AF122" s="246" t="str">
        <f>IF('WetLitterbags placem_collection'!AA123="","",'WetLitterbags placem_collection'!AA123)</f>
        <v>G</v>
      </c>
      <c r="AG122">
        <f>IF('WetLitterbags placem_collection'!AC123="","",'WetLitterbags placem_collection'!AC123)</f>
        <v>0</v>
      </c>
      <c r="AH122" s="24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placem_collection'!V123)),"YES","NO")</f>
        <v>NO</v>
      </c>
      <c r="AM122" t="str">
        <f>IF(ISNUMBER(SEARCH("H", 'WetLitterbags placem_collection'!V123)),"YES","NO")</f>
        <v>NO</v>
      </c>
      <c r="AN122" t="str">
        <f>IF(ISNUMBER(SEARCH("R", 'WetLitterbags placem_collection'!V123)),"YES","NO")</f>
        <v>YES</v>
      </c>
    </row>
    <row r="123" spans="1:40" ht="15" customHeight="1">
      <c r="A123" s="258" t="s">
        <v>2460</v>
      </c>
      <c r="B123" s="263">
        <f>'Dry_Litterbag Placem_Collection'!A124</f>
        <v>122</v>
      </c>
      <c r="C123" s="263" t="str">
        <f>'Dry_Litterbag Placem_Collection'!B124</f>
        <v xml:space="preserve">Mwantimba
</v>
      </c>
      <c r="D123" s="263" t="s">
        <v>2460</v>
      </c>
      <c r="E123" s="263" t="s">
        <v>2660</v>
      </c>
      <c r="F123" s="263">
        <v>4</v>
      </c>
      <c r="G123" s="264" t="str">
        <f>'Dry_Litterbag Placem_Collection'!C124</f>
        <v>Wet_Ag4_T2</v>
      </c>
      <c r="H123" s="265" t="s">
        <v>2541</v>
      </c>
      <c r="I123" s="266" t="s">
        <v>1147</v>
      </c>
      <c r="J123" s="223" t="str">
        <f>'WetLitterbags placem_collection'!K124</f>
        <v>G860</v>
      </c>
      <c r="K123" s="225">
        <f>IFERROR(INDEX('Green_rooibos initial weight'!$C$5:$C$1749,MATCH(J123, 'Green_rooibos initial weight'!$A$5:$A$1749,0)),"")</f>
        <v>1.9570000000000001</v>
      </c>
      <c r="L123" s="225">
        <f>IFERROR(K123-(TBIcalc!$H$9+TBIcalc!$H$10),"")</f>
        <v>1.7072000000000001</v>
      </c>
      <c r="M123" s="391">
        <f>AVERAGE(Ashed_controlls!$K$2:$K$11)</f>
        <v>5.5147656768714146</v>
      </c>
      <c r="N123" s="225">
        <f t="shared" si="7"/>
        <v>1.6130519203644513</v>
      </c>
      <c r="O123" s="225">
        <f>IF(IFERROR(INDEX('Both teabags AfterWet'!$C$3:$C$841,MATCH(J123,'Both teabags AfterWet'!$A$3:$A$841,0)),"")="","",(IFERROR(INDEX('Both teabags AfterWet'!$C$3:$C$841,MATCH(J123,'Both teabags AfterWet'!$A$3:$A$841,0)),"")))</f>
        <v>0.76800000000000002</v>
      </c>
      <c r="P123" s="225">
        <f>IFERROR(IF(O123&gt;0,O123-(TBIcalc!$H$9),""),"")</f>
        <v>0.61739999999999995</v>
      </c>
      <c r="Q123" s="225">
        <f>IFERROR(INDEX('Ashed teabags wet'!$K$2:$K$821,MATCH(J123,'Ashed teabags wet'!$A$2:$A$821,0)),"")</f>
        <v>32.606541129831015</v>
      </c>
      <c r="R123" s="225">
        <f t="shared" si="11"/>
        <v>0.41608721506442325</v>
      </c>
      <c r="S123" s="226">
        <f>'WetLitterbags placem_collection'!E124</f>
        <v>42762</v>
      </c>
      <c r="T123" s="226">
        <f>IF('WetLitterbags placem_collection'!G124="","",'WetLitterbags placem_collection'!G124)</f>
        <v>42816</v>
      </c>
      <c r="U123" s="227">
        <f t="shared" si="8"/>
        <v>54</v>
      </c>
      <c r="V123" s="225">
        <f t="shared" si="9"/>
        <v>1.0898000000000001</v>
      </c>
      <c r="W123" s="225">
        <f t="shared" si="10"/>
        <v>1.1969647053000281</v>
      </c>
      <c r="X123">
        <f>IFERROR(INDEX(Rainfall_Wet!$O$2:$O$217,MATCH(B123, Rainfall_Wet!$A$2:$A$217,0)),"")</f>
        <v>206.85140822299999</v>
      </c>
      <c r="Y123" s="231">
        <v>17.96</v>
      </c>
      <c r="Z123" s="231">
        <v>4.9199999999999982</v>
      </c>
      <c r="AA123" s="231">
        <v>77.12</v>
      </c>
      <c r="AB123" s="232" t="s">
        <v>2671</v>
      </c>
      <c r="AC123" s="231">
        <v>3.02207984228684</v>
      </c>
      <c r="AD123">
        <f>IF('WetLitterbags placem_collection'!AB124="","",'WetLitterbags placem_collection'!AB124)</f>
        <v>3.1</v>
      </c>
      <c r="AE123">
        <f>IF('WetLitterbags placem_collection'!Z124="","",'WetLitterbags placem_collection'!Z124)</f>
        <v>53</v>
      </c>
      <c r="AF123" s="246" t="str">
        <f>IF('WetLitterbags placem_collection'!AA124="","",'WetLitterbags placem_collection'!AA124)</f>
        <v>G</v>
      </c>
      <c r="AG123">
        <f>IF('WetLitterbags placem_collection'!AC124="","",'WetLitterbags placem_collection'!AC124)</f>
        <v>0</v>
      </c>
      <c r="AH123" s="24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placem_collection'!V124)),"YES","NO")</f>
        <v>NO</v>
      </c>
      <c r="AM123" t="str">
        <f>IF(ISNUMBER(SEARCH("H", 'WetLitterbags placem_collection'!V124)),"YES","NO")</f>
        <v>YES</v>
      </c>
      <c r="AN123" t="str">
        <f>IF(ISNUMBER(SEARCH("R", 'WetLitterbags placem_collection'!V124)),"YES","NO")</f>
        <v>YES</v>
      </c>
    </row>
    <row r="124" spans="1:40" ht="15" customHeight="1">
      <c r="A124" s="258" t="s">
        <v>2460</v>
      </c>
      <c r="B124" s="263">
        <f>'Dry_Litterbag Placem_Collection'!A125</f>
        <v>123</v>
      </c>
      <c r="C124" s="263" t="str">
        <f>'Dry_Litterbag Placem_Collection'!B125</f>
        <v xml:space="preserve">Mwantimba
</v>
      </c>
      <c r="D124" s="263" t="s">
        <v>2460</v>
      </c>
      <c r="E124" s="263" t="s">
        <v>2660</v>
      </c>
      <c r="F124" s="263">
        <v>4</v>
      </c>
      <c r="G124" s="264" t="str">
        <f>'Dry_Litterbag Placem_Collection'!C125</f>
        <v>Wet_Ag4_T3</v>
      </c>
      <c r="H124" s="265" t="s">
        <v>2541</v>
      </c>
      <c r="I124" s="266" t="s">
        <v>1147</v>
      </c>
      <c r="J124" s="223" t="str">
        <f>'WetLitterbags placem_collection'!K125</f>
        <v>G694</v>
      </c>
      <c r="K124" s="225">
        <f>IFERROR(INDEX('Green_rooibos initial weight'!$C$5:$C$1749,MATCH(J124, 'Green_rooibos initial weight'!$A$5:$A$1749,0)),"")</f>
        <v>1.992</v>
      </c>
      <c r="L124" s="225">
        <f>IFERROR(K124-(TBIcalc!$H$9+TBIcalc!$H$10),"")</f>
        <v>1.7422</v>
      </c>
      <c r="M124" s="391">
        <f>AVERAGE(Ashed_controlls!$K$2:$K$11)</f>
        <v>5.5147656768714146</v>
      </c>
      <c r="N124" s="225">
        <f t="shared" si="7"/>
        <v>1.6461217523775462</v>
      </c>
      <c r="O124" s="225">
        <f>IF(IFERROR(INDEX('Both teabags AfterWet'!$C$3:$C$841,MATCH(J124,'Both teabags AfterWet'!$A$3:$A$841,0)),"")="","",(IFERROR(INDEX('Both teabags AfterWet'!$C$3:$C$841,MATCH(J124,'Both teabags AfterWet'!$A$3:$A$841,0)),"")))</f>
        <v>0.622</v>
      </c>
      <c r="P124" s="225">
        <f>IFERROR(IF(O124&gt;0,O124-(TBIcalc!$H$9),""),"")</f>
        <v>0.47139999999999999</v>
      </c>
      <c r="Q124" s="225">
        <f>IFERROR(INDEX('Ashed teabags wet'!$K$2:$K$821,MATCH(J124,'Ashed teabags wet'!$A$2:$A$821,0)),"")</f>
        <v>15.574174470182131</v>
      </c>
      <c r="R124" s="225">
        <f t="shared" si="11"/>
        <v>0.39798334154756143</v>
      </c>
      <c r="S124" s="226">
        <f>'WetLitterbags placem_collection'!E125</f>
        <v>42762</v>
      </c>
      <c r="T124" s="226">
        <f>IF('WetLitterbags placem_collection'!G125="","",'WetLitterbags placem_collection'!G125)</f>
        <v>42816</v>
      </c>
      <c r="U124" s="227">
        <f t="shared" si="8"/>
        <v>54</v>
      </c>
      <c r="V124" s="225">
        <f t="shared" si="9"/>
        <v>1.2707999999999999</v>
      </c>
      <c r="W124" s="225">
        <f t="shared" si="10"/>
        <v>1.2481384108299847</v>
      </c>
      <c r="X124">
        <f>IFERROR(INDEX(Rainfall_Wet!$O$2:$O$217,MATCH(B124, Rainfall_Wet!$A$2:$A$217,0)),"")</f>
        <v>206.85140822299999</v>
      </c>
      <c r="Y124" s="231">
        <v>17.96</v>
      </c>
      <c r="Z124" s="231">
        <v>4.9199999999999982</v>
      </c>
      <c r="AA124" s="231">
        <v>77.12</v>
      </c>
      <c r="AB124" s="232" t="s">
        <v>2671</v>
      </c>
      <c r="AC124" s="231">
        <v>4.02207984228684</v>
      </c>
      <c r="AD124">
        <f>IF('WetLitterbags placem_collection'!AB125="","",'WetLitterbags placem_collection'!AB125)</f>
        <v>3.9</v>
      </c>
      <c r="AE124">
        <f>IF('WetLitterbags placem_collection'!Z125="","",'WetLitterbags placem_collection'!Z125)</f>
        <v>51</v>
      </c>
      <c r="AF124" s="246" t="str">
        <f>IF('WetLitterbags placem_collection'!AA125="","",'WetLitterbags placem_collection'!AA125)</f>
        <v>G</v>
      </c>
      <c r="AG124">
        <f>IF('WetLitterbags placem_collection'!AC125="","",'WetLitterbags placem_collection'!AC125)</f>
        <v>1</v>
      </c>
      <c r="AH124" s="24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placem_collection'!V125)),"YES","NO")</f>
        <v>NO</v>
      </c>
      <c r="AM124" t="str">
        <f>IF(ISNUMBER(SEARCH("H", 'WetLitterbags placem_collection'!V125)),"YES","NO")</f>
        <v>NO</v>
      </c>
      <c r="AN124" t="str">
        <f>IF(ISNUMBER(SEARCH("R", 'WetLitterbags placem_collection'!V125)),"YES","NO")</f>
        <v>YES</v>
      </c>
    </row>
    <row r="125" spans="1:40" ht="15" customHeight="1">
      <c r="A125" s="258" t="s">
        <v>2460</v>
      </c>
      <c r="B125" s="263">
        <f>'Dry_Litterbag Placem_Collection'!A126</f>
        <v>124</v>
      </c>
      <c r="C125" s="263" t="str">
        <f>'Dry_Litterbag Placem_Collection'!B126</f>
        <v xml:space="preserve">Mwantimba
</v>
      </c>
      <c r="D125" s="263" t="s">
        <v>2460</v>
      </c>
      <c r="E125" s="263" t="s">
        <v>2660</v>
      </c>
      <c r="F125" s="263">
        <v>4</v>
      </c>
      <c r="G125" s="264" t="str">
        <f>'Dry_Litterbag Placem_Collection'!C126</f>
        <v>Wet_Ag4_T4</v>
      </c>
      <c r="H125" s="265" t="s">
        <v>2541</v>
      </c>
      <c r="I125" s="266" t="s">
        <v>1147</v>
      </c>
      <c r="J125" s="223" t="str">
        <f>'WetLitterbags placem_collection'!K126</f>
        <v>G867</v>
      </c>
      <c r="K125" s="225">
        <f>IFERROR(INDEX('Green_rooibos initial weight'!$C$5:$C$1749,MATCH(J125, 'Green_rooibos initial weight'!$A$5:$A$1749,0)),"")</f>
        <v>1.907</v>
      </c>
      <c r="L125" s="225">
        <f>IFERROR(K125-(TBIcalc!$H$9+TBIcalc!$H$10),"")</f>
        <v>1.6572</v>
      </c>
      <c r="M125" s="391">
        <f>AVERAGE(Ashed_controlls!$K$2:$K$11)</f>
        <v>5.5147656768714146</v>
      </c>
      <c r="N125" s="225">
        <f t="shared" si="7"/>
        <v>1.565809303202887</v>
      </c>
      <c r="O125" s="225" t="str">
        <f>IF(IFERROR(INDEX('Both teabags AfterWet'!$C$3:$C$841,MATCH(J125,'Both teabags AfterWet'!$A$3:$A$841,0)),"")="","",(IFERROR(INDEX('Both teabags AfterWet'!$C$3:$C$841,MATCH(J125,'Both teabags AfterWet'!$A$3:$A$841,0)),"")))</f>
        <v/>
      </c>
      <c r="P125" s="225" t="str">
        <f>IFERROR(IF(O125&gt;0,O125-(TBIcalc!$H$9),""),"")</f>
        <v/>
      </c>
      <c r="Q125" s="225">
        <f>IFERROR(INDEX('Ashed teabags wet'!$K$2:$K$821,MATCH(J125,'Ashed teabags wet'!$A$2:$A$821,0)),"")</f>
        <v>31.594202898550535</v>
      </c>
      <c r="R125" s="225" t="str">
        <f t="shared" si="11"/>
        <v/>
      </c>
      <c r="S125" s="226">
        <f>'WetLitterbags placem_collection'!E126</f>
        <v>42762</v>
      </c>
      <c r="T125" s="226">
        <f>IF('WetLitterbags placem_collection'!G126="","",'WetLitterbags placem_collection'!G126)</f>
        <v>42816</v>
      </c>
      <c r="U125" s="227">
        <f t="shared" si="8"/>
        <v>54</v>
      </c>
      <c r="V125" s="225" t="str">
        <f t="shared" si="9"/>
        <v/>
      </c>
      <c r="W125" s="225" t="str">
        <f t="shared" si="10"/>
        <v/>
      </c>
      <c r="X125">
        <f>IFERROR(INDEX(Rainfall_Wet!$O$2:$O$217,MATCH(B125, Rainfall_Wet!$A$2:$A$217,0)),"")</f>
        <v>206.85140822299999</v>
      </c>
      <c r="Y125" s="231">
        <v>17.96</v>
      </c>
      <c r="Z125" s="231">
        <v>4.9199999999999982</v>
      </c>
      <c r="AA125" s="231">
        <v>77.12</v>
      </c>
      <c r="AB125" s="232" t="s">
        <v>2671</v>
      </c>
      <c r="AC125" s="231">
        <v>5.02207984228684</v>
      </c>
      <c r="AD125">
        <f>IF('WetLitterbags placem_collection'!AB126="","",'WetLitterbags placem_collection'!AB126)</f>
        <v>5.45</v>
      </c>
      <c r="AE125">
        <f>IF('WetLitterbags placem_collection'!Z126="","",'WetLitterbags placem_collection'!Z126)</f>
        <v>47</v>
      </c>
      <c r="AF125" s="246" t="str">
        <f>IF('WetLitterbags placem_collection'!AA126="","",'WetLitterbags placem_collection'!AA126)</f>
        <v>G</v>
      </c>
      <c r="AG125">
        <f>IF('WetLitterbags placem_collection'!AC126="","",'WetLitterbags placem_collection'!AC126)</f>
        <v>1</v>
      </c>
      <c r="AH125" s="24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placem_collection'!V126)),"YES","NO")</f>
        <v>NO</v>
      </c>
      <c r="AM125" t="str">
        <f>IF(ISNUMBER(SEARCH("H", 'WetLitterbags placem_collection'!V126)),"YES","NO")</f>
        <v>YES</v>
      </c>
      <c r="AN125" t="str">
        <f>IF(ISNUMBER(SEARCH("R", 'WetLitterbags placem_collection'!V126)),"YES","NO")</f>
        <v>YES</v>
      </c>
    </row>
    <row r="126" spans="1:40" ht="15" customHeight="1">
      <c r="A126" s="258" t="s">
        <v>2460</v>
      </c>
      <c r="B126" s="263">
        <f>'Dry_Litterbag Placem_Collection'!A127</f>
        <v>125</v>
      </c>
      <c r="C126" s="263" t="str">
        <f>'Dry_Litterbag Placem_Collection'!B127</f>
        <v xml:space="preserve">Mwantimba
</v>
      </c>
      <c r="D126" s="263" t="s">
        <v>2460</v>
      </c>
      <c r="E126" s="263" t="s">
        <v>2660</v>
      </c>
      <c r="F126" s="263">
        <v>4</v>
      </c>
      <c r="G126" s="264" t="str">
        <f>'Dry_Litterbag Placem_Collection'!C127</f>
        <v>Wet_Ag4_T5</v>
      </c>
      <c r="H126" s="265" t="s">
        <v>2541</v>
      </c>
      <c r="I126" s="266" t="s">
        <v>1147</v>
      </c>
      <c r="J126" s="223" t="str">
        <f>'WetLitterbags placem_collection'!K127</f>
        <v>G793</v>
      </c>
      <c r="K126" s="225">
        <f>IFERROR(INDEX('Green_rooibos initial weight'!$C$5:$C$1749,MATCH(J126, 'Green_rooibos initial weight'!$A$5:$A$1749,0)),"")</f>
        <v>2.0459999999999998</v>
      </c>
      <c r="L126" s="225">
        <f>IFERROR(K126-(TBIcalc!$H$9+TBIcalc!$H$10),"")</f>
        <v>1.7961999999999998</v>
      </c>
      <c r="M126" s="391">
        <f>AVERAGE(Ashed_controlls!$K$2:$K$11)</f>
        <v>5.5147656768714146</v>
      </c>
      <c r="N126" s="225">
        <f t="shared" si="7"/>
        <v>1.6971437789120354</v>
      </c>
      <c r="O126" s="225">
        <f>IF(IFERROR(INDEX('Both teabags AfterWet'!$C$3:$C$841,MATCH(J126,'Both teabags AfterWet'!$A$3:$A$841,0)),"")="","",(IFERROR(INDEX('Both teabags AfterWet'!$C$3:$C$841,MATCH(J126,'Both teabags AfterWet'!$A$3:$A$841,0)),"")))</f>
        <v>0.77200000000000002</v>
      </c>
      <c r="P126" s="225">
        <f>IFERROR(IF(O126&gt;0,O126-(TBIcalc!$H$9),""),"")</f>
        <v>0.62139999999999995</v>
      </c>
      <c r="Q126" s="225">
        <f>IFERROR(INDEX('Ashed teabags wet'!$K$2:$K$821,MATCH(J126,'Ashed teabags wet'!$A$2:$A$821,0)),"")</f>
        <v>27.918529557873711</v>
      </c>
      <c r="R126" s="225">
        <f t="shared" si="11"/>
        <v>0.44791425732737272</v>
      </c>
      <c r="S126" s="226">
        <f>'WetLitterbags placem_collection'!E127</f>
        <v>42762</v>
      </c>
      <c r="T126" s="226">
        <f>IF('WetLitterbags placem_collection'!G127="","",'WetLitterbags placem_collection'!G127)</f>
        <v>42816</v>
      </c>
      <c r="U126" s="227">
        <f t="shared" si="8"/>
        <v>54</v>
      </c>
      <c r="V126" s="225">
        <f t="shared" si="9"/>
        <v>1.1747999999999998</v>
      </c>
      <c r="W126" s="225">
        <f t="shared" si="10"/>
        <v>1.2492295215846627</v>
      </c>
      <c r="X126">
        <f>IFERROR(INDEX(Rainfall_Wet!$O$2:$O$217,MATCH(B126, Rainfall_Wet!$A$2:$A$217,0)),"")</f>
        <v>206.85140822299999</v>
      </c>
      <c r="Y126" s="231">
        <v>17.96</v>
      </c>
      <c r="Z126" s="231">
        <v>4.9199999999999982</v>
      </c>
      <c r="AA126" s="231">
        <v>77.12</v>
      </c>
      <c r="AB126" s="232" t="s">
        <v>2671</v>
      </c>
      <c r="AC126" s="231">
        <v>6.02207984228684</v>
      </c>
      <c r="AD126">
        <f>IF('WetLitterbags placem_collection'!AB127="","",'WetLitterbags placem_collection'!AB127)</f>
        <v>9.3000000000000007</v>
      </c>
      <c r="AE126">
        <f>IF('WetLitterbags placem_collection'!Z127="","",'WetLitterbags placem_collection'!Z127)</f>
        <v>43</v>
      </c>
      <c r="AF126" s="246" t="str">
        <f>IF('WetLitterbags placem_collection'!AA127="","",'WetLitterbags placem_collection'!AA127)</f>
        <v>G</v>
      </c>
      <c r="AG126">
        <f>IF('WetLitterbags placem_collection'!AC127="","",'WetLitterbags placem_collection'!AC127)</f>
        <v>1</v>
      </c>
      <c r="AH126" s="24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placem_collection'!V127)),"YES","NO")</f>
        <v>NO</v>
      </c>
      <c r="AM126" t="str">
        <f>IF(ISNUMBER(SEARCH("H", 'WetLitterbags placem_collection'!V127)),"YES","NO")</f>
        <v>YES</v>
      </c>
      <c r="AN126" t="str">
        <f>IF(ISNUMBER(SEARCH("R", 'WetLitterbags placem_collection'!V127)),"YES","NO")</f>
        <v>YES</v>
      </c>
    </row>
    <row r="127" spans="1:40" ht="15" customHeight="1">
      <c r="A127" s="258" t="s">
        <v>2460</v>
      </c>
      <c r="B127" s="263">
        <f>'Dry_Litterbag Placem_Collection'!A128</f>
        <v>126</v>
      </c>
      <c r="C127" s="263" t="str">
        <f>'Dry_Litterbag Placem_Collection'!B128</f>
        <v xml:space="preserve">Mwantimba
</v>
      </c>
      <c r="D127" s="263" t="s">
        <v>2460</v>
      </c>
      <c r="E127" s="263" t="s">
        <v>2660</v>
      </c>
      <c r="F127" s="263">
        <v>4</v>
      </c>
      <c r="G127" s="264" t="str">
        <f>'Dry_Litterbag Placem_Collection'!C128</f>
        <v>Wet_Ag4_T6</v>
      </c>
      <c r="H127" s="265" t="s">
        <v>2541</v>
      </c>
      <c r="I127" s="266" t="s">
        <v>1147</v>
      </c>
      <c r="J127" s="223" t="str">
        <f>'WetLitterbags placem_collection'!K128</f>
        <v>G749</v>
      </c>
      <c r="K127" s="225">
        <f>IFERROR(INDEX('Green_rooibos initial weight'!$C$5:$C$1749,MATCH(J127, 'Green_rooibos initial weight'!$A$5:$A$1749,0)),"")</f>
        <v>2.0179999999999998</v>
      </c>
      <c r="L127" s="225">
        <f>IFERROR(K127-(TBIcalc!$H$9+TBIcalc!$H$10),"")</f>
        <v>1.7681999999999998</v>
      </c>
      <c r="M127" s="391">
        <f>AVERAGE(Ashed_controlls!$K$2:$K$11)</f>
        <v>5.5147656768714146</v>
      </c>
      <c r="N127" s="225">
        <f t="shared" si="7"/>
        <v>1.6706879133015595</v>
      </c>
      <c r="O127" s="225">
        <f>IF(IFERROR(INDEX('Both teabags AfterWet'!$C$3:$C$841,MATCH(J127,'Both teabags AfterWet'!$A$3:$A$841,0)),"")="","",(IFERROR(INDEX('Both teabags AfterWet'!$C$3:$C$841,MATCH(J127,'Both teabags AfterWet'!$A$3:$A$841,0)),"")))</f>
        <v>0.67800000000000005</v>
      </c>
      <c r="P127" s="225">
        <f>IFERROR(IF(O127&gt;0,O127-(TBIcalc!$H$9),""),"")</f>
        <v>0.52740000000000009</v>
      </c>
      <c r="Q127" s="225">
        <f>IFERROR(INDEX('Ashed teabags wet'!$K$2:$K$821,MATCH(J127,'Ashed teabags wet'!$A$2:$A$821,0)),"")</f>
        <v>14.484818317570399</v>
      </c>
      <c r="R127" s="225">
        <f t="shared" si="11"/>
        <v>0.4510070681931338</v>
      </c>
      <c r="S127" s="226">
        <f>'WetLitterbags placem_collection'!E128</f>
        <v>42762</v>
      </c>
      <c r="T127" s="226">
        <f>IF('WetLitterbags placem_collection'!G128="","",'WetLitterbags placem_collection'!G128)</f>
        <v>42816</v>
      </c>
      <c r="U127" s="227">
        <f t="shared" si="8"/>
        <v>54</v>
      </c>
      <c r="V127" s="225">
        <f t="shared" si="9"/>
        <v>1.2407999999999997</v>
      </c>
      <c r="W127" s="225">
        <f t="shared" si="10"/>
        <v>1.2196808451084258</v>
      </c>
      <c r="X127">
        <f>IFERROR(INDEX(Rainfall_Wet!$O$2:$O$217,MATCH(B127, Rainfall_Wet!$A$2:$A$217,0)),"")</f>
        <v>206.85140822299999</v>
      </c>
      <c r="Y127" s="231">
        <v>17.96</v>
      </c>
      <c r="Z127" s="231">
        <v>4.9199999999999982</v>
      </c>
      <c r="AA127" s="231">
        <v>77.12</v>
      </c>
      <c r="AB127" s="232" t="s">
        <v>2671</v>
      </c>
      <c r="AC127" s="231">
        <v>7.02207984228684</v>
      </c>
      <c r="AD127">
        <f>IF('WetLitterbags placem_collection'!AB128="","",'WetLitterbags placem_collection'!AB128)</f>
        <v>10.85</v>
      </c>
      <c r="AE127">
        <f>IF('WetLitterbags placem_collection'!Z128="","",'WetLitterbags placem_collection'!Z128)</f>
        <v>40</v>
      </c>
      <c r="AF127" s="246" t="str">
        <f>IF('WetLitterbags placem_collection'!AA128="","",'WetLitterbags placem_collection'!AA128)</f>
        <v>G</v>
      </c>
      <c r="AG127">
        <f>IF('WetLitterbags placem_collection'!AC128="","",'WetLitterbags placem_collection'!AC128)</f>
        <v>1</v>
      </c>
      <c r="AH127" s="24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placem_collection'!V128)),"YES","NO")</f>
        <v>NO</v>
      </c>
      <c r="AM127" t="str">
        <f>IF(ISNUMBER(SEARCH("H", 'WetLitterbags placem_collection'!V128)),"YES","NO")</f>
        <v>YES</v>
      </c>
      <c r="AN127" t="str">
        <f>IF(ISNUMBER(SEARCH("R", 'WetLitterbags placem_collection'!V128)),"YES","NO")</f>
        <v>YES</v>
      </c>
    </row>
    <row r="128" spans="1:40" ht="15" customHeight="1">
      <c r="A128" s="258" t="s">
        <v>2460</v>
      </c>
      <c r="B128" s="263">
        <f>'Dry_Litterbag Placem_Collection'!A129</f>
        <v>127</v>
      </c>
      <c r="C128" s="263" t="str">
        <f>'Dry_Litterbag Placem_Collection'!B129</f>
        <v xml:space="preserve">Mwantimba
</v>
      </c>
      <c r="D128" s="263" t="s">
        <v>2460</v>
      </c>
      <c r="E128" s="263" t="s">
        <v>2660</v>
      </c>
      <c r="F128" s="263">
        <v>4</v>
      </c>
      <c r="G128" s="264" t="str">
        <f>'Dry_Litterbag Placem_Collection'!C129</f>
        <v>Wet_Ag4_T7</v>
      </c>
      <c r="H128" s="265" t="s">
        <v>2541</v>
      </c>
      <c r="I128" s="266" t="s">
        <v>1147</v>
      </c>
      <c r="J128" s="223" t="str">
        <f>'WetLitterbags placem_collection'!K129</f>
        <v>G898</v>
      </c>
      <c r="K128" s="225">
        <f>IFERROR(INDEX('Green_rooibos initial weight'!$C$5:$C$1749,MATCH(J128, 'Green_rooibos initial weight'!$A$5:$A$1749,0)),"")</f>
        <v>1.893</v>
      </c>
      <c r="L128" s="225">
        <f>IFERROR(K128-(TBIcalc!$H$9+TBIcalc!$H$10),"")</f>
        <v>1.6432</v>
      </c>
      <c r="M128" s="391">
        <f>AVERAGE(Ashed_controlls!$K$2:$K$11)</f>
        <v>5.5147656768714146</v>
      </c>
      <c r="N128" s="225">
        <f t="shared" si="7"/>
        <v>1.552581370397649</v>
      </c>
      <c r="O128" s="225">
        <f>IF(IFERROR(INDEX('Both teabags AfterWet'!$C$3:$C$841,MATCH(J128,'Both teabags AfterWet'!$A$3:$A$841,0)),"")="","",(IFERROR(INDEX('Both teabags AfterWet'!$C$3:$C$841,MATCH(J128,'Both teabags AfterWet'!$A$3:$A$841,0)),"")))</f>
        <v>0.59099999999999997</v>
      </c>
      <c r="P128" s="225">
        <f>IFERROR(IF(O128&gt;0,O128-(TBIcalc!$H$9),""),"")</f>
        <v>0.44039999999999996</v>
      </c>
      <c r="Q128" s="225">
        <f>IFERROR(INDEX('Ashed teabags wet'!$K$2:$K$821,MATCH(J128,'Ashed teabags wet'!$A$2:$A$821,0)),"")</f>
        <v>18.25037707390678</v>
      </c>
      <c r="R128" s="225">
        <f t="shared" si="11"/>
        <v>0.36002533936651449</v>
      </c>
      <c r="S128" s="226">
        <f>'WetLitterbags placem_collection'!E129</f>
        <v>42762</v>
      </c>
      <c r="T128" s="226">
        <f>IF('WetLitterbags placem_collection'!G129="","",'WetLitterbags placem_collection'!G129)</f>
        <v>42816</v>
      </c>
      <c r="U128" s="227">
        <f t="shared" si="8"/>
        <v>54</v>
      </c>
      <c r="V128" s="225">
        <f t="shared" si="9"/>
        <v>1.2028000000000001</v>
      </c>
      <c r="W128" s="225">
        <f t="shared" si="10"/>
        <v>1.1925560310311345</v>
      </c>
      <c r="X128">
        <f>IFERROR(INDEX(Rainfall_Wet!$O$2:$O$217,MATCH(B128, Rainfall_Wet!$A$2:$A$217,0)),"")</f>
        <v>206.85140822299999</v>
      </c>
      <c r="Y128" s="231">
        <v>17.96</v>
      </c>
      <c r="Z128" s="231">
        <v>4.9199999999999982</v>
      </c>
      <c r="AA128" s="231">
        <v>77.12</v>
      </c>
      <c r="AB128" s="232" t="s">
        <v>2671</v>
      </c>
      <c r="AC128" s="231">
        <v>8.0220798422868391</v>
      </c>
      <c r="AD128">
        <f>IF('WetLitterbags placem_collection'!AB129="","",'WetLitterbags placem_collection'!AB129)</f>
        <v>5.35</v>
      </c>
      <c r="AE128">
        <f>IF('WetLitterbags placem_collection'!Z129="","",'WetLitterbags placem_collection'!Z129)</f>
        <v>58</v>
      </c>
      <c r="AF128" s="246" t="str">
        <f>IF('WetLitterbags placem_collection'!AA129="","",'WetLitterbags placem_collection'!AA129)</f>
        <v>G</v>
      </c>
      <c r="AG128">
        <f>IF('WetLitterbags placem_collection'!AC129="","",'WetLitterbags placem_collection'!AC129)</f>
        <v>1</v>
      </c>
      <c r="AH128" s="24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placem_collection'!V129)),"YES","NO")</f>
        <v>NO</v>
      </c>
      <c r="AM128" t="str">
        <f>IF(ISNUMBER(SEARCH("H", 'WetLitterbags placem_collection'!V129)),"YES","NO")</f>
        <v>YES</v>
      </c>
      <c r="AN128" t="str">
        <f>IF(ISNUMBER(SEARCH("R", 'WetLitterbags placem_collection'!V129)),"YES","NO")</f>
        <v>YES</v>
      </c>
    </row>
    <row r="129" spans="1:40" ht="15" customHeight="1">
      <c r="A129" s="258" t="s">
        <v>2460</v>
      </c>
      <c r="B129" s="263">
        <f>'Dry_Litterbag Placem_Collection'!A130</f>
        <v>128</v>
      </c>
      <c r="C129" s="263" t="str">
        <f>'Dry_Litterbag Placem_Collection'!B130</f>
        <v xml:space="preserve">Mwantimba
</v>
      </c>
      <c r="D129" s="263" t="s">
        <v>2460</v>
      </c>
      <c r="E129" s="263" t="s">
        <v>2660</v>
      </c>
      <c r="F129" s="263">
        <v>4</v>
      </c>
      <c r="G129" s="264" t="str">
        <f>'Dry_Litterbag Placem_Collection'!C130</f>
        <v>Wet_Ag4_T8</v>
      </c>
      <c r="H129" s="265" t="s">
        <v>2541</v>
      </c>
      <c r="I129" s="266" t="s">
        <v>1147</v>
      </c>
      <c r="J129" s="223" t="str">
        <f>'WetLitterbags placem_collection'!K130</f>
        <v>G834</v>
      </c>
      <c r="K129" s="225">
        <f>IFERROR(INDEX('Green_rooibos initial weight'!$C$5:$C$1749,MATCH(J129, 'Green_rooibos initial weight'!$A$5:$A$1749,0)),"")</f>
        <v>1.956</v>
      </c>
      <c r="L129" s="225">
        <f>IFERROR(K129-(TBIcalc!$H$9+TBIcalc!$H$10),"")</f>
        <v>1.7061999999999999</v>
      </c>
      <c r="M129" s="391">
        <f>AVERAGE(Ashed_controlls!$K$2:$K$11)</f>
        <v>5.5147656768714146</v>
      </c>
      <c r="N129" s="225">
        <f t="shared" si="7"/>
        <v>1.6121070680212199</v>
      </c>
      <c r="O129" s="225">
        <f>IF(IFERROR(INDEX('Both teabags AfterWet'!$C$3:$C$841,MATCH(J129,'Both teabags AfterWet'!$A$3:$A$841,0)),"")="","",(IFERROR(INDEX('Both teabags AfterWet'!$C$3:$C$841,MATCH(J129,'Both teabags AfterWet'!$A$3:$A$841,0)),"")))</f>
        <v>0.54500000000000004</v>
      </c>
      <c r="P129" s="225">
        <f>IFERROR(IF(O129&gt;0,O129-(TBIcalc!$H$9),""),"")</f>
        <v>0.39440000000000003</v>
      </c>
      <c r="Q129" s="225">
        <f>IFERROR(INDEX('Ashed teabags wet'!$K$2:$K$821,MATCH(J129,'Ashed teabags wet'!$A$2:$A$821,0)),"")</f>
        <v>12.928123492523619</v>
      </c>
      <c r="R129" s="225">
        <f t="shared" si="11"/>
        <v>0.3434114809454869</v>
      </c>
      <c r="S129" s="226">
        <f>'WetLitterbags placem_collection'!E130</f>
        <v>42762</v>
      </c>
      <c r="T129" s="226">
        <f>IF('WetLitterbags placem_collection'!G130="","",'WetLitterbags placem_collection'!G130)</f>
        <v>42816</v>
      </c>
      <c r="U129" s="227">
        <f t="shared" si="8"/>
        <v>54</v>
      </c>
      <c r="V129" s="225">
        <f t="shared" si="9"/>
        <v>1.3117999999999999</v>
      </c>
      <c r="W129" s="225">
        <f t="shared" si="10"/>
        <v>1.268695587075733</v>
      </c>
      <c r="X129">
        <f>IFERROR(INDEX(Rainfall_Wet!$O$2:$O$217,MATCH(B129, Rainfall_Wet!$A$2:$A$217,0)),"")</f>
        <v>206.85140822299999</v>
      </c>
      <c r="Y129" s="231">
        <v>17.96</v>
      </c>
      <c r="Z129" s="231">
        <v>4.9199999999999982</v>
      </c>
      <c r="AA129" s="231">
        <v>77.12</v>
      </c>
      <c r="AB129" s="232" t="s">
        <v>2671</v>
      </c>
      <c r="AC129" s="231">
        <v>9.0220798422868391</v>
      </c>
      <c r="AD129">
        <f>IF('WetLitterbags placem_collection'!AB130="","",'WetLitterbags placem_collection'!AB130)</f>
        <v>10.9</v>
      </c>
      <c r="AE129">
        <f>IF('WetLitterbags placem_collection'!Z130="","",'WetLitterbags placem_collection'!Z130)</f>
        <v>44</v>
      </c>
      <c r="AF129" s="246" t="str">
        <f>IF('WetLitterbags placem_collection'!AA130="","",'WetLitterbags placem_collection'!AA130)</f>
        <v>G</v>
      </c>
      <c r="AG129">
        <f>IF('WetLitterbags placem_collection'!AC130="","",'WetLitterbags placem_collection'!AC130)</f>
        <v>0</v>
      </c>
      <c r="AH129" s="24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placem_collection'!V130)),"YES","NO")</f>
        <v>NO</v>
      </c>
      <c r="AM129" t="str">
        <f>IF(ISNUMBER(SEARCH("H", 'WetLitterbags placem_collection'!V130)),"YES","NO")</f>
        <v>NO</v>
      </c>
      <c r="AN129" t="str">
        <f>IF(ISNUMBER(SEARCH("R", 'WetLitterbags placem_collection'!V130)),"YES","NO")</f>
        <v>YES</v>
      </c>
    </row>
    <row r="130" spans="1:40" ht="15" customHeight="1">
      <c r="A130" s="258" t="s">
        <v>2460</v>
      </c>
      <c r="B130" s="263">
        <f>'Dry_Litterbag Placem_Collection'!A131</f>
        <v>129</v>
      </c>
      <c r="C130" s="263" t="str">
        <f>'Dry_Litterbag Placem_Collection'!B131</f>
        <v xml:space="preserve">Mwantimba
</v>
      </c>
      <c r="D130" s="263" t="s">
        <v>2460</v>
      </c>
      <c r="E130" s="263" t="s">
        <v>20</v>
      </c>
      <c r="F130" s="263">
        <v>1</v>
      </c>
      <c r="G130" s="264" t="str">
        <f>'Dry_Litterbag Placem_Collection'!C131</f>
        <v>Wet_P1_T1</v>
      </c>
      <c r="H130" s="265" t="s">
        <v>2541</v>
      </c>
      <c r="I130" s="266" t="s">
        <v>1147</v>
      </c>
      <c r="J130" s="223" t="str">
        <f>'WetLitterbags placem_collection'!K131</f>
        <v>G819</v>
      </c>
      <c r="K130" s="225">
        <f>IFERROR(INDEX('Green_rooibos initial weight'!$C$5:$C$1749,MATCH(J130, 'Green_rooibos initial weight'!$A$5:$A$1749,0)),"")</f>
        <v>1.9770000000000001</v>
      </c>
      <c r="L130" s="225">
        <f>IFERROR(K130-(TBIcalc!$H$9+TBIcalc!$H$10),"")</f>
        <v>1.7272000000000001</v>
      </c>
      <c r="M130" s="391">
        <f>AVERAGE(Ashed_controlls!$K$2:$K$11)</f>
        <v>5.5147656768714146</v>
      </c>
      <c r="N130" s="225">
        <f t="shared" si="7"/>
        <v>1.631948967229077</v>
      </c>
      <c r="O130" s="225">
        <f>IF(IFERROR(INDEX('Both teabags AfterWet'!$C$3:$C$841,MATCH(J130,'Both teabags AfterWet'!$A$3:$A$841,0)),"")="","",(IFERROR(INDEX('Both teabags AfterWet'!$C$3:$C$841,MATCH(J130,'Both teabags AfterWet'!$A$3:$A$841,0)),"")))</f>
        <v>0.59719999999999995</v>
      </c>
      <c r="P130" s="225">
        <f>IFERROR(IF(O130&gt;0,O130-(TBIcalc!$H$9),""),"")</f>
        <v>0.44659999999999994</v>
      </c>
      <c r="Q130" s="225">
        <f>IFERROR(INDEX('Ashed teabags wet'!$K$2:$K$821,MATCH(J130,'Ashed teabags wet'!$A$2:$A$821,0)),"")</f>
        <v>16.047548291233621</v>
      </c>
      <c r="R130" s="225">
        <f t="shared" si="11"/>
        <v>0.37493164933135059</v>
      </c>
      <c r="S130" s="226">
        <f>'WetLitterbags placem_collection'!E131</f>
        <v>42762</v>
      </c>
      <c r="T130" s="226">
        <f>IF('WetLitterbags placem_collection'!G131="","",'WetLitterbags placem_collection'!G131)</f>
        <v>42816</v>
      </c>
      <c r="U130" s="227">
        <f t="shared" si="8"/>
        <v>54</v>
      </c>
      <c r="V130" s="225">
        <f t="shared" si="9"/>
        <v>1.2806000000000002</v>
      </c>
      <c r="W130" s="225">
        <f t="shared" si="10"/>
        <v>1.2570173178977264</v>
      </c>
      <c r="X130">
        <f>IFERROR(INDEX(Rainfall_Wet!$O$2:$O$217,MATCH(B130, Rainfall_Wet!$A$2:$A$217,0)),"")</f>
        <v>206.85140822299999</v>
      </c>
      <c r="Y130" s="231">
        <v>31.214836424255054</v>
      </c>
      <c r="Z130" s="231">
        <v>11.377370285476141</v>
      </c>
      <c r="AA130" s="231">
        <v>57.407793290268799</v>
      </c>
      <c r="AB130" s="232" t="s">
        <v>2670</v>
      </c>
      <c r="AC130" s="231">
        <v>1.7337604731394776</v>
      </c>
      <c r="AD130">
        <f>IF('WetLitterbags placem_collection'!AB131="","",'WetLitterbags placem_collection'!AB131)</f>
        <v>2.4</v>
      </c>
      <c r="AE130">
        <f>IF('WetLitterbags placem_collection'!Z131="","",'WetLitterbags placem_collection'!Z131)</f>
        <v>2.4</v>
      </c>
      <c r="AF130" s="246" t="str">
        <f>IF('WetLitterbags placem_collection'!AA131="","",'WetLitterbags placem_collection'!AA131)</f>
        <v>O</v>
      </c>
      <c r="AG130">
        <f>IF('WetLitterbags placem_collection'!AC131="","",'WetLitterbags placem_collection'!AC131)</f>
        <v>1</v>
      </c>
      <c r="AH130" s="24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placem_collection'!V131)),"YES","NO")</f>
        <v>NO</v>
      </c>
      <c r="AM130" t="str">
        <f>IF(ISNUMBER(SEARCH("H", 'WetLitterbags placem_collection'!V131)),"YES","NO")</f>
        <v>NO</v>
      </c>
      <c r="AN130" t="str">
        <f>IF(ISNUMBER(SEARCH("R", 'WetLitterbags placem_collection'!V131)),"YES","NO")</f>
        <v>NO</v>
      </c>
    </row>
    <row r="131" spans="1:40" ht="15" customHeight="1">
      <c r="A131" s="258" t="s">
        <v>2460</v>
      </c>
      <c r="B131" s="263">
        <f>'Dry_Litterbag Placem_Collection'!A132</f>
        <v>130</v>
      </c>
      <c r="C131" s="263" t="str">
        <f>'Dry_Litterbag Placem_Collection'!B132</f>
        <v xml:space="preserve">Mwantimba
</v>
      </c>
      <c r="D131" s="263" t="s">
        <v>2460</v>
      </c>
      <c r="E131" s="263" t="s">
        <v>20</v>
      </c>
      <c r="F131" s="263">
        <v>1</v>
      </c>
      <c r="G131" s="264" t="str">
        <f>'Dry_Litterbag Placem_Collection'!C132</f>
        <v>Wet_P1_T2</v>
      </c>
      <c r="H131" s="265" t="s">
        <v>2541</v>
      </c>
      <c r="I131" s="266" t="s">
        <v>1147</v>
      </c>
      <c r="J131" s="223" t="str">
        <f>'WetLitterbags placem_collection'!K132</f>
        <v>G830</v>
      </c>
      <c r="K131" s="225">
        <f>IFERROR(INDEX('Green_rooibos initial weight'!$C$5:$C$1749,MATCH(J131, 'Green_rooibos initial weight'!$A$5:$A$1749,0)),"")</f>
        <v>1.8939999999999999</v>
      </c>
      <c r="L131" s="225">
        <f>IFERROR(K131-(TBIcalc!$H$9+TBIcalc!$H$10),"")</f>
        <v>1.6441999999999999</v>
      </c>
      <c r="M131" s="391">
        <f>AVERAGE(Ashed_controlls!$K$2:$K$11)</f>
        <v>5.5147656768714146</v>
      </c>
      <c r="N131" s="225">
        <f t="shared" ref="N131:N194" si="12">IFERROR(L131-(M131/100)*L131,"")</f>
        <v>1.5535262227408801</v>
      </c>
      <c r="O131" s="225">
        <f>IF(IFERROR(INDEX('Both teabags AfterWet'!$C$3:$C$841,MATCH(J131,'Both teabags AfterWet'!$A$3:$A$841,0)),"")="","",(IFERROR(INDEX('Both teabags AfterWet'!$C$3:$C$841,MATCH(J131,'Both teabags AfterWet'!$A$3:$A$841,0)),"")))</f>
        <v>0.54</v>
      </c>
      <c r="P131" s="225">
        <f>IFERROR(IF(O131&gt;0,O131-(TBIcalc!$H$9),""),"")</f>
        <v>0.38940000000000002</v>
      </c>
      <c r="Q131" s="225">
        <f>IFERROR(INDEX('Ashed teabags wet'!$K$2:$K$821,MATCH(J131,'Ashed teabags wet'!$A$2:$A$821,0)),"")</f>
        <v>12.680978532201229</v>
      </c>
      <c r="R131" s="225">
        <f t="shared" si="11"/>
        <v>0.34002026959560844</v>
      </c>
      <c r="S131" s="226">
        <f>'WetLitterbags placem_collection'!E132</f>
        <v>42762</v>
      </c>
      <c r="T131" s="226">
        <f>IF('WetLitterbags placem_collection'!G132="","",'WetLitterbags placem_collection'!G132)</f>
        <v>42816</v>
      </c>
      <c r="U131" s="227">
        <f t="shared" ref="U131:U194" si="13">IFERROR(T131-S131,"")</f>
        <v>54</v>
      </c>
      <c r="V131" s="225">
        <f t="shared" ref="V131:V194" si="14">IFERROR(L131-P131,"")</f>
        <v>1.2547999999999999</v>
      </c>
      <c r="W131" s="225">
        <f t="shared" ref="W131:W194" si="15">IFERROR(N131-R131,"")</f>
        <v>1.2135059531452717</v>
      </c>
      <c r="X131">
        <f>IFERROR(INDEX(Rainfall_Wet!$O$2:$O$217,MATCH(B131, Rainfall_Wet!$A$2:$A$217,0)),"")</f>
        <v>206.85140822299999</v>
      </c>
      <c r="Y131" s="231">
        <v>31.214836424255054</v>
      </c>
      <c r="Z131" s="231">
        <v>11.377370285476141</v>
      </c>
      <c r="AA131" s="231">
        <v>57.407793290268799</v>
      </c>
      <c r="AB131" s="232" t="s">
        <v>2670</v>
      </c>
      <c r="AC131" s="231">
        <v>2.7337604731394798</v>
      </c>
      <c r="AD131">
        <f>IF('WetLitterbags placem_collection'!AB132="","",'WetLitterbags placem_collection'!AB132)</f>
        <v>2.1</v>
      </c>
      <c r="AE131">
        <f>IF('WetLitterbags placem_collection'!Z132="","",'WetLitterbags placem_collection'!Z132)</f>
        <v>3.5</v>
      </c>
      <c r="AF131" s="246" t="str">
        <f>IF('WetLitterbags placem_collection'!AA132="","",'WetLitterbags placem_collection'!AA132)</f>
        <v>O</v>
      </c>
      <c r="AG131">
        <f>IF('WetLitterbags placem_collection'!AC132="","",'WetLitterbags placem_collection'!AC132)</f>
        <v>0</v>
      </c>
      <c r="AH131" s="24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placem_collection'!V132)),"YES","NO")</f>
        <v>NO</v>
      </c>
      <c r="AM131" t="str">
        <f>IF(ISNUMBER(SEARCH("H", 'WetLitterbags placem_collection'!V132)),"YES","NO")</f>
        <v>NO</v>
      </c>
      <c r="AN131" t="str">
        <f>IF(ISNUMBER(SEARCH("R", 'WetLitterbags placem_collection'!V132)),"YES","NO")</f>
        <v>YES</v>
      </c>
    </row>
    <row r="132" spans="1:40" ht="15" customHeight="1">
      <c r="A132" s="258" t="s">
        <v>2460</v>
      </c>
      <c r="B132" s="263">
        <f>'Dry_Litterbag Placem_Collection'!A133</f>
        <v>131</v>
      </c>
      <c r="C132" s="263" t="str">
        <f>'Dry_Litterbag Placem_Collection'!B133</f>
        <v xml:space="preserve">Mwantimba
</v>
      </c>
      <c r="D132" s="263" t="s">
        <v>2460</v>
      </c>
      <c r="E132" s="263" t="s">
        <v>20</v>
      </c>
      <c r="F132" s="263">
        <v>1</v>
      </c>
      <c r="G132" s="264" t="str">
        <f>'Dry_Litterbag Placem_Collection'!C133</f>
        <v>Wet_P1_T3</v>
      </c>
      <c r="H132" s="265" t="s">
        <v>2541</v>
      </c>
      <c r="I132" s="266" t="s">
        <v>1147</v>
      </c>
      <c r="J132" s="223" t="str">
        <f>'WetLitterbags placem_collection'!K133</f>
        <v>G746</v>
      </c>
      <c r="K132" s="225">
        <f>IFERROR(INDEX('Green_rooibos initial weight'!$C$5:$C$1749,MATCH(J132, 'Green_rooibos initial weight'!$A$5:$A$1749,0)),"")</f>
        <v>2.198</v>
      </c>
      <c r="L132" s="225">
        <f>IFERROR(K132-(TBIcalc!$H$9+TBIcalc!$H$10),"")</f>
        <v>1.9481999999999999</v>
      </c>
      <c r="M132" s="391">
        <f>AVERAGE(Ashed_controlls!$K$2:$K$11)</f>
        <v>5.5147656768714146</v>
      </c>
      <c r="N132" s="225">
        <f t="shared" si="12"/>
        <v>1.8407613350831911</v>
      </c>
      <c r="O132" s="225">
        <f>IF(IFERROR(INDEX('Both teabags AfterWet'!$C$3:$C$841,MATCH(J132,'Both teabags AfterWet'!$A$3:$A$841,0)),"")="","",(IFERROR(INDEX('Both teabags AfterWet'!$C$3:$C$841,MATCH(J132,'Both teabags AfterWet'!$A$3:$A$841,0)),"")))</f>
        <v>0.6613</v>
      </c>
      <c r="P132" s="225">
        <f>IFERROR(IF(O132&gt;0,O132-(TBIcalc!$H$9),""),"")</f>
        <v>0.51069999999999993</v>
      </c>
      <c r="Q132" s="225">
        <f>IFERROR(INDEX('Ashed teabags wet'!$K$2:$K$821,MATCH(J132,'Ashed teabags wet'!$A$2:$A$821,0)),"")</f>
        <v>16.72456575682352</v>
      </c>
      <c r="R132" s="225">
        <f t="shared" si="11"/>
        <v>0.42528764267990221</v>
      </c>
      <c r="S132" s="226">
        <f>'WetLitterbags placem_collection'!E133</f>
        <v>42762</v>
      </c>
      <c r="T132" s="226">
        <f>IF('WetLitterbags placem_collection'!G133="","",'WetLitterbags placem_collection'!G133)</f>
        <v>42816</v>
      </c>
      <c r="U132" s="227">
        <f t="shared" si="13"/>
        <v>54</v>
      </c>
      <c r="V132" s="225">
        <f t="shared" si="14"/>
        <v>1.4375</v>
      </c>
      <c r="W132" s="225">
        <f t="shared" si="15"/>
        <v>1.4154736924032889</v>
      </c>
      <c r="X132">
        <f>IFERROR(INDEX(Rainfall_Wet!$O$2:$O$217,MATCH(B132, Rainfall_Wet!$A$2:$A$217,0)),"")</f>
        <v>206.85140822299999</v>
      </c>
      <c r="Y132" s="231">
        <v>31.214836424255054</v>
      </c>
      <c r="Z132" s="231">
        <v>11.377370285476141</v>
      </c>
      <c r="AA132" s="231">
        <v>57.407793290268799</v>
      </c>
      <c r="AB132" s="232" t="s">
        <v>2670</v>
      </c>
      <c r="AC132" s="231">
        <v>3.7337604731394798</v>
      </c>
      <c r="AD132">
        <f>IF('WetLitterbags placem_collection'!AB133="","",'WetLitterbags placem_collection'!AB133)</f>
        <v>4.5</v>
      </c>
      <c r="AE132">
        <f>IF('WetLitterbags placem_collection'!Z133="","",'WetLitterbags placem_collection'!Z133)</f>
        <v>7.5</v>
      </c>
      <c r="AF132" s="246" t="str">
        <f>IF('WetLitterbags placem_collection'!AA133="","",'WetLitterbags placem_collection'!AA133)</f>
        <v>O</v>
      </c>
      <c r="AG132">
        <f>IF('WetLitterbags placem_collection'!AC133="","",'WetLitterbags placem_collection'!AC133)</f>
        <v>0</v>
      </c>
      <c r="AH132" s="24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placem_collection'!V133)),"YES","NO")</f>
        <v>NO</v>
      </c>
      <c r="AM132" t="str">
        <f>IF(ISNUMBER(SEARCH("H", 'WetLitterbags placem_collection'!V133)),"YES","NO")</f>
        <v>YES</v>
      </c>
      <c r="AN132" t="str">
        <f>IF(ISNUMBER(SEARCH("R", 'WetLitterbags placem_collection'!V133)),"YES","NO")</f>
        <v>NO</v>
      </c>
    </row>
    <row r="133" spans="1:40" ht="15" customHeight="1">
      <c r="A133" s="258" t="s">
        <v>2460</v>
      </c>
      <c r="B133" s="263">
        <f>'Dry_Litterbag Placem_Collection'!A134</f>
        <v>132</v>
      </c>
      <c r="C133" s="263" t="str">
        <f>'Dry_Litterbag Placem_Collection'!B134</f>
        <v xml:space="preserve">Mwantimba
</v>
      </c>
      <c r="D133" s="263" t="s">
        <v>2460</v>
      </c>
      <c r="E133" s="263" t="s">
        <v>20</v>
      </c>
      <c r="F133" s="263">
        <v>1</v>
      </c>
      <c r="G133" s="264" t="str">
        <f>'Dry_Litterbag Placem_Collection'!C134</f>
        <v>Wet_P1_T4</v>
      </c>
      <c r="H133" s="265" t="s">
        <v>2541</v>
      </c>
      <c r="I133" s="266" t="s">
        <v>1147</v>
      </c>
      <c r="J133" s="223" t="str">
        <f>'WetLitterbags placem_collection'!K134</f>
        <v>G725</v>
      </c>
      <c r="K133" s="225">
        <f>IFERROR(INDEX('Green_rooibos initial weight'!$C$5:$C$1749,MATCH(J133, 'Green_rooibos initial weight'!$A$5:$A$1749,0)),"")</f>
        <v>2.0270000000000001</v>
      </c>
      <c r="L133" s="225">
        <f>IFERROR(K133-(TBIcalc!$H$9+TBIcalc!$H$10),"")</f>
        <v>1.7772000000000001</v>
      </c>
      <c r="M133" s="391">
        <f>AVERAGE(Ashed_controlls!$K$2:$K$11)</f>
        <v>5.5147656768714146</v>
      </c>
      <c r="N133" s="225">
        <f t="shared" si="12"/>
        <v>1.6791915843906413</v>
      </c>
      <c r="O133" s="225">
        <f>IF(IFERROR(INDEX('Both teabags AfterWet'!$C$3:$C$841,MATCH(J133,'Both teabags AfterWet'!$A$3:$A$841,0)),"")="","",(IFERROR(INDEX('Both teabags AfterWet'!$C$3:$C$841,MATCH(J133,'Both teabags AfterWet'!$A$3:$A$841,0)),"")))</f>
        <v>0.56820000000000004</v>
      </c>
      <c r="P133" s="225">
        <f>IFERROR(IF(O133&gt;0,O133-(TBIcalc!$H$9),""),"")</f>
        <v>0.41760000000000003</v>
      </c>
      <c r="Q133" s="225">
        <f>IFERROR(INDEX('Ashed teabags wet'!$K$2:$K$821,MATCH(J133,'Ashed teabags wet'!$A$2:$A$821,0)),"")</f>
        <v>14.355948869222813</v>
      </c>
      <c r="R133" s="225">
        <f t="shared" si="11"/>
        <v>0.35764955752212557</v>
      </c>
      <c r="S133" s="226">
        <f>'WetLitterbags placem_collection'!E134</f>
        <v>42762</v>
      </c>
      <c r="T133" s="226">
        <f>IF('WetLitterbags placem_collection'!G134="","",'WetLitterbags placem_collection'!G134)</f>
        <v>42816</v>
      </c>
      <c r="U133" s="227">
        <f t="shared" si="13"/>
        <v>54</v>
      </c>
      <c r="V133" s="225">
        <f t="shared" si="14"/>
        <v>1.3596000000000001</v>
      </c>
      <c r="W133" s="225">
        <f t="shared" si="15"/>
        <v>1.3215420268685159</v>
      </c>
      <c r="X133">
        <f>IFERROR(INDEX(Rainfall_Wet!$O$2:$O$217,MATCH(B133, Rainfall_Wet!$A$2:$A$217,0)),"")</f>
        <v>206.85140822299999</v>
      </c>
      <c r="Y133" s="231">
        <v>31.214836424255054</v>
      </c>
      <c r="Z133" s="231">
        <v>11.377370285476141</v>
      </c>
      <c r="AA133" s="231">
        <v>57.407793290268799</v>
      </c>
      <c r="AB133" s="232" t="s">
        <v>2670</v>
      </c>
      <c r="AC133" s="231">
        <v>4.7337604731394798</v>
      </c>
      <c r="AD133">
        <f>IF('WetLitterbags placem_collection'!AB134="","",'WetLitterbags placem_collection'!AB134)</f>
        <v>0.7</v>
      </c>
      <c r="AE133">
        <f>IF('WetLitterbags placem_collection'!Z134="","",'WetLitterbags placem_collection'!Z134)</f>
        <v>9.8000000000000007</v>
      </c>
      <c r="AF133" s="246" t="str">
        <f>IF('WetLitterbags placem_collection'!AA134="","",'WetLitterbags placem_collection'!AA134)</f>
        <v>G</v>
      </c>
      <c r="AG133">
        <f>IF('WetLitterbags placem_collection'!AC134="","",'WetLitterbags placem_collection'!AC134)</f>
        <v>1</v>
      </c>
      <c r="AH133" s="24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placem_collection'!V134)),"YES","NO")</f>
        <v>NO</v>
      </c>
      <c r="AM133" t="str">
        <f>IF(ISNUMBER(SEARCH("H", 'WetLitterbags placem_collection'!V134)),"YES","NO")</f>
        <v>NO</v>
      </c>
      <c r="AN133" t="str">
        <f>IF(ISNUMBER(SEARCH("R", 'WetLitterbags placem_collection'!V134)),"YES","NO")</f>
        <v>NO</v>
      </c>
    </row>
    <row r="134" spans="1:40" ht="15" customHeight="1">
      <c r="A134" s="258" t="s">
        <v>2460</v>
      </c>
      <c r="B134" s="263">
        <f>'Dry_Litterbag Placem_Collection'!A135</f>
        <v>133</v>
      </c>
      <c r="C134" s="263" t="str">
        <f>'Dry_Litterbag Placem_Collection'!B135</f>
        <v xml:space="preserve">Mwantimba
</v>
      </c>
      <c r="D134" s="263" t="s">
        <v>2460</v>
      </c>
      <c r="E134" s="263" t="s">
        <v>20</v>
      </c>
      <c r="F134" s="263">
        <v>1</v>
      </c>
      <c r="G134" s="264" t="str">
        <f>'Dry_Litterbag Placem_Collection'!C135</f>
        <v>Wet_P1_T5</v>
      </c>
      <c r="H134" s="265" t="s">
        <v>2541</v>
      </c>
      <c r="I134" s="266" t="s">
        <v>1147</v>
      </c>
      <c r="J134" s="223" t="str">
        <f>'WetLitterbags placem_collection'!K135</f>
        <v>G846</v>
      </c>
      <c r="K134" s="225">
        <f>IFERROR(INDEX('Green_rooibos initial weight'!$C$5:$C$1749,MATCH(J134, 'Green_rooibos initial weight'!$A$5:$A$1749,0)),"")</f>
        <v>2.0350000000000001</v>
      </c>
      <c r="L134" s="225">
        <f>IFERROR(K134-(TBIcalc!$H$9+TBIcalc!$H$10),"")</f>
        <v>1.7852000000000001</v>
      </c>
      <c r="M134" s="391">
        <f>AVERAGE(Ashed_controlls!$K$2:$K$11)</f>
        <v>5.5147656768714146</v>
      </c>
      <c r="N134" s="225">
        <f t="shared" si="12"/>
        <v>1.6867504031364917</v>
      </c>
      <c r="O134" s="225">
        <f>IF(IFERROR(INDEX('Both teabags AfterWet'!$C$3:$C$841,MATCH(J134,'Both teabags AfterWet'!$A$3:$A$841,0)),"")="","",(IFERROR(INDEX('Both teabags AfterWet'!$C$3:$C$841,MATCH(J134,'Both teabags AfterWet'!$A$3:$A$841,0)),"")))</f>
        <v>0.59309999999999996</v>
      </c>
      <c r="P134" s="225">
        <f>IFERROR(IF(O134&gt;0,O134-(TBIcalc!$H$9),""),"")</f>
        <v>0.44249999999999995</v>
      </c>
      <c r="Q134" s="225">
        <f>IFERROR(INDEX('Ashed teabags wet'!$K$2:$K$821,MATCH(J134,'Ashed teabags wet'!$A$2:$A$821,0)),"")</f>
        <v>11.326378539493467</v>
      </c>
      <c r="R134" s="225">
        <f t="shared" si="11"/>
        <v>0.39238077496274137</v>
      </c>
      <c r="S134" s="226">
        <f>'WetLitterbags placem_collection'!E135</f>
        <v>42762</v>
      </c>
      <c r="T134" s="226">
        <f>IF('WetLitterbags placem_collection'!G135="","",'WetLitterbags placem_collection'!G135)</f>
        <v>42816</v>
      </c>
      <c r="U134" s="227">
        <f t="shared" si="13"/>
        <v>54</v>
      </c>
      <c r="V134" s="225">
        <f t="shared" si="14"/>
        <v>1.3427000000000002</v>
      </c>
      <c r="W134" s="225">
        <f t="shared" si="15"/>
        <v>1.2943696281737505</v>
      </c>
      <c r="X134">
        <f>IFERROR(INDEX(Rainfall_Wet!$O$2:$O$217,MATCH(B134, Rainfall_Wet!$A$2:$A$217,0)),"")</f>
        <v>206.85140822299999</v>
      </c>
      <c r="Y134" s="231">
        <v>31.214836424255054</v>
      </c>
      <c r="Z134" s="231">
        <v>11.377370285476141</v>
      </c>
      <c r="AA134" s="231">
        <v>57.407793290268799</v>
      </c>
      <c r="AB134" s="232" t="s">
        <v>2670</v>
      </c>
      <c r="AC134" s="231">
        <v>5.7337604731394798</v>
      </c>
      <c r="AD134">
        <f>IF('WetLitterbags placem_collection'!AB135="","",'WetLitterbags placem_collection'!AB135)</f>
        <v>2.2000000000000002</v>
      </c>
      <c r="AE134">
        <f>IF('WetLitterbags placem_collection'!Z135="","",'WetLitterbags placem_collection'!Z135)</f>
        <v>10</v>
      </c>
      <c r="AF134" s="246" t="str">
        <f>IF('WetLitterbags placem_collection'!AA135="","",'WetLitterbags placem_collection'!AA135)</f>
        <v>O</v>
      </c>
      <c r="AG134">
        <f>IF('WetLitterbags placem_collection'!AC135="","",'WetLitterbags placem_collection'!AC135)</f>
        <v>1</v>
      </c>
      <c r="AH134" s="24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placem_collection'!V135)),"YES","NO")</f>
        <v>NO</v>
      </c>
      <c r="AM134" t="str">
        <f>IF(ISNUMBER(SEARCH("H", 'WetLitterbags placem_collection'!V135)),"YES","NO")</f>
        <v>NO</v>
      </c>
      <c r="AN134" t="str">
        <f>IF(ISNUMBER(SEARCH("R", 'WetLitterbags placem_collection'!V135)),"YES","NO")</f>
        <v>NO</v>
      </c>
    </row>
    <row r="135" spans="1:40" ht="15" customHeight="1">
      <c r="A135" s="258" t="s">
        <v>2460</v>
      </c>
      <c r="B135" s="263">
        <f>'Dry_Litterbag Placem_Collection'!A136</f>
        <v>134</v>
      </c>
      <c r="C135" s="263" t="str">
        <f>'Dry_Litterbag Placem_Collection'!B136</f>
        <v xml:space="preserve">Mwantimba
</v>
      </c>
      <c r="D135" s="263" t="s">
        <v>2460</v>
      </c>
      <c r="E135" s="263" t="s">
        <v>20</v>
      </c>
      <c r="F135" s="263">
        <v>1</v>
      </c>
      <c r="G135" s="264" t="str">
        <f>'Dry_Litterbag Placem_Collection'!C136</f>
        <v>Wet_P1_T6</v>
      </c>
      <c r="H135" s="265" t="s">
        <v>2541</v>
      </c>
      <c r="I135" s="266" t="s">
        <v>1147</v>
      </c>
      <c r="J135" s="223" t="str">
        <f>'WetLitterbags placem_collection'!K136</f>
        <v>G756</v>
      </c>
      <c r="K135" s="225">
        <f>IFERROR(INDEX('Green_rooibos initial weight'!$C$5:$C$1749,MATCH(J135, 'Green_rooibos initial weight'!$A$5:$A$1749,0)),"")</f>
        <v>2.1459999999999999</v>
      </c>
      <c r="L135" s="225">
        <f>IFERROR(K135-(TBIcalc!$H$9+TBIcalc!$H$10),"")</f>
        <v>1.8961999999999999</v>
      </c>
      <c r="M135" s="391">
        <f>AVERAGE(Ashed_controlls!$K$2:$K$11)</f>
        <v>5.5147656768714146</v>
      </c>
      <c r="N135" s="225">
        <f t="shared" si="12"/>
        <v>1.7916290132351642</v>
      </c>
      <c r="O135" s="225">
        <f>IF(IFERROR(INDEX('Both teabags AfterWet'!$C$3:$C$841,MATCH(J135,'Both teabags AfterWet'!$A$3:$A$841,0)),"")="","",(IFERROR(INDEX('Both teabags AfterWet'!$C$3:$C$841,MATCH(J135,'Both teabags AfterWet'!$A$3:$A$841,0)),"")))</f>
        <v>0.69399999999999995</v>
      </c>
      <c r="P135" s="225">
        <f>IFERROR(IF(O135&gt;0,O135-(TBIcalc!$H$9),""),"")</f>
        <v>0.54339999999999988</v>
      </c>
      <c r="Q135" s="225">
        <f>IFERROR(INDEX('Ashed teabags wet'!$K$2:$K$821,MATCH(J135,'Ashed teabags wet'!$A$2:$A$821,0)),"")</f>
        <v>17.213930348258991</v>
      </c>
      <c r="R135" s="225">
        <f t="shared" si="11"/>
        <v>0.44985950248756057</v>
      </c>
      <c r="S135" s="226">
        <f>'WetLitterbags placem_collection'!E136</f>
        <v>42762</v>
      </c>
      <c r="T135" s="226">
        <f>IF('WetLitterbags placem_collection'!G136="","",'WetLitterbags placem_collection'!G136)</f>
        <v>42816</v>
      </c>
      <c r="U135" s="227">
        <f t="shared" si="13"/>
        <v>54</v>
      </c>
      <c r="V135" s="225">
        <f t="shared" si="14"/>
        <v>1.3528</v>
      </c>
      <c r="W135" s="225">
        <f t="shared" si="15"/>
        <v>1.3417695107476035</v>
      </c>
      <c r="X135">
        <f>IFERROR(INDEX(Rainfall_Wet!$O$2:$O$217,MATCH(B135, Rainfall_Wet!$A$2:$A$217,0)),"")</f>
        <v>206.85140822299999</v>
      </c>
      <c r="Y135" s="231">
        <v>31.214836424255054</v>
      </c>
      <c r="Z135" s="231">
        <v>11.377370285476141</v>
      </c>
      <c r="AA135" s="231">
        <v>57.407793290268799</v>
      </c>
      <c r="AB135" s="232" t="s">
        <v>2670</v>
      </c>
      <c r="AC135" s="231">
        <v>6.7337604731394798</v>
      </c>
      <c r="AD135">
        <f>IF('WetLitterbags placem_collection'!AB136="","",'WetLitterbags placem_collection'!AB136)</f>
        <v>1.1000000000000001</v>
      </c>
      <c r="AE135">
        <f>IF('WetLitterbags placem_collection'!Z136="","",'WetLitterbags placem_collection'!Z136)</f>
        <v>15.4</v>
      </c>
      <c r="AF135" s="246" t="str">
        <f>IF('WetLitterbags placem_collection'!AA136="","",'WetLitterbags placem_collection'!AA136)</f>
        <v>O</v>
      </c>
      <c r="AG135">
        <f>IF('WetLitterbags placem_collection'!AC136="","",'WetLitterbags placem_collection'!AC136)</f>
        <v>1</v>
      </c>
      <c r="AH135" s="24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placem_collection'!V136)),"YES","NO")</f>
        <v>NO</v>
      </c>
      <c r="AM135" t="str">
        <f>IF(ISNUMBER(SEARCH("H", 'WetLitterbags placem_collection'!V136)),"YES","NO")</f>
        <v>NO</v>
      </c>
      <c r="AN135" t="str">
        <f>IF(ISNUMBER(SEARCH("R", 'WetLitterbags placem_collection'!V136)),"YES","NO")</f>
        <v>YES</v>
      </c>
    </row>
    <row r="136" spans="1:40" ht="15" customHeight="1">
      <c r="A136" s="258" t="s">
        <v>2460</v>
      </c>
      <c r="B136" s="263">
        <f>'Dry_Litterbag Placem_Collection'!A137</f>
        <v>135</v>
      </c>
      <c r="C136" s="263" t="str">
        <f>'Dry_Litterbag Placem_Collection'!B137</f>
        <v xml:space="preserve">Mwantimba
</v>
      </c>
      <c r="D136" s="263" t="s">
        <v>2460</v>
      </c>
      <c r="E136" s="263" t="s">
        <v>20</v>
      </c>
      <c r="F136" s="263">
        <v>1</v>
      </c>
      <c r="G136" s="264" t="str">
        <f>'Dry_Litterbag Placem_Collection'!C137</f>
        <v>Wet_P1_T7</v>
      </c>
      <c r="H136" s="265" t="s">
        <v>2541</v>
      </c>
      <c r="I136" s="266" t="s">
        <v>1147</v>
      </c>
      <c r="J136" s="223" t="str">
        <f>'WetLitterbags placem_collection'!K137</f>
        <v>G745</v>
      </c>
      <c r="K136" s="225">
        <f>IFERROR(INDEX('Green_rooibos initial weight'!$C$5:$C$1749,MATCH(J136, 'Green_rooibos initial weight'!$A$5:$A$1749,0)),"")</f>
        <v>1.9570000000000001</v>
      </c>
      <c r="L136" s="225">
        <f>IFERROR(K136-(TBIcalc!$H$9+TBIcalc!$H$10),"")</f>
        <v>1.7072000000000001</v>
      </c>
      <c r="M136" s="391">
        <f>AVERAGE(Ashed_controlls!$K$2:$K$11)</f>
        <v>5.5147656768714146</v>
      </c>
      <c r="N136" s="225">
        <f t="shared" si="12"/>
        <v>1.6130519203644513</v>
      </c>
      <c r="O136" s="225">
        <f>IF(IFERROR(INDEX('Both teabags AfterWet'!$C$3:$C$841,MATCH(J136,'Both teabags AfterWet'!$A$3:$A$841,0)),"")="","",(IFERROR(INDEX('Both teabags AfterWet'!$C$3:$C$841,MATCH(J136,'Both teabags AfterWet'!$A$3:$A$841,0)),"")))</f>
        <v>0.61099999999999999</v>
      </c>
      <c r="P136" s="225">
        <f>IFERROR(IF(O136&gt;0,O136-(TBIcalc!$H$9),""),"")</f>
        <v>0.46039999999999998</v>
      </c>
      <c r="Q136" s="225">
        <f>IFERROR(INDEX('Ashed teabags wet'!$K$2:$K$821,MATCH(J136,'Ashed teabags wet'!$A$2:$A$821,0)),"")</f>
        <v>14.334637964774716</v>
      </c>
      <c r="R136" s="225">
        <f t="shared" si="11"/>
        <v>0.3944033268101772</v>
      </c>
      <c r="S136" s="226">
        <f>'WetLitterbags placem_collection'!E137</f>
        <v>42762</v>
      </c>
      <c r="T136" s="226">
        <f>IF('WetLitterbags placem_collection'!G137="","",'WetLitterbags placem_collection'!G137)</f>
        <v>42816</v>
      </c>
      <c r="U136" s="227">
        <f t="shared" si="13"/>
        <v>54</v>
      </c>
      <c r="V136" s="225">
        <f t="shared" si="14"/>
        <v>1.2468000000000001</v>
      </c>
      <c r="W136" s="225">
        <f t="shared" si="15"/>
        <v>1.2186485935542741</v>
      </c>
      <c r="X136">
        <f>IFERROR(INDEX(Rainfall_Wet!$O$2:$O$217,MATCH(B136, Rainfall_Wet!$A$2:$A$217,0)),"")</f>
        <v>206.85140822299999</v>
      </c>
      <c r="Y136" s="231">
        <v>31.214836424255054</v>
      </c>
      <c r="Z136" s="231">
        <v>11.377370285476141</v>
      </c>
      <c r="AA136" s="231">
        <v>57.407793290268799</v>
      </c>
      <c r="AB136" s="232" t="s">
        <v>2670</v>
      </c>
      <c r="AC136" s="231">
        <v>7.7337604731394798</v>
      </c>
      <c r="AD136">
        <f>IF('WetLitterbags placem_collection'!AB137="","",'WetLitterbags placem_collection'!AB137)</f>
        <v>2.1</v>
      </c>
      <c r="AE136">
        <f>IF('WetLitterbags placem_collection'!Z137="","",'WetLitterbags placem_collection'!Z137)</f>
        <v>5.6</v>
      </c>
      <c r="AF136" s="246" t="str">
        <f>IF('WetLitterbags placem_collection'!AA137="","",'WetLitterbags placem_collection'!AA137)</f>
        <v>O</v>
      </c>
      <c r="AG136">
        <f>IF('WetLitterbags placem_collection'!AC137="","",'WetLitterbags placem_collection'!AC137)</f>
        <v>1</v>
      </c>
      <c r="AH136" s="24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placem_collection'!V137)),"YES","NO")</f>
        <v>NO</v>
      </c>
      <c r="AM136" t="str">
        <f>IF(ISNUMBER(SEARCH("H", 'WetLitterbags placem_collection'!V137)),"YES","NO")</f>
        <v>NO</v>
      </c>
      <c r="AN136" t="str">
        <f>IF(ISNUMBER(SEARCH("R", 'WetLitterbags placem_collection'!V137)),"YES","NO")</f>
        <v>YES</v>
      </c>
    </row>
    <row r="137" spans="1:40" ht="15" customHeight="1">
      <c r="A137" s="258" t="s">
        <v>2460</v>
      </c>
      <c r="B137" s="263">
        <f>'Dry_Litterbag Placem_Collection'!A138</f>
        <v>136</v>
      </c>
      <c r="C137" s="263" t="str">
        <f>'Dry_Litterbag Placem_Collection'!B138</f>
        <v xml:space="preserve">Mwantimba
</v>
      </c>
      <c r="D137" s="263" t="s">
        <v>2460</v>
      </c>
      <c r="E137" s="263" t="s">
        <v>20</v>
      </c>
      <c r="F137" s="263">
        <v>1</v>
      </c>
      <c r="G137" s="264" t="str">
        <f>'Dry_Litterbag Placem_Collection'!C138</f>
        <v>Wet_P1_T8</v>
      </c>
      <c r="H137" s="265" t="s">
        <v>2541</v>
      </c>
      <c r="I137" s="266" t="s">
        <v>1147</v>
      </c>
      <c r="J137" s="223" t="str">
        <f>'WetLitterbags placem_collection'!K138</f>
        <v>G832</v>
      </c>
      <c r="K137" s="225">
        <f>IFERROR(INDEX('Green_rooibos initial weight'!$C$5:$C$1749,MATCH(J137, 'Green_rooibos initial weight'!$A$5:$A$1749,0)),"")</f>
        <v>2.0470000000000002</v>
      </c>
      <c r="L137" s="225">
        <f>IFERROR(K137-(TBIcalc!$H$9+TBIcalc!$H$10),"")</f>
        <v>1.7972000000000001</v>
      </c>
      <c r="M137" s="391">
        <f>AVERAGE(Ashed_controlls!$K$2:$K$11)</f>
        <v>5.5147656768714146</v>
      </c>
      <c r="N137" s="225">
        <f t="shared" si="12"/>
        <v>1.698088631255267</v>
      </c>
      <c r="O137" s="225">
        <f>IF(IFERROR(INDEX('Both teabags AfterWet'!$C$3:$C$841,MATCH(J137,'Both teabags AfterWet'!$A$3:$A$841,0)),"")="","",(IFERROR(INDEX('Both teabags AfterWet'!$C$3:$C$841,MATCH(J137,'Both teabags AfterWet'!$A$3:$A$841,0)),"")))</f>
        <v>0.5796</v>
      </c>
      <c r="P137" s="225">
        <f>IFERROR(IF(O137&gt;0,O137-(TBIcalc!$H$9),""),"")</f>
        <v>0.42899999999999999</v>
      </c>
      <c r="Q137" s="225">
        <f>IFERROR(INDEX('Ashed teabags wet'!$K$2:$K$821,MATCH(J137,'Ashed teabags wet'!$A$2:$A$821,0)),"")</f>
        <v>15.08132084770828</v>
      </c>
      <c r="R137" s="225">
        <f t="shared" si="11"/>
        <v>0.36430113356333149</v>
      </c>
      <c r="S137" s="226">
        <f>'WetLitterbags placem_collection'!E138</f>
        <v>42762</v>
      </c>
      <c r="T137" s="226">
        <f>IF('WetLitterbags placem_collection'!G138="","",'WetLitterbags placem_collection'!G138)</f>
        <v>42816</v>
      </c>
      <c r="U137" s="227">
        <f t="shared" si="13"/>
        <v>54</v>
      </c>
      <c r="V137" s="225">
        <f t="shared" si="14"/>
        <v>1.3682000000000001</v>
      </c>
      <c r="W137" s="225">
        <f t="shared" si="15"/>
        <v>1.3337874976919355</v>
      </c>
      <c r="X137">
        <f>IFERROR(INDEX(Rainfall_Wet!$O$2:$O$217,MATCH(B137, Rainfall_Wet!$A$2:$A$217,0)),"")</f>
        <v>206.85140822299999</v>
      </c>
      <c r="Y137" s="231">
        <v>31.214836424255054</v>
      </c>
      <c r="Z137" s="231">
        <v>11.377370285476141</v>
      </c>
      <c r="AA137" s="231">
        <v>57.407793290268799</v>
      </c>
      <c r="AB137" s="232" t="s">
        <v>2670</v>
      </c>
      <c r="AC137" s="231">
        <v>8.7337604731394798</v>
      </c>
      <c r="AD137">
        <f>IF('WetLitterbags placem_collection'!AB138="","",'WetLitterbags placem_collection'!AB138)</f>
        <v>2.2999999999999998</v>
      </c>
      <c r="AE137">
        <f>IF('WetLitterbags placem_collection'!Z138="","",'WetLitterbags placem_collection'!Z138)</f>
        <v>16.3</v>
      </c>
      <c r="AF137" s="246" t="str">
        <f>IF('WetLitterbags placem_collection'!AA138="","",'WetLitterbags placem_collection'!AA138)</f>
        <v>G</v>
      </c>
      <c r="AG137">
        <f>IF('WetLitterbags placem_collection'!AC138="","",'WetLitterbags placem_collection'!AC138)</f>
        <v>1</v>
      </c>
      <c r="AH137" s="24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placem_collection'!V138)),"YES","NO")</f>
        <v>NO</v>
      </c>
      <c r="AM137" t="str">
        <f>IF(ISNUMBER(SEARCH("H", 'WetLitterbags placem_collection'!V138)),"YES","NO")</f>
        <v>NO</v>
      </c>
      <c r="AN137" t="str">
        <f>IF(ISNUMBER(SEARCH("R", 'WetLitterbags placem_collection'!V138)),"YES","NO")</f>
        <v>YES</v>
      </c>
    </row>
    <row r="138" spans="1:40" ht="15" customHeight="1">
      <c r="A138" s="258" t="s">
        <v>2460</v>
      </c>
      <c r="B138" s="263">
        <f>'Dry_Litterbag Placem_Collection'!A139</f>
        <v>137</v>
      </c>
      <c r="C138" s="263" t="str">
        <f>'Dry_Litterbag Placem_Collection'!B139</f>
        <v xml:space="preserve">Mwantimba
</v>
      </c>
      <c r="D138" s="263" t="s">
        <v>2460</v>
      </c>
      <c r="E138" s="263" t="s">
        <v>20</v>
      </c>
      <c r="F138" s="263">
        <v>2</v>
      </c>
      <c r="G138" s="264" t="str">
        <f>'Dry_Litterbag Placem_Collection'!C139</f>
        <v>Wet_P2_T1</v>
      </c>
      <c r="H138" s="265" t="s">
        <v>2541</v>
      </c>
      <c r="I138" s="266" t="s">
        <v>1147</v>
      </c>
      <c r="J138" s="223" t="str">
        <f>'WetLitterbags placem_collection'!K139</f>
        <v>G805</v>
      </c>
      <c r="K138" s="225">
        <f>IFERROR(INDEX('Green_rooibos initial weight'!$C$5:$C$1749,MATCH(J138, 'Green_rooibos initial weight'!$A$5:$A$1749,0)),"")</f>
        <v>1.9810000000000001</v>
      </c>
      <c r="L138" s="225">
        <f>IFERROR(K138-(TBIcalc!$H$9+TBIcalc!$H$10),"")</f>
        <v>1.7312000000000001</v>
      </c>
      <c r="M138" s="391">
        <f>AVERAGE(Ashed_controlls!$K$2:$K$11)</f>
        <v>5.5147656768714146</v>
      </c>
      <c r="N138" s="225">
        <f t="shared" si="12"/>
        <v>1.6357283766020021</v>
      </c>
      <c r="O138" s="225">
        <f>IF(IFERROR(INDEX('Both teabags AfterWet'!$C$3:$C$841,MATCH(J138,'Both teabags AfterWet'!$A$3:$A$841,0)),"")="","",(IFERROR(INDEX('Both teabags AfterWet'!$C$3:$C$841,MATCH(J138,'Both teabags AfterWet'!$A$3:$A$841,0)),"")))</f>
        <v>1.5740000000000001</v>
      </c>
      <c r="P138" s="225">
        <f>IFERROR(IF(O138&gt;0,O138-(TBIcalc!$H$9),""),"")</f>
        <v>1.4234</v>
      </c>
      <c r="Q138" s="225">
        <f>IFERROR(INDEX('Ashed teabags wet'!$K$2:$K$821,MATCH(J138,'Ashed teabags wet'!$A$2:$A$821,0)),"")</f>
        <v>15.662650602409292</v>
      </c>
      <c r="R138" s="225">
        <f t="shared" si="11"/>
        <v>1.200457831325306</v>
      </c>
      <c r="S138" s="226">
        <f>'WetLitterbags placem_collection'!E139</f>
        <v>42762</v>
      </c>
      <c r="T138" s="226">
        <f>IF('WetLitterbags placem_collection'!G139="","",'WetLitterbags placem_collection'!G139)</f>
        <v>42816</v>
      </c>
      <c r="U138" s="227">
        <f t="shared" si="13"/>
        <v>54</v>
      </c>
      <c r="V138" s="225">
        <f t="shared" si="14"/>
        <v>0.30780000000000007</v>
      </c>
      <c r="W138" s="225">
        <f t="shared" si="15"/>
        <v>0.43527054527669606</v>
      </c>
      <c r="X138">
        <f>IFERROR(INDEX(Rainfall_Wet!$O$2:$O$217,MATCH(B138, Rainfall_Wet!$A$2:$A$217,0)),"")</f>
        <v>206.85140822299999</v>
      </c>
      <c r="Y138" s="231">
        <v>33.96</v>
      </c>
      <c r="Z138" s="231">
        <v>8.9200000000000017</v>
      </c>
      <c r="AA138" s="231">
        <v>57.12</v>
      </c>
      <c r="AB138" s="232" t="s">
        <v>2670</v>
      </c>
      <c r="AC138" s="231">
        <v>2.072055199605717</v>
      </c>
      <c r="AD138">
        <f>IF('WetLitterbags placem_collection'!AB139="","",'WetLitterbags placem_collection'!AB139)</f>
        <v>1.2</v>
      </c>
      <c r="AE138">
        <f>IF('WetLitterbags placem_collection'!Z139="","",'WetLitterbags placem_collection'!Z139)</f>
        <v>32.4</v>
      </c>
      <c r="AF138" s="246" t="str">
        <f>IF('WetLitterbags placem_collection'!AA139="","",'WetLitterbags placem_collection'!AA139)</f>
        <v>G</v>
      </c>
      <c r="AG138">
        <f>IF('WetLitterbags placem_collection'!AC139="","",'WetLitterbags placem_collection'!AC139)</f>
        <v>1</v>
      </c>
      <c r="AH138" s="24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placem_collection'!V139)),"YES","NO")</f>
        <v>NO</v>
      </c>
      <c r="AM138" t="str">
        <f>IF(ISNUMBER(SEARCH("H", 'WetLitterbags placem_collection'!V139)),"YES","NO")</f>
        <v>NO</v>
      </c>
      <c r="AN138" t="str">
        <f>IF(ISNUMBER(SEARCH("R", 'WetLitterbags placem_collection'!V139)),"YES","NO")</f>
        <v>YES</v>
      </c>
    </row>
    <row r="139" spans="1:40" ht="15" customHeight="1">
      <c r="A139" s="258" t="s">
        <v>2460</v>
      </c>
      <c r="B139" s="263">
        <f>'Dry_Litterbag Placem_Collection'!A140</f>
        <v>138</v>
      </c>
      <c r="C139" s="263" t="str">
        <f>'Dry_Litterbag Placem_Collection'!B140</f>
        <v xml:space="preserve">Mwantimba
</v>
      </c>
      <c r="D139" s="263" t="s">
        <v>2460</v>
      </c>
      <c r="E139" s="263" t="s">
        <v>20</v>
      </c>
      <c r="F139" s="263">
        <v>2</v>
      </c>
      <c r="G139" s="264" t="str">
        <f>'Dry_Litterbag Placem_Collection'!C140</f>
        <v>Wet_P2_T2</v>
      </c>
      <c r="H139" s="265" t="s">
        <v>2541</v>
      </c>
      <c r="I139" s="266" t="s">
        <v>1147</v>
      </c>
      <c r="J139" s="223" t="str">
        <f>'WetLitterbags placem_collection'!K140</f>
        <v>G815</v>
      </c>
      <c r="K139" s="225">
        <f>IFERROR(INDEX('Green_rooibos initial weight'!$C$5:$C$1749,MATCH(J139, 'Green_rooibos initial weight'!$A$5:$A$1749,0)),"")</f>
        <v>1.998</v>
      </c>
      <c r="L139" s="225">
        <f>IFERROR(K139-(TBIcalc!$H$9+TBIcalc!$H$10),"")</f>
        <v>1.7482</v>
      </c>
      <c r="M139" s="391">
        <f>AVERAGE(Ashed_controlls!$K$2:$K$11)</f>
        <v>5.5147656768714146</v>
      </c>
      <c r="N139" s="225">
        <f t="shared" si="12"/>
        <v>1.6517908664369338</v>
      </c>
      <c r="O139" s="225">
        <f>IF(IFERROR(INDEX('Both teabags AfterWet'!$C$3:$C$841,MATCH(J139,'Both teabags AfterWet'!$A$3:$A$841,0)),"")="","",(IFERROR(INDEX('Both teabags AfterWet'!$C$3:$C$841,MATCH(J139,'Both teabags AfterWet'!$A$3:$A$841,0)),"")))</f>
        <v>0.64300000000000002</v>
      </c>
      <c r="P139" s="225">
        <f>IFERROR(IF(O139&gt;0,O139-(TBIcalc!$H$9),""),"")</f>
        <v>0.4924</v>
      </c>
      <c r="Q139" s="225">
        <f>IFERROR(INDEX('Ashed teabags wet'!$K$2:$K$821,MATCH(J139,'Ashed teabags wet'!$A$2:$A$821,0)),"")</f>
        <v>14.392059553350164</v>
      </c>
      <c r="R139" s="225">
        <f t="shared" ref="R139:R202" si="16">IFERROR(P139-(Q139/100)*P139,"")</f>
        <v>0.42153349875930379</v>
      </c>
      <c r="S139" s="226">
        <f>'WetLitterbags placem_collection'!E140</f>
        <v>42762</v>
      </c>
      <c r="T139" s="226">
        <f>IF('WetLitterbags placem_collection'!G140="","",'WetLitterbags placem_collection'!G140)</f>
        <v>42816</v>
      </c>
      <c r="U139" s="227">
        <f t="shared" si="13"/>
        <v>54</v>
      </c>
      <c r="V139" s="225">
        <f t="shared" si="14"/>
        <v>1.2558</v>
      </c>
      <c r="W139" s="225">
        <f t="shared" si="15"/>
        <v>1.2302573676776301</v>
      </c>
      <c r="X139">
        <f>IFERROR(INDEX(Rainfall_Wet!$O$2:$O$217,MATCH(B139, Rainfall_Wet!$A$2:$A$217,0)),"")</f>
        <v>206.85140822299999</v>
      </c>
      <c r="Y139" s="231">
        <v>33.96</v>
      </c>
      <c r="Z139" s="231">
        <v>8.9200000000000017</v>
      </c>
      <c r="AA139" s="231">
        <v>57.12</v>
      </c>
      <c r="AB139" s="232" t="s">
        <v>2670</v>
      </c>
      <c r="AC139" s="231">
        <v>3.0720551996057202</v>
      </c>
      <c r="AD139">
        <f>IF('WetLitterbags placem_collection'!AB140="","",'WetLitterbags placem_collection'!AB140)</f>
        <v>2.8</v>
      </c>
      <c r="AE139">
        <f>IF('WetLitterbags placem_collection'!Z140="","",'WetLitterbags placem_collection'!Z140)</f>
        <v>26.4</v>
      </c>
      <c r="AF139" s="246" t="str">
        <f>IF('WetLitterbags placem_collection'!AA140="","",'WetLitterbags placem_collection'!AA140)</f>
        <v>G</v>
      </c>
      <c r="AG139">
        <f>IF('WetLitterbags placem_collection'!AC140="","",'WetLitterbags placem_collection'!AC140)</f>
        <v>1</v>
      </c>
      <c r="AH139" s="24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placem_collection'!V140)),"YES","NO")</f>
        <v>NO</v>
      </c>
      <c r="AM139" t="str">
        <f>IF(ISNUMBER(SEARCH("H", 'WetLitterbags placem_collection'!V140)),"YES","NO")</f>
        <v>NO</v>
      </c>
      <c r="AN139" t="str">
        <f>IF(ISNUMBER(SEARCH("R", 'WetLitterbags placem_collection'!V140)),"YES","NO")</f>
        <v>YES</v>
      </c>
    </row>
    <row r="140" spans="1:40" ht="15" customHeight="1">
      <c r="A140" s="258" t="s">
        <v>2460</v>
      </c>
      <c r="B140" s="263">
        <f>'Dry_Litterbag Placem_Collection'!A141</f>
        <v>139</v>
      </c>
      <c r="C140" s="263" t="str">
        <f>'Dry_Litterbag Placem_Collection'!B141</f>
        <v xml:space="preserve">Mwantimba
</v>
      </c>
      <c r="D140" s="263" t="s">
        <v>2460</v>
      </c>
      <c r="E140" s="263" t="s">
        <v>20</v>
      </c>
      <c r="F140" s="263">
        <v>2</v>
      </c>
      <c r="G140" s="264" t="str">
        <f>'Dry_Litterbag Placem_Collection'!C141</f>
        <v>Wet_P2_T3</v>
      </c>
      <c r="H140" s="265" t="s">
        <v>2541</v>
      </c>
      <c r="I140" s="266" t="s">
        <v>1147</v>
      </c>
      <c r="J140" s="223" t="str">
        <f>'WetLitterbags placem_collection'!K141</f>
        <v>G798</v>
      </c>
      <c r="K140" s="225">
        <f>IFERROR(INDEX('Green_rooibos initial weight'!$C$5:$C$1749,MATCH(J140, 'Green_rooibos initial weight'!$A$5:$A$1749,0)),"")</f>
        <v>2.089</v>
      </c>
      <c r="L140" s="225">
        <f>IFERROR(K140-(TBIcalc!$H$9+TBIcalc!$H$10),"")</f>
        <v>1.8391999999999999</v>
      </c>
      <c r="M140" s="391">
        <f>AVERAGE(Ashed_controlls!$K$2:$K$11)</f>
        <v>5.5147656768714146</v>
      </c>
      <c r="N140" s="225">
        <f t="shared" si="12"/>
        <v>1.7377724296709809</v>
      </c>
      <c r="O140" s="225">
        <f>IF(IFERROR(INDEX('Both teabags AfterWet'!$C$3:$C$841,MATCH(J140,'Both teabags AfterWet'!$A$3:$A$841,0)),"")="","",(IFERROR(INDEX('Both teabags AfterWet'!$C$3:$C$841,MATCH(J140,'Both teabags AfterWet'!$A$3:$A$841,0)),"")))</f>
        <v>0.73499999999999999</v>
      </c>
      <c r="P140" s="225">
        <f>IFERROR(IF(O140&gt;0,O140-(TBIcalc!$H$9),""),"")</f>
        <v>0.58440000000000003</v>
      </c>
      <c r="Q140" s="225">
        <f>IFERROR(INDEX('Ashed teabags wet'!$K$2:$K$821,MATCH(J140,'Ashed teabags wet'!$A$2:$A$821,0)),"")</f>
        <v>19.704433497536826</v>
      </c>
      <c r="R140" s="225">
        <f t="shared" si="16"/>
        <v>0.46924729064039483</v>
      </c>
      <c r="S140" s="226">
        <f>'WetLitterbags placem_collection'!E141</f>
        <v>42762</v>
      </c>
      <c r="T140" s="226">
        <f>IF('WetLitterbags placem_collection'!G141="","",'WetLitterbags placem_collection'!G141)</f>
        <v>42816</v>
      </c>
      <c r="U140" s="227">
        <f t="shared" si="13"/>
        <v>54</v>
      </c>
      <c r="V140" s="225">
        <f t="shared" si="14"/>
        <v>1.2547999999999999</v>
      </c>
      <c r="W140" s="225">
        <f t="shared" si="15"/>
        <v>1.2685251390305861</v>
      </c>
      <c r="X140">
        <f>IFERROR(INDEX(Rainfall_Wet!$O$2:$O$217,MATCH(B140, Rainfall_Wet!$A$2:$A$217,0)),"")</f>
        <v>206.85140822299999</v>
      </c>
      <c r="Y140" s="231">
        <v>33.96</v>
      </c>
      <c r="Z140" s="231">
        <v>8.9200000000000017</v>
      </c>
      <c r="AA140" s="231">
        <v>57.12</v>
      </c>
      <c r="AB140" s="232" t="s">
        <v>2670</v>
      </c>
      <c r="AC140" s="231">
        <v>4.0720551996057202</v>
      </c>
      <c r="AD140">
        <f>IF('WetLitterbags placem_collection'!AB141="","",'WetLitterbags placem_collection'!AB141)</f>
        <v>5.7</v>
      </c>
      <c r="AE140">
        <f>IF('WetLitterbags placem_collection'!Z141="","",'WetLitterbags placem_collection'!Z141)</f>
        <v>19.399999999999999</v>
      </c>
      <c r="AF140" s="246" t="str">
        <f>IF('WetLitterbags placem_collection'!AA141="","",'WetLitterbags placem_collection'!AA141)</f>
        <v>G</v>
      </c>
      <c r="AG140">
        <f>IF('WetLitterbags placem_collection'!AC141="","",'WetLitterbags placem_collection'!AC141)</f>
        <v>1</v>
      </c>
      <c r="AH140" s="24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placem_collection'!V141)),"YES","NO")</f>
        <v>NO</v>
      </c>
      <c r="AM140" t="str">
        <f>IF(ISNUMBER(SEARCH("H", 'WetLitterbags placem_collection'!V141)),"YES","NO")</f>
        <v>NO</v>
      </c>
      <c r="AN140" t="str">
        <f>IF(ISNUMBER(SEARCH("R", 'WetLitterbags placem_collection'!V141)),"YES","NO")</f>
        <v>NO</v>
      </c>
    </row>
    <row r="141" spans="1:40" ht="15" customHeight="1">
      <c r="A141" s="258" t="s">
        <v>2460</v>
      </c>
      <c r="B141" s="263">
        <f>'Dry_Litterbag Placem_Collection'!A142</f>
        <v>140</v>
      </c>
      <c r="C141" s="263" t="str">
        <f>'Dry_Litterbag Placem_Collection'!B142</f>
        <v xml:space="preserve">Mwantimba
</v>
      </c>
      <c r="D141" s="263" t="s">
        <v>2460</v>
      </c>
      <c r="E141" s="263" t="s">
        <v>20</v>
      </c>
      <c r="F141" s="263">
        <v>2</v>
      </c>
      <c r="G141" s="264" t="str">
        <f>'Dry_Litterbag Placem_Collection'!C142</f>
        <v>Wet_P2_T4</v>
      </c>
      <c r="H141" s="265" t="s">
        <v>2541</v>
      </c>
      <c r="I141" s="266" t="s">
        <v>1147</v>
      </c>
      <c r="J141" s="223" t="str">
        <f>'WetLitterbags placem_collection'!K142</f>
        <v>G787</v>
      </c>
      <c r="K141" s="225">
        <f>IFERROR(INDEX('Green_rooibos initial weight'!$C$5:$C$1749,MATCH(J141, 'Green_rooibos initial weight'!$A$5:$A$1749,0)),"")</f>
        <v>2.11</v>
      </c>
      <c r="L141" s="225">
        <f>IFERROR(K141-(TBIcalc!$H$9+TBIcalc!$H$10),"")</f>
        <v>1.8601999999999999</v>
      </c>
      <c r="M141" s="391">
        <f>AVERAGE(Ashed_controlls!$K$2:$K$11)</f>
        <v>5.5147656768714146</v>
      </c>
      <c r="N141" s="225">
        <f t="shared" si="12"/>
        <v>1.7576143288788377</v>
      </c>
      <c r="O141" s="225">
        <f>IF(IFERROR(INDEX('Both teabags AfterWet'!$C$3:$C$841,MATCH(J141,'Both teabags AfterWet'!$A$3:$A$841,0)),"")="","",(IFERROR(INDEX('Both teabags AfterWet'!$C$3:$C$841,MATCH(J141,'Both teabags AfterWet'!$A$3:$A$841,0)),"")))</f>
        <v>0.67869999999999997</v>
      </c>
      <c r="P141" s="225">
        <f>IFERROR(IF(O141&gt;0,O141-(TBIcalc!$H$9),""),"")</f>
        <v>0.52810000000000001</v>
      </c>
      <c r="Q141" s="225">
        <f>IFERROR(INDEX('Ashed teabags wet'!$K$2:$K$821,MATCH(J141,'Ashed teabags wet'!$A$2:$A$821,0)),"")</f>
        <v>15.0602409638563</v>
      </c>
      <c r="R141" s="225">
        <f t="shared" si="16"/>
        <v>0.4485668674698749</v>
      </c>
      <c r="S141" s="226">
        <f>'WetLitterbags placem_collection'!E142</f>
        <v>42762</v>
      </c>
      <c r="T141" s="226">
        <f>IF('WetLitterbags placem_collection'!G142="","",'WetLitterbags placem_collection'!G142)</f>
        <v>42816</v>
      </c>
      <c r="U141" s="227">
        <f t="shared" si="13"/>
        <v>54</v>
      </c>
      <c r="V141" s="225">
        <f t="shared" si="14"/>
        <v>1.3320999999999998</v>
      </c>
      <c r="W141" s="225">
        <f t="shared" si="15"/>
        <v>1.3090474614089629</v>
      </c>
      <c r="X141">
        <f>IFERROR(INDEX(Rainfall_Wet!$O$2:$O$217,MATCH(B141, Rainfall_Wet!$A$2:$A$217,0)),"")</f>
        <v>206.85140822299999</v>
      </c>
      <c r="Y141" s="231">
        <v>33.96</v>
      </c>
      <c r="Z141" s="231">
        <v>8.9200000000000017</v>
      </c>
      <c r="AA141" s="231">
        <v>57.12</v>
      </c>
      <c r="AB141" s="232" t="s">
        <v>2670</v>
      </c>
      <c r="AC141" s="231">
        <v>5.0720551996057202</v>
      </c>
      <c r="AD141">
        <f>IF('WetLitterbags placem_collection'!AB142="","",'WetLitterbags placem_collection'!AB142)</f>
        <v>1.4</v>
      </c>
      <c r="AE141">
        <f>IF('WetLitterbags placem_collection'!Z142="","",'WetLitterbags placem_collection'!Z142)</f>
        <v>33.4</v>
      </c>
      <c r="AF141" s="246" t="str">
        <f>IF('WetLitterbags placem_collection'!AA142="","",'WetLitterbags placem_collection'!AA142)</f>
        <v>G</v>
      </c>
      <c r="AG141">
        <f>IF('WetLitterbags placem_collection'!AC142="","",'WetLitterbags placem_collection'!AC142)</f>
        <v>1</v>
      </c>
      <c r="AH141" s="24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placem_collection'!V142)),"YES","NO")</f>
        <v>NO</v>
      </c>
      <c r="AM141" t="str">
        <f>IF(ISNUMBER(SEARCH("H", 'WetLitterbags placem_collection'!V142)),"YES","NO")</f>
        <v>NO</v>
      </c>
      <c r="AN141" t="str">
        <f>IF(ISNUMBER(SEARCH("R", 'WetLitterbags placem_collection'!V142)),"YES","NO")</f>
        <v>NO</v>
      </c>
    </row>
    <row r="142" spans="1:40" ht="15" customHeight="1">
      <c r="A142" s="258" t="s">
        <v>2460</v>
      </c>
      <c r="B142" s="263">
        <f>'Dry_Litterbag Placem_Collection'!A143</f>
        <v>141</v>
      </c>
      <c r="C142" s="263" t="str">
        <f>'Dry_Litterbag Placem_Collection'!B143</f>
        <v xml:space="preserve">Mwantimba
</v>
      </c>
      <c r="D142" s="263" t="s">
        <v>2460</v>
      </c>
      <c r="E142" s="263" t="s">
        <v>20</v>
      </c>
      <c r="F142" s="263">
        <v>2</v>
      </c>
      <c r="G142" s="264" t="str">
        <f>'Dry_Litterbag Placem_Collection'!C143</f>
        <v>Wet_P2_T5</v>
      </c>
      <c r="H142" s="265" t="s">
        <v>2541</v>
      </c>
      <c r="I142" s="266" t="s">
        <v>1147</v>
      </c>
      <c r="J142" s="223" t="str">
        <f>'WetLitterbags placem_collection'!K143</f>
        <v>G900</v>
      </c>
      <c r="K142" s="225">
        <f>IFERROR(INDEX('Green_rooibos initial weight'!$C$5:$C$1749,MATCH(J142, 'Green_rooibos initial weight'!$A$5:$A$1749,0)),"")</f>
        <v>2.0910000000000002</v>
      </c>
      <c r="L142" s="225">
        <f>IFERROR(K142-(TBIcalc!$H$9+TBIcalc!$H$10),"")</f>
        <v>1.8412000000000002</v>
      </c>
      <c r="M142" s="391">
        <f>AVERAGE(Ashed_controlls!$K$2:$K$11)</f>
        <v>5.5147656768714146</v>
      </c>
      <c r="N142" s="225">
        <f t="shared" si="12"/>
        <v>1.7396621343574437</v>
      </c>
      <c r="O142" s="225">
        <f>IF(IFERROR(INDEX('Both teabags AfterWet'!$C$3:$C$841,MATCH(J142,'Both teabags AfterWet'!$A$3:$A$841,0)),"")="","",(IFERROR(INDEX('Both teabags AfterWet'!$C$3:$C$841,MATCH(J142,'Both teabags AfterWet'!$A$3:$A$841,0)),"")))</f>
        <v>1.5369999999999999</v>
      </c>
      <c r="P142" s="225">
        <f>IFERROR(IF(O142&gt;0,O142-(TBIcalc!$H$9),""),"")</f>
        <v>1.3863999999999999</v>
      </c>
      <c r="Q142" s="225">
        <f>IFERROR(INDEX('Ashed teabags wet'!$K$2:$K$821,MATCH(J142,'Ashed teabags wet'!$A$2:$A$821,0)),"")</f>
        <v>34.652509652509345</v>
      </c>
      <c r="R142" s="225">
        <f t="shared" si="16"/>
        <v>0.90597760617761036</v>
      </c>
      <c r="S142" s="226">
        <f>'WetLitterbags placem_collection'!E143</f>
        <v>42762</v>
      </c>
      <c r="T142" s="226">
        <f>IF('WetLitterbags placem_collection'!G143="","",'WetLitterbags placem_collection'!G143)</f>
        <v>42816</v>
      </c>
      <c r="U142" s="227">
        <f t="shared" si="13"/>
        <v>54</v>
      </c>
      <c r="V142" s="225">
        <f t="shared" si="14"/>
        <v>0.45480000000000032</v>
      </c>
      <c r="W142" s="225">
        <f t="shared" si="15"/>
        <v>0.8336845281798333</v>
      </c>
      <c r="X142">
        <f>IFERROR(INDEX(Rainfall_Wet!$O$2:$O$217,MATCH(B142, Rainfall_Wet!$A$2:$A$217,0)),"")</f>
        <v>206.85140822299999</v>
      </c>
      <c r="Y142" s="231">
        <v>33.96</v>
      </c>
      <c r="Z142" s="231">
        <v>8.9200000000000017</v>
      </c>
      <c r="AA142" s="231">
        <v>57.12</v>
      </c>
      <c r="AB142" s="232" t="s">
        <v>2670</v>
      </c>
      <c r="AC142" s="231">
        <v>6.0720551996057202</v>
      </c>
      <c r="AD142">
        <f>IF('WetLitterbags placem_collection'!AB143="","",'WetLitterbags placem_collection'!AB143)</f>
        <v>1.4</v>
      </c>
      <c r="AE142">
        <f>IF('WetLitterbags placem_collection'!Z143="","",'WetLitterbags placem_collection'!Z143)</f>
        <v>28.4</v>
      </c>
      <c r="AF142" s="246" t="str">
        <f>IF('WetLitterbags placem_collection'!AA143="","",'WetLitterbags placem_collection'!AA143)</f>
        <v>G</v>
      </c>
      <c r="AG142">
        <f>IF('WetLitterbags placem_collection'!AC143="","",'WetLitterbags placem_collection'!AC143)</f>
        <v>1</v>
      </c>
      <c r="AH142" s="24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placem_collection'!V143)),"YES","NO")</f>
        <v>NO</v>
      </c>
      <c r="AM142" t="str">
        <f>IF(ISNUMBER(SEARCH("H", 'WetLitterbags placem_collection'!V143)),"YES","NO")</f>
        <v>YES</v>
      </c>
      <c r="AN142" t="str">
        <f>IF(ISNUMBER(SEARCH("R", 'WetLitterbags placem_collection'!V143)),"YES","NO")</f>
        <v>YES</v>
      </c>
    </row>
    <row r="143" spans="1:40" ht="15" customHeight="1">
      <c r="A143" s="258" t="s">
        <v>2460</v>
      </c>
      <c r="B143" s="263">
        <f>'Dry_Litterbag Placem_Collection'!A144</f>
        <v>142</v>
      </c>
      <c r="C143" s="263" t="str">
        <f>'Dry_Litterbag Placem_Collection'!B144</f>
        <v xml:space="preserve">Mwantimba
</v>
      </c>
      <c r="D143" s="263" t="s">
        <v>2460</v>
      </c>
      <c r="E143" s="263" t="s">
        <v>20</v>
      </c>
      <c r="F143" s="263">
        <v>2</v>
      </c>
      <c r="G143" s="264" t="str">
        <f>'Dry_Litterbag Placem_Collection'!C144</f>
        <v>Wet_P2_T6</v>
      </c>
      <c r="H143" s="265" t="s">
        <v>2541</v>
      </c>
      <c r="I143" s="266" t="s">
        <v>1147</v>
      </c>
      <c r="J143" s="223" t="str">
        <f>'WetLitterbags placem_collection'!K144</f>
        <v>G817</v>
      </c>
      <c r="K143" s="225">
        <f>IFERROR(INDEX('Green_rooibos initial weight'!$C$5:$C$1749,MATCH(J143, 'Green_rooibos initial weight'!$A$5:$A$1749,0)),"")</f>
        <v>1.9770000000000001</v>
      </c>
      <c r="L143" s="225">
        <f>IFERROR(K143-(TBIcalc!$H$9+TBIcalc!$H$10),"")</f>
        <v>1.7272000000000001</v>
      </c>
      <c r="M143" s="391">
        <f>AVERAGE(Ashed_controlls!$K$2:$K$11)</f>
        <v>5.5147656768714146</v>
      </c>
      <c r="N143" s="225">
        <f t="shared" si="12"/>
        <v>1.631948967229077</v>
      </c>
      <c r="O143" s="225" t="str">
        <f>IF(IFERROR(INDEX('Both teabags AfterWet'!$C$3:$C$841,MATCH(J143,'Both teabags AfterWet'!$A$3:$A$841,0)),"")="","",(IFERROR(INDEX('Both teabags AfterWet'!$C$3:$C$841,MATCH(J143,'Both teabags AfterWet'!$A$3:$A$841,0)),"")))</f>
        <v>N.A</v>
      </c>
      <c r="P143" s="225" t="str">
        <f>IFERROR(IF(O143&gt;0,O143-(TBIcalc!$H$9),""),"")</f>
        <v/>
      </c>
      <c r="Q143" s="225">
        <f>IFERROR(INDEX('Ashed teabags wet'!$K$2:$K$821,MATCH(J143,'Ashed teabags wet'!$A$2:$A$821,0)),"")</f>
        <v>45.987198424421408</v>
      </c>
      <c r="R143" s="225" t="str">
        <f t="shared" si="16"/>
        <v/>
      </c>
      <c r="S143" s="226">
        <f>'WetLitterbags placem_collection'!E144</f>
        <v>42762</v>
      </c>
      <c r="T143" s="226">
        <f>IF('WetLitterbags placem_collection'!G144="","",'WetLitterbags placem_collection'!G144)</f>
        <v>42816</v>
      </c>
      <c r="U143" s="227">
        <f t="shared" si="13"/>
        <v>54</v>
      </c>
      <c r="V143" s="225" t="str">
        <f t="shared" si="14"/>
        <v/>
      </c>
      <c r="W143" s="225" t="str">
        <f t="shared" si="15"/>
        <v/>
      </c>
      <c r="X143">
        <f>IFERROR(INDEX(Rainfall_Wet!$O$2:$O$217,MATCH(B143, Rainfall_Wet!$A$2:$A$217,0)),"")</f>
        <v>206.85140822299999</v>
      </c>
      <c r="Y143" s="231">
        <v>33.96</v>
      </c>
      <c r="Z143" s="231">
        <v>8.9200000000000017</v>
      </c>
      <c r="AA143" s="231">
        <v>57.12</v>
      </c>
      <c r="AB143" s="232" t="s">
        <v>2670</v>
      </c>
      <c r="AC143" s="231">
        <v>7.0720551996057202</v>
      </c>
      <c r="AD143">
        <f>IF('WetLitterbags placem_collection'!AB144="","",'WetLitterbags placem_collection'!AB144)</f>
        <v>1.7</v>
      </c>
      <c r="AE143">
        <f>IF('WetLitterbags placem_collection'!Z144="","",'WetLitterbags placem_collection'!Z144)</f>
        <v>33.799999999999997</v>
      </c>
      <c r="AF143" s="246" t="str">
        <f>IF('WetLitterbags placem_collection'!AA144="","",'WetLitterbags placem_collection'!AA144)</f>
        <v>G</v>
      </c>
      <c r="AG143">
        <f>IF('WetLitterbags placem_collection'!AC144="","",'WetLitterbags placem_collection'!AC144)</f>
        <v>1</v>
      </c>
      <c r="AH143" s="24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placem_collection'!V144)),"YES","NO")</f>
        <v>NO</v>
      </c>
      <c r="AM143" t="str">
        <f>IF(ISNUMBER(SEARCH("H", 'WetLitterbags placem_collection'!V144)),"YES","NO")</f>
        <v>YES</v>
      </c>
      <c r="AN143" t="str">
        <f>IF(ISNUMBER(SEARCH("R", 'WetLitterbags placem_collection'!V144)),"YES","NO")</f>
        <v>NO</v>
      </c>
    </row>
    <row r="144" spans="1:40" ht="15" customHeight="1">
      <c r="A144" s="258" t="s">
        <v>2460</v>
      </c>
      <c r="B144" s="263">
        <f>'Dry_Litterbag Placem_Collection'!A145</f>
        <v>143</v>
      </c>
      <c r="C144" s="263" t="str">
        <f>'Dry_Litterbag Placem_Collection'!B145</f>
        <v xml:space="preserve">Mwantimba
</v>
      </c>
      <c r="D144" s="263" t="s">
        <v>2460</v>
      </c>
      <c r="E144" s="263" t="s">
        <v>20</v>
      </c>
      <c r="F144" s="263">
        <v>2</v>
      </c>
      <c r="G144" s="264" t="str">
        <f>'Dry_Litterbag Placem_Collection'!C145</f>
        <v>Wet_P2_T7</v>
      </c>
      <c r="H144" s="265" t="s">
        <v>2541</v>
      </c>
      <c r="I144" s="266" t="s">
        <v>1147</v>
      </c>
      <c r="J144" s="223" t="str">
        <f>'WetLitterbags placem_collection'!K145</f>
        <v>G836</v>
      </c>
      <c r="K144" s="225">
        <f>IFERROR(INDEX('Green_rooibos initial weight'!$C$5:$C$1749,MATCH(J144, 'Green_rooibos initial weight'!$A$5:$A$1749,0)),"")</f>
        <v>2.0419999999999998</v>
      </c>
      <c r="L144" s="225">
        <f>IFERROR(K144-(TBIcalc!$H$9+TBIcalc!$H$10),"")</f>
        <v>1.7921999999999998</v>
      </c>
      <c r="M144" s="391">
        <f>AVERAGE(Ashed_controlls!$K$2:$K$11)</f>
        <v>5.5147656768714146</v>
      </c>
      <c r="N144" s="225">
        <f t="shared" si="12"/>
        <v>1.6933643695391103</v>
      </c>
      <c r="O144" s="225">
        <f>IF(IFERROR(INDEX('Both teabags AfterWet'!$C$3:$C$841,MATCH(J144,'Both teabags AfterWet'!$A$3:$A$841,0)),"")="","",(IFERROR(INDEX('Both teabags AfterWet'!$C$3:$C$841,MATCH(J144,'Both teabags AfterWet'!$A$3:$A$841,0)),"")))</f>
        <v>0.60970000000000002</v>
      </c>
      <c r="P144" s="225">
        <f>IFERROR(IF(O144&gt;0,O144-(TBIcalc!$H$9),""),"")</f>
        <v>0.45910000000000001</v>
      </c>
      <c r="Q144" s="225">
        <f>IFERROR(INDEX('Ashed teabags wet'!$K$2:$K$821,MATCH(J144,'Ashed teabags wet'!$A$2:$A$821,0)),"")</f>
        <v>13.060240963856003</v>
      </c>
      <c r="R144" s="225">
        <f t="shared" si="16"/>
        <v>0.39914043373493707</v>
      </c>
      <c r="S144" s="226">
        <f>'WetLitterbags placem_collection'!E145</f>
        <v>42762</v>
      </c>
      <c r="T144" s="226">
        <f>IF('WetLitterbags placem_collection'!G145="","",'WetLitterbags placem_collection'!G145)</f>
        <v>42816</v>
      </c>
      <c r="U144" s="227">
        <f t="shared" si="13"/>
        <v>54</v>
      </c>
      <c r="V144" s="225">
        <f t="shared" si="14"/>
        <v>1.3330999999999997</v>
      </c>
      <c r="W144" s="225">
        <f t="shared" si="15"/>
        <v>1.2942239358041732</v>
      </c>
      <c r="X144">
        <f>IFERROR(INDEX(Rainfall_Wet!$O$2:$O$217,MATCH(B144, Rainfall_Wet!$A$2:$A$217,0)),"")</f>
        <v>206.85140822299999</v>
      </c>
      <c r="Y144" s="231">
        <v>33.96</v>
      </c>
      <c r="Z144" s="231">
        <v>8.9200000000000017</v>
      </c>
      <c r="AA144" s="231">
        <v>57.12</v>
      </c>
      <c r="AB144" s="232" t="s">
        <v>2670</v>
      </c>
      <c r="AC144" s="231">
        <v>8.0720551996057193</v>
      </c>
      <c r="AD144">
        <f>IF('WetLitterbags placem_collection'!AB145="","",'WetLitterbags placem_collection'!AB145)</f>
        <v>2</v>
      </c>
      <c r="AE144">
        <f>IF('WetLitterbags placem_collection'!Z145="","",'WetLitterbags placem_collection'!Z145)</f>
        <v>23.4</v>
      </c>
      <c r="AF144" s="246" t="str">
        <f>IF('WetLitterbags placem_collection'!AA145="","",'WetLitterbags placem_collection'!AA145)</f>
        <v>G</v>
      </c>
      <c r="AG144">
        <f>IF('WetLitterbags placem_collection'!AC145="","",'WetLitterbags placem_collection'!AC145)</f>
        <v>1</v>
      </c>
      <c r="AH144" s="24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placem_collection'!V145)),"YES","NO")</f>
        <v>NO</v>
      </c>
      <c r="AM144" t="str">
        <f>IF(ISNUMBER(SEARCH("H", 'WetLitterbags placem_collection'!V145)),"YES","NO")</f>
        <v>NO</v>
      </c>
      <c r="AN144" t="str">
        <f>IF(ISNUMBER(SEARCH("R", 'WetLitterbags placem_collection'!V145)),"YES","NO")</f>
        <v>YES</v>
      </c>
    </row>
    <row r="145" spans="1:40" ht="15" customHeight="1">
      <c r="A145" s="258" t="s">
        <v>2460</v>
      </c>
      <c r="B145" s="263">
        <f>'Dry_Litterbag Placem_Collection'!A146</f>
        <v>144</v>
      </c>
      <c r="C145" s="263" t="str">
        <f>'Dry_Litterbag Placem_Collection'!B146</f>
        <v xml:space="preserve">Mwantimba
</v>
      </c>
      <c r="D145" s="263" t="s">
        <v>2460</v>
      </c>
      <c r="E145" s="263" t="s">
        <v>20</v>
      </c>
      <c r="F145" s="263">
        <v>2</v>
      </c>
      <c r="G145" s="264" t="str">
        <f>'Dry_Litterbag Placem_Collection'!C146</f>
        <v>Wet_P2_T8</v>
      </c>
      <c r="H145" s="265" t="s">
        <v>2541</v>
      </c>
      <c r="I145" s="266" t="s">
        <v>1147</v>
      </c>
      <c r="J145" s="223" t="str">
        <f>'WetLitterbags placem_collection'!K146</f>
        <v>G784</v>
      </c>
      <c r="K145" s="225">
        <f>IFERROR(INDEX('Green_rooibos initial weight'!$C$5:$C$1749,MATCH(J145, 'Green_rooibos initial weight'!$A$5:$A$1749,0)),"")</f>
        <v>2.1070000000000002</v>
      </c>
      <c r="L145" s="225">
        <f>IFERROR(K145-(TBIcalc!$H$9+TBIcalc!$H$10),"")</f>
        <v>1.8572000000000002</v>
      </c>
      <c r="M145" s="391">
        <f>AVERAGE(Ashed_controlls!$K$2:$K$11)</f>
        <v>5.5147656768714146</v>
      </c>
      <c r="N145" s="225">
        <f t="shared" si="12"/>
        <v>1.7547797718491442</v>
      </c>
      <c r="O145" s="225">
        <f>IF(IFERROR(INDEX('Both teabags AfterWet'!$C$3:$C$841,MATCH(J145,'Both teabags AfterWet'!$A$3:$A$841,0)),"")="","",(IFERROR(INDEX('Both teabags AfterWet'!$C$3:$C$841,MATCH(J145,'Both teabags AfterWet'!$A$3:$A$841,0)),"")))</f>
        <v>0.78500000000000003</v>
      </c>
      <c r="P145" s="225">
        <f>IFERROR(IF(O145&gt;0,O145-(TBIcalc!$H$9),""),"")</f>
        <v>0.63440000000000007</v>
      </c>
      <c r="Q145" s="225">
        <f>IFERROR(INDEX('Ashed teabags wet'!$K$2:$K$821,MATCH(J145,'Ashed teabags wet'!$A$2:$A$821,0)),"")</f>
        <v>26.404773744405041</v>
      </c>
      <c r="R145" s="225">
        <f t="shared" si="16"/>
        <v>0.46688811536549446</v>
      </c>
      <c r="S145" s="226">
        <f>'WetLitterbags placem_collection'!E146</f>
        <v>42762</v>
      </c>
      <c r="T145" s="226">
        <f>IF('WetLitterbags placem_collection'!G146="","",'WetLitterbags placem_collection'!G146)</f>
        <v>42816</v>
      </c>
      <c r="U145" s="227">
        <f t="shared" si="13"/>
        <v>54</v>
      </c>
      <c r="V145" s="225">
        <f t="shared" si="14"/>
        <v>1.2228000000000001</v>
      </c>
      <c r="W145" s="225">
        <f t="shared" si="15"/>
        <v>1.2878916564836498</v>
      </c>
      <c r="X145">
        <f>IFERROR(INDEX(Rainfall_Wet!$O$2:$O$217,MATCH(B145, Rainfall_Wet!$A$2:$A$217,0)),"")</f>
        <v>206.85140822299999</v>
      </c>
      <c r="Y145" s="231">
        <v>33.96</v>
      </c>
      <c r="Z145" s="231">
        <v>8.9200000000000017</v>
      </c>
      <c r="AA145" s="231">
        <v>57.12</v>
      </c>
      <c r="AB145" s="232" t="s">
        <v>2670</v>
      </c>
      <c r="AC145" s="231">
        <v>9.0720551996057193</v>
      </c>
      <c r="AD145">
        <f>IF('WetLitterbags placem_collection'!AB146="","",'WetLitterbags placem_collection'!AB146)</f>
        <v>2.5</v>
      </c>
      <c r="AE145">
        <f>IF('WetLitterbags placem_collection'!Z146="","",'WetLitterbags placem_collection'!Z146)</f>
        <v>19.8</v>
      </c>
      <c r="AF145" s="246" t="str">
        <f>IF('WetLitterbags placem_collection'!AA146="","",'WetLitterbags placem_collection'!AA146)</f>
        <v>G</v>
      </c>
      <c r="AG145">
        <f>IF('WetLitterbags placem_collection'!AC146="","",'WetLitterbags placem_collection'!AC146)</f>
        <v>1</v>
      </c>
      <c r="AH145" s="24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placem_collection'!V146)),"YES","NO")</f>
        <v>NO</v>
      </c>
      <c r="AM145" t="str">
        <f>IF(ISNUMBER(SEARCH("H", 'WetLitterbags placem_collection'!V146)),"YES","NO")</f>
        <v>NO</v>
      </c>
      <c r="AN145" t="str">
        <f>IF(ISNUMBER(SEARCH("R", 'WetLitterbags placem_collection'!V146)),"YES","NO")</f>
        <v>YES</v>
      </c>
    </row>
    <row r="146" spans="1:40" ht="15" customHeight="1">
      <c r="A146" s="258" t="s">
        <v>2460</v>
      </c>
      <c r="B146" s="263">
        <f>'Dry_Litterbag Placem_Collection'!A147</f>
        <v>145</v>
      </c>
      <c r="C146" s="263" t="str">
        <f>'Dry_Litterbag Placem_Collection'!B147</f>
        <v xml:space="preserve">Mwantimba
</v>
      </c>
      <c r="D146" s="263" t="s">
        <v>2460</v>
      </c>
      <c r="E146" s="263" t="s">
        <v>20</v>
      </c>
      <c r="F146" s="263">
        <v>3</v>
      </c>
      <c r="G146" s="264" t="str">
        <f>'Dry_Litterbag Placem_Collection'!C147</f>
        <v>Wet_P3_T1</v>
      </c>
      <c r="H146" s="265" t="s">
        <v>2541</v>
      </c>
      <c r="I146" s="266" t="s">
        <v>1147</v>
      </c>
      <c r="J146" s="223" t="str">
        <f>'WetLitterbags placem_collection'!K147</f>
        <v>G902</v>
      </c>
      <c r="K146" s="225">
        <f>IFERROR(INDEX('Green_rooibos initial weight'!$C$5:$C$1749,MATCH(J146, 'Green_rooibos initial weight'!$A$5:$A$1749,0)),"")</f>
        <v>2.0750000000000002</v>
      </c>
      <c r="L146" s="225">
        <f>IFERROR(K146-(TBIcalc!$H$9+TBIcalc!$H$10),"")</f>
        <v>1.8252000000000002</v>
      </c>
      <c r="M146" s="391">
        <f>AVERAGE(Ashed_controlls!$K$2:$K$11)</f>
        <v>5.5147656768714146</v>
      </c>
      <c r="N146" s="225">
        <f t="shared" si="12"/>
        <v>1.7245444968657431</v>
      </c>
      <c r="O146" s="225">
        <f>IF(IFERROR(INDEX('Both teabags AfterWet'!$C$3:$C$841,MATCH(J146,'Both teabags AfterWet'!$A$3:$A$841,0)),"")="","",(IFERROR(INDEX('Both teabags AfterWet'!$C$3:$C$841,MATCH(J146,'Both teabags AfterWet'!$A$3:$A$841,0)),"")))</f>
        <v>0.79200000000000004</v>
      </c>
      <c r="P146" s="225">
        <f>IFERROR(IF(O146&gt;0,O146-(TBIcalc!$H$9),""),"")</f>
        <v>0.64139999999999997</v>
      </c>
      <c r="Q146" s="225">
        <f>IFERROR(INDEX('Ashed teabags wet'!$K$2:$K$821,MATCH(J146,'Ashed teabags wet'!$A$2:$A$821,0)),"")</f>
        <v>20.158102766798436</v>
      </c>
      <c r="R146" s="225">
        <f t="shared" si="16"/>
        <v>0.51210592885375483</v>
      </c>
      <c r="S146" s="226">
        <f>'WetLitterbags placem_collection'!E147</f>
        <v>42762</v>
      </c>
      <c r="T146" s="226">
        <f>IF('WetLitterbags placem_collection'!G147="","",'WetLitterbags placem_collection'!G147)</f>
        <v>42815</v>
      </c>
      <c r="U146" s="227">
        <f t="shared" si="13"/>
        <v>53</v>
      </c>
      <c r="V146" s="225">
        <f t="shared" si="14"/>
        <v>1.1838000000000002</v>
      </c>
      <c r="W146" s="225">
        <f t="shared" si="15"/>
        <v>1.2124385680119882</v>
      </c>
      <c r="X146">
        <f>IFERROR(INDEX(Rainfall_Wet!$O$2:$O$217,MATCH(B146, Rainfall_Wet!$A$2:$A$217,0)),"")</f>
        <v>205.76139209600001</v>
      </c>
      <c r="Y146" s="231">
        <v>39.96</v>
      </c>
      <c r="Z146" s="231">
        <v>12.920000000000002</v>
      </c>
      <c r="AA146" s="231">
        <v>47.12</v>
      </c>
      <c r="AB146" s="232" t="s">
        <v>2674</v>
      </c>
      <c r="AC146" s="231">
        <v>1.6549531789058647</v>
      </c>
      <c r="AD146">
        <f>IF('WetLitterbags placem_collection'!AB147="","",'WetLitterbags placem_collection'!AB147)</f>
        <v>3.95</v>
      </c>
      <c r="AE146">
        <f>IF('WetLitterbags placem_collection'!Z147="","",'WetLitterbags placem_collection'!Z147)</f>
        <v>13</v>
      </c>
      <c r="AF146" s="246" t="str">
        <f>IF('WetLitterbags placem_collection'!AA147="","",'WetLitterbags placem_collection'!AA147)</f>
        <v>O</v>
      </c>
      <c r="AG146">
        <f>IF('WetLitterbags placem_collection'!AC147="","",'WetLitterbags placem_collection'!AC147)</f>
        <v>0</v>
      </c>
      <c r="AH146" s="24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placem_collection'!V147)),"YES","NO")</f>
        <v>NO</v>
      </c>
      <c r="AM146" t="str">
        <f>IF(ISNUMBER(SEARCH("H", 'WetLitterbags placem_collection'!V147)),"YES","NO")</f>
        <v>NO</v>
      </c>
      <c r="AN146" t="str">
        <f>IF(ISNUMBER(SEARCH("R", 'WetLitterbags placem_collection'!V147)),"YES","NO")</f>
        <v>YES</v>
      </c>
    </row>
    <row r="147" spans="1:40" ht="15" customHeight="1">
      <c r="A147" s="258" t="s">
        <v>2460</v>
      </c>
      <c r="B147" s="263">
        <f>'Dry_Litterbag Placem_Collection'!A148</f>
        <v>146</v>
      </c>
      <c r="C147" s="263" t="str">
        <f>'Dry_Litterbag Placem_Collection'!B148</f>
        <v xml:space="preserve">Mwantimba
</v>
      </c>
      <c r="D147" s="263" t="s">
        <v>2460</v>
      </c>
      <c r="E147" s="263" t="s">
        <v>20</v>
      </c>
      <c r="F147" s="263">
        <v>3</v>
      </c>
      <c r="G147" s="264" t="str">
        <f>'Dry_Litterbag Placem_Collection'!C148</f>
        <v>Wet_P3_T2</v>
      </c>
      <c r="H147" s="265" t="s">
        <v>2541</v>
      </c>
      <c r="I147" s="266" t="s">
        <v>1147</v>
      </c>
      <c r="J147" s="223" t="str">
        <f>'WetLitterbags placem_collection'!K148</f>
        <v>G689</v>
      </c>
      <c r="K147" s="225">
        <f>IFERROR(INDEX('Green_rooibos initial weight'!$C$5:$C$1749,MATCH(J147, 'Green_rooibos initial weight'!$A$5:$A$1749,0)),"")</f>
        <v>2.0339999999999998</v>
      </c>
      <c r="L147" s="225">
        <f>IFERROR(K147-(TBIcalc!$H$9+TBIcalc!$H$10),"")</f>
        <v>1.7841999999999998</v>
      </c>
      <c r="M147" s="391">
        <f>AVERAGE(Ashed_controlls!$K$2:$K$11)</f>
        <v>5.5147656768714146</v>
      </c>
      <c r="N147" s="225">
        <f t="shared" si="12"/>
        <v>1.6858055507932601</v>
      </c>
      <c r="O147" s="225">
        <f>IF(IFERROR(INDEX('Both teabags AfterWet'!$C$3:$C$841,MATCH(J147,'Both teabags AfterWet'!$A$3:$A$841,0)),"")="","",(IFERROR(INDEX('Both teabags AfterWet'!$C$3:$C$841,MATCH(J147,'Both teabags AfterWet'!$A$3:$A$841,0)),"")))</f>
        <v>0.52200000000000002</v>
      </c>
      <c r="P147" s="225">
        <f>IFERROR(IF(O147&gt;0,O147-(TBIcalc!$H$9),""),"")</f>
        <v>0.37140000000000001</v>
      </c>
      <c r="Q147" s="225">
        <f>IFERROR(INDEX('Ashed teabags wet'!$K$2:$K$821,MATCH(J147,'Ashed teabags wet'!$A$2:$A$821,0)),"")</f>
        <v>14.092009685229803</v>
      </c>
      <c r="R147" s="225">
        <f t="shared" si="16"/>
        <v>0.31906227602905651</v>
      </c>
      <c r="S147" s="226">
        <f>'WetLitterbags placem_collection'!E148</f>
        <v>42762</v>
      </c>
      <c r="T147" s="226">
        <f>IF('WetLitterbags placem_collection'!G148="","",'WetLitterbags placem_collection'!G148)</f>
        <v>42815</v>
      </c>
      <c r="U147" s="227">
        <f t="shared" si="13"/>
        <v>53</v>
      </c>
      <c r="V147" s="225">
        <f t="shared" si="14"/>
        <v>1.4127999999999998</v>
      </c>
      <c r="W147" s="225">
        <f t="shared" si="15"/>
        <v>1.3667432747642037</v>
      </c>
      <c r="X147">
        <f>IFERROR(INDEX(Rainfall_Wet!$O$2:$O$217,MATCH(B147, Rainfall_Wet!$A$2:$A$217,0)),"")</f>
        <v>205.76139209600001</v>
      </c>
      <c r="Y147" s="231">
        <v>39.96</v>
      </c>
      <c r="Z147" s="231">
        <v>12.920000000000002</v>
      </c>
      <c r="AA147" s="231">
        <v>47.12</v>
      </c>
      <c r="AB147" s="232" t="s">
        <v>2674</v>
      </c>
      <c r="AC147" s="231">
        <v>2.6549531789058598</v>
      </c>
      <c r="AD147">
        <f>IF('WetLitterbags placem_collection'!AB148="","",'WetLitterbags placem_collection'!AB148)</f>
        <v>2.75</v>
      </c>
      <c r="AE147">
        <f>IF('WetLitterbags placem_collection'!Z148="","",'WetLitterbags placem_collection'!Z148)</f>
        <v>17.7</v>
      </c>
      <c r="AF147" s="246" t="str">
        <f>IF('WetLitterbags placem_collection'!AA148="","",'WetLitterbags placem_collection'!AA148)</f>
        <v>O</v>
      </c>
      <c r="AG147">
        <f>IF('WetLitterbags placem_collection'!AC148="","",'WetLitterbags placem_collection'!AC148)</f>
        <v>1</v>
      </c>
      <c r="AH147" s="24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placem_collection'!V148)),"YES","NO")</f>
        <v>NO</v>
      </c>
      <c r="AM147" t="str">
        <f>IF(ISNUMBER(SEARCH("H", 'WetLitterbags placem_collection'!V148)),"YES","NO")</f>
        <v>YES</v>
      </c>
      <c r="AN147" t="str">
        <f>IF(ISNUMBER(SEARCH("R", 'WetLitterbags placem_collection'!V148)),"YES","NO")</f>
        <v>YES</v>
      </c>
    </row>
    <row r="148" spans="1:40" ht="15" customHeight="1">
      <c r="A148" s="258" t="s">
        <v>2460</v>
      </c>
      <c r="B148" s="263">
        <f>'Dry_Litterbag Placem_Collection'!A149</f>
        <v>147</v>
      </c>
      <c r="C148" s="263" t="str">
        <f>'Dry_Litterbag Placem_Collection'!B149</f>
        <v xml:space="preserve">Mwantimba
</v>
      </c>
      <c r="D148" s="263" t="s">
        <v>2460</v>
      </c>
      <c r="E148" s="263" t="s">
        <v>20</v>
      </c>
      <c r="F148" s="263">
        <v>3</v>
      </c>
      <c r="G148" s="264" t="str">
        <f>'Dry_Litterbag Placem_Collection'!C149</f>
        <v>Wet_P3_T3</v>
      </c>
      <c r="H148" s="265" t="s">
        <v>2541</v>
      </c>
      <c r="I148" s="266" t="s">
        <v>1147</v>
      </c>
      <c r="J148" s="223" t="str">
        <f>'WetLitterbags placem_collection'!K149</f>
        <v>G678</v>
      </c>
      <c r="K148" s="225">
        <f>IFERROR(INDEX('Green_rooibos initial weight'!$C$5:$C$1749,MATCH(J148, 'Green_rooibos initial weight'!$A$5:$A$1749,0)),"")</f>
        <v>2.012</v>
      </c>
      <c r="L148" s="225">
        <f>IFERROR(K148-(TBIcalc!$H$9+TBIcalc!$H$10),"")</f>
        <v>1.7622</v>
      </c>
      <c r="M148" s="391">
        <f>AVERAGE(Ashed_controlls!$K$2:$K$11)</f>
        <v>5.5147656768714146</v>
      </c>
      <c r="N148" s="225">
        <f t="shared" si="12"/>
        <v>1.6650187992421719</v>
      </c>
      <c r="O148" s="225">
        <f>IF(IFERROR(INDEX('Both teabags AfterWet'!$C$3:$C$841,MATCH(J148,'Both teabags AfterWet'!$A$3:$A$841,0)),"")="","",(IFERROR(INDEX('Both teabags AfterWet'!$C$3:$C$841,MATCH(J148,'Both teabags AfterWet'!$A$3:$A$841,0)),"")))</f>
        <v>0.70199999999999996</v>
      </c>
      <c r="P148" s="225">
        <f>IFERROR(IF(O148&gt;0,O148-(TBIcalc!$H$9),""),"")</f>
        <v>0.55139999999999989</v>
      </c>
      <c r="Q148" s="225">
        <f>IFERROR(INDEX('Ashed teabags wet'!$K$2:$K$821,MATCH(J148,'Ashed teabags wet'!$A$2:$A$821,0)),"")</f>
        <v>16.333666333666116</v>
      </c>
      <c r="R148" s="225">
        <f t="shared" si="16"/>
        <v>0.46133616383616494</v>
      </c>
      <c r="S148" s="226">
        <f>'WetLitterbags placem_collection'!E149</f>
        <v>42762</v>
      </c>
      <c r="T148" s="226">
        <f>IF('WetLitterbags placem_collection'!G149="","",'WetLitterbags placem_collection'!G149)</f>
        <v>42816</v>
      </c>
      <c r="U148" s="227">
        <f t="shared" si="13"/>
        <v>54</v>
      </c>
      <c r="V148" s="225">
        <f t="shared" si="14"/>
        <v>1.2108000000000001</v>
      </c>
      <c r="W148" s="225">
        <f t="shared" si="15"/>
        <v>1.2036826354060071</v>
      </c>
      <c r="X148">
        <f>IFERROR(INDEX(Rainfall_Wet!$O$2:$O$217,MATCH(B148, Rainfall_Wet!$A$2:$A$217,0)),"")</f>
        <v>206.85140822299999</v>
      </c>
      <c r="Y148" s="231">
        <v>39.96</v>
      </c>
      <c r="Z148" s="231">
        <v>12.920000000000002</v>
      </c>
      <c r="AA148" s="231">
        <v>47.12</v>
      </c>
      <c r="AB148" s="232" t="s">
        <v>2674</v>
      </c>
      <c r="AC148" s="231">
        <v>3.6549531789058598</v>
      </c>
      <c r="AD148">
        <f>IF('WetLitterbags placem_collection'!AB149="","",'WetLitterbags placem_collection'!AB149)</f>
        <v>3.6</v>
      </c>
      <c r="AE148">
        <f>IF('WetLitterbags placem_collection'!Z149="","",'WetLitterbags placem_collection'!Z149)</f>
        <v>19</v>
      </c>
      <c r="AF148" s="246" t="str">
        <f>IF('WetLitterbags placem_collection'!AA149="","",'WetLitterbags placem_collection'!AA149)</f>
        <v>M</v>
      </c>
      <c r="AG148">
        <f>IF('WetLitterbags placem_collection'!AC149="","",'WetLitterbags placem_collection'!AC149)</f>
        <v>1</v>
      </c>
      <c r="AH148" s="24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placem_collection'!V149)),"YES","NO")</f>
        <v>NO</v>
      </c>
      <c r="AM148" t="str">
        <f>IF(ISNUMBER(SEARCH("H", 'WetLitterbags placem_collection'!V149)),"YES","NO")</f>
        <v>NO</v>
      </c>
      <c r="AN148" t="str">
        <f>IF(ISNUMBER(SEARCH("R", 'WetLitterbags placem_collection'!V149)),"YES","NO")</f>
        <v>NO</v>
      </c>
    </row>
    <row r="149" spans="1:40" ht="15" customHeight="1">
      <c r="A149" s="258" t="s">
        <v>2460</v>
      </c>
      <c r="B149" s="263">
        <f>'Dry_Litterbag Placem_Collection'!A150</f>
        <v>148</v>
      </c>
      <c r="C149" s="263" t="str">
        <f>'Dry_Litterbag Placem_Collection'!B150</f>
        <v xml:space="preserve">Mwantimba
</v>
      </c>
      <c r="D149" s="263" t="s">
        <v>2460</v>
      </c>
      <c r="E149" s="263" t="s">
        <v>20</v>
      </c>
      <c r="F149" s="263">
        <v>3</v>
      </c>
      <c r="G149" s="264" t="str">
        <f>'Dry_Litterbag Placem_Collection'!C150</f>
        <v>Wet_P3_T4</v>
      </c>
      <c r="H149" s="265" t="s">
        <v>2541</v>
      </c>
      <c r="I149" s="266" t="s">
        <v>1147</v>
      </c>
      <c r="J149" s="223" t="str">
        <f>'WetLitterbags placem_collection'!K150</f>
        <v>G835</v>
      </c>
      <c r="K149" s="225">
        <f>IFERROR(INDEX('Green_rooibos initial weight'!$C$5:$C$1749,MATCH(J149, 'Green_rooibos initial weight'!$A$5:$A$1749,0)),"")</f>
        <v>1.819</v>
      </c>
      <c r="L149" s="225">
        <f>IFERROR(K149-(TBIcalc!$H$9+TBIcalc!$H$10),"")</f>
        <v>1.5691999999999999</v>
      </c>
      <c r="M149" s="391">
        <f>AVERAGE(Ashed_controlls!$K$2:$K$11)</f>
        <v>5.5147656768714146</v>
      </c>
      <c r="N149" s="225">
        <f t="shared" si="12"/>
        <v>1.4826622969985337</v>
      </c>
      <c r="O149" s="225">
        <f>IF(IFERROR(INDEX('Both teabags AfterWet'!$C$3:$C$841,MATCH(J149,'Both teabags AfterWet'!$A$3:$A$841,0)),"")="","",(IFERROR(INDEX('Both teabags AfterWet'!$C$3:$C$841,MATCH(J149,'Both teabags AfterWet'!$A$3:$A$841,0)),"")))</f>
        <v>0.24560000000000001</v>
      </c>
      <c r="P149" s="225">
        <f>IFERROR(IF(O149&gt;0,O149-(TBIcalc!$H$9),""),"")</f>
        <v>9.5000000000000001E-2</v>
      </c>
      <c r="Q149" s="225" t="str">
        <f>IFERROR(INDEX('Ashed teabags wet'!$K$2:$K$821,MATCH(J149,'Ashed teabags wet'!$A$2:$A$821,0)),"")</f>
        <v/>
      </c>
      <c r="R149" s="225" t="str">
        <f t="shared" si="16"/>
        <v/>
      </c>
      <c r="S149" s="226">
        <f>'WetLitterbags placem_collection'!E150</f>
        <v>42762</v>
      </c>
      <c r="T149" s="226">
        <f>IF('WetLitterbags placem_collection'!G150="","",'WetLitterbags placem_collection'!G150)</f>
        <v>42816</v>
      </c>
      <c r="U149" s="227">
        <f t="shared" si="13"/>
        <v>54</v>
      </c>
      <c r="V149" s="225">
        <f t="shared" si="14"/>
        <v>1.4742</v>
      </c>
      <c r="W149" s="225" t="str">
        <f t="shared" si="15"/>
        <v/>
      </c>
      <c r="X149">
        <f>IFERROR(INDEX(Rainfall_Wet!$O$2:$O$217,MATCH(B149, Rainfall_Wet!$A$2:$A$217,0)),"")</f>
        <v>206.85140822299999</v>
      </c>
      <c r="Y149" s="231">
        <v>39.96</v>
      </c>
      <c r="Z149" s="231">
        <v>12.920000000000002</v>
      </c>
      <c r="AA149" s="231">
        <v>47.12</v>
      </c>
      <c r="AB149" s="232" t="s">
        <v>2674</v>
      </c>
      <c r="AC149" s="231">
        <v>4.6549531789058696</v>
      </c>
      <c r="AD149">
        <f>IF('WetLitterbags placem_collection'!AB150="","",'WetLitterbags placem_collection'!AB150)</f>
        <v>4.9000000000000004</v>
      </c>
      <c r="AE149">
        <f>IF('WetLitterbags placem_collection'!Z150="","",'WetLitterbags placem_collection'!Z150)</f>
        <v>17.489999999999998</v>
      </c>
      <c r="AF149" s="246" t="str">
        <f>IF('WetLitterbags placem_collection'!AA150="","",'WetLitterbags placem_collection'!AA150)</f>
        <v>M</v>
      </c>
      <c r="AG149">
        <f>IF('WetLitterbags placem_collection'!AC150="","",'WetLitterbags placem_collection'!AC150)</f>
        <v>1</v>
      </c>
      <c r="AH149" s="24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placem_collection'!V150)),"YES","NO")</f>
        <v>NO</v>
      </c>
      <c r="AM149" t="str">
        <f>IF(ISNUMBER(SEARCH("H", 'WetLitterbags placem_collection'!V150)),"YES","NO")</f>
        <v>YES</v>
      </c>
      <c r="AN149" t="str">
        <f>IF(ISNUMBER(SEARCH("R", 'WetLitterbags placem_collection'!V150)),"YES","NO")</f>
        <v>NO</v>
      </c>
    </row>
    <row r="150" spans="1:40" ht="15" customHeight="1">
      <c r="A150" s="258" t="s">
        <v>2460</v>
      </c>
      <c r="B150" s="263">
        <f>'Dry_Litterbag Placem_Collection'!A151</f>
        <v>149</v>
      </c>
      <c r="C150" s="263" t="str">
        <f>'Dry_Litterbag Placem_Collection'!B151</f>
        <v xml:space="preserve">Mwantimba
</v>
      </c>
      <c r="D150" s="263" t="s">
        <v>2460</v>
      </c>
      <c r="E150" s="263" t="s">
        <v>20</v>
      </c>
      <c r="F150" s="263">
        <v>3</v>
      </c>
      <c r="G150" s="264" t="str">
        <f>'Dry_Litterbag Placem_Collection'!C151</f>
        <v>Wet_P3_T5</v>
      </c>
      <c r="H150" s="265" t="s">
        <v>2541</v>
      </c>
      <c r="I150" s="266" t="s">
        <v>1147</v>
      </c>
      <c r="J150" s="223" t="str">
        <f>'WetLitterbags placem_collection'!K151</f>
        <v>G733</v>
      </c>
      <c r="K150" s="225">
        <f>IFERROR(INDEX('Green_rooibos initial weight'!$C$5:$C$1749,MATCH(J150, 'Green_rooibos initial weight'!$A$5:$A$1749,0)),"")</f>
        <v>1.8280000000000001</v>
      </c>
      <c r="L150" s="225">
        <f>IFERROR(K150-(TBIcalc!$H$9+TBIcalc!$H$10),"")</f>
        <v>1.5782</v>
      </c>
      <c r="M150" s="391">
        <f>AVERAGE(Ashed_controlls!$K$2:$K$11)</f>
        <v>5.5147656768714146</v>
      </c>
      <c r="N150" s="225">
        <f t="shared" si="12"/>
        <v>1.4911659680876155</v>
      </c>
      <c r="O150" s="225">
        <f>IF(IFERROR(INDEX('Both teabags AfterWet'!$C$3:$C$841,MATCH(J150,'Both teabags AfterWet'!$A$3:$A$841,0)),"")="","",(IFERROR(INDEX('Both teabags AfterWet'!$C$3:$C$841,MATCH(J150,'Both teabags AfterWet'!$A$3:$A$841,0)),"")))</f>
        <v>0.73760000000000003</v>
      </c>
      <c r="P150" s="225">
        <f>IFERROR(IF(O150&gt;0,O150-(TBIcalc!$H$9),""),"")</f>
        <v>0.58699999999999997</v>
      </c>
      <c r="Q150" s="225">
        <f>IFERROR(INDEX('Ashed teabags wet'!$K$2:$K$821,MATCH(J150,'Ashed teabags wet'!$A$2:$A$821,0)),"")</f>
        <v>30.262506191183512</v>
      </c>
      <c r="R150" s="225">
        <f t="shared" si="16"/>
        <v>0.40935908865775272</v>
      </c>
      <c r="S150" s="226">
        <f>'WetLitterbags placem_collection'!E151</f>
        <v>42762</v>
      </c>
      <c r="T150" s="226">
        <f>IF('WetLitterbags placem_collection'!G151="","",'WetLitterbags placem_collection'!G151)</f>
        <v>42816</v>
      </c>
      <c r="U150" s="227">
        <f t="shared" si="13"/>
        <v>54</v>
      </c>
      <c r="V150" s="225">
        <f t="shared" si="14"/>
        <v>0.99120000000000008</v>
      </c>
      <c r="W150" s="225">
        <f t="shared" si="15"/>
        <v>1.0818068794298628</v>
      </c>
      <c r="X150">
        <f>IFERROR(INDEX(Rainfall_Wet!$O$2:$O$217,MATCH(B150, Rainfall_Wet!$A$2:$A$217,0)),"")</f>
        <v>206.85140822299999</v>
      </c>
      <c r="Y150" s="231">
        <v>39.96</v>
      </c>
      <c r="Z150" s="231">
        <v>12.920000000000002</v>
      </c>
      <c r="AA150" s="231">
        <v>47.12</v>
      </c>
      <c r="AB150" s="232" t="s">
        <v>2674</v>
      </c>
      <c r="AC150" s="231">
        <v>5.6549531789058696</v>
      </c>
      <c r="AD150">
        <f>IF('WetLitterbags placem_collection'!AB151="","",'WetLitterbags placem_collection'!AB151)</f>
        <v>2.8</v>
      </c>
      <c r="AE150">
        <f>IF('WetLitterbags placem_collection'!Z151="","",'WetLitterbags placem_collection'!Z151)</f>
        <v>13</v>
      </c>
      <c r="AF150" s="246" t="str">
        <f>IF('WetLitterbags placem_collection'!AA151="","",'WetLitterbags placem_collection'!AA151)</f>
        <v>M</v>
      </c>
      <c r="AG150">
        <f>IF('WetLitterbags placem_collection'!AC151="","",'WetLitterbags placem_collection'!AC151)</f>
        <v>1</v>
      </c>
      <c r="AH150" s="24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placem_collection'!V151)),"YES","NO")</f>
        <v>NO</v>
      </c>
      <c r="AM150" t="str">
        <f>IF(ISNUMBER(SEARCH("H", 'WetLitterbags placem_collection'!V151)),"YES","NO")</f>
        <v>NO</v>
      </c>
      <c r="AN150" t="str">
        <f>IF(ISNUMBER(SEARCH("R", 'WetLitterbags placem_collection'!V151)),"YES","NO")</f>
        <v>NO</v>
      </c>
    </row>
    <row r="151" spans="1:40" ht="15" customHeight="1">
      <c r="A151" s="258" t="s">
        <v>2460</v>
      </c>
      <c r="B151" s="263">
        <f>'Dry_Litterbag Placem_Collection'!A152</f>
        <v>150</v>
      </c>
      <c r="C151" s="263" t="str">
        <f>'Dry_Litterbag Placem_Collection'!B152</f>
        <v xml:space="preserve">Mwantimba
</v>
      </c>
      <c r="D151" s="263" t="s">
        <v>2460</v>
      </c>
      <c r="E151" s="263" t="s">
        <v>20</v>
      </c>
      <c r="F151" s="263">
        <v>3</v>
      </c>
      <c r="G151" s="264" t="str">
        <f>'Dry_Litterbag Placem_Collection'!C152</f>
        <v>Wet_P3_T6</v>
      </c>
      <c r="H151" s="265" t="s">
        <v>2541</v>
      </c>
      <c r="I151" s="266" t="s">
        <v>1147</v>
      </c>
      <c r="J151" s="223" t="str">
        <f>'WetLitterbags placem_collection'!K152</f>
        <v>G658</v>
      </c>
      <c r="K151" s="225">
        <f>IFERROR(INDEX('Green_rooibos initial weight'!$C$5:$C$1749,MATCH(J151, 'Green_rooibos initial weight'!$A$5:$A$1749,0)),"")</f>
        <v>2.129</v>
      </c>
      <c r="L151" s="225">
        <f>IFERROR(K151-(TBIcalc!$H$9+TBIcalc!$H$10),"")</f>
        <v>1.8792</v>
      </c>
      <c r="M151" s="391">
        <f>AVERAGE(Ashed_controlls!$K$2:$K$11)</f>
        <v>5.5147656768714146</v>
      </c>
      <c r="N151" s="225">
        <f t="shared" si="12"/>
        <v>1.7755665234002325</v>
      </c>
      <c r="O151" s="225">
        <f>IF(IFERROR(INDEX('Both teabags AfterWet'!$C$3:$C$841,MATCH(J151,'Both teabags AfterWet'!$A$3:$A$841,0)),"")="","",(IFERROR(INDEX('Both teabags AfterWet'!$C$3:$C$841,MATCH(J151,'Both teabags AfterWet'!$A$3:$A$841,0)),"")))</f>
        <v>0.71799999999999997</v>
      </c>
      <c r="P151" s="225">
        <f>IFERROR(IF(O151&gt;0,O151-(TBIcalc!$H$9),""),"")</f>
        <v>0.5673999999999999</v>
      </c>
      <c r="Q151" s="225">
        <f>IFERROR(INDEX('Ashed teabags wet'!$K$2:$K$821,MATCH(J151,'Ashed teabags wet'!$A$2:$A$821,0)),"")</f>
        <v>23.716990533134794</v>
      </c>
      <c r="R151" s="225">
        <f t="shared" si="16"/>
        <v>0.43282979571499314</v>
      </c>
      <c r="S151" s="226">
        <f>'WetLitterbags placem_collection'!E152</f>
        <v>42762</v>
      </c>
      <c r="T151" s="226">
        <f>IF('WetLitterbags placem_collection'!G152="","",'WetLitterbags placem_collection'!G152)</f>
        <v>42816</v>
      </c>
      <c r="U151" s="227">
        <f t="shared" si="13"/>
        <v>54</v>
      </c>
      <c r="V151" s="225">
        <f t="shared" si="14"/>
        <v>1.3118000000000001</v>
      </c>
      <c r="W151" s="225">
        <f t="shared" si="15"/>
        <v>1.3427367276852393</v>
      </c>
      <c r="X151">
        <f>IFERROR(INDEX(Rainfall_Wet!$O$2:$O$217,MATCH(B151, Rainfall_Wet!$A$2:$A$217,0)),"")</f>
        <v>206.85140822299999</v>
      </c>
      <c r="Y151" s="231">
        <v>39.96</v>
      </c>
      <c r="Z151" s="231">
        <v>12.920000000000002</v>
      </c>
      <c r="AA151" s="231">
        <v>47.12</v>
      </c>
      <c r="AB151" s="232" t="s">
        <v>2674</v>
      </c>
      <c r="AC151" s="231">
        <v>6.6549531789058696</v>
      </c>
      <c r="AD151">
        <f>IF('WetLitterbags placem_collection'!AB152="","",'WetLitterbags placem_collection'!AB152)</f>
        <v>2.75</v>
      </c>
      <c r="AE151">
        <f>IF('WetLitterbags placem_collection'!Z152="","",'WetLitterbags placem_collection'!Z152)</f>
        <v>19</v>
      </c>
      <c r="AF151" s="246" t="str">
        <f>IF('WetLitterbags placem_collection'!AA152="","",'WetLitterbags placem_collection'!AA152)</f>
        <v>O</v>
      </c>
      <c r="AG151">
        <f>IF('WetLitterbags placem_collection'!AC152="","",'WetLitterbags placem_collection'!AC152)</f>
        <v>0</v>
      </c>
      <c r="AH151" s="24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placem_collection'!V152)),"YES","NO")</f>
        <v>NO</v>
      </c>
      <c r="AM151" t="str">
        <f>IF(ISNUMBER(SEARCH("H", 'WetLitterbags placem_collection'!V152)),"YES","NO")</f>
        <v>NO</v>
      </c>
      <c r="AN151" t="str">
        <f>IF(ISNUMBER(SEARCH("R", 'WetLitterbags placem_collection'!V152)),"YES","NO")</f>
        <v>NO</v>
      </c>
    </row>
    <row r="152" spans="1:40" ht="15" customHeight="1">
      <c r="A152" s="258" t="s">
        <v>2460</v>
      </c>
      <c r="B152" s="263">
        <f>'Dry_Litterbag Placem_Collection'!A153</f>
        <v>151</v>
      </c>
      <c r="C152" s="263" t="str">
        <f>'Dry_Litterbag Placem_Collection'!B153</f>
        <v xml:space="preserve">Mwantimba
</v>
      </c>
      <c r="D152" s="263" t="s">
        <v>2460</v>
      </c>
      <c r="E152" s="263" t="s">
        <v>20</v>
      </c>
      <c r="F152" s="263">
        <v>3</v>
      </c>
      <c r="G152" s="264" t="str">
        <f>'Dry_Litterbag Placem_Collection'!C153</f>
        <v>Wet_P3_T7</v>
      </c>
      <c r="H152" s="265" t="s">
        <v>2541</v>
      </c>
      <c r="I152" s="266" t="s">
        <v>1147</v>
      </c>
      <c r="J152" s="223" t="str">
        <f>'WetLitterbags placem_collection'!K153</f>
        <v>G567</v>
      </c>
      <c r="K152" s="225">
        <f>IFERROR(INDEX('Green_rooibos initial weight'!$C$5:$C$1749,MATCH(J152, 'Green_rooibos initial weight'!$A$5:$A$1749,0)),"")</f>
        <v>2.0569999999999999</v>
      </c>
      <c r="L152" s="225">
        <f>IFERROR(K152-(TBIcalc!$H$9+TBIcalc!$H$10),"")</f>
        <v>1.8071999999999999</v>
      </c>
      <c r="M152" s="391">
        <f>AVERAGE(Ashed_controlls!$K$2:$K$11)</f>
        <v>5.5147656768714146</v>
      </c>
      <c r="N152" s="225">
        <f t="shared" si="12"/>
        <v>1.7075371546875797</v>
      </c>
      <c r="O152" s="225">
        <f>IF(IFERROR(INDEX('Both teabags AfterWet'!$C$3:$C$841,MATCH(J152,'Both teabags AfterWet'!$A$3:$A$841,0)),"")="","",(IFERROR(INDEX('Both teabags AfterWet'!$C$3:$C$841,MATCH(J152,'Both teabags AfterWet'!$A$3:$A$841,0)),"")))</f>
        <v>0.86499999999999999</v>
      </c>
      <c r="P152" s="225">
        <f>IFERROR(IF(O152&gt;0,O152-(TBIcalc!$H$9),""),"")</f>
        <v>0.71439999999999992</v>
      </c>
      <c r="Q152" s="225">
        <f>IFERROR(INDEX('Ashed teabags wet'!$K$2:$K$821,MATCH(J152,'Ashed teabags wet'!$A$2:$A$821,0)),"")</f>
        <v>20.077034183919789</v>
      </c>
      <c r="R152" s="225">
        <f t="shared" si="16"/>
        <v>0.57096966779007696</v>
      </c>
      <c r="S152" s="226">
        <f>'WetLitterbags placem_collection'!E153</f>
        <v>42762</v>
      </c>
      <c r="T152" s="226">
        <f>IF('WetLitterbags placem_collection'!G153="","",'WetLitterbags placem_collection'!G153)</f>
        <v>42816</v>
      </c>
      <c r="U152" s="227">
        <f t="shared" si="13"/>
        <v>54</v>
      </c>
      <c r="V152" s="225">
        <f t="shared" si="14"/>
        <v>1.0928</v>
      </c>
      <c r="W152" s="225">
        <f t="shared" si="15"/>
        <v>1.1365674868975026</v>
      </c>
      <c r="X152">
        <f>IFERROR(INDEX(Rainfall_Wet!$O$2:$O$217,MATCH(B152, Rainfall_Wet!$A$2:$A$217,0)),"")</f>
        <v>206.85140822299999</v>
      </c>
      <c r="Y152" s="231">
        <v>39.96</v>
      </c>
      <c r="Z152" s="231">
        <v>12.920000000000002</v>
      </c>
      <c r="AA152" s="231">
        <v>47.12</v>
      </c>
      <c r="AB152" s="232" t="s">
        <v>2674</v>
      </c>
      <c r="AC152" s="231">
        <v>7.6549531789058696</v>
      </c>
      <c r="AD152">
        <f>IF('WetLitterbags placem_collection'!AB153="","",'WetLitterbags placem_collection'!AB153)</f>
        <v>1.4</v>
      </c>
      <c r="AE152">
        <f>IF('WetLitterbags placem_collection'!Z153="","",'WetLitterbags placem_collection'!Z153)</f>
        <v>7.9</v>
      </c>
      <c r="AF152" s="246" t="str">
        <f>IF('WetLitterbags placem_collection'!AA153="","",'WetLitterbags placem_collection'!AA153)</f>
        <v>O</v>
      </c>
      <c r="AG152">
        <f>IF('WetLitterbags placem_collection'!AC153="","",'WetLitterbags placem_collection'!AC153)</f>
        <v>1</v>
      </c>
      <c r="AH152" s="24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placem_collection'!V153)),"YES","NO")</f>
        <v>NO</v>
      </c>
      <c r="AM152" t="str">
        <f>IF(ISNUMBER(SEARCH("H", 'WetLitterbags placem_collection'!V153)),"YES","NO")</f>
        <v>NO</v>
      </c>
      <c r="AN152" t="str">
        <f>IF(ISNUMBER(SEARCH("R", 'WetLitterbags placem_collection'!V153)),"YES","NO")</f>
        <v>YES</v>
      </c>
    </row>
    <row r="153" spans="1:40" ht="15" customHeight="1">
      <c r="A153" s="258" t="s">
        <v>2460</v>
      </c>
      <c r="B153" s="263">
        <f>'Dry_Litterbag Placem_Collection'!A154</f>
        <v>152</v>
      </c>
      <c r="C153" s="263" t="str">
        <f>'Dry_Litterbag Placem_Collection'!B154</f>
        <v xml:space="preserve">Mwantimba
</v>
      </c>
      <c r="D153" s="263" t="s">
        <v>2460</v>
      </c>
      <c r="E153" s="263" t="s">
        <v>20</v>
      </c>
      <c r="F153" s="263">
        <v>3</v>
      </c>
      <c r="G153" s="264" t="str">
        <f>'Dry_Litterbag Placem_Collection'!C154</f>
        <v>Wet_P3_T8</v>
      </c>
      <c r="H153" s="265" t="s">
        <v>2541</v>
      </c>
      <c r="I153" s="266" t="s">
        <v>1147</v>
      </c>
      <c r="J153" s="223" t="str">
        <f>'WetLitterbags placem_collection'!K154</f>
        <v>G853</v>
      </c>
      <c r="K153" s="225">
        <f>IFERROR(INDEX('Green_rooibos initial weight'!$C$5:$C$1749,MATCH(J153, 'Green_rooibos initial weight'!$A$5:$A$1749,0)),"")</f>
        <v>1.972</v>
      </c>
      <c r="L153" s="225">
        <f>IFERROR(K153-(TBIcalc!$H$9+TBIcalc!$H$10),"")</f>
        <v>1.7222</v>
      </c>
      <c r="M153" s="391">
        <f>AVERAGE(Ashed_controlls!$K$2:$K$11)</f>
        <v>5.5147656768714146</v>
      </c>
      <c r="N153" s="225">
        <f t="shared" si="12"/>
        <v>1.6272247055129205</v>
      </c>
      <c r="O153" s="225">
        <f>IF(IFERROR(INDEX('Both teabags AfterWet'!$C$3:$C$841,MATCH(J153,'Both teabags AfterWet'!$A$3:$A$841,0)),"")="","",(IFERROR(INDEX('Both teabags AfterWet'!$C$3:$C$841,MATCH(J153,'Both teabags AfterWet'!$A$3:$A$841,0)),"")))</f>
        <v>0.58509999999999995</v>
      </c>
      <c r="P153" s="225">
        <f>IFERROR(IF(O153&gt;0,O153-(TBIcalc!$H$9),""),"")</f>
        <v>0.43449999999999994</v>
      </c>
      <c r="Q153" s="225">
        <f>IFERROR(INDEX('Ashed teabags wet'!$K$2:$K$821,MATCH(J153,'Ashed teabags wet'!$A$2:$A$821,0)),"")</f>
        <v>20.802377414561477</v>
      </c>
      <c r="R153" s="225">
        <f t="shared" si="16"/>
        <v>0.34411367013373034</v>
      </c>
      <c r="S153" s="226">
        <f>'WetLitterbags placem_collection'!E154</f>
        <v>42762</v>
      </c>
      <c r="T153" s="226">
        <f>IF('WetLitterbags placem_collection'!G154="","",'WetLitterbags placem_collection'!G154)</f>
        <v>42816</v>
      </c>
      <c r="U153" s="227">
        <f t="shared" si="13"/>
        <v>54</v>
      </c>
      <c r="V153" s="225">
        <f t="shared" si="14"/>
        <v>1.2877000000000001</v>
      </c>
      <c r="W153" s="225">
        <f t="shared" si="15"/>
        <v>1.2831110353791901</v>
      </c>
      <c r="X153">
        <f>IFERROR(INDEX(Rainfall_Wet!$O$2:$O$217,MATCH(B153, Rainfall_Wet!$A$2:$A$217,0)),"")</f>
        <v>206.85140822299999</v>
      </c>
      <c r="Y153" s="231">
        <v>39.96</v>
      </c>
      <c r="Z153" s="231">
        <v>12.920000000000002</v>
      </c>
      <c r="AA153" s="231">
        <v>47.12</v>
      </c>
      <c r="AB153" s="232" t="s">
        <v>2674</v>
      </c>
      <c r="AC153" s="231">
        <v>8.6549531789058705</v>
      </c>
      <c r="AD153">
        <f>IF('WetLitterbags placem_collection'!AB154="","",'WetLitterbags placem_collection'!AB154)</f>
        <v>2.2000000000000002</v>
      </c>
      <c r="AE153">
        <f>IF('WetLitterbags placem_collection'!Z154="","",'WetLitterbags placem_collection'!Z154)</f>
        <v>15</v>
      </c>
      <c r="AF153" s="246" t="str">
        <f>IF('WetLitterbags placem_collection'!AA154="","",'WetLitterbags placem_collection'!AA154)</f>
        <v>M</v>
      </c>
      <c r="AG153">
        <f>IF('WetLitterbags placem_collection'!AC154="","",'WetLitterbags placem_collection'!AC154)</f>
        <v>0</v>
      </c>
      <c r="AH153" s="24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placem_collection'!V154)),"YES","NO")</f>
        <v>NO</v>
      </c>
      <c r="AM153" t="str">
        <f>IF(ISNUMBER(SEARCH("H", 'WetLitterbags placem_collection'!V154)),"YES","NO")</f>
        <v>NO</v>
      </c>
      <c r="AN153" t="str">
        <f>IF(ISNUMBER(SEARCH("R", 'WetLitterbags placem_collection'!V154)),"YES","NO")</f>
        <v>NO</v>
      </c>
    </row>
    <row r="154" spans="1:40" ht="15" customHeight="1">
      <c r="A154" s="258" t="s">
        <v>2460</v>
      </c>
      <c r="B154" s="263">
        <f>'Dry_Litterbag Placem_Collection'!A155</f>
        <v>153</v>
      </c>
      <c r="C154" s="263" t="str">
        <f>'Dry_Litterbag Placem_Collection'!B155</f>
        <v xml:space="preserve">Mwantimba
</v>
      </c>
      <c r="D154" s="263" t="s">
        <v>2460</v>
      </c>
      <c r="E154" s="263" t="s">
        <v>20</v>
      </c>
      <c r="F154" s="263">
        <v>4</v>
      </c>
      <c r="G154" s="264" t="str">
        <f>'Dry_Litterbag Placem_Collection'!C155</f>
        <v>Wet_P4_T1</v>
      </c>
      <c r="H154" s="265" t="s">
        <v>2541</v>
      </c>
      <c r="I154" s="266" t="s">
        <v>1147</v>
      </c>
      <c r="J154" s="223" t="str">
        <f>'WetLitterbags placem_collection'!K155</f>
        <v>G800</v>
      </c>
      <c r="K154" s="225">
        <f>IFERROR(INDEX('Green_rooibos initial weight'!$C$5:$C$1749,MATCH(J154, 'Green_rooibos initial weight'!$A$5:$A$1749,0)),"")</f>
        <v>2.1179999999999999</v>
      </c>
      <c r="L154" s="225">
        <f>IFERROR(K154-(TBIcalc!$H$9+TBIcalc!$H$10),"")</f>
        <v>1.8681999999999999</v>
      </c>
      <c r="M154" s="391">
        <f>AVERAGE(Ashed_controlls!$K$2:$K$11)</f>
        <v>5.5147656768714146</v>
      </c>
      <c r="N154" s="225">
        <f t="shared" si="12"/>
        <v>1.7651731476246881</v>
      </c>
      <c r="O154" s="225">
        <f>IF(IFERROR(INDEX('Both teabags AfterWet'!$C$3:$C$841,MATCH(J154,'Both teabags AfterWet'!$A$3:$A$841,0)),"")="","",(IFERROR(INDEX('Both teabags AfterWet'!$C$3:$C$841,MATCH(J154,'Both teabags AfterWet'!$A$3:$A$841,0)),"")))</f>
        <v>0.58630000000000004</v>
      </c>
      <c r="P154" s="225">
        <f>IFERROR(IF(O154&gt;0,O154-(TBIcalc!$H$9),""),"")</f>
        <v>0.43570000000000003</v>
      </c>
      <c r="Q154" s="225">
        <f>IFERROR(INDEX('Ashed teabags wet'!$K$2:$K$821,MATCH(J154,'Ashed teabags wet'!$A$2:$A$821,0)),"")</f>
        <v>16.871618298081419</v>
      </c>
      <c r="R154" s="225">
        <f t="shared" si="16"/>
        <v>0.36219035907525926</v>
      </c>
      <c r="S154" s="226">
        <f>'WetLitterbags placem_collection'!E155</f>
        <v>42762</v>
      </c>
      <c r="T154" s="226">
        <f>IF('WetLitterbags placem_collection'!G155="","",'WetLitterbags placem_collection'!G155)</f>
        <v>42816</v>
      </c>
      <c r="U154" s="227">
        <f t="shared" si="13"/>
        <v>54</v>
      </c>
      <c r="V154" s="225">
        <f t="shared" si="14"/>
        <v>1.4324999999999999</v>
      </c>
      <c r="W154" s="225">
        <f t="shared" si="15"/>
        <v>1.4029827885494288</v>
      </c>
      <c r="X154">
        <f>IFERROR(INDEX(Rainfall_Wet!$O$2:$O$217,MATCH(B154, Rainfall_Wet!$A$2:$A$217,0)),"")</f>
        <v>206.85140822299999</v>
      </c>
      <c r="Y154" s="231">
        <v>27.96</v>
      </c>
      <c r="Z154" s="231">
        <v>4.9200000000000017</v>
      </c>
      <c r="AA154" s="231">
        <v>67.12</v>
      </c>
      <c r="AB154" s="232" t="s">
        <v>2670</v>
      </c>
      <c r="AC154" s="231">
        <v>1.0437161163134547</v>
      </c>
      <c r="AD154">
        <f>IF('WetLitterbags placem_collection'!AB155="","",'WetLitterbags placem_collection'!AB155)</f>
        <v>2.1</v>
      </c>
      <c r="AE154">
        <f>IF('WetLitterbags placem_collection'!Z155="","",'WetLitterbags placem_collection'!Z155)</f>
        <v>16.399999999999999</v>
      </c>
      <c r="AF154" s="246" t="str">
        <f>IF('WetLitterbags placem_collection'!AA155="","",'WetLitterbags placem_collection'!AA155)</f>
        <v>G</v>
      </c>
      <c r="AG154">
        <f>IF('WetLitterbags placem_collection'!AC155="","",'WetLitterbags placem_collection'!AC155)</f>
        <v>0</v>
      </c>
      <c r="AH154" s="24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placem_collection'!V155)),"YES","NO")</f>
        <v>NO</v>
      </c>
      <c r="AM154" t="str">
        <f>IF(ISNUMBER(SEARCH("H", 'WetLitterbags placem_collection'!V155)),"YES","NO")</f>
        <v>NO</v>
      </c>
      <c r="AN154" t="str">
        <f>IF(ISNUMBER(SEARCH("R", 'WetLitterbags placem_collection'!V155)),"YES","NO")</f>
        <v>YES</v>
      </c>
    </row>
    <row r="155" spans="1:40" ht="15" customHeight="1">
      <c r="A155" s="258" t="s">
        <v>2460</v>
      </c>
      <c r="B155" s="263">
        <f>'Dry_Litterbag Placem_Collection'!A156</f>
        <v>154</v>
      </c>
      <c r="C155" s="263" t="str">
        <f>'Dry_Litterbag Placem_Collection'!B156</f>
        <v xml:space="preserve">Mwantimba
</v>
      </c>
      <c r="D155" s="263" t="s">
        <v>2460</v>
      </c>
      <c r="E155" s="263" t="s">
        <v>20</v>
      </c>
      <c r="F155" s="263">
        <v>4</v>
      </c>
      <c r="G155" s="264" t="str">
        <f>'Dry_Litterbag Placem_Collection'!C156</f>
        <v>Wet_P4_T2</v>
      </c>
      <c r="H155" s="265" t="s">
        <v>2541</v>
      </c>
      <c r="I155" s="266" t="s">
        <v>1147</v>
      </c>
      <c r="J155" s="223" t="str">
        <f>'WetLitterbags placem_collection'!K156</f>
        <v>G675</v>
      </c>
      <c r="K155" s="225">
        <f>IFERROR(INDEX('Green_rooibos initial weight'!$C$5:$C$1749,MATCH(J155, 'Green_rooibos initial weight'!$A$5:$A$1749,0)),"")</f>
        <v>1.9950000000000001</v>
      </c>
      <c r="L155" s="225">
        <f>IFERROR(K155-(TBIcalc!$H$9+TBIcalc!$H$10),"")</f>
        <v>1.7452000000000001</v>
      </c>
      <c r="M155" s="391">
        <f>AVERAGE(Ashed_controlls!$K$2:$K$11)</f>
        <v>5.5147656768714146</v>
      </c>
      <c r="N155" s="225">
        <f t="shared" si="12"/>
        <v>1.6489563094072401</v>
      </c>
      <c r="O155" s="225">
        <f>IF(IFERROR(INDEX('Both teabags AfterWet'!$C$3:$C$841,MATCH(J155,'Both teabags AfterWet'!$A$3:$A$841,0)),"")="","",(IFERROR(INDEX('Both teabags AfterWet'!$C$3:$C$841,MATCH(J155,'Both teabags AfterWet'!$A$3:$A$841,0)),"")))</f>
        <v>0.61299999999999999</v>
      </c>
      <c r="P155" s="225">
        <f>IFERROR(IF(O155&gt;0,O155-(TBIcalc!$H$9),""),"")</f>
        <v>0.46239999999999998</v>
      </c>
      <c r="Q155" s="225">
        <f>IFERROR(INDEX('Ashed teabags wet'!$K$2:$K$821,MATCH(J155,'Ashed teabags wet'!$A$2:$A$821,0)),"")</f>
        <v>18.033573141486571</v>
      </c>
      <c r="R155" s="225">
        <f t="shared" si="16"/>
        <v>0.37901275779376609</v>
      </c>
      <c r="S155" s="226">
        <f>'WetLitterbags placem_collection'!E156</f>
        <v>42762</v>
      </c>
      <c r="T155" s="226">
        <f>IF('WetLitterbags placem_collection'!G156="","",'WetLitterbags placem_collection'!G156)</f>
        <v>42816</v>
      </c>
      <c r="U155" s="227">
        <f t="shared" si="13"/>
        <v>54</v>
      </c>
      <c r="V155" s="225">
        <f t="shared" si="14"/>
        <v>1.2828000000000002</v>
      </c>
      <c r="W155" s="225">
        <f t="shared" si="15"/>
        <v>1.2699435516134741</v>
      </c>
      <c r="X155">
        <f>IFERROR(INDEX(Rainfall_Wet!$O$2:$O$217,MATCH(B155, Rainfall_Wet!$A$2:$A$217,0)),"")</f>
        <v>206.85140822299999</v>
      </c>
      <c r="Y155" s="231">
        <v>27.96</v>
      </c>
      <c r="Z155" s="231">
        <v>4.9200000000000017</v>
      </c>
      <c r="AA155" s="231">
        <v>67.12</v>
      </c>
      <c r="AB155" s="232" t="s">
        <v>2670</v>
      </c>
      <c r="AC155" s="231">
        <v>2.0437161163134498</v>
      </c>
      <c r="AD155">
        <f>IF('WetLitterbags placem_collection'!AB156="","",'WetLitterbags placem_collection'!AB156)</f>
        <v>2.15</v>
      </c>
      <c r="AE155">
        <f>IF('WetLitterbags placem_collection'!Z156="","",'WetLitterbags placem_collection'!Z156)</f>
        <v>9</v>
      </c>
      <c r="AF155" s="246" t="str">
        <f>IF('WetLitterbags placem_collection'!AA156="","",'WetLitterbags placem_collection'!AA156)</f>
        <v>G</v>
      </c>
      <c r="AG155">
        <f>IF('WetLitterbags placem_collection'!AC156="","",'WetLitterbags placem_collection'!AC156)</f>
        <v>0</v>
      </c>
      <c r="AH155" s="24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placem_collection'!V156)),"YES","NO")</f>
        <v>YES</v>
      </c>
      <c r="AM155" t="str">
        <f>IF(ISNUMBER(SEARCH("H", 'WetLitterbags placem_collection'!V156)),"YES","NO")</f>
        <v>YES</v>
      </c>
      <c r="AN155" t="str">
        <f>IF(ISNUMBER(SEARCH("R", 'WetLitterbags placem_collection'!V156)),"YES","NO")</f>
        <v>NO</v>
      </c>
    </row>
    <row r="156" spans="1:40" ht="15" customHeight="1">
      <c r="A156" s="258" t="s">
        <v>2460</v>
      </c>
      <c r="B156" s="263">
        <f>'Dry_Litterbag Placem_Collection'!A157</f>
        <v>155</v>
      </c>
      <c r="C156" s="263" t="str">
        <f>'Dry_Litterbag Placem_Collection'!B157</f>
        <v xml:space="preserve">Mwantimba
</v>
      </c>
      <c r="D156" s="263" t="s">
        <v>2460</v>
      </c>
      <c r="E156" s="263" t="s">
        <v>20</v>
      </c>
      <c r="F156" s="263">
        <v>4</v>
      </c>
      <c r="G156" s="264" t="str">
        <f>'Dry_Litterbag Placem_Collection'!C157</f>
        <v>Wet_P4_T3</v>
      </c>
      <c r="H156" s="265" t="s">
        <v>2541</v>
      </c>
      <c r="I156" s="266" t="s">
        <v>1147</v>
      </c>
      <c r="J156" s="223" t="str">
        <f>'WetLitterbags placem_collection'!K157</f>
        <v>G859</v>
      </c>
      <c r="K156" s="225">
        <f>IFERROR(INDEX('Green_rooibos initial weight'!$C$5:$C$1749,MATCH(J156, 'Green_rooibos initial weight'!$A$5:$A$1749,0)),"")</f>
        <v>2</v>
      </c>
      <c r="L156" s="225">
        <f>IFERROR(K156-(TBIcalc!$H$9+TBIcalc!$H$10),"")</f>
        <v>1.7502</v>
      </c>
      <c r="M156" s="391">
        <f>AVERAGE(Ashed_controlls!$K$2:$K$11)</f>
        <v>5.5147656768714146</v>
      </c>
      <c r="N156" s="225">
        <f t="shared" si="12"/>
        <v>1.6536805711233964</v>
      </c>
      <c r="O156" s="225">
        <f>IF(IFERROR(INDEX('Both teabags AfterWet'!$C$3:$C$841,MATCH(J156,'Both teabags AfterWet'!$A$3:$A$841,0)),"")="","",(IFERROR(INDEX('Both teabags AfterWet'!$C$3:$C$841,MATCH(J156,'Both teabags AfterWet'!$A$3:$A$841,0)),"")))</f>
        <v>0.71599999999999997</v>
      </c>
      <c r="P156" s="225">
        <f>IFERROR(IF(O156&gt;0,O156-(TBIcalc!$H$9),""),"")</f>
        <v>0.5653999999999999</v>
      </c>
      <c r="Q156" s="225">
        <f>IFERROR(INDEX('Ashed teabags wet'!$K$2:$K$821,MATCH(J156,'Ashed teabags wet'!$A$2:$A$821,0)),"")</f>
        <v>17.148456638902378</v>
      </c>
      <c r="R156" s="225">
        <f t="shared" si="16"/>
        <v>0.4684426261636459</v>
      </c>
      <c r="S156" s="226">
        <f>'WetLitterbags placem_collection'!E157</f>
        <v>42762</v>
      </c>
      <c r="T156" s="226">
        <f>IF('WetLitterbags placem_collection'!G157="","",'WetLitterbags placem_collection'!G157)</f>
        <v>42816</v>
      </c>
      <c r="U156" s="227">
        <f t="shared" si="13"/>
        <v>54</v>
      </c>
      <c r="V156" s="225">
        <f t="shared" si="14"/>
        <v>1.1848000000000001</v>
      </c>
      <c r="W156" s="225">
        <f t="shared" si="15"/>
        <v>1.1852379449597505</v>
      </c>
      <c r="X156">
        <f>IFERROR(INDEX(Rainfall_Wet!$O$2:$O$217,MATCH(B156, Rainfall_Wet!$A$2:$A$217,0)),"")</f>
        <v>206.85140822299999</v>
      </c>
      <c r="Y156" s="231">
        <v>27.96</v>
      </c>
      <c r="Z156" s="231">
        <v>4.9200000000000017</v>
      </c>
      <c r="AA156" s="231">
        <v>67.12</v>
      </c>
      <c r="AB156" s="232" t="s">
        <v>2670</v>
      </c>
      <c r="AC156" s="231">
        <v>3.0437161163134498</v>
      </c>
      <c r="AD156">
        <f>IF('WetLitterbags placem_collection'!AB157="","",'WetLitterbags placem_collection'!AB157)</f>
        <v>1.2</v>
      </c>
      <c r="AE156">
        <f>IF('WetLitterbags placem_collection'!Z157="","",'WetLitterbags placem_collection'!Z157)</f>
        <v>11</v>
      </c>
      <c r="AF156" s="246" t="str">
        <f>IF('WetLitterbags placem_collection'!AA157="","",'WetLitterbags placem_collection'!AA157)</f>
        <v>G</v>
      </c>
      <c r="AG156">
        <f>IF('WetLitterbags placem_collection'!AC157="","",'WetLitterbags placem_collection'!AC157)</f>
        <v>0</v>
      </c>
      <c r="AH156" s="24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placem_collection'!V157)),"YES","NO")</f>
        <v>NO</v>
      </c>
      <c r="AM156" t="str">
        <f>IF(ISNUMBER(SEARCH("H", 'WetLitterbags placem_collection'!V157)),"YES","NO")</f>
        <v>NO</v>
      </c>
      <c r="AN156" t="str">
        <f>IF(ISNUMBER(SEARCH("R", 'WetLitterbags placem_collection'!V157)),"YES","NO")</f>
        <v>YES</v>
      </c>
    </row>
    <row r="157" spans="1:40" ht="15" customHeight="1">
      <c r="A157" s="258" t="s">
        <v>2460</v>
      </c>
      <c r="B157" s="263">
        <f>'Dry_Litterbag Placem_Collection'!A158</f>
        <v>156</v>
      </c>
      <c r="C157" s="263" t="str">
        <f>'Dry_Litterbag Placem_Collection'!B158</f>
        <v xml:space="preserve">Mwantimba
</v>
      </c>
      <c r="D157" s="263" t="s">
        <v>2460</v>
      </c>
      <c r="E157" s="263" t="s">
        <v>20</v>
      </c>
      <c r="F157" s="263">
        <v>4</v>
      </c>
      <c r="G157" s="264" t="str">
        <f>'Dry_Litterbag Placem_Collection'!C158</f>
        <v>Wet_P4_T4</v>
      </c>
      <c r="H157" s="265" t="s">
        <v>2541</v>
      </c>
      <c r="I157" s="266" t="s">
        <v>1147</v>
      </c>
      <c r="J157" s="223" t="str">
        <f>'WetLitterbags placem_collection'!K158</f>
        <v>G654</v>
      </c>
      <c r="K157" s="225">
        <f>IFERROR(INDEX('Green_rooibos initial weight'!$C$5:$C$1749,MATCH(J157, 'Green_rooibos initial weight'!$A$5:$A$1749,0)),"")</f>
        <v>2.0169999999999999</v>
      </c>
      <c r="L157" s="225">
        <f>IFERROR(K157-(TBIcalc!$H$9+TBIcalc!$H$10),"")</f>
        <v>1.7671999999999999</v>
      </c>
      <c r="M157" s="391">
        <f>AVERAGE(Ashed_controlls!$K$2:$K$11)</f>
        <v>5.5147656768714146</v>
      </c>
      <c r="N157" s="225">
        <f t="shared" si="12"/>
        <v>1.6697430609583281</v>
      </c>
      <c r="O157" s="225">
        <f>IF(IFERROR(INDEX('Both teabags AfterWet'!$C$3:$C$841,MATCH(J157,'Both teabags AfterWet'!$A$3:$A$841,0)),"")="","",(IFERROR(INDEX('Both teabags AfterWet'!$C$3:$C$841,MATCH(J157,'Both teabags AfterWet'!$A$3:$A$841,0)),"")))</f>
        <v>0.73799999999999999</v>
      </c>
      <c r="P157" s="225">
        <f>IFERROR(IF(O157&gt;0,O157-(TBIcalc!$H$9),""),"")</f>
        <v>0.58739999999999992</v>
      </c>
      <c r="Q157" s="225">
        <f>IFERROR(INDEX('Ashed teabags wet'!$K$2:$K$821,MATCH(J157,'Ashed teabags wet'!$A$2:$A$821,0)),"")</f>
        <v>25.036109773712322</v>
      </c>
      <c r="R157" s="225">
        <f t="shared" si="16"/>
        <v>0.44033789118921374</v>
      </c>
      <c r="S157" s="226">
        <f>'WetLitterbags placem_collection'!E158</f>
        <v>42762</v>
      </c>
      <c r="T157" s="226">
        <f>IF('WetLitterbags placem_collection'!G158="","",'WetLitterbags placem_collection'!G158)</f>
        <v>42816</v>
      </c>
      <c r="U157" s="227">
        <f t="shared" si="13"/>
        <v>54</v>
      </c>
      <c r="V157" s="225">
        <f t="shared" si="14"/>
        <v>1.1798</v>
      </c>
      <c r="W157" s="225">
        <f t="shared" si="15"/>
        <v>1.2294051697691144</v>
      </c>
      <c r="X157">
        <f>IFERROR(INDEX(Rainfall_Wet!$O$2:$O$217,MATCH(B157, Rainfall_Wet!$A$2:$A$217,0)),"")</f>
        <v>206.85140822299999</v>
      </c>
      <c r="Y157" s="231">
        <v>27.96</v>
      </c>
      <c r="Z157" s="231">
        <v>4.9200000000000017</v>
      </c>
      <c r="AA157" s="231">
        <v>67.12</v>
      </c>
      <c r="AB157" s="232" t="s">
        <v>2670</v>
      </c>
      <c r="AC157" s="231">
        <v>4.0437161163134503</v>
      </c>
      <c r="AD157">
        <f>IF('WetLitterbags placem_collection'!AB158="","",'WetLitterbags placem_collection'!AB158)</f>
        <v>1.55</v>
      </c>
      <c r="AE157">
        <f>IF('WetLitterbags placem_collection'!Z158="","",'WetLitterbags placem_collection'!Z158)</f>
        <v>9.1</v>
      </c>
      <c r="AF157" s="246" t="str">
        <f>IF('WetLitterbags placem_collection'!AA158="","",'WetLitterbags placem_collection'!AA158)</f>
        <v>O</v>
      </c>
      <c r="AG157">
        <f>IF('WetLitterbags placem_collection'!AC158="","",'WetLitterbags placem_collection'!AC158)</f>
        <v>0</v>
      </c>
      <c r="AH157" s="24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placem_collection'!V158)),"YES","NO")</f>
        <v>NO</v>
      </c>
      <c r="AM157" t="str">
        <f>IF(ISNUMBER(SEARCH("H", 'WetLitterbags placem_collection'!V158)),"YES","NO")</f>
        <v>YES</v>
      </c>
      <c r="AN157" t="str">
        <f>IF(ISNUMBER(SEARCH("R", 'WetLitterbags placem_collection'!V158)),"YES","NO")</f>
        <v>NO</v>
      </c>
    </row>
    <row r="158" spans="1:40" ht="15" customHeight="1">
      <c r="A158" s="258" t="s">
        <v>2460</v>
      </c>
      <c r="B158" s="263">
        <f>'Dry_Litterbag Placem_Collection'!A159</f>
        <v>157</v>
      </c>
      <c r="C158" s="263" t="str">
        <f>'Dry_Litterbag Placem_Collection'!B159</f>
        <v xml:space="preserve">Mwantimba
</v>
      </c>
      <c r="D158" s="263" t="s">
        <v>2460</v>
      </c>
      <c r="E158" s="263" t="s">
        <v>20</v>
      </c>
      <c r="F158" s="263">
        <v>4</v>
      </c>
      <c r="G158" s="264" t="str">
        <f>'Dry_Litterbag Placem_Collection'!C159</f>
        <v>Wet_P4_T5</v>
      </c>
      <c r="H158" s="265" t="s">
        <v>2541</v>
      </c>
      <c r="I158" s="266" t="s">
        <v>1147</v>
      </c>
      <c r="J158" s="223" t="str">
        <f>'WetLitterbags placem_collection'!K159</f>
        <v>G890</v>
      </c>
      <c r="K158" s="225">
        <f>IFERROR(INDEX('Green_rooibos initial weight'!$C$5:$C$1749,MATCH(J158, 'Green_rooibos initial weight'!$A$5:$A$1749,0)),"")</f>
        <v>1.9930000000000001</v>
      </c>
      <c r="L158" s="225">
        <f>IFERROR(K158-(TBIcalc!$H$9+TBIcalc!$H$10),"")</f>
        <v>1.7432000000000001</v>
      </c>
      <c r="M158" s="391">
        <f>AVERAGE(Ashed_controlls!$K$2:$K$11)</f>
        <v>5.5147656768714146</v>
      </c>
      <c r="N158" s="225">
        <f t="shared" si="12"/>
        <v>1.6470666047207776</v>
      </c>
      <c r="O158" s="225">
        <f>IF(IFERROR(INDEX('Both teabags AfterWet'!$C$3:$C$841,MATCH(J158,'Both teabags AfterWet'!$A$3:$A$841,0)),"")="","",(IFERROR(INDEX('Both teabags AfterWet'!$C$3:$C$841,MATCH(J158,'Both teabags AfterWet'!$A$3:$A$841,0)),"")))</f>
        <v>0.74099999999999999</v>
      </c>
      <c r="P158" s="225">
        <f>IFERROR(IF(O158&gt;0,O158-(TBIcalc!$H$9),""),"")</f>
        <v>0.59040000000000004</v>
      </c>
      <c r="Q158" s="225">
        <f>IFERROR(INDEX('Ashed teabags wet'!$K$2:$K$821,MATCH(J158,'Ashed teabags wet'!$A$2:$A$821,0)),"")</f>
        <v>13.769192669637922</v>
      </c>
      <c r="R158" s="225">
        <f t="shared" si="16"/>
        <v>0.50910668647845769</v>
      </c>
      <c r="S158" s="226">
        <f>'WetLitterbags placem_collection'!E159</f>
        <v>42762</v>
      </c>
      <c r="T158" s="226">
        <f>IF('WetLitterbags placem_collection'!G159="","",'WetLitterbags placem_collection'!G159)</f>
        <v>42816</v>
      </c>
      <c r="U158" s="227">
        <f t="shared" si="13"/>
        <v>54</v>
      </c>
      <c r="V158" s="225">
        <f t="shared" si="14"/>
        <v>1.1528</v>
      </c>
      <c r="W158" s="225">
        <f t="shared" si="15"/>
        <v>1.1379599182423199</v>
      </c>
      <c r="X158">
        <f>IFERROR(INDEX(Rainfall_Wet!$O$2:$O$217,MATCH(B158, Rainfall_Wet!$A$2:$A$217,0)),"")</f>
        <v>206.85140822299999</v>
      </c>
      <c r="Y158" s="231">
        <v>27.96</v>
      </c>
      <c r="Z158" s="231">
        <v>4.9200000000000017</v>
      </c>
      <c r="AA158" s="231">
        <v>67.12</v>
      </c>
      <c r="AB158" s="232" t="s">
        <v>2670</v>
      </c>
      <c r="AC158" s="231">
        <v>5.0437161163134503</v>
      </c>
      <c r="AD158">
        <f>IF('WetLitterbags placem_collection'!AB159="","",'WetLitterbags placem_collection'!AB159)</f>
        <v>2.2999999999999998</v>
      </c>
      <c r="AE158">
        <f>IF('WetLitterbags placem_collection'!Z159="","",'WetLitterbags placem_collection'!Z159)</f>
        <v>7.7</v>
      </c>
      <c r="AF158" s="246" t="str">
        <f>IF('WetLitterbags placem_collection'!AA159="","",'WetLitterbags placem_collection'!AA159)</f>
        <v>O</v>
      </c>
      <c r="AG158">
        <f>IF('WetLitterbags placem_collection'!AC159="","",'WetLitterbags placem_collection'!AC159)</f>
        <v>0</v>
      </c>
      <c r="AH158" s="24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placem_collection'!V159)),"YES","NO")</f>
        <v>NO</v>
      </c>
      <c r="AM158" t="str">
        <f>IF(ISNUMBER(SEARCH("H", 'WetLitterbags placem_collection'!V159)),"YES","NO")</f>
        <v>NO</v>
      </c>
      <c r="AN158" t="str">
        <f>IF(ISNUMBER(SEARCH("R", 'WetLitterbags placem_collection'!V159)),"YES","NO")</f>
        <v>YES</v>
      </c>
    </row>
    <row r="159" spans="1:40" ht="15" customHeight="1">
      <c r="A159" s="258" t="s">
        <v>2460</v>
      </c>
      <c r="B159" s="263">
        <f>'Dry_Litterbag Placem_Collection'!A160</f>
        <v>158</v>
      </c>
      <c r="C159" s="263" t="str">
        <f>'Dry_Litterbag Placem_Collection'!B160</f>
        <v xml:space="preserve">Mwantimba
</v>
      </c>
      <c r="D159" s="263" t="s">
        <v>2460</v>
      </c>
      <c r="E159" s="263" t="s">
        <v>20</v>
      </c>
      <c r="F159" s="263">
        <v>4</v>
      </c>
      <c r="G159" s="264" t="str">
        <f>'Dry_Litterbag Placem_Collection'!C160</f>
        <v>Wet_P4_T6</v>
      </c>
      <c r="H159" s="265" t="s">
        <v>2541</v>
      </c>
      <c r="I159" s="266" t="s">
        <v>1147</v>
      </c>
      <c r="J159" s="223" t="str">
        <f>'WetLitterbags placem_collection'!K160</f>
        <v>G576</v>
      </c>
      <c r="K159" s="225">
        <f>IFERROR(INDEX('Green_rooibos initial weight'!$C$5:$C$1749,MATCH(J159, 'Green_rooibos initial weight'!$A$5:$A$1749,0)),"")</f>
        <v>2.056</v>
      </c>
      <c r="L159" s="225">
        <f>IFERROR(K159-(TBIcalc!$H$9+TBIcalc!$H$10),"")</f>
        <v>1.8062</v>
      </c>
      <c r="M159" s="391">
        <f>AVERAGE(Ashed_controlls!$K$2:$K$11)</f>
        <v>5.5147656768714146</v>
      </c>
      <c r="N159" s="225">
        <f t="shared" si="12"/>
        <v>1.7065923023443486</v>
      </c>
      <c r="O159" s="225">
        <f>IF(IFERROR(INDEX('Both teabags AfterWet'!$C$3:$C$841,MATCH(J159,'Both teabags AfterWet'!$A$3:$A$841,0)),"")="","",(IFERROR(INDEX('Both teabags AfterWet'!$C$3:$C$841,MATCH(J159,'Both teabags AfterWet'!$A$3:$A$841,0)),"")))</f>
        <v>0.26600000000000001</v>
      </c>
      <c r="P159" s="225">
        <f>IFERROR(IF(O159&gt;0,O159-(TBIcalc!$H$9),""),"")</f>
        <v>0.1154</v>
      </c>
      <c r="Q159" s="225" t="str">
        <f>IFERROR(INDEX('Ashed teabags wet'!$K$2:$K$821,MATCH(J159,'Ashed teabags wet'!$A$2:$A$821,0)),"")</f>
        <v/>
      </c>
      <c r="R159" s="225" t="str">
        <f t="shared" si="16"/>
        <v/>
      </c>
      <c r="S159" s="226">
        <f>'WetLitterbags placem_collection'!E160</f>
        <v>42762</v>
      </c>
      <c r="T159" s="226">
        <f>IF('WetLitterbags placem_collection'!G160="","",'WetLitterbags placem_collection'!G160)</f>
        <v>42816</v>
      </c>
      <c r="U159" s="227">
        <f t="shared" si="13"/>
        <v>54</v>
      </c>
      <c r="V159" s="225">
        <f t="shared" si="14"/>
        <v>1.6908000000000001</v>
      </c>
      <c r="W159" s="225" t="str">
        <f t="shared" si="15"/>
        <v/>
      </c>
      <c r="X159">
        <f>IFERROR(INDEX(Rainfall_Wet!$O$2:$O$217,MATCH(B159, Rainfall_Wet!$A$2:$A$217,0)),"")</f>
        <v>206.85140822299999</v>
      </c>
      <c r="Y159" s="231">
        <v>27.96</v>
      </c>
      <c r="Z159" s="231">
        <v>4.9200000000000017</v>
      </c>
      <c r="AA159" s="231">
        <v>67.12</v>
      </c>
      <c r="AB159" s="232" t="s">
        <v>2670</v>
      </c>
      <c r="AC159" s="231">
        <v>6.0437161163134503</v>
      </c>
      <c r="AD159">
        <f>IF('WetLitterbags placem_collection'!AB160="","",'WetLitterbags placem_collection'!AB160)</f>
        <v>1.9</v>
      </c>
      <c r="AE159">
        <f>IF('WetLitterbags placem_collection'!Z160="","",'WetLitterbags placem_collection'!Z160)</f>
        <v>4.3</v>
      </c>
      <c r="AF159" s="246" t="str">
        <f>IF('WetLitterbags placem_collection'!AA160="","",'WetLitterbags placem_collection'!AA160)</f>
        <v>O</v>
      </c>
      <c r="AG159">
        <f>IF('WetLitterbags placem_collection'!AC160="","",'WetLitterbags placem_collection'!AC160)</f>
        <v>0</v>
      </c>
      <c r="AH159" s="24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placem_collection'!V160)),"YES","NO")</f>
        <v>NO</v>
      </c>
      <c r="AM159" t="str">
        <f>IF(ISNUMBER(SEARCH("H", 'WetLitterbags placem_collection'!V160)),"YES","NO")</f>
        <v>YES</v>
      </c>
      <c r="AN159" t="str">
        <f>IF(ISNUMBER(SEARCH("R", 'WetLitterbags placem_collection'!V160)),"YES","NO")</f>
        <v>YES</v>
      </c>
    </row>
    <row r="160" spans="1:40" ht="15" customHeight="1">
      <c r="A160" s="258" t="s">
        <v>2460</v>
      </c>
      <c r="B160" s="263">
        <f>'Dry_Litterbag Placem_Collection'!A161</f>
        <v>159</v>
      </c>
      <c r="C160" s="263" t="str">
        <f>'Dry_Litterbag Placem_Collection'!B161</f>
        <v xml:space="preserve">Mwantimba
</v>
      </c>
      <c r="D160" s="263" t="s">
        <v>2460</v>
      </c>
      <c r="E160" s="263" t="s">
        <v>20</v>
      </c>
      <c r="F160" s="263">
        <v>4</v>
      </c>
      <c r="G160" s="264" t="str">
        <f>'Dry_Litterbag Placem_Collection'!C161</f>
        <v>Wet_P4_T7</v>
      </c>
      <c r="H160" s="265" t="s">
        <v>2541</v>
      </c>
      <c r="I160" s="266" t="s">
        <v>1147</v>
      </c>
      <c r="J160" s="223" t="str">
        <f>'WetLitterbags placem_collection'!K161</f>
        <v>G829</v>
      </c>
      <c r="K160" s="225">
        <f>IFERROR(INDEX('Green_rooibos initial weight'!$C$5:$C$1749,MATCH(J160, 'Green_rooibos initial weight'!$A$5:$A$1749,0)),"")</f>
        <v>1.9610000000000001</v>
      </c>
      <c r="L160" s="225">
        <f>IFERROR(K160-(TBIcalc!$H$9+TBIcalc!$H$10),"")</f>
        <v>1.7112000000000001</v>
      </c>
      <c r="M160" s="391">
        <f>AVERAGE(Ashed_controlls!$K$2:$K$11)</f>
        <v>5.5147656768714146</v>
      </c>
      <c r="N160" s="225">
        <f t="shared" si="12"/>
        <v>1.6168313297373764</v>
      </c>
      <c r="O160" s="225">
        <f>IF(IFERROR(INDEX('Both teabags AfterWet'!$C$3:$C$841,MATCH(J160,'Both teabags AfterWet'!$A$3:$A$841,0)),"")="","",(IFERROR(INDEX('Both teabags AfterWet'!$C$3:$C$841,MATCH(J160,'Both teabags AfterWet'!$A$3:$A$841,0)),"")))</f>
        <v>0.56499999999999995</v>
      </c>
      <c r="P160" s="225">
        <f>IFERROR(IF(O160&gt;0,O160-(TBIcalc!$H$9),""),"")</f>
        <v>0.41439999999999994</v>
      </c>
      <c r="Q160" s="225" t="str">
        <f>IFERROR(INDEX('Ashed teabags wet'!$K$2:$K$821,MATCH(J160,'Ashed teabags wet'!$A$2:$A$821,0)),"")</f>
        <v/>
      </c>
      <c r="R160" s="225" t="str">
        <f t="shared" si="16"/>
        <v/>
      </c>
      <c r="S160" s="226">
        <f>'WetLitterbags placem_collection'!E161</f>
        <v>42762</v>
      </c>
      <c r="T160" s="226">
        <f>IF('WetLitterbags placem_collection'!G161="","",'WetLitterbags placem_collection'!G161)</f>
        <v>42816</v>
      </c>
      <c r="U160" s="227">
        <f t="shared" si="13"/>
        <v>54</v>
      </c>
      <c r="V160" s="225">
        <f t="shared" si="14"/>
        <v>1.2968000000000002</v>
      </c>
      <c r="W160" s="225" t="str">
        <f t="shared" si="15"/>
        <v/>
      </c>
      <c r="X160">
        <f>IFERROR(INDEX(Rainfall_Wet!$O$2:$O$217,MATCH(B160, Rainfall_Wet!$A$2:$A$217,0)),"")</f>
        <v>206.85140822299999</v>
      </c>
      <c r="Y160" s="231">
        <v>27.96</v>
      </c>
      <c r="Z160" s="231">
        <v>4.9200000000000017</v>
      </c>
      <c r="AA160" s="231">
        <v>67.12</v>
      </c>
      <c r="AB160" s="232" t="s">
        <v>2670</v>
      </c>
      <c r="AC160" s="231">
        <v>7.0437161163134503</v>
      </c>
      <c r="AD160">
        <f>IF('WetLitterbags placem_collection'!AB161="","",'WetLitterbags placem_collection'!AB161)</f>
        <v>2.65</v>
      </c>
      <c r="AE160">
        <f>IF('WetLitterbags placem_collection'!Z161="","",'WetLitterbags placem_collection'!Z161)</f>
        <v>0</v>
      </c>
      <c r="AF160" s="246" t="str">
        <f>IF('WetLitterbags placem_collection'!AA161="","",'WetLitterbags placem_collection'!AA161)</f>
        <v>G</v>
      </c>
      <c r="AG160">
        <f>IF('WetLitterbags placem_collection'!AC161="","",'WetLitterbags placem_collection'!AC161)</f>
        <v>1</v>
      </c>
      <c r="AH160" s="24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placem_collection'!V161)),"YES","NO")</f>
        <v>NO</v>
      </c>
      <c r="AM160" t="str">
        <f>IF(ISNUMBER(SEARCH("H", 'WetLitterbags placem_collection'!V161)),"YES","NO")</f>
        <v>NO</v>
      </c>
      <c r="AN160" t="str">
        <f>IF(ISNUMBER(SEARCH("R", 'WetLitterbags placem_collection'!V161)),"YES","NO")</f>
        <v>NO</v>
      </c>
    </row>
    <row r="161" spans="1:40" ht="15" customHeight="1">
      <c r="A161" s="258" t="s">
        <v>2460</v>
      </c>
      <c r="B161" s="263">
        <f>'Dry_Litterbag Placem_Collection'!A162</f>
        <v>160</v>
      </c>
      <c r="C161" s="263" t="str">
        <f>'Dry_Litterbag Placem_Collection'!B162</f>
        <v xml:space="preserve">Mwantimba
</v>
      </c>
      <c r="D161" s="263" t="s">
        <v>2460</v>
      </c>
      <c r="E161" s="263" t="s">
        <v>20</v>
      </c>
      <c r="F161" s="263">
        <v>4</v>
      </c>
      <c r="G161" s="264" t="str">
        <f>'Dry_Litterbag Placem_Collection'!C162</f>
        <v>Wet_P4_T8</v>
      </c>
      <c r="H161" s="265" t="s">
        <v>2541</v>
      </c>
      <c r="I161" s="266" t="s">
        <v>1147</v>
      </c>
      <c r="J161" s="223" t="str">
        <f>'WetLitterbags placem_collection'!K162</f>
        <v>G809</v>
      </c>
      <c r="K161" s="225">
        <f>IFERROR(INDEX('Green_rooibos initial weight'!$C$5:$C$1749,MATCH(J161, 'Green_rooibos initial weight'!$A$5:$A$1749,0)),"")</f>
        <v>1.9279999999999999</v>
      </c>
      <c r="L161" s="225">
        <f>IFERROR(K161-(TBIcalc!$H$9+TBIcalc!$H$10),"")</f>
        <v>1.6781999999999999</v>
      </c>
      <c r="M161" s="391">
        <f>AVERAGE(Ashed_controlls!$K$2:$K$11)</f>
        <v>5.5147656768714146</v>
      </c>
      <c r="N161" s="225">
        <f t="shared" si="12"/>
        <v>1.5856512024107439</v>
      </c>
      <c r="O161" s="225">
        <f>IF(IFERROR(INDEX('Both teabags AfterWet'!$C$3:$C$841,MATCH(J161,'Both teabags AfterWet'!$A$3:$A$841,0)),"")="","",(IFERROR(INDEX('Both teabags AfterWet'!$C$3:$C$841,MATCH(J161,'Both teabags AfterWet'!$A$3:$A$841,0)),"")))</f>
        <v>0.72</v>
      </c>
      <c r="P161" s="225">
        <f>IFERROR(IF(O161&gt;0,O161-(TBIcalc!$H$9),""),"")</f>
        <v>0.56939999999999991</v>
      </c>
      <c r="Q161" s="225">
        <f>IFERROR(INDEX('Ashed teabags wet'!$K$2:$K$821,MATCH(J161,'Ashed teabags wet'!$A$2:$A$821,0)),"")</f>
        <v>14.278846153846089</v>
      </c>
      <c r="R161" s="225">
        <f t="shared" si="16"/>
        <v>0.48809625000000029</v>
      </c>
      <c r="S161" s="226">
        <f>'WetLitterbags placem_collection'!E162</f>
        <v>42762</v>
      </c>
      <c r="T161" s="226">
        <f>IF('WetLitterbags placem_collection'!G162="","",'WetLitterbags placem_collection'!G162)</f>
        <v>42816</v>
      </c>
      <c r="U161" s="227">
        <f t="shared" si="13"/>
        <v>54</v>
      </c>
      <c r="V161" s="225">
        <f t="shared" si="14"/>
        <v>1.1088</v>
      </c>
      <c r="W161" s="225">
        <f t="shared" si="15"/>
        <v>1.0975549524107435</v>
      </c>
      <c r="X161">
        <f>IFERROR(INDEX(Rainfall_Wet!$O$2:$O$217,MATCH(B161, Rainfall_Wet!$A$2:$A$217,0)),"")</f>
        <v>206.85140822299999</v>
      </c>
      <c r="Y161" s="231">
        <v>27.96</v>
      </c>
      <c r="Z161" s="231">
        <v>4.9200000000000017</v>
      </c>
      <c r="AA161" s="231">
        <v>67.12</v>
      </c>
      <c r="AB161" s="232" t="s">
        <v>2670</v>
      </c>
      <c r="AC161" s="231">
        <v>8.0437161163134494</v>
      </c>
      <c r="AD161">
        <f>IF('WetLitterbags placem_collection'!AB162="","",'WetLitterbags placem_collection'!AB162)</f>
        <v>0.8</v>
      </c>
      <c r="AE161">
        <f>IF('WetLitterbags placem_collection'!Z162="","",'WetLitterbags placem_collection'!Z162)</f>
        <v>10.8</v>
      </c>
      <c r="AF161" s="246" t="str">
        <f>IF('WetLitterbags placem_collection'!AA162="","",'WetLitterbags placem_collection'!AA162)</f>
        <v>O</v>
      </c>
      <c r="AG161">
        <f>IF('WetLitterbags placem_collection'!AC162="","",'WetLitterbags placem_collection'!AC162)</f>
        <v>0</v>
      </c>
      <c r="AH161" s="24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placem_collection'!V162)),"YES","NO")</f>
        <v>NO</v>
      </c>
      <c r="AM161" t="str">
        <f>IF(ISNUMBER(SEARCH("H", 'WetLitterbags placem_collection'!V162)),"YES","NO")</f>
        <v>NO</v>
      </c>
      <c r="AN161" t="str">
        <f>IF(ISNUMBER(SEARCH("R", 'WetLitterbags placem_collection'!V162)),"YES","NO")</f>
        <v>YES</v>
      </c>
    </row>
    <row r="162" spans="1:40" ht="15" customHeight="1">
      <c r="A162" s="258" t="s">
        <v>2460</v>
      </c>
      <c r="B162" s="263">
        <f>'Dry_Litterbag Placem_Collection'!A163</f>
        <v>161</v>
      </c>
      <c r="C162" s="263" t="str">
        <f>'Dry_Litterbag Placem_Collection'!B163</f>
        <v>Handajega</v>
      </c>
      <c r="D162" s="263" t="s">
        <v>2460</v>
      </c>
      <c r="E162" s="263" t="s">
        <v>2661</v>
      </c>
      <c r="F162" s="263">
        <v>1</v>
      </c>
      <c r="G162" s="264" t="str">
        <f>'Dry_Litterbag Placem_Collection'!C163</f>
        <v>Wet_W1_T1</v>
      </c>
      <c r="H162" s="265" t="s">
        <v>2541</v>
      </c>
      <c r="I162" s="266" t="s">
        <v>1147</v>
      </c>
      <c r="J162" s="223" t="str">
        <f>'WetLitterbags placem_collection'!K163</f>
        <v>G252</v>
      </c>
      <c r="K162" s="225">
        <f>IFERROR(INDEX('Green_rooibos initial weight'!$C$5:$C$1749,MATCH(J162, 'Green_rooibos initial weight'!$A$5:$A$1749,0)),"")</f>
        <v>2.0190000000000001</v>
      </c>
      <c r="L162" s="225">
        <f>IFERROR(K162-(TBIcalc!$H$9+TBIcalc!$H$10),"")</f>
        <v>1.7692000000000001</v>
      </c>
      <c r="M162" s="391">
        <f>AVERAGE(Ashed_controlls!$K$2:$K$11)</f>
        <v>5.5147656768714146</v>
      </c>
      <c r="N162" s="225">
        <f t="shared" si="12"/>
        <v>1.6716327656447911</v>
      </c>
      <c r="O162" s="225" t="str">
        <f>IF(IFERROR(INDEX('Both teabags AfterWet'!$C$3:$C$841,MATCH(J162,'Both teabags AfterWet'!$A$3:$A$841,0)),"")="","",(IFERROR(INDEX('Both teabags AfterWet'!$C$3:$C$841,MATCH(J162,'Both teabags AfterWet'!$A$3:$A$841,0)),"")))</f>
        <v/>
      </c>
      <c r="P162" s="225" t="str">
        <f>IFERROR(IF(O162&gt;0,O162-(TBIcalc!$H$9),""),"")</f>
        <v/>
      </c>
      <c r="Q162" s="225" t="str">
        <f>IFERROR(INDEX('Ashed teabags wet'!$K$2:$K$821,MATCH(J162,'Ashed teabags wet'!$A$2:$A$821,0)),"")</f>
        <v/>
      </c>
      <c r="R162" s="225" t="str">
        <f t="shared" si="16"/>
        <v/>
      </c>
      <c r="S162" s="226">
        <f>'WetLitterbags placem_collection'!E163</f>
        <v>42763</v>
      </c>
      <c r="T162" s="226">
        <f>IF('WetLitterbags placem_collection'!G163="","",'WetLitterbags placem_collection'!G163)</f>
        <v>42814</v>
      </c>
      <c r="U162" s="227">
        <f t="shared" si="13"/>
        <v>51</v>
      </c>
      <c r="V162" s="225" t="str">
        <f t="shared" si="14"/>
        <v/>
      </c>
      <c r="W162" s="225" t="str">
        <f t="shared" si="15"/>
        <v/>
      </c>
      <c r="X162">
        <f>IFERROR(INDEX(Rainfall_Wet!$O$2:$O$217,MATCH(B162, Rainfall_Wet!$A$2:$A$217,0)),"")</f>
        <v>181.383442621</v>
      </c>
      <c r="Y162" s="231">
        <v>21.96</v>
      </c>
      <c r="Z162" s="231">
        <v>4.9199999999999982</v>
      </c>
      <c r="AA162" s="231">
        <v>73.12</v>
      </c>
      <c r="AB162" s="232" t="s">
        <v>2670</v>
      </c>
      <c r="AC162" s="231">
        <v>1.2416954164613114</v>
      </c>
      <c r="AD162">
        <f>IF('WetLitterbags placem_collection'!AB163="","",'WetLitterbags placem_collection'!AB163)</f>
        <v>7.6</v>
      </c>
      <c r="AE162">
        <f>IF('WetLitterbags placem_collection'!Z163="","",'WetLitterbags placem_collection'!Z163)</f>
        <v>35.799999999999997</v>
      </c>
      <c r="AF162" s="246" t="str">
        <f>IF('WetLitterbags placem_collection'!AA163="","",'WetLitterbags placem_collection'!AA163)</f>
        <v>M</v>
      </c>
      <c r="AG162">
        <f>IF('WetLitterbags placem_collection'!AC163="","",'WetLitterbags placem_collection'!AC163)</f>
        <v>0</v>
      </c>
      <c r="AH162" s="24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placem_collection'!V163)),"YES","NO")</f>
        <v>NO</v>
      </c>
      <c r="AM162" t="str">
        <f>IF(ISNUMBER(SEARCH("H", 'WetLitterbags placem_collection'!V163)),"YES","NO")</f>
        <v>NO</v>
      </c>
      <c r="AN162" t="str">
        <f>IF(ISNUMBER(SEARCH("R", 'WetLitterbags placem_collection'!V163)),"YES","NO")</f>
        <v>NO</v>
      </c>
    </row>
    <row r="163" spans="1:40" ht="15" customHeight="1">
      <c r="A163" s="258" t="s">
        <v>2460</v>
      </c>
      <c r="B163" s="263">
        <f>'Dry_Litterbag Placem_Collection'!A164</f>
        <v>162</v>
      </c>
      <c r="C163" s="263" t="str">
        <f>'Dry_Litterbag Placem_Collection'!B164</f>
        <v>Handajega</v>
      </c>
      <c r="D163" s="263" t="s">
        <v>2460</v>
      </c>
      <c r="E163" s="263" t="s">
        <v>2661</v>
      </c>
      <c r="F163" s="263">
        <v>1</v>
      </c>
      <c r="G163" s="264" t="str">
        <f>'Dry_Litterbag Placem_Collection'!C164</f>
        <v>Wet_W1_T2</v>
      </c>
      <c r="H163" s="265" t="s">
        <v>2541</v>
      </c>
      <c r="I163" s="266" t="s">
        <v>1147</v>
      </c>
      <c r="J163" s="223" t="str">
        <f>'WetLitterbags placem_collection'!K164</f>
        <v>G385</v>
      </c>
      <c r="K163" s="225">
        <f>IFERROR(INDEX('Green_rooibos initial weight'!$C$5:$C$1749,MATCH(J163, 'Green_rooibos initial weight'!$A$5:$A$1749,0)),"")</f>
        <v>1.962</v>
      </c>
      <c r="L163" s="225">
        <f>IFERROR(K163-(TBIcalc!$H$9+TBIcalc!$H$10),"")</f>
        <v>1.7121999999999999</v>
      </c>
      <c r="M163" s="391">
        <f>AVERAGE(Ashed_controlls!$K$2:$K$11)</f>
        <v>5.5147656768714146</v>
      </c>
      <c r="N163" s="225">
        <f t="shared" si="12"/>
        <v>1.6177761820806076</v>
      </c>
      <c r="O163" s="225">
        <f>IF(IFERROR(INDEX('Both teabags AfterWet'!$C$3:$C$841,MATCH(J163,'Both teabags AfterWet'!$A$3:$A$841,0)),"")="","",(IFERROR(INDEX('Both teabags AfterWet'!$C$3:$C$841,MATCH(J163,'Both teabags AfterWet'!$A$3:$A$841,0)),"")))</f>
        <v>0.62280000000000002</v>
      </c>
      <c r="P163" s="225">
        <f>IFERROR(IF(O163&gt;0,O163-(TBIcalc!$H$9),""),"")</f>
        <v>0.47220000000000001</v>
      </c>
      <c r="Q163" s="225">
        <f>IFERROR(INDEX('Ashed teabags wet'!$K$2:$K$821,MATCH(J163,'Ashed teabags wet'!$A$2:$A$821,0)),"")</f>
        <v>8.5545722713864567</v>
      </c>
      <c r="R163" s="225">
        <f t="shared" si="16"/>
        <v>0.43180530973451314</v>
      </c>
      <c r="S163" s="226">
        <f>'WetLitterbags placem_collection'!E164</f>
        <v>42763</v>
      </c>
      <c r="T163" s="226">
        <f>IF('WetLitterbags placem_collection'!G164="","",'WetLitterbags placem_collection'!G164)</f>
        <v>42814</v>
      </c>
      <c r="U163" s="227">
        <f t="shared" si="13"/>
        <v>51</v>
      </c>
      <c r="V163" s="225">
        <f t="shared" si="14"/>
        <v>1.24</v>
      </c>
      <c r="W163" s="225">
        <f t="shared" si="15"/>
        <v>1.1859708723460944</v>
      </c>
      <c r="X163">
        <f>IFERROR(INDEX(Rainfall_Wet!$O$2:$O$217,MATCH(B163, Rainfall_Wet!$A$2:$A$217,0)),"")</f>
        <v>181.383442621</v>
      </c>
      <c r="Y163" s="231">
        <v>21.96</v>
      </c>
      <c r="Z163" s="231">
        <v>4.9199999999999982</v>
      </c>
      <c r="AA163" s="231">
        <v>73.12</v>
      </c>
      <c r="AB163" s="232" t="s">
        <v>2670</v>
      </c>
      <c r="AC163" s="231">
        <v>2.2416954164613099</v>
      </c>
      <c r="AD163">
        <f>IF('WetLitterbags placem_collection'!AB164="","",'WetLitterbags placem_collection'!AB164)</f>
        <v>4.0999999999999996</v>
      </c>
      <c r="AE163">
        <f>IF('WetLitterbags placem_collection'!Z164="","",'WetLitterbags placem_collection'!Z164)</f>
        <v>31.4</v>
      </c>
      <c r="AF163" s="246" t="str">
        <f>IF('WetLitterbags placem_collection'!AA164="","",'WetLitterbags placem_collection'!AA164)</f>
        <v>M</v>
      </c>
      <c r="AG163">
        <f>IF('WetLitterbags placem_collection'!AC164="","",'WetLitterbags placem_collection'!AC164)</f>
        <v>0</v>
      </c>
      <c r="AH163" s="24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placem_collection'!V164)),"YES","NO")</f>
        <v>NO</v>
      </c>
      <c r="AM163" t="str">
        <f>IF(ISNUMBER(SEARCH("H", 'WetLitterbags placem_collection'!V164)),"YES","NO")</f>
        <v>NO</v>
      </c>
      <c r="AN163" t="str">
        <f>IF(ISNUMBER(SEARCH("R", 'WetLitterbags placem_collection'!V164)),"YES","NO")</f>
        <v>NO</v>
      </c>
    </row>
    <row r="164" spans="1:40" ht="15" customHeight="1">
      <c r="A164" s="258" t="s">
        <v>2460</v>
      </c>
      <c r="B164" s="263">
        <f>'Dry_Litterbag Placem_Collection'!A165</f>
        <v>163</v>
      </c>
      <c r="C164" s="263" t="str">
        <f>'Dry_Litterbag Placem_Collection'!B165</f>
        <v>Handajega</v>
      </c>
      <c r="D164" s="263" t="s">
        <v>2460</v>
      </c>
      <c r="E164" s="263" t="s">
        <v>2661</v>
      </c>
      <c r="F164" s="263">
        <v>1</v>
      </c>
      <c r="G164" s="264" t="str">
        <f>'Dry_Litterbag Placem_Collection'!C165</f>
        <v>Wet_W1_T3</v>
      </c>
      <c r="H164" s="265" t="s">
        <v>2541</v>
      </c>
      <c r="I164" s="266" t="s">
        <v>1147</v>
      </c>
      <c r="J164" s="223" t="str">
        <f>'WetLitterbags placem_collection'!K165</f>
        <v>G202</v>
      </c>
      <c r="K164" s="225">
        <f>IFERROR(INDEX('Green_rooibos initial weight'!$C$5:$C$1749,MATCH(J164, 'Green_rooibos initial weight'!$A$5:$A$1749,0)),"")</f>
        <v>1.986</v>
      </c>
      <c r="L164" s="225">
        <f>IFERROR(K164-(TBIcalc!$H$9+TBIcalc!$H$10),"")</f>
        <v>1.7362</v>
      </c>
      <c r="M164" s="391">
        <f>AVERAGE(Ashed_controlls!$K$2:$K$11)</f>
        <v>5.5147656768714146</v>
      </c>
      <c r="N164" s="225">
        <f t="shared" si="12"/>
        <v>1.6404526383181586</v>
      </c>
      <c r="O164" s="225">
        <f>IF(IFERROR(INDEX('Both teabags AfterWet'!$C$3:$C$841,MATCH(J164,'Both teabags AfterWet'!$A$3:$A$841,0)),"")="","",(IFERROR(INDEX('Both teabags AfterWet'!$C$3:$C$841,MATCH(J164,'Both teabags AfterWet'!$A$3:$A$841,0)),"")))</f>
        <v>0.64500000000000002</v>
      </c>
      <c r="P164" s="225">
        <f>IFERROR(IF(O164&gt;0,O164-(TBIcalc!$H$9),""),"")</f>
        <v>0.49440000000000001</v>
      </c>
      <c r="Q164" s="225">
        <f>IFERROR(INDEX('Ashed teabags wet'!$K$2:$K$821,MATCH(J164,'Ashed teabags wet'!$A$2:$A$821,0)),"")</f>
        <v>9.4152626362733951</v>
      </c>
      <c r="R164" s="225">
        <f t="shared" si="16"/>
        <v>0.44785094152626437</v>
      </c>
      <c r="S164" s="226">
        <f>'WetLitterbags placem_collection'!E165</f>
        <v>42763</v>
      </c>
      <c r="T164" s="226">
        <f>IF('WetLitterbags placem_collection'!G165="","",'WetLitterbags placem_collection'!G165)</f>
        <v>42814</v>
      </c>
      <c r="U164" s="227">
        <f t="shared" si="13"/>
        <v>51</v>
      </c>
      <c r="V164" s="225">
        <f t="shared" si="14"/>
        <v>1.2418</v>
      </c>
      <c r="W164" s="225">
        <f t="shared" si="15"/>
        <v>1.1926016967918942</v>
      </c>
      <c r="X164">
        <f>IFERROR(INDEX(Rainfall_Wet!$O$2:$O$217,MATCH(B164, Rainfall_Wet!$A$2:$A$217,0)),"")</f>
        <v>181.383442621</v>
      </c>
      <c r="Y164" s="231">
        <v>21.96</v>
      </c>
      <c r="Z164" s="231">
        <v>4.9199999999999982</v>
      </c>
      <c r="AA164" s="231">
        <v>73.12</v>
      </c>
      <c r="AB164" s="232" t="s">
        <v>2670</v>
      </c>
      <c r="AC164" s="231">
        <v>3.2416954164613099</v>
      </c>
      <c r="AD164">
        <f>IF('WetLitterbags placem_collection'!AB165="","",'WetLitterbags placem_collection'!AB165)</f>
        <v>7.8</v>
      </c>
      <c r="AE164">
        <f>IF('WetLitterbags placem_collection'!Z165="","",'WetLitterbags placem_collection'!Z165)</f>
        <v>28.8</v>
      </c>
      <c r="AF164" s="246" t="str">
        <f>IF('WetLitterbags placem_collection'!AA165="","",'WetLitterbags placem_collection'!AA165)</f>
        <v>M</v>
      </c>
      <c r="AG164">
        <f>IF('WetLitterbags placem_collection'!AC165="","",'WetLitterbags placem_collection'!AC165)</f>
        <v>0</v>
      </c>
      <c r="AH164" s="24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placem_collection'!V165)),"YES","NO")</f>
        <v>NO</v>
      </c>
      <c r="AM164" t="str">
        <f>IF(ISNUMBER(SEARCH("H", 'WetLitterbags placem_collection'!V165)),"YES","NO")</f>
        <v>YES</v>
      </c>
      <c r="AN164" t="str">
        <f>IF(ISNUMBER(SEARCH("R", 'WetLitterbags placem_collection'!V165)),"YES","NO")</f>
        <v>NO</v>
      </c>
    </row>
    <row r="165" spans="1:40" ht="15" customHeight="1">
      <c r="A165" s="258" t="s">
        <v>2460</v>
      </c>
      <c r="B165" s="263">
        <f>'Dry_Litterbag Placem_Collection'!A166</f>
        <v>164</v>
      </c>
      <c r="C165" s="263" t="str">
        <f>'Dry_Litterbag Placem_Collection'!B166</f>
        <v>Handajega</v>
      </c>
      <c r="D165" s="263" t="s">
        <v>2460</v>
      </c>
      <c r="E165" s="263" t="s">
        <v>2661</v>
      </c>
      <c r="F165" s="263">
        <v>1</v>
      </c>
      <c r="G165" s="264" t="str">
        <f>'Dry_Litterbag Placem_Collection'!C166</f>
        <v>Wet_W1_T4</v>
      </c>
      <c r="H165" s="265" t="s">
        <v>2541</v>
      </c>
      <c r="I165" s="266" t="s">
        <v>1147</v>
      </c>
      <c r="J165" s="223" t="str">
        <f>'WetLitterbags placem_collection'!K166</f>
        <v>G686</v>
      </c>
      <c r="K165" s="225">
        <f>IFERROR(INDEX('Green_rooibos initial weight'!$C$5:$C$1749,MATCH(J165, 'Green_rooibos initial weight'!$A$5:$A$1749,0)),"")</f>
        <v>1.9510000000000001</v>
      </c>
      <c r="L165" s="225">
        <f>IFERROR(K165-(TBIcalc!$H$9+TBIcalc!$H$10),"")</f>
        <v>1.7012</v>
      </c>
      <c r="M165" s="391">
        <f>AVERAGE(Ashed_controlls!$K$2:$K$11)</f>
        <v>5.5147656768714146</v>
      </c>
      <c r="N165" s="225">
        <f t="shared" si="12"/>
        <v>1.6073828063050635</v>
      </c>
      <c r="O165" s="225">
        <f>IF(IFERROR(INDEX('Both teabags AfterWet'!$C$3:$C$841,MATCH(J165,'Both teabags AfterWet'!$A$3:$A$841,0)),"")="","",(IFERROR(INDEX('Both teabags AfterWet'!$C$3:$C$841,MATCH(J165,'Both teabags AfterWet'!$A$3:$A$841,0)),"")))</f>
        <v>0.628</v>
      </c>
      <c r="P165" s="225">
        <f>IFERROR(IF(O165&gt;0,O165-(TBIcalc!$H$9),""),"")</f>
        <v>0.47739999999999999</v>
      </c>
      <c r="Q165" s="225">
        <f>IFERROR(INDEX('Ashed teabags wet'!$K$2:$K$821,MATCH(J165,'Ashed teabags wet'!$A$2:$A$821,0)),"")</f>
        <v>9.7268806899849256</v>
      </c>
      <c r="R165" s="225">
        <f t="shared" si="16"/>
        <v>0.43096387158601196</v>
      </c>
      <c r="S165" s="226">
        <f>'WetLitterbags placem_collection'!E166</f>
        <v>42763</v>
      </c>
      <c r="T165" s="226">
        <f>IF('WetLitterbags placem_collection'!G166="","",'WetLitterbags placem_collection'!G166)</f>
        <v>42814</v>
      </c>
      <c r="U165" s="227">
        <f t="shared" si="13"/>
        <v>51</v>
      </c>
      <c r="V165" s="225">
        <f t="shared" si="14"/>
        <v>1.2238</v>
      </c>
      <c r="W165" s="225">
        <f t="shared" si="15"/>
        <v>1.1764189347190515</v>
      </c>
      <c r="X165">
        <f>IFERROR(INDEX(Rainfall_Wet!$O$2:$O$217,MATCH(B165, Rainfall_Wet!$A$2:$A$217,0)),"")</f>
        <v>181.383442621</v>
      </c>
      <c r="Y165" s="231">
        <v>21.96</v>
      </c>
      <c r="Z165" s="231">
        <v>4.9199999999999982</v>
      </c>
      <c r="AA165" s="231">
        <v>73.12</v>
      </c>
      <c r="AB165" s="232" t="s">
        <v>2670</v>
      </c>
      <c r="AC165" s="231">
        <v>4.2416954164613099</v>
      </c>
      <c r="AD165">
        <f>IF('WetLitterbags placem_collection'!AB166="","",'WetLitterbags placem_collection'!AB166)</f>
        <v>9.5</v>
      </c>
      <c r="AE165">
        <f>IF('WetLitterbags placem_collection'!Z166="","",'WetLitterbags placem_collection'!Z166)</f>
        <v>20.8</v>
      </c>
      <c r="AF165" s="246" t="str">
        <f>IF('WetLitterbags placem_collection'!AA166="","",'WetLitterbags placem_collection'!AA166)</f>
        <v>M</v>
      </c>
      <c r="AG165">
        <f>IF('WetLitterbags placem_collection'!AC166="","",'WetLitterbags placem_collection'!AC166)</f>
        <v>0</v>
      </c>
      <c r="AH165" s="24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placem_collection'!V166)),"YES","NO")</f>
        <v>NO</v>
      </c>
      <c r="AM165" t="str">
        <f>IF(ISNUMBER(SEARCH("H", 'WetLitterbags placem_collection'!V166)),"YES","NO")</f>
        <v>NO</v>
      </c>
      <c r="AN165" t="str">
        <f>IF(ISNUMBER(SEARCH("R", 'WetLitterbags placem_collection'!V166)),"YES","NO")</f>
        <v>NO</v>
      </c>
    </row>
    <row r="166" spans="1:40" ht="15" customHeight="1">
      <c r="A166" s="258" t="s">
        <v>2460</v>
      </c>
      <c r="B166" s="263">
        <f>'Dry_Litterbag Placem_Collection'!A167</f>
        <v>165</v>
      </c>
      <c r="C166" s="263" t="str">
        <f>'Dry_Litterbag Placem_Collection'!B167</f>
        <v>Handajega</v>
      </c>
      <c r="D166" s="263" t="s">
        <v>2460</v>
      </c>
      <c r="E166" s="263" t="s">
        <v>2661</v>
      </c>
      <c r="F166" s="263">
        <v>1</v>
      </c>
      <c r="G166" s="264" t="str">
        <f>'Dry_Litterbag Placem_Collection'!C167</f>
        <v>Wet_W1_T5</v>
      </c>
      <c r="H166" s="265" t="s">
        <v>2541</v>
      </c>
      <c r="I166" s="266" t="s">
        <v>1147</v>
      </c>
      <c r="J166" s="223" t="str">
        <f>'WetLitterbags placem_collection'!K167</f>
        <v>G368</v>
      </c>
      <c r="K166" s="225">
        <f>IFERROR(INDEX('Green_rooibos initial weight'!$C$5:$C$1749,MATCH(J166, 'Green_rooibos initial weight'!$A$5:$A$1749,0)),"")</f>
        <v>2.1709999999999998</v>
      </c>
      <c r="L166" s="225">
        <f>IFERROR(K166-(TBIcalc!$H$9+TBIcalc!$H$10),"")</f>
        <v>1.9211999999999998</v>
      </c>
      <c r="M166" s="391">
        <f>AVERAGE(Ashed_controlls!$K$2:$K$11)</f>
        <v>5.5147656768714146</v>
      </c>
      <c r="N166" s="225">
        <f t="shared" si="12"/>
        <v>1.8152503218159461</v>
      </c>
      <c r="O166" s="225">
        <f>IF(IFERROR(INDEX('Both teabags AfterWet'!$C$3:$C$841,MATCH(J166,'Both teabags AfterWet'!$A$3:$A$841,0)),"")="","",(IFERROR(INDEX('Both teabags AfterWet'!$C$3:$C$841,MATCH(J166,'Both teabags AfterWet'!$A$3:$A$841,0)),"")))</f>
        <v>0.72699999999999998</v>
      </c>
      <c r="P166" s="225">
        <f>IFERROR(IF(O166&gt;0,O166-(TBIcalc!$H$9),""),"")</f>
        <v>0.57640000000000002</v>
      </c>
      <c r="Q166" s="225">
        <f>IFERROR(INDEX('Ashed teabags wet'!$K$2:$K$821,MATCH(J166,'Ashed teabags wet'!$A$2:$A$821,0)),"")</f>
        <v>7.2371638141808248</v>
      </c>
      <c r="R166" s="225">
        <f t="shared" si="16"/>
        <v>0.53468498777506179</v>
      </c>
      <c r="S166" s="226">
        <f>'WetLitterbags placem_collection'!E167</f>
        <v>42763</v>
      </c>
      <c r="T166" s="226">
        <f>IF('WetLitterbags placem_collection'!G167="","",'WetLitterbags placem_collection'!G167)</f>
        <v>42814</v>
      </c>
      <c r="U166" s="227">
        <f t="shared" si="13"/>
        <v>51</v>
      </c>
      <c r="V166" s="225">
        <f t="shared" si="14"/>
        <v>1.3447999999999998</v>
      </c>
      <c r="W166" s="225">
        <f t="shared" si="15"/>
        <v>1.2805653340408845</v>
      </c>
      <c r="X166">
        <f>IFERROR(INDEX(Rainfall_Wet!$O$2:$O$217,MATCH(B166, Rainfall_Wet!$A$2:$A$217,0)),"")</f>
        <v>181.383442621</v>
      </c>
      <c r="Y166" s="231">
        <v>21.96</v>
      </c>
      <c r="Z166" s="231">
        <v>4.9199999999999982</v>
      </c>
      <c r="AA166" s="231">
        <v>73.12</v>
      </c>
      <c r="AB166" s="232" t="s">
        <v>2670</v>
      </c>
      <c r="AC166" s="231">
        <v>5.2416954164613099</v>
      </c>
      <c r="AD166">
        <f>IF('WetLitterbags placem_collection'!AB167="","",'WetLitterbags placem_collection'!AB167)</f>
        <v>10.4</v>
      </c>
      <c r="AE166">
        <f>IF('WetLitterbags placem_collection'!Z167="","",'WetLitterbags placem_collection'!Z167)</f>
        <v>13.8</v>
      </c>
      <c r="AF166" s="246" t="str">
        <f>IF('WetLitterbags placem_collection'!AA167="","",'WetLitterbags placem_collection'!AA167)</f>
        <v>M</v>
      </c>
      <c r="AG166">
        <f>IF('WetLitterbags placem_collection'!AC167="","",'WetLitterbags placem_collection'!AC167)</f>
        <v>0</v>
      </c>
      <c r="AH166" s="24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placem_collection'!V167)),"YES","NO")</f>
        <v>NO</v>
      </c>
      <c r="AM166" t="str">
        <f>IF(ISNUMBER(SEARCH("H", 'WetLitterbags placem_collection'!V167)),"YES","NO")</f>
        <v>NO</v>
      </c>
      <c r="AN166" t="str">
        <f>IF(ISNUMBER(SEARCH("R", 'WetLitterbags placem_collection'!V167)),"YES","NO")</f>
        <v>NO</v>
      </c>
    </row>
    <row r="167" spans="1:40" ht="15" customHeight="1">
      <c r="A167" s="258" t="s">
        <v>2460</v>
      </c>
      <c r="B167" s="263">
        <f>'Dry_Litterbag Placem_Collection'!A168</f>
        <v>166</v>
      </c>
      <c r="C167" s="263" t="str">
        <f>'Dry_Litterbag Placem_Collection'!B168</f>
        <v>Handajega</v>
      </c>
      <c r="D167" s="263" t="s">
        <v>2460</v>
      </c>
      <c r="E167" s="263" t="s">
        <v>2661</v>
      </c>
      <c r="F167" s="263">
        <v>1</v>
      </c>
      <c r="G167" s="264" t="str">
        <f>'Dry_Litterbag Placem_Collection'!C168</f>
        <v>Wet_W1_T6</v>
      </c>
      <c r="H167" s="265" t="s">
        <v>2541</v>
      </c>
      <c r="I167" s="266" t="s">
        <v>1147</v>
      </c>
      <c r="J167" s="223" t="str">
        <f>'WetLitterbags placem_collection'!K168</f>
        <v>G334</v>
      </c>
      <c r="K167" s="225">
        <f>IFERROR(INDEX('Green_rooibos initial weight'!$C$5:$C$1749,MATCH(J167, 'Green_rooibos initial weight'!$A$5:$A$1749,0)),"")</f>
        <v>2.0710000000000002</v>
      </c>
      <c r="L167" s="225">
        <f>IFERROR(K167-(TBIcalc!$H$9+TBIcalc!$H$10),"")</f>
        <v>1.8212000000000002</v>
      </c>
      <c r="M167" s="391">
        <f>AVERAGE(Ashed_controlls!$K$2:$K$11)</f>
        <v>5.5147656768714146</v>
      </c>
      <c r="N167" s="225">
        <f t="shared" si="12"/>
        <v>1.720765087492818</v>
      </c>
      <c r="O167" s="225">
        <f>IF(IFERROR(INDEX('Both teabags AfterWet'!$C$3:$C$841,MATCH(J167,'Both teabags AfterWet'!$A$3:$A$841,0)),"")="","",(IFERROR(INDEX('Both teabags AfterWet'!$C$3:$C$841,MATCH(J167,'Both teabags AfterWet'!$A$3:$A$841,0)),"")))</f>
        <v>0.80800000000000005</v>
      </c>
      <c r="P167" s="225">
        <f>IFERROR(IF(O167&gt;0,O167-(TBIcalc!$H$9),""),"")</f>
        <v>0.65739999999999998</v>
      </c>
      <c r="Q167" s="225">
        <f>IFERROR(INDEX('Ashed teabags wet'!$K$2:$K$821,MATCH(J167,'Ashed teabags wet'!$A$2:$A$821,0)),"")</f>
        <v>13.234567901234151</v>
      </c>
      <c r="R167" s="225">
        <f t="shared" si="16"/>
        <v>0.57039595061728665</v>
      </c>
      <c r="S167" s="226">
        <f>'WetLitterbags placem_collection'!E168</f>
        <v>42763</v>
      </c>
      <c r="T167" s="226">
        <f>IF('WetLitterbags placem_collection'!G168="","",'WetLitterbags placem_collection'!G168)</f>
        <v>42814</v>
      </c>
      <c r="U167" s="227">
        <f t="shared" si="13"/>
        <v>51</v>
      </c>
      <c r="V167" s="225">
        <f t="shared" si="14"/>
        <v>1.1638000000000002</v>
      </c>
      <c r="W167" s="225">
        <f t="shared" si="15"/>
        <v>1.1503691368755313</v>
      </c>
      <c r="X167">
        <f>IFERROR(INDEX(Rainfall_Wet!$O$2:$O$217,MATCH(B167, Rainfall_Wet!$A$2:$A$217,0)),"")</f>
        <v>181.383442621</v>
      </c>
      <c r="Y167" s="231">
        <v>21.96</v>
      </c>
      <c r="Z167" s="231">
        <v>4.9199999999999982</v>
      </c>
      <c r="AA167" s="231">
        <v>73.12</v>
      </c>
      <c r="AB167" s="232" t="s">
        <v>2670</v>
      </c>
      <c r="AC167" s="231">
        <v>6.2416954164613099</v>
      </c>
      <c r="AD167">
        <f>IF('WetLitterbags placem_collection'!AB168="","",'WetLitterbags placem_collection'!AB168)</f>
        <v>2.1</v>
      </c>
      <c r="AE167">
        <f>IF('WetLitterbags placem_collection'!Z168="","",'WetLitterbags placem_collection'!Z168)</f>
        <v>4.7</v>
      </c>
      <c r="AF167" s="246" t="str">
        <f>IF('WetLitterbags placem_collection'!AA168="","",'WetLitterbags placem_collection'!AA168)</f>
        <v>M</v>
      </c>
      <c r="AG167">
        <f>IF('WetLitterbags placem_collection'!AC168="","",'WetLitterbags placem_collection'!AC168)</f>
        <v>0</v>
      </c>
      <c r="AH167" s="24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placem_collection'!V168)),"YES","NO")</f>
        <v>NO</v>
      </c>
      <c r="AM167" t="str">
        <f>IF(ISNUMBER(SEARCH("H", 'WetLitterbags placem_collection'!V168)),"YES","NO")</f>
        <v>NO</v>
      </c>
      <c r="AN167" t="str">
        <f>IF(ISNUMBER(SEARCH("R", 'WetLitterbags placem_collection'!V168)),"YES","NO")</f>
        <v>NO</v>
      </c>
    </row>
    <row r="168" spans="1:40" ht="15" customHeight="1">
      <c r="A168" s="258" t="s">
        <v>2460</v>
      </c>
      <c r="B168" s="263">
        <f>'Dry_Litterbag Placem_Collection'!A169</f>
        <v>167</v>
      </c>
      <c r="C168" s="263" t="str">
        <f>'Dry_Litterbag Placem_Collection'!B169</f>
        <v>Handajega</v>
      </c>
      <c r="D168" s="263" t="s">
        <v>2460</v>
      </c>
      <c r="E168" s="263" t="s">
        <v>2661</v>
      </c>
      <c r="F168" s="263">
        <v>1</v>
      </c>
      <c r="G168" s="264" t="str">
        <f>'Dry_Litterbag Placem_Collection'!C169</f>
        <v>Wet_W1_T7</v>
      </c>
      <c r="H168" s="265" t="s">
        <v>2541</v>
      </c>
      <c r="I168" s="266" t="s">
        <v>1147</v>
      </c>
      <c r="J168" s="223" t="str">
        <f>'WetLitterbags placem_collection'!K169</f>
        <v>G429</v>
      </c>
      <c r="K168" s="225">
        <f>IFERROR(INDEX('Green_rooibos initial weight'!$C$5:$C$1749,MATCH(J168, 'Green_rooibos initial weight'!$A$5:$A$1749,0)),"")</f>
        <v>1.9319999999999999</v>
      </c>
      <c r="L168" s="225">
        <f>IFERROR(K168-(TBIcalc!$H$9+TBIcalc!$H$10),"")</f>
        <v>1.6821999999999999</v>
      </c>
      <c r="M168" s="391">
        <f>AVERAGE(Ashed_controlls!$K$2:$K$11)</f>
        <v>5.5147656768714146</v>
      </c>
      <c r="N168" s="225">
        <f t="shared" si="12"/>
        <v>1.589430611783669</v>
      </c>
      <c r="O168" s="225">
        <f>IF(IFERROR(INDEX('Both teabags AfterWet'!$C$3:$C$841,MATCH(J168,'Both teabags AfterWet'!$A$3:$A$841,0)),"")="","",(IFERROR(INDEX('Both teabags AfterWet'!$C$3:$C$841,MATCH(J168,'Both teabags AfterWet'!$A$3:$A$841,0)),"")))</f>
        <v>0.64529999999999998</v>
      </c>
      <c r="P168" s="225">
        <f>IFERROR(IF(O168&gt;0,O168-(TBIcalc!$H$9),""),"")</f>
        <v>0.49469999999999997</v>
      </c>
      <c r="Q168" s="225">
        <f>IFERROR(INDEX('Ashed teabags wet'!$K$2:$K$821,MATCH(J168,'Ashed teabags wet'!$A$2:$A$821,0)),"")</f>
        <v>8.4409136047665729</v>
      </c>
      <c r="R168" s="225">
        <f t="shared" si="16"/>
        <v>0.45294280039721974</v>
      </c>
      <c r="S168" s="226">
        <f>'WetLitterbags placem_collection'!E169</f>
        <v>42763</v>
      </c>
      <c r="T168" s="226">
        <f>IF('WetLitterbags placem_collection'!G169="","",'WetLitterbags placem_collection'!G169)</f>
        <v>42814</v>
      </c>
      <c r="U168" s="227">
        <f t="shared" si="13"/>
        <v>51</v>
      </c>
      <c r="V168" s="225">
        <f t="shared" si="14"/>
        <v>1.1875</v>
      </c>
      <c r="W168" s="225">
        <f t="shared" si="15"/>
        <v>1.1364878113864492</v>
      </c>
      <c r="X168">
        <f>IFERROR(INDEX(Rainfall_Wet!$O$2:$O$217,MATCH(B168, Rainfall_Wet!$A$2:$A$217,0)),"")</f>
        <v>181.383442621</v>
      </c>
      <c r="Y168" s="231">
        <v>21.96</v>
      </c>
      <c r="Z168" s="231">
        <v>4.9199999999999982</v>
      </c>
      <c r="AA168" s="231">
        <v>73.12</v>
      </c>
      <c r="AB168" s="232" t="s">
        <v>2670</v>
      </c>
      <c r="AC168" s="231">
        <v>7.2416954164613099</v>
      </c>
      <c r="AD168">
        <f>IF('WetLitterbags placem_collection'!AB169="","",'WetLitterbags placem_collection'!AB169)</f>
        <v>5.6</v>
      </c>
      <c r="AE168">
        <f>IF('WetLitterbags placem_collection'!Z169="","",'WetLitterbags placem_collection'!Z169)</f>
        <v>4.2</v>
      </c>
      <c r="AF168" s="246" t="str">
        <f>IF('WetLitterbags placem_collection'!AA169="","",'WetLitterbags placem_collection'!AA169)</f>
        <v>M</v>
      </c>
      <c r="AG168">
        <f>IF('WetLitterbags placem_collection'!AC169="","",'WetLitterbags placem_collection'!AC169)</f>
        <v>1</v>
      </c>
      <c r="AH168" s="24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placem_collection'!V169)),"YES","NO")</f>
        <v>NO</v>
      </c>
      <c r="AM168" t="str">
        <f>IF(ISNUMBER(SEARCH("H", 'WetLitterbags placem_collection'!V169)),"YES","NO")</f>
        <v>NO</v>
      </c>
      <c r="AN168" t="str">
        <f>IF(ISNUMBER(SEARCH("R", 'WetLitterbags placem_collection'!V169)),"YES","NO")</f>
        <v>NO</v>
      </c>
    </row>
    <row r="169" spans="1:40" ht="15" customHeight="1">
      <c r="A169" s="258" t="s">
        <v>2460</v>
      </c>
      <c r="B169" s="263">
        <f>'Dry_Litterbag Placem_Collection'!A170</f>
        <v>168</v>
      </c>
      <c r="C169" s="263" t="str">
        <f>'Dry_Litterbag Placem_Collection'!B170</f>
        <v>Handajega</v>
      </c>
      <c r="D169" s="263" t="s">
        <v>2460</v>
      </c>
      <c r="E169" s="263" t="s">
        <v>2661</v>
      </c>
      <c r="F169" s="263">
        <v>1</v>
      </c>
      <c r="G169" s="264" t="str">
        <f>'Dry_Litterbag Placem_Collection'!C170</f>
        <v>Wet_W1_T8</v>
      </c>
      <c r="H169" s="265" t="s">
        <v>2541</v>
      </c>
      <c r="I169" s="266" t="s">
        <v>1147</v>
      </c>
      <c r="J169" s="223" t="str">
        <f>'WetLitterbags placem_collection'!K170</f>
        <v>G461</v>
      </c>
      <c r="K169" s="225">
        <f>IFERROR(INDEX('Green_rooibos initial weight'!$C$5:$C$1749,MATCH(J169, 'Green_rooibos initial weight'!$A$5:$A$1749,0)),"")</f>
        <v>2.1030000000000002</v>
      </c>
      <c r="L169" s="225">
        <f>IFERROR(K169-(TBIcalc!$H$9+TBIcalc!$H$10),"")</f>
        <v>1.8532000000000002</v>
      </c>
      <c r="M169" s="391">
        <f>AVERAGE(Ashed_controlls!$K$2:$K$11)</f>
        <v>5.5147656768714146</v>
      </c>
      <c r="N169" s="225">
        <f t="shared" si="12"/>
        <v>1.7510003624762192</v>
      </c>
      <c r="O169" s="225">
        <f>IF(IFERROR(INDEX('Both teabags AfterWet'!$C$3:$C$841,MATCH(J169,'Both teabags AfterWet'!$A$3:$A$841,0)),"")="","",(IFERROR(INDEX('Both teabags AfterWet'!$C$3:$C$841,MATCH(J169,'Both teabags AfterWet'!$A$3:$A$841,0)),"")))</f>
        <v>0.79400000000000004</v>
      </c>
      <c r="P169" s="225">
        <f>IFERROR(IF(O169&gt;0,O169-(TBIcalc!$H$9),""),"")</f>
        <v>0.64339999999999997</v>
      </c>
      <c r="Q169" s="225">
        <f>IFERROR(INDEX('Ashed teabags wet'!$K$2:$K$821,MATCH(J169,'Ashed teabags wet'!$A$2:$A$821,0)),"")</f>
        <v>8.9463220675947444</v>
      </c>
      <c r="R169" s="225">
        <f t="shared" si="16"/>
        <v>0.58583936381709534</v>
      </c>
      <c r="S169" s="226">
        <f>'WetLitterbags placem_collection'!E170</f>
        <v>42763</v>
      </c>
      <c r="T169" s="226">
        <f>IF('WetLitterbags placem_collection'!G170="","",'WetLitterbags placem_collection'!G170)</f>
        <v>42814</v>
      </c>
      <c r="U169" s="227">
        <f t="shared" si="13"/>
        <v>51</v>
      </c>
      <c r="V169" s="225">
        <f t="shared" si="14"/>
        <v>1.2098000000000002</v>
      </c>
      <c r="W169" s="225">
        <f t="shared" si="15"/>
        <v>1.1651609986591238</v>
      </c>
      <c r="X169">
        <f>IFERROR(INDEX(Rainfall_Wet!$O$2:$O$217,MATCH(B169, Rainfall_Wet!$A$2:$A$217,0)),"")</f>
        <v>181.383442621</v>
      </c>
      <c r="Y169" s="231">
        <v>21.96</v>
      </c>
      <c r="Z169" s="231">
        <v>4.9199999999999982</v>
      </c>
      <c r="AA169" s="231">
        <v>73.12</v>
      </c>
      <c r="AB169" s="232" t="s">
        <v>2670</v>
      </c>
      <c r="AC169" s="231">
        <v>8.2416954164613099</v>
      </c>
      <c r="AD169">
        <f>IF('WetLitterbags placem_collection'!AB170="","",'WetLitterbags placem_collection'!AB170)</f>
        <v>2.4</v>
      </c>
      <c r="AE169">
        <f>IF('WetLitterbags placem_collection'!Z170="","",'WetLitterbags placem_collection'!Z170)</f>
        <v>46</v>
      </c>
      <c r="AF169" s="246" t="str">
        <f>IF('WetLitterbags placem_collection'!AA170="","",'WetLitterbags placem_collection'!AA170)</f>
        <v>M</v>
      </c>
      <c r="AG169">
        <f>IF('WetLitterbags placem_collection'!AC170="","",'WetLitterbags placem_collection'!AC170)</f>
        <v>0</v>
      </c>
      <c r="AH169" s="24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placem_collection'!V170)),"YES","NO")</f>
        <v>YES</v>
      </c>
      <c r="AM169" t="str">
        <f>IF(ISNUMBER(SEARCH("H", 'WetLitterbags placem_collection'!V170)),"YES","NO")</f>
        <v>YES</v>
      </c>
      <c r="AN169" t="str">
        <f>IF(ISNUMBER(SEARCH("R", 'WetLitterbags placem_collection'!V170)),"YES","NO")</f>
        <v>NO</v>
      </c>
    </row>
    <row r="170" spans="1:40" ht="15" customHeight="1">
      <c r="A170" s="258" t="s">
        <v>2460</v>
      </c>
      <c r="B170" s="263">
        <f>'Dry_Litterbag Placem_Collection'!A171</f>
        <v>169</v>
      </c>
      <c r="C170" s="263" t="str">
        <f>'Dry_Litterbag Placem_Collection'!B171</f>
        <v>Handajega</v>
      </c>
      <c r="D170" s="263" t="s">
        <v>2460</v>
      </c>
      <c r="E170" s="263" t="s">
        <v>2661</v>
      </c>
      <c r="F170" s="263">
        <v>2</v>
      </c>
      <c r="G170" s="264" t="str">
        <f>'Dry_Litterbag Placem_Collection'!C171</f>
        <v>Wet_W2_T1</v>
      </c>
      <c r="H170" s="265" t="s">
        <v>2541</v>
      </c>
      <c r="I170" s="266" t="s">
        <v>1147</v>
      </c>
      <c r="J170" s="223" t="str">
        <f>'WetLitterbags placem_collection'!K171</f>
        <v>G425</v>
      </c>
      <c r="K170" s="225">
        <f>IFERROR(INDEX('Green_rooibos initial weight'!$C$5:$C$1749,MATCH(J170, 'Green_rooibos initial weight'!$A$5:$A$1749,0)),"")</f>
        <v>1.9750000000000001</v>
      </c>
      <c r="L170" s="225">
        <f>IFERROR(K170-(TBIcalc!$H$9+TBIcalc!$H$10),"")</f>
        <v>1.7252000000000001</v>
      </c>
      <c r="M170" s="391">
        <f>AVERAGE(Ashed_controlls!$K$2:$K$11)</f>
        <v>5.5147656768714146</v>
      </c>
      <c r="N170" s="225">
        <f t="shared" si="12"/>
        <v>1.6300592625426145</v>
      </c>
      <c r="O170" s="225">
        <f>IF(IFERROR(INDEX('Both teabags AfterWet'!$C$3:$C$841,MATCH(J170,'Both teabags AfterWet'!$A$3:$A$841,0)),"")="","",(IFERROR(INDEX('Both teabags AfterWet'!$C$3:$C$841,MATCH(J170,'Both teabags AfterWet'!$A$3:$A$841,0)),"")))</f>
        <v>0.65800000000000003</v>
      </c>
      <c r="P170" s="225">
        <f>IFERROR(IF(O170&gt;0,O170-(TBIcalc!$H$9),""),"")</f>
        <v>0.50740000000000007</v>
      </c>
      <c r="Q170" s="225">
        <f>IFERROR(INDEX('Ashed teabags wet'!$K$2:$K$821,MATCH(J170,'Ashed teabags wet'!$A$2:$A$821,0)),"")</f>
        <v>11.404382470119883</v>
      </c>
      <c r="R170" s="225">
        <f t="shared" si="16"/>
        <v>0.44953416334661178</v>
      </c>
      <c r="S170" s="226">
        <f>'WetLitterbags placem_collection'!E171</f>
        <v>42763</v>
      </c>
      <c r="T170" s="226">
        <f>IF('WetLitterbags placem_collection'!G171="","",'WetLitterbags placem_collection'!G171)</f>
        <v>42814</v>
      </c>
      <c r="U170" s="227">
        <f t="shared" si="13"/>
        <v>51</v>
      </c>
      <c r="V170" s="225">
        <f t="shared" si="14"/>
        <v>1.2178</v>
      </c>
      <c r="W170" s="225">
        <f t="shared" si="15"/>
        <v>1.1805250991960028</v>
      </c>
      <c r="X170">
        <f>IFERROR(INDEX(Rainfall_Wet!$O$2:$O$217,MATCH(B170, Rainfall_Wet!$A$2:$A$217,0)),"")</f>
        <v>181.383442621</v>
      </c>
      <c r="Y170" s="231">
        <v>23.96</v>
      </c>
      <c r="Z170" s="231">
        <v>4.9199999999999982</v>
      </c>
      <c r="AA170" s="231">
        <v>71.12</v>
      </c>
      <c r="AB170" s="232" t="s">
        <v>2670</v>
      </c>
      <c r="AC170" s="231">
        <v>3.30913750616067</v>
      </c>
      <c r="AD170">
        <f>IF('WetLitterbags placem_collection'!AB171="","",'WetLitterbags placem_collection'!AB171)</f>
        <v>8.1999999999999993</v>
      </c>
      <c r="AE170">
        <f>IF('WetLitterbags placem_collection'!Z171="","",'WetLitterbags placem_collection'!Z171)</f>
        <v>11.4</v>
      </c>
      <c r="AF170" s="246" t="str">
        <f>IF('WetLitterbags placem_collection'!AA171="","",'WetLitterbags placem_collection'!AA171)</f>
        <v>O</v>
      </c>
      <c r="AG170">
        <f>IF('WetLitterbags placem_collection'!AC171="","",'WetLitterbags placem_collection'!AC171)</f>
        <v>1</v>
      </c>
      <c r="AH170" s="24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placem_collection'!V171)),"YES","NO")</f>
        <v>NO</v>
      </c>
      <c r="AM170" t="str">
        <f>IF(ISNUMBER(SEARCH("H", 'WetLitterbags placem_collection'!V171)),"YES","NO")</f>
        <v>NO</v>
      </c>
      <c r="AN170" t="str">
        <f>IF(ISNUMBER(SEARCH("R", 'WetLitterbags placem_collection'!V171)),"YES","NO")</f>
        <v>NO</v>
      </c>
    </row>
    <row r="171" spans="1:40" ht="15" customHeight="1">
      <c r="A171" s="258" t="s">
        <v>2460</v>
      </c>
      <c r="B171" s="263">
        <f>'Dry_Litterbag Placem_Collection'!A172</f>
        <v>170</v>
      </c>
      <c r="C171" s="263" t="str">
        <f>'Dry_Litterbag Placem_Collection'!B172</f>
        <v>Handajega</v>
      </c>
      <c r="D171" s="263" t="s">
        <v>2460</v>
      </c>
      <c r="E171" s="263" t="s">
        <v>2661</v>
      </c>
      <c r="F171" s="263">
        <v>2</v>
      </c>
      <c r="G171" s="264" t="str">
        <f>'Dry_Litterbag Placem_Collection'!C172</f>
        <v>Wet_W2_T2</v>
      </c>
      <c r="H171" s="265" t="s">
        <v>2541</v>
      </c>
      <c r="I171" s="266" t="s">
        <v>1147</v>
      </c>
      <c r="J171" s="223" t="str">
        <f>'WetLitterbags placem_collection'!K172</f>
        <v>G433</v>
      </c>
      <c r="K171" s="225">
        <f>IFERROR(INDEX('Green_rooibos initial weight'!$C$5:$C$1749,MATCH(J171, 'Green_rooibos initial weight'!$A$5:$A$1749,0)),"")</f>
        <v>2.06</v>
      </c>
      <c r="L171" s="225">
        <f>IFERROR(K171-(TBIcalc!$H$9+TBIcalc!$H$10),"")</f>
        <v>1.8102</v>
      </c>
      <c r="M171" s="391">
        <f>AVERAGE(Ashed_controlls!$K$2:$K$11)</f>
        <v>5.5147656768714146</v>
      </c>
      <c r="N171" s="225">
        <f t="shared" si="12"/>
        <v>1.7103717117172736</v>
      </c>
      <c r="O171" s="225">
        <f>IF(IFERROR(INDEX('Both teabags AfterWet'!$C$3:$C$841,MATCH(J171,'Both teabags AfterWet'!$A$3:$A$841,0)),"")="","",(IFERROR(INDEX('Both teabags AfterWet'!$C$3:$C$841,MATCH(J171,'Both teabags AfterWet'!$A$3:$A$841,0)),"")))</f>
        <v>0.64800000000000002</v>
      </c>
      <c r="P171" s="225">
        <f>IFERROR(IF(O171&gt;0,O171-(TBIcalc!$H$9),""),"")</f>
        <v>0.49740000000000001</v>
      </c>
      <c r="Q171" s="225">
        <f>IFERROR(INDEX('Ashed teabags wet'!$K$2:$K$821,MATCH(J171,'Ashed teabags wet'!$A$2:$A$821,0)),"")</f>
        <v>9.4836146971203146</v>
      </c>
      <c r="R171" s="225">
        <f t="shared" si="16"/>
        <v>0.45022850049652358</v>
      </c>
      <c r="S171" s="226">
        <f>'WetLitterbags placem_collection'!E172</f>
        <v>42763</v>
      </c>
      <c r="T171" s="226">
        <f>IF('WetLitterbags placem_collection'!G172="","",'WetLitterbags placem_collection'!G172)</f>
        <v>42814</v>
      </c>
      <c r="U171" s="227">
        <f t="shared" si="13"/>
        <v>51</v>
      </c>
      <c r="V171" s="225">
        <f t="shared" si="14"/>
        <v>1.3128</v>
      </c>
      <c r="W171" s="225">
        <f t="shared" si="15"/>
        <v>1.26014321122075</v>
      </c>
      <c r="X171">
        <f>IFERROR(INDEX(Rainfall_Wet!$O$2:$O$217,MATCH(B171, Rainfall_Wet!$A$2:$A$217,0)),"")</f>
        <v>181.383442621</v>
      </c>
      <c r="Y171" s="231">
        <v>23.96</v>
      </c>
      <c r="Z171" s="231">
        <v>4.9199999999999982</v>
      </c>
      <c r="AA171" s="231">
        <v>71.12</v>
      </c>
      <c r="AB171" s="232" t="s">
        <v>2670</v>
      </c>
      <c r="AC171" s="231">
        <v>4.3091375061606696</v>
      </c>
      <c r="AD171">
        <f>IF('WetLitterbags placem_collection'!AB172="","",'WetLitterbags placem_collection'!AB172)</f>
        <v>7.7</v>
      </c>
      <c r="AE171">
        <f>IF('WetLitterbags placem_collection'!Z172="","",'WetLitterbags placem_collection'!Z172)</f>
        <v>15.8</v>
      </c>
      <c r="AF171" s="246" t="str">
        <f>IF('WetLitterbags placem_collection'!AA172="","",'WetLitterbags placem_collection'!AA172)</f>
        <v>O</v>
      </c>
      <c r="AG171">
        <f>IF('WetLitterbags placem_collection'!AC172="","",'WetLitterbags placem_collection'!AC172)</f>
        <v>1</v>
      </c>
      <c r="AH171" s="24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placem_collection'!V172)),"YES","NO")</f>
        <v>NO</v>
      </c>
      <c r="AM171" t="str">
        <f>IF(ISNUMBER(SEARCH("H", 'WetLitterbags placem_collection'!V172)),"YES","NO")</f>
        <v>NO</v>
      </c>
      <c r="AN171" t="str">
        <f>IF(ISNUMBER(SEARCH("R", 'WetLitterbags placem_collection'!V172)),"YES","NO")</f>
        <v>NO</v>
      </c>
    </row>
    <row r="172" spans="1:40" ht="15" customHeight="1">
      <c r="A172" s="258" t="s">
        <v>2460</v>
      </c>
      <c r="B172" s="263">
        <f>'Dry_Litterbag Placem_Collection'!A173</f>
        <v>171</v>
      </c>
      <c r="C172" s="263" t="str">
        <f>'Dry_Litterbag Placem_Collection'!B173</f>
        <v>Handajega</v>
      </c>
      <c r="D172" s="263" t="s">
        <v>2460</v>
      </c>
      <c r="E172" s="263" t="s">
        <v>2661</v>
      </c>
      <c r="F172" s="263">
        <v>2</v>
      </c>
      <c r="G172" s="264" t="str">
        <f>'Dry_Litterbag Placem_Collection'!C173</f>
        <v>Wet_W2_T3</v>
      </c>
      <c r="H172" s="265" t="s">
        <v>2541</v>
      </c>
      <c r="I172" s="266" t="s">
        <v>1147</v>
      </c>
      <c r="J172" s="223" t="str">
        <f>'WetLitterbags placem_collection'!K173</f>
        <v>G656</v>
      </c>
      <c r="K172" s="225">
        <f>IFERROR(INDEX('Green_rooibos initial weight'!$C$5:$C$1749,MATCH(J172, 'Green_rooibos initial weight'!$A$5:$A$1749,0)),"")</f>
        <v>2.1320000000000001</v>
      </c>
      <c r="L172" s="225">
        <f>IFERROR(K172-(TBIcalc!$H$9+TBIcalc!$H$10),"")</f>
        <v>1.8822000000000001</v>
      </c>
      <c r="M172" s="391">
        <f>AVERAGE(Ashed_controlls!$K$2:$K$11)</f>
        <v>5.5147656768714146</v>
      </c>
      <c r="N172" s="225">
        <f t="shared" si="12"/>
        <v>1.7784010804299264</v>
      </c>
      <c r="O172" s="225">
        <f>IF(IFERROR(INDEX('Both teabags AfterWet'!$C$3:$C$841,MATCH(J172,'Both teabags AfterWet'!$A$3:$A$841,0)),"")="","",(IFERROR(INDEX('Both teabags AfterWet'!$C$3:$C$841,MATCH(J172,'Both teabags AfterWet'!$A$3:$A$841,0)),"")))</f>
        <v>0.63100000000000001</v>
      </c>
      <c r="P172" s="225">
        <f>IFERROR(IF(O172&gt;0,O172-(TBIcalc!$H$9),""),"")</f>
        <v>0.48039999999999999</v>
      </c>
      <c r="Q172" s="225">
        <f>IFERROR(INDEX('Ashed teabags wet'!$K$2:$K$821,MATCH(J172,'Ashed teabags wet'!$A$2:$A$821,0)),"")</f>
        <v>12.283308568598626</v>
      </c>
      <c r="R172" s="225">
        <f t="shared" si="16"/>
        <v>0.42139098563645216</v>
      </c>
      <c r="S172" s="226">
        <f>'WetLitterbags placem_collection'!E173</f>
        <v>42763</v>
      </c>
      <c r="T172" s="226">
        <f>IF('WetLitterbags placem_collection'!G173="","",'WetLitterbags placem_collection'!G173)</f>
        <v>42814</v>
      </c>
      <c r="U172" s="227">
        <f t="shared" si="13"/>
        <v>51</v>
      </c>
      <c r="V172" s="225">
        <f t="shared" si="14"/>
        <v>1.4018000000000002</v>
      </c>
      <c r="W172" s="225">
        <f t="shared" si="15"/>
        <v>1.3570100947934742</v>
      </c>
      <c r="X172">
        <f>IFERROR(INDEX(Rainfall_Wet!$O$2:$O$217,MATCH(B172, Rainfall_Wet!$A$2:$A$217,0)),"")</f>
        <v>181.383442621</v>
      </c>
      <c r="Y172" s="231">
        <v>23.96</v>
      </c>
      <c r="Z172" s="231">
        <v>4.9199999999999982</v>
      </c>
      <c r="AA172" s="231">
        <v>71.12</v>
      </c>
      <c r="AB172" s="232" t="s">
        <v>2670</v>
      </c>
      <c r="AC172" s="231">
        <v>5.3091375061606696</v>
      </c>
      <c r="AD172">
        <f>IF('WetLitterbags placem_collection'!AB173="","",'WetLitterbags placem_collection'!AB173)</f>
        <v>13.4</v>
      </c>
      <c r="AE172">
        <f>IF('WetLitterbags placem_collection'!Z173="","",'WetLitterbags placem_collection'!Z173)</f>
        <v>7.6</v>
      </c>
      <c r="AF172" s="246" t="str">
        <f>IF('WetLitterbags placem_collection'!AA173="","",'WetLitterbags placem_collection'!AA173)</f>
        <v>O</v>
      </c>
      <c r="AG172">
        <f>IF('WetLitterbags placem_collection'!AC173="","",'WetLitterbags placem_collection'!AC173)</f>
        <v>1</v>
      </c>
      <c r="AH172" s="24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placem_collection'!V173)),"YES","NO")</f>
        <v>NO</v>
      </c>
      <c r="AM172" t="str">
        <f>IF(ISNUMBER(SEARCH("H", 'WetLitterbags placem_collection'!V173)),"YES","NO")</f>
        <v>NO</v>
      </c>
      <c r="AN172" t="str">
        <f>IF(ISNUMBER(SEARCH("R", 'WetLitterbags placem_collection'!V173)),"YES","NO")</f>
        <v>YES</v>
      </c>
    </row>
    <row r="173" spans="1:40" ht="15" customHeight="1">
      <c r="A173" s="258" t="s">
        <v>2460</v>
      </c>
      <c r="B173" s="263">
        <f>'Dry_Litterbag Placem_Collection'!A174</f>
        <v>172</v>
      </c>
      <c r="C173" s="263" t="str">
        <f>'Dry_Litterbag Placem_Collection'!B174</f>
        <v>Handajega</v>
      </c>
      <c r="D173" s="263" t="s">
        <v>2460</v>
      </c>
      <c r="E173" s="263" t="s">
        <v>2661</v>
      </c>
      <c r="F173" s="263">
        <v>2</v>
      </c>
      <c r="G173" s="264" t="str">
        <f>'Dry_Litterbag Placem_Collection'!C174</f>
        <v>Wet_W2_T4</v>
      </c>
      <c r="H173" s="265" t="s">
        <v>2541</v>
      </c>
      <c r="I173" s="266" t="s">
        <v>1147</v>
      </c>
      <c r="J173" s="223" t="str">
        <f>'WetLitterbags placem_collection'!K174</f>
        <v>G281</v>
      </c>
      <c r="K173" s="225">
        <f>IFERROR(INDEX('Green_rooibos initial weight'!$C$5:$C$1749,MATCH(J173, 'Green_rooibos initial weight'!$A$5:$A$1749,0)),"")</f>
        <v>2.0419999999999998</v>
      </c>
      <c r="L173" s="225">
        <f>IFERROR(K173-(TBIcalc!$H$9+TBIcalc!$H$10),"")</f>
        <v>1.7921999999999998</v>
      </c>
      <c r="M173" s="391">
        <f>AVERAGE(Ashed_controlls!$K$2:$K$11)</f>
        <v>5.5147656768714146</v>
      </c>
      <c r="N173" s="225">
        <f t="shared" si="12"/>
        <v>1.6933643695391103</v>
      </c>
      <c r="O173" s="225">
        <f>IF(IFERROR(INDEX('Both teabags AfterWet'!$C$3:$C$841,MATCH(J173,'Both teabags AfterWet'!$A$3:$A$841,0)),"")="","",(IFERROR(INDEX('Both teabags AfterWet'!$C$3:$C$841,MATCH(J173,'Both teabags AfterWet'!$A$3:$A$841,0)),"")))</f>
        <v>0.69520000000000004</v>
      </c>
      <c r="P173" s="225">
        <f>IFERROR(IF(O173&gt;0,O173-(TBIcalc!$H$9),""),"")</f>
        <v>0.54459999999999997</v>
      </c>
      <c r="Q173" s="225">
        <f>IFERROR(INDEX('Ashed teabags wet'!$K$2:$K$821,MATCH(J173,'Ashed teabags wet'!$A$2:$A$821,0)),"")</f>
        <v>8.6181277860327441</v>
      </c>
      <c r="R173" s="225">
        <f t="shared" si="16"/>
        <v>0.49766567607726564</v>
      </c>
      <c r="S173" s="226">
        <f>'WetLitterbags placem_collection'!E174</f>
        <v>42763</v>
      </c>
      <c r="T173" s="226">
        <f>IF('WetLitterbags placem_collection'!G174="","",'WetLitterbags placem_collection'!G174)</f>
        <v>42814</v>
      </c>
      <c r="U173" s="227">
        <f t="shared" si="13"/>
        <v>51</v>
      </c>
      <c r="V173" s="225">
        <f t="shared" si="14"/>
        <v>1.2475999999999998</v>
      </c>
      <c r="W173" s="225">
        <f t="shared" si="15"/>
        <v>1.1956986934618445</v>
      </c>
      <c r="X173">
        <f>IFERROR(INDEX(Rainfall_Wet!$O$2:$O$217,MATCH(B173, Rainfall_Wet!$A$2:$A$217,0)),"")</f>
        <v>181.383442621</v>
      </c>
      <c r="Y173" s="231">
        <v>23.96</v>
      </c>
      <c r="Z173" s="231">
        <v>4.9199999999999982</v>
      </c>
      <c r="AA173" s="231">
        <v>71.12</v>
      </c>
      <c r="AB173" s="232" t="s">
        <v>2670</v>
      </c>
      <c r="AC173" s="231">
        <v>6.3091375061606696</v>
      </c>
      <c r="AD173">
        <f>IF('WetLitterbags placem_collection'!AB174="","",'WetLitterbags placem_collection'!AB174)</f>
        <v>3.3</v>
      </c>
      <c r="AE173">
        <f>IF('WetLitterbags placem_collection'!Z174="","",'WetLitterbags placem_collection'!Z174)</f>
        <v>28.4</v>
      </c>
      <c r="AF173" s="246" t="str">
        <f>IF('WetLitterbags placem_collection'!AA174="","",'WetLitterbags placem_collection'!AA174)</f>
        <v>G</v>
      </c>
      <c r="AG173">
        <f>IF('WetLitterbags placem_collection'!AC174="","",'WetLitterbags placem_collection'!AC174)</f>
        <v>1</v>
      </c>
      <c r="AH173" s="24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placem_collection'!V174)),"YES","NO")</f>
        <v>NO</v>
      </c>
      <c r="AM173" t="str">
        <f>IF(ISNUMBER(SEARCH("H", 'WetLitterbags placem_collection'!V174)),"YES","NO")</f>
        <v>NO</v>
      </c>
      <c r="AN173" t="str">
        <f>IF(ISNUMBER(SEARCH("R", 'WetLitterbags placem_collection'!V174)),"YES","NO")</f>
        <v>YES</v>
      </c>
    </row>
    <row r="174" spans="1:40" ht="15" customHeight="1">
      <c r="A174" s="258" t="s">
        <v>2460</v>
      </c>
      <c r="B174" s="263">
        <f>'Dry_Litterbag Placem_Collection'!A175</f>
        <v>173</v>
      </c>
      <c r="C174" s="263" t="str">
        <f>'Dry_Litterbag Placem_Collection'!B175</f>
        <v>Handajega</v>
      </c>
      <c r="D174" s="263" t="s">
        <v>2460</v>
      </c>
      <c r="E174" s="263" t="s">
        <v>2661</v>
      </c>
      <c r="F174" s="263">
        <v>2</v>
      </c>
      <c r="G174" s="264" t="str">
        <f>'Dry_Litterbag Placem_Collection'!C175</f>
        <v>Wet_W2_T5</v>
      </c>
      <c r="H174" s="265" t="s">
        <v>2541</v>
      </c>
      <c r="I174" s="266" t="s">
        <v>1147</v>
      </c>
      <c r="J174" s="223" t="str">
        <f>'WetLitterbags placem_collection'!K175</f>
        <v>G216</v>
      </c>
      <c r="K174" s="225">
        <f>IFERROR(INDEX('Green_rooibos initial weight'!$C$5:$C$1749,MATCH(J174, 'Green_rooibos initial weight'!$A$5:$A$1749,0)),"")</f>
        <v>2.1150000000000002</v>
      </c>
      <c r="L174" s="225">
        <f>IFERROR(K174-(TBIcalc!$H$9+TBIcalc!$H$10),"")</f>
        <v>1.8652000000000002</v>
      </c>
      <c r="M174" s="391">
        <f>AVERAGE(Ashed_controlls!$K$2:$K$11)</f>
        <v>5.5147656768714146</v>
      </c>
      <c r="N174" s="225">
        <f t="shared" si="12"/>
        <v>1.7623385905949946</v>
      </c>
      <c r="O174" s="225">
        <f>IF(IFERROR(INDEX('Both teabags AfterWet'!$C$3:$C$841,MATCH(J174,'Both teabags AfterWet'!$A$3:$A$841,0)),"")="","",(IFERROR(INDEX('Both teabags AfterWet'!$C$3:$C$841,MATCH(J174,'Both teabags AfterWet'!$A$3:$A$841,0)),"")))</f>
        <v>0.57999999999999996</v>
      </c>
      <c r="P174" s="225">
        <f>IFERROR(IF(O174&gt;0,O174-(TBIcalc!$H$9),""),"")</f>
        <v>0.42939999999999995</v>
      </c>
      <c r="Q174" s="225">
        <f>IFERROR(INDEX('Ashed teabags wet'!$K$2:$K$821,MATCH(J174,'Ashed teabags wet'!$A$2:$A$821,0)),"")</f>
        <v>9.4980314960627936</v>
      </c>
      <c r="R174" s="225">
        <f t="shared" si="16"/>
        <v>0.38861545275590631</v>
      </c>
      <c r="S174" s="226">
        <f>'WetLitterbags placem_collection'!E175</f>
        <v>42763</v>
      </c>
      <c r="T174" s="226">
        <f>IF('WetLitterbags placem_collection'!G175="","",'WetLitterbags placem_collection'!G175)</f>
        <v>42814</v>
      </c>
      <c r="U174" s="227">
        <f t="shared" si="13"/>
        <v>51</v>
      </c>
      <c r="V174" s="225">
        <f t="shared" si="14"/>
        <v>1.4358000000000002</v>
      </c>
      <c r="W174" s="225">
        <f t="shared" si="15"/>
        <v>1.3737231378390884</v>
      </c>
      <c r="X174">
        <f>IFERROR(INDEX(Rainfall_Wet!$O$2:$O$217,MATCH(B174, Rainfall_Wet!$A$2:$A$217,0)),"")</f>
        <v>181.383442621</v>
      </c>
      <c r="Y174" s="231">
        <v>23.96</v>
      </c>
      <c r="Z174" s="231">
        <v>4.9199999999999982</v>
      </c>
      <c r="AA174" s="231">
        <v>71.12</v>
      </c>
      <c r="AB174" s="232" t="s">
        <v>2670</v>
      </c>
      <c r="AC174" s="231">
        <v>7.3091375061606696</v>
      </c>
      <c r="AD174">
        <f>IF('WetLitterbags placem_collection'!AB175="","",'WetLitterbags placem_collection'!AB175)</f>
        <v>15.4</v>
      </c>
      <c r="AE174">
        <f>IF('WetLitterbags placem_collection'!Z175="","",'WetLitterbags placem_collection'!Z175)</f>
        <v>12.4</v>
      </c>
      <c r="AF174" s="246" t="str">
        <f>IF('WetLitterbags placem_collection'!AA175="","",'WetLitterbags placem_collection'!AA175)</f>
        <v>O</v>
      </c>
      <c r="AG174">
        <f>IF('WetLitterbags placem_collection'!AC175="","",'WetLitterbags placem_collection'!AC175)</f>
        <v>0</v>
      </c>
      <c r="AH174" s="24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placem_collection'!V175)),"YES","NO")</f>
        <v>NO</v>
      </c>
      <c r="AM174" t="str">
        <f>IF(ISNUMBER(SEARCH("H", 'WetLitterbags placem_collection'!V175)),"YES","NO")</f>
        <v>NO</v>
      </c>
      <c r="AN174" t="str">
        <f>IF(ISNUMBER(SEARCH("R", 'WetLitterbags placem_collection'!V175)),"YES","NO")</f>
        <v>YES</v>
      </c>
    </row>
    <row r="175" spans="1:40" ht="15" customHeight="1">
      <c r="A175" s="258" t="s">
        <v>2460</v>
      </c>
      <c r="B175" s="263">
        <f>'Dry_Litterbag Placem_Collection'!A176</f>
        <v>174</v>
      </c>
      <c r="C175" s="263" t="str">
        <f>'Dry_Litterbag Placem_Collection'!B176</f>
        <v>Handajega</v>
      </c>
      <c r="D175" s="263" t="s">
        <v>2460</v>
      </c>
      <c r="E175" s="263" t="s">
        <v>2661</v>
      </c>
      <c r="F175" s="263">
        <v>2</v>
      </c>
      <c r="G175" s="264" t="str">
        <f>'Dry_Litterbag Placem_Collection'!C176</f>
        <v>Wet_W2_T6</v>
      </c>
      <c r="H175" s="265" t="s">
        <v>2541</v>
      </c>
      <c r="I175" s="266" t="s">
        <v>1147</v>
      </c>
      <c r="J175" s="223" t="str">
        <f>'WetLitterbags placem_collection'!K176</f>
        <v>G655</v>
      </c>
      <c r="K175" s="225">
        <f>IFERROR(INDEX('Green_rooibos initial weight'!$C$5:$C$1749,MATCH(J175, 'Green_rooibos initial weight'!$A$5:$A$1749,0)),"")</f>
        <v>2.0009999999999999</v>
      </c>
      <c r="L175" s="225">
        <f>IFERROR(K175-(TBIcalc!$H$9+TBIcalc!$H$10),"")</f>
        <v>1.7511999999999999</v>
      </c>
      <c r="M175" s="391">
        <f>AVERAGE(Ashed_controlls!$K$2:$K$11)</f>
        <v>5.5147656768714146</v>
      </c>
      <c r="N175" s="225">
        <f t="shared" si="12"/>
        <v>1.6546254234666278</v>
      </c>
      <c r="O175" s="225">
        <f>IF(IFERROR(INDEX('Both teabags AfterWet'!$C$3:$C$841,MATCH(J175,'Both teabags AfterWet'!$A$3:$A$841,0)),"")="","",(IFERROR(INDEX('Both teabags AfterWet'!$C$3:$C$841,MATCH(J175,'Both teabags AfterWet'!$A$3:$A$841,0)),"")))</f>
        <v>0.68300000000000005</v>
      </c>
      <c r="P175" s="225">
        <f>IFERROR(IF(O175&gt;0,O175-(TBIcalc!$H$9),""),"")</f>
        <v>0.53239999999999998</v>
      </c>
      <c r="Q175" s="225">
        <f>IFERROR(INDEX('Ashed teabags wet'!$K$2:$K$821,MATCH(J175,'Ashed teabags wet'!$A$2:$A$821,0)),"")</f>
        <v>7.6961026147010658</v>
      </c>
      <c r="R175" s="225">
        <f t="shared" si="16"/>
        <v>0.49142594967933151</v>
      </c>
      <c r="S175" s="226">
        <f>'WetLitterbags placem_collection'!E176</f>
        <v>42763</v>
      </c>
      <c r="T175" s="226">
        <f>IF('WetLitterbags placem_collection'!G176="","",'WetLitterbags placem_collection'!G176)</f>
        <v>42814</v>
      </c>
      <c r="U175" s="227">
        <f t="shared" si="13"/>
        <v>51</v>
      </c>
      <c r="V175" s="225">
        <f t="shared" si="14"/>
        <v>1.2187999999999999</v>
      </c>
      <c r="W175" s="225">
        <f t="shared" si="15"/>
        <v>1.1631994737872962</v>
      </c>
      <c r="X175">
        <f>IFERROR(INDEX(Rainfall_Wet!$O$2:$O$217,MATCH(B175, Rainfall_Wet!$A$2:$A$217,0)),"")</f>
        <v>181.383442621</v>
      </c>
      <c r="Y175" s="231">
        <v>23.96</v>
      </c>
      <c r="Z175" s="231">
        <v>4.9199999999999982</v>
      </c>
      <c r="AA175" s="231">
        <v>71.12</v>
      </c>
      <c r="AB175" s="232" t="s">
        <v>2670</v>
      </c>
      <c r="AC175" s="231">
        <v>8.3091375061606705</v>
      </c>
      <c r="AD175">
        <f>IF('WetLitterbags placem_collection'!AB176="","",'WetLitterbags placem_collection'!AB176)</f>
        <v>7.4</v>
      </c>
      <c r="AE175">
        <f>IF('WetLitterbags placem_collection'!Z176="","",'WetLitterbags placem_collection'!Z176)</f>
        <v>7.4</v>
      </c>
      <c r="AF175" s="246" t="str">
        <f>IF('WetLitterbags placem_collection'!AA176="","",'WetLitterbags placem_collection'!AA176)</f>
        <v>O</v>
      </c>
      <c r="AG175">
        <f>IF('WetLitterbags placem_collection'!AC176="","",'WetLitterbags placem_collection'!AC176)</f>
        <v>0</v>
      </c>
      <c r="AH175" s="24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placem_collection'!V176)),"YES","NO")</f>
        <v>NO</v>
      </c>
      <c r="AM175" t="str">
        <f>IF(ISNUMBER(SEARCH("H", 'WetLitterbags placem_collection'!V176)),"YES","NO")</f>
        <v>NO</v>
      </c>
      <c r="AN175" t="str">
        <f>IF(ISNUMBER(SEARCH("R", 'WetLitterbags placem_collection'!V176)),"YES","NO")</f>
        <v>YES</v>
      </c>
    </row>
    <row r="176" spans="1:40" ht="15" customHeight="1">
      <c r="A176" s="258" t="s">
        <v>2460</v>
      </c>
      <c r="B176" s="263">
        <f>'Dry_Litterbag Placem_Collection'!A177</f>
        <v>175</v>
      </c>
      <c r="C176" s="263" t="str">
        <f>'Dry_Litterbag Placem_Collection'!B177</f>
        <v>Handajega</v>
      </c>
      <c r="D176" s="263" t="s">
        <v>2460</v>
      </c>
      <c r="E176" s="263" t="s">
        <v>2661</v>
      </c>
      <c r="F176" s="263">
        <v>2</v>
      </c>
      <c r="G176" s="264" t="str">
        <f>'Dry_Litterbag Placem_Collection'!C177</f>
        <v>Wet_W2_T7</v>
      </c>
      <c r="H176" s="265" t="s">
        <v>2541</v>
      </c>
      <c r="I176" s="266" t="s">
        <v>1147</v>
      </c>
      <c r="J176" s="223" t="str">
        <f>'WetLitterbags placem_collection'!K177</f>
        <v>G457</v>
      </c>
      <c r="K176" s="225">
        <f>IFERROR(INDEX('Green_rooibos initial weight'!$C$5:$C$1749,MATCH(J176, 'Green_rooibos initial weight'!$A$5:$A$1749,0)),"")</f>
        <v>2.1579999999999999</v>
      </c>
      <c r="L176" s="225">
        <f>IFERROR(K176-(TBIcalc!$H$9+TBIcalc!$H$10),"")</f>
        <v>1.9081999999999999</v>
      </c>
      <c r="M176" s="391">
        <f>AVERAGE(Ashed_controlls!$K$2:$K$11)</f>
        <v>5.5147656768714146</v>
      </c>
      <c r="N176" s="225">
        <f t="shared" si="12"/>
        <v>1.8029672413539395</v>
      </c>
      <c r="O176" s="225">
        <f>IF(IFERROR(INDEX('Both teabags AfterWet'!$C$3:$C$841,MATCH(J176,'Both teabags AfterWet'!$A$3:$A$841,0)),"")="","",(IFERROR(INDEX('Both teabags AfterWet'!$C$3:$C$841,MATCH(J176,'Both teabags AfterWet'!$A$3:$A$841,0)),"")))</f>
        <v>0.68200000000000005</v>
      </c>
      <c r="P176" s="225">
        <f>IFERROR(IF(O176&gt;0,O176-(TBIcalc!$H$9),""),"")</f>
        <v>0.53140000000000009</v>
      </c>
      <c r="Q176" s="225">
        <f>IFERROR(INDEX('Ashed teabags wet'!$K$2:$K$821,MATCH(J176,'Ashed teabags wet'!$A$2:$A$821,0)),"")</f>
        <v>9.6918489065609759</v>
      </c>
      <c r="R176" s="225">
        <f t="shared" si="16"/>
        <v>0.47989751491053506</v>
      </c>
      <c r="S176" s="226">
        <f>'WetLitterbags placem_collection'!E177</f>
        <v>42763</v>
      </c>
      <c r="T176" s="226">
        <f>IF('WetLitterbags placem_collection'!G177="","",'WetLitterbags placem_collection'!G177)</f>
        <v>42814</v>
      </c>
      <c r="U176" s="227">
        <f t="shared" si="13"/>
        <v>51</v>
      </c>
      <c r="V176" s="225">
        <f t="shared" si="14"/>
        <v>1.3767999999999998</v>
      </c>
      <c r="W176" s="225">
        <f t="shared" si="15"/>
        <v>1.3230697264434044</v>
      </c>
      <c r="X176">
        <f>IFERROR(INDEX(Rainfall_Wet!$O$2:$O$217,MATCH(B176, Rainfall_Wet!$A$2:$A$217,0)),"")</f>
        <v>181.383442621</v>
      </c>
      <c r="Y176" s="231">
        <v>23.96</v>
      </c>
      <c r="Z176" s="231">
        <v>4.9199999999999982</v>
      </c>
      <c r="AA176" s="231">
        <v>71.12</v>
      </c>
      <c r="AB176" s="232" t="s">
        <v>2670</v>
      </c>
      <c r="AC176" s="231">
        <v>9.3091375061606705</v>
      </c>
      <c r="AD176">
        <f>IF('WetLitterbags placem_collection'!AB177="","",'WetLitterbags placem_collection'!AB177)</f>
        <v>15.4</v>
      </c>
      <c r="AE176">
        <f>IF('WetLitterbags placem_collection'!Z177="","",'WetLitterbags placem_collection'!Z177)</f>
        <v>9.8000000000000007</v>
      </c>
      <c r="AF176" s="246" t="str">
        <f>IF('WetLitterbags placem_collection'!AA177="","",'WetLitterbags placem_collection'!AA177)</f>
        <v>O</v>
      </c>
      <c r="AG176">
        <f>IF('WetLitterbags placem_collection'!AC177="","",'WetLitterbags placem_collection'!AC177)</f>
        <v>1</v>
      </c>
      <c r="AH176" s="24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placem_collection'!V177)),"YES","NO")</f>
        <v>NO</v>
      </c>
      <c r="AM176" t="str">
        <f>IF(ISNUMBER(SEARCH("H", 'WetLitterbags placem_collection'!V177)),"YES","NO")</f>
        <v>NO</v>
      </c>
      <c r="AN176" t="str">
        <f>IF(ISNUMBER(SEARCH("R", 'WetLitterbags placem_collection'!V177)),"YES","NO")</f>
        <v>NO</v>
      </c>
    </row>
    <row r="177" spans="1:40" ht="15" customHeight="1">
      <c r="A177" s="258" t="s">
        <v>2460</v>
      </c>
      <c r="B177" s="263">
        <f>'Dry_Litterbag Placem_Collection'!A178</f>
        <v>176</v>
      </c>
      <c r="C177" s="263" t="str">
        <f>'Dry_Litterbag Placem_Collection'!B178</f>
        <v>Handajega</v>
      </c>
      <c r="D177" s="263" t="s">
        <v>2460</v>
      </c>
      <c r="E177" s="263" t="s">
        <v>2661</v>
      </c>
      <c r="F177" s="263">
        <v>2</v>
      </c>
      <c r="G177" s="264" t="str">
        <f>'Dry_Litterbag Placem_Collection'!C178</f>
        <v>Wet_W2_T8</v>
      </c>
      <c r="H177" s="265" t="s">
        <v>2541</v>
      </c>
      <c r="I177" s="266" t="s">
        <v>1147</v>
      </c>
      <c r="J177" s="223" t="str">
        <f>'WetLitterbags placem_collection'!K178</f>
        <v>G454</v>
      </c>
      <c r="K177" s="225">
        <f>IFERROR(INDEX('Green_rooibos initial weight'!$C$5:$C$1749,MATCH(J177, 'Green_rooibos initial weight'!$A$5:$A$1749,0)),"")</f>
        <v>2.0920000000000001</v>
      </c>
      <c r="L177" s="225">
        <f>IFERROR(K177-(TBIcalc!$H$9+TBIcalc!$H$10),"")</f>
        <v>1.8422000000000001</v>
      </c>
      <c r="M177" s="391">
        <f>AVERAGE(Ashed_controlls!$K$2:$K$11)</f>
        <v>5.5147656768714146</v>
      </c>
      <c r="N177" s="225">
        <f t="shared" si="12"/>
        <v>1.7406069867006748</v>
      </c>
      <c r="O177" s="225">
        <f>IF(IFERROR(INDEX('Both teabags AfterWet'!$C$3:$C$841,MATCH(J177,'Both teabags AfterWet'!$A$3:$A$841,0)),"")="","",(IFERROR(INDEX('Both teabags AfterWet'!$C$3:$C$841,MATCH(J177,'Both teabags AfterWet'!$A$3:$A$841,0)),"")))</f>
        <v>0.63900000000000001</v>
      </c>
      <c r="P177" s="225">
        <f>IFERROR(IF(O177&gt;0,O177-(TBIcalc!$H$9),""),"")</f>
        <v>0.4884</v>
      </c>
      <c r="Q177" s="225">
        <f>IFERROR(INDEX('Ashed teabags wet'!$K$2:$K$821,MATCH(J177,'Ashed teabags wet'!$A$2:$A$821,0)),"")</f>
        <v>10.539215686274888</v>
      </c>
      <c r="R177" s="225">
        <f t="shared" si="16"/>
        <v>0.43692647058823342</v>
      </c>
      <c r="S177" s="226">
        <f>'WetLitterbags placem_collection'!E178</f>
        <v>42763</v>
      </c>
      <c r="T177" s="226">
        <f>IF('WetLitterbags placem_collection'!G178="","",'WetLitterbags placem_collection'!G178)</f>
        <v>42814</v>
      </c>
      <c r="U177" s="227">
        <f t="shared" si="13"/>
        <v>51</v>
      </c>
      <c r="V177" s="225">
        <f t="shared" si="14"/>
        <v>1.3538000000000001</v>
      </c>
      <c r="W177" s="225">
        <f t="shared" si="15"/>
        <v>1.3036805161124414</v>
      </c>
      <c r="X177">
        <f>IFERROR(INDEX(Rainfall_Wet!$O$2:$O$217,MATCH(B177, Rainfall_Wet!$A$2:$A$217,0)),"")</f>
        <v>181.383442621</v>
      </c>
      <c r="Y177" s="231">
        <v>23.96</v>
      </c>
      <c r="Z177" s="231">
        <v>4.9199999999999982</v>
      </c>
      <c r="AA177" s="231">
        <v>71.12</v>
      </c>
      <c r="AB177" s="232" t="s">
        <v>2670</v>
      </c>
      <c r="AC177" s="231">
        <v>10.309137506160701</v>
      </c>
      <c r="AD177">
        <f>IF('WetLitterbags placem_collection'!AB178="","",'WetLitterbags placem_collection'!AB178)</f>
        <v>6.8</v>
      </c>
      <c r="AE177">
        <f>IF('WetLitterbags placem_collection'!Z178="","",'WetLitterbags placem_collection'!Z178)</f>
        <v>6.9</v>
      </c>
      <c r="AF177" s="246" t="str">
        <f>IF('WetLitterbags placem_collection'!AA178="","",'WetLitterbags placem_collection'!AA178)</f>
        <v>O</v>
      </c>
      <c r="AG177">
        <f>IF('WetLitterbags placem_collection'!AC178="","",'WetLitterbags placem_collection'!AC178)</f>
        <v>0</v>
      </c>
      <c r="AH177" s="24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placem_collection'!V178)),"YES","NO")</f>
        <v>NO</v>
      </c>
      <c r="AM177" t="str">
        <f>IF(ISNUMBER(SEARCH("H", 'WetLitterbags placem_collection'!V178)),"YES","NO")</f>
        <v>NO</v>
      </c>
      <c r="AN177" t="str">
        <f>IF(ISNUMBER(SEARCH("R", 'WetLitterbags placem_collection'!V178)),"YES","NO")</f>
        <v>NO</v>
      </c>
    </row>
    <row r="178" spans="1:40" ht="15" customHeight="1">
      <c r="A178" s="258" t="s">
        <v>2460</v>
      </c>
      <c r="B178" s="263">
        <f>'Dry_Litterbag Placem_Collection'!A179</f>
        <v>177</v>
      </c>
      <c r="C178" s="263" t="str">
        <f>'Dry_Litterbag Placem_Collection'!B179</f>
        <v>Handajega</v>
      </c>
      <c r="D178" s="263" t="s">
        <v>2460</v>
      </c>
      <c r="E178" s="263" t="s">
        <v>2661</v>
      </c>
      <c r="F178" s="263">
        <v>3</v>
      </c>
      <c r="G178" s="264" t="str">
        <f>'Dry_Litterbag Placem_Collection'!C179</f>
        <v>Wet_W3_T1</v>
      </c>
      <c r="H178" s="265" t="s">
        <v>2541</v>
      </c>
      <c r="I178" s="266" t="s">
        <v>1147</v>
      </c>
      <c r="J178" s="223" t="str">
        <f>'WetLitterbags placem_collection'!K179</f>
        <v>G362</v>
      </c>
      <c r="K178" s="225">
        <f>IFERROR(INDEX('Green_rooibos initial weight'!$C$5:$C$1749,MATCH(J178, 'Green_rooibos initial weight'!$A$5:$A$1749,0)),"")</f>
        <v>2.0659999999999998</v>
      </c>
      <c r="L178" s="225">
        <f>IFERROR(K178-(TBIcalc!$H$9+TBIcalc!$H$10),"")</f>
        <v>1.8161999999999998</v>
      </c>
      <c r="M178" s="391">
        <f>AVERAGE(Ashed_controlls!$K$2:$K$11)</f>
        <v>5.5147656768714146</v>
      </c>
      <c r="N178" s="225">
        <f t="shared" si="12"/>
        <v>1.7160408257766613</v>
      </c>
      <c r="O178" s="225">
        <f>IF(IFERROR(INDEX('Both teabags AfterWet'!$C$3:$C$841,MATCH(J178,'Both teabags AfterWet'!$A$3:$A$841,0)),"")="","",(IFERROR(INDEX('Both teabags AfterWet'!$C$3:$C$841,MATCH(J178,'Both teabags AfterWet'!$A$3:$A$841,0)),"")))</f>
        <v>0.61299999999999999</v>
      </c>
      <c r="P178" s="225">
        <f>IFERROR(IF(O178&gt;0,O178-(TBIcalc!$H$9),""),"")</f>
        <v>0.46239999999999998</v>
      </c>
      <c r="Q178" s="225">
        <f>IFERROR(INDEX('Ashed teabags wet'!$K$2:$K$821,MATCH(J178,'Ashed teabags wet'!$A$2:$A$821,0)),"")</f>
        <v>9.1395235780264326</v>
      </c>
      <c r="R178" s="225">
        <f t="shared" si="16"/>
        <v>0.42013884297520576</v>
      </c>
      <c r="S178" s="226">
        <f>'WetLitterbags placem_collection'!E179</f>
        <v>42763</v>
      </c>
      <c r="T178" s="226">
        <f>IF('WetLitterbags placem_collection'!G179="","",'WetLitterbags placem_collection'!G179)</f>
        <v>42815</v>
      </c>
      <c r="U178" s="227">
        <f t="shared" si="13"/>
        <v>52</v>
      </c>
      <c r="V178" s="225">
        <f t="shared" si="14"/>
        <v>1.3537999999999999</v>
      </c>
      <c r="W178" s="225">
        <f t="shared" si="15"/>
        <v>1.2959019828014555</v>
      </c>
      <c r="X178">
        <f>IFERROR(INDEX(Rainfall_Wet!$O$2:$O$217,MATCH(B178, Rainfall_Wet!$A$2:$A$217,0)),"")</f>
        <v>188.24043152799999</v>
      </c>
      <c r="Y178" s="231">
        <v>25.96</v>
      </c>
      <c r="Z178" s="231">
        <v>8.9200000000000017</v>
      </c>
      <c r="AA178" s="231">
        <v>65.12</v>
      </c>
      <c r="AB178" s="232" t="s">
        <v>2670</v>
      </c>
      <c r="AC178" s="231">
        <v>1.614588467225234</v>
      </c>
      <c r="AD178">
        <f>IF('WetLitterbags placem_collection'!AB179="","",'WetLitterbags placem_collection'!AB179)</f>
        <v>17.8</v>
      </c>
      <c r="AE178">
        <f>IF('WetLitterbags placem_collection'!Z179="","",'WetLitterbags placem_collection'!Z179)</f>
        <v>25.8</v>
      </c>
      <c r="AF178" s="246" t="str">
        <f>IF('WetLitterbags placem_collection'!AA179="","",'WetLitterbags placem_collection'!AA179)</f>
        <v>O</v>
      </c>
      <c r="AG178">
        <f>IF('WetLitterbags placem_collection'!AC179="","",'WetLitterbags placem_collection'!AC179)</f>
        <v>0</v>
      </c>
      <c r="AH178" s="24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placem_collection'!V179)),"YES","NO")</f>
        <v>NO</v>
      </c>
      <c r="AM178" t="str">
        <f>IF(ISNUMBER(SEARCH("H", 'WetLitterbags placem_collection'!V179)),"YES","NO")</f>
        <v>NO</v>
      </c>
      <c r="AN178" t="str">
        <f>IF(ISNUMBER(SEARCH("R", 'WetLitterbags placem_collection'!V179)),"YES","NO")</f>
        <v>NO</v>
      </c>
    </row>
    <row r="179" spans="1:40" ht="15" customHeight="1">
      <c r="A179" s="258" t="s">
        <v>2460</v>
      </c>
      <c r="B179" s="263">
        <f>'Dry_Litterbag Placem_Collection'!A180</f>
        <v>178</v>
      </c>
      <c r="C179" s="263" t="str">
        <f>'Dry_Litterbag Placem_Collection'!B180</f>
        <v>Handajega</v>
      </c>
      <c r="D179" s="263" t="s">
        <v>2460</v>
      </c>
      <c r="E179" s="263" t="s">
        <v>2661</v>
      </c>
      <c r="F179" s="263">
        <v>3</v>
      </c>
      <c r="G179" s="264" t="str">
        <f>'Dry_Litterbag Placem_Collection'!C180</f>
        <v>Wet_W3_T2</v>
      </c>
      <c r="H179" s="265" t="s">
        <v>2541</v>
      </c>
      <c r="I179" s="266" t="s">
        <v>1147</v>
      </c>
      <c r="J179" s="223" t="str">
        <f>'WetLitterbags placem_collection'!K180</f>
        <v>G781</v>
      </c>
      <c r="K179" s="225">
        <f>IFERROR(INDEX('Green_rooibos initial weight'!$C$5:$C$1749,MATCH(J179, 'Green_rooibos initial weight'!$A$5:$A$1749,0)),"")</f>
        <v>2.0920000000000001</v>
      </c>
      <c r="L179" s="225">
        <f>IFERROR(K179-(TBIcalc!$H$9+TBIcalc!$H$10),"")</f>
        <v>1.8422000000000001</v>
      </c>
      <c r="M179" s="391">
        <f>AVERAGE(Ashed_controlls!$K$2:$K$11)</f>
        <v>5.5147656768714146</v>
      </c>
      <c r="N179" s="225">
        <f t="shared" si="12"/>
        <v>1.7406069867006748</v>
      </c>
      <c r="O179" s="225">
        <f>IF(IFERROR(INDEX('Both teabags AfterWet'!$C$3:$C$841,MATCH(J179,'Both teabags AfterWet'!$A$3:$A$841,0)),"")="","",(IFERROR(INDEX('Both teabags AfterWet'!$C$3:$C$841,MATCH(J179,'Both teabags AfterWet'!$A$3:$A$841,0)),"")))</f>
        <v>0.62549999999999994</v>
      </c>
      <c r="P179" s="225">
        <f>IFERROR(IF(O179&gt;0,O179-(TBIcalc!$H$9),""),"")</f>
        <v>0.47489999999999993</v>
      </c>
      <c r="Q179" s="225">
        <f>IFERROR(INDEX('Ashed teabags wet'!$K$2:$K$821,MATCH(J179,'Ashed teabags wet'!$A$2:$A$821,0)),"")</f>
        <v>7.0843373493975461</v>
      </c>
      <c r="R179" s="225">
        <f t="shared" si="16"/>
        <v>0.441256481927711</v>
      </c>
      <c r="S179" s="226">
        <f>'WetLitterbags placem_collection'!E180</f>
        <v>42763</v>
      </c>
      <c r="T179" s="226">
        <f>IF('WetLitterbags placem_collection'!G180="","",'WetLitterbags placem_collection'!G180)</f>
        <v>42815</v>
      </c>
      <c r="U179" s="227">
        <f t="shared" si="13"/>
        <v>52</v>
      </c>
      <c r="V179" s="225">
        <f t="shared" si="14"/>
        <v>1.3673000000000002</v>
      </c>
      <c r="W179" s="225">
        <f t="shared" si="15"/>
        <v>1.2993505047729639</v>
      </c>
      <c r="X179">
        <f>IFERROR(INDEX(Rainfall_Wet!$O$2:$O$217,MATCH(B179, Rainfall_Wet!$A$2:$A$217,0)),"")</f>
        <v>188.24043152799999</v>
      </c>
      <c r="Y179" s="231">
        <v>25.96</v>
      </c>
      <c r="Z179" s="231">
        <v>8.9200000000000017</v>
      </c>
      <c r="AA179" s="231">
        <v>65.12</v>
      </c>
      <c r="AB179" s="232" t="s">
        <v>2670</v>
      </c>
      <c r="AC179" s="231">
        <v>2.61458846722523</v>
      </c>
      <c r="AD179">
        <f>IF('WetLitterbags placem_collection'!AB180="","",'WetLitterbags placem_collection'!AB180)</f>
        <v>15.4</v>
      </c>
      <c r="AE179">
        <f>IF('WetLitterbags placem_collection'!Z180="","",'WetLitterbags placem_collection'!Z180)</f>
        <v>18.8</v>
      </c>
      <c r="AF179" s="246" t="str">
        <f>IF('WetLitterbags placem_collection'!AA180="","",'WetLitterbags placem_collection'!AA180)</f>
        <v>O</v>
      </c>
      <c r="AG179">
        <f>IF('WetLitterbags placem_collection'!AC180="","",'WetLitterbags placem_collection'!AC180)</f>
        <v>1</v>
      </c>
      <c r="AH179" s="24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placem_collection'!V180)),"YES","NO")</f>
        <v>YES</v>
      </c>
      <c r="AM179" t="str">
        <f>IF(ISNUMBER(SEARCH("H", 'WetLitterbags placem_collection'!V180)),"YES","NO")</f>
        <v>YES</v>
      </c>
      <c r="AN179" t="str">
        <f>IF(ISNUMBER(SEARCH("R", 'WetLitterbags placem_collection'!V180)),"YES","NO")</f>
        <v>NO</v>
      </c>
    </row>
    <row r="180" spans="1:40" ht="15" customHeight="1">
      <c r="A180" s="258" t="s">
        <v>2460</v>
      </c>
      <c r="B180" s="263">
        <f>'Dry_Litterbag Placem_Collection'!A181</f>
        <v>179</v>
      </c>
      <c r="C180" s="263" t="str">
        <f>'Dry_Litterbag Placem_Collection'!B181</f>
        <v>Handajega</v>
      </c>
      <c r="D180" s="263" t="s">
        <v>2460</v>
      </c>
      <c r="E180" s="263" t="s">
        <v>2661</v>
      </c>
      <c r="F180" s="263">
        <v>3</v>
      </c>
      <c r="G180" s="264" t="str">
        <f>'Dry_Litterbag Placem_Collection'!C181</f>
        <v>Wet_W3_T3</v>
      </c>
      <c r="H180" s="265" t="s">
        <v>2541</v>
      </c>
      <c r="I180" s="266" t="s">
        <v>1147</v>
      </c>
      <c r="J180" s="223" t="str">
        <f>'WetLitterbags placem_collection'!K181</f>
        <v>G451</v>
      </c>
      <c r="K180" s="225">
        <f>IFERROR(INDEX('Green_rooibos initial weight'!$C$5:$C$1749,MATCH(J180, 'Green_rooibos initial weight'!$A$5:$A$1749,0)),"")</f>
        <v>2.1139999999999999</v>
      </c>
      <c r="L180" s="225">
        <f>IFERROR(K180-(TBIcalc!$H$9+TBIcalc!$H$10),"")</f>
        <v>1.8641999999999999</v>
      </c>
      <c r="M180" s="391">
        <f>AVERAGE(Ashed_controlls!$K$2:$K$11)</f>
        <v>5.5147656768714146</v>
      </c>
      <c r="N180" s="225">
        <f t="shared" si="12"/>
        <v>1.761393738251763</v>
      </c>
      <c r="O180" s="225">
        <f>IF(IFERROR(INDEX('Both teabags AfterWet'!$C$3:$C$841,MATCH(J180,'Both teabags AfterWet'!$A$3:$A$841,0)),"")="","",(IFERROR(INDEX('Both teabags AfterWet'!$C$3:$C$841,MATCH(J180,'Both teabags AfterWet'!$A$3:$A$841,0)),"")))</f>
        <v>0.60329999999999995</v>
      </c>
      <c r="P180" s="225">
        <f>IFERROR(IF(O180&gt;0,O180-(TBIcalc!$H$9),""),"")</f>
        <v>0.45269999999999994</v>
      </c>
      <c r="Q180" s="225">
        <f>IFERROR(INDEX('Ashed teabags wet'!$K$2:$K$821,MATCH(J180,'Ashed teabags wet'!$A$2:$A$821,0)),"")</f>
        <v>8.9466089466084018</v>
      </c>
      <c r="R180" s="225">
        <f t="shared" si="16"/>
        <v>0.41219870129870373</v>
      </c>
      <c r="S180" s="226">
        <f>'WetLitterbags placem_collection'!E181</f>
        <v>42763</v>
      </c>
      <c r="T180" s="226">
        <f>IF('WetLitterbags placem_collection'!G181="","",'WetLitterbags placem_collection'!G181)</f>
        <v>42815</v>
      </c>
      <c r="U180" s="227">
        <f t="shared" si="13"/>
        <v>52</v>
      </c>
      <c r="V180" s="225">
        <f t="shared" si="14"/>
        <v>1.4115</v>
      </c>
      <c r="W180" s="225">
        <f t="shared" si="15"/>
        <v>1.3491950369530592</v>
      </c>
      <c r="X180">
        <f>IFERROR(INDEX(Rainfall_Wet!$O$2:$O$217,MATCH(B180, Rainfall_Wet!$A$2:$A$217,0)),"")</f>
        <v>188.24043152799999</v>
      </c>
      <c r="Y180" s="231">
        <v>25.96</v>
      </c>
      <c r="Z180" s="231">
        <v>8.9200000000000017</v>
      </c>
      <c r="AA180" s="231">
        <v>65.12</v>
      </c>
      <c r="AB180" s="232" t="s">
        <v>2670</v>
      </c>
      <c r="AC180" s="231">
        <v>3.61458846722523</v>
      </c>
      <c r="AD180">
        <f>IF('WetLitterbags placem_collection'!AB181="","",'WetLitterbags placem_collection'!AB181)</f>
        <v>11.8</v>
      </c>
      <c r="AE180">
        <f>IF('WetLitterbags placem_collection'!Z181="","",'WetLitterbags placem_collection'!Z181)</f>
        <v>15.4</v>
      </c>
      <c r="AF180" s="246" t="str">
        <f>IF('WetLitterbags placem_collection'!AA181="","",'WetLitterbags placem_collection'!AA181)</f>
        <v>O</v>
      </c>
      <c r="AG180">
        <f>IF('WetLitterbags placem_collection'!AC181="","",'WetLitterbags placem_collection'!AC181)</f>
        <v>1</v>
      </c>
      <c r="AH180" s="24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placem_collection'!V181)),"YES","NO")</f>
        <v>NO</v>
      </c>
      <c r="AM180" t="str">
        <f>IF(ISNUMBER(SEARCH("H", 'WetLitterbags placem_collection'!V181)),"YES","NO")</f>
        <v>NO</v>
      </c>
      <c r="AN180" t="str">
        <f>IF(ISNUMBER(SEARCH("R", 'WetLitterbags placem_collection'!V181)),"YES","NO")</f>
        <v>YES</v>
      </c>
    </row>
    <row r="181" spans="1:40" ht="15" customHeight="1">
      <c r="A181" s="258" t="s">
        <v>2460</v>
      </c>
      <c r="B181" s="263">
        <f>'Dry_Litterbag Placem_Collection'!A182</f>
        <v>180</v>
      </c>
      <c r="C181" s="263" t="str">
        <f>'Dry_Litterbag Placem_Collection'!B182</f>
        <v>Handajega</v>
      </c>
      <c r="D181" s="263" t="s">
        <v>2460</v>
      </c>
      <c r="E181" s="263" t="s">
        <v>2661</v>
      </c>
      <c r="F181" s="263">
        <v>3</v>
      </c>
      <c r="G181" s="264" t="str">
        <f>'Dry_Litterbag Placem_Collection'!C182</f>
        <v>Wet_W3_T4</v>
      </c>
      <c r="H181" s="265" t="s">
        <v>2541</v>
      </c>
      <c r="I181" s="266" t="s">
        <v>1147</v>
      </c>
      <c r="J181" s="223" t="str">
        <f>'WetLitterbags placem_collection'!K182</f>
        <v>G360</v>
      </c>
      <c r="K181" s="225">
        <f>IFERROR(INDEX('Green_rooibos initial weight'!$C$5:$C$1749,MATCH(J181, 'Green_rooibos initial weight'!$A$5:$A$1749,0)),"")</f>
        <v>2.0099999999999998</v>
      </c>
      <c r="L181" s="225">
        <f>IFERROR(K181-(TBIcalc!$H$9+TBIcalc!$H$10),"")</f>
        <v>1.7601999999999998</v>
      </c>
      <c r="M181" s="391">
        <f>AVERAGE(Ashed_controlls!$K$2:$K$11)</f>
        <v>5.5147656768714146</v>
      </c>
      <c r="N181" s="225">
        <f t="shared" si="12"/>
        <v>1.6631290945557091</v>
      </c>
      <c r="O181" s="225">
        <f>IF(IFERROR(INDEX('Both teabags AfterWet'!$C$3:$C$841,MATCH(J181,'Both teabags AfterWet'!$A$3:$A$841,0)),"")="","",(IFERROR(INDEX('Both teabags AfterWet'!$C$3:$C$841,MATCH(J181,'Both teabags AfterWet'!$A$3:$A$841,0)),"")))</f>
        <v>0.62219999999999998</v>
      </c>
      <c r="P181" s="225">
        <f>IFERROR(IF(O181&gt;0,O181-(TBIcalc!$H$9),""),"")</f>
        <v>0.47159999999999996</v>
      </c>
      <c r="Q181" s="225">
        <f>IFERROR(INDEX('Ashed teabags wet'!$K$2:$K$821,MATCH(J181,'Ashed teabags wet'!$A$2:$A$821,0)),"")</f>
        <v>9.1525423728814648</v>
      </c>
      <c r="R181" s="225">
        <f t="shared" si="16"/>
        <v>0.42843661016949097</v>
      </c>
      <c r="S181" s="226">
        <f>'WetLitterbags placem_collection'!E182</f>
        <v>42763</v>
      </c>
      <c r="T181" s="226">
        <f>IF('WetLitterbags placem_collection'!G182="","",'WetLitterbags placem_collection'!G182)</f>
        <v>42815</v>
      </c>
      <c r="U181" s="227">
        <f t="shared" si="13"/>
        <v>52</v>
      </c>
      <c r="V181" s="225">
        <f t="shared" si="14"/>
        <v>1.2885999999999997</v>
      </c>
      <c r="W181" s="225">
        <f t="shared" si="15"/>
        <v>1.2346924843862181</v>
      </c>
      <c r="X181">
        <f>IFERROR(INDEX(Rainfall_Wet!$O$2:$O$217,MATCH(B181, Rainfall_Wet!$A$2:$A$217,0)),"")</f>
        <v>188.24043152799999</v>
      </c>
      <c r="Y181" s="231">
        <v>25.96</v>
      </c>
      <c r="Z181" s="231">
        <v>8.9200000000000017</v>
      </c>
      <c r="AA181" s="231">
        <v>65.12</v>
      </c>
      <c r="AB181" s="232" t="s">
        <v>2670</v>
      </c>
      <c r="AC181" s="231">
        <v>4.6145884672252304</v>
      </c>
      <c r="AD181">
        <f>IF('WetLitterbags placem_collection'!AB182="","",'WetLitterbags placem_collection'!AB182)</f>
        <v>8.3000000000000007</v>
      </c>
      <c r="AE181">
        <f>IF('WetLitterbags placem_collection'!Z182="","",'WetLitterbags placem_collection'!Z182)</f>
        <v>35</v>
      </c>
      <c r="AF181" s="246" t="str">
        <f>IF('WetLitterbags placem_collection'!AA182="","",'WetLitterbags placem_collection'!AA182)</f>
        <v>O</v>
      </c>
      <c r="AG181">
        <f>IF('WetLitterbags placem_collection'!AC182="","",'WetLitterbags placem_collection'!AC182)</f>
        <v>0</v>
      </c>
      <c r="AH181" s="24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placem_collection'!V182)),"YES","NO")</f>
        <v>NO</v>
      </c>
      <c r="AM181" t="str">
        <f>IF(ISNUMBER(SEARCH("H", 'WetLitterbags placem_collection'!V182)),"YES","NO")</f>
        <v>NO</v>
      </c>
      <c r="AN181" t="str">
        <f>IF(ISNUMBER(SEARCH("R", 'WetLitterbags placem_collection'!V182)),"YES","NO")</f>
        <v>NO</v>
      </c>
    </row>
    <row r="182" spans="1:40" ht="15" customHeight="1">
      <c r="A182" s="258" t="s">
        <v>2460</v>
      </c>
      <c r="B182" s="263">
        <f>'Dry_Litterbag Placem_Collection'!A183</f>
        <v>181</v>
      </c>
      <c r="C182" s="263" t="str">
        <f>'Dry_Litterbag Placem_Collection'!B183</f>
        <v>Handajega</v>
      </c>
      <c r="D182" s="263" t="s">
        <v>2460</v>
      </c>
      <c r="E182" s="263" t="s">
        <v>2661</v>
      </c>
      <c r="F182" s="263">
        <v>3</v>
      </c>
      <c r="G182" s="264" t="str">
        <f>'Dry_Litterbag Placem_Collection'!C183</f>
        <v>Wet_W3_T5</v>
      </c>
      <c r="H182" s="265" t="s">
        <v>2541</v>
      </c>
      <c r="I182" s="266" t="s">
        <v>1147</v>
      </c>
      <c r="J182" s="223" t="str">
        <f>'WetLitterbags placem_collection'!K183</f>
        <v>G458</v>
      </c>
      <c r="K182" s="225">
        <f>IFERROR(INDEX('Green_rooibos initial weight'!$C$5:$C$1749,MATCH(J182, 'Green_rooibos initial weight'!$A$5:$A$1749,0)),"")</f>
        <v>1.9770000000000001</v>
      </c>
      <c r="L182" s="225">
        <f>IFERROR(K182-(TBIcalc!$H$9+TBIcalc!$H$10),"")</f>
        <v>1.7272000000000001</v>
      </c>
      <c r="M182" s="391">
        <f>AVERAGE(Ashed_controlls!$K$2:$K$11)</f>
        <v>5.5147656768714146</v>
      </c>
      <c r="N182" s="225">
        <f t="shared" si="12"/>
        <v>1.631948967229077</v>
      </c>
      <c r="O182" s="225">
        <f>IF(IFERROR(INDEX('Both teabags AfterWet'!$C$3:$C$841,MATCH(J182,'Both teabags AfterWet'!$A$3:$A$841,0)),"")="","",(IFERROR(INDEX('Both teabags AfterWet'!$C$3:$C$841,MATCH(J182,'Both teabags AfterWet'!$A$3:$A$841,0)),"")))</f>
        <v>0.57499999999999996</v>
      </c>
      <c r="P182" s="225">
        <f>IFERROR(IF(O182&gt;0,O182-(TBIcalc!$H$9),""),"")</f>
        <v>0.42439999999999994</v>
      </c>
      <c r="Q182" s="225">
        <f>IFERROR(INDEX('Ashed teabags wet'!$K$2:$K$821,MATCH(J182,'Ashed teabags wet'!$A$2:$A$821,0)),"")</f>
        <v>9.1358024691352888</v>
      </c>
      <c r="R182" s="225">
        <f t="shared" si="16"/>
        <v>0.38562765432098978</v>
      </c>
      <c r="S182" s="226">
        <f>'WetLitterbags placem_collection'!E183</f>
        <v>42763</v>
      </c>
      <c r="T182" s="226">
        <f>IF('WetLitterbags placem_collection'!G183="","",'WetLitterbags placem_collection'!G183)</f>
        <v>42815</v>
      </c>
      <c r="U182" s="227">
        <f t="shared" si="13"/>
        <v>52</v>
      </c>
      <c r="V182" s="225">
        <f t="shared" si="14"/>
        <v>1.3028000000000002</v>
      </c>
      <c r="W182" s="225">
        <f t="shared" si="15"/>
        <v>1.2463213129080872</v>
      </c>
      <c r="X182">
        <f>IFERROR(INDEX(Rainfall_Wet!$O$2:$O$217,MATCH(B182, Rainfall_Wet!$A$2:$A$217,0)),"")</f>
        <v>188.24043152799999</v>
      </c>
      <c r="Y182" s="231">
        <v>25.96</v>
      </c>
      <c r="Z182" s="231">
        <v>8.9200000000000017</v>
      </c>
      <c r="AA182" s="231">
        <v>65.12</v>
      </c>
      <c r="AB182" s="232" t="s">
        <v>2670</v>
      </c>
      <c r="AC182" s="231">
        <v>5.6145884672252304</v>
      </c>
      <c r="AD182">
        <f>IF('WetLitterbags placem_collection'!AB183="","",'WetLitterbags placem_collection'!AB183)</f>
        <v>11.4</v>
      </c>
      <c r="AE182">
        <f>IF('WetLitterbags placem_collection'!Z183="","",'WetLitterbags placem_collection'!Z183)</f>
        <v>15.8</v>
      </c>
      <c r="AF182" s="246" t="str">
        <f>IF('WetLitterbags placem_collection'!AA183="","",'WetLitterbags placem_collection'!AA183)</f>
        <v>O</v>
      </c>
      <c r="AG182">
        <f>IF('WetLitterbags placem_collection'!AC183="","",'WetLitterbags placem_collection'!AC183)</f>
        <v>1</v>
      </c>
      <c r="AH182" s="24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placem_collection'!V183)),"YES","NO")</f>
        <v>NO</v>
      </c>
      <c r="AM182" t="str">
        <f>IF(ISNUMBER(SEARCH("H", 'WetLitterbags placem_collection'!V183)),"YES","NO")</f>
        <v>NO</v>
      </c>
      <c r="AN182" t="str">
        <f>IF(ISNUMBER(SEARCH("R", 'WetLitterbags placem_collection'!V183)),"YES","NO")</f>
        <v>NO</v>
      </c>
    </row>
    <row r="183" spans="1:40" ht="15" customHeight="1">
      <c r="A183" s="258" t="s">
        <v>2460</v>
      </c>
      <c r="B183" s="263">
        <f>'Dry_Litterbag Placem_Collection'!A184</f>
        <v>182</v>
      </c>
      <c r="C183" s="263" t="str">
        <f>'Dry_Litterbag Placem_Collection'!B184</f>
        <v>Handajega</v>
      </c>
      <c r="D183" s="263" t="s">
        <v>2460</v>
      </c>
      <c r="E183" s="263" t="s">
        <v>2661</v>
      </c>
      <c r="F183" s="263">
        <v>3</v>
      </c>
      <c r="G183" s="264" t="str">
        <f>'Dry_Litterbag Placem_Collection'!C184</f>
        <v>Wet_W3_T6</v>
      </c>
      <c r="H183" s="265" t="s">
        <v>2541</v>
      </c>
      <c r="I183" s="266" t="s">
        <v>1147</v>
      </c>
      <c r="J183" s="223" t="str">
        <f>'WetLitterbags placem_collection'!K184</f>
        <v>G403</v>
      </c>
      <c r="K183" s="225">
        <f>IFERROR(INDEX('Green_rooibos initial weight'!$C$5:$C$1749,MATCH(J183, 'Green_rooibos initial weight'!$A$5:$A$1749,0)),"")</f>
        <v>2.06</v>
      </c>
      <c r="L183" s="225">
        <f>IFERROR(K183-(TBIcalc!$H$9+TBIcalc!$H$10),"")</f>
        <v>1.8102</v>
      </c>
      <c r="M183" s="391">
        <f>AVERAGE(Ashed_controlls!$K$2:$K$11)</f>
        <v>5.5147656768714146</v>
      </c>
      <c r="N183" s="225">
        <f t="shared" si="12"/>
        <v>1.7103717117172736</v>
      </c>
      <c r="O183" s="225">
        <f>IF(IFERROR(INDEX('Both teabags AfterWet'!$C$3:$C$841,MATCH(J183,'Both teabags AfterWet'!$A$3:$A$841,0)),"")="","",(IFERROR(INDEX('Both teabags AfterWet'!$C$3:$C$841,MATCH(J183,'Both teabags AfterWet'!$A$3:$A$841,0)),"")))</f>
        <v>0.69440000000000002</v>
      </c>
      <c r="P183" s="225">
        <f>IFERROR(IF(O183&gt;0,O183-(TBIcalc!$H$9),""),"")</f>
        <v>0.54380000000000006</v>
      </c>
      <c r="Q183" s="225">
        <f>IFERROR(INDEX('Ashed teabags wet'!$K$2:$K$821,MATCH(J183,'Ashed teabags wet'!$A$2:$A$821,0)),"")</f>
        <v>8.8845014807495417</v>
      </c>
      <c r="R183" s="225">
        <f t="shared" si="16"/>
        <v>0.49548608094768404</v>
      </c>
      <c r="S183" s="226">
        <f>'WetLitterbags placem_collection'!E184</f>
        <v>42763</v>
      </c>
      <c r="T183" s="226">
        <f>IF('WetLitterbags placem_collection'!G184="","",'WetLitterbags placem_collection'!G184)</f>
        <v>42815</v>
      </c>
      <c r="U183" s="227">
        <f t="shared" si="13"/>
        <v>52</v>
      </c>
      <c r="V183" s="225">
        <f t="shared" si="14"/>
        <v>1.2664</v>
      </c>
      <c r="W183" s="225">
        <f t="shared" si="15"/>
        <v>1.2148856307695897</v>
      </c>
      <c r="X183">
        <f>IFERROR(INDEX(Rainfall_Wet!$O$2:$O$217,MATCH(B183, Rainfall_Wet!$A$2:$A$217,0)),"")</f>
        <v>188.24043152799999</v>
      </c>
      <c r="Y183" s="231">
        <v>25.96</v>
      </c>
      <c r="Z183" s="231">
        <v>8.9200000000000017</v>
      </c>
      <c r="AA183" s="231">
        <v>65.12</v>
      </c>
      <c r="AB183" s="232" t="s">
        <v>2670</v>
      </c>
      <c r="AC183" s="231">
        <v>6.6145884672252304</v>
      </c>
      <c r="AD183">
        <f>IF('WetLitterbags placem_collection'!AB184="","",'WetLitterbags placem_collection'!AB184)</f>
        <v>8.8000000000000007</v>
      </c>
      <c r="AE183">
        <f>IF('WetLitterbags placem_collection'!Z184="","",'WetLitterbags placem_collection'!Z184)</f>
        <v>15.8</v>
      </c>
      <c r="AF183" s="246" t="str">
        <f>IF('WetLitterbags placem_collection'!AA184="","",'WetLitterbags placem_collection'!AA184)</f>
        <v>O</v>
      </c>
      <c r="AG183">
        <f>IF('WetLitterbags placem_collection'!AC184="","",'WetLitterbags placem_collection'!AC184)</f>
        <v>1</v>
      </c>
      <c r="AH183" s="24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placem_collection'!V184)),"YES","NO")</f>
        <v>NO</v>
      </c>
      <c r="AM183" t="str">
        <f>IF(ISNUMBER(SEARCH("H", 'WetLitterbags placem_collection'!V184)),"YES","NO")</f>
        <v>YES</v>
      </c>
      <c r="AN183" t="str">
        <f>IF(ISNUMBER(SEARCH("R", 'WetLitterbags placem_collection'!V184)),"YES","NO")</f>
        <v>YES</v>
      </c>
    </row>
    <row r="184" spans="1:40" ht="15" customHeight="1">
      <c r="A184" s="258" t="s">
        <v>2460</v>
      </c>
      <c r="B184" s="263">
        <f>'Dry_Litterbag Placem_Collection'!A185</f>
        <v>183</v>
      </c>
      <c r="C184" s="263" t="str">
        <f>'Dry_Litterbag Placem_Collection'!B185</f>
        <v>Handajega</v>
      </c>
      <c r="D184" s="263" t="s">
        <v>2460</v>
      </c>
      <c r="E184" s="263" t="s">
        <v>2661</v>
      </c>
      <c r="F184" s="263">
        <v>3</v>
      </c>
      <c r="G184" s="264" t="str">
        <f>'Dry_Litterbag Placem_Collection'!C185</f>
        <v>Wet_W3_T7</v>
      </c>
      <c r="H184" s="265" t="s">
        <v>2541</v>
      </c>
      <c r="I184" s="266" t="s">
        <v>1147</v>
      </c>
      <c r="J184" s="223" t="str">
        <f>'WetLitterbags placem_collection'!K185</f>
        <v>G585</v>
      </c>
      <c r="K184" s="225">
        <f>IFERROR(INDEX('Green_rooibos initial weight'!$C$5:$C$1749,MATCH(J184, 'Green_rooibos initial weight'!$A$5:$A$1749,0)),"")</f>
        <v>2.1669999999999998</v>
      </c>
      <c r="L184" s="225">
        <f>IFERROR(K184-(TBIcalc!$H$9+TBIcalc!$H$10),"")</f>
        <v>1.9171999999999998</v>
      </c>
      <c r="M184" s="391">
        <f>AVERAGE(Ashed_controlls!$K$2:$K$11)</f>
        <v>5.5147656768714146</v>
      </c>
      <c r="N184" s="225">
        <f t="shared" si="12"/>
        <v>1.8114709124430211</v>
      </c>
      <c r="O184" s="225">
        <f>IF(IFERROR(INDEX('Both teabags AfterWet'!$C$3:$C$841,MATCH(J184,'Both teabags AfterWet'!$A$3:$A$841,0)),"")="","",(IFERROR(INDEX('Both teabags AfterWet'!$C$3:$C$841,MATCH(J184,'Both teabags AfterWet'!$A$3:$A$841,0)),"")))</f>
        <v>0.71799999999999997</v>
      </c>
      <c r="P184" s="225">
        <f>IFERROR(IF(O184&gt;0,O184-(TBIcalc!$H$9),""),"")</f>
        <v>0.5673999999999999</v>
      </c>
      <c r="Q184" s="225">
        <f>IFERROR(INDEX('Ashed teabags wet'!$K$2:$K$821,MATCH(J184,'Ashed teabags wet'!$A$2:$A$821,0)),"")</f>
        <v>10.155490767735316</v>
      </c>
      <c r="R184" s="225">
        <f t="shared" si="16"/>
        <v>0.50977774538386977</v>
      </c>
      <c r="S184" s="226">
        <f>'WetLitterbags placem_collection'!E185</f>
        <v>42763</v>
      </c>
      <c r="T184" s="226">
        <f>IF('WetLitterbags placem_collection'!G185="","",'WetLitterbags placem_collection'!G185)</f>
        <v>42815</v>
      </c>
      <c r="U184" s="227">
        <f t="shared" si="13"/>
        <v>52</v>
      </c>
      <c r="V184" s="225">
        <f t="shared" si="14"/>
        <v>1.3497999999999999</v>
      </c>
      <c r="W184" s="225">
        <f t="shared" si="15"/>
        <v>1.3016931670591512</v>
      </c>
      <c r="X184">
        <f>IFERROR(INDEX(Rainfall_Wet!$O$2:$O$217,MATCH(B184, Rainfall_Wet!$A$2:$A$217,0)),"")</f>
        <v>188.24043152799999</v>
      </c>
      <c r="Y184" s="231">
        <v>25.96</v>
      </c>
      <c r="Z184" s="231">
        <v>8.9200000000000017</v>
      </c>
      <c r="AA184" s="231">
        <v>65.12</v>
      </c>
      <c r="AB184" s="232" t="s">
        <v>2670</v>
      </c>
      <c r="AC184" s="231">
        <v>7.6145884672252304</v>
      </c>
      <c r="AD184">
        <f>IF('WetLitterbags placem_collection'!AB185="","",'WetLitterbags placem_collection'!AB185)</f>
        <v>11.4</v>
      </c>
      <c r="AE184">
        <f>IF('WetLitterbags placem_collection'!Z185="","",'WetLitterbags placem_collection'!Z185)</f>
        <v>35.799999999999997</v>
      </c>
      <c r="AF184" s="246" t="str">
        <f>IF('WetLitterbags placem_collection'!AA185="","",'WetLitterbags placem_collection'!AA185)</f>
        <v>G</v>
      </c>
      <c r="AG184">
        <f>IF('WetLitterbags placem_collection'!AC185="","",'WetLitterbags placem_collection'!AC185)</f>
        <v>1</v>
      </c>
      <c r="AH184" s="24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placem_collection'!V185)),"YES","NO")</f>
        <v>YES</v>
      </c>
      <c r="AM184" t="str">
        <f>IF(ISNUMBER(SEARCH("H", 'WetLitterbags placem_collection'!V185)),"YES","NO")</f>
        <v>NO</v>
      </c>
      <c r="AN184" t="str">
        <f>IF(ISNUMBER(SEARCH("R", 'WetLitterbags placem_collection'!V185)),"YES","NO")</f>
        <v>NO</v>
      </c>
    </row>
    <row r="185" spans="1:40" ht="15" customHeight="1">
      <c r="A185" s="258" t="s">
        <v>2460</v>
      </c>
      <c r="B185" s="263">
        <f>'Dry_Litterbag Placem_Collection'!A186</f>
        <v>184</v>
      </c>
      <c r="C185" s="263" t="str">
        <f>'Dry_Litterbag Placem_Collection'!B186</f>
        <v>Handajega</v>
      </c>
      <c r="D185" s="263" t="s">
        <v>2460</v>
      </c>
      <c r="E185" s="263" t="s">
        <v>2661</v>
      </c>
      <c r="F185" s="263">
        <v>3</v>
      </c>
      <c r="G185" s="264" t="str">
        <f>'Dry_Litterbag Placem_Collection'!C186</f>
        <v>Wet_W3_T8</v>
      </c>
      <c r="H185" s="265" t="s">
        <v>2541</v>
      </c>
      <c r="I185" s="266" t="s">
        <v>1147</v>
      </c>
      <c r="J185" s="223" t="str">
        <f>'WetLitterbags placem_collection'!K186</f>
        <v>G669</v>
      </c>
      <c r="K185" s="225">
        <f>IFERROR(INDEX('Green_rooibos initial weight'!$C$5:$C$1749,MATCH(J185, 'Green_rooibos initial weight'!$A$5:$A$1749,0)),"")</f>
        <v>1.9359999999999999</v>
      </c>
      <c r="L185" s="225">
        <f>IFERROR(K185-(TBIcalc!$H$9+TBIcalc!$H$10),"")</f>
        <v>1.6861999999999999</v>
      </c>
      <c r="M185" s="391">
        <f>AVERAGE(Ashed_controlls!$K$2:$K$11)</f>
        <v>5.5147656768714146</v>
      </c>
      <c r="N185" s="225">
        <f t="shared" si="12"/>
        <v>1.593210021156594</v>
      </c>
      <c r="O185" s="225">
        <f>IF(IFERROR(INDEX('Both teabags AfterWet'!$C$3:$C$841,MATCH(J185,'Both teabags AfterWet'!$A$3:$A$841,0)),"")="","",(IFERROR(INDEX('Both teabags AfterWet'!$C$3:$C$841,MATCH(J185,'Both teabags AfterWet'!$A$3:$A$841,0)),"")))</f>
        <v>0.7097</v>
      </c>
      <c r="P185" s="225">
        <f>IFERROR(IF(O185&gt;0,O185-(TBIcalc!$H$9),""),"")</f>
        <v>0.55909999999999993</v>
      </c>
      <c r="Q185" s="225">
        <f>IFERROR(INDEX('Ashed teabags wet'!$K$2:$K$821,MATCH(J185,'Ashed teabags wet'!$A$2:$A$821,0)),"")</f>
        <v>8.7171867261018541</v>
      </c>
      <c r="R185" s="225">
        <f t="shared" si="16"/>
        <v>0.51036220901436447</v>
      </c>
      <c r="S185" s="226">
        <f>'WetLitterbags placem_collection'!E186</f>
        <v>42763</v>
      </c>
      <c r="T185" s="226">
        <f>IF('WetLitterbags placem_collection'!G186="","",'WetLitterbags placem_collection'!G186)</f>
        <v>42815</v>
      </c>
      <c r="U185" s="227">
        <f t="shared" si="13"/>
        <v>52</v>
      </c>
      <c r="V185" s="225">
        <f t="shared" si="14"/>
        <v>1.1271</v>
      </c>
      <c r="W185" s="225">
        <f t="shared" si="15"/>
        <v>1.0828478121422296</v>
      </c>
      <c r="X185">
        <f>IFERROR(INDEX(Rainfall_Wet!$O$2:$O$217,MATCH(B185, Rainfall_Wet!$A$2:$A$217,0)),"")</f>
        <v>188.24043152799999</v>
      </c>
      <c r="Y185" s="231">
        <v>25.96</v>
      </c>
      <c r="Z185" s="231">
        <v>8.9200000000000017</v>
      </c>
      <c r="AA185" s="231">
        <v>65.12</v>
      </c>
      <c r="AB185" s="232" t="s">
        <v>2670</v>
      </c>
      <c r="AC185" s="231">
        <v>8.6145884672252304</v>
      </c>
      <c r="AD185">
        <f>IF('WetLitterbags placem_collection'!AB186="","",'WetLitterbags placem_collection'!AB186)</f>
        <v>3.7</v>
      </c>
      <c r="AE185">
        <f>IF('WetLitterbags placem_collection'!Z186="","",'WetLitterbags placem_collection'!Z186)</f>
        <v>16.399999999999999</v>
      </c>
      <c r="AF185" s="246" t="str">
        <f>IF('WetLitterbags placem_collection'!AA186="","",'WetLitterbags placem_collection'!AA186)</f>
        <v>O</v>
      </c>
      <c r="AG185">
        <f>IF('WetLitterbags placem_collection'!AC186="","",'WetLitterbags placem_collection'!AC186)</f>
        <v>0</v>
      </c>
      <c r="AH185" s="24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placem_collection'!V186)),"YES","NO")</f>
        <v>NO</v>
      </c>
      <c r="AM185" t="str">
        <f>IF(ISNUMBER(SEARCH("H", 'WetLitterbags placem_collection'!V186)),"YES","NO")</f>
        <v>NO</v>
      </c>
      <c r="AN185" t="str">
        <f>IF(ISNUMBER(SEARCH("R", 'WetLitterbags placem_collection'!V186)),"YES","NO")</f>
        <v>YES</v>
      </c>
    </row>
    <row r="186" spans="1:40" ht="15" customHeight="1">
      <c r="A186" s="258" t="s">
        <v>2460</v>
      </c>
      <c r="B186" s="263">
        <f>'Dry_Litterbag Placem_Collection'!A187</f>
        <v>185</v>
      </c>
      <c r="C186" s="263" t="str">
        <f>'Dry_Litterbag Placem_Collection'!B187</f>
        <v>Handajega</v>
      </c>
      <c r="D186" s="263" t="s">
        <v>2460</v>
      </c>
      <c r="E186" s="263" t="s">
        <v>2661</v>
      </c>
      <c r="F186" s="263">
        <v>4</v>
      </c>
      <c r="G186" s="264" t="str">
        <f>'Dry_Litterbag Placem_Collection'!C187</f>
        <v>Wet_W4_T1</v>
      </c>
      <c r="H186" s="265" t="s">
        <v>2541</v>
      </c>
      <c r="I186" s="266" t="s">
        <v>1147</v>
      </c>
      <c r="J186" s="223" t="str">
        <f>'WetLitterbags placem_collection'!K187</f>
        <v>G423</v>
      </c>
      <c r="K186" s="225">
        <f>IFERROR(INDEX('Green_rooibos initial weight'!$C$5:$C$1749,MATCH(J186, 'Green_rooibos initial weight'!$A$5:$A$1749,0)),"")</f>
        <v>2.0649999999999999</v>
      </c>
      <c r="L186" s="225">
        <f>IFERROR(K186-(TBIcalc!$H$9+TBIcalc!$H$10),"")</f>
        <v>1.8151999999999999</v>
      </c>
      <c r="M186" s="391">
        <f>AVERAGE(Ashed_controlls!$K$2:$K$11)</f>
        <v>5.5147656768714146</v>
      </c>
      <c r="N186" s="225">
        <f t="shared" si="12"/>
        <v>1.7150959734334301</v>
      </c>
      <c r="O186" s="225">
        <f>IF(IFERROR(INDEX('Both teabags AfterWet'!$C$3:$C$841,MATCH(J186,'Both teabags AfterWet'!$A$3:$A$841,0)),"")="","",(IFERROR(INDEX('Both teabags AfterWet'!$C$3:$C$841,MATCH(J186,'Both teabags AfterWet'!$A$3:$A$841,0)),"")))</f>
        <v>0.62319999999999998</v>
      </c>
      <c r="P186" s="225">
        <f>IFERROR(IF(O186&gt;0,O186-(TBIcalc!$H$9),""),"")</f>
        <v>0.47259999999999996</v>
      </c>
      <c r="Q186" s="225">
        <f>IFERROR(INDEX('Ashed teabags wet'!$K$2:$K$821,MATCH(J186,'Ashed teabags wet'!$A$2:$A$821,0)),"")</f>
        <v>9.4793713163063114</v>
      </c>
      <c r="R186" s="225">
        <f t="shared" si="16"/>
        <v>0.42780049115913632</v>
      </c>
      <c r="S186" s="226">
        <f>'WetLitterbags placem_collection'!E187</f>
        <v>42763</v>
      </c>
      <c r="T186" s="226">
        <f>IF('WetLitterbags placem_collection'!G187="","",'WetLitterbags placem_collection'!G187)</f>
        <v>42815</v>
      </c>
      <c r="U186" s="227">
        <f t="shared" si="13"/>
        <v>52</v>
      </c>
      <c r="V186" s="225">
        <f t="shared" si="14"/>
        <v>1.3426</v>
      </c>
      <c r="W186" s="225">
        <f t="shared" si="15"/>
        <v>1.2872954822742937</v>
      </c>
      <c r="X186">
        <f>IFERROR(INDEX(Rainfall_Wet!$O$2:$O$217,MATCH(B186, Rainfall_Wet!$A$2:$A$217,0)),"")</f>
        <v>188.24043152799999</v>
      </c>
      <c r="Y186" s="231">
        <v>25.96</v>
      </c>
      <c r="Z186" s="231">
        <v>8.9200000000000017</v>
      </c>
      <c r="AA186" s="231">
        <v>65.12</v>
      </c>
      <c r="AB186" s="232" t="s">
        <v>2670</v>
      </c>
      <c r="AC186" s="231">
        <v>1.6991621488417901</v>
      </c>
      <c r="AD186">
        <f>IF('WetLitterbags placem_collection'!AB187="","",'WetLitterbags placem_collection'!AB187)</f>
        <v>9.8000000000000007</v>
      </c>
      <c r="AE186">
        <f>IF('WetLitterbags placem_collection'!Z187="","",'WetLitterbags placem_collection'!Z187)</f>
        <v>29.4</v>
      </c>
      <c r="AF186" s="246" t="str">
        <f>IF('WetLitterbags placem_collection'!AA187="","",'WetLitterbags placem_collection'!AA187)</f>
        <v>O</v>
      </c>
      <c r="AG186">
        <f>IF('WetLitterbags placem_collection'!AC187="","",'WetLitterbags placem_collection'!AC187)</f>
        <v>0</v>
      </c>
      <c r="AH186" s="24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placem_collection'!V187)),"YES","NO")</f>
        <v>NO</v>
      </c>
      <c r="AM186" t="str">
        <f>IF(ISNUMBER(SEARCH("H", 'WetLitterbags placem_collection'!V187)),"YES","NO")</f>
        <v>NO</v>
      </c>
      <c r="AN186" t="str">
        <f>IF(ISNUMBER(SEARCH("R", 'WetLitterbags placem_collection'!V187)),"YES","NO")</f>
        <v>NO</v>
      </c>
    </row>
    <row r="187" spans="1:40" ht="15" customHeight="1">
      <c r="A187" s="258" t="s">
        <v>2460</v>
      </c>
      <c r="B187" s="263">
        <f>'Dry_Litterbag Placem_Collection'!A188</f>
        <v>186</v>
      </c>
      <c r="C187" s="263" t="str">
        <f>'Dry_Litterbag Placem_Collection'!B188</f>
        <v>Handajega</v>
      </c>
      <c r="D187" s="263" t="s">
        <v>2460</v>
      </c>
      <c r="E187" s="263" t="s">
        <v>2661</v>
      </c>
      <c r="F187" s="263">
        <v>4</v>
      </c>
      <c r="G187" s="264" t="str">
        <f>'Dry_Litterbag Placem_Collection'!C188</f>
        <v>Wet_W4_T2</v>
      </c>
      <c r="H187" s="265" t="s">
        <v>2541</v>
      </c>
      <c r="I187" s="266" t="s">
        <v>1147</v>
      </c>
      <c r="J187" s="223" t="str">
        <f>'WetLitterbags placem_collection'!K188</f>
        <v>G544</v>
      </c>
      <c r="K187" s="225">
        <f>IFERROR(INDEX('Green_rooibos initial weight'!$C$5:$C$1749,MATCH(J187, 'Green_rooibos initial weight'!$A$5:$A$1749,0)),"")</f>
        <v>2.0830000000000002</v>
      </c>
      <c r="L187" s="225">
        <f>IFERROR(K187-(TBIcalc!$H$9+TBIcalc!$H$10),"")</f>
        <v>1.8332000000000002</v>
      </c>
      <c r="M187" s="391">
        <f>AVERAGE(Ashed_controlls!$K$2:$K$11)</f>
        <v>5.5147656768714146</v>
      </c>
      <c r="N187" s="225">
        <f t="shared" si="12"/>
        <v>1.7321033156115935</v>
      </c>
      <c r="O187" s="225">
        <f>IF(IFERROR(INDEX('Both teabags AfterWet'!$C$3:$C$841,MATCH(J187,'Both teabags AfterWet'!$A$3:$A$841,0)),"")="","",(IFERROR(INDEX('Both teabags AfterWet'!$C$3:$C$841,MATCH(J187,'Both teabags AfterWet'!$A$3:$A$841,0)),"")))</f>
        <v>0.69</v>
      </c>
      <c r="P187" s="225">
        <f>IFERROR(IF(O187&gt;0,O187-(TBIcalc!$H$9),""),"")</f>
        <v>0.53939999999999988</v>
      </c>
      <c r="Q187" s="225">
        <f>IFERROR(INDEX('Ashed teabags wet'!$K$2:$K$821,MATCH(J187,'Ashed teabags wet'!$A$2:$A$821,0)),"")</f>
        <v>9.5401174168302578</v>
      </c>
      <c r="R187" s="225">
        <f t="shared" si="16"/>
        <v>0.48794060665361749</v>
      </c>
      <c r="S187" s="226">
        <f>'WetLitterbags placem_collection'!E188</f>
        <v>42763</v>
      </c>
      <c r="T187" s="226">
        <f>IF('WetLitterbags placem_collection'!G188="","",'WetLitterbags placem_collection'!G188)</f>
        <v>42815</v>
      </c>
      <c r="U187" s="227">
        <f t="shared" si="13"/>
        <v>52</v>
      </c>
      <c r="V187" s="225">
        <f t="shared" si="14"/>
        <v>1.2938000000000003</v>
      </c>
      <c r="W187" s="225">
        <f t="shared" si="15"/>
        <v>1.2441627089579761</v>
      </c>
      <c r="X187">
        <f>IFERROR(INDEX(Rainfall_Wet!$O$2:$O$217,MATCH(B187, Rainfall_Wet!$A$2:$A$217,0)),"")</f>
        <v>188.24043152799999</v>
      </c>
      <c r="Y187" s="231">
        <v>25.96</v>
      </c>
      <c r="Z187" s="231">
        <v>8.9200000000000017</v>
      </c>
      <c r="AA187" s="231">
        <v>65.12</v>
      </c>
      <c r="AB187" s="232" t="s">
        <v>2670</v>
      </c>
      <c r="AC187" s="231">
        <v>2.6991621488417898</v>
      </c>
      <c r="AD187">
        <f>IF('WetLitterbags placem_collection'!AB188="","",'WetLitterbags placem_collection'!AB188)</f>
        <v>11.4</v>
      </c>
      <c r="AE187">
        <f>IF('WetLitterbags placem_collection'!Z188="","",'WetLitterbags placem_collection'!Z188)</f>
        <v>45.4</v>
      </c>
      <c r="AF187" s="246" t="str">
        <f>IF('WetLitterbags placem_collection'!AA188="","",'WetLitterbags placem_collection'!AA188)</f>
        <v>O</v>
      </c>
      <c r="AG187">
        <f>IF('WetLitterbags placem_collection'!AC188="","",'WetLitterbags placem_collection'!AC188)</f>
        <v>0</v>
      </c>
      <c r="AH187" s="24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placem_collection'!V188)),"YES","NO")</f>
        <v>NO</v>
      </c>
      <c r="AM187" t="str">
        <f>IF(ISNUMBER(SEARCH("H", 'WetLitterbags placem_collection'!V188)),"YES","NO")</f>
        <v>NO</v>
      </c>
      <c r="AN187" t="str">
        <f>IF(ISNUMBER(SEARCH("R", 'WetLitterbags placem_collection'!V188)),"YES","NO")</f>
        <v>YES</v>
      </c>
    </row>
    <row r="188" spans="1:40" ht="15" customHeight="1">
      <c r="A188" s="258" t="s">
        <v>2460</v>
      </c>
      <c r="B188" s="263">
        <f>'Dry_Litterbag Placem_Collection'!A189</f>
        <v>187</v>
      </c>
      <c r="C188" s="263" t="str">
        <f>'Dry_Litterbag Placem_Collection'!B189</f>
        <v>Handajega</v>
      </c>
      <c r="D188" s="263" t="s">
        <v>2460</v>
      </c>
      <c r="E188" s="263" t="s">
        <v>2661</v>
      </c>
      <c r="F188" s="263">
        <v>4</v>
      </c>
      <c r="G188" s="264" t="str">
        <f>'Dry_Litterbag Placem_Collection'!C189</f>
        <v>Wet_W4_T3</v>
      </c>
      <c r="H188" s="265" t="s">
        <v>2541</v>
      </c>
      <c r="I188" s="266" t="s">
        <v>1147</v>
      </c>
      <c r="J188" s="223" t="str">
        <f>'WetLitterbags placem_collection'!K189</f>
        <v>G620</v>
      </c>
      <c r="K188" s="225">
        <f>IFERROR(INDEX('Green_rooibos initial weight'!$C$5:$C$1749,MATCH(J188, 'Green_rooibos initial weight'!$A$5:$A$1749,0)),"")</f>
        <v>2.0019999999999998</v>
      </c>
      <c r="L188" s="225">
        <f>IFERROR(K188-(TBIcalc!$H$9+TBIcalc!$H$10),"")</f>
        <v>1.7521999999999998</v>
      </c>
      <c r="M188" s="391">
        <f>AVERAGE(Ashed_controlls!$K$2:$K$11)</f>
        <v>5.5147656768714146</v>
      </c>
      <c r="N188" s="225">
        <f t="shared" si="12"/>
        <v>1.6555702758098589</v>
      </c>
      <c r="O188" s="225">
        <f>IF(IFERROR(INDEX('Both teabags AfterWet'!$C$3:$C$841,MATCH(J188,'Both teabags AfterWet'!$A$3:$A$841,0)),"")="","",(IFERROR(INDEX('Both teabags AfterWet'!$C$3:$C$841,MATCH(J188,'Both teabags AfterWet'!$A$3:$A$841,0)),"")))</f>
        <v>0.59950000000000003</v>
      </c>
      <c r="P188" s="225">
        <f>IFERROR(IF(O188&gt;0,O188-(TBIcalc!$H$9),""),"")</f>
        <v>0.44890000000000002</v>
      </c>
      <c r="Q188" s="225">
        <f>IFERROR(INDEX('Ashed teabags wet'!$K$2:$K$821,MATCH(J188,'Ashed teabags wet'!$A$2:$A$821,0)),"")</f>
        <v>8.6766844401358867</v>
      </c>
      <c r="R188" s="225">
        <f t="shared" si="16"/>
        <v>0.40995036354823</v>
      </c>
      <c r="S188" s="226">
        <f>'WetLitterbags placem_collection'!E189</f>
        <v>42763</v>
      </c>
      <c r="T188" s="226">
        <f>IF('WetLitterbags placem_collection'!G189="","",'WetLitterbags placem_collection'!G189)</f>
        <v>42815</v>
      </c>
      <c r="U188" s="227">
        <f t="shared" si="13"/>
        <v>52</v>
      </c>
      <c r="V188" s="225">
        <f t="shared" si="14"/>
        <v>1.3032999999999997</v>
      </c>
      <c r="W188" s="225">
        <f t="shared" si="15"/>
        <v>1.2456199122616289</v>
      </c>
      <c r="X188">
        <f>IFERROR(INDEX(Rainfall_Wet!$O$2:$O$217,MATCH(B188, Rainfall_Wet!$A$2:$A$217,0)),"")</f>
        <v>188.24043152799999</v>
      </c>
      <c r="Y188" s="231">
        <v>25.96</v>
      </c>
      <c r="Z188" s="231">
        <v>8.9200000000000017</v>
      </c>
      <c r="AA188" s="231">
        <v>65.12</v>
      </c>
      <c r="AB188" s="232" t="s">
        <v>2670</v>
      </c>
      <c r="AC188" s="231">
        <v>3.6991621488417898</v>
      </c>
      <c r="AD188">
        <f>IF('WetLitterbags placem_collection'!AB189="","",'WetLitterbags placem_collection'!AB189)</f>
        <v>0.6</v>
      </c>
      <c r="AE188">
        <f>IF('WetLitterbags placem_collection'!Z189="","",'WetLitterbags placem_collection'!Z189)</f>
        <v>39.4</v>
      </c>
      <c r="AF188" s="246" t="str">
        <f>IF('WetLitterbags placem_collection'!AA189="","",'WetLitterbags placem_collection'!AA189)</f>
        <v>O</v>
      </c>
      <c r="AG188">
        <f>IF('WetLitterbags placem_collection'!AC189="","",'WetLitterbags placem_collection'!AC189)</f>
        <v>1</v>
      </c>
      <c r="AH188" s="24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placem_collection'!V189)),"YES","NO")</f>
        <v>NO</v>
      </c>
      <c r="AM188" t="str">
        <f>IF(ISNUMBER(SEARCH("H", 'WetLitterbags placem_collection'!V189)),"YES","NO")</f>
        <v>NO</v>
      </c>
      <c r="AN188" t="str">
        <f>IF(ISNUMBER(SEARCH("R", 'WetLitterbags placem_collection'!V189)),"YES","NO")</f>
        <v>NO</v>
      </c>
    </row>
    <row r="189" spans="1:40" ht="15" customHeight="1">
      <c r="A189" s="258" t="s">
        <v>2460</v>
      </c>
      <c r="B189" s="263">
        <f>'Dry_Litterbag Placem_Collection'!A190</f>
        <v>188</v>
      </c>
      <c r="C189" s="263" t="str">
        <f>'Dry_Litterbag Placem_Collection'!B190</f>
        <v>Handajega</v>
      </c>
      <c r="D189" s="263" t="s">
        <v>2460</v>
      </c>
      <c r="E189" s="263" t="s">
        <v>2661</v>
      </c>
      <c r="F189" s="263">
        <v>4</v>
      </c>
      <c r="G189" s="264" t="str">
        <f>'Dry_Litterbag Placem_Collection'!C190</f>
        <v>Wet_W4_T4</v>
      </c>
      <c r="H189" s="265" t="s">
        <v>2541</v>
      </c>
      <c r="I189" s="266" t="s">
        <v>1147</v>
      </c>
      <c r="J189" s="223" t="str">
        <f>'WetLitterbags placem_collection'!K190</f>
        <v>G420</v>
      </c>
      <c r="K189" s="225">
        <f>IFERROR(INDEX('Green_rooibos initial weight'!$C$5:$C$1749,MATCH(J189, 'Green_rooibos initial weight'!$A$5:$A$1749,0)),"")</f>
        <v>2.0390000000000001</v>
      </c>
      <c r="L189" s="225">
        <f>IFERROR(K189-(TBIcalc!$H$9+TBIcalc!$H$10),"")</f>
        <v>1.7892000000000001</v>
      </c>
      <c r="M189" s="391">
        <f>AVERAGE(Ashed_controlls!$K$2:$K$11)</f>
        <v>5.5147656768714146</v>
      </c>
      <c r="N189" s="225">
        <f t="shared" si="12"/>
        <v>1.6905298125094168</v>
      </c>
      <c r="O189" s="225">
        <f>IF(IFERROR(INDEX('Both teabags AfterWet'!$C$3:$C$841,MATCH(J189,'Both teabags AfterWet'!$A$3:$A$841,0)),"")="","",(IFERROR(INDEX('Both teabags AfterWet'!$C$3:$C$841,MATCH(J189,'Both teabags AfterWet'!$A$3:$A$841,0)),"")))</f>
        <v>0.29980000000000001</v>
      </c>
      <c r="P189" s="225">
        <f>IFERROR(IF(O189&gt;0,O189-(TBIcalc!$H$9),""),"")</f>
        <v>0.1492</v>
      </c>
      <c r="Q189" s="225">
        <f>IFERROR(INDEX('Ashed teabags wet'!$K$2:$K$821,MATCH(J189,'Ashed teabags wet'!$A$2:$A$821,0)),"")</f>
        <v>12.313003452243912</v>
      </c>
      <c r="R189" s="225">
        <f t="shared" si="16"/>
        <v>0.13082899884925209</v>
      </c>
      <c r="S189" s="226">
        <f>'WetLitterbags placem_collection'!E190</f>
        <v>42763</v>
      </c>
      <c r="T189" s="226">
        <f>IF('WetLitterbags placem_collection'!G190="","",'WetLitterbags placem_collection'!G190)</f>
        <v>42815</v>
      </c>
      <c r="U189" s="227">
        <f t="shared" si="13"/>
        <v>52</v>
      </c>
      <c r="V189" s="225">
        <f t="shared" si="14"/>
        <v>1.6400000000000001</v>
      </c>
      <c r="W189" s="225">
        <f t="shared" si="15"/>
        <v>1.5597008136601647</v>
      </c>
      <c r="X189">
        <f>IFERROR(INDEX(Rainfall_Wet!$O$2:$O$217,MATCH(B189, Rainfall_Wet!$A$2:$A$217,0)),"")</f>
        <v>188.24043152799999</v>
      </c>
      <c r="Y189" s="231">
        <v>25.96</v>
      </c>
      <c r="Z189" s="231">
        <v>8.9200000000000017</v>
      </c>
      <c r="AA189" s="231">
        <v>65.12</v>
      </c>
      <c r="AB189" s="232" t="s">
        <v>2670</v>
      </c>
      <c r="AC189" s="231">
        <v>4.6991621488417898</v>
      </c>
      <c r="AD189">
        <f>IF('WetLitterbags placem_collection'!AB190="","",'WetLitterbags placem_collection'!AB190)</f>
        <v>2.2999999999999998</v>
      </c>
      <c r="AE189">
        <f>IF('WetLitterbags placem_collection'!Z190="","",'WetLitterbags placem_collection'!Z190)</f>
        <v>14.4</v>
      </c>
      <c r="AF189" s="246" t="str">
        <f>IF('WetLitterbags placem_collection'!AA190="","",'WetLitterbags placem_collection'!AA190)</f>
        <v>O</v>
      </c>
      <c r="AG189">
        <f>IF('WetLitterbags placem_collection'!AC190="","",'WetLitterbags placem_collection'!AC190)</f>
        <v>0</v>
      </c>
      <c r="AH189" s="24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placem_collection'!V190)),"YES","NO")</f>
        <v>NO</v>
      </c>
      <c r="AM189" t="str">
        <f>IF(ISNUMBER(SEARCH("H", 'WetLitterbags placem_collection'!V190)),"YES","NO")</f>
        <v>YES</v>
      </c>
      <c r="AN189" t="str">
        <f>IF(ISNUMBER(SEARCH("R", 'WetLitterbags placem_collection'!V190)),"YES","NO")</f>
        <v>NO</v>
      </c>
    </row>
    <row r="190" spans="1:40" ht="15" customHeight="1">
      <c r="A190" s="258" t="s">
        <v>2460</v>
      </c>
      <c r="B190" s="263">
        <f>'Dry_Litterbag Placem_Collection'!A191</f>
        <v>189</v>
      </c>
      <c r="C190" s="263" t="str">
        <f>'Dry_Litterbag Placem_Collection'!B191</f>
        <v>Handajega</v>
      </c>
      <c r="D190" s="263" t="s">
        <v>2460</v>
      </c>
      <c r="E190" s="263" t="s">
        <v>2661</v>
      </c>
      <c r="F190" s="263">
        <v>4</v>
      </c>
      <c r="G190" s="264" t="str">
        <f>'Dry_Litterbag Placem_Collection'!C191</f>
        <v>Wet_W4_T5</v>
      </c>
      <c r="H190" s="265" t="s">
        <v>2541</v>
      </c>
      <c r="I190" s="266" t="s">
        <v>1147</v>
      </c>
      <c r="J190" s="223" t="str">
        <f>'WetLitterbags placem_collection'!K191</f>
        <v>G367</v>
      </c>
      <c r="K190" s="225">
        <f>IFERROR(INDEX('Green_rooibos initial weight'!$C$5:$C$1749,MATCH(J190, 'Green_rooibos initial weight'!$A$5:$A$1749,0)),"")</f>
        <v>2.0990000000000002</v>
      </c>
      <c r="L190" s="225">
        <f>IFERROR(K190-(TBIcalc!$H$9+TBIcalc!$H$10),"")</f>
        <v>1.8492000000000002</v>
      </c>
      <c r="M190" s="391">
        <f>AVERAGE(Ashed_controlls!$K$2:$K$11)</f>
        <v>5.5147656768714146</v>
      </c>
      <c r="N190" s="225">
        <f t="shared" si="12"/>
        <v>1.7472209531032941</v>
      </c>
      <c r="O190" s="225">
        <f>IF(IFERROR(INDEX('Both teabags AfterWet'!$C$3:$C$841,MATCH(J190,'Both teabags AfterWet'!$A$3:$A$841,0)),"")="","",(IFERROR(INDEX('Both teabags AfterWet'!$C$3:$C$841,MATCH(J190,'Both teabags AfterWet'!$A$3:$A$841,0)),"")))</f>
        <v>0.80840000000000001</v>
      </c>
      <c r="P190" s="225">
        <f>IFERROR(IF(O190&gt;0,O190-(TBIcalc!$H$9),""),"")</f>
        <v>0.65779999999999994</v>
      </c>
      <c r="Q190" s="225">
        <f>IFERROR(INDEX('Ashed teabags wet'!$K$2:$K$821,MATCH(J190,'Ashed teabags wet'!$A$2:$A$821,0)),"")</f>
        <v>9.3843098311821134</v>
      </c>
      <c r="R190" s="225">
        <f t="shared" si="16"/>
        <v>0.59607000993048398</v>
      </c>
      <c r="S190" s="226">
        <f>'WetLitterbags placem_collection'!E191</f>
        <v>42763</v>
      </c>
      <c r="T190" s="226">
        <f>IF('WetLitterbags placem_collection'!G191="","",'WetLitterbags placem_collection'!G191)</f>
        <v>42815</v>
      </c>
      <c r="U190" s="227">
        <f t="shared" si="13"/>
        <v>52</v>
      </c>
      <c r="V190" s="225">
        <f t="shared" si="14"/>
        <v>1.1914000000000002</v>
      </c>
      <c r="W190" s="225">
        <f t="shared" si="15"/>
        <v>1.15115094317281</v>
      </c>
      <c r="X190">
        <f>IFERROR(INDEX(Rainfall_Wet!$O$2:$O$217,MATCH(B190, Rainfall_Wet!$A$2:$A$217,0)),"")</f>
        <v>188.24043152799999</v>
      </c>
      <c r="Y190" s="231">
        <v>25.96</v>
      </c>
      <c r="Z190" s="231">
        <v>8.9200000000000017</v>
      </c>
      <c r="AA190" s="231">
        <v>65.12</v>
      </c>
      <c r="AB190" s="232" t="s">
        <v>2670</v>
      </c>
      <c r="AC190" s="231">
        <v>5.6991621488417898</v>
      </c>
      <c r="AD190">
        <f>IF('WetLitterbags placem_collection'!AB191="","",'WetLitterbags placem_collection'!AB191)</f>
        <v>0.6</v>
      </c>
      <c r="AE190">
        <f>IF('WetLitterbags placem_collection'!Z191="","",'WetLitterbags placem_collection'!Z191)</f>
        <v>7</v>
      </c>
      <c r="AF190" s="246" t="str">
        <f>IF('WetLitterbags placem_collection'!AA191="","",'WetLitterbags placem_collection'!AA191)</f>
        <v>O</v>
      </c>
      <c r="AG190">
        <f>IF('WetLitterbags placem_collection'!AC191="","",'WetLitterbags placem_collection'!AC191)</f>
        <v>1</v>
      </c>
      <c r="AH190" s="24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placem_collection'!V191)),"YES","NO")</f>
        <v>YES</v>
      </c>
      <c r="AM190" t="str">
        <f>IF(ISNUMBER(SEARCH("H", 'WetLitterbags placem_collection'!V191)),"YES","NO")</f>
        <v>NO</v>
      </c>
      <c r="AN190" t="str">
        <f>IF(ISNUMBER(SEARCH("R", 'WetLitterbags placem_collection'!V191)),"YES","NO")</f>
        <v>YES</v>
      </c>
    </row>
    <row r="191" spans="1:40" ht="15" customHeight="1">
      <c r="A191" s="258" t="s">
        <v>2460</v>
      </c>
      <c r="B191" s="263">
        <f>'Dry_Litterbag Placem_Collection'!A192</f>
        <v>190</v>
      </c>
      <c r="C191" s="263" t="str">
        <f>'Dry_Litterbag Placem_Collection'!B192</f>
        <v>Handajega</v>
      </c>
      <c r="D191" s="263" t="s">
        <v>2460</v>
      </c>
      <c r="E191" s="263" t="s">
        <v>2661</v>
      </c>
      <c r="F191" s="263">
        <v>4</v>
      </c>
      <c r="G191" s="264" t="str">
        <f>'Dry_Litterbag Placem_Collection'!C192</f>
        <v>Wet_W4_T6</v>
      </c>
      <c r="H191" s="265" t="s">
        <v>2541</v>
      </c>
      <c r="I191" s="266" t="s">
        <v>1147</v>
      </c>
      <c r="J191" s="223" t="str">
        <f>'WetLitterbags placem_collection'!K192</f>
        <v>G526</v>
      </c>
      <c r="K191" s="225">
        <f>IFERROR(INDEX('Green_rooibos initial weight'!$C$5:$C$1749,MATCH(J191, 'Green_rooibos initial weight'!$A$5:$A$1749,0)),"")</f>
        <v>2.0760000000000001</v>
      </c>
      <c r="L191" s="225">
        <f>IFERROR(K191-(TBIcalc!$H$9+TBIcalc!$H$10),"")</f>
        <v>1.8262</v>
      </c>
      <c r="M191" s="391">
        <f>AVERAGE(Ashed_controlls!$K$2:$K$11)</f>
        <v>5.5147656768714146</v>
      </c>
      <c r="N191" s="225">
        <f t="shared" si="12"/>
        <v>1.7254893492089742</v>
      </c>
      <c r="O191" s="225">
        <f>IF(IFERROR(INDEX('Both teabags AfterWet'!$C$3:$C$841,MATCH(J191,'Both teabags AfterWet'!$A$3:$A$841,0)),"")="","",(IFERROR(INDEX('Both teabags AfterWet'!$C$3:$C$841,MATCH(J191,'Both teabags AfterWet'!$A$3:$A$841,0)),"")))</f>
        <v>0.61960000000000004</v>
      </c>
      <c r="P191" s="225">
        <f>IFERROR(IF(O191&gt;0,O191-(TBIcalc!$H$9),""),"")</f>
        <v>0.46900000000000003</v>
      </c>
      <c r="Q191" s="225">
        <f>IFERROR(INDEX('Ashed teabags wet'!$K$2:$K$821,MATCH(J191,'Ashed teabags wet'!$A$2:$A$821,0)),"")</f>
        <v>9.78043912175667</v>
      </c>
      <c r="R191" s="225">
        <f t="shared" si="16"/>
        <v>0.42312974051896124</v>
      </c>
      <c r="S191" s="226">
        <f>'WetLitterbags placem_collection'!E192</f>
        <v>42763</v>
      </c>
      <c r="T191" s="226">
        <f>IF('WetLitterbags placem_collection'!G192="","",'WetLitterbags placem_collection'!G192)</f>
        <v>42815</v>
      </c>
      <c r="U191" s="227">
        <f t="shared" si="13"/>
        <v>52</v>
      </c>
      <c r="V191" s="225">
        <f t="shared" si="14"/>
        <v>1.3572</v>
      </c>
      <c r="W191" s="225">
        <f t="shared" si="15"/>
        <v>1.3023596086900131</v>
      </c>
      <c r="X191">
        <f>IFERROR(INDEX(Rainfall_Wet!$O$2:$O$217,MATCH(B191, Rainfall_Wet!$A$2:$A$217,0)),"")</f>
        <v>188.24043152799999</v>
      </c>
      <c r="Y191" s="231">
        <v>25.96</v>
      </c>
      <c r="Z191" s="231">
        <v>8.9200000000000017</v>
      </c>
      <c r="AA191" s="231">
        <v>65.12</v>
      </c>
      <c r="AB191" s="232" t="s">
        <v>2670</v>
      </c>
      <c r="AC191" s="231">
        <v>6.6991621488417898</v>
      </c>
      <c r="AD191">
        <f>IF('WetLitterbags placem_collection'!AB192="","",'WetLitterbags placem_collection'!AB192)</f>
        <v>9.5</v>
      </c>
      <c r="AE191">
        <f>IF('WetLitterbags placem_collection'!Z192="","",'WetLitterbags placem_collection'!Z192)</f>
        <v>17.399999999999999</v>
      </c>
      <c r="AF191" s="246" t="str">
        <f>IF('WetLitterbags placem_collection'!AA192="","",'WetLitterbags placem_collection'!AA192)</f>
        <v>O</v>
      </c>
      <c r="AG191">
        <f>IF('WetLitterbags placem_collection'!AC192="","",'WetLitterbags placem_collection'!AC192)</f>
        <v>0</v>
      </c>
      <c r="AH191" s="24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placem_collection'!V192)),"YES","NO")</f>
        <v>NO</v>
      </c>
      <c r="AM191" t="str">
        <f>IF(ISNUMBER(SEARCH("H", 'WetLitterbags placem_collection'!V192)),"YES","NO")</f>
        <v>NO</v>
      </c>
      <c r="AN191" t="str">
        <f>IF(ISNUMBER(SEARCH("R", 'WetLitterbags placem_collection'!V192)),"YES","NO")</f>
        <v>NO</v>
      </c>
    </row>
    <row r="192" spans="1:40" ht="15" customHeight="1">
      <c r="A192" s="258" t="s">
        <v>2460</v>
      </c>
      <c r="B192" s="263">
        <f>'Dry_Litterbag Placem_Collection'!A193</f>
        <v>191</v>
      </c>
      <c r="C192" s="263" t="str">
        <f>'Dry_Litterbag Placem_Collection'!B193</f>
        <v>Handajega</v>
      </c>
      <c r="D192" s="263" t="s">
        <v>2460</v>
      </c>
      <c r="E192" s="263" t="s">
        <v>2661</v>
      </c>
      <c r="F192" s="263">
        <v>4</v>
      </c>
      <c r="G192" s="264" t="str">
        <f>'Dry_Litterbag Placem_Collection'!C193</f>
        <v>Wet_W4_T7</v>
      </c>
      <c r="H192" s="265" t="s">
        <v>2541</v>
      </c>
      <c r="I192" s="266" t="s">
        <v>1147</v>
      </c>
      <c r="J192" s="223" t="str">
        <f>'WetLitterbags placem_collection'!K193</f>
        <v>G522</v>
      </c>
      <c r="K192" s="225">
        <f>IFERROR(INDEX('Green_rooibos initial weight'!$C$5:$C$1749,MATCH(J192, 'Green_rooibos initial weight'!$A$5:$A$1749,0)),"")</f>
        <v>1.821</v>
      </c>
      <c r="L192" s="225">
        <f>IFERROR(K192-(TBIcalc!$H$9+TBIcalc!$H$10),"")</f>
        <v>1.5711999999999999</v>
      </c>
      <c r="M192" s="391">
        <f>AVERAGE(Ashed_controlls!$K$2:$K$11)</f>
        <v>5.5147656768714146</v>
      </c>
      <c r="N192" s="225">
        <f t="shared" si="12"/>
        <v>1.4845520016849962</v>
      </c>
      <c r="O192" s="225">
        <f>IF(IFERROR(INDEX('Both teabags AfterWet'!$C$3:$C$841,MATCH(J192,'Both teabags AfterWet'!$A$3:$A$841,0)),"")="","",(IFERROR(INDEX('Both teabags AfterWet'!$C$3:$C$841,MATCH(J192,'Both teabags AfterWet'!$A$3:$A$841,0)),"")))</f>
        <v>0.628</v>
      </c>
      <c r="P192" s="225">
        <f>IFERROR(IF(O192&gt;0,O192-(TBIcalc!$H$9),""),"")</f>
        <v>0.47739999999999999</v>
      </c>
      <c r="Q192" s="225">
        <f>IFERROR(INDEX('Ashed teabags wet'!$K$2:$K$821,MATCH(J192,'Ashed teabags wet'!$A$2:$A$821,0)),"")</f>
        <v>9.2361457813275862</v>
      </c>
      <c r="R192" s="225">
        <f t="shared" si="16"/>
        <v>0.43330664003994213</v>
      </c>
      <c r="S192" s="226">
        <f>'WetLitterbags placem_collection'!E193</f>
        <v>42763</v>
      </c>
      <c r="T192" s="226">
        <f>IF('WetLitterbags placem_collection'!G193="","",'WetLitterbags placem_collection'!G193)</f>
        <v>42815</v>
      </c>
      <c r="U192" s="227">
        <f t="shared" si="13"/>
        <v>52</v>
      </c>
      <c r="V192" s="225">
        <f t="shared" si="14"/>
        <v>1.0937999999999999</v>
      </c>
      <c r="W192" s="225">
        <f t="shared" si="15"/>
        <v>1.0512453616450541</v>
      </c>
      <c r="X192">
        <f>IFERROR(INDEX(Rainfall_Wet!$O$2:$O$217,MATCH(B192, Rainfall_Wet!$A$2:$A$217,0)),"")</f>
        <v>188.24043152799999</v>
      </c>
      <c r="Y192" s="231">
        <v>25.96</v>
      </c>
      <c r="Z192" s="231">
        <v>8.9200000000000017</v>
      </c>
      <c r="AA192" s="231">
        <v>65.12</v>
      </c>
      <c r="AB192" s="232" t="s">
        <v>2670</v>
      </c>
      <c r="AC192" s="231">
        <v>7.6991621488417898</v>
      </c>
      <c r="AD192">
        <f>IF('WetLitterbags placem_collection'!AB193="","",'WetLitterbags placem_collection'!AB193)</f>
        <v>12.4</v>
      </c>
      <c r="AE192">
        <f>IF('WetLitterbags placem_collection'!Z193="","",'WetLitterbags placem_collection'!Z193)</f>
        <v>29.8</v>
      </c>
      <c r="AF192" s="246" t="str">
        <f>IF('WetLitterbags placem_collection'!AA193="","",'WetLitterbags placem_collection'!AA193)</f>
        <v>O</v>
      </c>
      <c r="AG192">
        <f>IF('WetLitterbags placem_collection'!AC193="","",'WetLitterbags placem_collection'!AC193)</f>
        <v>0</v>
      </c>
      <c r="AH192" s="24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placem_collection'!V193)),"YES","NO")</f>
        <v>NO</v>
      </c>
      <c r="AM192" t="str">
        <f>IF(ISNUMBER(SEARCH("H", 'WetLitterbags placem_collection'!V193)),"YES","NO")</f>
        <v>NO</v>
      </c>
      <c r="AN192" t="str">
        <f>IF(ISNUMBER(SEARCH("R", 'WetLitterbags placem_collection'!V193)),"YES","NO")</f>
        <v>NO</v>
      </c>
    </row>
    <row r="193" spans="1:40" ht="15" customHeight="1">
      <c r="A193" s="258" t="s">
        <v>2460</v>
      </c>
      <c r="B193" s="263">
        <f>'Dry_Litterbag Placem_Collection'!A194</f>
        <v>192</v>
      </c>
      <c r="C193" s="263" t="str">
        <f>'Dry_Litterbag Placem_Collection'!B194</f>
        <v>Handajega</v>
      </c>
      <c r="D193" s="263" t="s">
        <v>2460</v>
      </c>
      <c r="E193" s="263" t="s">
        <v>2661</v>
      </c>
      <c r="F193" s="263">
        <v>4</v>
      </c>
      <c r="G193" s="264" t="str">
        <f>'Dry_Litterbag Placem_Collection'!C194</f>
        <v>Wet_W4_T8</v>
      </c>
      <c r="H193" s="265" t="s">
        <v>2541</v>
      </c>
      <c r="I193" s="266" t="s">
        <v>1147</v>
      </c>
      <c r="J193" s="223" t="str">
        <f>'WetLitterbags placem_collection'!K194</f>
        <v>G591</v>
      </c>
      <c r="K193" s="225">
        <f>IFERROR(INDEX('Green_rooibos initial weight'!$C$5:$C$1749,MATCH(J193, 'Green_rooibos initial weight'!$A$5:$A$1749,0)),"")</f>
        <v>2.0920000000000001</v>
      </c>
      <c r="L193" s="225">
        <f>IFERROR(K193-(TBIcalc!$H$9+TBIcalc!$H$10),"")</f>
        <v>1.8422000000000001</v>
      </c>
      <c r="M193" s="391">
        <f>AVERAGE(Ashed_controlls!$K$2:$K$11)</f>
        <v>5.5147656768714146</v>
      </c>
      <c r="N193" s="225">
        <f t="shared" si="12"/>
        <v>1.7406069867006748</v>
      </c>
      <c r="O193" s="225">
        <f>IF(IFERROR(INDEX('Both teabags AfterWet'!$C$3:$C$841,MATCH(J193,'Both teabags AfterWet'!$A$3:$A$841,0)),"")="","",(IFERROR(INDEX('Both teabags AfterWet'!$C$3:$C$841,MATCH(J193,'Both teabags AfterWet'!$A$3:$A$841,0)),"")))</f>
        <v>0.66100000000000003</v>
      </c>
      <c r="P193" s="225">
        <f>IFERROR(IF(O193&gt;0,O193-(TBIcalc!$H$9),""),"")</f>
        <v>0.51039999999999996</v>
      </c>
      <c r="Q193" s="225">
        <f>IFERROR(INDEX('Ashed teabags wet'!$K$2:$K$821,MATCH(J193,'Ashed teabags wet'!$A$2:$A$821,0)),"")</f>
        <v>10.322580645161365</v>
      </c>
      <c r="R193" s="225">
        <f t="shared" si="16"/>
        <v>0.45771354838709638</v>
      </c>
      <c r="S193" s="226">
        <f>'WetLitterbags placem_collection'!E194</f>
        <v>42763</v>
      </c>
      <c r="T193" s="226">
        <f>IF('WetLitterbags placem_collection'!G194="","",'WetLitterbags placem_collection'!G194)</f>
        <v>42815</v>
      </c>
      <c r="U193" s="227">
        <f t="shared" si="13"/>
        <v>52</v>
      </c>
      <c r="V193" s="225">
        <f t="shared" si="14"/>
        <v>1.3318000000000001</v>
      </c>
      <c r="W193" s="225">
        <f t="shared" si="15"/>
        <v>1.2828934383135784</v>
      </c>
      <c r="X193">
        <f>IFERROR(INDEX(Rainfall_Wet!$O$2:$O$217,MATCH(B193, Rainfall_Wet!$A$2:$A$217,0)),"")</f>
        <v>188.24043152799999</v>
      </c>
      <c r="Y193" s="231">
        <v>25.96</v>
      </c>
      <c r="Z193" s="231">
        <v>8.9200000000000017</v>
      </c>
      <c r="AA193" s="231">
        <v>65.12</v>
      </c>
      <c r="AB193" s="232" t="s">
        <v>2670</v>
      </c>
      <c r="AC193" s="231">
        <v>8.6991621488417898</v>
      </c>
      <c r="AD193">
        <f>IF('WetLitterbags placem_collection'!AB194="","",'WetLitterbags placem_collection'!AB194)</f>
        <v>3.6</v>
      </c>
      <c r="AE193">
        <f>IF('WetLitterbags placem_collection'!Z194="","",'WetLitterbags placem_collection'!Z194)</f>
        <v>37.799999999999997</v>
      </c>
      <c r="AF193" s="246" t="str">
        <f>IF('WetLitterbags placem_collection'!AA194="","",'WetLitterbags placem_collection'!AA194)</f>
        <v>O</v>
      </c>
      <c r="AG193">
        <f>IF('WetLitterbags placem_collection'!AC194="","",'WetLitterbags placem_collection'!AC194)</f>
        <v>0</v>
      </c>
      <c r="AH193" s="24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placem_collection'!V194)),"YES","NO")</f>
        <v>NO</v>
      </c>
      <c r="AM193" t="str">
        <f>IF(ISNUMBER(SEARCH("H", 'WetLitterbags placem_collection'!V194)),"YES","NO")</f>
        <v>NO</v>
      </c>
      <c r="AN193" t="str">
        <f>IF(ISNUMBER(SEARCH("R", 'WetLitterbags placem_collection'!V194)),"YES","NO")</f>
        <v>NO</v>
      </c>
    </row>
    <row r="194" spans="1:40" ht="15" customHeight="1">
      <c r="A194" s="258" t="s">
        <v>2460</v>
      </c>
      <c r="B194" s="263">
        <f>'Dry_Litterbag Placem_Collection'!A195</f>
        <v>193</v>
      </c>
      <c r="C194" s="263" t="str">
        <f>'Dry_Litterbag Placem_Collection'!B195</f>
        <v>Makao</v>
      </c>
      <c r="D194" s="263" t="s">
        <v>2659</v>
      </c>
      <c r="E194" s="263" t="s">
        <v>2526</v>
      </c>
      <c r="F194" s="263">
        <v>4</v>
      </c>
      <c r="G194" s="264" t="str">
        <f>'Dry_Litterbag Placem_Collection'!C195</f>
        <v>Dry_Ag1_CG4</v>
      </c>
      <c r="H194" s="265" t="s">
        <v>2541</v>
      </c>
      <c r="I194" s="266" t="s">
        <v>1147</v>
      </c>
      <c r="J194" s="223" t="str">
        <f>'WetLitterbags placem_collection'!K195</f>
        <v>G863</v>
      </c>
      <c r="K194" s="225">
        <f>IFERROR(INDEX('Green_rooibos initial weight'!$C$5:$C$1749,MATCH(J194, 'Green_rooibos initial weight'!$A$5:$A$1749,0)),"")</f>
        <v>2.0230000000000001</v>
      </c>
      <c r="L194" s="225">
        <f>IFERROR(K194-(TBIcalc!$H$9+TBIcalc!$H$10),"")</f>
        <v>1.7732000000000001</v>
      </c>
      <c r="M194" s="391">
        <f>AVERAGE(Ashed_controlls!$K$2:$K$11)</f>
        <v>5.5147656768714146</v>
      </c>
      <c r="N194" s="225">
        <f t="shared" si="12"/>
        <v>1.6754121750177162</v>
      </c>
      <c r="O194" s="225">
        <f>IF(IFERROR(INDEX('Both teabags AfterWet'!$C$3:$C$841,MATCH(J194,'Both teabags AfterWet'!$A$3:$A$841,0)),"")="","",(IFERROR(INDEX('Both teabags AfterWet'!$C$3:$C$841,MATCH(J194,'Both teabags AfterWet'!$A$3:$A$841,0)),"")))</f>
        <v>0.64890000000000003</v>
      </c>
      <c r="P194" s="225">
        <f>IFERROR(IF(O194&gt;0,O194-(TBIcalc!$H$9),""),"")</f>
        <v>0.49830000000000002</v>
      </c>
      <c r="Q194" s="225">
        <f>IFERROR(INDEX('Ashed teabags wet'!$K$2:$K$821,MATCH(J194,'Ashed teabags wet'!$A$2:$A$821,0)),"")</f>
        <v>8.2238442822379554</v>
      </c>
      <c r="R194" s="225">
        <f t="shared" si="16"/>
        <v>0.45732058394160829</v>
      </c>
      <c r="S194" s="226">
        <f>'WetLitterbags placem_collection'!E195</f>
        <v>42769</v>
      </c>
      <c r="T194" s="226">
        <f>IF('WetLitterbags placem_collection'!G195="","",'WetLitterbags placem_collection'!G195)</f>
        <v>42813</v>
      </c>
      <c r="U194" s="227">
        <f t="shared" si="13"/>
        <v>44</v>
      </c>
      <c r="V194" s="225">
        <f t="shared" si="14"/>
        <v>1.2749000000000001</v>
      </c>
      <c r="W194" s="225">
        <f t="shared" si="15"/>
        <v>1.2180915910761079</v>
      </c>
      <c r="X194">
        <f>IFERROR(INDEX(Rainfall_Wet!$O$2:$O$217,MATCH(B194, Rainfall_Wet!$A$2:$A$217,0)),"")</f>
        <v>175.054685654</v>
      </c>
      <c r="Y194" s="231">
        <v>12.565665055683967</v>
      </c>
      <c r="Z194" s="231">
        <v>0.9665896196679955</v>
      </c>
      <c r="AA194" s="231">
        <v>86.467745324648035</v>
      </c>
      <c r="AB194" s="232" t="s">
        <v>2672</v>
      </c>
      <c r="AC194" s="231">
        <v>1.0225726959093147</v>
      </c>
      <c r="AD194">
        <f>IF('WetLitterbags placem_collection'!AB195="","",'WetLitterbags placem_collection'!AB195)</f>
        <v>15.2</v>
      </c>
      <c r="AE194">
        <f>IF('WetLitterbags placem_collection'!Z195="","",'WetLitterbags placem_collection'!Z195)</f>
        <v>12.2</v>
      </c>
      <c r="AF194" s="246" t="str">
        <f>IF('WetLitterbags placem_collection'!AA195="","",'WetLitterbags placem_collection'!AA195)</f>
        <v>O</v>
      </c>
      <c r="AG194">
        <f>IF('WetLitterbags placem_collection'!AC195="","",'WetLitterbags placem_collection'!AC195)</f>
        <v>1</v>
      </c>
      <c r="AH194" s="24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placem_collection'!V195)),"YES","NO")</f>
        <v>NO</v>
      </c>
      <c r="AM194" t="str">
        <f>IF(ISNUMBER(SEARCH("H", 'WetLitterbags placem_collection'!V195)),"YES","NO")</f>
        <v>NO</v>
      </c>
      <c r="AN194" t="str">
        <f>IF(ISNUMBER(SEARCH("R", 'WetLitterbags placem_collection'!V195)),"YES","NO")</f>
        <v>YES</v>
      </c>
    </row>
    <row r="195" spans="1:40" ht="15" customHeight="1">
      <c r="A195" s="258" t="s">
        <v>2460</v>
      </c>
      <c r="B195" s="263">
        <f>'Dry_Litterbag Placem_Collection'!A196</f>
        <v>194</v>
      </c>
      <c r="C195" s="263" t="str">
        <f>'Dry_Litterbag Placem_Collection'!B196</f>
        <v>Makao</v>
      </c>
      <c r="D195" s="263" t="s">
        <v>2659</v>
      </c>
      <c r="E195" s="263" t="s">
        <v>2526</v>
      </c>
      <c r="F195" s="263">
        <v>3</v>
      </c>
      <c r="G195" s="264" t="str">
        <f>'Dry_Litterbag Placem_Collection'!C196</f>
        <v>Dry_Ag2_CG3</v>
      </c>
      <c r="H195" s="265" t="s">
        <v>2541</v>
      </c>
      <c r="I195" s="266" t="s">
        <v>1147</v>
      </c>
      <c r="J195" s="223" t="str">
        <f>'WetLitterbags placem_collection'!K196</f>
        <v>G615</v>
      </c>
      <c r="K195" s="225">
        <f>IFERROR(INDEX('Green_rooibos initial weight'!$C$5:$C$1749,MATCH(J195, 'Green_rooibos initial weight'!$A$5:$A$1749,0)),"")</f>
        <v>1.9630000000000001</v>
      </c>
      <c r="L195" s="225">
        <f>IFERROR(K195-(TBIcalc!$H$9+TBIcalc!$H$10),"")</f>
        <v>1.7132000000000001</v>
      </c>
      <c r="M195" s="391">
        <f>AVERAGE(Ashed_controlls!$K$2:$K$11)</f>
        <v>5.5147656768714146</v>
      </c>
      <c r="N195" s="225">
        <f t="shared" ref="N195:N258" si="17">IFERROR(L195-(M195/100)*L195,"")</f>
        <v>1.618721034423839</v>
      </c>
      <c r="O195" s="225" t="str">
        <f>IF(IFERROR(INDEX('Both teabags AfterWet'!$C$3:$C$841,MATCH(J195,'Both teabags AfterWet'!$A$3:$A$841,0)),"")="","",(IFERROR(INDEX('Both teabags AfterWet'!$C$3:$C$841,MATCH(J195,'Both teabags AfterWet'!$A$3:$A$841,0)),"")))</f>
        <v/>
      </c>
      <c r="P195" s="225" t="str">
        <f>IFERROR(IF(O195&gt;0,O195-(TBIcalc!$H$9),""),"")</f>
        <v/>
      </c>
      <c r="Q195" s="225">
        <f>IFERROR(INDEX('Ashed teabags wet'!$K$2:$K$821,MATCH(J195,'Ashed teabags wet'!$A$2:$A$821,0)),"")</f>
        <v>11.187777230163009</v>
      </c>
      <c r="R195" s="225" t="str">
        <f t="shared" si="16"/>
        <v/>
      </c>
      <c r="S195" s="226">
        <f>'WetLitterbags placem_collection'!E196</f>
        <v>42769</v>
      </c>
      <c r="T195" s="226">
        <f>IF('WetLitterbags placem_collection'!G196="","",'WetLitterbags placem_collection'!G196)</f>
        <v>42813</v>
      </c>
      <c r="U195" s="227">
        <f t="shared" ref="U195:U258" si="18">IFERROR(T195-S195,"")</f>
        <v>44</v>
      </c>
      <c r="V195" s="225" t="str">
        <f t="shared" ref="V195:V258" si="19">IFERROR(L195-P195,"")</f>
        <v/>
      </c>
      <c r="W195" s="225" t="str">
        <f t="shared" ref="W195:W258" si="20">IFERROR(N195-R195,"")</f>
        <v/>
      </c>
      <c r="X195">
        <f>IFERROR(INDEX(Rainfall_Wet!$O$2:$O$217,MATCH(B195, Rainfall_Wet!$A$2:$A$217,0)),"")</f>
        <v>175.054685654</v>
      </c>
      <c r="Y195" s="231">
        <v>21.13063730679653</v>
      </c>
      <c r="Z195" s="231">
        <v>3.0912555579081076</v>
      </c>
      <c r="AA195" s="231">
        <v>75.778107135295357</v>
      </c>
      <c r="AB195" s="232" t="s">
        <v>2670</v>
      </c>
      <c r="AC195" s="231">
        <v>0.46131099063578063</v>
      </c>
      <c r="AD195">
        <f>IF('WetLitterbags placem_collection'!AB196="","",'WetLitterbags placem_collection'!AB196)</f>
        <v>7.9</v>
      </c>
      <c r="AE195">
        <f>IF('WetLitterbags placem_collection'!Z196="","",'WetLitterbags placem_collection'!Z196)</f>
        <v>7.9</v>
      </c>
      <c r="AF195" s="246" t="str">
        <f>IF('WetLitterbags placem_collection'!AA196="","",'WetLitterbags placem_collection'!AA196)</f>
        <v>O</v>
      </c>
      <c r="AG195">
        <f>IF('WetLitterbags placem_collection'!AC196="","",'WetLitterbags placem_collection'!AC196)</f>
        <v>1</v>
      </c>
      <c r="AH195" s="24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placem_collection'!V196)),"YES","NO")</f>
        <v>NO</v>
      </c>
      <c r="AM195" t="str">
        <f>IF(ISNUMBER(SEARCH("H", 'WetLitterbags placem_collection'!V196)),"YES","NO")</f>
        <v>NO</v>
      </c>
      <c r="AN195" t="str">
        <f>IF(ISNUMBER(SEARCH("R", 'WetLitterbags placem_collection'!V196)),"YES","NO")</f>
        <v>YES</v>
      </c>
    </row>
    <row r="196" spans="1:40" ht="15" customHeight="1">
      <c r="A196" s="258" t="s">
        <v>2460</v>
      </c>
      <c r="B196" s="263">
        <f>'Dry_Litterbag Placem_Collection'!A197</f>
        <v>195</v>
      </c>
      <c r="C196" s="263" t="str">
        <f>'Dry_Litterbag Placem_Collection'!B197</f>
        <v>Makao</v>
      </c>
      <c r="D196" s="263" t="s">
        <v>2659</v>
      </c>
      <c r="E196" s="263" t="s">
        <v>2526</v>
      </c>
      <c r="F196" s="263">
        <v>2</v>
      </c>
      <c r="G196" s="264" t="str">
        <f>'Dry_Litterbag Placem_Collection'!C197</f>
        <v>Dry_Ag3_CG2</v>
      </c>
      <c r="H196" s="265" t="s">
        <v>2541</v>
      </c>
      <c r="I196" s="266" t="s">
        <v>1147</v>
      </c>
      <c r="J196" s="223" t="str">
        <f>'WetLitterbags placem_collection'!K197</f>
        <v>G821</v>
      </c>
      <c r="K196" s="225">
        <f>IFERROR(INDEX('Green_rooibos initial weight'!$C$5:$C$1749,MATCH(J196, 'Green_rooibos initial weight'!$A$5:$A$1749,0)),"")</f>
        <v>1.9990000000000001</v>
      </c>
      <c r="L196" s="225">
        <f>IFERROR(K196-(TBIcalc!$H$9+TBIcalc!$H$10),"")</f>
        <v>1.7492000000000001</v>
      </c>
      <c r="M196" s="391">
        <f>AVERAGE(Ashed_controlls!$K$2:$K$11)</f>
        <v>5.5147656768714146</v>
      </c>
      <c r="N196" s="225">
        <f t="shared" si="17"/>
        <v>1.6527357187801652</v>
      </c>
      <c r="O196" s="225">
        <f>IF(IFERROR(INDEX('Both teabags AfterWet'!$C$3:$C$841,MATCH(J196,'Both teabags AfterWet'!$A$3:$A$841,0)),"")="","",(IFERROR(INDEX('Both teabags AfterWet'!$C$3:$C$841,MATCH(J196,'Both teabags AfterWet'!$A$3:$A$841,0)),"")))</f>
        <v>0.7641</v>
      </c>
      <c r="P196" s="225">
        <f>IFERROR(IF(O196&gt;0,O196-(TBIcalc!$H$9),""),"")</f>
        <v>0.61349999999999993</v>
      </c>
      <c r="Q196" s="225">
        <f>IFERROR(INDEX('Ashed teabags wet'!$K$2:$K$821,MATCH(J196,'Ashed teabags wet'!$A$2:$A$821,0)),"")</f>
        <v>15.097159940208879</v>
      </c>
      <c r="R196" s="225">
        <f t="shared" si="16"/>
        <v>0.52087892376681844</v>
      </c>
      <c r="S196" s="226">
        <f>'WetLitterbags placem_collection'!E197</f>
        <v>42769</v>
      </c>
      <c r="T196" s="226">
        <f>IF('WetLitterbags placem_collection'!G197="","",'WetLitterbags placem_collection'!G197)</f>
        <v>42814</v>
      </c>
      <c r="U196" s="227">
        <f t="shared" si="18"/>
        <v>45</v>
      </c>
      <c r="V196" s="225">
        <f t="shared" si="19"/>
        <v>1.1357000000000002</v>
      </c>
      <c r="W196" s="225">
        <f t="shared" si="20"/>
        <v>1.1318567950133467</v>
      </c>
      <c r="X196">
        <f>IFERROR(INDEX(Rainfall_Wet!$O$2:$O$217,MATCH(B196, Rainfall_Wet!$A$2:$A$217,0)),"")</f>
        <v>175.377105089</v>
      </c>
      <c r="Y196" s="231">
        <v>54.080969906906262</v>
      </c>
      <c r="Z196" s="231">
        <v>21.264484651351896</v>
      </c>
      <c r="AA196" s="231">
        <v>24.654545441741845</v>
      </c>
      <c r="AB196" s="232" t="s">
        <v>2673</v>
      </c>
      <c r="AC196" s="231">
        <v>1.8433218334154755</v>
      </c>
      <c r="AD196">
        <f>IF('WetLitterbags placem_collection'!AB197="","",'WetLitterbags placem_collection'!AB197)</f>
        <v>5.13</v>
      </c>
      <c r="AE196">
        <f>IF('WetLitterbags placem_collection'!Z197="","",'WetLitterbags placem_collection'!Z197)</f>
        <v>5.13</v>
      </c>
      <c r="AF196" s="246" t="str">
        <f>IF('WetLitterbags placem_collection'!AA197="","",'WetLitterbags placem_collection'!AA197)</f>
        <v>O</v>
      </c>
      <c r="AG196">
        <f>IF('WetLitterbags placem_collection'!AC197="","",'WetLitterbags placem_collection'!AC197)</f>
        <v>1</v>
      </c>
      <c r="AH196" s="24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placem_collection'!V197)),"YES","NO")</f>
        <v>NO</v>
      </c>
      <c r="AM196" t="str">
        <f>IF(ISNUMBER(SEARCH("H", 'WetLitterbags placem_collection'!V197)),"YES","NO")</f>
        <v>NO</v>
      </c>
      <c r="AN196" t="str">
        <f>IF(ISNUMBER(SEARCH("R", 'WetLitterbags placem_collection'!V197)),"YES","NO")</f>
        <v>YES</v>
      </c>
    </row>
    <row r="197" spans="1:40" ht="15" customHeight="1">
      <c r="A197" s="258" t="s">
        <v>2460</v>
      </c>
      <c r="B197" s="263">
        <f>'Dry_Litterbag Placem_Collection'!A198</f>
        <v>196</v>
      </c>
      <c r="C197" s="263" t="str">
        <f>'Dry_Litterbag Placem_Collection'!B198</f>
        <v>Makao</v>
      </c>
      <c r="D197" s="263" t="s">
        <v>2659</v>
      </c>
      <c r="E197" s="263" t="s">
        <v>2526</v>
      </c>
      <c r="F197" s="263">
        <v>1</v>
      </c>
      <c r="G197" s="264" t="str">
        <f>'Dry_Litterbag Placem_Collection'!C198</f>
        <v>Dry_Ag4_CG1</v>
      </c>
      <c r="H197" s="265" t="s">
        <v>2541</v>
      </c>
      <c r="I197" s="266" t="s">
        <v>1147</v>
      </c>
      <c r="J197" s="223" t="str">
        <f>'WetLitterbags placem_collection'!K198</f>
        <v>G754</v>
      </c>
      <c r="K197" s="225">
        <f>IFERROR(INDEX('Green_rooibos initial weight'!$C$5:$C$1749,MATCH(J197, 'Green_rooibos initial weight'!$A$5:$A$1749,0)),"")</f>
        <v>2.0609999999999999</v>
      </c>
      <c r="L197" s="225">
        <f>IFERROR(K197-(TBIcalc!$H$9+TBIcalc!$H$10),"")</f>
        <v>1.8111999999999999</v>
      </c>
      <c r="M197" s="391">
        <f>AVERAGE(Ashed_controlls!$K$2:$K$11)</f>
        <v>5.5147656768714146</v>
      </c>
      <c r="N197" s="225">
        <f t="shared" si="17"/>
        <v>1.7113165640605048</v>
      </c>
      <c r="O197" s="225">
        <f>IF(IFERROR(INDEX('Both teabags AfterWet'!$C$3:$C$841,MATCH(J197,'Both teabags AfterWet'!$A$3:$A$841,0)),"")="","",(IFERROR(INDEX('Both teabags AfterWet'!$C$3:$C$841,MATCH(J197,'Both teabags AfterWet'!$A$3:$A$841,0)),"")))</f>
        <v>0.6452</v>
      </c>
      <c r="P197" s="225">
        <f>IFERROR(IF(O197&gt;0,O197-(TBIcalc!$H$9),""),"")</f>
        <v>0.49459999999999998</v>
      </c>
      <c r="Q197" s="225">
        <f>IFERROR(INDEX('Ashed teabags wet'!$K$2:$K$821,MATCH(J197,'Ashed teabags wet'!$A$2:$A$821,0)),"")</f>
        <v>10.498306724722434</v>
      </c>
      <c r="R197" s="225">
        <f t="shared" si="16"/>
        <v>0.4426753749395228</v>
      </c>
      <c r="S197" s="226">
        <f>'WetLitterbags placem_collection'!E198</f>
        <v>42769</v>
      </c>
      <c r="T197" s="226">
        <f>IF('WetLitterbags placem_collection'!G198="","",'WetLitterbags placem_collection'!G198)</f>
        <v>42814</v>
      </c>
      <c r="U197" s="227">
        <f t="shared" si="18"/>
        <v>45</v>
      </c>
      <c r="V197" s="225">
        <f t="shared" si="19"/>
        <v>1.3166</v>
      </c>
      <c r="W197" s="225">
        <f t="shared" si="20"/>
        <v>1.2686411891209821</v>
      </c>
      <c r="X197">
        <f>IFERROR(INDEX(Rainfall_Wet!$O$2:$O$217,MATCH(B197, Rainfall_Wet!$A$2:$A$217,0)),"")</f>
        <v>175.377105089</v>
      </c>
      <c r="Y197" s="231">
        <v>51.960000000000008</v>
      </c>
      <c r="Z197" s="231">
        <v>18.919999999999995</v>
      </c>
      <c r="AA197" s="231">
        <v>29.120000000000005</v>
      </c>
      <c r="AB197" s="232" t="s">
        <v>2673</v>
      </c>
      <c r="AC197" s="231">
        <v>1.85293247905372</v>
      </c>
      <c r="AD197">
        <f>IF('WetLitterbags placem_collection'!AB198="","",'WetLitterbags placem_collection'!AB198)</f>
        <v>13.8</v>
      </c>
      <c r="AE197">
        <f>IF('WetLitterbags placem_collection'!Z198="","",'WetLitterbags placem_collection'!Z198)</f>
        <v>17.399999999999999</v>
      </c>
      <c r="AF197" s="246" t="str">
        <f>IF('WetLitterbags placem_collection'!AA198="","",'WetLitterbags placem_collection'!AA198)</f>
        <v>O</v>
      </c>
      <c r="AG197">
        <f>IF('WetLitterbags placem_collection'!AC198="","",'WetLitterbags placem_collection'!AC198)</f>
        <v>1</v>
      </c>
      <c r="AH197" s="24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placem_collection'!V198)),"YES","NO")</f>
        <v>NO</v>
      </c>
      <c r="AM197" t="str">
        <f>IF(ISNUMBER(SEARCH("H", 'WetLitterbags placem_collection'!V198)),"YES","NO")</f>
        <v>NO</v>
      </c>
      <c r="AN197" t="str">
        <f>IF(ISNUMBER(SEARCH("R", 'WetLitterbags placem_collection'!V198)),"YES","NO")</f>
        <v>YES</v>
      </c>
    </row>
    <row r="198" spans="1:40" ht="15" customHeight="1">
      <c r="A198" s="258" t="s">
        <v>2460</v>
      </c>
      <c r="B198" s="263">
        <f>'Dry_Litterbag Placem_Collection'!A199</f>
        <v>197</v>
      </c>
      <c r="C198" s="263" t="str">
        <f>'Dry_Litterbag Placem_Collection'!B199</f>
        <v>Makao</v>
      </c>
      <c r="D198" s="263" t="s">
        <v>2659</v>
      </c>
      <c r="E198" s="263" t="s">
        <v>2526</v>
      </c>
      <c r="F198" s="263">
        <v>2</v>
      </c>
      <c r="G198" s="264" t="str">
        <f>'Dry_Litterbag Placem_Collection'!C199</f>
        <v>Dry_P1_CG2</v>
      </c>
      <c r="H198" s="265" t="s">
        <v>2541</v>
      </c>
      <c r="I198" s="266" t="s">
        <v>1147</v>
      </c>
      <c r="J198" s="223" t="str">
        <f>'WetLitterbags placem_collection'!K199</f>
        <v>G715</v>
      </c>
      <c r="K198" s="225">
        <f>IFERROR(INDEX('Green_rooibos initial weight'!$C$5:$C$1749,MATCH(J198, 'Green_rooibos initial weight'!$A$5:$A$1749,0)),"")</f>
        <v>2.0179999999999998</v>
      </c>
      <c r="L198" s="225">
        <f>IFERROR(K198-(TBIcalc!$H$9+TBIcalc!$H$10),"")</f>
        <v>1.7681999999999998</v>
      </c>
      <c r="M198" s="391">
        <f>AVERAGE(Ashed_controlls!$K$2:$K$11)</f>
        <v>5.5147656768714146</v>
      </c>
      <c r="N198" s="225">
        <f t="shared" si="17"/>
        <v>1.6706879133015595</v>
      </c>
      <c r="O198" s="225">
        <f>IF(IFERROR(INDEX('Both teabags AfterWet'!$C$3:$C$841,MATCH(J198,'Both teabags AfterWet'!$A$3:$A$841,0)),"")="","",(IFERROR(INDEX('Both teabags AfterWet'!$C$3:$C$841,MATCH(J198,'Both teabags AfterWet'!$A$3:$A$841,0)),"")))</f>
        <v>0.69089999999999996</v>
      </c>
      <c r="P198" s="225">
        <f>IFERROR(IF(O198&gt;0,O198-(TBIcalc!$H$9),""),"")</f>
        <v>0.5403</v>
      </c>
      <c r="Q198" s="225">
        <f>IFERROR(INDEX('Ashed teabags wet'!$K$2:$K$821,MATCH(J198,'Ashed teabags wet'!$A$2:$A$821,0)),"")</f>
        <v>12.326732673267644</v>
      </c>
      <c r="R198" s="225">
        <f t="shared" si="16"/>
        <v>0.47369866336633493</v>
      </c>
      <c r="S198" s="226">
        <f>'WetLitterbags placem_collection'!E199</f>
        <v>42769</v>
      </c>
      <c r="T198" s="226">
        <f>IF('WetLitterbags placem_collection'!G199="","",'WetLitterbags placem_collection'!G199)</f>
        <v>42814</v>
      </c>
      <c r="U198" s="227">
        <f t="shared" si="18"/>
        <v>45</v>
      </c>
      <c r="V198" s="225">
        <f t="shared" si="19"/>
        <v>1.2278999999999998</v>
      </c>
      <c r="W198" s="225">
        <f t="shared" si="20"/>
        <v>1.1969892499352246</v>
      </c>
      <c r="X198">
        <f>IFERROR(INDEX(Rainfall_Wet!$O$2:$O$217,MATCH(B198, Rainfall_Wet!$A$2:$A$217,0)),"")</f>
        <v>175.377105089</v>
      </c>
      <c r="Y198" s="231">
        <v>23.96</v>
      </c>
      <c r="Z198" s="231">
        <v>0.91999999999999804</v>
      </c>
      <c r="AA198" s="231">
        <v>75.12</v>
      </c>
      <c r="AB198" s="232" t="s">
        <v>2670</v>
      </c>
      <c r="AC198" s="231">
        <v>1.2493839329719072</v>
      </c>
      <c r="AD198">
        <f>IF('WetLitterbags placem_collection'!AB199="","",'WetLitterbags placem_collection'!AB199)</f>
        <v>5.13</v>
      </c>
      <c r="AE198">
        <f>IF('WetLitterbags placem_collection'!Z199="","",'WetLitterbags placem_collection'!Z199)</f>
        <v>5.13</v>
      </c>
      <c r="AF198" s="246" t="str">
        <f>IF('WetLitterbags placem_collection'!AA199="","",'WetLitterbags placem_collection'!AA199)</f>
        <v>O</v>
      </c>
      <c r="AG198">
        <f>IF('WetLitterbags placem_collection'!AC199="","",'WetLitterbags placem_collection'!AC199)</f>
        <v>1</v>
      </c>
      <c r="AH198" s="24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placem_collection'!V199)),"YES","NO")</f>
        <v>NO</v>
      </c>
      <c r="AM198" t="str">
        <f>IF(ISNUMBER(SEARCH("H", 'WetLitterbags placem_collection'!V199)),"YES","NO")</f>
        <v>NO</v>
      </c>
      <c r="AN198" t="str">
        <f>IF(ISNUMBER(SEARCH("R", 'WetLitterbags placem_collection'!V199)),"YES","NO")</f>
        <v>YES</v>
      </c>
    </row>
    <row r="199" spans="1:40" ht="15" customHeight="1">
      <c r="A199" s="258" t="s">
        <v>2460</v>
      </c>
      <c r="B199" s="263">
        <f>'Dry_Litterbag Placem_Collection'!A200</f>
        <v>198</v>
      </c>
      <c r="C199" s="263" t="str">
        <f>'Dry_Litterbag Placem_Collection'!B200</f>
        <v>Makao</v>
      </c>
      <c r="D199" s="263" t="s">
        <v>2659</v>
      </c>
      <c r="E199" s="263" t="s">
        <v>2526</v>
      </c>
      <c r="F199" s="263">
        <v>3</v>
      </c>
      <c r="G199" s="264" t="str">
        <f>'Dry_Litterbag Placem_Collection'!C200</f>
        <v>Dry_P2_CG3</v>
      </c>
      <c r="H199" s="265" t="s">
        <v>2541</v>
      </c>
      <c r="I199" s="266" t="s">
        <v>1147</v>
      </c>
      <c r="J199" s="223" t="str">
        <f>'WetLitterbags placem_collection'!K200</f>
        <v>G785</v>
      </c>
      <c r="K199" s="225">
        <f>IFERROR(INDEX('Green_rooibos initial weight'!$C$5:$C$1749,MATCH(J199, 'Green_rooibos initial weight'!$A$5:$A$1749,0)),"")</f>
        <v>2.008</v>
      </c>
      <c r="L199" s="225">
        <f>IFERROR(K199-(TBIcalc!$H$9+TBIcalc!$H$10),"")</f>
        <v>1.7582</v>
      </c>
      <c r="M199" s="391">
        <f>AVERAGE(Ashed_controlls!$K$2:$K$11)</f>
        <v>5.5147656768714146</v>
      </c>
      <c r="N199" s="225">
        <f t="shared" si="17"/>
        <v>1.6612393898692468</v>
      </c>
      <c r="O199" s="225">
        <f>IF(IFERROR(INDEX('Both teabags AfterWet'!$C$3:$C$841,MATCH(J199,'Both teabags AfterWet'!$A$3:$A$841,0)),"")="","",(IFERROR(INDEX('Both teabags AfterWet'!$C$3:$C$841,MATCH(J199,'Both teabags AfterWet'!$A$3:$A$841,0)),"")))</f>
        <v>0.64690000000000003</v>
      </c>
      <c r="P199" s="225">
        <f>IFERROR(IF(O199&gt;0,O199-(TBIcalc!$H$9),""),"")</f>
        <v>0.49630000000000002</v>
      </c>
      <c r="Q199" s="225">
        <f>IFERROR(INDEX('Ashed teabags wet'!$K$2:$K$821,MATCH(J199,'Ashed teabags wet'!$A$2:$A$821,0)),"")</f>
        <v>9.3718843469595843</v>
      </c>
      <c r="R199" s="225">
        <f t="shared" si="16"/>
        <v>0.44978733798603959</v>
      </c>
      <c r="S199" s="226">
        <f>'WetLitterbags placem_collection'!E200</f>
        <v>42769</v>
      </c>
      <c r="T199" s="226">
        <f>IF('WetLitterbags placem_collection'!G200="","",'WetLitterbags placem_collection'!G200)</f>
        <v>42813</v>
      </c>
      <c r="U199" s="227">
        <f t="shared" si="18"/>
        <v>44</v>
      </c>
      <c r="V199" s="225">
        <f t="shared" si="19"/>
        <v>1.2619</v>
      </c>
      <c r="W199" s="225">
        <f t="shared" si="20"/>
        <v>1.2114520518832073</v>
      </c>
      <c r="X199">
        <f>IFERROR(INDEX(Rainfall_Wet!$O$2:$O$217,MATCH(B199, Rainfall_Wet!$A$2:$A$217,0)),"")</f>
        <v>175.054685654</v>
      </c>
      <c r="Y199" s="231">
        <v>19.96</v>
      </c>
      <c r="Z199" s="231">
        <v>4.9199999999999982</v>
      </c>
      <c r="AA199" s="231">
        <v>75.12</v>
      </c>
      <c r="AB199" s="232" t="s">
        <v>2671</v>
      </c>
      <c r="AC199" s="231">
        <v>1.641498275012321</v>
      </c>
      <c r="AD199">
        <f>IF('WetLitterbags placem_collection'!AB200="","",'WetLitterbags placem_collection'!AB200)</f>
        <v>7.9</v>
      </c>
      <c r="AE199">
        <f>IF('WetLitterbags placem_collection'!Z200="","",'WetLitterbags placem_collection'!Z200)</f>
        <v>7.9</v>
      </c>
      <c r="AF199" s="246" t="str">
        <f>IF('WetLitterbags placem_collection'!AA200="","",'WetLitterbags placem_collection'!AA200)</f>
        <v>O</v>
      </c>
      <c r="AG199">
        <f>IF('WetLitterbags placem_collection'!AC200="","",'WetLitterbags placem_collection'!AC200)</f>
        <v>1</v>
      </c>
      <c r="AH199" s="24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placem_collection'!V200)),"YES","NO")</f>
        <v>NO</v>
      </c>
      <c r="AM199" t="str">
        <f>IF(ISNUMBER(SEARCH("H", 'WetLitterbags placem_collection'!V200)),"YES","NO")</f>
        <v>NO</v>
      </c>
      <c r="AN199" t="str">
        <f>IF(ISNUMBER(SEARCH("R", 'WetLitterbags placem_collection'!V200)),"YES","NO")</f>
        <v>YES</v>
      </c>
    </row>
    <row r="200" spans="1:40" ht="15" customHeight="1">
      <c r="A200" s="258" t="s">
        <v>2460</v>
      </c>
      <c r="B200" s="263">
        <f>'Dry_Litterbag Placem_Collection'!A201</f>
        <v>199</v>
      </c>
      <c r="C200" s="263" t="str">
        <f>'Dry_Litterbag Placem_Collection'!B201</f>
        <v>Makao</v>
      </c>
      <c r="D200" s="263" t="s">
        <v>2659</v>
      </c>
      <c r="E200" s="263" t="s">
        <v>2526</v>
      </c>
      <c r="F200" s="263">
        <v>1</v>
      </c>
      <c r="G200" s="264" t="str">
        <f>'Dry_Litterbag Placem_Collection'!C201</f>
        <v>Dry_P3_CG1</v>
      </c>
      <c r="H200" s="265" t="s">
        <v>2541</v>
      </c>
      <c r="I200" s="266" t="s">
        <v>1147</v>
      </c>
      <c r="J200" s="223" t="str">
        <f>'WetLitterbags placem_collection'!K201</f>
        <v>G877</v>
      </c>
      <c r="K200" s="225">
        <f>IFERROR(INDEX('Green_rooibos initial weight'!$C$5:$C$1749,MATCH(J200, 'Green_rooibos initial weight'!$A$5:$A$1749,0)),"")</f>
        <v>2.0649999999999999</v>
      </c>
      <c r="L200" s="225">
        <f>IFERROR(K200-(TBIcalc!$H$9+TBIcalc!$H$10),"")</f>
        <v>1.8151999999999999</v>
      </c>
      <c r="M200" s="391">
        <f>AVERAGE(Ashed_controlls!$K$2:$K$11)</f>
        <v>5.5147656768714146</v>
      </c>
      <c r="N200" s="225">
        <f t="shared" si="17"/>
        <v>1.7150959734334301</v>
      </c>
      <c r="O200" s="225">
        <f>IF(IFERROR(INDEX('Both teabags AfterWet'!$C$3:$C$841,MATCH(J200,'Both teabags AfterWet'!$A$3:$A$841,0)),"")="","",(IFERROR(INDEX('Both teabags AfterWet'!$C$3:$C$841,MATCH(J200,'Both teabags AfterWet'!$A$3:$A$841,0)),"")))</f>
        <v>0.67900000000000005</v>
      </c>
      <c r="P200" s="225">
        <f>IFERROR(IF(O200&gt;0,O200-(TBIcalc!$H$9),""),"")</f>
        <v>0.52839999999999998</v>
      </c>
      <c r="Q200" s="225">
        <f>IFERROR(INDEX('Ashed teabags wet'!$K$2:$K$821,MATCH(J200,'Ashed teabags wet'!$A$2:$A$821,0)),"")</f>
        <v>11.636001989060295</v>
      </c>
      <c r="R200" s="225">
        <f t="shared" si="16"/>
        <v>0.46691536548980539</v>
      </c>
      <c r="S200" s="226">
        <f>'WetLitterbags placem_collection'!E201</f>
        <v>42769</v>
      </c>
      <c r="T200" s="226">
        <f>IF('WetLitterbags placem_collection'!G201="","",'WetLitterbags placem_collection'!G201)</f>
        <v>42814</v>
      </c>
      <c r="U200" s="227">
        <f t="shared" si="18"/>
        <v>45</v>
      </c>
      <c r="V200" s="225">
        <f t="shared" si="19"/>
        <v>1.2867999999999999</v>
      </c>
      <c r="W200" s="225">
        <f t="shared" si="20"/>
        <v>1.2481806079436248</v>
      </c>
      <c r="X200">
        <f>IFERROR(INDEX(Rainfall_Wet!$O$2:$O$217,MATCH(B200, Rainfall_Wet!$A$2:$A$217,0)),"")</f>
        <v>175.377105089</v>
      </c>
      <c r="Y200" s="231">
        <v>21.96</v>
      </c>
      <c r="Z200" s="231">
        <v>8.9199999999999982</v>
      </c>
      <c r="AA200" s="231">
        <v>69.12</v>
      </c>
      <c r="AB200" s="232" t="s">
        <v>2670</v>
      </c>
      <c r="AC200" s="231">
        <v>1.7491375061606702</v>
      </c>
      <c r="AD200">
        <f>IF('WetLitterbags placem_collection'!AB201="","",'WetLitterbags placem_collection'!AB201)</f>
        <v>13.8</v>
      </c>
      <c r="AE200">
        <f>IF('WetLitterbags placem_collection'!Z201="","",'WetLitterbags placem_collection'!Z201)</f>
        <v>17.399999999999999</v>
      </c>
      <c r="AF200" s="246" t="str">
        <f>IF('WetLitterbags placem_collection'!AA201="","",'WetLitterbags placem_collection'!AA201)</f>
        <v>O</v>
      </c>
      <c r="AG200">
        <f>IF('WetLitterbags placem_collection'!AC201="","",'WetLitterbags placem_collection'!AC201)</f>
        <v>1</v>
      </c>
      <c r="AH200" s="24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placem_collection'!V201)),"YES","NO")</f>
        <v>NO</v>
      </c>
      <c r="AM200" t="str">
        <f>IF(ISNUMBER(SEARCH("H", 'WetLitterbags placem_collection'!V201)),"YES","NO")</f>
        <v>NO</v>
      </c>
      <c r="AN200" t="str">
        <f>IF(ISNUMBER(SEARCH("R", 'WetLitterbags placem_collection'!V201)),"YES","NO")</f>
        <v>YES</v>
      </c>
    </row>
    <row r="201" spans="1:40" ht="15" customHeight="1">
      <c r="A201" s="258" t="s">
        <v>2460</v>
      </c>
      <c r="B201" s="263">
        <f>'Dry_Litterbag Placem_Collection'!A202</f>
        <v>200</v>
      </c>
      <c r="C201" s="263" t="str">
        <f>'Dry_Litterbag Placem_Collection'!B202</f>
        <v>Makao</v>
      </c>
      <c r="D201" s="263" t="s">
        <v>2659</v>
      </c>
      <c r="E201" s="263" t="s">
        <v>2526</v>
      </c>
      <c r="F201" s="263">
        <v>4</v>
      </c>
      <c r="G201" s="264" t="str">
        <f>'Dry_Litterbag Placem_Collection'!C202</f>
        <v>Dry_P4_CG4</v>
      </c>
      <c r="H201" s="265" t="s">
        <v>2541</v>
      </c>
      <c r="I201" s="266" t="s">
        <v>1147</v>
      </c>
      <c r="J201" s="223" t="str">
        <f>'WetLitterbags placem_collection'!K202</f>
        <v>G816</v>
      </c>
      <c r="K201" s="225">
        <f>IFERROR(INDEX('Green_rooibos initial weight'!$C$5:$C$1749,MATCH(J201, 'Green_rooibos initial weight'!$A$5:$A$1749,0)),"")</f>
        <v>2.0139999999999998</v>
      </c>
      <c r="L201" s="225">
        <f>IFERROR(K201-(TBIcalc!$H$9+TBIcalc!$H$10),"")</f>
        <v>1.7641999999999998</v>
      </c>
      <c r="M201" s="391">
        <f>AVERAGE(Ashed_controlls!$K$2:$K$11)</f>
        <v>5.5147656768714146</v>
      </c>
      <c r="N201" s="225">
        <f t="shared" si="17"/>
        <v>1.6669085039286342</v>
      </c>
      <c r="O201" s="225">
        <f>IF(IFERROR(INDEX('Both teabags AfterWet'!$C$3:$C$841,MATCH(J201,'Both teabags AfterWet'!$A$3:$A$841,0)),"")="","",(IFERROR(INDEX('Both teabags AfterWet'!$C$3:$C$841,MATCH(J201,'Both teabags AfterWet'!$A$3:$A$841,0)),"")))</f>
        <v>0.67120000000000002</v>
      </c>
      <c r="P201" s="225">
        <f>IFERROR(IF(O201&gt;0,O201-(TBIcalc!$H$9),""),"")</f>
        <v>0.52059999999999995</v>
      </c>
      <c r="Q201" s="225">
        <f>IFERROR(INDEX('Ashed teabags wet'!$K$2:$K$821,MATCH(J201,'Ashed teabags wet'!$A$2:$A$821,0)),"")</f>
        <v>11.089206505668416</v>
      </c>
      <c r="R201" s="225">
        <f t="shared" si="16"/>
        <v>0.46286959093149016</v>
      </c>
      <c r="S201" s="226">
        <f>'WetLitterbags placem_collection'!E202</f>
        <v>42769</v>
      </c>
      <c r="T201" s="226">
        <f>IF('WetLitterbags placem_collection'!G202="","",'WetLitterbags placem_collection'!G202)</f>
        <v>42813</v>
      </c>
      <c r="U201" s="227">
        <f t="shared" si="18"/>
        <v>44</v>
      </c>
      <c r="V201" s="225">
        <f t="shared" si="19"/>
        <v>1.2435999999999998</v>
      </c>
      <c r="W201" s="225">
        <f t="shared" si="20"/>
        <v>1.2040389129971441</v>
      </c>
      <c r="X201">
        <f>IFERROR(INDEX(Rainfall_Wet!$O$2:$O$217,MATCH(B201, Rainfall_Wet!$A$2:$A$217,0)),"")</f>
        <v>175.054685654</v>
      </c>
      <c r="Y201" s="231">
        <v>25.96</v>
      </c>
      <c r="Z201" s="231">
        <v>6.9200000000000008</v>
      </c>
      <c r="AA201" s="231">
        <v>67.12</v>
      </c>
      <c r="AB201" s="232" t="s">
        <v>2670</v>
      </c>
      <c r="AC201" s="231">
        <v>1.7568260226712666</v>
      </c>
      <c r="AD201">
        <f>IF('WetLitterbags placem_collection'!AB202="","",'WetLitterbags placem_collection'!AB202)</f>
        <v>15.2</v>
      </c>
      <c r="AE201">
        <f>IF('WetLitterbags placem_collection'!Z202="","",'WetLitterbags placem_collection'!Z202)</f>
        <v>12.2</v>
      </c>
      <c r="AF201" s="246" t="str">
        <f>IF('WetLitterbags placem_collection'!AA202="","",'WetLitterbags placem_collection'!AA202)</f>
        <v>O</v>
      </c>
      <c r="AG201">
        <f>IF('WetLitterbags placem_collection'!AC202="","",'WetLitterbags placem_collection'!AC202)</f>
        <v>1</v>
      </c>
      <c r="AH201" s="24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placem_collection'!V202)),"YES","NO")</f>
        <v>NO</v>
      </c>
      <c r="AM201" t="str">
        <f>IF(ISNUMBER(SEARCH("H", 'WetLitterbags placem_collection'!V202)),"YES","NO")</f>
        <v>NO</v>
      </c>
      <c r="AN201" t="str">
        <f>IF(ISNUMBER(SEARCH("R", 'WetLitterbags placem_collection'!V202)),"YES","NO")</f>
        <v>YES</v>
      </c>
    </row>
    <row r="202" spans="1:40" ht="15" customHeight="1">
      <c r="A202" s="258" t="s">
        <v>2460</v>
      </c>
      <c r="B202" s="263">
        <f>'Dry_Litterbag Placem_Collection'!A203</f>
        <v>201</v>
      </c>
      <c r="C202" s="263" t="str">
        <f>'Dry_Litterbag Placem_Collection'!B203</f>
        <v>Maswa</v>
      </c>
      <c r="D202" s="263" t="s">
        <v>2659</v>
      </c>
      <c r="E202" s="263" t="s">
        <v>2526</v>
      </c>
      <c r="F202" s="263">
        <v>4</v>
      </c>
      <c r="G202" s="264" t="str">
        <f>'Dry_Litterbag Placem_Collection'!C203</f>
        <v>Dry_W3_CG4</v>
      </c>
      <c r="H202" s="265" t="s">
        <v>2541</v>
      </c>
      <c r="I202" s="266" t="s">
        <v>1147</v>
      </c>
      <c r="J202" s="223" t="str">
        <f>'WetLitterbags placem_collection'!K203</f>
        <v>G811</v>
      </c>
      <c r="K202" s="225">
        <f>IFERROR(INDEX('Green_rooibos initial weight'!$C$5:$C$1749,MATCH(J202, 'Green_rooibos initial weight'!$A$5:$A$1749,0)),"")</f>
        <v>1.9930000000000001</v>
      </c>
      <c r="L202" s="225">
        <f>IFERROR(K202-(TBIcalc!$H$9+TBIcalc!$H$10),"")</f>
        <v>1.7432000000000001</v>
      </c>
      <c r="M202" s="391">
        <f>AVERAGE(Ashed_controlls!$K$2:$K$11)</f>
        <v>5.5147656768714146</v>
      </c>
      <c r="N202" s="225">
        <f t="shared" si="17"/>
        <v>1.6470666047207776</v>
      </c>
      <c r="O202" s="225">
        <f>IF(IFERROR(INDEX('Both teabags AfterWet'!$C$3:$C$841,MATCH(J202,'Both teabags AfterWet'!$A$3:$A$841,0)),"")="","",(IFERROR(INDEX('Both teabags AfterWet'!$C$3:$C$841,MATCH(J202,'Both teabags AfterWet'!$A$3:$A$841,0)),"")))</f>
        <v>0.56630000000000003</v>
      </c>
      <c r="P202" s="225">
        <f>IFERROR(IF(O202&gt;0,O202-(TBIcalc!$H$9),""),"")</f>
        <v>0.41570000000000001</v>
      </c>
      <c r="Q202" s="225">
        <f>IFERROR(INDEX('Ashed teabags wet'!$K$2:$K$821,MATCH(J202,'Ashed teabags wet'!$A$2:$A$821,0)),"")</f>
        <v>11.712158808933365</v>
      </c>
      <c r="R202" s="225">
        <f t="shared" si="16"/>
        <v>0.36701255583126402</v>
      </c>
      <c r="S202" s="226">
        <f>'WetLitterbags placem_collection'!E203</f>
        <v>42769</v>
      </c>
      <c r="T202" s="226">
        <f>IF('WetLitterbags placem_collection'!G203="","",'WetLitterbags placem_collection'!G203)</f>
        <v>42813</v>
      </c>
      <c r="U202" s="227">
        <f t="shared" si="18"/>
        <v>44</v>
      </c>
      <c r="V202" s="225">
        <f t="shared" si="19"/>
        <v>1.3275000000000001</v>
      </c>
      <c r="W202" s="225">
        <f t="shared" si="20"/>
        <v>1.2800540488895136</v>
      </c>
      <c r="X202">
        <f>IFERROR(INDEX(Rainfall_Wet!$O$2:$O$217,MATCH(B202, Rainfall_Wet!$A$2:$A$217,0)),"")</f>
        <v>175.054685654</v>
      </c>
      <c r="Y202" s="231">
        <v>38.691629007962128</v>
      </c>
      <c r="Z202" s="231">
        <v>26.81299763288143</v>
      </c>
      <c r="AA202" s="231">
        <v>34.495373359156439</v>
      </c>
      <c r="AB202" s="232" t="s">
        <v>2675</v>
      </c>
      <c r="AC202" s="231">
        <v>2.5483587974371611</v>
      </c>
      <c r="AD202">
        <f>IF('WetLitterbags placem_collection'!AB203="","",'WetLitterbags placem_collection'!AB203)</f>
        <v>15.2</v>
      </c>
      <c r="AE202">
        <f>IF('WetLitterbags placem_collection'!Z203="","",'WetLitterbags placem_collection'!Z203)</f>
        <v>12.2</v>
      </c>
      <c r="AF202" s="246" t="str">
        <f>IF('WetLitterbags placem_collection'!AA203="","",'WetLitterbags placem_collection'!AA203)</f>
        <v>O</v>
      </c>
      <c r="AG202">
        <f>IF('WetLitterbags placem_collection'!AC203="","",'WetLitterbags placem_collection'!AC203)</f>
        <v>1</v>
      </c>
      <c r="AH202" s="24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placem_collection'!V203)),"YES","NO")</f>
        <v>NO</v>
      </c>
      <c r="AM202" t="str">
        <f>IF(ISNUMBER(SEARCH("H", 'WetLitterbags placem_collection'!V203)),"YES","NO")</f>
        <v>NO</v>
      </c>
      <c r="AN202" t="str">
        <f>IF(ISNUMBER(SEARCH("R", 'WetLitterbags placem_collection'!V203)),"YES","NO")</f>
        <v>YES</v>
      </c>
    </row>
    <row r="203" spans="1:40" ht="15" customHeight="1">
      <c r="A203" s="258" t="s">
        <v>2460</v>
      </c>
      <c r="B203" s="263">
        <f>'Dry_Litterbag Placem_Collection'!A204</f>
        <v>202</v>
      </c>
      <c r="C203" s="263" t="str">
        <f>'Dry_Litterbag Placem_Collection'!B204</f>
        <v>Maswa</v>
      </c>
      <c r="D203" s="263" t="s">
        <v>2659</v>
      </c>
      <c r="E203" s="263" t="s">
        <v>2526</v>
      </c>
      <c r="F203" s="263">
        <v>1</v>
      </c>
      <c r="G203" s="264" t="str">
        <f>'Dry_Litterbag Placem_Collection'!C204</f>
        <v>Dry_W2_CG1</v>
      </c>
      <c r="H203" s="265" t="s">
        <v>2541</v>
      </c>
      <c r="I203" s="266" t="s">
        <v>1147</v>
      </c>
      <c r="J203" s="223" t="str">
        <f>'WetLitterbags placem_collection'!K204</f>
        <v>G773</v>
      </c>
      <c r="K203" s="225">
        <f>IFERROR(INDEX('Green_rooibos initial weight'!$C$5:$C$1749,MATCH(J203, 'Green_rooibos initial weight'!$A$5:$A$1749,0)),"")</f>
        <v>1.718</v>
      </c>
      <c r="L203" s="225">
        <f>IFERROR(K203-(TBIcalc!$H$9+TBIcalc!$H$10),"")</f>
        <v>1.4681999999999999</v>
      </c>
      <c r="M203" s="391">
        <f>AVERAGE(Ashed_controlls!$K$2:$K$11)</f>
        <v>5.5147656768714146</v>
      </c>
      <c r="N203" s="225">
        <f t="shared" si="17"/>
        <v>1.3872322103321739</v>
      </c>
      <c r="O203" s="225">
        <f>IF(IFERROR(INDEX('Both teabags AfterWet'!$C$3:$C$841,MATCH(J203,'Both teabags AfterWet'!$A$3:$A$841,0)),"")="","",(IFERROR(INDEX('Both teabags AfterWet'!$C$3:$C$841,MATCH(J203,'Both teabags AfterWet'!$A$3:$A$841,0)),"")))</f>
        <v>0.84</v>
      </c>
      <c r="P203" s="225">
        <f>IFERROR(IF(O203&gt;0,O203-(TBIcalc!$H$9),""),"")</f>
        <v>0.68940000000000001</v>
      </c>
      <c r="Q203" s="225">
        <f>IFERROR(INDEX('Ashed teabags wet'!$K$2:$K$821,MATCH(J203,'Ashed teabags wet'!$A$2:$A$821,0)),"")</f>
        <v>12.200000000000349</v>
      </c>
      <c r="R203" s="225">
        <f t="shared" ref="R203:R266" si="21">IFERROR(P203-(Q203/100)*P203,"")</f>
        <v>0.60529319999999764</v>
      </c>
      <c r="S203" s="226">
        <f>'WetLitterbags placem_collection'!E204</f>
        <v>42769</v>
      </c>
      <c r="T203" s="226">
        <f>IF('WetLitterbags placem_collection'!G204="","",'WetLitterbags placem_collection'!G204)</f>
        <v>42814</v>
      </c>
      <c r="U203" s="227">
        <f t="shared" si="18"/>
        <v>45</v>
      </c>
      <c r="V203" s="225">
        <f t="shared" si="19"/>
        <v>0.77879999999999994</v>
      </c>
      <c r="W203" s="225">
        <f t="shared" si="20"/>
        <v>0.78193901033217628</v>
      </c>
      <c r="X203">
        <f>IFERROR(INDEX(Rainfall_Wet!$O$2:$O$217,MATCH(B203, Rainfall_Wet!$A$2:$A$217,0)),"")</f>
        <v>175.377105089</v>
      </c>
      <c r="Y203" s="231">
        <v>45.272914521112256</v>
      </c>
      <c r="Z203" s="231">
        <v>23.604531410916575</v>
      </c>
      <c r="AA203" s="231">
        <v>31.122554067971166</v>
      </c>
      <c r="AB203" s="232" t="s">
        <v>2673</v>
      </c>
      <c r="AC203" s="231">
        <v>2.0547560374568752</v>
      </c>
      <c r="AD203">
        <f>IF('WetLitterbags placem_collection'!AB204="","",'WetLitterbags placem_collection'!AB204)</f>
        <v>13.8</v>
      </c>
      <c r="AE203">
        <f>IF('WetLitterbags placem_collection'!Z204="","",'WetLitterbags placem_collection'!Z204)</f>
        <v>17.399999999999999</v>
      </c>
      <c r="AF203" s="246" t="str">
        <f>IF('WetLitterbags placem_collection'!AA204="","",'WetLitterbags placem_collection'!AA204)</f>
        <v>O</v>
      </c>
      <c r="AG203">
        <f>IF('WetLitterbags placem_collection'!AC204="","",'WetLitterbags placem_collection'!AC204)</f>
        <v>1</v>
      </c>
      <c r="AH203" s="24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placem_collection'!V204)),"YES","NO")</f>
        <v>NO</v>
      </c>
      <c r="AM203" t="str">
        <f>IF(ISNUMBER(SEARCH("H", 'WetLitterbags placem_collection'!V204)),"YES","NO")</f>
        <v>NO</v>
      </c>
      <c r="AN203" t="str">
        <f>IF(ISNUMBER(SEARCH("R", 'WetLitterbags placem_collection'!V204)),"YES","NO")</f>
        <v>YES</v>
      </c>
    </row>
    <row r="204" spans="1:40" ht="15" customHeight="1">
      <c r="A204" s="258" t="s">
        <v>2460</v>
      </c>
      <c r="B204" s="263">
        <f>'Dry_Litterbag Placem_Collection'!A205</f>
        <v>203</v>
      </c>
      <c r="C204" s="263" t="str">
        <f>'Dry_Litterbag Placem_Collection'!B205</f>
        <v>Maswa</v>
      </c>
      <c r="D204" s="263" t="s">
        <v>2659</v>
      </c>
      <c r="E204" s="263" t="s">
        <v>2526</v>
      </c>
      <c r="F204" s="263">
        <v>2</v>
      </c>
      <c r="G204" s="264" t="str">
        <f>'Dry_Litterbag Placem_Collection'!C205</f>
        <v>Dry_W1_CG2</v>
      </c>
      <c r="H204" s="265" t="s">
        <v>2541</v>
      </c>
      <c r="I204" s="266" t="s">
        <v>1147</v>
      </c>
      <c r="J204" s="223" t="str">
        <f>'WetLitterbags placem_collection'!K205</f>
        <v>G645</v>
      </c>
      <c r="K204" s="225">
        <f>IFERROR(INDEX('Green_rooibos initial weight'!$C$5:$C$1749,MATCH(J204, 'Green_rooibos initial weight'!$A$5:$A$1749,0)),"")</f>
        <v>2.238</v>
      </c>
      <c r="L204" s="225">
        <f>IFERROR(K204-(TBIcalc!$H$9+TBIcalc!$H$10),"")</f>
        <v>1.9882</v>
      </c>
      <c r="M204" s="391">
        <f>AVERAGE(Ashed_controlls!$K$2:$K$11)</f>
        <v>5.5147656768714146</v>
      </c>
      <c r="N204" s="225">
        <f t="shared" si="17"/>
        <v>1.8785554288124424</v>
      </c>
      <c r="O204" s="225">
        <f>IF(IFERROR(INDEX('Both teabags AfterWet'!$C$3:$C$841,MATCH(J204,'Both teabags AfterWet'!$A$3:$A$841,0)),"")="","",(IFERROR(INDEX('Both teabags AfterWet'!$C$3:$C$841,MATCH(J204,'Both teabags AfterWet'!$A$3:$A$841,0)),"")))</f>
        <v>0.80930000000000002</v>
      </c>
      <c r="P204" s="225">
        <f>IFERROR(IF(O204&gt;0,O204-(TBIcalc!$H$9),""),"")</f>
        <v>0.65870000000000006</v>
      </c>
      <c r="Q204" s="225">
        <f>IFERROR(INDEX('Ashed teabags wet'!$K$2:$K$821,MATCH(J204,'Ashed teabags wet'!$A$2:$A$821,0)),"")</f>
        <v>11.067388096409434</v>
      </c>
      <c r="R204" s="225">
        <f t="shared" si="21"/>
        <v>0.58579911460895107</v>
      </c>
      <c r="S204" s="226">
        <f>'WetLitterbags placem_collection'!E205</f>
        <v>42769</v>
      </c>
      <c r="T204" s="226">
        <f>IF('WetLitterbags placem_collection'!G205="","",'WetLitterbags placem_collection'!G205)</f>
        <v>42814</v>
      </c>
      <c r="U204" s="227">
        <f t="shared" si="18"/>
        <v>45</v>
      </c>
      <c r="V204" s="225">
        <f t="shared" si="19"/>
        <v>1.3294999999999999</v>
      </c>
      <c r="W204" s="225">
        <f t="shared" si="20"/>
        <v>1.2927563142034915</v>
      </c>
      <c r="X204">
        <f>IFERROR(INDEX(Rainfall_Wet!$O$2:$O$217,MATCH(B204, Rainfall_Wet!$A$2:$A$217,0)),"")</f>
        <v>175.377105089</v>
      </c>
      <c r="Y204" s="231">
        <v>47.96</v>
      </c>
      <c r="Z204" s="231">
        <v>22.919999999999995</v>
      </c>
      <c r="AA204" s="231">
        <v>29.120000000000012</v>
      </c>
      <c r="AB204" s="232" t="s">
        <v>2673</v>
      </c>
      <c r="AC204" s="231">
        <v>2.8831936914736325</v>
      </c>
      <c r="AD204">
        <f>IF('WetLitterbags placem_collection'!AB205="","",'WetLitterbags placem_collection'!AB205)</f>
        <v>5.13</v>
      </c>
      <c r="AE204">
        <f>IF('WetLitterbags placem_collection'!Z205="","",'WetLitterbags placem_collection'!Z205)</f>
        <v>5.13</v>
      </c>
      <c r="AF204" s="246" t="str">
        <f>IF('WetLitterbags placem_collection'!AA205="","",'WetLitterbags placem_collection'!AA205)</f>
        <v>O</v>
      </c>
      <c r="AG204">
        <f>IF('WetLitterbags placem_collection'!AC205="","",'WetLitterbags placem_collection'!AC205)</f>
        <v>1</v>
      </c>
      <c r="AH204" s="24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placem_collection'!V205)),"YES","NO")</f>
        <v>NO</v>
      </c>
      <c r="AM204" t="str">
        <f>IF(ISNUMBER(SEARCH("H", 'WetLitterbags placem_collection'!V205)),"YES","NO")</f>
        <v>NO</v>
      </c>
      <c r="AN204" t="str">
        <f>IF(ISNUMBER(SEARCH("R", 'WetLitterbags placem_collection'!V205)),"YES","NO")</f>
        <v>YES</v>
      </c>
    </row>
    <row r="205" spans="1:40" ht="15" customHeight="1">
      <c r="A205" s="258" t="s">
        <v>2460</v>
      </c>
      <c r="B205" s="263">
        <f>'Dry_Litterbag Placem_Collection'!A206</f>
        <v>204</v>
      </c>
      <c r="C205" s="263" t="str">
        <f>'Dry_Litterbag Placem_Collection'!B206</f>
        <v>Maswa</v>
      </c>
      <c r="D205" s="263" t="s">
        <v>2659</v>
      </c>
      <c r="E205" s="263" t="s">
        <v>2526</v>
      </c>
      <c r="F205" s="263">
        <v>3</v>
      </c>
      <c r="G205" s="264" t="str">
        <f>'Dry_Litterbag Placem_Collection'!C206</f>
        <v>Dry_W4_CG3</v>
      </c>
      <c r="H205" s="265" t="s">
        <v>2541</v>
      </c>
      <c r="I205" s="266" t="s">
        <v>1147</v>
      </c>
      <c r="J205" s="223" t="str">
        <f>'WetLitterbags placem_collection'!K206</f>
        <v>G814</v>
      </c>
      <c r="K205" s="225">
        <f>IFERROR(INDEX('Green_rooibos initial weight'!$C$5:$C$1749,MATCH(J205, 'Green_rooibos initial weight'!$A$5:$A$1749,0)),"")</f>
        <v>2.1480000000000001</v>
      </c>
      <c r="L205" s="225">
        <f>IFERROR(K205-(TBIcalc!$H$9+TBIcalc!$H$10),"")</f>
        <v>1.8982000000000001</v>
      </c>
      <c r="M205" s="391">
        <f>AVERAGE(Ashed_controlls!$K$2:$K$11)</f>
        <v>5.5147656768714146</v>
      </c>
      <c r="N205" s="225">
        <f t="shared" si="17"/>
        <v>1.793518717921627</v>
      </c>
      <c r="O205" s="225">
        <f>IF(IFERROR(INDEX('Both teabags AfterWet'!$C$3:$C$841,MATCH(J205,'Both teabags AfterWet'!$A$3:$A$841,0)),"")="","",(IFERROR(INDEX('Both teabags AfterWet'!$C$3:$C$841,MATCH(J205,'Both teabags AfterWet'!$A$3:$A$841,0)),"")))</f>
        <v>0.68300000000000005</v>
      </c>
      <c r="P205" s="225">
        <f>IFERROR(IF(O205&gt;0,O205-(TBIcalc!$H$9),""),"")</f>
        <v>0.53239999999999998</v>
      </c>
      <c r="Q205" s="225">
        <f>IFERROR(INDEX('Ashed teabags wet'!$K$2:$K$821,MATCH(J205,'Ashed teabags wet'!$A$2:$A$821,0)),"")</f>
        <v>11.500000000000204</v>
      </c>
      <c r="R205" s="225">
        <f t="shared" si="21"/>
        <v>0.47117399999999887</v>
      </c>
      <c r="S205" s="226">
        <f>'WetLitterbags placem_collection'!E206</f>
        <v>42769</v>
      </c>
      <c r="T205" s="226">
        <f>IF('WetLitterbags placem_collection'!G206="","",'WetLitterbags placem_collection'!G206)</f>
        <v>42813</v>
      </c>
      <c r="U205" s="227">
        <f t="shared" si="18"/>
        <v>44</v>
      </c>
      <c r="V205" s="225">
        <f t="shared" si="19"/>
        <v>1.3658000000000001</v>
      </c>
      <c r="W205" s="225">
        <f t="shared" si="20"/>
        <v>1.3223447179216281</v>
      </c>
      <c r="X205">
        <f>IFERROR(INDEX(Rainfall_Wet!$O$2:$O$217,MATCH(B205, Rainfall_Wet!$A$2:$A$217,0)),"")</f>
        <v>175.054685654</v>
      </c>
      <c r="Y205" s="231">
        <v>28.145762029394</v>
      </c>
      <c r="Z205" s="231">
        <v>25.085564727199518</v>
      </c>
      <c r="AA205" s="231">
        <v>46.768673243406489</v>
      </c>
      <c r="AB205" s="232" t="s">
        <v>2670</v>
      </c>
      <c r="AC205" s="231">
        <v>2.1716214884179394</v>
      </c>
      <c r="AD205">
        <f>IF('WetLitterbags placem_collection'!AB206="","",'WetLitterbags placem_collection'!AB206)</f>
        <v>7.9</v>
      </c>
      <c r="AE205">
        <f>IF('WetLitterbags placem_collection'!Z206="","",'WetLitterbags placem_collection'!Z206)</f>
        <v>7.9</v>
      </c>
      <c r="AF205" s="246" t="str">
        <f>IF('WetLitterbags placem_collection'!AA206="","",'WetLitterbags placem_collection'!AA206)</f>
        <v>O</v>
      </c>
      <c r="AG205">
        <f>IF('WetLitterbags placem_collection'!AC206="","",'WetLitterbags placem_collection'!AC206)</f>
        <v>1</v>
      </c>
      <c r="AH205" s="24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placem_collection'!V206)),"YES","NO")</f>
        <v>NO</v>
      </c>
      <c r="AM205" t="str">
        <f>IF(ISNUMBER(SEARCH("H", 'WetLitterbags placem_collection'!V206)),"YES","NO")</f>
        <v>NO</v>
      </c>
      <c r="AN205" t="str">
        <f>IF(ISNUMBER(SEARCH("R", 'WetLitterbags placem_collection'!V206)),"YES","NO")</f>
        <v>YES</v>
      </c>
    </row>
    <row r="206" spans="1:40" ht="15" customHeight="1">
      <c r="A206" s="258" t="s">
        <v>2460</v>
      </c>
      <c r="B206" s="263">
        <f>'Dry_Litterbag Placem_Collection'!A207</f>
        <v>205</v>
      </c>
      <c r="C206" s="263" t="str">
        <f>'Dry_Litterbag Placem_Collection'!B207</f>
        <v xml:space="preserve">Mwantimba
</v>
      </c>
      <c r="D206" s="263" t="s">
        <v>2460</v>
      </c>
      <c r="E206" s="263" t="s">
        <v>2526</v>
      </c>
      <c r="F206" s="263">
        <v>2</v>
      </c>
      <c r="G206" s="264" t="str">
        <f>'Dry_Litterbag Placem_Collection'!C207</f>
        <v>Wet_Ag1_CG2</v>
      </c>
      <c r="H206" s="265" t="s">
        <v>2541</v>
      </c>
      <c r="I206" s="266" t="s">
        <v>1147</v>
      </c>
      <c r="J206" s="223" t="str">
        <f>'WetLitterbags placem_collection'!K207</f>
        <v>G621</v>
      </c>
      <c r="K206" s="225">
        <f>IFERROR(INDEX('Green_rooibos initial weight'!$C$5:$C$1749,MATCH(J206, 'Green_rooibos initial weight'!$A$5:$A$1749,0)),"")</f>
        <v>1.925</v>
      </c>
      <c r="L206" s="225">
        <f>IFERROR(K206-(TBIcalc!$H$9+TBIcalc!$H$10),"")</f>
        <v>1.6752</v>
      </c>
      <c r="M206" s="391">
        <f>AVERAGE(Ashed_controlls!$K$2:$K$11)</f>
        <v>5.5147656768714146</v>
      </c>
      <c r="N206" s="225">
        <f t="shared" si="17"/>
        <v>1.5828166453810502</v>
      </c>
      <c r="O206" s="225">
        <f>IF(IFERROR(INDEX('Both teabags AfterWet'!$C$3:$C$841,MATCH(J206,'Both teabags AfterWet'!$A$3:$A$841,0)),"")="","",(IFERROR(INDEX('Both teabags AfterWet'!$C$3:$C$841,MATCH(J206,'Both teabags AfterWet'!$A$3:$A$841,0)),"")))</f>
        <v>0.74099999999999999</v>
      </c>
      <c r="P206" s="225">
        <f>IFERROR(IF(O206&gt;0,O206-(TBIcalc!$H$9),""),"")</f>
        <v>0.59040000000000004</v>
      </c>
      <c r="Q206" s="225">
        <f>IFERROR(INDEX('Ashed teabags wet'!$K$2:$K$821,MATCH(J206,'Ashed teabags wet'!$A$2:$A$821,0)),"")</f>
        <v>22.042218949435743</v>
      </c>
      <c r="R206" s="225">
        <f t="shared" si="21"/>
        <v>0.46026273932253137</v>
      </c>
      <c r="S206" s="226">
        <f>'WetLitterbags placem_collection'!E207</f>
        <v>42769</v>
      </c>
      <c r="T206" s="226">
        <f>IF('WetLitterbags placem_collection'!G207="","",'WetLitterbags placem_collection'!G207)</f>
        <v>42814</v>
      </c>
      <c r="U206" s="227">
        <f t="shared" si="18"/>
        <v>45</v>
      </c>
      <c r="V206" s="225">
        <f t="shared" si="19"/>
        <v>1.0848</v>
      </c>
      <c r="W206" s="225">
        <f t="shared" si="20"/>
        <v>1.1225539060585188</v>
      </c>
      <c r="X206">
        <f>IFERROR(INDEX(Rainfall_Wet!$O$2:$O$217,MATCH(B206, Rainfall_Wet!$A$2:$A$217,0)),"")</f>
        <v>175.377105089</v>
      </c>
      <c r="Y206" s="231">
        <v>45.96</v>
      </c>
      <c r="Z206" s="231">
        <v>14.920000000000003</v>
      </c>
      <c r="AA206" s="231">
        <v>39.119999999999997</v>
      </c>
      <c r="AB206" s="232" t="s">
        <v>2673</v>
      </c>
      <c r="AC206" s="231">
        <v>2.0374568753080333</v>
      </c>
      <c r="AD206">
        <f>IF('WetLitterbags placem_collection'!AB207="","",'WetLitterbags placem_collection'!AB207)</f>
        <v>5.13</v>
      </c>
      <c r="AE206">
        <f>IF('WetLitterbags placem_collection'!Z207="","",'WetLitterbags placem_collection'!Z207)</f>
        <v>5.13</v>
      </c>
      <c r="AF206" s="246" t="str">
        <f>IF('WetLitterbags placem_collection'!AA207="","",'WetLitterbags placem_collection'!AA207)</f>
        <v>O</v>
      </c>
      <c r="AG206">
        <f>IF('WetLitterbags placem_collection'!AC207="","",'WetLitterbags placem_collection'!AC207)</f>
        <v>1</v>
      </c>
      <c r="AH206" s="24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placem_collection'!V207)),"YES","NO")</f>
        <v>NO</v>
      </c>
      <c r="AM206" t="str">
        <f>IF(ISNUMBER(SEARCH("H", 'WetLitterbags placem_collection'!V207)),"YES","NO")</f>
        <v>YES</v>
      </c>
      <c r="AN206" t="str">
        <f>IF(ISNUMBER(SEARCH("R", 'WetLitterbags placem_collection'!V207)),"YES","NO")</f>
        <v>YES</v>
      </c>
    </row>
    <row r="207" spans="1:40" ht="15" customHeight="1">
      <c r="A207" s="258" t="s">
        <v>2460</v>
      </c>
      <c r="B207" s="263">
        <f>'Dry_Litterbag Placem_Collection'!A208</f>
        <v>206</v>
      </c>
      <c r="C207" s="263" t="str">
        <f>'Dry_Litterbag Placem_Collection'!B208</f>
        <v xml:space="preserve">Mwantimba
</v>
      </c>
      <c r="D207" s="263" t="s">
        <v>2460</v>
      </c>
      <c r="E207" s="263" t="s">
        <v>2526</v>
      </c>
      <c r="F207" s="263">
        <v>1</v>
      </c>
      <c r="G207" s="264" t="str">
        <f>'Dry_Litterbag Placem_Collection'!C208</f>
        <v>Wet_Ag2_CG1</v>
      </c>
      <c r="H207" s="265" t="s">
        <v>2541</v>
      </c>
      <c r="I207" s="266" t="s">
        <v>1147</v>
      </c>
      <c r="J207" s="223" t="str">
        <f>'WetLitterbags placem_collection'!K208</f>
        <v>G677</v>
      </c>
      <c r="K207" s="225">
        <f>IFERROR(INDEX('Green_rooibos initial weight'!$C$5:$C$1749,MATCH(J207, 'Green_rooibos initial weight'!$A$5:$A$1749,0)),"")</f>
        <v>2.1269999999999998</v>
      </c>
      <c r="L207" s="225">
        <f>IFERROR(K207-(TBIcalc!$H$9+TBIcalc!$H$10),"")</f>
        <v>1.8771999999999998</v>
      </c>
      <c r="M207" s="391">
        <f>AVERAGE(Ashed_controlls!$K$2:$K$11)</f>
        <v>5.5147656768714146</v>
      </c>
      <c r="N207" s="225">
        <f t="shared" si="17"/>
        <v>1.7736768187137695</v>
      </c>
      <c r="O207" s="225">
        <f>IF(IFERROR(INDEX('Both teabags AfterWet'!$C$3:$C$841,MATCH(J207,'Both teabags AfterWet'!$A$3:$A$841,0)),"")="","",(IFERROR(INDEX('Both teabags AfterWet'!$C$3:$C$841,MATCH(J207,'Both teabags AfterWet'!$A$3:$A$841,0)),"")))</f>
        <v>0.85699999999999998</v>
      </c>
      <c r="P207" s="225">
        <f>IFERROR(IF(O207&gt;0,O207-(TBIcalc!$H$9),""),"")</f>
        <v>0.70639999999999992</v>
      </c>
      <c r="Q207" s="225">
        <f>IFERROR(INDEX('Ashed teabags wet'!$K$2:$K$821,MATCH(J207,'Ashed teabags wet'!$A$2:$A$821,0)),"")</f>
        <v>17.335314512134694</v>
      </c>
      <c r="R207" s="225">
        <f t="shared" si="21"/>
        <v>0.58394333828628042</v>
      </c>
      <c r="S207" s="226">
        <f>'WetLitterbags placem_collection'!E208</f>
        <v>42769</v>
      </c>
      <c r="T207" s="226">
        <f>IF('WetLitterbags placem_collection'!G208="","",'WetLitterbags placem_collection'!G208)</f>
        <v>42814</v>
      </c>
      <c r="U207" s="227">
        <f t="shared" si="18"/>
        <v>45</v>
      </c>
      <c r="V207" s="225">
        <f t="shared" si="19"/>
        <v>1.1707999999999998</v>
      </c>
      <c r="W207" s="225">
        <f t="shared" si="20"/>
        <v>1.1897334804274891</v>
      </c>
      <c r="X207">
        <f>IFERROR(INDEX(Rainfall_Wet!$O$2:$O$217,MATCH(B207, Rainfall_Wet!$A$2:$A$217,0)),"")</f>
        <v>175.377105089</v>
      </c>
      <c r="Y207" s="231">
        <v>34.344660194174757</v>
      </c>
      <c r="Z207" s="231">
        <v>19.22727272727273</v>
      </c>
      <c r="AA207" s="231">
        <v>46.428067078552509</v>
      </c>
      <c r="AB207" s="232" t="s">
        <v>2670</v>
      </c>
      <c r="AC207" s="231">
        <v>1.7452932479053718</v>
      </c>
      <c r="AD207">
        <f>IF('WetLitterbags placem_collection'!AB208="","",'WetLitterbags placem_collection'!AB208)</f>
        <v>13.8</v>
      </c>
      <c r="AE207">
        <f>IF('WetLitterbags placem_collection'!Z208="","",'WetLitterbags placem_collection'!Z208)</f>
        <v>17.399999999999999</v>
      </c>
      <c r="AF207" s="246" t="str">
        <f>IF('WetLitterbags placem_collection'!AA208="","",'WetLitterbags placem_collection'!AA208)</f>
        <v>O</v>
      </c>
      <c r="AG207">
        <f>IF('WetLitterbags placem_collection'!AC208="","",'WetLitterbags placem_collection'!AC208)</f>
        <v>1</v>
      </c>
      <c r="AH207" s="24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placem_collection'!V208)),"YES","NO")</f>
        <v>NO</v>
      </c>
      <c r="AM207" t="str">
        <f>IF(ISNUMBER(SEARCH("H", 'WetLitterbags placem_collection'!V208)),"YES","NO")</f>
        <v>NO</v>
      </c>
      <c r="AN207" t="str">
        <f>IF(ISNUMBER(SEARCH("R", 'WetLitterbags placem_collection'!V208)),"YES","NO")</f>
        <v>YES</v>
      </c>
    </row>
    <row r="208" spans="1:40" ht="15" customHeight="1">
      <c r="A208" s="258" t="s">
        <v>2460</v>
      </c>
      <c r="B208" s="263">
        <f>'Dry_Litterbag Placem_Collection'!A209</f>
        <v>207</v>
      </c>
      <c r="C208" s="263" t="str">
        <f>'Dry_Litterbag Placem_Collection'!B209</f>
        <v xml:space="preserve">Mwantimba
</v>
      </c>
      <c r="D208" s="263" t="s">
        <v>2460</v>
      </c>
      <c r="E208" s="263" t="s">
        <v>2526</v>
      </c>
      <c r="F208" s="263">
        <v>4</v>
      </c>
      <c r="G208" s="264" t="str">
        <f>'Dry_Litterbag Placem_Collection'!C209</f>
        <v>Wet_Ag3_CG4</v>
      </c>
      <c r="H208" s="265" t="s">
        <v>2541</v>
      </c>
      <c r="I208" s="266" t="s">
        <v>1147</v>
      </c>
      <c r="J208" s="223" t="str">
        <f>'WetLitterbags placem_collection'!K209</f>
        <v>G574</v>
      </c>
      <c r="K208" s="225">
        <f>IFERROR(INDEX('Green_rooibos initial weight'!$C$5:$C$1749,MATCH(J208, 'Green_rooibos initial weight'!$A$5:$A$1749,0)),"")</f>
        <v>1.984</v>
      </c>
      <c r="L208" s="225">
        <f>IFERROR(K208-(TBIcalc!$H$9+TBIcalc!$H$10),"")</f>
        <v>1.7342</v>
      </c>
      <c r="M208" s="391">
        <f>AVERAGE(Ashed_controlls!$K$2:$K$11)</f>
        <v>5.5147656768714146</v>
      </c>
      <c r="N208" s="225">
        <f t="shared" si="17"/>
        <v>1.6385629336316958</v>
      </c>
      <c r="O208" s="225">
        <f>IF(IFERROR(INDEX('Both teabags AfterWet'!$C$3:$C$841,MATCH(J208,'Both teabags AfterWet'!$A$3:$A$841,0)),"")="","",(IFERROR(INDEX('Both teabags AfterWet'!$C$3:$C$841,MATCH(J208,'Both teabags AfterWet'!$A$3:$A$841,0)),"")))</f>
        <v>0.77700000000000002</v>
      </c>
      <c r="P208" s="225">
        <f>IFERROR(IF(O208&gt;0,O208-(TBIcalc!$H$9),""),"")</f>
        <v>0.62640000000000007</v>
      </c>
      <c r="Q208" s="225">
        <f>IFERROR(INDEX('Ashed teabags wet'!$K$2:$K$821,MATCH(J208,'Ashed teabags wet'!$A$2:$A$821,0)),"")</f>
        <v>23.600000000000428</v>
      </c>
      <c r="R208" s="225">
        <f t="shared" si="21"/>
        <v>0.47856959999999737</v>
      </c>
      <c r="S208" s="226">
        <f>'WetLitterbags placem_collection'!E209</f>
        <v>42769</v>
      </c>
      <c r="T208" s="226">
        <f>IF('WetLitterbags placem_collection'!G209="","",'WetLitterbags placem_collection'!G209)</f>
        <v>42813</v>
      </c>
      <c r="U208" s="227">
        <f t="shared" si="18"/>
        <v>44</v>
      </c>
      <c r="V208" s="225">
        <f t="shared" si="19"/>
        <v>1.1077999999999999</v>
      </c>
      <c r="W208" s="225">
        <f t="shared" si="20"/>
        <v>1.1599933336316983</v>
      </c>
      <c r="X208">
        <f>IFERROR(INDEX(Rainfall_Wet!$O$2:$O$217,MATCH(B208, Rainfall_Wet!$A$2:$A$217,0)),"")</f>
        <v>175.054685654</v>
      </c>
      <c r="Y208" s="231">
        <v>27.96</v>
      </c>
      <c r="Z208" s="231">
        <v>4.9200000000000017</v>
      </c>
      <c r="AA208" s="231">
        <v>67.12</v>
      </c>
      <c r="AB208" s="232" t="s">
        <v>2670</v>
      </c>
      <c r="AC208" s="231">
        <v>0.88610152784622953</v>
      </c>
      <c r="AD208">
        <f>IF('WetLitterbags placem_collection'!AB209="","",'WetLitterbags placem_collection'!AB209)</f>
        <v>15.2</v>
      </c>
      <c r="AE208">
        <f>IF('WetLitterbags placem_collection'!Z209="","",'WetLitterbags placem_collection'!Z209)</f>
        <v>12.2</v>
      </c>
      <c r="AF208" s="246" t="str">
        <f>IF('WetLitterbags placem_collection'!AA209="","",'WetLitterbags placem_collection'!AA209)</f>
        <v>O</v>
      </c>
      <c r="AG208">
        <f>IF('WetLitterbags placem_collection'!AC209="","",'WetLitterbags placem_collection'!AC209)</f>
        <v>1</v>
      </c>
      <c r="AH208" s="24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placem_collection'!V209)),"YES","NO")</f>
        <v>NO</v>
      </c>
      <c r="AM208" t="str">
        <f>IF(ISNUMBER(SEARCH("H", 'WetLitterbags placem_collection'!V209)),"YES","NO")</f>
        <v>NO</v>
      </c>
      <c r="AN208" t="str">
        <f>IF(ISNUMBER(SEARCH("R", 'WetLitterbags placem_collection'!V209)),"YES","NO")</f>
        <v>YES</v>
      </c>
    </row>
    <row r="209" spans="1:40" ht="15" customHeight="1">
      <c r="A209" s="258" t="s">
        <v>2460</v>
      </c>
      <c r="B209" s="263">
        <f>'Dry_Litterbag Placem_Collection'!A210</f>
        <v>208</v>
      </c>
      <c r="C209" s="263" t="str">
        <f>'Dry_Litterbag Placem_Collection'!B210</f>
        <v xml:space="preserve">Mwantimba
</v>
      </c>
      <c r="D209" s="263" t="s">
        <v>2460</v>
      </c>
      <c r="E209" s="263" t="s">
        <v>2526</v>
      </c>
      <c r="F209" s="263">
        <v>3</v>
      </c>
      <c r="G209" s="264" t="str">
        <f>'Dry_Litterbag Placem_Collection'!C210</f>
        <v>Wet_Ag4_CG3</v>
      </c>
      <c r="H209" s="265" t="s">
        <v>2541</v>
      </c>
      <c r="I209" s="266" t="s">
        <v>1147</v>
      </c>
      <c r="J209" s="223" t="str">
        <f>'WetLitterbags placem_collection'!K210</f>
        <v>G710</v>
      </c>
      <c r="K209" s="225">
        <f>IFERROR(INDEX('Green_rooibos initial weight'!$C$5:$C$1749,MATCH(J209, 'Green_rooibos initial weight'!$A$5:$A$1749,0)),"")</f>
        <v>2.0270000000000001</v>
      </c>
      <c r="L209" s="225">
        <f>IFERROR(K209-(TBIcalc!$H$9+TBIcalc!$H$10),"")</f>
        <v>1.7772000000000001</v>
      </c>
      <c r="M209" s="391">
        <f>AVERAGE(Ashed_controlls!$K$2:$K$11)</f>
        <v>5.5147656768714146</v>
      </c>
      <c r="N209" s="225">
        <f t="shared" si="17"/>
        <v>1.6791915843906413</v>
      </c>
      <c r="O209" s="225">
        <f>IF(IFERROR(INDEX('Both teabags AfterWet'!$C$3:$C$841,MATCH(J209,'Both teabags AfterWet'!$A$3:$A$841,0)),"")="","",(IFERROR(INDEX('Both teabags AfterWet'!$C$3:$C$841,MATCH(J209,'Both teabags AfterWet'!$A$3:$A$841,0)),"")))</f>
        <v>0.91</v>
      </c>
      <c r="P209" s="225">
        <f>IFERROR(IF(O209&gt;0,O209-(TBIcalc!$H$9),""),"")</f>
        <v>0.75940000000000007</v>
      </c>
      <c r="Q209" s="225">
        <f>IFERROR(INDEX('Ashed teabags wet'!$K$2:$K$821,MATCH(J209,'Ashed teabags wet'!$A$2:$A$821,0)),"")</f>
        <v>18.435475834579655</v>
      </c>
      <c r="R209" s="225">
        <f t="shared" si="21"/>
        <v>0.61940099651220215</v>
      </c>
      <c r="S209" s="226">
        <f>'WetLitterbags placem_collection'!E210</f>
        <v>42769</v>
      </c>
      <c r="T209" s="226">
        <f>IF('WetLitterbags placem_collection'!G210="","",'WetLitterbags placem_collection'!G210)</f>
        <v>42813</v>
      </c>
      <c r="U209" s="227">
        <f t="shared" si="18"/>
        <v>44</v>
      </c>
      <c r="V209" s="225">
        <f t="shared" si="19"/>
        <v>1.0178</v>
      </c>
      <c r="W209" s="225">
        <f t="shared" si="20"/>
        <v>1.0597905878784393</v>
      </c>
      <c r="X209">
        <f>IFERROR(INDEX(Rainfall_Wet!$O$2:$O$217,MATCH(B209, Rainfall_Wet!$A$2:$A$217,0)),"")</f>
        <v>175.054685654</v>
      </c>
      <c r="Y209" s="231">
        <v>17.96</v>
      </c>
      <c r="Z209" s="231">
        <v>4.9199999999999982</v>
      </c>
      <c r="AA209" s="231">
        <v>77.12</v>
      </c>
      <c r="AB209" s="232" t="s">
        <v>2671</v>
      </c>
      <c r="AC209" s="231">
        <v>2.0220798422868409</v>
      </c>
      <c r="AD209">
        <f>IF('WetLitterbags placem_collection'!AB210="","",'WetLitterbags placem_collection'!AB210)</f>
        <v>7.9</v>
      </c>
      <c r="AE209">
        <f>IF('WetLitterbags placem_collection'!Z210="","",'WetLitterbags placem_collection'!Z210)</f>
        <v>7.9</v>
      </c>
      <c r="AF209" s="246" t="str">
        <f>IF('WetLitterbags placem_collection'!AA210="","",'WetLitterbags placem_collection'!AA210)</f>
        <v>O</v>
      </c>
      <c r="AG209">
        <f>IF('WetLitterbags placem_collection'!AC210="","",'WetLitterbags placem_collection'!AC210)</f>
        <v>1</v>
      </c>
      <c r="AH209" s="24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placem_collection'!V210)),"YES","NO")</f>
        <v>NO</v>
      </c>
      <c r="AM209" t="str">
        <f>IF(ISNUMBER(SEARCH("H", 'WetLitterbags placem_collection'!V210)),"YES","NO")</f>
        <v>NO</v>
      </c>
      <c r="AN209" t="str">
        <f>IF(ISNUMBER(SEARCH("R", 'WetLitterbags placem_collection'!V210)),"YES","NO")</f>
        <v>YES</v>
      </c>
    </row>
    <row r="210" spans="1:40" ht="15" customHeight="1">
      <c r="A210" s="258" t="s">
        <v>2460</v>
      </c>
      <c r="B210" s="263">
        <f>'Dry_Litterbag Placem_Collection'!A211</f>
        <v>209</v>
      </c>
      <c r="C210" s="263" t="str">
        <f>'Dry_Litterbag Placem_Collection'!B211</f>
        <v xml:space="preserve">Mwantimba
</v>
      </c>
      <c r="D210" s="263" t="s">
        <v>2460</v>
      </c>
      <c r="E210" s="263" t="s">
        <v>2526</v>
      </c>
      <c r="F210" s="263">
        <v>2</v>
      </c>
      <c r="G210" s="264" t="str">
        <f>'Dry_Litterbag Placem_Collection'!C211</f>
        <v>Wet_P1_CG2</v>
      </c>
      <c r="H210" s="265" t="s">
        <v>2541</v>
      </c>
      <c r="I210" s="266" t="s">
        <v>1147</v>
      </c>
      <c r="J210" s="223" t="str">
        <f>'WetLitterbags placem_collection'!K211</f>
        <v>G604</v>
      </c>
      <c r="K210" s="225">
        <f>IFERROR(INDEX('Green_rooibos initial weight'!$C$5:$C$1749,MATCH(J210, 'Green_rooibos initial weight'!$A$5:$A$1749,0)),"")</f>
        <v>2.0390000000000001</v>
      </c>
      <c r="L210" s="225">
        <f>IFERROR(K210-(TBIcalc!$H$9+TBIcalc!$H$10),"")</f>
        <v>1.7892000000000001</v>
      </c>
      <c r="M210" s="391">
        <f>AVERAGE(Ashed_controlls!$K$2:$K$11)</f>
        <v>5.5147656768714146</v>
      </c>
      <c r="N210" s="225">
        <f t="shared" si="17"/>
        <v>1.6905298125094168</v>
      </c>
      <c r="O210" s="225">
        <f>IF(IFERROR(INDEX('Both teabags AfterWet'!$C$3:$C$841,MATCH(J210,'Both teabags AfterWet'!$A$3:$A$841,0)),"")="","",(IFERROR(INDEX('Both teabags AfterWet'!$C$3:$C$841,MATCH(J210,'Both teabags AfterWet'!$A$3:$A$841,0)),"")))</f>
        <v>0.748</v>
      </c>
      <c r="P210" s="225">
        <f>IFERROR(IF(O210&gt;0,O210-(TBIcalc!$H$9),""),"")</f>
        <v>0.59739999999999993</v>
      </c>
      <c r="Q210" s="225">
        <f>IFERROR(INDEX('Ashed teabags wet'!$K$2:$K$821,MATCH(J210,'Ashed teabags wet'!$A$2:$A$821,0)),"")</f>
        <v>16.351888667991876</v>
      </c>
      <c r="R210" s="225">
        <f t="shared" si="21"/>
        <v>0.49971381709741647</v>
      </c>
      <c r="S210" s="226">
        <f>'WetLitterbags placem_collection'!E211</f>
        <v>42769</v>
      </c>
      <c r="T210" s="226">
        <f>IF('WetLitterbags placem_collection'!G211="","",'WetLitterbags placem_collection'!G211)</f>
        <v>42814</v>
      </c>
      <c r="U210" s="227">
        <f t="shared" si="18"/>
        <v>45</v>
      </c>
      <c r="V210" s="225">
        <f t="shared" si="19"/>
        <v>1.1918000000000002</v>
      </c>
      <c r="W210" s="225">
        <f t="shared" si="20"/>
        <v>1.1908159954120003</v>
      </c>
      <c r="X210">
        <f>IFERROR(INDEX(Rainfall_Wet!$O$2:$O$217,MATCH(B210, Rainfall_Wet!$A$2:$A$217,0)),"")</f>
        <v>175.377105089</v>
      </c>
      <c r="Y210" s="231">
        <v>31.214836424255054</v>
      </c>
      <c r="Z210" s="231">
        <v>11.377370285476141</v>
      </c>
      <c r="AA210" s="231">
        <v>57.407793290268799</v>
      </c>
      <c r="AB210" s="232" t="s">
        <v>2670</v>
      </c>
      <c r="AC210" s="231">
        <v>1.7337604731394776</v>
      </c>
      <c r="AD210">
        <f>IF('WetLitterbags placem_collection'!AB211="","",'WetLitterbags placem_collection'!AB211)</f>
        <v>5.13</v>
      </c>
      <c r="AE210">
        <f>IF('WetLitterbags placem_collection'!Z211="","",'WetLitterbags placem_collection'!Z211)</f>
        <v>5.13</v>
      </c>
      <c r="AF210" s="246" t="str">
        <f>IF('WetLitterbags placem_collection'!AA211="","",'WetLitterbags placem_collection'!AA211)</f>
        <v>O</v>
      </c>
      <c r="AG210">
        <f>IF('WetLitterbags placem_collection'!AC211="","",'WetLitterbags placem_collection'!AC211)</f>
        <v>1</v>
      </c>
      <c r="AH210" s="24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placem_collection'!V211)),"YES","NO")</f>
        <v>NO</v>
      </c>
      <c r="AM210" t="str">
        <f>IF(ISNUMBER(SEARCH("H", 'WetLitterbags placem_collection'!V211)),"YES","NO")</f>
        <v>NO</v>
      </c>
      <c r="AN210" t="str">
        <f>IF(ISNUMBER(SEARCH("R", 'WetLitterbags placem_collection'!V211)),"YES","NO")</f>
        <v>YES</v>
      </c>
    </row>
    <row r="211" spans="1:40" ht="15" customHeight="1">
      <c r="A211" s="258" t="s">
        <v>2460</v>
      </c>
      <c r="B211" s="263">
        <f>'Dry_Litterbag Placem_Collection'!A212</f>
        <v>210</v>
      </c>
      <c r="C211" s="263" t="str">
        <f>'Dry_Litterbag Placem_Collection'!B212</f>
        <v xml:space="preserve">Mwantimba
</v>
      </c>
      <c r="D211" s="263" t="s">
        <v>2460</v>
      </c>
      <c r="E211" s="263" t="s">
        <v>2526</v>
      </c>
      <c r="F211" s="263">
        <v>4</v>
      </c>
      <c r="G211" s="264" t="str">
        <f>'Dry_Litterbag Placem_Collection'!C212</f>
        <v>Wet_P2_CG4</v>
      </c>
      <c r="H211" s="265" t="s">
        <v>2541</v>
      </c>
      <c r="I211" s="266" t="s">
        <v>1147</v>
      </c>
      <c r="J211" s="223" t="str">
        <f>'WetLitterbags placem_collection'!K212</f>
        <v>G871</v>
      </c>
      <c r="K211" s="225">
        <f>IFERROR(INDEX('Green_rooibos initial weight'!$C$5:$C$1749,MATCH(J211, 'Green_rooibos initial weight'!$A$5:$A$1749,0)),"")</f>
        <v>2.0680000000000001</v>
      </c>
      <c r="L211" s="225">
        <f>IFERROR(K211-(TBIcalc!$H$9+TBIcalc!$H$10),"")</f>
        <v>1.8182</v>
      </c>
      <c r="M211" s="391">
        <f>AVERAGE(Ashed_controlls!$K$2:$K$11)</f>
        <v>5.5147656768714146</v>
      </c>
      <c r="N211" s="225">
        <f t="shared" si="17"/>
        <v>1.7179305304631241</v>
      </c>
      <c r="O211" s="225">
        <f>IF(IFERROR(INDEX('Both teabags AfterWet'!$C$3:$C$841,MATCH(J211,'Both teabags AfterWet'!$A$3:$A$841,0)),"")="","",(IFERROR(INDEX('Both teabags AfterWet'!$C$3:$C$841,MATCH(J211,'Both teabags AfterWet'!$A$3:$A$841,0)),"")))</f>
        <v>0.83130000000000004</v>
      </c>
      <c r="P211" s="225">
        <f>IFERROR(IF(O211&gt;0,O211-(TBIcalc!$H$9),""),"")</f>
        <v>0.68070000000000008</v>
      </c>
      <c r="Q211" s="225">
        <f>IFERROR(INDEX('Ashed teabags wet'!$K$2:$K$821,MATCH(J211,'Ashed teabags wet'!$A$2:$A$821,0)),"")</f>
        <v>17.063492063492387</v>
      </c>
      <c r="R211" s="225">
        <f t="shared" si="21"/>
        <v>0.56454880952380737</v>
      </c>
      <c r="S211" s="226">
        <f>'WetLitterbags placem_collection'!E212</f>
        <v>42769</v>
      </c>
      <c r="T211" s="226">
        <f>IF('WetLitterbags placem_collection'!G212="","",'WetLitterbags placem_collection'!G212)</f>
        <v>42813</v>
      </c>
      <c r="U211" s="227">
        <f t="shared" si="18"/>
        <v>44</v>
      </c>
      <c r="V211" s="225">
        <f t="shared" si="19"/>
        <v>1.1375</v>
      </c>
      <c r="W211" s="225">
        <f t="shared" si="20"/>
        <v>1.1533817209393167</v>
      </c>
      <c r="X211">
        <f>IFERROR(INDEX(Rainfall_Wet!$O$2:$O$217,MATCH(B211, Rainfall_Wet!$A$2:$A$217,0)),"")</f>
        <v>175.054685654</v>
      </c>
      <c r="Y211" s="231">
        <v>33.96</v>
      </c>
      <c r="Z211" s="231">
        <v>8.9200000000000017</v>
      </c>
      <c r="AA211" s="231">
        <v>57.12</v>
      </c>
      <c r="AB211" s="232" t="s">
        <v>2670</v>
      </c>
      <c r="AC211" s="231">
        <v>2.072055199605717</v>
      </c>
      <c r="AD211">
        <f>IF('WetLitterbags placem_collection'!AB212="","",'WetLitterbags placem_collection'!AB212)</f>
        <v>15.2</v>
      </c>
      <c r="AE211">
        <f>IF('WetLitterbags placem_collection'!Z212="","",'WetLitterbags placem_collection'!Z212)</f>
        <v>12.2</v>
      </c>
      <c r="AF211" s="246" t="str">
        <f>IF('WetLitterbags placem_collection'!AA212="","",'WetLitterbags placem_collection'!AA212)</f>
        <v>O</v>
      </c>
      <c r="AG211">
        <f>IF('WetLitterbags placem_collection'!AC212="","",'WetLitterbags placem_collection'!AC212)</f>
        <v>1</v>
      </c>
      <c r="AH211" s="24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placem_collection'!V212)),"YES","NO")</f>
        <v>NO</v>
      </c>
      <c r="AM211" t="str">
        <f>IF(ISNUMBER(SEARCH("H", 'WetLitterbags placem_collection'!V212)),"YES","NO")</f>
        <v>NO</v>
      </c>
      <c r="AN211" t="str">
        <f>IF(ISNUMBER(SEARCH("R", 'WetLitterbags placem_collection'!V212)),"YES","NO")</f>
        <v>YES</v>
      </c>
    </row>
    <row r="212" spans="1:40" ht="15" customHeight="1">
      <c r="A212" s="258" t="s">
        <v>2460</v>
      </c>
      <c r="B212" s="263">
        <f>'Dry_Litterbag Placem_Collection'!A213</f>
        <v>211</v>
      </c>
      <c r="C212" s="263" t="str">
        <f>'Dry_Litterbag Placem_Collection'!B213</f>
        <v xml:space="preserve">Mwantimba
</v>
      </c>
      <c r="D212" s="263" t="s">
        <v>2460</v>
      </c>
      <c r="E212" s="263" t="s">
        <v>2526</v>
      </c>
      <c r="F212" s="263">
        <v>1</v>
      </c>
      <c r="G212" s="264" t="str">
        <f>'Dry_Litterbag Placem_Collection'!C213</f>
        <v>Wet_P3_CG1</v>
      </c>
      <c r="H212" s="265" t="s">
        <v>2541</v>
      </c>
      <c r="I212" s="266" t="s">
        <v>1147</v>
      </c>
      <c r="J212" s="223" t="str">
        <f>'WetLitterbags placem_collection'!K213</f>
        <v>G822</v>
      </c>
      <c r="K212" s="225">
        <f>IFERROR(INDEX('Green_rooibos initial weight'!$C$5:$C$1749,MATCH(J212, 'Green_rooibos initial weight'!$A$5:$A$1749,0)),"")</f>
        <v>2.02</v>
      </c>
      <c r="L212" s="225">
        <f>IFERROR(K212-(TBIcalc!$H$9+TBIcalc!$H$10),"")</f>
        <v>1.7702</v>
      </c>
      <c r="M212" s="391">
        <f>AVERAGE(Ashed_controlls!$K$2:$K$11)</f>
        <v>5.5147656768714146</v>
      </c>
      <c r="N212" s="225">
        <f t="shared" si="17"/>
        <v>1.6725776179880223</v>
      </c>
      <c r="O212" s="225">
        <f>IF(IFERROR(INDEX('Both teabags AfterWet'!$C$3:$C$841,MATCH(J212,'Both teabags AfterWet'!$A$3:$A$841,0)),"")="","",(IFERROR(INDEX('Both teabags AfterWet'!$C$3:$C$841,MATCH(J212,'Both teabags AfterWet'!$A$3:$A$841,0)),"")))</f>
        <v>0.85699999999999998</v>
      </c>
      <c r="P212" s="225">
        <f>IFERROR(IF(O212&gt;0,O212-(TBIcalc!$H$9),""),"")</f>
        <v>0.70639999999999992</v>
      </c>
      <c r="Q212" s="225">
        <f>IFERROR(INDEX('Ashed teabags wet'!$K$2:$K$821,MATCH(J212,'Ashed teabags wet'!$A$2:$A$821,0)),"")</f>
        <v>17.246520874750999</v>
      </c>
      <c r="R212" s="225">
        <f t="shared" si="21"/>
        <v>0.58457057654075884</v>
      </c>
      <c r="S212" s="226">
        <f>'WetLitterbags placem_collection'!E213</f>
        <v>42769</v>
      </c>
      <c r="T212" s="226">
        <f>IF('WetLitterbags placem_collection'!G213="","",'WetLitterbags placem_collection'!G213)</f>
        <v>42814</v>
      </c>
      <c r="U212" s="227">
        <f t="shared" si="18"/>
        <v>45</v>
      </c>
      <c r="V212" s="225">
        <f t="shared" si="19"/>
        <v>1.0638000000000001</v>
      </c>
      <c r="W212" s="225">
        <f t="shared" si="20"/>
        <v>1.0880070414472636</v>
      </c>
      <c r="X212">
        <f>IFERROR(INDEX(Rainfall_Wet!$O$2:$O$217,MATCH(B212, Rainfall_Wet!$A$2:$A$217,0)),"")</f>
        <v>175.377105089</v>
      </c>
      <c r="Y212" s="231">
        <v>39.96</v>
      </c>
      <c r="Z212" s="231">
        <v>12.920000000000002</v>
      </c>
      <c r="AA212" s="231">
        <v>47.12</v>
      </c>
      <c r="AB212" s="232" t="s">
        <v>2674</v>
      </c>
      <c r="AC212" s="231">
        <v>1.6549531789058647</v>
      </c>
      <c r="AD212">
        <f>IF('WetLitterbags placem_collection'!AB213="","",'WetLitterbags placem_collection'!AB213)</f>
        <v>13.8</v>
      </c>
      <c r="AE212">
        <f>IF('WetLitterbags placem_collection'!Z213="","",'WetLitterbags placem_collection'!Z213)</f>
        <v>17.399999999999999</v>
      </c>
      <c r="AF212" s="246" t="str">
        <f>IF('WetLitterbags placem_collection'!AA213="","",'WetLitterbags placem_collection'!AA213)</f>
        <v>O</v>
      </c>
      <c r="AG212">
        <f>IF('WetLitterbags placem_collection'!AC213="","",'WetLitterbags placem_collection'!AC213)</f>
        <v>1</v>
      </c>
      <c r="AH212" s="24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placem_collection'!V213)),"YES","NO")</f>
        <v>NO</v>
      </c>
      <c r="AM212" t="str">
        <f>IF(ISNUMBER(SEARCH("H", 'WetLitterbags placem_collection'!V213)),"YES","NO")</f>
        <v>NO</v>
      </c>
      <c r="AN212" t="str">
        <f>IF(ISNUMBER(SEARCH("R", 'WetLitterbags placem_collection'!V213)),"YES","NO")</f>
        <v>YES</v>
      </c>
    </row>
    <row r="213" spans="1:40" ht="15" customHeight="1">
      <c r="A213" s="258" t="s">
        <v>2460</v>
      </c>
      <c r="B213" s="263">
        <f>'Dry_Litterbag Placem_Collection'!A214</f>
        <v>215</v>
      </c>
      <c r="C213" s="263" t="str">
        <f>'Dry_Litterbag Placem_Collection'!B214</f>
        <v xml:space="preserve">Mwantimba
</v>
      </c>
      <c r="D213" s="263" t="s">
        <v>2460</v>
      </c>
      <c r="E213" s="263" t="s">
        <v>2526</v>
      </c>
      <c r="F213" s="263">
        <v>3</v>
      </c>
      <c r="G213" s="264" t="str">
        <f>'Dry_Litterbag Placem_Collection'!C214</f>
        <v>Wet_W3_CG1</v>
      </c>
      <c r="H213" s="265" t="s">
        <v>2541</v>
      </c>
      <c r="I213" s="266" t="s">
        <v>1147</v>
      </c>
      <c r="J213" s="223" t="str">
        <f>'WetLitterbags placem_collection'!K214</f>
        <v>G786</v>
      </c>
      <c r="K213" s="225">
        <f>IFERROR(INDEX('Green_rooibos initial weight'!$C$5:$C$1749,MATCH(J213, 'Green_rooibos initial weight'!$A$5:$A$1749,0)),"")</f>
        <v>2.097</v>
      </c>
      <c r="L213" s="225">
        <f>IFERROR(K213-(TBIcalc!$H$9+TBIcalc!$H$10),"")</f>
        <v>1.8472</v>
      </c>
      <c r="M213" s="391">
        <f>AVERAGE(Ashed_controlls!$K$2:$K$11)</f>
        <v>5.5147656768714146</v>
      </c>
      <c r="N213" s="225">
        <f t="shared" si="17"/>
        <v>1.7453312484168313</v>
      </c>
      <c r="O213" s="225">
        <f>IF(IFERROR(INDEX('Both teabags AfterWet'!$C$3:$C$841,MATCH(J213,'Both teabags AfterWet'!$A$3:$A$841,0)),"")="","",(IFERROR(INDEX('Both teabags AfterWet'!$C$3:$C$841,MATCH(J213,'Both teabags AfterWet'!$A$3:$A$841,0)),"")))</f>
        <v>0.86439999999999995</v>
      </c>
      <c r="P213" s="225">
        <f>IFERROR(IF(O213&gt;0,O213-(TBIcalc!$H$9),""),"")</f>
        <v>0.71379999999999999</v>
      </c>
      <c r="Q213" s="225">
        <f>IFERROR(INDEX('Ashed teabags wet'!$K$2:$K$821,MATCH(J213,'Ashed teabags wet'!$A$2:$A$821,0)),"")</f>
        <v>12.518778167251055</v>
      </c>
      <c r="R213" s="225">
        <f t="shared" si="21"/>
        <v>0.62444096144216199</v>
      </c>
      <c r="S213" s="226">
        <f>'WetLitterbags placem_collection'!E214</f>
        <v>42769</v>
      </c>
      <c r="T213" s="226">
        <f>IF('WetLitterbags placem_collection'!G214="","",'WetLitterbags placem_collection'!G214)</f>
        <v>42813</v>
      </c>
      <c r="U213" s="227">
        <f t="shared" si="18"/>
        <v>44</v>
      </c>
      <c r="V213" s="225">
        <f t="shared" si="19"/>
        <v>1.1334</v>
      </c>
      <c r="W213" s="225">
        <f t="shared" si="20"/>
        <v>1.1208902869746693</v>
      </c>
      <c r="X213">
        <f>IFERROR(INDEX(Rainfall_Wet!$O$2:$O$217,MATCH(B213, Rainfall_Wet!$A$2:$A$217,0)),"")</f>
        <v>175.377105089</v>
      </c>
      <c r="Y213" s="231">
        <v>27.96</v>
      </c>
      <c r="Z213" s="231">
        <v>4.9200000000000017</v>
      </c>
      <c r="AA213" s="231">
        <v>67.12</v>
      </c>
      <c r="AB213" s="232" t="s">
        <v>2670</v>
      </c>
      <c r="AC213" s="231">
        <v>1.0437161163134547</v>
      </c>
      <c r="AD213">
        <f>IF('WetLitterbags placem_collection'!AB214="","",'WetLitterbags placem_collection'!AB214)</f>
        <v>7.9</v>
      </c>
      <c r="AE213">
        <f>IF('WetLitterbags placem_collection'!Z214="","",'WetLitterbags placem_collection'!Z214)</f>
        <v>7.9</v>
      </c>
      <c r="AF213" s="246" t="str">
        <f>IF('WetLitterbags placem_collection'!AA214="","",'WetLitterbags placem_collection'!AA214)</f>
        <v>O</v>
      </c>
      <c r="AG213">
        <f>IF('WetLitterbags placem_collection'!AC214="","",'WetLitterbags placem_collection'!AC214)</f>
        <v>1</v>
      </c>
      <c r="AH213" s="24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placem_collection'!V214)),"YES","NO")</f>
        <v>NO</v>
      </c>
      <c r="AM213" t="str">
        <f>IF(ISNUMBER(SEARCH("H", 'WetLitterbags placem_collection'!V214)),"YES","NO")</f>
        <v>NO</v>
      </c>
      <c r="AN213" t="str">
        <f>IF(ISNUMBER(SEARCH("R", 'WetLitterbags placem_collection'!V214)),"YES","NO")</f>
        <v>NO</v>
      </c>
    </row>
    <row r="214" spans="1:40" ht="15" customHeight="1">
      <c r="A214" s="258" t="s">
        <v>2460</v>
      </c>
      <c r="B214" s="263">
        <f>'Dry_Litterbag Placem_Collection'!A215</f>
        <v>212</v>
      </c>
      <c r="C214" s="263" t="str">
        <f>'Dry_Litterbag Placem_Collection'!B215</f>
        <v xml:space="preserve">Mwantimba
</v>
      </c>
      <c r="D214" s="263" t="s">
        <v>2460</v>
      </c>
      <c r="E214" s="263" t="s">
        <v>2526</v>
      </c>
      <c r="F214" s="263">
        <v>4</v>
      </c>
      <c r="G214" s="264" t="str">
        <f>'Dry_Litterbag Placem_Collection'!C215</f>
        <v>Wet_P4_CG3</v>
      </c>
      <c r="H214" s="265" t="s">
        <v>2541</v>
      </c>
      <c r="I214" s="266" t="s">
        <v>1147</v>
      </c>
      <c r="J214" s="223" t="str">
        <f>'WetLitterbags placem_collection'!K215</f>
        <v>G572</v>
      </c>
      <c r="K214" s="225">
        <f>IFERROR(INDEX('Green_rooibos initial weight'!$C$5:$C$1749,MATCH(J214, 'Green_rooibos initial weight'!$A$5:$A$1749,0)),"")</f>
        <v>1.972</v>
      </c>
      <c r="L214" s="225">
        <f>IFERROR(K214-(TBIcalc!$H$9+TBIcalc!$H$10),"")</f>
        <v>1.7222</v>
      </c>
      <c r="M214" s="391">
        <f>AVERAGE(Ashed_controlls!$K$2:$K$11)</f>
        <v>5.5147656768714146</v>
      </c>
      <c r="N214" s="225">
        <f t="shared" si="17"/>
        <v>1.6272247055129205</v>
      </c>
      <c r="O214" s="225">
        <f>IF(IFERROR(INDEX('Both teabags AfterWet'!$C$3:$C$841,MATCH(J214,'Both teabags AfterWet'!$A$3:$A$841,0)),"")="","",(IFERROR(INDEX('Both teabags AfterWet'!$C$3:$C$841,MATCH(J214,'Both teabags AfterWet'!$A$3:$A$841,0)),"")))</f>
        <v>0.71399999999999997</v>
      </c>
      <c r="P214" s="225">
        <f>IFERROR(IF(O214&gt;0,O214-(TBIcalc!$H$9),""),"")</f>
        <v>0.5633999999999999</v>
      </c>
      <c r="Q214" s="225">
        <f>IFERROR(INDEX('Ashed teabags wet'!$K$2:$K$821,MATCH(J214,'Ashed teabags wet'!$A$2:$A$821,0)),"")</f>
        <v>10.252600297176585</v>
      </c>
      <c r="R214" s="225">
        <f t="shared" si="21"/>
        <v>0.50563684992570701</v>
      </c>
      <c r="S214" s="226">
        <f>'WetLitterbags placem_collection'!E215</f>
        <v>42769</v>
      </c>
      <c r="T214" s="226">
        <f>IF('WetLitterbags placem_collection'!G215="","",'WetLitterbags placem_collection'!G215)</f>
        <v>42813</v>
      </c>
      <c r="U214" s="227">
        <f t="shared" si="18"/>
        <v>44</v>
      </c>
      <c r="V214" s="225">
        <f t="shared" si="19"/>
        <v>1.1588000000000001</v>
      </c>
      <c r="W214" s="225">
        <f t="shared" si="20"/>
        <v>1.1215878555872134</v>
      </c>
      <c r="X214">
        <f>IFERROR(INDEX(Rainfall_Wet!$O$2:$O$217,MATCH(B214, Rainfall_Wet!$A$2:$A$217,0)),"")</f>
        <v>175.054685654</v>
      </c>
      <c r="Y214" s="231">
        <v>21.96</v>
      </c>
      <c r="Z214" s="231">
        <v>4.9199999999999982</v>
      </c>
      <c r="AA214" s="231">
        <v>73.12</v>
      </c>
      <c r="AB214" s="232" t="s">
        <v>2670</v>
      </c>
      <c r="AC214" s="231">
        <v>1.2416954164613114</v>
      </c>
      <c r="AD214">
        <f>IF('WetLitterbags placem_collection'!AB215="","",'WetLitterbags placem_collection'!AB215)</f>
        <v>15.2</v>
      </c>
      <c r="AE214">
        <f>IF('WetLitterbags placem_collection'!Z215="","",'WetLitterbags placem_collection'!Z215)</f>
        <v>12.2</v>
      </c>
      <c r="AF214" s="246" t="str">
        <f>IF('WetLitterbags placem_collection'!AA215="","",'WetLitterbags placem_collection'!AA215)</f>
        <v>O</v>
      </c>
      <c r="AG214">
        <f>IF('WetLitterbags placem_collection'!AC215="","",'WetLitterbags placem_collection'!AC215)</f>
        <v>1</v>
      </c>
      <c r="AH214" s="24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placem_collection'!V215)),"YES","NO")</f>
        <v>NO</v>
      </c>
      <c r="AM214" t="str">
        <f>IF(ISNUMBER(SEARCH("H", 'WetLitterbags placem_collection'!V215)),"YES","NO")</f>
        <v>NO</v>
      </c>
      <c r="AN214" t="str">
        <f>IF(ISNUMBER(SEARCH("R", 'WetLitterbags placem_collection'!V215)),"YES","NO")</f>
        <v>YES</v>
      </c>
    </row>
    <row r="215" spans="1:40" ht="15" customHeight="1">
      <c r="A215" s="258" t="s">
        <v>2460</v>
      </c>
      <c r="B215" s="263">
        <f>'Dry_Litterbag Placem_Collection'!A216</f>
        <v>213</v>
      </c>
      <c r="C215" s="263" t="str">
        <f>'Dry_Litterbag Placem_Collection'!B216</f>
        <v>Handajega</v>
      </c>
      <c r="D215" s="263" t="s">
        <v>2460</v>
      </c>
      <c r="E215" s="263" t="s">
        <v>2526</v>
      </c>
      <c r="F215" s="263">
        <v>3</v>
      </c>
      <c r="G215" s="264" t="str">
        <f>'Dry_Litterbag Placem_Collection'!C216</f>
        <v>Wet_W1_CG4</v>
      </c>
      <c r="H215" s="265" t="s">
        <v>2541</v>
      </c>
      <c r="I215" s="266" t="s">
        <v>1147</v>
      </c>
      <c r="J215" s="223" t="str">
        <f>'WetLitterbags placem_collection'!K216</f>
        <v>G761</v>
      </c>
      <c r="K215" s="225">
        <f>IFERROR(INDEX('Green_rooibos initial weight'!$C$5:$C$1749,MATCH(J215, 'Green_rooibos initial weight'!$A$5:$A$1749,0)),"")</f>
        <v>2.0110000000000001</v>
      </c>
      <c r="L215" s="225">
        <f>IFERROR(K215-(TBIcalc!$H$9+TBIcalc!$H$10),"")</f>
        <v>1.7612000000000001</v>
      </c>
      <c r="M215" s="391">
        <f>AVERAGE(Ashed_controlls!$K$2:$K$11)</f>
        <v>5.5147656768714146</v>
      </c>
      <c r="N215" s="225">
        <f t="shared" si="17"/>
        <v>1.6640739468989407</v>
      </c>
      <c r="O215" s="225">
        <f>IF(IFERROR(INDEX('Both teabags AfterWet'!$C$3:$C$841,MATCH(J215,'Both teabags AfterWet'!$A$3:$A$841,0)),"")="","",(IFERROR(INDEX('Both teabags AfterWet'!$C$3:$C$841,MATCH(J215,'Both teabags AfterWet'!$A$3:$A$841,0)),"")))</f>
        <v>0.71299999999999997</v>
      </c>
      <c r="P215" s="225">
        <f>IFERROR(IF(O215&gt;0,O215-(TBIcalc!$H$9),""),"")</f>
        <v>0.56240000000000001</v>
      </c>
      <c r="Q215" s="225">
        <f>IFERROR(INDEX('Ashed teabags wet'!$K$2:$K$821,MATCH(J215,'Ashed teabags wet'!$A$2:$A$821,0)),"")</f>
        <v>10.989010989010806</v>
      </c>
      <c r="R215" s="225">
        <f t="shared" si="21"/>
        <v>0.50059780219780325</v>
      </c>
      <c r="S215" s="226">
        <f>'WetLitterbags placem_collection'!E216</f>
        <v>42769</v>
      </c>
      <c r="T215" s="226">
        <f>IF('WetLitterbags placem_collection'!G216="","",'WetLitterbags placem_collection'!G216)</f>
        <v>42813</v>
      </c>
      <c r="U215" s="227">
        <f t="shared" si="18"/>
        <v>44</v>
      </c>
      <c r="V215" s="225">
        <f t="shared" si="19"/>
        <v>1.1988000000000001</v>
      </c>
      <c r="W215" s="225">
        <f t="shared" si="20"/>
        <v>1.1634761447011375</v>
      </c>
      <c r="X215">
        <f>IFERROR(INDEX(Rainfall_Wet!$O$2:$O$217,MATCH(B215, Rainfall_Wet!$A$2:$A$217,0)),"")</f>
        <v>175.054685654</v>
      </c>
      <c r="Y215" s="231">
        <v>23.96</v>
      </c>
      <c r="Z215" s="231">
        <v>4.9199999999999982</v>
      </c>
      <c r="AA215" s="231">
        <v>71.12</v>
      </c>
      <c r="AB215" s="232" t="s">
        <v>2670</v>
      </c>
      <c r="AC215" s="231">
        <v>3.30913750616067</v>
      </c>
      <c r="AD215">
        <f>IF('WetLitterbags placem_collection'!AB216="","",'WetLitterbags placem_collection'!AB216)</f>
        <v>7.9</v>
      </c>
      <c r="AE215">
        <f>IF('WetLitterbags placem_collection'!Z216="","",'WetLitterbags placem_collection'!Z216)</f>
        <v>7.9</v>
      </c>
      <c r="AF215" s="246" t="str">
        <f>IF('WetLitterbags placem_collection'!AA216="","",'WetLitterbags placem_collection'!AA216)</f>
        <v>O</v>
      </c>
      <c r="AG215">
        <f>IF('WetLitterbags placem_collection'!AC216="","",'WetLitterbags placem_collection'!AC216)</f>
        <v>1</v>
      </c>
      <c r="AH215" s="24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placem_collection'!V216)),"YES","NO")</f>
        <v>NO</v>
      </c>
      <c r="AM215" t="str">
        <f>IF(ISNUMBER(SEARCH("H", 'WetLitterbags placem_collection'!V216)),"YES","NO")</f>
        <v>NO</v>
      </c>
      <c r="AN215" t="str">
        <f>IF(ISNUMBER(SEARCH("R", 'WetLitterbags placem_collection'!V216)),"YES","NO")</f>
        <v>YES</v>
      </c>
    </row>
    <row r="216" spans="1:40" ht="15" customHeight="1">
      <c r="A216" s="258" t="s">
        <v>2460</v>
      </c>
      <c r="B216" s="263">
        <f>'Dry_Litterbag Placem_Collection'!A217</f>
        <v>214</v>
      </c>
      <c r="C216" s="263" t="str">
        <f>'Dry_Litterbag Placem_Collection'!B217</f>
        <v>Handajega</v>
      </c>
      <c r="D216" s="263" t="s">
        <v>2460</v>
      </c>
      <c r="E216" s="263" t="s">
        <v>2526</v>
      </c>
      <c r="F216" s="263">
        <v>1</v>
      </c>
      <c r="G216" s="264" t="str">
        <f>'Dry_Litterbag Placem_Collection'!C217</f>
        <v>Wet_W2_CG3</v>
      </c>
      <c r="H216" s="265" t="s">
        <v>2541</v>
      </c>
      <c r="I216" s="266" t="s">
        <v>1147</v>
      </c>
      <c r="J216" s="223" t="str">
        <f>'WetLitterbags placem_collection'!K217</f>
        <v>G858</v>
      </c>
      <c r="K216" s="225">
        <f>IFERROR(INDEX('Green_rooibos initial weight'!$C$5:$C$1749,MATCH(J216, 'Green_rooibos initial weight'!$A$5:$A$1749,0)),"")</f>
        <v>2.1040000000000001</v>
      </c>
      <c r="L216" s="225">
        <f>IFERROR(K216-(TBIcalc!$H$9+TBIcalc!$H$10),"")</f>
        <v>1.8542000000000001</v>
      </c>
      <c r="M216" s="391">
        <f>AVERAGE(Ashed_controlls!$K$2:$K$11)</f>
        <v>5.5147656768714146</v>
      </c>
      <c r="N216" s="225">
        <f t="shared" si="17"/>
        <v>1.7519452148194503</v>
      </c>
      <c r="O216" s="225">
        <f>IF(IFERROR(INDEX('Both teabags AfterWet'!$C$3:$C$841,MATCH(J216,'Both teabags AfterWet'!$A$3:$A$841,0)),"")="","",(IFERROR(INDEX('Both teabags AfterWet'!$C$3:$C$841,MATCH(J216,'Both teabags AfterWet'!$A$3:$A$841,0)),"")))</f>
        <v>0.69730000000000003</v>
      </c>
      <c r="P216" s="225">
        <f>IFERROR(IF(O216&gt;0,O216-(TBIcalc!$H$9),""),"")</f>
        <v>0.54669999999999996</v>
      </c>
      <c r="Q216" s="225">
        <f>IFERROR(INDEX('Ashed teabags wet'!$K$2:$K$821,MATCH(J216,'Ashed teabags wet'!$A$2:$A$821,0)),"")</f>
        <v>7.1357285429143147</v>
      </c>
      <c r="R216" s="225">
        <f t="shared" si="21"/>
        <v>0.50768897205588737</v>
      </c>
      <c r="S216" s="226">
        <f>'WetLitterbags placem_collection'!E217</f>
        <v>42769</v>
      </c>
      <c r="T216" s="226">
        <f>IF('WetLitterbags placem_collection'!G217="","",'WetLitterbags placem_collection'!G217)</f>
        <v>42814</v>
      </c>
      <c r="U216" s="227">
        <f t="shared" si="18"/>
        <v>45</v>
      </c>
      <c r="V216" s="225">
        <f t="shared" si="19"/>
        <v>1.3075000000000001</v>
      </c>
      <c r="W216" s="225">
        <f t="shared" si="20"/>
        <v>1.2442562427635631</v>
      </c>
      <c r="X216">
        <f>IFERROR(INDEX(Rainfall_Wet!$O$2:$O$217,MATCH(B216, Rainfall_Wet!$A$2:$A$217,0)),"")</f>
        <v>175.054685654</v>
      </c>
      <c r="Y216" s="231">
        <v>25.96</v>
      </c>
      <c r="Z216" s="231">
        <v>8.9200000000000017</v>
      </c>
      <c r="AA216" s="231">
        <v>65.12</v>
      </c>
      <c r="AB216" s="232" t="s">
        <v>2670</v>
      </c>
      <c r="AC216" s="231">
        <v>1.614588467225234</v>
      </c>
      <c r="AD216">
        <f>IF('WetLitterbags placem_collection'!AB217="","",'WetLitterbags placem_collection'!AB217)</f>
        <v>13.8</v>
      </c>
      <c r="AE216">
        <f>IF('WetLitterbags placem_collection'!Z217="","",'WetLitterbags placem_collection'!Z217)</f>
        <v>17.399999999999999</v>
      </c>
      <c r="AF216" s="246" t="str">
        <f>IF('WetLitterbags placem_collection'!AA217="","",'WetLitterbags placem_collection'!AA217)</f>
        <v>O</v>
      </c>
      <c r="AG216">
        <f>IF('WetLitterbags placem_collection'!AC217="","",'WetLitterbags placem_collection'!AC217)</f>
        <v>1</v>
      </c>
      <c r="AH216" s="24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placem_collection'!V217)),"YES","NO")</f>
        <v>NO</v>
      </c>
      <c r="AM216" t="str">
        <f>IF(ISNUMBER(SEARCH("H", 'WetLitterbags placem_collection'!V217)),"YES","NO")</f>
        <v>NO</v>
      </c>
      <c r="AN216" t="str">
        <f>IF(ISNUMBER(SEARCH("R", 'WetLitterbags placem_collection'!V217)),"YES","NO")</f>
        <v>YES</v>
      </c>
    </row>
    <row r="217" spans="1:40" ht="15" customHeight="1">
      <c r="A217" s="258" t="s">
        <v>2460</v>
      </c>
      <c r="B217" s="263">
        <f>'Dry_Litterbag Placem_Collection'!A218</f>
        <v>216</v>
      </c>
      <c r="C217" s="263" t="str">
        <f>'Dry_Litterbag Placem_Collection'!B218</f>
        <v>Handajega</v>
      </c>
      <c r="D217" s="263" t="s">
        <v>2460</v>
      </c>
      <c r="E217" s="263" t="s">
        <v>2526</v>
      </c>
      <c r="F217" s="263">
        <v>2</v>
      </c>
      <c r="G217" s="264" t="str">
        <f>'Dry_Litterbag Placem_Collection'!C218</f>
        <v>Wet_W4_CG2</v>
      </c>
      <c r="H217" s="265" t="s">
        <v>2541</v>
      </c>
      <c r="I217" s="266" t="s">
        <v>1147</v>
      </c>
      <c r="J217" s="223" t="str">
        <f>'WetLitterbags placem_collection'!K218</f>
        <v>G755</v>
      </c>
      <c r="K217" s="225">
        <f>IFERROR(INDEX('Green_rooibos initial weight'!$C$5:$C$1749,MATCH(J217, 'Green_rooibos initial weight'!$A$5:$A$1749,0)),"")</f>
        <v>2.0190000000000001</v>
      </c>
      <c r="L217" s="225">
        <f>IFERROR(K217-(TBIcalc!$H$9+TBIcalc!$H$10),"")</f>
        <v>1.7692000000000001</v>
      </c>
      <c r="M217" s="391">
        <f>AVERAGE(Ashed_controlls!$K$2:$K$11)</f>
        <v>5.5147656768714146</v>
      </c>
      <c r="N217" s="225">
        <f t="shared" si="17"/>
        <v>1.6716327656447911</v>
      </c>
      <c r="O217" s="225">
        <f>IF(IFERROR(INDEX('Both teabags AfterWet'!$C$3:$C$841,MATCH(J217,'Both teabags AfterWet'!$A$3:$A$841,0)),"")="","",(IFERROR(INDEX('Both teabags AfterWet'!$C$3:$C$841,MATCH(J217,'Both teabags AfterWet'!$A$3:$A$841,0)),"")))</f>
        <v>0.88700000000000001</v>
      </c>
      <c r="P217" s="225">
        <f>IFERROR(IF(O217&gt;0,O217-(TBIcalc!$H$9),""),"")</f>
        <v>0.73639999999999994</v>
      </c>
      <c r="Q217" s="225">
        <f>IFERROR(INDEX('Ashed teabags wet'!$K$2:$K$821,MATCH(J217,'Ashed teabags wet'!$A$2:$A$821,0)),"")</f>
        <v>8.3005893909626298</v>
      </c>
      <c r="R217" s="225">
        <f t="shared" si="21"/>
        <v>0.67527445972495115</v>
      </c>
      <c r="S217" s="226">
        <f>'WetLitterbags placem_collection'!E218</f>
        <v>42769</v>
      </c>
      <c r="T217" s="226">
        <f>IF('WetLitterbags placem_collection'!G218="","",'WetLitterbags placem_collection'!G218)</f>
        <v>42814</v>
      </c>
      <c r="U217" s="227">
        <f t="shared" si="18"/>
        <v>45</v>
      </c>
      <c r="V217" s="225">
        <f t="shared" si="19"/>
        <v>1.0328000000000002</v>
      </c>
      <c r="W217" s="225">
        <f t="shared" si="20"/>
        <v>0.99635830591983998</v>
      </c>
      <c r="X217">
        <f>IFERROR(INDEX(Rainfall_Wet!$O$2:$O$217,MATCH(B217, Rainfall_Wet!$A$2:$A$217,0)),"")</f>
        <v>175.377105089</v>
      </c>
      <c r="Y217" s="231">
        <v>25.96</v>
      </c>
      <c r="Z217" s="231">
        <v>8.9200000000000017</v>
      </c>
      <c r="AA217" s="231">
        <v>65.12</v>
      </c>
      <c r="AB217" s="232" t="s">
        <v>2670</v>
      </c>
      <c r="AC217" s="231">
        <v>1.6991621488417901</v>
      </c>
      <c r="AD217">
        <f>IF('WetLitterbags placem_collection'!AB218="","",'WetLitterbags placem_collection'!AB218)</f>
        <v>5.13</v>
      </c>
      <c r="AE217">
        <f>IF('WetLitterbags placem_collection'!Z218="","",'WetLitterbags placem_collection'!Z218)</f>
        <v>5.13</v>
      </c>
      <c r="AF217" s="246" t="str">
        <f>IF('WetLitterbags placem_collection'!AA218="","",'WetLitterbags placem_collection'!AA218)</f>
        <v>O</v>
      </c>
      <c r="AG217">
        <f>IF('WetLitterbags placem_collection'!AC218="","",'WetLitterbags placem_collection'!AC218)</f>
        <v>1</v>
      </c>
      <c r="AH217" s="24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placem_collection'!V218)),"YES","NO")</f>
        <v>YES</v>
      </c>
      <c r="AM217" t="str">
        <f>IF(ISNUMBER(SEARCH("H", 'WetLitterbags placem_collection'!V218)),"YES","NO")</f>
        <v>YES</v>
      </c>
      <c r="AN217" t="str">
        <f>IF(ISNUMBER(SEARCH("R", 'WetLitterbags placem_collection'!V218)),"YES","NO")</f>
        <v>YES</v>
      </c>
    </row>
    <row r="218" spans="1:40" ht="15" customHeight="1">
      <c r="A218" s="258" t="s">
        <v>2460</v>
      </c>
      <c r="B218" s="263">
        <f>'Dry_Litterbag Placem_Collection'!A219</f>
        <v>217</v>
      </c>
      <c r="C218" s="263" t="str">
        <f>'Dry_Litterbag Placem_Collection'!B219</f>
        <v>Seronera</v>
      </c>
      <c r="D218" s="263" t="s">
        <v>2662</v>
      </c>
      <c r="E218" s="263" t="s">
        <v>2526</v>
      </c>
      <c r="F218" s="263">
        <v>1</v>
      </c>
      <c r="G218" s="264" t="str">
        <f>'Dry_Litterbag Placem_Collection'!C219</f>
        <v>Local1_CG1</v>
      </c>
      <c r="H218" s="265" t="s">
        <v>2541</v>
      </c>
      <c r="I218" s="266" t="s">
        <v>1147</v>
      </c>
      <c r="J218" s="223" t="str">
        <f>'WetLitterbags placem_collection'!K219</f>
        <v>G795</v>
      </c>
      <c r="K218" s="225">
        <f>IFERROR(INDEX('Green_rooibos initial weight'!$C$5:$C$1749,MATCH(J218, 'Green_rooibos initial weight'!$A$5:$A$1749,0)),"")</f>
        <v>1.9530000000000001</v>
      </c>
      <c r="L218" s="225">
        <f>IFERROR(K218-(TBIcalc!$H$9+TBIcalc!$H$10),"")</f>
        <v>1.7032</v>
      </c>
      <c r="M218" s="391">
        <f>AVERAGE(Ashed_controlls!$K$2:$K$11)</f>
        <v>5.5147656768714146</v>
      </c>
      <c r="N218" s="225">
        <f t="shared" si="17"/>
        <v>1.609272510991526</v>
      </c>
      <c r="O218" s="225">
        <f>IF(IFERROR(INDEX('Both teabags AfterWet'!$C$3:$C$841,MATCH(J218,'Both teabags AfterWet'!$A$3:$A$841,0)),"")="","",(IFERROR(INDEX('Both teabags AfterWet'!$C$3:$C$841,MATCH(J218,'Both teabags AfterWet'!$A$3:$A$841,0)),"")))</f>
        <v>0.78100000000000003</v>
      </c>
      <c r="P218" s="225">
        <f>IFERROR(IF(O218&gt;0,O218-(TBIcalc!$H$9),""),"")</f>
        <v>0.63040000000000007</v>
      </c>
      <c r="Q218" s="225">
        <f>IFERROR(INDEX('Ashed teabags wet'!$K$2:$K$821,MATCH(J218,'Ashed teabags wet'!$A$2:$A$821,0)),"")</f>
        <v>8.99805447470772</v>
      </c>
      <c r="R218" s="225">
        <f t="shared" si="21"/>
        <v>0.57367626459144261</v>
      </c>
      <c r="S218" s="226">
        <f>'WetLitterbags placem_collection'!E219</f>
        <v>42769</v>
      </c>
      <c r="T218" s="226">
        <f>IF('WetLitterbags placem_collection'!G219="","",'WetLitterbags placem_collection'!G219)</f>
        <v>42814</v>
      </c>
      <c r="U218" s="227">
        <f t="shared" si="18"/>
        <v>45</v>
      </c>
      <c r="V218" s="225">
        <f t="shared" si="19"/>
        <v>1.0728</v>
      </c>
      <c r="W218" s="225">
        <f t="shared" si="20"/>
        <v>1.0355962464000834</v>
      </c>
      <c r="X218">
        <f>IFERROR(INDEX(Rainfall_Wet!$O$2:$O$217,MATCH(B218, Rainfall_Wet!$A$2:$A$217,0)),"")</f>
        <v>175.377105089</v>
      </c>
      <c r="Y218" s="231">
        <v>29.076539101497506</v>
      </c>
      <c r="Z218" s="231">
        <v>7.1963394342762079</v>
      </c>
      <c r="AA218" s="231">
        <v>63.727121464226286</v>
      </c>
      <c r="AB218" s="231" t="s">
        <v>2670</v>
      </c>
      <c r="AC218" s="231">
        <v>1.0994578610152781</v>
      </c>
      <c r="AD218">
        <f>IF('WetLitterbags placem_collection'!AB219="","",'WetLitterbags placem_collection'!AB219)</f>
        <v>13.8</v>
      </c>
      <c r="AE218">
        <f>IF('WetLitterbags placem_collection'!Z219="","",'WetLitterbags placem_collection'!Z219)</f>
        <v>17.399999999999999</v>
      </c>
      <c r="AF218" s="246" t="str">
        <f>IF('WetLitterbags placem_collection'!AA219="","",'WetLitterbags placem_collection'!AA219)</f>
        <v>O</v>
      </c>
      <c r="AG218">
        <f>IF('WetLitterbags placem_collection'!AC219="","",'WetLitterbags placem_collection'!AC219)</f>
        <v>1</v>
      </c>
      <c r="AH218" s="24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placem_collection'!V219)),"YES","NO")</f>
        <v>NO</v>
      </c>
      <c r="AM218" t="str">
        <f>IF(ISNUMBER(SEARCH("H", 'WetLitterbags placem_collection'!V219)),"YES","NO")</f>
        <v>NO</v>
      </c>
      <c r="AN218" t="str">
        <f>IF(ISNUMBER(SEARCH("R", 'WetLitterbags placem_collection'!V219)),"YES","NO")</f>
        <v>YES</v>
      </c>
    </row>
    <row r="219" spans="1:40" ht="15" customHeight="1">
      <c r="A219" s="258" t="s">
        <v>2460</v>
      </c>
      <c r="B219" s="263">
        <f>'Dry_Litterbag Placem_Collection'!A220</f>
        <v>218</v>
      </c>
      <c r="C219" s="263" t="str">
        <f>'Dry_Litterbag Placem_Collection'!B220</f>
        <v>Seronera</v>
      </c>
      <c r="D219" s="263" t="s">
        <v>2662</v>
      </c>
      <c r="E219" s="263" t="s">
        <v>2526</v>
      </c>
      <c r="F219" s="263">
        <v>2</v>
      </c>
      <c r="G219" s="264" t="str">
        <f>'Dry_Litterbag Placem_Collection'!C220</f>
        <v>Local2_CG2</v>
      </c>
      <c r="H219" s="265" t="s">
        <v>2541</v>
      </c>
      <c r="I219" s="266" t="s">
        <v>1147</v>
      </c>
      <c r="J219" s="223" t="str">
        <f>'WetLitterbags placem_collection'!K220</f>
        <v>G251</v>
      </c>
      <c r="K219" s="225">
        <f>IFERROR(INDEX('Green_rooibos initial weight'!$C$5:$C$1749,MATCH(J219, 'Green_rooibos initial weight'!$A$5:$A$1749,0)),"")</f>
        <v>2.0539999999999998</v>
      </c>
      <c r="L219" s="225">
        <f>IFERROR(K219-(TBIcalc!$H$9+TBIcalc!$H$10),"")</f>
        <v>1.8041999999999998</v>
      </c>
      <c r="M219" s="391">
        <f>AVERAGE(Ashed_controlls!$K$2:$K$11)</f>
        <v>5.5147656768714146</v>
      </c>
      <c r="N219" s="225">
        <f t="shared" si="17"/>
        <v>1.7047025976578858</v>
      </c>
      <c r="O219" s="225">
        <f>IF(IFERROR(INDEX('Both teabags AfterWet'!$C$3:$C$841,MATCH(J219,'Both teabags AfterWet'!$A$3:$A$841,0)),"")="","",(IFERROR(INDEX('Both teabags AfterWet'!$C$3:$C$841,MATCH(J219,'Both teabags AfterWet'!$A$3:$A$841,0)),"")))</f>
        <v>0.75700000000000001</v>
      </c>
      <c r="P219" s="225">
        <f>IFERROR(IF(O219&gt;0,O219-(TBIcalc!$H$9),""),"")</f>
        <v>0.60640000000000005</v>
      </c>
      <c r="Q219" s="225">
        <f>IFERROR(INDEX('Ashed teabags wet'!$K$2:$K$821,MATCH(J219,'Ashed teabags wet'!$A$2:$A$821,0)),"")</f>
        <v>12.853598014887801</v>
      </c>
      <c r="R219" s="225">
        <f t="shared" si="21"/>
        <v>0.52845578163772045</v>
      </c>
      <c r="S219" s="226">
        <f>'WetLitterbags placem_collection'!E220</f>
        <v>42769</v>
      </c>
      <c r="T219" s="226">
        <f>IF('WetLitterbags placem_collection'!G220="","",'WetLitterbags placem_collection'!G220)</f>
        <v>42814</v>
      </c>
      <c r="U219" s="227">
        <f t="shared" si="18"/>
        <v>45</v>
      </c>
      <c r="V219" s="225">
        <f t="shared" si="19"/>
        <v>1.1977999999999998</v>
      </c>
      <c r="W219" s="225">
        <f t="shared" si="20"/>
        <v>1.1762468160201653</v>
      </c>
      <c r="X219">
        <f>IFERROR(INDEX(Rainfall_Wet!$O$2:$O$217,MATCH(B219, Rainfall_Wet!$A$2:$A$217,0)),"")</f>
        <v>175.377105089</v>
      </c>
      <c r="Y219" s="231">
        <v>21.072635135135137</v>
      </c>
      <c r="Z219" s="231">
        <v>7.3057432432432412</v>
      </c>
      <c r="AA219" s="231">
        <v>71.621621621621614</v>
      </c>
      <c r="AB219" s="231" t="s">
        <v>2670</v>
      </c>
      <c r="AC219" s="231">
        <v>1.4512074913750617</v>
      </c>
      <c r="AD219">
        <f>IF('WetLitterbags placem_collection'!AB220="","",'WetLitterbags placem_collection'!AB220)</f>
        <v>5.13</v>
      </c>
      <c r="AE219">
        <f>IF('WetLitterbags placem_collection'!Z220="","",'WetLitterbags placem_collection'!Z220)</f>
        <v>5.13</v>
      </c>
      <c r="AF219" s="246" t="str">
        <f>IF('WetLitterbags placem_collection'!AA220="","",'WetLitterbags placem_collection'!AA220)</f>
        <v>O</v>
      </c>
      <c r="AG219">
        <f>IF('WetLitterbags placem_collection'!AC220="","",'WetLitterbags placem_collection'!AC220)</f>
        <v>1</v>
      </c>
      <c r="AH219" s="24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placem_collection'!V220)),"YES","NO")</f>
        <v>NO</v>
      </c>
      <c r="AM219" t="str">
        <f>IF(ISNUMBER(SEARCH("H", 'WetLitterbags placem_collection'!V220)),"YES","NO")</f>
        <v>NO</v>
      </c>
      <c r="AN219" t="str">
        <f>IF(ISNUMBER(SEARCH("R", 'WetLitterbags placem_collection'!V220)),"YES","NO")</f>
        <v>YES</v>
      </c>
    </row>
    <row r="220" spans="1:40" ht="15" customHeight="1">
      <c r="A220" s="258" t="s">
        <v>2460</v>
      </c>
      <c r="B220" s="263">
        <f>'Dry_Litterbag Placem_Collection'!A221</f>
        <v>219</v>
      </c>
      <c r="C220" s="263" t="str">
        <f>'Dry_Litterbag Placem_Collection'!B221</f>
        <v>Seronera</v>
      </c>
      <c r="D220" s="263" t="s">
        <v>2662</v>
      </c>
      <c r="E220" s="263" t="s">
        <v>2526</v>
      </c>
      <c r="F220" s="263">
        <v>3</v>
      </c>
      <c r="G220" s="264" t="str">
        <f>'Dry_Litterbag Placem_Collection'!C221</f>
        <v>Local3_CG3</v>
      </c>
      <c r="H220" s="265" t="s">
        <v>2541</v>
      </c>
      <c r="I220" s="266" t="s">
        <v>1147</v>
      </c>
      <c r="J220" s="223" t="str">
        <f>'WetLitterbags placem_collection'!K221</f>
        <v>G727</v>
      </c>
      <c r="K220" s="225">
        <f>IFERROR(INDEX('Green_rooibos initial weight'!$C$5:$C$1749,MATCH(J220, 'Green_rooibos initial weight'!$A$5:$A$1749,0)),"")</f>
        <v>2.0270000000000001</v>
      </c>
      <c r="L220" s="225">
        <f>IFERROR(K220-(TBIcalc!$H$9+TBIcalc!$H$10),"")</f>
        <v>1.7772000000000001</v>
      </c>
      <c r="M220" s="391">
        <f>AVERAGE(Ashed_controlls!$K$2:$K$11)</f>
        <v>5.5147656768714146</v>
      </c>
      <c r="N220" s="225">
        <f t="shared" si="17"/>
        <v>1.6791915843906413</v>
      </c>
      <c r="O220" s="225">
        <f>IF(IFERROR(INDEX('Both teabags AfterWet'!$C$3:$C$841,MATCH(J220,'Both teabags AfterWet'!$A$3:$A$841,0)),"")="","",(IFERROR(INDEX('Both teabags AfterWet'!$C$3:$C$841,MATCH(J220,'Both teabags AfterWet'!$A$3:$A$841,0)),"")))</f>
        <v>0.70650000000000002</v>
      </c>
      <c r="P220" s="225">
        <f>IFERROR(IF(O220&gt;0,O220-(TBIcalc!$H$9),""),"")</f>
        <v>0.55590000000000006</v>
      </c>
      <c r="Q220" s="225">
        <f>IFERROR(INDEX('Ashed teabags wet'!$K$2:$K$821,MATCH(J220,'Ashed teabags wet'!$A$2:$A$821,0)),"")</f>
        <v>11.604439959636602</v>
      </c>
      <c r="R220" s="225">
        <f t="shared" si="21"/>
        <v>0.49139091826438019</v>
      </c>
      <c r="S220" s="226">
        <f>'WetLitterbags placem_collection'!E221</f>
        <v>42769</v>
      </c>
      <c r="T220" s="226">
        <f>IF('WetLitterbags placem_collection'!G221="","",'WetLitterbags placem_collection'!G221)</f>
        <v>42813</v>
      </c>
      <c r="U220" s="227">
        <f t="shared" si="18"/>
        <v>44</v>
      </c>
      <c r="V220" s="225">
        <f t="shared" si="19"/>
        <v>1.2213000000000001</v>
      </c>
      <c r="W220" s="225">
        <f t="shared" si="20"/>
        <v>1.187800666126261</v>
      </c>
      <c r="X220">
        <f>IFERROR(INDEX(Rainfall_Wet!$O$2:$O$217,MATCH(B220, Rainfall_Wet!$A$2:$A$217,0)),"")</f>
        <v>175.054685654</v>
      </c>
      <c r="Y220" s="231">
        <v>21.96</v>
      </c>
      <c r="Z220" s="231">
        <v>4.9199999999999982</v>
      </c>
      <c r="AA220" s="231">
        <v>73.12</v>
      </c>
      <c r="AB220" s="231" t="s">
        <v>2670</v>
      </c>
      <c r="AC220" s="231">
        <v>1.4012321340561851</v>
      </c>
      <c r="AD220">
        <f>IF('WetLitterbags placem_collection'!AB221="","",'WetLitterbags placem_collection'!AB221)</f>
        <v>7.9</v>
      </c>
      <c r="AE220">
        <f>IF('WetLitterbags placem_collection'!Z221="","",'WetLitterbags placem_collection'!Z221)</f>
        <v>7.9</v>
      </c>
      <c r="AF220" s="246" t="str">
        <f>IF('WetLitterbags placem_collection'!AA221="","",'WetLitterbags placem_collection'!AA221)</f>
        <v>O</v>
      </c>
      <c r="AG220">
        <f>IF('WetLitterbags placem_collection'!AC221="","",'WetLitterbags placem_collection'!AC221)</f>
        <v>1</v>
      </c>
      <c r="AH220" s="24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placem_collection'!V221)),"YES","NO")</f>
        <v>NO</v>
      </c>
      <c r="AM220" t="str">
        <f>IF(ISNUMBER(SEARCH("H", 'WetLitterbags placem_collection'!V221)),"YES","NO")</f>
        <v>YES</v>
      </c>
      <c r="AN220" t="str">
        <f>IF(ISNUMBER(SEARCH("R", 'WetLitterbags placem_collection'!V221)),"YES","NO")</f>
        <v>YES</v>
      </c>
    </row>
    <row r="221" spans="1:40" ht="15" customHeight="1">
      <c r="A221" s="258" t="s">
        <v>2460</v>
      </c>
      <c r="B221" s="263">
        <f>'Dry_Litterbag Placem_Collection'!A222</f>
        <v>220</v>
      </c>
      <c r="C221" s="263" t="str">
        <f>'Dry_Litterbag Placem_Collection'!B222</f>
        <v>Seronera</v>
      </c>
      <c r="D221" s="263" t="s">
        <v>2662</v>
      </c>
      <c r="E221" s="263" t="s">
        <v>2526</v>
      </c>
      <c r="F221" s="263">
        <v>4</v>
      </c>
      <c r="G221" s="264" t="str">
        <f>'Dry_Litterbag Placem_Collection'!C222</f>
        <v>Local4_CG4</v>
      </c>
      <c r="H221" s="265" t="s">
        <v>2541</v>
      </c>
      <c r="I221" s="266" t="s">
        <v>1147</v>
      </c>
      <c r="J221" s="223" t="str">
        <f>'WetLitterbags placem_collection'!K222</f>
        <v>G782</v>
      </c>
      <c r="K221" s="225">
        <f>IFERROR(INDEX('Green_rooibos initial weight'!$C$5:$C$1749,MATCH(J221, 'Green_rooibos initial weight'!$A$5:$A$1749,0)),"")</f>
        <v>1.9510000000000001</v>
      </c>
      <c r="L221" s="225">
        <f>IFERROR(K221-(TBIcalc!$H$9+TBIcalc!$H$10),"")</f>
        <v>1.7012</v>
      </c>
      <c r="M221" s="391">
        <f>AVERAGE(Ashed_controlls!$K$2:$K$11)</f>
        <v>5.5147656768714146</v>
      </c>
      <c r="N221" s="225">
        <f t="shared" si="17"/>
        <v>1.6073828063050635</v>
      </c>
      <c r="O221" s="225">
        <f>IF(IFERROR(INDEX('Both teabags AfterWet'!$C$3:$C$841,MATCH(J221,'Both teabags AfterWet'!$A$3:$A$841,0)),"")="","",(IFERROR(INDEX('Both teabags AfterWet'!$C$3:$C$841,MATCH(J221,'Both teabags AfterWet'!$A$3:$A$841,0)),"")))</f>
        <v>0.6169</v>
      </c>
      <c r="P221" s="225">
        <f>IFERROR(IF(O221&gt;0,O221-(TBIcalc!$H$9),""),"")</f>
        <v>0.46629999999999999</v>
      </c>
      <c r="Q221" s="225">
        <f>IFERROR(INDEX('Ashed teabags wet'!$K$2:$K$821,MATCH(J221,'Ashed teabags wet'!$A$2:$A$821,0)),"")</f>
        <v>11.045655375552919</v>
      </c>
      <c r="R221" s="225">
        <f t="shared" si="21"/>
        <v>0.41479410898379676</v>
      </c>
      <c r="S221" s="226">
        <f>'WetLitterbags placem_collection'!E222</f>
        <v>42769</v>
      </c>
      <c r="T221" s="226">
        <f>IF('WetLitterbags placem_collection'!G222="","",'WetLitterbags placem_collection'!G222)</f>
        <v>42813</v>
      </c>
      <c r="U221" s="227">
        <f t="shared" si="18"/>
        <v>44</v>
      </c>
      <c r="V221" s="225">
        <f t="shared" si="19"/>
        <v>1.2349000000000001</v>
      </c>
      <c r="W221" s="225">
        <f t="shared" si="20"/>
        <v>1.1925886973212667</v>
      </c>
      <c r="X221">
        <f>IFERROR(INDEX(Rainfall_Wet!$O$2:$O$217,MATCH(B221, Rainfall_Wet!$A$2:$A$217,0)),"")</f>
        <v>175.054685654</v>
      </c>
      <c r="Y221" s="231">
        <v>15.960000000000003</v>
      </c>
      <c r="Z221" s="231">
        <v>6.9199999999999982</v>
      </c>
      <c r="AA221" s="231">
        <v>77.11999999999999</v>
      </c>
      <c r="AB221" s="231" t="s">
        <v>2671</v>
      </c>
      <c r="AC221" s="231">
        <v>0.60547067520946207</v>
      </c>
      <c r="AD221">
        <f>IF('WetLitterbags placem_collection'!AB222="","",'WetLitterbags placem_collection'!AB222)</f>
        <v>15.2</v>
      </c>
      <c r="AE221">
        <f>IF('WetLitterbags placem_collection'!Z222="","",'WetLitterbags placem_collection'!Z222)</f>
        <v>12.2</v>
      </c>
      <c r="AF221" s="246" t="str">
        <f>IF('WetLitterbags placem_collection'!AA222="","",'WetLitterbags placem_collection'!AA222)</f>
        <v>O</v>
      </c>
      <c r="AG221">
        <f>IF('WetLitterbags placem_collection'!AC222="","",'WetLitterbags placem_collection'!AC222)</f>
        <v>1</v>
      </c>
      <c r="AH221" s="24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placem_collection'!V222)),"YES","NO")</f>
        <v>NO</v>
      </c>
      <c r="AM221" t="str">
        <f>IF(ISNUMBER(SEARCH("H", 'WetLitterbags placem_collection'!V222)),"YES","NO")</f>
        <v>NO</v>
      </c>
      <c r="AN221" t="str">
        <f>IF(ISNUMBER(SEARCH("R", 'WetLitterbags placem_collection'!V222)),"YES","NO")</f>
        <v>YES</v>
      </c>
    </row>
    <row r="222" spans="1:40" ht="15" customHeight="1">
      <c r="A222" s="258" t="s">
        <v>2460</v>
      </c>
      <c r="B222" s="263">
        <f>'Dry_Litterbag Placem_Collection'!A3</f>
        <v>1</v>
      </c>
      <c r="C222" s="263" t="str">
        <f>'Dry_Litterbag Placem_Collection'!B3</f>
        <v>Makao</v>
      </c>
      <c r="D222" s="263" t="s">
        <v>2659</v>
      </c>
      <c r="E222" s="263" t="s">
        <v>2660</v>
      </c>
      <c r="F222" s="263">
        <v>1</v>
      </c>
      <c r="G222" s="264" t="str">
        <f>'Dry_Litterbag Placem_Collection'!C3</f>
        <v>Dry_Ag1_T1</v>
      </c>
      <c r="H222" s="265" t="s">
        <v>2541</v>
      </c>
      <c r="I222" s="272" t="s">
        <v>298</v>
      </c>
      <c r="J222" s="223" t="str">
        <f>'WetLitterbags placem_collection'!M3</f>
        <v>R17</v>
      </c>
      <c r="K222" s="225">
        <f>IFERROR(INDEX('Green_rooibos initial weight'!$C$5:$C$1749,MATCH(J222, 'Green_rooibos initial weight'!$A$5:$A$1749,0)),"")</f>
        <v>2.169</v>
      </c>
      <c r="L222" s="225">
        <f>IFERROR(K222-(TBIcalc!$H$9+TBIcalc!$H$10),"")</f>
        <v>1.9192</v>
      </c>
      <c r="M222" s="391">
        <f>AVERAGE(Ashed_controlls!$K$12:$K$14)</f>
        <v>2.2816647271287041</v>
      </c>
      <c r="N222" s="225">
        <f t="shared" si="17"/>
        <v>1.8754102905569459</v>
      </c>
      <c r="O222" s="225">
        <f>IF(IFERROR(INDEX('Both teabags AfterWet'!$C$3:$C$841,MATCH(J222,'Both teabags AfterWet'!$A$3:$A$841,0)),"")="","",(IFERROR(INDEX('Both teabags AfterWet'!$C$3:$C$841,MATCH(J222,'Both teabags AfterWet'!$A$3:$A$841,0)),"")))</f>
        <v>1.0208999999999999</v>
      </c>
      <c r="P222" s="225">
        <f>IFERROR(IF(O222&gt;0,O222-(TBIcalc!$H$9),""),"")</f>
        <v>0.87029999999999985</v>
      </c>
      <c r="Q222" s="225">
        <f>IFERROR(INDEX('Ashed teabags wet'!$K$2:$K$821,MATCH(J222,'Ashed teabags wet'!$A$2:$A$821,0)),"")</f>
        <v>17.918507609229575</v>
      </c>
      <c r="R222" s="225">
        <f t="shared" si="21"/>
        <v>0.71435522827687492</v>
      </c>
      <c r="S222" s="226">
        <f>'WetLitterbags placem_collection'!E3</f>
        <v>42766</v>
      </c>
      <c r="T222" s="226">
        <f>IF('WetLitterbags placem_collection'!G3="","",'WetLitterbags placem_collection'!G3)</f>
        <v>42818</v>
      </c>
      <c r="U222" s="227">
        <f t="shared" si="18"/>
        <v>52</v>
      </c>
      <c r="V222" s="225">
        <f t="shared" si="19"/>
        <v>1.0489000000000002</v>
      </c>
      <c r="W222" s="225">
        <f t="shared" si="20"/>
        <v>1.161055062280071</v>
      </c>
      <c r="X222">
        <f>IFERROR(INDEX(Rainfall_Wet!$O$2:$O$217,MATCH(B222, Rainfall_Wet!$A$2:$A$217,0)),"")</f>
        <v>194.43839254400001</v>
      </c>
      <c r="Y222" s="231">
        <v>12.565665055683967</v>
      </c>
      <c r="Z222" s="231">
        <v>0.9665896196679955</v>
      </c>
      <c r="AA222" s="231">
        <v>86.467745324648035</v>
      </c>
      <c r="AB222" s="232" t="s">
        <v>2672</v>
      </c>
      <c r="AC222" s="231">
        <v>1.0225726959093147</v>
      </c>
      <c r="AD222">
        <f>IF('WetLitterbags placem_collection'!AB3="","",'WetLitterbags placem_collection'!AB3)</f>
        <v>26.4</v>
      </c>
      <c r="AE222">
        <f>IF('WetLitterbags placem_collection'!Z3="","",'WetLitterbags placem_collection'!Z3)</f>
        <v>41</v>
      </c>
      <c r="AF222" s="246" t="str">
        <f>IF('WetLitterbags placem_collection'!AA3="","",'WetLitterbags placem_collection'!AA3)</f>
        <v>M</v>
      </c>
      <c r="AG222">
        <f>IF('WetLitterbags placem_collection'!AC3="","",'WetLitterbags placem_collection'!AC3)</f>
        <v>1</v>
      </c>
      <c r="AH222" s="24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placem_collection'!W3)),"YES","NO")</f>
        <v>NO</v>
      </c>
      <c r="AM222" t="str">
        <f>IF(ISNUMBER(SEARCH("H", 'WetLitterbags placem_collection'!W3)),"YES","NO")</f>
        <v>YES</v>
      </c>
      <c r="AN222" t="str">
        <f>IF(ISNUMBER(SEARCH("R", 'WetLitterbags placem_collection'!W3)),"YES","NO")</f>
        <v>NO</v>
      </c>
    </row>
    <row r="223" spans="1:40" ht="15" customHeight="1">
      <c r="A223" s="258" t="s">
        <v>2460</v>
      </c>
      <c r="B223" s="263">
        <f>'Dry_Litterbag Placem_Collection'!A4</f>
        <v>2</v>
      </c>
      <c r="C223" s="263" t="str">
        <f>'Dry_Litterbag Placem_Collection'!B4</f>
        <v>Makao</v>
      </c>
      <c r="D223" s="263" t="s">
        <v>2659</v>
      </c>
      <c r="E223" s="263" t="s">
        <v>2660</v>
      </c>
      <c r="F223" s="263">
        <v>1</v>
      </c>
      <c r="G223" s="264" t="str">
        <f>'Dry_Litterbag Placem_Collection'!C4</f>
        <v>Dry_Ag1_T2</v>
      </c>
      <c r="H223" s="265" t="s">
        <v>2541</v>
      </c>
      <c r="I223" s="272" t="s">
        <v>298</v>
      </c>
      <c r="J223" s="223" t="str">
        <f>'WetLitterbags placem_collection'!M4</f>
        <v>R121</v>
      </c>
      <c r="K223" s="225">
        <f>IFERROR(INDEX('Green_rooibos initial weight'!$C$5:$C$1749,MATCH(J223, 'Green_rooibos initial weight'!$A$5:$A$1749,0)),"")</f>
        <v>2.165</v>
      </c>
      <c r="L223" s="225">
        <f>IFERROR(K223-(TBIcalc!$H$9+TBIcalc!$H$10),"")</f>
        <v>1.9152</v>
      </c>
      <c r="M223" s="391">
        <f>AVERAGE(Ashed_controlls!$K$12:$K$14)</f>
        <v>2.2816647271287041</v>
      </c>
      <c r="N223" s="225">
        <f t="shared" si="17"/>
        <v>1.8715015571460312</v>
      </c>
      <c r="O223" s="225">
        <f>IF(IFERROR(INDEX('Both teabags AfterWet'!$C$3:$C$841,MATCH(J223,'Both teabags AfterWet'!$A$3:$A$841,0)),"")="","",(IFERROR(INDEX('Both teabags AfterWet'!$C$3:$C$841,MATCH(J223,'Both teabags AfterWet'!$A$3:$A$841,0)),"")))</f>
        <v>1.3073999999999999</v>
      </c>
      <c r="P223" s="225">
        <f>IFERROR(IF(O223&gt;0,O223-(TBIcalc!$H$9),""),"")</f>
        <v>1.1567999999999998</v>
      </c>
      <c r="Q223" s="225">
        <f>IFERROR(INDEX('Ashed teabags wet'!$K$2:$K$821,MATCH(J223,'Ashed teabags wet'!$A$2:$A$821,0)),"")</f>
        <v>5.6218905472635869</v>
      </c>
      <c r="R223" s="225">
        <f t="shared" si="21"/>
        <v>1.0917659701492546</v>
      </c>
      <c r="S223" s="226">
        <f>'WetLitterbags placem_collection'!E4</f>
        <v>42766</v>
      </c>
      <c r="T223" s="226">
        <f>IF('WetLitterbags placem_collection'!G4="","",'WetLitterbags placem_collection'!G4)</f>
        <v>42818</v>
      </c>
      <c r="U223" s="227">
        <f t="shared" si="18"/>
        <v>52</v>
      </c>
      <c r="V223" s="225">
        <f t="shared" si="19"/>
        <v>0.75840000000000019</v>
      </c>
      <c r="W223" s="225">
        <f t="shared" si="20"/>
        <v>0.77973558699677659</v>
      </c>
      <c r="X223">
        <f>IFERROR(INDEX(Rainfall_Wet!$O$2:$O$217,MATCH(B223, Rainfall_Wet!$A$2:$A$217,0)),"")</f>
        <v>194.43839254400001</v>
      </c>
      <c r="Y223" s="231">
        <v>12.565665055683967</v>
      </c>
      <c r="Z223" s="231">
        <v>0.9665896196679955</v>
      </c>
      <c r="AA223" s="231">
        <v>86.467745324648035</v>
      </c>
      <c r="AB223" s="232" t="s">
        <v>2672</v>
      </c>
      <c r="AC223" s="231">
        <v>2.02257269590931</v>
      </c>
      <c r="AD223">
        <f>IF('WetLitterbags placem_collection'!AB4="","",'WetLitterbags placem_collection'!AB4)</f>
        <v>22.4</v>
      </c>
      <c r="AE223">
        <f>IF('WetLitterbags placem_collection'!Z4="","",'WetLitterbags placem_collection'!Z4)</f>
        <v>39.799999999999997</v>
      </c>
      <c r="AF223" s="246" t="str">
        <f>IF('WetLitterbags placem_collection'!AA4="","",'WetLitterbags placem_collection'!AA4)</f>
        <v>M</v>
      </c>
      <c r="AG223">
        <f>IF('WetLitterbags placem_collection'!AC4="","",'WetLitterbags placem_collection'!AC4)</f>
        <v>1</v>
      </c>
      <c r="AH223" s="24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placem_collection'!W4)),"YES","NO")</f>
        <v>NO</v>
      </c>
      <c r="AM223" t="str">
        <f>IF(ISNUMBER(SEARCH("H", 'WetLitterbags placem_collection'!W4)),"YES","NO")</f>
        <v>NO</v>
      </c>
      <c r="AN223" t="str">
        <f>IF(ISNUMBER(SEARCH("R", 'WetLitterbags placem_collection'!W4)),"YES","NO")</f>
        <v>NO</v>
      </c>
    </row>
    <row r="224" spans="1:40" ht="15" customHeight="1">
      <c r="A224" s="258" t="s">
        <v>2460</v>
      </c>
      <c r="B224" s="263">
        <f>'Dry_Litterbag Placem_Collection'!A5</f>
        <v>3</v>
      </c>
      <c r="C224" s="263" t="str">
        <f>'Dry_Litterbag Placem_Collection'!B5</f>
        <v>Makao</v>
      </c>
      <c r="D224" s="263" t="s">
        <v>2659</v>
      </c>
      <c r="E224" s="263" t="s">
        <v>2660</v>
      </c>
      <c r="F224" s="263">
        <v>1</v>
      </c>
      <c r="G224" s="264" t="str">
        <f>'Dry_Litterbag Placem_Collection'!C5</f>
        <v>Dry_Ag1_T3</v>
      </c>
      <c r="H224" s="265" t="s">
        <v>2541</v>
      </c>
      <c r="I224" s="272" t="s">
        <v>298</v>
      </c>
      <c r="J224" s="223" t="str">
        <f>'WetLitterbags placem_collection'!M5</f>
        <v>R158</v>
      </c>
      <c r="K224" s="225">
        <f>IFERROR(INDEX('Green_rooibos initial weight'!$C$5:$C$1749,MATCH(J224, 'Green_rooibos initial weight'!$A$5:$A$1749,0)),"")</f>
        <v>2.2959999999999998</v>
      </c>
      <c r="L224" s="225">
        <f>IFERROR(K224-(TBIcalc!$H$9+TBIcalc!$H$10),"")</f>
        <v>2.0461999999999998</v>
      </c>
      <c r="M224" s="391">
        <f>AVERAGE(Ashed_controlls!$K$12:$K$14)</f>
        <v>2.2816647271287041</v>
      </c>
      <c r="N224" s="225">
        <f t="shared" si="17"/>
        <v>1.9995125763534922</v>
      </c>
      <c r="O224" s="225" t="str">
        <f>IF(IFERROR(INDEX('Both teabags AfterWet'!$C$3:$C$841,MATCH(J224,'Both teabags AfterWet'!$A$3:$A$841,0)),"")="","",(IFERROR(INDEX('Both teabags AfterWet'!$C$3:$C$841,MATCH(J224,'Both teabags AfterWet'!$A$3:$A$841,0)),"")))</f>
        <v/>
      </c>
      <c r="P224" s="225" t="str">
        <f>IFERROR(IF(O224&gt;0,O224-(TBIcalc!$H$9),""),"")</f>
        <v/>
      </c>
      <c r="Q224" s="225" t="str">
        <f>IFERROR(INDEX('Ashed teabags wet'!$K$2:$K$821,MATCH(J224,'Ashed teabags wet'!$A$2:$A$821,0)),"")</f>
        <v/>
      </c>
      <c r="R224" s="225" t="str">
        <f t="shared" si="21"/>
        <v/>
      </c>
      <c r="S224" s="226">
        <f>'WetLitterbags placem_collection'!E5</f>
        <v>42766</v>
      </c>
      <c r="T224" s="226" t="str">
        <f>IF('WetLitterbags placem_collection'!G5="","",'WetLitterbags placem_collection'!G5)</f>
        <v/>
      </c>
      <c r="U224" s="227" t="str">
        <f t="shared" si="18"/>
        <v/>
      </c>
      <c r="V224" s="225" t="str">
        <f t="shared" si="19"/>
        <v/>
      </c>
      <c r="W224" s="225" t="str">
        <f t="shared" si="20"/>
        <v/>
      </c>
      <c r="X224" t="str">
        <f>IFERROR(INDEX(Rainfall_Wet!$O$2:$O$217,MATCH(B224, Rainfall_Wet!$A$2:$A$217,0)),"")</f>
        <v/>
      </c>
      <c r="Y224" s="231">
        <v>12.565665055683967</v>
      </c>
      <c r="Z224" s="231">
        <v>0.9665896196679955</v>
      </c>
      <c r="AA224" s="231">
        <v>86.467745324648035</v>
      </c>
      <c r="AB224" s="232" t="s">
        <v>2672</v>
      </c>
      <c r="AC224" s="231">
        <v>3.02257269590931</v>
      </c>
      <c r="AD224" t="str">
        <f>IF('WetLitterbags placem_collection'!AB5="","",'WetLitterbags placem_collection'!AB5)</f>
        <v/>
      </c>
      <c r="AE224" t="str">
        <f>IF('WetLitterbags placem_collection'!Z5="","",'WetLitterbags placem_collection'!Z5)</f>
        <v/>
      </c>
      <c r="AF224" s="246" t="str">
        <f>IF('WetLitterbags placem_collection'!AA5="","",'WetLitterbags placem_collection'!AA5)</f>
        <v/>
      </c>
      <c r="AG224" t="str">
        <f>IF('WetLitterbags placem_collection'!AC5="","",'WetLitterbags placem_collection'!AC5)</f>
        <v/>
      </c>
      <c r="AH224" s="24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placem_collection'!W5)),"YES","NO")</f>
        <v>NO</v>
      </c>
      <c r="AM224" t="str">
        <f>IF(ISNUMBER(SEARCH("H", 'WetLitterbags placem_collection'!W5)),"YES","NO")</f>
        <v>NO</v>
      </c>
      <c r="AN224" t="str">
        <f>IF(ISNUMBER(SEARCH("R", 'WetLitterbags placem_collection'!W5)),"YES","NO")</f>
        <v>NO</v>
      </c>
    </row>
    <row r="225" spans="1:40" ht="15" customHeight="1">
      <c r="A225" s="258" t="s">
        <v>2460</v>
      </c>
      <c r="B225" s="263">
        <f>'Dry_Litterbag Placem_Collection'!A6</f>
        <v>4</v>
      </c>
      <c r="C225" s="263" t="str">
        <f>'Dry_Litterbag Placem_Collection'!B6</f>
        <v>Makao</v>
      </c>
      <c r="D225" s="263" t="s">
        <v>2659</v>
      </c>
      <c r="E225" s="263" t="s">
        <v>2660</v>
      </c>
      <c r="F225" s="263">
        <v>1</v>
      </c>
      <c r="G225" s="264" t="str">
        <f>'Dry_Litterbag Placem_Collection'!C6</f>
        <v>Dry_Ag1_T4</v>
      </c>
      <c r="H225" s="265" t="s">
        <v>2541</v>
      </c>
      <c r="I225" s="272" t="s">
        <v>298</v>
      </c>
      <c r="J225" s="223" t="str">
        <f>'WetLitterbags placem_collection'!M6</f>
        <v>R115</v>
      </c>
      <c r="K225" s="225">
        <f>IFERROR(INDEX('Green_rooibos initial weight'!$C$5:$C$1749,MATCH(J225, 'Green_rooibos initial weight'!$A$5:$A$1749,0)),"")</f>
        <v>2.3119999999999998</v>
      </c>
      <c r="L225" s="225">
        <f>IFERROR(K225-(TBIcalc!$H$9+TBIcalc!$H$10),"")</f>
        <v>2.0621999999999998</v>
      </c>
      <c r="M225" s="391">
        <f>AVERAGE(Ashed_controlls!$K$12:$K$14)</f>
        <v>2.2816647271287041</v>
      </c>
      <c r="N225" s="225">
        <f t="shared" si="17"/>
        <v>2.0151475099971519</v>
      </c>
      <c r="O225" s="225">
        <f>IF(IFERROR(INDEX('Both teabags AfterWet'!$C$3:$C$841,MATCH(J225,'Both teabags AfterWet'!$A$3:$A$841,0)),"")="","",(IFERROR(INDEX('Both teabags AfterWet'!$C$3:$C$841,MATCH(J225,'Both teabags AfterWet'!$A$3:$A$841,0)),"")))</f>
        <v>1.4075</v>
      </c>
      <c r="P225" s="225">
        <f>IFERROR(IF(O225&gt;0,O225-(TBIcalc!$H$9),""),"")</f>
        <v>1.2568999999999999</v>
      </c>
      <c r="Q225" s="225">
        <f>IFERROR(INDEX('Ashed teabags wet'!$K$2:$K$821,MATCH(J225,'Ashed teabags wet'!$A$2:$A$821,0)),"")</f>
        <v>5.3919121318019663</v>
      </c>
      <c r="R225" s="225">
        <f t="shared" si="21"/>
        <v>1.1891290564153809</v>
      </c>
      <c r="S225" s="226">
        <f>'WetLitterbags placem_collection'!E6</f>
        <v>42766</v>
      </c>
      <c r="T225" s="226">
        <f>IF('WetLitterbags placem_collection'!G6="","",'WetLitterbags placem_collection'!G6)</f>
        <v>42818</v>
      </c>
      <c r="U225" s="227">
        <f t="shared" si="18"/>
        <v>52</v>
      </c>
      <c r="V225" s="225">
        <f t="shared" si="19"/>
        <v>0.8052999999999999</v>
      </c>
      <c r="W225" s="225">
        <f t="shared" si="20"/>
        <v>0.82601845358177095</v>
      </c>
      <c r="X225">
        <f>IFERROR(INDEX(Rainfall_Wet!$O$2:$O$217,MATCH(B225, Rainfall_Wet!$A$2:$A$217,0)),"")</f>
        <v>194.43839254400001</v>
      </c>
      <c r="Y225" s="231">
        <v>12.565665055683967</v>
      </c>
      <c r="Z225" s="231">
        <v>0.9665896196679955</v>
      </c>
      <c r="AA225" s="231">
        <v>86.467745324648035</v>
      </c>
      <c r="AB225" s="232" t="s">
        <v>2672</v>
      </c>
      <c r="AC225" s="231">
        <v>4.02257269590931</v>
      </c>
      <c r="AD225" t="str">
        <f>IF('WetLitterbags placem_collection'!AB6="","",'WetLitterbags placem_collection'!AB6)</f>
        <v/>
      </c>
      <c r="AE225" t="str">
        <f>IF('WetLitterbags placem_collection'!Z6="","",'WetLitterbags placem_collection'!Z6)</f>
        <v/>
      </c>
      <c r="AF225" s="246" t="str">
        <f>IF('WetLitterbags placem_collection'!AA6="","",'WetLitterbags placem_collection'!AA6)</f>
        <v/>
      </c>
      <c r="AG225" t="str">
        <f>IF('WetLitterbags placem_collection'!AC6="","",'WetLitterbags placem_collection'!AC6)</f>
        <v/>
      </c>
      <c r="AH225" s="24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placem_collection'!W6)),"YES","NO")</f>
        <v>NO</v>
      </c>
      <c r="AM225" t="str">
        <f>IF(ISNUMBER(SEARCH("H", 'WetLitterbags placem_collection'!W6)),"YES","NO")</f>
        <v>NO</v>
      </c>
      <c r="AN225" t="str">
        <f>IF(ISNUMBER(SEARCH("R", 'WetLitterbags placem_collection'!W6)),"YES","NO")</f>
        <v>YES</v>
      </c>
    </row>
    <row r="226" spans="1:40" ht="15" customHeight="1">
      <c r="A226" s="258" t="s">
        <v>2460</v>
      </c>
      <c r="B226" s="263">
        <f>'Dry_Litterbag Placem_Collection'!A7</f>
        <v>5</v>
      </c>
      <c r="C226" s="263" t="str">
        <f>'Dry_Litterbag Placem_Collection'!B7</f>
        <v>Makao</v>
      </c>
      <c r="D226" s="263" t="s">
        <v>2659</v>
      </c>
      <c r="E226" s="263" t="s">
        <v>2660</v>
      </c>
      <c r="F226" s="263">
        <v>1</v>
      </c>
      <c r="G226" s="264" t="str">
        <f>'Dry_Litterbag Placem_Collection'!C7</f>
        <v>Dry_Ag1_T5</v>
      </c>
      <c r="H226" s="265" t="s">
        <v>2541</v>
      </c>
      <c r="I226" s="272" t="s">
        <v>298</v>
      </c>
      <c r="J226" s="223" t="str">
        <f>'WetLitterbags placem_collection'!M7</f>
        <v>R502</v>
      </c>
      <c r="K226" s="225">
        <f>IFERROR(INDEX('Green_rooibos initial weight'!$C$5:$C$1749,MATCH(J226, 'Green_rooibos initial weight'!$A$5:$A$1749,0)),"")</f>
        <v>2.1840000000000002</v>
      </c>
      <c r="L226" s="225">
        <f>IFERROR(K226-(TBIcalc!$H$9+TBIcalc!$H$10),"")</f>
        <v>1.9342000000000001</v>
      </c>
      <c r="M226" s="391">
        <f>AVERAGE(Ashed_controlls!$K$12:$K$14)</f>
        <v>2.2816647271287041</v>
      </c>
      <c r="N226" s="225">
        <f t="shared" si="17"/>
        <v>1.8900680408478767</v>
      </c>
      <c r="O226" s="225">
        <f>IF(IFERROR(INDEX('Both teabags AfterWet'!$C$3:$C$841,MATCH(J226,'Both teabags AfterWet'!$A$3:$A$841,0)),"")="","",(IFERROR(INDEX('Both teabags AfterWet'!$C$3:$C$841,MATCH(J226,'Both teabags AfterWet'!$A$3:$A$841,0)),"")))</f>
        <v>1.3823000000000001</v>
      </c>
      <c r="P226" s="225">
        <f>IFERROR(IF(O226&gt;0,O226-(TBIcalc!$H$9),""),"")</f>
        <v>1.2317</v>
      </c>
      <c r="Q226" s="225">
        <f>IFERROR(INDEX('Ashed teabags wet'!$K$2:$K$821,MATCH(J226,'Ashed teabags wet'!$A$2:$A$821,0)),"")</f>
        <v>4.6214355948865089</v>
      </c>
      <c r="R226" s="225">
        <f t="shared" si="21"/>
        <v>1.1747777777777828</v>
      </c>
      <c r="S226" s="226">
        <f>'WetLitterbags placem_collection'!E7</f>
        <v>42766</v>
      </c>
      <c r="T226" s="226">
        <f>IF('WetLitterbags placem_collection'!G7="","",'WetLitterbags placem_collection'!G7)</f>
        <v>42818</v>
      </c>
      <c r="U226" s="227">
        <f t="shared" si="18"/>
        <v>52</v>
      </c>
      <c r="V226" s="225">
        <f t="shared" si="19"/>
        <v>0.70250000000000012</v>
      </c>
      <c r="W226" s="225">
        <f t="shared" si="20"/>
        <v>0.71529026307009391</v>
      </c>
      <c r="X226">
        <f>IFERROR(INDEX(Rainfall_Wet!$O$2:$O$217,MATCH(B226, Rainfall_Wet!$A$2:$A$217,0)),"")</f>
        <v>194.43839254400001</v>
      </c>
      <c r="Y226" s="231">
        <v>12.565665055683967</v>
      </c>
      <c r="Z226" s="231">
        <v>0.9665896196679955</v>
      </c>
      <c r="AA226" s="231">
        <v>86.467745324648035</v>
      </c>
      <c r="AB226" s="232" t="s">
        <v>2672</v>
      </c>
      <c r="AC226" s="231">
        <v>5.02257269590931</v>
      </c>
      <c r="AD226">
        <f>IF('WetLitterbags placem_collection'!AB7="","",'WetLitterbags placem_collection'!AB7)</f>
        <v>28.4</v>
      </c>
      <c r="AE226">
        <f>IF('WetLitterbags placem_collection'!Z7="","",'WetLitterbags placem_collection'!Z7)</f>
        <v>36.4</v>
      </c>
      <c r="AF226" s="246" t="str">
        <f>IF('WetLitterbags placem_collection'!AA7="","",'WetLitterbags placem_collection'!AA7)</f>
        <v>M</v>
      </c>
      <c r="AG226">
        <f>IF('WetLitterbags placem_collection'!AC7="","",'WetLitterbags placem_collection'!AC7)</f>
        <v>1</v>
      </c>
      <c r="AH226" s="24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placem_collection'!W7)),"YES","NO")</f>
        <v>NO</v>
      </c>
      <c r="AM226" t="str">
        <f>IF(ISNUMBER(SEARCH("H", 'WetLitterbags placem_collection'!W7)),"YES","NO")</f>
        <v>NO</v>
      </c>
      <c r="AN226" t="str">
        <f>IF(ISNUMBER(SEARCH("R", 'WetLitterbags placem_collection'!W7)),"YES","NO")</f>
        <v>NO</v>
      </c>
    </row>
    <row r="227" spans="1:40" ht="15" customHeight="1">
      <c r="A227" s="258" t="s">
        <v>2460</v>
      </c>
      <c r="B227" s="263">
        <f>'Dry_Litterbag Placem_Collection'!A8</f>
        <v>6</v>
      </c>
      <c r="C227" s="263" t="str">
        <f>'Dry_Litterbag Placem_Collection'!B8</f>
        <v>Makao</v>
      </c>
      <c r="D227" s="263" t="s">
        <v>2659</v>
      </c>
      <c r="E227" s="263" t="s">
        <v>2660</v>
      </c>
      <c r="F227" s="263">
        <v>1</v>
      </c>
      <c r="G227" s="264" t="str">
        <f>'Dry_Litterbag Placem_Collection'!C8</f>
        <v>Dry_Ag1_T6</v>
      </c>
      <c r="H227" s="265" t="s">
        <v>2541</v>
      </c>
      <c r="I227" s="272" t="s">
        <v>298</v>
      </c>
      <c r="J227" s="223" t="str">
        <f>'WetLitterbags placem_collection'!M8</f>
        <v>R177</v>
      </c>
      <c r="K227" s="225">
        <f>IFERROR(INDEX('Green_rooibos initial weight'!$C$5:$C$1749,MATCH(J227, 'Green_rooibos initial weight'!$A$5:$A$1749,0)),"")</f>
        <v>2.153</v>
      </c>
      <c r="L227" s="225">
        <f>IFERROR(K227-(TBIcalc!$H$9+TBIcalc!$H$10),"")</f>
        <v>1.9032</v>
      </c>
      <c r="M227" s="391">
        <f>AVERAGE(Ashed_controlls!$K$12:$K$14)</f>
        <v>2.2816647271287041</v>
      </c>
      <c r="N227" s="225">
        <f t="shared" si="17"/>
        <v>1.8597753569132864</v>
      </c>
      <c r="O227" s="225">
        <f>IF(IFERROR(INDEX('Both teabags AfterWet'!$C$3:$C$841,MATCH(J227,'Both teabags AfterWet'!$A$3:$A$841,0)),"")="","",(IFERROR(INDEX('Both teabags AfterWet'!$C$3:$C$841,MATCH(J227,'Both teabags AfterWet'!$A$3:$A$841,0)),"")))</f>
        <v>1.4271</v>
      </c>
      <c r="P227" s="225">
        <f>IFERROR(IF(O227&gt;0,O227-(TBIcalc!$H$9),""),"")</f>
        <v>1.2765</v>
      </c>
      <c r="Q227" s="225">
        <f>IFERROR(INDEX('Ashed teabags wet'!$K$2:$K$821,MATCH(J227,'Ashed teabags wet'!$A$2:$A$821,0)),"")</f>
        <v>14.46446446446422</v>
      </c>
      <c r="R227" s="225">
        <f t="shared" si="21"/>
        <v>1.0918611111111143</v>
      </c>
      <c r="S227" s="226">
        <f>'WetLitterbags placem_collection'!E8</f>
        <v>42766</v>
      </c>
      <c r="T227" s="226">
        <f>IF('WetLitterbags placem_collection'!G8="","",'WetLitterbags placem_collection'!G8)</f>
        <v>42818</v>
      </c>
      <c r="U227" s="227">
        <f t="shared" si="18"/>
        <v>52</v>
      </c>
      <c r="V227" s="225">
        <f t="shared" si="19"/>
        <v>0.62670000000000003</v>
      </c>
      <c r="W227" s="225">
        <f t="shared" si="20"/>
        <v>0.76791424580217216</v>
      </c>
      <c r="X227">
        <f>IFERROR(INDEX(Rainfall_Wet!$O$2:$O$217,MATCH(B227, Rainfall_Wet!$A$2:$A$217,0)),"")</f>
        <v>194.43839254400001</v>
      </c>
      <c r="Y227" s="231">
        <v>12.565665055683967</v>
      </c>
      <c r="Z227" s="231">
        <v>0.9665896196679955</v>
      </c>
      <c r="AA227" s="231">
        <v>86.467745324648035</v>
      </c>
      <c r="AB227" s="232" t="s">
        <v>2672</v>
      </c>
      <c r="AC227" s="231">
        <v>6.02257269590931</v>
      </c>
      <c r="AD227">
        <f>IF('WetLitterbags placem_collection'!AB8="","",'WetLitterbags placem_collection'!AB8)</f>
        <v>32.4</v>
      </c>
      <c r="AE227">
        <f>IF('WetLitterbags placem_collection'!Z8="","",'WetLitterbags placem_collection'!Z8)</f>
        <v>31</v>
      </c>
      <c r="AF227" s="246" t="str">
        <f>IF('WetLitterbags placem_collection'!AA8="","",'WetLitterbags placem_collection'!AA8)</f>
        <v>M</v>
      </c>
      <c r="AG227">
        <f>IF('WetLitterbags placem_collection'!AC8="","",'WetLitterbags placem_collection'!AC8)</f>
        <v>1</v>
      </c>
      <c r="AH227" s="24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placem_collection'!W8)),"YES","NO")</f>
        <v>NO</v>
      </c>
      <c r="AM227" t="str">
        <f>IF(ISNUMBER(SEARCH("H", 'WetLitterbags placem_collection'!W8)),"YES","NO")</f>
        <v>NO</v>
      </c>
      <c r="AN227" t="str">
        <f>IF(ISNUMBER(SEARCH("R", 'WetLitterbags placem_collection'!W8)),"YES","NO")</f>
        <v>YES</v>
      </c>
    </row>
    <row r="228" spans="1:40" ht="15" customHeight="1">
      <c r="A228" s="258" t="s">
        <v>2460</v>
      </c>
      <c r="B228" s="263">
        <f>'Dry_Litterbag Placem_Collection'!A9</f>
        <v>7</v>
      </c>
      <c r="C228" s="263" t="str">
        <f>'Dry_Litterbag Placem_Collection'!B9</f>
        <v>Makao</v>
      </c>
      <c r="D228" s="263" t="s">
        <v>2659</v>
      </c>
      <c r="E228" s="263" t="s">
        <v>2660</v>
      </c>
      <c r="F228" s="263">
        <v>1</v>
      </c>
      <c r="G228" s="264" t="str">
        <f>'Dry_Litterbag Placem_Collection'!C9</f>
        <v>Dry_Ag1_T7</v>
      </c>
      <c r="H228" s="265" t="s">
        <v>2541</v>
      </c>
      <c r="I228" s="272" t="s">
        <v>298</v>
      </c>
      <c r="J228" s="223" t="str">
        <f>'WetLitterbags placem_collection'!M9</f>
        <v>R531</v>
      </c>
      <c r="K228" s="225">
        <f>IFERROR(INDEX('Green_rooibos initial weight'!$C$5:$C$1749,MATCH(J228, 'Green_rooibos initial weight'!$A$5:$A$1749,0)),"")</f>
        <v>2.101</v>
      </c>
      <c r="L228" s="225">
        <f>IFERROR(K228-(TBIcalc!$H$9+TBIcalc!$H$10),"")</f>
        <v>1.8512</v>
      </c>
      <c r="M228" s="391">
        <f>AVERAGE(Ashed_controlls!$K$12:$K$14)</f>
        <v>2.2816647271287041</v>
      </c>
      <c r="N228" s="225">
        <f t="shared" si="17"/>
        <v>1.8089618225713935</v>
      </c>
      <c r="O228" s="225">
        <f>IF(IFERROR(INDEX('Both teabags AfterWet'!$C$3:$C$841,MATCH(J228,'Both teabags AfterWet'!$A$3:$A$841,0)),"")="","",(IFERROR(INDEX('Both teabags AfterWet'!$C$3:$C$841,MATCH(J228,'Both teabags AfterWet'!$A$3:$A$841,0)),"")))</f>
        <v>1.4430000000000001</v>
      </c>
      <c r="P228" s="225">
        <f>IFERROR(IF(O228&gt;0,O228-(TBIcalc!$H$9),""),"")</f>
        <v>1.2924</v>
      </c>
      <c r="Q228" s="225">
        <f>IFERROR(INDEX('Ashed teabags wet'!$K$2:$K$821,MATCH(J228,'Ashed teabags wet'!$A$2:$A$821,0)),"")</f>
        <v>3.1630170316302406</v>
      </c>
      <c r="R228" s="225">
        <f t="shared" si="21"/>
        <v>1.2515211678832108</v>
      </c>
      <c r="S228" s="226">
        <f>'WetLitterbags placem_collection'!E9</f>
        <v>42766</v>
      </c>
      <c r="T228" s="226">
        <f>IF('WetLitterbags placem_collection'!G9="","",'WetLitterbags placem_collection'!G9)</f>
        <v>42818</v>
      </c>
      <c r="U228" s="227">
        <f t="shared" si="18"/>
        <v>52</v>
      </c>
      <c r="V228" s="225">
        <f t="shared" si="19"/>
        <v>0.55879999999999996</v>
      </c>
      <c r="W228" s="225">
        <f t="shared" si="20"/>
        <v>0.55744065468818271</v>
      </c>
      <c r="X228">
        <f>IFERROR(INDEX(Rainfall_Wet!$O$2:$O$217,MATCH(B228, Rainfall_Wet!$A$2:$A$217,0)),"")</f>
        <v>194.43839254400001</v>
      </c>
      <c r="Y228" s="231">
        <v>12.565665055683967</v>
      </c>
      <c r="Z228" s="231">
        <v>0.9665896196679955</v>
      </c>
      <c r="AA228" s="231">
        <v>86.467745324648035</v>
      </c>
      <c r="AB228" s="232" t="s">
        <v>2672</v>
      </c>
      <c r="AC228" s="231">
        <v>7.02257269590931</v>
      </c>
      <c r="AD228">
        <f>IF('WetLitterbags placem_collection'!AB9="","",'WetLitterbags placem_collection'!AB9)</f>
        <v>36</v>
      </c>
      <c r="AE228">
        <f>IF('WetLitterbags placem_collection'!Z9="","",'WetLitterbags placem_collection'!Z9)</f>
        <v>43.4</v>
      </c>
      <c r="AF228" s="246" t="str">
        <f>IF('WetLitterbags placem_collection'!AA9="","",'WetLitterbags placem_collection'!AA9)</f>
        <v>M</v>
      </c>
      <c r="AG228">
        <f>IF('WetLitterbags placem_collection'!AC9="","",'WetLitterbags placem_collection'!AC9)</f>
        <v>1</v>
      </c>
      <c r="AH228" s="24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placem_collection'!W9)),"YES","NO")</f>
        <v>NO</v>
      </c>
      <c r="AM228" t="str">
        <f>IF(ISNUMBER(SEARCH("H", 'WetLitterbags placem_collection'!W9)),"YES","NO")</f>
        <v>NO</v>
      </c>
      <c r="AN228" t="str">
        <f>IF(ISNUMBER(SEARCH("R", 'WetLitterbags placem_collection'!W9)),"YES","NO")</f>
        <v>NO</v>
      </c>
    </row>
    <row r="229" spans="1:40" ht="15" customHeight="1">
      <c r="A229" s="258" t="s">
        <v>2460</v>
      </c>
      <c r="B229" s="263">
        <f>'Dry_Litterbag Placem_Collection'!A10</f>
        <v>8</v>
      </c>
      <c r="C229" s="263" t="str">
        <f>'Dry_Litterbag Placem_Collection'!B10</f>
        <v>Makao</v>
      </c>
      <c r="D229" s="263" t="s">
        <v>2659</v>
      </c>
      <c r="E229" s="263" t="s">
        <v>2660</v>
      </c>
      <c r="F229" s="263">
        <v>1</v>
      </c>
      <c r="G229" s="264" t="str">
        <f>'Dry_Litterbag Placem_Collection'!C10</f>
        <v>Dry_Ag1_T8</v>
      </c>
      <c r="H229" s="265" t="s">
        <v>2541</v>
      </c>
      <c r="I229" s="272" t="s">
        <v>298</v>
      </c>
      <c r="J229" s="223" t="str">
        <f>'WetLitterbags placem_collection'!M10</f>
        <v>R406</v>
      </c>
      <c r="K229" s="225">
        <f>IFERROR(INDEX('Green_rooibos initial weight'!$C$5:$C$1749,MATCH(J229, 'Green_rooibos initial weight'!$A$5:$A$1749,0)),"")</f>
        <v>2.1739999999999999</v>
      </c>
      <c r="L229" s="225">
        <f>IFERROR(K229-(TBIcalc!$H$9+TBIcalc!$H$10),"")</f>
        <v>1.9241999999999999</v>
      </c>
      <c r="M229" s="391">
        <f>AVERAGE(Ashed_controlls!$K$12:$K$14)</f>
        <v>2.2816647271287041</v>
      </c>
      <c r="N229" s="225">
        <f t="shared" si="17"/>
        <v>1.8802962073205893</v>
      </c>
      <c r="O229" s="225">
        <f>IF(IFERROR(INDEX('Both teabags AfterWet'!$C$3:$C$841,MATCH(J229,'Both teabags AfterWet'!$A$3:$A$841,0)),"")="","",(IFERROR(INDEX('Both teabags AfterWet'!$C$3:$C$841,MATCH(J229,'Both teabags AfterWet'!$A$3:$A$841,0)),"")))</f>
        <v>1.4278999999999999</v>
      </c>
      <c r="P229" s="225">
        <f>IFERROR(IF(O229&gt;0,O229-(TBIcalc!$H$9),""),"")</f>
        <v>1.2772999999999999</v>
      </c>
      <c r="Q229" s="225">
        <f>IFERROR(INDEX('Ashed teabags wet'!$K$2:$K$821,MATCH(J229,'Ashed teabags wet'!$A$2:$A$821,0)),"")</f>
        <v>2.5291828793778013</v>
      </c>
      <c r="R229" s="225">
        <f t="shared" si="21"/>
        <v>1.2449947470817073</v>
      </c>
      <c r="S229" s="226">
        <f>'WetLitterbags placem_collection'!E10</f>
        <v>42766</v>
      </c>
      <c r="T229" s="226">
        <f>IF('WetLitterbags placem_collection'!G10="","",'WetLitterbags placem_collection'!G10)</f>
        <v>42818</v>
      </c>
      <c r="U229" s="227">
        <f t="shared" si="18"/>
        <v>52</v>
      </c>
      <c r="V229" s="225">
        <f t="shared" si="19"/>
        <v>0.64690000000000003</v>
      </c>
      <c r="W229" s="225">
        <f t="shared" si="20"/>
        <v>0.63530146023888201</v>
      </c>
      <c r="X229">
        <f>IFERROR(INDEX(Rainfall_Wet!$O$2:$O$217,MATCH(B229, Rainfall_Wet!$A$2:$A$217,0)),"")</f>
        <v>194.43839254400001</v>
      </c>
      <c r="Y229" s="231">
        <v>12.565665055683967</v>
      </c>
      <c r="Z229" s="231">
        <v>0.9665896196679955</v>
      </c>
      <c r="AA229" s="231">
        <v>86.467745324648035</v>
      </c>
      <c r="AB229" s="232" t="s">
        <v>2672</v>
      </c>
      <c r="AC229" s="231">
        <v>8.0225726959093109</v>
      </c>
      <c r="AD229">
        <f>IF('WetLitterbags placem_collection'!AB10="","",'WetLitterbags placem_collection'!AB10)</f>
        <v>36</v>
      </c>
      <c r="AE229">
        <f>IF('WetLitterbags placem_collection'!Z10="","",'WetLitterbags placem_collection'!Z10)</f>
        <v>38.4</v>
      </c>
      <c r="AF229" s="246" t="str">
        <f>IF('WetLitterbags placem_collection'!AA10="","",'WetLitterbags placem_collection'!AA10)</f>
        <v>M</v>
      </c>
      <c r="AG229" t="str">
        <f>IF('WetLitterbags placem_collection'!AC10="","",'WetLitterbags placem_collection'!AC10)</f>
        <v/>
      </c>
      <c r="AH229" s="24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placem_collection'!W10)),"YES","NO")</f>
        <v>NO</v>
      </c>
      <c r="AM229" t="str">
        <f>IF(ISNUMBER(SEARCH("H", 'WetLitterbags placem_collection'!W10)),"YES","NO")</f>
        <v>NO</v>
      </c>
      <c r="AN229" t="str">
        <f>IF(ISNUMBER(SEARCH("R", 'WetLitterbags placem_collection'!W10)),"YES","NO")</f>
        <v>YES</v>
      </c>
    </row>
    <row r="230" spans="1:40" ht="15" customHeight="1">
      <c r="A230" s="258" t="s">
        <v>2460</v>
      </c>
      <c r="B230" s="263">
        <f>'Dry_Litterbag Placem_Collection'!A11</f>
        <v>9</v>
      </c>
      <c r="C230" s="263" t="str">
        <f>'Dry_Litterbag Placem_Collection'!B11</f>
        <v>Makao</v>
      </c>
      <c r="D230" s="263" t="s">
        <v>2659</v>
      </c>
      <c r="E230" s="263" t="s">
        <v>2660</v>
      </c>
      <c r="F230" s="263">
        <v>2</v>
      </c>
      <c r="G230" s="264" t="str">
        <f>'Dry_Litterbag Placem_Collection'!C11</f>
        <v>Dry_Ag2_T1</v>
      </c>
      <c r="H230" s="265" t="s">
        <v>2541</v>
      </c>
      <c r="I230" s="272" t="s">
        <v>298</v>
      </c>
      <c r="J230" s="223" t="str">
        <f>'WetLitterbags placem_collection'!M11</f>
        <v>R169</v>
      </c>
      <c r="K230" s="225">
        <f>IFERROR(INDEX('Green_rooibos initial weight'!$C$5:$C$1749,MATCH(J230, 'Green_rooibos initial weight'!$A$5:$A$1749,0)),"")</f>
        <v>2.2010000000000001</v>
      </c>
      <c r="L230" s="225">
        <f>IFERROR(K230-(TBIcalc!$H$9+TBIcalc!$H$10),"")</f>
        <v>1.9512</v>
      </c>
      <c r="M230" s="391">
        <f>AVERAGE(Ashed_controlls!$K$12:$K$14)</f>
        <v>2.2816647271287041</v>
      </c>
      <c r="N230" s="225">
        <f t="shared" si="17"/>
        <v>1.9066801578442647</v>
      </c>
      <c r="O230" s="225">
        <f>IF(IFERROR(INDEX('Both teabags AfterWet'!$C$3:$C$841,MATCH(J230,'Both teabags AfterWet'!$A$3:$A$841,0)),"")="","",(IFERROR(INDEX('Both teabags AfterWet'!$C$3:$C$841,MATCH(J230,'Both teabags AfterWet'!$A$3:$A$841,0)),"")))</f>
        <v>2.8336999999999999</v>
      </c>
      <c r="P230" s="225">
        <f>IFERROR(IF(O230&gt;0,O230-(TBIcalc!$H$9),""),"")</f>
        <v>2.6831</v>
      </c>
      <c r="Q230" s="225">
        <f>IFERROR(INDEX('Ashed teabags wet'!$K$2:$K$821,MATCH(J230,'Ashed teabags wet'!$A$2:$A$821,0)),"")</f>
        <v>95.2866861030124</v>
      </c>
      <c r="R230" s="225">
        <f t="shared" si="21"/>
        <v>0.1264629251700744</v>
      </c>
      <c r="S230" s="226">
        <f>'WetLitterbags placem_collection'!E11</f>
        <v>42766</v>
      </c>
      <c r="T230" s="226">
        <f>IF('WetLitterbags placem_collection'!G11="","",'WetLitterbags placem_collection'!G11)</f>
        <v>42818</v>
      </c>
      <c r="U230" s="227">
        <f t="shared" si="18"/>
        <v>52</v>
      </c>
      <c r="V230" s="225">
        <f t="shared" si="19"/>
        <v>-0.7319</v>
      </c>
      <c r="W230" s="225">
        <f t="shared" si="20"/>
        <v>1.7802172326741903</v>
      </c>
      <c r="X230">
        <f>IFERROR(INDEX(Rainfall_Wet!$O$2:$O$217,MATCH(B230, Rainfall_Wet!$A$2:$A$217,0)),"")</f>
        <v>194.43839254400001</v>
      </c>
      <c r="Y230" s="231">
        <v>21.13063730679653</v>
      </c>
      <c r="Z230" s="231">
        <v>3.0912555579081076</v>
      </c>
      <c r="AA230" s="231">
        <v>75.778107135295357</v>
      </c>
      <c r="AB230" s="232" t="s">
        <v>2670</v>
      </c>
      <c r="AC230" s="231">
        <v>0.46131099063578063</v>
      </c>
      <c r="AD230">
        <f>IF('WetLitterbags placem_collection'!AB11="","",'WetLitterbags placem_collection'!AB11)</f>
        <v>10.8</v>
      </c>
      <c r="AE230">
        <f>IF('WetLitterbags placem_collection'!Z11="","",'WetLitterbags placem_collection'!Z11)</f>
        <v>28.4</v>
      </c>
      <c r="AF230" s="246" t="str">
        <f>IF('WetLitterbags placem_collection'!AA11="","",'WetLitterbags placem_collection'!AA11)</f>
        <v>M</v>
      </c>
      <c r="AG230">
        <f>IF('WetLitterbags placem_collection'!AC11="","",'WetLitterbags placem_collection'!AC11)</f>
        <v>0</v>
      </c>
      <c r="AH230" s="24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placem_collection'!W11)),"YES","NO")</f>
        <v>YES</v>
      </c>
      <c r="AM230" t="str">
        <f>IF(ISNUMBER(SEARCH("H", 'WetLitterbags placem_collection'!W11)),"YES","NO")</f>
        <v>YES</v>
      </c>
      <c r="AN230" t="str">
        <f>IF(ISNUMBER(SEARCH("R", 'WetLitterbags placem_collection'!W11)),"YES","NO")</f>
        <v>NO</v>
      </c>
    </row>
    <row r="231" spans="1:40" ht="15" customHeight="1">
      <c r="A231" s="258" t="s">
        <v>2460</v>
      </c>
      <c r="B231" s="263">
        <f>'Dry_Litterbag Placem_Collection'!A12</f>
        <v>10</v>
      </c>
      <c r="C231" s="263" t="str">
        <f>'Dry_Litterbag Placem_Collection'!B12</f>
        <v>Makao</v>
      </c>
      <c r="D231" s="263" t="s">
        <v>2659</v>
      </c>
      <c r="E231" s="263" t="s">
        <v>2660</v>
      </c>
      <c r="F231" s="263">
        <v>2</v>
      </c>
      <c r="G231" s="264" t="str">
        <f>'Dry_Litterbag Placem_Collection'!C12</f>
        <v>Dry_Ag2_T2</v>
      </c>
      <c r="H231" s="265" t="s">
        <v>2541</v>
      </c>
      <c r="I231" s="272" t="s">
        <v>298</v>
      </c>
      <c r="J231" s="223" t="str">
        <f>'WetLitterbags placem_collection'!M12</f>
        <v>R91</v>
      </c>
      <c r="K231" s="225">
        <f>IFERROR(INDEX('Green_rooibos initial weight'!$C$5:$C$1749,MATCH(J231, 'Green_rooibos initial weight'!$A$5:$A$1749,0)),"")</f>
        <v>2.133</v>
      </c>
      <c r="L231" s="225">
        <f>IFERROR(K231-(TBIcalc!$H$9+TBIcalc!$H$10),"")</f>
        <v>1.8832</v>
      </c>
      <c r="M231" s="391">
        <f>AVERAGE(Ashed_controlls!$K$12:$K$14)</f>
        <v>2.2816647271287041</v>
      </c>
      <c r="N231" s="225">
        <f t="shared" si="17"/>
        <v>1.8402316898587123</v>
      </c>
      <c r="O231" s="225">
        <f>IF(IFERROR(INDEX('Both teabags AfterWet'!$C$3:$C$841,MATCH(J231,'Both teabags AfterWet'!$A$3:$A$841,0)),"")="","",(IFERROR(INDEX('Both teabags AfterWet'!$C$3:$C$841,MATCH(J231,'Both teabags AfterWet'!$A$3:$A$841,0)),"")))</f>
        <v>1.3628</v>
      </c>
      <c r="P231" s="225">
        <f>IFERROR(IF(O231&gt;0,O231-(TBIcalc!$H$9),""),"")</f>
        <v>1.2121999999999999</v>
      </c>
      <c r="Q231" s="225">
        <f>IFERROR(INDEX('Ashed teabags wet'!$K$2:$K$821,MATCH(J231,'Ashed teabags wet'!$A$2:$A$821,0)),"")</f>
        <v>4.3562439496613994</v>
      </c>
      <c r="R231" s="225">
        <f t="shared" si="21"/>
        <v>1.1593936108422045</v>
      </c>
      <c r="S231" s="226">
        <f>'WetLitterbags placem_collection'!E12</f>
        <v>42766</v>
      </c>
      <c r="T231" s="226">
        <f>IF('WetLitterbags placem_collection'!G12="","",'WetLitterbags placem_collection'!G12)</f>
        <v>42818</v>
      </c>
      <c r="U231" s="227">
        <f t="shared" si="18"/>
        <v>52</v>
      </c>
      <c r="V231" s="225">
        <f t="shared" si="19"/>
        <v>0.67100000000000004</v>
      </c>
      <c r="W231" s="225">
        <f t="shared" si="20"/>
        <v>0.68083807901650784</v>
      </c>
      <c r="X231">
        <f>IFERROR(INDEX(Rainfall_Wet!$O$2:$O$217,MATCH(B231, Rainfall_Wet!$A$2:$A$217,0)),"")</f>
        <v>194.43839254400001</v>
      </c>
      <c r="Y231" s="231">
        <v>21.13063730679653</v>
      </c>
      <c r="Z231" s="231">
        <v>3.0912555579081076</v>
      </c>
      <c r="AA231" s="231">
        <v>75.778107135295357</v>
      </c>
      <c r="AB231" s="232" t="s">
        <v>2670</v>
      </c>
      <c r="AC231" s="231">
        <v>1.46131099063578</v>
      </c>
      <c r="AD231">
        <f>IF('WetLitterbags placem_collection'!AB12="","",'WetLitterbags placem_collection'!AB12)</f>
        <v>16.8</v>
      </c>
      <c r="AE231">
        <f>IF('WetLitterbags placem_collection'!Z12="","",'WetLitterbags placem_collection'!Z12)</f>
        <v>30</v>
      </c>
      <c r="AF231" s="246" t="str">
        <f>IF('WetLitterbags placem_collection'!AA12="","",'WetLitterbags placem_collection'!AA12)</f>
        <v>M</v>
      </c>
      <c r="AG231">
        <f>IF('WetLitterbags placem_collection'!AC12="","",'WetLitterbags placem_collection'!AC12)</f>
        <v>0</v>
      </c>
      <c r="AH231" s="24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placem_collection'!W12)),"YES","NO")</f>
        <v>NO</v>
      </c>
      <c r="AM231" t="str">
        <f>IF(ISNUMBER(SEARCH("H", 'WetLitterbags placem_collection'!W12)),"YES","NO")</f>
        <v>NO</v>
      </c>
      <c r="AN231" t="str">
        <f>IF(ISNUMBER(SEARCH("R", 'WetLitterbags placem_collection'!W12)),"YES","NO")</f>
        <v>NO</v>
      </c>
    </row>
    <row r="232" spans="1:40" ht="15" customHeight="1">
      <c r="A232" s="258" t="s">
        <v>2460</v>
      </c>
      <c r="B232" s="263">
        <f>'Dry_Litterbag Placem_Collection'!A13</f>
        <v>11</v>
      </c>
      <c r="C232" s="263" t="str">
        <f>'Dry_Litterbag Placem_Collection'!B13</f>
        <v>Makao</v>
      </c>
      <c r="D232" s="263" t="s">
        <v>2659</v>
      </c>
      <c r="E232" s="263" t="s">
        <v>2660</v>
      </c>
      <c r="F232" s="263">
        <v>2</v>
      </c>
      <c r="G232" s="264" t="str">
        <f>'Dry_Litterbag Placem_Collection'!C13</f>
        <v>Dry_Ag2_T3</v>
      </c>
      <c r="H232" s="265" t="s">
        <v>2541</v>
      </c>
      <c r="I232" s="272" t="s">
        <v>298</v>
      </c>
      <c r="J232" s="223" t="str">
        <f>'WetLitterbags placem_collection'!M13</f>
        <v>R446</v>
      </c>
      <c r="K232" s="225">
        <f>IFERROR(INDEX('Green_rooibos initial weight'!$C$5:$C$1749,MATCH(J232, 'Green_rooibos initial weight'!$A$5:$A$1749,0)),"")</f>
        <v>2.2679999999999998</v>
      </c>
      <c r="L232" s="225">
        <f>IFERROR(K232-(TBIcalc!$H$9+TBIcalc!$H$10),"")</f>
        <v>2.0181999999999998</v>
      </c>
      <c r="M232" s="391">
        <f>AVERAGE(Ashed_controlls!$K$12:$K$14)</f>
        <v>2.2816647271287041</v>
      </c>
      <c r="N232" s="225">
        <f t="shared" si="17"/>
        <v>1.9721514424770883</v>
      </c>
      <c r="O232" s="225">
        <f>IF(IFERROR(INDEX('Both teabags AfterWet'!$C$3:$C$841,MATCH(J232,'Both teabags AfterWet'!$A$3:$A$841,0)),"")="","",(IFERROR(INDEX('Both teabags AfterWet'!$C$3:$C$841,MATCH(J232,'Both teabags AfterWet'!$A$3:$A$841,0)),"")))</f>
        <v>1.4224000000000001</v>
      </c>
      <c r="P232" s="225">
        <f>IFERROR(IF(O232&gt;0,O232-(TBIcalc!$H$9),""),"")</f>
        <v>1.2718</v>
      </c>
      <c r="Q232" s="225">
        <f>IFERROR(INDEX('Ashed teabags wet'!$K$2:$K$821,MATCH(J232,'Ashed teabags wet'!$A$2:$A$821,0)),"")</f>
        <v>5.1775147928992347</v>
      </c>
      <c r="R232" s="225">
        <f t="shared" si="21"/>
        <v>1.2059523668639076</v>
      </c>
      <c r="S232" s="226">
        <f>'WetLitterbags placem_collection'!E13</f>
        <v>42766</v>
      </c>
      <c r="T232" s="226">
        <f>IF('WetLitterbags placem_collection'!G13="","",'WetLitterbags placem_collection'!G13)</f>
        <v>42818</v>
      </c>
      <c r="U232" s="227">
        <f t="shared" si="18"/>
        <v>52</v>
      </c>
      <c r="V232" s="225">
        <f t="shared" si="19"/>
        <v>0.74639999999999973</v>
      </c>
      <c r="W232" s="225">
        <f t="shared" si="20"/>
        <v>0.76619907561318068</v>
      </c>
      <c r="X232">
        <f>IFERROR(INDEX(Rainfall_Wet!$O$2:$O$217,MATCH(B232, Rainfall_Wet!$A$2:$A$217,0)),"")</f>
        <v>194.43839254400001</v>
      </c>
      <c r="Y232" s="231">
        <v>21.13063730679653</v>
      </c>
      <c r="Z232" s="231">
        <v>3.0912555579081076</v>
      </c>
      <c r="AA232" s="231">
        <v>75.778107135295357</v>
      </c>
      <c r="AB232" s="232" t="s">
        <v>2670</v>
      </c>
      <c r="AC232" s="231">
        <v>2.4613109906357802</v>
      </c>
      <c r="AD232">
        <f>IF('WetLitterbags placem_collection'!AB13="","",'WetLitterbags placem_collection'!AB13)</f>
        <v>11.4</v>
      </c>
      <c r="AE232">
        <f>IF('WetLitterbags placem_collection'!Z13="","",'WetLitterbags placem_collection'!Z13)</f>
        <v>24.4</v>
      </c>
      <c r="AF232" s="246" t="str">
        <f>IF('WetLitterbags placem_collection'!AA13="","",'WetLitterbags placem_collection'!AA13)</f>
        <v>M</v>
      </c>
      <c r="AG232">
        <f>IF('WetLitterbags placem_collection'!AC13="","",'WetLitterbags placem_collection'!AC13)</f>
        <v>0</v>
      </c>
      <c r="AH232" s="24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placem_collection'!W13)),"YES","NO")</f>
        <v>NO</v>
      </c>
      <c r="AM232" t="str">
        <f>IF(ISNUMBER(SEARCH("H", 'WetLitterbags placem_collection'!W13)),"YES","NO")</f>
        <v>NO</v>
      </c>
      <c r="AN232" t="str">
        <f>IF(ISNUMBER(SEARCH("R", 'WetLitterbags placem_collection'!W13)),"YES","NO")</f>
        <v>NO</v>
      </c>
    </row>
    <row r="233" spans="1:40" ht="15" customHeight="1">
      <c r="A233" s="258" t="s">
        <v>2460</v>
      </c>
      <c r="B233" s="263">
        <f>'Dry_Litterbag Placem_Collection'!A14</f>
        <v>12</v>
      </c>
      <c r="C233" s="263" t="str">
        <f>'Dry_Litterbag Placem_Collection'!B14</f>
        <v>Makao</v>
      </c>
      <c r="D233" s="263" t="s">
        <v>2659</v>
      </c>
      <c r="E233" s="263" t="s">
        <v>2660</v>
      </c>
      <c r="F233" s="263">
        <v>2</v>
      </c>
      <c r="G233" s="264" t="str">
        <f>'Dry_Litterbag Placem_Collection'!C14</f>
        <v>Dry_Ag2_T4</v>
      </c>
      <c r="H233" s="265" t="s">
        <v>2541</v>
      </c>
      <c r="I233" s="272" t="s">
        <v>298</v>
      </c>
      <c r="J233" s="223" t="str">
        <f>'WetLitterbags placem_collection'!M14</f>
        <v>R409</v>
      </c>
      <c r="K233" s="225">
        <f>IFERROR(INDEX('Green_rooibos initial weight'!$C$5:$C$1749,MATCH(J233, 'Green_rooibos initial weight'!$A$5:$A$1749,0)),"")</f>
        <v>2.2000000000000002</v>
      </c>
      <c r="L233" s="225">
        <f>IFERROR(K233-(TBIcalc!$H$9+TBIcalc!$H$10),"")</f>
        <v>1.9502000000000002</v>
      </c>
      <c r="M233" s="391">
        <f>AVERAGE(Ashed_controlls!$K$12:$K$14)</f>
        <v>2.2816647271287041</v>
      </c>
      <c r="N233" s="225">
        <f t="shared" si="17"/>
        <v>1.9057029744915361</v>
      </c>
      <c r="O233" s="225" t="str">
        <f>IF(IFERROR(INDEX('Both teabags AfterWet'!$C$3:$C$841,MATCH(J233,'Both teabags AfterWet'!$A$3:$A$841,0)),"")="","",(IFERROR(INDEX('Both teabags AfterWet'!$C$3:$C$841,MATCH(J233,'Both teabags AfterWet'!$A$3:$A$841,0)),"")))</f>
        <v/>
      </c>
      <c r="P233" s="225" t="str">
        <f>IFERROR(IF(O233&gt;0,O233-(TBIcalc!$H$9),""),"")</f>
        <v/>
      </c>
      <c r="Q233" s="225" t="str">
        <f>IFERROR(INDEX('Ashed teabags wet'!$K$2:$K$821,MATCH(J233,'Ashed teabags wet'!$A$2:$A$821,0)),"")</f>
        <v/>
      </c>
      <c r="R233" s="225" t="str">
        <f t="shared" si="21"/>
        <v/>
      </c>
      <c r="S233" s="226">
        <f>'WetLitterbags placem_collection'!E14</f>
        <v>42766</v>
      </c>
      <c r="T233" s="226" t="str">
        <f>IF('WetLitterbags placem_collection'!G14="","",'WetLitterbags placem_collection'!G14)</f>
        <v/>
      </c>
      <c r="U233" s="227" t="str">
        <f t="shared" si="18"/>
        <v/>
      </c>
      <c r="V233" s="225" t="str">
        <f t="shared" si="19"/>
        <v/>
      </c>
      <c r="W233" s="225" t="str">
        <f t="shared" si="20"/>
        <v/>
      </c>
      <c r="X233" t="str">
        <f>IFERROR(INDEX(Rainfall_Wet!$O$2:$O$217,MATCH(B233, Rainfall_Wet!$A$2:$A$217,0)),"")</f>
        <v/>
      </c>
      <c r="Y233" s="231">
        <v>21.13063730679653</v>
      </c>
      <c r="Z233" s="231">
        <v>3.0912555579081076</v>
      </c>
      <c r="AA233" s="231">
        <v>75.778107135295357</v>
      </c>
      <c r="AB233" s="232" t="s">
        <v>2670</v>
      </c>
      <c r="AC233" s="231">
        <v>3.4613109906357802</v>
      </c>
      <c r="AD233" t="str">
        <f>IF('WetLitterbags placem_collection'!AB14="","",'WetLitterbags placem_collection'!AB14)</f>
        <v/>
      </c>
      <c r="AE233" t="str">
        <f>IF('WetLitterbags placem_collection'!Z14="","",'WetLitterbags placem_collection'!Z14)</f>
        <v/>
      </c>
      <c r="AF233" s="246" t="str">
        <f>IF('WetLitterbags placem_collection'!AA14="","",'WetLitterbags placem_collection'!AA14)</f>
        <v/>
      </c>
      <c r="AG233" t="str">
        <f>IF('WetLitterbags placem_collection'!AC14="","",'WetLitterbags placem_collection'!AC14)</f>
        <v/>
      </c>
      <c r="AH233" s="24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placem_collection'!W14)),"YES","NO")</f>
        <v>NO</v>
      </c>
      <c r="AM233" t="str">
        <f>IF(ISNUMBER(SEARCH("H", 'WetLitterbags placem_collection'!W14)),"YES","NO")</f>
        <v>NO</v>
      </c>
      <c r="AN233" t="str">
        <f>IF(ISNUMBER(SEARCH("R", 'WetLitterbags placem_collection'!W14)),"YES","NO")</f>
        <v>NO</v>
      </c>
    </row>
    <row r="234" spans="1:40" ht="15" customHeight="1">
      <c r="A234" s="258" t="s">
        <v>2460</v>
      </c>
      <c r="B234" s="263">
        <f>'Dry_Litterbag Placem_Collection'!A15</f>
        <v>13</v>
      </c>
      <c r="C234" s="263" t="str">
        <f>'Dry_Litterbag Placem_Collection'!B15</f>
        <v>Makao</v>
      </c>
      <c r="D234" s="263" t="s">
        <v>2659</v>
      </c>
      <c r="E234" s="263" t="s">
        <v>2660</v>
      </c>
      <c r="F234" s="263">
        <v>2</v>
      </c>
      <c r="G234" s="264" t="str">
        <f>'Dry_Litterbag Placem_Collection'!C15</f>
        <v>Dry_Ag2_T5</v>
      </c>
      <c r="H234" s="265" t="s">
        <v>2541</v>
      </c>
      <c r="I234" s="272" t="s">
        <v>298</v>
      </c>
      <c r="J234" s="223" t="str">
        <f>'WetLitterbags placem_collection'!M15</f>
        <v>R450</v>
      </c>
      <c r="K234" s="225">
        <f>IFERROR(INDEX('Green_rooibos initial weight'!$C$5:$C$1749,MATCH(J234, 'Green_rooibos initial weight'!$A$5:$A$1749,0)),"")</f>
        <v>2.2250000000000001</v>
      </c>
      <c r="L234" s="225">
        <f>IFERROR(K234-(TBIcalc!$H$9+TBIcalc!$H$10),"")</f>
        <v>1.9752000000000001</v>
      </c>
      <c r="M234" s="391">
        <f>AVERAGE(Ashed_controlls!$K$12:$K$14)</f>
        <v>2.2816647271287041</v>
      </c>
      <c r="N234" s="225">
        <f t="shared" si="17"/>
        <v>1.9301325583097539</v>
      </c>
      <c r="O234" s="225">
        <f>IF(IFERROR(INDEX('Both teabags AfterWet'!$C$3:$C$841,MATCH(J234,'Both teabags AfterWet'!$A$3:$A$841,0)),"")="","",(IFERROR(INDEX('Both teabags AfterWet'!$C$3:$C$841,MATCH(J234,'Both teabags AfterWet'!$A$3:$A$841,0)),"")))</f>
        <v>0.91920000000000002</v>
      </c>
      <c r="P234" s="225">
        <f>IFERROR(IF(O234&gt;0,O234-(TBIcalc!$H$9),""),"")</f>
        <v>0.76859999999999995</v>
      </c>
      <c r="Q234" s="225">
        <f>IFERROR(INDEX('Ashed teabags wet'!$K$2:$K$821,MATCH(J234,'Ashed teabags wet'!$A$2:$A$821,0)),"")</f>
        <v>41.214534594325485</v>
      </c>
      <c r="R234" s="225">
        <f t="shared" si="21"/>
        <v>0.45182508710801428</v>
      </c>
      <c r="S234" s="226">
        <f>'WetLitterbags placem_collection'!E15</f>
        <v>42766</v>
      </c>
      <c r="T234" s="226">
        <f>IF('WetLitterbags placem_collection'!G15="","",'WetLitterbags placem_collection'!G15)</f>
        <v>42818</v>
      </c>
      <c r="U234" s="227">
        <f t="shared" si="18"/>
        <v>52</v>
      </c>
      <c r="V234" s="225">
        <f t="shared" si="19"/>
        <v>1.2066000000000001</v>
      </c>
      <c r="W234" s="225">
        <f t="shared" si="20"/>
        <v>1.4783074712017397</v>
      </c>
      <c r="X234">
        <f>IFERROR(INDEX(Rainfall_Wet!$O$2:$O$217,MATCH(B234, Rainfall_Wet!$A$2:$A$217,0)),"")</f>
        <v>194.43839254400001</v>
      </c>
      <c r="Y234" s="231">
        <v>21.13063730679653</v>
      </c>
      <c r="Z234" s="231">
        <v>3.0912555579081076</v>
      </c>
      <c r="AA234" s="231">
        <v>75.778107135295357</v>
      </c>
      <c r="AB234" s="232" t="s">
        <v>2670</v>
      </c>
      <c r="AC234" s="231">
        <v>4.4613109906357797</v>
      </c>
      <c r="AD234">
        <f>IF('WetLitterbags placem_collection'!AB15="","",'WetLitterbags placem_collection'!AB15)</f>
        <v>11.4</v>
      </c>
      <c r="AE234">
        <f>IF('WetLitterbags placem_collection'!Z15="","",'WetLitterbags placem_collection'!Z15)</f>
        <v>31</v>
      </c>
      <c r="AF234" s="246" t="str">
        <f>IF('WetLitterbags placem_collection'!AA15="","",'WetLitterbags placem_collection'!AA15)</f>
        <v>M</v>
      </c>
      <c r="AG234">
        <f>IF('WetLitterbags placem_collection'!AC15="","",'WetLitterbags placem_collection'!AC15)</f>
        <v>0</v>
      </c>
      <c r="AH234" s="24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placem_collection'!W15)),"YES","NO")</f>
        <v>NO</v>
      </c>
      <c r="AM234" t="str">
        <f>IF(ISNUMBER(SEARCH("H", 'WetLitterbags placem_collection'!W15)),"YES","NO")</f>
        <v>YES</v>
      </c>
      <c r="AN234" t="str">
        <f>IF(ISNUMBER(SEARCH("R", 'WetLitterbags placem_collection'!W15)),"YES","NO")</f>
        <v>YES</v>
      </c>
    </row>
    <row r="235" spans="1:40" ht="15" customHeight="1">
      <c r="A235" s="258" t="s">
        <v>2460</v>
      </c>
      <c r="B235" s="263">
        <f>'Dry_Litterbag Placem_Collection'!A16</f>
        <v>14</v>
      </c>
      <c r="C235" s="263" t="str">
        <f>'Dry_Litterbag Placem_Collection'!B16</f>
        <v>Makao</v>
      </c>
      <c r="D235" s="263" t="s">
        <v>2659</v>
      </c>
      <c r="E235" s="263" t="s">
        <v>2660</v>
      </c>
      <c r="F235" s="263">
        <v>2</v>
      </c>
      <c r="G235" s="264" t="str">
        <f>'Dry_Litterbag Placem_Collection'!C16</f>
        <v>Dry_Ag2_T6</v>
      </c>
      <c r="H235" s="265" t="s">
        <v>2541</v>
      </c>
      <c r="I235" s="272" t="s">
        <v>298</v>
      </c>
      <c r="J235" s="223" t="str">
        <f>'WetLitterbags placem_collection'!M16</f>
        <v>R382</v>
      </c>
      <c r="K235" s="225">
        <f>IFERROR(INDEX('Green_rooibos initial weight'!$C$5:$C$1749,MATCH(J235, 'Green_rooibos initial weight'!$A$5:$A$1749,0)),"")</f>
        <v>2.2210000000000001</v>
      </c>
      <c r="L235" s="225">
        <f>IFERROR(K235-(TBIcalc!$H$9+TBIcalc!$H$10),"")</f>
        <v>1.9712000000000001</v>
      </c>
      <c r="M235" s="391">
        <f>AVERAGE(Ashed_controlls!$K$12:$K$14)</f>
        <v>2.2816647271287041</v>
      </c>
      <c r="N235" s="225">
        <f t="shared" si="17"/>
        <v>1.926223824898839</v>
      </c>
      <c r="O235" s="225">
        <f>IF(IFERROR(INDEX('Both teabags AfterWet'!$C$3:$C$841,MATCH(J235,'Both teabags AfterWet'!$A$3:$A$841,0)),"")="","",(IFERROR(INDEX('Both teabags AfterWet'!$C$3:$C$841,MATCH(J235,'Both teabags AfterWet'!$A$3:$A$841,0)),"")))</f>
        <v>1.794</v>
      </c>
      <c r="P235" s="225">
        <f>IFERROR(IF(O235&gt;0,O235-(TBIcalc!$H$9),""),"")</f>
        <v>1.6434</v>
      </c>
      <c r="Q235" s="225">
        <f>IFERROR(INDEX('Ashed teabags wet'!$K$2:$K$821,MATCH(J235,'Ashed teabags wet'!$A$2:$A$821,0)),"")</f>
        <v>87.890437289764591</v>
      </c>
      <c r="R235" s="225">
        <f t="shared" si="21"/>
        <v>0.1990085535800088</v>
      </c>
      <c r="S235" s="226">
        <f>'WetLitterbags placem_collection'!E16</f>
        <v>42766</v>
      </c>
      <c r="T235" s="226">
        <f>IF('WetLitterbags placem_collection'!G16="","",'WetLitterbags placem_collection'!G16)</f>
        <v>42818</v>
      </c>
      <c r="U235" s="227">
        <f t="shared" si="18"/>
        <v>52</v>
      </c>
      <c r="V235" s="225">
        <f t="shared" si="19"/>
        <v>0.32780000000000009</v>
      </c>
      <c r="W235" s="225">
        <f t="shared" si="20"/>
        <v>1.7272152713188302</v>
      </c>
      <c r="X235">
        <f>IFERROR(INDEX(Rainfall_Wet!$O$2:$O$217,MATCH(B235, Rainfall_Wet!$A$2:$A$217,0)),"")</f>
        <v>194.43839254400001</v>
      </c>
      <c r="Y235" s="231">
        <v>21.13063730679653</v>
      </c>
      <c r="Z235" s="231">
        <v>3.0912555579081076</v>
      </c>
      <c r="AA235" s="231">
        <v>75.778107135295357</v>
      </c>
      <c r="AB235" s="232" t="s">
        <v>2670</v>
      </c>
      <c r="AC235" s="231">
        <v>5.4613109906357797</v>
      </c>
      <c r="AD235">
        <f>IF('WetLitterbags placem_collection'!AB16="","",'WetLitterbags placem_collection'!AB16)</f>
        <v>28.4</v>
      </c>
      <c r="AE235">
        <f>IF('WetLitterbags placem_collection'!Z16="","",'WetLitterbags placem_collection'!Z16)</f>
        <v>42.4</v>
      </c>
      <c r="AF235" s="246" t="str">
        <f>IF('WetLitterbags placem_collection'!AA16="","",'WetLitterbags placem_collection'!AA16)</f>
        <v>M</v>
      </c>
      <c r="AG235">
        <f>IF('WetLitterbags placem_collection'!AC16="","",'WetLitterbags placem_collection'!AC16)</f>
        <v>0</v>
      </c>
      <c r="AH235" s="24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placem_collection'!W16)),"YES","NO")</f>
        <v>NO</v>
      </c>
      <c r="AM235" t="str">
        <f>IF(ISNUMBER(SEARCH("H", 'WetLitterbags placem_collection'!W16)),"YES","NO")</f>
        <v>YES</v>
      </c>
      <c r="AN235" t="str">
        <f>IF(ISNUMBER(SEARCH("R", 'WetLitterbags placem_collection'!W16)),"YES","NO")</f>
        <v>YES</v>
      </c>
    </row>
    <row r="236" spans="1:40" ht="15" customHeight="1">
      <c r="A236" s="258" t="s">
        <v>2460</v>
      </c>
      <c r="B236" s="263">
        <f>'Dry_Litterbag Placem_Collection'!A17</f>
        <v>15</v>
      </c>
      <c r="C236" s="263" t="str">
        <f>'Dry_Litterbag Placem_Collection'!B17</f>
        <v>Makao</v>
      </c>
      <c r="D236" s="263" t="s">
        <v>2659</v>
      </c>
      <c r="E236" s="263" t="s">
        <v>2660</v>
      </c>
      <c r="F236" s="263">
        <v>2</v>
      </c>
      <c r="G236" s="264" t="str">
        <f>'Dry_Litterbag Placem_Collection'!C17</f>
        <v>Dry_Ag2_T7</v>
      </c>
      <c r="H236" s="265" t="s">
        <v>2541</v>
      </c>
      <c r="I236" s="272" t="s">
        <v>298</v>
      </c>
      <c r="J236" s="223" t="str">
        <f>'WetLitterbags placem_collection'!M17</f>
        <v>R415</v>
      </c>
      <c r="K236" s="225">
        <f>IFERROR(INDEX('Green_rooibos initial weight'!$C$5:$C$1749,MATCH(J236, 'Green_rooibos initial weight'!$A$5:$A$1749,0)),"")</f>
        <v>2.2160000000000002</v>
      </c>
      <c r="L236" s="225">
        <f>IFERROR(K236-(TBIcalc!$H$9+TBIcalc!$H$10),"")</f>
        <v>1.9662000000000002</v>
      </c>
      <c r="M236" s="391">
        <f>AVERAGE(Ashed_controlls!$K$12:$K$14)</f>
        <v>2.2816647271287041</v>
      </c>
      <c r="N236" s="225">
        <f t="shared" si="17"/>
        <v>1.9213379081351956</v>
      </c>
      <c r="O236" s="225">
        <f>IF(IFERROR(INDEX('Both teabags AfterWet'!$C$3:$C$841,MATCH(J236,'Both teabags AfterWet'!$A$3:$A$841,0)),"")="","",(IFERROR(INDEX('Both teabags AfterWet'!$C$3:$C$841,MATCH(J236,'Both teabags AfterWet'!$A$3:$A$841,0)),"")))</f>
        <v>2.96</v>
      </c>
      <c r="P236" s="225">
        <f>IFERROR(IF(O236&gt;0,O236-(TBIcalc!$H$9),""),"")</f>
        <v>2.8094000000000001</v>
      </c>
      <c r="Q236" s="225">
        <f>IFERROR(INDEX('Ashed teabags wet'!$K$2:$K$821,MATCH(J236,'Ashed teabags wet'!$A$2:$A$821,0)),"")</f>
        <v>78.641732283464947</v>
      </c>
      <c r="R236" s="225">
        <f t="shared" si="21"/>
        <v>0.60003917322833589</v>
      </c>
      <c r="S236" s="226">
        <f>'WetLitterbags placem_collection'!E17</f>
        <v>42766</v>
      </c>
      <c r="T236" s="226">
        <f>IF('WetLitterbags placem_collection'!G17="","",'WetLitterbags placem_collection'!G17)</f>
        <v>42818</v>
      </c>
      <c r="U236" s="227">
        <f t="shared" si="18"/>
        <v>52</v>
      </c>
      <c r="V236" s="225">
        <f t="shared" si="19"/>
        <v>-0.84319999999999995</v>
      </c>
      <c r="W236" s="225">
        <f t="shared" si="20"/>
        <v>1.3212987349068597</v>
      </c>
      <c r="X236">
        <f>IFERROR(INDEX(Rainfall_Wet!$O$2:$O$217,MATCH(B236, Rainfall_Wet!$A$2:$A$217,0)),"")</f>
        <v>194.43839254400001</v>
      </c>
      <c r="Y236" s="231">
        <v>21.13063730679653</v>
      </c>
      <c r="Z236" s="231">
        <v>3.0912555579081076</v>
      </c>
      <c r="AA236" s="231">
        <v>75.778107135295357</v>
      </c>
      <c r="AB236" s="232" t="s">
        <v>2670</v>
      </c>
      <c r="AC236" s="231">
        <v>6.4613109906357797</v>
      </c>
      <c r="AD236">
        <f>IF('WetLitterbags placem_collection'!AB17="","",'WetLitterbags placem_collection'!AB17)</f>
        <v>15.8</v>
      </c>
      <c r="AE236">
        <f>IF('WetLitterbags placem_collection'!Z17="","",'WetLitterbags placem_collection'!Z17)</f>
        <v>30.4</v>
      </c>
      <c r="AF236" s="246" t="str">
        <f>IF('WetLitterbags placem_collection'!AA17="","",'WetLitterbags placem_collection'!AA17)</f>
        <v>M</v>
      </c>
      <c r="AG236">
        <f>IF('WetLitterbags placem_collection'!AC17="","",'WetLitterbags placem_collection'!AC17)</f>
        <v>0</v>
      </c>
      <c r="AH236" s="24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placem_collection'!W17)),"YES","NO")</f>
        <v>YES</v>
      </c>
      <c r="AM236" t="str">
        <f>IF(ISNUMBER(SEARCH("H", 'WetLitterbags placem_collection'!W17)),"YES","NO")</f>
        <v>YES</v>
      </c>
      <c r="AN236" t="str">
        <f>IF(ISNUMBER(SEARCH("R", 'WetLitterbags placem_collection'!W17)),"YES","NO")</f>
        <v>YES</v>
      </c>
    </row>
    <row r="237" spans="1:40" ht="15" customHeight="1">
      <c r="A237" s="258" t="s">
        <v>2460</v>
      </c>
      <c r="B237" s="263">
        <f>'Dry_Litterbag Placem_Collection'!A18</f>
        <v>16</v>
      </c>
      <c r="C237" s="263" t="str">
        <f>'Dry_Litterbag Placem_Collection'!B18</f>
        <v>Makao</v>
      </c>
      <c r="D237" s="263" t="s">
        <v>2659</v>
      </c>
      <c r="E237" s="263" t="s">
        <v>2660</v>
      </c>
      <c r="F237" s="263">
        <v>2</v>
      </c>
      <c r="G237" s="264" t="str">
        <f>'Dry_Litterbag Placem_Collection'!C18</f>
        <v>Dry_Ag2_T8</v>
      </c>
      <c r="H237" s="265" t="s">
        <v>2541</v>
      </c>
      <c r="I237" s="272" t="s">
        <v>298</v>
      </c>
      <c r="J237" s="223" t="str">
        <f>'WetLitterbags placem_collection'!M18</f>
        <v>R519</v>
      </c>
      <c r="K237" s="225">
        <f>IFERROR(INDEX('Green_rooibos initial weight'!$C$5:$C$1749,MATCH(J237, 'Green_rooibos initial weight'!$A$5:$A$1749,0)),"")</f>
        <v>2.21</v>
      </c>
      <c r="L237" s="225">
        <f>IFERROR(K237-(TBIcalc!$H$9+TBIcalc!$H$10),"")</f>
        <v>1.9601999999999999</v>
      </c>
      <c r="M237" s="391">
        <f>AVERAGE(Ashed_controlls!$K$12:$K$14)</f>
        <v>2.2816647271287041</v>
      </c>
      <c r="N237" s="225">
        <f t="shared" si="17"/>
        <v>1.9154748080188231</v>
      </c>
      <c r="O237" s="225">
        <f>IF(IFERROR(INDEX('Both teabags AfterWet'!$C$3:$C$841,MATCH(J237,'Both teabags AfterWet'!$A$3:$A$841,0)),"")="","",(IFERROR(INDEX('Both teabags AfterWet'!$C$3:$C$841,MATCH(J237,'Both teabags AfterWet'!$A$3:$A$841,0)),"")))</f>
        <v>1.4281999999999999</v>
      </c>
      <c r="P237" s="225">
        <f>IFERROR(IF(O237&gt;0,O237-(TBIcalc!$H$9),""),"")</f>
        <v>1.2775999999999998</v>
      </c>
      <c r="Q237" s="225">
        <f>IFERROR(INDEX('Ashed teabags wet'!$K$2:$K$821,MATCH(J237,'Ashed teabags wet'!$A$2:$A$821,0)),"")</f>
        <v>5.8709364386224854</v>
      </c>
      <c r="R237" s="225">
        <f t="shared" si="21"/>
        <v>1.2025929160601589</v>
      </c>
      <c r="S237" s="226">
        <f>'WetLitterbags placem_collection'!E18</f>
        <v>42766</v>
      </c>
      <c r="T237" s="226">
        <f>IF('WetLitterbags placem_collection'!G18="","",'WetLitterbags placem_collection'!G18)</f>
        <v>42818</v>
      </c>
      <c r="U237" s="227">
        <f t="shared" si="18"/>
        <v>52</v>
      </c>
      <c r="V237" s="225">
        <f t="shared" si="19"/>
        <v>0.6826000000000001</v>
      </c>
      <c r="W237" s="225">
        <f t="shared" si="20"/>
        <v>0.71288189195866414</v>
      </c>
      <c r="X237">
        <f>IFERROR(INDEX(Rainfall_Wet!$O$2:$O$217,MATCH(B237, Rainfall_Wet!$A$2:$A$217,0)),"")</f>
        <v>194.43839254400001</v>
      </c>
      <c r="Y237" s="231">
        <v>21.13063730679653</v>
      </c>
      <c r="Z237" s="231">
        <v>3.0912555579081076</v>
      </c>
      <c r="AA237" s="231">
        <v>75.778107135295357</v>
      </c>
      <c r="AB237" s="232" t="s">
        <v>2670</v>
      </c>
      <c r="AC237" s="231">
        <v>7.4613109906357797</v>
      </c>
      <c r="AD237">
        <f>IF('WetLitterbags placem_collection'!AB18="","",'WetLitterbags placem_collection'!AB18)</f>
        <v>8</v>
      </c>
      <c r="AE237">
        <f>IF('WetLitterbags placem_collection'!Z18="","",'WetLitterbags placem_collection'!Z18)</f>
        <v>12.4</v>
      </c>
      <c r="AF237" s="246" t="str">
        <f>IF('WetLitterbags placem_collection'!AA18="","",'WetLitterbags placem_collection'!AA18)</f>
        <v>M</v>
      </c>
      <c r="AG237">
        <f>IF('WetLitterbags placem_collection'!AC18="","",'WetLitterbags placem_collection'!AC18)</f>
        <v>0</v>
      </c>
      <c r="AH237" s="24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placem_collection'!W18)),"YES","NO")</f>
        <v>NO</v>
      </c>
      <c r="AM237" t="str">
        <f>IF(ISNUMBER(SEARCH("H", 'WetLitterbags placem_collection'!W18)),"YES","NO")</f>
        <v>YES</v>
      </c>
      <c r="AN237" t="str">
        <f>IF(ISNUMBER(SEARCH("R", 'WetLitterbags placem_collection'!W18)),"YES","NO")</f>
        <v>YES</v>
      </c>
    </row>
    <row r="238" spans="1:40" ht="15" customHeight="1">
      <c r="A238" s="258" t="s">
        <v>2460</v>
      </c>
      <c r="B238" s="263">
        <f>'Dry_Litterbag Placem_Collection'!A19</f>
        <v>17</v>
      </c>
      <c r="C238" s="263" t="str">
        <f>'Dry_Litterbag Placem_Collection'!B19</f>
        <v>Makao</v>
      </c>
      <c r="D238" s="263" t="s">
        <v>2659</v>
      </c>
      <c r="E238" s="263" t="s">
        <v>2660</v>
      </c>
      <c r="F238" s="263">
        <v>3</v>
      </c>
      <c r="G238" s="264" t="str">
        <f>'Dry_Litterbag Placem_Collection'!C19</f>
        <v>Dry_Ag3_T1</v>
      </c>
      <c r="H238" s="265" t="s">
        <v>2541</v>
      </c>
      <c r="I238" s="272" t="s">
        <v>298</v>
      </c>
      <c r="J238" s="223" t="str">
        <f>'WetLitterbags placem_collection'!M19</f>
        <v>R542</v>
      </c>
      <c r="K238" s="225">
        <f>IFERROR(INDEX('Green_rooibos initial weight'!$C$5:$C$1749,MATCH(J238, 'Green_rooibos initial weight'!$A$5:$A$1749,0)),"")</f>
        <v>2.2010000000000001</v>
      </c>
      <c r="L238" s="225">
        <f>IFERROR(K238-(TBIcalc!$H$9+TBIcalc!$H$10),"")</f>
        <v>1.9512</v>
      </c>
      <c r="M238" s="391">
        <f>AVERAGE(Ashed_controlls!$K$12:$K$14)</f>
        <v>2.2816647271287041</v>
      </c>
      <c r="N238" s="225">
        <f t="shared" si="17"/>
        <v>1.9066801578442647</v>
      </c>
      <c r="O238" s="225">
        <f>IF(IFERROR(INDEX('Both teabags AfterWet'!$C$3:$C$841,MATCH(J238,'Both teabags AfterWet'!$A$3:$A$841,0)),"")="","",(IFERROR(INDEX('Both teabags AfterWet'!$C$3:$C$841,MATCH(J238,'Both teabags AfterWet'!$A$3:$A$841,0)),"")))</f>
        <v>1.6227</v>
      </c>
      <c r="P238" s="225">
        <f>IFERROR(IF(O238&gt;0,O238-(TBIcalc!$H$9),""),"")</f>
        <v>1.4721</v>
      </c>
      <c r="Q238" s="225">
        <f>IFERROR(INDEX('Ashed teabags wet'!$K$2:$K$821,MATCH(J238,'Ashed teabags wet'!$A$2:$A$821,0)),"")</f>
        <v>7.361376673040378</v>
      </c>
      <c r="R238" s="225">
        <f t="shared" si="21"/>
        <v>1.3637331739961727</v>
      </c>
      <c r="S238" s="226">
        <f>'WetLitterbags placem_collection'!E19</f>
        <v>42767</v>
      </c>
      <c r="T238" s="226">
        <f>IF('WetLitterbags placem_collection'!G19="","",'WetLitterbags placem_collection'!G19)</f>
        <v>42818</v>
      </c>
      <c r="U238" s="227">
        <f t="shared" si="18"/>
        <v>51</v>
      </c>
      <c r="V238" s="225">
        <f t="shared" si="19"/>
        <v>0.47910000000000008</v>
      </c>
      <c r="W238" s="225">
        <f t="shared" si="20"/>
        <v>0.54294698384809204</v>
      </c>
      <c r="X238">
        <f>IFERROR(INDEX(Rainfall_Wet!$O$2:$O$217,MATCH(B238, Rainfall_Wet!$A$2:$A$217,0)),"")</f>
        <v>185.630065823</v>
      </c>
      <c r="Y238" s="231">
        <v>54.080969906906262</v>
      </c>
      <c r="Z238" s="231">
        <v>21.264484651351896</v>
      </c>
      <c r="AA238" s="231">
        <v>24.654545441741845</v>
      </c>
      <c r="AB238" s="232" t="s">
        <v>2673</v>
      </c>
      <c r="AC238" s="231">
        <v>1.8433218334154755</v>
      </c>
      <c r="AD238" t="str">
        <f>IF('WetLitterbags placem_collection'!AB19="","",'WetLitterbags placem_collection'!AB19)</f>
        <v/>
      </c>
      <c r="AE238" t="str">
        <f>IF('WetLitterbags placem_collection'!Z19="","",'WetLitterbags placem_collection'!Z19)</f>
        <v/>
      </c>
      <c r="AF238" s="246" t="str">
        <f>IF('WetLitterbags placem_collection'!AA19="","",'WetLitterbags placem_collection'!AA19)</f>
        <v/>
      </c>
      <c r="AG238" t="str">
        <f>IF('WetLitterbags placem_collection'!AC19="","",'WetLitterbags placem_collection'!AC19)</f>
        <v/>
      </c>
      <c r="AH238" s="24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placem_collection'!W19)),"YES","NO")</f>
        <v>NO</v>
      </c>
      <c r="AM238" t="str">
        <f>IF(ISNUMBER(SEARCH("H", 'WetLitterbags placem_collection'!W19)),"YES","NO")</f>
        <v>NO</v>
      </c>
      <c r="AN238" t="str">
        <f>IF(ISNUMBER(SEARCH("R", 'WetLitterbags placem_collection'!W19)),"YES","NO")</f>
        <v>YES</v>
      </c>
    </row>
    <row r="239" spans="1:40" ht="15" customHeight="1">
      <c r="A239" s="258" t="s">
        <v>2460</v>
      </c>
      <c r="B239" s="263">
        <f>'Dry_Litterbag Placem_Collection'!A20</f>
        <v>18</v>
      </c>
      <c r="C239" s="263" t="str">
        <f>'Dry_Litterbag Placem_Collection'!B20</f>
        <v>Makao</v>
      </c>
      <c r="D239" s="263" t="s">
        <v>2659</v>
      </c>
      <c r="E239" s="263" t="s">
        <v>2660</v>
      </c>
      <c r="F239" s="263">
        <v>3</v>
      </c>
      <c r="G239" s="264" t="str">
        <f>'Dry_Litterbag Placem_Collection'!C20</f>
        <v>Dry_Ag3_T2</v>
      </c>
      <c r="H239" s="265" t="s">
        <v>2541</v>
      </c>
      <c r="I239" s="272" t="s">
        <v>298</v>
      </c>
      <c r="J239" s="223" t="str">
        <f>'WetLitterbags placem_collection'!M20</f>
        <v>R128</v>
      </c>
      <c r="K239" s="225">
        <f>IFERROR(INDEX('Green_rooibos initial weight'!$C$5:$C$1749,MATCH(J239, 'Green_rooibos initial weight'!$A$5:$A$1749,0)),"")</f>
        <v>2.2370000000000001</v>
      </c>
      <c r="L239" s="225">
        <f>IFERROR(K239-(TBIcalc!$H$9+TBIcalc!$H$10),"")</f>
        <v>1.9872000000000001</v>
      </c>
      <c r="M239" s="391">
        <f>AVERAGE(Ashed_controlls!$K$12:$K$14)</f>
        <v>2.2816647271287041</v>
      </c>
      <c r="N239" s="225">
        <f t="shared" si="17"/>
        <v>1.9418587585424985</v>
      </c>
      <c r="O239" s="225">
        <f>IF(IFERROR(INDEX('Both teabags AfterWet'!$C$3:$C$841,MATCH(J239,'Both teabags AfterWet'!$A$3:$A$841,0)),"")="","",(IFERROR(INDEX('Both teabags AfterWet'!$C$3:$C$841,MATCH(J239,'Both teabags AfterWet'!$A$3:$A$841,0)),"")))</f>
        <v>1.79</v>
      </c>
      <c r="P239" s="225">
        <f>IFERROR(IF(O239&gt;0,O239-(TBIcalc!$H$9),""),"")</f>
        <v>1.6394</v>
      </c>
      <c r="Q239" s="225">
        <f>IFERROR(INDEX('Ashed teabags wet'!$K$2:$K$821,MATCH(J239,'Ashed teabags wet'!$A$2:$A$821,0)),"")</f>
        <v>6.4723320158097151</v>
      </c>
      <c r="R239" s="225">
        <f t="shared" si="21"/>
        <v>1.5332925889328155</v>
      </c>
      <c r="S239" s="226">
        <f>'WetLitterbags placem_collection'!E20</f>
        <v>42767</v>
      </c>
      <c r="T239" s="226">
        <f>IF('WetLitterbags placem_collection'!G20="","",'WetLitterbags placem_collection'!G20)</f>
        <v>42818</v>
      </c>
      <c r="U239" s="227">
        <f t="shared" si="18"/>
        <v>51</v>
      </c>
      <c r="V239" s="225">
        <f t="shared" si="19"/>
        <v>0.34780000000000011</v>
      </c>
      <c r="W239" s="225">
        <f t="shared" si="20"/>
        <v>0.40856616960968295</v>
      </c>
      <c r="X239">
        <f>IFERROR(INDEX(Rainfall_Wet!$O$2:$O$217,MATCH(B239, Rainfall_Wet!$A$2:$A$217,0)),"")</f>
        <v>185.630065823</v>
      </c>
      <c r="Y239" s="231">
        <v>54.080969906906262</v>
      </c>
      <c r="Z239" s="231">
        <v>21.264484651351896</v>
      </c>
      <c r="AA239" s="231">
        <v>24.654545441741845</v>
      </c>
      <c r="AB239" s="232" t="s">
        <v>2673</v>
      </c>
      <c r="AC239" s="231">
        <v>2.8433218334154802</v>
      </c>
      <c r="AD239" t="str">
        <f>IF('WetLitterbags placem_collection'!AB20="","",'WetLitterbags placem_collection'!AB20)</f>
        <v/>
      </c>
      <c r="AE239" t="str">
        <f>IF('WetLitterbags placem_collection'!Z20="","",'WetLitterbags placem_collection'!Z20)</f>
        <v/>
      </c>
      <c r="AF239" s="246" t="str">
        <f>IF('WetLitterbags placem_collection'!AA20="","",'WetLitterbags placem_collection'!AA20)</f>
        <v/>
      </c>
      <c r="AG239" t="str">
        <f>IF('WetLitterbags placem_collection'!AC20="","",'WetLitterbags placem_collection'!AC20)</f>
        <v/>
      </c>
      <c r="AH239" s="24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placem_collection'!W20)),"YES","NO")</f>
        <v>NO</v>
      </c>
      <c r="AM239" t="str">
        <f>IF(ISNUMBER(SEARCH("H", 'WetLitterbags placem_collection'!W20)),"YES","NO")</f>
        <v>NO</v>
      </c>
      <c r="AN239" t="str">
        <f>IF(ISNUMBER(SEARCH("R", 'WetLitterbags placem_collection'!W20)),"YES","NO")</f>
        <v>NO</v>
      </c>
    </row>
    <row r="240" spans="1:40" ht="15" customHeight="1">
      <c r="A240" s="258" t="s">
        <v>2460</v>
      </c>
      <c r="B240" s="263">
        <f>'Dry_Litterbag Placem_Collection'!A21</f>
        <v>19</v>
      </c>
      <c r="C240" s="263" t="str">
        <f>'Dry_Litterbag Placem_Collection'!B21</f>
        <v>Makao</v>
      </c>
      <c r="D240" s="263" t="s">
        <v>2659</v>
      </c>
      <c r="E240" s="263" t="s">
        <v>2660</v>
      </c>
      <c r="F240" s="263">
        <v>3</v>
      </c>
      <c r="G240" s="264" t="str">
        <f>'Dry_Litterbag Placem_Collection'!C21</f>
        <v>Dry_Ag3_T3</v>
      </c>
      <c r="H240" s="265" t="s">
        <v>2541</v>
      </c>
      <c r="I240" s="272" t="s">
        <v>298</v>
      </c>
      <c r="J240" s="223" t="str">
        <f>'WetLitterbags placem_collection'!M21</f>
        <v>R82</v>
      </c>
      <c r="K240" s="225">
        <f>IFERROR(INDEX('Green_rooibos initial weight'!$C$5:$C$1749,MATCH(J240, 'Green_rooibos initial weight'!$A$5:$A$1749,0)),"")</f>
        <v>2.2490000000000001</v>
      </c>
      <c r="L240" s="225">
        <f>IFERROR(K240-(TBIcalc!$H$9+TBIcalc!$H$10),"")</f>
        <v>1.9992000000000001</v>
      </c>
      <c r="M240" s="391">
        <f>AVERAGE(Ashed_controlls!$K$12:$K$14)</f>
        <v>2.2816647271287041</v>
      </c>
      <c r="N240" s="225">
        <f t="shared" si="17"/>
        <v>1.953584958775243</v>
      </c>
      <c r="O240" s="225">
        <f>IF(IFERROR(INDEX('Both teabags AfterWet'!$C$3:$C$841,MATCH(J240,'Both teabags AfterWet'!$A$3:$A$841,0)),"")="","",(IFERROR(INDEX('Both teabags AfterWet'!$C$3:$C$841,MATCH(J240,'Both teabags AfterWet'!$A$3:$A$841,0)),"")))</f>
        <v>1.514</v>
      </c>
      <c r="P240" s="225">
        <f>IFERROR(IF(O240&gt;0,O240-(TBIcalc!$H$9),""),"")</f>
        <v>1.3633999999999999</v>
      </c>
      <c r="Q240" s="225">
        <f>IFERROR(INDEX('Ashed teabags wet'!$K$2:$K$821,MATCH(J240,'Ashed teabags wet'!$A$2:$A$821,0)),"")</f>
        <v>11.013215859030426</v>
      </c>
      <c r="R240" s="225">
        <f t="shared" si="21"/>
        <v>1.213245814977979</v>
      </c>
      <c r="S240" s="226">
        <f>'WetLitterbags placem_collection'!E21</f>
        <v>42767</v>
      </c>
      <c r="T240" s="226">
        <f>IF('WetLitterbags placem_collection'!G21="","",'WetLitterbags placem_collection'!G21)</f>
        <v>42818</v>
      </c>
      <c r="U240" s="227">
        <f t="shared" si="18"/>
        <v>51</v>
      </c>
      <c r="V240" s="225">
        <f t="shared" si="19"/>
        <v>0.63580000000000014</v>
      </c>
      <c r="W240" s="225">
        <f t="shared" si="20"/>
        <v>0.74033914379726395</v>
      </c>
      <c r="X240">
        <f>IFERROR(INDEX(Rainfall_Wet!$O$2:$O$217,MATCH(B240, Rainfall_Wet!$A$2:$A$217,0)),"")</f>
        <v>185.630065823</v>
      </c>
      <c r="Y240" s="231">
        <v>54.080969906906262</v>
      </c>
      <c r="Z240" s="231">
        <v>21.264484651351896</v>
      </c>
      <c r="AA240" s="231">
        <v>24.654545441741845</v>
      </c>
      <c r="AB240" s="232" t="s">
        <v>2673</v>
      </c>
      <c r="AC240" s="231">
        <v>3.8433218334154802</v>
      </c>
      <c r="AD240" t="str">
        <f>IF('WetLitterbags placem_collection'!AB21="","",'WetLitterbags placem_collection'!AB21)</f>
        <v/>
      </c>
      <c r="AE240" t="str">
        <f>IF('WetLitterbags placem_collection'!Z21="","",'WetLitterbags placem_collection'!Z21)</f>
        <v/>
      </c>
      <c r="AF240" s="246" t="str">
        <f>IF('WetLitterbags placem_collection'!AA21="","",'WetLitterbags placem_collection'!AA21)</f>
        <v/>
      </c>
      <c r="AG240" t="str">
        <f>IF('WetLitterbags placem_collection'!AC21="","",'WetLitterbags placem_collection'!AC21)</f>
        <v/>
      </c>
      <c r="AH240" s="24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placem_collection'!W21)),"YES","NO")</f>
        <v>NO</v>
      </c>
      <c r="AM240" t="str">
        <f>IF(ISNUMBER(SEARCH("H", 'WetLitterbags placem_collection'!W21)),"YES","NO")</f>
        <v>NO</v>
      </c>
      <c r="AN240" t="str">
        <f>IF(ISNUMBER(SEARCH("R", 'WetLitterbags placem_collection'!W21)),"YES","NO")</f>
        <v>NO</v>
      </c>
    </row>
    <row r="241" spans="1:40" ht="15" customHeight="1">
      <c r="A241" s="258" t="s">
        <v>2460</v>
      </c>
      <c r="B241" s="263">
        <f>'Dry_Litterbag Placem_Collection'!A22</f>
        <v>20</v>
      </c>
      <c r="C241" s="263" t="str">
        <f>'Dry_Litterbag Placem_Collection'!B22</f>
        <v>Makao</v>
      </c>
      <c r="D241" s="263" t="s">
        <v>2659</v>
      </c>
      <c r="E241" s="263" t="s">
        <v>2660</v>
      </c>
      <c r="F241" s="263">
        <v>3</v>
      </c>
      <c r="G241" s="264" t="str">
        <f>'Dry_Litterbag Placem_Collection'!C22</f>
        <v>Dry_Ag3_T4</v>
      </c>
      <c r="H241" s="265" t="s">
        <v>2541</v>
      </c>
      <c r="I241" s="272" t="s">
        <v>298</v>
      </c>
      <c r="J241" s="223" t="str">
        <f>'WetLitterbags placem_collection'!M22</f>
        <v>R50</v>
      </c>
      <c r="K241" s="225">
        <f>IFERROR(INDEX('Green_rooibos initial weight'!$C$5:$C$1749,MATCH(J241, 'Green_rooibos initial weight'!$A$5:$A$1749,0)),"")</f>
        <v>2.2490000000000001</v>
      </c>
      <c r="L241" s="225">
        <f>IFERROR(K241-(TBIcalc!$H$9+TBIcalc!$H$10),"")</f>
        <v>1.9992000000000001</v>
      </c>
      <c r="M241" s="391">
        <f>AVERAGE(Ashed_controlls!$K$12:$K$14)</f>
        <v>2.2816647271287041</v>
      </c>
      <c r="N241" s="225">
        <f t="shared" si="17"/>
        <v>1.953584958775243</v>
      </c>
      <c r="O241" s="225">
        <f>IF(IFERROR(INDEX('Both teabags AfterWet'!$C$3:$C$841,MATCH(J241,'Both teabags AfterWet'!$A$3:$A$841,0)),"")="","",(IFERROR(INDEX('Both teabags AfterWet'!$C$3:$C$841,MATCH(J241,'Both teabags AfterWet'!$A$3:$A$841,0)),"")))</f>
        <v>1.51</v>
      </c>
      <c r="P241" s="225">
        <f>IFERROR(IF(O241&gt;0,O241-(TBIcalc!$H$9),""),"")</f>
        <v>1.3593999999999999</v>
      </c>
      <c r="Q241" s="225">
        <f>IFERROR(INDEX('Ashed teabags wet'!$K$2:$K$821,MATCH(J241,'Ashed teabags wet'!$A$2:$A$821,0)),"")</f>
        <v>8.4126189283921065</v>
      </c>
      <c r="R241" s="225">
        <f t="shared" si="21"/>
        <v>1.2450388582874377</v>
      </c>
      <c r="S241" s="226">
        <f>'WetLitterbags placem_collection'!E22</f>
        <v>42767</v>
      </c>
      <c r="T241" s="226">
        <f>IF('WetLitterbags placem_collection'!G22="","",'WetLitterbags placem_collection'!G22)</f>
        <v>42818</v>
      </c>
      <c r="U241" s="227">
        <f t="shared" si="18"/>
        <v>51</v>
      </c>
      <c r="V241" s="225">
        <f t="shared" si="19"/>
        <v>0.63980000000000015</v>
      </c>
      <c r="W241" s="225">
        <f t="shared" si="20"/>
        <v>0.70854610048780531</v>
      </c>
      <c r="X241">
        <f>IFERROR(INDEX(Rainfall_Wet!$O$2:$O$217,MATCH(B241, Rainfall_Wet!$A$2:$A$217,0)),"")</f>
        <v>185.630065823</v>
      </c>
      <c r="Y241" s="231">
        <v>54.080969906906262</v>
      </c>
      <c r="Z241" s="231">
        <v>21.264484651351896</v>
      </c>
      <c r="AA241" s="231">
        <v>24.654545441741845</v>
      </c>
      <c r="AB241" s="232" t="s">
        <v>2673</v>
      </c>
      <c r="AC241" s="231">
        <v>4.8433218334154802</v>
      </c>
      <c r="AD241" t="str">
        <f>IF('WetLitterbags placem_collection'!AB22="","",'WetLitterbags placem_collection'!AB22)</f>
        <v/>
      </c>
      <c r="AE241" t="str">
        <f>IF('WetLitterbags placem_collection'!Z22="","",'WetLitterbags placem_collection'!Z22)</f>
        <v/>
      </c>
      <c r="AF241" s="246" t="str">
        <f>IF('WetLitterbags placem_collection'!AA22="","",'WetLitterbags placem_collection'!AA22)</f>
        <v/>
      </c>
      <c r="AG241" t="str">
        <f>IF('WetLitterbags placem_collection'!AC22="","",'WetLitterbags placem_collection'!AC22)</f>
        <v/>
      </c>
      <c r="AH241" s="24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placem_collection'!W22)),"YES","NO")</f>
        <v>NO</v>
      </c>
      <c r="AM241" t="str">
        <f>IF(ISNUMBER(SEARCH("H", 'WetLitterbags placem_collection'!W22)),"YES","NO")</f>
        <v>NO</v>
      </c>
      <c r="AN241" t="str">
        <f>IF(ISNUMBER(SEARCH("R", 'WetLitterbags placem_collection'!W22)),"YES","NO")</f>
        <v>NO</v>
      </c>
    </row>
    <row r="242" spans="1:40" ht="15" customHeight="1">
      <c r="A242" s="258" t="s">
        <v>2460</v>
      </c>
      <c r="B242" s="263">
        <f>'Dry_Litterbag Placem_Collection'!A23</f>
        <v>21</v>
      </c>
      <c r="C242" s="263" t="str">
        <f>'Dry_Litterbag Placem_Collection'!B23</f>
        <v>Makao</v>
      </c>
      <c r="D242" s="263" t="s">
        <v>2659</v>
      </c>
      <c r="E242" s="263" t="s">
        <v>2660</v>
      </c>
      <c r="F242" s="263">
        <v>3</v>
      </c>
      <c r="G242" s="264" t="str">
        <f>'Dry_Litterbag Placem_Collection'!C23</f>
        <v>Dry_Ag3_T5</v>
      </c>
      <c r="H242" s="265" t="s">
        <v>2541</v>
      </c>
      <c r="I242" s="272" t="s">
        <v>298</v>
      </c>
      <c r="J242" s="223" t="str">
        <f>'WetLitterbags placem_collection'!M23</f>
        <v>R529</v>
      </c>
      <c r="K242" s="225">
        <f>IFERROR(INDEX('Green_rooibos initial weight'!$C$5:$C$1749,MATCH(J242, 'Green_rooibos initial weight'!$A$5:$A$1749,0)),"")</f>
        <v>2.157</v>
      </c>
      <c r="L242" s="225">
        <f>IFERROR(K242-(TBIcalc!$H$9+TBIcalc!$H$10),"")</f>
        <v>1.9072</v>
      </c>
      <c r="M242" s="391">
        <f>AVERAGE(Ashed_controlls!$K$12:$K$14)</f>
        <v>2.2816647271287041</v>
      </c>
      <c r="N242" s="225">
        <f t="shared" si="17"/>
        <v>1.8636840903242013</v>
      </c>
      <c r="O242" s="225">
        <f>IF(IFERROR(INDEX('Both teabags AfterWet'!$C$3:$C$841,MATCH(J242,'Both teabags AfterWet'!$A$3:$A$841,0)),"")="","",(IFERROR(INDEX('Both teabags AfterWet'!$C$3:$C$841,MATCH(J242,'Both teabags AfterWet'!$A$3:$A$841,0)),"")))</f>
        <v>1.4387000000000001</v>
      </c>
      <c r="P242" s="225">
        <f>IFERROR(IF(O242&gt;0,O242-(TBIcalc!$H$9),""),"")</f>
        <v>1.2881</v>
      </c>
      <c r="Q242" s="225">
        <f>IFERROR(INDEX('Ashed teabags wet'!$K$2:$K$821,MATCH(J242,'Ashed teabags wet'!$A$2:$A$821,0)),"")</f>
        <v>6.9930069930072492</v>
      </c>
      <c r="R242" s="225">
        <f t="shared" si="21"/>
        <v>1.1980230769230737</v>
      </c>
      <c r="S242" s="226">
        <f>'WetLitterbags placem_collection'!E23</f>
        <v>42767</v>
      </c>
      <c r="T242" s="226">
        <f>IF('WetLitterbags placem_collection'!G23="","",'WetLitterbags placem_collection'!G23)</f>
        <v>42818</v>
      </c>
      <c r="U242" s="227">
        <f t="shared" si="18"/>
        <v>51</v>
      </c>
      <c r="V242" s="225">
        <f t="shared" si="19"/>
        <v>0.61909999999999998</v>
      </c>
      <c r="W242" s="225">
        <f t="shared" si="20"/>
        <v>0.6656610134011276</v>
      </c>
      <c r="X242">
        <f>IFERROR(INDEX(Rainfall_Wet!$O$2:$O$217,MATCH(B242, Rainfall_Wet!$A$2:$A$217,0)),"")</f>
        <v>185.630065823</v>
      </c>
      <c r="Y242" s="231">
        <v>54.080969906906262</v>
      </c>
      <c r="Z242" s="231">
        <v>21.264484651351896</v>
      </c>
      <c r="AA242" s="231">
        <v>24.654545441741845</v>
      </c>
      <c r="AB242" s="232" t="s">
        <v>2673</v>
      </c>
      <c r="AC242" s="231">
        <v>5.8433218334154802</v>
      </c>
      <c r="AD242" t="str">
        <f>IF('WetLitterbags placem_collection'!AB23="","",'WetLitterbags placem_collection'!AB23)</f>
        <v/>
      </c>
      <c r="AE242" t="str">
        <f>IF('WetLitterbags placem_collection'!Z23="","",'WetLitterbags placem_collection'!Z23)</f>
        <v/>
      </c>
      <c r="AF242" s="246" t="str">
        <f>IF('WetLitterbags placem_collection'!AA23="","",'WetLitterbags placem_collection'!AA23)</f>
        <v/>
      </c>
      <c r="AG242" t="str">
        <f>IF('WetLitterbags placem_collection'!AC23="","",'WetLitterbags placem_collection'!AC23)</f>
        <v/>
      </c>
      <c r="AH242" s="24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placem_collection'!W23)),"YES","NO")</f>
        <v>NO</v>
      </c>
      <c r="AM242" t="str">
        <f>IF(ISNUMBER(SEARCH("H", 'WetLitterbags placem_collection'!W23)),"YES","NO")</f>
        <v>NO</v>
      </c>
      <c r="AN242" t="str">
        <f>IF(ISNUMBER(SEARCH("R", 'WetLitterbags placem_collection'!W23)),"YES","NO")</f>
        <v>YES</v>
      </c>
    </row>
    <row r="243" spans="1:40" ht="15" customHeight="1">
      <c r="A243" s="258" t="s">
        <v>2460</v>
      </c>
      <c r="B243" s="263">
        <f>'Dry_Litterbag Placem_Collection'!A24</f>
        <v>22</v>
      </c>
      <c r="C243" s="263" t="str">
        <f>'Dry_Litterbag Placem_Collection'!B24</f>
        <v>Makao</v>
      </c>
      <c r="D243" s="263" t="s">
        <v>2659</v>
      </c>
      <c r="E243" s="263" t="s">
        <v>2660</v>
      </c>
      <c r="F243" s="263">
        <v>3</v>
      </c>
      <c r="G243" s="264" t="str">
        <f>'Dry_Litterbag Placem_Collection'!C24</f>
        <v>Dry_Ag3_T6</v>
      </c>
      <c r="H243" s="265" t="s">
        <v>2541</v>
      </c>
      <c r="I243" s="272" t="s">
        <v>298</v>
      </c>
      <c r="J243" s="223" t="str">
        <f>'WetLitterbags placem_collection'!M24</f>
        <v>R363</v>
      </c>
      <c r="K243" s="225">
        <f>IFERROR(INDEX('Green_rooibos initial weight'!$C$5:$C$1749,MATCH(J243, 'Green_rooibos initial weight'!$A$5:$A$1749,0)),"")</f>
        <v>2.1659999999999999</v>
      </c>
      <c r="L243" s="225">
        <f>IFERROR(K243-(TBIcalc!$H$9+TBIcalc!$H$10),"")</f>
        <v>1.9161999999999999</v>
      </c>
      <c r="M243" s="391">
        <f>AVERAGE(Ashed_controlls!$K$12:$K$14)</f>
        <v>2.2816647271287041</v>
      </c>
      <c r="N243" s="225">
        <f t="shared" si="17"/>
        <v>1.8724787404987597</v>
      </c>
      <c r="O243" s="225">
        <f>IF(IFERROR(INDEX('Both teabags AfterWet'!$C$3:$C$841,MATCH(J243,'Both teabags AfterWet'!$A$3:$A$841,0)),"")="","",(IFERROR(INDEX('Both teabags AfterWet'!$C$3:$C$841,MATCH(J243,'Both teabags AfterWet'!$A$3:$A$841,0)),"")))</f>
        <v>1.5164</v>
      </c>
      <c r="P243" s="225">
        <f>IFERROR(IF(O243&gt;0,O243-(TBIcalc!$H$9),""),"")</f>
        <v>1.3657999999999999</v>
      </c>
      <c r="Q243" s="225">
        <f>IFERROR(INDEX('Ashed teabags wet'!$K$2:$K$821,MATCH(J243,'Ashed teabags wet'!$A$2:$A$821,0)),"")</f>
        <v>3.5079051383401243</v>
      </c>
      <c r="R243" s="225">
        <f t="shared" si="21"/>
        <v>1.3178890316205505</v>
      </c>
      <c r="S243" s="226">
        <f>'WetLitterbags placem_collection'!E24</f>
        <v>42767</v>
      </c>
      <c r="T243" s="226">
        <f>IF('WetLitterbags placem_collection'!G24="","",'WetLitterbags placem_collection'!G24)</f>
        <v>42818</v>
      </c>
      <c r="U243" s="227">
        <f t="shared" si="18"/>
        <v>51</v>
      </c>
      <c r="V243" s="225">
        <f t="shared" si="19"/>
        <v>0.5504</v>
      </c>
      <c r="W243" s="225">
        <f t="shared" si="20"/>
        <v>0.55458970887820924</v>
      </c>
      <c r="X243">
        <f>IFERROR(INDEX(Rainfall_Wet!$O$2:$O$217,MATCH(B243, Rainfall_Wet!$A$2:$A$217,0)),"")</f>
        <v>185.630065823</v>
      </c>
      <c r="Y243" s="231">
        <v>54.080969906906262</v>
      </c>
      <c r="Z243" s="231">
        <v>21.264484651351896</v>
      </c>
      <c r="AA243" s="231">
        <v>24.654545441741845</v>
      </c>
      <c r="AB243" s="232" t="s">
        <v>2673</v>
      </c>
      <c r="AC243" s="231">
        <v>6.8433218334154802</v>
      </c>
      <c r="AD243" t="str">
        <f>IF('WetLitterbags placem_collection'!AB24="","",'WetLitterbags placem_collection'!AB24)</f>
        <v/>
      </c>
      <c r="AE243" t="str">
        <f>IF('WetLitterbags placem_collection'!Z24="","",'WetLitterbags placem_collection'!Z24)</f>
        <v/>
      </c>
      <c r="AF243" s="246" t="str">
        <f>IF('WetLitterbags placem_collection'!AA24="","",'WetLitterbags placem_collection'!AA24)</f>
        <v/>
      </c>
      <c r="AG243" t="str">
        <f>IF('WetLitterbags placem_collection'!AC24="","",'WetLitterbags placem_collection'!AC24)</f>
        <v/>
      </c>
      <c r="AH243" s="24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placem_collection'!W24)),"YES","NO")</f>
        <v>NO</v>
      </c>
      <c r="AM243" t="str">
        <f>IF(ISNUMBER(SEARCH("H", 'WetLitterbags placem_collection'!W24)),"YES","NO")</f>
        <v>NO</v>
      </c>
      <c r="AN243" t="str">
        <f>IF(ISNUMBER(SEARCH("R", 'WetLitterbags placem_collection'!W24)),"YES","NO")</f>
        <v>NO</v>
      </c>
    </row>
    <row r="244" spans="1:40" ht="15" customHeight="1">
      <c r="A244" s="258" t="s">
        <v>2460</v>
      </c>
      <c r="B244" s="263">
        <f>'Dry_Litterbag Placem_Collection'!A25</f>
        <v>23</v>
      </c>
      <c r="C244" s="263" t="str">
        <f>'Dry_Litterbag Placem_Collection'!B25</f>
        <v>Makao</v>
      </c>
      <c r="D244" s="263" t="s">
        <v>2659</v>
      </c>
      <c r="E244" s="263" t="s">
        <v>2660</v>
      </c>
      <c r="F244" s="263">
        <v>3</v>
      </c>
      <c r="G244" s="264" t="str">
        <f>'Dry_Litterbag Placem_Collection'!C25</f>
        <v>Dry_Ag3_T7</v>
      </c>
      <c r="H244" s="265" t="s">
        <v>2541</v>
      </c>
      <c r="I244" s="272" t="s">
        <v>298</v>
      </c>
      <c r="J244" s="223" t="str">
        <f>'WetLitterbags placem_collection'!M25</f>
        <v>R190</v>
      </c>
      <c r="K244" s="225">
        <f>IFERROR(INDEX('Green_rooibos initial weight'!$C$5:$C$1749,MATCH(J244, 'Green_rooibos initial weight'!$A$5:$A$1749,0)),"")</f>
        <v>2.2240000000000002</v>
      </c>
      <c r="L244" s="225">
        <f>IFERROR(K244-(TBIcalc!$H$9+TBIcalc!$H$10),"")</f>
        <v>1.9742000000000002</v>
      </c>
      <c r="M244" s="391">
        <f>AVERAGE(Ashed_controlls!$K$12:$K$14)</f>
        <v>2.2816647271287041</v>
      </c>
      <c r="N244" s="225">
        <f t="shared" si="17"/>
        <v>1.9291553749570254</v>
      </c>
      <c r="O244" s="225">
        <f>IF(IFERROR(INDEX('Both teabags AfterWet'!$C$3:$C$841,MATCH(J244,'Both teabags AfterWet'!$A$3:$A$841,0)),"")="","",(IFERROR(INDEX('Both teabags AfterWet'!$C$3:$C$841,MATCH(J244,'Both teabags AfterWet'!$A$3:$A$841,0)),"")))</f>
        <v>1.5019</v>
      </c>
      <c r="P244" s="225">
        <f>IFERROR(IF(O244&gt;0,O244-(TBIcalc!$H$9),""),"")</f>
        <v>1.3512999999999999</v>
      </c>
      <c r="Q244" s="225">
        <f>IFERROR(INDEX('Ashed teabags wet'!$K$2:$K$821,MATCH(J244,'Ashed teabags wet'!$A$2:$A$821,0)),"")</f>
        <v>3.0390738060779063</v>
      </c>
      <c r="R244" s="225">
        <f t="shared" si="21"/>
        <v>1.3102329956584693</v>
      </c>
      <c r="S244" s="226">
        <f>'WetLitterbags placem_collection'!E25</f>
        <v>42767</v>
      </c>
      <c r="T244" s="226">
        <f>IF('WetLitterbags placem_collection'!G25="","",'WetLitterbags placem_collection'!G25)</f>
        <v>42818</v>
      </c>
      <c r="U244" s="227">
        <f t="shared" si="18"/>
        <v>51</v>
      </c>
      <c r="V244" s="225">
        <f t="shared" si="19"/>
        <v>0.62290000000000023</v>
      </c>
      <c r="W244" s="225">
        <f t="shared" si="20"/>
        <v>0.61892237929855609</v>
      </c>
      <c r="X244">
        <f>IFERROR(INDEX(Rainfall_Wet!$O$2:$O$217,MATCH(B244, Rainfall_Wet!$A$2:$A$217,0)),"")</f>
        <v>185.630065823</v>
      </c>
      <c r="Y244" s="231">
        <v>54.080969906906262</v>
      </c>
      <c r="Z244" s="231">
        <v>21.264484651351896</v>
      </c>
      <c r="AA244" s="231">
        <v>24.654545441741845</v>
      </c>
      <c r="AB244" s="232" t="s">
        <v>2673</v>
      </c>
      <c r="AC244" s="231">
        <v>7.8433218334154802</v>
      </c>
      <c r="AD244" t="str">
        <f>IF('WetLitterbags placem_collection'!AB25="","",'WetLitterbags placem_collection'!AB25)</f>
        <v/>
      </c>
      <c r="AE244" t="str">
        <f>IF('WetLitterbags placem_collection'!Z25="","",'WetLitterbags placem_collection'!Z25)</f>
        <v/>
      </c>
      <c r="AF244" s="246" t="str">
        <f>IF('WetLitterbags placem_collection'!AA25="","",'WetLitterbags placem_collection'!AA25)</f>
        <v/>
      </c>
      <c r="AG244" t="str">
        <f>IF('WetLitterbags placem_collection'!AC25="","",'WetLitterbags placem_collection'!AC25)</f>
        <v/>
      </c>
      <c r="AH244" s="24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placem_collection'!W25)),"YES","NO")</f>
        <v>NO</v>
      </c>
      <c r="AM244" t="str">
        <f>IF(ISNUMBER(SEARCH("H", 'WetLitterbags placem_collection'!W25)),"YES","NO")</f>
        <v>NO</v>
      </c>
      <c r="AN244" t="str">
        <f>IF(ISNUMBER(SEARCH("R", 'WetLitterbags placem_collection'!W25)),"YES","NO")</f>
        <v>NO</v>
      </c>
    </row>
    <row r="245" spans="1:40" ht="15" customHeight="1">
      <c r="A245" s="258" t="s">
        <v>2460</v>
      </c>
      <c r="B245" s="263">
        <f>'Dry_Litterbag Placem_Collection'!A26</f>
        <v>24</v>
      </c>
      <c r="C245" s="263" t="str">
        <f>'Dry_Litterbag Placem_Collection'!B26</f>
        <v>Makao</v>
      </c>
      <c r="D245" s="263" t="s">
        <v>2659</v>
      </c>
      <c r="E245" s="263" t="s">
        <v>2660</v>
      </c>
      <c r="F245" s="263">
        <v>3</v>
      </c>
      <c r="G245" s="264" t="str">
        <f>'Dry_Litterbag Placem_Collection'!C26</f>
        <v>Dry_Ag3_T8</v>
      </c>
      <c r="H245" s="265" t="s">
        <v>2541</v>
      </c>
      <c r="I245" s="272" t="s">
        <v>298</v>
      </c>
      <c r="J245" s="223" t="str">
        <f>'WetLitterbags placem_collection'!M26</f>
        <v>R144</v>
      </c>
      <c r="K245" s="225">
        <f>IFERROR(INDEX('Green_rooibos initial weight'!$C$5:$C$1749,MATCH(J245, 'Green_rooibos initial weight'!$A$5:$A$1749,0)),"")</f>
        <v>2.1429999999999998</v>
      </c>
      <c r="L245" s="225">
        <f>IFERROR(K245-(TBIcalc!$H$9+TBIcalc!$H$10),"")</f>
        <v>1.8931999999999998</v>
      </c>
      <c r="M245" s="391">
        <f>AVERAGE(Ashed_controlls!$K$12:$K$14)</f>
        <v>2.2816647271287041</v>
      </c>
      <c r="N245" s="225">
        <f t="shared" si="17"/>
        <v>1.850003523385999</v>
      </c>
      <c r="O245" s="225">
        <f>IF(IFERROR(INDEX('Both teabags AfterWet'!$C$3:$C$841,MATCH(J245,'Both teabags AfterWet'!$A$3:$A$841,0)),"")="","",(IFERROR(INDEX('Both teabags AfterWet'!$C$3:$C$841,MATCH(J245,'Both teabags AfterWet'!$A$3:$A$841,0)),"")))</f>
        <v>1.6077999999999999</v>
      </c>
      <c r="P245" s="225">
        <f>IFERROR(IF(O245&gt;0,O245-(TBIcalc!$H$9),""),"")</f>
        <v>1.4571999999999998</v>
      </c>
      <c r="Q245" s="225">
        <f>IFERROR(INDEX('Ashed teabags wet'!$K$2:$K$821,MATCH(J245,'Ashed teabags wet'!$A$2:$A$821,0)),"")</f>
        <v>4.9655850540802868</v>
      </c>
      <c r="R245" s="225">
        <f t="shared" si="21"/>
        <v>1.3848414945919418</v>
      </c>
      <c r="S245" s="226">
        <f>'WetLitterbags placem_collection'!E26</f>
        <v>42767</v>
      </c>
      <c r="T245" s="226">
        <f>IF('WetLitterbags placem_collection'!G26="","",'WetLitterbags placem_collection'!G26)</f>
        <v>42818</v>
      </c>
      <c r="U245" s="227">
        <f t="shared" si="18"/>
        <v>51</v>
      </c>
      <c r="V245" s="225">
        <f t="shared" si="19"/>
        <v>0.43599999999999994</v>
      </c>
      <c r="W245" s="225">
        <f t="shared" si="20"/>
        <v>0.46516202879405721</v>
      </c>
      <c r="X245">
        <f>IFERROR(INDEX(Rainfall_Wet!$O$2:$O$217,MATCH(B245, Rainfall_Wet!$A$2:$A$217,0)),"")</f>
        <v>185.630065823</v>
      </c>
      <c r="Y245" s="231">
        <v>54.080969906906262</v>
      </c>
      <c r="Z245" s="231">
        <v>21.264484651351896</v>
      </c>
      <c r="AA245" s="231">
        <v>24.654545441741845</v>
      </c>
      <c r="AB245" s="232" t="s">
        <v>2673</v>
      </c>
      <c r="AC245" s="231">
        <v>8.8433218334154695</v>
      </c>
      <c r="AD245" t="str">
        <f>IF('WetLitterbags placem_collection'!AB26="","",'WetLitterbags placem_collection'!AB26)</f>
        <v/>
      </c>
      <c r="AE245" t="str">
        <f>IF('WetLitterbags placem_collection'!Z26="","",'WetLitterbags placem_collection'!Z26)</f>
        <v/>
      </c>
      <c r="AF245" s="246" t="str">
        <f>IF('WetLitterbags placem_collection'!AA26="","",'WetLitterbags placem_collection'!AA26)</f>
        <v/>
      </c>
      <c r="AG245" t="str">
        <f>IF('WetLitterbags placem_collection'!AC26="","",'WetLitterbags placem_collection'!AC26)</f>
        <v/>
      </c>
      <c r="AH245" s="24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placem_collection'!W26)),"YES","NO")</f>
        <v>NO</v>
      </c>
      <c r="AM245" t="str">
        <f>IF(ISNUMBER(SEARCH("H", 'WetLitterbags placem_collection'!W26)),"YES","NO")</f>
        <v>NO</v>
      </c>
      <c r="AN245" t="str">
        <f>IF(ISNUMBER(SEARCH("R", 'WetLitterbags placem_collection'!W26)),"YES","NO")</f>
        <v>YES</v>
      </c>
    </row>
    <row r="246" spans="1:40" ht="15" customHeight="1">
      <c r="A246" s="258" t="s">
        <v>2460</v>
      </c>
      <c r="B246" s="263">
        <f>'Dry_Litterbag Placem_Collection'!A27</f>
        <v>25</v>
      </c>
      <c r="C246" s="263" t="str">
        <f>'Dry_Litterbag Placem_Collection'!B27</f>
        <v>Makao</v>
      </c>
      <c r="D246" s="263" t="s">
        <v>2659</v>
      </c>
      <c r="E246" s="263" t="s">
        <v>2660</v>
      </c>
      <c r="F246" s="263">
        <v>4</v>
      </c>
      <c r="G246" s="264" t="str">
        <f>'Dry_Litterbag Placem_Collection'!C27</f>
        <v>Dry_Ag4_T1</v>
      </c>
      <c r="H246" s="265" t="s">
        <v>2541</v>
      </c>
      <c r="I246" s="272" t="s">
        <v>298</v>
      </c>
      <c r="J246" s="223" t="str">
        <f>'WetLitterbags placem_collection'!M27</f>
        <v>R279</v>
      </c>
      <c r="K246" s="225">
        <f>IFERROR(INDEX('Green_rooibos initial weight'!$C$5:$C$1749,MATCH(J246, 'Green_rooibos initial weight'!$A$5:$A$1749,0)),"")</f>
        <v>2.161</v>
      </c>
      <c r="L246" s="225">
        <f>IFERROR(K246-(TBIcalc!$H$9+TBIcalc!$H$10),"")</f>
        <v>1.9112</v>
      </c>
      <c r="M246" s="391">
        <f>AVERAGE(Ashed_controlls!$K$12:$K$14)</f>
        <v>2.2816647271287041</v>
      </c>
      <c r="N246" s="225">
        <f t="shared" si="17"/>
        <v>1.8675928237351163</v>
      </c>
      <c r="O246" s="225" t="str">
        <f>IF(IFERROR(INDEX('Both teabags AfterWet'!$C$3:$C$841,MATCH(J246,'Both teabags AfterWet'!$A$3:$A$841,0)),"")="","",(IFERROR(INDEX('Both teabags AfterWet'!$C$3:$C$841,MATCH(J246,'Both teabags AfterWet'!$A$3:$A$841,0)),"")))</f>
        <v/>
      </c>
      <c r="P246" s="225" t="str">
        <f>IFERROR(IF(O246&gt;0,O246-(TBIcalc!$H$9),""),"")</f>
        <v/>
      </c>
      <c r="Q246" s="225">
        <f>IFERROR(INDEX('Ashed teabags wet'!$K$2:$K$821,MATCH(J246,'Ashed teabags wet'!$A$2:$A$821,0)),"")</f>
        <v>2.7040077257358202</v>
      </c>
      <c r="R246" s="225" t="str">
        <f t="shared" si="21"/>
        <v/>
      </c>
      <c r="S246" s="226">
        <f>'WetLitterbags placem_collection'!E27</f>
        <v>42767</v>
      </c>
      <c r="T246" s="226">
        <f>IF('WetLitterbags placem_collection'!G27="","",'WetLitterbags placem_collection'!G27)</f>
        <v>42818</v>
      </c>
      <c r="U246" s="227">
        <f t="shared" si="18"/>
        <v>51</v>
      </c>
      <c r="V246" s="225" t="str">
        <f t="shared" si="19"/>
        <v/>
      </c>
      <c r="W246" s="225" t="str">
        <f t="shared" si="20"/>
        <v/>
      </c>
      <c r="X246">
        <f>IFERROR(INDEX(Rainfall_Wet!$O$2:$O$217,MATCH(B246, Rainfall_Wet!$A$2:$A$217,0)),"")</f>
        <v>185.630065823</v>
      </c>
      <c r="Y246" s="231">
        <v>51.960000000000008</v>
      </c>
      <c r="Z246" s="231">
        <v>18.919999999999995</v>
      </c>
      <c r="AA246" s="231">
        <v>29.120000000000005</v>
      </c>
      <c r="AB246" s="232" t="s">
        <v>2673</v>
      </c>
      <c r="AC246" s="231">
        <v>1.85293247905372</v>
      </c>
      <c r="AD246" t="str">
        <f>IF('WetLitterbags placem_collection'!AB27="","",'WetLitterbags placem_collection'!AB27)</f>
        <v/>
      </c>
      <c r="AE246" t="str">
        <f>IF('WetLitterbags placem_collection'!Z27="","",'WetLitterbags placem_collection'!Z27)</f>
        <v/>
      </c>
      <c r="AF246" s="246" t="str">
        <f>IF('WetLitterbags placem_collection'!AA27="","",'WetLitterbags placem_collection'!AA27)</f>
        <v/>
      </c>
      <c r="AG246" t="str">
        <f>IF('WetLitterbags placem_collection'!AC27="","",'WetLitterbags placem_collection'!AC27)</f>
        <v/>
      </c>
      <c r="AH246" s="24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placem_collection'!W27)),"YES","NO")</f>
        <v>NO</v>
      </c>
      <c r="AM246" t="str">
        <f>IF(ISNUMBER(SEARCH("H", 'WetLitterbags placem_collection'!W27)),"YES","NO")</f>
        <v>NO</v>
      </c>
      <c r="AN246" t="str">
        <f>IF(ISNUMBER(SEARCH("R", 'WetLitterbags placem_collection'!W27)),"YES","NO")</f>
        <v>NO</v>
      </c>
    </row>
    <row r="247" spans="1:40" ht="15" customHeight="1">
      <c r="A247" s="258" t="s">
        <v>2460</v>
      </c>
      <c r="B247" s="263">
        <f>'Dry_Litterbag Placem_Collection'!A28</f>
        <v>26</v>
      </c>
      <c r="C247" s="263" t="str">
        <f>'Dry_Litterbag Placem_Collection'!B28</f>
        <v>Makao</v>
      </c>
      <c r="D247" s="263" t="s">
        <v>2659</v>
      </c>
      <c r="E247" s="263" t="s">
        <v>2660</v>
      </c>
      <c r="F247" s="263">
        <v>4</v>
      </c>
      <c r="G247" s="264" t="str">
        <f>'Dry_Litterbag Placem_Collection'!C28</f>
        <v>Dry_Ag4_T2</v>
      </c>
      <c r="H247" s="265" t="s">
        <v>2541</v>
      </c>
      <c r="I247" s="272" t="s">
        <v>298</v>
      </c>
      <c r="J247" s="223" t="str">
        <f>'WetLitterbags placem_collection'!M28</f>
        <v>R148</v>
      </c>
      <c r="K247" s="225">
        <f>IFERROR(INDEX('Green_rooibos initial weight'!$C$5:$C$1749,MATCH(J247, 'Green_rooibos initial weight'!$A$5:$A$1749,0)),"")</f>
        <v>2.149</v>
      </c>
      <c r="L247" s="225">
        <f>IFERROR(K247-(TBIcalc!$H$9+TBIcalc!$H$10),"")</f>
        <v>1.8992</v>
      </c>
      <c r="M247" s="391">
        <f>AVERAGE(Ashed_controlls!$K$12:$K$14)</f>
        <v>2.2816647271287041</v>
      </c>
      <c r="N247" s="225">
        <f t="shared" si="17"/>
        <v>1.8558666235023717</v>
      </c>
      <c r="O247" s="225">
        <f>IF(IFERROR(INDEX('Both teabags AfterWet'!$C$3:$C$841,MATCH(J247,'Both teabags AfterWet'!$A$3:$A$841,0)),"")="","",(IFERROR(INDEX('Both teabags AfterWet'!$C$3:$C$841,MATCH(J247,'Both teabags AfterWet'!$A$3:$A$841,0)),"")))</f>
        <v>1.5741000000000001</v>
      </c>
      <c r="P247" s="225">
        <f>IFERROR(IF(O247&gt;0,O247-(TBIcalc!$H$9),""),"")</f>
        <v>1.4235</v>
      </c>
      <c r="Q247" s="225">
        <f>IFERROR(INDEX('Ashed teabags wet'!$K$2:$K$821,MATCH(J247,'Ashed teabags wet'!$A$2:$A$821,0)),"")</f>
        <v>3.3466533466532278</v>
      </c>
      <c r="R247" s="225">
        <f t="shared" si="21"/>
        <v>1.3758603896103914</v>
      </c>
      <c r="S247" s="226">
        <f>'WetLitterbags placem_collection'!E28</f>
        <v>42767</v>
      </c>
      <c r="T247" s="226">
        <f>IF('WetLitterbags placem_collection'!G28="","",'WetLitterbags placem_collection'!G28)</f>
        <v>42818</v>
      </c>
      <c r="U247" s="227">
        <f t="shared" si="18"/>
        <v>51</v>
      </c>
      <c r="V247" s="225">
        <f t="shared" si="19"/>
        <v>0.47570000000000001</v>
      </c>
      <c r="W247" s="225">
        <f t="shared" si="20"/>
        <v>0.48000623389198038</v>
      </c>
      <c r="X247">
        <f>IFERROR(INDEX(Rainfall_Wet!$O$2:$O$217,MATCH(B247, Rainfall_Wet!$A$2:$A$217,0)),"")</f>
        <v>185.630065823</v>
      </c>
      <c r="Y247" s="231">
        <v>51.960000000000008</v>
      </c>
      <c r="Z247" s="231">
        <v>18.919999999999995</v>
      </c>
      <c r="AA247" s="231">
        <v>29.120000000000005</v>
      </c>
      <c r="AB247" s="232" t="s">
        <v>2673</v>
      </c>
      <c r="AC247" s="231">
        <v>2.8529324790537198</v>
      </c>
      <c r="AD247" t="str">
        <f>IF('WetLitterbags placem_collection'!AB28="","",'WetLitterbags placem_collection'!AB28)</f>
        <v/>
      </c>
      <c r="AE247" t="str">
        <f>IF('WetLitterbags placem_collection'!Z28="","",'WetLitterbags placem_collection'!Z28)</f>
        <v/>
      </c>
      <c r="AF247" s="246" t="str">
        <f>IF('WetLitterbags placem_collection'!AA28="","",'WetLitterbags placem_collection'!AA28)</f>
        <v/>
      </c>
      <c r="AG247" t="str">
        <f>IF('WetLitterbags placem_collection'!AC28="","",'WetLitterbags placem_collection'!AC28)</f>
        <v/>
      </c>
      <c r="AH247" s="24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placem_collection'!W28)),"YES","NO")</f>
        <v>NO</v>
      </c>
      <c r="AM247" t="str">
        <f>IF(ISNUMBER(SEARCH("H", 'WetLitterbags placem_collection'!W28)),"YES","NO")</f>
        <v>NO</v>
      </c>
      <c r="AN247" t="str">
        <f>IF(ISNUMBER(SEARCH("R", 'WetLitterbags placem_collection'!W28)),"YES","NO")</f>
        <v>NO</v>
      </c>
    </row>
    <row r="248" spans="1:40" ht="15" customHeight="1">
      <c r="A248" s="258" t="s">
        <v>2460</v>
      </c>
      <c r="B248" s="263">
        <f>'Dry_Litterbag Placem_Collection'!A29</f>
        <v>27</v>
      </c>
      <c r="C248" s="263" t="str">
        <f>'Dry_Litterbag Placem_Collection'!B29</f>
        <v>Makao</v>
      </c>
      <c r="D248" s="263" t="s">
        <v>2659</v>
      </c>
      <c r="E248" s="263" t="s">
        <v>2660</v>
      </c>
      <c r="F248" s="263">
        <v>4</v>
      </c>
      <c r="G248" s="264" t="str">
        <f>'Dry_Litterbag Placem_Collection'!C29</f>
        <v>Dry_Ag4_T3</v>
      </c>
      <c r="H248" s="265" t="s">
        <v>2541</v>
      </c>
      <c r="I248" s="272" t="s">
        <v>298</v>
      </c>
      <c r="J248" s="223" t="str">
        <f>'WetLitterbags placem_collection'!M29</f>
        <v>R112</v>
      </c>
      <c r="K248" s="225">
        <f>IFERROR(INDEX('Green_rooibos initial weight'!$C$5:$C$1749,MATCH(J248, 'Green_rooibos initial weight'!$A$5:$A$1749,0)),"")</f>
        <v>2.2610000000000001</v>
      </c>
      <c r="L248" s="225">
        <f>IFERROR(K248-(TBIcalc!$H$9+TBIcalc!$H$10),"")</f>
        <v>2.0112000000000001</v>
      </c>
      <c r="M248" s="391">
        <f>AVERAGE(Ashed_controlls!$K$12:$K$14)</f>
        <v>2.2816647271287041</v>
      </c>
      <c r="N248" s="225">
        <f t="shared" si="17"/>
        <v>1.9653111590079877</v>
      </c>
      <c r="O248" s="225">
        <f>IF(IFERROR(INDEX('Both teabags AfterWet'!$C$3:$C$841,MATCH(J248,'Both teabags AfterWet'!$A$3:$A$841,0)),"")="","",(IFERROR(INDEX('Both teabags AfterWet'!$C$3:$C$841,MATCH(J248,'Both teabags AfterWet'!$A$3:$A$841,0)),"")))</f>
        <v>1.3584000000000001</v>
      </c>
      <c r="P248" s="225">
        <f>IFERROR(IF(O248&gt;0,O248-(TBIcalc!$H$9),""),"")</f>
        <v>1.2078</v>
      </c>
      <c r="Q248" s="225">
        <f>IFERROR(INDEX('Ashed teabags wet'!$K$2:$K$821,MATCH(J248,'Ashed teabags wet'!$A$2:$A$821,0)),"")</f>
        <v>6.1105722599418044</v>
      </c>
      <c r="R248" s="225">
        <f t="shared" si="21"/>
        <v>1.1339965082444228</v>
      </c>
      <c r="S248" s="226">
        <f>'WetLitterbags placem_collection'!E29</f>
        <v>42767</v>
      </c>
      <c r="T248" s="226">
        <f>IF('WetLitterbags placem_collection'!G29="","",'WetLitterbags placem_collection'!G29)</f>
        <v>42818</v>
      </c>
      <c r="U248" s="227">
        <f t="shared" si="18"/>
        <v>51</v>
      </c>
      <c r="V248" s="225">
        <f t="shared" si="19"/>
        <v>0.80340000000000011</v>
      </c>
      <c r="W248" s="225">
        <f t="shared" si="20"/>
        <v>0.83131465076356492</v>
      </c>
      <c r="X248">
        <f>IFERROR(INDEX(Rainfall_Wet!$O$2:$O$217,MATCH(B248, Rainfall_Wet!$A$2:$A$217,0)),"")</f>
        <v>185.630065823</v>
      </c>
      <c r="Y248" s="231">
        <v>51.960000000000008</v>
      </c>
      <c r="Z248" s="231">
        <v>18.919999999999995</v>
      </c>
      <c r="AA248" s="231">
        <v>29.120000000000005</v>
      </c>
      <c r="AB248" s="232" t="s">
        <v>2673</v>
      </c>
      <c r="AC248" s="231">
        <v>3.8529324790537198</v>
      </c>
      <c r="AD248" t="str">
        <f>IF('WetLitterbags placem_collection'!AB29="","",'WetLitterbags placem_collection'!AB29)</f>
        <v/>
      </c>
      <c r="AE248" t="str">
        <f>IF('WetLitterbags placem_collection'!Z29="","",'WetLitterbags placem_collection'!Z29)</f>
        <v/>
      </c>
      <c r="AF248" s="246" t="str">
        <f>IF('WetLitterbags placem_collection'!AA29="","",'WetLitterbags placem_collection'!AA29)</f>
        <v/>
      </c>
      <c r="AG248" t="str">
        <f>IF('WetLitterbags placem_collection'!AC29="","",'WetLitterbags placem_collection'!AC29)</f>
        <v/>
      </c>
      <c r="AH248" s="24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placem_collection'!W29)),"YES","NO")</f>
        <v>NO</v>
      </c>
      <c r="AM248" t="str">
        <f>IF(ISNUMBER(SEARCH("H", 'WetLitterbags placem_collection'!W29)),"YES","NO")</f>
        <v>NO</v>
      </c>
      <c r="AN248" t="str">
        <f>IF(ISNUMBER(SEARCH("R", 'WetLitterbags placem_collection'!W29)),"YES","NO")</f>
        <v>NO</v>
      </c>
    </row>
    <row r="249" spans="1:40" ht="15" customHeight="1">
      <c r="A249" s="258" t="s">
        <v>2460</v>
      </c>
      <c r="B249" s="263">
        <f>'Dry_Litterbag Placem_Collection'!A30</f>
        <v>28</v>
      </c>
      <c r="C249" s="263" t="str">
        <f>'Dry_Litterbag Placem_Collection'!B30</f>
        <v>Makao</v>
      </c>
      <c r="D249" s="263" t="s">
        <v>2659</v>
      </c>
      <c r="E249" s="263" t="s">
        <v>2660</v>
      </c>
      <c r="F249" s="263">
        <v>4</v>
      </c>
      <c r="G249" s="264" t="str">
        <f>'Dry_Litterbag Placem_Collection'!C30</f>
        <v>Dry_Ag4_T4</v>
      </c>
      <c r="H249" s="265" t="s">
        <v>2541</v>
      </c>
      <c r="I249" s="272" t="s">
        <v>298</v>
      </c>
      <c r="J249" s="223" t="str">
        <f>'WetLitterbags placem_collection'!M30</f>
        <v>R436</v>
      </c>
      <c r="K249" s="225">
        <f>IFERROR(INDEX('Green_rooibos initial weight'!$C$5:$C$1749,MATCH(J249, 'Green_rooibos initial weight'!$A$5:$A$1749,0)),"")</f>
        <v>2.2240000000000002</v>
      </c>
      <c r="L249" s="225">
        <f>IFERROR(K249-(TBIcalc!$H$9+TBIcalc!$H$10),"")</f>
        <v>1.9742000000000002</v>
      </c>
      <c r="M249" s="391">
        <f>AVERAGE(Ashed_controlls!$K$12:$K$14)</f>
        <v>2.2816647271287041</v>
      </c>
      <c r="N249" s="225">
        <f t="shared" si="17"/>
        <v>1.9291553749570254</v>
      </c>
      <c r="O249" s="225">
        <f>IF(IFERROR(INDEX('Both teabags AfterWet'!$C$3:$C$841,MATCH(J249,'Both teabags AfterWet'!$A$3:$A$841,0)),"")="","",(IFERROR(INDEX('Both teabags AfterWet'!$C$3:$C$841,MATCH(J249,'Both teabags AfterWet'!$A$3:$A$841,0)),"")))</f>
        <v>1.5295000000000001</v>
      </c>
      <c r="P249" s="225">
        <f>IFERROR(IF(O249&gt;0,O249-(TBIcalc!$H$9),""),"")</f>
        <v>1.3789</v>
      </c>
      <c r="Q249" s="225">
        <f>IFERROR(INDEX('Ashed teabags wet'!$K$2:$K$821,MATCH(J249,'Ashed teabags wet'!$A$2:$A$821,0)),"")</f>
        <v>4.1749502982106899</v>
      </c>
      <c r="R249" s="225">
        <f t="shared" si="21"/>
        <v>1.3213316103379729</v>
      </c>
      <c r="S249" s="226">
        <f>'WetLitterbags placem_collection'!E30</f>
        <v>42767</v>
      </c>
      <c r="T249" s="226">
        <f>IF('WetLitterbags placem_collection'!G30="","",'WetLitterbags placem_collection'!G30)</f>
        <v>42818</v>
      </c>
      <c r="U249" s="227">
        <f t="shared" si="18"/>
        <v>51</v>
      </c>
      <c r="V249" s="225">
        <f t="shared" si="19"/>
        <v>0.59530000000000016</v>
      </c>
      <c r="W249" s="225">
        <f t="shared" si="20"/>
        <v>0.60782376461905252</v>
      </c>
      <c r="X249">
        <f>IFERROR(INDEX(Rainfall_Wet!$O$2:$O$217,MATCH(B249, Rainfall_Wet!$A$2:$A$217,0)),"")</f>
        <v>185.630065823</v>
      </c>
      <c r="Y249" s="231">
        <v>51.960000000000008</v>
      </c>
      <c r="Z249" s="231">
        <v>18.919999999999995</v>
      </c>
      <c r="AA249" s="231">
        <v>29.120000000000005</v>
      </c>
      <c r="AB249" s="232" t="s">
        <v>2673</v>
      </c>
      <c r="AC249" s="231">
        <v>4.8529324790537203</v>
      </c>
      <c r="AD249" t="str">
        <f>IF('WetLitterbags placem_collection'!AB30="","",'WetLitterbags placem_collection'!AB30)</f>
        <v/>
      </c>
      <c r="AE249" t="str">
        <f>IF('WetLitterbags placem_collection'!Z30="","",'WetLitterbags placem_collection'!Z30)</f>
        <v/>
      </c>
      <c r="AF249" s="246" t="str">
        <f>IF('WetLitterbags placem_collection'!AA30="","",'WetLitterbags placem_collection'!AA30)</f>
        <v/>
      </c>
      <c r="AG249" t="str">
        <f>IF('WetLitterbags placem_collection'!AC30="","",'WetLitterbags placem_collection'!AC30)</f>
        <v/>
      </c>
      <c r="AH249" s="24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placem_collection'!W30)),"YES","NO")</f>
        <v>NO</v>
      </c>
      <c r="AM249" t="str">
        <f>IF(ISNUMBER(SEARCH("H", 'WetLitterbags placem_collection'!W30)),"YES","NO")</f>
        <v>NO</v>
      </c>
      <c r="AN249" t="str">
        <f>IF(ISNUMBER(SEARCH("R", 'WetLitterbags placem_collection'!W30)),"YES","NO")</f>
        <v>NO</v>
      </c>
    </row>
    <row r="250" spans="1:40" ht="15" customHeight="1">
      <c r="A250" s="258" t="s">
        <v>2460</v>
      </c>
      <c r="B250" s="263">
        <f>'Dry_Litterbag Placem_Collection'!A31</f>
        <v>29</v>
      </c>
      <c r="C250" s="263" t="str">
        <f>'Dry_Litterbag Placem_Collection'!B31</f>
        <v>Makao</v>
      </c>
      <c r="D250" s="263" t="s">
        <v>2659</v>
      </c>
      <c r="E250" s="263" t="s">
        <v>2660</v>
      </c>
      <c r="F250" s="263">
        <v>4</v>
      </c>
      <c r="G250" s="264" t="str">
        <f>'Dry_Litterbag Placem_Collection'!C31</f>
        <v>Dry_Ag4_T5</v>
      </c>
      <c r="H250" s="265" t="s">
        <v>2541</v>
      </c>
      <c r="I250" s="272" t="s">
        <v>298</v>
      </c>
      <c r="J250" s="223" t="str">
        <f>'WetLitterbags placem_collection'!M31</f>
        <v>R386</v>
      </c>
      <c r="K250" s="225">
        <f>IFERROR(INDEX('Green_rooibos initial weight'!$C$5:$C$1749,MATCH(J250, 'Green_rooibos initial weight'!$A$5:$A$1749,0)),"")</f>
        <v>2.2309999999999999</v>
      </c>
      <c r="L250" s="225">
        <f>IFERROR(K250-(TBIcalc!$H$9+TBIcalc!$H$10),"")</f>
        <v>1.9811999999999999</v>
      </c>
      <c r="M250" s="391">
        <f>AVERAGE(Ashed_controlls!$K$12:$K$14)</f>
        <v>2.2816647271287041</v>
      </c>
      <c r="N250" s="225">
        <f t="shared" si="17"/>
        <v>1.935995658426126</v>
      </c>
      <c r="O250" s="225">
        <f>IF(IFERROR(INDEX('Both teabags AfterWet'!$C$3:$C$841,MATCH(J250,'Both teabags AfterWet'!$A$3:$A$841,0)),"")="","",(IFERROR(INDEX('Both teabags AfterWet'!$C$3:$C$841,MATCH(J250,'Both teabags AfterWet'!$A$3:$A$841,0)),"")))</f>
        <v>1.5941000000000001</v>
      </c>
      <c r="P250" s="225">
        <f>IFERROR(IF(O250&gt;0,O250-(TBIcalc!$H$9),""),"")</f>
        <v>1.4435</v>
      </c>
      <c r="Q250" s="225">
        <f>IFERROR(INDEX('Ashed teabags wet'!$K$2:$K$821,MATCH(J250,'Ashed teabags wet'!$A$2:$A$821,0)),"")</f>
        <v>10.99756690997477</v>
      </c>
      <c r="R250" s="225">
        <f t="shared" si="21"/>
        <v>1.2847501216545143</v>
      </c>
      <c r="S250" s="226">
        <f>'WetLitterbags placem_collection'!E31</f>
        <v>42767</v>
      </c>
      <c r="T250" s="226">
        <f>IF('WetLitterbags placem_collection'!G31="","",'WetLitterbags placem_collection'!G31)</f>
        <v>42818</v>
      </c>
      <c r="U250" s="227">
        <f t="shared" si="18"/>
        <v>51</v>
      </c>
      <c r="V250" s="225">
        <f t="shared" si="19"/>
        <v>0.53769999999999984</v>
      </c>
      <c r="W250" s="225">
        <f t="shared" si="20"/>
        <v>0.65124553677161168</v>
      </c>
      <c r="X250">
        <f>IFERROR(INDEX(Rainfall_Wet!$O$2:$O$217,MATCH(B250, Rainfall_Wet!$A$2:$A$217,0)),"")</f>
        <v>185.630065823</v>
      </c>
      <c r="Y250" s="231">
        <v>51.960000000000008</v>
      </c>
      <c r="Z250" s="231">
        <v>18.919999999999995</v>
      </c>
      <c r="AA250" s="231">
        <v>29.120000000000005</v>
      </c>
      <c r="AB250" s="232" t="s">
        <v>2673</v>
      </c>
      <c r="AC250" s="231">
        <v>5.8529324790537203</v>
      </c>
      <c r="AD250" t="str">
        <f>IF('WetLitterbags placem_collection'!AB31="","",'WetLitterbags placem_collection'!AB31)</f>
        <v/>
      </c>
      <c r="AE250" t="str">
        <f>IF('WetLitterbags placem_collection'!Z31="","",'WetLitterbags placem_collection'!Z31)</f>
        <v/>
      </c>
      <c r="AF250" s="246" t="str">
        <f>IF('WetLitterbags placem_collection'!AA31="","",'WetLitterbags placem_collection'!AA31)</f>
        <v/>
      </c>
      <c r="AG250" t="str">
        <f>IF('WetLitterbags placem_collection'!AC31="","",'WetLitterbags placem_collection'!AC31)</f>
        <v/>
      </c>
      <c r="AH250" s="24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placem_collection'!W31)),"YES","NO")</f>
        <v>NO</v>
      </c>
      <c r="AM250" t="str">
        <f>IF(ISNUMBER(SEARCH("H", 'WetLitterbags placem_collection'!W31)),"YES","NO")</f>
        <v>YES</v>
      </c>
      <c r="AN250" t="str">
        <f>IF(ISNUMBER(SEARCH("R", 'WetLitterbags placem_collection'!W31)),"YES","NO")</f>
        <v>YES</v>
      </c>
    </row>
    <row r="251" spans="1:40" ht="15" customHeight="1">
      <c r="A251" s="258" t="s">
        <v>2460</v>
      </c>
      <c r="B251" s="263">
        <f>'Dry_Litterbag Placem_Collection'!A32</f>
        <v>30</v>
      </c>
      <c r="C251" s="263" t="str">
        <f>'Dry_Litterbag Placem_Collection'!B32</f>
        <v>Makao</v>
      </c>
      <c r="D251" s="263" t="s">
        <v>2659</v>
      </c>
      <c r="E251" s="263" t="s">
        <v>2660</v>
      </c>
      <c r="F251" s="263">
        <v>4</v>
      </c>
      <c r="G251" s="264" t="str">
        <f>'Dry_Litterbag Placem_Collection'!C32</f>
        <v>Dry_Ag4_T6</v>
      </c>
      <c r="H251" s="265" t="s">
        <v>2541</v>
      </c>
      <c r="I251" s="272" t="s">
        <v>298</v>
      </c>
      <c r="J251" s="223" t="str">
        <f>'WetLitterbags placem_collection'!M32</f>
        <v>R507</v>
      </c>
      <c r="K251" s="225">
        <f>IFERROR(INDEX('Green_rooibos initial weight'!$C$5:$C$1749,MATCH(J251, 'Green_rooibos initial weight'!$A$5:$A$1749,0)),"")</f>
        <v>2.1920000000000002</v>
      </c>
      <c r="L251" s="225">
        <f>IFERROR(K251-(TBIcalc!$H$9+TBIcalc!$H$10),"")</f>
        <v>1.9422000000000001</v>
      </c>
      <c r="M251" s="391">
        <f>AVERAGE(Ashed_controlls!$K$12:$K$14)</f>
        <v>2.2816647271287041</v>
      </c>
      <c r="N251" s="225">
        <f t="shared" si="17"/>
        <v>1.8978855076697065</v>
      </c>
      <c r="O251" s="225">
        <f>IF(IFERROR(INDEX('Both teabags AfterWet'!$C$3:$C$841,MATCH(J251,'Both teabags AfterWet'!$A$3:$A$841,0)),"")="","",(IFERROR(INDEX('Both teabags AfterWet'!$C$3:$C$841,MATCH(J251,'Both teabags AfterWet'!$A$3:$A$841,0)),"")))</f>
        <v>1.3523000000000001</v>
      </c>
      <c r="P251" s="225">
        <f>IFERROR(IF(O251&gt;0,O251-(TBIcalc!$H$9),""),"")</f>
        <v>1.2017</v>
      </c>
      <c r="Q251" s="225">
        <f>IFERROR(INDEX('Ashed teabags wet'!$K$2:$K$821,MATCH(J251,'Ashed teabags wet'!$A$2:$A$821,0)),"")</f>
        <v>4.821073558648326</v>
      </c>
      <c r="R251" s="225">
        <f t="shared" si="21"/>
        <v>1.143765159045723</v>
      </c>
      <c r="S251" s="226">
        <f>'WetLitterbags placem_collection'!E32</f>
        <v>42767</v>
      </c>
      <c r="T251" s="226">
        <f>IF('WetLitterbags placem_collection'!G32="","",'WetLitterbags placem_collection'!G32)</f>
        <v>42818</v>
      </c>
      <c r="U251" s="227">
        <f t="shared" si="18"/>
        <v>51</v>
      </c>
      <c r="V251" s="225">
        <f t="shared" si="19"/>
        <v>0.74050000000000016</v>
      </c>
      <c r="W251" s="225">
        <f t="shared" si="20"/>
        <v>0.75412034862398358</v>
      </c>
      <c r="X251">
        <f>IFERROR(INDEX(Rainfall_Wet!$O$2:$O$217,MATCH(B251, Rainfall_Wet!$A$2:$A$217,0)),"")</f>
        <v>185.630065823</v>
      </c>
      <c r="Y251" s="231">
        <v>51.960000000000008</v>
      </c>
      <c r="Z251" s="231">
        <v>18.919999999999995</v>
      </c>
      <c r="AA251" s="231">
        <v>29.120000000000005</v>
      </c>
      <c r="AB251" s="232" t="s">
        <v>2673</v>
      </c>
      <c r="AC251" s="231">
        <v>6.8529324790537203</v>
      </c>
      <c r="AD251" t="str">
        <f>IF('WetLitterbags placem_collection'!AB32="","",'WetLitterbags placem_collection'!AB32)</f>
        <v/>
      </c>
      <c r="AE251" t="str">
        <f>IF('WetLitterbags placem_collection'!Z32="","",'WetLitterbags placem_collection'!Z32)</f>
        <v/>
      </c>
      <c r="AF251" s="246" t="str">
        <f>IF('WetLitterbags placem_collection'!AA32="","",'WetLitterbags placem_collection'!AA32)</f>
        <v/>
      </c>
      <c r="AG251" t="str">
        <f>IF('WetLitterbags placem_collection'!AC32="","",'WetLitterbags placem_collection'!AC32)</f>
        <v/>
      </c>
      <c r="AH251" s="24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placem_collection'!W32)),"YES","NO")</f>
        <v>NO</v>
      </c>
      <c r="AM251" t="str">
        <f>IF(ISNUMBER(SEARCH("H", 'WetLitterbags placem_collection'!W32)),"YES","NO")</f>
        <v>NO</v>
      </c>
      <c r="AN251" t="str">
        <f>IF(ISNUMBER(SEARCH("R", 'WetLitterbags placem_collection'!W32)),"YES","NO")</f>
        <v>YES</v>
      </c>
    </row>
    <row r="252" spans="1:40" ht="15" customHeight="1">
      <c r="A252" s="258" t="s">
        <v>2460</v>
      </c>
      <c r="B252" s="263">
        <f>'Dry_Litterbag Placem_Collection'!A33</f>
        <v>31</v>
      </c>
      <c r="C252" s="263" t="str">
        <f>'Dry_Litterbag Placem_Collection'!B33</f>
        <v>Makao</v>
      </c>
      <c r="D252" s="263" t="s">
        <v>2659</v>
      </c>
      <c r="E252" s="263" t="s">
        <v>2660</v>
      </c>
      <c r="F252" s="263">
        <v>4</v>
      </c>
      <c r="G252" s="264" t="str">
        <f>'Dry_Litterbag Placem_Collection'!C33</f>
        <v>Dry_Ag4_T7</v>
      </c>
      <c r="H252" s="265" t="s">
        <v>2541</v>
      </c>
      <c r="I252" s="272" t="s">
        <v>298</v>
      </c>
      <c r="J252" s="223" t="str">
        <f>'WetLitterbags placem_collection'!M33</f>
        <v>R141</v>
      </c>
      <c r="K252" s="225">
        <f>IFERROR(INDEX('Green_rooibos initial weight'!$C$5:$C$1749,MATCH(J252, 'Green_rooibos initial weight'!$A$5:$A$1749,0)),"")</f>
        <v>2.2029999999999998</v>
      </c>
      <c r="L252" s="225">
        <f>IFERROR(K252-(TBIcalc!$H$9+TBIcalc!$H$10),"")</f>
        <v>1.9531999999999998</v>
      </c>
      <c r="M252" s="391">
        <f>AVERAGE(Ashed_controlls!$K$12:$K$14)</f>
        <v>2.2816647271287041</v>
      </c>
      <c r="N252" s="225">
        <f t="shared" si="17"/>
        <v>1.908634524549722</v>
      </c>
      <c r="O252" s="225">
        <f>IF(IFERROR(INDEX('Both teabags AfterWet'!$C$3:$C$841,MATCH(J252,'Both teabags AfterWet'!$A$3:$A$841,0)),"")="","",(IFERROR(INDEX('Both teabags AfterWet'!$C$3:$C$841,MATCH(J252,'Both teabags AfterWet'!$A$3:$A$841,0)),"")))</f>
        <v>1.3197000000000001</v>
      </c>
      <c r="P252" s="225">
        <f>IFERROR(IF(O252&gt;0,O252-(TBIcalc!$H$9),""),"")</f>
        <v>1.1691</v>
      </c>
      <c r="Q252" s="225">
        <f>IFERROR(INDEX('Ashed teabags wet'!$K$2:$K$821,MATCH(J252,'Ashed teabags wet'!$A$2:$A$821,0)),"")</f>
        <v>5.5501460564756266</v>
      </c>
      <c r="R252" s="225">
        <f t="shared" si="21"/>
        <v>1.1042132424537434</v>
      </c>
      <c r="S252" s="226">
        <f>'WetLitterbags placem_collection'!E33</f>
        <v>42767</v>
      </c>
      <c r="T252" s="226">
        <f>IF('WetLitterbags placem_collection'!G33="","",'WetLitterbags placem_collection'!G33)</f>
        <v>42818</v>
      </c>
      <c r="U252" s="227">
        <f t="shared" si="18"/>
        <v>51</v>
      </c>
      <c r="V252" s="225">
        <f t="shared" si="19"/>
        <v>0.7840999999999998</v>
      </c>
      <c r="W252" s="225">
        <f t="shared" si="20"/>
        <v>0.80442128209597863</v>
      </c>
      <c r="X252">
        <f>IFERROR(INDEX(Rainfall_Wet!$O$2:$O$217,MATCH(B252, Rainfall_Wet!$A$2:$A$217,0)),"")</f>
        <v>185.630065823</v>
      </c>
      <c r="Y252" s="231">
        <v>51.960000000000008</v>
      </c>
      <c r="Z252" s="231">
        <v>18.919999999999995</v>
      </c>
      <c r="AA252" s="231">
        <v>29.120000000000005</v>
      </c>
      <c r="AB252" s="232" t="s">
        <v>2673</v>
      </c>
      <c r="AC252" s="231">
        <v>7.8529324790537203</v>
      </c>
      <c r="AD252" t="str">
        <f>IF('WetLitterbags placem_collection'!AB33="","",'WetLitterbags placem_collection'!AB33)</f>
        <v/>
      </c>
      <c r="AE252" t="str">
        <f>IF('WetLitterbags placem_collection'!Z33="","",'WetLitterbags placem_collection'!Z33)</f>
        <v/>
      </c>
      <c r="AF252" s="246" t="str">
        <f>IF('WetLitterbags placem_collection'!AA33="","",'WetLitterbags placem_collection'!AA33)</f>
        <v/>
      </c>
      <c r="AG252" t="str">
        <f>IF('WetLitterbags placem_collection'!AC33="","",'WetLitterbags placem_collection'!AC33)</f>
        <v/>
      </c>
      <c r="AH252" s="24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placem_collection'!W33)),"YES","NO")</f>
        <v>NO</v>
      </c>
      <c r="AM252" t="str">
        <f>IF(ISNUMBER(SEARCH("H", 'WetLitterbags placem_collection'!W33)),"YES","NO")</f>
        <v>NO</v>
      </c>
      <c r="AN252" t="str">
        <f>IF(ISNUMBER(SEARCH("R", 'WetLitterbags placem_collection'!W33)),"YES","NO")</f>
        <v>YES</v>
      </c>
    </row>
    <row r="253" spans="1:40" ht="15" customHeight="1">
      <c r="A253" s="258" t="s">
        <v>2460</v>
      </c>
      <c r="B253" s="263">
        <f>'Dry_Litterbag Placem_Collection'!A34</f>
        <v>32</v>
      </c>
      <c r="C253" s="263" t="str">
        <f>'Dry_Litterbag Placem_Collection'!B34</f>
        <v>Makao</v>
      </c>
      <c r="D253" s="263" t="s">
        <v>2659</v>
      </c>
      <c r="E253" s="263" t="s">
        <v>2660</v>
      </c>
      <c r="F253" s="263">
        <v>4</v>
      </c>
      <c r="G253" s="264" t="str">
        <f>'Dry_Litterbag Placem_Collection'!C34</f>
        <v>Dry_Ag4_T8</v>
      </c>
      <c r="H253" s="265" t="s">
        <v>2541</v>
      </c>
      <c r="I253" s="272" t="s">
        <v>298</v>
      </c>
      <c r="J253" s="223" t="str">
        <f>'WetLitterbags placem_collection'!M34</f>
        <v>R396</v>
      </c>
      <c r="K253" s="225">
        <f>IFERROR(INDEX('Green_rooibos initial weight'!$C$5:$C$1749,MATCH(J253, 'Green_rooibos initial weight'!$A$5:$A$1749,0)),"")</f>
        <v>2.14</v>
      </c>
      <c r="L253" s="225">
        <f>IFERROR(K253-(TBIcalc!$H$9+TBIcalc!$H$10),"")</f>
        <v>1.8902000000000001</v>
      </c>
      <c r="M253" s="391">
        <f>AVERAGE(Ashed_controlls!$K$12:$K$14)</f>
        <v>2.2816647271287041</v>
      </c>
      <c r="N253" s="225">
        <f t="shared" si="17"/>
        <v>1.8470719733278134</v>
      </c>
      <c r="O253" s="225">
        <f>IF(IFERROR(INDEX('Both teabags AfterWet'!$C$3:$C$841,MATCH(J253,'Both teabags AfterWet'!$A$3:$A$841,0)),"")="","",(IFERROR(INDEX('Both teabags AfterWet'!$C$3:$C$841,MATCH(J253,'Both teabags AfterWet'!$A$3:$A$841,0)),"")))</f>
        <v>1.3464</v>
      </c>
      <c r="P253" s="225">
        <f>IFERROR(IF(O253&gt;0,O253-(TBIcalc!$H$9),""),"")</f>
        <v>1.1958</v>
      </c>
      <c r="Q253" s="225">
        <f>IFERROR(INDEX('Ashed teabags wet'!$K$2:$K$821,MATCH(J253,'Ashed teabags wet'!$A$2:$A$821,0)),"")</f>
        <v>7.5764934434188538</v>
      </c>
      <c r="R253" s="225">
        <f t="shared" si="21"/>
        <v>1.1052002914035972</v>
      </c>
      <c r="S253" s="226">
        <f>'WetLitterbags placem_collection'!E34</f>
        <v>42767</v>
      </c>
      <c r="T253" s="226">
        <f>IF('WetLitterbags placem_collection'!G34="","",'WetLitterbags placem_collection'!G34)</f>
        <v>42818</v>
      </c>
      <c r="U253" s="227">
        <f t="shared" si="18"/>
        <v>51</v>
      </c>
      <c r="V253" s="225">
        <f t="shared" si="19"/>
        <v>0.69440000000000013</v>
      </c>
      <c r="W253" s="225">
        <f t="shared" si="20"/>
        <v>0.74187168192421615</v>
      </c>
      <c r="X253">
        <f>IFERROR(INDEX(Rainfall_Wet!$O$2:$O$217,MATCH(B253, Rainfall_Wet!$A$2:$A$217,0)),"")</f>
        <v>185.630065823</v>
      </c>
      <c r="Y253" s="231">
        <v>51.960000000000008</v>
      </c>
      <c r="Z253" s="231">
        <v>18.919999999999995</v>
      </c>
      <c r="AA253" s="231">
        <v>29.120000000000005</v>
      </c>
      <c r="AB253" s="232" t="s">
        <v>2673</v>
      </c>
      <c r="AC253" s="231">
        <v>8.8529324790537203</v>
      </c>
      <c r="AD253" t="str">
        <f>IF('WetLitterbags placem_collection'!AB34="","",'WetLitterbags placem_collection'!AB34)</f>
        <v/>
      </c>
      <c r="AE253" t="str">
        <f>IF('WetLitterbags placem_collection'!Z34="","",'WetLitterbags placem_collection'!Z34)</f>
        <v/>
      </c>
      <c r="AF253" s="246" t="str">
        <f>IF('WetLitterbags placem_collection'!AA34="","",'WetLitterbags placem_collection'!AA34)</f>
        <v/>
      </c>
      <c r="AG253" t="str">
        <f>IF('WetLitterbags placem_collection'!AC34="","",'WetLitterbags placem_collection'!AC34)</f>
        <v/>
      </c>
      <c r="AH253" s="24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placem_collection'!W34)),"YES","NO")</f>
        <v>NO</v>
      </c>
      <c r="AM253" t="str">
        <f>IF(ISNUMBER(SEARCH("H", 'WetLitterbags placem_collection'!W34)),"YES","NO")</f>
        <v>NO</v>
      </c>
      <c r="AN253" t="str">
        <f>IF(ISNUMBER(SEARCH("R", 'WetLitterbags placem_collection'!W34)),"YES","NO")</f>
        <v>YES</v>
      </c>
    </row>
    <row r="254" spans="1:40" ht="15" customHeight="1">
      <c r="A254" s="258" t="s">
        <v>2460</v>
      </c>
      <c r="B254" s="263">
        <f>'Dry_Litterbag Placem_Collection'!A35</f>
        <v>33</v>
      </c>
      <c r="C254" s="263" t="str">
        <f>'Dry_Litterbag Placem_Collection'!B35</f>
        <v>Makao</v>
      </c>
      <c r="D254" s="263" t="s">
        <v>2659</v>
      </c>
      <c r="E254" s="263" t="s">
        <v>20</v>
      </c>
      <c r="F254" s="263">
        <v>1</v>
      </c>
      <c r="G254" s="264" t="str">
        <f>'Dry_Litterbag Placem_Collection'!C35</f>
        <v>Dry_P1_T1</v>
      </c>
      <c r="H254" s="265" t="s">
        <v>2541</v>
      </c>
      <c r="I254" s="272" t="s">
        <v>298</v>
      </c>
      <c r="J254" s="223" t="str">
        <f>'WetLitterbags placem_collection'!M35</f>
        <v>R109</v>
      </c>
      <c r="K254" s="225">
        <f>IFERROR(INDEX('Green_rooibos initial weight'!$C$5:$C$1749,MATCH(J254, 'Green_rooibos initial weight'!$A$5:$A$1749,0)),"")</f>
        <v>2.2090000000000001</v>
      </c>
      <c r="L254" s="225">
        <f>IFERROR(K254-(TBIcalc!$H$9+TBIcalc!$H$10),"")</f>
        <v>1.9592000000000001</v>
      </c>
      <c r="M254" s="391">
        <f>AVERAGE(Ashed_controlls!$K$12:$K$14)</f>
        <v>2.2816647271287041</v>
      </c>
      <c r="N254" s="225">
        <f t="shared" si="17"/>
        <v>1.9144976246660945</v>
      </c>
      <c r="O254" s="225">
        <f>IF(IFERROR(INDEX('Both teabags AfterWet'!$C$3:$C$841,MATCH(J254,'Both teabags AfterWet'!$A$3:$A$841,0)),"")="","",(IFERROR(INDEX('Both teabags AfterWet'!$C$3:$C$841,MATCH(J254,'Both teabags AfterWet'!$A$3:$A$841,0)),"")))</f>
        <v>0.41499999999999998</v>
      </c>
      <c r="P254" s="225">
        <f>IFERROR(IF(O254&gt;0,O254-(TBIcalc!$H$9),""),"")</f>
        <v>0.26439999999999997</v>
      </c>
      <c r="Q254" s="225" t="str">
        <f>IFERROR(INDEX('Ashed teabags wet'!$K$2:$K$821,MATCH(J254,'Ashed teabags wet'!$A$2:$A$821,0)),"")</f>
        <v/>
      </c>
      <c r="R254" s="225" t="str">
        <f t="shared" si="21"/>
        <v/>
      </c>
      <c r="S254" s="226">
        <f>'WetLitterbags placem_collection'!E35</f>
        <v>42765</v>
      </c>
      <c r="T254" s="226">
        <f>IF('WetLitterbags placem_collection'!G35="","",'WetLitterbags placem_collection'!G35)</f>
        <v>42820</v>
      </c>
      <c r="U254" s="227">
        <f t="shared" si="18"/>
        <v>55</v>
      </c>
      <c r="V254" s="225">
        <f t="shared" si="19"/>
        <v>1.6948000000000001</v>
      </c>
      <c r="W254" s="225" t="str">
        <f t="shared" si="20"/>
        <v/>
      </c>
      <c r="X254">
        <f>IFERROR(INDEX(Rainfall_Wet!$O$2:$O$217,MATCH(B254, Rainfall_Wet!$A$2:$A$217,0)),"")</f>
        <v>228.324359195</v>
      </c>
      <c r="Y254" s="231">
        <v>23.96</v>
      </c>
      <c r="Z254" s="231">
        <v>0.91999999999999804</v>
      </c>
      <c r="AA254" s="231">
        <v>75.12</v>
      </c>
      <c r="AB254" s="232" t="s">
        <v>2670</v>
      </c>
      <c r="AC254" s="231">
        <v>1.2493839329719072</v>
      </c>
      <c r="AD254">
        <f>IF('WetLitterbags placem_collection'!AB35="","",'WetLitterbags placem_collection'!AB35)</f>
        <v>9.5</v>
      </c>
      <c r="AE254">
        <f>IF('WetLitterbags placem_collection'!Z35="","",'WetLitterbags placem_collection'!Z35)</f>
        <v>17.2</v>
      </c>
      <c r="AF254" s="246" t="str">
        <f>IF('WetLitterbags placem_collection'!AA35="","",'WetLitterbags placem_collection'!AA35)</f>
        <v>G</v>
      </c>
      <c r="AG254">
        <f>IF('WetLitterbags placem_collection'!AC35="","",'WetLitterbags placem_collection'!AC35)</f>
        <v>0</v>
      </c>
      <c r="AH254" s="24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placem_collection'!W35)),"YES","NO")</f>
        <v>YES</v>
      </c>
      <c r="AM254" t="str">
        <f>IF(ISNUMBER(SEARCH("H", 'WetLitterbags placem_collection'!W35)),"YES","NO")</f>
        <v>YES</v>
      </c>
      <c r="AN254" t="str">
        <f>IF(ISNUMBER(SEARCH("R", 'WetLitterbags placem_collection'!W35)),"YES","NO")</f>
        <v>NO</v>
      </c>
    </row>
    <row r="255" spans="1:40" ht="15" customHeight="1">
      <c r="A255" s="258" t="s">
        <v>2460</v>
      </c>
      <c r="B255" s="263">
        <f>'Dry_Litterbag Placem_Collection'!A36</f>
        <v>34</v>
      </c>
      <c r="C255" s="263" t="str">
        <f>'Dry_Litterbag Placem_Collection'!B36</f>
        <v>Makao</v>
      </c>
      <c r="D255" s="263" t="s">
        <v>2659</v>
      </c>
      <c r="E255" s="263" t="s">
        <v>20</v>
      </c>
      <c r="F255" s="263">
        <v>1</v>
      </c>
      <c r="G255" s="264" t="str">
        <f>'Dry_Litterbag Placem_Collection'!C36</f>
        <v>Dry_P1_T2</v>
      </c>
      <c r="H255" s="265" t="s">
        <v>2541</v>
      </c>
      <c r="I255" s="272" t="s">
        <v>298</v>
      </c>
      <c r="J255" s="223" t="str">
        <f>'WetLitterbags placem_collection'!M36</f>
        <v>R153</v>
      </c>
      <c r="K255" s="225">
        <f>IFERROR(INDEX('Green_rooibos initial weight'!$C$5:$C$1749,MATCH(J255, 'Green_rooibos initial weight'!$A$5:$A$1749,0)),"")</f>
        <v>2.2200000000000002</v>
      </c>
      <c r="L255" s="225">
        <f>IFERROR(K255-(TBIcalc!$H$9+TBIcalc!$H$10),"")</f>
        <v>1.9702000000000002</v>
      </c>
      <c r="M255" s="391">
        <f>AVERAGE(Ashed_controlls!$K$12:$K$14)</f>
        <v>2.2816647271287041</v>
      </c>
      <c r="N255" s="225">
        <f t="shared" si="17"/>
        <v>1.9252466415461105</v>
      </c>
      <c r="O255" s="225">
        <f>IF(IFERROR(INDEX('Both teabags AfterWet'!$C$3:$C$841,MATCH(J255,'Both teabags AfterWet'!$A$3:$A$841,0)),"")="","",(IFERROR(INDEX('Both teabags AfterWet'!$C$3:$C$841,MATCH(J255,'Both teabags AfterWet'!$A$3:$A$841,0)),"")))</f>
        <v>0.34520000000000001</v>
      </c>
      <c r="P255" s="225">
        <f>IFERROR(IF(O255&gt;0,O255-(TBIcalc!$H$9),""),"")</f>
        <v>0.1946</v>
      </c>
      <c r="Q255" s="225" t="str">
        <f>IFERROR(INDEX('Ashed teabags wet'!$K$2:$K$821,MATCH(J255,'Ashed teabags wet'!$A$2:$A$821,0)),"")</f>
        <v/>
      </c>
      <c r="R255" s="225" t="str">
        <f t="shared" si="21"/>
        <v/>
      </c>
      <c r="S255" s="226">
        <f>'WetLitterbags placem_collection'!E36</f>
        <v>42765</v>
      </c>
      <c r="T255" s="226">
        <f>IF('WetLitterbags placem_collection'!G36="","",'WetLitterbags placem_collection'!G36)</f>
        <v>42820</v>
      </c>
      <c r="U255" s="227">
        <f t="shared" si="18"/>
        <v>55</v>
      </c>
      <c r="V255" s="225">
        <f t="shared" si="19"/>
        <v>1.7756000000000003</v>
      </c>
      <c r="W255" s="225" t="str">
        <f t="shared" si="20"/>
        <v/>
      </c>
      <c r="X255">
        <f>IFERROR(INDEX(Rainfall_Wet!$O$2:$O$217,MATCH(B255, Rainfall_Wet!$A$2:$A$217,0)),"")</f>
        <v>228.324359195</v>
      </c>
      <c r="Y255" s="231">
        <v>23.96</v>
      </c>
      <c r="Z255" s="231">
        <v>0.91999999999999804</v>
      </c>
      <c r="AA255" s="231">
        <v>75.12</v>
      </c>
      <c r="AB255" s="232" t="s">
        <v>2670</v>
      </c>
      <c r="AC255" s="231">
        <v>1.2493839329719072</v>
      </c>
      <c r="AD255">
        <f>IF('WetLitterbags placem_collection'!AB36="","",'WetLitterbags placem_collection'!AB36)</f>
        <v>6.5</v>
      </c>
      <c r="AE255">
        <f>IF('WetLitterbags placem_collection'!Z36="","",'WetLitterbags placem_collection'!Z36)</f>
        <v>14.2</v>
      </c>
      <c r="AF255" s="246" t="str">
        <f>IF('WetLitterbags placem_collection'!AA36="","",'WetLitterbags placem_collection'!AA36)</f>
        <v>G</v>
      </c>
      <c r="AG255">
        <f>IF('WetLitterbags placem_collection'!AC36="","",'WetLitterbags placem_collection'!AC36)</f>
        <v>0</v>
      </c>
      <c r="AH255" s="24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placem_collection'!W36)),"YES","NO")</f>
        <v>YES</v>
      </c>
      <c r="AM255" t="str">
        <f>IF(ISNUMBER(SEARCH("H", 'WetLitterbags placem_collection'!W36)),"YES","NO")</f>
        <v>YES</v>
      </c>
      <c r="AN255" t="str">
        <f>IF(ISNUMBER(SEARCH("R", 'WetLitterbags placem_collection'!W36)),"YES","NO")</f>
        <v>NO</v>
      </c>
    </row>
    <row r="256" spans="1:40" ht="15" customHeight="1">
      <c r="A256" s="258" t="s">
        <v>2460</v>
      </c>
      <c r="B256" s="263">
        <f>'Dry_Litterbag Placem_Collection'!A37</f>
        <v>35</v>
      </c>
      <c r="C256" s="263" t="str">
        <f>'Dry_Litterbag Placem_Collection'!B37</f>
        <v>Makao</v>
      </c>
      <c r="D256" s="263" t="s">
        <v>2659</v>
      </c>
      <c r="E256" s="263" t="s">
        <v>20</v>
      </c>
      <c r="F256" s="263">
        <v>1</v>
      </c>
      <c r="G256" s="264" t="str">
        <f>'Dry_Litterbag Placem_Collection'!C37</f>
        <v>Dry_P1_T3</v>
      </c>
      <c r="H256" s="265" t="s">
        <v>2541</v>
      </c>
      <c r="I256" s="272" t="s">
        <v>298</v>
      </c>
      <c r="J256" s="223" t="str">
        <f>'WetLitterbags placem_collection'!M37</f>
        <v>R64</v>
      </c>
      <c r="K256" s="225">
        <f>IFERROR(INDEX('Green_rooibos initial weight'!$C$5:$C$1749,MATCH(J256, 'Green_rooibos initial weight'!$A$5:$A$1749,0)),"")</f>
        <v>2.2879999999999998</v>
      </c>
      <c r="L256" s="225">
        <f>IFERROR(K256-(TBIcalc!$H$9+TBIcalc!$H$10),"")</f>
        <v>2.0381999999999998</v>
      </c>
      <c r="M256" s="391">
        <f>AVERAGE(Ashed_controlls!$K$12:$K$14)</f>
        <v>2.2816647271287041</v>
      </c>
      <c r="N256" s="225">
        <f t="shared" si="17"/>
        <v>1.9916951095316626</v>
      </c>
      <c r="O256" s="225">
        <f>IF(IFERROR(INDEX('Both teabags AfterWet'!$C$3:$C$841,MATCH(J256,'Both teabags AfterWet'!$A$3:$A$841,0)),"")="","",(IFERROR(INDEX('Both teabags AfterWet'!$C$3:$C$841,MATCH(J256,'Both teabags AfterWet'!$A$3:$A$841,0)),"")))</f>
        <v>1.615</v>
      </c>
      <c r="P256" s="225">
        <f>IFERROR(IF(O256&gt;0,O256-(TBIcalc!$H$9),""),"")</f>
        <v>1.4643999999999999</v>
      </c>
      <c r="Q256" s="225">
        <f>IFERROR(INDEX('Ashed teabags wet'!$K$2:$K$821,MATCH(J256,'Ashed teabags wet'!$A$2:$A$821,0)),"")</f>
        <v>5.3045186640471123</v>
      </c>
      <c r="R256" s="225">
        <f t="shared" si="21"/>
        <v>1.3867206286836939</v>
      </c>
      <c r="S256" s="226">
        <f>'WetLitterbags placem_collection'!E37</f>
        <v>42765</v>
      </c>
      <c r="T256" s="226">
        <f>IF('WetLitterbags placem_collection'!G37="","",'WetLitterbags placem_collection'!G37)</f>
        <v>42820</v>
      </c>
      <c r="U256" s="227">
        <f t="shared" si="18"/>
        <v>55</v>
      </c>
      <c r="V256" s="225">
        <f t="shared" si="19"/>
        <v>0.57379999999999987</v>
      </c>
      <c r="W256" s="225">
        <f t="shared" si="20"/>
        <v>0.60497448084796868</v>
      </c>
      <c r="X256">
        <f>IFERROR(INDEX(Rainfall_Wet!$O$2:$O$217,MATCH(B256, Rainfall_Wet!$A$2:$A$217,0)),"")</f>
        <v>228.324359195</v>
      </c>
      <c r="Y256" s="231">
        <v>23.96</v>
      </c>
      <c r="Z256" s="231">
        <v>0.91999999999999804</v>
      </c>
      <c r="AA256" s="231">
        <v>75.12</v>
      </c>
      <c r="AB256" s="232" t="s">
        <v>2670</v>
      </c>
      <c r="AC256" s="231">
        <v>1.2493839329719072</v>
      </c>
      <c r="AD256">
        <f>IF('WetLitterbags placem_collection'!AB37="","",'WetLitterbags placem_collection'!AB37)</f>
        <v>0.7</v>
      </c>
      <c r="AE256">
        <f>IF('WetLitterbags placem_collection'!Z37="","",'WetLitterbags placem_collection'!Z37)</f>
        <v>10.6</v>
      </c>
      <c r="AF256" s="246" t="str">
        <f>IF('WetLitterbags placem_collection'!AA37="","",'WetLitterbags placem_collection'!AA37)</f>
        <v>G</v>
      </c>
      <c r="AG256">
        <f>IF('WetLitterbags placem_collection'!AC37="","",'WetLitterbags placem_collection'!AC37)</f>
        <v>0</v>
      </c>
      <c r="AH256" s="24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placem_collection'!W37)),"YES","NO")</f>
        <v>NO</v>
      </c>
      <c r="AM256" t="str">
        <f>IF(ISNUMBER(SEARCH("H", 'WetLitterbags placem_collection'!W37)),"YES","NO")</f>
        <v>NO</v>
      </c>
      <c r="AN256" t="str">
        <f>IF(ISNUMBER(SEARCH("R", 'WetLitterbags placem_collection'!W37)),"YES","NO")</f>
        <v>NO</v>
      </c>
    </row>
    <row r="257" spans="1:40" ht="15" customHeight="1">
      <c r="A257" s="258" t="s">
        <v>2460</v>
      </c>
      <c r="B257" s="263">
        <f>'Dry_Litterbag Placem_Collection'!A38</f>
        <v>36</v>
      </c>
      <c r="C257" s="263" t="str">
        <f>'Dry_Litterbag Placem_Collection'!B38</f>
        <v>Makao</v>
      </c>
      <c r="D257" s="263" t="s">
        <v>2659</v>
      </c>
      <c r="E257" s="263" t="s">
        <v>20</v>
      </c>
      <c r="F257" s="263">
        <v>1</v>
      </c>
      <c r="G257" s="264" t="str">
        <f>'Dry_Litterbag Placem_Collection'!C38</f>
        <v>Dry_P1_T4</v>
      </c>
      <c r="H257" s="265" t="s">
        <v>2541</v>
      </c>
      <c r="I257" s="272" t="s">
        <v>298</v>
      </c>
      <c r="J257" s="223" t="str">
        <f>'WetLitterbags placem_collection'!M38</f>
        <v>R126</v>
      </c>
      <c r="K257" s="225">
        <f>IFERROR(INDEX('Green_rooibos initial weight'!$C$5:$C$1749,MATCH(J257, 'Green_rooibos initial weight'!$A$5:$A$1749,0)),"")</f>
        <v>2.2400000000000002</v>
      </c>
      <c r="L257" s="225">
        <f>IFERROR(K257-(TBIcalc!$H$9+TBIcalc!$H$10),"")</f>
        <v>1.9902000000000002</v>
      </c>
      <c r="M257" s="391">
        <f>AVERAGE(Ashed_controlls!$K$12:$K$14)</f>
        <v>2.2816647271287041</v>
      </c>
      <c r="N257" s="225">
        <f t="shared" si="17"/>
        <v>1.9447903086006848</v>
      </c>
      <c r="O257" s="225">
        <f>IF(IFERROR(INDEX('Both teabags AfterWet'!$C$3:$C$841,MATCH(J257,'Both teabags AfterWet'!$A$3:$A$841,0)),"")="","",(IFERROR(INDEX('Both teabags AfterWet'!$C$3:$C$841,MATCH(J257,'Both teabags AfterWet'!$A$3:$A$841,0)),"")))</f>
        <v>1.6180000000000001</v>
      </c>
      <c r="P257" s="225">
        <f>IFERROR(IF(O257&gt;0,O257-(TBIcalc!$H$9),""),"")</f>
        <v>1.4674</v>
      </c>
      <c r="Q257" s="225">
        <f>IFERROR(INDEX('Ashed teabags wet'!$K$2:$K$821,MATCH(J257,'Ashed teabags wet'!$A$2:$A$821,0)),"")</f>
        <v>3.2897919690366213</v>
      </c>
      <c r="R257" s="225">
        <f t="shared" si="21"/>
        <v>1.4191255926463566</v>
      </c>
      <c r="S257" s="226">
        <f>'WetLitterbags placem_collection'!E38</f>
        <v>42765</v>
      </c>
      <c r="T257" s="226">
        <f>IF('WetLitterbags placem_collection'!G38="","",'WetLitterbags placem_collection'!G38)</f>
        <v>42820</v>
      </c>
      <c r="U257" s="227">
        <f t="shared" si="18"/>
        <v>55</v>
      </c>
      <c r="V257" s="225">
        <f t="shared" si="19"/>
        <v>0.52280000000000015</v>
      </c>
      <c r="W257" s="225">
        <f t="shared" si="20"/>
        <v>0.52566471595432818</v>
      </c>
      <c r="X257">
        <f>IFERROR(INDEX(Rainfall_Wet!$O$2:$O$217,MATCH(B257, Rainfall_Wet!$A$2:$A$217,0)),"")</f>
        <v>228.324359195</v>
      </c>
      <c r="Y257" s="231">
        <v>23.96</v>
      </c>
      <c r="Z257" s="231">
        <v>0.91999999999999804</v>
      </c>
      <c r="AA257" s="231">
        <v>75.12</v>
      </c>
      <c r="AB257" s="232" t="s">
        <v>2670</v>
      </c>
      <c r="AC257" s="231">
        <v>1.2493839329719072</v>
      </c>
      <c r="AD257">
        <f>IF('WetLitterbags placem_collection'!AB38="","",'WetLitterbags placem_collection'!AB38)</f>
        <v>3.3</v>
      </c>
      <c r="AE257">
        <f>IF('WetLitterbags placem_collection'!Z38="","",'WetLitterbags placem_collection'!Z38)</f>
        <v>4.9000000000000004</v>
      </c>
      <c r="AF257" s="246" t="str">
        <f>IF('WetLitterbags placem_collection'!AA38="","",'WetLitterbags placem_collection'!AA38)</f>
        <v>G</v>
      </c>
      <c r="AG257">
        <f>IF('WetLitterbags placem_collection'!AC38="","",'WetLitterbags placem_collection'!AC38)</f>
        <v>1</v>
      </c>
      <c r="AH257" s="24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placem_collection'!W38)),"YES","NO")</f>
        <v>YES</v>
      </c>
      <c r="AM257" t="str">
        <f>IF(ISNUMBER(SEARCH("H", 'WetLitterbags placem_collection'!W38)),"YES","NO")</f>
        <v>NO</v>
      </c>
      <c r="AN257" t="str">
        <f>IF(ISNUMBER(SEARCH("R", 'WetLitterbags placem_collection'!W38)),"YES","NO")</f>
        <v>YES</v>
      </c>
    </row>
    <row r="258" spans="1:40" ht="15" customHeight="1">
      <c r="A258" s="258" t="s">
        <v>2460</v>
      </c>
      <c r="B258" s="263">
        <f>'Dry_Litterbag Placem_Collection'!A39</f>
        <v>37</v>
      </c>
      <c r="C258" s="263" t="str">
        <f>'Dry_Litterbag Placem_Collection'!B39</f>
        <v>Makao</v>
      </c>
      <c r="D258" s="263" t="s">
        <v>2659</v>
      </c>
      <c r="E258" s="263" t="s">
        <v>20</v>
      </c>
      <c r="F258" s="263">
        <v>1</v>
      </c>
      <c r="G258" s="264" t="str">
        <f>'Dry_Litterbag Placem_Collection'!C39</f>
        <v>Dry_P1_T5</v>
      </c>
      <c r="H258" s="265" t="s">
        <v>2541</v>
      </c>
      <c r="I258" s="272" t="s">
        <v>298</v>
      </c>
      <c r="J258" s="223" t="str">
        <f>'WetLitterbags placem_collection'!M39</f>
        <v>R63</v>
      </c>
      <c r="K258" s="225">
        <f>IFERROR(INDEX('Green_rooibos initial weight'!$C$5:$C$1749,MATCH(J258, 'Green_rooibos initial weight'!$A$5:$A$1749,0)),"")</f>
        <v>2.1749999999999998</v>
      </c>
      <c r="L258" s="225">
        <f>IFERROR(K258-(TBIcalc!$H$9+TBIcalc!$H$10),"")</f>
        <v>1.9251999999999998</v>
      </c>
      <c r="M258" s="391">
        <f>AVERAGE(Ashed_controlls!$K$12:$K$14)</f>
        <v>2.2816647271287041</v>
      </c>
      <c r="N258" s="225">
        <f t="shared" si="17"/>
        <v>1.8812733906733179</v>
      </c>
      <c r="O258" s="225">
        <f>IF(IFERROR(INDEX('Both teabags AfterWet'!$C$3:$C$841,MATCH(J258,'Both teabags AfterWet'!$A$3:$A$841,0)),"")="","",(IFERROR(INDEX('Both teabags AfterWet'!$C$3:$C$841,MATCH(J258,'Both teabags AfterWet'!$A$3:$A$841,0)),"")))</f>
        <v>1.3620000000000001</v>
      </c>
      <c r="P258" s="225">
        <f>IFERROR(IF(O258&gt;0,O258-(TBIcalc!$H$9),""),"")</f>
        <v>1.2114</v>
      </c>
      <c r="Q258" s="225">
        <f>IFERROR(INDEX('Ashed teabags wet'!$K$2:$K$821,MATCH(J258,'Ashed teabags wet'!$A$2:$A$821,0)),"")</f>
        <v>70.931372549019429</v>
      </c>
      <c r="R258" s="225">
        <f t="shared" si="21"/>
        <v>0.35213735294117854</v>
      </c>
      <c r="S258" s="226">
        <f>'WetLitterbags placem_collection'!E39</f>
        <v>42765</v>
      </c>
      <c r="T258" s="226">
        <f>IF('WetLitterbags placem_collection'!G39="","",'WetLitterbags placem_collection'!G39)</f>
        <v>42820</v>
      </c>
      <c r="U258" s="227">
        <f t="shared" si="18"/>
        <v>55</v>
      </c>
      <c r="V258" s="225">
        <f t="shared" si="19"/>
        <v>0.71379999999999977</v>
      </c>
      <c r="W258" s="225">
        <f t="shared" si="20"/>
        <v>1.5291360377321395</v>
      </c>
      <c r="X258">
        <f>IFERROR(INDEX(Rainfall_Wet!$O$2:$O$217,MATCH(B258, Rainfall_Wet!$A$2:$A$217,0)),"")</f>
        <v>228.324359195</v>
      </c>
      <c r="Y258" s="231">
        <v>23.96</v>
      </c>
      <c r="Z258" s="231">
        <v>0.91999999999999804</v>
      </c>
      <c r="AA258" s="231">
        <v>75.12</v>
      </c>
      <c r="AB258" s="232" t="s">
        <v>2670</v>
      </c>
      <c r="AC258" s="231">
        <v>1.2493839329719072</v>
      </c>
      <c r="AD258">
        <f>IF('WetLitterbags placem_collection'!AB39="","",'WetLitterbags placem_collection'!AB39)</f>
        <v>8.3000000000000007</v>
      </c>
      <c r="AE258">
        <f>IF('WetLitterbags placem_collection'!Z39="","",'WetLitterbags placem_collection'!Z39)</f>
        <v>27.8</v>
      </c>
      <c r="AF258" s="246" t="str">
        <f>IF('WetLitterbags placem_collection'!AA39="","",'WetLitterbags placem_collection'!AA39)</f>
        <v>G</v>
      </c>
      <c r="AG258">
        <f>IF('WetLitterbags placem_collection'!AC39="","",'WetLitterbags placem_collection'!AC39)</f>
        <v>0</v>
      </c>
      <c r="AH258" s="24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placem_collection'!W39)),"YES","NO")</f>
        <v>YES</v>
      </c>
      <c r="AM258" t="str">
        <f>IF(ISNUMBER(SEARCH("H", 'WetLitterbags placem_collection'!W39)),"YES","NO")</f>
        <v>YES</v>
      </c>
      <c r="AN258" t="str">
        <f>IF(ISNUMBER(SEARCH("R", 'WetLitterbags placem_collection'!W39)),"YES","NO")</f>
        <v>YES</v>
      </c>
    </row>
    <row r="259" spans="1:40" ht="15" customHeight="1">
      <c r="A259" s="258" t="s">
        <v>2460</v>
      </c>
      <c r="B259" s="263">
        <f>'Dry_Litterbag Placem_Collection'!A40</f>
        <v>38</v>
      </c>
      <c r="C259" s="263" t="str">
        <f>'Dry_Litterbag Placem_Collection'!B40</f>
        <v>Makao</v>
      </c>
      <c r="D259" s="263" t="s">
        <v>2659</v>
      </c>
      <c r="E259" s="263" t="s">
        <v>20</v>
      </c>
      <c r="F259" s="263">
        <v>1</v>
      </c>
      <c r="G259" s="264" t="str">
        <f>'Dry_Litterbag Placem_Collection'!C40</f>
        <v>Dry_P1_T6</v>
      </c>
      <c r="H259" s="265" t="s">
        <v>2541</v>
      </c>
      <c r="I259" s="272" t="s">
        <v>298</v>
      </c>
      <c r="J259" s="223" t="str">
        <f>'WetLitterbags placem_collection'!M40</f>
        <v>R87</v>
      </c>
      <c r="K259" s="225">
        <f>IFERROR(INDEX('Green_rooibos initial weight'!$C$5:$C$1749,MATCH(J259, 'Green_rooibos initial weight'!$A$5:$A$1749,0)),"")</f>
        <v>2.2930000000000001</v>
      </c>
      <c r="L259" s="225">
        <f>IFERROR(K259-(TBIcalc!$H$9+TBIcalc!$H$10),"")</f>
        <v>2.0432000000000001</v>
      </c>
      <c r="M259" s="391">
        <f>AVERAGE(Ashed_controlls!$K$12:$K$14)</f>
        <v>2.2816647271287041</v>
      </c>
      <c r="N259" s="225">
        <f t="shared" ref="N259:N322" si="22">IFERROR(L259-(M259/100)*L259,"")</f>
        <v>1.9965810262953065</v>
      </c>
      <c r="O259" s="225">
        <f>IF(IFERROR(INDEX('Both teabags AfterWet'!$C$3:$C$841,MATCH(J259,'Both teabags AfterWet'!$A$3:$A$841,0)),"")="","",(IFERROR(INDEX('Both teabags AfterWet'!$C$3:$C$841,MATCH(J259,'Both teabags AfterWet'!$A$3:$A$841,0)),"")))</f>
        <v>1.1399999999999999</v>
      </c>
      <c r="P259" s="225">
        <f>IFERROR(IF(O259&gt;0,O259-(TBIcalc!$H$9),""),"")</f>
        <v>0.98939999999999984</v>
      </c>
      <c r="Q259" s="225">
        <f>IFERROR(INDEX('Ashed teabags wet'!$K$2:$K$821,MATCH(J259,'Ashed teabags wet'!$A$2:$A$821,0)),"")</f>
        <v>21.801629132725651</v>
      </c>
      <c r="R259" s="225">
        <f t="shared" si="21"/>
        <v>0.77369468136081232</v>
      </c>
      <c r="S259" s="226">
        <f>'WetLitterbags placem_collection'!E40</f>
        <v>42765</v>
      </c>
      <c r="T259" s="226">
        <f>IF('WetLitterbags placem_collection'!G40="","",'WetLitterbags placem_collection'!G40)</f>
        <v>42820</v>
      </c>
      <c r="U259" s="227">
        <f t="shared" ref="U259:U322" si="23">IFERROR(T259-S259,"")</f>
        <v>55</v>
      </c>
      <c r="V259" s="225">
        <f t="shared" ref="V259:V322" si="24">IFERROR(L259-P259,"")</f>
        <v>1.0538000000000003</v>
      </c>
      <c r="W259" s="225">
        <f t="shared" ref="W259:W322" si="25">IFERROR(N259-R259,"")</f>
        <v>1.2228863449344942</v>
      </c>
      <c r="X259">
        <f>IFERROR(INDEX(Rainfall_Wet!$O$2:$O$217,MATCH(B259, Rainfall_Wet!$A$2:$A$217,0)),"")</f>
        <v>228.324359195</v>
      </c>
      <c r="Y259" s="231">
        <v>23.96</v>
      </c>
      <c r="Z259" s="231">
        <v>0.91999999999999804</v>
      </c>
      <c r="AA259" s="231">
        <v>75.12</v>
      </c>
      <c r="AB259" s="232" t="s">
        <v>2670</v>
      </c>
      <c r="AC259" s="231">
        <v>1.2493839329719072</v>
      </c>
      <c r="AD259">
        <f>IF('WetLitterbags placem_collection'!AB40="","",'WetLitterbags placem_collection'!AB40)</f>
        <v>2</v>
      </c>
      <c r="AE259">
        <f>IF('WetLitterbags placem_collection'!Z40="","",'WetLitterbags placem_collection'!Z40)</f>
        <v>20.399999999999999</v>
      </c>
      <c r="AF259" s="246" t="str">
        <f>IF('WetLitterbags placem_collection'!AA40="","",'WetLitterbags placem_collection'!AA40)</f>
        <v>O</v>
      </c>
      <c r="AG259">
        <f>IF('WetLitterbags placem_collection'!AC40="","",'WetLitterbags placem_collection'!AC40)</f>
        <v>0</v>
      </c>
      <c r="AH259" s="24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placem_collection'!W40)),"YES","NO")</f>
        <v>YES</v>
      </c>
      <c r="AM259" t="str">
        <f>IF(ISNUMBER(SEARCH("H", 'WetLitterbags placem_collection'!W40)),"YES","NO")</f>
        <v>YES</v>
      </c>
      <c r="AN259" t="str">
        <f>IF(ISNUMBER(SEARCH("R", 'WetLitterbags placem_collection'!W40)),"YES","NO")</f>
        <v>NO</v>
      </c>
    </row>
    <row r="260" spans="1:40" ht="15" customHeight="1">
      <c r="A260" s="258" t="s">
        <v>2460</v>
      </c>
      <c r="B260" s="263">
        <f>'Dry_Litterbag Placem_Collection'!A41</f>
        <v>39</v>
      </c>
      <c r="C260" s="263" t="str">
        <f>'Dry_Litterbag Placem_Collection'!B41</f>
        <v>Makao</v>
      </c>
      <c r="D260" s="263" t="s">
        <v>2659</v>
      </c>
      <c r="E260" s="263" t="s">
        <v>20</v>
      </c>
      <c r="F260" s="263">
        <v>1</v>
      </c>
      <c r="G260" s="264" t="str">
        <f>'Dry_Litterbag Placem_Collection'!C41</f>
        <v>Dry_P1_T7</v>
      </c>
      <c r="H260" s="265" t="s">
        <v>2541</v>
      </c>
      <c r="I260" s="272" t="s">
        <v>298</v>
      </c>
      <c r="J260" s="223" t="str">
        <f>'WetLitterbags placem_collection'!M41</f>
        <v>R437</v>
      </c>
      <c r="K260" s="225">
        <f>IFERROR(INDEX('Green_rooibos initial weight'!$C$5:$C$1749,MATCH(J260, 'Green_rooibos initial weight'!$A$5:$A$1749,0)),"")</f>
        <v>2.1970000000000001</v>
      </c>
      <c r="L260" s="225">
        <f>IFERROR(K260-(TBIcalc!$H$9+TBIcalc!$H$10),"")</f>
        <v>1.9472</v>
      </c>
      <c r="M260" s="391">
        <f>AVERAGE(Ashed_controlls!$K$12:$K$14)</f>
        <v>2.2816647271287041</v>
      </c>
      <c r="N260" s="225">
        <f t="shared" si="22"/>
        <v>1.90277142443335</v>
      </c>
      <c r="O260" s="225">
        <f>IF(IFERROR(INDEX('Both teabags AfterWet'!$C$3:$C$841,MATCH(J260,'Both teabags AfterWet'!$A$3:$A$841,0)),"")="","",(IFERROR(INDEX('Both teabags AfterWet'!$C$3:$C$841,MATCH(J260,'Both teabags AfterWet'!$A$3:$A$841,0)),"")))</f>
        <v>1.4531000000000001</v>
      </c>
      <c r="P260" s="225">
        <f>IFERROR(IF(O260&gt;0,O260-(TBIcalc!$H$9),""),"")</f>
        <v>1.3025</v>
      </c>
      <c r="Q260" s="225">
        <f>IFERROR(INDEX('Ashed teabags wet'!$K$2:$K$821,MATCH(J260,'Ashed teabags wet'!$A$2:$A$821,0)),"")</f>
        <v>3.6638983878844686</v>
      </c>
      <c r="R260" s="225">
        <f t="shared" si="21"/>
        <v>1.2547777234978048</v>
      </c>
      <c r="S260" s="226">
        <f>'WetLitterbags placem_collection'!E41</f>
        <v>42765</v>
      </c>
      <c r="T260" s="226">
        <f>IF('WetLitterbags placem_collection'!G41="","",'WetLitterbags placem_collection'!G41)</f>
        <v>42820</v>
      </c>
      <c r="U260" s="227">
        <f t="shared" si="23"/>
        <v>55</v>
      </c>
      <c r="V260" s="225">
        <f t="shared" si="24"/>
        <v>0.64470000000000005</v>
      </c>
      <c r="W260" s="225">
        <f t="shared" si="25"/>
        <v>0.6479937009355452</v>
      </c>
      <c r="X260">
        <f>IFERROR(INDEX(Rainfall_Wet!$O$2:$O$217,MATCH(B260, Rainfall_Wet!$A$2:$A$217,0)),"")</f>
        <v>228.324359195</v>
      </c>
      <c r="Y260" s="231">
        <v>23.96</v>
      </c>
      <c r="Z260" s="231">
        <v>0.91999999999999804</v>
      </c>
      <c r="AA260" s="231">
        <v>75.12</v>
      </c>
      <c r="AB260" s="232" t="s">
        <v>2670</v>
      </c>
      <c r="AC260" s="231">
        <v>1.2493839329719072</v>
      </c>
      <c r="AD260">
        <f>IF('WetLitterbags placem_collection'!AB41="","",'WetLitterbags placem_collection'!AB41)</f>
        <v>2.4</v>
      </c>
      <c r="AE260">
        <f>IF('WetLitterbags placem_collection'!Z41="","",'WetLitterbags placem_collection'!Z41)</f>
        <v>18</v>
      </c>
      <c r="AF260" s="246" t="str">
        <f>IF('WetLitterbags placem_collection'!AA41="","",'WetLitterbags placem_collection'!AA41)</f>
        <v>G</v>
      </c>
      <c r="AG260">
        <f>IF('WetLitterbags placem_collection'!AC41="","",'WetLitterbags placem_collection'!AC41)</f>
        <v>1</v>
      </c>
      <c r="AH260" s="24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placem_collection'!W41)),"YES","NO")</f>
        <v>NO</v>
      </c>
      <c r="AM260" t="str">
        <f>IF(ISNUMBER(SEARCH("H", 'WetLitterbags placem_collection'!W41)),"YES","NO")</f>
        <v>NO</v>
      </c>
      <c r="AN260" t="str">
        <f>IF(ISNUMBER(SEARCH("R", 'WetLitterbags placem_collection'!W41)),"YES","NO")</f>
        <v>YES</v>
      </c>
    </row>
    <row r="261" spans="1:40" ht="15" customHeight="1">
      <c r="A261" s="258" t="s">
        <v>2460</v>
      </c>
      <c r="B261" s="263">
        <f>'Dry_Litterbag Placem_Collection'!A42</f>
        <v>40</v>
      </c>
      <c r="C261" s="263" t="str">
        <f>'Dry_Litterbag Placem_Collection'!B42</f>
        <v>Makao</v>
      </c>
      <c r="D261" s="263" t="s">
        <v>2659</v>
      </c>
      <c r="E261" s="263" t="s">
        <v>20</v>
      </c>
      <c r="F261" s="263">
        <v>1</v>
      </c>
      <c r="G261" s="264" t="str">
        <f>'Dry_Litterbag Placem_Collection'!C42</f>
        <v>Dry_P1_T8</v>
      </c>
      <c r="H261" s="265" t="s">
        <v>2541</v>
      </c>
      <c r="I261" s="272" t="s">
        <v>298</v>
      </c>
      <c r="J261" s="223" t="str">
        <f>'WetLitterbags placem_collection'!M42</f>
        <v>R114</v>
      </c>
      <c r="K261" s="225">
        <f>IFERROR(INDEX('Green_rooibos initial weight'!$C$5:$C$1749,MATCH(J261, 'Green_rooibos initial weight'!$A$5:$A$1749,0)),"")</f>
        <v>2.2450000000000001</v>
      </c>
      <c r="L261" s="225">
        <f>IFERROR(K261-(TBIcalc!$H$9+TBIcalc!$H$10),"")</f>
        <v>1.9952000000000001</v>
      </c>
      <c r="M261" s="391">
        <f>AVERAGE(Ashed_controlls!$K$12:$K$14)</f>
        <v>2.2816647271287041</v>
      </c>
      <c r="N261" s="225">
        <f t="shared" si="22"/>
        <v>1.9496762253643283</v>
      </c>
      <c r="O261" s="225">
        <f>IF(IFERROR(INDEX('Both teabags AfterWet'!$C$3:$C$841,MATCH(J261,'Both teabags AfterWet'!$A$3:$A$841,0)),"")="","",(IFERROR(INDEX('Both teabags AfterWet'!$C$3:$C$841,MATCH(J261,'Both teabags AfterWet'!$A$3:$A$841,0)),"")))</f>
        <v>2.2269999999999999</v>
      </c>
      <c r="P261" s="225">
        <f>IFERROR(IF(O261&gt;0,O261-(TBIcalc!$H$9),""),"")</f>
        <v>2.0764</v>
      </c>
      <c r="Q261" s="225">
        <f>IFERROR(INDEX('Ashed teabags wet'!$K$2:$K$821,MATCH(J261,'Ashed teabags wet'!$A$2:$A$821,0)),"")</f>
        <v>24.826560951436655</v>
      </c>
      <c r="R261" s="225">
        <f t="shared" si="21"/>
        <v>1.5609012884043694</v>
      </c>
      <c r="S261" s="226">
        <f>'WetLitterbags placem_collection'!E42</f>
        <v>42765</v>
      </c>
      <c r="T261" s="226">
        <f>IF('WetLitterbags placem_collection'!G42="","",'WetLitterbags placem_collection'!G42)</f>
        <v>42820</v>
      </c>
      <c r="U261" s="227">
        <f t="shared" si="23"/>
        <v>55</v>
      </c>
      <c r="V261" s="225">
        <f t="shared" si="24"/>
        <v>-8.1199999999999939E-2</v>
      </c>
      <c r="W261" s="225">
        <f t="shared" si="25"/>
        <v>0.38877493695995891</v>
      </c>
      <c r="X261">
        <f>IFERROR(INDEX(Rainfall_Wet!$O$2:$O$217,MATCH(B261, Rainfall_Wet!$A$2:$A$217,0)),"")</f>
        <v>228.324359195</v>
      </c>
      <c r="Y261" s="231">
        <v>23.96</v>
      </c>
      <c r="Z261" s="231">
        <v>0.91999999999999804</v>
      </c>
      <c r="AA261" s="231">
        <v>75.12</v>
      </c>
      <c r="AB261" s="232" t="s">
        <v>2670</v>
      </c>
      <c r="AC261" s="231">
        <v>1.2493839329719072</v>
      </c>
      <c r="AD261">
        <f>IF('WetLitterbags placem_collection'!AB42="","",'WetLitterbags placem_collection'!AB42)</f>
        <v>8.6999999999999993</v>
      </c>
      <c r="AE261">
        <f>IF('WetLitterbags placem_collection'!Z42="","",'WetLitterbags placem_collection'!Z42)</f>
        <v>19.3</v>
      </c>
      <c r="AF261" s="246" t="str">
        <f>IF('WetLitterbags placem_collection'!AA42="","",'WetLitterbags placem_collection'!AA42)</f>
        <v>G</v>
      </c>
      <c r="AG261">
        <f>IF('WetLitterbags placem_collection'!AC42="","",'WetLitterbags placem_collection'!AC42)</f>
        <v>0</v>
      </c>
      <c r="AH261" s="24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placem_collection'!W42)),"YES","NO")</f>
        <v>NO</v>
      </c>
      <c r="AM261" t="str">
        <f>IF(ISNUMBER(SEARCH("H", 'WetLitterbags placem_collection'!W42)),"YES","NO")</f>
        <v>YES</v>
      </c>
      <c r="AN261" t="str">
        <f>IF(ISNUMBER(SEARCH("R", 'WetLitterbags placem_collection'!W42)),"YES","NO")</f>
        <v>NO</v>
      </c>
    </row>
    <row r="262" spans="1:40" ht="15" customHeight="1">
      <c r="A262" s="258" t="s">
        <v>2460</v>
      </c>
      <c r="B262" s="263">
        <f>'Dry_Litterbag Placem_Collection'!A43</f>
        <v>41</v>
      </c>
      <c r="C262" s="263" t="str">
        <f>'Dry_Litterbag Placem_Collection'!B43</f>
        <v>Makao</v>
      </c>
      <c r="D262" s="263" t="s">
        <v>2659</v>
      </c>
      <c r="E262" s="263" t="s">
        <v>20</v>
      </c>
      <c r="F262" s="263">
        <v>2</v>
      </c>
      <c r="G262" s="264" t="str">
        <f>'Dry_Litterbag Placem_Collection'!C43</f>
        <v>Dry_P2_T1</v>
      </c>
      <c r="H262" s="265" t="s">
        <v>2541</v>
      </c>
      <c r="I262" s="272" t="s">
        <v>298</v>
      </c>
      <c r="J262" s="223" t="str">
        <f>'WetLitterbags placem_collection'!M43</f>
        <v>R521</v>
      </c>
      <c r="K262" s="225">
        <f>IFERROR(INDEX('Green_rooibos initial weight'!$C$5:$C$1749,MATCH(J262, 'Green_rooibos initial weight'!$A$5:$A$1749,0)),"")</f>
        <v>2.1440000000000001</v>
      </c>
      <c r="L262" s="225">
        <f>IFERROR(K262-(TBIcalc!$H$9+TBIcalc!$H$10),"")</f>
        <v>1.8942000000000001</v>
      </c>
      <c r="M262" s="391">
        <f>AVERAGE(Ashed_controlls!$K$12:$K$14)</f>
        <v>2.2816647271287041</v>
      </c>
      <c r="N262" s="225">
        <f t="shared" si="22"/>
        <v>1.8509807067387283</v>
      </c>
      <c r="O262" s="225">
        <f>IF(IFERROR(INDEX('Both teabags AfterWet'!$C$3:$C$841,MATCH(J262,'Both teabags AfterWet'!$A$3:$A$841,0)),"")="","",(IFERROR(INDEX('Both teabags AfterWet'!$C$3:$C$841,MATCH(J262,'Both teabags AfterWet'!$A$3:$A$841,0)),"")))</f>
        <v>1.512</v>
      </c>
      <c r="P262" s="225">
        <f>IFERROR(IF(O262&gt;0,O262-(TBIcalc!$H$9),""),"")</f>
        <v>1.3613999999999999</v>
      </c>
      <c r="Q262" s="225">
        <f>IFERROR(INDEX('Ashed teabags wet'!$K$2:$K$821,MATCH(J262,'Ashed teabags wet'!$A$2:$A$821,0)),"")</f>
        <v>6.8728522336777456</v>
      </c>
      <c r="R262" s="225">
        <f t="shared" si="21"/>
        <v>1.267832989690711</v>
      </c>
      <c r="S262" s="226">
        <f>'WetLitterbags placem_collection'!E43</f>
        <v>42766</v>
      </c>
      <c r="T262" s="226">
        <f>IF('WetLitterbags placem_collection'!G43="","",'WetLitterbags placem_collection'!G43)</f>
        <v>42820</v>
      </c>
      <c r="U262" s="227">
        <f t="shared" si="23"/>
        <v>54</v>
      </c>
      <c r="V262" s="225">
        <f t="shared" si="24"/>
        <v>0.53280000000000016</v>
      </c>
      <c r="W262" s="225">
        <f t="shared" si="25"/>
        <v>0.58314771704801727</v>
      </c>
      <c r="X262">
        <f>IFERROR(INDEX(Rainfall_Wet!$O$2:$O$217,MATCH(B262, Rainfall_Wet!$A$2:$A$217,0)),"")</f>
        <v>214.262898705</v>
      </c>
      <c r="Y262" s="231">
        <v>19.96</v>
      </c>
      <c r="Z262" s="231">
        <v>4.9199999999999982</v>
      </c>
      <c r="AA262" s="231">
        <v>75.12</v>
      </c>
      <c r="AB262" s="232" t="s">
        <v>2671</v>
      </c>
      <c r="AC262" s="231">
        <v>1.641498275012321</v>
      </c>
      <c r="AD262">
        <f>IF('WetLitterbags placem_collection'!AB43="","",'WetLitterbags placem_collection'!AB43)</f>
        <v>4</v>
      </c>
      <c r="AE262">
        <f>IF('WetLitterbags placem_collection'!Z43="","",'WetLitterbags placem_collection'!Z43)</f>
        <v>19.100000000000001</v>
      </c>
      <c r="AF262" s="246" t="str">
        <f>IF('WetLitterbags placem_collection'!AA43="","",'WetLitterbags placem_collection'!AA43)</f>
        <v>G</v>
      </c>
      <c r="AG262">
        <f>IF('WetLitterbags placem_collection'!AC43="","",'WetLitterbags placem_collection'!AC43)</f>
        <v>0</v>
      </c>
      <c r="AH262" s="24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placem_collection'!W43)),"YES","NO")</f>
        <v>NO</v>
      </c>
      <c r="AM262" t="str">
        <f>IF(ISNUMBER(SEARCH("H", 'WetLitterbags placem_collection'!W43)),"YES","NO")</f>
        <v>NO</v>
      </c>
      <c r="AN262" t="str">
        <f>IF(ISNUMBER(SEARCH("R", 'WetLitterbags placem_collection'!W43)),"YES","NO")</f>
        <v>NO</v>
      </c>
    </row>
    <row r="263" spans="1:40" ht="15" customHeight="1">
      <c r="A263" s="258" t="s">
        <v>2460</v>
      </c>
      <c r="B263" s="263">
        <f>'Dry_Litterbag Placem_Collection'!A44</f>
        <v>42</v>
      </c>
      <c r="C263" s="263" t="str">
        <f>'Dry_Litterbag Placem_Collection'!B44</f>
        <v>Makao</v>
      </c>
      <c r="D263" s="263" t="s">
        <v>2659</v>
      </c>
      <c r="E263" s="263" t="s">
        <v>20</v>
      </c>
      <c r="F263" s="263">
        <v>2</v>
      </c>
      <c r="G263" s="264" t="str">
        <f>'Dry_Litterbag Placem_Collection'!C44</f>
        <v>Dry_P2_T2</v>
      </c>
      <c r="H263" s="265" t="s">
        <v>2541</v>
      </c>
      <c r="I263" s="272" t="s">
        <v>298</v>
      </c>
      <c r="J263" s="223" t="str">
        <f>'WetLitterbags placem_collection'!M44</f>
        <v>R371</v>
      </c>
      <c r="K263" s="225">
        <f>IFERROR(INDEX('Green_rooibos initial weight'!$C$5:$C$1749,MATCH(J263, 'Green_rooibos initial weight'!$A$5:$A$1749,0)),"")</f>
        <v>2.2530000000000001</v>
      </c>
      <c r="L263" s="225">
        <f>IFERROR(K263-(TBIcalc!$H$9+TBIcalc!$H$10),"")</f>
        <v>2.0032000000000001</v>
      </c>
      <c r="M263" s="391">
        <f>AVERAGE(Ashed_controlls!$K$12:$K$14)</f>
        <v>2.2816647271287041</v>
      </c>
      <c r="N263" s="225">
        <f t="shared" si="22"/>
        <v>1.9574936921861579</v>
      </c>
      <c r="O263" s="225">
        <f>IF(IFERROR(INDEX('Both teabags AfterWet'!$C$3:$C$841,MATCH(J263,'Both teabags AfterWet'!$A$3:$A$841,0)),"")="","",(IFERROR(INDEX('Both teabags AfterWet'!$C$3:$C$841,MATCH(J263,'Both teabags AfterWet'!$A$3:$A$841,0)),"")))</f>
        <v>1.649</v>
      </c>
      <c r="P263" s="225">
        <f>IFERROR(IF(O263&gt;0,O263-(TBIcalc!$H$9),""),"")</f>
        <v>1.4984</v>
      </c>
      <c r="Q263" s="225">
        <f>IFERROR(INDEX('Ashed teabags wet'!$K$2:$K$821,MATCH(J263,'Ashed teabags wet'!$A$2:$A$821,0)),"")</f>
        <v>2.6627218934911183</v>
      </c>
      <c r="R263" s="225">
        <f t="shared" si="21"/>
        <v>1.458501775147929</v>
      </c>
      <c r="S263" s="226">
        <f>'WetLitterbags placem_collection'!E44</f>
        <v>42766</v>
      </c>
      <c r="T263" s="226">
        <f>IF('WetLitterbags placem_collection'!G44="","",'WetLitterbags placem_collection'!G44)</f>
        <v>42820</v>
      </c>
      <c r="U263" s="227">
        <f t="shared" si="23"/>
        <v>54</v>
      </c>
      <c r="V263" s="225">
        <f t="shared" si="24"/>
        <v>0.50480000000000014</v>
      </c>
      <c r="W263" s="225">
        <f t="shared" si="25"/>
        <v>0.49899191703822887</v>
      </c>
      <c r="X263">
        <f>IFERROR(INDEX(Rainfall_Wet!$O$2:$O$217,MATCH(B263, Rainfall_Wet!$A$2:$A$217,0)),"")</f>
        <v>214.262898705</v>
      </c>
      <c r="Y263" s="231">
        <v>19.96</v>
      </c>
      <c r="Z263" s="231">
        <v>4.9199999999999982</v>
      </c>
      <c r="AA263" s="231">
        <v>75.12</v>
      </c>
      <c r="AB263" s="232" t="s">
        <v>2671</v>
      </c>
      <c r="AC263" s="231">
        <v>1.641498275012321</v>
      </c>
      <c r="AD263">
        <f>IF('WetLitterbags placem_collection'!AB44="","",'WetLitterbags placem_collection'!AB44)</f>
        <v>5.9</v>
      </c>
      <c r="AE263">
        <f>IF('WetLitterbags placem_collection'!Z44="","",'WetLitterbags placem_collection'!Z44)</f>
        <v>12.7</v>
      </c>
      <c r="AF263" s="246" t="str">
        <f>IF('WetLitterbags placem_collection'!AA44="","",'WetLitterbags placem_collection'!AA44)</f>
        <v>G</v>
      </c>
      <c r="AG263">
        <f>IF('WetLitterbags placem_collection'!AC44="","",'WetLitterbags placem_collection'!AC44)</f>
        <v>0</v>
      </c>
      <c r="AH263" s="24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placem_collection'!W44)),"YES","NO")</f>
        <v>NO</v>
      </c>
      <c r="AM263" t="str">
        <f>IF(ISNUMBER(SEARCH("H", 'WetLitterbags placem_collection'!W44)),"YES","NO")</f>
        <v>NO</v>
      </c>
      <c r="AN263" t="str">
        <f>IF(ISNUMBER(SEARCH("R", 'WetLitterbags placem_collection'!W44)),"YES","NO")</f>
        <v>NO</v>
      </c>
    </row>
    <row r="264" spans="1:40" ht="15" customHeight="1">
      <c r="A264" s="258" t="s">
        <v>2460</v>
      </c>
      <c r="B264" s="263">
        <f>'Dry_Litterbag Placem_Collection'!A45</f>
        <v>43</v>
      </c>
      <c r="C264" s="263" t="str">
        <f>'Dry_Litterbag Placem_Collection'!B45</f>
        <v>Makao</v>
      </c>
      <c r="D264" s="263" t="s">
        <v>2659</v>
      </c>
      <c r="E264" s="263" t="s">
        <v>20</v>
      </c>
      <c r="F264" s="263">
        <v>2</v>
      </c>
      <c r="G264" s="264" t="str">
        <f>'Dry_Litterbag Placem_Collection'!C45</f>
        <v>Dry_P2_T3</v>
      </c>
      <c r="H264" s="265" t="s">
        <v>2541</v>
      </c>
      <c r="I264" s="272" t="s">
        <v>298</v>
      </c>
      <c r="J264" s="223" t="str">
        <f>'WetLitterbags placem_collection'!M45</f>
        <v>R376</v>
      </c>
      <c r="K264" s="225">
        <f>IFERROR(INDEX('Green_rooibos initial weight'!$C$5:$C$1749,MATCH(J264, 'Green_rooibos initial weight'!$A$5:$A$1749,0)),"")</f>
        <v>2.177</v>
      </c>
      <c r="L264" s="225">
        <f>IFERROR(K264-(TBIcalc!$H$9+TBIcalc!$H$10),"")</f>
        <v>1.9272</v>
      </c>
      <c r="M264" s="391">
        <f>AVERAGE(Ashed_controlls!$K$12:$K$14)</f>
        <v>2.2816647271287041</v>
      </c>
      <c r="N264" s="225">
        <f t="shared" si="22"/>
        <v>1.8832277573787757</v>
      </c>
      <c r="O264" s="225">
        <f>IF(IFERROR(INDEX('Both teabags AfterWet'!$C$3:$C$841,MATCH(J264,'Both teabags AfterWet'!$A$3:$A$841,0)),"")="","",(IFERROR(INDEX('Both teabags AfterWet'!$C$3:$C$841,MATCH(J264,'Both teabags AfterWet'!$A$3:$A$841,0)),"")))</f>
        <v>1.3532999999999999</v>
      </c>
      <c r="P264" s="225">
        <f>IFERROR(IF(O264&gt;0,O264-(TBIcalc!$H$9),""),"")</f>
        <v>1.2026999999999999</v>
      </c>
      <c r="Q264" s="225">
        <f>IFERROR(INDEX('Ashed teabags wet'!$K$2:$K$821,MATCH(J264,'Ashed teabags wet'!$A$2:$A$821,0)),"")</f>
        <v>6.7788461538456346</v>
      </c>
      <c r="R264" s="225">
        <f t="shared" si="21"/>
        <v>1.1211708173076984</v>
      </c>
      <c r="S264" s="226">
        <f>'WetLitterbags placem_collection'!E45</f>
        <v>42766</v>
      </c>
      <c r="T264" s="226">
        <f>IF('WetLitterbags placem_collection'!G45="","",'WetLitterbags placem_collection'!G45)</f>
        <v>42820</v>
      </c>
      <c r="U264" s="227">
        <f t="shared" si="23"/>
        <v>54</v>
      </c>
      <c r="V264" s="225">
        <f t="shared" si="24"/>
        <v>0.72450000000000014</v>
      </c>
      <c r="W264" s="225">
        <f t="shared" si="25"/>
        <v>0.76205694007107727</v>
      </c>
      <c r="X264">
        <f>IFERROR(INDEX(Rainfall_Wet!$O$2:$O$217,MATCH(B264, Rainfall_Wet!$A$2:$A$217,0)),"")</f>
        <v>214.262898705</v>
      </c>
      <c r="Y264" s="231">
        <v>19.96</v>
      </c>
      <c r="Z264" s="231">
        <v>4.9199999999999982</v>
      </c>
      <c r="AA264" s="231">
        <v>75.12</v>
      </c>
      <c r="AB264" s="232" t="s">
        <v>2671</v>
      </c>
      <c r="AC264" s="231">
        <v>1.641498275012321</v>
      </c>
      <c r="AD264">
        <f>IF('WetLitterbags placem_collection'!AB45="","",'WetLitterbags placem_collection'!AB45)</f>
        <v>5</v>
      </c>
      <c r="AE264">
        <f>IF('WetLitterbags placem_collection'!Z45="","",'WetLitterbags placem_collection'!Z45)</f>
        <v>26.3</v>
      </c>
      <c r="AF264" s="246" t="str">
        <f>IF('WetLitterbags placem_collection'!AA45="","",'WetLitterbags placem_collection'!AA45)</f>
        <v>G</v>
      </c>
      <c r="AG264">
        <f>IF('WetLitterbags placem_collection'!AC45="","",'WetLitterbags placem_collection'!AC45)</f>
        <v>0</v>
      </c>
      <c r="AH264" s="24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placem_collection'!W45)),"YES","NO")</f>
        <v>YES</v>
      </c>
      <c r="AM264" t="str">
        <f>IF(ISNUMBER(SEARCH("H", 'WetLitterbags placem_collection'!W45)),"YES","NO")</f>
        <v>YES</v>
      </c>
      <c r="AN264" t="str">
        <f>IF(ISNUMBER(SEARCH("R", 'WetLitterbags placem_collection'!W45)),"YES","NO")</f>
        <v>NO</v>
      </c>
    </row>
    <row r="265" spans="1:40" ht="15" customHeight="1">
      <c r="A265" s="258" t="s">
        <v>2460</v>
      </c>
      <c r="B265" s="263">
        <f>'Dry_Litterbag Placem_Collection'!A46</f>
        <v>44</v>
      </c>
      <c r="C265" s="263" t="str">
        <f>'Dry_Litterbag Placem_Collection'!B46</f>
        <v>Makao</v>
      </c>
      <c r="D265" s="263" t="s">
        <v>2659</v>
      </c>
      <c r="E265" s="263" t="s">
        <v>20</v>
      </c>
      <c r="F265" s="263">
        <v>2</v>
      </c>
      <c r="G265" s="264" t="str">
        <f>'Dry_Litterbag Placem_Collection'!C46</f>
        <v>Dry_P2_T4</v>
      </c>
      <c r="H265" s="265" t="s">
        <v>2541</v>
      </c>
      <c r="I265" s="272" t="s">
        <v>298</v>
      </c>
      <c r="J265" s="223" t="str">
        <f>'WetLitterbags placem_collection'!M46</f>
        <v>R166</v>
      </c>
      <c r="K265" s="225">
        <f>IFERROR(INDEX('Green_rooibos initial weight'!$C$5:$C$1749,MATCH(J265, 'Green_rooibos initial weight'!$A$5:$A$1749,0)),"")</f>
        <v>2.222</v>
      </c>
      <c r="L265" s="225">
        <f>IFERROR(K265-(TBIcalc!$H$9+TBIcalc!$H$10),"")</f>
        <v>1.9722</v>
      </c>
      <c r="M265" s="391">
        <f>AVERAGE(Ashed_controlls!$K$12:$K$14)</f>
        <v>2.2816647271287041</v>
      </c>
      <c r="N265" s="225">
        <f t="shared" si="22"/>
        <v>1.9272010082515676</v>
      </c>
      <c r="O265" s="225">
        <f>IF(IFERROR(INDEX('Both teabags AfterWet'!$C$3:$C$841,MATCH(J265,'Both teabags AfterWet'!$A$3:$A$841,0)),"")="","",(IFERROR(INDEX('Both teabags AfterWet'!$C$3:$C$841,MATCH(J265,'Both teabags AfterWet'!$A$3:$A$841,0)),"")))</f>
        <v>1.6101000000000001</v>
      </c>
      <c r="P265" s="225">
        <f>IFERROR(IF(O265&gt;0,O265-(TBIcalc!$H$9),""),"")</f>
        <v>1.4595</v>
      </c>
      <c r="Q265" s="225">
        <f>IFERROR(INDEX('Ashed teabags wet'!$K$2:$K$821,MATCH(J265,'Ashed teabags wet'!$A$2:$A$821,0)),"")</f>
        <v>4.868355688028041</v>
      </c>
      <c r="R265" s="225">
        <f t="shared" si="21"/>
        <v>1.3884463487332308</v>
      </c>
      <c r="S265" s="226">
        <f>'WetLitterbags placem_collection'!E46</f>
        <v>42766</v>
      </c>
      <c r="T265" s="226">
        <f>IF('WetLitterbags placem_collection'!G46="","",'WetLitterbags placem_collection'!G46)</f>
        <v>42820</v>
      </c>
      <c r="U265" s="227">
        <f t="shared" si="23"/>
        <v>54</v>
      </c>
      <c r="V265" s="225">
        <f t="shared" si="24"/>
        <v>0.51269999999999993</v>
      </c>
      <c r="W265" s="225">
        <f t="shared" si="25"/>
        <v>0.53875465951833679</v>
      </c>
      <c r="X265">
        <f>IFERROR(INDEX(Rainfall_Wet!$O$2:$O$217,MATCH(B265, Rainfall_Wet!$A$2:$A$217,0)),"")</f>
        <v>214.262898705</v>
      </c>
      <c r="Y265" s="231">
        <v>19.96</v>
      </c>
      <c r="Z265" s="231">
        <v>4.9199999999999982</v>
      </c>
      <c r="AA265" s="231">
        <v>75.12</v>
      </c>
      <c r="AB265" s="232" t="s">
        <v>2671</v>
      </c>
      <c r="AC265" s="231">
        <v>1.641498275012321</v>
      </c>
      <c r="AD265">
        <f>IF('WetLitterbags placem_collection'!AB46="","",'WetLitterbags placem_collection'!AB46)</f>
        <v>2.6</v>
      </c>
      <c r="AE265">
        <f>IF('WetLitterbags placem_collection'!Z46="","",'WetLitterbags placem_collection'!Z46)</f>
        <v>39.200000000000003</v>
      </c>
      <c r="AF265" s="246" t="str">
        <f>IF('WetLitterbags placem_collection'!AA46="","",'WetLitterbags placem_collection'!AA46)</f>
        <v>G</v>
      </c>
      <c r="AG265">
        <f>IF('WetLitterbags placem_collection'!AC46="","",'WetLitterbags placem_collection'!AC46)</f>
        <v>0</v>
      </c>
      <c r="AH265" s="24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placem_collection'!W46)),"YES","NO")</f>
        <v>NO</v>
      </c>
      <c r="AM265" t="str">
        <f>IF(ISNUMBER(SEARCH("H", 'WetLitterbags placem_collection'!W46)),"YES","NO")</f>
        <v>NO</v>
      </c>
      <c r="AN265" t="str">
        <f>IF(ISNUMBER(SEARCH("R", 'WetLitterbags placem_collection'!W46)),"YES","NO")</f>
        <v>YES</v>
      </c>
    </row>
    <row r="266" spans="1:40" ht="15" customHeight="1">
      <c r="A266" s="258" t="s">
        <v>2460</v>
      </c>
      <c r="B266" s="263">
        <f>'Dry_Litterbag Placem_Collection'!A47</f>
        <v>45</v>
      </c>
      <c r="C266" s="263" t="str">
        <f>'Dry_Litterbag Placem_Collection'!B47</f>
        <v>Makao</v>
      </c>
      <c r="D266" s="263" t="s">
        <v>2659</v>
      </c>
      <c r="E266" s="263" t="s">
        <v>20</v>
      </c>
      <c r="F266" s="263">
        <v>2</v>
      </c>
      <c r="G266" s="264" t="str">
        <f>'Dry_Litterbag Placem_Collection'!C47</f>
        <v>Dry_P2_T5</v>
      </c>
      <c r="H266" s="265" t="s">
        <v>2541</v>
      </c>
      <c r="I266" s="272" t="s">
        <v>298</v>
      </c>
      <c r="J266" s="223" t="str">
        <f>'WetLitterbags placem_collection'!M47</f>
        <v>R469</v>
      </c>
      <c r="K266" s="225">
        <f>IFERROR(INDEX('Green_rooibos initial weight'!$C$5:$C$1749,MATCH(J266, 'Green_rooibos initial weight'!$A$5:$A$1749,0)),"")</f>
        <v>2.2309999999999999</v>
      </c>
      <c r="L266" s="225">
        <f>IFERROR(K266-(TBIcalc!$H$9+TBIcalc!$H$10),"")</f>
        <v>1.9811999999999999</v>
      </c>
      <c r="M266" s="391">
        <f>AVERAGE(Ashed_controlls!$K$12:$K$14)</f>
        <v>2.2816647271287041</v>
      </c>
      <c r="N266" s="225">
        <f t="shared" si="22"/>
        <v>1.935995658426126</v>
      </c>
      <c r="O266" s="225">
        <f>IF(IFERROR(INDEX('Both teabags AfterWet'!$C$3:$C$841,MATCH(J266,'Both teabags AfterWet'!$A$3:$A$841,0)),"")="","",(IFERROR(INDEX('Both teabags AfterWet'!$C$3:$C$841,MATCH(J266,'Both teabags AfterWet'!$A$3:$A$841,0)),"")))</f>
        <v>1.5804</v>
      </c>
      <c r="P266" s="225">
        <f>IFERROR(IF(O266&gt;0,O266-(TBIcalc!$H$9),""),"")</f>
        <v>1.4298</v>
      </c>
      <c r="Q266" s="225">
        <f>IFERROR(INDEX('Ashed teabags wet'!$K$2:$K$821,MATCH(J266,'Ashed teabags wet'!$A$2:$A$821,0)),"")</f>
        <v>3.5248672139064463</v>
      </c>
      <c r="R266" s="225">
        <f t="shared" si="21"/>
        <v>1.3794014485755657</v>
      </c>
      <c r="S266" s="226">
        <f>'WetLitterbags placem_collection'!E47</f>
        <v>42766</v>
      </c>
      <c r="T266" s="226">
        <f>IF('WetLitterbags placem_collection'!G47="","",'WetLitterbags placem_collection'!G47)</f>
        <v>42820</v>
      </c>
      <c r="U266" s="227">
        <f t="shared" si="23"/>
        <v>54</v>
      </c>
      <c r="V266" s="225">
        <f t="shared" si="24"/>
        <v>0.55139999999999989</v>
      </c>
      <c r="W266" s="225">
        <f t="shared" si="25"/>
        <v>0.5565942098505603</v>
      </c>
      <c r="X266">
        <f>IFERROR(INDEX(Rainfall_Wet!$O$2:$O$217,MATCH(B266, Rainfall_Wet!$A$2:$A$217,0)),"")</f>
        <v>214.262898705</v>
      </c>
      <c r="Y266" s="231">
        <v>19.96</v>
      </c>
      <c r="Z266" s="231">
        <v>4.9199999999999982</v>
      </c>
      <c r="AA266" s="231">
        <v>75.12</v>
      </c>
      <c r="AB266" s="232" t="s">
        <v>2671</v>
      </c>
      <c r="AC266" s="231">
        <v>1.641498275012321</v>
      </c>
      <c r="AD266">
        <f>IF('WetLitterbags placem_collection'!AB47="","",'WetLitterbags placem_collection'!AB47)</f>
        <v>2.2999999999999998</v>
      </c>
      <c r="AE266">
        <f>IF('WetLitterbags placem_collection'!Z47="","",'WetLitterbags placem_collection'!Z47)</f>
        <v>9.3000000000000007</v>
      </c>
      <c r="AF266" s="246" t="str">
        <f>IF('WetLitterbags placem_collection'!AA47="","",'WetLitterbags placem_collection'!AA47)</f>
        <v>O</v>
      </c>
      <c r="AG266">
        <f>IF('WetLitterbags placem_collection'!AC47="","",'WetLitterbags placem_collection'!AC47)</f>
        <v>0</v>
      </c>
      <c r="AH266" s="24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placem_collection'!W47)),"YES","NO")</f>
        <v>NO</v>
      </c>
      <c r="AM266" t="str">
        <f>IF(ISNUMBER(SEARCH("H", 'WetLitterbags placem_collection'!W47)),"YES","NO")</f>
        <v>NO</v>
      </c>
      <c r="AN266" t="str">
        <f>IF(ISNUMBER(SEARCH("R", 'WetLitterbags placem_collection'!W47)),"YES","NO")</f>
        <v>NO</v>
      </c>
    </row>
    <row r="267" spans="1:40" ht="15" customHeight="1">
      <c r="A267" s="258" t="s">
        <v>2460</v>
      </c>
      <c r="B267" s="263">
        <f>'Dry_Litterbag Placem_Collection'!A48</f>
        <v>46</v>
      </c>
      <c r="C267" s="263" t="str">
        <f>'Dry_Litterbag Placem_Collection'!B48</f>
        <v>Makao</v>
      </c>
      <c r="D267" s="263" t="s">
        <v>2659</v>
      </c>
      <c r="E267" s="263" t="s">
        <v>20</v>
      </c>
      <c r="F267" s="263">
        <v>2</v>
      </c>
      <c r="G267" s="264" t="str">
        <f>'Dry_Litterbag Placem_Collection'!C48</f>
        <v>Dry_P2_T6</v>
      </c>
      <c r="H267" s="265" t="s">
        <v>2541</v>
      </c>
      <c r="I267" s="272" t="s">
        <v>298</v>
      </c>
      <c r="J267" s="223" t="str">
        <f>'WetLitterbags placem_collection'!M48</f>
        <v>R86</v>
      </c>
      <c r="K267" s="225">
        <f>IFERROR(INDEX('Green_rooibos initial weight'!$C$5:$C$1749,MATCH(J267, 'Green_rooibos initial weight'!$A$5:$A$1749,0)),"")</f>
        <v>2.242</v>
      </c>
      <c r="L267" s="225">
        <f>IFERROR(K267-(TBIcalc!$H$9+TBIcalc!$H$10),"")</f>
        <v>1.9922</v>
      </c>
      <c r="M267" s="391">
        <f>AVERAGE(Ashed_controlls!$K$12:$K$14)</f>
        <v>2.2816647271287041</v>
      </c>
      <c r="N267" s="225">
        <f t="shared" si="22"/>
        <v>1.9467446753061419</v>
      </c>
      <c r="O267" s="225" t="str">
        <f>IF(IFERROR(INDEX('Both teabags AfterWet'!$C$3:$C$841,MATCH(J267,'Both teabags AfterWet'!$A$3:$A$841,0)),"")="","",(IFERROR(INDEX('Both teabags AfterWet'!$C$3:$C$841,MATCH(J267,'Both teabags AfterWet'!$A$3:$A$841,0)),"")))</f>
        <v/>
      </c>
      <c r="P267" s="225" t="str">
        <f>IFERROR(IF(O267&gt;0,O267-(TBIcalc!$H$9),""),"")</f>
        <v/>
      </c>
      <c r="Q267" s="225" t="str">
        <f>IFERROR(INDEX('Ashed teabags wet'!$K$2:$K$821,MATCH(J267,'Ashed teabags wet'!$A$2:$A$821,0)),"")</f>
        <v/>
      </c>
      <c r="R267" s="225" t="str">
        <f t="shared" ref="R267:R330" si="26">IFERROR(P267-(Q267/100)*P267,"")</f>
        <v/>
      </c>
      <c r="S267" s="226">
        <f>'WetLitterbags placem_collection'!E48</f>
        <v>42766</v>
      </c>
      <c r="T267" s="226">
        <f>IF('WetLitterbags placem_collection'!G48="","",'WetLitterbags placem_collection'!G48)</f>
        <v>42820</v>
      </c>
      <c r="U267" s="227">
        <f t="shared" si="23"/>
        <v>54</v>
      </c>
      <c r="V267" s="225" t="str">
        <f t="shared" si="24"/>
        <v/>
      </c>
      <c r="W267" s="225" t="str">
        <f t="shared" si="25"/>
        <v/>
      </c>
      <c r="X267">
        <f>IFERROR(INDEX(Rainfall_Wet!$O$2:$O$217,MATCH(B267, Rainfall_Wet!$A$2:$A$217,0)),"")</f>
        <v>214.262898705</v>
      </c>
      <c r="Y267" s="231">
        <v>19.96</v>
      </c>
      <c r="Z267" s="231">
        <v>4.9199999999999982</v>
      </c>
      <c r="AA267" s="231">
        <v>75.12</v>
      </c>
      <c r="AB267" s="232" t="s">
        <v>2671</v>
      </c>
      <c r="AC267" s="231">
        <v>1.641498275012321</v>
      </c>
      <c r="AD267" t="str">
        <f>IF('WetLitterbags placem_collection'!AB48="","",'WetLitterbags placem_collection'!AB48)</f>
        <v/>
      </c>
      <c r="AE267" t="str">
        <f>IF('WetLitterbags placem_collection'!Z48="","",'WetLitterbags placem_collection'!Z48)</f>
        <v/>
      </c>
      <c r="AF267" s="246" t="str">
        <f>IF('WetLitterbags placem_collection'!AA48="","",'WetLitterbags placem_collection'!AA48)</f>
        <v/>
      </c>
      <c r="AG267" t="str">
        <f>IF('WetLitterbags placem_collection'!AC48="","",'WetLitterbags placem_collection'!AC48)</f>
        <v/>
      </c>
      <c r="AH267" s="24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placem_collection'!W48)),"YES","NO")</f>
        <v>NO</v>
      </c>
      <c r="AM267" t="str">
        <f>IF(ISNUMBER(SEARCH("H", 'WetLitterbags placem_collection'!W48)),"YES","NO")</f>
        <v>NO</v>
      </c>
      <c r="AN267" t="str">
        <f>IF(ISNUMBER(SEARCH("R", 'WetLitterbags placem_collection'!W48)),"YES","NO")</f>
        <v>NO</v>
      </c>
    </row>
    <row r="268" spans="1:40" ht="15" customHeight="1">
      <c r="A268" s="258" t="s">
        <v>2460</v>
      </c>
      <c r="B268" s="263">
        <f>'Dry_Litterbag Placem_Collection'!A49</f>
        <v>47</v>
      </c>
      <c r="C268" s="263" t="str">
        <f>'Dry_Litterbag Placem_Collection'!B49</f>
        <v>Makao</v>
      </c>
      <c r="D268" s="263" t="s">
        <v>2659</v>
      </c>
      <c r="E268" s="263" t="s">
        <v>20</v>
      </c>
      <c r="F268" s="263">
        <v>2</v>
      </c>
      <c r="G268" s="264" t="str">
        <f>'Dry_Litterbag Placem_Collection'!C49</f>
        <v>Dry_P2_T7</v>
      </c>
      <c r="H268" s="265" t="s">
        <v>2541</v>
      </c>
      <c r="I268" s="272" t="s">
        <v>298</v>
      </c>
      <c r="J268" s="223" t="str">
        <f>'WetLitterbags placem_collection'!M49</f>
        <v>R146</v>
      </c>
      <c r="K268" s="225">
        <f>IFERROR(INDEX('Green_rooibos initial weight'!$C$5:$C$1749,MATCH(J268, 'Green_rooibos initial weight'!$A$5:$A$1749,0)),"")</f>
        <v>2.2010000000000001</v>
      </c>
      <c r="L268" s="225">
        <f>IFERROR(K268-(TBIcalc!$H$9+TBIcalc!$H$10),"")</f>
        <v>1.9512</v>
      </c>
      <c r="M268" s="391">
        <f>AVERAGE(Ashed_controlls!$K$12:$K$14)</f>
        <v>2.2816647271287041</v>
      </c>
      <c r="N268" s="225">
        <f t="shared" si="22"/>
        <v>1.9066801578442647</v>
      </c>
      <c r="O268" s="225">
        <f>IF(IFERROR(INDEX('Both teabags AfterWet'!$C$3:$C$841,MATCH(J268,'Both teabags AfterWet'!$A$3:$A$841,0)),"")="","",(IFERROR(INDEX('Both teabags AfterWet'!$C$3:$C$841,MATCH(J268,'Both teabags AfterWet'!$A$3:$A$841,0)),"")))</f>
        <v>1.651</v>
      </c>
      <c r="P268" s="225">
        <f>IFERROR(IF(O268&gt;0,O268-(TBIcalc!$H$9),""),"")</f>
        <v>1.5004</v>
      </c>
      <c r="Q268" s="225">
        <f>IFERROR(INDEX('Ashed teabags wet'!$K$2:$K$821,MATCH(J268,'Ashed teabags wet'!$A$2:$A$821,0)),"")</f>
        <v>7.3593073593070963</v>
      </c>
      <c r="R268" s="225">
        <f t="shared" si="26"/>
        <v>1.3899809523809563</v>
      </c>
      <c r="S268" s="226">
        <f>'WetLitterbags placem_collection'!E49</f>
        <v>42766</v>
      </c>
      <c r="T268" s="226">
        <f>IF('WetLitterbags placem_collection'!G49="","",'WetLitterbags placem_collection'!G49)</f>
        <v>42820</v>
      </c>
      <c r="U268" s="227">
        <f t="shared" si="23"/>
        <v>54</v>
      </c>
      <c r="V268" s="225">
        <f t="shared" si="24"/>
        <v>0.45080000000000009</v>
      </c>
      <c r="W268" s="225">
        <f t="shared" si="25"/>
        <v>0.51669920546330839</v>
      </c>
      <c r="X268">
        <f>IFERROR(INDEX(Rainfall_Wet!$O$2:$O$217,MATCH(B268, Rainfall_Wet!$A$2:$A$217,0)),"")</f>
        <v>214.262898705</v>
      </c>
      <c r="Y268" s="231">
        <v>19.96</v>
      </c>
      <c r="Z268" s="231">
        <v>4.9199999999999982</v>
      </c>
      <c r="AA268" s="231">
        <v>75.12</v>
      </c>
      <c r="AB268" s="232" t="s">
        <v>2671</v>
      </c>
      <c r="AC268" s="231">
        <v>1.641498275012321</v>
      </c>
      <c r="AD268">
        <f>IF('WetLitterbags placem_collection'!AB49="","",'WetLitterbags placem_collection'!AB49)</f>
        <v>5.2</v>
      </c>
      <c r="AE268">
        <f>IF('WetLitterbags placem_collection'!Z49="","",'WetLitterbags placem_collection'!Z49)</f>
        <v>5.2</v>
      </c>
      <c r="AF268" s="246" t="str">
        <f>IF('WetLitterbags placem_collection'!AA49="","",'WetLitterbags placem_collection'!AA49)</f>
        <v>G</v>
      </c>
      <c r="AG268">
        <f>IF('WetLitterbags placem_collection'!AC49="","",'WetLitterbags placem_collection'!AC49)</f>
        <v>0</v>
      </c>
      <c r="AH268" s="24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placem_collection'!W49)),"YES","NO")</f>
        <v>NO</v>
      </c>
      <c r="AM268" t="str">
        <f>IF(ISNUMBER(SEARCH("H", 'WetLitterbags placem_collection'!W49)),"YES","NO")</f>
        <v>YES</v>
      </c>
      <c r="AN268" t="str">
        <f>IF(ISNUMBER(SEARCH("R", 'WetLitterbags placem_collection'!W49)),"YES","NO")</f>
        <v>YES</v>
      </c>
    </row>
    <row r="269" spans="1:40" ht="15" customHeight="1">
      <c r="A269" s="258" t="s">
        <v>2460</v>
      </c>
      <c r="B269" s="263">
        <f>'Dry_Litterbag Placem_Collection'!A50</f>
        <v>48</v>
      </c>
      <c r="C269" s="263" t="str">
        <f>'Dry_Litterbag Placem_Collection'!B50</f>
        <v>Makao</v>
      </c>
      <c r="D269" s="263" t="s">
        <v>2659</v>
      </c>
      <c r="E269" s="263" t="s">
        <v>20</v>
      </c>
      <c r="F269" s="263">
        <v>2</v>
      </c>
      <c r="G269" s="264" t="str">
        <f>'Dry_Litterbag Placem_Collection'!C50</f>
        <v>Dry_P2_T8</v>
      </c>
      <c r="H269" s="265" t="s">
        <v>2541</v>
      </c>
      <c r="I269" s="272" t="s">
        <v>298</v>
      </c>
      <c r="J269" s="223" t="str">
        <f>'WetLitterbags placem_collection'!M50</f>
        <v>R72</v>
      </c>
      <c r="K269" s="225">
        <f>IFERROR(INDEX('Green_rooibos initial weight'!$C$5:$C$1749,MATCH(J269, 'Green_rooibos initial weight'!$A$5:$A$1749,0)),"")</f>
        <v>2.2349999999999999</v>
      </c>
      <c r="L269" s="225">
        <f>IFERROR(K269-(TBIcalc!$H$9+TBIcalc!$H$10),"")</f>
        <v>1.9851999999999999</v>
      </c>
      <c r="M269" s="391">
        <f>AVERAGE(Ashed_controlls!$K$12:$K$14)</f>
        <v>2.2816647271287041</v>
      </c>
      <c r="N269" s="225">
        <f t="shared" si="22"/>
        <v>1.9399043918370409</v>
      </c>
      <c r="O269" s="225">
        <f>IF(IFERROR(INDEX('Both teabags AfterWet'!$C$3:$C$841,MATCH(J269,'Both teabags AfterWet'!$A$3:$A$841,0)),"")="","",(IFERROR(INDEX('Both teabags AfterWet'!$C$3:$C$841,MATCH(J269,'Both teabags AfterWet'!$A$3:$A$841,0)),"")))</f>
        <v>1.6359999999999999</v>
      </c>
      <c r="P269" s="225">
        <f>IFERROR(IF(O269&gt;0,O269-(TBIcalc!$H$9),""),"")</f>
        <v>1.4853999999999998</v>
      </c>
      <c r="Q269" s="225">
        <f>IFERROR(INDEX('Ashed teabags wet'!$K$2:$K$821,MATCH(J269,'Ashed teabags wet'!$A$2:$A$821,0)),"")</f>
        <v>4.6647230320703335</v>
      </c>
      <c r="R269" s="225">
        <f t="shared" si="26"/>
        <v>1.4161102040816271</v>
      </c>
      <c r="S269" s="226">
        <f>'WetLitterbags placem_collection'!E50</f>
        <v>42766</v>
      </c>
      <c r="T269" s="226">
        <f>IF('WetLitterbags placem_collection'!G50="","",'WetLitterbags placem_collection'!G50)</f>
        <v>42820</v>
      </c>
      <c r="U269" s="227">
        <f t="shared" si="23"/>
        <v>54</v>
      </c>
      <c r="V269" s="225">
        <f t="shared" si="24"/>
        <v>0.49980000000000002</v>
      </c>
      <c r="W269" s="225">
        <f t="shared" si="25"/>
        <v>0.52379418775541375</v>
      </c>
      <c r="X269">
        <f>IFERROR(INDEX(Rainfall_Wet!$O$2:$O$217,MATCH(B269, Rainfall_Wet!$A$2:$A$217,0)),"")</f>
        <v>214.262898705</v>
      </c>
      <c r="Y269" s="231">
        <v>19.96</v>
      </c>
      <c r="Z269" s="231">
        <v>4.9199999999999982</v>
      </c>
      <c r="AA269" s="231">
        <v>75.12</v>
      </c>
      <c r="AB269" s="232" t="s">
        <v>2671</v>
      </c>
      <c r="AC269" s="231">
        <v>1.641498275012321</v>
      </c>
      <c r="AD269">
        <f>IF('WetLitterbags placem_collection'!AB50="","",'WetLitterbags placem_collection'!AB50)</f>
        <v>7.3</v>
      </c>
      <c r="AE269">
        <f>IF('WetLitterbags placem_collection'!Z50="","",'WetLitterbags placem_collection'!Z50)</f>
        <v>27.2</v>
      </c>
      <c r="AF269" s="246" t="str">
        <f>IF('WetLitterbags placem_collection'!AA50="","",'WetLitterbags placem_collection'!AA50)</f>
        <v>M</v>
      </c>
      <c r="AG269">
        <f>IF('WetLitterbags placem_collection'!AC50="","",'WetLitterbags placem_collection'!AC50)</f>
        <v>0</v>
      </c>
      <c r="AH269" s="24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placem_collection'!W50)),"YES","NO")</f>
        <v>NO</v>
      </c>
      <c r="AM269" t="str">
        <f>IF(ISNUMBER(SEARCH("H", 'WetLitterbags placem_collection'!W50)),"YES","NO")</f>
        <v>NO</v>
      </c>
      <c r="AN269" t="str">
        <f>IF(ISNUMBER(SEARCH("R", 'WetLitterbags placem_collection'!W50)),"YES","NO")</f>
        <v>YES</v>
      </c>
    </row>
    <row r="270" spans="1:40" ht="15" customHeight="1">
      <c r="A270" s="258" t="s">
        <v>2460</v>
      </c>
      <c r="B270" s="263">
        <f>'Dry_Litterbag Placem_Collection'!A51</f>
        <v>49</v>
      </c>
      <c r="C270" s="263" t="str">
        <f>'Dry_Litterbag Placem_Collection'!B51</f>
        <v>Makao</v>
      </c>
      <c r="D270" s="263" t="s">
        <v>2659</v>
      </c>
      <c r="E270" s="263" t="s">
        <v>20</v>
      </c>
      <c r="F270" s="263">
        <v>3</v>
      </c>
      <c r="G270" s="264" t="str">
        <f>'Dry_Litterbag Placem_Collection'!C51</f>
        <v>Dry_P3_T1</v>
      </c>
      <c r="H270" s="265" t="s">
        <v>2541</v>
      </c>
      <c r="I270" s="272" t="s">
        <v>298</v>
      </c>
      <c r="J270" s="223" t="str">
        <f>'WetLitterbags placem_collection'!M51</f>
        <v>R28</v>
      </c>
      <c r="K270" s="225">
        <f>IFERROR(INDEX('Green_rooibos initial weight'!$C$5:$C$1749,MATCH(J270, 'Green_rooibos initial weight'!$A$5:$A$1749,0)),"")</f>
        <v>2.1030000000000002</v>
      </c>
      <c r="L270" s="225">
        <f>IFERROR(K270-(TBIcalc!$H$9+TBIcalc!$H$10),"")</f>
        <v>1.8532000000000002</v>
      </c>
      <c r="M270" s="391">
        <f>AVERAGE(Ashed_controlls!$K$12:$K$14)</f>
        <v>2.2816647271287041</v>
      </c>
      <c r="N270" s="225">
        <f t="shared" si="22"/>
        <v>1.8109161892768511</v>
      </c>
      <c r="O270" s="225">
        <f>IF(IFERROR(INDEX('Both teabags AfterWet'!$C$3:$C$841,MATCH(J270,'Both teabags AfterWet'!$A$3:$A$841,0)),"")="","",(IFERROR(INDEX('Both teabags AfterWet'!$C$3:$C$841,MATCH(J270,'Both teabags AfterWet'!$A$3:$A$841,0)),"")))</f>
        <v>1.5992999999999999</v>
      </c>
      <c r="P270" s="225">
        <f>IFERROR(IF(O270&gt;0,O270-(TBIcalc!$H$9),""),"")</f>
        <v>1.4486999999999999</v>
      </c>
      <c r="Q270" s="225">
        <f>IFERROR(INDEX('Ashed teabags wet'!$K$2:$K$821,MATCH(J270,'Ashed teabags wet'!$A$2:$A$821,0)),"")</f>
        <v>11.563275434243886</v>
      </c>
      <c r="R270" s="225">
        <f t="shared" si="26"/>
        <v>1.2811828287841087</v>
      </c>
      <c r="S270" s="226">
        <f>'WetLitterbags placem_collection'!E51</f>
        <v>42766</v>
      </c>
      <c r="T270" s="226">
        <f>IF('WetLitterbags placem_collection'!G51="","",'WetLitterbags placem_collection'!G51)</f>
        <v>42820</v>
      </c>
      <c r="U270" s="227">
        <f t="shared" si="23"/>
        <v>54</v>
      </c>
      <c r="V270" s="225">
        <f t="shared" si="24"/>
        <v>0.4045000000000003</v>
      </c>
      <c r="W270" s="225">
        <f t="shared" si="25"/>
        <v>0.52973336049274233</v>
      </c>
      <c r="X270">
        <f>IFERROR(INDEX(Rainfall_Wet!$O$2:$O$217,MATCH(B270, Rainfall_Wet!$A$2:$A$217,0)),"")</f>
        <v>214.262898705</v>
      </c>
      <c r="Y270" s="231">
        <v>21.96</v>
      </c>
      <c r="Z270" s="231">
        <v>8.9199999999999982</v>
      </c>
      <c r="AA270" s="231">
        <v>69.12</v>
      </c>
      <c r="AB270" s="232" t="s">
        <v>2670</v>
      </c>
      <c r="AC270" s="231">
        <v>1.7491375061606702</v>
      </c>
      <c r="AD270">
        <f>IF('WetLitterbags placem_collection'!AB51="","",'WetLitterbags placem_collection'!AB51)</f>
        <v>10.4</v>
      </c>
      <c r="AE270">
        <f>IF('WetLitterbags placem_collection'!Z51="","",'WetLitterbags placem_collection'!Z51)</f>
        <v>36</v>
      </c>
      <c r="AF270" s="246" t="str">
        <f>IF('WetLitterbags placem_collection'!AA51="","",'WetLitterbags placem_collection'!AA51)</f>
        <v>M</v>
      </c>
      <c r="AG270">
        <f>IF('WetLitterbags placem_collection'!AC51="","",'WetLitterbags placem_collection'!AC51)</f>
        <v>1</v>
      </c>
      <c r="AH270" s="24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placem_collection'!W51)),"YES","NO")</f>
        <v>NO</v>
      </c>
      <c r="AM270" t="str">
        <f>IF(ISNUMBER(SEARCH("H", 'WetLitterbags placem_collection'!W51)),"YES","NO")</f>
        <v>YES</v>
      </c>
      <c r="AN270" t="str">
        <f>IF(ISNUMBER(SEARCH("R", 'WetLitterbags placem_collection'!W51)),"YES","NO")</f>
        <v>YES</v>
      </c>
    </row>
    <row r="271" spans="1:40" ht="15" customHeight="1">
      <c r="A271" s="258" t="s">
        <v>2460</v>
      </c>
      <c r="B271" s="263">
        <f>'Dry_Litterbag Placem_Collection'!A52</f>
        <v>50</v>
      </c>
      <c r="C271" s="263" t="str">
        <f>'Dry_Litterbag Placem_Collection'!B52</f>
        <v>Makao</v>
      </c>
      <c r="D271" s="263" t="s">
        <v>2659</v>
      </c>
      <c r="E271" s="263" t="s">
        <v>20</v>
      </c>
      <c r="F271" s="263">
        <v>3</v>
      </c>
      <c r="G271" s="264" t="str">
        <f>'Dry_Litterbag Placem_Collection'!C52</f>
        <v>Dry_P3_T2</v>
      </c>
      <c r="H271" s="265" t="s">
        <v>2541</v>
      </c>
      <c r="I271" s="272" t="s">
        <v>298</v>
      </c>
      <c r="J271" s="223" t="str">
        <f>'WetLitterbags placem_collection'!M52</f>
        <v>R5</v>
      </c>
      <c r="K271" s="225">
        <f>IFERROR(INDEX('Green_rooibos initial weight'!$C$5:$C$1749,MATCH(J271, 'Green_rooibos initial weight'!$A$5:$A$1749,0)),"")</f>
        <v>2.1800000000000002</v>
      </c>
      <c r="L271" s="225">
        <f>IFERROR(K271-(TBIcalc!$H$9+TBIcalc!$H$10),"")</f>
        <v>1.9302000000000001</v>
      </c>
      <c r="M271" s="391">
        <f>AVERAGE(Ashed_controlls!$K$12:$K$14)</f>
        <v>2.2816647271287041</v>
      </c>
      <c r="N271" s="225">
        <f t="shared" si="22"/>
        <v>1.8861593074369618</v>
      </c>
      <c r="O271" s="225" t="str">
        <f>IF(IFERROR(INDEX('Both teabags AfterWet'!$C$3:$C$841,MATCH(J271,'Both teabags AfterWet'!$A$3:$A$841,0)),"")="","",(IFERROR(INDEX('Both teabags AfterWet'!$C$3:$C$841,MATCH(J271,'Both teabags AfterWet'!$A$3:$A$841,0)),"")))</f>
        <v/>
      </c>
      <c r="P271" s="225" t="str">
        <f>IFERROR(IF(O271&gt;0,O271-(TBIcalc!$H$9),""),"")</f>
        <v/>
      </c>
      <c r="Q271" s="225" t="str">
        <f>IFERROR(INDEX('Ashed teabags wet'!$K$2:$K$821,MATCH(J271,'Ashed teabags wet'!$A$2:$A$821,0)),"")</f>
        <v/>
      </c>
      <c r="R271" s="225" t="str">
        <f t="shared" si="26"/>
        <v/>
      </c>
      <c r="S271" s="226">
        <f>'WetLitterbags placem_collection'!E52</f>
        <v>42766</v>
      </c>
      <c r="T271" s="226">
        <f>IF('WetLitterbags placem_collection'!G52="","",'WetLitterbags placem_collection'!G52)</f>
        <v>42820</v>
      </c>
      <c r="U271" s="227">
        <f t="shared" si="23"/>
        <v>54</v>
      </c>
      <c r="V271" s="225" t="str">
        <f t="shared" si="24"/>
        <v/>
      </c>
      <c r="W271" s="225" t="str">
        <f t="shared" si="25"/>
        <v/>
      </c>
      <c r="X271">
        <f>IFERROR(INDEX(Rainfall_Wet!$O$2:$O$217,MATCH(B271, Rainfall_Wet!$A$2:$A$217,0)),"")</f>
        <v>214.262898705</v>
      </c>
      <c r="Y271" s="231">
        <v>21.96</v>
      </c>
      <c r="Z271" s="231">
        <v>8.9199999999999982</v>
      </c>
      <c r="AA271" s="231">
        <v>69.12</v>
      </c>
      <c r="AB271" s="232" t="s">
        <v>2670</v>
      </c>
      <c r="AC271" s="231">
        <v>1.7491375061606702</v>
      </c>
      <c r="AD271">
        <f>IF('WetLitterbags placem_collection'!AB52="","",'WetLitterbags placem_collection'!AB52)</f>
        <v>10</v>
      </c>
      <c r="AE271">
        <f>IF('WetLitterbags placem_collection'!Z52="","",'WetLitterbags placem_collection'!Z52)</f>
        <v>22.5</v>
      </c>
      <c r="AF271" s="246" t="str">
        <f>IF('WetLitterbags placem_collection'!AA52="","",'WetLitterbags placem_collection'!AA52)</f>
        <v>M</v>
      </c>
      <c r="AG271">
        <f>IF('WetLitterbags placem_collection'!AC52="","",'WetLitterbags placem_collection'!AC52)</f>
        <v>1</v>
      </c>
      <c r="AH271" s="24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placem_collection'!W52)),"YES","NO")</f>
        <v>NO</v>
      </c>
      <c r="AM271" t="str">
        <f>IF(ISNUMBER(SEARCH("H", 'WetLitterbags placem_collection'!W52)),"YES","NO")</f>
        <v>NO</v>
      </c>
      <c r="AN271" t="str">
        <f>IF(ISNUMBER(SEARCH("R", 'WetLitterbags placem_collection'!W52)),"YES","NO")</f>
        <v>NO</v>
      </c>
    </row>
    <row r="272" spans="1:40" ht="15" customHeight="1">
      <c r="A272" s="258" t="s">
        <v>2460</v>
      </c>
      <c r="B272" s="263">
        <f>'Dry_Litterbag Placem_Collection'!A53</f>
        <v>51</v>
      </c>
      <c r="C272" s="263" t="str">
        <f>'Dry_Litterbag Placem_Collection'!B53</f>
        <v>Makao</v>
      </c>
      <c r="D272" s="263" t="s">
        <v>2659</v>
      </c>
      <c r="E272" s="263" t="s">
        <v>20</v>
      </c>
      <c r="F272" s="263">
        <v>3</v>
      </c>
      <c r="G272" s="264" t="str">
        <f>'Dry_Litterbag Placem_Collection'!C53</f>
        <v>Dry_P3_T3</v>
      </c>
      <c r="H272" s="265" t="s">
        <v>2541</v>
      </c>
      <c r="I272" s="272" t="s">
        <v>298</v>
      </c>
      <c r="J272" s="223" t="str">
        <f>'WetLitterbags placem_collection'!M53</f>
        <v>R85</v>
      </c>
      <c r="K272" s="225">
        <f>IFERROR(INDEX('Green_rooibos initial weight'!$C$5:$C$1749,MATCH(J272, 'Green_rooibos initial weight'!$A$5:$A$1749,0)),"")</f>
        <v>2.1930000000000001</v>
      </c>
      <c r="L272" s="225">
        <f>IFERROR(K272-(TBIcalc!$H$9+TBIcalc!$H$10),"")</f>
        <v>1.9432</v>
      </c>
      <c r="M272" s="391">
        <f>AVERAGE(Ashed_controlls!$K$12:$K$14)</f>
        <v>2.2816647271287041</v>
      </c>
      <c r="N272" s="225">
        <f t="shared" si="22"/>
        <v>1.8988626910224351</v>
      </c>
      <c r="O272" s="225">
        <f>IF(IFERROR(INDEX('Both teabags AfterWet'!$C$3:$C$841,MATCH(J272,'Both teabags AfterWet'!$A$3:$A$841,0)),"")="","",(IFERROR(INDEX('Both teabags AfterWet'!$C$3:$C$841,MATCH(J272,'Both teabags AfterWet'!$A$3:$A$841,0)),"")))</f>
        <v>1.599</v>
      </c>
      <c r="P272" s="225">
        <f>IFERROR(IF(O272&gt;0,O272-(TBIcalc!$H$9),""),"")</f>
        <v>1.4483999999999999</v>
      </c>
      <c r="Q272" s="225">
        <f>IFERROR(INDEX('Ashed teabags wet'!$K$2:$K$821,MATCH(J272,'Ashed teabags wet'!$A$2:$A$821,0)),"")</f>
        <v>6.0009601536244919</v>
      </c>
      <c r="R272" s="225">
        <f t="shared" si="26"/>
        <v>1.3614820931349028</v>
      </c>
      <c r="S272" s="226">
        <f>'WetLitterbags placem_collection'!E53</f>
        <v>42766</v>
      </c>
      <c r="T272" s="226">
        <f>IF('WetLitterbags placem_collection'!G53="","",'WetLitterbags placem_collection'!G53)</f>
        <v>42820</v>
      </c>
      <c r="U272" s="227">
        <f t="shared" si="23"/>
        <v>54</v>
      </c>
      <c r="V272" s="225">
        <f t="shared" si="24"/>
        <v>0.49480000000000013</v>
      </c>
      <c r="W272" s="225">
        <f t="shared" si="25"/>
        <v>0.53738059788753234</v>
      </c>
      <c r="X272">
        <f>IFERROR(INDEX(Rainfall_Wet!$O$2:$O$217,MATCH(B272, Rainfall_Wet!$A$2:$A$217,0)),"")</f>
        <v>214.262898705</v>
      </c>
      <c r="Y272" s="231">
        <v>21.96</v>
      </c>
      <c r="Z272" s="231">
        <v>8.9199999999999982</v>
      </c>
      <c r="AA272" s="231">
        <v>69.12</v>
      </c>
      <c r="AB272" s="232" t="s">
        <v>2670</v>
      </c>
      <c r="AC272" s="231">
        <v>1.7491375061606702</v>
      </c>
      <c r="AD272">
        <f>IF('WetLitterbags placem_collection'!AB53="","",'WetLitterbags placem_collection'!AB53)</f>
        <v>3</v>
      </c>
      <c r="AE272">
        <f>IF('WetLitterbags placem_collection'!Z53="","",'WetLitterbags placem_collection'!Z53)</f>
        <v>18</v>
      </c>
      <c r="AF272" s="246" t="str">
        <f>IF('WetLitterbags placem_collection'!AA53="","",'WetLitterbags placem_collection'!AA53)</f>
        <v>O</v>
      </c>
      <c r="AG272">
        <f>IF('WetLitterbags placem_collection'!AC53="","",'WetLitterbags placem_collection'!AC53)</f>
        <v>0</v>
      </c>
      <c r="AH272" s="24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placem_collection'!W53)),"YES","NO")</f>
        <v>NO</v>
      </c>
      <c r="AM272" t="str">
        <f>IF(ISNUMBER(SEARCH("H", 'WetLitterbags placem_collection'!W53)),"YES","NO")</f>
        <v>NO</v>
      </c>
      <c r="AN272" t="str">
        <f>IF(ISNUMBER(SEARCH("R", 'WetLitterbags placem_collection'!W53)),"YES","NO")</f>
        <v>YES</v>
      </c>
    </row>
    <row r="273" spans="1:40" ht="15" customHeight="1">
      <c r="A273" s="258" t="s">
        <v>2460</v>
      </c>
      <c r="B273" s="263">
        <f>'Dry_Litterbag Placem_Collection'!A54</f>
        <v>52</v>
      </c>
      <c r="C273" s="263" t="str">
        <f>'Dry_Litterbag Placem_Collection'!B54</f>
        <v>Makao</v>
      </c>
      <c r="D273" s="263" t="s">
        <v>2659</v>
      </c>
      <c r="E273" s="263" t="s">
        <v>20</v>
      </c>
      <c r="F273" s="263">
        <v>3</v>
      </c>
      <c r="G273" s="264" t="str">
        <f>'Dry_Litterbag Placem_Collection'!C54</f>
        <v>Dry_P3_T4</v>
      </c>
      <c r="H273" s="265" t="s">
        <v>2541</v>
      </c>
      <c r="I273" s="272" t="s">
        <v>298</v>
      </c>
      <c r="J273" s="223" t="str">
        <f>'WetLitterbags placem_collection'!M54</f>
        <v>R513</v>
      </c>
      <c r="K273" s="225">
        <f>IFERROR(INDEX('Green_rooibos initial weight'!$C$5:$C$1749,MATCH(J273, 'Green_rooibos initial weight'!$A$5:$A$1749,0)),"")</f>
        <v>2.1389999999999998</v>
      </c>
      <c r="L273" s="225">
        <f>IFERROR(K273-(TBIcalc!$H$9+TBIcalc!$H$10),"")</f>
        <v>1.8891999999999998</v>
      </c>
      <c r="M273" s="391">
        <f>AVERAGE(Ashed_controlls!$K$12:$K$14)</f>
        <v>2.2816647271287041</v>
      </c>
      <c r="N273" s="225">
        <f t="shared" si="22"/>
        <v>1.8460947899750844</v>
      </c>
      <c r="O273" s="225">
        <f>IF(IFERROR(INDEX('Both teabags AfterWet'!$C$3:$C$841,MATCH(J273,'Both teabags AfterWet'!$A$3:$A$841,0)),"")="","",(IFERROR(INDEX('Both teabags AfterWet'!$C$3:$C$841,MATCH(J273,'Both teabags AfterWet'!$A$3:$A$841,0)),"")))</f>
        <v>1.6279999999999999</v>
      </c>
      <c r="P273" s="225">
        <f>IFERROR(IF(O273&gt;0,O273-(TBIcalc!$H$9),""),"")</f>
        <v>1.4773999999999998</v>
      </c>
      <c r="Q273" s="225">
        <f>IFERROR(INDEX('Ashed teabags wet'!$K$2:$K$821,MATCH(J273,'Ashed teabags wet'!$A$2:$A$821,0)),"")</f>
        <v>11.073500967118232</v>
      </c>
      <c r="R273" s="225">
        <f t="shared" si="26"/>
        <v>1.3138000967117951</v>
      </c>
      <c r="S273" s="226">
        <f>'WetLitterbags placem_collection'!E54</f>
        <v>42766</v>
      </c>
      <c r="T273" s="226">
        <f>IF('WetLitterbags placem_collection'!G54="","",'WetLitterbags placem_collection'!G54)</f>
        <v>42820</v>
      </c>
      <c r="U273" s="227">
        <f t="shared" si="23"/>
        <v>54</v>
      </c>
      <c r="V273" s="225">
        <f t="shared" si="24"/>
        <v>0.41179999999999994</v>
      </c>
      <c r="W273" s="225">
        <f t="shared" si="25"/>
        <v>0.53229469326328926</v>
      </c>
      <c r="X273">
        <f>IFERROR(INDEX(Rainfall_Wet!$O$2:$O$217,MATCH(B273, Rainfall_Wet!$A$2:$A$217,0)),"")</f>
        <v>214.262898705</v>
      </c>
      <c r="Y273" s="231">
        <v>21.96</v>
      </c>
      <c r="Z273" s="231">
        <v>8.9199999999999982</v>
      </c>
      <c r="AA273" s="231">
        <v>69.12</v>
      </c>
      <c r="AB273" s="232" t="s">
        <v>2670</v>
      </c>
      <c r="AC273" s="231">
        <v>1.7491375061606702</v>
      </c>
      <c r="AD273">
        <f>IF('WetLitterbags placem_collection'!AB54="","",'WetLitterbags placem_collection'!AB54)</f>
        <v>13.4</v>
      </c>
      <c r="AE273">
        <f>IF('WetLitterbags placem_collection'!Z54="","",'WetLitterbags placem_collection'!Z54)</f>
        <v>67</v>
      </c>
      <c r="AF273" s="246" t="str">
        <f>IF('WetLitterbags placem_collection'!AA54="","",'WetLitterbags placem_collection'!AA54)</f>
        <v>M</v>
      </c>
      <c r="AG273">
        <f>IF('WetLitterbags placem_collection'!AC54="","",'WetLitterbags placem_collection'!AC54)</f>
        <v>1</v>
      </c>
      <c r="AH273" s="24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placem_collection'!W54)),"YES","NO")</f>
        <v>NO</v>
      </c>
      <c r="AM273" t="str">
        <f>IF(ISNUMBER(SEARCH("H", 'WetLitterbags placem_collection'!W54)),"YES","NO")</f>
        <v>YES</v>
      </c>
      <c r="AN273" t="str">
        <f>IF(ISNUMBER(SEARCH("R", 'WetLitterbags placem_collection'!W54)),"YES","NO")</f>
        <v>NO</v>
      </c>
    </row>
    <row r="274" spans="1:40" ht="15" customHeight="1">
      <c r="A274" s="258" t="s">
        <v>2460</v>
      </c>
      <c r="B274" s="263">
        <f>'Dry_Litterbag Placem_Collection'!A55</f>
        <v>53</v>
      </c>
      <c r="C274" s="263" t="str">
        <f>'Dry_Litterbag Placem_Collection'!B55</f>
        <v>Makao</v>
      </c>
      <c r="D274" s="263" t="s">
        <v>2659</v>
      </c>
      <c r="E274" s="263" t="s">
        <v>20</v>
      </c>
      <c r="F274" s="263">
        <v>3</v>
      </c>
      <c r="G274" s="264" t="str">
        <f>'Dry_Litterbag Placem_Collection'!C55</f>
        <v>Dry_P3_T5</v>
      </c>
      <c r="H274" s="265" t="s">
        <v>2541</v>
      </c>
      <c r="I274" s="272" t="s">
        <v>298</v>
      </c>
      <c r="J274" s="223" t="str">
        <f>'WetLitterbags placem_collection'!M55</f>
        <v>R399</v>
      </c>
      <c r="K274" s="225">
        <f>IFERROR(INDEX('Green_rooibos initial weight'!$C$5:$C$1749,MATCH(J274, 'Green_rooibos initial weight'!$A$5:$A$1749,0)),"")</f>
        <v>2.1389999999999998</v>
      </c>
      <c r="L274" s="225">
        <f>IFERROR(K274-(TBIcalc!$H$9+TBIcalc!$H$10),"")</f>
        <v>1.8891999999999998</v>
      </c>
      <c r="M274" s="391">
        <f>AVERAGE(Ashed_controlls!$K$12:$K$14)</f>
        <v>2.2816647271287041</v>
      </c>
      <c r="N274" s="225">
        <f t="shared" si="22"/>
        <v>1.8460947899750844</v>
      </c>
      <c r="O274" s="225" t="str">
        <f>IF(IFERROR(INDEX('Both teabags AfterWet'!$C$3:$C$841,MATCH(J274,'Both teabags AfterWet'!$A$3:$A$841,0)),"")="","",(IFERROR(INDEX('Both teabags AfterWet'!$C$3:$C$841,MATCH(J274,'Both teabags AfterWet'!$A$3:$A$841,0)),"")))</f>
        <v/>
      </c>
      <c r="P274" s="225" t="str">
        <f>IFERROR(IF(O274&gt;0,O274-(TBIcalc!$H$9),""),"")</f>
        <v/>
      </c>
      <c r="Q274" s="225" t="str">
        <f>IFERROR(INDEX('Ashed teabags wet'!$K$2:$K$821,MATCH(J274,'Ashed teabags wet'!$A$2:$A$821,0)),"")</f>
        <v/>
      </c>
      <c r="R274" s="225" t="str">
        <f t="shared" si="26"/>
        <v/>
      </c>
      <c r="S274" s="226">
        <f>'WetLitterbags placem_collection'!E55</f>
        <v>42766</v>
      </c>
      <c r="T274" s="226">
        <f>IF('WetLitterbags placem_collection'!G55="","",'WetLitterbags placem_collection'!G55)</f>
        <v>42820</v>
      </c>
      <c r="U274" s="227">
        <f t="shared" si="23"/>
        <v>54</v>
      </c>
      <c r="V274" s="225" t="str">
        <f t="shared" si="24"/>
        <v/>
      </c>
      <c r="W274" s="225" t="str">
        <f t="shared" si="25"/>
        <v/>
      </c>
      <c r="X274">
        <f>IFERROR(INDEX(Rainfall_Wet!$O$2:$O$217,MATCH(B274, Rainfall_Wet!$A$2:$A$217,0)),"")</f>
        <v>214.262898705</v>
      </c>
      <c r="Y274" s="231">
        <v>21.96</v>
      </c>
      <c r="Z274" s="231">
        <v>8.9199999999999982</v>
      </c>
      <c r="AA274" s="231">
        <v>69.12</v>
      </c>
      <c r="AB274" s="232" t="s">
        <v>2670</v>
      </c>
      <c r="AC274" s="231">
        <v>1.7491375061606702</v>
      </c>
      <c r="AD274" t="str">
        <f>IF('WetLitterbags placem_collection'!AB55="","",'WetLitterbags placem_collection'!AB55)</f>
        <v/>
      </c>
      <c r="AE274" t="str">
        <f>IF('WetLitterbags placem_collection'!Z55="","",'WetLitterbags placem_collection'!Z55)</f>
        <v/>
      </c>
      <c r="AF274" s="246" t="str">
        <f>IF('WetLitterbags placem_collection'!AA55="","",'WetLitterbags placem_collection'!AA55)</f>
        <v/>
      </c>
      <c r="AG274" t="str">
        <f>IF('WetLitterbags placem_collection'!AC55="","",'WetLitterbags placem_collection'!AC55)</f>
        <v/>
      </c>
      <c r="AH274" s="24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placem_collection'!W55)),"YES","NO")</f>
        <v>NO</v>
      </c>
      <c r="AM274" t="str">
        <f>IF(ISNUMBER(SEARCH("H", 'WetLitterbags placem_collection'!W55)),"YES","NO")</f>
        <v>NO</v>
      </c>
      <c r="AN274" t="str">
        <f>IF(ISNUMBER(SEARCH("R", 'WetLitterbags placem_collection'!W55)),"YES","NO")</f>
        <v>NO</v>
      </c>
    </row>
    <row r="275" spans="1:40" ht="15" customHeight="1">
      <c r="A275" s="258" t="s">
        <v>2460</v>
      </c>
      <c r="B275" s="263">
        <f>'Dry_Litterbag Placem_Collection'!A56</f>
        <v>54</v>
      </c>
      <c r="C275" s="263" t="str">
        <f>'Dry_Litterbag Placem_Collection'!B56</f>
        <v>Makao</v>
      </c>
      <c r="D275" s="263" t="s">
        <v>2659</v>
      </c>
      <c r="E275" s="263" t="s">
        <v>20</v>
      </c>
      <c r="F275" s="263">
        <v>3</v>
      </c>
      <c r="G275" s="264" t="str">
        <f>'Dry_Litterbag Placem_Collection'!C56</f>
        <v>Dry_P3_T6</v>
      </c>
      <c r="H275" s="265" t="s">
        <v>2541</v>
      </c>
      <c r="I275" s="272" t="s">
        <v>298</v>
      </c>
      <c r="J275" s="223" t="str">
        <f>'WetLitterbags placem_collection'!M56</f>
        <v>R400</v>
      </c>
      <c r="K275" s="225">
        <f>IFERROR(INDEX('Green_rooibos initial weight'!$C$5:$C$1749,MATCH(J275, 'Green_rooibos initial weight'!$A$5:$A$1749,0)),"")</f>
        <v>2.181</v>
      </c>
      <c r="L275" s="225">
        <f>IFERROR(K275-(TBIcalc!$H$9+TBIcalc!$H$10),"")</f>
        <v>1.9312</v>
      </c>
      <c r="M275" s="391">
        <f>AVERAGE(Ashed_controlls!$K$12:$K$14)</f>
        <v>2.2816647271287041</v>
      </c>
      <c r="N275" s="225">
        <f t="shared" si="22"/>
        <v>1.8871364907896906</v>
      </c>
      <c r="O275" s="225" t="str">
        <f>IF(IFERROR(INDEX('Both teabags AfterWet'!$C$3:$C$841,MATCH(J275,'Both teabags AfterWet'!$A$3:$A$841,0)),"")="","",(IFERROR(INDEX('Both teabags AfterWet'!$C$3:$C$841,MATCH(J275,'Both teabags AfterWet'!$A$3:$A$841,0)),"")))</f>
        <v/>
      </c>
      <c r="P275" s="225" t="str">
        <f>IFERROR(IF(O275&gt;0,O275-(TBIcalc!$H$9),""),"")</f>
        <v/>
      </c>
      <c r="Q275" s="225" t="str">
        <f>IFERROR(INDEX('Ashed teabags wet'!$K$2:$K$821,MATCH(J275,'Ashed teabags wet'!$A$2:$A$821,0)),"")</f>
        <v/>
      </c>
      <c r="R275" s="225" t="str">
        <f t="shared" si="26"/>
        <v/>
      </c>
      <c r="S275" s="226">
        <f>'WetLitterbags placem_collection'!E56</f>
        <v>42766</v>
      </c>
      <c r="T275" s="226">
        <f>IF('WetLitterbags placem_collection'!G56="","",'WetLitterbags placem_collection'!G56)</f>
        <v>42820</v>
      </c>
      <c r="U275" s="227">
        <f t="shared" si="23"/>
        <v>54</v>
      </c>
      <c r="V275" s="225" t="str">
        <f t="shared" si="24"/>
        <v/>
      </c>
      <c r="W275" s="225" t="str">
        <f t="shared" si="25"/>
        <v/>
      </c>
      <c r="X275">
        <f>IFERROR(INDEX(Rainfall_Wet!$O$2:$O$217,MATCH(B275, Rainfall_Wet!$A$2:$A$217,0)),"")</f>
        <v>214.262898705</v>
      </c>
      <c r="Y275" s="231">
        <v>21.96</v>
      </c>
      <c r="Z275" s="231">
        <v>8.9199999999999982</v>
      </c>
      <c r="AA275" s="231">
        <v>69.12</v>
      </c>
      <c r="AB275" s="232" t="s">
        <v>2670</v>
      </c>
      <c r="AC275" s="231">
        <v>1.7491375061606702</v>
      </c>
      <c r="AD275" t="str">
        <f>IF('WetLitterbags placem_collection'!AB56="","",'WetLitterbags placem_collection'!AB56)</f>
        <v/>
      </c>
      <c r="AE275" t="str">
        <f>IF('WetLitterbags placem_collection'!Z56="","",'WetLitterbags placem_collection'!Z56)</f>
        <v/>
      </c>
      <c r="AF275" s="246" t="str">
        <f>IF('WetLitterbags placem_collection'!AA56="","",'WetLitterbags placem_collection'!AA56)</f>
        <v/>
      </c>
      <c r="AG275" t="str">
        <f>IF('WetLitterbags placem_collection'!AC56="","",'WetLitterbags placem_collection'!AC56)</f>
        <v/>
      </c>
      <c r="AH275" s="24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placem_collection'!W56)),"YES","NO")</f>
        <v>NO</v>
      </c>
      <c r="AM275" t="str">
        <f>IF(ISNUMBER(SEARCH("H", 'WetLitterbags placem_collection'!W56)),"YES","NO")</f>
        <v>NO</v>
      </c>
      <c r="AN275" t="str">
        <f>IF(ISNUMBER(SEARCH("R", 'WetLitterbags placem_collection'!W56)),"YES","NO")</f>
        <v>NO</v>
      </c>
    </row>
    <row r="276" spans="1:40" ht="15" customHeight="1">
      <c r="A276" s="258" t="s">
        <v>2460</v>
      </c>
      <c r="B276" s="263">
        <f>'Dry_Litterbag Placem_Collection'!A57</f>
        <v>55</v>
      </c>
      <c r="C276" s="263" t="str">
        <f>'Dry_Litterbag Placem_Collection'!B57</f>
        <v>Makao</v>
      </c>
      <c r="D276" s="263" t="s">
        <v>2659</v>
      </c>
      <c r="E276" s="263" t="s">
        <v>20</v>
      </c>
      <c r="F276" s="263">
        <v>3</v>
      </c>
      <c r="G276" s="264" t="str">
        <f>'Dry_Litterbag Placem_Collection'!C57</f>
        <v>Dry_P3_T7</v>
      </c>
      <c r="H276" s="265" t="s">
        <v>2541</v>
      </c>
      <c r="I276" s="272" t="s">
        <v>298</v>
      </c>
      <c r="J276" s="223" t="str">
        <f>'WetLitterbags placem_collection'!M57</f>
        <v>R19</v>
      </c>
      <c r="K276" s="225">
        <f>IFERROR(INDEX('Green_rooibos initial weight'!$C$5:$C$1749,MATCH(J276, 'Green_rooibos initial weight'!$A$5:$A$1749,0)),"")</f>
        <v>2.2589999999999999</v>
      </c>
      <c r="L276" s="225">
        <f>IFERROR(K276-(TBIcalc!$H$9+TBIcalc!$H$10),"")</f>
        <v>2.0091999999999999</v>
      </c>
      <c r="M276" s="391">
        <f>AVERAGE(Ashed_controlls!$K$12:$K$14)</f>
        <v>2.2816647271287041</v>
      </c>
      <c r="N276" s="225">
        <f t="shared" si="22"/>
        <v>1.9633567923025299</v>
      </c>
      <c r="O276" s="225">
        <f>IF(IFERROR(INDEX('Both teabags AfterWet'!$C$3:$C$841,MATCH(J276,'Both teabags AfterWet'!$A$3:$A$841,0)),"")="","",(IFERROR(INDEX('Both teabags AfterWet'!$C$3:$C$841,MATCH(J276,'Both teabags AfterWet'!$A$3:$A$841,0)),"")))</f>
        <v>0.22600000000000001</v>
      </c>
      <c r="P276" s="225">
        <f>IFERROR(IF(O276&gt;0,O276-(TBIcalc!$H$9),""),"")</f>
        <v>7.5399999999999995E-2</v>
      </c>
      <c r="Q276" s="225" t="str">
        <f>IFERROR(INDEX('Ashed teabags wet'!$K$2:$K$821,MATCH(J276,'Ashed teabags wet'!$A$2:$A$821,0)),"")</f>
        <v/>
      </c>
      <c r="R276" s="225" t="str">
        <f t="shared" si="26"/>
        <v/>
      </c>
      <c r="S276" s="226">
        <f>'WetLitterbags placem_collection'!E57</f>
        <v>42766</v>
      </c>
      <c r="T276" s="226">
        <f>IF('WetLitterbags placem_collection'!G57="","",'WetLitterbags placem_collection'!G57)</f>
        <v>42820</v>
      </c>
      <c r="U276" s="227">
        <f t="shared" si="23"/>
        <v>54</v>
      </c>
      <c r="V276" s="225">
        <f t="shared" si="24"/>
        <v>1.9338</v>
      </c>
      <c r="W276" s="225" t="str">
        <f t="shared" si="25"/>
        <v/>
      </c>
      <c r="X276">
        <f>IFERROR(INDEX(Rainfall_Wet!$O$2:$O$217,MATCH(B276, Rainfall_Wet!$A$2:$A$217,0)),"")</f>
        <v>214.262898705</v>
      </c>
      <c r="Y276" s="231">
        <v>21.96</v>
      </c>
      <c r="Z276" s="231">
        <v>8.9199999999999982</v>
      </c>
      <c r="AA276" s="231">
        <v>69.12</v>
      </c>
      <c r="AB276" s="232" t="s">
        <v>2670</v>
      </c>
      <c r="AC276" s="231">
        <v>1.7491375061606702</v>
      </c>
      <c r="AD276">
        <f>IF('WetLitterbags placem_collection'!AB57="","",'WetLitterbags placem_collection'!AB57)</f>
        <v>15.8</v>
      </c>
      <c r="AE276">
        <f>IF('WetLitterbags placem_collection'!Z57="","",'WetLitterbags placem_collection'!Z57)</f>
        <v>45</v>
      </c>
      <c r="AF276" s="246" t="str">
        <f>IF('WetLitterbags placem_collection'!AA57="","",'WetLitterbags placem_collection'!AA57)</f>
        <v>M</v>
      </c>
      <c r="AG276">
        <f>IF('WetLitterbags placem_collection'!AC57="","",'WetLitterbags placem_collection'!AC57)</f>
        <v>1</v>
      </c>
      <c r="AH276" s="24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placem_collection'!W57)),"YES","NO")</f>
        <v>NO</v>
      </c>
      <c r="AM276" t="str">
        <f>IF(ISNUMBER(SEARCH("H", 'WetLitterbags placem_collection'!W57)),"YES","NO")</f>
        <v>YES</v>
      </c>
      <c r="AN276" t="str">
        <f>IF(ISNUMBER(SEARCH("R", 'WetLitterbags placem_collection'!W57)),"YES","NO")</f>
        <v>NO</v>
      </c>
    </row>
    <row r="277" spans="1:40" ht="15" customHeight="1">
      <c r="A277" s="258" t="s">
        <v>2460</v>
      </c>
      <c r="B277" s="263">
        <f>'Dry_Litterbag Placem_Collection'!A58</f>
        <v>56</v>
      </c>
      <c r="C277" s="263" t="str">
        <f>'Dry_Litterbag Placem_Collection'!B58</f>
        <v>Makao</v>
      </c>
      <c r="D277" s="263" t="s">
        <v>2659</v>
      </c>
      <c r="E277" s="263" t="s">
        <v>20</v>
      </c>
      <c r="F277" s="263">
        <v>3</v>
      </c>
      <c r="G277" s="264" t="str">
        <f>'Dry_Litterbag Placem_Collection'!C58</f>
        <v>Dry_P3_T8</v>
      </c>
      <c r="H277" s="265" t="s">
        <v>2541</v>
      </c>
      <c r="I277" s="272" t="s">
        <v>298</v>
      </c>
      <c r="J277" s="223" t="str">
        <f>'WetLitterbags placem_collection'!M58</f>
        <v>R60</v>
      </c>
      <c r="K277" s="225">
        <f>IFERROR(INDEX('Green_rooibos initial weight'!$C$5:$C$1749,MATCH(J277, 'Green_rooibos initial weight'!$A$5:$A$1749,0)),"")</f>
        <v>2.3220000000000001</v>
      </c>
      <c r="L277" s="225">
        <f>IFERROR(K277-(TBIcalc!$H$9+TBIcalc!$H$10),"")</f>
        <v>2.0722</v>
      </c>
      <c r="M277" s="391">
        <f>AVERAGE(Ashed_controlls!$K$12:$K$14)</f>
        <v>2.2816647271287041</v>
      </c>
      <c r="N277" s="225">
        <f t="shared" si="22"/>
        <v>2.0249193435244393</v>
      </c>
      <c r="O277" s="225">
        <f>IF(IFERROR(INDEX('Both teabags AfterWet'!$C$3:$C$841,MATCH(J277,'Both teabags AfterWet'!$A$3:$A$841,0)),"")="","",(IFERROR(INDEX('Both teabags AfterWet'!$C$3:$C$841,MATCH(J277,'Both teabags AfterWet'!$A$3:$A$841,0)),"")))</f>
        <v>2.2909999999999999</v>
      </c>
      <c r="P277" s="225">
        <f>IFERROR(IF(O277&gt;0,O277-(TBIcalc!$H$9),""),"")</f>
        <v>2.1404000000000001</v>
      </c>
      <c r="Q277" s="225">
        <f>IFERROR(INDEX('Ashed teabags wet'!$K$2:$K$821,MATCH(J277,'Ashed teabags wet'!$A$2:$A$821,0)),"")</f>
        <v>90.284005979073754</v>
      </c>
      <c r="R277" s="225">
        <f t="shared" si="26"/>
        <v>0.20796113602390531</v>
      </c>
      <c r="S277" s="226">
        <f>'WetLitterbags placem_collection'!E58</f>
        <v>42766</v>
      </c>
      <c r="T277" s="226">
        <f>IF('WetLitterbags placem_collection'!G58="","",'WetLitterbags placem_collection'!G58)</f>
        <v>42820</v>
      </c>
      <c r="U277" s="227">
        <f t="shared" si="23"/>
        <v>54</v>
      </c>
      <c r="V277" s="225">
        <f t="shared" si="24"/>
        <v>-6.8200000000000038E-2</v>
      </c>
      <c r="W277" s="225">
        <f t="shared" si="25"/>
        <v>1.8169582075005339</v>
      </c>
      <c r="X277">
        <f>IFERROR(INDEX(Rainfall_Wet!$O$2:$O$217,MATCH(B277, Rainfall_Wet!$A$2:$A$217,0)),"")</f>
        <v>214.262898705</v>
      </c>
      <c r="Y277" s="231">
        <v>21.96</v>
      </c>
      <c r="Z277" s="231">
        <v>8.9199999999999982</v>
      </c>
      <c r="AA277" s="231">
        <v>69.12</v>
      </c>
      <c r="AB277" s="232" t="s">
        <v>2670</v>
      </c>
      <c r="AC277" s="231">
        <v>1.7491375061606702</v>
      </c>
      <c r="AD277">
        <f>IF('WetLitterbags placem_collection'!AB58="","",'WetLitterbags placem_collection'!AB58)</f>
        <v>15.4</v>
      </c>
      <c r="AE277">
        <f>IF('WetLitterbags placem_collection'!Z58="","",'WetLitterbags placem_collection'!Z58)</f>
        <v>30.8</v>
      </c>
      <c r="AF277" s="246" t="str">
        <f>IF('WetLitterbags placem_collection'!AA58="","",'WetLitterbags placem_collection'!AA58)</f>
        <v>M</v>
      </c>
      <c r="AG277">
        <f>IF('WetLitterbags placem_collection'!AC58="","",'WetLitterbags placem_collection'!AC58)</f>
        <v>0</v>
      </c>
      <c r="AH277" s="24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placem_collection'!W58)),"YES","NO")</f>
        <v>YES</v>
      </c>
      <c r="AM277" t="str">
        <f>IF(ISNUMBER(SEARCH("H", 'WetLitterbags placem_collection'!W58)),"YES","NO")</f>
        <v>YES</v>
      </c>
      <c r="AN277" t="str">
        <f>IF(ISNUMBER(SEARCH("R", 'WetLitterbags placem_collection'!W58)),"YES","NO")</f>
        <v>NO</v>
      </c>
    </row>
    <row r="278" spans="1:40" ht="15" customHeight="1">
      <c r="A278" s="258" t="s">
        <v>2460</v>
      </c>
      <c r="B278" s="263">
        <f>'Dry_Litterbag Placem_Collection'!A59</f>
        <v>57</v>
      </c>
      <c r="C278" s="263" t="str">
        <f>'Dry_Litterbag Placem_Collection'!B59</f>
        <v>Makao</v>
      </c>
      <c r="D278" s="263" t="s">
        <v>2659</v>
      </c>
      <c r="E278" s="263" t="s">
        <v>20</v>
      </c>
      <c r="F278" s="263">
        <v>4</v>
      </c>
      <c r="G278" s="264" t="str">
        <f>'Dry_Litterbag Placem_Collection'!C59</f>
        <v>Dry_P4_T1</v>
      </c>
      <c r="H278" s="265" t="s">
        <v>2541</v>
      </c>
      <c r="I278" s="272" t="s">
        <v>298</v>
      </c>
      <c r="J278" s="223" t="str">
        <f>'WetLitterbags placem_collection'!M59</f>
        <v>R161</v>
      </c>
      <c r="K278" s="225">
        <f>IFERROR(INDEX('Green_rooibos initial weight'!$C$5:$C$1749,MATCH(J278, 'Green_rooibos initial weight'!$A$5:$A$1749,0)),"")</f>
        <v>2.1829999999999998</v>
      </c>
      <c r="L278" s="225">
        <f>IFERROR(K278-(TBIcalc!$H$9+TBIcalc!$H$10),"")</f>
        <v>1.9331999999999998</v>
      </c>
      <c r="M278" s="391">
        <f>AVERAGE(Ashed_controlls!$K$12:$K$14)</f>
        <v>2.2816647271287041</v>
      </c>
      <c r="N278" s="225">
        <f t="shared" si="22"/>
        <v>1.8890908574951477</v>
      </c>
      <c r="O278" s="225">
        <f>IF(IFERROR(INDEX('Both teabags AfterWet'!$C$3:$C$841,MATCH(J278,'Both teabags AfterWet'!$A$3:$A$841,0)),"")="","",(IFERROR(INDEX('Both teabags AfterWet'!$C$3:$C$841,MATCH(J278,'Both teabags AfterWet'!$A$3:$A$841,0)),"")))</f>
        <v>1.266</v>
      </c>
      <c r="P278" s="225">
        <f>IFERROR(IF(O278&gt;0,O278-(TBIcalc!$H$9),""),"")</f>
        <v>1.1153999999999999</v>
      </c>
      <c r="Q278" s="225">
        <f>IFERROR(INDEX('Ashed teabags wet'!$K$2:$K$821,MATCH(J278,'Ashed teabags wet'!$A$2:$A$821,0)),"")</f>
        <v>9.63680387409185</v>
      </c>
      <c r="R278" s="225">
        <f t="shared" si="26"/>
        <v>1.0079110895883794</v>
      </c>
      <c r="S278" s="226">
        <f>'WetLitterbags placem_collection'!E59</f>
        <v>42766</v>
      </c>
      <c r="T278" s="226">
        <f>IF('WetLitterbags placem_collection'!G59="","",'WetLitterbags placem_collection'!G59)</f>
        <v>42820</v>
      </c>
      <c r="U278" s="227">
        <f t="shared" si="23"/>
        <v>54</v>
      </c>
      <c r="V278" s="225">
        <f t="shared" si="24"/>
        <v>0.81779999999999986</v>
      </c>
      <c r="W278" s="225">
        <f t="shared" si="25"/>
        <v>0.88117976790676833</v>
      </c>
      <c r="X278">
        <f>IFERROR(INDEX(Rainfall_Wet!$O$2:$O$217,MATCH(B278, Rainfall_Wet!$A$2:$A$217,0)),"")</f>
        <v>214.262898705</v>
      </c>
      <c r="Y278" s="231">
        <v>25.96</v>
      </c>
      <c r="Z278" s="231">
        <v>6.9200000000000008</v>
      </c>
      <c r="AA278" s="231">
        <v>67.12</v>
      </c>
      <c r="AB278" s="232" t="s">
        <v>2670</v>
      </c>
      <c r="AC278" s="231">
        <v>1.7568260226712666</v>
      </c>
      <c r="AD278">
        <f>IF('WetLitterbags placem_collection'!AB59="","",'WetLitterbags placem_collection'!AB59)</f>
        <v>3.3</v>
      </c>
      <c r="AE278">
        <f>IF('WetLitterbags placem_collection'!Z59="","",'WetLitterbags placem_collection'!Z59)</f>
        <v>28.4</v>
      </c>
      <c r="AF278" s="246" t="str">
        <f>IF('WetLitterbags placem_collection'!AA59="","",'WetLitterbags placem_collection'!AA59)</f>
        <v>O</v>
      </c>
      <c r="AG278">
        <f>IF('WetLitterbags placem_collection'!AC59="","",'WetLitterbags placem_collection'!AC59)</f>
        <v>1</v>
      </c>
      <c r="AH278" s="24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placem_collection'!W59)),"YES","NO")</f>
        <v>NO</v>
      </c>
      <c r="AM278" t="str">
        <f>IF(ISNUMBER(SEARCH("H", 'WetLitterbags placem_collection'!W59)),"YES","NO")</f>
        <v>YES</v>
      </c>
      <c r="AN278" t="str">
        <f>IF(ISNUMBER(SEARCH("R", 'WetLitterbags placem_collection'!W59)),"YES","NO")</f>
        <v>YES</v>
      </c>
    </row>
    <row r="279" spans="1:40" ht="15" customHeight="1">
      <c r="A279" s="258" t="s">
        <v>2460</v>
      </c>
      <c r="B279" s="263">
        <f>'Dry_Litterbag Placem_Collection'!A60</f>
        <v>58</v>
      </c>
      <c r="C279" s="263" t="str">
        <f>'Dry_Litterbag Placem_Collection'!B60</f>
        <v>Makao</v>
      </c>
      <c r="D279" s="263" t="s">
        <v>2659</v>
      </c>
      <c r="E279" s="263" t="s">
        <v>20</v>
      </c>
      <c r="F279" s="263">
        <v>4</v>
      </c>
      <c r="G279" s="264" t="str">
        <f>'Dry_Litterbag Placem_Collection'!C60</f>
        <v>Dry_P4_T2</v>
      </c>
      <c r="H279" s="265" t="s">
        <v>2541</v>
      </c>
      <c r="I279" s="272" t="s">
        <v>298</v>
      </c>
      <c r="J279" s="223" t="str">
        <f>'WetLitterbags placem_collection'!M60</f>
        <v>R48</v>
      </c>
      <c r="K279" s="225">
        <f>IFERROR(INDEX('Green_rooibos initial weight'!$C$5:$C$1749,MATCH(J279, 'Green_rooibos initial weight'!$A$5:$A$1749,0)),"")</f>
        <v>2.2149999999999999</v>
      </c>
      <c r="L279" s="225">
        <f>IFERROR(K279-(TBIcalc!$H$9+TBIcalc!$H$10),"")</f>
        <v>1.9651999999999998</v>
      </c>
      <c r="M279" s="391">
        <f>AVERAGE(Ashed_controlls!$K$12:$K$14)</f>
        <v>2.2816647271287041</v>
      </c>
      <c r="N279" s="225">
        <f t="shared" si="22"/>
        <v>1.9203607247824666</v>
      </c>
      <c r="O279" s="225">
        <f>IF(IFERROR(INDEX('Both teabags AfterWet'!$C$3:$C$841,MATCH(J279,'Both teabags AfterWet'!$A$3:$A$841,0)),"")="","",(IFERROR(INDEX('Both teabags AfterWet'!$C$3:$C$841,MATCH(J279,'Both teabags AfterWet'!$A$3:$A$841,0)),"")))</f>
        <v>0.74880000000000002</v>
      </c>
      <c r="P279" s="225">
        <f>IFERROR(IF(O279&gt;0,O279-(TBIcalc!$H$9),""),"")</f>
        <v>0.59820000000000007</v>
      </c>
      <c r="Q279" s="225">
        <f>IFERROR(INDEX('Ashed teabags wet'!$K$2:$K$821,MATCH(J279,'Ashed teabags wet'!$A$2:$A$821,0)),"")</f>
        <v>25.956144824069355</v>
      </c>
      <c r="R279" s="225">
        <f t="shared" si="26"/>
        <v>0.44293034166241718</v>
      </c>
      <c r="S279" s="226">
        <f>'WetLitterbags placem_collection'!E60</f>
        <v>42766</v>
      </c>
      <c r="T279" s="226">
        <f>IF('WetLitterbags placem_collection'!G60="","",'WetLitterbags placem_collection'!G60)</f>
        <v>42820</v>
      </c>
      <c r="U279" s="227">
        <f t="shared" si="23"/>
        <v>54</v>
      </c>
      <c r="V279" s="225">
        <f t="shared" si="24"/>
        <v>1.3669999999999998</v>
      </c>
      <c r="W279" s="225">
        <f t="shared" si="25"/>
        <v>1.4774303831200495</v>
      </c>
      <c r="X279">
        <f>IFERROR(INDEX(Rainfall_Wet!$O$2:$O$217,MATCH(B279, Rainfall_Wet!$A$2:$A$217,0)),"")</f>
        <v>214.262898705</v>
      </c>
      <c r="Y279" s="231">
        <v>25.96</v>
      </c>
      <c r="Z279" s="231">
        <v>6.9200000000000008</v>
      </c>
      <c r="AA279" s="231">
        <v>67.12</v>
      </c>
      <c r="AB279" s="232" t="s">
        <v>2670</v>
      </c>
      <c r="AC279" s="231">
        <v>1.7568260226712666</v>
      </c>
      <c r="AD279">
        <f>IF('WetLitterbags placem_collection'!AB60="","",'WetLitterbags placem_collection'!AB60)</f>
        <v>1.4</v>
      </c>
      <c r="AE279">
        <f>IF('WetLitterbags placem_collection'!Z60="","",'WetLitterbags placem_collection'!Z60)</f>
        <v>54.4</v>
      </c>
      <c r="AF279" s="246" t="str">
        <f>IF('WetLitterbags placem_collection'!AA60="","",'WetLitterbags placem_collection'!AA60)</f>
        <v>O</v>
      </c>
      <c r="AG279">
        <f>IF('WetLitterbags placem_collection'!AC60="","",'WetLitterbags placem_collection'!AC60)</f>
        <v>0</v>
      </c>
      <c r="AH279" s="24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placem_collection'!W60)),"YES","NO")</f>
        <v>NO</v>
      </c>
      <c r="AM279" t="str">
        <f>IF(ISNUMBER(SEARCH("H", 'WetLitterbags placem_collection'!W60)),"YES","NO")</f>
        <v>YES</v>
      </c>
      <c r="AN279" t="str">
        <f>IF(ISNUMBER(SEARCH("R", 'WetLitterbags placem_collection'!W60)),"YES","NO")</f>
        <v>NO</v>
      </c>
    </row>
    <row r="280" spans="1:40" ht="15" customHeight="1">
      <c r="A280" s="258" t="s">
        <v>2460</v>
      </c>
      <c r="B280" s="263">
        <f>'Dry_Litterbag Placem_Collection'!A61</f>
        <v>59</v>
      </c>
      <c r="C280" s="263" t="str">
        <f>'Dry_Litterbag Placem_Collection'!B61</f>
        <v>Makao</v>
      </c>
      <c r="D280" s="263" t="s">
        <v>2659</v>
      </c>
      <c r="E280" s="263" t="s">
        <v>20</v>
      </c>
      <c r="F280" s="263">
        <v>4</v>
      </c>
      <c r="G280" s="264" t="str">
        <f>'Dry_Litterbag Placem_Collection'!C61</f>
        <v>Dry_P4_T3</v>
      </c>
      <c r="H280" s="265" t="s">
        <v>2541</v>
      </c>
      <c r="I280" s="272" t="s">
        <v>298</v>
      </c>
      <c r="J280" s="223" t="str">
        <f>'WetLitterbags placem_collection'!M61</f>
        <v>R23</v>
      </c>
      <c r="K280" s="225">
        <f>IFERROR(INDEX('Green_rooibos initial weight'!$C$5:$C$1749,MATCH(J280, 'Green_rooibos initial weight'!$A$5:$A$1749,0)),"")</f>
        <v>2.2770000000000001</v>
      </c>
      <c r="L280" s="225">
        <f>IFERROR(K280-(TBIcalc!$H$9+TBIcalc!$H$10),"")</f>
        <v>2.0272000000000001</v>
      </c>
      <c r="M280" s="391">
        <f>AVERAGE(Ashed_controlls!$K$12:$K$14)</f>
        <v>2.2816647271287041</v>
      </c>
      <c r="N280" s="225">
        <f t="shared" si="22"/>
        <v>1.9809460926516471</v>
      </c>
      <c r="O280" s="225">
        <f>IF(IFERROR(INDEX('Both teabags AfterWet'!$C$3:$C$841,MATCH(J280,'Both teabags AfterWet'!$A$3:$A$841,0)),"")="","",(IFERROR(INDEX('Both teabags AfterWet'!$C$3:$C$841,MATCH(J280,'Both teabags AfterWet'!$A$3:$A$841,0)),"")))</f>
        <v>1.38</v>
      </c>
      <c r="P280" s="225">
        <f>IFERROR(IF(O280&gt;0,O280-(TBIcalc!$H$9),""),"")</f>
        <v>1.2293999999999998</v>
      </c>
      <c r="Q280" s="225">
        <f>IFERROR(INDEX('Ashed teabags wet'!$K$2:$K$821,MATCH(J280,'Ashed teabags wet'!$A$2:$A$821,0)),"")</f>
        <v>6.2753036437244685</v>
      </c>
      <c r="R280" s="225">
        <f t="shared" si="26"/>
        <v>1.1522514170040512</v>
      </c>
      <c r="S280" s="226">
        <f>'WetLitterbags placem_collection'!E61</f>
        <v>42766</v>
      </c>
      <c r="T280" s="226">
        <f>IF('WetLitterbags placem_collection'!G61="","",'WetLitterbags placem_collection'!G61)</f>
        <v>42820</v>
      </c>
      <c r="U280" s="227">
        <f t="shared" si="23"/>
        <v>54</v>
      </c>
      <c r="V280" s="225">
        <f t="shared" si="24"/>
        <v>0.79780000000000029</v>
      </c>
      <c r="W280" s="225">
        <f t="shared" si="25"/>
        <v>0.82869467564759591</v>
      </c>
      <c r="X280">
        <f>IFERROR(INDEX(Rainfall_Wet!$O$2:$O$217,MATCH(B280, Rainfall_Wet!$A$2:$A$217,0)),"")</f>
        <v>214.262898705</v>
      </c>
      <c r="Y280" s="231">
        <v>25.96</v>
      </c>
      <c r="Z280" s="231">
        <v>6.9200000000000008</v>
      </c>
      <c r="AA280" s="231">
        <v>67.12</v>
      </c>
      <c r="AB280" s="232" t="s">
        <v>2670</v>
      </c>
      <c r="AC280" s="231">
        <v>1.7568260226712666</v>
      </c>
      <c r="AD280">
        <f>IF('WetLitterbags placem_collection'!AB61="","",'WetLitterbags placem_collection'!AB61)</f>
        <v>3.3</v>
      </c>
      <c r="AE280">
        <f>IF('WetLitterbags placem_collection'!Z61="","",'WetLitterbags placem_collection'!Z61)</f>
        <v>46</v>
      </c>
      <c r="AF280" s="246" t="str">
        <f>IF('WetLitterbags placem_collection'!AA61="","",'WetLitterbags placem_collection'!AA61)</f>
        <v>O</v>
      </c>
      <c r="AG280">
        <f>IF('WetLitterbags placem_collection'!AC61="","",'WetLitterbags placem_collection'!AC61)</f>
        <v>0</v>
      </c>
      <c r="AH280" s="24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placem_collection'!W61)),"YES","NO")</f>
        <v>NO</v>
      </c>
      <c r="AM280" t="str">
        <f>IF(ISNUMBER(SEARCH("H", 'WetLitterbags placem_collection'!W61)),"YES","NO")</f>
        <v>NO</v>
      </c>
      <c r="AN280" t="str">
        <f>IF(ISNUMBER(SEARCH("R", 'WetLitterbags placem_collection'!W61)),"YES","NO")</f>
        <v>NO</v>
      </c>
    </row>
    <row r="281" spans="1:40" ht="15" customHeight="1">
      <c r="A281" s="258" t="s">
        <v>2460</v>
      </c>
      <c r="B281" s="263">
        <f>'Dry_Litterbag Placem_Collection'!A62</f>
        <v>60</v>
      </c>
      <c r="C281" s="263" t="str">
        <f>'Dry_Litterbag Placem_Collection'!B62</f>
        <v>Makao</v>
      </c>
      <c r="D281" s="263" t="s">
        <v>2659</v>
      </c>
      <c r="E281" s="263" t="s">
        <v>20</v>
      </c>
      <c r="F281" s="263">
        <v>4</v>
      </c>
      <c r="G281" s="264" t="str">
        <f>'Dry_Litterbag Placem_Collection'!C62</f>
        <v>Dry_P4_T4</v>
      </c>
      <c r="H281" s="265" t="s">
        <v>2541</v>
      </c>
      <c r="I281" s="272" t="s">
        <v>298</v>
      </c>
      <c r="J281" s="223" t="str">
        <f>'WetLitterbags placem_collection'!M62</f>
        <v>R78</v>
      </c>
      <c r="K281" s="225">
        <f>IFERROR(INDEX('Green_rooibos initial weight'!$C$5:$C$1749,MATCH(J281, 'Green_rooibos initial weight'!$A$5:$A$1749,0)),"")</f>
        <v>2.2200000000000002</v>
      </c>
      <c r="L281" s="225">
        <f>IFERROR(K281-(TBIcalc!$H$9+TBIcalc!$H$10),"")</f>
        <v>1.9702000000000002</v>
      </c>
      <c r="M281" s="391">
        <f>AVERAGE(Ashed_controlls!$K$12:$K$14)</f>
        <v>2.2816647271287041</v>
      </c>
      <c r="N281" s="225">
        <f t="shared" si="22"/>
        <v>1.9252466415461105</v>
      </c>
      <c r="O281" s="225">
        <f>IF(IFERROR(INDEX('Both teabags AfterWet'!$C$3:$C$841,MATCH(J281,'Both teabags AfterWet'!$A$3:$A$841,0)),"")="","",(IFERROR(INDEX('Both teabags AfterWet'!$C$3:$C$841,MATCH(J281,'Both teabags AfterWet'!$A$3:$A$841,0)),"")))</f>
        <v>1.665</v>
      </c>
      <c r="P281" s="225">
        <f>IFERROR(IF(O281&gt;0,O281-(TBIcalc!$H$9),""),"")</f>
        <v>1.5144</v>
      </c>
      <c r="Q281" s="225">
        <f>IFERROR(INDEX('Ashed teabags wet'!$K$2:$K$821,MATCH(J281,'Ashed teabags wet'!$A$2:$A$821,0)),"")</f>
        <v>5.8219178082196645</v>
      </c>
      <c r="R281" s="225">
        <f t="shared" si="26"/>
        <v>1.4262328767123214</v>
      </c>
      <c r="S281" s="226">
        <f>'WetLitterbags placem_collection'!E62</f>
        <v>42766</v>
      </c>
      <c r="T281" s="226">
        <f>IF('WetLitterbags placem_collection'!G62="","",'WetLitterbags placem_collection'!G62)</f>
        <v>42820</v>
      </c>
      <c r="U281" s="227">
        <f t="shared" si="23"/>
        <v>54</v>
      </c>
      <c r="V281" s="225">
        <f t="shared" si="24"/>
        <v>0.4558000000000002</v>
      </c>
      <c r="W281" s="225">
        <f t="shared" si="25"/>
        <v>0.49901376483378912</v>
      </c>
      <c r="X281">
        <f>IFERROR(INDEX(Rainfall_Wet!$O$2:$O$217,MATCH(B281, Rainfall_Wet!$A$2:$A$217,0)),"")</f>
        <v>214.262898705</v>
      </c>
      <c r="Y281" s="231">
        <v>25.96</v>
      </c>
      <c r="Z281" s="231">
        <v>6.9200000000000008</v>
      </c>
      <c r="AA281" s="231">
        <v>67.12</v>
      </c>
      <c r="AB281" s="232" t="s">
        <v>2670</v>
      </c>
      <c r="AC281" s="231">
        <v>1.7568260226712666</v>
      </c>
      <c r="AD281">
        <f>IF('WetLitterbags placem_collection'!AB62="","",'WetLitterbags placem_collection'!AB62)</f>
        <v>2.4</v>
      </c>
      <c r="AE281">
        <f>IF('WetLitterbags placem_collection'!Z62="","",'WetLitterbags placem_collection'!Z62)</f>
        <v>10.199999999999999</v>
      </c>
      <c r="AF281" s="246" t="str">
        <f>IF('WetLitterbags placem_collection'!AA62="","",'WetLitterbags placem_collection'!AA62)</f>
        <v>O</v>
      </c>
      <c r="AG281">
        <f>IF('WetLitterbags placem_collection'!AC62="","",'WetLitterbags placem_collection'!AC62)</f>
        <v>0</v>
      </c>
      <c r="AH281" s="24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placem_collection'!W62)),"YES","NO")</f>
        <v>NO</v>
      </c>
      <c r="AM281" t="str">
        <f>IF(ISNUMBER(SEARCH("H", 'WetLitterbags placem_collection'!W62)),"YES","NO")</f>
        <v>NO</v>
      </c>
      <c r="AN281" t="str">
        <f>IF(ISNUMBER(SEARCH("R", 'WetLitterbags placem_collection'!W62)),"YES","NO")</f>
        <v>NO</v>
      </c>
    </row>
    <row r="282" spans="1:40" ht="15" customHeight="1">
      <c r="A282" s="258" t="s">
        <v>2460</v>
      </c>
      <c r="B282" s="263">
        <f>'Dry_Litterbag Placem_Collection'!A63</f>
        <v>61</v>
      </c>
      <c r="C282" s="263" t="str">
        <f>'Dry_Litterbag Placem_Collection'!B63</f>
        <v>Makao</v>
      </c>
      <c r="D282" s="263" t="s">
        <v>2659</v>
      </c>
      <c r="E282" s="263" t="s">
        <v>20</v>
      </c>
      <c r="F282" s="263">
        <v>4</v>
      </c>
      <c r="G282" s="264" t="str">
        <f>'Dry_Litterbag Placem_Collection'!C63</f>
        <v>Dry_P4_T5</v>
      </c>
      <c r="H282" s="265" t="s">
        <v>2541</v>
      </c>
      <c r="I282" s="272" t="s">
        <v>298</v>
      </c>
      <c r="J282" s="223" t="str">
        <f>'WetLitterbags placem_collection'!M63</f>
        <v>R42</v>
      </c>
      <c r="K282" s="225">
        <f>IFERROR(INDEX('Green_rooibos initial weight'!$C$5:$C$1749,MATCH(J282, 'Green_rooibos initial weight'!$A$5:$A$1749,0)),"")</f>
        <v>2.2389999999999999</v>
      </c>
      <c r="L282" s="225">
        <f>IFERROR(K282-(TBIcalc!$H$9+TBIcalc!$H$10),"")</f>
        <v>1.9891999999999999</v>
      </c>
      <c r="M282" s="391">
        <f>AVERAGE(Ashed_controlls!$K$12:$K$14)</f>
        <v>2.2816647271287041</v>
      </c>
      <c r="N282" s="225">
        <f t="shared" si="22"/>
        <v>1.9438131252479556</v>
      </c>
      <c r="O282" s="225">
        <f>IF(IFERROR(INDEX('Both teabags AfterWet'!$C$3:$C$841,MATCH(J282,'Both teabags AfterWet'!$A$3:$A$841,0)),"")="","",(IFERROR(INDEX('Both teabags AfterWet'!$C$3:$C$841,MATCH(J282,'Both teabags AfterWet'!$A$3:$A$841,0)),"")))</f>
        <v>0.182</v>
      </c>
      <c r="P282" s="225">
        <f>IFERROR(IF(O282&gt;0,O282-(TBIcalc!$H$9),""),"")</f>
        <v>3.1399999999999983E-2</v>
      </c>
      <c r="Q282" s="225" t="str">
        <f>IFERROR(INDEX('Ashed teabags wet'!$K$2:$K$821,MATCH(J282,'Ashed teabags wet'!$A$2:$A$821,0)),"")</f>
        <v/>
      </c>
      <c r="R282" s="225" t="str">
        <f t="shared" si="26"/>
        <v/>
      </c>
      <c r="S282" s="226">
        <f>'WetLitterbags placem_collection'!E63</f>
        <v>42766</v>
      </c>
      <c r="T282" s="226">
        <f>IF('WetLitterbags placem_collection'!G63="","",'WetLitterbags placem_collection'!G63)</f>
        <v>42820</v>
      </c>
      <c r="U282" s="227">
        <f t="shared" si="23"/>
        <v>54</v>
      </c>
      <c r="V282" s="225">
        <f t="shared" si="24"/>
        <v>1.9577999999999998</v>
      </c>
      <c r="W282" s="225" t="str">
        <f t="shared" si="25"/>
        <v/>
      </c>
      <c r="X282">
        <f>IFERROR(INDEX(Rainfall_Wet!$O$2:$O$217,MATCH(B282, Rainfall_Wet!$A$2:$A$217,0)),"")</f>
        <v>214.262898705</v>
      </c>
      <c r="Y282" s="231">
        <v>25.96</v>
      </c>
      <c r="Z282" s="231">
        <v>6.9200000000000008</v>
      </c>
      <c r="AA282" s="231">
        <v>67.12</v>
      </c>
      <c r="AB282" s="232" t="s">
        <v>2670</v>
      </c>
      <c r="AC282" s="231">
        <v>1.7568260226712666</v>
      </c>
      <c r="AD282">
        <f>IF('WetLitterbags placem_collection'!AB63="","",'WetLitterbags placem_collection'!AB63)</f>
        <v>5.6</v>
      </c>
      <c r="AE282">
        <f>IF('WetLitterbags placem_collection'!Z63="","",'WetLitterbags placem_collection'!Z63)</f>
        <v>34.200000000000003</v>
      </c>
      <c r="AF282" s="246" t="str">
        <f>IF('WetLitterbags placem_collection'!AA63="","",'WetLitterbags placem_collection'!AA63)</f>
        <v>O</v>
      </c>
      <c r="AG282">
        <f>IF('WetLitterbags placem_collection'!AC63="","",'WetLitterbags placem_collection'!AC63)</f>
        <v>0</v>
      </c>
      <c r="AH282" s="24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placem_collection'!W63)),"YES","NO")</f>
        <v>YES</v>
      </c>
      <c r="AM282" t="str">
        <f>IF(ISNUMBER(SEARCH("H", 'WetLitterbags placem_collection'!W63)),"YES","NO")</f>
        <v>YES</v>
      </c>
      <c r="AN282" t="str">
        <f>IF(ISNUMBER(SEARCH("R", 'WetLitterbags placem_collection'!W63)),"YES","NO")</f>
        <v>NO</v>
      </c>
    </row>
    <row r="283" spans="1:40" ht="15" customHeight="1">
      <c r="A283" s="258" t="s">
        <v>2460</v>
      </c>
      <c r="B283" s="263">
        <f>'Dry_Litterbag Placem_Collection'!A64</f>
        <v>62</v>
      </c>
      <c r="C283" s="263" t="str">
        <f>'Dry_Litterbag Placem_Collection'!B64</f>
        <v>Makao</v>
      </c>
      <c r="D283" s="263" t="s">
        <v>2659</v>
      </c>
      <c r="E283" s="263" t="s">
        <v>20</v>
      </c>
      <c r="F283" s="263">
        <v>4</v>
      </c>
      <c r="G283" s="264" t="str">
        <f>'Dry_Litterbag Placem_Collection'!C64</f>
        <v>Dry_P4_T6</v>
      </c>
      <c r="H283" s="265" t="s">
        <v>2541</v>
      </c>
      <c r="I283" s="272" t="s">
        <v>298</v>
      </c>
      <c r="J283" s="223" t="str">
        <f>'WetLitterbags placem_collection'!M64</f>
        <v>R119</v>
      </c>
      <c r="K283" s="225">
        <f>IFERROR(INDEX('Green_rooibos initial weight'!$C$5:$C$1749,MATCH(J283, 'Green_rooibos initial weight'!$A$5:$A$1749,0)),"")</f>
        <v>2.1589999999999998</v>
      </c>
      <c r="L283" s="225">
        <f>IFERROR(K283-(TBIcalc!$H$9+TBIcalc!$H$10),"")</f>
        <v>1.9091999999999998</v>
      </c>
      <c r="M283" s="391">
        <f>AVERAGE(Ashed_controlls!$K$12:$K$14)</f>
        <v>2.2816647271287041</v>
      </c>
      <c r="N283" s="225">
        <f t="shared" si="22"/>
        <v>1.8656384570296585</v>
      </c>
      <c r="O283" s="225">
        <f>IF(IFERROR(INDEX('Both teabags AfterWet'!$C$3:$C$841,MATCH(J283,'Both teabags AfterWet'!$A$3:$A$841,0)),"")="","",(IFERROR(INDEX('Both teabags AfterWet'!$C$3:$C$841,MATCH(J283,'Both teabags AfterWet'!$A$3:$A$841,0)),"")))</f>
        <v>1.6374</v>
      </c>
      <c r="P283" s="225">
        <f>IFERROR(IF(O283&gt;0,O283-(TBIcalc!$H$9),""),"")</f>
        <v>1.4867999999999999</v>
      </c>
      <c r="Q283" s="225">
        <f>IFERROR(INDEX('Ashed teabags wet'!$K$2:$K$821,MATCH(J283,'Ashed teabags wet'!$A$2:$A$821,0)),"")</f>
        <v>8.4343434343433188</v>
      </c>
      <c r="R283" s="225">
        <f t="shared" si="26"/>
        <v>1.3613981818181835</v>
      </c>
      <c r="S283" s="226">
        <f>'WetLitterbags placem_collection'!E64</f>
        <v>42766</v>
      </c>
      <c r="T283" s="226">
        <f>IF('WetLitterbags placem_collection'!G64="","",'WetLitterbags placem_collection'!G64)</f>
        <v>42820</v>
      </c>
      <c r="U283" s="227">
        <f t="shared" si="23"/>
        <v>54</v>
      </c>
      <c r="V283" s="225">
        <f t="shared" si="24"/>
        <v>0.42239999999999989</v>
      </c>
      <c r="W283" s="225">
        <f t="shared" si="25"/>
        <v>0.50424027521147496</v>
      </c>
      <c r="X283">
        <f>IFERROR(INDEX(Rainfall_Wet!$O$2:$O$217,MATCH(B283, Rainfall_Wet!$A$2:$A$217,0)),"")</f>
        <v>214.262898705</v>
      </c>
      <c r="Y283" s="231">
        <v>25.96</v>
      </c>
      <c r="Z283" s="231">
        <v>6.9200000000000008</v>
      </c>
      <c r="AA283" s="231">
        <v>67.12</v>
      </c>
      <c r="AB283" s="232" t="s">
        <v>2670</v>
      </c>
      <c r="AC283" s="231">
        <v>1.7568260226712666</v>
      </c>
      <c r="AD283">
        <f>IF('WetLitterbags placem_collection'!AB64="","",'WetLitterbags placem_collection'!AB64)</f>
        <v>4.2</v>
      </c>
      <c r="AE283">
        <f>IF('WetLitterbags placem_collection'!Z64="","",'WetLitterbags placem_collection'!Z64)</f>
        <v>40.4</v>
      </c>
      <c r="AF283" s="246" t="str">
        <f>IF('WetLitterbags placem_collection'!AA64="","",'WetLitterbags placem_collection'!AA64)</f>
        <v>O</v>
      </c>
      <c r="AG283">
        <f>IF('WetLitterbags placem_collection'!AC64="","",'WetLitterbags placem_collection'!AC64)</f>
        <v>0</v>
      </c>
      <c r="AH283" s="24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placem_collection'!W64)),"YES","NO")</f>
        <v>NO</v>
      </c>
      <c r="AM283" t="str">
        <f>IF(ISNUMBER(SEARCH("H", 'WetLitterbags placem_collection'!W64)),"YES","NO")</f>
        <v>YES</v>
      </c>
      <c r="AN283" t="str">
        <f>IF(ISNUMBER(SEARCH("R", 'WetLitterbags placem_collection'!W64)),"YES","NO")</f>
        <v>NO</v>
      </c>
    </row>
    <row r="284" spans="1:40" ht="15" customHeight="1">
      <c r="A284" s="258" t="s">
        <v>2460</v>
      </c>
      <c r="B284" s="263">
        <f>'Dry_Litterbag Placem_Collection'!A65</f>
        <v>63</v>
      </c>
      <c r="C284" s="263" t="str">
        <f>'Dry_Litterbag Placem_Collection'!B65</f>
        <v>Makao</v>
      </c>
      <c r="D284" s="263" t="s">
        <v>2659</v>
      </c>
      <c r="E284" s="263" t="s">
        <v>20</v>
      </c>
      <c r="F284" s="263">
        <v>4</v>
      </c>
      <c r="G284" s="264" t="str">
        <f>'Dry_Litterbag Placem_Collection'!C65</f>
        <v>Dry_P4_T7</v>
      </c>
      <c r="H284" s="265" t="s">
        <v>2541</v>
      </c>
      <c r="I284" s="272" t="s">
        <v>298</v>
      </c>
      <c r="J284" s="223" t="str">
        <f>'WetLitterbags placem_collection'!M65</f>
        <v>R185</v>
      </c>
      <c r="K284" s="225">
        <f>IFERROR(INDEX('Green_rooibos initial weight'!$C$5:$C$1749,MATCH(J284, 'Green_rooibos initial weight'!$A$5:$A$1749,0)),"")</f>
        <v>2.2909999999999999</v>
      </c>
      <c r="L284" s="225">
        <f>IFERROR(K284-(TBIcalc!$H$9+TBIcalc!$H$10),"")</f>
        <v>2.0411999999999999</v>
      </c>
      <c r="M284" s="391">
        <f>AVERAGE(Ashed_controlls!$K$12:$K$14)</f>
        <v>2.2816647271287041</v>
      </c>
      <c r="N284" s="225">
        <f t="shared" si="22"/>
        <v>1.9946266595898487</v>
      </c>
      <c r="O284" s="225">
        <f>IF(IFERROR(INDEX('Both teabags AfterWet'!$C$3:$C$841,MATCH(J284,'Both teabags AfterWet'!$A$3:$A$841,0)),"")="","",(IFERROR(INDEX('Both teabags AfterWet'!$C$3:$C$841,MATCH(J284,'Both teabags AfterWet'!$A$3:$A$841,0)),"")))</f>
        <v>1.6850000000000001</v>
      </c>
      <c r="P284" s="225">
        <f>IFERROR(IF(O284&gt;0,O284-(TBIcalc!$H$9),""),"")</f>
        <v>1.5344</v>
      </c>
      <c r="Q284" s="225">
        <f>IFERROR(INDEX('Ashed teabags wet'!$K$2:$K$821,MATCH(J284,'Ashed teabags wet'!$A$2:$A$821,0)),"")</f>
        <v>8.6122047244091302</v>
      </c>
      <c r="R284" s="225">
        <f t="shared" si="26"/>
        <v>1.4022543307086663</v>
      </c>
      <c r="S284" s="226">
        <f>'WetLitterbags placem_collection'!E65</f>
        <v>42766</v>
      </c>
      <c r="T284" s="226">
        <f>IF('WetLitterbags placem_collection'!G65="","",'WetLitterbags placem_collection'!G65)</f>
        <v>42820</v>
      </c>
      <c r="U284" s="227">
        <f t="shared" si="23"/>
        <v>54</v>
      </c>
      <c r="V284" s="225">
        <f t="shared" si="24"/>
        <v>0.50679999999999992</v>
      </c>
      <c r="W284" s="225">
        <f t="shared" si="25"/>
        <v>0.59237232888118241</v>
      </c>
      <c r="X284">
        <f>IFERROR(INDEX(Rainfall_Wet!$O$2:$O$217,MATCH(B284, Rainfall_Wet!$A$2:$A$217,0)),"")</f>
        <v>214.262898705</v>
      </c>
      <c r="Y284" s="231">
        <v>25.96</v>
      </c>
      <c r="Z284" s="231">
        <v>6.9200000000000008</v>
      </c>
      <c r="AA284" s="231">
        <v>67.12</v>
      </c>
      <c r="AB284" s="232" t="s">
        <v>2670</v>
      </c>
      <c r="AC284" s="231">
        <v>1.7568260226712666</v>
      </c>
      <c r="AD284">
        <f>IF('WetLitterbags placem_collection'!AB65="","",'WetLitterbags placem_collection'!AB65)</f>
        <v>4.9000000000000004</v>
      </c>
      <c r="AE284">
        <f>IF('WetLitterbags placem_collection'!Z65="","",'WetLitterbags placem_collection'!Z65)</f>
        <v>45</v>
      </c>
      <c r="AF284" s="246" t="str">
        <f>IF('WetLitterbags placem_collection'!AA65="","",'WetLitterbags placem_collection'!AA65)</f>
        <v>O</v>
      </c>
      <c r="AG284">
        <f>IF('WetLitterbags placem_collection'!AC65="","",'WetLitterbags placem_collection'!AC65)</f>
        <v>0</v>
      </c>
      <c r="AH284" s="24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placem_collection'!W65)),"YES","NO")</f>
        <v>NO</v>
      </c>
      <c r="AM284" t="str">
        <f>IF(ISNUMBER(SEARCH("H", 'WetLitterbags placem_collection'!W65)),"YES","NO")</f>
        <v>NO</v>
      </c>
      <c r="AN284" t="str">
        <f>IF(ISNUMBER(SEARCH("R", 'WetLitterbags placem_collection'!W65)),"YES","NO")</f>
        <v>YES</v>
      </c>
    </row>
    <row r="285" spans="1:40" ht="15" customHeight="1">
      <c r="A285" s="258" t="s">
        <v>2460</v>
      </c>
      <c r="B285" s="263">
        <f>'Dry_Litterbag Placem_Collection'!A66</f>
        <v>64</v>
      </c>
      <c r="C285" s="263" t="str">
        <f>'Dry_Litterbag Placem_Collection'!B66</f>
        <v>Makao</v>
      </c>
      <c r="D285" s="263" t="s">
        <v>2659</v>
      </c>
      <c r="E285" s="263" t="s">
        <v>20</v>
      </c>
      <c r="F285" s="263">
        <v>4</v>
      </c>
      <c r="G285" s="264" t="str">
        <f>'Dry_Litterbag Placem_Collection'!C66</f>
        <v>Dry_P4_T8</v>
      </c>
      <c r="H285" s="265" t="s">
        <v>2541</v>
      </c>
      <c r="I285" s="272" t="s">
        <v>298</v>
      </c>
      <c r="J285" s="223" t="str">
        <f>'WetLitterbags placem_collection'!M66</f>
        <v>R159</v>
      </c>
      <c r="K285" s="225">
        <f>IFERROR(INDEX('Green_rooibos initial weight'!$C$5:$C$1749,MATCH(J285, 'Green_rooibos initial weight'!$A$5:$A$1749,0)),"")</f>
        <v>2.2930000000000001</v>
      </c>
      <c r="L285" s="225">
        <f>IFERROR(K285-(TBIcalc!$H$9+TBIcalc!$H$10),"")</f>
        <v>2.0432000000000001</v>
      </c>
      <c r="M285" s="391">
        <f>AVERAGE(Ashed_controlls!$K$12:$K$14)</f>
        <v>2.2816647271287041</v>
      </c>
      <c r="N285" s="225">
        <f t="shared" si="22"/>
        <v>1.9965810262953065</v>
      </c>
      <c r="O285" s="225">
        <f>IF(IFERROR(INDEX('Both teabags AfterWet'!$C$3:$C$841,MATCH(J285,'Both teabags AfterWet'!$A$3:$A$841,0)),"")="","",(IFERROR(INDEX('Both teabags AfterWet'!$C$3:$C$841,MATCH(J285,'Both teabags AfterWet'!$A$3:$A$841,0)),"")))</f>
        <v>1.3160000000000001</v>
      </c>
      <c r="P285" s="225">
        <f>IFERROR(IF(O285&gt;0,O285-(TBIcalc!$H$9),""),"")</f>
        <v>1.1654</v>
      </c>
      <c r="Q285" s="225">
        <f>IFERROR(INDEX('Ashed teabags wet'!$K$2:$K$821,MATCH(J285,'Ashed teabags wet'!$A$2:$A$821,0)),"")</f>
        <v>82.454411039920885</v>
      </c>
      <c r="R285" s="225">
        <f t="shared" si="26"/>
        <v>0.20447629374076204</v>
      </c>
      <c r="S285" s="226">
        <f>'WetLitterbags placem_collection'!E66</f>
        <v>42766</v>
      </c>
      <c r="T285" s="226">
        <f>IF('WetLitterbags placem_collection'!G66="","",'WetLitterbags placem_collection'!G66)</f>
        <v>42820</v>
      </c>
      <c r="U285" s="227">
        <f t="shared" si="23"/>
        <v>54</v>
      </c>
      <c r="V285" s="225">
        <f t="shared" si="24"/>
        <v>0.87780000000000014</v>
      </c>
      <c r="W285" s="225">
        <f t="shared" si="25"/>
        <v>1.7921047325545445</v>
      </c>
      <c r="X285">
        <f>IFERROR(INDEX(Rainfall_Wet!$O$2:$O$217,MATCH(B285, Rainfall_Wet!$A$2:$A$217,0)),"")</f>
        <v>214.262898705</v>
      </c>
      <c r="Y285" s="231">
        <v>25.96</v>
      </c>
      <c r="Z285" s="231">
        <v>6.9200000000000008</v>
      </c>
      <c r="AA285" s="231">
        <v>67.12</v>
      </c>
      <c r="AB285" s="232" t="s">
        <v>2670</v>
      </c>
      <c r="AC285" s="231">
        <v>1.7568260226712666</v>
      </c>
      <c r="AD285">
        <f>IF('WetLitterbags placem_collection'!AB66="","",'WetLitterbags placem_collection'!AB66)</f>
        <v>3</v>
      </c>
      <c r="AE285">
        <f>IF('WetLitterbags placem_collection'!Z66="","",'WetLitterbags placem_collection'!Z66)</f>
        <v>22.8</v>
      </c>
      <c r="AF285" s="246" t="str">
        <f>IF('WetLitterbags placem_collection'!AA66="","",'WetLitterbags placem_collection'!AA66)</f>
        <v>O</v>
      </c>
      <c r="AG285">
        <f>IF('WetLitterbags placem_collection'!AC66="","",'WetLitterbags placem_collection'!AC66)</f>
        <v>1</v>
      </c>
      <c r="AH285" s="24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placem_collection'!W66)),"YES","NO")</f>
        <v>YES</v>
      </c>
      <c r="AM285" t="str">
        <f>IF(ISNUMBER(SEARCH("H", 'WetLitterbags placem_collection'!W66)),"YES","NO")</f>
        <v>YES</v>
      </c>
      <c r="AN285" t="str">
        <f>IF(ISNUMBER(SEARCH("R", 'WetLitterbags placem_collection'!W66)),"YES","NO")</f>
        <v>NO</v>
      </c>
    </row>
    <row r="286" spans="1:40" ht="15" customHeight="1">
      <c r="A286" s="258" t="s">
        <v>2460</v>
      </c>
      <c r="B286" s="263">
        <f>'Dry_Litterbag Placem_Collection'!A67</f>
        <v>65</v>
      </c>
      <c r="C286" s="263" t="str">
        <f>'Dry_Litterbag Placem_Collection'!B67</f>
        <v>Maswa</v>
      </c>
      <c r="D286" s="263" t="s">
        <v>2659</v>
      </c>
      <c r="E286" s="263" t="s">
        <v>2661</v>
      </c>
      <c r="F286" s="263">
        <v>1</v>
      </c>
      <c r="G286" s="264" t="str">
        <f>'Dry_Litterbag Placem_Collection'!C67</f>
        <v>Dry_W1_T1</v>
      </c>
      <c r="H286" s="265" t="s">
        <v>2541</v>
      </c>
      <c r="I286" s="272" t="s">
        <v>298</v>
      </c>
      <c r="J286" s="223" t="str">
        <f>'WetLitterbags placem_collection'!M67</f>
        <v>R525</v>
      </c>
      <c r="K286" s="225">
        <f>IFERROR(INDEX('Green_rooibos initial weight'!$C$5:$C$1749,MATCH(J286, 'Green_rooibos initial weight'!$A$5:$A$1749,0)),"")</f>
        <v>2.1469999999999998</v>
      </c>
      <c r="L286" s="225">
        <f>IFERROR(K286-(TBIcalc!$H$9+TBIcalc!$H$10),"")</f>
        <v>1.8971999999999998</v>
      </c>
      <c r="M286" s="391">
        <f>AVERAGE(Ashed_controlls!$K$12:$K$14)</f>
        <v>2.2816647271287041</v>
      </c>
      <c r="N286" s="225">
        <f t="shared" si="22"/>
        <v>1.853912256796914</v>
      </c>
      <c r="O286" s="225">
        <f>IF(IFERROR(INDEX('Both teabags AfterWet'!$C$3:$C$841,MATCH(J286,'Both teabags AfterWet'!$A$3:$A$841,0)),"")="","",(IFERROR(INDEX('Both teabags AfterWet'!$C$3:$C$841,MATCH(J286,'Both teabags AfterWet'!$A$3:$A$841,0)),"")))</f>
        <v>1.704</v>
      </c>
      <c r="P286" s="225">
        <f>IFERROR(IF(O286&gt;0,O286-(TBIcalc!$H$9),""),"")</f>
        <v>1.5533999999999999</v>
      </c>
      <c r="Q286" s="225">
        <f>IFERROR(INDEX('Ashed teabags wet'!$K$2:$K$821,MATCH(J286,'Ashed teabags wet'!$A$2:$A$821,0)),"")</f>
        <v>3.9941548952748618</v>
      </c>
      <c r="R286" s="225">
        <f t="shared" si="26"/>
        <v>1.4913547978568003</v>
      </c>
      <c r="S286" s="226">
        <f>'WetLitterbags placem_collection'!E67</f>
        <v>42767</v>
      </c>
      <c r="T286" s="226">
        <f>IF('WetLitterbags placem_collection'!G67="","",'WetLitterbags placem_collection'!G67)</f>
        <v>42818</v>
      </c>
      <c r="U286" s="227">
        <f t="shared" si="23"/>
        <v>51</v>
      </c>
      <c r="V286" s="225">
        <f t="shared" si="24"/>
        <v>0.34379999999999988</v>
      </c>
      <c r="W286" s="225">
        <f t="shared" si="25"/>
        <v>0.36255745894011371</v>
      </c>
      <c r="X286">
        <f>IFERROR(INDEX(Rainfall_Wet!$O$2:$O$217,MATCH(B286, Rainfall_Wet!$A$2:$A$217,0)),"")</f>
        <v>185.630065823</v>
      </c>
      <c r="Y286" s="231">
        <v>47.96</v>
      </c>
      <c r="Z286" s="231">
        <v>22.919999999999995</v>
      </c>
      <c r="AA286" s="231">
        <v>29.120000000000012</v>
      </c>
      <c r="AB286" s="232" t="s">
        <v>2673</v>
      </c>
      <c r="AC286" s="231">
        <v>2.8831936914736325</v>
      </c>
      <c r="AD286">
        <f>IF('WetLitterbags placem_collection'!AB67="","",'WetLitterbags placem_collection'!AB67)</f>
        <v>13.8</v>
      </c>
      <c r="AE286">
        <f>IF('WetLitterbags placem_collection'!Z67="","",'WetLitterbags placem_collection'!Z67)</f>
        <v>13.8</v>
      </c>
      <c r="AF286" s="246" t="str">
        <f>IF('WetLitterbags placem_collection'!AA67="","",'WetLitterbags placem_collection'!AA67)</f>
        <v>O</v>
      </c>
      <c r="AG286">
        <f>IF('WetLitterbags placem_collection'!AC67="","",'WetLitterbags placem_collection'!AC67)</f>
        <v>1</v>
      </c>
      <c r="AH286" s="24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placem_collection'!W67)),"YES","NO")</f>
        <v>NO</v>
      </c>
      <c r="AM286" t="str">
        <f>IF(ISNUMBER(SEARCH("H", 'WetLitterbags placem_collection'!W67)),"YES","NO")</f>
        <v>NO</v>
      </c>
      <c r="AN286" t="str">
        <f>IF(ISNUMBER(SEARCH("R", 'WetLitterbags placem_collection'!W67)),"YES","NO")</f>
        <v>NO</v>
      </c>
    </row>
    <row r="287" spans="1:40" ht="15" customHeight="1">
      <c r="A287" s="258" t="s">
        <v>2460</v>
      </c>
      <c r="B287" s="263">
        <f>'Dry_Litterbag Placem_Collection'!A68</f>
        <v>66</v>
      </c>
      <c r="C287" s="263" t="str">
        <f>'Dry_Litterbag Placem_Collection'!B68</f>
        <v>Maswa</v>
      </c>
      <c r="D287" s="263" t="s">
        <v>2659</v>
      </c>
      <c r="E287" s="263" t="s">
        <v>2661</v>
      </c>
      <c r="F287" s="263">
        <v>1</v>
      </c>
      <c r="G287" s="264" t="str">
        <f>'Dry_Litterbag Placem_Collection'!C68</f>
        <v>Dry_W1_T2</v>
      </c>
      <c r="H287" s="265" t="s">
        <v>2541</v>
      </c>
      <c r="I287" s="272" t="s">
        <v>298</v>
      </c>
      <c r="J287" s="223" t="str">
        <f>'WetLitterbags placem_collection'!M68</f>
        <v>R150</v>
      </c>
      <c r="K287" s="225">
        <f>IFERROR(INDEX('Green_rooibos initial weight'!$C$5:$C$1749,MATCH(J287, 'Green_rooibos initial weight'!$A$5:$A$1749,0)),"")</f>
        <v>2.1469999999999998</v>
      </c>
      <c r="L287" s="225">
        <f>IFERROR(K287-(TBIcalc!$H$9+TBIcalc!$H$10),"")</f>
        <v>1.8971999999999998</v>
      </c>
      <c r="M287" s="391">
        <f>AVERAGE(Ashed_controlls!$K$12:$K$14)</f>
        <v>2.2816647271287041</v>
      </c>
      <c r="N287" s="225">
        <f t="shared" si="22"/>
        <v>1.853912256796914</v>
      </c>
      <c r="O287" s="225">
        <f>IF(IFERROR(INDEX('Both teabags AfterWet'!$C$3:$C$841,MATCH(J287,'Both teabags AfterWet'!$A$3:$A$841,0)),"")="","",(IFERROR(INDEX('Both teabags AfterWet'!$C$3:$C$841,MATCH(J287,'Both teabags AfterWet'!$A$3:$A$841,0)),"")))</f>
        <v>0.21360000000000001</v>
      </c>
      <c r="P287" s="225">
        <f>IFERROR(IF(O287&gt;0,O287-(TBIcalc!$H$9),""),"")</f>
        <v>6.3E-2</v>
      </c>
      <c r="Q287" s="225" t="str">
        <f>IFERROR(INDEX('Ashed teabags wet'!$K$2:$K$821,MATCH(J287,'Ashed teabags wet'!$A$2:$A$821,0)),"")</f>
        <v/>
      </c>
      <c r="R287" s="225" t="str">
        <f t="shared" si="26"/>
        <v/>
      </c>
      <c r="S287" s="226">
        <f>'WetLitterbags placem_collection'!E68</f>
        <v>42767</v>
      </c>
      <c r="T287" s="226">
        <f>IF('WetLitterbags placem_collection'!G68="","",'WetLitterbags placem_collection'!G68)</f>
        <v>42818</v>
      </c>
      <c r="U287" s="227">
        <f t="shared" si="23"/>
        <v>51</v>
      </c>
      <c r="V287" s="225">
        <f t="shared" si="24"/>
        <v>1.8341999999999998</v>
      </c>
      <c r="W287" s="225" t="str">
        <f t="shared" si="25"/>
        <v/>
      </c>
      <c r="X287">
        <f>IFERROR(INDEX(Rainfall_Wet!$O$2:$O$217,MATCH(B287, Rainfall_Wet!$A$2:$A$217,0)),"")</f>
        <v>185.630065823</v>
      </c>
      <c r="Y287" s="231">
        <v>47.96</v>
      </c>
      <c r="Z287" s="231">
        <v>22.919999999999995</v>
      </c>
      <c r="AA287" s="231">
        <v>29.120000000000012</v>
      </c>
      <c r="AB287" s="232" t="s">
        <v>2673</v>
      </c>
      <c r="AC287" s="231">
        <v>3.8831936914736298</v>
      </c>
      <c r="AD287">
        <f>IF('WetLitterbags placem_collection'!AB68="","",'WetLitterbags placem_collection'!AB68)</f>
        <v>8</v>
      </c>
      <c r="AE287">
        <f>IF('WetLitterbags placem_collection'!Z68="","",'WetLitterbags placem_collection'!Z68)</f>
        <v>19.8</v>
      </c>
      <c r="AF287" s="246" t="str">
        <f>IF('WetLitterbags placem_collection'!AA68="","",'WetLitterbags placem_collection'!AA68)</f>
        <v>O</v>
      </c>
      <c r="AG287">
        <f>IF('WetLitterbags placem_collection'!AC68="","",'WetLitterbags placem_collection'!AC68)</f>
        <v>1</v>
      </c>
      <c r="AH287" s="24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placem_collection'!W68)),"YES","NO")</f>
        <v>NO</v>
      </c>
      <c r="AM287" t="str">
        <f>IF(ISNUMBER(SEARCH("H", 'WetLitterbags placem_collection'!W68)),"YES","NO")</f>
        <v>YES</v>
      </c>
      <c r="AN287" t="str">
        <f>IF(ISNUMBER(SEARCH("R", 'WetLitterbags placem_collection'!W68)),"YES","NO")</f>
        <v>NO</v>
      </c>
    </row>
    <row r="288" spans="1:40" ht="15" customHeight="1">
      <c r="A288" s="258" t="s">
        <v>2460</v>
      </c>
      <c r="B288" s="263">
        <f>'Dry_Litterbag Placem_Collection'!A69</f>
        <v>67</v>
      </c>
      <c r="C288" s="263" t="str">
        <f>'Dry_Litterbag Placem_Collection'!B69</f>
        <v>Maswa</v>
      </c>
      <c r="D288" s="263" t="s">
        <v>2659</v>
      </c>
      <c r="E288" s="263" t="s">
        <v>2661</v>
      </c>
      <c r="F288" s="263">
        <v>1</v>
      </c>
      <c r="G288" s="264" t="str">
        <f>'Dry_Litterbag Placem_Collection'!C69</f>
        <v>Dry_W1_T3</v>
      </c>
      <c r="H288" s="265" t="s">
        <v>2541</v>
      </c>
      <c r="I288" s="272" t="s">
        <v>298</v>
      </c>
      <c r="J288" s="223" t="str">
        <f>'WetLitterbags placem_collection'!M69</f>
        <v>R165</v>
      </c>
      <c r="K288" s="225">
        <f>IFERROR(INDEX('Green_rooibos initial weight'!$C$5:$C$1749,MATCH(J288, 'Green_rooibos initial weight'!$A$5:$A$1749,0)),"")</f>
        <v>2.169</v>
      </c>
      <c r="L288" s="225">
        <f>IFERROR(K288-(TBIcalc!$H$9+TBIcalc!$H$10),"")</f>
        <v>1.9192</v>
      </c>
      <c r="M288" s="391">
        <f>AVERAGE(Ashed_controlls!$K$12:$K$14)</f>
        <v>2.2816647271287041</v>
      </c>
      <c r="N288" s="225">
        <f t="shared" si="22"/>
        <v>1.8754102905569459</v>
      </c>
      <c r="O288" s="225">
        <f>IF(IFERROR(INDEX('Both teabags AfterWet'!$C$3:$C$841,MATCH(J288,'Both teabags AfterWet'!$A$3:$A$841,0)),"")="","",(IFERROR(INDEX('Both teabags AfterWet'!$C$3:$C$841,MATCH(J288,'Both teabags AfterWet'!$A$3:$A$841,0)),"")))</f>
        <v>1.4942</v>
      </c>
      <c r="P288" s="225">
        <f>IFERROR(IF(O288&gt;0,O288-(TBIcalc!$H$9),""),"")</f>
        <v>1.3435999999999999</v>
      </c>
      <c r="Q288" s="225">
        <f>IFERROR(INDEX('Ashed teabags wet'!$K$2:$K$821,MATCH(J288,'Ashed teabags wet'!$A$2:$A$821,0)),"")</f>
        <v>4.9107142857138548</v>
      </c>
      <c r="R288" s="225">
        <f t="shared" si="26"/>
        <v>1.2776196428571485</v>
      </c>
      <c r="S288" s="226">
        <f>'WetLitterbags placem_collection'!E69</f>
        <v>42767</v>
      </c>
      <c r="T288" s="226">
        <f>IF('WetLitterbags placem_collection'!G69="","",'WetLitterbags placem_collection'!G69)</f>
        <v>42818</v>
      </c>
      <c r="U288" s="227">
        <f t="shared" si="23"/>
        <v>51</v>
      </c>
      <c r="V288" s="225">
        <f t="shared" si="24"/>
        <v>0.57560000000000011</v>
      </c>
      <c r="W288" s="225">
        <f t="shared" si="25"/>
        <v>0.5977906476997974</v>
      </c>
      <c r="X288">
        <f>IFERROR(INDEX(Rainfall_Wet!$O$2:$O$217,MATCH(B288, Rainfall_Wet!$A$2:$A$217,0)),"")</f>
        <v>185.630065823</v>
      </c>
      <c r="Y288" s="231">
        <v>47.96</v>
      </c>
      <c r="Z288" s="231">
        <v>22.919999999999995</v>
      </c>
      <c r="AA288" s="231">
        <v>29.120000000000012</v>
      </c>
      <c r="AB288" s="232" t="s">
        <v>2673</v>
      </c>
      <c r="AC288" s="231">
        <v>4.8831936914736298</v>
      </c>
      <c r="AD288">
        <f>IF('WetLitterbags placem_collection'!AB69="","",'WetLitterbags placem_collection'!AB69)</f>
        <v>5.5</v>
      </c>
      <c r="AE288">
        <f>IF('WetLitterbags placem_collection'!Z69="","",'WetLitterbags placem_collection'!Z69)</f>
        <v>5.5</v>
      </c>
      <c r="AF288" s="246" t="str">
        <f>IF('WetLitterbags placem_collection'!AA69="","",'WetLitterbags placem_collection'!AA69)</f>
        <v>O</v>
      </c>
      <c r="AG288">
        <f>IF('WetLitterbags placem_collection'!AC69="","",'WetLitterbags placem_collection'!AC69)</f>
        <v>1</v>
      </c>
      <c r="AH288" s="24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placem_collection'!W69)),"YES","NO")</f>
        <v>NO</v>
      </c>
      <c r="AM288" t="str">
        <f>IF(ISNUMBER(SEARCH("H", 'WetLitterbags placem_collection'!W69)),"YES","NO")</f>
        <v>NO</v>
      </c>
      <c r="AN288" t="str">
        <f>IF(ISNUMBER(SEARCH("R", 'WetLitterbags placem_collection'!W69)),"YES","NO")</f>
        <v>NO</v>
      </c>
    </row>
    <row r="289" spans="1:40" ht="15" customHeight="1">
      <c r="A289" s="258" t="s">
        <v>2460</v>
      </c>
      <c r="B289" s="263">
        <f>'Dry_Litterbag Placem_Collection'!A70</f>
        <v>68</v>
      </c>
      <c r="C289" s="263" t="str">
        <f>'Dry_Litterbag Placem_Collection'!B70</f>
        <v>Maswa</v>
      </c>
      <c r="D289" s="263" t="s">
        <v>2659</v>
      </c>
      <c r="E289" s="263" t="s">
        <v>2661</v>
      </c>
      <c r="F289" s="263">
        <v>1</v>
      </c>
      <c r="G289" s="264" t="str">
        <f>'Dry_Litterbag Placem_Collection'!C70</f>
        <v>Dry_W1_T4</v>
      </c>
      <c r="H289" s="265" t="s">
        <v>2541</v>
      </c>
      <c r="I289" s="272" t="s">
        <v>298</v>
      </c>
      <c r="J289" s="223" t="str">
        <f>'WetLitterbags placem_collection'!M70</f>
        <v>R129</v>
      </c>
      <c r="K289" s="225">
        <f>IFERROR(INDEX('Green_rooibos initial weight'!$C$5:$C$1749,MATCH(J289, 'Green_rooibos initial weight'!$A$5:$A$1749,0)),"")</f>
        <v>2.2829999999999999</v>
      </c>
      <c r="L289" s="225">
        <f>IFERROR(K289-(TBIcalc!$H$9+TBIcalc!$H$10),"")</f>
        <v>2.0331999999999999</v>
      </c>
      <c r="M289" s="391">
        <f>AVERAGE(Ashed_controlls!$K$12:$K$14)</f>
        <v>2.2816647271287041</v>
      </c>
      <c r="N289" s="225">
        <f t="shared" si="22"/>
        <v>1.9868091927680191</v>
      </c>
      <c r="O289" s="225">
        <f>IF(IFERROR(INDEX('Both teabags AfterWet'!$C$3:$C$841,MATCH(J289,'Both teabags AfterWet'!$A$3:$A$841,0)),"")="","",(IFERROR(INDEX('Both teabags AfterWet'!$C$3:$C$841,MATCH(J289,'Both teabags AfterWet'!$A$3:$A$841,0)),"")))</f>
        <v>1.885</v>
      </c>
      <c r="P289" s="225">
        <f>IFERROR(IF(O289&gt;0,O289-(TBIcalc!$H$9),""),"")</f>
        <v>1.7343999999999999</v>
      </c>
      <c r="Q289" s="225">
        <f>IFERROR(INDEX('Ashed teabags wet'!$K$2:$K$821,MATCH(J289,'Ashed teabags wet'!$A$2:$A$821,0)),"")</f>
        <v>14.637752587481726</v>
      </c>
      <c r="R289" s="225">
        <f t="shared" si="26"/>
        <v>1.4805228191227169</v>
      </c>
      <c r="S289" s="226">
        <f>'WetLitterbags placem_collection'!E70</f>
        <v>42767</v>
      </c>
      <c r="T289" s="226">
        <f>IF('WetLitterbags placem_collection'!G70="","",'WetLitterbags placem_collection'!G70)</f>
        <v>42818</v>
      </c>
      <c r="U289" s="227">
        <f t="shared" si="23"/>
        <v>51</v>
      </c>
      <c r="V289" s="225">
        <f t="shared" si="24"/>
        <v>0.29879999999999995</v>
      </c>
      <c r="W289" s="225">
        <f t="shared" si="25"/>
        <v>0.50628637364530227</v>
      </c>
      <c r="X289">
        <f>IFERROR(INDEX(Rainfall_Wet!$O$2:$O$217,MATCH(B289, Rainfall_Wet!$A$2:$A$217,0)),"")</f>
        <v>185.630065823</v>
      </c>
      <c r="Y289" s="231">
        <v>47.96</v>
      </c>
      <c r="Z289" s="231">
        <v>22.919999999999995</v>
      </c>
      <c r="AA289" s="231">
        <v>29.120000000000012</v>
      </c>
      <c r="AB289" s="232" t="s">
        <v>2673</v>
      </c>
      <c r="AC289" s="231">
        <v>5.8831936914736298</v>
      </c>
      <c r="AD289">
        <f>IF('WetLitterbags placem_collection'!AB70="","",'WetLitterbags placem_collection'!AB70)</f>
        <v>9.6999999999999993</v>
      </c>
      <c r="AE289">
        <f>IF('WetLitterbags placem_collection'!Z70="","",'WetLitterbags placem_collection'!Z70)</f>
        <v>23.4</v>
      </c>
      <c r="AF289" s="246" t="str">
        <f>IF('WetLitterbags placem_collection'!AA70="","",'WetLitterbags placem_collection'!AA70)</f>
        <v>O</v>
      </c>
      <c r="AG289">
        <f>IF('WetLitterbags placem_collection'!AC70="","",'WetLitterbags placem_collection'!AC70)</f>
        <v>1</v>
      </c>
      <c r="AH289" s="24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placem_collection'!W70)),"YES","NO")</f>
        <v>NO</v>
      </c>
      <c r="AM289" t="str">
        <f>IF(ISNUMBER(SEARCH("H", 'WetLitterbags placem_collection'!W70)),"YES","NO")</f>
        <v>NO</v>
      </c>
      <c r="AN289" t="str">
        <f>IF(ISNUMBER(SEARCH("R", 'WetLitterbags placem_collection'!W70)),"YES","NO")</f>
        <v>NO</v>
      </c>
    </row>
    <row r="290" spans="1:40" ht="15" customHeight="1">
      <c r="A290" s="258" t="s">
        <v>2460</v>
      </c>
      <c r="B290" s="263">
        <f>'Dry_Litterbag Placem_Collection'!A71</f>
        <v>69</v>
      </c>
      <c r="C290" s="263" t="str">
        <f>'Dry_Litterbag Placem_Collection'!B71</f>
        <v>Maswa</v>
      </c>
      <c r="D290" s="263" t="s">
        <v>2659</v>
      </c>
      <c r="E290" s="263" t="s">
        <v>2661</v>
      </c>
      <c r="F290" s="263">
        <v>1</v>
      </c>
      <c r="G290" s="264" t="str">
        <f>'Dry_Litterbag Placem_Collection'!C71</f>
        <v>Dry_W1_T5</v>
      </c>
      <c r="H290" s="265" t="s">
        <v>2541</v>
      </c>
      <c r="I290" s="272" t="s">
        <v>298</v>
      </c>
      <c r="J290" s="223" t="str">
        <f>'WetLitterbags placem_collection'!M71</f>
        <v>R414</v>
      </c>
      <c r="K290" s="225">
        <f>IFERROR(INDEX('Green_rooibos initial weight'!$C$5:$C$1749,MATCH(J290, 'Green_rooibos initial weight'!$A$5:$A$1749,0)),"")</f>
        <v>2.1349999999999998</v>
      </c>
      <c r="L290" s="225">
        <f>IFERROR(K290-(TBIcalc!$H$9+TBIcalc!$H$10),"")</f>
        <v>1.8851999999999998</v>
      </c>
      <c r="M290" s="391">
        <f>AVERAGE(Ashed_controlls!$K$12:$K$14)</f>
        <v>2.2816647271287041</v>
      </c>
      <c r="N290" s="225">
        <f t="shared" si="22"/>
        <v>1.8421860565641694</v>
      </c>
      <c r="O290" s="225">
        <f>IF(IFERROR(INDEX('Both teabags AfterWet'!$C$3:$C$841,MATCH(J290,'Both teabags AfterWet'!$A$3:$A$841,0)),"")="","",(IFERROR(INDEX('Both teabags AfterWet'!$C$3:$C$841,MATCH(J290,'Both teabags AfterWet'!$A$3:$A$841,0)),"")))</f>
        <v>2.403</v>
      </c>
      <c r="P290" s="225">
        <f>IFERROR(IF(O290&gt;0,O290-(TBIcalc!$H$9),""),"")</f>
        <v>2.2524000000000002</v>
      </c>
      <c r="Q290" s="225">
        <f>IFERROR(INDEX('Ashed teabags wet'!$K$2:$K$821,MATCH(J290,'Ashed teabags wet'!$A$2:$A$821,0)),"")</f>
        <v>16.515513126491193</v>
      </c>
      <c r="R290" s="225">
        <f t="shared" si="26"/>
        <v>1.8804045823389126</v>
      </c>
      <c r="S290" s="226">
        <f>'WetLitterbags placem_collection'!E71</f>
        <v>42767</v>
      </c>
      <c r="T290" s="226">
        <f>IF('WetLitterbags placem_collection'!G71="","",'WetLitterbags placem_collection'!G71)</f>
        <v>42818</v>
      </c>
      <c r="U290" s="227">
        <f t="shared" si="23"/>
        <v>51</v>
      </c>
      <c r="V290" s="225">
        <f t="shared" si="24"/>
        <v>-0.36720000000000041</v>
      </c>
      <c r="W290" s="225">
        <f t="shared" si="25"/>
        <v>-3.8218525774743162E-2</v>
      </c>
      <c r="X290">
        <f>IFERROR(INDEX(Rainfall_Wet!$O$2:$O$217,MATCH(B290, Rainfall_Wet!$A$2:$A$217,0)),"")</f>
        <v>185.630065823</v>
      </c>
      <c r="Y290" s="231">
        <v>47.96</v>
      </c>
      <c r="Z290" s="231">
        <v>22.919999999999995</v>
      </c>
      <c r="AA290" s="231">
        <v>29.120000000000012</v>
      </c>
      <c r="AB290" s="232" t="s">
        <v>2673</v>
      </c>
      <c r="AC290" s="231">
        <v>6.8831936914736298</v>
      </c>
      <c r="AD290">
        <f>IF('WetLitterbags placem_collection'!AB71="","",'WetLitterbags placem_collection'!AB71)</f>
        <v>14.4</v>
      </c>
      <c r="AE290">
        <f>IF('WetLitterbags placem_collection'!Z71="","",'WetLitterbags placem_collection'!Z71)</f>
        <v>24.4</v>
      </c>
      <c r="AF290" s="246" t="str">
        <f>IF('WetLitterbags placem_collection'!AA71="","",'WetLitterbags placem_collection'!AA71)</f>
        <v>O</v>
      </c>
      <c r="AG290">
        <f>IF('WetLitterbags placem_collection'!AC71="","",'WetLitterbags placem_collection'!AC71)</f>
        <v>1</v>
      </c>
      <c r="AH290" s="24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placem_collection'!W71)),"YES","NO")</f>
        <v>NO</v>
      </c>
      <c r="AM290" t="str">
        <f>IF(ISNUMBER(SEARCH("H", 'WetLitterbags placem_collection'!W71)),"YES","NO")</f>
        <v>NO</v>
      </c>
      <c r="AN290" t="str">
        <f>IF(ISNUMBER(SEARCH("R", 'WetLitterbags placem_collection'!W71)),"YES","NO")</f>
        <v>NO</v>
      </c>
    </row>
    <row r="291" spans="1:40" ht="15" customHeight="1">
      <c r="A291" s="258" t="s">
        <v>2460</v>
      </c>
      <c r="B291" s="263">
        <f>'Dry_Litterbag Placem_Collection'!A72</f>
        <v>70</v>
      </c>
      <c r="C291" s="263" t="str">
        <f>'Dry_Litterbag Placem_Collection'!B72</f>
        <v>Maswa</v>
      </c>
      <c r="D291" s="263" t="s">
        <v>2659</v>
      </c>
      <c r="E291" s="263" t="s">
        <v>2661</v>
      </c>
      <c r="F291" s="263">
        <v>1</v>
      </c>
      <c r="G291" s="264" t="str">
        <f>'Dry_Litterbag Placem_Collection'!C72</f>
        <v>Dry_W1_T6</v>
      </c>
      <c r="H291" s="265" t="s">
        <v>2541</v>
      </c>
      <c r="I291" s="272" t="s">
        <v>298</v>
      </c>
      <c r="J291" s="223" t="str">
        <f>'WetLitterbags placem_collection'!M72</f>
        <v>R151</v>
      </c>
      <c r="K291" s="225">
        <f>IFERROR(INDEX('Green_rooibos initial weight'!$C$5:$C$1749,MATCH(J291, 'Green_rooibos initial weight'!$A$5:$A$1749,0)),"")</f>
        <v>2.1920000000000002</v>
      </c>
      <c r="L291" s="225">
        <f>IFERROR(K291-(TBIcalc!$H$9+TBIcalc!$H$10),"")</f>
        <v>1.9422000000000001</v>
      </c>
      <c r="M291" s="391">
        <f>AVERAGE(Ashed_controlls!$K$12:$K$14)</f>
        <v>2.2816647271287041</v>
      </c>
      <c r="N291" s="225">
        <f t="shared" si="22"/>
        <v>1.8978855076697065</v>
      </c>
      <c r="O291" s="225">
        <f>IF(IFERROR(INDEX('Both teabags AfterWet'!$C$3:$C$841,MATCH(J291,'Both teabags AfterWet'!$A$3:$A$841,0)),"")="","",(IFERROR(INDEX('Both teabags AfterWet'!$C$3:$C$841,MATCH(J291,'Both teabags AfterWet'!$A$3:$A$841,0)),"")))</f>
        <v>1.536</v>
      </c>
      <c r="P291" s="225">
        <f>IFERROR(IF(O291&gt;0,O291-(TBIcalc!$H$9),""),"")</f>
        <v>1.3854</v>
      </c>
      <c r="Q291" s="225">
        <f>IFERROR(INDEX('Ashed teabags wet'!$K$2:$K$821,MATCH(J291,'Ashed teabags wet'!$A$2:$A$821,0)),"")</f>
        <v>89.048562933597623</v>
      </c>
      <c r="R291" s="225">
        <f t="shared" si="26"/>
        <v>0.15172120911793852</v>
      </c>
      <c r="S291" s="226">
        <f>'WetLitterbags placem_collection'!E72</f>
        <v>42767</v>
      </c>
      <c r="T291" s="226">
        <f>IF('WetLitterbags placem_collection'!G72="","",'WetLitterbags placem_collection'!G72)</f>
        <v>42818</v>
      </c>
      <c r="U291" s="227">
        <f t="shared" si="23"/>
        <v>51</v>
      </c>
      <c r="V291" s="225">
        <f t="shared" si="24"/>
        <v>0.55680000000000018</v>
      </c>
      <c r="W291" s="225">
        <f t="shared" si="25"/>
        <v>1.746164298551768</v>
      </c>
      <c r="X291">
        <f>IFERROR(INDEX(Rainfall_Wet!$O$2:$O$217,MATCH(B291, Rainfall_Wet!$A$2:$A$217,0)),"")</f>
        <v>185.630065823</v>
      </c>
      <c r="Y291" s="231">
        <v>47.96</v>
      </c>
      <c r="Z291" s="231">
        <v>22.919999999999995</v>
      </c>
      <c r="AA291" s="231">
        <v>29.120000000000012</v>
      </c>
      <c r="AB291" s="232" t="s">
        <v>2673</v>
      </c>
      <c r="AC291" s="231">
        <v>7.8831936914736298</v>
      </c>
      <c r="AD291">
        <f>IF('WetLitterbags placem_collection'!AB72="","",'WetLitterbags placem_collection'!AB72)</f>
        <v>15</v>
      </c>
      <c r="AE291">
        <f>IF('WetLitterbags placem_collection'!Z72="","",'WetLitterbags placem_collection'!Z72)</f>
        <v>28</v>
      </c>
      <c r="AF291" s="246" t="str">
        <f>IF('WetLitterbags placem_collection'!AA72="","",'WetLitterbags placem_collection'!AA72)</f>
        <v>O</v>
      </c>
      <c r="AG291">
        <f>IF('WetLitterbags placem_collection'!AC72="","",'WetLitterbags placem_collection'!AC72)</f>
        <v>0</v>
      </c>
      <c r="AH291" s="24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placem_collection'!W72)),"YES","NO")</f>
        <v>YES</v>
      </c>
      <c r="AM291" t="str">
        <f>IF(ISNUMBER(SEARCH("H", 'WetLitterbags placem_collection'!W72)),"YES","NO")</f>
        <v>YES</v>
      </c>
      <c r="AN291" t="str">
        <f>IF(ISNUMBER(SEARCH("R", 'WetLitterbags placem_collection'!W72)),"YES","NO")</f>
        <v>YES</v>
      </c>
    </row>
    <row r="292" spans="1:40" ht="15" customHeight="1">
      <c r="A292" s="258" t="s">
        <v>2460</v>
      </c>
      <c r="B292" s="263">
        <f>'Dry_Litterbag Placem_Collection'!A73</f>
        <v>71</v>
      </c>
      <c r="C292" s="263" t="str">
        <f>'Dry_Litterbag Placem_Collection'!B73</f>
        <v>Maswa</v>
      </c>
      <c r="D292" s="263" t="s">
        <v>2659</v>
      </c>
      <c r="E292" s="263" t="s">
        <v>2661</v>
      </c>
      <c r="F292" s="263">
        <v>1</v>
      </c>
      <c r="G292" s="264" t="str">
        <f>'Dry_Litterbag Placem_Collection'!C73</f>
        <v>Dry_W1_T7</v>
      </c>
      <c r="H292" s="265" t="s">
        <v>2541</v>
      </c>
      <c r="I292" s="272" t="s">
        <v>298</v>
      </c>
      <c r="J292" s="223" t="str">
        <f>'WetLitterbags placem_collection'!M73</f>
        <v>R95</v>
      </c>
      <c r="K292" s="225">
        <f>IFERROR(INDEX('Green_rooibos initial weight'!$C$5:$C$1749,MATCH(J292, 'Green_rooibos initial weight'!$A$5:$A$1749,0)),"")</f>
        <v>2.2160000000000002</v>
      </c>
      <c r="L292" s="225">
        <f>IFERROR(K292-(TBIcalc!$H$9+TBIcalc!$H$10),"")</f>
        <v>1.9662000000000002</v>
      </c>
      <c r="M292" s="391">
        <f>AVERAGE(Ashed_controlls!$K$12:$K$14)</f>
        <v>2.2816647271287041</v>
      </c>
      <c r="N292" s="225">
        <f t="shared" si="22"/>
        <v>1.9213379081351956</v>
      </c>
      <c r="O292" s="225">
        <f>IF(IFERROR(INDEX('Both teabags AfterWet'!$C$3:$C$841,MATCH(J292,'Both teabags AfterWet'!$A$3:$A$841,0)),"")="","",(IFERROR(INDEX('Both teabags AfterWet'!$C$3:$C$841,MATCH(J292,'Both teabags AfterWet'!$A$3:$A$841,0)),"")))</f>
        <v>1.6388</v>
      </c>
      <c r="P292" s="225">
        <f>IFERROR(IF(O292&gt;0,O292-(TBIcalc!$H$9),""),"")</f>
        <v>1.4882</v>
      </c>
      <c r="Q292" s="225">
        <f>IFERROR(INDEX('Ashed teabags wet'!$K$2:$K$821,MATCH(J292,'Ashed teabags wet'!$A$2:$A$821,0)),"")</f>
        <v>3.275434243175928</v>
      </c>
      <c r="R292" s="225">
        <f t="shared" si="26"/>
        <v>1.4394549875930558</v>
      </c>
      <c r="S292" s="226">
        <f>'WetLitterbags placem_collection'!E73</f>
        <v>42767</v>
      </c>
      <c r="T292" s="226">
        <f>IF('WetLitterbags placem_collection'!G73="","",'WetLitterbags placem_collection'!G73)</f>
        <v>42818</v>
      </c>
      <c r="U292" s="227">
        <f t="shared" si="23"/>
        <v>51</v>
      </c>
      <c r="V292" s="225">
        <f t="shared" si="24"/>
        <v>0.4780000000000002</v>
      </c>
      <c r="W292" s="225">
        <f t="shared" si="25"/>
        <v>0.48188292054213977</v>
      </c>
      <c r="X292">
        <f>IFERROR(INDEX(Rainfall_Wet!$O$2:$O$217,MATCH(B292, Rainfall_Wet!$A$2:$A$217,0)),"")</f>
        <v>185.630065823</v>
      </c>
      <c r="Y292" s="231">
        <v>47.96</v>
      </c>
      <c r="Z292" s="231">
        <v>22.919999999999995</v>
      </c>
      <c r="AA292" s="231">
        <v>29.120000000000012</v>
      </c>
      <c r="AB292" s="232" t="s">
        <v>2673</v>
      </c>
      <c r="AC292" s="231">
        <v>8.8831936914736307</v>
      </c>
      <c r="AD292">
        <f>IF('WetLitterbags placem_collection'!AB73="","",'WetLitterbags placem_collection'!AB73)</f>
        <v>15.5</v>
      </c>
      <c r="AE292">
        <f>IF('WetLitterbags placem_collection'!Z73="","",'WetLitterbags placem_collection'!Z73)</f>
        <v>32</v>
      </c>
      <c r="AF292" s="246" t="str">
        <f>IF('WetLitterbags placem_collection'!AA73="","",'WetLitterbags placem_collection'!AA73)</f>
        <v>O</v>
      </c>
      <c r="AG292">
        <f>IF('WetLitterbags placem_collection'!AC73="","",'WetLitterbags placem_collection'!AC73)</f>
        <v>1</v>
      </c>
      <c r="AH292" s="24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placem_collection'!W73)),"YES","NO")</f>
        <v>NO</v>
      </c>
      <c r="AM292" t="str">
        <f>IF(ISNUMBER(SEARCH("H", 'WetLitterbags placem_collection'!W73)),"YES","NO")</f>
        <v>NO</v>
      </c>
      <c r="AN292" t="str">
        <f>IF(ISNUMBER(SEARCH("R", 'WetLitterbags placem_collection'!W73)),"YES","NO")</f>
        <v>YES</v>
      </c>
    </row>
    <row r="293" spans="1:40" ht="15" customHeight="1">
      <c r="A293" s="258" t="s">
        <v>2460</v>
      </c>
      <c r="B293" s="263">
        <f>'Dry_Litterbag Placem_Collection'!A74</f>
        <v>72</v>
      </c>
      <c r="C293" s="263" t="str">
        <f>'Dry_Litterbag Placem_Collection'!B74</f>
        <v>Maswa</v>
      </c>
      <c r="D293" s="263" t="s">
        <v>2659</v>
      </c>
      <c r="E293" s="263" t="s">
        <v>2661</v>
      </c>
      <c r="F293" s="263">
        <v>1</v>
      </c>
      <c r="G293" s="264" t="str">
        <f>'Dry_Litterbag Placem_Collection'!C74</f>
        <v>Dry_W1_T8</v>
      </c>
      <c r="H293" s="265" t="s">
        <v>2541</v>
      </c>
      <c r="I293" s="272" t="s">
        <v>298</v>
      </c>
      <c r="J293" s="223" t="str">
        <f>'WetLitterbags placem_collection'!M74</f>
        <v>R546</v>
      </c>
      <c r="K293" s="225">
        <f>IFERROR(INDEX('Green_rooibos initial weight'!$C$5:$C$1749,MATCH(J293, 'Green_rooibos initial weight'!$A$5:$A$1749,0)),"")</f>
        <v>2.2250000000000001</v>
      </c>
      <c r="L293" s="225">
        <f>IFERROR(K293-(TBIcalc!$H$9+TBIcalc!$H$10),"")</f>
        <v>1.9752000000000001</v>
      </c>
      <c r="M293" s="391">
        <f>AVERAGE(Ashed_controlls!$K$12:$K$14)</f>
        <v>2.2816647271287041</v>
      </c>
      <c r="N293" s="225">
        <f t="shared" si="22"/>
        <v>1.9301325583097539</v>
      </c>
      <c r="O293" s="225" t="str">
        <f>IF(IFERROR(INDEX('Both teabags AfterWet'!$C$3:$C$841,MATCH(J293,'Both teabags AfterWet'!$A$3:$A$841,0)),"")="","",(IFERROR(INDEX('Both teabags AfterWet'!$C$3:$C$841,MATCH(J293,'Both teabags AfterWet'!$A$3:$A$841,0)),"")))</f>
        <v/>
      </c>
      <c r="P293" s="225" t="str">
        <f>IFERROR(IF(O293&gt;0,O293-(TBIcalc!$H$9),""),"")</f>
        <v/>
      </c>
      <c r="Q293" s="225">
        <f>IFERROR(INDEX('Ashed teabags wet'!$K$2:$K$821,MATCH(J293,'Ashed teabags wet'!$A$2:$A$821,0)),"")</f>
        <v>5.6566650270533065</v>
      </c>
      <c r="R293" s="225" t="str">
        <f t="shared" si="26"/>
        <v/>
      </c>
      <c r="S293" s="226">
        <f>'WetLitterbags placem_collection'!E74</f>
        <v>42767</v>
      </c>
      <c r="T293" s="226">
        <f>IF('WetLitterbags placem_collection'!G74="","",'WetLitterbags placem_collection'!G74)</f>
        <v>42818</v>
      </c>
      <c r="U293" s="227">
        <f t="shared" si="23"/>
        <v>51</v>
      </c>
      <c r="V293" s="225" t="str">
        <f t="shared" si="24"/>
        <v/>
      </c>
      <c r="W293" s="225" t="str">
        <f t="shared" si="25"/>
        <v/>
      </c>
      <c r="X293">
        <f>IFERROR(INDEX(Rainfall_Wet!$O$2:$O$217,MATCH(B293, Rainfall_Wet!$A$2:$A$217,0)),"")</f>
        <v>185.630065823</v>
      </c>
      <c r="Y293" s="231">
        <v>47.96</v>
      </c>
      <c r="Z293" s="231">
        <v>22.919999999999995</v>
      </c>
      <c r="AA293" s="231">
        <v>29.120000000000012</v>
      </c>
      <c r="AB293" s="232" t="s">
        <v>2673</v>
      </c>
      <c r="AC293" s="231">
        <v>9.8831936914736307</v>
      </c>
      <c r="AD293">
        <f>IF('WetLitterbags placem_collection'!AB74="","",'WetLitterbags placem_collection'!AB74)</f>
        <v>2.6</v>
      </c>
      <c r="AE293">
        <f>IF('WetLitterbags placem_collection'!Z74="","",'WetLitterbags placem_collection'!Z74)</f>
        <v>44</v>
      </c>
      <c r="AF293" s="246" t="str">
        <f>IF('WetLitterbags placem_collection'!AA74="","",'WetLitterbags placem_collection'!AA74)</f>
        <v>O</v>
      </c>
      <c r="AG293">
        <f>IF('WetLitterbags placem_collection'!AC74="","",'WetLitterbags placem_collection'!AC74)</f>
        <v>1</v>
      </c>
      <c r="AH293" s="24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placem_collection'!W74)),"YES","NO")</f>
        <v>NO</v>
      </c>
      <c r="AM293" t="str">
        <f>IF(ISNUMBER(SEARCH("H", 'WetLitterbags placem_collection'!W74)),"YES","NO")</f>
        <v>NO</v>
      </c>
      <c r="AN293" t="str">
        <f>IF(ISNUMBER(SEARCH("R", 'WetLitterbags placem_collection'!W74)),"YES","NO")</f>
        <v>NO</v>
      </c>
    </row>
    <row r="294" spans="1:40" ht="15" customHeight="1">
      <c r="A294" s="258" t="s">
        <v>2460</v>
      </c>
      <c r="B294" s="263">
        <f>'Dry_Litterbag Placem_Collection'!A75</f>
        <v>73</v>
      </c>
      <c r="C294" s="263" t="str">
        <f>'Dry_Litterbag Placem_Collection'!B75</f>
        <v>Maswa</v>
      </c>
      <c r="D294" s="263" t="s">
        <v>2659</v>
      </c>
      <c r="E294" s="263" t="s">
        <v>2661</v>
      </c>
      <c r="F294" s="263">
        <v>2</v>
      </c>
      <c r="G294" s="264" t="str">
        <f>'Dry_Litterbag Placem_Collection'!C75</f>
        <v>Dry_W2_T1</v>
      </c>
      <c r="H294" s="265" t="s">
        <v>2541</v>
      </c>
      <c r="I294" s="272" t="s">
        <v>298</v>
      </c>
      <c r="J294" s="223" t="str">
        <f>'WetLitterbags placem_collection'!M75</f>
        <v>R438</v>
      </c>
      <c r="K294" s="225">
        <f>IFERROR(INDEX('Green_rooibos initial weight'!$C$5:$C$1749,MATCH(J294, 'Green_rooibos initial weight'!$A$5:$A$1749,0)),"")</f>
        <v>2.1829999999999998</v>
      </c>
      <c r="L294" s="225">
        <f>IFERROR(K294-(TBIcalc!$H$9+TBIcalc!$H$10),"")</f>
        <v>1.9331999999999998</v>
      </c>
      <c r="M294" s="391">
        <f>AVERAGE(Ashed_controlls!$K$12:$K$14)</f>
        <v>2.2816647271287041</v>
      </c>
      <c r="N294" s="225">
        <f t="shared" si="22"/>
        <v>1.8890908574951477</v>
      </c>
      <c r="O294" s="225">
        <f>IF(IFERROR(INDEX('Both teabags AfterWet'!$C$3:$C$841,MATCH(J294,'Both teabags AfterWet'!$A$3:$A$841,0)),"")="","",(IFERROR(INDEX('Both teabags AfterWet'!$C$3:$C$841,MATCH(J294,'Both teabags AfterWet'!$A$3:$A$841,0)),"")))</f>
        <v>0.17480000000000001</v>
      </c>
      <c r="P294" s="225">
        <f>IFERROR(IF(O294&gt;0,O294-(TBIcalc!$H$9),""),"")</f>
        <v>2.4199999999999999E-2</v>
      </c>
      <c r="Q294" s="225" t="str">
        <f>IFERROR(INDEX('Ashed teabags wet'!$K$2:$K$821,MATCH(J294,'Ashed teabags wet'!$A$2:$A$821,0)),"")</f>
        <v/>
      </c>
      <c r="R294" s="225" t="str">
        <f t="shared" si="26"/>
        <v/>
      </c>
      <c r="S294" s="226">
        <f>'WetLitterbags placem_collection'!E75</f>
        <v>42767</v>
      </c>
      <c r="T294" s="226">
        <f>IF('WetLitterbags placem_collection'!G75="","",'WetLitterbags placem_collection'!G75)</f>
        <v>42818</v>
      </c>
      <c r="U294" s="227">
        <f t="shared" si="23"/>
        <v>51</v>
      </c>
      <c r="V294" s="225">
        <f t="shared" si="24"/>
        <v>1.9089999999999998</v>
      </c>
      <c r="W294" s="225" t="str">
        <f t="shared" si="25"/>
        <v/>
      </c>
      <c r="X294">
        <f>IFERROR(INDEX(Rainfall_Wet!$O$2:$O$217,MATCH(B294, Rainfall_Wet!$A$2:$A$217,0)),"")</f>
        <v>185.630065823</v>
      </c>
      <c r="Y294" s="231">
        <v>45.272914521112256</v>
      </c>
      <c r="Z294" s="231">
        <v>23.604531410916575</v>
      </c>
      <c r="AA294" s="231">
        <v>31.122554067971166</v>
      </c>
      <c r="AB294" s="232" t="s">
        <v>2673</v>
      </c>
      <c r="AC294" s="231">
        <v>2.0547560374568752</v>
      </c>
      <c r="AD294">
        <f>IF('WetLitterbags placem_collection'!AB75="","",'WetLitterbags placem_collection'!AB75)</f>
        <v>9.1</v>
      </c>
      <c r="AE294">
        <f>IF('WetLitterbags placem_collection'!Z75="","",'WetLitterbags placem_collection'!Z75)</f>
        <v>10</v>
      </c>
      <c r="AF294" s="246" t="str">
        <f>IF('WetLitterbags placem_collection'!AA75="","",'WetLitterbags placem_collection'!AA75)</f>
        <v>M</v>
      </c>
      <c r="AG294">
        <f>IF('WetLitterbags placem_collection'!AC75="","",'WetLitterbags placem_collection'!AC75)</f>
        <v>1</v>
      </c>
      <c r="AH294" s="24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placem_collection'!W75)),"YES","NO")</f>
        <v>NO</v>
      </c>
      <c r="AM294" t="str">
        <f>IF(ISNUMBER(SEARCH("H", 'WetLitterbags placem_collection'!W75)),"YES","NO")</f>
        <v>YES</v>
      </c>
      <c r="AN294" t="str">
        <f>IF(ISNUMBER(SEARCH("R", 'WetLitterbags placem_collection'!W75)),"YES","NO")</f>
        <v>YES</v>
      </c>
    </row>
    <row r="295" spans="1:40" ht="15" customHeight="1">
      <c r="A295" s="258" t="s">
        <v>2460</v>
      </c>
      <c r="B295" s="263">
        <f>'Dry_Litterbag Placem_Collection'!A76</f>
        <v>74</v>
      </c>
      <c r="C295" s="263" t="str">
        <f>'Dry_Litterbag Placem_Collection'!B76</f>
        <v>Maswa</v>
      </c>
      <c r="D295" s="263" t="s">
        <v>2659</v>
      </c>
      <c r="E295" s="263" t="s">
        <v>2661</v>
      </c>
      <c r="F295" s="263">
        <v>2</v>
      </c>
      <c r="G295" s="264" t="str">
        <f>'Dry_Litterbag Placem_Collection'!C76</f>
        <v>Dry_W2_T2</v>
      </c>
      <c r="H295" s="265" t="s">
        <v>2541</v>
      </c>
      <c r="I295" s="272" t="s">
        <v>298</v>
      </c>
      <c r="J295" s="223" t="str">
        <f>'WetLitterbags placem_collection'!M76</f>
        <v>R122</v>
      </c>
      <c r="K295" s="225">
        <f>IFERROR(INDEX('Green_rooibos initial weight'!$C$5:$C$1749,MATCH(J295, 'Green_rooibos initial weight'!$A$5:$A$1749,0)),"")</f>
        <v>2.2189999999999999</v>
      </c>
      <c r="L295" s="225">
        <f>IFERROR(K295-(TBIcalc!$H$9+TBIcalc!$H$10),"")</f>
        <v>1.9691999999999998</v>
      </c>
      <c r="M295" s="391">
        <f>AVERAGE(Ashed_controlls!$K$12:$K$14)</f>
        <v>2.2816647271287041</v>
      </c>
      <c r="N295" s="225">
        <f t="shared" si="22"/>
        <v>1.9242694581933815</v>
      </c>
      <c r="O295" s="225">
        <f>IF(IFERROR(INDEX('Both teabags AfterWet'!$C$3:$C$841,MATCH(J295,'Both teabags AfterWet'!$A$3:$A$841,0)),"")="","",(IFERROR(INDEX('Both teabags AfterWet'!$C$3:$C$841,MATCH(J295,'Both teabags AfterWet'!$A$3:$A$841,0)),"")))</f>
        <v>0.35499999999999998</v>
      </c>
      <c r="P295" s="225">
        <f>IFERROR(IF(O295&gt;0,O295-(TBIcalc!$H$9),""),"")</f>
        <v>0.20439999999999997</v>
      </c>
      <c r="Q295" s="225" t="str">
        <f>IFERROR(INDEX('Ashed teabags wet'!$K$2:$K$821,MATCH(J295,'Ashed teabags wet'!$A$2:$A$821,0)),"")</f>
        <v/>
      </c>
      <c r="R295" s="225" t="str">
        <f t="shared" si="26"/>
        <v/>
      </c>
      <c r="S295" s="226">
        <f>'WetLitterbags placem_collection'!E76</f>
        <v>42767</v>
      </c>
      <c r="T295" s="226">
        <f>IF('WetLitterbags placem_collection'!G76="","",'WetLitterbags placem_collection'!G76)</f>
        <v>42818</v>
      </c>
      <c r="U295" s="227">
        <f t="shared" si="23"/>
        <v>51</v>
      </c>
      <c r="V295" s="225">
        <f t="shared" si="24"/>
        <v>1.7647999999999999</v>
      </c>
      <c r="W295" s="225" t="str">
        <f t="shared" si="25"/>
        <v/>
      </c>
      <c r="X295">
        <f>IFERROR(INDEX(Rainfall_Wet!$O$2:$O$217,MATCH(B295, Rainfall_Wet!$A$2:$A$217,0)),"")</f>
        <v>185.630065823</v>
      </c>
      <c r="Y295" s="231">
        <v>45.272914521112256</v>
      </c>
      <c r="Z295" s="231">
        <v>23.604531410916575</v>
      </c>
      <c r="AA295" s="231">
        <v>31.122554067971166</v>
      </c>
      <c r="AB295" s="232" t="s">
        <v>2673</v>
      </c>
      <c r="AC295" s="231">
        <v>3.0547560374568801</v>
      </c>
      <c r="AD295">
        <f>IF('WetLitterbags placem_collection'!AB76="","",'WetLitterbags placem_collection'!AB76)</f>
        <v>7.7</v>
      </c>
      <c r="AE295">
        <f>IF('WetLitterbags placem_collection'!Z76="","",'WetLitterbags placem_collection'!Z76)</f>
        <v>9.4</v>
      </c>
      <c r="AF295" s="246" t="str">
        <f>IF('WetLitterbags placem_collection'!AA76="","",'WetLitterbags placem_collection'!AA76)</f>
        <v>M</v>
      </c>
      <c r="AG295">
        <f>IF('WetLitterbags placem_collection'!AC76="","",'WetLitterbags placem_collection'!AC76)</f>
        <v>1</v>
      </c>
      <c r="AH295" s="24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placem_collection'!W76)),"YES","NO")</f>
        <v>YES</v>
      </c>
      <c r="AM295" t="str">
        <f>IF(ISNUMBER(SEARCH("H", 'WetLitterbags placem_collection'!W76)),"YES","NO")</f>
        <v>YES</v>
      </c>
      <c r="AN295" t="str">
        <f>IF(ISNUMBER(SEARCH("R", 'WetLitterbags placem_collection'!W76)),"YES","NO")</f>
        <v>NO</v>
      </c>
    </row>
    <row r="296" spans="1:40" ht="15" customHeight="1">
      <c r="A296" s="258" t="s">
        <v>2460</v>
      </c>
      <c r="B296" s="263">
        <f>'Dry_Litterbag Placem_Collection'!A77</f>
        <v>75</v>
      </c>
      <c r="C296" s="263" t="str">
        <f>'Dry_Litterbag Placem_Collection'!B77</f>
        <v>Maswa</v>
      </c>
      <c r="D296" s="263" t="s">
        <v>2659</v>
      </c>
      <c r="E296" s="263" t="s">
        <v>2661</v>
      </c>
      <c r="F296" s="263">
        <v>2</v>
      </c>
      <c r="G296" s="264" t="str">
        <f>'Dry_Litterbag Placem_Collection'!C77</f>
        <v>Dry_W2_T3</v>
      </c>
      <c r="H296" s="265" t="s">
        <v>2541</v>
      </c>
      <c r="I296" s="272" t="s">
        <v>298</v>
      </c>
      <c r="J296" s="223" t="str">
        <f>'WetLitterbags placem_collection'!M77</f>
        <v>R404</v>
      </c>
      <c r="K296" s="225">
        <f>IFERROR(INDEX('Green_rooibos initial weight'!$C$5:$C$1749,MATCH(J296, 'Green_rooibos initial weight'!$A$5:$A$1749,0)),"")</f>
        <v>2.1779999999999999</v>
      </c>
      <c r="L296" s="225">
        <f>IFERROR(K296-(TBIcalc!$H$9+TBIcalc!$H$10),"")</f>
        <v>1.9281999999999999</v>
      </c>
      <c r="M296" s="391">
        <f>AVERAGE(Ashed_controlls!$K$12:$K$14)</f>
        <v>2.2816647271287041</v>
      </c>
      <c r="N296" s="225">
        <f t="shared" si="22"/>
        <v>1.8842049407315042</v>
      </c>
      <c r="O296" s="225">
        <f>IF(IFERROR(INDEX('Both teabags AfterWet'!$C$3:$C$841,MATCH(J296,'Both teabags AfterWet'!$A$3:$A$841,0)),"")="","",(IFERROR(INDEX('Both teabags AfterWet'!$C$3:$C$841,MATCH(J296,'Both teabags AfterWet'!$A$3:$A$841,0)),"")))</f>
        <v>0.15579999999999999</v>
      </c>
      <c r="P296" s="225">
        <f>IFERROR(IF(O296&gt;0,O296-(TBIcalc!$H$9),""),"")</f>
        <v>5.1999999999999824E-3</v>
      </c>
      <c r="Q296" s="225" t="str">
        <f>IFERROR(INDEX('Ashed teabags wet'!$K$2:$K$821,MATCH(J296,'Ashed teabags wet'!$A$2:$A$821,0)),"")</f>
        <v/>
      </c>
      <c r="R296" s="225" t="str">
        <f t="shared" si="26"/>
        <v/>
      </c>
      <c r="S296" s="226">
        <f>'WetLitterbags placem_collection'!E77</f>
        <v>42767</v>
      </c>
      <c r="T296" s="226">
        <f>IF('WetLitterbags placem_collection'!G77="","",'WetLitterbags placem_collection'!G77)</f>
        <v>42818</v>
      </c>
      <c r="U296" s="227">
        <f t="shared" si="23"/>
        <v>51</v>
      </c>
      <c r="V296" s="225">
        <f t="shared" si="24"/>
        <v>1.923</v>
      </c>
      <c r="W296" s="225" t="str">
        <f t="shared" si="25"/>
        <v/>
      </c>
      <c r="X296">
        <f>IFERROR(INDEX(Rainfall_Wet!$O$2:$O$217,MATCH(B296, Rainfall_Wet!$A$2:$A$217,0)),"")</f>
        <v>185.630065823</v>
      </c>
      <c r="Y296" s="231">
        <v>45.272914521112256</v>
      </c>
      <c r="Z296" s="231">
        <v>23.604531410916575</v>
      </c>
      <c r="AA296" s="231">
        <v>31.122554067971166</v>
      </c>
      <c r="AB296" s="232" t="s">
        <v>2673</v>
      </c>
      <c r="AC296" s="231">
        <v>4.0547560374568796</v>
      </c>
      <c r="AD296">
        <f>IF('WetLitterbags placem_collection'!AB77="","",'WetLitterbags placem_collection'!AB77)</f>
        <v>6.1</v>
      </c>
      <c r="AE296">
        <f>IF('WetLitterbags placem_collection'!Z77="","",'WetLitterbags placem_collection'!Z77)</f>
        <v>13.8</v>
      </c>
      <c r="AF296" s="246" t="str">
        <f>IF('WetLitterbags placem_collection'!AA77="","",'WetLitterbags placem_collection'!AA77)</f>
        <v>O</v>
      </c>
      <c r="AG296">
        <f>IF('WetLitterbags placem_collection'!AC77="","",'WetLitterbags placem_collection'!AC77)</f>
        <v>0</v>
      </c>
      <c r="AH296" s="24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placem_collection'!W77)),"YES","NO")</f>
        <v>NO</v>
      </c>
      <c r="AM296" t="str">
        <f>IF(ISNUMBER(SEARCH("H", 'WetLitterbags placem_collection'!W77)),"YES","NO")</f>
        <v>YES</v>
      </c>
      <c r="AN296" t="str">
        <f>IF(ISNUMBER(SEARCH("R", 'WetLitterbags placem_collection'!W77)),"YES","NO")</f>
        <v>YES</v>
      </c>
    </row>
    <row r="297" spans="1:40" ht="15" customHeight="1">
      <c r="A297" s="258" t="s">
        <v>2460</v>
      </c>
      <c r="B297" s="263">
        <f>'Dry_Litterbag Placem_Collection'!A78</f>
        <v>76</v>
      </c>
      <c r="C297" s="263" t="str">
        <f>'Dry_Litterbag Placem_Collection'!B78</f>
        <v>Maswa</v>
      </c>
      <c r="D297" s="263" t="s">
        <v>2659</v>
      </c>
      <c r="E297" s="263" t="s">
        <v>2661</v>
      </c>
      <c r="F297" s="263">
        <v>2</v>
      </c>
      <c r="G297" s="264" t="str">
        <f>'Dry_Litterbag Placem_Collection'!C78</f>
        <v>Dry_W2_T4</v>
      </c>
      <c r="H297" s="265" t="s">
        <v>2541</v>
      </c>
      <c r="I297" s="272" t="s">
        <v>298</v>
      </c>
      <c r="J297" s="223" t="str">
        <f>'WetLitterbags placem_collection'!M78</f>
        <v>R501</v>
      </c>
      <c r="K297" s="225">
        <f>IFERROR(INDEX('Green_rooibos initial weight'!$C$5:$C$1749,MATCH(J297, 'Green_rooibos initial weight'!$A$5:$A$1749,0)),"")</f>
        <v>2.1379999999999999</v>
      </c>
      <c r="L297" s="225">
        <f>IFERROR(K297-(TBIcalc!$H$9+TBIcalc!$H$10),"")</f>
        <v>1.8881999999999999</v>
      </c>
      <c r="M297" s="391">
        <f>AVERAGE(Ashed_controlls!$K$12:$K$14)</f>
        <v>2.2816647271287041</v>
      </c>
      <c r="N297" s="225">
        <f t="shared" si="22"/>
        <v>1.8451176066223556</v>
      </c>
      <c r="O297" s="225">
        <f>IF(IFERROR(INDEX('Both teabags AfterWet'!$C$3:$C$841,MATCH(J297,'Both teabags AfterWet'!$A$3:$A$841,0)),"")="","",(IFERROR(INDEX('Both teabags AfterWet'!$C$3:$C$841,MATCH(J297,'Both teabags AfterWet'!$A$3:$A$841,0)),"")))</f>
        <v>0.29499999999999998</v>
      </c>
      <c r="P297" s="225">
        <f>IFERROR(IF(O297&gt;0,O297-(TBIcalc!$H$9),""),"")</f>
        <v>0.14439999999999997</v>
      </c>
      <c r="Q297" s="225">
        <f>IFERROR(INDEX('Ashed teabags wet'!$K$2:$K$821,MATCH(J297,'Ashed teabags wet'!$A$2:$A$821,0)),"")</f>
        <v>84.313725490194741</v>
      </c>
      <c r="R297" s="225">
        <f t="shared" si="26"/>
        <v>2.2650980392158779E-2</v>
      </c>
      <c r="S297" s="226">
        <f>'WetLitterbags placem_collection'!E78</f>
        <v>42767</v>
      </c>
      <c r="T297" s="226">
        <f>IF('WetLitterbags placem_collection'!G78="","",'WetLitterbags placem_collection'!G78)</f>
        <v>42818</v>
      </c>
      <c r="U297" s="227">
        <f t="shared" si="23"/>
        <v>51</v>
      </c>
      <c r="V297" s="225">
        <f t="shared" si="24"/>
        <v>1.7437999999999998</v>
      </c>
      <c r="W297" s="225">
        <f t="shared" si="25"/>
        <v>1.8224666262301967</v>
      </c>
      <c r="X297">
        <f>IFERROR(INDEX(Rainfall_Wet!$O$2:$O$217,MATCH(B297, Rainfall_Wet!$A$2:$A$217,0)),"")</f>
        <v>185.630065823</v>
      </c>
      <c r="Y297" s="231">
        <v>45.272914521112256</v>
      </c>
      <c r="Z297" s="231">
        <v>23.604531410916575</v>
      </c>
      <c r="AA297" s="231">
        <v>31.122554067971166</v>
      </c>
      <c r="AB297" s="232" t="s">
        <v>2673</v>
      </c>
      <c r="AC297" s="231">
        <v>5.0547560374568796</v>
      </c>
      <c r="AD297">
        <f>IF('WetLitterbags placem_collection'!AB78="","",'WetLitterbags placem_collection'!AB78)</f>
        <v>6.7</v>
      </c>
      <c r="AE297">
        <f>IF('WetLitterbags placem_collection'!Z78="","",'WetLitterbags placem_collection'!Z78)</f>
        <v>19.3</v>
      </c>
      <c r="AF297" s="246" t="str">
        <f>IF('WetLitterbags placem_collection'!AA78="","",'WetLitterbags placem_collection'!AA78)</f>
        <v>M</v>
      </c>
      <c r="AG297">
        <f>IF('WetLitterbags placem_collection'!AC78="","",'WetLitterbags placem_collection'!AC78)</f>
        <v>1</v>
      </c>
      <c r="AH297" s="24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placem_collection'!W78)),"YES","NO")</f>
        <v>NO</v>
      </c>
      <c r="AM297" t="str">
        <f>IF(ISNUMBER(SEARCH("H", 'WetLitterbags placem_collection'!W78)),"YES","NO")</f>
        <v>YES</v>
      </c>
      <c r="AN297" t="str">
        <f>IF(ISNUMBER(SEARCH("R", 'WetLitterbags placem_collection'!W78)),"YES","NO")</f>
        <v>NO</v>
      </c>
    </row>
    <row r="298" spans="1:40" ht="15" customHeight="1">
      <c r="A298" s="258" t="s">
        <v>2460</v>
      </c>
      <c r="B298" s="263">
        <f>'Dry_Litterbag Placem_Collection'!A79</f>
        <v>77</v>
      </c>
      <c r="C298" s="263" t="str">
        <f>'Dry_Litterbag Placem_Collection'!B79</f>
        <v>Maswa</v>
      </c>
      <c r="D298" s="263" t="s">
        <v>2659</v>
      </c>
      <c r="E298" s="263" t="s">
        <v>2661</v>
      </c>
      <c r="F298" s="263">
        <v>2</v>
      </c>
      <c r="G298" s="264" t="str">
        <f>'Dry_Litterbag Placem_Collection'!C79</f>
        <v>Dry_W2_T5</v>
      </c>
      <c r="H298" s="265" t="s">
        <v>2541</v>
      </c>
      <c r="I298" s="272" t="s">
        <v>298</v>
      </c>
      <c r="J298" s="223" t="str">
        <f>'WetLitterbags placem_collection'!M79</f>
        <v>R137</v>
      </c>
      <c r="K298" s="225">
        <f>IFERROR(INDEX('Green_rooibos initial weight'!$C$5:$C$1749,MATCH(J298, 'Green_rooibos initial weight'!$A$5:$A$1749,0)),"")</f>
        <v>2.198</v>
      </c>
      <c r="L298" s="225">
        <f>IFERROR(K298-(TBIcalc!$H$9+TBIcalc!$H$10),"")</f>
        <v>1.9481999999999999</v>
      </c>
      <c r="M298" s="391">
        <f>AVERAGE(Ashed_controlls!$K$12:$K$14)</f>
        <v>2.2816647271287041</v>
      </c>
      <c r="N298" s="225">
        <f t="shared" si="22"/>
        <v>1.9037486077860786</v>
      </c>
      <c r="O298" s="225">
        <f>IF(IFERROR(INDEX('Both teabags AfterWet'!$C$3:$C$841,MATCH(J298,'Both teabags AfterWet'!$A$3:$A$841,0)),"")="","",(IFERROR(INDEX('Both teabags AfterWet'!$C$3:$C$841,MATCH(J298,'Both teabags AfterWet'!$A$3:$A$841,0)),"")))</f>
        <v>1.698</v>
      </c>
      <c r="P298" s="225">
        <f>IFERROR(IF(O298&gt;0,O298-(TBIcalc!$H$9),""),"")</f>
        <v>1.5473999999999999</v>
      </c>
      <c r="Q298" s="225">
        <f>IFERROR(INDEX('Ashed teabags wet'!$K$2:$K$821,MATCH(J298,'Ashed teabags wet'!$A$2:$A$821,0)),"")</f>
        <v>11.808300395256206</v>
      </c>
      <c r="R298" s="225">
        <f t="shared" si="26"/>
        <v>1.3646783596838055</v>
      </c>
      <c r="S298" s="226">
        <f>'WetLitterbags placem_collection'!E79</f>
        <v>42767</v>
      </c>
      <c r="T298" s="226">
        <f>IF('WetLitterbags placem_collection'!G79="","",'WetLitterbags placem_collection'!G79)</f>
        <v>42818</v>
      </c>
      <c r="U298" s="227">
        <f t="shared" si="23"/>
        <v>51</v>
      </c>
      <c r="V298" s="225">
        <f t="shared" si="24"/>
        <v>0.40080000000000005</v>
      </c>
      <c r="W298" s="225">
        <f t="shared" si="25"/>
        <v>0.53907024810227311</v>
      </c>
      <c r="X298">
        <f>IFERROR(INDEX(Rainfall_Wet!$O$2:$O$217,MATCH(B298, Rainfall_Wet!$A$2:$A$217,0)),"")</f>
        <v>185.630065823</v>
      </c>
      <c r="Y298" s="231">
        <v>45.272914521112256</v>
      </c>
      <c r="Z298" s="231">
        <v>23.604531410916575</v>
      </c>
      <c r="AA298" s="231">
        <v>31.122554067971166</v>
      </c>
      <c r="AB298" s="232" t="s">
        <v>2673</v>
      </c>
      <c r="AC298" s="231">
        <v>6.0547560374568796</v>
      </c>
      <c r="AD298">
        <f>IF('WetLitterbags placem_collection'!AB79="","",'WetLitterbags placem_collection'!AB79)</f>
        <v>3.1</v>
      </c>
      <c r="AE298">
        <f>IF('WetLitterbags placem_collection'!Z79="","",'WetLitterbags placem_collection'!Z79)</f>
        <v>9.8000000000000007</v>
      </c>
      <c r="AF298" s="246" t="str">
        <f>IF('WetLitterbags placem_collection'!AA79="","",'WetLitterbags placem_collection'!AA79)</f>
        <v>O</v>
      </c>
      <c r="AG298">
        <f>IF('WetLitterbags placem_collection'!AC79="","",'WetLitterbags placem_collection'!AC79)</f>
        <v>1</v>
      </c>
      <c r="AH298" s="24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placem_collection'!W79)),"YES","NO")</f>
        <v>NO</v>
      </c>
      <c r="AM298" t="str">
        <f>IF(ISNUMBER(SEARCH("H", 'WetLitterbags placem_collection'!W79)),"YES","NO")</f>
        <v>NO</v>
      </c>
      <c r="AN298" t="str">
        <f>IF(ISNUMBER(SEARCH("R", 'WetLitterbags placem_collection'!W79)),"YES","NO")</f>
        <v>YES</v>
      </c>
    </row>
    <row r="299" spans="1:40" ht="15" customHeight="1">
      <c r="A299" s="258" t="s">
        <v>2460</v>
      </c>
      <c r="B299" s="263">
        <f>'Dry_Litterbag Placem_Collection'!A80</f>
        <v>78</v>
      </c>
      <c r="C299" s="263" t="str">
        <f>'Dry_Litterbag Placem_Collection'!B80</f>
        <v>Maswa</v>
      </c>
      <c r="D299" s="263" t="s">
        <v>2659</v>
      </c>
      <c r="E299" s="263" t="s">
        <v>2661</v>
      </c>
      <c r="F299" s="263">
        <v>2</v>
      </c>
      <c r="G299" s="264" t="str">
        <f>'Dry_Litterbag Placem_Collection'!C80</f>
        <v>Dry_W2_T6</v>
      </c>
      <c r="H299" s="265" t="s">
        <v>2541</v>
      </c>
      <c r="I299" s="272" t="s">
        <v>298</v>
      </c>
      <c r="J299" s="223" t="str">
        <f>'WetLitterbags placem_collection'!M80</f>
        <v>R278</v>
      </c>
      <c r="K299" s="225">
        <f>IFERROR(INDEX('Green_rooibos initial weight'!$C$5:$C$1749,MATCH(J299, 'Green_rooibos initial weight'!$A$5:$A$1749,0)),"")</f>
        <v>2.198</v>
      </c>
      <c r="L299" s="225">
        <f>IFERROR(K299-(TBIcalc!$H$9+TBIcalc!$H$10),"")</f>
        <v>1.9481999999999999</v>
      </c>
      <c r="M299" s="391">
        <f>AVERAGE(Ashed_controlls!$K$12:$K$14)</f>
        <v>2.2816647271287041</v>
      </c>
      <c r="N299" s="225">
        <f t="shared" si="22"/>
        <v>1.9037486077860786</v>
      </c>
      <c r="O299" s="225">
        <f>IF(IFERROR(INDEX('Both teabags AfterWet'!$C$3:$C$841,MATCH(J299,'Both teabags AfterWet'!$A$3:$A$841,0)),"")="","",(IFERROR(INDEX('Both teabags AfterWet'!$C$3:$C$841,MATCH(J299,'Both teabags AfterWet'!$A$3:$A$841,0)),"")))</f>
        <v>1.6845000000000001</v>
      </c>
      <c r="P299" s="225">
        <f>IFERROR(IF(O299&gt;0,O299-(TBIcalc!$H$9),""),"")</f>
        <v>1.5339</v>
      </c>
      <c r="Q299" s="225" t="str">
        <f>IFERROR(INDEX('Ashed teabags wet'!$K$2:$K$821,MATCH(J299,'Ashed teabags wet'!$A$2:$A$821,0)),"")</f>
        <v/>
      </c>
      <c r="R299" s="225" t="str">
        <f t="shared" si="26"/>
        <v/>
      </c>
      <c r="S299" s="226">
        <f>'WetLitterbags placem_collection'!E80</f>
        <v>42767</v>
      </c>
      <c r="T299" s="226">
        <f>IF('WetLitterbags placem_collection'!G80="","",'WetLitterbags placem_collection'!G80)</f>
        <v>42818</v>
      </c>
      <c r="U299" s="227">
        <f t="shared" si="23"/>
        <v>51</v>
      </c>
      <c r="V299" s="225">
        <f t="shared" si="24"/>
        <v>0.41429999999999989</v>
      </c>
      <c r="W299" s="225" t="str">
        <f t="shared" si="25"/>
        <v/>
      </c>
      <c r="X299">
        <f>IFERROR(INDEX(Rainfall_Wet!$O$2:$O$217,MATCH(B299, Rainfall_Wet!$A$2:$A$217,0)),"")</f>
        <v>185.630065823</v>
      </c>
      <c r="Y299" s="231">
        <v>45.272914521112256</v>
      </c>
      <c r="Z299" s="231">
        <v>23.604531410916575</v>
      </c>
      <c r="AA299" s="231">
        <v>31.122554067971166</v>
      </c>
      <c r="AB299" s="232" t="s">
        <v>2673</v>
      </c>
      <c r="AC299" s="231">
        <v>7.0547560374568796</v>
      </c>
      <c r="AD299">
        <f>IF('WetLitterbags placem_collection'!AB80="","",'WetLitterbags placem_collection'!AB80)</f>
        <v>10.4</v>
      </c>
      <c r="AE299">
        <f>IF('WetLitterbags placem_collection'!Z80="","",'WetLitterbags placem_collection'!Z80)</f>
        <v>15.4</v>
      </c>
      <c r="AF299" s="246" t="str">
        <f>IF('WetLitterbags placem_collection'!AA80="","",'WetLitterbags placem_collection'!AA80)</f>
        <v>M</v>
      </c>
      <c r="AG299">
        <f>IF('WetLitterbags placem_collection'!AC80="","",'WetLitterbags placem_collection'!AC80)</f>
        <v>1</v>
      </c>
      <c r="AH299" s="24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placem_collection'!W80)),"YES","NO")</f>
        <v>NO</v>
      </c>
      <c r="AM299" t="str">
        <f>IF(ISNUMBER(SEARCH("H", 'WetLitterbags placem_collection'!W80)),"YES","NO")</f>
        <v>NO</v>
      </c>
      <c r="AN299" t="str">
        <f>IF(ISNUMBER(SEARCH("R", 'WetLitterbags placem_collection'!W80)),"YES","NO")</f>
        <v>YES</v>
      </c>
    </row>
    <row r="300" spans="1:40" ht="15" customHeight="1">
      <c r="A300" s="258" t="s">
        <v>2460</v>
      </c>
      <c r="B300" s="263">
        <f>'Dry_Litterbag Placem_Collection'!A81</f>
        <v>79</v>
      </c>
      <c r="C300" s="263" t="str">
        <f>'Dry_Litterbag Placem_Collection'!B81</f>
        <v>Maswa</v>
      </c>
      <c r="D300" s="263" t="s">
        <v>2659</v>
      </c>
      <c r="E300" s="263" t="s">
        <v>2661</v>
      </c>
      <c r="F300" s="263">
        <v>2</v>
      </c>
      <c r="G300" s="264" t="str">
        <f>'Dry_Litterbag Placem_Collection'!C81</f>
        <v>Dry_W2_T7</v>
      </c>
      <c r="H300" s="265" t="s">
        <v>2541</v>
      </c>
      <c r="I300" s="272" t="s">
        <v>298</v>
      </c>
      <c r="J300" s="223" t="str">
        <f>'WetLitterbags placem_collection'!M81</f>
        <v>R235</v>
      </c>
      <c r="K300" s="225">
        <f>IFERROR(INDEX('Green_rooibos initial weight'!$C$5:$C$1749,MATCH(J300, 'Green_rooibos initial weight'!$A$5:$A$1749,0)),"")</f>
        <v>2.169</v>
      </c>
      <c r="L300" s="225">
        <f>IFERROR(K300-(TBIcalc!$H$9+TBIcalc!$H$10),"")</f>
        <v>1.9192</v>
      </c>
      <c r="M300" s="391">
        <f>AVERAGE(Ashed_controlls!$K$12:$K$14)</f>
        <v>2.2816647271287041</v>
      </c>
      <c r="N300" s="225">
        <f t="shared" si="22"/>
        <v>1.8754102905569459</v>
      </c>
      <c r="O300" s="225">
        <f>IF(IFERROR(INDEX('Both teabags AfterWet'!$C$3:$C$841,MATCH(J300,'Both teabags AfterWet'!$A$3:$A$841,0)),"")="","",(IFERROR(INDEX('Both teabags AfterWet'!$C$3:$C$841,MATCH(J300,'Both teabags AfterWet'!$A$3:$A$841,0)),"")))</f>
        <v>1.5528</v>
      </c>
      <c r="P300" s="225">
        <f>IFERROR(IF(O300&gt;0,O300-(TBIcalc!$H$9),""),"")</f>
        <v>1.4021999999999999</v>
      </c>
      <c r="Q300" s="225">
        <f>IFERROR(INDEX('Ashed teabags wet'!$K$2:$K$821,MATCH(J300,'Ashed teabags wet'!$A$2:$A$821,0)),"")</f>
        <v>8.7084148727974071</v>
      </c>
      <c r="R300" s="225">
        <f t="shared" si="26"/>
        <v>1.2800906066536346</v>
      </c>
      <c r="S300" s="226">
        <f>'WetLitterbags placem_collection'!E81</f>
        <v>42767</v>
      </c>
      <c r="T300" s="226">
        <f>IF('WetLitterbags placem_collection'!G81="","",'WetLitterbags placem_collection'!G81)</f>
        <v>42818</v>
      </c>
      <c r="U300" s="227">
        <f t="shared" si="23"/>
        <v>51</v>
      </c>
      <c r="V300" s="225">
        <f t="shared" si="24"/>
        <v>0.51700000000000013</v>
      </c>
      <c r="W300" s="225">
        <f t="shared" si="25"/>
        <v>0.59531968390331125</v>
      </c>
      <c r="X300">
        <f>IFERROR(INDEX(Rainfall_Wet!$O$2:$O$217,MATCH(B300, Rainfall_Wet!$A$2:$A$217,0)),"")</f>
        <v>185.630065823</v>
      </c>
      <c r="Y300" s="231">
        <v>45.272914521112256</v>
      </c>
      <c r="Z300" s="231">
        <v>23.604531410916575</v>
      </c>
      <c r="AA300" s="231">
        <v>31.122554067971166</v>
      </c>
      <c r="AB300" s="232" t="s">
        <v>2673</v>
      </c>
      <c r="AC300" s="231">
        <v>8.0547560374568796</v>
      </c>
      <c r="AD300">
        <f>IF('WetLitterbags placem_collection'!AB81="","",'WetLitterbags placem_collection'!AB81)</f>
        <v>3</v>
      </c>
      <c r="AE300">
        <f>IF('WetLitterbags placem_collection'!Z81="","",'WetLitterbags placem_collection'!Z81)</f>
        <v>5</v>
      </c>
      <c r="AF300" s="246" t="str">
        <f>IF('WetLitterbags placem_collection'!AA81="","",'WetLitterbags placem_collection'!AA81)</f>
        <v>G</v>
      </c>
      <c r="AG300">
        <f>IF('WetLitterbags placem_collection'!AC81="","",'WetLitterbags placem_collection'!AC81)</f>
        <v>1</v>
      </c>
      <c r="AH300" s="24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placem_collection'!W81)),"YES","NO")</f>
        <v>NO</v>
      </c>
      <c r="AM300" t="str">
        <f>IF(ISNUMBER(SEARCH("H", 'WetLitterbags placem_collection'!W81)),"YES","NO")</f>
        <v>NO</v>
      </c>
      <c r="AN300" t="str">
        <f>IF(ISNUMBER(SEARCH("R", 'WetLitterbags placem_collection'!W81)),"YES","NO")</f>
        <v>YES</v>
      </c>
    </row>
    <row r="301" spans="1:40" ht="15" customHeight="1">
      <c r="A301" s="258" t="s">
        <v>2460</v>
      </c>
      <c r="B301" s="263">
        <f>'Dry_Litterbag Placem_Collection'!A82</f>
        <v>80</v>
      </c>
      <c r="C301" s="263" t="str">
        <f>'Dry_Litterbag Placem_Collection'!B82</f>
        <v>Maswa</v>
      </c>
      <c r="D301" s="263" t="s">
        <v>2659</v>
      </c>
      <c r="E301" s="263" t="s">
        <v>2661</v>
      </c>
      <c r="F301" s="263">
        <v>2</v>
      </c>
      <c r="G301" s="264" t="str">
        <f>'Dry_Litterbag Placem_Collection'!C82</f>
        <v>Dry_W2_T8</v>
      </c>
      <c r="H301" s="265" t="s">
        <v>2541</v>
      </c>
      <c r="I301" s="272" t="s">
        <v>298</v>
      </c>
      <c r="J301" s="223" t="str">
        <f>'WetLitterbags placem_collection'!M82</f>
        <v>R181</v>
      </c>
      <c r="K301" s="225">
        <f>IFERROR(INDEX('Green_rooibos initial weight'!$C$5:$C$1749,MATCH(J301, 'Green_rooibos initial weight'!$A$5:$A$1749,0)),"")</f>
        <v>2.1749999999999998</v>
      </c>
      <c r="L301" s="225">
        <f>IFERROR(K301-(TBIcalc!$H$9+TBIcalc!$H$10),"")</f>
        <v>1.9251999999999998</v>
      </c>
      <c r="M301" s="391">
        <f>AVERAGE(Ashed_controlls!$K$12:$K$14)</f>
        <v>2.2816647271287041</v>
      </c>
      <c r="N301" s="225">
        <f t="shared" si="22"/>
        <v>1.8812733906733179</v>
      </c>
      <c r="O301" s="225">
        <f>IF(IFERROR(INDEX('Both teabags AfterWet'!$C$3:$C$841,MATCH(J301,'Both teabags AfterWet'!$A$3:$A$841,0)),"")="","",(IFERROR(INDEX('Both teabags AfterWet'!$C$3:$C$841,MATCH(J301,'Both teabags AfterWet'!$A$3:$A$841,0)),"")))</f>
        <v>0.23799999999999999</v>
      </c>
      <c r="P301" s="225">
        <f>IFERROR(IF(O301&gt;0,O301-(TBIcalc!$H$9),""),"")</f>
        <v>8.7399999999999978E-2</v>
      </c>
      <c r="Q301" s="225" t="str">
        <f>IFERROR(INDEX('Ashed teabags wet'!$K$2:$K$821,MATCH(J301,'Ashed teabags wet'!$A$2:$A$821,0)),"")</f>
        <v/>
      </c>
      <c r="R301" s="225" t="str">
        <f t="shared" si="26"/>
        <v/>
      </c>
      <c r="S301" s="226">
        <f>'WetLitterbags placem_collection'!E82</f>
        <v>42767</v>
      </c>
      <c r="T301" s="226">
        <f>IF('WetLitterbags placem_collection'!G82="","",'WetLitterbags placem_collection'!G82)</f>
        <v>42818</v>
      </c>
      <c r="U301" s="227">
        <f t="shared" si="23"/>
        <v>51</v>
      </c>
      <c r="V301" s="225">
        <f t="shared" si="24"/>
        <v>1.8377999999999999</v>
      </c>
      <c r="W301" s="225" t="str">
        <f t="shared" si="25"/>
        <v/>
      </c>
      <c r="X301">
        <f>IFERROR(INDEX(Rainfall_Wet!$O$2:$O$217,MATCH(B301, Rainfall_Wet!$A$2:$A$217,0)),"")</f>
        <v>185.630065823</v>
      </c>
      <c r="Y301" s="231">
        <v>45.272914521112256</v>
      </c>
      <c r="Z301" s="231">
        <v>23.604531410916575</v>
      </c>
      <c r="AA301" s="231">
        <v>31.122554067971166</v>
      </c>
      <c r="AB301" s="232" t="s">
        <v>2673</v>
      </c>
      <c r="AC301" s="231">
        <v>9.0547560374568796</v>
      </c>
      <c r="AD301">
        <f>IF('WetLitterbags placem_collection'!AB82="","",'WetLitterbags placem_collection'!AB82)</f>
        <v>2.7</v>
      </c>
      <c r="AE301">
        <f>IF('WetLitterbags placem_collection'!Z82="","",'WetLitterbags placem_collection'!Z82)</f>
        <v>12.4</v>
      </c>
      <c r="AF301" s="246" t="str">
        <f>IF('WetLitterbags placem_collection'!AA82="","",'WetLitterbags placem_collection'!AA82)</f>
        <v>O</v>
      </c>
      <c r="AG301">
        <f>IF('WetLitterbags placem_collection'!AC82="","",'WetLitterbags placem_collection'!AC82)</f>
        <v>1</v>
      </c>
      <c r="AH301" s="24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placem_collection'!W82)),"YES","NO")</f>
        <v>NO</v>
      </c>
      <c r="AM301" t="str">
        <f>IF(ISNUMBER(SEARCH("H", 'WetLitterbags placem_collection'!W82)),"YES","NO")</f>
        <v>YES</v>
      </c>
      <c r="AN301" t="str">
        <f>IF(ISNUMBER(SEARCH("R", 'WetLitterbags placem_collection'!W82)),"YES","NO")</f>
        <v>NO</v>
      </c>
    </row>
    <row r="302" spans="1:40" ht="15" customHeight="1">
      <c r="A302" s="258" t="s">
        <v>2460</v>
      </c>
      <c r="B302" s="263">
        <f>'Dry_Litterbag Placem_Collection'!A83</f>
        <v>81</v>
      </c>
      <c r="C302" s="263" t="str">
        <f>'Dry_Litterbag Placem_Collection'!B83</f>
        <v>Maswa</v>
      </c>
      <c r="D302" s="263" t="s">
        <v>2659</v>
      </c>
      <c r="E302" s="263" t="s">
        <v>2661</v>
      </c>
      <c r="F302" s="263">
        <v>3</v>
      </c>
      <c r="G302" s="264" t="str">
        <f>'Dry_Litterbag Placem_Collection'!C83</f>
        <v>Dry_W3_T1</v>
      </c>
      <c r="H302" s="265" t="s">
        <v>2541</v>
      </c>
      <c r="I302" s="272" t="s">
        <v>298</v>
      </c>
      <c r="J302" s="223" t="str">
        <f>'WetLitterbags placem_collection'!M83</f>
        <v>R187</v>
      </c>
      <c r="K302" s="225">
        <f>IFERROR(INDEX('Green_rooibos initial weight'!$C$5:$C$1749,MATCH(J302, 'Green_rooibos initial weight'!$A$5:$A$1749,0)),"")</f>
        <v>2.2210000000000001</v>
      </c>
      <c r="L302" s="225">
        <f>IFERROR(K302-(TBIcalc!$H$9+TBIcalc!$H$10),"")</f>
        <v>1.9712000000000001</v>
      </c>
      <c r="M302" s="391">
        <f>AVERAGE(Ashed_controlls!$K$12:$K$14)</f>
        <v>2.2816647271287041</v>
      </c>
      <c r="N302" s="225">
        <f t="shared" si="22"/>
        <v>1.926223824898839</v>
      </c>
      <c r="O302" s="225">
        <f>IF(IFERROR(INDEX('Both teabags AfterWet'!$C$3:$C$841,MATCH(J302,'Both teabags AfterWet'!$A$3:$A$841,0)),"")="","",(IFERROR(INDEX('Both teabags AfterWet'!$C$3:$C$841,MATCH(J302,'Both teabags AfterWet'!$A$3:$A$841,0)),"")))</f>
        <v>1.8420000000000001</v>
      </c>
      <c r="P302" s="225">
        <f>IFERROR(IF(O302&gt;0,O302-(TBIcalc!$H$9),""),"")</f>
        <v>1.6914</v>
      </c>
      <c r="Q302" s="225">
        <f>IFERROR(INDEX('Ashed teabags wet'!$K$2:$K$821,MATCH(J302,'Ashed teabags wet'!$A$2:$A$821,0)),"")</f>
        <v>4.2141794744665662</v>
      </c>
      <c r="R302" s="225">
        <f t="shared" si="26"/>
        <v>1.6201213683688724</v>
      </c>
      <c r="S302" s="226">
        <f>'WetLitterbags placem_collection'!E83</f>
        <v>42767</v>
      </c>
      <c r="T302" s="226">
        <f>IF('WetLitterbags placem_collection'!G83="","",'WetLitterbags placem_collection'!G83)</f>
        <v>42818</v>
      </c>
      <c r="U302" s="227">
        <f t="shared" si="23"/>
        <v>51</v>
      </c>
      <c r="V302" s="225">
        <f t="shared" si="24"/>
        <v>0.27980000000000005</v>
      </c>
      <c r="W302" s="225">
        <f t="shared" si="25"/>
        <v>0.30610245652996659</v>
      </c>
      <c r="X302">
        <f>IFERROR(INDEX(Rainfall_Wet!$O$2:$O$217,MATCH(B302, Rainfall_Wet!$A$2:$A$217,0)),"")</f>
        <v>185.01185076100001</v>
      </c>
      <c r="Y302" s="231">
        <v>38.691629007962128</v>
      </c>
      <c r="Z302" s="231">
        <v>26.81299763288143</v>
      </c>
      <c r="AA302" s="231">
        <v>34.495373359156439</v>
      </c>
      <c r="AB302" s="232" t="s">
        <v>2675</v>
      </c>
      <c r="AC302" s="231">
        <v>2.5483587974371611</v>
      </c>
      <c r="AD302">
        <f>IF('WetLitterbags placem_collection'!AB83="","",'WetLitterbags placem_collection'!AB83)</f>
        <v>6.2</v>
      </c>
      <c r="AE302">
        <f>IF('WetLitterbags placem_collection'!Z83="","",'WetLitterbags placem_collection'!Z83)</f>
        <v>13.3</v>
      </c>
      <c r="AF302" s="246" t="str">
        <f>IF('WetLitterbags placem_collection'!AA83="","",'WetLitterbags placem_collection'!AA83)</f>
        <v>O</v>
      </c>
      <c r="AG302">
        <f>IF('WetLitterbags placem_collection'!AC83="","",'WetLitterbags placem_collection'!AC83)</f>
        <v>0</v>
      </c>
      <c r="AH302" s="24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placem_collection'!W83)),"YES","NO")</f>
        <v>NO</v>
      </c>
      <c r="AM302" t="str">
        <f>IF(ISNUMBER(SEARCH("H", 'WetLitterbags placem_collection'!W83)),"YES","NO")</f>
        <v>NO</v>
      </c>
      <c r="AN302" t="str">
        <f>IF(ISNUMBER(SEARCH("R", 'WetLitterbags placem_collection'!W83)),"YES","NO")</f>
        <v>NO</v>
      </c>
    </row>
    <row r="303" spans="1:40" ht="15" customHeight="1">
      <c r="A303" s="258" t="s">
        <v>2460</v>
      </c>
      <c r="B303" s="263">
        <f>'Dry_Litterbag Placem_Collection'!A84</f>
        <v>82</v>
      </c>
      <c r="C303" s="263" t="str">
        <f>'Dry_Litterbag Placem_Collection'!B84</f>
        <v>Maswa</v>
      </c>
      <c r="D303" s="263" t="s">
        <v>2659</v>
      </c>
      <c r="E303" s="263" t="s">
        <v>2661</v>
      </c>
      <c r="F303" s="263">
        <v>3</v>
      </c>
      <c r="G303" s="264" t="str">
        <f>'Dry_Litterbag Placem_Collection'!C84</f>
        <v>Dry_W3_T2</v>
      </c>
      <c r="H303" s="265" t="s">
        <v>2541</v>
      </c>
      <c r="I303" s="272" t="s">
        <v>298</v>
      </c>
      <c r="J303" s="223" t="str">
        <f>'WetLitterbags placem_collection'!M84</f>
        <v>R83</v>
      </c>
      <c r="K303" s="225">
        <f>IFERROR(INDEX('Green_rooibos initial weight'!$C$5:$C$1749,MATCH(J303, 'Green_rooibos initial weight'!$A$5:$A$1749,0)),"")</f>
        <v>2.0390000000000001</v>
      </c>
      <c r="L303" s="225">
        <f>IFERROR(K303-(TBIcalc!$H$9+TBIcalc!$H$10),"")</f>
        <v>1.7892000000000001</v>
      </c>
      <c r="M303" s="391">
        <f>AVERAGE(Ashed_controlls!$K$12:$K$14)</f>
        <v>2.2816647271287041</v>
      </c>
      <c r="N303" s="225">
        <f t="shared" si="22"/>
        <v>1.7483764547022134</v>
      </c>
      <c r="O303" s="225">
        <f>IF(IFERROR(INDEX('Both teabags AfterWet'!$C$3:$C$841,MATCH(J303,'Both teabags AfterWet'!$A$3:$A$841,0)),"")="","",(IFERROR(INDEX('Both teabags AfterWet'!$C$3:$C$841,MATCH(J303,'Both teabags AfterWet'!$A$3:$A$841,0)),"")))</f>
        <v>1.5940000000000001</v>
      </c>
      <c r="P303" s="225">
        <f>IFERROR(IF(O303&gt;0,O303-(TBIcalc!$H$9),""),"")</f>
        <v>1.4434</v>
      </c>
      <c r="Q303" s="225">
        <f>IFERROR(INDEX('Ashed teabags wet'!$K$2:$K$821,MATCH(J303,'Ashed teabags wet'!$A$2:$A$821,0)),"")</f>
        <v>4.9489795918371247</v>
      </c>
      <c r="R303" s="225">
        <f t="shared" si="26"/>
        <v>1.371966428571423</v>
      </c>
      <c r="S303" s="226">
        <f>'WetLitterbags placem_collection'!E84</f>
        <v>42767</v>
      </c>
      <c r="T303" s="226">
        <f>IF('WetLitterbags placem_collection'!G84="","",'WetLitterbags placem_collection'!G84)</f>
        <v>42819</v>
      </c>
      <c r="U303" s="227">
        <f t="shared" si="23"/>
        <v>52</v>
      </c>
      <c r="V303" s="225">
        <f t="shared" si="24"/>
        <v>0.34580000000000011</v>
      </c>
      <c r="W303" s="225">
        <f t="shared" si="25"/>
        <v>0.37641002613079033</v>
      </c>
      <c r="X303">
        <f>IFERROR(INDEX(Rainfall_Wet!$O$2:$O$217,MATCH(B303, Rainfall_Wet!$A$2:$A$217,0)),"")</f>
        <v>194.93009798400001</v>
      </c>
      <c r="Y303" s="231">
        <v>38.691629007962128</v>
      </c>
      <c r="Z303" s="231">
        <v>26.81299763288143</v>
      </c>
      <c r="AA303" s="231">
        <v>34.495373359156439</v>
      </c>
      <c r="AB303" s="232" t="s">
        <v>2675</v>
      </c>
      <c r="AC303" s="231">
        <v>3.5483587974371602</v>
      </c>
      <c r="AD303">
        <f>IF('WetLitterbags placem_collection'!AB84="","",'WetLitterbags placem_collection'!AB84)</f>
        <v>2.4</v>
      </c>
      <c r="AE303">
        <f>IF('WetLitterbags placem_collection'!Z84="","",'WetLitterbags placem_collection'!Z84)</f>
        <v>16.600000000000001</v>
      </c>
      <c r="AF303" s="246" t="str">
        <f>IF('WetLitterbags placem_collection'!AA84="","",'WetLitterbags placem_collection'!AA84)</f>
        <v>O</v>
      </c>
      <c r="AG303" t="str">
        <f>IF('WetLitterbags placem_collection'!AC84="","",'WetLitterbags placem_collection'!AC84)</f>
        <v/>
      </c>
      <c r="AH303" s="24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placem_collection'!W84)),"YES","NO")</f>
        <v>NO</v>
      </c>
      <c r="AM303" t="str">
        <f>IF(ISNUMBER(SEARCH("H", 'WetLitterbags placem_collection'!W84)),"YES","NO")</f>
        <v>YES</v>
      </c>
      <c r="AN303" t="str">
        <f>IF(ISNUMBER(SEARCH("R", 'WetLitterbags placem_collection'!W84)),"YES","NO")</f>
        <v>YES</v>
      </c>
    </row>
    <row r="304" spans="1:40" ht="15" customHeight="1">
      <c r="A304" s="258" t="s">
        <v>2460</v>
      </c>
      <c r="B304" s="263">
        <f>'Dry_Litterbag Placem_Collection'!A85</f>
        <v>83</v>
      </c>
      <c r="C304" s="263" t="str">
        <f>'Dry_Litterbag Placem_Collection'!B85</f>
        <v>Maswa</v>
      </c>
      <c r="D304" s="263" t="s">
        <v>2659</v>
      </c>
      <c r="E304" s="263" t="s">
        <v>2661</v>
      </c>
      <c r="F304" s="263">
        <v>3</v>
      </c>
      <c r="G304" s="264" t="str">
        <f>'Dry_Litterbag Placem_Collection'!C85</f>
        <v>Dry_W3_T3</v>
      </c>
      <c r="H304" s="265" t="s">
        <v>2541</v>
      </c>
      <c r="I304" s="272" t="s">
        <v>298</v>
      </c>
      <c r="J304" s="223" t="str">
        <f>'WetLitterbags placem_collection'!M85</f>
        <v>R134</v>
      </c>
      <c r="K304" s="225">
        <f>IFERROR(INDEX('Green_rooibos initial weight'!$C$5:$C$1749,MATCH(J304, 'Green_rooibos initial weight'!$A$5:$A$1749,0)),"")</f>
        <v>2.21</v>
      </c>
      <c r="L304" s="225">
        <f>IFERROR(K304-(TBIcalc!$H$9+TBIcalc!$H$10),"")</f>
        <v>1.9601999999999999</v>
      </c>
      <c r="M304" s="391">
        <f>AVERAGE(Ashed_controlls!$K$12:$K$14)</f>
        <v>2.2816647271287041</v>
      </c>
      <c r="N304" s="225">
        <f t="shared" si="22"/>
        <v>1.9154748080188231</v>
      </c>
      <c r="O304" s="225">
        <f>IF(IFERROR(INDEX('Both teabags AfterWet'!$C$3:$C$841,MATCH(J304,'Both teabags AfterWet'!$A$3:$A$841,0)),"")="","",(IFERROR(INDEX('Both teabags AfterWet'!$C$3:$C$841,MATCH(J304,'Both teabags AfterWet'!$A$3:$A$841,0)),"")))</f>
        <v>0.98799999999999999</v>
      </c>
      <c r="P304" s="225">
        <f>IFERROR(IF(O304&gt;0,O304-(TBIcalc!$H$9),""),"")</f>
        <v>0.83739999999999992</v>
      </c>
      <c r="Q304" s="225">
        <f>IFERROR(INDEX('Ashed teabags wet'!$K$2:$K$821,MATCH(J304,'Ashed teabags wet'!$A$2:$A$821,0)),"")</f>
        <v>61.99804113614087</v>
      </c>
      <c r="R304" s="225">
        <f t="shared" si="26"/>
        <v>0.31822840352595638</v>
      </c>
      <c r="S304" s="226">
        <f>'WetLitterbags placem_collection'!E85</f>
        <v>42767</v>
      </c>
      <c r="T304" s="226">
        <f>IF('WetLitterbags placem_collection'!G85="","",'WetLitterbags placem_collection'!G85)</f>
        <v>42819</v>
      </c>
      <c r="U304" s="227">
        <f t="shared" si="23"/>
        <v>52</v>
      </c>
      <c r="V304" s="225">
        <f t="shared" si="24"/>
        <v>1.1228</v>
      </c>
      <c r="W304" s="225">
        <f t="shared" si="25"/>
        <v>1.5972464044928667</v>
      </c>
      <c r="X304">
        <f>IFERROR(INDEX(Rainfall_Wet!$O$2:$O$217,MATCH(B304, Rainfall_Wet!$A$2:$A$217,0)),"")</f>
        <v>194.93009798400001</v>
      </c>
      <c r="Y304" s="231">
        <v>38.691629007962128</v>
      </c>
      <c r="Z304" s="231">
        <v>26.81299763288143</v>
      </c>
      <c r="AA304" s="231">
        <v>34.495373359156439</v>
      </c>
      <c r="AB304" s="232" t="s">
        <v>2675</v>
      </c>
      <c r="AC304" s="231">
        <v>4.5483587974371602</v>
      </c>
      <c r="AD304">
        <f>IF('WetLitterbags placem_collection'!AB85="","",'WetLitterbags placem_collection'!AB85)</f>
        <v>6.4</v>
      </c>
      <c r="AE304">
        <f>IF('WetLitterbags placem_collection'!Z85="","",'WetLitterbags placem_collection'!Z85)</f>
        <v>42</v>
      </c>
      <c r="AF304" s="246" t="str">
        <f>IF('WetLitterbags placem_collection'!AA85="","",'WetLitterbags placem_collection'!AA85)</f>
        <v>M</v>
      </c>
      <c r="AG304">
        <f>IF('WetLitterbags placem_collection'!AC85="","",'WetLitterbags placem_collection'!AC85)</f>
        <v>1</v>
      </c>
      <c r="AH304" s="24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placem_collection'!W85)),"YES","NO")</f>
        <v>NO</v>
      </c>
      <c r="AM304" t="str">
        <f>IF(ISNUMBER(SEARCH("H", 'WetLitterbags placem_collection'!W85)),"YES","NO")</f>
        <v>YES</v>
      </c>
      <c r="AN304" t="str">
        <f>IF(ISNUMBER(SEARCH("R", 'WetLitterbags placem_collection'!W85)),"YES","NO")</f>
        <v>NO</v>
      </c>
    </row>
    <row r="305" spans="1:40" ht="15" customHeight="1">
      <c r="A305" s="258" t="s">
        <v>2460</v>
      </c>
      <c r="B305" s="263">
        <f>'Dry_Litterbag Placem_Collection'!A86</f>
        <v>84</v>
      </c>
      <c r="C305" s="263" t="str">
        <f>'Dry_Litterbag Placem_Collection'!B86</f>
        <v>Maswa</v>
      </c>
      <c r="D305" s="263" t="s">
        <v>2659</v>
      </c>
      <c r="E305" s="263" t="s">
        <v>2661</v>
      </c>
      <c r="F305" s="263">
        <v>3</v>
      </c>
      <c r="G305" s="264" t="str">
        <f>'Dry_Litterbag Placem_Collection'!C86</f>
        <v>Dry_W3_T4</v>
      </c>
      <c r="H305" s="265" t="s">
        <v>2541</v>
      </c>
      <c r="I305" s="272" t="s">
        <v>298</v>
      </c>
      <c r="J305" s="223" t="str">
        <f>'WetLitterbags placem_collection'!M86</f>
        <v>R49</v>
      </c>
      <c r="K305" s="225">
        <f>IFERROR(INDEX('Green_rooibos initial weight'!$C$5:$C$1749,MATCH(J305, 'Green_rooibos initial weight'!$A$5:$A$1749,0)),"")</f>
        <v>2.2999999999999998</v>
      </c>
      <c r="L305" s="225">
        <f>IFERROR(K305-(TBIcalc!$H$9+TBIcalc!$H$10),"")</f>
        <v>2.0501999999999998</v>
      </c>
      <c r="M305" s="391">
        <f>AVERAGE(Ashed_controlls!$K$12:$K$14)</f>
        <v>2.2816647271287041</v>
      </c>
      <c r="N305" s="225">
        <f t="shared" si="22"/>
        <v>2.0034213097644069</v>
      </c>
      <c r="O305" s="225">
        <f>IF(IFERROR(INDEX('Both teabags AfterWet'!$C$3:$C$841,MATCH(J305,'Both teabags AfterWet'!$A$3:$A$841,0)),"")="","",(IFERROR(INDEX('Both teabags AfterWet'!$C$3:$C$841,MATCH(J305,'Both teabags AfterWet'!$A$3:$A$841,0)),"")))</f>
        <v>1.6379999999999999</v>
      </c>
      <c r="P305" s="225">
        <f>IFERROR(IF(O305&gt;0,O305-(TBIcalc!$H$9),""),"")</f>
        <v>1.4873999999999998</v>
      </c>
      <c r="Q305" s="225">
        <f>IFERROR(INDEX('Ashed teabags wet'!$K$2:$K$821,MATCH(J305,'Ashed teabags wet'!$A$2:$A$821,0)),"")</f>
        <v>8.8249634324722646</v>
      </c>
      <c r="R305" s="225">
        <f t="shared" si="26"/>
        <v>1.3561374939054074</v>
      </c>
      <c r="S305" s="226">
        <f>'WetLitterbags placem_collection'!E86</f>
        <v>42767</v>
      </c>
      <c r="T305" s="226">
        <f>IF('WetLitterbags placem_collection'!G86="","",'WetLitterbags placem_collection'!G86)</f>
        <v>42819</v>
      </c>
      <c r="U305" s="227">
        <f t="shared" si="23"/>
        <v>52</v>
      </c>
      <c r="V305" s="225">
        <f t="shared" si="24"/>
        <v>0.56279999999999997</v>
      </c>
      <c r="W305" s="225">
        <f t="shared" si="25"/>
        <v>0.64728381585899952</v>
      </c>
      <c r="X305">
        <f>IFERROR(INDEX(Rainfall_Wet!$O$2:$O$217,MATCH(B305, Rainfall_Wet!$A$2:$A$217,0)),"")</f>
        <v>194.93009798400001</v>
      </c>
      <c r="Y305" s="231">
        <v>38.691629007962128</v>
      </c>
      <c r="Z305" s="231">
        <v>26.81299763288143</v>
      </c>
      <c r="AA305" s="231">
        <v>34.495373359156439</v>
      </c>
      <c r="AB305" s="232" t="s">
        <v>2675</v>
      </c>
      <c r="AC305" s="231">
        <v>5.5483587974371602</v>
      </c>
      <c r="AD305">
        <f>IF('WetLitterbags placem_collection'!AB86="","",'WetLitterbags placem_collection'!AB86)</f>
        <v>5.5</v>
      </c>
      <c r="AE305">
        <f>IF('WetLitterbags placem_collection'!Z86="","",'WetLitterbags placem_collection'!Z86)</f>
        <v>55.8</v>
      </c>
      <c r="AF305" s="246" t="str">
        <f>IF('WetLitterbags placem_collection'!AA86="","",'WetLitterbags placem_collection'!AA86)</f>
        <v>M</v>
      </c>
      <c r="AG305">
        <f>IF('WetLitterbags placem_collection'!AC86="","",'WetLitterbags placem_collection'!AC86)</f>
        <v>1</v>
      </c>
      <c r="AH305" s="24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placem_collection'!W86)),"YES","NO")</f>
        <v>NO</v>
      </c>
      <c r="AM305" t="str">
        <f>IF(ISNUMBER(SEARCH("H", 'WetLitterbags placem_collection'!W86)),"YES","NO")</f>
        <v>NO</v>
      </c>
      <c r="AN305" t="str">
        <f>IF(ISNUMBER(SEARCH("R", 'WetLitterbags placem_collection'!W86)),"YES","NO")</f>
        <v>YES</v>
      </c>
    </row>
    <row r="306" spans="1:40" ht="15" customHeight="1">
      <c r="A306" s="258" t="s">
        <v>2460</v>
      </c>
      <c r="B306" s="263">
        <f>'Dry_Litterbag Placem_Collection'!A87</f>
        <v>85</v>
      </c>
      <c r="C306" s="263" t="str">
        <f>'Dry_Litterbag Placem_Collection'!B87</f>
        <v>Maswa</v>
      </c>
      <c r="D306" s="263" t="s">
        <v>2659</v>
      </c>
      <c r="E306" s="263" t="s">
        <v>2661</v>
      </c>
      <c r="F306" s="263">
        <v>3</v>
      </c>
      <c r="G306" s="264" t="str">
        <f>'Dry_Litterbag Placem_Collection'!C87</f>
        <v>Dry_W3_T5</v>
      </c>
      <c r="H306" s="265" t="s">
        <v>2541</v>
      </c>
      <c r="I306" s="272" t="s">
        <v>298</v>
      </c>
      <c r="J306" s="223" t="str">
        <f>'WetLitterbags placem_collection'!M87</f>
        <v>R315</v>
      </c>
      <c r="K306" s="225">
        <f>IFERROR(INDEX('Green_rooibos initial weight'!$C$5:$C$1749,MATCH(J306, 'Green_rooibos initial weight'!$A$5:$A$1749,0)),"")</f>
        <v>2.2440000000000002</v>
      </c>
      <c r="L306" s="225">
        <f>IFERROR(K306-(TBIcalc!$H$9+TBIcalc!$H$10),"")</f>
        <v>1.9942000000000002</v>
      </c>
      <c r="M306" s="391">
        <f>AVERAGE(Ashed_controlls!$K$12:$K$14)</f>
        <v>2.2816647271287041</v>
      </c>
      <c r="N306" s="225">
        <f t="shared" si="22"/>
        <v>1.9486990420115995</v>
      </c>
      <c r="O306" s="225">
        <f>IF(IFERROR(INDEX('Both teabags AfterWet'!$C$3:$C$841,MATCH(J306,'Both teabags AfterWet'!$A$3:$A$841,0)),"")="","",(IFERROR(INDEX('Both teabags AfterWet'!$C$3:$C$841,MATCH(J306,'Both teabags AfterWet'!$A$3:$A$841,0)),"")))</f>
        <v>1.4850000000000001</v>
      </c>
      <c r="P306" s="225">
        <f>IFERROR(IF(O306&gt;0,O306-(TBIcalc!$H$9),""),"")</f>
        <v>1.3344</v>
      </c>
      <c r="Q306" s="225">
        <f>IFERROR(INDEX('Ashed teabags wet'!$K$2:$K$821,MATCH(J306,'Ashed teabags wet'!$A$2:$A$821,0)),"")</f>
        <v>10.368550368550631</v>
      </c>
      <c r="R306" s="225">
        <f t="shared" si="26"/>
        <v>1.1960420638820604</v>
      </c>
      <c r="S306" s="226">
        <f>'WetLitterbags placem_collection'!E87</f>
        <v>42767</v>
      </c>
      <c r="T306" s="226">
        <f>IF('WetLitterbags placem_collection'!G87="","",'WetLitterbags placem_collection'!G87)</f>
        <v>42819</v>
      </c>
      <c r="U306" s="227">
        <f t="shared" si="23"/>
        <v>52</v>
      </c>
      <c r="V306" s="225">
        <f t="shared" si="24"/>
        <v>0.65980000000000016</v>
      </c>
      <c r="W306" s="225">
        <f t="shared" si="25"/>
        <v>0.75265697812953913</v>
      </c>
      <c r="X306">
        <f>IFERROR(INDEX(Rainfall_Wet!$O$2:$O$217,MATCH(B306, Rainfall_Wet!$A$2:$A$217,0)),"")</f>
        <v>194.93009798400001</v>
      </c>
      <c r="Y306" s="231">
        <v>38.691629007962128</v>
      </c>
      <c r="Z306" s="231">
        <v>26.81299763288143</v>
      </c>
      <c r="AA306" s="231">
        <v>34.495373359156439</v>
      </c>
      <c r="AB306" s="232" t="s">
        <v>2675</v>
      </c>
      <c r="AC306" s="231">
        <v>6.5483587974371602</v>
      </c>
      <c r="AD306">
        <f>IF('WetLitterbags placem_collection'!AB87="","",'WetLitterbags placem_collection'!AB87)</f>
        <v>8.6</v>
      </c>
      <c r="AE306">
        <f>IF('WetLitterbags placem_collection'!Z87="","",'WetLitterbags placem_collection'!Z87)</f>
        <v>3.8</v>
      </c>
      <c r="AF306" s="246" t="str">
        <f>IF('WetLitterbags placem_collection'!AA87="","",'WetLitterbags placem_collection'!AA87)</f>
        <v>O</v>
      </c>
      <c r="AG306">
        <f>IF('WetLitterbags placem_collection'!AC87="","",'WetLitterbags placem_collection'!AC87)</f>
        <v>0</v>
      </c>
      <c r="AH306" s="24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placem_collection'!W87)),"YES","NO")</f>
        <v>YES</v>
      </c>
      <c r="AM306" t="str">
        <f>IF(ISNUMBER(SEARCH("H", 'WetLitterbags placem_collection'!W87)),"YES","NO")</f>
        <v>YES</v>
      </c>
      <c r="AN306" t="str">
        <f>IF(ISNUMBER(SEARCH("R", 'WetLitterbags placem_collection'!W87)),"YES","NO")</f>
        <v>YES</v>
      </c>
    </row>
    <row r="307" spans="1:40" ht="15" customHeight="1">
      <c r="A307" s="258" t="s">
        <v>2460</v>
      </c>
      <c r="B307" s="263">
        <f>'Dry_Litterbag Placem_Collection'!A88</f>
        <v>86</v>
      </c>
      <c r="C307" s="263" t="str">
        <f>'Dry_Litterbag Placem_Collection'!B88</f>
        <v>Maswa</v>
      </c>
      <c r="D307" s="263" t="s">
        <v>2659</v>
      </c>
      <c r="E307" s="263" t="s">
        <v>2661</v>
      </c>
      <c r="F307" s="263">
        <v>3</v>
      </c>
      <c r="G307" s="264" t="str">
        <f>'Dry_Litterbag Placem_Collection'!C88</f>
        <v>Dry_W3_T6</v>
      </c>
      <c r="H307" s="265" t="s">
        <v>2541</v>
      </c>
      <c r="I307" s="272" t="s">
        <v>298</v>
      </c>
      <c r="J307" s="223" t="str">
        <f>'WetLitterbags placem_collection'!M88</f>
        <v>R1</v>
      </c>
      <c r="K307" s="225">
        <f>IFERROR(INDEX('Green_rooibos initial weight'!$C$5:$C$1749,MATCH(J307, 'Green_rooibos initial weight'!$A$5:$A$1749,0)),"")</f>
        <v>2.2109999999999999</v>
      </c>
      <c r="L307" s="225">
        <f>IFERROR(K307-(TBIcalc!$H$9+TBIcalc!$H$10),"")</f>
        <v>1.9611999999999998</v>
      </c>
      <c r="M307" s="391">
        <f>AVERAGE(Ashed_controlls!$K$12:$K$14)</f>
        <v>2.2816647271287041</v>
      </c>
      <c r="N307" s="225">
        <f t="shared" si="22"/>
        <v>1.9164519913715516</v>
      </c>
      <c r="O307" s="225">
        <f>IF(IFERROR(INDEX('Both teabags AfterWet'!$C$3:$C$841,MATCH(J307,'Both teabags AfterWet'!$A$3:$A$841,0)),"")="","",(IFERROR(INDEX('Both teabags AfterWet'!$C$3:$C$841,MATCH(J307,'Both teabags AfterWet'!$A$3:$A$841,0)),"")))</f>
        <v>0.38169999999999998</v>
      </c>
      <c r="P307" s="225">
        <f>IFERROR(IF(O307&gt;0,O307-(TBIcalc!$H$9),""),"")</f>
        <v>0.23109999999999997</v>
      </c>
      <c r="Q307" s="225" t="str">
        <f>IFERROR(INDEX('Ashed teabags wet'!$K$2:$K$821,MATCH(J307,'Ashed teabags wet'!$A$2:$A$821,0)),"")</f>
        <v/>
      </c>
      <c r="R307" s="225" t="str">
        <f t="shared" si="26"/>
        <v/>
      </c>
      <c r="S307" s="226">
        <f>'WetLitterbags placem_collection'!E88</f>
        <v>42767</v>
      </c>
      <c r="T307" s="226">
        <f>IF('WetLitterbags placem_collection'!G88="","",'WetLitterbags placem_collection'!G88)</f>
        <v>42819</v>
      </c>
      <c r="U307" s="227">
        <f t="shared" si="23"/>
        <v>52</v>
      </c>
      <c r="V307" s="225">
        <f t="shared" si="24"/>
        <v>1.7300999999999997</v>
      </c>
      <c r="W307" s="225" t="str">
        <f t="shared" si="25"/>
        <v/>
      </c>
      <c r="X307">
        <f>IFERROR(INDEX(Rainfall_Wet!$O$2:$O$217,MATCH(B307, Rainfall_Wet!$A$2:$A$217,0)),"")</f>
        <v>194.93009798400001</v>
      </c>
      <c r="Y307" s="231">
        <v>38.691629007962128</v>
      </c>
      <c r="Z307" s="231">
        <v>26.81299763288143</v>
      </c>
      <c r="AA307" s="231">
        <v>34.495373359156439</v>
      </c>
      <c r="AB307" s="232" t="s">
        <v>2675</v>
      </c>
      <c r="AC307" s="231">
        <v>7.5483587974371602</v>
      </c>
      <c r="AD307">
        <f>IF('WetLitterbags placem_collection'!AB88="","",'WetLitterbags placem_collection'!AB88)</f>
        <v>3.7</v>
      </c>
      <c r="AE307">
        <f>IF('WetLitterbags placem_collection'!Z88="","",'WetLitterbags placem_collection'!Z88)</f>
        <v>7.5</v>
      </c>
      <c r="AF307" s="246" t="str">
        <f>IF('WetLitterbags placem_collection'!AA88="","",'WetLitterbags placem_collection'!AA88)</f>
        <v>O</v>
      </c>
      <c r="AG307">
        <f>IF('WetLitterbags placem_collection'!AC88="","",'WetLitterbags placem_collection'!AC88)</f>
        <v>0</v>
      </c>
      <c r="AH307" s="24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placem_collection'!W88)),"YES","NO")</f>
        <v>YES</v>
      </c>
      <c r="AM307" t="str">
        <f>IF(ISNUMBER(SEARCH("H", 'WetLitterbags placem_collection'!W88)),"YES","NO")</f>
        <v>YES</v>
      </c>
      <c r="AN307" t="str">
        <f>IF(ISNUMBER(SEARCH("R", 'WetLitterbags placem_collection'!W88)),"YES","NO")</f>
        <v>YES</v>
      </c>
    </row>
    <row r="308" spans="1:40" ht="15" customHeight="1">
      <c r="A308" s="258" t="s">
        <v>2460</v>
      </c>
      <c r="B308" s="263">
        <f>'Dry_Litterbag Placem_Collection'!A89</f>
        <v>87</v>
      </c>
      <c r="C308" s="263" t="str">
        <f>'Dry_Litterbag Placem_Collection'!B89</f>
        <v>Maswa</v>
      </c>
      <c r="D308" s="263" t="s">
        <v>2659</v>
      </c>
      <c r="E308" s="263" t="s">
        <v>2661</v>
      </c>
      <c r="F308" s="263">
        <v>3</v>
      </c>
      <c r="G308" s="264" t="str">
        <f>'Dry_Litterbag Placem_Collection'!C89</f>
        <v>Dry_W3_T7</v>
      </c>
      <c r="H308" s="265" t="s">
        <v>2541</v>
      </c>
      <c r="I308" s="272" t="s">
        <v>298</v>
      </c>
      <c r="J308" s="223" t="str">
        <f>'WetLitterbags placem_collection'!M89</f>
        <v>R408</v>
      </c>
      <c r="K308" s="225">
        <f>IFERROR(INDEX('Green_rooibos initial weight'!$C$5:$C$1749,MATCH(J308, 'Green_rooibos initial weight'!$A$5:$A$1749,0)),"")</f>
        <v>2.2480000000000002</v>
      </c>
      <c r="L308" s="225">
        <f>IFERROR(K308-(TBIcalc!$H$9+TBIcalc!$H$10),"")</f>
        <v>1.9982000000000002</v>
      </c>
      <c r="M308" s="391">
        <f>AVERAGE(Ashed_controlls!$K$12:$K$14)</f>
        <v>2.2816647271287041</v>
      </c>
      <c r="N308" s="225">
        <f t="shared" si="22"/>
        <v>1.9526077754225144</v>
      </c>
      <c r="O308" s="225">
        <f>IF(IFERROR(INDEX('Both teabags AfterWet'!$C$3:$C$841,MATCH(J308,'Both teabags AfterWet'!$A$3:$A$841,0)),"")="","",(IFERROR(INDEX('Both teabags AfterWet'!$C$3:$C$841,MATCH(J308,'Both teabags AfterWet'!$A$3:$A$841,0)),"")))</f>
        <v>0.3599</v>
      </c>
      <c r="P308" s="225">
        <f>IFERROR(IF(O308&gt;0,O308-(TBIcalc!$H$9),""),"")</f>
        <v>0.20929999999999999</v>
      </c>
      <c r="Q308" s="225" t="str">
        <f>IFERROR(INDEX('Ashed teabags wet'!$K$2:$K$821,MATCH(J308,'Ashed teabags wet'!$A$2:$A$821,0)),"")</f>
        <v/>
      </c>
      <c r="R308" s="225" t="str">
        <f t="shared" si="26"/>
        <v/>
      </c>
      <c r="S308" s="226">
        <f>'WetLitterbags placem_collection'!E89</f>
        <v>42767</v>
      </c>
      <c r="T308" s="226">
        <f>IF('WetLitterbags placem_collection'!G89="","",'WetLitterbags placem_collection'!G89)</f>
        <v>42819</v>
      </c>
      <c r="U308" s="227">
        <f t="shared" si="23"/>
        <v>52</v>
      </c>
      <c r="V308" s="225">
        <f t="shared" si="24"/>
        <v>1.7889000000000002</v>
      </c>
      <c r="W308" s="225" t="str">
        <f t="shared" si="25"/>
        <v/>
      </c>
      <c r="X308">
        <f>IFERROR(INDEX(Rainfall_Wet!$O$2:$O$217,MATCH(B308, Rainfall_Wet!$A$2:$A$217,0)),"")</f>
        <v>194.93009798400001</v>
      </c>
      <c r="Y308" s="231">
        <v>38.691629007962128</v>
      </c>
      <c r="Z308" s="231">
        <v>26.81299763288143</v>
      </c>
      <c r="AA308" s="231">
        <v>34.495373359156439</v>
      </c>
      <c r="AB308" s="232" t="s">
        <v>2675</v>
      </c>
      <c r="AC308" s="231">
        <v>8.5483587974371602</v>
      </c>
      <c r="AD308">
        <f>IF('WetLitterbags placem_collection'!AB89="","",'WetLitterbags placem_collection'!AB89)</f>
        <v>7.5</v>
      </c>
      <c r="AE308">
        <f>IF('WetLitterbags placem_collection'!Z89="","",'WetLitterbags placem_collection'!Z89)</f>
        <v>12.6</v>
      </c>
      <c r="AF308" s="246" t="str">
        <f>IF('WetLitterbags placem_collection'!AA89="","",'WetLitterbags placem_collection'!AA89)</f>
        <v>O</v>
      </c>
      <c r="AG308">
        <f>IF('WetLitterbags placem_collection'!AC89="","",'WetLitterbags placem_collection'!AC89)</f>
        <v>1</v>
      </c>
      <c r="AH308" s="24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placem_collection'!W89)),"YES","NO")</f>
        <v>YES</v>
      </c>
      <c r="AM308" t="str">
        <f>IF(ISNUMBER(SEARCH("H", 'WetLitterbags placem_collection'!W89)),"YES","NO")</f>
        <v>NO</v>
      </c>
      <c r="AN308" t="str">
        <f>IF(ISNUMBER(SEARCH("R", 'WetLitterbags placem_collection'!W89)),"YES","NO")</f>
        <v>YES</v>
      </c>
    </row>
    <row r="309" spans="1:40" ht="15" customHeight="1">
      <c r="A309" s="258" t="s">
        <v>2460</v>
      </c>
      <c r="B309" s="263">
        <f>'Dry_Litterbag Placem_Collection'!A90</f>
        <v>88</v>
      </c>
      <c r="C309" s="263" t="str">
        <f>'Dry_Litterbag Placem_Collection'!B90</f>
        <v>Maswa</v>
      </c>
      <c r="D309" s="263" t="s">
        <v>2659</v>
      </c>
      <c r="E309" s="263" t="s">
        <v>2661</v>
      </c>
      <c r="F309" s="263">
        <v>3</v>
      </c>
      <c r="G309" s="264" t="str">
        <f>'Dry_Litterbag Placem_Collection'!C90</f>
        <v>Dry_W3_T8</v>
      </c>
      <c r="H309" s="265" t="s">
        <v>2541</v>
      </c>
      <c r="I309" s="272" t="s">
        <v>298</v>
      </c>
      <c r="J309" s="223" t="str">
        <f>'WetLitterbags placem_collection'!M90</f>
        <v>R385</v>
      </c>
      <c r="K309" s="225">
        <f>IFERROR(INDEX('Green_rooibos initial weight'!$C$5:$C$1749,MATCH(J309, 'Green_rooibos initial weight'!$A$5:$A$1749,0)),"")</f>
        <v>2.2559999999999998</v>
      </c>
      <c r="L309" s="225">
        <f>IFERROR(K309-(TBIcalc!$H$9+TBIcalc!$H$10),"")</f>
        <v>2.0061999999999998</v>
      </c>
      <c r="M309" s="391">
        <f>AVERAGE(Ashed_controlls!$K$12:$K$14)</f>
        <v>2.2816647271287041</v>
      </c>
      <c r="N309" s="225">
        <f t="shared" si="22"/>
        <v>1.9604252422443438</v>
      </c>
      <c r="O309" s="225" t="str">
        <f>IF(IFERROR(INDEX('Both teabags AfterWet'!$C$3:$C$841,MATCH(J309,'Both teabags AfterWet'!$A$3:$A$841,0)),"")="","",(IFERROR(INDEX('Both teabags AfterWet'!$C$3:$C$841,MATCH(J309,'Both teabags AfterWet'!$A$3:$A$841,0)),"")))</f>
        <v/>
      </c>
      <c r="P309" s="225" t="str">
        <f>IFERROR(IF(O309&gt;0,O309-(TBIcalc!$H$9),""),"")</f>
        <v/>
      </c>
      <c r="Q309" s="225" t="str">
        <f>IFERROR(INDEX('Ashed teabags wet'!$K$2:$K$821,MATCH(J309,'Ashed teabags wet'!$A$2:$A$821,0)),"")</f>
        <v/>
      </c>
      <c r="R309" s="225" t="str">
        <f t="shared" si="26"/>
        <v/>
      </c>
      <c r="S309" s="226">
        <f>'WetLitterbags placem_collection'!E90</f>
        <v>42767</v>
      </c>
      <c r="T309" s="226" t="str">
        <f>IF('WetLitterbags placem_collection'!G90="","",'WetLitterbags placem_collection'!G90)</f>
        <v/>
      </c>
      <c r="U309" s="227" t="str">
        <f t="shared" si="23"/>
        <v/>
      </c>
      <c r="V309" s="225" t="str">
        <f t="shared" si="24"/>
        <v/>
      </c>
      <c r="W309" s="225" t="str">
        <f t="shared" si="25"/>
        <v/>
      </c>
      <c r="X309" t="str">
        <f>IFERROR(INDEX(Rainfall_Wet!$O$2:$O$217,MATCH(B309, Rainfall_Wet!$A$2:$A$217,0)),"")</f>
        <v/>
      </c>
      <c r="Y309" s="231">
        <v>38.691629007962128</v>
      </c>
      <c r="Z309" s="231">
        <v>26.81299763288143</v>
      </c>
      <c r="AA309" s="231">
        <v>34.495373359156439</v>
      </c>
      <c r="AB309" s="232" t="s">
        <v>2675</v>
      </c>
      <c r="AC309" s="231">
        <v>9.5483587974371602</v>
      </c>
      <c r="AD309" t="str">
        <f>IF('WetLitterbags placem_collection'!AB90="","",'WetLitterbags placem_collection'!AB90)</f>
        <v/>
      </c>
      <c r="AE309" t="str">
        <f>IF('WetLitterbags placem_collection'!Z90="","",'WetLitterbags placem_collection'!Z90)</f>
        <v/>
      </c>
      <c r="AF309" s="246" t="str">
        <f>IF('WetLitterbags placem_collection'!AA90="","",'WetLitterbags placem_collection'!AA90)</f>
        <v/>
      </c>
      <c r="AG309" t="str">
        <f>IF('WetLitterbags placem_collection'!AC90="","",'WetLitterbags placem_collection'!AC90)</f>
        <v/>
      </c>
      <c r="AH309" s="24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placem_collection'!W90)),"YES","NO")</f>
        <v>NO</v>
      </c>
      <c r="AM309" t="str">
        <f>IF(ISNUMBER(SEARCH("H", 'WetLitterbags placem_collection'!W90)),"YES","NO")</f>
        <v>NO</v>
      </c>
      <c r="AN309" t="str">
        <f>IF(ISNUMBER(SEARCH("R", 'WetLitterbags placem_collection'!W90)),"YES","NO")</f>
        <v>NO</v>
      </c>
    </row>
    <row r="310" spans="1:40" ht="15" customHeight="1">
      <c r="A310" s="258" t="s">
        <v>2460</v>
      </c>
      <c r="B310" s="263">
        <f>'Dry_Litterbag Placem_Collection'!A91</f>
        <v>89</v>
      </c>
      <c r="C310" s="263" t="str">
        <f>'Dry_Litterbag Placem_Collection'!B91</f>
        <v>Maswa</v>
      </c>
      <c r="D310" s="263" t="s">
        <v>2659</v>
      </c>
      <c r="E310" s="263" t="s">
        <v>2661</v>
      </c>
      <c r="F310" s="263">
        <v>4</v>
      </c>
      <c r="G310" s="264" t="str">
        <f>'Dry_Litterbag Placem_Collection'!C91</f>
        <v>Dry_W4_T1</v>
      </c>
      <c r="H310" s="265" t="s">
        <v>2541</v>
      </c>
      <c r="I310" s="272" t="s">
        <v>298</v>
      </c>
      <c r="J310" s="223" t="str">
        <f>'WetLitterbags placem_collection'!M91</f>
        <v>R196</v>
      </c>
      <c r="K310" s="225">
        <f>IFERROR(INDEX('Green_rooibos initial weight'!$C$5:$C$1749,MATCH(J310, 'Green_rooibos initial weight'!$A$5:$A$1749,0)),"")</f>
        <v>2.242</v>
      </c>
      <c r="L310" s="225">
        <f>IFERROR(K310-(TBIcalc!$H$9+TBIcalc!$H$10),"")</f>
        <v>1.9922</v>
      </c>
      <c r="M310" s="391">
        <f>AVERAGE(Ashed_controlls!$K$12:$K$14)</f>
        <v>2.2816647271287041</v>
      </c>
      <c r="N310" s="225">
        <f t="shared" si="22"/>
        <v>1.9467446753061419</v>
      </c>
      <c r="O310" s="225">
        <f>IF(IFERROR(INDEX('Both teabags AfterWet'!$C$3:$C$841,MATCH(J310,'Both teabags AfterWet'!$A$3:$A$841,0)),"")="","",(IFERROR(INDEX('Both teabags AfterWet'!$C$3:$C$841,MATCH(J310,'Both teabags AfterWet'!$A$3:$A$841,0)),"")))</f>
        <v>0.17399999999999999</v>
      </c>
      <c r="P310" s="225">
        <f>IFERROR(IF(O310&gt;0,O310-(TBIcalc!$H$9),""),"")</f>
        <v>2.3399999999999976E-2</v>
      </c>
      <c r="Q310" s="225" t="str">
        <f>IFERROR(INDEX('Ashed teabags wet'!$K$2:$K$821,MATCH(J310,'Ashed teabags wet'!$A$2:$A$821,0)),"")</f>
        <v/>
      </c>
      <c r="R310" s="225" t="str">
        <f t="shared" si="26"/>
        <v/>
      </c>
      <c r="S310" s="226">
        <f>'WetLitterbags placem_collection'!E91</f>
        <v>42767</v>
      </c>
      <c r="T310" s="226">
        <f>IF('WetLitterbags placem_collection'!G91="","",'WetLitterbags placem_collection'!G91)</f>
        <v>42819</v>
      </c>
      <c r="U310" s="227">
        <f t="shared" si="23"/>
        <v>52</v>
      </c>
      <c r="V310" s="225">
        <f t="shared" si="24"/>
        <v>1.9687999999999999</v>
      </c>
      <c r="W310" s="225" t="str">
        <f t="shared" si="25"/>
        <v/>
      </c>
      <c r="X310">
        <f>IFERROR(INDEX(Rainfall_Wet!$O$2:$O$217,MATCH(B310, Rainfall_Wet!$A$2:$A$217,0)),"")</f>
        <v>194.93009798400001</v>
      </c>
      <c r="Y310" s="231">
        <v>28.145762029394</v>
      </c>
      <c r="Z310" s="231">
        <v>25.085564727199518</v>
      </c>
      <c r="AA310" s="231">
        <v>46.768673243406489</v>
      </c>
      <c r="AB310" s="232" t="s">
        <v>2670</v>
      </c>
      <c r="AC310" s="231">
        <v>2.1716214884179394</v>
      </c>
      <c r="AD310">
        <f>IF('WetLitterbags placem_collection'!AB91="","",'WetLitterbags placem_collection'!AB91)</f>
        <v>7.3</v>
      </c>
      <c r="AE310">
        <f>IF('WetLitterbags placem_collection'!Z91="","",'WetLitterbags placem_collection'!Z91)</f>
        <v>35.799999999999997</v>
      </c>
      <c r="AF310" s="246" t="str">
        <f>IF('WetLitterbags placem_collection'!AA91="","",'WetLitterbags placem_collection'!AA91)</f>
        <v>O</v>
      </c>
      <c r="AG310">
        <f>IF('WetLitterbags placem_collection'!AC91="","",'WetLitterbags placem_collection'!AC91)</f>
        <v>0</v>
      </c>
      <c r="AH310" s="24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placem_collection'!W91)),"YES","NO")</f>
        <v>NO</v>
      </c>
      <c r="AM310" t="str">
        <f>IF(ISNUMBER(SEARCH("H", 'WetLitterbags placem_collection'!W91)),"YES","NO")</f>
        <v>YES</v>
      </c>
      <c r="AN310" t="str">
        <f>IF(ISNUMBER(SEARCH("R", 'WetLitterbags placem_collection'!W91)),"YES","NO")</f>
        <v>YES</v>
      </c>
    </row>
    <row r="311" spans="1:40" ht="15" customHeight="1">
      <c r="A311" s="258" t="s">
        <v>2460</v>
      </c>
      <c r="B311" s="263">
        <f>'Dry_Litterbag Placem_Collection'!A92</f>
        <v>90</v>
      </c>
      <c r="C311" s="263" t="str">
        <f>'Dry_Litterbag Placem_Collection'!B92</f>
        <v>Maswa</v>
      </c>
      <c r="D311" s="263" t="s">
        <v>2659</v>
      </c>
      <c r="E311" s="263" t="s">
        <v>2661</v>
      </c>
      <c r="F311" s="263">
        <v>4</v>
      </c>
      <c r="G311" s="264" t="str">
        <f>'Dry_Litterbag Placem_Collection'!C92</f>
        <v>Dry_W4_T2</v>
      </c>
      <c r="H311" s="265" t="s">
        <v>2541</v>
      </c>
      <c r="I311" s="272" t="s">
        <v>298</v>
      </c>
      <c r="J311" s="223" t="str">
        <f>'WetLitterbags placem_collection'!M92</f>
        <v>R94</v>
      </c>
      <c r="K311" s="225">
        <f>IFERROR(INDEX('Green_rooibos initial weight'!$C$5:$C$1749,MATCH(J311, 'Green_rooibos initial weight'!$A$5:$A$1749,0)),"")</f>
        <v>2.2770000000000001</v>
      </c>
      <c r="L311" s="225">
        <f>IFERROR(K311-(TBIcalc!$H$9+TBIcalc!$H$10),"")</f>
        <v>2.0272000000000001</v>
      </c>
      <c r="M311" s="391">
        <f>AVERAGE(Ashed_controlls!$K$12:$K$14)</f>
        <v>2.2816647271287041</v>
      </c>
      <c r="N311" s="225">
        <f t="shared" si="22"/>
        <v>1.9809460926516471</v>
      </c>
      <c r="O311" s="225">
        <f>IF(IFERROR(INDEX('Both teabags AfterWet'!$C$3:$C$841,MATCH(J311,'Both teabags AfterWet'!$A$3:$A$841,0)),"")="","",(IFERROR(INDEX('Both teabags AfterWet'!$C$3:$C$841,MATCH(J311,'Both teabags AfterWet'!$A$3:$A$841,0)),"")))</f>
        <v>1.7455000000000001</v>
      </c>
      <c r="P311" s="225">
        <f>IFERROR(IF(O311&gt;0,O311-(TBIcalc!$H$9),""),"")</f>
        <v>1.5949</v>
      </c>
      <c r="Q311" s="225">
        <f>IFERROR(INDEX('Ashed teabags wet'!$K$2:$K$821,MATCH(J311,'Ashed teabags wet'!$A$2:$A$821,0)),"")</f>
        <v>4.0694789081900105</v>
      </c>
      <c r="R311" s="225">
        <f t="shared" si="26"/>
        <v>1.5299958808932774</v>
      </c>
      <c r="S311" s="226">
        <f>'WetLitterbags placem_collection'!E92</f>
        <v>42767</v>
      </c>
      <c r="T311" s="226">
        <f>IF('WetLitterbags placem_collection'!G92="","",'WetLitterbags placem_collection'!G92)</f>
        <v>42819</v>
      </c>
      <c r="U311" s="227">
        <f t="shared" si="23"/>
        <v>52</v>
      </c>
      <c r="V311" s="225">
        <f t="shared" si="24"/>
        <v>0.43230000000000013</v>
      </c>
      <c r="W311" s="225">
        <f t="shared" si="25"/>
        <v>0.45095021175836969</v>
      </c>
      <c r="X311">
        <f>IFERROR(INDEX(Rainfall_Wet!$O$2:$O$217,MATCH(B311, Rainfall_Wet!$A$2:$A$217,0)),"")</f>
        <v>194.93009798400001</v>
      </c>
      <c r="Y311" s="231">
        <v>28.145762029394</v>
      </c>
      <c r="Z311" s="231">
        <v>25.085564727199518</v>
      </c>
      <c r="AA311" s="231">
        <v>46.768673243406489</v>
      </c>
      <c r="AB311" s="232" t="s">
        <v>2670</v>
      </c>
      <c r="AC311" s="231">
        <v>3.1716214884179399</v>
      </c>
      <c r="AD311">
        <f>IF('WetLitterbags placem_collection'!AB92="","",'WetLitterbags placem_collection'!AB92)</f>
        <v>7.7</v>
      </c>
      <c r="AE311">
        <f>IF('WetLitterbags placem_collection'!Z92="","",'WetLitterbags placem_collection'!Z92)</f>
        <v>30.4</v>
      </c>
      <c r="AF311" s="246" t="str">
        <f>IF('WetLitterbags placem_collection'!AA92="","",'WetLitterbags placem_collection'!AA92)</f>
        <v>O</v>
      </c>
      <c r="AG311">
        <f>IF('WetLitterbags placem_collection'!AC92="","",'WetLitterbags placem_collection'!AC92)</f>
        <v>0</v>
      </c>
      <c r="AH311" s="24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placem_collection'!W92)),"YES","NO")</f>
        <v>NO</v>
      </c>
      <c r="AM311" t="str">
        <f>IF(ISNUMBER(SEARCH("H", 'WetLitterbags placem_collection'!W92)),"YES","NO")</f>
        <v>NO</v>
      </c>
      <c r="AN311" t="str">
        <f>IF(ISNUMBER(SEARCH("R", 'WetLitterbags placem_collection'!W92)),"YES","NO")</f>
        <v>YES</v>
      </c>
    </row>
    <row r="312" spans="1:40" ht="15" customHeight="1">
      <c r="A312" s="258" t="s">
        <v>2460</v>
      </c>
      <c r="B312" s="263">
        <f>'Dry_Litterbag Placem_Collection'!A93</f>
        <v>91</v>
      </c>
      <c r="C312" s="263" t="str">
        <f>'Dry_Litterbag Placem_Collection'!B93</f>
        <v>Maswa</v>
      </c>
      <c r="D312" s="263" t="s">
        <v>2659</v>
      </c>
      <c r="E312" s="263" t="s">
        <v>2661</v>
      </c>
      <c r="F312" s="263">
        <v>4</v>
      </c>
      <c r="G312" s="264" t="str">
        <f>'Dry_Litterbag Placem_Collection'!C93</f>
        <v>Dry_W4_T3</v>
      </c>
      <c r="H312" s="265" t="s">
        <v>2541</v>
      </c>
      <c r="I312" s="272" t="s">
        <v>298</v>
      </c>
      <c r="J312" s="223" t="str">
        <f>'WetLitterbags placem_collection'!M93</f>
        <v>R343</v>
      </c>
      <c r="K312" s="225">
        <f>IFERROR(INDEX('Green_rooibos initial weight'!$C$5:$C$1749,MATCH(J312, 'Green_rooibos initial weight'!$A$5:$A$1749,0)),"")</f>
        <v>2.2429999999999999</v>
      </c>
      <c r="L312" s="225">
        <f>IFERROR(K312-(TBIcalc!$H$9+TBIcalc!$H$10),"")</f>
        <v>1.9931999999999999</v>
      </c>
      <c r="M312" s="391">
        <f>AVERAGE(Ashed_controlls!$K$12:$K$14)</f>
        <v>2.2816647271287041</v>
      </c>
      <c r="N312" s="225">
        <f t="shared" si="22"/>
        <v>1.9477218586588705</v>
      </c>
      <c r="O312" s="225">
        <f>IF(IFERROR(INDEX('Both teabags AfterWet'!$C$3:$C$841,MATCH(J312,'Both teabags AfterWet'!$A$3:$A$841,0)),"")="","",(IFERROR(INDEX('Both teabags AfterWet'!$C$3:$C$841,MATCH(J312,'Both teabags AfterWet'!$A$3:$A$841,0)),"")))</f>
        <v>0.16200000000000001</v>
      </c>
      <c r="P312" s="225">
        <f>IFERROR(IF(O312&gt;0,O312-(TBIcalc!$H$9),""),"")</f>
        <v>1.1399999999999993E-2</v>
      </c>
      <c r="Q312" s="225">
        <f>IFERROR(INDEX('Ashed teabags wet'!$K$2:$K$821,MATCH(J312,'Ashed teabags wet'!$A$2:$A$821,0)),"")</f>
        <v>83.97683397683403</v>
      </c>
      <c r="R312" s="225">
        <f t="shared" si="26"/>
        <v>1.8266409266409194E-3</v>
      </c>
      <c r="S312" s="226">
        <f>'WetLitterbags placem_collection'!E93</f>
        <v>42767</v>
      </c>
      <c r="T312" s="226">
        <f>IF('WetLitterbags placem_collection'!G93="","",'WetLitterbags placem_collection'!G93)</f>
        <v>42819</v>
      </c>
      <c r="U312" s="227">
        <f t="shared" si="23"/>
        <v>52</v>
      </c>
      <c r="V312" s="225">
        <f t="shared" si="24"/>
        <v>1.9817999999999998</v>
      </c>
      <c r="W312" s="225">
        <f t="shared" si="25"/>
        <v>1.9458952177322295</v>
      </c>
      <c r="X312">
        <f>IFERROR(INDEX(Rainfall_Wet!$O$2:$O$217,MATCH(B312, Rainfall_Wet!$A$2:$A$217,0)),"")</f>
        <v>194.93009798400001</v>
      </c>
      <c r="Y312" s="231">
        <v>28.145762029394</v>
      </c>
      <c r="Z312" s="231">
        <v>25.085564727199518</v>
      </c>
      <c r="AA312" s="231">
        <v>46.768673243406489</v>
      </c>
      <c r="AB312" s="232" t="s">
        <v>2670</v>
      </c>
      <c r="AC312" s="231">
        <v>4.1716214884179399</v>
      </c>
      <c r="AD312">
        <f>IF('WetLitterbags placem_collection'!AB93="","",'WetLitterbags placem_collection'!AB93)</f>
        <v>6.1</v>
      </c>
      <c r="AE312">
        <f>IF('WetLitterbags placem_collection'!Z93="","",'WetLitterbags placem_collection'!Z93)</f>
        <v>39.4</v>
      </c>
      <c r="AF312" s="246" t="str">
        <f>IF('WetLitterbags placem_collection'!AA93="","",'WetLitterbags placem_collection'!AA93)</f>
        <v>O</v>
      </c>
      <c r="AG312">
        <f>IF('WetLitterbags placem_collection'!AC93="","",'WetLitterbags placem_collection'!AC93)</f>
        <v>1</v>
      </c>
      <c r="AH312" s="24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placem_collection'!W93)),"YES","NO")</f>
        <v>YES</v>
      </c>
      <c r="AM312" t="str">
        <f>IF(ISNUMBER(SEARCH("H", 'WetLitterbags placem_collection'!W93)),"YES","NO")</f>
        <v>YES</v>
      </c>
      <c r="AN312" t="str">
        <f>IF(ISNUMBER(SEARCH("R", 'WetLitterbags placem_collection'!W93)),"YES","NO")</f>
        <v>NO</v>
      </c>
    </row>
    <row r="313" spans="1:40" ht="15" customHeight="1">
      <c r="A313" s="258" t="s">
        <v>2460</v>
      </c>
      <c r="B313" s="263">
        <f>'Dry_Litterbag Placem_Collection'!A94</f>
        <v>92</v>
      </c>
      <c r="C313" s="263" t="str">
        <f>'Dry_Litterbag Placem_Collection'!B94</f>
        <v>Maswa</v>
      </c>
      <c r="D313" s="263" t="s">
        <v>2659</v>
      </c>
      <c r="E313" s="263" t="s">
        <v>2661</v>
      </c>
      <c r="F313" s="263">
        <v>4</v>
      </c>
      <c r="G313" s="264" t="str">
        <f>'Dry_Litterbag Placem_Collection'!C94</f>
        <v>Dry_W4_T4</v>
      </c>
      <c r="H313" s="265" t="s">
        <v>2541</v>
      </c>
      <c r="I313" s="272" t="s">
        <v>298</v>
      </c>
      <c r="J313" s="223" t="str">
        <f>'WetLitterbags placem_collection'!M94</f>
        <v>R445</v>
      </c>
      <c r="K313" s="225">
        <f>IFERROR(INDEX('Green_rooibos initial weight'!$C$5:$C$1749,MATCH(J313, 'Green_rooibos initial weight'!$A$5:$A$1749,0)),"")</f>
        <v>2.2389999999999999</v>
      </c>
      <c r="L313" s="225">
        <f>IFERROR(K313-(TBIcalc!$H$9+TBIcalc!$H$10),"")</f>
        <v>1.9891999999999999</v>
      </c>
      <c r="M313" s="391">
        <f>AVERAGE(Ashed_controlls!$K$12:$K$14)</f>
        <v>2.2816647271287041</v>
      </c>
      <c r="N313" s="225">
        <f t="shared" si="22"/>
        <v>1.9438131252479556</v>
      </c>
      <c r="O313" s="225">
        <f>IF(IFERROR(INDEX('Both teabags AfterWet'!$C$3:$C$841,MATCH(J313,'Both teabags AfterWet'!$A$3:$A$841,0)),"")="","",(IFERROR(INDEX('Both teabags AfterWet'!$C$3:$C$841,MATCH(J313,'Both teabags AfterWet'!$A$3:$A$841,0)),"")))</f>
        <v>0.31</v>
      </c>
      <c r="P313" s="225">
        <f>IFERROR(IF(O313&gt;0,O313-(TBIcalc!$H$9),""),"")</f>
        <v>0.15939999999999999</v>
      </c>
      <c r="Q313" s="225" t="str">
        <f>IFERROR(INDEX('Ashed teabags wet'!$K$2:$K$821,MATCH(J313,'Ashed teabags wet'!$A$2:$A$821,0)),"")</f>
        <v/>
      </c>
      <c r="R313" s="225" t="str">
        <f t="shared" si="26"/>
        <v/>
      </c>
      <c r="S313" s="226">
        <f>'WetLitterbags placem_collection'!E94</f>
        <v>42767</v>
      </c>
      <c r="T313" s="226">
        <f>IF('WetLitterbags placem_collection'!G94="","",'WetLitterbags placem_collection'!G94)</f>
        <v>42819</v>
      </c>
      <c r="U313" s="227">
        <f t="shared" si="23"/>
        <v>52</v>
      </c>
      <c r="V313" s="225">
        <f t="shared" si="24"/>
        <v>1.8297999999999999</v>
      </c>
      <c r="W313" s="225" t="str">
        <f t="shared" si="25"/>
        <v/>
      </c>
      <c r="X313">
        <f>IFERROR(INDEX(Rainfall_Wet!$O$2:$O$217,MATCH(B313, Rainfall_Wet!$A$2:$A$217,0)),"")</f>
        <v>194.93009798400001</v>
      </c>
      <c r="Y313" s="231">
        <v>28.145762029394</v>
      </c>
      <c r="Z313" s="231">
        <v>25.085564727199518</v>
      </c>
      <c r="AA313" s="231">
        <v>46.768673243406489</v>
      </c>
      <c r="AB313" s="232" t="s">
        <v>2670</v>
      </c>
      <c r="AC313" s="231">
        <v>5.1716214884179399</v>
      </c>
      <c r="AD313">
        <f>IF('WetLitterbags placem_collection'!AB94="","",'WetLitterbags placem_collection'!AB94)</f>
        <v>7.7</v>
      </c>
      <c r="AE313">
        <f>IF('WetLitterbags placem_collection'!Z94="","",'WetLitterbags placem_collection'!Z94)</f>
        <v>24.8</v>
      </c>
      <c r="AF313" s="246" t="str">
        <f>IF('WetLitterbags placem_collection'!AA94="","",'WetLitterbags placem_collection'!AA94)</f>
        <v>O</v>
      </c>
      <c r="AG313">
        <f>IF('WetLitterbags placem_collection'!AC94="","",'WetLitterbags placem_collection'!AC94)</f>
        <v>1</v>
      </c>
      <c r="AH313" s="24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placem_collection'!W94)),"YES","NO")</f>
        <v>YES</v>
      </c>
      <c r="AM313" t="str">
        <f>IF(ISNUMBER(SEARCH("H", 'WetLitterbags placem_collection'!W94)),"YES","NO")</f>
        <v>YES</v>
      </c>
      <c r="AN313" t="str">
        <f>IF(ISNUMBER(SEARCH("R", 'WetLitterbags placem_collection'!W94)),"YES","NO")</f>
        <v>NO</v>
      </c>
    </row>
    <row r="314" spans="1:40" ht="15" customHeight="1">
      <c r="A314" s="258" t="s">
        <v>2460</v>
      </c>
      <c r="B314" s="263">
        <f>'Dry_Litterbag Placem_Collection'!A95</f>
        <v>93</v>
      </c>
      <c r="C314" s="263" t="str">
        <f>'Dry_Litterbag Placem_Collection'!B95</f>
        <v>Maswa</v>
      </c>
      <c r="D314" s="263" t="s">
        <v>2659</v>
      </c>
      <c r="E314" s="263" t="s">
        <v>2661</v>
      </c>
      <c r="F314" s="263">
        <v>4</v>
      </c>
      <c r="G314" s="264" t="str">
        <f>'Dry_Litterbag Placem_Collection'!C95</f>
        <v>Dry_W4_T5</v>
      </c>
      <c r="H314" s="265" t="s">
        <v>2541</v>
      </c>
      <c r="I314" s="272" t="s">
        <v>298</v>
      </c>
      <c r="J314" s="223" t="str">
        <f>'WetLitterbags placem_collection'!M95</f>
        <v>R12</v>
      </c>
      <c r="K314" s="225">
        <f>IFERROR(INDEX('Green_rooibos initial weight'!$C$5:$C$1749,MATCH(J314, 'Green_rooibos initial weight'!$A$5:$A$1749,0)),"")</f>
        <v>2.1709999999999998</v>
      </c>
      <c r="L314" s="225">
        <f>IFERROR(K314-(TBIcalc!$H$9+TBIcalc!$H$10),"")</f>
        <v>1.9211999999999998</v>
      </c>
      <c r="M314" s="391">
        <f>AVERAGE(Ashed_controlls!$K$12:$K$14)</f>
        <v>2.2816647271287041</v>
      </c>
      <c r="N314" s="225">
        <f t="shared" si="22"/>
        <v>1.8773646572624032</v>
      </c>
      <c r="O314" s="225">
        <f>IF(IFERROR(INDEX('Both teabags AfterWet'!$C$3:$C$841,MATCH(J314,'Both teabags AfterWet'!$A$3:$A$841,0)),"")="","",(IFERROR(INDEX('Both teabags AfterWet'!$C$3:$C$841,MATCH(J314,'Both teabags AfterWet'!$A$3:$A$841,0)),"")))</f>
        <v>0.17</v>
      </c>
      <c r="P314" s="225">
        <f>IFERROR(IF(O314&gt;0,O314-(TBIcalc!$H$9),""),"")</f>
        <v>1.9400000000000001E-2</v>
      </c>
      <c r="Q314" s="225" t="str">
        <f>IFERROR(INDEX('Ashed teabags wet'!$K$2:$K$821,MATCH(J314,'Ashed teabags wet'!$A$2:$A$821,0)),"")</f>
        <v/>
      </c>
      <c r="R314" s="225" t="str">
        <f t="shared" si="26"/>
        <v/>
      </c>
      <c r="S314" s="226">
        <f>'WetLitterbags placem_collection'!E95</f>
        <v>42767</v>
      </c>
      <c r="T314" s="226">
        <f>IF('WetLitterbags placem_collection'!G95="","",'WetLitterbags placem_collection'!G95)</f>
        <v>42819</v>
      </c>
      <c r="U314" s="227">
        <f t="shared" si="23"/>
        <v>52</v>
      </c>
      <c r="V314" s="225">
        <f t="shared" si="24"/>
        <v>1.9017999999999997</v>
      </c>
      <c r="W314" s="225" t="str">
        <f t="shared" si="25"/>
        <v/>
      </c>
      <c r="X314">
        <f>IFERROR(INDEX(Rainfall_Wet!$O$2:$O$217,MATCH(B314, Rainfall_Wet!$A$2:$A$217,0)),"")</f>
        <v>194.93009798400001</v>
      </c>
      <c r="Y314" s="231">
        <v>28.145762029394</v>
      </c>
      <c r="Z314" s="231">
        <v>25.085564727199518</v>
      </c>
      <c r="AA314" s="231">
        <v>46.768673243406489</v>
      </c>
      <c r="AB314" s="232" t="s">
        <v>2670</v>
      </c>
      <c r="AC314" s="231">
        <v>6.1716214884179399</v>
      </c>
      <c r="AD314">
        <f>IF('WetLitterbags placem_collection'!AB95="","",'WetLitterbags placem_collection'!AB95)</f>
        <v>6.6</v>
      </c>
      <c r="AE314">
        <f>IF('WetLitterbags placem_collection'!Z95="","",'WetLitterbags placem_collection'!Z95)</f>
        <v>40</v>
      </c>
      <c r="AF314" s="246" t="str">
        <f>IF('WetLitterbags placem_collection'!AA95="","",'WetLitterbags placem_collection'!AA95)</f>
        <v>O</v>
      </c>
      <c r="AG314">
        <f>IF('WetLitterbags placem_collection'!AC95="","",'WetLitterbags placem_collection'!AC95)</f>
        <v>1</v>
      </c>
      <c r="AH314" s="24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placem_collection'!W95)),"YES","NO")</f>
        <v>NO</v>
      </c>
      <c r="AM314" t="str">
        <f>IF(ISNUMBER(SEARCH("H", 'WetLitterbags placem_collection'!W95)),"YES","NO")</f>
        <v>YES</v>
      </c>
      <c r="AN314" t="str">
        <f>IF(ISNUMBER(SEARCH("R", 'WetLitterbags placem_collection'!W95)),"YES","NO")</f>
        <v>NO</v>
      </c>
    </row>
    <row r="315" spans="1:40" ht="15" customHeight="1">
      <c r="A315" s="258" t="s">
        <v>2460</v>
      </c>
      <c r="B315" s="263">
        <f>'Dry_Litterbag Placem_Collection'!A96</f>
        <v>94</v>
      </c>
      <c r="C315" s="263" t="str">
        <f>'Dry_Litterbag Placem_Collection'!B96</f>
        <v>Maswa</v>
      </c>
      <c r="D315" s="263" t="s">
        <v>2659</v>
      </c>
      <c r="E315" s="263" t="s">
        <v>2661</v>
      </c>
      <c r="F315" s="263">
        <v>4</v>
      </c>
      <c r="G315" s="264" t="str">
        <f>'Dry_Litterbag Placem_Collection'!C96</f>
        <v>Dry_W4_T6</v>
      </c>
      <c r="H315" s="265" t="s">
        <v>2541</v>
      </c>
      <c r="I315" s="272" t="s">
        <v>298</v>
      </c>
      <c r="J315" s="223" t="str">
        <f>'WetLitterbags placem_collection'!M96</f>
        <v>R244</v>
      </c>
      <c r="K315" s="225">
        <f>IFERROR(INDEX('Green_rooibos initial weight'!$C$5:$C$1749,MATCH(J315, 'Green_rooibos initial weight'!$A$5:$A$1749,0)),"")</f>
        <v>2.2490000000000001</v>
      </c>
      <c r="L315" s="225">
        <f>IFERROR(K315-(TBIcalc!$H$9+TBIcalc!$H$10),"")</f>
        <v>1.9992000000000001</v>
      </c>
      <c r="M315" s="391">
        <f>AVERAGE(Ashed_controlls!$K$12:$K$14)</f>
        <v>2.2816647271287041</v>
      </c>
      <c r="N315" s="225">
        <f t="shared" si="22"/>
        <v>1.953584958775243</v>
      </c>
      <c r="O315" s="225" t="str">
        <f>IF(IFERROR(INDEX('Both teabags AfterWet'!$C$3:$C$841,MATCH(J315,'Both teabags AfterWet'!$A$3:$A$841,0)),"")="","",(IFERROR(INDEX('Both teabags AfterWet'!$C$3:$C$841,MATCH(J315,'Both teabags AfterWet'!$A$3:$A$841,0)),"")))</f>
        <v/>
      </c>
      <c r="P315" s="225" t="str">
        <f>IFERROR(IF(O315&gt;0,O315-(TBIcalc!$H$9),""),"")</f>
        <v/>
      </c>
      <c r="Q315" s="225" t="str">
        <f>IFERROR(INDEX('Ashed teabags wet'!$K$2:$K$821,MATCH(J315,'Ashed teabags wet'!$A$2:$A$821,0)),"")</f>
        <v/>
      </c>
      <c r="R315" s="225" t="str">
        <f t="shared" si="26"/>
        <v/>
      </c>
      <c r="S315" s="226">
        <f>'WetLitterbags placem_collection'!E96</f>
        <v>42767</v>
      </c>
      <c r="T315" s="226" t="str">
        <f>IF('WetLitterbags placem_collection'!G96="","",'WetLitterbags placem_collection'!G96)</f>
        <v/>
      </c>
      <c r="U315" s="227" t="str">
        <f t="shared" si="23"/>
        <v/>
      </c>
      <c r="V315" s="225" t="str">
        <f t="shared" si="24"/>
        <v/>
      </c>
      <c r="W315" s="225" t="str">
        <f t="shared" si="25"/>
        <v/>
      </c>
      <c r="X315" t="str">
        <f>IFERROR(INDEX(Rainfall_Wet!$O$2:$O$217,MATCH(B315, Rainfall_Wet!$A$2:$A$217,0)),"")</f>
        <v/>
      </c>
      <c r="Y315" s="231">
        <v>28.145762029394</v>
      </c>
      <c r="Z315" s="231">
        <v>25.085564727199518</v>
      </c>
      <c r="AA315" s="231">
        <v>46.768673243406489</v>
      </c>
      <c r="AB315" s="232" t="s">
        <v>2670</v>
      </c>
      <c r="AC315" s="231">
        <v>7.1716214884179399</v>
      </c>
      <c r="AD315" t="str">
        <f>IF('WetLitterbags placem_collection'!AB96="","",'WetLitterbags placem_collection'!AB96)</f>
        <v/>
      </c>
      <c r="AE315" t="str">
        <f>IF('WetLitterbags placem_collection'!Z96="","",'WetLitterbags placem_collection'!Z96)</f>
        <v/>
      </c>
      <c r="AF315" s="246" t="str">
        <f>IF('WetLitterbags placem_collection'!AA96="","",'WetLitterbags placem_collection'!AA96)</f>
        <v/>
      </c>
      <c r="AG315" t="str">
        <f>IF('WetLitterbags placem_collection'!AC96="","",'WetLitterbags placem_collection'!AC96)</f>
        <v/>
      </c>
      <c r="AH315" s="24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placem_collection'!W96)),"YES","NO")</f>
        <v>NO</v>
      </c>
      <c r="AM315" t="str">
        <f>IF(ISNUMBER(SEARCH("H", 'WetLitterbags placem_collection'!W96)),"YES","NO")</f>
        <v>NO</v>
      </c>
      <c r="AN315" t="str">
        <f>IF(ISNUMBER(SEARCH("R", 'WetLitterbags placem_collection'!W96)),"YES","NO")</f>
        <v>NO</v>
      </c>
    </row>
    <row r="316" spans="1:40" ht="15" customHeight="1">
      <c r="A316" s="258" t="s">
        <v>2460</v>
      </c>
      <c r="B316" s="263">
        <f>'Dry_Litterbag Placem_Collection'!A97</f>
        <v>95</v>
      </c>
      <c r="C316" s="263" t="str">
        <f>'Dry_Litterbag Placem_Collection'!B97</f>
        <v>Maswa</v>
      </c>
      <c r="D316" s="263" t="s">
        <v>2659</v>
      </c>
      <c r="E316" s="263" t="s">
        <v>2661</v>
      </c>
      <c r="F316" s="263">
        <v>4</v>
      </c>
      <c r="G316" s="264" t="str">
        <f>'Dry_Litterbag Placem_Collection'!C97</f>
        <v>Dry_W4_T7</v>
      </c>
      <c r="H316" s="265" t="s">
        <v>2541</v>
      </c>
      <c r="I316" s="272" t="s">
        <v>298</v>
      </c>
      <c r="J316" s="223" t="str">
        <f>'WetLitterbags placem_collection'!M97</f>
        <v>R360</v>
      </c>
      <c r="K316" s="225">
        <f>IFERROR(INDEX('Green_rooibos initial weight'!$C$5:$C$1749,MATCH(J316, 'Green_rooibos initial weight'!$A$5:$A$1749,0)),"")</f>
        <v>2.206</v>
      </c>
      <c r="L316" s="225">
        <f>IFERROR(K316-(TBIcalc!$H$9+TBIcalc!$H$10),"")</f>
        <v>1.9561999999999999</v>
      </c>
      <c r="M316" s="391">
        <f>AVERAGE(Ashed_controlls!$K$12:$K$14)</f>
        <v>2.2816647271287041</v>
      </c>
      <c r="N316" s="225">
        <f t="shared" si="22"/>
        <v>1.9115660746079082</v>
      </c>
      <c r="O316" s="225">
        <f>IF(IFERROR(INDEX('Both teabags AfterWet'!$C$3:$C$841,MATCH(J316,'Both teabags AfterWet'!$A$3:$A$841,0)),"")="","",(IFERROR(INDEX('Both teabags AfterWet'!$C$3:$C$841,MATCH(J316,'Both teabags AfterWet'!$A$3:$A$841,0)),"")))</f>
        <v>0.45800000000000002</v>
      </c>
      <c r="P316" s="225">
        <f>IFERROR(IF(O316&gt;0,O316-(TBIcalc!$H$9),""),"")</f>
        <v>0.30740000000000001</v>
      </c>
      <c r="Q316" s="225">
        <f>IFERROR(INDEX('Ashed teabags wet'!$K$2:$K$821,MATCH(J316,'Ashed teabags wet'!$A$2:$A$821,0)),"")</f>
        <v>89.327146171693883</v>
      </c>
      <c r="R316" s="225">
        <f t="shared" si="26"/>
        <v>3.2808352668213026E-2</v>
      </c>
      <c r="S316" s="226">
        <f>'WetLitterbags placem_collection'!E97</f>
        <v>42767</v>
      </c>
      <c r="T316" s="226">
        <f>IF('WetLitterbags placem_collection'!G97="","",'WetLitterbags placem_collection'!G97)</f>
        <v>42819</v>
      </c>
      <c r="U316" s="227">
        <f t="shared" si="23"/>
        <v>52</v>
      </c>
      <c r="V316" s="225">
        <f t="shared" si="24"/>
        <v>1.6488</v>
      </c>
      <c r="W316" s="225">
        <f t="shared" si="25"/>
        <v>1.8787577219396951</v>
      </c>
      <c r="X316">
        <f>IFERROR(INDEX(Rainfall_Wet!$O$2:$O$217,MATCH(B316, Rainfall_Wet!$A$2:$A$217,0)),"")</f>
        <v>194.93009798400001</v>
      </c>
      <c r="Y316" s="231">
        <v>28.145762029394</v>
      </c>
      <c r="Z316" s="231">
        <v>25.085564727199518</v>
      </c>
      <c r="AA316" s="231">
        <v>46.768673243406489</v>
      </c>
      <c r="AB316" s="232" t="s">
        <v>2670</v>
      </c>
      <c r="AC316" s="231">
        <v>8.1716214884179408</v>
      </c>
      <c r="AD316">
        <f>IF('WetLitterbags placem_collection'!AB97="","",'WetLitterbags placem_collection'!AB97)</f>
        <v>5.4</v>
      </c>
      <c r="AE316">
        <f>IF('WetLitterbags placem_collection'!Z97="","",'WetLitterbags placem_collection'!Z97)</f>
        <v>15.2</v>
      </c>
      <c r="AF316" s="246" t="str">
        <f>IF('WetLitterbags placem_collection'!AA97="","",'WetLitterbags placem_collection'!AA97)</f>
        <v>O</v>
      </c>
      <c r="AG316">
        <f>IF('WetLitterbags placem_collection'!AC97="","",'WetLitterbags placem_collection'!AC97)</f>
        <v>0</v>
      </c>
      <c r="AH316" s="24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placem_collection'!W97)),"YES","NO")</f>
        <v>NO</v>
      </c>
      <c r="AM316" t="str">
        <f>IF(ISNUMBER(SEARCH("H", 'WetLitterbags placem_collection'!W97)),"YES","NO")</f>
        <v>YES</v>
      </c>
      <c r="AN316" t="str">
        <f>IF(ISNUMBER(SEARCH("R", 'WetLitterbags placem_collection'!W97)),"YES","NO")</f>
        <v>YES</v>
      </c>
    </row>
    <row r="317" spans="1:40" ht="15" customHeight="1">
      <c r="A317" s="258" t="s">
        <v>2460</v>
      </c>
      <c r="B317" s="263">
        <f>'Dry_Litterbag Placem_Collection'!A98</f>
        <v>96</v>
      </c>
      <c r="C317" s="263" t="str">
        <f>'Dry_Litterbag Placem_Collection'!B98</f>
        <v>Maswa</v>
      </c>
      <c r="D317" s="263" t="s">
        <v>2659</v>
      </c>
      <c r="E317" s="263" t="s">
        <v>2661</v>
      </c>
      <c r="F317" s="263">
        <v>4</v>
      </c>
      <c r="G317" s="264" t="str">
        <f>'Dry_Litterbag Placem_Collection'!C98</f>
        <v>Dry_W4_T8</v>
      </c>
      <c r="H317" s="265" t="s">
        <v>2541</v>
      </c>
      <c r="I317" s="272" t="s">
        <v>298</v>
      </c>
      <c r="J317" s="223" t="str">
        <f>'WetLitterbags placem_collection'!M98</f>
        <v>R318</v>
      </c>
      <c r="K317" s="225">
        <f>IFERROR(INDEX('Green_rooibos initial weight'!$C$5:$C$1749,MATCH(J317, 'Green_rooibos initial weight'!$A$5:$A$1749,0)),"")</f>
        <v>2.23</v>
      </c>
      <c r="L317" s="225">
        <f>IFERROR(K317-(TBIcalc!$H$9+TBIcalc!$H$10),"")</f>
        <v>1.9802</v>
      </c>
      <c r="M317" s="391">
        <f>AVERAGE(Ashed_controlls!$K$12:$K$14)</f>
        <v>2.2816647271287041</v>
      </c>
      <c r="N317" s="225">
        <f t="shared" si="22"/>
        <v>1.9350184750733974</v>
      </c>
      <c r="O317" s="225">
        <f>IF(IFERROR(INDEX('Both teabags AfterWet'!$C$3:$C$841,MATCH(J317,'Both teabags AfterWet'!$A$3:$A$841,0)),"")="","",(IFERROR(INDEX('Both teabags AfterWet'!$C$3:$C$841,MATCH(J317,'Both teabags AfterWet'!$A$3:$A$841,0)),"")))</f>
        <v>1.748</v>
      </c>
      <c r="P317" s="225">
        <f>IFERROR(IF(O317&gt;0,O317-(TBIcalc!$H$9),""),"")</f>
        <v>1.5973999999999999</v>
      </c>
      <c r="Q317" s="225">
        <f>IFERROR(INDEX('Ashed teabags wet'!$K$2:$K$821,MATCH(J317,'Ashed teabags wet'!$A$2:$A$821,0)),"")</f>
        <v>11.127670144063339</v>
      </c>
      <c r="R317" s="225">
        <f t="shared" si="26"/>
        <v>1.4196465971187322</v>
      </c>
      <c r="S317" s="226">
        <f>'WetLitterbags placem_collection'!E98</f>
        <v>42767</v>
      </c>
      <c r="T317" s="226">
        <f>IF('WetLitterbags placem_collection'!G98="","",'WetLitterbags placem_collection'!G98)</f>
        <v>42819</v>
      </c>
      <c r="U317" s="227">
        <f t="shared" si="23"/>
        <v>52</v>
      </c>
      <c r="V317" s="225">
        <f t="shared" si="24"/>
        <v>0.38280000000000003</v>
      </c>
      <c r="W317" s="225">
        <f t="shared" si="25"/>
        <v>0.51537187795466521</v>
      </c>
      <c r="X317">
        <f>IFERROR(INDEX(Rainfall_Wet!$O$2:$O$217,MATCH(B317, Rainfall_Wet!$A$2:$A$217,0)),"")</f>
        <v>194.93009798400001</v>
      </c>
      <c r="Y317" s="231">
        <v>28.145762029394</v>
      </c>
      <c r="Z317" s="231">
        <v>25.085564727199518</v>
      </c>
      <c r="AA317" s="231">
        <v>46.768673243406489</v>
      </c>
      <c r="AB317" s="232" t="s">
        <v>2670</v>
      </c>
      <c r="AC317" s="231">
        <v>9.1716214884179408</v>
      </c>
      <c r="AD317">
        <f>IF('WetLitterbags placem_collection'!AB98="","",'WetLitterbags placem_collection'!AB98)</f>
        <v>4</v>
      </c>
      <c r="AE317">
        <f>IF('WetLitterbags placem_collection'!Z98="","",'WetLitterbags placem_collection'!Z98)</f>
        <v>34.4</v>
      </c>
      <c r="AF317" s="246" t="str">
        <f>IF('WetLitterbags placem_collection'!AA98="","",'WetLitterbags placem_collection'!AA98)</f>
        <v>O</v>
      </c>
      <c r="AG317">
        <f>IF('WetLitterbags placem_collection'!AC98="","",'WetLitterbags placem_collection'!AC98)</f>
        <v>0</v>
      </c>
      <c r="AH317" s="24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placem_collection'!W98)),"YES","NO")</f>
        <v>YES</v>
      </c>
      <c r="AM317" t="str">
        <f>IF(ISNUMBER(SEARCH("H", 'WetLitterbags placem_collection'!W98)),"YES","NO")</f>
        <v>YES</v>
      </c>
      <c r="AN317" t="str">
        <f>IF(ISNUMBER(SEARCH("R", 'WetLitterbags placem_collection'!W98)),"YES","NO")</f>
        <v>NO</v>
      </c>
    </row>
    <row r="318" spans="1:40" ht="15" customHeight="1">
      <c r="A318" s="258" t="s">
        <v>2460</v>
      </c>
      <c r="B318" s="263">
        <f>'Dry_Litterbag Placem_Collection'!A99</f>
        <v>97</v>
      </c>
      <c r="C318" s="263" t="str">
        <f>'Dry_Litterbag Placem_Collection'!B99</f>
        <v xml:space="preserve">Mwantimba
</v>
      </c>
      <c r="D318" s="263" t="s">
        <v>2659</v>
      </c>
      <c r="E318" s="263" t="s">
        <v>2660</v>
      </c>
      <c r="F318" s="263">
        <v>1</v>
      </c>
      <c r="G318" s="264" t="str">
        <f>'Dry_Litterbag Placem_Collection'!C99</f>
        <v>Wet_Ag1_T1</v>
      </c>
      <c r="H318" s="265" t="s">
        <v>2541</v>
      </c>
      <c r="I318" s="272" t="s">
        <v>298</v>
      </c>
      <c r="J318" s="223" t="str">
        <f>'WetLitterbags placem_collection'!M99</f>
        <v>R518</v>
      </c>
      <c r="K318" s="225">
        <f>IFERROR(INDEX('Green_rooibos initial weight'!$C$5:$C$1749,MATCH(J318, 'Green_rooibos initial weight'!$A$5:$A$1749,0)),"")</f>
        <v>2.198</v>
      </c>
      <c r="L318" s="225">
        <f>IFERROR(K318-(TBIcalc!$H$9+TBIcalc!$H$10),"")</f>
        <v>1.9481999999999999</v>
      </c>
      <c r="M318" s="391">
        <f>AVERAGE(Ashed_controlls!$K$12:$K$14)</f>
        <v>2.2816647271287041</v>
      </c>
      <c r="N318" s="225">
        <f t="shared" si="22"/>
        <v>1.9037486077860786</v>
      </c>
      <c r="O318" s="225" t="str">
        <f>IF(IFERROR(INDEX('Both teabags AfterWet'!$C$3:$C$841,MATCH(J318,'Both teabags AfterWet'!$A$3:$A$841,0)),"")="","",(IFERROR(INDEX('Both teabags AfterWet'!$C$3:$C$841,MATCH(J318,'Both teabags AfterWet'!$A$3:$A$841,0)),"")))</f>
        <v/>
      </c>
      <c r="P318" s="225" t="str">
        <f>IFERROR(IF(O318&gt;0,O318-(TBIcalc!$H$9),""),"")</f>
        <v/>
      </c>
      <c r="Q318" s="225" t="str">
        <f>IFERROR(INDEX('Ashed teabags wet'!$K$2:$K$821,MATCH(J318,'Ashed teabags wet'!$A$2:$A$821,0)),"")</f>
        <v/>
      </c>
      <c r="R318" s="225" t="str">
        <f t="shared" si="26"/>
        <v/>
      </c>
      <c r="S318" s="226">
        <f>'WetLitterbags placem_collection'!E99</f>
        <v>42762</v>
      </c>
      <c r="T318" s="226">
        <f>IF('WetLitterbags placem_collection'!G99="","",'WetLitterbags placem_collection'!G99)</f>
        <v>42816</v>
      </c>
      <c r="U318" s="227">
        <f t="shared" si="23"/>
        <v>54</v>
      </c>
      <c r="V318" s="225" t="str">
        <f t="shared" si="24"/>
        <v/>
      </c>
      <c r="W318" s="225" t="str">
        <f t="shared" si="25"/>
        <v/>
      </c>
      <c r="X318">
        <f>IFERROR(INDEX(Rainfall_Wet!$O$2:$O$217,MATCH(B318, Rainfall_Wet!$A$2:$A$217,0)),"")</f>
        <v>206.85140822299999</v>
      </c>
      <c r="Y318" s="231">
        <v>45.96</v>
      </c>
      <c r="Z318" s="231">
        <v>14.920000000000003</v>
      </c>
      <c r="AA318" s="231">
        <v>39.119999999999997</v>
      </c>
      <c r="AB318" s="232" t="s">
        <v>2673</v>
      </c>
      <c r="AC318" s="231">
        <v>2.0374568753080333</v>
      </c>
      <c r="AD318">
        <f>IF('WetLitterbags placem_collection'!AB99="","",'WetLitterbags placem_collection'!AB99)</f>
        <v>2.4</v>
      </c>
      <c r="AE318">
        <f>IF('WetLitterbags placem_collection'!Z99="","",'WetLitterbags placem_collection'!Z99)</f>
        <v>8.9</v>
      </c>
      <c r="AF318" s="246" t="str">
        <f>IF('WetLitterbags placem_collection'!AA99="","",'WetLitterbags placem_collection'!AA99)</f>
        <v>G</v>
      </c>
      <c r="AG318">
        <f>IF('WetLitterbags placem_collection'!AC99="","",'WetLitterbags placem_collection'!AC99)</f>
        <v>1</v>
      </c>
      <c r="AH318" s="24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placem_collection'!W99)),"YES","NO")</f>
        <v>YES</v>
      </c>
      <c r="AM318" t="str">
        <f>IF(ISNUMBER(SEARCH("H", 'WetLitterbags placem_collection'!W99)),"YES","NO")</f>
        <v>YES</v>
      </c>
      <c r="AN318" t="str">
        <f>IF(ISNUMBER(SEARCH("R", 'WetLitterbags placem_collection'!W99)),"YES","NO")</f>
        <v>NO</v>
      </c>
    </row>
    <row r="319" spans="1:40" ht="15" customHeight="1">
      <c r="A319" s="258" t="s">
        <v>2460</v>
      </c>
      <c r="B319" s="263">
        <f>'Dry_Litterbag Placem_Collection'!A100</f>
        <v>98</v>
      </c>
      <c r="C319" s="263" t="str">
        <f>'Dry_Litterbag Placem_Collection'!B100</f>
        <v xml:space="preserve">Mwantimba
</v>
      </c>
      <c r="D319" s="263" t="s">
        <v>2659</v>
      </c>
      <c r="E319" s="263" t="s">
        <v>2660</v>
      </c>
      <c r="F319" s="263">
        <v>1</v>
      </c>
      <c r="G319" s="264" t="str">
        <f>'Dry_Litterbag Placem_Collection'!C100</f>
        <v>Wet_Ag1_T2</v>
      </c>
      <c r="H319" s="265" t="s">
        <v>2541</v>
      </c>
      <c r="I319" s="272" t="s">
        <v>298</v>
      </c>
      <c r="J319" s="223" t="str">
        <f>'WetLitterbags placem_collection'!M100</f>
        <v>R489</v>
      </c>
      <c r="K319" s="225">
        <f>IFERROR(INDEX('Green_rooibos initial weight'!$C$5:$C$1749,MATCH(J319, 'Green_rooibos initial weight'!$A$5:$A$1749,0)),"")</f>
        <v>2.157</v>
      </c>
      <c r="L319" s="225">
        <f>IFERROR(K319-(TBIcalc!$H$9+TBIcalc!$H$10),"")</f>
        <v>1.9072</v>
      </c>
      <c r="M319" s="391">
        <f>AVERAGE(Ashed_controlls!$K$12:$K$14)</f>
        <v>2.2816647271287041</v>
      </c>
      <c r="N319" s="225">
        <f t="shared" si="22"/>
        <v>1.8636840903242013</v>
      </c>
      <c r="O319" s="225">
        <f>IF(IFERROR(INDEX('Both teabags AfterWet'!$C$3:$C$841,MATCH(J319,'Both teabags AfterWet'!$A$3:$A$841,0)),"")="","",(IFERROR(INDEX('Both teabags AfterWet'!$C$3:$C$841,MATCH(J319,'Both teabags AfterWet'!$A$3:$A$841,0)),"")))</f>
        <v>1.5389999999999999</v>
      </c>
      <c r="P319" s="225">
        <f>IFERROR(IF(O319&gt;0,O319-(TBIcalc!$H$9),""),"")</f>
        <v>1.3883999999999999</v>
      </c>
      <c r="Q319" s="225">
        <f>IFERROR(INDEX('Ashed teabags wet'!$K$2:$K$821,MATCH(J319,'Ashed teabags wet'!$A$2:$A$821,0)),"")</f>
        <v>12.679544328875947</v>
      </c>
      <c r="R319" s="225">
        <f t="shared" si="26"/>
        <v>1.2123572065378863</v>
      </c>
      <c r="S319" s="226">
        <f>'WetLitterbags placem_collection'!E100</f>
        <v>42762</v>
      </c>
      <c r="T319" s="226">
        <f>IF('WetLitterbags placem_collection'!G100="","",'WetLitterbags placem_collection'!G100)</f>
        <v>42816</v>
      </c>
      <c r="U319" s="227">
        <f t="shared" si="23"/>
        <v>54</v>
      </c>
      <c r="V319" s="225">
        <f t="shared" si="24"/>
        <v>0.51880000000000015</v>
      </c>
      <c r="W319" s="225">
        <f t="shared" si="25"/>
        <v>0.65132688378631509</v>
      </c>
      <c r="X319">
        <f>IFERROR(INDEX(Rainfall_Wet!$O$2:$O$217,MATCH(B319, Rainfall_Wet!$A$2:$A$217,0)),"")</f>
        <v>206.85140822299999</v>
      </c>
      <c r="Y319" s="231">
        <v>45.96</v>
      </c>
      <c r="Z319" s="231">
        <v>14.920000000000003</v>
      </c>
      <c r="AA319" s="231">
        <v>39.119999999999997</v>
      </c>
      <c r="AB319" s="232" t="s">
        <v>2673</v>
      </c>
      <c r="AC319" s="231">
        <v>3.0374568753080302</v>
      </c>
      <c r="AD319">
        <f>IF('WetLitterbags placem_collection'!AB100="","",'WetLitterbags placem_collection'!AB100)</f>
        <v>7.8</v>
      </c>
      <c r="AE319">
        <f>IF('WetLitterbags placem_collection'!Z100="","",'WetLitterbags placem_collection'!Z100)</f>
        <v>4.45</v>
      </c>
      <c r="AF319" s="246" t="str">
        <f>IF('WetLitterbags placem_collection'!AA100="","",'WetLitterbags placem_collection'!AA100)</f>
        <v>G</v>
      </c>
      <c r="AG319">
        <f>IF('WetLitterbags placem_collection'!AC100="","",'WetLitterbags placem_collection'!AC100)</f>
        <v>1</v>
      </c>
      <c r="AH319" s="24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placem_collection'!W100)),"YES","NO")</f>
        <v>NO</v>
      </c>
      <c r="AM319" t="str">
        <f>IF(ISNUMBER(SEARCH("H", 'WetLitterbags placem_collection'!W100)),"YES","NO")</f>
        <v>NO</v>
      </c>
      <c r="AN319" t="str">
        <f>IF(ISNUMBER(SEARCH("R", 'WetLitterbags placem_collection'!W100)),"YES","NO")</f>
        <v>NO</v>
      </c>
    </row>
    <row r="320" spans="1:40" ht="15" customHeight="1">
      <c r="A320" s="258" t="s">
        <v>2460</v>
      </c>
      <c r="B320" s="263">
        <f>'Dry_Litterbag Placem_Collection'!A101</f>
        <v>99</v>
      </c>
      <c r="C320" s="263" t="str">
        <f>'Dry_Litterbag Placem_Collection'!B101</f>
        <v xml:space="preserve">Mwantimba
</v>
      </c>
      <c r="D320" s="263" t="s">
        <v>2659</v>
      </c>
      <c r="E320" s="263" t="s">
        <v>2660</v>
      </c>
      <c r="F320" s="263">
        <v>1</v>
      </c>
      <c r="G320" s="264" t="str">
        <f>'Dry_Litterbag Placem_Collection'!C101</f>
        <v>Wet_Ag1_T3</v>
      </c>
      <c r="H320" s="265" t="s">
        <v>2541</v>
      </c>
      <c r="I320" s="272" t="s">
        <v>298</v>
      </c>
      <c r="J320" s="223" t="str">
        <f>'WetLitterbags placem_collection'!M101</f>
        <v>R549</v>
      </c>
      <c r="K320" s="225">
        <f>IFERROR(INDEX('Green_rooibos initial weight'!$C$5:$C$1749,MATCH(J320, 'Green_rooibos initial weight'!$A$5:$A$1749,0)),"")</f>
        <v>2.2320000000000002</v>
      </c>
      <c r="L320" s="225">
        <f>IFERROR(K320-(TBIcalc!$H$9+TBIcalc!$H$10),"")</f>
        <v>1.9822000000000002</v>
      </c>
      <c r="M320" s="391">
        <f>AVERAGE(Ashed_controlls!$K$12:$K$14)</f>
        <v>2.2816647271287041</v>
      </c>
      <c r="N320" s="225">
        <f t="shared" si="22"/>
        <v>1.936972841778855</v>
      </c>
      <c r="O320" s="225">
        <f>IF(IFERROR(INDEX('Both teabags AfterWet'!$C$3:$C$841,MATCH(J320,'Both teabags AfterWet'!$A$3:$A$841,0)),"")="","",(IFERROR(INDEX('Both teabags AfterWet'!$C$3:$C$841,MATCH(J320,'Both teabags AfterWet'!$A$3:$A$841,0)),"")))</f>
        <v>1.5992</v>
      </c>
      <c r="P320" s="225">
        <f>IFERROR(IF(O320&gt;0,O320-(TBIcalc!$H$9),""),"")</f>
        <v>1.4485999999999999</v>
      </c>
      <c r="Q320" s="225">
        <f>IFERROR(INDEX('Ashed teabags wet'!$K$2:$K$821,MATCH(J320,'Ashed teabags wet'!$A$2:$A$821,0)),"")</f>
        <v>3.4003831417629944</v>
      </c>
      <c r="R320" s="225">
        <f t="shared" si="26"/>
        <v>1.3993420498084213</v>
      </c>
      <c r="S320" s="226">
        <f>'WetLitterbags placem_collection'!E101</f>
        <v>42762</v>
      </c>
      <c r="T320" s="226">
        <f>IF('WetLitterbags placem_collection'!G101="","",'WetLitterbags placem_collection'!G101)</f>
        <v>42816</v>
      </c>
      <c r="U320" s="227">
        <f t="shared" si="23"/>
        <v>54</v>
      </c>
      <c r="V320" s="225">
        <f t="shared" si="24"/>
        <v>0.5336000000000003</v>
      </c>
      <c r="W320" s="225">
        <f t="shared" si="25"/>
        <v>0.53763079197043373</v>
      </c>
      <c r="X320">
        <f>IFERROR(INDEX(Rainfall_Wet!$O$2:$O$217,MATCH(B320, Rainfall_Wet!$A$2:$A$217,0)),"")</f>
        <v>206.85140822299999</v>
      </c>
      <c r="Y320" s="231">
        <v>45.96</v>
      </c>
      <c r="Z320" s="231">
        <v>14.920000000000003</v>
      </c>
      <c r="AA320" s="231">
        <v>39.119999999999997</v>
      </c>
      <c r="AB320" s="232" t="s">
        <v>2673</v>
      </c>
      <c r="AC320" s="231">
        <v>4.0374568753080302</v>
      </c>
      <c r="AD320">
        <f>IF('WetLitterbags placem_collection'!AB101="","",'WetLitterbags placem_collection'!AB101)</f>
        <v>5.0999999999999996</v>
      </c>
      <c r="AE320">
        <f>IF('WetLitterbags placem_collection'!Z101="","",'WetLitterbags placem_collection'!Z101)</f>
        <v>2.2999999999999998</v>
      </c>
      <c r="AF320" s="246" t="str">
        <f>IF('WetLitterbags placem_collection'!AA101="","",'WetLitterbags placem_collection'!AA101)</f>
        <v>G</v>
      </c>
      <c r="AG320">
        <f>IF('WetLitterbags placem_collection'!AC101="","",'WetLitterbags placem_collection'!AC101)</f>
        <v>0</v>
      </c>
      <c r="AH320" s="24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placem_collection'!W101)),"YES","NO")</f>
        <v>NO</v>
      </c>
      <c r="AM320" t="str">
        <f>IF(ISNUMBER(SEARCH("H", 'WetLitterbags placem_collection'!W101)),"YES","NO")</f>
        <v>NO</v>
      </c>
      <c r="AN320" t="str">
        <f>IF(ISNUMBER(SEARCH("R", 'WetLitterbags placem_collection'!W101)),"YES","NO")</f>
        <v>YES</v>
      </c>
    </row>
    <row r="321" spans="1:40" ht="15" customHeight="1">
      <c r="A321" s="258" t="s">
        <v>2460</v>
      </c>
      <c r="B321" s="263">
        <f>'Dry_Litterbag Placem_Collection'!A102</f>
        <v>100</v>
      </c>
      <c r="C321" s="263" t="str">
        <f>'Dry_Litterbag Placem_Collection'!B102</f>
        <v xml:space="preserve">Mwantimba
</v>
      </c>
      <c r="D321" s="263" t="s">
        <v>2659</v>
      </c>
      <c r="E321" s="263" t="s">
        <v>2660</v>
      </c>
      <c r="F321" s="263">
        <v>1</v>
      </c>
      <c r="G321" s="264" t="str">
        <f>'Dry_Litterbag Placem_Collection'!C102</f>
        <v>Wet_Ag1_T4</v>
      </c>
      <c r="H321" s="265" t="s">
        <v>2541</v>
      </c>
      <c r="I321" s="272" t="s">
        <v>298</v>
      </c>
      <c r="J321" s="223" t="str">
        <f>'WetLitterbags placem_collection'!M102</f>
        <v>R500</v>
      </c>
      <c r="K321" s="225">
        <f>IFERROR(INDEX('Green_rooibos initial weight'!$C$5:$C$1749,MATCH(J321, 'Green_rooibos initial weight'!$A$5:$A$1749,0)),"")</f>
        <v>2.2069999999999999</v>
      </c>
      <c r="L321" s="225">
        <f>IFERROR(K321-(TBIcalc!$H$9+TBIcalc!$H$10),"")</f>
        <v>1.9571999999999998</v>
      </c>
      <c r="M321" s="391">
        <f>AVERAGE(Ashed_controlls!$K$12:$K$14)</f>
        <v>2.2816647271287041</v>
      </c>
      <c r="N321" s="225">
        <f t="shared" si="22"/>
        <v>1.9125432579606367</v>
      </c>
      <c r="O321" s="225">
        <f>IF(IFERROR(INDEX('Both teabags AfterWet'!$C$3:$C$841,MATCH(J321,'Both teabags AfterWet'!$A$3:$A$841,0)),"")="","",(IFERROR(INDEX('Both teabags AfterWet'!$C$3:$C$841,MATCH(J321,'Both teabags AfterWet'!$A$3:$A$841,0)),"")))</f>
        <v>1.764</v>
      </c>
      <c r="P321" s="225">
        <f>IFERROR(IF(O321&gt;0,O321-(TBIcalc!$H$9),""),"")</f>
        <v>1.6133999999999999</v>
      </c>
      <c r="Q321" s="225">
        <f>IFERROR(INDEX('Ashed teabags wet'!$K$2:$K$821,MATCH(J321,'Ashed teabags wet'!$A$2:$A$821,0)),"")</f>
        <v>22.316525212181858</v>
      </c>
      <c r="R321" s="225">
        <f t="shared" si="26"/>
        <v>1.2533451822266579</v>
      </c>
      <c r="S321" s="226">
        <f>'WetLitterbags placem_collection'!E102</f>
        <v>42762</v>
      </c>
      <c r="T321" s="226">
        <f>IF('WetLitterbags placem_collection'!G102="","",'WetLitterbags placem_collection'!G102)</f>
        <v>42816</v>
      </c>
      <c r="U321" s="227">
        <f t="shared" si="23"/>
        <v>54</v>
      </c>
      <c r="V321" s="225">
        <f t="shared" si="24"/>
        <v>0.34379999999999988</v>
      </c>
      <c r="W321" s="225">
        <f t="shared" si="25"/>
        <v>0.65919807573397882</v>
      </c>
      <c r="X321">
        <f>IFERROR(INDEX(Rainfall_Wet!$O$2:$O$217,MATCH(B321, Rainfall_Wet!$A$2:$A$217,0)),"")</f>
        <v>206.85140822299999</v>
      </c>
      <c r="Y321" s="231">
        <v>45.96</v>
      </c>
      <c r="Z321" s="231">
        <v>14.920000000000003</v>
      </c>
      <c r="AA321" s="231">
        <v>39.119999999999997</v>
      </c>
      <c r="AB321" s="232" t="s">
        <v>2673</v>
      </c>
      <c r="AC321" s="231">
        <v>5.0374568753080302</v>
      </c>
      <c r="AD321">
        <f>IF('WetLitterbags placem_collection'!AB102="","",'WetLitterbags placem_collection'!AB102)</f>
        <v>1.6</v>
      </c>
      <c r="AE321">
        <f>IF('WetLitterbags placem_collection'!Z102="","",'WetLitterbags placem_collection'!Z102)</f>
        <v>15</v>
      </c>
      <c r="AF321" s="246" t="str">
        <f>IF('WetLitterbags placem_collection'!AA102="","",'WetLitterbags placem_collection'!AA102)</f>
        <v>G</v>
      </c>
      <c r="AG321">
        <f>IF('WetLitterbags placem_collection'!AC102="","",'WetLitterbags placem_collection'!AC102)</f>
        <v>1</v>
      </c>
      <c r="AH321" s="24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placem_collection'!W102)),"YES","NO")</f>
        <v>YES</v>
      </c>
      <c r="AM321" t="str">
        <f>IF(ISNUMBER(SEARCH("H", 'WetLitterbags placem_collection'!W102)),"YES","NO")</f>
        <v>YES</v>
      </c>
      <c r="AN321" t="str">
        <f>IF(ISNUMBER(SEARCH("R", 'WetLitterbags placem_collection'!W102)),"YES","NO")</f>
        <v>NO</v>
      </c>
    </row>
    <row r="322" spans="1:40" ht="15" customHeight="1">
      <c r="A322" s="258" t="s">
        <v>2460</v>
      </c>
      <c r="B322" s="263">
        <f>'Dry_Litterbag Placem_Collection'!A103</f>
        <v>101</v>
      </c>
      <c r="C322" s="263" t="str">
        <f>'Dry_Litterbag Placem_Collection'!B103</f>
        <v xml:space="preserve">Mwantimba
</v>
      </c>
      <c r="D322" s="263" t="s">
        <v>2659</v>
      </c>
      <c r="E322" s="263" t="s">
        <v>2660</v>
      </c>
      <c r="F322" s="263">
        <v>1</v>
      </c>
      <c r="G322" s="264" t="str">
        <f>'Dry_Litterbag Placem_Collection'!C103</f>
        <v>Wet_Ag1_T5</v>
      </c>
      <c r="H322" s="265" t="s">
        <v>2541</v>
      </c>
      <c r="I322" s="272" t="s">
        <v>298</v>
      </c>
      <c r="J322" s="223" t="str">
        <f>'WetLitterbags placem_collection'!M103</f>
        <v>R482</v>
      </c>
      <c r="K322" s="225">
        <f>IFERROR(INDEX('Green_rooibos initial weight'!$C$5:$C$1749,MATCH(J322, 'Green_rooibos initial weight'!$A$5:$A$1749,0)),"")</f>
        <v>2.17</v>
      </c>
      <c r="L322" s="225">
        <f>IFERROR(K322-(TBIcalc!$H$9+TBIcalc!$H$10),"")</f>
        <v>1.9201999999999999</v>
      </c>
      <c r="M322" s="391">
        <f>AVERAGE(Ashed_controlls!$K$12:$K$14)</f>
        <v>2.2816647271287041</v>
      </c>
      <c r="N322" s="225">
        <f t="shared" si="22"/>
        <v>1.8763874739096746</v>
      </c>
      <c r="O322" s="225">
        <f>IF(IFERROR(INDEX('Both teabags AfterWet'!$C$3:$C$841,MATCH(J322,'Both teabags AfterWet'!$A$3:$A$841,0)),"")="","",(IFERROR(INDEX('Both teabags AfterWet'!$C$3:$C$841,MATCH(J322,'Both teabags AfterWet'!$A$3:$A$841,0)),"")))</f>
        <v>1.6348</v>
      </c>
      <c r="P322" s="225">
        <f>IFERROR(IF(O322&gt;0,O322-(TBIcalc!$H$9),""),"")</f>
        <v>1.4842</v>
      </c>
      <c r="Q322" s="225">
        <f>IFERROR(INDEX('Ashed teabags wet'!$K$2:$K$821,MATCH(J322,'Ashed teabags wet'!$A$2:$A$821,0)),"")</f>
        <v>8.9805825242718385</v>
      </c>
      <c r="R322" s="225">
        <f t="shared" si="26"/>
        <v>1.3509101941747574</v>
      </c>
      <c r="S322" s="226">
        <f>'WetLitterbags placem_collection'!E103</f>
        <v>42762</v>
      </c>
      <c r="T322" s="226">
        <f>IF('WetLitterbags placem_collection'!G103="","",'WetLitterbags placem_collection'!G103)</f>
        <v>42816</v>
      </c>
      <c r="U322" s="227">
        <f t="shared" si="23"/>
        <v>54</v>
      </c>
      <c r="V322" s="225">
        <f t="shared" si="24"/>
        <v>0.43599999999999994</v>
      </c>
      <c r="W322" s="225">
        <f t="shared" si="25"/>
        <v>0.5254772797349172</v>
      </c>
      <c r="X322">
        <f>IFERROR(INDEX(Rainfall_Wet!$O$2:$O$217,MATCH(B322, Rainfall_Wet!$A$2:$A$217,0)),"")</f>
        <v>206.85140822299999</v>
      </c>
      <c r="Y322" s="231">
        <v>45.96</v>
      </c>
      <c r="Z322" s="231">
        <v>14.920000000000003</v>
      </c>
      <c r="AA322" s="231">
        <v>39.119999999999997</v>
      </c>
      <c r="AB322" s="232" t="s">
        <v>2673</v>
      </c>
      <c r="AC322" s="231">
        <v>6.0374568753080302</v>
      </c>
      <c r="AD322">
        <f>IF('WetLitterbags placem_collection'!AB103="","",'WetLitterbags placem_collection'!AB103)</f>
        <v>4.3499999999999996</v>
      </c>
      <c r="AE322">
        <f>IF('WetLitterbags placem_collection'!Z103="","",'WetLitterbags placem_collection'!Z103)</f>
        <v>17</v>
      </c>
      <c r="AF322" s="246" t="str">
        <f>IF('WetLitterbags placem_collection'!AA103="","",'WetLitterbags placem_collection'!AA103)</f>
        <v>G</v>
      </c>
      <c r="AG322">
        <f>IF('WetLitterbags placem_collection'!AC103="","",'WetLitterbags placem_collection'!AC103)</f>
        <v>1</v>
      </c>
      <c r="AH322" s="24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placem_collection'!W103)),"YES","NO")</f>
        <v>NO</v>
      </c>
      <c r="AM322" t="str">
        <f>IF(ISNUMBER(SEARCH("H", 'WetLitterbags placem_collection'!W103)),"YES","NO")</f>
        <v>NO</v>
      </c>
      <c r="AN322" t="str">
        <f>IF(ISNUMBER(SEARCH("R", 'WetLitterbags placem_collection'!W103)),"YES","NO")</f>
        <v>NO</v>
      </c>
    </row>
    <row r="323" spans="1:40" ht="15" customHeight="1">
      <c r="A323" s="258" t="s">
        <v>2460</v>
      </c>
      <c r="B323" s="263">
        <f>'Dry_Litterbag Placem_Collection'!A104</f>
        <v>102</v>
      </c>
      <c r="C323" s="263" t="str">
        <f>'Dry_Litterbag Placem_Collection'!B104</f>
        <v xml:space="preserve">Mwantimba
</v>
      </c>
      <c r="D323" s="263" t="s">
        <v>2659</v>
      </c>
      <c r="E323" s="263" t="s">
        <v>2660</v>
      </c>
      <c r="F323" s="263">
        <v>1</v>
      </c>
      <c r="G323" s="264" t="str">
        <f>'Dry_Litterbag Placem_Collection'!C104</f>
        <v>Wet_Ag1_T6</v>
      </c>
      <c r="H323" s="265" t="s">
        <v>2541</v>
      </c>
      <c r="I323" s="272" t="s">
        <v>298</v>
      </c>
      <c r="J323" s="223" t="str">
        <f>'WetLitterbags placem_collection'!M104</f>
        <v>R569</v>
      </c>
      <c r="K323" s="225">
        <f>IFERROR(INDEX('Green_rooibos initial weight'!$C$5:$C$1749,MATCH(J323, 'Green_rooibos initial weight'!$A$5:$A$1749,0)),"")</f>
        <v>2.0960000000000001</v>
      </c>
      <c r="L323" s="225">
        <f>IFERROR(K323-(TBIcalc!$H$9+TBIcalc!$H$10),"")</f>
        <v>1.8462000000000001</v>
      </c>
      <c r="M323" s="391">
        <f>AVERAGE(Ashed_controlls!$K$12:$K$14)</f>
        <v>2.2816647271287041</v>
      </c>
      <c r="N323" s="225">
        <f t="shared" ref="N323:N386" si="27">IFERROR(L323-(M323/100)*L323,"")</f>
        <v>1.80407590580775</v>
      </c>
      <c r="O323" s="225">
        <f>IF(IFERROR(INDEX('Both teabags AfterWet'!$C$3:$C$841,MATCH(J323,'Both teabags AfterWet'!$A$3:$A$841,0)),"")="","",(IFERROR(INDEX('Both teabags AfterWet'!$C$3:$C$841,MATCH(J323,'Both teabags AfterWet'!$A$3:$A$841,0)),"")))</f>
        <v>1.655</v>
      </c>
      <c r="P323" s="225">
        <f>IFERROR(IF(O323&gt;0,O323-(TBIcalc!$H$9),""),"")</f>
        <v>1.5044</v>
      </c>
      <c r="Q323" s="225">
        <f>IFERROR(INDEX('Ashed teabags wet'!$K$2:$K$821,MATCH(J323,'Ashed teabags wet'!$A$2:$A$821,0)),"")</f>
        <v>6.4211050273764974</v>
      </c>
      <c r="R323" s="225">
        <f t="shared" si="26"/>
        <v>1.4078008959681478</v>
      </c>
      <c r="S323" s="226">
        <f>'WetLitterbags placem_collection'!E104</f>
        <v>42762</v>
      </c>
      <c r="T323" s="226">
        <f>IF('WetLitterbags placem_collection'!G104="","",'WetLitterbags placem_collection'!G104)</f>
        <v>42816</v>
      </c>
      <c r="U323" s="227">
        <f t="shared" ref="U323:U386" si="28">IFERROR(T323-S323,"")</f>
        <v>54</v>
      </c>
      <c r="V323" s="225">
        <f t="shared" ref="V323:V386" si="29">IFERROR(L323-P323,"")</f>
        <v>0.3418000000000001</v>
      </c>
      <c r="W323" s="225">
        <f t="shared" ref="W323:W386" si="30">IFERROR(N323-R323,"")</f>
        <v>0.39627500983960218</v>
      </c>
      <c r="X323">
        <f>IFERROR(INDEX(Rainfall_Wet!$O$2:$O$217,MATCH(B323, Rainfall_Wet!$A$2:$A$217,0)),"")</f>
        <v>206.85140822299999</v>
      </c>
      <c r="Y323" s="231">
        <v>45.96</v>
      </c>
      <c r="Z323" s="231">
        <v>14.920000000000003</v>
      </c>
      <c r="AA323" s="231">
        <v>39.119999999999997</v>
      </c>
      <c r="AB323" s="232" t="s">
        <v>2673</v>
      </c>
      <c r="AC323" s="231">
        <v>7.0374568753080302</v>
      </c>
      <c r="AD323">
        <f>IF('WetLitterbags placem_collection'!AB104="","",'WetLitterbags placem_collection'!AB104)</f>
        <v>7.7</v>
      </c>
      <c r="AE323">
        <f>IF('WetLitterbags placem_collection'!Z104="","",'WetLitterbags placem_collection'!Z104)</f>
        <v>21</v>
      </c>
      <c r="AF323" s="246" t="str">
        <f>IF('WetLitterbags placem_collection'!AA104="","",'WetLitterbags placem_collection'!AA104)</f>
        <v>G</v>
      </c>
      <c r="AG323">
        <f>IF('WetLitterbags placem_collection'!AC104="","",'WetLitterbags placem_collection'!AC104)</f>
        <v>1</v>
      </c>
      <c r="AH323" s="24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placem_collection'!W104)),"YES","NO")</f>
        <v>NO</v>
      </c>
      <c r="AM323" t="str">
        <f>IF(ISNUMBER(SEARCH("H", 'WetLitterbags placem_collection'!W104)),"YES","NO")</f>
        <v>NO</v>
      </c>
      <c r="AN323" t="str">
        <f>IF(ISNUMBER(SEARCH("R", 'WetLitterbags placem_collection'!W104)),"YES","NO")</f>
        <v>NO</v>
      </c>
    </row>
    <row r="324" spans="1:40" ht="15" customHeight="1">
      <c r="A324" s="258" t="s">
        <v>2460</v>
      </c>
      <c r="B324" s="263">
        <f>'Dry_Litterbag Placem_Collection'!A105</f>
        <v>103</v>
      </c>
      <c r="C324" s="263" t="str">
        <f>'Dry_Litterbag Placem_Collection'!B105</f>
        <v xml:space="preserve">Mwantimba
</v>
      </c>
      <c r="D324" s="263" t="s">
        <v>2659</v>
      </c>
      <c r="E324" s="263" t="s">
        <v>2660</v>
      </c>
      <c r="F324" s="263">
        <v>1</v>
      </c>
      <c r="G324" s="264" t="str">
        <f>'Dry_Litterbag Placem_Collection'!C105</f>
        <v>Wet_Ag1_T7</v>
      </c>
      <c r="H324" s="265" t="s">
        <v>2541</v>
      </c>
      <c r="I324" s="272" t="s">
        <v>298</v>
      </c>
      <c r="J324" s="223" t="str">
        <f>'WetLitterbags placem_collection'!M105</f>
        <v>R430</v>
      </c>
      <c r="K324" s="225">
        <f>IFERROR(INDEX('Green_rooibos initial weight'!$C$5:$C$1749,MATCH(J324, 'Green_rooibos initial weight'!$A$5:$A$1749,0)),"")</f>
        <v>2.1829999999999998</v>
      </c>
      <c r="L324" s="225">
        <f>IFERROR(K324-(TBIcalc!$H$9+TBIcalc!$H$10),"")</f>
        <v>1.9331999999999998</v>
      </c>
      <c r="M324" s="391">
        <f>AVERAGE(Ashed_controlls!$K$12:$K$14)</f>
        <v>2.2816647271287041</v>
      </c>
      <c r="N324" s="225">
        <f t="shared" si="27"/>
        <v>1.8890908574951477</v>
      </c>
      <c r="O324" s="225">
        <f>IF(IFERROR(INDEX('Both teabags AfterWet'!$C$3:$C$841,MATCH(J324,'Both teabags AfterWet'!$A$3:$A$841,0)),"")="","",(IFERROR(INDEX('Both teabags AfterWet'!$C$3:$C$841,MATCH(J324,'Both teabags AfterWet'!$A$3:$A$841,0)),"")))</f>
        <v>1.629</v>
      </c>
      <c r="P324" s="225">
        <f>IFERROR(IF(O324&gt;0,O324-(TBIcalc!$H$9),""),"")</f>
        <v>1.4783999999999999</v>
      </c>
      <c r="Q324" s="225">
        <f>IFERROR(INDEX('Ashed teabags wet'!$K$2:$K$821,MATCH(J324,'Ashed teabags wet'!$A$2:$A$821,0)),"")</f>
        <v>4.7409579667641673</v>
      </c>
      <c r="R324" s="225">
        <f t="shared" si="26"/>
        <v>1.4083096774193584</v>
      </c>
      <c r="S324" s="226">
        <f>'WetLitterbags placem_collection'!E105</f>
        <v>42762</v>
      </c>
      <c r="T324" s="226">
        <f>IF('WetLitterbags placem_collection'!G105="","",'WetLitterbags placem_collection'!G105)</f>
        <v>42816</v>
      </c>
      <c r="U324" s="227">
        <f t="shared" si="28"/>
        <v>54</v>
      </c>
      <c r="V324" s="225">
        <f t="shared" si="29"/>
        <v>0.45479999999999987</v>
      </c>
      <c r="W324" s="225">
        <f t="shared" si="30"/>
        <v>0.48078118007578929</v>
      </c>
      <c r="X324">
        <f>IFERROR(INDEX(Rainfall_Wet!$O$2:$O$217,MATCH(B324, Rainfall_Wet!$A$2:$A$217,0)),"")</f>
        <v>206.85140822299999</v>
      </c>
      <c r="Y324" s="231">
        <v>45.96</v>
      </c>
      <c r="Z324" s="231">
        <v>14.920000000000003</v>
      </c>
      <c r="AA324" s="231">
        <v>39.119999999999997</v>
      </c>
      <c r="AB324" s="232" t="s">
        <v>2673</v>
      </c>
      <c r="AC324" s="231">
        <v>8.0374568753080293</v>
      </c>
      <c r="AD324">
        <f>IF('WetLitterbags placem_collection'!AB105="","",'WetLitterbags placem_collection'!AB105)</f>
        <v>3.25</v>
      </c>
      <c r="AE324">
        <f>IF('WetLitterbags placem_collection'!Z105="","",'WetLitterbags placem_collection'!Z105)</f>
        <v>16</v>
      </c>
      <c r="AF324" s="246" t="str">
        <f>IF('WetLitterbags placem_collection'!AA105="","",'WetLitterbags placem_collection'!AA105)</f>
        <v>G</v>
      </c>
      <c r="AG324">
        <f>IF('WetLitterbags placem_collection'!AC105="","",'WetLitterbags placem_collection'!AC105)</f>
        <v>1</v>
      </c>
      <c r="AH324" s="24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placem_collection'!W105)),"YES","NO")</f>
        <v>NO</v>
      </c>
      <c r="AM324" t="str">
        <f>IF(ISNUMBER(SEARCH("H", 'WetLitterbags placem_collection'!W105)),"YES","NO")</f>
        <v>NO</v>
      </c>
      <c r="AN324" t="str">
        <f>IF(ISNUMBER(SEARCH("R", 'WetLitterbags placem_collection'!W105)),"YES","NO")</f>
        <v>NO</v>
      </c>
    </row>
    <row r="325" spans="1:40" ht="15" customHeight="1">
      <c r="A325" s="258" t="s">
        <v>2460</v>
      </c>
      <c r="B325" s="263">
        <f>'Dry_Litterbag Placem_Collection'!A106</f>
        <v>104</v>
      </c>
      <c r="C325" s="263" t="str">
        <f>'Dry_Litterbag Placem_Collection'!B106</f>
        <v xml:space="preserve">Mwantimba
</v>
      </c>
      <c r="D325" s="263" t="s">
        <v>2659</v>
      </c>
      <c r="E325" s="263" t="s">
        <v>2660</v>
      </c>
      <c r="F325" s="263">
        <v>1</v>
      </c>
      <c r="G325" s="264" t="str">
        <f>'Dry_Litterbag Placem_Collection'!C106</f>
        <v>Wet_Ag1_T8</v>
      </c>
      <c r="H325" s="265" t="s">
        <v>2541</v>
      </c>
      <c r="I325" s="272" t="s">
        <v>298</v>
      </c>
      <c r="J325" s="223" t="str">
        <f>'WetLitterbags placem_collection'!M106</f>
        <v>R577</v>
      </c>
      <c r="K325" s="225">
        <f>IFERROR(INDEX('Green_rooibos initial weight'!$C$5:$C$1749,MATCH(J325, 'Green_rooibos initial weight'!$A$5:$A$1749,0)),"")</f>
        <v>2.0859999999999999</v>
      </c>
      <c r="L325" s="225">
        <f>IFERROR(K325-(TBIcalc!$H$9+TBIcalc!$H$10),"")</f>
        <v>1.8361999999999998</v>
      </c>
      <c r="M325" s="391">
        <f>AVERAGE(Ashed_controlls!$K$12:$K$14)</f>
        <v>2.2816647271287041</v>
      </c>
      <c r="N325" s="225">
        <f t="shared" si="27"/>
        <v>1.7943040722804626</v>
      </c>
      <c r="O325" s="225">
        <f>IF(IFERROR(INDEX('Both teabags AfterWet'!$C$3:$C$841,MATCH(J325,'Both teabags AfterWet'!$A$3:$A$841,0)),"")="","",(IFERROR(INDEX('Both teabags AfterWet'!$C$3:$C$841,MATCH(J325,'Both teabags AfterWet'!$A$3:$A$841,0)),"")))</f>
        <v>1.4470000000000001</v>
      </c>
      <c r="P325" s="225">
        <f>IFERROR(IF(O325&gt;0,O325-(TBIcalc!$H$9),""),"")</f>
        <v>1.2964</v>
      </c>
      <c r="Q325" s="225">
        <f>IFERROR(INDEX('Ashed teabags wet'!$K$2:$K$821,MATCH(J325,'Ashed teabags wet'!$A$2:$A$821,0)),"")</f>
        <v>6.3583815028902215</v>
      </c>
      <c r="R325" s="225">
        <f t="shared" si="26"/>
        <v>1.2139699421965311</v>
      </c>
      <c r="S325" s="226">
        <f>'WetLitterbags placem_collection'!E106</f>
        <v>42762</v>
      </c>
      <c r="T325" s="226">
        <f>IF('WetLitterbags placem_collection'!G106="","",'WetLitterbags placem_collection'!G106)</f>
        <v>42816</v>
      </c>
      <c r="U325" s="227">
        <f t="shared" si="28"/>
        <v>54</v>
      </c>
      <c r="V325" s="225">
        <f t="shared" si="29"/>
        <v>0.53979999999999984</v>
      </c>
      <c r="W325" s="225">
        <f t="shared" si="30"/>
        <v>0.58033413008393153</v>
      </c>
      <c r="X325">
        <f>IFERROR(INDEX(Rainfall_Wet!$O$2:$O$217,MATCH(B325, Rainfall_Wet!$A$2:$A$217,0)),"")</f>
        <v>206.85140822299999</v>
      </c>
      <c r="Y325" s="231">
        <v>45.96</v>
      </c>
      <c r="Z325" s="231">
        <v>14.920000000000003</v>
      </c>
      <c r="AA325" s="231">
        <v>39.119999999999997</v>
      </c>
      <c r="AB325" s="232" t="s">
        <v>2673</v>
      </c>
      <c r="AC325" s="231">
        <v>9.0374568753080293</v>
      </c>
      <c r="AD325">
        <f>IF('WetLitterbags placem_collection'!AB106="","",'WetLitterbags placem_collection'!AB106)</f>
        <v>10.5</v>
      </c>
      <c r="AE325">
        <f>IF('WetLitterbags placem_collection'!Z106="","",'WetLitterbags placem_collection'!Z106)</f>
        <v>17</v>
      </c>
      <c r="AF325" s="246" t="str">
        <f>IF('WetLitterbags placem_collection'!AA106="","",'WetLitterbags placem_collection'!AA106)</f>
        <v>G</v>
      </c>
      <c r="AG325">
        <f>IF('WetLitterbags placem_collection'!AC106="","",'WetLitterbags placem_collection'!AC106)</f>
        <v>1</v>
      </c>
      <c r="AH325" s="24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placem_collection'!W106)),"YES","NO")</f>
        <v>NO</v>
      </c>
      <c r="AM325" t="str">
        <f>IF(ISNUMBER(SEARCH("H", 'WetLitterbags placem_collection'!W106)),"YES","NO")</f>
        <v>NO</v>
      </c>
      <c r="AN325" t="str">
        <f>IF(ISNUMBER(SEARCH("R", 'WetLitterbags placem_collection'!W106)),"YES","NO")</f>
        <v>NO</v>
      </c>
    </row>
    <row r="326" spans="1:40" ht="15" customHeight="1">
      <c r="A326" s="258" t="s">
        <v>2460</v>
      </c>
      <c r="B326" s="263">
        <f>'Dry_Litterbag Placem_Collection'!A107</f>
        <v>105</v>
      </c>
      <c r="C326" s="263" t="str">
        <f>'Dry_Litterbag Placem_Collection'!B107</f>
        <v xml:space="preserve">Mwantimba
</v>
      </c>
      <c r="D326" s="263" t="s">
        <v>2659</v>
      </c>
      <c r="E326" s="263" t="s">
        <v>2660</v>
      </c>
      <c r="F326" s="263">
        <v>2</v>
      </c>
      <c r="G326" s="264" t="str">
        <f>'Dry_Litterbag Placem_Collection'!C107</f>
        <v>Wet_Ag2_T1</v>
      </c>
      <c r="H326" s="265" t="s">
        <v>2541</v>
      </c>
      <c r="I326" s="272" t="s">
        <v>298</v>
      </c>
      <c r="J326" s="223" t="str">
        <f>'WetLitterbags placem_collection'!M107</f>
        <v>R548</v>
      </c>
      <c r="K326" s="225">
        <f>IFERROR(INDEX('Green_rooibos initial weight'!$C$5:$C$1749,MATCH(J326, 'Green_rooibos initial weight'!$A$5:$A$1749,0)),"")</f>
        <v>2.1920000000000002</v>
      </c>
      <c r="L326" s="225">
        <f>IFERROR(K326-(TBIcalc!$H$9+TBIcalc!$H$10),"")</f>
        <v>1.9422000000000001</v>
      </c>
      <c r="M326" s="391">
        <f>AVERAGE(Ashed_controlls!$K$12:$K$14)</f>
        <v>2.2816647271287041</v>
      </c>
      <c r="N326" s="225">
        <f t="shared" si="27"/>
        <v>1.8978855076697065</v>
      </c>
      <c r="O326" s="225">
        <f>IF(IFERROR(INDEX('Both teabags AfterWet'!$C$3:$C$841,MATCH(J326,'Both teabags AfterWet'!$A$3:$A$841,0)),"")="","",(IFERROR(INDEX('Both teabags AfterWet'!$C$3:$C$841,MATCH(J326,'Both teabags AfterWet'!$A$3:$A$841,0)),"")))</f>
        <v>1.859</v>
      </c>
      <c r="P326" s="225">
        <f>IFERROR(IF(O326&gt;0,O326-(TBIcalc!$H$9),""),"")</f>
        <v>1.7083999999999999</v>
      </c>
      <c r="Q326" s="225">
        <f>IFERROR(INDEX('Ashed teabags wet'!$K$2:$K$821,MATCH(J326,'Ashed teabags wet'!$A$2:$A$821,0)),"")</f>
        <v>16.476991588322143</v>
      </c>
      <c r="R326" s="225">
        <f t="shared" si="26"/>
        <v>1.4269070757051043</v>
      </c>
      <c r="S326" s="226">
        <f>'WetLitterbags placem_collection'!E107</f>
        <v>42762</v>
      </c>
      <c r="T326" s="226">
        <f>IF('WetLitterbags placem_collection'!G107="","",'WetLitterbags placem_collection'!G107)</f>
        <v>42816</v>
      </c>
      <c r="U326" s="227">
        <f t="shared" si="28"/>
        <v>54</v>
      </c>
      <c r="V326" s="225">
        <f t="shared" si="29"/>
        <v>0.23380000000000023</v>
      </c>
      <c r="W326" s="225">
        <f t="shared" si="30"/>
        <v>0.47097843196460221</v>
      </c>
      <c r="X326">
        <f>IFERROR(INDEX(Rainfall_Wet!$O$2:$O$217,MATCH(B326, Rainfall_Wet!$A$2:$A$217,0)),"")</f>
        <v>206.85140822299999</v>
      </c>
      <c r="Y326" s="231">
        <v>34.344660194174757</v>
      </c>
      <c r="Z326" s="231">
        <v>19.22727272727273</v>
      </c>
      <c r="AA326" s="231">
        <v>46.428067078552509</v>
      </c>
      <c r="AB326" s="232" t="s">
        <v>2670</v>
      </c>
      <c r="AC326" s="231">
        <v>1.7452932479053718</v>
      </c>
      <c r="AD326">
        <f>IF('WetLitterbags placem_collection'!AB107="","",'WetLitterbags placem_collection'!AB107)</f>
        <v>5.5</v>
      </c>
      <c r="AE326">
        <f>IF('WetLitterbags placem_collection'!Z107="","",'WetLitterbags placem_collection'!Z107)</f>
        <v>23.5</v>
      </c>
      <c r="AF326" s="246" t="str">
        <f>IF('WetLitterbags placem_collection'!AA107="","",'WetLitterbags placem_collection'!AA107)</f>
        <v>M</v>
      </c>
      <c r="AG326">
        <f>IF('WetLitterbags placem_collection'!AC107="","",'WetLitterbags placem_collection'!AC107)</f>
        <v>0</v>
      </c>
      <c r="AH326" s="24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placem_collection'!W107)),"YES","NO")</f>
        <v>NO</v>
      </c>
      <c r="AM326" t="str">
        <f>IF(ISNUMBER(SEARCH("H", 'WetLitterbags placem_collection'!W107)),"YES","NO")</f>
        <v>NO</v>
      </c>
      <c r="AN326" t="str">
        <f>IF(ISNUMBER(SEARCH("R", 'WetLitterbags placem_collection'!W107)),"YES","NO")</f>
        <v>YES</v>
      </c>
    </row>
    <row r="327" spans="1:40" ht="15" customHeight="1">
      <c r="A327" s="258" t="s">
        <v>2460</v>
      </c>
      <c r="B327" s="263">
        <f>'Dry_Litterbag Placem_Collection'!A108</f>
        <v>106</v>
      </c>
      <c r="C327" s="263" t="str">
        <f>'Dry_Litterbag Placem_Collection'!B108</f>
        <v xml:space="preserve">Mwantimba
</v>
      </c>
      <c r="D327" s="263" t="s">
        <v>2659</v>
      </c>
      <c r="E327" s="263" t="s">
        <v>2660</v>
      </c>
      <c r="F327" s="263">
        <v>2</v>
      </c>
      <c r="G327" s="264" t="str">
        <f>'Dry_Litterbag Placem_Collection'!C108</f>
        <v>Wet_Ag2_T2</v>
      </c>
      <c r="H327" s="265" t="s">
        <v>2541</v>
      </c>
      <c r="I327" s="272" t="s">
        <v>298</v>
      </c>
      <c r="J327" s="223" t="str">
        <f>'WetLitterbags placem_collection'!M108</f>
        <v>R590</v>
      </c>
      <c r="K327" s="225">
        <f>IFERROR(INDEX('Green_rooibos initial weight'!$C$5:$C$1749,MATCH(J327, 'Green_rooibos initial weight'!$A$5:$A$1749,0)),"")</f>
        <v>2.218</v>
      </c>
      <c r="L327" s="225">
        <f>IFERROR(K327-(TBIcalc!$H$9+TBIcalc!$H$10),"")</f>
        <v>1.9681999999999999</v>
      </c>
      <c r="M327" s="391">
        <f>AVERAGE(Ashed_controlls!$K$12:$K$14)</f>
        <v>2.2816647271287041</v>
      </c>
      <c r="N327" s="225">
        <f t="shared" si="27"/>
        <v>1.9232922748406529</v>
      </c>
      <c r="O327" s="225">
        <f>IF(IFERROR(INDEX('Both teabags AfterWet'!$C$3:$C$841,MATCH(J327,'Both teabags AfterWet'!$A$3:$A$841,0)),"")="","",(IFERROR(INDEX('Both teabags AfterWet'!$C$3:$C$841,MATCH(J327,'Both teabags AfterWet'!$A$3:$A$841,0)),"")))</f>
        <v>1.7769999999999999</v>
      </c>
      <c r="P327" s="225">
        <f>IFERROR(IF(O327&gt;0,O327-(TBIcalc!$H$9),""),"")</f>
        <v>1.6263999999999998</v>
      </c>
      <c r="Q327" s="225">
        <f>IFERROR(INDEX('Ashed teabags wet'!$K$2:$K$821,MATCH(J327,'Ashed teabags wet'!$A$2:$A$821,0)),"")</f>
        <v>10.077145612343887</v>
      </c>
      <c r="R327" s="225">
        <f t="shared" si="26"/>
        <v>1.4625053037608389</v>
      </c>
      <c r="S327" s="226">
        <f>'WetLitterbags placem_collection'!E108</f>
        <v>42762</v>
      </c>
      <c r="T327" s="226">
        <f>IF('WetLitterbags placem_collection'!G108="","",'WetLitterbags placem_collection'!G108)</f>
        <v>42816</v>
      </c>
      <c r="U327" s="227">
        <f t="shared" si="28"/>
        <v>54</v>
      </c>
      <c r="V327" s="225">
        <f t="shared" si="29"/>
        <v>0.3418000000000001</v>
      </c>
      <c r="W327" s="225">
        <f t="shared" si="30"/>
        <v>0.46078697107981403</v>
      </c>
      <c r="X327">
        <f>IFERROR(INDEX(Rainfall_Wet!$O$2:$O$217,MATCH(B327, Rainfall_Wet!$A$2:$A$217,0)),"")</f>
        <v>206.85140822299999</v>
      </c>
      <c r="Y327" s="231">
        <v>34.344660194174757</v>
      </c>
      <c r="Z327" s="231">
        <v>19.22727272727273</v>
      </c>
      <c r="AA327" s="231">
        <v>46.428067078552509</v>
      </c>
      <c r="AB327" s="232" t="s">
        <v>2670</v>
      </c>
      <c r="AC327" s="231">
        <v>2.7452932479053702</v>
      </c>
      <c r="AD327">
        <f>IF('WetLitterbags placem_collection'!AB108="","",'WetLitterbags placem_collection'!AB108)</f>
        <v>8.6</v>
      </c>
      <c r="AE327">
        <f>IF('WetLitterbags placem_collection'!Z108="","",'WetLitterbags placem_collection'!Z108)</f>
        <v>17</v>
      </c>
      <c r="AF327" s="246" t="str">
        <f>IF('WetLitterbags placem_collection'!AA108="","",'WetLitterbags placem_collection'!AA108)</f>
        <v>M</v>
      </c>
      <c r="AG327">
        <f>IF('WetLitterbags placem_collection'!AC108="","",'WetLitterbags placem_collection'!AC108)</f>
        <v>0</v>
      </c>
      <c r="AH327" s="24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placem_collection'!W108)),"YES","NO")</f>
        <v>NO</v>
      </c>
      <c r="AM327" t="str">
        <f>IF(ISNUMBER(SEARCH("H", 'WetLitterbags placem_collection'!W108)),"YES","NO")</f>
        <v>NO</v>
      </c>
      <c r="AN327" t="str">
        <f>IF(ISNUMBER(SEARCH("R", 'WetLitterbags placem_collection'!W108)),"YES","NO")</f>
        <v>YES</v>
      </c>
    </row>
    <row r="328" spans="1:40" ht="15" customHeight="1">
      <c r="A328" s="258" t="s">
        <v>2460</v>
      </c>
      <c r="B328" s="263">
        <f>'Dry_Litterbag Placem_Collection'!A109</f>
        <v>107</v>
      </c>
      <c r="C328" s="263" t="str">
        <f>'Dry_Litterbag Placem_Collection'!B109</f>
        <v xml:space="preserve">Mwantimba
</v>
      </c>
      <c r="D328" s="263" t="s">
        <v>2659</v>
      </c>
      <c r="E328" s="263" t="s">
        <v>2660</v>
      </c>
      <c r="F328" s="263">
        <v>2</v>
      </c>
      <c r="G328" s="264" t="str">
        <f>'Dry_Litterbag Placem_Collection'!C109</f>
        <v>Wet_Ag2_T3</v>
      </c>
      <c r="H328" s="265" t="s">
        <v>2541</v>
      </c>
      <c r="I328" s="272" t="s">
        <v>298</v>
      </c>
      <c r="J328" s="223" t="str">
        <f>'WetLitterbags placem_collection'!M109</f>
        <v>R574</v>
      </c>
      <c r="K328" s="225">
        <f>IFERROR(INDEX('Green_rooibos initial weight'!$C$5:$C$1749,MATCH(J328, 'Green_rooibos initial weight'!$A$5:$A$1749,0)),"")</f>
        <v>2.16</v>
      </c>
      <c r="L328" s="225">
        <f>IFERROR(K328-(TBIcalc!$H$9+TBIcalc!$H$10),"")</f>
        <v>1.9102000000000001</v>
      </c>
      <c r="M328" s="391">
        <f>AVERAGE(Ashed_controlls!$K$12:$K$14)</f>
        <v>2.2816647271287041</v>
      </c>
      <c r="N328" s="225">
        <f t="shared" si="27"/>
        <v>1.8666156403823877</v>
      </c>
      <c r="O328" s="225">
        <f>IF(IFERROR(INDEX('Both teabags AfterWet'!$C$3:$C$841,MATCH(J328,'Both teabags AfterWet'!$A$3:$A$841,0)),"")="","",(IFERROR(INDEX('Both teabags AfterWet'!$C$3:$C$841,MATCH(J328,'Both teabags AfterWet'!$A$3:$A$841,0)),"")))</f>
        <v>1.706</v>
      </c>
      <c r="P328" s="225">
        <f>IFERROR(IF(O328&gt;0,O328-(TBIcalc!$H$9),""),"")</f>
        <v>1.5553999999999999</v>
      </c>
      <c r="Q328" s="225">
        <f>IFERROR(INDEX('Ashed teabags wet'!$K$2:$K$821,MATCH(J328,'Ashed teabags wet'!$A$2:$A$821,0)),"")</f>
        <v>6.0532687651327608</v>
      </c>
      <c r="R328" s="225">
        <f t="shared" si="26"/>
        <v>1.461247457627125</v>
      </c>
      <c r="S328" s="226">
        <f>'WetLitterbags placem_collection'!E109</f>
        <v>42762</v>
      </c>
      <c r="T328" s="226">
        <f>IF('WetLitterbags placem_collection'!G109="","",'WetLitterbags placem_collection'!G109)</f>
        <v>42816</v>
      </c>
      <c r="U328" s="227">
        <f t="shared" si="28"/>
        <v>54</v>
      </c>
      <c r="V328" s="225">
        <f t="shared" si="29"/>
        <v>0.35480000000000023</v>
      </c>
      <c r="W328" s="225">
        <f t="shared" si="30"/>
        <v>0.40536818275526265</v>
      </c>
      <c r="X328">
        <f>IFERROR(INDEX(Rainfall_Wet!$O$2:$O$217,MATCH(B328, Rainfall_Wet!$A$2:$A$217,0)),"")</f>
        <v>206.85140822299999</v>
      </c>
      <c r="Y328" s="231">
        <v>34.344660194174757</v>
      </c>
      <c r="Z328" s="231">
        <v>19.22727272727273</v>
      </c>
      <c r="AA328" s="231">
        <v>46.428067078552509</v>
      </c>
      <c r="AB328" s="232" t="s">
        <v>2670</v>
      </c>
      <c r="AC328" s="231">
        <v>3.7452932479053702</v>
      </c>
      <c r="AD328">
        <f>IF('WetLitterbags placem_collection'!AB109="","",'WetLitterbags placem_collection'!AB109)</f>
        <v>3.85</v>
      </c>
      <c r="AE328">
        <f>IF('WetLitterbags placem_collection'!Z109="","",'WetLitterbags placem_collection'!Z109)</f>
        <v>15.5</v>
      </c>
      <c r="AF328" s="246" t="str">
        <f>IF('WetLitterbags placem_collection'!AA109="","",'WetLitterbags placem_collection'!AA109)</f>
        <v>M</v>
      </c>
      <c r="AG328">
        <f>IF('WetLitterbags placem_collection'!AC109="","",'WetLitterbags placem_collection'!AC109)</f>
        <v>0</v>
      </c>
      <c r="AH328" s="24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placem_collection'!W109)),"YES","NO")</f>
        <v>NO</v>
      </c>
      <c r="AM328" t="str">
        <f>IF(ISNUMBER(SEARCH("H", 'WetLitterbags placem_collection'!W109)),"YES","NO")</f>
        <v>NO</v>
      </c>
      <c r="AN328" t="str">
        <f>IF(ISNUMBER(SEARCH("R", 'WetLitterbags placem_collection'!W109)),"YES","NO")</f>
        <v>NO</v>
      </c>
    </row>
    <row r="329" spans="1:40" ht="15" customHeight="1">
      <c r="A329" s="258" t="s">
        <v>2460</v>
      </c>
      <c r="B329" s="263">
        <f>'Dry_Litterbag Placem_Collection'!A110</f>
        <v>108</v>
      </c>
      <c r="C329" s="263" t="str">
        <f>'Dry_Litterbag Placem_Collection'!B110</f>
        <v xml:space="preserve">Mwantimba
</v>
      </c>
      <c r="D329" s="263" t="s">
        <v>2659</v>
      </c>
      <c r="E329" s="263" t="s">
        <v>2660</v>
      </c>
      <c r="F329" s="263">
        <v>2</v>
      </c>
      <c r="G329" s="264" t="str">
        <f>'Dry_Litterbag Placem_Collection'!C110</f>
        <v>Wet_Ag2_T4</v>
      </c>
      <c r="H329" s="265" t="s">
        <v>2541</v>
      </c>
      <c r="I329" s="272" t="s">
        <v>298</v>
      </c>
      <c r="J329" s="223" t="str">
        <f>'WetLitterbags placem_collection'!M110</f>
        <v>R8</v>
      </c>
      <c r="K329" s="225">
        <f>IFERROR(INDEX('Green_rooibos initial weight'!$C$5:$C$1749,MATCH(J329, 'Green_rooibos initial weight'!$A$5:$A$1749,0)),"")</f>
        <v>2.23</v>
      </c>
      <c r="L329" s="225">
        <f>IFERROR(K329-(TBIcalc!$H$9+TBIcalc!$H$10),"")</f>
        <v>1.9802</v>
      </c>
      <c r="M329" s="391">
        <f>AVERAGE(Ashed_controlls!$K$12:$K$14)</f>
        <v>2.2816647271287041</v>
      </c>
      <c r="N329" s="225">
        <f t="shared" si="27"/>
        <v>1.9350184750733974</v>
      </c>
      <c r="O329" s="225">
        <f>IF(IFERROR(INDEX('Both teabags AfterWet'!$C$3:$C$841,MATCH(J329,'Both teabags AfterWet'!$A$3:$A$841,0)),"")="","",(IFERROR(INDEX('Both teabags AfterWet'!$C$3:$C$841,MATCH(J329,'Both teabags AfterWet'!$A$3:$A$841,0)),"")))</f>
        <v>1.536</v>
      </c>
      <c r="P329" s="225">
        <f>IFERROR(IF(O329&gt;0,O329-(TBIcalc!$H$9),""),"")</f>
        <v>1.3854</v>
      </c>
      <c r="Q329" s="225">
        <f>IFERROR(INDEX('Ashed teabags wet'!$K$2:$K$821,MATCH(J329,'Ashed teabags wet'!$A$2:$A$821,0)),"")</f>
        <v>8.2171314741042973</v>
      </c>
      <c r="R329" s="225">
        <f t="shared" si="26"/>
        <v>1.2715598605577589</v>
      </c>
      <c r="S329" s="226">
        <f>'WetLitterbags placem_collection'!E110</f>
        <v>42762</v>
      </c>
      <c r="T329" s="226">
        <f>IF('WetLitterbags placem_collection'!G110="","",'WetLitterbags placem_collection'!G110)</f>
        <v>42816</v>
      </c>
      <c r="U329" s="227">
        <f t="shared" si="28"/>
        <v>54</v>
      </c>
      <c r="V329" s="225">
        <f t="shared" si="29"/>
        <v>0.5948</v>
      </c>
      <c r="W329" s="225">
        <f t="shared" si="30"/>
        <v>0.66345861451563848</v>
      </c>
      <c r="X329">
        <f>IFERROR(INDEX(Rainfall_Wet!$O$2:$O$217,MATCH(B329, Rainfall_Wet!$A$2:$A$217,0)),"")</f>
        <v>206.85140822299999</v>
      </c>
      <c r="Y329" s="231">
        <v>34.344660194174757</v>
      </c>
      <c r="Z329" s="231">
        <v>19.22727272727273</v>
      </c>
      <c r="AA329" s="231">
        <v>46.428067078552509</v>
      </c>
      <c r="AB329" s="232" t="s">
        <v>2670</v>
      </c>
      <c r="AC329" s="231">
        <v>4.7452932479053702</v>
      </c>
      <c r="AD329">
        <f>IF('WetLitterbags placem_collection'!AB110="","",'WetLitterbags placem_collection'!AB110)</f>
        <v>9.6999999999999993</v>
      </c>
      <c r="AE329">
        <f>IF('WetLitterbags placem_collection'!Z110="","",'WetLitterbags placem_collection'!Z110)</f>
        <v>22.5</v>
      </c>
      <c r="AF329" s="246" t="str">
        <f>IF('WetLitterbags placem_collection'!AA110="","",'WetLitterbags placem_collection'!AA110)</f>
        <v>M</v>
      </c>
      <c r="AG329">
        <f>IF('WetLitterbags placem_collection'!AC110="","",'WetLitterbags placem_collection'!AC110)</f>
        <v>0</v>
      </c>
      <c r="AH329" s="24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placem_collection'!W110)),"YES","NO")</f>
        <v>NO</v>
      </c>
      <c r="AM329" t="str">
        <f>IF(ISNUMBER(SEARCH("H", 'WetLitterbags placem_collection'!W110)),"YES","NO")</f>
        <v>YES</v>
      </c>
      <c r="AN329" t="str">
        <f>IF(ISNUMBER(SEARCH("R", 'WetLitterbags placem_collection'!W110)),"YES","NO")</f>
        <v>NO</v>
      </c>
    </row>
    <row r="330" spans="1:40" ht="15" customHeight="1">
      <c r="A330" s="258" t="s">
        <v>2460</v>
      </c>
      <c r="B330" s="263">
        <f>'Dry_Litterbag Placem_Collection'!A111</f>
        <v>109</v>
      </c>
      <c r="C330" s="263" t="str">
        <f>'Dry_Litterbag Placem_Collection'!B111</f>
        <v xml:space="preserve">Mwantimba
</v>
      </c>
      <c r="D330" s="263" t="s">
        <v>2659</v>
      </c>
      <c r="E330" s="263" t="s">
        <v>2660</v>
      </c>
      <c r="F330" s="263">
        <v>2</v>
      </c>
      <c r="G330" s="264" t="str">
        <f>'Dry_Litterbag Placem_Collection'!C111</f>
        <v>Wet_Ag2_T5</v>
      </c>
      <c r="H330" s="265" t="s">
        <v>2541</v>
      </c>
      <c r="I330" s="272" t="s">
        <v>298</v>
      </c>
      <c r="J330" s="223" t="str">
        <f>'WetLitterbags placem_collection'!M111</f>
        <v>R552</v>
      </c>
      <c r="K330" s="225">
        <f>IFERROR(INDEX('Green_rooibos initial weight'!$C$5:$C$1749,MATCH(J330, 'Green_rooibos initial weight'!$A$5:$A$1749,0)),"")</f>
        <v>2.222</v>
      </c>
      <c r="L330" s="225">
        <f>IFERROR(K330-(TBIcalc!$H$9+TBIcalc!$H$10),"")</f>
        <v>1.9722</v>
      </c>
      <c r="M330" s="391">
        <f>AVERAGE(Ashed_controlls!$K$12:$K$14)</f>
        <v>2.2816647271287041</v>
      </c>
      <c r="N330" s="225">
        <f t="shared" si="27"/>
        <v>1.9272010082515676</v>
      </c>
      <c r="O330" s="225">
        <f>IF(IFERROR(INDEX('Both teabags AfterWet'!$C$3:$C$841,MATCH(J330,'Both teabags AfterWet'!$A$3:$A$841,0)),"")="","",(IFERROR(INDEX('Both teabags AfterWet'!$C$3:$C$841,MATCH(J330,'Both teabags AfterWet'!$A$3:$A$841,0)),"")))</f>
        <v>1.7532000000000001</v>
      </c>
      <c r="P330" s="225">
        <f>IFERROR(IF(O330&gt;0,O330-(TBIcalc!$H$9),""),"")</f>
        <v>1.6026</v>
      </c>
      <c r="Q330" s="225">
        <f>IFERROR(INDEX('Ashed teabags wet'!$K$2:$K$821,MATCH(J330,'Ashed teabags wet'!$A$2:$A$821,0)),"")</f>
        <v>9.2346938775513898</v>
      </c>
      <c r="R330" s="225">
        <f t="shared" si="26"/>
        <v>1.4546047959183614</v>
      </c>
      <c r="S330" s="226">
        <f>'WetLitterbags placem_collection'!E111</f>
        <v>42762</v>
      </c>
      <c r="T330" s="226">
        <f>IF('WetLitterbags placem_collection'!G111="","",'WetLitterbags placem_collection'!G111)</f>
        <v>42816</v>
      </c>
      <c r="U330" s="227">
        <f t="shared" si="28"/>
        <v>54</v>
      </c>
      <c r="V330" s="225">
        <f t="shared" si="29"/>
        <v>0.36959999999999993</v>
      </c>
      <c r="W330" s="225">
        <f t="shared" si="30"/>
        <v>0.47259621233320614</v>
      </c>
      <c r="X330">
        <f>IFERROR(INDEX(Rainfall_Wet!$O$2:$O$217,MATCH(B330, Rainfall_Wet!$A$2:$A$217,0)),"")</f>
        <v>206.85140822299999</v>
      </c>
      <c r="Y330" s="231">
        <v>34.344660194174757</v>
      </c>
      <c r="Z330" s="231">
        <v>19.22727272727273</v>
      </c>
      <c r="AA330" s="231">
        <v>46.428067078552509</v>
      </c>
      <c r="AB330" s="232" t="s">
        <v>2670</v>
      </c>
      <c r="AC330" s="231">
        <v>5.7452932479053702</v>
      </c>
      <c r="AD330">
        <f>IF('WetLitterbags placem_collection'!AB111="","",'WetLitterbags placem_collection'!AB111)</f>
        <v>10.5</v>
      </c>
      <c r="AE330">
        <f>IF('WetLitterbags placem_collection'!Z111="","",'WetLitterbags placem_collection'!Z111)</f>
        <v>22.5</v>
      </c>
      <c r="AF330" s="246" t="str">
        <f>IF('WetLitterbags placem_collection'!AA111="","",'WetLitterbags placem_collection'!AA111)</f>
        <v>M</v>
      </c>
      <c r="AG330">
        <f>IF('WetLitterbags placem_collection'!AC111="","",'WetLitterbags placem_collection'!AC111)</f>
        <v>0</v>
      </c>
      <c r="AH330" s="24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placem_collection'!W111)),"YES","NO")</f>
        <v>NO</v>
      </c>
      <c r="AM330" t="str">
        <f>IF(ISNUMBER(SEARCH("H", 'WetLitterbags placem_collection'!W111)),"YES","NO")</f>
        <v>NO</v>
      </c>
      <c r="AN330" t="str">
        <f>IF(ISNUMBER(SEARCH("R", 'WetLitterbags placem_collection'!W111)),"YES","NO")</f>
        <v>NO</v>
      </c>
    </row>
    <row r="331" spans="1:40" ht="15" customHeight="1">
      <c r="A331" s="258" t="s">
        <v>2460</v>
      </c>
      <c r="B331" s="263">
        <f>'Dry_Litterbag Placem_Collection'!A112</f>
        <v>110</v>
      </c>
      <c r="C331" s="263" t="str">
        <f>'Dry_Litterbag Placem_Collection'!B112</f>
        <v xml:space="preserve">Mwantimba
</v>
      </c>
      <c r="D331" s="263" t="s">
        <v>2659</v>
      </c>
      <c r="E331" s="263" t="s">
        <v>2660</v>
      </c>
      <c r="F331" s="263">
        <v>2</v>
      </c>
      <c r="G331" s="264" t="str">
        <f>'Dry_Litterbag Placem_Collection'!C112</f>
        <v>Wet_Ag2_T6</v>
      </c>
      <c r="H331" s="265" t="s">
        <v>2541</v>
      </c>
      <c r="I331" s="272" t="s">
        <v>298</v>
      </c>
      <c r="J331" s="223" t="str">
        <f>'WetLitterbags placem_collection'!M112</f>
        <v>R462</v>
      </c>
      <c r="K331" s="225">
        <f>IFERROR(INDEX('Green_rooibos initial weight'!$C$5:$C$1749,MATCH(J331, 'Green_rooibos initial weight'!$A$5:$A$1749,0)),"")</f>
        <v>2.226</v>
      </c>
      <c r="L331" s="225">
        <f>IFERROR(K331-(TBIcalc!$H$9+TBIcalc!$H$10),"")</f>
        <v>1.9762</v>
      </c>
      <c r="M331" s="391">
        <f>AVERAGE(Ashed_controlls!$K$12:$K$14)</f>
        <v>2.2816647271287041</v>
      </c>
      <c r="N331" s="225">
        <f t="shared" si="27"/>
        <v>1.9311097416624825</v>
      </c>
      <c r="O331" s="225">
        <f>IF(IFERROR(INDEX('Both teabags AfterWet'!$C$3:$C$841,MATCH(J331,'Both teabags AfterWet'!$A$3:$A$841,0)),"")="","",(IFERROR(INDEX('Both teabags AfterWet'!$C$3:$C$841,MATCH(J331,'Both teabags AfterWet'!$A$3:$A$841,0)),"")))</f>
        <v>1.5465</v>
      </c>
      <c r="P331" s="225">
        <f>IFERROR(IF(O331&gt;0,O331-(TBIcalc!$H$9),""),"")</f>
        <v>1.3958999999999999</v>
      </c>
      <c r="Q331" s="225">
        <f>IFERROR(INDEX('Ashed teabags wet'!$K$2:$K$821,MATCH(J331,'Ashed teabags wet'!$A$2:$A$821,0)),"")</f>
        <v>7.3158914728682047</v>
      </c>
      <c r="R331" s="225">
        <f t="shared" ref="R331:R394" si="31">IFERROR(P331-(Q331/100)*P331,"")</f>
        <v>1.2937774709302325</v>
      </c>
      <c r="S331" s="226">
        <f>'WetLitterbags placem_collection'!E112</f>
        <v>42762</v>
      </c>
      <c r="T331" s="226">
        <f>IF('WetLitterbags placem_collection'!G112="","",'WetLitterbags placem_collection'!G112)</f>
        <v>42816</v>
      </c>
      <c r="U331" s="227">
        <f t="shared" si="28"/>
        <v>54</v>
      </c>
      <c r="V331" s="225">
        <f t="shared" si="29"/>
        <v>0.58030000000000004</v>
      </c>
      <c r="W331" s="225">
        <f t="shared" si="30"/>
        <v>0.63733227073224996</v>
      </c>
      <c r="X331">
        <f>IFERROR(INDEX(Rainfall_Wet!$O$2:$O$217,MATCH(B331, Rainfall_Wet!$A$2:$A$217,0)),"")</f>
        <v>206.85140822299999</v>
      </c>
      <c r="Y331" s="231">
        <v>34.344660194174757</v>
      </c>
      <c r="Z331" s="231">
        <v>19.22727272727273</v>
      </c>
      <c r="AA331" s="231">
        <v>46.428067078552509</v>
      </c>
      <c r="AB331" s="232" t="s">
        <v>2670</v>
      </c>
      <c r="AC331" s="231">
        <v>6.7452932479053702</v>
      </c>
      <c r="AD331">
        <f>IF('WetLitterbags placem_collection'!AB112="","",'WetLitterbags placem_collection'!AB112)</f>
        <v>5.75</v>
      </c>
      <c r="AE331">
        <f>IF('WetLitterbags placem_collection'!Z112="","",'WetLitterbags placem_collection'!Z112)</f>
        <v>22.5</v>
      </c>
      <c r="AF331" s="246" t="str">
        <f>IF('WetLitterbags placem_collection'!AA112="","",'WetLitterbags placem_collection'!AA112)</f>
        <v>M</v>
      </c>
      <c r="AG331">
        <f>IF('WetLitterbags placem_collection'!AC112="","",'WetLitterbags placem_collection'!AC112)</f>
        <v>0</v>
      </c>
      <c r="AH331" s="24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placem_collection'!W112)),"YES","NO")</f>
        <v>NO</v>
      </c>
      <c r="AM331" t="str">
        <f>IF(ISNUMBER(SEARCH("H", 'WetLitterbags placem_collection'!W112)),"YES","NO")</f>
        <v>NO</v>
      </c>
      <c r="AN331" t="str">
        <f>IF(ISNUMBER(SEARCH("R", 'WetLitterbags placem_collection'!W112)),"YES","NO")</f>
        <v>NO</v>
      </c>
    </row>
    <row r="332" spans="1:40" ht="15" customHeight="1">
      <c r="A332" s="258" t="s">
        <v>2460</v>
      </c>
      <c r="B332" s="263">
        <f>'Dry_Litterbag Placem_Collection'!A113</f>
        <v>111</v>
      </c>
      <c r="C332" s="263" t="str">
        <f>'Dry_Litterbag Placem_Collection'!B113</f>
        <v xml:space="preserve">Mwantimba
</v>
      </c>
      <c r="D332" s="263" t="s">
        <v>2659</v>
      </c>
      <c r="E332" s="263" t="s">
        <v>2660</v>
      </c>
      <c r="F332" s="263">
        <v>2</v>
      </c>
      <c r="G332" s="264" t="str">
        <f>'Dry_Litterbag Placem_Collection'!C113</f>
        <v>Wet_Ag2_T7</v>
      </c>
      <c r="H332" s="265" t="s">
        <v>2541</v>
      </c>
      <c r="I332" s="272" t="s">
        <v>298</v>
      </c>
      <c r="J332" s="223" t="str">
        <f>'WetLitterbags placem_collection'!M113</f>
        <v>R505</v>
      </c>
      <c r="K332" s="225">
        <f>IFERROR(INDEX('Green_rooibos initial weight'!$C$5:$C$1749,MATCH(J332, 'Green_rooibos initial weight'!$A$5:$A$1749,0)),"")</f>
        <v>2.198</v>
      </c>
      <c r="L332" s="225">
        <f>IFERROR(K332-(TBIcalc!$H$9+TBIcalc!$H$10),"")</f>
        <v>1.9481999999999999</v>
      </c>
      <c r="M332" s="391">
        <f>AVERAGE(Ashed_controlls!$K$12:$K$14)</f>
        <v>2.2816647271287041</v>
      </c>
      <c r="N332" s="225">
        <f t="shared" si="27"/>
        <v>1.9037486077860786</v>
      </c>
      <c r="O332" s="225">
        <f>IF(IFERROR(INDEX('Both teabags AfterWet'!$C$3:$C$841,MATCH(J332,'Both teabags AfterWet'!$A$3:$A$841,0)),"")="","",(IFERROR(INDEX('Both teabags AfterWet'!$C$3:$C$841,MATCH(J332,'Both teabags AfterWet'!$A$3:$A$841,0)),"")))</f>
        <v>1.673</v>
      </c>
      <c r="P332" s="225">
        <f>IFERROR(IF(O332&gt;0,O332-(TBIcalc!$H$9),""),"")</f>
        <v>1.5224</v>
      </c>
      <c r="Q332" s="225">
        <f>IFERROR(INDEX('Ashed teabags wet'!$K$2:$K$821,MATCH(J332,'Ashed teabags wet'!$A$2:$A$821,0)),"")</f>
        <v>8.7623762376235934</v>
      </c>
      <c r="R332" s="225">
        <f t="shared" si="31"/>
        <v>1.3890015841584185</v>
      </c>
      <c r="S332" s="226">
        <f>'WetLitterbags placem_collection'!E113</f>
        <v>42762</v>
      </c>
      <c r="T332" s="226">
        <f>IF('WetLitterbags placem_collection'!G113="","",'WetLitterbags placem_collection'!G113)</f>
        <v>42816</v>
      </c>
      <c r="U332" s="227">
        <f t="shared" si="28"/>
        <v>54</v>
      </c>
      <c r="V332" s="225">
        <f t="shared" si="29"/>
        <v>0.42579999999999996</v>
      </c>
      <c r="W332" s="225">
        <f t="shared" si="30"/>
        <v>0.51474702362766012</v>
      </c>
      <c r="X332">
        <f>IFERROR(INDEX(Rainfall_Wet!$O$2:$O$217,MATCH(B332, Rainfall_Wet!$A$2:$A$217,0)),"")</f>
        <v>206.85140822299999</v>
      </c>
      <c r="Y332" s="231">
        <v>34.344660194174757</v>
      </c>
      <c r="Z332" s="231">
        <v>19.22727272727273</v>
      </c>
      <c r="AA332" s="231">
        <v>46.428067078552509</v>
      </c>
      <c r="AB332" s="232" t="s">
        <v>2670</v>
      </c>
      <c r="AC332" s="231">
        <v>7.7452932479053702</v>
      </c>
      <c r="AD332">
        <f>IF('WetLitterbags placem_collection'!AB113="","",'WetLitterbags placem_collection'!AB113)</f>
        <v>6.1</v>
      </c>
      <c r="AE332">
        <f>IF('WetLitterbags placem_collection'!Z113="","",'WetLitterbags placem_collection'!Z113)</f>
        <v>26</v>
      </c>
      <c r="AF332" s="246" t="str">
        <f>IF('WetLitterbags placem_collection'!AA113="","",'WetLitterbags placem_collection'!AA113)</f>
        <v>M</v>
      </c>
      <c r="AG332">
        <f>IF('WetLitterbags placem_collection'!AC113="","",'WetLitterbags placem_collection'!AC113)</f>
        <v>0</v>
      </c>
      <c r="AH332" s="24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placem_collection'!W113)),"YES","NO")</f>
        <v>NO</v>
      </c>
      <c r="AM332" t="str">
        <f>IF(ISNUMBER(SEARCH("H", 'WetLitterbags placem_collection'!W113)),"YES","NO")</f>
        <v>NO</v>
      </c>
      <c r="AN332" t="str">
        <f>IF(ISNUMBER(SEARCH("R", 'WetLitterbags placem_collection'!W113)),"YES","NO")</f>
        <v>NO</v>
      </c>
    </row>
    <row r="333" spans="1:40" ht="15" customHeight="1">
      <c r="A333" s="258" t="s">
        <v>2460</v>
      </c>
      <c r="B333" s="263">
        <f>'Dry_Litterbag Placem_Collection'!A114</f>
        <v>112</v>
      </c>
      <c r="C333" s="263" t="str">
        <f>'Dry_Litterbag Placem_Collection'!B114</f>
        <v xml:space="preserve">Mwantimba
</v>
      </c>
      <c r="D333" s="263" t="s">
        <v>2659</v>
      </c>
      <c r="E333" s="263" t="s">
        <v>2660</v>
      </c>
      <c r="F333" s="263">
        <v>2</v>
      </c>
      <c r="G333" s="264" t="str">
        <f>'Dry_Litterbag Placem_Collection'!C114</f>
        <v>Wet_Ag2_T8</v>
      </c>
      <c r="H333" s="265" t="s">
        <v>2541</v>
      </c>
      <c r="I333" s="272" t="s">
        <v>298</v>
      </c>
      <c r="J333" s="223" t="str">
        <f>'WetLitterbags placem_collection'!M114</f>
        <v>R41</v>
      </c>
      <c r="K333" s="225">
        <f>IFERROR(INDEX('Green_rooibos initial weight'!$C$5:$C$1749,MATCH(J333, 'Green_rooibos initial weight'!$A$5:$A$1749,0)),"")</f>
        <v>2.2010000000000001</v>
      </c>
      <c r="L333" s="225">
        <f>IFERROR(K333-(TBIcalc!$H$9+TBIcalc!$H$10),"")</f>
        <v>1.9512</v>
      </c>
      <c r="M333" s="391">
        <f>AVERAGE(Ashed_controlls!$K$12:$K$14)</f>
        <v>2.2816647271287041</v>
      </c>
      <c r="N333" s="225">
        <f t="shared" si="27"/>
        <v>1.9066801578442647</v>
      </c>
      <c r="O333" s="225">
        <f>IF(IFERROR(INDEX('Both teabags AfterWet'!$C$3:$C$841,MATCH(J333,'Both teabags AfterWet'!$A$3:$A$841,0)),"")="","",(IFERROR(INDEX('Both teabags AfterWet'!$C$3:$C$841,MATCH(J333,'Both teabags AfterWet'!$A$3:$A$841,0)),"")))</f>
        <v>1.6910000000000001</v>
      </c>
      <c r="P333" s="225">
        <f>IFERROR(IF(O333&gt;0,O333-(TBIcalc!$H$9),""),"")</f>
        <v>1.5404</v>
      </c>
      <c r="Q333" s="225">
        <f>IFERROR(INDEX('Ashed teabags wet'!$K$2:$K$821,MATCH(J333,'Ashed teabags wet'!$A$2:$A$821,0)),"")</f>
        <v>6.9995105237407165</v>
      </c>
      <c r="R333" s="225">
        <f t="shared" si="31"/>
        <v>1.432579539892298</v>
      </c>
      <c r="S333" s="226">
        <f>'WetLitterbags placem_collection'!E114</f>
        <v>42762</v>
      </c>
      <c r="T333" s="226">
        <f>IF('WetLitterbags placem_collection'!G114="","",'WetLitterbags placem_collection'!G114)</f>
        <v>42816</v>
      </c>
      <c r="U333" s="227">
        <f t="shared" si="28"/>
        <v>54</v>
      </c>
      <c r="V333" s="225">
        <f t="shared" si="29"/>
        <v>0.41080000000000005</v>
      </c>
      <c r="W333" s="225">
        <f t="shared" si="30"/>
        <v>0.47410061795196667</v>
      </c>
      <c r="X333">
        <f>IFERROR(INDEX(Rainfall_Wet!$O$2:$O$217,MATCH(B333, Rainfall_Wet!$A$2:$A$217,0)),"")</f>
        <v>206.85140822299999</v>
      </c>
      <c r="Y333" s="231">
        <v>34.344660194174757</v>
      </c>
      <c r="Z333" s="231">
        <v>19.22727272727273</v>
      </c>
      <c r="AA333" s="231">
        <v>46.428067078552509</v>
      </c>
      <c r="AB333" s="232" t="s">
        <v>2670</v>
      </c>
      <c r="AC333" s="231">
        <v>8.7452932479053693</v>
      </c>
      <c r="AD333">
        <f>IF('WetLitterbags placem_collection'!AB114="","",'WetLitterbags placem_collection'!AB114)</f>
        <v>11.5</v>
      </c>
      <c r="AE333">
        <f>IF('WetLitterbags placem_collection'!Z114="","",'WetLitterbags placem_collection'!Z114)</f>
        <v>15</v>
      </c>
      <c r="AF333" s="246" t="str">
        <f>IF('WetLitterbags placem_collection'!AA114="","",'WetLitterbags placem_collection'!AA114)</f>
        <v>M</v>
      </c>
      <c r="AG333">
        <f>IF('WetLitterbags placem_collection'!AC114="","",'WetLitterbags placem_collection'!AC114)</f>
        <v>0</v>
      </c>
      <c r="AH333" s="24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placem_collection'!W114)),"YES","NO")</f>
        <v>NO</v>
      </c>
      <c r="AM333" t="str">
        <f>IF(ISNUMBER(SEARCH("H", 'WetLitterbags placem_collection'!W114)),"YES","NO")</f>
        <v>NO</v>
      </c>
      <c r="AN333" t="str">
        <f>IF(ISNUMBER(SEARCH("R", 'WetLitterbags placem_collection'!W114)),"YES","NO")</f>
        <v>YES</v>
      </c>
    </row>
    <row r="334" spans="1:40" ht="15" customHeight="1">
      <c r="A334" s="258" t="s">
        <v>2460</v>
      </c>
      <c r="B334" s="263">
        <f>'Dry_Litterbag Placem_Collection'!A115</f>
        <v>113</v>
      </c>
      <c r="C334" s="263" t="str">
        <f>'Dry_Litterbag Placem_Collection'!B115</f>
        <v xml:space="preserve">Mwantimba
</v>
      </c>
      <c r="D334" s="263" t="s">
        <v>2659</v>
      </c>
      <c r="E334" s="263" t="s">
        <v>2660</v>
      </c>
      <c r="F334" s="263">
        <v>3</v>
      </c>
      <c r="G334" s="264" t="str">
        <f>'Dry_Litterbag Placem_Collection'!C115</f>
        <v>Wet_Ag3_T1</v>
      </c>
      <c r="H334" s="265" t="s">
        <v>2541</v>
      </c>
      <c r="I334" s="272" t="s">
        <v>298</v>
      </c>
      <c r="J334" s="223" t="str">
        <f>'WetLitterbags placem_collection'!M115</f>
        <v>R428</v>
      </c>
      <c r="K334" s="225">
        <f>IFERROR(INDEX('Green_rooibos initial weight'!$C$5:$C$1749,MATCH(J334, 'Green_rooibos initial weight'!$A$5:$A$1749,0)),"")</f>
        <v>2.202</v>
      </c>
      <c r="L334" s="225">
        <f>IFERROR(K334-(TBIcalc!$H$9+TBIcalc!$H$10),"")</f>
        <v>1.9521999999999999</v>
      </c>
      <c r="M334" s="391">
        <f>AVERAGE(Ashed_controlls!$K$12:$K$14)</f>
        <v>2.2816647271287041</v>
      </c>
      <c r="N334" s="225">
        <f t="shared" si="27"/>
        <v>1.9076573411969935</v>
      </c>
      <c r="O334" s="225">
        <f>IF(IFERROR(INDEX('Both teabags AfterWet'!$C$3:$C$841,MATCH(J334,'Both teabags AfterWet'!$A$3:$A$841,0)),"")="","",(IFERROR(INDEX('Both teabags AfterWet'!$C$3:$C$841,MATCH(J334,'Both teabags AfterWet'!$A$3:$A$841,0)),"")))</f>
        <v>1.768</v>
      </c>
      <c r="P334" s="225">
        <f>IFERROR(IF(O334&gt;0,O334-(TBIcalc!$H$9),""),"")</f>
        <v>1.6173999999999999</v>
      </c>
      <c r="Q334" s="225">
        <f>IFERROR(INDEX('Ashed teabags wet'!$K$2:$K$821,MATCH(J334,'Ashed teabags wet'!$A$2:$A$821,0)),"")</f>
        <v>90.530490827962367</v>
      </c>
      <c r="R334" s="225">
        <f t="shared" si="31"/>
        <v>0.15315984134853666</v>
      </c>
      <c r="S334" s="226">
        <f>'WetLitterbags placem_collection'!E115</f>
        <v>42762</v>
      </c>
      <c r="T334" s="226">
        <f>IF('WetLitterbags placem_collection'!G115="","",'WetLitterbags placem_collection'!G115)</f>
        <v>42816</v>
      </c>
      <c r="U334" s="227">
        <f t="shared" si="28"/>
        <v>54</v>
      </c>
      <c r="V334" s="225">
        <f t="shared" si="29"/>
        <v>0.33479999999999999</v>
      </c>
      <c r="W334" s="225">
        <f t="shared" si="30"/>
        <v>1.7544974998484568</v>
      </c>
      <c r="X334">
        <f>IFERROR(INDEX(Rainfall_Wet!$O$2:$O$217,MATCH(B334, Rainfall_Wet!$A$2:$A$217,0)),"")</f>
        <v>206.85140822299999</v>
      </c>
      <c r="Y334" s="231">
        <v>27.96</v>
      </c>
      <c r="Z334" s="231">
        <v>4.9200000000000017</v>
      </c>
      <c r="AA334" s="231">
        <v>67.12</v>
      </c>
      <c r="AB334" s="232" t="s">
        <v>2670</v>
      </c>
      <c r="AC334" s="231">
        <v>0.88610152784622953</v>
      </c>
      <c r="AD334">
        <f>IF('WetLitterbags placem_collection'!AB115="","",'WetLitterbags placem_collection'!AB115)</f>
        <v>26</v>
      </c>
      <c r="AE334">
        <f>IF('WetLitterbags placem_collection'!Z115="","",'WetLitterbags placem_collection'!Z115)</f>
        <v>88.5</v>
      </c>
      <c r="AF334" s="246" t="str">
        <f>IF('WetLitterbags placem_collection'!AA115="","",'WetLitterbags placem_collection'!AA115)</f>
        <v>G</v>
      </c>
      <c r="AG334">
        <f>IF('WetLitterbags placem_collection'!AC115="","",'WetLitterbags placem_collection'!AC115)</f>
        <v>0</v>
      </c>
      <c r="AH334" s="24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placem_collection'!W115)),"YES","NO")</f>
        <v>NO</v>
      </c>
      <c r="AM334" t="str">
        <f>IF(ISNUMBER(SEARCH("H", 'WetLitterbags placem_collection'!W115)),"YES","NO")</f>
        <v>YES</v>
      </c>
      <c r="AN334" t="str">
        <f>IF(ISNUMBER(SEARCH("R", 'WetLitterbags placem_collection'!W115)),"YES","NO")</f>
        <v>YES</v>
      </c>
    </row>
    <row r="335" spans="1:40" ht="15" customHeight="1">
      <c r="A335" s="258" t="s">
        <v>2460</v>
      </c>
      <c r="B335" s="263">
        <f>'Dry_Litterbag Placem_Collection'!A116</f>
        <v>114</v>
      </c>
      <c r="C335" s="263" t="str">
        <f>'Dry_Litterbag Placem_Collection'!B116</f>
        <v xml:space="preserve">Mwantimba
</v>
      </c>
      <c r="D335" s="263" t="s">
        <v>2659</v>
      </c>
      <c r="E335" s="263" t="s">
        <v>2660</v>
      </c>
      <c r="F335" s="263">
        <v>3</v>
      </c>
      <c r="G335" s="264" t="str">
        <f>'Dry_Litterbag Placem_Collection'!C116</f>
        <v>Wet_Ag3_T2</v>
      </c>
      <c r="H335" s="265" t="s">
        <v>2541</v>
      </c>
      <c r="I335" s="272" t="s">
        <v>298</v>
      </c>
      <c r="J335" s="223" t="str">
        <f>'WetLitterbags placem_collection'!M116</f>
        <v>R601</v>
      </c>
      <c r="K335" s="225">
        <f>IFERROR(INDEX('Green_rooibos initial weight'!$C$5:$C$1749,MATCH(J335, 'Green_rooibos initial weight'!$A$5:$A$1749,0)),"")</f>
        <v>2.198</v>
      </c>
      <c r="L335" s="225">
        <f>IFERROR(K335-(TBIcalc!$H$9+TBIcalc!$H$10),"")</f>
        <v>1.9481999999999999</v>
      </c>
      <c r="M335" s="391">
        <f>AVERAGE(Ashed_controlls!$K$12:$K$14)</f>
        <v>2.2816647271287041</v>
      </c>
      <c r="N335" s="225">
        <f t="shared" si="27"/>
        <v>1.9037486077860786</v>
      </c>
      <c r="O335" s="225">
        <f>IF(IFERROR(INDEX('Both teabags AfterWet'!$C$3:$C$841,MATCH(J335,'Both teabags AfterWet'!$A$3:$A$841,0)),"")="","",(IFERROR(INDEX('Both teabags AfterWet'!$C$3:$C$841,MATCH(J335,'Both teabags AfterWet'!$A$3:$A$841,0)),"")))</f>
        <v>2.7930000000000001</v>
      </c>
      <c r="P335" s="225">
        <f>IFERROR(IF(O335&gt;0,O335-(TBIcalc!$H$9),""),"")</f>
        <v>2.6424000000000003</v>
      </c>
      <c r="Q335" s="225">
        <f>IFERROR(INDEX('Ashed teabags wet'!$K$2:$K$821,MATCH(J335,'Ashed teabags wet'!$A$2:$A$821,0)),"")</f>
        <v>95.101842870998382</v>
      </c>
      <c r="R335" s="225">
        <f t="shared" si="31"/>
        <v>0.12942890397673867</v>
      </c>
      <c r="S335" s="226">
        <f>'WetLitterbags placem_collection'!E116</f>
        <v>42762</v>
      </c>
      <c r="T335" s="226">
        <f>IF('WetLitterbags placem_collection'!G116="","",'WetLitterbags placem_collection'!G116)</f>
        <v>42816</v>
      </c>
      <c r="U335" s="227">
        <f t="shared" si="28"/>
        <v>54</v>
      </c>
      <c r="V335" s="225">
        <f t="shared" si="29"/>
        <v>-0.69420000000000037</v>
      </c>
      <c r="W335" s="225">
        <f t="shared" si="30"/>
        <v>1.7743197038093399</v>
      </c>
      <c r="X335">
        <f>IFERROR(INDEX(Rainfall_Wet!$O$2:$O$217,MATCH(B335, Rainfall_Wet!$A$2:$A$217,0)),"")</f>
        <v>206.85140822299999</v>
      </c>
      <c r="Y335" s="231">
        <v>27.96</v>
      </c>
      <c r="Z335" s="231">
        <v>4.9200000000000017</v>
      </c>
      <c r="AA335" s="231">
        <v>67.12</v>
      </c>
      <c r="AB335" s="232" t="s">
        <v>2670</v>
      </c>
      <c r="AC335" s="231">
        <v>1.8861015278462301</v>
      </c>
      <c r="AD335">
        <f>IF('WetLitterbags placem_collection'!AB116="","",'WetLitterbags placem_collection'!AB116)</f>
        <v>16.5</v>
      </c>
      <c r="AE335">
        <f>IF('WetLitterbags placem_collection'!Z116="","",'WetLitterbags placem_collection'!Z116)</f>
        <v>87.5</v>
      </c>
      <c r="AF335" s="246" t="str">
        <f>IF('WetLitterbags placem_collection'!AA116="","",'WetLitterbags placem_collection'!AA116)</f>
        <v>G</v>
      </c>
      <c r="AG335">
        <f>IF('WetLitterbags placem_collection'!AC116="","",'WetLitterbags placem_collection'!AC116)</f>
        <v>0</v>
      </c>
      <c r="AH335" s="24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placem_collection'!W116)),"YES","NO")</f>
        <v>NO</v>
      </c>
      <c r="AM335" t="str">
        <f>IF(ISNUMBER(SEARCH("H", 'WetLitterbags placem_collection'!W116)),"YES","NO")</f>
        <v>YES</v>
      </c>
      <c r="AN335" t="str">
        <f>IF(ISNUMBER(SEARCH("R", 'WetLitterbags placem_collection'!W116)),"YES","NO")</f>
        <v>YES</v>
      </c>
    </row>
    <row r="336" spans="1:40" ht="15" customHeight="1">
      <c r="A336" s="258" t="s">
        <v>2460</v>
      </c>
      <c r="B336" s="263">
        <f>'Dry_Litterbag Placem_Collection'!A117</f>
        <v>115</v>
      </c>
      <c r="C336" s="263" t="str">
        <f>'Dry_Litterbag Placem_Collection'!B117</f>
        <v xml:space="preserve">Mwantimba
</v>
      </c>
      <c r="D336" s="263" t="s">
        <v>2659</v>
      </c>
      <c r="E336" s="263" t="s">
        <v>2660</v>
      </c>
      <c r="F336" s="263">
        <v>3</v>
      </c>
      <c r="G336" s="264" t="str">
        <f>'Dry_Litterbag Placem_Collection'!C117</f>
        <v>Wet_Ag3_T3</v>
      </c>
      <c r="H336" s="265" t="s">
        <v>2541</v>
      </c>
      <c r="I336" s="272" t="s">
        <v>298</v>
      </c>
      <c r="J336" s="223" t="str">
        <f>'WetLitterbags placem_collection'!M117</f>
        <v>R553</v>
      </c>
      <c r="K336" s="225">
        <f>IFERROR(INDEX('Green_rooibos initial weight'!$C$5:$C$1749,MATCH(J336, 'Green_rooibos initial weight'!$A$5:$A$1749,0)),"")</f>
        <v>2.1949999999999998</v>
      </c>
      <c r="L336" s="225">
        <f>IFERROR(K336-(TBIcalc!$H$9+TBIcalc!$H$10),"")</f>
        <v>1.9451999999999998</v>
      </c>
      <c r="M336" s="391">
        <f>AVERAGE(Ashed_controlls!$K$12:$K$14)</f>
        <v>2.2816647271287041</v>
      </c>
      <c r="N336" s="225">
        <f t="shared" si="27"/>
        <v>1.9008170577278922</v>
      </c>
      <c r="O336" s="225">
        <f>IF(IFERROR(INDEX('Both teabags AfterWet'!$C$3:$C$841,MATCH(J336,'Both teabags AfterWet'!$A$3:$A$841,0)),"")="","",(IFERROR(INDEX('Both teabags AfterWet'!$C$3:$C$841,MATCH(J336,'Both teabags AfterWet'!$A$3:$A$841,0)),"")))</f>
        <v>0.99990000000000001</v>
      </c>
      <c r="P336" s="225">
        <f>IFERROR(IF(O336&gt;0,O336-(TBIcalc!$H$9),""),"")</f>
        <v>0.84929999999999994</v>
      </c>
      <c r="Q336" s="225">
        <f>IFERROR(INDEX('Ashed teabags wet'!$K$2:$K$821,MATCH(J336,'Ashed teabags wet'!$A$2:$A$821,0)),"")</f>
        <v>91.722365038559602</v>
      </c>
      <c r="R336" s="225">
        <f t="shared" si="31"/>
        <v>7.0301953727513244E-2</v>
      </c>
      <c r="S336" s="226">
        <f>'WetLitterbags placem_collection'!E117</f>
        <v>42762</v>
      </c>
      <c r="T336" s="226">
        <f>IF('WetLitterbags placem_collection'!G117="","",'WetLitterbags placem_collection'!G117)</f>
        <v>42816</v>
      </c>
      <c r="U336" s="227">
        <f t="shared" si="28"/>
        <v>54</v>
      </c>
      <c r="V336" s="225">
        <f t="shared" si="29"/>
        <v>1.0958999999999999</v>
      </c>
      <c r="W336" s="225">
        <f t="shared" si="30"/>
        <v>1.8305151040003791</v>
      </c>
      <c r="X336">
        <f>IFERROR(INDEX(Rainfall_Wet!$O$2:$O$217,MATCH(B336, Rainfall_Wet!$A$2:$A$217,0)),"")</f>
        <v>206.85140822299999</v>
      </c>
      <c r="Y336" s="231">
        <v>27.96</v>
      </c>
      <c r="Z336" s="231">
        <v>4.9200000000000017</v>
      </c>
      <c r="AA336" s="231">
        <v>67.12</v>
      </c>
      <c r="AB336" s="232" t="s">
        <v>2670</v>
      </c>
      <c r="AC336" s="231">
        <v>2.8861015278462299</v>
      </c>
      <c r="AD336">
        <f>IF('WetLitterbags placem_collection'!AB117="","",'WetLitterbags placem_collection'!AB117)</f>
        <v>19</v>
      </c>
      <c r="AE336">
        <f>IF('WetLitterbags placem_collection'!Z117="","",'WetLitterbags placem_collection'!Z117)</f>
        <v>79.5</v>
      </c>
      <c r="AF336" s="246" t="str">
        <f>IF('WetLitterbags placem_collection'!AA117="","",'WetLitterbags placem_collection'!AA117)</f>
        <v>G</v>
      </c>
      <c r="AG336">
        <f>IF('WetLitterbags placem_collection'!AC117="","",'WetLitterbags placem_collection'!AC117)</f>
        <v>1</v>
      </c>
      <c r="AH336" s="24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placem_collection'!W117)),"YES","NO")</f>
        <v>NO</v>
      </c>
      <c r="AM336" t="str">
        <f>IF(ISNUMBER(SEARCH("H", 'WetLitterbags placem_collection'!W117)),"YES","NO")</f>
        <v>YES</v>
      </c>
      <c r="AN336" t="str">
        <f>IF(ISNUMBER(SEARCH("R", 'WetLitterbags placem_collection'!W117)),"YES","NO")</f>
        <v>YES</v>
      </c>
    </row>
    <row r="337" spans="1:40" ht="15" customHeight="1">
      <c r="A337" s="258" t="s">
        <v>2460</v>
      </c>
      <c r="B337" s="263">
        <f>'Dry_Litterbag Placem_Collection'!A118</f>
        <v>116</v>
      </c>
      <c r="C337" s="263" t="str">
        <f>'Dry_Litterbag Placem_Collection'!B118</f>
        <v xml:space="preserve">Mwantimba
</v>
      </c>
      <c r="D337" s="263" t="s">
        <v>2659</v>
      </c>
      <c r="E337" s="263" t="s">
        <v>2660</v>
      </c>
      <c r="F337" s="263">
        <v>3</v>
      </c>
      <c r="G337" s="264" t="str">
        <f>'Dry_Litterbag Placem_Collection'!C118</f>
        <v>Wet_Ag3_T4</v>
      </c>
      <c r="H337" s="265" t="s">
        <v>2541</v>
      </c>
      <c r="I337" s="272" t="s">
        <v>298</v>
      </c>
      <c r="J337" s="223" t="str">
        <f>'WetLitterbags placem_collection'!M118</f>
        <v>R459</v>
      </c>
      <c r="K337" s="225">
        <f>IFERROR(INDEX('Green_rooibos initial weight'!$C$5:$C$1749,MATCH(J337, 'Green_rooibos initial weight'!$A$5:$A$1749,0)),"")</f>
        <v>2.2090000000000001</v>
      </c>
      <c r="L337" s="225">
        <f>IFERROR(K337-(TBIcalc!$H$9+TBIcalc!$H$10),"")</f>
        <v>1.9592000000000001</v>
      </c>
      <c r="M337" s="391">
        <f>AVERAGE(Ashed_controlls!$K$12:$K$14)</f>
        <v>2.2816647271287041</v>
      </c>
      <c r="N337" s="225">
        <f t="shared" si="27"/>
        <v>1.9144976246660945</v>
      </c>
      <c r="O337" s="225">
        <f>IF(IFERROR(INDEX('Both teabags AfterWet'!$C$3:$C$841,MATCH(J337,'Both teabags AfterWet'!$A$3:$A$841,0)),"")="","",(IFERROR(INDEX('Both teabags AfterWet'!$C$3:$C$841,MATCH(J337,'Both teabags AfterWet'!$A$3:$A$841,0)),"")))</f>
        <v>0.68710000000000004</v>
      </c>
      <c r="P337" s="225">
        <f>IFERROR(IF(O337&gt;0,O337-(TBIcalc!$H$9),""),"")</f>
        <v>0.53649999999999998</v>
      </c>
      <c r="Q337" s="225">
        <f>IFERROR(INDEX('Ashed teabags wet'!$K$2:$K$821,MATCH(J337,'Ashed teabags wet'!$A$2:$A$821,0)),"")</f>
        <v>84.783689706613757</v>
      </c>
      <c r="R337" s="225">
        <f t="shared" si="31"/>
        <v>8.1635504724017205E-2</v>
      </c>
      <c r="S337" s="226">
        <f>'WetLitterbags placem_collection'!E118</f>
        <v>42762</v>
      </c>
      <c r="T337" s="226">
        <f>IF('WetLitterbags placem_collection'!G118="","",'WetLitterbags placem_collection'!G118)</f>
        <v>42816</v>
      </c>
      <c r="U337" s="227">
        <f t="shared" si="28"/>
        <v>54</v>
      </c>
      <c r="V337" s="225">
        <f t="shared" si="29"/>
        <v>1.4227000000000001</v>
      </c>
      <c r="W337" s="225">
        <f t="shared" si="30"/>
        <v>1.8328621199420774</v>
      </c>
      <c r="X337">
        <f>IFERROR(INDEX(Rainfall_Wet!$O$2:$O$217,MATCH(B337, Rainfall_Wet!$A$2:$A$217,0)),"")</f>
        <v>206.85140822299999</v>
      </c>
      <c r="Y337" s="231">
        <v>27.96</v>
      </c>
      <c r="Z337" s="231">
        <v>4.9200000000000017</v>
      </c>
      <c r="AA337" s="231">
        <v>67.12</v>
      </c>
      <c r="AB337" s="232" t="s">
        <v>2670</v>
      </c>
      <c r="AC337" s="231">
        <v>3.8861015278462299</v>
      </c>
      <c r="AD337">
        <f>IF('WetLitterbags placem_collection'!AB118="","",'WetLitterbags placem_collection'!AB118)</f>
        <v>22.5</v>
      </c>
      <c r="AE337">
        <f>IF('WetLitterbags placem_collection'!Z118="","",'WetLitterbags placem_collection'!Z118)</f>
        <v>76</v>
      </c>
      <c r="AF337" s="246" t="str">
        <f>IF('WetLitterbags placem_collection'!AA118="","",'WetLitterbags placem_collection'!AA118)</f>
        <v>G</v>
      </c>
      <c r="AG337">
        <f>IF('WetLitterbags placem_collection'!AC118="","",'WetLitterbags placem_collection'!AC118)</f>
        <v>1</v>
      </c>
      <c r="AH337" s="24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placem_collection'!W118)),"YES","NO")</f>
        <v>NO</v>
      </c>
      <c r="AM337" t="str">
        <f>IF(ISNUMBER(SEARCH("H", 'WetLitterbags placem_collection'!W118)),"YES","NO")</f>
        <v>YES</v>
      </c>
      <c r="AN337" t="str">
        <f>IF(ISNUMBER(SEARCH("R", 'WetLitterbags placem_collection'!W118)),"YES","NO")</f>
        <v>YES</v>
      </c>
    </row>
    <row r="338" spans="1:40" ht="15" customHeight="1">
      <c r="A338" s="258" t="s">
        <v>2460</v>
      </c>
      <c r="B338" s="263">
        <f>'Dry_Litterbag Placem_Collection'!A119</f>
        <v>117</v>
      </c>
      <c r="C338" s="263" t="str">
        <f>'Dry_Litterbag Placem_Collection'!B119</f>
        <v xml:space="preserve">Mwantimba
</v>
      </c>
      <c r="D338" s="263" t="s">
        <v>2659</v>
      </c>
      <c r="E338" s="263" t="s">
        <v>2660</v>
      </c>
      <c r="F338" s="263">
        <v>3</v>
      </c>
      <c r="G338" s="264" t="str">
        <f>'Dry_Litterbag Placem_Collection'!C119</f>
        <v>Wet_Ag3_T5</v>
      </c>
      <c r="H338" s="265" t="s">
        <v>2541</v>
      </c>
      <c r="I338" s="272" t="s">
        <v>298</v>
      </c>
      <c r="J338" s="223" t="str">
        <f>'WetLitterbags placem_collection'!M119</f>
        <v>R511</v>
      </c>
      <c r="K338" s="225">
        <f>IFERROR(INDEX('Green_rooibos initial weight'!$C$5:$C$1749,MATCH(J338, 'Green_rooibos initial weight'!$A$5:$A$1749,0)),"")</f>
        <v>2.1779999999999999</v>
      </c>
      <c r="L338" s="225">
        <f>IFERROR(K338-(TBIcalc!$H$9+TBIcalc!$H$10),"")</f>
        <v>1.9281999999999999</v>
      </c>
      <c r="M338" s="391">
        <f>AVERAGE(Ashed_controlls!$K$12:$K$14)</f>
        <v>2.2816647271287041</v>
      </c>
      <c r="N338" s="225">
        <f t="shared" si="27"/>
        <v>1.8842049407315042</v>
      </c>
      <c r="O338" s="225">
        <f>IF(IFERROR(INDEX('Both teabags AfterWet'!$C$3:$C$841,MATCH(J338,'Both teabags AfterWet'!$A$3:$A$841,0)),"")="","",(IFERROR(INDEX('Both teabags AfterWet'!$C$3:$C$841,MATCH(J338,'Both teabags AfterWet'!$A$3:$A$841,0)),"")))</f>
        <v>0.39700000000000002</v>
      </c>
      <c r="P338" s="225">
        <f>IFERROR(IF(O338&gt;0,O338-(TBIcalc!$H$9),""),"")</f>
        <v>0.24640000000000001</v>
      </c>
      <c r="Q338" s="225">
        <f>IFERROR(INDEX('Ashed teabags wet'!$K$2:$K$821,MATCH(J338,'Ashed teabags wet'!$A$2:$A$821,0)),"")</f>
        <v>90.300678952473106</v>
      </c>
      <c r="R338" s="225">
        <f t="shared" si="31"/>
        <v>2.3899127061106279E-2</v>
      </c>
      <c r="S338" s="226">
        <f>'WetLitterbags placem_collection'!E119</f>
        <v>42762</v>
      </c>
      <c r="T338" s="226">
        <f>IF('WetLitterbags placem_collection'!G119="","",'WetLitterbags placem_collection'!G119)</f>
        <v>42816</v>
      </c>
      <c r="U338" s="227">
        <f t="shared" si="28"/>
        <v>54</v>
      </c>
      <c r="V338" s="225">
        <f t="shared" si="29"/>
        <v>1.6818</v>
      </c>
      <c r="W338" s="225">
        <f t="shared" si="30"/>
        <v>1.860305813670398</v>
      </c>
      <c r="X338">
        <f>IFERROR(INDEX(Rainfall_Wet!$O$2:$O$217,MATCH(B338, Rainfall_Wet!$A$2:$A$217,0)),"")</f>
        <v>206.85140822299999</v>
      </c>
      <c r="Y338" s="231">
        <v>27.96</v>
      </c>
      <c r="Z338" s="231">
        <v>4.9200000000000017</v>
      </c>
      <c r="AA338" s="231">
        <v>67.12</v>
      </c>
      <c r="AB338" s="232" t="s">
        <v>2670</v>
      </c>
      <c r="AC338" s="231">
        <v>4.8861015278462299</v>
      </c>
      <c r="AD338">
        <f>IF('WetLitterbags placem_collection'!AB119="","",'WetLitterbags placem_collection'!AB119)</f>
        <v>23.5</v>
      </c>
      <c r="AE338">
        <f>IF('WetLitterbags placem_collection'!Z119="","",'WetLitterbags placem_collection'!Z119)</f>
        <v>76</v>
      </c>
      <c r="AF338" s="246" t="str">
        <f>IF('WetLitterbags placem_collection'!AA119="","",'WetLitterbags placem_collection'!AA119)</f>
        <v>G</v>
      </c>
      <c r="AG338">
        <f>IF('WetLitterbags placem_collection'!AC119="","",'WetLitterbags placem_collection'!AC119)</f>
        <v>1</v>
      </c>
      <c r="AH338" s="24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placem_collection'!W119)),"YES","NO")</f>
        <v>NO</v>
      </c>
      <c r="AM338" t="str">
        <f>IF(ISNUMBER(SEARCH("H", 'WetLitterbags placem_collection'!W119)),"YES","NO")</f>
        <v>YES</v>
      </c>
      <c r="AN338" t="str">
        <f>IF(ISNUMBER(SEARCH("R", 'WetLitterbags placem_collection'!W119)),"YES","NO")</f>
        <v>YES</v>
      </c>
    </row>
    <row r="339" spans="1:40" ht="15" customHeight="1">
      <c r="A339" s="258" t="s">
        <v>2460</v>
      </c>
      <c r="B339" s="263">
        <f>'Dry_Litterbag Placem_Collection'!A120</f>
        <v>118</v>
      </c>
      <c r="C339" s="263" t="str">
        <f>'Dry_Litterbag Placem_Collection'!B120</f>
        <v xml:space="preserve">Mwantimba
</v>
      </c>
      <c r="D339" s="263" t="s">
        <v>2659</v>
      </c>
      <c r="E339" s="263" t="s">
        <v>2660</v>
      </c>
      <c r="F339" s="263">
        <v>3</v>
      </c>
      <c r="G339" s="264" t="str">
        <f>'Dry_Litterbag Placem_Collection'!C120</f>
        <v>Wet_Ag3_T6</v>
      </c>
      <c r="H339" s="265" t="s">
        <v>2541</v>
      </c>
      <c r="I339" s="272" t="s">
        <v>298</v>
      </c>
      <c r="J339" s="223" t="str">
        <f>'WetLitterbags placem_collection'!M120</f>
        <v>R495</v>
      </c>
      <c r="K339" s="225">
        <f>IFERROR(INDEX('Green_rooibos initial weight'!$C$5:$C$1749,MATCH(J339, 'Green_rooibos initial weight'!$A$5:$A$1749,0)),"")</f>
        <v>2.25</v>
      </c>
      <c r="L339" s="225">
        <f>IFERROR(K339-(TBIcalc!$H$9+TBIcalc!$H$10),"")</f>
        <v>2.0002</v>
      </c>
      <c r="M339" s="391">
        <f>AVERAGE(Ashed_controlls!$K$12:$K$14)</f>
        <v>2.2816647271287041</v>
      </c>
      <c r="N339" s="225">
        <f t="shared" si="27"/>
        <v>1.9545621421279717</v>
      </c>
      <c r="O339" s="225">
        <f>IF(IFERROR(INDEX('Both teabags AfterWet'!$C$3:$C$841,MATCH(J339,'Both teabags AfterWet'!$A$3:$A$841,0)),"")="","",(IFERROR(INDEX('Both teabags AfterWet'!$C$3:$C$841,MATCH(J339,'Both teabags AfterWet'!$A$3:$A$841,0)),"")))</f>
        <v>1.468</v>
      </c>
      <c r="P339" s="225">
        <f>IFERROR(IF(O339&gt;0,O339-(TBIcalc!$H$9),""),"")</f>
        <v>1.3173999999999999</v>
      </c>
      <c r="Q339" s="225">
        <f>IFERROR(INDEX('Ashed teabags wet'!$K$2:$K$821,MATCH(J339,'Ashed teabags wet'!$A$2:$A$821,0)),"")</f>
        <v>90.558576371725209</v>
      </c>
      <c r="R339" s="225">
        <f t="shared" si="31"/>
        <v>0.12438131487889215</v>
      </c>
      <c r="S339" s="226">
        <f>'WetLitterbags placem_collection'!E120</f>
        <v>42762</v>
      </c>
      <c r="T339" s="226">
        <f>IF('WetLitterbags placem_collection'!G120="","",'WetLitterbags placem_collection'!G120)</f>
        <v>42816</v>
      </c>
      <c r="U339" s="227">
        <f t="shared" si="28"/>
        <v>54</v>
      </c>
      <c r="V339" s="225">
        <f t="shared" si="29"/>
        <v>0.68280000000000007</v>
      </c>
      <c r="W339" s="225">
        <f t="shared" si="30"/>
        <v>1.8301808272490796</v>
      </c>
      <c r="X339">
        <f>IFERROR(INDEX(Rainfall_Wet!$O$2:$O$217,MATCH(B339, Rainfall_Wet!$A$2:$A$217,0)),"")</f>
        <v>206.85140822299999</v>
      </c>
      <c r="Y339" s="231">
        <v>27.96</v>
      </c>
      <c r="Z339" s="231">
        <v>4.9200000000000017</v>
      </c>
      <c r="AA339" s="231">
        <v>67.12</v>
      </c>
      <c r="AB339" s="232" t="s">
        <v>2670</v>
      </c>
      <c r="AC339" s="231">
        <v>5.8861015278462299</v>
      </c>
      <c r="AD339">
        <f>IF('WetLitterbags placem_collection'!AB120="","",'WetLitterbags placem_collection'!AB120)</f>
        <v>17.5</v>
      </c>
      <c r="AE339">
        <f>IF('WetLitterbags placem_collection'!Z120="","",'WetLitterbags placem_collection'!Z120)</f>
        <v>70.5</v>
      </c>
      <c r="AF339" s="246" t="str">
        <f>IF('WetLitterbags placem_collection'!AA120="","",'WetLitterbags placem_collection'!AA120)</f>
        <v>G</v>
      </c>
      <c r="AG339">
        <f>IF('WetLitterbags placem_collection'!AC120="","",'WetLitterbags placem_collection'!AC120)</f>
        <v>1</v>
      </c>
      <c r="AH339" s="24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placem_collection'!W120)),"YES","NO")</f>
        <v>NO</v>
      </c>
      <c r="AM339" t="str">
        <f>IF(ISNUMBER(SEARCH("H", 'WetLitterbags placem_collection'!W120)),"YES","NO")</f>
        <v>YES</v>
      </c>
      <c r="AN339" t="str">
        <f>IF(ISNUMBER(SEARCH("R", 'WetLitterbags placem_collection'!W120)),"YES","NO")</f>
        <v>NO</v>
      </c>
    </row>
    <row r="340" spans="1:40" ht="15" customHeight="1">
      <c r="A340" s="258" t="s">
        <v>2460</v>
      </c>
      <c r="B340" s="263">
        <f>'Dry_Litterbag Placem_Collection'!A121</f>
        <v>119</v>
      </c>
      <c r="C340" s="263" t="str">
        <f>'Dry_Litterbag Placem_Collection'!B121</f>
        <v xml:space="preserve">Mwantimba
</v>
      </c>
      <c r="D340" s="263" t="s">
        <v>2659</v>
      </c>
      <c r="E340" s="263" t="s">
        <v>2660</v>
      </c>
      <c r="F340" s="263">
        <v>3</v>
      </c>
      <c r="G340" s="264" t="str">
        <f>'Dry_Litterbag Placem_Collection'!C121</f>
        <v>Wet_Ag3_T7</v>
      </c>
      <c r="H340" s="265" t="s">
        <v>2541</v>
      </c>
      <c r="I340" s="272" t="s">
        <v>298</v>
      </c>
      <c r="J340" s="223" t="str">
        <f>'WetLitterbags placem_collection'!M121</f>
        <v>R584</v>
      </c>
      <c r="K340" s="225">
        <f>IFERROR(INDEX('Green_rooibos initial weight'!$C$5:$C$1749,MATCH(J340, 'Green_rooibos initial weight'!$A$5:$A$1749,0)),"")</f>
        <v>2.2170000000000001</v>
      </c>
      <c r="L340" s="225">
        <f>IFERROR(K340-(TBIcalc!$H$9+TBIcalc!$H$10),"")</f>
        <v>1.9672000000000001</v>
      </c>
      <c r="M340" s="391">
        <f>AVERAGE(Ashed_controlls!$K$12:$K$14)</f>
        <v>2.2816647271287041</v>
      </c>
      <c r="N340" s="225">
        <f t="shared" si="27"/>
        <v>1.9223150914879241</v>
      </c>
      <c r="O340" s="225">
        <f>IF(IFERROR(INDEX('Both teabags AfterWet'!$C$3:$C$841,MATCH(J340,'Both teabags AfterWet'!$A$3:$A$841,0)),"")="","",(IFERROR(INDEX('Both teabags AfterWet'!$C$3:$C$841,MATCH(J340,'Both teabags AfterWet'!$A$3:$A$841,0)),"")))</f>
        <v>0.435</v>
      </c>
      <c r="P340" s="225">
        <f>IFERROR(IF(O340&gt;0,O340-(TBIcalc!$H$9),""),"")</f>
        <v>0.28439999999999999</v>
      </c>
      <c r="Q340" s="225" t="str">
        <f>IFERROR(INDEX('Ashed teabags wet'!$K$2:$K$821,MATCH(J340,'Ashed teabags wet'!$A$2:$A$821,0)),"")</f>
        <v/>
      </c>
      <c r="R340" s="225" t="str">
        <f t="shared" si="31"/>
        <v/>
      </c>
      <c r="S340" s="226">
        <f>'WetLitterbags placem_collection'!E121</f>
        <v>42762</v>
      </c>
      <c r="T340" s="226">
        <f>IF('WetLitterbags placem_collection'!G121="","",'WetLitterbags placem_collection'!G121)</f>
        <v>42816</v>
      </c>
      <c r="U340" s="227">
        <f t="shared" si="28"/>
        <v>54</v>
      </c>
      <c r="V340" s="225">
        <f t="shared" si="29"/>
        <v>1.6828000000000001</v>
      </c>
      <c r="W340" s="225" t="str">
        <f t="shared" si="30"/>
        <v/>
      </c>
      <c r="X340">
        <f>IFERROR(INDEX(Rainfall_Wet!$O$2:$O$217,MATCH(B340, Rainfall_Wet!$A$2:$A$217,0)),"")</f>
        <v>206.85140822299999</v>
      </c>
      <c r="Y340" s="231">
        <v>27.96</v>
      </c>
      <c r="Z340" s="231">
        <v>4.9200000000000017</v>
      </c>
      <c r="AA340" s="231">
        <v>67.12</v>
      </c>
      <c r="AB340" s="232" t="s">
        <v>2670</v>
      </c>
      <c r="AC340" s="231">
        <v>6.8861015278462299</v>
      </c>
      <c r="AD340">
        <f>IF('WetLitterbags placem_collection'!AB121="","",'WetLitterbags placem_collection'!AB121)</f>
        <v>18.5</v>
      </c>
      <c r="AE340">
        <f>IF('WetLitterbags placem_collection'!Z121="","",'WetLitterbags placem_collection'!Z121)</f>
        <v>74.5</v>
      </c>
      <c r="AF340" s="246" t="str">
        <f>IF('WetLitterbags placem_collection'!AA121="","",'WetLitterbags placem_collection'!AA121)</f>
        <v>G</v>
      </c>
      <c r="AG340">
        <f>IF('WetLitterbags placem_collection'!AC121="","",'WetLitterbags placem_collection'!AC121)</f>
        <v>1</v>
      </c>
      <c r="AH340" s="24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placem_collection'!W121)),"YES","NO")</f>
        <v>NO</v>
      </c>
      <c r="AM340" t="str">
        <f>IF(ISNUMBER(SEARCH("H", 'WetLitterbags placem_collection'!W121)),"YES","NO")</f>
        <v>YES</v>
      </c>
      <c r="AN340" t="str">
        <f>IF(ISNUMBER(SEARCH("R", 'WetLitterbags placem_collection'!W121)),"YES","NO")</f>
        <v>NO</v>
      </c>
    </row>
    <row r="341" spans="1:40" ht="15" customHeight="1">
      <c r="A341" s="258" t="s">
        <v>2460</v>
      </c>
      <c r="B341" s="263">
        <f>'Dry_Litterbag Placem_Collection'!A122</f>
        <v>120</v>
      </c>
      <c r="C341" s="263" t="str">
        <f>'Dry_Litterbag Placem_Collection'!B122</f>
        <v xml:space="preserve">Mwantimba
</v>
      </c>
      <c r="D341" s="263" t="s">
        <v>2659</v>
      </c>
      <c r="E341" s="263" t="s">
        <v>2660</v>
      </c>
      <c r="F341" s="263">
        <v>3</v>
      </c>
      <c r="G341" s="264" t="str">
        <f>'Dry_Litterbag Placem_Collection'!C122</f>
        <v>Wet_Ag3_T8</v>
      </c>
      <c r="H341" s="265" t="s">
        <v>2541</v>
      </c>
      <c r="I341" s="272" t="s">
        <v>298</v>
      </c>
      <c r="J341" s="223" t="str">
        <f>'WetLitterbags placem_collection'!M122</f>
        <v>R454</v>
      </c>
      <c r="K341" s="225">
        <f>IFERROR(INDEX('Green_rooibos initial weight'!$C$5:$C$1749,MATCH(J341, 'Green_rooibos initial weight'!$A$5:$A$1749,0)),"")</f>
        <v>2.1819999999999999</v>
      </c>
      <c r="L341" s="225">
        <f>IFERROR(K341-(TBIcalc!$H$9+TBIcalc!$H$10),"")</f>
        <v>1.9321999999999999</v>
      </c>
      <c r="M341" s="391">
        <f>AVERAGE(Ashed_controlls!$K$12:$K$14)</f>
        <v>2.2816647271287041</v>
      </c>
      <c r="N341" s="225">
        <f t="shared" si="27"/>
        <v>1.8881136741424192</v>
      </c>
      <c r="O341" s="225">
        <f>IF(IFERROR(INDEX('Both teabags AfterWet'!$C$3:$C$841,MATCH(J341,'Both teabags AfterWet'!$A$3:$A$841,0)),"")="","",(IFERROR(INDEX('Both teabags AfterWet'!$C$3:$C$841,MATCH(J341,'Both teabags AfterWet'!$A$3:$A$841,0)),"")))</f>
        <v>0.3876</v>
      </c>
      <c r="P341" s="225">
        <f>IFERROR(IF(O341&gt;0,O341-(TBIcalc!$H$9),""),"")</f>
        <v>0.23699999999999999</v>
      </c>
      <c r="Q341" s="225" t="str">
        <f>IFERROR(INDEX('Ashed teabags wet'!$K$2:$K$821,MATCH(J341,'Ashed teabags wet'!$A$2:$A$821,0)),"")</f>
        <v/>
      </c>
      <c r="R341" s="225" t="str">
        <f t="shared" si="31"/>
        <v/>
      </c>
      <c r="S341" s="226">
        <f>'WetLitterbags placem_collection'!E122</f>
        <v>42762</v>
      </c>
      <c r="T341" s="226">
        <f>IF('WetLitterbags placem_collection'!G122="","",'WetLitterbags placem_collection'!G122)</f>
        <v>42816</v>
      </c>
      <c r="U341" s="227">
        <f t="shared" si="28"/>
        <v>54</v>
      </c>
      <c r="V341" s="225">
        <f t="shared" si="29"/>
        <v>1.6951999999999998</v>
      </c>
      <c r="W341" s="225" t="str">
        <f t="shared" si="30"/>
        <v/>
      </c>
      <c r="X341">
        <f>IFERROR(INDEX(Rainfall_Wet!$O$2:$O$217,MATCH(B341, Rainfall_Wet!$A$2:$A$217,0)),"")</f>
        <v>206.85140822299999</v>
      </c>
      <c r="Y341" s="231">
        <v>27.96</v>
      </c>
      <c r="Z341" s="231">
        <v>4.9200000000000017</v>
      </c>
      <c r="AA341" s="231">
        <v>67.12</v>
      </c>
      <c r="AB341" s="232" t="s">
        <v>2670</v>
      </c>
      <c r="AC341" s="231">
        <v>7.8861015278462299</v>
      </c>
      <c r="AD341">
        <f>IF('WetLitterbags placem_collection'!AB122="","",'WetLitterbags placem_collection'!AB122)</f>
        <v>19</v>
      </c>
      <c r="AE341">
        <f>IF('WetLitterbags placem_collection'!Z122="","",'WetLitterbags placem_collection'!Z122)</f>
        <v>98.5</v>
      </c>
      <c r="AF341" s="246" t="str">
        <f>IF('WetLitterbags placem_collection'!AA122="","",'WetLitterbags placem_collection'!AA122)</f>
        <v>G</v>
      </c>
      <c r="AG341">
        <f>IF('WetLitterbags placem_collection'!AC122="","",'WetLitterbags placem_collection'!AC122)</f>
        <v>0</v>
      </c>
      <c r="AH341" s="24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placem_collection'!W122)),"YES","NO")</f>
        <v>NO</v>
      </c>
      <c r="AM341" t="str">
        <f>IF(ISNUMBER(SEARCH("H", 'WetLitterbags placem_collection'!W122)),"YES","NO")</f>
        <v>YES</v>
      </c>
      <c r="AN341" t="str">
        <f>IF(ISNUMBER(SEARCH("R", 'WetLitterbags placem_collection'!W122)),"YES","NO")</f>
        <v>NO</v>
      </c>
    </row>
    <row r="342" spans="1:40" ht="15" customHeight="1">
      <c r="A342" s="258" t="s">
        <v>2460</v>
      </c>
      <c r="B342" s="263">
        <f>'Dry_Litterbag Placem_Collection'!A123</f>
        <v>121</v>
      </c>
      <c r="C342" s="263" t="str">
        <f>'Dry_Litterbag Placem_Collection'!B123</f>
        <v xml:space="preserve">Mwantimba
</v>
      </c>
      <c r="D342" s="263" t="s">
        <v>2659</v>
      </c>
      <c r="E342" s="263" t="s">
        <v>2660</v>
      </c>
      <c r="F342" s="263">
        <v>4</v>
      </c>
      <c r="G342" s="264" t="str">
        <f>'Dry_Litterbag Placem_Collection'!C123</f>
        <v>Wet_Ag4_T1</v>
      </c>
      <c r="H342" s="265" t="s">
        <v>2541</v>
      </c>
      <c r="I342" s="272" t="s">
        <v>298</v>
      </c>
      <c r="J342" s="223" t="str">
        <f>'WetLitterbags placem_collection'!M123</f>
        <v>R532</v>
      </c>
      <c r="K342" s="225">
        <f>IFERROR(INDEX('Green_rooibos initial weight'!$C$5:$C$1749,MATCH(J342, 'Green_rooibos initial weight'!$A$5:$A$1749,0)),"")</f>
        <v>2.19</v>
      </c>
      <c r="L342" s="225">
        <f>IFERROR(K342-(TBIcalc!$H$9+TBIcalc!$H$10),"")</f>
        <v>1.9401999999999999</v>
      </c>
      <c r="M342" s="391">
        <f>AVERAGE(Ashed_controlls!$K$12:$K$14)</f>
        <v>2.2816647271287041</v>
      </c>
      <c r="N342" s="225">
        <f t="shared" si="27"/>
        <v>1.8959311409642488</v>
      </c>
      <c r="O342" s="225">
        <f>IF(IFERROR(INDEX('Both teabags AfterWet'!$C$3:$C$841,MATCH(J342,'Both teabags AfterWet'!$A$3:$A$841,0)),"")="","",(IFERROR(INDEX('Both teabags AfterWet'!$C$3:$C$841,MATCH(J342,'Both teabags AfterWet'!$A$3:$A$841,0)),"")))</f>
        <v>1.7050000000000001</v>
      </c>
      <c r="P342" s="225">
        <f>IFERROR(IF(O342&gt;0,O342-(TBIcalc!$H$9),""),"")</f>
        <v>1.5544</v>
      </c>
      <c r="Q342" s="225">
        <f>IFERROR(INDEX('Ashed teabags wet'!$K$2:$K$821,MATCH(J342,'Ashed teabags wet'!$A$2:$A$821,0)),"")</f>
        <v>7.423795476892864</v>
      </c>
      <c r="R342" s="225">
        <f t="shared" si="31"/>
        <v>1.4390045231071773</v>
      </c>
      <c r="S342" s="226">
        <f>'WetLitterbags placem_collection'!E123</f>
        <v>42762</v>
      </c>
      <c r="T342" s="226">
        <f>IF('WetLitterbags placem_collection'!G123="","",'WetLitterbags placem_collection'!G123)</f>
        <v>42816</v>
      </c>
      <c r="U342" s="227">
        <f t="shared" si="28"/>
        <v>54</v>
      </c>
      <c r="V342" s="225">
        <f t="shared" si="29"/>
        <v>0.38579999999999992</v>
      </c>
      <c r="W342" s="225">
        <f t="shared" si="30"/>
        <v>0.45692661785707145</v>
      </c>
      <c r="X342">
        <f>IFERROR(INDEX(Rainfall_Wet!$O$2:$O$217,MATCH(B342, Rainfall_Wet!$A$2:$A$217,0)),"")</f>
        <v>206.85140822299999</v>
      </c>
      <c r="Y342" s="231">
        <v>17.96</v>
      </c>
      <c r="Z342" s="231">
        <v>4.9199999999999982</v>
      </c>
      <c r="AA342" s="231">
        <v>77.12</v>
      </c>
      <c r="AB342" s="232" t="s">
        <v>2671</v>
      </c>
      <c r="AC342" s="231">
        <v>2.0220798422868409</v>
      </c>
      <c r="AD342">
        <f>IF('WetLitterbags placem_collection'!AB123="","",'WetLitterbags placem_collection'!AB123)</f>
        <v>9.65</v>
      </c>
      <c r="AE342">
        <f>IF('WetLitterbags placem_collection'!Z123="","",'WetLitterbags placem_collection'!Z123)</f>
        <v>63</v>
      </c>
      <c r="AF342" s="246" t="str">
        <f>IF('WetLitterbags placem_collection'!AA123="","",'WetLitterbags placem_collection'!AA123)</f>
        <v>G</v>
      </c>
      <c r="AG342">
        <f>IF('WetLitterbags placem_collection'!AC123="","",'WetLitterbags placem_collection'!AC123)</f>
        <v>0</v>
      </c>
      <c r="AH342" s="24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placem_collection'!W123)),"YES","NO")</f>
        <v>YES</v>
      </c>
      <c r="AM342" t="str">
        <f>IF(ISNUMBER(SEARCH("H", 'WetLitterbags placem_collection'!W123)),"YES","NO")</f>
        <v>NO</v>
      </c>
      <c r="AN342" t="str">
        <f>IF(ISNUMBER(SEARCH("R", 'WetLitterbags placem_collection'!W123)),"YES","NO")</f>
        <v>YES</v>
      </c>
    </row>
    <row r="343" spans="1:40" ht="15" customHeight="1">
      <c r="A343" s="258" t="s">
        <v>2460</v>
      </c>
      <c r="B343" s="263">
        <f>'Dry_Litterbag Placem_Collection'!A124</f>
        <v>122</v>
      </c>
      <c r="C343" s="263" t="str">
        <f>'Dry_Litterbag Placem_Collection'!B124</f>
        <v xml:space="preserve">Mwantimba
</v>
      </c>
      <c r="D343" s="263" t="s">
        <v>2659</v>
      </c>
      <c r="E343" s="263" t="s">
        <v>2660</v>
      </c>
      <c r="F343" s="263">
        <v>4</v>
      </c>
      <c r="G343" s="264" t="str">
        <f>'Dry_Litterbag Placem_Collection'!C124</f>
        <v>Wet_Ag4_T2</v>
      </c>
      <c r="H343" s="265" t="s">
        <v>2541</v>
      </c>
      <c r="I343" s="272" t="s">
        <v>298</v>
      </c>
      <c r="J343" s="223" t="str">
        <f>'WetLitterbags placem_collection'!M124</f>
        <v>R11</v>
      </c>
      <c r="K343" s="225">
        <f>IFERROR(INDEX('Green_rooibos initial weight'!$C$5:$C$1749,MATCH(J343, 'Green_rooibos initial weight'!$A$5:$A$1749,0)),"")</f>
        <v>2.2160000000000002</v>
      </c>
      <c r="L343" s="225">
        <f>IFERROR(K343-(TBIcalc!$H$9+TBIcalc!$H$10),"")</f>
        <v>1.9662000000000002</v>
      </c>
      <c r="M343" s="391">
        <f>AVERAGE(Ashed_controlls!$K$12:$K$14)</f>
        <v>2.2816647271287041</v>
      </c>
      <c r="N343" s="225">
        <f t="shared" si="27"/>
        <v>1.9213379081351956</v>
      </c>
      <c r="O343" s="225">
        <f>IF(IFERROR(INDEX('Both teabags AfterWet'!$C$3:$C$841,MATCH(J343,'Both teabags AfterWet'!$A$3:$A$841,0)),"")="","",(IFERROR(INDEX('Both teabags AfterWet'!$C$3:$C$841,MATCH(J343,'Both teabags AfterWet'!$A$3:$A$841,0)),"")))</f>
        <v>1.25</v>
      </c>
      <c r="P343" s="225">
        <f>IFERROR(IF(O343&gt;0,O343-(TBIcalc!$H$9),""),"")</f>
        <v>1.0993999999999999</v>
      </c>
      <c r="Q343" s="225">
        <f>IFERROR(INDEX('Ashed teabags wet'!$K$2:$K$821,MATCH(J343,'Ashed teabags wet'!$A$2:$A$821,0)),"")</f>
        <v>8.4720121028745492</v>
      </c>
      <c r="R343" s="225">
        <f t="shared" si="31"/>
        <v>1.0062586989409972</v>
      </c>
      <c r="S343" s="226">
        <f>'WetLitterbags placem_collection'!E124</f>
        <v>42762</v>
      </c>
      <c r="T343" s="226">
        <f>IF('WetLitterbags placem_collection'!G124="","",'WetLitterbags placem_collection'!G124)</f>
        <v>42816</v>
      </c>
      <c r="U343" s="227">
        <f t="shared" si="28"/>
        <v>54</v>
      </c>
      <c r="V343" s="225">
        <f t="shared" si="29"/>
        <v>0.86680000000000024</v>
      </c>
      <c r="W343" s="225">
        <f t="shared" si="30"/>
        <v>0.91507920919419838</v>
      </c>
      <c r="X343">
        <f>IFERROR(INDEX(Rainfall_Wet!$O$2:$O$217,MATCH(B343, Rainfall_Wet!$A$2:$A$217,0)),"")</f>
        <v>206.85140822299999</v>
      </c>
      <c r="Y343" s="231">
        <v>17.96</v>
      </c>
      <c r="Z343" s="231">
        <v>4.9199999999999982</v>
      </c>
      <c r="AA343" s="231">
        <v>77.12</v>
      </c>
      <c r="AB343" s="232" t="s">
        <v>2671</v>
      </c>
      <c r="AC343" s="231">
        <v>3.02207984228684</v>
      </c>
      <c r="AD343">
        <f>IF('WetLitterbags placem_collection'!AB124="","",'WetLitterbags placem_collection'!AB124)</f>
        <v>3.1</v>
      </c>
      <c r="AE343">
        <f>IF('WetLitterbags placem_collection'!Z124="","",'WetLitterbags placem_collection'!Z124)</f>
        <v>53</v>
      </c>
      <c r="AF343" s="246" t="str">
        <f>IF('WetLitterbags placem_collection'!AA124="","",'WetLitterbags placem_collection'!AA124)</f>
        <v>G</v>
      </c>
      <c r="AG343">
        <f>IF('WetLitterbags placem_collection'!AC124="","",'WetLitterbags placem_collection'!AC124)</f>
        <v>0</v>
      </c>
      <c r="AH343" s="24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placem_collection'!W124)),"YES","NO")</f>
        <v>NO</v>
      </c>
      <c r="AM343" t="str">
        <f>IF(ISNUMBER(SEARCH("H", 'WetLitterbags placem_collection'!W124)),"YES","NO")</f>
        <v>NO</v>
      </c>
      <c r="AN343" t="str">
        <f>IF(ISNUMBER(SEARCH("R", 'WetLitterbags placem_collection'!W124)),"YES","NO")</f>
        <v>YES</v>
      </c>
    </row>
    <row r="344" spans="1:40" ht="15" customHeight="1">
      <c r="A344" s="258" t="s">
        <v>2460</v>
      </c>
      <c r="B344" s="263">
        <f>'Dry_Litterbag Placem_Collection'!A125</f>
        <v>123</v>
      </c>
      <c r="C344" s="263" t="str">
        <f>'Dry_Litterbag Placem_Collection'!B125</f>
        <v xml:space="preserve">Mwantimba
</v>
      </c>
      <c r="D344" s="263" t="s">
        <v>2659</v>
      </c>
      <c r="E344" s="263" t="s">
        <v>2660</v>
      </c>
      <c r="F344" s="263">
        <v>4</v>
      </c>
      <c r="G344" s="264" t="str">
        <f>'Dry_Litterbag Placem_Collection'!C125</f>
        <v>Wet_Ag4_T3</v>
      </c>
      <c r="H344" s="265" t="s">
        <v>2541</v>
      </c>
      <c r="I344" s="272" t="s">
        <v>298</v>
      </c>
      <c r="J344" s="223" t="str">
        <f>'WetLitterbags placem_collection'!M125</f>
        <v>R575</v>
      </c>
      <c r="K344" s="225">
        <f>IFERROR(INDEX('Green_rooibos initial weight'!$C$5:$C$1749,MATCH(J344, 'Green_rooibos initial weight'!$A$5:$A$1749,0)),"")</f>
        <v>2.0990000000000002</v>
      </c>
      <c r="L344" s="225">
        <f>IFERROR(K344-(TBIcalc!$H$9+TBIcalc!$H$10),"")</f>
        <v>1.8492000000000002</v>
      </c>
      <c r="M344" s="391">
        <f>AVERAGE(Ashed_controlls!$K$12:$K$14)</f>
        <v>2.2816647271287041</v>
      </c>
      <c r="N344" s="225">
        <f t="shared" si="27"/>
        <v>1.8070074558659361</v>
      </c>
      <c r="O344" s="225">
        <f>IF(IFERROR(INDEX('Both teabags AfterWet'!$C$3:$C$841,MATCH(J344,'Both teabags AfterWet'!$A$3:$A$841,0)),"")="","",(IFERROR(INDEX('Both teabags AfterWet'!$C$3:$C$841,MATCH(J344,'Both teabags AfterWet'!$A$3:$A$841,0)),"")))</f>
        <v>1.6872</v>
      </c>
      <c r="P344" s="225">
        <f>IFERROR(IF(O344&gt;0,O344-(TBIcalc!$H$9),""),"")</f>
        <v>1.5366</v>
      </c>
      <c r="Q344" s="225">
        <f>IFERROR(INDEX('Ashed teabags wet'!$K$2:$K$821,MATCH(J344,'Ashed teabags wet'!$A$2:$A$821,0)),"")</f>
        <v>26.082677165354383</v>
      </c>
      <c r="R344" s="225">
        <f t="shared" si="31"/>
        <v>1.1358135826771645</v>
      </c>
      <c r="S344" s="226">
        <f>'WetLitterbags placem_collection'!E125</f>
        <v>42762</v>
      </c>
      <c r="T344" s="226">
        <f>IF('WetLitterbags placem_collection'!G125="","",'WetLitterbags placem_collection'!G125)</f>
        <v>42816</v>
      </c>
      <c r="U344" s="227">
        <f t="shared" si="28"/>
        <v>54</v>
      </c>
      <c r="V344" s="225">
        <f t="shared" si="29"/>
        <v>0.31260000000000021</v>
      </c>
      <c r="W344" s="225">
        <f t="shared" si="30"/>
        <v>0.67119387318877166</v>
      </c>
      <c r="X344">
        <f>IFERROR(INDEX(Rainfall_Wet!$O$2:$O$217,MATCH(B344, Rainfall_Wet!$A$2:$A$217,0)),"")</f>
        <v>206.85140822299999</v>
      </c>
      <c r="Y344" s="231">
        <v>17.96</v>
      </c>
      <c r="Z344" s="231">
        <v>4.9199999999999982</v>
      </c>
      <c r="AA344" s="231">
        <v>77.12</v>
      </c>
      <c r="AB344" s="232" t="s">
        <v>2671</v>
      </c>
      <c r="AC344" s="231">
        <v>4.02207984228684</v>
      </c>
      <c r="AD344">
        <f>IF('WetLitterbags placem_collection'!AB125="","",'WetLitterbags placem_collection'!AB125)</f>
        <v>3.9</v>
      </c>
      <c r="AE344">
        <f>IF('WetLitterbags placem_collection'!Z125="","",'WetLitterbags placem_collection'!Z125)</f>
        <v>51</v>
      </c>
      <c r="AF344" s="246" t="str">
        <f>IF('WetLitterbags placem_collection'!AA125="","",'WetLitterbags placem_collection'!AA125)</f>
        <v>G</v>
      </c>
      <c r="AG344">
        <f>IF('WetLitterbags placem_collection'!AC125="","",'WetLitterbags placem_collection'!AC125)</f>
        <v>1</v>
      </c>
      <c r="AH344" s="24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placem_collection'!W125)),"YES","NO")</f>
        <v>YES</v>
      </c>
      <c r="AM344" t="str">
        <f>IF(ISNUMBER(SEARCH("H", 'WetLitterbags placem_collection'!W125)),"YES","NO")</f>
        <v>YES</v>
      </c>
      <c r="AN344" t="str">
        <f>IF(ISNUMBER(SEARCH("R", 'WetLitterbags placem_collection'!W125)),"YES","NO")</f>
        <v>NO</v>
      </c>
    </row>
    <row r="345" spans="1:40" ht="15" customHeight="1">
      <c r="A345" s="258" t="s">
        <v>2460</v>
      </c>
      <c r="B345" s="263">
        <f>'Dry_Litterbag Placem_Collection'!A126</f>
        <v>124</v>
      </c>
      <c r="C345" s="263" t="str">
        <f>'Dry_Litterbag Placem_Collection'!B126</f>
        <v xml:space="preserve">Mwantimba
</v>
      </c>
      <c r="D345" s="263" t="s">
        <v>2659</v>
      </c>
      <c r="E345" s="263" t="s">
        <v>2660</v>
      </c>
      <c r="F345" s="263">
        <v>4</v>
      </c>
      <c r="G345" s="264" t="str">
        <f>'Dry_Litterbag Placem_Collection'!C126</f>
        <v>Wet_Ag4_T4</v>
      </c>
      <c r="H345" s="265" t="s">
        <v>2541</v>
      </c>
      <c r="I345" s="272" t="s">
        <v>298</v>
      </c>
      <c r="J345" s="223" t="str">
        <f>'WetLitterbags placem_collection'!M126</f>
        <v>R39</v>
      </c>
      <c r="K345" s="225">
        <f>IFERROR(INDEX('Green_rooibos initial weight'!$C$5:$C$1749,MATCH(J345, 'Green_rooibos initial weight'!$A$5:$A$1749,0)),"")</f>
        <v>2.1429999999999998</v>
      </c>
      <c r="L345" s="225">
        <f>IFERROR(K345-(TBIcalc!$H$9+TBIcalc!$H$10),"")</f>
        <v>1.8931999999999998</v>
      </c>
      <c r="M345" s="391">
        <f>AVERAGE(Ashed_controlls!$K$12:$K$14)</f>
        <v>2.2816647271287041</v>
      </c>
      <c r="N345" s="225">
        <f t="shared" si="27"/>
        <v>1.850003523385999</v>
      </c>
      <c r="O345" s="225">
        <f>IF(IFERROR(INDEX('Both teabags AfterWet'!$C$3:$C$841,MATCH(J345,'Both teabags AfterWet'!$A$3:$A$841,0)),"")="","",(IFERROR(INDEX('Both teabags AfterWet'!$C$3:$C$841,MATCH(J345,'Both teabags AfterWet'!$A$3:$A$841,0)),"")))</f>
        <v>1.4910000000000001</v>
      </c>
      <c r="P345" s="225">
        <f>IFERROR(IF(O345&gt;0,O345-(TBIcalc!$H$9),""),"")</f>
        <v>1.3404</v>
      </c>
      <c r="Q345" s="225">
        <f>IFERROR(INDEX('Ashed teabags wet'!$K$2:$K$821,MATCH(J345,'Ashed teabags wet'!$A$2:$A$821,0)),"")</f>
        <v>7.1782178217821846</v>
      </c>
      <c r="R345" s="225">
        <f t="shared" si="31"/>
        <v>1.2441831683168316</v>
      </c>
      <c r="S345" s="226">
        <f>'WetLitterbags placem_collection'!E126</f>
        <v>42762</v>
      </c>
      <c r="T345" s="226">
        <f>IF('WetLitterbags placem_collection'!G126="","",'WetLitterbags placem_collection'!G126)</f>
        <v>42816</v>
      </c>
      <c r="U345" s="227">
        <f t="shared" si="28"/>
        <v>54</v>
      </c>
      <c r="V345" s="225">
        <f t="shared" si="29"/>
        <v>0.55279999999999974</v>
      </c>
      <c r="W345" s="225">
        <f t="shared" si="30"/>
        <v>0.60582035506916743</v>
      </c>
      <c r="X345">
        <f>IFERROR(INDEX(Rainfall_Wet!$O$2:$O$217,MATCH(B345, Rainfall_Wet!$A$2:$A$217,0)),"")</f>
        <v>206.85140822299999</v>
      </c>
      <c r="Y345" s="231">
        <v>17.96</v>
      </c>
      <c r="Z345" s="231">
        <v>4.9199999999999982</v>
      </c>
      <c r="AA345" s="231">
        <v>77.12</v>
      </c>
      <c r="AB345" s="232" t="s">
        <v>2671</v>
      </c>
      <c r="AC345" s="231">
        <v>5.02207984228684</v>
      </c>
      <c r="AD345">
        <f>IF('WetLitterbags placem_collection'!AB126="","",'WetLitterbags placem_collection'!AB126)</f>
        <v>5.45</v>
      </c>
      <c r="AE345">
        <f>IF('WetLitterbags placem_collection'!Z126="","",'WetLitterbags placem_collection'!Z126)</f>
        <v>47</v>
      </c>
      <c r="AF345" s="246" t="str">
        <f>IF('WetLitterbags placem_collection'!AA126="","",'WetLitterbags placem_collection'!AA126)</f>
        <v>G</v>
      </c>
      <c r="AG345">
        <f>IF('WetLitterbags placem_collection'!AC126="","",'WetLitterbags placem_collection'!AC126)</f>
        <v>1</v>
      </c>
      <c r="AH345" s="24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placem_collection'!W126)),"YES","NO")</f>
        <v>NO</v>
      </c>
      <c r="AM345" t="str">
        <f>IF(ISNUMBER(SEARCH("H", 'WetLitterbags placem_collection'!W126)),"YES","NO")</f>
        <v>NO</v>
      </c>
      <c r="AN345" t="str">
        <f>IF(ISNUMBER(SEARCH("R", 'WetLitterbags placem_collection'!W126)),"YES","NO")</f>
        <v>YES</v>
      </c>
    </row>
    <row r="346" spans="1:40" ht="15" customHeight="1">
      <c r="A346" s="258" t="s">
        <v>2460</v>
      </c>
      <c r="B346" s="263">
        <f>'Dry_Litterbag Placem_Collection'!A127</f>
        <v>125</v>
      </c>
      <c r="C346" s="263" t="str">
        <f>'Dry_Litterbag Placem_Collection'!B127</f>
        <v xml:space="preserve">Mwantimba
</v>
      </c>
      <c r="D346" s="263" t="s">
        <v>2659</v>
      </c>
      <c r="E346" s="263" t="s">
        <v>2660</v>
      </c>
      <c r="F346" s="263">
        <v>4</v>
      </c>
      <c r="G346" s="264" t="str">
        <f>'Dry_Litterbag Placem_Collection'!C127</f>
        <v>Wet_Ag4_T5</v>
      </c>
      <c r="H346" s="265" t="s">
        <v>2541</v>
      </c>
      <c r="I346" s="272" t="s">
        <v>298</v>
      </c>
      <c r="J346" s="223" t="str">
        <f>'WetLitterbags placem_collection'!M127</f>
        <v>R560</v>
      </c>
      <c r="K346" s="225">
        <f>IFERROR(INDEX('Green_rooibos initial weight'!$C$5:$C$1749,MATCH(J346, 'Green_rooibos initial weight'!$A$5:$A$1749,0)),"")</f>
        <v>2.157</v>
      </c>
      <c r="L346" s="225">
        <f>IFERROR(K346-(TBIcalc!$H$9+TBIcalc!$H$10),"")</f>
        <v>1.9072</v>
      </c>
      <c r="M346" s="391">
        <f>AVERAGE(Ashed_controlls!$K$12:$K$14)</f>
        <v>2.2816647271287041</v>
      </c>
      <c r="N346" s="225">
        <f t="shared" si="27"/>
        <v>1.8636840903242013</v>
      </c>
      <c r="O346" s="225">
        <f>IF(IFERROR(INDEX('Both teabags AfterWet'!$C$3:$C$841,MATCH(J346,'Both teabags AfterWet'!$A$3:$A$841,0)),"")="","",(IFERROR(INDEX('Both teabags AfterWet'!$C$3:$C$841,MATCH(J346,'Both teabags AfterWet'!$A$3:$A$841,0)),"")))</f>
        <v>1.254</v>
      </c>
      <c r="P346" s="225">
        <f>IFERROR(IF(O346&gt;0,O346-(TBIcalc!$H$9),""),"")</f>
        <v>1.1033999999999999</v>
      </c>
      <c r="Q346" s="225">
        <f>IFERROR(INDEX('Ashed teabags wet'!$K$2:$K$821,MATCH(J346,'Ashed teabags wet'!$A$2:$A$821,0)),"")</f>
        <v>92.570579494799119</v>
      </c>
      <c r="R346" s="225">
        <f t="shared" si="31"/>
        <v>8.1976225854386575E-2</v>
      </c>
      <c r="S346" s="226">
        <f>'WetLitterbags placem_collection'!E127</f>
        <v>42762</v>
      </c>
      <c r="T346" s="226">
        <f>IF('WetLitterbags placem_collection'!G127="","",'WetLitterbags placem_collection'!G127)</f>
        <v>42816</v>
      </c>
      <c r="U346" s="227">
        <f t="shared" si="28"/>
        <v>54</v>
      </c>
      <c r="V346" s="225">
        <f t="shared" si="29"/>
        <v>0.80380000000000007</v>
      </c>
      <c r="W346" s="225">
        <f t="shared" si="30"/>
        <v>1.7817078644698148</v>
      </c>
      <c r="X346">
        <f>IFERROR(INDEX(Rainfall_Wet!$O$2:$O$217,MATCH(B346, Rainfall_Wet!$A$2:$A$217,0)),"")</f>
        <v>206.85140822299999</v>
      </c>
      <c r="Y346" s="231">
        <v>17.96</v>
      </c>
      <c r="Z346" s="231">
        <v>4.9199999999999982</v>
      </c>
      <c r="AA346" s="231">
        <v>77.12</v>
      </c>
      <c r="AB346" s="232" t="s">
        <v>2671</v>
      </c>
      <c r="AC346" s="231">
        <v>6.02207984228684</v>
      </c>
      <c r="AD346">
        <f>IF('WetLitterbags placem_collection'!AB127="","",'WetLitterbags placem_collection'!AB127)</f>
        <v>9.3000000000000007</v>
      </c>
      <c r="AE346">
        <f>IF('WetLitterbags placem_collection'!Z127="","",'WetLitterbags placem_collection'!Z127)</f>
        <v>43</v>
      </c>
      <c r="AF346" s="246" t="str">
        <f>IF('WetLitterbags placem_collection'!AA127="","",'WetLitterbags placem_collection'!AA127)</f>
        <v>G</v>
      </c>
      <c r="AG346">
        <f>IF('WetLitterbags placem_collection'!AC127="","",'WetLitterbags placem_collection'!AC127)</f>
        <v>1</v>
      </c>
      <c r="AH346" s="24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placem_collection'!W127)),"YES","NO")</f>
        <v>NO</v>
      </c>
      <c r="AM346" t="str">
        <f>IF(ISNUMBER(SEARCH("H", 'WetLitterbags placem_collection'!W127)),"YES","NO")</f>
        <v>YES</v>
      </c>
      <c r="AN346" t="str">
        <f>IF(ISNUMBER(SEARCH("R", 'WetLitterbags placem_collection'!W127)),"YES","NO")</f>
        <v>YES</v>
      </c>
    </row>
    <row r="347" spans="1:40" ht="15" customHeight="1">
      <c r="A347" s="258" t="s">
        <v>2460</v>
      </c>
      <c r="B347" s="263">
        <f>'Dry_Litterbag Placem_Collection'!A128</f>
        <v>126</v>
      </c>
      <c r="C347" s="263" t="str">
        <f>'Dry_Litterbag Placem_Collection'!B128</f>
        <v xml:space="preserve">Mwantimba
</v>
      </c>
      <c r="D347" s="263" t="s">
        <v>2659</v>
      </c>
      <c r="E347" s="263" t="s">
        <v>2660</v>
      </c>
      <c r="F347" s="263">
        <v>4</v>
      </c>
      <c r="G347" s="264" t="str">
        <f>'Dry_Litterbag Placem_Collection'!C128</f>
        <v>Wet_Ag4_T6</v>
      </c>
      <c r="H347" s="265" t="s">
        <v>2541</v>
      </c>
      <c r="I347" s="272" t="s">
        <v>298</v>
      </c>
      <c r="J347" s="223" t="str">
        <f>'WetLitterbags placem_collection'!M128</f>
        <v>R562</v>
      </c>
      <c r="K347" s="225">
        <f>IFERROR(INDEX('Green_rooibos initial weight'!$C$5:$C$1749,MATCH(J347, 'Green_rooibos initial weight'!$A$5:$A$1749,0)),"")</f>
        <v>2.2810000000000001</v>
      </c>
      <c r="L347" s="225">
        <f>IFERROR(K347-(TBIcalc!$H$9+TBIcalc!$H$10),"")</f>
        <v>2.0312000000000001</v>
      </c>
      <c r="M347" s="391">
        <f>AVERAGE(Ashed_controlls!$K$12:$K$14)</f>
        <v>2.2816647271287041</v>
      </c>
      <c r="N347" s="225">
        <f t="shared" si="27"/>
        <v>1.9848548260625618</v>
      </c>
      <c r="O347" s="225">
        <f>IF(IFERROR(INDEX('Both teabags AfterWet'!$C$3:$C$841,MATCH(J347,'Both teabags AfterWet'!$A$3:$A$841,0)),"")="","",(IFERROR(INDEX('Both teabags AfterWet'!$C$3:$C$841,MATCH(J347,'Both teabags AfterWet'!$A$3:$A$841,0)),"")))</f>
        <v>0.17599999999999999</v>
      </c>
      <c r="P347" s="225">
        <f>IFERROR(IF(O347&gt;0,O347-(TBIcalc!$H$9),""),"")</f>
        <v>2.5399999999999978E-2</v>
      </c>
      <c r="Q347" s="225" t="str">
        <f>IFERROR(INDEX('Ashed teabags wet'!$K$2:$K$821,MATCH(J347,'Ashed teabags wet'!$A$2:$A$821,0)),"")</f>
        <v/>
      </c>
      <c r="R347" s="225" t="str">
        <f t="shared" si="31"/>
        <v/>
      </c>
      <c r="S347" s="226">
        <f>'WetLitterbags placem_collection'!E128</f>
        <v>42762</v>
      </c>
      <c r="T347" s="226">
        <f>IF('WetLitterbags placem_collection'!G128="","",'WetLitterbags placem_collection'!G128)</f>
        <v>42816</v>
      </c>
      <c r="U347" s="227">
        <f t="shared" si="28"/>
        <v>54</v>
      </c>
      <c r="V347" s="225">
        <f t="shared" si="29"/>
        <v>2.0058000000000002</v>
      </c>
      <c r="W347" s="225" t="str">
        <f t="shared" si="30"/>
        <v/>
      </c>
      <c r="X347">
        <f>IFERROR(INDEX(Rainfall_Wet!$O$2:$O$217,MATCH(B347, Rainfall_Wet!$A$2:$A$217,0)),"")</f>
        <v>206.85140822299999</v>
      </c>
      <c r="Y347" s="231">
        <v>17.96</v>
      </c>
      <c r="Z347" s="231">
        <v>4.9199999999999982</v>
      </c>
      <c r="AA347" s="231">
        <v>77.12</v>
      </c>
      <c r="AB347" s="232" t="s">
        <v>2671</v>
      </c>
      <c r="AC347" s="231">
        <v>7.02207984228684</v>
      </c>
      <c r="AD347">
        <f>IF('WetLitterbags placem_collection'!AB128="","",'WetLitterbags placem_collection'!AB128)</f>
        <v>10.85</v>
      </c>
      <c r="AE347">
        <f>IF('WetLitterbags placem_collection'!Z128="","",'WetLitterbags placem_collection'!Z128)</f>
        <v>40</v>
      </c>
      <c r="AF347" s="246" t="str">
        <f>IF('WetLitterbags placem_collection'!AA128="","",'WetLitterbags placem_collection'!AA128)</f>
        <v>G</v>
      </c>
      <c r="AG347">
        <f>IF('WetLitterbags placem_collection'!AC128="","",'WetLitterbags placem_collection'!AC128)</f>
        <v>1</v>
      </c>
      <c r="AH347" s="24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placem_collection'!W128)),"YES","NO")</f>
        <v>NO</v>
      </c>
      <c r="AM347" t="str">
        <f>IF(ISNUMBER(SEARCH("H", 'WetLitterbags placem_collection'!W128)),"YES","NO")</f>
        <v>NO</v>
      </c>
      <c r="AN347" t="str">
        <f>IF(ISNUMBER(SEARCH("R", 'WetLitterbags placem_collection'!W128)),"YES","NO")</f>
        <v>NO</v>
      </c>
    </row>
    <row r="348" spans="1:40" ht="15" customHeight="1">
      <c r="A348" s="258" t="s">
        <v>2460</v>
      </c>
      <c r="B348" s="263">
        <f>'Dry_Litterbag Placem_Collection'!A129</f>
        <v>127</v>
      </c>
      <c r="C348" s="263" t="str">
        <f>'Dry_Litterbag Placem_Collection'!B129</f>
        <v xml:space="preserve">Mwantimba
</v>
      </c>
      <c r="D348" s="263" t="s">
        <v>2659</v>
      </c>
      <c r="E348" s="263" t="s">
        <v>2660</v>
      </c>
      <c r="F348" s="263">
        <v>4</v>
      </c>
      <c r="G348" s="264" t="str">
        <f>'Dry_Litterbag Placem_Collection'!C129</f>
        <v>Wet_Ag4_T7</v>
      </c>
      <c r="H348" s="265" t="s">
        <v>2541</v>
      </c>
      <c r="I348" s="272" t="s">
        <v>298</v>
      </c>
      <c r="J348" s="223" t="str">
        <f>'WetLitterbags placem_collection'!M129</f>
        <v>R506</v>
      </c>
      <c r="K348" s="225">
        <f>IFERROR(INDEX('Green_rooibos initial weight'!$C$5:$C$1749,MATCH(J348, 'Green_rooibos initial weight'!$A$5:$A$1749,0)),"")</f>
        <v>2.1579999999999999</v>
      </c>
      <c r="L348" s="225">
        <f>IFERROR(K348-(TBIcalc!$H$9+TBIcalc!$H$10),"")</f>
        <v>1.9081999999999999</v>
      </c>
      <c r="M348" s="391">
        <f>AVERAGE(Ashed_controlls!$K$12:$K$14)</f>
        <v>2.2816647271287041</v>
      </c>
      <c r="N348" s="225">
        <f t="shared" si="27"/>
        <v>1.8646612736769299</v>
      </c>
      <c r="O348" s="225">
        <f>IF(IFERROR(INDEX('Both teabags AfterWet'!$C$3:$C$841,MATCH(J348,'Both teabags AfterWet'!$A$3:$A$841,0)),"")="","",(IFERROR(INDEX('Both teabags AfterWet'!$C$3:$C$841,MATCH(J348,'Both teabags AfterWet'!$A$3:$A$841,0)),"")))</f>
        <v>1.4710000000000001</v>
      </c>
      <c r="P348" s="225">
        <f>IFERROR(IF(O348&gt;0,O348-(TBIcalc!$H$9),""),"")</f>
        <v>1.3204</v>
      </c>
      <c r="Q348" s="225">
        <f>IFERROR(INDEX('Ashed teabags wet'!$K$2:$K$821,MATCH(J348,'Ashed teabags wet'!$A$2:$A$821,0)),"")</f>
        <v>5.8622374206153776</v>
      </c>
      <c r="R348" s="225">
        <f t="shared" si="31"/>
        <v>1.2429950170981945</v>
      </c>
      <c r="S348" s="226">
        <f>'WetLitterbags placem_collection'!E129</f>
        <v>42762</v>
      </c>
      <c r="T348" s="226">
        <f>IF('WetLitterbags placem_collection'!G129="","",'WetLitterbags placem_collection'!G129)</f>
        <v>42816</v>
      </c>
      <c r="U348" s="227">
        <f t="shared" si="28"/>
        <v>54</v>
      </c>
      <c r="V348" s="225">
        <f t="shared" si="29"/>
        <v>0.58779999999999988</v>
      </c>
      <c r="W348" s="225">
        <f t="shared" si="30"/>
        <v>0.62166625657873542</v>
      </c>
      <c r="X348">
        <f>IFERROR(INDEX(Rainfall_Wet!$O$2:$O$217,MATCH(B348, Rainfall_Wet!$A$2:$A$217,0)),"")</f>
        <v>206.85140822299999</v>
      </c>
      <c r="Y348" s="231">
        <v>17.96</v>
      </c>
      <c r="Z348" s="231">
        <v>4.9199999999999982</v>
      </c>
      <c r="AA348" s="231">
        <v>77.12</v>
      </c>
      <c r="AB348" s="232" t="s">
        <v>2671</v>
      </c>
      <c r="AC348" s="231">
        <v>8.0220798422868391</v>
      </c>
      <c r="AD348">
        <f>IF('WetLitterbags placem_collection'!AB129="","",'WetLitterbags placem_collection'!AB129)</f>
        <v>5.35</v>
      </c>
      <c r="AE348">
        <f>IF('WetLitterbags placem_collection'!Z129="","",'WetLitterbags placem_collection'!Z129)</f>
        <v>58</v>
      </c>
      <c r="AF348" s="246" t="str">
        <f>IF('WetLitterbags placem_collection'!AA129="","",'WetLitterbags placem_collection'!AA129)</f>
        <v>G</v>
      </c>
      <c r="AG348">
        <f>IF('WetLitterbags placem_collection'!AC129="","",'WetLitterbags placem_collection'!AC129)</f>
        <v>1</v>
      </c>
      <c r="AH348" s="24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placem_collection'!W129)),"YES","NO")</f>
        <v>NO</v>
      </c>
      <c r="AM348" t="str">
        <f>IF(ISNUMBER(SEARCH("H", 'WetLitterbags placem_collection'!W129)),"YES","NO")</f>
        <v>NO</v>
      </c>
      <c r="AN348" t="str">
        <f>IF(ISNUMBER(SEARCH("R", 'WetLitterbags placem_collection'!W129)),"YES","NO")</f>
        <v>NO</v>
      </c>
    </row>
    <row r="349" spans="1:40" ht="15" customHeight="1">
      <c r="A349" s="258" t="s">
        <v>2460</v>
      </c>
      <c r="B349" s="263">
        <f>'Dry_Litterbag Placem_Collection'!A130</f>
        <v>128</v>
      </c>
      <c r="C349" s="263" t="str">
        <f>'Dry_Litterbag Placem_Collection'!B130</f>
        <v xml:space="preserve">Mwantimba
</v>
      </c>
      <c r="D349" s="263" t="s">
        <v>2659</v>
      </c>
      <c r="E349" s="263" t="s">
        <v>2660</v>
      </c>
      <c r="F349" s="263">
        <v>4</v>
      </c>
      <c r="G349" s="264" t="str">
        <f>'Dry_Litterbag Placem_Collection'!C130</f>
        <v>Wet_Ag4_T8</v>
      </c>
      <c r="H349" s="265" t="s">
        <v>2541</v>
      </c>
      <c r="I349" s="272" t="s">
        <v>298</v>
      </c>
      <c r="J349" s="223" t="str">
        <f>'WetLitterbags placem_collection'!M130</f>
        <v>R554</v>
      </c>
      <c r="K349" s="225">
        <f>IFERROR(INDEX('Green_rooibos initial weight'!$C$5:$C$1749,MATCH(J349, 'Green_rooibos initial weight'!$A$5:$A$1749,0)),"")</f>
        <v>2.1779999999999999</v>
      </c>
      <c r="L349" s="225">
        <f>IFERROR(K349-(TBIcalc!$H$9+TBIcalc!$H$10),"")</f>
        <v>1.9281999999999999</v>
      </c>
      <c r="M349" s="391">
        <f>AVERAGE(Ashed_controlls!$K$12:$K$14)</f>
        <v>2.2816647271287041</v>
      </c>
      <c r="N349" s="225">
        <f t="shared" si="27"/>
        <v>1.8842049407315042</v>
      </c>
      <c r="O349" s="225">
        <f>IF(IFERROR(INDEX('Both teabags AfterWet'!$C$3:$C$841,MATCH(J349,'Both teabags AfterWet'!$A$3:$A$841,0)),"")="","",(IFERROR(INDEX('Both teabags AfterWet'!$C$3:$C$841,MATCH(J349,'Both teabags AfterWet'!$A$3:$A$841,0)),"")))</f>
        <v>2.5259999999999998</v>
      </c>
      <c r="P349" s="225">
        <f>IFERROR(IF(O349&gt;0,O349-(TBIcalc!$H$9),""),"")</f>
        <v>2.3754</v>
      </c>
      <c r="Q349" s="225">
        <f>IFERROR(INDEX('Ashed teabags wet'!$K$2:$K$821,MATCH(J349,'Ashed teabags wet'!$A$2:$A$821,0)),"")</f>
        <v>66.458433445459406</v>
      </c>
      <c r="R349" s="225">
        <f t="shared" si="31"/>
        <v>0.79674637193655728</v>
      </c>
      <c r="S349" s="226">
        <f>'WetLitterbags placem_collection'!E130</f>
        <v>42762</v>
      </c>
      <c r="T349" s="226">
        <f>IF('WetLitterbags placem_collection'!G130="","",'WetLitterbags placem_collection'!G130)</f>
        <v>42816</v>
      </c>
      <c r="U349" s="227">
        <f t="shared" si="28"/>
        <v>54</v>
      </c>
      <c r="V349" s="225">
        <f t="shared" si="29"/>
        <v>-0.44720000000000004</v>
      </c>
      <c r="W349" s="225">
        <f t="shared" si="30"/>
        <v>1.087458568794947</v>
      </c>
      <c r="X349">
        <f>IFERROR(INDEX(Rainfall_Wet!$O$2:$O$217,MATCH(B349, Rainfall_Wet!$A$2:$A$217,0)),"")</f>
        <v>206.85140822299999</v>
      </c>
      <c r="Y349" s="231">
        <v>17.96</v>
      </c>
      <c r="Z349" s="231">
        <v>4.9199999999999982</v>
      </c>
      <c r="AA349" s="231">
        <v>77.12</v>
      </c>
      <c r="AB349" s="232" t="s">
        <v>2671</v>
      </c>
      <c r="AC349" s="231">
        <v>9.0220798422868391</v>
      </c>
      <c r="AD349">
        <f>IF('WetLitterbags placem_collection'!AB130="","",'WetLitterbags placem_collection'!AB130)</f>
        <v>10.9</v>
      </c>
      <c r="AE349">
        <f>IF('WetLitterbags placem_collection'!Z130="","",'WetLitterbags placem_collection'!Z130)</f>
        <v>44</v>
      </c>
      <c r="AF349" s="246" t="str">
        <f>IF('WetLitterbags placem_collection'!AA130="","",'WetLitterbags placem_collection'!AA130)</f>
        <v>G</v>
      </c>
      <c r="AG349">
        <f>IF('WetLitterbags placem_collection'!AC130="","",'WetLitterbags placem_collection'!AC130)</f>
        <v>0</v>
      </c>
      <c r="AH349" s="24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placem_collection'!W130)),"YES","NO")</f>
        <v>YES</v>
      </c>
      <c r="AM349" t="str">
        <f>IF(ISNUMBER(SEARCH("H", 'WetLitterbags placem_collection'!W130)),"YES","NO")</f>
        <v>YES</v>
      </c>
      <c r="AN349" t="str">
        <f>IF(ISNUMBER(SEARCH("R", 'WetLitterbags placem_collection'!W130)),"YES","NO")</f>
        <v>YES</v>
      </c>
    </row>
    <row r="350" spans="1:40" ht="15" customHeight="1">
      <c r="A350" s="258" t="s">
        <v>2460</v>
      </c>
      <c r="B350" s="263">
        <f>'Dry_Litterbag Placem_Collection'!A131</f>
        <v>129</v>
      </c>
      <c r="C350" s="263" t="str">
        <f>'Dry_Litterbag Placem_Collection'!B131</f>
        <v xml:space="preserve">Mwantimba
</v>
      </c>
      <c r="D350" s="263" t="s">
        <v>2659</v>
      </c>
      <c r="E350" s="263" t="s">
        <v>20</v>
      </c>
      <c r="F350" s="263">
        <v>1</v>
      </c>
      <c r="G350" s="264" t="str">
        <f>'Dry_Litterbag Placem_Collection'!C131</f>
        <v>Wet_P1_T1</v>
      </c>
      <c r="H350" s="265" t="s">
        <v>2541</v>
      </c>
      <c r="I350" s="272" t="s">
        <v>298</v>
      </c>
      <c r="J350" s="223" t="str">
        <f>'WetLitterbags placem_collection'!M131</f>
        <v>R46</v>
      </c>
      <c r="K350" s="225">
        <f>IFERROR(INDEX('Green_rooibos initial weight'!$C$5:$C$1749,MATCH(J350, 'Green_rooibos initial weight'!$A$5:$A$1749,0)),"")</f>
        <v>2.2890000000000001</v>
      </c>
      <c r="L350" s="225">
        <f>IFERROR(K350-(TBIcalc!$H$9+TBIcalc!$H$10),"")</f>
        <v>2.0392000000000001</v>
      </c>
      <c r="M350" s="391">
        <f>AVERAGE(Ashed_controlls!$K$12:$K$14)</f>
        <v>2.2816647271287041</v>
      </c>
      <c r="N350" s="225">
        <f t="shared" si="27"/>
        <v>1.9926722928843916</v>
      </c>
      <c r="O350" s="225">
        <f>IF(IFERROR(INDEX('Both teabags AfterWet'!$C$3:$C$841,MATCH(J350,'Both teabags AfterWet'!$A$3:$A$841,0)),"")="","",(IFERROR(INDEX('Both teabags AfterWet'!$C$3:$C$841,MATCH(J350,'Both teabags AfterWet'!$A$3:$A$841,0)),"")))</f>
        <v>0.48970000000000002</v>
      </c>
      <c r="P350" s="225">
        <f>IFERROR(IF(O350&gt;0,O350-(TBIcalc!$H$9),""),"")</f>
        <v>0.33910000000000001</v>
      </c>
      <c r="Q350" s="225" t="str">
        <f>IFERROR(INDEX('Ashed teabags wet'!$K$2:$K$821,MATCH(J350,'Ashed teabags wet'!$A$2:$A$821,0)),"")</f>
        <v/>
      </c>
      <c r="R350" s="225" t="str">
        <f t="shared" si="31"/>
        <v/>
      </c>
      <c r="S350" s="226">
        <f>'WetLitterbags placem_collection'!E131</f>
        <v>42762</v>
      </c>
      <c r="T350" s="226">
        <f>IF('WetLitterbags placem_collection'!G131="","",'WetLitterbags placem_collection'!G131)</f>
        <v>42816</v>
      </c>
      <c r="U350" s="227">
        <f t="shared" si="28"/>
        <v>54</v>
      </c>
      <c r="V350" s="225">
        <f t="shared" si="29"/>
        <v>1.7001000000000002</v>
      </c>
      <c r="W350" s="225" t="str">
        <f t="shared" si="30"/>
        <v/>
      </c>
      <c r="X350">
        <f>IFERROR(INDEX(Rainfall_Wet!$O$2:$O$217,MATCH(B350, Rainfall_Wet!$A$2:$A$217,0)),"")</f>
        <v>206.85140822299999</v>
      </c>
      <c r="Y350" s="231">
        <v>31.214836424255054</v>
      </c>
      <c r="Z350" s="231">
        <v>11.377370285476141</v>
      </c>
      <c r="AA350" s="231">
        <v>57.407793290268799</v>
      </c>
      <c r="AB350" s="232" t="s">
        <v>2670</v>
      </c>
      <c r="AC350" s="231">
        <v>1.7337604731394776</v>
      </c>
      <c r="AD350">
        <f>IF('WetLitterbags placem_collection'!AB131="","",'WetLitterbags placem_collection'!AB131)</f>
        <v>2.4</v>
      </c>
      <c r="AE350">
        <f>IF('WetLitterbags placem_collection'!Z131="","",'WetLitterbags placem_collection'!Z131)</f>
        <v>2.4</v>
      </c>
      <c r="AF350" s="246" t="str">
        <f>IF('WetLitterbags placem_collection'!AA131="","",'WetLitterbags placem_collection'!AA131)</f>
        <v>O</v>
      </c>
      <c r="AG350">
        <f>IF('WetLitterbags placem_collection'!AC131="","",'WetLitterbags placem_collection'!AC131)</f>
        <v>1</v>
      </c>
      <c r="AH350" s="24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placem_collection'!W131)),"YES","NO")</f>
        <v>NO</v>
      </c>
      <c r="AM350" t="str">
        <f>IF(ISNUMBER(SEARCH("H", 'WetLitterbags placem_collection'!W131)),"YES","NO")</f>
        <v>YES</v>
      </c>
      <c r="AN350" t="str">
        <f>IF(ISNUMBER(SEARCH("R", 'WetLitterbags placem_collection'!W131)),"YES","NO")</f>
        <v>NO</v>
      </c>
    </row>
    <row r="351" spans="1:40" ht="15" customHeight="1">
      <c r="A351" s="258" t="s">
        <v>2460</v>
      </c>
      <c r="B351" s="263">
        <f>'Dry_Litterbag Placem_Collection'!A132</f>
        <v>130</v>
      </c>
      <c r="C351" s="263" t="str">
        <f>'Dry_Litterbag Placem_Collection'!B132</f>
        <v xml:space="preserve">Mwantimba
</v>
      </c>
      <c r="D351" s="263" t="s">
        <v>2659</v>
      </c>
      <c r="E351" s="263" t="s">
        <v>20</v>
      </c>
      <c r="F351" s="263">
        <v>1</v>
      </c>
      <c r="G351" s="264" t="str">
        <f>'Dry_Litterbag Placem_Collection'!C132</f>
        <v>Wet_P1_T2</v>
      </c>
      <c r="H351" s="265" t="s">
        <v>2541</v>
      </c>
      <c r="I351" s="272" t="s">
        <v>298</v>
      </c>
      <c r="J351" s="223" t="str">
        <f>'WetLitterbags placem_collection'!M132</f>
        <v>R585</v>
      </c>
      <c r="K351" s="225">
        <f>IFERROR(INDEX('Green_rooibos initial weight'!$C$5:$C$1749,MATCH(J351, 'Green_rooibos initial weight'!$A$5:$A$1749,0)),"")</f>
        <v>2.17</v>
      </c>
      <c r="L351" s="225">
        <f>IFERROR(K351-(TBIcalc!$H$9+TBIcalc!$H$10),"")</f>
        <v>1.9201999999999999</v>
      </c>
      <c r="M351" s="391">
        <f>AVERAGE(Ashed_controlls!$K$12:$K$14)</f>
        <v>2.2816647271287041</v>
      </c>
      <c r="N351" s="225">
        <f t="shared" si="27"/>
        <v>1.8763874739096746</v>
      </c>
      <c r="O351" s="225">
        <f>IF(IFERROR(INDEX('Both teabags AfterWet'!$C$3:$C$841,MATCH(J351,'Both teabags AfterWet'!$A$3:$A$841,0)),"")="","",(IFERROR(INDEX('Both teabags AfterWet'!$C$3:$C$841,MATCH(J351,'Both teabags AfterWet'!$A$3:$A$841,0)),"")))</f>
        <v>1.6379999999999999</v>
      </c>
      <c r="P351" s="225">
        <f>IFERROR(IF(O351&gt;0,O351-(TBIcalc!$H$9),""),"")</f>
        <v>1.4873999999999998</v>
      </c>
      <c r="Q351" s="225">
        <f>IFERROR(INDEX('Ashed teabags wet'!$K$2:$K$821,MATCH(J351,'Ashed teabags wet'!$A$2:$A$821,0)),"")</f>
        <v>4.8913043478256997</v>
      </c>
      <c r="R351" s="225">
        <f t="shared" si="31"/>
        <v>1.4146467391304405</v>
      </c>
      <c r="S351" s="226">
        <f>'WetLitterbags placem_collection'!E132</f>
        <v>42762</v>
      </c>
      <c r="T351" s="226">
        <f>IF('WetLitterbags placem_collection'!G132="","",'WetLitterbags placem_collection'!G132)</f>
        <v>42816</v>
      </c>
      <c r="U351" s="227">
        <f t="shared" si="28"/>
        <v>54</v>
      </c>
      <c r="V351" s="225">
        <f t="shared" si="29"/>
        <v>0.43280000000000007</v>
      </c>
      <c r="W351" s="225">
        <f t="shared" si="30"/>
        <v>0.46174073477923416</v>
      </c>
      <c r="X351">
        <f>IFERROR(INDEX(Rainfall_Wet!$O$2:$O$217,MATCH(B351, Rainfall_Wet!$A$2:$A$217,0)),"")</f>
        <v>206.85140822299999</v>
      </c>
      <c r="Y351" s="231">
        <v>31.214836424255054</v>
      </c>
      <c r="Z351" s="231">
        <v>11.377370285476141</v>
      </c>
      <c r="AA351" s="231">
        <v>57.407793290268799</v>
      </c>
      <c r="AB351" s="232" t="s">
        <v>2670</v>
      </c>
      <c r="AC351" s="231">
        <v>2.7337604731394798</v>
      </c>
      <c r="AD351">
        <f>IF('WetLitterbags placem_collection'!AB132="","",'WetLitterbags placem_collection'!AB132)</f>
        <v>2.1</v>
      </c>
      <c r="AE351">
        <f>IF('WetLitterbags placem_collection'!Z132="","",'WetLitterbags placem_collection'!Z132)</f>
        <v>3.5</v>
      </c>
      <c r="AF351" s="246" t="str">
        <f>IF('WetLitterbags placem_collection'!AA132="","",'WetLitterbags placem_collection'!AA132)</f>
        <v>O</v>
      </c>
      <c r="AG351">
        <f>IF('WetLitterbags placem_collection'!AC132="","",'WetLitterbags placem_collection'!AC132)</f>
        <v>0</v>
      </c>
      <c r="AH351" s="24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placem_collection'!W132)),"YES","NO")</f>
        <v>NO</v>
      </c>
      <c r="AM351" t="str">
        <f>IF(ISNUMBER(SEARCH("H", 'WetLitterbags placem_collection'!W132)),"YES","NO")</f>
        <v>NO</v>
      </c>
      <c r="AN351" t="str">
        <f>IF(ISNUMBER(SEARCH("R", 'WetLitterbags placem_collection'!W132)),"YES","NO")</f>
        <v>NO</v>
      </c>
    </row>
    <row r="352" spans="1:40" ht="15" customHeight="1">
      <c r="A352" s="258" t="s">
        <v>2460</v>
      </c>
      <c r="B352" s="263">
        <f>'Dry_Litterbag Placem_Collection'!A133</f>
        <v>131</v>
      </c>
      <c r="C352" s="263" t="str">
        <f>'Dry_Litterbag Placem_Collection'!B133</f>
        <v xml:space="preserve">Mwantimba
</v>
      </c>
      <c r="D352" s="263" t="s">
        <v>2659</v>
      </c>
      <c r="E352" s="263" t="s">
        <v>20</v>
      </c>
      <c r="F352" s="263">
        <v>1</v>
      </c>
      <c r="G352" s="264" t="str">
        <f>'Dry_Litterbag Placem_Collection'!C133</f>
        <v>Wet_P1_T3</v>
      </c>
      <c r="H352" s="265" t="s">
        <v>2541</v>
      </c>
      <c r="I352" s="272" t="s">
        <v>298</v>
      </c>
      <c r="J352" s="223" t="str">
        <f>'WetLitterbags placem_collection'!M133</f>
        <v>R476</v>
      </c>
      <c r="K352" s="225">
        <f>IFERROR(INDEX('Green_rooibos initial weight'!$C$5:$C$1749,MATCH(J352, 'Green_rooibos initial weight'!$A$5:$A$1749,0)),"")</f>
        <v>2.2429999999999999</v>
      </c>
      <c r="L352" s="225">
        <f>IFERROR(K352-(TBIcalc!$H$9+TBIcalc!$H$10),"")</f>
        <v>1.9931999999999999</v>
      </c>
      <c r="M352" s="391">
        <f>AVERAGE(Ashed_controlls!$K$12:$K$14)</f>
        <v>2.2816647271287041</v>
      </c>
      <c r="N352" s="225">
        <f t="shared" si="27"/>
        <v>1.9477218586588705</v>
      </c>
      <c r="O352" s="225">
        <f>IF(IFERROR(INDEX('Both teabags AfterWet'!$C$3:$C$841,MATCH(J352,'Both teabags AfterWet'!$A$3:$A$841,0)),"")="","",(IFERROR(INDEX('Both teabags AfterWet'!$C$3:$C$841,MATCH(J352,'Both teabags AfterWet'!$A$3:$A$841,0)),"")))</f>
        <v>0.64019999999999999</v>
      </c>
      <c r="P352" s="225">
        <f>IFERROR(IF(O352&gt;0,O352-(TBIcalc!$H$9),""),"")</f>
        <v>0.48959999999999998</v>
      </c>
      <c r="Q352" s="225" t="str">
        <f>IFERROR(INDEX('Ashed teabags wet'!$K$2:$K$821,MATCH(J352,'Ashed teabags wet'!$A$2:$A$821,0)),"")</f>
        <v/>
      </c>
      <c r="R352" s="225" t="str">
        <f t="shared" si="31"/>
        <v/>
      </c>
      <c r="S352" s="226">
        <f>'WetLitterbags placem_collection'!E133</f>
        <v>42762</v>
      </c>
      <c r="T352" s="226">
        <f>IF('WetLitterbags placem_collection'!G133="","",'WetLitterbags placem_collection'!G133)</f>
        <v>42816</v>
      </c>
      <c r="U352" s="227">
        <f t="shared" si="28"/>
        <v>54</v>
      </c>
      <c r="V352" s="225">
        <f t="shared" si="29"/>
        <v>1.5035999999999998</v>
      </c>
      <c r="W352" s="225" t="str">
        <f t="shared" si="30"/>
        <v/>
      </c>
      <c r="X352">
        <f>IFERROR(INDEX(Rainfall_Wet!$O$2:$O$217,MATCH(B352, Rainfall_Wet!$A$2:$A$217,0)),"")</f>
        <v>206.85140822299999</v>
      </c>
      <c r="Y352" s="231">
        <v>31.214836424255054</v>
      </c>
      <c r="Z352" s="231">
        <v>11.377370285476141</v>
      </c>
      <c r="AA352" s="231">
        <v>57.407793290268799</v>
      </c>
      <c r="AB352" s="232" t="s">
        <v>2670</v>
      </c>
      <c r="AC352" s="231">
        <v>3.7337604731394798</v>
      </c>
      <c r="AD352">
        <f>IF('WetLitterbags placem_collection'!AB133="","",'WetLitterbags placem_collection'!AB133)</f>
        <v>4.5</v>
      </c>
      <c r="AE352">
        <f>IF('WetLitterbags placem_collection'!Z133="","",'WetLitterbags placem_collection'!Z133)</f>
        <v>7.5</v>
      </c>
      <c r="AF352" s="246" t="str">
        <f>IF('WetLitterbags placem_collection'!AA133="","",'WetLitterbags placem_collection'!AA133)</f>
        <v>O</v>
      </c>
      <c r="AG352">
        <f>IF('WetLitterbags placem_collection'!AC133="","",'WetLitterbags placem_collection'!AC133)</f>
        <v>0</v>
      </c>
      <c r="AH352" s="24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placem_collection'!W133)),"YES","NO")</f>
        <v>YES</v>
      </c>
      <c r="AM352" t="str">
        <f>IF(ISNUMBER(SEARCH("H", 'WetLitterbags placem_collection'!W133)),"YES","NO")</f>
        <v>YES</v>
      </c>
      <c r="AN352" t="str">
        <f>IF(ISNUMBER(SEARCH("R", 'WetLitterbags placem_collection'!W133)),"YES","NO")</f>
        <v>NO</v>
      </c>
    </row>
    <row r="353" spans="1:40" ht="15" customHeight="1">
      <c r="A353" s="258" t="s">
        <v>2460</v>
      </c>
      <c r="B353" s="263">
        <f>'Dry_Litterbag Placem_Collection'!A134</f>
        <v>132</v>
      </c>
      <c r="C353" s="263" t="str">
        <f>'Dry_Litterbag Placem_Collection'!B134</f>
        <v xml:space="preserve">Mwantimba
</v>
      </c>
      <c r="D353" s="263" t="s">
        <v>2659</v>
      </c>
      <c r="E353" s="263" t="s">
        <v>20</v>
      </c>
      <c r="F353" s="263">
        <v>1</v>
      </c>
      <c r="G353" s="264" t="str">
        <f>'Dry_Litterbag Placem_Collection'!C134</f>
        <v>Wet_P1_T4</v>
      </c>
      <c r="H353" s="265" t="s">
        <v>2541</v>
      </c>
      <c r="I353" s="272" t="s">
        <v>298</v>
      </c>
      <c r="J353" s="223" t="str">
        <f>'WetLitterbags placem_collection'!M134</f>
        <v>R536</v>
      </c>
      <c r="K353" s="225">
        <f>IFERROR(INDEX('Green_rooibos initial weight'!$C$5:$C$1749,MATCH(J353, 'Green_rooibos initial weight'!$A$5:$A$1749,0)),"")</f>
        <v>2.1970000000000001</v>
      </c>
      <c r="L353" s="225">
        <f>IFERROR(K353-(TBIcalc!$H$9+TBIcalc!$H$10),"")</f>
        <v>1.9472</v>
      </c>
      <c r="M353" s="391">
        <f>AVERAGE(Ashed_controlls!$K$12:$K$14)</f>
        <v>2.2816647271287041</v>
      </c>
      <c r="N353" s="225">
        <f t="shared" si="27"/>
        <v>1.90277142443335</v>
      </c>
      <c r="O353" s="225">
        <f>IF(IFERROR(INDEX('Both teabags AfterWet'!$C$3:$C$841,MATCH(J353,'Both teabags AfterWet'!$A$3:$A$841,0)),"")="","",(IFERROR(INDEX('Both teabags AfterWet'!$C$3:$C$841,MATCH(J353,'Both teabags AfterWet'!$A$3:$A$841,0)),"")))</f>
        <v>1.593</v>
      </c>
      <c r="P353" s="225">
        <f>IFERROR(IF(O353&gt;0,O353-(TBIcalc!$H$9),""),"")</f>
        <v>1.4423999999999999</v>
      </c>
      <c r="Q353" s="225">
        <f>IFERROR(INDEX('Ashed teabags wet'!$K$2:$K$821,MATCH(J353,'Ashed teabags wet'!$A$2:$A$821,0)),"")</f>
        <v>91.768144179250029</v>
      </c>
      <c r="R353" s="225">
        <f t="shared" si="31"/>
        <v>0.11873628835849748</v>
      </c>
      <c r="S353" s="226">
        <f>'WetLitterbags placem_collection'!E134</f>
        <v>42762</v>
      </c>
      <c r="T353" s="226">
        <f>IF('WetLitterbags placem_collection'!G134="","",'WetLitterbags placem_collection'!G134)</f>
        <v>42816</v>
      </c>
      <c r="U353" s="227">
        <f t="shared" si="28"/>
        <v>54</v>
      </c>
      <c r="V353" s="225">
        <f t="shared" si="29"/>
        <v>0.50480000000000014</v>
      </c>
      <c r="W353" s="225">
        <f t="shared" si="30"/>
        <v>1.7840351360748525</v>
      </c>
      <c r="X353">
        <f>IFERROR(INDEX(Rainfall_Wet!$O$2:$O$217,MATCH(B353, Rainfall_Wet!$A$2:$A$217,0)),"")</f>
        <v>206.85140822299999</v>
      </c>
      <c r="Y353" s="231">
        <v>31.214836424255054</v>
      </c>
      <c r="Z353" s="231">
        <v>11.377370285476141</v>
      </c>
      <c r="AA353" s="231">
        <v>57.407793290268799</v>
      </c>
      <c r="AB353" s="232" t="s">
        <v>2670</v>
      </c>
      <c r="AC353" s="231">
        <v>4.7337604731394798</v>
      </c>
      <c r="AD353">
        <f>IF('WetLitterbags placem_collection'!AB134="","",'WetLitterbags placem_collection'!AB134)</f>
        <v>0.7</v>
      </c>
      <c r="AE353">
        <f>IF('WetLitterbags placem_collection'!Z134="","",'WetLitterbags placem_collection'!Z134)</f>
        <v>9.8000000000000007</v>
      </c>
      <c r="AF353" s="246" t="str">
        <f>IF('WetLitterbags placem_collection'!AA134="","",'WetLitterbags placem_collection'!AA134)</f>
        <v>G</v>
      </c>
      <c r="AG353">
        <f>IF('WetLitterbags placem_collection'!AC134="","",'WetLitterbags placem_collection'!AC134)</f>
        <v>1</v>
      </c>
      <c r="AH353" s="24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placem_collection'!W134)),"YES","NO")</f>
        <v>YES</v>
      </c>
      <c r="AM353" t="str">
        <f>IF(ISNUMBER(SEARCH("H", 'WetLitterbags placem_collection'!W134)),"YES","NO")</f>
        <v>YES</v>
      </c>
      <c r="AN353" t="str">
        <f>IF(ISNUMBER(SEARCH("R", 'WetLitterbags placem_collection'!W134)),"YES","NO")</f>
        <v>NO</v>
      </c>
    </row>
    <row r="354" spans="1:40" ht="15" customHeight="1">
      <c r="A354" s="258" t="s">
        <v>2460</v>
      </c>
      <c r="B354" s="263">
        <f>'Dry_Litterbag Placem_Collection'!A135</f>
        <v>133</v>
      </c>
      <c r="C354" s="263" t="str">
        <f>'Dry_Litterbag Placem_Collection'!B135</f>
        <v xml:space="preserve">Mwantimba
</v>
      </c>
      <c r="D354" s="263" t="s">
        <v>2659</v>
      </c>
      <c r="E354" s="263" t="s">
        <v>20</v>
      </c>
      <c r="F354" s="263">
        <v>1</v>
      </c>
      <c r="G354" s="264" t="str">
        <f>'Dry_Litterbag Placem_Collection'!C135</f>
        <v>Wet_P1_T5</v>
      </c>
      <c r="H354" s="265" t="s">
        <v>2541</v>
      </c>
      <c r="I354" s="272" t="s">
        <v>298</v>
      </c>
      <c r="J354" s="223" t="str">
        <f>'WetLitterbags placem_collection'!M135</f>
        <v>R524</v>
      </c>
      <c r="K354" s="225">
        <f>IFERROR(INDEX('Green_rooibos initial weight'!$C$5:$C$1749,MATCH(J354, 'Green_rooibos initial weight'!$A$5:$A$1749,0)),"")</f>
        <v>2.1080000000000001</v>
      </c>
      <c r="L354" s="225">
        <f>IFERROR(K354-(TBIcalc!$H$9+TBIcalc!$H$10),"")</f>
        <v>1.8582000000000001</v>
      </c>
      <c r="M354" s="391">
        <f>AVERAGE(Ashed_controlls!$K$12:$K$14)</f>
        <v>2.2816647271287041</v>
      </c>
      <c r="N354" s="225">
        <f t="shared" si="27"/>
        <v>1.8158021060404945</v>
      </c>
      <c r="O354" s="225">
        <f>IF(IFERROR(INDEX('Both teabags AfterWet'!$C$3:$C$841,MATCH(J354,'Both teabags AfterWet'!$A$3:$A$841,0)),"")="","",(IFERROR(INDEX('Both teabags AfterWet'!$C$3:$C$841,MATCH(J354,'Both teabags AfterWet'!$A$3:$A$841,0)),"")))</f>
        <v>1.5687</v>
      </c>
      <c r="P354" s="225">
        <f>IFERROR(IF(O354&gt;0,O354-(TBIcalc!$H$9),""),"")</f>
        <v>1.4180999999999999</v>
      </c>
      <c r="Q354" s="225">
        <f>IFERROR(INDEX('Ashed teabags wet'!$K$2:$K$821,MATCH(J354,'Ashed teabags wet'!$A$2:$A$821,0)),"")</f>
        <v>2.521432173474186</v>
      </c>
      <c r="R354" s="225">
        <f t="shared" si="31"/>
        <v>1.3823435703479625</v>
      </c>
      <c r="S354" s="226">
        <f>'WetLitterbags placem_collection'!E135</f>
        <v>42762</v>
      </c>
      <c r="T354" s="226">
        <f>IF('WetLitterbags placem_collection'!G135="","",'WetLitterbags placem_collection'!G135)</f>
        <v>42816</v>
      </c>
      <c r="U354" s="227">
        <f t="shared" si="28"/>
        <v>54</v>
      </c>
      <c r="V354" s="225">
        <f t="shared" si="29"/>
        <v>0.44010000000000016</v>
      </c>
      <c r="W354" s="225">
        <f t="shared" si="30"/>
        <v>0.43345853569253201</v>
      </c>
      <c r="X354">
        <f>IFERROR(INDEX(Rainfall_Wet!$O$2:$O$217,MATCH(B354, Rainfall_Wet!$A$2:$A$217,0)),"")</f>
        <v>206.85140822299999</v>
      </c>
      <c r="Y354" s="231">
        <v>31.214836424255054</v>
      </c>
      <c r="Z354" s="231">
        <v>11.377370285476141</v>
      </c>
      <c r="AA354" s="231">
        <v>57.407793290268799</v>
      </c>
      <c r="AB354" s="232" t="s">
        <v>2670</v>
      </c>
      <c r="AC354" s="231">
        <v>5.7337604731394798</v>
      </c>
      <c r="AD354">
        <f>IF('WetLitterbags placem_collection'!AB135="","",'WetLitterbags placem_collection'!AB135)</f>
        <v>2.2000000000000002</v>
      </c>
      <c r="AE354">
        <f>IF('WetLitterbags placem_collection'!Z135="","",'WetLitterbags placem_collection'!Z135)</f>
        <v>10</v>
      </c>
      <c r="AF354" s="246" t="str">
        <f>IF('WetLitterbags placem_collection'!AA135="","",'WetLitterbags placem_collection'!AA135)</f>
        <v>O</v>
      </c>
      <c r="AG354">
        <f>IF('WetLitterbags placem_collection'!AC135="","",'WetLitterbags placem_collection'!AC135)</f>
        <v>1</v>
      </c>
      <c r="AH354" s="24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placem_collection'!W135)),"YES","NO")</f>
        <v>NO</v>
      </c>
      <c r="AM354" t="str">
        <f>IF(ISNUMBER(SEARCH("H", 'WetLitterbags placem_collection'!W135)),"YES","NO")</f>
        <v>NO</v>
      </c>
      <c r="AN354" t="str">
        <f>IF(ISNUMBER(SEARCH("R", 'WetLitterbags placem_collection'!W135)),"YES","NO")</f>
        <v>NO</v>
      </c>
    </row>
    <row r="355" spans="1:40" ht="15" customHeight="1">
      <c r="A355" s="258" t="s">
        <v>2460</v>
      </c>
      <c r="B355" s="263">
        <f>'Dry_Litterbag Placem_Collection'!A136</f>
        <v>134</v>
      </c>
      <c r="C355" s="263" t="str">
        <f>'Dry_Litterbag Placem_Collection'!B136</f>
        <v xml:space="preserve">Mwantimba
</v>
      </c>
      <c r="D355" s="263" t="s">
        <v>2659</v>
      </c>
      <c r="E355" s="263" t="s">
        <v>20</v>
      </c>
      <c r="F355" s="263">
        <v>1</v>
      </c>
      <c r="G355" s="264" t="str">
        <f>'Dry_Litterbag Placem_Collection'!C136</f>
        <v>Wet_P1_T6</v>
      </c>
      <c r="H355" s="265" t="s">
        <v>2541</v>
      </c>
      <c r="I355" s="272" t="s">
        <v>298</v>
      </c>
      <c r="J355" s="223" t="str">
        <f>'WetLitterbags placem_collection'!M136</f>
        <v>R600</v>
      </c>
      <c r="K355" s="225">
        <f>IFERROR(INDEX('Green_rooibos initial weight'!$C$5:$C$1749,MATCH(J355, 'Green_rooibos initial weight'!$A$5:$A$1749,0)),"")</f>
        <v>2.2440000000000002</v>
      </c>
      <c r="L355" s="225">
        <f>IFERROR(K355-(TBIcalc!$H$9+TBIcalc!$H$10),"")</f>
        <v>1.9942000000000002</v>
      </c>
      <c r="M355" s="391">
        <f>AVERAGE(Ashed_controlls!$K$12:$K$14)</f>
        <v>2.2816647271287041</v>
      </c>
      <c r="N355" s="225">
        <f t="shared" si="27"/>
        <v>1.9486990420115995</v>
      </c>
      <c r="O355" s="225">
        <f>IF(IFERROR(INDEX('Both teabags AfterWet'!$C$3:$C$841,MATCH(J355,'Both teabags AfterWet'!$A$3:$A$841,0)),"")="","",(IFERROR(INDEX('Both teabags AfterWet'!$C$3:$C$841,MATCH(J355,'Both teabags AfterWet'!$A$3:$A$841,0)),"")))</f>
        <v>1.4419999999999999</v>
      </c>
      <c r="P355" s="225">
        <f>IFERROR(IF(O355&gt;0,O355-(TBIcalc!$H$9),""),"")</f>
        <v>1.2913999999999999</v>
      </c>
      <c r="Q355" s="225">
        <f>IFERROR(INDEX('Ashed teabags wet'!$K$2:$K$821,MATCH(J355,'Ashed teabags wet'!$A$2:$A$821,0)),"")</f>
        <v>7.2860635696819331</v>
      </c>
      <c r="R355" s="225">
        <f t="shared" si="31"/>
        <v>1.1973077750611274</v>
      </c>
      <c r="S355" s="226">
        <f>'WetLitterbags placem_collection'!E136</f>
        <v>42762</v>
      </c>
      <c r="T355" s="226">
        <f>IF('WetLitterbags placem_collection'!G136="","",'WetLitterbags placem_collection'!G136)</f>
        <v>42816</v>
      </c>
      <c r="U355" s="227">
        <f t="shared" si="28"/>
        <v>54</v>
      </c>
      <c r="V355" s="225">
        <f t="shared" si="29"/>
        <v>0.70280000000000031</v>
      </c>
      <c r="W355" s="225">
        <f t="shared" si="30"/>
        <v>0.75139126695047209</v>
      </c>
      <c r="X355">
        <f>IFERROR(INDEX(Rainfall_Wet!$O$2:$O$217,MATCH(B355, Rainfall_Wet!$A$2:$A$217,0)),"")</f>
        <v>206.85140822299999</v>
      </c>
      <c r="Y355" s="231">
        <v>31.214836424255054</v>
      </c>
      <c r="Z355" s="231">
        <v>11.377370285476141</v>
      </c>
      <c r="AA355" s="231">
        <v>57.407793290268799</v>
      </c>
      <c r="AB355" s="232" t="s">
        <v>2670</v>
      </c>
      <c r="AC355" s="231">
        <v>6.7337604731394798</v>
      </c>
      <c r="AD355">
        <f>IF('WetLitterbags placem_collection'!AB136="","",'WetLitterbags placem_collection'!AB136)</f>
        <v>1.1000000000000001</v>
      </c>
      <c r="AE355">
        <f>IF('WetLitterbags placem_collection'!Z136="","",'WetLitterbags placem_collection'!Z136)</f>
        <v>15.4</v>
      </c>
      <c r="AF355" s="246" t="str">
        <f>IF('WetLitterbags placem_collection'!AA136="","",'WetLitterbags placem_collection'!AA136)</f>
        <v>O</v>
      </c>
      <c r="AG355">
        <f>IF('WetLitterbags placem_collection'!AC136="","",'WetLitterbags placem_collection'!AC136)</f>
        <v>1</v>
      </c>
      <c r="AH355" s="24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placem_collection'!W136)),"YES","NO")</f>
        <v>NO</v>
      </c>
      <c r="AM355" t="str">
        <f>IF(ISNUMBER(SEARCH("H", 'WetLitterbags placem_collection'!W136)),"YES","NO")</f>
        <v>NO</v>
      </c>
      <c r="AN355" t="str">
        <f>IF(ISNUMBER(SEARCH("R", 'WetLitterbags placem_collection'!W136)),"YES","NO")</f>
        <v>NO</v>
      </c>
    </row>
    <row r="356" spans="1:40" ht="15" customHeight="1">
      <c r="A356" s="258" t="s">
        <v>2460</v>
      </c>
      <c r="B356" s="263">
        <f>'Dry_Litterbag Placem_Collection'!A137</f>
        <v>135</v>
      </c>
      <c r="C356" s="263" t="str">
        <f>'Dry_Litterbag Placem_Collection'!B137</f>
        <v xml:space="preserve">Mwantimba
</v>
      </c>
      <c r="D356" s="263" t="s">
        <v>2659</v>
      </c>
      <c r="E356" s="263" t="s">
        <v>20</v>
      </c>
      <c r="F356" s="263">
        <v>1</v>
      </c>
      <c r="G356" s="264" t="str">
        <f>'Dry_Litterbag Placem_Collection'!C137</f>
        <v>Wet_P1_T7</v>
      </c>
      <c r="H356" s="265" t="s">
        <v>2541</v>
      </c>
      <c r="I356" s="272" t="s">
        <v>298</v>
      </c>
      <c r="J356" s="223" t="str">
        <f>'WetLitterbags placem_collection'!M137</f>
        <v>R432</v>
      </c>
      <c r="K356" s="225">
        <f>IFERROR(INDEX('Green_rooibos initial weight'!$C$5:$C$1749,MATCH(J356, 'Green_rooibos initial weight'!$A$5:$A$1749,0)),"")</f>
        <v>2.2240000000000002</v>
      </c>
      <c r="L356" s="225">
        <f>IFERROR(K356-(TBIcalc!$H$9+TBIcalc!$H$10),"")</f>
        <v>1.9742000000000002</v>
      </c>
      <c r="M356" s="391">
        <f>AVERAGE(Ashed_controlls!$K$12:$K$14)</f>
        <v>2.2816647271287041</v>
      </c>
      <c r="N356" s="225">
        <f t="shared" si="27"/>
        <v>1.9291553749570254</v>
      </c>
      <c r="O356" s="225">
        <f>IF(IFERROR(INDEX('Both teabags AfterWet'!$C$3:$C$841,MATCH(J356,'Both teabags AfterWet'!$A$3:$A$841,0)),"")="","",(IFERROR(INDEX('Both teabags AfterWet'!$C$3:$C$841,MATCH(J356,'Both teabags AfterWet'!$A$3:$A$841,0)),"")))</f>
        <v>1.6830000000000001</v>
      </c>
      <c r="P356" s="225">
        <f>IFERROR(IF(O356&gt;0,O356-(TBIcalc!$H$9),""),"")</f>
        <v>1.5324</v>
      </c>
      <c r="Q356" s="225">
        <f>IFERROR(INDEX('Ashed teabags wet'!$K$2:$K$821,MATCH(J356,'Ashed teabags wet'!$A$2:$A$821,0)),"")</f>
        <v>13.470757430488819</v>
      </c>
      <c r="R356" s="225">
        <f t="shared" si="31"/>
        <v>1.3259741131351892</v>
      </c>
      <c r="S356" s="226">
        <f>'WetLitterbags placem_collection'!E137</f>
        <v>42762</v>
      </c>
      <c r="T356" s="226">
        <f>IF('WetLitterbags placem_collection'!G137="","",'WetLitterbags placem_collection'!G137)</f>
        <v>42816</v>
      </c>
      <c r="U356" s="227">
        <f t="shared" si="28"/>
        <v>54</v>
      </c>
      <c r="V356" s="225">
        <f t="shared" si="29"/>
        <v>0.44180000000000019</v>
      </c>
      <c r="W356" s="225">
        <f t="shared" si="30"/>
        <v>0.60318126182183618</v>
      </c>
      <c r="X356">
        <f>IFERROR(INDEX(Rainfall_Wet!$O$2:$O$217,MATCH(B356, Rainfall_Wet!$A$2:$A$217,0)),"")</f>
        <v>206.85140822299999</v>
      </c>
      <c r="Y356" s="231">
        <v>31.214836424255054</v>
      </c>
      <c r="Z356" s="231">
        <v>11.377370285476141</v>
      </c>
      <c r="AA356" s="231">
        <v>57.407793290268799</v>
      </c>
      <c r="AB356" s="232" t="s">
        <v>2670</v>
      </c>
      <c r="AC356" s="231">
        <v>7.7337604731394798</v>
      </c>
      <c r="AD356">
        <f>IF('WetLitterbags placem_collection'!AB137="","",'WetLitterbags placem_collection'!AB137)</f>
        <v>2.1</v>
      </c>
      <c r="AE356">
        <f>IF('WetLitterbags placem_collection'!Z137="","",'WetLitterbags placem_collection'!Z137)</f>
        <v>5.6</v>
      </c>
      <c r="AF356" s="246" t="str">
        <f>IF('WetLitterbags placem_collection'!AA137="","",'WetLitterbags placem_collection'!AA137)</f>
        <v>O</v>
      </c>
      <c r="AG356">
        <f>IF('WetLitterbags placem_collection'!AC137="","",'WetLitterbags placem_collection'!AC137)</f>
        <v>1</v>
      </c>
      <c r="AH356" s="24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placem_collection'!W137)),"YES","NO")</f>
        <v>NO</v>
      </c>
      <c r="AM356" t="str">
        <f>IF(ISNUMBER(SEARCH("H", 'WetLitterbags placem_collection'!W137)),"YES","NO")</f>
        <v>NO</v>
      </c>
      <c r="AN356" t="str">
        <f>IF(ISNUMBER(SEARCH("R", 'WetLitterbags placem_collection'!W137)),"YES","NO")</f>
        <v>YES</v>
      </c>
    </row>
    <row r="357" spans="1:40" ht="15" customHeight="1">
      <c r="A357" s="258" t="s">
        <v>2460</v>
      </c>
      <c r="B357" s="263">
        <f>'Dry_Litterbag Placem_Collection'!A138</f>
        <v>136</v>
      </c>
      <c r="C357" s="263" t="str">
        <f>'Dry_Litterbag Placem_Collection'!B138</f>
        <v xml:space="preserve">Mwantimba
</v>
      </c>
      <c r="D357" s="263" t="s">
        <v>2659</v>
      </c>
      <c r="E357" s="263" t="s">
        <v>20</v>
      </c>
      <c r="F357" s="263">
        <v>1</v>
      </c>
      <c r="G357" s="264" t="str">
        <f>'Dry_Litterbag Placem_Collection'!C138</f>
        <v>Wet_P1_T8</v>
      </c>
      <c r="H357" s="265" t="s">
        <v>2541</v>
      </c>
      <c r="I357" s="272" t="s">
        <v>298</v>
      </c>
      <c r="J357" s="223" t="str">
        <f>'WetLitterbags placem_collection'!M138</f>
        <v>R474</v>
      </c>
      <c r="K357" s="225">
        <f>IFERROR(INDEX('Green_rooibos initial weight'!$C$5:$C$1749,MATCH(J357, 'Green_rooibos initial weight'!$A$5:$A$1749,0)),"")</f>
        <v>2.258</v>
      </c>
      <c r="L357" s="225">
        <f>IFERROR(K357-(TBIcalc!$H$9+TBIcalc!$H$10),"")</f>
        <v>2.0082</v>
      </c>
      <c r="M357" s="391">
        <f>AVERAGE(Ashed_controlls!$K$12:$K$14)</f>
        <v>2.2816647271287041</v>
      </c>
      <c r="N357" s="225">
        <f t="shared" si="27"/>
        <v>1.9623796089498013</v>
      </c>
      <c r="O357" s="225">
        <f>IF(IFERROR(INDEX('Both teabags AfterWet'!$C$3:$C$841,MATCH(J357,'Both teabags AfterWet'!$A$3:$A$841,0)),"")="","",(IFERROR(INDEX('Both teabags AfterWet'!$C$3:$C$841,MATCH(J357,'Both teabags AfterWet'!$A$3:$A$841,0)),"")))</f>
        <v>1.5827</v>
      </c>
      <c r="P357" s="225">
        <f>IFERROR(IF(O357&gt;0,O357-(TBIcalc!$H$9),""),"")</f>
        <v>1.4320999999999999</v>
      </c>
      <c r="Q357" s="225">
        <f>IFERROR(INDEX('Ashed teabags wet'!$K$2:$K$821,MATCH(J357,'Ashed teabags wet'!$A$2:$A$821,0)),"")</f>
        <v>5.0395256916988718</v>
      </c>
      <c r="R357" s="225">
        <f t="shared" si="31"/>
        <v>1.3599289525691804</v>
      </c>
      <c r="S357" s="226">
        <f>'WetLitterbags placem_collection'!E138</f>
        <v>42762</v>
      </c>
      <c r="T357" s="226">
        <f>IF('WetLitterbags placem_collection'!G138="","",'WetLitterbags placem_collection'!G138)</f>
        <v>42816</v>
      </c>
      <c r="U357" s="227">
        <f t="shared" si="28"/>
        <v>54</v>
      </c>
      <c r="V357" s="225">
        <f t="shared" si="29"/>
        <v>0.57610000000000006</v>
      </c>
      <c r="W357" s="225">
        <f t="shared" si="30"/>
        <v>0.6024506563806209</v>
      </c>
      <c r="X357">
        <f>IFERROR(INDEX(Rainfall_Wet!$O$2:$O$217,MATCH(B357, Rainfall_Wet!$A$2:$A$217,0)),"")</f>
        <v>206.85140822299999</v>
      </c>
      <c r="Y357" s="231">
        <v>31.214836424255054</v>
      </c>
      <c r="Z357" s="231">
        <v>11.377370285476141</v>
      </c>
      <c r="AA357" s="231">
        <v>57.407793290268799</v>
      </c>
      <c r="AB357" s="232" t="s">
        <v>2670</v>
      </c>
      <c r="AC357" s="231">
        <v>8.7337604731394798</v>
      </c>
      <c r="AD357">
        <f>IF('WetLitterbags placem_collection'!AB138="","",'WetLitterbags placem_collection'!AB138)</f>
        <v>2.2999999999999998</v>
      </c>
      <c r="AE357">
        <f>IF('WetLitterbags placem_collection'!Z138="","",'WetLitterbags placem_collection'!Z138)</f>
        <v>16.3</v>
      </c>
      <c r="AF357" s="246" t="str">
        <f>IF('WetLitterbags placem_collection'!AA138="","",'WetLitterbags placem_collection'!AA138)</f>
        <v>G</v>
      </c>
      <c r="AG357">
        <f>IF('WetLitterbags placem_collection'!AC138="","",'WetLitterbags placem_collection'!AC138)</f>
        <v>1</v>
      </c>
      <c r="AH357" s="24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placem_collection'!W138)),"YES","NO")</f>
        <v>NO</v>
      </c>
      <c r="AM357" t="str">
        <f>IF(ISNUMBER(SEARCH("H", 'WetLitterbags placem_collection'!W138)),"YES","NO")</f>
        <v>NO</v>
      </c>
      <c r="AN357" t="str">
        <f>IF(ISNUMBER(SEARCH("R", 'WetLitterbags placem_collection'!W138)),"YES","NO")</f>
        <v>YES</v>
      </c>
    </row>
    <row r="358" spans="1:40" ht="15" customHeight="1">
      <c r="A358" s="258" t="s">
        <v>2460</v>
      </c>
      <c r="B358" s="263">
        <f>'Dry_Litterbag Placem_Collection'!A139</f>
        <v>137</v>
      </c>
      <c r="C358" s="263" t="str">
        <f>'Dry_Litterbag Placem_Collection'!B139</f>
        <v xml:space="preserve">Mwantimba
</v>
      </c>
      <c r="D358" s="263" t="s">
        <v>2659</v>
      </c>
      <c r="E358" s="263" t="s">
        <v>20</v>
      </c>
      <c r="F358" s="263">
        <v>2</v>
      </c>
      <c r="G358" s="264" t="str">
        <f>'Dry_Litterbag Placem_Collection'!C139</f>
        <v>Wet_P2_T1</v>
      </c>
      <c r="H358" s="265" t="s">
        <v>2541</v>
      </c>
      <c r="I358" s="272" t="s">
        <v>298</v>
      </c>
      <c r="J358" s="223" t="str">
        <f>'WetLitterbags placem_collection'!M139</f>
        <v>R34</v>
      </c>
      <c r="K358" s="225">
        <f>IFERROR(INDEX('Green_rooibos initial weight'!$C$5:$C$1749,MATCH(J358, 'Green_rooibos initial weight'!$A$5:$A$1749,0)),"")</f>
        <v>2.1349999999999998</v>
      </c>
      <c r="L358" s="225">
        <f>IFERROR(K358-(TBIcalc!$H$9+TBIcalc!$H$10),"")</f>
        <v>1.8851999999999998</v>
      </c>
      <c r="M358" s="391">
        <f>AVERAGE(Ashed_controlls!$K$12:$K$14)</f>
        <v>2.2816647271287041</v>
      </c>
      <c r="N358" s="225">
        <f t="shared" si="27"/>
        <v>1.8421860565641694</v>
      </c>
      <c r="O358" s="225">
        <f>IF(IFERROR(INDEX('Both teabags AfterWet'!$C$3:$C$841,MATCH(J358,'Both teabags AfterWet'!$A$3:$A$841,0)),"")="","",(IFERROR(INDEX('Both teabags AfterWet'!$C$3:$C$841,MATCH(J358,'Both teabags AfterWet'!$A$3:$A$841,0)),"")))</f>
        <v>1.571</v>
      </c>
      <c r="P358" s="225">
        <f>IFERROR(IF(O358&gt;0,O358-(TBIcalc!$H$9),""),"")</f>
        <v>1.4203999999999999</v>
      </c>
      <c r="Q358" s="225">
        <f>IFERROR(INDEX('Ashed teabags wet'!$K$2:$K$821,MATCH(J358,'Ashed teabags wet'!$A$2:$A$821,0)),"")</f>
        <v>7.897334649555618</v>
      </c>
      <c r="R358" s="225">
        <f t="shared" si="31"/>
        <v>1.3082262586377118</v>
      </c>
      <c r="S358" s="226">
        <f>'WetLitterbags placem_collection'!E139</f>
        <v>42762</v>
      </c>
      <c r="T358" s="226">
        <f>IF('WetLitterbags placem_collection'!G139="","",'WetLitterbags placem_collection'!G139)</f>
        <v>42816</v>
      </c>
      <c r="U358" s="227">
        <f t="shared" si="28"/>
        <v>54</v>
      </c>
      <c r="V358" s="225">
        <f t="shared" si="29"/>
        <v>0.46479999999999988</v>
      </c>
      <c r="W358" s="225">
        <f t="shared" si="30"/>
        <v>0.53395979792645765</v>
      </c>
      <c r="X358">
        <f>IFERROR(INDEX(Rainfall_Wet!$O$2:$O$217,MATCH(B358, Rainfall_Wet!$A$2:$A$217,0)),"")</f>
        <v>206.85140822299999</v>
      </c>
      <c r="Y358" s="231">
        <v>33.96</v>
      </c>
      <c r="Z358" s="231">
        <v>8.9200000000000017</v>
      </c>
      <c r="AA358" s="231">
        <v>57.12</v>
      </c>
      <c r="AB358" s="232" t="s">
        <v>2670</v>
      </c>
      <c r="AC358" s="231">
        <v>2.072055199605717</v>
      </c>
      <c r="AD358">
        <f>IF('WetLitterbags placem_collection'!AB139="","",'WetLitterbags placem_collection'!AB139)</f>
        <v>1.2</v>
      </c>
      <c r="AE358">
        <f>IF('WetLitterbags placem_collection'!Z139="","",'WetLitterbags placem_collection'!Z139)</f>
        <v>32.4</v>
      </c>
      <c r="AF358" s="246" t="str">
        <f>IF('WetLitterbags placem_collection'!AA139="","",'WetLitterbags placem_collection'!AA139)</f>
        <v>G</v>
      </c>
      <c r="AG358">
        <f>IF('WetLitterbags placem_collection'!AC139="","",'WetLitterbags placem_collection'!AC139)</f>
        <v>1</v>
      </c>
      <c r="AH358" s="24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placem_collection'!W139)),"YES","NO")</f>
        <v>YES</v>
      </c>
      <c r="AM358" t="str">
        <f>IF(ISNUMBER(SEARCH("H", 'WetLitterbags placem_collection'!W139)),"YES","NO")</f>
        <v>NO</v>
      </c>
      <c r="AN358" t="str">
        <f>IF(ISNUMBER(SEARCH("R", 'WetLitterbags placem_collection'!W139)),"YES","NO")</f>
        <v>NO</v>
      </c>
    </row>
    <row r="359" spans="1:40" ht="15" customHeight="1">
      <c r="A359" s="258" t="s">
        <v>2460</v>
      </c>
      <c r="B359" s="263">
        <f>'Dry_Litterbag Placem_Collection'!A140</f>
        <v>138</v>
      </c>
      <c r="C359" s="263" t="str">
        <f>'Dry_Litterbag Placem_Collection'!B140</f>
        <v xml:space="preserve">Mwantimba
</v>
      </c>
      <c r="D359" s="263" t="s">
        <v>2659</v>
      </c>
      <c r="E359" s="263" t="s">
        <v>20</v>
      </c>
      <c r="F359" s="263">
        <v>2</v>
      </c>
      <c r="G359" s="264" t="str">
        <f>'Dry_Litterbag Placem_Collection'!C140</f>
        <v>Wet_P2_T2</v>
      </c>
      <c r="H359" s="265" t="s">
        <v>2541</v>
      </c>
      <c r="I359" s="272" t="s">
        <v>298</v>
      </c>
      <c r="J359" s="223" t="str">
        <f>'WetLitterbags placem_collection'!M140</f>
        <v>R426</v>
      </c>
      <c r="K359" s="225">
        <f>IFERROR(INDEX('Green_rooibos initial weight'!$C$5:$C$1749,MATCH(J359, 'Green_rooibos initial weight'!$A$5:$A$1749,0)),"")</f>
        <v>2.153</v>
      </c>
      <c r="L359" s="225">
        <f>IFERROR(K359-(TBIcalc!$H$9+TBIcalc!$H$10),"")</f>
        <v>1.9032</v>
      </c>
      <c r="M359" s="391">
        <f>AVERAGE(Ashed_controlls!$K$12:$K$14)</f>
        <v>2.2816647271287041</v>
      </c>
      <c r="N359" s="225">
        <f t="shared" si="27"/>
        <v>1.8597753569132864</v>
      </c>
      <c r="O359" s="225">
        <f>IF(IFERROR(INDEX('Both teabags AfterWet'!$C$3:$C$841,MATCH(J359,'Both teabags AfterWet'!$A$3:$A$841,0)),"")="","",(IFERROR(INDEX('Both teabags AfterWet'!$C$3:$C$841,MATCH(J359,'Both teabags AfterWet'!$A$3:$A$841,0)),"")))</f>
        <v>1.613</v>
      </c>
      <c r="P359" s="225">
        <f>IFERROR(IF(O359&gt;0,O359-(TBIcalc!$H$9),""),"")</f>
        <v>1.4623999999999999</v>
      </c>
      <c r="Q359" s="225">
        <f>IFERROR(INDEX('Ashed teabags wet'!$K$2:$K$821,MATCH(J359,'Ashed teabags wet'!$A$2:$A$821,0)),"")</f>
        <v>4.7996041563577378</v>
      </c>
      <c r="R359" s="225">
        <f t="shared" si="31"/>
        <v>1.3922105888174243</v>
      </c>
      <c r="S359" s="226">
        <f>'WetLitterbags placem_collection'!E140</f>
        <v>42762</v>
      </c>
      <c r="T359" s="226">
        <f>IF('WetLitterbags placem_collection'!G140="","",'WetLitterbags placem_collection'!G140)</f>
        <v>42816</v>
      </c>
      <c r="U359" s="227">
        <f t="shared" si="28"/>
        <v>54</v>
      </c>
      <c r="V359" s="225">
        <f t="shared" si="29"/>
        <v>0.44080000000000008</v>
      </c>
      <c r="W359" s="225">
        <f t="shared" si="30"/>
        <v>0.46756476809586212</v>
      </c>
      <c r="X359">
        <f>IFERROR(INDEX(Rainfall_Wet!$O$2:$O$217,MATCH(B359, Rainfall_Wet!$A$2:$A$217,0)),"")</f>
        <v>206.85140822299999</v>
      </c>
      <c r="Y359" s="231">
        <v>33.96</v>
      </c>
      <c r="Z359" s="231">
        <v>8.9200000000000017</v>
      </c>
      <c r="AA359" s="231">
        <v>57.12</v>
      </c>
      <c r="AB359" s="232" t="s">
        <v>2670</v>
      </c>
      <c r="AC359" s="231">
        <v>3.0720551996057202</v>
      </c>
      <c r="AD359">
        <f>IF('WetLitterbags placem_collection'!AB140="","",'WetLitterbags placem_collection'!AB140)</f>
        <v>2.8</v>
      </c>
      <c r="AE359">
        <f>IF('WetLitterbags placem_collection'!Z140="","",'WetLitterbags placem_collection'!Z140)</f>
        <v>26.4</v>
      </c>
      <c r="AF359" s="246" t="str">
        <f>IF('WetLitterbags placem_collection'!AA140="","",'WetLitterbags placem_collection'!AA140)</f>
        <v>G</v>
      </c>
      <c r="AG359">
        <f>IF('WetLitterbags placem_collection'!AC140="","",'WetLitterbags placem_collection'!AC140)</f>
        <v>1</v>
      </c>
      <c r="AH359" s="24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placem_collection'!W140)),"YES","NO")</f>
        <v>NO</v>
      </c>
      <c r="AM359" t="str">
        <f>IF(ISNUMBER(SEARCH("H", 'WetLitterbags placem_collection'!W140)),"YES","NO")</f>
        <v>NO</v>
      </c>
      <c r="AN359" t="str">
        <f>IF(ISNUMBER(SEARCH("R", 'WetLitterbags placem_collection'!W140)),"YES","NO")</f>
        <v>NO</v>
      </c>
    </row>
    <row r="360" spans="1:40" ht="15" customHeight="1">
      <c r="A360" s="258" t="s">
        <v>2460</v>
      </c>
      <c r="B360" s="263">
        <f>'Dry_Litterbag Placem_Collection'!A141</f>
        <v>139</v>
      </c>
      <c r="C360" s="263" t="str">
        <f>'Dry_Litterbag Placem_Collection'!B141</f>
        <v xml:space="preserve">Mwantimba
</v>
      </c>
      <c r="D360" s="263" t="s">
        <v>2659</v>
      </c>
      <c r="E360" s="263" t="s">
        <v>20</v>
      </c>
      <c r="F360" s="263">
        <v>2</v>
      </c>
      <c r="G360" s="264" t="str">
        <f>'Dry_Litterbag Placem_Collection'!C141</f>
        <v>Wet_P2_T3</v>
      </c>
      <c r="H360" s="265" t="s">
        <v>2541</v>
      </c>
      <c r="I360" s="272" t="s">
        <v>298</v>
      </c>
      <c r="J360" s="223" t="str">
        <f>'WetLitterbags placem_collection'!M141</f>
        <v>R563</v>
      </c>
      <c r="K360" s="225">
        <f>IFERROR(INDEX('Green_rooibos initial weight'!$C$5:$C$1749,MATCH(J360, 'Green_rooibos initial weight'!$A$5:$A$1749,0)),"")</f>
        <v>2.1150000000000002</v>
      </c>
      <c r="L360" s="225">
        <f>IFERROR(K360-(TBIcalc!$H$9+TBIcalc!$H$10),"")</f>
        <v>1.8652000000000002</v>
      </c>
      <c r="M360" s="391">
        <f>AVERAGE(Ashed_controlls!$K$12:$K$14)</f>
        <v>2.2816647271287041</v>
      </c>
      <c r="N360" s="225">
        <f t="shared" si="27"/>
        <v>1.8226423895095956</v>
      </c>
      <c r="O360" s="225">
        <f>IF(IFERROR(INDEX('Both teabags AfterWet'!$C$3:$C$841,MATCH(J360,'Both teabags AfterWet'!$A$3:$A$841,0)),"")="","",(IFERROR(INDEX('Both teabags AfterWet'!$C$3:$C$841,MATCH(J360,'Both teabags AfterWet'!$A$3:$A$841,0)),"")))</f>
        <v>2.5009999999999999</v>
      </c>
      <c r="P360" s="225">
        <f>IFERROR(IF(O360&gt;0,O360-(TBIcalc!$H$9),""),"")</f>
        <v>2.3504</v>
      </c>
      <c r="Q360" s="225">
        <f>IFERROR(INDEX('Ashed teabags wet'!$K$2:$K$821,MATCH(J360,'Ashed teabags wet'!$A$2:$A$821,0)),"")</f>
        <v>90.192212912765001</v>
      </c>
      <c r="R360" s="225">
        <f t="shared" si="31"/>
        <v>0.23052222769837138</v>
      </c>
      <c r="S360" s="226">
        <f>'WetLitterbags placem_collection'!E141</f>
        <v>42762</v>
      </c>
      <c r="T360" s="226">
        <f>IF('WetLitterbags placem_collection'!G141="","",'WetLitterbags placem_collection'!G141)</f>
        <v>42816</v>
      </c>
      <c r="U360" s="227">
        <f t="shared" si="28"/>
        <v>54</v>
      </c>
      <c r="V360" s="225">
        <f t="shared" si="29"/>
        <v>-0.48519999999999985</v>
      </c>
      <c r="W360" s="225">
        <f t="shared" si="30"/>
        <v>1.5921201618112242</v>
      </c>
      <c r="X360">
        <f>IFERROR(INDEX(Rainfall_Wet!$O$2:$O$217,MATCH(B360, Rainfall_Wet!$A$2:$A$217,0)),"")</f>
        <v>206.85140822299999</v>
      </c>
      <c r="Y360" s="231">
        <v>33.96</v>
      </c>
      <c r="Z360" s="231">
        <v>8.9200000000000017</v>
      </c>
      <c r="AA360" s="231">
        <v>57.12</v>
      </c>
      <c r="AB360" s="232" t="s">
        <v>2670</v>
      </c>
      <c r="AC360" s="231">
        <v>4.0720551996057202</v>
      </c>
      <c r="AD360">
        <f>IF('WetLitterbags placem_collection'!AB141="","",'WetLitterbags placem_collection'!AB141)</f>
        <v>5.7</v>
      </c>
      <c r="AE360">
        <f>IF('WetLitterbags placem_collection'!Z141="","",'WetLitterbags placem_collection'!Z141)</f>
        <v>19.399999999999999</v>
      </c>
      <c r="AF360" s="246" t="str">
        <f>IF('WetLitterbags placem_collection'!AA141="","",'WetLitterbags placem_collection'!AA141)</f>
        <v>G</v>
      </c>
      <c r="AG360">
        <f>IF('WetLitterbags placem_collection'!AC141="","",'WetLitterbags placem_collection'!AC141)</f>
        <v>1</v>
      </c>
      <c r="AH360" s="24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placem_collection'!W141)),"YES","NO")</f>
        <v>YES</v>
      </c>
      <c r="AM360" t="str">
        <f>IF(ISNUMBER(SEARCH("H", 'WetLitterbags placem_collection'!W141)),"YES","NO")</f>
        <v>YES</v>
      </c>
      <c r="AN360" t="str">
        <f>IF(ISNUMBER(SEARCH("R", 'WetLitterbags placem_collection'!W141)),"YES","NO")</f>
        <v>YES</v>
      </c>
    </row>
    <row r="361" spans="1:40" ht="15" customHeight="1">
      <c r="A361" s="258" t="s">
        <v>2460</v>
      </c>
      <c r="B361" s="263">
        <f>'Dry_Litterbag Placem_Collection'!A142</f>
        <v>140</v>
      </c>
      <c r="C361" s="263" t="str">
        <f>'Dry_Litterbag Placem_Collection'!B142</f>
        <v xml:space="preserve">Mwantimba
</v>
      </c>
      <c r="D361" s="263" t="s">
        <v>2659</v>
      </c>
      <c r="E361" s="263" t="s">
        <v>20</v>
      </c>
      <c r="F361" s="263">
        <v>2</v>
      </c>
      <c r="G361" s="264" t="str">
        <f>'Dry_Litterbag Placem_Collection'!C142</f>
        <v>Wet_P2_T4</v>
      </c>
      <c r="H361" s="265" t="s">
        <v>2541</v>
      </c>
      <c r="I361" s="272" t="s">
        <v>298</v>
      </c>
      <c r="J361" s="223" t="str">
        <f>'WetLitterbags placem_collection'!M142</f>
        <v>R535</v>
      </c>
      <c r="K361" s="225">
        <f>IFERROR(INDEX('Green_rooibos initial weight'!$C$5:$C$1749,MATCH(J361, 'Green_rooibos initial weight'!$A$5:$A$1749,0)),"")</f>
        <v>2.1259999999999999</v>
      </c>
      <c r="L361" s="225">
        <f>IFERROR(K361-(TBIcalc!$H$9+TBIcalc!$H$10),"")</f>
        <v>1.8761999999999999</v>
      </c>
      <c r="M361" s="391">
        <f>AVERAGE(Ashed_controlls!$K$12:$K$14)</f>
        <v>2.2816647271287041</v>
      </c>
      <c r="N361" s="225">
        <f t="shared" si="27"/>
        <v>1.8333914063896111</v>
      </c>
      <c r="O361" s="225">
        <f>IF(IFERROR(INDEX('Both teabags AfterWet'!$C$3:$C$841,MATCH(J361,'Both teabags AfterWet'!$A$3:$A$841,0)),"")="","",(IFERROR(INDEX('Both teabags AfterWet'!$C$3:$C$841,MATCH(J361,'Both teabags AfterWet'!$A$3:$A$841,0)),"")))</f>
        <v>1.5517000000000001</v>
      </c>
      <c r="P361" s="225">
        <f>IFERROR(IF(O361&gt;0,O361-(TBIcalc!$H$9),""),"")</f>
        <v>1.4011</v>
      </c>
      <c r="Q361" s="225">
        <f>IFERROR(INDEX('Ashed teabags wet'!$K$2:$K$821,MATCH(J361,'Ashed teabags wet'!$A$2:$A$821,0)),"")</f>
        <v>6.5646594274426793</v>
      </c>
      <c r="R361" s="225">
        <f t="shared" si="31"/>
        <v>1.3091225567621005</v>
      </c>
      <c r="S361" s="226">
        <f>'WetLitterbags placem_collection'!E142</f>
        <v>42762</v>
      </c>
      <c r="T361" s="226">
        <f>IF('WetLitterbags placem_collection'!G142="","",'WetLitterbags placem_collection'!G142)</f>
        <v>42816</v>
      </c>
      <c r="U361" s="227">
        <f t="shared" si="28"/>
        <v>54</v>
      </c>
      <c r="V361" s="225">
        <f t="shared" si="29"/>
        <v>0.47509999999999986</v>
      </c>
      <c r="W361" s="225">
        <f t="shared" si="30"/>
        <v>0.52426884962751052</v>
      </c>
      <c r="X361">
        <f>IFERROR(INDEX(Rainfall_Wet!$O$2:$O$217,MATCH(B361, Rainfall_Wet!$A$2:$A$217,0)),"")</f>
        <v>206.85140822299999</v>
      </c>
      <c r="Y361" s="231">
        <v>33.96</v>
      </c>
      <c r="Z361" s="231">
        <v>8.9200000000000017</v>
      </c>
      <c r="AA361" s="231">
        <v>57.12</v>
      </c>
      <c r="AB361" s="232" t="s">
        <v>2670</v>
      </c>
      <c r="AC361" s="231">
        <v>5.0720551996057202</v>
      </c>
      <c r="AD361">
        <f>IF('WetLitterbags placem_collection'!AB142="","",'WetLitterbags placem_collection'!AB142)</f>
        <v>1.4</v>
      </c>
      <c r="AE361">
        <f>IF('WetLitterbags placem_collection'!Z142="","",'WetLitterbags placem_collection'!Z142)</f>
        <v>33.4</v>
      </c>
      <c r="AF361" s="246" t="str">
        <f>IF('WetLitterbags placem_collection'!AA142="","",'WetLitterbags placem_collection'!AA142)</f>
        <v>G</v>
      </c>
      <c r="AG361">
        <f>IF('WetLitterbags placem_collection'!AC142="","",'WetLitterbags placem_collection'!AC142)</f>
        <v>1</v>
      </c>
      <c r="AH361" s="24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placem_collection'!W142)),"YES","NO")</f>
        <v>NO</v>
      </c>
      <c r="AM361" t="str">
        <f>IF(ISNUMBER(SEARCH("H", 'WetLitterbags placem_collection'!W142)),"YES","NO")</f>
        <v>NO</v>
      </c>
      <c r="AN361" t="str">
        <f>IF(ISNUMBER(SEARCH("R", 'WetLitterbags placem_collection'!W142)),"YES","NO")</f>
        <v>YES</v>
      </c>
    </row>
    <row r="362" spans="1:40" ht="15" customHeight="1">
      <c r="A362" s="258" t="s">
        <v>2460</v>
      </c>
      <c r="B362" s="263">
        <f>'Dry_Litterbag Placem_Collection'!A143</f>
        <v>141</v>
      </c>
      <c r="C362" s="263" t="str">
        <f>'Dry_Litterbag Placem_Collection'!B143</f>
        <v xml:space="preserve">Mwantimba
</v>
      </c>
      <c r="D362" s="263" t="s">
        <v>2659</v>
      </c>
      <c r="E362" s="263" t="s">
        <v>20</v>
      </c>
      <c r="F362" s="263">
        <v>2</v>
      </c>
      <c r="G362" s="264" t="str">
        <f>'Dry_Litterbag Placem_Collection'!C143</f>
        <v>Wet_P2_T5</v>
      </c>
      <c r="H362" s="265" t="s">
        <v>2541</v>
      </c>
      <c r="I362" s="272" t="s">
        <v>298</v>
      </c>
      <c r="J362" s="223" t="str">
        <f>'WetLitterbags placem_collection'!M143</f>
        <v>R581</v>
      </c>
      <c r="K362" s="225">
        <f>IFERROR(INDEX('Green_rooibos initial weight'!$C$5:$C$1749,MATCH(J362, 'Green_rooibos initial weight'!$A$5:$A$1749,0)),"")</f>
        <v>2.069</v>
      </c>
      <c r="L362" s="225">
        <f>IFERROR(K362-(TBIcalc!$H$9+TBIcalc!$H$10),"")</f>
        <v>1.8191999999999999</v>
      </c>
      <c r="M362" s="391">
        <f>AVERAGE(Ashed_controlls!$K$12:$K$14)</f>
        <v>2.2816647271287041</v>
      </c>
      <c r="N362" s="225">
        <f t="shared" si="27"/>
        <v>1.7776919552840746</v>
      </c>
      <c r="O362" s="225">
        <f>IF(IFERROR(INDEX('Both teabags AfterWet'!$C$3:$C$841,MATCH(J362,'Both teabags AfterWet'!$A$3:$A$841,0)),"")="","",(IFERROR(INDEX('Both teabags AfterWet'!$C$3:$C$841,MATCH(J362,'Both teabags AfterWet'!$A$3:$A$841,0)),"")))</f>
        <v>1.2849999999999999</v>
      </c>
      <c r="P362" s="225">
        <f>IFERROR(IF(O362&gt;0,O362-(TBIcalc!$H$9),""),"")</f>
        <v>1.1343999999999999</v>
      </c>
      <c r="Q362" s="225">
        <f>IFERROR(INDEX('Ashed teabags wet'!$K$2:$K$821,MATCH(J362,'Ashed teabags wet'!$A$2:$A$821,0)),"")</f>
        <v>87.823960880195301</v>
      </c>
      <c r="R362" s="225">
        <f t="shared" si="31"/>
        <v>0.13812498777506443</v>
      </c>
      <c r="S362" s="226">
        <f>'WetLitterbags placem_collection'!E143</f>
        <v>42762</v>
      </c>
      <c r="T362" s="226">
        <f>IF('WetLitterbags placem_collection'!G143="","",'WetLitterbags placem_collection'!G143)</f>
        <v>42816</v>
      </c>
      <c r="U362" s="227">
        <f t="shared" si="28"/>
        <v>54</v>
      </c>
      <c r="V362" s="225">
        <f t="shared" si="29"/>
        <v>0.68480000000000008</v>
      </c>
      <c r="W362" s="225">
        <f t="shared" si="30"/>
        <v>1.6395669675090101</v>
      </c>
      <c r="X362">
        <f>IFERROR(INDEX(Rainfall_Wet!$O$2:$O$217,MATCH(B362, Rainfall_Wet!$A$2:$A$217,0)),"")</f>
        <v>206.85140822299999</v>
      </c>
      <c r="Y362" s="231">
        <v>33.96</v>
      </c>
      <c r="Z362" s="231">
        <v>8.9200000000000017</v>
      </c>
      <c r="AA362" s="231">
        <v>57.12</v>
      </c>
      <c r="AB362" s="232" t="s">
        <v>2670</v>
      </c>
      <c r="AC362" s="231">
        <v>6.0720551996057202</v>
      </c>
      <c r="AD362">
        <f>IF('WetLitterbags placem_collection'!AB143="","",'WetLitterbags placem_collection'!AB143)</f>
        <v>1.4</v>
      </c>
      <c r="AE362">
        <f>IF('WetLitterbags placem_collection'!Z143="","",'WetLitterbags placem_collection'!Z143)</f>
        <v>28.4</v>
      </c>
      <c r="AF362" s="246" t="str">
        <f>IF('WetLitterbags placem_collection'!AA143="","",'WetLitterbags placem_collection'!AA143)</f>
        <v>G</v>
      </c>
      <c r="AG362">
        <f>IF('WetLitterbags placem_collection'!AC143="","",'WetLitterbags placem_collection'!AC143)</f>
        <v>1</v>
      </c>
      <c r="AH362" s="24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placem_collection'!W143)),"YES","NO")</f>
        <v>YES</v>
      </c>
      <c r="AM362" t="str">
        <f>IF(ISNUMBER(SEARCH("H", 'WetLitterbags placem_collection'!W143)),"YES","NO")</f>
        <v>YES</v>
      </c>
      <c r="AN362" t="str">
        <f>IF(ISNUMBER(SEARCH("R", 'WetLitterbags placem_collection'!W143)),"YES","NO")</f>
        <v>YES</v>
      </c>
    </row>
    <row r="363" spans="1:40" ht="15" customHeight="1">
      <c r="A363" s="258" t="s">
        <v>2460</v>
      </c>
      <c r="B363" s="263">
        <f>'Dry_Litterbag Placem_Collection'!A144</f>
        <v>142</v>
      </c>
      <c r="C363" s="263" t="str">
        <f>'Dry_Litterbag Placem_Collection'!B144</f>
        <v xml:space="preserve">Mwantimba
</v>
      </c>
      <c r="D363" s="263" t="s">
        <v>2659</v>
      </c>
      <c r="E363" s="263" t="s">
        <v>20</v>
      </c>
      <c r="F363" s="263">
        <v>2</v>
      </c>
      <c r="G363" s="264" t="str">
        <f>'Dry_Litterbag Placem_Collection'!C144</f>
        <v>Wet_P2_T6</v>
      </c>
      <c r="H363" s="265" t="s">
        <v>2541</v>
      </c>
      <c r="I363" s="272" t="s">
        <v>298</v>
      </c>
      <c r="J363" s="223" t="str">
        <f>'WetLitterbags placem_collection'!M144</f>
        <v>R460</v>
      </c>
      <c r="K363" s="225">
        <f>IFERROR(INDEX('Green_rooibos initial weight'!$C$5:$C$1749,MATCH(J363, 'Green_rooibos initial weight'!$A$5:$A$1749,0)),"")</f>
        <v>2.1659999999999999</v>
      </c>
      <c r="L363" s="225">
        <f>IFERROR(K363-(TBIcalc!$H$9+TBIcalc!$H$10),"")</f>
        <v>1.9161999999999999</v>
      </c>
      <c r="M363" s="391">
        <f>AVERAGE(Ashed_controlls!$K$12:$K$14)</f>
        <v>2.2816647271287041</v>
      </c>
      <c r="N363" s="225">
        <f t="shared" si="27"/>
        <v>1.8724787404987597</v>
      </c>
      <c r="O363" s="225">
        <f>IF(IFERROR(INDEX('Both teabags AfterWet'!$C$3:$C$841,MATCH(J363,'Both teabags AfterWet'!$A$3:$A$841,0)),"")="","",(IFERROR(INDEX('Both teabags AfterWet'!$C$3:$C$841,MATCH(J363,'Both teabags AfterWet'!$A$3:$A$841,0)),"")))</f>
        <v>0.14299999999999999</v>
      </c>
      <c r="P363" s="225">
        <f>IFERROR(IF(O363&gt;0,O363-(TBIcalc!$H$9),""),"")</f>
        <v>-7.6000000000000234E-3</v>
      </c>
      <c r="Q363" s="225" t="str">
        <f>IFERROR(INDEX('Ashed teabags wet'!$K$2:$K$821,MATCH(J363,'Ashed teabags wet'!$A$2:$A$821,0)),"")</f>
        <v/>
      </c>
      <c r="R363" s="225" t="str">
        <f t="shared" si="31"/>
        <v/>
      </c>
      <c r="S363" s="226">
        <f>'WetLitterbags placem_collection'!E144</f>
        <v>42762</v>
      </c>
      <c r="T363" s="226">
        <f>IF('WetLitterbags placem_collection'!G144="","",'WetLitterbags placem_collection'!G144)</f>
        <v>42816</v>
      </c>
      <c r="U363" s="227">
        <f t="shared" si="28"/>
        <v>54</v>
      </c>
      <c r="V363" s="225">
        <f t="shared" si="29"/>
        <v>1.9238</v>
      </c>
      <c r="W363" s="225" t="str">
        <f t="shared" si="30"/>
        <v/>
      </c>
      <c r="X363">
        <f>IFERROR(INDEX(Rainfall_Wet!$O$2:$O$217,MATCH(B363, Rainfall_Wet!$A$2:$A$217,0)),"")</f>
        <v>206.85140822299999</v>
      </c>
      <c r="Y363" s="231">
        <v>33.96</v>
      </c>
      <c r="Z363" s="231">
        <v>8.9200000000000017</v>
      </c>
      <c r="AA363" s="231">
        <v>57.12</v>
      </c>
      <c r="AB363" s="232" t="s">
        <v>2670</v>
      </c>
      <c r="AC363" s="231">
        <v>7.0720551996057202</v>
      </c>
      <c r="AD363">
        <f>IF('WetLitterbags placem_collection'!AB144="","",'WetLitterbags placem_collection'!AB144)</f>
        <v>1.7</v>
      </c>
      <c r="AE363">
        <f>IF('WetLitterbags placem_collection'!Z144="","",'WetLitterbags placem_collection'!Z144)</f>
        <v>33.799999999999997</v>
      </c>
      <c r="AF363" s="246" t="str">
        <f>IF('WetLitterbags placem_collection'!AA144="","",'WetLitterbags placem_collection'!AA144)</f>
        <v>G</v>
      </c>
      <c r="AG363">
        <f>IF('WetLitterbags placem_collection'!AC144="","",'WetLitterbags placem_collection'!AC144)</f>
        <v>1</v>
      </c>
      <c r="AH363" s="24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placem_collection'!W144)),"YES","NO")</f>
        <v>NO</v>
      </c>
      <c r="AM363" t="str">
        <f>IF(ISNUMBER(SEARCH("H", 'WetLitterbags placem_collection'!W144)),"YES","NO")</f>
        <v>YES</v>
      </c>
      <c r="AN363" t="str">
        <f>IF(ISNUMBER(SEARCH("R", 'WetLitterbags placem_collection'!W144)),"YES","NO")</f>
        <v>NO</v>
      </c>
    </row>
    <row r="364" spans="1:40" ht="15" customHeight="1">
      <c r="A364" s="258" t="s">
        <v>2460</v>
      </c>
      <c r="B364" s="263">
        <f>'Dry_Litterbag Placem_Collection'!A145</f>
        <v>143</v>
      </c>
      <c r="C364" s="263" t="str">
        <f>'Dry_Litterbag Placem_Collection'!B145</f>
        <v xml:space="preserve">Mwantimba
</v>
      </c>
      <c r="D364" s="263" t="s">
        <v>2659</v>
      </c>
      <c r="E364" s="263" t="s">
        <v>20</v>
      </c>
      <c r="F364" s="263">
        <v>2</v>
      </c>
      <c r="G364" s="264" t="str">
        <f>'Dry_Litterbag Placem_Collection'!C145</f>
        <v>Wet_P2_T7</v>
      </c>
      <c r="H364" s="265" t="s">
        <v>2541</v>
      </c>
      <c r="I364" s="272" t="s">
        <v>298</v>
      </c>
      <c r="J364" s="223" t="str">
        <f>'WetLitterbags placem_collection'!M145</f>
        <v>R456</v>
      </c>
      <c r="K364" s="225">
        <f>IFERROR(INDEX('Green_rooibos initial weight'!$C$5:$C$1749,MATCH(J364, 'Green_rooibos initial weight'!$A$5:$A$1749,0)),"")</f>
        <v>2.23</v>
      </c>
      <c r="L364" s="225">
        <f>IFERROR(K364-(TBIcalc!$H$9+TBIcalc!$H$10),"")</f>
        <v>1.9802</v>
      </c>
      <c r="M364" s="391">
        <f>AVERAGE(Ashed_controlls!$K$12:$K$14)</f>
        <v>2.2816647271287041</v>
      </c>
      <c r="N364" s="225">
        <f t="shared" si="27"/>
        <v>1.9350184750733974</v>
      </c>
      <c r="O364" s="225">
        <f>IF(IFERROR(INDEX('Both teabags AfterWet'!$C$3:$C$841,MATCH(J364,'Both teabags AfterWet'!$A$3:$A$841,0)),"")="","",(IFERROR(INDEX('Both teabags AfterWet'!$C$3:$C$841,MATCH(J364,'Both teabags AfterWet'!$A$3:$A$841,0)),"")))</f>
        <v>1.6178999999999999</v>
      </c>
      <c r="P364" s="225">
        <f>IFERROR(IF(O364&gt;0,O364-(TBIcalc!$H$9),""),"")</f>
        <v>1.4672999999999998</v>
      </c>
      <c r="Q364" s="225">
        <f>IFERROR(INDEX('Ashed teabags wet'!$K$2:$K$821,MATCH(J364,'Ashed teabags wet'!$A$2:$A$821,0)),"")</f>
        <v>1.7996108949419758</v>
      </c>
      <c r="R364" s="225">
        <f t="shared" si="31"/>
        <v>1.4408943093385163</v>
      </c>
      <c r="S364" s="226">
        <f>'WetLitterbags placem_collection'!E145</f>
        <v>42762</v>
      </c>
      <c r="T364" s="226">
        <f>IF('WetLitterbags placem_collection'!G145="","",'WetLitterbags placem_collection'!G145)</f>
        <v>42816</v>
      </c>
      <c r="U364" s="227">
        <f t="shared" si="28"/>
        <v>54</v>
      </c>
      <c r="V364" s="225">
        <f t="shared" si="29"/>
        <v>0.51290000000000013</v>
      </c>
      <c r="W364" s="225">
        <f t="shared" si="30"/>
        <v>0.49412416573488116</v>
      </c>
      <c r="X364">
        <f>IFERROR(INDEX(Rainfall_Wet!$O$2:$O$217,MATCH(B364, Rainfall_Wet!$A$2:$A$217,0)),"")</f>
        <v>206.85140822299999</v>
      </c>
      <c r="Y364" s="231">
        <v>33.96</v>
      </c>
      <c r="Z364" s="231">
        <v>8.9200000000000017</v>
      </c>
      <c r="AA364" s="231">
        <v>57.12</v>
      </c>
      <c r="AB364" s="232" t="s">
        <v>2670</v>
      </c>
      <c r="AC364" s="231">
        <v>8.0720551996057193</v>
      </c>
      <c r="AD364">
        <f>IF('WetLitterbags placem_collection'!AB145="","",'WetLitterbags placem_collection'!AB145)</f>
        <v>2</v>
      </c>
      <c r="AE364">
        <f>IF('WetLitterbags placem_collection'!Z145="","",'WetLitterbags placem_collection'!Z145)</f>
        <v>23.4</v>
      </c>
      <c r="AF364" s="246" t="str">
        <f>IF('WetLitterbags placem_collection'!AA145="","",'WetLitterbags placem_collection'!AA145)</f>
        <v>G</v>
      </c>
      <c r="AG364">
        <f>IF('WetLitterbags placem_collection'!AC145="","",'WetLitterbags placem_collection'!AC145)</f>
        <v>1</v>
      </c>
      <c r="AH364" s="24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placem_collection'!W145)),"YES","NO")</f>
        <v>NO</v>
      </c>
      <c r="AM364" t="str">
        <f>IF(ISNUMBER(SEARCH("H", 'WetLitterbags placem_collection'!W145)),"YES","NO")</f>
        <v>NO</v>
      </c>
      <c r="AN364" t="str">
        <f>IF(ISNUMBER(SEARCH("R", 'WetLitterbags placem_collection'!W145)),"YES","NO")</f>
        <v>NO</v>
      </c>
    </row>
    <row r="365" spans="1:40" ht="15" customHeight="1">
      <c r="A365" s="258" t="s">
        <v>2460</v>
      </c>
      <c r="B365" s="263">
        <f>'Dry_Litterbag Placem_Collection'!A146</f>
        <v>144</v>
      </c>
      <c r="C365" s="263" t="str">
        <f>'Dry_Litterbag Placem_Collection'!B146</f>
        <v xml:space="preserve">Mwantimba
</v>
      </c>
      <c r="D365" s="263" t="s">
        <v>2659</v>
      </c>
      <c r="E365" s="263" t="s">
        <v>20</v>
      </c>
      <c r="F365" s="263">
        <v>2</v>
      </c>
      <c r="G365" s="264" t="str">
        <f>'Dry_Litterbag Placem_Collection'!C146</f>
        <v>Wet_P2_T8</v>
      </c>
      <c r="H365" s="265" t="s">
        <v>2541</v>
      </c>
      <c r="I365" s="272" t="s">
        <v>298</v>
      </c>
      <c r="J365" s="223" t="str">
        <f>'WetLitterbags placem_collection'!M146</f>
        <v>R571</v>
      </c>
      <c r="K365" s="225">
        <f>IFERROR(INDEX('Green_rooibos initial weight'!$C$5:$C$1749,MATCH(J365, 'Green_rooibos initial weight'!$A$5:$A$1749,0)),"")</f>
        <v>2.117</v>
      </c>
      <c r="L365" s="225">
        <f>IFERROR(K365-(TBIcalc!$H$9+TBIcalc!$H$10),"")</f>
        <v>1.8672</v>
      </c>
      <c r="M365" s="391">
        <f>AVERAGE(Ashed_controlls!$K$12:$K$14)</f>
        <v>2.2816647271287041</v>
      </c>
      <c r="N365" s="225">
        <f t="shared" si="27"/>
        <v>1.8245967562150529</v>
      </c>
      <c r="O365" s="225">
        <f>IF(IFERROR(INDEX('Both teabags AfterWet'!$C$3:$C$841,MATCH(J365,'Both teabags AfterWet'!$A$3:$A$841,0)),"")="","",(IFERROR(INDEX('Both teabags AfterWet'!$C$3:$C$841,MATCH(J365,'Both teabags AfterWet'!$A$3:$A$841,0)),"")))</f>
        <v>1.365</v>
      </c>
      <c r="P365" s="225">
        <f>IFERROR(IF(O365&gt;0,O365-(TBIcalc!$H$9),""),"")</f>
        <v>1.2143999999999999</v>
      </c>
      <c r="Q365" s="225">
        <f>IFERROR(INDEX('Ashed teabags wet'!$K$2:$K$821,MATCH(J365,'Ashed teabags wet'!$A$2:$A$821,0)),"")</f>
        <v>77.783132530120469</v>
      </c>
      <c r="R365" s="225">
        <f t="shared" si="31"/>
        <v>0.26980163855421702</v>
      </c>
      <c r="S365" s="226">
        <f>'WetLitterbags placem_collection'!E146</f>
        <v>42762</v>
      </c>
      <c r="T365" s="226">
        <f>IF('WetLitterbags placem_collection'!G146="","",'WetLitterbags placem_collection'!G146)</f>
        <v>42816</v>
      </c>
      <c r="U365" s="227">
        <f t="shared" si="28"/>
        <v>54</v>
      </c>
      <c r="V365" s="225">
        <f t="shared" si="29"/>
        <v>0.65280000000000005</v>
      </c>
      <c r="W365" s="225">
        <f t="shared" si="30"/>
        <v>1.5547951176608359</v>
      </c>
      <c r="X365">
        <f>IFERROR(INDEX(Rainfall_Wet!$O$2:$O$217,MATCH(B365, Rainfall_Wet!$A$2:$A$217,0)),"")</f>
        <v>206.85140822299999</v>
      </c>
      <c r="Y365" s="231">
        <v>33.96</v>
      </c>
      <c r="Z365" s="231">
        <v>8.9200000000000017</v>
      </c>
      <c r="AA365" s="231">
        <v>57.12</v>
      </c>
      <c r="AB365" s="232" t="s">
        <v>2670</v>
      </c>
      <c r="AC365" s="231">
        <v>9.0720551996057193</v>
      </c>
      <c r="AD365">
        <f>IF('WetLitterbags placem_collection'!AB146="","",'WetLitterbags placem_collection'!AB146)</f>
        <v>2.5</v>
      </c>
      <c r="AE365">
        <f>IF('WetLitterbags placem_collection'!Z146="","",'WetLitterbags placem_collection'!Z146)</f>
        <v>19.8</v>
      </c>
      <c r="AF365" s="246" t="str">
        <f>IF('WetLitterbags placem_collection'!AA146="","",'WetLitterbags placem_collection'!AA146)</f>
        <v>G</v>
      </c>
      <c r="AG365">
        <f>IF('WetLitterbags placem_collection'!AC146="","",'WetLitterbags placem_collection'!AC146)</f>
        <v>1</v>
      </c>
      <c r="AH365" s="24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placem_collection'!W146)),"YES","NO")</f>
        <v>NO</v>
      </c>
      <c r="AM365" t="str">
        <f>IF(ISNUMBER(SEARCH("H", 'WetLitterbags placem_collection'!W146)),"YES","NO")</f>
        <v>YES</v>
      </c>
      <c r="AN365" t="str">
        <f>IF(ISNUMBER(SEARCH("R", 'WetLitterbags placem_collection'!W146)),"YES","NO")</f>
        <v>NO</v>
      </c>
    </row>
    <row r="366" spans="1:40" ht="15" customHeight="1">
      <c r="A366" s="258" t="s">
        <v>2460</v>
      </c>
      <c r="B366" s="263">
        <f>'Dry_Litterbag Placem_Collection'!A147</f>
        <v>145</v>
      </c>
      <c r="C366" s="263" t="str">
        <f>'Dry_Litterbag Placem_Collection'!B147</f>
        <v xml:space="preserve">Mwantimba
</v>
      </c>
      <c r="D366" s="263" t="s">
        <v>2659</v>
      </c>
      <c r="E366" s="263" t="s">
        <v>20</v>
      </c>
      <c r="F366" s="263">
        <v>3</v>
      </c>
      <c r="G366" s="264" t="str">
        <f>'Dry_Litterbag Placem_Collection'!C147</f>
        <v>Wet_P3_T1</v>
      </c>
      <c r="H366" s="265" t="s">
        <v>2541</v>
      </c>
      <c r="I366" s="272" t="s">
        <v>298</v>
      </c>
      <c r="J366" s="223" t="str">
        <f>'WetLitterbags placem_collection'!M147</f>
        <v>R27</v>
      </c>
      <c r="K366" s="225">
        <f>IFERROR(INDEX('Green_rooibos initial weight'!$C$5:$C$1749,MATCH(J366, 'Green_rooibos initial weight'!$A$5:$A$1749,0)),"")</f>
        <v>2.0550000000000002</v>
      </c>
      <c r="L366" s="225">
        <f>IFERROR(K366-(TBIcalc!$H$9+TBIcalc!$H$10),"")</f>
        <v>1.8052000000000001</v>
      </c>
      <c r="M366" s="391">
        <f>AVERAGE(Ashed_controlls!$K$12:$K$14)</f>
        <v>2.2816647271287041</v>
      </c>
      <c r="N366" s="225">
        <f t="shared" si="27"/>
        <v>1.7640113883458728</v>
      </c>
      <c r="O366" s="225">
        <f>IF(IFERROR(INDEX('Both teabags AfterWet'!$C$3:$C$841,MATCH(J366,'Both teabags AfterWet'!$A$3:$A$841,0)),"")="","",(IFERROR(INDEX('Both teabags AfterWet'!$C$3:$C$841,MATCH(J366,'Both teabags AfterWet'!$A$3:$A$841,0)),"")))</f>
        <v>1.6830000000000001</v>
      </c>
      <c r="P366" s="225">
        <f>IFERROR(IF(O366&gt;0,O366-(TBIcalc!$H$9),""),"")</f>
        <v>1.5324</v>
      </c>
      <c r="Q366" s="225">
        <f>IFERROR(INDEX('Ashed teabags wet'!$K$2:$K$821,MATCH(J366,'Ashed teabags wet'!$A$2:$A$821,0)),"")</f>
        <v>8.5603112840463975</v>
      </c>
      <c r="R366" s="225">
        <f t="shared" si="31"/>
        <v>1.4012217898832731</v>
      </c>
      <c r="S366" s="226">
        <f>'WetLitterbags placem_collection'!E147</f>
        <v>42762</v>
      </c>
      <c r="T366" s="226">
        <f>IF('WetLitterbags placem_collection'!G147="","",'WetLitterbags placem_collection'!G147)</f>
        <v>42815</v>
      </c>
      <c r="U366" s="227">
        <f t="shared" si="28"/>
        <v>53</v>
      </c>
      <c r="V366" s="225">
        <f t="shared" si="29"/>
        <v>0.27280000000000015</v>
      </c>
      <c r="W366" s="225">
        <f t="shared" si="30"/>
        <v>0.36278959846259973</v>
      </c>
      <c r="X366">
        <f>IFERROR(INDEX(Rainfall_Wet!$O$2:$O$217,MATCH(B366, Rainfall_Wet!$A$2:$A$217,0)),"")</f>
        <v>205.76139209600001</v>
      </c>
      <c r="Y366" s="231">
        <v>39.96</v>
      </c>
      <c r="Z366" s="231">
        <v>12.920000000000002</v>
      </c>
      <c r="AA366" s="231">
        <v>47.12</v>
      </c>
      <c r="AB366" s="232" t="s">
        <v>2674</v>
      </c>
      <c r="AC366" s="231">
        <v>1.6549531789058647</v>
      </c>
      <c r="AD366">
        <f>IF('WetLitterbags placem_collection'!AB147="","",'WetLitterbags placem_collection'!AB147)</f>
        <v>3.95</v>
      </c>
      <c r="AE366">
        <f>IF('WetLitterbags placem_collection'!Z147="","",'WetLitterbags placem_collection'!Z147)</f>
        <v>13</v>
      </c>
      <c r="AF366" s="246" t="str">
        <f>IF('WetLitterbags placem_collection'!AA147="","",'WetLitterbags placem_collection'!AA147)</f>
        <v>O</v>
      </c>
      <c r="AG366">
        <f>IF('WetLitterbags placem_collection'!AC147="","",'WetLitterbags placem_collection'!AC147)</f>
        <v>0</v>
      </c>
      <c r="AH366" s="24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placem_collection'!W147)),"YES","NO")</f>
        <v>NO</v>
      </c>
      <c r="AM366" t="str">
        <f>IF(ISNUMBER(SEARCH("H", 'WetLitterbags placem_collection'!W147)),"YES","NO")</f>
        <v>NO</v>
      </c>
      <c r="AN366" t="str">
        <f>IF(ISNUMBER(SEARCH("R", 'WetLitterbags placem_collection'!W147)),"YES","NO")</f>
        <v>NO</v>
      </c>
    </row>
    <row r="367" spans="1:40" ht="15" customHeight="1">
      <c r="A367" s="258" t="s">
        <v>2460</v>
      </c>
      <c r="B367" s="263">
        <f>'Dry_Litterbag Placem_Collection'!A148</f>
        <v>146</v>
      </c>
      <c r="C367" s="263" t="str">
        <f>'Dry_Litterbag Placem_Collection'!B148</f>
        <v xml:space="preserve">Mwantimba
</v>
      </c>
      <c r="D367" s="263" t="s">
        <v>2659</v>
      </c>
      <c r="E367" s="263" t="s">
        <v>20</v>
      </c>
      <c r="F367" s="263">
        <v>3</v>
      </c>
      <c r="G367" s="264" t="str">
        <f>'Dry_Litterbag Placem_Collection'!C148</f>
        <v>Wet_P3_T2</v>
      </c>
      <c r="H367" s="265" t="s">
        <v>2541</v>
      </c>
      <c r="I367" s="272" t="s">
        <v>298</v>
      </c>
      <c r="J367" s="223" t="str">
        <f>'WetLitterbags placem_collection'!M148</f>
        <v>R492</v>
      </c>
      <c r="K367" s="225">
        <f>IFERROR(INDEX('Green_rooibos initial weight'!$C$5:$C$1749,MATCH(J367, 'Green_rooibos initial weight'!$A$5:$A$1749,0)),"")</f>
        <v>2.2519999999999998</v>
      </c>
      <c r="L367" s="225">
        <f>IFERROR(K367-(TBIcalc!$H$9+TBIcalc!$H$10),"")</f>
        <v>2.0021999999999998</v>
      </c>
      <c r="M367" s="391">
        <f>AVERAGE(Ashed_controlls!$K$12:$K$14)</f>
        <v>2.2816647271287041</v>
      </c>
      <c r="N367" s="225">
        <f t="shared" si="27"/>
        <v>1.9565165088334289</v>
      </c>
      <c r="O367" s="225">
        <f>IF(IFERROR(INDEX('Both teabags AfterWet'!$C$3:$C$841,MATCH(J367,'Both teabags AfterWet'!$A$3:$A$841,0)),"")="","",(IFERROR(INDEX('Both teabags AfterWet'!$C$3:$C$841,MATCH(J367,'Both teabags AfterWet'!$A$3:$A$841,0)),"")))</f>
        <v>1.6579999999999999</v>
      </c>
      <c r="P367" s="225">
        <f>IFERROR(IF(O367&gt;0,O367-(TBIcalc!$H$9),""),"")</f>
        <v>1.5073999999999999</v>
      </c>
      <c r="Q367" s="225">
        <f>IFERROR(INDEX('Ashed teabags wet'!$K$2:$K$821,MATCH(J367,'Ashed teabags wet'!$A$2:$A$821,0)),"")</f>
        <v>4.0599323344614637</v>
      </c>
      <c r="R367" s="225">
        <f t="shared" si="31"/>
        <v>1.4462005799903277</v>
      </c>
      <c r="S367" s="226">
        <f>'WetLitterbags placem_collection'!E148</f>
        <v>42762</v>
      </c>
      <c r="T367" s="226">
        <f>IF('WetLitterbags placem_collection'!G148="","",'WetLitterbags placem_collection'!G148)</f>
        <v>42815</v>
      </c>
      <c r="U367" s="227">
        <f t="shared" si="28"/>
        <v>53</v>
      </c>
      <c r="V367" s="225">
        <f t="shared" si="29"/>
        <v>0.49479999999999991</v>
      </c>
      <c r="W367" s="225">
        <f t="shared" si="30"/>
        <v>0.51031592884310117</v>
      </c>
      <c r="X367">
        <f>IFERROR(INDEX(Rainfall_Wet!$O$2:$O$217,MATCH(B367, Rainfall_Wet!$A$2:$A$217,0)),"")</f>
        <v>205.76139209600001</v>
      </c>
      <c r="Y367" s="231">
        <v>39.96</v>
      </c>
      <c r="Z367" s="231">
        <v>12.920000000000002</v>
      </c>
      <c r="AA367" s="231">
        <v>47.12</v>
      </c>
      <c r="AB367" s="232" t="s">
        <v>2674</v>
      </c>
      <c r="AC367" s="231">
        <v>2.6549531789058598</v>
      </c>
      <c r="AD367">
        <f>IF('WetLitterbags placem_collection'!AB148="","",'WetLitterbags placem_collection'!AB148)</f>
        <v>2.75</v>
      </c>
      <c r="AE367">
        <f>IF('WetLitterbags placem_collection'!Z148="","",'WetLitterbags placem_collection'!Z148)</f>
        <v>17.7</v>
      </c>
      <c r="AF367" s="246" t="str">
        <f>IF('WetLitterbags placem_collection'!AA148="","",'WetLitterbags placem_collection'!AA148)</f>
        <v>O</v>
      </c>
      <c r="AG367">
        <f>IF('WetLitterbags placem_collection'!AC148="","",'WetLitterbags placem_collection'!AC148)</f>
        <v>1</v>
      </c>
      <c r="AH367" s="24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placem_collection'!W148)),"YES","NO")</f>
        <v>NO</v>
      </c>
      <c r="AM367" t="str">
        <f>IF(ISNUMBER(SEARCH("H", 'WetLitterbags placem_collection'!W148)),"YES","NO")</f>
        <v>NO</v>
      </c>
      <c r="AN367" t="str">
        <f>IF(ISNUMBER(SEARCH("R", 'WetLitterbags placem_collection'!W148)),"YES","NO")</f>
        <v>NO</v>
      </c>
    </row>
    <row r="368" spans="1:40" ht="15" customHeight="1">
      <c r="A368" s="258" t="s">
        <v>2460</v>
      </c>
      <c r="B368" s="263">
        <f>'Dry_Litterbag Placem_Collection'!A149</f>
        <v>147</v>
      </c>
      <c r="C368" s="263" t="str">
        <f>'Dry_Litterbag Placem_Collection'!B149</f>
        <v xml:space="preserve">Mwantimba
</v>
      </c>
      <c r="D368" s="263" t="s">
        <v>2659</v>
      </c>
      <c r="E368" s="263" t="s">
        <v>20</v>
      </c>
      <c r="F368" s="263">
        <v>3</v>
      </c>
      <c r="G368" s="264" t="str">
        <f>'Dry_Litterbag Placem_Collection'!C149</f>
        <v>Wet_P3_T3</v>
      </c>
      <c r="H368" s="265" t="s">
        <v>2541</v>
      </c>
      <c r="I368" s="272" t="s">
        <v>298</v>
      </c>
      <c r="J368" s="223" t="str">
        <f>'WetLitterbags placem_collection'!M149</f>
        <v>R573</v>
      </c>
      <c r="K368" s="225">
        <f>IFERROR(INDEX('Green_rooibos initial weight'!$C$5:$C$1749,MATCH(J368, 'Green_rooibos initial weight'!$A$5:$A$1749,0)),"")</f>
        <v>2.097</v>
      </c>
      <c r="L368" s="225">
        <f>IFERROR(K368-(TBIcalc!$H$9+TBIcalc!$H$10),"")</f>
        <v>1.8472</v>
      </c>
      <c r="M368" s="391">
        <f>AVERAGE(Ashed_controlls!$K$12:$K$14)</f>
        <v>2.2816647271287041</v>
      </c>
      <c r="N368" s="225">
        <f t="shared" si="27"/>
        <v>1.8050530891604786</v>
      </c>
      <c r="O368" s="225">
        <f>IF(IFERROR(INDEX('Both teabags AfterWet'!$C$3:$C$841,MATCH(J368,'Both teabags AfterWet'!$A$3:$A$841,0)),"")="","",(IFERROR(INDEX('Both teabags AfterWet'!$C$3:$C$841,MATCH(J368,'Both teabags AfterWet'!$A$3:$A$841,0)),"")))</f>
        <v>1.746</v>
      </c>
      <c r="P368" s="225">
        <f>IFERROR(IF(O368&gt;0,O368-(TBIcalc!$H$9),""),"")</f>
        <v>1.5953999999999999</v>
      </c>
      <c r="Q368" s="225">
        <f>IFERROR(INDEX('Ashed teabags wet'!$K$2:$K$821,MATCH(J368,'Ashed teabags wet'!$A$2:$A$821,0)),"")</f>
        <v>8.8007736943911006</v>
      </c>
      <c r="R368" s="225">
        <f t="shared" si="31"/>
        <v>1.4549924564796843</v>
      </c>
      <c r="S368" s="226">
        <f>'WetLitterbags placem_collection'!E149</f>
        <v>42762</v>
      </c>
      <c r="T368" s="226">
        <f>IF('WetLitterbags placem_collection'!G149="","",'WetLitterbags placem_collection'!G149)</f>
        <v>42816</v>
      </c>
      <c r="U368" s="227">
        <f t="shared" si="28"/>
        <v>54</v>
      </c>
      <c r="V368" s="225">
        <f t="shared" si="29"/>
        <v>0.25180000000000002</v>
      </c>
      <c r="W368" s="225">
        <f t="shared" si="30"/>
        <v>0.35006063268079424</v>
      </c>
      <c r="X368">
        <f>IFERROR(INDEX(Rainfall_Wet!$O$2:$O$217,MATCH(B368, Rainfall_Wet!$A$2:$A$217,0)),"")</f>
        <v>206.85140822299999</v>
      </c>
      <c r="Y368" s="231">
        <v>39.96</v>
      </c>
      <c r="Z368" s="231">
        <v>12.920000000000002</v>
      </c>
      <c r="AA368" s="231">
        <v>47.12</v>
      </c>
      <c r="AB368" s="232" t="s">
        <v>2674</v>
      </c>
      <c r="AC368" s="231">
        <v>3.6549531789058598</v>
      </c>
      <c r="AD368">
        <f>IF('WetLitterbags placem_collection'!AB149="","",'WetLitterbags placem_collection'!AB149)</f>
        <v>3.6</v>
      </c>
      <c r="AE368">
        <f>IF('WetLitterbags placem_collection'!Z149="","",'WetLitterbags placem_collection'!Z149)</f>
        <v>19</v>
      </c>
      <c r="AF368" s="246" t="str">
        <f>IF('WetLitterbags placem_collection'!AA149="","",'WetLitterbags placem_collection'!AA149)</f>
        <v>M</v>
      </c>
      <c r="AG368">
        <f>IF('WetLitterbags placem_collection'!AC149="","",'WetLitterbags placem_collection'!AC149)</f>
        <v>1</v>
      </c>
      <c r="AH368" s="24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placem_collection'!W149)),"YES","NO")</f>
        <v>NO</v>
      </c>
      <c r="AM368" t="str">
        <f>IF(ISNUMBER(SEARCH("H", 'WetLitterbags placem_collection'!W149)),"YES","NO")</f>
        <v>NO</v>
      </c>
      <c r="AN368" t="str">
        <f>IF(ISNUMBER(SEARCH("R", 'WetLitterbags placem_collection'!W149)),"YES","NO")</f>
        <v>NO</v>
      </c>
    </row>
    <row r="369" spans="1:40" ht="15" customHeight="1">
      <c r="A369" s="258" t="s">
        <v>2460</v>
      </c>
      <c r="B369" s="263">
        <f>'Dry_Litterbag Placem_Collection'!A150</f>
        <v>148</v>
      </c>
      <c r="C369" s="263" t="str">
        <f>'Dry_Litterbag Placem_Collection'!B150</f>
        <v xml:space="preserve">Mwantimba
</v>
      </c>
      <c r="D369" s="263" t="s">
        <v>2659</v>
      </c>
      <c r="E369" s="263" t="s">
        <v>20</v>
      </c>
      <c r="F369" s="263">
        <v>3</v>
      </c>
      <c r="G369" s="264" t="str">
        <f>'Dry_Litterbag Placem_Collection'!C150</f>
        <v>Wet_P3_T4</v>
      </c>
      <c r="H369" s="265" t="s">
        <v>2541</v>
      </c>
      <c r="I369" s="272" t="s">
        <v>298</v>
      </c>
      <c r="J369" s="223" t="str">
        <f>'WetLitterbags placem_collection'!M150</f>
        <v>R472</v>
      </c>
      <c r="K369" s="225">
        <f>IFERROR(INDEX('Green_rooibos initial weight'!$C$5:$C$1749,MATCH(J369, 'Green_rooibos initial weight'!$A$5:$A$1749,0)),"")</f>
        <v>2.2679999999999998</v>
      </c>
      <c r="L369" s="225">
        <f>IFERROR(K369-(TBIcalc!$H$9+TBIcalc!$H$10),"")</f>
        <v>2.0181999999999998</v>
      </c>
      <c r="M369" s="391">
        <f>AVERAGE(Ashed_controlls!$K$12:$K$14)</f>
        <v>2.2816647271287041</v>
      </c>
      <c r="N369" s="225">
        <f t="shared" si="27"/>
        <v>1.9721514424770883</v>
      </c>
      <c r="O369" s="225">
        <f>IF(IFERROR(INDEX('Both teabags AfterWet'!$C$3:$C$841,MATCH(J369,'Both teabags AfterWet'!$A$3:$A$841,0)),"")="","",(IFERROR(INDEX('Both teabags AfterWet'!$C$3:$C$841,MATCH(J369,'Both teabags AfterWet'!$A$3:$A$841,0)),"")))</f>
        <v>0.37559999999999999</v>
      </c>
      <c r="P369" s="225">
        <f>IFERROR(IF(O369&gt;0,O369-(TBIcalc!$H$9),""),"")</f>
        <v>0.22499999999999998</v>
      </c>
      <c r="Q369" s="225" t="str">
        <f>IFERROR(INDEX('Ashed teabags wet'!$K$2:$K$821,MATCH(J369,'Ashed teabags wet'!$A$2:$A$821,0)),"")</f>
        <v/>
      </c>
      <c r="R369" s="225" t="str">
        <f t="shared" si="31"/>
        <v/>
      </c>
      <c r="S369" s="226">
        <f>'WetLitterbags placem_collection'!E150</f>
        <v>42762</v>
      </c>
      <c r="T369" s="226">
        <f>IF('WetLitterbags placem_collection'!G150="","",'WetLitterbags placem_collection'!G150)</f>
        <v>42816</v>
      </c>
      <c r="U369" s="227">
        <f t="shared" si="28"/>
        <v>54</v>
      </c>
      <c r="V369" s="225">
        <f t="shared" si="29"/>
        <v>1.7931999999999997</v>
      </c>
      <c r="W369" s="225" t="str">
        <f t="shared" si="30"/>
        <v/>
      </c>
      <c r="X369">
        <f>IFERROR(INDEX(Rainfall_Wet!$O$2:$O$217,MATCH(B369, Rainfall_Wet!$A$2:$A$217,0)),"")</f>
        <v>206.85140822299999</v>
      </c>
      <c r="Y369" s="231">
        <v>39.96</v>
      </c>
      <c r="Z369" s="231">
        <v>12.920000000000002</v>
      </c>
      <c r="AA369" s="231">
        <v>47.12</v>
      </c>
      <c r="AB369" s="232" t="s">
        <v>2674</v>
      </c>
      <c r="AC369" s="231">
        <v>4.6549531789058696</v>
      </c>
      <c r="AD369">
        <f>IF('WetLitterbags placem_collection'!AB150="","",'WetLitterbags placem_collection'!AB150)</f>
        <v>4.9000000000000004</v>
      </c>
      <c r="AE369">
        <f>IF('WetLitterbags placem_collection'!Z150="","",'WetLitterbags placem_collection'!Z150)</f>
        <v>17.489999999999998</v>
      </c>
      <c r="AF369" s="246" t="str">
        <f>IF('WetLitterbags placem_collection'!AA150="","",'WetLitterbags placem_collection'!AA150)</f>
        <v>M</v>
      </c>
      <c r="AG369">
        <f>IF('WetLitterbags placem_collection'!AC150="","",'WetLitterbags placem_collection'!AC150)</f>
        <v>1</v>
      </c>
      <c r="AH369" s="24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placem_collection'!W150)),"YES","NO")</f>
        <v>NO</v>
      </c>
      <c r="AM369" t="str">
        <f>IF(ISNUMBER(SEARCH("H", 'WetLitterbags placem_collection'!W150)),"YES","NO")</f>
        <v>YES</v>
      </c>
      <c r="AN369" t="str">
        <f>IF(ISNUMBER(SEARCH("R", 'WetLitterbags placem_collection'!W150)),"YES","NO")</f>
        <v>NO</v>
      </c>
    </row>
    <row r="370" spans="1:40" ht="15" customHeight="1">
      <c r="A370" s="258" t="s">
        <v>2460</v>
      </c>
      <c r="B370" s="263">
        <f>'Dry_Litterbag Placem_Collection'!A151</f>
        <v>149</v>
      </c>
      <c r="C370" s="263" t="str">
        <f>'Dry_Litterbag Placem_Collection'!B151</f>
        <v xml:space="preserve">Mwantimba
</v>
      </c>
      <c r="D370" s="263" t="s">
        <v>2659</v>
      </c>
      <c r="E370" s="263" t="s">
        <v>20</v>
      </c>
      <c r="F370" s="263">
        <v>3</v>
      </c>
      <c r="G370" s="264" t="str">
        <f>'Dry_Litterbag Placem_Collection'!C151</f>
        <v>Wet_P3_T5</v>
      </c>
      <c r="H370" s="265" t="s">
        <v>2541</v>
      </c>
      <c r="I370" s="272" t="s">
        <v>298</v>
      </c>
      <c r="J370" s="223" t="str">
        <f>'WetLitterbags placem_collection'!M151</f>
        <v>R545</v>
      </c>
      <c r="K370" s="225">
        <f>IFERROR(INDEX('Green_rooibos initial weight'!$C$5:$C$1749,MATCH(J370, 'Green_rooibos initial weight'!$A$5:$A$1749,0)),"")</f>
        <v>2.2280000000000002</v>
      </c>
      <c r="L370" s="225">
        <f>IFERROR(K370-(TBIcalc!$H$9+TBIcalc!$H$10),"")</f>
        <v>1.9782000000000002</v>
      </c>
      <c r="M370" s="391">
        <f>AVERAGE(Ashed_controlls!$K$12:$K$14)</f>
        <v>2.2816647271287041</v>
      </c>
      <c r="N370" s="225">
        <f t="shared" si="27"/>
        <v>1.9330641083679401</v>
      </c>
      <c r="O370" s="225">
        <f>IF(IFERROR(INDEX('Both teabags AfterWet'!$C$3:$C$841,MATCH(J370,'Both teabags AfterWet'!$A$3:$A$841,0)),"")="","",(IFERROR(INDEX('Both teabags AfterWet'!$C$3:$C$841,MATCH(J370,'Both teabags AfterWet'!$A$3:$A$841,0)),"")))</f>
        <v>1.7096</v>
      </c>
      <c r="P370" s="225">
        <f>IFERROR(IF(O370&gt;0,O370-(TBIcalc!$H$9),""),"")</f>
        <v>1.5589999999999999</v>
      </c>
      <c r="Q370" s="225">
        <f>IFERROR(INDEX('Ashed teabags wet'!$K$2:$K$821,MATCH(J370,'Ashed teabags wet'!$A$2:$A$821,0)),"")</f>
        <v>8.8976767177461902</v>
      </c>
      <c r="R370" s="225">
        <f t="shared" si="31"/>
        <v>1.4202852199703369</v>
      </c>
      <c r="S370" s="226">
        <f>'WetLitterbags placem_collection'!E151</f>
        <v>42762</v>
      </c>
      <c r="T370" s="226">
        <f>IF('WetLitterbags placem_collection'!G151="","",'WetLitterbags placem_collection'!G151)</f>
        <v>42816</v>
      </c>
      <c r="U370" s="227">
        <f t="shared" si="28"/>
        <v>54</v>
      </c>
      <c r="V370" s="225">
        <f t="shared" si="29"/>
        <v>0.41920000000000024</v>
      </c>
      <c r="W370" s="225">
        <f t="shared" si="30"/>
        <v>0.51277888839760322</v>
      </c>
      <c r="X370">
        <f>IFERROR(INDEX(Rainfall_Wet!$O$2:$O$217,MATCH(B370, Rainfall_Wet!$A$2:$A$217,0)),"")</f>
        <v>206.85140822299999</v>
      </c>
      <c r="Y370" s="231">
        <v>39.96</v>
      </c>
      <c r="Z370" s="231">
        <v>12.920000000000002</v>
      </c>
      <c r="AA370" s="231">
        <v>47.12</v>
      </c>
      <c r="AB370" s="232" t="s">
        <v>2674</v>
      </c>
      <c r="AC370" s="231">
        <v>5.6549531789058696</v>
      </c>
      <c r="AD370">
        <f>IF('WetLitterbags placem_collection'!AB151="","",'WetLitterbags placem_collection'!AB151)</f>
        <v>2.8</v>
      </c>
      <c r="AE370">
        <f>IF('WetLitterbags placem_collection'!Z151="","",'WetLitterbags placem_collection'!Z151)</f>
        <v>13</v>
      </c>
      <c r="AF370" s="246" t="str">
        <f>IF('WetLitterbags placem_collection'!AA151="","",'WetLitterbags placem_collection'!AA151)</f>
        <v>M</v>
      </c>
      <c r="AG370">
        <f>IF('WetLitterbags placem_collection'!AC151="","",'WetLitterbags placem_collection'!AC151)</f>
        <v>1</v>
      </c>
      <c r="AH370" s="24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placem_collection'!W151)),"YES","NO")</f>
        <v>NO</v>
      </c>
      <c r="AM370" t="str">
        <f>IF(ISNUMBER(SEARCH("H", 'WetLitterbags placem_collection'!W151)),"YES","NO")</f>
        <v>NO</v>
      </c>
      <c r="AN370" t="str">
        <f>IF(ISNUMBER(SEARCH("R", 'WetLitterbags placem_collection'!W151)),"YES","NO")</f>
        <v>NO</v>
      </c>
    </row>
    <row r="371" spans="1:40" ht="15" customHeight="1">
      <c r="A371" s="258" t="s">
        <v>2460</v>
      </c>
      <c r="B371" s="263">
        <f>'Dry_Litterbag Placem_Collection'!A152</f>
        <v>150</v>
      </c>
      <c r="C371" s="263" t="str">
        <f>'Dry_Litterbag Placem_Collection'!B152</f>
        <v xml:space="preserve">Mwantimba
</v>
      </c>
      <c r="D371" s="263" t="s">
        <v>2659</v>
      </c>
      <c r="E371" s="263" t="s">
        <v>20</v>
      </c>
      <c r="F371" s="263">
        <v>3</v>
      </c>
      <c r="G371" s="264" t="str">
        <f>'Dry_Litterbag Placem_Collection'!C152</f>
        <v>Wet_P3_T6</v>
      </c>
      <c r="H371" s="265" t="s">
        <v>2541</v>
      </c>
      <c r="I371" s="272" t="s">
        <v>298</v>
      </c>
      <c r="J371" s="223" t="str">
        <f>'WetLitterbags placem_collection'!M152</f>
        <v>R7</v>
      </c>
      <c r="K371" s="225">
        <f>IFERROR(INDEX('Green_rooibos initial weight'!$C$5:$C$1749,MATCH(J371, 'Green_rooibos initial weight'!$A$5:$A$1749,0)),"")</f>
        <v>2.2090000000000001</v>
      </c>
      <c r="L371" s="225">
        <f>IFERROR(K371-(TBIcalc!$H$9+TBIcalc!$H$10),"")</f>
        <v>1.9592000000000001</v>
      </c>
      <c r="M371" s="391">
        <f>AVERAGE(Ashed_controlls!$K$12:$K$14)</f>
        <v>2.2816647271287041</v>
      </c>
      <c r="N371" s="225">
        <f t="shared" si="27"/>
        <v>1.9144976246660945</v>
      </c>
      <c r="O371" s="225">
        <f>IF(IFERROR(INDEX('Both teabags AfterWet'!$C$3:$C$841,MATCH(J371,'Both teabags AfterWet'!$A$3:$A$841,0)),"")="","",(IFERROR(INDEX('Both teabags AfterWet'!$C$3:$C$841,MATCH(J371,'Both teabags AfterWet'!$A$3:$A$841,0)),"")))</f>
        <v>1.718</v>
      </c>
      <c r="P371" s="225">
        <f>IFERROR(IF(O371&gt;0,O371-(TBIcalc!$H$9),""),"")</f>
        <v>1.5673999999999999</v>
      </c>
      <c r="Q371" s="225">
        <f>IFERROR(INDEX('Ashed teabags wet'!$K$2:$K$821,MATCH(J371,'Ashed teabags wet'!$A$2:$A$821,0)),"")</f>
        <v>10.190151145782695</v>
      </c>
      <c r="R371" s="225">
        <f t="shared" si="31"/>
        <v>1.4076795709410019</v>
      </c>
      <c r="S371" s="226">
        <f>'WetLitterbags placem_collection'!E152</f>
        <v>42762</v>
      </c>
      <c r="T371" s="226">
        <f>IF('WetLitterbags placem_collection'!G152="","",'WetLitterbags placem_collection'!G152)</f>
        <v>42816</v>
      </c>
      <c r="U371" s="227">
        <f t="shared" si="28"/>
        <v>54</v>
      </c>
      <c r="V371" s="225">
        <f t="shared" si="29"/>
        <v>0.39180000000000015</v>
      </c>
      <c r="W371" s="225">
        <f t="shared" si="30"/>
        <v>0.50681805372509259</v>
      </c>
      <c r="X371">
        <f>IFERROR(INDEX(Rainfall_Wet!$O$2:$O$217,MATCH(B371, Rainfall_Wet!$A$2:$A$217,0)),"")</f>
        <v>206.85140822299999</v>
      </c>
      <c r="Y371" s="231">
        <v>39.96</v>
      </c>
      <c r="Z371" s="231">
        <v>12.920000000000002</v>
      </c>
      <c r="AA371" s="231">
        <v>47.12</v>
      </c>
      <c r="AB371" s="232" t="s">
        <v>2674</v>
      </c>
      <c r="AC371" s="231">
        <v>6.6549531789058696</v>
      </c>
      <c r="AD371">
        <f>IF('WetLitterbags placem_collection'!AB152="","",'WetLitterbags placem_collection'!AB152)</f>
        <v>2.75</v>
      </c>
      <c r="AE371">
        <f>IF('WetLitterbags placem_collection'!Z152="","",'WetLitterbags placem_collection'!Z152)</f>
        <v>19</v>
      </c>
      <c r="AF371" s="246" t="str">
        <f>IF('WetLitterbags placem_collection'!AA152="","",'WetLitterbags placem_collection'!AA152)</f>
        <v>O</v>
      </c>
      <c r="AG371">
        <f>IF('WetLitterbags placem_collection'!AC152="","",'WetLitterbags placem_collection'!AC152)</f>
        <v>0</v>
      </c>
      <c r="AH371" s="24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placem_collection'!W152)),"YES","NO")</f>
        <v>NO</v>
      </c>
      <c r="AM371" t="str">
        <f>IF(ISNUMBER(SEARCH("H", 'WetLitterbags placem_collection'!W152)),"YES","NO")</f>
        <v>NO</v>
      </c>
      <c r="AN371" t="str">
        <f>IF(ISNUMBER(SEARCH("R", 'WetLitterbags placem_collection'!W152)),"YES","NO")</f>
        <v>NO</v>
      </c>
    </row>
    <row r="372" spans="1:40" ht="15" customHeight="1">
      <c r="A372" s="258" t="s">
        <v>2460</v>
      </c>
      <c r="B372" s="263">
        <f>'Dry_Litterbag Placem_Collection'!A153</f>
        <v>151</v>
      </c>
      <c r="C372" s="263" t="str">
        <f>'Dry_Litterbag Placem_Collection'!B153</f>
        <v xml:space="preserve">Mwantimba
</v>
      </c>
      <c r="D372" s="263" t="s">
        <v>2659</v>
      </c>
      <c r="E372" s="263" t="s">
        <v>20</v>
      </c>
      <c r="F372" s="263">
        <v>3</v>
      </c>
      <c r="G372" s="264" t="str">
        <f>'Dry_Litterbag Placem_Collection'!C153</f>
        <v>Wet_P3_T7</v>
      </c>
      <c r="H372" s="265" t="s">
        <v>2541</v>
      </c>
      <c r="I372" s="272" t="s">
        <v>298</v>
      </c>
      <c r="J372" s="223" t="str">
        <f>'WetLitterbags placem_collection'!M153</f>
        <v>R447</v>
      </c>
      <c r="K372" s="225">
        <f>IFERROR(INDEX('Green_rooibos initial weight'!$C$5:$C$1749,MATCH(J372, 'Green_rooibos initial weight'!$A$5:$A$1749,0)),"")</f>
        <v>2.206</v>
      </c>
      <c r="L372" s="225">
        <f>IFERROR(K372-(TBIcalc!$H$9+TBIcalc!$H$10),"")</f>
        <v>1.9561999999999999</v>
      </c>
      <c r="M372" s="391">
        <f>AVERAGE(Ashed_controlls!$K$12:$K$14)</f>
        <v>2.2816647271287041</v>
      </c>
      <c r="N372" s="225">
        <f t="shared" si="27"/>
        <v>1.9115660746079082</v>
      </c>
      <c r="O372" s="225">
        <f>IF(IFERROR(INDEX('Both teabags AfterWet'!$C$3:$C$841,MATCH(J372,'Both teabags AfterWet'!$A$3:$A$841,0)),"")="","",(IFERROR(INDEX('Both teabags AfterWet'!$C$3:$C$841,MATCH(J372,'Both teabags AfterWet'!$A$3:$A$841,0)),"")))</f>
        <v>1.782</v>
      </c>
      <c r="P372" s="225">
        <f>IFERROR(IF(O372&gt;0,O372-(TBIcalc!$H$9),""),"")</f>
        <v>1.6314</v>
      </c>
      <c r="Q372" s="225">
        <f>IFERROR(INDEX('Ashed teabags wet'!$K$2:$K$821,MATCH(J372,'Ashed teabags wet'!$A$2:$A$821,0)),"")</f>
        <v>6.4642507345735885</v>
      </c>
      <c r="R372" s="225">
        <f t="shared" si="31"/>
        <v>1.5259422135161664</v>
      </c>
      <c r="S372" s="226">
        <f>'WetLitterbags placem_collection'!E153</f>
        <v>42762</v>
      </c>
      <c r="T372" s="226">
        <f>IF('WetLitterbags placem_collection'!G153="","",'WetLitterbags placem_collection'!G153)</f>
        <v>42816</v>
      </c>
      <c r="U372" s="227">
        <f t="shared" si="28"/>
        <v>54</v>
      </c>
      <c r="V372" s="225">
        <f t="shared" si="29"/>
        <v>0.32479999999999998</v>
      </c>
      <c r="W372" s="225">
        <f t="shared" si="30"/>
        <v>0.38562386109174174</v>
      </c>
      <c r="X372">
        <f>IFERROR(INDEX(Rainfall_Wet!$O$2:$O$217,MATCH(B372, Rainfall_Wet!$A$2:$A$217,0)),"")</f>
        <v>206.85140822299999</v>
      </c>
      <c r="Y372" s="231">
        <v>39.96</v>
      </c>
      <c r="Z372" s="231">
        <v>12.920000000000002</v>
      </c>
      <c r="AA372" s="231">
        <v>47.12</v>
      </c>
      <c r="AB372" s="232" t="s">
        <v>2674</v>
      </c>
      <c r="AC372" s="231">
        <v>7.6549531789058696</v>
      </c>
      <c r="AD372">
        <f>IF('WetLitterbags placem_collection'!AB153="","",'WetLitterbags placem_collection'!AB153)</f>
        <v>1.4</v>
      </c>
      <c r="AE372">
        <f>IF('WetLitterbags placem_collection'!Z153="","",'WetLitterbags placem_collection'!Z153)</f>
        <v>7.9</v>
      </c>
      <c r="AF372" s="246" t="str">
        <f>IF('WetLitterbags placem_collection'!AA153="","",'WetLitterbags placem_collection'!AA153)</f>
        <v>O</v>
      </c>
      <c r="AG372">
        <f>IF('WetLitterbags placem_collection'!AC153="","",'WetLitterbags placem_collection'!AC153)</f>
        <v>1</v>
      </c>
      <c r="AH372" s="24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placem_collection'!W153)),"YES","NO")</f>
        <v>NO</v>
      </c>
      <c r="AM372" t="str">
        <f>IF(ISNUMBER(SEARCH("H", 'WetLitterbags placem_collection'!W153)),"YES","NO")</f>
        <v>NO</v>
      </c>
      <c r="AN372" t="str">
        <f>IF(ISNUMBER(SEARCH("R", 'WetLitterbags placem_collection'!W153)),"YES","NO")</f>
        <v>NO</v>
      </c>
    </row>
    <row r="373" spans="1:40" ht="15" customHeight="1">
      <c r="A373" s="258" t="s">
        <v>2460</v>
      </c>
      <c r="B373" s="263">
        <f>'Dry_Litterbag Placem_Collection'!A154</f>
        <v>152</v>
      </c>
      <c r="C373" s="263" t="str">
        <f>'Dry_Litterbag Placem_Collection'!B154</f>
        <v xml:space="preserve">Mwantimba
</v>
      </c>
      <c r="D373" s="263" t="s">
        <v>2659</v>
      </c>
      <c r="E373" s="263" t="s">
        <v>20</v>
      </c>
      <c r="F373" s="263">
        <v>3</v>
      </c>
      <c r="G373" s="264" t="str">
        <f>'Dry_Litterbag Placem_Collection'!C154</f>
        <v>Wet_P3_T8</v>
      </c>
      <c r="H373" s="265" t="s">
        <v>2541</v>
      </c>
      <c r="I373" s="272" t="s">
        <v>298</v>
      </c>
      <c r="J373" s="223" t="str">
        <f>'WetLitterbags placem_collection'!M154</f>
        <v>R591</v>
      </c>
      <c r="K373" s="225">
        <f>IFERROR(INDEX('Green_rooibos initial weight'!$C$5:$C$1749,MATCH(J373, 'Green_rooibos initial weight'!$A$5:$A$1749,0)),"")</f>
        <v>2.2599999999999998</v>
      </c>
      <c r="L373" s="225">
        <f>IFERROR(K373-(TBIcalc!$H$9+TBIcalc!$H$10),"")</f>
        <v>2.0101999999999998</v>
      </c>
      <c r="M373" s="391">
        <f>AVERAGE(Ashed_controlls!$K$12:$K$14)</f>
        <v>2.2816647271287041</v>
      </c>
      <c r="N373" s="225">
        <f t="shared" si="27"/>
        <v>1.9643339756552585</v>
      </c>
      <c r="O373" s="225">
        <f>IF(IFERROR(INDEX('Both teabags AfterWet'!$C$3:$C$841,MATCH(J373,'Both teabags AfterWet'!$A$3:$A$841,0)),"")="","",(IFERROR(INDEX('Both teabags AfterWet'!$C$3:$C$841,MATCH(J373,'Both teabags AfterWet'!$A$3:$A$841,0)),"")))</f>
        <v>1.6958</v>
      </c>
      <c r="P373" s="225">
        <f>IFERROR(IF(O373&gt;0,O373-(TBIcalc!$H$9),""),"")</f>
        <v>1.5451999999999999</v>
      </c>
      <c r="Q373" s="225">
        <f>IFERROR(INDEX('Ashed teabags wet'!$K$2:$K$821,MATCH(J373,'Ashed teabags wet'!$A$2:$A$821,0)),"")</f>
        <v>6.0969755160831145</v>
      </c>
      <c r="R373" s="225">
        <f t="shared" si="31"/>
        <v>1.4509895343254837</v>
      </c>
      <c r="S373" s="226">
        <f>'WetLitterbags placem_collection'!E154</f>
        <v>42762</v>
      </c>
      <c r="T373" s="226">
        <f>IF('WetLitterbags placem_collection'!G154="","",'WetLitterbags placem_collection'!G154)</f>
        <v>42816</v>
      </c>
      <c r="U373" s="227">
        <f t="shared" si="28"/>
        <v>54</v>
      </c>
      <c r="V373" s="225">
        <f t="shared" si="29"/>
        <v>0.46499999999999986</v>
      </c>
      <c r="W373" s="225">
        <f t="shared" si="30"/>
        <v>0.51334444132977475</v>
      </c>
      <c r="X373">
        <f>IFERROR(INDEX(Rainfall_Wet!$O$2:$O$217,MATCH(B373, Rainfall_Wet!$A$2:$A$217,0)),"")</f>
        <v>206.85140822299999</v>
      </c>
      <c r="Y373" s="231">
        <v>39.96</v>
      </c>
      <c r="Z373" s="231">
        <v>12.920000000000002</v>
      </c>
      <c r="AA373" s="231">
        <v>47.12</v>
      </c>
      <c r="AB373" s="232" t="s">
        <v>2674</v>
      </c>
      <c r="AC373" s="231">
        <v>8.6549531789058705</v>
      </c>
      <c r="AD373">
        <f>IF('WetLitterbags placem_collection'!AB154="","",'WetLitterbags placem_collection'!AB154)</f>
        <v>2.2000000000000002</v>
      </c>
      <c r="AE373">
        <f>IF('WetLitterbags placem_collection'!Z154="","",'WetLitterbags placem_collection'!Z154)</f>
        <v>15</v>
      </c>
      <c r="AF373" s="246" t="str">
        <f>IF('WetLitterbags placem_collection'!AA154="","",'WetLitterbags placem_collection'!AA154)</f>
        <v>M</v>
      </c>
      <c r="AG373">
        <f>IF('WetLitterbags placem_collection'!AC154="","",'WetLitterbags placem_collection'!AC154)</f>
        <v>0</v>
      </c>
      <c r="AH373" s="24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placem_collection'!W154)),"YES","NO")</f>
        <v>NO</v>
      </c>
      <c r="AM373" t="str">
        <f>IF(ISNUMBER(SEARCH("H", 'WetLitterbags placem_collection'!W154)),"YES","NO")</f>
        <v>NO</v>
      </c>
      <c r="AN373" t="str">
        <f>IF(ISNUMBER(SEARCH("R", 'WetLitterbags placem_collection'!W154)),"YES","NO")</f>
        <v>YES</v>
      </c>
    </row>
    <row r="374" spans="1:40" ht="15" customHeight="1">
      <c r="A374" s="258" t="s">
        <v>2460</v>
      </c>
      <c r="B374" s="263">
        <f>'Dry_Litterbag Placem_Collection'!A155</f>
        <v>153</v>
      </c>
      <c r="C374" s="263" t="str">
        <f>'Dry_Litterbag Placem_Collection'!B155</f>
        <v xml:space="preserve">Mwantimba
</v>
      </c>
      <c r="D374" s="263" t="s">
        <v>2659</v>
      </c>
      <c r="E374" s="263" t="s">
        <v>20</v>
      </c>
      <c r="F374" s="263">
        <v>4</v>
      </c>
      <c r="G374" s="264" t="str">
        <f>'Dry_Litterbag Placem_Collection'!C155</f>
        <v>Wet_P4_T1</v>
      </c>
      <c r="H374" s="265" t="s">
        <v>2541</v>
      </c>
      <c r="I374" s="272" t="s">
        <v>298</v>
      </c>
      <c r="J374" s="223" t="str">
        <f>'WetLitterbags placem_collection'!M155</f>
        <v>R479</v>
      </c>
      <c r="K374" s="225">
        <f>IFERROR(INDEX('Green_rooibos initial weight'!$C$5:$C$1749,MATCH(J374, 'Green_rooibos initial weight'!$A$5:$A$1749,0)),"")</f>
        <v>2.2749999999999999</v>
      </c>
      <c r="L374" s="225">
        <f>IFERROR(K374-(TBIcalc!$H$9+TBIcalc!$H$10),"")</f>
        <v>2.0251999999999999</v>
      </c>
      <c r="M374" s="391">
        <f>AVERAGE(Ashed_controlls!$K$12:$K$14)</f>
        <v>2.2816647271287041</v>
      </c>
      <c r="N374" s="225">
        <f t="shared" si="27"/>
        <v>1.9789917259461893</v>
      </c>
      <c r="O374" s="225">
        <f>IF(IFERROR(INDEX('Both teabags AfterWet'!$C$3:$C$841,MATCH(J374,'Both teabags AfterWet'!$A$3:$A$841,0)),"")="","",(IFERROR(INDEX('Both teabags AfterWet'!$C$3:$C$841,MATCH(J374,'Both teabags AfterWet'!$A$3:$A$841,0)),"")))</f>
        <v>1.2541</v>
      </c>
      <c r="P374" s="225">
        <f>IFERROR(IF(O374&gt;0,O374-(TBIcalc!$H$9),""),"")</f>
        <v>1.1034999999999999</v>
      </c>
      <c r="Q374" s="225">
        <f>IFERROR(INDEX('Ashed teabags wet'!$K$2:$K$821,MATCH(J374,'Ashed teabags wet'!$A$2:$A$821,0)),"")</f>
        <v>77.007481296757646</v>
      </c>
      <c r="R374" s="225">
        <f t="shared" si="31"/>
        <v>0.25372244389027931</v>
      </c>
      <c r="S374" s="226">
        <f>'WetLitterbags placem_collection'!E155</f>
        <v>42762</v>
      </c>
      <c r="T374" s="226">
        <f>IF('WetLitterbags placem_collection'!G155="","",'WetLitterbags placem_collection'!G155)</f>
        <v>42816</v>
      </c>
      <c r="U374" s="227">
        <f t="shared" si="28"/>
        <v>54</v>
      </c>
      <c r="V374" s="225">
        <f t="shared" si="29"/>
        <v>0.92169999999999996</v>
      </c>
      <c r="W374" s="225">
        <f t="shared" si="30"/>
        <v>1.7252692820559101</v>
      </c>
      <c r="X374">
        <f>IFERROR(INDEX(Rainfall_Wet!$O$2:$O$217,MATCH(B374, Rainfall_Wet!$A$2:$A$217,0)),"")</f>
        <v>206.85140822299999</v>
      </c>
      <c r="Y374" s="231">
        <v>27.96</v>
      </c>
      <c r="Z374" s="231">
        <v>4.9200000000000017</v>
      </c>
      <c r="AA374" s="231">
        <v>67.12</v>
      </c>
      <c r="AB374" s="232" t="s">
        <v>2670</v>
      </c>
      <c r="AC374" s="231">
        <v>1.0437161163134547</v>
      </c>
      <c r="AD374">
        <f>IF('WetLitterbags placem_collection'!AB155="","",'WetLitterbags placem_collection'!AB155)</f>
        <v>2.1</v>
      </c>
      <c r="AE374">
        <f>IF('WetLitterbags placem_collection'!Z155="","",'WetLitterbags placem_collection'!Z155)</f>
        <v>16.399999999999999</v>
      </c>
      <c r="AF374" s="246" t="str">
        <f>IF('WetLitterbags placem_collection'!AA155="","",'WetLitterbags placem_collection'!AA155)</f>
        <v>G</v>
      </c>
      <c r="AG374">
        <f>IF('WetLitterbags placem_collection'!AC155="","",'WetLitterbags placem_collection'!AC155)</f>
        <v>0</v>
      </c>
      <c r="AH374" s="24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placem_collection'!W155)),"YES","NO")</f>
        <v>NO</v>
      </c>
      <c r="AM374" t="str">
        <f>IF(ISNUMBER(SEARCH("H", 'WetLitterbags placem_collection'!W155)),"YES","NO")</f>
        <v>YES</v>
      </c>
      <c r="AN374" t="str">
        <f>IF(ISNUMBER(SEARCH("R", 'WetLitterbags placem_collection'!W155)),"YES","NO")</f>
        <v>YES</v>
      </c>
    </row>
    <row r="375" spans="1:40" ht="15" customHeight="1">
      <c r="A375" s="258" t="s">
        <v>2460</v>
      </c>
      <c r="B375" s="263">
        <f>'Dry_Litterbag Placem_Collection'!A156</f>
        <v>154</v>
      </c>
      <c r="C375" s="263" t="str">
        <f>'Dry_Litterbag Placem_Collection'!B156</f>
        <v xml:space="preserve">Mwantimba
</v>
      </c>
      <c r="D375" s="263" t="s">
        <v>2659</v>
      </c>
      <c r="E375" s="263" t="s">
        <v>20</v>
      </c>
      <c r="F375" s="263">
        <v>4</v>
      </c>
      <c r="G375" s="264" t="str">
        <f>'Dry_Litterbag Placem_Collection'!C156</f>
        <v>Wet_P4_T2</v>
      </c>
      <c r="H375" s="265" t="s">
        <v>2541</v>
      </c>
      <c r="I375" s="272" t="s">
        <v>298</v>
      </c>
      <c r="J375" s="223" t="str">
        <f>'WetLitterbags placem_collection'!M156</f>
        <v>R493</v>
      </c>
      <c r="K375" s="225">
        <f>IFERROR(INDEX('Green_rooibos initial weight'!$C$5:$C$1749,MATCH(J375, 'Green_rooibos initial weight'!$A$5:$A$1749,0)),"")</f>
        <v>2.2410000000000001</v>
      </c>
      <c r="L375" s="225">
        <f>IFERROR(K375-(TBIcalc!$H$9+TBIcalc!$H$10),"")</f>
        <v>1.9912000000000001</v>
      </c>
      <c r="M375" s="391">
        <f>AVERAGE(Ashed_controlls!$K$12:$K$14)</f>
        <v>2.2816647271287041</v>
      </c>
      <c r="N375" s="225">
        <f t="shared" si="27"/>
        <v>1.9457674919534134</v>
      </c>
      <c r="O375" s="225">
        <f>IF(IFERROR(INDEX('Both teabags AfterWet'!$C$3:$C$841,MATCH(J375,'Both teabags AfterWet'!$A$3:$A$841,0)),"")="","",(IFERROR(INDEX('Both teabags AfterWet'!$C$3:$C$841,MATCH(J375,'Both teabags AfterWet'!$A$3:$A$841,0)),"")))</f>
        <v>0.69099999999999995</v>
      </c>
      <c r="P375" s="225">
        <f>IFERROR(IF(O375&gt;0,O375-(TBIcalc!$H$9),""),"")</f>
        <v>0.54039999999999999</v>
      </c>
      <c r="Q375" s="225" t="str">
        <f>IFERROR(INDEX('Ashed teabags wet'!$K$2:$K$821,MATCH(J375,'Ashed teabags wet'!$A$2:$A$821,0)),"")</f>
        <v/>
      </c>
      <c r="R375" s="225" t="str">
        <f t="shared" si="31"/>
        <v/>
      </c>
      <c r="S375" s="226">
        <f>'WetLitterbags placem_collection'!E156</f>
        <v>42762</v>
      </c>
      <c r="T375" s="226">
        <f>IF('WetLitterbags placem_collection'!G156="","",'WetLitterbags placem_collection'!G156)</f>
        <v>42816</v>
      </c>
      <c r="U375" s="227">
        <f t="shared" si="28"/>
        <v>54</v>
      </c>
      <c r="V375" s="225">
        <f t="shared" si="29"/>
        <v>1.4508000000000001</v>
      </c>
      <c r="W375" s="225" t="str">
        <f t="shared" si="30"/>
        <v/>
      </c>
      <c r="X375">
        <f>IFERROR(INDEX(Rainfall_Wet!$O$2:$O$217,MATCH(B375, Rainfall_Wet!$A$2:$A$217,0)),"")</f>
        <v>206.85140822299999</v>
      </c>
      <c r="Y375" s="231">
        <v>27.96</v>
      </c>
      <c r="Z375" s="231">
        <v>4.9200000000000017</v>
      </c>
      <c r="AA375" s="231">
        <v>67.12</v>
      </c>
      <c r="AB375" s="232" t="s">
        <v>2670</v>
      </c>
      <c r="AC375" s="231">
        <v>2.0437161163134498</v>
      </c>
      <c r="AD375">
        <f>IF('WetLitterbags placem_collection'!AB156="","",'WetLitterbags placem_collection'!AB156)</f>
        <v>2.15</v>
      </c>
      <c r="AE375">
        <f>IF('WetLitterbags placem_collection'!Z156="","",'WetLitterbags placem_collection'!Z156)</f>
        <v>9</v>
      </c>
      <c r="AF375" s="246" t="str">
        <f>IF('WetLitterbags placem_collection'!AA156="","",'WetLitterbags placem_collection'!AA156)</f>
        <v>G</v>
      </c>
      <c r="AG375">
        <f>IF('WetLitterbags placem_collection'!AC156="","",'WetLitterbags placem_collection'!AC156)</f>
        <v>0</v>
      </c>
      <c r="AH375" s="24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placem_collection'!W156)),"YES","NO")</f>
        <v>YES</v>
      </c>
      <c r="AM375" t="str">
        <f>IF(ISNUMBER(SEARCH("H", 'WetLitterbags placem_collection'!W156)),"YES","NO")</f>
        <v>YES</v>
      </c>
      <c r="AN375" t="str">
        <f>IF(ISNUMBER(SEARCH("R", 'WetLitterbags placem_collection'!W156)),"YES","NO")</f>
        <v>NO</v>
      </c>
    </row>
    <row r="376" spans="1:40" ht="15" customHeight="1">
      <c r="A376" s="258" t="s">
        <v>2460</v>
      </c>
      <c r="B376" s="263">
        <f>'Dry_Litterbag Placem_Collection'!A157</f>
        <v>155</v>
      </c>
      <c r="C376" s="263" t="str">
        <f>'Dry_Litterbag Placem_Collection'!B157</f>
        <v xml:space="preserve">Mwantimba
</v>
      </c>
      <c r="D376" s="263" t="s">
        <v>2659</v>
      </c>
      <c r="E376" s="263" t="s">
        <v>20</v>
      </c>
      <c r="F376" s="263">
        <v>4</v>
      </c>
      <c r="G376" s="264" t="str">
        <f>'Dry_Litterbag Placem_Collection'!C157</f>
        <v>Wet_P4_T3</v>
      </c>
      <c r="H376" s="265" t="s">
        <v>2541</v>
      </c>
      <c r="I376" s="272" t="s">
        <v>298</v>
      </c>
      <c r="J376" s="223" t="str">
        <f>'WetLitterbags placem_collection'!M157</f>
        <v>R484</v>
      </c>
      <c r="K376" s="225">
        <f>IFERROR(INDEX('Green_rooibos initial weight'!$C$5:$C$1749,MATCH(J376, 'Green_rooibos initial weight'!$A$5:$A$1749,0)),"")</f>
        <v>2.1850000000000001</v>
      </c>
      <c r="L376" s="225">
        <f>IFERROR(K376-(TBIcalc!$H$9+TBIcalc!$H$10),"")</f>
        <v>1.9352</v>
      </c>
      <c r="M376" s="391">
        <f>AVERAGE(Ashed_controlls!$K$12:$K$14)</f>
        <v>2.2816647271287041</v>
      </c>
      <c r="N376" s="225">
        <f t="shared" si="27"/>
        <v>1.8910452242006053</v>
      </c>
      <c r="O376" s="225">
        <f>IF(IFERROR(INDEX('Both teabags AfterWet'!$C$3:$C$841,MATCH(J376,'Both teabags AfterWet'!$A$3:$A$841,0)),"")="","",(IFERROR(INDEX('Both teabags AfterWet'!$C$3:$C$841,MATCH(J376,'Both teabags AfterWet'!$A$3:$A$841,0)),"")))</f>
        <v>1.7509999999999999</v>
      </c>
      <c r="P376" s="225">
        <f>IFERROR(IF(O376&gt;0,O376-(TBIcalc!$H$9),""),"")</f>
        <v>1.6003999999999998</v>
      </c>
      <c r="Q376" s="225">
        <f>IFERROR(INDEX('Ashed teabags wet'!$K$2:$K$821,MATCH(J376,'Ashed teabags wet'!$A$2:$A$821,0)),"")</f>
        <v>9.822309970384735</v>
      </c>
      <c r="R376" s="225">
        <f t="shared" si="31"/>
        <v>1.4432037512339626</v>
      </c>
      <c r="S376" s="226">
        <f>'WetLitterbags placem_collection'!E157</f>
        <v>42762</v>
      </c>
      <c r="T376" s="226">
        <f>IF('WetLitterbags placem_collection'!G157="","",'WetLitterbags placem_collection'!G157)</f>
        <v>42816</v>
      </c>
      <c r="U376" s="227">
        <f t="shared" si="28"/>
        <v>54</v>
      </c>
      <c r="V376" s="225">
        <f t="shared" si="29"/>
        <v>0.33480000000000021</v>
      </c>
      <c r="W376" s="225">
        <f t="shared" si="30"/>
        <v>0.44784147296664267</v>
      </c>
      <c r="X376">
        <f>IFERROR(INDEX(Rainfall_Wet!$O$2:$O$217,MATCH(B376, Rainfall_Wet!$A$2:$A$217,0)),"")</f>
        <v>206.85140822299999</v>
      </c>
      <c r="Y376" s="231">
        <v>27.96</v>
      </c>
      <c r="Z376" s="231">
        <v>4.9200000000000017</v>
      </c>
      <c r="AA376" s="231">
        <v>67.12</v>
      </c>
      <c r="AB376" s="232" t="s">
        <v>2670</v>
      </c>
      <c r="AC376" s="231">
        <v>3.0437161163134498</v>
      </c>
      <c r="AD376">
        <f>IF('WetLitterbags placem_collection'!AB157="","",'WetLitterbags placem_collection'!AB157)</f>
        <v>1.2</v>
      </c>
      <c r="AE376">
        <f>IF('WetLitterbags placem_collection'!Z157="","",'WetLitterbags placem_collection'!Z157)</f>
        <v>11</v>
      </c>
      <c r="AF376" s="246" t="str">
        <f>IF('WetLitterbags placem_collection'!AA157="","",'WetLitterbags placem_collection'!AA157)</f>
        <v>G</v>
      </c>
      <c r="AG376">
        <f>IF('WetLitterbags placem_collection'!AC157="","",'WetLitterbags placem_collection'!AC157)</f>
        <v>0</v>
      </c>
      <c r="AH376" s="24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placem_collection'!W157)),"YES","NO")</f>
        <v>NO</v>
      </c>
      <c r="AM376" t="str">
        <f>IF(ISNUMBER(SEARCH("H", 'WetLitterbags placem_collection'!W157)),"YES","NO")</f>
        <v>NO</v>
      </c>
      <c r="AN376" t="str">
        <f>IF(ISNUMBER(SEARCH("R", 'WetLitterbags placem_collection'!W157)),"YES","NO")</f>
        <v>YES</v>
      </c>
    </row>
    <row r="377" spans="1:40" ht="15" customHeight="1">
      <c r="A377" s="258" t="s">
        <v>2460</v>
      </c>
      <c r="B377" s="263">
        <f>'Dry_Litterbag Placem_Collection'!A158</f>
        <v>156</v>
      </c>
      <c r="C377" s="263" t="str">
        <f>'Dry_Litterbag Placem_Collection'!B158</f>
        <v xml:space="preserve">Mwantimba
</v>
      </c>
      <c r="D377" s="263" t="s">
        <v>2659</v>
      </c>
      <c r="E377" s="263" t="s">
        <v>20</v>
      </c>
      <c r="F377" s="263">
        <v>4</v>
      </c>
      <c r="G377" s="264" t="str">
        <f>'Dry_Litterbag Placem_Collection'!C158</f>
        <v>Wet_P4_T4</v>
      </c>
      <c r="H377" s="265" t="s">
        <v>2541</v>
      </c>
      <c r="I377" s="272" t="s">
        <v>298</v>
      </c>
      <c r="J377" s="223" t="str">
        <f>'WetLitterbags placem_collection'!M158</f>
        <v>R598</v>
      </c>
      <c r="K377" s="225">
        <f>IFERROR(INDEX('Green_rooibos initial weight'!$C$5:$C$1749,MATCH(J377, 'Green_rooibos initial weight'!$A$5:$A$1749,0)),"")</f>
        <v>2.206</v>
      </c>
      <c r="L377" s="225">
        <f>IFERROR(K377-(TBIcalc!$H$9+TBIcalc!$H$10),"")</f>
        <v>1.9561999999999999</v>
      </c>
      <c r="M377" s="391">
        <f>AVERAGE(Ashed_controlls!$K$12:$K$14)</f>
        <v>2.2816647271287041</v>
      </c>
      <c r="N377" s="225">
        <f t="shared" si="27"/>
        <v>1.9115660746079082</v>
      </c>
      <c r="O377" s="225">
        <f>IF(IFERROR(INDEX('Both teabags AfterWet'!$C$3:$C$841,MATCH(J377,'Both teabags AfterWet'!$A$3:$A$841,0)),"")="","",(IFERROR(INDEX('Both teabags AfterWet'!$C$3:$C$841,MATCH(J377,'Both teabags AfterWet'!$A$3:$A$841,0)),"")))</f>
        <v>1.8080000000000001</v>
      </c>
      <c r="P377" s="225">
        <f>IFERROR(IF(O377&gt;0,O377-(TBIcalc!$H$9),""),"")</f>
        <v>1.6574</v>
      </c>
      <c r="Q377" s="225">
        <f>IFERROR(INDEX('Ashed teabags wet'!$K$2:$K$821,MATCH(J377,'Ashed teabags wet'!$A$2:$A$821,0)),"")</f>
        <v>7.6581027667986037</v>
      </c>
      <c r="R377" s="225">
        <f t="shared" si="31"/>
        <v>1.5304746047430799</v>
      </c>
      <c r="S377" s="226">
        <f>'WetLitterbags placem_collection'!E158</f>
        <v>42762</v>
      </c>
      <c r="T377" s="226">
        <f>IF('WetLitterbags placem_collection'!G158="","",'WetLitterbags placem_collection'!G158)</f>
        <v>42816</v>
      </c>
      <c r="U377" s="227">
        <f t="shared" si="28"/>
        <v>54</v>
      </c>
      <c r="V377" s="225">
        <f t="shared" si="29"/>
        <v>0.29879999999999995</v>
      </c>
      <c r="W377" s="225">
        <f t="shared" si="30"/>
        <v>0.38109146986482823</v>
      </c>
      <c r="X377">
        <f>IFERROR(INDEX(Rainfall_Wet!$O$2:$O$217,MATCH(B377, Rainfall_Wet!$A$2:$A$217,0)),"")</f>
        <v>206.85140822299999</v>
      </c>
      <c r="Y377" s="231">
        <v>27.96</v>
      </c>
      <c r="Z377" s="231">
        <v>4.9200000000000017</v>
      </c>
      <c r="AA377" s="231">
        <v>67.12</v>
      </c>
      <c r="AB377" s="232" t="s">
        <v>2670</v>
      </c>
      <c r="AC377" s="231">
        <v>4.0437161163134503</v>
      </c>
      <c r="AD377">
        <f>IF('WetLitterbags placem_collection'!AB158="","",'WetLitterbags placem_collection'!AB158)</f>
        <v>1.55</v>
      </c>
      <c r="AE377">
        <f>IF('WetLitterbags placem_collection'!Z158="","",'WetLitterbags placem_collection'!Z158)</f>
        <v>9.1</v>
      </c>
      <c r="AF377" s="246" t="str">
        <f>IF('WetLitterbags placem_collection'!AA158="","",'WetLitterbags placem_collection'!AA158)</f>
        <v>O</v>
      </c>
      <c r="AG377">
        <f>IF('WetLitterbags placem_collection'!AC158="","",'WetLitterbags placem_collection'!AC158)</f>
        <v>0</v>
      </c>
      <c r="AH377" s="24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placem_collection'!W158)),"YES","NO")</f>
        <v>NO</v>
      </c>
      <c r="AM377" t="str">
        <f>IF(ISNUMBER(SEARCH("H", 'WetLitterbags placem_collection'!W158)),"YES","NO")</f>
        <v>NO</v>
      </c>
      <c r="AN377" t="str">
        <f>IF(ISNUMBER(SEARCH("R", 'WetLitterbags placem_collection'!W158)),"YES","NO")</f>
        <v>YES</v>
      </c>
    </row>
    <row r="378" spans="1:40" ht="15" customHeight="1">
      <c r="A378" s="258" t="s">
        <v>2460</v>
      </c>
      <c r="B378" s="263">
        <f>'Dry_Litterbag Placem_Collection'!A159</f>
        <v>157</v>
      </c>
      <c r="C378" s="263" t="str">
        <f>'Dry_Litterbag Placem_Collection'!B159</f>
        <v xml:space="preserve">Mwantimba
</v>
      </c>
      <c r="D378" s="263" t="s">
        <v>2659</v>
      </c>
      <c r="E378" s="263" t="s">
        <v>20</v>
      </c>
      <c r="F378" s="263">
        <v>4</v>
      </c>
      <c r="G378" s="264" t="str">
        <f>'Dry_Litterbag Placem_Collection'!C159</f>
        <v>Wet_P4_T5</v>
      </c>
      <c r="H378" s="265" t="s">
        <v>2541</v>
      </c>
      <c r="I378" s="272" t="s">
        <v>298</v>
      </c>
      <c r="J378" s="223" t="str">
        <f>'WetLitterbags placem_collection'!M159</f>
        <v>R30</v>
      </c>
      <c r="K378" s="225">
        <f>IFERROR(INDEX('Green_rooibos initial weight'!$C$5:$C$1749,MATCH(J378, 'Green_rooibos initial weight'!$A$5:$A$1749,0)),"")</f>
        <v>2.177</v>
      </c>
      <c r="L378" s="225">
        <f>IFERROR(K378-(TBIcalc!$H$9+TBIcalc!$H$10),"")</f>
        <v>1.9272</v>
      </c>
      <c r="M378" s="391">
        <f>AVERAGE(Ashed_controlls!$K$12:$K$14)</f>
        <v>2.2816647271287041</v>
      </c>
      <c r="N378" s="225">
        <f t="shared" si="27"/>
        <v>1.8832277573787757</v>
      </c>
      <c r="O378" s="225">
        <f>IF(IFERROR(INDEX('Both teabags AfterWet'!$C$3:$C$841,MATCH(J378,'Both teabags AfterWet'!$A$3:$A$841,0)),"")="","",(IFERROR(INDEX('Both teabags AfterWet'!$C$3:$C$841,MATCH(J378,'Both teabags AfterWet'!$A$3:$A$841,0)),"")))</f>
        <v>1.825</v>
      </c>
      <c r="P378" s="225">
        <f>IFERROR(IF(O378&gt;0,O378-(TBIcalc!$H$9),""),"")</f>
        <v>1.6743999999999999</v>
      </c>
      <c r="Q378" s="225">
        <f>IFERROR(INDEX('Ashed teabags wet'!$K$2:$K$821,MATCH(J378,'Ashed teabags wet'!$A$2:$A$821,0)),"")</f>
        <v>8.6618004866182261</v>
      </c>
      <c r="R378" s="225">
        <f t="shared" si="31"/>
        <v>1.5293668126520643</v>
      </c>
      <c r="S378" s="226">
        <f>'WetLitterbags placem_collection'!E159</f>
        <v>42762</v>
      </c>
      <c r="T378" s="226">
        <f>IF('WetLitterbags placem_collection'!G159="","",'WetLitterbags placem_collection'!G159)</f>
        <v>42816</v>
      </c>
      <c r="U378" s="227">
        <f t="shared" si="28"/>
        <v>54</v>
      </c>
      <c r="V378" s="225">
        <f t="shared" si="29"/>
        <v>0.25280000000000014</v>
      </c>
      <c r="W378" s="225">
        <f t="shared" si="30"/>
        <v>0.35386094472671137</v>
      </c>
      <c r="X378">
        <f>IFERROR(INDEX(Rainfall_Wet!$O$2:$O$217,MATCH(B378, Rainfall_Wet!$A$2:$A$217,0)),"")</f>
        <v>206.85140822299999</v>
      </c>
      <c r="Y378" s="231">
        <v>27.96</v>
      </c>
      <c r="Z378" s="231">
        <v>4.9200000000000017</v>
      </c>
      <c r="AA378" s="231">
        <v>67.12</v>
      </c>
      <c r="AB378" s="232" t="s">
        <v>2670</v>
      </c>
      <c r="AC378" s="231">
        <v>5.0437161163134503</v>
      </c>
      <c r="AD378">
        <f>IF('WetLitterbags placem_collection'!AB159="","",'WetLitterbags placem_collection'!AB159)</f>
        <v>2.2999999999999998</v>
      </c>
      <c r="AE378">
        <f>IF('WetLitterbags placem_collection'!Z159="","",'WetLitterbags placem_collection'!Z159)</f>
        <v>7.7</v>
      </c>
      <c r="AF378" s="246" t="str">
        <f>IF('WetLitterbags placem_collection'!AA159="","",'WetLitterbags placem_collection'!AA159)</f>
        <v>O</v>
      </c>
      <c r="AG378">
        <f>IF('WetLitterbags placem_collection'!AC159="","",'WetLitterbags placem_collection'!AC159)</f>
        <v>0</v>
      </c>
      <c r="AH378" s="24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placem_collection'!W159)),"YES","NO")</f>
        <v>YES</v>
      </c>
      <c r="AM378" t="str">
        <f>IF(ISNUMBER(SEARCH("H", 'WetLitterbags placem_collection'!W159)),"YES","NO")</f>
        <v>NO</v>
      </c>
      <c r="AN378" t="str">
        <f>IF(ISNUMBER(SEARCH("R", 'WetLitterbags placem_collection'!W159)),"YES","NO")</f>
        <v>YES</v>
      </c>
    </row>
    <row r="379" spans="1:40" ht="15" customHeight="1">
      <c r="A379" s="258" t="s">
        <v>2460</v>
      </c>
      <c r="B379" s="263">
        <f>'Dry_Litterbag Placem_Collection'!A160</f>
        <v>158</v>
      </c>
      <c r="C379" s="263" t="str">
        <f>'Dry_Litterbag Placem_Collection'!B160</f>
        <v xml:space="preserve">Mwantimba
</v>
      </c>
      <c r="D379" s="263" t="s">
        <v>2659</v>
      </c>
      <c r="E379" s="263" t="s">
        <v>20</v>
      </c>
      <c r="F379" s="263">
        <v>4</v>
      </c>
      <c r="G379" s="264" t="str">
        <f>'Dry_Litterbag Placem_Collection'!C160</f>
        <v>Wet_P4_T6</v>
      </c>
      <c r="H379" s="265" t="s">
        <v>2541</v>
      </c>
      <c r="I379" s="272" t="s">
        <v>298</v>
      </c>
      <c r="J379" s="223" t="str">
        <f>'WetLitterbags placem_collection'!M160</f>
        <v>R16</v>
      </c>
      <c r="K379" s="225">
        <f>IFERROR(INDEX('Green_rooibos initial weight'!$C$5:$C$1749,MATCH(J379, 'Green_rooibos initial weight'!$A$5:$A$1749,0)),"")</f>
        <v>2.2629999999999999</v>
      </c>
      <c r="L379" s="225">
        <f>IFERROR(K379-(TBIcalc!$H$9+TBIcalc!$H$10),"")</f>
        <v>2.0131999999999999</v>
      </c>
      <c r="M379" s="391">
        <f>AVERAGE(Ashed_controlls!$K$12:$K$14)</f>
        <v>2.2816647271287041</v>
      </c>
      <c r="N379" s="225">
        <f t="shared" si="27"/>
        <v>1.9672655257134448</v>
      </c>
      <c r="O379" s="225">
        <f>IF(IFERROR(INDEX('Both teabags AfterWet'!$C$3:$C$841,MATCH(J379,'Both teabags AfterWet'!$A$3:$A$841,0)),"")="","",(IFERROR(INDEX('Both teabags AfterWet'!$C$3:$C$841,MATCH(J379,'Both teabags AfterWet'!$A$3:$A$841,0)),"")))</f>
        <v>1.786</v>
      </c>
      <c r="P379" s="225">
        <f>IFERROR(IF(O379&gt;0,O379-(TBIcalc!$H$9),""),"")</f>
        <v>1.6354</v>
      </c>
      <c r="Q379" s="225">
        <f>IFERROR(INDEX('Ashed teabags wet'!$K$2:$K$821,MATCH(J379,'Ashed teabags wet'!$A$2:$A$821,0)),"")</f>
        <v>4.8505634492893828</v>
      </c>
      <c r="R379" s="225">
        <f t="shared" si="31"/>
        <v>1.5560738853503213</v>
      </c>
      <c r="S379" s="226">
        <f>'WetLitterbags placem_collection'!E160</f>
        <v>42762</v>
      </c>
      <c r="T379" s="226">
        <f>IF('WetLitterbags placem_collection'!G160="","",'WetLitterbags placem_collection'!G160)</f>
        <v>42816</v>
      </c>
      <c r="U379" s="227">
        <f t="shared" si="28"/>
        <v>54</v>
      </c>
      <c r="V379" s="225">
        <f t="shared" si="29"/>
        <v>0.37779999999999991</v>
      </c>
      <c r="W379" s="225">
        <f t="shared" si="30"/>
        <v>0.4111916403631235</v>
      </c>
      <c r="X379">
        <f>IFERROR(INDEX(Rainfall_Wet!$O$2:$O$217,MATCH(B379, Rainfall_Wet!$A$2:$A$217,0)),"")</f>
        <v>206.85140822299999</v>
      </c>
      <c r="Y379" s="231">
        <v>27.96</v>
      </c>
      <c r="Z379" s="231">
        <v>4.9200000000000017</v>
      </c>
      <c r="AA379" s="231">
        <v>67.12</v>
      </c>
      <c r="AB379" s="232" t="s">
        <v>2670</v>
      </c>
      <c r="AC379" s="231">
        <v>6.0437161163134503</v>
      </c>
      <c r="AD379">
        <f>IF('WetLitterbags placem_collection'!AB160="","",'WetLitterbags placem_collection'!AB160)</f>
        <v>1.9</v>
      </c>
      <c r="AE379">
        <f>IF('WetLitterbags placem_collection'!Z160="","",'WetLitterbags placem_collection'!Z160)</f>
        <v>4.3</v>
      </c>
      <c r="AF379" s="246" t="str">
        <f>IF('WetLitterbags placem_collection'!AA160="","",'WetLitterbags placem_collection'!AA160)</f>
        <v>O</v>
      </c>
      <c r="AG379">
        <f>IF('WetLitterbags placem_collection'!AC160="","",'WetLitterbags placem_collection'!AC160)</f>
        <v>0</v>
      </c>
      <c r="AH379" s="24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placem_collection'!W160)),"YES","NO")</f>
        <v>NO</v>
      </c>
      <c r="AM379" t="str">
        <f>IF(ISNUMBER(SEARCH("H", 'WetLitterbags placem_collection'!W160)),"YES","NO")</f>
        <v>NO</v>
      </c>
      <c r="AN379" t="str">
        <f>IF(ISNUMBER(SEARCH("R", 'WetLitterbags placem_collection'!W160)),"YES","NO")</f>
        <v>YES</v>
      </c>
    </row>
    <row r="380" spans="1:40" ht="15" customHeight="1">
      <c r="A380" s="258" t="s">
        <v>2460</v>
      </c>
      <c r="B380" s="263">
        <f>'Dry_Litterbag Placem_Collection'!A161</f>
        <v>159</v>
      </c>
      <c r="C380" s="263" t="str">
        <f>'Dry_Litterbag Placem_Collection'!B161</f>
        <v xml:space="preserve">Mwantimba
</v>
      </c>
      <c r="D380" s="263" t="s">
        <v>2659</v>
      </c>
      <c r="E380" s="263" t="s">
        <v>20</v>
      </c>
      <c r="F380" s="263">
        <v>4</v>
      </c>
      <c r="G380" s="264" t="str">
        <f>'Dry_Litterbag Placem_Collection'!C161</f>
        <v>Wet_P4_T7</v>
      </c>
      <c r="H380" s="265" t="s">
        <v>2541</v>
      </c>
      <c r="I380" s="272" t="s">
        <v>298</v>
      </c>
      <c r="J380" s="223" t="str">
        <f>'WetLitterbags placem_collection'!M161</f>
        <v>R499</v>
      </c>
      <c r="K380" s="225">
        <f>IFERROR(INDEX('Green_rooibos initial weight'!$C$5:$C$1749,MATCH(J380, 'Green_rooibos initial weight'!$A$5:$A$1749,0)),"")</f>
        <v>2.194</v>
      </c>
      <c r="L380" s="225">
        <f>IFERROR(K380-(TBIcalc!$H$9+TBIcalc!$H$10),"")</f>
        <v>1.9441999999999999</v>
      </c>
      <c r="M380" s="391">
        <f>AVERAGE(Ashed_controlls!$K$12:$K$14)</f>
        <v>2.2816647271287041</v>
      </c>
      <c r="N380" s="225">
        <f t="shared" si="27"/>
        <v>1.8998398743751637</v>
      </c>
      <c r="O380" s="225" t="str">
        <f>IF(IFERROR(INDEX('Both teabags AfterWet'!$C$3:$C$841,MATCH(J380,'Both teabags AfterWet'!$A$3:$A$841,0)),"")="","",(IFERROR(INDEX('Both teabags AfterWet'!$C$3:$C$841,MATCH(J380,'Both teabags AfterWet'!$A$3:$A$841,0)),"")))</f>
        <v/>
      </c>
      <c r="P380" s="225" t="str">
        <f>IFERROR(IF(O380&gt;0,O380-(TBIcalc!$H$9),""),"")</f>
        <v/>
      </c>
      <c r="Q380" s="225" t="str">
        <f>IFERROR(INDEX('Ashed teabags wet'!$K$2:$K$821,MATCH(J380,'Ashed teabags wet'!$A$2:$A$821,0)),"")</f>
        <v/>
      </c>
      <c r="R380" s="225" t="str">
        <f t="shared" si="31"/>
        <v/>
      </c>
      <c r="S380" s="226">
        <f>'WetLitterbags placem_collection'!E161</f>
        <v>42762</v>
      </c>
      <c r="T380" s="226">
        <f>IF('WetLitterbags placem_collection'!G161="","",'WetLitterbags placem_collection'!G161)</f>
        <v>42816</v>
      </c>
      <c r="U380" s="227">
        <f t="shared" si="28"/>
        <v>54</v>
      </c>
      <c r="V380" s="225" t="str">
        <f t="shared" si="29"/>
        <v/>
      </c>
      <c r="W380" s="225" t="str">
        <f t="shared" si="30"/>
        <v/>
      </c>
      <c r="X380">
        <f>IFERROR(INDEX(Rainfall_Wet!$O$2:$O$217,MATCH(B380, Rainfall_Wet!$A$2:$A$217,0)),"")</f>
        <v>206.85140822299999</v>
      </c>
      <c r="Y380" s="231">
        <v>27.96</v>
      </c>
      <c r="Z380" s="231">
        <v>4.9200000000000017</v>
      </c>
      <c r="AA380" s="231">
        <v>67.12</v>
      </c>
      <c r="AB380" s="232" t="s">
        <v>2670</v>
      </c>
      <c r="AC380" s="231">
        <v>7.0437161163134503</v>
      </c>
      <c r="AD380">
        <f>IF('WetLitterbags placem_collection'!AB161="","",'WetLitterbags placem_collection'!AB161)</f>
        <v>2.65</v>
      </c>
      <c r="AE380">
        <f>IF('WetLitterbags placem_collection'!Z161="","",'WetLitterbags placem_collection'!Z161)</f>
        <v>0</v>
      </c>
      <c r="AF380" s="246" t="str">
        <f>IF('WetLitterbags placem_collection'!AA161="","",'WetLitterbags placem_collection'!AA161)</f>
        <v>G</v>
      </c>
      <c r="AG380">
        <f>IF('WetLitterbags placem_collection'!AC161="","",'WetLitterbags placem_collection'!AC161)</f>
        <v>1</v>
      </c>
      <c r="AH380" s="24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placem_collection'!W161)),"YES","NO")</f>
        <v>NO</v>
      </c>
      <c r="AM380" t="str">
        <f>IF(ISNUMBER(SEARCH("H", 'WetLitterbags placem_collection'!W161)),"YES","NO")</f>
        <v>NO</v>
      </c>
      <c r="AN380" t="str">
        <f>IF(ISNUMBER(SEARCH("R", 'WetLitterbags placem_collection'!W161)),"YES","NO")</f>
        <v>NO</v>
      </c>
    </row>
    <row r="381" spans="1:40" ht="15" customHeight="1">
      <c r="A381" s="258" t="s">
        <v>2460</v>
      </c>
      <c r="B381" s="263">
        <f>'Dry_Litterbag Placem_Collection'!A162</f>
        <v>160</v>
      </c>
      <c r="C381" s="263" t="str">
        <f>'Dry_Litterbag Placem_Collection'!B162</f>
        <v xml:space="preserve">Mwantimba
</v>
      </c>
      <c r="D381" s="263" t="s">
        <v>2659</v>
      </c>
      <c r="E381" s="263" t="s">
        <v>20</v>
      </c>
      <c r="F381" s="263">
        <v>4</v>
      </c>
      <c r="G381" s="264" t="str">
        <f>'Dry_Litterbag Placem_Collection'!C162</f>
        <v>Wet_P4_T8</v>
      </c>
      <c r="H381" s="265" t="s">
        <v>2541</v>
      </c>
      <c r="I381" s="272" t="s">
        <v>298</v>
      </c>
      <c r="J381" s="223" t="str">
        <f>'WetLitterbags placem_collection'!M162</f>
        <v>R421</v>
      </c>
      <c r="K381" s="225">
        <f>IFERROR(INDEX('Green_rooibos initial weight'!$C$5:$C$1749,MATCH(J381, 'Green_rooibos initial weight'!$A$5:$A$1749,0)),"")</f>
        <v>2.2170000000000001</v>
      </c>
      <c r="L381" s="225">
        <f>IFERROR(K381-(TBIcalc!$H$9+TBIcalc!$H$10),"")</f>
        <v>1.9672000000000001</v>
      </c>
      <c r="M381" s="391">
        <f>AVERAGE(Ashed_controlls!$K$12:$K$14)</f>
        <v>2.2816647271287041</v>
      </c>
      <c r="N381" s="225">
        <f t="shared" si="27"/>
        <v>1.9223150914879241</v>
      </c>
      <c r="O381" s="225">
        <f>IF(IFERROR(INDEX('Both teabags AfterWet'!$C$3:$C$841,MATCH(J381,'Both teabags AfterWet'!$A$3:$A$841,0)),"")="","",(IFERROR(INDEX('Both teabags AfterWet'!$C$3:$C$841,MATCH(J381,'Both teabags AfterWet'!$A$3:$A$841,0)),"")))</f>
        <v>1.744</v>
      </c>
      <c r="P381" s="225">
        <f>IFERROR(IF(O381&gt;0,O381-(TBIcalc!$H$9),""),"")</f>
        <v>1.5933999999999999</v>
      </c>
      <c r="Q381" s="225">
        <f>IFERROR(INDEX('Ashed teabags wet'!$K$2:$K$821,MATCH(J381,'Ashed teabags wet'!$A$2:$A$821,0)),"")</f>
        <v>4.8926610084872157</v>
      </c>
      <c r="R381" s="225">
        <f t="shared" si="31"/>
        <v>1.5154403394907647</v>
      </c>
      <c r="S381" s="226">
        <f>'WetLitterbags placem_collection'!E162</f>
        <v>42762</v>
      </c>
      <c r="T381" s="226">
        <f>IF('WetLitterbags placem_collection'!G162="","",'WetLitterbags placem_collection'!G162)</f>
        <v>42816</v>
      </c>
      <c r="U381" s="227">
        <f t="shared" si="28"/>
        <v>54</v>
      </c>
      <c r="V381" s="225">
        <f t="shared" si="29"/>
        <v>0.37380000000000013</v>
      </c>
      <c r="W381" s="225">
        <f t="shared" si="30"/>
        <v>0.40687475199715939</v>
      </c>
      <c r="X381">
        <f>IFERROR(INDEX(Rainfall_Wet!$O$2:$O$217,MATCH(B381, Rainfall_Wet!$A$2:$A$217,0)),"")</f>
        <v>206.85140822299999</v>
      </c>
      <c r="Y381" s="231">
        <v>27.96</v>
      </c>
      <c r="Z381" s="231">
        <v>4.9200000000000017</v>
      </c>
      <c r="AA381" s="231">
        <v>67.12</v>
      </c>
      <c r="AB381" s="232" t="s">
        <v>2670</v>
      </c>
      <c r="AC381" s="231">
        <v>8.0437161163134494</v>
      </c>
      <c r="AD381">
        <f>IF('WetLitterbags placem_collection'!AB162="","",'WetLitterbags placem_collection'!AB162)</f>
        <v>0.8</v>
      </c>
      <c r="AE381">
        <f>IF('WetLitterbags placem_collection'!Z162="","",'WetLitterbags placem_collection'!Z162)</f>
        <v>10.8</v>
      </c>
      <c r="AF381" s="246" t="str">
        <f>IF('WetLitterbags placem_collection'!AA162="","",'WetLitterbags placem_collection'!AA162)</f>
        <v>O</v>
      </c>
      <c r="AG381">
        <f>IF('WetLitterbags placem_collection'!AC162="","",'WetLitterbags placem_collection'!AC162)</f>
        <v>0</v>
      </c>
      <c r="AH381" s="24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placem_collection'!W162)),"YES","NO")</f>
        <v>NO</v>
      </c>
      <c r="AM381" t="str">
        <f>IF(ISNUMBER(SEARCH("H", 'WetLitterbags placem_collection'!W162)),"YES","NO")</f>
        <v>NO</v>
      </c>
      <c r="AN381" t="str">
        <f>IF(ISNUMBER(SEARCH("R", 'WetLitterbags placem_collection'!W162)),"YES","NO")</f>
        <v>YES</v>
      </c>
    </row>
    <row r="382" spans="1:40" ht="15" customHeight="1">
      <c r="A382" s="258" t="s">
        <v>2460</v>
      </c>
      <c r="B382" s="263">
        <f>'Dry_Litterbag Placem_Collection'!A163</f>
        <v>161</v>
      </c>
      <c r="C382" s="263" t="str">
        <f>'Dry_Litterbag Placem_Collection'!B163</f>
        <v>Handajega</v>
      </c>
      <c r="D382" s="263" t="s">
        <v>2659</v>
      </c>
      <c r="E382" s="263" t="s">
        <v>2661</v>
      </c>
      <c r="F382" s="263">
        <v>1</v>
      </c>
      <c r="G382" s="264" t="str">
        <f>'Dry_Litterbag Placem_Collection'!C163</f>
        <v>Wet_W1_T1</v>
      </c>
      <c r="H382" s="265" t="s">
        <v>2541</v>
      </c>
      <c r="I382" s="272" t="s">
        <v>298</v>
      </c>
      <c r="J382" s="223" t="str">
        <f>'WetLitterbags placem_collection'!M163</f>
        <v>R124</v>
      </c>
      <c r="K382" s="225">
        <f>IFERROR(INDEX('Green_rooibos initial weight'!$C$5:$C$1749,MATCH(J382, 'Green_rooibos initial weight'!$A$5:$A$1749,0)),"")</f>
        <v>2.2120000000000002</v>
      </c>
      <c r="L382" s="225">
        <f>IFERROR(K382-(TBIcalc!$H$9+TBIcalc!$H$10),"")</f>
        <v>1.9622000000000002</v>
      </c>
      <c r="M382" s="391">
        <f>AVERAGE(Ashed_controlls!$K$12:$K$14)</f>
        <v>2.2816647271287041</v>
      </c>
      <c r="N382" s="225">
        <f t="shared" si="27"/>
        <v>1.9174291747242806</v>
      </c>
      <c r="O382" s="225">
        <f>IF(IFERROR(INDEX('Both teabags AfterWet'!$C$3:$C$841,MATCH(J382,'Both teabags AfterWet'!$A$3:$A$841,0)),"")="","",(IFERROR(INDEX('Both teabags AfterWet'!$C$3:$C$841,MATCH(J382,'Both teabags AfterWet'!$A$3:$A$841,0)),"")))</f>
        <v>1.6863999999999999</v>
      </c>
      <c r="P382" s="225">
        <f>IFERROR(IF(O382&gt;0,O382-(TBIcalc!$H$9),""),"")</f>
        <v>1.5357999999999998</v>
      </c>
      <c r="Q382" s="225">
        <f>IFERROR(INDEX('Ashed teabags wet'!$K$2:$K$821,MATCH(J382,'Ashed teabags wet'!$A$2:$A$821,0)),"")</f>
        <v>1.0140028971511033</v>
      </c>
      <c r="R382" s="225">
        <f t="shared" si="31"/>
        <v>1.5202269435055531</v>
      </c>
      <c r="S382" s="226">
        <f>'WetLitterbags placem_collection'!E163</f>
        <v>42763</v>
      </c>
      <c r="T382" s="226">
        <f>IF('WetLitterbags placem_collection'!G163="","",'WetLitterbags placem_collection'!G163)</f>
        <v>42814</v>
      </c>
      <c r="U382" s="227">
        <f t="shared" si="28"/>
        <v>51</v>
      </c>
      <c r="V382" s="225">
        <f t="shared" si="29"/>
        <v>0.42640000000000033</v>
      </c>
      <c r="W382" s="225">
        <f t="shared" si="30"/>
        <v>0.39720223121872755</v>
      </c>
      <c r="X382">
        <f>IFERROR(INDEX(Rainfall_Wet!$O$2:$O$217,MATCH(B382, Rainfall_Wet!$A$2:$A$217,0)),"")</f>
        <v>181.383442621</v>
      </c>
      <c r="Y382" s="231">
        <v>21.96</v>
      </c>
      <c r="Z382" s="231">
        <v>4.9199999999999982</v>
      </c>
      <c r="AA382" s="231">
        <v>73.12</v>
      </c>
      <c r="AB382" s="232" t="s">
        <v>2670</v>
      </c>
      <c r="AC382" s="231">
        <v>1.2416954164613114</v>
      </c>
      <c r="AD382">
        <f>IF('WetLitterbags placem_collection'!AB163="","",'WetLitterbags placem_collection'!AB163)</f>
        <v>7.6</v>
      </c>
      <c r="AE382">
        <f>IF('WetLitterbags placem_collection'!Z163="","",'WetLitterbags placem_collection'!Z163)</f>
        <v>35.799999999999997</v>
      </c>
      <c r="AF382" s="246" t="str">
        <f>IF('WetLitterbags placem_collection'!AA163="","",'WetLitterbags placem_collection'!AA163)</f>
        <v>M</v>
      </c>
      <c r="AG382">
        <f>IF('WetLitterbags placem_collection'!AC163="","",'WetLitterbags placem_collection'!AC163)</f>
        <v>0</v>
      </c>
      <c r="AH382" s="24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placem_collection'!W163)),"YES","NO")</f>
        <v>NO</v>
      </c>
      <c r="AM382" t="str">
        <f>IF(ISNUMBER(SEARCH("H", 'WetLitterbags placem_collection'!W163)),"YES","NO")</f>
        <v>NO</v>
      </c>
      <c r="AN382" t="str">
        <f>IF(ISNUMBER(SEARCH("R", 'WetLitterbags placem_collection'!W163)),"YES","NO")</f>
        <v>NO</v>
      </c>
    </row>
    <row r="383" spans="1:40" ht="15" customHeight="1">
      <c r="A383" s="258" t="s">
        <v>2460</v>
      </c>
      <c r="B383" s="263">
        <f>'Dry_Litterbag Placem_Collection'!A164</f>
        <v>162</v>
      </c>
      <c r="C383" s="263" t="str">
        <f>'Dry_Litterbag Placem_Collection'!B164</f>
        <v>Handajega</v>
      </c>
      <c r="D383" s="263" t="s">
        <v>2659</v>
      </c>
      <c r="E383" s="263" t="s">
        <v>2661</v>
      </c>
      <c r="F383" s="263">
        <v>1</v>
      </c>
      <c r="G383" s="264" t="str">
        <f>'Dry_Litterbag Placem_Collection'!C164</f>
        <v>Wet_W1_T2</v>
      </c>
      <c r="H383" s="265" t="s">
        <v>2541</v>
      </c>
      <c r="I383" s="272" t="s">
        <v>298</v>
      </c>
      <c r="J383" s="223" t="str">
        <f>'WetLitterbags placem_collection'!M164</f>
        <v>R202</v>
      </c>
      <c r="K383" s="225">
        <f>IFERROR(INDEX('Green_rooibos initial weight'!$C$5:$C$1749,MATCH(J383, 'Green_rooibos initial weight'!$A$5:$A$1749,0)),"")</f>
        <v>2.298</v>
      </c>
      <c r="L383" s="225">
        <f>IFERROR(K383-(TBIcalc!$H$9+TBIcalc!$H$10),"")</f>
        <v>2.0482</v>
      </c>
      <c r="M383" s="391">
        <f>AVERAGE(Ashed_controlls!$K$12:$K$14)</f>
        <v>2.2816647271287041</v>
      </c>
      <c r="N383" s="225">
        <f t="shared" si="27"/>
        <v>2.0014669430589498</v>
      </c>
      <c r="O383" s="225">
        <f>IF(IFERROR(INDEX('Both teabags AfterWet'!$C$3:$C$841,MATCH(J383,'Both teabags AfterWet'!$A$3:$A$841,0)),"")="","",(IFERROR(INDEX('Both teabags AfterWet'!$C$3:$C$841,MATCH(J383,'Both teabags AfterWet'!$A$3:$A$841,0)),"")))</f>
        <v>0.52</v>
      </c>
      <c r="P383" s="225">
        <f>IFERROR(IF(O383&gt;0,O383-(TBIcalc!$H$9),""),"")</f>
        <v>0.36940000000000001</v>
      </c>
      <c r="Q383" s="225">
        <f>IFERROR(INDEX('Ashed teabags wet'!$K$2:$K$821,MATCH(J383,'Ashed teabags wet'!$A$2:$A$821,0)),"")</f>
        <v>79.460269865066508</v>
      </c>
      <c r="R383" s="225">
        <f t="shared" si="31"/>
        <v>7.5873763118444293E-2</v>
      </c>
      <c r="S383" s="226">
        <f>'WetLitterbags placem_collection'!E164</f>
        <v>42763</v>
      </c>
      <c r="T383" s="226">
        <f>IF('WetLitterbags placem_collection'!G164="","",'WetLitterbags placem_collection'!G164)</f>
        <v>42814</v>
      </c>
      <c r="U383" s="227">
        <f t="shared" si="28"/>
        <v>51</v>
      </c>
      <c r="V383" s="225">
        <f t="shared" si="29"/>
        <v>1.6788000000000001</v>
      </c>
      <c r="W383" s="225">
        <f t="shared" si="30"/>
        <v>1.9255931799405055</v>
      </c>
      <c r="X383">
        <f>IFERROR(INDEX(Rainfall_Wet!$O$2:$O$217,MATCH(B383, Rainfall_Wet!$A$2:$A$217,0)),"")</f>
        <v>181.383442621</v>
      </c>
      <c r="Y383" s="231">
        <v>21.96</v>
      </c>
      <c r="Z383" s="231">
        <v>4.9199999999999982</v>
      </c>
      <c r="AA383" s="231">
        <v>73.12</v>
      </c>
      <c r="AB383" s="232" t="s">
        <v>2670</v>
      </c>
      <c r="AC383" s="231">
        <v>2.2416954164613099</v>
      </c>
      <c r="AD383">
        <f>IF('WetLitterbags placem_collection'!AB164="","",'WetLitterbags placem_collection'!AB164)</f>
        <v>4.0999999999999996</v>
      </c>
      <c r="AE383">
        <f>IF('WetLitterbags placem_collection'!Z164="","",'WetLitterbags placem_collection'!Z164)</f>
        <v>31.4</v>
      </c>
      <c r="AF383" s="246" t="str">
        <f>IF('WetLitterbags placem_collection'!AA164="","",'WetLitterbags placem_collection'!AA164)</f>
        <v>M</v>
      </c>
      <c r="AG383">
        <f>IF('WetLitterbags placem_collection'!AC164="","",'WetLitterbags placem_collection'!AC164)</f>
        <v>0</v>
      </c>
      <c r="AH383" s="24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placem_collection'!W164)),"YES","NO")</f>
        <v>NO</v>
      </c>
      <c r="AM383" t="str">
        <f>IF(ISNUMBER(SEARCH("H", 'WetLitterbags placem_collection'!W164)),"YES","NO")</f>
        <v>YES</v>
      </c>
      <c r="AN383" t="str">
        <f>IF(ISNUMBER(SEARCH("R", 'WetLitterbags placem_collection'!W164)),"YES","NO")</f>
        <v>NO</v>
      </c>
    </row>
    <row r="384" spans="1:40" ht="15" customHeight="1">
      <c r="A384" s="258" t="s">
        <v>2460</v>
      </c>
      <c r="B384" s="263">
        <f>'Dry_Litterbag Placem_Collection'!A165</f>
        <v>163</v>
      </c>
      <c r="C384" s="263" t="str">
        <f>'Dry_Litterbag Placem_Collection'!B165</f>
        <v>Handajega</v>
      </c>
      <c r="D384" s="263" t="s">
        <v>2659</v>
      </c>
      <c r="E384" s="263" t="s">
        <v>2661</v>
      </c>
      <c r="F384" s="263">
        <v>1</v>
      </c>
      <c r="G384" s="264" t="str">
        <f>'Dry_Litterbag Placem_Collection'!C165</f>
        <v>Wet_W1_T3</v>
      </c>
      <c r="H384" s="265" t="s">
        <v>2541</v>
      </c>
      <c r="I384" s="272" t="s">
        <v>298</v>
      </c>
      <c r="J384" s="223" t="str">
        <f>'WetLitterbags placem_collection'!M165</f>
        <v>R96</v>
      </c>
      <c r="K384" s="225">
        <f>IFERROR(INDEX('Green_rooibos initial weight'!$C$5:$C$1749,MATCH(J384, 'Green_rooibos initial weight'!$A$5:$A$1749,0)),"")</f>
        <v>2.2309999999999999</v>
      </c>
      <c r="L384" s="225">
        <f>IFERROR(K384-(TBIcalc!$H$9+TBIcalc!$H$10),"")</f>
        <v>1.9811999999999999</v>
      </c>
      <c r="M384" s="391">
        <f>AVERAGE(Ashed_controlls!$K$12:$K$14)</f>
        <v>2.2816647271287041</v>
      </c>
      <c r="N384" s="225">
        <f t="shared" si="27"/>
        <v>1.935995658426126</v>
      </c>
      <c r="O384" s="225">
        <f>IF(IFERROR(INDEX('Both teabags AfterWet'!$C$3:$C$841,MATCH(J384,'Both teabags AfterWet'!$A$3:$A$841,0)),"")="","",(IFERROR(INDEX('Both teabags AfterWet'!$C$3:$C$841,MATCH(J384,'Both teabags AfterWet'!$A$3:$A$841,0)),"")))</f>
        <v>1.696</v>
      </c>
      <c r="P384" s="225">
        <f>IFERROR(IF(O384&gt;0,O384-(TBIcalc!$H$9),""),"")</f>
        <v>1.5453999999999999</v>
      </c>
      <c r="Q384" s="225">
        <f>IFERROR(INDEX('Ashed teabags wet'!$K$2:$K$821,MATCH(J384,'Ashed teabags wet'!$A$2:$A$821,0)),"")</f>
        <v>2.3336643495531879</v>
      </c>
      <c r="R384" s="225">
        <f t="shared" si="31"/>
        <v>1.509335551142005</v>
      </c>
      <c r="S384" s="226">
        <f>'WetLitterbags placem_collection'!E165</f>
        <v>42763</v>
      </c>
      <c r="T384" s="226">
        <f>IF('WetLitterbags placem_collection'!G165="","",'WetLitterbags placem_collection'!G165)</f>
        <v>42814</v>
      </c>
      <c r="U384" s="227">
        <f t="shared" si="28"/>
        <v>51</v>
      </c>
      <c r="V384" s="225">
        <f t="shared" si="29"/>
        <v>0.43579999999999997</v>
      </c>
      <c r="W384" s="225">
        <f t="shared" si="30"/>
        <v>0.42666010728412096</v>
      </c>
      <c r="X384">
        <f>IFERROR(INDEX(Rainfall_Wet!$O$2:$O$217,MATCH(B384, Rainfall_Wet!$A$2:$A$217,0)),"")</f>
        <v>181.383442621</v>
      </c>
      <c r="Y384" s="231">
        <v>21.96</v>
      </c>
      <c r="Z384" s="231">
        <v>4.9199999999999982</v>
      </c>
      <c r="AA384" s="231">
        <v>73.12</v>
      </c>
      <c r="AB384" s="232" t="s">
        <v>2670</v>
      </c>
      <c r="AC384" s="231">
        <v>3.2416954164613099</v>
      </c>
      <c r="AD384">
        <f>IF('WetLitterbags placem_collection'!AB165="","",'WetLitterbags placem_collection'!AB165)</f>
        <v>7.8</v>
      </c>
      <c r="AE384">
        <f>IF('WetLitterbags placem_collection'!Z165="","",'WetLitterbags placem_collection'!Z165)</f>
        <v>28.8</v>
      </c>
      <c r="AF384" s="246" t="str">
        <f>IF('WetLitterbags placem_collection'!AA165="","",'WetLitterbags placem_collection'!AA165)</f>
        <v>M</v>
      </c>
      <c r="AG384">
        <f>IF('WetLitterbags placem_collection'!AC165="","",'WetLitterbags placem_collection'!AC165)</f>
        <v>0</v>
      </c>
      <c r="AH384" s="24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placem_collection'!W165)),"YES","NO")</f>
        <v>NO</v>
      </c>
      <c r="AM384" t="str">
        <f>IF(ISNUMBER(SEARCH("H", 'WetLitterbags placem_collection'!W165)),"YES","NO")</f>
        <v>NO</v>
      </c>
      <c r="AN384" t="str">
        <f>IF(ISNUMBER(SEARCH("R", 'WetLitterbags placem_collection'!W165)),"YES","NO")</f>
        <v>NO</v>
      </c>
    </row>
    <row r="385" spans="1:40" ht="15" customHeight="1">
      <c r="A385" s="258" t="s">
        <v>2460</v>
      </c>
      <c r="B385" s="263">
        <f>'Dry_Litterbag Placem_Collection'!A166</f>
        <v>164</v>
      </c>
      <c r="C385" s="263" t="str">
        <f>'Dry_Litterbag Placem_Collection'!B166</f>
        <v>Handajega</v>
      </c>
      <c r="D385" s="263" t="s">
        <v>2659</v>
      </c>
      <c r="E385" s="263" t="s">
        <v>2661</v>
      </c>
      <c r="F385" s="263">
        <v>1</v>
      </c>
      <c r="G385" s="264" t="str">
        <f>'Dry_Litterbag Placem_Collection'!C166</f>
        <v>Wet_W1_T4</v>
      </c>
      <c r="H385" s="265" t="s">
        <v>2541</v>
      </c>
      <c r="I385" s="272" t="s">
        <v>298</v>
      </c>
      <c r="J385" s="223" t="str">
        <f>'WetLitterbags placem_collection'!M166</f>
        <v>R317</v>
      </c>
      <c r="K385" s="225">
        <f>IFERROR(INDEX('Green_rooibos initial weight'!$C$5:$C$1749,MATCH(J385, 'Green_rooibos initial weight'!$A$5:$A$1749,0)),"")</f>
        <v>2.2240000000000002</v>
      </c>
      <c r="L385" s="225">
        <f>IFERROR(K385-(TBIcalc!$H$9+TBIcalc!$H$10),"")</f>
        <v>1.9742000000000002</v>
      </c>
      <c r="M385" s="391">
        <f>AVERAGE(Ashed_controlls!$K$12:$K$14)</f>
        <v>2.2816647271287041</v>
      </c>
      <c r="N385" s="225">
        <f t="shared" si="27"/>
        <v>1.9291553749570254</v>
      </c>
      <c r="O385" s="225">
        <f>IF(IFERROR(INDEX('Both teabags AfterWet'!$C$3:$C$841,MATCH(J385,'Both teabags AfterWet'!$A$3:$A$841,0)),"")="","",(IFERROR(INDEX('Both teabags AfterWet'!$C$3:$C$841,MATCH(J385,'Both teabags AfterWet'!$A$3:$A$841,0)),"")))</f>
        <v>1.7210000000000001</v>
      </c>
      <c r="P385" s="225">
        <f>IFERROR(IF(O385&gt;0,O385-(TBIcalc!$H$9),""),"")</f>
        <v>1.5704</v>
      </c>
      <c r="Q385" s="225">
        <f>IFERROR(INDEX('Ashed teabags wet'!$K$2:$K$821,MATCH(J385,'Ashed teabags wet'!$A$2:$A$821,0)),"")</f>
        <v>2.0937188434697482</v>
      </c>
      <c r="R385" s="225">
        <f t="shared" si="31"/>
        <v>1.5375202392821512</v>
      </c>
      <c r="S385" s="226">
        <f>'WetLitterbags placem_collection'!E166</f>
        <v>42763</v>
      </c>
      <c r="T385" s="226">
        <f>IF('WetLitterbags placem_collection'!G166="","",'WetLitterbags placem_collection'!G166)</f>
        <v>42814</v>
      </c>
      <c r="U385" s="227">
        <f t="shared" si="28"/>
        <v>51</v>
      </c>
      <c r="V385" s="225">
        <f t="shared" si="29"/>
        <v>0.40380000000000016</v>
      </c>
      <c r="W385" s="225">
        <f t="shared" si="30"/>
        <v>0.39163513567487418</v>
      </c>
      <c r="X385">
        <f>IFERROR(INDEX(Rainfall_Wet!$O$2:$O$217,MATCH(B385, Rainfall_Wet!$A$2:$A$217,0)),"")</f>
        <v>181.383442621</v>
      </c>
      <c r="Y385" s="231">
        <v>21.96</v>
      </c>
      <c r="Z385" s="231">
        <v>4.9199999999999982</v>
      </c>
      <c r="AA385" s="231">
        <v>73.12</v>
      </c>
      <c r="AB385" s="232" t="s">
        <v>2670</v>
      </c>
      <c r="AC385" s="231">
        <v>4.2416954164613099</v>
      </c>
      <c r="AD385">
        <f>IF('WetLitterbags placem_collection'!AB166="","",'WetLitterbags placem_collection'!AB166)</f>
        <v>9.5</v>
      </c>
      <c r="AE385">
        <f>IF('WetLitterbags placem_collection'!Z166="","",'WetLitterbags placem_collection'!Z166)</f>
        <v>20.8</v>
      </c>
      <c r="AF385" s="246" t="str">
        <f>IF('WetLitterbags placem_collection'!AA166="","",'WetLitterbags placem_collection'!AA166)</f>
        <v>M</v>
      </c>
      <c r="AG385">
        <f>IF('WetLitterbags placem_collection'!AC166="","",'WetLitterbags placem_collection'!AC166)</f>
        <v>0</v>
      </c>
      <c r="AH385" s="24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placem_collection'!W166)),"YES","NO")</f>
        <v>NO</v>
      </c>
      <c r="AM385" t="str">
        <f>IF(ISNUMBER(SEARCH("H", 'WetLitterbags placem_collection'!W166)),"YES","NO")</f>
        <v>NO</v>
      </c>
      <c r="AN385" t="str">
        <f>IF(ISNUMBER(SEARCH("R", 'WetLitterbags placem_collection'!W166)),"YES","NO")</f>
        <v>NO</v>
      </c>
    </row>
    <row r="386" spans="1:40" ht="15" customHeight="1">
      <c r="A386" s="258" t="s">
        <v>2460</v>
      </c>
      <c r="B386" s="263">
        <f>'Dry_Litterbag Placem_Collection'!A167</f>
        <v>165</v>
      </c>
      <c r="C386" s="263" t="str">
        <f>'Dry_Litterbag Placem_Collection'!B167</f>
        <v>Handajega</v>
      </c>
      <c r="D386" s="263" t="s">
        <v>2659</v>
      </c>
      <c r="E386" s="263" t="s">
        <v>2661</v>
      </c>
      <c r="F386" s="263">
        <v>1</v>
      </c>
      <c r="G386" s="264" t="str">
        <f>'Dry_Litterbag Placem_Collection'!C167</f>
        <v>Wet_W1_T5</v>
      </c>
      <c r="H386" s="265" t="s">
        <v>2541</v>
      </c>
      <c r="I386" s="272" t="s">
        <v>298</v>
      </c>
      <c r="J386" s="223" t="str">
        <f>'WetLitterbags placem_collection'!M167</f>
        <v>R331</v>
      </c>
      <c r="K386" s="225">
        <f>IFERROR(INDEX('Green_rooibos initial weight'!$C$5:$C$1749,MATCH(J386, 'Green_rooibos initial weight'!$A$5:$A$1749,0)),"")</f>
        <v>2.2410000000000001</v>
      </c>
      <c r="L386" s="225">
        <f>IFERROR(K386-(TBIcalc!$H$9+TBIcalc!$H$10),"")</f>
        <v>1.9912000000000001</v>
      </c>
      <c r="M386" s="391">
        <f>AVERAGE(Ashed_controlls!$K$12:$K$14)</f>
        <v>2.2816647271287041</v>
      </c>
      <c r="N386" s="225">
        <f t="shared" si="27"/>
        <v>1.9457674919534134</v>
      </c>
      <c r="O386" s="225">
        <f>IF(IFERROR(INDEX('Both teabags AfterWet'!$C$3:$C$841,MATCH(J386,'Both teabags AfterWet'!$A$3:$A$841,0)),"")="","",(IFERROR(INDEX('Both teabags AfterWet'!$C$3:$C$841,MATCH(J386,'Both teabags AfterWet'!$A$3:$A$841,0)),"")))</f>
        <v>1.724</v>
      </c>
      <c r="P386" s="225">
        <f>IFERROR(IF(O386&gt;0,O386-(TBIcalc!$H$9),""),"")</f>
        <v>1.5733999999999999</v>
      </c>
      <c r="Q386" s="225">
        <f>IFERROR(INDEX('Ashed teabags wet'!$K$2:$K$821,MATCH(J386,'Ashed teabags wet'!$A$2:$A$821,0)),"")</f>
        <v>2.562929061785161</v>
      </c>
      <c r="R386" s="225">
        <f t="shared" si="31"/>
        <v>1.5330748741418723</v>
      </c>
      <c r="S386" s="226">
        <f>'WetLitterbags placem_collection'!E167</f>
        <v>42763</v>
      </c>
      <c r="T386" s="226">
        <f>IF('WetLitterbags placem_collection'!G167="","",'WetLitterbags placem_collection'!G167)</f>
        <v>42814</v>
      </c>
      <c r="U386" s="227">
        <f t="shared" si="28"/>
        <v>51</v>
      </c>
      <c r="V386" s="225">
        <f t="shared" si="29"/>
        <v>0.41780000000000017</v>
      </c>
      <c r="W386" s="225">
        <f t="shared" si="30"/>
        <v>0.4126926178115411</v>
      </c>
      <c r="X386">
        <f>IFERROR(INDEX(Rainfall_Wet!$O$2:$O$217,MATCH(B386, Rainfall_Wet!$A$2:$A$217,0)),"")</f>
        <v>181.383442621</v>
      </c>
      <c r="Y386" s="231">
        <v>21.96</v>
      </c>
      <c r="Z386" s="231">
        <v>4.9199999999999982</v>
      </c>
      <c r="AA386" s="231">
        <v>73.12</v>
      </c>
      <c r="AB386" s="232" t="s">
        <v>2670</v>
      </c>
      <c r="AC386" s="231">
        <v>5.2416954164613099</v>
      </c>
      <c r="AD386">
        <f>IF('WetLitterbags placem_collection'!AB167="","",'WetLitterbags placem_collection'!AB167)</f>
        <v>10.4</v>
      </c>
      <c r="AE386">
        <f>IF('WetLitterbags placem_collection'!Z167="","",'WetLitterbags placem_collection'!Z167)</f>
        <v>13.8</v>
      </c>
      <c r="AF386" s="246" t="str">
        <f>IF('WetLitterbags placem_collection'!AA167="","",'WetLitterbags placem_collection'!AA167)</f>
        <v>M</v>
      </c>
      <c r="AG386">
        <f>IF('WetLitterbags placem_collection'!AC167="","",'WetLitterbags placem_collection'!AC167)</f>
        <v>0</v>
      </c>
      <c r="AH386" s="24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placem_collection'!W167)),"YES","NO")</f>
        <v>NO</v>
      </c>
      <c r="AM386" t="str">
        <f>IF(ISNUMBER(SEARCH("H", 'WetLitterbags placem_collection'!W167)),"YES","NO")</f>
        <v>YES</v>
      </c>
      <c r="AN386" t="str">
        <f>IF(ISNUMBER(SEARCH("R", 'WetLitterbags placem_collection'!W167)),"YES","NO")</f>
        <v>NO</v>
      </c>
    </row>
    <row r="387" spans="1:40" ht="15" customHeight="1">
      <c r="A387" s="258" t="s">
        <v>2460</v>
      </c>
      <c r="B387" s="263">
        <f>'Dry_Litterbag Placem_Collection'!A168</f>
        <v>166</v>
      </c>
      <c r="C387" s="263" t="str">
        <f>'Dry_Litterbag Placem_Collection'!B168</f>
        <v>Handajega</v>
      </c>
      <c r="D387" s="263" t="s">
        <v>2659</v>
      </c>
      <c r="E387" s="263" t="s">
        <v>2661</v>
      </c>
      <c r="F387" s="263">
        <v>1</v>
      </c>
      <c r="G387" s="264" t="str">
        <f>'Dry_Litterbag Placem_Collection'!C168</f>
        <v>Wet_W1_T6</v>
      </c>
      <c r="H387" s="265" t="s">
        <v>2541</v>
      </c>
      <c r="I387" s="272" t="s">
        <v>298</v>
      </c>
      <c r="J387" s="223" t="str">
        <f>'WetLitterbags placem_collection'!M168</f>
        <v>R287</v>
      </c>
      <c r="K387" s="225">
        <f>IFERROR(INDEX('Green_rooibos initial weight'!$C$5:$C$1749,MATCH(J387, 'Green_rooibos initial weight'!$A$5:$A$1749,0)),"")</f>
        <v>2.1960000000000002</v>
      </c>
      <c r="L387" s="225">
        <f>IFERROR(K387-(TBIcalc!$H$9+TBIcalc!$H$10),"")</f>
        <v>1.9462000000000002</v>
      </c>
      <c r="M387" s="391">
        <f>AVERAGE(Ashed_controlls!$K$12:$K$14)</f>
        <v>2.2816647271287041</v>
      </c>
      <c r="N387" s="225">
        <f t="shared" ref="N387:N450" si="32">IFERROR(L387-(M387/100)*L387,"")</f>
        <v>1.9017942410806212</v>
      </c>
      <c r="O387" s="225">
        <f>IF(IFERROR(INDEX('Both teabags AfterWet'!$C$3:$C$841,MATCH(J387,'Both teabags AfterWet'!$A$3:$A$841,0)),"")="","",(IFERROR(INDEX('Both teabags AfterWet'!$C$3:$C$841,MATCH(J387,'Both teabags AfterWet'!$A$3:$A$841,0)),"")))</f>
        <v>1.6496999999999999</v>
      </c>
      <c r="P387" s="225">
        <f>IFERROR(IF(O387&gt;0,O387-(TBIcalc!$H$9),""),"")</f>
        <v>1.4990999999999999</v>
      </c>
      <c r="Q387" s="225">
        <f>IFERROR(INDEX('Ashed teabags wet'!$K$2:$K$821,MATCH(J387,'Ashed teabags wet'!$A$2:$A$821,0)),"")</f>
        <v>1.9136408243378245</v>
      </c>
      <c r="R387" s="225">
        <f t="shared" si="31"/>
        <v>1.4704126104023516</v>
      </c>
      <c r="S387" s="226">
        <f>'WetLitterbags placem_collection'!E168</f>
        <v>42763</v>
      </c>
      <c r="T387" s="226">
        <f>IF('WetLitterbags placem_collection'!G168="","",'WetLitterbags placem_collection'!G168)</f>
        <v>42814</v>
      </c>
      <c r="U387" s="227">
        <f t="shared" ref="U387:U441" si="33">IFERROR(T387-S387,"")</f>
        <v>51</v>
      </c>
      <c r="V387" s="225">
        <f t="shared" ref="V387:V450" si="34">IFERROR(L387-P387,"")</f>
        <v>0.44710000000000027</v>
      </c>
      <c r="W387" s="225">
        <f t="shared" ref="W387:W450" si="35">IFERROR(N387-R387,"")</f>
        <v>0.43138163067826962</v>
      </c>
      <c r="X387">
        <f>IFERROR(INDEX(Rainfall_Wet!$O$2:$O$217,MATCH(B387, Rainfall_Wet!$A$2:$A$217,0)),"")</f>
        <v>181.383442621</v>
      </c>
      <c r="Y387" s="231">
        <v>21.96</v>
      </c>
      <c r="Z387" s="231">
        <v>4.9199999999999982</v>
      </c>
      <c r="AA387" s="231">
        <v>73.12</v>
      </c>
      <c r="AB387" s="232" t="s">
        <v>2670</v>
      </c>
      <c r="AC387" s="231">
        <v>6.2416954164613099</v>
      </c>
      <c r="AD387">
        <f>IF('WetLitterbags placem_collection'!AB168="","",'WetLitterbags placem_collection'!AB168)</f>
        <v>2.1</v>
      </c>
      <c r="AE387">
        <f>IF('WetLitterbags placem_collection'!Z168="","",'WetLitterbags placem_collection'!Z168)</f>
        <v>4.7</v>
      </c>
      <c r="AF387" s="246" t="str">
        <f>IF('WetLitterbags placem_collection'!AA168="","",'WetLitterbags placem_collection'!AA168)</f>
        <v>M</v>
      </c>
      <c r="AG387">
        <f>IF('WetLitterbags placem_collection'!AC168="","",'WetLitterbags placem_collection'!AC168)</f>
        <v>0</v>
      </c>
      <c r="AH387" s="24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placem_collection'!W168)),"YES","NO")</f>
        <v>NO</v>
      </c>
      <c r="AM387" t="str">
        <f>IF(ISNUMBER(SEARCH("H", 'WetLitterbags placem_collection'!W168)),"YES","NO")</f>
        <v>NO</v>
      </c>
      <c r="AN387" t="str">
        <f>IF(ISNUMBER(SEARCH("R", 'WetLitterbags placem_collection'!W168)),"YES","NO")</f>
        <v>NO</v>
      </c>
    </row>
    <row r="388" spans="1:40" ht="15" customHeight="1">
      <c r="A388" s="258" t="s">
        <v>2460</v>
      </c>
      <c r="B388" s="263">
        <f>'Dry_Litterbag Placem_Collection'!A169</f>
        <v>167</v>
      </c>
      <c r="C388" s="263" t="str">
        <f>'Dry_Litterbag Placem_Collection'!B169</f>
        <v>Handajega</v>
      </c>
      <c r="D388" s="263" t="s">
        <v>2659</v>
      </c>
      <c r="E388" s="263" t="s">
        <v>2661</v>
      </c>
      <c r="F388" s="263">
        <v>1</v>
      </c>
      <c r="G388" s="264" t="str">
        <f>'Dry_Litterbag Placem_Collection'!C169</f>
        <v>Wet_W1_T7</v>
      </c>
      <c r="H388" s="265" t="s">
        <v>2541</v>
      </c>
      <c r="I388" s="272" t="s">
        <v>298</v>
      </c>
      <c r="J388" s="223" t="str">
        <f>'WetLitterbags placem_collection'!M169</f>
        <v>R255</v>
      </c>
      <c r="K388" s="225">
        <f>IFERROR(INDEX('Green_rooibos initial weight'!$C$5:$C$1749,MATCH(J388, 'Green_rooibos initial weight'!$A$5:$A$1749,0)),"")</f>
        <v>2.1859999999999999</v>
      </c>
      <c r="L388" s="225">
        <f>IFERROR(K388-(TBIcalc!$H$9+TBIcalc!$H$10),"")</f>
        <v>1.9361999999999999</v>
      </c>
      <c r="M388" s="391">
        <f>AVERAGE(Ashed_controlls!$K$12:$K$14)</f>
        <v>2.2816647271287041</v>
      </c>
      <c r="N388" s="225">
        <f t="shared" si="32"/>
        <v>1.8920224075533341</v>
      </c>
      <c r="O388" s="225">
        <f>IF(IFERROR(INDEX('Both teabags AfterWet'!$C$3:$C$841,MATCH(J388,'Both teabags AfterWet'!$A$3:$A$841,0)),"")="","",(IFERROR(INDEX('Both teabags AfterWet'!$C$3:$C$841,MATCH(J388,'Both teabags AfterWet'!$A$3:$A$841,0)),"")))</f>
        <v>1.7073</v>
      </c>
      <c r="P388" s="225">
        <f>IFERROR(IF(O388&gt;0,O388-(TBIcalc!$H$9),""),"")</f>
        <v>1.5567</v>
      </c>
      <c r="Q388" s="225">
        <f>IFERROR(INDEX('Ashed teabags wet'!$K$2:$K$821,MATCH(J388,'Ashed teabags wet'!$A$2:$A$821,0)),"")</f>
        <v>1.7424975798647639</v>
      </c>
      <c r="R388" s="225">
        <f t="shared" si="31"/>
        <v>1.5295745401742451</v>
      </c>
      <c r="S388" s="226">
        <f>'WetLitterbags placem_collection'!E169</f>
        <v>42763</v>
      </c>
      <c r="T388" s="226">
        <f>IF('WetLitterbags placem_collection'!G169="","",'WetLitterbags placem_collection'!G169)</f>
        <v>42814</v>
      </c>
      <c r="U388" s="227">
        <f t="shared" si="33"/>
        <v>51</v>
      </c>
      <c r="V388" s="225">
        <f t="shared" si="34"/>
        <v>0.37949999999999995</v>
      </c>
      <c r="W388" s="225">
        <f t="shared" si="35"/>
        <v>0.36244786737908896</v>
      </c>
      <c r="X388">
        <f>IFERROR(INDEX(Rainfall_Wet!$O$2:$O$217,MATCH(B388, Rainfall_Wet!$A$2:$A$217,0)),"")</f>
        <v>181.383442621</v>
      </c>
      <c r="Y388" s="231">
        <v>21.96</v>
      </c>
      <c r="Z388" s="231">
        <v>4.9199999999999982</v>
      </c>
      <c r="AA388" s="231">
        <v>73.12</v>
      </c>
      <c r="AB388" s="232" t="s">
        <v>2670</v>
      </c>
      <c r="AC388" s="231">
        <v>7.2416954164613099</v>
      </c>
      <c r="AD388">
        <f>IF('WetLitterbags placem_collection'!AB169="","",'WetLitterbags placem_collection'!AB169)</f>
        <v>5.6</v>
      </c>
      <c r="AE388">
        <f>IF('WetLitterbags placem_collection'!Z169="","",'WetLitterbags placem_collection'!Z169)</f>
        <v>4.2</v>
      </c>
      <c r="AF388" s="246" t="str">
        <f>IF('WetLitterbags placem_collection'!AA169="","",'WetLitterbags placem_collection'!AA169)</f>
        <v>M</v>
      </c>
      <c r="AG388">
        <f>IF('WetLitterbags placem_collection'!AC169="","",'WetLitterbags placem_collection'!AC169)</f>
        <v>1</v>
      </c>
      <c r="AH388" s="24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placem_collection'!W169)),"YES","NO")</f>
        <v>NO</v>
      </c>
      <c r="AM388" t="str">
        <f>IF(ISNUMBER(SEARCH("H", 'WetLitterbags placem_collection'!W169)),"YES","NO")</f>
        <v>NO</v>
      </c>
      <c r="AN388" t="str">
        <f>IF(ISNUMBER(SEARCH("R", 'WetLitterbags placem_collection'!W169)),"YES","NO")</f>
        <v>NO</v>
      </c>
    </row>
    <row r="389" spans="1:40" ht="15" customHeight="1">
      <c r="A389" s="258" t="s">
        <v>2460</v>
      </c>
      <c r="B389" s="263">
        <f>'Dry_Litterbag Placem_Collection'!A170</f>
        <v>168</v>
      </c>
      <c r="C389" s="263" t="str">
        <f>'Dry_Litterbag Placem_Collection'!B170</f>
        <v>Handajega</v>
      </c>
      <c r="D389" s="263" t="s">
        <v>2659</v>
      </c>
      <c r="E389" s="263" t="s">
        <v>2661</v>
      </c>
      <c r="F389" s="263">
        <v>1</v>
      </c>
      <c r="G389" s="264" t="str">
        <f>'Dry_Litterbag Placem_Collection'!C170</f>
        <v>Wet_W1_T8</v>
      </c>
      <c r="H389" s="265" t="s">
        <v>2541</v>
      </c>
      <c r="I389" s="272" t="s">
        <v>298</v>
      </c>
      <c r="J389" s="223" t="str">
        <f>'WetLitterbags placem_collection'!M170</f>
        <v>R534</v>
      </c>
      <c r="K389" s="225">
        <f>IFERROR(INDEX('Green_rooibos initial weight'!$C$5:$C$1749,MATCH(J389, 'Green_rooibos initial weight'!$A$5:$A$1749,0)),"")</f>
        <v>2.17</v>
      </c>
      <c r="L389" s="225">
        <f>IFERROR(K389-(TBIcalc!$H$9+TBIcalc!$H$10),"")</f>
        <v>1.9201999999999999</v>
      </c>
      <c r="M389" s="391">
        <f>AVERAGE(Ashed_controlls!$K$12:$K$14)</f>
        <v>2.2816647271287041</v>
      </c>
      <c r="N389" s="225">
        <f t="shared" si="32"/>
        <v>1.8763874739096746</v>
      </c>
      <c r="O389" s="225">
        <f>IF(IFERROR(INDEX('Both teabags AfterWet'!$C$3:$C$841,MATCH(J389,'Both teabags AfterWet'!$A$3:$A$841,0)),"")="","",(IFERROR(INDEX('Both teabags AfterWet'!$C$3:$C$841,MATCH(J389,'Both teabags AfterWet'!$A$3:$A$841,0)),"")))</f>
        <v>1.722</v>
      </c>
      <c r="P389" s="225">
        <f>IFERROR(IF(O389&gt;0,O389-(TBIcalc!$H$9),""),"")</f>
        <v>1.5713999999999999</v>
      </c>
      <c r="Q389" s="225">
        <f>IFERROR(INDEX('Ashed teabags wet'!$K$2:$K$821,MATCH(J389,'Ashed teabags wet'!$A$2:$A$821,0)),"")</f>
        <v>1.9733596447958683</v>
      </c>
      <c r="R389" s="225">
        <f t="shared" si="31"/>
        <v>1.5403906265416776</v>
      </c>
      <c r="S389" s="226">
        <f>'WetLitterbags placem_collection'!E170</f>
        <v>42763</v>
      </c>
      <c r="T389" s="226">
        <f>IF('WetLitterbags placem_collection'!G170="","",'WetLitterbags placem_collection'!G170)</f>
        <v>42814</v>
      </c>
      <c r="U389" s="227">
        <f t="shared" si="33"/>
        <v>51</v>
      </c>
      <c r="V389" s="225">
        <f t="shared" si="34"/>
        <v>0.3488</v>
      </c>
      <c r="W389" s="225">
        <f t="shared" si="35"/>
        <v>0.33599684736799706</v>
      </c>
      <c r="X389">
        <f>IFERROR(INDEX(Rainfall_Wet!$O$2:$O$217,MATCH(B389, Rainfall_Wet!$A$2:$A$217,0)),"")</f>
        <v>181.383442621</v>
      </c>
      <c r="Y389" s="231">
        <v>21.96</v>
      </c>
      <c r="Z389" s="231">
        <v>4.9199999999999982</v>
      </c>
      <c r="AA389" s="231">
        <v>73.12</v>
      </c>
      <c r="AB389" s="232" t="s">
        <v>2670</v>
      </c>
      <c r="AC389" s="231">
        <v>8.2416954164613099</v>
      </c>
      <c r="AD389">
        <f>IF('WetLitterbags placem_collection'!AB170="","",'WetLitterbags placem_collection'!AB170)</f>
        <v>2.4</v>
      </c>
      <c r="AE389">
        <f>IF('WetLitterbags placem_collection'!Z170="","",'WetLitterbags placem_collection'!Z170)</f>
        <v>46</v>
      </c>
      <c r="AF389" s="246" t="str">
        <f>IF('WetLitterbags placem_collection'!AA170="","",'WetLitterbags placem_collection'!AA170)</f>
        <v>M</v>
      </c>
      <c r="AG389">
        <f>IF('WetLitterbags placem_collection'!AC170="","",'WetLitterbags placem_collection'!AC170)</f>
        <v>0</v>
      </c>
      <c r="AH389" s="24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placem_collection'!W170)),"YES","NO")</f>
        <v>NO</v>
      </c>
      <c r="AM389" t="str">
        <f>IF(ISNUMBER(SEARCH("H", 'WetLitterbags placem_collection'!W170)),"YES","NO")</f>
        <v>NO</v>
      </c>
      <c r="AN389" t="str">
        <f>IF(ISNUMBER(SEARCH("R", 'WetLitterbags placem_collection'!W170)),"YES","NO")</f>
        <v>NO</v>
      </c>
    </row>
    <row r="390" spans="1:40" ht="15" customHeight="1">
      <c r="A390" s="258" t="s">
        <v>2460</v>
      </c>
      <c r="B390" s="263">
        <f>'Dry_Litterbag Placem_Collection'!A171</f>
        <v>169</v>
      </c>
      <c r="C390" s="263" t="str">
        <f>'Dry_Litterbag Placem_Collection'!B171</f>
        <v>Handajega</v>
      </c>
      <c r="D390" s="263" t="s">
        <v>2659</v>
      </c>
      <c r="E390" s="263" t="s">
        <v>2661</v>
      </c>
      <c r="F390" s="263">
        <v>2</v>
      </c>
      <c r="G390" s="264" t="str">
        <f>'Dry_Litterbag Placem_Collection'!C171</f>
        <v>Wet_W2_T1</v>
      </c>
      <c r="H390" s="265" t="s">
        <v>2541</v>
      </c>
      <c r="I390" s="272" t="s">
        <v>298</v>
      </c>
      <c r="J390" s="223" t="str">
        <f>'WetLitterbags placem_collection'!M171</f>
        <v>R453</v>
      </c>
      <c r="K390" s="225">
        <f>IFERROR(INDEX('Green_rooibos initial weight'!$C$5:$C$1749,MATCH(J390, 'Green_rooibos initial weight'!$A$5:$A$1749,0)),"")</f>
        <v>2.165</v>
      </c>
      <c r="L390" s="225">
        <f>IFERROR(K390-(TBIcalc!$H$9+TBIcalc!$H$10),"")</f>
        <v>1.9152</v>
      </c>
      <c r="M390" s="391">
        <f>AVERAGE(Ashed_controlls!$K$12:$K$14)</f>
        <v>2.2816647271287041</v>
      </c>
      <c r="N390" s="225">
        <f t="shared" si="32"/>
        <v>1.8715015571460312</v>
      </c>
      <c r="O390" s="225">
        <f>IF(IFERROR(INDEX('Both teabags AfterWet'!$C$3:$C$841,MATCH(J390,'Both teabags AfterWet'!$A$3:$A$841,0)),"")="","",(IFERROR(INDEX('Both teabags AfterWet'!$C$3:$C$841,MATCH(J390,'Both teabags AfterWet'!$A$3:$A$841,0)),"")))</f>
        <v>0.14299999999999999</v>
      </c>
      <c r="P390" s="225">
        <f>IFERROR(IF(O390&gt;0,O390-(TBIcalc!$H$9),""),"")</f>
        <v>-7.6000000000000234E-3</v>
      </c>
      <c r="Q390" s="225" t="str">
        <f>IFERROR(INDEX('Ashed teabags wet'!$K$2:$K$821,MATCH(J390,'Ashed teabags wet'!$A$2:$A$821,0)),"")</f>
        <v/>
      </c>
      <c r="R390" s="225" t="str">
        <f t="shared" si="31"/>
        <v/>
      </c>
      <c r="S390" s="226">
        <f>'WetLitterbags placem_collection'!E171</f>
        <v>42763</v>
      </c>
      <c r="T390" s="226">
        <f>IF('WetLitterbags placem_collection'!G171="","",'WetLitterbags placem_collection'!G171)</f>
        <v>42814</v>
      </c>
      <c r="U390" s="227">
        <f t="shared" si="33"/>
        <v>51</v>
      </c>
      <c r="V390" s="225">
        <f t="shared" si="34"/>
        <v>1.9228000000000001</v>
      </c>
      <c r="W390" s="225" t="str">
        <f t="shared" si="35"/>
        <v/>
      </c>
      <c r="X390">
        <f>IFERROR(INDEX(Rainfall_Wet!$O$2:$O$217,MATCH(B390, Rainfall_Wet!$A$2:$A$217,0)),"")</f>
        <v>181.383442621</v>
      </c>
      <c r="Y390" s="231">
        <v>23.96</v>
      </c>
      <c r="Z390" s="231">
        <v>4.9199999999999982</v>
      </c>
      <c r="AA390" s="231">
        <v>71.12</v>
      </c>
      <c r="AB390" s="232" t="s">
        <v>2670</v>
      </c>
      <c r="AC390" s="231">
        <v>3.30913750616067</v>
      </c>
      <c r="AD390">
        <f>IF('WetLitterbags placem_collection'!AB171="","",'WetLitterbags placem_collection'!AB171)</f>
        <v>8.1999999999999993</v>
      </c>
      <c r="AE390">
        <f>IF('WetLitterbags placem_collection'!Z171="","",'WetLitterbags placem_collection'!Z171)</f>
        <v>11.4</v>
      </c>
      <c r="AF390" s="246" t="str">
        <f>IF('WetLitterbags placem_collection'!AA171="","",'WetLitterbags placem_collection'!AA171)</f>
        <v>O</v>
      </c>
      <c r="AG390">
        <f>IF('WetLitterbags placem_collection'!AC171="","",'WetLitterbags placem_collection'!AC171)</f>
        <v>1</v>
      </c>
      <c r="AH390" s="24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placem_collection'!W171)),"YES","NO")</f>
        <v>YES</v>
      </c>
      <c r="AM390" t="str">
        <f>IF(ISNUMBER(SEARCH("H", 'WetLitterbags placem_collection'!W171)),"YES","NO")</f>
        <v>YES</v>
      </c>
      <c r="AN390" t="str">
        <f>IF(ISNUMBER(SEARCH("R", 'WetLitterbags placem_collection'!W171)),"YES","NO")</f>
        <v>NO</v>
      </c>
    </row>
    <row r="391" spans="1:40" ht="15" customHeight="1">
      <c r="A391" s="258" t="s">
        <v>2460</v>
      </c>
      <c r="B391" s="263">
        <f>'Dry_Litterbag Placem_Collection'!A172</f>
        <v>170</v>
      </c>
      <c r="C391" s="263" t="str">
        <f>'Dry_Litterbag Placem_Collection'!B172</f>
        <v>Handajega</v>
      </c>
      <c r="D391" s="263" t="s">
        <v>2659</v>
      </c>
      <c r="E391" s="263" t="s">
        <v>2661</v>
      </c>
      <c r="F391" s="263">
        <v>2</v>
      </c>
      <c r="G391" s="264" t="str">
        <f>'Dry_Litterbag Placem_Collection'!C172</f>
        <v>Wet_W2_T2</v>
      </c>
      <c r="H391" s="265" t="s">
        <v>2541</v>
      </c>
      <c r="I391" s="272" t="s">
        <v>298</v>
      </c>
      <c r="J391" s="223" t="str">
        <f>'WetLitterbags placem_collection'!M172</f>
        <v>R330</v>
      </c>
      <c r="K391" s="225">
        <f>IFERROR(INDEX('Green_rooibos initial weight'!$C$5:$C$1749,MATCH(J391, 'Green_rooibos initial weight'!$A$5:$A$1749,0)),"")</f>
        <v>2.12</v>
      </c>
      <c r="L391" s="225">
        <f>IFERROR(K391-(TBIcalc!$H$9+TBIcalc!$H$10),"")</f>
        <v>1.8702000000000001</v>
      </c>
      <c r="M391" s="391">
        <f>AVERAGE(Ashed_controlls!$K$12:$K$14)</f>
        <v>2.2816647271287041</v>
      </c>
      <c r="N391" s="225">
        <f t="shared" si="32"/>
        <v>1.827528306273239</v>
      </c>
      <c r="O391" s="225">
        <f>IF(IFERROR(INDEX('Both teabags AfterWet'!$C$3:$C$841,MATCH(J391,'Both teabags AfterWet'!$A$3:$A$841,0)),"")="","",(IFERROR(INDEX('Both teabags AfterWet'!$C$3:$C$841,MATCH(J391,'Both teabags AfterWet'!$A$3:$A$841,0)),"")))</f>
        <v>1.7769999999999999</v>
      </c>
      <c r="P391" s="225">
        <f>IFERROR(IF(O391&gt;0,O391-(TBIcalc!$H$9),""),"")</f>
        <v>1.6263999999999998</v>
      </c>
      <c r="Q391" s="225">
        <f>IFERROR(INDEX('Ashed teabags wet'!$K$2:$K$821,MATCH(J391,'Ashed teabags wet'!$A$2:$A$821,0)),"")</f>
        <v>2.1642892277422194</v>
      </c>
      <c r="R391" s="225">
        <f t="shared" si="31"/>
        <v>1.5912000000000004</v>
      </c>
      <c r="S391" s="226">
        <f>'WetLitterbags placem_collection'!E172</f>
        <v>42763</v>
      </c>
      <c r="T391" s="226">
        <f>IF('WetLitterbags placem_collection'!G172="","",'WetLitterbags placem_collection'!G172)</f>
        <v>42814</v>
      </c>
      <c r="U391" s="227">
        <f t="shared" si="33"/>
        <v>51</v>
      </c>
      <c r="V391" s="225">
        <f t="shared" si="34"/>
        <v>0.24380000000000024</v>
      </c>
      <c r="W391" s="225">
        <f t="shared" si="35"/>
        <v>0.23632830627323864</v>
      </c>
      <c r="X391">
        <f>IFERROR(INDEX(Rainfall_Wet!$O$2:$O$217,MATCH(B391, Rainfall_Wet!$A$2:$A$217,0)),"")</f>
        <v>181.383442621</v>
      </c>
      <c r="Y391" s="231">
        <v>23.96</v>
      </c>
      <c r="Z391" s="231">
        <v>4.9199999999999982</v>
      </c>
      <c r="AA391" s="231">
        <v>71.12</v>
      </c>
      <c r="AB391" s="232" t="s">
        <v>2670</v>
      </c>
      <c r="AC391" s="231">
        <v>4.3091375061606696</v>
      </c>
      <c r="AD391">
        <f>IF('WetLitterbags placem_collection'!AB172="","",'WetLitterbags placem_collection'!AB172)</f>
        <v>7.7</v>
      </c>
      <c r="AE391">
        <f>IF('WetLitterbags placem_collection'!Z172="","",'WetLitterbags placem_collection'!Z172)</f>
        <v>15.8</v>
      </c>
      <c r="AF391" s="246" t="str">
        <f>IF('WetLitterbags placem_collection'!AA172="","",'WetLitterbags placem_collection'!AA172)</f>
        <v>O</v>
      </c>
      <c r="AG391">
        <f>IF('WetLitterbags placem_collection'!AC172="","",'WetLitterbags placem_collection'!AC172)</f>
        <v>1</v>
      </c>
      <c r="AH391" s="24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placem_collection'!W172)),"YES","NO")</f>
        <v>NO</v>
      </c>
      <c r="AM391" t="str">
        <f>IF(ISNUMBER(SEARCH("H", 'WetLitterbags placem_collection'!W172)),"YES","NO")</f>
        <v>NO</v>
      </c>
      <c r="AN391" t="str">
        <f>IF(ISNUMBER(SEARCH("R", 'WetLitterbags placem_collection'!W172)),"YES","NO")</f>
        <v>NO</v>
      </c>
    </row>
    <row r="392" spans="1:40" ht="15" customHeight="1">
      <c r="A392" s="258" t="s">
        <v>2460</v>
      </c>
      <c r="B392" s="263">
        <f>'Dry_Litterbag Placem_Collection'!A173</f>
        <v>171</v>
      </c>
      <c r="C392" s="263" t="str">
        <f>'Dry_Litterbag Placem_Collection'!B173</f>
        <v>Handajega</v>
      </c>
      <c r="D392" s="263" t="s">
        <v>2659</v>
      </c>
      <c r="E392" s="263" t="s">
        <v>2661</v>
      </c>
      <c r="F392" s="263">
        <v>2</v>
      </c>
      <c r="G392" s="264" t="str">
        <f>'Dry_Litterbag Placem_Collection'!C173</f>
        <v>Wet_W2_T3</v>
      </c>
      <c r="H392" s="265" t="s">
        <v>2541</v>
      </c>
      <c r="I392" s="272" t="s">
        <v>298</v>
      </c>
      <c r="J392" s="223" t="str">
        <f>'WetLitterbags placem_collection'!M173</f>
        <v>R558</v>
      </c>
      <c r="K392" s="225">
        <f>IFERROR(INDEX('Green_rooibos initial weight'!$C$5:$C$1749,MATCH(J392, 'Green_rooibos initial weight'!$A$5:$A$1749,0)),"")</f>
        <v>2.1760000000000002</v>
      </c>
      <c r="L392" s="225">
        <f>IFERROR(K392-(TBIcalc!$H$9+TBIcalc!$H$10),"")</f>
        <v>1.9262000000000001</v>
      </c>
      <c r="M392" s="391">
        <f>AVERAGE(Ashed_controlls!$K$12:$K$14)</f>
        <v>2.2816647271287041</v>
      </c>
      <c r="N392" s="225">
        <f t="shared" si="32"/>
        <v>1.8822505740260471</v>
      </c>
      <c r="O392" s="225">
        <f>IF(IFERROR(INDEX('Both teabags AfterWet'!$C$3:$C$841,MATCH(J392,'Both teabags AfterWet'!$A$3:$A$841,0)),"")="","",(IFERROR(INDEX('Both teabags AfterWet'!$C$3:$C$841,MATCH(J392,'Both teabags AfterWet'!$A$3:$A$841,0)),"")))</f>
        <v>1.61</v>
      </c>
      <c r="P392" s="225">
        <f>IFERROR(IF(O392&gt;0,O392-(TBIcalc!$H$9),""),"")</f>
        <v>1.4594</v>
      </c>
      <c r="Q392" s="225">
        <f>IFERROR(INDEX('Ashed teabags wet'!$K$2:$K$821,MATCH(J392,'Ashed teabags wet'!$A$2:$A$821,0)),"")</f>
        <v>2.9640427599611376</v>
      </c>
      <c r="R392" s="225">
        <f t="shared" si="31"/>
        <v>1.4161427599611272</v>
      </c>
      <c r="S392" s="226">
        <f>'WetLitterbags placem_collection'!E173</f>
        <v>42763</v>
      </c>
      <c r="T392" s="226">
        <f>IF('WetLitterbags placem_collection'!G173="","",'WetLitterbags placem_collection'!G173)</f>
        <v>42814</v>
      </c>
      <c r="U392" s="227">
        <f t="shared" si="33"/>
        <v>51</v>
      </c>
      <c r="V392" s="225">
        <f t="shared" si="34"/>
        <v>0.4668000000000001</v>
      </c>
      <c r="W392" s="225">
        <f t="shared" si="35"/>
        <v>0.46610781406491997</v>
      </c>
      <c r="X392">
        <f>IFERROR(INDEX(Rainfall_Wet!$O$2:$O$217,MATCH(B392, Rainfall_Wet!$A$2:$A$217,0)),"")</f>
        <v>181.383442621</v>
      </c>
      <c r="Y392" s="231">
        <v>23.96</v>
      </c>
      <c r="Z392" s="231">
        <v>4.9199999999999982</v>
      </c>
      <c r="AA392" s="231">
        <v>71.12</v>
      </c>
      <c r="AB392" s="232" t="s">
        <v>2670</v>
      </c>
      <c r="AC392" s="231">
        <v>5.3091375061606696</v>
      </c>
      <c r="AD392">
        <f>IF('WetLitterbags placem_collection'!AB173="","",'WetLitterbags placem_collection'!AB173)</f>
        <v>13.4</v>
      </c>
      <c r="AE392">
        <f>IF('WetLitterbags placem_collection'!Z173="","",'WetLitterbags placem_collection'!Z173)</f>
        <v>7.6</v>
      </c>
      <c r="AF392" s="246" t="str">
        <f>IF('WetLitterbags placem_collection'!AA173="","",'WetLitterbags placem_collection'!AA173)</f>
        <v>O</v>
      </c>
      <c r="AG392">
        <f>IF('WetLitterbags placem_collection'!AC173="","",'WetLitterbags placem_collection'!AC173)</f>
        <v>1</v>
      </c>
      <c r="AH392" s="24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placem_collection'!W173)),"YES","NO")</f>
        <v>NO</v>
      </c>
      <c r="AM392" t="str">
        <f>IF(ISNUMBER(SEARCH("H", 'WetLitterbags placem_collection'!W173)),"YES","NO")</f>
        <v>NO</v>
      </c>
      <c r="AN392" t="str">
        <f>IF(ISNUMBER(SEARCH("R", 'WetLitterbags placem_collection'!W173)),"YES","NO")</f>
        <v>NO</v>
      </c>
    </row>
    <row r="393" spans="1:40" ht="15" customHeight="1">
      <c r="A393" s="258" t="s">
        <v>2460</v>
      </c>
      <c r="B393" s="263">
        <f>'Dry_Litterbag Placem_Collection'!A174</f>
        <v>172</v>
      </c>
      <c r="C393" s="263" t="str">
        <f>'Dry_Litterbag Placem_Collection'!B174</f>
        <v>Handajega</v>
      </c>
      <c r="D393" s="263" t="s">
        <v>2659</v>
      </c>
      <c r="E393" s="263" t="s">
        <v>2661</v>
      </c>
      <c r="F393" s="263">
        <v>2</v>
      </c>
      <c r="G393" s="264" t="str">
        <f>'Dry_Litterbag Placem_Collection'!C174</f>
        <v>Wet_W2_T4</v>
      </c>
      <c r="H393" s="265" t="s">
        <v>2541</v>
      </c>
      <c r="I393" s="272" t="s">
        <v>298</v>
      </c>
      <c r="J393" s="223" t="str">
        <f>'WetLitterbags placem_collection'!M174</f>
        <v>R157</v>
      </c>
      <c r="K393" s="225">
        <f>IFERROR(INDEX('Green_rooibos initial weight'!$C$5:$C$1749,MATCH(J393, 'Green_rooibos initial weight'!$A$5:$A$1749,0)),"")</f>
        <v>2.1819999999999999</v>
      </c>
      <c r="L393" s="225">
        <f>IFERROR(K393-(TBIcalc!$H$9+TBIcalc!$H$10),"")</f>
        <v>1.9321999999999999</v>
      </c>
      <c r="M393" s="391">
        <f>AVERAGE(Ashed_controlls!$K$12:$K$14)</f>
        <v>2.2816647271287041</v>
      </c>
      <c r="N393" s="225">
        <f t="shared" si="32"/>
        <v>1.8881136741424192</v>
      </c>
      <c r="O393" s="225">
        <f>IF(IFERROR(INDEX('Both teabags AfterWet'!$C$3:$C$841,MATCH(J393,'Both teabags AfterWet'!$A$3:$A$841,0)),"")="","",(IFERROR(INDEX('Both teabags AfterWet'!$C$3:$C$841,MATCH(J393,'Both teabags AfterWet'!$A$3:$A$841,0)),"")))</f>
        <v>1.6782000000000001</v>
      </c>
      <c r="P393" s="225">
        <f>IFERROR(IF(O393&gt;0,O393-(TBIcalc!$H$9),""),"")</f>
        <v>1.5276000000000001</v>
      </c>
      <c r="Q393" s="225">
        <f>IFERROR(INDEX('Ashed teabags wet'!$K$2:$K$821,MATCH(J393,'Ashed teabags wet'!$A$2:$A$821,0)),"")</f>
        <v>4.6332046332039889</v>
      </c>
      <c r="R393" s="225">
        <f t="shared" si="31"/>
        <v>1.4568231660231759</v>
      </c>
      <c r="S393" s="226">
        <f>'WetLitterbags placem_collection'!E174</f>
        <v>42763</v>
      </c>
      <c r="T393" s="226">
        <f>IF('WetLitterbags placem_collection'!G174="","",'WetLitterbags placem_collection'!G174)</f>
        <v>42814</v>
      </c>
      <c r="U393" s="227">
        <f t="shared" si="33"/>
        <v>51</v>
      </c>
      <c r="V393" s="225">
        <f t="shared" si="34"/>
        <v>0.40459999999999985</v>
      </c>
      <c r="W393" s="225">
        <f t="shared" si="35"/>
        <v>0.4312905081192433</v>
      </c>
      <c r="X393">
        <f>IFERROR(INDEX(Rainfall_Wet!$O$2:$O$217,MATCH(B393, Rainfall_Wet!$A$2:$A$217,0)),"")</f>
        <v>181.383442621</v>
      </c>
      <c r="Y393" s="231">
        <v>23.96</v>
      </c>
      <c r="Z393" s="231">
        <v>4.9199999999999982</v>
      </c>
      <c r="AA393" s="231">
        <v>71.12</v>
      </c>
      <c r="AB393" s="232" t="s">
        <v>2670</v>
      </c>
      <c r="AC393" s="231">
        <v>6.3091375061606696</v>
      </c>
      <c r="AD393">
        <f>IF('WetLitterbags placem_collection'!AB174="","",'WetLitterbags placem_collection'!AB174)</f>
        <v>3.3</v>
      </c>
      <c r="AE393">
        <f>IF('WetLitterbags placem_collection'!Z174="","",'WetLitterbags placem_collection'!Z174)</f>
        <v>28.4</v>
      </c>
      <c r="AF393" s="246" t="str">
        <f>IF('WetLitterbags placem_collection'!AA174="","",'WetLitterbags placem_collection'!AA174)</f>
        <v>G</v>
      </c>
      <c r="AG393">
        <f>IF('WetLitterbags placem_collection'!AC174="","",'WetLitterbags placem_collection'!AC174)</f>
        <v>1</v>
      </c>
      <c r="AH393" s="24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placem_collection'!W174)),"YES","NO")</f>
        <v>NO</v>
      </c>
      <c r="AM393" t="str">
        <f>IF(ISNUMBER(SEARCH("H", 'WetLitterbags placem_collection'!W174)),"YES","NO")</f>
        <v>NO</v>
      </c>
      <c r="AN393" t="str">
        <f>IF(ISNUMBER(SEARCH("R", 'WetLitterbags placem_collection'!W174)),"YES","NO")</f>
        <v>YES</v>
      </c>
    </row>
    <row r="394" spans="1:40" ht="15" customHeight="1">
      <c r="A394" s="258" t="s">
        <v>2460</v>
      </c>
      <c r="B394" s="263">
        <f>'Dry_Litterbag Placem_Collection'!A175</f>
        <v>173</v>
      </c>
      <c r="C394" s="263" t="str">
        <f>'Dry_Litterbag Placem_Collection'!B175</f>
        <v>Handajega</v>
      </c>
      <c r="D394" s="263" t="s">
        <v>2659</v>
      </c>
      <c r="E394" s="263" t="s">
        <v>2661</v>
      </c>
      <c r="F394" s="263">
        <v>2</v>
      </c>
      <c r="G394" s="264" t="str">
        <f>'Dry_Litterbag Placem_Collection'!C175</f>
        <v>Wet_W2_T5</v>
      </c>
      <c r="H394" s="265" t="s">
        <v>2541</v>
      </c>
      <c r="I394" s="272" t="s">
        <v>298</v>
      </c>
      <c r="J394" s="223" t="str">
        <f>'WetLitterbags placem_collection'!M175</f>
        <v>R57</v>
      </c>
      <c r="K394" s="225">
        <f>IFERROR(INDEX('Green_rooibos initial weight'!$C$5:$C$1749,MATCH(J394, 'Green_rooibos initial weight'!$A$5:$A$1749,0)),"")</f>
        <v>2.1890000000000001</v>
      </c>
      <c r="L394" s="225">
        <f>IFERROR(K394-(TBIcalc!$H$9+TBIcalc!$H$10),"")</f>
        <v>1.9392</v>
      </c>
      <c r="M394" s="391">
        <f>AVERAGE(Ashed_controlls!$K$12:$K$14)</f>
        <v>2.2816647271287041</v>
      </c>
      <c r="N394" s="225">
        <f t="shared" si="32"/>
        <v>1.8949539576115202</v>
      </c>
      <c r="O394" s="225" t="str">
        <f>IF(IFERROR(INDEX('Both teabags AfterWet'!$C$3:$C$841,MATCH(J394,'Both teabags AfterWet'!$A$3:$A$841,0)),"")="","",(IFERROR(INDEX('Both teabags AfterWet'!$C$3:$C$841,MATCH(J394,'Both teabags AfterWet'!$A$3:$A$841,0)),"")))</f>
        <v/>
      </c>
      <c r="P394" s="225" t="str">
        <f>IFERROR(IF(O394&gt;0,O394-(TBIcalc!$H$9),""),"")</f>
        <v/>
      </c>
      <c r="Q394" s="225" t="str">
        <f>IFERROR(INDEX('Ashed teabags wet'!$K$2:$K$821,MATCH(J394,'Ashed teabags wet'!$A$2:$A$821,0)),"")</f>
        <v/>
      </c>
      <c r="R394" s="225" t="str">
        <f t="shared" si="31"/>
        <v/>
      </c>
      <c r="S394" s="226">
        <f>'WetLitterbags placem_collection'!E175</f>
        <v>42763</v>
      </c>
      <c r="T394" s="226">
        <f>IF('WetLitterbags placem_collection'!G175="","",'WetLitterbags placem_collection'!G175)</f>
        <v>42814</v>
      </c>
      <c r="U394" s="227">
        <f t="shared" si="33"/>
        <v>51</v>
      </c>
      <c r="V394" s="225" t="str">
        <f t="shared" si="34"/>
        <v/>
      </c>
      <c r="W394" s="225" t="str">
        <f t="shared" si="35"/>
        <v/>
      </c>
      <c r="X394">
        <f>IFERROR(INDEX(Rainfall_Wet!$O$2:$O$217,MATCH(B394, Rainfall_Wet!$A$2:$A$217,0)),"")</f>
        <v>181.383442621</v>
      </c>
      <c r="Y394" s="231">
        <v>23.96</v>
      </c>
      <c r="Z394" s="231">
        <v>4.9199999999999982</v>
      </c>
      <c r="AA394" s="231">
        <v>71.12</v>
      </c>
      <c r="AB394" s="232" t="s">
        <v>2670</v>
      </c>
      <c r="AC394" s="231">
        <v>7.3091375061606696</v>
      </c>
      <c r="AD394">
        <f>IF('WetLitterbags placem_collection'!AB175="","",'WetLitterbags placem_collection'!AB175)</f>
        <v>15.4</v>
      </c>
      <c r="AE394">
        <f>IF('WetLitterbags placem_collection'!Z175="","",'WetLitterbags placem_collection'!Z175)</f>
        <v>12.4</v>
      </c>
      <c r="AF394" s="246" t="str">
        <f>IF('WetLitterbags placem_collection'!AA175="","",'WetLitterbags placem_collection'!AA175)</f>
        <v>O</v>
      </c>
      <c r="AG394">
        <f>IF('WetLitterbags placem_collection'!AC175="","",'WetLitterbags placem_collection'!AC175)</f>
        <v>0</v>
      </c>
      <c r="AH394" s="24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placem_collection'!W175)),"YES","NO")</f>
        <v>YES</v>
      </c>
      <c r="AM394" t="str">
        <f>IF(ISNUMBER(SEARCH("H", 'WetLitterbags placem_collection'!W175)),"YES","NO")</f>
        <v>YES</v>
      </c>
      <c r="AN394" t="str">
        <f>IF(ISNUMBER(SEARCH("R", 'WetLitterbags placem_collection'!W175)),"YES","NO")</f>
        <v>NO</v>
      </c>
    </row>
    <row r="395" spans="1:40" ht="15" customHeight="1">
      <c r="A395" s="258" t="s">
        <v>2460</v>
      </c>
      <c r="B395" s="263">
        <f>'Dry_Litterbag Placem_Collection'!A176</f>
        <v>174</v>
      </c>
      <c r="C395" s="263" t="str">
        <f>'Dry_Litterbag Placem_Collection'!B176</f>
        <v>Handajega</v>
      </c>
      <c r="D395" s="263" t="s">
        <v>2659</v>
      </c>
      <c r="E395" s="263" t="s">
        <v>2661</v>
      </c>
      <c r="F395" s="263">
        <v>2</v>
      </c>
      <c r="G395" s="264" t="str">
        <f>'Dry_Litterbag Placem_Collection'!C176</f>
        <v>Wet_W2_T6</v>
      </c>
      <c r="H395" s="265" t="s">
        <v>2541</v>
      </c>
      <c r="I395" s="272" t="s">
        <v>298</v>
      </c>
      <c r="J395" s="223" t="str">
        <f>'WetLitterbags placem_collection'!M176</f>
        <v>R307</v>
      </c>
      <c r="K395" s="225">
        <f>IFERROR(INDEX('Green_rooibos initial weight'!$C$5:$C$1749,MATCH(J395, 'Green_rooibos initial weight'!$A$5:$A$1749,0)),"")</f>
        <v>2.2010000000000001</v>
      </c>
      <c r="L395" s="225">
        <f>IFERROR(K395-(TBIcalc!$H$9+TBIcalc!$H$10),"")</f>
        <v>1.9512</v>
      </c>
      <c r="M395" s="391">
        <f>AVERAGE(Ashed_controlls!$K$12:$K$14)</f>
        <v>2.2816647271287041</v>
      </c>
      <c r="N395" s="225">
        <f t="shared" si="32"/>
        <v>1.9066801578442647</v>
      </c>
      <c r="O395" s="225">
        <f>IF(IFERROR(INDEX('Both teabags AfterWet'!$C$3:$C$841,MATCH(J395,'Both teabags AfterWet'!$A$3:$A$841,0)),"")="","",(IFERROR(INDEX('Both teabags AfterWet'!$C$3:$C$841,MATCH(J395,'Both teabags AfterWet'!$A$3:$A$841,0)),"")))</f>
        <v>1.724</v>
      </c>
      <c r="P395" s="225">
        <f>IFERROR(IF(O395&gt;0,O395-(TBIcalc!$H$9),""),"")</f>
        <v>1.5733999999999999</v>
      </c>
      <c r="Q395" s="225">
        <f>IFERROR(INDEX('Ashed teabags wet'!$K$2:$K$821,MATCH(J395,'Ashed teabags wet'!$A$2:$A$821,0)),"")</f>
        <v>1.5880893300249692</v>
      </c>
      <c r="R395" s="225">
        <f t="shared" ref="R395:R458" si="36">IFERROR(P395-(Q395/100)*P395,"")</f>
        <v>1.5484130024813871</v>
      </c>
      <c r="S395" s="226">
        <f>'WetLitterbags placem_collection'!E176</f>
        <v>42763</v>
      </c>
      <c r="T395" s="226">
        <f>IF('WetLitterbags placem_collection'!G176="","",'WetLitterbags placem_collection'!G176)</f>
        <v>42814</v>
      </c>
      <c r="U395" s="227">
        <f t="shared" si="33"/>
        <v>51</v>
      </c>
      <c r="V395" s="225">
        <f t="shared" si="34"/>
        <v>0.37780000000000014</v>
      </c>
      <c r="W395" s="225">
        <f t="shared" si="35"/>
        <v>0.35826715536287757</v>
      </c>
      <c r="X395">
        <f>IFERROR(INDEX(Rainfall_Wet!$O$2:$O$217,MATCH(B395, Rainfall_Wet!$A$2:$A$217,0)),"")</f>
        <v>181.383442621</v>
      </c>
      <c r="Y395" s="231">
        <v>23.96</v>
      </c>
      <c r="Z395" s="231">
        <v>4.9199999999999982</v>
      </c>
      <c r="AA395" s="231">
        <v>71.12</v>
      </c>
      <c r="AB395" s="232" t="s">
        <v>2670</v>
      </c>
      <c r="AC395" s="231">
        <v>8.3091375061606705</v>
      </c>
      <c r="AD395">
        <f>IF('WetLitterbags placem_collection'!AB176="","",'WetLitterbags placem_collection'!AB176)</f>
        <v>7.4</v>
      </c>
      <c r="AE395">
        <f>IF('WetLitterbags placem_collection'!Z176="","",'WetLitterbags placem_collection'!Z176)</f>
        <v>7.4</v>
      </c>
      <c r="AF395" s="246" t="str">
        <f>IF('WetLitterbags placem_collection'!AA176="","",'WetLitterbags placem_collection'!AA176)</f>
        <v>O</v>
      </c>
      <c r="AG395">
        <f>IF('WetLitterbags placem_collection'!AC176="","",'WetLitterbags placem_collection'!AC176)</f>
        <v>0</v>
      </c>
      <c r="AH395" s="24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placem_collection'!W176)),"YES","NO")</f>
        <v>NO</v>
      </c>
      <c r="AM395" t="str">
        <f>IF(ISNUMBER(SEARCH("H", 'WetLitterbags placem_collection'!W176)),"YES","NO")</f>
        <v>NO</v>
      </c>
      <c r="AN395" t="str">
        <f>IF(ISNUMBER(SEARCH("R", 'WetLitterbags placem_collection'!W176)),"YES","NO")</f>
        <v>YES</v>
      </c>
    </row>
    <row r="396" spans="1:40" ht="15" customHeight="1">
      <c r="A396" s="258" t="s">
        <v>2460</v>
      </c>
      <c r="B396" s="263">
        <f>'Dry_Litterbag Placem_Collection'!A177</f>
        <v>175</v>
      </c>
      <c r="C396" s="263" t="str">
        <f>'Dry_Litterbag Placem_Collection'!B177</f>
        <v>Handajega</v>
      </c>
      <c r="D396" s="263" t="s">
        <v>2659</v>
      </c>
      <c r="E396" s="263" t="s">
        <v>2661</v>
      </c>
      <c r="F396" s="263">
        <v>2</v>
      </c>
      <c r="G396" s="264" t="str">
        <f>'Dry_Litterbag Placem_Collection'!C177</f>
        <v>Wet_W2_T7</v>
      </c>
      <c r="H396" s="265" t="s">
        <v>2541</v>
      </c>
      <c r="I396" s="272" t="s">
        <v>298</v>
      </c>
      <c r="J396" s="223" t="str">
        <f>'WetLitterbags placem_collection'!M177</f>
        <v>R458</v>
      </c>
      <c r="K396" s="225">
        <f>IFERROR(INDEX('Green_rooibos initial weight'!$C$5:$C$1749,MATCH(J396, 'Green_rooibos initial weight'!$A$5:$A$1749,0)),"")</f>
        <v>2.2370000000000001</v>
      </c>
      <c r="L396" s="225">
        <f>IFERROR(K396-(TBIcalc!$H$9+TBIcalc!$H$10),"")</f>
        <v>1.9872000000000001</v>
      </c>
      <c r="M396" s="391">
        <f>AVERAGE(Ashed_controlls!$K$12:$K$14)</f>
        <v>2.2816647271287041</v>
      </c>
      <c r="N396" s="225">
        <f t="shared" si="32"/>
        <v>1.9418587585424985</v>
      </c>
      <c r="O396" s="225">
        <f>IF(IFERROR(INDEX('Both teabags AfterWet'!$C$3:$C$841,MATCH(J396,'Both teabags AfterWet'!$A$3:$A$841,0)),"")="","",(IFERROR(INDEX('Both teabags AfterWet'!$C$3:$C$841,MATCH(J396,'Both teabags AfterWet'!$A$3:$A$841,0)),"")))</f>
        <v>0.61699999999999999</v>
      </c>
      <c r="P396" s="225">
        <f>IFERROR(IF(O396&gt;0,O396-(TBIcalc!$H$9),""),"")</f>
        <v>0.46639999999999998</v>
      </c>
      <c r="Q396" s="225">
        <f>IFERROR(INDEX('Ashed teabags wet'!$K$2:$K$821,MATCH(J396,'Ashed teabags wet'!$A$2:$A$821,0)),"")</f>
        <v>65.665665665665671</v>
      </c>
      <c r="R396" s="225">
        <f t="shared" si="36"/>
        <v>0.1601353353353353</v>
      </c>
      <c r="S396" s="226">
        <f>'WetLitterbags placem_collection'!E177</f>
        <v>42763</v>
      </c>
      <c r="T396" s="226">
        <f>IF('WetLitterbags placem_collection'!G177="","",'WetLitterbags placem_collection'!G177)</f>
        <v>42814</v>
      </c>
      <c r="U396" s="227">
        <f t="shared" si="33"/>
        <v>51</v>
      </c>
      <c r="V396" s="225">
        <f t="shared" si="34"/>
        <v>1.5208000000000002</v>
      </c>
      <c r="W396" s="225">
        <f t="shared" si="35"/>
        <v>1.781723423207163</v>
      </c>
      <c r="X396">
        <f>IFERROR(INDEX(Rainfall_Wet!$O$2:$O$217,MATCH(B396, Rainfall_Wet!$A$2:$A$217,0)),"")</f>
        <v>181.383442621</v>
      </c>
      <c r="Y396" s="231">
        <v>23.96</v>
      </c>
      <c r="Z396" s="231">
        <v>4.9199999999999982</v>
      </c>
      <c r="AA396" s="231">
        <v>71.12</v>
      </c>
      <c r="AB396" s="232" t="s">
        <v>2670</v>
      </c>
      <c r="AC396" s="231">
        <v>9.3091375061606705</v>
      </c>
      <c r="AD396">
        <f>IF('WetLitterbags placem_collection'!AB177="","",'WetLitterbags placem_collection'!AB177)</f>
        <v>15.4</v>
      </c>
      <c r="AE396">
        <f>IF('WetLitterbags placem_collection'!Z177="","",'WetLitterbags placem_collection'!Z177)</f>
        <v>9.8000000000000007</v>
      </c>
      <c r="AF396" s="246" t="str">
        <f>IF('WetLitterbags placem_collection'!AA177="","",'WetLitterbags placem_collection'!AA177)</f>
        <v>O</v>
      </c>
      <c r="AG396">
        <f>IF('WetLitterbags placem_collection'!AC177="","",'WetLitterbags placem_collection'!AC177)</f>
        <v>1</v>
      </c>
      <c r="AH396" s="24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placem_collection'!W177)),"YES","NO")</f>
        <v>YES</v>
      </c>
      <c r="AM396" t="str">
        <f>IF(ISNUMBER(SEARCH("H", 'WetLitterbags placem_collection'!W177)),"YES","NO")</f>
        <v>YES</v>
      </c>
      <c r="AN396" t="str">
        <f>IF(ISNUMBER(SEARCH("R", 'WetLitterbags placem_collection'!W177)),"YES","NO")</f>
        <v>NO</v>
      </c>
    </row>
    <row r="397" spans="1:40" ht="15" customHeight="1">
      <c r="A397" s="258" t="s">
        <v>2460</v>
      </c>
      <c r="B397" s="263">
        <f>'Dry_Litterbag Placem_Collection'!A178</f>
        <v>176</v>
      </c>
      <c r="C397" s="263" t="str">
        <f>'Dry_Litterbag Placem_Collection'!B178</f>
        <v>Handajega</v>
      </c>
      <c r="D397" s="263" t="s">
        <v>2659</v>
      </c>
      <c r="E397" s="263" t="s">
        <v>2661</v>
      </c>
      <c r="F397" s="263">
        <v>2</v>
      </c>
      <c r="G397" s="264" t="str">
        <f>'Dry_Litterbag Placem_Collection'!C178</f>
        <v>Wet_W2_T8</v>
      </c>
      <c r="H397" s="265" t="s">
        <v>2541</v>
      </c>
      <c r="I397" s="272" t="s">
        <v>298</v>
      </c>
      <c r="J397" s="223" t="str">
        <f>'WetLitterbags placem_collection'!M178</f>
        <v>R326</v>
      </c>
      <c r="K397" s="225">
        <f>IFERROR(INDEX('Green_rooibos initial weight'!$C$5:$C$1749,MATCH(J397, 'Green_rooibos initial weight'!$A$5:$A$1749,0)),"")</f>
        <v>2.1890000000000001</v>
      </c>
      <c r="L397" s="225">
        <f>IFERROR(K397-(TBIcalc!$H$9+TBIcalc!$H$10),"")</f>
        <v>1.9392</v>
      </c>
      <c r="M397" s="391">
        <f>AVERAGE(Ashed_controlls!$K$12:$K$14)</f>
        <v>2.2816647271287041</v>
      </c>
      <c r="N397" s="225">
        <f t="shared" si="32"/>
        <v>1.8949539576115202</v>
      </c>
      <c r="O397" s="225">
        <f>IF(IFERROR(INDEX('Both teabags AfterWet'!$C$3:$C$841,MATCH(J397,'Both teabags AfterWet'!$A$3:$A$841,0)),"")="","",(IFERROR(INDEX('Both teabags AfterWet'!$C$3:$C$841,MATCH(J397,'Both teabags AfterWet'!$A$3:$A$841,0)),"")))</f>
        <v>1.694</v>
      </c>
      <c r="P397" s="225">
        <f>IFERROR(IF(O397&gt;0,O397-(TBIcalc!$H$9),""),"")</f>
        <v>1.5433999999999999</v>
      </c>
      <c r="Q397" s="225">
        <f>IFERROR(INDEX('Ashed teabags wet'!$K$2:$K$821,MATCH(J397,'Ashed teabags wet'!$A$2:$A$821,0)),"")</f>
        <v>5.9808612440189712</v>
      </c>
      <c r="R397" s="225">
        <f t="shared" si="36"/>
        <v>1.451091387559811</v>
      </c>
      <c r="S397" s="226">
        <f>'WetLitterbags placem_collection'!E178</f>
        <v>42763</v>
      </c>
      <c r="T397" s="226">
        <f>IF('WetLitterbags placem_collection'!G178="","",'WetLitterbags placem_collection'!G178)</f>
        <v>42814</v>
      </c>
      <c r="U397" s="227">
        <f t="shared" si="33"/>
        <v>51</v>
      </c>
      <c r="V397" s="225">
        <f t="shared" si="34"/>
        <v>0.39580000000000015</v>
      </c>
      <c r="W397" s="225">
        <f t="shared" si="35"/>
        <v>0.44386257005170915</v>
      </c>
      <c r="X397">
        <f>IFERROR(INDEX(Rainfall_Wet!$O$2:$O$217,MATCH(B397, Rainfall_Wet!$A$2:$A$217,0)),"")</f>
        <v>181.383442621</v>
      </c>
      <c r="Y397" s="231">
        <v>23.96</v>
      </c>
      <c r="Z397" s="231">
        <v>4.9199999999999982</v>
      </c>
      <c r="AA397" s="231">
        <v>71.12</v>
      </c>
      <c r="AB397" s="232" t="s">
        <v>2670</v>
      </c>
      <c r="AC397" s="231">
        <v>10.309137506160701</v>
      </c>
      <c r="AD397">
        <f>IF('WetLitterbags placem_collection'!AB178="","",'WetLitterbags placem_collection'!AB178)</f>
        <v>6.8</v>
      </c>
      <c r="AE397">
        <f>IF('WetLitterbags placem_collection'!Z178="","",'WetLitterbags placem_collection'!Z178)</f>
        <v>6.9</v>
      </c>
      <c r="AF397" s="246" t="str">
        <f>IF('WetLitterbags placem_collection'!AA178="","",'WetLitterbags placem_collection'!AA178)</f>
        <v>O</v>
      </c>
      <c r="AG397">
        <f>IF('WetLitterbags placem_collection'!AC178="","",'WetLitterbags placem_collection'!AC178)</f>
        <v>0</v>
      </c>
      <c r="AH397" s="24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placem_collection'!W178)),"YES","NO")</f>
        <v>NO</v>
      </c>
      <c r="AM397" t="str">
        <f>IF(ISNUMBER(SEARCH("H", 'WetLitterbags placem_collection'!W178)),"YES","NO")</f>
        <v>NO</v>
      </c>
      <c r="AN397" t="str">
        <f>IF(ISNUMBER(SEARCH("R", 'WetLitterbags placem_collection'!W178)),"YES","NO")</f>
        <v>NO</v>
      </c>
    </row>
    <row r="398" spans="1:40" ht="15" customHeight="1">
      <c r="A398" s="258" t="s">
        <v>2460</v>
      </c>
      <c r="B398" s="263">
        <f>'Dry_Litterbag Placem_Collection'!A179</f>
        <v>177</v>
      </c>
      <c r="C398" s="263" t="str">
        <f>'Dry_Litterbag Placem_Collection'!B179</f>
        <v>Handajega</v>
      </c>
      <c r="D398" s="263" t="s">
        <v>2659</v>
      </c>
      <c r="E398" s="263" t="s">
        <v>2661</v>
      </c>
      <c r="F398" s="263">
        <v>3</v>
      </c>
      <c r="G398" s="264" t="str">
        <f>'Dry_Litterbag Placem_Collection'!C179</f>
        <v>Wet_W3_T1</v>
      </c>
      <c r="H398" s="265" t="s">
        <v>2541</v>
      </c>
      <c r="I398" s="272" t="s">
        <v>298</v>
      </c>
      <c r="J398" s="223" t="str">
        <f>'WetLitterbags placem_collection'!M179</f>
        <v>R262</v>
      </c>
      <c r="K398" s="225">
        <f>IFERROR(INDEX('Green_rooibos initial weight'!$C$5:$C$1749,MATCH(J398, 'Green_rooibos initial weight'!$A$5:$A$1749,0)),"")</f>
        <v>2.1949999999999998</v>
      </c>
      <c r="L398" s="225">
        <f>IFERROR(K398-(TBIcalc!$H$9+TBIcalc!$H$10),"")</f>
        <v>1.9451999999999998</v>
      </c>
      <c r="M398" s="391">
        <f>AVERAGE(Ashed_controlls!$K$12:$K$14)</f>
        <v>2.2816647271287041</v>
      </c>
      <c r="N398" s="225">
        <f t="shared" si="32"/>
        <v>1.9008170577278922</v>
      </c>
      <c r="O398" s="225">
        <f>IF(IFERROR(INDEX('Both teabags AfterWet'!$C$3:$C$841,MATCH(J398,'Both teabags AfterWet'!$A$3:$A$841,0)),"")="","",(IFERROR(INDEX('Both teabags AfterWet'!$C$3:$C$841,MATCH(J398,'Both teabags AfterWet'!$A$3:$A$841,0)),"")))</f>
        <v>1.671</v>
      </c>
      <c r="P398" s="225">
        <f>IFERROR(IF(O398&gt;0,O398-(TBIcalc!$H$9),""),"")</f>
        <v>1.5204</v>
      </c>
      <c r="Q398" s="225">
        <f>IFERROR(INDEX('Ashed teabags wet'!$K$2:$K$821,MATCH(J398,'Ashed teabags wet'!$A$2:$A$821,0)),"")</f>
        <v>2.7363184079606433</v>
      </c>
      <c r="R398" s="225">
        <f t="shared" si="36"/>
        <v>1.4787970149253664</v>
      </c>
      <c r="S398" s="226">
        <f>'WetLitterbags placem_collection'!E179</f>
        <v>42763</v>
      </c>
      <c r="T398" s="226">
        <f>IF('WetLitterbags placem_collection'!G179="","",'WetLitterbags placem_collection'!G179)</f>
        <v>42815</v>
      </c>
      <c r="U398" s="227">
        <f t="shared" si="33"/>
        <v>52</v>
      </c>
      <c r="V398" s="225">
        <f t="shared" si="34"/>
        <v>0.42479999999999984</v>
      </c>
      <c r="W398" s="225">
        <f t="shared" si="35"/>
        <v>0.42202004280252581</v>
      </c>
      <c r="X398">
        <f>IFERROR(INDEX(Rainfall_Wet!$O$2:$O$217,MATCH(B398, Rainfall_Wet!$A$2:$A$217,0)),"")</f>
        <v>188.24043152799999</v>
      </c>
      <c r="Y398" s="231">
        <v>25.96</v>
      </c>
      <c r="Z398" s="231">
        <v>8.9200000000000017</v>
      </c>
      <c r="AA398" s="231">
        <v>65.12</v>
      </c>
      <c r="AB398" s="232" t="s">
        <v>2670</v>
      </c>
      <c r="AC398" s="231">
        <v>1.614588467225234</v>
      </c>
      <c r="AD398">
        <f>IF('WetLitterbags placem_collection'!AB179="","",'WetLitterbags placem_collection'!AB179)</f>
        <v>17.8</v>
      </c>
      <c r="AE398">
        <f>IF('WetLitterbags placem_collection'!Z179="","",'WetLitterbags placem_collection'!Z179)</f>
        <v>25.8</v>
      </c>
      <c r="AF398" s="246" t="str">
        <f>IF('WetLitterbags placem_collection'!AA179="","",'WetLitterbags placem_collection'!AA179)</f>
        <v>O</v>
      </c>
      <c r="AG398">
        <f>IF('WetLitterbags placem_collection'!AC179="","",'WetLitterbags placem_collection'!AC179)</f>
        <v>0</v>
      </c>
      <c r="AH398" s="24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placem_collection'!W179)),"YES","NO")</f>
        <v>YES</v>
      </c>
      <c r="AM398" t="str">
        <f>IF(ISNUMBER(SEARCH("H", 'WetLitterbags placem_collection'!W179)),"YES","NO")</f>
        <v>NO</v>
      </c>
      <c r="AN398" t="str">
        <f>IF(ISNUMBER(SEARCH("R", 'WetLitterbags placem_collection'!W179)),"YES","NO")</f>
        <v>YES</v>
      </c>
    </row>
    <row r="399" spans="1:40" ht="15" customHeight="1">
      <c r="A399" s="258" t="s">
        <v>2460</v>
      </c>
      <c r="B399" s="263">
        <f>'Dry_Litterbag Placem_Collection'!A180</f>
        <v>178</v>
      </c>
      <c r="C399" s="263" t="str">
        <f>'Dry_Litterbag Placem_Collection'!B180</f>
        <v>Handajega</v>
      </c>
      <c r="D399" s="263" t="s">
        <v>2659</v>
      </c>
      <c r="E399" s="263" t="s">
        <v>2661</v>
      </c>
      <c r="F399" s="263">
        <v>3</v>
      </c>
      <c r="G399" s="264" t="str">
        <f>'Dry_Litterbag Placem_Collection'!C180</f>
        <v>Wet_W3_T2</v>
      </c>
      <c r="H399" s="265" t="s">
        <v>2541</v>
      </c>
      <c r="I399" s="272" t="s">
        <v>298</v>
      </c>
      <c r="J399" s="223" t="str">
        <f>'WetLitterbags placem_collection'!M180</f>
        <v>R309</v>
      </c>
      <c r="K399" s="225">
        <f>IFERROR(INDEX('Green_rooibos initial weight'!$C$5:$C$1749,MATCH(J399, 'Green_rooibos initial weight'!$A$5:$A$1749,0)),"")</f>
        <v>2.1960000000000002</v>
      </c>
      <c r="L399" s="225">
        <f>IFERROR(K399-(TBIcalc!$H$9+TBIcalc!$H$10),"")</f>
        <v>1.9462000000000002</v>
      </c>
      <c r="M399" s="391">
        <f>AVERAGE(Ashed_controlls!$K$12:$K$14)</f>
        <v>2.2816647271287041</v>
      </c>
      <c r="N399" s="225">
        <f t="shared" si="32"/>
        <v>1.9017942410806212</v>
      </c>
      <c r="O399" s="225">
        <f>IF(IFERROR(INDEX('Both teabags AfterWet'!$C$3:$C$841,MATCH(J399,'Both teabags AfterWet'!$A$3:$A$841,0)),"")="","",(IFERROR(INDEX('Both teabags AfterWet'!$C$3:$C$841,MATCH(J399,'Both teabags AfterWet'!$A$3:$A$841,0)),"")))</f>
        <v>1.6866000000000001</v>
      </c>
      <c r="P399" s="225">
        <f>IFERROR(IF(O399&gt;0,O399-(TBIcalc!$H$9),""),"")</f>
        <v>1.536</v>
      </c>
      <c r="Q399" s="225">
        <f>IFERROR(INDEX('Ashed teabags wet'!$K$2:$K$821,MATCH(J399,'Ashed teabags wet'!$A$2:$A$821,0)),"")</f>
        <v>0.87633885102250153</v>
      </c>
      <c r="R399" s="225">
        <f t="shared" si="36"/>
        <v>1.5225394352482944</v>
      </c>
      <c r="S399" s="226">
        <f>'WetLitterbags placem_collection'!E180</f>
        <v>42763</v>
      </c>
      <c r="T399" s="226">
        <f>IF('WetLitterbags placem_collection'!G180="","",'WetLitterbags placem_collection'!G180)</f>
        <v>42815</v>
      </c>
      <c r="U399" s="227">
        <f t="shared" si="33"/>
        <v>52</v>
      </c>
      <c r="V399" s="225">
        <f t="shared" si="34"/>
        <v>0.41020000000000012</v>
      </c>
      <c r="W399" s="225">
        <f t="shared" si="35"/>
        <v>0.37925480583232685</v>
      </c>
      <c r="X399">
        <f>IFERROR(INDEX(Rainfall_Wet!$O$2:$O$217,MATCH(B399, Rainfall_Wet!$A$2:$A$217,0)),"")</f>
        <v>188.24043152799999</v>
      </c>
      <c r="Y399" s="231">
        <v>25.96</v>
      </c>
      <c r="Z399" s="231">
        <v>8.9200000000000017</v>
      </c>
      <c r="AA399" s="231">
        <v>65.12</v>
      </c>
      <c r="AB399" s="232" t="s">
        <v>2670</v>
      </c>
      <c r="AC399" s="231">
        <v>2.61458846722523</v>
      </c>
      <c r="AD399">
        <f>IF('WetLitterbags placem_collection'!AB180="","",'WetLitterbags placem_collection'!AB180)</f>
        <v>15.4</v>
      </c>
      <c r="AE399">
        <f>IF('WetLitterbags placem_collection'!Z180="","",'WetLitterbags placem_collection'!Z180)</f>
        <v>18.8</v>
      </c>
      <c r="AF399" s="246" t="str">
        <f>IF('WetLitterbags placem_collection'!AA180="","",'WetLitterbags placem_collection'!AA180)</f>
        <v>O</v>
      </c>
      <c r="AG399">
        <f>IF('WetLitterbags placem_collection'!AC180="","",'WetLitterbags placem_collection'!AC180)</f>
        <v>1</v>
      </c>
      <c r="AH399" s="24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placem_collection'!W180)),"YES","NO")</f>
        <v>NO</v>
      </c>
      <c r="AM399" t="str">
        <f>IF(ISNUMBER(SEARCH("H", 'WetLitterbags placem_collection'!W180)),"YES","NO")</f>
        <v>NO</v>
      </c>
      <c r="AN399" t="str">
        <f>IF(ISNUMBER(SEARCH("R", 'WetLitterbags placem_collection'!W180)),"YES","NO")</f>
        <v>NO</v>
      </c>
    </row>
    <row r="400" spans="1:40" ht="15" customHeight="1">
      <c r="A400" s="258" t="s">
        <v>2460</v>
      </c>
      <c r="B400" s="263">
        <f>'Dry_Litterbag Placem_Collection'!A181</f>
        <v>179</v>
      </c>
      <c r="C400" s="263" t="str">
        <f>'Dry_Litterbag Placem_Collection'!B181</f>
        <v>Handajega</v>
      </c>
      <c r="D400" s="263" t="s">
        <v>2659</v>
      </c>
      <c r="E400" s="263" t="s">
        <v>2661</v>
      </c>
      <c r="F400" s="263">
        <v>3</v>
      </c>
      <c r="G400" s="264" t="str">
        <f>'Dry_Litterbag Placem_Collection'!C181</f>
        <v>Wet_W3_T3</v>
      </c>
      <c r="H400" s="265" t="s">
        <v>2541</v>
      </c>
      <c r="I400" s="272" t="s">
        <v>298</v>
      </c>
      <c r="J400" s="223" t="str">
        <f>'WetLitterbags placem_collection'!M181</f>
        <v>R32</v>
      </c>
      <c r="K400" s="225">
        <f>IFERROR(INDEX('Green_rooibos initial weight'!$C$5:$C$1749,MATCH(J400, 'Green_rooibos initial weight'!$A$5:$A$1749,0)),"")</f>
        <v>2.2290000000000001</v>
      </c>
      <c r="L400" s="225">
        <f>IFERROR(K400-(TBIcalc!$H$9+TBIcalc!$H$10),"")</f>
        <v>1.9792000000000001</v>
      </c>
      <c r="M400" s="391">
        <f>AVERAGE(Ashed_controlls!$K$12:$K$14)</f>
        <v>2.2816647271287041</v>
      </c>
      <c r="N400" s="225">
        <f t="shared" si="32"/>
        <v>1.9340412917206689</v>
      </c>
      <c r="O400" s="225">
        <f>IF(IFERROR(INDEX('Both teabags AfterWet'!$C$3:$C$841,MATCH(J400,'Both teabags AfterWet'!$A$3:$A$841,0)),"")="","",(IFERROR(INDEX('Both teabags AfterWet'!$C$3:$C$841,MATCH(J400,'Both teabags AfterWet'!$A$3:$A$841,0)),"")))</f>
        <v>1.6146</v>
      </c>
      <c r="P400" s="225">
        <f>IFERROR(IF(O400&gt;0,O400-(TBIcalc!$H$9),""),"")</f>
        <v>1.464</v>
      </c>
      <c r="Q400" s="225">
        <f>IFERROR(INDEX('Ashed teabags wet'!$K$2:$K$821,MATCH(J400,'Ashed teabags wet'!$A$2:$A$821,0)),"")</f>
        <v>1.8482490272371503</v>
      </c>
      <c r="R400" s="225">
        <f t="shared" si="36"/>
        <v>1.436941634241248</v>
      </c>
      <c r="S400" s="226">
        <f>'WetLitterbags placem_collection'!E181</f>
        <v>42763</v>
      </c>
      <c r="T400" s="226">
        <f>IF('WetLitterbags placem_collection'!G181="","",'WetLitterbags placem_collection'!G181)</f>
        <v>42815</v>
      </c>
      <c r="U400" s="227">
        <f t="shared" si="33"/>
        <v>52</v>
      </c>
      <c r="V400" s="225">
        <f t="shared" si="34"/>
        <v>0.5152000000000001</v>
      </c>
      <c r="W400" s="225">
        <f t="shared" si="35"/>
        <v>0.49709965747942086</v>
      </c>
      <c r="X400">
        <f>IFERROR(INDEX(Rainfall_Wet!$O$2:$O$217,MATCH(B400, Rainfall_Wet!$A$2:$A$217,0)),"")</f>
        <v>188.24043152799999</v>
      </c>
      <c r="Y400" s="231">
        <v>25.96</v>
      </c>
      <c r="Z400" s="231">
        <v>8.9200000000000017</v>
      </c>
      <c r="AA400" s="231">
        <v>65.12</v>
      </c>
      <c r="AB400" s="232" t="s">
        <v>2670</v>
      </c>
      <c r="AC400" s="231">
        <v>3.61458846722523</v>
      </c>
      <c r="AD400">
        <f>IF('WetLitterbags placem_collection'!AB181="","",'WetLitterbags placem_collection'!AB181)</f>
        <v>11.8</v>
      </c>
      <c r="AE400">
        <f>IF('WetLitterbags placem_collection'!Z181="","",'WetLitterbags placem_collection'!Z181)</f>
        <v>15.4</v>
      </c>
      <c r="AF400" s="246" t="str">
        <f>IF('WetLitterbags placem_collection'!AA181="","",'WetLitterbags placem_collection'!AA181)</f>
        <v>O</v>
      </c>
      <c r="AG400">
        <f>IF('WetLitterbags placem_collection'!AC181="","",'WetLitterbags placem_collection'!AC181)</f>
        <v>1</v>
      </c>
      <c r="AH400" s="24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placem_collection'!W181)),"YES","NO")</f>
        <v>NO</v>
      </c>
      <c r="AM400" t="str">
        <f>IF(ISNUMBER(SEARCH("H", 'WetLitterbags placem_collection'!W181)),"YES","NO")</f>
        <v>NO</v>
      </c>
      <c r="AN400" t="str">
        <f>IF(ISNUMBER(SEARCH("R", 'WetLitterbags placem_collection'!W181)),"YES","NO")</f>
        <v>YES</v>
      </c>
    </row>
    <row r="401" spans="1:40" ht="15" customHeight="1">
      <c r="A401" s="258" t="s">
        <v>2460</v>
      </c>
      <c r="B401" s="263">
        <f>'Dry_Litterbag Placem_Collection'!A182</f>
        <v>180</v>
      </c>
      <c r="C401" s="263" t="str">
        <f>'Dry_Litterbag Placem_Collection'!B182</f>
        <v>Handajega</v>
      </c>
      <c r="D401" s="263" t="s">
        <v>2659</v>
      </c>
      <c r="E401" s="263" t="s">
        <v>2661</v>
      </c>
      <c r="F401" s="263">
        <v>3</v>
      </c>
      <c r="G401" s="264" t="str">
        <f>'Dry_Litterbag Placem_Collection'!C182</f>
        <v>Wet_W3_T4</v>
      </c>
      <c r="H401" s="265" t="s">
        <v>2541</v>
      </c>
      <c r="I401" s="272" t="s">
        <v>298</v>
      </c>
      <c r="J401" s="223" t="str">
        <f>'WetLitterbags placem_collection'!M182</f>
        <v>R268</v>
      </c>
      <c r="K401" s="225">
        <f>IFERROR(INDEX('Green_rooibos initial weight'!$C$5:$C$1749,MATCH(J401, 'Green_rooibos initial weight'!$A$5:$A$1749,0)),"")</f>
        <v>2.1709999999999998</v>
      </c>
      <c r="L401" s="225">
        <f>IFERROR(K401-(TBIcalc!$H$9+TBIcalc!$H$10),"")</f>
        <v>1.9211999999999998</v>
      </c>
      <c r="M401" s="391">
        <f>AVERAGE(Ashed_controlls!$K$12:$K$14)</f>
        <v>2.2816647271287041</v>
      </c>
      <c r="N401" s="225">
        <f t="shared" si="32"/>
        <v>1.8773646572624032</v>
      </c>
      <c r="O401" s="225">
        <f>IF(IFERROR(INDEX('Both teabags AfterWet'!$C$3:$C$841,MATCH(J401,'Both teabags AfterWet'!$A$3:$A$841,0)),"")="","",(IFERROR(INDEX('Both teabags AfterWet'!$C$3:$C$841,MATCH(J401,'Both teabags AfterWet'!$A$3:$A$841,0)),"")))</f>
        <v>1.6403000000000001</v>
      </c>
      <c r="P401" s="225">
        <f>IFERROR(IF(O401&gt;0,O401-(TBIcalc!$H$9),""),"")</f>
        <v>1.4897</v>
      </c>
      <c r="Q401" s="225">
        <f>IFERROR(INDEX('Ashed teabags wet'!$K$2:$K$821,MATCH(J401,'Ashed teabags wet'!$A$2:$A$821,0)),"")</f>
        <v>2.0588235294118782</v>
      </c>
      <c r="R401" s="225">
        <f t="shared" si="36"/>
        <v>1.4590297058823514</v>
      </c>
      <c r="S401" s="226">
        <f>'WetLitterbags placem_collection'!E182</f>
        <v>42763</v>
      </c>
      <c r="T401" s="226">
        <f>IF('WetLitterbags placem_collection'!G182="","",'WetLitterbags placem_collection'!G182)</f>
        <v>42815</v>
      </c>
      <c r="U401" s="227">
        <f t="shared" si="33"/>
        <v>52</v>
      </c>
      <c r="V401" s="225">
        <f t="shared" si="34"/>
        <v>0.43149999999999977</v>
      </c>
      <c r="W401" s="225">
        <f t="shared" si="35"/>
        <v>0.41833495138005183</v>
      </c>
      <c r="X401">
        <f>IFERROR(INDEX(Rainfall_Wet!$O$2:$O$217,MATCH(B401, Rainfall_Wet!$A$2:$A$217,0)),"")</f>
        <v>188.24043152799999</v>
      </c>
      <c r="Y401" s="231">
        <v>25.96</v>
      </c>
      <c r="Z401" s="231">
        <v>8.9200000000000017</v>
      </c>
      <c r="AA401" s="231">
        <v>65.12</v>
      </c>
      <c r="AB401" s="232" t="s">
        <v>2670</v>
      </c>
      <c r="AC401" s="231">
        <v>4.6145884672252304</v>
      </c>
      <c r="AD401">
        <f>IF('WetLitterbags placem_collection'!AB182="","",'WetLitterbags placem_collection'!AB182)</f>
        <v>8.3000000000000007</v>
      </c>
      <c r="AE401">
        <f>IF('WetLitterbags placem_collection'!Z182="","",'WetLitterbags placem_collection'!Z182)</f>
        <v>35</v>
      </c>
      <c r="AF401" s="246" t="str">
        <f>IF('WetLitterbags placem_collection'!AA182="","",'WetLitterbags placem_collection'!AA182)</f>
        <v>O</v>
      </c>
      <c r="AG401">
        <f>IF('WetLitterbags placem_collection'!AC182="","",'WetLitterbags placem_collection'!AC182)</f>
        <v>0</v>
      </c>
      <c r="AH401" s="24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placem_collection'!W182)),"YES","NO")</f>
        <v>NO</v>
      </c>
      <c r="AM401" t="str">
        <f>IF(ISNUMBER(SEARCH("H", 'WetLitterbags placem_collection'!W182)),"YES","NO")</f>
        <v>NO</v>
      </c>
      <c r="AN401" t="str">
        <f>IF(ISNUMBER(SEARCH("R", 'WetLitterbags placem_collection'!W182)),"YES","NO")</f>
        <v>NO</v>
      </c>
    </row>
    <row r="402" spans="1:40" ht="15" customHeight="1">
      <c r="A402" s="258" t="s">
        <v>2460</v>
      </c>
      <c r="B402" s="263">
        <f>'Dry_Litterbag Placem_Collection'!A183</f>
        <v>181</v>
      </c>
      <c r="C402" s="263" t="str">
        <f>'Dry_Litterbag Placem_Collection'!B183</f>
        <v>Handajega</v>
      </c>
      <c r="D402" s="263" t="s">
        <v>2659</v>
      </c>
      <c r="E402" s="263" t="s">
        <v>2661</v>
      </c>
      <c r="F402" s="263">
        <v>3</v>
      </c>
      <c r="G402" s="264" t="str">
        <f>'Dry_Litterbag Placem_Collection'!C183</f>
        <v>Wet_W3_T5</v>
      </c>
      <c r="H402" s="265" t="s">
        <v>2541</v>
      </c>
      <c r="I402" s="272" t="s">
        <v>298</v>
      </c>
      <c r="J402" s="223" t="str">
        <f>'WetLitterbags placem_collection'!M183</f>
        <v>R587</v>
      </c>
      <c r="K402" s="225">
        <f>IFERROR(INDEX('Green_rooibos initial weight'!$C$5:$C$1749,MATCH(J402, 'Green_rooibos initial weight'!$A$5:$A$1749,0)),"")</f>
        <v>2.2250000000000001</v>
      </c>
      <c r="L402" s="225">
        <f>IFERROR(K402-(TBIcalc!$H$9+TBIcalc!$H$10),"")</f>
        <v>1.9752000000000001</v>
      </c>
      <c r="M402" s="391">
        <f>AVERAGE(Ashed_controlls!$K$12:$K$14)</f>
        <v>2.2816647271287041</v>
      </c>
      <c r="N402" s="225">
        <f t="shared" si="32"/>
        <v>1.9301325583097539</v>
      </c>
      <c r="O402" s="225">
        <f>IF(IFERROR(INDEX('Both teabags AfterWet'!$C$3:$C$841,MATCH(J402,'Both teabags AfterWet'!$A$3:$A$841,0)),"")="","",(IFERROR(INDEX('Both teabags AfterWet'!$C$3:$C$841,MATCH(J402,'Both teabags AfterWet'!$A$3:$A$841,0)),"")))</f>
        <v>1.5119</v>
      </c>
      <c r="P402" s="225">
        <f>IFERROR(IF(O402&gt;0,O402-(TBIcalc!$H$9),""),"")</f>
        <v>1.3613</v>
      </c>
      <c r="Q402" s="225">
        <f>IFERROR(INDEX('Ashed teabags wet'!$K$2:$K$821,MATCH(J402,'Ashed teabags wet'!$A$2:$A$821,0)),"")</f>
        <v>1.9743336623894387</v>
      </c>
      <c r="R402" s="225">
        <f t="shared" si="36"/>
        <v>1.3344233958538925</v>
      </c>
      <c r="S402" s="226">
        <f>'WetLitterbags placem_collection'!E183</f>
        <v>42763</v>
      </c>
      <c r="T402" s="226">
        <f>IF('WetLitterbags placem_collection'!G183="","",'WetLitterbags placem_collection'!G183)</f>
        <v>42815</v>
      </c>
      <c r="U402" s="227">
        <f t="shared" si="33"/>
        <v>52</v>
      </c>
      <c r="V402" s="225">
        <f t="shared" si="34"/>
        <v>0.61390000000000011</v>
      </c>
      <c r="W402" s="225">
        <f t="shared" si="35"/>
        <v>0.59570916245586147</v>
      </c>
      <c r="X402">
        <f>IFERROR(INDEX(Rainfall_Wet!$O$2:$O$217,MATCH(B402, Rainfall_Wet!$A$2:$A$217,0)),"")</f>
        <v>188.24043152799999</v>
      </c>
      <c r="Y402" s="231">
        <v>25.96</v>
      </c>
      <c r="Z402" s="231">
        <v>8.9200000000000017</v>
      </c>
      <c r="AA402" s="231">
        <v>65.12</v>
      </c>
      <c r="AB402" s="232" t="s">
        <v>2670</v>
      </c>
      <c r="AC402" s="231">
        <v>5.6145884672252304</v>
      </c>
      <c r="AD402">
        <f>IF('WetLitterbags placem_collection'!AB183="","",'WetLitterbags placem_collection'!AB183)</f>
        <v>11.4</v>
      </c>
      <c r="AE402">
        <f>IF('WetLitterbags placem_collection'!Z183="","",'WetLitterbags placem_collection'!Z183)</f>
        <v>15.8</v>
      </c>
      <c r="AF402" s="246" t="str">
        <f>IF('WetLitterbags placem_collection'!AA183="","",'WetLitterbags placem_collection'!AA183)</f>
        <v>O</v>
      </c>
      <c r="AG402">
        <f>IF('WetLitterbags placem_collection'!AC183="","",'WetLitterbags placem_collection'!AC183)</f>
        <v>1</v>
      </c>
      <c r="AH402" s="24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placem_collection'!W183)),"YES","NO")</f>
        <v>NO</v>
      </c>
      <c r="AM402" t="str">
        <f>IF(ISNUMBER(SEARCH("H", 'WetLitterbags placem_collection'!W183)),"YES","NO")</f>
        <v>NO</v>
      </c>
      <c r="AN402" t="str">
        <f>IF(ISNUMBER(SEARCH("R", 'WetLitterbags placem_collection'!W183)),"YES","NO")</f>
        <v>NO</v>
      </c>
    </row>
    <row r="403" spans="1:40" ht="15" customHeight="1">
      <c r="A403" s="258" t="s">
        <v>2460</v>
      </c>
      <c r="B403" s="263">
        <f>'Dry_Litterbag Placem_Collection'!A184</f>
        <v>182</v>
      </c>
      <c r="C403" s="263" t="str">
        <f>'Dry_Litterbag Placem_Collection'!B184</f>
        <v>Handajega</v>
      </c>
      <c r="D403" s="263" t="s">
        <v>2659</v>
      </c>
      <c r="E403" s="263" t="s">
        <v>2661</v>
      </c>
      <c r="F403" s="263">
        <v>3</v>
      </c>
      <c r="G403" s="264" t="str">
        <f>'Dry_Litterbag Placem_Collection'!C184</f>
        <v>Wet_W3_T6</v>
      </c>
      <c r="H403" s="265" t="s">
        <v>2541</v>
      </c>
      <c r="I403" s="272" t="s">
        <v>298</v>
      </c>
      <c r="J403" s="223" t="str">
        <f>'WetLitterbags placem_collection'!M184</f>
        <v>R444</v>
      </c>
      <c r="K403" s="225">
        <f>IFERROR(INDEX('Green_rooibos initial weight'!$C$5:$C$1749,MATCH(J403, 'Green_rooibos initial weight'!$A$5:$A$1749,0)),"")</f>
        <v>2.2149999999999999</v>
      </c>
      <c r="L403" s="225">
        <f>IFERROR(K403-(TBIcalc!$H$9+TBIcalc!$H$10),"")</f>
        <v>1.9651999999999998</v>
      </c>
      <c r="M403" s="391">
        <f>AVERAGE(Ashed_controlls!$K$12:$K$14)</f>
        <v>2.2816647271287041</v>
      </c>
      <c r="N403" s="225">
        <f t="shared" si="32"/>
        <v>1.9203607247824666</v>
      </c>
      <c r="O403" s="225">
        <f>IF(IFERROR(INDEX('Both teabags AfterWet'!$C$3:$C$841,MATCH(J403,'Both teabags AfterWet'!$A$3:$A$841,0)),"")="","",(IFERROR(INDEX('Both teabags AfterWet'!$C$3:$C$841,MATCH(J403,'Both teabags AfterWet'!$A$3:$A$841,0)),"")))</f>
        <v>1.7522</v>
      </c>
      <c r="P403" s="225">
        <f>IFERROR(IF(O403&gt;0,O403-(TBIcalc!$H$9),""),"")</f>
        <v>1.6015999999999999</v>
      </c>
      <c r="Q403" s="225">
        <f>IFERROR(INDEX('Ashed teabags wet'!$K$2:$K$821,MATCH(J403,'Ashed teabags wet'!$A$2:$A$821,0)),"")</f>
        <v>2.2682445759369214</v>
      </c>
      <c r="R403" s="225">
        <f t="shared" si="36"/>
        <v>1.5652717948717942</v>
      </c>
      <c r="S403" s="226">
        <f>'WetLitterbags placem_collection'!E184</f>
        <v>42763</v>
      </c>
      <c r="T403" s="226">
        <f>IF('WetLitterbags placem_collection'!G184="","",'WetLitterbags placem_collection'!G184)</f>
        <v>42815</v>
      </c>
      <c r="U403" s="227">
        <f t="shared" si="33"/>
        <v>52</v>
      </c>
      <c r="V403" s="225">
        <f t="shared" si="34"/>
        <v>0.36359999999999992</v>
      </c>
      <c r="W403" s="225">
        <f t="shared" si="35"/>
        <v>0.35508892991067231</v>
      </c>
      <c r="X403">
        <f>IFERROR(INDEX(Rainfall_Wet!$O$2:$O$217,MATCH(B403, Rainfall_Wet!$A$2:$A$217,0)),"")</f>
        <v>188.24043152799999</v>
      </c>
      <c r="Y403" s="231">
        <v>25.96</v>
      </c>
      <c r="Z403" s="231">
        <v>8.9200000000000017</v>
      </c>
      <c r="AA403" s="231">
        <v>65.12</v>
      </c>
      <c r="AB403" s="232" t="s">
        <v>2670</v>
      </c>
      <c r="AC403" s="231">
        <v>6.6145884672252304</v>
      </c>
      <c r="AD403">
        <f>IF('WetLitterbags placem_collection'!AB184="","",'WetLitterbags placem_collection'!AB184)</f>
        <v>8.8000000000000007</v>
      </c>
      <c r="AE403">
        <f>IF('WetLitterbags placem_collection'!Z184="","",'WetLitterbags placem_collection'!Z184)</f>
        <v>15.8</v>
      </c>
      <c r="AF403" s="246" t="str">
        <f>IF('WetLitterbags placem_collection'!AA184="","",'WetLitterbags placem_collection'!AA184)</f>
        <v>O</v>
      </c>
      <c r="AG403">
        <f>IF('WetLitterbags placem_collection'!AC184="","",'WetLitterbags placem_collection'!AC184)</f>
        <v>1</v>
      </c>
      <c r="AH403" s="24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placem_collection'!W184)),"YES","NO")</f>
        <v>NO</v>
      </c>
      <c r="AM403" t="str">
        <f>IF(ISNUMBER(SEARCH("H", 'WetLitterbags placem_collection'!W184)),"YES","NO")</f>
        <v>NO</v>
      </c>
      <c r="AN403" t="str">
        <f>IF(ISNUMBER(SEARCH("R", 'WetLitterbags placem_collection'!W184)),"YES","NO")</f>
        <v>NO</v>
      </c>
    </row>
    <row r="404" spans="1:40" ht="15" customHeight="1">
      <c r="A404" s="258" t="s">
        <v>2460</v>
      </c>
      <c r="B404" s="263">
        <f>'Dry_Litterbag Placem_Collection'!A185</f>
        <v>183</v>
      </c>
      <c r="C404" s="263" t="str">
        <f>'Dry_Litterbag Placem_Collection'!B185</f>
        <v>Handajega</v>
      </c>
      <c r="D404" s="263" t="s">
        <v>2659</v>
      </c>
      <c r="E404" s="263" t="s">
        <v>2661</v>
      </c>
      <c r="F404" s="263">
        <v>3</v>
      </c>
      <c r="G404" s="264" t="str">
        <f>'Dry_Litterbag Placem_Collection'!C185</f>
        <v>Wet_W3_T7</v>
      </c>
      <c r="H404" s="265" t="s">
        <v>2541</v>
      </c>
      <c r="I404" s="272" t="s">
        <v>298</v>
      </c>
      <c r="J404" s="223" t="str">
        <f>'WetLitterbags placem_collection'!M185</f>
        <v>R568</v>
      </c>
      <c r="K404" s="225">
        <f>IFERROR(INDEX('Green_rooibos initial weight'!$C$5:$C$1749,MATCH(J404, 'Green_rooibos initial weight'!$A$5:$A$1749,0)),"")</f>
        <v>2.04</v>
      </c>
      <c r="L404" s="225">
        <f>IFERROR(K404-(TBIcalc!$H$9+TBIcalc!$H$10),"")</f>
        <v>1.7902</v>
      </c>
      <c r="M404" s="391">
        <f>AVERAGE(Ashed_controlls!$K$12:$K$14)</f>
        <v>2.2816647271287041</v>
      </c>
      <c r="N404" s="225">
        <f t="shared" si="32"/>
        <v>1.7493536380549419</v>
      </c>
      <c r="O404" s="225">
        <f>IF(IFERROR(INDEX('Both teabags AfterWet'!$C$3:$C$841,MATCH(J404,'Both teabags AfterWet'!$A$3:$A$841,0)),"")="","",(IFERROR(INDEX('Both teabags AfterWet'!$C$3:$C$841,MATCH(J404,'Both teabags AfterWet'!$A$3:$A$841,0)),"")))</f>
        <v>0.30299999999999999</v>
      </c>
      <c r="P404" s="225">
        <f>IFERROR(IF(O404&gt;0,O404-(TBIcalc!$H$9),""),"")</f>
        <v>0.15239999999999998</v>
      </c>
      <c r="Q404" s="225" t="str">
        <f>IFERROR(INDEX('Ashed teabags wet'!$K$2:$K$821,MATCH(J404,'Ashed teabags wet'!$A$2:$A$821,0)),"")</f>
        <v/>
      </c>
      <c r="R404" s="225" t="str">
        <f t="shared" si="36"/>
        <v/>
      </c>
      <c r="S404" s="226">
        <f>'WetLitterbags placem_collection'!E185</f>
        <v>42763</v>
      </c>
      <c r="T404" s="226">
        <f>IF('WetLitterbags placem_collection'!G185="","",'WetLitterbags placem_collection'!G185)</f>
        <v>42815</v>
      </c>
      <c r="U404" s="227">
        <f t="shared" si="33"/>
        <v>52</v>
      </c>
      <c r="V404" s="225">
        <f t="shared" si="34"/>
        <v>1.6377999999999999</v>
      </c>
      <c r="W404" s="225" t="str">
        <f t="shared" si="35"/>
        <v/>
      </c>
      <c r="X404">
        <f>IFERROR(INDEX(Rainfall_Wet!$O$2:$O$217,MATCH(B404, Rainfall_Wet!$A$2:$A$217,0)),"")</f>
        <v>188.24043152799999</v>
      </c>
      <c r="Y404" s="231">
        <v>25.96</v>
      </c>
      <c r="Z404" s="231">
        <v>8.9200000000000017</v>
      </c>
      <c r="AA404" s="231">
        <v>65.12</v>
      </c>
      <c r="AB404" s="232" t="s">
        <v>2670</v>
      </c>
      <c r="AC404" s="231">
        <v>7.6145884672252304</v>
      </c>
      <c r="AD404">
        <f>IF('WetLitterbags placem_collection'!AB185="","",'WetLitterbags placem_collection'!AB185)</f>
        <v>11.4</v>
      </c>
      <c r="AE404">
        <f>IF('WetLitterbags placem_collection'!Z185="","",'WetLitterbags placem_collection'!Z185)</f>
        <v>35.799999999999997</v>
      </c>
      <c r="AF404" s="246" t="str">
        <f>IF('WetLitterbags placem_collection'!AA185="","",'WetLitterbags placem_collection'!AA185)</f>
        <v>G</v>
      </c>
      <c r="AG404">
        <f>IF('WetLitterbags placem_collection'!AC185="","",'WetLitterbags placem_collection'!AC185)</f>
        <v>1</v>
      </c>
      <c r="AH404" s="24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placem_collection'!W185)),"YES","NO")</f>
        <v>YES</v>
      </c>
      <c r="AM404" t="str">
        <f>IF(ISNUMBER(SEARCH("H", 'WetLitterbags placem_collection'!W185)),"YES","NO")</f>
        <v>YES</v>
      </c>
      <c r="AN404" t="str">
        <f>IF(ISNUMBER(SEARCH("R", 'WetLitterbags placem_collection'!W185)),"YES","NO")</f>
        <v>NO</v>
      </c>
    </row>
    <row r="405" spans="1:40" ht="15" customHeight="1">
      <c r="A405" s="258" t="s">
        <v>2460</v>
      </c>
      <c r="B405" s="263">
        <f>'Dry_Litterbag Placem_Collection'!A186</f>
        <v>184</v>
      </c>
      <c r="C405" s="263" t="str">
        <f>'Dry_Litterbag Placem_Collection'!B186</f>
        <v>Handajega</v>
      </c>
      <c r="D405" s="263" t="s">
        <v>2659</v>
      </c>
      <c r="E405" s="263" t="s">
        <v>2661</v>
      </c>
      <c r="F405" s="263">
        <v>3</v>
      </c>
      <c r="G405" s="264" t="str">
        <f>'Dry_Litterbag Placem_Collection'!C186</f>
        <v>Wet_W3_T8</v>
      </c>
      <c r="H405" s="265" t="s">
        <v>2541</v>
      </c>
      <c r="I405" s="272" t="s">
        <v>298</v>
      </c>
      <c r="J405" s="223" t="str">
        <f>'WetLitterbags placem_collection'!M186</f>
        <v>R541</v>
      </c>
      <c r="K405" s="225">
        <f>IFERROR(INDEX('Green_rooibos initial weight'!$C$5:$C$1749,MATCH(J405, 'Green_rooibos initial weight'!$A$5:$A$1749,0)),"")</f>
        <v>2.226</v>
      </c>
      <c r="L405" s="225">
        <f>IFERROR(K405-(TBIcalc!$H$9+TBIcalc!$H$10),"")</f>
        <v>1.9762</v>
      </c>
      <c r="M405" s="391">
        <f>AVERAGE(Ashed_controlls!$K$12:$K$14)</f>
        <v>2.2816647271287041</v>
      </c>
      <c r="N405" s="225">
        <f t="shared" si="32"/>
        <v>1.9311097416624825</v>
      </c>
      <c r="O405" s="225">
        <f>IF(IFERROR(INDEX('Both teabags AfterWet'!$C$3:$C$841,MATCH(J405,'Both teabags AfterWet'!$A$3:$A$841,0)),"")="","",(IFERROR(INDEX('Both teabags AfterWet'!$C$3:$C$841,MATCH(J405,'Both teabags AfterWet'!$A$3:$A$841,0)),"")))</f>
        <v>1.7278</v>
      </c>
      <c r="P405" s="225">
        <f>IFERROR(IF(O405&gt;0,O405-(TBIcalc!$H$9),""),"")</f>
        <v>1.5771999999999999</v>
      </c>
      <c r="Q405" s="225">
        <f>IFERROR(INDEX('Ashed teabags wet'!$K$2:$K$821,MATCH(J405,'Ashed teabags wet'!$A$2:$A$821,0)),"")</f>
        <v>2.6018654884636851</v>
      </c>
      <c r="R405" s="225">
        <f t="shared" si="36"/>
        <v>1.5361633775159507</v>
      </c>
      <c r="S405" s="226">
        <f>'WetLitterbags placem_collection'!E186</f>
        <v>42763</v>
      </c>
      <c r="T405" s="226">
        <f>IF('WetLitterbags placem_collection'!G186="","",'WetLitterbags placem_collection'!G186)</f>
        <v>42815</v>
      </c>
      <c r="U405" s="227">
        <f t="shared" si="33"/>
        <v>52</v>
      </c>
      <c r="V405" s="225">
        <f t="shared" si="34"/>
        <v>0.39900000000000002</v>
      </c>
      <c r="W405" s="225">
        <f t="shared" si="35"/>
        <v>0.39494636414653184</v>
      </c>
      <c r="X405">
        <f>IFERROR(INDEX(Rainfall_Wet!$O$2:$O$217,MATCH(B405, Rainfall_Wet!$A$2:$A$217,0)),"")</f>
        <v>188.24043152799999</v>
      </c>
      <c r="Y405" s="231">
        <v>25.96</v>
      </c>
      <c r="Z405" s="231">
        <v>8.9200000000000017</v>
      </c>
      <c r="AA405" s="231">
        <v>65.12</v>
      </c>
      <c r="AB405" s="232" t="s">
        <v>2670</v>
      </c>
      <c r="AC405" s="231">
        <v>8.6145884672252304</v>
      </c>
      <c r="AD405">
        <f>IF('WetLitterbags placem_collection'!AB186="","",'WetLitterbags placem_collection'!AB186)</f>
        <v>3.7</v>
      </c>
      <c r="AE405">
        <f>IF('WetLitterbags placem_collection'!Z186="","",'WetLitterbags placem_collection'!Z186)</f>
        <v>16.399999999999999</v>
      </c>
      <c r="AF405" s="246" t="str">
        <f>IF('WetLitterbags placem_collection'!AA186="","",'WetLitterbags placem_collection'!AA186)</f>
        <v>O</v>
      </c>
      <c r="AG405">
        <f>IF('WetLitterbags placem_collection'!AC186="","",'WetLitterbags placem_collection'!AC186)</f>
        <v>0</v>
      </c>
      <c r="AH405" s="24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placem_collection'!W186)),"YES","NO")</f>
        <v>NO</v>
      </c>
      <c r="AM405" t="str">
        <f>IF(ISNUMBER(SEARCH("H", 'WetLitterbags placem_collection'!W186)),"YES","NO")</f>
        <v>NO</v>
      </c>
      <c r="AN405" t="str">
        <f>IF(ISNUMBER(SEARCH("R", 'WetLitterbags placem_collection'!W186)),"YES","NO")</f>
        <v>NO</v>
      </c>
    </row>
    <row r="406" spans="1:40" ht="15" customHeight="1">
      <c r="A406" s="258" t="s">
        <v>2460</v>
      </c>
      <c r="B406" s="263">
        <f>'Dry_Litterbag Placem_Collection'!A187</f>
        <v>185</v>
      </c>
      <c r="C406" s="263" t="str">
        <f>'Dry_Litterbag Placem_Collection'!B187</f>
        <v>Handajega</v>
      </c>
      <c r="D406" s="263" t="s">
        <v>2659</v>
      </c>
      <c r="E406" s="263" t="s">
        <v>2661</v>
      </c>
      <c r="F406" s="263">
        <v>4</v>
      </c>
      <c r="G406" s="264" t="str">
        <f>'Dry_Litterbag Placem_Collection'!C187</f>
        <v>Wet_W4_T1</v>
      </c>
      <c r="H406" s="265" t="s">
        <v>2541</v>
      </c>
      <c r="I406" s="272" t="s">
        <v>298</v>
      </c>
      <c r="J406" s="223" t="str">
        <f>'WetLitterbags placem_collection'!M187</f>
        <v>R51</v>
      </c>
      <c r="K406" s="225">
        <f>IFERROR(INDEX('Green_rooibos initial weight'!$C$5:$C$1749,MATCH(J406, 'Green_rooibos initial weight'!$A$5:$A$1749,0)),"")</f>
        <v>2.3149999999999999</v>
      </c>
      <c r="L406" s="225">
        <f>IFERROR(K406-(TBIcalc!$H$9+TBIcalc!$H$10),"")</f>
        <v>2.0651999999999999</v>
      </c>
      <c r="M406" s="391">
        <f>AVERAGE(Ashed_controlls!$K$12:$K$14)</f>
        <v>2.2816647271287041</v>
      </c>
      <c r="N406" s="225">
        <f t="shared" si="32"/>
        <v>2.0180790600553378</v>
      </c>
      <c r="O406" s="225">
        <f>IF(IFERROR(INDEX('Both teabags AfterWet'!$C$3:$C$841,MATCH(J406,'Both teabags AfterWet'!$A$3:$A$841,0)),"")="","",(IFERROR(INDEX('Both teabags AfterWet'!$C$3:$C$841,MATCH(J406,'Both teabags AfterWet'!$A$3:$A$841,0)),"")))</f>
        <v>1.7762</v>
      </c>
      <c r="P406" s="225">
        <f>IFERROR(IF(O406&gt;0,O406-(TBIcalc!$H$9),""),"")</f>
        <v>1.6255999999999999</v>
      </c>
      <c r="Q406" s="225">
        <f>IFERROR(INDEX('Ashed teabags wet'!$K$2:$K$821,MATCH(J406,'Ashed teabags wet'!$A$2:$A$821,0)),"")</f>
        <v>2.0874751491048897</v>
      </c>
      <c r="R406" s="225">
        <f t="shared" si="36"/>
        <v>1.5916660039761508</v>
      </c>
      <c r="S406" s="226">
        <f>'WetLitterbags placem_collection'!E187</f>
        <v>42763</v>
      </c>
      <c r="T406" s="226">
        <f>IF('WetLitterbags placem_collection'!G187="","",'WetLitterbags placem_collection'!G187)</f>
        <v>42815</v>
      </c>
      <c r="U406" s="227">
        <f t="shared" si="33"/>
        <v>52</v>
      </c>
      <c r="V406" s="225">
        <f t="shared" si="34"/>
        <v>0.43959999999999999</v>
      </c>
      <c r="W406" s="225">
        <f t="shared" si="35"/>
        <v>0.426413056079187</v>
      </c>
      <c r="X406">
        <f>IFERROR(INDEX(Rainfall_Wet!$O$2:$O$217,MATCH(B406, Rainfall_Wet!$A$2:$A$217,0)),"")</f>
        <v>188.24043152799999</v>
      </c>
      <c r="Y406" s="231">
        <v>25.96</v>
      </c>
      <c r="Z406" s="231">
        <v>8.9200000000000017</v>
      </c>
      <c r="AA406" s="231">
        <v>65.12</v>
      </c>
      <c r="AB406" s="232" t="s">
        <v>2670</v>
      </c>
      <c r="AC406" s="231">
        <v>1.6991621488417901</v>
      </c>
      <c r="AD406">
        <f>IF('WetLitterbags placem_collection'!AB187="","",'WetLitterbags placem_collection'!AB187)</f>
        <v>9.8000000000000007</v>
      </c>
      <c r="AE406">
        <f>IF('WetLitterbags placem_collection'!Z187="","",'WetLitterbags placem_collection'!Z187)</f>
        <v>29.4</v>
      </c>
      <c r="AF406" s="246" t="str">
        <f>IF('WetLitterbags placem_collection'!AA187="","",'WetLitterbags placem_collection'!AA187)</f>
        <v>O</v>
      </c>
      <c r="AG406">
        <f>IF('WetLitterbags placem_collection'!AC187="","",'WetLitterbags placem_collection'!AC187)</f>
        <v>0</v>
      </c>
      <c r="AH406" s="24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placem_collection'!W187)),"YES","NO")</f>
        <v>YES</v>
      </c>
      <c r="AM406" t="str">
        <f>IF(ISNUMBER(SEARCH("H", 'WetLitterbags placem_collection'!W187)),"YES","NO")</f>
        <v>YES</v>
      </c>
      <c r="AN406" t="str">
        <f>IF(ISNUMBER(SEARCH("R", 'WetLitterbags placem_collection'!W187)),"YES","NO")</f>
        <v>NO</v>
      </c>
    </row>
    <row r="407" spans="1:40" ht="15" customHeight="1">
      <c r="A407" s="258" t="s">
        <v>2460</v>
      </c>
      <c r="B407" s="263">
        <f>'Dry_Litterbag Placem_Collection'!A188</f>
        <v>186</v>
      </c>
      <c r="C407" s="263" t="str">
        <f>'Dry_Litterbag Placem_Collection'!B188</f>
        <v>Handajega</v>
      </c>
      <c r="D407" s="263" t="s">
        <v>2659</v>
      </c>
      <c r="E407" s="263" t="s">
        <v>2661</v>
      </c>
      <c r="F407" s="263">
        <v>4</v>
      </c>
      <c r="G407" s="264" t="str">
        <f>'Dry_Litterbag Placem_Collection'!C188</f>
        <v>Wet_W4_T2</v>
      </c>
      <c r="H407" s="265" t="s">
        <v>2541</v>
      </c>
      <c r="I407" s="272" t="s">
        <v>298</v>
      </c>
      <c r="J407" s="223" t="str">
        <f>'WetLitterbags placem_collection'!M188</f>
        <v>R557</v>
      </c>
      <c r="K407" s="225">
        <f>IFERROR(INDEX('Green_rooibos initial weight'!$C$5:$C$1749,MATCH(J407, 'Green_rooibos initial weight'!$A$5:$A$1749,0)),"")</f>
        <v>2.2229999999999999</v>
      </c>
      <c r="L407" s="225">
        <f>IFERROR(K407-(TBIcalc!$H$9+TBIcalc!$H$10),"")</f>
        <v>1.9731999999999998</v>
      </c>
      <c r="M407" s="391">
        <f>AVERAGE(Ashed_controlls!$K$12:$K$14)</f>
        <v>2.2816647271287041</v>
      </c>
      <c r="N407" s="225">
        <f t="shared" si="32"/>
        <v>1.9281781916042962</v>
      </c>
      <c r="O407" s="225">
        <f>IF(IFERROR(INDEX('Both teabags AfterWet'!$C$3:$C$841,MATCH(J407,'Both teabags AfterWet'!$A$3:$A$841,0)),"")="","",(IFERROR(INDEX('Both teabags AfterWet'!$C$3:$C$841,MATCH(J407,'Both teabags AfterWet'!$A$3:$A$841,0)),"")))</f>
        <v>1.7509999999999999</v>
      </c>
      <c r="P407" s="225">
        <f>IFERROR(IF(O407&gt;0,O407-(TBIcalc!$H$9),""),"")</f>
        <v>1.6003999999999998</v>
      </c>
      <c r="Q407" s="225">
        <f>IFERROR(INDEX('Ashed teabags wet'!$K$2:$K$821,MATCH(J407,'Ashed teabags wet'!$A$2:$A$821,0)),"")</f>
        <v>2.1547502448572287</v>
      </c>
      <c r="R407" s="225">
        <f t="shared" si="36"/>
        <v>1.5659153770813048</v>
      </c>
      <c r="S407" s="226">
        <f>'WetLitterbags placem_collection'!E188</f>
        <v>42763</v>
      </c>
      <c r="T407" s="226">
        <f>IF('WetLitterbags placem_collection'!G188="","",'WetLitterbags placem_collection'!G188)</f>
        <v>42815</v>
      </c>
      <c r="U407" s="227">
        <f t="shared" si="33"/>
        <v>52</v>
      </c>
      <c r="V407" s="225">
        <f t="shared" si="34"/>
        <v>0.37280000000000002</v>
      </c>
      <c r="W407" s="225">
        <f t="shared" si="35"/>
        <v>0.36226281452299136</v>
      </c>
      <c r="X407">
        <f>IFERROR(INDEX(Rainfall_Wet!$O$2:$O$217,MATCH(B407, Rainfall_Wet!$A$2:$A$217,0)),"")</f>
        <v>188.24043152799999</v>
      </c>
      <c r="Y407" s="231">
        <v>25.96</v>
      </c>
      <c r="Z407" s="231">
        <v>8.9200000000000017</v>
      </c>
      <c r="AA407" s="231">
        <v>65.12</v>
      </c>
      <c r="AB407" s="232" t="s">
        <v>2670</v>
      </c>
      <c r="AC407" s="231">
        <v>2.6991621488417898</v>
      </c>
      <c r="AD407">
        <f>IF('WetLitterbags placem_collection'!AB188="","",'WetLitterbags placem_collection'!AB188)</f>
        <v>11.4</v>
      </c>
      <c r="AE407">
        <f>IF('WetLitterbags placem_collection'!Z188="","",'WetLitterbags placem_collection'!Z188)</f>
        <v>45.4</v>
      </c>
      <c r="AF407" s="246" t="str">
        <f>IF('WetLitterbags placem_collection'!AA188="","",'WetLitterbags placem_collection'!AA188)</f>
        <v>O</v>
      </c>
      <c r="AG407">
        <f>IF('WetLitterbags placem_collection'!AC188="","",'WetLitterbags placem_collection'!AC188)</f>
        <v>0</v>
      </c>
      <c r="AH407" s="24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placem_collection'!W188)),"YES","NO")</f>
        <v>NO</v>
      </c>
      <c r="AM407" t="str">
        <f>IF(ISNUMBER(SEARCH("H", 'WetLitterbags placem_collection'!W188)),"YES","NO")</f>
        <v>YES</v>
      </c>
      <c r="AN407" t="str">
        <f>IF(ISNUMBER(SEARCH("R", 'WetLitterbags placem_collection'!W188)),"YES","NO")</f>
        <v>NO</v>
      </c>
    </row>
    <row r="408" spans="1:40" ht="15" customHeight="1">
      <c r="A408" s="258" t="s">
        <v>2460</v>
      </c>
      <c r="B408" s="263">
        <f>'Dry_Litterbag Placem_Collection'!A189</f>
        <v>187</v>
      </c>
      <c r="C408" s="263" t="str">
        <f>'Dry_Litterbag Placem_Collection'!B189</f>
        <v>Handajega</v>
      </c>
      <c r="D408" s="263" t="s">
        <v>2659</v>
      </c>
      <c r="E408" s="263" t="s">
        <v>2661</v>
      </c>
      <c r="F408" s="263">
        <v>4</v>
      </c>
      <c r="G408" s="264" t="str">
        <f>'Dry_Litterbag Placem_Collection'!C189</f>
        <v>Wet_W4_T3</v>
      </c>
      <c r="H408" s="265" t="s">
        <v>2541</v>
      </c>
      <c r="I408" s="272" t="s">
        <v>298</v>
      </c>
      <c r="J408" s="223" t="str">
        <f>'WetLitterbags placem_collection'!M189</f>
        <v>R427</v>
      </c>
      <c r="K408" s="225">
        <f>IFERROR(INDEX('Green_rooibos initial weight'!$C$5:$C$1749,MATCH(J408, 'Green_rooibos initial weight'!$A$5:$A$1749,0)),"")</f>
        <v>2.1760000000000002</v>
      </c>
      <c r="L408" s="225">
        <f>IFERROR(K408-(TBIcalc!$H$9+TBIcalc!$H$10),"")</f>
        <v>1.9262000000000001</v>
      </c>
      <c r="M408" s="391">
        <f>AVERAGE(Ashed_controlls!$K$12:$K$14)</f>
        <v>2.2816647271287041</v>
      </c>
      <c r="N408" s="225">
        <f t="shared" si="32"/>
        <v>1.8822505740260471</v>
      </c>
      <c r="O408" s="225">
        <f>IF(IFERROR(INDEX('Both teabags AfterWet'!$C$3:$C$841,MATCH(J408,'Both teabags AfterWet'!$A$3:$A$841,0)),"")="","",(IFERROR(INDEX('Both teabags AfterWet'!$C$3:$C$841,MATCH(J408,'Both teabags AfterWet'!$A$3:$A$841,0)),"")))</f>
        <v>1.6979</v>
      </c>
      <c r="P408" s="225">
        <f>IFERROR(IF(O408&gt;0,O408-(TBIcalc!$H$9),""),"")</f>
        <v>1.5472999999999999</v>
      </c>
      <c r="Q408" s="225">
        <f>IFERROR(INDEX('Ashed teabags wet'!$K$2:$K$821,MATCH(J408,'Ashed teabags wet'!$A$2:$A$821,0)),"")</f>
        <v>1.9455252918283636</v>
      </c>
      <c r="R408" s="225">
        <f t="shared" si="36"/>
        <v>1.5171968871595396</v>
      </c>
      <c r="S408" s="226">
        <f>'WetLitterbags placem_collection'!E189</f>
        <v>42763</v>
      </c>
      <c r="T408" s="226">
        <f>IF('WetLitterbags placem_collection'!G189="","",'WetLitterbags placem_collection'!G189)</f>
        <v>42815</v>
      </c>
      <c r="U408" s="227">
        <f t="shared" si="33"/>
        <v>52</v>
      </c>
      <c r="V408" s="225">
        <f t="shared" si="34"/>
        <v>0.37890000000000024</v>
      </c>
      <c r="W408" s="225">
        <f t="shared" si="35"/>
        <v>0.36505368686650752</v>
      </c>
      <c r="X408">
        <f>IFERROR(INDEX(Rainfall_Wet!$O$2:$O$217,MATCH(B408, Rainfall_Wet!$A$2:$A$217,0)),"")</f>
        <v>188.24043152799999</v>
      </c>
      <c r="Y408" s="231">
        <v>25.96</v>
      </c>
      <c r="Z408" s="231">
        <v>8.9200000000000017</v>
      </c>
      <c r="AA408" s="231">
        <v>65.12</v>
      </c>
      <c r="AB408" s="232" t="s">
        <v>2670</v>
      </c>
      <c r="AC408" s="231">
        <v>3.6991621488417898</v>
      </c>
      <c r="AD408">
        <f>IF('WetLitterbags placem_collection'!AB189="","",'WetLitterbags placem_collection'!AB189)</f>
        <v>0.6</v>
      </c>
      <c r="AE408">
        <f>IF('WetLitterbags placem_collection'!Z189="","",'WetLitterbags placem_collection'!Z189)</f>
        <v>39.4</v>
      </c>
      <c r="AF408" s="246" t="str">
        <f>IF('WetLitterbags placem_collection'!AA189="","",'WetLitterbags placem_collection'!AA189)</f>
        <v>O</v>
      </c>
      <c r="AG408">
        <f>IF('WetLitterbags placem_collection'!AC189="","",'WetLitterbags placem_collection'!AC189)</f>
        <v>1</v>
      </c>
      <c r="AH408" s="24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placem_collection'!W189)),"YES","NO")</f>
        <v>NO</v>
      </c>
      <c r="AM408" t="str">
        <f>IF(ISNUMBER(SEARCH("H", 'WetLitterbags placem_collection'!W189)),"YES","NO")</f>
        <v>NO</v>
      </c>
      <c r="AN408" t="str">
        <f>IF(ISNUMBER(SEARCH("R", 'WetLitterbags placem_collection'!W189)),"YES","NO")</f>
        <v>NO</v>
      </c>
    </row>
    <row r="409" spans="1:40" ht="15" customHeight="1">
      <c r="A409" s="258" t="s">
        <v>2460</v>
      </c>
      <c r="B409" s="263">
        <f>'Dry_Litterbag Placem_Collection'!A190</f>
        <v>188</v>
      </c>
      <c r="C409" s="263" t="str">
        <f>'Dry_Litterbag Placem_Collection'!B190</f>
        <v>Handajega</v>
      </c>
      <c r="D409" s="263" t="s">
        <v>2659</v>
      </c>
      <c r="E409" s="263" t="s">
        <v>2661</v>
      </c>
      <c r="F409" s="263">
        <v>4</v>
      </c>
      <c r="G409" s="264" t="str">
        <f>'Dry_Litterbag Placem_Collection'!C190</f>
        <v>Wet_W4_T4</v>
      </c>
      <c r="H409" s="265" t="s">
        <v>2541</v>
      </c>
      <c r="I409" s="272" t="s">
        <v>298</v>
      </c>
      <c r="J409" s="223" t="str">
        <f>'WetLitterbags placem_collection'!M190</f>
        <v>R523</v>
      </c>
      <c r="K409" s="225">
        <f>IFERROR(INDEX('Green_rooibos initial weight'!$C$5:$C$1749,MATCH(J409, 'Green_rooibos initial weight'!$A$5:$A$1749,0)),"")</f>
        <v>2.1179999999999999</v>
      </c>
      <c r="L409" s="225">
        <f>IFERROR(K409-(TBIcalc!$H$9+TBIcalc!$H$10),"")</f>
        <v>1.8681999999999999</v>
      </c>
      <c r="M409" s="391">
        <f>AVERAGE(Ashed_controlls!$K$12:$K$14)</f>
        <v>2.2816647271287041</v>
      </c>
      <c r="N409" s="225">
        <f t="shared" si="32"/>
        <v>1.8255739395677815</v>
      </c>
      <c r="O409" s="225">
        <f>IF(IFERROR(INDEX('Both teabags AfterWet'!$C$3:$C$841,MATCH(J409,'Both teabags AfterWet'!$A$3:$A$841,0)),"")="","",(IFERROR(INDEX('Both teabags AfterWet'!$C$3:$C$841,MATCH(J409,'Both teabags AfterWet'!$A$3:$A$841,0)),"")))</f>
        <v>1.54</v>
      </c>
      <c r="P409" s="225">
        <f>IFERROR(IF(O409&gt;0,O409-(TBIcalc!$H$9),""),"")</f>
        <v>1.3894</v>
      </c>
      <c r="Q409" s="225">
        <f>IFERROR(INDEX('Ashed teabags wet'!$K$2:$K$821,MATCH(J409,'Ashed teabags wet'!$A$2:$A$821,0)),"")</f>
        <v>2.4709302325582305</v>
      </c>
      <c r="R409" s="225">
        <f t="shared" si="36"/>
        <v>1.3550688953488359</v>
      </c>
      <c r="S409" s="226">
        <f>'WetLitterbags placem_collection'!E190</f>
        <v>42763</v>
      </c>
      <c r="T409" s="226">
        <f>IF('WetLitterbags placem_collection'!G190="","",'WetLitterbags placem_collection'!G190)</f>
        <v>42815</v>
      </c>
      <c r="U409" s="227">
        <f t="shared" si="33"/>
        <v>52</v>
      </c>
      <c r="V409" s="225">
        <f t="shared" si="34"/>
        <v>0.47879999999999989</v>
      </c>
      <c r="W409" s="225">
        <f t="shared" si="35"/>
        <v>0.47050504421894557</v>
      </c>
      <c r="X409">
        <f>IFERROR(INDEX(Rainfall_Wet!$O$2:$O$217,MATCH(B409, Rainfall_Wet!$A$2:$A$217,0)),"")</f>
        <v>188.24043152799999</v>
      </c>
      <c r="Y409" s="231">
        <v>25.96</v>
      </c>
      <c r="Z409" s="231">
        <v>8.9200000000000017</v>
      </c>
      <c r="AA409" s="231">
        <v>65.12</v>
      </c>
      <c r="AB409" s="232" t="s">
        <v>2670</v>
      </c>
      <c r="AC409" s="231">
        <v>4.6991621488417898</v>
      </c>
      <c r="AD409">
        <f>IF('WetLitterbags placem_collection'!AB190="","",'WetLitterbags placem_collection'!AB190)</f>
        <v>2.2999999999999998</v>
      </c>
      <c r="AE409">
        <f>IF('WetLitterbags placem_collection'!Z190="","",'WetLitterbags placem_collection'!Z190)</f>
        <v>14.4</v>
      </c>
      <c r="AF409" s="246" t="str">
        <f>IF('WetLitterbags placem_collection'!AA190="","",'WetLitterbags placem_collection'!AA190)</f>
        <v>O</v>
      </c>
      <c r="AG409">
        <f>IF('WetLitterbags placem_collection'!AC190="","",'WetLitterbags placem_collection'!AC190)</f>
        <v>0</v>
      </c>
      <c r="AH409" s="24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placem_collection'!W190)),"YES","NO")</f>
        <v>YES</v>
      </c>
      <c r="AM409" t="str">
        <f>IF(ISNUMBER(SEARCH("H", 'WetLitterbags placem_collection'!W190)),"YES","NO")</f>
        <v>YES</v>
      </c>
      <c r="AN409" t="str">
        <f>IF(ISNUMBER(SEARCH("R", 'WetLitterbags placem_collection'!W190)),"YES","NO")</f>
        <v>YES</v>
      </c>
    </row>
    <row r="410" spans="1:40" ht="15" customHeight="1">
      <c r="A410" s="258" t="s">
        <v>2460</v>
      </c>
      <c r="B410" s="263">
        <f>'Dry_Litterbag Placem_Collection'!A191</f>
        <v>189</v>
      </c>
      <c r="C410" s="263" t="str">
        <f>'Dry_Litterbag Placem_Collection'!B191</f>
        <v>Handajega</v>
      </c>
      <c r="D410" s="263" t="s">
        <v>2659</v>
      </c>
      <c r="E410" s="263" t="s">
        <v>2661</v>
      </c>
      <c r="F410" s="263">
        <v>4</v>
      </c>
      <c r="G410" s="264" t="str">
        <f>'Dry_Litterbag Placem_Collection'!C191</f>
        <v>Wet_W4_T5</v>
      </c>
      <c r="H410" s="265" t="s">
        <v>2541</v>
      </c>
      <c r="I410" s="272" t="s">
        <v>298</v>
      </c>
      <c r="J410" s="223" t="str">
        <f>'WetLitterbags placem_collection'!M191</f>
        <v>R354</v>
      </c>
      <c r="K410" s="225">
        <f>IFERROR(INDEX('Green_rooibos initial weight'!$C$5:$C$1749,MATCH(J410, 'Green_rooibos initial weight'!$A$5:$A$1749,0)),"")</f>
        <v>2.286</v>
      </c>
      <c r="L410" s="225">
        <f>IFERROR(K410-(TBIcalc!$H$9+TBIcalc!$H$10),"")</f>
        <v>2.0362</v>
      </c>
      <c r="M410" s="391">
        <f>AVERAGE(Ashed_controlls!$K$12:$K$14)</f>
        <v>2.2816647271287041</v>
      </c>
      <c r="N410" s="225">
        <f t="shared" si="32"/>
        <v>1.9897407428262053</v>
      </c>
      <c r="O410" s="225">
        <f>IF(IFERROR(INDEX('Both teabags AfterWet'!$C$3:$C$841,MATCH(J410,'Both teabags AfterWet'!$A$3:$A$841,0)),"")="","",(IFERROR(INDEX('Both teabags AfterWet'!$C$3:$C$841,MATCH(J410,'Both teabags AfterWet'!$A$3:$A$841,0)),"")))</f>
        <v>1.7630999999999999</v>
      </c>
      <c r="P410" s="225">
        <f>IFERROR(IF(O410&gt;0,O410-(TBIcalc!$H$9),""),"")</f>
        <v>1.6124999999999998</v>
      </c>
      <c r="Q410" s="225">
        <f>IFERROR(INDEX('Ashed teabags wet'!$K$2:$K$821,MATCH(J410,'Ashed teabags wet'!$A$2:$A$821,0)),"")</f>
        <v>2.4789291026277223</v>
      </c>
      <c r="R410" s="225">
        <f t="shared" si="36"/>
        <v>1.5725272682201279</v>
      </c>
      <c r="S410" s="226">
        <f>'WetLitterbags placem_collection'!E191</f>
        <v>42763</v>
      </c>
      <c r="T410" s="226">
        <f>IF('WetLitterbags placem_collection'!G191="","",'WetLitterbags placem_collection'!G191)</f>
        <v>42815</v>
      </c>
      <c r="U410" s="227">
        <f t="shared" si="33"/>
        <v>52</v>
      </c>
      <c r="V410" s="225">
        <f t="shared" si="34"/>
        <v>0.42370000000000019</v>
      </c>
      <c r="W410" s="225">
        <f t="shared" si="35"/>
        <v>0.41721347460607738</v>
      </c>
      <c r="X410">
        <f>IFERROR(INDEX(Rainfall_Wet!$O$2:$O$217,MATCH(B410, Rainfall_Wet!$A$2:$A$217,0)),"")</f>
        <v>188.24043152799999</v>
      </c>
      <c r="Y410" s="231">
        <v>25.96</v>
      </c>
      <c r="Z410" s="231">
        <v>8.9200000000000017</v>
      </c>
      <c r="AA410" s="231">
        <v>65.12</v>
      </c>
      <c r="AB410" s="232" t="s">
        <v>2670</v>
      </c>
      <c r="AC410" s="231">
        <v>5.6991621488417898</v>
      </c>
      <c r="AD410">
        <f>IF('WetLitterbags placem_collection'!AB191="","",'WetLitterbags placem_collection'!AB191)</f>
        <v>0.6</v>
      </c>
      <c r="AE410">
        <f>IF('WetLitterbags placem_collection'!Z191="","",'WetLitterbags placem_collection'!Z191)</f>
        <v>7</v>
      </c>
      <c r="AF410" s="246" t="str">
        <f>IF('WetLitterbags placem_collection'!AA191="","",'WetLitterbags placem_collection'!AA191)</f>
        <v>O</v>
      </c>
      <c r="AG410">
        <f>IF('WetLitterbags placem_collection'!AC191="","",'WetLitterbags placem_collection'!AC191)</f>
        <v>1</v>
      </c>
      <c r="AH410" s="24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placem_collection'!W191)),"YES","NO")</f>
        <v>NO</v>
      </c>
      <c r="AM410" t="str">
        <f>IF(ISNUMBER(SEARCH("H", 'WetLitterbags placem_collection'!W191)),"YES","NO")</f>
        <v>NO</v>
      </c>
      <c r="AN410" t="str">
        <f>IF(ISNUMBER(SEARCH("R", 'WetLitterbags placem_collection'!W191)),"YES","NO")</f>
        <v>YES</v>
      </c>
    </row>
    <row r="411" spans="1:40" ht="15" customHeight="1">
      <c r="A411" s="258" t="s">
        <v>2460</v>
      </c>
      <c r="B411" s="263">
        <f>'Dry_Litterbag Placem_Collection'!A192</f>
        <v>190</v>
      </c>
      <c r="C411" s="263" t="str">
        <f>'Dry_Litterbag Placem_Collection'!B192</f>
        <v>Handajega</v>
      </c>
      <c r="D411" s="263" t="s">
        <v>2659</v>
      </c>
      <c r="E411" s="263" t="s">
        <v>2661</v>
      </c>
      <c r="F411" s="263">
        <v>4</v>
      </c>
      <c r="G411" s="264" t="str">
        <f>'Dry_Litterbag Placem_Collection'!C192</f>
        <v>Wet_W4_T6</v>
      </c>
      <c r="H411" s="265" t="s">
        <v>2541</v>
      </c>
      <c r="I411" s="272" t="s">
        <v>298</v>
      </c>
      <c r="J411" s="223" t="str">
        <f>'WetLitterbags placem_collection'!M192</f>
        <v>R164</v>
      </c>
      <c r="K411" s="225">
        <f>IFERROR(INDEX('Green_rooibos initial weight'!$C$5:$C$1749,MATCH(J411, 'Green_rooibos initial weight'!$A$5:$A$1749,0)),"")</f>
        <v>2.2040000000000002</v>
      </c>
      <c r="L411" s="225">
        <f>IFERROR(K411-(TBIcalc!$H$9+TBIcalc!$H$10),"")</f>
        <v>1.9542000000000002</v>
      </c>
      <c r="M411" s="391">
        <f>AVERAGE(Ashed_controlls!$K$12:$K$14)</f>
        <v>2.2816647271287041</v>
      </c>
      <c r="N411" s="225">
        <f t="shared" si="32"/>
        <v>1.909611707902451</v>
      </c>
      <c r="O411" s="225">
        <f>IF(IFERROR(INDEX('Both teabags AfterWet'!$C$3:$C$841,MATCH(J411,'Both teabags AfterWet'!$A$3:$A$841,0)),"")="","",(IFERROR(INDEX('Both teabags AfterWet'!$C$3:$C$841,MATCH(J411,'Both teabags AfterWet'!$A$3:$A$841,0)),"")))</f>
        <v>1.6649</v>
      </c>
      <c r="P411" s="225">
        <f>IFERROR(IF(O411&gt;0,O411-(TBIcalc!$H$9),""),"")</f>
        <v>1.5143</v>
      </c>
      <c r="Q411" s="225">
        <f>IFERROR(INDEX('Ashed teabags wet'!$K$2:$K$821,MATCH(J411,'Ashed teabags wet'!$A$2:$A$821,0)),"")</f>
        <v>2.591687041564656</v>
      </c>
      <c r="R411" s="225">
        <f t="shared" si="36"/>
        <v>1.4750540831295864</v>
      </c>
      <c r="S411" s="226">
        <f>'WetLitterbags placem_collection'!E192</f>
        <v>42763</v>
      </c>
      <c r="T411" s="226">
        <f>IF('WetLitterbags placem_collection'!G192="","",'WetLitterbags placem_collection'!G192)</f>
        <v>42815</v>
      </c>
      <c r="U411" s="227">
        <f t="shared" si="33"/>
        <v>52</v>
      </c>
      <c r="V411" s="225">
        <f t="shared" si="34"/>
        <v>0.43990000000000018</v>
      </c>
      <c r="W411" s="225">
        <f t="shared" si="35"/>
        <v>0.43455762477286464</v>
      </c>
      <c r="X411">
        <f>IFERROR(INDEX(Rainfall_Wet!$O$2:$O$217,MATCH(B411, Rainfall_Wet!$A$2:$A$217,0)),"")</f>
        <v>188.24043152799999</v>
      </c>
      <c r="Y411" s="231">
        <v>25.96</v>
      </c>
      <c r="Z411" s="231">
        <v>8.9200000000000017</v>
      </c>
      <c r="AA411" s="231">
        <v>65.12</v>
      </c>
      <c r="AB411" s="232" t="s">
        <v>2670</v>
      </c>
      <c r="AC411" s="231">
        <v>6.6991621488417898</v>
      </c>
      <c r="AD411">
        <f>IF('WetLitterbags placem_collection'!AB192="","",'WetLitterbags placem_collection'!AB192)</f>
        <v>9.5</v>
      </c>
      <c r="AE411">
        <f>IF('WetLitterbags placem_collection'!Z192="","",'WetLitterbags placem_collection'!Z192)</f>
        <v>17.399999999999999</v>
      </c>
      <c r="AF411" s="246" t="str">
        <f>IF('WetLitterbags placem_collection'!AA192="","",'WetLitterbags placem_collection'!AA192)</f>
        <v>O</v>
      </c>
      <c r="AG411">
        <f>IF('WetLitterbags placem_collection'!AC192="","",'WetLitterbags placem_collection'!AC192)</f>
        <v>0</v>
      </c>
      <c r="AH411" s="24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placem_collection'!W192)),"YES","NO")</f>
        <v>YES</v>
      </c>
      <c r="AM411" t="str">
        <f>IF(ISNUMBER(SEARCH("H", 'WetLitterbags placem_collection'!W192)),"YES","NO")</f>
        <v>YES</v>
      </c>
      <c r="AN411" t="str">
        <f>IF(ISNUMBER(SEARCH("R", 'WetLitterbags placem_collection'!W192)),"YES","NO")</f>
        <v>NO</v>
      </c>
    </row>
    <row r="412" spans="1:40" ht="15" customHeight="1">
      <c r="A412" s="258" t="s">
        <v>2460</v>
      </c>
      <c r="B412" s="263">
        <f>'Dry_Litterbag Placem_Collection'!A193</f>
        <v>191</v>
      </c>
      <c r="C412" s="263" t="str">
        <f>'Dry_Litterbag Placem_Collection'!B193</f>
        <v>Handajega</v>
      </c>
      <c r="D412" s="263" t="s">
        <v>2659</v>
      </c>
      <c r="E412" s="263" t="s">
        <v>2661</v>
      </c>
      <c r="F412" s="263">
        <v>4</v>
      </c>
      <c r="G412" s="264" t="str">
        <f>'Dry_Litterbag Placem_Collection'!C193</f>
        <v>Wet_W4_T7</v>
      </c>
      <c r="H412" s="265" t="s">
        <v>2541</v>
      </c>
      <c r="I412" s="272" t="s">
        <v>298</v>
      </c>
      <c r="J412" s="223" t="str">
        <f>'WetLitterbags placem_collection'!M193</f>
        <v>R336</v>
      </c>
      <c r="K412" s="225">
        <f>IFERROR(INDEX('Green_rooibos initial weight'!$C$5:$C$1749,MATCH(J412, 'Green_rooibos initial weight'!$A$5:$A$1749,0)),"")</f>
        <v>2.11</v>
      </c>
      <c r="L412" s="225">
        <f>IFERROR(K412-(TBIcalc!$H$9+TBIcalc!$H$10),"")</f>
        <v>1.8601999999999999</v>
      </c>
      <c r="M412" s="391">
        <f>AVERAGE(Ashed_controlls!$K$12:$K$14)</f>
        <v>2.2816647271287041</v>
      </c>
      <c r="N412" s="225">
        <f t="shared" si="32"/>
        <v>1.8177564727459516</v>
      </c>
      <c r="O412" s="225">
        <f>IF(IFERROR(INDEX('Both teabags AfterWet'!$C$3:$C$841,MATCH(J412,'Both teabags AfterWet'!$A$3:$A$841,0)),"")="","",(IFERROR(INDEX('Both teabags AfterWet'!$C$3:$C$841,MATCH(J412,'Both teabags AfterWet'!$A$3:$A$841,0)),"")))</f>
        <v>1.671</v>
      </c>
      <c r="P412" s="225">
        <f>IFERROR(IF(O412&gt;0,O412-(TBIcalc!$H$9),""),"")</f>
        <v>1.5204</v>
      </c>
      <c r="Q412" s="225">
        <f>IFERROR(INDEX('Ashed teabags wet'!$K$2:$K$821,MATCH(J412,'Ashed teabags wet'!$A$2:$A$821,0)),"")</f>
        <v>1.9089574155652842</v>
      </c>
      <c r="R412" s="225">
        <f t="shared" si="36"/>
        <v>1.4913762114537454</v>
      </c>
      <c r="S412" s="226">
        <f>'WetLitterbags placem_collection'!E193</f>
        <v>42763</v>
      </c>
      <c r="T412" s="226">
        <f>IF('WetLitterbags placem_collection'!G193="","",'WetLitterbags placem_collection'!G193)</f>
        <v>42815</v>
      </c>
      <c r="U412" s="227">
        <f t="shared" si="33"/>
        <v>52</v>
      </c>
      <c r="V412" s="225">
        <f t="shared" si="34"/>
        <v>0.33979999999999988</v>
      </c>
      <c r="W412" s="225">
        <f t="shared" si="35"/>
        <v>0.32638026129220621</v>
      </c>
      <c r="X412">
        <f>IFERROR(INDEX(Rainfall_Wet!$O$2:$O$217,MATCH(B412, Rainfall_Wet!$A$2:$A$217,0)),"")</f>
        <v>188.24043152799999</v>
      </c>
      <c r="Y412" s="231">
        <v>25.96</v>
      </c>
      <c r="Z412" s="231">
        <v>8.9200000000000017</v>
      </c>
      <c r="AA412" s="231">
        <v>65.12</v>
      </c>
      <c r="AB412" s="232" t="s">
        <v>2670</v>
      </c>
      <c r="AC412" s="231">
        <v>7.6991621488417898</v>
      </c>
      <c r="AD412">
        <f>IF('WetLitterbags placem_collection'!AB193="","",'WetLitterbags placem_collection'!AB193)</f>
        <v>12.4</v>
      </c>
      <c r="AE412">
        <f>IF('WetLitterbags placem_collection'!Z193="","",'WetLitterbags placem_collection'!Z193)</f>
        <v>29.8</v>
      </c>
      <c r="AF412" s="246" t="str">
        <f>IF('WetLitterbags placem_collection'!AA193="","",'WetLitterbags placem_collection'!AA193)</f>
        <v>O</v>
      </c>
      <c r="AG412">
        <f>IF('WetLitterbags placem_collection'!AC193="","",'WetLitterbags placem_collection'!AC193)</f>
        <v>0</v>
      </c>
      <c r="AH412" s="24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placem_collection'!W193)),"YES","NO")</f>
        <v>YES</v>
      </c>
      <c r="AM412" t="str">
        <f>IF(ISNUMBER(SEARCH("H", 'WetLitterbags placem_collection'!W193)),"YES","NO")</f>
        <v>YES</v>
      </c>
      <c r="AN412" t="str">
        <f>IF(ISNUMBER(SEARCH("R", 'WetLitterbags placem_collection'!W193)),"YES","NO")</f>
        <v>NO</v>
      </c>
    </row>
    <row r="413" spans="1:40" ht="15" customHeight="1">
      <c r="A413" s="258" t="s">
        <v>2460</v>
      </c>
      <c r="B413" s="263">
        <f>'Dry_Litterbag Placem_Collection'!A194</f>
        <v>192</v>
      </c>
      <c r="C413" s="263" t="str">
        <f>'Dry_Litterbag Placem_Collection'!B194</f>
        <v>Handajega</v>
      </c>
      <c r="D413" s="263" t="s">
        <v>2659</v>
      </c>
      <c r="E413" s="263" t="s">
        <v>2661</v>
      </c>
      <c r="F413" s="263">
        <v>4</v>
      </c>
      <c r="G413" s="264" t="str">
        <f>'Dry_Litterbag Placem_Collection'!C194</f>
        <v>Wet_W4_T8</v>
      </c>
      <c r="H413" s="265" t="s">
        <v>2541</v>
      </c>
      <c r="I413" s="272" t="s">
        <v>298</v>
      </c>
      <c r="J413" s="223" t="str">
        <f>'WetLitterbags placem_collection'!M194</f>
        <v>R263</v>
      </c>
      <c r="K413" s="225">
        <f>IFERROR(INDEX('Green_rooibos initial weight'!$C$5:$C$1749,MATCH(J413, 'Green_rooibos initial weight'!$A$5:$A$1749,0)),"")</f>
        <v>2.1850000000000001</v>
      </c>
      <c r="L413" s="225">
        <f>IFERROR(K413-(TBIcalc!$H$9+TBIcalc!$H$10),"")</f>
        <v>1.9352</v>
      </c>
      <c r="M413" s="391">
        <f>AVERAGE(Ashed_controlls!$K$12:$K$14)</f>
        <v>2.2816647271287041</v>
      </c>
      <c r="N413" s="225">
        <f t="shared" si="32"/>
        <v>1.8910452242006053</v>
      </c>
      <c r="O413" s="225">
        <f>IF(IFERROR(INDEX('Both teabags AfterWet'!$C$3:$C$841,MATCH(J413,'Both teabags AfterWet'!$A$3:$A$841,0)),"")="","",(IFERROR(INDEX('Both teabags AfterWet'!$C$3:$C$841,MATCH(J413,'Both teabags AfterWet'!$A$3:$A$841,0)),"")))</f>
        <v>1.0369999999999999</v>
      </c>
      <c r="P413" s="225">
        <f>IFERROR(IF(O413&gt;0,O413-(TBIcalc!$H$9),""),"")</f>
        <v>0.88639999999999985</v>
      </c>
      <c r="Q413" s="225">
        <f>IFERROR(INDEX('Ashed teabags wet'!$K$2:$K$821,MATCH(J413,'Ashed teabags wet'!$A$2:$A$821,0)),"")</f>
        <v>44.460570875664885</v>
      </c>
      <c r="R413" s="225">
        <f t="shared" si="36"/>
        <v>0.49230149975810639</v>
      </c>
      <c r="S413" s="226">
        <f>'WetLitterbags placem_collection'!E194</f>
        <v>42763</v>
      </c>
      <c r="T413" s="226">
        <f>IF('WetLitterbags placem_collection'!G194="","",'WetLitterbags placem_collection'!G194)</f>
        <v>42815</v>
      </c>
      <c r="U413" s="227">
        <f t="shared" si="33"/>
        <v>52</v>
      </c>
      <c r="V413" s="225">
        <f t="shared" si="34"/>
        <v>1.0488000000000002</v>
      </c>
      <c r="W413" s="225">
        <f t="shared" si="35"/>
        <v>1.3987437244424989</v>
      </c>
      <c r="X413">
        <f>IFERROR(INDEX(Rainfall_Wet!$O$2:$O$217,MATCH(B413, Rainfall_Wet!$A$2:$A$217,0)),"")</f>
        <v>188.24043152799999</v>
      </c>
      <c r="Y413" s="231">
        <v>25.96</v>
      </c>
      <c r="Z413" s="231">
        <v>8.9200000000000017</v>
      </c>
      <c r="AA413" s="231">
        <v>65.12</v>
      </c>
      <c r="AB413" s="232" t="s">
        <v>2670</v>
      </c>
      <c r="AC413" s="231">
        <v>8.6991621488417898</v>
      </c>
      <c r="AD413">
        <f>IF('WetLitterbags placem_collection'!AB194="","",'WetLitterbags placem_collection'!AB194)</f>
        <v>3.6</v>
      </c>
      <c r="AE413">
        <f>IF('WetLitterbags placem_collection'!Z194="","",'WetLitterbags placem_collection'!Z194)</f>
        <v>37.799999999999997</v>
      </c>
      <c r="AF413" s="246" t="str">
        <f>IF('WetLitterbags placem_collection'!AA194="","",'WetLitterbags placem_collection'!AA194)</f>
        <v>O</v>
      </c>
      <c r="AG413">
        <f>IF('WetLitterbags placem_collection'!AC194="","",'WetLitterbags placem_collection'!AC194)</f>
        <v>0</v>
      </c>
      <c r="AH413" s="24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placem_collection'!W194)),"YES","NO")</f>
        <v>YES</v>
      </c>
      <c r="AM413" t="str">
        <f>IF(ISNUMBER(SEARCH("H", 'WetLitterbags placem_collection'!W194)),"YES","NO")</f>
        <v>YES</v>
      </c>
      <c r="AN413" t="str">
        <f>IF(ISNUMBER(SEARCH("R", 'WetLitterbags placem_collection'!W194)),"YES","NO")</f>
        <v>NO</v>
      </c>
    </row>
    <row r="414" spans="1:40" ht="15" customHeight="1">
      <c r="A414" s="258" t="s">
        <v>2460</v>
      </c>
      <c r="B414" s="263">
        <f>'Dry_Litterbag Placem_Collection'!A195</f>
        <v>193</v>
      </c>
      <c r="C414" s="263" t="str">
        <f>'Dry_Litterbag Placem_Collection'!B195</f>
        <v>Makao</v>
      </c>
      <c r="D414" s="263" t="s">
        <v>2659</v>
      </c>
      <c r="E414" s="263" t="s">
        <v>2526</v>
      </c>
      <c r="F414" s="263">
        <v>4</v>
      </c>
      <c r="G414" s="264" t="str">
        <f>'Dry_Litterbag Placem_Collection'!C195</f>
        <v>Dry_Ag1_CG4</v>
      </c>
      <c r="H414" s="265" t="s">
        <v>2541</v>
      </c>
      <c r="I414" s="272" t="s">
        <v>298</v>
      </c>
      <c r="J414" s="223" t="str">
        <f>'WetLitterbags placem_collection'!M195</f>
        <v>R125</v>
      </c>
      <c r="K414" s="225">
        <f>IFERROR(INDEX('Green_rooibos initial weight'!$C$5:$C$1749,MATCH(J414, 'Green_rooibos initial weight'!$A$5:$A$1749,0)),"")</f>
        <v>2.2040000000000002</v>
      </c>
      <c r="L414" s="225">
        <f>IFERROR(K414-(TBIcalc!$H$9+TBIcalc!$H$10),"")</f>
        <v>1.9542000000000002</v>
      </c>
      <c r="M414" s="391">
        <f>AVERAGE(Ashed_controlls!$K$12:$K$14)</f>
        <v>2.2816647271287041</v>
      </c>
      <c r="N414" s="225">
        <f t="shared" si="32"/>
        <v>1.909611707902451</v>
      </c>
      <c r="O414" s="225">
        <f>IF(IFERROR(INDEX('Both teabags AfterWet'!$C$3:$C$841,MATCH(J414,'Both teabags AfterWet'!$A$3:$A$841,0)),"")="","",(IFERROR(INDEX('Both teabags AfterWet'!$C$3:$C$841,MATCH(J414,'Both teabags AfterWet'!$A$3:$A$841,0)),"")))</f>
        <v>1.2266999999999999</v>
      </c>
      <c r="P414" s="225">
        <f>IFERROR(IF(O414&gt;0,O414-(TBIcalc!$H$9),""),"")</f>
        <v>1.0760999999999998</v>
      </c>
      <c r="Q414" s="225">
        <f>IFERROR(INDEX('Ashed teabags wet'!$K$2:$K$821,MATCH(J414,'Ashed teabags wet'!$A$2:$A$821,0)),"")</f>
        <v>4.8379052369080275</v>
      </c>
      <c r="R414" s="225">
        <f t="shared" si="36"/>
        <v>1.0240393017456326</v>
      </c>
      <c r="S414" s="226">
        <f>'WetLitterbags placem_collection'!E195</f>
        <v>42769</v>
      </c>
      <c r="T414" s="226">
        <f>IF('WetLitterbags placem_collection'!G195="","",'WetLitterbags placem_collection'!G195)</f>
        <v>42813</v>
      </c>
      <c r="U414" s="227">
        <f t="shared" si="33"/>
        <v>44</v>
      </c>
      <c r="V414" s="225">
        <f t="shared" si="34"/>
        <v>0.87810000000000032</v>
      </c>
      <c r="W414" s="225">
        <f t="shared" si="35"/>
        <v>0.88557240615681843</v>
      </c>
      <c r="X414">
        <f>IFERROR(INDEX(Rainfall_Wet!$O$2:$O$217,MATCH(B414, Rainfall_Wet!$A$2:$A$217,0)),"")</f>
        <v>175.054685654</v>
      </c>
      <c r="Y414" s="231">
        <v>12.565665055683967</v>
      </c>
      <c r="Z414" s="231">
        <v>0.9665896196679955</v>
      </c>
      <c r="AA414" s="231">
        <v>86.467745324648035</v>
      </c>
      <c r="AB414" s="232" t="s">
        <v>2672</v>
      </c>
      <c r="AC414" s="231">
        <v>1.0225726959093147</v>
      </c>
      <c r="AD414">
        <f>IF('WetLitterbags placem_collection'!AB195="","",'WetLitterbags placem_collection'!AB195)</f>
        <v>15.2</v>
      </c>
      <c r="AE414">
        <f>IF('WetLitterbags placem_collection'!Z195="","",'WetLitterbags placem_collection'!Z195)</f>
        <v>12.2</v>
      </c>
      <c r="AF414" s="246" t="str">
        <f>IF('WetLitterbags placem_collection'!AA195="","",'WetLitterbags placem_collection'!AA195)</f>
        <v>O</v>
      </c>
      <c r="AG414">
        <f>IF('WetLitterbags placem_collection'!AC195="","",'WetLitterbags placem_collection'!AC195)</f>
        <v>1</v>
      </c>
      <c r="AH414" s="24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placem_collection'!W195)),"YES","NO")</f>
        <v>NO</v>
      </c>
      <c r="AM414" t="str">
        <f>IF(ISNUMBER(SEARCH("H", 'WetLitterbags placem_collection'!W195)),"YES","NO")</f>
        <v>NO</v>
      </c>
      <c r="AN414" t="str">
        <f>IF(ISNUMBER(SEARCH("R", 'WetLitterbags placem_collection'!W195)),"YES","NO")</f>
        <v>NO</v>
      </c>
    </row>
    <row r="415" spans="1:40" ht="15" customHeight="1">
      <c r="A415" s="258" t="s">
        <v>2460</v>
      </c>
      <c r="B415" s="263">
        <f>'Dry_Litterbag Placem_Collection'!A196</f>
        <v>194</v>
      </c>
      <c r="C415" s="263" t="str">
        <f>'Dry_Litterbag Placem_Collection'!B196</f>
        <v>Makao</v>
      </c>
      <c r="D415" s="263" t="s">
        <v>2659</v>
      </c>
      <c r="E415" s="263" t="s">
        <v>2526</v>
      </c>
      <c r="F415" s="263">
        <v>3</v>
      </c>
      <c r="G415" s="264" t="str">
        <f>'Dry_Litterbag Placem_Collection'!C196</f>
        <v>Dry_Ag2_CG3</v>
      </c>
      <c r="H415" s="265" t="s">
        <v>2541</v>
      </c>
      <c r="I415" s="272" t="s">
        <v>298</v>
      </c>
      <c r="J415" s="223" t="str">
        <f>'WetLitterbags placem_collection'!M196</f>
        <v>R289</v>
      </c>
      <c r="K415" s="225">
        <f>IFERROR(INDEX('Green_rooibos initial weight'!$C$5:$C$1749,MATCH(J415, 'Green_rooibos initial weight'!$A$5:$A$1749,0)),"")</f>
        <v>2.2160000000000002</v>
      </c>
      <c r="L415" s="225">
        <f>IFERROR(K415-(TBIcalc!$H$9+TBIcalc!$H$10),"")</f>
        <v>1.9662000000000002</v>
      </c>
      <c r="M415" s="391">
        <f>AVERAGE(Ashed_controlls!$K$12:$K$14)</f>
        <v>2.2816647271287041</v>
      </c>
      <c r="N415" s="225">
        <f t="shared" si="32"/>
        <v>1.9213379081351956</v>
      </c>
      <c r="O415" s="225">
        <f>IF(IFERROR(INDEX('Both teabags AfterWet'!$C$3:$C$841,MATCH(J415,'Both teabags AfterWet'!$A$3:$A$841,0)),"")="","",(IFERROR(INDEX('Both teabags AfterWet'!$C$3:$C$841,MATCH(J415,'Both teabags AfterWet'!$A$3:$A$841,0)),"")))</f>
        <v>1.512</v>
      </c>
      <c r="P415" s="225">
        <f>IFERROR(IF(O415&gt;0,O415-(TBIcalc!$H$9),""),"")</f>
        <v>1.3613999999999999</v>
      </c>
      <c r="Q415" s="225">
        <f>IFERROR(INDEX('Ashed teabags wet'!$K$2:$K$821,MATCH(J415,'Ashed teabags wet'!$A$2:$A$821,0)),"")</f>
        <v>3.5180722891571889</v>
      </c>
      <c r="R415" s="225">
        <f t="shared" si="36"/>
        <v>1.3135049638554139</v>
      </c>
      <c r="S415" s="226">
        <f>'WetLitterbags placem_collection'!E196</f>
        <v>42769</v>
      </c>
      <c r="T415" s="226">
        <f>IF('WetLitterbags placem_collection'!G196="","",'WetLitterbags placem_collection'!G196)</f>
        <v>42813</v>
      </c>
      <c r="U415" s="227">
        <f t="shared" si="33"/>
        <v>44</v>
      </c>
      <c r="V415" s="225">
        <f t="shared" si="34"/>
        <v>0.60480000000000023</v>
      </c>
      <c r="W415" s="225">
        <f t="shared" si="35"/>
        <v>0.60783294427978163</v>
      </c>
      <c r="X415">
        <f>IFERROR(INDEX(Rainfall_Wet!$O$2:$O$217,MATCH(B415, Rainfall_Wet!$A$2:$A$217,0)),"")</f>
        <v>175.054685654</v>
      </c>
      <c r="Y415" s="231">
        <v>21.13063730679653</v>
      </c>
      <c r="Z415" s="231">
        <v>3.0912555579081076</v>
      </c>
      <c r="AA415" s="231">
        <v>75.778107135295357</v>
      </c>
      <c r="AB415" s="232" t="s">
        <v>2670</v>
      </c>
      <c r="AC415" s="231">
        <v>0.46131099063578063</v>
      </c>
      <c r="AD415">
        <f>IF('WetLitterbags placem_collection'!AB196="","",'WetLitterbags placem_collection'!AB196)</f>
        <v>7.9</v>
      </c>
      <c r="AE415">
        <f>IF('WetLitterbags placem_collection'!Z196="","",'WetLitterbags placem_collection'!Z196)</f>
        <v>7.9</v>
      </c>
      <c r="AF415" s="246" t="str">
        <f>IF('WetLitterbags placem_collection'!AA196="","",'WetLitterbags placem_collection'!AA196)</f>
        <v>O</v>
      </c>
      <c r="AG415">
        <f>IF('WetLitterbags placem_collection'!AC196="","",'WetLitterbags placem_collection'!AC196)</f>
        <v>1</v>
      </c>
      <c r="AH415" s="24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placem_collection'!W196)),"YES","NO")</f>
        <v>NO</v>
      </c>
      <c r="AM415" t="str">
        <f>IF(ISNUMBER(SEARCH("H", 'WetLitterbags placem_collection'!W196)),"YES","NO")</f>
        <v>NO</v>
      </c>
      <c r="AN415" t="str">
        <f>IF(ISNUMBER(SEARCH("R", 'WetLitterbags placem_collection'!W196)),"YES","NO")</f>
        <v>YES</v>
      </c>
    </row>
    <row r="416" spans="1:40" ht="15" customHeight="1">
      <c r="A416" s="258" t="s">
        <v>2460</v>
      </c>
      <c r="B416" s="263">
        <f>'Dry_Litterbag Placem_Collection'!A197</f>
        <v>195</v>
      </c>
      <c r="C416" s="263" t="str">
        <f>'Dry_Litterbag Placem_Collection'!B197</f>
        <v>Makao</v>
      </c>
      <c r="D416" s="263" t="s">
        <v>2659</v>
      </c>
      <c r="E416" s="263" t="s">
        <v>2526</v>
      </c>
      <c r="F416" s="263">
        <v>2</v>
      </c>
      <c r="G416" s="264" t="str">
        <f>'Dry_Litterbag Placem_Collection'!C197</f>
        <v>Dry_Ag3_CG2</v>
      </c>
      <c r="H416" s="265" t="s">
        <v>2541</v>
      </c>
      <c r="I416" s="272" t="s">
        <v>298</v>
      </c>
      <c r="J416" s="223" t="str">
        <f>'WetLitterbags placem_collection'!M197</f>
        <v>R378</v>
      </c>
      <c r="K416" s="225">
        <f>IFERROR(INDEX('Green_rooibos initial weight'!$C$5:$C$1749,MATCH(J416, 'Green_rooibos initial weight'!$A$5:$A$1749,0)),"")</f>
        <v>2.2320000000000002</v>
      </c>
      <c r="L416" s="225">
        <f>IFERROR(K416-(TBIcalc!$H$9+TBIcalc!$H$10),"")</f>
        <v>1.9822000000000002</v>
      </c>
      <c r="M416" s="391">
        <f>AVERAGE(Ashed_controlls!$K$12:$K$14)</f>
        <v>2.2816647271287041</v>
      </c>
      <c r="N416" s="225">
        <f t="shared" si="32"/>
        <v>1.936972841778855</v>
      </c>
      <c r="O416" s="225">
        <f>IF(IFERROR(INDEX('Both teabags AfterWet'!$C$3:$C$841,MATCH(J416,'Both teabags AfterWet'!$A$3:$A$841,0)),"")="","",(IFERROR(INDEX('Both teabags AfterWet'!$C$3:$C$841,MATCH(J416,'Both teabags AfterWet'!$A$3:$A$841,0)),"")))</f>
        <v>1.5296000000000001</v>
      </c>
      <c r="P416" s="225">
        <f>IFERROR(IF(O416&gt;0,O416-(TBIcalc!$H$9),""),"")</f>
        <v>1.379</v>
      </c>
      <c r="Q416" s="225">
        <f>IFERROR(INDEX('Ashed teabags wet'!$K$2:$K$821,MATCH(J416,'Ashed teabags wet'!$A$2:$A$821,0)),"")</f>
        <v>1.2339585389935566</v>
      </c>
      <c r="R416" s="225">
        <f t="shared" si="36"/>
        <v>1.3619837117472788</v>
      </c>
      <c r="S416" s="226">
        <f>'WetLitterbags placem_collection'!E197</f>
        <v>42769</v>
      </c>
      <c r="T416" s="226">
        <f>IF('WetLitterbags placem_collection'!G197="","",'WetLitterbags placem_collection'!G197)</f>
        <v>42814</v>
      </c>
      <c r="U416" s="227">
        <f t="shared" si="33"/>
        <v>45</v>
      </c>
      <c r="V416" s="225">
        <f t="shared" si="34"/>
        <v>0.60320000000000018</v>
      </c>
      <c r="W416" s="225">
        <f t="shared" si="35"/>
        <v>0.57498913003157615</v>
      </c>
      <c r="X416">
        <f>IFERROR(INDEX(Rainfall_Wet!$O$2:$O$217,MATCH(B416, Rainfall_Wet!$A$2:$A$217,0)),"")</f>
        <v>175.377105089</v>
      </c>
      <c r="Y416" s="231">
        <v>54.080969906906262</v>
      </c>
      <c r="Z416" s="231">
        <v>21.264484651351896</v>
      </c>
      <c r="AA416" s="231">
        <v>24.654545441741845</v>
      </c>
      <c r="AB416" s="232" t="s">
        <v>2673</v>
      </c>
      <c r="AC416" s="231">
        <v>1.8433218334154755</v>
      </c>
      <c r="AD416">
        <f>IF('WetLitterbags placem_collection'!AB197="","",'WetLitterbags placem_collection'!AB197)</f>
        <v>5.13</v>
      </c>
      <c r="AE416">
        <f>IF('WetLitterbags placem_collection'!Z197="","",'WetLitterbags placem_collection'!Z197)</f>
        <v>5.13</v>
      </c>
      <c r="AF416" s="246" t="str">
        <f>IF('WetLitterbags placem_collection'!AA197="","",'WetLitterbags placem_collection'!AA197)</f>
        <v>O</v>
      </c>
      <c r="AG416">
        <f>IF('WetLitterbags placem_collection'!AC197="","",'WetLitterbags placem_collection'!AC197)</f>
        <v>1</v>
      </c>
      <c r="AH416" s="24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placem_collection'!W197)),"YES","NO")</f>
        <v>YES</v>
      </c>
      <c r="AM416" t="str">
        <f>IF(ISNUMBER(SEARCH("H", 'WetLitterbags placem_collection'!W197)),"YES","NO")</f>
        <v>NO</v>
      </c>
      <c r="AN416" t="str">
        <f>IF(ISNUMBER(SEARCH("R", 'WetLitterbags placem_collection'!W197)),"YES","NO")</f>
        <v>YES</v>
      </c>
    </row>
    <row r="417" spans="1:40" ht="15" customHeight="1">
      <c r="A417" s="258" t="s">
        <v>2460</v>
      </c>
      <c r="B417" s="263">
        <f>'Dry_Litterbag Placem_Collection'!A198</f>
        <v>196</v>
      </c>
      <c r="C417" s="263" t="str">
        <f>'Dry_Litterbag Placem_Collection'!B198</f>
        <v>Makao</v>
      </c>
      <c r="D417" s="263" t="s">
        <v>2659</v>
      </c>
      <c r="E417" s="263" t="s">
        <v>2526</v>
      </c>
      <c r="F417" s="263">
        <v>1</v>
      </c>
      <c r="G417" s="264" t="str">
        <f>'Dry_Litterbag Placem_Collection'!C198</f>
        <v>Dry_Ag4_CG1</v>
      </c>
      <c r="H417" s="265" t="s">
        <v>2541</v>
      </c>
      <c r="I417" s="272" t="s">
        <v>298</v>
      </c>
      <c r="J417" s="223" t="str">
        <f>'WetLitterbags placem_collection'!M198</f>
        <v>R375</v>
      </c>
      <c r="K417" s="225">
        <f>IFERROR(INDEX('Green_rooibos initial weight'!$C$5:$C$1749,MATCH(J417, 'Green_rooibos initial weight'!$A$5:$A$1749,0)),"")</f>
        <v>2.23</v>
      </c>
      <c r="L417" s="225">
        <f>IFERROR(K417-(TBIcalc!$H$9+TBIcalc!$H$10),"")</f>
        <v>1.9802</v>
      </c>
      <c r="M417" s="391">
        <f>AVERAGE(Ashed_controlls!$K$12:$K$14)</f>
        <v>2.2816647271287041</v>
      </c>
      <c r="N417" s="225">
        <f t="shared" si="32"/>
        <v>1.9350184750733974</v>
      </c>
      <c r="O417" s="225">
        <f>IF(IFERROR(INDEX('Both teabags AfterWet'!$C$3:$C$841,MATCH(J417,'Both teabags AfterWet'!$A$3:$A$841,0)),"")="","",(IFERROR(INDEX('Both teabags AfterWet'!$C$3:$C$841,MATCH(J417,'Both teabags AfterWet'!$A$3:$A$841,0)),"")))</f>
        <v>1.3742000000000001</v>
      </c>
      <c r="P417" s="225">
        <f>IFERROR(IF(O417&gt;0,O417-(TBIcalc!$H$9),""),"")</f>
        <v>1.2236</v>
      </c>
      <c r="Q417" s="225">
        <f>IFERROR(INDEX('Ashed teabags wet'!$K$2:$K$821,MATCH(J417,'Ashed teabags wet'!$A$2:$A$821,0)),"")</f>
        <v>5.0314465408809701</v>
      </c>
      <c r="R417" s="225">
        <f t="shared" si="36"/>
        <v>1.1620352201257804</v>
      </c>
      <c r="S417" s="226">
        <f>'WetLitterbags placem_collection'!E198</f>
        <v>42769</v>
      </c>
      <c r="T417" s="226">
        <f>IF('WetLitterbags placem_collection'!G198="","",'WetLitterbags placem_collection'!G198)</f>
        <v>42814</v>
      </c>
      <c r="U417" s="227">
        <f t="shared" si="33"/>
        <v>45</v>
      </c>
      <c r="V417" s="225">
        <f t="shared" si="34"/>
        <v>0.75659999999999994</v>
      </c>
      <c r="W417" s="225">
        <f t="shared" si="35"/>
        <v>0.77298325494761699</v>
      </c>
      <c r="X417">
        <f>IFERROR(INDEX(Rainfall_Wet!$O$2:$O$217,MATCH(B417, Rainfall_Wet!$A$2:$A$217,0)),"")</f>
        <v>175.377105089</v>
      </c>
      <c r="Y417" s="231">
        <v>51.960000000000008</v>
      </c>
      <c r="Z417" s="231">
        <v>18.919999999999995</v>
      </c>
      <c r="AA417" s="231">
        <v>29.120000000000005</v>
      </c>
      <c r="AB417" s="232" t="s">
        <v>2673</v>
      </c>
      <c r="AC417" s="231">
        <v>1.85293247905372</v>
      </c>
      <c r="AD417">
        <f>IF('WetLitterbags placem_collection'!AB198="","",'WetLitterbags placem_collection'!AB198)</f>
        <v>13.8</v>
      </c>
      <c r="AE417">
        <f>IF('WetLitterbags placem_collection'!Z198="","",'WetLitterbags placem_collection'!Z198)</f>
        <v>17.399999999999999</v>
      </c>
      <c r="AF417" s="246" t="str">
        <f>IF('WetLitterbags placem_collection'!AA198="","",'WetLitterbags placem_collection'!AA198)</f>
        <v>O</v>
      </c>
      <c r="AG417">
        <f>IF('WetLitterbags placem_collection'!AC198="","",'WetLitterbags placem_collection'!AC198)</f>
        <v>1</v>
      </c>
      <c r="AH417" s="24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placem_collection'!W198)),"YES","NO")</f>
        <v>NO</v>
      </c>
      <c r="AM417" t="str">
        <f>IF(ISNUMBER(SEARCH("H", 'WetLitterbags placem_collection'!W198)),"YES","NO")</f>
        <v>NO</v>
      </c>
      <c r="AN417" t="str">
        <f>IF(ISNUMBER(SEARCH("R", 'WetLitterbags placem_collection'!W198)),"YES","NO")</f>
        <v>NO</v>
      </c>
    </row>
    <row r="418" spans="1:40" ht="15" customHeight="1">
      <c r="A418" s="258" t="s">
        <v>2460</v>
      </c>
      <c r="B418" s="263">
        <f>'Dry_Litterbag Placem_Collection'!A199</f>
        <v>197</v>
      </c>
      <c r="C418" s="263" t="str">
        <f>'Dry_Litterbag Placem_Collection'!B199</f>
        <v>Makao</v>
      </c>
      <c r="D418" s="263" t="s">
        <v>2659</v>
      </c>
      <c r="E418" s="263" t="s">
        <v>2526</v>
      </c>
      <c r="F418" s="263">
        <v>2</v>
      </c>
      <c r="G418" s="264" t="str">
        <f>'Dry_Litterbag Placem_Collection'!C199</f>
        <v>Dry_P1_CG2</v>
      </c>
      <c r="H418" s="265" t="s">
        <v>2541</v>
      </c>
      <c r="I418" s="272" t="s">
        <v>298</v>
      </c>
      <c r="J418" s="223" t="str">
        <f>'WetLitterbags placem_collection'!M199</f>
        <v>R219</v>
      </c>
      <c r="K418" s="225">
        <f>IFERROR(INDEX('Green_rooibos initial weight'!$C$5:$C$1749,MATCH(J418, 'Green_rooibos initial weight'!$A$5:$A$1749,0)),"")</f>
        <v>2.2160000000000002</v>
      </c>
      <c r="L418" s="225">
        <f>IFERROR(K418-(TBIcalc!$H$9+TBIcalc!$H$10),"")</f>
        <v>1.9662000000000002</v>
      </c>
      <c r="M418" s="391">
        <f>AVERAGE(Ashed_controlls!$K$12:$K$14)</f>
        <v>2.2816647271287041</v>
      </c>
      <c r="N418" s="225">
        <f t="shared" si="32"/>
        <v>1.9213379081351956</v>
      </c>
      <c r="O418" s="225">
        <f>IF(IFERROR(INDEX('Both teabags AfterWet'!$C$3:$C$841,MATCH(J418,'Both teabags AfterWet'!$A$3:$A$841,0)),"")="","",(IFERROR(INDEX('Both teabags AfterWet'!$C$3:$C$841,MATCH(J418,'Both teabags AfterWet'!$A$3:$A$841,0)),"")))</f>
        <v>1.5786</v>
      </c>
      <c r="P418" s="225">
        <f>IFERROR(IF(O418&gt;0,O418-(TBIcalc!$H$9),""),"")</f>
        <v>1.4279999999999999</v>
      </c>
      <c r="Q418" s="225">
        <f>IFERROR(INDEX('Ashed teabags wet'!$K$2:$K$821,MATCH(J418,'Ashed teabags wet'!$A$2:$A$821,0)),"")</f>
        <v>11.480214948704322</v>
      </c>
      <c r="R418" s="225">
        <f t="shared" si="36"/>
        <v>1.2640625305325022</v>
      </c>
      <c r="S418" s="226">
        <f>'WetLitterbags placem_collection'!E199</f>
        <v>42769</v>
      </c>
      <c r="T418" s="226">
        <f>IF('WetLitterbags placem_collection'!G199="","",'WetLitterbags placem_collection'!G199)</f>
        <v>42814</v>
      </c>
      <c r="U418" s="227">
        <f t="shared" si="33"/>
        <v>45</v>
      </c>
      <c r="V418" s="225">
        <f t="shared" si="34"/>
        <v>0.53820000000000023</v>
      </c>
      <c r="W418" s="225">
        <f t="shared" si="35"/>
        <v>0.65727537760269339</v>
      </c>
      <c r="X418">
        <f>IFERROR(INDEX(Rainfall_Wet!$O$2:$O$217,MATCH(B418, Rainfall_Wet!$A$2:$A$217,0)),"")</f>
        <v>175.377105089</v>
      </c>
      <c r="Y418" s="231">
        <v>23.96</v>
      </c>
      <c r="Z418" s="231">
        <v>0.91999999999999804</v>
      </c>
      <c r="AA418" s="231">
        <v>75.12</v>
      </c>
      <c r="AB418" s="232" t="s">
        <v>2670</v>
      </c>
      <c r="AC418" s="231">
        <v>1.2493839329719072</v>
      </c>
      <c r="AD418">
        <f>IF('WetLitterbags placem_collection'!AB199="","",'WetLitterbags placem_collection'!AB199)</f>
        <v>5.13</v>
      </c>
      <c r="AE418">
        <f>IF('WetLitterbags placem_collection'!Z199="","",'WetLitterbags placem_collection'!Z199)</f>
        <v>5.13</v>
      </c>
      <c r="AF418" s="246" t="str">
        <f>IF('WetLitterbags placem_collection'!AA199="","",'WetLitterbags placem_collection'!AA199)</f>
        <v>O</v>
      </c>
      <c r="AG418">
        <f>IF('WetLitterbags placem_collection'!AC199="","",'WetLitterbags placem_collection'!AC199)</f>
        <v>1</v>
      </c>
      <c r="AH418" s="24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placem_collection'!W199)),"YES","NO")</f>
        <v>YES</v>
      </c>
      <c r="AM418" t="str">
        <f>IF(ISNUMBER(SEARCH("H", 'WetLitterbags placem_collection'!W199)),"YES","NO")</f>
        <v>YES</v>
      </c>
      <c r="AN418" t="str">
        <f>IF(ISNUMBER(SEARCH("R", 'WetLitterbags placem_collection'!W199)),"YES","NO")</f>
        <v>YES</v>
      </c>
    </row>
    <row r="419" spans="1:40" ht="15" customHeight="1">
      <c r="A419" s="258" t="s">
        <v>2460</v>
      </c>
      <c r="B419" s="263">
        <f>'Dry_Litterbag Placem_Collection'!A200</f>
        <v>198</v>
      </c>
      <c r="C419" s="263" t="str">
        <f>'Dry_Litterbag Placem_Collection'!B200</f>
        <v>Makao</v>
      </c>
      <c r="D419" s="263" t="s">
        <v>2659</v>
      </c>
      <c r="E419" s="263" t="s">
        <v>2526</v>
      </c>
      <c r="F419" s="263">
        <v>3</v>
      </c>
      <c r="G419" s="264" t="str">
        <f>'Dry_Litterbag Placem_Collection'!C200</f>
        <v>Dry_P2_CG3</v>
      </c>
      <c r="H419" s="265" t="s">
        <v>2541</v>
      </c>
      <c r="I419" s="272" t="s">
        <v>298</v>
      </c>
      <c r="J419" s="223" t="str">
        <f>'WetLitterbags placem_collection'!M200</f>
        <v>R463</v>
      </c>
      <c r="K419" s="225">
        <f>IFERROR(INDEX('Green_rooibos initial weight'!$C$5:$C$1749,MATCH(J419, 'Green_rooibos initial weight'!$A$5:$A$1749,0)),"")</f>
        <v>2.1579999999999999</v>
      </c>
      <c r="L419" s="225">
        <f>IFERROR(K419-(TBIcalc!$H$9+TBIcalc!$H$10),"")</f>
        <v>1.9081999999999999</v>
      </c>
      <c r="M419" s="391">
        <f>AVERAGE(Ashed_controlls!$K$12:$K$14)</f>
        <v>2.2816647271287041</v>
      </c>
      <c r="N419" s="225">
        <f t="shared" si="32"/>
        <v>1.8646612736769299</v>
      </c>
      <c r="O419" s="225">
        <f>IF(IFERROR(INDEX('Both teabags AfterWet'!$C$3:$C$841,MATCH(J419,'Both teabags AfterWet'!$A$3:$A$841,0)),"")="","",(IFERROR(INDEX('Both teabags AfterWet'!$C$3:$C$841,MATCH(J419,'Both teabags AfterWet'!$A$3:$A$841,0)),"")))</f>
        <v>1.5485</v>
      </c>
      <c r="P419" s="225">
        <f>IFERROR(IF(O419&gt;0,O419-(TBIcalc!$H$9),""),"")</f>
        <v>1.3978999999999999</v>
      </c>
      <c r="Q419" s="225">
        <f>IFERROR(INDEX('Ashed teabags wet'!$K$2:$K$821,MATCH(J419,'Ashed teabags wet'!$A$2:$A$821,0)),"")</f>
        <v>7.7074128620517337</v>
      </c>
      <c r="R419" s="225">
        <f t="shared" si="36"/>
        <v>1.2901580756013789</v>
      </c>
      <c r="S419" s="226">
        <f>'WetLitterbags placem_collection'!E200</f>
        <v>42769</v>
      </c>
      <c r="T419" s="226">
        <f>IF('WetLitterbags placem_collection'!G200="","",'WetLitterbags placem_collection'!G200)</f>
        <v>42813</v>
      </c>
      <c r="U419" s="227">
        <f t="shared" si="33"/>
        <v>44</v>
      </c>
      <c r="V419" s="225">
        <f t="shared" si="34"/>
        <v>0.51029999999999998</v>
      </c>
      <c r="W419" s="225">
        <f t="shared" si="35"/>
        <v>0.57450319807555106</v>
      </c>
      <c r="X419">
        <f>IFERROR(INDEX(Rainfall_Wet!$O$2:$O$217,MATCH(B419, Rainfall_Wet!$A$2:$A$217,0)),"")</f>
        <v>175.054685654</v>
      </c>
      <c r="Y419" s="231">
        <v>19.96</v>
      </c>
      <c r="Z419" s="231">
        <v>4.9199999999999982</v>
      </c>
      <c r="AA419" s="231">
        <v>75.12</v>
      </c>
      <c r="AB419" s="232" t="s">
        <v>2671</v>
      </c>
      <c r="AC419" s="231">
        <v>1.641498275012321</v>
      </c>
      <c r="AD419">
        <f>IF('WetLitterbags placem_collection'!AB200="","",'WetLitterbags placem_collection'!AB200)</f>
        <v>7.9</v>
      </c>
      <c r="AE419">
        <f>IF('WetLitterbags placem_collection'!Z200="","",'WetLitterbags placem_collection'!Z200)</f>
        <v>7.9</v>
      </c>
      <c r="AF419" s="246" t="str">
        <f>IF('WetLitterbags placem_collection'!AA200="","",'WetLitterbags placem_collection'!AA200)</f>
        <v>O</v>
      </c>
      <c r="AG419">
        <f>IF('WetLitterbags placem_collection'!AC200="","",'WetLitterbags placem_collection'!AC200)</f>
        <v>1</v>
      </c>
      <c r="AH419" s="24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placem_collection'!W200)),"YES","NO")</f>
        <v>NO</v>
      </c>
      <c r="AM419" t="str">
        <f>IF(ISNUMBER(SEARCH("H", 'WetLitterbags placem_collection'!W200)),"YES","NO")</f>
        <v>NO</v>
      </c>
      <c r="AN419" t="str">
        <f>IF(ISNUMBER(SEARCH("R", 'WetLitterbags placem_collection'!W200)),"YES","NO")</f>
        <v>NO</v>
      </c>
    </row>
    <row r="420" spans="1:40" ht="15" customHeight="1">
      <c r="A420" s="258" t="s">
        <v>2460</v>
      </c>
      <c r="B420" s="263">
        <f>'Dry_Litterbag Placem_Collection'!A201</f>
        <v>199</v>
      </c>
      <c r="C420" s="263" t="str">
        <f>'Dry_Litterbag Placem_Collection'!B201</f>
        <v>Makao</v>
      </c>
      <c r="D420" s="263" t="s">
        <v>2659</v>
      </c>
      <c r="E420" s="263" t="s">
        <v>2526</v>
      </c>
      <c r="F420" s="263">
        <v>1</v>
      </c>
      <c r="G420" s="264" t="str">
        <f>'Dry_Litterbag Placem_Collection'!C201</f>
        <v>Dry_P3_CG1</v>
      </c>
      <c r="H420" s="265" t="s">
        <v>2541</v>
      </c>
      <c r="I420" s="272" t="s">
        <v>298</v>
      </c>
      <c r="J420" s="223" t="str">
        <f>'WetLitterbags placem_collection'!M201</f>
        <v>R339</v>
      </c>
      <c r="K420" s="225">
        <f>IFERROR(INDEX('Green_rooibos initial weight'!$C$5:$C$1749,MATCH(J420, 'Green_rooibos initial weight'!$A$5:$A$1749,0)),"")</f>
        <v>2.214</v>
      </c>
      <c r="L420" s="225">
        <f>IFERROR(K420-(TBIcalc!$H$9+TBIcalc!$H$10),"")</f>
        <v>1.9641999999999999</v>
      </c>
      <c r="M420" s="391">
        <f>AVERAGE(Ashed_controlls!$K$12:$K$14)</f>
        <v>2.2816647271287041</v>
      </c>
      <c r="N420" s="225">
        <f t="shared" si="32"/>
        <v>1.919383541429738</v>
      </c>
      <c r="O420" s="225">
        <f>IF(IFERROR(INDEX('Both teabags AfterWet'!$C$3:$C$841,MATCH(J420,'Both teabags AfterWet'!$A$3:$A$841,0)),"")="","",(IFERROR(INDEX('Both teabags AfterWet'!$C$3:$C$841,MATCH(J420,'Both teabags AfterWet'!$A$3:$A$841,0)),"")))</f>
        <v>1.6160000000000001</v>
      </c>
      <c r="P420" s="225">
        <f>IFERROR(IF(O420&gt;0,O420-(TBIcalc!$H$9),""),"")</f>
        <v>1.4654</v>
      </c>
      <c r="Q420" s="225">
        <f>IFERROR(INDEX('Ashed teabags wet'!$K$2:$K$821,MATCH(J420,'Ashed teabags wet'!$A$2:$A$821,0)),"")</f>
        <v>3.6390101892290181</v>
      </c>
      <c r="R420" s="225">
        <f t="shared" si="36"/>
        <v>1.4120739446870381</v>
      </c>
      <c r="S420" s="226">
        <f>'WetLitterbags placem_collection'!E201</f>
        <v>42769</v>
      </c>
      <c r="T420" s="226">
        <f>IF('WetLitterbags placem_collection'!G201="","",'WetLitterbags placem_collection'!G201)</f>
        <v>42814</v>
      </c>
      <c r="U420" s="227">
        <f t="shared" si="33"/>
        <v>45</v>
      </c>
      <c r="V420" s="225">
        <f t="shared" si="34"/>
        <v>0.49879999999999991</v>
      </c>
      <c r="W420" s="225">
        <f t="shared" si="35"/>
        <v>0.50730959674269993</v>
      </c>
      <c r="X420">
        <f>IFERROR(INDEX(Rainfall_Wet!$O$2:$O$217,MATCH(B420, Rainfall_Wet!$A$2:$A$217,0)),"")</f>
        <v>175.377105089</v>
      </c>
      <c r="Y420" s="231">
        <v>21.96</v>
      </c>
      <c r="Z420" s="231">
        <v>8.9199999999999982</v>
      </c>
      <c r="AA420" s="231">
        <v>69.12</v>
      </c>
      <c r="AB420" s="232" t="s">
        <v>2670</v>
      </c>
      <c r="AC420" s="231">
        <v>1.7491375061606702</v>
      </c>
      <c r="AD420">
        <f>IF('WetLitterbags placem_collection'!AB201="","",'WetLitterbags placem_collection'!AB201)</f>
        <v>13.8</v>
      </c>
      <c r="AE420">
        <f>IF('WetLitterbags placem_collection'!Z201="","",'WetLitterbags placem_collection'!Z201)</f>
        <v>17.399999999999999</v>
      </c>
      <c r="AF420" s="246" t="str">
        <f>IF('WetLitterbags placem_collection'!AA201="","",'WetLitterbags placem_collection'!AA201)</f>
        <v>O</v>
      </c>
      <c r="AG420">
        <f>IF('WetLitterbags placem_collection'!AC201="","",'WetLitterbags placem_collection'!AC201)</f>
        <v>1</v>
      </c>
      <c r="AH420" s="24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placem_collection'!W201)),"YES","NO")</f>
        <v>NO</v>
      </c>
      <c r="AM420" t="str">
        <f>IF(ISNUMBER(SEARCH("H", 'WetLitterbags placem_collection'!W201)),"YES","NO")</f>
        <v>NO</v>
      </c>
      <c r="AN420" t="str">
        <f>IF(ISNUMBER(SEARCH("R", 'WetLitterbags placem_collection'!W201)),"YES","NO")</f>
        <v>YES</v>
      </c>
    </row>
    <row r="421" spans="1:40" ht="15" customHeight="1">
      <c r="A421" s="258" t="s">
        <v>2460</v>
      </c>
      <c r="B421" s="263">
        <f>'Dry_Litterbag Placem_Collection'!A202</f>
        <v>200</v>
      </c>
      <c r="C421" s="263" t="str">
        <f>'Dry_Litterbag Placem_Collection'!B202</f>
        <v>Makao</v>
      </c>
      <c r="D421" s="263" t="s">
        <v>2659</v>
      </c>
      <c r="E421" s="263" t="s">
        <v>2526</v>
      </c>
      <c r="F421" s="263">
        <v>4</v>
      </c>
      <c r="G421" s="264" t="str">
        <f>'Dry_Litterbag Placem_Collection'!C202</f>
        <v>Dry_P4_CG4</v>
      </c>
      <c r="H421" s="265" t="s">
        <v>2541</v>
      </c>
      <c r="I421" s="272" t="s">
        <v>298</v>
      </c>
      <c r="J421" s="223" t="str">
        <f>'WetLitterbags placem_collection'!M202</f>
        <v>R303</v>
      </c>
      <c r="K421" s="225">
        <f>IFERROR(INDEX('Green_rooibos initial weight'!$C$5:$C$1749,MATCH(J421, 'Green_rooibos initial weight'!$A$5:$A$1749,0)),"")</f>
        <v>2.2490000000000001</v>
      </c>
      <c r="L421" s="225">
        <f>IFERROR(K421-(TBIcalc!$H$9+TBIcalc!$H$10),"")</f>
        <v>1.9992000000000001</v>
      </c>
      <c r="M421" s="391">
        <f>AVERAGE(Ashed_controlls!$K$12:$K$14)</f>
        <v>2.2816647271287041</v>
      </c>
      <c r="N421" s="225">
        <f t="shared" si="32"/>
        <v>1.953584958775243</v>
      </c>
      <c r="O421" s="225">
        <f>IF(IFERROR(INDEX('Both teabags AfterWet'!$C$3:$C$841,MATCH(J421,'Both teabags AfterWet'!$A$3:$A$841,0)),"")="","",(IFERROR(INDEX('Both teabags AfterWet'!$C$3:$C$841,MATCH(J421,'Both teabags AfterWet'!$A$3:$A$841,0)),"")))</f>
        <v>1.5651999999999999</v>
      </c>
      <c r="P421" s="225">
        <f>IFERROR(IF(O421&gt;0,O421-(TBIcalc!$H$9),""),"")</f>
        <v>1.4145999999999999</v>
      </c>
      <c r="Q421" s="225">
        <f>IFERROR(INDEX('Ashed teabags wet'!$K$2:$K$821,MATCH(J421,'Ashed teabags wet'!$A$2:$A$821,0)),"")</f>
        <v>4.4411177644712749</v>
      </c>
      <c r="R421" s="225">
        <f t="shared" si="36"/>
        <v>1.3517759481037892</v>
      </c>
      <c r="S421" s="226">
        <f>'WetLitterbags placem_collection'!E202</f>
        <v>42769</v>
      </c>
      <c r="T421" s="226">
        <f>IF('WetLitterbags placem_collection'!G202="","",'WetLitterbags placem_collection'!G202)</f>
        <v>42813</v>
      </c>
      <c r="U421" s="227">
        <f t="shared" si="33"/>
        <v>44</v>
      </c>
      <c r="V421" s="225">
        <f t="shared" si="34"/>
        <v>0.58460000000000023</v>
      </c>
      <c r="W421" s="225">
        <f t="shared" si="35"/>
        <v>0.60180901067145376</v>
      </c>
      <c r="X421">
        <f>IFERROR(INDEX(Rainfall_Wet!$O$2:$O$217,MATCH(B421, Rainfall_Wet!$A$2:$A$217,0)),"")</f>
        <v>175.054685654</v>
      </c>
      <c r="Y421" s="231">
        <v>25.96</v>
      </c>
      <c r="Z421" s="231">
        <v>6.9200000000000008</v>
      </c>
      <c r="AA421" s="231">
        <v>67.12</v>
      </c>
      <c r="AB421" s="232" t="s">
        <v>2670</v>
      </c>
      <c r="AC421" s="231">
        <v>1.7568260226712666</v>
      </c>
      <c r="AD421">
        <f>IF('WetLitterbags placem_collection'!AB202="","",'WetLitterbags placem_collection'!AB202)</f>
        <v>15.2</v>
      </c>
      <c r="AE421">
        <f>IF('WetLitterbags placem_collection'!Z202="","",'WetLitterbags placem_collection'!Z202)</f>
        <v>12.2</v>
      </c>
      <c r="AF421" s="246" t="str">
        <f>IF('WetLitterbags placem_collection'!AA202="","",'WetLitterbags placem_collection'!AA202)</f>
        <v>O</v>
      </c>
      <c r="AG421">
        <f>IF('WetLitterbags placem_collection'!AC202="","",'WetLitterbags placem_collection'!AC202)</f>
        <v>1</v>
      </c>
      <c r="AH421" s="24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placem_collection'!W202)),"YES","NO")</f>
        <v>NO</v>
      </c>
      <c r="AM421" t="str">
        <f>IF(ISNUMBER(SEARCH("H", 'WetLitterbags placem_collection'!W202)),"YES","NO")</f>
        <v>NO</v>
      </c>
      <c r="AN421" t="str">
        <f>IF(ISNUMBER(SEARCH("R", 'WetLitterbags placem_collection'!W202)),"YES","NO")</f>
        <v>YES</v>
      </c>
    </row>
    <row r="422" spans="1:40" ht="15" customHeight="1">
      <c r="A422" s="258" t="s">
        <v>2460</v>
      </c>
      <c r="B422" s="263">
        <f>'Dry_Litterbag Placem_Collection'!A203</f>
        <v>201</v>
      </c>
      <c r="C422" s="263" t="str">
        <f>'Dry_Litterbag Placem_Collection'!B203</f>
        <v>Maswa</v>
      </c>
      <c r="D422" s="263" t="s">
        <v>2659</v>
      </c>
      <c r="E422" s="263" t="s">
        <v>2526</v>
      </c>
      <c r="F422" s="263">
        <v>4</v>
      </c>
      <c r="G422" s="264" t="str">
        <f>'Dry_Litterbag Placem_Collection'!C203</f>
        <v>Dry_W3_CG4</v>
      </c>
      <c r="H422" s="265" t="s">
        <v>2541</v>
      </c>
      <c r="I422" s="272" t="s">
        <v>298</v>
      </c>
      <c r="J422" s="223" t="str">
        <f>'WetLitterbags placem_collection'!M203</f>
        <v>R218</v>
      </c>
      <c r="K422" s="225">
        <f>IFERROR(INDEX('Green_rooibos initial weight'!$C$5:$C$1749,MATCH(J422, 'Green_rooibos initial weight'!$A$5:$A$1749,0)),"")</f>
        <v>2.2309999999999999</v>
      </c>
      <c r="L422" s="225">
        <f>IFERROR(K422-(TBIcalc!$H$9+TBIcalc!$H$10),"")</f>
        <v>1.9811999999999999</v>
      </c>
      <c r="M422" s="391">
        <f>AVERAGE(Ashed_controlls!$K$12:$K$14)</f>
        <v>2.2816647271287041</v>
      </c>
      <c r="N422" s="225">
        <f t="shared" si="32"/>
        <v>1.935995658426126</v>
      </c>
      <c r="O422" s="225">
        <f>IF(IFERROR(INDEX('Both teabags AfterWet'!$C$3:$C$841,MATCH(J422,'Both teabags AfterWet'!$A$3:$A$841,0)),"")="","",(IFERROR(INDEX('Both teabags AfterWet'!$C$3:$C$841,MATCH(J422,'Both teabags AfterWet'!$A$3:$A$841,0)),"")))</f>
        <v>1.5928</v>
      </c>
      <c r="P422" s="225">
        <f>IFERROR(IF(O422&gt;0,O422-(TBIcalc!$H$9),""),"")</f>
        <v>1.4421999999999999</v>
      </c>
      <c r="Q422" s="225">
        <f>IFERROR(INDEX('Ashed teabags wet'!$K$2:$K$821,MATCH(J422,'Ashed teabags wet'!$A$2:$A$821,0)),"")</f>
        <v>3.3009708737867043</v>
      </c>
      <c r="R422" s="225">
        <f t="shared" si="36"/>
        <v>1.3945933980582481</v>
      </c>
      <c r="S422" s="226">
        <f>'WetLitterbags placem_collection'!E203</f>
        <v>42769</v>
      </c>
      <c r="T422" s="226">
        <f>IF('WetLitterbags placem_collection'!G203="","",'WetLitterbags placem_collection'!G203)</f>
        <v>42813</v>
      </c>
      <c r="U422" s="227">
        <f t="shared" si="33"/>
        <v>44</v>
      </c>
      <c r="V422" s="225">
        <f t="shared" si="34"/>
        <v>0.53899999999999992</v>
      </c>
      <c r="W422" s="225">
        <f t="shared" si="35"/>
        <v>0.54140226036787786</v>
      </c>
      <c r="X422">
        <f>IFERROR(INDEX(Rainfall_Wet!$O$2:$O$217,MATCH(B422, Rainfall_Wet!$A$2:$A$217,0)),"")</f>
        <v>175.054685654</v>
      </c>
      <c r="Y422" s="231">
        <v>38.691629007962128</v>
      </c>
      <c r="Z422" s="231">
        <v>26.81299763288143</v>
      </c>
      <c r="AA422" s="231">
        <v>34.495373359156439</v>
      </c>
      <c r="AB422" s="232" t="s">
        <v>2675</v>
      </c>
      <c r="AC422" s="231">
        <v>2.5483587974371611</v>
      </c>
      <c r="AD422">
        <f>IF('WetLitterbags placem_collection'!AB203="","",'WetLitterbags placem_collection'!AB203)</f>
        <v>15.2</v>
      </c>
      <c r="AE422">
        <f>IF('WetLitterbags placem_collection'!Z203="","",'WetLitterbags placem_collection'!Z203)</f>
        <v>12.2</v>
      </c>
      <c r="AF422" s="246" t="str">
        <f>IF('WetLitterbags placem_collection'!AA203="","",'WetLitterbags placem_collection'!AA203)</f>
        <v>O</v>
      </c>
      <c r="AG422">
        <f>IF('WetLitterbags placem_collection'!AC203="","",'WetLitterbags placem_collection'!AC203)</f>
        <v>1</v>
      </c>
      <c r="AH422" s="24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placem_collection'!W203)),"YES","NO")</f>
        <v>NO</v>
      </c>
      <c r="AM422" t="str">
        <f>IF(ISNUMBER(SEARCH("H", 'WetLitterbags placem_collection'!W203)),"YES","NO")</f>
        <v>NO</v>
      </c>
      <c r="AN422" t="str">
        <f>IF(ISNUMBER(SEARCH("R", 'WetLitterbags placem_collection'!W203)),"YES","NO")</f>
        <v>YES</v>
      </c>
    </row>
    <row r="423" spans="1:40" ht="15" customHeight="1">
      <c r="A423" s="258" t="s">
        <v>2460</v>
      </c>
      <c r="B423" s="263">
        <f>'Dry_Litterbag Placem_Collection'!A204</f>
        <v>202</v>
      </c>
      <c r="C423" s="263" t="str">
        <f>'Dry_Litterbag Placem_Collection'!B204</f>
        <v>Maswa</v>
      </c>
      <c r="D423" s="263" t="s">
        <v>2659</v>
      </c>
      <c r="E423" s="263" t="s">
        <v>2526</v>
      </c>
      <c r="F423" s="263">
        <v>1</v>
      </c>
      <c r="G423" s="264" t="str">
        <f>'Dry_Litterbag Placem_Collection'!C204</f>
        <v>Dry_W2_CG1</v>
      </c>
      <c r="H423" s="265" t="s">
        <v>2541</v>
      </c>
      <c r="I423" s="272" t="s">
        <v>298</v>
      </c>
      <c r="J423" s="223" t="str">
        <f>'WetLitterbags placem_collection'!M204</f>
        <v>R135</v>
      </c>
      <c r="K423" s="225">
        <f>IFERROR(INDEX('Green_rooibos initial weight'!$C$5:$C$1749,MATCH(J423, 'Green_rooibos initial weight'!$A$5:$A$1749,0)),"")</f>
        <v>2.286</v>
      </c>
      <c r="L423" s="225">
        <f>IFERROR(K423-(TBIcalc!$H$9+TBIcalc!$H$10),"")</f>
        <v>2.0362</v>
      </c>
      <c r="M423" s="391">
        <f>AVERAGE(Ashed_controlls!$K$12:$K$14)</f>
        <v>2.2816647271287041</v>
      </c>
      <c r="N423" s="225">
        <f t="shared" si="32"/>
        <v>1.9897407428262053</v>
      </c>
      <c r="O423" s="225">
        <f>IF(IFERROR(INDEX('Both teabags AfterWet'!$C$3:$C$841,MATCH(J423,'Both teabags AfterWet'!$A$3:$A$841,0)),"")="","",(IFERROR(INDEX('Both teabags AfterWet'!$C$3:$C$841,MATCH(J423,'Both teabags AfterWet'!$A$3:$A$841,0)),"")))</f>
        <v>1.6419999999999999</v>
      </c>
      <c r="P423" s="225">
        <f>IFERROR(IF(O423&gt;0,O423-(TBIcalc!$H$9),""),"")</f>
        <v>1.4913999999999998</v>
      </c>
      <c r="Q423" s="225">
        <f>IFERROR(INDEX('Ashed teabags wet'!$K$2:$K$821,MATCH(J423,'Ashed teabags wet'!$A$2:$A$821,0)),"")</f>
        <v>3.9196472317485203</v>
      </c>
      <c r="R423" s="225">
        <f t="shared" si="36"/>
        <v>1.4329423811857025</v>
      </c>
      <c r="S423" s="226">
        <f>'WetLitterbags placem_collection'!E204</f>
        <v>42769</v>
      </c>
      <c r="T423" s="226">
        <f>IF('WetLitterbags placem_collection'!G204="","",'WetLitterbags placem_collection'!G204)</f>
        <v>42814</v>
      </c>
      <c r="U423" s="227">
        <f t="shared" si="33"/>
        <v>45</v>
      </c>
      <c r="V423" s="225">
        <f t="shared" si="34"/>
        <v>0.54480000000000017</v>
      </c>
      <c r="W423" s="225">
        <f t="shared" si="35"/>
        <v>0.55679836164050278</v>
      </c>
      <c r="X423">
        <f>IFERROR(INDEX(Rainfall_Wet!$O$2:$O$217,MATCH(B423, Rainfall_Wet!$A$2:$A$217,0)),"")</f>
        <v>175.377105089</v>
      </c>
      <c r="Y423" s="231">
        <v>45.272914521112256</v>
      </c>
      <c r="Z423" s="231">
        <v>23.604531410916575</v>
      </c>
      <c r="AA423" s="231">
        <v>31.122554067971166</v>
      </c>
      <c r="AB423" s="232" t="s">
        <v>2673</v>
      </c>
      <c r="AC423" s="231">
        <v>2.0547560374568752</v>
      </c>
      <c r="AD423">
        <f>IF('WetLitterbags placem_collection'!AB204="","",'WetLitterbags placem_collection'!AB204)</f>
        <v>13.8</v>
      </c>
      <c r="AE423">
        <f>IF('WetLitterbags placem_collection'!Z204="","",'WetLitterbags placem_collection'!Z204)</f>
        <v>17.399999999999999</v>
      </c>
      <c r="AF423" s="246" t="str">
        <f>IF('WetLitterbags placem_collection'!AA204="","",'WetLitterbags placem_collection'!AA204)</f>
        <v>O</v>
      </c>
      <c r="AG423">
        <f>IF('WetLitterbags placem_collection'!AC204="","",'WetLitterbags placem_collection'!AC204)</f>
        <v>1</v>
      </c>
      <c r="AH423" s="24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placem_collection'!W204)),"YES","NO")</f>
        <v>NO</v>
      </c>
      <c r="AM423" t="str">
        <f>IF(ISNUMBER(SEARCH("H", 'WetLitterbags placem_collection'!W204)),"YES","NO")</f>
        <v>NO</v>
      </c>
      <c r="AN423" t="str">
        <f>IF(ISNUMBER(SEARCH("R", 'WetLitterbags placem_collection'!W204)),"YES","NO")</f>
        <v>YES</v>
      </c>
    </row>
    <row r="424" spans="1:40" ht="15" customHeight="1">
      <c r="A424" s="258" t="s">
        <v>2460</v>
      </c>
      <c r="B424" s="263">
        <f>'Dry_Litterbag Placem_Collection'!A205</f>
        <v>203</v>
      </c>
      <c r="C424" s="263" t="str">
        <f>'Dry_Litterbag Placem_Collection'!B205</f>
        <v>Maswa</v>
      </c>
      <c r="D424" s="263" t="s">
        <v>2659</v>
      </c>
      <c r="E424" s="263" t="s">
        <v>2526</v>
      </c>
      <c r="F424" s="263">
        <v>2</v>
      </c>
      <c r="G424" s="264" t="str">
        <f>'Dry_Litterbag Placem_Collection'!C205</f>
        <v>Dry_W1_CG2</v>
      </c>
      <c r="H424" s="265" t="s">
        <v>2541</v>
      </c>
      <c r="I424" s="272" t="s">
        <v>298</v>
      </c>
      <c r="J424" s="223" t="str">
        <f>'WetLitterbags placem_collection'!M205</f>
        <v>R372</v>
      </c>
      <c r="K424" s="225">
        <f>IFERROR(INDEX('Green_rooibos initial weight'!$C$5:$C$1749,MATCH(J424, 'Green_rooibos initial weight'!$A$5:$A$1749,0)),"")</f>
        <v>2.202</v>
      </c>
      <c r="L424" s="225">
        <f>IFERROR(K424-(TBIcalc!$H$9+TBIcalc!$H$10),"")</f>
        <v>1.9521999999999999</v>
      </c>
      <c r="M424" s="391">
        <f>AVERAGE(Ashed_controlls!$K$12:$K$14)</f>
        <v>2.2816647271287041</v>
      </c>
      <c r="N424" s="225">
        <f t="shared" si="32"/>
        <v>1.9076573411969935</v>
      </c>
      <c r="O424" s="225">
        <f>IF(IFERROR(INDEX('Both teabags AfterWet'!$C$3:$C$841,MATCH(J424,'Both teabags AfterWet'!$A$3:$A$841,0)),"")="","",(IFERROR(INDEX('Both teabags AfterWet'!$C$3:$C$841,MATCH(J424,'Both teabags AfterWet'!$A$3:$A$841,0)),"")))</f>
        <v>1.6213</v>
      </c>
      <c r="P424" s="225">
        <f>IFERROR(IF(O424&gt;0,O424-(TBIcalc!$H$9),""),"")</f>
        <v>1.4706999999999999</v>
      </c>
      <c r="Q424" s="225">
        <f>IFERROR(INDEX('Ashed teabags wet'!$K$2:$K$821,MATCH(J424,'Ashed teabags wet'!$A$2:$A$821,0)),"")</f>
        <v>4.1958041958038725</v>
      </c>
      <c r="R424" s="225">
        <f t="shared" si="36"/>
        <v>1.4089923076923123</v>
      </c>
      <c r="S424" s="226">
        <f>'WetLitterbags placem_collection'!E205</f>
        <v>42769</v>
      </c>
      <c r="T424" s="226">
        <f>IF('WetLitterbags placem_collection'!G205="","",'WetLitterbags placem_collection'!G205)</f>
        <v>42814</v>
      </c>
      <c r="U424" s="227">
        <f t="shared" si="33"/>
        <v>45</v>
      </c>
      <c r="V424" s="225">
        <f t="shared" si="34"/>
        <v>0.48150000000000004</v>
      </c>
      <c r="W424" s="225">
        <f t="shared" si="35"/>
        <v>0.49866503350468117</v>
      </c>
      <c r="X424">
        <f>IFERROR(INDEX(Rainfall_Wet!$O$2:$O$217,MATCH(B424, Rainfall_Wet!$A$2:$A$217,0)),"")</f>
        <v>175.377105089</v>
      </c>
      <c r="Y424" s="231">
        <v>47.96</v>
      </c>
      <c r="Z424" s="231">
        <v>22.919999999999995</v>
      </c>
      <c r="AA424" s="231">
        <v>29.120000000000012</v>
      </c>
      <c r="AB424" s="232" t="s">
        <v>2673</v>
      </c>
      <c r="AC424" s="231">
        <v>2.8831936914736325</v>
      </c>
      <c r="AD424">
        <f>IF('WetLitterbags placem_collection'!AB205="","",'WetLitterbags placem_collection'!AB205)</f>
        <v>5.13</v>
      </c>
      <c r="AE424">
        <f>IF('WetLitterbags placem_collection'!Z205="","",'WetLitterbags placem_collection'!Z205)</f>
        <v>5.13</v>
      </c>
      <c r="AF424" s="246" t="str">
        <f>IF('WetLitterbags placem_collection'!AA205="","",'WetLitterbags placem_collection'!AA205)</f>
        <v>O</v>
      </c>
      <c r="AG424">
        <f>IF('WetLitterbags placem_collection'!AC205="","",'WetLitterbags placem_collection'!AC205)</f>
        <v>1</v>
      </c>
      <c r="AH424" s="24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placem_collection'!W205)),"YES","NO")</f>
        <v>NO</v>
      </c>
      <c r="AM424" t="str">
        <f>IF(ISNUMBER(SEARCH("H", 'WetLitterbags placem_collection'!W205)),"YES","NO")</f>
        <v>YES</v>
      </c>
      <c r="AN424" t="str">
        <f>IF(ISNUMBER(SEARCH("R", 'WetLitterbags placem_collection'!W205)),"YES","NO")</f>
        <v>NO</v>
      </c>
    </row>
    <row r="425" spans="1:40" ht="15" customHeight="1">
      <c r="A425" s="258" t="s">
        <v>2460</v>
      </c>
      <c r="B425" s="263">
        <f>'Dry_Litterbag Placem_Collection'!A206</f>
        <v>204</v>
      </c>
      <c r="C425" s="263" t="str">
        <f>'Dry_Litterbag Placem_Collection'!B206</f>
        <v>Maswa</v>
      </c>
      <c r="D425" s="263" t="s">
        <v>2659</v>
      </c>
      <c r="E425" s="263" t="s">
        <v>2526</v>
      </c>
      <c r="F425" s="263">
        <v>3</v>
      </c>
      <c r="G425" s="264" t="str">
        <f>'Dry_Litterbag Placem_Collection'!C206</f>
        <v>Dry_W4_CG3</v>
      </c>
      <c r="H425" s="265" t="s">
        <v>2541</v>
      </c>
      <c r="I425" s="272" t="s">
        <v>298</v>
      </c>
      <c r="J425" s="223" t="str">
        <f>'WetLitterbags placem_collection'!M206</f>
        <v>R334</v>
      </c>
      <c r="K425" s="225">
        <f>IFERROR(INDEX('Green_rooibos initial weight'!$C$5:$C$1749,MATCH(J425, 'Green_rooibos initial weight'!$A$5:$A$1749,0)),"")</f>
        <v>2.1419999999999999</v>
      </c>
      <c r="L425" s="225">
        <f>IFERROR(K425-(TBIcalc!$H$9+TBIcalc!$H$10),"")</f>
        <v>1.8921999999999999</v>
      </c>
      <c r="M425" s="391">
        <f>AVERAGE(Ashed_controlls!$K$12:$K$14)</f>
        <v>2.2816647271287041</v>
      </c>
      <c r="N425" s="225">
        <f t="shared" si="32"/>
        <v>1.8490263400332705</v>
      </c>
      <c r="O425" s="225">
        <f>IF(IFERROR(INDEX('Both teabags AfterWet'!$C$3:$C$841,MATCH(J425,'Both teabags AfterWet'!$A$3:$A$841,0)),"")="","",(IFERROR(INDEX('Both teabags AfterWet'!$C$3:$C$841,MATCH(J425,'Both teabags AfterWet'!$A$3:$A$841,0)),"")))</f>
        <v>1.544</v>
      </c>
      <c r="P425" s="225">
        <f>IFERROR(IF(O425&gt;0,O425-(TBIcalc!$H$9),""),"")</f>
        <v>1.3934</v>
      </c>
      <c r="Q425" s="225">
        <f>IFERROR(INDEX('Ashed teabags wet'!$K$2:$K$821,MATCH(J425,'Ashed teabags wet'!$A$2:$A$821,0)),"")</f>
        <v>5.4642166344294019</v>
      </c>
      <c r="R425" s="225">
        <f t="shared" si="36"/>
        <v>1.3172616054158608</v>
      </c>
      <c r="S425" s="226">
        <f>'WetLitterbags placem_collection'!E206</f>
        <v>42769</v>
      </c>
      <c r="T425" s="226">
        <f>IF('WetLitterbags placem_collection'!G206="","",'WetLitterbags placem_collection'!G206)</f>
        <v>42813</v>
      </c>
      <c r="U425" s="227">
        <f t="shared" si="33"/>
        <v>44</v>
      </c>
      <c r="V425" s="225">
        <f t="shared" si="34"/>
        <v>0.49879999999999991</v>
      </c>
      <c r="W425" s="225">
        <f t="shared" si="35"/>
        <v>0.5317647346174097</v>
      </c>
      <c r="X425">
        <f>IFERROR(INDEX(Rainfall_Wet!$O$2:$O$217,MATCH(B425, Rainfall_Wet!$A$2:$A$217,0)),"")</f>
        <v>175.054685654</v>
      </c>
      <c r="Y425" s="231">
        <v>28.145762029394</v>
      </c>
      <c r="Z425" s="231">
        <v>25.085564727199518</v>
      </c>
      <c r="AA425" s="231">
        <v>46.768673243406489</v>
      </c>
      <c r="AB425" s="232" t="s">
        <v>2670</v>
      </c>
      <c r="AC425" s="231">
        <v>2.1716214884179394</v>
      </c>
      <c r="AD425">
        <f>IF('WetLitterbags placem_collection'!AB206="","",'WetLitterbags placem_collection'!AB206)</f>
        <v>7.9</v>
      </c>
      <c r="AE425">
        <f>IF('WetLitterbags placem_collection'!Z206="","",'WetLitterbags placem_collection'!Z206)</f>
        <v>7.9</v>
      </c>
      <c r="AF425" s="246" t="str">
        <f>IF('WetLitterbags placem_collection'!AA206="","",'WetLitterbags placem_collection'!AA206)</f>
        <v>O</v>
      </c>
      <c r="AG425">
        <f>IF('WetLitterbags placem_collection'!AC206="","",'WetLitterbags placem_collection'!AC206)</f>
        <v>1</v>
      </c>
      <c r="AH425" s="24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placem_collection'!W206)),"YES","NO")</f>
        <v>NO</v>
      </c>
      <c r="AM425" t="str">
        <f>IF(ISNUMBER(SEARCH("H", 'WetLitterbags placem_collection'!W206)),"YES","NO")</f>
        <v>NO</v>
      </c>
      <c r="AN425" t="str">
        <f>IF(ISNUMBER(SEARCH("R", 'WetLitterbags placem_collection'!W206)),"YES","NO")</f>
        <v>YES</v>
      </c>
    </row>
    <row r="426" spans="1:40" ht="15" customHeight="1">
      <c r="A426" s="258" t="s">
        <v>2460</v>
      </c>
      <c r="B426" s="263">
        <f>'Dry_Litterbag Placem_Collection'!A207</f>
        <v>205</v>
      </c>
      <c r="C426" s="263" t="str">
        <f>'Dry_Litterbag Placem_Collection'!B207</f>
        <v xml:space="preserve">Mwantimba
</v>
      </c>
      <c r="D426" s="263" t="s">
        <v>2659</v>
      </c>
      <c r="E426" s="263" t="s">
        <v>2526</v>
      </c>
      <c r="F426" s="263">
        <v>2</v>
      </c>
      <c r="G426" s="264" t="str">
        <f>'Dry_Litterbag Placem_Collection'!C207</f>
        <v>Wet_Ag1_CG2</v>
      </c>
      <c r="H426" s="265" t="s">
        <v>2541</v>
      </c>
      <c r="I426" s="272" t="s">
        <v>298</v>
      </c>
      <c r="J426" s="223" t="str">
        <f>'WetLitterbags placem_collection'!M207</f>
        <v>R265</v>
      </c>
      <c r="K426" s="225">
        <f>IFERROR(INDEX('Green_rooibos initial weight'!$C$5:$C$1749,MATCH(J426, 'Green_rooibos initial weight'!$A$5:$A$1749,0)),"")</f>
        <v>2.2210000000000001</v>
      </c>
      <c r="L426" s="225">
        <f>IFERROR(K426-(TBIcalc!$H$9+TBIcalc!$H$10),"")</f>
        <v>1.9712000000000001</v>
      </c>
      <c r="M426" s="391">
        <f>AVERAGE(Ashed_controlls!$K$12:$K$14)</f>
        <v>2.2816647271287041</v>
      </c>
      <c r="N426" s="225">
        <f t="shared" si="32"/>
        <v>1.926223824898839</v>
      </c>
      <c r="O426" s="225">
        <f>IF(IFERROR(INDEX('Both teabags AfterWet'!$C$3:$C$841,MATCH(J426,'Both teabags AfterWet'!$A$3:$A$841,0)),"")="","",(IFERROR(INDEX('Both teabags AfterWet'!$C$3:$C$841,MATCH(J426,'Both teabags AfterWet'!$A$3:$A$841,0)),"")))</f>
        <v>1.6680999999999999</v>
      </c>
      <c r="P426" s="225">
        <f>IFERROR(IF(O426&gt;0,O426-(TBIcalc!$H$9),""),"")</f>
        <v>1.5174999999999998</v>
      </c>
      <c r="Q426" s="225">
        <f>IFERROR(INDEX('Ashed teabags wet'!$K$2:$K$821,MATCH(J426,'Ashed teabags wet'!$A$2:$A$821,0)),"")</f>
        <v>13.867187500000384</v>
      </c>
      <c r="R426" s="225">
        <f t="shared" si="36"/>
        <v>1.3070654296874942</v>
      </c>
      <c r="S426" s="226">
        <f>'WetLitterbags placem_collection'!E207</f>
        <v>42769</v>
      </c>
      <c r="T426" s="226">
        <f>IF('WetLitterbags placem_collection'!G207="","",'WetLitterbags placem_collection'!G207)</f>
        <v>42814</v>
      </c>
      <c r="U426" s="227">
        <f t="shared" si="33"/>
        <v>45</v>
      </c>
      <c r="V426" s="225">
        <f t="shared" si="34"/>
        <v>0.45370000000000021</v>
      </c>
      <c r="W426" s="225">
        <f t="shared" si="35"/>
        <v>0.61915839521134486</v>
      </c>
      <c r="X426">
        <f>IFERROR(INDEX(Rainfall_Wet!$O$2:$O$217,MATCH(B426, Rainfall_Wet!$A$2:$A$217,0)),"")</f>
        <v>175.377105089</v>
      </c>
      <c r="Y426" s="231">
        <v>45.96</v>
      </c>
      <c r="Z426" s="231">
        <v>14.920000000000003</v>
      </c>
      <c r="AA426" s="231">
        <v>39.119999999999997</v>
      </c>
      <c r="AB426" s="232" t="s">
        <v>2673</v>
      </c>
      <c r="AC426" s="231">
        <v>2.0374568753080333</v>
      </c>
      <c r="AD426">
        <f>IF('WetLitterbags placem_collection'!AB207="","",'WetLitterbags placem_collection'!AB207)</f>
        <v>5.13</v>
      </c>
      <c r="AE426">
        <f>IF('WetLitterbags placem_collection'!Z207="","",'WetLitterbags placem_collection'!Z207)</f>
        <v>5.13</v>
      </c>
      <c r="AF426" s="246" t="str">
        <f>IF('WetLitterbags placem_collection'!AA207="","",'WetLitterbags placem_collection'!AA207)</f>
        <v>O</v>
      </c>
      <c r="AG426">
        <f>IF('WetLitterbags placem_collection'!AC207="","",'WetLitterbags placem_collection'!AC207)</f>
        <v>1</v>
      </c>
      <c r="AH426" s="24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placem_collection'!W207)),"YES","NO")</f>
        <v>NO</v>
      </c>
      <c r="AM426" t="str">
        <f>IF(ISNUMBER(SEARCH("H", 'WetLitterbags placem_collection'!W207)),"YES","NO")</f>
        <v>NO</v>
      </c>
      <c r="AN426" t="str">
        <f>IF(ISNUMBER(SEARCH("R", 'WetLitterbags placem_collection'!W207)),"YES","NO")</f>
        <v>YES</v>
      </c>
    </row>
    <row r="427" spans="1:40" ht="15" customHeight="1">
      <c r="A427" s="258" t="s">
        <v>2460</v>
      </c>
      <c r="B427" s="263">
        <f>'Dry_Litterbag Placem_Collection'!A208</f>
        <v>206</v>
      </c>
      <c r="C427" s="263" t="str">
        <f>'Dry_Litterbag Placem_Collection'!B208</f>
        <v xml:space="preserve">Mwantimba
</v>
      </c>
      <c r="D427" s="263" t="s">
        <v>2659</v>
      </c>
      <c r="E427" s="263" t="s">
        <v>2526</v>
      </c>
      <c r="F427" s="263">
        <v>1</v>
      </c>
      <c r="G427" s="264" t="str">
        <f>'Dry_Litterbag Placem_Collection'!C208</f>
        <v>Wet_Ag2_CG1</v>
      </c>
      <c r="H427" s="265" t="s">
        <v>2541</v>
      </c>
      <c r="I427" s="272" t="s">
        <v>298</v>
      </c>
      <c r="J427" s="223" t="str">
        <f>'WetLitterbags placem_collection'!M208</f>
        <v>R234</v>
      </c>
      <c r="K427" s="225">
        <f>IFERROR(INDEX('Green_rooibos initial weight'!$C$5:$C$1749,MATCH(J427, 'Green_rooibos initial weight'!$A$5:$A$1749,0)),"")</f>
        <v>2.194</v>
      </c>
      <c r="L427" s="225">
        <f>IFERROR(K427-(TBIcalc!$H$9+TBIcalc!$H$10),"")</f>
        <v>1.9441999999999999</v>
      </c>
      <c r="M427" s="391">
        <f>AVERAGE(Ashed_controlls!$K$12:$K$14)</f>
        <v>2.2816647271287041</v>
      </c>
      <c r="N427" s="225">
        <f t="shared" si="32"/>
        <v>1.8998398743751637</v>
      </c>
      <c r="O427" s="225">
        <f>IF(IFERROR(INDEX('Both teabags AfterWet'!$C$3:$C$841,MATCH(J427,'Both teabags AfterWet'!$A$3:$A$841,0)),"")="","",(IFERROR(INDEX('Both teabags AfterWet'!$C$3:$C$841,MATCH(J427,'Both teabags AfterWet'!$A$3:$A$841,0)),"")))</f>
        <v>1.7410000000000001</v>
      </c>
      <c r="P427" s="225">
        <f>IFERROR(IF(O427&gt;0,O427-(TBIcalc!$H$9),""),"")</f>
        <v>1.5904</v>
      </c>
      <c r="Q427" s="225">
        <f>IFERROR(INDEX('Ashed teabags wet'!$K$2:$K$821,MATCH(J427,'Ashed teabags wet'!$A$2:$A$821,0)),"")</f>
        <v>9.9903006789520461</v>
      </c>
      <c r="R427" s="225">
        <f t="shared" si="36"/>
        <v>1.4315142580019466</v>
      </c>
      <c r="S427" s="226">
        <f>'WetLitterbags placem_collection'!E208</f>
        <v>42769</v>
      </c>
      <c r="T427" s="226">
        <f>IF('WetLitterbags placem_collection'!G208="","",'WetLitterbags placem_collection'!G208)</f>
        <v>42814</v>
      </c>
      <c r="U427" s="227">
        <f t="shared" si="33"/>
        <v>45</v>
      </c>
      <c r="V427" s="225">
        <f t="shared" si="34"/>
        <v>0.35379999999999989</v>
      </c>
      <c r="W427" s="225">
        <f t="shared" si="35"/>
        <v>0.46832561637321701</v>
      </c>
      <c r="X427">
        <f>IFERROR(INDEX(Rainfall_Wet!$O$2:$O$217,MATCH(B427, Rainfall_Wet!$A$2:$A$217,0)),"")</f>
        <v>175.377105089</v>
      </c>
      <c r="Y427" s="231">
        <v>34.344660194174757</v>
      </c>
      <c r="Z427" s="231">
        <v>19.22727272727273</v>
      </c>
      <c r="AA427" s="231">
        <v>46.428067078552509</v>
      </c>
      <c r="AB427" s="232" t="s">
        <v>2670</v>
      </c>
      <c r="AC427" s="231">
        <v>1.7452932479053718</v>
      </c>
      <c r="AD427">
        <f>IF('WetLitterbags placem_collection'!AB208="","",'WetLitterbags placem_collection'!AB208)</f>
        <v>13.8</v>
      </c>
      <c r="AE427">
        <f>IF('WetLitterbags placem_collection'!Z208="","",'WetLitterbags placem_collection'!Z208)</f>
        <v>17.399999999999999</v>
      </c>
      <c r="AF427" s="246" t="str">
        <f>IF('WetLitterbags placem_collection'!AA208="","",'WetLitterbags placem_collection'!AA208)</f>
        <v>O</v>
      </c>
      <c r="AG427">
        <f>IF('WetLitterbags placem_collection'!AC208="","",'WetLitterbags placem_collection'!AC208)</f>
        <v>1</v>
      </c>
      <c r="AH427" s="24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placem_collection'!W208)),"YES","NO")</f>
        <v>NO</v>
      </c>
      <c r="AM427" t="str">
        <f>IF(ISNUMBER(SEARCH("H", 'WetLitterbags placem_collection'!W208)),"YES","NO")</f>
        <v>NO</v>
      </c>
      <c r="AN427" t="str">
        <f>IF(ISNUMBER(SEARCH("R", 'WetLitterbags placem_collection'!W208)),"YES","NO")</f>
        <v>NO</v>
      </c>
    </row>
    <row r="428" spans="1:40" ht="15" customHeight="1">
      <c r="A428" s="258" t="s">
        <v>2460</v>
      </c>
      <c r="B428" s="263">
        <f>'Dry_Litterbag Placem_Collection'!A209</f>
        <v>207</v>
      </c>
      <c r="C428" s="263" t="str">
        <f>'Dry_Litterbag Placem_Collection'!B209</f>
        <v xml:space="preserve">Mwantimba
</v>
      </c>
      <c r="D428" s="263" t="s">
        <v>2659</v>
      </c>
      <c r="E428" s="263" t="s">
        <v>2526</v>
      </c>
      <c r="F428" s="263">
        <v>4</v>
      </c>
      <c r="G428" s="264" t="str">
        <f>'Dry_Litterbag Placem_Collection'!C209</f>
        <v>Wet_Ag3_CG4</v>
      </c>
      <c r="H428" s="265" t="s">
        <v>2541</v>
      </c>
      <c r="I428" s="272" t="s">
        <v>298</v>
      </c>
      <c r="J428" s="223" t="str">
        <f>'WetLitterbags placem_collection'!M209</f>
        <v>R258</v>
      </c>
      <c r="K428" s="225">
        <f>IFERROR(INDEX('Green_rooibos initial weight'!$C$5:$C$1749,MATCH(J428, 'Green_rooibos initial weight'!$A$5:$A$1749,0)),"")</f>
        <v>2.17</v>
      </c>
      <c r="L428" s="225">
        <f>IFERROR(K428-(TBIcalc!$H$9+TBIcalc!$H$10),"")</f>
        <v>1.9201999999999999</v>
      </c>
      <c r="M428" s="391">
        <f>AVERAGE(Ashed_controlls!$K$12:$K$14)</f>
        <v>2.2816647271287041</v>
      </c>
      <c r="N428" s="225">
        <f t="shared" si="32"/>
        <v>1.8763874739096746</v>
      </c>
      <c r="O428" s="225">
        <f>IF(IFERROR(INDEX('Both teabags AfterWet'!$C$3:$C$841,MATCH(J428,'Both teabags AfterWet'!$A$3:$A$841,0)),"")="","",(IFERROR(INDEX('Both teabags AfterWet'!$C$3:$C$841,MATCH(J428,'Both teabags AfterWet'!$A$3:$A$841,0)),"")))</f>
        <v>1.5820000000000001</v>
      </c>
      <c r="P428" s="225">
        <f>IFERROR(IF(O428&gt;0,O428-(TBIcalc!$H$9),""),"")</f>
        <v>1.4314</v>
      </c>
      <c r="Q428" s="225">
        <f>IFERROR(INDEX('Ashed teabags wet'!$K$2:$K$821,MATCH(J428,'Ashed teabags wet'!$A$2:$A$821,0)),"")</f>
        <v>16.261774913237122</v>
      </c>
      <c r="R428" s="225">
        <f t="shared" si="36"/>
        <v>1.1986289538919239</v>
      </c>
      <c r="S428" s="226">
        <f>'WetLitterbags placem_collection'!E209</f>
        <v>42769</v>
      </c>
      <c r="T428" s="226">
        <f>IF('WetLitterbags placem_collection'!G209="","",'WetLitterbags placem_collection'!G209)</f>
        <v>42813</v>
      </c>
      <c r="U428" s="227">
        <f t="shared" si="33"/>
        <v>44</v>
      </c>
      <c r="V428" s="225">
        <f t="shared" si="34"/>
        <v>0.4887999999999999</v>
      </c>
      <c r="W428" s="225">
        <f t="shared" si="35"/>
        <v>0.67775852001775072</v>
      </c>
      <c r="X428">
        <f>IFERROR(INDEX(Rainfall_Wet!$O$2:$O$217,MATCH(B428, Rainfall_Wet!$A$2:$A$217,0)),"")</f>
        <v>175.054685654</v>
      </c>
      <c r="Y428" s="231">
        <v>27.96</v>
      </c>
      <c r="Z428" s="231">
        <v>4.9200000000000017</v>
      </c>
      <c r="AA428" s="231">
        <v>67.12</v>
      </c>
      <c r="AB428" s="232" t="s">
        <v>2670</v>
      </c>
      <c r="AC428" s="231">
        <v>0.88610152784622953</v>
      </c>
      <c r="AD428">
        <f>IF('WetLitterbags placem_collection'!AB209="","",'WetLitterbags placem_collection'!AB209)</f>
        <v>15.2</v>
      </c>
      <c r="AE428">
        <f>IF('WetLitterbags placem_collection'!Z209="","",'WetLitterbags placem_collection'!Z209)</f>
        <v>12.2</v>
      </c>
      <c r="AF428" s="246" t="str">
        <f>IF('WetLitterbags placem_collection'!AA209="","",'WetLitterbags placem_collection'!AA209)</f>
        <v>O</v>
      </c>
      <c r="AG428">
        <f>IF('WetLitterbags placem_collection'!AC209="","",'WetLitterbags placem_collection'!AC209)</f>
        <v>1</v>
      </c>
      <c r="AH428" s="24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placem_collection'!W209)),"YES","NO")</f>
        <v>YES</v>
      </c>
      <c r="AM428" t="str">
        <f>IF(ISNUMBER(SEARCH("H", 'WetLitterbags placem_collection'!W209)),"YES","NO")</f>
        <v>YES</v>
      </c>
      <c r="AN428" t="str">
        <f>IF(ISNUMBER(SEARCH("R", 'WetLitterbags placem_collection'!W209)),"YES","NO")</f>
        <v>NO</v>
      </c>
    </row>
    <row r="429" spans="1:40" ht="15" customHeight="1">
      <c r="A429" s="258" t="s">
        <v>2460</v>
      </c>
      <c r="B429" s="263">
        <f>'Dry_Litterbag Placem_Collection'!A210</f>
        <v>208</v>
      </c>
      <c r="C429" s="263" t="str">
        <f>'Dry_Litterbag Placem_Collection'!B210</f>
        <v xml:space="preserve">Mwantimba
</v>
      </c>
      <c r="D429" s="263" t="s">
        <v>2659</v>
      </c>
      <c r="E429" s="263" t="s">
        <v>2526</v>
      </c>
      <c r="F429" s="263">
        <v>3</v>
      </c>
      <c r="G429" s="264" t="str">
        <f>'Dry_Litterbag Placem_Collection'!C210</f>
        <v>Wet_Ag4_CG3</v>
      </c>
      <c r="H429" s="265" t="s">
        <v>2541</v>
      </c>
      <c r="I429" s="272" t="s">
        <v>298</v>
      </c>
      <c r="J429" s="223" t="str">
        <f>'WetLitterbags placem_collection'!M210</f>
        <v>R344</v>
      </c>
      <c r="K429" s="225">
        <f>IFERROR(INDEX('Green_rooibos initial weight'!$C$5:$C$1749,MATCH(J429, 'Green_rooibos initial weight'!$A$5:$A$1749,0)),"")</f>
        <v>2.153</v>
      </c>
      <c r="L429" s="225">
        <f>IFERROR(K429-(TBIcalc!$H$9+TBIcalc!$H$10),"")</f>
        <v>1.9032</v>
      </c>
      <c r="M429" s="391">
        <f>AVERAGE(Ashed_controlls!$K$12:$K$14)</f>
        <v>2.2816647271287041</v>
      </c>
      <c r="N429" s="225">
        <f t="shared" si="32"/>
        <v>1.8597753569132864</v>
      </c>
      <c r="O429" s="225">
        <f>IF(IFERROR(INDEX('Both teabags AfterWet'!$C$3:$C$841,MATCH(J429,'Both teabags AfterWet'!$A$3:$A$841,0)),"")="","",(IFERROR(INDEX('Both teabags AfterWet'!$C$3:$C$841,MATCH(J429,'Both teabags AfterWet'!$A$3:$A$841,0)),"")))</f>
        <v>1.476</v>
      </c>
      <c r="P429" s="225">
        <f>IFERROR(IF(O429&gt;0,O429-(TBIcalc!$H$9),""),"")</f>
        <v>1.3253999999999999</v>
      </c>
      <c r="Q429" s="225">
        <f>IFERROR(INDEX('Ashed teabags wet'!$K$2:$K$821,MATCH(J429,'Ashed teabags wet'!$A$2:$A$821,0)),"")</f>
        <v>8.5305719921103496</v>
      </c>
      <c r="R429" s="225">
        <f t="shared" si="36"/>
        <v>1.2123357988165693</v>
      </c>
      <c r="S429" s="226">
        <f>'WetLitterbags placem_collection'!E210</f>
        <v>42769</v>
      </c>
      <c r="T429" s="226">
        <f>IF('WetLitterbags placem_collection'!G210="","",'WetLitterbags placem_collection'!G210)</f>
        <v>42813</v>
      </c>
      <c r="U429" s="227">
        <f t="shared" si="33"/>
        <v>44</v>
      </c>
      <c r="V429" s="225">
        <f t="shared" si="34"/>
        <v>0.57780000000000009</v>
      </c>
      <c r="W429" s="225">
        <f t="shared" si="35"/>
        <v>0.64743955809671716</v>
      </c>
      <c r="X429">
        <f>IFERROR(INDEX(Rainfall_Wet!$O$2:$O$217,MATCH(B429, Rainfall_Wet!$A$2:$A$217,0)),"")</f>
        <v>175.054685654</v>
      </c>
      <c r="Y429" s="231">
        <v>17.96</v>
      </c>
      <c r="Z429" s="231">
        <v>4.9199999999999982</v>
      </c>
      <c r="AA429" s="231">
        <v>77.12</v>
      </c>
      <c r="AB429" s="232" t="s">
        <v>2671</v>
      </c>
      <c r="AC429" s="231">
        <v>2.0220798422868409</v>
      </c>
      <c r="AD429">
        <f>IF('WetLitterbags placem_collection'!AB210="","",'WetLitterbags placem_collection'!AB210)</f>
        <v>7.9</v>
      </c>
      <c r="AE429">
        <f>IF('WetLitterbags placem_collection'!Z210="","",'WetLitterbags placem_collection'!Z210)</f>
        <v>7.9</v>
      </c>
      <c r="AF429" s="246" t="str">
        <f>IF('WetLitterbags placem_collection'!AA210="","",'WetLitterbags placem_collection'!AA210)</f>
        <v>O</v>
      </c>
      <c r="AG429">
        <f>IF('WetLitterbags placem_collection'!AC210="","",'WetLitterbags placem_collection'!AC210)</f>
        <v>1</v>
      </c>
      <c r="AH429" s="24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placem_collection'!W210)),"YES","NO")</f>
        <v>NO</v>
      </c>
      <c r="AM429" t="str">
        <f>IF(ISNUMBER(SEARCH("H", 'WetLitterbags placem_collection'!W210)),"YES","NO")</f>
        <v>NO</v>
      </c>
      <c r="AN429" t="str">
        <f>IF(ISNUMBER(SEARCH("R", 'WetLitterbags placem_collection'!W210)),"YES","NO")</f>
        <v>YES</v>
      </c>
    </row>
    <row r="430" spans="1:40" ht="15" customHeight="1">
      <c r="A430" s="258" t="s">
        <v>2460</v>
      </c>
      <c r="B430" s="263">
        <f>'Dry_Litterbag Placem_Collection'!A211</f>
        <v>209</v>
      </c>
      <c r="C430" s="263" t="str">
        <f>'Dry_Litterbag Placem_Collection'!B211</f>
        <v xml:space="preserve">Mwantimba
</v>
      </c>
      <c r="D430" s="263" t="s">
        <v>2659</v>
      </c>
      <c r="E430" s="263" t="s">
        <v>2526</v>
      </c>
      <c r="F430" s="263">
        <v>2</v>
      </c>
      <c r="G430" s="264" t="str">
        <f>'Dry_Litterbag Placem_Collection'!C211</f>
        <v>Wet_P1_CG2</v>
      </c>
      <c r="H430" s="265" t="s">
        <v>2541</v>
      </c>
      <c r="I430" s="272" t="s">
        <v>298</v>
      </c>
      <c r="J430" s="223" t="str">
        <f>'WetLitterbags placem_collection'!M211</f>
        <v>R271</v>
      </c>
      <c r="K430" s="225">
        <f>IFERROR(INDEX('Green_rooibos initial weight'!$C$5:$C$1749,MATCH(J430, 'Green_rooibos initial weight'!$A$5:$A$1749,0)),"")</f>
        <v>2.2829999999999999</v>
      </c>
      <c r="L430" s="225">
        <f>IFERROR(K430-(TBIcalc!$H$9+TBIcalc!$H$10),"")</f>
        <v>2.0331999999999999</v>
      </c>
      <c r="M430" s="391">
        <f>AVERAGE(Ashed_controlls!$K$12:$K$14)</f>
        <v>2.2816647271287041</v>
      </c>
      <c r="N430" s="225">
        <f t="shared" si="32"/>
        <v>1.9868091927680191</v>
      </c>
      <c r="O430" s="225">
        <f>IF(IFERROR(INDEX('Both teabags AfterWet'!$C$3:$C$841,MATCH(J430,'Both teabags AfterWet'!$A$3:$A$841,0)),"")="","",(IFERROR(INDEX('Both teabags AfterWet'!$C$3:$C$841,MATCH(J430,'Both teabags AfterWet'!$A$3:$A$841,0)),"")))</f>
        <v>1.754</v>
      </c>
      <c r="P430" s="225">
        <f>IFERROR(IF(O430&gt;0,O430-(TBIcalc!$H$9),""),"")</f>
        <v>1.6033999999999999</v>
      </c>
      <c r="Q430" s="225">
        <f>IFERROR(INDEX('Ashed teabags wet'!$K$2:$K$821,MATCH(J430,'Ashed teabags wet'!$A$2:$A$821,0)),"")</f>
        <v>9.0597453476988878</v>
      </c>
      <c r="R430" s="225">
        <f t="shared" si="36"/>
        <v>1.4581360430949959</v>
      </c>
      <c r="S430" s="226">
        <f>'WetLitterbags placem_collection'!E211</f>
        <v>42769</v>
      </c>
      <c r="T430" s="226">
        <f>IF('WetLitterbags placem_collection'!G211="","",'WetLitterbags placem_collection'!G211)</f>
        <v>42814</v>
      </c>
      <c r="U430" s="227">
        <f t="shared" si="33"/>
        <v>45</v>
      </c>
      <c r="V430" s="225">
        <f t="shared" si="34"/>
        <v>0.42979999999999996</v>
      </c>
      <c r="W430" s="225">
        <f t="shared" si="35"/>
        <v>0.52867314967302326</v>
      </c>
      <c r="X430">
        <f>IFERROR(INDEX(Rainfall_Wet!$O$2:$O$217,MATCH(B430, Rainfall_Wet!$A$2:$A$217,0)),"")</f>
        <v>175.377105089</v>
      </c>
      <c r="Y430" s="231">
        <v>31.214836424255054</v>
      </c>
      <c r="Z430" s="231">
        <v>11.377370285476141</v>
      </c>
      <c r="AA430" s="231">
        <v>57.407793290268799</v>
      </c>
      <c r="AB430" s="232" t="s">
        <v>2670</v>
      </c>
      <c r="AC430" s="231">
        <v>1.7337604731394776</v>
      </c>
      <c r="AD430">
        <f>IF('WetLitterbags placem_collection'!AB211="","",'WetLitterbags placem_collection'!AB211)</f>
        <v>5.13</v>
      </c>
      <c r="AE430">
        <f>IF('WetLitterbags placem_collection'!Z211="","",'WetLitterbags placem_collection'!Z211)</f>
        <v>5.13</v>
      </c>
      <c r="AF430" s="246" t="str">
        <f>IF('WetLitterbags placem_collection'!AA211="","",'WetLitterbags placem_collection'!AA211)</f>
        <v>O</v>
      </c>
      <c r="AG430">
        <f>IF('WetLitterbags placem_collection'!AC211="","",'WetLitterbags placem_collection'!AC211)</f>
        <v>1</v>
      </c>
      <c r="AH430" s="24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placem_collection'!W211)),"YES","NO")</f>
        <v>NO</v>
      </c>
      <c r="AM430" t="str">
        <f>IF(ISNUMBER(SEARCH("H", 'WetLitterbags placem_collection'!W211)),"YES","NO")</f>
        <v>NO</v>
      </c>
      <c r="AN430" t="str">
        <f>IF(ISNUMBER(SEARCH("R", 'WetLitterbags placem_collection'!W211)),"YES","NO")</f>
        <v>YES</v>
      </c>
    </row>
    <row r="431" spans="1:40" ht="15" customHeight="1">
      <c r="A431" s="258" t="s">
        <v>2460</v>
      </c>
      <c r="B431" s="263">
        <f>'Dry_Litterbag Placem_Collection'!A212</f>
        <v>210</v>
      </c>
      <c r="C431" s="263" t="str">
        <f>'Dry_Litterbag Placem_Collection'!B212</f>
        <v xml:space="preserve">Mwantimba
</v>
      </c>
      <c r="D431" s="263" t="s">
        <v>2659</v>
      </c>
      <c r="E431" s="263" t="s">
        <v>2526</v>
      </c>
      <c r="F431" s="263">
        <v>4</v>
      </c>
      <c r="G431" s="264" t="str">
        <f>'Dry_Litterbag Placem_Collection'!C212</f>
        <v>Wet_P2_CG4</v>
      </c>
      <c r="H431" s="265" t="s">
        <v>2541</v>
      </c>
      <c r="I431" s="272" t="s">
        <v>298</v>
      </c>
      <c r="J431" s="223" t="str">
        <f>'WetLitterbags placem_collection'!M212</f>
        <v>R340</v>
      </c>
      <c r="K431" s="225">
        <f>IFERROR(INDEX('Green_rooibos initial weight'!$C$5:$C$1749,MATCH(J431, 'Green_rooibos initial weight'!$A$5:$A$1749,0)),"")</f>
        <v>2.2130000000000001</v>
      </c>
      <c r="L431" s="225">
        <f>IFERROR(K431-(TBIcalc!$H$9+TBIcalc!$H$10),"")</f>
        <v>1.9632000000000001</v>
      </c>
      <c r="M431" s="391">
        <f>AVERAGE(Ashed_controlls!$K$12:$K$14)</f>
        <v>2.2816647271287041</v>
      </c>
      <c r="N431" s="225">
        <f t="shared" si="32"/>
        <v>1.9184063580770094</v>
      </c>
      <c r="O431" s="225">
        <f>IF(IFERROR(INDEX('Both teabags AfterWet'!$C$3:$C$841,MATCH(J431,'Both teabags AfterWet'!$A$3:$A$841,0)),"")="","",(IFERROR(INDEX('Both teabags AfterWet'!$C$3:$C$841,MATCH(J431,'Both teabags AfterWet'!$A$3:$A$841,0)),"")))</f>
        <v>1.6197999999999999</v>
      </c>
      <c r="P431" s="225">
        <f>IFERROR(IF(O431&gt;0,O431-(TBIcalc!$H$9),""),"")</f>
        <v>1.4691999999999998</v>
      </c>
      <c r="Q431" s="225">
        <f>IFERROR(INDEX('Ashed teabags wet'!$K$2:$K$821,MATCH(J431,'Ashed teabags wet'!$A$2:$A$821,0)),"")</f>
        <v>10.541586073501591</v>
      </c>
      <c r="R431" s="225">
        <f t="shared" si="36"/>
        <v>1.3143230174081144</v>
      </c>
      <c r="S431" s="226">
        <f>'WetLitterbags placem_collection'!E212</f>
        <v>42769</v>
      </c>
      <c r="T431" s="226">
        <f>IF('WetLitterbags placem_collection'!G212="","",'WetLitterbags placem_collection'!G212)</f>
        <v>42813</v>
      </c>
      <c r="U431" s="227">
        <f t="shared" si="33"/>
        <v>44</v>
      </c>
      <c r="V431" s="225">
        <f t="shared" si="34"/>
        <v>0.49400000000000022</v>
      </c>
      <c r="W431" s="225">
        <f t="shared" si="35"/>
        <v>0.60408334066889502</v>
      </c>
      <c r="X431">
        <f>IFERROR(INDEX(Rainfall_Wet!$O$2:$O$217,MATCH(B431, Rainfall_Wet!$A$2:$A$217,0)),"")</f>
        <v>175.054685654</v>
      </c>
      <c r="Y431" s="231">
        <v>33.96</v>
      </c>
      <c r="Z431" s="231">
        <v>8.9200000000000017</v>
      </c>
      <c r="AA431" s="231">
        <v>57.12</v>
      </c>
      <c r="AB431" s="232" t="s">
        <v>2670</v>
      </c>
      <c r="AC431" s="231">
        <v>2.072055199605717</v>
      </c>
      <c r="AD431">
        <f>IF('WetLitterbags placem_collection'!AB212="","",'WetLitterbags placem_collection'!AB212)</f>
        <v>15.2</v>
      </c>
      <c r="AE431">
        <f>IF('WetLitterbags placem_collection'!Z212="","",'WetLitterbags placem_collection'!Z212)</f>
        <v>12.2</v>
      </c>
      <c r="AF431" s="246" t="str">
        <f>IF('WetLitterbags placem_collection'!AA212="","",'WetLitterbags placem_collection'!AA212)</f>
        <v>O</v>
      </c>
      <c r="AG431">
        <f>IF('WetLitterbags placem_collection'!AC212="","",'WetLitterbags placem_collection'!AC212)</f>
        <v>1</v>
      </c>
      <c r="AH431" s="24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placem_collection'!W212)),"YES","NO")</f>
        <v>NO</v>
      </c>
      <c r="AM431" t="str">
        <f>IF(ISNUMBER(SEARCH("H", 'WetLitterbags placem_collection'!W212)),"YES","NO")</f>
        <v>NO</v>
      </c>
      <c r="AN431" t="str">
        <f>IF(ISNUMBER(SEARCH("R", 'WetLitterbags placem_collection'!W212)),"YES","NO")</f>
        <v>YES</v>
      </c>
    </row>
    <row r="432" spans="1:40" ht="15" customHeight="1">
      <c r="A432" s="258" t="s">
        <v>2460</v>
      </c>
      <c r="B432" s="263">
        <f>'Dry_Litterbag Placem_Collection'!A213</f>
        <v>211</v>
      </c>
      <c r="C432" s="263" t="str">
        <f>'Dry_Litterbag Placem_Collection'!B213</f>
        <v xml:space="preserve">Mwantimba
</v>
      </c>
      <c r="D432" s="263" t="s">
        <v>2659</v>
      </c>
      <c r="E432" s="263" t="s">
        <v>2526</v>
      </c>
      <c r="F432" s="263">
        <v>1</v>
      </c>
      <c r="G432" s="264" t="str">
        <f>'Dry_Litterbag Placem_Collection'!C213</f>
        <v>Wet_P3_CG1</v>
      </c>
      <c r="H432" s="265" t="s">
        <v>2541</v>
      </c>
      <c r="I432" s="272" t="s">
        <v>298</v>
      </c>
      <c r="J432" s="223" t="str">
        <f>'WetLitterbags placem_collection'!M213</f>
        <v>R381</v>
      </c>
      <c r="K432" s="225">
        <f>IFERROR(INDEX('Green_rooibos initial weight'!$C$5:$C$1749,MATCH(J432, 'Green_rooibos initial weight'!$A$5:$A$1749,0)),"")</f>
        <v>2.2349999999999999</v>
      </c>
      <c r="L432" s="225">
        <f>IFERROR(K432-(TBIcalc!$H$9+TBIcalc!$H$10),"")</f>
        <v>1.9851999999999999</v>
      </c>
      <c r="M432" s="391">
        <f>AVERAGE(Ashed_controlls!$K$12:$K$14)</f>
        <v>2.2816647271287041</v>
      </c>
      <c r="N432" s="225">
        <f t="shared" si="32"/>
        <v>1.9399043918370409</v>
      </c>
      <c r="O432" s="225">
        <f>IF(IFERROR(INDEX('Both teabags AfterWet'!$C$3:$C$841,MATCH(J432,'Both teabags AfterWet'!$A$3:$A$841,0)),"")="","",(IFERROR(INDEX('Both teabags AfterWet'!$C$3:$C$841,MATCH(J432,'Both teabags AfterWet'!$A$3:$A$841,0)),"")))</f>
        <v>1.528</v>
      </c>
      <c r="P432" s="225">
        <f>IFERROR(IF(O432&gt;0,O432-(TBIcalc!$H$9),""),"")</f>
        <v>1.3774</v>
      </c>
      <c r="Q432" s="225">
        <f>IFERROR(INDEX('Ashed teabags wet'!$K$2:$K$821,MATCH(J432,'Ashed teabags wet'!$A$2:$A$821,0)),"")</f>
        <v>10.112911143839174</v>
      </c>
      <c r="R432" s="225">
        <f t="shared" si="36"/>
        <v>1.2381047619047592</v>
      </c>
      <c r="S432" s="226">
        <f>'WetLitterbags placem_collection'!E213</f>
        <v>42769</v>
      </c>
      <c r="T432" s="226">
        <f>IF('WetLitterbags placem_collection'!G213="","",'WetLitterbags placem_collection'!G213)</f>
        <v>42814</v>
      </c>
      <c r="U432" s="227">
        <f t="shared" si="33"/>
        <v>45</v>
      </c>
      <c r="V432" s="225">
        <f t="shared" si="34"/>
        <v>0.6077999999999999</v>
      </c>
      <c r="W432" s="225">
        <f t="shared" si="35"/>
        <v>0.70179962993228173</v>
      </c>
      <c r="X432">
        <f>IFERROR(INDEX(Rainfall_Wet!$O$2:$O$217,MATCH(B432, Rainfall_Wet!$A$2:$A$217,0)),"")</f>
        <v>175.377105089</v>
      </c>
      <c r="Y432" s="231">
        <v>39.96</v>
      </c>
      <c r="Z432" s="231">
        <v>12.920000000000002</v>
      </c>
      <c r="AA432" s="231">
        <v>47.12</v>
      </c>
      <c r="AB432" s="232" t="s">
        <v>2674</v>
      </c>
      <c r="AC432" s="231">
        <v>1.6549531789058647</v>
      </c>
      <c r="AD432">
        <f>IF('WetLitterbags placem_collection'!AB213="","",'WetLitterbags placem_collection'!AB213)</f>
        <v>13.8</v>
      </c>
      <c r="AE432">
        <f>IF('WetLitterbags placem_collection'!Z213="","",'WetLitterbags placem_collection'!Z213)</f>
        <v>17.399999999999999</v>
      </c>
      <c r="AF432" s="246" t="str">
        <f>IF('WetLitterbags placem_collection'!AA213="","",'WetLitterbags placem_collection'!AA213)</f>
        <v>O</v>
      </c>
      <c r="AG432">
        <f>IF('WetLitterbags placem_collection'!AC213="","",'WetLitterbags placem_collection'!AC213)</f>
        <v>1</v>
      </c>
      <c r="AH432" s="24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placem_collection'!W213)),"YES","NO")</f>
        <v>NO</v>
      </c>
      <c r="AM432" t="str">
        <f>IF(ISNUMBER(SEARCH("H", 'WetLitterbags placem_collection'!W213)),"YES","NO")</f>
        <v>NO</v>
      </c>
      <c r="AN432" t="str">
        <f>IF(ISNUMBER(SEARCH("R", 'WetLitterbags placem_collection'!W213)),"YES","NO")</f>
        <v>YES</v>
      </c>
    </row>
    <row r="433" spans="1:40" ht="15" customHeight="1">
      <c r="A433" s="258" t="s">
        <v>2460</v>
      </c>
      <c r="B433" s="263">
        <f>'Dry_Litterbag Placem_Collection'!A214</f>
        <v>215</v>
      </c>
      <c r="C433" s="263" t="str">
        <f>'Dry_Litterbag Placem_Collection'!B214</f>
        <v xml:space="preserve">Mwantimba
</v>
      </c>
      <c r="D433" s="263" t="s">
        <v>2659</v>
      </c>
      <c r="E433" s="263" t="s">
        <v>2526</v>
      </c>
      <c r="F433" s="263">
        <v>3</v>
      </c>
      <c r="G433" s="264" t="str">
        <f>'Dry_Litterbag Placem_Collection'!C214</f>
        <v>Wet_W3_CG1</v>
      </c>
      <c r="H433" s="265" t="s">
        <v>2541</v>
      </c>
      <c r="I433" s="272" t="s">
        <v>298</v>
      </c>
      <c r="J433" s="223" t="str">
        <f>'WetLitterbags placem_collection'!M214</f>
        <v>R93</v>
      </c>
      <c r="K433" s="225">
        <f>IFERROR(INDEX('Green_rooibos initial weight'!$C$5:$C$1749,MATCH(J433, 'Green_rooibos initial weight'!$A$5:$A$1749,0)),"")</f>
        <v>2.1709999999999998</v>
      </c>
      <c r="L433" s="225">
        <f>IFERROR(K433-(TBIcalc!$H$9+TBIcalc!$H$10),"")</f>
        <v>1.9211999999999998</v>
      </c>
      <c r="M433" s="391">
        <f>AVERAGE(Ashed_controlls!$K$12:$K$14)</f>
        <v>2.2816647271287041</v>
      </c>
      <c r="N433" s="225">
        <f t="shared" si="32"/>
        <v>1.8773646572624032</v>
      </c>
      <c r="O433" s="225">
        <f>IF(IFERROR(INDEX('Both teabags AfterWet'!$C$3:$C$841,MATCH(J433,'Both teabags AfterWet'!$A$3:$A$841,0)),"")="","",(IFERROR(INDEX('Both teabags AfterWet'!$C$3:$C$841,MATCH(J433,'Both teabags AfterWet'!$A$3:$A$841,0)),"")))</f>
        <v>1.5831999999999999</v>
      </c>
      <c r="P433" s="225">
        <f>IFERROR(IF(O433&gt;0,O433-(TBIcalc!$H$9),""),"")</f>
        <v>1.4325999999999999</v>
      </c>
      <c r="Q433" s="225">
        <f>IFERROR(INDEX('Ashed teabags wet'!$K$2:$K$821,MATCH(J433,'Ashed teabags wet'!$A$2:$A$821,0)),"")</f>
        <v>7.2365225837790437</v>
      </c>
      <c r="R433" s="225">
        <f t="shared" si="36"/>
        <v>1.3289295774647814</v>
      </c>
      <c r="S433" s="226">
        <f>'WetLitterbags placem_collection'!E214</f>
        <v>42769</v>
      </c>
      <c r="T433" s="226">
        <f>IF('WetLitterbags placem_collection'!G214="","",'WetLitterbags placem_collection'!G214)</f>
        <v>42813</v>
      </c>
      <c r="U433" s="227">
        <f t="shared" si="33"/>
        <v>44</v>
      </c>
      <c r="V433" s="225">
        <f t="shared" si="34"/>
        <v>0.48859999999999992</v>
      </c>
      <c r="W433" s="225">
        <f t="shared" si="35"/>
        <v>0.54843507979762185</v>
      </c>
      <c r="X433">
        <f>IFERROR(INDEX(Rainfall_Wet!$O$2:$O$217,MATCH(B433, Rainfall_Wet!$A$2:$A$217,0)),"")</f>
        <v>175.377105089</v>
      </c>
      <c r="Y433" s="231">
        <v>27.96</v>
      </c>
      <c r="Z433" s="231">
        <v>4.9200000000000017</v>
      </c>
      <c r="AA433" s="231">
        <v>67.12</v>
      </c>
      <c r="AB433" s="232" t="s">
        <v>2670</v>
      </c>
      <c r="AC433" s="231">
        <v>1.0437161163134547</v>
      </c>
      <c r="AD433">
        <f>IF('WetLitterbags placem_collection'!AB214="","",'WetLitterbags placem_collection'!AB214)</f>
        <v>7.9</v>
      </c>
      <c r="AE433">
        <f>IF('WetLitterbags placem_collection'!Z214="","",'WetLitterbags placem_collection'!Z214)</f>
        <v>7.9</v>
      </c>
      <c r="AF433" s="246" t="str">
        <f>IF('WetLitterbags placem_collection'!AA214="","",'WetLitterbags placem_collection'!AA214)</f>
        <v>O</v>
      </c>
      <c r="AG433">
        <f>IF('WetLitterbags placem_collection'!AC214="","",'WetLitterbags placem_collection'!AC214)</f>
        <v>1</v>
      </c>
      <c r="AH433" s="24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placem_collection'!W214)),"YES","NO")</f>
        <v>YES</v>
      </c>
      <c r="AM433" t="str">
        <f>IF(ISNUMBER(SEARCH("H", 'WetLitterbags placem_collection'!W214)),"YES","NO")</f>
        <v>NO</v>
      </c>
      <c r="AN433" t="str">
        <f>IF(ISNUMBER(SEARCH("R", 'WetLitterbags placem_collection'!W214)),"YES","NO")</f>
        <v>YES</v>
      </c>
    </row>
    <row r="434" spans="1:40" ht="15" customHeight="1">
      <c r="A434" s="258" t="s">
        <v>2460</v>
      </c>
      <c r="B434" s="263">
        <f>'Dry_Litterbag Placem_Collection'!A215</f>
        <v>212</v>
      </c>
      <c r="C434" s="263" t="str">
        <f>'Dry_Litterbag Placem_Collection'!B215</f>
        <v xml:space="preserve">Mwantimba
</v>
      </c>
      <c r="D434" s="263" t="s">
        <v>2659</v>
      </c>
      <c r="E434" s="263" t="s">
        <v>2526</v>
      </c>
      <c r="F434" s="263">
        <v>4</v>
      </c>
      <c r="G434" s="264" t="str">
        <f>'Dry_Litterbag Placem_Collection'!C215</f>
        <v>Wet_P4_CG3</v>
      </c>
      <c r="H434" s="265" t="s">
        <v>2541</v>
      </c>
      <c r="I434" s="272" t="s">
        <v>298</v>
      </c>
      <c r="J434" s="223" t="str">
        <f>'WetLitterbags placem_collection'!M215</f>
        <v>R88</v>
      </c>
      <c r="K434" s="225">
        <f>IFERROR(INDEX('Green_rooibos initial weight'!$C$5:$C$1749,MATCH(J434, 'Green_rooibos initial weight'!$A$5:$A$1749,0)),"")</f>
        <v>2.1520000000000001</v>
      </c>
      <c r="L434" s="225">
        <f>IFERROR(K434-(TBIcalc!$H$9+TBIcalc!$H$10),"")</f>
        <v>1.9022000000000001</v>
      </c>
      <c r="M434" s="391">
        <f>AVERAGE(Ashed_controlls!$K$12:$K$14)</f>
        <v>2.2816647271287041</v>
      </c>
      <c r="N434" s="225">
        <f t="shared" si="32"/>
        <v>1.8587981735605579</v>
      </c>
      <c r="O434" s="225">
        <f>IF(IFERROR(INDEX('Both teabags AfterWet'!$C$3:$C$841,MATCH(J434,'Both teabags AfterWet'!$A$3:$A$841,0)),"")="","",(IFERROR(INDEX('Both teabags AfterWet'!$C$3:$C$841,MATCH(J434,'Both teabags AfterWet'!$A$3:$A$841,0)),"")))</f>
        <v>1.542</v>
      </c>
      <c r="P434" s="225">
        <f>IFERROR(IF(O434&gt;0,O434-(TBIcalc!$H$9),""),"")</f>
        <v>1.3914</v>
      </c>
      <c r="Q434" s="225">
        <f>IFERROR(INDEX('Ashed teabags wet'!$K$2:$K$821,MATCH(J434,'Ashed teabags wet'!$A$2:$A$821,0)),"")</f>
        <v>3.5402521823463347</v>
      </c>
      <c r="R434" s="225">
        <f t="shared" si="36"/>
        <v>1.3421409311348331</v>
      </c>
      <c r="S434" s="226">
        <f>'WetLitterbags placem_collection'!E215</f>
        <v>42769</v>
      </c>
      <c r="T434" s="226">
        <f>IF('WetLitterbags placem_collection'!G215="","",'WetLitterbags placem_collection'!G215)</f>
        <v>42813</v>
      </c>
      <c r="U434" s="227">
        <f t="shared" si="33"/>
        <v>44</v>
      </c>
      <c r="V434" s="225">
        <f t="shared" si="34"/>
        <v>0.51080000000000014</v>
      </c>
      <c r="W434" s="225">
        <f t="shared" si="35"/>
        <v>0.51665724242572475</v>
      </c>
      <c r="X434">
        <f>IFERROR(INDEX(Rainfall_Wet!$O$2:$O$217,MATCH(B434, Rainfall_Wet!$A$2:$A$217,0)),"")</f>
        <v>175.054685654</v>
      </c>
      <c r="Y434" s="231">
        <v>21.96</v>
      </c>
      <c r="Z434" s="231">
        <v>4.9199999999999982</v>
      </c>
      <c r="AA434" s="231">
        <v>73.12</v>
      </c>
      <c r="AB434" s="232" t="s">
        <v>2670</v>
      </c>
      <c r="AC434" s="231">
        <v>1.2416954164613114</v>
      </c>
      <c r="AD434">
        <f>IF('WetLitterbags placem_collection'!AB215="","",'WetLitterbags placem_collection'!AB215)</f>
        <v>15.2</v>
      </c>
      <c r="AE434">
        <f>IF('WetLitterbags placem_collection'!Z215="","",'WetLitterbags placem_collection'!Z215)</f>
        <v>12.2</v>
      </c>
      <c r="AF434" s="246" t="str">
        <f>IF('WetLitterbags placem_collection'!AA215="","",'WetLitterbags placem_collection'!AA215)</f>
        <v>O</v>
      </c>
      <c r="AG434">
        <f>IF('WetLitterbags placem_collection'!AC215="","",'WetLitterbags placem_collection'!AC215)</f>
        <v>1</v>
      </c>
      <c r="AH434" s="24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placem_collection'!W215)),"YES","NO")</f>
        <v>NO</v>
      </c>
      <c r="AM434" t="str">
        <f>IF(ISNUMBER(SEARCH("H", 'WetLitterbags placem_collection'!W215)),"YES","NO")</f>
        <v>NO</v>
      </c>
      <c r="AN434" t="str">
        <f>IF(ISNUMBER(SEARCH("R", 'WetLitterbags placem_collection'!W215)),"YES","NO")</f>
        <v>YES</v>
      </c>
    </row>
    <row r="435" spans="1:40" ht="15" customHeight="1">
      <c r="A435" s="258" t="s">
        <v>2460</v>
      </c>
      <c r="B435" s="263">
        <f>'Dry_Litterbag Placem_Collection'!A216</f>
        <v>213</v>
      </c>
      <c r="C435" s="263" t="str">
        <f>'Dry_Litterbag Placem_Collection'!B216</f>
        <v>Handajega</v>
      </c>
      <c r="D435" s="263" t="s">
        <v>2659</v>
      </c>
      <c r="E435" s="263" t="s">
        <v>2526</v>
      </c>
      <c r="F435" s="263">
        <v>3</v>
      </c>
      <c r="G435" s="264" t="str">
        <f>'Dry_Litterbag Placem_Collection'!C216</f>
        <v>Wet_W1_CG4</v>
      </c>
      <c r="H435" s="265" t="s">
        <v>2541</v>
      </c>
      <c r="I435" s="272" t="s">
        <v>298</v>
      </c>
      <c r="J435" s="223" t="str">
        <f>'WetLitterbags placem_collection'!M216</f>
        <v>R383</v>
      </c>
      <c r="K435" s="225">
        <f>IFERROR(INDEX('Green_rooibos initial weight'!$C$5:$C$1749,MATCH(J435, 'Green_rooibos initial weight'!$A$5:$A$1749,0)),"")</f>
        <v>2.234</v>
      </c>
      <c r="L435" s="225">
        <f>IFERROR(K435-(TBIcalc!$H$9+TBIcalc!$H$10),"")</f>
        <v>1.9842</v>
      </c>
      <c r="M435" s="391">
        <f>AVERAGE(Ashed_controlls!$K$12:$K$14)</f>
        <v>2.2816647271287041</v>
      </c>
      <c r="N435" s="225">
        <f t="shared" si="32"/>
        <v>1.9389272084843123</v>
      </c>
      <c r="O435" s="225">
        <f>IF(IFERROR(INDEX('Both teabags AfterWet'!$C$3:$C$841,MATCH(J435,'Both teabags AfterWet'!$A$3:$A$841,0)),"")="","",(IFERROR(INDEX('Both teabags AfterWet'!$C$3:$C$841,MATCH(J435,'Both teabags AfterWet'!$A$3:$A$841,0)),"")))</f>
        <v>1.587</v>
      </c>
      <c r="P435" s="225">
        <f>IFERROR(IF(O435&gt;0,O435-(TBIcalc!$H$9),""),"")</f>
        <v>1.4363999999999999</v>
      </c>
      <c r="Q435" s="225">
        <f>IFERROR(INDEX('Ashed teabags wet'!$K$2:$K$821,MATCH(J435,'Ashed teabags wet'!$A$2:$A$821,0)),"")</f>
        <v>4.7142857142857366</v>
      </c>
      <c r="R435" s="225">
        <f t="shared" si="36"/>
        <v>1.3686839999999996</v>
      </c>
      <c r="S435" s="226">
        <f>'WetLitterbags placem_collection'!E216</f>
        <v>42769</v>
      </c>
      <c r="T435" s="226">
        <f>IF('WetLitterbags placem_collection'!G216="","",'WetLitterbags placem_collection'!G216)</f>
        <v>42813</v>
      </c>
      <c r="U435" s="227">
        <f t="shared" si="33"/>
        <v>44</v>
      </c>
      <c r="V435" s="225">
        <f t="shared" si="34"/>
        <v>0.54780000000000006</v>
      </c>
      <c r="W435" s="225">
        <f t="shared" si="35"/>
        <v>0.57024320848431276</v>
      </c>
      <c r="X435">
        <f>IFERROR(INDEX(Rainfall_Wet!$O$2:$O$217,MATCH(B435, Rainfall_Wet!$A$2:$A$217,0)),"")</f>
        <v>175.054685654</v>
      </c>
      <c r="Y435" s="231">
        <v>23.96</v>
      </c>
      <c r="Z435" s="231">
        <v>4.9199999999999982</v>
      </c>
      <c r="AA435" s="231">
        <v>71.12</v>
      </c>
      <c r="AB435" s="232" t="s">
        <v>2670</v>
      </c>
      <c r="AC435" s="231">
        <v>3.30913750616067</v>
      </c>
      <c r="AD435">
        <f>IF('WetLitterbags placem_collection'!AB216="","",'WetLitterbags placem_collection'!AB216)</f>
        <v>7.9</v>
      </c>
      <c r="AE435">
        <f>IF('WetLitterbags placem_collection'!Z216="","",'WetLitterbags placem_collection'!Z216)</f>
        <v>7.9</v>
      </c>
      <c r="AF435" s="246" t="str">
        <f>IF('WetLitterbags placem_collection'!AA216="","",'WetLitterbags placem_collection'!AA216)</f>
        <v>O</v>
      </c>
      <c r="AG435">
        <f>IF('WetLitterbags placem_collection'!AC216="","",'WetLitterbags placem_collection'!AC216)</f>
        <v>1</v>
      </c>
      <c r="AH435" s="24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placem_collection'!W216)),"YES","NO")</f>
        <v>NO</v>
      </c>
      <c r="AM435" t="str">
        <f>IF(ISNUMBER(SEARCH("H", 'WetLitterbags placem_collection'!W216)),"YES","NO")</f>
        <v>NO</v>
      </c>
      <c r="AN435" t="str">
        <f>IF(ISNUMBER(SEARCH("R", 'WetLitterbags placem_collection'!W216)),"YES","NO")</f>
        <v>YES</v>
      </c>
    </row>
    <row r="436" spans="1:40" ht="15" customHeight="1">
      <c r="A436" s="258" t="s">
        <v>2460</v>
      </c>
      <c r="B436" s="263">
        <f>'Dry_Litterbag Placem_Collection'!A217</f>
        <v>214</v>
      </c>
      <c r="C436" s="263" t="str">
        <f>'Dry_Litterbag Placem_Collection'!B217</f>
        <v>Handajega</v>
      </c>
      <c r="D436" s="263" t="s">
        <v>2659</v>
      </c>
      <c r="E436" s="263" t="s">
        <v>2526</v>
      </c>
      <c r="F436" s="263">
        <v>1</v>
      </c>
      <c r="G436" s="264" t="str">
        <f>'Dry_Litterbag Placem_Collection'!C217</f>
        <v>Wet_W2_CG3</v>
      </c>
      <c r="H436" s="265" t="s">
        <v>2541</v>
      </c>
      <c r="I436" s="272" t="s">
        <v>298</v>
      </c>
      <c r="J436" s="223" t="str">
        <f>'WetLitterbags placem_collection'!M217</f>
        <v>R145</v>
      </c>
      <c r="K436" s="225">
        <f>IFERROR(INDEX('Green_rooibos initial weight'!$C$5:$C$1749,MATCH(J436, 'Green_rooibos initial weight'!$A$5:$A$1749,0)),"")</f>
        <v>2.2719999999999998</v>
      </c>
      <c r="L436" s="225">
        <f>IFERROR(K436-(TBIcalc!$H$9+TBIcalc!$H$10),"")</f>
        <v>2.0221999999999998</v>
      </c>
      <c r="M436" s="391">
        <f>AVERAGE(Ashed_controlls!$K$12:$K$14)</f>
        <v>2.2816647271287041</v>
      </c>
      <c r="N436" s="225">
        <f t="shared" si="32"/>
        <v>1.9760601758880032</v>
      </c>
      <c r="O436" s="225">
        <f>IF(IFERROR(INDEX('Both teabags AfterWet'!$C$3:$C$841,MATCH(J436,'Both teabags AfterWet'!$A$3:$A$841,0)),"")="","",(IFERROR(INDEX('Both teabags AfterWet'!$C$3:$C$841,MATCH(J436,'Both teabags AfterWet'!$A$3:$A$841,0)),"")))</f>
        <v>1.5481</v>
      </c>
      <c r="P436" s="225">
        <f>IFERROR(IF(O436&gt;0,O436-(TBIcalc!$H$9),""),"")</f>
        <v>1.3975</v>
      </c>
      <c r="Q436" s="225">
        <f>IFERROR(INDEX('Ashed teabags wet'!$K$2:$K$821,MATCH(J436,'Ashed teabags wet'!$A$2:$A$821,0)),"")</f>
        <v>2.4271844660191637</v>
      </c>
      <c r="R436" s="225">
        <f t="shared" si="36"/>
        <v>1.3635800970873821</v>
      </c>
      <c r="S436" s="226">
        <f>'WetLitterbags placem_collection'!E217</f>
        <v>42769</v>
      </c>
      <c r="T436" s="226">
        <f>IF('WetLitterbags placem_collection'!G217="","",'WetLitterbags placem_collection'!G217)</f>
        <v>42814</v>
      </c>
      <c r="U436" s="227">
        <f t="shared" si="33"/>
        <v>45</v>
      </c>
      <c r="V436" s="225">
        <f t="shared" si="34"/>
        <v>0.62469999999999981</v>
      </c>
      <c r="W436" s="225">
        <f t="shared" si="35"/>
        <v>0.61248007880062105</v>
      </c>
      <c r="X436">
        <f>IFERROR(INDEX(Rainfall_Wet!$O$2:$O$217,MATCH(B436, Rainfall_Wet!$A$2:$A$217,0)),"")</f>
        <v>175.054685654</v>
      </c>
      <c r="Y436" s="231">
        <v>25.96</v>
      </c>
      <c r="Z436" s="231">
        <v>8.9200000000000017</v>
      </c>
      <c r="AA436" s="231">
        <v>65.12</v>
      </c>
      <c r="AB436" s="232" t="s">
        <v>2670</v>
      </c>
      <c r="AC436" s="231">
        <v>1.614588467225234</v>
      </c>
      <c r="AD436">
        <f>IF('WetLitterbags placem_collection'!AB217="","",'WetLitterbags placem_collection'!AB217)</f>
        <v>13.8</v>
      </c>
      <c r="AE436">
        <f>IF('WetLitterbags placem_collection'!Z217="","",'WetLitterbags placem_collection'!Z217)</f>
        <v>17.399999999999999</v>
      </c>
      <c r="AF436" s="246" t="str">
        <f>IF('WetLitterbags placem_collection'!AA217="","",'WetLitterbags placem_collection'!AA217)</f>
        <v>O</v>
      </c>
      <c r="AG436">
        <f>IF('WetLitterbags placem_collection'!AC217="","",'WetLitterbags placem_collection'!AC217)</f>
        <v>1</v>
      </c>
      <c r="AH436" s="24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placem_collection'!W217)),"YES","NO")</f>
        <v>NO</v>
      </c>
      <c r="AM436" t="str">
        <f>IF(ISNUMBER(SEARCH("H", 'WetLitterbags placem_collection'!W217)),"YES","NO")</f>
        <v>NO</v>
      </c>
      <c r="AN436" t="str">
        <f>IF(ISNUMBER(SEARCH("R", 'WetLitterbags placem_collection'!W217)),"YES","NO")</f>
        <v>NO</v>
      </c>
    </row>
    <row r="437" spans="1:40" ht="15" customHeight="1">
      <c r="A437" s="258" t="s">
        <v>2460</v>
      </c>
      <c r="B437" s="263">
        <f>'Dry_Litterbag Placem_Collection'!A218</f>
        <v>216</v>
      </c>
      <c r="C437" s="263" t="str">
        <f>'Dry_Litterbag Placem_Collection'!B218</f>
        <v>Handajega</v>
      </c>
      <c r="D437" s="263" t="s">
        <v>2659</v>
      </c>
      <c r="E437" s="263" t="s">
        <v>2526</v>
      </c>
      <c r="F437" s="263">
        <v>2</v>
      </c>
      <c r="G437" s="264" t="str">
        <f>'Dry_Litterbag Placem_Collection'!C218</f>
        <v>Wet_W4_CG2</v>
      </c>
      <c r="H437" s="265" t="s">
        <v>2541</v>
      </c>
      <c r="I437" s="272" t="s">
        <v>298</v>
      </c>
      <c r="J437" s="223" t="str">
        <f>'WetLitterbags placem_collection'!M218</f>
        <v>R241</v>
      </c>
      <c r="K437" s="225">
        <f>IFERROR(INDEX('Green_rooibos initial weight'!$C$5:$C$1749,MATCH(J437, 'Green_rooibos initial weight'!$A$5:$A$1749,0)),"")</f>
        <v>2.1680000000000001</v>
      </c>
      <c r="L437" s="225">
        <f>IFERROR(K437-(TBIcalc!$H$9+TBIcalc!$H$10),"")</f>
        <v>1.9182000000000001</v>
      </c>
      <c r="M437" s="391">
        <f>AVERAGE(Ashed_controlls!$K$12:$K$14)</f>
        <v>2.2816647271287041</v>
      </c>
      <c r="N437" s="225">
        <f t="shared" si="32"/>
        <v>1.8744331072042173</v>
      </c>
      <c r="O437" s="225">
        <f>IF(IFERROR(INDEX('Both teabags AfterWet'!$C$3:$C$841,MATCH(J437,'Both teabags AfterWet'!$A$3:$A$841,0)),"")="","",(IFERROR(INDEX('Both teabags AfterWet'!$C$3:$C$841,MATCH(J437,'Both teabags AfterWet'!$A$3:$A$841,0)),"")))</f>
        <v>1.5349999999999999</v>
      </c>
      <c r="P437" s="225">
        <f>IFERROR(IF(O437&gt;0,O437-(TBIcalc!$H$9),""),"")</f>
        <v>1.3843999999999999</v>
      </c>
      <c r="Q437" s="225">
        <f>IFERROR(INDEX('Ashed teabags wet'!$K$2:$K$821,MATCH(J437,'Ashed teabags wet'!$A$2:$A$821,0)),"")</f>
        <v>21.520236920039142</v>
      </c>
      <c r="R437" s="225">
        <f t="shared" si="36"/>
        <v>1.086473840078978</v>
      </c>
      <c r="S437" s="226">
        <f>'WetLitterbags placem_collection'!E218</f>
        <v>42769</v>
      </c>
      <c r="T437" s="226">
        <f>IF('WetLitterbags placem_collection'!G218="","",'WetLitterbags placem_collection'!G218)</f>
        <v>42814</v>
      </c>
      <c r="U437" s="227">
        <f t="shared" si="33"/>
        <v>45</v>
      </c>
      <c r="V437" s="225">
        <f t="shared" si="34"/>
        <v>0.53380000000000027</v>
      </c>
      <c r="W437" s="225">
        <f t="shared" si="35"/>
        <v>0.78795926712523934</v>
      </c>
      <c r="X437">
        <f>IFERROR(INDEX(Rainfall_Wet!$O$2:$O$217,MATCH(B437, Rainfall_Wet!$A$2:$A$217,0)),"")</f>
        <v>175.377105089</v>
      </c>
      <c r="Y437" s="231">
        <v>25.96</v>
      </c>
      <c r="Z437" s="231">
        <v>8.9200000000000017</v>
      </c>
      <c r="AA437" s="231">
        <v>65.12</v>
      </c>
      <c r="AB437" s="232" t="s">
        <v>2670</v>
      </c>
      <c r="AC437" s="231">
        <v>1.6991621488417901</v>
      </c>
      <c r="AD437">
        <f>IF('WetLitterbags placem_collection'!AB218="","",'WetLitterbags placem_collection'!AB218)</f>
        <v>5.13</v>
      </c>
      <c r="AE437">
        <f>IF('WetLitterbags placem_collection'!Z218="","",'WetLitterbags placem_collection'!Z218)</f>
        <v>5.13</v>
      </c>
      <c r="AF437" s="246" t="str">
        <f>IF('WetLitterbags placem_collection'!AA218="","",'WetLitterbags placem_collection'!AA218)</f>
        <v>O</v>
      </c>
      <c r="AG437">
        <f>IF('WetLitterbags placem_collection'!AC218="","",'WetLitterbags placem_collection'!AC218)</f>
        <v>1</v>
      </c>
      <c r="AH437" s="24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placem_collection'!W218)),"YES","NO")</f>
        <v>NO</v>
      </c>
      <c r="AM437" t="str">
        <f>IF(ISNUMBER(SEARCH("H", 'WetLitterbags placem_collection'!W218)),"YES","NO")</f>
        <v>YES</v>
      </c>
      <c r="AN437" t="str">
        <f>IF(ISNUMBER(SEARCH("R", 'WetLitterbags placem_collection'!W218)),"YES","NO")</f>
        <v>NO</v>
      </c>
    </row>
    <row r="438" spans="1:40" ht="15" customHeight="1">
      <c r="A438" s="258" t="s">
        <v>2460</v>
      </c>
      <c r="B438" s="263">
        <f>'Dry_Litterbag Placem_Collection'!A219</f>
        <v>217</v>
      </c>
      <c r="C438" s="263" t="str">
        <f>'Dry_Litterbag Placem_Collection'!B219</f>
        <v>Seronera</v>
      </c>
      <c r="D438" s="263" t="s">
        <v>2659</v>
      </c>
      <c r="E438" s="263" t="s">
        <v>2526</v>
      </c>
      <c r="F438" s="263">
        <v>1</v>
      </c>
      <c r="G438" s="264" t="str">
        <f>'Dry_Litterbag Placem_Collection'!C219</f>
        <v>Local1_CG1</v>
      </c>
      <c r="H438" s="265" t="s">
        <v>2541</v>
      </c>
      <c r="I438" s="272" t="s">
        <v>298</v>
      </c>
      <c r="J438" s="223" t="str">
        <f>'WetLitterbags placem_collection'!M219</f>
        <v>R302</v>
      </c>
      <c r="K438" s="225">
        <f>IFERROR(INDEX('Green_rooibos initial weight'!$C$5:$C$1749,MATCH(J438, 'Green_rooibos initial weight'!$A$5:$A$1749,0)),"")</f>
        <v>2.19</v>
      </c>
      <c r="L438" s="225">
        <f>IFERROR(K438-(TBIcalc!$H$9+TBIcalc!$H$10),"")</f>
        <v>1.9401999999999999</v>
      </c>
      <c r="M438" s="391">
        <f>AVERAGE(Ashed_controlls!$K$12:$K$14)</f>
        <v>2.2816647271287041</v>
      </c>
      <c r="N438" s="225">
        <f t="shared" si="32"/>
        <v>1.8959311409642488</v>
      </c>
      <c r="O438" s="225">
        <f>IF(IFERROR(INDEX('Both teabags AfterWet'!$C$3:$C$841,MATCH(J438,'Both teabags AfterWet'!$A$3:$A$841,0)),"")="","",(IFERROR(INDEX('Both teabags AfterWet'!$C$3:$C$841,MATCH(J438,'Both teabags AfterWet'!$A$3:$A$841,0)),"")))</f>
        <v>1.38</v>
      </c>
      <c r="P438" s="225">
        <f>IFERROR(IF(O438&gt;0,O438-(TBIcalc!$H$9),""),"")</f>
        <v>1.2293999999999998</v>
      </c>
      <c r="Q438" s="225">
        <f>IFERROR(INDEX('Ashed teabags wet'!$K$2:$K$821,MATCH(J438,'Ashed teabags wet'!$A$2:$A$821,0)),"")</f>
        <v>5.5199605717097722</v>
      </c>
      <c r="R438" s="225">
        <f t="shared" si="36"/>
        <v>1.1615376047313999</v>
      </c>
      <c r="S438" s="226">
        <f>'WetLitterbags placem_collection'!E219</f>
        <v>42769</v>
      </c>
      <c r="T438" s="226">
        <f>IF('WetLitterbags placem_collection'!G219="","",'WetLitterbags placem_collection'!G219)</f>
        <v>42814</v>
      </c>
      <c r="U438" s="227">
        <f t="shared" si="33"/>
        <v>45</v>
      </c>
      <c r="V438" s="225">
        <f t="shared" si="34"/>
        <v>0.7108000000000001</v>
      </c>
      <c r="W438" s="225">
        <f t="shared" si="35"/>
        <v>0.73439353623284886</v>
      </c>
      <c r="X438">
        <f>IFERROR(INDEX(Rainfall_Wet!$O$2:$O$217,MATCH(B438, Rainfall_Wet!$A$2:$A$217,0)),"")</f>
        <v>175.377105089</v>
      </c>
      <c r="Y438" s="231">
        <v>29.076539101497506</v>
      </c>
      <c r="Z438" s="231">
        <v>7.1963394342762079</v>
      </c>
      <c r="AA438" s="231">
        <v>63.727121464226286</v>
      </c>
      <c r="AB438" s="231" t="s">
        <v>2670</v>
      </c>
      <c r="AC438" s="231">
        <v>1.0994578610152781</v>
      </c>
      <c r="AD438">
        <f>IF('WetLitterbags placem_collection'!AB219="","",'WetLitterbags placem_collection'!AB219)</f>
        <v>13.8</v>
      </c>
      <c r="AE438">
        <f>IF('WetLitterbags placem_collection'!Z219="","",'WetLitterbags placem_collection'!Z219)</f>
        <v>17.399999999999999</v>
      </c>
      <c r="AF438" s="246" t="str">
        <f>IF('WetLitterbags placem_collection'!AA219="","",'WetLitterbags placem_collection'!AA219)</f>
        <v>O</v>
      </c>
      <c r="AG438">
        <f>IF('WetLitterbags placem_collection'!AC219="","",'WetLitterbags placem_collection'!AC219)</f>
        <v>1</v>
      </c>
      <c r="AH438" s="24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placem_collection'!W219)),"YES","NO")</f>
        <v>NO</v>
      </c>
      <c r="AM438" t="str">
        <f>IF(ISNUMBER(SEARCH("H", 'WetLitterbags placem_collection'!W219)),"YES","NO")</f>
        <v>NO</v>
      </c>
      <c r="AN438" t="str">
        <f>IF(ISNUMBER(SEARCH("R", 'WetLitterbags placem_collection'!W219)),"YES","NO")</f>
        <v>YES</v>
      </c>
    </row>
    <row r="439" spans="1:40" ht="15" customHeight="1">
      <c r="A439" s="258" t="s">
        <v>2460</v>
      </c>
      <c r="B439" s="263">
        <f>'Dry_Litterbag Placem_Collection'!A220</f>
        <v>218</v>
      </c>
      <c r="C439" s="263" t="str">
        <f>'Dry_Litterbag Placem_Collection'!B220</f>
        <v>Seronera</v>
      </c>
      <c r="D439" s="263" t="s">
        <v>2659</v>
      </c>
      <c r="E439" s="263" t="s">
        <v>2526</v>
      </c>
      <c r="F439" s="263">
        <v>2</v>
      </c>
      <c r="G439" s="264" t="str">
        <f>'Dry_Litterbag Placem_Collection'!C220</f>
        <v>Local2_CG2</v>
      </c>
      <c r="H439" s="265" t="s">
        <v>2541</v>
      </c>
      <c r="I439" s="272" t="s">
        <v>298</v>
      </c>
      <c r="J439" s="223" t="str">
        <f>'WetLitterbags placem_collection'!M220</f>
        <v>R442</v>
      </c>
      <c r="K439" s="225">
        <f>IFERROR(INDEX('Green_rooibos initial weight'!$C$5:$C$1749,MATCH(J439, 'Green_rooibos initial weight'!$A$5:$A$1749,0)),"")</f>
        <v>2.2290000000000001</v>
      </c>
      <c r="L439" s="225">
        <f>IFERROR(K439-(TBIcalc!$H$9+TBIcalc!$H$10),"")</f>
        <v>1.9792000000000001</v>
      </c>
      <c r="M439" s="391">
        <f>AVERAGE(Ashed_controlls!$K$12:$K$14)</f>
        <v>2.2816647271287041</v>
      </c>
      <c r="N439" s="225">
        <f t="shared" si="32"/>
        <v>1.9340412917206689</v>
      </c>
      <c r="O439" s="225">
        <f>IF(IFERROR(INDEX('Both teabags AfterWet'!$C$3:$C$841,MATCH(J439,'Both teabags AfterWet'!$A$3:$A$841,0)),"")="","",(IFERROR(INDEX('Both teabags AfterWet'!$C$3:$C$841,MATCH(J439,'Both teabags AfterWet'!$A$3:$A$841,0)),"")))</f>
        <v>1.3831</v>
      </c>
      <c r="P439" s="225">
        <f>IFERROR(IF(O439&gt;0,O439-(TBIcalc!$H$9),""),"")</f>
        <v>1.2324999999999999</v>
      </c>
      <c r="Q439" s="225">
        <f>IFERROR(INDEX('Ashed teabags wet'!$K$2:$K$821,MATCH(J439,'Ashed teabags wet'!$A$2:$A$821,0)),"")</f>
        <v>6.7454455933042237</v>
      </c>
      <c r="R439" s="225">
        <f t="shared" si="36"/>
        <v>1.1493623830625255</v>
      </c>
      <c r="S439" s="226">
        <f>'WetLitterbags placem_collection'!E220</f>
        <v>42769</v>
      </c>
      <c r="T439" s="226">
        <f>IF('WetLitterbags placem_collection'!G220="","",'WetLitterbags placem_collection'!G220)</f>
        <v>42814</v>
      </c>
      <c r="U439" s="227">
        <f t="shared" si="33"/>
        <v>45</v>
      </c>
      <c r="V439" s="225">
        <f t="shared" si="34"/>
        <v>0.74670000000000014</v>
      </c>
      <c r="W439" s="225">
        <f t="shared" si="35"/>
        <v>0.78467890865814338</v>
      </c>
      <c r="X439">
        <f>IFERROR(INDEX(Rainfall_Wet!$O$2:$O$217,MATCH(B439, Rainfall_Wet!$A$2:$A$217,0)),"")</f>
        <v>175.377105089</v>
      </c>
      <c r="Y439" s="231">
        <v>21.072635135135137</v>
      </c>
      <c r="Z439" s="231">
        <v>7.3057432432432412</v>
      </c>
      <c r="AA439" s="231">
        <v>71.621621621621614</v>
      </c>
      <c r="AB439" s="231" t="s">
        <v>2670</v>
      </c>
      <c r="AC439" s="231">
        <v>1.4512074913750617</v>
      </c>
      <c r="AD439">
        <f>IF('WetLitterbags placem_collection'!AB220="","",'WetLitterbags placem_collection'!AB220)</f>
        <v>5.13</v>
      </c>
      <c r="AE439">
        <f>IF('WetLitterbags placem_collection'!Z220="","",'WetLitterbags placem_collection'!Z220)</f>
        <v>5.13</v>
      </c>
      <c r="AF439" s="246" t="str">
        <f>IF('WetLitterbags placem_collection'!AA220="","",'WetLitterbags placem_collection'!AA220)</f>
        <v>O</v>
      </c>
      <c r="AG439">
        <f>IF('WetLitterbags placem_collection'!AC220="","",'WetLitterbags placem_collection'!AC220)</f>
        <v>1</v>
      </c>
      <c r="AH439" s="24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placem_collection'!W220)),"YES","NO")</f>
        <v>NO</v>
      </c>
      <c r="AM439" t="str">
        <f>IF(ISNUMBER(SEARCH("H", 'WetLitterbags placem_collection'!W220)),"YES","NO")</f>
        <v>NO</v>
      </c>
      <c r="AN439" t="str">
        <f>IF(ISNUMBER(SEARCH("R", 'WetLitterbags placem_collection'!W220)),"YES","NO")</f>
        <v>YES</v>
      </c>
    </row>
    <row r="440" spans="1:40" ht="15" customHeight="1">
      <c r="A440" s="258" t="s">
        <v>2460</v>
      </c>
      <c r="B440" s="263">
        <f>'Dry_Litterbag Placem_Collection'!A221</f>
        <v>219</v>
      </c>
      <c r="C440" s="263" t="str">
        <f>'Dry_Litterbag Placem_Collection'!B221</f>
        <v>Seronera</v>
      </c>
      <c r="D440" s="263" t="s">
        <v>2659</v>
      </c>
      <c r="E440" s="263" t="s">
        <v>2526</v>
      </c>
      <c r="F440" s="263">
        <v>3</v>
      </c>
      <c r="G440" s="264" t="str">
        <f>'Dry_Litterbag Placem_Collection'!C221</f>
        <v>Local3_CG3</v>
      </c>
      <c r="H440" s="265" t="s">
        <v>2541</v>
      </c>
      <c r="I440" s="272" t="s">
        <v>298</v>
      </c>
      <c r="J440" s="223" t="str">
        <f>'WetLitterbags placem_collection'!M221</f>
        <v>R176</v>
      </c>
      <c r="K440" s="225">
        <f>IFERROR(INDEX('Green_rooibos initial weight'!$C$5:$C$1749,MATCH(J440, 'Green_rooibos initial weight'!$A$5:$A$1749,0)),"")</f>
        <v>2.2160000000000002</v>
      </c>
      <c r="L440" s="225">
        <f>IFERROR(K440-(TBIcalc!$H$9+TBIcalc!$H$10),"")</f>
        <v>1.9662000000000002</v>
      </c>
      <c r="M440" s="391">
        <f>AVERAGE(Ashed_controlls!$K$12:$K$14)</f>
        <v>2.2816647271287041</v>
      </c>
      <c r="N440" s="225">
        <f t="shared" si="32"/>
        <v>1.9213379081351956</v>
      </c>
      <c r="O440" s="225">
        <f>IF(IFERROR(INDEX('Both teabags AfterWet'!$C$3:$C$841,MATCH(J440,'Both teabags AfterWet'!$A$3:$A$841,0)),"")="","",(IFERROR(INDEX('Both teabags AfterWet'!$C$3:$C$841,MATCH(J440,'Both teabags AfterWet'!$A$3:$A$841,0)),"")))</f>
        <v>1.4293</v>
      </c>
      <c r="P440" s="225">
        <f>IFERROR(IF(O440&gt;0,O440-(TBIcalc!$H$9),""),"")</f>
        <v>1.2786999999999999</v>
      </c>
      <c r="Q440" s="225">
        <f>IFERROR(INDEX('Ashed teabags wet'!$K$2:$K$821,MATCH(J440,'Ashed teabags wet'!$A$2:$A$821,0)),"")</f>
        <v>6.3788027477918092</v>
      </c>
      <c r="R440" s="225">
        <f t="shared" si="36"/>
        <v>1.197134249263986</v>
      </c>
      <c r="S440" s="226">
        <f>'WetLitterbags placem_collection'!E221</f>
        <v>42769</v>
      </c>
      <c r="T440" s="226">
        <f>IF('WetLitterbags placem_collection'!G221="","",'WetLitterbags placem_collection'!G221)</f>
        <v>42813</v>
      </c>
      <c r="U440" s="227">
        <f t="shared" si="33"/>
        <v>44</v>
      </c>
      <c r="V440" s="225">
        <f t="shared" si="34"/>
        <v>0.68750000000000022</v>
      </c>
      <c r="W440" s="225">
        <f t="shared" si="35"/>
        <v>0.72420365887120952</v>
      </c>
      <c r="X440">
        <f>IFERROR(INDEX(Rainfall_Wet!$O$2:$O$217,MATCH(B440, Rainfall_Wet!$A$2:$A$217,0)),"")</f>
        <v>175.054685654</v>
      </c>
      <c r="Y440" s="231">
        <v>21.96</v>
      </c>
      <c r="Z440" s="231">
        <v>4.9199999999999982</v>
      </c>
      <c r="AA440" s="231">
        <v>73.12</v>
      </c>
      <c r="AB440" s="231" t="s">
        <v>2670</v>
      </c>
      <c r="AC440" s="231">
        <v>1.4012321340561851</v>
      </c>
      <c r="AD440">
        <f>IF('WetLitterbags placem_collection'!AB221="","",'WetLitterbags placem_collection'!AB221)</f>
        <v>7.9</v>
      </c>
      <c r="AE440">
        <f>IF('WetLitterbags placem_collection'!Z221="","",'WetLitterbags placem_collection'!Z221)</f>
        <v>7.9</v>
      </c>
      <c r="AF440" s="246" t="str">
        <f>IF('WetLitterbags placem_collection'!AA221="","",'WetLitterbags placem_collection'!AA221)</f>
        <v>O</v>
      </c>
      <c r="AG440">
        <f>IF('WetLitterbags placem_collection'!AC221="","",'WetLitterbags placem_collection'!AC221)</f>
        <v>1</v>
      </c>
      <c r="AH440" s="24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placem_collection'!W221)),"YES","NO")</f>
        <v>NO</v>
      </c>
      <c r="AM440" t="str">
        <f>IF(ISNUMBER(SEARCH("H", 'WetLitterbags placem_collection'!W221)),"YES","NO")</f>
        <v>NO</v>
      </c>
      <c r="AN440" t="str">
        <f>IF(ISNUMBER(SEARCH("R", 'WetLitterbags placem_collection'!W221)),"YES","NO")</f>
        <v>YES</v>
      </c>
    </row>
    <row r="441" spans="1:40" ht="15" customHeight="1">
      <c r="A441" s="258" t="s">
        <v>2460</v>
      </c>
      <c r="B441" s="263">
        <f>'Dry_Litterbag Placem_Collection'!A222</f>
        <v>220</v>
      </c>
      <c r="C441" s="263" t="str">
        <f>'Dry_Litterbag Placem_Collection'!B222</f>
        <v>Seronera</v>
      </c>
      <c r="D441" s="263" t="s">
        <v>2659</v>
      </c>
      <c r="E441" s="263" t="s">
        <v>2526</v>
      </c>
      <c r="F441" s="263">
        <v>4</v>
      </c>
      <c r="G441" s="264" t="str">
        <f>'Dry_Litterbag Placem_Collection'!C222</f>
        <v>Local4_CG4</v>
      </c>
      <c r="H441" s="265" t="s">
        <v>2541</v>
      </c>
      <c r="I441" s="272" t="s">
        <v>298</v>
      </c>
      <c r="J441" s="223" t="str">
        <f>'WetLitterbags placem_collection'!M222</f>
        <v>R250</v>
      </c>
      <c r="K441" s="225">
        <f>IFERROR(INDEX('Green_rooibos initial weight'!$C$5:$C$1749,MATCH(J441, 'Green_rooibos initial weight'!$A$5:$A$1749,0)),"")</f>
        <v>2.2639999999999998</v>
      </c>
      <c r="L441" s="225">
        <f>IFERROR(K441-(TBIcalc!$H$9+TBIcalc!$H$10),"")</f>
        <v>2.0141999999999998</v>
      </c>
      <c r="M441" s="391">
        <f>AVERAGE(Ashed_controlls!$K$12:$K$14)</f>
        <v>2.2816647271287041</v>
      </c>
      <c r="N441" s="225">
        <f t="shared" si="32"/>
        <v>1.9682427090661734</v>
      </c>
      <c r="O441" s="225">
        <f>IF(IFERROR(INDEX('Both teabags AfterWet'!$C$3:$C$841,MATCH(J441,'Both teabags AfterWet'!$A$3:$A$841,0)),"")="","",(IFERROR(INDEX('Both teabags AfterWet'!$C$3:$C$841,MATCH(J441,'Both teabags AfterWet'!$A$3:$A$841,0)),"")))</f>
        <v>1.5303</v>
      </c>
      <c r="P441" s="225">
        <f>IFERROR(IF(O441&gt;0,O441-(TBIcalc!$H$9),""),"")</f>
        <v>1.3796999999999999</v>
      </c>
      <c r="Q441" s="225">
        <f>IFERROR(INDEX('Ashed teabags wet'!$K$2:$K$821,MATCH(J441,'Ashed teabags wet'!$A$2:$A$821,0)),"")</f>
        <v>5.6310679611650896</v>
      </c>
      <c r="R441" s="225">
        <f t="shared" si="36"/>
        <v>1.3020081553398053</v>
      </c>
      <c r="S441" s="226">
        <f>'WetLitterbags placem_collection'!E222</f>
        <v>42769</v>
      </c>
      <c r="T441" s="226">
        <f>IF('WetLitterbags placem_collection'!G222="","",'WetLitterbags placem_collection'!G222)</f>
        <v>42813</v>
      </c>
      <c r="U441" s="227">
        <f t="shared" si="33"/>
        <v>44</v>
      </c>
      <c r="V441" s="225">
        <f t="shared" si="34"/>
        <v>0.63449999999999984</v>
      </c>
      <c r="W441" s="225">
        <f t="shared" si="35"/>
        <v>0.66623455372636808</v>
      </c>
      <c r="X441">
        <f>IFERROR(INDEX(Rainfall_Wet!$O$2:$O$217,MATCH(B441, Rainfall_Wet!$A$2:$A$217,0)),"")</f>
        <v>175.054685654</v>
      </c>
      <c r="Y441" s="231">
        <v>15.960000000000003</v>
      </c>
      <c r="Z441" s="231">
        <v>6.9199999999999982</v>
      </c>
      <c r="AA441" s="231">
        <v>77.11999999999999</v>
      </c>
      <c r="AB441" s="231" t="s">
        <v>2671</v>
      </c>
      <c r="AC441" s="231">
        <v>0.60547067520946207</v>
      </c>
      <c r="AD441">
        <f>IF('WetLitterbags placem_collection'!AB222="","",'WetLitterbags placem_collection'!AB222)</f>
        <v>15.2</v>
      </c>
      <c r="AE441">
        <f>IF('WetLitterbags placem_collection'!Z222="","",'WetLitterbags placem_collection'!Z222)</f>
        <v>12.2</v>
      </c>
      <c r="AF441" s="246" t="str">
        <f>IF('WetLitterbags placem_collection'!AA222="","",'WetLitterbags placem_collection'!AA222)</f>
        <v>O</v>
      </c>
      <c r="AG441">
        <f>IF('WetLitterbags placem_collection'!AC222="","",'WetLitterbags placem_collection'!AC222)</f>
        <v>1</v>
      </c>
      <c r="AH441" s="24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placem_collection'!W222)),"YES","NO")</f>
        <v>NO</v>
      </c>
      <c r="AM441" t="str">
        <f>IF(ISNUMBER(SEARCH("H", 'WetLitterbags placem_collection'!W222)),"YES","NO")</f>
        <v>YES</v>
      </c>
      <c r="AN441" t="str">
        <f>IF(ISNUMBER(SEARCH("R", 'WetLitterbags placem_collection'!W222)),"YES","NO")</f>
        <v>NO</v>
      </c>
    </row>
    <row r="442" spans="1:40" ht="15" customHeight="1">
      <c r="A442" s="258" t="s">
        <v>2460</v>
      </c>
      <c r="B442" s="263">
        <f>'Dry_Litterbag Placem_Collection'!A3</f>
        <v>1</v>
      </c>
      <c r="C442" s="263" t="str">
        <f>'Dry_Litterbag Placem_Collection'!B3</f>
        <v>Makao</v>
      </c>
      <c r="D442" s="263" t="s">
        <v>2659</v>
      </c>
      <c r="E442" s="263" t="s">
        <v>2660</v>
      </c>
      <c r="F442" s="263">
        <v>1</v>
      </c>
      <c r="G442" s="264" t="str">
        <f>'Dry_Litterbag Placem_Collection'!C3</f>
        <v>Dry_Ag1_T1</v>
      </c>
      <c r="H442" s="273" t="s">
        <v>3651</v>
      </c>
      <c r="I442" s="266" t="s">
        <v>1147</v>
      </c>
      <c r="J442" s="223" t="str">
        <f>'WetLitterbags placem_collection'!O3</f>
        <v>G752</v>
      </c>
      <c r="K442" s="225">
        <f>IFERROR(INDEX('Green_rooibos initial weight'!$C$5:$C$1749,MATCH(J442, 'Green_rooibos initial weight'!$A$5:$A$1749,0)),"")</f>
        <v>2.15</v>
      </c>
      <c r="L442" s="225">
        <f>IFERROR(K442-(TBIcalc!$H$9+TBIcalc!$H$10),"")</f>
        <v>1.9001999999999999</v>
      </c>
      <c r="M442" s="391">
        <f>AVERAGE(Ashed_controlls!$K$2:$K$11)</f>
        <v>5.5147656768714146</v>
      </c>
      <c r="N442" s="225">
        <f t="shared" si="32"/>
        <v>1.7954084226080893</v>
      </c>
      <c r="O442" s="225">
        <f>IF(IFERROR(INDEX('Both teabags AfterWet'!$C$3:$C$841,MATCH(J442,'Both teabags AfterWet'!$A$3:$A$841,0)),"")="","",(IFERROR(INDEX('Both teabags AfterWet'!$C$3:$C$841,MATCH(J442,'Both teabags AfterWet'!$A$3:$A$841,0)),"")))</f>
        <v>0.47</v>
      </c>
      <c r="P442" s="225">
        <f>IFERROR(IF(O442&gt;0,O442-(TBIcalc!$H$9),""),"")</f>
        <v>0.31939999999999996</v>
      </c>
      <c r="Q442" s="225">
        <f>IFERROR(INDEX('Ashed teabags wet'!$K$2:$K$821,MATCH(J442,'Ashed teabags wet'!$A$2:$A$821,0)),"")</f>
        <v>15.221674876847116</v>
      </c>
      <c r="R442" s="225">
        <f t="shared" si="36"/>
        <v>0.27078197044335028</v>
      </c>
      <c r="S442" s="226">
        <f>'WetLitterbags placem_collection'!E3</f>
        <v>42766</v>
      </c>
      <c r="T442" s="226">
        <f>IF('WetLitterbags placem_collection'!G3="","",'WetLitterbags placem_collection'!G3)</f>
        <v>42818</v>
      </c>
      <c r="U442" s="227">
        <f>IFERROR(T442-S442,"")</f>
        <v>52</v>
      </c>
      <c r="V442" s="225">
        <f t="shared" si="34"/>
        <v>1.5808</v>
      </c>
      <c r="W442" s="225">
        <f t="shared" si="35"/>
        <v>1.524626452164739</v>
      </c>
      <c r="X442">
        <f>IFERROR(INDEX(Rainfall_Wet!$O$2:$O$217,MATCH(B442, Rainfall_Wet!$A$2:$A$217,0)),"")</f>
        <v>194.43839254400001</v>
      </c>
      <c r="Y442" s="231">
        <v>12.565665055683967</v>
      </c>
      <c r="Z442" s="231">
        <v>0.9665896196679955</v>
      </c>
      <c r="AA442" s="231">
        <v>86.467745324648035</v>
      </c>
      <c r="AB442" s="232" t="s">
        <v>2672</v>
      </c>
      <c r="AC442" s="231">
        <v>1.0225726959093147</v>
      </c>
      <c r="AD442">
        <f>IF('WetLitterbags placem_collection'!AB3="","",'WetLitterbags placem_collection'!AB3)</f>
        <v>26.4</v>
      </c>
      <c r="AE442">
        <f>IF('WetLitterbags placem_collection'!Z3="","",'WetLitterbags placem_collection'!Z3)</f>
        <v>41</v>
      </c>
      <c r="AF442" s="246" t="str">
        <f>IF('WetLitterbags placem_collection'!AA3="","",'WetLitterbags placem_collection'!AA3)</f>
        <v>M</v>
      </c>
      <c r="AG442">
        <f>IF('WetLitterbags placem_collection'!AC3="","",'WetLitterbags placem_collection'!AC3)</f>
        <v>1</v>
      </c>
      <c r="AH442" s="24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placem_collection'!X3)),"YES","NO")</f>
        <v>NO</v>
      </c>
      <c r="AM442" t="str">
        <f>IF(ISNUMBER(SEARCH("H", 'WetLitterbags placem_collection'!X3)),"YES","NO")</f>
        <v>NO</v>
      </c>
      <c r="AN442" t="str">
        <f>IF(ISNUMBER(SEARCH("R", 'WetLitterbags placem_collection'!X3)),"YES","NO")</f>
        <v>NO</v>
      </c>
    </row>
    <row r="443" spans="1:40" ht="15" customHeight="1">
      <c r="A443" s="258" t="s">
        <v>2460</v>
      </c>
      <c r="B443" s="263">
        <f>'Dry_Litterbag Placem_Collection'!A4</f>
        <v>2</v>
      </c>
      <c r="C443" s="263" t="str">
        <f>'Dry_Litterbag Placem_Collection'!B4</f>
        <v>Makao</v>
      </c>
      <c r="D443" s="263" t="s">
        <v>2659</v>
      </c>
      <c r="E443" s="263" t="s">
        <v>2660</v>
      </c>
      <c r="F443" s="263">
        <v>1</v>
      </c>
      <c r="G443" s="264" t="str">
        <f>'Dry_Litterbag Placem_Collection'!C4</f>
        <v>Dry_Ag1_T2</v>
      </c>
      <c r="H443" s="273" t="s">
        <v>3651</v>
      </c>
      <c r="I443" s="266" t="s">
        <v>1147</v>
      </c>
      <c r="J443" s="223" t="str">
        <f>'WetLitterbags placem_collection'!O4</f>
        <v>G737</v>
      </c>
      <c r="K443" s="225">
        <f>IFERROR(INDEX('Green_rooibos initial weight'!$C$5:$C$1749,MATCH(J443, 'Green_rooibos initial weight'!$A$5:$A$1749,0)),"")</f>
        <v>1.841</v>
      </c>
      <c r="L443" s="225">
        <f>IFERROR(K443-(TBIcalc!$H$9+TBIcalc!$H$10),"")</f>
        <v>1.5911999999999999</v>
      </c>
      <c r="M443" s="391">
        <f>AVERAGE(Ashed_controlls!$K$2:$K$11)</f>
        <v>5.5147656768714146</v>
      </c>
      <c r="N443" s="225">
        <f t="shared" si="32"/>
        <v>1.5034490485496219</v>
      </c>
      <c r="O443" s="225">
        <f>IF(IFERROR(INDEX('Both teabags AfterWet'!$C$3:$C$841,MATCH(J443,'Both teabags AfterWet'!$A$3:$A$841,0)),"")="","",(IFERROR(INDEX('Both teabags AfterWet'!$C$3:$C$841,MATCH(J443,'Both teabags AfterWet'!$A$3:$A$841,0)),"")))</f>
        <v>0.57869999999999999</v>
      </c>
      <c r="P443" s="225">
        <f>IFERROR(IF(O443&gt;0,O443-(TBIcalc!$H$9),""),"")</f>
        <v>0.42809999999999998</v>
      </c>
      <c r="Q443" s="225">
        <f>IFERROR(INDEX('Ashed teabags wet'!$K$2:$K$821,MATCH(J443,'Ashed teabags wet'!$A$2:$A$821,0)),"")</f>
        <v>8.1337325349297291</v>
      </c>
      <c r="R443" s="225">
        <f t="shared" si="36"/>
        <v>0.39327949101796583</v>
      </c>
      <c r="S443" s="226">
        <f>'WetLitterbags placem_collection'!E4</f>
        <v>42766</v>
      </c>
      <c r="T443" s="226">
        <f>IF('WetLitterbags placem_collection'!G4="","",'WetLitterbags placem_collection'!G4)</f>
        <v>42818</v>
      </c>
      <c r="U443" s="227">
        <f t="shared" ref="U443:U449" si="37">IFERROR(T443-S443,"")</f>
        <v>52</v>
      </c>
      <c r="V443" s="225">
        <f t="shared" si="34"/>
        <v>1.1631</v>
      </c>
      <c r="W443" s="225">
        <f t="shared" si="35"/>
        <v>1.1101695575316561</v>
      </c>
      <c r="X443">
        <f>IFERROR(INDEX(Rainfall_Wet!$O$2:$O$217,MATCH(B443, Rainfall_Wet!$A$2:$A$217,0)),"")</f>
        <v>194.43839254400001</v>
      </c>
      <c r="Y443" s="231">
        <v>12.565665055683967</v>
      </c>
      <c r="Z443" s="231">
        <v>0.9665896196679955</v>
      </c>
      <c r="AA443" s="231">
        <v>86.467745324648035</v>
      </c>
      <c r="AB443" s="232" t="s">
        <v>2672</v>
      </c>
      <c r="AC443" s="231">
        <v>2.02257269590931</v>
      </c>
      <c r="AD443">
        <f>IF('WetLitterbags placem_collection'!AB4="","",'WetLitterbags placem_collection'!AB4)</f>
        <v>22.4</v>
      </c>
      <c r="AE443">
        <f>IF('WetLitterbags placem_collection'!Z4="","",'WetLitterbags placem_collection'!Z4)</f>
        <v>39.799999999999997</v>
      </c>
      <c r="AF443" s="246" t="str">
        <f>IF('WetLitterbags placem_collection'!AA4="","",'WetLitterbags placem_collection'!AA4)</f>
        <v>M</v>
      </c>
      <c r="AG443">
        <f>IF('WetLitterbags placem_collection'!AC4="","",'WetLitterbags placem_collection'!AC4)</f>
        <v>1</v>
      </c>
      <c r="AH443" s="24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placem_collection'!X4)),"YES","NO")</f>
        <v>NO</v>
      </c>
      <c r="AM443" t="str">
        <f>IF(ISNUMBER(SEARCH("H", 'WetLitterbags placem_collection'!X4)),"YES","NO")</f>
        <v>NO</v>
      </c>
      <c r="AN443" t="str">
        <f>IF(ISNUMBER(SEARCH("R", 'WetLitterbags placem_collection'!X4)),"YES","NO")</f>
        <v>NO</v>
      </c>
    </row>
    <row r="444" spans="1:40" ht="15" customHeight="1">
      <c r="A444" s="258" t="s">
        <v>2460</v>
      </c>
      <c r="B444" s="263">
        <f>'Dry_Litterbag Placem_Collection'!A5</f>
        <v>3</v>
      </c>
      <c r="C444" s="263" t="str">
        <f>'Dry_Litterbag Placem_Collection'!B5</f>
        <v>Makao</v>
      </c>
      <c r="D444" s="263" t="s">
        <v>2659</v>
      </c>
      <c r="E444" s="263" t="s">
        <v>2660</v>
      </c>
      <c r="F444" s="263">
        <v>1</v>
      </c>
      <c r="G444" s="264" t="str">
        <f>'Dry_Litterbag Placem_Collection'!C5</f>
        <v>Dry_Ag1_T3</v>
      </c>
      <c r="H444" s="273" t="s">
        <v>3651</v>
      </c>
      <c r="I444" s="266" t="s">
        <v>1147</v>
      </c>
      <c r="J444" s="223" t="str">
        <f>'WetLitterbags placem_collection'!O5</f>
        <v>G661</v>
      </c>
      <c r="K444" s="225">
        <f>IFERROR(INDEX('Green_rooibos initial weight'!$C$5:$C$1749,MATCH(J444, 'Green_rooibos initial weight'!$A$5:$A$1749,0)),"")</f>
        <v>2.0630000000000002</v>
      </c>
      <c r="L444" s="225">
        <f>IFERROR(K444-(TBIcalc!$H$9+TBIcalc!$H$10),"")</f>
        <v>1.8132000000000001</v>
      </c>
      <c r="M444" s="391">
        <f>AVERAGE(Ashed_controlls!$K$2:$K$11)</f>
        <v>5.5147656768714146</v>
      </c>
      <c r="N444" s="225">
        <f t="shared" si="32"/>
        <v>1.7132062687469676</v>
      </c>
      <c r="O444" s="225" t="str">
        <f>IF(IFERROR(INDEX('Both teabags AfterWet'!$C$3:$C$841,MATCH(J444,'Both teabags AfterWet'!$A$3:$A$841,0)),"")="","",(IFERROR(INDEX('Both teabags AfterWet'!$C$3:$C$841,MATCH(J444,'Both teabags AfterWet'!$A$3:$A$841,0)),"")))</f>
        <v/>
      </c>
      <c r="P444" s="225" t="str">
        <f>IFERROR(IF(O444&gt;0,O444-(TBIcalc!$H$9),""),"")</f>
        <v/>
      </c>
      <c r="Q444" s="225" t="str">
        <f>IFERROR(INDEX('Ashed teabags wet'!$K$2:$K$821,MATCH(J444,'Ashed teabags wet'!$A$2:$A$821,0)),"")</f>
        <v/>
      </c>
      <c r="R444" s="225" t="str">
        <f t="shared" si="36"/>
        <v/>
      </c>
      <c r="S444" s="226">
        <f>'WetLitterbags placem_collection'!E5</f>
        <v>42766</v>
      </c>
      <c r="T444" s="226" t="str">
        <f>IF('WetLitterbags placem_collection'!G5="","",'WetLitterbags placem_collection'!G5)</f>
        <v/>
      </c>
      <c r="U444" s="227" t="str">
        <f t="shared" si="37"/>
        <v/>
      </c>
      <c r="V444" s="225" t="str">
        <f t="shared" si="34"/>
        <v/>
      </c>
      <c r="W444" s="225" t="str">
        <f t="shared" si="35"/>
        <v/>
      </c>
      <c r="X444" t="str">
        <f>IFERROR(INDEX(Rainfall_Wet!$O$2:$O$217,MATCH(B444, Rainfall_Wet!$A$2:$A$217,0)),"")</f>
        <v/>
      </c>
      <c r="Y444" s="231">
        <v>12.565665055683967</v>
      </c>
      <c r="Z444" s="231">
        <v>0.9665896196679955</v>
      </c>
      <c r="AA444" s="231">
        <v>86.467745324648035</v>
      </c>
      <c r="AB444" s="232" t="s">
        <v>2672</v>
      </c>
      <c r="AC444" s="231">
        <v>3.02257269590931</v>
      </c>
      <c r="AD444" t="str">
        <f>IF('WetLitterbags placem_collection'!AB5="","",'WetLitterbags placem_collection'!AB5)</f>
        <v/>
      </c>
      <c r="AE444" t="str">
        <f>IF('WetLitterbags placem_collection'!Z5="","",'WetLitterbags placem_collection'!Z5)</f>
        <v/>
      </c>
      <c r="AF444" s="246" t="str">
        <f>IF('WetLitterbags placem_collection'!AA5="","",'WetLitterbags placem_collection'!AA5)</f>
        <v/>
      </c>
      <c r="AG444" t="str">
        <f>IF('WetLitterbags placem_collection'!AC5="","",'WetLitterbags placem_collection'!AC5)</f>
        <v/>
      </c>
      <c r="AH444" s="24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placem_collection'!X5)),"YES","NO")</f>
        <v>NO</v>
      </c>
      <c r="AM444" t="str">
        <f>IF(ISNUMBER(SEARCH("H", 'WetLitterbags placem_collection'!X5)),"YES","NO")</f>
        <v>NO</v>
      </c>
      <c r="AN444" t="str">
        <f>IF(ISNUMBER(SEARCH("R", 'WetLitterbags placem_collection'!X5)),"YES","NO")</f>
        <v>NO</v>
      </c>
    </row>
    <row r="445" spans="1:40" ht="15" customHeight="1">
      <c r="A445" s="258" t="s">
        <v>2460</v>
      </c>
      <c r="B445" s="263">
        <f>'Dry_Litterbag Placem_Collection'!A6</f>
        <v>4</v>
      </c>
      <c r="C445" s="263" t="str">
        <f>'Dry_Litterbag Placem_Collection'!B6</f>
        <v>Makao</v>
      </c>
      <c r="D445" s="263" t="s">
        <v>2659</v>
      </c>
      <c r="E445" s="263" t="s">
        <v>2660</v>
      </c>
      <c r="F445" s="263">
        <v>1</v>
      </c>
      <c r="G445" s="264" t="str">
        <f>'Dry_Litterbag Placem_Collection'!C6</f>
        <v>Dry_Ag1_T4</v>
      </c>
      <c r="H445" s="273" t="s">
        <v>3651</v>
      </c>
      <c r="I445" s="266" t="s">
        <v>1147</v>
      </c>
      <c r="J445" s="223" t="str">
        <f>'WetLitterbags placem_collection'!O6</f>
        <v>G532</v>
      </c>
      <c r="K445" s="225">
        <f>IFERROR(INDEX('Green_rooibos initial weight'!$C$5:$C$1749,MATCH(J445, 'Green_rooibos initial weight'!$A$5:$A$1749,0)),"")</f>
        <v>2.036</v>
      </c>
      <c r="L445" s="225">
        <f>IFERROR(K445-(TBIcalc!$H$9+TBIcalc!$H$10),"")</f>
        <v>1.7862</v>
      </c>
      <c r="M445" s="391">
        <f>AVERAGE(Ashed_controlls!$K$2:$K$11)</f>
        <v>5.5147656768714146</v>
      </c>
      <c r="N445" s="225">
        <f t="shared" si="32"/>
        <v>1.6876952554797229</v>
      </c>
      <c r="O445" s="225">
        <f>IF(IFERROR(INDEX('Both teabags AfterWet'!$C$3:$C$841,MATCH(J445,'Both teabags AfterWet'!$A$3:$A$841,0)),"")="","",(IFERROR(INDEX('Both teabags AfterWet'!$C$3:$C$841,MATCH(J445,'Both teabags AfterWet'!$A$3:$A$841,0)),"")))</f>
        <v>0.55969999999999998</v>
      </c>
      <c r="P445" s="225">
        <f>IFERROR(IF(O445&gt;0,O445-(TBIcalc!$H$9),""),"")</f>
        <v>0.40909999999999996</v>
      </c>
      <c r="Q445" s="225">
        <f>IFERROR(INDEX('Ashed teabags wet'!$K$2:$K$821,MATCH(J445,'Ashed teabags wet'!$A$2:$A$821,0)),"")</f>
        <v>9.5283926852740137</v>
      </c>
      <c r="R445" s="225">
        <f t="shared" si="36"/>
        <v>0.37011934552454395</v>
      </c>
      <c r="S445" s="226">
        <f>'WetLitterbags placem_collection'!E6</f>
        <v>42766</v>
      </c>
      <c r="T445" s="226">
        <f>IF('WetLitterbags placem_collection'!G6="","",'WetLitterbags placem_collection'!G6)</f>
        <v>42818</v>
      </c>
      <c r="U445" s="227">
        <f t="shared" si="37"/>
        <v>52</v>
      </c>
      <c r="V445" s="225">
        <f t="shared" si="34"/>
        <v>1.3771</v>
      </c>
      <c r="W445" s="225">
        <f t="shared" si="35"/>
        <v>1.3175759099551789</v>
      </c>
      <c r="X445">
        <f>IFERROR(INDEX(Rainfall_Wet!$O$2:$O$217,MATCH(B445, Rainfall_Wet!$A$2:$A$217,0)),"")</f>
        <v>194.43839254400001</v>
      </c>
      <c r="Y445" s="231">
        <v>12.565665055683967</v>
      </c>
      <c r="Z445" s="231">
        <v>0.9665896196679955</v>
      </c>
      <c r="AA445" s="231">
        <v>86.467745324648035</v>
      </c>
      <c r="AB445" s="232" t="s">
        <v>2672</v>
      </c>
      <c r="AC445" s="231">
        <v>4.02257269590931</v>
      </c>
      <c r="AD445" t="str">
        <f>IF('WetLitterbags placem_collection'!AB6="","",'WetLitterbags placem_collection'!AB6)</f>
        <v/>
      </c>
      <c r="AE445" t="str">
        <f>IF('WetLitterbags placem_collection'!Z6="","",'WetLitterbags placem_collection'!Z6)</f>
        <v/>
      </c>
      <c r="AF445" s="246" t="str">
        <f>IF('WetLitterbags placem_collection'!AA6="","",'WetLitterbags placem_collection'!AA6)</f>
        <v/>
      </c>
      <c r="AG445" t="str">
        <f>IF('WetLitterbags placem_collection'!AC6="","",'WetLitterbags placem_collection'!AC6)</f>
        <v/>
      </c>
      <c r="AH445" s="24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placem_collection'!X6)),"YES","NO")</f>
        <v>NO</v>
      </c>
      <c r="AM445" t="str">
        <f>IF(ISNUMBER(SEARCH("H", 'WetLitterbags placem_collection'!X6)),"YES","NO")</f>
        <v>NO</v>
      </c>
      <c r="AN445" t="str">
        <f>IF(ISNUMBER(SEARCH("R", 'WetLitterbags placem_collection'!X6)),"YES","NO")</f>
        <v>NO</v>
      </c>
    </row>
    <row r="446" spans="1:40" ht="15" customHeight="1">
      <c r="A446" s="258" t="s">
        <v>2460</v>
      </c>
      <c r="B446" s="263">
        <f>'Dry_Litterbag Placem_Collection'!A7</f>
        <v>5</v>
      </c>
      <c r="C446" s="263" t="str">
        <f>'Dry_Litterbag Placem_Collection'!B7</f>
        <v>Makao</v>
      </c>
      <c r="D446" s="263" t="s">
        <v>2659</v>
      </c>
      <c r="E446" s="263" t="s">
        <v>2660</v>
      </c>
      <c r="F446" s="263">
        <v>1</v>
      </c>
      <c r="G446" s="264" t="str">
        <f>'Dry_Litterbag Placem_Collection'!C7</f>
        <v>Dry_Ag1_T5</v>
      </c>
      <c r="H446" s="273" t="s">
        <v>3651</v>
      </c>
      <c r="I446" s="266" t="s">
        <v>1147</v>
      </c>
      <c r="J446" s="223" t="str">
        <f>'WetLitterbags placem_collection'!O7</f>
        <v>G577</v>
      </c>
      <c r="K446" s="225">
        <f>IFERROR(INDEX('Green_rooibos initial weight'!$C$5:$C$1749,MATCH(J446, 'Green_rooibos initial weight'!$A$5:$A$1749,0)),"")</f>
        <v>1.9830000000000001</v>
      </c>
      <c r="L446" s="225">
        <f>IFERROR(K446-(TBIcalc!$H$9+TBIcalc!$H$10),"")</f>
        <v>1.7332000000000001</v>
      </c>
      <c r="M446" s="391">
        <f>AVERAGE(Ashed_controlls!$K$2:$K$11)</f>
        <v>5.5147656768714146</v>
      </c>
      <c r="N446" s="225">
        <f t="shared" si="32"/>
        <v>1.6376180812884646</v>
      </c>
      <c r="O446" s="225">
        <f>IF(IFERROR(INDEX('Both teabags AfterWet'!$C$3:$C$841,MATCH(J446,'Both teabags AfterWet'!$A$3:$A$841,0)),"")="","",(IFERROR(INDEX('Both teabags AfterWet'!$C$3:$C$841,MATCH(J446,'Both teabags AfterWet'!$A$3:$A$841,0)),"")))</f>
        <v>0.41870000000000002</v>
      </c>
      <c r="P446" s="225">
        <f>IFERROR(IF(O446&gt;0,O446-(TBIcalc!$H$9),""),"")</f>
        <v>0.2681</v>
      </c>
      <c r="Q446" s="225">
        <f>IFERROR(INDEX('Ashed teabags wet'!$K$2:$K$821,MATCH(J446,'Ashed teabags wet'!$A$2:$A$821,0)),"")</f>
        <v>14.349775784752945</v>
      </c>
      <c r="R446" s="225">
        <f t="shared" si="36"/>
        <v>0.22962825112107738</v>
      </c>
      <c r="S446" s="226">
        <f>'WetLitterbags placem_collection'!E7</f>
        <v>42766</v>
      </c>
      <c r="T446" s="226">
        <f>IF('WetLitterbags placem_collection'!G7="","",'WetLitterbags placem_collection'!G7)</f>
        <v>42818</v>
      </c>
      <c r="U446" s="227">
        <f t="shared" si="37"/>
        <v>52</v>
      </c>
      <c r="V446" s="225">
        <f t="shared" si="34"/>
        <v>1.4651000000000001</v>
      </c>
      <c r="W446" s="225">
        <f t="shared" si="35"/>
        <v>1.4079898301673872</v>
      </c>
      <c r="X446">
        <f>IFERROR(INDEX(Rainfall_Wet!$O$2:$O$217,MATCH(B446, Rainfall_Wet!$A$2:$A$217,0)),"")</f>
        <v>194.43839254400001</v>
      </c>
      <c r="Y446" s="231">
        <v>12.565665055683967</v>
      </c>
      <c r="Z446" s="231">
        <v>0.9665896196679955</v>
      </c>
      <c r="AA446" s="231">
        <v>86.467745324648035</v>
      </c>
      <c r="AB446" s="232" t="s">
        <v>2672</v>
      </c>
      <c r="AC446" s="231">
        <v>5.02257269590931</v>
      </c>
      <c r="AD446">
        <f>IF('WetLitterbags placem_collection'!AB7="","",'WetLitterbags placem_collection'!AB7)</f>
        <v>28.4</v>
      </c>
      <c r="AE446">
        <f>IF('WetLitterbags placem_collection'!Z7="","",'WetLitterbags placem_collection'!Z7)</f>
        <v>36.4</v>
      </c>
      <c r="AF446" s="246" t="str">
        <f>IF('WetLitterbags placem_collection'!AA7="","",'WetLitterbags placem_collection'!AA7)</f>
        <v>M</v>
      </c>
      <c r="AG446">
        <f>IF('WetLitterbags placem_collection'!AC7="","",'WetLitterbags placem_collection'!AC7)</f>
        <v>1</v>
      </c>
      <c r="AH446" s="24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placem_collection'!X7)),"YES","NO")</f>
        <v>NO</v>
      </c>
      <c r="AM446" t="str">
        <f>IF(ISNUMBER(SEARCH("H", 'WetLitterbags placem_collection'!X7)),"YES","NO")</f>
        <v>NO</v>
      </c>
      <c r="AN446" t="str">
        <f>IF(ISNUMBER(SEARCH("R", 'WetLitterbags placem_collection'!X7)),"YES","NO")</f>
        <v>NO</v>
      </c>
    </row>
    <row r="447" spans="1:40" ht="15" customHeight="1">
      <c r="A447" s="258" t="s">
        <v>2460</v>
      </c>
      <c r="B447" s="263">
        <f>'Dry_Litterbag Placem_Collection'!A8</f>
        <v>6</v>
      </c>
      <c r="C447" s="263" t="str">
        <f>'Dry_Litterbag Placem_Collection'!B8</f>
        <v>Makao</v>
      </c>
      <c r="D447" s="263" t="s">
        <v>2659</v>
      </c>
      <c r="E447" s="263" t="s">
        <v>2660</v>
      </c>
      <c r="F447" s="263">
        <v>1</v>
      </c>
      <c r="G447" s="264" t="str">
        <f>'Dry_Litterbag Placem_Collection'!C8</f>
        <v>Dry_Ag1_T6</v>
      </c>
      <c r="H447" s="273" t="s">
        <v>3651</v>
      </c>
      <c r="I447" s="266" t="s">
        <v>1147</v>
      </c>
      <c r="J447" s="223" t="str">
        <f>'WetLitterbags placem_collection'!O8</f>
        <v>G634</v>
      </c>
      <c r="K447" s="225">
        <f>IFERROR(INDEX('Green_rooibos initial weight'!$C$5:$C$1749,MATCH(J447, 'Green_rooibos initial weight'!$A$5:$A$1749,0)),"")</f>
        <v>2.02</v>
      </c>
      <c r="L447" s="225">
        <f>IFERROR(K447-(TBIcalc!$H$9+TBIcalc!$H$10),"")</f>
        <v>1.7702</v>
      </c>
      <c r="M447" s="391">
        <f>AVERAGE(Ashed_controlls!$K$2:$K$11)</f>
        <v>5.5147656768714146</v>
      </c>
      <c r="N447" s="225">
        <f t="shared" si="32"/>
        <v>1.6725776179880223</v>
      </c>
      <c r="O447" s="225">
        <f>IF(IFERROR(INDEX('Both teabags AfterWet'!$C$3:$C$841,MATCH(J447,'Both teabags AfterWet'!$A$3:$A$841,0)),"")="","",(IFERROR(INDEX('Both teabags AfterWet'!$C$3:$C$841,MATCH(J447,'Both teabags AfterWet'!$A$3:$A$841,0)),"")))</f>
        <v>0.60129999999999995</v>
      </c>
      <c r="P447" s="225">
        <f>IFERROR(IF(O447&gt;0,O447-(TBIcalc!$H$9),""),"")</f>
        <v>0.45069999999999993</v>
      </c>
      <c r="Q447" s="225">
        <f>IFERROR(INDEX('Ashed teabags wet'!$K$2:$K$821,MATCH(J447,'Ashed teabags wet'!$A$2:$A$821,0)),"")</f>
        <v>9.6630327056488774</v>
      </c>
      <c r="R447" s="225">
        <f t="shared" si="36"/>
        <v>0.40714871159564048</v>
      </c>
      <c r="S447" s="226">
        <f>'WetLitterbags placem_collection'!E8</f>
        <v>42766</v>
      </c>
      <c r="T447" s="226">
        <f>IF('WetLitterbags placem_collection'!G8="","",'WetLitterbags placem_collection'!G8)</f>
        <v>42818</v>
      </c>
      <c r="U447" s="227">
        <f t="shared" si="37"/>
        <v>52</v>
      </c>
      <c r="V447" s="225">
        <f t="shared" si="34"/>
        <v>1.3195000000000001</v>
      </c>
      <c r="W447" s="225">
        <f t="shared" si="35"/>
        <v>1.2654289063923818</v>
      </c>
      <c r="X447">
        <f>IFERROR(INDEX(Rainfall_Wet!$O$2:$O$217,MATCH(B447, Rainfall_Wet!$A$2:$A$217,0)),"")</f>
        <v>194.43839254400001</v>
      </c>
      <c r="Y447" s="231">
        <v>12.565665055683967</v>
      </c>
      <c r="Z447" s="231">
        <v>0.9665896196679955</v>
      </c>
      <c r="AA447" s="231">
        <v>86.467745324648035</v>
      </c>
      <c r="AB447" s="232" t="s">
        <v>2672</v>
      </c>
      <c r="AC447" s="231">
        <v>6.02257269590931</v>
      </c>
      <c r="AD447">
        <f>IF('WetLitterbags placem_collection'!AB8="","",'WetLitterbags placem_collection'!AB8)</f>
        <v>32.4</v>
      </c>
      <c r="AE447">
        <f>IF('WetLitterbags placem_collection'!Z8="","",'WetLitterbags placem_collection'!Z8)</f>
        <v>31</v>
      </c>
      <c r="AF447" s="246" t="str">
        <f>IF('WetLitterbags placem_collection'!AA8="","",'WetLitterbags placem_collection'!AA8)</f>
        <v>M</v>
      </c>
      <c r="AG447">
        <f>IF('WetLitterbags placem_collection'!AC8="","",'WetLitterbags placem_collection'!AC8)</f>
        <v>1</v>
      </c>
      <c r="AH447" s="24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placem_collection'!X8)),"YES","NO")</f>
        <v>NO</v>
      </c>
      <c r="AM447" t="str">
        <f>IF(ISNUMBER(SEARCH("H", 'WetLitterbags placem_collection'!X8)),"YES","NO")</f>
        <v>NO</v>
      </c>
      <c r="AN447" t="str">
        <f>IF(ISNUMBER(SEARCH("R", 'WetLitterbags placem_collection'!X8)),"YES","NO")</f>
        <v>YES</v>
      </c>
    </row>
    <row r="448" spans="1:40" ht="15" customHeight="1">
      <c r="A448" s="258" t="s">
        <v>2460</v>
      </c>
      <c r="B448" s="263">
        <f>'Dry_Litterbag Placem_Collection'!A9</f>
        <v>7</v>
      </c>
      <c r="C448" s="263" t="str">
        <f>'Dry_Litterbag Placem_Collection'!B9</f>
        <v>Makao</v>
      </c>
      <c r="D448" s="263" t="s">
        <v>2659</v>
      </c>
      <c r="E448" s="263" t="s">
        <v>2660</v>
      </c>
      <c r="F448" s="263">
        <v>1</v>
      </c>
      <c r="G448" s="264" t="str">
        <f>'Dry_Litterbag Placem_Collection'!C9</f>
        <v>Dry_Ag1_T7</v>
      </c>
      <c r="H448" s="273" t="s">
        <v>3651</v>
      </c>
      <c r="I448" s="266" t="s">
        <v>1147</v>
      </c>
      <c r="J448" s="223" t="str">
        <f>'WetLitterbags placem_collection'!O9</f>
        <v>G665</v>
      </c>
      <c r="K448" s="225">
        <f>IFERROR(INDEX('Green_rooibos initial weight'!$C$5:$C$1749,MATCH(J448, 'Green_rooibos initial weight'!$A$5:$A$1749,0)),"")</f>
        <v>2.09</v>
      </c>
      <c r="L448" s="225">
        <f>IFERROR(K448-(TBIcalc!$H$9+TBIcalc!$H$10),"")</f>
        <v>1.8401999999999998</v>
      </c>
      <c r="M448" s="391">
        <f>AVERAGE(Ashed_controlls!$K$2:$K$11)</f>
        <v>5.5147656768714146</v>
      </c>
      <c r="N448" s="225">
        <f t="shared" si="32"/>
        <v>1.7387172820142121</v>
      </c>
      <c r="O448" s="225">
        <f>IF(IFERROR(INDEX('Both teabags AfterWet'!$C$3:$C$841,MATCH(J448,'Both teabags AfterWet'!$A$3:$A$841,0)),"")="","",(IFERROR(INDEX('Both teabags AfterWet'!$C$3:$C$841,MATCH(J448,'Both teabags AfterWet'!$A$3:$A$841,0)),"")))</f>
        <v>0.56399999999999995</v>
      </c>
      <c r="P448" s="225">
        <f>IFERROR(IF(O448&gt;0,O448-(TBIcalc!$H$9),""),"")</f>
        <v>0.41339999999999993</v>
      </c>
      <c r="Q448" s="225">
        <f>IFERROR(INDEX('Ashed teabags wet'!$K$2:$K$821,MATCH(J448,'Ashed teabags wet'!$A$2:$A$821,0)),"")</f>
        <v>10.694923607688283</v>
      </c>
      <c r="R448" s="225">
        <f t="shared" si="36"/>
        <v>0.36918718580581655</v>
      </c>
      <c r="S448" s="226">
        <f>'WetLitterbags placem_collection'!E9</f>
        <v>42766</v>
      </c>
      <c r="T448" s="226">
        <f>IF('WetLitterbags placem_collection'!G9="","",'WetLitterbags placem_collection'!G9)</f>
        <v>42818</v>
      </c>
      <c r="U448" s="227">
        <f t="shared" si="37"/>
        <v>52</v>
      </c>
      <c r="V448" s="225">
        <f t="shared" si="34"/>
        <v>1.4267999999999998</v>
      </c>
      <c r="W448" s="225">
        <f t="shared" si="35"/>
        <v>1.3695300962083956</v>
      </c>
      <c r="X448">
        <f>IFERROR(INDEX(Rainfall_Wet!$O$2:$O$217,MATCH(B448, Rainfall_Wet!$A$2:$A$217,0)),"")</f>
        <v>194.43839254400001</v>
      </c>
      <c r="Y448" s="231">
        <v>12.565665055683967</v>
      </c>
      <c r="Z448" s="231">
        <v>0.9665896196679955</v>
      </c>
      <c r="AA448" s="231">
        <v>86.467745324648035</v>
      </c>
      <c r="AB448" s="232" t="s">
        <v>2672</v>
      </c>
      <c r="AC448" s="231">
        <v>7.02257269590931</v>
      </c>
      <c r="AD448">
        <f>IF('WetLitterbags placem_collection'!AB9="","",'WetLitterbags placem_collection'!AB9)</f>
        <v>36</v>
      </c>
      <c r="AE448">
        <f>IF('WetLitterbags placem_collection'!Z9="","",'WetLitterbags placem_collection'!Z9)</f>
        <v>43.4</v>
      </c>
      <c r="AF448" s="246" t="str">
        <f>IF('WetLitterbags placem_collection'!AA9="","",'WetLitterbags placem_collection'!AA9)</f>
        <v>M</v>
      </c>
      <c r="AG448">
        <f>IF('WetLitterbags placem_collection'!AC9="","",'WetLitterbags placem_collection'!AC9)</f>
        <v>1</v>
      </c>
      <c r="AH448" s="24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placem_collection'!X9)),"YES","NO")</f>
        <v>NO</v>
      </c>
      <c r="AM448" t="str">
        <f>IF(ISNUMBER(SEARCH("H", 'WetLitterbags placem_collection'!X9)),"YES","NO")</f>
        <v>NO</v>
      </c>
      <c r="AN448" t="str">
        <f>IF(ISNUMBER(SEARCH("R", 'WetLitterbags placem_collection'!X9)),"YES","NO")</f>
        <v>YES</v>
      </c>
    </row>
    <row r="449" spans="1:40" ht="15" customHeight="1">
      <c r="A449" s="258" t="s">
        <v>2460</v>
      </c>
      <c r="B449" s="263">
        <f>'Dry_Litterbag Placem_Collection'!A10</f>
        <v>8</v>
      </c>
      <c r="C449" s="263" t="str">
        <f>'Dry_Litterbag Placem_Collection'!B10</f>
        <v>Makao</v>
      </c>
      <c r="D449" s="263" t="s">
        <v>2659</v>
      </c>
      <c r="E449" s="263" t="s">
        <v>2660</v>
      </c>
      <c r="F449" s="263">
        <v>1</v>
      </c>
      <c r="G449" s="264" t="str">
        <f>'Dry_Litterbag Placem_Collection'!C10</f>
        <v>Dry_Ag1_T8</v>
      </c>
      <c r="H449" s="273" t="s">
        <v>3651</v>
      </c>
      <c r="I449" s="266" t="s">
        <v>1147</v>
      </c>
      <c r="J449" s="223" t="str">
        <f>'WetLitterbags placem_collection'!O10</f>
        <v>G701</v>
      </c>
      <c r="K449" s="225">
        <f>IFERROR(INDEX('Green_rooibos initial weight'!$C$5:$C$1749,MATCH(J449, 'Green_rooibos initial weight'!$A$5:$A$1749,0)),"")</f>
        <v>1.9159999999999999</v>
      </c>
      <c r="L449" s="225">
        <f>IFERROR(K449-(TBIcalc!$H$9+TBIcalc!$H$10),"")</f>
        <v>1.6661999999999999</v>
      </c>
      <c r="M449" s="391">
        <f>AVERAGE(Ashed_controlls!$K$2:$K$11)</f>
        <v>5.5147656768714146</v>
      </c>
      <c r="N449" s="225">
        <f t="shared" si="32"/>
        <v>1.5743129742919684</v>
      </c>
      <c r="O449" s="225">
        <f>IF(IFERROR(INDEX('Both teabags AfterWet'!$C$3:$C$841,MATCH(J449,'Both teabags AfterWet'!$A$3:$A$841,0)),"")="","",(IFERROR(INDEX('Both teabags AfterWet'!$C$3:$C$841,MATCH(J449,'Both teabags AfterWet'!$A$3:$A$841,0)),"")))</f>
        <v>0.59260000000000002</v>
      </c>
      <c r="P449" s="225">
        <f>IFERROR(IF(O449&gt;0,O449-(TBIcalc!$H$9),""),"")</f>
        <v>0.442</v>
      </c>
      <c r="Q449" s="225">
        <f>IFERROR(INDEX('Ashed teabags wet'!$K$2:$K$821,MATCH(J449,'Ashed teabags wet'!$A$2:$A$821,0)),"")</f>
        <v>8.8163662932295175</v>
      </c>
      <c r="R449" s="225">
        <f t="shared" si="36"/>
        <v>0.40303166098392551</v>
      </c>
      <c r="S449" s="226">
        <f>'WetLitterbags placem_collection'!E10</f>
        <v>42766</v>
      </c>
      <c r="T449" s="226">
        <f>IF('WetLitterbags placem_collection'!G10="","",'WetLitterbags placem_collection'!G10)</f>
        <v>42818</v>
      </c>
      <c r="U449" s="227">
        <f t="shared" si="37"/>
        <v>52</v>
      </c>
      <c r="V449" s="225">
        <f t="shared" si="34"/>
        <v>1.2242</v>
      </c>
      <c r="W449" s="225">
        <f t="shared" si="35"/>
        <v>1.1712813133080429</v>
      </c>
      <c r="X449">
        <f>IFERROR(INDEX(Rainfall_Wet!$O$2:$O$217,MATCH(B449, Rainfall_Wet!$A$2:$A$217,0)),"")</f>
        <v>194.43839254400001</v>
      </c>
      <c r="Y449" s="231">
        <v>12.565665055683967</v>
      </c>
      <c r="Z449" s="231">
        <v>0.9665896196679955</v>
      </c>
      <c r="AA449" s="231">
        <v>86.467745324648035</v>
      </c>
      <c r="AB449" s="232" t="s">
        <v>2672</v>
      </c>
      <c r="AC449" s="231">
        <v>8.0225726959093109</v>
      </c>
      <c r="AD449">
        <f>IF('WetLitterbags placem_collection'!AB10="","",'WetLitterbags placem_collection'!AB10)</f>
        <v>36</v>
      </c>
      <c r="AE449">
        <f>IF('WetLitterbags placem_collection'!Z10="","",'WetLitterbags placem_collection'!Z10)</f>
        <v>38.4</v>
      </c>
      <c r="AF449" s="246" t="str">
        <f>IF('WetLitterbags placem_collection'!AA10="","",'WetLitterbags placem_collection'!AA10)</f>
        <v>M</v>
      </c>
      <c r="AG449" t="str">
        <f>IF('WetLitterbags placem_collection'!AC10="","",'WetLitterbags placem_collection'!AC10)</f>
        <v/>
      </c>
      <c r="AH449" s="24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placem_collection'!X10)),"YES","NO")</f>
        <v>NO</v>
      </c>
      <c r="AM449" t="str">
        <f>IF(ISNUMBER(SEARCH("H", 'WetLitterbags placem_collection'!X10)),"YES","NO")</f>
        <v>NO</v>
      </c>
      <c r="AN449" t="str">
        <f>IF(ISNUMBER(SEARCH("R", 'WetLitterbags placem_collection'!X10)),"YES","NO")</f>
        <v>NO</v>
      </c>
    </row>
    <row r="450" spans="1:40" ht="15" customHeight="1">
      <c r="A450" s="258" t="s">
        <v>2460</v>
      </c>
      <c r="B450" s="263">
        <f>'Dry_Litterbag Placem_Collection'!A11</f>
        <v>9</v>
      </c>
      <c r="C450" s="263" t="str">
        <f>'Dry_Litterbag Placem_Collection'!B11</f>
        <v>Makao</v>
      </c>
      <c r="D450" s="263" t="s">
        <v>2659</v>
      </c>
      <c r="E450" s="263" t="s">
        <v>2660</v>
      </c>
      <c r="F450" s="263">
        <v>2</v>
      </c>
      <c r="G450" s="264" t="str">
        <f>'Dry_Litterbag Placem_Collection'!C11</f>
        <v>Dry_Ag2_T1</v>
      </c>
      <c r="H450" s="273" t="s">
        <v>3651</v>
      </c>
      <c r="I450" s="266" t="s">
        <v>1147</v>
      </c>
      <c r="J450" s="223" t="str">
        <f>'WetLitterbags placem_collection'!O11</f>
        <v>G476</v>
      </c>
      <c r="K450" s="225">
        <f>IFERROR(INDEX('Green_rooibos initial weight'!$C$5:$C$1749,MATCH(J450, 'Green_rooibos initial weight'!$A$5:$A$1749,0)),"")</f>
        <v>2.121</v>
      </c>
      <c r="L450" s="225">
        <f>IFERROR(K450-(TBIcalc!$H$9+TBIcalc!$H$10),"")</f>
        <v>1.8712</v>
      </c>
      <c r="M450" s="391">
        <f>AVERAGE(Ashed_controlls!$K$2:$K$11)</f>
        <v>5.5147656768714146</v>
      </c>
      <c r="N450" s="225">
        <f t="shared" si="32"/>
        <v>1.7680077046543821</v>
      </c>
      <c r="O450" s="225">
        <f>IF(IFERROR(INDEX('Both teabags AfterWet'!$C$3:$C$841,MATCH(J450,'Both teabags AfterWet'!$A$3:$A$841,0)),"")="","",(IFERROR(INDEX('Both teabags AfterWet'!$C$3:$C$841,MATCH(J450,'Both teabags AfterWet'!$A$3:$A$841,0)),"")))</f>
        <v>0.66479999999999995</v>
      </c>
      <c r="P450" s="225">
        <f>IFERROR(IF(O450&gt;0,O450-(TBIcalc!$H$9),""),"")</f>
        <v>0.51419999999999999</v>
      </c>
      <c r="Q450" s="225">
        <f>IFERROR(INDEX('Ashed teabags wet'!$K$2:$K$821,MATCH(J450,'Ashed teabags wet'!$A$2:$A$821,0)),"")</f>
        <v>18.05555555555533</v>
      </c>
      <c r="R450" s="225">
        <f t="shared" si="36"/>
        <v>0.4213583333333345</v>
      </c>
      <c r="S450" s="226">
        <f>'WetLitterbags placem_collection'!E11</f>
        <v>42766</v>
      </c>
      <c r="T450" s="226">
        <f>IF('WetLitterbags placem_collection'!G11="","",'WetLitterbags placem_collection'!G11)</f>
        <v>42818</v>
      </c>
      <c r="U450" s="227">
        <f t="shared" ref="U450:U513" si="38">IFERROR(T450-S450,"")</f>
        <v>52</v>
      </c>
      <c r="V450" s="225">
        <f t="shared" si="34"/>
        <v>1.357</v>
      </c>
      <c r="W450" s="225">
        <f t="shared" si="35"/>
        <v>1.3466493713210475</v>
      </c>
      <c r="X450">
        <f>IFERROR(INDEX(Rainfall_Wet!$O$2:$O$217,MATCH(B450, Rainfall_Wet!$A$2:$A$217,0)),"")</f>
        <v>194.43839254400001</v>
      </c>
      <c r="Y450" s="231">
        <v>21.13063730679653</v>
      </c>
      <c r="Z450" s="231">
        <v>3.0912555579081076</v>
      </c>
      <c r="AA450" s="231">
        <v>75.778107135295357</v>
      </c>
      <c r="AB450" s="232" t="s">
        <v>2670</v>
      </c>
      <c r="AC450" s="231">
        <v>0.46131099063578063</v>
      </c>
      <c r="AD450">
        <f>IF('WetLitterbags placem_collection'!AB11="","",'WetLitterbags placem_collection'!AB11)</f>
        <v>10.8</v>
      </c>
      <c r="AE450">
        <f>IF('WetLitterbags placem_collection'!Z11="","",'WetLitterbags placem_collection'!Z11)</f>
        <v>28.4</v>
      </c>
      <c r="AF450" s="246" t="str">
        <f>IF('WetLitterbags placem_collection'!AA11="","",'WetLitterbags placem_collection'!AA11)</f>
        <v>M</v>
      </c>
      <c r="AG450">
        <f>IF('WetLitterbags placem_collection'!AC11="","",'WetLitterbags placem_collection'!AC11)</f>
        <v>0</v>
      </c>
      <c r="AH450" s="24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placem_collection'!X11)),"YES","NO")</f>
        <v>NO</v>
      </c>
      <c r="AM450" t="str">
        <f>IF(ISNUMBER(SEARCH("H", 'WetLitterbags placem_collection'!X11)),"YES","NO")</f>
        <v>NO</v>
      </c>
      <c r="AN450" t="str">
        <f>IF(ISNUMBER(SEARCH("R", 'WetLitterbags placem_collection'!X11)),"YES","NO")</f>
        <v>NO</v>
      </c>
    </row>
    <row r="451" spans="1:40" ht="15" customHeight="1">
      <c r="A451" s="258" t="s">
        <v>2460</v>
      </c>
      <c r="B451" s="263">
        <f>'Dry_Litterbag Placem_Collection'!A12</f>
        <v>10</v>
      </c>
      <c r="C451" s="263" t="str">
        <f>'Dry_Litterbag Placem_Collection'!B12</f>
        <v>Makao</v>
      </c>
      <c r="D451" s="263" t="s">
        <v>2659</v>
      </c>
      <c r="E451" s="263" t="s">
        <v>2660</v>
      </c>
      <c r="F451" s="263">
        <v>2</v>
      </c>
      <c r="G451" s="264" t="str">
        <f>'Dry_Litterbag Placem_Collection'!C12</f>
        <v>Dry_Ag2_T2</v>
      </c>
      <c r="H451" s="273" t="s">
        <v>3651</v>
      </c>
      <c r="I451" s="266" t="s">
        <v>1147</v>
      </c>
      <c r="J451" s="223" t="str">
        <f>'WetLitterbags placem_collection'!O12</f>
        <v>G606</v>
      </c>
      <c r="K451" s="225">
        <f>IFERROR(INDEX('Green_rooibos initial weight'!$C$5:$C$1749,MATCH(J451, 'Green_rooibos initial weight'!$A$5:$A$1749,0)),"")</f>
        <v>1.921</v>
      </c>
      <c r="L451" s="225">
        <f>IFERROR(K451-(TBIcalc!$H$9+TBIcalc!$H$10),"")</f>
        <v>1.6712</v>
      </c>
      <c r="M451" s="391">
        <f>AVERAGE(Ashed_controlls!$K$2:$K$11)</f>
        <v>5.5147656768714146</v>
      </c>
      <c r="N451" s="225">
        <f t="shared" ref="N451:N514" si="39">IFERROR(L451-(M451/100)*L451,"")</f>
        <v>1.5790372360081248</v>
      </c>
      <c r="O451" s="225">
        <f>IF(IFERROR(INDEX('Both teabags AfterWet'!$C$3:$C$841,MATCH(J451,'Both teabags AfterWet'!$A$3:$A$841,0)),"")="","",(IFERROR(INDEX('Both teabags AfterWet'!$C$3:$C$841,MATCH(J451,'Both teabags AfterWet'!$A$3:$A$841,0)),"")))</f>
        <v>0.63539999999999996</v>
      </c>
      <c r="P451" s="225">
        <f>IFERROR(IF(O451&gt;0,O451-(TBIcalc!$H$9),""),"")</f>
        <v>0.48479999999999995</v>
      </c>
      <c r="Q451" s="225">
        <f>IFERROR(INDEX('Ashed teabags wet'!$K$2:$K$821,MATCH(J451,'Ashed teabags wet'!$A$2:$A$821,0)),"")</f>
        <v>10.416666666666313</v>
      </c>
      <c r="R451" s="225">
        <f t="shared" si="36"/>
        <v>0.43430000000000168</v>
      </c>
      <c r="S451" s="226">
        <f>'WetLitterbags placem_collection'!E12</f>
        <v>42766</v>
      </c>
      <c r="T451" s="226">
        <f>IF('WetLitterbags placem_collection'!G12="","",'WetLitterbags placem_collection'!G12)</f>
        <v>42818</v>
      </c>
      <c r="U451" s="227">
        <f t="shared" si="38"/>
        <v>52</v>
      </c>
      <c r="V451" s="225">
        <f t="shared" ref="V451:V514" si="40">IFERROR(L451-P451,"")</f>
        <v>1.1864000000000001</v>
      </c>
      <c r="W451" s="225">
        <f t="shared" ref="W451:W514" si="41">IFERROR(N451-R451,"")</f>
        <v>1.1447372360081232</v>
      </c>
      <c r="X451">
        <f>IFERROR(INDEX(Rainfall_Wet!$O$2:$O$217,MATCH(B451, Rainfall_Wet!$A$2:$A$217,0)),"")</f>
        <v>194.43839254400001</v>
      </c>
      <c r="Y451" s="231">
        <v>21.13063730679653</v>
      </c>
      <c r="Z451" s="231">
        <v>3.0912555579081076</v>
      </c>
      <c r="AA451" s="231">
        <v>75.778107135295357</v>
      </c>
      <c r="AB451" s="232" t="s">
        <v>2670</v>
      </c>
      <c r="AC451" s="231">
        <v>1.46131099063578</v>
      </c>
      <c r="AD451">
        <f>IF('WetLitterbags placem_collection'!AB12="","",'WetLitterbags placem_collection'!AB12)</f>
        <v>16.8</v>
      </c>
      <c r="AE451">
        <f>IF('WetLitterbags placem_collection'!Z12="","",'WetLitterbags placem_collection'!Z12)</f>
        <v>30</v>
      </c>
      <c r="AF451" s="246" t="str">
        <f>IF('WetLitterbags placem_collection'!AA12="","",'WetLitterbags placem_collection'!AA12)</f>
        <v>M</v>
      </c>
      <c r="AG451">
        <f>IF('WetLitterbags placem_collection'!AC12="","",'WetLitterbags placem_collection'!AC12)</f>
        <v>0</v>
      </c>
      <c r="AH451" s="24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placem_collection'!X12)),"YES","NO")</f>
        <v>NO</v>
      </c>
      <c r="AM451" t="str">
        <f>IF(ISNUMBER(SEARCH("H", 'WetLitterbags placem_collection'!X12)),"YES","NO")</f>
        <v>NO</v>
      </c>
      <c r="AN451" t="str">
        <f>IF(ISNUMBER(SEARCH("R", 'WetLitterbags placem_collection'!X12)),"YES","NO")</f>
        <v>NO</v>
      </c>
    </row>
    <row r="452" spans="1:40" ht="15" customHeight="1">
      <c r="A452" s="258" t="s">
        <v>2460</v>
      </c>
      <c r="B452" s="263">
        <f>'Dry_Litterbag Placem_Collection'!A13</f>
        <v>11</v>
      </c>
      <c r="C452" s="263" t="str">
        <f>'Dry_Litterbag Placem_Collection'!B13</f>
        <v>Makao</v>
      </c>
      <c r="D452" s="263" t="s">
        <v>2659</v>
      </c>
      <c r="E452" s="263" t="s">
        <v>2660</v>
      </c>
      <c r="F452" s="263">
        <v>2</v>
      </c>
      <c r="G452" s="264" t="str">
        <f>'Dry_Litterbag Placem_Collection'!C13</f>
        <v>Dry_Ag2_T3</v>
      </c>
      <c r="H452" s="273" t="s">
        <v>3651</v>
      </c>
      <c r="I452" s="266" t="s">
        <v>1147</v>
      </c>
      <c r="J452" s="223" t="str">
        <f>'WetLitterbags placem_collection'!O13</f>
        <v>G523</v>
      </c>
      <c r="K452" s="225">
        <f>IFERROR(INDEX('Green_rooibos initial weight'!$C$5:$C$1749,MATCH(J452, 'Green_rooibos initial weight'!$A$5:$A$1749,0)),"")</f>
        <v>2.1419999999999999</v>
      </c>
      <c r="L452" s="225">
        <f>IFERROR(K452-(TBIcalc!$H$9+TBIcalc!$H$10),"")</f>
        <v>1.8921999999999999</v>
      </c>
      <c r="M452" s="391">
        <f>AVERAGE(Ashed_controlls!$K$2:$K$11)</f>
        <v>5.5147656768714146</v>
      </c>
      <c r="N452" s="225">
        <f t="shared" si="39"/>
        <v>1.7878496038622389</v>
      </c>
      <c r="O452" s="225">
        <f>IF(IFERROR(INDEX('Both teabags AfterWet'!$C$3:$C$841,MATCH(J452,'Both teabags AfterWet'!$A$3:$A$841,0)),"")="","",(IFERROR(INDEX('Both teabags AfterWet'!$C$3:$C$841,MATCH(J452,'Both teabags AfterWet'!$A$3:$A$841,0)),"")))</f>
        <v>0.63119999999999998</v>
      </c>
      <c r="P452" s="225">
        <f>IFERROR(IF(O452&gt;0,O452-(TBIcalc!$H$9),""),"")</f>
        <v>0.48059999999999997</v>
      </c>
      <c r="Q452" s="225">
        <f>IFERROR(INDEX('Ashed teabags wet'!$K$2:$K$821,MATCH(J452,'Ashed teabags wet'!$A$2:$A$821,0)),"")</f>
        <v>9.5734126984128558</v>
      </c>
      <c r="R452" s="225">
        <f t="shared" si="36"/>
        <v>0.43459017857142779</v>
      </c>
      <c r="S452" s="226">
        <f>'WetLitterbags placem_collection'!E13</f>
        <v>42766</v>
      </c>
      <c r="T452" s="226">
        <f>IF('WetLitterbags placem_collection'!G13="","",'WetLitterbags placem_collection'!G13)</f>
        <v>42818</v>
      </c>
      <c r="U452" s="227">
        <f t="shared" si="38"/>
        <v>52</v>
      </c>
      <c r="V452" s="225">
        <f t="shared" si="40"/>
        <v>1.4116</v>
      </c>
      <c r="W452" s="225">
        <f t="shared" si="41"/>
        <v>1.353259425290811</v>
      </c>
      <c r="X452">
        <f>IFERROR(INDEX(Rainfall_Wet!$O$2:$O$217,MATCH(B452, Rainfall_Wet!$A$2:$A$217,0)),"")</f>
        <v>194.43839254400001</v>
      </c>
      <c r="Y452" s="231">
        <v>21.13063730679653</v>
      </c>
      <c r="Z452" s="231">
        <v>3.0912555579081076</v>
      </c>
      <c r="AA452" s="231">
        <v>75.778107135295357</v>
      </c>
      <c r="AB452" s="232" t="s">
        <v>2670</v>
      </c>
      <c r="AC452" s="231">
        <v>2.4613109906357802</v>
      </c>
      <c r="AD452">
        <f>IF('WetLitterbags placem_collection'!AB13="","",'WetLitterbags placem_collection'!AB13)</f>
        <v>11.4</v>
      </c>
      <c r="AE452">
        <f>IF('WetLitterbags placem_collection'!Z13="","",'WetLitterbags placem_collection'!Z13)</f>
        <v>24.4</v>
      </c>
      <c r="AF452" s="246" t="str">
        <f>IF('WetLitterbags placem_collection'!AA13="","",'WetLitterbags placem_collection'!AA13)</f>
        <v>M</v>
      </c>
      <c r="AG452">
        <f>IF('WetLitterbags placem_collection'!AC13="","",'WetLitterbags placem_collection'!AC13)</f>
        <v>0</v>
      </c>
      <c r="AH452" s="24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placem_collection'!X13)),"YES","NO")</f>
        <v>NO</v>
      </c>
      <c r="AM452" t="str">
        <f>IF(ISNUMBER(SEARCH("H", 'WetLitterbags placem_collection'!X13)),"YES","NO")</f>
        <v>NO</v>
      </c>
      <c r="AN452" t="str">
        <f>IF(ISNUMBER(SEARCH("R", 'WetLitterbags placem_collection'!X13)),"YES","NO")</f>
        <v>NO</v>
      </c>
    </row>
    <row r="453" spans="1:40" ht="15" customHeight="1">
      <c r="A453" s="258" t="s">
        <v>2460</v>
      </c>
      <c r="B453" s="263">
        <f>'Dry_Litterbag Placem_Collection'!A14</f>
        <v>12</v>
      </c>
      <c r="C453" s="263" t="str">
        <f>'Dry_Litterbag Placem_Collection'!B14</f>
        <v>Makao</v>
      </c>
      <c r="D453" s="263" t="s">
        <v>2659</v>
      </c>
      <c r="E453" s="263" t="s">
        <v>2660</v>
      </c>
      <c r="F453" s="263">
        <v>2</v>
      </c>
      <c r="G453" s="264" t="str">
        <f>'Dry_Litterbag Placem_Collection'!C14</f>
        <v>Dry_Ag2_T4</v>
      </c>
      <c r="H453" s="273" t="s">
        <v>3651</v>
      </c>
      <c r="I453" s="266" t="s">
        <v>1147</v>
      </c>
      <c r="J453" s="223" t="str">
        <f>'WetLitterbags placem_collection'!O14</f>
        <v>G490</v>
      </c>
      <c r="K453" s="225">
        <f>IFERROR(INDEX('Green_rooibos initial weight'!$C$5:$C$1749,MATCH(J453, 'Green_rooibos initial weight'!$A$5:$A$1749,0)),"")</f>
        <v>1.881</v>
      </c>
      <c r="L453" s="225">
        <f>IFERROR(K453-(TBIcalc!$H$9+TBIcalc!$H$10),"")</f>
        <v>1.6312</v>
      </c>
      <c r="M453" s="391">
        <f>AVERAGE(Ashed_controlls!$K$2:$K$11)</f>
        <v>5.5147656768714146</v>
      </c>
      <c r="N453" s="225">
        <f t="shared" si="39"/>
        <v>1.5412431422788735</v>
      </c>
      <c r="O453" s="225" t="str">
        <f>IF(IFERROR(INDEX('Both teabags AfterWet'!$C$3:$C$841,MATCH(J453,'Both teabags AfterWet'!$A$3:$A$841,0)),"")="","",(IFERROR(INDEX('Both teabags AfterWet'!$C$3:$C$841,MATCH(J453,'Both teabags AfterWet'!$A$3:$A$841,0)),"")))</f>
        <v/>
      </c>
      <c r="P453" s="225" t="str">
        <f>IFERROR(IF(O453&gt;0,O453-(TBIcalc!$H$9),""),"")</f>
        <v/>
      </c>
      <c r="Q453" s="225" t="str">
        <f>IFERROR(INDEX('Ashed teabags wet'!$K$2:$K$821,MATCH(J453,'Ashed teabags wet'!$A$2:$A$821,0)),"")</f>
        <v/>
      </c>
      <c r="R453" s="225" t="str">
        <f t="shared" si="36"/>
        <v/>
      </c>
      <c r="S453" s="226">
        <f>'WetLitterbags placem_collection'!E14</f>
        <v>42766</v>
      </c>
      <c r="T453" s="226" t="str">
        <f>IF('WetLitterbags placem_collection'!G14="","",'WetLitterbags placem_collection'!G14)</f>
        <v/>
      </c>
      <c r="U453" s="227" t="str">
        <f t="shared" si="38"/>
        <v/>
      </c>
      <c r="V453" s="225" t="str">
        <f t="shared" si="40"/>
        <v/>
      </c>
      <c r="W453" s="225" t="str">
        <f t="shared" si="41"/>
        <v/>
      </c>
      <c r="X453" t="str">
        <f>IFERROR(INDEX(Rainfall_Wet!$O$2:$O$217,MATCH(B453, Rainfall_Wet!$A$2:$A$217,0)),"")</f>
        <v/>
      </c>
      <c r="Y453" s="231">
        <v>21.13063730679653</v>
      </c>
      <c r="Z453" s="231">
        <v>3.0912555579081076</v>
      </c>
      <c r="AA453" s="231">
        <v>75.778107135295357</v>
      </c>
      <c r="AB453" s="232" t="s">
        <v>2670</v>
      </c>
      <c r="AC453" s="231">
        <v>3.4613109906357802</v>
      </c>
      <c r="AD453" t="str">
        <f>IF('WetLitterbags placem_collection'!AB14="","",'WetLitterbags placem_collection'!AB14)</f>
        <v/>
      </c>
      <c r="AE453" t="str">
        <f>IF('WetLitterbags placem_collection'!Z14="","",'WetLitterbags placem_collection'!Z14)</f>
        <v/>
      </c>
      <c r="AF453" s="246" t="str">
        <f>IF('WetLitterbags placem_collection'!AA14="","",'WetLitterbags placem_collection'!AA14)</f>
        <v/>
      </c>
      <c r="AG453" t="str">
        <f>IF('WetLitterbags placem_collection'!AC14="","",'WetLitterbags placem_collection'!AC14)</f>
        <v/>
      </c>
      <c r="AH453" s="24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placem_collection'!X14)),"YES","NO")</f>
        <v>NO</v>
      </c>
      <c r="AM453" t="str">
        <f>IF(ISNUMBER(SEARCH("H", 'WetLitterbags placem_collection'!X14)),"YES","NO")</f>
        <v>NO</v>
      </c>
      <c r="AN453" t="str">
        <f>IF(ISNUMBER(SEARCH("R", 'WetLitterbags placem_collection'!X14)),"YES","NO")</f>
        <v>NO</v>
      </c>
    </row>
    <row r="454" spans="1:40" ht="15" customHeight="1">
      <c r="A454" s="258" t="s">
        <v>2460</v>
      </c>
      <c r="B454" s="263">
        <f>'Dry_Litterbag Placem_Collection'!A15</f>
        <v>13</v>
      </c>
      <c r="C454" s="263" t="str">
        <f>'Dry_Litterbag Placem_Collection'!B15</f>
        <v>Makao</v>
      </c>
      <c r="D454" s="263" t="s">
        <v>2659</v>
      </c>
      <c r="E454" s="263" t="s">
        <v>2660</v>
      </c>
      <c r="F454" s="263">
        <v>2</v>
      </c>
      <c r="G454" s="264" t="str">
        <f>'Dry_Litterbag Placem_Collection'!C15</f>
        <v>Dry_Ag2_T5</v>
      </c>
      <c r="H454" s="273" t="s">
        <v>3651</v>
      </c>
      <c r="I454" s="266" t="s">
        <v>1147</v>
      </c>
      <c r="J454" s="223" t="str">
        <f>'WetLitterbags placem_collection'!O15</f>
        <v>G241</v>
      </c>
      <c r="K454" s="225">
        <f>IFERROR(INDEX('Green_rooibos initial weight'!$C$5:$C$1749,MATCH(J454, 'Green_rooibos initial weight'!$A$5:$A$1749,0)),"")</f>
        <v>2.0179999999999998</v>
      </c>
      <c r="L454" s="225">
        <f>IFERROR(K454-(TBIcalc!$H$9+TBIcalc!$H$10),"")</f>
        <v>1.7681999999999998</v>
      </c>
      <c r="M454" s="391">
        <f>AVERAGE(Ashed_controlls!$K$2:$K$11)</f>
        <v>5.5147656768714146</v>
      </c>
      <c r="N454" s="225">
        <f t="shared" si="39"/>
        <v>1.6706879133015595</v>
      </c>
      <c r="O454" s="225">
        <f>IF(IFERROR(INDEX('Both teabags AfterWet'!$C$3:$C$841,MATCH(J454,'Both teabags AfterWet'!$A$3:$A$841,0)),"")="","",(IFERROR(INDEX('Both teabags AfterWet'!$C$3:$C$841,MATCH(J454,'Both teabags AfterWet'!$A$3:$A$841,0)),"")))</f>
        <v>0.52059999999999995</v>
      </c>
      <c r="P454" s="225">
        <f>IFERROR(IF(O454&gt;0,O454-(TBIcalc!$H$9),""),"")</f>
        <v>0.36999999999999994</v>
      </c>
      <c r="Q454" s="225">
        <f>IFERROR(INDEX('Ashed teabags wet'!$K$2:$K$821,MATCH(J454,'Ashed teabags wet'!$A$2:$A$821,0)),"")</f>
        <v>17.872968980798372</v>
      </c>
      <c r="R454" s="225">
        <f t="shared" si="36"/>
        <v>0.30387001477104597</v>
      </c>
      <c r="S454" s="226">
        <f>'WetLitterbags placem_collection'!E15</f>
        <v>42766</v>
      </c>
      <c r="T454" s="226">
        <f>IF('WetLitterbags placem_collection'!G15="","",'WetLitterbags placem_collection'!G15)</f>
        <v>42818</v>
      </c>
      <c r="U454" s="227">
        <f t="shared" si="38"/>
        <v>52</v>
      </c>
      <c r="V454" s="225">
        <f t="shared" si="40"/>
        <v>1.3981999999999999</v>
      </c>
      <c r="W454" s="225">
        <f t="shared" si="41"/>
        <v>1.3668178985305135</v>
      </c>
      <c r="X454">
        <f>IFERROR(INDEX(Rainfall_Wet!$O$2:$O$217,MATCH(B454, Rainfall_Wet!$A$2:$A$217,0)),"")</f>
        <v>194.43839254400001</v>
      </c>
      <c r="Y454" s="231">
        <v>21.13063730679653</v>
      </c>
      <c r="Z454" s="231">
        <v>3.0912555579081076</v>
      </c>
      <c r="AA454" s="231">
        <v>75.778107135295357</v>
      </c>
      <c r="AB454" s="232" t="s">
        <v>2670</v>
      </c>
      <c r="AC454" s="231">
        <v>4.4613109906357797</v>
      </c>
      <c r="AD454">
        <f>IF('WetLitterbags placem_collection'!AB15="","",'WetLitterbags placem_collection'!AB15)</f>
        <v>11.4</v>
      </c>
      <c r="AE454">
        <f>IF('WetLitterbags placem_collection'!Z15="","",'WetLitterbags placem_collection'!Z15)</f>
        <v>31</v>
      </c>
      <c r="AF454" s="246" t="str">
        <f>IF('WetLitterbags placem_collection'!AA15="","",'WetLitterbags placem_collection'!AA15)</f>
        <v>M</v>
      </c>
      <c r="AG454">
        <f>IF('WetLitterbags placem_collection'!AC15="","",'WetLitterbags placem_collection'!AC15)</f>
        <v>0</v>
      </c>
      <c r="AH454" s="24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placem_collection'!X15)),"YES","NO")</f>
        <v>NO</v>
      </c>
      <c r="AM454" t="str">
        <f>IF(ISNUMBER(SEARCH("H", 'WetLitterbags placem_collection'!X15)),"YES","NO")</f>
        <v>NO</v>
      </c>
      <c r="AN454" t="str">
        <f>IF(ISNUMBER(SEARCH("R", 'WetLitterbags placem_collection'!X15)),"YES","NO")</f>
        <v>NO</v>
      </c>
    </row>
    <row r="455" spans="1:40" ht="15" customHeight="1">
      <c r="A455" s="258" t="s">
        <v>2460</v>
      </c>
      <c r="B455" s="263">
        <f>'Dry_Litterbag Placem_Collection'!A16</f>
        <v>14</v>
      </c>
      <c r="C455" s="263" t="str">
        <f>'Dry_Litterbag Placem_Collection'!B16</f>
        <v>Makao</v>
      </c>
      <c r="D455" s="263" t="s">
        <v>2659</v>
      </c>
      <c r="E455" s="263" t="s">
        <v>2660</v>
      </c>
      <c r="F455" s="263">
        <v>2</v>
      </c>
      <c r="G455" s="264" t="str">
        <f>'Dry_Litterbag Placem_Collection'!C16</f>
        <v>Dry_Ag2_T6</v>
      </c>
      <c r="H455" s="273" t="s">
        <v>3651</v>
      </c>
      <c r="I455" s="266" t="s">
        <v>1147</v>
      </c>
      <c r="J455" s="223" t="str">
        <f>'WetLitterbags placem_collection'!O16</f>
        <v>G503</v>
      </c>
      <c r="K455" s="225">
        <f>IFERROR(INDEX('Green_rooibos initial weight'!$C$5:$C$1749,MATCH(J455, 'Green_rooibos initial weight'!$A$5:$A$1749,0)),"")</f>
        <v>1.9810000000000001</v>
      </c>
      <c r="L455" s="225">
        <f>IFERROR(K455-(TBIcalc!$H$9+TBIcalc!$H$10),"")</f>
        <v>1.7312000000000001</v>
      </c>
      <c r="M455" s="391">
        <f>AVERAGE(Ashed_controlls!$K$2:$K$11)</f>
        <v>5.5147656768714146</v>
      </c>
      <c r="N455" s="225">
        <f t="shared" si="39"/>
        <v>1.6357283766020021</v>
      </c>
      <c r="O455" s="225">
        <f>IF(IFERROR(INDEX('Both teabags AfterWet'!$C$3:$C$841,MATCH(J455,'Both teabags AfterWet'!$A$3:$A$841,0)),"")="","",(IFERROR(INDEX('Both teabags AfterWet'!$C$3:$C$841,MATCH(J455,'Both teabags AfterWet'!$A$3:$A$841,0)),"")))</f>
        <v>0.501</v>
      </c>
      <c r="P455" s="225">
        <f>IFERROR(IF(O455&gt;0,O455-(TBIcalc!$H$9),""),"")</f>
        <v>0.35039999999999999</v>
      </c>
      <c r="Q455" s="225">
        <f>IFERROR(INDEX('Ashed teabags wet'!$K$2:$K$821,MATCH(J455,'Ashed teabags wet'!$A$2:$A$821,0)),"")</f>
        <v>12.970297029702667</v>
      </c>
      <c r="R455" s="225">
        <f t="shared" si="36"/>
        <v>0.30495207920792183</v>
      </c>
      <c r="S455" s="226">
        <f>'WetLitterbags placem_collection'!E16</f>
        <v>42766</v>
      </c>
      <c r="T455" s="226">
        <f>IF('WetLitterbags placem_collection'!G16="","",'WetLitterbags placem_collection'!G16)</f>
        <v>42818</v>
      </c>
      <c r="U455" s="227">
        <f t="shared" si="38"/>
        <v>52</v>
      </c>
      <c r="V455" s="225">
        <f t="shared" si="40"/>
        <v>1.3808</v>
      </c>
      <c r="W455" s="225">
        <f t="shared" si="41"/>
        <v>1.3307762973940802</v>
      </c>
      <c r="X455">
        <f>IFERROR(INDEX(Rainfall_Wet!$O$2:$O$217,MATCH(B455, Rainfall_Wet!$A$2:$A$217,0)),"")</f>
        <v>194.43839254400001</v>
      </c>
      <c r="Y455" s="231">
        <v>21.13063730679653</v>
      </c>
      <c r="Z455" s="231">
        <v>3.0912555579081076</v>
      </c>
      <c r="AA455" s="231">
        <v>75.778107135295357</v>
      </c>
      <c r="AB455" s="232" t="s">
        <v>2670</v>
      </c>
      <c r="AC455" s="231">
        <v>5.4613109906357797</v>
      </c>
      <c r="AD455">
        <f>IF('WetLitterbags placem_collection'!AB16="","",'WetLitterbags placem_collection'!AB16)</f>
        <v>28.4</v>
      </c>
      <c r="AE455">
        <f>IF('WetLitterbags placem_collection'!Z16="","",'WetLitterbags placem_collection'!Z16)</f>
        <v>42.4</v>
      </c>
      <c r="AF455" s="246" t="str">
        <f>IF('WetLitterbags placem_collection'!AA16="","",'WetLitterbags placem_collection'!AA16)</f>
        <v>M</v>
      </c>
      <c r="AG455">
        <f>IF('WetLitterbags placem_collection'!AC16="","",'WetLitterbags placem_collection'!AC16)</f>
        <v>0</v>
      </c>
      <c r="AH455" s="24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placem_collection'!X16)),"YES","NO")</f>
        <v>NO</v>
      </c>
      <c r="AM455" t="str">
        <f>IF(ISNUMBER(SEARCH("H", 'WetLitterbags placem_collection'!X16)),"YES","NO")</f>
        <v>NO</v>
      </c>
      <c r="AN455" t="str">
        <f>IF(ISNUMBER(SEARCH("R", 'WetLitterbags placem_collection'!X16)),"YES","NO")</f>
        <v>NO</v>
      </c>
    </row>
    <row r="456" spans="1:40" ht="15" customHeight="1">
      <c r="A456" s="258" t="s">
        <v>2460</v>
      </c>
      <c r="B456" s="263">
        <f>'Dry_Litterbag Placem_Collection'!A17</f>
        <v>15</v>
      </c>
      <c r="C456" s="263" t="str">
        <f>'Dry_Litterbag Placem_Collection'!B17</f>
        <v>Makao</v>
      </c>
      <c r="D456" s="263" t="s">
        <v>2659</v>
      </c>
      <c r="E456" s="263" t="s">
        <v>2660</v>
      </c>
      <c r="F456" s="263">
        <v>2</v>
      </c>
      <c r="G456" s="264" t="str">
        <f>'Dry_Litterbag Placem_Collection'!C17</f>
        <v>Dry_Ag2_T7</v>
      </c>
      <c r="H456" s="273" t="s">
        <v>3651</v>
      </c>
      <c r="I456" s="266" t="s">
        <v>1147</v>
      </c>
      <c r="J456" s="223" t="str">
        <f>'WetLitterbags placem_collection'!O17</f>
        <v>G685</v>
      </c>
      <c r="K456" s="225">
        <f>IFERROR(INDEX('Green_rooibos initial weight'!$C$5:$C$1749,MATCH(J456, 'Green_rooibos initial weight'!$A$5:$A$1749,0)),"")</f>
        <v>1.9810000000000001</v>
      </c>
      <c r="L456" s="225">
        <f>IFERROR(K456-(TBIcalc!$H$9+TBIcalc!$H$10),"")</f>
        <v>1.7312000000000001</v>
      </c>
      <c r="M456" s="391">
        <f>AVERAGE(Ashed_controlls!$K$2:$K$11)</f>
        <v>5.5147656768714146</v>
      </c>
      <c r="N456" s="225">
        <f t="shared" si="39"/>
        <v>1.6357283766020021</v>
      </c>
      <c r="O456" s="225">
        <f>IF(IFERROR(INDEX('Both teabags AfterWet'!$C$3:$C$841,MATCH(J456,'Both teabags AfterWet'!$A$3:$A$841,0)),"")="","",(IFERROR(INDEX('Both teabags AfterWet'!$C$3:$C$841,MATCH(J456,'Both teabags AfterWet'!$A$3:$A$841,0)),"")))</f>
        <v>0.72199999999999998</v>
      </c>
      <c r="P456" s="225">
        <f>IFERROR(IF(O456&gt;0,O456-(TBIcalc!$H$9),""),"")</f>
        <v>0.57139999999999991</v>
      </c>
      <c r="Q456" s="225">
        <f>IFERROR(INDEX('Ashed teabags wet'!$K$2:$K$821,MATCH(J456,'Ashed teabags wet'!$A$2:$A$821,0)),"")</f>
        <v>22.716049382715465</v>
      </c>
      <c r="R456" s="225">
        <f t="shared" si="36"/>
        <v>0.44160049382716376</v>
      </c>
      <c r="S456" s="226">
        <f>'WetLitterbags placem_collection'!E17</f>
        <v>42766</v>
      </c>
      <c r="T456" s="226">
        <f>IF('WetLitterbags placem_collection'!G17="","",'WetLitterbags placem_collection'!G17)</f>
        <v>42818</v>
      </c>
      <c r="U456" s="227">
        <f t="shared" si="38"/>
        <v>52</v>
      </c>
      <c r="V456" s="225">
        <f t="shared" si="40"/>
        <v>1.1598000000000002</v>
      </c>
      <c r="W456" s="225">
        <f t="shared" si="41"/>
        <v>1.1941278827748383</v>
      </c>
      <c r="X456">
        <f>IFERROR(INDEX(Rainfall_Wet!$O$2:$O$217,MATCH(B456, Rainfall_Wet!$A$2:$A$217,0)),"")</f>
        <v>194.43839254400001</v>
      </c>
      <c r="Y456" s="231">
        <v>21.13063730679653</v>
      </c>
      <c r="Z456" s="231">
        <v>3.0912555579081076</v>
      </c>
      <c r="AA456" s="231">
        <v>75.778107135295357</v>
      </c>
      <c r="AB456" s="232" t="s">
        <v>2670</v>
      </c>
      <c r="AC456" s="231">
        <v>6.4613109906357797</v>
      </c>
      <c r="AD456">
        <f>IF('WetLitterbags placem_collection'!AB17="","",'WetLitterbags placem_collection'!AB17)</f>
        <v>15.8</v>
      </c>
      <c r="AE456">
        <f>IF('WetLitterbags placem_collection'!Z17="","",'WetLitterbags placem_collection'!Z17)</f>
        <v>30.4</v>
      </c>
      <c r="AF456" s="246" t="str">
        <f>IF('WetLitterbags placem_collection'!AA17="","",'WetLitterbags placem_collection'!AA17)</f>
        <v>M</v>
      </c>
      <c r="AG456">
        <f>IF('WetLitterbags placem_collection'!AC17="","",'WetLitterbags placem_collection'!AC17)</f>
        <v>0</v>
      </c>
      <c r="AH456" s="24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placem_collection'!X17)),"YES","NO")</f>
        <v>NO</v>
      </c>
      <c r="AM456" t="str">
        <f>IF(ISNUMBER(SEARCH("H", 'WetLitterbags placem_collection'!X17)),"YES","NO")</f>
        <v>NO</v>
      </c>
      <c r="AN456" t="str">
        <f>IF(ISNUMBER(SEARCH("R", 'WetLitterbags placem_collection'!X17)),"YES","NO")</f>
        <v>YES</v>
      </c>
    </row>
    <row r="457" spans="1:40" ht="15" customHeight="1">
      <c r="A457" s="258" t="s">
        <v>2460</v>
      </c>
      <c r="B457" s="263">
        <f>'Dry_Litterbag Placem_Collection'!A18</f>
        <v>16</v>
      </c>
      <c r="C457" s="263" t="str">
        <f>'Dry_Litterbag Placem_Collection'!B18</f>
        <v>Makao</v>
      </c>
      <c r="D457" s="263" t="s">
        <v>2659</v>
      </c>
      <c r="E457" s="263" t="s">
        <v>2660</v>
      </c>
      <c r="F457" s="263">
        <v>2</v>
      </c>
      <c r="G457" s="264" t="str">
        <f>'Dry_Litterbag Placem_Collection'!C18</f>
        <v>Dry_Ag2_T8</v>
      </c>
      <c r="H457" s="273" t="s">
        <v>3651</v>
      </c>
      <c r="I457" s="266" t="s">
        <v>1147</v>
      </c>
      <c r="J457" s="223" t="str">
        <f>'WetLitterbags placem_collection'!O18</f>
        <v>G644</v>
      </c>
      <c r="K457" s="225">
        <f>IFERROR(INDEX('Green_rooibos initial weight'!$C$5:$C$1749,MATCH(J457, 'Green_rooibos initial weight'!$A$5:$A$1749,0)),"")</f>
        <v>2.157</v>
      </c>
      <c r="L457" s="225">
        <f>IFERROR(K457-(TBIcalc!$H$9+TBIcalc!$H$10),"")</f>
        <v>1.9072</v>
      </c>
      <c r="M457" s="391">
        <f>AVERAGE(Ashed_controlls!$K$2:$K$11)</f>
        <v>5.5147656768714146</v>
      </c>
      <c r="N457" s="225">
        <f t="shared" si="39"/>
        <v>1.8020223890107083</v>
      </c>
      <c r="O457" s="225">
        <f>IF(IFERROR(INDEX('Both teabags AfterWet'!$C$3:$C$841,MATCH(J457,'Both teabags AfterWet'!$A$3:$A$841,0)),"")="","",(IFERROR(INDEX('Both teabags AfterWet'!$C$3:$C$841,MATCH(J457,'Both teabags AfterWet'!$A$3:$A$841,0)),"")))</f>
        <v>0.65410000000000001</v>
      </c>
      <c r="P457" s="225">
        <f>IFERROR(IF(O457&gt;0,O457-(TBIcalc!$H$9),""),"")</f>
        <v>0.50350000000000006</v>
      </c>
      <c r="Q457" s="225">
        <f>IFERROR(INDEX('Ashed teabags wet'!$K$2:$K$821,MATCH(J457,'Ashed teabags wet'!$A$2:$A$821,0)),"")</f>
        <v>8.8551859099799302</v>
      </c>
      <c r="R457" s="225">
        <f t="shared" si="36"/>
        <v>0.45891413894325112</v>
      </c>
      <c r="S457" s="226">
        <f>'WetLitterbags placem_collection'!E18</f>
        <v>42766</v>
      </c>
      <c r="T457" s="226">
        <f>IF('WetLitterbags placem_collection'!G18="","",'WetLitterbags placem_collection'!G18)</f>
        <v>42818</v>
      </c>
      <c r="U457" s="227">
        <f t="shared" si="38"/>
        <v>52</v>
      </c>
      <c r="V457" s="225">
        <f t="shared" si="40"/>
        <v>1.4036999999999999</v>
      </c>
      <c r="W457" s="225">
        <f t="shared" si="41"/>
        <v>1.3431082500674572</v>
      </c>
      <c r="X457">
        <f>IFERROR(INDEX(Rainfall_Wet!$O$2:$O$217,MATCH(B457, Rainfall_Wet!$A$2:$A$217,0)),"")</f>
        <v>194.43839254400001</v>
      </c>
      <c r="Y457" s="231">
        <v>21.13063730679653</v>
      </c>
      <c r="Z457" s="231">
        <v>3.0912555579081076</v>
      </c>
      <c r="AA457" s="231">
        <v>75.778107135295357</v>
      </c>
      <c r="AB457" s="232" t="s">
        <v>2670</v>
      </c>
      <c r="AC457" s="231">
        <v>7.4613109906357797</v>
      </c>
      <c r="AD457">
        <f>IF('WetLitterbags placem_collection'!AB18="","",'WetLitterbags placem_collection'!AB18)</f>
        <v>8</v>
      </c>
      <c r="AE457">
        <f>IF('WetLitterbags placem_collection'!Z18="","",'WetLitterbags placem_collection'!Z18)</f>
        <v>12.4</v>
      </c>
      <c r="AF457" s="246" t="str">
        <f>IF('WetLitterbags placem_collection'!AA18="","",'WetLitterbags placem_collection'!AA18)</f>
        <v>M</v>
      </c>
      <c r="AG457">
        <f>IF('WetLitterbags placem_collection'!AC18="","",'WetLitterbags placem_collection'!AC18)</f>
        <v>0</v>
      </c>
      <c r="AH457" s="24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placem_collection'!X18)),"YES","NO")</f>
        <v>NO</v>
      </c>
      <c r="AM457" t="str">
        <f>IF(ISNUMBER(SEARCH("H", 'WetLitterbags placem_collection'!X18)),"YES","NO")</f>
        <v>NO</v>
      </c>
      <c r="AN457" t="str">
        <f>IF(ISNUMBER(SEARCH("R", 'WetLitterbags placem_collection'!X18)),"YES","NO")</f>
        <v>YES</v>
      </c>
    </row>
    <row r="458" spans="1:40" ht="15" customHeight="1">
      <c r="A458" s="258" t="s">
        <v>2460</v>
      </c>
      <c r="B458" s="263">
        <f>'Dry_Litterbag Placem_Collection'!A19</f>
        <v>17</v>
      </c>
      <c r="C458" s="263" t="str">
        <f>'Dry_Litterbag Placem_Collection'!B19</f>
        <v>Makao</v>
      </c>
      <c r="D458" s="263" t="s">
        <v>2659</v>
      </c>
      <c r="E458" s="263" t="s">
        <v>2660</v>
      </c>
      <c r="F458" s="263">
        <v>3</v>
      </c>
      <c r="G458" s="264" t="str">
        <f>'Dry_Litterbag Placem_Collection'!C19</f>
        <v>Dry_Ag3_T1</v>
      </c>
      <c r="H458" s="273" t="s">
        <v>3651</v>
      </c>
      <c r="I458" s="266" t="s">
        <v>1147</v>
      </c>
      <c r="J458" s="223" t="str">
        <f>'WetLitterbags placem_collection'!O19</f>
        <v>G648</v>
      </c>
      <c r="K458" s="225">
        <f>IFERROR(INDEX('Green_rooibos initial weight'!$C$5:$C$1749,MATCH(J458, 'Green_rooibos initial weight'!$A$5:$A$1749,0)),"")</f>
        <v>2.0249999999999999</v>
      </c>
      <c r="L458" s="225">
        <f>IFERROR(K458-(TBIcalc!$H$9+TBIcalc!$H$10),"")</f>
        <v>1.7751999999999999</v>
      </c>
      <c r="M458" s="391">
        <f>AVERAGE(Ashed_controlls!$K$2:$K$11)</f>
        <v>5.5147656768714146</v>
      </c>
      <c r="N458" s="225">
        <f t="shared" si="39"/>
        <v>1.6773018797041785</v>
      </c>
      <c r="O458" s="225">
        <f>IF(IFERROR(INDEX('Both teabags AfterWet'!$C$3:$C$841,MATCH(J458,'Both teabags AfterWet'!$A$3:$A$841,0)),"")="","",(IFERROR(INDEX('Both teabags AfterWet'!$C$3:$C$841,MATCH(J458,'Both teabags AfterWet'!$A$3:$A$841,0)),"")))</f>
        <v>0.6905</v>
      </c>
      <c r="P458" s="225">
        <f>IFERROR(IF(O458&gt;0,O458-(TBIcalc!$H$9),""),"")</f>
        <v>0.53990000000000005</v>
      </c>
      <c r="Q458" s="225">
        <f>IFERROR(INDEX('Ashed teabags wet'!$K$2:$K$821,MATCH(J458,'Ashed teabags wet'!$A$2:$A$821,0)),"")</f>
        <v>10.088582677165091</v>
      </c>
      <c r="R458" s="225">
        <f t="shared" si="36"/>
        <v>0.48543174212598572</v>
      </c>
      <c r="S458" s="226">
        <f>'WetLitterbags placem_collection'!E19</f>
        <v>42767</v>
      </c>
      <c r="T458" s="226">
        <f>IF('WetLitterbags placem_collection'!G19="","",'WetLitterbags placem_collection'!G19)</f>
        <v>42818</v>
      </c>
      <c r="U458" s="227">
        <f t="shared" si="38"/>
        <v>51</v>
      </c>
      <c r="V458" s="225">
        <f t="shared" si="40"/>
        <v>1.2352999999999998</v>
      </c>
      <c r="W458" s="225">
        <f t="shared" si="41"/>
        <v>1.1918701375781928</v>
      </c>
      <c r="X458">
        <f>IFERROR(INDEX(Rainfall_Wet!$O$2:$O$217,MATCH(B458, Rainfall_Wet!$A$2:$A$217,0)),"")</f>
        <v>185.630065823</v>
      </c>
      <c r="Y458" s="231">
        <v>54.080969906906262</v>
      </c>
      <c r="Z458" s="231">
        <v>21.264484651351896</v>
      </c>
      <c r="AA458" s="231">
        <v>24.654545441741845</v>
      </c>
      <c r="AB458" s="232" t="s">
        <v>2673</v>
      </c>
      <c r="AC458" s="231">
        <v>1.8433218334154755</v>
      </c>
      <c r="AD458" t="str">
        <f>IF('WetLitterbags placem_collection'!AB19="","",'WetLitterbags placem_collection'!AB19)</f>
        <v/>
      </c>
      <c r="AE458" t="str">
        <f>IF('WetLitterbags placem_collection'!Z19="","",'WetLitterbags placem_collection'!Z19)</f>
        <v/>
      </c>
      <c r="AF458" s="246" t="str">
        <f>IF('WetLitterbags placem_collection'!AA19="","",'WetLitterbags placem_collection'!AA19)</f>
        <v/>
      </c>
      <c r="AG458" t="str">
        <f>IF('WetLitterbags placem_collection'!AC19="","",'WetLitterbags placem_collection'!AC19)</f>
        <v/>
      </c>
      <c r="AH458" s="24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placem_collection'!X19)),"YES","NO")</f>
        <v>NO</v>
      </c>
      <c r="AM458" t="str">
        <f>IF(ISNUMBER(SEARCH("H", 'WetLitterbags placem_collection'!X19)),"YES","NO")</f>
        <v>NO</v>
      </c>
      <c r="AN458" t="str">
        <f>IF(ISNUMBER(SEARCH("R", 'WetLitterbags placem_collection'!X19)),"YES","NO")</f>
        <v>YES</v>
      </c>
    </row>
    <row r="459" spans="1:40" ht="15" customHeight="1">
      <c r="A459" s="258" t="s">
        <v>2460</v>
      </c>
      <c r="B459" s="263">
        <f>'Dry_Litterbag Placem_Collection'!A20</f>
        <v>18</v>
      </c>
      <c r="C459" s="263" t="str">
        <f>'Dry_Litterbag Placem_Collection'!B20</f>
        <v>Makao</v>
      </c>
      <c r="D459" s="263" t="s">
        <v>2659</v>
      </c>
      <c r="E459" s="263" t="s">
        <v>2660</v>
      </c>
      <c r="F459" s="263">
        <v>3</v>
      </c>
      <c r="G459" s="264" t="str">
        <f>'Dry_Litterbag Placem_Collection'!C20</f>
        <v>Dry_Ag3_T2</v>
      </c>
      <c r="H459" s="273" t="s">
        <v>3651</v>
      </c>
      <c r="I459" s="266" t="s">
        <v>1147</v>
      </c>
      <c r="J459" s="223" t="str">
        <f>'WetLitterbags placem_collection'!O20</f>
        <v>G573</v>
      </c>
      <c r="K459" s="225">
        <f>IFERROR(INDEX('Green_rooibos initial weight'!$C$5:$C$1749,MATCH(J459, 'Green_rooibos initial weight'!$A$5:$A$1749,0)),"")</f>
        <v>2.0019999999999998</v>
      </c>
      <c r="L459" s="225">
        <f>IFERROR(K459-(TBIcalc!$H$9+TBIcalc!$H$10),"")</f>
        <v>1.7521999999999998</v>
      </c>
      <c r="M459" s="391">
        <f>AVERAGE(Ashed_controlls!$K$2:$K$11)</f>
        <v>5.5147656768714146</v>
      </c>
      <c r="N459" s="225">
        <f t="shared" si="39"/>
        <v>1.6555702758098589</v>
      </c>
      <c r="O459" s="225">
        <f>IF(IFERROR(INDEX('Both teabags AfterWet'!$C$3:$C$841,MATCH(J459,'Both teabags AfterWet'!$A$3:$A$841,0)),"")="","",(IFERROR(INDEX('Both teabags AfterWet'!$C$3:$C$841,MATCH(J459,'Both teabags AfterWet'!$A$3:$A$841,0)),"")))</f>
        <v>0.72099999999999997</v>
      </c>
      <c r="P459" s="225">
        <f>IFERROR(IF(O459&gt;0,O459-(TBIcalc!$H$9),""),"")</f>
        <v>0.57040000000000002</v>
      </c>
      <c r="Q459" s="225">
        <f>IFERROR(INDEX('Ashed teabags wet'!$K$2:$K$821,MATCH(J459,'Ashed teabags wet'!$A$2:$A$821,0)),"")</f>
        <v>14.100096246390503</v>
      </c>
      <c r="R459" s="225">
        <f t="shared" ref="R459:R522" si="42">IFERROR(P459-(Q459/100)*P459,"")</f>
        <v>0.48997305101058858</v>
      </c>
      <c r="S459" s="226">
        <f>'WetLitterbags placem_collection'!E20</f>
        <v>42767</v>
      </c>
      <c r="T459" s="226">
        <f>IF('WetLitterbags placem_collection'!G20="","",'WetLitterbags placem_collection'!G20)</f>
        <v>42818</v>
      </c>
      <c r="U459" s="227">
        <f t="shared" si="38"/>
        <v>51</v>
      </c>
      <c r="V459" s="225">
        <f t="shared" si="40"/>
        <v>1.1817999999999997</v>
      </c>
      <c r="W459" s="225">
        <f t="shared" si="41"/>
        <v>1.1655972247992703</v>
      </c>
      <c r="X459">
        <f>IFERROR(INDEX(Rainfall_Wet!$O$2:$O$217,MATCH(B459, Rainfall_Wet!$A$2:$A$217,0)),"")</f>
        <v>185.630065823</v>
      </c>
      <c r="Y459" s="231">
        <v>54.080969906906262</v>
      </c>
      <c r="Z459" s="231">
        <v>21.264484651351896</v>
      </c>
      <c r="AA459" s="231">
        <v>24.654545441741845</v>
      </c>
      <c r="AB459" s="232" t="s">
        <v>2673</v>
      </c>
      <c r="AC459" s="231">
        <v>2.8433218334154802</v>
      </c>
      <c r="AD459" t="str">
        <f>IF('WetLitterbags placem_collection'!AB20="","",'WetLitterbags placem_collection'!AB20)</f>
        <v/>
      </c>
      <c r="AE459" t="str">
        <f>IF('WetLitterbags placem_collection'!Z20="","",'WetLitterbags placem_collection'!Z20)</f>
        <v/>
      </c>
      <c r="AF459" s="246" t="str">
        <f>IF('WetLitterbags placem_collection'!AA20="","",'WetLitterbags placem_collection'!AA20)</f>
        <v/>
      </c>
      <c r="AG459" t="str">
        <f>IF('WetLitterbags placem_collection'!AC20="","",'WetLitterbags placem_collection'!AC20)</f>
        <v/>
      </c>
      <c r="AH459" s="24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placem_collection'!X20)),"YES","NO")</f>
        <v>NO</v>
      </c>
      <c r="AM459" t="str">
        <f>IF(ISNUMBER(SEARCH("H", 'WetLitterbags placem_collection'!X20)),"YES","NO")</f>
        <v>NO</v>
      </c>
      <c r="AN459" t="str">
        <f>IF(ISNUMBER(SEARCH("R", 'WetLitterbags placem_collection'!X20)),"YES","NO")</f>
        <v>YES</v>
      </c>
    </row>
    <row r="460" spans="1:40" ht="15" customHeight="1">
      <c r="A460" s="258" t="s">
        <v>2460</v>
      </c>
      <c r="B460" s="263">
        <f>'Dry_Litterbag Placem_Collection'!A21</f>
        <v>19</v>
      </c>
      <c r="C460" s="263" t="str">
        <f>'Dry_Litterbag Placem_Collection'!B21</f>
        <v>Makao</v>
      </c>
      <c r="D460" s="263" t="s">
        <v>2659</v>
      </c>
      <c r="E460" s="263" t="s">
        <v>2660</v>
      </c>
      <c r="F460" s="263">
        <v>3</v>
      </c>
      <c r="G460" s="264" t="str">
        <f>'Dry_Litterbag Placem_Collection'!C21</f>
        <v>Dry_Ag3_T3</v>
      </c>
      <c r="H460" s="273" t="s">
        <v>3651</v>
      </c>
      <c r="I460" s="266" t="s">
        <v>1147</v>
      </c>
      <c r="J460" s="223" t="str">
        <f>'WetLitterbags placem_collection'!O21</f>
        <v>G639</v>
      </c>
      <c r="K460" s="225">
        <f>IFERROR(INDEX('Green_rooibos initial weight'!$C$5:$C$1749,MATCH(J460, 'Green_rooibos initial weight'!$A$5:$A$1749,0)),"")</f>
        <v>2.1909999999999998</v>
      </c>
      <c r="L460" s="225">
        <f>IFERROR(K460-(TBIcalc!$H$9+TBIcalc!$H$10),"")</f>
        <v>1.9411999999999998</v>
      </c>
      <c r="M460" s="391">
        <f>AVERAGE(Ashed_controlls!$K$2:$K$11)</f>
        <v>5.5147656768714146</v>
      </c>
      <c r="N460" s="225">
        <f t="shared" si="39"/>
        <v>1.834147368680572</v>
      </c>
      <c r="O460" s="225">
        <f>IF(IFERROR(INDEX('Both teabags AfterWet'!$C$3:$C$841,MATCH(J460,'Both teabags AfterWet'!$A$3:$A$841,0)),"")="","",(IFERROR(INDEX('Both teabags AfterWet'!$C$3:$C$841,MATCH(J460,'Both teabags AfterWet'!$A$3:$A$841,0)),"")))</f>
        <v>0.89200000000000002</v>
      </c>
      <c r="P460" s="225">
        <f>IFERROR(IF(O460&gt;0,O460-(TBIcalc!$H$9),""),"")</f>
        <v>0.74140000000000006</v>
      </c>
      <c r="Q460" s="225">
        <f>IFERROR(INDEX('Ashed teabags wet'!$K$2:$K$821,MATCH(J460,'Ashed teabags wet'!$A$2:$A$821,0)),"")</f>
        <v>16.616616616617133</v>
      </c>
      <c r="R460" s="225">
        <f t="shared" si="42"/>
        <v>0.61820440440440061</v>
      </c>
      <c r="S460" s="226">
        <f>'WetLitterbags placem_collection'!E21</f>
        <v>42767</v>
      </c>
      <c r="T460" s="226">
        <f>IF('WetLitterbags placem_collection'!G21="","",'WetLitterbags placem_collection'!G21)</f>
        <v>42818</v>
      </c>
      <c r="U460" s="227">
        <f t="shared" si="38"/>
        <v>51</v>
      </c>
      <c r="V460" s="225">
        <f t="shared" si="40"/>
        <v>1.1997999999999998</v>
      </c>
      <c r="W460" s="225">
        <f t="shared" si="41"/>
        <v>1.2159429642761714</v>
      </c>
      <c r="X460">
        <f>IFERROR(INDEX(Rainfall_Wet!$O$2:$O$217,MATCH(B460, Rainfall_Wet!$A$2:$A$217,0)),"")</f>
        <v>185.630065823</v>
      </c>
      <c r="Y460" s="231">
        <v>54.080969906906262</v>
      </c>
      <c r="Z460" s="231">
        <v>21.264484651351896</v>
      </c>
      <c r="AA460" s="231">
        <v>24.654545441741845</v>
      </c>
      <c r="AB460" s="232" t="s">
        <v>2673</v>
      </c>
      <c r="AC460" s="231">
        <v>3.8433218334154802</v>
      </c>
      <c r="AD460" t="str">
        <f>IF('WetLitterbags placem_collection'!AB21="","",'WetLitterbags placem_collection'!AB21)</f>
        <v/>
      </c>
      <c r="AE460" t="str">
        <f>IF('WetLitterbags placem_collection'!Z21="","",'WetLitterbags placem_collection'!Z21)</f>
        <v/>
      </c>
      <c r="AF460" s="246" t="str">
        <f>IF('WetLitterbags placem_collection'!AA21="","",'WetLitterbags placem_collection'!AA21)</f>
        <v/>
      </c>
      <c r="AG460" t="str">
        <f>IF('WetLitterbags placem_collection'!AC21="","",'WetLitterbags placem_collection'!AC21)</f>
        <v/>
      </c>
      <c r="AH460" s="24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placem_collection'!X21)),"YES","NO")</f>
        <v>NO</v>
      </c>
      <c r="AM460" t="str">
        <f>IF(ISNUMBER(SEARCH("H", 'WetLitterbags placem_collection'!X21)),"YES","NO")</f>
        <v>NO</v>
      </c>
      <c r="AN460" t="str">
        <f>IF(ISNUMBER(SEARCH("R", 'WetLitterbags placem_collection'!X21)),"YES","NO")</f>
        <v>NO</v>
      </c>
    </row>
    <row r="461" spans="1:40" ht="15" customHeight="1">
      <c r="A461" s="258" t="s">
        <v>2460</v>
      </c>
      <c r="B461" s="263">
        <f>'Dry_Litterbag Placem_Collection'!A22</f>
        <v>20</v>
      </c>
      <c r="C461" s="263" t="str">
        <f>'Dry_Litterbag Placem_Collection'!B22</f>
        <v>Makao</v>
      </c>
      <c r="D461" s="263" t="s">
        <v>2659</v>
      </c>
      <c r="E461" s="263" t="s">
        <v>2660</v>
      </c>
      <c r="F461" s="263">
        <v>3</v>
      </c>
      <c r="G461" s="264" t="str">
        <f>'Dry_Litterbag Placem_Collection'!C22</f>
        <v>Dry_Ag3_T4</v>
      </c>
      <c r="H461" s="273" t="s">
        <v>3651</v>
      </c>
      <c r="I461" s="266" t="s">
        <v>1147</v>
      </c>
      <c r="J461" s="223" t="str">
        <f>'WetLitterbags placem_collection'!O22</f>
        <v>G505</v>
      </c>
      <c r="K461" s="225">
        <f>IFERROR(INDEX('Green_rooibos initial weight'!$C$5:$C$1749,MATCH(J461, 'Green_rooibos initial weight'!$A$5:$A$1749,0)),"")</f>
        <v>2.0510000000000002</v>
      </c>
      <c r="L461" s="225">
        <f>IFERROR(K461-(TBIcalc!$H$9+TBIcalc!$H$10),"")</f>
        <v>1.8012000000000001</v>
      </c>
      <c r="M461" s="391">
        <f>AVERAGE(Ashed_controlls!$K$2:$K$11)</f>
        <v>5.5147656768714146</v>
      </c>
      <c r="N461" s="225">
        <f t="shared" si="39"/>
        <v>1.7018680406281923</v>
      </c>
      <c r="O461" s="225">
        <f>IF(IFERROR(INDEX('Both teabags AfterWet'!$C$3:$C$841,MATCH(J461,'Both teabags AfterWet'!$A$3:$A$841,0)),"")="","",(IFERROR(INDEX('Both teabags AfterWet'!$C$3:$C$841,MATCH(J461,'Both teabags AfterWet'!$A$3:$A$841,0)),"")))</f>
        <v>0.70330000000000004</v>
      </c>
      <c r="P461" s="225">
        <f>IFERROR(IF(O461&gt;0,O461-(TBIcalc!$H$9),""),"")</f>
        <v>0.55269999999999997</v>
      </c>
      <c r="Q461" s="225">
        <f>IFERROR(INDEX('Ashed teabags wet'!$K$2:$K$821,MATCH(J461,'Ashed teabags wet'!$A$2:$A$821,0)),"")</f>
        <v>10.945273631841108</v>
      </c>
      <c r="R461" s="225">
        <f t="shared" si="42"/>
        <v>0.49220547263681419</v>
      </c>
      <c r="S461" s="226">
        <f>'WetLitterbags placem_collection'!E22</f>
        <v>42767</v>
      </c>
      <c r="T461" s="226">
        <f>IF('WetLitterbags placem_collection'!G22="","",'WetLitterbags placem_collection'!G22)</f>
        <v>42818</v>
      </c>
      <c r="U461" s="227">
        <f t="shared" si="38"/>
        <v>51</v>
      </c>
      <c r="V461" s="225">
        <f t="shared" si="40"/>
        <v>1.2485000000000002</v>
      </c>
      <c r="W461" s="225">
        <f t="shared" si="41"/>
        <v>1.2096625679913782</v>
      </c>
      <c r="X461">
        <f>IFERROR(INDEX(Rainfall_Wet!$O$2:$O$217,MATCH(B461, Rainfall_Wet!$A$2:$A$217,0)),"")</f>
        <v>185.630065823</v>
      </c>
      <c r="Y461" s="231">
        <v>54.080969906906262</v>
      </c>
      <c r="Z461" s="231">
        <v>21.264484651351896</v>
      </c>
      <c r="AA461" s="231">
        <v>24.654545441741845</v>
      </c>
      <c r="AB461" s="232" t="s">
        <v>2673</v>
      </c>
      <c r="AC461" s="231">
        <v>4.8433218334154802</v>
      </c>
      <c r="AD461" t="str">
        <f>IF('WetLitterbags placem_collection'!AB22="","",'WetLitterbags placem_collection'!AB22)</f>
        <v/>
      </c>
      <c r="AE461" t="str">
        <f>IF('WetLitterbags placem_collection'!Z22="","",'WetLitterbags placem_collection'!Z22)</f>
        <v/>
      </c>
      <c r="AF461" s="246" t="str">
        <f>IF('WetLitterbags placem_collection'!AA22="","",'WetLitterbags placem_collection'!AA22)</f>
        <v/>
      </c>
      <c r="AG461" t="str">
        <f>IF('WetLitterbags placem_collection'!AC22="","",'WetLitterbags placem_collection'!AC22)</f>
        <v/>
      </c>
      <c r="AH461" s="24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placem_collection'!X22)),"YES","NO")</f>
        <v>NO</v>
      </c>
      <c r="AM461" t="str">
        <f>IF(ISNUMBER(SEARCH("H", 'WetLitterbags placem_collection'!X22)),"YES","NO")</f>
        <v>NO</v>
      </c>
      <c r="AN461" t="str">
        <f>IF(ISNUMBER(SEARCH("R", 'WetLitterbags placem_collection'!X22)),"YES","NO")</f>
        <v>NO</v>
      </c>
    </row>
    <row r="462" spans="1:40" ht="15" customHeight="1">
      <c r="A462" s="258" t="s">
        <v>2460</v>
      </c>
      <c r="B462" s="263">
        <f>'Dry_Litterbag Placem_Collection'!A23</f>
        <v>21</v>
      </c>
      <c r="C462" s="263" t="str">
        <f>'Dry_Litterbag Placem_Collection'!B23</f>
        <v>Makao</v>
      </c>
      <c r="D462" s="263" t="s">
        <v>2659</v>
      </c>
      <c r="E462" s="263" t="s">
        <v>2660</v>
      </c>
      <c r="F462" s="263">
        <v>3</v>
      </c>
      <c r="G462" s="264" t="str">
        <f>'Dry_Litterbag Placem_Collection'!C23</f>
        <v>Dry_Ag3_T5</v>
      </c>
      <c r="H462" s="273" t="s">
        <v>3651</v>
      </c>
      <c r="I462" s="266" t="s">
        <v>1147</v>
      </c>
      <c r="J462" s="223" t="str">
        <f>'WetLitterbags placem_collection'!O23</f>
        <v>G721</v>
      </c>
      <c r="K462" s="225">
        <f>IFERROR(INDEX('Green_rooibos initial weight'!$C$5:$C$1749,MATCH(J462, 'Green_rooibos initial weight'!$A$5:$A$1749,0)),"")</f>
        <v>1.9910000000000001</v>
      </c>
      <c r="L462" s="225">
        <f>IFERROR(K462-(TBIcalc!$H$9+TBIcalc!$H$10),"")</f>
        <v>1.7412000000000001</v>
      </c>
      <c r="M462" s="391">
        <f>AVERAGE(Ashed_controlls!$K$2:$K$11)</f>
        <v>5.5147656768714146</v>
      </c>
      <c r="N462" s="225">
        <f t="shared" si="39"/>
        <v>1.645176900034315</v>
      </c>
      <c r="O462" s="225">
        <f>IF(IFERROR(INDEX('Both teabags AfterWet'!$C$3:$C$841,MATCH(J462,'Both teabags AfterWet'!$A$3:$A$841,0)),"")="","",(IFERROR(INDEX('Both teabags AfterWet'!$C$3:$C$841,MATCH(J462,'Both teabags AfterWet'!$A$3:$A$841,0)),"")))</f>
        <v>0.66739999999999999</v>
      </c>
      <c r="P462" s="225">
        <f>IFERROR(IF(O462&gt;0,O462-(TBIcalc!$H$9),""),"")</f>
        <v>0.51679999999999993</v>
      </c>
      <c r="Q462" s="225">
        <f>IFERROR(INDEX('Ashed teabags wet'!$K$2:$K$821,MATCH(J462,'Ashed teabags wet'!$A$2:$A$821,0)),"")</f>
        <v>10.415623435152472</v>
      </c>
      <c r="R462" s="225">
        <f t="shared" si="42"/>
        <v>0.46297205808713193</v>
      </c>
      <c r="S462" s="226">
        <f>'WetLitterbags placem_collection'!E23</f>
        <v>42767</v>
      </c>
      <c r="T462" s="226">
        <f>IF('WetLitterbags placem_collection'!G23="","",'WetLitterbags placem_collection'!G23)</f>
        <v>42818</v>
      </c>
      <c r="U462" s="227">
        <f t="shared" si="38"/>
        <v>51</v>
      </c>
      <c r="V462" s="225">
        <f t="shared" si="40"/>
        <v>1.2244000000000002</v>
      </c>
      <c r="W462" s="225">
        <f t="shared" si="41"/>
        <v>1.1822048419471831</v>
      </c>
      <c r="X462">
        <f>IFERROR(INDEX(Rainfall_Wet!$O$2:$O$217,MATCH(B462, Rainfall_Wet!$A$2:$A$217,0)),"")</f>
        <v>185.630065823</v>
      </c>
      <c r="Y462" s="231">
        <v>54.080969906906262</v>
      </c>
      <c r="Z462" s="231">
        <v>21.264484651351896</v>
      </c>
      <c r="AA462" s="231">
        <v>24.654545441741845</v>
      </c>
      <c r="AB462" s="232" t="s">
        <v>2673</v>
      </c>
      <c r="AC462" s="231">
        <v>5.8433218334154802</v>
      </c>
      <c r="AD462" t="str">
        <f>IF('WetLitterbags placem_collection'!AB23="","",'WetLitterbags placem_collection'!AB23)</f>
        <v/>
      </c>
      <c r="AE462" t="str">
        <f>IF('WetLitterbags placem_collection'!Z23="","",'WetLitterbags placem_collection'!Z23)</f>
        <v/>
      </c>
      <c r="AF462" s="246" t="str">
        <f>IF('WetLitterbags placem_collection'!AA23="","",'WetLitterbags placem_collection'!AA23)</f>
        <v/>
      </c>
      <c r="AG462" t="str">
        <f>IF('WetLitterbags placem_collection'!AC23="","",'WetLitterbags placem_collection'!AC23)</f>
        <v/>
      </c>
      <c r="AH462" s="24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placem_collection'!X23)),"YES","NO")</f>
        <v>NO</v>
      </c>
      <c r="AM462" t="str">
        <f>IF(ISNUMBER(SEARCH("H", 'WetLitterbags placem_collection'!X23)),"YES","NO")</f>
        <v>NO</v>
      </c>
      <c r="AN462" t="str">
        <f>IF(ISNUMBER(SEARCH("R", 'WetLitterbags placem_collection'!X23)),"YES","NO")</f>
        <v>NO</v>
      </c>
    </row>
    <row r="463" spans="1:40" ht="15" customHeight="1">
      <c r="A463" s="258" t="s">
        <v>2460</v>
      </c>
      <c r="B463" s="263">
        <f>'Dry_Litterbag Placem_Collection'!A24</f>
        <v>22</v>
      </c>
      <c r="C463" s="263" t="str">
        <f>'Dry_Litterbag Placem_Collection'!B24</f>
        <v>Makao</v>
      </c>
      <c r="D463" s="263" t="s">
        <v>2659</v>
      </c>
      <c r="E463" s="263" t="s">
        <v>2660</v>
      </c>
      <c r="F463" s="263">
        <v>3</v>
      </c>
      <c r="G463" s="264" t="str">
        <f>'Dry_Litterbag Placem_Collection'!C24</f>
        <v>Dry_Ag3_T6</v>
      </c>
      <c r="H463" s="273" t="s">
        <v>3651</v>
      </c>
      <c r="I463" s="266" t="s">
        <v>1147</v>
      </c>
      <c r="J463" s="223" t="str">
        <f>'WetLitterbags placem_collection'!O24</f>
        <v>G552</v>
      </c>
      <c r="K463" s="225">
        <f>IFERROR(INDEX('Green_rooibos initial weight'!$C$5:$C$1749,MATCH(J463, 'Green_rooibos initial weight'!$A$5:$A$1749,0)),"")</f>
        <v>2.1110000000000002</v>
      </c>
      <c r="L463" s="225">
        <f>IFERROR(K463-(TBIcalc!$H$9+TBIcalc!$H$10),"")</f>
        <v>1.8612000000000002</v>
      </c>
      <c r="M463" s="391">
        <f>AVERAGE(Ashed_controlls!$K$2:$K$11)</f>
        <v>5.5147656768714146</v>
      </c>
      <c r="N463" s="225">
        <f t="shared" si="39"/>
        <v>1.7585591812220693</v>
      </c>
      <c r="O463" s="225">
        <f>IF(IFERROR(INDEX('Both teabags AfterWet'!$C$3:$C$841,MATCH(J463,'Both teabags AfterWet'!$A$3:$A$841,0)),"")="","",(IFERROR(INDEX('Both teabags AfterWet'!$C$3:$C$841,MATCH(J463,'Both teabags AfterWet'!$A$3:$A$841,0)),"")))</f>
        <v>0.75929999999999997</v>
      </c>
      <c r="P463" s="225">
        <f>IFERROR(IF(O463&gt;0,O463-(TBIcalc!$H$9),""),"")</f>
        <v>0.60870000000000002</v>
      </c>
      <c r="Q463" s="225">
        <f>IFERROR(INDEX('Ashed teabags wet'!$K$2:$K$821,MATCH(J463,'Ashed teabags wet'!$A$2:$A$821,0)),"")</f>
        <v>12.068965517241553</v>
      </c>
      <c r="R463" s="225">
        <f t="shared" si="42"/>
        <v>0.53523620689655071</v>
      </c>
      <c r="S463" s="226">
        <f>'WetLitterbags placem_collection'!E24</f>
        <v>42767</v>
      </c>
      <c r="T463" s="226">
        <f>IF('WetLitterbags placem_collection'!G24="","",'WetLitterbags placem_collection'!G24)</f>
        <v>42818</v>
      </c>
      <c r="U463" s="227">
        <f t="shared" si="38"/>
        <v>51</v>
      </c>
      <c r="V463" s="225">
        <f t="shared" si="40"/>
        <v>1.2525000000000002</v>
      </c>
      <c r="W463" s="225">
        <f t="shared" si="41"/>
        <v>1.2233229743255185</v>
      </c>
      <c r="X463">
        <f>IFERROR(INDEX(Rainfall_Wet!$O$2:$O$217,MATCH(B463, Rainfall_Wet!$A$2:$A$217,0)),"")</f>
        <v>185.630065823</v>
      </c>
      <c r="Y463" s="231">
        <v>54.080969906906262</v>
      </c>
      <c r="Z463" s="231">
        <v>21.264484651351896</v>
      </c>
      <c r="AA463" s="231">
        <v>24.654545441741845</v>
      </c>
      <c r="AB463" s="232" t="s">
        <v>2673</v>
      </c>
      <c r="AC463" s="231">
        <v>6.8433218334154802</v>
      </c>
      <c r="AD463" t="str">
        <f>IF('WetLitterbags placem_collection'!AB24="","",'WetLitterbags placem_collection'!AB24)</f>
        <v/>
      </c>
      <c r="AE463" t="str">
        <f>IF('WetLitterbags placem_collection'!Z24="","",'WetLitterbags placem_collection'!Z24)</f>
        <v/>
      </c>
      <c r="AF463" s="246" t="str">
        <f>IF('WetLitterbags placem_collection'!AA24="","",'WetLitterbags placem_collection'!AA24)</f>
        <v/>
      </c>
      <c r="AG463" t="str">
        <f>IF('WetLitterbags placem_collection'!AC24="","",'WetLitterbags placem_collection'!AC24)</f>
        <v/>
      </c>
      <c r="AH463" s="24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placem_collection'!X24)),"YES","NO")</f>
        <v>NO</v>
      </c>
      <c r="AM463" t="str">
        <f>IF(ISNUMBER(SEARCH("H", 'WetLitterbags placem_collection'!X24)),"YES","NO")</f>
        <v>NO</v>
      </c>
      <c r="AN463" t="str">
        <f>IF(ISNUMBER(SEARCH("R", 'WetLitterbags placem_collection'!X24)),"YES","NO")</f>
        <v>NO</v>
      </c>
    </row>
    <row r="464" spans="1:40" ht="15" customHeight="1">
      <c r="A464" s="258" t="s">
        <v>2460</v>
      </c>
      <c r="B464" s="263">
        <f>'Dry_Litterbag Placem_Collection'!A25</f>
        <v>23</v>
      </c>
      <c r="C464" s="263" t="str">
        <f>'Dry_Litterbag Placem_Collection'!B25</f>
        <v>Makao</v>
      </c>
      <c r="D464" s="263" t="s">
        <v>2659</v>
      </c>
      <c r="E464" s="263" t="s">
        <v>2660</v>
      </c>
      <c r="F464" s="263">
        <v>3</v>
      </c>
      <c r="G464" s="264" t="str">
        <f>'Dry_Litterbag Placem_Collection'!C25</f>
        <v>Dry_Ag3_T7</v>
      </c>
      <c r="H464" s="273" t="s">
        <v>3651</v>
      </c>
      <c r="I464" s="266" t="s">
        <v>1147</v>
      </c>
      <c r="J464" s="223" t="str">
        <f>'WetLitterbags placem_collection'!O25</f>
        <v>G456</v>
      </c>
      <c r="K464" s="225">
        <f>IFERROR(INDEX('Green_rooibos initial weight'!$C$5:$C$1749,MATCH(J464, 'Green_rooibos initial weight'!$A$5:$A$1749,0)),"")</f>
        <v>2.117</v>
      </c>
      <c r="L464" s="225">
        <f>IFERROR(K464-(TBIcalc!$H$9+TBIcalc!$H$10),"")</f>
        <v>1.8672</v>
      </c>
      <c r="M464" s="391">
        <f>AVERAGE(Ashed_controlls!$K$2:$K$11)</f>
        <v>5.5147656768714146</v>
      </c>
      <c r="N464" s="225">
        <f t="shared" si="39"/>
        <v>1.764228295281457</v>
      </c>
      <c r="O464" s="225">
        <f>IF(IFERROR(INDEX('Both teabags AfterWet'!$C$3:$C$841,MATCH(J464,'Both teabags AfterWet'!$A$3:$A$841,0)),"")="","",(IFERROR(INDEX('Both teabags AfterWet'!$C$3:$C$841,MATCH(J464,'Both teabags AfterWet'!$A$3:$A$841,0)),"")))</f>
        <v>0.72629999999999995</v>
      </c>
      <c r="P464" s="225">
        <f>IFERROR(IF(O464&gt;0,O464-(TBIcalc!$H$9),""),"")</f>
        <v>0.57569999999999988</v>
      </c>
      <c r="Q464" s="225">
        <f>IFERROR(INDEX('Ashed teabags wet'!$K$2:$K$821,MATCH(J464,'Ashed teabags wet'!$A$2:$A$821,0)),"")</f>
        <v>5.4787506400411408</v>
      </c>
      <c r="R464" s="225">
        <f t="shared" si="42"/>
        <v>0.54415883256528308</v>
      </c>
      <c r="S464" s="226">
        <f>'WetLitterbags placem_collection'!E25</f>
        <v>42767</v>
      </c>
      <c r="T464" s="226">
        <f>IF('WetLitterbags placem_collection'!G25="","",'WetLitterbags placem_collection'!G25)</f>
        <v>42818</v>
      </c>
      <c r="U464" s="227">
        <f t="shared" si="38"/>
        <v>51</v>
      </c>
      <c r="V464" s="225">
        <f t="shared" si="40"/>
        <v>1.2915000000000001</v>
      </c>
      <c r="W464" s="225">
        <f t="shared" si="41"/>
        <v>1.2200694627161739</v>
      </c>
      <c r="X464">
        <f>IFERROR(INDEX(Rainfall_Wet!$O$2:$O$217,MATCH(B464, Rainfall_Wet!$A$2:$A$217,0)),"")</f>
        <v>185.630065823</v>
      </c>
      <c r="Y464" s="231">
        <v>54.080969906906262</v>
      </c>
      <c r="Z464" s="231">
        <v>21.264484651351896</v>
      </c>
      <c r="AA464" s="231">
        <v>24.654545441741845</v>
      </c>
      <c r="AB464" s="232" t="s">
        <v>2673</v>
      </c>
      <c r="AC464" s="231">
        <v>7.8433218334154802</v>
      </c>
      <c r="AD464" t="str">
        <f>IF('WetLitterbags placem_collection'!AB25="","",'WetLitterbags placem_collection'!AB25)</f>
        <v/>
      </c>
      <c r="AE464" t="str">
        <f>IF('WetLitterbags placem_collection'!Z25="","",'WetLitterbags placem_collection'!Z25)</f>
        <v/>
      </c>
      <c r="AF464" s="246" t="str">
        <f>IF('WetLitterbags placem_collection'!AA25="","",'WetLitterbags placem_collection'!AA25)</f>
        <v/>
      </c>
      <c r="AG464" t="str">
        <f>IF('WetLitterbags placem_collection'!AC25="","",'WetLitterbags placem_collection'!AC25)</f>
        <v/>
      </c>
      <c r="AH464" s="24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placem_collection'!X25)),"YES","NO")</f>
        <v>NO</v>
      </c>
      <c r="AM464" t="str">
        <f>IF(ISNUMBER(SEARCH("H", 'WetLitterbags placem_collection'!X25)),"YES","NO")</f>
        <v>NO</v>
      </c>
      <c r="AN464" t="str">
        <f>IF(ISNUMBER(SEARCH("R", 'WetLitterbags placem_collection'!X25)),"YES","NO")</f>
        <v>NO</v>
      </c>
    </row>
    <row r="465" spans="1:40" ht="15" customHeight="1">
      <c r="A465" s="258" t="s">
        <v>2460</v>
      </c>
      <c r="B465" s="263">
        <f>'Dry_Litterbag Placem_Collection'!A26</f>
        <v>24</v>
      </c>
      <c r="C465" s="263" t="str">
        <f>'Dry_Litterbag Placem_Collection'!B26</f>
        <v>Makao</v>
      </c>
      <c r="D465" s="263" t="s">
        <v>2659</v>
      </c>
      <c r="E465" s="263" t="s">
        <v>2660</v>
      </c>
      <c r="F465" s="263">
        <v>3</v>
      </c>
      <c r="G465" s="264" t="str">
        <f>'Dry_Litterbag Placem_Collection'!C26</f>
        <v>Dry_Ag3_T8</v>
      </c>
      <c r="H465" s="273" t="s">
        <v>3651</v>
      </c>
      <c r="I465" s="266" t="s">
        <v>1147</v>
      </c>
      <c r="J465" s="223" t="str">
        <f>'WetLitterbags placem_collection'!O26</f>
        <v>G421</v>
      </c>
      <c r="K465" s="225">
        <f>IFERROR(INDEX('Green_rooibos initial weight'!$C$5:$C$1749,MATCH(J465, 'Green_rooibos initial weight'!$A$5:$A$1749,0)),"")</f>
        <v>2.052</v>
      </c>
      <c r="L465" s="225">
        <f>IFERROR(K465-(TBIcalc!$H$9+TBIcalc!$H$10),"")</f>
        <v>1.8022</v>
      </c>
      <c r="M465" s="391">
        <f>AVERAGE(Ashed_controlls!$K$2:$K$11)</f>
        <v>5.5147656768714146</v>
      </c>
      <c r="N465" s="225">
        <f t="shared" si="39"/>
        <v>1.7028128929714235</v>
      </c>
      <c r="O465" s="225">
        <f>IF(IFERROR(INDEX('Both teabags AfterWet'!$C$3:$C$841,MATCH(J465,'Both teabags AfterWet'!$A$3:$A$841,0)),"")="","",(IFERROR(INDEX('Both teabags AfterWet'!$C$3:$C$841,MATCH(J465,'Both teabags AfterWet'!$A$3:$A$841,0)),"")))</f>
        <v>0.67</v>
      </c>
      <c r="P465" s="225">
        <f>IFERROR(IF(O465&gt;0,O465-(TBIcalc!$H$9),""),"")</f>
        <v>0.51940000000000008</v>
      </c>
      <c r="Q465" s="225">
        <f>IFERROR(INDEX('Ashed teabags wet'!$K$2:$K$821,MATCH(J465,'Ashed teabags wet'!$A$2:$A$821,0)),"")</f>
        <v>10.957551826258362</v>
      </c>
      <c r="R465" s="225">
        <f t="shared" si="42"/>
        <v>0.46248647581441416</v>
      </c>
      <c r="S465" s="226">
        <f>'WetLitterbags placem_collection'!E26</f>
        <v>42767</v>
      </c>
      <c r="T465" s="226">
        <f>IF('WetLitterbags placem_collection'!G26="","",'WetLitterbags placem_collection'!G26)</f>
        <v>42818</v>
      </c>
      <c r="U465" s="227">
        <f t="shared" si="38"/>
        <v>51</v>
      </c>
      <c r="V465" s="225">
        <f t="shared" si="40"/>
        <v>1.2827999999999999</v>
      </c>
      <c r="W465" s="225">
        <f t="shared" si="41"/>
        <v>1.2403264171570094</v>
      </c>
      <c r="X465">
        <f>IFERROR(INDEX(Rainfall_Wet!$O$2:$O$217,MATCH(B465, Rainfall_Wet!$A$2:$A$217,0)),"")</f>
        <v>185.630065823</v>
      </c>
      <c r="Y465" s="231">
        <v>54.080969906906262</v>
      </c>
      <c r="Z465" s="231">
        <v>21.264484651351896</v>
      </c>
      <c r="AA465" s="231">
        <v>24.654545441741845</v>
      </c>
      <c r="AB465" s="232" t="s">
        <v>2673</v>
      </c>
      <c r="AC465" s="231">
        <v>8.8433218334154695</v>
      </c>
      <c r="AD465" t="str">
        <f>IF('WetLitterbags placem_collection'!AB26="","",'WetLitterbags placem_collection'!AB26)</f>
        <v/>
      </c>
      <c r="AE465" t="str">
        <f>IF('WetLitterbags placem_collection'!Z26="","",'WetLitterbags placem_collection'!Z26)</f>
        <v/>
      </c>
      <c r="AF465" s="246" t="str">
        <f>IF('WetLitterbags placem_collection'!AA26="","",'WetLitterbags placem_collection'!AA26)</f>
        <v/>
      </c>
      <c r="AG465" t="str">
        <f>IF('WetLitterbags placem_collection'!AC26="","",'WetLitterbags placem_collection'!AC26)</f>
        <v/>
      </c>
      <c r="AH465" s="24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placem_collection'!X26)),"YES","NO")</f>
        <v>NO</v>
      </c>
      <c r="AM465" t="str">
        <f>IF(ISNUMBER(SEARCH("H", 'WetLitterbags placem_collection'!X26)),"YES","NO")</f>
        <v>NO</v>
      </c>
      <c r="AN465" t="str">
        <f>IF(ISNUMBER(SEARCH("R", 'WetLitterbags placem_collection'!X26)),"YES","NO")</f>
        <v>NO</v>
      </c>
    </row>
    <row r="466" spans="1:40" ht="15" customHeight="1">
      <c r="A466" s="258" t="s">
        <v>2460</v>
      </c>
      <c r="B466" s="263">
        <f>'Dry_Litterbag Placem_Collection'!A27</f>
        <v>25</v>
      </c>
      <c r="C466" s="263" t="str">
        <f>'Dry_Litterbag Placem_Collection'!B27</f>
        <v>Makao</v>
      </c>
      <c r="D466" s="263" t="s">
        <v>2659</v>
      </c>
      <c r="E466" s="263" t="s">
        <v>2660</v>
      </c>
      <c r="F466" s="263">
        <v>4</v>
      </c>
      <c r="G466" s="264" t="str">
        <f>'Dry_Litterbag Placem_Collection'!C27</f>
        <v>Dry_Ag4_T1</v>
      </c>
      <c r="H466" s="273" t="s">
        <v>3651</v>
      </c>
      <c r="I466" s="266" t="s">
        <v>1147</v>
      </c>
      <c r="J466" s="223" t="str">
        <f>'WetLitterbags placem_collection'!O27</f>
        <v>G864</v>
      </c>
      <c r="K466" s="225">
        <f>IFERROR(INDEX('Green_rooibos initial weight'!$C$5:$C$1749,MATCH(J466, 'Green_rooibos initial weight'!$A$5:$A$1749,0)),"")</f>
        <v>2.0310000000000001</v>
      </c>
      <c r="L466" s="225">
        <f>IFERROR(K466-(TBIcalc!$H$9+TBIcalc!$H$10),"")</f>
        <v>1.7812000000000001</v>
      </c>
      <c r="M466" s="391">
        <f>AVERAGE(Ashed_controlls!$K$2:$K$11)</f>
        <v>5.5147656768714146</v>
      </c>
      <c r="N466" s="225">
        <f t="shared" si="39"/>
        <v>1.6829709937635664</v>
      </c>
      <c r="O466" s="225">
        <f>IF(IFERROR(INDEX('Both teabags AfterWet'!$C$3:$C$841,MATCH(J466,'Both teabags AfterWet'!$A$3:$A$841,0)),"")="","",(IFERROR(INDEX('Both teabags AfterWet'!$C$3:$C$841,MATCH(J466,'Both teabags AfterWet'!$A$3:$A$841,0)),"")))</f>
        <v>0.65839999999999999</v>
      </c>
      <c r="P466" s="225">
        <f>IFERROR(IF(O466&gt;0,O466-(TBIcalc!$H$9),""),"")</f>
        <v>0.50780000000000003</v>
      </c>
      <c r="Q466" s="225">
        <f>IFERROR(INDEX('Ashed teabags wet'!$K$2:$K$821,MATCH(J466,'Ashed teabags wet'!$A$2:$A$821,0)),"")</f>
        <v>15.647921760391469</v>
      </c>
      <c r="R466" s="225">
        <f t="shared" si="42"/>
        <v>0.42833985330073215</v>
      </c>
      <c r="S466" s="226">
        <f>'WetLitterbags placem_collection'!E27</f>
        <v>42767</v>
      </c>
      <c r="T466" s="226">
        <f>IF('WetLitterbags placem_collection'!G27="","",'WetLitterbags placem_collection'!G27)</f>
        <v>42818</v>
      </c>
      <c r="U466" s="227">
        <f t="shared" si="38"/>
        <v>51</v>
      </c>
      <c r="V466" s="225">
        <f t="shared" si="40"/>
        <v>1.2734000000000001</v>
      </c>
      <c r="W466" s="225">
        <f t="shared" si="41"/>
        <v>1.2546311404628343</v>
      </c>
      <c r="X466">
        <f>IFERROR(INDEX(Rainfall_Wet!$O$2:$O$217,MATCH(B466, Rainfall_Wet!$A$2:$A$217,0)),"")</f>
        <v>185.630065823</v>
      </c>
      <c r="Y466" s="231">
        <v>51.960000000000008</v>
      </c>
      <c r="Z466" s="231">
        <v>18.919999999999995</v>
      </c>
      <c r="AA466" s="231">
        <v>29.120000000000005</v>
      </c>
      <c r="AB466" s="232" t="s">
        <v>2673</v>
      </c>
      <c r="AC466" s="231">
        <v>1.85293247905372</v>
      </c>
      <c r="AD466" t="str">
        <f>IF('WetLitterbags placem_collection'!AB27="","",'WetLitterbags placem_collection'!AB27)</f>
        <v/>
      </c>
      <c r="AE466" t="str">
        <f>IF('WetLitterbags placem_collection'!Z27="","",'WetLitterbags placem_collection'!Z27)</f>
        <v/>
      </c>
      <c r="AF466" s="246" t="str">
        <f>IF('WetLitterbags placem_collection'!AA27="","",'WetLitterbags placem_collection'!AA27)</f>
        <v/>
      </c>
      <c r="AG466" t="str">
        <f>IF('WetLitterbags placem_collection'!AC27="","",'WetLitterbags placem_collection'!AC27)</f>
        <v/>
      </c>
      <c r="AH466" s="24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placem_collection'!X27)),"YES","NO")</f>
        <v>NO</v>
      </c>
      <c r="AM466" t="str">
        <f>IF(ISNUMBER(SEARCH("H", 'WetLitterbags placem_collection'!X27)),"YES","NO")</f>
        <v>NO</v>
      </c>
      <c r="AN466" t="str">
        <f>IF(ISNUMBER(SEARCH("R", 'WetLitterbags placem_collection'!X27)),"YES","NO")</f>
        <v>NO</v>
      </c>
    </row>
    <row r="467" spans="1:40" ht="15" customHeight="1">
      <c r="A467" s="258" t="s">
        <v>2460</v>
      </c>
      <c r="B467" s="263">
        <f>'Dry_Litterbag Placem_Collection'!A28</f>
        <v>26</v>
      </c>
      <c r="C467" s="263" t="str">
        <f>'Dry_Litterbag Placem_Collection'!B28</f>
        <v>Makao</v>
      </c>
      <c r="D467" s="263" t="s">
        <v>2659</v>
      </c>
      <c r="E467" s="263" t="s">
        <v>2660</v>
      </c>
      <c r="F467" s="263">
        <v>4</v>
      </c>
      <c r="G467" s="264" t="str">
        <f>'Dry_Litterbag Placem_Collection'!C28</f>
        <v>Dry_Ag4_T2</v>
      </c>
      <c r="H467" s="273" t="s">
        <v>3651</v>
      </c>
      <c r="I467" s="266" t="s">
        <v>1147</v>
      </c>
      <c r="J467" s="223" t="str">
        <f>'WetLitterbags placem_collection'!O28</f>
        <v>G506</v>
      </c>
      <c r="K467" s="225">
        <f>IFERROR(INDEX('Green_rooibos initial weight'!$C$5:$C$1749,MATCH(J467, 'Green_rooibos initial weight'!$A$5:$A$1749,0)),"")</f>
        <v>1.9079999999999999</v>
      </c>
      <c r="L467" s="225">
        <f>IFERROR(K467-(TBIcalc!$H$9+TBIcalc!$H$10),"")</f>
        <v>1.6581999999999999</v>
      </c>
      <c r="M467" s="391">
        <f>AVERAGE(Ashed_controlls!$K$2:$K$11)</f>
        <v>5.5147656768714146</v>
      </c>
      <c r="N467" s="225">
        <f t="shared" si="39"/>
        <v>1.5667541555461182</v>
      </c>
      <c r="O467" s="225">
        <f>IF(IFERROR(INDEX('Both teabags AfterWet'!$C$3:$C$841,MATCH(J467,'Both teabags AfterWet'!$A$3:$A$841,0)),"")="","",(IFERROR(INDEX('Both teabags AfterWet'!$C$3:$C$841,MATCH(J467,'Both teabags AfterWet'!$A$3:$A$841,0)),"")))</f>
        <v>0.67589999999999995</v>
      </c>
      <c r="P467" s="225">
        <f>IFERROR(IF(O467&gt;0,O467-(TBIcalc!$H$9),""),"")</f>
        <v>0.52529999999999988</v>
      </c>
      <c r="Q467" s="225">
        <f>IFERROR(INDEX('Ashed teabags wet'!$K$2:$K$821,MATCH(J467,'Ashed teabags wet'!$A$2:$A$821,0)),"")</f>
        <v>8.561473369835749</v>
      </c>
      <c r="R467" s="225">
        <f t="shared" si="42"/>
        <v>0.48032658038825271</v>
      </c>
      <c r="S467" s="226">
        <f>'WetLitterbags placem_collection'!E28</f>
        <v>42767</v>
      </c>
      <c r="T467" s="226">
        <f>IF('WetLitterbags placem_collection'!G28="","",'WetLitterbags placem_collection'!G28)</f>
        <v>42818</v>
      </c>
      <c r="U467" s="227">
        <f t="shared" si="38"/>
        <v>51</v>
      </c>
      <c r="V467" s="225">
        <f t="shared" si="40"/>
        <v>1.1329</v>
      </c>
      <c r="W467" s="225">
        <f t="shared" si="41"/>
        <v>1.0864275751578654</v>
      </c>
      <c r="X467">
        <f>IFERROR(INDEX(Rainfall_Wet!$O$2:$O$217,MATCH(B467, Rainfall_Wet!$A$2:$A$217,0)),"")</f>
        <v>185.630065823</v>
      </c>
      <c r="Y467" s="231">
        <v>51.960000000000008</v>
      </c>
      <c r="Z467" s="231">
        <v>18.919999999999995</v>
      </c>
      <c r="AA467" s="231">
        <v>29.120000000000005</v>
      </c>
      <c r="AB467" s="232" t="s">
        <v>2673</v>
      </c>
      <c r="AC467" s="231">
        <v>2.8529324790537198</v>
      </c>
      <c r="AD467" t="str">
        <f>IF('WetLitterbags placem_collection'!AB28="","",'WetLitterbags placem_collection'!AB28)</f>
        <v/>
      </c>
      <c r="AE467" t="str">
        <f>IF('WetLitterbags placem_collection'!Z28="","",'WetLitterbags placem_collection'!Z28)</f>
        <v/>
      </c>
      <c r="AF467" s="246" t="str">
        <f>IF('WetLitterbags placem_collection'!AA28="","",'WetLitterbags placem_collection'!AA28)</f>
        <v/>
      </c>
      <c r="AG467" t="str">
        <f>IF('WetLitterbags placem_collection'!AC28="","",'WetLitterbags placem_collection'!AC28)</f>
        <v/>
      </c>
      <c r="AH467" s="24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placem_collection'!X28)),"YES","NO")</f>
        <v>NO</v>
      </c>
      <c r="AM467" t="str">
        <f>IF(ISNUMBER(SEARCH("H", 'WetLitterbags placem_collection'!X28)),"YES","NO")</f>
        <v>NO</v>
      </c>
      <c r="AN467" t="str">
        <f>IF(ISNUMBER(SEARCH("R", 'WetLitterbags placem_collection'!X28)),"YES","NO")</f>
        <v>NO</v>
      </c>
    </row>
    <row r="468" spans="1:40" ht="15" customHeight="1">
      <c r="A468" s="258" t="s">
        <v>2460</v>
      </c>
      <c r="B468" s="263">
        <f>'Dry_Litterbag Placem_Collection'!A29</f>
        <v>27</v>
      </c>
      <c r="C468" s="263" t="str">
        <f>'Dry_Litterbag Placem_Collection'!B29</f>
        <v>Makao</v>
      </c>
      <c r="D468" s="263" t="s">
        <v>2659</v>
      </c>
      <c r="E468" s="263" t="s">
        <v>2660</v>
      </c>
      <c r="F468" s="263">
        <v>4</v>
      </c>
      <c r="G468" s="264" t="str">
        <f>'Dry_Litterbag Placem_Collection'!C29</f>
        <v>Dry_Ag4_T3</v>
      </c>
      <c r="H468" s="273" t="s">
        <v>3651</v>
      </c>
      <c r="I468" s="266" t="s">
        <v>1147</v>
      </c>
      <c r="J468" s="223" t="str">
        <f>'WetLitterbags placem_collection'!O29</f>
        <v>G449</v>
      </c>
      <c r="K468" s="225">
        <f>IFERROR(INDEX('Green_rooibos initial weight'!$C$5:$C$1749,MATCH(J468, 'Green_rooibos initial weight'!$A$5:$A$1749,0)),"")</f>
        <v>2.1749999999999998</v>
      </c>
      <c r="L468" s="225">
        <f>IFERROR(K468-(TBIcalc!$H$9+TBIcalc!$H$10),"")</f>
        <v>1.9251999999999998</v>
      </c>
      <c r="M468" s="391">
        <f>AVERAGE(Ashed_controlls!$K$2:$K$11)</f>
        <v>5.5147656768714146</v>
      </c>
      <c r="N468" s="225">
        <f t="shared" si="39"/>
        <v>1.8190297311888712</v>
      </c>
      <c r="O468" s="225">
        <f>IF(IFERROR(INDEX('Both teabags AfterWet'!$C$3:$C$841,MATCH(J468,'Both teabags AfterWet'!$A$3:$A$841,0)),"")="","",(IFERROR(INDEX('Both teabags AfterWet'!$C$3:$C$841,MATCH(J468,'Both teabags AfterWet'!$A$3:$A$841,0)),"")))</f>
        <v>0.73760000000000003</v>
      </c>
      <c r="P468" s="225">
        <f>IFERROR(IF(O468&gt;0,O468-(TBIcalc!$H$9),""),"")</f>
        <v>0.58699999999999997</v>
      </c>
      <c r="Q468" s="225">
        <f>IFERROR(INDEX('Ashed teabags wet'!$K$2:$K$821,MATCH(J468,'Ashed teabags wet'!$A$2:$A$821,0)),"")</f>
        <v>10.444777611194501</v>
      </c>
      <c r="R468" s="225">
        <f t="shared" si="42"/>
        <v>0.52568915542228822</v>
      </c>
      <c r="S468" s="226">
        <f>'WetLitterbags placem_collection'!E29</f>
        <v>42767</v>
      </c>
      <c r="T468" s="226">
        <f>IF('WetLitterbags placem_collection'!G29="","",'WetLitterbags placem_collection'!G29)</f>
        <v>42818</v>
      </c>
      <c r="U468" s="227">
        <f t="shared" si="38"/>
        <v>51</v>
      </c>
      <c r="V468" s="225">
        <f t="shared" si="40"/>
        <v>1.3381999999999998</v>
      </c>
      <c r="W468" s="225">
        <f t="shared" si="41"/>
        <v>1.293340575766583</v>
      </c>
      <c r="X468">
        <f>IFERROR(INDEX(Rainfall_Wet!$O$2:$O$217,MATCH(B468, Rainfall_Wet!$A$2:$A$217,0)),"")</f>
        <v>185.630065823</v>
      </c>
      <c r="Y468" s="231">
        <v>51.960000000000008</v>
      </c>
      <c r="Z468" s="231">
        <v>18.919999999999995</v>
      </c>
      <c r="AA468" s="231">
        <v>29.120000000000005</v>
      </c>
      <c r="AB468" s="232" t="s">
        <v>2673</v>
      </c>
      <c r="AC468" s="231">
        <v>3.8529324790537198</v>
      </c>
      <c r="AD468" t="str">
        <f>IF('WetLitterbags placem_collection'!AB29="","",'WetLitterbags placem_collection'!AB29)</f>
        <v/>
      </c>
      <c r="AE468" t="str">
        <f>IF('WetLitterbags placem_collection'!Z29="","",'WetLitterbags placem_collection'!Z29)</f>
        <v/>
      </c>
      <c r="AF468" s="246" t="str">
        <f>IF('WetLitterbags placem_collection'!AA29="","",'WetLitterbags placem_collection'!AA29)</f>
        <v/>
      </c>
      <c r="AG468" t="str">
        <f>IF('WetLitterbags placem_collection'!AC29="","",'WetLitterbags placem_collection'!AC29)</f>
        <v/>
      </c>
      <c r="AH468" s="24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placem_collection'!X29)),"YES","NO")</f>
        <v>NO</v>
      </c>
      <c r="AM468" t="str">
        <f>IF(ISNUMBER(SEARCH("H", 'WetLitterbags placem_collection'!X29)),"YES","NO")</f>
        <v>NO</v>
      </c>
      <c r="AN468" t="str">
        <f>IF(ISNUMBER(SEARCH("R", 'WetLitterbags placem_collection'!X29)),"YES","NO")</f>
        <v>NO</v>
      </c>
    </row>
    <row r="469" spans="1:40" ht="15" customHeight="1">
      <c r="A469" s="258" t="s">
        <v>2460</v>
      </c>
      <c r="B469" s="263">
        <f>'Dry_Litterbag Placem_Collection'!A30</f>
        <v>28</v>
      </c>
      <c r="C469" s="263" t="str">
        <f>'Dry_Litterbag Placem_Collection'!B30</f>
        <v>Makao</v>
      </c>
      <c r="D469" s="263" t="s">
        <v>2659</v>
      </c>
      <c r="E469" s="263" t="s">
        <v>2660</v>
      </c>
      <c r="F469" s="263">
        <v>4</v>
      </c>
      <c r="G469" s="264" t="str">
        <f>'Dry_Litterbag Placem_Collection'!C30</f>
        <v>Dry_Ag4_T4</v>
      </c>
      <c r="H469" s="273" t="s">
        <v>3651</v>
      </c>
      <c r="I469" s="266" t="s">
        <v>1147</v>
      </c>
      <c r="J469" s="223" t="str">
        <f>'WetLitterbags placem_collection'!O30</f>
        <v>G502</v>
      </c>
      <c r="K469" s="225">
        <f>IFERROR(INDEX('Green_rooibos initial weight'!$C$5:$C$1749,MATCH(J469, 'Green_rooibos initial weight'!$A$5:$A$1749,0)),"")</f>
        <v>1.929</v>
      </c>
      <c r="L469" s="225">
        <f>IFERROR(K469-(TBIcalc!$H$9+TBIcalc!$H$10),"")</f>
        <v>1.6792</v>
      </c>
      <c r="M469" s="391">
        <f>AVERAGE(Ashed_controlls!$K$2:$K$11)</f>
        <v>5.5147656768714146</v>
      </c>
      <c r="N469" s="225">
        <f t="shared" si="39"/>
        <v>1.5865960547539752</v>
      </c>
      <c r="O469" s="225">
        <f>IF(IFERROR(INDEX('Both teabags AfterWet'!$C$3:$C$841,MATCH(J469,'Both teabags AfterWet'!$A$3:$A$841,0)),"")="","",(IFERROR(INDEX('Both teabags AfterWet'!$C$3:$C$841,MATCH(J469,'Both teabags AfterWet'!$A$3:$A$841,0)),"")))</f>
        <v>0.60960000000000003</v>
      </c>
      <c r="P469" s="225">
        <f>IFERROR(IF(O469&gt;0,O469-(TBIcalc!$H$9),""),"")</f>
        <v>0.45900000000000002</v>
      </c>
      <c r="Q469" s="225">
        <f>IFERROR(INDEX('Ashed teabags wet'!$K$2:$K$821,MATCH(J469,'Ashed teabags wet'!$A$2:$A$821,0)),"")</f>
        <v>10.16121152906673</v>
      </c>
      <c r="R469" s="225">
        <f t="shared" si="42"/>
        <v>0.41236003908158375</v>
      </c>
      <c r="S469" s="226">
        <f>'WetLitterbags placem_collection'!E30</f>
        <v>42767</v>
      </c>
      <c r="T469" s="226">
        <f>IF('WetLitterbags placem_collection'!G30="","",'WetLitterbags placem_collection'!G30)</f>
        <v>42818</v>
      </c>
      <c r="U469" s="227">
        <f t="shared" si="38"/>
        <v>51</v>
      </c>
      <c r="V469" s="225">
        <f t="shared" si="40"/>
        <v>1.2202</v>
      </c>
      <c r="W469" s="225">
        <f t="shared" si="41"/>
        <v>1.1742360156723914</v>
      </c>
      <c r="X469">
        <f>IFERROR(INDEX(Rainfall_Wet!$O$2:$O$217,MATCH(B469, Rainfall_Wet!$A$2:$A$217,0)),"")</f>
        <v>185.630065823</v>
      </c>
      <c r="Y469" s="231">
        <v>51.960000000000008</v>
      </c>
      <c r="Z469" s="231">
        <v>18.919999999999995</v>
      </c>
      <c r="AA469" s="231">
        <v>29.120000000000005</v>
      </c>
      <c r="AB469" s="232" t="s">
        <v>2673</v>
      </c>
      <c r="AC469" s="231">
        <v>4.8529324790537203</v>
      </c>
      <c r="AD469" t="str">
        <f>IF('WetLitterbags placem_collection'!AB30="","",'WetLitterbags placem_collection'!AB30)</f>
        <v/>
      </c>
      <c r="AE469" t="str">
        <f>IF('WetLitterbags placem_collection'!Z30="","",'WetLitterbags placem_collection'!Z30)</f>
        <v/>
      </c>
      <c r="AF469" s="246" t="str">
        <f>IF('WetLitterbags placem_collection'!AA30="","",'WetLitterbags placem_collection'!AA30)</f>
        <v/>
      </c>
      <c r="AG469" t="str">
        <f>IF('WetLitterbags placem_collection'!AC30="","",'WetLitterbags placem_collection'!AC30)</f>
        <v/>
      </c>
      <c r="AH469" s="24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placem_collection'!X30)),"YES","NO")</f>
        <v>NO</v>
      </c>
      <c r="AM469" t="str">
        <f>IF(ISNUMBER(SEARCH("H", 'WetLitterbags placem_collection'!X30)),"YES","NO")</f>
        <v>NO</v>
      </c>
      <c r="AN469" t="str">
        <f>IF(ISNUMBER(SEARCH("R", 'WetLitterbags placem_collection'!X30)),"YES","NO")</f>
        <v>NO</v>
      </c>
    </row>
    <row r="470" spans="1:40" ht="15" customHeight="1">
      <c r="A470" s="258" t="s">
        <v>2460</v>
      </c>
      <c r="B470" s="263">
        <f>'Dry_Litterbag Placem_Collection'!A31</f>
        <v>29</v>
      </c>
      <c r="C470" s="263" t="str">
        <f>'Dry_Litterbag Placem_Collection'!B31</f>
        <v>Makao</v>
      </c>
      <c r="D470" s="263" t="s">
        <v>2659</v>
      </c>
      <c r="E470" s="263" t="s">
        <v>2660</v>
      </c>
      <c r="F470" s="263">
        <v>4</v>
      </c>
      <c r="G470" s="264" t="str">
        <f>'Dry_Litterbag Placem_Collection'!C31</f>
        <v>Dry_Ag4_T5</v>
      </c>
      <c r="H470" s="273" t="s">
        <v>3651</v>
      </c>
      <c r="I470" s="266" t="s">
        <v>1147</v>
      </c>
      <c r="J470" s="223" t="str">
        <f>'WetLitterbags placem_collection'!O31</f>
        <v>G345</v>
      </c>
      <c r="K470" s="225">
        <f>IFERROR(INDEX('Green_rooibos initial weight'!$C$5:$C$1749,MATCH(J470, 'Green_rooibos initial weight'!$A$5:$A$1749,0)),"")</f>
        <v>2.012</v>
      </c>
      <c r="L470" s="225">
        <f>IFERROR(K470-(TBIcalc!$H$9+TBIcalc!$H$10),"")</f>
        <v>1.7622</v>
      </c>
      <c r="M470" s="391">
        <f>AVERAGE(Ashed_controlls!$K$2:$K$11)</f>
        <v>5.5147656768714146</v>
      </c>
      <c r="N470" s="225">
        <f t="shared" si="39"/>
        <v>1.6650187992421719</v>
      </c>
      <c r="O470" s="225">
        <f>IF(IFERROR(INDEX('Both teabags AfterWet'!$C$3:$C$841,MATCH(J470,'Both teabags AfterWet'!$A$3:$A$841,0)),"")="","",(IFERROR(INDEX('Both teabags AfterWet'!$C$3:$C$841,MATCH(J470,'Both teabags AfterWet'!$A$3:$A$841,0)),"")))</f>
        <v>0.64829999999999999</v>
      </c>
      <c r="P470" s="225">
        <f>IFERROR(IF(O470&gt;0,O470-(TBIcalc!$H$9),""),"")</f>
        <v>0.49769999999999998</v>
      </c>
      <c r="Q470" s="225">
        <f>IFERROR(INDEX('Ashed teabags wet'!$K$2:$K$821,MATCH(J470,'Ashed teabags wet'!$A$2:$A$821,0)),"")</f>
        <v>9.5937347038662821</v>
      </c>
      <c r="R470" s="225">
        <f t="shared" si="42"/>
        <v>0.44995198237885747</v>
      </c>
      <c r="S470" s="226">
        <f>'WetLitterbags placem_collection'!E31</f>
        <v>42767</v>
      </c>
      <c r="T470" s="226">
        <f>IF('WetLitterbags placem_collection'!G31="","",'WetLitterbags placem_collection'!G31)</f>
        <v>42818</v>
      </c>
      <c r="U470" s="227">
        <f t="shared" si="38"/>
        <v>51</v>
      </c>
      <c r="V470" s="225">
        <f t="shared" si="40"/>
        <v>1.2645</v>
      </c>
      <c r="W470" s="225">
        <f t="shared" si="41"/>
        <v>1.2150668168633145</v>
      </c>
      <c r="X470">
        <f>IFERROR(INDEX(Rainfall_Wet!$O$2:$O$217,MATCH(B470, Rainfall_Wet!$A$2:$A$217,0)),"")</f>
        <v>185.630065823</v>
      </c>
      <c r="Y470" s="231">
        <v>51.960000000000008</v>
      </c>
      <c r="Z470" s="231">
        <v>18.919999999999995</v>
      </c>
      <c r="AA470" s="231">
        <v>29.120000000000005</v>
      </c>
      <c r="AB470" s="232" t="s">
        <v>2673</v>
      </c>
      <c r="AC470" s="231">
        <v>5.8529324790537203</v>
      </c>
      <c r="AD470" t="str">
        <f>IF('WetLitterbags placem_collection'!AB31="","",'WetLitterbags placem_collection'!AB31)</f>
        <v/>
      </c>
      <c r="AE470" t="str">
        <f>IF('WetLitterbags placem_collection'!Z31="","",'WetLitterbags placem_collection'!Z31)</f>
        <v/>
      </c>
      <c r="AF470" s="246" t="str">
        <f>IF('WetLitterbags placem_collection'!AA31="","",'WetLitterbags placem_collection'!AA31)</f>
        <v/>
      </c>
      <c r="AG470" t="str">
        <f>IF('WetLitterbags placem_collection'!AC31="","",'WetLitterbags placem_collection'!AC31)</f>
        <v/>
      </c>
      <c r="AH470" s="24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placem_collection'!X31)),"YES","NO")</f>
        <v>NO</v>
      </c>
      <c r="AM470" t="str">
        <f>IF(ISNUMBER(SEARCH("H", 'WetLitterbags placem_collection'!X31)),"YES","NO")</f>
        <v>NO</v>
      </c>
      <c r="AN470" t="str">
        <f>IF(ISNUMBER(SEARCH("R", 'WetLitterbags placem_collection'!X31)),"YES","NO")</f>
        <v>NO</v>
      </c>
    </row>
    <row r="471" spans="1:40" ht="15" customHeight="1">
      <c r="A471" s="258" t="s">
        <v>2460</v>
      </c>
      <c r="B471" s="263">
        <f>'Dry_Litterbag Placem_Collection'!A32</f>
        <v>30</v>
      </c>
      <c r="C471" s="263" t="str">
        <f>'Dry_Litterbag Placem_Collection'!B32</f>
        <v>Makao</v>
      </c>
      <c r="D471" s="263" t="s">
        <v>2659</v>
      </c>
      <c r="E471" s="263" t="s">
        <v>2660</v>
      </c>
      <c r="F471" s="263">
        <v>4</v>
      </c>
      <c r="G471" s="264" t="str">
        <f>'Dry_Litterbag Placem_Collection'!C32</f>
        <v>Dry_Ag4_T6</v>
      </c>
      <c r="H471" s="273" t="s">
        <v>3651</v>
      </c>
      <c r="I471" s="266" t="s">
        <v>1147</v>
      </c>
      <c r="J471" s="223" t="str">
        <f>'WetLitterbags placem_collection'!O32</f>
        <v>G500</v>
      </c>
      <c r="K471" s="225">
        <f>IFERROR(INDEX('Green_rooibos initial weight'!$C$5:$C$1749,MATCH(J471, 'Green_rooibos initial weight'!$A$5:$A$1749,0)),"")</f>
        <v>2.0830000000000002</v>
      </c>
      <c r="L471" s="225">
        <f>IFERROR(K471-(TBIcalc!$H$9+TBIcalc!$H$10),"")</f>
        <v>1.8332000000000002</v>
      </c>
      <c r="M471" s="391">
        <f>AVERAGE(Ashed_controlls!$K$2:$K$11)</f>
        <v>5.5147656768714146</v>
      </c>
      <c r="N471" s="225">
        <f t="shared" si="39"/>
        <v>1.7321033156115935</v>
      </c>
      <c r="O471" s="225">
        <f>IF(IFERROR(INDEX('Both teabags AfterWet'!$C$3:$C$841,MATCH(J471,'Both teabags AfterWet'!$A$3:$A$841,0)),"")="","",(IFERROR(INDEX('Both teabags AfterWet'!$C$3:$C$841,MATCH(J471,'Both teabags AfterWet'!$A$3:$A$841,0)),"")))</f>
        <v>0.61909999999999998</v>
      </c>
      <c r="P471" s="225">
        <f>IFERROR(IF(O471&gt;0,O471-(TBIcalc!$H$9),""),"")</f>
        <v>0.46849999999999997</v>
      </c>
      <c r="Q471" s="225">
        <f>IFERROR(INDEX('Ashed teabags wet'!$K$2:$K$821,MATCH(J471,'Ashed teabags wet'!$A$2:$A$821,0)),"")</f>
        <v>10.952848722986133</v>
      </c>
      <c r="R471" s="225">
        <f t="shared" si="42"/>
        <v>0.41718590373280995</v>
      </c>
      <c r="S471" s="226">
        <f>'WetLitterbags placem_collection'!E32</f>
        <v>42767</v>
      </c>
      <c r="T471" s="226">
        <f>IF('WetLitterbags placem_collection'!G32="","",'WetLitterbags placem_collection'!G32)</f>
        <v>42818</v>
      </c>
      <c r="U471" s="227">
        <f t="shared" si="38"/>
        <v>51</v>
      </c>
      <c r="V471" s="225">
        <f t="shared" si="40"/>
        <v>1.3647000000000002</v>
      </c>
      <c r="W471" s="225">
        <f t="shared" si="41"/>
        <v>1.3149174118787834</v>
      </c>
      <c r="X471">
        <f>IFERROR(INDEX(Rainfall_Wet!$O$2:$O$217,MATCH(B471, Rainfall_Wet!$A$2:$A$217,0)),"")</f>
        <v>185.630065823</v>
      </c>
      <c r="Y471" s="231">
        <v>51.960000000000008</v>
      </c>
      <c r="Z471" s="231">
        <v>18.919999999999995</v>
      </c>
      <c r="AA471" s="231">
        <v>29.120000000000005</v>
      </c>
      <c r="AB471" s="232" t="s">
        <v>2673</v>
      </c>
      <c r="AC471" s="231">
        <v>6.8529324790537203</v>
      </c>
      <c r="AD471" t="str">
        <f>IF('WetLitterbags placem_collection'!AB32="","",'WetLitterbags placem_collection'!AB32)</f>
        <v/>
      </c>
      <c r="AE471" t="str">
        <f>IF('WetLitterbags placem_collection'!Z32="","",'WetLitterbags placem_collection'!Z32)</f>
        <v/>
      </c>
      <c r="AF471" s="246" t="str">
        <f>IF('WetLitterbags placem_collection'!AA32="","",'WetLitterbags placem_collection'!AA32)</f>
        <v/>
      </c>
      <c r="AG471" t="str">
        <f>IF('WetLitterbags placem_collection'!AC32="","",'WetLitterbags placem_collection'!AC32)</f>
        <v/>
      </c>
      <c r="AH471" s="24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placem_collection'!X32)),"YES","NO")</f>
        <v>NO</v>
      </c>
      <c r="AM471" t="str">
        <f>IF(ISNUMBER(SEARCH("H", 'WetLitterbags placem_collection'!X32)),"YES","NO")</f>
        <v>NO</v>
      </c>
      <c r="AN471" t="str">
        <f>IF(ISNUMBER(SEARCH("R", 'WetLitterbags placem_collection'!X32)),"YES","NO")</f>
        <v>NO</v>
      </c>
    </row>
    <row r="472" spans="1:40" ht="15" customHeight="1">
      <c r="A472" s="258" t="s">
        <v>2460</v>
      </c>
      <c r="B472" s="263">
        <f>'Dry_Litterbag Placem_Collection'!A33</f>
        <v>31</v>
      </c>
      <c r="C472" s="263" t="str">
        <f>'Dry_Litterbag Placem_Collection'!B33</f>
        <v>Makao</v>
      </c>
      <c r="D472" s="263" t="s">
        <v>2659</v>
      </c>
      <c r="E472" s="263" t="s">
        <v>2660</v>
      </c>
      <c r="F472" s="263">
        <v>4</v>
      </c>
      <c r="G472" s="264" t="str">
        <f>'Dry_Litterbag Placem_Collection'!C33</f>
        <v>Dry_Ag4_T7</v>
      </c>
      <c r="H472" s="273" t="s">
        <v>3651</v>
      </c>
      <c r="I472" s="266" t="s">
        <v>1147</v>
      </c>
      <c r="J472" s="223" t="str">
        <f>'WetLitterbags placem_collection'!O33</f>
        <v>G521</v>
      </c>
      <c r="K472" s="225">
        <f>IFERROR(INDEX('Green_rooibos initial weight'!$C$5:$C$1749,MATCH(J472, 'Green_rooibos initial weight'!$A$5:$A$1749,0)),"")</f>
        <v>2.1709999999999998</v>
      </c>
      <c r="L472" s="225">
        <f>IFERROR(K472-(TBIcalc!$H$9+TBIcalc!$H$10),"")</f>
        <v>1.9211999999999998</v>
      </c>
      <c r="M472" s="391">
        <f>AVERAGE(Ashed_controlls!$K$2:$K$11)</f>
        <v>5.5147656768714146</v>
      </c>
      <c r="N472" s="225">
        <f t="shared" si="39"/>
        <v>1.8152503218159461</v>
      </c>
      <c r="O472" s="225">
        <f>IF(IFERROR(INDEX('Both teabags AfterWet'!$C$3:$C$841,MATCH(J472,'Both teabags AfterWet'!$A$3:$A$841,0)),"")="","",(IFERROR(INDEX('Both teabags AfterWet'!$C$3:$C$841,MATCH(J472,'Both teabags AfterWet'!$A$3:$A$841,0)),"")))</f>
        <v>0.71479999999999999</v>
      </c>
      <c r="P472" s="225">
        <f>IFERROR(IF(O472&gt;0,O472-(TBIcalc!$H$9),""),"")</f>
        <v>0.56420000000000003</v>
      </c>
      <c r="Q472" s="225">
        <f>IFERROR(INDEX('Ashed teabags wet'!$K$2:$K$821,MATCH(J472,'Ashed teabags wet'!$A$2:$A$821,0)),"")</f>
        <v>14.161008729389133</v>
      </c>
      <c r="R472" s="225">
        <f t="shared" si="42"/>
        <v>0.48430358874878654</v>
      </c>
      <c r="S472" s="226">
        <f>'WetLitterbags placem_collection'!E33</f>
        <v>42767</v>
      </c>
      <c r="T472" s="226">
        <f>IF('WetLitterbags placem_collection'!G33="","",'WetLitterbags placem_collection'!G33)</f>
        <v>42818</v>
      </c>
      <c r="U472" s="227">
        <f t="shared" si="38"/>
        <v>51</v>
      </c>
      <c r="V472" s="225">
        <f t="shared" si="40"/>
        <v>1.3569999999999998</v>
      </c>
      <c r="W472" s="225">
        <f t="shared" si="41"/>
        <v>1.3309467330671596</v>
      </c>
      <c r="X472">
        <f>IFERROR(INDEX(Rainfall_Wet!$O$2:$O$217,MATCH(B472, Rainfall_Wet!$A$2:$A$217,0)),"")</f>
        <v>185.630065823</v>
      </c>
      <c r="Y472" s="231">
        <v>51.960000000000008</v>
      </c>
      <c r="Z472" s="231">
        <v>18.919999999999995</v>
      </c>
      <c r="AA472" s="231">
        <v>29.120000000000005</v>
      </c>
      <c r="AB472" s="232" t="s">
        <v>2673</v>
      </c>
      <c r="AC472" s="231">
        <v>7.8529324790537203</v>
      </c>
      <c r="AD472" t="str">
        <f>IF('WetLitterbags placem_collection'!AB33="","",'WetLitterbags placem_collection'!AB33)</f>
        <v/>
      </c>
      <c r="AE472" t="str">
        <f>IF('WetLitterbags placem_collection'!Z33="","",'WetLitterbags placem_collection'!Z33)</f>
        <v/>
      </c>
      <c r="AF472" s="246" t="str">
        <f>IF('WetLitterbags placem_collection'!AA33="","",'WetLitterbags placem_collection'!AA33)</f>
        <v/>
      </c>
      <c r="AG472" t="str">
        <f>IF('WetLitterbags placem_collection'!AC33="","",'WetLitterbags placem_collection'!AC33)</f>
        <v/>
      </c>
      <c r="AH472" s="24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placem_collection'!X33)),"YES","NO")</f>
        <v>NO</v>
      </c>
      <c r="AM472" t="str">
        <f>IF(ISNUMBER(SEARCH("H", 'WetLitterbags placem_collection'!X33)),"YES","NO")</f>
        <v>NO</v>
      </c>
      <c r="AN472" t="str">
        <f>IF(ISNUMBER(SEARCH("R", 'WetLitterbags placem_collection'!X33)),"YES","NO")</f>
        <v>YES</v>
      </c>
    </row>
    <row r="473" spans="1:40" ht="15" customHeight="1">
      <c r="A473" s="258" t="s">
        <v>2460</v>
      </c>
      <c r="B473" s="263">
        <f>'Dry_Litterbag Placem_Collection'!A34</f>
        <v>32</v>
      </c>
      <c r="C473" s="263" t="str">
        <f>'Dry_Litterbag Placem_Collection'!B34</f>
        <v>Makao</v>
      </c>
      <c r="D473" s="263" t="s">
        <v>2659</v>
      </c>
      <c r="E473" s="263" t="s">
        <v>2660</v>
      </c>
      <c r="F473" s="263">
        <v>4</v>
      </c>
      <c r="G473" s="264" t="str">
        <f>'Dry_Litterbag Placem_Collection'!C34</f>
        <v>Dry_Ag4_T8</v>
      </c>
      <c r="H473" s="273" t="s">
        <v>3651</v>
      </c>
      <c r="I473" s="266" t="s">
        <v>1147</v>
      </c>
      <c r="J473" s="223" t="str">
        <f>'WetLitterbags placem_collection'!O34</f>
        <v>G201</v>
      </c>
      <c r="K473" s="225">
        <f>IFERROR(INDEX('Green_rooibos initial weight'!$C$5:$C$1749,MATCH(J473, 'Green_rooibos initial weight'!$A$5:$A$1749,0)),"")</f>
        <v>2.2370000000000001</v>
      </c>
      <c r="L473" s="225">
        <f>IFERROR(K473-(TBIcalc!$H$9+TBIcalc!$H$10),"")</f>
        <v>1.9872000000000001</v>
      </c>
      <c r="M473" s="391">
        <f>AVERAGE(Ashed_controlls!$K$2:$K$11)</f>
        <v>5.5147656768714146</v>
      </c>
      <c r="N473" s="225">
        <f t="shared" si="39"/>
        <v>1.8776105764692113</v>
      </c>
      <c r="O473" s="225">
        <f>IF(IFERROR(INDEX('Both teabags AfterWet'!$C$3:$C$841,MATCH(J473,'Both teabags AfterWet'!$A$3:$A$841,0)),"")="","",(IFERROR(INDEX('Both teabags AfterWet'!$C$3:$C$841,MATCH(J473,'Both teabags AfterWet'!$A$3:$A$841,0)),"")))</f>
        <v>0.67359999999999998</v>
      </c>
      <c r="P473" s="225">
        <f>IFERROR(IF(O473&gt;0,O473-(TBIcalc!$H$9),""),"")</f>
        <v>0.52299999999999991</v>
      </c>
      <c r="Q473" s="225">
        <f>IFERROR(INDEX('Ashed teabags wet'!$K$2:$K$821,MATCH(J473,'Ashed teabags wet'!$A$2:$A$821,0)),"")</f>
        <v>7.292707292707294</v>
      </c>
      <c r="R473" s="225">
        <f t="shared" si="42"/>
        <v>0.48485914085914078</v>
      </c>
      <c r="S473" s="226">
        <f>'WetLitterbags placem_collection'!E34</f>
        <v>42767</v>
      </c>
      <c r="T473" s="226">
        <f>IF('WetLitterbags placem_collection'!G34="","",'WetLitterbags placem_collection'!G34)</f>
        <v>42818</v>
      </c>
      <c r="U473" s="227">
        <f t="shared" si="38"/>
        <v>51</v>
      </c>
      <c r="V473" s="225">
        <f t="shared" si="40"/>
        <v>1.4642000000000002</v>
      </c>
      <c r="W473" s="225">
        <f t="shared" si="41"/>
        <v>1.3927514356100705</v>
      </c>
      <c r="X473">
        <f>IFERROR(INDEX(Rainfall_Wet!$O$2:$O$217,MATCH(B473, Rainfall_Wet!$A$2:$A$217,0)),"")</f>
        <v>185.630065823</v>
      </c>
      <c r="Y473" s="231">
        <v>51.960000000000008</v>
      </c>
      <c r="Z473" s="231">
        <v>18.919999999999995</v>
      </c>
      <c r="AA473" s="231">
        <v>29.120000000000005</v>
      </c>
      <c r="AB473" s="232" t="s">
        <v>2673</v>
      </c>
      <c r="AC473" s="231">
        <v>8.8529324790537203</v>
      </c>
      <c r="AD473" t="str">
        <f>IF('WetLitterbags placem_collection'!AB34="","",'WetLitterbags placem_collection'!AB34)</f>
        <v/>
      </c>
      <c r="AE473" t="str">
        <f>IF('WetLitterbags placem_collection'!Z34="","",'WetLitterbags placem_collection'!Z34)</f>
        <v/>
      </c>
      <c r="AF473" s="246" t="str">
        <f>IF('WetLitterbags placem_collection'!AA34="","",'WetLitterbags placem_collection'!AA34)</f>
        <v/>
      </c>
      <c r="AG473" t="str">
        <f>IF('WetLitterbags placem_collection'!AC34="","",'WetLitterbags placem_collection'!AC34)</f>
        <v/>
      </c>
      <c r="AH473" s="24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placem_collection'!X34)),"YES","NO")</f>
        <v>NO</v>
      </c>
      <c r="AM473" t="str">
        <f>IF(ISNUMBER(SEARCH("H", 'WetLitterbags placem_collection'!X34)),"YES","NO")</f>
        <v>NO</v>
      </c>
      <c r="AN473" t="str">
        <f>IF(ISNUMBER(SEARCH("R", 'WetLitterbags placem_collection'!X34)),"YES","NO")</f>
        <v>YES</v>
      </c>
    </row>
    <row r="474" spans="1:40" ht="15" customHeight="1">
      <c r="A474" s="258" t="s">
        <v>2460</v>
      </c>
      <c r="B474" s="263">
        <f>'Dry_Litterbag Placem_Collection'!A35</f>
        <v>33</v>
      </c>
      <c r="C474" s="263" t="str">
        <f>'Dry_Litterbag Placem_Collection'!B35</f>
        <v>Makao</v>
      </c>
      <c r="D474" s="263" t="s">
        <v>2659</v>
      </c>
      <c r="E474" s="263" t="s">
        <v>20</v>
      </c>
      <c r="F474" s="263">
        <v>1</v>
      </c>
      <c r="G474" s="264" t="str">
        <f>'Dry_Litterbag Placem_Collection'!C35</f>
        <v>Dry_P1_T1</v>
      </c>
      <c r="H474" s="273" t="s">
        <v>3651</v>
      </c>
      <c r="I474" s="266" t="s">
        <v>1147</v>
      </c>
      <c r="J474" s="223" t="str">
        <f>'WetLitterbags placem_collection'!O35</f>
        <v>G556</v>
      </c>
      <c r="K474" s="225">
        <f>IFERROR(INDEX('Green_rooibos initial weight'!$C$5:$C$1749,MATCH(J474, 'Green_rooibos initial weight'!$A$5:$A$1749,0)),"")</f>
        <v>2.0329999999999999</v>
      </c>
      <c r="L474" s="225">
        <f>IFERROR(K474-(TBIcalc!$H$9+TBIcalc!$H$10),"")</f>
        <v>1.7831999999999999</v>
      </c>
      <c r="M474" s="391">
        <f>AVERAGE(Ashed_controlls!$K$2:$K$11)</f>
        <v>5.5147656768714146</v>
      </c>
      <c r="N474" s="225">
        <f t="shared" si="39"/>
        <v>1.6848606984500289</v>
      </c>
      <c r="O474" s="225">
        <f>IF(IFERROR(INDEX('Both teabags AfterWet'!$C$3:$C$841,MATCH(J474,'Both teabags AfterWet'!$A$3:$A$841,0)),"")="","",(IFERROR(INDEX('Both teabags AfterWet'!$C$3:$C$841,MATCH(J474,'Both teabags AfterWet'!$A$3:$A$841,0)),"")))</f>
        <v>0.64400000000000002</v>
      </c>
      <c r="P474" s="225">
        <f>IFERROR(IF(O474&gt;0,O474-(TBIcalc!$H$9),""),"")</f>
        <v>0.49340000000000001</v>
      </c>
      <c r="Q474" s="225">
        <f>IFERROR(INDEX('Ashed teabags wet'!$K$2:$K$821,MATCH(J474,'Ashed teabags wet'!$A$2:$A$821,0)),"")</f>
        <v>10.776075135937448</v>
      </c>
      <c r="R474" s="225">
        <f t="shared" si="42"/>
        <v>0.44023084527928463</v>
      </c>
      <c r="S474" s="226">
        <f>'WetLitterbags placem_collection'!E35</f>
        <v>42765</v>
      </c>
      <c r="T474" s="226">
        <f>IF('WetLitterbags placem_collection'!G35="","",'WetLitterbags placem_collection'!G35)</f>
        <v>42820</v>
      </c>
      <c r="U474" s="227">
        <f t="shared" si="38"/>
        <v>55</v>
      </c>
      <c r="V474" s="225">
        <f t="shared" si="40"/>
        <v>1.2897999999999998</v>
      </c>
      <c r="W474" s="225">
        <f t="shared" si="41"/>
        <v>1.2446298531707443</v>
      </c>
      <c r="X474">
        <f>IFERROR(INDEX(Rainfall_Wet!$O$2:$O$217,MATCH(B474, Rainfall_Wet!$A$2:$A$217,0)),"")</f>
        <v>228.324359195</v>
      </c>
      <c r="Y474" s="231">
        <v>23.96</v>
      </c>
      <c r="Z474" s="231">
        <v>0.91999999999999804</v>
      </c>
      <c r="AA474" s="231">
        <v>75.12</v>
      </c>
      <c r="AB474" s="232" t="s">
        <v>2670</v>
      </c>
      <c r="AC474" s="231">
        <v>1.2493839329719072</v>
      </c>
      <c r="AD474">
        <f>IF('WetLitterbags placem_collection'!AB35="","",'WetLitterbags placem_collection'!AB35)</f>
        <v>9.5</v>
      </c>
      <c r="AE474">
        <f>IF('WetLitterbags placem_collection'!Z35="","",'WetLitterbags placem_collection'!Z35)</f>
        <v>17.2</v>
      </c>
      <c r="AF474" s="246" t="str">
        <f>IF('WetLitterbags placem_collection'!AA35="","",'WetLitterbags placem_collection'!AA35)</f>
        <v>G</v>
      </c>
      <c r="AG474">
        <f>IF('WetLitterbags placem_collection'!AC35="","",'WetLitterbags placem_collection'!AC35)</f>
        <v>0</v>
      </c>
      <c r="AH474" s="24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placem_collection'!X35)),"YES","NO")</f>
        <v>NO</v>
      </c>
      <c r="AM474" t="str">
        <f>IF(ISNUMBER(SEARCH("H", 'WetLitterbags placem_collection'!X35)),"YES","NO")</f>
        <v>NO</v>
      </c>
      <c r="AN474" t="str">
        <f>IF(ISNUMBER(SEARCH("R", 'WetLitterbags placem_collection'!X35)),"YES","NO")</f>
        <v>YES</v>
      </c>
    </row>
    <row r="475" spans="1:40" ht="15" customHeight="1">
      <c r="A475" s="258" t="s">
        <v>2460</v>
      </c>
      <c r="B475" s="263">
        <f>'Dry_Litterbag Placem_Collection'!A36</f>
        <v>34</v>
      </c>
      <c r="C475" s="263" t="str">
        <f>'Dry_Litterbag Placem_Collection'!B36</f>
        <v>Makao</v>
      </c>
      <c r="D475" s="263" t="s">
        <v>2659</v>
      </c>
      <c r="E475" s="263" t="s">
        <v>20</v>
      </c>
      <c r="F475" s="263">
        <v>1</v>
      </c>
      <c r="G475" s="264" t="str">
        <f>'Dry_Litterbag Placem_Collection'!C36</f>
        <v>Dry_P1_T2</v>
      </c>
      <c r="H475" s="273" t="s">
        <v>3651</v>
      </c>
      <c r="I475" s="266" t="s">
        <v>1147</v>
      </c>
      <c r="J475" s="223" t="str">
        <f>'WetLitterbags placem_collection'!O36</f>
        <v>G649</v>
      </c>
      <c r="K475" s="225">
        <f>IFERROR(INDEX('Green_rooibos initial weight'!$C$5:$C$1749,MATCH(J475, 'Green_rooibos initial weight'!$A$5:$A$1749,0)),"")</f>
        <v>2.1379999999999999</v>
      </c>
      <c r="L475" s="225">
        <f>IFERROR(K475-(TBIcalc!$H$9+TBIcalc!$H$10),"")</f>
        <v>1.8881999999999999</v>
      </c>
      <c r="M475" s="391">
        <f>AVERAGE(Ashed_controlls!$K$2:$K$11)</f>
        <v>5.5147656768714146</v>
      </c>
      <c r="N475" s="225">
        <f t="shared" si="39"/>
        <v>1.7840701944893138</v>
      </c>
      <c r="O475" s="225">
        <f>IF(IFERROR(INDEX('Both teabags AfterWet'!$C$3:$C$841,MATCH(J475,'Both teabags AfterWet'!$A$3:$A$841,0)),"")="","",(IFERROR(INDEX('Both teabags AfterWet'!$C$3:$C$841,MATCH(J475,'Both teabags AfterWet'!$A$3:$A$841,0)),"")))</f>
        <v>0.80259999999999998</v>
      </c>
      <c r="P475" s="225">
        <f>IFERROR(IF(O475&gt;0,O475-(TBIcalc!$H$9),""),"")</f>
        <v>0.65199999999999991</v>
      </c>
      <c r="Q475" s="225">
        <f>IFERROR(INDEX('Ashed teabags wet'!$K$2:$K$821,MATCH(J475,'Ashed teabags wet'!$A$2:$A$821,0)),"")</f>
        <v>11.012345679011846</v>
      </c>
      <c r="R475" s="225">
        <f t="shared" si="42"/>
        <v>0.58019950617284266</v>
      </c>
      <c r="S475" s="226">
        <f>'WetLitterbags placem_collection'!E36</f>
        <v>42765</v>
      </c>
      <c r="T475" s="226">
        <f>IF('WetLitterbags placem_collection'!G36="","",'WetLitterbags placem_collection'!G36)</f>
        <v>42820</v>
      </c>
      <c r="U475" s="227">
        <f t="shared" si="38"/>
        <v>55</v>
      </c>
      <c r="V475" s="225">
        <f t="shared" si="40"/>
        <v>1.2362</v>
      </c>
      <c r="W475" s="225">
        <f t="shared" si="41"/>
        <v>1.2038706883164711</v>
      </c>
      <c r="X475">
        <f>IFERROR(INDEX(Rainfall_Wet!$O$2:$O$217,MATCH(B475, Rainfall_Wet!$A$2:$A$217,0)),"")</f>
        <v>228.324359195</v>
      </c>
      <c r="Y475" s="231">
        <v>23.96</v>
      </c>
      <c r="Z475" s="231">
        <v>0.91999999999999804</v>
      </c>
      <c r="AA475" s="231">
        <v>75.12</v>
      </c>
      <c r="AB475" s="232" t="s">
        <v>2670</v>
      </c>
      <c r="AC475" s="231">
        <v>1.2493839329719072</v>
      </c>
      <c r="AD475">
        <f>IF('WetLitterbags placem_collection'!AB36="","",'WetLitterbags placem_collection'!AB36)</f>
        <v>6.5</v>
      </c>
      <c r="AE475">
        <f>IF('WetLitterbags placem_collection'!Z36="","",'WetLitterbags placem_collection'!Z36)</f>
        <v>14.2</v>
      </c>
      <c r="AF475" s="246" t="str">
        <f>IF('WetLitterbags placem_collection'!AA36="","",'WetLitterbags placem_collection'!AA36)</f>
        <v>G</v>
      </c>
      <c r="AG475">
        <f>IF('WetLitterbags placem_collection'!AC36="","",'WetLitterbags placem_collection'!AC36)</f>
        <v>0</v>
      </c>
      <c r="AH475" s="24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placem_collection'!X36)),"YES","NO")</f>
        <v>NO</v>
      </c>
      <c r="AM475" t="str">
        <f>IF(ISNUMBER(SEARCH("H", 'WetLitterbags placem_collection'!X36)),"YES","NO")</f>
        <v>NO</v>
      </c>
      <c r="AN475" t="str">
        <f>IF(ISNUMBER(SEARCH("R", 'WetLitterbags placem_collection'!X36)),"YES","NO")</f>
        <v>YES</v>
      </c>
    </row>
    <row r="476" spans="1:40" ht="15" customHeight="1">
      <c r="A476" s="258" t="s">
        <v>2460</v>
      </c>
      <c r="B476" s="263">
        <f>'Dry_Litterbag Placem_Collection'!A37</f>
        <v>35</v>
      </c>
      <c r="C476" s="263" t="str">
        <f>'Dry_Litterbag Placem_Collection'!B37</f>
        <v>Makao</v>
      </c>
      <c r="D476" s="263" t="s">
        <v>2659</v>
      </c>
      <c r="E476" s="263" t="s">
        <v>20</v>
      </c>
      <c r="F476" s="263">
        <v>1</v>
      </c>
      <c r="G476" s="264" t="str">
        <f>'Dry_Litterbag Placem_Collection'!C37</f>
        <v>Dry_P1_T3</v>
      </c>
      <c r="H476" s="273" t="s">
        <v>3651</v>
      </c>
      <c r="I476" s="266" t="s">
        <v>1147</v>
      </c>
      <c r="J476" s="223" t="str">
        <f>'WetLitterbags placem_collection'!O37</f>
        <v>G732</v>
      </c>
      <c r="K476" s="225">
        <f>IFERROR(INDEX('Green_rooibos initial weight'!$C$5:$C$1749,MATCH(J476, 'Green_rooibos initial weight'!$A$5:$A$1749,0)),"")</f>
        <v>2.0880000000000001</v>
      </c>
      <c r="L476" s="225">
        <f>IFERROR(K476-(TBIcalc!$H$9+TBIcalc!$H$10),"")</f>
        <v>1.8382000000000001</v>
      </c>
      <c r="M476" s="391">
        <f>AVERAGE(Ashed_controlls!$K$2:$K$11)</f>
        <v>5.5147656768714146</v>
      </c>
      <c r="N476" s="225">
        <f t="shared" si="39"/>
        <v>1.7368275773277497</v>
      </c>
      <c r="O476" s="225">
        <f>IF(IFERROR(INDEX('Both teabags AfterWet'!$C$3:$C$841,MATCH(J476,'Both teabags AfterWet'!$A$3:$A$841,0)),"")="","",(IFERROR(INDEX('Both teabags AfterWet'!$C$3:$C$841,MATCH(J476,'Both teabags AfterWet'!$A$3:$A$841,0)),"")))</f>
        <v>0.71699999999999997</v>
      </c>
      <c r="P476" s="225">
        <f>IFERROR(IF(O476&gt;0,O476-(TBIcalc!$H$9),""),"")</f>
        <v>0.56640000000000001</v>
      </c>
      <c r="Q476" s="225">
        <f>IFERROR(INDEX('Ashed teabags wet'!$K$2:$K$821,MATCH(J476,'Ashed teabags wet'!$A$2:$A$821,0)),"")</f>
        <v>10.182896688086906</v>
      </c>
      <c r="R476" s="225">
        <f t="shared" si="42"/>
        <v>0.50872407315867574</v>
      </c>
      <c r="S476" s="226">
        <f>'WetLitterbags placem_collection'!E37</f>
        <v>42765</v>
      </c>
      <c r="T476" s="226">
        <f>IF('WetLitterbags placem_collection'!G37="","",'WetLitterbags placem_collection'!G37)</f>
        <v>42820</v>
      </c>
      <c r="U476" s="227">
        <f t="shared" si="38"/>
        <v>55</v>
      </c>
      <c r="V476" s="225">
        <f t="shared" si="40"/>
        <v>1.2718</v>
      </c>
      <c r="W476" s="225">
        <f t="shared" si="41"/>
        <v>1.228103504169074</v>
      </c>
      <c r="X476">
        <f>IFERROR(INDEX(Rainfall_Wet!$O$2:$O$217,MATCH(B476, Rainfall_Wet!$A$2:$A$217,0)),"")</f>
        <v>228.324359195</v>
      </c>
      <c r="Y476" s="231">
        <v>23.96</v>
      </c>
      <c r="Z476" s="231">
        <v>0.91999999999999804</v>
      </c>
      <c r="AA476" s="231">
        <v>75.12</v>
      </c>
      <c r="AB476" s="232" t="s">
        <v>2670</v>
      </c>
      <c r="AC476" s="231">
        <v>1.2493839329719072</v>
      </c>
      <c r="AD476">
        <f>IF('WetLitterbags placem_collection'!AB37="","",'WetLitterbags placem_collection'!AB37)</f>
        <v>0.7</v>
      </c>
      <c r="AE476">
        <f>IF('WetLitterbags placem_collection'!Z37="","",'WetLitterbags placem_collection'!Z37)</f>
        <v>10.6</v>
      </c>
      <c r="AF476" s="246" t="str">
        <f>IF('WetLitterbags placem_collection'!AA37="","",'WetLitterbags placem_collection'!AA37)</f>
        <v>G</v>
      </c>
      <c r="AG476">
        <f>IF('WetLitterbags placem_collection'!AC37="","",'WetLitterbags placem_collection'!AC37)</f>
        <v>0</v>
      </c>
      <c r="AH476" s="24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placem_collection'!X37)),"YES","NO")</f>
        <v>NO</v>
      </c>
      <c r="AM476" t="str">
        <f>IF(ISNUMBER(SEARCH("H", 'WetLitterbags placem_collection'!X37)),"YES","NO")</f>
        <v>NO</v>
      </c>
      <c r="AN476" t="str">
        <f>IF(ISNUMBER(SEARCH("R", 'WetLitterbags placem_collection'!X37)),"YES","NO")</f>
        <v>YES</v>
      </c>
    </row>
    <row r="477" spans="1:40" ht="15" customHeight="1">
      <c r="A477" s="258" t="s">
        <v>2460</v>
      </c>
      <c r="B477" s="263">
        <f>'Dry_Litterbag Placem_Collection'!A38</f>
        <v>36</v>
      </c>
      <c r="C477" s="263" t="str">
        <f>'Dry_Litterbag Placem_Collection'!B38</f>
        <v>Makao</v>
      </c>
      <c r="D477" s="263" t="s">
        <v>2659</v>
      </c>
      <c r="E477" s="263" t="s">
        <v>20</v>
      </c>
      <c r="F477" s="263">
        <v>1</v>
      </c>
      <c r="G477" s="264" t="str">
        <f>'Dry_Litterbag Placem_Collection'!C38</f>
        <v>Dry_P1_T4</v>
      </c>
      <c r="H477" s="273" t="s">
        <v>3651</v>
      </c>
      <c r="I477" s="266" t="s">
        <v>1147</v>
      </c>
      <c r="J477" s="223" t="str">
        <f>'WetLitterbags placem_collection'!O38</f>
        <v>G550</v>
      </c>
      <c r="K477" s="225">
        <f>IFERROR(INDEX('Green_rooibos initial weight'!$C$5:$C$1749,MATCH(J477, 'Green_rooibos initial weight'!$A$5:$A$1749,0)),"")</f>
        <v>2.097</v>
      </c>
      <c r="L477" s="225">
        <f>IFERROR(K477-(TBIcalc!$H$9+TBIcalc!$H$10),"")</f>
        <v>1.8472</v>
      </c>
      <c r="M477" s="391">
        <f>AVERAGE(Ashed_controlls!$K$2:$K$11)</f>
        <v>5.5147656768714146</v>
      </c>
      <c r="N477" s="225">
        <f t="shared" si="39"/>
        <v>1.7453312484168313</v>
      </c>
      <c r="O477" s="225">
        <f>IF(IFERROR(INDEX('Both teabags AfterWet'!$C$3:$C$841,MATCH(J477,'Both teabags AfterWet'!$A$3:$A$841,0)),"")="","",(IFERROR(INDEX('Both teabags AfterWet'!$C$3:$C$841,MATCH(J477,'Both teabags AfterWet'!$A$3:$A$841,0)),"")))</f>
        <v>0.72199999999999998</v>
      </c>
      <c r="P477" s="225">
        <f>IFERROR(IF(O477&gt;0,O477-(TBIcalc!$H$9),""),"")</f>
        <v>0.57139999999999991</v>
      </c>
      <c r="Q477" s="225">
        <f>IFERROR(INDEX('Ashed teabags wet'!$K$2:$K$821,MATCH(J477,'Ashed teabags wet'!$A$2:$A$821,0)),"")</f>
        <v>6.3737324963780466</v>
      </c>
      <c r="R477" s="225">
        <f t="shared" si="42"/>
        <v>0.53498049251569579</v>
      </c>
      <c r="S477" s="226">
        <f>'WetLitterbags placem_collection'!E38</f>
        <v>42765</v>
      </c>
      <c r="T477" s="226">
        <f>IF('WetLitterbags placem_collection'!G38="","",'WetLitterbags placem_collection'!G38)</f>
        <v>42820</v>
      </c>
      <c r="U477" s="227">
        <f t="shared" si="38"/>
        <v>55</v>
      </c>
      <c r="V477" s="225">
        <f t="shared" si="40"/>
        <v>1.2758</v>
      </c>
      <c r="W477" s="225">
        <f t="shared" si="41"/>
        <v>1.2103507559011355</v>
      </c>
      <c r="X477">
        <f>IFERROR(INDEX(Rainfall_Wet!$O$2:$O$217,MATCH(B477, Rainfall_Wet!$A$2:$A$217,0)),"")</f>
        <v>228.324359195</v>
      </c>
      <c r="Y477" s="231">
        <v>23.96</v>
      </c>
      <c r="Z477" s="231">
        <v>0.91999999999999804</v>
      </c>
      <c r="AA477" s="231">
        <v>75.12</v>
      </c>
      <c r="AB477" s="232" t="s">
        <v>2670</v>
      </c>
      <c r="AC477" s="231">
        <v>1.2493839329719072</v>
      </c>
      <c r="AD477">
        <f>IF('WetLitterbags placem_collection'!AB38="","",'WetLitterbags placem_collection'!AB38)</f>
        <v>3.3</v>
      </c>
      <c r="AE477">
        <f>IF('WetLitterbags placem_collection'!Z38="","",'WetLitterbags placem_collection'!Z38)</f>
        <v>4.9000000000000004</v>
      </c>
      <c r="AF477" s="246" t="str">
        <f>IF('WetLitterbags placem_collection'!AA38="","",'WetLitterbags placem_collection'!AA38)</f>
        <v>G</v>
      </c>
      <c r="AG477">
        <f>IF('WetLitterbags placem_collection'!AC38="","",'WetLitterbags placem_collection'!AC38)</f>
        <v>1</v>
      </c>
      <c r="AH477" s="24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placem_collection'!X38)),"YES","NO")</f>
        <v>NO</v>
      </c>
      <c r="AM477" t="str">
        <f>IF(ISNUMBER(SEARCH("H", 'WetLitterbags placem_collection'!X38)),"YES","NO")</f>
        <v>NO</v>
      </c>
      <c r="AN477" t="str">
        <f>IF(ISNUMBER(SEARCH("R", 'WetLitterbags placem_collection'!X38)),"YES","NO")</f>
        <v>YES</v>
      </c>
    </row>
    <row r="478" spans="1:40" ht="15" customHeight="1">
      <c r="A478" s="258" t="s">
        <v>2460</v>
      </c>
      <c r="B478" s="263">
        <f>'Dry_Litterbag Placem_Collection'!A39</f>
        <v>37</v>
      </c>
      <c r="C478" s="263" t="str">
        <f>'Dry_Litterbag Placem_Collection'!B39</f>
        <v>Makao</v>
      </c>
      <c r="D478" s="263" t="s">
        <v>2659</v>
      </c>
      <c r="E478" s="263" t="s">
        <v>20</v>
      </c>
      <c r="F478" s="263">
        <v>1</v>
      </c>
      <c r="G478" s="264" t="str">
        <f>'Dry_Litterbag Placem_Collection'!C39</f>
        <v>Dry_P1_T5</v>
      </c>
      <c r="H478" s="273" t="s">
        <v>3651</v>
      </c>
      <c r="I478" s="266" t="s">
        <v>1147</v>
      </c>
      <c r="J478" s="223" t="str">
        <f>'WetLitterbags placem_collection'!O39</f>
        <v>G528</v>
      </c>
      <c r="K478" s="225">
        <f>IFERROR(INDEX('Green_rooibos initial weight'!$C$5:$C$1749,MATCH(J478, 'Green_rooibos initial weight'!$A$5:$A$1749,0)),"")</f>
        <v>2.14</v>
      </c>
      <c r="L478" s="225">
        <f>IFERROR(K478-(TBIcalc!$H$9+TBIcalc!$H$10),"")</f>
        <v>1.8902000000000001</v>
      </c>
      <c r="M478" s="391">
        <f>AVERAGE(Ashed_controlls!$K$2:$K$11)</f>
        <v>5.5147656768714146</v>
      </c>
      <c r="N478" s="225">
        <f t="shared" si="39"/>
        <v>1.7859598991757766</v>
      </c>
      <c r="O478" s="225">
        <f>IF(IFERROR(INDEX('Both teabags AfterWet'!$C$3:$C$841,MATCH(J478,'Both teabags AfterWet'!$A$3:$A$841,0)),"")="","",(IFERROR(INDEX('Both teabags AfterWet'!$C$3:$C$841,MATCH(J478,'Both teabags AfterWet'!$A$3:$A$841,0)),"")))</f>
        <v>0.89600000000000002</v>
      </c>
      <c r="P478" s="225">
        <f>IFERROR(IF(O478&gt;0,O478-(TBIcalc!$H$9),""),"")</f>
        <v>0.74540000000000006</v>
      </c>
      <c r="Q478" s="225">
        <f>IFERROR(INDEX('Ashed teabags wet'!$K$2:$K$821,MATCH(J478,'Ashed teabags wet'!$A$2:$A$821,0)),"")</f>
        <v>15.032354405176665</v>
      </c>
      <c r="R478" s="225">
        <f t="shared" si="42"/>
        <v>0.63334883026381317</v>
      </c>
      <c r="S478" s="226">
        <f>'WetLitterbags placem_collection'!E39</f>
        <v>42765</v>
      </c>
      <c r="T478" s="226">
        <f>IF('WetLitterbags placem_collection'!G39="","",'WetLitterbags placem_collection'!G39)</f>
        <v>42820</v>
      </c>
      <c r="U478" s="227">
        <f t="shared" si="38"/>
        <v>55</v>
      </c>
      <c r="V478" s="225">
        <f t="shared" si="40"/>
        <v>1.1448</v>
      </c>
      <c r="W478" s="225">
        <f t="shared" si="41"/>
        <v>1.1526110689119635</v>
      </c>
      <c r="X478">
        <f>IFERROR(INDEX(Rainfall_Wet!$O$2:$O$217,MATCH(B478, Rainfall_Wet!$A$2:$A$217,0)),"")</f>
        <v>228.324359195</v>
      </c>
      <c r="Y478" s="231">
        <v>23.96</v>
      </c>
      <c r="Z478" s="231">
        <v>0.91999999999999804</v>
      </c>
      <c r="AA478" s="231">
        <v>75.12</v>
      </c>
      <c r="AB478" s="232" t="s">
        <v>2670</v>
      </c>
      <c r="AC478" s="231">
        <v>1.2493839329719072</v>
      </c>
      <c r="AD478">
        <f>IF('WetLitterbags placem_collection'!AB39="","",'WetLitterbags placem_collection'!AB39)</f>
        <v>8.3000000000000007</v>
      </c>
      <c r="AE478">
        <f>IF('WetLitterbags placem_collection'!Z39="","",'WetLitterbags placem_collection'!Z39)</f>
        <v>27.8</v>
      </c>
      <c r="AF478" s="246" t="str">
        <f>IF('WetLitterbags placem_collection'!AA39="","",'WetLitterbags placem_collection'!AA39)</f>
        <v>G</v>
      </c>
      <c r="AG478">
        <f>IF('WetLitterbags placem_collection'!AC39="","",'WetLitterbags placem_collection'!AC39)</f>
        <v>0</v>
      </c>
      <c r="AH478" s="24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placem_collection'!X39)),"YES","NO")</f>
        <v>NO</v>
      </c>
      <c r="AM478" t="str">
        <f>IF(ISNUMBER(SEARCH("H", 'WetLitterbags placem_collection'!X39)),"YES","NO")</f>
        <v>NO</v>
      </c>
      <c r="AN478" t="str">
        <f>IF(ISNUMBER(SEARCH("R", 'WetLitterbags placem_collection'!X39)),"YES","NO")</f>
        <v>YES</v>
      </c>
    </row>
    <row r="479" spans="1:40" ht="15" customHeight="1">
      <c r="A479" s="258" t="s">
        <v>2460</v>
      </c>
      <c r="B479" s="263">
        <f>'Dry_Litterbag Placem_Collection'!A40</f>
        <v>38</v>
      </c>
      <c r="C479" s="263" t="str">
        <f>'Dry_Litterbag Placem_Collection'!B40</f>
        <v>Makao</v>
      </c>
      <c r="D479" s="263" t="s">
        <v>2659</v>
      </c>
      <c r="E479" s="263" t="s">
        <v>20</v>
      </c>
      <c r="F479" s="263">
        <v>1</v>
      </c>
      <c r="G479" s="264" t="str">
        <f>'Dry_Litterbag Placem_Collection'!C40</f>
        <v>Dry_P1_T6</v>
      </c>
      <c r="H479" s="273" t="s">
        <v>3651</v>
      </c>
      <c r="I479" s="266" t="s">
        <v>1147</v>
      </c>
      <c r="J479" s="223" t="str">
        <f>'WetLitterbags placem_collection'!O40</f>
        <v>G703</v>
      </c>
      <c r="K479" s="225">
        <f>IFERROR(INDEX('Green_rooibos initial weight'!$C$5:$C$1749,MATCH(J479, 'Green_rooibos initial weight'!$A$5:$A$1749,0)),"")</f>
        <v>1.9159999999999999</v>
      </c>
      <c r="L479" s="225">
        <f>IFERROR(K479-(TBIcalc!$H$9+TBIcalc!$H$10),"")</f>
        <v>1.6661999999999999</v>
      </c>
      <c r="M479" s="391">
        <f>AVERAGE(Ashed_controlls!$K$2:$K$11)</f>
        <v>5.5147656768714146</v>
      </c>
      <c r="N479" s="225">
        <f t="shared" si="39"/>
        <v>1.5743129742919684</v>
      </c>
      <c r="O479" s="225">
        <f>IF(IFERROR(INDEX('Both teabags AfterWet'!$C$3:$C$841,MATCH(J479,'Both teabags AfterWet'!$A$3:$A$841,0)),"")="","",(IFERROR(INDEX('Both teabags AfterWet'!$C$3:$C$841,MATCH(J479,'Both teabags AfterWet'!$A$3:$A$841,0)),"")))</f>
        <v>0.81899999999999995</v>
      </c>
      <c r="P479" s="225">
        <f>IFERROR(IF(O479&gt;0,O479-(TBIcalc!$H$9),""),"")</f>
        <v>0.66839999999999988</v>
      </c>
      <c r="Q479" s="225">
        <f>IFERROR(INDEX('Ashed teabags wet'!$K$2:$K$821,MATCH(J479,'Ashed teabags wet'!$A$2:$A$821,0)),"")</f>
        <v>13.181367690782835</v>
      </c>
      <c r="R479" s="225">
        <f t="shared" si="42"/>
        <v>0.58029573835480741</v>
      </c>
      <c r="S479" s="226">
        <f>'WetLitterbags placem_collection'!E40</f>
        <v>42765</v>
      </c>
      <c r="T479" s="226">
        <f>IF('WetLitterbags placem_collection'!G40="","",'WetLitterbags placem_collection'!G40)</f>
        <v>42820</v>
      </c>
      <c r="U479" s="227">
        <f t="shared" si="38"/>
        <v>55</v>
      </c>
      <c r="V479" s="225">
        <f t="shared" si="40"/>
        <v>0.99780000000000002</v>
      </c>
      <c r="W479" s="225">
        <f t="shared" si="41"/>
        <v>0.99401723593716096</v>
      </c>
      <c r="X479">
        <f>IFERROR(INDEX(Rainfall_Wet!$O$2:$O$217,MATCH(B479, Rainfall_Wet!$A$2:$A$217,0)),"")</f>
        <v>228.324359195</v>
      </c>
      <c r="Y479" s="231">
        <v>23.96</v>
      </c>
      <c r="Z479" s="231">
        <v>0.91999999999999804</v>
      </c>
      <c r="AA479" s="231">
        <v>75.12</v>
      </c>
      <c r="AB479" s="232" t="s">
        <v>2670</v>
      </c>
      <c r="AC479" s="231">
        <v>1.2493839329719072</v>
      </c>
      <c r="AD479">
        <f>IF('WetLitterbags placem_collection'!AB40="","",'WetLitterbags placem_collection'!AB40)</f>
        <v>2</v>
      </c>
      <c r="AE479">
        <f>IF('WetLitterbags placem_collection'!Z40="","",'WetLitterbags placem_collection'!Z40)</f>
        <v>20.399999999999999</v>
      </c>
      <c r="AF479" s="246" t="str">
        <f>IF('WetLitterbags placem_collection'!AA40="","",'WetLitterbags placem_collection'!AA40)</f>
        <v>O</v>
      </c>
      <c r="AG479">
        <f>IF('WetLitterbags placem_collection'!AC40="","",'WetLitterbags placem_collection'!AC40)</f>
        <v>0</v>
      </c>
      <c r="AH479" s="24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placem_collection'!X40)),"YES","NO")</f>
        <v>NO</v>
      </c>
      <c r="AM479" t="str">
        <f>IF(ISNUMBER(SEARCH("H", 'WetLitterbags placem_collection'!X40)),"YES","NO")</f>
        <v>NO</v>
      </c>
      <c r="AN479" t="str">
        <f>IF(ISNUMBER(SEARCH("R", 'WetLitterbags placem_collection'!X40)),"YES","NO")</f>
        <v>YES</v>
      </c>
    </row>
    <row r="480" spans="1:40" ht="15" customHeight="1">
      <c r="A480" s="258" t="s">
        <v>2460</v>
      </c>
      <c r="B480" s="263">
        <f>'Dry_Litterbag Placem_Collection'!A41</f>
        <v>39</v>
      </c>
      <c r="C480" s="263" t="str">
        <f>'Dry_Litterbag Placem_Collection'!B41</f>
        <v>Makao</v>
      </c>
      <c r="D480" s="263" t="s">
        <v>2659</v>
      </c>
      <c r="E480" s="263" t="s">
        <v>20</v>
      </c>
      <c r="F480" s="263">
        <v>1</v>
      </c>
      <c r="G480" s="264" t="str">
        <f>'Dry_Litterbag Placem_Collection'!C41</f>
        <v>Dry_P1_T7</v>
      </c>
      <c r="H480" s="273" t="s">
        <v>3651</v>
      </c>
      <c r="I480" s="266" t="s">
        <v>1147</v>
      </c>
      <c r="J480" s="223" t="str">
        <f>'WetLitterbags placem_collection'!O41</f>
        <v>G566</v>
      </c>
      <c r="K480" s="225">
        <f>IFERROR(INDEX('Green_rooibos initial weight'!$C$5:$C$1749,MATCH(J480, 'Green_rooibos initial weight'!$A$5:$A$1749,0)),"")</f>
        <v>2.0449999999999999</v>
      </c>
      <c r="L480" s="225">
        <f>IFERROR(K480-(TBIcalc!$H$9+TBIcalc!$H$10),"")</f>
        <v>1.7951999999999999</v>
      </c>
      <c r="M480" s="391">
        <f>AVERAGE(Ashed_controlls!$K$2:$K$11)</f>
        <v>5.5147656768714146</v>
      </c>
      <c r="N480" s="225">
        <f t="shared" si="39"/>
        <v>1.6961989265688042</v>
      </c>
      <c r="O480" s="225">
        <f>IF(IFERROR(INDEX('Both teabags AfterWet'!$C$3:$C$841,MATCH(J480,'Both teabags AfterWet'!$A$3:$A$841,0)),"")="","",(IFERROR(INDEX('Both teabags AfterWet'!$C$3:$C$841,MATCH(J480,'Both teabags AfterWet'!$A$3:$A$841,0)),"")))</f>
        <v>0.78520000000000001</v>
      </c>
      <c r="P480" s="225">
        <f>IFERROR(IF(O480&gt;0,O480-(TBIcalc!$H$9),""),"")</f>
        <v>0.63460000000000005</v>
      </c>
      <c r="Q480" s="225">
        <f>IFERROR(INDEX('Ashed teabags wet'!$K$2:$K$821,MATCH(J480,'Ashed teabags wet'!$A$2:$A$821,0)),"")</f>
        <v>4.4278606965170084</v>
      </c>
      <c r="R480" s="225">
        <f t="shared" si="42"/>
        <v>0.60650079601990314</v>
      </c>
      <c r="S480" s="226">
        <f>'WetLitterbags placem_collection'!E41</f>
        <v>42765</v>
      </c>
      <c r="T480" s="226">
        <f>IF('WetLitterbags placem_collection'!G41="","",'WetLitterbags placem_collection'!G41)</f>
        <v>42820</v>
      </c>
      <c r="U480" s="227">
        <f t="shared" si="38"/>
        <v>55</v>
      </c>
      <c r="V480" s="225">
        <f t="shared" si="40"/>
        <v>1.1605999999999999</v>
      </c>
      <c r="W480" s="225">
        <f t="shared" si="41"/>
        <v>1.0896981305489011</v>
      </c>
      <c r="X480">
        <f>IFERROR(INDEX(Rainfall_Wet!$O$2:$O$217,MATCH(B480, Rainfall_Wet!$A$2:$A$217,0)),"")</f>
        <v>228.324359195</v>
      </c>
      <c r="Y480" s="231">
        <v>23.96</v>
      </c>
      <c r="Z480" s="231">
        <v>0.91999999999999804</v>
      </c>
      <c r="AA480" s="231">
        <v>75.12</v>
      </c>
      <c r="AB480" s="232" t="s">
        <v>2670</v>
      </c>
      <c r="AC480" s="231">
        <v>1.2493839329719072</v>
      </c>
      <c r="AD480">
        <f>IF('WetLitterbags placem_collection'!AB41="","",'WetLitterbags placem_collection'!AB41)</f>
        <v>2.4</v>
      </c>
      <c r="AE480">
        <f>IF('WetLitterbags placem_collection'!Z41="","",'WetLitterbags placem_collection'!Z41)</f>
        <v>18</v>
      </c>
      <c r="AF480" s="246" t="str">
        <f>IF('WetLitterbags placem_collection'!AA41="","",'WetLitterbags placem_collection'!AA41)</f>
        <v>G</v>
      </c>
      <c r="AG480">
        <f>IF('WetLitterbags placem_collection'!AC41="","",'WetLitterbags placem_collection'!AC41)</f>
        <v>1</v>
      </c>
      <c r="AH480" s="24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placem_collection'!X41)),"YES","NO")</f>
        <v>NO</v>
      </c>
      <c r="AM480" t="str">
        <f>IF(ISNUMBER(SEARCH("H", 'WetLitterbags placem_collection'!X41)),"YES","NO")</f>
        <v>NO</v>
      </c>
      <c r="AN480" t="str">
        <f>IF(ISNUMBER(SEARCH("R", 'WetLitterbags placem_collection'!X41)),"YES","NO")</f>
        <v>YES</v>
      </c>
    </row>
    <row r="481" spans="1:40" ht="15" customHeight="1">
      <c r="A481" s="258" t="s">
        <v>2460</v>
      </c>
      <c r="B481" s="263">
        <f>'Dry_Litterbag Placem_Collection'!A42</f>
        <v>40</v>
      </c>
      <c r="C481" s="263" t="str">
        <f>'Dry_Litterbag Placem_Collection'!B42</f>
        <v>Makao</v>
      </c>
      <c r="D481" s="263" t="s">
        <v>2659</v>
      </c>
      <c r="E481" s="263" t="s">
        <v>20</v>
      </c>
      <c r="F481" s="263">
        <v>1</v>
      </c>
      <c r="G481" s="264" t="str">
        <f>'Dry_Litterbag Placem_Collection'!C42</f>
        <v>Dry_P1_T8</v>
      </c>
      <c r="H481" s="273" t="s">
        <v>3651</v>
      </c>
      <c r="I481" s="266" t="s">
        <v>1147</v>
      </c>
      <c r="J481" s="223" t="str">
        <f>'WetLitterbags placem_collection'!O42</f>
        <v>G619</v>
      </c>
      <c r="K481" s="225">
        <f>IFERROR(INDEX('Green_rooibos initial weight'!$C$5:$C$1749,MATCH(J481, 'Green_rooibos initial weight'!$A$5:$A$1749,0)),"")</f>
        <v>2.036</v>
      </c>
      <c r="L481" s="225">
        <f>IFERROR(K481-(TBIcalc!$H$9+TBIcalc!$H$10),"")</f>
        <v>1.7862</v>
      </c>
      <c r="M481" s="391">
        <f>AVERAGE(Ashed_controlls!$K$2:$K$11)</f>
        <v>5.5147656768714146</v>
      </c>
      <c r="N481" s="225">
        <f t="shared" si="39"/>
        <v>1.6876952554797229</v>
      </c>
      <c r="O481" s="225">
        <f>IF(IFERROR(INDEX('Both teabags AfterWet'!$C$3:$C$841,MATCH(J481,'Both teabags AfterWet'!$A$3:$A$841,0)),"")="","",(IFERROR(INDEX('Both teabags AfterWet'!$C$3:$C$841,MATCH(J481,'Both teabags AfterWet'!$A$3:$A$841,0)),"")))</f>
        <v>0.70599999999999996</v>
      </c>
      <c r="P481" s="225">
        <f>IFERROR(IF(O481&gt;0,O481-(TBIcalc!$H$9),""),"")</f>
        <v>0.55539999999999989</v>
      </c>
      <c r="Q481" s="225">
        <f>IFERROR(INDEX('Ashed teabags wet'!$K$2:$K$821,MATCH(J481,'Ashed teabags wet'!$A$2:$A$821,0)),"")</f>
        <v>8.6005830903788301</v>
      </c>
      <c r="R481" s="225">
        <f t="shared" si="42"/>
        <v>0.50763236151603586</v>
      </c>
      <c r="S481" s="226">
        <f>'WetLitterbags placem_collection'!E42</f>
        <v>42765</v>
      </c>
      <c r="T481" s="226">
        <f>IF('WetLitterbags placem_collection'!G42="","",'WetLitterbags placem_collection'!G42)</f>
        <v>42820</v>
      </c>
      <c r="U481" s="227">
        <f t="shared" si="38"/>
        <v>55</v>
      </c>
      <c r="V481" s="225">
        <f t="shared" si="40"/>
        <v>1.2308000000000001</v>
      </c>
      <c r="W481" s="225">
        <f t="shared" si="41"/>
        <v>1.180062893963687</v>
      </c>
      <c r="X481">
        <f>IFERROR(INDEX(Rainfall_Wet!$O$2:$O$217,MATCH(B481, Rainfall_Wet!$A$2:$A$217,0)),"")</f>
        <v>228.324359195</v>
      </c>
      <c r="Y481" s="231">
        <v>23.96</v>
      </c>
      <c r="Z481" s="231">
        <v>0.91999999999999804</v>
      </c>
      <c r="AA481" s="231">
        <v>75.12</v>
      </c>
      <c r="AB481" s="232" t="s">
        <v>2670</v>
      </c>
      <c r="AC481" s="231">
        <v>1.2493839329719072</v>
      </c>
      <c r="AD481">
        <f>IF('WetLitterbags placem_collection'!AB42="","",'WetLitterbags placem_collection'!AB42)</f>
        <v>8.6999999999999993</v>
      </c>
      <c r="AE481">
        <f>IF('WetLitterbags placem_collection'!Z42="","",'WetLitterbags placem_collection'!Z42)</f>
        <v>19.3</v>
      </c>
      <c r="AF481" s="246" t="str">
        <f>IF('WetLitterbags placem_collection'!AA42="","",'WetLitterbags placem_collection'!AA42)</f>
        <v>G</v>
      </c>
      <c r="AG481">
        <f>IF('WetLitterbags placem_collection'!AC42="","",'WetLitterbags placem_collection'!AC42)</f>
        <v>0</v>
      </c>
      <c r="AH481" s="24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placem_collection'!X42)),"YES","NO")</f>
        <v>NO</v>
      </c>
      <c r="AM481" t="str">
        <f>IF(ISNUMBER(SEARCH("H", 'WetLitterbags placem_collection'!X42)),"YES","NO")</f>
        <v>NO</v>
      </c>
      <c r="AN481" t="str">
        <f>IF(ISNUMBER(SEARCH("R", 'WetLitterbags placem_collection'!X42)),"YES","NO")</f>
        <v>YES</v>
      </c>
    </row>
    <row r="482" spans="1:40" ht="15" customHeight="1">
      <c r="A482" s="258" t="s">
        <v>2460</v>
      </c>
      <c r="B482" s="263">
        <f>'Dry_Litterbag Placem_Collection'!A43</f>
        <v>41</v>
      </c>
      <c r="C482" s="263" t="str">
        <f>'Dry_Litterbag Placem_Collection'!B43</f>
        <v>Makao</v>
      </c>
      <c r="D482" s="263" t="s">
        <v>2659</v>
      </c>
      <c r="E482" s="263" t="s">
        <v>20</v>
      </c>
      <c r="F482" s="263">
        <v>2</v>
      </c>
      <c r="G482" s="264" t="str">
        <f>'Dry_Litterbag Placem_Collection'!C43</f>
        <v>Dry_P2_T1</v>
      </c>
      <c r="H482" s="273" t="s">
        <v>3651</v>
      </c>
      <c r="I482" s="266" t="s">
        <v>1147</v>
      </c>
      <c r="J482" s="223" t="str">
        <f>'WetLitterbags placem_collection'!O43</f>
        <v>G626</v>
      </c>
      <c r="K482" s="225">
        <f>IFERROR(INDEX('Green_rooibos initial weight'!$C$5:$C$1749,MATCH(J482, 'Green_rooibos initial weight'!$A$5:$A$1749,0)),"")</f>
        <v>2.1179999999999999</v>
      </c>
      <c r="L482" s="225">
        <f>IFERROR(K482-(TBIcalc!$H$9+TBIcalc!$H$10),"")</f>
        <v>1.8681999999999999</v>
      </c>
      <c r="M482" s="391">
        <f>AVERAGE(Ashed_controlls!$K$2:$K$11)</f>
        <v>5.5147656768714146</v>
      </c>
      <c r="N482" s="225">
        <f t="shared" si="39"/>
        <v>1.7651731476246881</v>
      </c>
      <c r="O482" s="225" t="str">
        <f>IF(IFERROR(INDEX('Both teabags AfterWet'!$C$3:$C$841,MATCH(J482,'Both teabags AfterWet'!$A$3:$A$841,0)),"")="","",(IFERROR(INDEX('Both teabags AfterWet'!$C$3:$C$841,MATCH(J482,'Both teabags AfterWet'!$A$3:$A$841,0)),"")))</f>
        <v/>
      </c>
      <c r="P482" s="225" t="str">
        <f>IFERROR(IF(O482&gt;0,O482-(TBIcalc!$H$9),""),"")</f>
        <v/>
      </c>
      <c r="Q482" s="225">
        <f>IFERROR(INDEX('Ashed teabags wet'!$K$2:$K$821,MATCH(J482,'Ashed teabags wet'!$A$2:$A$821,0)),"")</f>
        <v>11.014911014910776</v>
      </c>
      <c r="R482" s="225" t="str">
        <f t="shared" si="42"/>
        <v/>
      </c>
      <c r="S482" s="226">
        <f>'WetLitterbags placem_collection'!E43</f>
        <v>42766</v>
      </c>
      <c r="T482" s="226">
        <f>IF('WetLitterbags placem_collection'!G43="","",'WetLitterbags placem_collection'!G43)</f>
        <v>42820</v>
      </c>
      <c r="U482" s="227">
        <f t="shared" si="38"/>
        <v>54</v>
      </c>
      <c r="V482" s="225" t="str">
        <f t="shared" si="40"/>
        <v/>
      </c>
      <c r="W482" s="225" t="str">
        <f t="shared" si="41"/>
        <v/>
      </c>
      <c r="X482">
        <f>IFERROR(INDEX(Rainfall_Wet!$O$2:$O$217,MATCH(B482, Rainfall_Wet!$A$2:$A$217,0)),"")</f>
        <v>214.262898705</v>
      </c>
      <c r="Y482" s="231">
        <v>19.96</v>
      </c>
      <c r="Z482" s="231">
        <v>4.9199999999999982</v>
      </c>
      <c r="AA482" s="231">
        <v>75.12</v>
      </c>
      <c r="AB482" s="232" t="s">
        <v>2671</v>
      </c>
      <c r="AC482" s="231">
        <v>1.641498275012321</v>
      </c>
      <c r="AD482">
        <f>IF('WetLitterbags placem_collection'!AB43="","",'WetLitterbags placem_collection'!AB43)</f>
        <v>4</v>
      </c>
      <c r="AE482">
        <f>IF('WetLitterbags placem_collection'!Z43="","",'WetLitterbags placem_collection'!Z43)</f>
        <v>19.100000000000001</v>
      </c>
      <c r="AF482" s="246" t="str">
        <f>IF('WetLitterbags placem_collection'!AA43="","",'WetLitterbags placem_collection'!AA43)</f>
        <v>G</v>
      </c>
      <c r="AG482">
        <f>IF('WetLitterbags placem_collection'!AC43="","",'WetLitterbags placem_collection'!AC43)</f>
        <v>0</v>
      </c>
      <c r="AH482" s="24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placem_collection'!X43)),"YES","NO")</f>
        <v>NO</v>
      </c>
      <c r="AM482" t="str">
        <f>IF(ISNUMBER(SEARCH("H", 'WetLitterbags placem_collection'!X43)),"YES","NO")</f>
        <v>NO</v>
      </c>
      <c r="AN482" t="str">
        <f>IF(ISNUMBER(SEARCH("R", 'WetLitterbags placem_collection'!X43)),"YES","NO")</f>
        <v>YES</v>
      </c>
    </row>
    <row r="483" spans="1:40" ht="15" customHeight="1">
      <c r="A483" s="258" t="s">
        <v>2460</v>
      </c>
      <c r="B483" s="263">
        <f>'Dry_Litterbag Placem_Collection'!A44</f>
        <v>42</v>
      </c>
      <c r="C483" s="263" t="str">
        <f>'Dry_Litterbag Placem_Collection'!B44</f>
        <v>Makao</v>
      </c>
      <c r="D483" s="263" t="s">
        <v>2659</v>
      </c>
      <c r="E483" s="263" t="s">
        <v>20</v>
      </c>
      <c r="F483" s="263">
        <v>2</v>
      </c>
      <c r="G483" s="264" t="str">
        <f>'Dry_Litterbag Placem_Collection'!C44</f>
        <v>Dry_P2_T2</v>
      </c>
      <c r="H483" s="273" t="s">
        <v>3651</v>
      </c>
      <c r="I483" s="266" t="s">
        <v>1147</v>
      </c>
      <c r="J483" s="223" t="str">
        <f>'WetLitterbags placem_collection'!O44</f>
        <v>G437</v>
      </c>
      <c r="K483" s="225">
        <f>IFERROR(INDEX('Green_rooibos initial weight'!$C$5:$C$1749,MATCH(J483, 'Green_rooibos initial weight'!$A$5:$A$1749,0)),"")</f>
        <v>2.1230000000000002</v>
      </c>
      <c r="L483" s="225">
        <f>IFERROR(K483-(TBIcalc!$H$9+TBIcalc!$H$10),"")</f>
        <v>1.8732000000000002</v>
      </c>
      <c r="M483" s="391">
        <f>AVERAGE(Ashed_controlls!$K$2:$K$11)</f>
        <v>5.5147656768714146</v>
      </c>
      <c r="N483" s="225">
        <f t="shared" si="39"/>
        <v>1.7698974093408448</v>
      </c>
      <c r="O483" s="225">
        <f>IF(IFERROR(INDEX('Both teabags AfterWet'!$C$3:$C$841,MATCH(J483,'Both teabags AfterWet'!$A$3:$A$841,0)),"")="","",(IFERROR(INDEX('Both teabags AfterWet'!$C$3:$C$841,MATCH(J483,'Both teabags AfterWet'!$A$3:$A$841,0)),"")))</f>
        <v>0.64</v>
      </c>
      <c r="P483" s="225">
        <f>IFERROR(IF(O483&gt;0,O483-(TBIcalc!$H$9),""),"")</f>
        <v>0.4894</v>
      </c>
      <c r="Q483" s="225">
        <f>IFERROR(INDEX('Ashed teabags wet'!$K$2:$K$821,MATCH(J483,'Ashed teabags wet'!$A$2:$A$821,0)),"")</f>
        <v>8.5335948994602457</v>
      </c>
      <c r="R483" s="225">
        <f t="shared" si="42"/>
        <v>0.44763658656204158</v>
      </c>
      <c r="S483" s="226">
        <f>'WetLitterbags placem_collection'!E44</f>
        <v>42766</v>
      </c>
      <c r="T483" s="226">
        <f>IF('WetLitterbags placem_collection'!G44="","",'WetLitterbags placem_collection'!G44)</f>
        <v>42820</v>
      </c>
      <c r="U483" s="227">
        <f t="shared" si="38"/>
        <v>54</v>
      </c>
      <c r="V483" s="225">
        <f t="shared" si="40"/>
        <v>1.3838000000000001</v>
      </c>
      <c r="W483" s="225">
        <f t="shared" si="41"/>
        <v>1.3222608227788033</v>
      </c>
      <c r="X483">
        <f>IFERROR(INDEX(Rainfall_Wet!$O$2:$O$217,MATCH(B483, Rainfall_Wet!$A$2:$A$217,0)),"")</f>
        <v>214.262898705</v>
      </c>
      <c r="Y483" s="231">
        <v>19.96</v>
      </c>
      <c r="Z483" s="231">
        <v>4.9199999999999982</v>
      </c>
      <c r="AA483" s="231">
        <v>75.12</v>
      </c>
      <c r="AB483" s="232" t="s">
        <v>2671</v>
      </c>
      <c r="AC483" s="231">
        <v>1.641498275012321</v>
      </c>
      <c r="AD483">
        <f>IF('WetLitterbags placem_collection'!AB44="","",'WetLitterbags placem_collection'!AB44)</f>
        <v>5.9</v>
      </c>
      <c r="AE483">
        <f>IF('WetLitterbags placem_collection'!Z44="","",'WetLitterbags placem_collection'!Z44)</f>
        <v>12.7</v>
      </c>
      <c r="AF483" s="246" t="str">
        <f>IF('WetLitterbags placem_collection'!AA44="","",'WetLitterbags placem_collection'!AA44)</f>
        <v>G</v>
      </c>
      <c r="AG483">
        <f>IF('WetLitterbags placem_collection'!AC44="","",'WetLitterbags placem_collection'!AC44)</f>
        <v>0</v>
      </c>
      <c r="AH483" s="24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placem_collection'!X44)),"YES","NO")</f>
        <v>NO</v>
      </c>
      <c r="AM483" t="str">
        <f>IF(ISNUMBER(SEARCH("H", 'WetLitterbags placem_collection'!X44)),"YES","NO")</f>
        <v>NO</v>
      </c>
      <c r="AN483" t="str">
        <f>IF(ISNUMBER(SEARCH("R", 'WetLitterbags placem_collection'!X44)),"YES","NO")</f>
        <v>NO</v>
      </c>
    </row>
    <row r="484" spans="1:40" ht="15" customHeight="1">
      <c r="A484" s="258" t="s">
        <v>2460</v>
      </c>
      <c r="B484" s="263">
        <f>'Dry_Litterbag Placem_Collection'!A45</f>
        <v>43</v>
      </c>
      <c r="C484" s="263" t="str">
        <f>'Dry_Litterbag Placem_Collection'!B45</f>
        <v>Makao</v>
      </c>
      <c r="D484" s="263" t="s">
        <v>2659</v>
      </c>
      <c r="E484" s="263" t="s">
        <v>20</v>
      </c>
      <c r="F484" s="263">
        <v>2</v>
      </c>
      <c r="G484" s="264" t="str">
        <f>'Dry_Litterbag Placem_Collection'!C45</f>
        <v>Dry_P2_T3</v>
      </c>
      <c r="H484" s="273" t="s">
        <v>3651</v>
      </c>
      <c r="I484" s="266" t="s">
        <v>1147</v>
      </c>
      <c r="J484" s="223" t="str">
        <f>'WetLitterbags placem_collection'!O45</f>
        <v>G643</v>
      </c>
      <c r="K484" s="225">
        <f>IFERROR(INDEX('Green_rooibos initial weight'!$C$5:$C$1749,MATCH(J484, 'Green_rooibos initial weight'!$A$5:$A$1749,0)),"")</f>
        <v>2.0510000000000002</v>
      </c>
      <c r="L484" s="225">
        <f>IFERROR(K484-(TBIcalc!$H$9+TBIcalc!$H$10),"")</f>
        <v>1.8012000000000001</v>
      </c>
      <c r="M484" s="391">
        <f>AVERAGE(Ashed_controlls!$K$2:$K$11)</f>
        <v>5.5147656768714146</v>
      </c>
      <c r="N484" s="225">
        <f t="shared" si="39"/>
        <v>1.7018680406281923</v>
      </c>
      <c r="O484" s="225">
        <f>IF(IFERROR(INDEX('Both teabags AfterWet'!$C$3:$C$841,MATCH(J484,'Both teabags AfterWet'!$A$3:$A$841,0)),"")="","",(IFERROR(INDEX('Both teabags AfterWet'!$C$3:$C$841,MATCH(J484,'Both teabags AfterWet'!$A$3:$A$841,0)),"")))</f>
        <v>0.74509999999999998</v>
      </c>
      <c r="P484" s="225">
        <f>IFERROR(IF(O484&gt;0,O484-(TBIcalc!$H$9),""),"")</f>
        <v>0.59450000000000003</v>
      </c>
      <c r="Q484" s="225">
        <f>IFERROR(INDEX('Ashed teabags wet'!$K$2:$K$821,MATCH(J484,'Ashed teabags wet'!$A$2:$A$821,0)),"")</f>
        <v>7.6658476658481174</v>
      </c>
      <c r="R484" s="225">
        <f t="shared" si="42"/>
        <v>0.54892653562653293</v>
      </c>
      <c r="S484" s="226">
        <f>'WetLitterbags placem_collection'!E45</f>
        <v>42766</v>
      </c>
      <c r="T484" s="226">
        <f>IF('WetLitterbags placem_collection'!G45="","",'WetLitterbags placem_collection'!G45)</f>
        <v>42820</v>
      </c>
      <c r="U484" s="227">
        <f t="shared" si="38"/>
        <v>54</v>
      </c>
      <c r="V484" s="225">
        <f t="shared" si="40"/>
        <v>1.2067000000000001</v>
      </c>
      <c r="W484" s="225">
        <f t="shared" si="41"/>
        <v>1.1529415050016594</v>
      </c>
      <c r="X484">
        <f>IFERROR(INDEX(Rainfall_Wet!$O$2:$O$217,MATCH(B484, Rainfall_Wet!$A$2:$A$217,0)),"")</f>
        <v>214.262898705</v>
      </c>
      <c r="Y484" s="231">
        <v>19.96</v>
      </c>
      <c r="Z484" s="231">
        <v>4.9199999999999982</v>
      </c>
      <c r="AA484" s="231">
        <v>75.12</v>
      </c>
      <c r="AB484" s="232" t="s">
        <v>2671</v>
      </c>
      <c r="AC484" s="231">
        <v>1.641498275012321</v>
      </c>
      <c r="AD484">
        <f>IF('WetLitterbags placem_collection'!AB45="","",'WetLitterbags placem_collection'!AB45)</f>
        <v>5</v>
      </c>
      <c r="AE484">
        <f>IF('WetLitterbags placem_collection'!Z45="","",'WetLitterbags placem_collection'!Z45)</f>
        <v>26.3</v>
      </c>
      <c r="AF484" s="246" t="str">
        <f>IF('WetLitterbags placem_collection'!AA45="","",'WetLitterbags placem_collection'!AA45)</f>
        <v>G</v>
      </c>
      <c r="AG484">
        <f>IF('WetLitterbags placem_collection'!AC45="","",'WetLitterbags placem_collection'!AC45)</f>
        <v>0</v>
      </c>
      <c r="AH484" s="24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placem_collection'!X45)),"YES","NO")</f>
        <v>NO</v>
      </c>
      <c r="AM484" t="str">
        <f>IF(ISNUMBER(SEARCH("H", 'WetLitterbags placem_collection'!X45)),"YES","NO")</f>
        <v>NO</v>
      </c>
      <c r="AN484" t="str">
        <f>IF(ISNUMBER(SEARCH("R", 'WetLitterbags placem_collection'!X45)),"YES","NO")</f>
        <v>YES</v>
      </c>
    </row>
    <row r="485" spans="1:40" ht="15" customHeight="1">
      <c r="A485" s="258" t="s">
        <v>2460</v>
      </c>
      <c r="B485" s="263">
        <f>'Dry_Litterbag Placem_Collection'!A46</f>
        <v>44</v>
      </c>
      <c r="C485" s="263" t="str">
        <f>'Dry_Litterbag Placem_Collection'!B46</f>
        <v>Makao</v>
      </c>
      <c r="D485" s="263" t="s">
        <v>2659</v>
      </c>
      <c r="E485" s="263" t="s">
        <v>20</v>
      </c>
      <c r="F485" s="263">
        <v>2</v>
      </c>
      <c r="G485" s="264" t="str">
        <f>'Dry_Litterbag Placem_Collection'!C46</f>
        <v>Dry_P2_T4</v>
      </c>
      <c r="H485" s="273" t="s">
        <v>3651</v>
      </c>
      <c r="I485" s="266" t="s">
        <v>1147</v>
      </c>
      <c r="J485" s="223" t="str">
        <f>'WetLitterbags placem_collection'!O46</f>
        <v>G283</v>
      </c>
      <c r="K485" s="225">
        <f>IFERROR(INDEX('Green_rooibos initial weight'!$C$5:$C$1749,MATCH(J485, 'Green_rooibos initial weight'!$A$5:$A$1749,0)),"")</f>
        <v>1.8660000000000001</v>
      </c>
      <c r="L485" s="225">
        <f>IFERROR(K485-(TBIcalc!$H$9+TBIcalc!$H$10),"")</f>
        <v>1.6162000000000001</v>
      </c>
      <c r="M485" s="391">
        <f>AVERAGE(Ashed_controlls!$K$2:$K$11)</f>
        <v>5.5147656768714146</v>
      </c>
      <c r="N485" s="225">
        <f t="shared" si="39"/>
        <v>1.5270703571304043</v>
      </c>
      <c r="O485" s="225">
        <f>IF(IFERROR(INDEX('Both teabags AfterWet'!$C$3:$C$841,MATCH(J485,'Both teabags AfterWet'!$A$3:$A$841,0)),"")="","",(IFERROR(INDEX('Both teabags AfterWet'!$C$3:$C$841,MATCH(J485,'Both teabags AfterWet'!$A$3:$A$841,0)),"")))</f>
        <v>0.80830000000000002</v>
      </c>
      <c r="P485" s="225">
        <f>IFERROR(IF(O485&gt;0,O485-(TBIcalc!$H$9),""),"")</f>
        <v>0.65769999999999995</v>
      </c>
      <c r="Q485" s="225">
        <f>IFERROR(INDEX('Ashed teabags wet'!$K$2:$K$821,MATCH(J485,'Ashed teabags wet'!$A$2:$A$821,0)),"")</f>
        <v>10.544217687075299</v>
      </c>
      <c r="R485" s="225">
        <f t="shared" si="42"/>
        <v>0.58835068027210569</v>
      </c>
      <c r="S485" s="226">
        <f>'WetLitterbags placem_collection'!E46</f>
        <v>42766</v>
      </c>
      <c r="T485" s="226">
        <f>IF('WetLitterbags placem_collection'!G46="","",'WetLitterbags placem_collection'!G46)</f>
        <v>42820</v>
      </c>
      <c r="U485" s="227">
        <f t="shared" si="38"/>
        <v>54</v>
      </c>
      <c r="V485" s="225">
        <f t="shared" si="40"/>
        <v>0.95850000000000013</v>
      </c>
      <c r="W485" s="225">
        <f t="shared" si="41"/>
        <v>0.9387196768582986</v>
      </c>
      <c r="X485">
        <f>IFERROR(INDEX(Rainfall_Wet!$O$2:$O$217,MATCH(B485, Rainfall_Wet!$A$2:$A$217,0)),"")</f>
        <v>214.262898705</v>
      </c>
      <c r="Y485" s="231">
        <v>19.96</v>
      </c>
      <c r="Z485" s="231">
        <v>4.9199999999999982</v>
      </c>
      <c r="AA485" s="231">
        <v>75.12</v>
      </c>
      <c r="AB485" s="232" t="s">
        <v>2671</v>
      </c>
      <c r="AC485" s="231">
        <v>1.641498275012321</v>
      </c>
      <c r="AD485">
        <f>IF('WetLitterbags placem_collection'!AB46="","",'WetLitterbags placem_collection'!AB46)</f>
        <v>2.6</v>
      </c>
      <c r="AE485">
        <f>IF('WetLitterbags placem_collection'!Z46="","",'WetLitterbags placem_collection'!Z46)</f>
        <v>39.200000000000003</v>
      </c>
      <c r="AF485" s="246" t="str">
        <f>IF('WetLitterbags placem_collection'!AA46="","",'WetLitterbags placem_collection'!AA46)</f>
        <v>G</v>
      </c>
      <c r="AG485">
        <f>IF('WetLitterbags placem_collection'!AC46="","",'WetLitterbags placem_collection'!AC46)</f>
        <v>0</v>
      </c>
      <c r="AH485" s="24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placem_collection'!X46)),"YES","NO")</f>
        <v>NO</v>
      </c>
      <c r="AM485" t="str">
        <f>IF(ISNUMBER(SEARCH("H", 'WetLitterbags placem_collection'!X46)),"YES","NO")</f>
        <v>NO</v>
      </c>
      <c r="AN485" t="str">
        <f>IF(ISNUMBER(SEARCH("R", 'WetLitterbags placem_collection'!X46)),"YES","NO")</f>
        <v>YES</v>
      </c>
    </row>
    <row r="486" spans="1:40" ht="15" customHeight="1">
      <c r="A486" s="258" t="s">
        <v>2460</v>
      </c>
      <c r="B486" s="263">
        <f>'Dry_Litterbag Placem_Collection'!A47</f>
        <v>45</v>
      </c>
      <c r="C486" s="263" t="str">
        <f>'Dry_Litterbag Placem_Collection'!B47</f>
        <v>Makao</v>
      </c>
      <c r="D486" s="263" t="s">
        <v>2659</v>
      </c>
      <c r="E486" s="263" t="s">
        <v>20</v>
      </c>
      <c r="F486" s="263">
        <v>2</v>
      </c>
      <c r="G486" s="264" t="str">
        <f>'Dry_Litterbag Placem_Collection'!C47</f>
        <v>Dry_P2_T5</v>
      </c>
      <c r="H486" s="273" t="s">
        <v>3651</v>
      </c>
      <c r="I486" s="266" t="s">
        <v>1147</v>
      </c>
      <c r="J486" s="223" t="str">
        <f>'WetLitterbags placem_collection'!O47</f>
        <v>G602</v>
      </c>
      <c r="K486" s="225">
        <f>IFERROR(INDEX('Green_rooibos initial weight'!$C$5:$C$1749,MATCH(J486, 'Green_rooibos initial weight'!$A$5:$A$1749,0)),"")</f>
        <v>2.1030000000000002</v>
      </c>
      <c r="L486" s="225">
        <f>IFERROR(K486-(TBIcalc!$H$9+TBIcalc!$H$10),"")</f>
        <v>1.8532000000000002</v>
      </c>
      <c r="M486" s="391">
        <f>AVERAGE(Ashed_controlls!$K$2:$K$11)</f>
        <v>5.5147656768714146</v>
      </c>
      <c r="N486" s="225">
        <f t="shared" si="39"/>
        <v>1.7510003624762192</v>
      </c>
      <c r="O486" s="225">
        <f>IF(IFERROR(INDEX('Both teabags AfterWet'!$C$3:$C$841,MATCH(J486,'Both teabags AfterWet'!$A$3:$A$841,0)),"")="","",(IFERROR(INDEX('Both teabags AfterWet'!$C$3:$C$841,MATCH(J486,'Both teabags AfterWet'!$A$3:$A$841,0)),"")))</f>
        <v>0.77400000000000002</v>
      </c>
      <c r="P486" s="225">
        <f>IFERROR(IF(O486&gt;0,O486-(TBIcalc!$H$9),""),"")</f>
        <v>0.62339999999999995</v>
      </c>
      <c r="Q486" s="225">
        <f>IFERROR(INDEX('Ashed teabags wet'!$K$2:$K$821,MATCH(J486,'Ashed teabags wet'!$A$2:$A$821,0)),"")</f>
        <v>5.9288537549396603</v>
      </c>
      <c r="R486" s="225">
        <f t="shared" si="42"/>
        <v>0.5864395256917061</v>
      </c>
      <c r="S486" s="226">
        <f>'WetLitterbags placem_collection'!E47</f>
        <v>42766</v>
      </c>
      <c r="T486" s="226">
        <f>IF('WetLitterbags placem_collection'!G47="","",'WetLitterbags placem_collection'!G47)</f>
        <v>42820</v>
      </c>
      <c r="U486" s="227">
        <f t="shared" si="38"/>
        <v>54</v>
      </c>
      <c r="V486" s="225">
        <f t="shared" si="40"/>
        <v>1.2298000000000002</v>
      </c>
      <c r="W486" s="225">
        <f t="shared" si="41"/>
        <v>1.1645608367845131</v>
      </c>
      <c r="X486">
        <f>IFERROR(INDEX(Rainfall_Wet!$O$2:$O$217,MATCH(B486, Rainfall_Wet!$A$2:$A$217,0)),"")</f>
        <v>214.262898705</v>
      </c>
      <c r="Y486" s="231">
        <v>19.96</v>
      </c>
      <c r="Z486" s="231">
        <v>4.9199999999999982</v>
      </c>
      <c r="AA486" s="231">
        <v>75.12</v>
      </c>
      <c r="AB486" s="232" t="s">
        <v>2671</v>
      </c>
      <c r="AC486" s="231">
        <v>1.641498275012321</v>
      </c>
      <c r="AD486">
        <f>IF('WetLitterbags placem_collection'!AB47="","",'WetLitterbags placem_collection'!AB47)</f>
        <v>2.2999999999999998</v>
      </c>
      <c r="AE486">
        <f>IF('WetLitterbags placem_collection'!Z47="","",'WetLitterbags placem_collection'!Z47)</f>
        <v>9.3000000000000007</v>
      </c>
      <c r="AF486" s="246" t="str">
        <f>IF('WetLitterbags placem_collection'!AA47="","",'WetLitterbags placem_collection'!AA47)</f>
        <v>O</v>
      </c>
      <c r="AG486">
        <f>IF('WetLitterbags placem_collection'!AC47="","",'WetLitterbags placem_collection'!AC47)</f>
        <v>0</v>
      </c>
      <c r="AH486" s="24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placem_collection'!X47)),"YES","NO")</f>
        <v>NO</v>
      </c>
      <c r="AM486" t="str">
        <f>IF(ISNUMBER(SEARCH("H", 'WetLitterbags placem_collection'!X47)),"YES","NO")</f>
        <v>NO</v>
      </c>
      <c r="AN486" t="str">
        <f>IF(ISNUMBER(SEARCH("R", 'WetLitterbags placem_collection'!X47)),"YES","NO")</f>
        <v>YES</v>
      </c>
    </row>
    <row r="487" spans="1:40" ht="15" customHeight="1">
      <c r="A487" s="258" t="s">
        <v>2460</v>
      </c>
      <c r="B487" s="263">
        <f>'Dry_Litterbag Placem_Collection'!A48</f>
        <v>46</v>
      </c>
      <c r="C487" s="263" t="str">
        <f>'Dry_Litterbag Placem_Collection'!B48</f>
        <v>Makao</v>
      </c>
      <c r="D487" s="263" t="s">
        <v>2659</v>
      </c>
      <c r="E487" s="263" t="s">
        <v>20</v>
      </c>
      <c r="F487" s="263">
        <v>2</v>
      </c>
      <c r="G487" s="264" t="str">
        <f>'Dry_Litterbag Placem_Collection'!C48</f>
        <v>Dry_P2_T6</v>
      </c>
      <c r="H487" s="273" t="s">
        <v>3651</v>
      </c>
      <c r="I487" s="266" t="s">
        <v>1147</v>
      </c>
      <c r="J487" s="223" t="str">
        <f>'WetLitterbags placem_collection'!O48</f>
        <v>G427</v>
      </c>
      <c r="K487" s="225">
        <f>IFERROR(INDEX('Green_rooibos initial weight'!$C$5:$C$1749,MATCH(J487, 'Green_rooibos initial weight'!$A$5:$A$1749,0)),"")</f>
        <v>1.8959999999999999</v>
      </c>
      <c r="L487" s="225">
        <f>IFERROR(K487-(TBIcalc!$H$9+TBIcalc!$H$10),"")</f>
        <v>1.6461999999999999</v>
      </c>
      <c r="M487" s="391">
        <f>AVERAGE(Ashed_controlls!$K$2:$K$11)</f>
        <v>5.5147656768714146</v>
      </c>
      <c r="N487" s="225">
        <f t="shared" si="39"/>
        <v>1.5554159274273427</v>
      </c>
      <c r="O487" s="225" t="str">
        <f>IF(IFERROR(INDEX('Both teabags AfterWet'!$C$3:$C$841,MATCH(J487,'Both teabags AfterWet'!$A$3:$A$841,0)),"")="","",(IFERROR(INDEX('Both teabags AfterWet'!$C$3:$C$841,MATCH(J487,'Both teabags AfterWet'!$A$3:$A$841,0)),"")))</f>
        <v/>
      </c>
      <c r="P487" s="225" t="str">
        <f>IFERROR(IF(O487&gt;0,O487-(TBIcalc!$H$9),""),"")</f>
        <v/>
      </c>
      <c r="Q487" s="225" t="str">
        <f>IFERROR(INDEX('Ashed teabags wet'!$K$2:$K$821,MATCH(J487,'Ashed teabags wet'!$A$2:$A$821,0)),"")</f>
        <v/>
      </c>
      <c r="R487" s="225" t="str">
        <f t="shared" si="42"/>
        <v/>
      </c>
      <c r="S487" s="226">
        <f>'WetLitterbags placem_collection'!E48</f>
        <v>42766</v>
      </c>
      <c r="T487" s="226">
        <f>IF('WetLitterbags placem_collection'!G48="","",'WetLitterbags placem_collection'!G48)</f>
        <v>42820</v>
      </c>
      <c r="U487" s="227">
        <f t="shared" si="38"/>
        <v>54</v>
      </c>
      <c r="V487" s="225" t="str">
        <f t="shared" si="40"/>
        <v/>
      </c>
      <c r="W487" s="225" t="str">
        <f t="shared" si="41"/>
        <v/>
      </c>
      <c r="X487">
        <f>IFERROR(INDEX(Rainfall_Wet!$O$2:$O$217,MATCH(B487, Rainfall_Wet!$A$2:$A$217,0)),"")</f>
        <v>214.262898705</v>
      </c>
      <c r="Y487" s="231">
        <v>19.96</v>
      </c>
      <c r="Z487" s="231">
        <v>4.9199999999999982</v>
      </c>
      <c r="AA487" s="231">
        <v>75.12</v>
      </c>
      <c r="AB487" s="232" t="s">
        <v>2671</v>
      </c>
      <c r="AC487" s="231">
        <v>1.641498275012321</v>
      </c>
      <c r="AD487" t="str">
        <f>IF('WetLitterbags placem_collection'!AB48="","",'WetLitterbags placem_collection'!AB48)</f>
        <v/>
      </c>
      <c r="AE487" t="str">
        <f>IF('WetLitterbags placem_collection'!Z48="","",'WetLitterbags placem_collection'!Z48)</f>
        <v/>
      </c>
      <c r="AF487" s="246" t="str">
        <f>IF('WetLitterbags placem_collection'!AA48="","",'WetLitterbags placem_collection'!AA48)</f>
        <v/>
      </c>
      <c r="AG487" t="str">
        <f>IF('WetLitterbags placem_collection'!AC48="","",'WetLitterbags placem_collection'!AC48)</f>
        <v/>
      </c>
      <c r="AH487" s="24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placem_collection'!X48)),"YES","NO")</f>
        <v>NO</v>
      </c>
      <c r="AM487" t="str">
        <f>IF(ISNUMBER(SEARCH("H", 'WetLitterbags placem_collection'!X48)),"YES","NO")</f>
        <v>NO</v>
      </c>
      <c r="AN487" t="str">
        <f>IF(ISNUMBER(SEARCH("R", 'WetLitterbags placem_collection'!X48)),"YES","NO")</f>
        <v>NO</v>
      </c>
    </row>
    <row r="488" spans="1:40" ht="15" customHeight="1">
      <c r="A488" s="258" t="s">
        <v>2460</v>
      </c>
      <c r="B488" s="263">
        <f>'Dry_Litterbag Placem_Collection'!A49</f>
        <v>47</v>
      </c>
      <c r="C488" s="263" t="str">
        <f>'Dry_Litterbag Placem_Collection'!B49</f>
        <v>Makao</v>
      </c>
      <c r="D488" s="263" t="s">
        <v>2659</v>
      </c>
      <c r="E488" s="263" t="s">
        <v>20</v>
      </c>
      <c r="F488" s="263">
        <v>2</v>
      </c>
      <c r="G488" s="264" t="str">
        <f>'Dry_Litterbag Placem_Collection'!C49</f>
        <v>Dry_P2_T7</v>
      </c>
      <c r="H488" s="273" t="s">
        <v>3651</v>
      </c>
      <c r="I488" s="266" t="s">
        <v>1147</v>
      </c>
      <c r="J488" s="223" t="str">
        <f>'WetLitterbags placem_collection'!O49</f>
        <v>G512</v>
      </c>
      <c r="K488" s="225">
        <f>IFERROR(INDEX('Green_rooibos initial weight'!$C$5:$C$1749,MATCH(J488, 'Green_rooibos initial weight'!$A$5:$A$1749,0)),"")</f>
        <v>2.0939999999999999</v>
      </c>
      <c r="L488" s="225">
        <f>IFERROR(K488-(TBIcalc!$H$9+TBIcalc!$H$10),"")</f>
        <v>1.8441999999999998</v>
      </c>
      <c r="M488" s="391">
        <f>AVERAGE(Ashed_controlls!$K$2:$K$11)</f>
        <v>5.5147656768714146</v>
      </c>
      <c r="N488" s="225">
        <f t="shared" si="39"/>
        <v>1.7424966913871371</v>
      </c>
      <c r="O488" s="225">
        <f>IF(IFERROR(INDEX('Both teabags AfterWet'!$C$3:$C$841,MATCH(J488,'Both teabags AfterWet'!$A$3:$A$841,0)),"")="","",(IFERROR(INDEX('Both teabags AfterWet'!$C$3:$C$841,MATCH(J488,'Both teabags AfterWet'!$A$3:$A$841,0)),"")))</f>
        <v>0.77500000000000002</v>
      </c>
      <c r="P488" s="225">
        <f>IFERROR(IF(O488&gt;0,O488-(TBIcalc!$H$9),""),"")</f>
        <v>0.62440000000000007</v>
      </c>
      <c r="Q488" s="225">
        <f>IFERROR(INDEX('Ashed teabags wet'!$K$2:$K$821,MATCH(J488,'Ashed teabags wet'!$A$2:$A$821,0)),"")</f>
        <v>8.2123184777170053</v>
      </c>
      <c r="R488" s="225">
        <f t="shared" si="42"/>
        <v>0.57312228342513505</v>
      </c>
      <c r="S488" s="226">
        <f>'WetLitterbags placem_collection'!E49</f>
        <v>42766</v>
      </c>
      <c r="T488" s="226">
        <f>IF('WetLitterbags placem_collection'!G49="","",'WetLitterbags placem_collection'!G49)</f>
        <v>42820</v>
      </c>
      <c r="U488" s="227">
        <f t="shared" si="38"/>
        <v>54</v>
      </c>
      <c r="V488" s="225">
        <f t="shared" si="40"/>
        <v>1.2197999999999998</v>
      </c>
      <c r="W488" s="225">
        <f t="shared" si="41"/>
        <v>1.1693744079620021</v>
      </c>
      <c r="X488">
        <f>IFERROR(INDEX(Rainfall_Wet!$O$2:$O$217,MATCH(B488, Rainfall_Wet!$A$2:$A$217,0)),"")</f>
        <v>214.262898705</v>
      </c>
      <c r="Y488" s="231">
        <v>19.96</v>
      </c>
      <c r="Z488" s="231">
        <v>4.9199999999999982</v>
      </c>
      <c r="AA488" s="231">
        <v>75.12</v>
      </c>
      <c r="AB488" s="232" t="s">
        <v>2671</v>
      </c>
      <c r="AC488" s="231">
        <v>1.641498275012321</v>
      </c>
      <c r="AD488">
        <f>IF('WetLitterbags placem_collection'!AB49="","",'WetLitterbags placem_collection'!AB49)</f>
        <v>5.2</v>
      </c>
      <c r="AE488">
        <f>IF('WetLitterbags placem_collection'!Z49="","",'WetLitterbags placem_collection'!Z49)</f>
        <v>5.2</v>
      </c>
      <c r="AF488" s="246" t="str">
        <f>IF('WetLitterbags placem_collection'!AA49="","",'WetLitterbags placem_collection'!AA49)</f>
        <v>G</v>
      </c>
      <c r="AG488">
        <f>IF('WetLitterbags placem_collection'!AC49="","",'WetLitterbags placem_collection'!AC49)</f>
        <v>0</v>
      </c>
      <c r="AH488" s="24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placem_collection'!X49)),"YES","NO")</f>
        <v>NO</v>
      </c>
      <c r="AM488" t="str">
        <f>IF(ISNUMBER(SEARCH("H", 'WetLitterbags placem_collection'!X49)),"YES","NO")</f>
        <v>NO</v>
      </c>
      <c r="AN488" t="str">
        <f>IF(ISNUMBER(SEARCH("R", 'WetLitterbags placem_collection'!X49)),"YES","NO")</f>
        <v>YES</v>
      </c>
    </row>
    <row r="489" spans="1:40" ht="15" customHeight="1">
      <c r="A489" s="258" t="s">
        <v>2460</v>
      </c>
      <c r="B489" s="263">
        <f>'Dry_Litterbag Placem_Collection'!A50</f>
        <v>48</v>
      </c>
      <c r="C489" s="263" t="str">
        <f>'Dry_Litterbag Placem_Collection'!B50</f>
        <v>Makao</v>
      </c>
      <c r="D489" s="263" t="s">
        <v>2659</v>
      </c>
      <c r="E489" s="263" t="s">
        <v>20</v>
      </c>
      <c r="F489" s="263">
        <v>2</v>
      </c>
      <c r="G489" s="264" t="str">
        <f>'Dry_Litterbag Placem_Collection'!C50</f>
        <v>Dry_P2_T8</v>
      </c>
      <c r="H489" s="273" t="s">
        <v>3651</v>
      </c>
      <c r="I489" s="266" t="s">
        <v>1147</v>
      </c>
      <c r="J489" s="223" t="str">
        <f>'WetLitterbags placem_collection'!O50</f>
        <v>G299</v>
      </c>
      <c r="K489" s="225">
        <f>IFERROR(INDEX('Green_rooibos initial weight'!$C$5:$C$1749,MATCH(J489, 'Green_rooibos initial weight'!$A$5:$A$1749,0)),"")</f>
        <v>2.0110000000000001</v>
      </c>
      <c r="L489" s="225">
        <f>IFERROR(K489-(TBIcalc!$H$9+TBIcalc!$H$10),"")</f>
        <v>1.7612000000000001</v>
      </c>
      <c r="M489" s="391">
        <f>AVERAGE(Ashed_controlls!$K$2:$K$11)</f>
        <v>5.5147656768714146</v>
      </c>
      <c r="N489" s="225">
        <f t="shared" si="39"/>
        <v>1.6640739468989407</v>
      </c>
      <c r="O489" s="225">
        <f>IF(IFERROR(INDEX('Both teabags AfterWet'!$C$3:$C$841,MATCH(J489,'Both teabags AfterWet'!$A$3:$A$841,0)),"")="","",(IFERROR(INDEX('Both teabags AfterWet'!$C$3:$C$841,MATCH(J489,'Both teabags AfterWet'!$A$3:$A$841,0)),"")))</f>
        <v>0.88100000000000001</v>
      </c>
      <c r="P489" s="225">
        <f>IFERROR(IF(O489&gt;0,O489-(TBIcalc!$H$9),""),"")</f>
        <v>0.73039999999999994</v>
      </c>
      <c r="Q489" s="225">
        <f>IFERROR(INDEX('Ashed teabags wet'!$K$2:$K$821,MATCH(J489,'Ashed teabags wet'!$A$2:$A$821,0)),"")</f>
        <v>7.4656188605105287</v>
      </c>
      <c r="R489" s="225">
        <f t="shared" si="42"/>
        <v>0.67587111984283099</v>
      </c>
      <c r="S489" s="226">
        <f>'WetLitterbags placem_collection'!E50</f>
        <v>42766</v>
      </c>
      <c r="T489" s="226">
        <f>IF('WetLitterbags placem_collection'!G50="","",'WetLitterbags placem_collection'!G50)</f>
        <v>42820</v>
      </c>
      <c r="U489" s="227">
        <f t="shared" si="38"/>
        <v>54</v>
      </c>
      <c r="V489" s="225">
        <f t="shared" si="40"/>
        <v>1.0308000000000002</v>
      </c>
      <c r="W489" s="225">
        <f t="shared" si="41"/>
        <v>0.98820282705610973</v>
      </c>
      <c r="X489">
        <f>IFERROR(INDEX(Rainfall_Wet!$O$2:$O$217,MATCH(B489, Rainfall_Wet!$A$2:$A$217,0)),"")</f>
        <v>214.262898705</v>
      </c>
      <c r="Y489" s="231">
        <v>19.96</v>
      </c>
      <c r="Z489" s="231">
        <v>4.9199999999999982</v>
      </c>
      <c r="AA489" s="231">
        <v>75.12</v>
      </c>
      <c r="AB489" s="232" t="s">
        <v>2671</v>
      </c>
      <c r="AC489" s="231">
        <v>1.641498275012321</v>
      </c>
      <c r="AD489">
        <f>IF('WetLitterbags placem_collection'!AB50="","",'WetLitterbags placem_collection'!AB50)</f>
        <v>7.3</v>
      </c>
      <c r="AE489">
        <f>IF('WetLitterbags placem_collection'!Z50="","",'WetLitterbags placem_collection'!Z50)</f>
        <v>27.2</v>
      </c>
      <c r="AF489" s="246" t="str">
        <f>IF('WetLitterbags placem_collection'!AA50="","",'WetLitterbags placem_collection'!AA50)</f>
        <v>M</v>
      </c>
      <c r="AG489">
        <f>IF('WetLitterbags placem_collection'!AC50="","",'WetLitterbags placem_collection'!AC50)</f>
        <v>0</v>
      </c>
      <c r="AH489" s="24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placem_collection'!X50)),"YES","NO")</f>
        <v>NO</v>
      </c>
      <c r="AM489" t="str">
        <f>IF(ISNUMBER(SEARCH("H", 'WetLitterbags placem_collection'!X50)),"YES","NO")</f>
        <v>NO</v>
      </c>
      <c r="AN489" t="str">
        <f>IF(ISNUMBER(SEARCH("R", 'WetLitterbags placem_collection'!X50)),"YES","NO")</f>
        <v>YES</v>
      </c>
    </row>
    <row r="490" spans="1:40" ht="15" customHeight="1">
      <c r="A490" s="258" t="s">
        <v>2460</v>
      </c>
      <c r="B490" s="263">
        <f>'Dry_Litterbag Placem_Collection'!A51</f>
        <v>49</v>
      </c>
      <c r="C490" s="263" t="str">
        <f>'Dry_Litterbag Placem_Collection'!B51</f>
        <v>Makao</v>
      </c>
      <c r="D490" s="263" t="s">
        <v>2659</v>
      </c>
      <c r="E490" s="263" t="s">
        <v>20</v>
      </c>
      <c r="F490" s="263">
        <v>3</v>
      </c>
      <c r="G490" s="264" t="str">
        <f>'Dry_Litterbag Placem_Collection'!C51</f>
        <v>Dry_P3_T1</v>
      </c>
      <c r="H490" s="273" t="s">
        <v>3651</v>
      </c>
      <c r="I490" s="266" t="s">
        <v>1147</v>
      </c>
      <c r="J490" s="223" t="str">
        <f>'WetLitterbags placem_collection'!O51</f>
        <v>G739</v>
      </c>
      <c r="K490" s="225">
        <f>IFERROR(INDEX('Green_rooibos initial weight'!$C$5:$C$1749,MATCH(J490, 'Green_rooibos initial weight'!$A$5:$A$1749,0)),"")</f>
        <v>2.0499999999999998</v>
      </c>
      <c r="L490" s="225">
        <f>IFERROR(K490-(TBIcalc!$H$9+TBIcalc!$H$10),"")</f>
        <v>1.8001999999999998</v>
      </c>
      <c r="M490" s="391">
        <f>AVERAGE(Ashed_controlls!$K$2:$K$11)</f>
        <v>5.5147656768714146</v>
      </c>
      <c r="N490" s="225">
        <f t="shared" si="39"/>
        <v>1.7009231882849607</v>
      </c>
      <c r="O490" s="225">
        <f>IF(IFERROR(INDEX('Both teabags AfterWet'!$C$3:$C$841,MATCH(J490,'Both teabags AfterWet'!$A$3:$A$841,0)),"")="","",(IFERROR(INDEX('Both teabags AfterWet'!$C$3:$C$841,MATCH(J490,'Both teabags AfterWet'!$A$3:$A$841,0)),"")))</f>
        <v>0.87490000000000001</v>
      </c>
      <c r="P490" s="225">
        <f>IFERROR(IF(O490&gt;0,O490-(TBIcalc!$H$9),""),"")</f>
        <v>0.72429999999999994</v>
      </c>
      <c r="Q490" s="225">
        <f>IFERROR(INDEX('Ashed teabags wet'!$K$2:$K$821,MATCH(J490,'Ashed teabags wet'!$A$2:$A$821,0)),"")</f>
        <v>16.486751717369803</v>
      </c>
      <c r="R490" s="225">
        <f t="shared" si="42"/>
        <v>0.60488645731109048</v>
      </c>
      <c r="S490" s="226">
        <f>'WetLitterbags placem_collection'!E51</f>
        <v>42766</v>
      </c>
      <c r="T490" s="226">
        <f>IF('WetLitterbags placem_collection'!G51="","",'WetLitterbags placem_collection'!G51)</f>
        <v>42820</v>
      </c>
      <c r="U490" s="227">
        <f t="shared" si="38"/>
        <v>54</v>
      </c>
      <c r="V490" s="225">
        <f t="shared" si="40"/>
        <v>1.0758999999999999</v>
      </c>
      <c r="W490" s="225">
        <f t="shared" si="41"/>
        <v>1.0960367309738701</v>
      </c>
      <c r="X490">
        <f>IFERROR(INDEX(Rainfall_Wet!$O$2:$O$217,MATCH(B490, Rainfall_Wet!$A$2:$A$217,0)),"")</f>
        <v>214.262898705</v>
      </c>
      <c r="Y490" s="231">
        <v>21.96</v>
      </c>
      <c r="Z490" s="231">
        <v>8.9199999999999982</v>
      </c>
      <c r="AA490" s="231">
        <v>69.12</v>
      </c>
      <c r="AB490" s="232" t="s">
        <v>2670</v>
      </c>
      <c r="AC490" s="231">
        <v>1.7491375061606702</v>
      </c>
      <c r="AD490">
        <f>IF('WetLitterbags placem_collection'!AB51="","",'WetLitterbags placem_collection'!AB51)</f>
        <v>10.4</v>
      </c>
      <c r="AE490">
        <f>IF('WetLitterbags placem_collection'!Z51="","",'WetLitterbags placem_collection'!Z51)</f>
        <v>36</v>
      </c>
      <c r="AF490" s="246" t="str">
        <f>IF('WetLitterbags placem_collection'!AA51="","",'WetLitterbags placem_collection'!AA51)</f>
        <v>M</v>
      </c>
      <c r="AG490">
        <f>IF('WetLitterbags placem_collection'!AC51="","",'WetLitterbags placem_collection'!AC51)</f>
        <v>1</v>
      </c>
      <c r="AH490" s="24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placem_collection'!X51)),"YES","NO")</f>
        <v>NO</v>
      </c>
      <c r="AM490" t="str">
        <f>IF(ISNUMBER(SEARCH("H", 'WetLitterbags placem_collection'!X51)),"YES","NO")</f>
        <v>NO</v>
      </c>
      <c r="AN490" t="str">
        <f>IF(ISNUMBER(SEARCH("R", 'WetLitterbags placem_collection'!X51)),"YES","NO")</f>
        <v>YES</v>
      </c>
    </row>
    <row r="491" spans="1:40" ht="15" customHeight="1">
      <c r="A491" s="258" t="s">
        <v>2460</v>
      </c>
      <c r="B491" s="263">
        <f>'Dry_Litterbag Placem_Collection'!A52</f>
        <v>50</v>
      </c>
      <c r="C491" s="263" t="str">
        <f>'Dry_Litterbag Placem_Collection'!B52</f>
        <v>Makao</v>
      </c>
      <c r="D491" s="263" t="s">
        <v>2659</v>
      </c>
      <c r="E491" s="263" t="s">
        <v>20</v>
      </c>
      <c r="F491" s="263">
        <v>3</v>
      </c>
      <c r="G491" s="264" t="str">
        <f>'Dry_Litterbag Placem_Collection'!C52</f>
        <v>Dry_P3_T2</v>
      </c>
      <c r="H491" s="273" t="s">
        <v>3651</v>
      </c>
      <c r="I491" s="266" t="s">
        <v>1147</v>
      </c>
      <c r="J491" s="223" t="str">
        <f>'WetLitterbags placem_collection'!O52</f>
        <v>G559</v>
      </c>
      <c r="K491" s="225">
        <f>IFERROR(INDEX('Green_rooibos initial weight'!$C$5:$C$1749,MATCH(J491, 'Green_rooibos initial weight'!$A$5:$A$1749,0)),"")</f>
        <v>2.085</v>
      </c>
      <c r="L491" s="225">
        <f>IFERROR(K491-(TBIcalc!$H$9+TBIcalc!$H$10),"")</f>
        <v>1.8351999999999999</v>
      </c>
      <c r="M491" s="391">
        <f>AVERAGE(Ashed_controlls!$K$2:$K$11)</f>
        <v>5.5147656768714146</v>
      </c>
      <c r="N491" s="225">
        <f t="shared" si="39"/>
        <v>1.7339930202980558</v>
      </c>
      <c r="O491" s="225" t="str">
        <f>IF(IFERROR(INDEX('Both teabags AfterWet'!$C$3:$C$841,MATCH(J491,'Both teabags AfterWet'!$A$3:$A$841,0)),"")="","",(IFERROR(INDEX('Both teabags AfterWet'!$C$3:$C$841,MATCH(J491,'Both teabags AfterWet'!$A$3:$A$841,0)),"")))</f>
        <v/>
      </c>
      <c r="P491" s="225" t="str">
        <f>IFERROR(IF(O491&gt;0,O491-(TBIcalc!$H$9),""),"")</f>
        <v/>
      </c>
      <c r="Q491" s="225" t="str">
        <f>IFERROR(INDEX('Ashed teabags wet'!$K$2:$K$821,MATCH(J491,'Ashed teabags wet'!$A$2:$A$821,0)),"")</f>
        <v/>
      </c>
      <c r="R491" s="225" t="str">
        <f t="shared" si="42"/>
        <v/>
      </c>
      <c r="S491" s="226">
        <f>'WetLitterbags placem_collection'!E52</f>
        <v>42766</v>
      </c>
      <c r="T491" s="226">
        <f>IF('WetLitterbags placem_collection'!G52="","",'WetLitterbags placem_collection'!G52)</f>
        <v>42820</v>
      </c>
      <c r="U491" s="227">
        <f t="shared" si="38"/>
        <v>54</v>
      </c>
      <c r="V491" s="225" t="str">
        <f t="shared" si="40"/>
        <v/>
      </c>
      <c r="W491" s="225" t="str">
        <f t="shared" si="41"/>
        <v/>
      </c>
      <c r="X491">
        <f>IFERROR(INDEX(Rainfall_Wet!$O$2:$O$217,MATCH(B491, Rainfall_Wet!$A$2:$A$217,0)),"")</f>
        <v>214.262898705</v>
      </c>
      <c r="Y491" s="231">
        <v>21.96</v>
      </c>
      <c r="Z491" s="231">
        <v>8.9199999999999982</v>
      </c>
      <c r="AA491" s="231">
        <v>69.12</v>
      </c>
      <c r="AB491" s="232" t="s">
        <v>2670</v>
      </c>
      <c r="AC491" s="231">
        <v>1.7491375061606702</v>
      </c>
      <c r="AD491">
        <f>IF('WetLitterbags placem_collection'!AB52="","",'WetLitterbags placem_collection'!AB52)</f>
        <v>10</v>
      </c>
      <c r="AE491">
        <f>IF('WetLitterbags placem_collection'!Z52="","",'WetLitterbags placem_collection'!Z52)</f>
        <v>22.5</v>
      </c>
      <c r="AF491" s="246" t="str">
        <f>IF('WetLitterbags placem_collection'!AA52="","",'WetLitterbags placem_collection'!AA52)</f>
        <v>M</v>
      </c>
      <c r="AG491">
        <f>IF('WetLitterbags placem_collection'!AC52="","",'WetLitterbags placem_collection'!AC52)</f>
        <v>1</v>
      </c>
      <c r="AH491" s="24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placem_collection'!X52)),"YES","NO")</f>
        <v>NO</v>
      </c>
      <c r="AM491" t="str">
        <f>IF(ISNUMBER(SEARCH("H", 'WetLitterbags placem_collection'!X52)),"YES","NO")</f>
        <v>NO</v>
      </c>
      <c r="AN491" t="str">
        <f>IF(ISNUMBER(SEARCH("R", 'WetLitterbags placem_collection'!X52)),"YES","NO")</f>
        <v>NO</v>
      </c>
    </row>
    <row r="492" spans="1:40" ht="15" customHeight="1">
      <c r="A492" s="258" t="s">
        <v>2460</v>
      </c>
      <c r="B492" s="263">
        <f>'Dry_Litterbag Placem_Collection'!A53</f>
        <v>51</v>
      </c>
      <c r="C492" s="263" t="str">
        <f>'Dry_Litterbag Placem_Collection'!B53</f>
        <v>Makao</v>
      </c>
      <c r="D492" s="263" t="s">
        <v>2659</v>
      </c>
      <c r="E492" s="263" t="s">
        <v>20</v>
      </c>
      <c r="F492" s="263">
        <v>3</v>
      </c>
      <c r="G492" s="264" t="str">
        <f>'Dry_Litterbag Placem_Collection'!C53</f>
        <v>Dry_P3_T3</v>
      </c>
      <c r="H492" s="273" t="s">
        <v>3651</v>
      </c>
      <c r="I492" s="266" t="s">
        <v>1147</v>
      </c>
      <c r="J492" s="223" t="str">
        <f>'WetLitterbags placem_collection'!O53</f>
        <v>G856</v>
      </c>
      <c r="K492" s="225">
        <f>IFERROR(INDEX('Green_rooibos initial weight'!$C$5:$C$1749,MATCH(J492, 'Green_rooibos initial weight'!$A$5:$A$1749,0)),"")</f>
        <v>1.9370000000000001</v>
      </c>
      <c r="L492" s="225">
        <f>IFERROR(K492-(TBIcalc!$H$9+TBIcalc!$H$10),"")</f>
        <v>1.6872</v>
      </c>
      <c r="M492" s="391">
        <f>AVERAGE(Ashed_controlls!$K$2:$K$11)</f>
        <v>5.5147656768714146</v>
      </c>
      <c r="N492" s="225">
        <f t="shared" si="39"/>
        <v>1.5941548734998254</v>
      </c>
      <c r="O492" s="225">
        <f>IF(IFERROR(INDEX('Both teabags AfterWet'!$C$3:$C$841,MATCH(J492,'Both teabags AfterWet'!$A$3:$A$841,0)),"")="","",(IFERROR(INDEX('Both teabags AfterWet'!$C$3:$C$841,MATCH(J492,'Both teabags AfterWet'!$A$3:$A$841,0)),"")))</f>
        <v>0.77600000000000002</v>
      </c>
      <c r="P492" s="225">
        <f>IFERROR(IF(O492&gt;0,O492-(TBIcalc!$H$9),""),"")</f>
        <v>0.62539999999999996</v>
      </c>
      <c r="Q492" s="225">
        <f>IFERROR(INDEX('Ashed teabags wet'!$K$2:$K$821,MATCH(J492,'Ashed teabags wet'!$A$2:$A$821,0)),"")</f>
        <v>9.5957135898680637</v>
      </c>
      <c r="R492" s="225">
        <f t="shared" si="42"/>
        <v>0.5653884072089651</v>
      </c>
      <c r="S492" s="226">
        <f>'WetLitterbags placem_collection'!E53</f>
        <v>42766</v>
      </c>
      <c r="T492" s="226">
        <f>IF('WetLitterbags placem_collection'!G53="","",'WetLitterbags placem_collection'!G53)</f>
        <v>42820</v>
      </c>
      <c r="U492" s="227">
        <f t="shared" si="38"/>
        <v>54</v>
      </c>
      <c r="V492" s="225">
        <f t="shared" si="40"/>
        <v>1.0618000000000001</v>
      </c>
      <c r="W492" s="225">
        <f t="shared" si="41"/>
        <v>1.0287664662908602</v>
      </c>
      <c r="X492">
        <f>IFERROR(INDEX(Rainfall_Wet!$O$2:$O$217,MATCH(B492, Rainfall_Wet!$A$2:$A$217,0)),"")</f>
        <v>214.262898705</v>
      </c>
      <c r="Y492" s="231">
        <v>21.96</v>
      </c>
      <c r="Z492" s="231">
        <v>8.9199999999999982</v>
      </c>
      <c r="AA492" s="231">
        <v>69.12</v>
      </c>
      <c r="AB492" s="232" t="s">
        <v>2670</v>
      </c>
      <c r="AC492" s="231">
        <v>1.7491375061606702</v>
      </c>
      <c r="AD492">
        <f>IF('WetLitterbags placem_collection'!AB53="","",'WetLitterbags placem_collection'!AB53)</f>
        <v>3</v>
      </c>
      <c r="AE492">
        <f>IF('WetLitterbags placem_collection'!Z53="","",'WetLitterbags placem_collection'!Z53)</f>
        <v>18</v>
      </c>
      <c r="AF492" s="246" t="str">
        <f>IF('WetLitterbags placem_collection'!AA53="","",'WetLitterbags placem_collection'!AA53)</f>
        <v>O</v>
      </c>
      <c r="AG492">
        <f>IF('WetLitterbags placem_collection'!AC53="","",'WetLitterbags placem_collection'!AC53)</f>
        <v>0</v>
      </c>
      <c r="AH492" s="24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placem_collection'!X53)),"YES","NO")</f>
        <v>NO</v>
      </c>
      <c r="AM492" t="str">
        <f>IF(ISNUMBER(SEARCH("H", 'WetLitterbags placem_collection'!X53)),"YES","NO")</f>
        <v>NO</v>
      </c>
      <c r="AN492" t="str">
        <f>IF(ISNUMBER(SEARCH("R", 'WetLitterbags placem_collection'!X53)),"YES","NO")</f>
        <v>YES</v>
      </c>
    </row>
    <row r="493" spans="1:40" ht="15" customHeight="1">
      <c r="A493" s="258" t="s">
        <v>2460</v>
      </c>
      <c r="B493" s="263">
        <f>'Dry_Litterbag Placem_Collection'!A54</f>
        <v>52</v>
      </c>
      <c r="C493" s="263" t="str">
        <f>'Dry_Litterbag Placem_Collection'!B54</f>
        <v>Makao</v>
      </c>
      <c r="D493" s="263" t="s">
        <v>2659</v>
      </c>
      <c r="E493" s="263" t="s">
        <v>20</v>
      </c>
      <c r="F493" s="263">
        <v>3</v>
      </c>
      <c r="G493" s="264" t="str">
        <f>'Dry_Litterbag Placem_Collection'!C54</f>
        <v>Dry_P3_T4</v>
      </c>
      <c r="H493" s="273" t="s">
        <v>3651</v>
      </c>
      <c r="I493" s="266" t="s">
        <v>1147</v>
      </c>
      <c r="J493" s="223" t="str">
        <f>'WetLitterbags placem_collection'!O54</f>
        <v>G599</v>
      </c>
      <c r="K493" s="225">
        <f>IFERROR(INDEX('Green_rooibos initial weight'!$C$5:$C$1749,MATCH(J493, 'Green_rooibos initial weight'!$A$5:$A$1749,0)),"")</f>
        <v>2.0760000000000001</v>
      </c>
      <c r="L493" s="225">
        <f>IFERROR(K493-(TBIcalc!$H$9+TBIcalc!$H$10),"")</f>
        <v>1.8262</v>
      </c>
      <c r="M493" s="391">
        <f>AVERAGE(Ashed_controlls!$K$2:$K$11)</f>
        <v>5.5147656768714146</v>
      </c>
      <c r="N493" s="225">
        <f t="shared" si="39"/>
        <v>1.7254893492089742</v>
      </c>
      <c r="O493" s="225">
        <f>IF(IFERROR(INDEX('Both teabags AfterWet'!$C$3:$C$841,MATCH(J493,'Both teabags AfterWet'!$A$3:$A$841,0)),"")="","",(IFERROR(INDEX('Both teabags AfterWet'!$C$3:$C$841,MATCH(J493,'Both teabags AfterWet'!$A$3:$A$841,0)),"")))</f>
        <v>0.88200000000000001</v>
      </c>
      <c r="P493" s="225">
        <f>IFERROR(IF(O493&gt;0,O493-(TBIcalc!$H$9),""),"")</f>
        <v>0.73140000000000005</v>
      </c>
      <c r="Q493" s="225">
        <f>IFERROR(INDEX('Ashed teabags wet'!$K$2:$K$821,MATCH(J493,'Ashed teabags wet'!$A$2:$A$821,0)),"")</f>
        <v>14.285714285714219</v>
      </c>
      <c r="R493" s="225">
        <f t="shared" si="42"/>
        <v>0.6269142857142862</v>
      </c>
      <c r="S493" s="226">
        <f>'WetLitterbags placem_collection'!E54</f>
        <v>42766</v>
      </c>
      <c r="T493" s="226">
        <f>IF('WetLitterbags placem_collection'!G54="","",'WetLitterbags placem_collection'!G54)</f>
        <v>42820</v>
      </c>
      <c r="U493" s="227">
        <f t="shared" si="38"/>
        <v>54</v>
      </c>
      <c r="V493" s="225">
        <f t="shared" si="40"/>
        <v>1.0948</v>
      </c>
      <c r="W493" s="225">
        <f t="shared" si="41"/>
        <v>1.098575063494688</v>
      </c>
      <c r="X493">
        <f>IFERROR(INDEX(Rainfall_Wet!$O$2:$O$217,MATCH(B493, Rainfall_Wet!$A$2:$A$217,0)),"")</f>
        <v>214.262898705</v>
      </c>
      <c r="Y493" s="231">
        <v>21.96</v>
      </c>
      <c r="Z493" s="231">
        <v>8.9199999999999982</v>
      </c>
      <c r="AA493" s="231">
        <v>69.12</v>
      </c>
      <c r="AB493" s="232" t="s">
        <v>2670</v>
      </c>
      <c r="AC493" s="231">
        <v>1.7491375061606702</v>
      </c>
      <c r="AD493">
        <f>IF('WetLitterbags placem_collection'!AB54="","",'WetLitterbags placem_collection'!AB54)</f>
        <v>13.4</v>
      </c>
      <c r="AE493">
        <f>IF('WetLitterbags placem_collection'!Z54="","",'WetLitterbags placem_collection'!Z54)</f>
        <v>67</v>
      </c>
      <c r="AF493" s="246" t="str">
        <f>IF('WetLitterbags placem_collection'!AA54="","",'WetLitterbags placem_collection'!AA54)</f>
        <v>M</v>
      </c>
      <c r="AG493">
        <f>IF('WetLitterbags placem_collection'!AC54="","",'WetLitterbags placem_collection'!AC54)</f>
        <v>1</v>
      </c>
      <c r="AH493" s="24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placem_collection'!X54)),"YES","NO")</f>
        <v>NO</v>
      </c>
      <c r="AM493" t="str">
        <f>IF(ISNUMBER(SEARCH("H", 'WetLitterbags placem_collection'!X54)),"YES","NO")</f>
        <v>NO</v>
      </c>
      <c r="AN493" t="str">
        <f>IF(ISNUMBER(SEARCH("R", 'WetLitterbags placem_collection'!X54)),"YES","NO")</f>
        <v>YES</v>
      </c>
    </row>
    <row r="494" spans="1:40" ht="15" customHeight="1">
      <c r="A494" s="258" t="s">
        <v>2460</v>
      </c>
      <c r="B494" s="263">
        <f>'Dry_Litterbag Placem_Collection'!A55</f>
        <v>53</v>
      </c>
      <c r="C494" s="263" t="str">
        <f>'Dry_Litterbag Placem_Collection'!B55</f>
        <v>Makao</v>
      </c>
      <c r="D494" s="263" t="s">
        <v>2659</v>
      </c>
      <c r="E494" s="263" t="s">
        <v>20</v>
      </c>
      <c r="F494" s="263">
        <v>3</v>
      </c>
      <c r="G494" s="264" t="str">
        <f>'Dry_Litterbag Placem_Collection'!C55</f>
        <v>Dry_P3_T5</v>
      </c>
      <c r="H494" s="273" t="s">
        <v>3651</v>
      </c>
      <c r="I494" s="266" t="s">
        <v>1147</v>
      </c>
      <c r="J494" s="223" t="str">
        <f>'WetLitterbags placem_collection'!O55</f>
        <v>G683</v>
      </c>
      <c r="K494" s="225">
        <f>IFERROR(INDEX('Green_rooibos initial weight'!$C$5:$C$1749,MATCH(J494, 'Green_rooibos initial weight'!$A$5:$A$1749,0)),"")</f>
        <v>2.1179999999999999</v>
      </c>
      <c r="L494" s="225">
        <f>IFERROR(K494-(TBIcalc!$H$9+TBIcalc!$H$10),"")</f>
        <v>1.8681999999999999</v>
      </c>
      <c r="M494" s="391">
        <f>AVERAGE(Ashed_controlls!$K$2:$K$11)</f>
        <v>5.5147656768714146</v>
      </c>
      <c r="N494" s="225">
        <f t="shared" si="39"/>
        <v>1.7651731476246881</v>
      </c>
      <c r="O494" s="225" t="str">
        <f>IF(IFERROR(INDEX('Both teabags AfterWet'!$C$3:$C$841,MATCH(J494,'Both teabags AfterWet'!$A$3:$A$841,0)),"")="","",(IFERROR(INDEX('Both teabags AfterWet'!$C$3:$C$841,MATCH(J494,'Both teabags AfterWet'!$A$3:$A$841,0)),"")))</f>
        <v/>
      </c>
      <c r="P494" s="225" t="str">
        <f>IFERROR(IF(O494&gt;0,O494-(TBIcalc!$H$9),""),"")</f>
        <v/>
      </c>
      <c r="Q494" s="225" t="str">
        <f>IFERROR(INDEX('Ashed teabags wet'!$K$2:$K$821,MATCH(J494,'Ashed teabags wet'!$A$2:$A$821,0)),"")</f>
        <v/>
      </c>
      <c r="R494" s="225" t="str">
        <f t="shared" si="42"/>
        <v/>
      </c>
      <c r="S494" s="226">
        <f>'WetLitterbags placem_collection'!E55</f>
        <v>42766</v>
      </c>
      <c r="T494" s="226">
        <f>IF('WetLitterbags placem_collection'!G55="","",'WetLitterbags placem_collection'!G55)</f>
        <v>42820</v>
      </c>
      <c r="U494" s="227">
        <f t="shared" si="38"/>
        <v>54</v>
      </c>
      <c r="V494" s="225" t="str">
        <f t="shared" si="40"/>
        <v/>
      </c>
      <c r="W494" s="225" t="str">
        <f t="shared" si="41"/>
        <v/>
      </c>
      <c r="X494">
        <f>IFERROR(INDEX(Rainfall_Wet!$O$2:$O$217,MATCH(B494, Rainfall_Wet!$A$2:$A$217,0)),"")</f>
        <v>214.262898705</v>
      </c>
      <c r="Y494" s="231">
        <v>21.96</v>
      </c>
      <c r="Z494" s="231">
        <v>8.9199999999999982</v>
      </c>
      <c r="AA494" s="231">
        <v>69.12</v>
      </c>
      <c r="AB494" s="232" t="s">
        <v>2670</v>
      </c>
      <c r="AC494" s="231">
        <v>1.7491375061606702</v>
      </c>
      <c r="AD494" t="str">
        <f>IF('WetLitterbags placem_collection'!AB55="","",'WetLitterbags placem_collection'!AB55)</f>
        <v/>
      </c>
      <c r="AE494" t="str">
        <f>IF('WetLitterbags placem_collection'!Z55="","",'WetLitterbags placem_collection'!Z55)</f>
        <v/>
      </c>
      <c r="AF494" s="246" t="str">
        <f>IF('WetLitterbags placem_collection'!AA55="","",'WetLitterbags placem_collection'!AA55)</f>
        <v/>
      </c>
      <c r="AG494" t="str">
        <f>IF('WetLitterbags placem_collection'!AC55="","",'WetLitterbags placem_collection'!AC55)</f>
        <v/>
      </c>
      <c r="AH494" s="24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placem_collection'!X55)),"YES","NO")</f>
        <v>NO</v>
      </c>
      <c r="AM494" t="str">
        <f>IF(ISNUMBER(SEARCH("H", 'WetLitterbags placem_collection'!X55)),"YES","NO")</f>
        <v>NO</v>
      </c>
      <c r="AN494" t="str">
        <f>IF(ISNUMBER(SEARCH("R", 'WetLitterbags placem_collection'!X55)),"YES","NO")</f>
        <v>NO</v>
      </c>
    </row>
    <row r="495" spans="1:40" ht="15" customHeight="1">
      <c r="A495" s="258" t="s">
        <v>2460</v>
      </c>
      <c r="B495" s="263">
        <f>'Dry_Litterbag Placem_Collection'!A56</f>
        <v>54</v>
      </c>
      <c r="C495" s="263" t="str">
        <f>'Dry_Litterbag Placem_Collection'!B56</f>
        <v>Makao</v>
      </c>
      <c r="D495" s="263" t="s">
        <v>2659</v>
      </c>
      <c r="E495" s="263" t="s">
        <v>20</v>
      </c>
      <c r="F495" s="263">
        <v>3</v>
      </c>
      <c r="G495" s="264" t="str">
        <f>'Dry_Litterbag Placem_Collection'!C56</f>
        <v>Dry_P3_T6</v>
      </c>
      <c r="H495" s="273" t="s">
        <v>3651</v>
      </c>
      <c r="I495" s="266" t="s">
        <v>1147</v>
      </c>
      <c r="J495" s="223" t="str">
        <f>'WetLitterbags placem_collection'!O56</f>
        <v>G288</v>
      </c>
      <c r="K495" s="225">
        <f>IFERROR(INDEX('Green_rooibos initial weight'!$C$5:$C$1749,MATCH(J495, 'Green_rooibos initial weight'!$A$5:$A$1749,0)),"")</f>
        <v>1.9830000000000001</v>
      </c>
      <c r="L495" s="225">
        <f>IFERROR(K495-(TBIcalc!$H$9+TBIcalc!$H$10),"")</f>
        <v>1.7332000000000001</v>
      </c>
      <c r="M495" s="391">
        <f>AVERAGE(Ashed_controlls!$K$2:$K$11)</f>
        <v>5.5147656768714146</v>
      </c>
      <c r="N495" s="225">
        <f t="shared" si="39"/>
        <v>1.6376180812884646</v>
      </c>
      <c r="O495" s="225" t="str">
        <f>IF(IFERROR(INDEX('Both teabags AfterWet'!$C$3:$C$841,MATCH(J495,'Both teabags AfterWet'!$A$3:$A$841,0)),"")="","",(IFERROR(INDEX('Both teabags AfterWet'!$C$3:$C$841,MATCH(J495,'Both teabags AfterWet'!$A$3:$A$841,0)),"")))</f>
        <v/>
      </c>
      <c r="P495" s="225" t="str">
        <f>IFERROR(IF(O495&gt;0,O495-(TBIcalc!$H$9),""),"")</f>
        <v/>
      </c>
      <c r="Q495" s="225" t="str">
        <f>IFERROR(INDEX('Ashed teabags wet'!$K$2:$K$821,MATCH(J495,'Ashed teabags wet'!$A$2:$A$821,0)),"")</f>
        <v/>
      </c>
      <c r="R495" s="225" t="str">
        <f t="shared" si="42"/>
        <v/>
      </c>
      <c r="S495" s="226">
        <f>'WetLitterbags placem_collection'!E56</f>
        <v>42766</v>
      </c>
      <c r="T495" s="226">
        <f>IF('WetLitterbags placem_collection'!G56="","",'WetLitterbags placem_collection'!G56)</f>
        <v>42820</v>
      </c>
      <c r="U495" s="227">
        <f t="shared" si="38"/>
        <v>54</v>
      </c>
      <c r="V495" s="225" t="str">
        <f t="shared" si="40"/>
        <v/>
      </c>
      <c r="W495" s="225" t="str">
        <f t="shared" si="41"/>
        <v/>
      </c>
      <c r="X495">
        <f>IFERROR(INDEX(Rainfall_Wet!$O$2:$O$217,MATCH(B495, Rainfall_Wet!$A$2:$A$217,0)),"")</f>
        <v>214.262898705</v>
      </c>
      <c r="Y495" s="231">
        <v>21.96</v>
      </c>
      <c r="Z495" s="231">
        <v>8.9199999999999982</v>
      </c>
      <c r="AA495" s="231">
        <v>69.12</v>
      </c>
      <c r="AB495" s="232" t="s">
        <v>2670</v>
      </c>
      <c r="AC495" s="231">
        <v>1.7491375061606702</v>
      </c>
      <c r="AD495" t="str">
        <f>IF('WetLitterbags placem_collection'!AB56="","",'WetLitterbags placem_collection'!AB56)</f>
        <v/>
      </c>
      <c r="AE495" t="str">
        <f>IF('WetLitterbags placem_collection'!Z56="","",'WetLitterbags placem_collection'!Z56)</f>
        <v/>
      </c>
      <c r="AF495" s="246" t="str">
        <f>IF('WetLitterbags placem_collection'!AA56="","",'WetLitterbags placem_collection'!AA56)</f>
        <v/>
      </c>
      <c r="AG495" t="str">
        <f>IF('WetLitterbags placem_collection'!AC56="","",'WetLitterbags placem_collection'!AC56)</f>
        <v/>
      </c>
      <c r="AH495" s="24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placem_collection'!X56)),"YES","NO")</f>
        <v>NO</v>
      </c>
      <c r="AM495" t="str">
        <f>IF(ISNUMBER(SEARCH("H", 'WetLitterbags placem_collection'!X56)),"YES","NO")</f>
        <v>NO</v>
      </c>
      <c r="AN495" t="str">
        <f>IF(ISNUMBER(SEARCH("R", 'WetLitterbags placem_collection'!X56)),"YES","NO")</f>
        <v>NO</v>
      </c>
    </row>
    <row r="496" spans="1:40" ht="15" customHeight="1">
      <c r="A496" s="258" t="s">
        <v>2460</v>
      </c>
      <c r="B496" s="263">
        <f>'Dry_Litterbag Placem_Collection'!A57</f>
        <v>55</v>
      </c>
      <c r="C496" s="263" t="str">
        <f>'Dry_Litterbag Placem_Collection'!B57</f>
        <v>Makao</v>
      </c>
      <c r="D496" s="263" t="s">
        <v>2659</v>
      </c>
      <c r="E496" s="263" t="s">
        <v>20</v>
      </c>
      <c r="F496" s="263">
        <v>3</v>
      </c>
      <c r="G496" s="264" t="str">
        <f>'Dry_Litterbag Placem_Collection'!C57</f>
        <v>Dry_P3_T7</v>
      </c>
      <c r="H496" s="273" t="s">
        <v>3651</v>
      </c>
      <c r="I496" s="266" t="s">
        <v>1147</v>
      </c>
      <c r="J496" s="223" t="str">
        <f>'WetLitterbags placem_collection'!O57</f>
        <v>G616</v>
      </c>
      <c r="K496" s="225">
        <f>IFERROR(INDEX('Green_rooibos initial weight'!$C$5:$C$1749,MATCH(J496, 'Green_rooibos initial weight'!$A$5:$A$1749,0)),"")</f>
        <v>1.978</v>
      </c>
      <c r="L496" s="225">
        <f>IFERROR(K496-(TBIcalc!$H$9+TBIcalc!$H$10),"")</f>
        <v>1.7282</v>
      </c>
      <c r="M496" s="391">
        <f>AVERAGE(Ashed_controlls!$K$2:$K$11)</f>
        <v>5.5147656768714146</v>
      </c>
      <c r="N496" s="225">
        <f t="shared" si="39"/>
        <v>1.6328938195723082</v>
      </c>
      <c r="O496" s="225">
        <f>IF(IFERROR(INDEX('Both teabags AfterWet'!$C$3:$C$841,MATCH(J496,'Both teabags AfterWet'!$A$3:$A$841,0)),"")="","",(IFERROR(INDEX('Both teabags AfterWet'!$C$3:$C$841,MATCH(J496,'Both teabags AfterWet'!$A$3:$A$841,0)),"")))</f>
        <v>0.93200000000000005</v>
      </c>
      <c r="P496" s="225">
        <f>IFERROR(IF(O496&gt;0,O496-(TBIcalc!$H$9),""),"")</f>
        <v>0.78140000000000009</v>
      </c>
      <c r="Q496" s="225">
        <f>IFERROR(INDEX('Ashed teabags wet'!$K$2:$K$821,MATCH(J496,'Ashed teabags wet'!$A$2:$A$821,0)),"")</f>
        <v>25.927734375000028</v>
      </c>
      <c r="R496" s="225">
        <f t="shared" si="42"/>
        <v>0.57880068359374981</v>
      </c>
      <c r="S496" s="226">
        <f>'WetLitterbags placem_collection'!E57</f>
        <v>42766</v>
      </c>
      <c r="T496" s="226">
        <f>IF('WetLitterbags placem_collection'!G57="","",'WetLitterbags placem_collection'!G57)</f>
        <v>42820</v>
      </c>
      <c r="U496" s="227">
        <f t="shared" si="38"/>
        <v>54</v>
      </c>
      <c r="V496" s="225">
        <f t="shared" si="40"/>
        <v>0.94679999999999986</v>
      </c>
      <c r="W496" s="225">
        <f t="shared" si="41"/>
        <v>1.0540931359785584</v>
      </c>
      <c r="X496">
        <f>IFERROR(INDEX(Rainfall_Wet!$O$2:$O$217,MATCH(B496, Rainfall_Wet!$A$2:$A$217,0)),"")</f>
        <v>214.262898705</v>
      </c>
      <c r="Y496" s="231">
        <v>21.96</v>
      </c>
      <c r="Z496" s="231">
        <v>8.9199999999999982</v>
      </c>
      <c r="AA496" s="231">
        <v>69.12</v>
      </c>
      <c r="AB496" s="232" t="s">
        <v>2670</v>
      </c>
      <c r="AC496" s="231">
        <v>1.7491375061606702</v>
      </c>
      <c r="AD496">
        <f>IF('WetLitterbags placem_collection'!AB57="","",'WetLitterbags placem_collection'!AB57)</f>
        <v>15.8</v>
      </c>
      <c r="AE496">
        <f>IF('WetLitterbags placem_collection'!Z57="","",'WetLitterbags placem_collection'!Z57)</f>
        <v>45</v>
      </c>
      <c r="AF496" s="246" t="str">
        <f>IF('WetLitterbags placem_collection'!AA57="","",'WetLitterbags placem_collection'!AA57)</f>
        <v>M</v>
      </c>
      <c r="AG496">
        <f>IF('WetLitterbags placem_collection'!AC57="","",'WetLitterbags placem_collection'!AC57)</f>
        <v>1</v>
      </c>
      <c r="AH496" s="24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placem_collection'!X57)),"YES","NO")</f>
        <v>NO</v>
      </c>
      <c r="AM496" t="str">
        <f>IF(ISNUMBER(SEARCH("H", 'WetLitterbags placem_collection'!X57)),"YES","NO")</f>
        <v>NO</v>
      </c>
      <c r="AN496" t="str">
        <f>IF(ISNUMBER(SEARCH("R", 'WetLitterbags placem_collection'!X57)),"YES","NO")</f>
        <v>YES</v>
      </c>
    </row>
    <row r="497" spans="1:40" ht="15" customHeight="1">
      <c r="A497" s="258" t="s">
        <v>2460</v>
      </c>
      <c r="B497" s="263">
        <f>'Dry_Litterbag Placem_Collection'!A58</f>
        <v>56</v>
      </c>
      <c r="C497" s="263" t="str">
        <f>'Dry_Litterbag Placem_Collection'!B58</f>
        <v>Makao</v>
      </c>
      <c r="D497" s="263" t="s">
        <v>2659</v>
      </c>
      <c r="E497" s="263" t="s">
        <v>20</v>
      </c>
      <c r="F497" s="263">
        <v>3</v>
      </c>
      <c r="G497" s="264" t="str">
        <f>'Dry_Litterbag Placem_Collection'!C58</f>
        <v>Dry_P3_T8</v>
      </c>
      <c r="H497" s="273" t="s">
        <v>3651</v>
      </c>
      <c r="I497" s="266" t="s">
        <v>1147</v>
      </c>
      <c r="J497" s="223" t="str">
        <f>'WetLitterbags placem_collection'!O58</f>
        <v>G557</v>
      </c>
      <c r="K497" s="225">
        <f>IFERROR(INDEX('Green_rooibos initial weight'!$C$5:$C$1749,MATCH(J497, 'Green_rooibos initial weight'!$A$5:$A$1749,0)),"")</f>
        <v>2.12</v>
      </c>
      <c r="L497" s="225">
        <f>IFERROR(K497-(TBIcalc!$H$9+TBIcalc!$H$10),"")</f>
        <v>1.8702000000000001</v>
      </c>
      <c r="M497" s="391">
        <f>AVERAGE(Ashed_controlls!$K$2:$K$11)</f>
        <v>5.5147656768714146</v>
      </c>
      <c r="N497" s="225">
        <f t="shared" si="39"/>
        <v>1.7670628523111509</v>
      </c>
      <c r="O497" s="225">
        <f>IF(IFERROR(INDEX('Both teabags AfterWet'!$C$3:$C$841,MATCH(J497,'Both teabags AfterWet'!$A$3:$A$841,0)),"")="","",(IFERROR(INDEX('Both teabags AfterWet'!$C$3:$C$841,MATCH(J497,'Both teabags AfterWet'!$A$3:$A$841,0)),"")))</f>
        <v>0.74399999999999999</v>
      </c>
      <c r="P497" s="225">
        <f>IFERROR(IF(O497&gt;0,O497-(TBIcalc!$H$9),""),"")</f>
        <v>0.59339999999999993</v>
      </c>
      <c r="Q497" s="225">
        <f>IFERROR(INDEX('Ashed teabags wet'!$K$2:$K$821,MATCH(J497,'Ashed teabags wet'!$A$2:$A$821,0)),"")</f>
        <v>11.235408560310804</v>
      </c>
      <c r="R497" s="225">
        <f t="shared" si="42"/>
        <v>0.5267290856031156</v>
      </c>
      <c r="S497" s="226">
        <f>'WetLitterbags placem_collection'!E58</f>
        <v>42766</v>
      </c>
      <c r="T497" s="226">
        <f>IF('WetLitterbags placem_collection'!G58="","",'WetLitterbags placem_collection'!G58)</f>
        <v>42820</v>
      </c>
      <c r="U497" s="227">
        <f t="shared" si="38"/>
        <v>54</v>
      </c>
      <c r="V497" s="225">
        <f t="shared" si="40"/>
        <v>1.2768000000000002</v>
      </c>
      <c r="W497" s="225">
        <f t="shared" si="41"/>
        <v>1.2403337667080354</v>
      </c>
      <c r="X497">
        <f>IFERROR(INDEX(Rainfall_Wet!$O$2:$O$217,MATCH(B497, Rainfall_Wet!$A$2:$A$217,0)),"")</f>
        <v>214.262898705</v>
      </c>
      <c r="Y497" s="231">
        <v>21.96</v>
      </c>
      <c r="Z497" s="231">
        <v>8.9199999999999982</v>
      </c>
      <c r="AA497" s="231">
        <v>69.12</v>
      </c>
      <c r="AB497" s="232" t="s">
        <v>2670</v>
      </c>
      <c r="AC497" s="231">
        <v>1.7491375061606702</v>
      </c>
      <c r="AD497">
        <f>IF('WetLitterbags placem_collection'!AB58="","",'WetLitterbags placem_collection'!AB58)</f>
        <v>15.4</v>
      </c>
      <c r="AE497">
        <f>IF('WetLitterbags placem_collection'!Z58="","",'WetLitterbags placem_collection'!Z58)</f>
        <v>30.8</v>
      </c>
      <c r="AF497" s="246" t="str">
        <f>IF('WetLitterbags placem_collection'!AA58="","",'WetLitterbags placem_collection'!AA58)</f>
        <v>M</v>
      </c>
      <c r="AG497">
        <f>IF('WetLitterbags placem_collection'!AC58="","",'WetLitterbags placem_collection'!AC58)</f>
        <v>0</v>
      </c>
      <c r="AH497" s="24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placem_collection'!X58)),"YES","NO")</f>
        <v>NO</v>
      </c>
      <c r="AM497" t="str">
        <f>IF(ISNUMBER(SEARCH("H", 'WetLitterbags placem_collection'!X58)),"YES","NO")</f>
        <v>NO</v>
      </c>
      <c r="AN497" t="str">
        <f>IF(ISNUMBER(SEARCH("R", 'WetLitterbags placem_collection'!X58)),"YES","NO")</f>
        <v>YES</v>
      </c>
    </row>
    <row r="498" spans="1:40" ht="15" customHeight="1">
      <c r="A498" s="258" t="s">
        <v>2460</v>
      </c>
      <c r="B498" s="263">
        <f>'Dry_Litterbag Placem_Collection'!A59</f>
        <v>57</v>
      </c>
      <c r="C498" s="263" t="str">
        <f>'Dry_Litterbag Placem_Collection'!B59</f>
        <v>Makao</v>
      </c>
      <c r="D498" s="263" t="s">
        <v>2659</v>
      </c>
      <c r="E498" s="263" t="s">
        <v>20</v>
      </c>
      <c r="F498" s="263">
        <v>4</v>
      </c>
      <c r="G498" s="264" t="str">
        <f>'Dry_Litterbag Placem_Collection'!C59</f>
        <v>Dry_P4_T1</v>
      </c>
      <c r="H498" s="273" t="s">
        <v>3651</v>
      </c>
      <c r="I498" s="266" t="s">
        <v>1147</v>
      </c>
      <c r="J498" s="223" t="str">
        <f>'WetLitterbags placem_collection'!O59</f>
        <v>G618</v>
      </c>
      <c r="K498" s="225">
        <f>IFERROR(INDEX('Green_rooibos initial weight'!$C$5:$C$1749,MATCH(J498, 'Green_rooibos initial weight'!$A$5:$A$1749,0)),"")</f>
        <v>2.0449999999999999</v>
      </c>
      <c r="L498" s="225">
        <f>IFERROR(K498-(TBIcalc!$H$9+TBIcalc!$H$10),"")</f>
        <v>1.7951999999999999</v>
      </c>
      <c r="M498" s="391">
        <f>AVERAGE(Ashed_controlls!$K$2:$K$11)</f>
        <v>5.5147656768714146</v>
      </c>
      <c r="N498" s="225">
        <f t="shared" si="39"/>
        <v>1.6961989265688042</v>
      </c>
      <c r="O498" s="225">
        <f>IF(IFERROR(INDEX('Both teabags AfterWet'!$C$3:$C$841,MATCH(J498,'Both teabags AfterWet'!$A$3:$A$841,0)),"")="","",(IFERROR(INDEX('Both teabags AfterWet'!$C$3:$C$841,MATCH(J498,'Both teabags AfterWet'!$A$3:$A$841,0)),"")))</f>
        <v>0.88129999999999997</v>
      </c>
      <c r="P498" s="225">
        <f>IFERROR(IF(O498&gt;0,O498-(TBIcalc!$H$9),""),"")</f>
        <v>0.73069999999999991</v>
      </c>
      <c r="Q498" s="225">
        <f>IFERROR(INDEX('Ashed teabags wet'!$K$2:$K$821,MATCH(J498,'Ashed teabags wet'!$A$2:$A$821,0)),"")</f>
        <v>11.534653465346061</v>
      </c>
      <c r="R498" s="225">
        <f t="shared" si="42"/>
        <v>0.64641628712871624</v>
      </c>
      <c r="S498" s="226">
        <f>'WetLitterbags placem_collection'!E59</f>
        <v>42766</v>
      </c>
      <c r="T498" s="226">
        <f>IF('WetLitterbags placem_collection'!G59="","",'WetLitterbags placem_collection'!G59)</f>
        <v>42820</v>
      </c>
      <c r="U498" s="227">
        <f t="shared" si="38"/>
        <v>54</v>
      </c>
      <c r="V498" s="225">
        <f t="shared" si="40"/>
        <v>1.0645</v>
      </c>
      <c r="W498" s="225">
        <f t="shared" si="41"/>
        <v>1.049782639440088</v>
      </c>
      <c r="X498">
        <f>IFERROR(INDEX(Rainfall_Wet!$O$2:$O$217,MATCH(B498, Rainfall_Wet!$A$2:$A$217,0)),"")</f>
        <v>214.262898705</v>
      </c>
      <c r="Y498" s="231">
        <v>25.96</v>
      </c>
      <c r="Z498" s="231">
        <v>6.9200000000000008</v>
      </c>
      <c r="AA498" s="231">
        <v>67.12</v>
      </c>
      <c r="AB498" s="232" t="s">
        <v>2670</v>
      </c>
      <c r="AC498" s="231">
        <v>1.7568260226712666</v>
      </c>
      <c r="AD498">
        <f>IF('WetLitterbags placem_collection'!AB59="","",'WetLitterbags placem_collection'!AB59)</f>
        <v>3.3</v>
      </c>
      <c r="AE498">
        <f>IF('WetLitterbags placem_collection'!Z59="","",'WetLitterbags placem_collection'!Z59)</f>
        <v>28.4</v>
      </c>
      <c r="AF498" s="246" t="str">
        <f>IF('WetLitterbags placem_collection'!AA59="","",'WetLitterbags placem_collection'!AA59)</f>
        <v>O</v>
      </c>
      <c r="AG498">
        <f>IF('WetLitterbags placem_collection'!AC59="","",'WetLitterbags placem_collection'!AC59)</f>
        <v>1</v>
      </c>
      <c r="AH498" s="24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placem_collection'!X59)),"YES","NO")</f>
        <v>NO</v>
      </c>
      <c r="AM498" t="str">
        <f>IF(ISNUMBER(SEARCH("H", 'WetLitterbags placem_collection'!X59)),"YES","NO")</f>
        <v>NO</v>
      </c>
      <c r="AN498" t="str">
        <f>IF(ISNUMBER(SEARCH("R", 'WetLitterbags placem_collection'!X59)),"YES","NO")</f>
        <v>YES</v>
      </c>
    </row>
    <row r="499" spans="1:40" ht="15" customHeight="1">
      <c r="A499" s="258" t="s">
        <v>2460</v>
      </c>
      <c r="B499" s="263">
        <f>'Dry_Litterbag Placem_Collection'!A60</f>
        <v>58</v>
      </c>
      <c r="C499" s="263" t="str">
        <f>'Dry_Litterbag Placem_Collection'!B60</f>
        <v>Makao</v>
      </c>
      <c r="D499" s="263" t="s">
        <v>2659</v>
      </c>
      <c r="E499" s="263" t="s">
        <v>20</v>
      </c>
      <c r="F499" s="263">
        <v>4</v>
      </c>
      <c r="G499" s="264" t="str">
        <f>'Dry_Litterbag Placem_Collection'!C60</f>
        <v>Dry_P4_T2</v>
      </c>
      <c r="H499" s="273" t="s">
        <v>3651</v>
      </c>
      <c r="I499" s="266" t="s">
        <v>1147</v>
      </c>
      <c r="J499" s="223" t="str">
        <f>'WetLitterbags placem_collection'!O60</f>
        <v>G593</v>
      </c>
      <c r="K499" s="225">
        <f>IFERROR(INDEX('Green_rooibos initial weight'!$C$5:$C$1749,MATCH(J499, 'Green_rooibos initial weight'!$A$5:$A$1749,0)),"")</f>
        <v>2.093</v>
      </c>
      <c r="L499" s="225">
        <f>IFERROR(K499-(TBIcalc!$H$9+TBIcalc!$H$10),"")</f>
        <v>1.8431999999999999</v>
      </c>
      <c r="M499" s="391">
        <f>AVERAGE(Ashed_controlls!$K$2:$K$11)</f>
        <v>5.5147656768714146</v>
      </c>
      <c r="N499" s="225">
        <f t="shared" si="39"/>
        <v>1.741551839043906</v>
      </c>
      <c r="O499" s="225">
        <f>IF(IFERROR(INDEX('Both teabags AfterWet'!$C$3:$C$841,MATCH(J499,'Both teabags AfterWet'!$A$3:$A$841,0)),"")="","",(IFERROR(INDEX('Both teabags AfterWet'!$C$3:$C$841,MATCH(J499,'Both teabags AfterWet'!$A$3:$A$841,0)),"")))</f>
        <v>0.97009999999999996</v>
      </c>
      <c r="P499" s="225">
        <f>IFERROR(IF(O499&gt;0,O499-(TBIcalc!$H$9),""),"")</f>
        <v>0.8194999999999999</v>
      </c>
      <c r="Q499" s="225">
        <f>IFERROR(INDEX('Ashed teabags wet'!$K$2:$K$821,MATCH(J499,'Ashed teabags wet'!$A$2:$A$821,0)),"")</f>
        <v>12.412761714855449</v>
      </c>
      <c r="R499" s="225">
        <f t="shared" si="42"/>
        <v>0.71777741774675952</v>
      </c>
      <c r="S499" s="226">
        <f>'WetLitterbags placem_collection'!E60</f>
        <v>42766</v>
      </c>
      <c r="T499" s="226">
        <f>IF('WetLitterbags placem_collection'!G60="","",'WetLitterbags placem_collection'!G60)</f>
        <v>42820</v>
      </c>
      <c r="U499" s="227">
        <f t="shared" si="38"/>
        <v>54</v>
      </c>
      <c r="V499" s="225">
        <f t="shared" si="40"/>
        <v>1.0237000000000001</v>
      </c>
      <c r="W499" s="225">
        <f t="shared" si="41"/>
        <v>1.0237744212971465</v>
      </c>
      <c r="X499">
        <f>IFERROR(INDEX(Rainfall_Wet!$O$2:$O$217,MATCH(B499, Rainfall_Wet!$A$2:$A$217,0)),"")</f>
        <v>214.262898705</v>
      </c>
      <c r="Y499" s="231">
        <v>25.96</v>
      </c>
      <c r="Z499" s="231">
        <v>6.9200000000000008</v>
      </c>
      <c r="AA499" s="231">
        <v>67.12</v>
      </c>
      <c r="AB499" s="232" t="s">
        <v>2670</v>
      </c>
      <c r="AC499" s="231">
        <v>1.7568260226712666</v>
      </c>
      <c r="AD499">
        <f>IF('WetLitterbags placem_collection'!AB60="","",'WetLitterbags placem_collection'!AB60)</f>
        <v>1.4</v>
      </c>
      <c r="AE499">
        <f>IF('WetLitterbags placem_collection'!Z60="","",'WetLitterbags placem_collection'!Z60)</f>
        <v>54.4</v>
      </c>
      <c r="AF499" s="246" t="str">
        <f>IF('WetLitterbags placem_collection'!AA60="","",'WetLitterbags placem_collection'!AA60)</f>
        <v>O</v>
      </c>
      <c r="AG499">
        <f>IF('WetLitterbags placem_collection'!AC60="","",'WetLitterbags placem_collection'!AC60)</f>
        <v>0</v>
      </c>
      <c r="AH499" s="24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placem_collection'!X60)),"YES","NO")</f>
        <v>NO</v>
      </c>
      <c r="AM499" t="str">
        <f>IF(ISNUMBER(SEARCH("H", 'WetLitterbags placem_collection'!X60)),"YES","NO")</f>
        <v>NO</v>
      </c>
      <c r="AN499" t="str">
        <f>IF(ISNUMBER(SEARCH("R", 'WetLitterbags placem_collection'!X60)),"YES","NO")</f>
        <v>YES</v>
      </c>
    </row>
    <row r="500" spans="1:40" ht="15" customHeight="1">
      <c r="A500" s="258" t="s">
        <v>2460</v>
      </c>
      <c r="B500" s="263">
        <f>'Dry_Litterbag Placem_Collection'!A61</f>
        <v>59</v>
      </c>
      <c r="C500" s="263" t="str">
        <f>'Dry_Litterbag Placem_Collection'!B61</f>
        <v>Makao</v>
      </c>
      <c r="D500" s="263" t="s">
        <v>2659</v>
      </c>
      <c r="E500" s="263" t="s">
        <v>20</v>
      </c>
      <c r="F500" s="263">
        <v>4</v>
      </c>
      <c r="G500" s="264" t="str">
        <f>'Dry_Litterbag Placem_Collection'!C61</f>
        <v>Dry_P4_T3</v>
      </c>
      <c r="H500" s="273" t="s">
        <v>3651</v>
      </c>
      <c r="I500" s="266" t="s">
        <v>1147</v>
      </c>
      <c r="J500" s="223" t="str">
        <f>'WetLitterbags placem_collection'!O61</f>
        <v>G600</v>
      </c>
      <c r="K500" s="225">
        <f>IFERROR(INDEX('Green_rooibos initial weight'!$C$5:$C$1749,MATCH(J500, 'Green_rooibos initial weight'!$A$5:$A$1749,0)),"")</f>
        <v>2.0049999999999999</v>
      </c>
      <c r="L500" s="225">
        <f>IFERROR(K500-(TBIcalc!$H$9+TBIcalc!$H$10),"")</f>
        <v>1.7551999999999999</v>
      </c>
      <c r="M500" s="391">
        <f>AVERAGE(Ashed_controlls!$K$2:$K$11)</f>
        <v>5.5147656768714146</v>
      </c>
      <c r="N500" s="225">
        <f t="shared" si="39"/>
        <v>1.6584048328395529</v>
      </c>
      <c r="O500" s="225">
        <f>IF(IFERROR(INDEX('Both teabags AfterWet'!$C$3:$C$841,MATCH(J500,'Both teabags AfterWet'!$A$3:$A$841,0)),"")="","",(IFERROR(INDEX('Both teabags AfterWet'!$C$3:$C$841,MATCH(J500,'Both teabags AfterWet'!$A$3:$A$841,0)),"")))</f>
        <v>0.90200000000000002</v>
      </c>
      <c r="P500" s="225">
        <f>IFERROR(IF(O500&gt;0,O500-(TBIcalc!$H$9),""),"")</f>
        <v>0.75140000000000007</v>
      </c>
      <c r="Q500" s="225">
        <f>IFERROR(INDEX('Ashed teabags wet'!$K$2:$K$821,MATCH(J500,'Ashed teabags wet'!$A$2:$A$821,0)),"")</f>
        <v>13.942071674030428</v>
      </c>
      <c r="R500" s="225">
        <f t="shared" si="42"/>
        <v>0.64663927344133543</v>
      </c>
      <c r="S500" s="226">
        <f>'WetLitterbags placem_collection'!E61</f>
        <v>42766</v>
      </c>
      <c r="T500" s="226">
        <f>IF('WetLitterbags placem_collection'!G61="","",'WetLitterbags placem_collection'!G61)</f>
        <v>42820</v>
      </c>
      <c r="U500" s="227">
        <f t="shared" si="38"/>
        <v>54</v>
      </c>
      <c r="V500" s="225">
        <f t="shared" si="40"/>
        <v>1.0037999999999998</v>
      </c>
      <c r="W500" s="225">
        <f t="shared" si="41"/>
        <v>1.0117655593982176</v>
      </c>
      <c r="X500">
        <f>IFERROR(INDEX(Rainfall_Wet!$O$2:$O$217,MATCH(B500, Rainfall_Wet!$A$2:$A$217,0)),"")</f>
        <v>214.262898705</v>
      </c>
      <c r="Y500" s="231">
        <v>25.96</v>
      </c>
      <c r="Z500" s="231">
        <v>6.9200000000000008</v>
      </c>
      <c r="AA500" s="231">
        <v>67.12</v>
      </c>
      <c r="AB500" s="232" t="s">
        <v>2670</v>
      </c>
      <c r="AC500" s="231">
        <v>1.7568260226712666</v>
      </c>
      <c r="AD500">
        <f>IF('WetLitterbags placem_collection'!AB61="","",'WetLitterbags placem_collection'!AB61)</f>
        <v>3.3</v>
      </c>
      <c r="AE500">
        <f>IF('WetLitterbags placem_collection'!Z61="","",'WetLitterbags placem_collection'!Z61)</f>
        <v>46</v>
      </c>
      <c r="AF500" s="246" t="str">
        <f>IF('WetLitterbags placem_collection'!AA61="","",'WetLitterbags placem_collection'!AA61)</f>
        <v>O</v>
      </c>
      <c r="AG500">
        <f>IF('WetLitterbags placem_collection'!AC61="","",'WetLitterbags placem_collection'!AC61)</f>
        <v>0</v>
      </c>
      <c r="AH500" s="24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placem_collection'!X61)),"YES","NO")</f>
        <v>NO</v>
      </c>
      <c r="AM500" t="str">
        <f>IF(ISNUMBER(SEARCH("H", 'WetLitterbags placem_collection'!X61)),"YES","NO")</f>
        <v>NO</v>
      </c>
      <c r="AN500" t="str">
        <f>IF(ISNUMBER(SEARCH("R", 'WetLitterbags placem_collection'!X61)),"YES","NO")</f>
        <v>NO</v>
      </c>
    </row>
    <row r="501" spans="1:40" ht="15" customHeight="1">
      <c r="A501" s="258" t="s">
        <v>2460</v>
      </c>
      <c r="B501" s="263">
        <f>'Dry_Litterbag Placem_Collection'!A62</f>
        <v>60</v>
      </c>
      <c r="C501" s="263" t="str">
        <f>'Dry_Litterbag Placem_Collection'!B62</f>
        <v>Makao</v>
      </c>
      <c r="D501" s="263" t="s">
        <v>2659</v>
      </c>
      <c r="E501" s="263" t="s">
        <v>20</v>
      </c>
      <c r="F501" s="263">
        <v>4</v>
      </c>
      <c r="G501" s="264" t="str">
        <f>'Dry_Litterbag Placem_Collection'!C62</f>
        <v>Dry_P4_T4</v>
      </c>
      <c r="H501" s="273" t="s">
        <v>3651</v>
      </c>
      <c r="I501" s="266" t="s">
        <v>1147</v>
      </c>
      <c r="J501" s="223" t="str">
        <f>'WetLitterbags placem_collection'!O62</f>
        <v>G535</v>
      </c>
      <c r="K501" s="225">
        <f>IFERROR(INDEX('Green_rooibos initial weight'!$C$5:$C$1749,MATCH(J501, 'Green_rooibos initial weight'!$A$5:$A$1749,0)),"")</f>
        <v>2.0920000000000001</v>
      </c>
      <c r="L501" s="225">
        <f>IFERROR(K501-(TBIcalc!$H$9+TBIcalc!$H$10),"")</f>
        <v>1.8422000000000001</v>
      </c>
      <c r="M501" s="391">
        <f>AVERAGE(Ashed_controlls!$K$2:$K$11)</f>
        <v>5.5147656768714146</v>
      </c>
      <c r="N501" s="225">
        <f t="shared" si="39"/>
        <v>1.7406069867006748</v>
      </c>
      <c r="O501" s="225">
        <f>IF(IFERROR(INDEX('Both teabags AfterWet'!$C$3:$C$841,MATCH(J501,'Both teabags AfterWet'!$A$3:$A$841,0)),"")="","",(IFERROR(INDEX('Both teabags AfterWet'!$C$3:$C$841,MATCH(J501,'Both teabags AfterWet'!$A$3:$A$841,0)),"")))</f>
        <v>0.78</v>
      </c>
      <c r="P501" s="225">
        <f>IFERROR(IF(O501&gt;0,O501-(TBIcalc!$H$9),""),"")</f>
        <v>0.62939999999999996</v>
      </c>
      <c r="Q501" s="225">
        <f>IFERROR(INDEX('Ashed teabags wet'!$K$2:$K$821,MATCH(J501,'Ashed teabags wet'!$A$2:$A$821,0)),"")</f>
        <v>10.099009900990334</v>
      </c>
      <c r="R501" s="225">
        <f t="shared" si="42"/>
        <v>0.56583683168316679</v>
      </c>
      <c r="S501" s="226">
        <f>'WetLitterbags placem_collection'!E62</f>
        <v>42766</v>
      </c>
      <c r="T501" s="226">
        <f>IF('WetLitterbags placem_collection'!G62="","",'WetLitterbags placem_collection'!G62)</f>
        <v>42820</v>
      </c>
      <c r="U501" s="227">
        <f t="shared" si="38"/>
        <v>54</v>
      </c>
      <c r="V501" s="225">
        <f t="shared" si="40"/>
        <v>1.2128000000000001</v>
      </c>
      <c r="W501" s="225">
        <f t="shared" si="41"/>
        <v>1.174770155017508</v>
      </c>
      <c r="X501">
        <f>IFERROR(INDEX(Rainfall_Wet!$O$2:$O$217,MATCH(B501, Rainfall_Wet!$A$2:$A$217,0)),"")</f>
        <v>214.262898705</v>
      </c>
      <c r="Y501" s="231">
        <v>25.96</v>
      </c>
      <c r="Z501" s="231">
        <v>6.9200000000000008</v>
      </c>
      <c r="AA501" s="231">
        <v>67.12</v>
      </c>
      <c r="AB501" s="232" t="s">
        <v>2670</v>
      </c>
      <c r="AC501" s="231">
        <v>1.7568260226712666</v>
      </c>
      <c r="AD501">
        <f>IF('WetLitterbags placem_collection'!AB62="","",'WetLitterbags placem_collection'!AB62)</f>
        <v>2.4</v>
      </c>
      <c r="AE501">
        <f>IF('WetLitterbags placem_collection'!Z62="","",'WetLitterbags placem_collection'!Z62)</f>
        <v>10.199999999999999</v>
      </c>
      <c r="AF501" s="246" t="str">
        <f>IF('WetLitterbags placem_collection'!AA62="","",'WetLitterbags placem_collection'!AA62)</f>
        <v>O</v>
      </c>
      <c r="AG501">
        <f>IF('WetLitterbags placem_collection'!AC62="","",'WetLitterbags placem_collection'!AC62)</f>
        <v>0</v>
      </c>
      <c r="AH501" s="24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placem_collection'!X62)),"YES","NO")</f>
        <v>NO</v>
      </c>
      <c r="AM501" t="str">
        <f>IF(ISNUMBER(SEARCH("H", 'WetLitterbags placem_collection'!X62)),"YES","NO")</f>
        <v>NO</v>
      </c>
      <c r="AN501" t="str">
        <f>IF(ISNUMBER(SEARCH("R", 'WetLitterbags placem_collection'!X62)),"YES","NO")</f>
        <v>NO</v>
      </c>
    </row>
    <row r="502" spans="1:40" ht="15" customHeight="1">
      <c r="A502" s="258" t="s">
        <v>2460</v>
      </c>
      <c r="B502" s="263">
        <f>'Dry_Litterbag Placem_Collection'!A63</f>
        <v>61</v>
      </c>
      <c r="C502" s="263" t="str">
        <f>'Dry_Litterbag Placem_Collection'!B63</f>
        <v>Makao</v>
      </c>
      <c r="D502" s="263" t="s">
        <v>2659</v>
      </c>
      <c r="E502" s="263" t="s">
        <v>20</v>
      </c>
      <c r="F502" s="263">
        <v>4</v>
      </c>
      <c r="G502" s="264" t="str">
        <f>'Dry_Litterbag Placem_Collection'!C63</f>
        <v>Dry_P4_T5</v>
      </c>
      <c r="H502" s="273" t="s">
        <v>3651</v>
      </c>
      <c r="I502" s="266" t="s">
        <v>1147</v>
      </c>
      <c r="J502" s="223" t="str">
        <f>'WetLitterbags placem_collection'!O63</f>
        <v>G391</v>
      </c>
      <c r="K502" s="225">
        <f>IFERROR(INDEX('Green_rooibos initial weight'!$C$5:$C$1749,MATCH(J502, 'Green_rooibos initial weight'!$A$5:$A$1749,0)),"")</f>
        <v>1.9419999999999999</v>
      </c>
      <c r="L502" s="225">
        <f>IFERROR(K502-(TBIcalc!$H$9+TBIcalc!$H$10),"")</f>
        <v>1.6921999999999999</v>
      </c>
      <c r="M502" s="391">
        <f>AVERAGE(Ashed_controlls!$K$2:$K$11)</f>
        <v>5.5147656768714146</v>
      </c>
      <c r="N502" s="225">
        <f t="shared" si="39"/>
        <v>1.5988791352159819</v>
      </c>
      <c r="O502" s="225">
        <f>IF(IFERROR(INDEX('Both teabags AfterWet'!$C$3:$C$841,MATCH(J502,'Both teabags AfterWet'!$A$3:$A$841,0)),"")="","",(IFERROR(INDEX('Both teabags AfterWet'!$C$3:$C$841,MATCH(J502,'Both teabags AfterWet'!$A$3:$A$841,0)),"")))</f>
        <v>0.628</v>
      </c>
      <c r="P502" s="225">
        <f>IFERROR(IF(O502&gt;0,O502-(TBIcalc!$H$9),""),"")</f>
        <v>0.47739999999999999</v>
      </c>
      <c r="Q502" s="225">
        <f>IFERROR(INDEX('Ashed teabags wet'!$K$2:$K$821,MATCH(J502,'Ashed teabags wet'!$A$2:$A$821,0)),"")</f>
        <v>8.0533596837941683</v>
      </c>
      <c r="R502" s="225">
        <f t="shared" si="42"/>
        <v>0.43895326086956665</v>
      </c>
      <c r="S502" s="226">
        <f>'WetLitterbags placem_collection'!E63</f>
        <v>42766</v>
      </c>
      <c r="T502" s="226">
        <f>IF('WetLitterbags placem_collection'!G63="","",'WetLitterbags placem_collection'!G63)</f>
        <v>42820</v>
      </c>
      <c r="U502" s="227">
        <f t="shared" si="38"/>
        <v>54</v>
      </c>
      <c r="V502" s="225">
        <f t="shared" si="40"/>
        <v>1.2147999999999999</v>
      </c>
      <c r="W502" s="225">
        <f t="shared" si="41"/>
        <v>1.1599258743464151</v>
      </c>
      <c r="X502">
        <f>IFERROR(INDEX(Rainfall_Wet!$O$2:$O$217,MATCH(B502, Rainfall_Wet!$A$2:$A$217,0)),"")</f>
        <v>214.262898705</v>
      </c>
      <c r="Y502" s="231">
        <v>25.96</v>
      </c>
      <c r="Z502" s="231">
        <v>6.9200000000000008</v>
      </c>
      <c r="AA502" s="231">
        <v>67.12</v>
      </c>
      <c r="AB502" s="232" t="s">
        <v>2670</v>
      </c>
      <c r="AC502" s="231">
        <v>1.7568260226712666</v>
      </c>
      <c r="AD502">
        <f>IF('WetLitterbags placem_collection'!AB63="","",'WetLitterbags placem_collection'!AB63)</f>
        <v>5.6</v>
      </c>
      <c r="AE502">
        <f>IF('WetLitterbags placem_collection'!Z63="","",'WetLitterbags placem_collection'!Z63)</f>
        <v>34.200000000000003</v>
      </c>
      <c r="AF502" s="246" t="str">
        <f>IF('WetLitterbags placem_collection'!AA63="","",'WetLitterbags placem_collection'!AA63)</f>
        <v>O</v>
      </c>
      <c r="AG502">
        <f>IF('WetLitterbags placem_collection'!AC63="","",'WetLitterbags placem_collection'!AC63)</f>
        <v>0</v>
      </c>
      <c r="AH502" s="24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placem_collection'!X63)),"YES","NO")</f>
        <v>NO</v>
      </c>
      <c r="AM502" t="str">
        <f>IF(ISNUMBER(SEARCH("H", 'WetLitterbags placem_collection'!X63)),"YES","NO")</f>
        <v>NO</v>
      </c>
      <c r="AN502" t="str">
        <f>IF(ISNUMBER(SEARCH("R", 'WetLitterbags placem_collection'!X63)),"YES","NO")</f>
        <v>YES</v>
      </c>
    </row>
    <row r="503" spans="1:40" ht="15" customHeight="1">
      <c r="A503" s="258" t="s">
        <v>2460</v>
      </c>
      <c r="B503" s="263">
        <f>'Dry_Litterbag Placem_Collection'!A64</f>
        <v>62</v>
      </c>
      <c r="C503" s="263" t="str">
        <f>'Dry_Litterbag Placem_Collection'!B64</f>
        <v>Makao</v>
      </c>
      <c r="D503" s="263" t="s">
        <v>2659</v>
      </c>
      <c r="E503" s="263" t="s">
        <v>20</v>
      </c>
      <c r="F503" s="263">
        <v>4</v>
      </c>
      <c r="G503" s="264" t="str">
        <f>'Dry_Litterbag Placem_Collection'!C64</f>
        <v>Dry_P4_T6</v>
      </c>
      <c r="H503" s="273" t="s">
        <v>3651</v>
      </c>
      <c r="I503" s="266" t="s">
        <v>1147</v>
      </c>
      <c r="J503" s="223" t="str">
        <f>'WetLitterbags placem_collection'!O64</f>
        <v>G445</v>
      </c>
      <c r="K503" s="225">
        <f>IFERROR(INDEX('Green_rooibos initial weight'!$C$5:$C$1749,MATCH(J503, 'Green_rooibos initial weight'!$A$5:$A$1749,0)),"")</f>
        <v>2.1150000000000002</v>
      </c>
      <c r="L503" s="225">
        <f>IFERROR(K503-(TBIcalc!$H$9+TBIcalc!$H$10),"")</f>
        <v>1.8652000000000002</v>
      </c>
      <c r="M503" s="391">
        <f>AVERAGE(Ashed_controlls!$K$2:$K$11)</f>
        <v>5.5147656768714146</v>
      </c>
      <c r="N503" s="225">
        <f t="shared" si="39"/>
        <v>1.7623385905949946</v>
      </c>
      <c r="O503" s="225">
        <f>IF(IFERROR(INDEX('Both teabags AfterWet'!$C$3:$C$841,MATCH(J503,'Both teabags AfterWet'!$A$3:$A$841,0)),"")="","",(IFERROR(INDEX('Both teabags AfterWet'!$C$3:$C$841,MATCH(J503,'Both teabags AfterWet'!$A$3:$A$841,0)),"")))</f>
        <v>0.80569999999999997</v>
      </c>
      <c r="P503" s="225">
        <f>IFERROR(IF(O503&gt;0,O503-(TBIcalc!$H$9),""),"")</f>
        <v>0.65510000000000002</v>
      </c>
      <c r="Q503" s="225">
        <f>IFERROR(INDEX('Ashed teabags wet'!$K$2:$K$821,MATCH(J503,'Ashed teabags wet'!$A$2:$A$821,0)),"")</f>
        <v>12.3862487360974</v>
      </c>
      <c r="R503" s="225">
        <f t="shared" si="42"/>
        <v>0.57395768452982598</v>
      </c>
      <c r="S503" s="226">
        <f>'WetLitterbags placem_collection'!E64</f>
        <v>42766</v>
      </c>
      <c r="T503" s="226">
        <f>IF('WetLitterbags placem_collection'!G64="","",'WetLitterbags placem_collection'!G64)</f>
        <v>42820</v>
      </c>
      <c r="U503" s="227">
        <f t="shared" si="38"/>
        <v>54</v>
      </c>
      <c r="V503" s="225">
        <f t="shared" si="40"/>
        <v>1.2101000000000002</v>
      </c>
      <c r="W503" s="225">
        <f t="shared" si="41"/>
        <v>1.1883809060651687</v>
      </c>
      <c r="X503">
        <f>IFERROR(INDEX(Rainfall_Wet!$O$2:$O$217,MATCH(B503, Rainfall_Wet!$A$2:$A$217,0)),"")</f>
        <v>214.262898705</v>
      </c>
      <c r="Y503" s="231">
        <v>25.96</v>
      </c>
      <c r="Z503" s="231">
        <v>6.9200000000000008</v>
      </c>
      <c r="AA503" s="231">
        <v>67.12</v>
      </c>
      <c r="AB503" s="232" t="s">
        <v>2670</v>
      </c>
      <c r="AC503" s="231">
        <v>1.7568260226712666</v>
      </c>
      <c r="AD503">
        <f>IF('WetLitterbags placem_collection'!AB64="","",'WetLitterbags placem_collection'!AB64)</f>
        <v>4.2</v>
      </c>
      <c r="AE503">
        <f>IF('WetLitterbags placem_collection'!Z64="","",'WetLitterbags placem_collection'!Z64)</f>
        <v>40.4</v>
      </c>
      <c r="AF503" s="246" t="str">
        <f>IF('WetLitterbags placem_collection'!AA64="","",'WetLitterbags placem_collection'!AA64)</f>
        <v>O</v>
      </c>
      <c r="AG503">
        <f>IF('WetLitterbags placem_collection'!AC64="","",'WetLitterbags placem_collection'!AC64)</f>
        <v>0</v>
      </c>
      <c r="AH503" s="24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placem_collection'!X64)),"YES","NO")</f>
        <v>NO</v>
      </c>
      <c r="AM503" t="str">
        <f>IF(ISNUMBER(SEARCH("H", 'WetLitterbags placem_collection'!X64)),"YES","NO")</f>
        <v>NO</v>
      </c>
      <c r="AN503" t="str">
        <f>IF(ISNUMBER(SEARCH("R", 'WetLitterbags placem_collection'!X64)),"YES","NO")</f>
        <v>NO</v>
      </c>
    </row>
    <row r="504" spans="1:40" ht="15" customHeight="1">
      <c r="A504" s="258" t="s">
        <v>2460</v>
      </c>
      <c r="B504" s="263">
        <f>'Dry_Litterbag Placem_Collection'!A65</f>
        <v>63</v>
      </c>
      <c r="C504" s="263" t="str">
        <f>'Dry_Litterbag Placem_Collection'!B65</f>
        <v>Makao</v>
      </c>
      <c r="D504" s="263" t="s">
        <v>2659</v>
      </c>
      <c r="E504" s="263" t="s">
        <v>20</v>
      </c>
      <c r="F504" s="263">
        <v>4</v>
      </c>
      <c r="G504" s="264" t="str">
        <f>'Dry_Litterbag Placem_Collection'!C65</f>
        <v>Dry_P4_T7</v>
      </c>
      <c r="H504" s="273" t="s">
        <v>3651</v>
      </c>
      <c r="I504" s="266" t="s">
        <v>1147</v>
      </c>
      <c r="J504" s="223" t="str">
        <f>'WetLitterbags placem_collection'!O65</f>
        <v>G440</v>
      </c>
      <c r="K504" s="225">
        <f>IFERROR(INDEX('Green_rooibos initial weight'!$C$5:$C$1749,MATCH(J504, 'Green_rooibos initial weight'!$A$5:$A$1749,0)),"")</f>
        <v>2.1070000000000002</v>
      </c>
      <c r="L504" s="225">
        <f>IFERROR(K504-(TBIcalc!$H$9+TBIcalc!$H$10),"")</f>
        <v>1.8572000000000002</v>
      </c>
      <c r="M504" s="391">
        <f>AVERAGE(Ashed_controlls!$K$2:$K$11)</f>
        <v>5.5147656768714146</v>
      </c>
      <c r="N504" s="225">
        <f t="shared" si="39"/>
        <v>1.7547797718491442</v>
      </c>
      <c r="O504" s="225">
        <f>IF(IFERROR(INDEX('Both teabags AfterWet'!$C$3:$C$841,MATCH(J504,'Both teabags AfterWet'!$A$3:$A$841,0)),"")="","",(IFERROR(INDEX('Both teabags AfterWet'!$C$3:$C$841,MATCH(J504,'Both teabags AfterWet'!$A$3:$A$841,0)),"")))</f>
        <v>0.94199999999999995</v>
      </c>
      <c r="P504" s="225">
        <f>IFERROR(IF(O504&gt;0,O504-(TBIcalc!$H$9),""),"")</f>
        <v>0.79139999999999988</v>
      </c>
      <c r="Q504" s="225">
        <f>IFERROR(INDEX('Ashed teabags wet'!$K$2:$K$821,MATCH(J504,'Ashed teabags wet'!$A$2:$A$821,0)),"")</f>
        <v>14.278728606356959</v>
      </c>
      <c r="R504" s="225">
        <f t="shared" si="42"/>
        <v>0.67839814180929092</v>
      </c>
      <c r="S504" s="226">
        <f>'WetLitterbags placem_collection'!E65</f>
        <v>42766</v>
      </c>
      <c r="T504" s="226">
        <f>IF('WetLitterbags placem_collection'!G65="","",'WetLitterbags placem_collection'!G65)</f>
        <v>42820</v>
      </c>
      <c r="U504" s="227">
        <f t="shared" si="38"/>
        <v>54</v>
      </c>
      <c r="V504" s="225">
        <f t="shared" si="40"/>
        <v>1.0658000000000003</v>
      </c>
      <c r="W504" s="225">
        <f t="shared" si="41"/>
        <v>1.0763816300398532</v>
      </c>
      <c r="X504">
        <f>IFERROR(INDEX(Rainfall_Wet!$O$2:$O$217,MATCH(B504, Rainfall_Wet!$A$2:$A$217,0)),"")</f>
        <v>214.262898705</v>
      </c>
      <c r="Y504" s="231">
        <v>25.96</v>
      </c>
      <c r="Z504" s="231">
        <v>6.9200000000000008</v>
      </c>
      <c r="AA504" s="231">
        <v>67.12</v>
      </c>
      <c r="AB504" s="232" t="s">
        <v>2670</v>
      </c>
      <c r="AC504" s="231">
        <v>1.7568260226712666</v>
      </c>
      <c r="AD504">
        <f>IF('WetLitterbags placem_collection'!AB65="","",'WetLitterbags placem_collection'!AB65)</f>
        <v>4.9000000000000004</v>
      </c>
      <c r="AE504">
        <f>IF('WetLitterbags placem_collection'!Z65="","",'WetLitterbags placem_collection'!Z65)</f>
        <v>45</v>
      </c>
      <c r="AF504" s="246" t="str">
        <f>IF('WetLitterbags placem_collection'!AA65="","",'WetLitterbags placem_collection'!AA65)</f>
        <v>O</v>
      </c>
      <c r="AG504">
        <f>IF('WetLitterbags placem_collection'!AC65="","",'WetLitterbags placem_collection'!AC65)</f>
        <v>0</v>
      </c>
      <c r="AH504" s="24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placem_collection'!X65)),"YES","NO")</f>
        <v>NO</v>
      </c>
      <c r="AM504" t="str">
        <f>IF(ISNUMBER(SEARCH("H", 'WetLitterbags placem_collection'!X65)),"YES","NO")</f>
        <v>NO</v>
      </c>
      <c r="AN504" t="str">
        <f>IF(ISNUMBER(SEARCH("R", 'WetLitterbags placem_collection'!X65)),"YES","NO")</f>
        <v>YES</v>
      </c>
    </row>
    <row r="505" spans="1:40" ht="15" customHeight="1">
      <c r="A505" s="258" t="s">
        <v>2460</v>
      </c>
      <c r="B505" s="263">
        <f>'Dry_Litterbag Placem_Collection'!A66</f>
        <v>64</v>
      </c>
      <c r="C505" s="263" t="str">
        <f>'Dry_Litterbag Placem_Collection'!B66</f>
        <v>Makao</v>
      </c>
      <c r="D505" s="263" t="s">
        <v>2659</v>
      </c>
      <c r="E505" s="263" t="s">
        <v>20</v>
      </c>
      <c r="F505" s="263">
        <v>4</v>
      </c>
      <c r="G505" s="264" t="str">
        <f>'Dry_Litterbag Placem_Collection'!C66</f>
        <v>Dry_P4_T8</v>
      </c>
      <c r="H505" s="273" t="s">
        <v>3651</v>
      </c>
      <c r="I505" s="266" t="s">
        <v>1147</v>
      </c>
      <c r="J505" s="223" t="str">
        <f>'WetLitterbags placem_collection'!O66</f>
        <v>G673</v>
      </c>
      <c r="K505" s="225">
        <f>IFERROR(INDEX('Green_rooibos initial weight'!$C$5:$C$1749,MATCH(J505, 'Green_rooibos initial weight'!$A$5:$A$1749,0)),"")</f>
        <v>2.1160000000000001</v>
      </c>
      <c r="L505" s="225">
        <f>IFERROR(K505-(TBIcalc!$H$9+TBIcalc!$H$10),"")</f>
        <v>1.8662000000000001</v>
      </c>
      <c r="M505" s="391">
        <f>AVERAGE(Ashed_controlls!$K$2:$K$11)</f>
        <v>5.5147656768714146</v>
      </c>
      <c r="N505" s="225">
        <f t="shared" si="39"/>
        <v>1.7632834429382258</v>
      </c>
      <c r="O505" s="225">
        <f>IF(IFERROR(INDEX('Both teabags AfterWet'!$C$3:$C$841,MATCH(J505,'Both teabags AfterWet'!$A$3:$A$841,0)),"")="","",(IFERROR(INDEX('Both teabags AfterWet'!$C$3:$C$841,MATCH(J505,'Both teabags AfterWet'!$A$3:$A$841,0)),"")))</f>
        <v>1.0449999999999999</v>
      </c>
      <c r="P505" s="225">
        <f>IFERROR(IF(O505&gt;0,O505-(TBIcalc!$H$9),""),"")</f>
        <v>0.89439999999999986</v>
      </c>
      <c r="Q505" s="225">
        <f>IFERROR(INDEX('Ashed teabags wet'!$K$2:$K$821,MATCH(J505,'Ashed teabags wet'!$A$2:$A$821,0)),"")</f>
        <v>23.760932944607156</v>
      </c>
      <c r="R505" s="225">
        <f t="shared" si="42"/>
        <v>0.68188221574343344</v>
      </c>
      <c r="S505" s="226">
        <f>'WetLitterbags placem_collection'!E66</f>
        <v>42766</v>
      </c>
      <c r="T505" s="226">
        <f>IF('WetLitterbags placem_collection'!G66="","",'WetLitterbags placem_collection'!G66)</f>
        <v>42820</v>
      </c>
      <c r="U505" s="227">
        <f t="shared" si="38"/>
        <v>54</v>
      </c>
      <c r="V505" s="225">
        <f t="shared" si="40"/>
        <v>0.97180000000000022</v>
      </c>
      <c r="W505" s="225">
        <f t="shared" si="41"/>
        <v>1.0814012271947924</v>
      </c>
      <c r="X505">
        <f>IFERROR(INDEX(Rainfall_Wet!$O$2:$O$217,MATCH(B505, Rainfall_Wet!$A$2:$A$217,0)),"")</f>
        <v>214.262898705</v>
      </c>
      <c r="Y505" s="231">
        <v>25.96</v>
      </c>
      <c r="Z505" s="231">
        <v>6.9200000000000008</v>
      </c>
      <c r="AA505" s="231">
        <v>67.12</v>
      </c>
      <c r="AB505" s="232" t="s">
        <v>2670</v>
      </c>
      <c r="AC505" s="231">
        <v>1.7568260226712666</v>
      </c>
      <c r="AD505">
        <f>IF('WetLitterbags placem_collection'!AB66="","",'WetLitterbags placem_collection'!AB66)</f>
        <v>3</v>
      </c>
      <c r="AE505">
        <f>IF('WetLitterbags placem_collection'!Z66="","",'WetLitterbags placem_collection'!Z66)</f>
        <v>22.8</v>
      </c>
      <c r="AF505" s="246" t="str">
        <f>IF('WetLitterbags placem_collection'!AA66="","",'WetLitterbags placem_collection'!AA66)</f>
        <v>O</v>
      </c>
      <c r="AG505">
        <f>IF('WetLitterbags placem_collection'!AC66="","",'WetLitterbags placem_collection'!AC66)</f>
        <v>1</v>
      </c>
      <c r="AH505" s="24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placem_collection'!X66)),"YES","NO")</f>
        <v>NO</v>
      </c>
      <c r="AM505" t="str">
        <f>IF(ISNUMBER(SEARCH("H", 'WetLitterbags placem_collection'!X66)),"YES","NO")</f>
        <v>NO</v>
      </c>
      <c r="AN505" t="str">
        <f>IF(ISNUMBER(SEARCH("R", 'WetLitterbags placem_collection'!X66)),"YES","NO")</f>
        <v>NO</v>
      </c>
    </row>
    <row r="506" spans="1:40" ht="15" customHeight="1">
      <c r="A506" s="258" t="s">
        <v>2460</v>
      </c>
      <c r="B506" s="263">
        <f>'Dry_Litterbag Placem_Collection'!A67</f>
        <v>65</v>
      </c>
      <c r="C506" s="263" t="str">
        <f>'Dry_Litterbag Placem_Collection'!B67</f>
        <v>Maswa</v>
      </c>
      <c r="D506" s="263" t="s">
        <v>2659</v>
      </c>
      <c r="E506" s="263" t="s">
        <v>2661</v>
      </c>
      <c r="F506" s="263">
        <v>1</v>
      </c>
      <c r="G506" s="264" t="str">
        <f>'Dry_Litterbag Placem_Collection'!C67</f>
        <v>Dry_W1_T1</v>
      </c>
      <c r="H506" s="273" t="s">
        <v>3651</v>
      </c>
      <c r="I506" s="266" t="s">
        <v>1147</v>
      </c>
      <c r="J506" s="223" t="str">
        <f>'WetLitterbags placem_collection'!O67</f>
        <v>G700</v>
      </c>
      <c r="K506" s="225">
        <f>IFERROR(INDEX('Green_rooibos initial weight'!$C$5:$C$1749,MATCH(J506, 'Green_rooibos initial weight'!$A$5:$A$1749,0)),"")</f>
        <v>2.0190000000000001</v>
      </c>
      <c r="L506" s="225">
        <f>IFERROR(K506-(TBIcalc!$H$9+TBIcalc!$H$10),"")</f>
        <v>1.7692000000000001</v>
      </c>
      <c r="M506" s="391">
        <f>AVERAGE(Ashed_controlls!$K$2:$K$11)</f>
        <v>5.5147656768714146</v>
      </c>
      <c r="N506" s="225">
        <f t="shared" si="39"/>
        <v>1.6716327656447911</v>
      </c>
      <c r="O506" s="225">
        <f>IF(IFERROR(INDEX('Both teabags AfterWet'!$C$3:$C$841,MATCH(J506,'Both teabags AfterWet'!$A$3:$A$841,0)),"")="","",(IFERROR(INDEX('Both teabags AfterWet'!$C$3:$C$841,MATCH(J506,'Both teabags AfterWet'!$A$3:$A$841,0)),"")))</f>
        <v>0.82299999999999995</v>
      </c>
      <c r="P506" s="225">
        <f>IFERROR(IF(O506&gt;0,O506-(TBIcalc!$H$9),""),"")</f>
        <v>0.67239999999999989</v>
      </c>
      <c r="Q506" s="225">
        <f>IFERROR(INDEX('Ashed teabags wet'!$K$2:$K$821,MATCH(J506,'Ashed teabags wet'!$A$2:$A$821,0)),"")</f>
        <v>15.626560159760119</v>
      </c>
      <c r="R506" s="225">
        <f t="shared" si="42"/>
        <v>0.56732700948577286</v>
      </c>
      <c r="S506" s="226">
        <f>'WetLitterbags placem_collection'!E67</f>
        <v>42767</v>
      </c>
      <c r="T506" s="226">
        <f>IF('WetLitterbags placem_collection'!G67="","",'WetLitterbags placem_collection'!G67)</f>
        <v>42818</v>
      </c>
      <c r="U506" s="227">
        <f t="shared" si="38"/>
        <v>51</v>
      </c>
      <c r="V506" s="225">
        <f t="shared" si="40"/>
        <v>1.0968000000000002</v>
      </c>
      <c r="W506" s="225">
        <f t="shared" si="41"/>
        <v>1.1043057561590182</v>
      </c>
      <c r="X506">
        <f>IFERROR(INDEX(Rainfall_Wet!$O$2:$O$217,MATCH(B506, Rainfall_Wet!$A$2:$A$217,0)),"")</f>
        <v>185.630065823</v>
      </c>
      <c r="Y506" s="231">
        <v>47.96</v>
      </c>
      <c r="Z506" s="231">
        <v>22.919999999999995</v>
      </c>
      <c r="AA506" s="231">
        <v>29.120000000000012</v>
      </c>
      <c r="AB506" s="232" t="s">
        <v>2673</v>
      </c>
      <c r="AC506" s="231">
        <v>2.8831936914736325</v>
      </c>
      <c r="AD506">
        <f>IF('WetLitterbags placem_collection'!AB67="","",'WetLitterbags placem_collection'!AB67)</f>
        <v>13.8</v>
      </c>
      <c r="AE506">
        <f>IF('WetLitterbags placem_collection'!Z67="","",'WetLitterbags placem_collection'!Z67)</f>
        <v>13.8</v>
      </c>
      <c r="AF506" s="246" t="str">
        <f>IF('WetLitterbags placem_collection'!AA67="","",'WetLitterbags placem_collection'!AA67)</f>
        <v>O</v>
      </c>
      <c r="AG506">
        <f>IF('WetLitterbags placem_collection'!AC67="","",'WetLitterbags placem_collection'!AC67)</f>
        <v>1</v>
      </c>
      <c r="AH506" s="24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placem_collection'!X67)),"YES","NO")</f>
        <v>NO</v>
      </c>
      <c r="AM506" t="str">
        <f>IF(ISNUMBER(SEARCH("H", 'WetLitterbags placem_collection'!X67)),"YES","NO")</f>
        <v>NO</v>
      </c>
      <c r="AN506" t="str">
        <f>IF(ISNUMBER(SEARCH("R", 'WetLitterbags placem_collection'!X67)),"YES","NO")</f>
        <v>YES</v>
      </c>
    </row>
    <row r="507" spans="1:40" ht="15" customHeight="1">
      <c r="A507" s="258" t="s">
        <v>2460</v>
      </c>
      <c r="B507" s="263">
        <f>'Dry_Litterbag Placem_Collection'!A68</f>
        <v>66</v>
      </c>
      <c r="C507" s="263" t="str">
        <f>'Dry_Litterbag Placem_Collection'!B68</f>
        <v>Maswa</v>
      </c>
      <c r="D507" s="263" t="s">
        <v>2659</v>
      </c>
      <c r="E507" s="263" t="s">
        <v>2661</v>
      </c>
      <c r="F507" s="263">
        <v>1</v>
      </c>
      <c r="G507" s="264" t="str">
        <f>'Dry_Litterbag Placem_Collection'!C68</f>
        <v>Dry_W1_T2</v>
      </c>
      <c r="H507" s="273" t="s">
        <v>3651</v>
      </c>
      <c r="I507" s="266" t="s">
        <v>1147</v>
      </c>
      <c r="J507" s="223" t="str">
        <f>'WetLitterbags placem_collection'!O68</f>
        <v>G760</v>
      </c>
      <c r="K507" s="225">
        <f>IFERROR(INDEX('Green_rooibos initial weight'!$C$5:$C$1749,MATCH(J507, 'Green_rooibos initial weight'!$A$5:$A$1749,0)),"")</f>
        <v>1.948</v>
      </c>
      <c r="L507" s="225">
        <f>IFERROR(K507-(TBIcalc!$H$9+TBIcalc!$H$10),"")</f>
        <v>1.6981999999999999</v>
      </c>
      <c r="M507" s="391">
        <f>AVERAGE(Ashed_controlls!$K$2:$K$11)</f>
        <v>5.5147656768714146</v>
      </c>
      <c r="N507" s="225">
        <f t="shared" si="39"/>
        <v>1.6045482492753695</v>
      </c>
      <c r="O507" s="225">
        <f>IF(IFERROR(INDEX('Both teabags AfterWet'!$C$3:$C$841,MATCH(J507,'Both teabags AfterWet'!$A$3:$A$841,0)),"")="","",(IFERROR(INDEX('Both teabags AfterWet'!$C$3:$C$841,MATCH(J507,'Both teabags AfterWet'!$A$3:$A$841,0)),"")))</f>
        <v>0.93500000000000005</v>
      </c>
      <c r="P507" s="225">
        <f>IFERROR(IF(O507&gt;0,O507-(TBIcalc!$H$9),""),"")</f>
        <v>0.78439999999999999</v>
      </c>
      <c r="Q507" s="225">
        <f>IFERROR(INDEX('Ashed teabags wet'!$K$2:$K$821,MATCH(J507,'Ashed teabags wet'!$A$2:$A$821,0)),"")</f>
        <v>12.432959531935326</v>
      </c>
      <c r="R507" s="225">
        <f t="shared" si="42"/>
        <v>0.68687586543149926</v>
      </c>
      <c r="S507" s="226">
        <f>'WetLitterbags placem_collection'!E68</f>
        <v>42767</v>
      </c>
      <c r="T507" s="226">
        <f>IF('WetLitterbags placem_collection'!G68="","",'WetLitterbags placem_collection'!G68)</f>
        <v>42818</v>
      </c>
      <c r="U507" s="227">
        <f t="shared" si="38"/>
        <v>51</v>
      </c>
      <c r="V507" s="225">
        <f t="shared" si="40"/>
        <v>0.91379999999999995</v>
      </c>
      <c r="W507" s="225">
        <f t="shared" si="41"/>
        <v>0.91767238384387029</v>
      </c>
      <c r="X507">
        <f>IFERROR(INDEX(Rainfall_Wet!$O$2:$O$217,MATCH(B507, Rainfall_Wet!$A$2:$A$217,0)),"")</f>
        <v>185.630065823</v>
      </c>
      <c r="Y507" s="231">
        <v>47.96</v>
      </c>
      <c r="Z507" s="231">
        <v>22.919999999999995</v>
      </c>
      <c r="AA507" s="231">
        <v>29.120000000000012</v>
      </c>
      <c r="AB507" s="232" t="s">
        <v>2673</v>
      </c>
      <c r="AC507" s="231">
        <v>3.8831936914736298</v>
      </c>
      <c r="AD507">
        <f>IF('WetLitterbags placem_collection'!AB68="","",'WetLitterbags placem_collection'!AB68)</f>
        <v>8</v>
      </c>
      <c r="AE507">
        <f>IF('WetLitterbags placem_collection'!Z68="","",'WetLitterbags placem_collection'!Z68)</f>
        <v>19.8</v>
      </c>
      <c r="AF507" s="246" t="str">
        <f>IF('WetLitterbags placem_collection'!AA68="","",'WetLitterbags placem_collection'!AA68)</f>
        <v>O</v>
      </c>
      <c r="AG507">
        <f>IF('WetLitterbags placem_collection'!AC68="","",'WetLitterbags placem_collection'!AC68)</f>
        <v>1</v>
      </c>
      <c r="AH507" s="24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placem_collection'!X68)),"YES","NO")</f>
        <v>NO</v>
      </c>
      <c r="AM507" t="str">
        <f>IF(ISNUMBER(SEARCH("H", 'WetLitterbags placem_collection'!X68)),"YES","NO")</f>
        <v>NO</v>
      </c>
      <c r="AN507" t="str">
        <f>IF(ISNUMBER(SEARCH("R", 'WetLitterbags placem_collection'!X68)),"YES","NO")</f>
        <v>YES</v>
      </c>
    </row>
    <row r="508" spans="1:40" ht="15" customHeight="1">
      <c r="A508" s="258" t="s">
        <v>2460</v>
      </c>
      <c r="B508" s="263">
        <f>'Dry_Litterbag Placem_Collection'!A69</f>
        <v>67</v>
      </c>
      <c r="C508" s="263" t="str">
        <f>'Dry_Litterbag Placem_Collection'!B69</f>
        <v>Maswa</v>
      </c>
      <c r="D508" s="263" t="s">
        <v>2659</v>
      </c>
      <c r="E508" s="263" t="s">
        <v>2661</v>
      </c>
      <c r="F508" s="263">
        <v>1</v>
      </c>
      <c r="G508" s="264" t="str">
        <f>'Dry_Litterbag Placem_Collection'!C69</f>
        <v>Dry_W1_T3</v>
      </c>
      <c r="H508" s="273" t="s">
        <v>3651</v>
      </c>
      <c r="I508" s="266" t="s">
        <v>1147</v>
      </c>
      <c r="J508" s="223" t="str">
        <f>'WetLitterbags placem_collection'!O69</f>
        <v>G660</v>
      </c>
      <c r="K508" s="225">
        <f>IFERROR(INDEX('Green_rooibos initial weight'!$C$5:$C$1749,MATCH(J508, 'Green_rooibos initial weight'!$A$5:$A$1749,0)),"")</f>
        <v>2.0339999999999998</v>
      </c>
      <c r="L508" s="225">
        <f>IFERROR(K508-(TBIcalc!$H$9+TBIcalc!$H$10),"")</f>
        <v>1.7841999999999998</v>
      </c>
      <c r="M508" s="391">
        <f>AVERAGE(Ashed_controlls!$K$2:$K$11)</f>
        <v>5.5147656768714146</v>
      </c>
      <c r="N508" s="225">
        <f t="shared" si="39"/>
        <v>1.6858055507932601</v>
      </c>
      <c r="O508" s="225">
        <f>IF(IFERROR(INDEX('Both teabags AfterWet'!$C$3:$C$841,MATCH(J508,'Both teabags AfterWet'!$A$3:$A$841,0)),"")="","",(IFERROR(INDEX('Both teabags AfterWet'!$C$3:$C$841,MATCH(J508,'Both teabags AfterWet'!$A$3:$A$841,0)),"")))</f>
        <v>0.92510000000000003</v>
      </c>
      <c r="P508" s="225">
        <f>IFERROR(IF(O508&gt;0,O508-(TBIcalc!$H$9),""),"")</f>
        <v>0.77449999999999997</v>
      </c>
      <c r="Q508" s="225">
        <f>IFERROR(INDEX('Ashed teabags wet'!$K$2:$K$821,MATCH(J508,'Ashed teabags wet'!$A$2:$A$821,0)),"")</f>
        <v>10.402684563757722</v>
      </c>
      <c r="R508" s="225">
        <f t="shared" si="42"/>
        <v>0.69393120805369646</v>
      </c>
      <c r="S508" s="226">
        <f>'WetLitterbags placem_collection'!E69</f>
        <v>42767</v>
      </c>
      <c r="T508" s="226">
        <f>IF('WetLitterbags placem_collection'!G69="","",'WetLitterbags placem_collection'!G69)</f>
        <v>42818</v>
      </c>
      <c r="U508" s="227">
        <f t="shared" si="38"/>
        <v>51</v>
      </c>
      <c r="V508" s="225">
        <f t="shared" si="40"/>
        <v>1.0096999999999998</v>
      </c>
      <c r="W508" s="225">
        <f t="shared" si="41"/>
        <v>0.99187434273956365</v>
      </c>
      <c r="X508">
        <f>IFERROR(INDEX(Rainfall_Wet!$O$2:$O$217,MATCH(B508, Rainfall_Wet!$A$2:$A$217,0)),"")</f>
        <v>185.630065823</v>
      </c>
      <c r="Y508" s="231">
        <v>47.96</v>
      </c>
      <c r="Z508" s="231">
        <v>22.919999999999995</v>
      </c>
      <c r="AA508" s="231">
        <v>29.120000000000012</v>
      </c>
      <c r="AB508" s="232" t="s">
        <v>2673</v>
      </c>
      <c r="AC508" s="231">
        <v>4.8831936914736298</v>
      </c>
      <c r="AD508">
        <f>IF('WetLitterbags placem_collection'!AB69="","",'WetLitterbags placem_collection'!AB69)</f>
        <v>5.5</v>
      </c>
      <c r="AE508">
        <f>IF('WetLitterbags placem_collection'!Z69="","",'WetLitterbags placem_collection'!Z69)</f>
        <v>5.5</v>
      </c>
      <c r="AF508" s="246" t="str">
        <f>IF('WetLitterbags placem_collection'!AA69="","",'WetLitterbags placem_collection'!AA69)</f>
        <v>O</v>
      </c>
      <c r="AG508">
        <f>IF('WetLitterbags placem_collection'!AC69="","",'WetLitterbags placem_collection'!AC69)</f>
        <v>1</v>
      </c>
      <c r="AH508" s="24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placem_collection'!X69)),"YES","NO")</f>
        <v>NO</v>
      </c>
      <c r="AM508" t="str">
        <f>IF(ISNUMBER(SEARCH("H", 'WetLitterbags placem_collection'!X69)),"YES","NO")</f>
        <v>NO</v>
      </c>
      <c r="AN508" t="str">
        <f>IF(ISNUMBER(SEARCH("R", 'WetLitterbags placem_collection'!X69)),"YES","NO")</f>
        <v>YES</v>
      </c>
    </row>
    <row r="509" spans="1:40" ht="15" customHeight="1">
      <c r="A509" s="258" t="s">
        <v>2460</v>
      </c>
      <c r="B509" s="263">
        <f>'Dry_Litterbag Placem_Collection'!A70</f>
        <v>68</v>
      </c>
      <c r="C509" s="263" t="str">
        <f>'Dry_Litterbag Placem_Collection'!B70</f>
        <v>Maswa</v>
      </c>
      <c r="D509" s="263" t="s">
        <v>2659</v>
      </c>
      <c r="E509" s="263" t="s">
        <v>2661</v>
      </c>
      <c r="F509" s="263">
        <v>1</v>
      </c>
      <c r="G509" s="264" t="str">
        <f>'Dry_Litterbag Placem_Collection'!C70</f>
        <v>Dry_W1_T4</v>
      </c>
      <c r="H509" s="273" t="s">
        <v>3651</v>
      </c>
      <c r="I509" s="266" t="s">
        <v>1147</v>
      </c>
      <c r="J509" s="223" t="str">
        <f>'WetLitterbags placem_collection'!O70</f>
        <v>G477</v>
      </c>
      <c r="K509" s="225">
        <f>IFERROR(INDEX('Green_rooibos initial weight'!$C$5:$C$1749,MATCH(J509, 'Green_rooibos initial weight'!$A$5:$A$1749,0)),"")</f>
        <v>2.073</v>
      </c>
      <c r="L509" s="225">
        <f>IFERROR(K509-(TBIcalc!$H$9+TBIcalc!$H$10),"")</f>
        <v>1.8231999999999999</v>
      </c>
      <c r="M509" s="391">
        <f>AVERAGE(Ashed_controlls!$K$2:$K$11)</f>
        <v>5.5147656768714146</v>
      </c>
      <c r="N509" s="225">
        <f t="shared" si="39"/>
        <v>1.7226547921792803</v>
      </c>
      <c r="O509" s="225">
        <f>IF(IFERROR(INDEX('Both teabags AfterWet'!$C$3:$C$841,MATCH(J509,'Both teabags AfterWet'!$A$3:$A$841,0)),"")="","",(IFERROR(INDEX('Both teabags AfterWet'!$C$3:$C$841,MATCH(J509,'Both teabags AfterWet'!$A$3:$A$841,0)),"")))</f>
        <v>0.90500000000000003</v>
      </c>
      <c r="P509" s="225">
        <f>IFERROR(IF(O509&gt;0,O509-(TBIcalc!$H$9),""),"")</f>
        <v>0.75439999999999996</v>
      </c>
      <c r="Q509" s="225">
        <f>IFERROR(INDEX('Ashed teabags wet'!$K$2:$K$821,MATCH(J509,'Ashed teabags wet'!$A$2:$A$821,0)),"")</f>
        <v>16.691358024691656</v>
      </c>
      <c r="R509" s="225">
        <f t="shared" si="42"/>
        <v>0.62848039506172615</v>
      </c>
      <c r="S509" s="226">
        <f>'WetLitterbags placem_collection'!E70</f>
        <v>42767</v>
      </c>
      <c r="T509" s="226">
        <f>IF('WetLitterbags placem_collection'!G70="","",'WetLitterbags placem_collection'!G70)</f>
        <v>42818</v>
      </c>
      <c r="U509" s="227">
        <f t="shared" si="38"/>
        <v>51</v>
      </c>
      <c r="V509" s="225">
        <f t="shared" si="40"/>
        <v>1.0688</v>
      </c>
      <c r="W509" s="225">
        <f t="shared" si="41"/>
        <v>1.0941743971175542</v>
      </c>
      <c r="X509">
        <f>IFERROR(INDEX(Rainfall_Wet!$O$2:$O$217,MATCH(B509, Rainfall_Wet!$A$2:$A$217,0)),"")</f>
        <v>185.630065823</v>
      </c>
      <c r="Y509" s="231">
        <v>47.96</v>
      </c>
      <c r="Z509" s="231">
        <v>22.919999999999995</v>
      </c>
      <c r="AA509" s="231">
        <v>29.120000000000012</v>
      </c>
      <c r="AB509" s="232" t="s">
        <v>2673</v>
      </c>
      <c r="AC509" s="231">
        <v>5.8831936914736298</v>
      </c>
      <c r="AD509">
        <f>IF('WetLitterbags placem_collection'!AB70="","",'WetLitterbags placem_collection'!AB70)</f>
        <v>9.6999999999999993</v>
      </c>
      <c r="AE509">
        <f>IF('WetLitterbags placem_collection'!Z70="","",'WetLitterbags placem_collection'!Z70)</f>
        <v>23.4</v>
      </c>
      <c r="AF509" s="246" t="str">
        <f>IF('WetLitterbags placem_collection'!AA70="","",'WetLitterbags placem_collection'!AA70)</f>
        <v>O</v>
      </c>
      <c r="AG509">
        <f>IF('WetLitterbags placem_collection'!AC70="","",'WetLitterbags placem_collection'!AC70)</f>
        <v>1</v>
      </c>
      <c r="AH509" s="24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placem_collection'!X70)),"YES","NO")</f>
        <v>NO</v>
      </c>
      <c r="AM509" t="str">
        <f>IF(ISNUMBER(SEARCH("H", 'WetLitterbags placem_collection'!X70)),"YES","NO")</f>
        <v>NO</v>
      </c>
      <c r="AN509" t="str">
        <f>IF(ISNUMBER(SEARCH("R", 'WetLitterbags placem_collection'!X70)),"YES","NO")</f>
        <v>YES</v>
      </c>
    </row>
    <row r="510" spans="1:40" ht="15" customHeight="1">
      <c r="A510" s="258" t="s">
        <v>2460</v>
      </c>
      <c r="B510" s="263">
        <f>'Dry_Litterbag Placem_Collection'!A71</f>
        <v>69</v>
      </c>
      <c r="C510" s="263" t="str">
        <f>'Dry_Litterbag Placem_Collection'!B71</f>
        <v>Maswa</v>
      </c>
      <c r="D510" s="263" t="s">
        <v>2659</v>
      </c>
      <c r="E510" s="263" t="s">
        <v>2661</v>
      </c>
      <c r="F510" s="263">
        <v>1</v>
      </c>
      <c r="G510" s="264" t="str">
        <f>'Dry_Litterbag Placem_Collection'!C71</f>
        <v>Dry_W1_T5</v>
      </c>
      <c r="H510" s="273" t="s">
        <v>3651</v>
      </c>
      <c r="I510" s="266" t="s">
        <v>1147</v>
      </c>
      <c r="J510" s="223" t="str">
        <f>'WetLitterbags placem_collection'!O71</f>
        <v>G386</v>
      </c>
      <c r="K510" s="225">
        <f>IFERROR(INDEX('Green_rooibos initial weight'!$C$5:$C$1749,MATCH(J510, 'Green_rooibos initial weight'!$A$5:$A$1749,0)),"")</f>
        <v>1.897</v>
      </c>
      <c r="L510" s="225">
        <f>IFERROR(K510-(TBIcalc!$H$9+TBIcalc!$H$10),"")</f>
        <v>1.6472</v>
      </c>
      <c r="M510" s="391">
        <f>AVERAGE(Ashed_controlls!$K$2:$K$11)</f>
        <v>5.5147656768714146</v>
      </c>
      <c r="N510" s="225">
        <f t="shared" si="39"/>
        <v>1.5563607797705741</v>
      </c>
      <c r="O510" s="225">
        <f>IF(IFERROR(INDEX('Both teabags AfterWet'!$C$3:$C$841,MATCH(J510,'Both teabags AfterWet'!$A$3:$A$841,0)),"")="","",(IFERROR(INDEX('Both teabags AfterWet'!$C$3:$C$841,MATCH(J510,'Both teabags AfterWet'!$A$3:$A$841,0)),"")))</f>
        <v>0.98899999999999999</v>
      </c>
      <c r="P510" s="225">
        <f>IFERROR(IF(O510&gt;0,O510-(TBIcalc!$H$9),""),"")</f>
        <v>0.83840000000000003</v>
      </c>
      <c r="Q510" s="225">
        <f>IFERROR(INDEX('Ashed teabags wet'!$K$2:$K$821,MATCH(J510,'Ashed teabags wet'!$A$2:$A$821,0)),"")</f>
        <v>28.64945382323781</v>
      </c>
      <c r="R510" s="225">
        <f t="shared" si="42"/>
        <v>0.5982029791459742</v>
      </c>
      <c r="S510" s="226">
        <f>'WetLitterbags placem_collection'!E71</f>
        <v>42767</v>
      </c>
      <c r="T510" s="226">
        <f>IF('WetLitterbags placem_collection'!G71="","",'WetLitterbags placem_collection'!G71)</f>
        <v>42818</v>
      </c>
      <c r="U510" s="227">
        <f t="shared" si="38"/>
        <v>51</v>
      </c>
      <c r="V510" s="225">
        <f t="shared" si="40"/>
        <v>0.80879999999999996</v>
      </c>
      <c r="W510" s="225">
        <f t="shared" si="41"/>
        <v>0.95815780062459988</v>
      </c>
      <c r="X510">
        <f>IFERROR(INDEX(Rainfall_Wet!$O$2:$O$217,MATCH(B510, Rainfall_Wet!$A$2:$A$217,0)),"")</f>
        <v>185.630065823</v>
      </c>
      <c r="Y510" s="231">
        <v>47.96</v>
      </c>
      <c r="Z510" s="231">
        <v>22.919999999999995</v>
      </c>
      <c r="AA510" s="231">
        <v>29.120000000000012</v>
      </c>
      <c r="AB510" s="232" t="s">
        <v>2673</v>
      </c>
      <c r="AC510" s="231">
        <v>6.8831936914736298</v>
      </c>
      <c r="AD510">
        <f>IF('WetLitterbags placem_collection'!AB71="","",'WetLitterbags placem_collection'!AB71)</f>
        <v>14.4</v>
      </c>
      <c r="AE510">
        <f>IF('WetLitterbags placem_collection'!Z71="","",'WetLitterbags placem_collection'!Z71)</f>
        <v>24.4</v>
      </c>
      <c r="AF510" s="246" t="str">
        <f>IF('WetLitterbags placem_collection'!AA71="","",'WetLitterbags placem_collection'!AA71)</f>
        <v>O</v>
      </c>
      <c r="AG510">
        <f>IF('WetLitterbags placem_collection'!AC71="","",'WetLitterbags placem_collection'!AC71)</f>
        <v>1</v>
      </c>
      <c r="AH510" s="24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placem_collection'!X71)),"YES","NO")</f>
        <v>NO</v>
      </c>
      <c r="AM510" t="str">
        <f>IF(ISNUMBER(SEARCH("H", 'WetLitterbags placem_collection'!X71)),"YES","NO")</f>
        <v>NO</v>
      </c>
      <c r="AN510" t="str">
        <f>IF(ISNUMBER(SEARCH("R", 'WetLitterbags placem_collection'!X71)),"YES","NO")</f>
        <v>YES</v>
      </c>
    </row>
    <row r="511" spans="1:40" ht="15" customHeight="1">
      <c r="A511" s="258" t="s">
        <v>2460</v>
      </c>
      <c r="B511" s="263">
        <f>'Dry_Litterbag Placem_Collection'!A72</f>
        <v>70</v>
      </c>
      <c r="C511" s="263" t="str">
        <f>'Dry_Litterbag Placem_Collection'!B72</f>
        <v>Maswa</v>
      </c>
      <c r="D511" s="263" t="s">
        <v>2659</v>
      </c>
      <c r="E511" s="263" t="s">
        <v>2661</v>
      </c>
      <c r="F511" s="263">
        <v>1</v>
      </c>
      <c r="G511" s="264" t="str">
        <f>'Dry_Litterbag Placem_Collection'!C72</f>
        <v>Dry_W1_T6</v>
      </c>
      <c r="H511" s="273" t="s">
        <v>3651</v>
      </c>
      <c r="I511" s="266" t="s">
        <v>1147</v>
      </c>
      <c r="J511" s="223" t="str">
        <f>'WetLitterbags placem_collection'!O72</f>
        <v>G414</v>
      </c>
      <c r="K511" s="225">
        <f>IFERROR(INDEX('Green_rooibos initial weight'!$C$5:$C$1749,MATCH(J511, 'Green_rooibos initial weight'!$A$5:$A$1749,0)),"")</f>
        <v>2.0590000000000002</v>
      </c>
      <c r="L511" s="225">
        <f>IFERROR(K511-(TBIcalc!$H$9+TBIcalc!$H$10),"")</f>
        <v>1.8092000000000001</v>
      </c>
      <c r="M511" s="391">
        <f>AVERAGE(Ashed_controlls!$K$2:$K$11)</f>
        <v>5.5147656768714146</v>
      </c>
      <c r="N511" s="225">
        <f t="shared" si="39"/>
        <v>1.7094268593740425</v>
      </c>
      <c r="O511" s="225">
        <f>IF(IFERROR(INDEX('Both teabags AfterWet'!$C$3:$C$841,MATCH(J511,'Both teabags AfterWet'!$A$3:$A$841,0)),"")="","",(IFERROR(INDEX('Both teabags AfterWet'!$C$3:$C$841,MATCH(J511,'Both teabags AfterWet'!$A$3:$A$841,0)),"")))</f>
        <v>0.84099999999999997</v>
      </c>
      <c r="P511" s="225">
        <f>IFERROR(IF(O511&gt;0,O511-(TBIcalc!$H$9),""),"")</f>
        <v>0.6903999999999999</v>
      </c>
      <c r="Q511" s="225">
        <f>IFERROR(INDEX('Ashed teabags wet'!$K$2:$K$821,MATCH(J511,'Ashed teabags wet'!$A$2:$A$821,0)),"")</f>
        <v>8.7493821057836652</v>
      </c>
      <c r="R511" s="225">
        <f t="shared" si="42"/>
        <v>0.62999426594166952</v>
      </c>
      <c r="S511" s="226">
        <f>'WetLitterbags placem_collection'!E72</f>
        <v>42767</v>
      </c>
      <c r="T511" s="226">
        <f>IF('WetLitterbags placem_collection'!G72="","",'WetLitterbags placem_collection'!G72)</f>
        <v>42818</v>
      </c>
      <c r="U511" s="227">
        <f t="shared" si="38"/>
        <v>51</v>
      </c>
      <c r="V511" s="225">
        <f t="shared" si="40"/>
        <v>1.1188000000000002</v>
      </c>
      <c r="W511" s="225">
        <f t="shared" si="41"/>
        <v>1.079432593432373</v>
      </c>
      <c r="X511">
        <f>IFERROR(INDEX(Rainfall_Wet!$O$2:$O$217,MATCH(B511, Rainfall_Wet!$A$2:$A$217,0)),"")</f>
        <v>185.630065823</v>
      </c>
      <c r="Y511" s="231">
        <v>47.96</v>
      </c>
      <c r="Z511" s="231">
        <v>22.919999999999995</v>
      </c>
      <c r="AA511" s="231">
        <v>29.120000000000012</v>
      </c>
      <c r="AB511" s="232" t="s">
        <v>2673</v>
      </c>
      <c r="AC511" s="231">
        <v>7.8831936914736298</v>
      </c>
      <c r="AD511">
        <f>IF('WetLitterbags placem_collection'!AB72="","",'WetLitterbags placem_collection'!AB72)</f>
        <v>15</v>
      </c>
      <c r="AE511">
        <f>IF('WetLitterbags placem_collection'!Z72="","",'WetLitterbags placem_collection'!Z72)</f>
        <v>28</v>
      </c>
      <c r="AF511" s="246" t="str">
        <f>IF('WetLitterbags placem_collection'!AA72="","",'WetLitterbags placem_collection'!AA72)</f>
        <v>O</v>
      </c>
      <c r="AG511">
        <f>IF('WetLitterbags placem_collection'!AC72="","",'WetLitterbags placem_collection'!AC72)</f>
        <v>0</v>
      </c>
      <c r="AH511" s="24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placem_collection'!X72)),"YES","NO")</f>
        <v>NO</v>
      </c>
      <c r="AM511" t="str">
        <f>IF(ISNUMBER(SEARCH("H", 'WetLitterbags placem_collection'!X72)),"YES","NO")</f>
        <v>NO</v>
      </c>
      <c r="AN511" t="str">
        <f>IF(ISNUMBER(SEARCH("R", 'WetLitterbags placem_collection'!X72)),"YES","NO")</f>
        <v>YES</v>
      </c>
    </row>
    <row r="512" spans="1:40" ht="15" customHeight="1">
      <c r="A512" s="258" t="s">
        <v>2460</v>
      </c>
      <c r="B512" s="263">
        <f>'Dry_Litterbag Placem_Collection'!A73</f>
        <v>71</v>
      </c>
      <c r="C512" s="263" t="str">
        <f>'Dry_Litterbag Placem_Collection'!B73</f>
        <v>Maswa</v>
      </c>
      <c r="D512" s="263" t="s">
        <v>2659</v>
      </c>
      <c r="E512" s="263" t="s">
        <v>2661</v>
      </c>
      <c r="F512" s="263">
        <v>1</v>
      </c>
      <c r="G512" s="264" t="str">
        <f>'Dry_Litterbag Placem_Collection'!C73</f>
        <v>Dry_W1_T7</v>
      </c>
      <c r="H512" s="273" t="s">
        <v>3651</v>
      </c>
      <c r="I512" s="266" t="s">
        <v>1147</v>
      </c>
      <c r="J512" s="223" t="str">
        <f>'WetLitterbags placem_collection'!O73</f>
        <v>G459</v>
      </c>
      <c r="K512" s="225">
        <f>IFERROR(INDEX('Green_rooibos initial weight'!$C$5:$C$1749,MATCH(J512, 'Green_rooibos initial weight'!$A$5:$A$1749,0)),"")</f>
        <v>2.0449999999999999</v>
      </c>
      <c r="L512" s="225">
        <f>IFERROR(K512-(TBIcalc!$H$9+TBIcalc!$H$10),"")</f>
        <v>1.7951999999999999</v>
      </c>
      <c r="M512" s="391">
        <f>AVERAGE(Ashed_controlls!$K$2:$K$11)</f>
        <v>5.5147656768714146</v>
      </c>
      <c r="N512" s="225">
        <f t="shared" si="39"/>
        <v>1.6961989265688042</v>
      </c>
      <c r="O512" s="225">
        <f>IF(IFERROR(INDEX('Both teabags AfterWet'!$C$3:$C$841,MATCH(J512,'Both teabags AfterWet'!$A$3:$A$841,0)),"")="","",(IFERROR(INDEX('Both teabags AfterWet'!$C$3:$C$841,MATCH(J512,'Both teabags AfterWet'!$A$3:$A$841,0)),"")))</f>
        <v>0.89149999999999996</v>
      </c>
      <c r="P512" s="225">
        <f>IFERROR(IF(O512&gt;0,O512-(TBIcalc!$H$9),""),"")</f>
        <v>0.74089999999999989</v>
      </c>
      <c r="Q512" s="225">
        <f>IFERROR(INDEX('Ashed teabags wet'!$K$2:$K$821,MATCH(J512,'Ashed teabags wet'!$A$2:$A$821,0)),"")</f>
        <v>7.7519379844959557</v>
      </c>
      <c r="R512" s="225">
        <f t="shared" si="42"/>
        <v>0.6834658914728694</v>
      </c>
      <c r="S512" s="226">
        <f>'WetLitterbags placem_collection'!E73</f>
        <v>42767</v>
      </c>
      <c r="T512" s="226">
        <f>IF('WetLitterbags placem_collection'!G73="","",'WetLitterbags placem_collection'!G73)</f>
        <v>42818</v>
      </c>
      <c r="U512" s="227">
        <f t="shared" si="38"/>
        <v>51</v>
      </c>
      <c r="V512" s="225">
        <f t="shared" si="40"/>
        <v>1.0543</v>
      </c>
      <c r="W512" s="225">
        <f t="shared" si="41"/>
        <v>1.0127330350959349</v>
      </c>
      <c r="X512">
        <f>IFERROR(INDEX(Rainfall_Wet!$O$2:$O$217,MATCH(B512, Rainfall_Wet!$A$2:$A$217,0)),"")</f>
        <v>185.630065823</v>
      </c>
      <c r="Y512" s="231">
        <v>47.96</v>
      </c>
      <c r="Z512" s="231">
        <v>22.919999999999995</v>
      </c>
      <c r="AA512" s="231">
        <v>29.120000000000012</v>
      </c>
      <c r="AB512" s="232" t="s">
        <v>2673</v>
      </c>
      <c r="AC512" s="231">
        <v>8.8831936914736307</v>
      </c>
      <c r="AD512">
        <f>IF('WetLitterbags placem_collection'!AB73="","",'WetLitterbags placem_collection'!AB73)</f>
        <v>15.5</v>
      </c>
      <c r="AE512">
        <f>IF('WetLitterbags placem_collection'!Z73="","",'WetLitterbags placem_collection'!Z73)</f>
        <v>32</v>
      </c>
      <c r="AF512" s="246" t="str">
        <f>IF('WetLitterbags placem_collection'!AA73="","",'WetLitterbags placem_collection'!AA73)</f>
        <v>O</v>
      </c>
      <c r="AG512">
        <f>IF('WetLitterbags placem_collection'!AC73="","",'WetLitterbags placem_collection'!AC73)</f>
        <v>1</v>
      </c>
      <c r="AH512" s="24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placem_collection'!X73)),"YES","NO")</f>
        <v>NO</v>
      </c>
      <c r="AM512" t="str">
        <f>IF(ISNUMBER(SEARCH("H", 'WetLitterbags placem_collection'!X73)),"YES","NO")</f>
        <v>NO</v>
      </c>
      <c r="AN512" t="str">
        <f>IF(ISNUMBER(SEARCH("R", 'WetLitterbags placem_collection'!X73)),"YES","NO")</f>
        <v>YES</v>
      </c>
    </row>
    <row r="513" spans="1:40" ht="15" customHeight="1">
      <c r="A513" s="258" t="s">
        <v>2460</v>
      </c>
      <c r="B513" s="263">
        <f>'Dry_Litterbag Placem_Collection'!A74</f>
        <v>72</v>
      </c>
      <c r="C513" s="263" t="str">
        <f>'Dry_Litterbag Placem_Collection'!B74</f>
        <v>Maswa</v>
      </c>
      <c r="D513" s="263" t="s">
        <v>2659</v>
      </c>
      <c r="E513" s="263" t="s">
        <v>2661</v>
      </c>
      <c r="F513" s="263">
        <v>1</v>
      </c>
      <c r="G513" s="264" t="str">
        <f>'Dry_Litterbag Placem_Collection'!C74</f>
        <v>Dry_W1_T8</v>
      </c>
      <c r="H513" s="273" t="s">
        <v>3651</v>
      </c>
      <c r="I513" s="266" t="s">
        <v>1147</v>
      </c>
      <c r="J513" s="223" t="str">
        <f>'WetLitterbags placem_collection'!O74</f>
        <v>G627</v>
      </c>
      <c r="K513" s="225">
        <f>IFERROR(INDEX('Green_rooibos initial weight'!$C$5:$C$1749,MATCH(J513, 'Green_rooibos initial weight'!$A$5:$A$1749,0)),"")</f>
        <v>2.153</v>
      </c>
      <c r="L513" s="225">
        <f>IFERROR(K513-(TBIcalc!$H$9+TBIcalc!$H$10),"")</f>
        <v>1.9032</v>
      </c>
      <c r="M513" s="391">
        <f>AVERAGE(Ashed_controlls!$K$2:$K$11)</f>
        <v>5.5147656768714146</v>
      </c>
      <c r="N513" s="225">
        <f t="shared" si="39"/>
        <v>1.7982429796377832</v>
      </c>
      <c r="O513" s="225">
        <f>IF(IFERROR(INDEX('Both teabags AfterWet'!$C$3:$C$841,MATCH(J513,'Both teabags AfterWet'!$A$3:$A$841,0)),"")="","",(IFERROR(INDEX('Both teabags AfterWet'!$C$3:$C$841,MATCH(J513,'Both teabags AfterWet'!$A$3:$A$841,0)),"")))</f>
        <v>0.86350000000000005</v>
      </c>
      <c r="P513" s="225">
        <f>IFERROR(IF(O513&gt;0,O513-(TBIcalc!$H$9),""),"")</f>
        <v>0.71290000000000009</v>
      </c>
      <c r="Q513" s="225">
        <f>IFERROR(INDEX('Ashed teabags wet'!$K$2:$K$821,MATCH(J513,'Ashed teabags wet'!$A$2:$A$821,0)),"")</f>
        <v>8.0899952130205044</v>
      </c>
      <c r="R513" s="225">
        <f t="shared" si="42"/>
        <v>0.65522642412637688</v>
      </c>
      <c r="S513" s="226">
        <f>'WetLitterbags placem_collection'!E74</f>
        <v>42767</v>
      </c>
      <c r="T513" s="226">
        <f>IF('WetLitterbags placem_collection'!G74="","",'WetLitterbags placem_collection'!G74)</f>
        <v>42818</v>
      </c>
      <c r="U513" s="227">
        <f t="shared" si="38"/>
        <v>51</v>
      </c>
      <c r="V513" s="225">
        <f t="shared" si="40"/>
        <v>1.1902999999999999</v>
      </c>
      <c r="W513" s="225">
        <f t="shared" si="41"/>
        <v>1.1430165555114065</v>
      </c>
      <c r="X513">
        <f>IFERROR(INDEX(Rainfall_Wet!$O$2:$O$217,MATCH(B513, Rainfall_Wet!$A$2:$A$217,0)),"")</f>
        <v>185.630065823</v>
      </c>
      <c r="Y513" s="231">
        <v>47.96</v>
      </c>
      <c r="Z513" s="231">
        <v>22.919999999999995</v>
      </c>
      <c r="AA513" s="231">
        <v>29.120000000000012</v>
      </c>
      <c r="AB513" s="232" t="s">
        <v>2673</v>
      </c>
      <c r="AC513" s="231">
        <v>9.8831936914736307</v>
      </c>
      <c r="AD513">
        <f>IF('WetLitterbags placem_collection'!AB74="","",'WetLitterbags placem_collection'!AB74)</f>
        <v>2.6</v>
      </c>
      <c r="AE513">
        <f>IF('WetLitterbags placem_collection'!Z74="","",'WetLitterbags placem_collection'!Z74)</f>
        <v>44</v>
      </c>
      <c r="AF513" s="246" t="str">
        <f>IF('WetLitterbags placem_collection'!AA74="","",'WetLitterbags placem_collection'!AA74)</f>
        <v>O</v>
      </c>
      <c r="AG513">
        <f>IF('WetLitterbags placem_collection'!AC74="","",'WetLitterbags placem_collection'!AC74)</f>
        <v>1</v>
      </c>
      <c r="AH513" s="24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placem_collection'!X74)),"YES","NO")</f>
        <v>NO</v>
      </c>
      <c r="AM513" t="str">
        <f>IF(ISNUMBER(SEARCH("H", 'WetLitterbags placem_collection'!X74)),"YES","NO")</f>
        <v>NO</v>
      </c>
      <c r="AN513" t="str">
        <f>IF(ISNUMBER(SEARCH("R", 'WetLitterbags placem_collection'!X74)),"YES","NO")</f>
        <v>YES</v>
      </c>
    </row>
    <row r="514" spans="1:40" ht="15" customHeight="1">
      <c r="A514" s="258" t="s">
        <v>2460</v>
      </c>
      <c r="B514" s="263">
        <f>'Dry_Litterbag Placem_Collection'!A75</f>
        <v>73</v>
      </c>
      <c r="C514" s="263" t="str">
        <f>'Dry_Litterbag Placem_Collection'!B75</f>
        <v>Maswa</v>
      </c>
      <c r="D514" s="263" t="s">
        <v>2659</v>
      </c>
      <c r="E514" s="263" t="s">
        <v>2661</v>
      </c>
      <c r="F514" s="263">
        <v>2</v>
      </c>
      <c r="G514" s="264" t="str">
        <f>'Dry_Litterbag Placem_Collection'!C75</f>
        <v>Dry_W2_T1</v>
      </c>
      <c r="H514" s="273" t="s">
        <v>3651</v>
      </c>
      <c r="I514" s="266" t="s">
        <v>1147</v>
      </c>
      <c r="J514" s="223" t="str">
        <f>'WetLitterbags placem_collection'!O75</f>
        <v>G498</v>
      </c>
      <c r="K514" s="225">
        <f>IFERROR(INDEX('Green_rooibos initial weight'!$C$5:$C$1749,MATCH(J514, 'Green_rooibos initial weight'!$A$5:$A$1749,0)),"")</f>
        <v>1.744</v>
      </c>
      <c r="L514" s="225">
        <f>IFERROR(K514-(TBIcalc!$H$9+TBIcalc!$H$10),"")</f>
        <v>1.4942</v>
      </c>
      <c r="M514" s="391">
        <f>AVERAGE(Ashed_controlls!$K$2:$K$11)</f>
        <v>5.5147656768714146</v>
      </c>
      <c r="N514" s="225">
        <f t="shared" si="39"/>
        <v>1.4117983712561872</v>
      </c>
      <c r="O514" s="225">
        <f>IF(IFERROR(INDEX('Both teabags AfterWet'!$C$3:$C$841,MATCH(J514,'Both teabags AfterWet'!$A$3:$A$841,0)),"")="","",(IFERROR(INDEX('Both teabags AfterWet'!$C$3:$C$841,MATCH(J514,'Both teabags AfterWet'!$A$3:$A$841,0)),"")))</f>
        <v>0.73209999999999997</v>
      </c>
      <c r="P514" s="225">
        <f>IFERROR(IF(O514&gt;0,O514-(TBIcalc!$H$9),""),"")</f>
        <v>0.58149999999999991</v>
      </c>
      <c r="Q514" s="225">
        <f>IFERROR(INDEX('Ashed teabags wet'!$K$2:$K$821,MATCH(J514,'Ashed teabags wet'!$A$2:$A$821,0)),"")</f>
        <v>8.2123184777161153</v>
      </c>
      <c r="R514" s="225">
        <f t="shared" si="42"/>
        <v>0.53374536805208073</v>
      </c>
      <c r="S514" s="226">
        <f>'WetLitterbags placem_collection'!E75</f>
        <v>42767</v>
      </c>
      <c r="T514" s="226">
        <f>IF('WetLitterbags placem_collection'!G75="","",'WetLitterbags placem_collection'!G75)</f>
        <v>42818</v>
      </c>
      <c r="U514" s="227">
        <f t="shared" ref="U514:U577" si="43">IFERROR(T514-S514,"")</f>
        <v>51</v>
      </c>
      <c r="V514" s="225">
        <f t="shared" si="40"/>
        <v>0.91270000000000007</v>
      </c>
      <c r="W514" s="225">
        <f t="shared" si="41"/>
        <v>0.87805300320410651</v>
      </c>
      <c r="X514">
        <f>IFERROR(INDEX(Rainfall_Wet!$O$2:$O$217,MATCH(B514, Rainfall_Wet!$A$2:$A$217,0)),"")</f>
        <v>185.630065823</v>
      </c>
      <c r="Y514" s="231">
        <v>45.272914521112256</v>
      </c>
      <c r="Z514" s="231">
        <v>23.604531410916575</v>
      </c>
      <c r="AA514" s="231">
        <v>31.122554067971166</v>
      </c>
      <c r="AB514" s="232" t="s">
        <v>2673</v>
      </c>
      <c r="AC514" s="231">
        <v>2.0547560374568752</v>
      </c>
      <c r="AD514">
        <f>IF('WetLitterbags placem_collection'!AB75="","",'WetLitterbags placem_collection'!AB75)</f>
        <v>9.1</v>
      </c>
      <c r="AE514">
        <f>IF('WetLitterbags placem_collection'!Z75="","",'WetLitterbags placem_collection'!Z75)</f>
        <v>10</v>
      </c>
      <c r="AF514" s="246" t="str">
        <f>IF('WetLitterbags placem_collection'!AA75="","",'WetLitterbags placem_collection'!AA75)</f>
        <v>M</v>
      </c>
      <c r="AG514">
        <f>IF('WetLitterbags placem_collection'!AC75="","",'WetLitterbags placem_collection'!AC75)</f>
        <v>1</v>
      </c>
      <c r="AH514" s="24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placem_collection'!X75)),"YES","NO")</f>
        <v>NO</v>
      </c>
      <c r="AM514" t="str">
        <f>IF(ISNUMBER(SEARCH("H", 'WetLitterbags placem_collection'!X75)),"YES","NO")</f>
        <v>NO</v>
      </c>
      <c r="AN514" t="str">
        <f>IF(ISNUMBER(SEARCH("R", 'WetLitterbags placem_collection'!X75)),"YES","NO")</f>
        <v>YES</v>
      </c>
    </row>
    <row r="515" spans="1:40" ht="15" customHeight="1">
      <c r="A515" s="258" t="s">
        <v>2460</v>
      </c>
      <c r="B515" s="263">
        <f>'Dry_Litterbag Placem_Collection'!A76</f>
        <v>74</v>
      </c>
      <c r="C515" s="263" t="str">
        <f>'Dry_Litterbag Placem_Collection'!B76</f>
        <v>Maswa</v>
      </c>
      <c r="D515" s="263" t="s">
        <v>2659</v>
      </c>
      <c r="E515" s="263" t="s">
        <v>2661</v>
      </c>
      <c r="F515" s="263">
        <v>2</v>
      </c>
      <c r="G515" s="264" t="str">
        <f>'Dry_Litterbag Placem_Collection'!C76</f>
        <v>Dry_W2_T2</v>
      </c>
      <c r="H515" s="273" t="s">
        <v>3651</v>
      </c>
      <c r="I515" s="266" t="s">
        <v>1147</v>
      </c>
      <c r="J515" s="223" t="str">
        <f>'WetLitterbags placem_collection'!O76</f>
        <v>G579</v>
      </c>
      <c r="K515" s="225">
        <f>IFERROR(INDEX('Green_rooibos initial weight'!$C$5:$C$1749,MATCH(J515, 'Green_rooibos initial weight'!$A$5:$A$1749,0)),"")</f>
        <v>2.012</v>
      </c>
      <c r="L515" s="225">
        <f>IFERROR(K515-(TBIcalc!$H$9+TBIcalc!$H$10),"")</f>
        <v>1.7622</v>
      </c>
      <c r="M515" s="391">
        <f>AVERAGE(Ashed_controlls!$K$2:$K$11)</f>
        <v>5.5147656768714146</v>
      </c>
      <c r="N515" s="225">
        <f t="shared" ref="N515:N578" si="44">IFERROR(L515-(M515/100)*L515,"")</f>
        <v>1.6650187992421719</v>
      </c>
      <c r="O515" s="225">
        <f>IF(IFERROR(INDEX('Both teabags AfterWet'!$C$3:$C$841,MATCH(J515,'Both teabags AfterWet'!$A$3:$A$841,0)),"")="","",(IFERROR(INDEX('Both teabags AfterWet'!$C$3:$C$841,MATCH(J515,'Both teabags AfterWet'!$A$3:$A$841,0)),"")))</f>
        <v>0.74199999999999999</v>
      </c>
      <c r="P515" s="225">
        <f>IFERROR(IF(O515&gt;0,O515-(TBIcalc!$H$9),""),"")</f>
        <v>0.59139999999999993</v>
      </c>
      <c r="Q515" s="225">
        <f>IFERROR(INDEX('Ashed teabags wet'!$K$2:$K$821,MATCH(J515,'Ashed teabags wet'!$A$2:$A$821,0)),"")</f>
        <v>9.0817862518813506</v>
      </c>
      <c r="R515" s="225">
        <f t="shared" si="42"/>
        <v>0.53769031610637363</v>
      </c>
      <c r="S515" s="226">
        <f>'WetLitterbags placem_collection'!E76</f>
        <v>42767</v>
      </c>
      <c r="T515" s="226">
        <f>IF('WetLitterbags placem_collection'!G76="","",'WetLitterbags placem_collection'!G76)</f>
        <v>42818</v>
      </c>
      <c r="U515" s="227">
        <f t="shared" si="43"/>
        <v>51</v>
      </c>
      <c r="V515" s="225">
        <f t="shared" ref="V515:V578" si="45">IFERROR(L515-P515,"")</f>
        <v>1.1708000000000001</v>
      </c>
      <c r="W515" s="225">
        <f t="shared" ref="W515:W578" si="46">IFERROR(N515-R515,"")</f>
        <v>1.1273284831357984</v>
      </c>
      <c r="X515">
        <f>IFERROR(INDEX(Rainfall_Wet!$O$2:$O$217,MATCH(B515, Rainfall_Wet!$A$2:$A$217,0)),"")</f>
        <v>185.630065823</v>
      </c>
      <c r="Y515" s="231">
        <v>45.272914521112256</v>
      </c>
      <c r="Z515" s="231">
        <v>23.604531410916575</v>
      </c>
      <c r="AA515" s="231">
        <v>31.122554067971166</v>
      </c>
      <c r="AB515" s="232" t="s">
        <v>2673</v>
      </c>
      <c r="AC515" s="231">
        <v>3.0547560374568801</v>
      </c>
      <c r="AD515">
        <f>IF('WetLitterbags placem_collection'!AB76="","",'WetLitterbags placem_collection'!AB76)</f>
        <v>7.7</v>
      </c>
      <c r="AE515">
        <f>IF('WetLitterbags placem_collection'!Z76="","",'WetLitterbags placem_collection'!Z76)</f>
        <v>9.4</v>
      </c>
      <c r="AF515" s="246" t="str">
        <f>IF('WetLitterbags placem_collection'!AA76="","",'WetLitterbags placem_collection'!AA76)</f>
        <v>M</v>
      </c>
      <c r="AG515">
        <f>IF('WetLitterbags placem_collection'!AC76="","",'WetLitterbags placem_collection'!AC76)</f>
        <v>1</v>
      </c>
      <c r="AH515" s="24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placem_collection'!X76)),"YES","NO")</f>
        <v>NO</v>
      </c>
      <c r="AM515" t="str">
        <f>IF(ISNUMBER(SEARCH("H", 'WetLitterbags placem_collection'!X76)),"YES","NO")</f>
        <v>NO</v>
      </c>
      <c r="AN515" t="str">
        <f>IF(ISNUMBER(SEARCH("R", 'WetLitterbags placem_collection'!X76)),"YES","NO")</f>
        <v>YES</v>
      </c>
    </row>
    <row r="516" spans="1:40" ht="15" customHeight="1">
      <c r="A516" s="258" t="s">
        <v>2460</v>
      </c>
      <c r="B516" s="263">
        <f>'Dry_Litterbag Placem_Collection'!A77</f>
        <v>75</v>
      </c>
      <c r="C516" s="263" t="str">
        <f>'Dry_Litterbag Placem_Collection'!B77</f>
        <v>Maswa</v>
      </c>
      <c r="D516" s="263" t="s">
        <v>2659</v>
      </c>
      <c r="E516" s="263" t="s">
        <v>2661</v>
      </c>
      <c r="F516" s="263">
        <v>2</v>
      </c>
      <c r="G516" s="264" t="str">
        <f>'Dry_Litterbag Placem_Collection'!C77</f>
        <v>Dry_W2_T3</v>
      </c>
      <c r="H516" s="273" t="s">
        <v>3651</v>
      </c>
      <c r="I516" s="266" t="s">
        <v>1147</v>
      </c>
      <c r="J516" s="223" t="str">
        <f>'WetLitterbags placem_collection'!O77</f>
        <v>G373</v>
      </c>
      <c r="K516" s="225">
        <f>IFERROR(INDEX('Green_rooibos initial weight'!$C$5:$C$1749,MATCH(J516, 'Green_rooibos initial weight'!$A$5:$A$1749,0)),"")</f>
        <v>2.1</v>
      </c>
      <c r="L516" s="225">
        <f>IFERROR(K516-(TBIcalc!$H$9+TBIcalc!$H$10),"")</f>
        <v>1.8502000000000001</v>
      </c>
      <c r="M516" s="391">
        <f>AVERAGE(Ashed_controlls!$K$2:$K$11)</f>
        <v>5.5147656768714146</v>
      </c>
      <c r="N516" s="225">
        <f t="shared" si="44"/>
        <v>1.7481658054465252</v>
      </c>
      <c r="O516" s="225">
        <f>IF(IFERROR(INDEX('Both teabags AfterWet'!$C$3:$C$841,MATCH(J516,'Both teabags AfterWet'!$A$3:$A$841,0)),"")="","",(IFERROR(INDEX('Both teabags AfterWet'!$C$3:$C$841,MATCH(J516,'Both teabags AfterWet'!$A$3:$A$841,0)),"")))</f>
        <v>0.93330000000000002</v>
      </c>
      <c r="P516" s="225">
        <f>IFERROR(IF(O516&gt;0,O516-(TBIcalc!$H$9),""),"")</f>
        <v>0.78269999999999995</v>
      </c>
      <c r="Q516" s="225">
        <f>IFERROR(INDEX('Ashed teabags wet'!$K$2:$K$821,MATCH(J516,'Ashed teabags wet'!$A$2:$A$821,0)),"")</f>
        <v>10.547263681591955</v>
      </c>
      <c r="R516" s="225">
        <f t="shared" si="42"/>
        <v>0.70014656716417978</v>
      </c>
      <c r="S516" s="226">
        <f>'WetLitterbags placem_collection'!E77</f>
        <v>42767</v>
      </c>
      <c r="T516" s="226">
        <f>IF('WetLitterbags placem_collection'!G77="","",'WetLitterbags placem_collection'!G77)</f>
        <v>42818</v>
      </c>
      <c r="U516" s="227">
        <f t="shared" si="43"/>
        <v>51</v>
      </c>
      <c r="V516" s="225">
        <f t="shared" si="45"/>
        <v>1.0675000000000001</v>
      </c>
      <c r="W516" s="225">
        <f t="shared" si="46"/>
        <v>1.0480192382823454</v>
      </c>
      <c r="X516">
        <f>IFERROR(INDEX(Rainfall_Wet!$O$2:$O$217,MATCH(B516, Rainfall_Wet!$A$2:$A$217,0)),"")</f>
        <v>185.630065823</v>
      </c>
      <c r="Y516" s="231">
        <v>45.272914521112256</v>
      </c>
      <c r="Z516" s="231">
        <v>23.604531410916575</v>
      </c>
      <c r="AA516" s="231">
        <v>31.122554067971166</v>
      </c>
      <c r="AB516" s="232" t="s">
        <v>2673</v>
      </c>
      <c r="AC516" s="231">
        <v>4.0547560374568796</v>
      </c>
      <c r="AD516">
        <f>IF('WetLitterbags placem_collection'!AB77="","",'WetLitterbags placem_collection'!AB77)</f>
        <v>6.1</v>
      </c>
      <c r="AE516">
        <f>IF('WetLitterbags placem_collection'!Z77="","",'WetLitterbags placem_collection'!Z77)</f>
        <v>13.8</v>
      </c>
      <c r="AF516" s="246" t="str">
        <f>IF('WetLitterbags placem_collection'!AA77="","",'WetLitterbags placem_collection'!AA77)</f>
        <v>O</v>
      </c>
      <c r="AG516">
        <f>IF('WetLitterbags placem_collection'!AC77="","",'WetLitterbags placem_collection'!AC77)</f>
        <v>0</v>
      </c>
      <c r="AH516" s="24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placem_collection'!X77)),"YES","NO")</f>
        <v>NO</v>
      </c>
      <c r="AM516" t="str">
        <f>IF(ISNUMBER(SEARCH("H", 'WetLitterbags placem_collection'!X77)),"YES","NO")</f>
        <v>NO</v>
      </c>
      <c r="AN516" t="str">
        <f>IF(ISNUMBER(SEARCH("R", 'WetLitterbags placem_collection'!X77)),"YES","NO")</f>
        <v>YES</v>
      </c>
    </row>
    <row r="517" spans="1:40" ht="15" customHeight="1">
      <c r="A517" s="258" t="s">
        <v>2460</v>
      </c>
      <c r="B517" s="263">
        <f>'Dry_Litterbag Placem_Collection'!A78</f>
        <v>76</v>
      </c>
      <c r="C517" s="263" t="str">
        <f>'Dry_Litterbag Placem_Collection'!B78</f>
        <v>Maswa</v>
      </c>
      <c r="D517" s="263" t="s">
        <v>2659</v>
      </c>
      <c r="E517" s="263" t="s">
        <v>2661</v>
      </c>
      <c r="F517" s="263">
        <v>2</v>
      </c>
      <c r="G517" s="264" t="str">
        <f>'Dry_Litterbag Placem_Collection'!C78</f>
        <v>Dry_W2_T4</v>
      </c>
      <c r="H517" s="273" t="s">
        <v>3651</v>
      </c>
      <c r="I517" s="266" t="s">
        <v>1147</v>
      </c>
      <c r="J517" s="223" t="str">
        <f>'WetLitterbags placem_collection'!O78</f>
        <v>G603</v>
      </c>
      <c r="K517" s="225">
        <f>IFERROR(INDEX('Green_rooibos initial weight'!$C$5:$C$1749,MATCH(J517, 'Green_rooibos initial weight'!$A$5:$A$1749,0)),"")</f>
        <v>2.0430000000000001</v>
      </c>
      <c r="L517" s="225">
        <f>IFERROR(K517-(TBIcalc!$H$9+TBIcalc!$H$10),"")</f>
        <v>1.7932000000000001</v>
      </c>
      <c r="M517" s="391">
        <f>AVERAGE(Ashed_controlls!$K$2:$K$11)</f>
        <v>5.5147656768714146</v>
      </c>
      <c r="N517" s="225">
        <f t="shared" si="44"/>
        <v>1.6943092218823419</v>
      </c>
      <c r="O517" s="225">
        <f>IF(IFERROR(INDEX('Both teabags AfterWet'!$C$3:$C$841,MATCH(J517,'Both teabags AfterWet'!$A$3:$A$841,0)),"")="","",(IFERROR(INDEX('Both teabags AfterWet'!$C$3:$C$841,MATCH(J517,'Both teabags AfterWet'!$A$3:$A$841,0)),"")))</f>
        <v>0.82299999999999995</v>
      </c>
      <c r="P517" s="225">
        <f>IFERROR(IF(O517&gt;0,O517-(TBIcalc!$H$9),""),"")</f>
        <v>0.67239999999999989</v>
      </c>
      <c r="Q517" s="225">
        <f>IFERROR(INDEX('Ashed teabags wet'!$K$2:$K$821,MATCH(J517,'Ashed teabags wet'!$A$2:$A$821,0)),"")</f>
        <v>8.9330024813902469</v>
      </c>
      <c r="R517" s="225">
        <f t="shared" si="42"/>
        <v>0.61233449131513185</v>
      </c>
      <c r="S517" s="226">
        <f>'WetLitterbags placem_collection'!E78</f>
        <v>42767</v>
      </c>
      <c r="T517" s="226">
        <f>IF('WetLitterbags placem_collection'!G78="","",'WetLitterbags placem_collection'!G78)</f>
        <v>42818</v>
      </c>
      <c r="U517" s="227">
        <f t="shared" si="43"/>
        <v>51</v>
      </c>
      <c r="V517" s="225">
        <f t="shared" si="45"/>
        <v>1.1208000000000002</v>
      </c>
      <c r="W517" s="225">
        <f t="shared" si="46"/>
        <v>1.0819747305672101</v>
      </c>
      <c r="X517">
        <f>IFERROR(INDEX(Rainfall_Wet!$O$2:$O$217,MATCH(B517, Rainfall_Wet!$A$2:$A$217,0)),"")</f>
        <v>185.630065823</v>
      </c>
      <c r="Y517" s="231">
        <v>45.272914521112256</v>
      </c>
      <c r="Z517" s="231">
        <v>23.604531410916575</v>
      </c>
      <c r="AA517" s="231">
        <v>31.122554067971166</v>
      </c>
      <c r="AB517" s="232" t="s">
        <v>2673</v>
      </c>
      <c r="AC517" s="231">
        <v>5.0547560374568796</v>
      </c>
      <c r="AD517">
        <f>IF('WetLitterbags placem_collection'!AB78="","",'WetLitterbags placem_collection'!AB78)</f>
        <v>6.7</v>
      </c>
      <c r="AE517">
        <f>IF('WetLitterbags placem_collection'!Z78="","",'WetLitterbags placem_collection'!Z78)</f>
        <v>19.3</v>
      </c>
      <c r="AF517" s="246" t="str">
        <f>IF('WetLitterbags placem_collection'!AA78="","",'WetLitterbags placem_collection'!AA78)</f>
        <v>M</v>
      </c>
      <c r="AG517">
        <f>IF('WetLitterbags placem_collection'!AC78="","",'WetLitterbags placem_collection'!AC78)</f>
        <v>1</v>
      </c>
      <c r="AH517" s="24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placem_collection'!X78)),"YES","NO")</f>
        <v>NO</v>
      </c>
      <c r="AM517" t="str">
        <f>IF(ISNUMBER(SEARCH("H", 'WetLitterbags placem_collection'!X78)),"YES","NO")</f>
        <v>NO</v>
      </c>
      <c r="AN517" t="str">
        <f>IF(ISNUMBER(SEARCH("R", 'WetLitterbags placem_collection'!X78)),"YES","NO")</f>
        <v>YES</v>
      </c>
    </row>
    <row r="518" spans="1:40" ht="15" customHeight="1">
      <c r="A518" s="258" t="s">
        <v>2460</v>
      </c>
      <c r="B518" s="263">
        <f>'Dry_Litterbag Placem_Collection'!A79</f>
        <v>77</v>
      </c>
      <c r="C518" s="263" t="str">
        <f>'Dry_Litterbag Placem_Collection'!B79</f>
        <v>Maswa</v>
      </c>
      <c r="D518" s="263" t="s">
        <v>2659</v>
      </c>
      <c r="E518" s="263" t="s">
        <v>2661</v>
      </c>
      <c r="F518" s="263">
        <v>2</v>
      </c>
      <c r="G518" s="264" t="str">
        <f>'Dry_Litterbag Placem_Collection'!C79</f>
        <v>Dry_W2_T5</v>
      </c>
      <c r="H518" s="273" t="s">
        <v>3651</v>
      </c>
      <c r="I518" s="266" t="s">
        <v>1147</v>
      </c>
      <c r="J518" s="223" t="str">
        <f>'WetLitterbags placem_collection'!O79</f>
        <v>G509</v>
      </c>
      <c r="K518" s="225">
        <f>IFERROR(INDEX('Green_rooibos initial weight'!$C$5:$C$1749,MATCH(J518, 'Green_rooibos initial weight'!$A$5:$A$1749,0)),"")</f>
        <v>2.048</v>
      </c>
      <c r="L518" s="225">
        <f>IFERROR(K518-(TBIcalc!$H$9+TBIcalc!$H$10),"")</f>
        <v>1.7982</v>
      </c>
      <c r="M518" s="391">
        <f>AVERAGE(Ashed_controlls!$K$2:$K$11)</f>
        <v>5.5147656768714146</v>
      </c>
      <c r="N518" s="225">
        <f t="shared" si="44"/>
        <v>1.6990334835984982</v>
      </c>
      <c r="O518" s="225">
        <f>IF(IFERROR(INDEX('Both teabags AfterWet'!$C$3:$C$841,MATCH(J518,'Both teabags AfterWet'!$A$3:$A$841,0)),"")="","",(IFERROR(INDEX('Both teabags AfterWet'!$C$3:$C$841,MATCH(J518,'Both teabags AfterWet'!$A$3:$A$841,0)),"")))</f>
        <v>1.012</v>
      </c>
      <c r="P518" s="225">
        <f>IFERROR(IF(O518&gt;0,O518-(TBIcalc!$H$9),""),"")</f>
        <v>0.86139999999999994</v>
      </c>
      <c r="Q518" s="228">
        <f>IFERROR(INDEX('Ashed teabags wet'!$K$2:$K$821,MATCH(J518,'Ashed teabags wet'!$A$2:$A$821,0)),"")</f>
        <v>0.1847000000000012</v>
      </c>
      <c r="R518" s="225">
        <f t="shared" si="42"/>
        <v>0.8598089941999999</v>
      </c>
      <c r="S518" s="226">
        <f>'WetLitterbags placem_collection'!E79</f>
        <v>42767</v>
      </c>
      <c r="T518" s="226">
        <f>IF('WetLitterbags placem_collection'!G79="","",'WetLitterbags placem_collection'!G79)</f>
        <v>42818</v>
      </c>
      <c r="U518" s="227">
        <f t="shared" si="43"/>
        <v>51</v>
      </c>
      <c r="V518" s="225">
        <f t="shared" si="45"/>
        <v>0.93680000000000008</v>
      </c>
      <c r="W518" s="225">
        <f t="shared" si="46"/>
        <v>0.83922448939849825</v>
      </c>
      <c r="X518">
        <f>IFERROR(INDEX(Rainfall_Wet!$O$2:$O$217,MATCH(B518, Rainfall_Wet!$A$2:$A$217,0)),"")</f>
        <v>185.630065823</v>
      </c>
      <c r="Y518" s="231">
        <v>45.272914521112256</v>
      </c>
      <c r="Z518" s="231">
        <v>23.604531410916575</v>
      </c>
      <c r="AA518" s="231">
        <v>31.122554067971166</v>
      </c>
      <c r="AB518" s="232" t="s">
        <v>2673</v>
      </c>
      <c r="AC518" s="231">
        <v>6.0547560374568796</v>
      </c>
      <c r="AD518">
        <f>IF('WetLitterbags placem_collection'!AB79="","",'WetLitterbags placem_collection'!AB79)</f>
        <v>3.1</v>
      </c>
      <c r="AE518">
        <f>IF('WetLitterbags placem_collection'!Z79="","",'WetLitterbags placem_collection'!Z79)</f>
        <v>9.8000000000000007</v>
      </c>
      <c r="AF518" s="246" t="str">
        <f>IF('WetLitterbags placem_collection'!AA79="","",'WetLitterbags placem_collection'!AA79)</f>
        <v>O</v>
      </c>
      <c r="AG518">
        <f>IF('WetLitterbags placem_collection'!AC79="","",'WetLitterbags placem_collection'!AC79)</f>
        <v>1</v>
      </c>
      <c r="AH518" s="24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placem_collection'!X79)),"YES","NO")</f>
        <v>NO</v>
      </c>
      <c r="AM518" t="str">
        <f>IF(ISNUMBER(SEARCH("H", 'WetLitterbags placem_collection'!X79)),"YES","NO")</f>
        <v>NO</v>
      </c>
      <c r="AN518" t="str">
        <f>IF(ISNUMBER(SEARCH("R", 'WetLitterbags placem_collection'!X79)),"YES","NO")</f>
        <v>YES</v>
      </c>
    </row>
    <row r="519" spans="1:40" ht="15" customHeight="1">
      <c r="A519" s="258" t="s">
        <v>2460</v>
      </c>
      <c r="B519" s="263">
        <f>'Dry_Litterbag Placem_Collection'!A80</f>
        <v>78</v>
      </c>
      <c r="C519" s="263" t="str">
        <f>'Dry_Litterbag Placem_Collection'!B80</f>
        <v>Maswa</v>
      </c>
      <c r="D519" s="263" t="s">
        <v>2659</v>
      </c>
      <c r="E519" s="263" t="s">
        <v>2661</v>
      </c>
      <c r="F519" s="263">
        <v>2</v>
      </c>
      <c r="G519" s="264" t="str">
        <f>'Dry_Litterbag Placem_Collection'!C80</f>
        <v>Dry_W2_T6</v>
      </c>
      <c r="H519" s="273" t="s">
        <v>3651</v>
      </c>
      <c r="I519" s="266" t="s">
        <v>1147</v>
      </c>
      <c r="J519" s="223" t="str">
        <f>'WetLitterbags placem_collection'!O80</f>
        <v>G446</v>
      </c>
      <c r="K519" s="225">
        <f>IFERROR(INDEX('Green_rooibos initial weight'!$C$5:$C$1749,MATCH(J519, 'Green_rooibos initial weight'!$A$5:$A$1749,0)),"")</f>
        <v>1.9319999999999999</v>
      </c>
      <c r="L519" s="225">
        <f>IFERROR(K519-(TBIcalc!$H$9+TBIcalc!$H$10),"")</f>
        <v>1.6821999999999999</v>
      </c>
      <c r="M519" s="391">
        <f>AVERAGE(Ashed_controlls!$K$2:$K$11)</f>
        <v>5.5147656768714146</v>
      </c>
      <c r="N519" s="225">
        <f t="shared" si="44"/>
        <v>1.589430611783669</v>
      </c>
      <c r="O519" s="225">
        <f>IF(IFERROR(INDEX('Both teabags AfterWet'!$C$3:$C$841,MATCH(J519,'Both teabags AfterWet'!$A$3:$A$841,0)),"")="","",(IFERROR(INDEX('Both teabags AfterWet'!$C$3:$C$841,MATCH(J519,'Both teabags AfterWet'!$A$3:$A$841,0)),"")))</f>
        <v>0.77859999999999996</v>
      </c>
      <c r="P519" s="225">
        <f>IFERROR(IF(O519&gt;0,O519-(TBIcalc!$H$9),""),"")</f>
        <v>0.62799999999999989</v>
      </c>
      <c r="Q519" s="225">
        <f>IFERROR(INDEX('Ashed teabags wet'!$K$2:$K$821,MATCH(J519,'Ashed teabags wet'!$A$2:$A$821,0)),"")</f>
        <v>9.6451774112936519</v>
      </c>
      <c r="R519" s="225">
        <f t="shared" si="42"/>
        <v>0.56742828585707572</v>
      </c>
      <c r="S519" s="226">
        <f>'WetLitterbags placem_collection'!E80</f>
        <v>42767</v>
      </c>
      <c r="T519" s="226">
        <f>IF('WetLitterbags placem_collection'!G80="","",'WetLitterbags placem_collection'!G80)</f>
        <v>42818</v>
      </c>
      <c r="U519" s="227">
        <f t="shared" si="43"/>
        <v>51</v>
      </c>
      <c r="V519" s="225">
        <f t="shared" si="45"/>
        <v>1.0542</v>
      </c>
      <c r="W519" s="225">
        <f t="shared" si="46"/>
        <v>1.0220023259265933</v>
      </c>
      <c r="X519">
        <f>IFERROR(INDEX(Rainfall_Wet!$O$2:$O$217,MATCH(B519, Rainfall_Wet!$A$2:$A$217,0)),"")</f>
        <v>185.630065823</v>
      </c>
      <c r="Y519" s="231">
        <v>45.272914521112256</v>
      </c>
      <c r="Z519" s="231">
        <v>23.604531410916575</v>
      </c>
      <c r="AA519" s="231">
        <v>31.122554067971166</v>
      </c>
      <c r="AB519" s="232" t="s">
        <v>2673</v>
      </c>
      <c r="AC519" s="231">
        <v>7.0547560374568796</v>
      </c>
      <c r="AD519">
        <f>IF('WetLitterbags placem_collection'!AB80="","",'WetLitterbags placem_collection'!AB80)</f>
        <v>10.4</v>
      </c>
      <c r="AE519">
        <f>IF('WetLitterbags placem_collection'!Z80="","",'WetLitterbags placem_collection'!Z80)</f>
        <v>15.4</v>
      </c>
      <c r="AF519" s="246" t="str">
        <f>IF('WetLitterbags placem_collection'!AA80="","",'WetLitterbags placem_collection'!AA80)</f>
        <v>M</v>
      </c>
      <c r="AG519">
        <f>IF('WetLitterbags placem_collection'!AC80="","",'WetLitterbags placem_collection'!AC80)</f>
        <v>1</v>
      </c>
      <c r="AH519" s="24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placem_collection'!X80)),"YES","NO")</f>
        <v>NO</v>
      </c>
      <c r="AM519" t="str">
        <f>IF(ISNUMBER(SEARCH("H", 'WetLitterbags placem_collection'!X80)),"YES","NO")</f>
        <v>NO</v>
      </c>
      <c r="AN519" t="str">
        <f>IF(ISNUMBER(SEARCH("R", 'WetLitterbags placem_collection'!X80)),"YES","NO")</f>
        <v>YES</v>
      </c>
    </row>
    <row r="520" spans="1:40" ht="15" customHeight="1">
      <c r="A520" s="258" t="s">
        <v>2460</v>
      </c>
      <c r="B520" s="263">
        <f>'Dry_Litterbag Placem_Collection'!A81</f>
        <v>79</v>
      </c>
      <c r="C520" s="263" t="str">
        <f>'Dry_Litterbag Placem_Collection'!B81</f>
        <v>Maswa</v>
      </c>
      <c r="D520" s="263" t="s">
        <v>2659</v>
      </c>
      <c r="E520" s="263" t="s">
        <v>2661</v>
      </c>
      <c r="F520" s="263">
        <v>2</v>
      </c>
      <c r="G520" s="264" t="str">
        <f>'Dry_Litterbag Placem_Collection'!C81</f>
        <v>Dry_W2_T7</v>
      </c>
      <c r="H520" s="273" t="s">
        <v>3651</v>
      </c>
      <c r="I520" s="266" t="s">
        <v>1147</v>
      </c>
      <c r="J520" s="223" t="str">
        <f>'WetLitterbags placem_collection'!O81</f>
        <v>G249</v>
      </c>
      <c r="K520" s="225">
        <f>IFERROR(INDEX('Green_rooibos initial weight'!$C$5:$C$1749,MATCH(J520, 'Green_rooibos initial weight'!$A$5:$A$1749,0)),"")</f>
        <v>2.0219999999999998</v>
      </c>
      <c r="L520" s="225">
        <f>IFERROR(K520-(TBIcalc!$H$9+TBIcalc!$H$10),"")</f>
        <v>1.7721999999999998</v>
      </c>
      <c r="M520" s="391">
        <f>AVERAGE(Ashed_controlls!$K$2:$K$11)</f>
        <v>5.5147656768714146</v>
      </c>
      <c r="N520" s="225">
        <f t="shared" si="44"/>
        <v>1.6744673226744846</v>
      </c>
      <c r="O520" s="225">
        <f>IF(IFERROR(INDEX('Both teabags AfterWet'!$C$3:$C$841,MATCH(J520,'Both teabags AfterWet'!$A$3:$A$841,0)),"")="","",(IFERROR(INDEX('Both teabags AfterWet'!$C$3:$C$841,MATCH(J520,'Both teabags AfterWet'!$A$3:$A$841,0)),"")))</f>
        <v>0.97550000000000003</v>
      </c>
      <c r="P520" s="225">
        <f>IFERROR(IF(O520&gt;0,O520-(TBIcalc!$H$9),""),"")</f>
        <v>0.82489999999999997</v>
      </c>
      <c r="Q520" s="225">
        <f>IFERROR(INDEX('Ashed teabags wet'!$K$2:$K$821,MATCH(J520,'Ashed teabags wet'!$A$2:$A$821,0)),"")</f>
        <v>18.702865761691211</v>
      </c>
      <c r="R520" s="225">
        <f t="shared" si="42"/>
        <v>0.6706200603318091</v>
      </c>
      <c r="S520" s="226">
        <f>'WetLitterbags placem_collection'!E81</f>
        <v>42767</v>
      </c>
      <c r="T520" s="226">
        <f>IF('WetLitterbags placem_collection'!G81="","",'WetLitterbags placem_collection'!G81)</f>
        <v>42818</v>
      </c>
      <c r="U520" s="227">
        <f t="shared" si="43"/>
        <v>51</v>
      </c>
      <c r="V520" s="225">
        <f t="shared" si="45"/>
        <v>0.94729999999999981</v>
      </c>
      <c r="W520" s="225">
        <f t="shared" si="46"/>
        <v>1.0038472623426755</v>
      </c>
      <c r="X520">
        <f>IFERROR(INDEX(Rainfall_Wet!$O$2:$O$217,MATCH(B520, Rainfall_Wet!$A$2:$A$217,0)),"")</f>
        <v>185.630065823</v>
      </c>
      <c r="Y520" s="231">
        <v>45.272914521112256</v>
      </c>
      <c r="Z520" s="231">
        <v>23.604531410916575</v>
      </c>
      <c r="AA520" s="231">
        <v>31.122554067971166</v>
      </c>
      <c r="AB520" s="232" t="s">
        <v>2673</v>
      </c>
      <c r="AC520" s="231">
        <v>8.0547560374568796</v>
      </c>
      <c r="AD520">
        <f>IF('WetLitterbags placem_collection'!AB81="","",'WetLitterbags placem_collection'!AB81)</f>
        <v>3</v>
      </c>
      <c r="AE520">
        <f>IF('WetLitterbags placem_collection'!Z81="","",'WetLitterbags placem_collection'!Z81)</f>
        <v>5</v>
      </c>
      <c r="AF520" s="246" t="str">
        <f>IF('WetLitterbags placem_collection'!AA81="","",'WetLitterbags placem_collection'!AA81)</f>
        <v>G</v>
      </c>
      <c r="AG520">
        <f>IF('WetLitterbags placem_collection'!AC81="","",'WetLitterbags placem_collection'!AC81)</f>
        <v>1</v>
      </c>
      <c r="AH520" s="24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placem_collection'!X81)),"YES","NO")</f>
        <v>NO</v>
      </c>
      <c r="AM520" t="str">
        <f>IF(ISNUMBER(SEARCH("H", 'WetLitterbags placem_collection'!X81)),"YES","NO")</f>
        <v>NO</v>
      </c>
      <c r="AN520" t="str">
        <f>IF(ISNUMBER(SEARCH("R", 'WetLitterbags placem_collection'!X81)),"YES","NO")</f>
        <v>YES</v>
      </c>
    </row>
    <row r="521" spans="1:40" ht="15" customHeight="1">
      <c r="A521" s="258" t="s">
        <v>2460</v>
      </c>
      <c r="B521" s="263">
        <f>'Dry_Litterbag Placem_Collection'!A82</f>
        <v>80</v>
      </c>
      <c r="C521" s="263" t="str">
        <f>'Dry_Litterbag Placem_Collection'!B82</f>
        <v>Maswa</v>
      </c>
      <c r="D521" s="263" t="s">
        <v>2659</v>
      </c>
      <c r="E521" s="263" t="s">
        <v>2661</v>
      </c>
      <c r="F521" s="263">
        <v>2</v>
      </c>
      <c r="G521" s="264" t="str">
        <f>'Dry_Litterbag Placem_Collection'!C82</f>
        <v>Dry_W2_T8</v>
      </c>
      <c r="H521" s="273" t="s">
        <v>3651</v>
      </c>
      <c r="I521" s="266" t="s">
        <v>1147</v>
      </c>
      <c r="J521" s="223" t="str">
        <f>'WetLitterbags placem_collection'!O82</f>
        <v>G474</v>
      </c>
      <c r="K521" s="225">
        <f>IFERROR(INDEX('Green_rooibos initial weight'!$C$5:$C$1749,MATCH(J521, 'Green_rooibos initial weight'!$A$5:$A$1749,0)),"")</f>
        <v>2.1930000000000001</v>
      </c>
      <c r="L521" s="225">
        <f>IFERROR(K521-(TBIcalc!$H$9+TBIcalc!$H$10),"")</f>
        <v>1.9432</v>
      </c>
      <c r="M521" s="391">
        <f>AVERAGE(Ashed_controlls!$K$2:$K$11)</f>
        <v>5.5147656768714146</v>
      </c>
      <c r="N521" s="225">
        <f t="shared" si="44"/>
        <v>1.8360370733670348</v>
      </c>
      <c r="O521" s="225">
        <f>IF(IFERROR(INDEX('Both teabags AfterWet'!$C$3:$C$841,MATCH(J521,'Both teabags AfterWet'!$A$3:$A$841,0)),"")="","",(IFERROR(INDEX('Both teabags AfterWet'!$C$3:$C$841,MATCH(J521,'Both teabags AfterWet'!$A$3:$A$841,0)),"")))</f>
        <v>1.0009999999999999</v>
      </c>
      <c r="P521" s="225">
        <f>IFERROR(IF(O521&gt;0,O521-(TBIcalc!$H$9),""),"")</f>
        <v>0.85039999999999982</v>
      </c>
      <c r="Q521" s="225">
        <f>IFERROR(INDEX('Ashed teabags wet'!$K$2:$K$821,MATCH(J521,'Ashed teabags wet'!$A$2:$A$821,0)),"")</f>
        <v>5.8354114713218834</v>
      </c>
      <c r="R521" s="225">
        <f t="shared" si="42"/>
        <v>0.80077566084787855</v>
      </c>
      <c r="S521" s="226">
        <f>'WetLitterbags placem_collection'!E82</f>
        <v>42767</v>
      </c>
      <c r="T521" s="226">
        <f>IF('WetLitterbags placem_collection'!G82="","",'WetLitterbags placem_collection'!G82)</f>
        <v>42818</v>
      </c>
      <c r="U521" s="227">
        <f t="shared" si="43"/>
        <v>51</v>
      </c>
      <c r="V521" s="225">
        <f t="shared" si="45"/>
        <v>1.0928000000000002</v>
      </c>
      <c r="W521" s="225">
        <f t="shared" si="46"/>
        <v>1.0352614125191564</v>
      </c>
      <c r="X521">
        <f>IFERROR(INDEX(Rainfall_Wet!$O$2:$O$217,MATCH(B521, Rainfall_Wet!$A$2:$A$217,0)),"")</f>
        <v>185.630065823</v>
      </c>
      <c r="Y521" s="231">
        <v>45.272914521112256</v>
      </c>
      <c r="Z521" s="231">
        <v>23.604531410916575</v>
      </c>
      <c r="AA521" s="231">
        <v>31.122554067971166</v>
      </c>
      <c r="AB521" s="232" t="s">
        <v>2673</v>
      </c>
      <c r="AC521" s="231">
        <v>9.0547560374568796</v>
      </c>
      <c r="AD521">
        <f>IF('WetLitterbags placem_collection'!AB82="","",'WetLitterbags placem_collection'!AB82)</f>
        <v>2.7</v>
      </c>
      <c r="AE521">
        <f>IF('WetLitterbags placem_collection'!Z82="","",'WetLitterbags placem_collection'!Z82)</f>
        <v>12.4</v>
      </c>
      <c r="AF521" s="246" t="str">
        <f>IF('WetLitterbags placem_collection'!AA82="","",'WetLitterbags placem_collection'!AA82)</f>
        <v>O</v>
      </c>
      <c r="AG521">
        <f>IF('WetLitterbags placem_collection'!AC82="","",'WetLitterbags placem_collection'!AC82)</f>
        <v>1</v>
      </c>
      <c r="AH521" s="24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placem_collection'!X82)),"YES","NO")</f>
        <v>NO</v>
      </c>
      <c r="AM521" t="str">
        <f>IF(ISNUMBER(SEARCH("H", 'WetLitterbags placem_collection'!X82)),"YES","NO")</f>
        <v>NO</v>
      </c>
      <c r="AN521" t="str">
        <f>IF(ISNUMBER(SEARCH("R", 'WetLitterbags placem_collection'!X82)),"YES","NO")</f>
        <v>YES</v>
      </c>
    </row>
    <row r="522" spans="1:40" ht="15" customHeight="1">
      <c r="A522" s="258" t="s">
        <v>2460</v>
      </c>
      <c r="B522" s="263">
        <f>'Dry_Litterbag Placem_Collection'!A83</f>
        <v>81</v>
      </c>
      <c r="C522" s="263" t="str">
        <f>'Dry_Litterbag Placem_Collection'!B83</f>
        <v>Maswa</v>
      </c>
      <c r="D522" s="263" t="s">
        <v>2659</v>
      </c>
      <c r="E522" s="263" t="s">
        <v>2661</v>
      </c>
      <c r="F522" s="263">
        <v>3</v>
      </c>
      <c r="G522" s="264" t="str">
        <f>'Dry_Litterbag Placem_Collection'!C83</f>
        <v>Dry_W3_T1</v>
      </c>
      <c r="H522" s="273" t="s">
        <v>3651</v>
      </c>
      <c r="I522" s="266" t="s">
        <v>1147</v>
      </c>
      <c r="J522" s="223" t="str">
        <f>'WetLitterbags placem_collection'!O83</f>
        <v>G475</v>
      </c>
      <c r="K522" s="225">
        <f>IFERROR(INDEX('Green_rooibos initial weight'!$C$5:$C$1749,MATCH(J522, 'Green_rooibos initial weight'!$A$5:$A$1749,0)),"")</f>
        <v>2.0110000000000001</v>
      </c>
      <c r="L522" s="225">
        <f>IFERROR(K522-(TBIcalc!$H$9+TBIcalc!$H$10),"")</f>
        <v>1.7612000000000001</v>
      </c>
      <c r="M522" s="391">
        <f>AVERAGE(Ashed_controlls!$K$2:$K$11)</f>
        <v>5.5147656768714146</v>
      </c>
      <c r="N522" s="225">
        <f t="shared" si="44"/>
        <v>1.6640739468989407</v>
      </c>
      <c r="O522" s="225">
        <f>IF(IFERROR(INDEX('Both teabags AfterWet'!$C$3:$C$841,MATCH(J522,'Both teabags AfterWet'!$A$3:$A$841,0)),"")="","",(IFERROR(INDEX('Both teabags AfterWet'!$C$3:$C$841,MATCH(J522,'Both teabags AfterWet'!$A$3:$A$841,0)),"")))</f>
        <v>0.65200000000000002</v>
      </c>
      <c r="P522" s="225">
        <f>IFERROR(IF(O522&gt;0,O522-(TBIcalc!$H$9),""),"")</f>
        <v>0.50140000000000007</v>
      </c>
      <c r="Q522" s="225">
        <f>IFERROR(INDEX('Ashed teabags wet'!$K$2:$K$821,MATCH(J522,'Ashed teabags wet'!$A$2:$A$821,0)),"")</f>
        <v>11.582626060908067</v>
      </c>
      <c r="R522" s="225">
        <f t="shared" si="42"/>
        <v>0.44332471293060699</v>
      </c>
      <c r="S522" s="226">
        <f>'WetLitterbags placem_collection'!E83</f>
        <v>42767</v>
      </c>
      <c r="T522" s="226">
        <f>IF('WetLitterbags placem_collection'!G83="","",'WetLitterbags placem_collection'!G83)</f>
        <v>42818</v>
      </c>
      <c r="U522" s="227">
        <f t="shared" si="43"/>
        <v>51</v>
      </c>
      <c r="V522" s="225">
        <f t="shared" si="45"/>
        <v>1.2598</v>
      </c>
      <c r="W522" s="225">
        <f t="shared" si="46"/>
        <v>1.2207492339683337</v>
      </c>
      <c r="X522">
        <f>IFERROR(INDEX(Rainfall_Wet!$O$2:$O$217,MATCH(B522, Rainfall_Wet!$A$2:$A$217,0)),"")</f>
        <v>185.01185076100001</v>
      </c>
      <c r="Y522" s="231">
        <v>38.691629007962128</v>
      </c>
      <c r="Z522" s="231">
        <v>26.81299763288143</v>
      </c>
      <c r="AA522" s="231">
        <v>34.495373359156439</v>
      </c>
      <c r="AB522" s="232" t="s">
        <v>2675</v>
      </c>
      <c r="AC522" s="231">
        <v>2.5483587974371611</v>
      </c>
      <c r="AD522">
        <f>IF('WetLitterbags placem_collection'!AB83="","",'WetLitterbags placem_collection'!AB83)</f>
        <v>6.2</v>
      </c>
      <c r="AE522">
        <f>IF('WetLitterbags placem_collection'!Z83="","",'WetLitterbags placem_collection'!Z83)</f>
        <v>13.3</v>
      </c>
      <c r="AF522" s="246" t="str">
        <f>IF('WetLitterbags placem_collection'!AA83="","",'WetLitterbags placem_collection'!AA83)</f>
        <v>O</v>
      </c>
      <c r="AG522">
        <f>IF('WetLitterbags placem_collection'!AC83="","",'WetLitterbags placem_collection'!AC83)</f>
        <v>0</v>
      </c>
      <c r="AH522" s="24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placem_collection'!X83)),"YES","NO")</f>
        <v>NO</v>
      </c>
      <c r="AM522" t="str">
        <f>IF(ISNUMBER(SEARCH("H", 'WetLitterbags placem_collection'!X83)),"YES","NO")</f>
        <v>NO</v>
      </c>
      <c r="AN522" t="str">
        <f>IF(ISNUMBER(SEARCH("R", 'WetLitterbags placem_collection'!X83)),"YES","NO")</f>
        <v>YES</v>
      </c>
    </row>
    <row r="523" spans="1:40" ht="15" customHeight="1">
      <c r="A523" s="258" t="s">
        <v>2460</v>
      </c>
      <c r="B523" s="263">
        <f>'Dry_Litterbag Placem_Collection'!A84</f>
        <v>82</v>
      </c>
      <c r="C523" s="263" t="str">
        <f>'Dry_Litterbag Placem_Collection'!B84</f>
        <v>Maswa</v>
      </c>
      <c r="D523" s="263" t="s">
        <v>2659</v>
      </c>
      <c r="E523" s="263" t="s">
        <v>2661</v>
      </c>
      <c r="F523" s="263">
        <v>3</v>
      </c>
      <c r="G523" s="264" t="str">
        <f>'Dry_Litterbag Placem_Collection'!C84</f>
        <v>Dry_W3_T2</v>
      </c>
      <c r="H523" s="273" t="s">
        <v>3651</v>
      </c>
      <c r="I523" s="266" t="s">
        <v>1147</v>
      </c>
      <c r="J523" s="223" t="str">
        <f>'WetLitterbags placem_collection'!O84</f>
        <v>G840</v>
      </c>
      <c r="K523" s="225">
        <f>IFERROR(INDEX('Green_rooibos initial weight'!$C$5:$C$1749,MATCH(J523, 'Green_rooibos initial weight'!$A$5:$A$1749,0)),"")</f>
        <v>2.056</v>
      </c>
      <c r="L523" s="225">
        <f>IFERROR(K523-(TBIcalc!$H$9+TBIcalc!$H$10),"")</f>
        <v>1.8062</v>
      </c>
      <c r="M523" s="391">
        <f>AVERAGE(Ashed_controlls!$K$2:$K$11)</f>
        <v>5.5147656768714146</v>
      </c>
      <c r="N523" s="225">
        <f t="shared" si="44"/>
        <v>1.7065923023443486</v>
      </c>
      <c r="O523" s="225">
        <f>IF(IFERROR(INDEX('Both teabags AfterWet'!$C$3:$C$841,MATCH(J523,'Both teabags AfterWet'!$A$3:$A$841,0)),"")="","",(IFERROR(INDEX('Both teabags AfterWet'!$C$3:$C$841,MATCH(J523,'Both teabags AfterWet'!$A$3:$A$841,0)),"")))</f>
        <v>0.74299999999999999</v>
      </c>
      <c r="P523" s="225">
        <f>IFERROR(IF(O523&gt;0,O523-(TBIcalc!$H$9),""),"")</f>
        <v>0.59240000000000004</v>
      </c>
      <c r="Q523" s="225">
        <f>IFERROR(INDEX('Ashed teabags wet'!$K$2:$K$821,MATCH(J523,'Ashed teabags wet'!$A$2:$A$821,0)),"")</f>
        <v>8.3909180651525794</v>
      </c>
      <c r="R523" s="225">
        <f t="shared" ref="R523:R586" si="47">IFERROR(P523-(Q523/100)*P523,"")</f>
        <v>0.54269220138203611</v>
      </c>
      <c r="S523" s="226">
        <f>'WetLitterbags placem_collection'!E84</f>
        <v>42767</v>
      </c>
      <c r="T523" s="226">
        <f>IF('WetLitterbags placem_collection'!G84="","",'WetLitterbags placem_collection'!G84)</f>
        <v>42819</v>
      </c>
      <c r="U523" s="227">
        <f t="shared" si="43"/>
        <v>52</v>
      </c>
      <c r="V523" s="225">
        <f t="shared" si="45"/>
        <v>1.2138</v>
      </c>
      <c r="W523" s="225">
        <f t="shared" si="46"/>
        <v>1.1639001009623124</v>
      </c>
      <c r="X523">
        <f>IFERROR(INDEX(Rainfall_Wet!$O$2:$O$217,MATCH(B523, Rainfall_Wet!$A$2:$A$217,0)),"")</f>
        <v>194.93009798400001</v>
      </c>
      <c r="Y523" s="231">
        <v>38.691629007962128</v>
      </c>
      <c r="Z523" s="231">
        <v>26.81299763288143</v>
      </c>
      <c r="AA523" s="231">
        <v>34.495373359156439</v>
      </c>
      <c r="AB523" s="232" t="s">
        <v>2675</v>
      </c>
      <c r="AC523" s="231">
        <v>3.5483587974371602</v>
      </c>
      <c r="AD523">
        <f>IF('WetLitterbags placem_collection'!AB84="","",'WetLitterbags placem_collection'!AB84)</f>
        <v>2.4</v>
      </c>
      <c r="AE523">
        <f>IF('WetLitterbags placem_collection'!Z84="","",'WetLitterbags placem_collection'!Z84)</f>
        <v>16.600000000000001</v>
      </c>
      <c r="AF523" s="246" t="str">
        <f>IF('WetLitterbags placem_collection'!AA84="","",'WetLitterbags placem_collection'!AA84)</f>
        <v>O</v>
      </c>
      <c r="AG523" t="str">
        <f>IF('WetLitterbags placem_collection'!AC84="","",'WetLitterbags placem_collection'!AC84)</f>
        <v/>
      </c>
      <c r="AH523" s="24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placem_collection'!X84)),"YES","NO")</f>
        <v>NO</v>
      </c>
      <c r="AM523" t="str">
        <f>IF(ISNUMBER(SEARCH("H", 'WetLitterbags placem_collection'!X84)),"YES","NO")</f>
        <v>NO</v>
      </c>
      <c r="AN523" t="str">
        <f>IF(ISNUMBER(SEARCH("R", 'WetLitterbags placem_collection'!X84)),"YES","NO")</f>
        <v>YES</v>
      </c>
    </row>
    <row r="524" spans="1:40" ht="15" customHeight="1">
      <c r="A524" s="258" t="s">
        <v>2460</v>
      </c>
      <c r="B524" s="263">
        <f>'Dry_Litterbag Placem_Collection'!A85</f>
        <v>83</v>
      </c>
      <c r="C524" s="263" t="str">
        <f>'Dry_Litterbag Placem_Collection'!B85</f>
        <v>Maswa</v>
      </c>
      <c r="D524" s="263" t="s">
        <v>2659</v>
      </c>
      <c r="E524" s="263" t="s">
        <v>2661</v>
      </c>
      <c r="F524" s="263">
        <v>3</v>
      </c>
      <c r="G524" s="264" t="str">
        <f>'Dry_Litterbag Placem_Collection'!C85</f>
        <v>Dry_W3_T3</v>
      </c>
      <c r="H524" s="273" t="s">
        <v>3651</v>
      </c>
      <c r="I524" s="266" t="s">
        <v>1147</v>
      </c>
      <c r="J524" s="223" t="str">
        <f>'WetLitterbags placem_collection'!O85</f>
        <v>G298</v>
      </c>
      <c r="K524" s="225">
        <f>IFERROR(INDEX('Green_rooibos initial weight'!$C$5:$C$1749,MATCH(J524, 'Green_rooibos initial weight'!$A$5:$A$1749,0)),"")</f>
        <v>2.0550000000000002</v>
      </c>
      <c r="L524" s="225">
        <f>IFERROR(K524-(TBIcalc!$H$9+TBIcalc!$H$10),"")</f>
        <v>1.8052000000000001</v>
      </c>
      <c r="M524" s="391">
        <f>AVERAGE(Ashed_controlls!$K$2:$K$11)</f>
        <v>5.5147656768714146</v>
      </c>
      <c r="N524" s="225">
        <f t="shared" si="44"/>
        <v>1.7056474500011174</v>
      </c>
      <c r="O524" s="225">
        <f>IF(IFERROR(INDEX('Both teabags AfterWet'!$C$3:$C$841,MATCH(J524,'Both teabags AfterWet'!$A$3:$A$841,0)),"")="","",(IFERROR(INDEX('Both teabags AfterWet'!$C$3:$C$841,MATCH(J524,'Both teabags AfterWet'!$A$3:$A$841,0)),"")))</f>
        <v>0.88800000000000001</v>
      </c>
      <c r="P524" s="225">
        <f>IFERROR(IF(O524&gt;0,O524-(TBIcalc!$H$9),""),"")</f>
        <v>0.73740000000000006</v>
      </c>
      <c r="Q524" s="225">
        <f>IFERROR(INDEX('Ashed teabags wet'!$K$2:$K$821,MATCH(J524,'Ashed teabags wet'!$A$2:$A$821,0)),"")</f>
        <v>14.849074975657658</v>
      </c>
      <c r="R524" s="225">
        <f t="shared" si="47"/>
        <v>0.62790292112950041</v>
      </c>
      <c r="S524" s="226">
        <f>'WetLitterbags placem_collection'!E85</f>
        <v>42767</v>
      </c>
      <c r="T524" s="226">
        <f>IF('WetLitterbags placem_collection'!G85="","",'WetLitterbags placem_collection'!G85)</f>
        <v>42819</v>
      </c>
      <c r="U524" s="227">
        <f t="shared" si="43"/>
        <v>52</v>
      </c>
      <c r="V524" s="225">
        <f t="shared" si="45"/>
        <v>1.0678000000000001</v>
      </c>
      <c r="W524" s="225">
        <f t="shared" si="46"/>
        <v>1.077744528871617</v>
      </c>
      <c r="X524">
        <f>IFERROR(INDEX(Rainfall_Wet!$O$2:$O$217,MATCH(B524, Rainfall_Wet!$A$2:$A$217,0)),"")</f>
        <v>194.93009798400001</v>
      </c>
      <c r="Y524" s="231">
        <v>38.691629007962128</v>
      </c>
      <c r="Z524" s="231">
        <v>26.81299763288143</v>
      </c>
      <c r="AA524" s="231">
        <v>34.495373359156439</v>
      </c>
      <c r="AB524" s="232" t="s">
        <v>2675</v>
      </c>
      <c r="AC524" s="231">
        <v>4.5483587974371602</v>
      </c>
      <c r="AD524">
        <f>IF('WetLitterbags placem_collection'!AB85="","",'WetLitterbags placem_collection'!AB85)</f>
        <v>6.4</v>
      </c>
      <c r="AE524">
        <f>IF('WetLitterbags placem_collection'!Z85="","",'WetLitterbags placem_collection'!Z85)</f>
        <v>42</v>
      </c>
      <c r="AF524" s="246" t="str">
        <f>IF('WetLitterbags placem_collection'!AA85="","",'WetLitterbags placem_collection'!AA85)</f>
        <v>M</v>
      </c>
      <c r="AG524">
        <f>IF('WetLitterbags placem_collection'!AC85="","",'WetLitterbags placem_collection'!AC85)</f>
        <v>1</v>
      </c>
      <c r="AH524" s="24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placem_collection'!X85)),"YES","NO")</f>
        <v>NO</v>
      </c>
      <c r="AM524" t="str">
        <f>IF(ISNUMBER(SEARCH("H", 'WetLitterbags placem_collection'!X85)),"YES","NO")</f>
        <v>NO</v>
      </c>
      <c r="AN524" t="str">
        <f>IF(ISNUMBER(SEARCH("R", 'WetLitterbags placem_collection'!X85)),"YES","NO")</f>
        <v>YES</v>
      </c>
    </row>
    <row r="525" spans="1:40" ht="15" customHeight="1">
      <c r="A525" s="258" t="s">
        <v>2460</v>
      </c>
      <c r="B525" s="263">
        <f>'Dry_Litterbag Placem_Collection'!A86</f>
        <v>84</v>
      </c>
      <c r="C525" s="263" t="str">
        <f>'Dry_Litterbag Placem_Collection'!B86</f>
        <v>Maswa</v>
      </c>
      <c r="D525" s="263" t="s">
        <v>2659</v>
      </c>
      <c r="E525" s="263" t="s">
        <v>2661</v>
      </c>
      <c r="F525" s="263">
        <v>3</v>
      </c>
      <c r="G525" s="264" t="str">
        <f>'Dry_Litterbag Placem_Collection'!C86</f>
        <v>Dry_W3_T4</v>
      </c>
      <c r="H525" s="273" t="s">
        <v>3651</v>
      </c>
      <c r="I525" s="266" t="s">
        <v>1147</v>
      </c>
      <c r="J525" s="223" t="str">
        <f>'WetLitterbags placem_collection'!O86</f>
        <v>G520</v>
      </c>
      <c r="K525" s="225">
        <f>IFERROR(INDEX('Green_rooibos initial weight'!$C$5:$C$1749,MATCH(J525, 'Green_rooibos initial weight'!$A$5:$A$1749,0)),"")</f>
        <v>1.929</v>
      </c>
      <c r="L525" s="225">
        <f>IFERROR(K525-(TBIcalc!$H$9+TBIcalc!$H$10),"")</f>
        <v>1.6792</v>
      </c>
      <c r="M525" s="391">
        <f>AVERAGE(Ashed_controlls!$K$2:$K$11)</f>
        <v>5.5147656768714146</v>
      </c>
      <c r="N525" s="225">
        <f t="shared" si="44"/>
        <v>1.5865960547539752</v>
      </c>
      <c r="O525" s="225">
        <f>IF(IFERROR(INDEX('Both teabags AfterWet'!$C$3:$C$841,MATCH(J525,'Both teabags AfterWet'!$A$3:$A$841,0)),"")="","",(IFERROR(INDEX('Both teabags AfterWet'!$C$3:$C$841,MATCH(J525,'Both teabags AfterWet'!$A$3:$A$841,0)),"")))</f>
        <v>0.81299999999999994</v>
      </c>
      <c r="P525" s="225">
        <f>IFERROR(IF(O525&gt;0,O525-(TBIcalc!$H$9),""),"")</f>
        <v>0.66239999999999988</v>
      </c>
      <c r="Q525" s="225">
        <f>IFERROR(INDEX('Ashed teabags wet'!$K$2:$K$821,MATCH(J525,'Ashed teabags wet'!$A$2:$A$821,0)),"")</f>
        <v>10.723192019949995</v>
      </c>
      <c r="R525" s="225">
        <f t="shared" si="47"/>
        <v>0.59136957605985108</v>
      </c>
      <c r="S525" s="226">
        <f>'WetLitterbags placem_collection'!E86</f>
        <v>42767</v>
      </c>
      <c r="T525" s="226">
        <f>IF('WetLitterbags placem_collection'!G86="","",'WetLitterbags placem_collection'!G86)</f>
        <v>42819</v>
      </c>
      <c r="U525" s="227">
        <f t="shared" si="43"/>
        <v>52</v>
      </c>
      <c r="V525" s="225">
        <f t="shared" si="45"/>
        <v>1.0168000000000001</v>
      </c>
      <c r="W525" s="225">
        <f t="shared" si="46"/>
        <v>0.99522647869412417</v>
      </c>
      <c r="X525">
        <f>IFERROR(INDEX(Rainfall_Wet!$O$2:$O$217,MATCH(B525, Rainfall_Wet!$A$2:$A$217,0)),"")</f>
        <v>194.93009798400001</v>
      </c>
      <c r="Y525" s="231">
        <v>38.691629007962128</v>
      </c>
      <c r="Z525" s="231">
        <v>26.81299763288143</v>
      </c>
      <c r="AA525" s="231">
        <v>34.495373359156439</v>
      </c>
      <c r="AB525" s="232" t="s">
        <v>2675</v>
      </c>
      <c r="AC525" s="231">
        <v>5.5483587974371602</v>
      </c>
      <c r="AD525">
        <f>IF('WetLitterbags placem_collection'!AB86="","",'WetLitterbags placem_collection'!AB86)</f>
        <v>5.5</v>
      </c>
      <c r="AE525">
        <f>IF('WetLitterbags placem_collection'!Z86="","",'WetLitterbags placem_collection'!Z86)</f>
        <v>55.8</v>
      </c>
      <c r="AF525" s="246" t="str">
        <f>IF('WetLitterbags placem_collection'!AA86="","",'WetLitterbags placem_collection'!AA86)</f>
        <v>M</v>
      </c>
      <c r="AG525">
        <f>IF('WetLitterbags placem_collection'!AC86="","",'WetLitterbags placem_collection'!AC86)</f>
        <v>1</v>
      </c>
      <c r="AH525" s="24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placem_collection'!X86)),"YES","NO")</f>
        <v>NO</v>
      </c>
      <c r="AM525" t="str">
        <f>IF(ISNUMBER(SEARCH("H", 'WetLitterbags placem_collection'!X86)),"YES","NO")</f>
        <v>NO</v>
      </c>
      <c r="AN525" t="str">
        <f>IF(ISNUMBER(SEARCH("R", 'WetLitterbags placem_collection'!X86)),"YES","NO")</f>
        <v>YES</v>
      </c>
    </row>
    <row r="526" spans="1:40" ht="15" customHeight="1">
      <c r="A526" s="258" t="s">
        <v>2460</v>
      </c>
      <c r="B526" s="263">
        <f>'Dry_Litterbag Placem_Collection'!A87</f>
        <v>85</v>
      </c>
      <c r="C526" s="263" t="str">
        <f>'Dry_Litterbag Placem_Collection'!B87</f>
        <v>Maswa</v>
      </c>
      <c r="D526" s="263" t="s">
        <v>2659</v>
      </c>
      <c r="E526" s="263" t="s">
        <v>2661</v>
      </c>
      <c r="F526" s="263">
        <v>3</v>
      </c>
      <c r="G526" s="264" t="str">
        <f>'Dry_Litterbag Placem_Collection'!C87</f>
        <v>Dry_W3_T5</v>
      </c>
      <c r="H526" s="273" t="s">
        <v>3651</v>
      </c>
      <c r="I526" s="266" t="s">
        <v>1147</v>
      </c>
      <c r="J526" s="223" t="str">
        <f>'WetLitterbags placem_collection'!O87</f>
        <v>G441</v>
      </c>
      <c r="K526" s="225">
        <f>IFERROR(INDEX('Green_rooibos initial weight'!$C$5:$C$1749,MATCH(J526, 'Green_rooibos initial weight'!$A$5:$A$1749,0)),"")</f>
        <v>2.1040000000000001</v>
      </c>
      <c r="L526" s="225">
        <f>IFERROR(K526-(TBIcalc!$H$9+TBIcalc!$H$10),"")</f>
        <v>1.8542000000000001</v>
      </c>
      <c r="M526" s="391">
        <f>AVERAGE(Ashed_controlls!$K$2:$K$11)</f>
        <v>5.5147656768714146</v>
      </c>
      <c r="N526" s="225">
        <f t="shared" si="44"/>
        <v>1.7519452148194503</v>
      </c>
      <c r="O526" s="225">
        <f>IF(IFERROR(INDEX('Both teabags AfterWet'!$C$3:$C$841,MATCH(J526,'Both teabags AfterWet'!$A$3:$A$841,0)),"")="","",(IFERROR(INDEX('Both teabags AfterWet'!$C$3:$C$841,MATCH(J526,'Both teabags AfterWet'!$A$3:$A$841,0)),"")))</f>
        <v>0.96599999999999997</v>
      </c>
      <c r="P526" s="225">
        <f>IFERROR(IF(O526&gt;0,O526-(TBIcalc!$H$9),""),"")</f>
        <v>0.8153999999999999</v>
      </c>
      <c r="Q526" s="225">
        <f>IFERROR(INDEX('Ashed teabags wet'!$K$2:$K$821,MATCH(J526,'Ashed teabags wet'!$A$2:$A$821,0)),"")</f>
        <v>11.595639246779045</v>
      </c>
      <c r="R526" s="225">
        <f t="shared" si="47"/>
        <v>0.7208491575817636</v>
      </c>
      <c r="S526" s="226">
        <f>'WetLitterbags placem_collection'!E87</f>
        <v>42767</v>
      </c>
      <c r="T526" s="226">
        <f>IF('WetLitterbags placem_collection'!G87="","",'WetLitterbags placem_collection'!G87)</f>
        <v>42819</v>
      </c>
      <c r="U526" s="227">
        <f t="shared" si="43"/>
        <v>52</v>
      </c>
      <c r="V526" s="225">
        <f t="shared" si="45"/>
        <v>1.0388000000000002</v>
      </c>
      <c r="W526" s="225">
        <f t="shared" si="46"/>
        <v>1.0310960572376868</v>
      </c>
      <c r="X526">
        <f>IFERROR(INDEX(Rainfall_Wet!$O$2:$O$217,MATCH(B526, Rainfall_Wet!$A$2:$A$217,0)),"")</f>
        <v>194.93009798400001</v>
      </c>
      <c r="Y526" s="231">
        <v>38.691629007962128</v>
      </c>
      <c r="Z526" s="231">
        <v>26.81299763288143</v>
      </c>
      <c r="AA526" s="231">
        <v>34.495373359156439</v>
      </c>
      <c r="AB526" s="232" t="s">
        <v>2675</v>
      </c>
      <c r="AC526" s="231">
        <v>6.5483587974371602</v>
      </c>
      <c r="AD526">
        <f>IF('WetLitterbags placem_collection'!AB87="","",'WetLitterbags placem_collection'!AB87)</f>
        <v>8.6</v>
      </c>
      <c r="AE526">
        <f>IF('WetLitterbags placem_collection'!Z87="","",'WetLitterbags placem_collection'!Z87)</f>
        <v>3.8</v>
      </c>
      <c r="AF526" s="246" t="str">
        <f>IF('WetLitterbags placem_collection'!AA87="","",'WetLitterbags placem_collection'!AA87)</f>
        <v>O</v>
      </c>
      <c r="AG526">
        <f>IF('WetLitterbags placem_collection'!AC87="","",'WetLitterbags placem_collection'!AC87)</f>
        <v>0</v>
      </c>
      <c r="AH526" s="24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placem_collection'!X87)),"YES","NO")</f>
        <v>NO</v>
      </c>
      <c r="AM526" t="str">
        <f>IF(ISNUMBER(SEARCH("H", 'WetLitterbags placem_collection'!X87)),"YES","NO")</f>
        <v>NO</v>
      </c>
      <c r="AN526" t="str">
        <f>IF(ISNUMBER(SEARCH("R", 'WetLitterbags placem_collection'!X87)),"YES","NO")</f>
        <v>YES</v>
      </c>
    </row>
    <row r="527" spans="1:40" ht="15" customHeight="1">
      <c r="A527" s="258" t="s">
        <v>2460</v>
      </c>
      <c r="B527" s="263">
        <f>'Dry_Litterbag Placem_Collection'!A88</f>
        <v>86</v>
      </c>
      <c r="C527" s="263" t="str">
        <f>'Dry_Litterbag Placem_Collection'!B88</f>
        <v>Maswa</v>
      </c>
      <c r="D527" s="263" t="s">
        <v>2659</v>
      </c>
      <c r="E527" s="263" t="s">
        <v>2661</v>
      </c>
      <c r="F527" s="263">
        <v>3</v>
      </c>
      <c r="G527" s="264" t="str">
        <f>'Dry_Litterbag Placem_Collection'!C88</f>
        <v>Dry_W3_T6</v>
      </c>
      <c r="H527" s="273" t="s">
        <v>3651</v>
      </c>
      <c r="I527" s="266" t="s">
        <v>1147</v>
      </c>
      <c r="J527" s="223" t="str">
        <f>'WetLitterbags placem_collection'!O88</f>
        <v>G561</v>
      </c>
      <c r="K527" s="225">
        <f>IFERROR(INDEX('Green_rooibos initial weight'!$C$5:$C$1749,MATCH(J527, 'Green_rooibos initial weight'!$A$5:$A$1749,0)),"")</f>
        <v>2.1259999999999999</v>
      </c>
      <c r="L527" s="225">
        <f>IFERROR(K527-(TBIcalc!$H$9+TBIcalc!$H$10),"")</f>
        <v>1.8761999999999999</v>
      </c>
      <c r="M527" s="391">
        <f>AVERAGE(Ashed_controlls!$K$2:$K$11)</f>
        <v>5.5147656768714146</v>
      </c>
      <c r="N527" s="225">
        <f t="shared" si="44"/>
        <v>1.7727319663705383</v>
      </c>
      <c r="O527" s="225">
        <f>IF(IFERROR(INDEX('Both teabags AfterWet'!$C$3:$C$841,MATCH(J527,'Both teabags AfterWet'!$A$3:$A$841,0)),"")="","",(IFERROR(INDEX('Both teabags AfterWet'!$C$3:$C$841,MATCH(J527,'Both teabags AfterWet'!$A$3:$A$841,0)),"")))</f>
        <v>0.74650000000000005</v>
      </c>
      <c r="P527" s="225">
        <f>IFERROR(IF(O527&gt;0,O527-(TBIcalc!$H$9),""),"")</f>
        <v>0.5959000000000001</v>
      </c>
      <c r="Q527" s="225">
        <f>IFERROR(INDEX('Ashed teabags wet'!$K$2:$K$821,MATCH(J527,'Ashed teabags wet'!$A$2:$A$821,0)),"")</f>
        <v>8.6978131212732563</v>
      </c>
      <c r="R527" s="225">
        <f t="shared" si="47"/>
        <v>0.54406973161033279</v>
      </c>
      <c r="S527" s="226">
        <f>'WetLitterbags placem_collection'!E88</f>
        <v>42767</v>
      </c>
      <c r="T527" s="226">
        <f>IF('WetLitterbags placem_collection'!G88="","",'WetLitterbags placem_collection'!G88)</f>
        <v>42819</v>
      </c>
      <c r="U527" s="227">
        <f t="shared" si="43"/>
        <v>52</v>
      </c>
      <c r="V527" s="225">
        <f t="shared" si="45"/>
        <v>1.2802999999999998</v>
      </c>
      <c r="W527" s="225">
        <f t="shared" si="46"/>
        <v>1.2286622347602054</v>
      </c>
      <c r="X527">
        <f>IFERROR(INDEX(Rainfall_Wet!$O$2:$O$217,MATCH(B527, Rainfall_Wet!$A$2:$A$217,0)),"")</f>
        <v>194.93009798400001</v>
      </c>
      <c r="Y527" s="231">
        <v>38.691629007962128</v>
      </c>
      <c r="Z527" s="231">
        <v>26.81299763288143</v>
      </c>
      <c r="AA527" s="231">
        <v>34.495373359156439</v>
      </c>
      <c r="AB527" s="232" t="s">
        <v>2675</v>
      </c>
      <c r="AC527" s="231">
        <v>7.5483587974371602</v>
      </c>
      <c r="AD527">
        <f>IF('WetLitterbags placem_collection'!AB88="","",'WetLitterbags placem_collection'!AB88)</f>
        <v>3.7</v>
      </c>
      <c r="AE527">
        <f>IF('WetLitterbags placem_collection'!Z88="","",'WetLitterbags placem_collection'!Z88)</f>
        <v>7.5</v>
      </c>
      <c r="AF527" s="246" t="str">
        <f>IF('WetLitterbags placem_collection'!AA88="","",'WetLitterbags placem_collection'!AA88)</f>
        <v>O</v>
      </c>
      <c r="AG527">
        <f>IF('WetLitterbags placem_collection'!AC88="","",'WetLitterbags placem_collection'!AC88)</f>
        <v>0</v>
      </c>
      <c r="AH527" s="24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placem_collection'!X88)),"YES","NO")</f>
        <v>NO</v>
      </c>
      <c r="AM527" t="str">
        <f>IF(ISNUMBER(SEARCH("H", 'WetLitterbags placem_collection'!X88)),"YES","NO")</f>
        <v>NO</v>
      </c>
      <c r="AN527" t="str">
        <f>IF(ISNUMBER(SEARCH("R", 'WetLitterbags placem_collection'!X88)),"YES","NO")</f>
        <v>YES</v>
      </c>
    </row>
    <row r="528" spans="1:40" ht="15" customHeight="1">
      <c r="A528" s="258" t="s">
        <v>2460</v>
      </c>
      <c r="B528" s="263">
        <f>'Dry_Litterbag Placem_Collection'!A89</f>
        <v>87</v>
      </c>
      <c r="C528" s="263" t="str">
        <f>'Dry_Litterbag Placem_Collection'!B89</f>
        <v>Maswa</v>
      </c>
      <c r="D528" s="263" t="s">
        <v>2659</v>
      </c>
      <c r="E528" s="263" t="s">
        <v>2661</v>
      </c>
      <c r="F528" s="263">
        <v>3</v>
      </c>
      <c r="G528" s="264" t="str">
        <f>'Dry_Litterbag Placem_Collection'!C89</f>
        <v>Dry_W3_T7</v>
      </c>
      <c r="H528" s="273" t="s">
        <v>3651</v>
      </c>
      <c r="I528" s="266" t="s">
        <v>1147</v>
      </c>
      <c r="J528" s="223" t="str">
        <f>'WetLitterbags placem_collection'!O89</f>
        <v>G632</v>
      </c>
      <c r="K528" s="225">
        <f>IFERROR(INDEX('Green_rooibos initial weight'!$C$5:$C$1749,MATCH(J528, 'Green_rooibos initial weight'!$A$5:$A$1749,0)),"")</f>
        <v>2.0779999999999998</v>
      </c>
      <c r="L528" s="225">
        <f>IFERROR(K528-(TBIcalc!$H$9+TBIcalc!$H$10),"")</f>
        <v>1.8281999999999998</v>
      </c>
      <c r="M528" s="391">
        <f>AVERAGE(Ashed_controlls!$K$2:$K$11)</f>
        <v>5.5147656768714146</v>
      </c>
      <c r="N528" s="225">
        <f t="shared" si="44"/>
        <v>1.7273790538954366</v>
      </c>
      <c r="O528" s="225">
        <f>IF(IFERROR(INDEX('Both teabags AfterWet'!$C$3:$C$841,MATCH(J528,'Both teabags AfterWet'!$A$3:$A$841,0)),"")="","",(IFERROR(INDEX('Both teabags AfterWet'!$C$3:$C$841,MATCH(J528,'Both teabags AfterWet'!$A$3:$A$841,0)),"")))</f>
        <v>0.81640000000000001</v>
      </c>
      <c r="P528" s="225">
        <f>IFERROR(IF(O528&gt;0,O528-(TBIcalc!$H$9),""),"")</f>
        <v>0.66579999999999995</v>
      </c>
      <c r="Q528" s="225">
        <f>IFERROR(INDEX('Ashed teabags wet'!$K$2:$K$821,MATCH(J528,'Ashed teabags wet'!$A$2:$A$821,0)),"")</f>
        <v>14.564493098524098</v>
      </c>
      <c r="R528" s="225">
        <f t="shared" si="47"/>
        <v>0.56882960495002655</v>
      </c>
      <c r="S528" s="226">
        <f>'WetLitterbags placem_collection'!E89</f>
        <v>42767</v>
      </c>
      <c r="T528" s="226">
        <f>IF('WetLitterbags placem_collection'!G89="","",'WetLitterbags placem_collection'!G89)</f>
        <v>42819</v>
      </c>
      <c r="U528" s="227">
        <f t="shared" si="43"/>
        <v>52</v>
      </c>
      <c r="V528" s="225">
        <f t="shared" si="45"/>
        <v>1.1623999999999999</v>
      </c>
      <c r="W528" s="225">
        <f t="shared" si="46"/>
        <v>1.15854944894541</v>
      </c>
      <c r="X528">
        <f>IFERROR(INDEX(Rainfall_Wet!$O$2:$O$217,MATCH(B528, Rainfall_Wet!$A$2:$A$217,0)),"")</f>
        <v>194.93009798400001</v>
      </c>
      <c r="Y528" s="231">
        <v>38.691629007962128</v>
      </c>
      <c r="Z528" s="231">
        <v>26.81299763288143</v>
      </c>
      <c r="AA528" s="231">
        <v>34.495373359156439</v>
      </c>
      <c r="AB528" s="232" t="s">
        <v>2675</v>
      </c>
      <c r="AC528" s="231">
        <v>8.5483587974371602</v>
      </c>
      <c r="AD528">
        <f>IF('WetLitterbags placem_collection'!AB89="","",'WetLitterbags placem_collection'!AB89)</f>
        <v>7.5</v>
      </c>
      <c r="AE528">
        <f>IF('WetLitterbags placem_collection'!Z89="","",'WetLitterbags placem_collection'!Z89)</f>
        <v>12.6</v>
      </c>
      <c r="AF528" s="246" t="str">
        <f>IF('WetLitterbags placem_collection'!AA89="","",'WetLitterbags placem_collection'!AA89)</f>
        <v>O</v>
      </c>
      <c r="AG528">
        <f>IF('WetLitterbags placem_collection'!AC89="","",'WetLitterbags placem_collection'!AC89)</f>
        <v>1</v>
      </c>
      <c r="AH528" s="24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placem_collection'!X89)),"YES","NO")</f>
        <v>NO</v>
      </c>
      <c r="AM528" t="str">
        <f>IF(ISNUMBER(SEARCH("H", 'WetLitterbags placem_collection'!X89)),"YES","NO")</f>
        <v>NO</v>
      </c>
      <c r="AN528" t="str">
        <f>IF(ISNUMBER(SEARCH("R", 'WetLitterbags placem_collection'!X89)),"YES","NO")</f>
        <v>YES</v>
      </c>
    </row>
    <row r="529" spans="1:40" ht="15" customHeight="1">
      <c r="A529" s="258" t="s">
        <v>2460</v>
      </c>
      <c r="B529" s="263">
        <f>'Dry_Litterbag Placem_Collection'!A90</f>
        <v>88</v>
      </c>
      <c r="C529" s="263" t="str">
        <f>'Dry_Litterbag Placem_Collection'!B90</f>
        <v>Maswa</v>
      </c>
      <c r="D529" s="263" t="s">
        <v>2659</v>
      </c>
      <c r="E529" s="263" t="s">
        <v>2661</v>
      </c>
      <c r="F529" s="263">
        <v>3</v>
      </c>
      <c r="G529" s="264" t="str">
        <f>'Dry_Litterbag Placem_Collection'!C90</f>
        <v>Dry_W3_T8</v>
      </c>
      <c r="H529" s="273" t="s">
        <v>3651</v>
      </c>
      <c r="I529" s="266" t="s">
        <v>1147</v>
      </c>
      <c r="J529" s="223" t="str">
        <f>'WetLitterbags placem_collection'!O90</f>
        <v>G611</v>
      </c>
      <c r="K529" s="225">
        <f>IFERROR(INDEX('Green_rooibos initial weight'!$C$5:$C$1749,MATCH(J529, 'Green_rooibos initial weight'!$A$5:$A$1749,0)),"")</f>
        <v>1.99</v>
      </c>
      <c r="L529" s="225">
        <f>IFERROR(K529-(TBIcalc!$H$9+TBIcalc!$H$10),"")</f>
        <v>1.7402</v>
      </c>
      <c r="M529" s="391">
        <f>AVERAGE(Ashed_controlls!$K$2:$K$11)</f>
        <v>5.5147656768714146</v>
      </c>
      <c r="N529" s="225">
        <f t="shared" si="44"/>
        <v>1.6442320476910837</v>
      </c>
      <c r="O529" s="225" t="str">
        <f>IF(IFERROR(INDEX('Both teabags AfterWet'!$C$3:$C$841,MATCH(J529,'Both teabags AfterWet'!$A$3:$A$841,0)),"")="","",(IFERROR(INDEX('Both teabags AfterWet'!$C$3:$C$841,MATCH(J529,'Both teabags AfterWet'!$A$3:$A$841,0)),"")))</f>
        <v/>
      </c>
      <c r="P529" s="225" t="str">
        <f>IFERROR(IF(O529&gt;0,O529-(TBIcalc!$H$9),""),"")</f>
        <v/>
      </c>
      <c r="Q529" s="225" t="str">
        <f>IFERROR(INDEX('Ashed teabags wet'!$K$2:$K$821,MATCH(J529,'Ashed teabags wet'!$A$2:$A$821,0)),"")</f>
        <v/>
      </c>
      <c r="R529" s="225" t="str">
        <f t="shared" si="47"/>
        <v/>
      </c>
      <c r="S529" s="226">
        <f>'WetLitterbags placem_collection'!E90</f>
        <v>42767</v>
      </c>
      <c r="T529" s="226" t="str">
        <f>IF('WetLitterbags placem_collection'!G90="","",'WetLitterbags placem_collection'!G90)</f>
        <v/>
      </c>
      <c r="U529" s="227" t="str">
        <f t="shared" si="43"/>
        <v/>
      </c>
      <c r="V529" s="225" t="str">
        <f t="shared" si="45"/>
        <v/>
      </c>
      <c r="W529" s="225" t="str">
        <f t="shared" si="46"/>
        <v/>
      </c>
      <c r="X529" t="str">
        <f>IFERROR(INDEX(Rainfall_Wet!$O$2:$O$217,MATCH(B529, Rainfall_Wet!$A$2:$A$217,0)),"")</f>
        <v/>
      </c>
      <c r="Y529" s="231">
        <v>38.691629007962128</v>
      </c>
      <c r="Z529" s="231">
        <v>26.81299763288143</v>
      </c>
      <c r="AA529" s="231">
        <v>34.495373359156439</v>
      </c>
      <c r="AB529" s="232" t="s">
        <v>2675</v>
      </c>
      <c r="AC529" s="231">
        <v>9.5483587974371602</v>
      </c>
      <c r="AD529" t="str">
        <f>IF('WetLitterbags placem_collection'!AB90="","",'WetLitterbags placem_collection'!AB90)</f>
        <v/>
      </c>
      <c r="AE529" t="str">
        <f>IF('WetLitterbags placem_collection'!Z90="","",'WetLitterbags placem_collection'!Z90)</f>
        <v/>
      </c>
      <c r="AF529" s="246" t="str">
        <f>IF('WetLitterbags placem_collection'!AA90="","",'WetLitterbags placem_collection'!AA90)</f>
        <v/>
      </c>
      <c r="AG529" t="str">
        <f>IF('WetLitterbags placem_collection'!AC90="","",'WetLitterbags placem_collection'!AC90)</f>
        <v/>
      </c>
      <c r="AH529" s="24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placem_collection'!X90)),"YES","NO")</f>
        <v>NO</v>
      </c>
      <c r="AM529" t="str">
        <f>IF(ISNUMBER(SEARCH("H", 'WetLitterbags placem_collection'!X90)),"YES","NO")</f>
        <v>NO</v>
      </c>
      <c r="AN529" t="str">
        <f>IF(ISNUMBER(SEARCH("R", 'WetLitterbags placem_collection'!X90)),"YES","NO")</f>
        <v>NO</v>
      </c>
    </row>
    <row r="530" spans="1:40" ht="15" customHeight="1">
      <c r="A530" s="258" t="s">
        <v>2460</v>
      </c>
      <c r="B530" s="263">
        <f>'Dry_Litterbag Placem_Collection'!A91</f>
        <v>89</v>
      </c>
      <c r="C530" s="263" t="str">
        <f>'Dry_Litterbag Placem_Collection'!B91</f>
        <v>Maswa</v>
      </c>
      <c r="D530" s="263" t="s">
        <v>2659</v>
      </c>
      <c r="E530" s="263" t="s">
        <v>2661</v>
      </c>
      <c r="F530" s="263">
        <v>4</v>
      </c>
      <c r="G530" s="264" t="str">
        <f>'Dry_Litterbag Placem_Collection'!C91</f>
        <v>Dry_W4_T1</v>
      </c>
      <c r="H530" s="273" t="s">
        <v>3651</v>
      </c>
      <c r="I530" s="266" t="s">
        <v>1147</v>
      </c>
      <c r="J530" s="223" t="str">
        <f>'WetLitterbags placem_collection'!O91</f>
        <v>G469</v>
      </c>
      <c r="K530" s="225">
        <f>IFERROR(INDEX('Green_rooibos initial weight'!$C$5:$C$1749,MATCH(J530, 'Green_rooibos initial weight'!$A$5:$A$1749,0)),"")</f>
        <v>1.9630000000000001</v>
      </c>
      <c r="L530" s="225">
        <f>IFERROR(K530-(TBIcalc!$H$9+TBIcalc!$H$10),"")</f>
        <v>1.7132000000000001</v>
      </c>
      <c r="M530" s="391">
        <f>AVERAGE(Ashed_controlls!$K$2:$K$11)</f>
        <v>5.5147656768714146</v>
      </c>
      <c r="N530" s="225">
        <f t="shared" si="44"/>
        <v>1.618721034423839</v>
      </c>
      <c r="O530" s="225">
        <f>IF(IFERROR(INDEX('Both teabags AfterWet'!$C$3:$C$841,MATCH(J530,'Both teabags AfterWet'!$A$3:$A$841,0)),"")="","",(IFERROR(INDEX('Both teabags AfterWet'!$C$3:$C$841,MATCH(J530,'Both teabags AfterWet'!$A$3:$A$841,0)),"")))</f>
        <v>1.5169999999999999</v>
      </c>
      <c r="P530" s="225">
        <f>IFERROR(IF(O530&gt;0,O530-(TBIcalc!$H$9),""),"")</f>
        <v>1.3663999999999998</v>
      </c>
      <c r="Q530" s="225">
        <f>IFERROR(INDEX('Ashed teabags wet'!$K$2:$K$821,MATCH(J530,'Ashed teabags wet'!$A$2:$A$821,0)),"")</f>
        <v>48.044965786901678</v>
      </c>
      <c r="R530" s="225">
        <f t="shared" si="47"/>
        <v>0.70991358748777544</v>
      </c>
      <c r="S530" s="226">
        <f>'WetLitterbags placem_collection'!E91</f>
        <v>42767</v>
      </c>
      <c r="T530" s="226">
        <f>IF('WetLitterbags placem_collection'!G91="","",'WetLitterbags placem_collection'!G91)</f>
        <v>42819</v>
      </c>
      <c r="U530" s="227">
        <f t="shared" si="43"/>
        <v>52</v>
      </c>
      <c r="V530" s="225">
        <f t="shared" si="45"/>
        <v>0.34680000000000022</v>
      </c>
      <c r="W530" s="225">
        <f t="shared" si="46"/>
        <v>0.90880744693606352</v>
      </c>
      <c r="X530">
        <f>IFERROR(INDEX(Rainfall_Wet!$O$2:$O$217,MATCH(B530, Rainfall_Wet!$A$2:$A$217,0)),"")</f>
        <v>194.93009798400001</v>
      </c>
      <c r="Y530" s="231">
        <v>28.145762029394</v>
      </c>
      <c r="Z530" s="231">
        <v>25.085564727199518</v>
      </c>
      <c r="AA530" s="231">
        <v>46.768673243406489</v>
      </c>
      <c r="AB530" s="232" t="s">
        <v>2670</v>
      </c>
      <c r="AC530" s="231">
        <v>2.1716214884179394</v>
      </c>
      <c r="AD530">
        <f>IF('WetLitterbags placem_collection'!AB91="","",'WetLitterbags placem_collection'!AB91)</f>
        <v>7.3</v>
      </c>
      <c r="AE530">
        <f>IF('WetLitterbags placem_collection'!Z91="","",'WetLitterbags placem_collection'!Z91)</f>
        <v>35.799999999999997</v>
      </c>
      <c r="AF530" s="246" t="str">
        <f>IF('WetLitterbags placem_collection'!AA91="","",'WetLitterbags placem_collection'!AA91)</f>
        <v>O</v>
      </c>
      <c r="AG530">
        <f>IF('WetLitterbags placem_collection'!AC91="","",'WetLitterbags placem_collection'!AC91)</f>
        <v>0</v>
      </c>
      <c r="AH530" s="24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placem_collection'!X91)),"YES","NO")</f>
        <v>NO</v>
      </c>
      <c r="AM530" t="str">
        <f>IF(ISNUMBER(SEARCH("H", 'WetLitterbags placem_collection'!X91)),"YES","NO")</f>
        <v>NO</v>
      </c>
      <c r="AN530" t="str">
        <f>IF(ISNUMBER(SEARCH("R", 'WetLitterbags placem_collection'!X91)),"YES","NO")</f>
        <v>YES</v>
      </c>
    </row>
    <row r="531" spans="1:40" ht="15" customHeight="1">
      <c r="A531" s="258" t="s">
        <v>2460</v>
      </c>
      <c r="B531" s="263">
        <f>'Dry_Litterbag Placem_Collection'!A92</f>
        <v>90</v>
      </c>
      <c r="C531" s="263" t="str">
        <f>'Dry_Litterbag Placem_Collection'!B92</f>
        <v>Maswa</v>
      </c>
      <c r="D531" s="263" t="s">
        <v>2659</v>
      </c>
      <c r="E531" s="263" t="s">
        <v>2661</v>
      </c>
      <c r="F531" s="263">
        <v>4</v>
      </c>
      <c r="G531" s="264" t="str">
        <f>'Dry_Litterbag Placem_Collection'!C92</f>
        <v>Dry_W4_T2</v>
      </c>
      <c r="H531" s="273" t="s">
        <v>3651</v>
      </c>
      <c r="I531" s="266" t="s">
        <v>1147</v>
      </c>
      <c r="J531" s="223" t="str">
        <f>'WetLitterbags placem_collection'!O92</f>
        <v>G355</v>
      </c>
      <c r="K531" s="225">
        <f>IFERROR(INDEX('Green_rooibos initial weight'!$C$5:$C$1749,MATCH(J531, 'Green_rooibos initial weight'!$A$5:$A$1749,0)),"")</f>
        <v>2.0489999999999999</v>
      </c>
      <c r="L531" s="225">
        <f>IFERROR(K531-(TBIcalc!$H$9+TBIcalc!$H$10),"")</f>
        <v>1.7991999999999999</v>
      </c>
      <c r="M531" s="391">
        <f>AVERAGE(Ashed_controlls!$K$2:$K$11)</f>
        <v>5.5147656768714146</v>
      </c>
      <c r="N531" s="225">
        <f t="shared" si="44"/>
        <v>1.6999783359417293</v>
      </c>
      <c r="O531" s="225">
        <f>IF(IFERROR(INDEX('Both teabags AfterWet'!$C$3:$C$841,MATCH(J531,'Both teabags AfterWet'!$A$3:$A$841,0)),"")="","",(IFERROR(INDEX('Both teabags AfterWet'!$C$3:$C$841,MATCH(J531,'Both teabags AfterWet'!$A$3:$A$841,0)),"")))</f>
        <v>0.78380000000000005</v>
      </c>
      <c r="P531" s="225">
        <f>IFERROR(IF(O531&gt;0,O531-(TBIcalc!$H$9),""),"")</f>
        <v>0.63319999999999999</v>
      </c>
      <c r="Q531" s="225">
        <f>IFERROR(INDEX('Ashed teabags wet'!$K$2:$K$821,MATCH(J531,'Ashed teabags wet'!$A$2:$A$821,0)),"")</f>
        <v>6.6735644076571221</v>
      </c>
      <c r="R531" s="225">
        <f t="shared" si="47"/>
        <v>0.59094299017071505</v>
      </c>
      <c r="S531" s="226">
        <f>'WetLitterbags placem_collection'!E92</f>
        <v>42767</v>
      </c>
      <c r="T531" s="226">
        <f>IF('WetLitterbags placem_collection'!G92="","",'WetLitterbags placem_collection'!G92)</f>
        <v>42819</v>
      </c>
      <c r="U531" s="227">
        <f t="shared" si="43"/>
        <v>52</v>
      </c>
      <c r="V531" s="225">
        <f t="shared" si="45"/>
        <v>1.1659999999999999</v>
      </c>
      <c r="W531" s="225">
        <f t="shared" si="46"/>
        <v>1.1090353457710143</v>
      </c>
      <c r="X531">
        <f>IFERROR(INDEX(Rainfall_Wet!$O$2:$O$217,MATCH(B531, Rainfall_Wet!$A$2:$A$217,0)),"")</f>
        <v>194.93009798400001</v>
      </c>
      <c r="Y531" s="231">
        <v>28.145762029394</v>
      </c>
      <c r="Z531" s="231">
        <v>25.085564727199518</v>
      </c>
      <c r="AA531" s="231">
        <v>46.768673243406489</v>
      </c>
      <c r="AB531" s="232" t="s">
        <v>2670</v>
      </c>
      <c r="AC531" s="231">
        <v>3.1716214884179399</v>
      </c>
      <c r="AD531">
        <f>IF('WetLitterbags placem_collection'!AB92="","",'WetLitterbags placem_collection'!AB92)</f>
        <v>7.7</v>
      </c>
      <c r="AE531">
        <f>IF('WetLitterbags placem_collection'!Z92="","",'WetLitterbags placem_collection'!Z92)</f>
        <v>30.4</v>
      </c>
      <c r="AF531" s="246" t="str">
        <f>IF('WetLitterbags placem_collection'!AA92="","",'WetLitterbags placem_collection'!AA92)</f>
        <v>O</v>
      </c>
      <c r="AG531">
        <f>IF('WetLitterbags placem_collection'!AC92="","",'WetLitterbags placem_collection'!AC92)</f>
        <v>0</v>
      </c>
      <c r="AH531" s="24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placem_collection'!X92)),"YES","NO")</f>
        <v>NO</v>
      </c>
      <c r="AM531" t="str">
        <f>IF(ISNUMBER(SEARCH("H", 'WetLitterbags placem_collection'!X92)),"YES","NO")</f>
        <v>NO</v>
      </c>
      <c r="AN531" t="str">
        <f>IF(ISNUMBER(SEARCH("R", 'WetLitterbags placem_collection'!X92)),"YES","NO")</f>
        <v>NO</v>
      </c>
    </row>
    <row r="532" spans="1:40" ht="15" customHeight="1">
      <c r="A532" s="258" t="s">
        <v>2460</v>
      </c>
      <c r="B532" s="263">
        <f>'Dry_Litterbag Placem_Collection'!A93</f>
        <v>91</v>
      </c>
      <c r="C532" s="263" t="str">
        <f>'Dry_Litterbag Placem_Collection'!B93</f>
        <v>Maswa</v>
      </c>
      <c r="D532" s="263" t="s">
        <v>2659</v>
      </c>
      <c r="E532" s="263" t="s">
        <v>2661</v>
      </c>
      <c r="F532" s="263">
        <v>4</v>
      </c>
      <c r="G532" s="264" t="str">
        <f>'Dry_Litterbag Placem_Collection'!C93</f>
        <v>Dry_W4_T3</v>
      </c>
      <c r="H532" s="273" t="s">
        <v>3651</v>
      </c>
      <c r="I532" s="266" t="s">
        <v>1147</v>
      </c>
      <c r="J532" s="223" t="str">
        <f>'WetLitterbags placem_collection'!O93</f>
        <v>G547</v>
      </c>
      <c r="K532" s="225">
        <f>IFERROR(INDEX('Green_rooibos initial weight'!$C$5:$C$1749,MATCH(J532, 'Green_rooibos initial weight'!$A$5:$A$1749,0)),"")</f>
        <v>2.121</v>
      </c>
      <c r="L532" s="225">
        <f>IFERROR(K532-(TBIcalc!$H$9+TBIcalc!$H$10),"")</f>
        <v>1.8712</v>
      </c>
      <c r="M532" s="391">
        <f>AVERAGE(Ashed_controlls!$K$2:$K$11)</f>
        <v>5.5147656768714146</v>
      </c>
      <c r="N532" s="225">
        <f t="shared" si="44"/>
        <v>1.7680077046543821</v>
      </c>
      <c r="O532" s="225">
        <f>IF(IFERROR(INDEX('Both teabags AfterWet'!$C$3:$C$841,MATCH(J532,'Both teabags AfterWet'!$A$3:$A$841,0)),"")="","",(IFERROR(INDEX('Both teabags AfterWet'!$C$3:$C$841,MATCH(J532,'Both teabags AfterWet'!$A$3:$A$841,0)),"")))</f>
        <v>1.069</v>
      </c>
      <c r="P532" s="225">
        <f>IFERROR(IF(O532&gt;0,O532-(TBIcalc!$H$9),""),"")</f>
        <v>0.91839999999999988</v>
      </c>
      <c r="Q532" s="225">
        <f>IFERROR(INDEX('Ashed teabags wet'!$K$2:$K$821,MATCH(J532,'Ashed teabags wet'!$A$2:$A$821,0)),"")</f>
        <v>26.348448687350785</v>
      </c>
      <c r="R532" s="225">
        <f t="shared" si="47"/>
        <v>0.67641584725537029</v>
      </c>
      <c r="S532" s="226">
        <f>'WetLitterbags placem_collection'!E93</f>
        <v>42767</v>
      </c>
      <c r="T532" s="226">
        <f>IF('WetLitterbags placem_collection'!G93="","",'WetLitterbags placem_collection'!G93)</f>
        <v>42819</v>
      </c>
      <c r="U532" s="227">
        <f t="shared" si="43"/>
        <v>52</v>
      </c>
      <c r="V532" s="225">
        <f t="shared" si="45"/>
        <v>0.95280000000000009</v>
      </c>
      <c r="W532" s="225">
        <f t="shared" si="46"/>
        <v>1.0915918573990118</v>
      </c>
      <c r="X532">
        <f>IFERROR(INDEX(Rainfall_Wet!$O$2:$O$217,MATCH(B532, Rainfall_Wet!$A$2:$A$217,0)),"")</f>
        <v>194.93009798400001</v>
      </c>
      <c r="Y532" s="231">
        <v>28.145762029394</v>
      </c>
      <c r="Z532" s="231">
        <v>25.085564727199518</v>
      </c>
      <c r="AA532" s="231">
        <v>46.768673243406489</v>
      </c>
      <c r="AB532" s="232" t="s">
        <v>2670</v>
      </c>
      <c r="AC532" s="231">
        <v>4.1716214884179399</v>
      </c>
      <c r="AD532">
        <f>IF('WetLitterbags placem_collection'!AB93="","",'WetLitterbags placem_collection'!AB93)</f>
        <v>6.1</v>
      </c>
      <c r="AE532">
        <f>IF('WetLitterbags placem_collection'!Z93="","",'WetLitterbags placem_collection'!Z93)</f>
        <v>39.4</v>
      </c>
      <c r="AF532" s="246" t="str">
        <f>IF('WetLitterbags placem_collection'!AA93="","",'WetLitterbags placem_collection'!AA93)</f>
        <v>O</v>
      </c>
      <c r="AG532">
        <f>IF('WetLitterbags placem_collection'!AC93="","",'WetLitterbags placem_collection'!AC93)</f>
        <v>1</v>
      </c>
      <c r="AH532" s="24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placem_collection'!X93)),"YES","NO")</f>
        <v>NO</v>
      </c>
      <c r="AM532" t="str">
        <f>IF(ISNUMBER(SEARCH("H", 'WetLitterbags placem_collection'!X93)),"YES","NO")</f>
        <v>NO</v>
      </c>
      <c r="AN532" t="str">
        <f>IF(ISNUMBER(SEARCH("R", 'WetLitterbags placem_collection'!X93)),"YES","NO")</f>
        <v>YES</v>
      </c>
    </row>
    <row r="533" spans="1:40" ht="15" customHeight="1">
      <c r="A533" s="258" t="s">
        <v>2460</v>
      </c>
      <c r="B533" s="263">
        <f>'Dry_Litterbag Placem_Collection'!A94</f>
        <v>92</v>
      </c>
      <c r="C533" s="263" t="str">
        <f>'Dry_Litterbag Placem_Collection'!B94</f>
        <v>Maswa</v>
      </c>
      <c r="D533" s="263" t="s">
        <v>2659</v>
      </c>
      <c r="E533" s="263" t="s">
        <v>2661</v>
      </c>
      <c r="F533" s="263">
        <v>4</v>
      </c>
      <c r="G533" s="264" t="str">
        <f>'Dry_Litterbag Placem_Collection'!C94</f>
        <v>Dry_W4_T4</v>
      </c>
      <c r="H533" s="273" t="s">
        <v>3651</v>
      </c>
      <c r="I533" s="266" t="s">
        <v>1147</v>
      </c>
      <c r="J533" s="223" t="str">
        <f>'WetLitterbags placem_collection'!O94</f>
        <v>G763</v>
      </c>
      <c r="K533" s="225">
        <f>IFERROR(INDEX('Green_rooibos initial weight'!$C$5:$C$1749,MATCH(J533, 'Green_rooibos initial weight'!$A$5:$A$1749,0)),"")</f>
        <v>2.0590000000000002</v>
      </c>
      <c r="L533" s="225">
        <f>IFERROR(K533-(TBIcalc!$H$9+TBIcalc!$H$10),"")</f>
        <v>1.8092000000000001</v>
      </c>
      <c r="M533" s="391">
        <f>AVERAGE(Ashed_controlls!$K$2:$K$11)</f>
        <v>5.5147656768714146</v>
      </c>
      <c r="N533" s="225">
        <f t="shared" si="44"/>
        <v>1.7094268593740425</v>
      </c>
      <c r="O533" s="225" t="str">
        <f>IF(IFERROR(INDEX('Both teabags AfterWet'!$C$3:$C$841,MATCH(J533,'Both teabags AfterWet'!$A$3:$A$841,0)),"")="","",(IFERROR(INDEX('Both teabags AfterWet'!$C$3:$C$841,MATCH(J533,'Both teabags AfterWet'!$A$3:$A$841,0)),"")))</f>
        <v/>
      </c>
      <c r="P533" s="225" t="str">
        <f>IFERROR(IF(O533&gt;0,O533-(TBIcalc!$H$9),""),"")</f>
        <v/>
      </c>
      <c r="Q533" s="225">
        <f>IFERROR(INDEX('Ashed teabags wet'!$K$2:$K$821,MATCH(J533,'Ashed teabags wet'!$A$2:$A$821,0)),"")</f>
        <v>39.468503937007327</v>
      </c>
      <c r="R533" s="225" t="str">
        <f t="shared" si="47"/>
        <v/>
      </c>
      <c r="S533" s="226">
        <f>'WetLitterbags placem_collection'!E94</f>
        <v>42767</v>
      </c>
      <c r="T533" s="226">
        <f>IF('WetLitterbags placem_collection'!G94="","",'WetLitterbags placem_collection'!G94)</f>
        <v>42819</v>
      </c>
      <c r="U533" s="227">
        <f t="shared" si="43"/>
        <v>52</v>
      </c>
      <c r="V533" s="225" t="str">
        <f t="shared" si="45"/>
        <v/>
      </c>
      <c r="W533" s="225" t="str">
        <f t="shared" si="46"/>
        <v/>
      </c>
      <c r="X533">
        <f>IFERROR(INDEX(Rainfall_Wet!$O$2:$O$217,MATCH(B533, Rainfall_Wet!$A$2:$A$217,0)),"")</f>
        <v>194.93009798400001</v>
      </c>
      <c r="Y533" s="231">
        <v>28.145762029394</v>
      </c>
      <c r="Z533" s="231">
        <v>25.085564727199518</v>
      </c>
      <c r="AA533" s="231">
        <v>46.768673243406489</v>
      </c>
      <c r="AB533" s="232" t="s">
        <v>2670</v>
      </c>
      <c r="AC533" s="231">
        <v>5.1716214884179399</v>
      </c>
      <c r="AD533">
        <f>IF('WetLitterbags placem_collection'!AB94="","",'WetLitterbags placem_collection'!AB94)</f>
        <v>7.7</v>
      </c>
      <c r="AE533">
        <f>IF('WetLitterbags placem_collection'!Z94="","",'WetLitterbags placem_collection'!Z94)</f>
        <v>24.8</v>
      </c>
      <c r="AF533" s="246" t="str">
        <f>IF('WetLitterbags placem_collection'!AA94="","",'WetLitterbags placem_collection'!AA94)</f>
        <v>O</v>
      </c>
      <c r="AG533">
        <f>IF('WetLitterbags placem_collection'!AC94="","",'WetLitterbags placem_collection'!AC94)</f>
        <v>1</v>
      </c>
      <c r="AH533" s="24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placem_collection'!X94)),"YES","NO")</f>
        <v>NO</v>
      </c>
      <c r="AM533" t="str">
        <f>IF(ISNUMBER(SEARCH("H", 'WetLitterbags placem_collection'!X94)),"YES","NO")</f>
        <v>NO</v>
      </c>
      <c r="AN533" t="str">
        <f>IF(ISNUMBER(SEARCH("R", 'WetLitterbags placem_collection'!X94)),"YES","NO")</f>
        <v>YES</v>
      </c>
    </row>
    <row r="534" spans="1:40" ht="15" customHeight="1">
      <c r="A534" s="258" t="s">
        <v>2460</v>
      </c>
      <c r="B534" s="263">
        <f>'Dry_Litterbag Placem_Collection'!A95</f>
        <v>93</v>
      </c>
      <c r="C534" s="263" t="str">
        <f>'Dry_Litterbag Placem_Collection'!B95</f>
        <v>Maswa</v>
      </c>
      <c r="D534" s="263" t="s">
        <v>2659</v>
      </c>
      <c r="E534" s="263" t="s">
        <v>2661</v>
      </c>
      <c r="F534" s="263">
        <v>4</v>
      </c>
      <c r="G534" s="264" t="str">
        <f>'Dry_Litterbag Placem_Collection'!C95</f>
        <v>Dry_W4_T5</v>
      </c>
      <c r="H534" s="273" t="s">
        <v>3651</v>
      </c>
      <c r="I534" s="266" t="s">
        <v>1147</v>
      </c>
      <c r="J534" s="223" t="str">
        <f>'WetLitterbags placem_collection'!O95</f>
        <v>G424</v>
      </c>
      <c r="K534" s="225">
        <f>IFERROR(INDEX('Green_rooibos initial weight'!$C$5:$C$1749,MATCH(J534, 'Green_rooibos initial weight'!$A$5:$A$1749,0)),"")</f>
        <v>1.9590000000000001</v>
      </c>
      <c r="L534" s="225">
        <f>IFERROR(K534-(TBIcalc!$H$9+TBIcalc!$H$10),"")</f>
        <v>1.7092000000000001</v>
      </c>
      <c r="M534" s="391">
        <f>AVERAGE(Ashed_controlls!$K$2:$K$11)</f>
        <v>5.5147656768714146</v>
      </c>
      <c r="N534" s="225">
        <f t="shared" si="44"/>
        <v>1.6149416250509139</v>
      </c>
      <c r="O534" s="225">
        <f>IF(IFERROR(INDEX('Both teabags AfterWet'!$C$3:$C$841,MATCH(J534,'Both teabags AfterWet'!$A$3:$A$841,0)),"")="","",(IFERROR(INDEX('Both teabags AfterWet'!$C$3:$C$841,MATCH(J534,'Both teabags AfterWet'!$A$3:$A$841,0)),"")))</f>
        <v>0.66039999999999999</v>
      </c>
      <c r="P534" s="225">
        <f>IFERROR(IF(O534&gt;0,O534-(TBIcalc!$H$9),""),"")</f>
        <v>0.50980000000000003</v>
      </c>
      <c r="Q534" s="225">
        <f>IFERROR(INDEX('Ashed teabags wet'!$K$2:$K$821,MATCH(J534,'Ashed teabags wet'!$A$2:$A$821,0)),"")</f>
        <v>9.5166915794729583</v>
      </c>
      <c r="R534" s="225">
        <f t="shared" si="47"/>
        <v>0.46128390632784688</v>
      </c>
      <c r="S534" s="226">
        <f>'WetLitterbags placem_collection'!E95</f>
        <v>42767</v>
      </c>
      <c r="T534" s="226">
        <f>IF('WetLitterbags placem_collection'!G95="","",'WetLitterbags placem_collection'!G95)</f>
        <v>42819</v>
      </c>
      <c r="U534" s="227">
        <f t="shared" si="43"/>
        <v>52</v>
      </c>
      <c r="V534" s="225">
        <f t="shared" si="45"/>
        <v>1.1994</v>
      </c>
      <c r="W534" s="225">
        <f t="shared" si="46"/>
        <v>1.153657718723067</v>
      </c>
      <c r="X534">
        <f>IFERROR(INDEX(Rainfall_Wet!$O$2:$O$217,MATCH(B534, Rainfall_Wet!$A$2:$A$217,0)),"")</f>
        <v>194.93009798400001</v>
      </c>
      <c r="Y534" s="231">
        <v>28.145762029394</v>
      </c>
      <c r="Z534" s="231">
        <v>25.085564727199518</v>
      </c>
      <c r="AA534" s="231">
        <v>46.768673243406489</v>
      </c>
      <c r="AB534" s="232" t="s">
        <v>2670</v>
      </c>
      <c r="AC534" s="231">
        <v>6.1716214884179399</v>
      </c>
      <c r="AD534">
        <f>IF('WetLitterbags placem_collection'!AB95="","",'WetLitterbags placem_collection'!AB95)</f>
        <v>6.6</v>
      </c>
      <c r="AE534">
        <f>IF('WetLitterbags placem_collection'!Z95="","",'WetLitterbags placem_collection'!Z95)</f>
        <v>40</v>
      </c>
      <c r="AF534" s="246" t="str">
        <f>IF('WetLitterbags placem_collection'!AA95="","",'WetLitterbags placem_collection'!AA95)</f>
        <v>O</v>
      </c>
      <c r="AG534">
        <f>IF('WetLitterbags placem_collection'!AC95="","",'WetLitterbags placem_collection'!AC95)</f>
        <v>1</v>
      </c>
      <c r="AH534" s="24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placem_collection'!X95)),"YES","NO")</f>
        <v>NO</v>
      </c>
      <c r="AM534" t="str">
        <f>IF(ISNUMBER(SEARCH("H", 'WetLitterbags placem_collection'!X95)),"YES","NO")</f>
        <v>NO</v>
      </c>
      <c r="AN534" t="str">
        <f>IF(ISNUMBER(SEARCH("R", 'WetLitterbags placem_collection'!X95)),"YES","NO")</f>
        <v>YES</v>
      </c>
    </row>
    <row r="535" spans="1:40" ht="15" customHeight="1">
      <c r="A535" s="258" t="s">
        <v>2460</v>
      </c>
      <c r="B535" s="263">
        <f>'Dry_Litterbag Placem_Collection'!A96</f>
        <v>94</v>
      </c>
      <c r="C535" s="263" t="str">
        <f>'Dry_Litterbag Placem_Collection'!B96</f>
        <v>Maswa</v>
      </c>
      <c r="D535" s="263" t="s">
        <v>2659</v>
      </c>
      <c r="E535" s="263" t="s">
        <v>2661</v>
      </c>
      <c r="F535" s="263">
        <v>4</v>
      </c>
      <c r="G535" s="264" t="str">
        <f>'Dry_Litterbag Placem_Collection'!C96</f>
        <v>Dry_W4_T6</v>
      </c>
      <c r="H535" s="273" t="s">
        <v>3651</v>
      </c>
      <c r="I535" s="266" t="s">
        <v>1147</v>
      </c>
      <c r="J535" s="223" t="str">
        <f>'WetLitterbags placem_collection'!O96</f>
        <v>G588</v>
      </c>
      <c r="K535" s="225">
        <f>IFERROR(INDEX('Green_rooibos initial weight'!$C$5:$C$1749,MATCH(J535, 'Green_rooibos initial weight'!$A$5:$A$1749,0)),"")</f>
        <v>2.14</v>
      </c>
      <c r="L535" s="225">
        <f>IFERROR(K535-(TBIcalc!$H$9+TBIcalc!$H$10),"")</f>
        <v>1.8902000000000001</v>
      </c>
      <c r="M535" s="391">
        <f>AVERAGE(Ashed_controlls!$K$2:$K$11)</f>
        <v>5.5147656768714146</v>
      </c>
      <c r="N535" s="225">
        <f t="shared" si="44"/>
        <v>1.7859598991757766</v>
      </c>
      <c r="O535" s="225" t="str">
        <f>IF(IFERROR(INDEX('Both teabags AfterWet'!$C$3:$C$841,MATCH(J535,'Both teabags AfterWet'!$A$3:$A$841,0)),"")="","",(IFERROR(INDEX('Both teabags AfterWet'!$C$3:$C$841,MATCH(J535,'Both teabags AfterWet'!$A$3:$A$841,0)),"")))</f>
        <v/>
      </c>
      <c r="P535" s="225" t="str">
        <f>IFERROR(IF(O535&gt;0,O535-(TBIcalc!$H$9),""),"")</f>
        <v/>
      </c>
      <c r="Q535" s="225" t="str">
        <f>IFERROR(INDEX('Ashed teabags wet'!$K$2:$K$821,MATCH(J535,'Ashed teabags wet'!$A$2:$A$821,0)),"")</f>
        <v/>
      </c>
      <c r="R535" s="225" t="str">
        <f t="shared" si="47"/>
        <v/>
      </c>
      <c r="S535" s="226">
        <f>'WetLitterbags placem_collection'!E96</f>
        <v>42767</v>
      </c>
      <c r="T535" s="226" t="str">
        <f>IF('WetLitterbags placem_collection'!G96="","",'WetLitterbags placem_collection'!G96)</f>
        <v/>
      </c>
      <c r="U535" s="227" t="str">
        <f t="shared" si="43"/>
        <v/>
      </c>
      <c r="V535" s="225" t="str">
        <f t="shared" si="45"/>
        <v/>
      </c>
      <c r="W535" s="225" t="str">
        <f t="shared" si="46"/>
        <v/>
      </c>
      <c r="X535" t="str">
        <f>IFERROR(INDEX(Rainfall_Wet!$O$2:$O$217,MATCH(B535, Rainfall_Wet!$A$2:$A$217,0)),"")</f>
        <v/>
      </c>
      <c r="Y535" s="231">
        <v>28.145762029394</v>
      </c>
      <c r="Z535" s="231">
        <v>25.085564727199518</v>
      </c>
      <c r="AA535" s="231">
        <v>46.768673243406489</v>
      </c>
      <c r="AB535" s="232" t="s">
        <v>2670</v>
      </c>
      <c r="AC535" s="231">
        <v>7.1716214884179399</v>
      </c>
      <c r="AD535" t="str">
        <f>IF('WetLitterbags placem_collection'!AB96="","",'WetLitterbags placem_collection'!AB96)</f>
        <v/>
      </c>
      <c r="AE535" t="str">
        <f>IF('WetLitterbags placem_collection'!Z96="","",'WetLitterbags placem_collection'!Z96)</f>
        <v/>
      </c>
      <c r="AF535" s="246" t="str">
        <f>IF('WetLitterbags placem_collection'!AA96="","",'WetLitterbags placem_collection'!AA96)</f>
        <v/>
      </c>
      <c r="AG535" t="str">
        <f>IF('WetLitterbags placem_collection'!AC96="","",'WetLitterbags placem_collection'!AC96)</f>
        <v/>
      </c>
      <c r="AH535" s="24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placem_collection'!X96)),"YES","NO")</f>
        <v>NO</v>
      </c>
      <c r="AM535" t="str">
        <f>IF(ISNUMBER(SEARCH("H", 'WetLitterbags placem_collection'!X96)),"YES","NO")</f>
        <v>NO</v>
      </c>
      <c r="AN535" t="str">
        <f>IF(ISNUMBER(SEARCH("R", 'WetLitterbags placem_collection'!X96)),"YES","NO")</f>
        <v>NO</v>
      </c>
    </row>
    <row r="536" spans="1:40" ht="15" customHeight="1">
      <c r="A536" s="258" t="s">
        <v>2460</v>
      </c>
      <c r="B536" s="263">
        <f>'Dry_Litterbag Placem_Collection'!A97</f>
        <v>95</v>
      </c>
      <c r="C536" s="263" t="str">
        <f>'Dry_Litterbag Placem_Collection'!B97</f>
        <v>Maswa</v>
      </c>
      <c r="D536" s="263" t="s">
        <v>2659</v>
      </c>
      <c r="E536" s="263" t="s">
        <v>2661</v>
      </c>
      <c r="F536" s="263">
        <v>4</v>
      </c>
      <c r="G536" s="264" t="str">
        <f>'Dry_Litterbag Placem_Collection'!C97</f>
        <v>Dry_W4_T7</v>
      </c>
      <c r="H536" s="273" t="s">
        <v>3651</v>
      </c>
      <c r="I536" s="266" t="s">
        <v>1147</v>
      </c>
      <c r="J536" s="223" t="str">
        <f>'WetLitterbags placem_collection'!O97</f>
        <v>G486</v>
      </c>
      <c r="K536" s="225">
        <f>IFERROR(INDEX('Green_rooibos initial weight'!$C$5:$C$1749,MATCH(J536, 'Green_rooibos initial weight'!$A$5:$A$1749,0)),"")</f>
        <v>2.0049999999999999</v>
      </c>
      <c r="L536" s="225">
        <f>IFERROR(K536-(TBIcalc!$H$9+TBIcalc!$H$10),"")</f>
        <v>1.7551999999999999</v>
      </c>
      <c r="M536" s="391">
        <f>AVERAGE(Ashed_controlls!$K$2:$K$11)</f>
        <v>5.5147656768714146</v>
      </c>
      <c r="N536" s="225">
        <f t="shared" si="44"/>
        <v>1.6584048328395529</v>
      </c>
      <c r="O536" s="225">
        <f>IF(IFERROR(INDEX('Both teabags AfterWet'!$C$3:$C$841,MATCH(J536,'Both teabags AfterWet'!$A$3:$A$841,0)),"")="","",(IFERROR(INDEX('Both teabags AfterWet'!$C$3:$C$841,MATCH(J536,'Both teabags AfterWet'!$A$3:$A$841,0)),"")))</f>
        <v>0.90400000000000003</v>
      </c>
      <c r="P536" s="225">
        <f>IFERROR(IF(O536&gt;0,O536-(TBIcalc!$H$9),""),"")</f>
        <v>0.75340000000000007</v>
      </c>
      <c r="Q536" s="225">
        <f>IFERROR(INDEX('Ashed teabags wet'!$K$2:$K$821,MATCH(J536,'Ashed teabags wet'!$A$2:$A$821,0)),"")</f>
        <v>17.120622568093445</v>
      </c>
      <c r="R536" s="225">
        <f t="shared" si="47"/>
        <v>0.62441322957198397</v>
      </c>
      <c r="S536" s="226">
        <f>'WetLitterbags placem_collection'!E97</f>
        <v>42767</v>
      </c>
      <c r="T536" s="226">
        <f>IF('WetLitterbags placem_collection'!G97="","",'WetLitterbags placem_collection'!G97)</f>
        <v>42819</v>
      </c>
      <c r="U536" s="227">
        <f t="shared" si="43"/>
        <v>52</v>
      </c>
      <c r="V536" s="225">
        <f t="shared" si="45"/>
        <v>1.0017999999999998</v>
      </c>
      <c r="W536" s="225">
        <f t="shared" si="46"/>
        <v>1.0339916032675689</v>
      </c>
      <c r="X536">
        <f>IFERROR(INDEX(Rainfall_Wet!$O$2:$O$217,MATCH(B536, Rainfall_Wet!$A$2:$A$217,0)),"")</f>
        <v>194.93009798400001</v>
      </c>
      <c r="Y536" s="231">
        <v>28.145762029394</v>
      </c>
      <c r="Z536" s="231">
        <v>25.085564727199518</v>
      </c>
      <c r="AA536" s="231">
        <v>46.768673243406489</v>
      </c>
      <c r="AB536" s="232" t="s">
        <v>2670</v>
      </c>
      <c r="AC536" s="231">
        <v>8.1716214884179408</v>
      </c>
      <c r="AD536">
        <f>IF('WetLitterbags placem_collection'!AB97="","",'WetLitterbags placem_collection'!AB97)</f>
        <v>5.4</v>
      </c>
      <c r="AE536">
        <f>IF('WetLitterbags placem_collection'!Z97="","",'WetLitterbags placem_collection'!Z97)</f>
        <v>15.2</v>
      </c>
      <c r="AF536" s="246" t="str">
        <f>IF('WetLitterbags placem_collection'!AA97="","",'WetLitterbags placem_collection'!AA97)</f>
        <v>O</v>
      </c>
      <c r="AG536">
        <f>IF('WetLitterbags placem_collection'!AC97="","",'WetLitterbags placem_collection'!AC97)</f>
        <v>0</v>
      </c>
      <c r="AH536" s="24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placem_collection'!X97)),"YES","NO")</f>
        <v>NO</v>
      </c>
      <c r="AM536" t="str">
        <f>IF(ISNUMBER(SEARCH("H", 'WetLitterbags placem_collection'!X97)),"YES","NO")</f>
        <v>NO</v>
      </c>
      <c r="AN536" t="str">
        <f>IF(ISNUMBER(SEARCH("R", 'WetLitterbags placem_collection'!X97)),"YES","NO")</f>
        <v>YES</v>
      </c>
    </row>
    <row r="537" spans="1:40" ht="15" customHeight="1">
      <c r="A537" s="258" t="s">
        <v>2460</v>
      </c>
      <c r="B537" s="263">
        <f>'Dry_Litterbag Placem_Collection'!A98</f>
        <v>96</v>
      </c>
      <c r="C537" s="263" t="str">
        <f>'Dry_Litterbag Placem_Collection'!B98</f>
        <v>Maswa</v>
      </c>
      <c r="D537" s="263" t="s">
        <v>2659</v>
      </c>
      <c r="E537" s="263" t="s">
        <v>2661</v>
      </c>
      <c r="F537" s="263">
        <v>4</v>
      </c>
      <c r="G537" s="264" t="str">
        <f>'Dry_Litterbag Placem_Collection'!C98</f>
        <v>Dry_W4_T8</v>
      </c>
      <c r="H537" s="273" t="s">
        <v>3651</v>
      </c>
      <c r="I537" s="266" t="s">
        <v>1147</v>
      </c>
      <c r="J537" s="223" t="str">
        <f>'WetLitterbags placem_collection'!O98</f>
        <v>G545</v>
      </c>
      <c r="K537" s="225">
        <f>IFERROR(INDEX('Green_rooibos initial weight'!$C$5:$C$1749,MATCH(J537, 'Green_rooibos initial weight'!$A$5:$A$1749,0)),"")</f>
        <v>2.0720000000000001</v>
      </c>
      <c r="L537" s="225">
        <f>IFERROR(K537-(TBIcalc!$H$9+TBIcalc!$H$10),"")</f>
        <v>1.8222</v>
      </c>
      <c r="M537" s="391">
        <f>AVERAGE(Ashed_controlls!$K$2:$K$11)</f>
        <v>5.5147656768714146</v>
      </c>
      <c r="N537" s="225">
        <f t="shared" si="44"/>
        <v>1.7217099398360491</v>
      </c>
      <c r="O537" s="225">
        <f>IF(IFERROR(INDEX('Both teabags AfterWet'!$C$3:$C$841,MATCH(J537,'Both teabags AfterWet'!$A$3:$A$841,0)),"")="","",(IFERROR(INDEX('Both teabags AfterWet'!$C$3:$C$841,MATCH(J537,'Both teabags AfterWet'!$A$3:$A$841,0)),"")))</f>
        <v>0.73950000000000005</v>
      </c>
      <c r="P537" s="225">
        <f>IFERROR(IF(O537&gt;0,O537-(TBIcalc!$H$9),""),"")</f>
        <v>0.58889999999999998</v>
      </c>
      <c r="Q537" s="225">
        <f>IFERROR(INDEX('Ashed teabags wet'!$K$2:$K$821,MATCH(J537,'Ashed teabags wet'!$A$2:$A$821,0)),"")</f>
        <v>13.426156141222759</v>
      </c>
      <c r="R537" s="225">
        <f t="shared" si="47"/>
        <v>0.50983336648433919</v>
      </c>
      <c r="S537" s="226">
        <f>'WetLitterbags placem_collection'!E98</f>
        <v>42767</v>
      </c>
      <c r="T537" s="226">
        <f>IF('WetLitterbags placem_collection'!G98="","",'WetLitterbags placem_collection'!G98)</f>
        <v>42819</v>
      </c>
      <c r="U537" s="227">
        <f t="shared" si="43"/>
        <v>52</v>
      </c>
      <c r="V537" s="225">
        <f t="shared" si="45"/>
        <v>1.2333000000000001</v>
      </c>
      <c r="W537" s="225">
        <f t="shared" si="46"/>
        <v>1.2118765733517098</v>
      </c>
      <c r="X537">
        <f>IFERROR(INDEX(Rainfall_Wet!$O$2:$O$217,MATCH(B537, Rainfall_Wet!$A$2:$A$217,0)),"")</f>
        <v>194.93009798400001</v>
      </c>
      <c r="Y537" s="231">
        <v>28.145762029394</v>
      </c>
      <c r="Z537" s="231">
        <v>25.085564727199518</v>
      </c>
      <c r="AA537" s="231">
        <v>46.768673243406489</v>
      </c>
      <c r="AB537" s="232" t="s">
        <v>2670</v>
      </c>
      <c r="AC537" s="231">
        <v>9.1716214884179408</v>
      </c>
      <c r="AD537">
        <f>IF('WetLitterbags placem_collection'!AB98="","",'WetLitterbags placem_collection'!AB98)</f>
        <v>4</v>
      </c>
      <c r="AE537">
        <f>IF('WetLitterbags placem_collection'!Z98="","",'WetLitterbags placem_collection'!Z98)</f>
        <v>34.4</v>
      </c>
      <c r="AF537" s="246" t="str">
        <f>IF('WetLitterbags placem_collection'!AA98="","",'WetLitterbags placem_collection'!AA98)</f>
        <v>O</v>
      </c>
      <c r="AG537">
        <f>IF('WetLitterbags placem_collection'!AC98="","",'WetLitterbags placem_collection'!AC98)</f>
        <v>0</v>
      </c>
      <c r="AH537" s="24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placem_collection'!X98)),"YES","NO")</f>
        <v>NO</v>
      </c>
      <c r="AM537" t="str">
        <f>IF(ISNUMBER(SEARCH("H", 'WetLitterbags placem_collection'!X98)),"YES","NO")</f>
        <v>NO</v>
      </c>
      <c r="AN537" t="str">
        <f>IF(ISNUMBER(SEARCH("R", 'WetLitterbags placem_collection'!X98)),"YES","NO")</f>
        <v>YES</v>
      </c>
    </row>
    <row r="538" spans="1:40" ht="15" customHeight="1">
      <c r="A538" s="258" t="s">
        <v>2460</v>
      </c>
      <c r="B538" s="263">
        <f>'Dry_Litterbag Placem_Collection'!A99</f>
        <v>97</v>
      </c>
      <c r="C538" s="263" t="str">
        <f>'Dry_Litterbag Placem_Collection'!B99</f>
        <v xml:space="preserve">Mwantimba
</v>
      </c>
      <c r="D538" s="263" t="s">
        <v>2659</v>
      </c>
      <c r="E538" s="263" t="s">
        <v>2660</v>
      </c>
      <c r="F538" s="263">
        <v>1</v>
      </c>
      <c r="G538" s="264" t="str">
        <f>'Dry_Litterbag Placem_Collection'!C99</f>
        <v>Wet_Ag1_T1</v>
      </c>
      <c r="H538" s="273" t="s">
        <v>3651</v>
      </c>
      <c r="I538" s="266" t="s">
        <v>1147</v>
      </c>
      <c r="J538" s="223" t="str">
        <f>'WetLitterbags placem_collection'!O99</f>
        <v>G847</v>
      </c>
      <c r="K538" s="225">
        <f>IFERROR(INDEX('Green_rooibos initial weight'!$C$5:$C$1749,MATCH(J538, 'Green_rooibos initial weight'!$A$5:$A$1749,0)),"")</f>
        <v>2.1019999999999999</v>
      </c>
      <c r="L538" s="225">
        <f>IFERROR(K538-(TBIcalc!$H$9+TBIcalc!$H$10),"")</f>
        <v>1.8521999999999998</v>
      </c>
      <c r="M538" s="391">
        <f>AVERAGE(Ashed_controlls!$K$2:$K$11)</f>
        <v>5.5147656768714146</v>
      </c>
      <c r="N538" s="225">
        <f t="shared" si="44"/>
        <v>1.7500555101329875</v>
      </c>
      <c r="O538" s="225">
        <f>IF(IFERROR(INDEX('Both teabags AfterWet'!$C$3:$C$841,MATCH(J538,'Both teabags AfterWet'!$A$3:$A$841,0)),"")="","",(IFERROR(INDEX('Both teabags AfterWet'!$C$3:$C$841,MATCH(J538,'Both teabags AfterWet'!$A$3:$A$841,0)),"")))</f>
        <v>0.61809999999999998</v>
      </c>
      <c r="P538" s="225">
        <f>IFERROR(IF(O538&gt;0,O538-(TBIcalc!$H$9),""),"")</f>
        <v>0.46749999999999997</v>
      </c>
      <c r="Q538" s="225">
        <f>IFERROR(INDEX('Ashed teabags wet'!$K$2:$K$821,MATCH(J538,'Ashed teabags wet'!$A$2:$A$821,0)),"")</f>
        <v>21.620325982741679</v>
      </c>
      <c r="R538" s="225">
        <f t="shared" si="47"/>
        <v>0.36642497603068264</v>
      </c>
      <c r="S538" s="226">
        <f>'WetLitterbags placem_collection'!E99</f>
        <v>42762</v>
      </c>
      <c r="T538" s="226">
        <f>IF('WetLitterbags placem_collection'!G99="","",'WetLitterbags placem_collection'!G99)</f>
        <v>42816</v>
      </c>
      <c r="U538" s="227">
        <f t="shared" si="43"/>
        <v>54</v>
      </c>
      <c r="V538" s="225">
        <f t="shared" si="45"/>
        <v>1.3846999999999998</v>
      </c>
      <c r="W538" s="225">
        <f t="shared" si="46"/>
        <v>1.383630534102305</v>
      </c>
      <c r="X538">
        <f>IFERROR(INDEX(Rainfall_Wet!$O$2:$O$217,MATCH(B538, Rainfall_Wet!$A$2:$A$217,0)),"")</f>
        <v>206.85140822299999</v>
      </c>
      <c r="Y538" s="231">
        <v>45.96</v>
      </c>
      <c r="Z538" s="231">
        <v>14.920000000000003</v>
      </c>
      <c r="AA538" s="231">
        <v>39.119999999999997</v>
      </c>
      <c r="AB538" s="232" t="s">
        <v>2673</v>
      </c>
      <c r="AC538" s="231">
        <v>2.0374568753080333</v>
      </c>
      <c r="AD538">
        <f>IF('WetLitterbags placem_collection'!AB99="","",'WetLitterbags placem_collection'!AB99)</f>
        <v>2.4</v>
      </c>
      <c r="AE538">
        <f>IF('WetLitterbags placem_collection'!Z99="","",'WetLitterbags placem_collection'!Z99)</f>
        <v>8.9</v>
      </c>
      <c r="AF538" s="246" t="str">
        <f>IF('WetLitterbags placem_collection'!AA99="","",'WetLitterbags placem_collection'!AA99)</f>
        <v>G</v>
      </c>
      <c r="AG538">
        <f>IF('WetLitterbags placem_collection'!AC99="","",'WetLitterbags placem_collection'!AC99)</f>
        <v>1</v>
      </c>
      <c r="AH538" s="24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placem_collection'!X99)),"YES","NO")</f>
        <v>NO</v>
      </c>
      <c r="AM538" t="str">
        <f>IF(ISNUMBER(SEARCH("H", 'WetLitterbags placem_collection'!X99)),"YES","NO")</f>
        <v>NO</v>
      </c>
      <c r="AN538" t="str">
        <f>IF(ISNUMBER(SEARCH("R", 'WetLitterbags placem_collection'!X99)),"YES","NO")</f>
        <v>NO</v>
      </c>
    </row>
    <row r="539" spans="1:40" ht="15" customHeight="1">
      <c r="A539" s="258" t="s">
        <v>2460</v>
      </c>
      <c r="B539" s="263">
        <f>'Dry_Litterbag Placem_Collection'!A100</f>
        <v>98</v>
      </c>
      <c r="C539" s="263" t="str">
        <f>'Dry_Litterbag Placem_Collection'!B100</f>
        <v xml:space="preserve">Mwantimba
</v>
      </c>
      <c r="D539" s="263" t="s">
        <v>2659</v>
      </c>
      <c r="E539" s="263" t="s">
        <v>2660</v>
      </c>
      <c r="F539" s="263">
        <v>1</v>
      </c>
      <c r="G539" s="264" t="str">
        <f>'Dry_Litterbag Placem_Collection'!C100</f>
        <v>Wet_Ag1_T2</v>
      </c>
      <c r="H539" s="273" t="s">
        <v>3651</v>
      </c>
      <c r="I539" s="266" t="s">
        <v>1147</v>
      </c>
      <c r="J539" s="223" t="str">
        <f>'WetLitterbags placem_collection'!O100</f>
        <v>G730</v>
      </c>
      <c r="K539" s="225">
        <f>IFERROR(INDEX('Green_rooibos initial weight'!$C$5:$C$1749,MATCH(J539, 'Green_rooibos initial weight'!$A$5:$A$1749,0)),"")</f>
        <v>2.048</v>
      </c>
      <c r="L539" s="225">
        <f>IFERROR(K539-(TBIcalc!$H$9+TBIcalc!$H$10),"")</f>
        <v>1.7982</v>
      </c>
      <c r="M539" s="391">
        <f>AVERAGE(Ashed_controlls!$K$2:$K$11)</f>
        <v>5.5147656768714146</v>
      </c>
      <c r="N539" s="225">
        <f t="shared" si="44"/>
        <v>1.6990334835984982</v>
      </c>
      <c r="O539" s="225">
        <f>IF(IFERROR(INDEX('Both teabags AfterWet'!$C$3:$C$841,MATCH(J539,'Both teabags AfterWet'!$A$3:$A$841,0)),"")="","",(IFERROR(INDEX('Both teabags AfterWet'!$C$3:$C$841,MATCH(J539,'Both teabags AfterWet'!$A$3:$A$841,0)),"")))</f>
        <v>0.629</v>
      </c>
      <c r="P539" s="225">
        <f>IFERROR(IF(O539&gt;0,O539-(TBIcalc!$H$9),""),"")</f>
        <v>0.47839999999999999</v>
      </c>
      <c r="Q539" s="225">
        <f>IFERROR(INDEX('Ashed teabags wet'!$K$2:$K$821,MATCH(J539,'Ashed teabags wet'!$A$2:$A$821,0)),"")</f>
        <v>15.206692913385</v>
      </c>
      <c r="R539" s="225">
        <f t="shared" si="47"/>
        <v>0.40565118110236614</v>
      </c>
      <c r="S539" s="226">
        <f>'WetLitterbags placem_collection'!E100</f>
        <v>42762</v>
      </c>
      <c r="T539" s="226">
        <f>IF('WetLitterbags placem_collection'!G100="","",'WetLitterbags placem_collection'!G100)</f>
        <v>42816</v>
      </c>
      <c r="U539" s="227">
        <f t="shared" si="43"/>
        <v>54</v>
      </c>
      <c r="V539" s="225">
        <f t="shared" si="45"/>
        <v>1.3198000000000001</v>
      </c>
      <c r="W539" s="225">
        <f t="shared" si="46"/>
        <v>1.293382302496132</v>
      </c>
      <c r="X539">
        <f>IFERROR(INDEX(Rainfall_Wet!$O$2:$O$217,MATCH(B539, Rainfall_Wet!$A$2:$A$217,0)),"")</f>
        <v>206.85140822299999</v>
      </c>
      <c r="Y539" s="231">
        <v>45.96</v>
      </c>
      <c r="Z539" s="231">
        <v>14.920000000000003</v>
      </c>
      <c r="AA539" s="231">
        <v>39.119999999999997</v>
      </c>
      <c r="AB539" s="232" t="s">
        <v>2673</v>
      </c>
      <c r="AC539" s="231">
        <v>3.0374568753080302</v>
      </c>
      <c r="AD539">
        <f>IF('WetLitterbags placem_collection'!AB100="","",'WetLitterbags placem_collection'!AB100)</f>
        <v>7.8</v>
      </c>
      <c r="AE539">
        <f>IF('WetLitterbags placem_collection'!Z100="","",'WetLitterbags placem_collection'!Z100)</f>
        <v>4.45</v>
      </c>
      <c r="AF539" s="246" t="str">
        <f>IF('WetLitterbags placem_collection'!AA100="","",'WetLitterbags placem_collection'!AA100)</f>
        <v>G</v>
      </c>
      <c r="AG539">
        <f>IF('WetLitterbags placem_collection'!AC100="","",'WetLitterbags placem_collection'!AC100)</f>
        <v>1</v>
      </c>
      <c r="AH539" s="24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placem_collection'!X100)),"YES","NO")</f>
        <v>NO</v>
      </c>
      <c r="AM539" t="str">
        <f>IF(ISNUMBER(SEARCH("H", 'WetLitterbags placem_collection'!X100)),"YES","NO")</f>
        <v>NO</v>
      </c>
      <c r="AN539" t="str">
        <f>IF(ISNUMBER(SEARCH("R", 'WetLitterbags placem_collection'!X100)),"YES","NO")</f>
        <v>NO</v>
      </c>
    </row>
    <row r="540" spans="1:40" ht="15" customHeight="1">
      <c r="A540" s="258" t="s">
        <v>2460</v>
      </c>
      <c r="B540" s="263">
        <f>'Dry_Litterbag Placem_Collection'!A101</f>
        <v>99</v>
      </c>
      <c r="C540" s="263" t="str">
        <f>'Dry_Litterbag Placem_Collection'!B101</f>
        <v xml:space="preserve">Mwantimba
</v>
      </c>
      <c r="D540" s="263" t="s">
        <v>2659</v>
      </c>
      <c r="E540" s="263" t="s">
        <v>2660</v>
      </c>
      <c r="F540" s="263">
        <v>1</v>
      </c>
      <c r="G540" s="264" t="str">
        <f>'Dry_Litterbag Placem_Collection'!C101</f>
        <v>Wet_Ag1_T3</v>
      </c>
      <c r="H540" s="273" t="s">
        <v>3651</v>
      </c>
      <c r="I540" s="266" t="s">
        <v>1147</v>
      </c>
      <c r="J540" s="223" t="str">
        <f>'WetLitterbags placem_collection'!O101</f>
        <v>G691</v>
      </c>
      <c r="K540" s="225">
        <f>IFERROR(INDEX('Green_rooibos initial weight'!$C$5:$C$1749,MATCH(J540, 'Green_rooibos initial weight'!$A$5:$A$1749,0)),"")</f>
        <v>2.0950000000000002</v>
      </c>
      <c r="L540" s="225">
        <f>IFERROR(K540-(TBIcalc!$H$9+TBIcalc!$H$10),"")</f>
        <v>1.8452000000000002</v>
      </c>
      <c r="M540" s="391">
        <f>AVERAGE(Ashed_controlls!$K$2:$K$11)</f>
        <v>5.5147656768714146</v>
      </c>
      <c r="N540" s="225">
        <f t="shared" si="44"/>
        <v>1.7434415437303687</v>
      </c>
      <c r="O540" s="225">
        <f>IF(IFERROR(INDEX('Both teabags AfterWet'!$C$3:$C$841,MATCH(J540,'Both teabags AfterWet'!$A$3:$A$841,0)),"")="","",(IFERROR(INDEX('Both teabags AfterWet'!$C$3:$C$841,MATCH(J540,'Both teabags AfterWet'!$A$3:$A$841,0)),"")))</f>
        <v>0.52829999999999999</v>
      </c>
      <c r="P540" s="225">
        <f>IFERROR(IF(O540&gt;0,O540-(TBIcalc!$H$9),""),"")</f>
        <v>0.37769999999999998</v>
      </c>
      <c r="Q540" s="225">
        <f>IFERROR(INDEX('Ashed teabags wet'!$K$2:$K$821,MATCH(J540,'Ashed teabags wet'!$A$2:$A$821,0)),"")</f>
        <v>10.554371002128548</v>
      </c>
      <c r="R540" s="225">
        <f t="shared" si="47"/>
        <v>0.33783614072496049</v>
      </c>
      <c r="S540" s="226">
        <f>'WetLitterbags placem_collection'!E101</f>
        <v>42762</v>
      </c>
      <c r="T540" s="226">
        <f>IF('WetLitterbags placem_collection'!G101="","",'WetLitterbags placem_collection'!G101)</f>
        <v>42816</v>
      </c>
      <c r="U540" s="227">
        <f t="shared" si="43"/>
        <v>54</v>
      </c>
      <c r="V540" s="225">
        <f t="shared" si="45"/>
        <v>1.4675000000000002</v>
      </c>
      <c r="W540" s="225">
        <f t="shared" si="46"/>
        <v>1.4056054030054081</v>
      </c>
      <c r="X540">
        <f>IFERROR(INDEX(Rainfall_Wet!$O$2:$O$217,MATCH(B540, Rainfall_Wet!$A$2:$A$217,0)),"")</f>
        <v>206.85140822299999</v>
      </c>
      <c r="Y540" s="231">
        <v>45.96</v>
      </c>
      <c r="Z540" s="231">
        <v>14.920000000000003</v>
      </c>
      <c r="AA540" s="231">
        <v>39.119999999999997</v>
      </c>
      <c r="AB540" s="232" t="s">
        <v>2673</v>
      </c>
      <c r="AC540" s="231">
        <v>4.0374568753080302</v>
      </c>
      <c r="AD540">
        <f>IF('WetLitterbags placem_collection'!AB101="","",'WetLitterbags placem_collection'!AB101)</f>
        <v>5.0999999999999996</v>
      </c>
      <c r="AE540">
        <f>IF('WetLitterbags placem_collection'!Z101="","",'WetLitterbags placem_collection'!Z101)</f>
        <v>2.2999999999999998</v>
      </c>
      <c r="AF540" s="246" t="str">
        <f>IF('WetLitterbags placem_collection'!AA101="","",'WetLitterbags placem_collection'!AA101)</f>
        <v>G</v>
      </c>
      <c r="AG540">
        <f>IF('WetLitterbags placem_collection'!AC101="","",'WetLitterbags placem_collection'!AC101)</f>
        <v>0</v>
      </c>
      <c r="AH540" s="24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placem_collection'!X101)),"YES","NO")</f>
        <v>NO</v>
      </c>
      <c r="AM540" t="str">
        <f>IF(ISNUMBER(SEARCH("H", 'WetLitterbags placem_collection'!X101)),"YES","NO")</f>
        <v>NO</v>
      </c>
      <c r="AN540" t="str">
        <f>IF(ISNUMBER(SEARCH("R", 'WetLitterbags placem_collection'!X101)),"YES","NO")</f>
        <v>NO</v>
      </c>
    </row>
    <row r="541" spans="1:40" ht="15" customHeight="1">
      <c r="A541" s="258" t="s">
        <v>2460</v>
      </c>
      <c r="B541" s="263">
        <f>'Dry_Litterbag Placem_Collection'!A102</f>
        <v>100</v>
      </c>
      <c r="C541" s="263" t="str">
        <f>'Dry_Litterbag Placem_Collection'!B102</f>
        <v xml:space="preserve">Mwantimba
</v>
      </c>
      <c r="D541" s="263" t="s">
        <v>2659</v>
      </c>
      <c r="E541" s="263" t="s">
        <v>2660</v>
      </c>
      <c r="F541" s="263">
        <v>1</v>
      </c>
      <c r="G541" s="264" t="str">
        <f>'Dry_Litterbag Placem_Collection'!C102</f>
        <v>Wet_Ag1_T4</v>
      </c>
      <c r="H541" s="273" t="s">
        <v>3651</v>
      </c>
      <c r="I541" s="266" t="s">
        <v>1147</v>
      </c>
      <c r="J541" s="223" t="str">
        <f>'WetLitterbags placem_collection'!O102</f>
        <v>G828</v>
      </c>
      <c r="K541" s="225">
        <f>IFERROR(INDEX('Green_rooibos initial weight'!$C$5:$C$1749,MATCH(J541, 'Green_rooibos initial weight'!$A$5:$A$1749,0)),"")</f>
        <v>1.986</v>
      </c>
      <c r="L541" s="225">
        <f>IFERROR(K541-(TBIcalc!$H$9+TBIcalc!$H$10),"")</f>
        <v>1.7362</v>
      </c>
      <c r="M541" s="391">
        <f>AVERAGE(Ashed_controlls!$K$2:$K$11)</f>
        <v>5.5147656768714146</v>
      </c>
      <c r="N541" s="225">
        <f t="shared" si="44"/>
        <v>1.6404526383181586</v>
      </c>
      <c r="O541" s="225">
        <f>IF(IFERROR(INDEX('Both teabags AfterWet'!$C$3:$C$841,MATCH(J541,'Both teabags AfterWet'!$A$3:$A$841,0)),"")="","",(IFERROR(INDEX('Both teabags AfterWet'!$C$3:$C$841,MATCH(J541,'Both teabags AfterWet'!$A$3:$A$841,0)),"")))</f>
        <v>0.57399999999999995</v>
      </c>
      <c r="P541" s="225">
        <f>IFERROR(IF(O541&gt;0,O541-(TBIcalc!$H$9),""),"")</f>
        <v>0.42339999999999994</v>
      </c>
      <c r="Q541" s="225">
        <f>IFERROR(INDEX('Ashed teabags wet'!$K$2:$K$821,MATCH(J541,'Ashed teabags wet'!$A$2:$A$821,0)),"")</f>
        <v>14.012096774192942</v>
      </c>
      <c r="R541" s="225">
        <f t="shared" si="47"/>
        <v>0.36407278225806705</v>
      </c>
      <c r="S541" s="226">
        <f>'WetLitterbags placem_collection'!E102</f>
        <v>42762</v>
      </c>
      <c r="T541" s="226">
        <f>IF('WetLitterbags placem_collection'!G102="","",'WetLitterbags placem_collection'!G102)</f>
        <v>42816</v>
      </c>
      <c r="U541" s="227">
        <f t="shared" si="43"/>
        <v>54</v>
      </c>
      <c r="V541" s="225">
        <f t="shared" si="45"/>
        <v>1.3128</v>
      </c>
      <c r="W541" s="225">
        <f t="shared" si="46"/>
        <v>1.2763798560600916</v>
      </c>
      <c r="X541">
        <f>IFERROR(INDEX(Rainfall_Wet!$O$2:$O$217,MATCH(B541, Rainfall_Wet!$A$2:$A$217,0)),"")</f>
        <v>206.85140822299999</v>
      </c>
      <c r="Y541" s="231">
        <v>45.96</v>
      </c>
      <c r="Z541" s="231">
        <v>14.920000000000003</v>
      </c>
      <c r="AA541" s="231">
        <v>39.119999999999997</v>
      </c>
      <c r="AB541" s="232" t="s">
        <v>2673</v>
      </c>
      <c r="AC541" s="231">
        <v>5.0374568753080302</v>
      </c>
      <c r="AD541">
        <f>IF('WetLitterbags placem_collection'!AB102="","",'WetLitterbags placem_collection'!AB102)</f>
        <v>1.6</v>
      </c>
      <c r="AE541">
        <f>IF('WetLitterbags placem_collection'!Z102="","",'WetLitterbags placem_collection'!Z102)</f>
        <v>15</v>
      </c>
      <c r="AF541" s="246" t="str">
        <f>IF('WetLitterbags placem_collection'!AA102="","",'WetLitterbags placem_collection'!AA102)</f>
        <v>G</v>
      </c>
      <c r="AG541">
        <f>IF('WetLitterbags placem_collection'!AC102="","",'WetLitterbags placem_collection'!AC102)</f>
        <v>1</v>
      </c>
      <c r="AH541" s="24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placem_collection'!X102)),"YES","NO")</f>
        <v>NO</v>
      </c>
      <c r="AM541" t="str">
        <f>IF(ISNUMBER(SEARCH("H", 'WetLitterbags placem_collection'!X102)),"YES","NO")</f>
        <v>NO</v>
      </c>
      <c r="AN541" t="str">
        <f>IF(ISNUMBER(SEARCH("R", 'WetLitterbags placem_collection'!X102)),"YES","NO")</f>
        <v>NO</v>
      </c>
    </row>
    <row r="542" spans="1:40" ht="15" customHeight="1">
      <c r="A542" s="258" t="s">
        <v>2460</v>
      </c>
      <c r="B542" s="263">
        <f>'Dry_Litterbag Placem_Collection'!A103</f>
        <v>101</v>
      </c>
      <c r="C542" s="263" t="str">
        <f>'Dry_Litterbag Placem_Collection'!B103</f>
        <v xml:space="preserve">Mwantimba
</v>
      </c>
      <c r="D542" s="263" t="s">
        <v>2659</v>
      </c>
      <c r="E542" s="263" t="s">
        <v>2660</v>
      </c>
      <c r="F542" s="263">
        <v>1</v>
      </c>
      <c r="G542" s="264" t="str">
        <f>'Dry_Litterbag Placem_Collection'!C103</f>
        <v>Wet_Ag1_T5</v>
      </c>
      <c r="H542" s="273" t="s">
        <v>3651</v>
      </c>
      <c r="I542" s="266" t="s">
        <v>1147</v>
      </c>
      <c r="J542" s="223" t="str">
        <f>'WetLitterbags placem_collection'!O103</f>
        <v>G875</v>
      </c>
      <c r="K542" s="225">
        <f>IFERROR(INDEX('Green_rooibos initial weight'!$C$5:$C$1749,MATCH(J542, 'Green_rooibos initial weight'!$A$5:$A$1749,0)),"")</f>
        <v>2.0880000000000001</v>
      </c>
      <c r="L542" s="225">
        <f>IFERROR(K542-(TBIcalc!$H$9+TBIcalc!$H$10),"")</f>
        <v>1.8382000000000001</v>
      </c>
      <c r="M542" s="391">
        <f>AVERAGE(Ashed_controlls!$K$2:$K$11)</f>
        <v>5.5147656768714146</v>
      </c>
      <c r="N542" s="225">
        <f t="shared" si="44"/>
        <v>1.7368275773277497</v>
      </c>
      <c r="O542" s="225">
        <f>IF(IFERROR(INDEX('Both teabags AfterWet'!$C$3:$C$841,MATCH(J542,'Both teabags AfterWet'!$A$3:$A$841,0)),"")="","",(IFERROR(INDEX('Both teabags AfterWet'!$C$3:$C$841,MATCH(J542,'Both teabags AfterWet'!$A$3:$A$841,0)),"")))</f>
        <v>0.62450000000000006</v>
      </c>
      <c r="P542" s="225">
        <f>IFERROR(IF(O542&gt;0,O542-(TBIcalc!$H$9),""),"")</f>
        <v>0.47390000000000004</v>
      </c>
      <c r="Q542" s="225">
        <f>IFERROR(INDEX('Ashed teabags wet'!$K$2:$K$821,MATCH(J542,'Ashed teabags wet'!$A$2:$A$821,0)),"")</f>
        <v>13.73786407767002</v>
      </c>
      <c r="R542" s="225">
        <f t="shared" si="47"/>
        <v>0.4087962621359218</v>
      </c>
      <c r="S542" s="226">
        <f>'WetLitterbags placem_collection'!E103</f>
        <v>42762</v>
      </c>
      <c r="T542" s="226">
        <f>IF('WetLitterbags placem_collection'!G103="","",'WetLitterbags placem_collection'!G103)</f>
        <v>42816</v>
      </c>
      <c r="U542" s="227">
        <f t="shared" si="43"/>
        <v>54</v>
      </c>
      <c r="V542" s="225">
        <f t="shared" si="45"/>
        <v>1.3643000000000001</v>
      </c>
      <c r="W542" s="225">
        <f t="shared" si="46"/>
        <v>1.3280313151918279</v>
      </c>
      <c r="X542">
        <f>IFERROR(INDEX(Rainfall_Wet!$O$2:$O$217,MATCH(B542, Rainfall_Wet!$A$2:$A$217,0)),"")</f>
        <v>206.85140822299999</v>
      </c>
      <c r="Y542" s="231">
        <v>45.96</v>
      </c>
      <c r="Z542" s="231">
        <v>14.920000000000003</v>
      </c>
      <c r="AA542" s="231">
        <v>39.119999999999997</v>
      </c>
      <c r="AB542" s="232" t="s">
        <v>2673</v>
      </c>
      <c r="AC542" s="231">
        <v>6.0374568753080302</v>
      </c>
      <c r="AD542">
        <f>IF('WetLitterbags placem_collection'!AB103="","",'WetLitterbags placem_collection'!AB103)</f>
        <v>4.3499999999999996</v>
      </c>
      <c r="AE542">
        <f>IF('WetLitterbags placem_collection'!Z103="","",'WetLitterbags placem_collection'!Z103)</f>
        <v>17</v>
      </c>
      <c r="AF542" s="246" t="str">
        <f>IF('WetLitterbags placem_collection'!AA103="","",'WetLitterbags placem_collection'!AA103)</f>
        <v>G</v>
      </c>
      <c r="AG542">
        <f>IF('WetLitterbags placem_collection'!AC103="","",'WetLitterbags placem_collection'!AC103)</f>
        <v>1</v>
      </c>
      <c r="AH542" s="24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placem_collection'!X103)),"YES","NO")</f>
        <v>NO</v>
      </c>
      <c r="AM542" t="str">
        <f>IF(ISNUMBER(SEARCH("H", 'WetLitterbags placem_collection'!X103)),"YES","NO")</f>
        <v>NO</v>
      </c>
      <c r="AN542" t="str">
        <f>IF(ISNUMBER(SEARCH("R", 'WetLitterbags placem_collection'!X103)),"YES","NO")</f>
        <v>NO</v>
      </c>
    </row>
    <row r="543" spans="1:40" ht="15" customHeight="1">
      <c r="A543" s="258" t="s">
        <v>2460</v>
      </c>
      <c r="B543" s="263">
        <f>'Dry_Litterbag Placem_Collection'!A104</f>
        <v>102</v>
      </c>
      <c r="C543" s="263" t="str">
        <f>'Dry_Litterbag Placem_Collection'!B104</f>
        <v xml:space="preserve">Mwantimba
</v>
      </c>
      <c r="D543" s="263" t="s">
        <v>2659</v>
      </c>
      <c r="E543" s="263" t="s">
        <v>2660</v>
      </c>
      <c r="F543" s="263">
        <v>1</v>
      </c>
      <c r="G543" s="264" t="str">
        <f>'Dry_Litterbag Placem_Collection'!C104</f>
        <v>Wet_Ag1_T6</v>
      </c>
      <c r="H543" s="273" t="s">
        <v>3651</v>
      </c>
      <c r="I543" s="266" t="s">
        <v>1147</v>
      </c>
      <c r="J543" s="223" t="str">
        <f>'WetLitterbags placem_collection'!O104</f>
        <v>G824</v>
      </c>
      <c r="K543" s="225">
        <f>IFERROR(INDEX('Green_rooibos initial weight'!$C$5:$C$1749,MATCH(J543, 'Green_rooibos initial weight'!$A$5:$A$1749,0)),"")</f>
        <v>1.931</v>
      </c>
      <c r="L543" s="225">
        <f>IFERROR(K543-(TBIcalc!$H$9+TBIcalc!$H$10),"")</f>
        <v>1.6812</v>
      </c>
      <c r="M543" s="391">
        <f>AVERAGE(Ashed_controlls!$K$2:$K$11)</f>
        <v>5.5147656768714146</v>
      </c>
      <c r="N543" s="225">
        <f t="shared" si="44"/>
        <v>1.5884857594404378</v>
      </c>
      <c r="O543" s="225">
        <f>IF(IFERROR(INDEX('Both teabags AfterWet'!$C$3:$C$841,MATCH(J543,'Both teabags AfterWet'!$A$3:$A$841,0)),"")="","",(IFERROR(INDEX('Both teabags AfterWet'!$C$3:$C$841,MATCH(J543,'Both teabags AfterWet'!$A$3:$A$841,0)),"")))</f>
        <v>0.63800000000000001</v>
      </c>
      <c r="P543" s="225">
        <f>IFERROR(IF(O543&gt;0,O543-(TBIcalc!$H$9),""),"")</f>
        <v>0.4874</v>
      </c>
      <c r="Q543" s="225">
        <f>IFERROR(INDEX('Ashed teabags wet'!$K$2:$K$821,MATCH(J543,'Ashed teabags wet'!$A$2:$A$821,0)),"")</f>
        <v>12.710187932739478</v>
      </c>
      <c r="R543" s="225">
        <f t="shared" si="47"/>
        <v>0.42545054401582777</v>
      </c>
      <c r="S543" s="226">
        <f>'WetLitterbags placem_collection'!E104</f>
        <v>42762</v>
      </c>
      <c r="T543" s="226">
        <f>IF('WetLitterbags placem_collection'!G104="","",'WetLitterbags placem_collection'!G104)</f>
        <v>42816</v>
      </c>
      <c r="U543" s="227">
        <f t="shared" si="43"/>
        <v>54</v>
      </c>
      <c r="V543" s="225">
        <f t="shared" si="45"/>
        <v>1.1938</v>
      </c>
      <c r="W543" s="225">
        <f t="shared" si="46"/>
        <v>1.16303521542461</v>
      </c>
      <c r="X543">
        <f>IFERROR(INDEX(Rainfall_Wet!$O$2:$O$217,MATCH(B543, Rainfall_Wet!$A$2:$A$217,0)),"")</f>
        <v>206.85140822299999</v>
      </c>
      <c r="Y543" s="231">
        <v>45.96</v>
      </c>
      <c r="Z543" s="231">
        <v>14.920000000000003</v>
      </c>
      <c r="AA543" s="231">
        <v>39.119999999999997</v>
      </c>
      <c r="AB543" s="232" t="s">
        <v>2673</v>
      </c>
      <c r="AC543" s="231">
        <v>7.0374568753080302</v>
      </c>
      <c r="AD543">
        <f>IF('WetLitterbags placem_collection'!AB104="","",'WetLitterbags placem_collection'!AB104)</f>
        <v>7.7</v>
      </c>
      <c r="AE543">
        <f>IF('WetLitterbags placem_collection'!Z104="","",'WetLitterbags placem_collection'!Z104)</f>
        <v>21</v>
      </c>
      <c r="AF543" s="246" t="str">
        <f>IF('WetLitterbags placem_collection'!AA104="","",'WetLitterbags placem_collection'!AA104)</f>
        <v>G</v>
      </c>
      <c r="AG543">
        <f>IF('WetLitterbags placem_collection'!AC104="","",'WetLitterbags placem_collection'!AC104)</f>
        <v>1</v>
      </c>
      <c r="AH543" s="24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placem_collection'!X104)),"YES","NO")</f>
        <v>NO</v>
      </c>
      <c r="AM543" t="str">
        <f>IF(ISNUMBER(SEARCH("H", 'WetLitterbags placem_collection'!X104)),"YES","NO")</f>
        <v>NO</v>
      </c>
      <c r="AN543" t="str">
        <f>IF(ISNUMBER(SEARCH("R", 'WetLitterbags placem_collection'!X104)),"YES","NO")</f>
        <v>NO</v>
      </c>
    </row>
    <row r="544" spans="1:40" ht="15" customHeight="1">
      <c r="A544" s="258" t="s">
        <v>2460</v>
      </c>
      <c r="B544" s="263">
        <f>'Dry_Litterbag Placem_Collection'!A105</f>
        <v>103</v>
      </c>
      <c r="C544" s="263" t="str">
        <f>'Dry_Litterbag Placem_Collection'!B105</f>
        <v xml:space="preserve">Mwantimba
</v>
      </c>
      <c r="D544" s="263" t="s">
        <v>2659</v>
      </c>
      <c r="E544" s="263" t="s">
        <v>2660</v>
      </c>
      <c r="F544" s="263">
        <v>1</v>
      </c>
      <c r="G544" s="264" t="str">
        <f>'Dry_Litterbag Placem_Collection'!C105</f>
        <v>Wet_Ag1_T7</v>
      </c>
      <c r="H544" s="273" t="s">
        <v>3651</v>
      </c>
      <c r="I544" s="266" t="s">
        <v>1147</v>
      </c>
      <c r="J544" s="223" t="str">
        <f>'WetLitterbags placem_collection'!O105</f>
        <v>G692</v>
      </c>
      <c r="K544" s="225">
        <f>IFERROR(INDEX('Green_rooibos initial weight'!$C$5:$C$1749,MATCH(J544, 'Green_rooibos initial weight'!$A$5:$A$1749,0)),"")</f>
        <v>2.028</v>
      </c>
      <c r="L544" s="225">
        <f>IFERROR(K544-(TBIcalc!$H$9+TBIcalc!$H$10),"")</f>
        <v>1.7782</v>
      </c>
      <c r="M544" s="391">
        <f>AVERAGE(Ashed_controlls!$K$2:$K$11)</f>
        <v>5.5147656768714146</v>
      </c>
      <c r="N544" s="225">
        <f t="shared" si="44"/>
        <v>1.6801364367338725</v>
      </c>
      <c r="O544" s="225">
        <f>IF(IFERROR(INDEX('Both teabags AfterWet'!$C$3:$C$841,MATCH(J544,'Both teabags AfterWet'!$A$3:$A$841,0)),"")="","",(IFERROR(INDEX('Both teabags AfterWet'!$C$3:$C$841,MATCH(J544,'Both teabags AfterWet'!$A$3:$A$841,0)),"")))</f>
        <v>0.58699999999999997</v>
      </c>
      <c r="P544" s="225">
        <f>IFERROR(IF(O544&gt;0,O544-(TBIcalc!$H$9),""),"")</f>
        <v>0.43639999999999995</v>
      </c>
      <c r="Q544" s="225">
        <f>IFERROR(INDEX('Ashed teabags wet'!$K$2:$K$821,MATCH(J544,'Ashed teabags wet'!$A$2:$A$821,0)),"")</f>
        <v>13.793103448275259</v>
      </c>
      <c r="R544" s="225">
        <f t="shared" si="47"/>
        <v>0.37620689655172673</v>
      </c>
      <c r="S544" s="226">
        <f>'WetLitterbags placem_collection'!E105</f>
        <v>42762</v>
      </c>
      <c r="T544" s="226">
        <f>IF('WetLitterbags placem_collection'!G105="","",'WetLitterbags placem_collection'!G105)</f>
        <v>42816</v>
      </c>
      <c r="U544" s="227">
        <f t="shared" si="43"/>
        <v>54</v>
      </c>
      <c r="V544" s="225">
        <f t="shared" si="45"/>
        <v>1.3418000000000001</v>
      </c>
      <c r="W544" s="225">
        <f t="shared" si="46"/>
        <v>1.3039295401821458</v>
      </c>
      <c r="X544">
        <f>IFERROR(INDEX(Rainfall_Wet!$O$2:$O$217,MATCH(B544, Rainfall_Wet!$A$2:$A$217,0)),"")</f>
        <v>206.85140822299999</v>
      </c>
      <c r="Y544" s="231">
        <v>45.96</v>
      </c>
      <c r="Z544" s="231">
        <v>14.920000000000003</v>
      </c>
      <c r="AA544" s="231">
        <v>39.119999999999997</v>
      </c>
      <c r="AB544" s="232" t="s">
        <v>2673</v>
      </c>
      <c r="AC544" s="231">
        <v>8.0374568753080293</v>
      </c>
      <c r="AD544">
        <f>IF('WetLitterbags placem_collection'!AB105="","",'WetLitterbags placem_collection'!AB105)</f>
        <v>3.25</v>
      </c>
      <c r="AE544">
        <f>IF('WetLitterbags placem_collection'!Z105="","",'WetLitterbags placem_collection'!Z105)</f>
        <v>16</v>
      </c>
      <c r="AF544" s="246" t="str">
        <f>IF('WetLitterbags placem_collection'!AA105="","",'WetLitterbags placem_collection'!AA105)</f>
        <v>G</v>
      </c>
      <c r="AG544">
        <f>IF('WetLitterbags placem_collection'!AC105="","",'WetLitterbags placem_collection'!AC105)</f>
        <v>1</v>
      </c>
      <c r="AH544" s="24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placem_collection'!X105)),"YES","NO")</f>
        <v>NO</v>
      </c>
      <c r="AM544" t="str">
        <f>IF(ISNUMBER(SEARCH("H", 'WetLitterbags placem_collection'!X105)),"YES","NO")</f>
        <v>NO</v>
      </c>
      <c r="AN544" t="str">
        <f>IF(ISNUMBER(SEARCH("R", 'WetLitterbags placem_collection'!X105)),"YES","NO")</f>
        <v>NO</v>
      </c>
    </row>
    <row r="545" spans="1:40" ht="15" customHeight="1">
      <c r="A545" s="258" t="s">
        <v>2460</v>
      </c>
      <c r="B545" s="263">
        <f>'Dry_Litterbag Placem_Collection'!A106</f>
        <v>104</v>
      </c>
      <c r="C545" s="263" t="str">
        <f>'Dry_Litterbag Placem_Collection'!B106</f>
        <v xml:space="preserve">Mwantimba
</v>
      </c>
      <c r="D545" s="263" t="s">
        <v>2659</v>
      </c>
      <c r="E545" s="263" t="s">
        <v>2660</v>
      </c>
      <c r="F545" s="263">
        <v>1</v>
      </c>
      <c r="G545" s="264" t="str">
        <f>'Dry_Litterbag Placem_Collection'!C106</f>
        <v>Wet_Ag1_T8</v>
      </c>
      <c r="H545" s="273" t="s">
        <v>3651</v>
      </c>
      <c r="I545" s="266" t="s">
        <v>1147</v>
      </c>
      <c r="J545" s="223" t="str">
        <f>'WetLitterbags placem_collection'!O106</f>
        <v>G806</v>
      </c>
      <c r="K545" s="225">
        <f>IFERROR(INDEX('Green_rooibos initial weight'!$C$5:$C$1749,MATCH(J545, 'Green_rooibos initial weight'!$A$5:$A$1749,0)),"")</f>
        <v>2.0419999999999998</v>
      </c>
      <c r="L545" s="225">
        <f>IFERROR(K545-(TBIcalc!$H$9+TBIcalc!$H$10),"")</f>
        <v>1.7921999999999998</v>
      </c>
      <c r="M545" s="391">
        <f>AVERAGE(Ashed_controlls!$K$2:$K$11)</f>
        <v>5.5147656768714146</v>
      </c>
      <c r="N545" s="225">
        <f t="shared" si="44"/>
        <v>1.6933643695391103</v>
      </c>
      <c r="O545" s="225">
        <f>IF(IFERROR(INDEX('Both teabags AfterWet'!$C$3:$C$841,MATCH(J545,'Both teabags AfterWet'!$A$3:$A$841,0)),"")="","",(IFERROR(INDEX('Both teabags AfterWet'!$C$3:$C$841,MATCH(J545,'Both teabags AfterWet'!$A$3:$A$841,0)),"")))</f>
        <v>0.72499999999999998</v>
      </c>
      <c r="P545" s="225">
        <f>IFERROR(IF(O545&gt;0,O545-(TBIcalc!$H$9),""),"")</f>
        <v>0.57440000000000002</v>
      </c>
      <c r="Q545" s="225">
        <f>IFERROR(INDEX('Ashed teabags wet'!$K$2:$K$821,MATCH(J545,'Ashed teabags wet'!$A$2:$A$821,0)),"")</f>
        <v>16.853385289820611</v>
      </c>
      <c r="R545" s="225">
        <f t="shared" si="47"/>
        <v>0.47759415489527046</v>
      </c>
      <c r="S545" s="226">
        <f>'WetLitterbags placem_collection'!E106</f>
        <v>42762</v>
      </c>
      <c r="T545" s="226">
        <f>IF('WetLitterbags placem_collection'!G106="","",'WetLitterbags placem_collection'!G106)</f>
        <v>42816</v>
      </c>
      <c r="U545" s="227">
        <f t="shared" si="43"/>
        <v>54</v>
      </c>
      <c r="V545" s="225">
        <f t="shared" si="45"/>
        <v>1.2177999999999998</v>
      </c>
      <c r="W545" s="225">
        <f t="shared" si="46"/>
        <v>1.2157702146438398</v>
      </c>
      <c r="X545">
        <f>IFERROR(INDEX(Rainfall_Wet!$O$2:$O$217,MATCH(B545, Rainfall_Wet!$A$2:$A$217,0)),"")</f>
        <v>206.85140822299999</v>
      </c>
      <c r="Y545" s="231">
        <v>45.96</v>
      </c>
      <c r="Z545" s="231">
        <v>14.920000000000003</v>
      </c>
      <c r="AA545" s="231">
        <v>39.119999999999997</v>
      </c>
      <c r="AB545" s="232" t="s">
        <v>2673</v>
      </c>
      <c r="AC545" s="231">
        <v>9.0374568753080293</v>
      </c>
      <c r="AD545">
        <f>IF('WetLitterbags placem_collection'!AB106="","",'WetLitterbags placem_collection'!AB106)</f>
        <v>10.5</v>
      </c>
      <c r="AE545">
        <f>IF('WetLitterbags placem_collection'!Z106="","",'WetLitterbags placem_collection'!Z106)</f>
        <v>17</v>
      </c>
      <c r="AF545" s="246" t="str">
        <f>IF('WetLitterbags placem_collection'!AA106="","",'WetLitterbags placem_collection'!AA106)</f>
        <v>G</v>
      </c>
      <c r="AG545">
        <f>IF('WetLitterbags placem_collection'!AC106="","",'WetLitterbags placem_collection'!AC106)</f>
        <v>1</v>
      </c>
      <c r="AH545" s="24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placem_collection'!X106)),"YES","NO")</f>
        <v>NO</v>
      </c>
      <c r="AM545" t="str">
        <f>IF(ISNUMBER(SEARCH("H", 'WetLitterbags placem_collection'!X106)),"YES","NO")</f>
        <v>NO</v>
      </c>
      <c r="AN545" t="str">
        <f>IF(ISNUMBER(SEARCH("R", 'WetLitterbags placem_collection'!X106)),"YES","NO")</f>
        <v>NO</v>
      </c>
    </row>
    <row r="546" spans="1:40" ht="15" customHeight="1">
      <c r="A546" s="258" t="s">
        <v>2460</v>
      </c>
      <c r="B546" s="263">
        <f>'Dry_Litterbag Placem_Collection'!A107</f>
        <v>105</v>
      </c>
      <c r="C546" s="263" t="str">
        <f>'Dry_Litterbag Placem_Collection'!B107</f>
        <v xml:space="preserve">Mwantimba
</v>
      </c>
      <c r="D546" s="263" t="s">
        <v>2659</v>
      </c>
      <c r="E546" s="263" t="s">
        <v>2660</v>
      </c>
      <c r="F546" s="263">
        <v>2</v>
      </c>
      <c r="G546" s="264" t="str">
        <f>'Dry_Litterbag Placem_Collection'!C107</f>
        <v>Wet_Ag2_T1</v>
      </c>
      <c r="H546" s="273" t="s">
        <v>3651</v>
      </c>
      <c r="I546" s="266" t="s">
        <v>1147</v>
      </c>
      <c r="J546" s="223" t="str">
        <f>'WetLitterbags placem_collection'!O107</f>
        <v>G861</v>
      </c>
      <c r="K546" s="225">
        <f>IFERROR(INDEX('Green_rooibos initial weight'!$C$5:$C$1749,MATCH(J546, 'Green_rooibos initial weight'!$A$5:$A$1749,0)),"")</f>
        <v>1.9339999999999999</v>
      </c>
      <c r="L546" s="225">
        <f>IFERROR(K546-(TBIcalc!$H$9+TBIcalc!$H$10),"")</f>
        <v>1.6841999999999999</v>
      </c>
      <c r="M546" s="391">
        <f>AVERAGE(Ashed_controlls!$K$2:$K$11)</f>
        <v>5.5147656768714146</v>
      </c>
      <c r="N546" s="225">
        <f t="shared" si="44"/>
        <v>1.5913203164701315</v>
      </c>
      <c r="O546" s="225">
        <f>IF(IFERROR(INDEX('Both teabags AfterWet'!$C$3:$C$841,MATCH(J546,'Both teabags AfterWet'!$A$3:$A$841,0)),"")="","",(IFERROR(INDEX('Both teabags AfterWet'!$C$3:$C$841,MATCH(J546,'Both teabags AfterWet'!$A$3:$A$841,0)),"")))</f>
        <v>0.626</v>
      </c>
      <c r="P546" s="225">
        <f>IFERROR(IF(O546&gt;0,O546-(TBIcalc!$H$9),""),"")</f>
        <v>0.47539999999999999</v>
      </c>
      <c r="Q546" s="225">
        <f>IFERROR(INDEX('Ashed teabags wet'!$K$2:$K$821,MATCH(J546,'Ashed teabags wet'!$A$2:$A$821,0)),"")</f>
        <v>20.431034482760303</v>
      </c>
      <c r="R546" s="225">
        <f t="shared" si="47"/>
        <v>0.37827086206895755</v>
      </c>
      <c r="S546" s="226">
        <f>'WetLitterbags placem_collection'!E107</f>
        <v>42762</v>
      </c>
      <c r="T546" s="226">
        <f>IF('WetLitterbags placem_collection'!G107="","",'WetLitterbags placem_collection'!G107)</f>
        <v>42816</v>
      </c>
      <c r="U546" s="227">
        <f t="shared" si="43"/>
        <v>54</v>
      </c>
      <c r="V546" s="225">
        <f t="shared" si="45"/>
        <v>1.2087999999999999</v>
      </c>
      <c r="W546" s="225">
        <f t="shared" si="46"/>
        <v>1.2130494544011738</v>
      </c>
      <c r="X546">
        <f>IFERROR(INDEX(Rainfall_Wet!$O$2:$O$217,MATCH(B546, Rainfall_Wet!$A$2:$A$217,0)),"")</f>
        <v>206.85140822299999</v>
      </c>
      <c r="Y546" s="231">
        <v>34.344660194174757</v>
      </c>
      <c r="Z546" s="231">
        <v>19.22727272727273</v>
      </c>
      <c r="AA546" s="231">
        <v>46.428067078552509</v>
      </c>
      <c r="AB546" s="232" t="s">
        <v>2670</v>
      </c>
      <c r="AC546" s="231">
        <v>1.7452932479053718</v>
      </c>
      <c r="AD546">
        <f>IF('WetLitterbags placem_collection'!AB107="","",'WetLitterbags placem_collection'!AB107)</f>
        <v>5.5</v>
      </c>
      <c r="AE546">
        <f>IF('WetLitterbags placem_collection'!Z107="","",'WetLitterbags placem_collection'!Z107)</f>
        <v>23.5</v>
      </c>
      <c r="AF546" s="246" t="str">
        <f>IF('WetLitterbags placem_collection'!AA107="","",'WetLitterbags placem_collection'!AA107)</f>
        <v>M</v>
      </c>
      <c r="AG546">
        <f>IF('WetLitterbags placem_collection'!AC107="","",'WetLitterbags placem_collection'!AC107)</f>
        <v>0</v>
      </c>
      <c r="AH546" s="24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placem_collection'!X107)),"YES","NO")</f>
        <v>NO</v>
      </c>
      <c r="AM546" t="str">
        <f>IF(ISNUMBER(SEARCH("H", 'WetLitterbags placem_collection'!X107)),"YES","NO")</f>
        <v>NO</v>
      </c>
      <c r="AN546" t="str">
        <f>IF(ISNUMBER(SEARCH("R", 'WetLitterbags placem_collection'!X107)),"YES","NO")</f>
        <v>NO</v>
      </c>
    </row>
    <row r="547" spans="1:40" ht="15" customHeight="1">
      <c r="A547" s="258" t="s">
        <v>2460</v>
      </c>
      <c r="B547" s="263">
        <f>'Dry_Litterbag Placem_Collection'!A108</f>
        <v>106</v>
      </c>
      <c r="C547" s="263" t="str">
        <f>'Dry_Litterbag Placem_Collection'!B108</f>
        <v xml:space="preserve">Mwantimba
</v>
      </c>
      <c r="D547" s="263" t="s">
        <v>2659</v>
      </c>
      <c r="E547" s="263" t="s">
        <v>2660</v>
      </c>
      <c r="F547" s="263">
        <v>2</v>
      </c>
      <c r="G547" s="264" t="str">
        <f>'Dry_Litterbag Placem_Collection'!C108</f>
        <v>Wet_Ag2_T2</v>
      </c>
      <c r="H547" s="273" t="s">
        <v>3651</v>
      </c>
      <c r="I547" s="266" t="s">
        <v>1147</v>
      </c>
      <c r="J547" s="223" t="str">
        <f>'WetLitterbags placem_collection'!O108</f>
        <v>G738</v>
      </c>
      <c r="K547" s="225">
        <f>IFERROR(INDEX('Green_rooibos initial weight'!$C$5:$C$1749,MATCH(J547, 'Green_rooibos initial weight'!$A$5:$A$1749,0)),"")</f>
        <v>2.0089999999999999</v>
      </c>
      <c r="L547" s="225">
        <f>IFERROR(K547-(TBIcalc!$H$9+TBIcalc!$H$10),"")</f>
        <v>1.7591999999999999</v>
      </c>
      <c r="M547" s="391">
        <f>AVERAGE(Ashed_controlls!$K$2:$K$11)</f>
        <v>5.5147656768714146</v>
      </c>
      <c r="N547" s="225">
        <f t="shared" si="44"/>
        <v>1.662184242212478</v>
      </c>
      <c r="O547" s="225">
        <f>IF(IFERROR(INDEX('Both teabags AfterWet'!$C$3:$C$841,MATCH(J547,'Both teabags AfterWet'!$A$3:$A$841,0)),"")="","",(IFERROR(INDEX('Both teabags AfterWet'!$C$3:$C$841,MATCH(J547,'Both teabags AfterWet'!$A$3:$A$841,0)),"")))</f>
        <v>0.626</v>
      </c>
      <c r="P547" s="225">
        <f>IFERROR(IF(O547&gt;0,O547-(TBIcalc!$H$9),""),"")</f>
        <v>0.47539999999999999</v>
      </c>
      <c r="Q547" s="225">
        <f>IFERROR(INDEX('Ashed teabags wet'!$K$2:$K$821,MATCH(J547,'Ashed teabags wet'!$A$2:$A$821,0)),"")</f>
        <v>15.46906187624684</v>
      </c>
      <c r="R547" s="225">
        <f t="shared" si="47"/>
        <v>0.40186007984032251</v>
      </c>
      <c r="S547" s="226">
        <f>'WetLitterbags placem_collection'!E108</f>
        <v>42762</v>
      </c>
      <c r="T547" s="226">
        <f>IF('WetLitterbags placem_collection'!G108="","",'WetLitterbags placem_collection'!G108)</f>
        <v>42816</v>
      </c>
      <c r="U547" s="227">
        <f t="shared" si="43"/>
        <v>54</v>
      </c>
      <c r="V547" s="225">
        <f t="shared" si="45"/>
        <v>1.2837999999999998</v>
      </c>
      <c r="W547" s="225">
        <f t="shared" si="46"/>
        <v>1.2603241623721555</v>
      </c>
      <c r="X547">
        <f>IFERROR(INDEX(Rainfall_Wet!$O$2:$O$217,MATCH(B547, Rainfall_Wet!$A$2:$A$217,0)),"")</f>
        <v>206.85140822299999</v>
      </c>
      <c r="Y547" s="231">
        <v>34.344660194174757</v>
      </c>
      <c r="Z547" s="231">
        <v>19.22727272727273</v>
      </c>
      <c r="AA547" s="231">
        <v>46.428067078552509</v>
      </c>
      <c r="AB547" s="232" t="s">
        <v>2670</v>
      </c>
      <c r="AC547" s="231">
        <v>2.7452932479053702</v>
      </c>
      <c r="AD547">
        <f>IF('WetLitterbags placem_collection'!AB108="","",'WetLitterbags placem_collection'!AB108)</f>
        <v>8.6</v>
      </c>
      <c r="AE547">
        <f>IF('WetLitterbags placem_collection'!Z108="","",'WetLitterbags placem_collection'!Z108)</f>
        <v>17</v>
      </c>
      <c r="AF547" s="246" t="str">
        <f>IF('WetLitterbags placem_collection'!AA108="","",'WetLitterbags placem_collection'!AA108)</f>
        <v>M</v>
      </c>
      <c r="AG547">
        <f>IF('WetLitterbags placem_collection'!AC108="","",'WetLitterbags placem_collection'!AC108)</f>
        <v>0</v>
      </c>
      <c r="AH547" s="24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placem_collection'!X108)),"YES","NO")</f>
        <v>NO</v>
      </c>
      <c r="AM547" t="str">
        <f>IF(ISNUMBER(SEARCH("H", 'WetLitterbags placem_collection'!X108)),"YES","NO")</f>
        <v>NO</v>
      </c>
      <c r="AN547" t="str">
        <f>IF(ISNUMBER(SEARCH("R", 'WetLitterbags placem_collection'!X108)),"YES","NO")</f>
        <v>YES</v>
      </c>
    </row>
    <row r="548" spans="1:40" ht="15" customHeight="1">
      <c r="A548" s="258" t="s">
        <v>2460</v>
      </c>
      <c r="B548" s="263">
        <f>'Dry_Litterbag Placem_Collection'!A109</f>
        <v>107</v>
      </c>
      <c r="C548" s="263" t="str">
        <f>'Dry_Litterbag Placem_Collection'!B109</f>
        <v xml:space="preserve">Mwantimba
</v>
      </c>
      <c r="D548" s="263" t="s">
        <v>2659</v>
      </c>
      <c r="E548" s="263" t="s">
        <v>2660</v>
      </c>
      <c r="F548" s="263">
        <v>2</v>
      </c>
      <c r="G548" s="264" t="str">
        <f>'Dry_Litterbag Placem_Collection'!C109</f>
        <v>Wet_Ag2_T3</v>
      </c>
      <c r="H548" s="273" t="s">
        <v>3651</v>
      </c>
      <c r="I548" s="266" t="s">
        <v>1147</v>
      </c>
      <c r="J548" s="223" t="str">
        <f>'WetLitterbags placem_collection'!O109</f>
        <v>G676</v>
      </c>
      <c r="K548" s="225">
        <f>IFERROR(INDEX('Green_rooibos initial weight'!$C$5:$C$1749,MATCH(J548, 'Green_rooibos initial weight'!$A$5:$A$1749,0)),"")</f>
        <v>2.048</v>
      </c>
      <c r="L548" s="225">
        <f>IFERROR(K548-(TBIcalc!$H$9+TBIcalc!$H$10),"")</f>
        <v>1.7982</v>
      </c>
      <c r="M548" s="391">
        <f>AVERAGE(Ashed_controlls!$K$2:$K$11)</f>
        <v>5.5147656768714146</v>
      </c>
      <c r="N548" s="225">
        <f t="shared" si="44"/>
        <v>1.6990334835984982</v>
      </c>
      <c r="O548" s="225">
        <f>IF(IFERROR(INDEX('Both teabags AfterWet'!$C$3:$C$841,MATCH(J548,'Both teabags AfterWet'!$A$3:$A$841,0)),"")="","",(IFERROR(INDEX('Both teabags AfterWet'!$C$3:$C$841,MATCH(J548,'Both teabags AfterWet'!$A$3:$A$841,0)),"")))</f>
        <v>0.67630000000000001</v>
      </c>
      <c r="P548" s="225">
        <f>IFERROR(IF(O548&gt;0,O548-(TBIcalc!$H$9),""),"")</f>
        <v>0.52570000000000006</v>
      </c>
      <c r="Q548" s="225">
        <f>IFERROR(INDEX('Ashed teabags wet'!$K$2:$K$821,MATCH(J548,'Ashed teabags wet'!$A$2:$A$821,0)),"")</f>
        <v>16.393442622950655</v>
      </c>
      <c r="R548" s="225">
        <f t="shared" si="47"/>
        <v>0.43951967213114845</v>
      </c>
      <c r="S548" s="226">
        <f>'WetLitterbags placem_collection'!E109</f>
        <v>42762</v>
      </c>
      <c r="T548" s="226">
        <f>IF('WetLitterbags placem_collection'!G109="","",'WetLitterbags placem_collection'!G109)</f>
        <v>42816</v>
      </c>
      <c r="U548" s="227">
        <f t="shared" si="43"/>
        <v>54</v>
      </c>
      <c r="V548" s="225">
        <f t="shared" si="45"/>
        <v>1.2725</v>
      </c>
      <c r="W548" s="225">
        <f t="shared" si="46"/>
        <v>1.2595138114673496</v>
      </c>
      <c r="X548">
        <f>IFERROR(INDEX(Rainfall_Wet!$O$2:$O$217,MATCH(B548, Rainfall_Wet!$A$2:$A$217,0)),"")</f>
        <v>206.85140822299999</v>
      </c>
      <c r="Y548" s="231">
        <v>34.344660194174757</v>
      </c>
      <c r="Z548" s="231">
        <v>19.22727272727273</v>
      </c>
      <c r="AA548" s="231">
        <v>46.428067078552509</v>
      </c>
      <c r="AB548" s="232" t="s">
        <v>2670</v>
      </c>
      <c r="AC548" s="231">
        <v>3.7452932479053702</v>
      </c>
      <c r="AD548">
        <f>IF('WetLitterbags placem_collection'!AB109="","",'WetLitterbags placem_collection'!AB109)</f>
        <v>3.85</v>
      </c>
      <c r="AE548">
        <f>IF('WetLitterbags placem_collection'!Z109="","",'WetLitterbags placem_collection'!Z109)</f>
        <v>15.5</v>
      </c>
      <c r="AF548" s="246" t="str">
        <f>IF('WetLitterbags placem_collection'!AA109="","",'WetLitterbags placem_collection'!AA109)</f>
        <v>M</v>
      </c>
      <c r="AG548">
        <f>IF('WetLitterbags placem_collection'!AC109="","",'WetLitterbags placem_collection'!AC109)</f>
        <v>0</v>
      </c>
      <c r="AH548" s="24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placem_collection'!X109)),"YES","NO")</f>
        <v>NO</v>
      </c>
      <c r="AM548" t="str">
        <f>IF(ISNUMBER(SEARCH("H", 'WetLitterbags placem_collection'!X109)),"YES","NO")</f>
        <v>NO</v>
      </c>
      <c r="AN548" t="str">
        <f>IF(ISNUMBER(SEARCH("R", 'WetLitterbags placem_collection'!X109)),"YES","NO")</f>
        <v>YES</v>
      </c>
    </row>
    <row r="549" spans="1:40" ht="15" customHeight="1">
      <c r="A549" s="258" t="s">
        <v>2460</v>
      </c>
      <c r="B549" s="263">
        <f>'Dry_Litterbag Placem_Collection'!A110</f>
        <v>108</v>
      </c>
      <c r="C549" s="263" t="str">
        <f>'Dry_Litterbag Placem_Collection'!B110</f>
        <v xml:space="preserve">Mwantimba
</v>
      </c>
      <c r="D549" s="263" t="s">
        <v>2659</v>
      </c>
      <c r="E549" s="263" t="s">
        <v>2660</v>
      </c>
      <c r="F549" s="263">
        <v>2</v>
      </c>
      <c r="G549" s="264" t="str">
        <f>'Dry_Litterbag Placem_Collection'!C110</f>
        <v>Wet_Ag2_T4</v>
      </c>
      <c r="H549" s="273" t="s">
        <v>3651</v>
      </c>
      <c r="I549" s="266" t="s">
        <v>1147</v>
      </c>
      <c r="J549" s="223" t="str">
        <f>'WetLitterbags placem_collection'!O110</f>
        <v>G845</v>
      </c>
      <c r="K549" s="225">
        <f>IFERROR(INDEX('Green_rooibos initial weight'!$C$5:$C$1749,MATCH(J549, 'Green_rooibos initial weight'!$A$5:$A$1749,0)),"")</f>
        <v>2.0459999999999998</v>
      </c>
      <c r="L549" s="225">
        <f>IFERROR(K549-(TBIcalc!$H$9+TBIcalc!$H$10),"")</f>
        <v>1.7961999999999998</v>
      </c>
      <c r="M549" s="391">
        <f>AVERAGE(Ashed_controlls!$K$2:$K$11)</f>
        <v>5.5147656768714146</v>
      </c>
      <c r="N549" s="225">
        <f t="shared" si="44"/>
        <v>1.6971437789120354</v>
      </c>
      <c r="O549" s="225">
        <f>IF(IFERROR(INDEX('Both teabags AfterWet'!$C$3:$C$841,MATCH(J549,'Both teabags AfterWet'!$A$3:$A$841,0)),"")="","",(IFERROR(INDEX('Both teabags AfterWet'!$C$3:$C$841,MATCH(J549,'Both teabags AfterWet'!$A$3:$A$841,0)),"")))</f>
        <v>0.57699999999999996</v>
      </c>
      <c r="P549" s="225">
        <f>IFERROR(IF(O549&gt;0,O549-(TBIcalc!$H$9),""),"")</f>
        <v>0.42639999999999995</v>
      </c>
      <c r="Q549" s="225">
        <f>IFERROR(INDEX('Ashed teabags wet'!$K$2:$K$821,MATCH(J549,'Ashed teabags wet'!$A$2:$A$821,0)),"")</f>
        <v>13.078070611635859</v>
      </c>
      <c r="R549" s="225">
        <f t="shared" si="47"/>
        <v>0.37063510691198465</v>
      </c>
      <c r="S549" s="226">
        <f>'WetLitterbags placem_collection'!E110</f>
        <v>42762</v>
      </c>
      <c r="T549" s="226">
        <f>IF('WetLitterbags placem_collection'!G110="","",'WetLitterbags placem_collection'!G110)</f>
        <v>42816</v>
      </c>
      <c r="U549" s="227">
        <f t="shared" si="43"/>
        <v>54</v>
      </c>
      <c r="V549" s="225">
        <f t="shared" si="45"/>
        <v>1.3697999999999999</v>
      </c>
      <c r="W549" s="225">
        <f t="shared" si="46"/>
        <v>1.3265086720000507</v>
      </c>
      <c r="X549">
        <f>IFERROR(INDEX(Rainfall_Wet!$O$2:$O$217,MATCH(B549, Rainfall_Wet!$A$2:$A$217,0)),"")</f>
        <v>206.85140822299999</v>
      </c>
      <c r="Y549" s="231">
        <v>34.344660194174757</v>
      </c>
      <c r="Z549" s="231">
        <v>19.22727272727273</v>
      </c>
      <c r="AA549" s="231">
        <v>46.428067078552509</v>
      </c>
      <c r="AB549" s="232" t="s">
        <v>2670</v>
      </c>
      <c r="AC549" s="231">
        <v>4.7452932479053702</v>
      </c>
      <c r="AD549">
        <f>IF('WetLitterbags placem_collection'!AB110="","",'WetLitterbags placem_collection'!AB110)</f>
        <v>9.6999999999999993</v>
      </c>
      <c r="AE549">
        <f>IF('WetLitterbags placem_collection'!Z110="","",'WetLitterbags placem_collection'!Z110)</f>
        <v>22.5</v>
      </c>
      <c r="AF549" s="246" t="str">
        <f>IF('WetLitterbags placem_collection'!AA110="","",'WetLitterbags placem_collection'!AA110)</f>
        <v>M</v>
      </c>
      <c r="AG549">
        <f>IF('WetLitterbags placem_collection'!AC110="","",'WetLitterbags placem_collection'!AC110)</f>
        <v>0</v>
      </c>
      <c r="AH549" s="24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placem_collection'!X110)),"YES","NO")</f>
        <v>NO</v>
      </c>
      <c r="AM549" t="str">
        <f>IF(ISNUMBER(SEARCH("H", 'WetLitterbags placem_collection'!X110)),"YES","NO")</f>
        <v>NO</v>
      </c>
      <c r="AN549" t="str">
        <f>IF(ISNUMBER(SEARCH("R", 'WetLitterbags placem_collection'!X110)),"YES","NO")</f>
        <v>YES</v>
      </c>
    </row>
    <row r="550" spans="1:40" ht="15" customHeight="1">
      <c r="A550" s="258" t="s">
        <v>2460</v>
      </c>
      <c r="B550" s="263">
        <f>'Dry_Litterbag Placem_Collection'!A111</f>
        <v>109</v>
      </c>
      <c r="C550" s="263" t="str">
        <f>'Dry_Litterbag Placem_Collection'!B111</f>
        <v xml:space="preserve">Mwantimba
</v>
      </c>
      <c r="D550" s="263" t="s">
        <v>2659</v>
      </c>
      <c r="E550" s="263" t="s">
        <v>2660</v>
      </c>
      <c r="F550" s="263">
        <v>2</v>
      </c>
      <c r="G550" s="264" t="str">
        <f>'Dry_Litterbag Placem_Collection'!C111</f>
        <v>Wet_Ag2_T5</v>
      </c>
      <c r="H550" s="273" t="s">
        <v>3651</v>
      </c>
      <c r="I550" s="266" t="s">
        <v>1147</v>
      </c>
      <c r="J550" s="223" t="str">
        <f>'WetLitterbags placem_collection'!O111</f>
        <v>G887</v>
      </c>
      <c r="K550" s="225">
        <f>IFERROR(INDEX('Green_rooibos initial weight'!$C$5:$C$1749,MATCH(J550, 'Green_rooibos initial weight'!$A$5:$A$1749,0)),"")</f>
        <v>1.998</v>
      </c>
      <c r="L550" s="225">
        <f>IFERROR(K550-(TBIcalc!$H$9+TBIcalc!$H$10),"")</f>
        <v>1.7482</v>
      </c>
      <c r="M550" s="391">
        <f>AVERAGE(Ashed_controlls!$K$2:$K$11)</f>
        <v>5.5147656768714146</v>
      </c>
      <c r="N550" s="225">
        <f t="shared" si="44"/>
        <v>1.6517908664369338</v>
      </c>
      <c r="O550" s="225">
        <f>IF(IFERROR(INDEX('Both teabags AfterWet'!$C$3:$C$841,MATCH(J550,'Both teabags AfterWet'!$A$3:$A$841,0)),"")="","",(IFERROR(INDEX('Both teabags AfterWet'!$C$3:$C$841,MATCH(J550,'Both teabags AfterWet'!$A$3:$A$841,0)),"")))</f>
        <v>0.64870000000000005</v>
      </c>
      <c r="P550" s="225">
        <f>IFERROR(IF(O550&gt;0,O550-(TBIcalc!$H$9),""),"")</f>
        <v>0.49810000000000004</v>
      </c>
      <c r="Q550" s="225">
        <f>IFERROR(INDEX('Ashed teabags wet'!$K$2:$K$821,MATCH(J550,'Ashed teabags wet'!$A$2:$A$821,0)),"")</f>
        <v>12.548449612403372</v>
      </c>
      <c r="R550" s="225">
        <f t="shared" si="47"/>
        <v>0.43559617248061883</v>
      </c>
      <c r="S550" s="226">
        <f>'WetLitterbags placem_collection'!E111</f>
        <v>42762</v>
      </c>
      <c r="T550" s="226">
        <f>IF('WetLitterbags placem_collection'!G111="","",'WetLitterbags placem_collection'!G111)</f>
        <v>42816</v>
      </c>
      <c r="U550" s="227">
        <f t="shared" si="43"/>
        <v>54</v>
      </c>
      <c r="V550" s="225">
        <f t="shared" si="45"/>
        <v>1.2501</v>
      </c>
      <c r="W550" s="225">
        <f t="shared" si="46"/>
        <v>1.2161946939563151</v>
      </c>
      <c r="X550">
        <f>IFERROR(INDEX(Rainfall_Wet!$O$2:$O$217,MATCH(B550, Rainfall_Wet!$A$2:$A$217,0)),"")</f>
        <v>206.85140822299999</v>
      </c>
      <c r="Y550" s="231">
        <v>34.344660194174757</v>
      </c>
      <c r="Z550" s="231">
        <v>19.22727272727273</v>
      </c>
      <c r="AA550" s="231">
        <v>46.428067078552509</v>
      </c>
      <c r="AB550" s="232" t="s">
        <v>2670</v>
      </c>
      <c r="AC550" s="231">
        <v>5.7452932479053702</v>
      </c>
      <c r="AD550">
        <f>IF('WetLitterbags placem_collection'!AB111="","",'WetLitterbags placem_collection'!AB111)</f>
        <v>10.5</v>
      </c>
      <c r="AE550">
        <f>IF('WetLitterbags placem_collection'!Z111="","",'WetLitterbags placem_collection'!Z111)</f>
        <v>22.5</v>
      </c>
      <c r="AF550" s="246" t="str">
        <f>IF('WetLitterbags placem_collection'!AA111="","",'WetLitterbags placem_collection'!AA111)</f>
        <v>M</v>
      </c>
      <c r="AG550">
        <f>IF('WetLitterbags placem_collection'!AC111="","",'WetLitterbags placem_collection'!AC111)</f>
        <v>0</v>
      </c>
      <c r="AH550" s="24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placem_collection'!X111)),"YES","NO")</f>
        <v>NO</v>
      </c>
      <c r="AM550" t="str">
        <f>IF(ISNUMBER(SEARCH("H", 'WetLitterbags placem_collection'!X111)),"YES","NO")</f>
        <v>NO</v>
      </c>
      <c r="AN550" t="str">
        <f>IF(ISNUMBER(SEARCH("R", 'WetLitterbags placem_collection'!X111)),"YES","NO")</f>
        <v>NO</v>
      </c>
    </row>
    <row r="551" spans="1:40" ht="15" customHeight="1">
      <c r="A551" s="258" t="s">
        <v>2460</v>
      </c>
      <c r="B551" s="263">
        <f>'Dry_Litterbag Placem_Collection'!A112</f>
        <v>110</v>
      </c>
      <c r="C551" s="263" t="str">
        <f>'Dry_Litterbag Placem_Collection'!B112</f>
        <v xml:space="preserve">Mwantimba
</v>
      </c>
      <c r="D551" s="263" t="s">
        <v>2659</v>
      </c>
      <c r="E551" s="263" t="s">
        <v>2660</v>
      </c>
      <c r="F551" s="263">
        <v>2</v>
      </c>
      <c r="G551" s="264" t="str">
        <f>'Dry_Litterbag Placem_Collection'!C112</f>
        <v>Wet_Ag2_T6</v>
      </c>
      <c r="H551" s="273" t="s">
        <v>3651</v>
      </c>
      <c r="I551" s="266" t="s">
        <v>1147</v>
      </c>
      <c r="J551" s="223" t="str">
        <f>'WetLitterbags placem_collection'!O112</f>
        <v>G882</v>
      </c>
      <c r="K551" s="225">
        <f>IFERROR(INDEX('Green_rooibos initial weight'!$C$5:$C$1749,MATCH(J551, 'Green_rooibos initial weight'!$A$5:$A$1749,0)),"")</f>
        <v>2.0979999999999999</v>
      </c>
      <c r="L551" s="225">
        <f>IFERROR(K551-(TBIcalc!$H$9+TBIcalc!$H$10),"")</f>
        <v>1.8481999999999998</v>
      </c>
      <c r="M551" s="391">
        <f>AVERAGE(Ashed_controlls!$K$2:$K$11)</f>
        <v>5.5147656768714146</v>
      </c>
      <c r="N551" s="225">
        <f t="shared" si="44"/>
        <v>1.7462761007600625</v>
      </c>
      <c r="O551" s="225">
        <f>IF(IFERROR(INDEX('Both teabags AfterWet'!$C$3:$C$841,MATCH(J551,'Both teabags AfterWet'!$A$3:$A$841,0)),"")="","",(IFERROR(INDEX('Both teabags AfterWet'!$C$3:$C$841,MATCH(J551,'Both teabags AfterWet'!$A$3:$A$841,0)),"")))</f>
        <v>0.56669999999999998</v>
      </c>
      <c r="P551" s="225">
        <f>IFERROR(IF(O551&gt;0,O551-(TBIcalc!$H$9),""),"")</f>
        <v>0.41609999999999997</v>
      </c>
      <c r="Q551" s="225">
        <f>IFERROR(INDEX('Ashed teabags wet'!$K$2:$K$821,MATCH(J551,'Ashed teabags wet'!$A$2:$A$821,0)),"")</f>
        <v>13.300248138958004</v>
      </c>
      <c r="R551" s="225">
        <f t="shared" si="47"/>
        <v>0.36075766749379573</v>
      </c>
      <c r="S551" s="226">
        <f>'WetLitterbags placem_collection'!E112</f>
        <v>42762</v>
      </c>
      <c r="T551" s="226">
        <f>IF('WetLitterbags placem_collection'!G112="","",'WetLitterbags placem_collection'!G112)</f>
        <v>42816</v>
      </c>
      <c r="U551" s="227">
        <f t="shared" si="43"/>
        <v>54</v>
      </c>
      <c r="V551" s="225">
        <f t="shared" si="45"/>
        <v>1.4320999999999999</v>
      </c>
      <c r="W551" s="225">
        <f t="shared" si="46"/>
        <v>1.3855184332662667</v>
      </c>
      <c r="X551">
        <f>IFERROR(INDEX(Rainfall_Wet!$O$2:$O$217,MATCH(B551, Rainfall_Wet!$A$2:$A$217,0)),"")</f>
        <v>206.85140822299999</v>
      </c>
      <c r="Y551" s="231">
        <v>34.344660194174757</v>
      </c>
      <c r="Z551" s="231">
        <v>19.22727272727273</v>
      </c>
      <c r="AA551" s="231">
        <v>46.428067078552509</v>
      </c>
      <c r="AB551" s="232" t="s">
        <v>2670</v>
      </c>
      <c r="AC551" s="231">
        <v>6.7452932479053702</v>
      </c>
      <c r="AD551">
        <f>IF('WetLitterbags placem_collection'!AB112="","",'WetLitterbags placem_collection'!AB112)</f>
        <v>5.75</v>
      </c>
      <c r="AE551">
        <f>IF('WetLitterbags placem_collection'!Z112="","",'WetLitterbags placem_collection'!Z112)</f>
        <v>22.5</v>
      </c>
      <c r="AF551" s="246" t="str">
        <f>IF('WetLitterbags placem_collection'!AA112="","",'WetLitterbags placem_collection'!AA112)</f>
        <v>M</v>
      </c>
      <c r="AG551">
        <f>IF('WetLitterbags placem_collection'!AC112="","",'WetLitterbags placem_collection'!AC112)</f>
        <v>0</v>
      </c>
      <c r="AH551" s="24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placem_collection'!X112)),"YES","NO")</f>
        <v>NO</v>
      </c>
      <c r="AM551" t="str">
        <f>IF(ISNUMBER(SEARCH("H", 'WetLitterbags placem_collection'!X112)),"YES","NO")</f>
        <v>NO</v>
      </c>
      <c r="AN551" t="str">
        <f>IF(ISNUMBER(SEARCH("R", 'WetLitterbags placem_collection'!X112)),"YES","NO")</f>
        <v>NO</v>
      </c>
    </row>
    <row r="552" spans="1:40" ht="15" customHeight="1">
      <c r="A552" s="258" t="s">
        <v>2460</v>
      </c>
      <c r="B552" s="263">
        <f>'Dry_Litterbag Placem_Collection'!A113</f>
        <v>111</v>
      </c>
      <c r="C552" s="263" t="str">
        <f>'Dry_Litterbag Placem_Collection'!B113</f>
        <v xml:space="preserve">Mwantimba
</v>
      </c>
      <c r="D552" s="263" t="s">
        <v>2659</v>
      </c>
      <c r="E552" s="263" t="s">
        <v>2660</v>
      </c>
      <c r="F552" s="263">
        <v>2</v>
      </c>
      <c r="G552" s="264" t="str">
        <f>'Dry_Litterbag Placem_Collection'!C113</f>
        <v>Wet_Ag2_T7</v>
      </c>
      <c r="H552" s="273" t="s">
        <v>3651</v>
      </c>
      <c r="I552" s="266" t="s">
        <v>1147</v>
      </c>
      <c r="J552" s="223" t="str">
        <f>'WetLitterbags placem_collection'!O113</f>
        <v>G695</v>
      </c>
      <c r="K552" s="225">
        <f>IFERROR(INDEX('Green_rooibos initial weight'!$C$5:$C$1749,MATCH(J552, 'Green_rooibos initial weight'!$A$5:$A$1749,0)),"")</f>
        <v>2.0190000000000001</v>
      </c>
      <c r="L552" s="225">
        <f>IFERROR(K552-(TBIcalc!$H$9+TBIcalc!$H$10),"")</f>
        <v>1.7692000000000001</v>
      </c>
      <c r="M552" s="391">
        <f>AVERAGE(Ashed_controlls!$K$2:$K$11)</f>
        <v>5.5147656768714146</v>
      </c>
      <c r="N552" s="225">
        <f t="shared" si="44"/>
        <v>1.6716327656447911</v>
      </c>
      <c r="O552" s="225">
        <f>IF(IFERROR(INDEX('Both teabags AfterWet'!$C$3:$C$841,MATCH(J552,'Both teabags AfterWet'!$A$3:$A$841,0)),"")="","",(IFERROR(INDEX('Both teabags AfterWet'!$C$3:$C$841,MATCH(J552,'Both teabags AfterWet'!$A$3:$A$841,0)),"")))</f>
        <v>0.621</v>
      </c>
      <c r="P552" s="225">
        <f>IFERROR(IF(O552&gt;0,O552-(TBIcalc!$H$9),""),"")</f>
        <v>0.47039999999999998</v>
      </c>
      <c r="Q552" s="225">
        <f>IFERROR(INDEX('Ashed teabags wet'!$K$2:$K$821,MATCH(J552,'Ashed teabags wet'!$A$2:$A$821,0)),"")</f>
        <v>13.185185185184883</v>
      </c>
      <c r="R552" s="225">
        <f t="shared" si="47"/>
        <v>0.40837688888889029</v>
      </c>
      <c r="S552" s="226">
        <f>'WetLitterbags placem_collection'!E113</f>
        <v>42762</v>
      </c>
      <c r="T552" s="226">
        <f>IF('WetLitterbags placem_collection'!G113="","",'WetLitterbags placem_collection'!G113)</f>
        <v>42816</v>
      </c>
      <c r="U552" s="227">
        <f t="shared" si="43"/>
        <v>54</v>
      </c>
      <c r="V552" s="225">
        <f t="shared" si="45"/>
        <v>1.2988000000000002</v>
      </c>
      <c r="W552" s="225">
        <f t="shared" si="46"/>
        <v>1.2632558767559008</v>
      </c>
      <c r="X552">
        <f>IFERROR(INDEX(Rainfall_Wet!$O$2:$O$217,MATCH(B552, Rainfall_Wet!$A$2:$A$217,0)),"")</f>
        <v>206.85140822299999</v>
      </c>
      <c r="Y552" s="231">
        <v>34.344660194174757</v>
      </c>
      <c r="Z552" s="231">
        <v>19.22727272727273</v>
      </c>
      <c r="AA552" s="231">
        <v>46.428067078552509</v>
      </c>
      <c r="AB552" s="232" t="s">
        <v>2670</v>
      </c>
      <c r="AC552" s="231">
        <v>7.7452932479053702</v>
      </c>
      <c r="AD552">
        <f>IF('WetLitterbags placem_collection'!AB113="","",'WetLitterbags placem_collection'!AB113)</f>
        <v>6.1</v>
      </c>
      <c r="AE552">
        <f>IF('WetLitterbags placem_collection'!Z113="","",'WetLitterbags placem_collection'!Z113)</f>
        <v>26</v>
      </c>
      <c r="AF552" s="246" t="str">
        <f>IF('WetLitterbags placem_collection'!AA113="","",'WetLitterbags placem_collection'!AA113)</f>
        <v>M</v>
      </c>
      <c r="AG552">
        <f>IF('WetLitterbags placem_collection'!AC113="","",'WetLitterbags placem_collection'!AC113)</f>
        <v>0</v>
      </c>
      <c r="AH552" s="24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placem_collection'!X113)),"YES","NO")</f>
        <v>NO</v>
      </c>
      <c r="AM552" t="str">
        <f>IF(ISNUMBER(SEARCH("H", 'WetLitterbags placem_collection'!X113)),"YES","NO")</f>
        <v>NO</v>
      </c>
      <c r="AN552" t="str">
        <f>IF(ISNUMBER(SEARCH("R", 'WetLitterbags placem_collection'!X113)),"YES","NO")</f>
        <v>YES</v>
      </c>
    </row>
    <row r="553" spans="1:40" ht="15" customHeight="1">
      <c r="A553" s="258" t="s">
        <v>2460</v>
      </c>
      <c r="B553" s="263">
        <f>'Dry_Litterbag Placem_Collection'!A114</f>
        <v>112</v>
      </c>
      <c r="C553" s="263" t="str">
        <f>'Dry_Litterbag Placem_Collection'!B114</f>
        <v xml:space="preserve">Mwantimba
</v>
      </c>
      <c r="D553" s="263" t="s">
        <v>2659</v>
      </c>
      <c r="E553" s="263" t="s">
        <v>2660</v>
      </c>
      <c r="F553" s="263">
        <v>2</v>
      </c>
      <c r="G553" s="264" t="str">
        <f>'Dry_Litterbag Placem_Collection'!C114</f>
        <v>Wet_Ag2_T8</v>
      </c>
      <c r="H553" s="273" t="s">
        <v>3651</v>
      </c>
      <c r="I553" s="266" t="s">
        <v>1147</v>
      </c>
      <c r="J553" s="223" t="str">
        <f>'WetLitterbags placem_collection'!O114</f>
        <v>G852</v>
      </c>
      <c r="K553" s="225">
        <f>IFERROR(INDEX('Green_rooibos initial weight'!$C$5:$C$1749,MATCH(J553, 'Green_rooibos initial weight'!$A$5:$A$1749,0)),"")</f>
        <v>2.0630000000000002</v>
      </c>
      <c r="L553" s="225">
        <f>IFERROR(K553-(TBIcalc!$H$9+TBIcalc!$H$10),"")</f>
        <v>1.8132000000000001</v>
      </c>
      <c r="M553" s="391">
        <f>AVERAGE(Ashed_controlls!$K$2:$K$11)</f>
        <v>5.5147656768714146</v>
      </c>
      <c r="N553" s="225">
        <f t="shared" si="44"/>
        <v>1.7132062687469676</v>
      </c>
      <c r="O553" s="225">
        <f>IF(IFERROR(INDEX('Both teabags AfterWet'!$C$3:$C$841,MATCH(J553,'Both teabags AfterWet'!$A$3:$A$841,0)),"")="","",(IFERROR(INDEX('Both teabags AfterWet'!$C$3:$C$841,MATCH(J553,'Both teabags AfterWet'!$A$3:$A$841,0)),"")))</f>
        <v>0.69799999999999995</v>
      </c>
      <c r="P553" s="225">
        <f>IFERROR(IF(O553&gt;0,O553-(TBIcalc!$H$9),""),"")</f>
        <v>0.54739999999999989</v>
      </c>
      <c r="Q553" s="225">
        <f>IFERROR(INDEX('Ashed teabags wet'!$K$2:$K$821,MATCH(J553,'Ashed teabags wet'!$A$2:$A$821,0)),"")</f>
        <v>13.745704467352656</v>
      </c>
      <c r="R553" s="225">
        <f t="shared" si="47"/>
        <v>0.47215601374571148</v>
      </c>
      <c r="S553" s="226">
        <f>'WetLitterbags placem_collection'!E114</f>
        <v>42762</v>
      </c>
      <c r="T553" s="226">
        <f>IF('WetLitterbags placem_collection'!G114="","",'WetLitterbags placem_collection'!G114)</f>
        <v>42816</v>
      </c>
      <c r="U553" s="227">
        <f t="shared" si="43"/>
        <v>54</v>
      </c>
      <c r="V553" s="225">
        <f t="shared" si="45"/>
        <v>1.2658000000000003</v>
      </c>
      <c r="W553" s="225">
        <f t="shared" si="46"/>
        <v>1.2410502550012561</v>
      </c>
      <c r="X553">
        <f>IFERROR(INDEX(Rainfall_Wet!$O$2:$O$217,MATCH(B553, Rainfall_Wet!$A$2:$A$217,0)),"")</f>
        <v>206.85140822299999</v>
      </c>
      <c r="Y553" s="231">
        <v>34.344660194174757</v>
      </c>
      <c r="Z553" s="231">
        <v>19.22727272727273</v>
      </c>
      <c r="AA553" s="231">
        <v>46.428067078552509</v>
      </c>
      <c r="AB553" s="232" t="s">
        <v>2670</v>
      </c>
      <c r="AC553" s="231">
        <v>8.7452932479053693</v>
      </c>
      <c r="AD553">
        <f>IF('WetLitterbags placem_collection'!AB114="","",'WetLitterbags placem_collection'!AB114)</f>
        <v>11.5</v>
      </c>
      <c r="AE553">
        <f>IF('WetLitterbags placem_collection'!Z114="","",'WetLitterbags placem_collection'!Z114)</f>
        <v>15</v>
      </c>
      <c r="AF553" s="246" t="str">
        <f>IF('WetLitterbags placem_collection'!AA114="","",'WetLitterbags placem_collection'!AA114)</f>
        <v>M</v>
      </c>
      <c r="AG553">
        <f>IF('WetLitterbags placem_collection'!AC114="","",'WetLitterbags placem_collection'!AC114)</f>
        <v>0</v>
      </c>
      <c r="AH553" s="24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placem_collection'!X114)),"YES","NO")</f>
        <v>NO</v>
      </c>
      <c r="AM553" t="str">
        <f>IF(ISNUMBER(SEARCH("H", 'WetLitterbags placem_collection'!X114)),"YES","NO")</f>
        <v>NO</v>
      </c>
      <c r="AN553" t="str">
        <f>IF(ISNUMBER(SEARCH("R", 'WetLitterbags placem_collection'!X114)),"YES","NO")</f>
        <v>NO</v>
      </c>
    </row>
    <row r="554" spans="1:40" ht="15" customHeight="1">
      <c r="A554" s="258" t="s">
        <v>2460</v>
      </c>
      <c r="B554" s="263">
        <f>'Dry_Litterbag Placem_Collection'!A115</f>
        <v>113</v>
      </c>
      <c r="C554" s="263" t="str">
        <f>'Dry_Litterbag Placem_Collection'!B115</f>
        <v xml:space="preserve">Mwantimba
</v>
      </c>
      <c r="D554" s="263" t="s">
        <v>2659</v>
      </c>
      <c r="E554" s="263" t="s">
        <v>2660</v>
      </c>
      <c r="F554" s="263">
        <v>3</v>
      </c>
      <c r="G554" s="264" t="str">
        <f>'Dry_Litterbag Placem_Collection'!C115</f>
        <v>Wet_Ag3_T1</v>
      </c>
      <c r="H554" s="273" t="s">
        <v>3651</v>
      </c>
      <c r="I554" s="266" t="s">
        <v>1147</v>
      </c>
      <c r="J554" s="223" t="str">
        <f>'WetLitterbags placem_collection'!O115</f>
        <v>G769</v>
      </c>
      <c r="K554" s="225">
        <f>IFERROR(INDEX('Green_rooibos initial weight'!$C$5:$C$1749,MATCH(J554, 'Green_rooibos initial weight'!$A$5:$A$1749,0)),"")</f>
        <v>2.0550000000000002</v>
      </c>
      <c r="L554" s="225">
        <f>IFERROR(K554-(TBIcalc!$H$9+TBIcalc!$H$10),"")</f>
        <v>1.8052000000000001</v>
      </c>
      <c r="M554" s="391">
        <f>AVERAGE(Ashed_controlls!$K$2:$K$11)</f>
        <v>5.5147656768714146</v>
      </c>
      <c r="N554" s="225">
        <f t="shared" si="44"/>
        <v>1.7056474500011174</v>
      </c>
      <c r="O554" s="225">
        <f>IF(IFERROR(INDEX('Both teabags AfterWet'!$C$3:$C$841,MATCH(J554,'Both teabags AfterWet'!$A$3:$A$841,0)),"")="","",(IFERROR(INDEX('Both teabags AfterWet'!$C$3:$C$841,MATCH(J554,'Both teabags AfterWet'!$A$3:$A$841,0)),"")))</f>
        <v>0.70799999999999996</v>
      </c>
      <c r="P554" s="225">
        <f>IFERROR(IF(O554&gt;0,O554-(TBIcalc!$H$9),""),"")</f>
        <v>0.5573999999999999</v>
      </c>
      <c r="Q554" s="225">
        <f>IFERROR(INDEX('Ashed teabags wet'!$K$2:$K$821,MATCH(J554,'Ashed teabags wet'!$A$2:$A$821,0)),"")</f>
        <v>20.028887818970457</v>
      </c>
      <c r="R554" s="225">
        <f t="shared" si="47"/>
        <v>0.4457589792970586</v>
      </c>
      <c r="S554" s="226">
        <f>'WetLitterbags placem_collection'!E115</f>
        <v>42762</v>
      </c>
      <c r="T554" s="226">
        <f>IF('WetLitterbags placem_collection'!G115="","",'WetLitterbags placem_collection'!G115)</f>
        <v>42816</v>
      </c>
      <c r="U554" s="227">
        <f t="shared" si="43"/>
        <v>54</v>
      </c>
      <c r="V554" s="225">
        <f t="shared" si="45"/>
        <v>1.2478000000000002</v>
      </c>
      <c r="W554" s="225">
        <f t="shared" si="46"/>
        <v>1.2598884707040587</v>
      </c>
      <c r="X554">
        <f>IFERROR(INDEX(Rainfall_Wet!$O$2:$O$217,MATCH(B554, Rainfall_Wet!$A$2:$A$217,0)),"")</f>
        <v>206.85140822299999</v>
      </c>
      <c r="Y554" s="231">
        <v>27.96</v>
      </c>
      <c r="Z554" s="231">
        <v>4.9200000000000017</v>
      </c>
      <c r="AA554" s="231">
        <v>67.12</v>
      </c>
      <c r="AB554" s="232" t="s">
        <v>2670</v>
      </c>
      <c r="AC554" s="231">
        <v>0.88610152784622953</v>
      </c>
      <c r="AD554">
        <f>IF('WetLitterbags placem_collection'!AB115="","",'WetLitterbags placem_collection'!AB115)</f>
        <v>26</v>
      </c>
      <c r="AE554">
        <f>IF('WetLitterbags placem_collection'!Z115="","",'WetLitterbags placem_collection'!Z115)</f>
        <v>88.5</v>
      </c>
      <c r="AF554" s="246" t="str">
        <f>IF('WetLitterbags placem_collection'!AA115="","",'WetLitterbags placem_collection'!AA115)</f>
        <v>G</v>
      </c>
      <c r="AG554">
        <f>IF('WetLitterbags placem_collection'!AC115="","",'WetLitterbags placem_collection'!AC115)</f>
        <v>0</v>
      </c>
      <c r="AH554" s="24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placem_collection'!X115)),"YES","NO")</f>
        <v>NO</v>
      </c>
      <c r="AM554" t="str">
        <f>IF(ISNUMBER(SEARCH("H", 'WetLitterbags placem_collection'!X115)),"YES","NO")</f>
        <v>NO</v>
      </c>
      <c r="AN554" t="str">
        <f>IF(ISNUMBER(SEARCH("R", 'WetLitterbags placem_collection'!X115)),"YES","NO")</f>
        <v>YES</v>
      </c>
    </row>
    <row r="555" spans="1:40" ht="15" customHeight="1">
      <c r="A555" s="258" t="s">
        <v>2460</v>
      </c>
      <c r="B555" s="263">
        <f>'Dry_Litterbag Placem_Collection'!A116</f>
        <v>114</v>
      </c>
      <c r="C555" s="263" t="str">
        <f>'Dry_Litterbag Placem_Collection'!B116</f>
        <v xml:space="preserve">Mwantimba
</v>
      </c>
      <c r="D555" s="263" t="s">
        <v>2659</v>
      </c>
      <c r="E555" s="263" t="s">
        <v>2660</v>
      </c>
      <c r="F555" s="263">
        <v>3</v>
      </c>
      <c r="G555" s="264" t="str">
        <f>'Dry_Litterbag Placem_Collection'!C116</f>
        <v>Wet_Ag3_T2</v>
      </c>
      <c r="H555" s="273" t="s">
        <v>3651</v>
      </c>
      <c r="I555" s="266" t="s">
        <v>1147</v>
      </c>
      <c r="J555" s="223" t="str">
        <f>'WetLitterbags placem_collection'!O116</f>
        <v>G889</v>
      </c>
      <c r="K555" s="225">
        <f>IFERROR(INDEX('Green_rooibos initial weight'!$C$5:$C$1749,MATCH(J555, 'Green_rooibos initial weight'!$A$5:$A$1749,0)),"")</f>
        <v>1.9830000000000001</v>
      </c>
      <c r="L555" s="225">
        <f>IFERROR(K555-(TBIcalc!$H$9+TBIcalc!$H$10),"")</f>
        <v>1.7332000000000001</v>
      </c>
      <c r="M555" s="391">
        <f>AVERAGE(Ashed_controlls!$K$2:$K$11)</f>
        <v>5.5147656768714146</v>
      </c>
      <c r="N555" s="225">
        <f t="shared" si="44"/>
        <v>1.6376180812884646</v>
      </c>
      <c r="O555" s="225">
        <f>IF(IFERROR(INDEX('Both teabags AfterWet'!$C$3:$C$841,MATCH(J555,'Both teabags AfterWet'!$A$3:$A$841,0)),"")="","",(IFERROR(INDEX('Both teabags AfterWet'!$C$3:$C$841,MATCH(J555,'Both teabags AfterWet'!$A$3:$A$841,0)),"")))</f>
        <v>0.65700000000000003</v>
      </c>
      <c r="P555" s="225">
        <f>IFERROR(IF(O555&gt;0,O555-(TBIcalc!$H$9),""),"")</f>
        <v>0.50639999999999996</v>
      </c>
      <c r="Q555" s="225">
        <f>IFERROR(INDEX('Ashed teabags wet'!$K$2:$K$821,MATCH(J555,'Ashed teabags wet'!$A$2:$A$821,0)),"")</f>
        <v>20.433734939759127</v>
      </c>
      <c r="R555" s="225">
        <f t="shared" si="47"/>
        <v>0.40292356626505976</v>
      </c>
      <c r="S555" s="226">
        <f>'WetLitterbags placem_collection'!E116</f>
        <v>42762</v>
      </c>
      <c r="T555" s="226">
        <f>IF('WetLitterbags placem_collection'!G116="","",'WetLitterbags placem_collection'!G116)</f>
        <v>42816</v>
      </c>
      <c r="U555" s="227">
        <f t="shared" si="43"/>
        <v>54</v>
      </c>
      <c r="V555" s="225">
        <f t="shared" si="45"/>
        <v>1.2268000000000001</v>
      </c>
      <c r="W555" s="225">
        <f t="shared" si="46"/>
        <v>1.234694515023405</v>
      </c>
      <c r="X555">
        <f>IFERROR(INDEX(Rainfall_Wet!$O$2:$O$217,MATCH(B555, Rainfall_Wet!$A$2:$A$217,0)),"")</f>
        <v>206.85140822299999</v>
      </c>
      <c r="Y555" s="231">
        <v>27.96</v>
      </c>
      <c r="Z555" s="231">
        <v>4.9200000000000017</v>
      </c>
      <c r="AA555" s="231">
        <v>67.12</v>
      </c>
      <c r="AB555" s="232" t="s">
        <v>2670</v>
      </c>
      <c r="AC555" s="231">
        <v>1.8861015278462301</v>
      </c>
      <c r="AD555">
        <f>IF('WetLitterbags placem_collection'!AB116="","",'WetLitterbags placem_collection'!AB116)</f>
        <v>16.5</v>
      </c>
      <c r="AE555">
        <f>IF('WetLitterbags placem_collection'!Z116="","",'WetLitterbags placem_collection'!Z116)</f>
        <v>87.5</v>
      </c>
      <c r="AF555" s="246" t="str">
        <f>IF('WetLitterbags placem_collection'!AA116="","",'WetLitterbags placem_collection'!AA116)</f>
        <v>G</v>
      </c>
      <c r="AG555">
        <f>IF('WetLitterbags placem_collection'!AC116="","",'WetLitterbags placem_collection'!AC116)</f>
        <v>0</v>
      </c>
      <c r="AH555" s="24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placem_collection'!X116)),"YES","NO")</f>
        <v>NO</v>
      </c>
      <c r="AM555" t="str">
        <f>IF(ISNUMBER(SEARCH("H", 'WetLitterbags placem_collection'!X116)),"YES","NO")</f>
        <v>NO</v>
      </c>
      <c r="AN555" t="str">
        <f>IF(ISNUMBER(SEARCH("R", 'WetLitterbags placem_collection'!X116)),"YES","NO")</f>
        <v>YES</v>
      </c>
    </row>
    <row r="556" spans="1:40" ht="15" customHeight="1">
      <c r="A556" s="258" t="s">
        <v>2460</v>
      </c>
      <c r="B556" s="263">
        <f>'Dry_Litterbag Placem_Collection'!A117</f>
        <v>115</v>
      </c>
      <c r="C556" s="263" t="str">
        <f>'Dry_Litterbag Placem_Collection'!B117</f>
        <v xml:space="preserve">Mwantimba
</v>
      </c>
      <c r="D556" s="263" t="s">
        <v>2659</v>
      </c>
      <c r="E556" s="263" t="s">
        <v>2660</v>
      </c>
      <c r="F556" s="263">
        <v>3</v>
      </c>
      <c r="G556" s="264" t="str">
        <f>'Dry_Litterbag Placem_Collection'!C117</f>
        <v>Wet_Ag3_T3</v>
      </c>
      <c r="H556" s="273" t="s">
        <v>3651</v>
      </c>
      <c r="I556" s="266" t="s">
        <v>1147</v>
      </c>
      <c r="J556" s="223" t="str">
        <f>'WetLitterbags placem_collection'!O117</f>
        <v>G778</v>
      </c>
      <c r="K556" s="225">
        <f>IFERROR(INDEX('Green_rooibos initial weight'!$C$5:$C$1749,MATCH(J556, 'Green_rooibos initial weight'!$A$5:$A$1749,0)),"")</f>
        <v>1.992</v>
      </c>
      <c r="L556" s="225">
        <f>IFERROR(K556-(TBIcalc!$H$9+TBIcalc!$H$10),"")</f>
        <v>1.7422</v>
      </c>
      <c r="M556" s="391">
        <f>AVERAGE(Ashed_controlls!$K$2:$K$11)</f>
        <v>5.5147656768714146</v>
      </c>
      <c r="N556" s="225">
        <f t="shared" si="44"/>
        <v>1.6461217523775462</v>
      </c>
      <c r="O556" s="225">
        <f>IF(IFERROR(INDEX('Both teabags AfterWet'!$C$3:$C$841,MATCH(J556,'Both teabags AfterWet'!$A$3:$A$841,0)),"")="","",(IFERROR(INDEX('Both teabags AfterWet'!$C$3:$C$841,MATCH(J556,'Both teabags AfterWet'!$A$3:$A$841,0)),"")))</f>
        <v>0.73709999999999998</v>
      </c>
      <c r="P556" s="225">
        <f>IFERROR(IF(O556&gt;0,O556-(TBIcalc!$H$9),""),"")</f>
        <v>0.58650000000000002</v>
      </c>
      <c r="Q556" s="225">
        <f>IFERROR(INDEX('Ashed teabags wet'!$K$2:$K$821,MATCH(J556,'Ashed teabags wet'!$A$2:$A$821,0)),"")</f>
        <v>26.575476306790591</v>
      </c>
      <c r="R556" s="225">
        <f t="shared" si="47"/>
        <v>0.43063483146067316</v>
      </c>
      <c r="S556" s="226">
        <f>'WetLitterbags placem_collection'!E117</f>
        <v>42762</v>
      </c>
      <c r="T556" s="226">
        <f>IF('WetLitterbags placem_collection'!G117="","",'WetLitterbags placem_collection'!G117)</f>
        <v>42816</v>
      </c>
      <c r="U556" s="227">
        <f t="shared" si="43"/>
        <v>54</v>
      </c>
      <c r="V556" s="225">
        <f t="shared" si="45"/>
        <v>1.1556999999999999</v>
      </c>
      <c r="W556" s="225">
        <f t="shared" si="46"/>
        <v>1.215486920916873</v>
      </c>
      <c r="X556">
        <f>IFERROR(INDEX(Rainfall_Wet!$O$2:$O$217,MATCH(B556, Rainfall_Wet!$A$2:$A$217,0)),"")</f>
        <v>206.85140822299999</v>
      </c>
      <c r="Y556" s="231">
        <v>27.96</v>
      </c>
      <c r="Z556" s="231">
        <v>4.9200000000000017</v>
      </c>
      <c r="AA556" s="231">
        <v>67.12</v>
      </c>
      <c r="AB556" s="232" t="s">
        <v>2670</v>
      </c>
      <c r="AC556" s="231">
        <v>2.8861015278462299</v>
      </c>
      <c r="AD556">
        <f>IF('WetLitterbags placem_collection'!AB117="","",'WetLitterbags placem_collection'!AB117)</f>
        <v>19</v>
      </c>
      <c r="AE556">
        <f>IF('WetLitterbags placem_collection'!Z117="","",'WetLitterbags placem_collection'!Z117)</f>
        <v>79.5</v>
      </c>
      <c r="AF556" s="246" t="str">
        <f>IF('WetLitterbags placem_collection'!AA117="","",'WetLitterbags placem_collection'!AA117)</f>
        <v>G</v>
      </c>
      <c r="AG556">
        <f>IF('WetLitterbags placem_collection'!AC117="","",'WetLitterbags placem_collection'!AC117)</f>
        <v>1</v>
      </c>
      <c r="AH556" s="24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placem_collection'!X117)),"YES","NO")</f>
        <v>NO</v>
      </c>
      <c r="AM556" t="str">
        <f>IF(ISNUMBER(SEARCH("H", 'WetLitterbags placem_collection'!X117)),"YES","NO")</f>
        <v>NO</v>
      </c>
      <c r="AN556" t="str">
        <f>IF(ISNUMBER(SEARCH("R", 'WetLitterbags placem_collection'!X117)),"YES","NO")</f>
        <v>YES</v>
      </c>
    </row>
    <row r="557" spans="1:40" ht="15" customHeight="1">
      <c r="A557" s="258" t="s">
        <v>2460</v>
      </c>
      <c r="B557" s="263">
        <f>'Dry_Litterbag Placem_Collection'!A118</f>
        <v>116</v>
      </c>
      <c r="C557" s="263" t="str">
        <f>'Dry_Litterbag Placem_Collection'!B118</f>
        <v xml:space="preserve">Mwantimba
</v>
      </c>
      <c r="D557" s="263" t="s">
        <v>2659</v>
      </c>
      <c r="E557" s="263" t="s">
        <v>2660</v>
      </c>
      <c r="F557" s="263">
        <v>3</v>
      </c>
      <c r="G557" s="264" t="str">
        <f>'Dry_Litterbag Placem_Collection'!C118</f>
        <v>Wet_Ag3_T4</v>
      </c>
      <c r="H557" s="273" t="s">
        <v>3651</v>
      </c>
      <c r="I557" s="266" t="s">
        <v>1147</v>
      </c>
      <c r="J557" s="223" t="str">
        <f>'WetLitterbags placem_collection'!O118</f>
        <v>G563</v>
      </c>
      <c r="K557" s="225">
        <f>IFERROR(INDEX('Green_rooibos initial weight'!$C$5:$C$1749,MATCH(J557, 'Green_rooibos initial weight'!$A$5:$A$1749,0)),"")</f>
        <v>1.9390000000000001</v>
      </c>
      <c r="L557" s="225">
        <f>IFERROR(K557-(TBIcalc!$H$9+TBIcalc!$H$10),"")</f>
        <v>1.6892</v>
      </c>
      <c r="M557" s="391">
        <f>AVERAGE(Ashed_controlls!$K$2:$K$11)</f>
        <v>5.5147656768714146</v>
      </c>
      <c r="N557" s="225">
        <f t="shared" si="44"/>
        <v>1.5960445781862882</v>
      </c>
      <c r="O557" s="225">
        <f>IF(IFERROR(INDEX('Both teabags AfterWet'!$C$3:$C$841,MATCH(J557,'Both teabags AfterWet'!$A$3:$A$841,0)),"")="","",(IFERROR(INDEX('Both teabags AfterWet'!$C$3:$C$841,MATCH(J557,'Both teabags AfterWet'!$A$3:$A$841,0)),"")))</f>
        <v>0.61660000000000004</v>
      </c>
      <c r="P557" s="225">
        <f>IFERROR(IF(O557&gt;0,O557-(TBIcalc!$H$9),""),"")</f>
        <v>0.46600000000000003</v>
      </c>
      <c r="Q557" s="225">
        <f>IFERROR(INDEX('Ashed teabags wet'!$K$2:$K$821,MATCH(J557,'Ashed teabags wet'!$A$2:$A$821,0)),"")</f>
        <v>16.467661691542546</v>
      </c>
      <c r="R557" s="225">
        <f t="shared" si="47"/>
        <v>0.38926069651741174</v>
      </c>
      <c r="S557" s="226">
        <f>'WetLitterbags placem_collection'!E118</f>
        <v>42762</v>
      </c>
      <c r="T557" s="226">
        <f>IF('WetLitterbags placem_collection'!G118="","",'WetLitterbags placem_collection'!G118)</f>
        <v>42816</v>
      </c>
      <c r="U557" s="227">
        <f t="shared" si="43"/>
        <v>54</v>
      </c>
      <c r="V557" s="225">
        <f t="shared" si="45"/>
        <v>1.2232000000000001</v>
      </c>
      <c r="W557" s="225">
        <f t="shared" si="46"/>
        <v>1.2067838816688765</v>
      </c>
      <c r="X557">
        <f>IFERROR(INDEX(Rainfall_Wet!$O$2:$O$217,MATCH(B557, Rainfall_Wet!$A$2:$A$217,0)),"")</f>
        <v>206.85140822299999</v>
      </c>
      <c r="Y557" s="231">
        <v>27.96</v>
      </c>
      <c r="Z557" s="231">
        <v>4.9200000000000017</v>
      </c>
      <c r="AA557" s="231">
        <v>67.12</v>
      </c>
      <c r="AB557" s="232" t="s">
        <v>2670</v>
      </c>
      <c r="AC557" s="231">
        <v>3.8861015278462299</v>
      </c>
      <c r="AD557">
        <f>IF('WetLitterbags placem_collection'!AB118="","",'WetLitterbags placem_collection'!AB118)</f>
        <v>22.5</v>
      </c>
      <c r="AE557">
        <f>IF('WetLitterbags placem_collection'!Z118="","",'WetLitterbags placem_collection'!Z118)</f>
        <v>76</v>
      </c>
      <c r="AF557" s="246" t="str">
        <f>IF('WetLitterbags placem_collection'!AA118="","",'WetLitterbags placem_collection'!AA118)</f>
        <v>G</v>
      </c>
      <c r="AG557">
        <f>IF('WetLitterbags placem_collection'!AC118="","",'WetLitterbags placem_collection'!AC118)</f>
        <v>1</v>
      </c>
      <c r="AH557" s="24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placem_collection'!X118)),"YES","NO")</f>
        <v>NO</v>
      </c>
      <c r="AM557" t="str">
        <f>IF(ISNUMBER(SEARCH("H", 'WetLitterbags placem_collection'!X118)),"YES","NO")</f>
        <v>NO</v>
      </c>
      <c r="AN557" t="str">
        <f>IF(ISNUMBER(SEARCH("R", 'WetLitterbags placem_collection'!X118)),"YES","NO")</f>
        <v>YES</v>
      </c>
    </row>
    <row r="558" spans="1:40" ht="15" customHeight="1">
      <c r="A558" s="258" t="s">
        <v>2460</v>
      </c>
      <c r="B558" s="263">
        <f>'Dry_Litterbag Placem_Collection'!A119</f>
        <v>117</v>
      </c>
      <c r="C558" s="263" t="str">
        <f>'Dry_Litterbag Placem_Collection'!B119</f>
        <v xml:space="preserve">Mwantimba
</v>
      </c>
      <c r="D558" s="263" t="s">
        <v>2659</v>
      </c>
      <c r="E558" s="263" t="s">
        <v>2660</v>
      </c>
      <c r="F558" s="263">
        <v>3</v>
      </c>
      <c r="G558" s="264" t="str">
        <f>'Dry_Litterbag Placem_Collection'!C119</f>
        <v>Wet_Ag3_T5</v>
      </c>
      <c r="H558" s="273" t="s">
        <v>3651</v>
      </c>
      <c r="I558" s="266" t="s">
        <v>1147</v>
      </c>
      <c r="J558" s="223" t="str">
        <f>'WetLitterbags placem_collection'!O119</f>
        <v>G901</v>
      </c>
      <c r="K558" s="225">
        <f>IFERROR(INDEX('Green_rooibos initial weight'!$C$5:$C$1749,MATCH(J558, 'Green_rooibos initial weight'!$A$5:$A$1749,0)),"")</f>
        <v>2.0270000000000001</v>
      </c>
      <c r="L558" s="225">
        <f>IFERROR(K558-(TBIcalc!$H$9+TBIcalc!$H$10),"")</f>
        <v>1.7772000000000001</v>
      </c>
      <c r="M558" s="391">
        <f>AVERAGE(Ashed_controlls!$K$2:$K$11)</f>
        <v>5.5147656768714146</v>
      </c>
      <c r="N558" s="225">
        <f t="shared" si="44"/>
        <v>1.6791915843906413</v>
      </c>
      <c r="O558" s="225">
        <f>IF(IFERROR(INDEX('Both teabags AfterWet'!$C$3:$C$841,MATCH(J558,'Both teabags AfterWet'!$A$3:$A$841,0)),"")="","",(IFERROR(INDEX('Both teabags AfterWet'!$C$3:$C$841,MATCH(J558,'Both teabags AfterWet'!$A$3:$A$841,0)),"")))</f>
        <v>0.621</v>
      </c>
      <c r="P558" s="225">
        <f>IFERROR(IF(O558&gt;0,O558-(TBIcalc!$H$9),""),"")</f>
        <v>0.47039999999999998</v>
      </c>
      <c r="Q558" s="225">
        <f>IFERROR(INDEX('Ashed teabags wet'!$K$2:$K$821,MATCH(J558,'Ashed teabags wet'!$A$2:$A$821,0)),"")</f>
        <v>13.244047619047592</v>
      </c>
      <c r="R558" s="225">
        <f t="shared" si="47"/>
        <v>0.40810000000000013</v>
      </c>
      <c r="S558" s="226">
        <f>'WetLitterbags placem_collection'!E119</f>
        <v>42762</v>
      </c>
      <c r="T558" s="226">
        <f>IF('WetLitterbags placem_collection'!G119="","",'WetLitterbags placem_collection'!G119)</f>
        <v>42816</v>
      </c>
      <c r="U558" s="227">
        <f t="shared" si="43"/>
        <v>54</v>
      </c>
      <c r="V558" s="225">
        <f t="shared" si="45"/>
        <v>1.3068000000000002</v>
      </c>
      <c r="W558" s="225">
        <f t="shared" si="46"/>
        <v>1.2710915843906412</v>
      </c>
      <c r="X558">
        <f>IFERROR(INDEX(Rainfall_Wet!$O$2:$O$217,MATCH(B558, Rainfall_Wet!$A$2:$A$217,0)),"")</f>
        <v>206.85140822299999</v>
      </c>
      <c r="Y558" s="231">
        <v>27.96</v>
      </c>
      <c r="Z558" s="231">
        <v>4.9200000000000017</v>
      </c>
      <c r="AA558" s="231">
        <v>67.12</v>
      </c>
      <c r="AB558" s="232" t="s">
        <v>2670</v>
      </c>
      <c r="AC558" s="231">
        <v>4.8861015278462299</v>
      </c>
      <c r="AD558">
        <f>IF('WetLitterbags placem_collection'!AB119="","",'WetLitterbags placem_collection'!AB119)</f>
        <v>23.5</v>
      </c>
      <c r="AE558">
        <f>IF('WetLitterbags placem_collection'!Z119="","",'WetLitterbags placem_collection'!Z119)</f>
        <v>76</v>
      </c>
      <c r="AF558" s="246" t="str">
        <f>IF('WetLitterbags placem_collection'!AA119="","",'WetLitterbags placem_collection'!AA119)</f>
        <v>G</v>
      </c>
      <c r="AG558">
        <f>IF('WetLitterbags placem_collection'!AC119="","",'WetLitterbags placem_collection'!AC119)</f>
        <v>1</v>
      </c>
      <c r="AH558" s="24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placem_collection'!X119)),"YES","NO")</f>
        <v>NO</v>
      </c>
      <c r="AM558" t="str">
        <f>IF(ISNUMBER(SEARCH("H", 'WetLitterbags placem_collection'!X119)),"YES","NO")</f>
        <v>NO</v>
      </c>
      <c r="AN558" t="str">
        <f>IF(ISNUMBER(SEARCH("R", 'WetLitterbags placem_collection'!X119)),"YES","NO")</f>
        <v>YES</v>
      </c>
    </row>
    <row r="559" spans="1:40" ht="15" customHeight="1">
      <c r="A559" s="258" t="s">
        <v>2460</v>
      </c>
      <c r="B559" s="263">
        <f>'Dry_Litterbag Placem_Collection'!A120</f>
        <v>118</v>
      </c>
      <c r="C559" s="263" t="str">
        <f>'Dry_Litterbag Placem_Collection'!B120</f>
        <v xml:space="preserve">Mwantimba
</v>
      </c>
      <c r="D559" s="263" t="s">
        <v>2659</v>
      </c>
      <c r="E559" s="263" t="s">
        <v>2660</v>
      </c>
      <c r="F559" s="263">
        <v>3</v>
      </c>
      <c r="G559" s="264" t="str">
        <f>'Dry_Litterbag Placem_Collection'!C120</f>
        <v>Wet_Ag3_T6</v>
      </c>
      <c r="H559" s="273" t="s">
        <v>3651</v>
      </c>
      <c r="I559" s="266" t="s">
        <v>1147</v>
      </c>
      <c r="J559" s="223" t="str">
        <f>'WetLitterbags placem_collection'!O120</f>
        <v>G791</v>
      </c>
      <c r="K559" s="225">
        <f>IFERROR(INDEX('Green_rooibos initial weight'!$C$5:$C$1749,MATCH(J559, 'Green_rooibos initial weight'!$A$5:$A$1749,0)),"")</f>
        <v>2.0680000000000001</v>
      </c>
      <c r="L559" s="225">
        <f>IFERROR(K559-(TBIcalc!$H$9+TBIcalc!$H$10),"")</f>
        <v>1.8182</v>
      </c>
      <c r="M559" s="391">
        <f>AVERAGE(Ashed_controlls!$K$2:$K$11)</f>
        <v>5.5147656768714146</v>
      </c>
      <c r="N559" s="225">
        <f t="shared" si="44"/>
        <v>1.7179305304631241</v>
      </c>
      <c r="O559" s="225">
        <f>IF(IFERROR(INDEX('Both teabags AfterWet'!$C$3:$C$841,MATCH(J559,'Both teabags AfterWet'!$A$3:$A$841,0)),"")="","",(IFERROR(INDEX('Both teabags AfterWet'!$C$3:$C$841,MATCH(J559,'Both teabags AfterWet'!$A$3:$A$841,0)),"")))</f>
        <v>0.64600000000000002</v>
      </c>
      <c r="P559" s="225">
        <f>IFERROR(IF(O559&gt;0,O559-(TBIcalc!$H$9),""),"")</f>
        <v>0.49540000000000001</v>
      </c>
      <c r="Q559" s="225">
        <f>IFERROR(INDEX('Ashed teabags wet'!$K$2:$K$821,MATCH(J559,'Ashed teabags wet'!$A$2:$A$821,0)),"")</f>
        <v>12.418952618454213</v>
      </c>
      <c r="R559" s="225">
        <f t="shared" si="47"/>
        <v>0.43387650872817785</v>
      </c>
      <c r="S559" s="226">
        <f>'WetLitterbags placem_collection'!E120</f>
        <v>42762</v>
      </c>
      <c r="T559" s="226">
        <f>IF('WetLitterbags placem_collection'!G120="","",'WetLitterbags placem_collection'!G120)</f>
        <v>42816</v>
      </c>
      <c r="U559" s="227">
        <f t="shared" si="43"/>
        <v>54</v>
      </c>
      <c r="V559" s="225">
        <f t="shared" si="45"/>
        <v>1.3228</v>
      </c>
      <c r="W559" s="225">
        <f t="shared" si="46"/>
        <v>1.2840540217349461</v>
      </c>
      <c r="X559">
        <f>IFERROR(INDEX(Rainfall_Wet!$O$2:$O$217,MATCH(B559, Rainfall_Wet!$A$2:$A$217,0)),"")</f>
        <v>206.85140822299999</v>
      </c>
      <c r="Y559" s="231">
        <v>27.96</v>
      </c>
      <c r="Z559" s="231">
        <v>4.9200000000000017</v>
      </c>
      <c r="AA559" s="231">
        <v>67.12</v>
      </c>
      <c r="AB559" s="232" t="s">
        <v>2670</v>
      </c>
      <c r="AC559" s="231">
        <v>5.8861015278462299</v>
      </c>
      <c r="AD559">
        <f>IF('WetLitterbags placem_collection'!AB120="","",'WetLitterbags placem_collection'!AB120)</f>
        <v>17.5</v>
      </c>
      <c r="AE559">
        <f>IF('WetLitterbags placem_collection'!Z120="","",'WetLitterbags placem_collection'!Z120)</f>
        <v>70.5</v>
      </c>
      <c r="AF559" s="246" t="str">
        <f>IF('WetLitterbags placem_collection'!AA120="","",'WetLitterbags placem_collection'!AA120)</f>
        <v>G</v>
      </c>
      <c r="AG559">
        <f>IF('WetLitterbags placem_collection'!AC120="","",'WetLitterbags placem_collection'!AC120)</f>
        <v>1</v>
      </c>
      <c r="AH559" s="24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placem_collection'!X120)),"YES","NO")</f>
        <v>NO</v>
      </c>
      <c r="AM559" t="str">
        <f>IF(ISNUMBER(SEARCH("H", 'WetLitterbags placem_collection'!X120)),"YES","NO")</f>
        <v>NO</v>
      </c>
      <c r="AN559" t="str">
        <f>IF(ISNUMBER(SEARCH("R", 'WetLitterbags placem_collection'!X120)),"YES","NO")</f>
        <v>YES</v>
      </c>
    </row>
    <row r="560" spans="1:40" ht="15" customHeight="1">
      <c r="A560" s="258" t="s">
        <v>2460</v>
      </c>
      <c r="B560" s="263">
        <f>'Dry_Litterbag Placem_Collection'!A121</f>
        <v>119</v>
      </c>
      <c r="C560" s="263" t="str">
        <f>'Dry_Litterbag Placem_Collection'!B121</f>
        <v xml:space="preserve">Mwantimba
</v>
      </c>
      <c r="D560" s="263" t="s">
        <v>2659</v>
      </c>
      <c r="E560" s="263" t="s">
        <v>2660</v>
      </c>
      <c r="F560" s="263">
        <v>3</v>
      </c>
      <c r="G560" s="264" t="str">
        <f>'Dry_Litterbag Placem_Collection'!C121</f>
        <v>Wet_Ag3_T7</v>
      </c>
      <c r="H560" s="273" t="s">
        <v>3651</v>
      </c>
      <c r="I560" s="266" t="s">
        <v>1147</v>
      </c>
      <c r="J560" s="223" t="str">
        <f>'WetLitterbags placem_collection'!O121</f>
        <v>G802</v>
      </c>
      <c r="K560" s="225">
        <f>IFERROR(INDEX('Green_rooibos initial weight'!$C$5:$C$1749,MATCH(J560, 'Green_rooibos initial weight'!$A$5:$A$1749,0)),"")</f>
        <v>2.194</v>
      </c>
      <c r="L560" s="225">
        <f>IFERROR(K560-(TBIcalc!$H$9+TBIcalc!$H$10),"")</f>
        <v>1.9441999999999999</v>
      </c>
      <c r="M560" s="391">
        <f>AVERAGE(Ashed_controlls!$K$2:$K$11)</f>
        <v>5.5147656768714146</v>
      </c>
      <c r="N560" s="225">
        <f t="shared" si="44"/>
        <v>1.836981925710266</v>
      </c>
      <c r="O560" s="225">
        <f>IF(IFERROR(INDEX('Both teabags AfterWet'!$C$3:$C$841,MATCH(J560,'Both teabags AfterWet'!$A$3:$A$841,0)),"")="","",(IFERROR(INDEX('Both teabags AfterWet'!$C$3:$C$841,MATCH(J560,'Both teabags AfterWet'!$A$3:$A$841,0)),"")))</f>
        <v>0.65200000000000002</v>
      </c>
      <c r="P560" s="225">
        <f>IFERROR(IF(O560&gt;0,O560-(TBIcalc!$H$9),""),"")</f>
        <v>0.50140000000000007</v>
      </c>
      <c r="Q560" s="225">
        <f>IFERROR(INDEX('Ashed teabags wet'!$K$2:$K$821,MATCH(J560,'Ashed teabags wet'!$A$2:$A$821,0)),"")</f>
        <v>10.497512437810975</v>
      </c>
      <c r="R560" s="225">
        <f t="shared" si="47"/>
        <v>0.44876547263681582</v>
      </c>
      <c r="S560" s="226">
        <f>'WetLitterbags placem_collection'!E121</f>
        <v>42762</v>
      </c>
      <c r="T560" s="226">
        <f>IF('WetLitterbags placem_collection'!G121="","",'WetLitterbags placem_collection'!G121)</f>
        <v>42816</v>
      </c>
      <c r="U560" s="227">
        <f t="shared" si="43"/>
        <v>54</v>
      </c>
      <c r="V560" s="225">
        <f t="shared" si="45"/>
        <v>1.4427999999999999</v>
      </c>
      <c r="W560" s="225">
        <f t="shared" si="46"/>
        <v>1.3882164530734502</v>
      </c>
      <c r="X560">
        <f>IFERROR(INDEX(Rainfall_Wet!$O$2:$O$217,MATCH(B560, Rainfall_Wet!$A$2:$A$217,0)),"")</f>
        <v>206.85140822299999</v>
      </c>
      <c r="Y560" s="231">
        <v>27.96</v>
      </c>
      <c r="Z560" s="231">
        <v>4.9200000000000017</v>
      </c>
      <c r="AA560" s="231">
        <v>67.12</v>
      </c>
      <c r="AB560" s="232" t="s">
        <v>2670</v>
      </c>
      <c r="AC560" s="231">
        <v>6.8861015278462299</v>
      </c>
      <c r="AD560">
        <f>IF('WetLitterbags placem_collection'!AB121="","",'WetLitterbags placem_collection'!AB121)</f>
        <v>18.5</v>
      </c>
      <c r="AE560">
        <f>IF('WetLitterbags placem_collection'!Z121="","",'WetLitterbags placem_collection'!Z121)</f>
        <v>74.5</v>
      </c>
      <c r="AF560" s="246" t="str">
        <f>IF('WetLitterbags placem_collection'!AA121="","",'WetLitterbags placem_collection'!AA121)</f>
        <v>G</v>
      </c>
      <c r="AG560">
        <f>IF('WetLitterbags placem_collection'!AC121="","",'WetLitterbags placem_collection'!AC121)</f>
        <v>1</v>
      </c>
      <c r="AH560" s="24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placem_collection'!X121)),"YES","NO")</f>
        <v>NO</v>
      </c>
      <c r="AM560" t="str">
        <f>IF(ISNUMBER(SEARCH("H", 'WetLitterbags placem_collection'!X121)),"YES","NO")</f>
        <v>NO</v>
      </c>
      <c r="AN560" t="str">
        <f>IF(ISNUMBER(SEARCH("R", 'WetLitterbags placem_collection'!X121)),"YES","NO")</f>
        <v>YES</v>
      </c>
    </row>
    <row r="561" spans="1:40" ht="15" customHeight="1">
      <c r="A561" s="258" t="s">
        <v>2460</v>
      </c>
      <c r="B561" s="263">
        <f>'Dry_Litterbag Placem_Collection'!A122</f>
        <v>120</v>
      </c>
      <c r="C561" s="263" t="str">
        <f>'Dry_Litterbag Placem_Collection'!B122</f>
        <v xml:space="preserve">Mwantimba
</v>
      </c>
      <c r="D561" s="263" t="s">
        <v>2659</v>
      </c>
      <c r="E561" s="263" t="s">
        <v>2660</v>
      </c>
      <c r="F561" s="263">
        <v>3</v>
      </c>
      <c r="G561" s="264" t="str">
        <f>'Dry_Litterbag Placem_Collection'!C122</f>
        <v>Wet_Ag3_T8</v>
      </c>
      <c r="H561" s="273" t="s">
        <v>3651</v>
      </c>
      <c r="I561" s="266" t="s">
        <v>1147</v>
      </c>
      <c r="J561" s="223" t="str">
        <f>'WetLitterbags placem_collection'!O122</f>
        <v>G698</v>
      </c>
      <c r="K561" s="225">
        <f>IFERROR(INDEX('Green_rooibos initial weight'!$C$5:$C$1749,MATCH(J561, 'Green_rooibos initial weight'!$A$5:$A$1749,0)),"")</f>
        <v>2.085</v>
      </c>
      <c r="L561" s="225">
        <f>IFERROR(K561-(TBIcalc!$H$9+TBIcalc!$H$10),"")</f>
        <v>1.8351999999999999</v>
      </c>
      <c r="M561" s="391">
        <f>AVERAGE(Ashed_controlls!$K$2:$K$11)</f>
        <v>5.5147656768714146</v>
      </c>
      <c r="N561" s="225">
        <f t="shared" si="44"/>
        <v>1.7339930202980558</v>
      </c>
      <c r="O561" s="225">
        <f>IF(IFERROR(INDEX('Both teabags AfterWet'!$C$3:$C$841,MATCH(J561,'Both teabags AfterWet'!$A$3:$A$841,0)),"")="","",(IFERROR(INDEX('Both teabags AfterWet'!$C$3:$C$841,MATCH(J561,'Both teabags AfterWet'!$A$3:$A$841,0)),"")))</f>
        <v>0.55310000000000004</v>
      </c>
      <c r="P561" s="225">
        <f>IFERROR(IF(O561&gt;0,O561-(TBIcalc!$H$9),""),"")</f>
        <v>0.40250000000000002</v>
      </c>
      <c r="Q561" s="225">
        <f>IFERROR(INDEX('Ashed teabags wet'!$K$2:$K$821,MATCH(J561,'Ashed teabags wet'!$A$2:$A$821,0)),"")</f>
        <v>14.853452558370487</v>
      </c>
      <c r="R561" s="225">
        <f t="shared" si="47"/>
        <v>0.34271485345255881</v>
      </c>
      <c r="S561" s="226">
        <f>'WetLitterbags placem_collection'!E122</f>
        <v>42762</v>
      </c>
      <c r="T561" s="226">
        <f>IF('WetLitterbags placem_collection'!G122="","",'WetLitterbags placem_collection'!G122)</f>
        <v>42816</v>
      </c>
      <c r="U561" s="227">
        <f t="shared" si="43"/>
        <v>54</v>
      </c>
      <c r="V561" s="225">
        <f t="shared" si="45"/>
        <v>1.4326999999999999</v>
      </c>
      <c r="W561" s="225">
        <f t="shared" si="46"/>
        <v>1.391278166845497</v>
      </c>
      <c r="X561">
        <f>IFERROR(INDEX(Rainfall_Wet!$O$2:$O$217,MATCH(B561, Rainfall_Wet!$A$2:$A$217,0)),"")</f>
        <v>206.85140822299999</v>
      </c>
      <c r="Y561" s="231">
        <v>27.96</v>
      </c>
      <c r="Z561" s="231">
        <v>4.9200000000000017</v>
      </c>
      <c r="AA561" s="231">
        <v>67.12</v>
      </c>
      <c r="AB561" s="232" t="s">
        <v>2670</v>
      </c>
      <c r="AC561" s="231">
        <v>7.8861015278462299</v>
      </c>
      <c r="AD561">
        <f>IF('WetLitterbags placem_collection'!AB122="","",'WetLitterbags placem_collection'!AB122)</f>
        <v>19</v>
      </c>
      <c r="AE561">
        <f>IF('WetLitterbags placem_collection'!Z122="","",'WetLitterbags placem_collection'!Z122)</f>
        <v>98.5</v>
      </c>
      <c r="AF561" s="246" t="str">
        <f>IF('WetLitterbags placem_collection'!AA122="","",'WetLitterbags placem_collection'!AA122)</f>
        <v>G</v>
      </c>
      <c r="AG561">
        <f>IF('WetLitterbags placem_collection'!AC122="","",'WetLitterbags placem_collection'!AC122)</f>
        <v>0</v>
      </c>
      <c r="AH561" s="24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placem_collection'!X122)),"YES","NO")</f>
        <v>NO</v>
      </c>
      <c r="AM561" t="str">
        <f>IF(ISNUMBER(SEARCH("H", 'WetLitterbags placem_collection'!X122)),"YES","NO")</f>
        <v>NO</v>
      </c>
      <c r="AN561" t="str">
        <f>IF(ISNUMBER(SEARCH("R", 'WetLitterbags placem_collection'!X122)),"YES","NO")</f>
        <v>NO</v>
      </c>
    </row>
    <row r="562" spans="1:40" ht="15" customHeight="1">
      <c r="A562" s="258" t="s">
        <v>2460</v>
      </c>
      <c r="B562" s="263">
        <f>'Dry_Litterbag Placem_Collection'!A123</f>
        <v>121</v>
      </c>
      <c r="C562" s="263" t="str">
        <f>'Dry_Litterbag Placem_Collection'!B123</f>
        <v xml:space="preserve">Mwantimba
</v>
      </c>
      <c r="D562" s="263" t="s">
        <v>2659</v>
      </c>
      <c r="E562" s="263" t="s">
        <v>2660</v>
      </c>
      <c r="F562" s="263">
        <v>4</v>
      </c>
      <c r="G562" s="264" t="str">
        <f>'Dry_Litterbag Placem_Collection'!C123</f>
        <v>Wet_Ag4_T1</v>
      </c>
      <c r="H562" s="273" t="s">
        <v>3651</v>
      </c>
      <c r="I562" s="266" t="s">
        <v>1147</v>
      </c>
      <c r="J562" s="223" t="str">
        <f>'WetLitterbags placem_collection'!O123</f>
        <v>G825</v>
      </c>
      <c r="K562" s="225">
        <f>IFERROR(INDEX('Green_rooibos initial weight'!$C$5:$C$1749,MATCH(J562, 'Green_rooibos initial weight'!$A$5:$A$1749,0)),"")</f>
        <v>2.1240000000000001</v>
      </c>
      <c r="L562" s="225">
        <f>IFERROR(K562-(TBIcalc!$H$9+TBIcalc!$H$10),"")</f>
        <v>1.8742000000000001</v>
      </c>
      <c r="M562" s="391">
        <f>AVERAGE(Ashed_controlls!$K$2:$K$11)</f>
        <v>5.5147656768714146</v>
      </c>
      <c r="N562" s="225">
        <f t="shared" si="44"/>
        <v>1.770842261684076</v>
      </c>
      <c r="O562" s="225">
        <f>IF(IFERROR(INDEX('Both teabags AfterWet'!$C$3:$C$841,MATCH(J562,'Both teabags AfterWet'!$A$3:$A$841,0)),"")="","",(IFERROR(INDEX('Both teabags AfterWet'!$C$3:$C$841,MATCH(J562,'Both teabags AfterWet'!$A$3:$A$841,0)),"")))</f>
        <v>0.61199999999999999</v>
      </c>
      <c r="P562" s="225">
        <f>IFERROR(IF(O562&gt;0,O562-(TBIcalc!$H$9),""),"")</f>
        <v>0.46139999999999998</v>
      </c>
      <c r="Q562" s="225">
        <f>IFERROR(INDEX('Ashed teabags wet'!$K$2:$K$821,MATCH(J562,'Ashed teabags wet'!$A$2:$A$821,0)),"")</f>
        <v>10.131514856308767</v>
      </c>
      <c r="R562" s="225">
        <f t="shared" si="47"/>
        <v>0.41465319045299132</v>
      </c>
      <c r="S562" s="226">
        <f>'WetLitterbags placem_collection'!E123</f>
        <v>42762</v>
      </c>
      <c r="T562" s="226">
        <f>IF('WetLitterbags placem_collection'!G123="","",'WetLitterbags placem_collection'!G123)</f>
        <v>42816</v>
      </c>
      <c r="U562" s="227">
        <f t="shared" si="43"/>
        <v>54</v>
      </c>
      <c r="V562" s="225">
        <f t="shared" si="45"/>
        <v>1.4128000000000001</v>
      </c>
      <c r="W562" s="225">
        <f t="shared" si="46"/>
        <v>1.3561890712310847</v>
      </c>
      <c r="X562">
        <f>IFERROR(INDEX(Rainfall_Wet!$O$2:$O$217,MATCH(B562, Rainfall_Wet!$A$2:$A$217,0)),"")</f>
        <v>206.85140822299999</v>
      </c>
      <c r="Y562" s="231">
        <v>17.96</v>
      </c>
      <c r="Z562" s="231">
        <v>4.9199999999999982</v>
      </c>
      <c r="AA562" s="231">
        <v>77.12</v>
      </c>
      <c r="AB562" s="232" t="s">
        <v>2671</v>
      </c>
      <c r="AC562" s="231">
        <v>2.0220798422868409</v>
      </c>
      <c r="AD562">
        <f>IF('WetLitterbags placem_collection'!AB123="","",'WetLitterbags placem_collection'!AB123)</f>
        <v>9.65</v>
      </c>
      <c r="AE562">
        <f>IF('WetLitterbags placem_collection'!Z123="","",'WetLitterbags placem_collection'!Z123)</f>
        <v>63</v>
      </c>
      <c r="AF562" s="246" t="str">
        <f>IF('WetLitterbags placem_collection'!AA123="","",'WetLitterbags placem_collection'!AA123)</f>
        <v>G</v>
      </c>
      <c r="AG562">
        <f>IF('WetLitterbags placem_collection'!AC123="","",'WetLitterbags placem_collection'!AC123)</f>
        <v>0</v>
      </c>
      <c r="AH562" s="24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placem_collection'!X123)),"YES","NO")</f>
        <v>NO</v>
      </c>
      <c r="AM562" t="str">
        <f>IF(ISNUMBER(SEARCH("H", 'WetLitterbags placem_collection'!X123)),"YES","NO")</f>
        <v>NO</v>
      </c>
      <c r="AN562" t="str">
        <f>IF(ISNUMBER(SEARCH("R", 'WetLitterbags placem_collection'!X123)),"YES","NO")</f>
        <v>YES</v>
      </c>
    </row>
    <row r="563" spans="1:40" ht="15" customHeight="1">
      <c r="A563" s="258" t="s">
        <v>2460</v>
      </c>
      <c r="B563" s="263">
        <f>'Dry_Litterbag Placem_Collection'!A124</f>
        <v>122</v>
      </c>
      <c r="C563" s="263" t="str">
        <f>'Dry_Litterbag Placem_Collection'!B124</f>
        <v xml:space="preserve">Mwantimba
</v>
      </c>
      <c r="D563" s="263" t="s">
        <v>2659</v>
      </c>
      <c r="E563" s="263" t="s">
        <v>2660</v>
      </c>
      <c r="F563" s="263">
        <v>4</v>
      </c>
      <c r="G563" s="264" t="str">
        <f>'Dry_Litterbag Placem_Collection'!C124</f>
        <v>Wet_Ag4_T2</v>
      </c>
      <c r="H563" s="273" t="s">
        <v>3651</v>
      </c>
      <c r="I563" s="266" t="s">
        <v>1147</v>
      </c>
      <c r="J563" s="223" t="str">
        <f>'WetLitterbags placem_collection'!O124</f>
        <v>G839</v>
      </c>
      <c r="K563" s="225">
        <f>IFERROR(INDEX('Green_rooibos initial weight'!$C$5:$C$1749,MATCH(J563, 'Green_rooibos initial weight'!$A$5:$A$1749,0)),"")</f>
        <v>2.0230000000000001</v>
      </c>
      <c r="L563" s="225">
        <f>IFERROR(K563-(TBIcalc!$H$9+TBIcalc!$H$10),"")</f>
        <v>1.7732000000000001</v>
      </c>
      <c r="M563" s="391">
        <f>AVERAGE(Ashed_controlls!$K$2:$K$11)</f>
        <v>5.5147656768714146</v>
      </c>
      <c r="N563" s="225">
        <f t="shared" si="44"/>
        <v>1.6754121750177162</v>
      </c>
      <c r="O563" s="225">
        <f>IF(IFERROR(INDEX('Both teabags AfterWet'!$C$3:$C$841,MATCH(J563,'Both teabags AfterWet'!$A$3:$A$841,0)),"")="","",(IFERROR(INDEX('Both teabags AfterWet'!$C$3:$C$841,MATCH(J563,'Both teabags AfterWet'!$A$3:$A$841,0)),"")))</f>
        <v>0.64200000000000002</v>
      </c>
      <c r="P563" s="225">
        <f>IFERROR(IF(O563&gt;0,O563-(TBIcalc!$H$9),""),"")</f>
        <v>0.4914</v>
      </c>
      <c r="Q563" s="225">
        <f>IFERROR(INDEX('Ashed teabags wet'!$K$2:$K$821,MATCH(J563,'Ashed teabags wet'!$A$2:$A$821,0)),"")</f>
        <v>16.267465069859526</v>
      </c>
      <c r="R563" s="225">
        <f t="shared" si="47"/>
        <v>0.41146167664671029</v>
      </c>
      <c r="S563" s="226">
        <f>'WetLitterbags placem_collection'!E124</f>
        <v>42762</v>
      </c>
      <c r="T563" s="226">
        <f>IF('WetLitterbags placem_collection'!G124="","",'WetLitterbags placem_collection'!G124)</f>
        <v>42816</v>
      </c>
      <c r="U563" s="227">
        <f t="shared" si="43"/>
        <v>54</v>
      </c>
      <c r="V563" s="225">
        <f t="shared" si="45"/>
        <v>1.2818000000000001</v>
      </c>
      <c r="W563" s="225">
        <f t="shared" si="46"/>
        <v>1.2639504983710059</v>
      </c>
      <c r="X563">
        <f>IFERROR(INDEX(Rainfall_Wet!$O$2:$O$217,MATCH(B563, Rainfall_Wet!$A$2:$A$217,0)),"")</f>
        <v>206.85140822299999</v>
      </c>
      <c r="Y563" s="231">
        <v>17.96</v>
      </c>
      <c r="Z563" s="231">
        <v>4.9199999999999982</v>
      </c>
      <c r="AA563" s="231">
        <v>77.12</v>
      </c>
      <c r="AB563" s="232" t="s">
        <v>2671</v>
      </c>
      <c r="AC563" s="231">
        <v>3.02207984228684</v>
      </c>
      <c r="AD563">
        <f>IF('WetLitterbags placem_collection'!AB124="","",'WetLitterbags placem_collection'!AB124)</f>
        <v>3.1</v>
      </c>
      <c r="AE563">
        <f>IF('WetLitterbags placem_collection'!Z124="","",'WetLitterbags placem_collection'!Z124)</f>
        <v>53</v>
      </c>
      <c r="AF563" s="246" t="str">
        <f>IF('WetLitterbags placem_collection'!AA124="","",'WetLitterbags placem_collection'!AA124)</f>
        <v>G</v>
      </c>
      <c r="AG563">
        <f>IF('WetLitterbags placem_collection'!AC124="","",'WetLitterbags placem_collection'!AC124)</f>
        <v>0</v>
      </c>
      <c r="AH563" s="24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placem_collection'!X124)),"YES","NO")</f>
        <v>NO</v>
      </c>
      <c r="AM563" t="str">
        <f>IF(ISNUMBER(SEARCH("H", 'WetLitterbags placem_collection'!X124)),"YES","NO")</f>
        <v>NO</v>
      </c>
      <c r="AN563" t="str">
        <f>IF(ISNUMBER(SEARCH("R", 'WetLitterbags placem_collection'!X124)),"YES","NO")</f>
        <v>YES</v>
      </c>
    </row>
    <row r="564" spans="1:40" ht="15" customHeight="1">
      <c r="A564" s="258" t="s">
        <v>2460</v>
      </c>
      <c r="B564" s="263">
        <f>'Dry_Litterbag Placem_Collection'!A125</f>
        <v>123</v>
      </c>
      <c r="C564" s="263" t="str">
        <f>'Dry_Litterbag Placem_Collection'!B125</f>
        <v xml:space="preserve">Mwantimba
</v>
      </c>
      <c r="D564" s="263" t="s">
        <v>2659</v>
      </c>
      <c r="E564" s="263" t="s">
        <v>2660</v>
      </c>
      <c r="F564" s="263">
        <v>4</v>
      </c>
      <c r="G564" s="264" t="str">
        <f>'Dry_Litterbag Placem_Collection'!C125</f>
        <v>Wet_Ag4_T3</v>
      </c>
      <c r="H564" s="273" t="s">
        <v>3651</v>
      </c>
      <c r="I564" s="266" t="s">
        <v>1147</v>
      </c>
      <c r="J564" s="223" t="str">
        <f>'WetLitterbags placem_collection'!O125</f>
        <v>G895</v>
      </c>
      <c r="K564" s="225">
        <f>IFERROR(INDEX('Green_rooibos initial weight'!$C$5:$C$1749,MATCH(J564, 'Green_rooibos initial weight'!$A$5:$A$1749,0)),"")</f>
        <v>1.9259999999999999</v>
      </c>
      <c r="L564" s="225">
        <f>IFERROR(K564-(TBIcalc!$H$9+TBIcalc!$H$10),"")</f>
        <v>1.6761999999999999</v>
      </c>
      <c r="M564" s="391">
        <f>AVERAGE(Ashed_controlls!$K$2:$K$11)</f>
        <v>5.5147656768714146</v>
      </c>
      <c r="N564" s="225">
        <f t="shared" si="44"/>
        <v>1.5837614977242813</v>
      </c>
      <c r="O564" s="225">
        <f>IF(IFERROR(INDEX('Both teabags AfterWet'!$C$3:$C$841,MATCH(J564,'Both teabags AfterWet'!$A$3:$A$841,0)),"")="","",(IFERROR(INDEX('Both teabags AfterWet'!$C$3:$C$841,MATCH(J564,'Both teabags AfterWet'!$A$3:$A$841,0)),"")))</f>
        <v>0.878</v>
      </c>
      <c r="P564" s="225">
        <f>IFERROR(IF(O564&gt;0,O564-(TBIcalc!$H$9),""),"")</f>
        <v>0.72740000000000005</v>
      </c>
      <c r="Q564" s="225">
        <f>IFERROR(INDEX('Ashed teabags wet'!$K$2:$K$821,MATCH(J564,'Ashed teabags wet'!$A$2:$A$821,0)),"")</f>
        <v>13.555233960443902</v>
      </c>
      <c r="R564" s="225">
        <f t="shared" si="47"/>
        <v>0.62879922817173106</v>
      </c>
      <c r="S564" s="226">
        <f>'WetLitterbags placem_collection'!E125</f>
        <v>42762</v>
      </c>
      <c r="T564" s="226">
        <f>IF('WetLitterbags placem_collection'!G125="","",'WetLitterbags placem_collection'!G125)</f>
        <v>42816</v>
      </c>
      <c r="U564" s="227">
        <f t="shared" si="43"/>
        <v>54</v>
      </c>
      <c r="V564" s="225">
        <f t="shared" si="45"/>
        <v>0.94879999999999987</v>
      </c>
      <c r="W564" s="225">
        <f t="shared" si="46"/>
        <v>0.95496226955255026</v>
      </c>
      <c r="X564">
        <f>IFERROR(INDEX(Rainfall_Wet!$O$2:$O$217,MATCH(B564, Rainfall_Wet!$A$2:$A$217,0)),"")</f>
        <v>206.85140822299999</v>
      </c>
      <c r="Y564" s="231">
        <v>17.96</v>
      </c>
      <c r="Z564" s="231">
        <v>4.9199999999999982</v>
      </c>
      <c r="AA564" s="231">
        <v>77.12</v>
      </c>
      <c r="AB564" s="232" t="s">
        <v>2671</v>
      </c>
      <c r="AC564" s="231">
        <v>4.02207984228684</v>
      </c>
      <c r="AD564">
        <f>IF('WetLitterbags placem_collection'!AB125="","",'WetLitterbags placem_collection'!AB125)</f>
        <v>3.9</v>
      </c>
      <c r="AE564">
        <f>IF('WetLitterbags placem_collection'!Z125="","",'WetLitterbags placem_collection'!Z125)</f>
        <v>51</v>
      </c>
      <c r="AF564" s="246" t="str">
        <f>IF('WetLitterbags placem_collection'!AA125="","",'WetLitterbags placem_collection'!AA125)</f>
        <v>G</v>
      </c>
      <c r="AG564">
        <f>IF('WetLitterbags placem_collection'!AC125="","",'WetLitterbags placem_collection'!AC125)</f>
        <v>1</v>
      </c>
      <c r="AH564" s="24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placem_collection'!X125)),"YES","NO")</f>
        <v>NO</v>
      </c>
      <c r="AM564" t="str">
        <f>IF(ISNUMBER(SEARCH("H", 'WetLitterbags placem_collection'!X125)),"YES","NO")</f>
        <v>NO</v>
      </c>
      <c r="AN564" t="str">
        <f>IF(ISNUMBER(SEARCH("R", 'WetLitterbags placem_collection'!X125)),"YES","NO")</f>
        <v>NO</v>
      </c>
    </row>
    <row r="565" spans="1:40" ht="15" customHeight="1">
      <c r="A565" s="258" t="s">
        <v>2460</v>
      </c>
      <c r="B565" s="263">
        <f>'Dry_Litterbag Placem_Collection'!A126</f>
        <v>124</v>
      </c>
      <c r="C565" s="263" t="str">
        <f>'Dry_Litterbag Placem_Collection'!B126</f>
        <v xml:space="preserve">Mwantimba
</v>
      </c>
      <c r="D565" s="263" t="s">
        <v>2659</v>
      </c>
      <c r="E565" s="263" t="s">
        <v>2660</v>
      </c>
      <c r="F565" s="263">
        <v>4</v>
      </c>
      <c r="G565" s="264" t="str">
        <f>'Dry_Litterbag Placem_Collection'!C126</f>
        <v>Wet_Ag4_T4</v>
      </c>
      <c r="H565" s="273" t="s">
        <v>3651</v>
      </c>
      <c r="I565" s="266" t="s">
        <v>1147</v>
      </c>
      <c r="J565" s="223" t="str">
        <f>'WetLitterbags placem_collection'!O126</f>
        <v>G682</v>
      </c>
      <c r="K565" s="225">
        <f>IFERROR(INDEX('Green_rooibos initial weight'!$C$5:$C$1749,MATCH(J565, 'Green_rooibos initial weight'!$A$5:$A$1749,0)),"")</f>
        <v>2.0230000000000001</v>
      </c>
      <c r="L565" s="225">
        <f>IFERROR(K565-(TBIcalc!$H$9+TBIcalc!$H$10),"")</f>
        <v>1.7732000000000001</v>
      </c>
      <c r="M565" s="391">
        <f>AVERAGE(Ashed_controlls!$K$2:$K$11)</f>
        <v>5.5147656768714146</v>
      </c>
      <c r="N565" s="225">
        <f t="shared" si="44"/>
        <v>1.6754121750177162</v>
      </c>
      <c r="O565" s="225">
        <f>IF(IFERROR(INDEX('Both teabags AfterWet'!$C$3:$C$841,MATCH(J565,'Both teabags AfterWet'!$A$3:$A$841,0)),"")="","",(IFERROR(INDEX('Both teabags AfterWet'!$C$3:$C$841,MATCH(J565,'Both teabags AfterWet'!$A$3:$A$841,0)),"")))</f>
        <v>0.61199999999999999</v>
      </c>
      <c r="P565" s="225">
        <f>IFERROR(IF(O565&gt;0,O565-(TBIcalc!$H$9),""),"")</f>
        <v>0.46139999999999998</v>
      </c>
      <c r="Q565" s="225">
        <f>IFERROR(INDEX('Ashed teabags wet'!$K$2:$K$821,MATCH(J565,'Ashed teabags wet'!$A$2:$A$821,0)),"")</f>
        <v>12.30079681274993</v>
      </c>
      <c r="R565" s="225">
        <f t="shared" si="47"/>
        <v>0.40464412350597179</v>
      </c>
      <c r="S565" s="226">
        <f>'WetLitterbags placem_collection'!E126</f>
        <v>42762</v>
      </c>
      <c r="T565" s="226">
        <f>IF('WetLitterbags placem_collection'!G126="","",'WetLitterbags placem_collection'!G126)</f>
        <v>42816</v>
      </c>
      <c r="U565" s="227">
        <f t="shared" si="43"/>
        <v>54</v>
      </c>
      <c r="V565" s="225">
        <f t="shared" si="45"/>
        <v>1.3118000000000001</v>
      </c>
      <c r="W565" s="225">
        <f t="shared" si="46"/>
        <v>1.2707680515117445</v>
      </c>
      <c r="X565">
        <f>IFERROR(INDEX(Rainfall_Wet!$O$2:$O$217,MATCH(B565, Rainfall_Wet!$A$2:$A$217,0)),"")</f>
        <v>206.85140822299999</v>
      </c>
      <c r="Y565" s="231">
        <v>17.96</v>
      </c>
      <c r="Z565" s="231">
        <v>4.9199999999999982</v>
      </c>
      <c r="AA565" s="231">
        <v>77.12</v>
      </c>
      <c r="AB565" s="232" t="s">
        <v>2671</v>
      </c>
      <c r="AC565" s="231">
        <v>5.02207984228684</v>
      </c>
      <c r="AD565">
        <f>IF('WetLitterbags placem_collection'!AB126="","",'WetLitterbags placem_collection'!AB126)</f>
        <v>5.45</v>
      </c>
      <c r="AE565">
        <f>IF('WetLitterbags placem_collection'!Z126="","",'WetLitterbags placem_collection'!Z126)</f>
        <v>47</v>
      </c>
      <c r="AF565" s="246" t="str">
        <f>IF('WetLitterbags placem_collection'!AA126="","",'WetLitterbags placem_collection'!AA126)</f>
        <v>G</v>
      </c>
      <c r="AG565">
        <f>IF('WetLitterbags placem_collection'!AC126="","",'WetLitterbags placem_collection'!AC126)</f>
        <v>1</v>
      </c>
      <c r="AH565" s="24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placem_collection'!X126)),"YES","NO")</f>
        <v>NO</v>
      </c>
      <c r="AM565" t="str">
        <f>IF(ISNUMBER(SEARCH("H", 'WetLitterbags placem_collection'!X126)),"YES","NO")</f>
        <v>NO</v>
      </c>
      <c r="AN565" t="str">
        <f>IF(ISNUMBER(SEARCH("R", 'WetLitterbags placem_collection'!X126)),"YES","NO")</f>
        <v>NO</v>
      </c>
    </row>
    <row r="566" spans="1:40" ht="15" customHeight="1">
      <c r="A566" s="258" t="s">
        <v>2460</v>
      </c>
      <c r="B566" s="263">
        <f>'Dry_Litterbag Placem_Collection'!A127</f>
        <v>125</v>
      </c>
      <c r="C566" s="263" t="str">
        <f>'Dry_Litterbag Placem_Collection'!B127</f>
        <v xml:space="preserve">Mwantimba
</v>
      </c>
      <c r="D566" s="263" t="s">
        <v>2659</v>
      </c>
      <c r="E566" s="263" t="s">
        <v>2660</v>
      </c>
      <c r="F566" s="263">
        <v>4</v>
      </c>
      <c r="G566" s="264" t="str">
        <f>'Dry_Litterbag Placem_Collection'!C127</f>
        <v>Wet_Ag4_T5</v>
      </c>
      <c r="H566" s="273" t="s">
        <v>3651</v>
      </c>
      <c r="I566" s="266" t="s">
        <v>1147</v>
      </c>
      <c r="J566" s="223" t="str">
        <f>'WetLitterbags placem_collection'!O127</f>
        <v>G740</v>
      </c>
      <c r="K566" s="225">
        <f>IFERROR(INDEX('Green_rooibos initial weight'!$C$5:$C$1749,MATCH(J566, 'Green_rooibos initial weight'!$A$5:$A$1749,0)),"")</f>
        <v>1.915</v>
      </c>
      <c r="L566" s="225">
        <f>IFERROR(K566-(TBIcalc!$H$9+TBIcalc!$H$10),"")</f>
        <v>1.6652</v>
      </c>
      <c r="M566" s="391">
        <f>AVERAGE(Ashed_controlls!$K$2:$K$11)</f>
        <v>5.5147656768714146</v>
      </c>
      <c r="N566" s="225">
        <f t="shared" si="44"/>
        <v>1.5733681219487372</v>
      </c>
      <c r="O566" s="225">
        <f>IF(IFERROR(INDEX('Both teabags AfterWet'!$C$3:$C$841,MATCH(J566,'Both teabags AfterWet'!$A$3:$A$841,0)),"")="","",(IFERROR(INDEX('Both teabags AfterWet'!$C$3:$C$841,MATCH(J566,'Both teabags AfterWet'!$A$3:$A$841,0)),"")))</f>
        <v>0.60099999999999998</v>
      </c>
      <c r="P566" s="225">
        <f>IFERROR(IF(O566&gt;0,O566-(TBIcalc!$H$9),""),"")</f>
        <v>0.45039999999999997</v>
      </c>
      <c r="Q566" s="225">
        <f>IFERROR(INDEX('Ashed teabags wet'!$K$2:$K$821,MATCH(J566,'Ashed teabags wet'!$A$2:$A$821,0)),"")</f>
        <v>14.222658165767069</v>
      </c>
      <c r="R566" s="225">
        <f t="shared" si="47"/>
        <v>0.38634114762138511</v>
      </c>
      <c r="S566" s="226">
        <f>'WetLitterbags placem_collection'!E127</f>
        <v>42762</v>
      </c>
      <c r="T566" s="226">
        <f>IF('WetLitterbags placem_collection'!G127="","",'WetLitterbags placem_collection'!G127)</f>
        <v>42816</v>
      </c>
      <c r="U566" s="227">
        <f t="shared" si="43"/>
        <v>54</v>
      </c>
      <c r="V566" s="225">
        <f t="shared" si="45"/>
        <v>1.2148000000000001</v>
      </c>
      <c r="W566" s="225">
        <f t="shared" si="46"/>
        <v>1.187026974327352</v>
      </c>
      <c r="X566">
        <f>IFERROR(INDEX(Rainfall_Wet!$O$2:$O$217,MATCH(B566, Rainfall_Wet!$A$2:$A$217,0)),"")</f>
        <v>206.85140822299999</v>
      </c>
      <c r="Y566" s="231">
        <v>17.96</v>
      </c>
      <c r="Z566" s="231">
        <v>4.9199999999999982</v>
      </c>
      <c r="AA566" s="231">
        <v>77.12</v>
      </c>
      <c r="AB566" s="232" t="s">
        <v>2671</v>
      </c>
      <c r="AC566" s="231">
        <v>6.02207984228684</v>
      </c>
      <c r="AD566">
        <f>IF('WetLitterbags placem_collection'!AB127="","",'WetLitterbags placem_collection'!AB127)</f>
        <v>9.3000000000000007</v>
      </c>
      <c r="AE566">
        <f>IF('WetLitterbags placem_collection'!Z127="","",'WetLitterbags placem_collection'!Z127)</f>
        <v>43</v>
      </c>
      <c r="AF566" s="246" t="str">
        <f>IF('WetLitterbags placem_collection'!AA127="","",'WetLitterbags placem_collection'!AA127)</f>
        <v>G</v>
      </c>
      <c r="AG566">
        <f>IF('WetLitterbags placem_collection'!AC127="","",'WetLitterbags placem_collection'!AC127)</f>
        <v>1</v>
      </c>
      <c r="AH566" s="24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placem_collection'!X127)),"YES","NO")</f>
        <v>NO</v>
      </c>
      <c r="AM566" t="str">
        <f>IF(ISNUMBER(SEARCH("H", 'WetLitterbags placem_collection'!X127)),"YES","NO")</f>
        <v>NO</v>
      </c>
      <c r="AN566" t="str">
        <f>IF(ISNUMBER(SEARCH("R", 'WetLitterbags placem_collection'!X127)),"YES","NO")</f>
        <v>YES</v>
      </c>
    </row>
    <row r="567" spans="1:40" ht="15" customHeight="1">
      <c r="A567" s="258" t="s">
        <v>2460</v>
      </c>
      <c r="B567" s="263">
        <f>'Dry_Litterbag Placem_Collection'!A128</f>
        <v>126</v>
      </c>
      <c r="C567" s="263" t="str">
        <f>'Dry_Litterbag Placem_Collection'!B128</f>
        <v xml:space="preserve">Mwantimba
</v>
      </c>
      <c r="D567" s="263" t="s">
        <v>2659</v>
      </c>
      <c r="E567" s="263" t="s">
        <v>2660</v>
      </c>
      <c r="F567" s="263">
        <v>4</v>
      </c>
      <c r="G567" s="264" t="str">
        <f>'Dry_Litterbag Placem_Collection'!C128</f>
        <v>Wet_Ag4_T6</v>
      </c>
      <c r="H567" s="273" t="s">
        <v>3651</v>
      </c>
      <c r="I567" s="266" t="s">
        <v>1147</v>
      </c>
      <c r="J567" s="223" t="str">
        <f>'WetLitterbags placem_collection'!O128</f>
        <v>G841</v>
      </c>
      <c r="K567" s="225">
        <f>IFERROR(INDEX('Green_rooibos initial weight'!$C$5:$C$1749,MATCH(J567, 'Green_rooibos initial weight'!$A$5:$A$1749,0)),"")</f>
        <v>1.96</v>
      </c>
      <c r="L567" s="225">
        <f>IFERROR(K567-(TBIcalc!$H$9+TBIcalc!$H$10),"")</f>
        <v>1.7101999999999999</v>
      </c>
      <c r="M567" s="391">
        <f>AVERAGE(Ashed_controlls!$K$2:$K$11)</f>
        <v>5.5147656768714146</v>
      </c>
      <c r="N567" s="225">
        <f t="shared" si="44"/>
        <v>1.615886477394145</v>
      </c>
      <c r="O567" s="225">
        <f>IF(IFERROR(INDEX('Both teabags AfterWet'!$C$3:$C$841,MATCH(J567,'Both teabags AfterWet'!$A$3:$A$841,0)),"")="","",(IFERROR(INDEX('Both teabags AfterWet'!$C$3:$C$841,MATCH(J567,'Both teabags AfterWet'!$A$3:$A$841,0)),"")))</f>
        <v>0.58499999999999996</v>
      </c>
      <c r="P567" s="225">
        <f>IFERROR(IF(O567&gt;0,O567-(TBIcalc!$H$9),""),"")</f>
        <v>0.43439999999999995</v>
      </c>
      <c r="Q567" s="225">
        <f>IFERROR(INDEX('Ashed teabags wet'!$K$2:$K$821,MATCH(J567,'Ashed teabags wet'!$A$2:$A$821,0)),"")</f>
        <v>12.570260602963709</v>
      </c>
      <c r="R567" s="225">
        <f t="shared" si="47"/>
        <v>0.37979478794072563</v>
      </c>
      <c r="S567" s="226">
        <f>'WetLitterbags placem_collection'!E128</f>
        <v>42762</v>
      </c>
      <c r="T567" s="226">
        <f>IF('WetLitterbags placem_collection'!G128="","",'WetLitterbags placem_collection'!G128)</f>
        <v>42816</v>
      </c>
      <c r="U567" s="227">
        <f t="shared" si="43"/>
        <v>54</v>
      </c>
      <c r="V567" s="225">
        <f t="shared" si="45"/>
        <v>1.2758</v>
      </c>
      <c r="W567" s="225">
        <f t="shared" si="46"/>
        <v>1.2360916894534193</v>
      </c>
      <c r="X567">
        <f>IFERROR(INDEX(Rainfall_Wet!$O$2:$O$217,MATCH(B567, Rainfall_Wet!$A$2:$A$217,0)),"")</f>
        <v>206.85140822299999</v>
      </c>
      <c r="Y567" s="231">
        <v>17.96</v>
      </c>
      <c r="Z567" s="231">
        <v>4.9199999999999982</v>
      </c>
      <c r="AA567" s="231">
        <v>77.12</v>
      </c>
      <c r="AB567" s="232" t="s">
        <v>2671</v>
      </c>
      <c r="AC567" s="231">
        <v>7.02207984228684</v>
      </c>
      <c r="AD567">
        <f>IF('WetLitterbags placem_collection'!AB128="","",'WetLitterbags placem_collection'!AB128)</f>
        <v>10.85</v>
      </c>
      <c r="AE567">
        <f>IF('WetLitterbags placem_collection'!Z128="","",'WetLitterbags placem_collection'!Z128)</f>
        <v>40</v>
      </c>
      <c r="AF567" s="246" t="str">
        <f>IF('WetLitterbags placem_collection'!AA128="","",'WetLitterbags placem_collection'!AA128)</f>
        <v>G</v>
      </c>
      <c r="AG567">
        <f>IF('WetLitterbags placem_collection'!AC128="","",'WetLitterbags placem_collection'!AC128)</f>
        <v>1</v>
      </c>
      <c r="AH567" s="24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placem_collection'!X128)),"YES","NO")</f>
        <v>NO</v>
      </c>
      <c r="AM567" t="str">
        <f>IF(ISNUMBER(SEARCH("H", 'WetLitterbags placem_collection'!X128)),"YES","NO")</f>
        <v>NO</v>
      </c>
      <c r="AN567" t="str">
        <f>IF(ISNUMBER(SEARCH("R", 'WetLitterbags placem_collection'!X128)),"YES","NO")</f>
        <v>YES</v>
      </c>
    </row>
    <row r="568" spans="1:40" ht="15" customHeight="1">
      <c r="A568" s="258" t="s">
        <v>2460</v>
      </c>
      <c r="B568" s="263">
        <f>'Dry_Litterbag Placem_Collection'!A129</f>
        <v>127</v>
      </c>
      <c r="C568" s="263" t="str">
        <f>'Dry_Litterbag Placem_Collection'!B129</f>
        <v xml:space="preserve">Mwantimba
</v>
      </c>
      <c r="D568" s="263" t="s">
        <v>2659</v>
      </c>
      <c r="E568" s="263" t="s">
        <v>2660</v>
      </c>
      <c r="F568" s="263">
        <v>4</v>
      </c>
      <c r="G568" s="264" t="str">
        <f>'Dry_Litterbag Placem_Collection'!C129</f>
        <v>Wet_Ag4_T7</v>
      </c>
      <c r="H568" s="273" t="s">
        <v>3651</v>
      </c>
      <c r="I568" s="266" t="s">
        <v>1147</v>
      </c>
      <c r="J568" s="223" t="str">
        <f>'WetLitterbags placem_collection'!O129</f>
        <v>G687</v>
      </c>
      <c r="K568" s="225">
        <f>IFERROR(INDEX('Green_rooibos initial weight'!$C$5:$C$1749,MATCH(J568, 'Green_rooibos initial weight'!$A$5:$A$1749,0)),"")</f>
        <v>2.0649999999999999</v>
      </c>
      <c r="L568" s="225">
        <f>IFERROR(K568-(TBIcalc!$H$9+TBIcalc!$H$10),"")</f>
        <v>1.8151999999999999</v>
      </c>
      <c r="M568" s="391">
        <f>AVERAGE(Ashed_controlls!$K$2:$K$11)</f>
        <v>5.5147656768714146</v>
      </c>
      <c r="N568" s="225">
        <f t="shared" si="44"/>
        <v>1.7150959734334301</v>
      </c>
      <c r="O568" s="225">
        <f>IF(IFERROR(INDEX('Both teabags AfterWet'!$C$3:$C$841,MATCH(J568,'Both teabags AfterWet'!$A$3:$A$841,0)),"")="","",(IFERROR(INDEX('Both teabags AfterWet'!$C$3:$C$841,MATCH(J568,'Both teabags AfterWet'!$A$3:$A$841,0)),"")))</f>
        <v>0.57699999999999996</v>
      </c>
      <c r="P568" s="225">
        <f>IFERROR(IF(O568&gt;0,O568-(TBIcalc!$H$9),""),"")</f>
        <v>0.42639999999999995</v>
      </c>
      <c r="Q568" s="225">
        <f>IFERROR(INDEX('Ashed teabags wet'!$K$2:$K$821,MATCH(J568,'Ashed teabags wet'!$A$2:$A$821,0)),"")</f>
        <v>17.513566847558284</v>
      </c>
      <c r="R568" s="225">
        <f t="shared" si="47"/>
        <v>0.35172215096201143</v>
      </c>
      <c r="S568" s="226">
        <f>'WetLitterbags placem_collection'!E129</f>
        <v>42762</v>
      </c>
      <c r="T568" s="226">
        <f>IF('WetLitterbags placem_collection'!G129="","",'WetLitterbags placem_collection'!G129)</f>
        <v>42816</v>
      </c>
      <c r="U568" s="227">
        <f t="shared" si="43"/>
        <v>54</v>
      </c>
      <c r="V568" s="225">
        <f t="shared" si="45"/>
        <v>1.3888</v>
      </c>
      <c r="W568" s="225">
        <f t="shared" si="46"/>
        <v>1.3633738224714187</v>
      </c>
      <c r="X568">
        <f>IFERROR(INDEX(Rainfall_Wet!$O$2:$O$217,MATCH(B568, Rainfall_Wet!$A$2:$A$217,0)),"")</f>
        <v>206.85140822299999</v>
      </c>
      <c r="Y568" s="231">
        <v>17.96</v>
      </c>
      <c r="Z568" s="231">
        <v>4.9199999999999982</v>
      </c>
      <c r="AA568" s="231">
        <v>77.12</v>
      </c>
      <c r="AB568" s="232" t="s">
        <v>2671</v>
      </c>
      <c r="AC568" s="231">
        <v>8.0220798422868391</v>
      </c>
      <c r="AD568">
        <f>IF('WetLitterbags placem_collection'!AB129="","",'WetLitterbags placem_collection'!AB129)</f>
        <v>5.35</v>
      </c>
      <c r="AE568">
        <f>IF('WetLitterbags placem_collection'!Z129="","",'WetLitterbags placem_collection'!Z129)</f>
        <v>58</v>
      </c>
      <c r="AF568" s="246" t="str">
        <f>IF('WetLitterbags placem_collection'!AA129="","",'WetLitterbags placem_collection'!AA129)</f>
        <v>G</v>
      </c>
      <c r="AG568">
        <f>IF('WetLitterbags placem_collection'!AC129="","",'WetLitterbags placem_collection'!AC129)</f>
        <v>1</v>
      </c>
      <c r="AH568" s="24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placem_collection'!X129)),"YES","NO")</f>
        <v>NO</v>
      </c>
      <c r="AM568" t="str">
        <f>IF(ISNUMBER(SEARCH("H", 'WetLitterbags placem_collection'!X129)),"YES","NO")</f>
        <v>NO</v>
      </c>
      <c r="AN568" t="str">
        <f>IF(ISNUMBER(SEARCH("R", 'WetLitterbags placem_collection'!X129)),"YES","NO")</f>
        <v>YES</v>
      </c>
    </row>
    <row r="569" spans="1:40" ht="15" customHeight="1">
      <c r="A569" s="258" t="s">
        <v>2460</v>
      </c>
      <c r="B569" s="263">
        <f>'Dry_Litterbag Placem_Collection'!A130</f>
        <v>128</v>
      </c>
      <c r="C569" s="263" t="str">
        <f>'Dry_Litterbag Placem_Collection'!B130</f>
        <v xml:space="preserve">Mwantimba
</v>
      </c>
      <c r="D569" s="263" t="s">
        <v>2659</v>
      </c>
      <c r="E569" s="263" t="s">
        <v>2660</v>
      </c>
      <c r="F569" s="263">
        <v>4</v>
      </c>
      <c r="G569" s="264" t="str">
        <f>'Dry_Litterbag Placem_Collection'!C130</f>
        <v>Wet_Ag4_T8</v>
      </c>
      <c r="H569" s="273" t="s">
        <v>3651</v>
      </c>
      <c r="I569" s="266" t="s">
        <v>1147</v>
      </c>
      <c r="J569" s="223" t="str">
        <f>'WetLitterbags placem_collection'!O130</f>
        <v>G833</v>
      </c>
      <c r="K569" s="225">
        <f>IFERROR(INDEX('Green_rooibos initial weight'!$C$5:$C$1749,MATCH(J569, 'Green_rooibos initial weight'!$A$5:$A$1749,0)),"")</f>
        <v>1.964</v>
      </c>
      <c r="L569" s="225">
        <f>IFERROR(K569-(TBIcalc!$H$9+TBIcalc!$H$10),"")</f>
        <v>1.7141999999999999</v>
      </c>
      <c r="M569" s="391">
        <f>AVERAGE(Ashed_controlls!$K$2:$K$11)</f>
        <v>5.5147656768714146</v>
      </c>
      <c r="N569" s="225">
        <f t="shared" si="44"/>
        <v>1.6196658867670701</v>
      </c>
      <c r="O569" s="225">
        <f>IF(IFERROR(INDEX('Both teabags AfterWet'!$C$3:$C$841,MATCH(J569,'Both teabags AfterWet'!$A$3:$A$841,0)),"")="","",(IFERROR(INDEX('Both teabags AfterWet'!$C$3:$C$841,MATCH(J569,'Both teabags AfterWet'!$A$3:$A$841,0)),"")))</f>
        <v>0.57199999999999995</v>
      </c>
      <c r="P569" s="225">
        <f>IFERROR(IF(O569&gt;0,O569-(TBIcalc!$H$9),""),"")</f>
        <v>0.42139999999999994</v>
      </c>
      <c r="Q569" s="225">
        <f>IFERROR(INDEX('Ashed teabags wet'!$K$2:$K$821,MATCH(J569,'Ashed teabags wet'!$A$2:$A$821,0)),"")</f>
        <v>10.010111223457624</v>
      </c>
      <c r="R569" s="225">
        <f t="shared" si="47"/>
        <v>0.3792173913043495</v>
      </c>
      <c r="S569" s="226">
        <f>'WetLitterbags placem_collection'!E130</f>
        <v>42762</v>
      </c>
      <c r="T569" s="226">
        <f>IF('WetLitterbags placem_collection'!G130="","",'WetLitterbags placem_collection'!G130)</f>
        <v>42816</v>
      </c>
      <c r="U569" s="227">
        <f t="shared" si="43"/>
        <v>54</v>
      </c>
      <c r="V569" s="225">
        <f t="shared" si="45"/>
        <v>1.2927999999999999</v>
      </c>
      <c r="W569" s="225">
        <f t="shared" si="46"/>
        <v>1.2404484954627206</v>
      </c>
      <c r="X569">
        <f>IFERROR(INDEX(Rainfall_Wet!$O$2:$O$217,MATCH(B569, Rainfall_Wet!$A$2:$A$217,0)),"")</f>
        <v>206.85140822299999</v>
      </c>
      <c r="Y569" s="231">
        <v>17.96</v>
      </c>
      <c r="Z569" s="231">
        <v>4.9199999999999982</v>
      </c>
      <c r="AA569" s="231">
        <v>77.12</v>
      </c>
      <c r="AB569" s="232" t="s">
        <v>2671</v>
      </c>
      <c r="AC569" s="231">
        <v>9.0220798422868391</v>
      </c>
      <c r="AD569">
        <f>IF('WetLitterbags placem_collection'!AB130="","",'WetLitterbags placem_collection'!AB130)</f>
        <v>10.9</v>
      </c>
      <c r="AE569">
        <f>IF('WetLitterbags placem_collection'!Z130="","",'WetLitterbags placem_collection'!Z130)</f>
        <v>44</v>
      </c>
      <c r="AF569" s="246" t="str">
        <f>IF('WetLitterbags placem_collection'!AA130="","",'WetLitterbags placem_collection'!AA130)</f>
        <v>G</v>
      </c>
      <c r="AG569">
        <f>IF('WetLitterbags placem_collection'!AC130="","",'WetLitterbags placem_collection'!AC130)</f>
        <v>0</v>
      </c>
      <c r="AH569" s="24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placem_collection'!X130)),"YES","NO")</f>
        <v>NO</v>
      </c>
      <c r="AM569" t="str">
        <f>IF(ISNUMBER(SEARCH("H", 'WetLitterbags placem_collection'!X130)),"YES","NO")</f>
        <v>NO</v>
      </c>
      <c r="AN569" t="str">
        <f>IF(ISNUMBER(SEARCH("R", 'WetLitterbags placem_collection'!X130)),"YES","NO")</f>
        <v>YES</v>
      </c>
    </row>
    <row r="570" spans="1:40" ht="15" customHeight="1">
      <c r="A570" s="258" t="s">
        <v>2460</v>
      </c>
      <c r="B570" s="263">
        <f>'Dry_Litterbag Placem_Collection'!A131</f>
        <v>129</v>
      </c>
      <c r="C570" s="263" t="str">
        <f>'Dry_Litterbag Placem_Collection'!B131</f>
        <v xml:space="preserve">Mwantimba
</v>
      </c>
      <c r="D570" s="263" t="s">
        <v>2659</v>
      </c>
      <c r="E570" s="263" t="s">
        <v>20</v>
      </c>
      <c r="F570" s="263">
        <v>1</v>
      </c>
      <c r="G570" s="264" t="str">
        <f>'Dry_Litterbag Placem_Collection'!C131</f>
        <v>Wet_P1_T1</v>
      </c>
      <c r="H570" s="273" t="s">
        <v>3651</v>
      </c>
      <c r="I570" s="266" t="s">
        <v>1147</v>
      </c>
      <c r="J570" s="223" t="str">
        <f>'WetLitterbags placem_collection'!O131</f>
        <v>G888</v>
      </c>
      <c r="K570" s="225">
        <f>IFERROR(INDEX('Green_rooibos initial weight'!$C$5:$C$1749,MATCH(J570, 'Green_rooibos initial weight'!$A$5:$A$1749,0)),"")</f>
        <v>2.089</v>
      </c>
      <c r="L570" s="225">
        <f>IFERROR(K570-(TBIcalc!$H$9+TBIcalc!$H$10),"")</f>
        <v>1.8391999999999999</v>
      </c>
      <c r="M570" s="391">
        <f>AVERAGE(Ashed_controlls!$K$2:$K$11)</f>
        <v>5.5147656768714146</v>
      </c>
      <c r="N570" s="225">
        <f t="shared" si="44"/>
        <v>1.7377724296709809</v>
      </c>
      <c r="O570" s="225">
        <f>IF(IFERROR(INDEX('Both teabags AfterWet'!$C$3:$C$841,MATCH(J570,'Both teabags AfterWet'!$A$3:$A$841,0)),"")="","",(IFERROR(INDEX('Both teabags AfterWet'!$C$3:$C$841,MATCH(J570,'Both teabags AfterWet'!$A$3:$A$841,0)),"")))</f>
        <v>0.59440000000000004</v>
      </c>
      <c r="P570" s="225">
        <f>IFERROR(IF(O570&gt;0,O570-(TBIcalc!$H$9),""),"")</f>
        <v>0.44380000000000003</v>
      </c>
      <c r="Q570" s="225">
        <f>IFERROR(INDEX('Ashed teabags wet'!$K$2:$K$821,MATCH(J570,'Ashed teabags wet'!$A$2:$A$821,0)),"")</f>
        <v>15.186104218362484</v>
      </c>
      <c r="R570" s="225">
        <f t="shared" si="47"/>
        <v>0.37640406947890731</v>
      </c>
      <c r="S570" s="226">
        <f>'WetLitterbags placem_collection'!E131</f>
        <v>42762</v>
      </c>
      <c r="T570" s="226">
        <f>IF('WetLitterbags placem_collection'!G131="","",'WetLitterbags placem_collection'!G131)</f>
        <v>42816</v>
      </c>
      <c r="U570" s="227">
        <f t="shared" si="43"/>
        <v>54</v>
      </c>
      <c r="V570" s="225">
        <f t="shared" si="45"/>
        <v>1.3954</v>
      </c>
      <c r="W570" s="225">
        <f t="shared" si="46"/>
        <v>1.3613683601920736</v>
      </c>
      <c r="X570">
        <f>IFERROR(INDEX(Rainfall_Wet!$O$2:$O$217,MATCH(B570, Rainfall_Wet!$A$2:$A$217,0)),"")</f>
        <v>206.85140822299999</v>
      </c>
      <c r="Y570" s="231">
        <v>31.214836424255054</v>
      </c>
      <c r="Z570" s="231">
        <v>11.377370285476141</v>
      </c>
      <c r="AA570" s="231">
        <v>57.407793290268799</v>
      </c>
      <c r="AB570" s="232" t="s">
        <v>2670</v>
      </c>
      <c r="AC570" s="231">
        <v>1.7337604731394776</v>
      </c>
      <c r="AD570">
        <f>IF('WetLitterbags placem_collection'!AB131="","",'WetLitterbags placem_collection'!AB131)</f>
        <v>2.4</v>
      </c>
      <c r="AE570">
        <f>IF('WetLitterbags placem_collection'!Z131="","",'WetLitterbags placem_collection'!Z131)</f>
        <v>2.4</v>
      </c>
      <c r="AF570" s="246" t="str">
        <f>IF('WetLitterbags placem_collection'!AA131="","",'WetLitterbags placem_collection'!AA131)</f>
        <v>O</v>
      </c>
      <c r="AG570">
        <f>IF('WetLitterbags placem_collection'!AC131="","",'WetLitterbags placem_collection'!AC131)</f>
        <v>1</v>
      </c>
      <c r="AH570" s="24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placem_collection'!X131)),"YES","NO")</f>
        <v>NO</v>
      </c>
      <c r="AM570" t="str">
        <f>IF(ISNUMBER(SEARCH("H", 'WetLitterbags placem_collection'!X131)),"YES","NO")</f>
        <v>NO</v>
      </c>
      <c r="AN570" t="str">
        <f>IF(ISNUMBER(SEARCH("R", 'WetLitterbags placem_collection'!X131)),"YES","NO")</f>
        <v>YES</v>
      </c>
    </row>
    <row r="571" spans="1:40" ht="15" customHeight="1">
      <c r="A571" s="258" t="s">
        <v>2460</v>
      </c>
      <c r="B571" s="263">
        <f>'Dry_Litterbag Placem_Collection'!A132</f>
        <v>130</v>
      </c>
      <c r="C571" s="263" t="str">
        <f>'Dry_Litterbag Placem_Collection'!B132</f>
        <v xml:space="preserve">Mwantimba
</v>
      </c>
      <c r="D571" s="263" t="s">
        <v>2659</v>
      </c>
      <c r="E571" s="263" t="s">
        <v>20</v>
      </c>
      <c r="F571" s="263">
        <v>1</v>
      </c>
      <c r="G571" s="264" t="str">
        <f>'Dry_Litterbag Placem_Collection'!C132</f>
        <v>Wet_P1_T2</v>
      </c>
      <c r="H571" s="273" t="s">
        <v>3651</v>
      </c>
      <c r="I571" s="266" t="s">
        <v>1147</v>
      </c>
      <c r="J571" s="223" t="str">
        <f>'WetLitterbags placem_collection'!O132</f>
        <v>G708</v>
      </c>
      <c r="K571" s="225">
        <f>IFERROR(INDEX('Green_rooibos initial weight'!$C$5:$C$1749,MATCH(J571, 'Green_rooibos initial weight'!$A$5:$A$1749,0)),"")</f>
        <v>2.0030000000000001</v>
      </c>
      <c r="L571" s="225">
        <f>IFERROR(K571-(TBIcalc!$H$9+TBIcalc!$H$10),"")</f>
        <v>1.7532000000000001</v>
      </c>
      <c r="M571" s="391">
        <f>AVERAGE(Ashed_controlls!$K$2:$K$11)</f>
        <v>5.5147656768714146</v>
      </c>
      <c r="N571" s="225">
        <f t="shared" si="44"/>
        <v>1.6565151281530905</v>
      </c>
      <c r="O571" s="225">
        <f>IF(IFERROR(INDEX('Both teabags AfterWet'!$C$3:$C$841,MATCH(J571,'Both teabags AfterWet'!$A$3:$A$841,0)),"")="","",(IFERROR(INDEX('Both teabags AfterWet'!$C$3:$C$841,MATCH(J571,'Both teabags AfterWet'!$A$3:$A$841,0)),"")))</f>
        <v>0.56599999999999995</v>
      </c>
      <c r="P571" s="225">
        <f>IFERROR(IF(O571&gt;0,O571-(TBIcalc!$H$9),""),"")</f>
        <v>0.41539999999999994</v>
      </c>
      <c r="Q571" s="225">
        <f>IFERROR(INDEX('Ashed teabags wet'!$K$2:$K$821,MATCH(J571,'Ashed teabags wet'!$A$2:$A$821,0)),"")</f>
        <v>17.737917289487331</v>
      </c>
      <c r="R571" s="225">
        <f t="shared" si="47"/>
        <v>0.3417166915794696</v>
      </c>
      <c r="S571" s="226">
        <f>'WetLitterbags placem_collection'!E132</f>
        <v>42762</v>
      </c>
      <c r="T571" s="226">
        <f>IF('WetLitterbags placem_collection'!G132="","",'WetLitterbags placem_collection'!G132)</f>
        <v>42816</v>
      </c>
      <c r="U571" s="227">
        <f t="shared" si="43"/>
        <v>54</v>
      </c>
      <c r="V571" s="225">
        <f t="shared" si="45"/>
        <v>1.3378000000000001</v>
      </c>
      <c r="W571" s="225">
        <f t="shared" si="46"/>
        <v>1.3147984365736209</v>
      </c>
      <c r="X571">
        <f>IFERROR(INDEX(Rainfall_Wet!$O$2:$O$217,MATCH(B571, Rainfall_Wet!$A$2:$A$217,0)),"")</f>
        <v>206.85140822299999</v>
      </c>
      <c r="Y571" s="231">
        <v>31.214836424255054</v>
      </c>
      <c r="Z571" s="231">
        <v>11.377370285476141</v>
      </c>
      <c r="AA571" s="231">
        <v>57.407793290268799</v>
      </c>
      <c r="AB571" s="232" t="s">
        <v>2670</v>
      </c>
      <c r="AC571" s="231">
        <v>2.7337604731394798</v>
      </c>
      <c r="AD571">
        <f>IF('WetLitterbags placem_collection'!AB132="","",'WetLitterbags placem_collection'!AB132)</f>
        <v>2.1</v>
      </c>
      <c r="AE571">
        <f>IF('WetLitterbags placem_collection'!Z132="","",'WetLitterbags placem_collection'!Z132)</f>
        <v>3.5</v>
      </c>
      <c r="AF571" s="246" t="str">
        <f>IF('WetLitterbags placem_collection'!AA132="","",'WetLitterbags placem_collection'!AA132)</f>
        <v>O</v>
      </c>
      <c r="AG571">
        <f>IF('WetLitterbags placem_collection'!AC132="","",'WetLitterbags placem_collection'!AC132)</f>
        <v>0</v>
      </c>
      <c r="AH571" s="24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placem_collection'!X132)),"YES","NO")</f>
        <v>NO</v>
      </c>
      <c r="AM571" t="str">
        <f>IF(ISNUMBER(SEARCH("H", 'WetLitterbags placem_collection'!X132)),"YES","NO")</f>
        <v>NO</v>
      </c>
      <c r="AN571" t="str">
        <f>IF(ISNUMBER(SEARCH("R", 'WetLitterbags placem_collection'!X132)),"YES","NO")</f>
        <v>NO</v>
      </c>
    </row>
    <row r="572" spans="1:40" ht="15" customHeight="1">
      <c r="A572" s="258" t="s">
        <v>2460</v>
      </c>
      <c r="B572" s="263">
        <f>'Dry_Litterbag Placem_Collection'!A133</f>
        <v>131</v>
      </c>
      <c r="C572" s="263" t="str">
        <f>'Dry_Litterbag Placem_Collection'!B133</f>
        <v xml:space="preserve">Mwantimba
</v>
      </c>
      <c r="D572" s="263" t="s">
        <v>2659</v>
      </c>
      <c r="E572" s="263" t="s">
        <v>20</v>
      </c>
      <c r="F572" s="263">
        <v>1</v>
      </c>
      <c r="G572" s="264" t="str">
        <f>'Dry_Litterbag Placem_Collection'!C133</f>
        <v>Wet_P1_T3</v>
      </c>
      <c r="H572" s="273" t="s">
        <v>3651</v>
      </c>
      <c r="I572" s="266" t="s">
        <v>1147</v>
      </c>
      <c r="J572" s="223" t="str">
        <f>'WetLitterbags placem_collection'!O133</f>
        <v>G768</v>
      </c>
      <c r="K572" s="225">
        <f>IFERROR(INDEX('Green_rooibos initial weight'!$C$5:$C$1749,MATCH(J572, 'Green_rooibos initial weight'!$A$5:$A$1749,0)),"")</f>
        <v>2.0089999999999999</v>
      </c>
      <c r="L572" s="225">
        <f>IFERROR(K572-(TBIcalc!$H$9+TBIcalc!$H$10),"")</f>
        <v>1.7591999999999999</v>
      </c>
      <c r="M572" s="391">
        <f>AVERAGE(Ashed_controlls!$K$2:$K$11)</f>
        <v>5.5147656768714146</v>
      </c>
      <c r="N572" s="225">
        <f t="shared" si="44"/>
        <v>1.662184242212478</v>
      </c>
      <c r="O572" s="225">
        <f>IF(IFERROR(INDEX('Both teabags AfterWet'!$C$3:$C$841,MATCH(J572,'Both teabags AfterWet'!$A$3:$A$841,0)),"")="","",(IFERROR(INDEX('Both teabags AfterWet'!$C$3:$C$841,MATCH(J572,'Both teabags AfterWet'!$A$3:$A$841,0)),"")))</f>
        <v>0.62819999999999998</v>
      </c>
      <c r="P572" s="225">
        <f>IFERROR(IF(O572&gt;0,O572-(TBIcalc!$H$9),""),"")</f>
        <v>0.47759999999999997</v>
      </c>
      <c r="Q572" s="225">
        <f>IFERROR(INDEX('Ashed teabags wet'!$K$2:$K$821,MATCH(J572,'Ashed teabags wet'!$A$2:$A$821,0)),"")</f>
        <v>13.671875000000405</v>
      </c>
      <c r="R572" s="225">
        <f t="shared" si="47"/>
        <v>0.41230312499999805</v>
      </c>
      <c r="S572" s="226">
        <f>'WetLitterbags placem_collection'!E133</f>
        <v>42762</v>
      </c>
      <c r="T572" s="226">
        <f>IF('WetLitterbags placem_collection'!G133="","",'WetLitterbags placem_collection'!G133)</f>
        <v>42816</v>
      </c>
      <c r="U572" s="227">
        <f t="shared" si="43"/>
        <v>54</v>
      </c>
      <c r="V572" s="225">
        <f t="shared" si="45"/>
        <v>1.2815999999999999</v>
      </c>
      <c r="W572" s="225">
        <f t="shared" si="46"/>
        <v>1.24988111721248</v>
      </c>
      <c r="X572">
        <f>IFERROR(INDEX(Rainfall_Wet!$O$2:$O$217,MATCH(B572, Rainfall_Wet!$A$2:$A$217,0)),"")</f>
        <v>206.85140822299999</v>
      </c>
      <c r="Y572" s="231">
        <v>31.214836424255054</v>
      </c>
      <c r="Z572" s="231">
        <v>11.377370285476141</v>
      </c>
      <c r="AA572" s="231">
        <v>57.407793290268799</v>
      </c>
      <c r="AB572" s="232" t="s">
        <v>2670</v>
      </c>
      <c r="AC572" s="231">
        <v>3.7337604731394798</v>
      </c>
      <c r="AD572">
        <f>IF('WetLitterbags placem_collection'!AB133="","",'WetLitterbags placem_collection'!AB133)</f>
        <v>4.5</v>
      </c>
      <c r="AE572">
        <f>IF('WetLitterbags placem_collection'!Z133="","",'WetLitterbags placem_collection'!Z133)</f>
        <v>7.5</v>
      </c>
      <c r="AF572" s="246" t="str">
        <f>IF('WetLitterbags placem_collection'!AA133="","",'WetLitterbags placem_collection'!AA133)</f>
        <v>O</v>
      </c>
      <c r="AG572">
        <f>IF('WetLitterbags placem_collection'!AC133="","",'WetLitterbags placem_collection'!AC133)</f>
        <v>0</v>
      </c>
      <c r="AH572" s="24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placem_collection'!X133)),"YES","NO")</f>
        <v>NO</v>
      </c>
      <c r="AM572" t="str">
        <f>IF(ISNUMBER(SEARCH("H", 'WetLitterbags placem_collection'!X133)),"YES","NO")</f>
        <v>NO</v>
      </c>
      <c r="AN572" t="str">
        <f>IF(ISNUMBER(SEARCH("R", 'WetLitterbags placem_collection'!X133)),"YES","NO")</f>
        <v>NO</v>
      </c>
    </row>
    <row r="573" spans="1:40" ht="15" customHeight="1">
      <c r="A573" s="258" t="s">
        <v>2460</v>
      </c>
      <c r="B573" s="263">
        <f>'Dry_Litterbag Placem_Collection'!A134</f>
        <v>132</v>
      </c>
      <c r="C573" s="263" t="str">
        <f>'Dry_Litterbag Placem_Collection'!B134</f>
        <v xml:space="preserve">Mwantimba
</v>
      </c>
      <c r="D573" s="263" t="s">
        <v>2659</v>
      </c>
      <c r="E573" s="263" t="s">
        <v>20</v>
      </c>
      <c r="F573" s="263">
        <v>1</v>
      </c>
      <c r="G573" s="264" t="str">
        <f>'Dry_Litterbag Placem_Collection'!C134</f>
        <v>Wet_P1_T4</v>
      </c>
      <c r="H573" s="273" t="s">
        <v>3651</v>
      </c>
      <c r="I573" s="266" t="s">
        <v>1147</v>
      </c>
      <c r="J573" s="223" t="str">
        <f>'WetLitterbags placem_collection'!O134</f>
        <v>G779</v>
      </c>
      <c r="K573" s="225">
        <f>IFERROR(INDEX('Green_rooibos initial weight'!$C$5:$C$1749,MATCH(J573, 'Green_rooibos initial weight'!$A$5:$A$1749,0)),"")</f>
        <v>2.0110000000000001</v>
      </c>
      <c r="L573" s="225">
        <f>IFERROR(K573-(TBIcalc!$H$9+TBIcalc!$H$10),"")</f>
        <v>1.7612000000000001</v>
      </c>
      <c r="M573" s="391">
        <f>AVERAGE(Ashed_controlls!$K$2:$K$11)</f>
        <v>5.5147656768714146</v>
      </c>
      <c r="N573" s="225">
        <f t="shared" si="44"/>
        <v>1.6640739468989407</v>
      </c>
      <c r="O573" s="225">
        <f>IF(IFERROR(INDEX('Both teabags AfterWet'!$C$3:$C$841,MATCH(J573,'Both teabags AfterWet'!$A$3:$A$841,0)),"")="","",(IFERROR(INDEX('Both teabags AfterWet'!$C$3:$C$841,MATCH(J573,'Both teabags AfterWet'!$A$3:$A$841,0)),"")))</f>
        <v>0.63490000000000002</v>
      </c>
      <c r="P573" s="225">
        <f>IFERROR(IF(O573&gt;0,O573-(TBIcalc!$H$9),""),"")</f>
        <v>0.48430000000000001</v>
      </c>
      <c r="Q573" s="225">
        <f>IFERROR(INDEX('Ashed teabags wet'!$K$2:$K$821,MATCH(J573,'Ashed teabags wet'!$A$2:$A$821,0)),"")</f>
        <v>13.853028798411678</v>
      </c>
      <c r="R573" s="225">
        <f t="shared" si="47"/>
        <v>0.41720978152929222</v>
      </c>
      <c r="S573" s="226">
        <f>'WetLitterbags placem_collection'!E134</f>
        <v>42762</v>
      </c>
      <c r="T573" s="226">
        <f>IF('WetLitterbags placem_collection'!G134="","",'WetLitterbags placem_collection'!G134)</f>
        <v>42816</v>
      </c>
      <c r="U573" s="227">
        <f t="shared" si="43"/>
        <v>54</v>
      </c>
      <c r="V573" s="225">
        <f t="shared" si="45"/>
        <v>1.2769000000000001</v>
      </c>
      <c r="W573" s="225">
        <f t="shared" si="46"/>
        <v>1.2468641653696486</v>
      </c>
      <c r="X573">
        <f>IFERROR(INDEX(Rainfall_Wet!$O$2:$O$217,MATCH(B573, Rainfall_Wet!$A$2:$A$217,0)),"")</f>
        <v>206.85140822299999</v>
      </c>
      <c r="Y573" s="231">
        <v>31.214836424255054</v>
      </c>
      <c r="Z573" s="231">
        <v>11.377370285476141</v>
      </c>
      <c r="AA573" s="231">
        <v>57.407793290268799</v>
      </c>
      <c r="AB573" s="232" t="s">
        <v>2670</v>
      </c>
      <c r="AC573" s="231">
        <v>4.7337604731394798</v>
      </c>
      <c r="AD573">
        <f>IF('WetLitterbags placem_collection'!AB134="","",'WetLitterbags placem_collection'!AB134)</f>
        <v>0.7</v>
      </c>
      <c r="AE573">
        <f>IF('WetLitterbags placem_collection'!Z134="","",'WetLitterbags placem_collection'!Z134)</f>
        <v>9.8000000000000007</v>
      </c>
      <c r="AF573" s="246" t="str">
        <f>IF('WetLitterbags placem_collection'!AA134="","",'WetLitterbags placem_collection'!AA134)</f>
        <v>G</v>
      </c>
      <c r="AG573">
        <f>IF('WetLitterbags placem_collection'!AC134="","",'WetLitterbags placem_collection'!AC134)</f>
        <v>1</v>
      </c>
      <c r="AH573" s="24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placem_collection'!X134)),"YES","NO")</f>
        <v>NO</v>
      </c>
      <c r="AM573" t="str">
        <f>IF(ISNUMBER(SEARCH("H", 'WetLitterbags placem_collection'!X134)),"YES","NO")</f>
        <v>NO</v>
      </c>
      <c r="AN573" t="str">
        <f>IF(ISNUMBER(SEARCH("R", 'WetLitterbags placem_collection'!X134)),"YES","NO")</f>
        <v>NO</v>
      </c>
    </row>
    <row r="574" spans="1:40" ht="15" customHeight="1">
      <c r="A574" s="258" t="s">
        <v>2460</v>
      </c>
      <c r="B574" s="263">
        <f>'Dry_Litterbag Placem_Collection'!A135</f>
        <v>133</v>
      </c>
      <c r="C574" s="263" t="str">
        <f>'Dry_Litterbag Placem_Collection'!B135</f>
        <v xml:space="preserve">Mwantimba
</v>
      </c>
      <c r="D574" s="263" t="s">
        <v>2659</v>
      </c>
      <c r="E574" s="263" t="s">
        <v>20</v>
      </c>
      <c r="F574" s="263">
        <v>1</v>
      </c>
      <c r="G574" s="264" t="str">
        <f>'Dry_Litterbag Placem_Collection'!C135</f>
        <v>Wet_P1_T5</v>
      </c>
      <c r="H574" s="273" t="s">
        <v>3651</v>
      </c>
      <c r="I574" s="266" t="s">
        <v>1147</v>
      </c>
      <c r="J574" s="223" t="str">
        <f>'WetLitterbags placem_collection'!O135</f>
        <v>G799</v>
      </c>
      <c r="K574" s="225">
        <f>IFERROR(INDEX('Green_rooibos initial weight'!$C$5:$C$1749,MATCH(J574, 'Green_rooibos initial weight'!$A$5:$A$1749,0)),"")</f>
        <v>2.093</v>
      </c>
      <c r="L574" s="225">
        <f>IFERROR(K574-(TBIcalc!$H$9+TBIcalc!$H$10),"")</f>
        <v>1.8431999999999999</v>
      </c>
      <c r="M574" s="391">
        <f>AVERAGE(Ashed_controlls!$K$2:$K$11)</f>
        <v>5.5147656768714146</v>
      </c>
      <c r="N574" s="225">
        <f t="shared" si="44"/>
        <v>1.741551839043906</v>
      </c>
      <c r="O574" s="225">
        <f>IF(IFERROR(INDEX('Both teabags AfterWet'!$C$3:$C$841,MATCH(J574,'Both teabags AfterWet'!$A$3:$A$841,0)),"")="","",(IFERROR(INDEX('Both teabags AfterWet'!$C$3:$C$841,MATCH(J574,'Both teabags AfterWet'!$A$3:$A$841,0)),"")))</f>
        <v>0.63380000000000003</v>
      </c>
      <c r="P574" s="225">
        <f>IFERROR(IF(O574&gt;0,O574-(TBIcalc!$H$9),""),"")</f>
        <v>0.48320000000000002</v>
      </c>
      <c r="Q574" s="225">
        <f>IFERROR(INDEX('Ashed teabags wet'!$K$2:$K$821,MATCH(J574,'Ashed teabags wet'!$A$2:$A$821,0)),"")</f>
        <v>14.024691358025066</v>
      </c>
      <c r="R574" s="225">
        <f t="shared" si="47"/>
        <v>0.41543269135802291</v>
      </c>
      <c r="S574" s="226">
        <f>'WetLitterbags placem_collection'!E135</f>
        <v>42762</v>
      </c>
      <c r="T574" s="226">
        <f>IF('WetLitterbags placem_collection'!G135="","",'WetLitterbags placem_collection'!G135)</f>
        <v>42816</v>
      </c>
      <c r="U574" s="227">
        <f t="shared" si="43"/>
        <v>54</v>
      </c>
      <c r="V574" s="225">
        <f t="shared" si="45"/>
        <v>1.3599999999999999</v>
      </c>
      <c r="W574" s="225">
        <f t="shared" si="46"/>
        <v>1.3261191476858831</v>
      </c>
      <c r="X574">
        <f>IFERROR(INDEX(Rainfall_Wet!$O$2:$O$217,MATCH(B574, Rainfall_Wet!$A$2:$A$217,0)),"")</f>
        <v>206.85140822299999</v>
      </c>
      <c r="Y574" s="231">
        <v>31.214836424255054</v>
      </c>
      <c r="Z574" s="231">
        <v>11.377370285476141</v>
      </c>
      <c r="AA574" s="231">
        <v>57.407793290268799</v>
      </c>
      <c r="AB574" s="232" t="s">
        <v>2670</v>
      </c>
      <c r="AC574" s="231">
        <v>5.7337604731394798</v>
      </c>
      <c r="AD574">
        <f>IF('WetLitterbags placem_collection'!AB135="","",'WetLitterbags placem_collection'!AB135)</f>
        <v>2.2000000000000002</v>
      </c>
      <c r="AE574">
        <f>IF('WetLitterbags placem_collection'!Z135="","",'WetLitterbags placem_collection'!Z135)</f>
        <v>10</v>
      </c>
      <c r="AF574" s="246" t="str">
        <f>IF('WetLitterbags placem_collection'!AA135="","",'WetLitterbags placem_collection'!AA135)</f>
        <v>O</v>
      </c>
      <c r="AG574">
        <f>IF('WetLitterbags placem_collection'!AC135="","",'WetLitterbags placem_collection'!AC135)</f>
        <v>1</v>
      </c>
      <c r="AH574" s="24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placem_collection'!X135)),"YES","NO")</f>
        <v>NO</v>
      </c>
      <c r="AM574" t="str">
        <f>IF(ISNUMBER(SEARCH("H", 'WetLitterbags placem_collection'!X135)),"YES","NO")</f>
        <v>NO</v>
      </c>
      <c r="AN574" t="str">
        <f>IF(ISNUMBER(SEARCH("R", 'WetLitterbags placem_collection'!X135)),"YES","NO")</f>
        <v>NO</v>
      </c>
    </row>
    <row r="575" spans="1:40" ht="15" customHeight="1">
      <c r="A575" s="258" t="s">
        <v>2460</v>
      </c>
      <c r="B575" s="263">
        <f>'Dry_Litterbag Placem_Collection'!A136</f>
        <v>134</v>
      </c>
      <c r="C575" s="263" t="str">
        <f>'Dry_Litterbag Placem_Collection'!B136</f>
        <v xml:space="preserve">Mwantimba
</v>
      </c>
      <c r="D575" s="263" t="s">
        <v>2659</v>
      </c>
      <c r="E575" s="263" t="s">
        <v>20</v>
      </c>
      <c r="F575" s="263">
        <v>1</v>
      </c>
      <c r="G575" s="264" t="str">
        <f>'Dry_Litterbag Placem_Collection'!C136</f>
        <v>Wet_P1_T6</v>
      </c>
      <c r="H575" s="273" t="s">
        <v>3651</v>
      </c>
      <c r="I575" s="266" t="s">
        <v>1147</v>
      </c>
      <c r="J575" s="223" t="str">
        <f>'WetLitterbags placem_collection'!O136</f>
        <v>G820</v>
      </c>
      <c r="K575" s="225">
        <f>IFERROR(INDEX('Green_rooibos initial weight'!$C$5:$C$1749,MATCH(J575, 'Green_rooibos initial weight'!$A$5:$A$1749,0)),"")</f>
        <v>1.927</v>
      </c>
      <c r="L575" s="225">
        <f>IFERROR(K575-(TBIcalc!$H$9+TBIcalc!$H$10),"")</f>
        <v>1.6772</v>
      </c>
      <c r="M575" s="391">
        <f>AVERAGE(Ashed_controlls!$K$2:$K$11)</f>
        <v>5.5147656768714146</v>
      </c>
      <c r="N575" s="225">
        <f t="shared" si="44"/>
        <v>1.5847063500675127</v>
      </c>
      <c r="O575" s="225">
        <f>IF(IFERROR(INDEX('Both teabags AfterWet'!$C$3:$C$841,MATCH(J575,'Both teabags AfterWet'!$A$3:$A$841,0)),"")="","",(IFERROR(INDEX('Both teabags AfterWet'!$C$3:$C$841,MATCH(J575,'Both teabags AfterWet'!$A$3:$A$841,0)),"")))</f>
        <v>0.53400000000000003</v>
      </c>
      <c r="P575" s="225">
        <f>IFERROR(IF(O575&gt;0,O575-(TBIcalc!$H$9),""),"")</f>
        <v>0.38340000000000002</v>
      </c>
      <c r="Q575" s="225">
        <f>IFERROR(INDEX('Ashed teabags wet'!$K$2:$K$821,MATCH(J575,'Ashed teabags wet'!$A$2:$A$821,0)),"")</f>
        <v>12.606303151575968</v>
      </c>
      <c r="R575" s="225">
        <f t="shared" si="47"/>
        <v>0.33506743371685777</v>
      </c>
      <c r="S575" s="226">
        <f>'WetLitterbags placem_collection'!E136</f>
        <v>42762</v>
      </c>
      <c r="T575" s="226">
        <f>IF('WetLitterbags placem_collection'!G136="","",'WetLitterbags placem_collection'!G136)</f>
        <v>42816</v>
      </c>
      <c r="U575" s="227">
        <f t="shared" si="43"/>
        <v>54</v>
      </c>
      <c r="V575" s="225">
        <f t="shared" si="45"/>
        <v>1.2938000000000001</v>
      </c>
      <c r="W575" s="225">
        <f t="shared" si="46"/>
        <v>1.2496389163506549</v>
      </c>
      <c r="X575">
        <f>IFERROR(INDEX(Rainfall_Wet!$O$2:$O$217,MATCH(B575, Rainfall_Wet!$A$2:$A$217,0)),"")</f>
        <v>206.85140822299999</v>
      </c>
      <c r="Y575" s="231">
        <v>31.214836424255054</v>
      </c>
      <c r="Z575" s="231">
        <v>11.377370285476141</v>
      </c>
      <c r="AA575" s="231">
        <v>57.407793290268799</v>
      </c>
      <c r="AB575" s="232" t="s">
        <v>2670</v>
      </c>
      <c r="AC575" s="231">
        <v>6.7337604731394798</v>
      </c>
      <c r="AD575">
        <f>IF('WetLitterbags placem_collection'!AB136="","",'WetLitterbags placem_collection'!AB136)</f>
        <v>1.1000000000000001</v>
      </c>
      <c r="AE575">
        <f>IF('WetLitterbags placem_collection'!Z136="","",'WetLitterbags placem_collection'!Z136)</f>
        <v>15.4</v>
      </c>
      <c r="AF575" s="246" t="str">
        <f>IF('WetLitterbags placem_collection'!AA136="","",'WetLitterbags placem_collection'!AA136)</f>
        <v>O</v>
      </c>
      <c r="AG575">
        <f>IF('WetLitterbags placem_collection'!AC136="","",'WetLitterbags placem_collection'!AC136)</f>
        <v>1</v>
      </c>
      <c r="AH575" s="24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placem_collection'!X136)),"YES","NO")</f>
        <v>NO</v>
      </c>
      <c r="AM575" t="str">
        <f>IF(ISNUMBER(SEARCH("H", 'WetLitterbags placem_collection'!X136)),"YES","NO")</f>
        <v>NO</v>
      </c>
      <c r="AN575" t="str">
        <f>IF(ISNUMBER(SEARCH("R", 'WetLitterbags placem_collection'!X136)),"YES","NO")</f>
        <v>NO</v>
      </c>
    </row>
    <row r="576" spans="1:40" ht="15" customHeight="1">
      <c r="A576" s="258" t="s">
        <v>2460</v>
      </c>
      <c r="B576" s="263">
        <f>'Dry_Litterbag Placem_Collection'!A137</f>
        <v>135</v>
      </c>
      <c r="C576" s="263" t="str">
        <f>'Dry_Litterbag Placem_Collection'!B137</f>
        <v xml:space="preserve">Mwantimba
</v>
      </c>
      <c r="D576" s="263" t="s">
        <v>2659</v>
      </c>
      <c r="E576" s="263" t="s">
        <v>20</v>
      </c>
      <c r="F576" s="263">
        <v>1</v>
      </c>
      <c r="G576" s="264" t="str">
        <f>'Dry_Litterbag Placem_Collection'!C137</f>
        <v>Wet_P1_T7</v>
      </c>
      <c r="H576" s="273" t="s">
        <v>3651</v>
      </c>
      <c r="I576" s="266" t="s">
        <v>1147</v>
      </c>
      <c r="J576" s="223" t="str">
        <f>'WetLitterbags placem_collection'!O137</f>
        <v>G842</v>
      </c>
      <c r="K576" s="225">
        <f>IFERROR(INDEX('Green_rooibos initial weight'!$C$5:$C$1749,MATCH(J576, 'Green_rooibos initial weight'!$A$5:$A$1749,0)),"")</f>
        <v>1.9670000000000001</v>
      </c>
      <c r="L576" s="225">
        <f>IFERROR(K576-(TBIcalc!$H$9+TBIcalc!$H$10),"")</f>
        <v>1.7172000000000001</v>
      </c>
      <c r="M576" s="391">
        <f>AVERAGE(Ashed_controlls!$K$2:$K$11)</f>
        <v>5.5147656768714146</v>
      </c>
      <c r="N576" s="225">
        <f t="shared" si="44"/>
        <v>1.6225004437967641</v>
      </c>
      <c r="O576" s="225">
        <f>IF(IFERROR(INDEX('Both teabags AfterWet'!$C$3:$C$841,MATCH(J576,'Both teabags AfterWet'!$A$3:$A$841,0)),"")="","",(IFERROR(INDEX('Both teabags AfterWet'!$C$3:$C$841,MATCH(J576,'Both teabags AfterWet'!$A$3:$A$841,0)),"")))</f>
        <v>0.56399999999999995</v>
      </c>
      <c r="P576" s="225">
        <f>IFERROR(IF(O576&gt;0,O576-(TBIcalc!$H$9),""),"")</f>
        <v>0.41339999999999993</v>
      </c>
      <c r="Q576" s="225">
        <f>IFERROR(INDEX('Ashed teabags wet'!$K$2:$K$821,MATCH(J576,'Ashed teabags wet'!$A$2:$A$821,0)),"")</f>
        <v>14.385614385613385</v>
      </c>
      <c r="R576" s="225">
        <f t="shared" si="47"/>
        <v>0.3539298701298742</v>
      </c>
      <c r="S576" s="226">
        <f>'WetLitterbags placem_collection'!E137</f>
        <v>42762</v>
      </c>
      <c r="T576" s="226">
        <f>IF('WetLitterbags placem_collection'!G137="","",'WetLitterbags placem_collection'!G137)</f>
        <v>42816</v>
      </c>
      <c r="U576" s="227">
        <f t="shared" si="43"/>
        <v>54</v>
      </c>
      <c r="V576" s="225">
        <f t="shared" si="45"/>
        <v>1.3038000000000001</v>
      </c>
      <c r="W576" s="225">
        <f t="shared" si="46"/>
        <v>1.26857057366689</v>
      </c>
      <c r="X576">
        <f>IFERROR(INDEX(Rainfall_Wet!$O$2:$O$217,MATCH(B576, Rainfall_Wet!$A$2:$A$217,0)),"")</f>
        <v>206.85140822299999</v>
      </c>
      <c r="Y576" s="231">
        <v>31.214836424255054</v>
      </c>
      <c r="Z576" s="231">
        <v>11.377370285476141</v>
      </c>
      <c r="AA576" s="231">
        <v>57.407793290268799</v>
      </c>
      <c r="AB576" s="232" t="s">
        <v>2670</v>
      </c>
      <c r="AC576" s="231">
        <v>7.7337604731394798</v>
      </c>
      <c r="AD576">
        <f>IF('WetLitterbags placem_collection'!AB137="","",'WetLitterbags placem_collection'!AB137)</f>
        <v>2.1</v>
      </c>
      <c r="AE576">
        <f>IF('WetLitterbags placem_collection'!Z137="","",'WetLitterbags placem_collection'!Z137)</f>
        <v>5.6</v>
      </c>
      <c r="AF576" s="246" t="str">
        <f>IF('WetLitterbags placem_collection'!AA137="","",'WetLitterbags placem_collection'!AA137)</f>
        <v>O</v>
      </c>
      <c r="AG576">
        <f>IF('WetLitterbags placem_collection'!AC137="","",'WetLitterbags placem_collection'!AC137)</f>
        <v>1</v>
      </c>
      <c r="AH576" s="24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placem_collection'!X137)),"YES","NO")</f>
        <v>NO</v>
      </c>
      <c r="AM576" t="str">
        <f>IF(ISNUMBER(SEARCH("H", 'WetLitterbags placem_collection'!X137)),"YES","NO")</f>
        <v>NO</v>
      </c>
      <c r="AN576" t="str">
        <f>IF(ISNUMBER(SEARCH("R", 'WetLitterbags placem_collection'!X137)),"YES","NO")</f>
        <v>NO</v>
      </c>
    </row>
    <row r="577" spans="1:40" ht="15" customHeight="1">
      <c r="A577" s="258" t="s">
        <v>2460</v>
      </c>
      <c r="B577" s="263">
        <f>'Dry_Litterbag Placem_Collection'!A138</f>
        <v>136</v>
      </c>
      <c r="C577" s="263" t="str">
        <f>'Dry_Litterbag Placem_Collection'!B138</f>
        <v xml:space="preserve">Mwantimba
</v>
      </c>
      <c r="D577" s="263" t="s">
        <v>2659</v>
      </c>
      <c r="E577" s="263" t="s">
        <v>20</v>
      </c>
      <c r="F577" s="263">
        <v>1</v>
      </c>
      <c r="G577" s="264" t="str">
        <f>'Dry_Litterbag Placem_Collection'!C138</f>
        <v>Wet_P1_T8</v>
      </c>
      <c r="H577" s="273" t="s">
        <v>3651</v>
      </c>
      <c r="I577" s="266" t="s">
        <v>1147</v>
      </c>
      <c r="J577" s="223" t="str">
        <f>'WetLitterbags placem_collection'!O138</f>
        <v>G747</v>
      </c>
      <c r="K577" s="225">
        <f>IFERROR(INDEX('Green_rooibos initial weight'!$C$5:$C$1749,MATCH(J577, 'Green_rooibos initial weight'!$A$5:$A$1749,0)),"")</f>
        <v>2.044</v>
      </c>
      <c r="L577" s="225">
        <f>IFERROR(K577-(TBIcalc!$H$9+TBIcalc!$H$10),"")</f>
        <v>1.7942</v>
      </c>
      <c r="M577" s="391">
        <f>AVERAGE(Ashed_controlls!$K$2:$K$11)</f>
        <v>5.5147656768714146</v>
      </c>
      <c r="N577" s="225">
        <f t="shared" si="44"/>
        <v>1.6952540742255731</v>
      </c>
      <c r="O577" s="225">
        <f>IF(IFERROR(INDEX('Both teabags AfterWet'!$C$3:$C$841,MATCH(J577,'Both teabags AfterWet'!$A$3:$A$841,0)),"")="","",(IFERROR(INDEX('Both teabags AfterWet'!$C$3:$C$841,MATCH(J577,'Both teabags AfterWet'!$A$3:$A$841,0)),"")))</f>
        <v>0.59630000000000005</v>
      </c>
      <c r="P577" s="225">
        <f>IFERROR(IF(O577&gt;0,O577-(TBIcalc!$H$9),""),"")</f>
        <v>0.44570000000000004</v>
      </c>
      <c r="Q577" s="225">
        <f>IFERROR(INDEX('Ashed teabags wet'!$K$2:$K$821,MATCH(J577,'Ashed teabags wet'!$A$2:$A$821,0)),"")</f>
        <v>12.676056338028079</v>
      </c>
      <c r="R577" s="225">
        <f t="shared" si="47"/>
        <v>0.3892028169014089</v>
      </c>
      <c r="S577" s="226">
        <f>'WetLitterbags placem_collection'!E138</f>
        <v>42762</v>
      </c>
      <c r="T577" s="226">
        <f>IF('WetLitterbags placem_collection'!G138="","",'WetLitterbags placem_collection'!G138)</f>
        <v>42816</v>
      </c>
      <c r="U577" s="227">
        <f t="shared" si="43"/>
        <v>54</v>
      </c>
      <c r="V577" s="225">
        <f t="shared" si="45"/>
        <v>1.3485</v>
      </c>
      <c r="W577" s="225">
        <f t="shared" si="46"/>
        <v>1.3060512573241643</v>
      </c>
      <c r="X577">
        <f>IFERROR(INDEX(Rainfall_Wet!$O$2:$O$217,MATCH(B577, Rainfall_Wet!$A$2:$A$217,0)),"")</f>
        <v>206.85140822299999</v>
      </c>
      <c r="Y577" s="231">
        <v>31.214836424255054</v>
      </c>
      <c r="Z577" s="231">
        <v>11.377370285476141</v>
      </c>
      <c r="AA577" s="231">
        <v>57.407793290268799</v>
      </c>
      <c r="AB577" s="232" t="s">
        <v>2670</v>
      </c>
      <c r="AC577" s="231">
        <v>8.7337604731394798</v>
      </c>
      <c r="AD577">
        <f>IF('WetLitterbags placem_collection'!AB138="","",'WetLitterbags placem_collection'!AB138)</f>
        <v>2.2999999999999998</v>
      </c>
      <c r="AE577">
        <f>IF('WetLitterbags placem_collection'!Z138="","",'WetLitterbags placem_collection'!Z138)</f>
        <v>16.3</v>
      </c>
      <c r="AF577" s="246" t="str">
        <f>IF('WetLitterbags placem_collection'!AA138="","",'WetLitterbags placem_collection'!AA138)</f>
        <v>G</v>
      </c>
      <c r="AG577">
        <f>IF('WetLitterbags placem_collection'!AC138="","",'WetLitterbags placem_collection'!AC138)</f>
        <v>1</v>
      </c>
      <c r="AH577" s="24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placem_collection'!X138)),"YES","NO")</f>
        <v>NO</v>
      </c>
      <c r="AM577" t="str">
        <f>IF(ISNUMBER(SEARCH("H", 'WetLitterbags placem_collection'!X138)),"YES","NO")</f>
        <v>NO</v>
      </c>
      <c r="AN577" t="str">
        <f>IF(ISNUMBER(SEARCH("R", 'WetLitterbags placem_collection'!X138)),"YES","NO")</f>
        <v>YES</v>
      </c>
    </row>
    <row r="578" spans="1:40" ht="15" customHeight="1">
      <c r="A578" s="258" t="s">
        <v>2460</v>
      </c>
      <c r="B578" s="263">
        <f>'Dry_Litterbag Placem_Collection'!A139</f>
        <v>137</v>
      </c>
      <c r="C578" s="263" t="str">
        <f>'Dry_Litterbag Placem_Collection'!B139</f>
        <v xml:space="preserve">Mwantimba
</v>
      </c>
      <c r="D578" s="263" t="s">
        <v>2659</v>
      </c>
      <c r="E578" s="263" t="s">
        <v>20</v>
      </c>
      <c r="F578" s="263">
        <v>2</v>
      </c>
      <c r="G578" s="264" t="str">
        <f>'Dry_Litterbag Placem_Collection'!C139</f>
        <v>Wet_P2_T1</v>
      </c>
      <c r="H578" s="273" t="s">
        <v>3651</v>
      </c>
      <c r="I578" s="266" t="s">
        <v>1147</v>
      </c>
      <c r="J578" s="223" t="str">
        <f>'WetLitterbags placem_collection'!O139</f>
        <v>G857</v>
      </c>
      <c r="K578" s="225">
        <f>IFERROR(INDEX('Green_rooibos initial weight'!$C$5:$C$1749,MATCH(J578, 'Green_rooibos initial weight'!$A$5:$A$1749,0)),"")</f>
        <v>1.927</v>
      </c>
      <c r="L578" s="225">
        <f>IFERROR(K578-(TBIcalc!$H$9+TBIcalc!$H$10),"")</f>
        <v>1.6772</v>
      </c>
      <c r="M578" s="391">
        <f>AVERAGE(Ashed_controlls!$K$2:$K$11)</f>
        <v>5.5147656768714146</v>
      </c>
      <c r="N578" s="225">
        <f t="shared" si="44"/>
        <v>1.5847063500675127</v>
      </c>
      <c r="O578" s="225">
        <f>IF(IFERROR(INDEX('Both teabags AfterWet'!$C$3:$C$841,MATCH(J578,'Both teabags AfterWet'!$A$3:$A$841,0)),"")="","",(IFERROR(INDEX('Both teabags AfterWet'!$C$3:$C$841,MATCH(J578,'Both teabags AfterWet'!$A$3:$A$841,0)),"")))</f>
        <v>0.6</v>
      </c>
      <c r="P578" s="225">
        <f>IFERROR(IF(O578&gt;0,O578-(TBIcalc!$H$9),""),"")</f>
        <v>0.44939999999999997</v>
      </c>
      <c r="Q578" s="225">
        <f>IFERROR(INDEX('Ashed teabags wet'!$K$2:$K$821,MATCH(J578,'Ashed teabags wet'!$A$2:$A$821,0)),"")</f>
        <v>14.85963213939962</v>
      </c>
      <c r="R578" s="225">
        <f t="shared" si="47"/>
        <v>0.38262081316553809</v>
      </c>
      <c r="S578" s="226">
        <f>'WetLitterbags placem_collection'!E139</f>
        <v>42762</v>
      </c>
      <c r="T578" s="226">
        <f>IF('WetLitterbags placem_collection'!G139="","",'WetLitterbags placem_collection'!G139)</f>
        <v>42816</v>
      </c>
      <c r="U578" s="227">
        <f t="shared" ref="U578:U641" si="48">IFERROR(T578-S578,"")</f>
        <v>54</v>
      </c>
      <c r="V578" s="225">
        <f t="shared" si="45"/>
        <v>1.2278</v>
      </c>
      <c r="W578" s="225">
        <f t="shared" si="46"/>
        <v>1.2020855369019747</v>
      </c>
      <c r="X578">
        <f>IFERROR(INDEX(Rainfall_Wet!$O$2:$O$217,MATCH(B578, Rainfall_Wet!$A$2:$A$217,0)),"")</f>
        <v>206.85140822299999</v>
      </c>
      <c r="Y578" s="231">
        <v>33.96</v>
      </c>
      <c r="Z578" s="231">
        <v>8.9200000000000017</v>
      </c>
      <c r="AA578" s="231">
        <v>57.12</v>
      </c>
      <c r="AB578" s="232" t="s">
        <v>2670</v>
      </c>
      <c r="AC578" s="231">
        <v>2.072055199605717</v>
      </c>
      <c r="AD578">
        <f>IF('WetLitterbags placem_collection'!AB139="","",'WetLitterbags placem_collection'!AB139)</f>
        <v>1.2</v>
      </c>
      <c r="AE578">
        <f>IF('WetLitterbags placem_collection'!Z139="","",'WetLitterbags placem_collection'!Z139)</f>
        <v>32.4</v>
      </c>
      <c r="AF578" s="246" t="str">
        <f>IF('WetLitterbags placem_collection'!AA139="","",'WetLitterbags placem_collection'!AA139)</f>
        <v>G</v>
      </c>
      <c r="AG578">
        <f>IF('WetLitterbags placem_collection'!AC139="","",'WetLitterbags placem_collection'!AC139)</f>
        <v>1</v>
      </c>
      <c r="AH578" s="24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placem_collection'!X139)),"YES","NO")</f>
        <v>NO</v>
      </c>
      <c r="AM578" t="str">
        <f>IF(ISNUMBER(SEARCH("H", 'WetLitterbags placem_collection'!X139)),"YES","NO")</f>
        <v>NO</v>
      </c>
      <c r="AN578" t="str">
        <f>IF(ISNUMBER(SEARCH("R", 'WetLitterbags placem_collection'!X139)),"YES","NO")</f>
        <v>NO</v>
      </c>
    </row>
    <row r="579" spans="1:40" ht="15" customHeight="1">
      <c r="A579" s="258" t="s">
        <v>2460</v>
      </c>
      <c r="B579" s="263">
        <f>'Dry_Litterbag Placem_Collection'!A140</f>
        <v>138</v>
      </c>
      <c r="C579" s="263" t="str">
        <f>'Dry_Litterbag Placem_Collection'!B140</f>
        <v xml:space="preserve">Mwantimba
</v>
      </c>
      <c r="D579" s="263" t="s">
        <v>2659</v>
      </c>
      <c r="E579" s="263" t="s">
        <v>20</v>
      </c>
      <c r="F579" s="263">
        <v>2</v>
      </c>
      <c r="G579" s="264" t="str">
        <f>'Dry_Litterbag Placem_Collection'!C140</f>
        <v>Wet_P2_T2</v>
      </c>
      <c r="H579" s="273" t="s">
        <v>3651</v>
      </c>
      <c r="I579" s="266" t="s">
        <v>1147</v>
      </c>
      <c r="J579" s="223" t="str">
        <f>'WetLitterbags placem_collection'!O140</f>
        <v>G623</v>
      </c>
      <c r="K579" s="225">
        <f>IFERROR(INDEX('Green_rooibos initial weight'!$C$5:$C$1749,MATCH(J579, 'Green_rooibos initial weight'!$A$5:$A$1749,0)),"")</f>
        <v>2.1040000000000001</v>
      </c>
      <c r="L579" s="225">
        <f>IFERROR(K579-(TBIcalc!$H$9+TBIcalc!$H$10),"")</f>
        <v>1.8542000000000001</v>
      </c>
      <c r="M579" s="391">
        <f>AVERAGE(Ashed_controlls!$K$2:$K$11)</f>
        <v>5.5147656768714146</v>
      </c>
      <c r="N579" s="225">
        <f t="shared" ref="N579:N642" si="49">IFERROR(L579-(M579/100)*L579,"")</f>
        <v>1.7519452148194503</v>
      </c>
      <c r="O579" s="225">
        <f>IF(IFERROR(INDEX('Both teabags AfterWet'!$C$3:$C$841,MATCH(J579,'Both teabags AfterWet'!$A$3:$A$841,0)),"")="","",(IFERROR(INDEX('Both teabags AfterWet'!$C$3:$C$841,MATCH(J579,'Both teabags AfterWet'!$A$3:$A$841,0)),"")))</f>
        <v>0.64800000000000002</v>
      </c>
      <c r="P579" s="225">
        <f>IFERROR(IF(O579&gt;0,O579-(TBIcalc!$H$9),""),"")</f>
        <v>0.49740000000000001</v>
      </c>
      <c r="Q579" s="225">
        <f>IFERROR(INDEX('Ashed teabags wet'!$K$2:$K$821,MATCH(J579,'Ashed teabags wet'!$A$2:$A$821,0)),"")</f>
        <v>12.94176207068146</v>
      </c>
      <c r="R579" s="225">
        <f t="shared" si="47"/>
        <v>0.43302767546043042</v>
      </c>
      <c r="S579" s="226">
        <f>'WetLitterbags placem_collection'!E140</f>
        <v>42762</v>
      </c>
      <c r="T579" s="226">
        <f>IF('WetLitterbags placem_collection'!G140="","",'WetLitterbags placem_collection'!G140)</f>
        <v>42816</v>
      </c>
      <c r="U579" s="227">
        <f t="shared" si="48"/>
        <v>54</v>
      </c>
      <c r="V579" s="225">
        <f t="shared" ref="V579:V642" si="50">IFERROR(L579-P579,"")</f>
        <v>1.3568</v>
      </c>
      <c r="W579" s="225">
        <f t="shared" ref="W579:W642" si="51">IFERROR(N579-R579,"")</f>
        <v>1.31891753935902</v>
      </c>
      <c r="X579">
        <f>IFERROR(INDEX(Rainfall_Wet!$O$2:$O$217,MATCH(B579, Rainfall_Wet!$A$2:$A$217,0)),"")</f>
        <v>206.85140822299999</v>
      </c>
      <c r="Y579" s="231">
        <v>33.96</v>
      </c>
      <c r="Z579" s="231">
        <v>8.9200000000000017</v>
      </c>
      <c r="AA579" s="231">
        <v>57.12</v>
      </c>
      <c r="AB579" s="232" t="s">
        <v>2670</v>
      </c>
      <c r="AC579" s="231">
        <v>3.0720551996057202</v>
      </c>
      <c r="AD579">
        <f>IF('WetLitterbags placem_collection'!AB140="","",'WetLitterbags placem_collection'!AB140)</f>
        <v>2.8</v>
      </c>
      <c r="AE579">
        <f>IF('WetLitterbags placem_collection'!Z140="","",'WetLitterbags placem_collection'!Z140)</f>
        <v>26.4</v>
      </c>
      <c r="AF579" s="246" t="str">
        <f>IF('WetLitterbags placem_collection'!AA140="","",'WetLitterbags placem_collection'!AA140)</f>
        <v>G</v>
      </c>
      <c r="AG579">
        <f>IF('WetLitterbags placem_collection'!AC140="","",'WetLitterbags placem_collection'!AC140)</f>
        <v>1</v>
      </c>
      <c r="AH579" s="24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placem_collection'!X140)),"YES","NO")</f>
        <v>NO</v>
      </c>
      <c r="AM579" t="str">
        <f>IF(ISNUMBER(SEARCH("H", 'WetLitterbags placem_collection'!X140)),"YES","NO")</f>
        <v>NO</v>
      </c>
      <c r="AN579" t="str">
        <f>IF(ISNUMBER(SEARCH("R", 'WetLitterbags placem_collection'!X140)),"YES","NO")</f>
        <v>YES</v>
      </c>
    </row>
    <row r="580" spans="1:40" ht="15" customHeight="1">
      <c r="A580" s="258" t="s">
        <v>2460</v>
      </c>
      <c r="B580" s="263">
        <f>'Dry_Litterbag Placem_Collection'!A141</f>
        <v>139</v>
      </c>
      <c r="C580" s="263" t="str">
        <f>'Dry_Litterbag Placem_Collection'!B141</f>
        <v xml:space="preserve">Mwantimba
</v>
      </c>
      <c r="D580" s="263" t="s">
        <v>2659</v>
      </c>
      <c r="E580" s="263" t="s">
        <v>20</v>
      </c>
      <c r="F580" s="263">
        <v>2</v>
      </c>
      <c r="G580" s="264" t="str">
        <f>'Dry_Litterbag Placem_Collection'!C141</f>
        <v>Wet_P2_T3</v>
      </c>
      <c r="H580" s="273" t="s">
        <v>3651</v>
      </c>
      <c r="I580" s="266" t="s">
        <v>1147</v>
      </c>
      <c r="J580" s="223" t="str">
        <f>'WetLitterbags placem_collection'!O141</f>
        <v>G880</v>
      </c>
      <c r="K580" s="225">
        <f>IFERROR(INDEX('Green_rooibos initial weight'!$C$5:$C$1749,MATCH(J580, 'Green_rooibos initial weight'!$A$5:$A$1749,0)),"")</f>
        <v>2.1030000000000002</v>
      </c>
      <c r="L580" s="225">
        <f>IFERROR(K580-(TBIcalc!$H$9+TBIcalc!$H$10),"")</f>
        <v>1.8532000000000002</v>
      </c>
      <c r="M580" s="391">
        <f>AVERAGE(Ashed_controlls!$K$2:$K$11)</f>
        <v>5.5147656768714146</v>
      </c>
      <c r="N580" s="225">
        <f t="shared" si="49"/>
        <v>1.7510003624762192</v>
      </c>
      <c r="O580" s="225">
        <f>IF(IFERROR(INDEX('Both teabags AfterWet'!$C$3:$C$841,MATCH(J580,'Both teabags AfterWet'!$A$3:$A$841,0)),"")="","",(IFERROR(INDEX('Both teabags AfterWet'!$C$3:$C$841,MATCH(J580,'Both teabags AfterWet'!$A$3:$A$841,0)),"")))</f>
        <v>0.73599999999999999</v>
      </c>
      <c r="P580" s="225">
        <f>IFERROR(IF(O580&gt;0,O580-(TBIcalc!$H$9),""),"")</f>
        <v>0.58539999999999992</v>
      </c>
      <c r="Q580" s="225">
        <f>IFERROR(INDEX('Ashed teabags wet'!$K$2:$K$821,MATCH(J580,'Ashed teabags wet'!$A$2:$A$821,0)),"")</f>
        <v>26.073926073925342</v>
      </c>
      <c r="R580" s="225">
        <f t="shared" si="47"/>
        <v>0.43276323676324102</v>
      </c>
      <c r="S580" s="226">
        <f>'WetLitterbags placem_collection'!E141</f>
        <v>42762</v>
      </c>
      <c r="T580" s="226">
        <f>IF('WetLitterbags placem_collection'!G141="","",'WetLitterbags placem_collection'!G141)</f>
        <v>42816</v>
      </c>
      <c r="U580" s="227">
        <f t="shared" si="48"/>
        <v>54</v>
      </c>
      <c r="V580" s="225">
        <f t="shared" si="50"/>
        <v>1.2678000000000003</v>
      </c>
      <c r="W580" s="225">
        <f t="shared" si="51"/>
        <v>1.3182371257129781</v>
      </c>
      <c r="X580">
        <f>IFERROR(INDEX(Rainfall_Wet!$O$2:$O$217,MATCH(B580, Rainfall_Wet!$A$2:$A$217,0)),"")</f>
        <v>206.85140822299999</v>
      </c>
      <c r="Y580" s="231">
        <v>33.96</v>
      </c>
      <c r="Z580" s="231">
        <v>8.9200000000000017</v>
      </c>
      <c r="AA580" s="231">
        <v>57.12</v>
      </c>
      <c r="AB580" s="232" t="s">
        <v>2670</v>
      </c>
      <c r="AC580" s="231">
        <v>4.0720551996057202</v>
      </c>
      <c r="AD580">
        <f>IF('WetLitterbags placem_collection'!AB141="","",'WetLitterbags placem_collection'!AB141)</f>
        <v>5.7</v>
      </c>
      <c r="AE580">
        <f>IF('WetLitterbags placem_collection'!Z141="","",'WetLitterbags placem_collection'!Z141)</f>
        <v>19.399999999999999</v>
      </c>
      <c r="AF580" s="246" t="str">
        <f>IF('WetLitterbags placem_collection'!AA141="","",'WetLitterbags placem_collection'!AA141)</f>
        <v>G</v>
      </c>
      <c r="AG580">
        <f>IF('WetLitterbags placem_collection'!AC141="","",'WetLitterbags placem_collection'!AC141)</f>
        <v>1</v>
      </c>
      <c r="AH580" s="24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placem_collection'!X141)),"YES","NO")</f>
        <v>NO</v>
      </c>
      <c r="AM580" t="str">
        <f>IF(ISNUMBER(SEARCH("H", 'WetLitterbags placem_collection'!X141)),"YES","NO")</f>
        <v>NO</v>
      </c>
      <c r="AN580" t="str">
        <f>IF(ISNUMBER(SEARCH("R", 'WetLitterbags placem_collection'!X141)),"YES","NO")</f>
        <v>YES</v>
      </c>
    </row>
    <row r="581" spans="1:40" ht="15" customHeight="1">
      <c r="A581" s="258" t="s">
        <v>2460</v>
      </c>
      <c r="B581" s="263">
        <f>'Dry_Litterbag Placem_Collection'!A142</f>
        <v>140</v>
      </c>
      <c r="C581" s="263" t="str">
        <f>'Dry_Litterbag Placem_Collection'!B142</f>
        <v xml:space="preserve">Mwantimba
</v>
      </c>
      <c r="D581" s="263" t="s">
        <v>2659</v>
      </c>
      <c r="E581" s="263" t="s">
        <v>20</v>
      </c>
      <c r="F581" s="263">
        <v>2</v>
      </c>
      <c r="G581" s="264" t="str">
        <f>'Dry_Litterbag Placem_Collection'!C142</f>
        <v>Wet_P2_T4</v>
      </c>
      <c r="H581" s="273" t="s">
        <v>3651</v>
      </c>
      <c r="I581" s="266" t="s">
        <v>1147</v>
      </c>
      <c r="J581" s="223" t="str">
        <f>'WetLitterbags placem_collection'!O142</f>
        <v>G706</v>
      </c>
      <c r="K581" s="225">
        <f>IFERROR(INDEX('Green_rooibos initial weight'!$C$5:$C$1749,MATCH(J581, 'Green_rooibos initial weight'!$A$5:$A$1749,0)),"")</f>
        <v>1.9450000000000001</v>
      </c>
      <c r="L581" s="225">
        <f>IFERROR(K581-(TBIcalc!$H$9+TBIcalc!$H$10),"")</f>
        <v>1.6952</v>
      </c>
      <c r="M581" s="391">
        <f>AVERAGE(Ashed_controlls!$K$2:$K$11)</f>
        <v>5.5147656768714146</v>
      </c>
      <c r="N581" s="225">
        <f t="shared" si="49"/>
        <v>1.6017136922456758</v>
      </c>
      <c r="O581" s="225">
        <f>IF(IFERROR(INDEX('Both teabags AfterWet'!$C$3:$C$841,MATCH(J581,'Both teabags AfterWet'!$A$3:$A$841,0)),"")="","",(IFERROR(INDEX('Both teabags AfterWet'!$C$3:$C$841,MATCH(J581,'Both teabags AfterWet'!$A$3:$A$841,0)),"")))</f>
        <v>0.60780000000000001</v>
      </c>
      <c r="P581" s="225">
        <f>IFERROR(IF(O581&gt;0,O581-(TBIcalc!$H$9),""),"")</f>
        <v>0.4572</v>
      </c>
      <c r="Q581" s="225">
        <f>IFERROR(INDEX('Ashed teabags wet'!$K$2:$K$821,MATCH(J581,'Ashed teabags wet'!$A$2:$A$821,0)),"")</f>
        <v>17.486338797814145</v>
      </c>
      <c r="R581" s="225">
        <f t="shared" si="47"/>
        <v>0.3772524590163937</v>
      </c>
      <c r="S581" s="226">
        <f>'WetLitterbags placem_collection'!E142</f>
        <v>42762</v>
      </c>
      <c r="T581" s="226">
        <f>IF('WetLitterbags placem_collection'!G142="","",'WetLitterbags placem_collection'!G142)</f>
        <v>42816</v>
      </c>
      <c r="U581" s="227">
        <f t="shared" si="48"/>
        <v>54</v>
      </c>
      <c r="V581" s="225">
        <f t="shared" si="50"/>
        <v>1.238</v>
      </c>
      <c r="W581" s="225">
        <f t="shared" si="51"/>
        <v>1.2244612332292821</v>
      </c>
      <c r="X581">
        <f>IFERROR(INDEX(Rainfall_Wet!$O$2:$O$217,MATCH(B581, Rainfall_Wet!$A$2:$A$217,0)),"")</f>
        <v>206.85140822299999</v>
      </c>
      <c r="Y581" s="231">
        <v>33.96</v>
      </c>
      <c r="Z581" s="231">
        <v>8.9200000000000017</v>
      </c>
      <c r="AA581" s="231">
        <v>57.12</v>
      </c>
      <c r="AB581" s="232" t="s">
        <v>2670</v>
      </c>
      <c r="AC581" s="231">
        <v>5.0720551996057202</v>
      </c>
      <c r="AD581">
        <f>IF('WetLitterbags placem_collection'!AB142="","",'WetLitterbags placem_collection'!AB142)</f>
        <v>1.4</v>
      </c>
      <c r="AE581">
        <f>IF('WetLitterbags placem_collection'!Z142="","",'WetLitterbags placem_collection'!Z142)</f>
        <v>33.4</v>
      </c>
      <c r="AF581" s="246" t="str">
        <f>IF('WetLitterbags placem_collection'!AA142="","",'WetLitterbags placem_collection'!AA142)</f>
        <v>G</v>
      </c>
      <c r="AG581">
        <f>IF('WetLitterbags placem_collection'!AC142="","",'WetLitterbags placem_collection'!AC142)</f>
        <v>1</v>
      </c>
      <c r="AH581" s="24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placem_collection'!X142)),"YES","NO")</f>
        <v>NO</v>
      </c>
      <c r="AM581" t="str">
        <f>IF(ISNUMBER(SEARCH("H", 'WetLitterbags placem_collection'!X142)),"YES","NO")</f>
        <v>NO</v>
      </c>
      <c r="AN581" t="str">
        <f>IF(ISNUMBER(SEARCH("R", 'WetLitterbags placem_collection'!X142)),"YES","NO")</f>
        <v>NO</v>
      </c>
    </row>
    <row r="582" spans="1:40" ht="15" customHeight="1">
      <c r="A582" s="258" t="s">
        <v>2460</v>
      </c>
      <c r="B582" s="263">
        <f>'Dry_Litterbag Placem_Collection'!A143</f>
        <v>141</v>
      </c>
      <c r="C582" s="263" t="str">
        <f>'Dry_Litterbag Placem_Collection'!B143</f>
        <v xml:space="preserve">Mwantimba
</v>
      </c>
      <c r="D582" s="263" t="s">
        <v>2659</v>
      </c>
      <c r="E582" s="263" t="s">
        <v>20</v>
      </c>
      <c r="F582" s="263">
        <v>2</v>
      </c>
      <c r="G582" s="264" t="str">
        <f>'Dry_Litterbag Placem_Collection'!C143</f>
        <v>Wet_P2_T5</v>
      </c>
      <c r="H582" s="273" t="s">
        <v>3651</v>
      </c>
      <c r="I582" s="266" t="s">
        <v>1147</v>
      </c>
      <c r="J582" s="223" t="str">
        <f>'WetLitterbags placem_collection'!O143</f>
        <v>G775</v>
      </c>
      <c r="K582" s="225">
        <f>IFERROR(INDEX('Green_rooibos initial weight'!$C$5:$C$1749,MATCH(J582, 'Green_rooibos initial weight'!$A$5:$A$1749,0)),"")</f>
        <v>2.1389999999999998</v>
      </c>
      <c r="L582" s="225">
        <f>IFERROR(K582-(TBIcalc!$H$9+TBIcalc!$H$10),"")</f>
        <v>1.8891999999999998</v>
      </c>
      <c r="M582" s="391">
        <f>AVERAGE(Ashed_controlls!$K$2:$K$11)</f>
        <v>5.5147656768714146</v>
      </c>
      <c r="N582" s="225">
        <f t="shared" si="49"/>
        <v>1.785015046832545</v>
      </c>
      <c r="O582" s="225">
        <f>IF(IFERROR(INDEX('Both teabags AfterWet'!$C$3:$C$841,MATCH(J582,'Both teabags AfterWet'!$A$3:$A$841,0)),"")="","",(IFERROR(INDEX('Both teabags AfterWet'!$C$3:$C$841,MATCH(J582,'Both teabags AfterWet'!$A$3:$A$841,0)),"")))</f>
        <v>0.69099999999999995</v>
      </c>
      <c r="P582" s="225">
        <f>IFERROR(IF(O582&gt;0,O582-(TBIcalc!$H$9),""),"")</f>
        <v>0.54039999999999999</v>
      </c>
      <c r="Q582" s="225">
        <f>IFERROR(INDEX('Ashed teabags wet'!$K$2:$K$821,MATCH(J582,'Ashed teabags wet'!$A$2:$A$821,0)),"")</f>
        <v>23.031496062992296</v>
      </c>
      <c r="R582" s="225">
        <f t="shared" si="47"/>
        <v>0.41593779527558961</v>
      </c>
      <c r="S582" s="226">
        <f>'WetLitterbags placem_collection'!E143</f>
        <v>42762</v>
      </c>
      <c r="T582" s="226">
        <f>IF('WetLitterbags placem_collection'!G143="","",'WetLitterbags placem_collection'!G143)</f>
        <v>42816</v>
      </c>
      <c r="U582" s="227">
        <f t="shared" si="48"/>
        <v>54</v>
      </c>
      <c r="V582" s="225">
        <f t="shared" si="50"/>
        <v>1.3487999999999998</v>
      </c>
      <c r="W582" s="225">
        <f t="shared" si="51"/>
        <v>1.3690772515569554</v>
      </c>
      <c r="X582">
        <f>IFERROR(INDEX(Rainfall_Wet!$O$2:$O$217,MATCH(B582, Rainfall_Wet!$A$2:$A$217,0)),"")</f>
        <v>206.85140822299999</v>
      </c>
      <c r="Y582" s="231">
        <v>33.96</v>
      </c>
      <c r="Z582" s="231">
        <v>8.9200000000000017</v>
      </c>
      <c r="AA582" s="231">
        <v>57.12</v>
      </c>
      <c r="AB582" s="232" t="s">
        <v>2670</v>
      </c>
      <c r="AC582" s="231">
        <v>6.0720551996057202</v>
      </c>
      <c r="AD582">
        <f>IF('WetLitterbags placem_collection'!AB143="","",'WetLitterbags placem_collection'!AB143)</f>
        <v>1.4</v>
      </c>
      <c r="AE582">
        <f>IF('WetLitterbags placem_collection'!Z143="","",'WetLitterbags placem_collection'!Z143)</f>
        <v>28.4</v>
      </c>
      <c r="AF582" s="246" t="str">
        <f>IF('WetLitterbags placem_collection'!AA143="","",'WetLitterbags placem_collection'!AA143)</f>
        <v>G</v>
      </c>
      <c r="AG582">
        <f>IF('WetLitterbags placem_collection'!AC143="","",'WetLitterbags placem_collection'!AC143)</f>
        <v>1</v>
      </c>
      <c r="AH582" s="24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placem_collection'!X143)),"YES","NO")</f>
        <v>NO</v>
      </c>
      <c r="AM582" t="str">
        <f>IF(ISNUMBER(SEARCH("H", 'WetLitterbags placem_collection'!X143)),"YES","NO")</f>
        <v>NO</v>
      </c>
      <c r="AN582" t="str">
        <f>IF(ISNUMBER(SEARCH("R", 'WetLitterbags placem_collection'!X143)),"YES","NO")</f>
        <v>NO</v>
      </c>
    </row>
    <row r="583" spans="1:40" ht="15" customHeight="1">
      <c r="A583" s="258" t="s">
        <v>2460</v>
      </c>
      <c r="B583" s="263">
        <f>'Dry_Litterbag Placem_Collection'!A144</f>
        <v>142</v>
      </c>
      <c r="C583" s="263" t="str">
        <f>'Dry_Litterbag Placem_Collection'!B144</f>
        <v xml:space="preserve">Mwantimba
</v>
      </c>
      <c r="D583" s="263" t="s">
        <v>2659</v>
      </c>
      <c r="E583" s="263" t="s">
        <v>20</v>
      </c>
      <c r="F583" s="263">
        <v>2</v>
      </c>
      <c r="G583" s="264" t="str">
        <f>'Dry_Litterbag Placem_Collection'!C144</f>
        <v>Wet_P2_T6</v>
      </c>
      <c r="H583" s="273" t="s">
        <v>3651</v>
      </c>
      <c r="I583" s="266" t="s">
        <v>1147</v>
      </c>
      <c r="J583" s="223" t="str">
        <f>'WetLitterbags placem_collection'!O144</f>
        <v>G850</v>
      </c>
      <c r="K583" s="225">
        <f>IFERROR(INDEX('Green_rooibos initial weight'!$C$5:$C$1749,MATCH(J583, 'Green_rooibos initial weight'!$A$5:$A$1749,0)),"")</f>
        <v>2.0379999999999998</v>
      </c>
      <c r="L583" s="225">
        <f>IFERROR(K583-(TBIcalc!$H$9+TBIcalc!$H$10),"")</f>
        <v>1.7881999999999998</v>
      </c>
      <c r="M583" s="391">
        <f>AVERAGE(Ashed_controlls!$K$2:$K$11)</f>
        <v>5.5147656768714146</v>
      </c>
      <c r="N583" s="225">
        <f t="shared" si="49"/>
        <v>1.6895849601661852</v>
      </c>
      <c r="O583" s="225">
        <f>IF(IFERROR(INDEX('Both teabags AfterWet'!$C$3:$C$841,MATCH(J583,'Both teabags AfterWet'!$A$3:$A$841,0)),"")="","",(IFERROR(INDEX('Both teabags AfterWet'!$C$3:$C$841,MATCH(J583,'Both teabags AfterWet'!$A$3:$A$841,0)),"")))</f>
        <v>0.78500000000000003</v>
      </c>
      <c r="P583" s="225">
        <f>IFERROR(IF(O583&gt;0,O583-(TBIcalc!$H$9),""),"")</f>
        <v>0.63440000000000007</v>
      </c>
      <c r="Q583" s="225">
        <f>IFERROR(INDEX('Ashed teabags wet'!$K$2:$K$821,MATCH(J583,'Ashed teabags wet'!$A$2:$A$821,0)),"")</f>
        <v>14.780029658923441</v>
      </c>
      <c r="R583" s="225">
        <f t="shared" si="47"/>
        <v>0.54063549184378978</v>
      </c>
      <c r="S583" s="226">
        <f>'WetLitterbags placem_collection'!E144</f>
        <v>42762</v>
      </c>
      <c r="T583" s="226">
        <f>IF('WetLitterbags placem_collection'!G144="","",'WetLitterbags placem_collection'!G144)</f>
        <v>42816</v>
      </c>
      <c r="U583" s="227">
        <f t="shared" si="48"/>
        <v>54</v>
      </c>
      <c r="V583" s="225">
        <f t="shared" si="50"/>
        <v>1.1537999999999997</v>
      </c>
      <c r="W583" s="225">
        <f t="shared" si="51"/>
        <v>1.1489494683223955</v>
      </c>
      <c r="X583">
        <f>IFERROR(INDEX(Rainfall_Wet!$O$2:$O$217,MATCH(B583, Rainfall_Wet!$A$2:$A$217,0)),"")</f>
        <v>206.85140822299999</v>
      </c>
      <c r="Y583" s="231">
        <v>33.96</v>
      </c>
      <c r="Z583" s="231">
        <v>8.9200000000000017</v>
      </c>
      <c r="AA583" s="231">
        <v>57.12</v>
      </c>
      <c r="AB583" s="232" t="s">
        <v>2670</v>
      </c>
      <c r="AC583" s="231">
        <v>7.0720551996057202</v>
      </c>
      <c r="AD583">
        <f>IF('WetLitterbags placem_collection'!AB144="","",'WetLitterbags placem_collection'!AB144)</f>
        <v>1.7</v>
      </c>
      <c r="AE583">
        <f>IF('WetLitterbags placem_collection'!Z144="","",'WetLitterbags placem_collection'!Z144)</f>
        <v>33.799999999999997</v>
      </c>
      <c r="AF583" s="246" t="str">
        <f>IF('WetLitterbags placem_collection'!AA144="","",'WetLitterbags placem_collection'!AA144)</f>
        <v>G</v>
      </c>
      <c r="AG583">
        <f>IF('WetLitterbags placem_collection'!AC144="","",'WetLitterbags placem_collection'!AC144)</f>
        <v>1</v>
      </c>
      <c r="AH583" s="24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placem_collection'!X144)),"YES","NO")</f>
        <v>NO</v>
      </c>
      <c r="AM583" t="str">
        <f>IF(ISNUMBER(SEARCH("H", 'WetLitterbags placem_collection'!X144)),"YES","NO")</f>
        <v>NO</v>
      </c>
      <c r="AN583" t="str">
        <f>IF(ISNUMBER(SEARCH("R", 'WetLitterbags placem_collection'!X144)),"YES","NO")</f>
        <v>NO</v>
      </c>
    </row>
    <row r="584" spans="1:40" ht="15" customHeight="1">
      <c r="A584" s="258" t="s">
        <v>2460</v>
      </c>
      <c r="B584" s="263">
        <f>'Dry_Litterbag Placem_Collection'!A145</f>
        <v>143</v>
      </c>
      <c r="C584" s="263" t="str">
        <f>'Dry_Litterbag Placem_Collection'!B145</f>
        <v xml:space="preserve">Mwantimba
</v>
      </c>
      <c r="D584" s="263" t="s">
        <v>2659</v>
      </c>
      <c r="E584" s="263" t="s">
        <v>20</v>
      </c>
      <c r="F584" s="263">
        <v>2</v>
      </c>
      <c r="G584" s="264" t="str">
        <f>'Dry_Litterbag Placem_Collection'!C145</f>
        <v>Wet_P2_T7</v>
      </c>
      <c r="H584" s="273" t="s">
        <v>3651</v>
      </c>
      <c r="I584" s="266" t="s">
        <v>1147</v>
      </c>
      <c r="J584" s="223" t="str">
        <f>'WetLitterbags placem_collection'!O145</f>
        <v>G697</v>
      </c>
      <c r="K584" s="225">
        <f>IFERROR(INDEX('Green_rooibos initial weight'!$C$5:$C$1749,MATCH(J584, 'Green_rooibos initial weight'!$A$5:$A$1749,0)),"")</f>
        <v>2.1110000000000002</v>
      </c>
      <c r="L584" s="225">
        <f>IFERROR(K584-(TBIcalc!$H$9+TBIcalc!$H$10),"")</f>
        <v>1.8612000000000002</v>
      </c>
      <c r="M584" s="391">
        <f>AVERAGE(Ashed_controlls!$K$2:$K$11)</f>
        <v>5.5147656768714146</v>
      </c>
      <c r="N584" s="225">
        <f t="shared" si="49"/>
        <v>1.7585591812220693</v>
      </c>
      <c r="O584" s="225">
        <f>IF(IFERROR(INDEX('Both teabags AfterWet'!$C$3:$C$841,MATCH(J584,'Both teabags AfterWet'!$A$3:$A$841,0)),"")="","",(IFERROR(INDEX('Both teabags AfterWet'!$C$3:$C$841,MATCH(J584,'Both teabags AfterWet'!$A$3:$A$841,0)),"")))</f>
        <v>0.67500000000000004</v>
      </c>
      <c r="P584" s="225">
        <f>IFERROR(IF(O584&gt;0,O584-(TBIcalc!$H$9),""),"")</f>
        <v>0.52439999999999998</v>
      </c>
      <c r="Q584" s="225">
        <f>IFERROR(INDEX('Ashed teabags wet'!$K$2:$K$821,MATCH(J584,'Ashed teabags wet'!$A$2:$A$821,0)),"")</f>
        <v>17.52988047808789</v>
      </c>
      <c r="R584" s="225">
        <f t="shared" si="47"/>
        <v>0.43247330677290707</v>
      </c>
      <c r="S584" s="226">
        <f>'WetLitterbags placem_collection'!E145</f>
        <v>42762</v>
      </c>
      <c r="T584" s="226">
        <f>IF('WetLitterbags placem_collection'!G145="","",'WetLitterbags placem_collection'!G145)</f>
        <v>42816</v>
      </c>
      <c r="U584" s="227">
        <f t="shared" si="48"/>
        <v>54</v>
      </c>
      <c r="V584" s="225">
        <f t="shared" si="50"/>
        <v>1.3368000000000002</v>
      </c>
      <c r="W584" s="225">
        <f t="shared" si="51"/>
        <v>1.3260858744491624</v>
      </c>
      <c r="X584">
        <f>IFERROR(INDEX(Rainfall_Wet!$O$2:$O$217,MATCH(B584, Rainfall_Wet!$A$2:$A$217,0)),"")</f>
        <v>206.85140822299999</v>
      </c>
      <c r="Y584" s="231">
        <v>33.96</v>
      </c>
      <c r="Z584" s="231">
        <v>8.9200000000000017</v>
      </c>
      <c r="AA584" s="231">
        <v>57.12</v>
      </c>
      <c r="AB584" s="232" t="s">
        <v>2670</v>
      </c>
      <c r="AC584" s="231">
        <v>8.0720551996057193</v>
      </c>
      <c r="AD584">
        <f>IF('WetLitterbags placem_collection'!AB145="","",'WetLitterbags placem_collection'!AB145)</f>
        <v>2</v>
      </c>
      <c r="AE584">
        <f>IF('WetLitterbags placem_collection'!Z145="","",'WetLitterbags placem_collection'!Z145)</f>
        <v>23.4</v>
      </c>
      <c r="AF584" s="246" t="str">
        <f>IF('WetLitterbags placem_collection'!AA145="","",'WetLitterbags placem_collection'!AA145)</f>
        <v>G</v>
      </c>
      <c r="AG584">
        <f>IF('WetLitterbags placem_collection'!AC145="","",'WetLitterbags placem_collection'!AC145)</f>
        <v>1</v>
      </c>
      <c r="AH584" s="24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placem_collection'!X145)),"YES","NO")</f>
        <v>NO</v>
      </c>
      <c r="AM584" t="str">
        <f>IF(ISNUMBER(SEARCH("H", 'WetLitterbags placem_collection'!X145)),"YES","NO")</f>
        <v>NO</v>
      </c>
      <c r="AN584" t="str">
        <f>IF(ISNUMBER(SEARCH("R", 'WetLitterbags placem_collection'!X145)),"YES","NO")</f>
        <v>YES</v>
      </c>
    </row>
    <row r="585" spans="1:40" ht="15" customHeight="1">
      <c r="A585" s="258" t="s">
        <v>2460</v>
      </c>
      <c r="B585" s="263">
        <f>'Dry_Litterbag Placem_Collection'!A146</f>
        <v>144</v>
      </c>
      <c r="C585" s="263" t="str">
        <f>'Dry_Litterbag Placem_Collection'!B146</f>
        <v xml:space="preserve">Mwantimba
</v>
      </c>
      <c r="D585" s="263" t="s">
        <v>2659</v>
      </c>
      <c r="E585" s="263" t="s">
        <v>20</v>
      </c>
      <c r="F585" s="263">
        <v>2</v>
      </c>
      <c r="G585" s="264" t="str">
        <f>'Dry_Litterbag Placem_Collection'!C146</f>
        <v>Wet_P2_T8</v>
      </c>
      <c r="H585" s="273" t="s">
        <v>3651</v>
      </c>
      <c r="I585" s="266" t="s">
        <v>1147</v>
      </c>
      <c r="J585" s="223" t="str">
        <f>'WetLitterbags placem_collection'!O146</f>
        <v>G894</v>
      </c>
      <c r="K585" s="225">
        <f>IFERROR(INDEX('Green_rooibos initial weight'!$C$5:$C$1749,MATCH(J585, 'Green_rooibos initial weight'!$A$5:$A$1749,0)),"")</f>
        <v>1.9630000000000001</v>
      </c>
      <c r="L585" s="225">
        <f>IFERROR(K585-(TBIcalc!$H$9+TBIcalc!$H$10),"")</f>
        <v>1.7132000000000001</v>
      </c>
      <c r="M585" s="391">
        <f>AVERAGE(Ashed_controlls!$K$2:$K$11)</f>
        <v>5.5147656768714146</v>
      </c>
      <c r="N585" s="225">
        <f t="shared" si="49"/>
        <v>1.618721034423839</v>
      </c>
      <c r="O585" s="225">
        <f>IF(IFERROR(INDEX('Both teabags AfterWet'!$C$3:$C$841,MATCH(J585,'Both teabags AfterWet'!$A$3:$A$841,0)),"")="","",(IFERROR(INDEX('Both teabags AfterWet'!$C$3:$C$841,MATCH(J585,'Both teabags AfterWet'!$A$3:$A$841,0)),"")))</f>
        <v>0.68200000000000005</v>
      </c>
      <c r="P585" s="225">
        <f>IFERROR(IF(O585&gt;0,O585-(TBIcalc!$H$9),""),"")</f>
        <v>0.53140000000000009</v>
      </c>
      <c r="Q585" s="225">
        <f>IFERROR(INDEX('Ashed teabags wet'!$K$2:$K$821,MATCH(J585,'Ashed teabags wet'!$A$2:$A$821,0)),"")</f>
        <v>21.010901883052647</v>
      </c>
      <c r="R585" s="225">
        <f t="shared" si="47"/>
        <v>0.41974806739345832</v>
      </c>
      <c r="S585" s="226">
        <f>'WetLitterbags placem_collection'!E146</f>
        <v>42762</v>
      </c>
      <c r="T585" s="226">
        <f>IF('WetLitterbags placem_collection'!G146="","",'WetLitterbags placem_collection'!G146)</f>
        <v>42816</v>
      </c>
      <c r="U585" s="227">
        <f t="shared" si="48"/>
        <v>54</v>
      </c>
      <c r="V585" s="225">
        <f t="shared" si="50"/>
        <v>1.1818</v>
      </c>
      <c r="W585" s="225">
        <f t="shared" si="51"/>
        <v>1.1989729670303806</v>
      </c>
      <c r="X585">
        <f>IFERROR(INDEX(Rainfall_Wet!$O$2:$O$217,MATCH(B585, Rainfall_Wet!$A$2:$A$217,0)),"")</f>
        <v>206.85140822299999</v>
      </c>
      <c r="Y585" s="231">
        <v>33.96</v>
      </c>
      <c r="Z585" s="231">
        <v>8.9200000000000017</v>
      </c>
      <c r="AA585" s="231">
        <v>57.12</v>
      </c>
      <c r="AB585" s="232" t="s">
        <v>2670</v>
      </c>
      <c r="AC585" s="231">
        <v>9.0720551996057193</v>
      </c>
      <c r="AD585">
        <f>IF('WetLitterbags placem_collection'!AB146="","",'WetLitterbags placem_collection'!AB146)</f>
        <v>2.5</v>
      </c>
      <c r="AE585">
        <f>IF('WetLitterbags placem_collection'!Z146="","",'WetLitterbags placem_collection'!Z146)</f>
        <v>19.8</v>
      </c>
      <c r="AF585" s="246" t="str">
        <f>IF('WetLitterbags placem_collection'!AA146="","",'WetLitterbags placem_collection'!AA146)</f>
        <v>G</v>
      </c>
      <c r="AG585">
        <f>IF('WetLitterbags placem_collection'!AC146="","",'WetLitterbags placem_collection'!AC146)</f>
        <v>1</v>
      </c>
      <c r="AH585" s="24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placem_collection'!X146)),"YES","NO")</f>
        <v>NO</v>
      </c>
      <c r="AM585" t="str">
        <f>IF(ISNUMBER(SEARCH("H", 'WetLitterbags placem_collection'!X146)),"YES","NO")</f>
        <v>NO</v>
      </c>
      <c r="AN585" t="str">
        <f>IF(ISNUMBER(SEARCH("R", 'WetLitterbags placem_collection'!X146)),"YES","NO")</f>
        <v>YES</v>
      </c>
    </row>
    <row r="586" spans="1:40" ht="15" customHeight="1">
      <c r="A586" s="258" t="s">
        <v>2460</v>
      </c>
      <c r="B586" s="263">
        <f>'Dry_Litterbag Placem_Collection'!A147</f>
        <v>145</v>
      </c>
      <c r="C586" s="263" t="str">
        <f>'Dry_Litterbag Placem_Collection'!B147</f>
        <v xml:space="preserve">Mwantimba
</v>
      </c>
      <c r="D586" s="263" t="s">
        <v>2659</v>
      </c>
      <c r="E586" s="263" t="s">
        <v>20</v>
      </c>
      <c r="F586" s="263">
        <v>3</v>
      </c>
      <c r="G586" s="264" t="str">
        <f>'Dry_Litterbag Placem_Collection'!C147</f>
        <v>Wet_P3_T1</v>
      </c>
      <c r="H586" s="273" t="s">
        <v>3651</v>
      </c>
      <c r="I586" s="266" t="s">
        <v>1147</v>
      </c>
      <c r="J586" s="223" t="str">
        <f>'WetLitterbags placem_collection'!O147</f>
        <v>G653</v>
      </c>
      <c r="K586" s="225">
        <f>IFERROR(INDEX('Green_rooibos initial weight'!$C$5:$C$1749,MATCH(J586, 'Green_rooibos initial weight'!$A$5:$A$1749,0)),"")</f>
        <v>2.089</v>
      </c>
      <c r="L586" s="225">
        <f>IFERROR(K586-(TBIcalc!$H$9+TBIcalc!$H$10),"")</f>
        <v>1.8391999999999999</v>
      </c>
      <c r="M586" s="391">
        <f>AVERAGE(Ashed_controlls!$K$2:$K$11)</f>
        <v>5.5147656768714146</v>
      </c>
      <c r="N586" s="225">
        <f t="shared" si="49"/>
        <v>1.7377724296709809</v>
      </c>
      <c r="O586" s="225">
        <f>IF(IFERROR(INDEX('Both teabags AfterWet'!$C$3:$C$841,MATCH(J586,'Both teabags AfterWet'!$A$3:$A$841,0)),"")="","",(IFERROR(INDEX('Both teabags AfterWet'!$C$3:$C$841,MATCH(J586,'Both teabags AfterWet'!$A$3:$A$841,0)),"")))</f>
        <v>0.69799999999999995</v>
      </c>
      <c r="P586" s="225">
        <f>IFERROR(IF(O586&gt;0,O586-(TBIcalc!$H$9),""),"")</f>
        <v>0.54739999999999989</v>
      </c>
      <c r="Q586" s="225">
        <f>IFERROR(INDEX('Ashed teabags wet'!$K$2:$K$821,MATCH(J586,'Ashed teabags wet'!$A$2:$A$821,0)),"")</f>
        <v>19.630709426627803</v>
      </c>
      <c r="R586" s="225">
        <f t="shared" si="47"/>
        <v>0.43994149659863935</v>
      </c>
      <c r="S586" s="226">
        <f>'WetLitterbags placem_collection'!E147</f>
        <v>42762</v>
      </c>
      <c r="T586" s="226">
        <f>IF('WetLitterbags placem_collection'!G147="","",'WetLitterbags placem_collection'!G147)</f>
        <v>42815</v>
      </c>
      <c r="U586" s="227">
        <f t="shared" si="48"/>
        <v>53</v>
      </c>
      <c r="V586" s="225">
        <f t="shared" si="50"/>
        <v>1.2918000000000001</v>
      </c>
      <c r="W586" s="225">
        <f t="shared" si="51"/>
        <v>1.2978309330723414</v>
      </c>
      <c r="X586">
        <f>IFERROR(INDEX(Rainfall_Wet!$O$2:$O$217,MATCH(B586, Rainfall_Wet!$A$2:$A$217,0)),"")</f>
        <v>205.76139209600001</v>
      </c>
      <c r="Y586" s="231">
        <v>39.96</v>
      </c>
      <c r="Z586" s="231">
        <v>12.920000000000002</v>
      </c>
      <c r="AA586" s="231">
        <v>47.12</v>
      </c>
      <c r="AB586" s="232" t="s">
        <v>2674</v>
      </c>
      <c r="AC586" s="231">
        <v>1.6549531789058647</v>
      </c>
      <c r="AD586">
        <f>IF('WetLitterbags placem_collection'!AB147="","",'WetLitterbags placem_collection'!AB147)</f>
        <v>3.95</v>
      </c>
      <c r="AE586">
        <f>IF('WetLitterbags placem_collection'!Z147="","",'WetLitterbags placem_collection'!Z147)</f>
        <v>13</v>
      </c>
      <c r="AF586" s="246" t="str">
        <f>IF('WetLitterbags placem_collection'!AA147="","",'WetLitterbags placem_collection'!AA147)</f>
        <v>O</v>
      </c>
      <c r="AG586">
        <f>IF('WetLitterbags placem_collection'!AC147="","",'WetLitterbags placem_collection'!AC147)</f>
        <v>0</v>
      </c>
      <c r="AH586" s="24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placem_collection'!X147)),"YES","NO")</f>
        <v>NO</v>
      </c>
      <c r="AM586" t="str">
        <f>IF(ISNUMBER(SEARCH("H", 'WetLitterbags placem_collection'!X147)),"YES","NO")</f>
        <v>NO</v>
      </c>
      <c r="AN586" t="str">
        <f>IF(ISNUMBER(SEARCH("R", 'WetLitterbags placem_collection'!X147)),"YES","NO")</f>
        <v>NO</v>
      </c>
    </row>
    <row r="587" spans="1:40" ht="15" customHeight="1">
      <c r="A587" s="258" t="s">
        <v>2460</v>
      </c>
      <c r="B587" s="263">
        <f>'Dry_Litterbag Placem_Collection'!A148</f>
        <v>146</v>
      </c>
      <c r="C587" s="263" t="str">
        <f>'Dry_Litterbag Placem_Collection'!B148</f>
        <v xml:space="preserve">Mwantimba
</v>
      </c>
      <c r="D587" s="263" t="s">
        <v>2659</v>
      </c>
      <c r="E587" s="263" t="s">
        <v>20</v>
      </c>
      <c r="F587" s="263">
        <v>3</v>
      </c>
      <c r="G587" s="264" t="str">
        <f>'Dry_Litterbag Placem_Collection'!C148</f>
        <v>Wet_P3_T2</v>
      </c>
      <c r="H587" s="273" t="s">
        <v>3651</v>
      </c>
      <c r="I587" s="266" t="s">
        <v>1147</v>
      </c>
      <c r="J587" s="223" t="str">
        <f>'WetLitterbags placem_collection'!O148</f>
        <v>G762</v>
      </c>
      <c r="K587" s="225">
        <f>IFERROR(INDEX('Green_rooibos initial weight'!$C$5:$C$1749,MATCH(J587, 'Green_rooibos initial weight'!$A$5:$A$1749,0)),"")</f>
        <v>2.016</v>
      </c>
      <c r="L587" s="225">
        <f>IFERROR(K587-(TBIcalc!$H$9+TBIcalc!$H$10),"")</f>
        <v>1.7662</v>
      </c>
      <c r="M587" s="391">
        <f>AVERAGE(Ashed_controlls!$K$2:$K$11)</f>
        <v>5.5147656768714146</v>
      </c>
      <c r="N587" s="225">
        <f t="shared" si="49"/>
        <v>1.668798208615097</v>
      </c>
      <c r="O587" s="225">
        <f>IF(IFERROR(INDEX('Both teabags AfterWet'!$C$3:$C$841,MATCH(J587,'Both teabags AfterWet'!$A$3:$A$841,0)),"")="","",(IFERROR(INDEX('Both teabags AfterWet'!$C$3:$C$841,MATCH(J587,'Both teabags AfterWet'!$A$3:$A$841,0)),"")))</f>
        <v>0.59199999999999997</v>
      </c>
      <c r="P587" s="225">
        <f>IFERROR(IF(O587&gt;0,O587-(TBIcalc!$H$9),""),"")</f>
        <v>0.44139999999999996</v>
      </c>
      <c r="Q587" s="225">
        <f>IFERROR(INDEX('Ashed teabags wet'!$K$2:$K$821,MATCH(J587,'Ashed teabags wet'!$A$2:$A$821,0)),"")</f>
        <v>17.030567685589826</v>
      </c>
      <c r="R587" s="225">
        <f t="shared" ref="R587:R650" si="52">IFERROR(P587-(Q587/100)*P587,"")</f>
        <v>0.36622707423580647</v>
      </c>
      <c r="S587" s="226">
        <f>'WetLitterbags placem_collection'!E148</f>
        <v>42762</v>
      </c>
      <c r="T587" s="226">
        <f>IF('WetLitterbags placem_collection'!G148="","",'WetLitterbags placem_collection'!G148)</f>
        <v>42815</v>
      </c>
      <c r="U587" s="227">
        <f t="shared" si="48"/>
        <v>53</v>
      </c>
      <c r="V587" s="225">
        <f t="shared" si="50"/>
        <v>1.3248</v>
      </c>
      <c r="W587" s="225">
        <f t="shared" si="51"/>
        <v>1.3025711343792905</v>
      </c>
      <c r="X587">
        <f>IFERROR(INDEX(Rainfall_Wet!$O$2:$O$217,MATCH(B587, Rainfall_Wet!$A$2:$A$217,0)),"")</f>
        <v>205.76139209600001</v>
      </c>
      <c r="Y587" s="231">
        <v>39.96</v>
      </c>
      <c r="Z587" s="231">
        <v>12.920000000000002</v>
      </c>
      <c r="AA587" s="231">
        <v>47.12</v>
      </c>
      <c r="AB587" s="232" t="s">
        <v>2674</v>
      </c>
      <c r="AC587" s="231">
        <v>2.6549531789058598</v>
      </c>
      <c r="AD587">
        <f>IF('WetLitterbags placem_collection'!AB148="","",'WetLitterbags placem_collection'!AB148)</f>
        <v>2.75</v>
      </c>
      <c r="AE587">
        <f>IF('WetLitterbags placem_collection'!Z148="","",'WetLitterbags placem_collection'!Z148)</f>
        <v>17.7</v>
      </c>
      <c r="AF587" s="246" t="str">
        <f>IF('WetLitterbags placem_collection'!AA148="","",'WetLitterbags placem_collection'!AA148)</f>
        <v>O</v>
      </c>
      <c r="AG587">
        <f>IF('WetLitterbags placem_collection'!AC148="","",'WetLitterbags placem_collection'!AC148)</f>
        <v>1</v>
      </c>
      <c r="AH587" s="24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placem_collection'!X148)),"YES","NO")</f>
        <v>NO</v>
      </c>
      <c r="AM587" t="str">
        <f>IF(ISNUMBER(SEARCH("H", 'WetLitterbags placem_collection'!X148)),"YES","NO")</f>
        <v>NO</v>
      </c>
      <c r="AN587" t="str">
        <f>IF(ISNUMBER(SEARCH("R", 'WetLitterbags placem_collection'!X148)),"YES","NO")</f>
        <v>YES</v>
      </c>
    </row>
    <row r="588" spans="1:40" ht="15" customHeight="1">
      <c r="A588" s="258" t="s">
        <v>2460</v>
      </c>
      <c r="B588" s="263">
        <f>'Dry_Litterbag Placem_Collection'!A149</f>
        <v>147</v>
      </c>
      <c r="C588" s="263" t="str">
        <f>'Dry_Litterbag Placem_Collection'!B149</f>
        <v xml:space="preserve">Mwantimba
</v>
      </c>
      <c r="D588" s="263" t="s">
        <v>2659</v>
      </c>
      <c r="E588" s="263" t="s">
        <v>20</v>
      </c>
      <c r="F588" s="263">
        <v>3</v>
      </c>
      <c r="G588" s="264" t="str">
        <f>'Dry_Litterbag Placem_Collection'!C149</f>
        <v>Wet_P3_T3</v>
      </c>
      <c r="H588" s="273" t="s">
        <v>3651</v>
      </c>
      <c r="I588" s="266" t="s">
        <v>1147</v>
      </c>
      <c r="J588" s="223" t="str">
        <f>'WetLitterbags placem_collection'!O149</f>
        <v>G878</v>
      </c>
      <c r="K588" s="225">
        <f>IFERROR(INDEX('Green_rooibos initial weight'!$C$5:$C$1749,MATCH(J588, 'Green_rooibos initial weight'!$A$5:$A$1749,0)),"")</f>
        <v>2.0939999999999999</v>
      </c>
      <c r="L588" s="225">
        <f>IFERROR(K588-(TBIcalc!$H$9+TBIcalc!$H$10),"")</f>
        <v>1.8441999999999998</v>
      </c>
      <c r="M588" s="391">
        <f>AVERAGE(Ashed_controlls!$K$2:$K$11)</f>
        <v>5.5147656768714146</v>
      </c>
      <c r="N588" s="225">
        <f t="shared" si="49"/>
        <v>1.7424966913871371</v>
      </c>
      <c r="O588" s="225">
        <f>IF(IFERROR(INDEX('Both teabags AfterWet'!$C$3:$C$841,MATCH(J588,'Both teabags AfterWet'!$A$3:$A$841,0)),"")="","",(IFERROR(INDEX('Both teabags AfterWet'!$C$3:$C$841,MATCH(J588,'Both teabags AfterWet'!$A$3:$A$841,0)),"")))</f>
        <v>0.628</v>
      </c>
      <c r="P588" s="225">
        <f>IFERROR(IF(O588&gt;0,O588-(TBIcalc!$H$9),""),"")</f>
        <v>0.47739999999999999</v>
      </c>
      <c r="Q588" s="225">
        <f>IFERROR(INDEX('Ashed teabags wet'!$K$2:$K$821,MATCH(J588,'Ashed teabags wet'!$A$2:$A$821,0)),"")</f>
        <v>18.664047151277249</v>
      </c>
      <c r="R588" s="225">
        <f t="shared" si="52"/>
        <v>0.38829783889980241</v>
      </c>
      <c r="S588" s="226">
        <f>'WetLitterbags placem_collection'!E149</f>
        <v>42762</v>
      </c>
      <c r="T588" s="226">
        <f>IF('WetLitterbags placem_collection'!G149="","",'WetLitterbags placem_collection'!G149)</f>
        <v>42816</v>
      </c>
      <c r="U588" s="227">
        <f t="shared" si="48"/>
        <v>54</v>
      </c>
      <c r="V588" s="225">
        <f t="shared" si="50"/>
        <v>1.3667999999999998</v>
      </c>
      <c r="W588" s="225">
        <f t="shared" si="51"/>
        <v>1.3541988524873347</v>
      </c>
      <c r="X588">
        <f>IFERROR(INDEX(Rainfall_Wet!$O$2:$O$217,MATCH(B588, Rainfall_Wet!$A$2:$A$217,0)),"")</f>
        <v>206.85140822299999</v>
      </c>
      <c r="Y588" s="231">
        <v>39.96</v>
      </c>
      <c r="Z588" s="231">
        <v>12.920000000000002</v>
      </c>
      <c r="AA588" s="231">
        <v>47.12</v>
      </c>
      <c r="AB588" s="232" t="s">
        <v>2674</v>
      </c>
      <c r="AC588" s="231">
        <v>3.6549531789058598</v>
      </c>
      <c r="AD588">
        <f>IF('WetLitterbags placem_collection'!AB149="","",'WetLitterbags placem_collection'!AB149)</f>
        <v>3.6</v>
      </c>
      <c r="AE588">
        <f>IF('WetLitterbags placem_collection'!Z149="","",'WetLitterbags placem_collection'!Z149)</f>
        <v>19</v>
      </c>
      <c r="AF588" s="246" t="str">
        <f>IF('WetLitterbags placem_collection'!AA149="","",'WetLitterbags placem_collection'!AA149)</f>
        <v>M</v>
      </c>
      <c r="AG588">
        <f>IF('WetLitterbags placem_collection'!AC149="","",'WetLitterbags placem_collection'!AC149)</f>
        <v>1</v>
      </c>
      <c r="AH588" s="24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placem_collection'!X149)),"YES","NO")</f>
        <v>NO</v>
      </c>
      <c r="AM588" t="str">
        <f>IF(ISNUMBER(SEARCH("H", 'WetLitterbags placem_collection'!X149)),"YES","NO")</f>
        <v>NO</v>
      </c>
      <c r="AN588" t="str">
        <f>IF(ISNUMBER(SEARCH("R", 'WetLitterbags placem_collection'!X149)),"YES","NO")</f>
        <v>NO</v>
      </c>
    </row>
    <row r="589" spans="1:40" ht="15" customHeight="1">
      <c r="A589" s="258" t="s">
        <v>2460</v>
      </c>
      <c r="B589" s="263">
        <f>'Dry_Litterbag Placem_Collection'!A150</f>
        <v>148</v>
      </c>
      <c r="C589" s="263" t="str">
        <f>'Dry_Litterbag Placem_Collection'!B150</f>
        <v xml:space="preserve">Mwantimba
</v>
      </c>
      <c r="D589" s="263" t="s">
        <v>2659</v>
      </c>
      <c r="E589" s="263" t="s">
        <v>20</v>
      </c>
      <c r="F589" s="263">
        <v>3</v>
      </c>
      <c r="G589" s="264" t="str">
        <f>'Dry_Litterbag Placem_Collection'!C150</f>
        <v>Wet_P3_T4</v>
      </c>
      <c r="H589" s="273" t="s">
        <v>3651</v>
      </c>
      <c r="I589" s="266" t="s">
        <v>1147</v>
      </c>
      <c r="J589" s="223" t="str">
        <f>'WetLitterbags placem_collection'!O150</f>
        <v>G807</v>
      </c>
      <c r="K589" s="225">
        <f>IFERROR(INDEX('Green_rooibos initial weight'!$C$5:$C$1749,MATCH(J589, 'Green_rooibos initial weight'!$A$5:$A$1749,0)),"")</f>
        <v>2.0310000000000001</v>
      </c>
      <c r="L589" s="225">
        <f>IFERROR(K589-(TBIcalc!$H$9+TBIcalc!$H$10),"")</f>
        <v>1.7812000000000001</v>
      </c>
      <c r="M589" s="391">
        <f>AVERAGE(Ashed_controlls!$K$2:$K$11)</f>
        <v>5.5147656768714146</v>
      </c>
      <c r="N589" s="225">
        <f t="shared" si="49"/>
        <v>1.6829709937635664</v>
      </c>
      <c r="O589" s="225">
        <f>IF(IFERROR(INDEX('Both teabags AfterWet'!$C$3:$C$841,MATCH(J589,'Both teabags AfterWet'!$A$3:$A$841,0)),"")="","",(IFERROR(INDEX('Both teabags AfterWet'!$C$3:$C$841,MATCH(J589,'Both teabags AfterWet'!$A$3:$A$841,0)),"")))</f>
        <v>0.74309999999999998</v>
      </c>
      <c r="P589" s="225">
        <f>IFERROR(IF(O589&gt;0,O589-(TBIcalc!$H$9),""),"")</f>
        <v>0.59250000000000003</v>
      </c>
      <c r="Q589" s="225">
        <f>IFERROR(INDEX('Ashed teabags wet'!$K$2:$K$821,MATCH(J589,'Ashed teabags wet'!$A$2:$A$821,0)),"")</f>
        <v>19.203072491598501</v>
      </c>
      <c r="R589" s="225">
        <f t="shared" si="52"/>
        <v>0.47872179548727889</v>
      </c>
      <c r="S589" s="226">
        <f>'WetLitterbags placem_collection'!E150</f>
        <v>42762</v>
      </c>
      <c r="T589" s="226">
        <f>IF('WetLitterbags placem_collection'!G150="","",'WetLitterbags placem_collection'!G150)</f>
        <v>42816</v>
      </c>
      <c r="U589" s="227">
        <f t="shared" si="48"/>
        <v>54</v>
      </c>
      <c r="V589" s="225">
        <f t="shared" si="50"/>
        <v>1.1887000000000001</v>
      </c>
      <c r="W589" s="225">
        <f t="shared" si="51"/>
        <v>1.2042491982762875</v>
      </c>
      <c r="X589">
        <f>IFERROR(INDEX(Rainfall_Wet!$O$2:$O$217,MATCH(B589, Rainfall_Wet!$A$2:$A$217,0)),"")</f>
        <v>206.85140822299999</v>
      </c>
      <c r="Y589" s="231">
        <v>39.96</v>
      </c>
      <c r="Z589" s="231">
        <v>12.920000000000002</v>
      </c>
      <c r="AA589" s="231">
        <v>47.12</v>
      </c>
      <c r="AB589" s="232" t="s">
        <v>2674</v>
      </c>
      <c r="AC589" s="231">
        <v>4.6549531789058696</v>
      </c>
      <c r="AD589">
        <f>IF('WetLitterbags placem_collection'!AB150="","",'WetLitterbags placem_collection'!AB150)</f>
        <v>4.9000000000000004</v>
      </c>
      <c r="AE589">
        <f>IF('WetLitterbags placem_collection'!Z150="","",'WetLitterbags placem_collection'!Z150)</f>
        <v>17.489999999999998</v>
      </c>
      <c r="AF589" s="246" t="str">
        <f>IF('WetLitterbags placem_collection'!AA150="","",'WetLitterbags placem_collection'!AA150)</f>
        <v>M</v>
      </c>
      <c r="AG589">
        <f>IF('WetLitterbags placem_collection'!AC150="","",'WetLitterbags placem_collection'!AC150)</f>
        <v>1</v>
      </c>
      <c r="AH589" s="24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placem_collection'!X150)),"YES","NO")</f>
        <v>NO</v>
      </c>
      <c r="AM589" t="str">
        <f>IF(ISNUMBER(SEARCH("H", 'WetLitterbags placem_collection'!X150)),"YES","NO")</f>
        <v>NO</v>
      </c>
      <c r="AN589" t="str">
        <f>IF(ISNUMBER(SEARCH("R", 'WetLitterbags placem_collection'!X150)),"YES","NO")</f>
        <v>YES</v>
      </c>
    </row>
    <row r="590" spans="1:40" ht="15" customHeight="1">
      <c r="A590" s="258" t="s">
        <v>2460</v>
      </c>
      <c r="B590" s="263">
        <f>'Dry_Litterbag Placem_Collection'!A151</f>
        <v>149</v>
      </c>
      <c r="C590" s="263" t="str">
        <f>'Dry_Litterbag Placem_Collection'!B151</f>
        <v xml:space="preserve">Mwantimba
</v>
      </c>
      <c r="D590" s="263" t="s">
        <v>2659</v>
      </c>
      <c r="E590" s="263" t="s">
        <v>20</v>
      </c>
      <c r="F590" s="263">
        <v>3</v>
      </c>
      <c r="G590" s="264" t="str">
        <f>'Dry_Litterbag Placem_Collection'!C151</f>
        <v>Wet_P3_T5</v>
      </c>
      <c r="H590" s="273" t="s">
        <v>3651</v>
      </c>
      <c r="I590" s="266" t="s">
        <v>1147</v>
      </c>
      <c r="J590" s="223" t="str">
        <f>'WetLitterbags placem_collection'!O151</f>
        <v>G696</v>
      </c>
      <c r="K590" s="225">
        <f>IFERROR(INDEX('Green_rooibos initial weight'!$C$5:$C$1749,MATCH(J590, 'Green_rooibos initial weight'!$A$5:$A$1749,0)),"")</f>
        <v>2.036</v>
      </c>
      <c r="L590" s="225">
        <f>IFERROR(K590-(TBIcalc!$H$9+TBIcalc!$H$10),"")</f>
        <v>1.7862</v>
      </c>
      <c r="M590" s="391">
        <f>AVERAGE(Ashed_controlls!$K$2:$K$11)</f>
        <v>5.5147656768714146</v>
      </c>
      <c r="N590" s="225">
        <f t="shared" si="49"/>
        <v>1.6876952554797229</v>
      </c>
      <c r="O590" s="225">
        <f>IF(IFERROR(INDEX('Both teabags AfterWet'!$C$3:$C$841,MATCH(J590,'Both teabags AfterWet'!$A$3:$A$841,0)),"")="","",(IFERROR(INDEX('Both teabags AfterWet'!$C$3:$C$841,MATCH(J590,'Both teabags AfterWet'!$A$3:$A$841,0)),"")))</f>
        <v>0.82469999999999999</v>
      </c>
      <c r="P590" s="225">
        <f>IFERROR(IF(O590&gt;0,O590-(TBIcalc!$H$9),""),"")</f>
        <v>0.67409999999999992</v>
      </c>
      <c r="Q590" s="225">
        <f>IFERROR(INDEX('Ashed teabags wet'!$K$2:$K$821,MATCH(J590,'Ashed teabags wet'!$A$2:$A$821,0)),"")</f>
        <v>31.23781676413266</v>
      </c>
      <c r="R590" s="225">
        <f t="shared" si="52"/>
        <v>0.46352587719298166</v>
      </c>
      <c r="S590" s="226">
        <f>'WetLitterbags placem_collection'!E151</f>
        <v>42762</v>
      </c>
      <c r="T590" s="226">
        <f>IF('WetLitterbags placem_collection'!G151="","",'WetLitterbags placem_collection'!G151)</f>
        <v>42816</v>
      </c>
      <c r="U590" s="227">
        <f t="shared" si="48"/>
        <v>54</v>
      </c>
      <c r="V590" s="225">
        <f t="shared" si="50"/>
        <v>1.1121000000000001</v>
      </c>
      <c r="W590" s="225">
        <f t="shared" si="51"/>
        <v>1.2241693782867413</v>
      </c>
      <c r="X590">
        <f>IFERROR(INDEX(Rainfall_Wet!$O$2:$O$217,MATCH(B590, Rainfall_Wet!$A$2:$A$217,0)),"")</f>
        <v>206.85140822299999</v>
      </c>
      <c r="Y590" s="231">
        <v>39.96</v>
      </c>
      <c r="Z590" s="231">
        <v>12.920000000000002</v>
      </c>
      <c r="AA590" s="231">
        <v>47.12</v>
      </c>
      <c r="AB590" s="232" t="s">
        <v>2674</v>
      </c>
      <c r="AC590" s="231">
        <v>5.6549531789058696</v>
      </c>
      <c r="AD590">
        <f>IF('WetLitterbags placem_collection'!AB151="","",'WetLitterbags placem_collection'!AB151)</f>
        <v>2.8</v>
      </c>
      <c r="AE590">
        <f>IF('WetLitterbags placem_collection'!Z151="","",'WetLitterbags placem_collection'!Z151)</f>
        <v>13</v>
      </c>
      <c r="AF590" s="246" t="str">
        <f>IF('WetLitterbags placem_collection'!AA151="","",'WetLitterbags placem_collection'!AA151)</f>
        <v>M</v>
      </c>
      <c r="AG590">
        <f>IF('WetLitterbags placem_collection'!AC151="","",'WetLitterbags placem_collection'!AC151)</f>
        <v>1</v>
      </c>
      <c r="AH590" s="24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placem_collection'!X151)),"YES","NO")</f>
        <v>NO</v>
      </c>
      <c r="AM590" t="str">
        <f>IF(ISNUMBER(SEARCH("H", 'WetLitterbags placem_collection'!X151)),"YES","NO")</f>
        <v>NO</v>
      </c>
      <c r="AN590" t="str">
        <f>IF(ISNUMBER(SEARCH("R", 'WetLitterbags placem_collection'!X151)),"YES","NO")</f>
        <v>NO</v>
      </c>
    </row>
    <row r="591" spans="1:40" ht="15" customHeight="1">
      <c r="A591" s="258" t="s">
        <v>2460</v>
      </c>
      <c r="B591" s="263">
        <f>'Dry_Litterbag Placem_Collection'!A152</f>
        <v>150</v>
      </c>
      <c r="C591" s="263" t="str">
        <f>'Dry_Litterbag Placem_Collection'!B152</f>
        <v xml:space="preserve">Mwantimba
</v>
      </c>
      <c r="D591" s="263" t="s">
        <v>2659</v>
      </c>
      <c r="E591" s="263" t="s">
        <v>20</v>
      </c>
      <c r="F591" s="263">
        <v>3</v>
      </c>
      <c r="G591" s="264" t="str">
        <f>'Dry_Litterbag Placem_Collection'!C152</f>
        <v>Wet_P3_T6</v>
      </c>
      <c r="H591" s="273" t="s">
        <v>3651</v>
      </c>
      <c r="I591" s="266" t="s">
        <v>1147</v>
      </c>
      <c r="J591" s="223" t="str">
        <f>'WetLitterbags placem_collection'!O152</f>
        <v>G801</v>
      </c>
      <c r="K591" s="225">
        <f>IFERROR(INDEX('Green_rooibos initial weight'!$C$5:$C$1749,MATCH(J591, 'Green_rooibos initial weight'!$A$5:$A$1749,0)),"")</f>
        <v>2.0720000000000001</v>
      </c>
      <c r="L591" s="225">
        <f>IFERROR(K591-(TBIcalc!$H$9+TBIcalc!$H$10),"")</f>
        <v>1.8222</v>
      </c>
      <c r="M591" s="391">
        <f>AVERAGE(Ashed_controlls!$K$2:$K$11)</f>
        <v>5.5147656768714146</v>
      </c>
      <c r="N591" s="225">
        <f t="shared" si="49"/>
        <v>1.7217099398360491</v>
      </c>
      <c r="O591" s="225">
        <f>IF(IFERROR(INDEX('Both teabags AfterWet'!$C$3:$C$841,MATCH(J591,'Both teabags AfterWet'!$A$3:$A$841,0)),"")="","",(IFERROR(INDEX('Both teabags AfterWet'!$C$3:$C$841,MATCH(J591,'Both teabags AfterWet'!$A$3:$A$841,0)),"")))</f>
        <v>0.60099999999999998</v>
      </c>
      <c r="P591" s="225">
        <f>IFERROR(IF(O591&gt;0,O591-(TBIcalc!$H$9),""),"")</f>
        <v>0.45039999999999997</v>
      </c>
      <c r="Q591" s="225">
        <f>IFERROR(INDEX('Ashed teabags wet'!$K$2:$K$821,MATCH(J591,'Ashed teabags wet'!$A$2:$A$821,0)),"")</f>
        <v>20.08862629246671</v>
      </c>
      <c r="R591" s="225">
        <f t="shared" si="52"/>
        <v>0.35992082717872992</v>
      </c>
      <c r="S591" s="226">
        <f>'WetLitterbags placem_collection'!E152</f>
        <v>42762</v>
      </c>
      <c r="T591" s="226">
        <f>IF('WetLitterbags placem_collection'!G152="","",'WetLitterbags placem_collection'!G152)</f>
        <v>42816</v>
      </c>
      <c r="U591" s="227">
        <f t="shared" si="48"/>
        <v>54</v>
      </c>
      <c r="V591" s="225">
        <f t="shared" si="50"/>
        <v>1.3718000000000001</v>
      </c>
      <c r="W591" s="225">
        <f t="shared" si="51"/>
        <v>1.3617891126573192</v>
      </c>
      <c r="X591">
        <f>IFERROR(INDEX(Rainfall_Wet!$O$2:$O$217,MATCH(B591, Rainfall_Wet!$A$2:$A$217,0)),"")</f>
        <v>206.85140822299999</v>
      </c>
      <c r="Y591" s="231">
        <v>39.96</v>
      </c>
      <c r="Z591" s="231">
        <v>12.920000000000002</v>
      </c>
      <c r="AA591" s="231">
        <v>47.12</v>
      </c>
      <c r="AB591" s="232" t="s">
        <v>2674</v>
      </c>
      <c r="AC591" s="231">
        <v>6.6549531789058696</v>
      </c>
      <c r="AD591">
        <f>IF('WetLitterbags placem_collection'!AB152="","",'WetLitterbags placem_collection'!AB152)</f>
        <v>2.75</v>
      </c>
      <c r="AE591">
        <f>IF('WetLitterbags placem_collection'!Z152="","",'WetLitterbags placem_collection'!Z152)</f>
        <v>19</v>
      </c>
      <c r="AF591" s="246" t="str">
        <f>IF('WetLitterbags placem_collection'!AA152="","",'WetLitterbags placem_collection'!AA152)</f>
        <v>O</v>
      </c>
      <c r="AG591">
        <f>IF('WetLitterbags placem_collection'!AC152="","",'WetLitterbags placem_collection'!AC152)</f>
        <v>0</v>
      </c>
      <c r="AH591" s="24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placem_collection'!X152)),"YES","NO")</f>
        <v>NO</v>
      </c>
      <c r="AM591" t="str">
        <f>IF(ISNUMBER(SEARCH("H", 'WetLitterbags placem_collection'!X152)),"YES","NO")</f>
        <v>NO</v>
      </c>
      <c r="AN591" t="str">
        <f>IF(ISNUMBER(SEARCH("R", 'WetLitterbags placem_collection'!X152)),"YES","NO")</f>
        <v>NO</v>
      </c>
    </row>
    <row r="592" spans="1:40" ht="15" customHeight="1">
      <c r="A592" s="258" t="s">
        <v>2460</v>
      </c>
      <c r="B592" s="263">
        <f>'Dry_Litterbag Placem_Collection'!A153</f>
        <v>151</v>
      </c>
      <c r="C592" s="263" t="str">
        <f>'Dry_Litterbag Placem_Collection'!B153</f>
        <v xml:space="preserve">Mwantimba
</v>
      </c>
      <c r="D592" s="263" t="s">
        <v>2659</v>
      </c>
      <c r="E592" s="263" t="s">
        <v>20</v>
      </c>
      <c r="F592" s="263">
        <v>3</v>
      </c>
      <c r="G592" s="264" t="str">
        <f>'Dry_Litterbag Placem_Collection'!C153</f>
        <v>Wet_P3_T7</v>
      </c>
      <c r="H592" s="273" t="s">
        <v>3651</v>
      </c>
      <c r="I592" s="266" t="s">
        <v>1147</v>
      </c>
      <c r="J592" s="223" t="str">
        <f>'WetLitterbags placem_collection'!O153</f>
        <v>G647</v>
      </c>
      <c r="K592" s="225">
        <f>IFERROR(INDEX('Green_rooibos initial weight'!$C$5:$C$1749,MATCH(J592, 'Green_rooibos initial weight'!$A$5:$A$1749,0)),"")</f>
        <v>2.1240000000000001</v>
      </c>
      <c r="L592" s="225">
        <f>IFERROR(K592-(TBIcalc!$H$9+TBIcalc!$H$10),"")</f>
        <v>1.8742000000000001</v>
      </c>
      <c r="M592" s="391">
        <f>AVERAGE(Ashed_controlls!$K$2:$K$11)</f>
        <v>5.5147656768714146</v>
      </c>
      <c r="N592" s="225">
        <f t="shared" si="49"/>
        <v>1.770842261684076</v>
      </c>
      <c r="O592" s="225">
        <f>IF(IFERROR(INDEX('Both teabags AfterWet'!$C$3:$C$841,MATCH(J592,'Both teabags AfterWet'!$A$3:$A$841,0)),"")="","",(IFERROR(INDEX('Both teabags AfterWet'!$C$3:$C$841,MATCH(J592,'Both teabags AfterWet'!$A$3:$A$841,0)),"")))</f>
        <v>0.78700000000000003</v>
      </c>
      <c r="P592" s="225">
        <f>IFERROR(IF(O592&gt;0,O592-(TBIcalc!$H$9),""),"")</f>
        <v>0.63640000000000008</v>
      </c>
      <c r="Q592" s="225">
        <f>IFERROR(INDEX('Ashed teabags wet'!$K$2:$K$821,MATCH(J592,'Ashed teabags wet'!$A$2:$A$821,0)),"")</f>
        <v>20.305781175346262</v>
      </c>
      <c r="R592" s="225">
        <f t="shared" si="52"/>
        <v>0.50717400860009643</v>
      </c>
      <c r="S592" s="226">
        <f>'WetLitterbags placem_collection'!E153</f>
        <v>42762</v>
      </c>
      <c r="T592" s="226">
        <f>IF('WetLitterbags placem_collection'!G153="","",'WetLitterbags placem_collection'!G153)</f>
        <v>42816</v>
      </c>
      <c r="U592" s="227">
        <f t="shared" si="48"/>
        <v>54</v>
      </c>
      <c r="V592" s="225">
        <f t="shared" si="50"/>
        <v>1.2378</v>
      </c>
      <c r="W592" s="225">
        <f t="shared" si="51"/>
        <v>1.2636682530839796</v>
      </c>
      <c r="X592">
        <f>IFERROR(INDEX(Rainfall_Wet!$O$2:$O$217,MATCH(B592, Rainfall_Wet!$A$2:$A$217,0)),"")</f>
        <v>206.85140822299999</v>
      </c>
      <c r="Y592" s="231">
        <v>39.96</v>
      </c>
      <c r="Z592" s="231">
        <v>12.920000000000002</v>
      </c>
      <c r="AA592" s="231">
        <v>47.12</v>
      </c>
      <c r="AB592" s="232" t="s">
        <v>2674</v>
      </c>
      <c r="AC592" s="231">
        <v>7.6549531789058696</v>
      </c>
      <c r="AD592">
        <f>IF('WetLitterbags placem_collection'!AB153="","",'WetLitterbags placem_collection'!AB153)</f>
        <v>1.4</v>
      </c>
      <c r="AE592">
        <f>IF('WetLitterbags placem_collection'!Z153="","",'WetLitterbags placem_collection'!Z153)</f>
        <v>7.9</v>
      </c>
      <c r="AF592" s="246" t="str">
        <f>IF('WetLitterbags placem_collection'!AA153="","",'WetLitterbags placem_collection'!AA153)</f>
        <v>O</v>
      </c>
      <c r="AG592">
        <f>IF('WetLitterbags placem_collection'!AC153="","",'WetLitterbags placem_collection'!AC153)</f>
        <v>1</v>
      </c>
      <c r="AH592" s="24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placem_collection'!X153)),"YES","NO")</f>
        <v>NO</v>
      </c>
      <c r="AM592" t="str">
        <f>IF(ISNUMBER(SEARCH("H", 'WetLitterbags placem_collection'!X153)),"YES","NO")</f>
        <v>NO</v>
      </c>
      <c r="AN592" t="str">
        <f>IF(ISNUMBER(SEARCH("R", 'WetLitterbags placem_collection'!X153)),"YES","NO")</f>
        <v>YES</v>
      </c>
    </row>
    <row r="593" spans="1:40" ht="15" customHeight="1">
      <c r="A593" s="258" t="s">
        <v>2460</v>
      </c>
      <c r="B593" s="263">
        <f>'Dry_Litterbag Placem_Collection'!A154</f>
        <v>152</v>
      </c>
      <c r="C593" s="263" t="str">
        <f>'Dry_Litterbag Placem_Collection'!B154</f>
        <v xml:space="preserve">Mwantimba
</v>
      </c>
      <c r="D593" s="263" t="s">
        <v>2659</v>
      </c>
      <c r="E593" s="263" t="s">
        <v>20</v>
      </c>
      <c r="F593" s="263">
        <v>3</v>
      </c>
      <c r="G593" s="264" t="str">
        <f>'Dry_Litterbag Placem_Collection'!C154</f>
        <v>Wet_P3_T8</v>
      </c>
      <c r="H593" s="273" t="s">
        <v>3651</v>
      </c>
      <c r="I593" s="266" t="s">
        <v>1147</v>
      </c>
      <c r="J593" s="223" t="str">
        <f>'WetLitterbags placem_collection'!O154</f>
        <v>G744</v>
      </c>
      <c r="K593" s="225">
        <f>IFERROR(INDEX('Green_rooibos initial weight'!$C$5:$C$1749,MATCH(J593, 'Green_rooibos initial weight'!$A$5:$A$1749,0)),"")</f>
        <v>2.085</v>
      </c>
      <c r="L593" s="225">
        <f>IFERROR(K593-(TBIcalc!$H$9+TBIcalc!$H$10),"")</f>
        <v>1.8351999999999999</v>
      </c>
      <c r="M593" s="391">
        <f>AVERAGE(Ashed_controlls!$K$2:$K$11)</f>
        <v>5.5147656768714146</v>
      </c>
      <c r="N593" s="225">
        <f t="shared" si="49"/>
        <v>1.7339930202980558</v>
      </c>
      <c r="O593" s="225">
        <f>IF(IFERROR(INDEX('Both teabags AfterWet'!$C$3:$C$841,MATCH(J593,'Both teabags AfterWet'!$A$3:$A$841,0)),"")="","",(IFERROR(INDEX('Both teabags AfterWet'!$C$3:$C$841,MATCH(J593,'Both teabags AfterWet'!$A$3:$A$841,0)),"")))</f>
        <v>0.62919999999999998</v>
      </c>
      <c r="P593" s="225">
        <f>IFERROR(IF(O593&gt;0,O593-(TBIcalc!$H$9),""),"")</f>
        <v>0.47859999999999997</v>
      </c>
      <c r="Q593" s="225">
        <f>IFERROR(INDEX('Ashed teabags wet'!$K$2:$K$821,MATCH(J593,'Ashed teabags wet'!$A$2:$A$821,0)),"")</f>
        <v>13.529411764705387</v>
      </c>
      <c r="R593" s="225">
        <f t="shared" si="52"/>
        <v>0.41384823529411996</v>
      </c>
      <c r="S593" s="226">
        <f>'WetLitterbags placem_collection'!E154</f>
        <v>42762</v>
      </c>
      <c r="T593" s="226">
        <f>IF('WetLitterbags placem_collection'!G154="","",'WetLitterbags placem_collection'!G154)</f>
        <v>42816</v>
      </c>
      <c r="U593" s="227">
        <f t="shared" si="48"/>
        <v>54</v>
      </c>
      <c r="V593" s="225">
        <f t="shared" si="50"/>
        <v>1.3566</v>
      </c>
      <c r="W593" s="225">
        <f t="shared" si="51"/>
        <v>1.3201447850039358</v>
      </c>
      <c r="X593">
        <f>IFERROR(INDEX(Rainfall_Wet!$O$2:$O$217,MATCH(B593, Rainfall_Wet!$A$2:$A$217,0)),"")</f>
        <v>206.85140822299999</v>
      </c>
      <c r="Y593" s="231">
        <v>39.96</v>
      </c>
      <c r="Z593" s="231">
        <v>12.920000000000002</v>
      </c>
      <c r="AA593" s="231">
        <v>47.12</v>
      </c>
      <c r="AB593" s="232" t="s">
        <v>2674</v>
      </c>
      <c r="AC593" s="231">
        <v>8.6549531789058705</v>
      </c>
      <c r="AD593">
        <f>IF('WetLitterbags placem_collection'!AB154="","",'WetLitterbags placem_collection'!AB154)</f>
        <v>2.2000000000000002</v>
      </c>
      <c r="AE593">
        <f>IF('WetLitterbags placem_collection'!Z154="","",'WetLitterbags placem_collection'!Z154)</f>
        <v>15</v>
      </c>
      <c r="AF593" s="246" t="str">
        <f>IF('WetLitterbags placem_collection'!AA154="","",'WetLitterbags placem_collection'!AA154)</f>
        <v>M</v>
      </c>
      <c r="AG593">
        <f>IF('WetLitterbags placem_collection'!AC154="","",'WetLitterbags placem_collection'!AC154)</f>
        <v>0</v>
      </c>
      <c r="AH593" s="24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placem_collection'!X154)),"YES","NO")</f>
        <v>NO</v>
      </c>
      <c r="AM593" t="str">
        <f>IF(ISNUMBER(SEARCH("H", 'WetLitterbags placem_collection'!X154)),"YES","NO")</f>
        <v>NO</v>
      </c>
      <c r="AN593" t="str">
        <f>IF(ISNUMBER(SEARCH("R", 'WetLitterbags placem_collection'!X154)),"YES","NO")</f>
        <v>YES</v>
      </c>
    </row>
    <row r="594" spans="1:40" ht="15" customHeight="1">
      <c r="A594" s="258" t="s">
        <v>2460</v>
      </c>
      <c r="B594" s="263">
        <f>'Dry_Litterbag Placem_Collection'!A155</f>
        <v>153</v>
      </c>
      <c r="C594" s="263" t="str">
        <f>'Dry_Litterbag Placem_Collection'!B155</f>
        <v xml:space="preserve">Mwantimba
</v>
      </c>
      <c r="D594" s="263" t="s">
        <v>2659</v>
      </c>
      <c r="E594" s="263" t="s">
        <v>20</v>
      </c>
      <c r="F594" s="263">
        <v>4</v>
      </c>
      <c r="G594" s="264" t="str">
        <f>'Dry_Litterbag Placem_Collection'!C155</f>
        <v>Wet_P4_T1</v>
      </c>
      <c r="H594" s="273" t="s">
        <v>3651</v>
      </c>
      <c r="I594" s="266" t="s">
        <v>1147</v>
      </c>
      <c r="J594" s="223" t="str">
        <f>'WetLitterbags placem_collection'!O155</f>
        <v>G885</v>
      </c>
      <c r="K594" s="225">
        <f>IFERROR(INDEX('Green_rooibos initial weight'!$C$5:$C$1749,MATCH(J594, 'Green_rooibos initial weight'!$A$5:$A$1749,0)),"")</f>
        <v>1.8939999999999999</v>
      </c>
      <c r="L594" s="225">
        <f>IFERROR(K594-(TBIcalc!$H$9+TBIcalc!$H$10),"")</f>
        <v>1.6441999999999999</v>
      </c>
      <c r="M594" s="391">
        <f>AVERAGE(Ashed_controlls!$K$2:$K$11)</f>
        <v>5.5147656768714146</v>
      </c>
      <c r="N594" s="225">
        <f t="shared" si="49"/>
        <v>1.5535262227408801</v>
      </c>
      <c r="O594" s="225">
        <f>IF(IFERROR(INDEX('Both teabags AfterWet'!$C$3:$C$841,MATCH(J594,'Both teabags AfterWet'!$A$3:$A$841,0)),"")="","",(IFERROR(INDEX('Both teabags AfterWet'!$C$3:$C$841,MATCH(J594,'Both teabags AfterWet'!$A$3:$A$841,0)),"")))</f>
        <v>0.5756</v>
      </c>
      <c r="P594" s="225">
        <f>IFERROR(IF(O594&gt;0,O594-(TBIcalc!$H$9),""),"")</f>
        <v>0.42499999999999999</v>
      </c>
      <c r="Q594" s="225">
        <f>IFERROR(INDEX('Ashed teabags wet'!$K$2:$K$821,MATCH(J594,'Ashed teabags wet'!$A$2:$A$821,0)),"")</f>
        <v>12.119700748128949</v>
      </c>
      <c r="R594" s="225">
        <f t="shared" si="52"/>
        <v>0.37349127182045194</v>
      </c>
      <c r="S594" s="226">
        <f>'WetLitterbags placem_collection'!E155</f>
        <v>42762</v>
      </c>
      <c r="T594" s="226">
        <f>IF('WetLitterbags placem_collection'!G155="","",'WetLitterbags placem_collection'!G155)</f>
        <v>42816</v>
      </c>
      <c r="U594" s="227">
        <f t="shared" si="48"/>
        <v>54</v>
      </c>
      <c r="V594" s="225">
        <f t="shared" si="50"/>
        <v>1.2191999999999998</v>
      </c>
      <c r="W594" s="225">
        <f t="shared" si="51"/>
        <v>1.1800349509204282</v>
      </c>
      <c r="X594">
        <f>IFERROR(INDEX(Rainfall_Wet!$O$2:$O$217,MATCH(B594, Rainfall_Wet!$A$2:$A$217,0)),"")</f>
        <v>206.85140822299999</v>
      </c>
      <c r="Y594" s="231">
        <v>27.96</v>
      </c>
      <c r="Z594" s="231">
        <v>4.9200000000000017</v>
      </c>
      <c r="AA594" s="231">
        <v>67.12</v>
      </c>
      <c r="AB594" s="232" t="s">
        <v>2670</v>
      </c>
      <c r="AC594" s="231">
        <v>1.0437161163134547</v>
      </c>
      <c r="AD594">
        <f>IF('WetLitterbags placem_collection'!AB155="","",'WetLitterbags placem_collection'!AB155)</f>
        <v>2.1</v>
      </c>
      <c r="AE594">
        <f>IF('WetLitterbags placem_collection'!Z155="","",'WetLitterbags placem_collection'!Z155)</f>
        <v>16.399999999999999</v>
      </c>
      <c r="AF594" s="246" t="str">
        <f>IF('WetLitterbags placem_collection'!AA155="","",'WetLitterbags placem_collection'!AA155)</f>
        <v>G</v>
      </c>
      <c r="AG594">
        <f>IF('WetLitterbags placem_collection'!AC155="","",'WetLitterbags placem_collection'!AC155)</f>
        <v>0</v>
      </c>
      <c r="AH594" s="24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placem_collection'!X155)),"YES","NO")</f>
        <v>NO</v>
      </c>
      <c r="AM594" t="str">
        <f>IF(ISNUMBER(SEARCH("H", 'WetLitterbags placem_collection'!X155)),"YES","NO")</f>
        <v>NO</v>
      </c>
      <c r="AN594" t="str">
        <f>IF(ISNUMBER(SEARCH("R", 'WetLitterbags placem_collection'!X155)),"YES","NO")</f>
        <v>YES</v>
      </c>
    </row>
    <row r="595" spans="1:40" ht="15" customHeight="1">
      <c r="A595" s="258" t="s">
        <v>2460</v>
      </c>
      <c r="B595" s="263">
        <f>'Dry_Litterbag Placem_Collection'!A156</f>
        <v>154</v>
      </c>
      <c r="C595" s="263" t="str">
        <f>'Dry_Litterbag Placem_Collection'!B156</f>
        <v xml:space="preserve">Mwantimba
</v>
      </c>
      <c r="D595" s="263" t="s">
        <v>2659</v>
      </c>
      <c r="E595" s="263" t="s">
        <v>20</v>
      </c>
      <c r="F595" s="263">
        <v>4</v>
      </c>
      <c r="G595" s="264" t="str">
        <f>'Dry_Litterbag Placem_Collection'!C156</f>
        <v>Wet_P4_T2</v>
      </c>
      <c r="H595" s="273" t="s">
        <v>3651</v>
      </c>
      <c r="I595" s="266" t="s">
        <v>1147</v>
      </c>
      <c r="J595" s="223" t="str">
        <f>'WetLitterbags placem_collection'!O156</f>
        <v>G684</v>
      </c>
      <c r="K595" s="225">
        <f>IFERROR(INDEX('Green_rooibos initial weight'!$C$5:$C$1749,MATCH(J595, 'Green_rooibos initial weight'!$A$5:$A$1749,0)),"")</f>
        <v>2.0819999999999999</v>
      </c>
      <c r="L595" s="225">
        <f>IFERROR(K595-(TBIcalc!$H$9+TBIcalc!$H$10),"")</f>
        <v>1.8321999999999998</v>
      </c>
      <c r="M595" s="391">
        <f>AVERAGE(Ashed_controlls!$K$2:$K$11)</f>
        <v>5.5147656768714146</v>
      </c>
      <c r="N595" s="225">
        <f t="shared" si="49"/>
        <v>1.7311584632683619</v>
      </c>
      <c r="O595" s="225">
        <f>IF(IFERROR(INDEX('Both teabags AfterWet'!$C$3:$C$841,MATCH(J595,'Both teabags AfterWet'!$A$3:$A$841,0)),"")="","",(IFERROR(INDEX('Both teabags AfterWet'!$C$3:$C$841,MATCH(J595,'Both teabags AfterWet'!$A$3:$A$841,0)),"")))</f>
        <v>0.60499999999999998</v>
      </c>
      <c r="P595" s="225">
        <f>IFERROR(IF(O595&gt;0,O595-(TBIcalc!$H$9),""),"")</f>
        <v>0.45439999999999997</v>
      </c>
      <c r="Q595" s="225">
        <f>IFERROR(INDEX('Ashed teabags wet'!$K$2:$K$821,MATCH(J595,'Ashed teabags wet'!$A$2:$A$821,0)),"")</f>
        <v>17.540322580645736</v>
      </c>
      <c r="R595" s="225">
        <f t="shared" si="52"/>
        <v>0.37469677419354575</v>
      </c>
      <c r="S595" s="226">
        <f>'WetLitterbags placem_collection'!E156</f>
        <v>42762</v>
      </c>
      <c r="T595" s="226">
        <f>IF('WetLitterbags placem_collection'!G156="","",'WetLitterbags placem_collection'!G156)</f>
        <v>42816</v>
      </c>
      <c r="U595" s="227">
        <f t="shared" si="48"/>
        <v>54</v>
      </c>
      <c r="V595" s="225">
        <f t="shared" si="50"/>
        <v>1.3777999999999999</v>
      </c>
      <c r="W595" s="225">
        <f t="shared" si="51"/>
        <v>1.3564616890748162</v>
      </c>
      <c r="X595">
        <f>IFERROR(INDEX(Rainfall_Wet!$O$2:$O$217,MATCH(B595, Rainfall_Wet!$A$2:$A$217,0)),"")</f>
        <v>206.85140822299999</v>
      </c>
      <c r="Y595" s="231">
        <v>27.96</v>
      </c>
      <c r="Z595" s="231">
        <v>4.9200000000000017</v>
      </c>
      <c r="AA595" s="231">
        <v>67.12</v>
      </c>
      <c r="AB595" s="232" t="s">
        <v>2670</v>
      </c>
      <c r="AC595" s="231">
        <v>2.0437161163134498</v>
      </c>
      <c r="AD595">
        <f>IF('WetLitterbags placem_collection'!AB156="","",'WetLitterbags placem_collection'!AB156)</f>
        <v>2.15</v>
      </c>
      <c r="AE595">
        <f>IF('WetLitterbags placem_collection'!Z156="","",'WetLitterbags placem_collection'!Z156)</f>
        <v>9</v>
      </c>
      <c r="AF595" s="246" t="str">
        <f>IF('WetLitterbags placem_collection'!AA156="","",'WetLitterbags placem_collection'!AA156)</f>
        <v>G</v>
      </c>
      <c r="AG595">
        <f>IF('WetLitterbags placem_collection'!AC156="","",'WetLitterbags placem_collection'!AC156)</f>
        <v>0</v>
      </c>
      <c r="AH595" s="24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placem_collection'!X156)),"YES","NO")</f>
        <v>NO</v>
      </c>
      <c r="AM595" t="str">
        <f>IF(ISNUMBER(SEARCH("H", 'WetLitterbags placem_collection'!X156)),"YES","NO")</f>
        <v>NO</v>
      </c>
      <c r="AN595" t="str">
        <f>IF(ISNUMBER(SEARCH("R", 'WetLitterbags placem_collection'!X156)),"YES","NO")</f>
        <v>YES</v>
      </c>
    </row>
    <row r="596" spans="1:40" ht="15" customHeight="1">
      <c r="A596" s="258" t="s">
        <v>2460</v>
      </c>
      <c r="B596" s="263">
        <f>'Dry_Litterbag Placem_Collection'!A157</f>
        <v>155</v>
      </c>
      <c r="C596" s="263" t="str">
        <f>'Dry_Litterbag Placem_Collection'!B157</f>
        <v xml:space="preserve">Mwantimba
</v>
      </c>
      <c r="D596" s="263" t="s">
        <v>2659</v>
      </c>
      <c r="E596" s="263" t="s">
        <v>20</v>
      </c>
      <c r="F596" s="263">
        <v>4</v>
      </c>
      <c r="G596" s="264" t="str">
        <f>'Dry_Litterbag Placem_Collection'!C157</f>
        <v>Wet_P4_T3</v>
      </c>
      <c r="H596" s="273" t="s">
        <v>3651</v>
      </c>
      <c r="I596" s="266" t="s">
        <v>1147</v>
      </c>
      <c r="J596" s="223" t="str">
        <f>'WetLitterbags placem_collection'!O157</f>
        <v>G827</v>
      </c>
      <c r="K596" s="225">
        <f>IFERROR(INDEX('Green_rooibos initial weight'!$C$5:$C$1749,MATCH(J596, 'Green_rooibos initial weight'!$A$5:$A$1749,0)),"")</f>
        <v>1.883</v>
      </c>
      <c r="L596" s="225">
        <f>IFERROR(K596-(TBIcalc!$H$9+TBIcalc!$H$10),"")</f>
        <v>1.6332</v>
      </c>
      <c r="M596" s="391">
        <f>AVERAGE(Ashed_controlls!$K$2:$K$11)</f>
        <v>5.5147656768714146</v>
      </c>
      <c r="N596" s="225">
        <f t="shared" si="49"/>
        <v>1.543132846965336</v>
      </c>
      <c r="O596" s="225" t="str">
        <f>IF(IFERROR(INDEX('Both teabags AfterWet'!$C$3:$C$841,MATCH(J596,'Both teabags AfterWet'!$A$3:$A$841,0)),"")="","",(IFERROR(INDEX('Both teabags AfterWet'!$C$3:$C$841,MATCH(J596,'Both teabags AfterWet'!$A$3:$A$841,0)),"")))</f>
        <v/>
      </c>
      <c r="P596" s="225" t="str">
        <f>IFERROR(IF(O596&gt;0,O596-(TBIcalc!$H$9),""),"")</f>
        <v/>
      </c>
      <c r="Q596" s="225">
        <f>IFERROR(INDEX('Ashed teabags wet'!$K$2:$K$821,MATCH(J596,'Ashed teabags wet'!$A$2:$A$821,0)),"")</f>
        <v>19.219219219219006</v>
      </c>
      <c r="R596" s="225" t="str">
        <f t="shared" si="52"/>
        <v/>
      </c>
      <c r="S596" s="226">
        <f>'WetLitterbags placem_collection'!E157</f>
        <v>42762</v>
      </c>
      <c r="T596" s="226">
        <f>IF('WetLitterbags placem_collection'!G157="","",'WetLitterbags placem_collection'!G157)</f>
        <v>42816</v>
      </c>
      <c r="U596" s="227">
        <f t="shared" si="48"/>
        <v>54</v>
      </c>
      <c r="V596" s="225" t="str">
        <f t="shared" si="50"/>
        <v/>
      </c>
      <c r="W596" s="225" t="str">
        <f t="shared" si="51"/>
        <v/>
      </c>
      <c r="X596">
        <f>IFERROR(INDEX(Rainfall_Wet!$O$2:$O$217,MATCH(B596, Rainfall_Wet!$A$2:$A$217,0)),"")</f>
        <v>206.85140822299999</v>
      </c>
      <c r="Y596" s="231">
        <v>27.96</v>
      </c>
      <c r="Z596" s="231">
        <v>4.9200000000000017</v>
      </c>
      <c r="AA596" s="231">
        <v>67.12</v>
      </c>
      <c r="AB596" s="232" t="s">
        <v>2670</v>
      </c>
      <c r="AC596" s="231">
        <v>3.0437161163134498</v>
      </c>
      <c r="AD596">
        <f>IF('WetLitterbags placem_collection'!AB157="","",'WetLitterbags placem_collection'!AB157)</f>
        <v>1.2</v>
      </c>
      <c r="AE596">
        <f>IF('WetLitterbags placem_collection'!Z157="","",'WetLitterbags placem_collection'!Z157)</f>
        <v>11</v>
      </c>
      <c r="AF596" s="246" t="str">
        <f>IF('WetLitterbags placem_collection'!AA157="","",'WetLitterbags placem_collection'!AA157)</f>
        <v>G</v>
      </c>
      <c r="AG596">
        <f>IF('WetLitterbags placem_collection'!AC157="","",'WetLitterbags placem_collection'!AC157)</f>
        <v>0</v>
      </c>
      <c r="AH596" s="24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placem_collection'!X157)),"YES","NO")</f>
        <v>NO</v>
      </c>
      <c r="AM596" t="str">
        <f>IF(ISNUMBER(SEARCH("H", 'WetLitterbags placem_collection'!X157)),"YES","NO")</f>
        <v>NO</v>
      </c>
      <c r="AN596" t="str">
        <f>IF(ISNUMBER(SEARCH("R", 'WetLitterbags placem_collection'!X157)),"YES","NO")</f>
        <v>NO</v>
      </c>
    </row>
    <row r="597" spans="1:40" ht="15" customHeight="1">
      <c r="A597" s="258" t="s">
        <v>2460</v>
      </c>
      <c r="B597" s="263">
        <f>'Dry_Litterbag Placem_Collection'!A158</f>
        <v>156</v>
      </c>
      <c r="C597" s="263" t="str">
        <f>'Dry_Litterbag Placem_Collection'!B158</f>
        <v xml:space="preserve">Mwantimba
</v>
      </c>
      <c r="D597" s="263" t="s">
        <v>2659</v>
      </c>
      <c r="E597" s="263" t="s">
        <v>20</v>
      </c>
      <c r="F597" s="263">
        <v>4</v>
      </c>
      <c r="G597" s="264" t="str">
        <f>'Dry_Litterbag Placem_Collection'!C158</f>
        <v>Wet_P4_T4</v>
      </c>
      <c r="H597" s="273" t="s">
        <v>3651</v>
      </c>
      <c r="I597" s="266" t="s">
        <v>1147</v>
      </c>
      <c r="J597" s="223" t="str">
        <f>'WetLitterbags placem_collection'!O158</f>
        <v>G667</v>
      </c>
      <c r="K597" s="225">
        <f>IFERROR(INDEX('Green_rooibos initial weight'!$C$5:$C$1749,MATCH(J597, 'Green_rooibos initial weight'!$A$5:$A$1749,0)),"")</f>
        <v>2.048</v>
      </c>
      <c r="L597" s="225">
        <f>IFERROR(K597-(TBIcalc!$H$9+TBIcalc!$H$10),"")</f>
        <v>1.7982</v>
      </c>
      <c r="M597" s="391">
        <f>AVERAGE(Ashed_controlls!$K$2:$K$11)</f>
        <v>5.5147656768714146</v>
      </c>
      <c r="N597" s="225">
        <f t="shared" si="49"/>
        <v>1.6990334835984982</v>
      </c>
      <c r="O597" s="225">
        <f>IF(IFERROR(INDEX('Both teabags AfterWet'!$C$3:$C$841,MATCH(J597,'Both teabags AfterWet'!$A$3:$A$841,0)),"")="","",(IFERROR(INDEX('Both teabags AfterWet'!$C$3:$C$841,MATCH(J597,'Both teabags AfterWet'!$A$3:$A$841,0)),"")))</f>
        <v>0.65800000000000003</v>
      </c>
      <c r="P597" s="225">
        <f>IFERROR(IF(O597&gt;0,O597-(TBIcalc!$H$9),""),"")</f>
        <v>0.50740000000000007</v>
      </c>
      <c r="Q597" s="225">
        <f>IFERROR(INDEX('Ashed teabags wet'!$K$2:$K$821,MATCH(J597,'Ashed teabags wet'!$A$2:$A$821,0)),"")</f>
        <v>27.494061757718864</v>
      </c>
      <c r="R597" s="225">
        <f t="shared" si="52"/>
        <v>0.36789513064133456</v>
      </c>
      <c r="S597" s="226">
        <f>'WetLitterbags placem_collection'!E158</f>
        <v>42762</v>
      </c>
      <c r="T597" s="226">
        <f>IF('WetLitterbags placem_collection'!G158="","",'WetLitterbags placem_collection'!G158)</f>
        <v>42816</v>
      </c>
      <c r="U597" s="227">
        <f t="shared" si="48"/>
        <v>54</v>
      </c>
      <c r="V597" s="225">
        <f t="shared" si="50"/>
        <v>1.2907999999999999</v>
      </c>
      <c r="W597" s="225">
        <f t="shared" si="51"/>
        <v>1.3311383529571637</v>
      </c>
      <c r="X597">
        <f>IFERROR(INDEX(Rainfall_Wet!$O$2:$O$217,MATCH(B597, Rainfall_Wet!$A$2:$A$217,0)),"")</f>
        <v>206.85140822299999</v>
      </c>
      <c r="Y597" s="231">
        <v>27.96</v>
      </c>
      <c r="Z597" s="231">
        <v>4.9200000000000017</v>
      </c>
      <c r="AA597" s="231">
        <v>67.12</v>
      </c>
      <c r="AB597" s="232" t="s">
        <v>2670</v>
      </c>
      <c r="AC597" s="231">
        <v>4.0437161163134503</v>
      </c>
      <c r="AD597">
        <f>IF('WetLitterbags placem_collection'!AB158="","",'WetLitterbags placem_collection'!AB158)</f>
        <v>1.55</v>
      </c>
      <c r="AE597">
        <f>IF('WetLitterbags placem_collection'!Z158="","",'WetLitterbags placem_collection'!Z158)</f>
        <v>9.1</v>
      </c>
      <c r="AF597" s="246" t="str">
        <f>IF('WetLitterbags placem_collection'!AA158="","",'WetLitterbags placem_collection'!AA158)</f>
        <v>O</v>
      </c>
      <c r="AG597">
        <f>IF('WetLitterbags placem_collection'!AC158="","",'WetLitterbags placem_collection'!AC158)</f>
        <v>0</v>
      </c>
      <c r="AH597" s="24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placem_collection'!X158)),"YES","NO")</f>
        <v>NO</v>
      </c>
      <c r="AM597" t="str">
        <f>IF(ISNUMBER(SEARCH("H", 'WetLitterbags placem_collection'!X158)),"YES","NO")</f>
        <v>NO</v>
      </c>
      <c r="AN597" t="str">
        <f>IF(ISNUMBER(SEARCH("R", 'WetLitterbags placem_collection'!X158)),"YES","NO")</f>
        <v>YES</v>
      </c>
    </row>
    <row r="598" spans="1:40" ht="15" customHeight="1">
      <c r="A598" s="258" t="s">
        <v>2460</v>
      </c>
      <c r="B598" s="263">
        <f>'Dry_Litterbag Placem_Collection'!A159</f>
        <v>157</v>
      </c>
      <c r="C598" s="263" t="str">
        <f>'Dry_Litterbag Placem_Collection'!B159</f>
        <v xml:space="preserve">Mwantimba
</v>
      </c>
      <c r="D598" s="263" t="s">
        <v>2659</v>
      </c>
      <c r="E598" s="263" t="s">
        <v>20</v>
      </c>
      <c r="F598" s="263">
        <v>4</v>
      </c>
      <c r="G598" s="264" t="str">
        <f>'Dry_Litterbag Placem_Collection'!C159</f>
        <v>Wet_P4_T5</v>
      </c>
      <c r="H598" s="273" t="s">
        <v>3651</v>
      </c>
      <c r="I598" s="266" t="s">
        <v>1147</v>
      </c>
      <c r="J598" s="223" t="str">
        <f>'WetLitterbags placem_collection'!O159</f>
        <v>G777</v>
      </c>
      <c r="K598" s="225">
        <f>IFERROR(INDEX('Green_rooibos initial weight'!$C$5:$C$1749,MATCH(J598, 'Green_rooibos initial weight'!$A$5:$A$1749,0)),"")</f>
        <v>2.0470000000000002</v>
      </c>
      <c r="L598" s="225">
        <f>IFERROR(K598-(TBIcalc!$H$9+TBIcalc!$H$10),"")</f>
        <v>1.7972000000000001</v>
      </c>
      <c r="M598" s="391">
        <f>AVERAGE(Ashed_controlls!$K$2:$K$11)</f>
        <v>5.5147656768714146</v>
      </c>
      <c r="N598" s="225">
        <f t="shared" si="49"/>
        <v>1.698088631255267</v>
      </c>
      <c r="O598" s="225">
        <f>IF(IFERROR(INDEX('Both teabags AfterWet'!$C$3:$C$841,MATCH(J598,'Both teabags AfterWet'!$A$3:$A$841,0)),"")="","",(IFERROR(INDEX('Both teabags AfterWet'!$C$3:$C$841,MATCH(J598,'Both teabags AfterWet'!$A$3:$A$841,0)),"")))</f>
        <v>0.70499999999999996</v>
      </c>
      <c r="P598" s="225">
        <f>IFERROR(IF(O598&gt;0,O598-(TBIcalc!$H$9),""),"")</f>
        <v>0.5544</v>
      </c>
      <c r="Q598" s="225">
        <f>IFERROR(INDEX('Ashed teabags wet'!$K$2:$K$821,MATCH(J598,'Ashed teabags wet'!$A$2:$A$821,0)),"")</f>
        <v>15.610972568578548</v>
      </c>
      <c r="R598" s="225">
        <f t="shared" si="52"/>
        <v>0.46785276807980053</v>
      </c>
      <c r="S598" s="226">
        <f>'WetLitterbags placem_collection'!E159</f>
        <v>42762</v>
      </c>
      <c r="T598" s="226">
        <f>IF('WetLitterbags placem_collection'!G159="","",'WetLitterbags placem_collection'!G159)</f>
        <v>42816</v>
      </c>
      <c r="U598" s="227">
        <f t="shared" si="48"/>
        <v>54</v>
      </c>
      <c r="V598" s="225">
        <f t="shared" si="50"/>
        <v>1.2428000000000001</v>
      </c>
      <c r="W598" s="225">
        <f t="shared" si="51"/>
        <v>1.2302358631754664</v>
      </c>
      <c r="X598">
        <f>IFERROR(INDEX(Rainfall_Wet!$O$2:$O$217,MATCH(B598, Rainfall_Wet!$A$2:$A$217,0)),"")</f>
        <v>206.85140822299999</v>
      </c>
      <c r="Y598" s="231">
        <v>27.96</v>
      </c>
      <c r="Z598" s="231">
        <v>4.9200000000000017</v>
      </c>
      <c r="AA598" s="231">
        <v>67.12</v>
      </c>
      <c r="AB598" s="232" t="s">
        <v>2670</v>
      </c>
      <c r="AC598" s="231">
        <v>5.0437161163134503</v>
      </c>
      <c r="AD598">
        <f>IF('WetLitterbags placem_collection'!AB159="","",'WetLitterbags placem_collection'!AB159)</f>
        <v>2.2999999999999998</v>
      </c>
      <c r="AE598">
        <f>IF('WetLitterbags placem_collection'!Z159="","",'WetLitterbags placem_collection'!Z159)</f>
        <v>7.7</v>
      </c>
      <c r="AF598" s="246" t="str">
        <f>IF('WetLitterbags placem_collection'!AA159="","",'WetLitterbags placem_collection'!AA159)</f>
        <v>O</v>
      </c>
      <c r="AG598">
        <f>IF('WetLitterbags placem_collection'!AC159="","",'WetLitterbags placem_collection'!AC159)</f>
        <v>0</v>
      </c>
      <c r="AH598" s="24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placem_collection'!X159)),"YES","NO")</f>
        <v>NO</v>
      </c>
      <c r="AM598" t="str">
        <f>IF(ISNUMBER(SEARCH("H", 'WetLitterbags placem_collection'!X159)),"YES","NO")</f>
        <v>NO</v>
      </c>
      <c r="AN598" t="str">
        <f>IF(ISNUMBER(SEARCH("R", 'WetLitterbags placem_collection'!X159)),"YES","NO")</f>
        <v>YES</v>
      </c>
    </row>
    <row r="599" spans="1:40" ht="15" customHeight="1">
      <c r="A599" s="258" t="s">
        <v>2460</v>
      </c>
      <c r="B599" s="263">
        <f>'Dry_Litterbag Placem_Collection'!A160</f>
        <v>158</v>
      </c>
      <c r="C599" s="263" t="str">
        <f>'Dry_Litterbag Placem_Collection'!B160</f>
        <v xml:space="preserve">Mwantimba
</v>
      </c>
      <c r="D599" s="263" t="s">
        <v>2659</v>
      </c>
      <c r="E599" s="263" t="s">
        <v>20</v>
      </c>
      <c r="F599" s="263">
        <v>4</v>
      </c>
      <c r="G599" s="264" t="str">
        <f>'Dry_Litterbag Placem_Collection'!C160</f>
        <v>Wet_P4_T6</v>
      </c>
      <c r="H599" s="273" t="s">
        <v>3651</v>
      </c>
      <c r="I599" s="266" t="s">
        <v>1147</v>
      </c>
      <c r="J599" s="223" t="str">
        <f>'WetLitterbags placem_collection'!O160</f>
        <v>G884</v>
      </c>
      <c r="K599" s="225">
        <f>IFERROR(INDEX('Green_rooibos initial weight'!$C$5:$C$1749,MATCH(J599, 'Green_rooibos initial weight'!$A$5:$A$1749,0)),"")</f>
        <v>2.0710000000000002</v>
      </c>
      <c r="L599" s="225">
        <f>IFERROR(K599-(TBIcalc!$H$9+TBIcalc!$H$10),"")</f>
        <v>1.8212000000000002</v>
      </c>
      <c r="M599" s="391">
        <f>AVERAGE(Ashed_controlls!$K$2:$K$11)</f>
        <v>5.5147656768714146</v>
      </c>
      <c r="N599" s="225">
        <f t="shared" si="49"/>
        <v>1.720765087492818</v>
      </c>
      <c r="O599" s="225">
        <f>IF(IFERROR(INDEX('Both teabags AfterWet'!$C$3:$C$841,MATCH(J599,'Both teabags AfterWet'!$A$3:$A$841,0)),"")="","",(IFERROR(INDEX('Both teabags AfterWet'!$C$3:$C$841,MATCH(J599,'Both teabags AfterWet'!$A$3:$A$841,0)),"")))</f>
        <v>0.629</v>
      </c>
      <c r="P599" s="225">
        <f>IFERROR(IF(O599&gt;0,O599-(TBIcalc!$H$9),""),"")</f>
        <v>0.47839999999999999</v>
      </c>
      <c r="Q599" s="225">
        <f>IFERROR(INDEX('Ashed teabags wet'!$K$2:$K$821,MATCH(J599,'Ashed teabags wet'!$A$2:$A$821,0)),"")</f>
        <v>11.313330054107281</v>
      </c>
      <c r="R599" s="225">
        <f t="shared" si="52"/>
        <v>0.42427702902115078</v>
      </c>
      <c r="S599" s="226">
        <f>'WetLitterbags placem_collection'!E160</f>
        <v>42762</v>
      </c>
      <c r="T599" s="226">
        <f>IF('WetLitterbags placem_collection'!G160="","",'WetLitterbags placem_collection'!G160)</f>
        <v>42816</v>
      </c>
      <c r="U599" s="227">
        <f t="shared" si="48"/>
        <v>54</v>
      </c>
      <c r="V599" s="225">
        <f t="shared" si="50"/>
        <v>1.3428000000000002</v>
      </c>
      <c r="W599" s="225">
        <f t="shared" si="51"/>
        <v>1.2964880584716671</v>
      </c>
      <c r="X599">
        <f>IFERROR(INDEX(Rainfall_Wet!$O$2:$O$217,MATCH(B599, Rainfall_Wet!$A$2:$A$217,0)),"")</f>
        <v>206.85140822299999</v>
      </c>
      <c r="Y599" s="231">
        <v>27.96</v>
      </c>
      <c r="Z599" s="231">
        <v>4.9200000000000017</v>
      </c>
      <c r="AA599" s="231">
        <v>67.12</v>
      </c>
      <c r="AB599" s="232" t="s">
        <v>2670</v>
      </c>
      <c r="AC599" s="231">
        <v>6.0437161163134503</v>
      </c>
      <c r="AD599">
        <f>IF('WetLitterbags placem_collection'!AB160="","",'WetLitterbags placem_collection'!AB160)</f>
        <v>1.9</v>
      </c>
      <c r="AE599">
        <f>IF('WetLitterbags placem_collection'!Z160="","",'WetLitterbags placem_collection'!Z160)</f>
        <v>4.3</v>
      </c>
      <c r="AF599" s="246" t="str">
        <f>IF('WetLitterbags placem_collection'!AA160="","",'WetLitterbags placem_collection'!AA160)</f>
        <v>O</v>
      </c>
      <c r="AG599">
        <f>IF('WetLitterbags placem_collection'!AC160="","",'WetLitterbags placem_collection'!AC160)</f>
        <v>0</v>
      </c>
      <c r="AH599" s="24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placem_collection'!X160)),"YES","NO")</f>
        <v>NO</v>
      </c>
      <c r="AM599" t="str">
        <f>IF(ISNUMBER(SEARCH("H", 'WetLitterbags placem_collection'!X160)),"YES","NO")</f>
        <v>NO</v>
      </c>
      <c r="AN599" t="str">
        <f>IF(ISNUMBER(SEARCH("R", 'WetLitterbags placem_collection'!X160)),"YES","NO")</f>
        <v>YES</v>
      </c>
    </row>
    <row r="600" spans="1:40" ht="15" customHeight="1">
      <c r="A600" s="258" t="s">
        <v>2460</v>
      </c>
      <c r="B600" s="263">
        <f>'Dry_Litterbag Placem_Collection'!A161</f>
        <v>159</v>
      </c>
      <c r="C600" s="263" t="str">
        <f>'Dry_Litterbag Placem_Collection'!B161</f>
        <v xml:space="preserve">Mwantimba
</v>
      </c>
      <c r="D600" s="263" t="s">
        <v>2659</v>
      </c>
      <c r="E600" s="263" t="s">
        <v>20</v>
      </c>
      <c r="F600" s="263">
        <v>4</v>
      </c>
      <c r="G600" s="264" t="str">
        <f>'Dry_Litterbag Placem_Collection'!C161</f>
        <v>Wet_P4_T7</v>
      </c>
      <c r="H600" s="273" t="s">
        <v>3651</v>
      </c>
      <c r="I600" s="266" t="s">
        <v>1147</v>
      </c>
      <c r="J600" s="223" t="str">
        <f>'WetLitterbags placem_collection'!O161</f>
        <v>G731</v>
      </c>
      <c r="K600" s="225">
        <f>IFERROR(INDEX('Green_rooibos initial weight'!$C$5:$C$1749,MATCH(J600, 'Green_rooibos initial weight'!$A$5:$A$1749,0)),"")</f>
        <v>2.14</v>
      </c>
      <c r="L600" s="225">
        <f>IFERROR(K600-(TBIcalc!$H$9+TBIcalc!$H$10),"")</f>
        <v>1.8902000000000001</v>
      </c>
      <c r="M600" s="391">
        <f>AVERAGE(Ashed_controlls!$K$2:$K$11)</f>
        <v>5.5147656768714146</v>
      </c>
      <c r="N600" s="225">
        <f t="shared" si="49"/>
        <v>1.7859598991757766</v>
      </c>
      <c r="O600" s="225" t="str">
        <f>IF(IFERROR(INDEX('Both teabags AfterWet'!$C$3:$C$841,MATCH(J600,'Both teabags AfterWet'!$A$3:$A$841,0)),"")="","",(IFERROR(INDEX('Both teabags AfterWet'!$C$3:$C$841,MATCH(J600,'Both teabags AfterWet'!$A$3:$A$841,0)),"")))</f>
        <v/>
      </c>
      <c r="P600" s="225" t="str">
        <f>IFERROR(IF(O600&gt;0,O600-(TBIcalc!$H$9),""),"")</f>
        <v/>
      </c>
      <c r="Q600" s="225" t="str">
        <f>IFERROR(INDEX('Ashed teabags wet'!$K$2:$K$821,MATCH(J600,'Ashed teabags wet'!$A$2:$A$821,0)),"")</f>
        <v/>
      </c>
      <c r="R600" s="225" t="str">
        <f t="shared" si="52"/>
        <v/>
      </c>
      <c r="S600" s="226">
        <f>'WetLitterbags placem_collection'!E161</f>
        <v>42762</v>
      </c>
      <c r="T600" s="226">
        <f>IF('WetLitterbags placem_collection'!G161="","",'WetLitterbags placem_collection'!G161)</f>
        <v>42816</v>
      </c>
      <c r="U600" s="227">
        <f t="shared" si="48"/>
        <v>54</v>
      </c>
      <c r="V600" s="225" t="str">
        <f t="shared" si="50"/>
        <v/>
      </c>
      <c r="W600" s="225" t="str">
        <f t="shared" si="51"/>
        <v/>
      </c>
      <c r="X600">
        <f>IFERROR(INDEX(Rainfall_Wet!$O$2:$O$217,MATCH(B600, Rainfall_Wet!$A$2:$A$217,0)),"")</f>
        <v>206.85140822299999</v>
      </c>
      <c r="Y600" s="231">
        <v>27.96</v>
      </c>
      <c r="Z600" s="231">
        <v>4.9200000000000017</v>
      </c>
      <c r="AA600" s="231">
        <v>67.12</v>
      </c>
      <c r="AB600" s="232" t="s">
        <v>2670</v>
      </c>
      <c r="AC600" s="231">
        <v>7.0437161163134503</v>
      </c>
      <c r="AD600">
        <f>IF('WetLitterbags placem_collection'!AB161="","",'WetLitterbags placem_collection'!AB161)</f>
        <v>2.65</v>
      </c>
      <c r="AE600">
        <f>IF('WetLitterbags placem_collection'!Z161="","",'WetLitterbags placem_collection'!Z161)</f>
        <v>0</v>
      </c>
      <c r="AF600" s="246" t="str">
        <f>IF('WetLitterbags placem_collection'!AA161="","",'WetLitterbags placem_collection'!AA161)</f>
        <v>G</v>
      </c>
      <c r="AG600">
        <f>IF('WetLitterbags placem_collection'!AC161="","",'WetLitterbags placem_collection'!AC161)</f>
        <v>1</v>
      </c>
      <c r="AH600" s="24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placem_collection'!X161)),"YES","NO")</f>
        <v>NO</v>
      </c>
      <c r="AM600" t="str">
        <f>IF(ISNUMBER(SEARCH("H", 'WetLitterbags placem_collection'!X161)),"YES","NO")</f>
        <v>NO</v>
      </c>
      <c r="AN600" t="str">
        <f>IF(ISNUMBER(SEARCH("R", 'WetLitterbags placem_collection'!X161)),"YES","NO")</f>
        <v>NO</v>
      </c>
    </row>
    <row r="601" spans="1:40" ht="15" customHeight="1">
      <c r="A601" s="258" t="s">
        <v>2460</v>
      </c>
      <c r="B601" s="263">
        <f>'Dry_Litterbag Placem_Collection'!A162</f>
        <v>160</v>
      </c>
      <c r="C601" s="263" t="str">
        <f>'Dry_Litterbag Placem_Collection'!B162</f>
        <v xml:space="preserve">Mwantimba
</v>
      </c>
      <c r="D601" s="263" t="s">
        <v>2659</v>
      </c>
      <c r="E601" s="263" t="s">
        <v>20</v>
      </c>
      <c r="F601" s="263">
        <v>4</v>
      </c>
      <c r="G601" s="264" t="str">
        <f>'Dry_Litterbag Placem_Collection'!C162</f>
        <v>Wet_P4_T8</v>
      </c>
      <c r="H601" s="273" t="s">
        <v>3651</v>
      </c>
      <c r="I601" s="266" t="s">
        <v>1147</v>
      </c>
      <c r="J601" s="223" t="str">
        <f>'WetLitterbags placem_collection'!O162</f>
        <v>G876</v>
      </c>
      <c r="K601" s="225">
        <f>IFERROR(INDEX('Green_rooibos initial weight'!$C$5:$C$1749,MATCH(J601, 'Green_rooibos initial weight'!$A$5:$A$1749,0)),"")</f>
        <v>1.9550000000000001</v>
      </c>
      <c r="L601" s="225">
        <f>IFERROR(K601-(TBIcalc!$H$9+TBIcalc!$H$10),"")</f>
        <v>1.7052</v>
      </c>
      <c r="M601" s="391">
        <f>AVERAGE(Ashed_controlls!$K$2:$K$11)</f>
        <v>5.5147656768714146</v>
      </c>
      <c r="N601" s="225">
        <f t="shared" si="49"/>
        <v>1.6111622156779888</v>
      </c>
      <c r="O601" s="225">
        <f>IF(IFERROR(INDEX('Both teabags AfterWet'!$C$3:$C$841,MATCH(J601,'Both teabags AfterWet'!$A$3:$A$841,0)),"")="","",(IFERROR(INDEX('Both teabags AfterWet'!$C$3:$C$841,MATCH(J601,'Both teabags AfterWet'!$A$3:$A$841,0)),"")))</f>
        <v>0.68100000000000005</v>
      </c>
      <c r="P601" s="225">
        <f>IFERROR(IF(O601&gt;0,O601-(TBIcalc!$H$9),""),"")</f>
        <v>0.53039999999999998</v>
      </c>
      <c r="Q601" s="225">
        <f>IFERROR(INDEX('Ashed teabags wet'!$K$2:$K$821,MATCH(J601,'Ashed teabags wet'!$A$2:$A$821,0)),"")</f>
        <v>12.187812187811872</v>
      </c>
      <c r="R601" s="225">
        <f t="shared" si="52"/>
        <v>0.46575584415584581</v>
      </c>
      <c r="S601" s="226">
        <f>'WetLitterbags placem_collection'!E162</f>
        <v>42762</v>
      </c>
      <c r="T601" s="226">
        <f>IF('WetLitterbags placem_collection'!G162="","",'WetLitterbags placem_collection'!G162)</f>
        <v>42816</v>
      </c>
      <c r="U601" s="227">
        <f t="shared" si="48"/>
        <v>54</v>
      </c>
      <c r="V601" s="225">
        <f t="shared" si="50"/>
        <v>1.1748000000000001</v>
      </c>
      <c r="W601" s="225">
        <f t="shared" si="51"/>
        <v>1.145406371522143</v>
      </c>
      <c r="X601">
        <f>IFERROR(INDEX(Rainfall_Wet!$O$2:$O$217,MATCH(B601, Rainfall_Wet!$A$2:$A$217,0)),"")</f>
        <v>206.85140822299999</v>
      </c>
      <c r="Y601" s="231">
        <v>27.96</v>
      </c>
      <c r="Z601" s="231">
        <v>4.9200000000000017</v>
      </c>
      <c r="AA601" s="231">
        <v>67.12</v>
      </c>
      <c r="AB601" s="232" t="s">
        <v>2670</v>
      </c>
      <c r="AC601" s="231">
        <v>8.0437161163134494</v>
      </c>
      <c r="AD601">
        <f>IF('WetLitterbags placem_collection'!AB162="","",'WetLitterbags placem_collection'!AB162)</f>
        <v>0.8</v>
      </c>
      <c r="AE601">
        <f>IF('WetLitterbags placem_collection'!Z162="","",'WetLitterbags placem_collection'!Z162)</f>
        <v>10.8</v>
      </c>
      <c r="AF601" s="246" t="str">
        <f>IF('WetLitterbags placem_collection'!AA162="","",'WetLitterbags placem_collection'!AA162)</f>
        <v>O</v>
      </c>
      <c r="AG601">
        <f>IF('WetLitterbags placem_collection'!AC162="","",'WetLitterbags placem_collection'!AC162)</f>
        <v>0</v>
      </c>
      <c r="AH601" s="24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placem_collection'!X162)),"YES","NO")</f>
        <v>NO</v>
      </c>
      <c r="AM601" t="str">
        <f>IF(ISNUMBER(SEARCH("H", 'WetLitterbags placem_collection'!X162)),"YES","NO")</f>
        <v>NO</v>
      </c>
      <c r="AN601" t="str">
        <f>IF(ISNUMBER(SEARCH("R", 'WetLitterbags placem_collection'!X162)),"YES","NO")</f>
        <v>YES</v>
      </c>
    </row>
    <row r="602" spans="1:40" ht="15" customHeight="1">
      <c r="A602" s="258" t="s">
        <v>2460</v>
      </c>
      <c r="B602" s="263">
        <f>'Dry_Litterbag Placem_Collection'!A163</f>
        <v>161</v>
      </c>
      <c r="C602" s="263" t="str">
        <f>'Dry_Litterbag Placem_Collection'!B163</f>
        <v>Handajega</v>
      </c>
      <c r="D602" s="263" t="s">
        <v>2659</v>
      </c>
      <c r="E602" s="263" t="s">
        <v>2661</v>
      </c>
      <c r="F602" s="263">
        <v>1</v>
      </c>
      <c r="G602" s="264" t="str">
        <f>'Dry_Litterbag Placem_Collection'!C163</f>
        <v>Wet_W1_T1</v>
      </c>
      <c r="H602" s="273" t="s">
        <v>3651</v>
      </c>
      <c r="I602" s="266" t="s">
        <v>1147</v>
      </c>
      <c r="J602" s="223" t="str">
        <f>'WetLitterbags placem_collection'!O163</f>
        <v>G351</v>
      </c>
      <c r="K602" s="225">
        <f>IFERROR(INDEX('Green_rooibos initial weight'!$C$5:$C$1749,MATCH(J602, 'Green_rooibos initial weight'!$A$5:$A$1749,0)),"")</f>
        <v>1.909</v>
      </c>
      <c r="L602" s="225">
        <f>IFERROR(K602-(TBIcalc!$H$9+TBIcalc!$H$10),"")</f>
        <v>1.6592</v>
      </c>
      <c r="M602" s="391">
        <f>AVERAGE(Ashed_controlls!$K$2:$K$11)</f>
        <v>5.5147656768714146</v>
      </c>
      <c r="N602" s="225">
        <f t="shared" si="49"/>
        <v>1.5676990078893496</v>
      </c>
      <c r="O602" s="225">
        <f>IF(IFERROR(INDEX('Both teabags AfterWet'!$C$3:$C$841,MATCH(J602,'Both teabags AfterWet'!$A$3:$A$841,0)),"")="","",(IFERROR(INDEX('Both teabags AfterWet'!$C$3:$C$841,MATCH(J602,'Both teabags AfterWet'!$A$3:$A$841,0)),"")))</f>
        <v>0.58709999999999996</v>
      </c>
      <c r="P602" s="225">
        <f>IFERROR(IF(O602&gt;0,O602-(TBIcalc!$H$9),""),"")</f>
        <v>0.43649999999999994</v>
      </c>
      <c r="Q602" s="225">
        <f>IFERROR(INDEX('Ashed teabags wet'!$K$2:$K$821,MATCH(J602,'Ashed teabags wet'!$A$2:$A$821,0)),"")</f>
        <v>11.028315946348718</v>
      </c>
      <c r="R602" s="225">
        <f t="shared" si="52"/>
        <v>0.3883614008941878</v>
      </c>
      <c r="S602" s="226">
        <f>'WetLitterbags placem_collection'!E163</f>
        <v>42763</v>
      </c>
      <c r="T602" s="226">
        <f>IF('WetLitterbags placem_collection'!G163="","",'WetLitterbags placem_collection'!G163)</f>
        <v>42814</v>
      </c>
      <c r="U602" s="227">
        <f t="shared" si="48"/>
        <v>51</v>
      </c>
      <c r="V602" s="225">
        <f t="shared" si="50"/>
        <v>1.2227000000000001</v>
      </c>
      <c r="W602" s="225">
        <f t="shared" si="51"/>
        <v>1.1793376069951618</v>
      </c>
      <c r="X602">
        <f>IFERROR(INDEX(Rainfall_Wet!$O$2:$O$217,MATCH(B602, Rainfall_Wet!$A$2:$A$217,0)),"")</f>
        <v>181.383442621</v>
      </c>
      <c r="Y602" s="231">
        <v>21.96</v>
      </c>
      <c r="Z602" s="231">
        <v>4.9199999999999982</v>
      </c>
      <c r="AA602" s="231">
        <v>73.12</v>
      </c>
      <c r="AB602" s="232" t="s">
        <v>2670</v>
      </c>
      <c r="AC602" s="231">
        <v>1.2416954164613114</v>
      </c>
      <c r="AD602">
        <f>IF('WetLitterbags placem_collection'!AB163="","",'WetLitterbags placem_collection'!AB163)</f>
        <v>7.6</v>
      </c>
      <c r="AE602">
        <f>IF('WetLitterbags placem_collection'!Z163="","",'WetLitterbags placem_collection'!Z163)</f>
        <v>35.799999999999997</v>
      </c>
      <c r="AF602" s="246" t="str">
        <f>IF('WetLitterbags placem_collection'!AA163="","",'WetLitterbags placem_collection'!AA163)</f>
        <v>M</v>
      </c>
      <c r="AG602">
        <f>IF('WetLitterbags placem_collection'!AC163="","",'WetLitterbags placem_collection'!AC163)</f>
        <v>0</v>
      </c>
      <c r="AH602" s="24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placem_collection'!X163)),"YES","NO")</f>
        <v>NO</v>
      </c>
      <c r="AM602" t="str">
        <f>IF(ISNUMBER(SEARCH("H", 'WetLitterbags placem_collection'!X163)),"YES","NO")</f>
        <v>NO</v>
      </c>
      <c r="AN602" t="str">
        <f>IF(ISNUMBER(SEARCH("R", 'WetLitterbags placem_collection'!X163)),"YES","NO")</f>
        <v>NO</v>
      </c>
    </row>
    <row r="603" spans="1:40" ht="15" customHeight="1">
      <c r="A603" s="258" t="s">
        <v>2460</v>
      </c>
      <c r="B603" s="263">
        <f>'Dry_Litterbag Placem_Collection'!A164</f>
        <v>162</v>
      </c>
      <c r="C603" s="263" t="str">
        <f>'Dry_Litterbag Placem_Collection'!B164</f>
        <v>Handajega</v>
      </c>
      <c r="D603" s="263" t="s">
        <v>2659</v>
      </c>
      <c r="E603" s="263" t="s">
        <v>2661</v>
      </c>
      <c r="F603" s="263">
        <v>1</v>
      </c>
      <c r="G603" s="264" t="str">
        <f>'Dry_Litterbag Placem_Collection'!C164</f>
        <v>Wet_W1_T2</v>
      </c>
      <c r="H603" s="273" t="s">
        <v>3651</v>
      </c>
      <c r="I603" s="266" t="s">
        <v>1147</v>
      </c>
      <c r="J603" s="223" t="str">
        <f>'WetLitterbags placem_collection'!O164</f>
        <v>G442</v>
      </c>
      <c r="K603" s="225">
        <f>IFERROR(INDEX('Green_rooibos initial weight'!$C$5:$C$1749,MATCH(J603, 'Green_rooibos initial weight'!$A$5:$A$1749,0)),"")</f>
        <v>2.056</v>
      </c>
      <c r="L603" s="225">
        <f>IFERROR(K603-(TBIcalc!$H$9+TBIcalc!$H$10),"")</f>
        <v>1.8062</v>
      </c>
      <c r="M603" s="391">
        <f>AVERAGE(Ashed_controlls!$K$2:$K$11)</f>
        <v>5.5147656768714146</v>
      </c>
      <c r="N603" s="225">
        <f t="shared" si="49"/>
        <v>1.7065923023443486</v>
      </c>
      <c r="O603" s="225">
        <f>IF(IFERROR(INDEX('Both teabags AfterWet'!$C$3:$C$841,MATCH(J603,'Both teabags AfterWet'!$A$3:$A$841,0)),"")="","",(IFERROR(INDEX('Both teabags AfterWet'!$C$3:$C$841,MATCH(J603,'Both teabags AfterWet'!$A$3:$A$841,0)),"")))</f>
        <v>0.66290000000000004</v>
      </c>
      <c r="P603" s="225">
        <f>IFERROR(IF(O603&gt;0,O603-(TBIcalc!$H$9),""),"")</f>
        <v>0.51229999999999998</v>
      </c>
      <c r="Q603" s="225">
        <f>IFERROR(INDEX('Ashed teabags wet'!$K$2:$K$821,MATCH(J603,'Ashed teabags wet'!$A$2:$A$821,0)),"")</f>
        <v>7.6199901039089131</v>
      </c>
      <c r="R603" s="225">
        <f t="shared" si="52"/>
        <v>0.47326279069767463</v>
      </c>
      <c r="S603" s="226">
        <f>'WetLitterbags placem_collection'!E164</f>
        <v>42763</v>
      </c>
      <c r="T603" s="226">
        <f>IF('WetLitterbags placem_collection'!G164="","",'WetLitterbags placem_collection'!G164)</f>
        <v>42814</v>
      </c>
      <c r="U603" s="227">
        <f t="shared" si="48"/>
        <v>51</v>
      </c>
      <c r="V603" s="225">
        <f t="shared" si="50"/>
        <v>1.2939000000000001</v>
      </c>
      <c r="W603" s="225">
        <f t="shared" si="51"/>
        <v>1.2333295116466738</v>
      </c>
      <c r="X603">
        <f>IFERROR(INDEX(Rainfall_Wet!$O$2:$O$217,MATCH(B603, Rainfall_Wet!$A$2:$A$217,0)),"")</f>
        <v>181.383442621</v>
      </c>
      <c r="Y603" s="231">
        <v>21.96</v>
      </c>
      <c r="Z603" s="231">
        <v>4.9199999999999982</v>
      </c>
      <c r="AA603" s="231">
        <v>73.12</v>
      </c>
      <c r="AB603" s="232" t="s">
        <v>2670</v>
      </c>
      <c r="AC603" s="231">
        <v>2.2416954164613099</v>
      </c>
      <c r="AD603">
        <f>IF('WetLitterbags placem_collection'!AB164="","",'WetLitterbags placem_collection'!AB164)</f>
        <v>4.0999999999999996</v>
      </c>
      <c r="AE603">
        <f>IF('WetLitterbags placem_collection'!Z164="","",'WetLitterbags placem_collection'!Z164)</f>
        <v>31.4</v>
      </c>
      <c r="AF603" s="246" t="str">
        <f>IF('WetLitterbags placem_collection'!AA164="","",'WetLitterbags placem_collection'!AA164)</f>
        <v>M</v>
      </c>
      <c r="AG603">
        <f>IF('WetLitterbags placem_collection'!AC164="","",'WetLitterbags placem_collection'!AC164)</f>
        <v>0</v>
      </c>
      <c r="AH603" s="24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placem_collection'!X164)),"YES","NO")</f>
        <v>NO</v>
      </c>
      <c r="AM603" t="str">
        <f>IF(ISNUMBER(SEARCH("H", 'WetLitterbags placem_collection'!X164)),"YES","NO")</f>
        <v>NO</v>
      </c>
      <c r="AN603" t="str">
        <f>IF(ISNUMBER(SEARCH("R", 'WetLitterbags placem_collection'!X164)),"YES","NO")</f>
        <v>NO</v>
      </c>
    </row>
    <row r="604" spans="1:40" ht="15" customHeight="1">
      <c r="A604" s="258" t="s">
        <v>2460</v>
      </c>
      <c r="B604" s="263">
        <f>'Dry_Litterbag Placem_Collection'!A165</f>
        <v>163</v>
      </c>
      <c r="C604" s="263" t="str">
        <f>'Dry_Litterbag Placem_Collection'!B165</f>
        <v>Handajega</v>
      </c>
      <c r="D604" s="263" t="s">
        <v>2659</v>
      </c>
      <c r="E604" s="263" t="s">
        <v>2661</v>
      </c>
      <c r="F604" s="263">
        <v>1</v>
      </c>
      <c r="G604" s="264" t="str">
        <f>'Dry_Litterbag Placem_Collection'!C165</f>
        <v>Wet_W1_T3</v>
      </c>
      <c r="H604" s="273" t="s">
        <v>3651</v>
      </c>
      <c r="I604" s="266" t="s">
        <v>1147</v>
      </c>
      <c r="J604" s="223" t="str">
        <f>'WetLitterbags placem_collection'!O165</f>
        <v>G743</v>
      </c>
      <c r="K604" s="225">
        <f>IFERROR(INDEX('Green_rooibos initial weight'!$C$5:$C$1749,MATCH(J604, 'Green_rooibos initial weight'!$A$5:$A$1749,0)),"")</f>
        <v>2.0339999999999998</v>
      </c>
      <c r="L604" s="225">
        <f>IFERROR(K604-(TBIcalc!$H$9+TBIcalc!$H$10),"")</f>
        <v>1.7841999999999998</v>
      </c>
      <c r="M604" s="391">
        <f>AVERAGE(Ashed_controlls!$K$2:$K$11)</f>
        <v>5.5147656768714146</v>
      </c>
      <c r="N604" s="225">
        <f t="shared" si="49"/>
        <v>1.6858055507932601</v>
      </c>
      <c r="O604" s="225">
        <f>IF(IFERROR(INDEX('Both teabags AfterWet'!$C$3:$C$841,MATCH(J604,'Both teabags AfterWet'!$A$3:$A$841,0)),"")="","",(IFERROR(INDEX('Both teabags AfterWet'!$C$3:$C$841,MATCH(J604,'Both teabags AfterWet'!$A$3:$A$841,0)),"")))</f>
        <v>0.68700000000000006</v>
      </c>
      <c r="P604" s="225">
        <f>IFERROR(IF(O604&gt;0,O604-(TBIcalc!$H$9),""),"")</f>
        <v>0.53639999999999999</v>
      </c>
      <c r="Q604" s="225">
        <f>IFERROR(INDEX('Ashed teabags wet'!$K$2:$K$821,MATCH(J604,'Ashed teabags wet'!$A$2:$A$821,0)),"")</f>
        <v>7.8343313373247501</v>
      </c>
      <c r="R604" s="225">
        <f t="shared" si="52"/>
        <v>0.49437664670659004</v>
      </c>
      <c r="S604" s="226">
        <f>'WetLitterbags placem_collection'!E165</f>
        <v>42763</v>
      </c>
      <c r="T604" s="226">
        <f>IF('WetLitterbags placem_collection'!G165="","",'WetLitterbags placem_collection'!G165)</f>
        <v>42814</v>
      </c>
      <c r="U604" s="227">
        <f t="shared" si="48"/>
        <v>51</v>
      </c>
      <c r="V604" s="225">
        <f t="shared" si="50"/>
        <v>1.2477999999999998</v>
      </c>
      <c r="W604" s="225">
        <f t="shared" si="51"/>
        <v>1.1914289040866701</v>
      </c>
      <c r="X604">
        <f>IFERROR(INDEX(Rainfall_Wet!$O$2:$O$217,MATCH(B604, Rainfall_Wet!$A$2:$A$217,0)),"")</f>
        <v>181.383442621</v>
      </c>
      <c r="Y604" s="231">
        <v>21.96</v>
      </c>
      <c r="Z604" s="231">
        <v>4.9199999999999982</v>
      </c>
      <c r="AA604" s="231">
        <v>73.12</v>
      </c>
      <c r="AB604" s="232" t="s">
        <v>2670</v>
      </c>
      <c r="AC604" s="231">
        <v>3.2416954164613099</v>
      </c>
      <c r="AD604">
        <f>IF('WetLitterbags placem_collection'!AB165="","",'WetLitterbags placem_collection'!AB165)</f>
        <v>7.8</v>
      </c>
      <c r="AE604">
        <f>IF('WetLitterbags placem_collection'!Z165="","",'WetLitterbags placem_collection'!Z165)</f>
        <v>28.8</v>
      </c>
      <c r="AF604" s="246" t="str">
        <f>IF('WetLitterbags placem_collection'!AA165="","",'WetLitterbags placem_collection'!AA165)</f>
        <v>M</v>
      </c>
      <c r="AG604">
        <f>IF('WetLitterbags placem_collection'!AC165="","",'WetLitterbags placem_collection'!AC165)</f>
        <v>0</v>
      </c>
      <c r="AH604" s="24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placem_collection'!X165)),"YES","NO")</f>
        <v>NO</v>
      </c>
      <c r="AM604" t="str">
        <f>IF(ISNUMBER(SEARCH("H", 'WetLitterbags placem_collection'!X165)),"YES","NO")</f>
        <v>NO</v>
      </c>
      <c r="AN604" t="str">
        <f>IF(ISNUMBER(SEARCH("R", 'WetLitterbags placem_collection'!X165)),"YES","NO")</f>
        <v>NO</v>
      </c>
    </row>
    <row r="605" spans="1:40" ht="15" customHeight="1">
      <c r="A605" s="258" t="s">
        <v>2460</v>
      </c>
      <c r="B605" s="263">
        <f>'Dry_Litterbag Placem_Collection'!A166</f>
        <v>164</v>
      </c>
      <c r="C605" s="263" t="str">
        <f>'Dry_Litterbag Placem_Collection'!B166</f>
        <v>Handajega</v>
      </c>
      <c r="D605" s="263" t="s">
        <v>2659</v>
      </c>
      <c r="E605" s="263" t="s">
        <v>2661</v>
      </c>
      <c r="F605" s="263">
        <v>1</v>
      </c>
      <c r="G605" s="264" t="str">
        <f>'Dry_Litterbag Placem_Collection'!C166</f>
        <v>Wet_W1_T4</v>
      </c>
      <c r="H605" s="273" t="s">
        <v>3651</v>
      </c>
      <c r="I605" s="266" t="s">
        <v>1147</v>
      </c>
      <c r="J605" s="223" t="str">
        <f>'WetLitterbags placem_collection'!O166</f>
        <v>G390</v>
      </c>
      <c r="K605" s="225">
        <f>IFERROR(INDEX('Green_rooibos initial weight'!$C$5:$C$1749,MATCH(J605, 'Green_rooibos initial weight'!$A$5:$A$1749,0)),"")</f>
        <v>2.0630000000000002</v>
      </c>
      <c r="L605" s="225">
        <f>IFERROR(K605-(TBIcalc!$H$9+TBIcalc!$H$10),"")</f>
        <v>1.8132000000000001</v>
      </c>
      <c r="M605" s="391">
        <f>AVERAGE(Ashed_controlls!$K$2:$K$11)</f>
        <v>5.5147656768714146</v>
      </c>
      <c r="N605" s="225">
        <f t="shared" si="49"/>
        <v>1.7132062687469676</v>
      </c>
      <c r="O605" s="225">
        <f>IF(IFERROR(INDEX('Both teabags AfterWet'!$C$3:$C$841,MATCH(J605,'Both teabags AfterWet'!$A$3:$A$841,0)),"")="","",(IFERROR(INDEX('Both teabags AfterWet'!$C$3:$C$841,MATCH(J605,'Both teabags AfterWet'!$A$3:$A$841,0)),"")))</f>
        <v>0.63800000000000001</v>
      </c>
      <c r="P605" s="225">
        <f>IFERROR(IF(O605&gt;0,O605-(TBIcalc!$H$9),""),"")</f>
        <v>0.4874</v>
      </c>
      <c r="Q605" s="225">
        <f>IFERROR(INDEX('Ashed teabags wet'!$K$2:$K$821,MATCH(J605,'Ashed teabags wet'!$A$2:$A$821,0)),"")</f>
        <v>9.1180866965623011</v>
      </c>
      <c r="R605" s="225">
        <f t="shared" si="52"/>
        <v>0.44295844544095536</v>
      </c>
      <c r="S605" s="226">
        <f>'WetLitterbags placem_collection'!E166</f>
        <v>42763</v>
      </c>
      <c r="T605" s="226">
        <f>IF('WetLitterbags placem_collection'!G166="","",'WetLitterbags placem_collection'!G166)</f>
        <v>42814</v>
      </c>
      <c r="U605" s="227">
        <f t="shared" si="48"/>
        <v>51</v>
      </c>
      <c r="V605" s="225">
        <f t="shared" si="50"/>
        <v>1.3258000000000001</v>
      </c>
      <c r="W605" s="225">
        <f t="shared" si="51"/>
        <v>1.2702478233060122</v>
      </c>
      <c r="X605">
        <f>IFERROR(INDEX(Rainfall_Wet!$O$2:$O$217,MATCH(B605, Rainfall_Wet!$A$2:$A$217,0)),"")</f>
        <v>181.383442621</v>
      </c>
      <c r="Y605" s="231">
        <v>21.96</v>
      </c>
      <c r="Z605" s="231">
        <v>4.9199999999999982</v>
      </c>
      <c r="AA605" s="231">
        <v>73.12</v>
      </c>
      <c r="AB605" s="232" t="s">
        <v>2670</v>
      </c>
      <c r="AC605" s="231">
        <v>4.2416954164613099</v>
      </c>
      <c r="AD605">
        <f>IF('WetLitterbags placem_collection'!AB166="","",'WetLitterbags placem_collection'!AB166)</f>
        <v>9.5</v>
      </c>
      <c r="AE605">
        <f>IF('WetLitterbags placem_collection'!Z166="","",'WetLitterbags placem_collection'!Z166)</f>
        <v>20.8</v>
      </c>
      <c r="AF605" s="246" t="str">
        <f>IF('WetLitterbags placem_collection'!AA166="","",'WetLitterbags placem_collection'!AA166)</f>
        <v>M</v>
      </c>
      <c r="AG605">
        <f>IF('WetLitterbags placem_collection'!AC166="","",'WetLitterbags placem_collection'!AC166)</f>
        <v>0</v>
      </c>
      <c r="AH605" s="24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placem_collection'!X166)),"YES","NO")</f>
        <v>NO</v>
      </c>
      <c r="AM605" t="str">
        <f>IF(ISNUMBER(SEARCH("H", 'WetLitterbags placem_collection'!X166)),"YES","NO")</f>
        <v>NO</v>
      </c>
      <c r="AN605" t="str">
        <f>IF(ISNUMBER(SEARCH("R", 'WetLitterbags placem_collection'!X166)),"YES","NO")</f>
        <v>NO</v>
      </c>
    </row>
    <row r="606" spans="1:40" ht="15" customHeight="1">
      <c r="A606" s="258" t="s">
        <v>2460</v>
      </c>
      <c r="B606" s="263">
        <f>'Dry_Litterbag Placem_Collection'!A167</f>
        <v>165</v>
      </c>
      <c r="C606" s="263" t="str">
        <f>'Dry_Litterbag Placem_Collection'!B167</f>
        <v>Handajega</v>
      </c>
      <c r="D606" s="263" t="s">
        <v>2659</v>
      </c>
      <c r="E606" s="263" t="s">
        <v>2661</v>
      </c>
      <c r="F606" s="263">
        <v>1</v>
      </c>
      <c r="G606" s="264" t="str">
        <f>'Dry_Litterbag Placem_Collection'!C167</f>
        <v>Wet_W1_T5</v>
      </c>
      <c r="H606" s="273" t="s">
        <v>3651</v>
      </c>
      <c r="I606" s="266" t="s">
        <v>1147</v>
      </c>
      <c r="J606" s="223" t="str">
        <f>'WetLitterbags placem_collection'!O167</f>
        <v>G810</v>
      </c>
      <c r="K606" s="225">
        <f>IFERROR(INDEX('Green_rooibos initial weight'!$C$5:$C$1749,MATCH(J606, 'Green_rooibos initial weight'!$A$5:$A$1749,0)),"")</f>
        <v>1.946</v>
      </c>
      <c r="L606" s="225">
        <f>IFERROR(K606-(TBIcalc!$H$9+TBIcalc!$H$10),"")</f>
        <v>1.6961999999999999</v>
      </c>
      <c r="M606" s="391">
        <f>AVERAGE(Ashed_controlls!$K$2:$K$11)</f>
        <v>5.5147656768714146</v>
      </c>
      <c r="N606" s="225">
        <f t="shared" si="49"/>
        <v>1.602658544588907</v>
      </c>
      <c r="O606" s="225">
        <f>IF(IFERROR(INDEX('Both teabags AfterWet'!$C$3:$C$841,MATCH(J606,'Both teabags AfterWet'!$A$3:$A$841,0)),"")="","",(IFERROR(INDEX('Both teabags AfterWet'!$C$3:$C$841,MATCH(J606,'Both teabags AfterWet'!$A$3:$A$841,0)),"")))</f>
        <v>0.64800000000000002</v>
      </c>
      <c r="P606" s="225">
        <f>IFERROR(IF(O606&gt;0,O606-(TBIcalc!$H$9),""),"")</f>
        <v>0.49740000000000001</v>
      </c>
      <c r="Q606" s="225">
        <f>IFERROR(INDEX('Ashed teabags wet'!$K$2:$K$821,MATCH(J606,'Ashed teabags wet'!$A$2:$A$821,0)),"")</f>
        <v>7.6693227091631231</v>
      </c>
      <c r="R606" s="225">
        <f t="shared" si="52"/>
        <v>0.45925278884462262</v>
      </c>
      <c r="S606" s="226">
        <f>'WetLitterbags placem_collection'!E167</f>
        <v>42763</v>
      </c>
      <c r="T606" s="226">
        <f>IF('WetLitterbags placem_collection'!G167="","",'WetLitterbags placem_collection'!G167)</f>
        <v>42814</v>
      </c>
      <c r="U606" s="227">
        <f t="shared" si="48"/>
        <v>51</v>
      </c>
      <c r="V606" s="225">
        <f t="shared" si="50"/>
        <v>1.1987999999999999</v>
      </c>
      <c r="W606" s="225">
        <f t="shared" si="51"/>
        <v>1.1434057557442845</v>
      </c>
      <c r="X606">
        <f>IFERROR(INDEX(Rainfall_Wet!$O$2:$O$217,MATCH(B606, Rainfall_Wet!$A$2:$A$217,0)),"")</f>
        <v>181.383442621</v>
      </c>
      <c r="Y606" s="231">
        <v>21.96</v>
      </c>
      <c r="Z606" s="231">
        <v>4.9199999999999982</v>
      </c>
      <c r="AA606" s="231">
        <v>73.12</v>
      </c>
      <c r="AB606" s="232" t="s">
        <v>2670</v>
      </c>
      <c r="AC606" s="231">
        <v>5.2416954164613099</v>
      </c>
      <c r="AD606">
        <f>IF('WetLitterbags placem_collection'!AB167="","",'WetLitterbags placem_collection'!AB167)</f>
        <v>10.4</v>
      </c>
      <c r="AE606">
        <f>IF('WetLitterbags placem_collection'!Z167="","",'WetLitterbags placem_collection'!Z167)</f>
        <v>13.8</v>
      </c>
      <c r="AF606" s="246" t="str">
        <f>IF('WetLitterbags placem_collection'!AA167="","",'WetLitterbags placem_collection'!AA167)</f>
        <v>M</v>
      </c>
      <c r="AG606">
        <f>IF('WetLitterbags placem_collection'!AC167="","",'WetLitterbags placem_collection'!AC167)</f>
        <v>0</v>
      </c>
      <c r="AH606" s="24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placem_collection'!X167)),"YES","NO")</f>
        <v>NO</v>
      </c>
      <c r="AM606" t="str">
        <f>IF(ISNUMBER(SEARCH("H", 'WetLitterbags placem_collection'!X167)),"YES","NO")</f>
        <v>NO</v>
      </c>
      <c r="AN606" t="str">
        <f>IF(ISNUMBER(SEARCH("R", 'WetLitterbags placem_collection'!X167)),"YES","NO")</f>
        <v>NO</v>
      </c>
    </row>
    <row r="607" spans="1:40" ht="15" customHeight="1">
      <c r="A607" s="258" t="s">
        <v>2460</v>
      </c>
      <c r="B607" s="263">
        <f>'Dry_Litterbag Placem_Collection'!A168</f>
        <v>166</v>
      </c>
      <c r="C607" s="263" t="str">
        <f>'Dry_Litterbag Placem_Collection'!B168</f>
        <v>Handajega</v>
      </c>
      <c r="D607" s="263" t="s">
        <v>2659</v>
      </c>
      <c r="E607" s="263" t="s">
        <v>2661</v>
      </c>
      <c r="F607" s="263">
        <v>1</v>
      </c>
      <c r="G607" s="264" t="str">
        <f>'Dry_Litterbag Placem_Collection'!C168</f>
        <v>Wet_W1_T6</v>
      </c>
      <c r="H607" s="273" t="s">
        <v>3651</v>
      </c>
      <c r="I607" s="266" t="s">
        <v>1147</v>
      </c>
      <c r="J607" s="223" t="str">
        <f>'WetLitterbags placem_collection'!O168</f>
        <v>G287</v>
      </c>
      <c r="K607" s="225">
        <f>IFERROR(INDEX('Green_rooibos initial weight'!$C$5:$C$1749,MATCH(J607, 'Green_rooibos initial weight'!$A$5:$A$1749,0)),"")</f>
        <v>1.9970000000000001</v>
      </c>
      <c r="L607" s="225">
        <f>IFERROR(K607-(TBIcalc!$H$9+TBIcalc!$H$10),"")</f>
        <v>1.7472000000000001</v>
      </c>
      <c r="M607" s="391">
        <f>AVERAGE(Ashed_controlls!$K$2:$K$11)</f>
        <v>5.5147656768714146</v>
      </c>
      <c r="N607" s="225">
        <f t="shared" si="49"/>
        <v>1.6508460140937027</v>
      </c>
      <c r="O607" s="225">
        <f>IF(IFERROR(INDEX('Both teabags AfterWet'!$C$3:$C$841,MATCH(J607,'Both teabags AfterWet'!$A$3:$A$841,0)),"")="","",(IFERROR(INDEX('Both teabags AfterWet'!$C$3:$C$841,MATCH(J607,'Both teabags AfterWet'!$A$3:$A$841,0)),"")))</f>
        <v>0.72240000000000004</v>
      </c>
      <c r="P607" s="225">
        <f>IFERROR(IF(O607&gt;0,O607-(TBIcalc!$H$9),""),"")</f>
        <v>0.57180000000000009</v>
      </c>
      <c r="Q607" s="225">
        <f>IFERROR(INDEX('Ashed teabags wet'!$K$2:$K$821,MATCH(J607,'Ashed teabags wet'!$A$2:$A$821,0)),"")</f>
        <v>8.1175298804781466</v>
      </c>
      <c r="R607" s="225">
        <f t="shared" si="52"/>
        <v>0.52538396414342603</v>
      </c>
      <c r="S607" s="226">
        <f>'WetLitterbags placem_collection'!E168</f>
        <v>42763</v>
      </c>
      <c r="T607" s="226">
        <f>IF('WetLitterbags placem_collection'!G168="","",'WetLitterbags placem_collection'!G168)</f>
        <v>42814</v>
      </c>
      <c r="U607" s="227">
        <f t="shared" si="48"/>
        <v>51</v>
      </c>
      <c r="V607" s="225">
        <f t="shared" si="50"/>
        <v>1.1754</v>
      </c>
      <c r="W607" s="225">
        <f t="shared" si="51"/>
        <v>1.1254620499502765</v>
      </c>
      <c r="X607">
        <f>IFERROR(INDEX(Rainfall_Wet!$O$2:$O$217,MATCH(B607, Rainfall_Wet!$A$2:$A$217,0)),"")</f>
        <v>181.383442621</v>
      </c>
      <c r="Y607" s="231">
        <v>21.96</v>
      </c>
      <c r="Z607" s="231">
        <v>4.9199999999999982</v>
      </c>
      <c r="AA607" s="231">
        <v>73.12</v>
      </c>
      <c r="AB607" s="232" t="s">
        <v>2670</v>
      </c>
      <c r="AC607" s="231">
        <v>6.2416954164613099</v>
      </c>
      <c r="AD607">
        <f>IF('WetLitterbags placem_collection'!AB168="","",'WetLitterbags placem_collection'!AB168)</f>
        <v>2.1</v>
      </c>
      <c r="AE607">
        <f>IF('WetLitterbags placem_collection'!Z168="","",'WetLitterbags placem_collection'!Z168)</f>
        <v>4.7</v>
      </c>
      <c r="AF607" s="246" t="str">
        <f>IF('WetLitterbags placem_collection'!AA168="","",'WetLitterbags placem_collection'!AA168)</f>
        <v>M</v>
      </c>
      <c r="AG607">
        <f>IF('WetLitterbags placem_collection'!AC168="","",'WetLitterbags placem_collection'!AC168)</f>
        <v>0</v>
      </c>
      <c r="AH607" s="24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placem_collection'!X168)),"YES","NO")</f>
        <v>NO</v>
      </c>
      <c r="AM607" t="str">
        <f>IF(ISNUMBER(SEARCH("H", 'WetLitterbags placem_collection'!X168)),"YES","NO")</f>
        <v>NO</v>
      </c>
      <c r="AN607" t="str">
        <f>IF(ISNUMBER(SEARCH("R", 'WetLitterbags placem_collection'!X168)),"YES","NO")</f>
        <v>NO</v>
      </c>
    </row>
    <row r="608" spans="1:40" ht="15" customHeight="1">
      <c r="A608" s="258" t="s">
        <v>2460</v>
      </c>
      <c r="B608" s="263">
        <f>'Dry_Litterbag Placem_Collection'!A169</f>
        <v>167</v>
      </c>
      <c r="C608" s="263" t="str">
        <f>'Dry_Litterbag Placem_Collection'!B169</f>
        <v>Handajega</v>
      </c>
      <c r="D608" s="263" t="s">
        <v>2659</v>
      </c>
      <c r="E608" s="263" t="s">
        <v>2661</v>
      </c>
      <c r="F608" s="263">
        <v>1</v>
      </c>
      <c r="G608" s="264" t="str">
        <f>'Dry_Litterbag Placem_Collection'!C169</f>
        <v>Wet_W1_T7</v>
      </c>
      <c r="H608" s="273" t="s">
        <v>3651</v>
      </c>
      <c r="I608" s="266" t="s">
        <v>1147</v>
      </c>
      <c r="J608" s="223" t="str">
        <f>'WetLitterbags placem_collection'!O169</f>
        <v>G443</v>
      </c>
      <c r="K608" s="225">
        <f>IFERROR(INDEX('Green_rooibos initial weight'!$C$5:$C$1749,MATCH(J608, 'Green_rooibos initial weight'!$A$5:$A$1749,0)),"")</f>
        <v>2.0310000000000001</v>
      </c>
      <c r="L608" s="225">
        <f>IFERROR(K608-(TBIcalc!$H$9+TBIcalc!$H$10),"")</f>
        <v>1.7812000000000001</v>
      </c>
      <c r="M608" s="391">
        <f>AVERAGE(Ashed_controlls!$K$2:$K$11)</f>
        <v>5.5147656768714146</v>
      </c>
      <c r="N608" s="225">
        <f t="shared" si="49"/>
        <v>1.6829709937635664</v>
      </c>
      <c r="O608" s="225">
        <f>IF(IFERROR(INDEX('Both teabags AfterWet'!$C$3:$C$841,MATCH(J608,'Both teabags AfterWet'!$A$3:$A$841,0)),"")="","",(IFERROR(INDEX('Both teabags AfterWet'!$C$3:$C$841,MATCH(J608,'Both teabags AfterWet'!$A$3:$A$841,0)),"")))</f>
        <v>0.69789999999999996</v>
      </c>
      <c r="P608" s="225">
        <f>IFERROR(IF(O608&gt;0,O608-(TBIcalc!$H$9),""),"")</f>
        <v>0.5472999999999999</v>
      </c>
      <c r="Q608" s="225">
        <f>IFERROR(INDEX('Ashed teabags wet'!$K$2:$K$821,MATCH(J608,'Ashed teabags wet'!$A$2:$A$821,0)),"")</f>
        <v>8.5487077534794818</v>
      </c>
      <c r="R608" s="225">
        <f t="shared" si="52"/>
        <v>0.50051292246520673</v>
      </c>
      <c r="S608" s="226">
        <f>'WetLitterbags placem_collection'!E169</f>
        <v>42763</v>
      </c>
      <c r="T608" s="226">
        <f>IF('WetLitterbags placem_collection'!G169="","",'WetLitterbags placem_collection'!G169)</f>
        <v>42814</v>
      </c>
      <c r="U608" s="227">
        <f t="shared" si="48"/>
        <v>51</v>
      </c>
      <c r="V608" s="225">
        <f t="shared" si="50"/>
        <v>1.2339000000000002</v>
      </c>
      <c r="W608" s="225">
        <f t="shared" si="51"/>
        <v>1.1824580712983597</v>
      </c>
      <c r="X608">
        <f>IFERROR(INDEX(Rainfall_Wet!$O$2:$O$217,MATCH(B608, Rainfall_Wet!$A$2:$A$217,0)),"")</f>
        <v>181.383442621</v>
      </c>
      <c r="Y608" s="231">
        <v>21.96</v>
      </c>
      <c r="Z608" s="231">
        <v>4.9199999999999982</v>
      </c>
      <c r="AA608" s="231">
        <v>73.12</v>
      </c>
      <c r="AB608" s="232" t="s">
        <v>2670</v>
      </c>
      <c r="AC608" s="231">
        <v>7.2416954164613099</v>
      </c>
      <c r="AD608">
        <f>IF('WetLitterbags placem_collection'!AB169="","",'WetLitterbags placem_collection'!AB169)</f>
        <v>5.6</v>
      </c>
      <c r="AE608">
        <f>IF('WetLitterbags placem_collection'!Z169="","",'WetLitterbags placem_collection'!Z169)</f>
        <v>4.2</v>
      </c>
      <c r="AF608" s="246" t="str">
        <f>IF('WetLitterbags placem_collection'!AA169="","",'WetLitterbags placem_collection'!AA169)</f>
        <v>M</v>
      </c>
      <c r="AG608">
        <f>IF('WetLitterbags placem_collection'!AC169="","",'WetLitterbags placem_collection'!AC169)</f>
        <v>1</v>
      </c>
      <c r="AH608" s="24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placem_collection'!X169)),"YES","NO")</f>
        <v>NO</v>
      </c>
      <c r="AM608" t="str">
        <f>IF(ISNUMBER(SEARCH("H", 'WetLitterbags placem_collection'!X169)),"YES","NO")</f>
        <v>NO</v>
      </c>
      <c r="AN608" t="str">
        <f>IF(ISNUMBER(SEARCH("R", 'WetLitterbags placem_collection'!X169)),"YES","NO")</f>
        <v>NO</v>
      </c>
    </row>
    <row r="609" spans="1:40" ht="15" customHeight="1">
      <c r="A609" s="258" t="s">
        <v>2460</v>
      </c>
      <c r="B609" s="263">
        <f>'Dry_Litterbag Placem_Collection'!A170</f>
        <v>168</v>
      </c>
      <c r="C609" s="263" t="str">
        <f>'Dry_Litterbag Placem_Collection'!B170</f>
        <v>Handajega</v>
      </c>
      <c r="D609" s="263" t="s">
        <v>2659</v>
      </c>
      <c r="E609" s="263" t="s">
        <v>2661</v>
      </c>
      <c r="F609" s="263">
        <v>1</v>
      </c>
      <c r="G609" s="264" t="str">
        <f>'Dry_Litterbag Placem_Collection'!C170</f>
        <v>Wet_W1_T8</v>
      </c>
      <c r="H609" s="273" t="s">
        <v>3651</v>
      </c>
      <c r="I609" s="266" t="s">
        <v>1147</v>
      </c>
      <c r="J609" s="223" t="str">
        <f>'WetLitterbags placem_collection'!O170</f>
        <v>G680</v>
      </c>
      <c r="K609" s="225">
        <f>IFERROR(INDEX('Green_rooibos initial weight'!$C$5:$C$1749,MATCH(J609, 'Green_rooibos initial weight'!$A$5:$A$1749,0)),"")</f>
        <v>2.0049999999999999</v>
      </c>
      <c r="L609" s="225">
        <f>IFERROR(K609-(TBIcalc!$H$9+TBIcalc!$H$10),"")</f>
        <v>1.7551999999999999</v>
      </c>
      <c r="M609" s="391">
        <f>AVERAGE(Ashed_controlls!$K$2:$K$11)</f>
        <v>5.5147656768714146</v>
      </c>
      <c r="N609" s="225">
        <f t="shared" si="49"/>
        <v>1.6584048328395529</v>
      </c>
      <c r="O609" s="225">
        <f>IF(IFERROR(INDEX('Both teabags AfterWet'!$C$3:$C$841,MATCH(J609,'Both teabags AfterWet'!$A$3:$A$841,0)),"")="","",(IFERROR(INDEX('Both teabags AfterWet'!$C$3:$C$841,MATCH(J609,'Both teabags AfterWet'!$A$3:$A$841,0)),"")))</f>
        <v>0.998</v>
      </c>
      <c r="P609" s="225">
        <f>IFERROR(IF(O609&gt;0,O609-(TBIcalc!$H$9),""),"")</f>
        <v>0.84739999999999993</v>
      </c>
      <c r="Q609" s="225">
        <f>IFERROR(INDEX('Ashed teabags wet'!$K$2:$K$821,MATCH(J609,'Ashed teabags wet'!$A$2:$A$821,0)),"")</f>
        <v>7.5706756109248428</v>
      </c>
      <c r="R609" s="225">
        <f t="shared" si="52"/>
        <v>0.78324609487302277</v>
      </c>
      <c r="S609" s="226">
        <f>'WetLitterbags placem_collection'!E170</f>
        <v>42763</v>
      </c>
      <c r="T609" s="226">
        <f>IF('WetLitterbags placem_collection'!G170="","",'WetLitterbags placem_collection'!G170)</f>
        <v>42814</v>
      </c>
      <c r="U609" s="227">
        <f t="shared" si="48"/>
        <v>51</v>
      </c>
      <c r="V609" s="225">
        <f t="shared" si="50"/>
        <v>0.90779999999999994</v>
      </c>
      <c r="W609" s="225">
        <f t="shared" si="51"/>
        <v>0.8751587379665301</v>
      </c>
      <c r="X609">
        <f>IFERROR(INDEX(Rainfall_Wet!$O$2:$O$217,MATCH(B609, Rainfall_Wet!$A$2:$A$217,0)),"")</f>
        <v>181.383442621</v>
      </c>
      <c r="Y609" s="231">
        <v>21.96</v>
      </c>
      <c r="Z609" s="231">
        <v>4.9199999999999982</v>
      </c>
      <c r="AA609" s="231">
        <v>73.12</v>
      </c>
      <c r="AB609" s="232" t="s">
        <v>2670</v>
      </c>
      <c r="AC609" s="231">
        <v>8.2416954164613099</v>
      </c>
      <c r="AD609">
        <f>IF('WetLitterbags placem_collection'!AB170="","",'WetLitterbags placem_collection'!AB170)</f>
        <v>2.4</v>
      </c>
      <c r="AE609">
        <f>IF('WetLitterbags placem_collection'!Z170="","",'WetLitterbags placem_collection'!Z170)</f>
        <v>46</v>
      </c>
      <c r="AF609" s="246" t="str">
        <f>IF('WetLitterbags placem_collection'!AA170="","",'WetLitterbags placem_collection'!AA170)</f>
        <v>M</v>
      </c>
      <c r="AG609">
        <f>IF('WetLitterbags placem_collection'!AC170="","",'WetLitterbags placem_collection'!AC170)</f>
        <v>0</v>
      </c>
      <c r="AH609" s="24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placem_collection'!X170)),"YES","NO")</f>
        <v>NO</v>
      </c>
      <c r="AM609" t="str">
        <f>IF(ISNUMBER(SEARCH("H", 'WetLitterbags placem_collection'!X170)),"YES","NO")</f>
        <v>NO</v>
      </c>
      <c r="AN609" t="str">
        <f>IF(ISNUMBER(SEARCH("R", 'WetLitterbags placem_collection'!X170)),"YES","NO")</f>
        <v>NO</v>
      </c>
    </row>
    <row r="610" spans="1:40" ht="15" customHeight="1">
      <c r="A610" s="258" t="s">
        <v>2460</v>
      </c>
      <c r="B610" s="263">
        <f>'Dry_Litterbag Placem_Collection'!A171</f>
        <v>169</v>
      </c>
      <c r="C610" s="263" t="str">
        <f>'Dry_Litterbag Placem_Collection'!B171</f>
        <v>Handajega</v>
      </c>
      <c r="D610" s="263" t="s">
        <v>2659</v>
      </c>
      <c r="E610" s="263" t="s">
        <v>2661</v>
      </c>
      <c r="F610" s="263">
        <v>2</v>
      </c>
      <c r="G610" s="264" t="str">
        <f>'Dry_Litterbag Placem_Collection'!C171</f>
        <v>Wet_W2_T1</v>
      </c>
      <c r="H610" s="273" t="s">
        <v>3651</v>
      </c>
      <c r="I610" s="266" t="s">
        <v>1147</v>
      </c>
      <c r="J610" s="223" t="str">
        <f>'WetLitterbags placem_collection'!O171</f>
        <v>G496</v>
      </c>
      <c r="K610" s="225">
        <f>IFERROR(INDEX('Green_rooibos initial weight'!$C$5:$C$1749,MATCH(J610, 'Green_rooibos initial weight'!$A$5:$A$1749,0)),"")</f>
        <v>1.8480000000000001</v>
      </c>
      <c r="L610" s="225">
        <f>IFERROR(K610-(TBIcalc!$H$9+TBIcalc!$H$10),"")</f>
        <v>1.5982000000000001</v>
      </c>
      <c r="M610" s="391">
        <f>AVERAGE(Ashed_controlls!$K$2:$K$11)</f>
        <v>5.5147656768714146</v>
      </c>
      <c r="N610" s="225">
        <f t="shared" si="49"/>
        <v>1.5100630149522412</v>
      </c>
      <c r="O610" s="225">
        <f>IF(IFERROR(INDEX('Both teabags AfterWet'!$C$3:$C$841,MATCH(J610,'Both teabags AfterWet'!$A$3:$A$841,0)),"")="","",(IFERROR(INDEX('Both teabags AfterWet'!$C$3:$C$841,MATCH(J610,'Both teabags AfterWet'!$A$3:$A$841,0)),"")))</f>
        <v>0.57199999999999995</v>
      </c>
      <c r="P610" s="225">
        <f>IFERROR(IF(O610&gt;0,O610-(TBIcalc!$H$9),""),"")</f>
        <v>0.42139999999999994</v>
      </c>
      <c r="Q610" s="225">
        <f>IFERROR(INDEX('Ashed teabags wet'!$K$2:$K$821,MATCH(J610,'Ashed teabags wet'!$A$2:$A$821,0)),"")</f>
        <v>9.4256259204713331</v>
      </c>
      <c r="R610" s="225">
        <f t="shared" si="52"/>
        <v>0.38168041237113376</v>
      </c>
      <c r="S610" s="226">
        <f>'WetLitterbags placem_collection'!E171</f>
        <v>42763</v>
      </c>
      <c r="T610" s="226">
        <f>IF('WetLitterbags placem_collection'!G171="","",'WetLitterbags placem_collection'!G171)</f>
        <v>42814</v>
      </c>
      <c r="U610" s="227">
        <f t="shared" si="48"/>
        <v>51</v>
      </c>
      <c r="V610" s="225">
        <f t="shared" si="50"/>
        <v>1.1768000000000001</v>
      </c>
      <c r="W610" s="225">
        <f t="shared" si="51"/>
        <v>1.1283826025811075</v>
      </c>
      <c r="X610">
        <f>IFERROR(INDEX(Rainfall_Wet!$O$2:$O$217,MATCH(B610, Rainfall_Wet!$A$2:$A$217,0)),"")</f>
        <v>181.383442621</v>
      </c>
      <c r="Y610" s="231">
        <v>23.96</v>
      </c>
      <c r="Z610" s="231">
        <v>4.9199999999999982</v>
      </c>
      <c r="AA610" s="231">
        <v>71.12</v>
      </c>
      <c r="AB610" s="232" t="s">
        <v>2670</v>
      </c>
      <c r="AC610" s="231">
        <v>3.30913750616067</v>
      </c>
      <c r="AD610">
        <f>IF('WetLitterbags placem_collection'!AB171="","",'WetLitterbags placem_collection'!AB171)</f>
        <v>8.1999999999999993</v>
      </c>
      <c r="AE610">
        <f>IF('WetLitterbags placem_collection'!Z171="","",'WetLitterbags placem_collection'!Z171)</f>
        <v>11.4</v>
      </c>
      <c r="AF610" s="246" t="str">
        <f>IF('WetLitterbags placem_collection'!AA171="","",'WetLitterbags placem_collection'!AA171)</f>
        <v>O</v>
      </c>
      <c r="AG610">
        <f>IF('WetLitterbags placem_collection'!AC171="","",'WetLitterbags placem_collection'!AC171)</f>
        <v>1</v>
      </c>
      <c r="AH610" s="24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placem_collection'!X171)),"YES","NO")</f>
        <v>NO</v>
      </c>
      <c r="AM610" t="str">
        <f>IF(ISNUMBER(SEARCH("H", 'WetLitterbags placem_collection'!X171)),"YES","NO")</f>
        <v>NO</v>
      </c>
      <c r="AN610" t="str">
        <f>IF(ISNUMBER(SEARCH("R", 'WetLitterbags placem_collection'!X171)),"YES","NO")</f>
        <v>NO</v>
      </c>
    </row>
    <row r="611" spans="1:40" ht="15" customHeight="1">
      <c r="A611" s="258" t="s">
        <v>2460</v>
      </c>
      <c r="B611" s="263">
        <f>'Dry_Litterbag Placem_Collection'!A172</f>
        <v>170</v>
      </c>
      <c r="C611" s="263" t="str">
        <f>'Dry_Litterbag Placem_Collection'!B172</f>
        <v>Handajega</v>
      </c>
      <c r="D611" s="263" t="s">
        <v>2659</v>
      </c>
      <c r="E611" s="263" t="s">
        <v>2661</v>
      </c>
      <c r="F611" s="263">
        <v>2</v>
      </c>
      <c r="G611" s="264" t="str">
        <f>'Dry_Litterbag Placem_Collection'!C172</f>
        <v>Wet_W2_T2</v>
      </c>
      <c r="H611" s="273" t="s">
        <v>3651</v>
      </c>
      <c r="I611" s="266" t="s">
        <v>1147</v>
      </c>
      <c r="J611" s="223" t="str">
        <f>'WetLitterbags placem_collection'!O172</f>
        <v>G674</v>
      </c>
      <c r="K611" s="225">
        <f>IFERROR(INDEX('Green_rooibos initial weight'!$C$5:$C$1749,MATCH(J611, 'Green_rooibos initial weight'!$A$5:$A$1749,0)),"")</f>
        <v>1.9950000000000001</v>
      </c>
      <c r="L611" s="225">
        <f>IFERROR(K611-(TBIcalc!$H$9+TBIcalc!$H$10),"")</f>
        <v>1.7452000000000001</v>
      </c>
      <c r="M611" s="391">
        <f>AVERAGE(Ashed_controlls!$K$2:$K$11)</f>
        <v>5.5147656768714146</v>
      </c>
      <c r="N611" s="225">
        <f t="shared" si="49"/>
        <v>1.6489563094072401</v>
      </c>
      <c r="O611" s="225">
        <f>IF(IFERROR(INDEX('Both teabags AfterWet'!$C$3:$C$841,MATCH(J611,'Both teabags AfterWet'!$A$3:$A$841,0)),"")="","",(IFERROR(INDEX('Both teabags AfterWet'!$C$3:$C$841,MATCH(J611,'Both teabags AfterWet'!$A$3:$A$841,0)),"")))</f>
        <v>0.61299999999999999</v>
      </c>
      <c r="P611" s="225">
        <f>IFERROR(IF(O611&gt;0,O611-(TBIcalc!$H$9),""),"")</f>
        <v>0.46239999999999998</v>
      </c>
      <c r="Q611" s="225">
        <f>IFERROR(INDEX('Ashed teabags wet'!$K$2:$K$821,MATCH(J611,'Ashed teabags wet'!$A$2:$A$821,0)),"")</f>
        <v>8.7857847976303241</v>
      </c>
      <c r="R611" s="225">
        <f t="shared" si="52"/>
        <v>0.42177453109575735</v>
      </c>
      <c r="S611" s="226">
        <f>'WetLitterbags placem_collection'!E172</f>
        <v>42763</v>
      </c>
      <c r="T611" s="226">
        <f>IF('WetLitterbags placem_collection'!G172="","",'WetLitterbags placem_collection'!G172)</f>
        <v>42814</v>
      </c>
      <c r="U611" s="227">
        <f t="shared" si="48"/>
        <v>51</v>
      </c>
      <c r="V611" s="225">
        <f t="shared" si="50"/>
        <v>1.2828000000000002</v>
      </c>
      <c r="W611" s="225">
        <f t="shared" si="51"/>
        <v>1.2271817783114827</v>
      </c>
      <c r="X611">
        <f>IFERROR(INDEX(Rainfall_Wet!$O$2:$O$217,MATCH(B611, Rainfall_Wet!$A$2:$A$217,0)),"")</f>
        <v>181.383442621</v>
      </c>
      <c r="Y611" s="231">
        <v>23.96</v>
      </c>
      <c r="Z611" s="231">
        <v>4.9199999999999982</v>
      </c>
      <c r="AA611" s="231">
        <v>71.12</v>
      </c>
      <c r="AB611" s="232" t="s">
        <v>2670</v>
      </c>
      <c r="AC611" s="231">
        <v>4.3091375061606696</v>
      </c>
      <c r="AD611">
        <f>IF('WetLitterbags placem_collection'!AB172="","",'WetLitterbags placem_collection'!AB172)</f>
        <v>7.7</v>
      </c>
      <c r="AE611">
        <f>IF('WetLitterbags placem_collection'!Z172="","",'WetLitterbags placem_collection'!Z172)</f>
        <v>15.8</v>
      </c>
      <c r="AF611" s="246" t="str">
        <f>IF('WetLitterbags placem_collection'!AA172="","",'WetLitterbags placem_collection'!AA172)</f>
        <v>O</v>
      </c>
      <c r="AG611">
        <f>IF('WetLitterbags placem_collection'!AC172="","",'WetLitterbags placem_collection'!AC172)</f>
        <v>1</v>
      </c>
      <c r="AH611" s="24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placem_collection'!X172)),"YES","NO")</f>
        <v>NO</v>
      </c>
      <c r="AM611" t="str">
        <f>IF(ISNUMBER(SEARCH("H", 'WetLitterbags placem_collection'!X172)),"YES","NO")</f>
        <v>NO</v>
      </c>
      <c r="AN611" t="str">
        <f>IF(ISNUMBER(SEARCH("R", 'WetLitterbags placem_collection'!X172)),"YES","NO")</f>
        <v>NO</v>
      </c>
    </row>
    <row r="612" spans="1:40" ht="15" customHeight="1">
      <c r="A612" s="258" t="s">
        <v>2460</v>
      </c>
      <c r="B612" s="263">
        <f>'Dry_Litterbag Placem_Collection'!A173</f>
        <v>171</v>
      </c>
      <c r="C612" s="263" t="str">
        <f>'Dry_Litterbag Placem_Collection'!B173</f>
        <v>Handajega</v>
      </c>
      <c r="D612" s="263" t="s">
        <v>2659</v>
      </c>
      <c r="E612" s="263" t="s">
        <v>2661</v>
      </c>
      <c r="F612" s="263">
        <v>2</v>
      </c>
      <c r="G612" s="264" t="str">
        <f>'Dry_Litterbag Placem_Collection'!C173</f>
        <v>Wet_W2_T3</v>
      </c>
      <c r="H612" s="273" t="s">
        <v>3651</v>
      </c>
      <c r="I612" s="266" t="s">
        <v>1147</v>
      </c>
      <c r="J612" s="223" t="str">
        <f>'WetLitterbags placem_collection'!O173</f>
        <v>G504</v>
      </c>
      <c r="K612" s="225">
        <f>IFERROR(INDEX('Green_rooibos initial weight'!$C$5:$C$1749,MATCH(J612, 'Green_rooibos initial weight'!$A$5:$A$1749,0)),"")</f>
        <v>2.0009999999999999</v>
      </c>
      <c r="L612" s="225">
        <f>IFERROR(K612-(TBIcalc!$H$9+TBIcalc!$H$10),"")</f>
        <v>1.7511999999999999</v>
      </c>
      <c r="M612" s="391">
        <f>AVERAGE(Ashed_controlls!$K$2:$K$11)</f>
        <v>5.5147656768714146</v>
      </c>
      <c r="N612" s="225">
        <f t="shared" si="49"/>
        <v>1.6546254234666278</v>
      </c>
      <c r="O612" s="225">
        <f>IF(IFERROR(INDEX('Both teabags AfterWet'!$C$3:$C$841,MATCH(J612,'Both teabags AfterWet'!$A$3:$A$841,0)),"")="","",(IFERROR(INDEX('Both teabags AfterWet'!$C$3:$C$841,MATCH(J612,'Both teabags AfterWet'!$A$3:$A$841,0)),"")))</f>
        <v>0.53500000000000003</v>
      </c>
      <c r="P612" s="225">
        <f>IFERROR(IF(O612&gt;0,O612-(TBIcalc!$H$9),""),"")</f>
        <v>0.38440000000000002</v>
      </c>
      <c r="Q612" s="225">
        <f>IFERROR(INDEX('Ashed teabags wet'!$K$2:$K$821,MATCH(J612,'Ashed teabags wet'!$A$2:$A$821,0)),"")</f>
        <v>8.6370444333500629</v>
      </c>
      <c r="R612" s="225">
        <f t="shared" si="52"/>
        <v>0.35119920119820236</v>
      </c>
      <c r="S612" s="226">
        <f>'WetLitterbags placem_collection'!E173</f>
        <v>42763</v>
      </c>
      <c r="T612" s="226">
        <f>IF('WetLitterbags placem_collection'!G173="","",'WetLitterbags placem_collection'!G173)</f>
        <v>42814</v>
      </c>
      <c r="U612" s="227">
        <f t="shared" si="48"/>
        <v>51</v>
      </c>
      <c r="V612" s="225">
        <f t="shared" si="50"/>
        <v>1.3667999999999998</v>
      </c>
      <c r="W612" s="225">
        <f t="shared" si="51"/>
        <v>1.3034262222684254</v>
      </c>
      <c r="X612">
        <f>IFERROR(INDEX(Rainfall_Wet!$O$2:$O$217,MATCH(B612, Rainfall_Wet!$A$2:$A$217,0)),"")</f>
        <v>181.383442621</v>
      </c>
      <c r="Y612" s="231">
        <v>23.96</v>
      </c>
      <c r="Z612" s="231">
        <v>4.9199999999999982</v>
      </c>
      <c r="AA612" s="231">
        <v>71.12</v>
      </c>
      <c r="AB612" s="232" t="s">
        <v>2670</v>
      </c>
      <c r="AC612" s="231">
        <v>5.3091375061606696</v>
      </c>
      <c r="AD612">
        <f>IF('WetLitterbags placem_collection'!AB173="","",'WetLitterbags placem_collection'!AB173)</f>
        <v>13.4</v>
      </c>
      <c r="AE612">
        <f>IF('WetLitterbags placem_collection'!Z173="","",'WetLitterbags placem_collection'!Z173)</f>
        <v>7.6</v>
      </c>
      <c r="AF612" s="246" t="str">
        <f>IF('WetLitterbags placem_collection'!AA173="","",'WetLitterbags placem_collection'!AA173)</f>
        <v>O</v>
      </c>
      <c r="AG612">
        <f>IF('WetLitterbags placem_collection'!AC173="","",'WetLitterbags placem_collection'!AC173)</f>
        <v>1</v>
      </c>
      <c r="AH612" s="24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placem_collection'!X173)),"YES","NO")</f>
        <v>NO</v>
      </c>
      <c r="AM612" t="str">
        <f>IF(ISNUMBER(SEARCH("H", 'WetLitterbags placem_collection'!X173)),"YES","NO")</f>
        <v>NO</v>
      </c>
      <c r="AN612" t="str">
        <f>IF(ISNUMBER(SEARCH("R", 'WetLitterbags placem_collection'!X173)),"YES","NO")</f>
        <v>NO</v>
      </c>
    </row>
    <row r="613" spans="1:40" ht="15" customHeight="1">
      <c r="A613" s="258" t="s">
        <v>2460</v>
      </c>
      <c r="B613" s="263">
        <f>'Dry_Litterbag Placem_Collection'!A174</f>
        <v>172</v>
      </c>
      <c r="C613" s="263" t="str">
        <f>'Dry_Litterbag Placem_Collection'!B174</f>
        <v>Handajega</v>
      </c>
      <c r="D613" s="263" t="s">
        <v>2659</v>
      </c>
      <c r="E613" s="263" t="s">
        <v>2661</v>
      </c>
      <c r="F613" s="263">
        <v>2</v>
      </c>
      <c r="G613" s="264" t="str">
        <f>'Dry_Litterbag Placem_Collection'!C174</f>
        <v>Wet_W2_T4</v>
      </c>
      <c r="H613" s="273" t="s">
        <v>3651</v>
      </c>
      <c r="I613" s="266" t="s">
        <v>1147</v>
      </c>
      <c r="J613" s="223" t="str">
        <f>'WetLitterbags placem_collection'!O174</f>
        <v>G439</v>
      </c>
      <c r="K613" s="225">
        <f>IFERROR(INDEX('Green_rooibos initial weight'!$C$5:$C$1749,MATCH(J613, 'Green_rooibos initial weight'!$A$5:$A$1749,0)),"")</f>
        <v>2.069</v>
      </c>
      <c r="L613" s="225">
        <f>IFERROR(K613-(TBIcalc!$H$9+TBIcalc!$H$10),"")</f>
        <v>1.8191999999999999</v>
      </c>
      <c r="M613" s="391">
        <f>AVERAGE(Ashed_controlls!$K$2:$K$11)</f>
        <v>5.5147656768714146</v>
      </c>
      <c r="N613" s="225">
        <f t="shared" si="49"/>
        <v>1.7188753828063552</v>
      </c>
      <c r="O613" s="225">
        <f>IF(IFERROR(INDEX('Both teabags AfterWet'!$C$3:$C$841,MATCH(J613,'Both teabags AfterWet'!$A$3:$A$841,0)),"")="","",(IFERROR(INDEX('Both teabags AfterWet'!$C$3:$C$841,MATCH(J613,'Both teabags AfterWet'!$A$3:$A$841,0)),"")))</f>
        <v>0.59599999999999997</v>
      </c>
      <c r="P613" s="225">
        <f>IFERROR(IF(O613&gt;0,O613-(TBIcalc!$H$9),""),"")</f>
        <v>0.44539999999999996</v>
      </c>
      <c r="Q613" s="225">
        <f>IFERROR(INDEX('Ashed teabags wet'!$K$2:$K$821,MATCH(J613,'Ashed teabags wet'!$A$2:$A$821,0)),"")</f>
        <v>9.0602409638559092</v>
      </c>
      <c r="R613" s="225">
        <f t="shared" si="52"/>
        <v>0.40504568674698577</v>
      </c>
      <c r="S613" s="226">
        <f>'WetLitterbags placem_collection'!E174</f>
        <v>42763</v>
      </c>
      <c r="T613" s="226">
        <f>IF('WetLitterbags placem_collection'!G174="","",'WetLitterbags placem_collection'!G174)</f>
        <v>42814</v>
      </c>
      <c r="U613" s="227">
        <f t="shared" si="48"/>
        <v>51</v>
      </c>
      <c r="V613" s="225">
        <f t="shared" si="50"/>
        <v>1.3737999999999999</v>
      </c>
      <c r="W613" s="225">
        <f t="shared" si="51"/>
        <v>1.3138296960593694</v>
      </c>
      <c r="X613">
        <f>IFERROR(INDEX(Rainfall_Wet!$O$2:$O$217,MATCH(B613, Rainfall_Wet!$A$2:$A$217,0)),"")</f>
        <v>181.383442621</v>
      </c>
      <c r="Y613" s="231">
        <v>23.96</v>
      </c>
      <c r="Z613" s="231">
        <v>4.9199999999999982</v>
      </c>
      <c r="AA613" s="231">
        <v>71.12</v>
      </c>
      <c r="AB613" s="232" t="s">
        <v>2670</v>
      </c>
      <c r="AC613" s="231">
        <v>6.3091375061606696</v>
      </c>
      <c r="AD613">
        <f>IF('WetLitterbags placem_collection'!AB174="","",'WetLitterbags placem_collection'!AB174)</f>
        <v>3.3</v>
      </c>
      <c r="AE613">
        <f>IF('WetLitterbags placem_collection'!Z174="","",'WetLitterbags placem_collection'!Z174)</f>
        <v>28.4</v>
      </c>
      <c r="AF613" s="246" t="str">
        <f>IF('WetLitterbags placem_collection'!AA174="","",'WetLitterbags placem_collection'!AA174)</f>
        <v>G</v>
      </c>
      <c r="AG613">
        <f>IF('WetLitterbags placem_collection'!AC174="","",'WetLitterbags placem_collection'!AC174)</f>
        <v>1</v>
      </c>
      <c r="AH613" s="24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placem_collection'!X174)),"YES","NO")</f>
        <v>NO</v>
      </c>
      <c r="AM613" t="str">
        <f>IF(ISNUMBER(SEARCH("H", 'WetLitterbags placem_collection'!X174)),"YES","NO")</f>
        <v>NO</v>
      </c>
      <c r="AN613" t="str">
        <f>IF(ISNUMBER(SEARCH("R", 'WetLitterbags placem_collection'!X174)),"YES","NO")</f>
        <v>NO</v>
      </c>
    </row>
    <row r="614" spans="1:40" ht="15" customHeight="1">
      <c r="A614" s="258" t="s">
        <v>2460</v>
      </c>
      <c r="B614" s="263">
        <f>'Dry_Litterbag Placem_Collection'!A175</f>
        <v>173</v>
      </c>
      <c r="C614" s="263" t="str">
        <f>'Dry_Litterbag Placem_Collection'!B175</f>
        <v>Handajega</v>
      </c>
      <c r="D614" s="263" t="s">
        <v>2659</v>
      </c>
      <c r="E614" s="263" t="s">
        <v>2661</v>
      </c>
      <c r="F614" s="263">
        <v>2</v>
      </c>
      <c r="G614" s="264" t="str">
        <f>'Dry_Litterbag Placem_Collection'!C175</f>
        <v>Wet_W2_T5</v>
      </c>
      <c r="H614" s="273" t="s">
        <v>3651</v>
      </c>
      <c r="I614" s="266" t="s">
        <v>1147</v>
      </c>
      <c r="J614" s="223" t="str">
        <f>'WetLitterbags placem_collection'!O175</f>
        <v>G865</v>
      </c>
      <c r="K614" s="225">
        <f>IFERROR(INDEX('Green_rooibos initial weight'!$C$5:$C$1749,MATCH(J614, 'Green_rooibos initial weight'!$A$5:$A$1749,0)),"")</f>
        <v>2.036</v>
      </c>
      <c r="L614" s="225">
        <f>IFERROR(K614-(TBIcalc!$H$9+TBIcalc!$H$10),"")</f>
        <v>1.7862</v>
      </c>
      <c r="M614" s="391">
        <f>AVERAGE(Ashed_controlls!$K$2:$K$11)</f>
        <v>5.5147656768714146</v>
      </c>
      <c r="N614" s="225">
        <f t="shared" si="49"/>
        <v>1.6876952554797229</v>
      </c>
      <c r="O614" s="225">
        <f>IF(IFERROR(INDEX('Both teabags AfterWet'!$C$3:$C$841,MATCH(J614,'Both teabags AfterWet'!$A$3:$A$841,0)),"")="","",(IFERROR(INDEX('Both teabags AfterWet'!$C$3:$C$841,MATCH(J614,'Both teabags AfterWet'!$A$3:$A$841,0)),"")))</f>
        <v>0.65549999999999997</v>
      </c>
      <c r="P614" s="225">
        <f>IFERROR(IF(O614&gt;0,O614-(TBIcalc!$H$9),""),"")</f>
        <v>0.5048999999999999</v>
      </c>
      <c r="Q614" s="225">
        <f>IFERROR(INDEX('Ashed teabags wet'!$K$2:$K$821,MATCH(J614,'Ashed teabags wet'!$A$2:$A$821,0)),"")</f>
        <v>9.1408591408588276</v>
      </c>
      <c r="R614" s="225">
        <f t="shared" si="52"/>
        <v>0.4587478021978037</v>
      </c>
      <c r="S614" s="226">
        <f>'WetLitterbags placem_collection'!E175</f>
        <v>42763</v>
      </c>
      <c r="T614" s="226">
        <f>IF('WetLitterbags placem_collection'!G175="","",'WetLitterbags placem_collection'!G175)</f>
        <v>42814</v>
      </c>
      <c r="U614" s="227">
        <f t="shared" si="48"/>
        <v>51</v>
      </c>
      <c r="V614" s="225">
        <f t="shared" si="50"/>
        <v>1.2813000000000001</v>
      </c>
      <c r="W614" s="225">
        <f t="shared" si="51"/>
        <v>1.2289474532819191</v>
      </c>
      <c r="X614">
        <f>IFERROR(INDEX(Rainfall_Wet!$O$2:$O$217,MATCH(B614, Rainfall_Wet!$A$2:$A$217,0)),"")</f>
        <v>181.383442621</v>
      </c>
      <c r="Y614" s="231">
        <v>23.96</v>
      </c>
      <c r="Z614" s="231">
        <v>4.9199999999999982</v>
      </c>
      <c r="AA614" s="231">
        <v>71.12</v>
      </c>
      <c r="AB614" s="232" t="s">
        <v>2670</v>
      </c>
      <c r="AC614" s="231">
        <v>7.3091375061606696</v>
      </c>
      <c r="AD614">
        <f>IF('WetLitterbags placem_collection'!AB175="","",'WetLitterbags placem_collection'!AB175)</f>
        <v>15.4</v>
      </c>
      <c r="AE614">
        <f>IF('WetLitterbags placem_collection'!Z175="","",'WetLitterbags placem_collection'!Z175)</f>
        <v>12.4</v>
      </c>
      <c r="AF614" s="246" t="str">
        <f>IF('WetLitterbags placem_collection'!AA175="","",'WetLitterbags placem_collection'!AA175)</f>
        <v>O</v>
      </c>
      <c r="AG614">
        <f>IF('WetLitterbags placem_collection'!AC175="","",'WetLitterbags placem_collection'!AC175)</f>
        <v>0</v>
      </c>
      <c r="AH614" s="24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placem_collection'!X175)),"YES","NO")</f>
        <v>NO</v>
      </c>
      <c r="AM614" t="str">
        <f>IF(ISNUMBER(SEARCH("H", 'WetLitterbags placem_collection'!X175)),"YES","NO")</f>
        <v>NO</v>
      </c>
      <c r="AN614" t="str">
        <f>IF(ISNUMBER(SEARCH("R", 'WetLitterbags placem_collection'!X175)),"YES","NO")</f>
        <v>NO</v>
      </c>
    </row>
    <row r="615" spans="1:40" ht="15" customHeight="1">
      <c r="A615" s="258" t="s">
        <v>2460</v>
      </c>
      <c r="B615" s="263">
        <f>'Dry_Litterbag Placem_Collection'!A176</f>
        <v>174</v>
      </c>
      <c r="C615" s="263" t="str">
        <f>'Dry_Litterbag Placem_Collection'!B176</f>
        <v>Handajega</v>
      </c>
      <c r="D615" s="263" t="s">
        <v>2659</v>
      </c>
      <c r="E615" s="263" t="s">
        <v>2661</v>
      </c>
      <c r="F615" s="263">
        <v>2</v>
      </c>
      <c r="G615" s="264" t="str">
        <f>'Dry_Litterbag Placem_Collection'!C176</f>
        <v>Wet_W2_T6</v>
      </c>
      <c r="H615" s="273" t="s">
        <v>3651</v>
      </c>
      <c r="I615" s="266" t="s">
        <v>1147</v>
      </c>
      <c r="J615" s="223" t="str">
        <f>'WetLitterbags placem_collection'!O176</f>
        <v>G736</v>
      </c>
      <c r="K615" s="225">
        <f>IFERROR(INDEX('Green_rooibos initial weight'!$C$5:$C$1749,MATCH(J615, 'Green_rooibos initial weight'!$A$5:$A$1749,0)),"")</f>
        <v>2.0760000000000001</v>
      </c>
      <c r="L615" s="225">
        <f>IFERROR(K615-(TBIcalc!$H$9+TBIcalc!$H$10),"")</f>
        <v>1.8262</v>
      </c>
      <c r="M615" s="391">
        <f>AVERAGE(Ashed_controlls!$K$2:$K$11)</f>
        <v>5.5147656768714146</v>
      </c>
      <c r="N615" s="225">
        <f t="shared" si="49"/>
        <v>1.7254893492089742</v>
      </c>
      <c r="O615" s="225">
        <f>IF(IFERROR(INDEX('Both teabags AfterWet'!$C$3:$C$841,MATCH(J615,'Both teabags AfterWet'!$A$3:$A$841,0)),"")="","",(IFERROR(INDEX('Both teabags AfterWet'!$C$3:$C$841,MATCH(J615,'Both teabags AfterWet'!$A$3:$A$841,0)),"")))</f>
        <v>0.63500000000000001</v>
      </c>
      <c r="P615" s="225">
        <f>IFERROR(IF(O615&gt;0,O615-(TBIcalc!$H$9),""),"")</f>
        <v>0.4844</v>
      </c>
      <c r="Q615" s="225">
        <f>IFERROR(INDEX('Ashed teabags wet'!$K$2:$K$821,MATCH(J615,'Ashed teabags wet'!$A$2:$A$821,0)),"")</f>
        <v>8.7727944800392965</v>
      </c>
      <c r="R615" s="225">
        <f t="shared" si="52"/>
        <v>0.44190458353868967</v>
      </c>
      <c r="S615" s="226">
        <f>'WetLitterbags placem_collection'!E176</f>
        <v>42763</v>
      </c>
      <c r="T615" s="226">
        <f>IF('WetLitterbags placem_collection'!G176="","",'WetLitterbags placem_collection'!G176)</f>
        <v>42814</v>
      </c>
      <c r="U615" s="227">
        <f t="shared" si="48"/>
        <v>51</v>
      </c>
      <c r="V615" s="225">
        <f t="shared" si="50"/>
        <v>1.3418000000000001</v>
      </c>
      <c r="W615" s="225">
        <f t="shared" si="51"/>
        <v>1.2835847656702846</v>
      </c>
      <c r="X615">
        <f>IFERROR(INDEX(Rainfall_Wet!$O$2:$O$217,MATCH(B615, Rainfall_Wet!$A$2:$A$217,0)),"")</f>
        <v>181.383442621</v>
      </c>
      <c r="Y615" s="231">
        <v>23.96</v>
      </c>
      <c r="Z615" s="231">
        <v>4.9199999999999982</v>
      </c>
      <c r="AA615" s="231">
        <v>71.12</v>
      </c>
      <c r="AB615" s="232" t="s">
        <v>2670</v>
      </c>
      <c r="AC615" s="231">
        <v>8.3091375061606705</v>
      </c>
      <c r="AD615">
        <f>IF('WetLitterbags placem_collection'!AB176="","",'WetLitterbags placem_collection'!AB176)</f>
        <v>7.4</v>
      </c>
      <c r="AE615">
        <f>IF('WetLitterbags placem_collection'!Z176="","",'WetLitterbags placem_collection'!Z176)</f>
        <v>7.4</v>
      </c>
      <c r="AF615" s="246" t="str">
        <f>IF('WetLitterbags placem_collection'!AA176="","",'WetLitterbags placem_collection'!AA176)</f>
        <v>O</v>
      </c>
      <c r="AG615">
        <f>IF('WetLitterbags placem_collection'!AC176="","",'WetLitterbags placem_collection'!AC176)</f>
        <v>0</v>
      </c>
      <c r="AH615" s="24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placem_collection'!X176)),"YES","NO")</f>
        <v>NO</v>
      </c>
      <c r="AM615" t="str">
        <f>IF(ISNUMBER(SEARCH("H", 'WetLitterbags placem_collection'!X176)),"YES","NO")</f>
        <v>NO</v>
      </c>
      <c r="AN615" t="str">
        <f>IF(ISNUMBER(SEARCH("R", 'WetLitterbags placem_collection'!X176)),"YES","NO")</f>
        <v>NO</v>
      </c>
    </row>
    <row r="616" spans="1:40" ht="15" customHeight="1">
      <c r="A616" s="258" t="s">
        <v>2460</v>
      </c>
      <c r="B616" s="263">
        <f>'Dry_Litterbag Placem_Collection'!A177</f>
        <v>175</v>
      </c>
      <c r="C616" s="263" t="str">
        <f>'Dry_Litterbag Placem_Collection'!B177</f>
        <v>Handajega</v>
      </c>
      <c r="D616" s="263" t="s">
        <v>2659</v>
      </c>
      <c r="E616" s="263" t="s">
        <v>2661</v>
      </c>
      <c r="F616" s="263">
        <v>2</v>
      </c>
      <c r="G616" s="264" t="str">
        <f>'Dry_Litterbag Placem_Collection'!C177</f>
        <v>Wet_W2_T7</v>
      </c>
      <c r="H616" s="273" t="s">
        <v>3651</v>
      </c>
      <c r="I616" s="266" t="s">
        <v>1147</v>
      </c>
      <c r="J616" s="223" t="str">
        <f>'WetLitterbags placem_collection'!O177</f>
        <v>G792</v>
      </c>
      <c r="K616" s="225">
        <f>IFERROR(INDEX('Green_rooibos initial weight'!$C$5:$C$1749,MATCH(J616, 'Green_rooibos initial weight'!$A$5:$A$1749,0)),"")</f>
        <v>2.0550000000000002</v>
      </c>
      <c r="L616" s="225">
        <f>IFERROR(K616-(TBIcalc!$H$9+TBIcalc!$H$10),"")</f>
        <v>1.8052000000000001</v>
      </c>
      <c r="M616" s="391">
        <f>AVERAGE(Ashed_controlls!$K$2:$K$11)</f>
        <v>5.5147656768714146</v>
      </c>
      <c r="N616" s="225">
        <f t="shared" si="49"/>
        <v>1.7056474500011174</v>
      </c>
      <c r="O616" s="225" t="str">
        <f>IF(IFERROR(INDEX('Both teabags AfterWet'!$C$3:$C$841,MATCH(J616,'Both teabags AfterWet'!$A$3:$A$841,0)),"")="","",(IFERROR(INDEX('Both teabags AfterWet'!$C$3:$C$841,MATCH(J616,'Both teabags AfterWet'!$A$3:$A$841,0)),"")))</f>
        <v/>
      </c>
      <c r="P616" s="225" t="str">
        <f>IFERROR(IF(O616&gt;0,O616-(TBIcalc!$H$9),""),"")</f>
        <v/>
      </c>
      <c r="Q616" s="225" t="str">
        <f>IFERROR(INDEX('Ashed teabags wet'!$K$2:$K$821,MATCH(J616,'Ashed teabags wet'!$A$2:$A$821,0)),"")</f>
        <v/>
      </c>
      <c r="R616" s="225" t="str">
        <f t="shared" si="52"/>
        <v/>
      </c>
      <c r="S616" s="226">
        <f>'WetLitterbags placem_collection'!E177</f>
        <v>42763</v>
      </c>
      <c r="T616" s="226">
        <f>IF('WetLitterbags placem_collection'!G177="","",'WetLitterbags placem_collection'!G177)</f>
        <v>42814</v>
      </c>
      <c r="U616" s="227">
        <f t="shared" si="48"/>
        <v>51</v>
      </c>
      <c r="V616" s="225" t="str">
        <f t="shared" si="50"/>
        <v/>
      </c>
      <c r="W616" s="225" t="str">
        <f t="shared" si="51"/>
        <v/>
      </c>
      <c r="X616">
        <f>IFERROR(INDEX(Rainfall_Wet!$O$2:$O$217,MATCH(B616, Rainfall_Wet!$A$2:$A$217,0)),"")</f>
        <v>181.383442621</v>
      </c>
      <c r="Y616" s="231">
        <v>23.96</v>
      </c>
      <c r="Z616" s="231">
        <v>4.9199999999999982</v>
      </c>
      <c r="AA616" s="231">
        <v>71.12</v>
      </c>
      <c r="AB616" s="232" t="s">
        <v>2670</v>
      </c>
      <c r="AC616" s="231">
        <v>9.3091375061606705</v>
      </c>
      <c r="AD616">
        <f>IF('WetLitterbags placem_collection'!AB177="","",'WetLitterbags placem_collection'!AB177)</f>
        <v>15.4</v>
      </c>
      <c r="AE616">
        <f>IF('WetLitterbags placem_collection'!Z177="","",'WetLitterbags placem_collection'!Z177)</f>
        <v>9.8000000000000007</v>
      </c>
      <c r="AF616" s="246" t="str">
        <f>IF('WetLitterbags placem_collection'!AA177="","",'WetLitterbags placem_collection'!AA177)</f>
        <v>O</v>
      </c>
      <c r="AG616">
        <f>IF('WetLitterbags placem_collection'!AC177="","",'WetLitterbags placem_collection'!AC177)</f>
        <v>1</v>
      </c>
      <c r="AH616" s="24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placem_collection'!X177)),"YES","NO")</f>
        <v>NO</v>
      </c>
      <c r="AM616" t="str">
        <f>IF(ISNUMBER(SEARCH("H", 'WetLitterbags placem_collection'!X177)),"YES","NO")</f>
        <v>NO</v>
      </c>
      <c r="AN616" t="str">
        <f>IF(ISNUMBER(SEARCH("R", 'WetLitterbags placem_collection'!X177)),"YES","NO")</f>
        <v>NO</v>
      </c>
    </row>
    <row r="617" spans="1:40" ht="15" customHeight="1">
      <c r="A617" s="258" t="s">
        <v>2460</v>
      </c>
      <c r="B617" s="263">
        <f>'Dry_Litterbag Placem_Collection'!A178</f>
        <v>176</v>
      </c>
      <c r="C617" s="263" t="str">
        <f>'Dry_Litterbag Placem_Collection'!B178</f>
        <v>Handajega</v>
      </c>
      <c r="D617" s="263" t="s">
        <v>2659</v>
      </c>
      <c r="E617" s="263" t="s">
        <v>2661</v>
      </c>
      <c r="F617" s="263">
        <v>2</v>
      </c>
      <c r="G617" s="264" t="str">
        <f>'Dry_Litterbag Placem_Collection'!C178</f>
        <v>Wet_W2_T8</v>
      </c>
      <c r="H617" s="273" t="s">
        <v>3651</v>
      </c>
      <c r="I617" s="266" t="s">
        <v>1147</v>
      </c>
      <c r="J617" s="223" t="str">
        <f>'WetLitterbags placem_collection'!O178</f>
        <v>G470</v>
      </c>
      <c r="K617" s="225">
        <f>IFERROR(INDEX('Green_rooibos initial weight'!$C$5:$C$1749,MATCH(J617, 'Green_rooibos initial weight'!$A$5:$A$1749,0)),"")</f>
        <v>1.9970000000000001</v>
      </c>
      <c r="L617" s="225">
        <f>IFERROR(K617-(TBIcalc!$H$9+TBIcalc!$H$10),"")</f>
        <v>1.7472000000000001</v>
      </c>
      <c r="M617" s="391">
        <f>AVERAGE(Ashed_controlls!$K$2:$K$11)</f>
        <v>5.5147656768714146</v>
      </c>
      <c r="N617" s="225">
        <f t="shared" si="49"/>
        <v>1.6508460140937027</v>
      </c>
      <c r="O617" s="225">
        <f>IF(IFERROR(INDEX('Both teabags AfterWet'!$C$3:$C$841,MATCH(J617,'Both teabags AfterWet'!$A$3:$A$841,0)),"")="","",(IFERROR(INDEX('Both teabags AfterWet'!$C$3:$C$841,MATCH(J617,'Both teabags AfterWet'!$A$3:$A$841,0)),"")))</f>
        <v>0.60299999999999998</v>
      </c>
      <c r="P617" s="225">
        <f>IFERROR(IF(O617&gt;0,O617-(TBIcalc!$H$9),""),"")</f>
        <v>0.45239999999999997</v>
      </c>
      <c r="Q617" s="225">
        <f>IFERROR(INDEX('Ashed teabags wet'!$K$2:$K$821,MATCH(J617,'Ashed teabags wet'!$A$2:$A$821,0)),"")</f>
        <v>9.3558282208585464</v>
      </c>
      <c r="R617" s="225">
        <f t="shared" si="52"/>
        <v>0.4100742331288359</v>
      </c>
      <c r="S617" s="226">
        <f>'WetLitterbags placem_collection'!E178</f>
        <v>42763</v>
      </c>
      <c r="T617" s="226">
        <f>IF('WetLitterbags placem_collection'!G178="","",'WetLitterbags placem_collection'!G178)</f>
        <v>42814</v>
      </c>
      <c r="U617" s="227">
        <f t="shared" si="48"/>
        <v>51</v>
      </c>
      <c r="V617" s="225">
        <f t="shared" si="50"/>
        <v>1.2948000000000002</v>
      </c>
      <c r="W617" s="225">
        <f t="shared" si="51"/>
        <v>1.2407717809648668</v>
      </c>
      <c r="X617">
        <f>IFERROR(INDEX(Rainfall_Wet!$O$2:$O$217,MATCH(B617, Rainfall_Wet!$A$2:$A$217,0)),"")</f>
        <v>181.383442621</v>
      </c>
      <c r="Y617" s="231">
        <v>23.96</v>
      </c>
      <c r="Z617" s="231">
        <v>4.9199999999999982</v>
      </c>
      <c r="AA617" s="231">
        <v>71.12</v>
      </c>
      <c r="AB617" s="232" t="s">
        <v>2670</v>
      </c>
      <c r="AC617" s="231">
        <v>10.309137506160701</v>
      </c>
      <c r="AD617">
        <f>IF('WetLitterbags placem_collection'!AB178="","",'WetLitterbags placem_collection'!AB178)</f>
        <v>6.8</v>
      </c>
      <c r="AE617">
        <f>IF('WetLitterbags placem_collection'!Z178="","",'WetLitterbags placem_collection'!Z178)</f>
        <v>6.9</v>
      </c>
      <c r="AF617" s="246" t="str">
        <f>IF('WetLitterbags placem_collection'!AA178="","",'WetLitterbags placem_collection'!AA178)</f>
        <v>O</v>
      </c>
      <c r="AG617">
        <f>IF('WetLitterbags placem_collection'!AC178="","",'WetLitterbags placem_collection'!AC178)</f>
        <v>0</v>
      </c>
      <c r="AH617" s="24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placem_collection'!X178)),"YES","NO")</f>
        <v>NO</v>
      </c>
      <c r="AM617" t="str">
        <f>IF(ISNUMBER(SEARCH("H", 'WetLitterbags placem_collection'!X178)),"YES","NO")</f>
        <v>NO</v>
      </c>
      <c r="AN617" t="str">
        <f>IF(ISNUMBER(SEARCH("R", 'WetLitterbags placem_collection'!X178)),"YES","NO")</f>
        <v>NO</v>
      </c>
    </row>
    <row r="618" spans="1:40" ht="15" customHeight="1">
      <c r="A618" s="258" t="s">
        <v>2460</v>
      </c>
      <c r="B618" s="263">
        <f>'Dry_Litterbag Placem_Collection'!A179</f>
        <v>177</v>
      </c>
      <c r="C618" s="263" t="str">
        <f>'Dry_Litterbag Placem_Collection'!B179</f>
        <v>Handajega</v>
      </c>
      <c r="D618" s="263" t="s">
        <v>2659</v>
      </c>
      <c r="E618" s="263" t="s">
        <v>2661</v>
      </c>
      <c r="F618" s="263">
        <v>3</v>
      </c>
      <c r="G618" s="264" t="str">
        <f>'Dry_Litterbag Placem_Collection'!C179</f>
        <v>Wet_W3_T1</v>
      </c>
      <c r="H618" s="273" t="s">
        <v>3651</v>
      </c>
      <c r="I618" s="266" t="s">
        <v>1147</v>
      </c>
      <c r="J618" s="223" t="str">
        <f>'WetLitterbags placem_collection'!O179</f>
        <v>G483</v>
      </c>
      <c r="K618" s="225">
        <f>IFERROR(INDEX('Green_rooibos initial weight'!$C$5:$C$1749,MATCH(J618, 'Green_rooibos initial weight'!$A$5:$A$1749,0)),"")</f>
        <v>1.9750000000000001</v>
      </c>
      <c r="L618" s="225">
        <f>IFERROR(K618-(TBIcalc!$H$9+TBIcalc!$H$10),"")</f>
        <v>1.7252000000000001</v>
      </c>
      <c r="M618" s="391">
        <f>AVERAGE(Ashed_controlls!$K$2:$K$11)</f>
        <v>5.5147656768714146</v>
      </c>
      <c r="N618" s="225">
        <f t="shared" si="49"/>
        <v>1.6300592625426145</v>
      </c>
      <c r="O618" s="225">
        <f>IF(IFERROR(INDEX('Both teabags AfterWet'!$C$3:$C$841,MATCH(J618,'Both teabags AfterWet'!$A$3:$A$841,0)),"")="","",(IFERROR(INDEX('Both teabags AfterWet'!$C$3:$C$841,MATCH(J618,'Both teabags AfterWet'!$A$3:$A$841,0)),"")))</f>
        <v>0.58399999999999996</v>
      </c>
      <c r="P618" s="225">
        <f>IFERROR(IF(O618&gt;0,O618-(TBIcalc!$H$9),""),"")</f>
        <v>0.43339999999999995</v>
      </c>
      <c r="Q618" s="225">
        <f>IFERROR(INDEX('Ashed teabags wet'!$K$2:$K$821,MATCH(J618,'Ashed teabags wet'!$A$2:$A$821,0)),"")</f>
        <v>8.5170340681363346</v>
      </c>
      <c r="R618" s="225">
        <f t="shared" si="52"/>
        <v>0.39648717434869707</v>
      </c>
      <c r="S618" s="226">
        <f>'WetLitterbags placem_collection'!E179</f>
        <v>42763</v>
      </c>
      <c r="T618" s="226">
        <f>IF('WetLitterbags placem_collection'!G179="","",'WetLitterbags placem_collection'!G179)</f>
        <v>42815</v>
      </c>
      <c r="U618" s="227">
        <f t="shared" si="48"/>
        <v>52</v>
      </c>
      <c r="V618" s="225">
        <f t="shared" si="50"/>
        <v>1.2918000000000001</v>
      </c>
      <c r="W618" s="225">
        <f t="shared" si="51"/>
        <v>1.2335720881939174</v>
      </c>
      <c r="X618">
        <f>IFERROR(INDEX(Rainfall_Wet!$O$2:$O$217,MATCH(B618, Rainfall_Wet!$A$2:$A$217,0)),"")</f>
        <v>188.24043152799999</v>
      </c>
      <c r="Y618" s="231">
        <v>25.96</v>
      </c>
      <c r="Z618" s="231">
        <v>8.9200000000000017</v>
      </c>
      <c r="AA618" s="231">
        <v>65.12</v>
      </c>
      <c r="AB618" s="232" t="s">
        <v>2670</v>
      </c>
      <c r="AC618" s="231">
        <v>1.614588467225234</v>
      </c>
      <c r="AD618">
        <f>IF('WetLitterbags placem_collection'!AB179="","",'WetLitterbags placem_collection'!AB179)</f>
        <v>17.8</v>
      </c>
      <c r="AE618">
        <f>IF('WetLitterbags placem_collection'!Z179="","",'WetLitterbags placem_collection'!Z179)</f>
        <v>25.8</v>
      </c>
      <c r="AF618" s="246" t="str">
        <f>IF('WetLitterbags placem_collection'!AA179="","",'WetLitterbags placem_collection'!AA179)</f>
        <v>O</v>
      </c>
      <c r="AG618">
        <f>IF('WetLitterbags placem_collection'!AC179="","",'WetLitterbags placem_collection'!AC179)</f>
        <v>0</v>
      </c>
      <c r="AH618" s="24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placem_collection'!X179)),"YES","NO")</f>
        <v>NO</v>
      </c>
      <c r="AM618" t="str">
        <f>IF(ISNUMBER(SEARCH("H", 'WetLitterbags placem_collection'!X179)),"YES","NO")</f>
        <v>NO</v>
      </c>
      <c r="AN618" t="str">
        <f>IF(ISNUMBER(SEARCH("R", 'WetLitterbags placem_collection'!X179)),"YES","NO")</f>
        <v>NO</v>
      </c>
    </row>
    <row r="619" spans="1:40" ht="15" customHeight="1">
      <c r="A619" s="258" t="s">
        <v>2460</v>
      </c>
      <c r="B619" s="263">
        <f>'Dry_Litterbag Placem_Collection'!A180</f>
        <v>178</v>
      </c>
      <c r="C619" s="263" t="str">
        <f>'Dry_Litterbag Placem_Collection'!B180</f>
        <v>Handajega</v>
      </c>
      <c r="D619" s="263" t="s">
        <v>2659</v>
      </c>
      <c r="E619" s="263" t="s">
        <v>2661</v>
      </c>
      <c r="F619" s="263">
        <v>3</v>
      </c>
      <c r="G619" s="264" t="str">
        <f>'Dry_Litterbag Placem_Collection'!C180</f>
        <v>Wet_W3_T2</v>
      </c>
      <c r="H619" s="273" t="s">
        <v>3651</v>
      </c>
      <c r="I619" s="266" t="s">
        <v>1147</v>
      </c>
      <c r="J619" s="223" t="str">
        <f>'WetLitterbags placem_collection'!O180</f>
        <v>G893</v>
      </c>
      <c r="K619" s="225">
        <f>IFERROR(INDEX('Green_rooibos initial weight'!$C$5:$C$1749,MATCH(J619, 'Green_rooibos initial weight'!$A$5:$A$1749,0)),"")</f>
        <v>2.036</v>
      </c>
      <c r="L619" s="225">
        <f>IFERROR(K619-(TBIcalc!$H$9+TBIcalc!$H$10),"")</f>
        <v>1.7862</v>
      </c>
      <c r="M619" s="391">
        <f>AVERAGE(Ashed_controlls!$K$2:$K$11)</f>
        <v>5.5147656768714146</v>
      </c>
      <c r="N619" s="225">
        <f t="shared" si="49"/>
        <v>1.6876952554797229</v>
      </c>
      <c r="O619" s="225">
        <f>IF(IFERROR(INDEX('Both teabags AfterWet'!$C$3:$C$841,MATCH(J619,'Both teabags AfterWet'!$A$3:$A$841,0)),"")="","",(IFERROR(INDEX('Both teabags AfterWet'!$C$3:$C$841,MATCH(J619,'Both teabags AfterWet'!$A$3:$A$841,0)),"")))</f>
        <v>0.60699999999999998</v>
      </c>
      <c r="P619" s="225">
        <f>IFERROR(IF(O619&gt;0,O619-(TBIcalc!$H$9),""),"")</f>
        <v>0.45639999999999997</v>
      </c>
      <c r="Q619" s="225">
        <f>IFERROR(INDEX('Ashed teabags wet'!$K$2:$K$821,MATCH(J619,'Ashed teabags wet'!$A$2:$A$821,0)),"")</f>
        <v>8.1265206812653794</v>
      </c>
      <c r="R619" s="225">
        <f t="shared" si="52"/>
        <v>0.41931055961070479</v>
      </c>
      <c r="S619" s="226">
        <f>'WetLitterbags placem_collection'!E180</f>
        <v>42763</v>
      </c>
      <c r="T619" s="226">
        <f>IF('WetLitterbags placem_collection'!G180="","",'WetLitterbags placem_collection'!G180)</f>
        <v>42815</v>
      </c>
      <c r="U619" s="227">
        <f t="shared" si="48"/>
        <v>52</v>
      </c>
      <c r="V619" s="225">
        <f t="shared" si="50"/>
        <v>1.3298000000000001</v>
      </c>
      <c r="W619" s="225">
        <f t="shared" si="51"/>
        <v>1.2683846958690181</v>
      </c>
      <c r="X619">
        <f>IFERROR(INDEX(Rainfall_Wet!$O$2:$O$217,MATCH(B619, Rainfall_Wet!$A$2:$A$217,0)),"")</f>
        <v>188.24043152799999</v>
      </c>
      <c r="Y619" s="231">
        <v>25.96</v>
      </c>
      <c r="Z619" s="231">
        <v>8.9200000000000017</v>
      </c>
      <c r="AA619" s="231">
        <v>65.12</v>
      </c>
      <c r="AB619" s="232" t="s">
        <v>2670</v>
      </c>
      <c r="AC619" s="231">
        <v>2.61458846722523</v>
      </c>
      <c r="AD619">
        <f>IF('WetLitterbags placem_collection'!AB180="","",'WetLitterbags placem_collection'!AB180)</f>
        <v>15.4</v>
      </c>
      <c r="AE619">
        <f>IF('WetLitterbags placem_collection'!Z180="","",'WetLitterbags placem_collection'!Z180)</f>
        <v>18.8</v>
      </c>
      <c r="AF619" s="246" t="str">
        <f>IF('WetLitterbags placem_collection'!AA180="","",'WetLitterbags placem_collection'!AA180)</f>
        <v>O</v>
      </c>
      <c r="AG619">
        <f>IF('WetLitterbags placem_collection'!AC180="","",'WetLitterbags placem_collection'!AC180)</f>
        <v>1</v>
      </c>
      <c r="AH619" s="24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placem_collection'!X180)),"YES","NO")</f>
        <v>NO</v>
      </c>
      <c r="AM619" t="str">
        <f>IF(ISNUMBER(SEARCH("H", 'WetLitterbags placem_collection'!X180)),"YES","NO")</f>
        <v>NO</v>
      </c>
      <c r="AN619" t="str">
        <f>IF(ISNUMBER(SEARCH("R", 'WetLitterbags placem_collection'!X180)),"YES","NO")</f>
        <v>YES</v>
      </c>
    </row>
    <row r="620" spans="1:40" ht="15" customHeight="1">
      <c r="A620" s="258" t="s">
        <v>2460</v>
      </c>
      <c r="B620" s="263">
        <f>'Dry_Litterbag Placem_Collection'!A181</f>
        <v>179</v>
      </c>
      <c r="C620" s="263" t="str">
        <f>'Dry_Litterbag Placem_Collection'!B181</f>
        <v>Handajega</v>
      </c>
      <c r="D620" s="263" t="s">
        <v>2659</v>
      </c>
      <c r="E620" s="263" t="s">
        <v>2661</v>
      </c>
      <c r="F620" s="263">
        <v>3</v>
      </c>
      <c r="G620" s="264" t="str">
        <f>'Dry_Litterbag Placem_Collection'!C181</f>
        <v>Wet_W3_T3</v>
      </c>
      <c r="H620" s="273" t="s">
        <v>3651</v>
      </c>
      <c r="I620" s="266" t="s">
        <v>1147</v>
      </c>
      <c r="J620" s="223" t="str">
        <f>'WetLitterbags placem_collection'!O181</f>
        <v>G826</v>
      </c>
      <c r="K620" s="225">
        <f>IFERROR(INDEX('Green_rooibos initial weight'!$C$5:$C$1749,MATCH(J620, 'Green_rooibos initial weight'!$A$5:$A$1749,0)),"")</f>
        <v>2.15</v>
      </c>
      <c r="L620" s="225">
        <f>IFERROR(K620-(TBIcalc!$H$9+TBIcalc!$H$10),"")</f>
        <v>1.9001999999999999</v>
      </c>
      <c r="M620" s="391">
        <f>AVERAGE(Ashed_controlls!$K$2:$K$11)</f>
        <v>5.5147656768714146</v>
      </c>
      <c r="N620" s="225">
        <f t="shared" si="49"/>
        <v>1.7954084226080893</v>
      </c>
      <c r="O620" s="225">
        <f>IF(IFERROR(INDEX('Both teabags AfterWet'!$C$3:$C$841,MATCH(J620,'Both teabags AfterWet'!$A$3:$A$841,0)),"")="","",(IFERROR(INDEX('Both teabags AfterWet'!$C$3:$C$841,MATCH(J620,'Both teabags AfterWet'!$A$3:$A$841,0)),"")))</f>
        <v>0.60060000000000002</v>
      </c>
      <c r="P620" s="225">
        <f>IFERROR(IF(O620&gt;0,O620-(TBIcalc!$H$9),""),"")</f>
        <v>0.45</v>
      </c>
      <c r="Q620" s="225">
        <f>IFERROR(INDEX('Ashed teabags wet'!$K$2:$K$821,MATCH(J620,'Ashed teabags wet'!$A$2:$A$821,0)),"")</f>
        <v>8.7676570871892565</v>
      </c>
      <c r="R620" s="225">
        <f t="shared" si="52"/>
        <v>0.41054554310764835</v>
      </c>
      <c r="S620" s="226">
        <f>'WetLitterbags placem_collection'!E181</f>
        <v>42763</v>
      </c>
      <c r="T620" s="226">
        <f>IF('WetLitterbags placem_collection'!G181="","",'WetLitterbags placem_collection'!G181)</f>
        <v>42815</v>
      </c>
      <c r="U620" s="227">
        <f t="shared" si="48"/>
        <v>52</v>
      </c>
      <c r="V620" s="225">
        <f t="shared" si="50"/>
        <v>1.4501999999999999</v>
      </c>
      <c r="W620" s="225">
        <f t="shared" si="51"/>
        <v>1.384862879500441</v>
      </c>
      <c r="X620">
        <f>IFERROR(INDEX(Rainfall_Wet!$O$2:$O$217,MATCH(B620, Rainfall_Wet!$A$2:$A$217,0)),"")</f>
        <v>188.24043152799999</v>
      </c>
      <c r="Y620" s="231">
        <v>25.96</v>
      </c>
      <c r="Z620" s="231">
        <v>8.9200000000000017</v>
      </c>
      <c r="AA620" s="231">
        <v>65.12</v>
      </c>
      <c r="AB620" s="232" t="s">
        <v>2670</v>
      </c>
      <c r="AC620" s="231">
        <v>3.61458846722523</v>
      </c>
      <c r="AD620">
        <f>IF('WetLitterbags placem_collection'!AB181="","",'WetLitterbags placem_collection'!AB181)</f>
        <v>11.8</v>
      </c>
      <c r="AE620">
        <f>IF('WetLitterbags placem_collection'!Z181="","",'WetLitterbags placem_collection'!Z181)</f>
        <v>15.4</v>
      </c>
      <c r="AF620" s="246" t="str">
        <f>IF('WetLitterbags placem_collection'!AA181="","",'WetLitterbags placem_collection'!AA181)</f>
        <v>O</v>
      </c>
      <c r="AG620">
        <f>IF('WetLitterbags placem_collection'!AC181="","",'WetLitterbags placem_collection'!AC181)</f>
        <v>1</v>
      </c>
      <c r="AH620" s="24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placem_collection'!X181)),"YES","NO")</f>
        <v>NO</v>
      </c>
      <c r="AM620" t="str">
        <f>IF(ISNUMBER(SEARCH("H", 'WetLitterbags placem_collection'!X181)),"YES","NO")</f>
        <v>NO</v>
      </c>
      <c r="AN620" t="str">
        <f>IF(ISNUMBER(SEARCH("R", 'WetLitterbags placem_collection'!X181)),"YES","NO")</f>
        <v>NO</v>
      </c>
    </row>
    <row r="621" spans="1:40" ht="15" customHeight="1">
      <c r="A621" s="258" t="s">
        <v>2460</v>
      </c>
      <c r="B621" s="263">
        <f>'Dry_Litterbag Placem_Collection'!A182</f>
        <v>180</v>
      </c>
      <c r="C621" s="263" t="str">
        <f>'Dry_Litterbag Placem_Collection'!B182</f>
        <v>Handajega</v>
      </c>
      <c r="D621" s="263" t="s">
        <v>2659</v>
      </c>
      <c r="E621" s="263" t="s">
        <v>2661</v>
      </c>
      <c r="F621" s="263">
        <v>3</v>
      </c>
      <c r="G621" s="264" t="str">
        <f>'Dry_Litterbag Placem_Collection'!C182</f>
        <v>Wet_W3_T4</v>
      </c>
      <c r="H621" s="273" t="s">
        <v>3651</v>
      </c>
      <c r="I621" s="266" t="s">
        <v>1147</v>
      </c>
      <c r="J621" s="223" t="str">
        <f>'WetLitterbags placem_collection'!O182</f>
        <v>G783</v>
      </c>
      <c r="K621" s="225">
        <f>IFERROR(INDEX('Green_rooibos initial weight'!$C$5:$C$1749,MATCH(J621, 'Green_rooibos initial weight'!$A$5:$A$1749,0)),"")</f>
        <v>1.976</v>
      </c>
      <c r="L621" s="225">
        <f>IFERROR(K621-(TBIcalc!$H$9+TBIcalc!$H$10),"")</f>
        <v>1.7262</v>
      </c>
      <c r="M621" s="391">
        <f>AVERAGE(Ashed_controlls!$K$2:$K$11)</f>
        <v>5.5147656768714146</v>
      </c>
      <c r="N621" s="225">
        <f t="shared" si="49"/>
        <v>1.6310041148858456</v>
      </c>
      <c r="O621" s="225">
        <f>IF(IFERROR(INDEX('Both teabags AfterWet'!$C$3:$C$841,MATCH(J621,'Both teabags AfterWet'!$A$3:$A$841,0)),"")="","",(IFERROR(INDEX('Both teabags AfterWet'!$C$3:$C$841,MATCH(J621,'Both teabags AfterWet'!$A$3:$A$841,0)),"")))</f>
        <v>0.627</v>
      </c>
      <c r="P621" s="225">
        <f>IFERROR(IF(O621&gt;0,O621-(TBIcalc!$H$9),""),"")</f>
        <v>0.47639999999999999</v>
      </c>
      <c r="Q621" s="225">
        <f>IFERROR(INDEX('Ashed teabags wet'!$K$2:$K$821,MATCH(J621,'Ashed teabags wet'!$A$2:$A$821,0)),"")</f>
        <v>8.7719298245612158</v>
      </c>
      <c r="R621" s="225">
        <f t="shared" si="52"/>
        <v>0.43461052631579034</v>
      </c>
      <c r="S621" s="226">
        <f>'WetLitterbags placem_collection'!E182</f>
        <v>42763</v>
      </c>
      <c r="T621" s="226">
        <f>IF('WetLitterbags placem_collection'!G182="","",'WetLitterbags placem_collection'!G182)</f>
        <v>42815</v>
      </c>
      <c r="U621" s="227">
        <f t="shared" si="48"/>
        <v>52</v>
      </c>
      <c r="V621" s="225">
        <f t="shared" si="50"/>
        <v>1.2498</v>
      </c>
      <c r="W621" s="225">
        <f t="shared" si="51"/>
        <v>1.1963935885700554</v>
      </c>
      <c r="X621">
        <f>IFERROR(INDEX(Rainfall_Wet!$O$2:$O$217,MATCH(B621, Rainfall_Wet!$A$2:$A$217,0)),"")</f>
        <v>188.24043152799999</v>
      </c>
      <c r="Y621" s="231">
        <v>25.96</v>
      </c>
      <c r="Z621" s="231">
        <v>8.9200000000000017</v>
      </c>
      <c r="AA621" s="231">
        <v>65.12</v>
      </c>
      <c r="AB621" s="232" t="s">
        <v>2670</v>
      </c>
      <c r="AC621" s="231">
        <v>4.6145884672252304</v>
      </c>
      <c r="AD621">
        <f>IF('WetLitterbags placem_collection'!AB182="","",'WetLitterbags placem_collection'!AB182)</f>
        <v>8.3000000000000007</v>
      </c>
      <c r="AE621">
        <f>IF('WetLitterbags placem_collection'!Z182="","",'WetLitterbags placem_collection'!Z182)</f>
        <v>35</v>
      </c>
      <c r="AF621" s="246" t="str">
        <f>IF('WetLitterbags placem_collection'!AA182="","",'WetLitterbags placem_collection'!AA182)</f>
        <v>O</v>
      </c>
      <c r="AG621">
        <f>IF('WetLitterbags placem_collection'!AC182="","",'WetLitterbags placem_collection'!AC182)</f>
        <v>0</v>
      </c>
      <c r="AH621" s="24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placem_collection'!X182)),"YES","NO")</f>
        <v>NO</v>
      </c>
      <c r="AM621" t="str">
        <f>IF(ISNUMBER(SEARCH("H", 'WetLitterbags placem_collection'!X182)),"YES","NO")</f>
        <v>NO</v>
      </c>
      <c r="AN621" t="str">
        <f>IF(ISNUMBER(SEARCH("R", 'WetLitterbags placem_collection'!X182)),"YES","NO")</f>
        <v>NO</v>
      </c>
    </row>
    <row r="622" spans="1:40" ht="15" customHeight="1">
      <c r="A622" s="258" t="s">
        <v>2460</v>
      </c>
      <c r="B622" s="263">
        <f>'Dry_Litterbag Placem_Collection'!A183</f>
        <v>181</v>
      </c>
      <c r="C622" s="263" t="str">
        <f>'Dry_Litterbag Placem_Collection'!B183</f>
        <v>Handajega</v>
      </c>
      <c r="D622" s="263" t="s">
        <v>2659</v>
      </c>
      <c r="E622" s="263" t="s">
        <v>2661</v>
      </c>
      <c r="F622" s="263">
        <v>3</v>
      </c>
      <c r="G622" s="264" t="str">
        <f>'Dry_Litterbag Placem_Collection'!C183</f>
        <v>Wet_W3_T5</v>
      </c>
      <c r="H622" s="273" t="s">
        <v>3651</v>
      </c>
      <c r="I622" s="266" t="s">
        <v>1147</v>
      </c>
      <c r="J622" s="223" t="str">
        <f>'WetLitterbags placem_collection'!O183</f>
        <v>G551</v>
      </c>
      <c r="K622" s="225">
        <f>IFERROR(INDEX('Green_rooibos initial weight'!$C$5:$C$1749,MATCH(J622, 'Green_rooibos initial weight'!$A$5:$A$1749,0)),"")</f>
        <v>2.1160000000000001</v>
      </c>
      <c r="L622" s="225">
        <f>IFERROR(K622-(TBIcalc!$H$9+TBIcalc!$H$10),"")</f>
        <v>1.8662000000000001</v>
      </c>
      <c r="M622" s="391">
        <f>AVERAGE(Ashed_controlls!$K$2:$K$11)</f>
        <v>5.5147656768714146</v>
      </c>
      <c r="N622" s="225">
        <f t="shared" si="49"/>
        <v>1.7632834429382258</v>
      </c>
      <c r="O622" s="225">
        <f>IF(IFERROR(INDEX('Both teabags AfterWet'!$C$3:$C$841,MATCH(J622,'Both teabags AfterWet'!$A$3:$A$841,0)),"")="","",(IFERROR(INDEX('Both teabags AfterWet'!$C$3:$C$841,MATCH(J622,'Both teabags AfterWet'!$A$3:$A$841,0)),"")))</f>
        <v>0.61199999999999999</v>
      </c>
      <c r="P622" s="225">
        <f>IFERROR(IF(O622&gt;0,O622-(TBIcalc!$H$9),""),"")</f>
        <v>0.46139999999999998</v>
      </c>
      <c r="Q622" s="225">
        <f>IFERROR(INDEX('Ashed teabags wet'!$K$2:$K$821,MATCH(J622,'Ashed teabags wet'!$A$2:$A$821,0)),"")</f>
        <v>8.5532746823073538</v>
      </c>
      <c r="R622" s="225">
        <f t="shared" si="52"/>
        <v>0.42193519061583384</v>
      </c>
      <c r="S622" s="226">
        <f>'WetLitterbags placem_collection'!E183</f>
        <v>42763</v>
      </c>
      <c r="T622" s="226">
        <f>IF('WetLitterbags placem_collection'!G183="","",'WetLitterbags placem_collection'!G183)</f>
        <v>42815</v>
      </c>
      <c r="U622" s="227">
        <f t="shared" si="48"/>
        <v>52</v>
      </c>
      <c r="V622" s="225">
        <f t="shared" si="50"/>
        <v>1.4048</v>
      </c>
      <c r="W622" s="225">
        <f t="shared" si="51"/>
        <v>1.3413482523223919</v>
      </c>
      <c r="X622">
        <f>IFERROR(INDEX(Rainfall_Wet!$O$2:$O$217,MATCH(B622, Rainfall_Wet!$A$2:$A$217,0)),"")</f>
        <v>188.24043152799999</v>
      </c>
      <c r="Y622" s="231">
        <v>25.96</v>
      </c>
      <c r="Z622" s="231">
        <v>8.9200000000000017</v>
      </c>
      <c r="AA622" s="231">
        <v>65.12</v>
      </c>
      <c r="AB622" s="232" t="s">
        <v>2670</v>
      </c>
      <c r="AC622" s="231">
        <v>5.6145884672252304</v>
      </c>
      <c r="AD622">
        <f>IF('WetLitterbags placem_collection'!AB183="","",'WetLitterbags placem_collection'!AB183)</f>
        <v>11.4</v>
      </c>
      <c r="AE622">
        <f>IF('WetLitterbags placem_collection'!Z183="","",'WetLitterbags placem_collection'!Z183)</f>
        <v>15.8</v>
      </c>
      <c r="AF622" s="246" t="str">
        <f>IF('WetLitterbags placem_collection'!AA183="","",'WetLitterbags placem_collection'!AA183)</f>
        <v>O</v>
      </c>
      <c r="AG622">
        <f>IF('WetLitterbags placem_collection'!AC183="","",'WetLitterbags placem_collection'!AC183)</f>
        <v>1</v>
      </c>
      <c r="AH622" s="24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placem_collection'!X183)),"YES","NO")</f>
        <v>NO</v>
      </c>
      <c r="AM622" t="str">
        <f>IF(ISNUMBER(SEARCH("H", 'WetLitterbags placem_collection'!X183)),"YES","NO")</f>
        <v>NO</v>
      </c>
      <c r="AN622" t="str">
        <f>IF(ISNUMBER(SEARCH("R", 'WetLitterbags placem_collection'!X183)),"YES","NO")</f>
        <v>NO</v>
      </c>
    </row>
    <row r="623" spans="1:40" ht="15" customHeight="1">
      <c r="A623" s="258" t="s">
        <v>2460</v>
      </c>
      <c r="B623" s="263">
        <f>'Dry_Litterbag Placem_Collection'!A184</f>
        <v>182</v>
      </c>
      <c r="C623" s="263" t="str">
        <f>'Dry_Litterbag Placem_Collection'!B184</f>
        <v>Handajega</v>
      </c>
      <c r="D623" s="263" t="s">
        <v>2659</v>
      </c>
      <c r="E623" s="263" t="s">
        <v>2661</v>
      </c>
      <c r="F623" s="263">
        <v>3</v>
      </c>
      <c r="G623" s="264" t="str">
        <f>'Dry_Litterbag Placem_Collection'!C184</f>
        <v>Wet_W3_T6</v>
      </c>
      <c r="H623" s="273" t="s">
        <v>3651</v>
      </c>
      <c r="I623" s="266" t="s">
        <v>1147</v>
      </c>
      <c r="J623" s="223" t="str">
        <f>'WetLitterbags placem_collection'!O184</f>
        <v>G818</v>
      </c>
      <c r="K623" s="225">
        <f>IFERROR(INDEX('Green_rooibos initial weight'!$C$5:$C$1749,MATCH(J623, 'Green_rooibos initial weight'!$A$5:$A$1749,0)),"")</f>
        <v>2.0099999999999998</v>
      </c>
      <c r="L623" s="225">
        <f>IFERROR(K623-(TBIcalc!$H$9+TBIcalc!$H$10),"")</f>
        <v>1.7601999999999998</v>
      </c>
      <c r="M623" s="391">
        <f>AVERAGE(Ashed_controlls!$K$2:$K$11)</f>
        <v>5.5147656768714146</v>
      </c>
      <c r="N623" s="225">
        <f t="shared" si="49"/>
        <v>1.6631290945557091</v>
      </c>
      <c r="O623" s="225">
        <f>IF(IFERROR(INDEX('Both teabags AfterWet'!$C$3:$C$841,MATCH(J623,'Both teabags AfterWet'!$A$3:$A$841,0)),"")="","",(IFERROR(INDEX('Both teabags AfterWet'!$C$3:$C$841,MATCH(J623,'Both teabags AfterWet'!$A$3:$A$841,0)),"")))</f>
        <v>0.60450000000000004</v>
      </c>
      <c r="P623" s="225">
        <f>IFERROR(IF(O623&gt;0,O623-(TBIcalc!$H$9),""),"")</f>
        <v>0.45390000000000003</v>
      </c>
      <c r="Q623" s="225">
        <f>IFERROR(INDEX('Ashed teabags wet'!$K$2:$K$821,MATCH(J623,'Ashed teabags wet'!$A$2:$A$821,0)),"")</f>
        <v>10.028790786949029</v>
      </c>
      <c r="R623" s="225">
        <f t="shared" si="52"/>
        <v>0.40837931861803839</v>
      </c>
      <c r="S623" s="226">
        <f>'WetLitterbags placem_collection'!E184</f>
        <v>42763</v>
      </c>
      <c r="T623" s="226">
        <f>IF('WetLitterbags placem_collection'!G184="","",'WetLitterbags placem_collection'!G184)</f>
        <v>42815</v>
      </c>
      <c r="U623" s="227">
        <f t="shared" si="48"/>
        <v>52</v>
      </c>
      <c r="V623" s="225">
        <f t="shared" si="50"/>
        <v>1.3062999999999998</v>
      </c>
      <c r="W623" s="225">
        <f t="shared" si="51"/>
        <v>1.2547497759376707</v>
      </c>
      <c r="X623">
        <f>IFERROR(INDEX(Rainfall_Wet!$O$2:$O$217,MATCH(B623, Rainfall_Wet!$A$2:$A$217,0)),"")</f>
        <v>188.24043152799999</v>
      </c>
      <c r="Y623" s="231">
        <v>25.96</v>
      </c>
      <c r="Z623" s="231">
        <v>8.9200000000000017</v>
      </c>
      <c r="AA623" s="231">
        <v>65.12</v>
      </c>
      <c r="AB623" s="232" t="s">
        <v>2670</v>
      </c>
      <c r="AC623" s="231">
        <v>6.6145884672252304</v>
      </c>
      <c r="AD623">
        <f>IF('WetLitterbags placem_collection'!AB184="","",'WetLitterbags placem_collection'!AB184)</f>
        <v>8.8000000000000007</v>
      </c>
      <c r="AE623">
        <f>IF('WetLitterbags placem_collection'!Z184="","",'WetLitterbags placem_collection'!Z184)</f>
        <v>15.8</v>
      </c>
      <c r="AF623" s="246" t="str">
        <f>IF('WetLitterbags placem_collection'!AA184="","",'WetLitterbags placem_collection'!AA184)</f>
        <v>O</v>
      </c>
      <c r="AG623">
        <f>IF('WetLitterbags placem_collection'!AC184="","",'WetLitterbags placem_collection'!AC184)</f>
        <v>1</v>
      </c>
      <c r="AH623" s="24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placem_collection'!X184)),"YES","NO")</f>
        <v>NO</v>
      </c>
      <c r="AM623" t="str">
        <f>IF(ISNUMBER(SEARCH("H", 'WetLitterbags placem_collection'!X184)),"YES","NO")</f>
        <v>NO</v>
      </c>
      <c r="AN623" t="str">
        <f>IF(ISNUMBER(SEARCH("R", 'WetLitterbags placem_collection'!X184)),"YES","NO")</f>
        <v>NO</v>
      </c>
    </row>
    <row r="624" spans="1:40" ht="15" customHeight="1">
      <c r="A624" s="258" t="s">
        <v>2460</v>
      </c>
      <c r="B624" s="263">
        <f>'Dry_Litterbag Placem_Collection'!A185</f>
        <v>183</v>
      </c>
      <c r="C624" s="263" t="str">
        <f>'Dry_Litterbag Placem_Collection'!B185</f>
        <v>Handajega</v>
      </c>
      <c r="D624" s="263" t="s">
        <v>2659</v>
      </c>
      <c r="E624" s="263" t="s">
        <v>2661</v>
      </c>
      <c r="F624" s="263">
        <v>3</v>
      </c>
      <c r="G624" s="264" t="str">
        <f>'Dry_Litterbag Placem_Collection'!C185</f>
        <v>Wet_W3_T7</v>
      </c>
      <c r="H624" s="273" t="s">
        <v>3651</v>
      </c>
      <c r="I624" s="266" t="s">
        <v>1147</v>
      </c>
      <c r="J624" s="223" t="str">
        <f>'WetLitterbags placem_collection'!O185</f>
        <v>G896</v>
      </c>
      <c r="K624" s="225">
        <f>IFERROR(INDEX('Green_rooibos initial weight'!$C$5:$C$1749,MATCH(J624, 'Green_rooibos initial weight'!$A$5:$A$1749,0)),"")</f>
        <v>1.982</v>
      </c>
      <c r="L624" s="225">
        <f>IFERROR(K624-(TBIcalc!$H$9+TBIcalc!$H$10),"")</f>
        <v>1.7322</v>
      </c>
      <c r="M624" s="391">
        <f>AVERAGE(Ashed_controlls!$K$2:$K$11)</f>
        <v>5.5147656768714146</v>
      </c>
      <c r="N624" s="225">
        <f t="shared" si="49"/>
        <v>1.6366732289452333</v>
      </c>
      <c r="O624" s="225">
        <f>IF(IFERROR(INDEX('Both teabags AfterWet'!$C$3:$C$841,MATCH(J624,'Both teabags AfterWet'!$A$3:$A$841,0)),"")="","",(IFERROR(INDEX('Both teabags AfterWet'!$C$3:$C$841,MATCH(J624,'Both teabags AfterWet'!$A$3:$A$841,0)),"")))</f>
        <v>0.61</v>
      </c>
      <c r="P624" s="225">
        <f>IFERROR(IF(O624&gt;0,O624-(TBIcalc!$H$9),""),"")</f>
        <v>0.45939999999999998</v>
      </c>
      <c r="Q624" s="225">
        <f>IFERROR(INDEX('Ashed teabags wet'!$K$2:$K$821,MATCH(J624,'Ashed teabags wet'!$A$2:$A$821,0)),"")</f>
        <v>9.3827160493825037</v>
      </c>
      <c r="R624" s="225">
        <f t="shared" si="52"/>
        <v>0.41629580246913678</v>
      </c>
      <c r="S624" s="226">
        <f>'WetLitterbags placem_collection'!E185</f>
        <v>42763</v>
      </c>
      <c r="T624" s="226">
        <f>IF('WetLitterbags placem_collection'!G185="","",'WetLitterbags placem_collection'!G185)</f>
        <v>42815</v>
      </c>
      <c r="U624" s="227">
        <f t="shared" si="48"/>
        <v>52</v>
      </c>
      <c r="V624" s="225">
        <f t="shared" si="50"/>
        <v>1.2727999999999999</v>
      </c>
      <c r="W624" s="225">
        <f t="shared" si="51"/>
        <v>1.2203774264760965</v>
      </c>
      <c r="X624">
        <f>IFERROR(INDEX(Rainfall_Wet!$O$2:$O$217,MATCH(B624, Rainfall_Wet!$A$2:$A$217,0)),"")</f>
        <v>188.24043152799999</v>
      </c>
      <c r="Y624" s="231">
        <v>25.96</v>
      </c>
      <c r="Z624" s="231">
        <v>8.9200000000000017</v>
      </c>
      <c r="AA624" s="231">
        <v>65.12</v>
      </c>
      <c r="AB624" s="232" t="s">
        <v>2670</v>
      </c>
      <c r="AC624" s="231">
        <v>7.6145884672252304</v>
      </c>
      <c r="AD624">
        <f>IF('WetLitterbags placem_collection'!AB185="","",'WetLitterbags placem_collection'!AB185)</f>
        <v>11.4</v>
      </c>
      <c r="AE624">
        <f>IF('WetLitterbags placem_collection'!Z185="","",'WetLitterbags placem_collection'!Z185)</f>
        <v>35.799999999999997</v>
      </c>
      <c r="AF624" s="246" t="str">
        <f>IF('WetLitterbags placem_collection'!AA185="","",'WetLitterbags placem_collection'!AA185)</f>
        <v>G</v>
      </c>
      <c r="AG624">
        <f>IF('WetLitterbags placem_collection'!AC185="","",'WetLitterbags placem_collection'!AC185)</f>
        <v>1</v>
      </c>
      <c r="AH624" s="24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placem_collection'!X185)),"YES","NO")</f>
        <v>NO</v>
      </c>
      <c r="AM624" t="str">
        <f>IF(ISNUMBER(SEARCH("H", 'WetLitterbags placem_collection'!X185)),"YES","NO")</f>
        <v>NO</v>
      </c>
      <c r="AN624" t="str">
        <f>IF(ISNUMBER(SEARCH("R", 'WetLitterbags placem_collection'!X185)),"YES","NO")</f>
        <v>NO</v>
      </c>
    </row>
    <row r="625" spans="1:40" ht="15" customHeight="1">
      <c r="A625" s="258" t="s">
        <v>2460</v>
      </c>
      <c r="B625" s="263">
        <f>'Dry_Litterbag Placem_Collection'!A186</f>
        <v>184</v>
      </c>
      <c r="C625" s="263" t="str">
        <f>'Dry_Litterbag Placem_Collection'!B186</f>
        <v>Handajega</v>
      </c>
      <c r="D625" s="263" t="s">
        <v>2659</v>
      </c>
      <c r="E625" s="263" t="s">
        <v>2661</v>
      </c>
      <c r="F625" s="263">
        <v>3</v>
      </c>
      <c r="G625" s="264" t="str">
        <f>'Dry_Litterbag Placem_Collection'!C186</f>
        <v>Wet_W3_T8</v>
      </c>
      <c r="H625" s="273" t="s">
        <v>3651</v>
      </c>
      <c r="I625" s="266" t="s">
        <v>1147</v>
      </c>
      <c r="J625" s="223" t="str">
        <f>'WetLitterbags placem_collection'!O186</f>
        <v>G337</v>
      </c>
      <c r="K625" s="225">
        <f>IFERROR(INDEX('Green_rooibos initial weight'!$C$5:$C$1749,MATCH(J625, 'Green_rooibos initial weight'!$A$5:$A$1749,0)),"")</f>
        <v>1.8680000000000001</v>
      </c>
      <c r="L625" s="225">
        <f>IFERROR(K625-(TBIcalc!$H$9+TBIcalc!$H$10),"")</f>
        <v>1.6182000000000001</v>
      </c>
      <c r="M625" s="391">
        <f>AVERAGE(Ashed_controlls!$K$2:$K$11)</f>
        <v>5.5147656768714146</v>
      </c>
      <c r="N625" s="225">
        <f t="shared" si="49"/>
        <v>1.5289600618168668</v>
      </c>
      <c r="O625" s="225">
        <f>IF(IFERROR(INDEX('Both teabags AfterWet'!$C$3:$C$841,MATCH(J625,'Both teabags AfterWet'!$A$3:$A$841,0)),"")="","",(IFERROR(INDEX('Both teabags AfterWet'!$C$3:$C$841,MATCH(J625,'Both teabags AfterWet'!$A$3:$A$841,0)),"")))</f>
        <v>0.63060000000000005</v>
      </c>
      <c r="P625" s="225">
        <f>IFERROR(IF(O625&gt;0,O625-(TBIcalc!$H$9),""),"")</f>
        <v>0.48000000000000004</v>
      </c>
      <c r="Q625" s="225">
        <f>IFERROR(INDEX('Ashed teabags wet'!$K$2:$K$821,MATCH(J625,'Ashed teabags wet'!$A$2:$A$821,0)),"")</f>
        <v>10.824230387289536</v>
      </c>
      <c r="R625" s="225">
        <f t="shared" si="52"/>
        <v>0.42804369414101029</v>
      </c>
      <c r="S625" s="226">
        <f>'WetLitterbags placem_collection'!E186</f>
        <v>42763</v>
      </c>
      <c r="T625" s="226">
        <f>IF('WetLitterbags placem_collection'!G186="","",'WetLitterbags placem_collection'!G186)</f>
        <v>42815</v>
      </c>
      <c r="U625" s="227">
        <f t="shared" si="48"/>
        <v>52</v>
      </c>
      <c r="V625" s="225">
        <f t="shared" si="50"/>
        <v>1.1382000000000001</v>
      </c>
      <c r="W625" s="225">
        <f t="shared" si="51"/>
        <v>1.1009163676758567</v>
      </c>
      <c r="X625">
        <f>IFERROR(INDEX(Rainfall_Wet!$O$2:$O$217,MATCH(B625, Rainfall_Wet!$A$2:$A$217,0)),"")</f>
        <v>188.24043152799999</v>
      </c>
      <c r="Y625" s="231">
        <v>25.96</v>
      </c>
      <c r="Z625" s="231">
        <v>8.9200000000000017</v>
      </c>
      <c r="AA625" s="231">
        <v>65.12</v>
      </c>
      <c r="AB625" s="232" t="s">
        <v>2670</v>
      </c>
      <c r="AC625" s="231">
        <v>8.6145884672252304</v>
      </c>
      <c r="AD625">
        <f>IF('WetLitterbags placem_collection'!AB186="","",'WetLitterbags placem_collection'!AB186)</f>
        <v>3.7</v>
      </c>
      <c r="AE625">
        <f>IF('WetLitterbags placem_collection'!Z186="","",'WetLitterbags placem_collection'!Z186)</f>
        <v>16.399999999999999</v>
      </c>
      <c r="AF625" s="246" t="str">
        <f>IF('WetLitterbags placem_collection'!AA186="","",'WetLitterbags placem_collection'!AA186)</f>
        <v>O</v>
      </c>
      <c r="AG625">
        <f>IF('WetLitterbags placem_collection'!AC186="","",'WetLitterbags placem_collection'!AC186)</f>
        <v>0</v>
      </c>
      <c r="AH625" s="24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placem_collection'!X186)),"YES","NO")</f>
        <v>NO</v>
      </c>
      <c r="AM625" t="str">
        <f>IF(ISNUMBER(SEARCH("H", 'WetLitterbags placem_collection'!X186)),"YES","NO")</f>
        <v>YES</v>
      </c>
      <c r="AN625" t="str">
        <f>IF(ISNUMBER(SEARCH("R", 'WetLitterbags placem_collection'!X186)),"YES","NO")</f>
        <v>NO</v>
      </c>
    </row>
    <row r="626" spans="1:40" ht="15" customHeight="1">
      <c r="A626" s="258" t="s">
        <v>2460</v>
      </c>
      <c r="B626" s="263">
        <f>'Dry_Litterbag Placem_Collection'!A187</f>
        <v>185</v>
      </c>
      <c r="C626" s="263" t="str">
        <f>'Dry_Litterbag Placem_Collection'!B187</f>
        <v>Handajega</v>
      </c>
      <c r="D626" s="263" t="s">
        <v>2659</v>
      </c>
      <c r="E626" s="263" t="s">
        <v>2661</v>
      </c>
      <c r="F626" s="263">
        <v>4</v>
      </c>
      <c r="G626" s="264" t="str">
        <f>'Dry_Litterbag Placem_Collection'!C187</f>
        <v>Wet_W4_T1</v>
      </c>
      <c r="H626" s="273" t="s">
        <v>3651</v>
      </c>
      <c r="I626" s="266" t="s">
        <v>1147</v>
      </c>
      <c r="J626" s="223" t="str">
        <f>'WetLitterbags placem_collection'!O187</f>
        <v>G564</v>
      </c>
      <c r="K626" s="225">
        <f>IFERROR(INDEX('Green_rooibos initial weight'!$C$5:$C$1749,MATCH(J626, 'Green_rooibos initial weight'!$A$5:$A$1749,0)),"")</f>
        <v>1.95</v>
      </c>
      <c r="L626" s="225">
        <f>IFERROR(K626-(TBIcalc!$H$9+TBIcalc!$H$10),"")</f>
        <v>1.7001999999999999</v>
      </c>
      <c r="M626" s="391">
        <f>AVERAGE(Ashed_controlls!$K$2:$K$11)</f>
        <v>5.5147656768714146</v>
      </c>
      <c r="N626" s="225">
        <f t="shared" si="49"/>
        <v>1.6064379539618321</v>
      </c>
      <c r="O626" s="225">
        <f>IF(IFERROR(INDEX('Both teabags AfterWet'!$C$3:$C$841,MATCH(J626,'Both teabags AfterWet'!$A$3:$A$841,0)),"")="","",(IFERROR(INDEX('Both teabags AfterWet'!$C$3:$C$841,MATCH(J626,'Both teabags AfterWet'!$A$3:$A$841,0)),"")))</f>
        <v>0.626</v>
      </c>
      <c r="P626" s="225">
        <f>IFERROR(IF(O626&gt;0,O626-(TBIcalc!$H$9),""),"")</f>
        <v>0.47539999999999999</v>
      </c>
      <c r="Q626" s="225">
        <f>IFERROR(INDEX('Ashed teabags wet'!$K$2:$K$821,MATCH(J626,'Ashed teabags wet'!$A$2:$A$821,0)),"")</f>
        <v>8.4325396825389731</v>
      </c>
      <c r="R626" s="225">
        <f t="shared" si="52"/>
        <v>0.43531170634920974</v>
      </c>
      <c r="S626" s="226">
        <f>'WetLitterbags placem_collection'!E187</f>
        <v>42763</v>
      </c>
      <c r="T626" s="226">
        <f>IF('WetLitterbags placem_collection'!G187="","",'WetLitterbags placem_collection'!G187)</f>
        <v>42815</v>
      </c>
      <c r="U626" s="227">
        <f t="shared" si="48"/>
        <v>52</v>
      </c>
      <c r="V626" s="225">
        <f t="shared" si="50"/>
        <v>1.2247999999999999</v>
      </c>
      <c r="W626" s="225">
        <f t="shared" si="51"/>
        <v>1.1711262476126223</v>
      </c>
      <c r="X626">
        <f>IFERROR(INDEX(Rainfall_Wet!$O$2:$O$217,MATCH(B626, Rainfall_Wet!$A$2:$A$217,0)),"")</f>
        <v>188.24043152799999</v>
      </c>
      <c r="Y626" s="231">
        <v>25.96</v>
      </c>
      <c r="Z626" s="231">
        <v>8.9200000000000017</v>
      </c>
      <c r="AA626" s="231">
        <v>65.12</v>
      </c>
      <c r="AB626" s="232" t="s">
        <v>2670</v>
      </c>
      <c r="AC626" s="231">
        <v>1.6991621488417901</v>
      </c>
      <c r="AD626">
        <f>IF('WetLitterbags placem_collection'!AB187="","",'WetLitterbags placem_collection'!AB187)</f>
        <v>9.8000000000000007</v>
      </c>
      <c r="AE626">
        <f>IF('WetLitterbags placem_collection'!Z187="","",'WetLitterbags placem_collection'!Z187)</f>
        <v>29.4</v>
      </c>
      <c r="AF626" s="246" t="str">
        <f>IF('WetLitterbags placem_collection'!AA187="","",'WetLitterbags placem_collection'!AA187)</f>
        <v>O</v>
      </c>
      <c r="AG626">
        <f>IF('WetLitterbags placem_collection'!AC187="","",'WetLitterbags placem_collection'!AC187)</f>
        <v>0</v>
      </c>
      <c r="AH626" s="24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placem_collection'!X187)),"YES","NO")</f>
        <v>NO</v>
      </c>
      <c r="AM626" t="str">
        <f>IF(ISNUMBER(SEARCH("H", 'WetLitterbags placem_collection'!X187)),"YES","NO")</f>
        <v>NO</v>
      </c>
      <c r="AN626" t="str">
        <f>IF(ISNUMBER(SEARCH("R", 'WetLitterbags placem_collection'!X187)),"YES","NO")</f>
        <v>NO</v>
      </c>
    </row>
    <row r="627" spans="1:40" ht="15" customHeight="1">
      <c r="A627" s="258" t="s">
        <v>2460</v>
      </c>
      <c r="B627" s="263">
        <f>'Dry_Litterbag Placem_Collection'!A188</f>
        <v>186</v>
      </c>
      <c r="C627" s="263" t="str">
        <f>'Dry_Litterbag Placem_Collection'!B188</f>
        <v>Handajega</v>
      </c>
      <c r="D627" s="263" t="s">
        <v>2659</v>
      </c>
      <c r="E627" s="263" t="s">
        <v>2661</v>
      </c>
      <c r="F627" s="263">
        <v>4</v>
      </c>
      <c r="G627" s="264" t="str">
        <f>'Dry_Litterbag Placem_Collection'!C188</f>
        <v>Wet_W4_T2</v>
      </c>
      <c r="H627" s="273" t="s">
        <v>3651</v>
      </c>
      <c r="I627" s="266" t="s">
        <v>1147</v>
      </c>
      <c r="J627" s="223" t="str">
        <f>'WetLitterbags placem_collection'!O188</f>
        <v>G608</v>
      </c>
      <c r="K627" s="225">
        <f>IFERROR(INDEX('Green_rooibos initial weight'!$C$5:$C$1749,MATCH(J627, 'Green_rooibos initial weight'!$A$5:$A$1749,0)),"")</f>
        <v>2.0259999999999998</v>
      </c>
      <c r="L627" s="225">
        <f>IFERROR(K627-(TBIcalc!$H$9+TBIcalc!$H$10),"")</f>
        <v>1.7761999999999998</v>
      </c>
      <c r="M627" s="391">
        <f>AVERAGE(Ashed_controlls!$K$2:$K$11)</f>
        <v>5.5147656768714146</v>
      </c>
      <c r="N627" s="225">
        <f t="shared" si="49"/>
        <v>1.6782467320474097</v>
      </c>
      <c r="O627" s="225" t="str">
        <f>IF(IFERROR(INDEX('Both teabags AfterWet'!$C$3:$C$841,MATCH(J627,'Both teabags AfterWet'!$A$3:$A$841,0)),"")="","",(IFERROR(INDEX('Both teabags AfterWet'!$C$3:$C$841,MATCH(J627,'Both teabags AfterWet'!$A$3:$A$841,0)),"")))</f>
        <v/>
      </c>
      <c r="P627" s="225" t="str">
        <f>IFERROR(IF(O627&gt;0,O627-(TBIcalc!$H$9),""),"")</f>
        <v/>
      </c>
      <c r="Q627" s="225">
        <f>IFERROR(INDEX('Ashed teabags wet'!$K$2:$K$821,MATCH(J627,'Ashed teabags wet'!$A$2:$A$821,0)),"")</f>
        <v>9.0274314214466642</v>
      </c>
      <c r="R627" s="225" t="str">
        <f t="shared" si="52"/>
        <v/>
      </c>
      <c r="S627" s="226">
        <f>'WetLitterbags placem_collection'!E188</f>
        <v>42763</v>
      </c>
      <c r="T627" s="226">
        <f>IF('WetLitterbags placem_collection'!G188="","",'WetLitterbags placem_collection'!G188)</f>
        <v>42815</v>
      </c>
      <c r="U627" s="227">
        <f t="shared" si="48"/>
        <v>52</v>
      </c>
      <c r="V627" s="225" t="str">
        <f t="shared" si="50"/>
        <v/>
      </c>
      <c r="W627" s="225" t="str">
        <f t="shared" si="51"/>
        <v/>
      </c>
      <c r="X627">
        <f>IFERROR(INDEX(Rainfall_Wet!$O$2:$O$217,MATCH(B627, Rainfall_Wet!$A$2:$A$217,0)),"")</f>
        <v>188.24043152799999</v>
      </c>
      <c r="Y627" s="231">
        <v>25.96</v>
      </c>
      <c r="Z627" s="231">
        <v>8.9200000000000017</v>
      </c>
      <c r="AA627" s="231">
        <v>65.12</v>
      </c>
      <c r="AB627" s="232" t="s">
        <v>2670</v>
      </c>
      <c r="AC627" s="231">
        <v>2.6991621488417898</v>
      </c>
      <c r="AD627">
        <f>IF('WetLitterbags placem_collection'!AB188="","",'WetLitterbags placem_collection'!AB188)</f>
        <v>11.4</v>
      </c>
      <c r="AE627">
        <f>IF('WetLitterbags placem_collection'!Z188="","",'WetLitterbags placem_collection'!Z188)</f>
        <v>45.4</v>
      </c>
      <c r="AF627" s="246" t="str">
        <f>IF('WetLitterbags placem_collection'!AA188="","",'WetLitterbags placem_collection'!AA188)</f>
        <v>O</v>
      </c>
      <c r="AG627">
        <f>IF('WetLitterbags placem_collection'!AC188="","",'WetLitterbags placem_collection'!AC188)</f>
        <v>0</v>
      </c>
      <c r="AH627" s="24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placem_collection'!X188)),"YES","NO")</f>
        <v>NO</v>
      </c>
      <c r="AM627" t="str">
        <f>IF(ISNUMBER(SEARCH("H", 'WetLitterbags placem_collection'!X188)),"YES","NO")</f>
        <v>NO</v>
      </c>
      <c r="AN627" t="str">
        <f>IF(ISNUMBER(SEARCH("R", 'WetLitterbags placem_collection'!X188)),"YES","NO")</f>
        <v>NO</v>
      </c>
    </row>
    <row r="628" spans="1:40" ht="15" customHeight="1">
      <c r="A628" s="258" t="s">
        <v>2460</v>
      </c>
      <c r="B628" s="263">
        <f>'Dry_Litterbag Placem_Collection'!A189</f>
        <v>187</v>
      </c>
      <c r="C628" s="263" t="str">
        <f>'Dry_Litterbag Placem_Collection'!B189</f>
        <v>Handajega</v>
      </c>
      <c r="D628" s="263" t="s">
        <v>2659</v>
      </c>
      <c r="E628" s="263" t="s">
        <v>2661</v>
      </c>
      <c r="F628" s="263">
        <v>4</v>
      </c>
      <c r="G628" s="264" t="str">
        <f>'Dry_Litterbag Placem_Collection'!C189</f>
        <v>Wet_W4_T3</v>
      </c>
      <c r="H628" s="273" t="s">
        <v>3651</v>
      </c>
      <c r="I628" s="266" t="s">
        <v>1147</v>
      </c>
      <c r="J628" s="223" t="str">
        <f>'WetLitterbags placem_collection'!O189</f>
        <v>G365</v>
      </c>
      <c r="K628" s="225">
        <f>IFERROR(INDEX('Green_rooibos initial weight'!$C$5:$C$1749,MATCH(J628, 'Green_rooibos initial weight'!$A$5:$A$1749,0)),"")</f>
        <v>1.954</v>
      </c>
      <c r="L628" s="225">
        <f>IFERROR(K628-(TBIcalc!$H$9+TBIcalc!$H$10),"")</f>
        <v>1.7041999999999999</v>
      </c>
      <c r="M628" s="391">
        <f>AVERAGE(Ashed_controlls!$K$2:$K$11)</f>
        <v>5.5147656768714146</v>
      </c>
      <c r="N628" s="225">
        <f t="shared" si="49"/>
        <v>1.6102173633347574</v>
      </c>
      <c r="O628" s="225">
        <f>IF(IFERROR(INDEX('Both teabags AfterWet'!$C$3:$C$841,MATCH(J628,'Both teabags AfterWet'!$A$3:$A$841,0)),"")="","",(IFERROR(INDEX('Both teabags AfterWet'!$C$3:$C$841,MATCH(J628,'Both teabags AfterWet'!$A$3:$A$841,0)),"")))</f>
        <v>0.6714</v>
      </c>
      <c r="P628" s="225">
        <f>IFERROR(IF(O628&gt;0,O628-(TBIcalc!$H$9),""),"")</f>
        <v>0.52079999999999993</v>
      </c>
      <c r="Q628" s="225">
        <f>IFERROR(INDEX('Ashed teabags wet'!$K$2:$K$821,MATCH(J628,'Ashed teabags wet'!$A$2:$A$821,0)),"")</f>
        <v>8.8162456661709641</v>
      </c>
      <c r="R628" s="225">
        <f t="shared" si="52"/>
        <v>0.47488499257058153</v>
      </c>
      <c r="S628" s="226">
        <f>'WetLitterbags placem_collection'!E189</f>
        <v>42763</v>
      </c>
      <c r="T628" s="226">
        <f>IF('WetLitterbags placem_collection'!G189="","",'WetLitterbags placem_collection'!G189)</f>
        <v>42815</v>
      </c>
      <c r="U628" s="227">
        <f t="shared" si="48"/>
        <v>52</v>
      </c>
      <c r="V628" s="225">
        <f t="shared" si="50"/>
        <v>1.1834</v>
      </c>
      <c r="W628" s="225">
        <f t="shared" si="51"/>
        <v>1.1353323707641758</v>
      </c>
      <c r="X628">
        <f>IFERROR(INDEX(Rainfall_Wet!$O$2:$O$217,MATCH(B628, Rainfall_Wet!$A$2:$A$217,0)),"")</f>
        <v>188.24043152799999</v>
      </c>
      <c r="Y628" s="231">
        <v>25.96</v>
      </c>
      <c r="Z628" s="231">
        <v>8.9200000000000017</v>
      </c>
      <c r="AA628" s="231">
        <v>65.12</v>
      </c>
      <c r="AB628" s="232" t="s">
        <v>2670</v>
      </c>
      <c r="AC628" s="231">
        <v>3.6991621488417898</v>
      </c>
      <c r="AD628">
        <f>IF('WetLitterbags placem_collection'!AB189="","",'WetLitterbags placem_collection'!AB189)</f>
        <v>0.6</v>
      </c>
      <c r="AE628">
        <f>IF('WetLitterbags placem_collection'!Z189="","",'WetLitterbags placem_collection'!Z189)</f>
        <v>39.4</v>
      </c>
      <c r="AF628" s="246" t="str">
        <f>IF('WetLitterbags placem_collection'!AA189="","",'WetLitterbags placem_collection'!AA189)</f>
        <v>O</v>
      </c>
      <c r="AG628">
        <f>IF('WetLitterbags placem_collection'!AC189="","",'WetLitterbags placem_collection'!AC189)</f>
        <v>1</v>
      </c>
      <c r="AH628" s="24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placem_collection'!X189)),"YES","NO")</f>
        <v>NO</v>
      </c>
      <c r="AM628" t="str">
        <f>IF(ISNUMBER(SEARCH("H", 'WetLitterbags placem_collection'!X189)),"YES","NO")</f>
        <v>NO</v>
      </c>
      <c r="AN628" t="str">
        <f>IF(ISNUMBER(SEARCH("R", 'WetLitterbags placem_collection'!X189)),"YES","NO")</f>
        <v>NO</v>
      </c>
    </row>
    <row r="629" spans="1:40" ht="15" customHeight="1">
      <c r="A629" s="258" t="s">
        <v>2460</v>
      </c>
      <c r="B629" s="263">
        <f>'Dry_Litterbag Placem_Collection'!A190</f>
        <v>188</v>
      </c>
      <c r="C629" s="263" t="str">
        <f>'Dry_Litterbag Placem_Collection'!B190</f>
        <v>Handajega</v>
      </c>
      <c r="D629" s="263" t="s">
        <v>2659</v>
      </c>
      <c r="E629" s="263" t="s">
        <v>2661</v>
      </c>
      <c r="F629" s="263">
        <v>4</v>
      </c>
      <c r="G629" s="264" t="str">
        <f>'Dry_Litterbag Placem_Collection'!C190</f>
        <v>Wet_W4_T4</v>
      </c>
      <c r="H629" s="273" t="s">
        <v>3651</v>
      </c>
      <c r="I629" s="266" t="s">
        <v>1147</v>
      </c>
      <c r="J629" s="223" t="str">
        <f>'WetLitterbags placem_collection'!O190</f>
        <v>G375</v>
      </c>
      <c r="K629" s="225">
        <f>IFERROR(INDEX('Green_rooibos initial weight'!$C$5:$C$1749,MATCH(J629, 'Green_rooibos initial weight'!$A$5:$A$1749,0)),"")</f>
        <v>1.9810000000000001</v>
      </c>
      <c r="L629" s="225">
        <f>IFERROR(K629-(TBIcalc!$H$9+TBIcalc!$H$10),"")</f>
        <v>1.7312000000000001</v>
      </c>
      <c r="M629" s="391">
        <f>AVERAGE(Ashed_controlls!$K$2:$K$11)</f>
        <v>5.5147656768714146</v>
      </c>
      <c r="N629" s="225">
        <f t="shared" si="49"/>
        <v>1.6357283766020021</v>
      </c>
      <c r="O629" s="225">
        <f>IF(IFERROR(INDEX('Both teabags AfterWet'!$C$3:$C$841,MATCH(J629,'Both teabags AfterWet'!$A$3:$A$841,0)),"")="","",(IFERROR(INDEX('Both teabags AfterWet'!$C$3:$C$841,MATCH(J629,'Both teabags AfterWet'!$A$3:$A$841,0)),"")))</f>
        <v>0.55700000000000005</v>
      </c>
      <c r="P629" s="225">
        <f>IFERROR(IF(O629&gt;0,O629-(TBIcalc!$H$9),""),"")</f>
        <v>0.40640000000000004</v>
      </c>
      <c r="Q629" s="225">
        <f>IFERROR(INDEX('Ashed teabags wet'!$K$2:$K$821,MATCH(J629,'Ashed teabags wet'!$A$2:$A$821,0)),"")</f>
        <v>8.3130772970344644</v>
      </c>
      <c r="R629" s="225">
        <f t="shared" si="52"/>
        <v>0.37261565386485196</v>
      </c>
      <c r="S629" s="226">
        <f>'WetLitterbags placem_collection'!E190</f>
        <v>42763</v>
      </c>
      <c r="T629" s="226">
        <f>IF('WetLitterbags placem_collection'!G190="","",'WetLitterbags placem_collection'!G190)</f>
        <v>42815</v>
      </c>
      <c r="U629" s="227">
        <f t="shared" si="48"/>
        <v>52</v>
      </c>
      <c r="V629" s="225">
        <f t="shared" si="50"/>
        <v>1.3248</v>
      </c>
      <c r="W629" s="225">
        <f t="shared" si="51"/>
        <v>1.2631127227371501</v>
      </c>
      <c r="X629">
        <f>IFERROR(INDEX(Rainfall_Wet!$O$2:$O$217,MATCH(B629, Rainfall_Wet!$A$2:$A$217,0)),"")</f>
        <v>188.24043152799999</v>
      </c>
      <c r="Y629" s="231">
        <v>25.96</v>
      </c>
      <c r="Z629" s="231">
        <v>8.9200000000000017</v>
      </c>
      <c r="AA629" s="231">
        <v>65.12</v>
      </c>
      <c r="AB629" s="232" t="s">
        <v>2670</v>
      </c>
      <c r="AC629" s="231">
        <v>4.6991621488417898</v>
      </c>
      <c r="AD629">
        <f>IF('WetLitterbags placem_collection'!AB190="","",'WetLitterbags placem_collection'!AB190)</f>
        <v>2.2999999999999998</v>
      </c>
      <c r="AE629">
        <f>IF('WetLitterbags placem_collection'!Z190="","",'WetLitterbags placem_collection'!Z190)</f>
        <v>14.4</v>
      </c>
      <c r="AF629" s="246" t="str">
        <f>IF('WetLitterbags placem_collection'!AA190="","",'WetLitterbags placem_collection'!AA190)</f>
        <v>O</v>
      </c>
      <c r="AG629">
        <f>IF('WetLitterbags placem_collection'!AC190="","",'WetLitterbags placem_collection'!AC190)</f>
        <v>0</v>
      </c>
      <c r="AH629" s="24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placem_collection'!X190)),"YES","NO")</f>
        <v>NO</v>
      </c>
      <c r="AM629" t="str">
        <f>IF(ISNUMBER(SEARCH("H", 'WetLitterbags placem_collection'!X190)),"YES","NO")</f>
        <v>NO</v>
      </c>
      <c r="AN629" t="str">
        <f>IF(ISNUMBER(SEARCH("R", 'WetLitterbags placem_collection'!X190)),"YES","NO")</f>
        <v>NO</v>
      </c>
    </row>
    <row r="630" spans="1:40" ht="15" customHeight="1">
      <c r="A630" s="258" t="s">
        <v>2460</v>
      </c>
      <c r="B630" s="263">
        <f>'Dry_Litterbag Placem_Collection'!A191</f>
        <v>189</v>
      </c>
      <c r="C630" s="263" t="str">
        <f>'Dry_Litterbag Placem_Collection'!B191</f>
        <v>Handajega</v>
      </c>
      <c r="D630" s="263" t="s">
        <v>2659</v>
      </c>
      <c r="E630" s="263" t="s">
        <v>2661</v>
      </c>
      <c r="F630" s="263">
        <v>4</v>
      </c>
      <c r="G630" s="264" t="str">
        <f>'Dry_Litterbag Placem_Collection'!C191</f>
        <v>Wet_W4_T5</v>
      </c>
      <c r="H630" s="273" t="s">
        <v>3651</v>
      </c>
      <c r="I630" s="266" t="s">
        <v>1147</v>
      </c>
      <c r="J630" s="223" t="str">
        <f>'WetLitterbags placem_collection'!O191</f>
        <v>G537</v>
      </c>
      <c r="K630" s="225">
        <f>IFERROR(INDEX('Green_rooibos initial weight'!$C$5:$C$1749,MATCH(J630, 'Green_rooibos initial weight'!$A$5:$A$1749,0)),"")</f>
        <v>1.9630000000000001</v>
      </c>
      <c r="L630" s="225">
        <f>IFERROR(K630-(TBIcalc!$H$9+TBIcalc!$H$10),"")</f>
        <v>1.7132000000000001</v>
      </c>
      <c r="M630" s="391">
        <f>AVERAGE(Ashed_controlls!$K$2:$K$11)</f>
        <v>5.5147656768714146</v>
      </c>
      <c r="N630" s="225">
        <f t="shared" si="49"/>
        <v>1.618721034423839</v>
      </c>
      <c r="O630" s="225">
        <f>IF(IFERROR(INDEX('Both teabags AfterWet'!$C$3:$C$841,MATCH(J630,'Both teabags AfterWet'!$A$3:$A$841,0)),"")="","",(IFERROR(INDEX('Both teabags AfterWet'!$C$3:$C$841,MATCH(J630,'Both teabags AfterWet'!$A$3:$A$841,0)),"")))</f>
        <v>0.72030000000000005</v>
      </c>
      <c r="P630" s="225">
        <f>IFERROR(IF(O630&gt;0,O630-(TBIcalc!$H$9),""),"")</f>
        <v>0.5697000000000001</v>
      </c>
      <c r="Q630" s="225">
        <f>IFERROR(INDEX('Ashed teabags wet'!$K$2:$K$821,MATCH(J630,'Ashed teabags wet'!$A$2:$A$821,0)),"")</f>
        <v>9.0167865707433048</v>
      </c>
      <c r="R630" s="225">
        <f t="shared" si="52"/>
        <v>0.51833136690647552</v>
      </c>
      <c r="S630" s="226">
        <f>'WetLitterbags placem_collection'!E191</f>
        <v>42763</v>
      </c>
      <c r="T630" s="226">
        <f>IF('WetLitterbags placem_collection'!G191="","",'WetLitterbags placem_collection'!G191)</f>
        <v>42815</v>
      </c>
      <c r="U630" s="227">
        <f t="shared" si="48"/>
        <v>52</v>
      </c>
      <c r="V630" s="225">
        <f t="shared" si="50"/>
        <v>1.1435</v>
      </c>
      <c r="W630" s="225">
        <f t="shared" si="51"/>
        <v>1.1003896675173634</v>
      </c>
      <c r="X630">
        <f>IFERROR(INDEX(Rainfall_Wet!$O$2:$O$217,MATCH(B630, Rainfall_Wet!$A$2:$A$217,0)),"")</f>
        <v>188.24043152799999</v>
      </c>
      <c r="Y630" s="231">
        <v>25.96</v>
      </c>
      <c r="Z630" s="231">
        <v>8.9200000000000017</v>
      </c>
      <c r="AA630" s="231">
        <v>65.12</v>
      </c>
      <c r="AB630" s="232" t="s">
        <v>2670</v>
      </c>
      <c r="AC630" s="231">
        <v>5.6991621488417898</v>
      </c>
      <c r="AD630">
        <f>IF('WetLitterbags placem_collection'!AB191="","",'WetLitterbags placem_collection'!AB191)</f>
        <v>0.6</v>
      </c>
      <c r="AE630">
        <f>IF('WetLitterbags placem_collection'!Z191="","",'WetLitterbags placem_collection'!Z191)</f>
        <v>7</v>
      </c>
      <c r="AF630" s="246" t="str">
        <f>IF('WetLitterbags placem_collection'!AA191="","",'WetLitterbags placem_collection'!AA191)</f>
        <v>O</v>
      </c>
      <c r="AG630">
        <f>IF('WetLitterbags placem_collection'!AC191="","",'WetLitterbags placem_collection'!AC191)</f>
        <v>1</v>
      </c>
      <c r="AH630" s="24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placem_collection'!X191)),"YES","NO")</f>
        <v>NO</v>
      </c>
      <c r="AM630" t="str">
        <f>IF(ISNUMBER(SEARCH("H", 'WetLitterbags placem_collection'!X191)),"YES","NO")</f>
        <v>NO</v>
      </c>
      <c r="AN630" t="str">
        <f>IF(ISNUMBER(SEARCH("R", 'WetLitterbags placem_collection'!X191)),"YES","NO")</f>
        <v>NO</v>
      </c>
    </row>
    <row r="631" spans="1:40" ht="15" customHeight="1">
      <c r="A631" s="258" t="s">
        <v>2460</v>
      </c>
      <c r="B631" s="263">
        <f>'Dry_Litterbag Placem_Collection'!A192</f>
        <v>190</v>
      </c>
      <c r="C631" s="263" t="str">
        <f>'Dry_Litterbag Placem_Collection'!B192</f>
        <v>Handajega</v>
      </c>
      <c r="D631" s="263" t="s">
        <v>2659</v>
      </c>
      <c r="E631" s="263" t="s">
        <v>2661</v>
      </c>
      <c r="F631" s="263">
        <v>4</v>
      </c>
      <c r="G631" s="264" t="str">
        <f>'Dry_Litterbag Placem_Collection'!C192</f>
        <v>Wet_W4_T6</v>
      </c>
      <c r="H631" s="273" t="s">
        <v>3651</v>
      </c>
      <c r="I631" s="266" t="s">
        <v>1147</v>
      </c>
      <c r="J631" s="223" t="str">
        <f>'WetLitterbags placem_collection'!O192</f>
        <v>G393</v>
      </c>
      <c r="K631" s="225">
        <f>IFERROR(INDEX('Green_rooibos initial weight'!$C$5:$C$1749,MATCH(J631, 'Green_rooibos initial weight'!$A$5:$A$1749,0)),"")</f>
        <v>2.0089999999999999</v>
      </c>
      <c r="L631" s="225">
        <f>IFERROR(K631-(TBIcalc!$H$9+TBIcalc!$H$10),"")</f>
        <v>1.7591999999999999</v>
      </c>
      <c r="M631" s="391">
        <f>AVERAGE(Ashed_controlls!$K$2:$K$11)</f>
        <v>5.5147656768714146</v>
      </c>
      <c r="N631" s="225">
        <f t="shared" si="49"/>
        <v>1.662184242212478</v>
      </c>
      <c r="O631" s="225">
        <f>IF(IFERROR(INDEX('Both teabags AfterWet'!$C$3:$C$841,MATCH(J631,'Both teabags AfterWet'!$A$3:$A$841,0)),"")="","",(IFERROR(INDEX('Both teabags AfterWet'!$C$3:$C$841,MATCH(J631,'Both teabags AfterWet'!$A$3:$A$841,0)),"")))</f>
        <v>0.62090000000000001</v>
      </c>
      <c r="P631" s="225">
        <f>IFERROR(IF(O631&gt;0,O631-(TBIcalc!$H$9),""),"")</f>
        <v>0.4703</v>
      </c>
      <c r="Q631" s="225">
        <f>IFERROR(INDEX('Ashed teabags wet'!$K$2:$K$821,MATCH(J631,'Ashed teabags wet'!$A$2:$A$821,0)),"")</f>
        <v>9.5497278574961424</v>
      </c>
      <c r="R631" s="225">
        <f t="shared" si="52"/>
        <v>0.42538762988619561</v>
      </c>
      <c r="S631" s="226">
        <f>'WetLitterbags placem_collection'!E192</f>
        <v>42763</v>
      </c>
      <c r="T631" s="226">
        <f>IF('WetLitterbags placem_collection'!G192="","",'WetLitterbags placem_collection'!G192)</f>
        <v>42815</v>
      </c>
      <c r="U631" s="227">
        <f t="shared" si="48"/>
        <v>52</v>
      </c>
      <c r="V631" s="225">
        <f t="shared" si="50"/>
        <v>1.2888999999999999</v>
      </c>
      <c r="W631" s="225">
        <f t="shared" si="51"/>
        <v>1.2367966123262824</v>
      </c>
      <c r="X631">
        <f>IFERROR(INDEX(Rainfall_Wet!$O$2:$O$217,MATCH(B631, Rainfall_Wet!$A$2:$A$217,0)),"")</f>
        <v>188.24043152799999</v>
      </c>
      <c r="Y631" s="231">
        <v>25.96</v>
      </c>
      <c r="Z631" s="231">
        <v>8.9200000000000017</v>
      </c>
      <c r="AA631" s="231">
        <v>65.12</v>
      </c>
      <c r="AB631" s="232" t="s">
        <v>2670</v>
      </c>
      <c r="AC631" s="231">
        <v>6.6991621488417898</v>
      </c>
      <c r="AD631">
        <f>IF('WetLitterbags placem_collection'!AB192="","",'WetLitterbags placem_collection'!AB192)</f>
        <v>9.5</v>
      </c>
      <c r="AE631">
        <f>IF('WetLitterbags placem_collection'!Z192="","",'WetLitterbags placem_collection'!Z192)</f>
        <v>17.399999999999999</v>
      </c>
      <c r="AF631" s="246" t="str">
        <f>IF('WetLitterbags placem_collection'!AA192="","",'WetLitterbags placem_collection'!AA192)</f>
        <v>O</v>
      </c>
      <c r="AG631">
        <f>IF('WetLitterbags placem_collection'!AC192="","",'WetLitterbags placem_collection'!AC192)</f>
        <v>0</v>
      </c>
      <c r="AH631" s="24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placem_collection'!X192)),"YES","NO")</f>
        <v>NO</v>
      </c>
      <c r="AM631" t="str">
        <f>IF(ISNUMBER(SEARCH("H", 'WetLitterbags placem_collection'!X192)),"YES","NO")</f>
        <v>NO</v>
      </c>
      <c r="AN631" t="str">
        <f>IF(ISNUMBER(SEARCH("R", 'WetLitterbags placem_collection'!X192)),"YES","NO")</f>
        <v>NO</v>
      </c>
    </row>
    <row r="632" spans="1:40" ht="15" customHeight="1">
      <c r="A632" s="258" t="s">
        <v>2460</v>
      </c>
      <c r="B632" s="263">
        <f>'Dry_Litterbag Placem_Collection'!A193</f>
        <v>191</v>
      </c>
      <c r="C632" s="263" t="str">
        <f>'Dry_Litterbag Placem_Collection'!B193</f>
        <v>Handajega</v>
      </c>
      <c r="D632" s="263" t="s">
        <v>2659</v>
      </c>
      <c r="E632" s="263" t="s">
        <v>2661</v>
      </c>
      <c r="F632" s="263">
        <v>4</v>
      </c>
      <c r="G632" s="264" t="str">
        <f>'Dry_Litterbag Placem_Collection'!C193</f>
        <v>Wet_W4_T7</v>
      </c>
      <c r="H632" s="273" t="s">
        <v>3651</v>
      </c>
      <c r="I632" s="266" t="s">
        <v>1147</v>
      </c>
      <c r="J632" s="223" t="str">
        <f>'WetLitterbags placem_collection'!O193</f>
        <v>G417</v>
      </c>
      <c r="K632" s="225">
        <f>IFERROR(INDEX('Green_rooibos initial weight'!$C$5:$C$1749,MATCH(J632, 'Green_rooibos initial weight'!$A$5:$A$1749,0)),"")</f>
        <v>2.0209999999999999</v>
      </c>
      <c r="L632" s="225">
        <f>IFERROR(K632-(TBIcalc!$H$9+TBIcalc!$H$10),"")</f>
        <v>1.7711999999999999</v>
      </c>
      <c r="M632" s="391">
        <f>AVERAGE(Ashed_controlls!$K$2:$K$11)</f>
        <v>5.5147656768714146</v>
      </c>
      <c r="N632" s="225">
        <f t="shared" si="49"/>
        <v>1.6735224703312535</v>
      </c>
      <c r="O632" s="225">
        <f>IF(IFERROR(INDEX('Both teabags AfterWet'!$C$3:$C$841,MATCH(J632,'Both teabags AfterWet'!$A$3:$A$841,0)),"")="","",(IFERROR(INDEX('Both teabags AfterWet'!$C$3:$C$841,MATCH(J632,'Both teabags AfterWet'!$A$3:$A$841,0)),"")))</f>
        <v>0.62309999999999999</v>
      </c>
      <c r="P632" s="225">
        <f>IFERROR(IF(O632&gt;0,O632-(TBIcalc!$H$9),""),"")</f>
        <v>0.47249999999999998</v>
      </c>
      <c r="Q632" s="225">
        <f>IFERROR(INDEX('Ashed teabags wet'!$K$2:$K$821,MATCH(J632,'Ashed teabags wet'!$A$2:$A$821,0)),"")</f>
        <v>9.0547263681590628</v>
      </c>
      <c r="R632" s="225">
        <f t="shared" si="52"/>
        <v>0.4297164179104484</v>
      </c>
      <c r="S632" s="226">
        <f>'WetLitterbags placem_collection'!E193</f>
        <v>42763</v>
      </c>
      <c r="T632" s="226">
        <f>IF('WetLitterbags placem_collection'!G193="","",'WetLitterbags placem_collection'!G193)</f>
        <v>42815</v>
      </c>
      <c r="U632" s="227">
        <f t="shared" si="48"/>
        <v>52</v>
      </c>
      <c r="V632" s="225">
        <f t="shared" si="50"/>
        <v>1.2987</v>
      </c>
      <c r="W632" s="225">
        <f t="shared" si="51"/>
        <v>1.243806052420805</v>
      </c>
      <c r="X632">
        <f>IFERROR(INDEX(Rainfall_Wet!$O$2:$O$217,MATCH(B632, Rainfall_Wet!$A$2:$A$217,0)),"")</f>
        <v>188.24043152799999</v>
      </c>
      <c r="Y632" s="231">
        <v>25.96</v>
      </c>
      <c r="Z632" s="231">
        <v>8.9200000000000017</v>
      </c>
      <c r="AA632" s="231">
        <v>65.12</v>
      </c>
      <c r="AB632" s="232" t="s">
        <v>2670</v>
      </c>
      <c r="AC632" s="231">
        <v>7.6991621488417898</v>
      </c>
      <c r="AD632">
        <f>IF('WetLitterbags placem_collection'!AB193="","",'WetLitterbags placem_collection'!AB193)</f>
        <v>12.4</v>
      </c>
      <c r="AE632">
        <f>IF('WetLitterbags placem_collection'!Z193="","",'WetLitterbags placem_collection'!Z193)</f>
        <v>29.8</v>
      </c>
      <c r="AF632" s="246" t="str">
        <f>IF('WetLitterbags placem_collection'!AA193="","",'WetLitterbags placem_collection'!AA193)</f>
        <v>O</v>
      </c>
      <c r="AG632">
        <f>IF('WetLitterbags placem_collection'!AC193="","",'WetLitterbags placem_collection'!AC193)</f>
        <v>0</v>
      </c>
      <c r="AH632" s="24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placem_collection'!X193)),"YES","NO")</f>
        <v>NO</v>
      </c>
      <c r="AM632" t="str">
        <f>IF(ISNUMBER(SEARCH("H", 'WetLitterbags placem_collection'!X193)),"YES","NO")</f>
        <v>NO</v>
      </c>
      <c r="AN632" t="str">
        <f>IF(ISNUMBER(SEARCH("R", 'WetLitterbags placem_collection'!X193)),"YES","NO")</f>
        <v>NO</v>
      </c>
    </row>
    <row r="633" spans="1:40" ht="15" customHeight="1">
      <c r="A633" s="258" t="s">
        <v>2460</v>
      </c>
      <c r="B633" s="263">
        <f>'Dry_Litterbag Placem_Collection'!A194</f>
        <v>192</v>
      </c>
      <c r="C633" s="263" t="str">
        <f>'Dry_Litterbag Placem_Collection'!B194</f>
        <v>Handajega</v>
      </c>
      <c r="D633" s="263" t="s">
        <v>2659</v>
      </c>
      <c r="E633" s="263" t="s">
        <v>2661</v>
      </c>
      <c r="F633" s="263">
        <v>4</v>
      </c>
      <c r="G633" s="264" t="str">
        <f>'Dry_Litterbag Placem_Collection'!C194</f>
        <v>Wet_W4_T8</v>
      </c>
      <c r="H633" s="273" t="s">
        <v>3651</v>
      </c>
      <c r="I633" s="266" t="s">
        <v>1147</v>
      </c>
      <c r="J633" s="223" t="str">
        <f>'WetLitterbags placem_collection'!O194</f>
        <v>G297</v>
      </c>
      <c r="K633" s="225">
        <f>IFERROR(INDEX('Green_rooibos initial weight'!$C$5:$C$1749,MATCH(J633, 'Green_rooibos initial weight'!$A$5:$A$1749,0)),"")</f>
        <v>1.9419999999999999</v>
      </c>
      <c r="L633" s="225">
        <f>IFERROR(K633-(TBIcalc!$H$9+TBIcalc!$H$10),"")</f>
        <v>1.6921999999999999</v>
      </c>
      <c r="M633" s="391">
        <f>AVERAGE(Ashed_controlls!$K$2:$K$11)</f>
        <v>5.5147656768714146</v>
      </c>
      <c r="N633" s="225">
        <f t="shared" si="49"/>
        <v>1.5988791352159819</v>
      </c>
      <c r="O633" s="225">
        <f>IF(IFERROR(INDEX('Both teabags AfterWet'!$C$3:$C$841,MATCH(J633,'Both teabags AfterWet'!$A$3:$A$841,0)),"")="","",(IFERROR(INDEX('Both teabags AfterWet'!$C$3:$C$841,MATCH(J633,'Both teabags AfterWet'!$A$3:$A$841,0)),"")))</f>
        <v>0.60899999999999999</v>
      </c>
      <c r="P633" s="225">
        <f>IFERROR(IF(O633&gt;0,O633-(TBIcalc!$H$9),""),"")</f>
        <v>0.45839999999999997</v>
      </c>
      <c r="Q633" s="225">
        <f>IFERROR(INDEX('Ashed teabags wet'!$K$2:$K$821,MATCH(J633,'Ashed teabags wet'!$A$2:$A$821,0)),"")</f>
        <v>9.3406593406594496</v>
      </c>
      <c r="R633" s="225">
        <f t="shared" si="52"/>
        <v>0.41558241758241704</v>
      </c>
      <c r="S633" s="226">
        <f>'WetLitterbags placem_collection'!E194</f>
        <v>42763</v>
      </c>
      <c r="T633" s="226">
        <f>IF('WetLitterbags placem_collection'!G194="","",'WetLitterbags placem_collection'!G194)</f>
        <v>42815</v>
      </c>
      <c r="U633" s="227">
        <f t="shared" si="48"/>
        <v>52</v>
      </c>
      <c r="V633" s="225">
        <f t="shared" si="50"/>
        <v>1.2338</v>
      </c>
      <c r="W633" s="225">
        <f t="shared" si="51"/>
        <v>1.1832967176335649</v>
      </c>
      <c r="X633">
        <f>IFERROR(INDEX(Rainfall_Wet!$O$2:$O$217,MATCH(B633, Rainfall_Wet!$A$2:$A$217,0)),"")</f>
        <v>188.24043152799999</v>
      </c>
      <c r="Y633" s="231">
        <v>25.96</v>
      </c>
      <c r="Z633" s="231">
        <v>8.9200000000000017</v>
      </c>
      <c r="AA633" s="231">
        <v>65.12</v>
      </c>
      <c r="AB633" s="232" t="s">
        <v>2670</v>
      </c>
      <c r="AC633" s="231">
        <v>8.6991621488417898</v>
      </c>
      <c r="AD633">
        <f>IF('WetLitterbags placem_collection'!AB194="","",'WetLitterbags placem_collection'!AB194)</f>
        <v>3.6</v>
      </c>
      <c r="AE633">
        <f>IF('WetLitterbags placem_collection'!Z194="","",'WetLitterbags placem_collection'!Z194)</f>
        <v>37.799999999999997</v>
      </c>
      <c r="AF633" s="246" t="str">
        <f>IF('WetLitterbags placem_collection'!AA194="","",'WetLitterbags placem_collection'!AA194)</f>
        <v>O</v>
      </c>
      <c r="AG633">
        <f>IF('WetLitterbags placem_collection'!AC194="","",'WetLitterbags placem_collection'!AC194)</f>
        <v>0</v>
      </c>
      <c r="AH633" s="24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placem_collection'!X194)),"YES","NO")</f>
        <v>NO</v>
      </c>
      <c r="AM633" t="str">
        <f>IF(ISNUMBER(SEARCH("H", 'WetLitterbags placem_collection'!X194)),"YES","NO")</f>
        <v>NO</v>
      </c>
      <c r="AN633" t="str">
        <f>IF(ISNUMBER(SEARCH("R", 'WetLitterbags placem_collection'!X194)),"YES","NO")</f>
        <v>NO</v>
      </c>
    </row>
    <row r="634" spans="1:40" ht="15" customHeight="1">
      <c r="A634" s="258" t="s">
        <v>2460</v>
      </c>
      <c r="B634" s="263">
        <f>'Dry_Litterbag Placem_Collection'!A195</f>
        <v>193</v>
      </c>
      <c r="C634" s="263" t="str">
        <f>'Dry_Litterbag Placem_Collection'!B195</f>
        <v>Makao</v>
      </c>
      <c r="D634" s="263" t="s">
        <v>2659</v>
      </c>
      <c r="E634" s="263" t="s">
        <v>2526</v>
      </c>
      <c r="F634" s="263">
        <v>4</v>
      </c>
      <c r="G634" s="264" t="str">
        <f>'Dry_Litterbag Placem_Collection'!C195</f>
        <v>Dry_Ag1_CG4</v>
      </c>
      <c r="H634" s="273" t="s">
        <v>3651</v>
      </c>
      <c r="I634" s="266" t="s">
        <v>1147</v>
      </c>
      <c r="J634" s="223" t="str">
        <f>'WetLitterbags placem_collection'!O195</f>
        <v>G584</v>
      </c>
      <c r="K634" s="225">
        <f>IFERROR(INDEX('Green_rooibos initial weight'!$C$5:$C$1749,MATCH(J634, 'Green_rooibos initial weight'!$A$5:$A$1749,0)),"")</f>
        <v>2.1960000000000002</v>
      </c>
      <c r="L634" s="225">
        <f>IFERROR(K634-(TBIcalc!$H$9+TBIcalc!$H$10),"")</f>
        <v>1.9462000000000002</v>
      </c>
      <c r="M634" s="391">
        <f>AVERAGE(Ashed_controlls!$K$2:$K$11)</f>
        <v>5.5147656768714146</v>
      </c>
      <c r="N634" s="225">
        <f t="shared" si="49"/>
        <v>1.8388716303967287</v>
      </c>
      <c r="O634" s="225">
        <f>IF(IFERROR(INDEX('Both teabags AfterWet'!$C$3:$C$841,MATCH(J634,'Both teabags AfterWet'!$A$3:$A$841,0)),"")="","",(IFERROR(INDEX('Both teabags AfterWet'!$C$3:$C$841,MATCH(J634,'Both teabags AfterWet'!$A$3:$A$841,0)),"")))</f>
        <v>0.63959999999999995</v>
      </c>
      <c r="P634" s="225">
        <f>IFERROR(IF(O634&gt;0,O634-(TBIcalc!$H$9),""),"")</f>
        <v>0.48899999999999993</v>
      </c>
      <c r="Q634" s="225">
        <f>IFERROR(INDEX('Ashed teabags wet'!$K$2:$K$821,MATCH(J634,'Ashed teabags wet'!$A$2:$A$821,0)),"")</f>
        <v>7.9232283464562308</v>
      </c>
      <c r="R634" s="225">
        <f t="shared" si="52"/>
        <v>0.45025541338582897</v>
      </c>
      <c r="S634" s="226">
        <f>'WetLitterbags placem_collection'!E195</f>
        <v>42769</v>
      </c>
      <c r="T634" s="226">
        <f>IF('WetLitterbags placem_collection'!G195="","",'WetLitterbags placem_collection'!G195)</f>
        <v>42813</v>
      </c>
      <c r="U634" s="227">
        <f t="shared" si="48"/>
        <v>44</v>
      </c>
      <c r="V634" s="225">
        <f t="shared" si="50"/>
        <v>1.4572000000000003</v>
      </c>
      <c r="W634" s="225">
        <f t="shared" si="51"/>
        <v>1.3886162170108998</v>
      </c>
      <c r="X634">
        <f>IFERROR(INDEX(Rainfall_Wet!$O$2:$O$217,MATCH(B634, Rainfall_Wet!$A$2:$A$217,0)),"")</f>
        <v>175.054685654</v>
      </c>
      <c r="Y634" s="231">
        <v>12.565665055683967</v>
      </c>
      <c r="Z634" s="231">
        <v>0.9665896196679955</v>
      </c>
      <c r="AA634" s="231">
        <v>86.467745324648035</v>
      </c>
      <c r="AB634" s="232" t="s">
        <v>2672</v>
      </c>
      <c r="AC634" s="231">
        <v>1.0225726959093147</v>
      </c>
      <c r="AD634">
        <f>IF('WetLitterbags placem_collection'!AB195="","",'WetLitterbags placem_collection'!AB195)</f>
        <v>15.2</v>
      </c>
      <c r="AE634">
        <f>IF('WetLitterbags placem_collection'!Z195="","",'WetLitterbags placem_collection'!Z195)</f>
        <v>12.2</v>
      </c>
      <c r="AF634" s="246" t="str">
        <f>IF('WetLitterbags placem_collection'!AA195="","",'WetLitterbags placem_collection'!AA195)</f>
        <v>O</v>
      </c>
      <c r="AG634">
        <f>IF('WetLitterbags placem_collection'!AC195="","",'WetLitterbags placem_collection'!AC195)</f>
        <v>1</v>
      </c>
      <c r="AH634" s="24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placem_collection'!X195)),"YES","NO")</f>
        <v>NO</v>
      </c>
      <c r="AM634" t="str">
        <f>IF(ISNUMBER(SEARCH("H", 'WetLitterbags placem_collection'!X195)),"YES","NO")</f>
        <v>NO</v>
      </c>
      <c r="AN634" t="str">
        <f>IF(ISNUMBER(SEARCH("R", 'WetLitterbags placem_collection'!X195)),"YES","NO")</f>
        <v>YES</v>
      </c>
    </row>
    <row r="635" spans="1:40" ht="15" customHeight="1">
      <c r="A635" s="258" t="s">
        <v>2460</v>
      </c>
      <c r="B635" s="263">
        <f>'Dry_Litterbag Placem_Collection'!A196</f>
        <v>194</v>
      </c>
      <c r="C635" s="263" t="str">
        <f>'Dry_Litterbag Placem_Collection'!B196</f>
        <v>Makao</v>
      </c>
      <c r="D635" s="263" t="s">
        <v>2659</v>
      </c>
      <c r="E635" s="263" t="s">
        <v>2526</v>
      </c>
      <c r="F635" s="263">
        <v>3</v>
      </c>
      <c r="G635" s="264" t="str">
        <f>'Dry_Litterbag Placem_Collection'!C196</f>
        <v>Dry_Ag2_CG3</v>
      </c>
      <c r="H635" s="273" t="s">
        <v>3651</v>
      </c>
      <c r="I635" s="266" t="s">
        <v>1147</v>
      </c>
      <c r="J635" s="223" t="str">
        <f>'WetLitterbags placem_collection'!O196</f>
        <v>G713</v>
      </c>
      <c r="K635" s="225">
        <f>IFERROR(INDEX('Green_rooibos initial weight'!$C$5:$C$1749,MATCH(J635, 'Green_rooibos initial weight'!$A$5:$A$1749,0)),"")</f>
        <v>2.1779999999999999</v>
      </c>
      <c r="L635" s="225">
        <f>IFERROR(K635-(TBIcalc!$H$9+TBIcalc!$H$10),"")</f>
        <v>1.9281999999999999</v>
      </c>
      <c r="M635" s="391">
        <f>AVERAGE(Ashed_controlls!$K$2:$K$11)</f>
        <v>5.5147656768714146</v>
      </c>
      <c r="N635" s="225">
        <f t="shared" si="49"/>
        <v>1.8218642882185654</v>
      </c>
      <c r="O635" s="225">
        <f>IF(IFERROR(INDEX('Both teabags AfterWet'!$C$3:$C$841,MATCH(J635,'Both teabags AfterWet'!$A$3:$A$841,0)),"")="","",(IFERROR(INDEX('Both teabags AfterWet'!$C$3:$C$841,MATCH(J635,'Both teabags AfterWet'!$A$3:$A$841,0)),"")))</f>
        <v>0.63500000000000001</v>
      </c>
      <c r="P635" s="225">
        <f>IFERROR(IF(O635&gt;0,O635-(TBIcalc!$H$9),""),"")</f>
        <v>0.4844</v>
      </c>
      <c r="Q635" s="225">
        <f>IFERROR(INDEX('Ashed teabags wet'!$K$2:$K$821,MATCH(J635,'Ashed teabags wet'!$A$2:$A$821,0)),"")</f>
        <v>8.6567164179103493</v>
      </c>
      <c r="R635" s="225">
        <f t="shared" si="52"/>
        <v>0.44246686567164228</v>
      </c>
      <c r="S635" s="226">
        <f>'WetLitterbags placem_collection'!E196</f>
        <v>42769</v>
      </c>
      <c r="T635" s="226">
        <f>IF('WetLitterbags placem_collection'!G196="","",'WetLitterbags placem_collection'!G196)</f>
        <v>42813</v>
      </c>
      <c r="U635" s="227">
        <f t="shared" si="48"/>
        <v>44</v>
      </c>
      <c r="V635" s="225">
        <f t="shared" si="50"/>
        <v>1.4438</v>
      </c>
      <c r="W635" s="225">
        <f t="shared" si="51"/>
        <v>1.3793974225469232</v>
      </c>
      <c r="X635">
        <f>IFERROR(INDEX(Rainfall_Wet!$O$2:$O$217,MATCH(B635, Rainfall_Wet!$A$2:$A$217,0)),"")</f>
        <v>175.054685654</v>
      </c>
      <c r="Y635" s="231">
        <v>21.13063730679653</v>
      </c>
      <c r="Z635" s="231">
        <v>3.0912555579081076</v>
      </c>
      <c r="AA635" s="231">
        <v>75.778107135295357</v>
      </c>
      <c r="AB635" s="232" t="s">
        <v>2670</v>
      </c>
      <c r="AC635" s="231">
        <v>0.46131099063578063</v>
      </c>
      <c r="AD635">
        <f>IF('WetLitterbags placem_collection'!AB196="","",'WetLitterbags placem_collection'!AB196)</f>
        <v>7.9</v>
      </c>
      <c r="AE635">
        <f>IF('WetLitterbags placem_collection'!Z196="","",'WetLitterbags placem_collection'!Z196)</f>
        <v>7.9</v>
      </c>
      <c r="AF635" s="246" t="str">
        <f>IF('WetLitterbags placem_collection'!AA196="","",'WetLitterbags placem_collection'!AA196)</f>
        <v>O</v>
      </c>
      <c r="AG635">
        <f>IF('WetLitterbags placem_collection'!AC196="","",'WetLitterbags placem_collection'!AC196)</f>
        <v>1</v>
      </c>
      <c r="AH635" s="24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placem_collection'!X196)),"YES","NO")</f>
        <v>NO</v>
      </c>
      <c r="AM635" t="str">
        <f>IF(ISNUMBER(SEARCH("H", 'WetLitterbags placem_collection'!X196)),"YES","NO")</f>
        <v>NO</v>
      </c>
      <c r="AN635" t="str">
        <f>IF(ISNUMBER(SEARCH("R", 'WetLitterbags placem_collection'!X196)),"YES","NO")</f>
        <v>YES</v>
      </c>
    </row>
    <row r="636" spans="1:40" ht="15" customHeight="1">
      <c r="A636" s="258" t="s">
        <v>2460</v>
      </c>
      <c r="B636" s="263">
        <f>'Dry_Litterbag Placem_Collection'!A197</f>
        <v>195</v>
      </c>
      <c r="C636" s="263" t="str">
        <f>'Dry_Litterbag Placem_Collection'!B197</f>
        <v>Makao</v>
      </c>
      <c r="D636" s="263" t="s">
        <v>2659</v>
      </c>
      <c r="E636" s="263" t="s">
        <v>2526</v>
      </c>
      <c r="F636" s="263">
        <v>2</v>
      </c>
      <c r="G636" s="264" t="str">
        <f>'Dry_Litterbag Placem_Collection'!C197</f>
        <v>Dry_Ag3_CG2</v>
      </c>
      <c r="H636" s="273" t="s">
        <v>3651</v>
      </c>
      <c r="I636" s="266" t="s">
        <v>1147</v>
      </c>
      <c r="J636" s="223" t="str">
        <f>'WetLitterbags placem_collection'!O197</f>
        <v>G525</v>
      </c>
      <c r="K636" s="225">
        <f>IFERROR(INDEX('Green_rooibos initial weight'!$C$5:$C$1749,MATCH(J636, 'Green_rooibos initial weight'!$A$5:$A$1749,0)),"")</f>
        <v>2.0790000000000002</v>
      </c>
      <c r="L636" s="225">
        <f>IFERROR(K636-(TBIcalc!$H$9+TBIcalc!$H$10),"")</f>
        <v>1.8292000000000002</v>
      </c>
      <c r="M636" s="391">
        <f>AVERAGE(Ashed_controlls!$K$2:$K$11)</f>
        <v>5.5147656768714146</v>
      </c>
      <c r="N636" s="225">
        <f t="shared" si="49"/>
        <v>1.7283239062386682</v>
      </c>
      <c r="O636" s="225">
        <f>IF(IFERROR(INDEX('Both teabags AfterWet'!$C$3:$C$841,MATCH(J636,'Both teabags AfterWet'!$A$3:$A$841,0)),"")="","",(IFERROR(INDEX('Both teabags AfterWet'!$C$3:$C$841,MATCH(J636,'Both teabags AfterWet'!$A$3:$A$841,0)),"")))</f>
        <v>0.67859999999999998</v>
      </c>
      <c r="P636" s="225">
        <f>IFERROR(IF(O636&gt;0,O636-(TBIcalc!$H$9),""),"")</f>
        <v>0.52800000000000002</v>
      </c>
      <c r="Q636" s="225">
        <f>IFERROR(INDEX('Ashed teabags wet'!$K$2:$K$821,MATCH(J636,'Ashed teabags wet'!$A$2:$A$821,0)),"")</f>
        <v>12.793603198399861</v>
      </c>
      <c r="R636" s="225">
        <f t="shared" si="52"/>
        <v>0.46044977511244878</v>
      </c>
      <c r="S636" s="226">
        <f>'WetLitterbags placem_collection'!E197</f>
        <v>42769</v>
      </c>
      <c r="T636" s="226">
        <f>IF('WetLitterbags placem_collection'!G197="","",'WetLitterbags placem_collection'!G197)</f>
        <v>42814</v>
      </c>
      <c r="U636" s="227">
        <f t="shared" si="48"/>
        <v>45</v>
      </c>
      <c r="V636" s="225">
        <f t="shared" si="50"/>
        <v>1.3012000000000001</v>
      </c>
      <c r="W636" s="225">
        <f t="shared" si="51"/>
        <v>1.2678741311262194</v>
      </c>
      <c r="X636">
        <f>IFERROR(INDEX(Rainfall_Wet!$O$2:$O$217,MATCH(B636, Rainfall_Wet!$A$2:$A$217,0)),"")</f>
        <v>175.377105089</v>
      </c>
      <c r="Y636" s="231">
        <v>54.080969906906262</v>
      </c>
      <c r="Z636" s="231">
        <v>21.264484651351896</v>
      </c>
      <c r="AA636" s="231">
        <v>24.654545441741845</v>
      </c>
      <c r="AB636" s="232" t="s">
        <v>2673</v>
      </c>
      <c r="AC636" s="231">
        <v>1.8433218334154755</v>
      </c>
      <c r="AD636">
        <f>IF('WetLitterbags placem_collection'!AB197="","",'WetLitterbags placem_collection'!AB197)</f>
        <v>5.13</v>
      </c>
      <c r="AE636">
        <f>IF('WetLitterbags placem_collection'!Z197="","",'WetLitterbags placem_collection'!Z197)</f>
        <v>5.13</v>
      </c>
      <c r="AF636" s="246" t="str">
        <f>IF('WetLitterbags placem_collection'!AA197="","",'WetLitterbags placem_collection'!AA197)</f>
        <v>O</v>
      </c>
      <c r="AG636">
        <f>IF('WetLitterbags placem_collection'!AC197="","",'WetLitterbags placem_collection'!AC197)</f>
        <v>1</v>
      </c>
      <c r="AH636" s="24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placem_collection'!X197)),"YES","NO")</f>
        <v>NO</v>
      </c>
      <c r="AM636" t="str">
        <f>IF(ISNUMBER(SEARCH("H", 'WetLitterbags placem_collection'!X197)),"YES","NO")</f>
        <v>NO</v>
      </c>
      <c r="AN636" t="str">
        <f>IF(ISNUMBER(SEARCH("R", 'WetLitterbags placem_collection'!X197)),"YES","NO")</f>
        <v>YES</v>
      </c>
    </row>
    <row r="637" spans="1:40" ht="15" customHeight="1">
      <c r="A637" s="258" t="s">
        <v>2460</v>
      </c>
      <c r="B637" s="263">
        <f>'Dry_Litterbag Placem_Collection'!A198</f>
        <v>196</v>
      </c>
      <c r="C637" s="263" t="str">
        <f>'Dry_Litterbag Placem_Collection'!B198</f>
        <v>Makao</v>
      </c>
      <c r="D637" s="263" t="s">
        <v>2659</v>
      </c>
      <c r="E637" s="263" t="s">
        <v>2526</v>
      </c>
      <c r="F637" s="263">
        <v>1</v>
      </c>
      <c r="G637" s="264" t="str">
        <f>'Dry_Litterbag Placem_Collection'!C198</f>
        <v>Dry_Ag4_CG1</v>
      </c>
      <c r="H637" s="273" t="s">
        <v>3651</v>
      </c>
      <c r="I637" s="266" t="s">
        <v>1147</v>
      </c>
      <c r="J637" s="223" t="str">
        <f>'WetLitterbags placem_collection'!O198</f>
        <v>G886</v>
      </c>
      <c r="K637" s="225">
        <f>IFERROR(INDEX('Green_rooibos initial weight'!$C$5:$C$1749,MATCH(J637, 'Green_rooibos initial weight'!$A$5:$A$1749,0)),"")</f>
        <v>1.9590000000000001</v>
      </c>
      <c r="L637" s="225">
        <f>IFERROR(K637-(TBIcalc!$H$9+TBIcalc!$H$10),"")</f>
        <v>1.7092000000000001</v>
      </c>
      <c r="M637" s="391">
        <f>AVERAGE(Ashed_controlls!$K$2:$K$11)</f>
        <v>5.5147656768714146</v>
      </c>
      <c r="N637" s="225">
        <f t="shared" si="49"/>
        <v>1.6149416250509139</v>
      </c>
      <c r="O637" s="225">
        <f>IF(IFERROR(INDEX('Both teabags AfterWet'!$C$3:$C$841,MATCH(J637,'Both teabags AfterWet'!$A$3:$A$841,0)),"")="","",(IFERROR(INDEX('Both teabags AfterWet'!$C$3:$C$841,MATCH(J637,'Both teabags AfterWet'!$A$3:$A$841,0)),"")))</f>
        <v>0.58389999999999997</v>
      </c>
      <c r="P637" s="225">
        <f>IFERROR(IF(O637&gt;0,O637-(TBIcalc!$H$9),""),"")</f>
        <v>0.43329999999999996</v>
      </c>
      <c r="Q637" s="225">
        <f>IFERROR(INDEX('Ashed teabags wet'!$K$2:$K$821,MATCH(J637,'Ashed teabags wet'!$A$2:$A$821,0)),"")</f>
        <v>11.60846040334461</v>
      </c>
      <c r="R637" s="225">
        <f t="shared" si="52"/>
        <v>0.38300054107230774</v>
      </c>
      <c r="S637" s="226">
        <f>'WetLitterbags placem_collection'!E198</f>
        <v>42769</v>
      </c>
      <c r="T637" s="226">
        <f>IF('WetLitterbags placem_collection'!G198="","",'WetLitterbags placem_collection'!G198)</f>
        <v>42814</v>
      </c>
      <c r="U637" s="227">
        <f t="shared" si="48"/>
        <v>45</v>
      </c>
      <c r="V637" s="225">
        <f t="shared" si="50"/>
        <v>1.2759</v>
      </c>
      <c r="W637" s="225">
        <f t="shared" si="51"/>
        <v>1.2319410839786062</v>
      </c>
      <c r="X637">
        <f>IFERROR(INDEX(Rainfall_Wet!$O$2:$O$217,MATCH(B637, Rainfall_Wet!$A$2:$A$217,0)),"")</f>
        <v>175.377105089</v>
      </c>
      <c r="Y637" s="231">
        <v>51.960000000000008</v>
      </c>
      <c r="Z637" s="231">
        <v>18.919999999999995</v>
      </c>
      <c r="AA637" s="231">
        <v>29.120000000000005</v>
      </c>
      <c r="AB637" s="232" t="s">
        <v>2673</v>
      </c>
      <c r="AC637" s="231">
        <v>1.85293247905372</v>
      </c>
      <c r="AD637">
        <f>IF('WetLitterbags placem_collection'!AB198="","",'WetLitterbags placem_collection'!AB198)</f>
        <v>13.8</v>
      </c>
      <c r="AE637">
        <f>IF('WetLitterbags placem_collection'!Z198="","",'WetLitterbags placem_collection'!Z198)</f>
        <v>17.399999999999999</v>
      </c>
      <c r="AF637" s="246" t="str">
        <f>IF('WetLitterbags placem_collection'!AA198="","",'WetLitterbags placem_collection'!AA198)</f>
        <v>O</v>
      </c>
      <c r="AG637">
        <f>IF('WetLitterbags placem_collection'!AC198="","",'WetLitterbags placem_collection'!AC198)</f>
        <v>1</v>
      </c>
      <c r="AH637" s="24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placem_collection'!X198)),"YES","NO")</f>
        <v>NO</v>
      </c>
      <c r="AM637" t="str">
        <f>IF(ISNUMBER(SEARCH("H", 'WetLitterbags placem_collection'!X198)),"YES","NO")</f>
        <v>NO</v>
      </c>
      <c r="AN637" t="str">
        <f>IF(ISNUMBER(SEARCH("R", 'WetLitterbags placem_collection'!X198)),"YES","NO")</f>
        <v>NO</v>
      </c>
    </row>
    <row r="638" spans="1:40" ht="15" customHeight="1">
      <c r="A638" s="258" t="s">
        <v>2460</v>
      </c>
      <c r="B638" s="263">
        <f>'Dry_Litterbag Placem_Collection'!A199</f>
        <v>197</v>
      </c>
      <c r="C638" s="263" t="str">
        <f>'Dry_Litterbag Placem_Collection'!B199</f>
        <v>Makao</v>
      </c>
      <c r="D638" s="263" t="s">
        <v>2659</v>
      </c>
      <c r="E638" s="263" t="s">
        <v>2526</v>
      </c>
      <c r="F638" s="263">
        <v>2</v>
      </c>
      <c r="G638" s="264" t="str">
        <f>'Dry_Litterbag Placem_Collection'!C199</f>
        <v>Dry_P1_CG2</v>
      </c>
      <c r="H638" s="273" t="s">
        <v>3651</v>
      </c>
      <c r="I638" s="266" t="s">
        <v>1147</v>
      </c>
      <c r="J638" s="223" t="str">
        <f>'WetLitterbags placem_collection'!O199</f>
        <v>G388</v>
      </c>
      <c r="K638" s="225">
        <f>IFERROR(INDEX('Green_rooibos initial weight'!$C$5:$C$1749,MATCH(J638, 'Green_rooibos initial weight'!$A$5:$A$1749,0)),"")</f>
        <v>2.024</v>
      </c>
      <c r="L638" s="225">
        <f>IFERROR(K638-(TBIcalc!$H$9+TBIcalc!$H$10),"")</f>
        <v>1.7742</v>
      </c>
      <c r="M638" s="391">
        <f>AVERAGE(Ashed_controlls!$K$2:$K$11)</f>
        <v>5.5147656768714146</v>
      </c>
      <c r="N638" s="225">
        <f t="shared" si="49"/>
        <v>1.6763570273609474</v>
      </c>
      <c r="O638" s="225">
        <f>IF(IFERROR(INDEX('Both teabags AfterWet'!$C$3:$C$841,MATCH(J638,'Both teabags AfterWet'!$A$3:$A$841,0)),"")="","",(IFERROR(INDEX('Both teabags AfterWet'!$C$3:$C$841,MATCH(J638,'Both teabags AfterWet'!$A$3:$A$841,0)),"")))</f>
        <v>0.7046</v>
      </c>
      <c r="P638" s="225">
        <f>IFERROR(IF(O638&gt;0,O638-(TBIcalc!$H$9),""),"")</f>
        <v>0.55400000000000005</v>
      </c>
      <c r="Q638" s="225">
        <f>IFERROR(INDEX('Ashed teabags wet'!$K$2:$K$821,MATCH(J638,'Ashed teabags wet'!$A$2:$A$821,0)),"")</f>
        <v>10.565110565110372</v>
      </c>
      <c r="R638" s="225">
        <f t="shared" si="52"/>
        <v>0.49546928746928859</v>
      </c>
      <c r="S638" s="226">
        <f>'WetLitterbags placem_collection'!E199</f>
        <v>42769</v>
      </c>
      <c r="T638" s="226">
        <f>IF('WetLitterbags placem_collection'!G199="","",'WetLitterbags placem_collection'!G199)</f>
        <v>42814</v>
      </c>
      <c r="U638" s="227">
        <f t="shared" si="48"/>
        <v>45</v>
      </c>
      <c r="V638" s="225">
        <f t="shared" si="50"/>
        <v>1.2202</v>
      </c>
      <c r="W638" s="225">
        <f t="shared" si="51"/>
        <v>1.1808877398916588</v>
      </c>
      <c r="X638">
        <f>IFERROR(INDEX(Rainfall_Wet!$O$2:$O$217,MATCH(B638, Rainfall_Wet!$A$2:$A$217,0)),"")</f>
        <v>175.377105089</v>
      </c>
      <c r="Y638" s="231">
        <v>23.96</v>
      </c>
      <c r="Z638" s="231">
        <v>0.91999999999999804</v>
      </c>
      <c r="AA638" s="231">
        <v>75.12</v>
      </c>
      <c r="AB638" s="232" t="s">
        <v>2670</v>
      </c>
      <c r="AC638" s="231">
        <v>1.2493839329719072</v>
      </c>
      <c r="AD638">
        <f>IF('WetLitterbags placem_collection'!AB199="","",'WetLitterbags placem_collection'!AB199)</f>
        <v>5.13</v>
      </c>
      <c r="AE638">
        <f>IF('WetLitterbags placem_collection'!Z199="","",'WetLitterbags placem_collection'!Z199)</f>
        <v>5.13</v>
      </c>
      <c r="AF638" s="246" t="str">
        <f>IF('WetLitterbags placem_collection'!AA199="","",'WetLitterbags placem_collection'!AA199)</f>
        <v>O</v>
      </c>
      <c r="AG638">
        <f>IF('WetLitterbags placem_collection'!AC199="","",'WetLitterbags placem_collection'!AC199)</f>
        <v>1</v>
      </c>
      <c r="AH638" s="24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placem_collection'!X199)),"YES","NO")</f>
        <v>NO</v>
      </c>
      <c r="AM638" t="str">
        <f>IF(ISNUMBER(SEARCH("H", 'WetLitterbags placem_collection'!X199)),"YES","NO")</f>
        <v>NO</v>
      </c>
      <c r="AN638" t="str">
        <f>IF(ISNUMBER(SEARCH("R", 'WetLitterbags placem_collection'!X199)),"YES","NO")</f>
        <v>YES</v>
      </c>
    </row>
    <row r="639" spans="1:40" ht="15" customHeight="1">
      <c r="A639" s="258" t="s">
        <v>2460</v>
      </c>
      <c r="B639" s="263">
        <f>'Dry_Litterbag Placem_Collection'!A200</f>
        <v>198</v>
      </c>
      <c r="C639" s="263" t="str">
        <f>'Dry_Litterbag Placem_Collection'!B200</f>
        <v>Makao</v>
      </c>
      <c r="D639" s="263" t="s">
        <v>2659</v>
      </c>
      <c r="E639" s="263" t="s">
        <v>2526</v>
      </c>
      <c r="F639" s="263">
        <v>3</v>
      </c>
      <c r="G639" s="264" t="str">
        <f>'Dry_Litterbag Placem_Collection'!C200</f>
        <v>Dry_P2_CG3</v>
      </c>
      <c r="H639" s="273" t="s">
        <v>3651</v>
      </c>
      <c r="I639" s="266" t="s">
        <v>1147</v>
      </c>
      <c r="J639" s="223" t="str">
        <f>'WetLitterbags placem_collection'!O200</f>
        <v>G462</v>
      </c>
      <c r="K639" s="225">
        <f>IFERROR(INDEX('Green_rooibos initial weight'!$C$5:$C$1749,MATCH(J639, 'Green_rooibos initial weight'!$A$5:$A$1749,0)),"")</f>
        <v>2.169</v>
      </c>
      <c r="L639" s="225">
        <f>IFERROR(K639-(TBIcalc!$H$9+TBIcalc!$H$10),"")</f>
        <v>1.9192</v>
      </c>
      <c r="M639" s="391">
        <f>AVERAGE(Ashed_controlls!$K$2:$K$11)</f>
        <v>5.5147656768714146</v>
      </c>
      <c r="N639" s="225">
        <f>IFERROR(L639-(M639/100)*L639,"")</f>
        <v>1.8133606171294838</v>
      </c>
      <c r="O639" s="225">
        <f>IF(IFERROR(INDEX('Both teabags AfterWet'!$C$3:$C$841,MATCH(J639,'Both teabags AfterWet'!$A$3:$A$841,0)),"")="","",(IFERROR(INDEX('Both teabags AfterWet'!$C$3:$C$841,MATCH(J639,'Both teabags AfterWet'!$A$3:$A$841,0)),"")))</f>
        <v>0.71250000000000002</v>
      </c>
      <c r="P639" s="225">
        <f>IFERROR(IF(O639&gt;0,O639-(TBIcalc!$H$9),""),"")</f>
        <v>0.56190000000000007</v>
      </c>
      <c r="Q639" s="225">
        <f>IFERROR(INDEX('Ashed teabags wet'!$K$2:$K$821,MATCH(J639,'Ashed teabags wet'!$A$2:$A$821,0)),"")</f>
        <v>8.7537091988131088</v>
      </c>
      <c r="R639" s="225">
        <f t="shared" si="52"/>
        <v>0.5127129080118692</v>
      </c>
      <c r="S639" s="226">
        <f>'WetLitterbags placem_collection'!E200</f>
        <v>42769</v>
      </c>
      <c r="T639" s="226">
        <f>IF('WetLitterbags placem_collection'!G200="","",'WetLitterbags placem_collection'!G200)</f>
        <v>42813</v>
      </c>
      <c r="U639" s="227">
        <f t="shared" si="48"/>
        <v>44</v>
      </c>
      <c r="V639" s="225">
        <f t="shared" si="50"/>
        <v>1.3573</v>
      </c>
      <c r="W639" s="225">
        <f t="shared" si="51"/>
        <v>1.3006477091176145</v>
      </c>
      <c r="X639">
        <f>IFERROR(INDEX(Rainfall_Wet!$O$2:$O$217,MATCH(B639, Rainfall_Wet!$A$2:$A$217,0)),"")</f>
        <v>175.054685654</v>
      </c>
      <c r="Y639" s="231">
        <v>19.96</v>
      </c>
      <c r="Z639" s="231">
        <v>4.9199999999999982</v>
      </c>
      <c r="AA639" s="231">
        <v>75.12</v>
      </c>
      <c r="AB639" s="232" t="s">
        <v>2671</v>
      </c>
      <c r="AC639" s="231">
        <v>1.641498275012321</v>
      </c>
      <c r="AD639">
        <f>IF('WetLitterbags placem_collection'!AB200="","",'WetLitterbags placem_collection'!AB200)</f>
        <v>7.9</v>
      </c>
      <c r="AE639">
        <f>IF('WetLitterbags placem_collection'!Z200="","",'WetLitterbags placem_collection'!Z200)</f>
        <v>7.9</v>
      </c>
      <c r="AF639" s="246" t="str">
        <f>IF('WetLitterbags placem_collection'!AA200="","",'WetLitterbags placem_collection'!AA200)</f>
        <v>O</v>
      </c>
      <c r="AG639">
        <f>IF('WetLitterbags placem_collection'!AC200="","",'WetLitterbags placem_collection'!AC200)</f>
        <v>1</v>
      </c>
      <c r="AH639" s="24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placem_collection'!X200)),"YES","NO")</f>
        <v>NO</v>
      </c>
      <c r="AM639" t="str">
        <f>IF(ISNUMBER(SEARCH("H", 'WetLitterbags placem_collection'!X200)),"YES","NO")</f>
        <v>NO</v>
      </c>
      <c r="AN639" t="str">
        <f>IF(ISNUMBER(SEARCH("R", 'WetLitterbags placem_collection'!X200)),"YES","NO")</f>
        <v>YES</v>
      </c>
    </row>
    <row r="640" spans="1:40" ht="15" customHeight="1">
      <c r="A640" s="258" t="s">
        <v>2460</v>
      </c>
      <c r="B640" s="263">
        <f>'Dry_Litterbag Placem_Collection'!A201</f>
        <v>199</v>
      </c>
      <c r="C640" s="263" t="str">
        <f>'Dry_Litterbag Placem_Collection'!B201</f>
        <v>Makao</v>
      </c>
      <c r="D640" s="263" t="s">
        <v>2659</v>
      </c>
      <c r="E640" s="263" t="s">
        <v>2526</v>
      </c>
      <c r="F640" s="263">
        <v>1</v>
      </c>
      <c r="G640" s="264" t="str">
        <f>'Dry_Litterbag Placem_Collection'!C201</f>
        <v>Dry_P3_CG1</v>
      </c>
      <c r="H640" s="273" t="s">
        <v>3651</v>
      </c>
      <c r="I640" s="266" t="s">
        <v>1147</v>
      </c>
      <c r="J640" s="223" t="str">
        <f>'WetLitterbags placem_collection'!O201</f>
        <v>G712</v>
      </c>
      <c r="K640" s="225">
        <f>IFERROR(INDEX('Green_rooibos initial weight'!$C$5:$C$1749,MATCH(J640, 'Green_rooibos initial weight'!$A$5:$A$1749,0)),"")</f>
        <v>2.0630000000000002</v>
      </c>
      <c r="L640" s="225">
        <f>IFERROR(K640-(TBIcalc!$H$9+TBIcalc!$H$10),"")</f>
        <v>1.8132000000000001</v>
      </c>
      <c r="M640" s="391">
        <f>AVERAGE(Ashed_controlls!$K$2:$K$11)</f>
        <v>5.5147656768714146</v>
      </c>
      <c r="N640" s="225">
        <f t="shared" si="49"/>
        <v>1.7132062687469676</v>
      </c>
      <c r="O640" s="225">
        <f>IF(IFERROR(INDEX('Both teabags AfterWet'!$C$3:$C$841,MATCH(J640,'Both teabags AfterWet'!$A$3:$A$841,0)),"")="","",(IFERROR(INDEX('Both teabags AfterWet'!$C$3:$C$841,MATCH(J640,'Both teabags AfterWet'!$A$3:$A$841,0)),"")))</f>
        <v>0.65500000000000003</v>
      </c>
      <c r="P640" s="225">
        <f>IFERROR(IF(O640&gt;0,O640-(TBIcalc!$H$9),""),"")</f>
        <v>0.50439999999999996</v>
      </c>
      <c r="Q640" s="225">
        <f>IFERROR(INDEX('Ashed teabags wet'!$K$2:$K$821,MATCH(J640,'Ashed teabags wet'!$A$2:$A$821,0)),"")</f>
        <v>8.8717454194792413</v>
      </c>
      <c r="R640" s="225">
        <f t="shared" si="52"/>
        <v>0.45965091610414666</v>
      </c>
      <c r="S640" s="226">
        <f>'WetLitterbags placem_collection'!E201</f>
        <v>42769</v>
      </c>
      <c r="T640" s="226">
        <f>IF('WetLitterbags placem_collection'!G201="","",'WetLitterbags placem_collection'!G201)</f>
        <v>42814</v>
      </c>
      <c r="U640" s="227">
        <f t="shared" si="48"/>
        <v>45</v>
      </c>
      <c r="V640" s="225">
        <f t="shared" si="50"/>
        <v>1.3088000000000002</v>
      </c>
      <c r="W640" s="225">
        <f t="shared" si="51"/>
        <v>1.2535553526428209</v>
      </c>
      <c r="X640">
        <f>IFERROR(INDEX(Rainfall_Wet!$O$2:$O$217,MATCH(B640, Rainfall_Wet!$A$2:$A$217,0)),"")</f>
        <v>175.377105089</v>
      </c>
      <c r="Y640" s="231">
        <v>21.96</v>
      </c>
      <c r="Z640" s="231">
        <v>8.9199999999999982</v>
      </c>
      <c r="AA640" s="231">
        <v>69.12</v>
      </c>
      <c r="AB640" s="232" t="s">
        <v>2670</v>
      </c>
      <c r="AC640" s="231">
        <v>1.7491375061606702</v>
      </c>
      <c r="AD640">
        <f>IF('WetLitterbags placem_collection'!AB201="","",'WetLitterbags placem_collection'!AB201)</f>
        <v>13.8</v>
      </c>
      <c r="AE640">
        <f>IF('WetLitterbags placem_collection'!Z201="","",'WetLitterbags placem_collection'!Z201)</f>
        <v>17.399999999999999</v>
      </c>
      <c r="AF640" s="246" t="str">
        <f>IF('WetLitterbags placem_collection'!AA201="","",'WetLitterbags placem_collection'!AA201)</f>
        <v>O</v>
      </c>
      <c r="AG640">
        <f>IF('WetLitterbags placem_collection'!AC201="","",'WetLitterbags placem_collection'!AC201)</f>
        <v>1</v>
      </c>
      <c r="AH640" s="24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placem_collection'!X201)),"YES","NO")</f>
        <v>NO</v>
      </c>
      <c r="AM640" t="str">
        <f>IF(ISNUMBER(SEARCH("H", 'WetLitterbags placem_collection'!X201)),"YES","NO")</f>
        <v>NO</v>
      </c>
      <c r="AN640" t="str">
        <f>IF(ISNUMBER(SEARCH("R", 'WetLitterbags placem_collection'!X201)),"YES","NO")</f>
        <v>NO</v>
      </c>
    </row>
    <row r="641" spans="1:40" ht="15" customHeight="1">
      <c r="A641" s="258" t="s">
        <v>2460</v>
      </c>
      <c r="B641" s="263">
        <f>'Dry_Litterbag Placem_Collection'!A202</f>
        <v>200</v>
      </c>
      <c r="C641" s="263" t="str">
        <f>'Dry_Litterbag Placem_Collection'!B202</f>
        <v>Makao</v>
      </c>
      <c r="D641" s="263" t="s">
        <v>2659</v>
      </c>
      <c r="E641" s="263" t="s">
        <v>2526</v>
      </c>
      <c r="F641" s="263">
        <v>4</v>
      </c>
      <c r="G641" s="264" t="str">
        <f>'Dry_Litterbag Placem_Collection'!C202</f>
        <v>Dry_P4_CG4</v>
      </c>
      <c r="H641" s="273" t="s">
        <v>3651</v>
      </c>
      <c r="I641" s="266" t="s">
        <v>1147</v>
      </c>
      <c r="J641" s="223" t="str">
        <f>'WetLitterbags placem_collection'!O202</f>
        <v>G709</v>
      </c>
      <c r="K641" s="225">
        <f>IFERROR(INDEX('Green_rooibos initial weight'!$C$5:$C$1749,MATCH(J641, 'Green_rooibos initial weight'!$A$5:$A$1749,0)),"")</f>
        <v>1.9670000000000001</v>
      </c>
      <c r="L641" s="225">
        <f>IFERROR(K641-(TBIcalc!$H$9+TBIcalc!$H$10),"")</f>
        <v>1.7172000000000001</v>
      </c>
      <c r="M641" s="391">
        <f>AVERAGE(Ashed_controlls!$K$2:$K$11)</f>
        <v>5.5147656768714146</v>
      </c>
      <c r="N641" s="225">
        <f t="shared" si="49"/>
        <v>1.6225004437967641</v>
      </c>
      <c r="O641" s="225">
        <f>IF(IFERROR(INDEX('Both teabags AfterWet'!$C$3:$C$841,MATCH(J641,'Both teabags AfterWet'!$A$3:$A$841,0)),"")="","",(IFERROR(INDEX('Both teabags AfterWet'!$C$3:$C$841,MATCH(J641,'Both teabags AfterWet'!$A$3:$A$841,0)),"")))</f>
        <v>0.56469999999999998</v>
      </c>
      <c r="P641" s="225">
        <f>IFERROR(IF(O641&gt;0,O641-(TBIcalc!$H$9),""),"")</f>
        <v>0.41409999999999997</v>
      </c>
      <c r="Q641" s="225">
        <f>IFERROR(INDEX('Ashed teabags wet'!$K$2:$K$821,MATCH(J641,'Ashed teabags wet'!$A$2:$A$821,0)),"")</f>
        <v>9.8409542743538694</v>
      </c>
      <c r="R641" s="225">
        <f t="shared" si="52"/>
        <v>0.37334860834990058</v>
      </c>
      <c r="S641" s="226">
        <f>'WetLitterbags placem_collection'!E202</f>
        <v>42769</v>
      </c>
      <c r="T641" s="226">
        <f>IF('WetLitterbags placem_collection'!G202="","",'WetLitterbags placem_collection'!G202)</f>
        <v>42813</v>
      </c>
      <c r="U641" s="227">
        <f t="shared" si="48"/>
        <v>44</v>
      </c>
      <c r="V641" s="225">
        <f t="shared" si="50"/>
        <v>1.3031000000000001</v>
      </c>
      <c r="W641" s="225">
        <f t="shared" si="51"/>
        <v>1.2491518354468636</v>
      </c>
      <c r="X641">
        <f>IFERROR(INDEX(Rainfall_Wet!$O$2:$O$217,MATCH(B641, Rainfall_Wet!$A$2:$A$217,0)),"")</f>
        <v>175.054685654</v>
      </c>
      <c r="Y641" s="231">
        <v>25.96</v>
      </c>
      <c r="Z641" s="231">
        <v>6.9200000000000008</v>
      </c>
      <c r="AA641" s="231">
        <v>67.12</v>
      </c>
      <c r="AB641" s="232" t="s">
        <v>2670</v>
      </c>
      <c r="AC641" s="231">
        <v>1.7568260226712666</v>
      </c>
      <c r="AD641">
        <f>IF('WetLitterbags placem_collection'!AB202="","",'WetLitterbags placem_collection'!AB202)</f>
        <v>15.2</v>
      </c>
      <c r="AE641">
        <f>IF('WetLitterbags placem_collection'!Z202="","",'WetLitterbags placem_collection'!Z202)</f>
        <v>12.2</v>
      </c>
      <c r="AF641" s="246" t="str">
        <f>IF('WetLitterbags placem_collection'!AA202="","",'WetLitterbags placem_collection'!AA202)</f>
        <v>O</v>
      </c>
      <c r="AG641">
        <f>IF('WetLitterbags placem_collection'!AC202="","",'WetLitterbags placem_collection'!AC202)</f>
        <v>1</v>
      </c>
      <c r="AH641" s="24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placem_collection'!X202)),"YES","NO")</f>
        <v>NO</v>
      </c>
      <c r="AM641" t="str">
        <f>IF(ISNUMBER(SEARCH("H", 'WetLitterbags placem_collection'!X202)),"YES","NO")</f>
        <v>NO</v>
      </c>
      <c r="AN641" t="str">
        <f>IF(ISNUMBER(SEARCH("R", 'WetLitterbags placem_collection'!X202)),"YES","NO")</f>
        <v>YES</v>
      </c>
    </row>
    <row r="642" spans="1:40" ht="15" customHeight="1">
      <c r="A642" s="258" t="s">
        <v>2460</v>
      </c>
      <c r="B642" s="263">
        <f>'Dry_Litterbag Placem_Collection'!A203</f>
        <v>201</v>
      </c>
      <c r="C642" s="263" t="str">
        <f>'Dry_Litterbag Placem_Collection'!B203</f>
        <v>Maswa</v>
      </c>
      <c r="D642" s="263" t="s">
        <v>2659</v>
      </c>
      <c r="E642" s="263" t="s">
        <v>2526</v>
      </c>
      <c r="F642" s="263">
        <v>4</v>
      </c>
      <c r="G642" s="264" t="str">
        <f>'Dry_Litterbag Placem_Collection'!C203</f>
        <v>Dry_W3_CG4</v>
      </c>
      <c r="H642" s="273" t="s">
        <v>3651</v>
      </c>
      <c r="I642" s="266" t="s">
        <v>1147</v>
      </c>
      <c r="J642" s="223" t="str">
        <f>'WetLitterbags placem_collection'!O203</f>
        <v>G707</v>
      </c>
      <c r="K642" s="225">
        <f>IFERROR(INDEX('Green_rooibos initial weight'!$C$5:$C$1749,MATCH(J642, 'Green_rooibos initial weight'!$A$5:$A$1749,0)),"")</f>
        <v>2.008</v>
      </c>
      <c r="L642" s="225">
        <f>IFERROR(K642-(TBIcalc!$H$9+TBIcalc!$H$10),"")</f>
        <v>1.7582</v>
      </c>
      <c r="M642" s="391">
        <f>AVERAGE(Ashed_controlls!$K$2:$K$11)</f>
        <v>5.5147656768714146</v>
      </c>
      <c r="N642" s="225">
        <f t="shared" si="49"/>
        <v>1.6612393898692468</v>
      </c>
      <c r="O642" s="225">
        <f>IF(IFERROR(INDEX('Both teabags AfterWet'!$C$3:$C$841,MATCH(J642,'Both teabags AfterWet'!$A$3:$A$841,0)),"")="","",(IFERROR(INDEX('Both teabags AfterWet'!$C$3:$C$841,MATCH(J642,'Both teabags AfterWet'!$A$3:$A$841,0)),"")))</f>
        <v>0.63959999999999995</v>
      </c>
      <c r="P642" s="225">
        <f>IFERROR(IF(O642&gt;0,O642-(TBIcalc!$H$9),""),"")</f>
        <v>0.48899999999999993</v>
      </c>
      <c r="Q642" s="225">
        <f>IFERROR(INDEX('Ashed teabags wet'!$K$2:$K$821,MATCH(J642,'Ashed teabags wet'!$A$2:$A$821,0)),"")</f>
        <v>12.14457831325316</v>
      </c>
      <c r="R642" s="225">
        <f t="shared" si="52"/>
        <v>0.42961301204819197</v>
      </c>
      <c r="S642" s="226">
        <f>'WetLitterbags placem_collection'!E203</f>
        <v>42769</v>
      </c>
      <c r="T642" s="226">
        <f>IF('WetLitterbags placem_collection'!G203="","",'WetLitterbags placem_collection'!G203)</f>
        <v>42813</v>
      </c>
      <c r="U642" s="227">
        <f t="shared" ref="U642:U661" si="53">IFERROR(T642-S642,"")</f>
        <v>44</v>
      </c>
      <c r="V642" s="225">
        <f t="shared" si="50"/>
        <v>1.2692000000000001</v>
      </c>
      <c r="W642" s="225">
        <f t="shared" si="51"/>
        <v>1.2316263778210548</v>
      </c>
      <c r="X642">
        <f>IFERROR(INDEX(Rainfall_Wet!$O$2:$O$217,MATCH(B642, Rainfall_Wet!$A$2:$A$217,0)),"")</f>
        <v>175.054685654</v>
      </c>
      <c r="Y642" s="231">
        <v>38.691629007962128</v>
      </c>
      <c r="Z642" s="231">
        <v>26.81299763288143</v>
      </c>
      <c r="AA642" s="231">
        <v>34.495373359156439</v>
      </c>
      <c r="AB642" s="232" t="s">
        <v>2675</v>
      </c>
      <c r="AC642" s="231">
        <v>2.5483587974371611</v>
      </c>
      <c r="AD642">
        <f>IF('WetLitterbags placem_collection'!AB203="","",'WetLitterbags placem_collection'!AB203)</f>
        <v>15.2</v>
      </c>
      <c r="AE642">
        <f>IF('WetLitterbags placem_collection'!Z203="","",'WetLitterbags placem_collection'!Z203)</f>
        <v>12.2</v>
      </c>
      <c r="AF642" s="246" t="str">
        <f>IF('WetLitterbags placem_collection'!AA203="","",'WetLitterbags placem_collection'!AA203)</f>
        <v>O</v>
      </c>
      <c r="AG642">
        <f>IF('WetLitterbags placem_collection'!AC203="","",'WetLitterbags placem_collection'!AC203)</f>
        <v>1</v>
      </c>
      <c r="AH642" s="24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placem_collection'!X203)),"YES","NO")</f>
        <v>NO</v>
      </c>
      <c r="AM642" t="str">
        <f>IF(ISNUMBER(SEARCH("H", 'WetLitterbags placem_collection'!X203)),"YES","NO")</f>
        <v>NO</v>
      </c>
      <c r="AN642" t="str">
        <f>IF(ISNUMBER(SEARCH("R", 'WetLitterbags placem_collection'!X203)),"YES","NO")</f>
        <v>YES</v>
      </c>
    </row>
    <row r="643" spans="1:40" ht="15" customHeight="1">
      <c r="A643" s="258" t="s">
        <v>2460</v>
      </c>
      <c r="B643" s="263">
        <f>'Dry_Litterbag Placem_Collection'!A204</f>
        <v>202</v>
      </c>
      <c r="C643" s="263" t="str">
        <f>'Dry_Litterbag Placem_Collection'!B204</f>
        <v>Maswa</v>
      </c>
      <c r="D643" s="263" t="s">
        <v>2659</v>
      </c>
      <c r="E643" s="263" t="s">
        <v>2526</v>
      </c>
      <c r="F643" s="263">
        <v>1</v>
      </c>
      <c r="G643" s="264" t="str">
        <f>'Dry_Litterbag Placem_Collection'!C204</f>
        <v>Dry_W2_CG1</v>
      </c>
      <c r="H643" s="273" t="s">
        <v>3651</v>
      </c>
      <c r="I643" s="266" t="s">
        <v>1147</v>
      </c>
      <c r="J643" s="223" t="str">
        <f>'WetLitterbags placem_collection'!O204</f>
        <v>G770</v>
      </c>
      <c r="K643" s="225">
        <f>IFERROR(INDEX('Green_rooibos initial weight'!$C$5:$C$1749,MATCH(J643, 'Green_rooibos initial weight'!$A$5:$A$1749,0)),"")</f>
        <v>1.958</v>
      </c>
      <c r="L643" s="225">
        <f>IFERROR(K643-(TBIcalc!$H$9+TBIcalc!$H$10),"")</f>
        <v>1.7081999999999999</v>
      </c>
      <c r="M643" s="391">
        <f>AVERAGE(Ashed_controlls!$K$2:$K$11)</f>
        <v>5.5147656768714146</v>
      </c>
      <c r="N643" s="225">
        <f t="shared" ref="N643:N706" si="54">IFERROR(L643-(M643/100)*L643,"")</f>
        <v>1.6139967727076825</v>
      </c>
      <c r="O643" s="225">
        <f>IF(IFERROR(INDEX('Both teabags AfterWet'!$C$3:$C$841,MATCH(J643,'Both teabags AfterWet'!$A$3:$A$841,0)),"")="","",(IFERROR(INDEX('Both teabags AfterWet'!$C$3:$C$841,MATCH(J643,'Both teabags AfterWet'!$A$3:$A$841,0)),"")))</f>
        <v>0.98199999999999998</v>
      </c>
      <c r="P643" s="225">
        <f>IFERROR(IF(O643&gt;0,O643-(TBIcalc!$H$9),""),"")</f>
        <v>0.83139999999999992</v>
      </c>
      <c r="Q643" s="225">
        <f>IFERROR(INDEX('Ashed teabags wet'!$K$2:$K$821,MATCH(J643,'Ashed teabags wet'!$A$2:$A$821,0)),"")</f>
        <v>31.965648854961913</v>
      </c>
      <c r="R643" s="225">
        <f t="shared" si="52"/>
        <v>0.56563759541984659</v>
      </c>
      <c r="S643" s="226">
        <f>'WetLitterbags placem_collection'!E204</f>
        <v>42769</v>
      </c>
      <c r="T643" s="226">
        <f>IF('WetLitterbags placem_collection'!G204="","",'WetLitterbags placem_collection'!G204)</f>
        <v>42814</v>
      </c>
      <c r="U643" s="227">
        <f t="shared" si="53"/>
        <v>45</v>
      </c>
      <c r="V643" s="225">
        <f t="shared" ref="V643:V706" si="55">IFERROR(L643-P643,"")</f>
        <v>0.87680000000000002</v>
      </c>
      <c r="W643" s="225">
        <f t="shared" ref="W643:W706" si="56">IFERROR(N643-R643,"")</f>
        <v>1.048359177287836</v>
      </c>
      <c r="X643">
        <f>IFERROR(INDEX(Rainfall_Wet!$O$2:$O$217,MATCH(B643, Rainfall_Wet!$A$2:$A$217,0)),"")</f>
        <v>175.377105089</v>
      </c>
      <c r="Y643" s="231">
        <v>45.272914521112256</v>
      </c>
      <c r="Z643" s="231">
        <v>23.604531410916575</v>
      </c>
      <c r="AA643" s="231">
        <v>31.122554067971166</v>
      </c>
      <c r="AB643" s="232" t="s">
        <v>2673</v>
      </c>
      <c r="AC643" s="231">
        <v>2.0547560374568752</v>
      </c>
      <c r="AD643">
        <f>IF('WetLitterbags placem_collection'!AB204="","",'WetLitterbags placem_collection'!AB204)</f>
        <v>13.8</v>
      </c>
      <c r="AE643">
        <f>IF('WetLitterbags placem_collection'!Z204="","",'WetLitterbags placem_collection'!Z204)</f>
        <v>17.399999999999999</v>
      </c>
      <c r="AF643" s="246" t="str">
        <f>IF('WetLitterbags placem_collection'!AA204="","",'WetLitterbags placem_collection'!AA204)</f>
        <v>O</v>
      </c>
      <c r="AG643">
        <f>IF('WetLitterbags placem_collection'!AC204="","",'WetLitterbags placem_collection'!AC204)</f>
        <v>1</v>
      </c>
      <c r="AH643" s="24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placem_collection'!X204)),"YES","NO")</f>
        <v>NO</v>
      </c>
      <c r="AM643" t="str">
        <f>IF(ISNUMBER(SEARCH("H", 'WetLitterbags placem_collection'!X204)),"YES","NO")</f>
        <v>NO</v>
      </c>
      <c r="AN643" t="str">
        <f>IF(ISNUMBER(SEARCH("R", 'WetLitterbags placem_collection'!X204)),"YES","NO")</f>
        <v>YES</v>
      </c>
    </row>
    <row r="644" spans="1:40" ht="15" customHeight="1">
      <c r="A644" s="258" t="s">
        <v>2460</v>
      </c>
      <c r="B644" s="263">
        <f>'Dry_Litterbag Placem_Collection'!A205</f>
        <v>203</v>
      </c>
      <c r="C644" s="263" t="str">
        <f>'Dry_Litterbag Placem_Collection'!B205</f>
        <v>Maswa</v>
      </c>
      <c r="D644" s="263" t="s">
        <v>2659</v>
      </c>
      <c r="E644" s="263" t="s">
        <v>2526</v>
      </c>
      <c r="F644" s="263">
        <v>2</v>
      </c>
      <c r="G644" s="264" t="str">
        <f>'Dry_Litterbag Placem_Collection'!C205</f>
        <v>Dry_W1_CG2</v>
      </c>
      <c r="H644" s="273" t="s">
        <v>3651</v>
      </c>
      <c r="I644" s="266" t="s">
        <v>1147</v>
      </c>
      <c r="J644" s="223" t="str">
        <f>'WetLitterbags placem_collection'!O205</f>
        <v>G753</v>
      </c>
      <c r="K644" s="225">
        <f>IFERROR(INDEX('Green_rooibos initial weight'!$C$5:$C$1749,MATCH(J644, 'Green_rooibos initial weight'!$A$5:$A$1749,0)),"")</f>
        <v>2.0649999999999999</v>
      </c>
      <c r="L644" s="225">
        <f>IFERROR(K644-(TBIcalc!$H$9+TBIcalc!$H$10),"")</f>
        <v>1.8151999999999999</v>
      </c>
      <c r="M644" s="391">
        <f>AVERAGE(Ashed_controlls!$K$2:$K$11)</f>
        <v>5.5147656768714146</v>
      </c>
      <c r="N644" s="225">
        <f t="shared" si="54"/>
        <v>1.7150959734334301</v>
      </c>
      <c r="O644" s="225">
        <f>IF(IFERROR(INDEX('Both teabags AfterWet'!$C$3:$C$841,MATCH(J644,'Both teabags AfterWet'!$A$3:$A$841,0)),"")="","",(IFERROR(INDEX('Both teabags AfterWet'!$C$3:$C$841,MATCH(J644,'Both teabags AfterWet'!$A$3:$A$841,0)),"")))</f>
        <v>0.7681</v>
      </c>
      <c r="P644" s="225">
        <f>IFERROR(IF(O644&gt;0,O644-(TBIcalc!$H$9),""),"")</f>
        <v>0.61749999999999994</v>
      </c>
      <c r="Q644" s="225">
        <f>IFERROR(INDEX('Ashed teabags wet'!$K$2:$K$821,MATCH(J644,'Ashed teabags wet'!$A$2:$A$821,0)),"")</f>
        <v>9.4330155544412708</v>
      </c>
      <c r="R644" s="225">
        <f t="shared" si="52"/>
        <v>0.55925112895132512</v>
      </c>
      <c r="S644" s="226">
        <f>'WetLitterbags placem_collection'!E205</f>
        <v>42769</v>
      </c>
      <c r="T644" s="226">
        <f>IF('WetLitterbags placem_collection'!G205="","",'WetLitterbags placem_collection'!G205)</f>
        <v>42814</v>
      </c>
      <c r="U644" s="227">
        <f t="shared" si="53"/>
        <v>45</v>
      </c>
      <c r="V644" s="225">
        <f t="shared" si="55"/>
        <v>1.1977</v>
      </c>
      <c r="W644" s="225">
        <f t="shared" si="56"/>
        <v>1.155844844482105</v>
      </c>
      <c r="X644">
        <f>IFERROR(INDEX(Rainfall_Wet!$O$2:$O$217,MATCH(B644, Rainfall_Wet!$A$2:$A$217,0)),"")</f>
        <v>175.377105089</v>
      </c>
      <c r="Y644" s="231">
        <v>47.96</v>
      </c>
      <c r="Z644" s="231">
        <v>22.919999999999995</v>
      </c>
      <c r="AA644" s="231">
        <v>29.120000000000012</v>
      </c>
      <c r="AB644" s="232" t="s">
        <v>2673</v>
      </c>
      <c r="AC644" s="231">
        <v>2.8831936914736325</v>
      </c>
      <c r="AD644">
        <f>IF('WetLitterbags placem_collection'!AB205="","",'WetLitterbags placem_collection'!AB205)</f>
        <v>5.13</v>
      </c>
      <c r="AE644">
        <f>IF('WetLitterbags placem_collection'!Z205="","",'WetLitterbags placem_collection'!Z205)</f>
        <v>5.13</v>
      </c>
      <c r="AF644" s="246" t="str">
        <f>IF('WetLitterbags placem_collection'!AA205="","",'WetLitterbags placem_collection'!AA205)</f>
        <v>O</v>
      </c>
      <c r="AG644">
        <f>IF('WetLitterbags placem_collection'!AC205="","",'WetLitterbags placem_collection'!AC205)</f>
        <v>1</v>
      </c>
      <c r="AH644" s="24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placem_collection'!X205)),"YES","NO")</f>
        <v>NO</v>
      </c>
      <c r="AM644" t="str">
        <f>IF(ISNUMBER(SEARCH("H", 'WetLitterbags placem_collection'!X205)),"YES","NO")</f>
        <v>NO</v>
      </c>
      <c r="AN644" t="str">
        <f>IF(ISNUMBER(SEARCH("R", 'WetLitterbags placem_collection'!X205)),"YES","NO")</f>
        <v>YES</v>
      </c>
    </row>
    <row r="645" spans="1:40" ht="15" customHeight="1">
      <c r="A645" s="258" t="s">
        <v>2460</v>
      </c>
      <c r="B645" s="263">
        <f>'Dry_Litterbag Placem_Collection'!A206</f>
        <v>204</v>
      </c>
      <c r="C645" s="263" t="str">
        <f>'Dry_Litterbag Placem_Collection'!B206</f>
        <v>Maswa</v>
      </c>
      <c r="D645" s="263" t="s">
        <v>2659</v>
      </c>
      <c r="E645" s="263" t="s">
        <v>2526</v>
      </c>
      <c r="F645" s="263">
        <v>3</v>
      </c>
      <c r="G645" s="264" t="str">
        <f>'Dry_Litterbag Placem_Collection'!C206</f>
        <v>Dry_W4_CG3</v>
      </c>
      <c r="H645" s="273" t="s">
        <v>3651</v>
      </c>
      <c r="I645" s="266" t="s">
        <v>1147</v>
      </c>
      <c r="J645" s="223" t="str">
        <f>'WetLitterbags placem_collection'!O206</f>
        <v>G640</v>
      </c>
      <c r="K645" s="225">
        <f>IFERROR(INDEX('Green_rooibos initial weight'!$C$5:$C$1749,MATCH(J645, 'Green_rooibos initial weight'!$A$5:$A$1749,0)),"")</f>
        <v>2.0640000000000001</v>
      </c>
      <c r="L645" s="225">
        <f>IFERROR(K645-(TBIcalc!$H$9+TBIcalc!$H$10),"")</f>
        <v>1.8142</v>
      </c>
      <c r="M645" s="391">
        <f>AVERAGE(Ashed_controlls!$K$2:$K$11)</f>
        <v>5.5147656768714146</v>
      </c>
      <c r="N645" s="225">
        <f t="shared" si="54"/>
        <v>1.7141511210901987</v>
      </c>
      <c r="O645" s="225">
        <f>IF(IFERROR(INDEX('Both teabags AfterWet'!$C$3:$C$841,MATCH(J645,'Both teabags AfterWet'!$A$3:$A$841,0)),"")="","",(IFERROR(INDEX('Both teabags AfterWet'!$C$3:$C$841,MATCH(J645,'Both teabags AfterWet'!$A$3:$A$841,0)),"")))</f>
        <v>0.72450000000000003</v>
      </c>
      <c r="P645" s="225">
        <f>IFERROR(IF(O645&gt;0,O645-(TBIcalc!$H$9),""),"")</f>
        <v>0.57390000000000008</v>
      </c>
      <c r="Q645" s="225">
        <f>IFERROR(INDEX('Ashed teabags wet'!$K$2:$K$821,MATCH(J645,'Ashed teabags wet'!$A$2:$A$821,0)),"")</f>
        <v>11.573849878934253</v>
      </c>
      <c r="R645" s="225">
        <f t="shared" si="52"/>
        <v>0.50747767554479639</v>
      </c>
      <c r="S645" s="226">
        <f>'WetLitterbags placem_collection'!E206</f>
        <v>42769</v>
      </c>
      <c r="T645" s="226">
        <f>IF('WetLitterbags placem_collection'!G206="","",'WetLitterbags placem_collection'!G206)</f>
        <v>42813</v>
      </c>
      <c r="U645" s="227">
        <f t="shared" si="53"/>
        <v>44</v>
      </c>
      <c r="V645" s="225">
        <f t="shared" si="55"/>
        <v>1.2403</v>
      </c>
      <c r="W645" s="225">
        <f t="shared" si="56"/>
        <v>1.2066734455454022</v>
      </c>
      <c r="X645">
        <f>IFERROR(INDEX(Rainfall_Wet!$O$2:$O$217,MATCH(B645, Rainfall_Wet!$A$2:$A$217,0)),"")</f>
        <v>175.054685654</v>
      </c>
      <c r="Y645" s="231">
        <v>28.145762029394</v>
      </c>
      <c r="Z645" s="231">
        <v>25.085564727199518</v>
      </c>
      <c r="AA645" s="231">
        <v>46.768673243406489</v>
      </c>
      <c r="AB645" s="232" t="s">
        <v>2670</v>
      </c>
      <c r="AC645" s="231">
        <v>2.1716214884179394</v>
      </c>
      <c r="AD645">
        <f>IF('WetLitterbags placem_collection'!AB206="","",'WetLitterbags placem_collection'!AB206)</f>
        <v>7.9</v>
      </c>
      <c r="AE645">
        <f>IF('WetLitterbags placem_collection'!Z206="","",'WetLitterbags placem_collection'!Z206)</f>
        <v>7.9</v>
      </c>
      <c r="AF645" s="246" t="str">
        <f>IF('WetLitterbags placem_collection'!AA206="","",'WetLitterbags placem_collection'!AA206)</f>
        <v>O</v>
      </c>
      <c r="AG645">
        <f>IF('WetLitterbags placem_collection'!AC206="","",'WetLitterbags placem_collection'!AC206)</f>
        <v>1</v>
      </c>
      <c r="AH645" s="24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placem_collection'!X206)),"YES","NO")</f>
        <v>NO</v>
      </c>
      <c r="AM645" t="str">
        <f>IF(ISNUMBER(SEARCH("H", 'WetLitterbags placem_collection'!X206)),"YES","NO")</f>
        <v>NO</v>
      </c>
      <c r="AN645" t="str">
        <f>IF(ISNUMBER(SEARCH("R", 'WetLitterbags placem_collection'!X206)),"YES","NO")</f>
        <v>YES</v>
      </c>
    </row>
    <row r="646" spans="1:40" ht="15" customHeight="1">
      <c r="A646" s="258" t="s">
        <v>2460</v>
      </c>
      <c r="B646" s="263">
        <f>'Dry_Litterbag Placem_Collection'!A207</f>
        <v>205</v>
      </c>
      <c r="C646" s="263" t="str">
        <f>'Dry_Litterbag Placem_Collection'!B207</f>
        <v xml:space="preserve">Mwantimba
</v>
      </c>
      <c r="D646" s="263" t="s">
        <v>2659</v>
      </c>
      <c r="E646" s="263" t="s">
        <v>2526</v>
      </c>
      <c r="F646" s="263">
        <v>2</v>
      </c>
      <c r="G646" s="264" t="str">
        <f>'Dry_Litterbag Placem_Collection'!C207</f>
        <v>Wet_Ag1_CG2</v>
      </c>
      <c r="H646" s="273" t="s">
        <v>3651</v>
      </c>
      <c r="I646" s="266" t="s">
        <v>1147</v>
      </c>
      <c r="J646" s="223" t="str">
        <f>'WetLitterbags placem_collection'!O207</f>
        <v>G668</v>
      </c>
      <c r="K646" s="225">
        <f>IFERROR(INDEX('Green_rooibos initial weight'!$C$5:$C$1749,MATCH(J646, 'Green_rooibos initial weight'!$A$5:$A$1749,0)),"")</f>
        <v>2.0299999999999998</v>
      </c>
      <c r="L646" s="225">
        <f>IFERROR(K646-(TBIcalc!$H$9+TBIcalc!$H$10),"")</f>
        <v>1.7801999999999998</v>
      </c>
      <c r="M646" s="391">
        <f>AVERAGE(Ashed_controlls!$K$2:$K$11)</f>
        <v>5.5147656768714146</v>
      </c>
      <c r="N646" s="225">
        <f t="shared" si="54"/>
        <v>1.6820261414203348</v>
      </c>
      <c r="O646" s="225">
        <f>IF(IFERROR(INDEX('Both teabags AfterWet'!$C$3:$C$841,MATCH(J646,'Both teabags AfterWet'!$A$3:$A$841,0)),"")="","",(IFERROR(INDEX('Both teabags AfterWet'!$C$3:$C$841,MATCH(J646,'Both teabags AfterWet'!$A$3:$A$841,0)),"")))</f>
        <v>0.71</v>
      </c>
      <c r="P646" s="225">
        <f>IFERROR(IF(O646&gt;0,O646-(TBIcalc!$H$9),""),"")</f>
        <v>0.5593999999999999</v>
      </c>
      <c r="Q646" s="225">
        <f>IFERROR(INDEX('Ashed teabags wet'!$K$2:$K$821,MATCH(J646,'Ashed teabags wet'!$A$2:$A$821,0)),"")</f>
        <v>17.813567593948214</v>
      </c>
      <c r="R646" s="225">
        <f t="shared" si="52"/>
        <v>0.45975090287945358</v>
      </c>
      <c r="S646" s="226">
        <f>'WetLitterbags placem_collection'!E207</f>
        <v>42769</v>
      </c>
      <c r="T646" s="226">
        <f>IF('WetLitterbags placem_collection'!G207="","",'WetLitterbags placem_collection'!G207)</f>
        <v>42814</v>
      </c>
      <c r="U646" s="227">
        <f t="shared" si="53"/>
        <v>45</v>
      </c>
      <c r="V646" s="225">
        <f t="shared" si="55"/>
        <v>1.2207999999999999</v>
      </c>
      <c r="W646" s="225">
        <f t="shared" si="56"/>
        <v>1.2222752385408813</v>
      </c>
      <c r="X646">
        <f>IFERROR(INDEX(Rainfall_Wet!$O$2:$O$217,MATCH(B646, Rainfall_Wet!$A$2:$A$217,0)),"")</f>
        <v>175.377105089</v>
      </c>
      <c r="Y646" s="231">
        <v>45.96</v>
      </c>
      <c r="Z646" s="231">
        <v>14.920000000000003</v>
      </c>
      <c r="AA646" s="231">
        <v>39.119999999999997</v>
      </c>
      <c r="AB646" s="232" t="s">
        <v>2673</v>
      </c>
      <c r="AC646" s="231">
        <v>2.0374568753080333</v>
      </c>
      <c r="AD646">
        <f>IF('WetLitterbags placem_collection'!AB207="","",'WetLitterbags placem_collection'!AB207)</f>
        <v>5.13</v>
      </c>
      <c r="AE646">
        <f>IF('WetLitterbags placem_collection'!Z207="","",'WetLitterbags placem_collection'!Z207)</f>
        <v>5.13</v>
      </c>
      <c r="AF646" s="246" t="str">
        <f>IF('WetLitterbags placem_collection'!AA207="","",'WetLitterbags placem_collection'!AA207)</f>
        <v>O</v>
      </c>
      <c r="AG646">
        <f>IF('WetLitterbags placem_collection'!AC207="","",'WetLitterbags placem_collection'!AC207)</f>
        <v>1</v>
      </c>
      <c r="AH646" s="24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placem_collection'!X207)),"YES","NO")</f>
        <v>NO</v>
      </c>
      <c r="AM646" t="str">
        <f>IF(ISNUMBER(SEARCH("H", 'WetLitterbags placem_collection'!X207)),"YES","NO")</f>
        <v>NO</v>
      </c>
      <c r="AN646" t="str">
        <f>IF(ISNUMBER(SEARCH("R", 'WetLitterbags placem_collection'!X207)),"YES","NO")</f>
        <v>YES</v>
      </c>
    </row>
    <row r="647" spans="1:40" ht="15" customHeight="1">
      <c r="A647" s="258" t="s">
        <v>2460</v>
      </c>
      <c r="B647" s="263">
        <f>'Dry_Litterbag Placem_Collection'!A208</f>
        <v>206</v>
      </c>
      <c r="C647" s="263" t="str">
        <f>'Dry_Litterbag Placem_Collection'!B208</f>
        <v xml:space="preserve">Mwantimba
</v>
      </c>
      <c r="D647" s="263" t="s">
        <v>2659</v>
      </c>
      <c r="E647" s="263" t="s">
        <v>2526</v>
      </c>
      <c r="F647" s="263">
        <v>1</v>
      </c>
      <c r="G647" s="264" t="str">
        <f>'Dry_Litterbag Placem_Collection'!C208</f>
        <v>Wet_Ag2_CG1</v>
      </c>
      <c r="H647" s="273" t="s">
        <v>3651</v>
      </c>
      <c r="I647" s="266" t="s">
        <v>1147</v>
      </c>
      <c r="J647" s="223" t="str">
        <f>'WetLitterbags placem_collection'!O208</f>
        <v>G891</v>
      </c>
      <c r="K647" s="225">
        <f>IFERROR(INDEX('Green_rooibos initial weight'!$C$5:$C$1749,MATCH(J647, 'Green_rooibos initial weight'!$A$5:$A$1749,0)),"")</f>
        <v>2.0169999999999999</v>
      </c>
      <c r="L647" s="225">
        <f>IFERROR(K647-(TBIcalc!$H$9+TBIcalc!$H$10),"")</f>
        <v>1.7671999999999999</v>
      </c>
      <c r="M647" s="391">
        <f>AVERAGE(Ashed_controlls!$K$2:$K$11)</f>
        <v>5.5147656768714146</v>
      </c>
      <c r="N647" s="225">
        <f t="shared" si="54"/>
        <v>1.6697430609583281</v>
      </c>
      <c r="O647" s="225">
        <f>IF(IFERROR(INDEX('Both teabags AfterWet'!$C$3:$C$841,MATCH(J647,'Both teabags AfterWet'!$A$3:$A$841,0)),"")="","",(IFERROR(INDEX('Both teabags AfterWet'!$C$3:$C$841,MATCH(J647,'Both teabags AfterWet'!$A$3:$A$841,0)),"")))</f>
        <v>0.70199999999999996</v>
      </c>
      <c r="P647" s="225">
        <f>IFERROR(IF(O647&gt;0,O647-(TBIcalc!$H$9),""),"")</f>
        <v>0.55139999999999989</v>
      </c>
      <c r="Q647" s="225">
        <f>IFERROR(INDEX('Ashed teabags wet'!$K$2:$K$821,MATCH(J647,'Ashed teabags wet'!$A$2:$A$821,0)),"")</f>
        <v>13.415841584158834</v>
      </c>
      <c r="R647" s="225">
        <f t="shared" si="52"/>
        <v>0.47742504950494813</v>
      </c>
      <c r="S647" s="226">
        <f>'WetLitterbags placem_collection'!E208</f>
        <v>42769</v>
      </c>
      <c r="T647" s="226">
        <f>IF('WetLitterbags placem_collection'!G208="","",'WetLitterbags placem_collection'!G208)</f>
        <v>42814</v>
      </c>
      <c r="U647" s="227">
        <f t="shared" si="53"/>
        <v>45</v>
      </c>
      <c r="V647" s="225">
        <f t="shared" si="55"/>
        <v>1.2158</v>
      </c>
      <c r="W647" s="225">
        <f t="shared" si="56"/>
        <v>1.19231801145338</v>
      </c>
      <c r="X647">
        <f>IFERROR(INDEX(Rainfall_Wet!$O$2:$O$217,MATCH(B647, Rainfall_Wet!$A$2:$A$217,0)),"")</f>
        <v>175.377105089</v>
      </c>
      <c r="Y647" s="231">
        <v>34.344660194174757</v>
      </c>
      <c r="Z647" s="231">
        <v>19.22727272727273</v>
      </c>
      <c r="AA647" s="231">
        <v>46.428067078552509</v>
      </c>
      <c r="AB647" s="232" t="s">
        <v>2670</v>
      </c>
      <c r="AC647" s="231">
        <v>1.7452932479053718</v>
      </c>
      <c r="AD647">
        <f>IF('WetLitterbags placem_collection'!AB208="","",'WetLitterbags placem_collection'!AB208)</f>
        <v>13.8</v>
      </c>
      <c r="AE647">
        <f>IF('WetLitterbags placem_collection'!Z208="","",'WetLitterbags placem_collection'!Z208)</f>
        <v>17.399999999999999</v>
      </c>
      <c r="AF647" s="246" t="str">
        <f>IF('WetLitterbags placem_collection'!AA208="","",'WetLitterbags placem_collection'!AA208)</f>
        <v>O</v>
      </c>
      <c r="AG647">
        <f>IF('WetLitterbags placem_collection'!AC208="","",'WetLitterbags placem_collection'!AC208)</f>
        <v>1</v>
      </c>
      <c r="AH647" s="24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placem_collection'!X208)),"YES","NO")</f>
        <v>NO</v>
      </c>
      <c r="AM647" t="str">
        <f>IF(ISNUMBER(SEARCH("H", 'WetLitterbags placem_collection'!X208)),"YES","NO")</f>
        <v>NO</v>
      </c>
      <c r="AN647" t="str">
        <f>IF(ISNUMBER(SEARCH("R", 'WetLitterbags placem_collection'!X208)),"YES","NO")</f>
        <v>YES</v>
      </c>
    </row>
    <row r="648" spans="1:40" ht="15" customHeight="1">
      <c r="A648" s="258" t="s">
        <v>2460</v>
      </c>
      <c r="B648" s="263">
        <f>'Dry_Litterbag Placem_Collection'!A209</f>
        <v>207</v>
      </c>
      <c r="C648" s="263" t="str">
        <f>'Dry_Litterbag Placem_Collection'!B209</f>
        <v xml:space="preserve">Mwantimba
</v>
      </c>
      <c r="D648" s="263" t="s">
        <v>2659</v>
      </c>
      <c r="E648" s="263" t="s">
        <v>2526</v>
      </c>
      <c r="F648" s="263">
        <v>4</v>
      </c>
      <c r="G648" s="264" t="str">
        <f>'Dry_Litterbag Placem_Collection'!C209</f>
        <v>Wet_Ag3_CG4</v>
      </c>
      <c r="H648" s="273" t="s">
        <v>3651</v>
      </c>
      <c r="I648" s="266" t="s">
        <v>1147</v>
      </c>
      <c r="J648" s="223" t="str">
        <f>'WetLitterbags placem_collection'!O209</f>
        <v>G540</v>
      </c>
      <c r="K648" s="225">
        <f>IFERROR(INDEX('Green_rooibos initial weight'!$C$5:$C$1749,MATCH(J648, 'Green_rooibos initial weight'!$A$5:$A$1749,0)),"")</f>
        <v>2.0830000000000002</v>
      </c>
      <c r="L648" s="225">
        <f>IFERROR(K648-(TBIcalc!$H$9+TBIcalc!$H$10),"")</f>
        <v>1.8332000000000002</v>
      </c>
      <c r="M648" s="391">
        <f>AVERAGE(Ashed_controlls!$K$2:$K$11)</f>
        <v>5.5147656768714146</v>
      </c>
      <c r="N648" s="225">
        <f t="shared" si="54"/>
        <v>1.7321033156115935</v>
      </c>
      <c r="O648" s="225">
        <f>IF(IFERROR(INDEX('Both teabags AfterWet'!$C$3:$C$841,MATCH(J648,'Both teabags AfterWet'!$A$3:$A$841,0)),"")="","",(IFERROR(INDEX('Both teabags AfterWet'!$C$3:$C$841,MATCH(J648,'Both teabags AfterWet'!$A$3:$A$841,0)),"")))</f>
        <v>0.73299999999999998</v>
      </c>
      <c r="P648" s="225">
        <f>IFERROR(IF(O648&gt;0,O648-(TBIcalc!$H$9),""),"")</f>
        <v>0.58240000000000003</v>
      </c>
      <c r="Q648" s="225">
        <f>IFERROR(INDEX('Ashed teabags wet'!$K$2:$K$821,MATCH(J648,'Ashed teabags wet'!$A$2:$A$821,0)),"")</f>
        <v>21.550000000000765</v>
      </c>
      <c r="R648" s="225">
        <f t="shared" si="52"/>
        <v>0.45689279999999555</v>
      </c>
      <c r="S648" s="226">
        <f>'WetLitterbags placem_collection'!E209</f>
        <v>42769</v>
      </c>
      <c r="T648" s="226">
        <f>IF('WetLitterbags placem_collection'!G209="","",'WetLitterbags placem_collection'!G209)</f>
        <v>42813</v>
      </c>
      <c r="U648" s="227">
        <f t="shared" si="53"/>
        <v>44</v>
      </c>
      <c r="V648" s="225">
        <f t="shared" si="55"/>
        <v>1.2508000000000001</v>
      </c>
      <c r="W648" s="225">
        <f t="shared" si="56"/>
        <v>1.2752105156115978</v>
      </c>
      <c r="X648">
        <f>IFERROR(INDEX(Rainfall_Wet!$O$2:$O$217,MATCH(B648, Rainfall_Wet!$A$2:$A$217,0)),"")</f>
        <v>175.054685654</v>
      </c>
      <c r="Y648" s="231">
        <v>27.96</v>
      </c>
      <c r="Z648" s="231">
        <v>4.9200000000000017</v>
      </c>
      <c r="AA648" s="231">
        <v>67.12</v>
      </c>
      <c r="AB648" s="232" t="s">
        <v>2670</v>
      </c>
      <c r="AC648" s="231">
        <v>0.88610152784622953</v>
      </c>
      <c r="AD648">
        <f>IF('WetLitterbags placem_collection'!AB209="","",'WetLitterbags placem_collection'!AB209)</f>
        <v>15.2</v>
      </c>
      <c r="AE648">
        <f>IF('WetLitterbags placem_collection'!Z209="","",'WetLitterbags placem_collection'!Z209)</f>
        <v>12.2</v>
      </c>
      <c r="AF648" s="246" t="str">
        <f>IF('WetLitterbags placem_collection'!AA209="","",'WetLitterbags placem_collection'!AA209)</f>
        <v>O</v>
      </c>
      <c r="AG648">
        <f>IF('WetLitterbags placem_collection'!AC209="","",'WetLitterbags placem_collection'!AC209)</f>
        <v>1</v>
      </c>
      <c r="AH648" s="24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placem_collection'!X209)),"YES","NO")</f>
        <v>NO</v>
      </c>
      <c r="AM648" t="str">
        <f>IF(ISNUMBER(SEARCH("H", 'WetLitterbags placem_collection'!X209)),"YES","NO")</f>
        <v>NO</v>
      </c>
      <c r="AN648" t="str">
        <f>IF(ISNUMBER(SEARCH("R", 'WetLitterbags placem_collection'!X209)),"YES","NO")</f>
        <v>YES</v>
      </c>
    </row>
    <row r="649" spans="1:40" ht="15" customHeight="1">
      <c r="A649" s="258" t="s">
        <v>2460</v>
      </c>
      <c r="B649" s="263">
        <f>'Dry_Litterbag Placem_Collection'!A210</f>
        <v>208</v>
      </c>
      <c r="C649" s="263" t="str">
        <f>'Dry_Litterbag Placem_Collection'!B210</f>
        <v xml:space="preserve">Mwantimba
</v>
      </c>
      <c r="D649" s="263" t="s">
        <v>2659</v>
      </c>
      <c r="E649" s="263" t="s">
        <v>2526</v>
      </c>
      <c r="F649" s="263">
        <v>3</v>
      </c>
      <c r="G649" s="264" t="str">
        <f>'Dry_Litterbag Placem_Collection'!C210</f>
        <v>Wet_Ag4_CG3</v>
      </c>
      <c r="H649" s="273" t="s">
        <v>3651</v>
      </c>
      <c r="I649" s="266" t="s">
        <v>1147</v>
      </c>
      <c r="J649" s="223" t="str">
        <f>'WetLitterbags placem_collection'!O210</f>
        <v>G508</v>
      </c>
      <c r="K649" s="225">
        <f>IFERROR(INDEX('Green_rooibos initial weight'!$C$5:$C$1749,MATCH(J649, 'Green_rooibos initial weight'!$A$5:$A$1749,0)),"")</f>
        <v>1.9910000000000001</v>
      </c>
      <c r="L649" s="225">
        <f>IFERROR(K649-(TBIcalc!$H$9+TBIcalc!$H$10),"")</f>
        <v>1.7412000000000001</v>
      </c>
      <c r="M649" s="391">
        <f>AVERAGE(Ashed_controlls!$K$2:$K$11)</f>
        <v>5.5147656768714146</v>
      </c>
      <c r="N649" s="225">
        <f t="shared" si="54"/>
        <v>1.645176900034315</v>
      </c>
      <c r="O649" s="225">
        <f>IF(IFERROR(INDEX('Both teabags AfterWet'!$C$3:$C$841,MATCH(J649,'Both teabags AfterWet'!$A$3:$A$841,0)),"")="","",(IFERROR(INDEX('Both teabags AfterWet'!$C$3:$C$841,MATCH(J649,'Both teabags AfterWet'!$A$3:$A$841,0)),"")))</f>
        <v>0.84599999999999997</v>
      </c>
      <c r="P649" s="225">
        <f>IFERROR(IF(O649&gt;0,O649-(TBIcalc!$H$9),""),"")</f>
        <v>0.69540000000000002</v>
      </c>
      <c r="Q649" s="225">
        <f>IFERROR(INDEX('Ashed teabags wet'!$K$2:$K$821,MATCH(J649,'Ashed teabags wet'!$A$2:$A$821,0)),"")</f>
        <v>12.276341948309753</v>
      </c>
      <c r="R649" s="225">
        <f t="shared" si="52"/>
        <v>0.61003031809145403</v>
      </c>
      <c r="S649" s="226">
        <f>'WetLitterbags placem_collection'!E210</f>
        <v>42769</v>
      </c>
      <c r="T649" s="226">
        <f>IF('WetLitterbags placem_collection'!G210="","",'WetLitterbags placem_collection'!G210)</f>
        <v>42813</v>
      </c>
      <c r="U649" s="227">
        <f t="shared" si="53"/>
        <v>44</v>
      </c>
      <c r="V649" s="225">
        <f t="shared" si="55"/>
        <v>1.0458000000000001</v>
      </c>
      <c r="W649" s="225">
        <f t="shared" si="56"/>
        <v>1.0351465819428611</v>
      </c>
      <c r="X649">
        <f>IFERROR(INDEX(Rainfall_Wet!$O$2:$O$217,MATCH(B649, Rainfall_Wet!$A$2:$A$217,0)),"")</f>
        <v>175.054685654</v>
      </c>
      <c r="Y649" s="231">
        <v>17.96</v>
      </c>
      <c r="Z649" s="231">
        <v>4.9199999999999982</v>
      </c>
      <c r="AA649" s="231">
        <v>77.12</v>
      </c>
      <c r="AB649" s="232" t="s">
        <v>2671</v>
      </c>
      <c r="AC649" s="231">
        <v>2.0220798422868409</v>
      </c>
      <c r="AD649">
        <f>IF('WetLitterbags placem_collection'!AB210="","",'WetLitterbags placem_collection'!AB210)</f>
        <v>7.9</v>
      </c>
      <c r="AE649">
        <f>IF('WetLitterbags placem_collection'!Z210="","",'WetLitterbags placem_collection'!Z210)</f>
        <v>7.9</v>
      </c>
      <c r="AF649" s="246" t="str">
        <f>IF('WetLitterbags placem_collection'!AA210="","",'WetLitterbags placem_collection'!AA210)</f>
        <v>O</v>
      </c>
      <c r="AG649">
        <f>IF('WetLitterbags placem_collection'!AC210="","",'WetLitterbags placem_collection'!AC210)</f>
        <v>1</v>
      </c>
      <c r="AH649" s="24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placem_collection'!X210)),"YES","NO")</f>
        <v>NO</v>
      </c>
      <c r="AM649" t="str">
        <f>IF(ISNUMBER(SEARCH("H", 'WetLitterbags placem_collection'!X210)),"YES","NO")</f>
        <v>NO</v>
      </c>
      <c r="AN649" t="str">
        <f>IF(ISNUMBER(SEARCH("R", 'WetLitterbags placem_collection'!X210)),"YES","NO")</f>
        <v>YES</v>
      </c>
    </row>
    <row r="650" spans="1:40" ht="15" customHeight="1">
      <c r="A650" s="258" t="s">
        <v>2460</v>
      </c>
      <c r="B650" s="263">
        <f>'Dry_Litterbag Placem_Collection'!A211</f>
        <v>209</v>
      </c>
      <c r="C650" s="263" t="str">
        <f>'Dry_Litterbag Placem_Collection'!B211</f>
        <v xml:space="preserve">Mwantimba
</v>
      </c>
      <c r="D650" s="263" t="s">
        <v>2659</v>
      </c>
      <c r="E650" s="263" t="s">
        <v>2526</v>
      </c>
      <c r="F650" s="263">
        <v>2</v>
      </c>
      <c r="G650" s="264" t="str">
        <f>'Dry_Litterbag Placem_Collection'!C211</f>
        <v>Wet_P1_CG2</v>
      </c>
      <c r="H650" s="273" t="s">
        <v>3651</v>
      </c>
      <c r="I650" s="266" t="s">
        <v>1147</v>
      </c>
      <c r="J650" s="223" t="str">
        <f>'WetLitterbags placem_collection'!O211</f>
        <v>G637</v>
      </c>
      <c r="K650" s="225">
        <f>IFERROR(INDEX('Green_rooibos initial weight'!$C$5:$C$1749,MATCH(J650, 'Green_rooibos initial weight'!$A$5:$A$1749,0)),"")</f>
        <v>2.1110000000000002</v>
      </c>
      <c r="L650" s="225">
        <f>IFERROR(K650-(TBIcalc!$H$9+TBIcalc!$H$10),"")</f>
        <v>1.8612000000000002</v>
      </c>
      <c r="M650" s="391">
        <f>AVERAGE(Ashed_controlls!$K$2:$K$11)</f>
        <v>5.5147656768714146</v>
      </c>
      <c r="N650" s="225">
        <f t="shared" si="54"/>
        <v>1.7585591812220693</v>
      </c>
      <c r="O650" s="225">
        <f>IF(IFERROR(INDEX('Both teabags AfterWet'!$C$3:$C$841,MATCH(J650,'Both teabags AfterWet'!$A$3:$A$841,0)),"")="","",(IFERROR(INDEX('Both teabags AfterWet'!$C$3:$C$841,MATCH(J650,'Both teabags AfterWet'!$A$3:$A$841,0)),"")))</f>
        <v>0.86399999999999999</v>
      </c>
      <c r="P650" s="225">
        <f>IFERROR(IF(O650&gt;0,O650-(TBIcalc!$H$9),""),"")</f>
        <v>0.71340000000000003</v>
      </c>
      <c r="Q650" s="225">
        <f>IFERROR(INDEX('Ashed teabags wet'!$K$2:$K$821,MATCH(J650,'Ashed teabags wet'!$A$2:$A$821,0)),"")</f>
        <v>17.471937530502561</v>
      </c>
      <c r="R650" s="225">
        <f t="shared" si="52"/>
        <v>0.5887551976573947</v>
      </c>
      <c r="S650" s="226">
        <f>'WetLitterbags placem_collection'!E211</f>
        <v>42769</v>
      </c>
      <c r="T650" s="226">
        <f>IF('WetLitterbags placem_collection'!G211="","",'WetLitterbags placem_collection'!G211)</f>
        <v>42814</v>
      </c>
      <c r="U650" s="227">
        <f t="shared" si="53"/>
        <v>45</v>
      </c>
      <c r="V650" s="225">
        <f t="shared" si="55"/>
        <v>1.1478000000000002</v>
      </c>
      <c r="W650" s="225">
        <f t="shared" si="56"/>
        <v>1.1698039835646745</v>
      </c>
      <c r="X650">
        <f>IFERROR(INDEX(Rainfall_Wet!$O$2:$O$217,MATCH(B650, Rainfall_Wet!$A$2:$A$217,0)),"")</f>
        <v>175.377105089</v>
      </c>
      <c r="Y650" s="231">
        <v>31.214836424255054</v>
      </c>
      <c r="Z650" s="231">
        <v>11.377370285476141</v>
      </c>
      <c r="AA650" s="231">
        <v>57.407793290268799</v>
      </c>
      <c r="AB650" s="232" t="s">
        <v>2670</v>
      </c>
      <c r="AC650" s="231">
        <v>1.7337604731394776</v>
      </c>
      <c r="AD650">
        <f>IF('WetLitterbags placem_collection'!AB211="","",'WetLitterbags placem_collection'!AB211)</f>
        <v>5.13</v>
      </c>
      <c r="AE650">
        <f>IF('WetLitterbags placem_collection'!Z211="","",'WetLitterbags placem_collection'!Z211)</f>
        <v>5.13</v>
      </c>
      <c r="AF650" s="246" t="str">
        <f>IF('WetLitterbags placem_collection'!AA211="","",'WetLitterbags placem_collection'!AA211)</f>
        <v>O</v>
      </c>
      <c r="AG650">
        <f>IF('WetLitterbags placem_collection'!AC211="","",'WetLitterbags placem_collection'!AC211)</f>
        <v>1</v>
      </c>
      <c r="AH650" s="24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placem_collection'!X211)),"YES","NO")</f>
        <v>YES</v>
      </c>
      <c r="AM650" t="str">
        <f>IF(ISNUMBER(SEARCH("H", 'WetLitterbags placem_collection'!X211)),"YES","NO")</f>
        <v>NO</v>
      </c>
      <c r="AN650" t="str">
        <f>IF(ISNUMBER(SEARCH("R", 'WetLitterbags placem_collection'!X211)),"YES","NO")</f>
        <v>YES</v>
      </c>
    </row>
    <row r="651" spans="1:40" ht="15" customHeight="1">
      <c r="A651" s="258" t="s">
        <v>2460</v>
      </c>
      <c r="B651" s="263">
        <f>'Dry_Litterbag Placem_Collection'!A212</f>
        <v>210</v>
      </c>
      <c r="C651" s="263" t="str">
        <f>'Dry_Litterbag Placem_Collection'!B212</f>
        <v xml:space="preserve">Mwantimba
</v>
      </c>
      <c r="D651" s="263" t="s">
        <v>2659</v>
      </c>
      <c r="E651" s="263" t="s">
        <v>2526</v>
      </c>
      <c r="F651" s="263">
        <v>4</v>
      </c>
      <c r="G651" s="264" t="str">
        <f>'Dry_Litterbag Placem_Collection'!C212</f>
        <v>Wet_P2_CG4</v>
      </c>
      <c r="H651" s="273" t="s">
        <v>3651</v>
      </c>
      <c r="I651" s="266" t="s">
        <v>1147</v>
      </c>
      <c r="J651" s="223" t="str">
        <f>'WetLitterbags placem_collection'!O212</f>
        <v>G720</v>
      </c>
      <c r="K651" s="225">
        <f>IFERROR(INDEX('Green_rooibos initial weight'!$C$5:$C$1749,MATCH(J651, 'Green_rooibos initial weight'!$A$5:$A$1749,0)),"")</f>
        <v>2.0350000000000001</v>
      </c>
      <c r="L651" s="225">
        <f>IFERROR(K651-(TBIcalc!$H$9+TBIcalc!$H$10),"")</f>
        <v>1.7852000000000001</v>
      </c>
      <c r="M651" s="391">
        <f>AVERAGE(Ashed_controlls!$K$2:$K$11)</f>
        <v>5.5147656768714146</v>
      </c>
      <c r="N651" s="225">
        <f t="shared" si="54"/>
        <v>1.6867504031364917</v>
      </c>
      <c r="O651" s="225">
        <f>IF(IFERROR(INDEX('Both teabags AfterWet'!$C$3:$C$841,MATCH(J651,'Both teabags AfterWet'!$A$3:$A$841,0)),"")="","",(IFERROR(INDEX('Both teabags AfterWet'!$C$3:$C$841,MATCH(J651,'Both teabags AfterWet'!$A$3:$A$841,0)),"")))</f>
        <v>0.72160000000000002</v>
      </c>
      <c r="P651" s="225">
        <f>IFERROR(IF(O651&gt;0,O651-(TBIcalc!$H$9),""),"")</f>
        <v>0.57099999999999995</v>
      </c>
      <c r="Q651" s="225">
        <f>IFERROR(INDEX('Ashed teabags wet'!$K$2:$K$821,MATCH(J651,'Ashed teabags wet'!$A$2:$A$821,0)),"")</f>
        <v>16.057692307692367</v>
      </c>
      <c r="R651" s="225">
        <f t="shared" ref="R651:R714" si="57">IFERROR(P651-(Q651/100)*P651,"")</f>
        <v>0.47931057692307655</v>
      </c>
      <c r="S651" s="226">
        <f>'WetLitterbags placem_collection'!E212</f>
        <v>42769</v>
      </c>
      <c r="T651" s="226">
        <f>IF('WetLitterbags placem_collection'!G212="","",'WetLitterbags placem_collection'!G212)</f>
        <v>42813</v>
      </c>
      <c r="U651" s="227">
        <f t="shared" si="53"/>
        <v>44</v>
      </c>
      <c r="V651" s="225">
        <f t="shared" si="55"/>
        <v>1.2142000000000002</v>
      </c>
      <c r="W651" s="225">
        <f t="shared" si="56"/>
        <v>1.2074398262134152</v>
      </c>
      <c r="X651">
        <f>IFERROR(INDEX(Rainfall_Wet!$O$2:$O$217,MATCH(B651, Rainfall_Wet!$A$2:$A$217,0)),"")</f>
        <v>175.054685654</v>
      </c>
      <c r="Y651" s="231">
        <v>33.96</v>
      </c>
      <c r="Z651" s="231">
        <v>8.9200000000000017</v>
      </c>
      <c r="AA651" s="231">
        <v>57.12</v>
      </c>
      <c r="AB651" s="232" t="s">
        <v>2670</v>
      </c>
      <c r="AC651" s="231">
        <v>2.072055199605717</v>
      </c>
      <c r="AD651">
        <f>IF('WetLitterbags placem_collection'!AB212="","",'WetLitterbags placem_collection'!AB212)</f>
        <v>15.2</v>
      </c>
      <c r="AE651">
        <f>IF('WetLitterbags placem_collection'!Z212="","",'WetLitterbags placem_collection'!Z212)</f>
        <v>12.2</v>
      </c>
      <c r="AF651" s="246" t="str">
        <f>IF('WetLitterbags placem_collection'!AA212="","",'WetLitterbags placem_collection'!AA212)</f>
        <v>O</v>
      </c>
      <c r="AG651">
        <f>IF('WetLitterbags placem_collection'!AC212="","",'WetLitterbags placem_collection'!AC212)</f>
        <v>1</v>
      </c>
      <c r="AH651" s="24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placem_collection'!X212)),"YES","NO")</f>
        <v>NO</v>
      </c>
      <c r="AM651" t="str">
        <f>IF(ISNUMBER(SEARCH("H", 'WetLitterbags placem_collection'!X212)),"YES","NO")</f>
        <v>NO</v>
      </c>
      <c r="AN651" t="str">
        <f>IF(ISNUMBER(SEARCH("R", 'WetLitterbags placem_collection'!X212)),"YES","NO")</f>
        <v>YES</v>
      </c>
    </row>
    <row r="652" spans="1:40" ht="15" customHeight="1">
      <c r="A652" s="258" t="s">
        <v>2460</v>
      </c>
      <c r="B652" s="263">
        <f>'Dry_Litterbag Placem_Collection'!A213</f>
        <v>211</v>
      </c>
      <c r="C652" s="263" t="str">
        <f>'Dry_Litterbag Placem_Collection'!B213</f>
        <v xml:space="preserve">Mwantimba
</v>
      </c>
      <c r="D652" s="263" t="s">
        <v>2659</v>
      </c>
      <c r="E652" s="263" t="s">
        <v>2526</v>
      </c>
      <c r="F652" s="263">
        <v>1</v>
      </c>
      <c r="G652" s="264" t="str">
        <f>'Dry_Litterbag Placem_Collection'!C213</f>
        <v>Wet_P3_CG1</v>
      </c>
      <c r="H652" s="273" t="s">
        <v>3651</v>
      </c>
      <c r="I652" s="266" t="s">
        <v>1147</v>
      </c>
      <c r="J652" s="223" t="str">
        <f>'WetLitterbags placem_collection'!O213</f>
        <v>G796</v>
      </c>
      <c r="K652" s="225">
        <f>IFERROR(INDEX('Green_rooibos initial weight'!$C$5:$C$1749,MATCH(J652, 'Green_rooibos initial weight'!$A$5:$A$1749,0)),"")</f>
        <v>2.1070000000000002</v>
      </c>
      <c r="L652" s="225">
        <f>IFERROR(K652-(TBIcalc!$H$9+TBIcalc!$H$10),"")</f>
        <v>1.8572000000000002</v>
      </c>
      <c r="M652" s="391">
        <f>AVERAGE(Ashed_controlls!$K$2:$K$11)</f>
        <v>5.5147656768714146</v>
      </c>
      <c r="N652" s="225">
        <f t="shared" si="54"/>
        <v>1.7547797718491442</v>
      </c>
      <c r="O652" s="225">
        <f>IF(IFERROR(INDEX('Both teabags AfterWet'!$C$3:$C$841,MATCH(J652,'Both teabags AfterWet'!$A$3:$A$841,0)),"")="","",(IFERROR(INDEX('Both teabags AfterWet'!$C$3:$C$841,MATCH(J652,'Both teabags AfterWet'!$A$3:$A$841,0)),"")))</f>
        <v>0.67200000000000004</v>
      </c>
      <c r="P652" s="225">
        <f>IFERROR(IF(O652&gt;0,O652-(TBIcalc!$H$9),""),"")</f>
        <v>0.52140000000000009</v>
      </c>
      <c r="Q652" s="225">
        <f>IFERROR(INDEX('Ashed teabags wet'!$K$2:$K$821,MATCH(J652,'Ashed teabags wet'!$A$2:$A$821,0)),"")</f>
        <v>40.67127344521198</v>
      </c>
      <c r="R652" s="225">
        <f t="shared" si="57"/>
        <v>0.30933998025666476</v>
      </c>
      <c r="S652" s="226">
        <f>'WetLitterbags placem_collection'!E213</f>
        <v>42769</v>
      </c>
      <c r="T652" s="226">
        <f>IF('WetLitterbags placem_collection'!G213="","",'WetLitterbags placem_collection'!G213)</f>
        <v>42814</v>
      </c>
      <c r="U652" s="227">
        <f t="shared" si="53"/>
        <v>45</v>
      </c>
      <c r="V652" s="225">
        <f t="shared" si="55"/>
        <v>1.3358000000000001</v>
      </c>
      <c r="W652" s="225">
        <f t="shared" si="56"/>
        <v>1.4454397915924795</v>
      </c>
      <c r="X652">
        <f>IFERROR(INDEX(Rainfall_Wet!$O$2:$O$217,MATCH(B652, Rainfall_Wet!$A$2:$A$217,0)),"")</f>
        <v>175.377105089</v>
      </c>
      <c r="Y652" s="231">
        <v>39.96</v>
      </c>
      <c r="Z652" s="231">
        <v>12.920000000000002</v>
      </c>
      <c r="AA652" s="231">
        <v>47.12</v>
      </c>
      <c r="AB652" s="232" t="s">
        <v>2674</v>
      </c>
      <c r="AC652" s="231">
        <v>1.6549531789058647</v>
      </c>
      <c r="AD652">
        <f>IF('WetLitterbags placem_collection'!AB213="","",'WetLitterbags placem_collection'!AB213)</f>
        <v>13.8</v>
      </c>
      <c r="AE652">
        <f>IF('WetLitterbags placem_collection'!Z213="","",'WetLitterbags placem_collection'!Z213)</f>
        <v>17.399999999999999</v>
      </c>
      <c r="AF652" s="246" t="str">
        <f>IF('WetLitterbags placem_collection'!AA213="","",'WetLitterbags placem_collection'!AA213)</f>
        <v>O</v>
      </c>
      <c r="AG652">
        <f>IF('WetLitterbags placem_collection'!AC213="","",'WetLitterbags placem_collection'!AC213)</f>
        <v>1</v>
      </c>
      <c r="AH652" s="24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placem_collection'!X213)),"YES","NO")</f>
        <v>NO</v>
      </c>
      <c r="AM652" t="str">
        <f>IF(ISNUMBER(SEARCH("H", 'WetLitterbags placem_collection'!X213)),"YES","NO")</f>
        <v>NO</v>
      </c>
      <c r="AN652" t="str">
        <f>IF(ISNUMBER(SEARCH("R", 'WetLitterbags placem_collection'!X213)),"YES","NO")</f>
        <v>YES</v>
      </c>
    </row>
    <row r="653" spans="1:40" ht="15" customHeight="1">
      <c r="A653" s="258" t="s">
        <v>2460</v>
      </c>
      <c r="B653" s="263">
        <f>'Dry_Litterbag Placem_Collection'!A214</f>
        <v>215</v>
      </c>
      <c r="C653" s="263" t="str">
        <f>'Dry_Litterbag Placem_Collection'!B214</f>
        <v xml:space="preserve">Mwantimba
</v>
      </c>
      <c r="D653" s="263" t="s">
        <v>2659</v>
      </c>
      <c r="E653" s="263" t="s">
        <v>2526</v>
      </c>
      <c r="F653" s="263">
        <v>3</v>
      </c>
      <c r="G653" s="264" t="str">
        <f>'Dry_Litterbag Placem_Collection'!C214</f>
        <v>Wet_W3_CG1</v>
      </c>
      <c r="H653" s="273" t="s">
        <v>3651</v>
      </c>
      <c r="I653" s="266" t="s">
        <v>1147</v>
      </c>
      <c r="J653" s="223" t="str">
        <f>'WetLitterbags placem_collection'!O214</f>
        <v>G560</v>
      </c>
      <c r="K653" s="225">
        <f>IFERROR(INDEX('Green_rooibos initial weight'!$C$5:$C$1749,MATCH(J653, 'Green_rooibos initial weight'!$A$5:$A$1749,0)),"")</f>
        <v>2.1219999999999999</v>
      </c>
      <c r="L653" s="225">
        <f>IFERROR(K653-(TBIcalc!$H$9+TBIcalc!$H$10),"")</f>
        <v>1.8721999999999999</v>
      </c>
      <c r="M653" s="391">
        <f>AVERAGE(Ashed_controlls!$K$2:$K$11)</f>
        <v>5.5147656768714146</v>
      </c>
      <c r="N653" s="225">
        <f t="shared" si="54"/>
        <v>1.7689525569976132</v>
      </c>
      <c r="O653" s="225">
        <f>IF(IFERROR(INDEX('Both teabags AfterWet'!$C$3:$C$841,MATCH(J653,'Both teabags AfterWet'!$A$3:$A$841,0)),"")="","",(IFERROR(INDEX('Both teabags AfterWet'!$C$3:$C$841,MATCH(J653,'Both teabags AfterWet'!$A$3:$A$841,0)),"")))</f>
        <v>1.4097999999999999</v>
      </c>
      <c r="P653" s="225">
        <f>IFERROR(IF(O653&gt;0,O653-(TBIcalc!$H$9),""),"")</f>
        <v>1.2591999999999999</v>
      </c>
      <c r="Q653" s="225">
        <f>IFERROR(INDEX('Ashed teabags wet'!$K$2:$K$821,MATCH(J653,'Ashed teabags wet'!$A$2:$A$821,0)),"")</f>
        <v>39.082656473960213</v>
      </c>
      <c r="R653" s="225">
        <f t="shared" si="57"/>
        <v>0.76707118967989296</v>
      </c>
      <c r="S653" s="226">
        <f>'WetLitterbags placem_collection'!E214</f>
        <v>42769</v>
      </c>
      <c r="T653" s="226">
        <f>IF('WetLitterbags placem_collection'!G214="","",'WetLitterbags placem_collection'!G214)</f>
        <v>42813</v>
      </c>
      <c r="U653" s="227">
        <f t="shared" si="53"/>
        <v>44</v>
      </c>
      <c r="V653" s="225">
        <f t="shared" si="55"/>
        <v>0.61299999999999999</v>
      </c>
      <c r="W653" s="225">
        <f t="shared" si="56"/>
        <v>1.0018813673177203</v>
      </c>
      <c r="X653">
        <f>IFERROR(INDEX(Rainfall_Wet!$O$2:$O$217,MATCH(B653, Rainfall_Wet!$A$2:$A$217,0)),"")</f>
        <v>175.377105089</v>
      </c>
      <c r="Y653" s="231">
        <v>27.96</v>
      </c>
      <c r="Z653" s="231">
        <v>4.9200000000000017</v>
      </c>
      <c r="AA653" s="231">
        <v>67.12</v>
      </c>
      <c r="AB653" s="232" t="s">
        <v>2670</v>
      </c>
      <c r="AC653" s="231">
        <v>1.0437161163134547</v>
      </c>
      <c r="AD653">
        <f>IF('WetLitterbags placem_collection'!AB214="","",'WetLitterbags placem_collection'!AB214)</f>
        <v>7.9</v>
      </c>
      <c r="AE653">
        <f>IF('WetLitterbags placem_collection'!Z214="","",'WetLitterbags placem_collection'!Z214)</f>
        <v>7.9</v>
      </c>
      <c r="AF653" s="246" t="str">
        <f>IF('WetLitterbags placem_collection'!AA214="","",'WetLitterbags placem_collection'!AA214)</f>
        <v>O</v>
      </c>
      <c r="AG653">
        <f>IF('WetLitterbags placem_collection'!AC214="","",'WetLitterbags placem_collection'!AC214)</f>
        <v>1</v>
      </c>
      <c r="AH653" s="24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placem_collection'!X214)),"YES","NO")</f>
        <v>NO</v>
      </c>
      <c r="AM653" t="str">
        <f>IF(ISNUMBER(SEARCH("H", 'WetLitterbags placem_collection'!X214)),"YES","NO")</f>
        <v>NO</v>
      </c>
      <c r="AN653" t="str">
        <f>IF(ISNUMBER(SEARCH("R", 'WetLitterbags placem_collection'!X214)),"YES","NO")</f>
        <v>YES</v>
      </c>
    </row>
    <row r="654" spans="1:40" ht="15" customHeight="1">
      <c r="A654" s="258" t="s">
        <v>2460</v>
      </c>
      <c r="B654" s="263">
        <f>'Dry_Litterbag Placem_Collection'!A215</f>
        <v>212</v>
      </c>
      <c r="C654" s="263" t="str">
        <f>'Dry_Litterbag Placem_Collection'!B215</f>
        <v xml:space="preserve">Mwantimba
</v>
      </c>
      <c r="D654" s="263" t="s">
        <v>2659</v>
      </c>
      <c r="E654" s="263" t="s">
        <v>2526</v>
      </c>
      <c r="F654" s="263">
        <v>4</v>
      </c>
      <c r="G654" s="264" t="str">
        <f>'Dry_Litterbag Placem_Collection'!C215</f>
        <v>Wet_P4_CG3</v>
      </c>
      <c r="H654" s="273" t="s">
        <v>3651</v>
      </c>
      <c r="I654" s="266" t="s">
        <v>1147</v>
      </c>
      <c r="J654" s="223" t="str">
        <f>'WetLitterbags placem_collection'!O215</f>
        <v>G716</v>
      </c>
      <c r="K654" s="225">
        <f>IFERROR(INDEX('Green_rooibos initial weight'!$C$5:$C$1749,MATCH(J654, 'Green_rooibos initial weight'!$A$5:$A$1749,0)),"")</f>
        <v>2.117</v>
      </c>
      <c r="L654" s="225">
        <f>IFERROR(K654-(TBIcalc!$H$9+TBIcalc!$H$10),"")</f>
        <v>1.8672</v>
      </c>
      <c r="M654" s="391">
        <f>AVERAGE(Ashed_controlls!$K$2:$K$11)</f>
        <v>5.5147656768714146</v>
      </c>
      <c r="N654" s="225">
        <f t="shared" si="54"/>
        <v>1.764228295281457</v>
      </c>
      <c r="O654" s="225">
        <f>IF(IFERROR(INDEX('Both teabags AfterWet'!$C$3:$C$841,MATCH(J654,'Both teabags AfterWet'!$A$3:$A$841,0)),"")="","",(IFERROR(INDEX('Both teabags AfterWet'!$C$3:$C$841,MATCH(J654,'Both teabags AfterWet'!$A$3:$A$841,0)),"")))</f>
        <v>0.83</v>
      </c>
      <c r="P654" s="225">
        <f>IFERROR(IF(O654&gt;0,O654-(TBIcalc!$H$9),""),"")</f>
        <v>0.6794</v>
      </c>
      <c r="Q654" s="225">
        <f>IFERROR(INDEX('Ashed teabags wet'!$K$2:$K$821,MATCH(J654,'Ashed teabags wet'!$A$2:$A$821,0)),"")</f>
        <v>8.2922013820333618</v>
      </c>
      <c r="R654" s="225">
        <f t="shared" si="57"/>
        <v>0.62306278381046531</v>
      </c>
      <c r="S654" s="226">
        <f>'WetLitterbags placem_collection'!E215</f>
        <v>42769</v>
      </c>
      <c r="T654" s="226">
        <f>IF('WetLitterbags placem_collection'!G215="","",'WetLitterbags placem_collection'!G215)</f>
        <v>42813</v>
      </c>
      <c r="U654" s="227">
        <f t="shared" si="53"/>
        <v>44</v>
      </c>
      <c r="V654" s="225">
        <f t="shared" si="55"/>
        <v>1.1878</v>
      </c>
      <c r="W654" s="225">
        <f t="shared" si="56"/>
        <v>1.1411655114709918</v>
      </c>
      <c r="X654">
        <f>IFERROR(INDEX(Rainfall_Wet!$O$2:$O$217,MATCH(B654, Rainfall_Wet!$A$2:$A$217,0)),"")</f>
        <v>175.054685654</v>
      </c>
      <c r="Y654" s="231">
        <v>21.96</v>
      </c>
      <c r="Z654" s="231">
        <v>4.9199999999999982</v>
      </c>
      <c r="AA654" s="231">
        <v>73.12</v>
      </c>
      <c r="AB654" s="232" t="s">
        <v>2670</v>
      </c>
      <c r="AC654" s="231">
        <v>1.2416954164613114</v>
      </c>
      <c r="AD654">
        <f>IF('WetLitterbags placem_collection'!AB215="","",'WetLitterbags placem_collection'!AB215)</f>
        <v>15.2</v>
      </c>
      <c r="AE654">
        <f>IF('WetLitterbags placem_collection'!Z215="","",'WetLitterbags placem_collection'!Z215)</f>
        <v>12.2</v>
      </c>
      <c r="AF654" s="246" t="str">
        <f>IF('WetLitterbags placem_collection'!AA215="","",'WetLitterbags placem_collection'!AA215)</f>
        <v>O</v>
      </c>
      <c r="AG654">
        <f>IF('WetLitterbags placem_collection'!AC215="","",'WetLitterbags placem_collection'!AC215)</f>
        <v>1</v>
      </c>
      <c r="AH654" s="24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placem_collection'!X215)),"YES","NO")</f>
        <v>NO</v>
      </c>
      <c r="AM654" t="str">
        <f>IF(ISNUMBER(SEARCH("H", 'WetLitterbags placem_collection'!X215)),"YES","NO")</f>
        <v>NO</v>
      </c>
      <c r="AN654" t="str">
        <f>IF(ISNUMBER(SEARCH("R", 'WetLitterbags placem_collection'!X215)),"YES","NO")</f>
        <v>YES</v>
      </c>
    </row>
    <row r="655" spans="1:40" ht="15" customHeight="1">
      <c r="A655" s="258" t="s">
        <v>2460</v>
      </c>
      <c r="B655" s="263">
        <f>'Dry_Litterbag Placem_Collection'!A216</f>
        <v>213</v>
      </c>
      <c r="C655" s="263" t="str">
        <f>'Dry_Litterbag Placem_Collection'!B216</f>
        <v>Handajega</v>
      </c>
      <c r="D655" s="263" t="s">
        <v>2659</v>
      </c>
      <c r="E655" s="263" t="s">
        <v>2526</v>
      </c>
      <c r="F655" s="263">
        <v>3</v>
      </c>
      <c r="G655" s="264" t="str">
        <f>'Dry_Litterbag Placem_Collection'!C216</f>
        <v>Wet_W1_CG4</v>
      </c>
      <c r="H655" s="273" t="s">
        <v>3651</v>
      </c>
      <c r="I655" s="266" t="s">
        <v>1147</v>
      </c>
      <c r="J655" s="223" t="str">
        <f>'WetLitterbags placem_collection'!O216</f>
        <v>G581</v>
      </c>
      <c r="K655" s="225">
        <f>IFERROR(INDEX('Green_rooibos initial weight'!$C$5:$C$1749,MATCH(J655, 'Green_rooibos initial weight'!$A$5:$A$1749,0)),"")</f>
        <v>2.0070000000000001</v>
      </c>
      <c r="L655" s="225">
        <f>IFERROR(K655-(TBIcalc!$H$9+TBIcalc!$H$10),"")</f>
        <v>1.7572000000000001</v>
      </c>
      <c r="M655" s="391">
        <f>AVERAGE(Ashed_controlls!$K$2:$K$11)</f>
        <v>5.5147656768714146</v>
      </c>
      <c r="N655" s="225">
        <f t="shared" si="54"/>
        <v>1.6602945375260156</v>
      </c>
      <c r="O655" s="225">
        <f>IF(IFERROR(INDEX('Both teabags AfterWet'!$C$3:$C$841,MATCH(J655,'Both teabags AfterWet'!$A$3:$A$841,0)),"")="","",(IFERROR(INDEX('Both teabags AfterWet'!$C$3:$C$841,MATCH(J655,'Both teabags AfterWet'!$A$3:$A$841,0)),"")))</f>
        <v>0.63400000000000001</v>
      </c>
      <c r="P655" s="225">
        <f>IFERROR(IF(O655&gt;0,O655-(TBIcalc!$H$9),""),"")</f>
        <v>0.4834</v>
      </c>
      <c r="Q655" s="225">
        <f>IFERROR(INDEX('Ashed teabags wet'!$K$2:$K$821,MATCH(J655,'Ashed teabags wet'!$A$2:$A$821,0)),"")</f>
        <v>8.3576287657915547</v>
      </c>
      <c r="R655" s="225">
        <f t="shared" si="57"/>
        <v>0.44299922254616364</v>
      </c>
      <c r="S655" s="226">
        <f>'WetLitterbags placem_collection'!E216</f>
        <v>42769</v>
      </c>
      <c r="T655" s="226">
        <f>IF('WetLitterbags placem_collection'!G216="","",'WetLitterbags placem_collection'!G216)</f>
        <v>42813</v>
      </c>
      <c r="U655" s="227">
        <f t="shared" si="53"/>
        <v>44</v>
      </c>
      <c r="V655" s="225">
        <f t="shared" si="55"/>
        <v>1.2738</v>
      </c>
      <c r="W655" s="225">
        <f t="shared" si="56"/>
        <v>1.217295314979852</v>
      </c>
      <c r="X655">
        <f>IFERROR(INDEX(Rainfall_Wet!$O$2:$O$217,MATCH(B655, Rainfall_Wet!$A$2:$A$217,0)),"")</f>
        <v>175.054685654</v>
      </c>
      <c r="Y655" s="231">
        <v>23.96</v>
      </c>
      <c r="Z655" s="231">
        <v>4.9199999999999982</v>
      </c>
      <c r="AA655" s="231">
        <v>71.12</v>
      </c>
      <c r="AB655" s="232" t="s">
        <v>2670</v>
      </c>
      <c r="AC655" s="231">
        <v>3.30913750616067</v>
      </c>
      <c r="AD655">
        <f>IF('WetLitterbags placem_collection'!AB216="","",'WetLitterbags placem_collection'!AB216)</f>
        <v>7.9</v>
      </c>
      <c r="AE655">
        <f>IF('WetLitterbags placem_collection'!Z216="","",'WetLitterbags placem_collection'!Z216)</f>
        <v>7.9</v>
      </c>
      <c r="AF655" s="246" t="str">
        <f>IF('WetLitterbags placem_collection'!AA216="","",'WetLitterbags placem_collection'!AA216)</f>
        <v>O</v>
      </c>
      <c r="AG655">
        <f>IF('WetLitterbags placem_collection'!AC216="","",'WetLitterbags placem_collection'!AC216)</f>
        <v>1</v>
      </c>
      <c r="AH655" s="24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placem_collection'!X216)),"YES","NO")</f>
        <v>NO</v>
      </c>
      <c r="AM655" t="str">
        <f>IF(ISNUMBER(SEARCH("H", 'WetLitterbags placem_collection'!X216)),"YES","NO")</f>
        <v>NO</v>
      </c>
      <c r="AN655" t="str">
        <f>IF(ISNUMBER(SEARCH("R", 'WetLitterbags placem_collection'!X216)),"YES","NO")</f>
        <v>YES</v>
      </c>
    </row>
    <row r="656" spans="1:40" ht="15" customHeight="1">
      <c r="A656" s="258" t="s">
        <v>2460</v>
      </c>
      <c r="B656" s="263">
        <f>'Dry_Litterbag Placem_Collection'!A217</f>
        <v>214</v>
      </c>
      <c r="C656" s="263" t="str">
        <f>'Dry_Litterbag Placem_Collection'!B217</f>
        <v>Handajega</v>
      </c>
      <c r="D656" s="263" t="s">
        <v>2659</v>
      </c>
      <c r="E656" s="263" t="s">
        <v>2526</v>
      </c>
      <c r="F656" s="263">
        <v>1</v>
      </c>
      <c r="G656" s="264" t="str">
        <f>'Dry_Litterbag Placem_Collection'!C217</f>
        <v>Wet_W2_CG3</v>
      </c>
      <c r="H656" s="273" t="s">
        <v>3651</v>
      </c>
      <c r="I656" s="266" t="s">
        <v>1147</v>
      </c>
      <c r="J656" s="223" t="str">
        <f>'WetLitterbags placem_collection'!O217</f>
        <v>G718</v>
      </c>
      <c r="K656" s="225">
        <f>IFERROR(INDEX('Green_rooibos initial weight'!$C$5:$C$1749,MATCH(J656, 'Green_rooibos initial weight'!$A$5:$A$1749,0)),"")</f>
        <v>2.0369999999999999</v>
      </c>
      <c r="L656" s="225">
        <f>IFERROR(K656-(TBIcalc!$H$9+TBIcalc!$H$10),"")</f>
        <v>1.7871999999999999</v>
      </c>
      <c r="M656" s="391">
        <f>AVERAGE(Ashed_controlls!$K$2:$K$11)</f>
        <v>5.5147656768714146</v>
      </c>
      <c r="N656" s="225">
        <f t="shared" si="54"/>
        <v>1.688640107822954</v>
      </c>
      <c r="O656" s="225">
        <f>IF(IFERROR(INDEX('Both teabags AfterWet'!$C$3:$C$841,MATCH(J656,'Both teabags AfterWet'!$A$3:$A$841,0)),"")="","",(IFERROR(INDEX('Both teabags AfterWet'!$C$3:$C$841,MATCH(J656,'Both teabags AfterWet'!$A$3:$A$841,0)),"")))</f>
        <v>0.67769999999999997</v>
      </c>
      <c r="P656" s="225">
        <f>IFERROR(IF(O656&gt;0,O656-(TBIcalc!$H$9),""),"")</f>
        <v>0.5270999999999999</v>
      </c>
      <c r="Q656" s="225">
        <f>IFERROR(INDEX('Ashed teabags wet'!$K$2:$K$821,MATCH(J656,'Ashed teabags wet'!$A$2:$A$821,0)),"")</f>
        <v>7.2942336126168659</v>
      </c>
      <c r="R656" s="225">
        <f t="shared" si="57"/>
        <v>0.48865209462789638</v>
      </c>
      <c r="S656" s="226">
        <f>'WetLitterbags placem_collection'!E217</f>
        <v>42769</v>
      </c>
      <c r="T656" s="226">
        <f>IF('WetLitterbags placem_collection'!G217="","",'WetLitterbags placem_collection'!G217)</f>
        <v>42814</v>
      </c>
      <c r="U656" s="227">
        <f t="shared" si="53"/>
        <v>45</v>
      </c>
      <c r="V656" s="225">
        <f t="shared" si="55"/>
        <v>1.2601</v>
      </c>
      <c r="W656" s="225">
        <f t="shared" si="56"/>
        <v>1.1999880131950578</v>
      </c>
      <c r="X656">
        <f>IFERROR(INDEX(Rainfall_Wet!$O$2:$O$217,MATCH(B656, Rainfall_Wet!$A$2:$A$217,0)),"")</f>
        <v>175.054685654</v>
      </c>
      <c r="Y656" s="231">
        <v>25.96</v>
      </c>
      <c r="Z656" s="231">
        <v>8.9200000000000017</v>
      </c>
      <c r="AA656" s="231">
        <v>65.12</v>
      </c>
      <c r="AB656" s="232" t="s">
        <v>2670</v>
      </c>
      <c r="AC656" s="231">
        <v>1.614588467225234</v>
      </c>
      <c r="AD656">
        <f>IF('WetLitterbags placem_collection'!AB217="","",'WetLitterbags placem_collection'!AB217)</f>
        <v>13.8</v>
      </c>
      <c r="AE656">
        <f>IF('WetLitterbags placem_collection'!Z217="","",'WetLitterbags placem_collection'!Z217)</f>
        <v>17.399999999999999</v>
      </c>
      <c r="AF656" s="246" t="str">
        <f>IF('WetLitterbags placem_collection'!AA217="","",'WetLitterbags placem_collection'!AA217)</f>
        <v>O</v>
      </c>
      <c r="AG656">
        <f>IF('WetLitterbags placem_collection'!AC217="","",'WetLitterbags placem_collection'!AC217)</f>
        <v>1</v>
      </c>
      <c r="AH656" s="24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placem_collection'!X217)),"YES","NO")</f>
        <v>NO</v>
      </c>
      <c r="AM656" t="str">
        <f>IF(ISNUMBER(SEARCH("H", 'WetLitterbags placem_collection'!X217)),"YES","NO")</f>
        <v>NO</v>
      </c>
      <c r="AN656" t="str">
        <f>IF(ISNUMBER(SEARCH("R", 'WetLitterbags placem_collection'!X217)),"YES","NO")</f>
        <v>YES</v>
      </c>
    </row>
    <row r="657" spans="1:40" ht="15" customHeight="1">
      <c r="A657" s="258" t="s">
        <v>2460</v>
      </c>
      <c r="B657" s="263">
        <f>'Dry_Litterbag Placem_Collection'!A218</f>
        <v>216</v>
      </c>
      <c r="C657" s="263" t="str">
        <f>'Dry_Litterbag Placem_Collection'!B218</f>
        <v>Handajega</v>
      </c>
      <c r="D657" s="263" t="s">
        <v>2659</v>
      </c>
      <c r="E657" s="263" t="s">
        <v>2526</v>
      </c>
      <c r="F657" s="263">
        <v>2</v>
      </c>
      <c r="G657" s="264" t="str">
        <f>'Dry_Litterbag Placem_Collection'!C218</f>
        <v>Wet_W4_CG2</v>
      </c>
      <c r="H657" s="273" t="s">
        <v>3651</v>
      </c>
      <c r="I657" s="266" t="s">
        <v>1147</v>
      </c>
      <c r="J657" s="223" t="str">
        <f>'WetLitterbags placem_collection'!O218</f>
        <v>G613</v>
      </c>
      <c r="K657" s="225">
        <f>IFERROR(INDEX('Green_rooibos initial weight'!$C$5:$C$1749,MATCH(J657, 'Green_rooibos initial weight'!$A$5:$A$1749,0)),"")</f>
        <v>2.0339999999999998</v>
      </c>
      <c r="L657" s="225">
        <f>IFERROR(K657-(TBIcalc!$H$9+TBIcalc!$H$10),"")</f>
        <v>1.7841999999999998</v>
      </c>
      <c r="M657" s="391">
        <f>AVERAGE(Ashed_controlls!$K$2:$K$11)</f>
        <v>5.5147656768714146</v>
      </c>
      <c r="N657" s="225">
        <f t="shared" si="54"/>
        <v>1.6858055507932601</v>
      </c>
      <c r="O657" s="225">
        <f>IF(IFERROR(INDEX('Both teabags AfterWet'!$C$3:$C$841,MATCH(J657,'Both teabags AfterWet'!$A$3:$A$841,0)),"")="","",(IFERROR(INDEX('Both teabags AfterWet'!$C$3:$C$841,MATCH(J657,'Both teabags AfterWet'!$A$3:$A$841,0)),"")))</f>
        <v>0.82499999999999996</v>
      </c>
      <c r="P657" s="225">
        <f>IFERROR(IF(O657&gt;0,O657-(TBIcalc!$H$9),""),"")</f>
        <v>0.67439999999999989</v>
      </c>
      <c r="Q657" s="225">
        <f>IFERROR(INDEX('Ashed teabags wet'!$K$2:$K$821,MATCH(J657,'Ashed teabags wet'!$A$2:$A$821,0)),"")</f>
        <v>7.3429951690818136</v>
      </c>
      <c r="R657" s="225">
        <f t="shared" si="57"/>
        <v>0.6248788405797121</v>
      </c>
      <c r="S657" s="226">
        <f>'WetLitterbags placem_collection'!E218</f>
        <v>42769</v>
      </c>
      <c r="T657" s="226">
        <f>IF('WetLitterbags placem_collection'!G218="","",'WetLitterbags placem_collection'!G218)</f>
        <v>42814</v>
      </c>
      <c r="U657" s="227">
        <f t="shared" si="53"/>
        <v>45</v>
      </c>
      <c r="V657" s="225">
        <f t="shared" si="55"/>
        <v>1.1097999999999999</v>
      </c>
      <c r="W657" s="225">
        <f t="shared" si="56"/>
        <v>1.060926710213548</v>
      </c>
      <c r="X657">
        <f>IFERROR(INDEX(Rainfall_Wet!$O$2:$O$217,MATCH(B657, Rainfall_Wet!$A$2:$A$217,0)),"")</f>
        <v>175.377105089</v>
      </c>
      <c r="Y657" s="231">
        <v>25.96</v>
      </c>
      <c r="Z657" s="231">
        <v>8.9200000000000017</v>
      </c>
      <c r="AA657" s="231">
        <v>65.12</v>
      </c>
      <c r="AB657" s="232" t="s">
        <v>2670</v>
      </c>
      <c r="AC657" s="231">
        <v>1.6991621488417901</v>
      </c>
      <c r="AD657">
        <f>IF('WetLitterbags placem_collection'!AB218="","",'WetLitterbags placem_collection'!AB218)</f>
        <v>5.13</v>
      </c>
      <c r="AE657">
        <f>IF('WetLitterbags placem_collection'!Z218="","",'WetLitterbags placem_collection'!Z218)</f>
        <v>5.13</v>
      </c>
      <c r="AF657" s="246" t="str">
        <f>IF('WetLitterbags placem_collection'!AA218="","",'WetLitterbags placem_collection'!AA218)</f>
        <v>O</v>
      </c>
      <c r="AG657">
        <f>IF('WetLitterbags placem_collection'!AC218="","",'WetLitterbags placem_collection'!AC218)</f>
        <v>1</v>
      </c>
      <c r="AH657" s="24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placem_collection'!X218)),"YES","NO")</f>
        <v>NO</v>
      </c>
      <c r="AM657" t="str">
        <f>IF(ISNUMBER(SEARCH("H", 'WetLitterbags placem_collection'!X218)),"YES","NO")</f>
        <v>NO</v>
      </c>
      <c r="AN657" t="str">
        <f>IF(ISNUMBER(SEARCH("R", 'WetLitterbags placem_collection'!X218)),"YES","NO")</f>
        <v>YES</v>
      </c>
    </row>
    <row r="658" spans="1:40" ht="15" customHeight="1">
      <c r="A658" s="258" t="s">
        <v>2460</v>
      </c>
      <c r="B658" s="263">
        <f>'Dry_Litterbag Placem_Collection'!A219</f>
        <v>217</v>
      </c>
      <c r="C658" s="263" t="str">
        <f>'Dry_Litterbag Placem_Collection'!B219</f>
        <v>Seronera</v>
      </c>
      <c r="D658" s="263" t="s">
        <v>2659</v>
      </c>
      <c r="E658" s="263" t="s">
        <v>2526</v>
      </c>
      <c r="F658" s="263">
        <v>1</v>
      </c>
      <c r="G658" s="264" t="str">
        <f>'Dry_Litterbag Placem_Collection'!C219</f>
        <v>Local1_CG1</v>
      </c>
      <c r="H658" s="273" t="s">
        <v>3651</v>
      </c>
      <c r="I658" s="266" t="s">
        <v>1147</v>
      </c>
      <c r="J658" s="223" t="str">
        <f>'WetLitterbags placem_collection'!O219</f>
        <v>G804</v>
      </c>
      <c r="K658" s="225">
        <f>IFERROR(INDEX('Green_rooibos initial weight'!$C$5:$C$1749,MATCH(J658, 'Green_rooibos initial weight'!$A$5:$A$1749,0)),"")</f>
        <v>2.028</v>
      </c>
      <c r="L658" s="225">
        <f>IFERROR(K658-(TBIcalc!$H$9+TBIcalc!$H$10),"")</f>
        <v>1.7782</v>
      </c>
      <c r="M658" s="391">
        <f>AVERAGE(Ashed_controlls!$K$2:$K$11)</f>
        <v>5.5147656768714146</v>
      </c>
      <c r="N658" s="225">
        <f t="shared" si="54"/>
        <v>1.6801364367338725</v>
      </c>
      <c r="O658" s="225">
        <f>IF(IFERROR(INDEX('Both teabags AfterWet'!$C$3:$C$841,MATCH(J658,'Both teabags AfterWet'!$A$3:$A$841,0)),"")="","",(IFERROR(INDEX('Both teabags AfterWet'!$C$3:$C$841,MATCH(J658,'Both teabags AfterWet'!$A$3:$A$841,0)),"")))</f>
        <v>0.66200000000000003</v>
      </c>
      <c r="P658" s="225">
        <f>IFERROR(IF(O658&gt;0,O658-(TBIcalc!$H$9),""),"")</f>
        <v>0.51140000000000008</v>
      </c>
      <c r="Q658" s="225">
        <f>IFERROR(INDEX('Ashed teabags wet'!$K$2:$K$821,MATCH(J658,'Ashed teabags wet'!$A$2:$A$821,0)),"")</f>
        <v>8.5770946950907749</v>
      </c>
      <c r="R658" s="225">
        <f t="shared" si="57"/>
        <v>0.46753673772930582</v>
      </c>
      <c r="S658" s="226">
        <f>'WetLitterbags placem_collection'!E219</f>
        <v>42769</v>
      </c>
      <c r="T658" s="226">
        <f>IF('WetLitterbags placem_collection'!G219="","",'WetLitterbags placem_collection'!G219)</f>
        <v>42814</v>
      </c>
      <c r="U658" s="227">
        <f t="shared" si="53"/>
        <v>45</v>
      </c>
      <c r="V658" s="225">
        <f t="shared" si="55"/>
        <v>1.2667999999999999</v>
      </c>
      <c r="W658" s="225">
        <f t="shared" si="56"/>
        <v>1.2125996990045667</v>
      </c>
      <c r="X658">
        <f>IFERROR(INDEX(Rainfall_Wet!$O$2:$O$217,MATCH(B658, Rainfall_Wet!$A$2:$A$217,0)),"")</f>
        <v>175.377105089</v>
      </c>
      <c r="Y658" s="231">
        <v>29.076539101497506</v>
      </c>
      <c r="Z658" s="231">
        <v>7.1963394342762079</v>
      </c>
      <c r="AA658" s="231">
        <v>63.727121464226286</v>
      </c>
      <c r="AB658" s="231" t="s">
        <v>2670</v>
      </c>
      <c r="AC658" s="231">
        <v>1.0994578610152781</v>
      </c>
      <c r="AD658">
        <f>IF('WetLitterbags placem_collection'!AB219="","",'WetLitterbags placem_collection'!AB219)</f>
        <v>13.8</v>
      </c>
      <c r="AE658">
        <f>IF('WetLitterbags placem_collection'!Z219="","",'WetLitterbags placem_collection'!Z219)</f>
        <v>17.399999999999999</v>
      </c>
      <c r="AF658" s="246" t="str">
        <f>IF('WetLitterbags placem_collection'!AA219="","",'WetLitterbags placem_collection'!AA219)</f>
        <v>O</v>
      </c>
      <c r="AG658">
        <f>IF('WetLitterbags placem_collection'!AC219="","",'WetLitterbags placem_collection'!AC219)</f>
        <v>1</v>
      </c>
      <c r="AH658" s="24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placem_collection'!X219)),"YES","NO")</f>
        <v>NO</v>
      </c>
      <c r="AM658" t="str">
        <f>IF(ISNUMBER(SEARCH("H", 'WetLitterbags placem_collection'!X219)),"YES","NO")</f>
        <v>NO</v>
      </c>
      <c r="AN658" t="str">
        <f>IF(ISNUMBER(SEARCH("R", 'WetLitterbags placem_collection'!X219)),"YES","NO")</f>
        <v>YES</v>
      </c>
    </row>
    <row r="659" spans="1:40" ht="15" customHeight="1">
      <c r="A659" s="258" t="s">
        <v>2460</v>
      </c>
      <c r="B659" s="263">
        <f>'Dry_Litterbag Placem_Collection'!A220</f>
        <v>218</v>
      </c>
      <c r="C659" s="263" t="str">
        <f>'Dry_Litterbag Placem_Collection'!B220</f>
        <v>Seronera</v>
      </c>
      <c r="D659" s="263" t="s">
        <v>2659</v>
      </c>
      <c r="E659" s="263" t="s">
        <v>2526</v>
      </c>
      <c r="F659" s="263">
        <v>2</v>
      </c>
      <c r="G659" s="264" t="str">
        <f>'Dry_Litterbag Placem_Collection'!C220</f>
        <v>Local2_CG2</v>
      </c>
      <c r="H659" s="273" t="s">
        <v>3651</v>
      </c>
      <c r="I659" s="266" t="s">
        <v>1147</v>
      </c>
      <c r="J659" s="223" t="str">
        <f>'WetLitterbags placem_collection'!O220</f>
        <v>G587</v>
      </c>
      <c r="K659" s="225">
        <f>IFERROR(INDEX('Green_rooibos initial weight'!$C$5:$C$1749,MATCH(J659, 'Green_rooibos initial weight'!$A$5:$A$1749,0)),"")</f>
        <v>2.0640000000000001</v>
      </c>
      <c r="L659" s="225">
        <f>IFERROR(K659-(TBIcalc!$H$9+TBIcalc!$H$10),"")</f>
        <v>1.8142</v>
      </c>
      <c r="M659" s="391">
        <f>AVERAGE(Ashed_controlls!$K$2:$K$11)</f>
        <v>5.5147656768714146</v>
      </c>
      <c r="N659" s="225">
        <f t="shared" si="54"/>
        <v>1.7141511210901987</v>
      </c>
      <c r="O659" s="225">
        <f>IF(IFERROR(INDEX('Both teabags AfterWet'!$C$3:$C$841,MATCH(J659,'Both teabags AfterWet'!$A$3:$A$841,0)),"")="","",(IFERROR(INDEX('Both teabags AfterWet'!$C$3:$C$841,MATCH(J659,'Both teabags AfterWet'!$A$3:$A$841,0)),"")))</f>
        <v>0.7167</v>
      </c>
      <c r="P659" s="225">
        <f>IFERROR(IF(O659&gt;0,O659-(TBIcalc!$H$9),""),"")</f>
        <v>0.56610000000000005</v>
      </c>
      <c r="Q659" s="225">
        <f>IFERROR(INDEX('Ashed teabags wet'!$K$2:$K$821,MATCH(J659,'Ashed teabags wet'!$A$2:$A$821,0)),"")</f>
        <v>13.067061143984493</v>
      </c>
      <c r="R659" s="225">
        <f t="shared" si="57"/>
        <v>0.49212736686390379</v>
      </c>
      <c r="S659" s="226">
        <f>'WetLitterbags placem_collection'!E220</f>
        <v>42769</v>
      </c>
      <c r="T659" s="226">
        <f>IF('WetLitterbags placem_collection'!G220="","",'WetLitterbags placem_collection'!G220)</f>
        <v>42814</v>
      </c>
      <c r="U659" s="227">
        <f t="shared" si="53"/>
        <v>45</v>
      </c>
      <c r="V659" s="225">
        <f t="shared" si="55"/>
        <v>1.2481</v>
      </c>
      <c r="W659" s="225">
        <f t="shared" si="56"/>
        <v>1.2220237542262948</v>
      </c>
      <c r="X659">
        <f>IFERROR(INDEX(Rainfall_Wet!$O$2:$O$217,MATCH(B659, Rainfall_Wet!$A$2:$A$217,0)),"")</f>
        <v>175.377105089</v>
      </c>
      <c r="Y659" s="231">
        <v>21.072635135135137</v>
      </c>
      <c r="Z659" s="231">
        <v>7.3057432432432412</v>
      </c>
      <c r="AA659" s="231">
        <v>71.621621621621614</v>
      </c>
      <c r="AB659" s="231" t="s">
        <v>2670</v>
      </c>
      <c r="AC659" s="231">
        <v>1.4512074913750617</v>
      </c>
      <c r="AD659">
        <f>IF('WetLitterbags placem_collection'!AB220="","",'WetLitterbags placem_collection'!AB220)</f>
        <v>5.13</v>
      </c>
      <c r="AE659">
        <f>IF('WetLitterbags placem_collection'!Z220="","",'WetLitterbags placem_collection'!Z220)</f>
        <v>5.13</v>
      </c>
      <c r="AF659" s="246" t="str">
        <f>IF('WetLitterbags placem_collection'!AA220="","",'WetLitterbags placem_collection'!AA220)</f>
        <v>O</v>
      </c>
      <c r="AG659">
        <f>IF('WetLitterbags placem_collection'!AC220="","",'WetLitterbags placem_collection'!AC220)</f>
        <v>1</v>
      </c>
      <c r="AH659" s="24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placem_collection'!X220)),"YES","NO")</f>
        <v>NO</v>
      </c>
      <c r="AM659" t="str">
        <f>IF(ISNUMBER(SEARCH("H", 'WetLitterbags placem_collection'!X220)),"YES","NO")</f>
        <v>NO</v>
      </c>
      <c r="AN659" t="str">
        <f>IF(ISNUMBER(SEARCH("R", 'WetLitterbags placem_collection'!X220)),"YES","NO")</f>
        <v>YES</v>
      </c>
    </row>
    <row r="660" spans="1:40" ht="15" customHeight="1">
      <c r="A660" s="258" t="s">
        <v>2460</v>
      </c>
      <c r="B660" s="263">
        <f>'Dry_Litterbag Placem_Collection'!A221</f>
        <v>219</v>
      </c>
      <c r="C660" s="263" t="str">
        <f>'Dry_Litterbag Placem_Collection'!B221</f>
        <v>Seronera</v>
      </c>
      <c r="D660" s="263" t="s">
        <v>2659</v>
      </c>
      <c r="E660" s="263" t="s">
        <v>2526</v>
      </c>
      <c r="F660" s="263">
        <v>3</v>
      </c>
      <c r="G660" s="264" t="str">
        <f>'Dry_Litterbag Placem_Collection'!C221</f>
        <v>Local3_CG3</v>
      </c>
      <c r="H660" s="273" t="s">
        <v>3651</v>
      </c>
      <c r="I660" s="266" t="s">
        <v>1147</v>
      </c>
      <c r="J660" s="223" t="str">
        <f>'WetLitterbags placem_collection'!O221</f>
        <v>G491</v>
      </c>
      <c r="K660" s="225">
        <f>IFERROR(INDEX('Green_rooibos initial weight'!$C$5:$C$1749,MATCH(J660, 'Green_rooibos initial weight'!$A$5:$A$1749,0)),"")</f>
        <v>2.0249999999999999</v>
      </c>
      <c r="L660" s="225">
        <f>IFERROR(K660-(TBIcalc!$H$9+TBIcalc!$H$10),"")</f>
        <v>1.7751999999999999</v>
      </c>
      <c r="M660" s="391">
        <f>AVERAGE(Ashed_controlls!$K$2:$K$11)</f>
        <v>5.5147656768714146</v>
      </c>
      <c r="N660" s="225">
        <f t="shared" si="54"/>
        <v>1.6773018797041785</v>
      </c>
      <c r="O660" s="225">
        <f>IF(IFERROR(INDEX('Both teabags AfterWet'!$C$3:$C$841,MATCH(J660,'Both teabags AfterWet'!$A$3:$A$841,0)),"")="","",(IFERROR(INDEX('Both teabags AfterWet'!$C$3:$C$841,MATCH(J660,'Both teabags AfterWet'!$A$3:$A$841,0)),"")))</f>
        <v>0.65569999999999995</v>
      </c>
      <c r="P660" s="225">
        <f>IFERROR(IF(O660&gt;0,O660-(TBIcalc!$H$9),""),"")</f>
        <v>0.50509999999999988</v>
      </c>
      <c r="Q660" s="225">
        <f>IFERROR(INDEX('Ashed teabags wet'!$K$2:$K$821,MATCH(J660,'Ashed teabags wet'!$A$2:$A$821,0)),"")</f>
        <v>11.643835616438309</v>
      </c>
      <c r="R660" s="225">
        <f t="shared" si="57"/>
        <v>0.44628698630136998</v>
      </c>
      <c r="S660" s="226">
        <f>'WetLitterbags placem_collection'!E221</f>
        <v>42769</v>
      </c>
      <c r="T660" s="226">
        <f>IF('WetLitterbags placem_collection'!G221="","",'WetLitterbags placem_collection'!G221)</f>
        <v>42813</v>
      </c>
      <c r="U660" s="227">
        <f t="shared" si="53"/>
        <v>44</v>
      </c>
      <c r="V660" s="225">
        <f t="shared" si="55"/>
        <v>1.2701</v>
      </c>
      <c r="W660" s="225">
        <f t="shared" si="56"/>
        <v>1.2310148934028087</v>
      </c>
      <c r="X660">
        <f>IFERROR(INDEX(Rainfall_Wet!$O$2:$O$217,MATCH(B660, Rainfall_Wet!$A$2:$A$217,0)),"")</f>
        <v>175.054685654</v>
      </c>
      <c r="Y660" s="231">
        <v>21.96</v>
      </c>
      <c r="Z660" s="231">
        <v>4.9199999999999982</v>
      </c>
      <c r="AA660" s="231">
        <v>73.12</v>
      </c>
      <c r="AB660" s="231" t="s">
        <v>2670</v>
      </c>
      <c r="AC660" s="231">
        <v>1.4012321340561851</v>
      </c>
      <c r="AD660">
        <f>IF('WetLitterbags placem_collection'!AB221="","",'WetLitterbags placem_collection'!AB221)</f>
        <v>7.9</v>
      </c>
      <c r="AE660">
        <f>IF('WetLitterbags placem_collection'!Z221="","",'WetLitterbags placem_collection'!Z221)</f>
        <v>7.9</v>
      </c>
      <c r="AF660" s="246" t="str">
        <f>IF('WetLitterbags placem_collection'!AA221="","",'WetLitterbags placem_collection'!AA221)</f>
        <v>O</v>
      </c>
      <c r="AG660">
        <f>IF('WetLitterbags placem_collection'!AC221="","",'WetLitterbags placem_collection'!AC221)</f>
        <v>1</v>
      </c>
      <c r="AH660" s="24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placem_collection'!X221)),"YES","NO")</f>
        <v>NO</v>
      </c>
      <c r="AM660" t="str">
        <f>IF(ISNUMBER(SEARCH("H", 'WetLitterbags placem_collection'!X221)),"YES","NO")</f>
        <v>NO</v>
      </c>
      <c r="AN660" t="str">
        <f>IF(ISNUMBER(SEARCH("R", 'WetLitterbags placem_collection'!X221)),"YES","NO")</f>
        <v>YES</v>
      </c>
    </row>
    <row r="661" spans="1:40" ht="15" customHeight="1">
      <c r="A661" s="258" t="s">
        <v>2460</v>
      </c>
      <c r="B661" s="263">
        <f>'Dry_Litterbag Placem_Collection'!A222</f>
        <v>220</v>
      </c>
      <c r="C661" s="263" t="str">
        <f>'Dry_Litterbag Placem_Collection'!B222</f>
        <v>Seronera</v>
      </c>
      <c r="D661" s="263" t="s">
        <v>2659</v>
      </c>
      <c r="E661" s="263" t="s">
        <v>2526</v>
      </c>
      <c r="F661" s="263">
        <v>4</v>
      </c>
      <c r="G661" s="264" t="str">
        <f>'Dry_Litterbag Placem_Collection'!C222</f>
        <v>Local4_CG4</v>
      </c>
      <c r="H661" s="273" t="s">
        <v>3651</v>
      </c>
      <c r="I661" s="266" t="s">
        <v>1147</v>
      </c>
      <c r="J661" s="223" t="str">
        <f>'WetLitterbags placem_collection'!O222</f>
        <v>G849</v>
      </c>
      <c r="K661" s="225">
        <f>IFERROR(INDEX('Green_rooibos initial weight'!$C$5:$C$1749,MATCH(J661, 'Green_rooibos initial weight'!$A$5:$A$1749,0)),"")</f>
        <v>2.1070000000000002</v>
      </c>
      <c r="L661" s="225">
        <f>IFERROR(K661-(TBIcalc!$H$9+TBIcalc!$H$10),"")</f>
        <v>1.8572000000000002</v>
      </c>
      <c r="M661" s="391">
        <f>AVERAGE(Ashed_controlls!$K$2:$K$11)</f>
        <v>5.5147656768714146</v>
      </c>
      <c r="N661" s="225">
        <f t="shared" si="54"/>
        <v>1.7547797718491442</v>
      </c>
      <c r="O661" s="225">
        <f>IF(IFERROR(INDEX('Both teabags AfterWet'!$C$3:$C$841,MATCH(J661,'Both teabags AfterWet'!$A$3:$A$841,0)),"")="","",(IFERROR(INDEX('Both teabags AfterWet'!$C$3:$C$841,MATCH(J661,'Both teabags AfterWet'!$A$3:$A$841,0)),"")))</f>
        <v>0.65239999999999998</v>
      </c>
      <c r="P661" s="225">
        <f>IFERROR(IF(O661&gt;0,O661-(TBIcalc!$H$9),""),"")</f>
        <v>0.50180000000000002</v>
      </c>
      <c r="Q661" s="225">
        <f>IFERROR(INDEX('Ashed teabags wet'!$K$2:$K$821,MATCH(J661,'Ashed teabags wet'!$A$2:$A$821,0)),"")</f>
        <v>11.566979733070331</v>
      </c>
      <c r="R661" s="225">
        <f t="shared" si="57"/>
        <v>0.44375689569945309</v>
      </c>
      <c r="S661" s="226">
        <f>'WetLitterbags placem_collection'!E222</f>
        <v>42769</v>
      </c>
      <c r="T661" s="226">
        <f>IF('WetLitterbags placem_collection'!G222="","",'WetLitterbags placem_collection'!G222)</f>
        <v>42813</v>
      </c>
      <c r="U661" s="227">
        <f t="shared" si="53"/>
        <v>44</v>
      </c>
      <c r="V661" s="225">
        <f t="shared" si="55"/>
        <v>1.3554000000000002</v>
      </c>
      <c r="W661" s="225">
        <f t="shared" si="56"/>
        <v>1.3110228761496912</v>
      </c>
      <c r="X661">
        <f>IFERROR(INDEX(Rainfall_Wet!$O$2:$O$217,MATCH(B661, Rainfall_Wet!$A$2:$A$217,0)),"")</f>
        <v>175.054685654</v>
      </c>
      <c r="Y661" s="231">
        <v>15.960000000000003</v>
      </c>
      <c r="Z661" s="231">
        <v>6.9199999999999982</v>
      </c>
      <c r="AA661" s="231">
        <v>77.11999999999999</v>
      </c>
      <c r="AB661" s="231" t="s">
        <v>2671</v>
      </c>
      <c r="AC661" s="231">
        <v>0.60547067520946207</v>
      </c>
      <c r="AD661">
        <f>IF('WetLitterbags placem_collection'!AB222="","",'WetLitterbags placem_collection'!AB222)</f>
        <v>15.2</v>
      </c>
      <c r="AE661">
        <f>IF('WetLitterbags placem_collection'!Z222="","",'WetLitterbags placem_collection'!Z222)</f>
        <v>12.2</v>
      </c>
      <c r="AF661" s="246" t="str">
        <f>IF('WetLitterbags placem_collection'!AA222="","",'WetLitterbags placem_collection'!AA222)</f>
        <v>O</v>
      </c>
      <c r="AG661">
        <f>IF('WetLitterbags placem_collection'!AC222="","",'WetLitterbags placem_collection'!AC222)</f>
        <v>1</v>
      </c>
      <c r="AH661" s="24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placem_collection'!X222)),"YES","NO")</f>
        <v>NO</v>
      </c>
      <c r="AM661" t="str">
        <f>IF(ISNUMBER(SEARCH("H", 'WetLitterbags placem_collection'!X222)),"YES","NO")</f>
        <v>NO</v>
      </c>
      <c r="AN661" t="str">
        <f>IF(ISNUMBER(SEARCH("R", 'WetLitterbags placem_collection'!X222)),"YES","NO")</f>
        <v>YES</v>
      </c>
    </row>
    <row r="662" spans="1:40" ht="15" customHeight="1">
      <c r="A662" s="258" t="s">
        <v>2460</v>
      </c>
      <c r="B662" s="263">
        <f>'Dry_Litterbag Placem_Collection'!A3</f>
        <v>1</v>
      </c>
      <c r="C662" s="263" t="str">
        <f>'Dry_Litterbag Placem_Collection'!B3</f>
        <v>Makao</v>
      </c>
      <c r="D662" s="263" t="s">
        <v>2659</v>
      </c>
      <c r="E662" s="263" t="s">
        <v>2660</v>
      </c>
      <c r="F662" s="263">
        <v>1</v>
      </c>
      <c r="G662" s="264" t="str">
        <f>'Dry_Litterbag Placem_Collection'!C3</f>
        <v>Dry_Ag1_T1</v>
      </c>
      <c r="H662" s="273" t="s">
        <v>3651</v>
      </c>
      <c r="I662" s="274" t="s">
        <v>298</v>
      </c>
      <c r="J662" s="223" t="str">
        <f>'WetLitterbags placem_collection'!Q3</f>
        <v>R133</v>
      </c>
      <c r="K662" s="225">
        <f>IFERROR(INDEX('Green_rooibos initial weight'!$C$5:$C$1749,MATCH(J662, 'Green_rooibos initial weight'!$A$5:$A$1749,0)),"")</f>
        <v>2.1760000000000002</v>
      </c>
      <c r="L662" s="225">
        <f>IFERROR(K662-(TBIcalc!$H$9+TBIcalc!$H$10),"")</f>
        <v>1.9262000000000001</v>
      </c>
      <c r="M662" s="391">
        <f>AVERAGE(Ashed_controlls!$K$12:$K$14)</f>
        <v>2.2816647271287041</v>
      </c>
      <c r="N662" s="225">
        <f t="shared" si="54"/>
        <v>1.8822505740260471</v>
      </c>
      <c r="O662" s="225">
        <f>IF(IFERROR(INDEX('Both teabags AfterWet'!$C$3:$C$841,MATCH(J662,'Both teabags AfterWet'!$A$3:$A$841,0)),"")="","",(IFERROR(INDEX('Both teabags AfterWet'!$C$3:$C$841,MATCH(J662,'Both teabags AfterWet'!$A$3:$A$841,0)),"")))</f>
        <v>1.4104000000000001</v>
      </c>
      <c r="P662" s="225">
        <f>IFERROR(IF(O662&gt;0,O662-(TBIcalc!$H$9),""),"")</f>
        <v>1.2598</v>
      </c>
      <c r="Q662" s="225" t="str">
        <f>IFERROR(INDEX('Ashed teabags wet'!$K$2:$K$821,MATCH(J662,'Ashed teabags wet'!$A$2:$A$821,0)),"")</f>
        <v/>
      </c>
      <c r="R662" s="225" t="str">
        <f t="shared" si="57"/>
        <v/>
      </c>
      <c r="S662" s="226">
        <f>'WetLitterbags placem_collection'!E3</f>
        <v>42766</v>
      </c>
      <c r="T662" s="226">
        <f>IF('WetLitterbags placem_collection'!G3="","",'WetLitterbags placem_collection'!G3)</f>
        <v>42818</v>
      </c>
      <c r="U662" s="227">
        <f t="shared" ref="U662" si="58">IFERROR(T662-S662,"")</f>
        <v>52</v>
      </c>
      <c r="V662" s="225">
        <f t="shared" si="55"/>
        <v>0.6664000000000001</v>
      </c>
      <c r="W662" s="225" t="str">
        <f t="shared" si="56"/>
        <v/>
      </c>
      <c r="X662">
        <f>IFERROR(INDEX(Rainfall_Wet!$O$2:$O$217,MATCH(B662, Rainfall_Wet!$A$2:$A$217,0)),"")</f>
        <v>194.43839254400001</v>
      </c>
      <c r="Y662" s="231">
        <v>12.565665055683967</v>
      </c>
      <c r="Z662" s="231">
        <v>0.9665896196679955</v>
      </c>
      <c r="AA662" s="231">
        <v>86.467745324648035</v>
      </c>
      <c r="AB662" s="232" t="s">
        <v>2672</v>
      </c>
      <c r="AC662" s="231">
        <v>1.0225726959093147</v>
      </c>
      <c r="AD662">
        <f>IF('WetLitterbags placem_collection'!AB3="","",'WetLitterbags placem_collection'!AB3)</f>
        <v>26.4</v>
      </c>
      <c r="AE662">
        <f>IF('WetLitterbags placem_collection'!Z3="","",'WetLitterbags placem_collection'!Z3)</f>
        <v>41</v>
      </c>
      <c r="AF662" s="24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placem_collection'!Y3)),"YES","NO")</f>
        <v>NO</v>
      </c>
      <c r="AM662" t="str">
        <f>IF(ISNUMBER(SEARCH("H", 'WetLitterbags placem_collection'!Y3)),"YES","NO")</f>
        <v>NO</v>
      </c>
      <c r="AN662" t="str">
        <f>IF(ISNUMBER(SEARCH("R", 'WetLitterbags placem_collection'!Y3)),"YES","NO")</f>
        <v>NO</v>
      </c>
    </row>
    <row r="663" spans="1:40" ht="15" customHeight="1">
      <c r="A663" s="258" t="s">
        <v>2460</v>
      </c>
      <c r="B663" s="263">
        <f>'Dry_Litterbag Placem_Collection'!A4</f>
        <v>2</v>
      </c>
      <c r="C663" s="263" t="str">
        <f>'Dry_Litterbag Placem_Collection'!B4</f>
        <v>Makao</v>
      </c>
      <c r="D663" s="263" t="s">
        <v>2659</v>
      </c>
      <c r="E663" s="263" t="s">
        <v>2660</v>
      </c>
      <c r="F663" s="263">
        <v>1</v>
      </c>
      <c r="G663" s="264" t="str">
        <f>'Dry_Litterbag Placem_Collection'!C4</f>
        <v>Dry_Ag1_T2</v>
      </c>
      <c r="H663" s="273" t="s">
        <v>3651</v>
      </c>
      <c r="I663" s="274" t="s">
        <v>298</v>
      </c>
      <c r="J663" s="223" t="str">
        <f>'WetLitterbags placem_collection'!Q4</f>
        <v>R527</v>
      </c>
      <c r="K663" s="225">
        <f>IFERROR(INDEX('Green_rooibos initial weight'!$C$5:$C$1749,MATCH(J663, 'Green_rooibos initial weight'!$A$5:$A$1749,0)),"")</f>
        <v>2.1859999999999999</v>
      </c>
      <c r="L663" s="225">
        <f>IFERROR(K663-(TBIcalc!$H$9+TBIcalc!$H$10),"")</f>
        <v>1.9361999999999999</v>
      </c>
      <c r="M663" s="391">
        <f>AVERAGE(Ashed_controlls!$K$12:$K$14)</f>
        <v>2.2816647271287041</v>
      </c>
      <c r="N663" s="225">
        <f t="shared" si="54"/>
        <v>1.8920224075533341</v>
      </c>
      <c r="O663" s="225">
        <f>IF(IFERROR(INDEX('Both teabags AfterWet'!$C$3:$C$841,MATCH(J663,'Both teabags AfterWet'!$A$3:$A$841,0)),"")="","",(IFERROR(INDEX('Both teabags AfterWet'!$C$3:$C$841,MATCH(J663,'Both teabags AfterWet'!$A$3:$A$841,0)),"")))</f>
        <v>1.3275999999999999</v>
      </c>
      <c r="P663" s="225">
        <f>IFERROR(IF(O663&gt;0,O663-(TBIcalc!$H$9),""),"")</f>
        <v>1.1769999999999998</v>
      </c>
      <c r="Q663" s="225">
        <f>IFERROR(INDEX('Ashed teabags wet'!$K$2:$K$821,MATCH(J663,'Ashed teabags wet'!$A$2:$A$821,0)),"")</f>
        <v>4.4433349975038503</v>
      </c>
      <c r="R663" s="225">
        <f t="shared" si="57"/>
        <v>1.1247019470793795</v>
      </c>
      <c r="S663" s="226">
        <f>'WetLitterbags placem_collection'!E4</f>
        <v>42766</v>
      </c>
      <c r="T663" s="226">
        <f>IF('WetLitterbags placem_collection'!G4="","",'WetLitterbags placem_collection'!G4)</f>
        <v>42818</v>
      </c>
      <c r="U663" s="227">
        <f t="shared" ref="U663:U726" si="59">IFERROR(T663-S663,"")</f>
        <v>52</v>
      </c>
      <c r="V663" s="225">
        <f t="shared" si="55"/>
        <v>0.7592000000000001</v>
      </c>
      <c r="W663" s="225">
        <f t="shared" si="56"/>
        <v>0.76732046047395452</v>
      </c>
      <c r="X663">
        <f>IFERROR(INDEX(Rainfall_Wet!$O$2:$O$217,MATCH(B663, Rainfall_Wet!$A$2:$A$217,0)),"")</f>
        <v>194.43839254400001</v>
      </c>
      <c r="Y663" s="231">
        <v>12.565665055683967</v>
      </c>
      <c r="Z663" s="231">
        <v>0.9665896196679955</v>
      </c>
      <c r="AA663" s="231">
        <v>86.467745324648035</v>
      </c>
      <c r="AB663" s="232" t="s">
        <v>2672</v>
      </c>
      <c r="AC663" s="231">
        <v>2.02257269590931</v>
      </c>
      <c r="AD663">
        <f>IF('WetLitterbags placem_collection'!AB4="","",'WetLitterbags placem_collection'!AB4)</f>
        <v>22.4</v>
      </c>
      <c r="AE663">
        <f>IF('WetLitterbags placem_collection'!Z4="","",'WetLitterbags placem_collection'!Z4)</f>
        <v>39.799999999999997</v>
      </c>
      <c r="AF663" s="24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placem_collection'!Y4)),"YES","NO")</f>
        <v>NO</v>
      </c>
      <c r="AM663" t="str">
        <f>IF(ISNUMBER(SEARCH("H", 'WetLitterbags placem_collection'!Y4)),"YES","NO")</f>
        <v>NO</v>
      </c>
      <c r="AN663" t="str">
        <f>IF(ISNUMBER(SEARCH("R", 'WetLitterbags placem_collection'!Y4)),"YES","NO")</f>
        <v>NO</v>
      </c>
    </row>
    <row r="664" spans="1:40" ht="15" customHeight="1">
      <c r="A664" s="258" t="s">
        <v>2460</v>
      </c>
      <c r="B664" s="263">
        <f>'Dry_Litterbag Placem_Collection'!A5</f>
        <v>3</v>
      </c>
      <c r="C664" s="263" t="str">
        <f>'Dry_Litterbag Placem_Collection'!B5</f>
        <v>Makao</v>
      </c>
      <c r="D664" s="263" t="s">
        <v>2659</v>
      </c>
      <c r="E664" s="263" t="s">
        <v>2660</v>
      </c>
      <c r="F664" s="263">
        <v>1</v>
      </c>
      <c r="G664" s="264" t="str">
        <f>'Dry_Litterbag Placem_Collection'!C5</f>
        <v>Dry_Ag1_T3</v>
      </c>
      <c r="H664" s="273" t="s">
        <v>3651</v>
      </c>
      <c r="I664" s="274" t="s">
        <v>298</v>
      </c>
      <c r="J664" s="223" t="str">
        <f>'WetLitterbags placem_collection'!Q5</f>
        <v>R498</v>
      </c>
      <c r="K664" s="225">
        <f>IFERROR(INDEX('Green_rooibos initial weight'!$C$5:$C$1749,MATCH(J664, 'Green_rooibos initial weight'!$A$5:$A$1749,0)),"")</f>
        <v>2.1520000000000001</v>
      </c>
      <c r="L664" s="225">
        <f>IFERROR(K664-(TBIcalc!$H$9+TBIcalc!$H$10),"")</f>
        <v>1.9022000000000001</v>
      </c>
      <c r="M664" s="391">
        <f>AVERAGE(Ashed_controlls!$K$12:$K$14)</f>
        <v>2.2816647271287041</v>
      </c>
      <c r="N664" s="225">
        <f t="shared" si="54"/>
        <v>1.8587981735605579</v>
      </c>
      <c r="O664" s="225" t="str">
        <f>IF(IFERROR(INDEX('Both teabags AfterWet'!$C$3:$C$841,MATCH(J664,'Both teabags AfterWet'!$A$3:$A$841,0)),"")="","",(IFERROR(INDEX('Both teabags AfterWet'!$C$3:$C$841,MATCH(J664,'Both teabags AfterWet'!$A$3:$A$841,0)),"")))</f>
        <v/>
      </c>
      <c r="P664" s="225" t="str">
        <f>IFERROR(IF(O664&gt;0,O664-(TBIcalc!$H$9),""),"")</f>
        <v/>
      </c>
      <c r="Q664" s="225" t="str">
        <f>IFERROR(INDEX('Ashed teabags wet'!$K$2:$K$821,MATCH(J664,'Ashed teabags wet'!$A$2:$A$821,0)),"")</f>
        <v/>
      </c>
      <c r="R664" s="225" t="str">
        <f t="shared" si="57"/>
        <v/>
      </c>
      <c r="S664" s="226">
        <f>'WetLitterbags placem_collection'!E5</f>
        <v>42766</v>
      </c>
      <c r="T664" s="226" t="str">
        <f>IF('WetLitterbags placem_collection'!G5="","",'WetLitterbags placem_collection'!G5)</f>
        <v/>
      </c>
      <c r="U664" s="227" t="str">
        <f t="shared" si="59"/>
        <v/>
      </c>
      <c r="V664" s="225" t="str">
        <f t="shared" si="55"/>
        <v/>
      </c>
      <c r="W664" s="225" t="str">
        <f t="shared" si="56"/>
        <v/>
      </c>
      <c r="X664" t="str">
        <f>IFERROR(INDEX(Rainfall_Wet!$O$2:$O$217,MATCH(B664, Rainfall_Wet!$A$2:$A$217,0)),"")</f>
        <v/>
      </c>
      <c r="Y664" s="231">
        <v>12.565665055683967</v>
      </c>
      <c r="Z664" s="231">
        <v>0.9665896196679955</v>
      </c>
      <c r="AA664" s="231">
        <v>86.467745324648035</v>
      </c>
      <c r="AB664" s="232" t="s">
        <v>2672</v>
      </c>
      <c r="AC664" s="231">
        <v>3.02257269590931</v>
      </c>
      <c r="AD664" t="str">
        <f>IF('WetLitterbags placem_collection'!AB5="","",'WetLitterbags placem_collection'!AB5)</f>
        <v/>
      </c>
      <c r="AE664" t="str">
        <f>IF('WetLitterbags placem_collection'!Z5="","",'WetLitterbags placem_collection'!Z5)</f>
        <v/>
      </c>
      <c r="AF664" s="24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placem_collection'!Y5)),"YES","NO")</f>
        <v>NO</v>
      </c>
      <c r="AM664" t="str">
        <f>IF(ISNUMBER(SEARCH("H", 'WetLitterbags placem_collection'!Y5)),"YES","NO")</f>
        <v>NO</v>
      </c>
      <c r="AN664" t="str">
        <f>IF(ISNUMBER(SEARCH("R", 'WetLitterbags placem_collection'!Y5)),"YES","NO")</f>
        <v>NO</v>
      </c>
    </row>
    <row r="665" spans="1:40" ht="15" customHeight="1">
      <c r="A665" s="258" t="s">
        <v>2460</v>
      </c>
      <c r="B665" s="263">
        <f>'Dry_Litterbag Placem_Collection'!A6</f>
        <v>4</v>
      </c>
      <c r="C665" s="263" t="str">
        <f>'Dry_Litterbag Placem_Collection'!B6</f>
        <v>Makao</v>
      </c>
      <c r="D665" s="263" t="s">
        <v>2659</v>
      </c>
      <c r="E665" s="263" t="s">
        <v>2660</v>
      </c>
      <c r="F665" s="263">
        <v>1</v>
      </c>
      <c r="G665" s="264" t="str">
        <f>'Dry_Litterbag Placem_Collection'!C6</f>
        <v>Dry_Ag1_T4</v>
      </c>
      <c r="H665" s="273" t="s">
        <v>3651</v>
      </c>
      <c r="I665" s="274" t="s">
        <v>298</v>
      </c>
      <c r="J665" s="223" t="str">
        <f>'WetLitterbags placem_collection'!Q6</f>
        <v>R508</v>
      </c>
      <c r="K665" s="225">
        <f>IFERROR(INDEX('Green_rooibos initial weight'!$C$5:$C$1749,MATCH(J665, 'Green_rooibos initial weight'!$A$5:$A$1749,0)),"")</f>
        <v>2.169</v>
      </c>
      <c r="L665" s="225">
        <f>IFERROR(K665-(TBIcalc!$H$9+TBIcalc!$H$10),"")</f>
        <v>1.9192</v>
      </c>
      <c r="M665" s="391">
        <f>AVERAGE(Ashed_controlls!$K$12:$K$14)</f>
        <v>2.2816647271287041</v>
      </c>
      <c r="N665" s="225">
        <f t="shared" si="54"/>
        <v>1.8754102905569459</v>
      </c>
      <c r="O665" s="225">
        <f>IF(IFERROR(INDEX('Both teabags AfterWet'!$C$3:$C$841,MATCH(J665,'Both teabags AfterWet'!$A$3:$A$841,0)),"")="","",(IFERROR(INDEX('Both teabags AfterWet'!$C$3:$C$841,MATCH(J665,'Both teabags AfterWet'!$A$3:$A$841,0)),"")))</f>
        <v>1.3392999999999999</v>
      </c>
      <c r="P665" s="225">
        <f>IFERROR(IF(O665&gt;0,O665-(TBIcalc!$H$9),""),"")</f>
        <v>1.1886999999999999</v>
      </c>
      <c r="Q665" s="225">
        <f>IFERROR(INDEX('Ashed teabags wet'!$K$2:$K$821,MATCH(J665,'Ashed teabags wet'!$A$2:$A$821,0)),"")</f>
        <v>4.9578582052553344</v>
      </c>
      <c r="R665" s="225">
        <f t="shared" si="57"/>
        <v>1.1297659395141297</v>
      </c>
      <c r="S665" s="226">
        <f>'WetLitterbags placem_collection'!E6</f>
        <v>42766</v>
      </c>
      <c r="T665" s="226">
        <f>IF('WetLitterbags placem_collection'!G6="","",'WetLitterbags placem_collection'!G6)</f>
        <v>42818</v>
      </c>
      <c r="U665" s="227">
        <f t="shared" si="59"/>
        <v>52</v>
      </c>
      <c r="V665" s="225">
        <f t="shared" si="55"/>
        <v>0.73050000000000015</v>
      </c>
      <c r="W665" s="225">
        <f t="shared" si="56"/>
        <v>0.74564435104281612</v>
      </c>
      <c r="X665">
        <f>IFERROR(INDEX(Rainfall_Wet!$O$2:$O$217,MATCH(B665, Rainfall_Wet!$A$2:$A$217,0)),"")</f>
        <v>194.43839254400001</v>
      </c>
      <c r="Y665" s="231">
        <v>12.565665055683967</v>
      </c>
      <c r="Z665" s="231">
        <v>0.9665896196679955</v>
      </c>
      <c r="AA665" s="231">
        <v>86.467745324648035</v>
      </c>
      <c r="AB665" s="232" t="s">
        <v>2672</v>
      </c>
      <c r="AC665" s="231">
        <v>4.02257269590931</v>
      </c>
      <c r="AD665" t="str">
        <f>IF('WetLitterbags placem_collection'!AB6="","",'WetLitterbags placem_collection'!AB6)</f>
        <v/>
      </c>
      <c r="AE665" t="str">
        <f>IF('WetLitterbags placem_collection'!Z6="","",'WetLitterbags placem_collection'!Z6)</f>
        <v/>
      </c>
      <c r="AF665" s="24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placem_collection'!Y6)),"YES","NO")</f>
        <v>NO</v>
      </c>
      <c r="AM665" t="str">
        <f>IF(ISNUMBER(SEARCH("H", 'WetLitterbags placem_collection'!Y6)),"YES","NO")</f>
        <v>NO</v>
      </c>
      <c r="AN665" t="str">
        <f>IF(ISNUMBER(SEARCH("R", 'WetLitterbags placem_collection'!Y6)),"YES","NO")</f>
        <v>NO</v>
      </c>
    </row>
    <row r="666" spans="1:40" ht="15" customHeight="1">
      <c r="A666" s="258" t="s">
        <v>2460</v>
      </c>
      <c r="B666" s="263">
        <f>'Dry_Litterbag Placem_Collection'!A7</f>
        <v>5</v>
      </c>
      <c r="C666" s="263" t="str">
        <f>'Dry_Litterbag Placem_Collection'!B7</f>
        <v>Makao</v>
      </c>
      <c r="D666" s="263" t="s">
        <v>2659</v>
      </c>
      <c r="E666" s="263" t="s">
        <v>2660</v>
      </c>
      <c r="F666" s="263">
        <v>1</v>
      </c>
      <c r="G666" s="264" t="str">
        <f>'Dry_Litterbag Placem_Collection'!C7</f>
        <v>Dry_Ag1_T5</v>
      </c>
      <c r="H666" s="273" t="s">
        <v>3651</v>
      </c>
      <c r="I666" s="274" t="s">
        <v>298</v>
      </c>
      <c r="J666" s="223" t="str">
        <f>'WetLitterbags placem_collection'!Q7</f>
        <v>R38</v>
      </c>
      <c r="K666" s="225">
        <f>IFERROR(INDEX('Green_rooibos initial weight'!$C$5:$C$1749,MATCH(J666, 'Green_rooibos initial weight'!$A$5:$A$1749,0)),"")</f>
        <v>2.12</v>
      </c>
      <c r="L666" s="225">
        <f>IFERROR(K666-(TBIcalc!$H$9+TBIcalc!$H$10),"")</f>
        <v>1.8702000000000001</v>
      </c>
      <c r="M666" s="391">
        <f>AVERAGE(Ashed_controlls!$K$12:$K$14)</f>
        <v>2.2816647271287041</v>
      </c>
      <c r="N666" s="225">
        <f t="shared" si="54"/>
        <v>1.827528306273239</v>
      </c>
      <c r="O666" s="225">
        <f>IF(IFERROR(INDEX('Both teabags AfterWet'!$C$3:$C$841,MATCH(J666,'Both teabags AfterWet'!$A$3:$A$841,0)),"")="","",(IFERROR(INDEX('Both teabags AfterWet'!$C$3:$C$841,MATCH(J666,'Both teabags AfterWet'!$A$3:$A$841,0)),"")))</f>
        <v>1.2627999999999999</v>
      </c>
      <c r="P666" s="225">
        <f>IFERROR(IF(O666&gt;0,O666-(TBIcalc!$H$9),""),"")</f>
        <v>1.1121999999999999</v>
      </c>
      <c r="Q666" s="225">
        <f>IFERROR(INDEX('Ashed teabags wet'!$K$2:$K$821,MATCH(J666,'Ashed teabags wet'!$A$2:$A$821,0)),"")</f>
        <v>5.8070866141733264</v>
      </c>
      <c r="R666" s="225">
        <f t="shared" si="57"/>
        <v>1.0476135826771642</v>
      </c>
      <c r="S666" s="226">
        <f>'WetLitterbags placem_collection'!E7</f>
        <v>42766</v>
      </c>
      <c r="T666" s="226">
        <f>IF('WetLitterbags placem_collection'!G7="","",'WetLitterbags placem_collection'!G7)</f>
        <v>42818</v>
      </c>
      <c r="U666" s="227">
        <f t="shared" si="59"/>
        <v>52</v>
      </c>
      <c r="V666" s="225">
        <f t="shared" si="55"/>
        <v>0.75800000000000023</v>
      </c>
      <c r="W666" s="225">
        <f t="shared" si="56"/>
        <v>0.77991472359607483</v>
      </c>
      <c r="X666">
        <f>IFERROR(INDEX(Rainfall_Wet!$O$2:$O$217,MATCH(B666, Rainfall_Wet!$A$2:$A$217,0)),"")</f>
        <v>194.43839254400001</v>
      </c>
      <c r="Y666" s="231">
        <v>12.565665055683967</v>
      </c>
      <c r="Z666" s="231">
        <v>0.9665896196679955</v>
      </c>
      <c r="AA666" s="231">
        <v>86.467745324648035</v>
      </c>
      <c r="AB666" s="232" t="s">
        <v>2672</v>
      </c>
      <c r="AC666" s="231">
        <v>5.02257269590931</v>
      </c>
      <c r="AD666">
        <f>IF('WetLitterbags placem_collection'!AB7="","",'WetLitterbags placem_collection'!AB7)</f>
        <v>28.4</v>
      </c>
      <c r="AE666">
        <f>IF('WetLitterbags placem_collection'!Z7="","",'WetLitterbags placem_collection'!Z7)</f>
        <v>36.4</v>
      </c>
      <c r="AF666" s="24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placem_collection'!Y7)),"YES","NO")</f>
        <v>NO</v>
      </c>
      <c r="AM666" t="str">
        <f>IF(ISNUMBER(SEARCH("H", 'WetLitterbags placem_collection'!Y7)),"YES","NO")</f>
        <v>NO</v>
      </c>
      <c r="AN666" t="str">
        <f>IF(ISNUMBER(SEARCH("R", 'WetLitterbags placem_collection'!Y7)),"YES","NO")</f>
        <v>NO</v>
      </c>
    </row>
    <row r="667" spans="1:40" ht="15" customHeight="1">
      <c r="A667" s="258" t="s">
        <v>2460</v>
      </c>
      <c r="B667" s="263">
        <f>'Dry_Litterbag Placem_Collection'!A8</f>
        <v>6</v>
      </c>
      <c r="C667" s="263" t="str">
        <f>'Dry_Litterbag Placem_Collection'!B8</f>
        <v>Makao</v>
      </c>
      <c r="D667" s="263" t="s">
        <v>2659</v>
      </c>
      <c r="E667" s="263" t="s">
        <v>2660</v>
      </c>
      <c r="F667" s="263">
        <v>1</v>
      </c>
      <c r="G667" s="264" t="str">
        <f>'Dry_Litterbag Placem_Collection'!C8</f>
        <v>Dry_Ag1_T6</v>
      </c>
      <c r="H667" s="273" t="s">
        <v>3651</v>
      </c>
      <c r="I667" s="274" t="s">
        <v>298</v>
      </c>
      <c r="J667" s="223" t="str">
        <f>'WetLitterbags placem_collection'!Q8</f>
        <v>R59</v>
      </c>
      <c r="K667" s="225">
        <f>IFERROR(INDEX('Green_rooibos initial weight'!$C$5:$C$1749,MATCH(J667, 'Green_rooibos initial weight'!$A$5:$A$1749,0)),"")</f>
        <v>2.2029999999999998</v>
      </c>
      <c r="L667" s="225">
        <f>IFERROR(K667-(TBIcalc!$H$9+TBIcalc!$H$10),"")</f>
        <v>1.9531999999999998</v>
      </c>
      <c r="M667" s="391">
        <f>AVERAGE(Ashed_controlls!$K$12:$K$14)</f>
        <v>2.2816647271287041</v>
      </c>
      <c r="N667" s="225">
        <f t="shared" si="54"/>
        <v>1.908634524549722</v>
      </c>
      <c r="O667" s="225">
        <f>IF(IFERROR(INDEX('Both teabags AfterWet'!$C$3:$C$841,MATCH(J667,'Both teabags AfterWet'!$A$3:$A$841,0)),"")="","",(IFERROR(INDEX('Both teabags AfterWet'!$C$3:$C$841,MATCH(J667,'Both teabags AfterWet'!$A$3:$A$841,0)),"")))</f>
        <v>1.4990000000000001</v>
      </c>
      <c r="P667" s="225">
        <f>IFERROR(IF(O667&gt;0,O667-(TBIcalc!$H$9),""),"")</f>
        <v>1.3484</v>
      </c>
      <c r="Q667" s="225">
        <f>IFERROR(INDEX('Ashed teabags wet'!$K$2:$K$821,MATCH(J667,'Ashed teabags wet'!$A$2:$A$821,0)),"")</f>
        <v>5.3641732283467132</v>
      </c>
      <c r="R667" s="225">
        <f t="shared" si="57"/>
        <v>1.2760694881889729</v>
      </c>
      <c r="S667" s="226">
        <f>'WetLitterbags placem_collection'!E8</f>
        <v>42766</v>
      </c>
      <c r="T667" s="226">
        <f>IF('WetLitterbags placem_collection'!G8="","",'WetLitterbags placem_collection'!G8)</f>
        <v>42818</v>
      </c>
      <c r="U667" s="227">
        <f t="shared" si="59"/>
        <v>52</v>
      </c>
      <c r="V667" s="225">
        <f t="shared" si="55"/>
        <v>0.60479999999999978</v>
      </c>
      <c r="W667" s="225">
        <f t="shared" si="56"/>
        <v>0.63256503636074912</v>
      </c>
      <c r="X667">
        <f>IFERROR(INDEX(Rainfall_Wet!$O$2:$O$217,MATCH(B667, Rainfall_Wet!$A$2:$A$217,0)),"")</f>
        <v>194.43839254400001</v>
      </c>
      <c r="Y667" s="231">
        <v>12.565665055683967</v>
      </c>
      <c r="Z667" s="231">
        <v>0.9665896196679955</v>
      </c>
      <c r="AA667" s="231">
        <v>86.467745324648035</v>
      </c>
      <c r="AB667" s="232" t="s">
        <v>2672</v>
      </c>
      <c r="AC667" s="231">
        <v>6.02257269590931</v>
      </c>
      <c r="AD667">
        <f>IF('WetLitterbags placem_collection'!AB8="","",'WetLitterbags placem_collection'!AB8)</f>
        <v>32.4</v>
      </c>
      <c r="AE667">
        <f>IF('WetLitterbags placem_collection'!Z8="","",'WetLitterbags placem_collection'!Z8)</f>
        <v>31</v>
      </c>
      <c r="AF667" s="24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placem_collection'!Y8)),"YES","NO")</f>
        <v>NO</v>
      </c>
      <c r="AM667" t="str">
        <f>IF(ISNUMBER(SEARCH("H", 'WetLitterbags placem_collection'!Y8)),"YES","NO")</f>
        <v>NO</v>
      </c>
      <c r="AN667" t="str">
        <f>IF(ISNUMBER(SEARCH("R", 'WetLitterbags placem_collection'!Y8)),"YES","NO")</f>
        <v>YES</v>
      </c>
    </row>
    <row r="668" spans="1:40" ht="15" customHeight="1">
      <c r="A668" s="258" t="s">
        <v>2460</v>
      </c>
      <c r="B668" s="263">
        <f>'Dry_Litterbag Placem_Collection'!A9</f>
        <v>7</v>
      </c>
      <c r="C668" s="263" t="str">
        <f>'Dry_Litterbag Placem_Collection'!B9</f>
        <v>Makao</v>
      </c>
      <c r="D668" s="263" t="s">
        <v>2659</v>
      </c>
      <c r="E668" s="263" t="s">
        <v>2660</v>
      </c>
      <c r="F668" s="263">
        <v>1</v>
      </c>
      <c r="G668" s="264" t="str">
        <f>'Dry_Litterbag Placem_Collection'!C9</f>
        <v>Dry_Ag1_T7</v>
      </c>
      <c r="H668" s="273" t="s">
        <v>3651</v>
      </c>
      <c r="I668" s="274" t="s">
        <v>298</v>
      </c>
      <c r="J668" s="223" t="str">
        <f>'WetLitterbags placem_collection'!Q9</f>
        <v>R398</v>
      </c>
      <c r="K668" s="225">
        <f>IFERROR(INDEX('Green_rooibos initial weight'!$C$5:$C$1749,MATCH(J668, 'Green_rooibos initial weight'!$A$5:$A$1749,0)),"")</f>
        <v>2.19</v>
      </c>
      <c r="L668" s="225">
        <f>IFERROR(K668-(TBIcalc!$H$9+TBIcalc!$H$10),"")</f>
        <v>1.9401999999999999</v>
      </c>
      <c r="M668" s="391">
        <f>AVERAGE(Ashed_controlls!$K$12:$K$14)</f>
        <v>2.2816647271287041</v>
      </c>
      <c r="N668" s="225">
        <f t="shared" si="54"/>
        <v>1.8959311409642488</v>
      </c>
      <c r="O668" s="225">
        <f>IF(IFERROR(INDEX('Both teabags AfterWet'!$C$3:$C$841,MATCH(J668,'Both teabags AfterWet'!$A$3:$A$841,0)),"")="","",(IFERROR(INDEX('Both teabags AfterWet'!$C$3:$C$841,MATCH(J668,'Both teabags AfterWet'!$A$3:$A$841,0)),"")))</f>
        <v>1.518</v>
      </c>
      <c r="P668" s="225">
        <f>IFERROR(IF(O668&gt;0,O668-(TBIcalc!$H$9),""),"")</f>
        <v>1.3673999999999999</v>
      </c>
      <c r="Q668" s="225">
        <f>IFERROR(INDEX('Ashed teabags wet'!$K$2:$K$821,MATCH(J668,'Ashed teabags wet'!$A$2:$A$821,0)),"")</f>
        <v>3.7092731829574301</v>
      </c>
      <c r="R668" s="225">
        <f t="shared" si="57"/>
        <v>1.3166793984962402</v>
      </c>
      <c r="S668" s="226">
        <f>'WetLitterbags placem_collection'!E9</f>
        <v>42766</v>
      </c>
      <c r="T668" s="226">
        <f>IF('WetLitterbags placem_collection'!G9="","",'WetLitterbags placem_collection'!G9)</f>
        <v>42818</v>
      </c>
      <c r="U668" s="227">
        <f t="shared" si="59"/>
        <v>52</v>
      </c>
      <c r="V668" s="225">
        <f t="shared" si="55"/>
        <v>0.57279999999999998</v>
      </c>
      <c r="W668" s="225">
        <f t="shared" si="56"/>
        <v>0.57925174246800859</v>
      </c>
      <c r="X668">
        <f>IFERROR(INDEX(Rainfall_Wet!$O$2:$O$217,MATCH(B668, Rainfall_Wet!$A$2:$A$217,0)),"")</f>
        <v>194.43839254400001</v>
      </c>
      <c r="Y668" s="231">
        <v>12.565665055683967</v>
      </c>
      <c r="Z668" s="231">
        <v>0.9665896196679955</v>
      </c>
      <c r="AA668" s="231">
        <v>86.467745324648035</v>
      </c>
      <c r="AB668" s="232" t="s">
        <v>2672</v>
      </c>
      <c r="AC668" s="231">
        <v>7.02257269590931</v>
      </c>
      <c r="AD668">
        <f>IF('WetLitterbags placem_collection'!AB9="","",'WetLitterbags placem_collection'!AB9)</f>
        <v>36</v>
      </c>
      <c r="AE668">
        <f>IF('WetLitterbags placem_collection'!Z9="","",'WetLitterbags placem_collection'!Z9)</f>
        <v>43.4</v>
      </c>
      <c r="AF668" s="24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placem_collection'!Y9)),"YES","NO")</f>
        <v>NO</v>
      </c>
      <c r="AM668" t="str">
        <f>IF(ISNUMBER(SEARCH("H", 'WetLitterbags placem_collection'!Y9)),"YES","NO")</f>
        <v>NO</v>
      </c>
      <c r="AN668" t="str">
        <f>IF(ISNUMBER(SEARCH("R", 'WetLitterbags placem_collection'!Y9)),"YES","NO")</f>
        <v>YES</v>
      </c>
    </row>
    <row r="669" spans="1:40" ht="15" customHeight="1">
      <c r="A669" s="258" t="s">
        <v>2460</v>
      </c>
      <c r="B669" s="263">
        <f>'Dry_Litterbag Placem_Collection'!A10</f>
        <v>8</v>
      </c>
      <c r="C669" s="263" t="str">
        <f>'Dry_Litterbag Placem_Collection'!B10</f>
        <v>Makao</v>
      </c>
      <c r="D669" s="263" t="s">
        <v>2659</v>
      </c>
      <c r="E669" s="263" t="s">
        <v>2660</v>
      </c>
      <c r="F669" s="263">
        <v>1</v>
      </c>
      <c r="G669" s="264" t="str">
        <f>'Dry_Litterbag Placem_Collection'!C10</f>
        <v>Dry_Ag1_T8</v>
      </c>
      <c r="H669" s="273" t="s">
        <v>3651</v>
      </c>
      <c r="I669" s="274" t="s">
        <v>298</v>
      </c>
      <c r="J669" s="223" t="str">
        <f>'WetLitterbags placem_collection'!Q10</f>
        <v>R512</v>
      </c>
      <c r="K669" s="225">
        <f>IFERROR(INDEX('Green_rooibos initial weight'!$C$5:$C$1749,MATCH(J669, 'Green_rooibos initial weight'!$A$5:$A$1749,0)),"")</f>
        <v>2.1509999999999998</v>
      </c>
      <c r="L669" s="225">
        <f>IFERROR(K669-(TBIcalc!$H$9+TBIcalc!$H$10),"")</f>
        <v>1.9011999999999998</v>
      </c>
      <c r="M669" s="391">
        <f>AVERAGE(Ashed_controlls!$K$12:$K$14)</f>
        <v>2.2816647271287041</v>
      </c>
      <c r="N669" s="225">
        <f t="shared" si="54"/>
        <v>1.8578209902078289</v>
      </c>
      <c r="O669" s="225">
        <f>IF(IFERROR(INDEX('Both teabags AfterWet'!$C$3:$C$841,MATCH(J669,'Both teabags AfterWet'!$A$3:$A$841,0)),"")="","",(IFERROR(INDEX('Both teabags AfterWet'!$C$3:$C$841,MATCH(J669,'Both teabags AfterWet'!$A$3:$A$841,0)),"")))</f>
        <v>1.4733000000000001</v>
      </c>
      <c r="P669" s="225">
        <f>IFERROR(IF(O669&gt;0,O669-(TBIcalc!$H$9),""),"")</f>
        <v>1.3227</v>
      </c>
      <c r="Q669" s="225">
        <f>IFERROR(INDEX('Ashed teabags wet'!$K$2:$K$821,MATCH(J669,'Ashed teabags wet'!$A$2:$A$821,0)),"")</f>
        <v>3.0097087378641909</v>
      </c>
      <c r="R669" s="225">
        <f t="shared" si="57"/>
        <v>1.2828905825242702</v>
      </c>
      <c r="S669" s="226">
        <f>'WetLitterbags placem_collection'!E10</f>
        <v>42766</v>
      </c>
      <c r="T669" s="226">
        <f>IF('WetLitterbags placem_collection'!G10="","",'WetLitterbags placem_collection'!G10)</f>
        <v>42818</v>
      </c>
      <c r="U669" s="227">
        <f t="shared" si="59"/>
        <v>52</v>
      </c>
      <c r="V669" s="225">
        <f t="shared" si="55"/>
        <v>0.57849999999999979</v>
      </c>
      <c r="W669" s="225">
        <f t="shared" si="56"/>
        <v>0.57493040768355863</v>
      </c>
      <c r="X669">
        <f>IFERROR(INDEX(Rainfall_Wet!$O$2:$O$217,MATCH(B669, Rainfall_Wet!$A$2:$A$217,0)),"")</f>
        <v>194.43839254400001</v>
      </c>
      <c r="Y669" s="231">
        <v>12.565665055683967</v>
      </c>
      <c r="Z669" s="231">
        <v>0.9665896196679955</v>
      </c>
      <c r="AA669" s="231">
        <v>86.467745324648035</v>
      </c>
      <c r="AB669" s="232" t="s">
        <v>2672</v>
      </c>
      <c r="AC669" s="231">
        <v>8.0225726959093109</v>
      </c>
      <c r="AD669">
        <f>IF('WetLitterbags placem_collection'!AB10="","",'WetLitterbags placem_collection'!AB10)</f>
        <v>36</v>
      </c>
      <c r="AE669">
        <f>IF('WetLitterbags placem_collection'!Z10="","",'WetLitterbags placem_collection'!Z10)</f>
        <v>38.4</v>
      </c>
      <c r="AF669" s="24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placem_collection'!Y10)),"YES","NO")</f>
        <v>NO</v>
      </c>
      <c r="AM669" t="str">
        <f>IF(ISNUMBER(SEARCH("H", 'WetLitterbags placem_collection'!Y10)),"YES","NO")</f>
        <v>NO</v>
      </c>
      <c r="AN669" t="str">
        <f>IF(ISNUMBER(SEARCH("R", 'WetLitterbags placem_collection'!Y10)),"YES","NO")</f>
        <v>NO</v>
      </c>
    </row>
    <row r="670" spans="1:40" ht="15" customHeight="1">
      <c r="A670" s="258" t="s">
        <v>2460</v>
      </c>
      <c r="B670" s="263">
        <f>'Dry_Litterbag Placem_Collection'!A11</f>
        <v>9</v>
      </c>
      <c r="C670" s="263" t="str">
        <f>'Dry_Litterbag Placem_Collection'!B11</f>
        <v>Makao</v>
      </c>
      <c r="D670" s="263" t="s">
        <v>2659</v>
      </c>
      <c r="E670" s="263" t="s">
        <v>2660</v>
      </c>
      <c r="F670" s="263">
        <v>2</v>
      </c>
      <c r="G670" s="264" t="str">
        <f>'Dry_Litterbag Placem_Collection'!C11</f>
        <v>Dry_Ag2_T1</v>
      </c>
      <c r="H670" s="273" t="s">
        <v>3651</v>
      </c>
      <c r="I670" s="274" t="s">
        <v>298</v>
      </c>
      <c r="J670" s="223" t="str">
        <f>'WetLitterbags placem_collection'!Q11</f>
        <v>R101</v>
      </c>
      <c r="K670" s="225">
        <f>IFERROR(INDEX('Green_rooibos initial weight'!$C$5:$C$1749,MATCH(J670, 'Green_rooibos initial weight'!$A$5:$A$1749,0)),"")</f>
        <v>2.3039999999999998</v>
      </c>
      <c r="L670" s="225">
        <f>IFERROR(K670-(TBIcalc!$H$9+TBIcalc!$H$10),"")</f>
        <v>2.0541999999999998</v>
      </c>
      <c r="M670" s="391">
        <f>AVERAGE(Ashed_controlls!$K$12:$K$14)</f>
        <v>2.2816647271287041</v>
      </c>
      <c r="N670" s="225">
        <f t="shared" si="54"/>
        <v>2.007330043175322</v>
      </c>
      <c r="O670" s="225">
        <f>IF(IFERROR(INDEX('Both teabags AfterWet'!$C$3:$C$841,MATCH(J670,'Both teabags AfterWet'!$A$3:$A$841,0)),"")="","",(IFERROR(INDEX('Both teabags AfterWet'!$C$3:$C$841,MATCH(J670,'Both teabags AfterWet'!$A$3:$A$841,0)),"")))</f>
        <v>1.5383</v>
      </c>
      <c r="P670" s="225">
        <f>IFERROR(IF(O670&gt;0,O670-(TBIcalc!$H$9),""),"")</f>
        <v>1.3876999999999999</v>
      </c>
      <c r="Q670" s="225">
        <f>IFERROR(INDEX('Ashed teabags wet'!$K$2:$K$821,MATCH(J670,'Ashed teabags wet'!$A$2:$A$821,0)),"")</f>
        <v>6.1446977205149187</v>
      </c>
      <c r="R670" s="225">
        <f t="shared" si="57"/>
        <v>1.3024300297324145</v>
      </c>
      <c r="S670" s="226">
        <f>'WetLitterbags placem_collection'!E11</f>
        <v>42766</v>
      </c>
      <c r="T670" s="226">
        <f>IF('WetLitterbags placem_collection'!G11="","",'WetLitterbags placem_collection'!G11)</f>
        <v>42818</v>
      </c>
      <c r="U670" s="227">
        <f t="shared" si="59"/>
        <v>52</v>
      </c>
      <c r="V670" s="225">
        <f t="shared" si="55"/>
        <v>0.66649999999999987</v>
      </c>
      <c r="W670" s="225">
        <f t="shared" si="56"/>
        <v>0.70490001344290754</v>
      </c>
      <c r="X670">
        <f>IFERROR(INDEX(Rainfall_Wet!$O$2:$O$217,MATCH(B670, Rainfall_Wet!$A$2:$A$217,0)),"")</f>
        <v>194.43839254400001</v>
      </c>
      <c r="Y670" s="231">
        <v>21.13063730679653</v>
      </c>
      <c r="Z670" s="231">
        <v>3.0912555579081076</v>
      </c>
      <c r="AA670" s="231">
        <v>75.778107135295357</v>
      </c>
      <c r="AB670" s="232" t="s">
        <v>2670</v>
      </c>
      <c r="AC670" s="231">
        <v>0.46131099063578063</v>
      </c>
      <c r="AD670">
        <f>IF('WetLitterbags placem_collection'!AB11="","",'WetLitterbags placem_collection'!AB11)</f>
        <v>10.8</v>
      </c>
      <c r="AE670">
        <f>IF('WetLitterbags placem_collection'!Z11="","",'WetLitterbags placem_collection'!Z11)</f>
        <v>28.4</v>
      </c>
      <c r="AF670" s="24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placem_collection'!Y11)),"YES","NO")</f>
        <v>NO</v>
      </c>
      <c r="AM670" t="str">
        <f>IF(ISNUMBER(SEARCH("H", 'WetLitterbags placem_collection'!Y11)),"YES","NO")</f>
        <v>NO</v>
      </c>
      <c r="AN670" t="str">
        <f>IF(ISNUMBER(SEARCH("R", 'WetLitterbags placem_collection'!Y11)),"YES","NO")</f>
        <v>NO</v>
      </c>
    </row>
    <row r="671" spans="1:40" ht="15" customHeight="1">
      <c r="A671" s="258" t="s">
        <v>2460</v>
      </c>
      <c r="B671" s="263">
        <f>'Dry_Litterbag Placem_Collection'!A12</f>
        <v>10</v>
      </c>
      <c r="C671" s="263" t="str">
        <f>'Dry_Litterbag Placem_Collection'!B12</f>
        <v>Makao</v>
      </c>
      <c r="D671" s="263" t="s">
        <v>2659</v>
      </c>
      <c r="E671" s="263" t="s">
        <v>2660</v>
      </c>
      <c r="F671" s="263">
        <v>2</v>
      </c>
      <c r="G671" s="264" t="str">
        <f>'Dry_Litterbag Placem_Collection'!C12</f>
        <v>Dry_Ag2_T2</v>
      </c>
      <c r="H671" s="273" t="s">
        <v>3651</v>
      </c>
      <c r="I671" s="274" t="s">
        <v>298</v>
      </c>
      <c r="J671" s="223" t="str">
        <f>'WetLitterbags placem_collection'!Q12</f>
        <v>R515</v>
      </c>
      <c r="K671" s="225">
        <f>IFERROR(INDEX('Green_rooibos initial weight'!$C$5:$C$1749,MATCH(J671, 'Green_rooibos initial weight'!$A$5:$A$1749,0)),"")</f>
        <v>2.2050000000000001</v>
      </c>
      <c r="L671" s="225">
        <f>IFERROR(K671-(TBIcalc!$H$9+TBIcalc!$H$10),"")</f>
        <v>1.9552</v>
      </c>
      <c r="M671" s="391">
        <f>AVERAGE(Ashed_controlls!$K$12:$K$14)</f>
        <v>2.2816647271287041</v>
      </c>
      <c r="N671" s="225">
        <f t="shared" si="54"/>
        <v>1.9105888912551796</v>
      </c>
      <c r="O671" s="225">
        <f>IF(IFERROR(INDEX('Both teabags AfterWet'!$C$3:$C$841,MATCH(J671,'Both teabags AfterWet'!$A$3:$A$841,0)),"")="","",(IFERROR(INDEX('Both teabags AfterWet'!$C$3:$C$841,MATCH(J671,'Both teabags AfterWet'!$A$3:$A$841,0)),"")))</f>
        <v>1.3853</v>
      </c>
      <c r="P671" s="225">
        <f>IFERROR(IF(O671&gt;0,O671-(TBIcalc!$H$9),""),"")</f>
        <v>1.2346999999999999</v>
      </c>
      <c r="Q671" s="225">
        <f>IFERROR(INDEX('Ashed teabags wet'!$K$2:$K$821,MATCH(J671,'Ashed teabags wet'!$A$2:$A$821,0)),"")</f>
        <v>4.2016806722691449</v>
      </c>
      <c r="R671" s="225">
        <f t="shared" si="57"/>
        <v>1.1828218487394928</v>
      </c>
      <c r="S671" s="226">
        <f>'WetLitterbags placem_collection'!E12</f>
        <v>42766</v>
      </c>
      <c r="T671" s="226">
        <f>IF('WetLitterbags placem_collection'!G12="","",'WetLitterbags placem_collection'!G12)</f>
        <v>42818</v>
      </c>
      <c r="U671" s="227">
        <f t="shared" si="59"/>
        <v>52</v>
      </c>
      <c r="V671" s="225">
        <f t="shared" si="55"/>
        <v>0.72050000000000014</v>
      </c>
      <c r="W671" s="225">
        <f t="shared" si="56"/>
        <v>0.7277670425156868</v>
      </c>
      <c r="X671">
        <f>IFERROR(INDEX(Rainfall_Wet!$O$2:$O$217,MATCH(B671, Rainfall_Wet!$A$2:$A$217,0)),"")</f>
        <v>194.43839254400001</v>
      </c>
      <c r="Y671" s="231">
        <v>21.13063730679653</v>
      </c>
      <c r="Z671" s="231">
        <v>3.0912555579081076</v>
      </c>
      <c r="AA671" s="231">
        <v>75.778107135295357</v>
      </c>
      <c r="AB671" s="232" t="s">
        <v>2670</v>
      </c>
      <c r="AC671" s="231">
        <v>1.46131099063578</v>
      </c>
      <c r="AD671">
        <f>IF('WetLitterbags placem_collection'!AB12="","",'WetLitterbags placem_collection'!AB12)</f>
        <v>16.8</v>
      </c>
      <c r="AE671">
        <f>IF('WetLitterbags placem_collection'!Z12="","",'WetLitterbags placem_collection'!Z12)</f>
        <v>30</v>
      </c>
      <c r="AF671" s="24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placem_collection'!Y12)),"YES","NO")</f>
        <v>NO</v>
      </c>
      <c r="AM671" t="str">
        <f>IF(ISNUMBER(SEARCH("H", 'WetLitterbags placem_collection'!Y12)),"YES","NO")</f>
        <v>NO</v>
      </c>
      <c r="AN671" t="str">
        <f>IF(ISNUMBER(SEARCH("R", 'WetLitterbags placem_collection'!Y12)),"YES","NO")</f>
        <v>NO</v>
      </c>
    </row>
    <row r="672" spans="1:40" ht="15" customHeight="1">
      <c r="A672" s="258" t="s">
        <v>2460</v>
      </c>
      <c r="B672" s="263">
        <f>'Dry_Litterbag Placem_Collection'!A13</f>
        <v>11</v>
      </c>
      <c r="C672" s="263" t="str">
        <f>'Dry_Litterbag Placem_Collection'!B13</f>
        <v>Makao</v>
      </c>
      <c r="D672" s="263" t="s">
        <v>2659</v>
      </c>
      <c r="E672" s="263" t="s">
        <v>2660</v>
      </c>
      <c r="F672" s="263">
        <v>2</v>
      </c>
      <c r="G672" s="264" t="str">
        <f>'Dry_Litterbag Placem_Collection'!C13</f>
        <v>Dry_Ag2_T3</v>
      </c>
      <c r="H672" s="273" t="s">
        <v>3651</v>
      </c>
      <c r="I672" s="274" t="s">
        <v>298</v>
      </c>
      <c r="J672" s="223" t="str">
        <f>'WetLitterbags placem_collection'!Q13</f>
        <v>R2</v>
      </c>
      <c r="K672" s="225">
        <f>IFERROR(INDEX('Green_rooibos initial weight'!$C$5:$C$1749,MATCH(J672, 'Green_rooibos initial weight'!$A$5:$A$1749,0)),"")</f>
        <v>2.2679999999999998</v>
      </c>
      <c r="L672" s="225">
        <f>IFERROR(K672-(TBIcalc!$H$9+TBIcalc!$H$10),"")</f>
        <v>2.0181999999999998</v>
      </c>
      <c r="M672" s="391">
        <f>AVERAGE(Ashed_controlls!$K$12:$K$14)</f>
        <v>2.2816647271287041</v>
      </c>
      <c r="N672" s="225">
        <f t="shared" si="54"/>
        <v>1.9721514424770883</v>
      </c>
      <c r="O672" s="225">
        <f>IF(IFERROR(INDEX('Both teabags AfterWet'!$C$3:$C$841,MATCH(J672,'Both teabags AfterWet'!$A$3:$A$841,0)),"")="","",(IFERROR(INDEX('Both teabags AfterWet'!$C$3:$C$841,MATCH(J672,'Both teabags AfterWet'!$A$3:$A$841,0)),"")))</f>
        <v>1.43</v>
      </c>
      <c r="P672" s="225">
        <f>IFERROR(IF(O672&gt;0,O672-(TBIcalc!$H$9),""),"")</f>
        <v>1.2793999999999999</v>
      </c>
      <c r="Q672" s="225">
        <f>IFERROR(INDEX('Ashed teabags wet'!$K$2:$K$821,MATCH(J672,'Ashed teabags wet'!$A$2:$A$821,0)),"")</f>
        <v>4.6087373979834227</v>
      </c>
      <c r="R672" s="225">
        <f t="shared" si="57"/>
        <v>1.2204358137302</v>
      </c>
      <c r="S672" s="226">
        <f>'WetLitterbags placem_collection'!E13</f>
        <v>42766</v>
      </c>
      <c r="T672" s="226">
        <f>IF('WetLitterbags placem_collection'!G13="","",'WetLitterbags placem_collection'!G13)</f>
        <v>42818</v>
      </c>
      <c r="U672" s="227">
        <f t="shared" si="59"/>
        <v>52</v>
      </c>
      <c r="V672" s="225">
        <f t="shared" si="55"/>
        <v>0.7387999999999999</v>
      </c>
      <c r="W672" s="225">
        <f t="shared" si="56"/>
        <v>0.75171562874688824</v>
      </c>
      <c r="X672">
        <f>IFERROR(INDEX(Rainfall_Wet!$O$2:$O$217,MATCH(B672, Rainfall_Wet!$A$2:$A$217,0)),"")</f>
        <v>194.43839254400001</v>
      </c>
      <c r="Y672" s="231">
        <v>21.13063730679653</v>
      </c>
      <c r="Z672" s="231">
        <v>3.0912555579081076</v>
      </c>
      <c r="AA672" s="231">
        <v>75.778107135295357</v>
      </c>
      <c r="AB672" s="232" t="s">
        <v>2670</v>
      </c>
      <c r="AC672" s="231">
        <v>2.4613109906357802</v>
      </c>
      <c r="AD672">
        <f>IF('WetLitterbags placem_collection'!AB13="","",'WetLitterbags placem_collection'!AB13)</f>
        <v>11.4</v>
      </c>
      <c r="AE672">
        <f>IF('WetLitterbags placem_collection'!Z13="","",'WetLitterbags placem_collection'!Z13)</f>
        <v>24.4</v>
      </c>
      <c r="AF672" s="24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placem_collection'!Y13)),"YES","NO")</f>
        <v>NO</v>
      </c>
      <c r="AM672" t="str">
        <f>IF(ISNUMBER(SEARCH("H", 'WetLitterbags placem_collection'!Y13)),"YES","NO")</f>
        <v>NO</v>
      </c>
      <c r="AN672" t="str">
        <f>IF(ISNUMBER(SEARCH("R", 'WetLitterbags placem_collection'!Y13)),"YES","NO")</f>
        <v>NO</v>
      </c>
    </row>
    <row r="673" spans="1:40" ht="15" customHeight="1">
      <c r="A673" s="258" t="s">
        <v>2460</v>
      </c>
      <c r="B673" s="263">
        <f>'Dry_Litterbag Placem_Collection'!A14</f>
        <v>12</v>
      </c>
      <c r="C673" s="263" t="str">
        <f>'Dry_Litterbag Placem_Collection'!B14</f>
        <v>Makao</v>
      </c>
      <c r="D673" s="263" t="s">
        <v>2659</v>
      </c>
      <c r="E673" s="263" t="s">
        <v>2660</v>
      </c>
      <c r="F673" s="263">
        <v>2</v>
      </c>
      <c r="G673" s="264" t="str">
        <f>'Dry_Litterbag Placem_Collection'!C14</f>
        <v>Dry_Ag2_T4</v>
      </c>
      <c r="H673" s="273" t="s">
        <v>3651</v>
      </c>
      <c r="I673" s="274" t="s">
        <v>298</v>
      </c>
      <c r="J673" s="223" t="str">
        <f>'WetLitterbags placem_collection'!Q14</f>
        <v>R123</v>
      </c>
      <c r="K673" s="225">
        <f>IFERROR(INDEX('Green_rooibos initial weight'!$C$5:$C$1749,MATCH(J673, 'Green_rooibos initial weight'!$A$5:$A$1749,0)),"")</f>
        <v>2.2610000000000001</v>
      </c>
      <c r="L673" s="225">
        <f>IFERROR(K673-(TBIcalc!$H$9+TBIcalc!$H$10),"")</f>
        <v>2.0112000000000001</v>
      </c>
      <c r="M673" s="391">
        <f>AVERAGE(Ashed_controlls!$K$12:$K$14)</f>
        <v>2.2816647271287041</v>
      </c>
      <c r="N673" s="225">
        <f t="shared" si="54"/>
        <v>1.9653111590079877</v>
      </c>
      <c r="O673" s="225" t="str">
        <f>IF(IFERROR(INDEX('Both teabags AfterWet'!$C$3:$C$841,MATCH(J673,'Both teabags AfterWet'!$A$3:$A$841,0)),"")="","",(IFERROR(INDEX('Both teabags AfterWet'!$C$3:$C$841,MATCH(J673,'Both teabags AfterWet'!$A$3:$A$841,0)),"")))</f>
        <v/>
      </c>
      <c r="P673" s="225" t="str">
        <f>IFERROR(IF(O673&gt;0,O673-(TBIcalc!$H$9),""),"")</f>
        <v/>
      </c>
      <c r="Q673" s="225" t="str">
        <f>IFERROR(INDEX('Ashed teabags wet'!$K$2:$K$821,MATCH(J673,'Ashed teabags wet'!$A$2:$A$821,0)),"")</f>
        <v/>
      </c>
      <c r="R673" s="225" t="str">
        <f t="shared" si="57"/>
        <v/>
      </c>
      <c r="S673" s="226">
        <f>'WetLitterbags placem_collection'!E14</f>
        <v>42766</v>
      </c>
      <c r="T673" s="226" t="str">
        <f>IF('WetLitterbags placem_collection'!G14="","",'WetLitterbags placem_collection'!G14)</f>
        <v/>
      </c>
      <c r="U673" s="227" t="str">
        <f t="shared" si="59"/>
        <v/>
      </c>
      <c r="V673" s="225" t="str">
        <f t="shared" si="55"/>
        <v/>
      </c>
      <c r="W673" s="225" t="str">
        <f t="shared" si="56"/>
        <v/>
      </c>
      <c r="X673" t="str">
        <f>IFERROR(INDEX(Rainfall_Wet!$O$2:$O$217,MATCH(B673, Rainfall_Wet!$A$2:$A$217,0)),"")</f>
        <v/>
      </c>
      <c r="Y673" s="231">
        <v>21.13063730679653</v>
      </c>
      <c r="Z673" s="231">
        <v>3.0912555579081076</v>
      </c>
      <c r="AA673" s="231">
        <v>75.778107135295357</v>
      </c>
      <c r="AB673" s="232" t="s">
        <v>2670</v>
      </c>
      <c r="AC673" s="231">
        <v>3.4613109906357802</v>
      </c>
      <c r="AD673" t="str">
        <f>IF('WetLitterbags placem_collection'!AB14="","",'WetLitterbags placem_collection'!AB14)</f>
        <v/>
      </c>
      <c r="AE673" t="str">
        <f>IF('WetLitterbags placem_collection'!Z14="","",'WetLitterbags placem_collection'!Z14)</f>
        <v/>
      </c>
      <c r="AF673" s="24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placem_collection'!Y14)),"YES","NO")</f>
        <v>NO</v>
      </c>
      <c r="AM673" t="str">
        <f>IF(ISNUMBER(SEARCH("H", 'WetLitterbags placem_collection'!Y14)),"YES","NO")</f>
        <v>NO</v>
      </c>
      <c r="AN673" t="str">
        <f>IF(ISNUMBER(SEARCH("R", 'WetLitterbags placem_collection'!Y14)),"YES","NO")</f>
        <v>NO</v>
      </c>
    </row>
    <row r="674" spans="1:40" ht="15" customHeight="1">
      <c r="A674" s="258" t="s">
        <v>2460</v>
      </c>
      <c r="B674" s="263">
        <f>'Dry_Litterbag Placem_Collection'!A15</f>
        <v>13</v>
      </c>
      <c r="C674" s="263" t="str">
        <f>'Dry_Litterbag Placem_Collection'!B15</f>
        <v>Makao</v>
      </c>
      <c r="D674" s="263" t="s">
        <v>2659</v>
      </c>
      <c r="E674" s="263" t="s">
        <v>2660</v>
      </c>
      <c r="F674" s="263">
        <v>2</v>
      </c>
      <c r="G674" s="264" t="str">
        <f>'Dry_Litterbag Placem_Collection'!C15</f>
        <v>Dry_Ag2_T5</v>
      </c>
      <c r="H674" s="273" t="s">
        <v>3651</v>
      </c>
      <c r="I674" s="274" t="s">
        <v>298</v>
      </c>
      <c r="J674" s="223" t="str">
        <f>'WetLitterbags placem_collection'!Q15</f>
        <v>R3</v>
      </c>
      <c r="K674" s="225">
        <f>IFERROR(INDEX('Green_rooibos initial weight'!$C$5:$C$1749,MATCH(J674, 'Green_rooibos initial weight'!$A$5:$A$1749,0)),"")</f>
        <v>2.242</v>
      </c>
      <c r="L674" s="225">
        <f>IFERROR(K674-(TBIcalc!$H$9+TBIcalc!$H$10),"")</f>
        <v>1.9922</v>
      </c>
      <c r="M674" s="391">
        <f>AVERAGE(Ashed_controlls!$K$12:$K$14)</f>
        <v>2.2816647271287041</v>
      </c>
      <c r="N674" s="225">
        <f t="shared" si="54"/>
        <v>1.9467446753061419</v>
      </c>
      <c r="O674" s="225">
        <f>IF(IFERROR(INDEX('Both teabags AfterWet'!$C$3:$C$841,MATCH(J674,'Both teabags AfterWet'!$A$3:$A$841,0)),"")="","",(IFERROR(INDEX('Both teabags AfterWet'!$C$3:$C$841,MATCH(J674,'Both teabags AfterWet'!$A$3:$A$841,0)),"")))</f>
        <v>1.4899</v>
      </c>
      <c r="P674" s="225">
        <f>IFERROR(IF(O674&gt;0,O674-(TBIcalc!$H$9),""),"")</f>
        <v>1.3392999999999999</v>
      </c>
      <c r="Q674" s="225">
        <f>IFERROR(INDEX('Ashed teabags wet'!$K$2:$K$821,MATCH(J674,'Ashed teabags wet'!$A$2:$A$821,0)),"")</f>
        <v>3.0078895463511506</v>
      </c>
      <c r="R674" s="225">
        <f t="shared" si="57"/>
        <v>1.299015335305719</v>
      </c>
      <c r="S674" s="226">
        <f>'WetLitterbags placem_collection'!E15</f>
        <v>42766</v>
      </c>
      <c r="T674" s="226">
        <f>IF('WetLitterbags placem_collection'!G15="","",'WetLitterbags placem_collection'!G15)</f>
        <v>42818</v>
      </c>
      <c r="U674" s="227">
        <f t="shared" si="59"/>
        <v>52</v>
      </c>
      <c r="V674" s="225">
        <f t="shared" si="55"/>
        <v>0.65290000000000004</v>
      </c>
      <c r="W674" s="225">
        <f t="shared" si="56"/>
        <v>0.64772934000042293</v>
      </c>
      <c r="X674">
        <f>IFERROR(INDEX(Rainfall_Wet!$O$2:$O$217,MATCH(B674, Rainfall_Wet!$A$2:$A$217,0)),"")</f>
        <v>194.43839254400001</v>
      </c>
      <c r="Y674" s="231">
        <v>21.13063730679653</v>
      </c>
      <c r="Z674" s="231">
        <v>3.0912555579081076</v>
      </c>
      <c r="AA674" s="231">
        <v>75.778107135295357</v>
      </c>
      <c r="AB674" s="232" t="s">
        <v>2670</v>
      </c>
      <c r="AC674" s="231">
        <v>4.4613109906357797</v>
      </c>
      <c r="AD674">
        <f>IF('WetLitterbags placem_collection'!AB15="","",'WetLitterbags placem_collection'!AB15)</f>
        <v>11.4</v>
      </c>
      <c r="AE674">
        <f>IF('WetLitterbags placem_collection'!Z15="","",'WetLitterbags placem_collection'!Z15)</f>
        <v>31</v>
      </c>
      <c r="AF674" s="24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placem_collection'!Y15)),"YES","NO")</f>
        <v>NO</v>
      </c>
      <c r="AM674" t="str">
        <f>IF(ISNUMBER(SEARCH("H", 'WetLitterbags placem_collection'!Y15)),"YES","NO")</f>
        <v>NO</v>
      </c>
      <c r="AN674" t="str">
        <f>IF(ISNUMBER(SEARCH("R", 'WetLitterbags placem_collection'!Y15)),"YES","NO")</f>
        <v>NO</v>
      </c>
    </row>
    <row r="675" spans="1:40" ht="15" customHeight="1">
      <c r="A675" s="258" t="s">
        <v>2460</v>
      </c>
      <c r="B675" s="263">
        <f>'Dry_Litterbag Placem_Collection'!A16</f>
        <v>14</v>
      </c>
      <c r="C675" s="263" t="str">
        <f>'Dry_Litterbag Placem_Collection'!B16</f>
        <v>Makao</v>
      </c>
      <c r="D675" s="263" t="s">
        <v>2659</v>
      </c>
      <c r="E675" s="263" t="s">
        <v>2660</v>
      </c>
      <c r="F675" s="263">
        <v>2</v>
      </c>
      <c r="G675" s="264" t="str">
        <f>'Dry_Litterbag Placem_Collection'!C16</f>
        <v>Dry_Ag2_T6</v>
      </c>
      <c r="H675" s="273" t="s">
        <v>3651</v>
      </c>
      <c r="I675" s="274" t="s">
        <v>298</v>
      </c>
      <c r="J675" s="223" t="str">
        <f>'WetLitterbags placem_collection'!Q16</f>
        <v>R282</v>
      </c>
      <c r="K675" s="225">
        <f>IFERROR(INDEX('Green_rooibos initial weight'!$C$5:$C$1749,MATCH(J675, 'Green_rooibos initial weight'!$A$5:$A$1749,0)),"")</f>
        <v>2.1829999999999998</v>
      </c>
      <c r="L675" s="225">
        <f>IFERROR(K675-(TBIcalc!$H$9+TBIcalc!$H$10),"")</f>
        <v>1.9331999999999998</v>
      </c>
      <c r="M675" s="391">
        <f>AVERAGE(Ashed_controlls!$K$12:$K$14)</f>
        <v>2.2816647271287041</v>
      </c>
      <c r="N675" s="225">
        <f t="shared" si="54"/>
        <v>1.8890908574951477</v>
      </c>
      <c r="O675" s="225">
        <f>IF(IFERROR(INDEX('Both teabags AfterWet'!$C$3:$C$841,MATCH(J675,'Both teabags AfterWet'!$A$3:$A$841,0)),"")="","",(IFERROR(INDEX('Both teabags AfterWet'!$C$3:$C$841,MATCH(J675,'Both teabags AfterWet'!$A$3:$A$841,0)),"")))</f>
        <v>1.5669999999999999</v>
      </c>
      <c r="P675" s="225">
        <f>IFERROR(IF(O675&gt;0,O675-(TBIcalc!$H$9),""),"")</f>
        <v>1.4163999999999999</v>
      </c>
      <c r="Q675" s="225">
        <f>IFERROR(INDEX('Ashed teabags wet'!$K$2:$K$821,MATCH(J675,'Ashed teabags wet'!$A$2:$A$821,0)),"")</f>
        <v>2.903543307086486</v>
      </c>
      <c r="R675" s="225">
        <f t="shared" si="57"/>
        <v>1.375274212598427</v>
      </c>
      <c r="S675" s="226">
        <f>'WetLitterbags placem_collection'!E16</f>
        <v>42766</v>
      </c>
      <c r="T675" s="226">
        <f>IF('WetLitterbags placem_collection'!G16="","",'WetLitterbags placem_collection'!G16)</f>
        <v>42818</v>
      </c>
      <c r="U675" s="227">
        <f t="shared" si="59"/>
        <v>52</v>
      </c>
      <c r="V675" s="225">
        <f t="shared" si="55"/>
        <v>0.51679999999999993</v>
      </c>
      <c r="W675" s="225">
        <f t="shared" si="56"/>
        <v>0.51381664489672074</v>
      </c>
      <c r="X675">
        <f>IFERROR(INDEX(Rainfall_Wet!$O$2:$O$217,MATCH(B675, Rainfall_Wet!$A$2:$A$217,0)),"")</f>
        <v>194.43839254400001</v>
      </c>
      <c r="Y675" s="231">
        <v>21.13063730679653</v>
      </c>
      <c r="Z675" s="231">
        <v>3.0912555579081076</v>
      </c>
      <c r="AA675" s="231">
        <v>75.778107135295357</v>
      </c>
      <c r="AB675" s="232" t="s">
        <v>2670</v>
      </c>
      <c r="AC675" s="231">
        <v>5.4613109906357797</v>
      </c>
      <c r="AD675">
        <f>IF('WetLitterbags placem_collection'!AB16="","",'WetLitterbags placem_collection'!AB16)</f>
        <v>28.4</v>
      </c>
      <c r="AE675">
        <f>IF('WetLitterbags placem_collection'!Z16="","",'WetLitterbags placem_collection'!Z16)</f>
        <v>42.4</v>
      </c>
      <c r="AF675" s="24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placem_collection'!Y16)),"YES","NO")</f>
        <v>NO</v>
      </c>
      <c r="AM675" t="str">
        <f>IF(ISNUMBER(SEARCH("H", 'WetLitterbags placem_collection'!Y16)),"YES","NO")</f>
        <v>NO</v>
      </c>
      <c r="AN675" t="str">
        <f>IF(ISNUMBER(SEARCH("R", 'WetLitterbags placem_collection'!Y16)),"YES","NO")</f>
        <v>NO</v>
      </c>
    </row>
    <row r="676" spans="1:40" ht="15" customHeight="1">
      <c r="A676" s="258" t="s">
        <v>2460</v>
      </c>
      <c r="B676" s="263">
        <f>'Dry_Litterbag Placem_Collection'!A17</f>
        <v>15</v>
      </c>
      <c r="C676" s="263" t="str">
        <f>'Dry_Litterbag Placem_Collection'!B17</f>
        <v>Makao</v>
      </c>
      <c r="D676" s="263" t="s">
        <v>2659</v>
      </c>
      <c r="E676" s="263" t="s">
        <v>2660</v>
      </c>
      <c r="F676" s="263">
        <v>2</v>
      </c>
      <c r="G676" s="264" t="str">
        <f>'Dry_Litterbag Placem_Collection'!C17</f>
        <v>Dry_Ag2_T7</v>
      </c>
      <c r="H676" s="273" t="s">
        <v>3651</v>
      </c>
      <c r="I676" s="274" t="s">
        <v>298</v>
      </c>
      <c r="J676" s="223" t="str">
        <f>'WetLitterbags placem_collection'!Q17</f>
        <v>R99</v>
      </c>
      <c r="K676" s="225">
        <f>IFERROR(INDEX('Green_rooibos initial weight'!$C$5:$C$1749,MATCH(J676, 'Green_rooibos initial weight'!$A$5:$A$1749,0)),"")</f>
        <v>2.1920000000000002</v>
      </c>
      <c r="L676" s="225">
        <f>IFERROR(K676-(TBIcalc!$H$9+TBIcalc!$H$10),"")</f>
        <v>1.9422000000000001</v>
      </c>
      <c r="M676" s="391">
        <f>AVERAGE(Ashed_controlls!$K$12:$K$14)</f>
        <v>2.2816647271287041</v>
      </c>
      <c r="N676" s="225">
        <f t="shared" si="54"/>
        <v>1.8978855076697065</v>
      </c>
      <c r="O676" s="225">
        <f>IF(IFERROR(INDEX('Both teabags AfterWet'!$C$3:$C$841,MATCH(J676,'Both teabags AfterWet'!$A$3:$A$841,0)),"")="","",(IFERROR(INDEX('Both teabags AfterWet'!$C$3:$C$841,MATCH(J676,'Both teabags AfterWet'!$A$3:$A$841,0)),"")))</f>
        <v>1.355</v>
      </c>
      <c r="P676" s="225">
        <f>IFERROR(IF(O676&gt;0,O676-(TBIcalc!$H$9),""),"")</f>
        <v>1.2043999999999999</v>
      </c>
      <c r="Q676" s="225">
        <f>IFERROR(INDEX('Ashed teabags wet'!$K$2:$K$821,MATCH(J676,'Ashed teabags wet'!$A$2:$A$821,0)),"")</f>
        <v>7.6999503229018247</v>
      </c>
      <c r="R676" s="225">
        <f t="shared" si="57"/>
        <v>1.1116617983109705</v>
      </c>
      <c r="S676" s="226">
        <f>'WetLitterbags placem_collection'!E17</f>
        <v>42766</v>
      </c>
      <c r="T676" s="226">
        <f>IF('WetLitterbags placem_collection'!G17="","",'WetLitterbags placem_collection'!G17)</f>
        <v>42818</v>
      </c>
      <c r="U676" s="227">
        <f t="shared" si="59"/>
        <v>52</v>
      </c>
      <c r="V676" s="225">
        <f t="shared" si="55"/>
        <v>0.73780000000000023</v>
      </c>
      <c r="W676" s="225">
        <f t="shared" si="56"/>
        <v>0.78622370935873609</v>
      </c>
      <c r="X676">
        <f>IFERROR(INDEX(Rainfall_Wet!$O$2:$O$217,MATCH(B676, Rainfall_Wet!$A$2:$A$217,0)),"")</f>
        <v>194.43839254400001</v>
      </c>
      <c r="Y676" s="231">
        <v>21.13063730679653</v>
      </c>
      <c r="Z676" s="231">
        <v>3.0912555579081076</v>
      </c>
      <c r="AA676" s="231">
        <v>75.778107135295357</v>
      </c>
      <c r="AB676" s="232" t="s">
        <v>2670</v>
      </c>
      <c r="AC676" s="231">
        <v>6.4613109906357797</v>
      </c>
      <c r="AD676">
        <f>IF('WetLitterbags placem_collection'!AB17="","",'WetLitterbags placem_collection'!AB17)</f>
        <v>15.8</v>
      </c>
      <c r="AE676">
        <f>IF('WetLitterbags placem_collection'!Z17="","",'WetLitterbags placem_collection'!Z17)</f>
        <v>30.4</v>
      </c>
      <c r="AF676" s="24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placem_collection'!Y17)),"YES","NO")</f>
        <v>NO</v>
      </c>
      <c r="AM676" t="str">
        <f>IF(ISNUMBER(SEARCH("H", 'WetLitterbags placem_collection'!Y17)),"YES","NO")</f>
        <v>NO</v>
      </c>
      <c r="AN676" t="str">
        <f>IF(ISNUMBER(SEARCH("R", 'WetLitterbags placem_collection'!Y17)),"YES","NO")</f>
        <v>YES</v>
      </c>
    </row>
    <row r="677" spans="1:40" ht="15" customHeight="1">
      <c r="A677" s="258" t="s">
        <v>2460</v>
      </c>
      <c r="B677" s="263">
        <f>'Dry_Litterbag Placem_Collection'!A18</f>
        <v>16</v>
      </c>
      <c r="C677" s="263" t="str">
        <f>'Dry_Litterbag Placem_Collection'!B18</f>
        <v>Makao</v>
      </c>
      <c r="D677" s="263" t="s">
        <v>2659</v>
      </c>
      <c r="E677" s="263" t="s">
        <v>2660</v>
      </c>
      <c r="F677" s="263">
        <v>2</v>
      </c>
      <c r="G677" s="264" t="str">
        <f>'Dry_Litterbag Placem_Collection'!C18</f>
        <v>Dry_Ag2_T8</v>
      </c>
      <c r="H677" s="273" t="s">
        <v>3651</v>
      </c>
      <c r="I677" s="274" t="s">
        <v>298</v>
      </c>
      <c r="J677" s="223" t="str">
        <f>'WetLitterbags placem_collection'!Q18</f>
        <v>R154</v>
      </c>
      <c r="K677" s="225">
        <f>IFERROR(INDEX('Green_rooibos initial weight'!$C$5:$C$1749,MATCH(J677, 'Green_rooibos initial weight'!$A$5:$A$1749,0)),"")</f>
        <v>2.2010000000000001</v>
      </c>
      <c r="L677" s="225">
        <f>IFERROR(K677-(TBIcalc!$H$9+TBIcalc!$H$10),"")</f>
        <v>1.9512</v>
      </c>
      <c r="M677" s="391">
        <f>AVERAGE(Ashed_controlls!$K$12:$K$14)</f>
        <v>2.2816647271287041</v>
      </c>
      <c r="N677" s="225">
        <f t="shared" si="54"/>
        <v>1.9066801578442647</v>
      </c>
      <c r="O677" s="225">
        <f>IF(IFERROR(INDEX('Both teabags AfterWet'!$C$3:$C$841,MATCH(J677,'Both teabags AfterWet'!$A$3:$A$841,0)),"")="","",(IFERROR(INDEX('Both teabags AfterWet'!$C$3:$C$841,MATCH(J677,'Both teabags AfterWet'!$A$3:$A$841,0)),"")))</f>
        <v>1.421</v>
      </c>
      <c r="P677" s="225">
        <f>IFERROR(IF(O677&gt;0,O677-(TBIcalc!$H$9),""),"")</f>
        <v>1.2704</v>
      </c>
      <c r="Q677" s="225">
        <f>IFERROR(INDEX('Ashed teabags wet'!$K$2:$K$821,MATCH(J677,'Ashed teabags wet'!$A$2:$A$821,0)),"")</f>
        <v>4.0579710144928036</v>
      </c>
      <c r="R677" s="225">
        <f t="shared" si="57"/>
        <v>1.2188475362318834</v>
      </c>
      <c r="S677" s="226">
        <f>'WetLitterbags placem_collection'!E18</f>
        <v>42766</v>
      </c>
      <c r="T677" s="226">
        <f>IF('WetLitterbags placem_collection'!G18="","",'WetLitterbags placem_collection'!G18)</f>
        <v>42818</v>
      </c>
      <c r="U677" s="227">
        <f t="shared" si="59"/>
        <v>52</v>
      </c>
      <c r="V677" s="225">
        <f t="shared" si="55"/>
        <v>0.68080000000000007</v>
      </c>
      <c r="W677" s="225">
        <f t="shared" si="56"/>
        <v>0.68783262161238135</v>
      </c>
      <c r="X677">
        <f>IFERROR(INDEX(Rainfall_Wet!$O$2:$O$217,MATCH(B677, Rainfall_Wet!$A$2:$A$217,0)),"")</f>
        <v>194.43839254400001</v>
      </c>
      <c r="Y677" s="231">
        <v>21.13063730679653</v>
      </c>
      <c r="Z677" s="231">
        <v>3.0912555579081076</v>
      </c>
      <c r="AA677" s="231">
        <v>75.778107135295357</v>
      </c>
      <c r="AB677" s="232" t="s">
        <v>2670</v>
      </c>
      <c r="AC677" s="231">
        <v>7.4613109906357797</v>
      </c>
      <c r="AD677">
        <f>IF('WetLitterbags placem_collection'!AB18="","",'WetLitterbags placem_collection'!AB18)</f>
        <v>8</v>
      </c>
      <c r="AE677">
        <f>IF('WetLitterbags placem_collection'!Z18="","",'WetLitterbags placem_collection'!Z18)</f>
        <v>12.4</v>
      </c>
      <c r="AF677" s="24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placem_collection'!Y18)),"YES","NO")</f>
        <v>NO</v>
      </c>
      <c r="AM677" t="str">
        <f>IF(ISNUMBER(SEARCH("H", 'WetLitterbags placem_collection'!Y18)),"YES","NO")</f>
        <v>NO</v>
      </c>
      <c r="AN677" t="str">
        <f>IF(ISNUMBER(SEARCH("R", 'WetLitterbags placem_collection'!Y18)),"YES","NO")</f>
        <v>YES</v>
      </c>
    </row>
    <row r="678" spans="1:40" ht="15" customHeight="1">
      <c r="A678" s="258" t="s">
        <v>2460</v>
      </c>
      <c r="B678" s="263">
        <f>'Dry_Litterbag Placem_Collection'!A19</f>
        <v>17</v>
      </c>
      <c r="C678" s="263" t="str">
        <f>'Dry_Litterbag Placem_Collection'!B19</f>
        <v>Makao</v>
      </c>
      <c r="D678" s="263" t="s">
        <v>2659</v>
      </c>
      <c r="E678" s="263" t="s">
        <v>2660</v>
      </c>
      <c r="F678" s="263">
        <v>3</v>
      </c>
      <c r="G678" s="264" t="str">
        <f>'Dry_Litterbag Placem_Collection'!C19</f>
        <v>Dry_Ag3_T1</v>
      </c>
      <c r="H678" s="273" t="s">
        <v>3651</v>
      </c>
      <c r="I678" s="274" t="s">
        <v>298</v>
      </c>
      <c r="J678" s="223" t="str">
        <f>'WetLitterbags placem_collection'!Q19</f>
        <v>R380</v>
      </c>
      <c r="K678" s="225">
        <f>IFERROR(INDEX('Green_rooibos initial weight'!$C$5:$C$1749,MATCH(J678, 'Green_rooibos initial weight'!$A$5:$A$1749,0)),"")</f>
        <v>2.2799999999999998</v>
      </c>
      <c r="L678" s="225">
        <f>IFERROR(K678-(TBIcalc!$H$9+TBIcalc!$H$10),"")</f>
        <v>2.0301999999999998</v>
      </c>
      <c r="M678" s="391">
        <f>AVERAGE(Ashed_controlls!$K$12:$K$14)</f>
        <v>2.2816647271287041</v>
      </c>
      <c r="N678" s="225">
        <f t="shared" si="54"/>
        <v>1.9838776427098328</v>
      </c>
      <c r="O678" s="225">
        <f>IF(IFERROR(INDEX('Both teabags AfterWet'!$C$3:$C$841,MATCH(J678,'Both teabags AfterWet'!$A$3:$A$841,0)),"")="","",(IFERROR(INDEX('Both teabags AfterWet'!$C$3:$C$841,MATCH(J678,'Both teabags AfterWet'!$A$3:$A$841,0)),"")))</f>
        <v>1.6271</v>
      </c>
      <c r="P678" s="225">
        <f>IFERROR(IF(O678&gt;0,O678-(TBIcalc!$H$9),""),"")</f>
        <v>1.4764999999999999</v>
      </c>
      <c r="Q678" s="225">
        <f>IFERROR(INDEX('Ashed teabags wet'!$K$2:$K$821,MATCH(J678,'Ashed teabags wet'!$A$2:$A$821,0)),"")</f>
        <v>3.3600802407224508</v>
      </c>
      <c r="R678" s="225">
        <f t="shared" si="57"/>
        <v>1.4268884152457328</v>
      </c>
      <c r="S678" s="226">
        <f>'WetLitterbags placem_collection'!E19</f>
        <v>42767</v>
      </c>
      <c r="T678" s="226">
        <f>IF('WetLitterbags placem_collection'!G19="","",'WetLitterbags placem_collection'!G19)</f>
        <v>42818</v>
      </c>
      <c r="U678" s="227">
        <f t="shared" si="59"/>
        <v>51</v>
      </c>
      <c r="V678" s="225">
        <f t="shared" si="55"/>
        <v>0.55369999999999986</v>
      </c>
      <c r="W678" s="225">
        <f t="shared" si="56"/>
        <v>0.55698922746409996</v>
      </c>
      <c r="X678">
        <f>IFERROR(INDEX(Rainfall_Wet!$O$2:$O$217,MATCH(B678, Rainfall_Wet!$A$2:$A$217,0)),"")</f>
        <v>185.630065823</v>
      </c>
      <c r="Y678" s="231">
        <v>54.080969906906262</v>
      </c>
      <c r="Z678" s="231">
        <v>21.264484651351896</v>
      </c>
      <c r="AA678" s="231">
        <v>24.654545441741845</v>
      </c>
      <c r="AB678" s="232" t="s">
        <v>2673</v>
      </c>
      <c r="AC678" s="231">
        <v>1.8433218334154755</v>
      </c>
      <c r="AD678" t="str">
        <f>IF('WetLitterbags placem_collection'!AB19="","",'WetLitterbags placem_collection'!AB19)</f>
        <v/>
      </c>
      <c r="AE678" t="str">
        <f>IF('WetLitterbags placem_collection'!Z19="","",'WetLitterbags placem_collection'!Z19)</f>
        <v/>
      </c>
      <c r="AF678" s="24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placem_collection'!Y19)),"YES","NO")</f>
        <v>NO</v>
      </c>
      <c r="AM678" t="str">
        <f>IF(ISNUMBER(SEARCH("H", 'WetLitterbags placem_collection'!Y19)),"YES","NO")</f>
        <v>NO</v>
      </c>
      <c r="AN678" t="str">
        <f>IF(ISNUMBER(SEARCH("R", 'WetLitterbags placem_collection'!Y19)),"YES","NO")</f>
        <v>YES</v>
      </c>
    </row>
    <row r="679" spans="1:40" ht="15" customHeight="1">
      <c r="A679" s="258" t="s">
        <v>2460</v>
      </c>
      <c r="B679" s="263">
        <f>'Dry_Litterbag Placem_Collection'!A20</f>
        <v>18</v>
      </c>
      <c r="C679" s="263" t="str">
        <f>'Dry_Litterbag Placem_Collection'!B20</f>
        <v>Makao</v>
      </c>
      <c r="D679" s="263" t="s">
        <v>2659</v>
      </c>
      <c r="E679" s="263" t="s">
        <v>2660</v>
      </c>
      <c r="F679" s="263">
        <v>3</v>
      </c>
      <c r="G679" s="264" t="str">
        <f>'Dry_Litterbag Placem_Collection'!C20</f>
        <v>Dry_Ag3_T2</v>
      </c>
      <c r="H679" s="273" t="s">
        <v>3651</v>
      </c>
      <c r="I679" s="274" t="s">
        <v>298</v>
      </c>
      <c r="J679" s="223" t="str">
        <f>'WetLitterbags placem_collection'!Q20</f>
        <v>R274</v>
      </c>
      <c r="K679" s="225">
        <f>IFERROR(INDEX('Green_rooibos initial weight'!$C$5:$C$1749,MATCH(J679, 'Green_rooibos initial weight'!$A$5:$A$1749,0)),"")</f>
        <v>2.1880000000000002</v>
      </c>
      <c r="L679" s="225">
        <f>IFERROR(K679-(TBIcalc!$H$9+TBIcalc!$H$10),"")</f>
        <v>1.9382000000000001</v>
      </c>
      <c r="M679" s="391">
        <f>AVERAGE(Ashed_controlls!$K$12:$K$14)</f>
        <v>2.2816647271287041</v>
      </c>
      <c r="N679" s="225">
        <f t="shared" si="54"/>
        <v>1.8939767742587916</v>
      </c>
      <c r="O679" s="225">
        <f>IF(IFERROR(INDEX('Both teabags AfterWet'!$C$3:$C$841,MATCH(J679,'Both teabags AfterWet'!$A$3:$A$841,0)),"")="","",(IFERROR(INDEX('Both teabags AfterWet'!$C$3:$C$841,MATCH(J679,'Both teabags AfterWet'!$A$3:$A$841,0)),"")))</f>
        <v>1.6060000000000001</v>
      </c>
      <c r="P679" s="225">
        <f>IFERROR(IF(O679&gt;0,O679-(TBIcalc!$H$9),""),"")</f>
        <v>1.4554</v>
      </c>
      <c r="Q679" s="225">
        <f>IFERROR(INDEX('Ashed teabags wet'!$K$2:$K$821,MATCH(J679,'Ashed teabags wet'!$A$2:$A$821,0)),"")</f>
        <v>4.6344959388436653</v>
      </c>
      <c r="R679" s="225">
        <f t="shared" si="57"/>
        <v>1.3879495461060694</v>
      </c>
      <c r="S679" s="226">
        <f>'WetLitterbags placem_collection'!E20</f>
        <v>42767</v>
      </c>
      <c r="T679" s="226">
        <f>IF('WetLitterbags placem_collection'!G20="","",'WetLitterbags placem_collection'!G20)</f>
        <v>42818</v>
      </c>
      <c r="U679" s="227">
        <f t="shared" si="59"/>
        <v>51</v>
      </c>
      <c r="V679" s="225">
        <f t="shared" si="55"/>
        <v>0.48280000000000012</v>
      </c>
      <c r="W679" s="225">
        <f t="shared" si="56"/>
        <v>0.50602722815272227</v>
      </c>
      <c r="X679">
        <f>IFERROR(INDEX(Rainfall_Wet!$O$2:$O$217,MATCH(B679, Rainfall_Wet!$A$2:$A$217,0)),"")</f>
        <v>185.630065823</v>
      </c>
      <c r="Y679" s="231">
        <v>54.080969906906262</v>
      </c>
      <c r="Z679" s="231">
        <v>21.264484651351896</v>
      </c>
      <c r="AA679" s="231">
        <v>24.654545441741845</v>
      </c>
      <c r="AB679" s="232" t="s">
        <v>2673</v>
      </c>
      <c r="AC679" s="231">
        <v>2.8433218334154802</v>
      </c>
      <c r="AD679" t="str">
        <f>IF('WetLitterbags placem_collection'!AB20="","",'WetLitterbags placem_collection'!AB20)</f>
        <v/>
      </c>
      <c r="AE679" t="str">
        <f>IF('WetLitterbags placem_collection'!Z20="","",'WetLitterbags placem_collection'!Z20)</f>
        <v/>
      </c>
      <c r="AF679" s="24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placem_collection'!Y20)),"YES","NO")</f>
        <v>NO</v>
      </c>
      <c r="AM679" t="str">
        <f>IF(ISNUMBER(SEARCH("H", 'WetLitterbags placem_collection'!Y20)),"YES","NO")</f>
        <v>NO</v>
      </c>
      <c r="AN679" t="str">
        <f>IF(ISNUMBER(SEARCH("R", 'WetLitterbags placem_collection'!Y20)),"YES","NO")</f>
        <v>YES</v>
      </c>
    </row>
    <row r="680" spans="1:40" ht="15" customHeight="1">
      <c r="A680" s="258" t="s">
        <v>2460</v>
      </c>
      <c r="B680" s="263">
        <f>'Dry_Litterbag Placem_Collection'!A21</f>
        <v>19</v>
      </c>
      <c r="C680" s="263" t="str">
        <f>'Dry_Litterbag Placem_Collection'!B21</f>
        <v>Makao</v>
      </c>
      <c r="D680" s="263" t="s">
        <v>2659</v>
      </c>
      <c r="E680" s="263" t="s">
        <v>2660</v>
      </c>
      <c r="F680" s="263">
        <v>3</v>
      </c>
      <c r="G680" s="264" t="str">
        <f>'Dry_Litterbag Placem_Collection'!C21</f>
        <v>Dry_Ag3_T3</v>
      </c>
      <c r="H680" s="273" t="s">
        <v>3651</v>
      </c>
      <c r="I680" s="274" t="s">
        <v>298</v>
      </c>
      <c r="J680" s="223" t="str">
        <f>'WetLitterbags placem_collection'!Q21</f>
        <v>R566</v>
      </c>
      <c r="K680" s="225">
        <f>IFERROR(INDEX('Green_rooibos initial weight'!$C$5:$C$1749,MATCH(J680, 'Green_rooibos initial weight'!$A$5:$A$1749,0)),"")</f>
        <v>2.117</v>
      </c>
      <c r="L680" s="225">
        <f>IFERROR(K680-(TBIcalc!$H$9+TBIcalc!$H$10),"")</f>
        <v>1.8672</v>
      </c>
      <c r="M680" s="391">
        <f>AVERAGE(Ashed_controlls!$K$12:$K$14)</f>
        <v>2.2816647271287041</v>
      </c>
      <c r="N680" s="225">
        <f t="shared" si="54"/>
        <v>1.8245967562150529</v>
      </c>
      <c r="O680" s="225">
        <f>IF(IFERROR(INDEX('Both teabags AfterWet'!$C$3:$C$841,MATCH(J680,'Both teabags AfterWet'!$A$3:$A$841,0)),"")="","",(IFERROR(INDEX('Both teabags AfterWet'!$C$3:$C$841,MATCH(J680,'Both teabags AfterWet'!$A$3:$A$841,0)),"")))</f>
        <v>1.4496</v>
      </c>
      <c r="P680" s="225">
        <f>IFERROR(IF(O680&gt;0,O680-(TBIcalc!$H$9),""),"")</f>
        <v>1.2989999999999999</v>
      </c>
      <c r="Q680" s="225">
        <f>IFERROR(INDEX('Ashed teabags wet'!$K$2:$K$821,MATCH(J680,'Ashed teabags wet'!$A$2:$A$821,0)),"")</f>
        <v>8.439646712463917</v>
      </c>
      <c r="R680" s="225">
        <f t="shared" si="57"/>
        <v>1.1893689892050936</v>
      </c>
      <c r="S680" s="226">
        <f>'WetLitterbags placem_collection'!E21</f>
        <v>42767</v>
      </c>
      <c r="T680" s="226">
        <f>IF('WetLitterbags placem_collection'!G21="","",'WetLitterbags placem_collection'!G21)</f>
        <v>42818</v>
      </c>
      <c r="U680" s="227">
        <f t="shared" si="59"/>
        <v>51</v>
      </c>
      <c r="V680" s="225">
        <f t="shared" si="55"/>
        <v>0.56820000000000004</v>
      </c>
      <c r="W680" s="225">
        <f t="shared" si="56"/>
        <v>0.63522776700995931</v>
      </c>
      <c r="X680">
        <f>IFERROR(INDEX(Rainfall_Wet!$O$2:$O$217,MATCH(B680, Rainfall_Wet!$A$2:$A$217,0)),"")</f>
        <v>185.630065823</v>
      </c>
      <c r="Y680" s="231">
        <v>54.080969906906262</v>
      </c>
      <c r="Z680" s="231">
        <v>21.264484651351896</v>
      </c>
      <c r="AA680" s="231">
        <v>24.654545441741845</v>
      </c>
      <c r="AB680" s="232" t="s">
        <v>2673</v>
      </c>
      <c r="AC680" s="231">
        <v>3.8433218334154802</v>
      </c>
      <c r="AD680" t="str">
        <f>IF('WetLitterbags placem_collection'!AB21="","",'WetLitterbags placem_collection'!AB21)</f>
        <v/>
      </c>
      <c r="AE680" t="str">
        <f>IF('WetLitterbags placem_collection'!Z21="","",'WetLitterbags placem_collection'!Z21)</f>
        <v/>
      </c>
      <c r="AF680" s="24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placem_collection'!Y21)),"YES","NO")</f>
        <v>NO</v>
      </c>
      <c r="AM680" t="str">
        <f>IF(ISNUMBER(SEARCH("H", 'WetLitterbags placem_collection'!Y21)),"YES","NO")</f>
        <v>NO</v>
      </c>
      <c r="AN680" t="str">
        <f>IF(ISNUMBER(SEARCH("R", 'WetLitterbags placem_collection'!Y21)),"YES","NO")</f>
        <v>NO</v>
      </c>
    </row>
    <row r="681" spans="1:40" ht="15" customHeight="1">
      <c r="A681" s="258" t="s">
        <v>2460</v>
      </c>
      <c r="B681" s="263">
        <f>'Dry_Litterbag Placem_Collection'!A22</f>
        <v>20</v>
      </c>
      <c r="C681" s="263" t="str">
        <f>'Dry_Litterbag Placem_Collection'!B22</f>
        <v>Makao</v>
      </c>
      <c r="D681" s="263" t="s">
        <v>2659</v>
      </c>
      <c r="E681" s="263" t="s">
        <v>2660</v>
      </c>
      <c r="F681" s="263">
        <v>3</v>
      </c>
      <c r="G681" s="264" t="str">
        <f>'Dry_Litterbag Placem_Collection'!C22</f>
        <v>Dry_Ag3_T4</v>
      </c>
      <c r="H681" s="273" t="s">
        <v>3651</v>
      </c>
      <c r="I681" s="274" t="s">
        <v>298</v>
      </c>
      <c r="J681" s="223" t="str">
        <f>'WetLitterbags placem_collection'!Q22</f>
        <v>R110</v>
      </c>
      <c r="K681" s="225">
        <f>IFERROR(INDEX('Green_rooibos initial weight'!$C$5:$C$1749,MATCH(J681, 'Green_rooibos initial weight'!$A$5:$A$1749,0)),"")</f>
        <v>2.2530000000000001</v>
      </c>
      <c r="L681" s="225">
        <f>IFERROR(K681-(TBIcalc!$H$9+TBIcalc!$H$10),"")</f>
        <v>2.0032000000000001</v>
      </c>
      <c r="M681" s="391">
        <f>AVERAGE(Ashed_controlls!$K$12:$K$14)</f>
        <v>2.2816647271287041</v>
      </c>
      <c r="N681" s="225">
        <f t="shared" si="54"/>
        <v>1.9574936921861579</v>
      </c>
      <c r="O681" s="225">
        <f>IF(IFERROR(INDEX('Both teabags AfterWet'!$C$3:$C$841,MATCH(J681,'Both teabags AfterWet'!$A$3:$A$841,0)),"")="","",(IFERROR(INDEX('Both teabags AfterWet'!$C$3:$C$841,MATCH(J681,'Both teabags AfterWet'!$A$3:$A$841,0)),"")))</f>
        <v>1.6778999999999999</v>
      </c>
      <c r="P681" s="225">
        <f>IFERROR(IF(O681&gt;0,O681-(TBIcalc!$H$9),""),"")</f>
        <v>1.5272999999999999</v>
      </c>
      <c r="Q681" s="225">
        <f>IFERROR(INDEX('Ashed teabags wet'!$K$2:$K$821,MATCH(J681,'Ashed teabags wet'!$A$2:$A$821,0)),"")</f>
        <v>6.496631376323327</v>
      </c>
      <c r="R681" s="225">
        <f t="shared" si="57"/>
        <v>1.4280769489894136</v>
      </c>
      <c r="S681" s="226">
        <f>'WetLitterbags placem_collection'!E22</f>
        <v>42767</v>
      </c>
      <c r="T681" s="226">
        <f>IF('WetLitterbags placem_collection'!G22="","",'WetLitterbags placem_collection'!G22)</f>
        <v>42818</v>
      </c>
      <c r="U681" s="227">
        <f t="shared" si="59"/>
        <v>51</v>
      </c>
      <c r="V681" s="225">
        <f t="shared" si="55"/>
        <v>0.47590000000000021</v>
      </c>
      <c r="W681" s="225">
        <f t="shared" si="56"/>
        <v>0.52941674319674425</v>
      </c>
      <c r="X681">
        <f>IFERROR(INDEX(Rainfall_Wet!$O$2:$O$217,MATCH(B681, Rainfall_Wet!$A$2:$A$217,0)),"")</f>
        <v>185.630065823</v>
      </c>
      <c r="Y681" s="231">
        <v>54.080969906906262</v>
      </c>
      <c r="Z681" s="231">
        <v>21.264484651351896</v>
      </c>
      <c r="AA681" s="231">
        <v>24.654545441741845</v>
      </c>
      <c r="AB681" s="232" t="s">
        <v>2673</v>
      </c>
      <c r="AC681" s="231">
        <v>4.8433218334154802</v>
      </c>
      <c r="AD681" t="str">
        <f>IF('WetLitterbags placem_collection'!AB22="","",'WetLitterbags placem_collection'!AB22)</f>
        <v/>
      </c>
      <c r="AE681" t="str">
        <f>IF('WetLitterbags placem_collection'!Z22="","",'WetLitterbags placem_collection'!Z22)</f>
        <v/>
      </c>
      <c r="AF681" s="24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placem_collection'!Y22)),"YES","NO")</f>
        <v>NO</v>
      </c>
      <c r="AM681" t="str">
        <f>IF(ISNUMBER(SEARCH("H", 'WetLitterbags placem_collection'!Y22)),"YES","NO")</f>
        <v>NO</v>
      </c>
      <c r="AN681" t="str">
        <f>IF(ISNUMBER(SEARCH("R", 'WetLitterbags placem_collection'!Y22)),"YES","NO")</f>
        <v>NO</v>
      </c>
    </row>
    <row r="682" spans="1:40" ht="15" customHeight="1">
      <c r="A682" s="258" t="s">
        <v>2460</v>
      </c>
      <c r="B682" s="263">
        <f>'Dry_Litterbag Placem_Collection'!A23</f>
        <v>21</v>
      </c>
      <c r="C682" s="263" t="str">
        <f>'Dry_Litterbag Placem_Collection'!B23</f>
        <v>Makao</v>
      </c>
      <c r="D682" s="263" t="s">
        <v>2659</v>
      </c>
      <c r="E682" s="263" t="s">
        <v>2660</v>
      </c>
      <c r="F682" s="263">
        <v>3</v>
      </c>
      <c r="G682" s="264" t="str">
        <f>'Dry_Litterbag Placem_Collection'!C23</f>
        <v>Dry_Ag3_T5</v>
      </c>
      <c r="H682" s="273" t="s">
        <v>3651</v>
      </c>
      <c r="I682" s="274" t="s">
        <v>298</v>
      </c>
      <c r="J682" s="223" t="str">
        <f>'WetLitterbags placem_collection'!Q23</f>
        <v>R79</v>
      </c>
      <c r="K682" s="225">
        <f>IFERROR(INDEX('Green_rooibos initial weight'!$C$5:$C$1749,MATCH(J682, 'Green_rooibos initial weight'!$A$5:$A$1749,0)),"")</f>
        <v>2.1890000000000001</v>
      </c>
      <c r="L682" s="225">
        <f>IFERROR(K682-(TBIcalc!$H$9+TBIcalc!$H$10),"")</f>
        <v>1.9392</v>
      </c>
      <c r="M682" s="391">
        <f>AVERAGE(Ashed_controlls!$K$12:$K$14)</f>
        <v>2.2816647271287041</v>
      </c>
      <c r="N682" s="225">
        <f t="shared" si="54"/>
        <v>1.8949539576115202</v>
      </c>
      <c r="O682" s="225">
        <f>IF(IFERROR(INDEX('Both teabags AfterWet'!$C$3:$C$841,MATCH(J682,'Both teabags AfterWet'!$A$3:$A$841,0)),"")="","",(IFERROR(INDEX('Both teabags AfterWet'!$C$3:$C$841,MATCH(J682,'Both teabags AfterWet'!$A$3:$A$841,0)),"")))</f>
        <v>1.4087000000000001</v>
      </c>
      <c r="P682" s="225">
        <f>IFERROR(IF(O682&gt;0,O682-(TBIcalc!$H$9),""),"")</f>
        <v>1.2581</v>
      </c>
      <c r="Q682" s="225">
        <f>IFERROR(INDEX('Ashed teabags wet'!$K$2:$K$821,MATCH(J682,'Ashed teabags wet'!$A$2:$A$821,0)),"")</f>
        <v>6.7426871591461754</v>
      </c>
      <c r="R682" s="225">
        <f t="shared" si="57"/>
        <v>1.1732702528507819</v>
      </c>
      <c r="S682" s="226">
        <f>'WetLitterbags placem_collection'!E23</f>
        <v>42767</v>
      </c>
      <c r="T682" s="226">
        <f>IF('WetLitterbags placem_collection'!G23="","",'WetLitterbags placem_collection'!G23)</f>
        <v>42818</v>
      </c>
      <c r="U682" s="227">
        <f t="shared" si="59"/>
        <v>51</v>
      </c>
      <c r="V682" s="225">
        <f t="shared" si="55"/>
        <v>0.68110000000000004</v>
      </c>
      <c r="W682" s="225">
        <f t="shared" si="56"/>
        <v>0.72168370476073829</v>
      </c>
      <c r="X682">
        <f>IFERROR(INDEX(Rainfall_Wet!$O$2:$O$217,MATCH(B682, Rainfall_Wet!$A$2:$A$217,0)),"")</f>
        <v>185.630065823</v>
      </c>
      <c r="Y682" s="231">
        <v>54.080969906906262</v>
      </c>
      <c r="Z682" s="231">
        <v>21.264484651351896</v>
      </c>
      <c r="AA682" s="231">
        <v>24.654545441741845</v>
      </c>
      <c r="AB682" s="232" t="s">
        <v>2673</v>
      </c>
      <c r="AC682" s="231">
        <v>5.8433218334154802</v>
      </c>
      <c r="AD682" t="str">
        <f>IF('WetLitterbags placem_collection'!AB23="","",'WetLitterbags placem_collection'!AB23)</f>
        <v/>
      </c>
      <c r="AE682" t="str">
        <f>IF('WetLitterbags placem_collection'!Z23="","",'WetLitterbags placem_collection'!Z23)</f>
        <v/>
      </c>
      <c r="AF682" s="24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placem_collection'!Y23)),"YES","NO")</f>
        <v>NO</v>
      </c>
      <c r="AM682" t="str">
        <f>IF(ISNUMBER(SEARCH("H", 'WetLitterbags placem_collection'!Y23)),"YES","NO")</f>
        <v>NO</v>
      </c>
      <c r="AN682" t="str">
        <f>IF(ISNUMBER(SEARCH("R", 'WetLitterbags placem_collection'!Y23)),"YES","NO")</f>
        <v>NO</v>
      </c>
    </row>
    <row r="683" spans="1:40" ht="15" customHeight="1">
      <c r="A683" s="258" t="s">
        <v>2460</v>
      </c>
      <c r="B683" s="263">
        <f>'Dry_Litterbag Placem_Collection'!A24</f>
        <v>22</v>
      </c>
      <c r="C683" s="263" t="str">
        <f>'Dry_Litterbag Placem_Collection'!B24</f>
        <v>Makao</v>
      </c>
      <c r="D683" s="263" t="s">
        <v>2659</v>
      </c>
      <c r="E683" s="263" t="s">
        <v>2660</v>
      </c>
      <c r="F683" s="263">
        <v>3</v>
      </c>
      <c r="G683" s="264" t="str">
        <f>'Dry_Litterbag Placem_Collection'!C24</f>
        <v>Dry_Ag3_T6</v>
      </c>
      <c r="H683" s="273" t="s">
        <v>3651</v>
      </c>
      <c r="I683" s="274" t="s">
        <v>298</v>
      </c>
      <c r="J683" s="223" t="str">
        <f>'WetLitterbags placem_collection'!Q24</f>
        <v>R45</v>
      </c>
      <c r="K683" s="225">
        <f>IFERROR(INDEX('Green_rooibos initial weight'!$C$5:$C$1749,MATCH(J683, 'Green_rooibos initial weight'!$A$5:$A$1749,0)),"")</f>
        <v>2.1989999999999998</v>
      </c>
      <c r="L683" s="225">
        <f>IFERROR(K683-(TBIcalc!$H$9+TBIcalc!$H$10),"")</f>
        <v>1.9491999999999998</v>
      </c>
      <c r="M683" s="391">
        <f>AVERAGE(Ashed_controlls!$K$12:$K$14)</f>
        <v>2.2816647271287041</v>
      </c>
      <c r="N683" s="225">
        <f t="shared" si="54"/>
        <v>1.9047257911388071</v>
      </c>
      <c r="O683" s="225">
        <f>IF(IFERROR(INDEX('Both teabags AfterWet'!$C$3:$C$841,MATCH(J683,'Both teabags AfterWet'!$A$3:$A$841,0)),"")="","",(IFERROR(INDEX('Both teabags AfterWet'!$C$3:$C$841,MATCH(J683,'Both teabags AfterWet'!$A$3:$A$841,0)),"")))</f>
        <v>1.4908999999999999</v>
      </c>
      <c r="P683" s="225">
        <f>IFERROR(IF(O683&gt;0,O683-(TBIcalc!$H$9),""),"")</f>
        <v>1.3402999999999998</v>
      </c>
      <c r="Q683" s="225">
        <f>IFERROR(INDEX('Ashed teabags wet'!$K$2:$K$821,MATCH(J683,'Ashed teabags wet'!$A$2:$A$821,0)),"")</f>
        <v>3.3797216699801611</v>
      </c>
      <c r="R683" s="225">
        <f t="shared" si="57"/>
        <v>1.2950015904572558</v>
      </c>
      <c r="S683" s="226">
        <f>'WetLitterbags placem_collection'!E24</f>
        <v>42767</v>
      </c>
      <c r="T683" s="226">
        <f>IF('WetLitterbags placem_collection'!G24="","",'WetLitterbags placem_collection'!G24)</f>
        <v>42818</v>
      </c>
      <c r="U683" s="227">
        <f t="shared" si="59"/>
        <v>51</v>
      </c>
      <c r="V683" s="225">
        <f t="shared" si="55"/>
        <v>0.6089</v>
      </c>
      <c r="W683" s="225">
        <f t="shared" si="56"/>
        <v>0.60972420068155131</v>
      </c>
      <c r="X683">
        <f>IFERROR(INDEX(Rainfall_Wet!$O$2:$O$217,MATCH(B683, Rainfall_Wet!$A$2:$A$217,0)),"")</f>
        <v>185.630065823</v>
      </c>
      <c r="Y683" s="231">
        <v>54.080969906906262</v>
      </c>
      <c r="Z683" s="231">
        <v>21.264484651351896</v>
      </c>
      <c r="AA683" s="231">
        <v>24.654545441741845</v>
      </c>
      <c r="AB683" s="232" t="s">
        <v>2673</v>
      </c>
      <c r="AC683" s="231">
        <v>6.8433218334154802</v>
      </c>
      <c r="AD683" t="str">
        <f>IF('WetLitterbags placem_collection'!AB24="","",'WetLitterbags placem_collection'!AB24)</f>
        <v/>
      </c>
      <c r="AE683" t="str">
        <f>IF('WetLitterbags placem_collection'!Z24="","",'WetLitterbags placem_collection'!Z24)</f>
        <v/>
      </c>
      <c r="AF683" s="24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placem_collection'!Y24)),"YES","NO")</f>
        <v>NO</v>
      </c>
      <c r="AM683" t="str">
        <f>IF(ISNUMBER(SEARCH("H", 'WetLitterbags placem_collection'!Y24)),"YES","NO")</f>
        <v>NO</v>
      </c>
      <c r="AN683" t="str">
        <f>IF(ISNUMBER(SEARCH("R", 'WetLitterbags placem_collection'!Y24)),"YES","NO")</f>
        <v>NO</v>
      </c>
    </row>
    <row r="684" spans="1:40" ht="15" customHeight="1">
      <c r="A684" s="258" t="s">
        <v>2460</v>
      </c>
      <c r="B684" s="263">
        <f>'Dry_Litterbag Placem_Collection'!A25</f>
        <v>23</v>
      </c>
      <c r="C684" s="263" t="str">
        <f>'Dry_Litterbag Placem_Collection'!B25</f>
        <v>Makao</v>
      </c>
      <c r="D684" s="263" t="s">
        <v>2659</v>
      </c>
      <c r="E684" s="263" t="s">
        <v>2660</v>
      </c>
      <c r="F684" s="263">
        <v>3</v>
      </c>
      <c r="G684" s="264" t="str">
        <f>'Dry_Litterbag Placem_Collection'!C25</f>
        <v>Dry_Ag3_T7</v>
      </c>
      <c r="H684" s="273" t="s">
        <v>3651</v>
      </c>
      <c r="I684" s="274" t="s">
        <v>298</v>
      </c>
      <c r="J684" s="223" t="str">
        <f>'WetLitterbags placem_collection'!Q25</f>
        <v>R132</v>
      </c>
      <c r="K684" s="225">
        <f>IFERROR(INDEX('Green_rooibos initial weight'!$C$5:$C$1749,MATCH(J684, 'Green_rooibos initial weight'!$A$5:$A$1749,0)),"")</f>
        <v>2.133</v>
      </c>
      <c r="L684" s="225">
        <f>IFERROR(K684-(TBIcalc!$H$9+TBIcalc!$H$10),"")</f>
        <v>1.8832</v>
      </c>
      <c r="M684" s="391">
        <f>AVERAGE(Ashed_controlls!$K$12:$K$14)</f>
        <v>2.2816647271287041</v>
      </c>
      <c r="N684" s="225">
        <f t="shared" si="54"/>
        <v>1.8402316898587123</v>
      </c>
      <c r="O684" s="225">
        <f>IF(IFERROR(INDEX('Both teabags AfterWet'!$C$3:$C$841,MATCH(J684,'Both teabags AfterWet'!$A$3:$A$841,0)),"")="","",(IFERROR(INDEX('Both teabags AfterWet'!$C$3:$C$841,MATCH(J684,'Both teabags AfterWet'!$A$3:$A$841,0)),"")))</f>
        <v>1.5238</v>
      </c>
      <c r="P684" s="225">
        <f>IFERROR(IF(O684&gt;0,O684-(TBIcalc!$H$9),""),"")</f>
        <v>1.3732</v>
      </c>
      <c r="Q684" s="225">
        <f>IFERROR(INDEX('Ashed teabags wet'!$K$2:$K$821,MATCH(J684,'Ashed teabags wet'!$A$2:$A$821,0)),"")</f>
        <v>1.7982017982017391</v>
      </c>
      <c r="R684" s="225">
        <f t="shared" si="57"/>
        <v>1.3485070929070937</v>
      </c>
      <c r="S684" s="226">
        <f>'WetLitterbags placem_collection'!E25</f>
        <v>42767</v>
      </c>
      <c r="T684" s="226">
        <f>IF('WetLitterbags placem_collection'!G25="","",'WetLitterbags placem_collection'!G25)</f>
        <v>42818</v>
      </c>
      <c r="U684" s="227">
        <f t="shared" si="59"/>
        <v>51</v>
      </c>
      <c r="V684" s="225">
        <f t="shared" si="55"/>
        <v>0.51</v>
      </c>
      <c r="W684" s="225">
        <f t="shared" si="56"/>
        <v>0.49172459695161863</v>
      </c>
      <c r="X684">
        <f>IFERROR(INDEX(Rainfall_Wet!$O$2:$O$217,MATCH(B684, Rainfall_Wet!$A$2:$A$217,0)),"")</f>
        <v>185.630065823</v>
      </c>
      <c r="Y684" s="231">
        <v>54.080969906906262</v>
      </c>
      <c r="Z684" s="231">
        <v>21.264484651351896</v>
      </c>
      <c r="AA684" s="231">
        <v>24.654545441741845</v>
      </c>
      <c r="AB684" s="232" t="s">
        <v>2673</v>
      </c>
      <c r="AC684" s="231">
        <v>7.8433218334154802</v>
      </c>
      <c r="AD684" t="str">
        <f>IF('WetLitterbags placem_collection'!AB25="","",'WetLitterbags placem_collection'!AB25)</f>
        <v/>
      </c>
      <c r="AE684" t="str">
        <f>IF('WetLitterbags placem_collection'!Z25="","",'WetLitterbags placem_collection'!Z25)</f>
        <v/>
      </c>
      <c r="AF684" s="24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placem_collection'!Y25)),"YES","NO")</f>
        <v>NO</v>
      </c>
      <c r="AM684" t="str">
        <f>IF(ISNUMBER(SEARCH("H", 'WetLitterbags placem_collection'!Y25)),"YES","NO")</f>
        <v>NO</v>
      </c>
      <c r="AN684" t="str">
        <f>IF(ISNUMBER(SEARCH("R", 'WetLitterbags placem_collection'!Y25)),"YES","NO")</f>
        <v>NO</v>
      </c>
    </row>
    <row r="685" spans="1:40" ht="15" customHeight="1">
      <c r="A685" s="258" t="s">
        <v>2460</v>
      </c>
      <c r="B685" s="263">
        <f>'Dry_Litterbag Placem_Collection'!A26</f>
        <v>24</v>
      </c>
      <c r="C685" s="263" t="str">
        <f>'Dry_Litterbag Placem_Collection'!B26</f>
        <v>Makao</v>
      </c>
      <c r="D685" s="263" t="s">
        <v>2659</v>
      </c>
      <c r="E685" s="263" t="s">
        <v>2660</v>
      </c>
      <c r="F685" s="263">
        <v>3</v>
      </c>
      <c r="G685" s="264" t="str">
        <f>'Dry_Litterbag Placem_Collection'!C26</f>
        <v>Dry_Ag3_T8</v>
      </c>
      <c r="H685" s="273" t="s">
        <v>3651</v>
      </c>
      <c r="I685" s="274" t="s">
        <v>298</v>
      </c>
      <c r="J685" s="223" t="str">
        <f>'WetLitterbags placem_collection'!Q26</f>
        <v>R71</v>
      </c>
      <c r="K685" s="225">
        <f>IFERROR(INDEX('Green_rooibos initial weight'!$C$5:$C$1749,MATCH(J685, 'Green_rooibos initial weight'!$A$5:$A$1749,0)),"")</f>
        <v>2.2440000000000002</v>
      </c>
      <c r="L685" s="225">
        <f>IFERROR(K685-(TBIcalc!$H$9+TBIcalc!$H$10),"")</f>
        <v>1.9942000000000002</v>
      </c>
      <c r="M685" s="391">
        <f>AVERAGE(Ashed_controlls!$K$12:$K$14)</f>
        <v>2.2816647271287041</v>
      </c>
      <c r="N685" s="225">
        <f t="shared" si="54"/>
        <v>1.9486990420115995</v>
      </c>
      <c r="O685" s="225">
        <f>IF(IFERROR(INDEX('Both teabags AfterWet'!$C$3:$C$841,MATCH(J685,'Both teabags AfterWet'!$A$3:$A$841,0)),"")="","",(IFERROR(INDEX('Both teabags AfterWet'!$C$3:$C$841,MATCH(J685,'Both teabags AfterWet'!$A$3:$A$841,0)),"")))</f>
        <v>1.3083</v>
      </c>
      <c r="P685" s="225">
        <f>IFERROR(IF(O685&gt;0,O685-(TBIcalc!$H$9),""),"")</f>
        <v>1.1577</v>
      </c>
      <c r="Q685" s="225">
        <f>IFERROR(INDEX('Ashed teabags wet'!$K$2:$K$821,MATCH(J685,'Ashed teabags wet'!$A$2:$A$821,0)),"")</f>
        <v>5.6575682382137682</v>
      </c>
      <c r="R685" s="225">
        <f t="shared" si="57"/>
        <v>1.0922023325061991</v>
      </c>
      <c r="S685" s="226">
        <f>'WetLitterbags placem_collection'!E26</f>
        <v>42767</v>
      </c>
      <c r="T685" s="226">
        <f>IF('WetLitterbags placem_collection'!G26="","",'WetLitterbags placem_collection'!G26)</f>
        <v>42818</v>
      </c>
      <c r="U685" s="227">
        <f t="shared" si="59"/>
        <v>51</v>
      </c>
      <c r="V685" s="225">
        <f t="shared" si="55"/>
        <v>0.83650000000000024</v>
      </c>
      <c r="W685" s="225">
        <f t="shared" si="56"/>
        <v>0.85649670950540036</v>
      </c>
      <c r="X685">
        <f>IFERROR(INDEX(Rainfall_Wet!$O$2:$O$217,MATCH(B685, Rainfall_Wet!$A$2:$A$217,0)),"")</f>
        <v>185.630065823</v>
      </c>
      <c r="Y685" s="231">
        <v>54.080969906906262</v>
      </c>
      <c r="Z685" s="231">
        <v>21.264484651351896</v>
      </c>
      <c r="AA685" s="231">
        <v>24.654545441741845</v>
      </c>
      <c r="AB685" s="232" t="s">
        <v>2673</v>
      </c>
      <c r="AC685" s="231">
        <v>8.8433218334154695</v>
      </c>
      <c r="AD685" t="str">
        <f>IF('WetLitterbags placem_collection'!AB26="","",'WetLitterbags placem_collection'!AB26)</f>
        <v/>
      </c>
      <c r="AE685" t="str">
        <f>IF('WetLitterbags placem_collection'!Z26="","",'WetLitterbags placem_collection'!Z26)</f>
        <v/>
      </c>
      <c r="AF685" s="24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placem_collection'!Y26)),"YES","NO")</f>
        <v>NO</v>
      </c>
      <c r="AM685" t="str">
        <f>IF(ISNUMBER(SEARCH("H", 'WetLitterbags placem_collection'!Y26)),"YES","NO")</f>
        <v>NO</v>
      </c>
      <c r="AN685" t="str">
        <f>IF(ISNUMBER(SEARCH("R", 'WetLitterbags placem_collection'!Y26)),"YES","NO")</f>
        <v>NO</v>
      </c>
    </row>
    <row r="686" spans="1:40" ht="15" customHeight="1">
      <c r="A686" s="258" t="s">
        <v>2460</v>
      </c>
      <c r="B686" s="263">
        <f>'Dry_Litterbag Placem_Collection'!A27</f>
        <v>25</v>
      </c>
      <c r="C686" s="263" t="str">
        <f>'Dry_Litterbag Placem_Collection'!B27</f>
        <v>Makao</v>
      </c>
      <c r="D686" s="263" t="s">
        <v>2659</v>
      </c>
      <c r="E686" s="263" t="s">
        <v>2660</v>
      </c>
      <c r="F686" s="263">
        <v>4</v>
      </c>
      <c r="G686" s="264" t="str">
        <f>'Dry_Litterbag Placem_Collection'!C27</f>
        <v>Dry_Ag4_T1</v>
      </c>
      <c r="H686" s="273" t="s">
        <v>3651</v>
      </c>
      <c r="I686" s="274" t="s">
        <v>298</v>
      </c>
      <c r="J686" s="223" t="str">
        <f>'WetLitterbags placem_collection'!Q27</f>
        <v>R104</v>
      </c>
      <c r="K686" s="225">
        <f>IFERROR(INDEX('Green_rooibos initial weight'!$C$5:$C$1749,MATCH(J686, 'Green_rooibos initial weight'!$A$5:$A$1749,0)),"")</f>
        <v>2.2109999999999999</v>
      </c>
      <c r="L686" s="225">
        <f>IFERROR(K686-(TBIcalc!$H$9+TBIcalc!$H$10),"")</f>
        <v>1.9611999999999998</v>
      </c>
      <c r="M686" s="391">
        <f>AVERAGE(Ashed_controlls!$K$12:$K$14)</f>
        <v>2.2816647271287041</v>
      </c>
      <c r="N686" s="225">
        <f t="shared" si="54"/>
        <v>1.9164519913715516</v>
      </c>
      <c r="O686" s="225">
        <f>IF(IFERROR(INDEX('Both teabags AfterWet'!$C$3:$C$841,MATCH(J686,'Both teabags AfterWet'!$A$3:$A$841,0)),"")="","",(IFERROR(INDEX('Both teabags AfterWet'!$C$3:$C$841,MATCH(J686,'Both teabags AfterWet'!$A$3:$A$841,0)),"")))</f>
        <v>1.4184000000000001</v>
      </c>
      <c r="P686" s="225">
        <f>IFERROR(IF(O686&gt;0,O686-(TBIcalc!$H$9),""),"")</f>
        <v>1.2678</v>
      </c>
      <c r="Q686" s="225">
        <f>IFERROR(INDEX('Ashed teabags wet'!$K$2:$K$821,MATCH(J686,'Ashed teabags wet'!$A$2:$A$821,0)),"")</f>
        <v>3.8194444444447946</v>
      </c>
      <c r="R686" s="225">
        <f t="shared" si="57"/>
        <v>1.2193770833333288</v>
      </c>
      <c r="S686" s="226">
        <f>'WetLitterbags placem_collection'!E27</f>
        <v>42767</v>
      </c>
      <c r="T686" s="226">
        <f>IF('WetLitterbags placem_collection'!G27="","",'WetLitterbags placem_collection'!G27)</f>
        <v>42818</v>
      </c>
      <c r="U686" s="227">
        <f t="shared" si="59"/>
        <v>51</v>
      </c>
      <c r="V686" s="225">
        <f t="shared" si="55"/>
        <v>0.69339999999999979</v>
      </c>
      <c r="W686" s="225">
        <f t="shared" si="56"/>
        <v>0.69707490803822281</v>
      </c>
      <c r="X686">
        <f>IFERROR(INDEX(Rainfall_Wet!$O$2:$O$217,MATCH(B686, Rainfall_Wet!$A$2:$A$217,0)),"")</f>
        <v>185.630065823</v>
      </c>
      <c r="Y686" s="231">
        <v>51.960000000000008</v>
      </c>
      <c r="Z686" s="231">
        <v>18.919999999999995</v>
      </c>
      <c r="AA686" s="231">
        <v>29.120000000000005</v>
      </c>
      <c r="AB686" s="232" t="s">
        <v>2673</v>
      </c>
      <c r="AC686" s="231">
        <v>1.85293247905372</v>
      </c>
      <c r="AD686" t="str">
        <f>IF('WetLitterbags placem_collection'!AB27="","",'WetLitterbags placem_collection'!AB27)</f>
        <v/>
      </c>
      <c r="AE686" t="str">
        <f>IF('WetLitterbags placem_collection'!Z27="","",'WetLitterbags placem_collection'!Z27)</f>
        <v/>
      </c>
      <c r="AF686" s="24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placem_collection'!Y27)),"YES","NO")</f>
        <v>NO</v>
      </c>
      <c r="AM686" t="str">
        <f>IF(ISNUMBER(SEARCH("H", 'WetLitterbags placem_collection'!Y27)),"YES","NO")</f>
        <v>NO</v>
      </c>
      <c r="AN686" t="str">
        <f>IF(ISNUMBER(SEARCH("R", 'WetLitterbags placem_collection'!Y27)),"YES","NO")</f>
        <v>NO</v>
      </c>
    </row>
    <row r="687" spans="1:40" ht="15" customHeight="1">
      <c r="A687" s="258" t="s">
        <v>2460</v>
      </c>
      <c r="B687" s="263">
        <f>'Dry_Litterbag Placem_Collection'!A28</f>
        <v>26</v>
      </c>
      <c r="C687" s="263" t="str">
        <f>'Dry_Litterbag Placem_Collection'!B28</f>
        <v>Makao</v>
      </c>
      <c r="D687" s="263" t="s">
        <v>2659</v>
      </c>
      <c r="E687" s="263" t="s">
        <v>2660</v>
      </c>
      <c r="F687" s="263">
        <v>4</v>
      </c>
      <c r="G687" s="264" t="str">
        <f>'Dry_Litterbag Placem_Collection'!C28</f>
        <v>Dry_Ag4_T2</v>
      </c>
      <c r="H687" s="273" t="s">
        <v>3651</v>
      </c>
      <c r="I687" s="274" t="s">
        <v>298</v>
      </c>
      <c r="J687" s="223" t="str">
        <f>'WetLitterbags placem_collection'!Q28</f>
        <v>R189</v>
      </c>
      <c r="K687" s="225">
        <f>IFERROR(INDEX('Green_rooibos initial weight'!$C$5:$C$1749,MATCH(J687, 'Green_rooibos initial weight'!$A$5:$A$1749,0)),"")</f>
        <v>2.274</v>
      </c>
      <c r="L687" s="225">
        <f>IFERROR(K687-(TBIcalc!$H$9+TBIcalc!$H$10),"")</f>
        <v>2.0242</v>
      </c>
      <c r="M687" s="391">
        <f>AVERAGE(Ashed_controlls!$K$12:$K$14)</f>
        <v>2.2816647271287041</v>
      </c>
      <c r="N687" s="225">
        <f t="shared" si="54"/>
        <v>1.9780145425934608</v>
      </c>
      <c r="O687" s="225">
        <f>IF(IFERROR(INDEX('Both teabags AfterWet'!$C$3:$C$841,MATCH(J687,'Both teabags AfterWet'!$A$3:$A$841,0)),"")="","",(IFERROR(INDEX('Both teabags AfterWet'!$C$3:$C$841,MATCH(J687,'Both teabags AfterWet'!$A$3:$A$841,0)),"")))</f>
        <v>1.464</v>
      </c>
      <c r="P687" s="225">
        <f>IFERROR(IF(O687&gt;0,O687-(TBIcalc!$H$9),""),"")</f>
        <v>1.3133999999999999</v>
      </c>
      <c r="Q687" s="225">
        <f>IFERROR(INDEX('Ashed teabags wet'!$K$2:$K$821,MATCH(J687,'Ashed teabags wet'!$A$2:$A$821,0)),"")</f>
        <v>2.9721955896448731</v>
      </c>
      <c r="R687" s="225">
        <f t="shared" si="57"/>
        <v>1.2743631831256041</v>
      </c>
      <c r="S687" s="226">
        <f>'WetLitterbags placem_collection'!E28</f>
        <v>42767</v>
      </c>
      <c r="T687" s="226">
        <f>IF('WetLitterbags placem_collection'!G28="","",'WetLitterbags placem_collection'!G28)</f>
        <v>42818</v>
      </c>
      <c r="U687" s="227">
        <f t="shared" si="59"/>
        <v>51</v>
      </c>
      <c r="V687" s="225">
        <f t="shared" si="55"/>
        <v>0.7108000000000001</v>
      </c>
      <c r="W687" s="225">
        <f t="shared" si="56"/>
        <v>0.70365135946785662</v>
      </c>
      <c r="X687">
        <f>IFERROR(INDEX(Rainfall_Wet!$O$2:$O$217,MATCH(B687, Rainfall_Wet!$A$2:$A$217,0)),"")</f>
        <v>185.630065823</v>
      </c>
      <c r="Y687" s="231">
        <v>51.960000000000008</v>
      </c>
      <c r="Z687" s="231">
        <v>18.919999999999995</v>
      </c>
      <c r="AA687" s="231">
        <v>29.120000000000005</v>
      </c>
      <c r="AB687" s="232" t="s">
        <v>2673</v>
      </c>
      <c r="AC687" s="231">
        <v>2.8529324790537198</v>
      </c>
      <c r="AD687" t="str">
        <f>IF('WetLitterbags placem_collection'!AB28="","",'WetLitterbags placem_collection'!AB28)</f>
        <v/>
      </c>
      <c r="AE687" t="str">
        <f>IF('WetLitterbags placem_collection'!Z28="","",'WetLitterbags placem_collection'!Z28)</f>
        <v/>
      </c>
      <c r="AF687" s="24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placem_collection'!Y28)),"YES","NO")</f>
        <v>NO</v>
      </c>
      <c r="AM687" t="str">
        <f>IF(ISNUMBER(SEARCH("H", 'WetLitterbags placem_collection'!Y28)),"YES","NO")</f>
        <v>NO</v>
      </c>
      <c r="AN687" t="str">
        <f>IF(ISNUMBER(SEARCH("R", 'WetLitterbags placem_collection'!Y28)),"YES","NO")</f>
        <v>NO</v>
      </c>
    </row>
    <row r="688" spans="1:40" ht="15" customHeight="1">
      <c r="A688" s="258" t="s">
        <v>2460</v>
      </c>
      <c r="B688" s="263">
        <f>'Dry_Litterbag Placem_Collection'!A29</f>
        <v>27</v>
      </c>
      <c r="C688" s="263" t="str">
        <f>'Dry_Litterbag Placem_Collection'!B29</f>
        <v>Makao</v>
      </c>
      <c r="D688" s="263" t="s">
        <v>2659</v>
      </c>
      <c r="E688" s="263" t="s">
        <v>2660</v>
      </c>
      <c r="F688" s="263">
        <v>4</v>
      </c>
      <c r="G688" s="264" t="str">
        <f>'Dry_Litterbag Placem_Collection'!C29</f>
        <v>Dry_Ag4_T3</v>
      </c>
      <c r="H688" s="273" t="s">
        <v>3651</v>
      </c>
      <c r="I688" s="274" t="s">
        <v>298</v>
      </c>
      <c r="J688" s="223" t="str">
        <f>'WetLitterbags placem_collection'!Q29</f>
        <v>R217</v>
      </c>
      <c r="K688" s="225">
        <f>IFERROR(INDEX('Green_rooibos initial weight'!$C$5:$C$1749,MATCH(J688, 'Green_rooibos initial weight'!$A$5:$A$1749,0)),"")</f>
        <v>2.2109999999999999</v>
      </c>
      <c r="L688" s="225">
        <f>IFERROR(K688-(TBIcalc!$H$9+TBIcalc!$H$10),"")</f>
        <v>1.9611999999999998</v>
      </c>
      <c r="M688" s="391">
        <f>AVERAGE(Ashed_controlls!$K$12:$K$14)</f>
        <v>2.2816647271287041</v>
      </c>
      <c r="N688" s="225">
        <f t="shared" si="54"/>
        <v>1.9164519913715516</v>
      </c>
      <c r="O688" s="225">
        <f>IF(IFERROR(INDEX('Both teabags AfterWet'!$C$3:$C$841,MATCH(J688,'Both teabags AfterWet'!$A$3:$A$841,0)),"")="","",(IFERROR(INDEX('Both teabags AfterWet'!$C$3:$C$841,MATCH(J688,'Both teabags AfterWet'!$A$3:$A$841,0)),"")))</f>
        <v>1.5392999999999999</v>
      </c>
      <c r="P688" s="225">
        <f>IFERROR(IF(O688&gt;0,O688-(TBIcalc!$H$9),""),"")</f>
        <v>1.3886999999999998</v>
      </c>
      <c r="Q688" s="225">
        <f>IFERROR(INDEX('Ashed teabags wet'!$K$2:$K$821,MATCH(J688,'Ashed teabags wet'!$A$2:$A$821,0)),"")</f>
        <v>3.5156250000002229</v>
      </c>
      <c r="R688" s="225">
        <f t="shared" si="57"/>
        <v>1.3398785156249968</v>
      </c>
      <c r="S688" s="226">
        <f>'WetLitterbags placem_collection'!E29</f>
        <v>42767</v>
      </c>
      <c r="T688" s="226">
        <f>IF('WetLitterbags placem_collection'!G29="","",'WetLitterbags placem_collection'!G29)</f>
        <v>42818</v>
      </c>
      <c r="U688" s="227">
        <f t="shared" si="59"/>
        <v>51</v>
      </c>
      <c r="V688" s="225">
        <f t="shared" si="55"/>
        <v>0.57250000000000001</v>
      </c>
      <c r="W688" s="225">
        <f t="shared" si="56"/>
        <v>0.57657347574655482</v>
      </c>
      <c r="X688">
        <f>IFERROR(INDEX(Rainfall_Wet!$O$2:$O$217,MATCH(B688, Rainfall_Wet!$A$2:$A$217,0)),"")</f>
        <v>185.630065823</v>
      </c>
      <c r="Y688" s="231">
        <v>51.960000000000008</v>
      </c>
      <c r="Z688" s="231">
        <v>18.919999999999995</v>
      </c>
      <c r="AA688" s="231">
        <v>29.120000000000005</v>
      </c>
      <c r="AB688" s="232" t="s">
        <v>2673</v>
      </c>
      <c r="AC688" s="231">
        <v>3.8529324790537198</v>
      </c>
      <c r="AD688" t="str">
        <f>IF('WetLitterbags placem_collection'!AB29="","",'WetLitterbags placem_collection'!AB29)</f>
        <v/>
      </c>
      <c r="AE688" t="str">
        <f>IF('WetLitterbags placem_collection'!Z29="","",'WetLitterbags placem_collection'!Z29)</f>
        <v/>
      </c>
      <c r="AF688" s="24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placem_collection'!Y29)),"YES","NO")</f>
        <v>NO</v>
      </c>
      <c r="AM688" t="str">
        <f>IF(ISNUMBER(SEARCH("H", 'WetLitterbags placem_collection'!Y29)),"YES","NO")</f>
        <v>NO</v>
      </c>
      <c r="AN688" t="str">
        <f>IF(ISNUMBER(SEARCH("R", 'WetLitterbags placem_collection'!Y29)),"YES","NO")</f>
        <v>NO</v>
      </c>
    </row>
    <row r="689" spans="1:40" ht="15" customHeight="1">
      <c r="A689" s="258" t="s">
        <v>2460</v>
      </c>
      <c r="B689" s="263">
        <f>'Dry_Litterbag Placem_Collection'!A30</f>
        <v>28</v>
      </c>
      <c r="C689" s="263" t="str">
        <f>'Dry_Litterbag Placem_Collection'!B30</f>
        <v>Makao</v>
      </c>
      <c r="D689" s="263" t="s">
        <v>2659</v>
      </c>
      <c r="E689" s="263" t="s">
        <v>2660</v>
      </c>
      <c r="F689" s="263">
        <v>4</v>
      </c>
      <c r="G689" s="264" t="str">
        <f>'Dry_Litterbag Placem_Collection'!C30</f>
        <v>Dry_Ag4_T4</v>
      </c>
      <c r="H689" s="273" t="s">
        <v>3651</v>
      </c>
      <c r="I689" s="274" t="s">
        <v>298</v>
      </c>
      <c r="J689" s="223" t="str">
        <f>'WetLitterbags placem_collection'!Q30</f>
        <v>R172</v>
      </c>
      <c r="K689" s="225">
        <f>IFERROR(INDEX('Green_rooibos initial weight'!$C$5:$C$1749,MATCH(J689, 'Green_rooibos initial weight'!$A$5:$A$1749,0)),"")</f>
        <v>2.1520000000000001</v>
      </c>
      <c r="L689" s="225">
        <f>IFERROR(K689-(TBIcalc!$H$9+TBIcalc!$H$10),"")</f>
        <v>1.9022000000000001</v>
      </c>
      <c r="M689" s="391">
        <f>AVERAGE(Ashed_controlls!$K$12:$K$14)</f>
        <v>2.2816647271287041</v>
      </c>
      <c r="N689" s="225">
        <f t="shared" si="54"/>
        <v>1.8587981735605579</v>
      </c>
      <c r="O689" s="225">
        <f>IF(IFERROR(INDEX('Both teabags AfterWet'!$C$3:$C$841,MATCH(J689,'Both teabags AfterWet'!$A$3:$A$841,0)),"")="","",(IFERROR(INDEX('Both teabags AfterWet'!$C$3:$C$841,MATCH(J689,'Both teabags AfterWet'!$A$3:$A$841,0)),"")))</f>
        <v>1.4665999999999999</v>
      </c>
      <c r="P689" s="225">
        <f>IFERROR(IF(O689&gt;0,O689-(TBIcalc!$H$9),""),"")</f>
        <v>1.3159999999999998</v>
      </c>
      <c r="Q689" s="225">
        <f>IFERROR(INDEX('Ashed teabags wet'!$K$2:$K$821,MATCH(J689,'Ashed teabags wet'!$A$2:$A$821,0)),"")</f>
        <v>4.6569854782171465</v>
      </c>
      <c r="R689" s="225">
        <f t="shared" si="57"/>
        <v>1.2547140711066622</v>
      </c>
      <c r="S689" s="226">
        <f>'WetLitterbags placem_collection'!E30</f>
        <v>42767</v>
      </c>
      <c r="T689" s="226">
        <f>IF('WetLitterbags placem_collection'!G30="","",'WetLitterbags placem_collection'!G30)</f>
        <v>42818</v>
      </c>
      <c r="U689" s="227">
        <f t="shared" si="59"/>
        <v>51</v>
      </c>
      <c r="V689" s="225">
        <f t="shared" si="55"/>
        <v>0.58620000000000028</v>
      </c>
      <c r="W689" s="225">
        <f t="shared" si="56"/>
        <v>0.60408410245389565</v>
      </c>
      <c r="X689">
        <f>IFERROR(INDEX(Rainfall_Wet!$O$2:$O$217,MATCH(B689, Rainfall_Wet!$A$2:$A$217,0)),"")</f>
        <v>185.630065823</v>
      </c>
      <c r="Y689" s="231">
        <v>51.960000000000008</v>
      </c>
      <c r="Z689" s="231">
        <v>18.919999999999995</v>
      </c>
      <c r="AA689" s="231">
        <v>29.120000000000005</v>
      </c>
      <c r="AB689" s="232" t="s">
        <v>2673</v>
      </c>
      <c r="AC689" s="231">
        <v>4.8529324790537203</v>
      </c>
      <c r="AD689" t="str">
        <f>IF('WetLitterbags placem_collection'!AB30="","",'WetLitterbags placem_collection'!AB30)</f>
        <v/>
      </c>
      <c r="AE689" t="str">
        <f>IF('WetLitterbags placem_collection'!Z30="","",'WetLitterbags placem_collection'!Z30)</f>
        <v/>
      </c>
      <c r="AF689" s="24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placem_collection'!Y30)),"YES","NO")</f>
        <v>NO</v>
      </c>
      <c r="AM689" t="str">
        <f>IF(ISNUMBER(SEARCH("H", 'WetLitterbags placem_collection'!Y30)),"YES","NO")</f>
        <v>NO</v>
      </c>
      <c r="AN689" t="str">
        <f>IF(ISNUMBER(SEARCH("R", 'WetLitterbags placem_collection'!Y30)),"YES","NO")</f>
        <v>NO</v>
      </c>
    </row>
    <row r="690" spans="1:40" ht="15" customHeight="1">
      <c r="A690" s="258" t="s">
        <v>2460</v>
      </c>
      <c r="B690" s="263">
        <f>'Dry_Litterbag Placem_Collection'!A31</f>
        <v>29</v>
      </c>
      <c r="C690" s="263" t="str">
        <f>'Dry_Litterbag Placem_Collection'!B31</f>
        <v>Makao</v>
      </c>
      <c r="D690" s="263" t="s">
        <v>2659</v>
      </c>
      <c r="E690" s="263" t="s">
        <v>2660</v>
      </c>
      <c r="F690" s="263">
        <v>4</v>
      </c>
      <c r="G690" s="264" t="str">
        <f>'Dry_Litterbag Placem_Collection'!C31</f>
        <v>Dry_Ag4_T5</v>
      </c>
      <c r="H690" s="273" t="s">
        <v>3651</v>
      </c>
      <c r="I690" s="274" t="s">
        <v>298</v>
      </c>
      <c r="J690" s="223" t="str">
        <f>'WetLitterbags placem_collection'!Q31</f>
        <v>R349</v>
      </c>
      <c r="K690" s="225">
        <f>IFERROR(INDEX('Green_rooibos initial weight'!$C$5:$C$1749,MATCH(J690, 'Green_rooibos initial weight'!$A$5:$A$1749,0)),"")</f>
        <v>2.2469999999999999</v>
      </c>
      <c r="L690" s="225">
        <f>IFERROR(K690-(TBIcalc!$H$9+TBIcalc!$H$10),"")</f>
        <v>1.9971999999999999</v>
      </c>
      <c r="M690" s="391">
        <f>AVERAGE(Ashed_controlls!$K$12:$K$14)</f>
        <v>2.2816647271287041</v>
      </c>
      <c r="N690" s="225">
        <f t="shared" si="54"/>
        <v>1.9516305920697854</v>
      </c>
      <c r="O690" s="225" t="str">
        <f>IF(IFERROR(INDEX('Both teabags AfterWet'!$C$3:$C$841,MATCH(J690,'Both teabags AfterWet'!$A$3:$A$841,0)),"")="","",(IFERROR(INDEX('Both teabags AfterWet'!$C$3:$C$841,MATCH(J690,'Both teabags AfterWet'!$A$3:$A$841,0)),"")))</f>
        <v/>
      </c>
      <c r="P690" s="225" t="str">
        <f>IFERROR(IF(O690&gt;0,O690-(TBIcalc!$H$9),""),"")</f>
        <v/>
      </c>
      <c r="Q690" s="225">
        <f>IFERROR(INDEX('Ashed teabags wet'!$K$2:$K$821,MATCH(J690,'Ashed teabags wet'!$A$2:$A$821,0)),"")</f>
        <v>3.0821917808218364</v>
      </c>
      <c r="R690" s="225" t="str">
        <f t="shared" si="57"/>
        <v/>
      </c>
      <c r="S690" s="226">
        <f>'WetLitterbags placem_collection'!E31</f>
        <v>42767</v>
      </c>
      <c r="T690" s="226">
        <f>IF('WetLitterbags placem_collection'!G31="","",'WetLitterbags placem_collection'!G31)</f>
        <v>42818</v>
      </c>
      <c r="U690" s="227">
        <f t="shared" si="59"/>
        <v>51</v>
      </c>
      <c r="V690" s="225" t="str">
        <f t="shared" si="55"/>
        <v/>
      </c>
      <c r="W690" s="225" t="str">
        <f t="shared" si="56"/>
        <v/>
      </c>
      <c r="X690">
        <f>IFERROR(INDEX(Rainfall_Wet!$O$2:$O$217,MATCH(B690, Rainfall_Wet!$A$2:$A$217,0)),"")</f>
        <v>185.630065823</v>
      </c>
      <c r="Y690" s="231">
        <v>51.960000000000008</v>
      </c>
      <c r="Z690" s="231">
        <v>18.919999999999995</v>
      </c>
      <c r="AA690" s="231">
        <v>29.120000000000005</v>
      </c>
      <c r="AB690" s="232" t="s">
        <v>2673</v>
      </c>
      <c r="AC690" s="231">
        <v>5.8529324790537203</v>
      </c>
      <c r="AD690" t="str">
        <f>IF('WetLitterbags placem_collection'!AB31="","",'WetLitterbags placem_collection'!AB31)</f>
        <v/>
      </c>
      <c r="AE690" t="str">
        <f>IF('WetLitterbags placem_collection'!Z31="","",'WetLitterbags placem_collection'!Z31)</f>
        <v/>
      </c>
      <c r="AF690" s="24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placem_collection'!Y31)),"YES","NO")</f>
        <v>NO</v>
      </c>
      <c r="AM690" t="str">
        <f>IF(ISNUMBER(SEARCH("H", 'WetLitterbags placem_collection'!Y31)),"YES","NO")</f>
        <v>NO</v>
      </c>
      <c r="AN690" t="str">
        <f>IF(ISNUMBER(SEARCH("R", 'WetLitterbags placem_collection'!Y31)),"YES","NO")</f>
        <v>NO</v>
      </c>
    </row>
    <row r="691" spans="1:40" ht="15" customHeight="1">
      <c r="A691" s="258" t="s">
        <v>2460</v>
      </c>
      <c r="B691" s="263">
        <f>'Dry_Litterbag Placem_Collection'!A32</f>
        <v>30</v>
      </c>
      <c r="C691" s="263" t="str">
        <f>'Dry_Litterbag Placem_Collection'!B32</f>
        <v>Makao</v>
      </c>
      <c r="D691" s="263" t="s">
        <v>2659</v>
      </c>
      <c r="E691" s="263" t="s">
        <v>2660</v>
      </c>
      <c r="F691" s="263">
        <v>4</v>
      </c>
      <c r="G691" s="264" t="str">
        <f>'Dry_Litterbag Placem_Collection'!C32</f>
        <v>Dry_Ag4_T6</v>
      </c>
      <c r="H691" s="273" t="s">
        <v>3651</v>
      </c>
      <c r="I691" s="274" t="s">
        <v>298</v>
      </c>
      <c r="J691" s="223" t="str">
        <f>'WetLitterbags placem_collection'!Q32</f>
        <v>R296</v>
      </c>
      <c r="K691" s="225">
        <f>IFERROR(INDEX('Green_rooibos initial weight'!$C$5:$C$1749,MATCH(J691, 'Green_rooibos initial weight'!$A$5:$A$1749,0)),"")</f>
        <v>2.226</v>
      </c>
      <c r="L691" s="225">
        <f>IFERROR(K691-(TBIcalc!$H$9+TBIcalc!$H$10),"")</f>
        <v>1.9762</v>
      </c>
      <c r="M691" s="391">
        <f>AVERAGE(Ashed_controlls!$K$12:$K$14)</f>
        <v>2.2816647271287041</v>
      </c>
      <c r="N691" s="225">
        <f t="shared" si="54"/>
        <v>1.9311097416624825</v>
      </c>
      <c r="O691" s="225">
        <f>IF(IFERROR(INDEX('Both teabags AfterWet'!$C$3:$C$841,MATCH(J691,'Both teabags AfterWet'!$A$3:$A$841,0)),"")="","",(IFERROR(INDEX('Both teabags AfterWet'!$C$3:$C$841,MATCH(J691,'Both teabags AfterWet'!$A$3:$A$841,0)),"")))</f>
        <v>1.3653</v>
      </c>
      <c r="P691" s="225">
        <f>IFERROR(IF(O691&gt;0,O691-(TBIcalc!$H$9),""),"")</f>
        <v>1.2146999999999999</v>
      </c>
      <c r="Q691" s="225">
        <f>IFERROR(INDEX('Ashed teabags wet'!$K$2:$K$821,MATCH(J691,'Ashed teabags wet'!$A$2:$A$821,0)),"")</f>
        <v>3.9301310043674835</v>
      </c>
      <c r="R691" s="225">
        <f t="shared" si="57"/>
        <v>1.1669606986899481</v>
      </c>
      <c r="S691" s="226">
        <f>'WetLitterbags placem_collection'!E32</f>
        <v>42767</v>
      </c>
      <c r="T691" s="226">
        <f>IF('WetLitterbags placem_collection'!G32="","",'WetLitterbags placem_collection'!G32)</f>
        <v>42818</v>
      </c>
      <c r="U691" s="227">
        <f t="shared" si="59"/>
        <v>51</v>
      </c>
      <c r="V691" s="225">
        <f t="shared" si="55"/>
        <v>0.76150000000000007</v>
      </c>
      <c r="W691" s="225">
        <f t="shared" si="56"/>
        <v>0.76414904297253439</v>
      </c>
      <c r="X691">
        <f>IFERROR(INDEX(Rainfall_Wet!$O$2:$O$217,MATCH(B691, Rainfall_Wet!$A$2:$A$217,0)),"")</f>
        <v>185.630065823</v>
      </c>
      <c r="Y691" s="231">
        <v>51.960000000000008</v>
      </c>
      <c r="Z691" s="231">
        <v>18.919999999999995</v>
      </c>
      <c r="AA691" s="231">
        <v>29.120000000000005</v>
      </c>
      <c r="AB691" s="232" t="s">
        <v>2673</v>
      </c>
      <c r="AC691" s="231">
        <v>6.8529324790537203</v>
      </c>
      <c r="AD691" t="str">
        <f>IF('WetLitterbags placem_collection'!AB32="","",'WetLitterbags placem_collection'!AB32)</f>
        <v/>
      </c>
      <c r="AE691" t="str">
        <f>IF('WetLitterbags placem_collection'!Z32="","",'WetLitterbags placem_collection'!Z32)</f>
        <v/>
      </c>
      <c r="AF691" s="24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placem_collection'!Y32)),"YES","NO")</f>
        <v>NO</v>
      </c>
      <c r="AM691" t="str">
        <f>IF(ISNUMBER(SEARCH("H", 'WetLitterbags placem_collection'!Y32)),"YES","NO")</f>
        <v>NO</v>
      </c>
      <c r="AN691" t="str">
        <f>IF(ISNUMBER(SEARCH("R", 'WetLitterbags placem_collection'!Y32)),"YES","NO")</f>
        <v>NO</v>
      </c>
    </row>
    <row r="692" spans="1:40" ht="15" customHeight="1">
      <c r="A692" s="258" t="s">
        <v>2460</v>
      </c>
      <c r="B692" s="263">
        <f>'Dry_Litterbag Placem_Collection'!A33</f>
        <v>31</v>
      </c>
      <c r="C692" s="263" t="str">
        <f>'Dry_Litterbag Placem_Collection'!B33</f>
        <v>Makao</v>
      </c>
      <c r="D692" s="263" t="s">
        <v>2659</v>
      </c>
      <c r="E692" s="263" t="s">
        <v>2660</v>
      </c>
      <c r="F692" s="263">
        <v>4</v>
      </c>
      <c r="G692" s="264" t="str">
        <f>'Dry_Litterbag Placem_Collection'!C33</f>
        <v>Dry_Ag4_T7</v>
      </c>
      <c r="H692" s="273" t="s">
        <v>3651</v>
      </c>
      <c r="I692" s="274" t="s">
        <v>298</v>
      </c>
      <c r="J692" s="223" t="str">
        <f>'WetLitterbags placem_collection'!Q33</f>
        <v>R323</v>
      </c>
      <c r="K692" s="225">
        <f>IFERROR(INDEX('Green_rooibos initial weight'!$C$5:$C$1749,MATCH(J692, 'Green_rooibos initial weight'!$A$5:$A$1749,0)),"")</f>
        <v>2.1949999999999998</v>
      </c>
      <c r="L692" s="225">
        <f>IFERROR(K692-(TBIcalc!$H$9+TBIcalc!$H$10),"")</f>
        <v>1.9451999999999998</v>
      </c>
      <c r="M692" s="391">
        <f>AVERAGE(Ashed_controlls!$K$12:$K$14)</f>
        <v>2.2816647271287041</v>
      </c>
      <c r="N692" s="225">
        <f t="shared" si="54"/>
        <v>1.9008170577278922</v>
      </c>
      <c r="O692" s="225">
        <f>IF(IFERROR(INDEX('Both teabags AfterWet'!$C$3:$C$841,MATCH(J692,'Both teabags AfterWet'!$A$3:$A$841,0)),"")="","",(IFERROR(INDEX('Both teabags AfterWet'!$C$3:$C$841,MATCH(J692,'Both teabags AfterWet'!$A$3:$A$841,0)),"")))</f>
        <v>1.425</v>
      </c>
      <c r="P692" s="225">
        <f>IFERROR(IF(O692&gt;0,O692-(TBIcalc!$H$9),""),"")</f>
        <v>1.2744</v>
      </c>
      <c r="Q692" s="225">
        <f>IFERROR(INDEX('Ashed teabags wet'!$K$2:$K$821,MATCH(J692,'Ashed teabags wet'!$A$2:$A$821,0)),"")</f>
        <v>20.058139534884134</v>
      </c>
      <c r="R692" s="225">
        <f t="shared" si="57"/>
        <v>1.0187790697674366</v>
      </c>
      <c r="S692" s="226">
        <f>'WetLitterbags placem_collection'!E33</f>
        <v>42767</v>
      </c>
      <c r="T692" s="226">
        <f>IF('WetLitterbags placem_collection'!G33="","",'WetLitterbags placem_collection'!G33)</f>
        <v>42818</v>
      </c>
      <c r="U692" s="227">
        <f t="shared" si="59"/>
        <v>51</v>
      </c>
      <c r="V692" s="225">
        <f t="shared" si="55"/>
        <v>0.67079999999999984</v>
      </c>
      <c r="W692" s="225">
        <f t="shared" si="56"/>
        <v>0.88203798796045563</v>
      </c>
      <c r="X692">
        <f>IFERROR(INDEX(Rainfall_Wet!$O$2:$O$217,MATCH(B692, Rainfall_Wet!$A$2:$A$217,0)),"")</f>
        <v>185.630065823</v>
      </c>
      <c r="Y692" s="231">
        <v>51.960000000000008</v>
      </c>
      <c r="Z692" s="231">
        <v>18.919999999999995</v>
      </c>
      <c r="AA692" s="231">
        <v>29.120000000000005</v>
      </c>
      <c r="AB692" s="232" t="s">
        <v>2673</v>
      </c>
      <c r="AC692" s="231">
        <v>7.8529324790537203</v>
      </c>
      <c r="AD692" t="str">
        <f>IF('WetLitterbags placem_collection'!AB33="","",'WetLitterbags placem_collection'!AB33)</f>
        <v/>
      </c>
      <c r="AE692" t="str">
        <f>IF('WetLitterbags placem_collection'!Z33="","",'WetLitterbags placem_collection'!Z33)</f>
        <v/>
      </c>
      <c r="AF692" s="24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placem_collection'!Y33)),"YES","NO")</f>
        <v>NO</v>
      </c>
      <c r="AM692" t="str">
        <f>IF(ISNUMBER(SEARCH("H", 'WetLitterbags placem_collection'!Y33)),"YES","NO")</f>
        <v>NO</v>
      </c>
      <c r="AN692" t="str">
        <f>IF(ISNUMBER(SEARCH("R", 'WetLitterbags placem_collection'!Y33)),"YES","NO")</f>
        <v>YES</v>
      </c>
    </row>
    <row r="693" spans="1:40" ht="15" customHeight="1">
      <c r="A693" s="258" t="s">
        <v>2460</v>
      </c>
      <c r="B693" s="263">
        <f>'Dry_Litterbag Placem_Collection'!A34</f>
        <v>32</v>
      </c>
      <c r="C693" s="263" t="str">
        <f>'Dry_Litterbag Placem_Collection'!B34</f>
        <v>Makao</v>
      </c>
      <c r="D693" s="263" t="s">
        <v>2659</v>
      </c>
      <c r="E693" s="263" t="s">
        <v>2660</v>
      </c>
      <c r="F693" s="263">
        <v>4</v>
      </c>
      <c r="G693" s="264" t="str">
        <f>'Dry_Litterbag Placem_Collection'!C34</f>
        <v>Dry_Ag4_T8</v>
      </c>
      <c r="H693" s="273" t="s">
        <v>3651</v>
      </c>
      <c r="I693" s="274" t="s">
        <v>298</v>
      </c>
      <c r="J693" s="223" t="str">
        <f>'WetLitterbags placem_collection'!Q34</f>
        <v>R156</v>
      </c>
      <c r="K693" s="225">
        <f>IFERROR(INDEX('Green_rooibos initial weight'!$C$5:$C$1749,MATCH(J693, 'Green_rooibos initial weight'!$A$5:$A$1749,0)),"")</f>
        <v>2.246</v>
      </c>
      <c r="L693" s="225">
        <f>IFERROR(K693-(TBIcalc!$H$9+TBIcalc!$H$10),"")</f>
        <v>1.9962</v>
      </c>
      <c r="M693" s="391">
        <f>AVERAGE(Ashed_controlls!$K$12:$K$14)</f>
        <v>2.2816647271287041</v>
      </c>
      <c r="N693" s="225">
        <f t="shared" si="54"/>
        <v>1.9506534087170568</v>
      </c>
      <c r="O693" s="225">
        <f>IF(IFERROR(INDEX('Both teabags AfterWet'!$C$3:$C$841,MATCH(J693,'Both teabags AfterWet'!$A$3:$A$841,0)),"")="","",(IFERROR(INDEX('Both teabags AfterWet'!$C$3:$C$841,MATCH(J693,'Both teabags AfterWet'!$A$3:$A$841,0)),"")))</f>
        <v>1.2625999999999999</v>
      </c>
      <c r="P693" s="225">
        <f>IFERROR(IF(O693&gt;0,O693-(TBIcalc!$H$9),""),"")</f>
        <v>1.1119999999999999</v>
      </c>
      <c r="Q693" s="225">
        <f>IFERROR(INDEX('Ashed teabags wet'!$K$2:$K$821,MATCH(J693,'Ashed teabags wet'!$A$2:$A$821,0)),"")</f>
        <v>5.5555555555557818</v>
      </c>
      <c r="R693" s="225">
        <f t="shared" si="57"/>
        <v>1.0502222222222195</v>
      </c>
      <c r="S693" s="226">
        <f>'WetLitterbags placem_collection'!E34</f>
        <v>42767</v>
      </c>
      <c r="T693" s="226">
        <f>IF('WetLitterbags placem_collection'!G34="","",'WetLitterbags placem_collection'!G34)</f>
        <v>42818</v>
      </c>
      <c r="U693" s="227">
        <f t="shared" si="59"/>
        <v>51</v>
      </c>
      <c r="V693" s="225">
        <f t="shared" si="55"/>
        <v>0.8842000000000001</v>
      </c>
      <c r="W693" s="225">
        <f t="shared" si="56"/>
        <v>0.90043118649483733</v>
      </c>
      <c r="X693">
        <f>IFERROR(INDEX(Rainfall_Wet!$O$2:$O$217,MATCH(B693, Rainfall_Wet!$A$2:$A$217,0)),"")</f>
        <v>185.630065823</v>
      </c>
      <c r="Y693" s="231">
        <v>51.960000000000008</v>
      </c>
      <c r="Z693" s="231">
        <v>18.919999999999995</v>
      </c>
      <c r="AA693" s="231">
        <v>29.120000000000005</v>
      </c>
      <c r="AB693" s="232" t="s">
        <v>2673</v>
      </c>
      <c r="AC693" s="231">
        <v>8.8529324790537203</v>
      </c>
      <c r="AD693" t="str">
        <f>IF('WetLitterbags placem_collection'!AB34="","",'WetLitterbags placem_collection'!AB34)</f>
        <v/>
      </c>
      <c r="AE693" t="str">
        <f>IF('WetLitterbags placem_collection'!Z34="","",'WetLitterbags placem_collection'!Z34)</f>
        <v/>
      </c>
      <c r="AF693" s="24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placem_collection'!Y34)),"YES","NO")</f>
        <v>NO</v>
      </c>
      <c r="AM693" t="str">
        <f>IF(ISNUMBER(SEARCH("H", 'WetLitterbags placem_collection'!Y34)),"YES","NO")</f>
        <v>NO</v>
      </c>
      <c r="AN693" t="str">
        <f>IF(ISNUMBER(SEARCH("R", 'WetLitterbags placem_collection'!Y34)),"YES","NO")</f>
        <v>YES</v>
      </c>
    </row>
    <row r="694" spans="1:40" ht="15" customHeight="1">
      <c r="A694" s="258" t="s">
        <v>2460</v>
      </c>
      <c r="B694" s="263">
        <f>'Dry_Litterbag Placem_Collection'!A35</f>
        <v>33</v>
      </c>
      <c r="C694" s="263" t="str">
        <f>'Dry_Litterbag Placem_Collection'!B35</f>
        <v>Makao</v>
      </c>
      <c r="D694" s="263" t="s">
        <v>2659</v>
      </c>
      <c r="E694" s="263" t="s">
        <v>20</v>
      </c>
      <c r="F694" s="263">
        <v>1</v>
      </c>
      <c r="G694" s="264" t="str">
        <f>'Dry_Litterbag Placem_Collection'!C35</f>
        <v>Dry_P1_T1</v>
      </c>
      <c r="H694" s="273" t="s">
        <v>3651</v>
      </c>
      <c r="I694" s="274" t="s">
        <v>298</v>
      </c>
      <c r="J694" s="223" t="str">
        <f>'WetLitterbags placem_collection'!Q35</f>
        <v>R452</v>
      </c>
      <c r="K694" s="225">
        <f>IFERROR(INDEX('Green_rooibos initial weight'!$C$5:$C$1749,MATCH(J694, 'Green_rooibos initial weight'!$A$5:$A$1749,0)),"")</f>
        <v>2.2320000000000002</v>
      </c>
      <c r="L694" s="225">
        <f>IFERROR(K694-(TBIcalc!$H$9+TBIcalc!$H$10),"")</f>
        <v>1.9822000000000002</v>
      </c>
      <c r="M694" s="391">
        <f>AVERAGE(Ashed_controlls!$K$12:$K$14)</f>
        <v>2.2816647271287041</v>
      </c>
      <c r="N694" s="225">
        <f t="shared" si="54"/>
        <v>1.936972841778855</v>
      </c>
      <c r="O694" s="225">
        <f>IF(IFERROR(INDEX('Both teabags AfterWet'!$C$3:$C$841,MATCH(J694,'Both teabags AfterWet'!$A$3:$A$841,0)),"")="","",(IFERROR(INDEX('Both teabags AfterWet'!$C$3:$C$841,MATCH(J694,'Both teabags AfterWet'!$A$3:$A$841,0)),"")))</f>
        <v>1.6020000000000001</v>
      </c>
      <c r="P694" s="225">
        <f>IFERROR(IF(O694&gt;0,O694-(TBIcalc!$H$9),""),"")</f>
        <v>1.4514</v>
      </c>
      <c r="Q694" s="225">
        <f>IFERROR(INDEX('Ashed teabags wet'!$K$2:$K$821,MATCH(J694,'Ashed teabags wet'!$A$2:$A$821,0)),"")</f>
        <v>4.5318725099597295</v>
      </c>
      <c r="R694" s="225">
        <f t="shared" si="57"/>
        <v>1.3856244023904445</v>
      </c>
      <c r="S694" s="226">
        <f>'WetLitterbags placem_collection'!E35</f>
        <v>42765</v>
      </c>
      <c r="T694" s="226">
        <f>IF('WetLitterbags placem_collection'!G35="","",'WetLitterbags placem_collection'!G35)</f>
        <v>42820</v>
      </c>
      <c r="U694" s="227">
        <f t="shared" si="59"/>
        <v>55</v>
      </c>
      <c r="V694" s="225">
        <f t="shared" si="55"/>
        <v>0.53080000000000016</v>
      </c>
      <c r="W694" s="225">
        <f t="shared" si="56"/>
        <v>0.55134843938841049</v>
      </c>
      <c r="X694">
        <f>IFERROR(INDEX(Rainfall_Wet!$O$2:$O$217,MATCH(B694, Rainfall_Wet!$A$2:$A$217,0)),"")</f>
        <v>228.324359195</v>
      </c>
      <c r="Y694" s="231">
        <v>23.96</v>
      </c>
      <c r="Z694" s="231">
        <v>0.91999999999999804</v>
      </c>
      <c r="AA694" s="231">
        <v>75.12</v>
      </c>
      <c r="AB694" s="232" t="s">
        <v>2670</v>
      </c>
      <c r="AC694" s="231">
        <v>1.2493839329719072</v>
      </c>
      <c r="AD694">
        <f>IF('WetLitterbags placem_collection'!AB35="","",'WetLitterbags placem_collection'!AB35)</f>
        <v>9.5</v>
      </c>
      <c r="AE694">
        <f>IF('WetLitterbags placem_collection'!Z35="","",'WetLitterbags placem_collection'!Z35)</f>
        <v>17.2</v>
      </c>
      <c r="AF694" s="24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placem_collection'!Y35)),"YES","NO")</f>
        <v>NO</v>
      </c>
      <c r="AM694" t="str">
        <f>IF(ISNUMBER(SEARCH("H", 'WetLitterbags placem_collection'!Y35)),"YES","NO")</f>
        <v>NO</v>
      </c>
      <c r="AN694" t="str">
        <f>IF(ISNUMBER(SEARCH("R", 'WetLitterbags placem_collection'!Y35)),"YES","NO")</f>
        <v>YES</v>
      </c>
    </row>
    <row r="695" spans="1:40" ht="15" customHeight="1">
      <c r="A695" s="258" t="s">
        <v>2460</v>
      </c>
      <c r="B695" s="263">
        <f>'Dry_Litterbag Placem_Collection'!A36</f>
        <v>34</v>
      </c>
      <c r="C695" s="263" t="str">
        <f>'Dry_Litterbag Placem_Collection'!B36</f>
        <v>Makao</v>
      </c>
      <c r="D695" s="263" t="s">
        <v>2659</v>
      </c>
      <c r="E695" s="263" t="s">
        <v>20</v>
      </c>
      <c r="F695" s="263">
        <v>1</v>
      </c>
      <c r="G695" s="264" t="str">
        <f>'Dry_Litterbag Placem_Collection'!C36</f>
        <v>Dry_P1_T2</v>
      </c>
      <c r="H695" s="273" t="s">
        <v>3651</v>
      </c>
      <c r="I695" s="274" t="s">
        <v>298</v>
      </c>
      <c r="J695" s="223" t="str">
        <f>'WetLitterbags placem_collection'!Q36</f>
        <v>R24</v>
      </c>
      <c r="K695" s="225">
        <f>IFERROR(INDEX('Green_rooibos initial weight'!$C$5:$C$1749,MATCH(J695, 'Green_rooibos initial weight'!$A$5:$A$1749,0)),"")</f>
        <v>2.14</v>
      </c>
      <c r="L695" s="225">
        <f>IFERROR(K695-(TBIcalc!$H$9+TBIcalc!$H$10),"")</f>
        <v>1.8902000000000001</v>
      </c>
      <c r="M695" s="391">
        <f>AVERAGE(Ashed_controlls!$K$12:$K$14)</f>
        <v>2.2816647271287041</v>
      </c>
      <c r="N695" s="225">
        <f t="shared" si="54"/>
        <v>1.8470719733278134</v>
      </c>
      <c r="O695" s="225">
        <f>IF(IFERROR(INDEX('Both teabags AfterWet'!$C$3:$C$841,MATCH(J695,'Both teabags AfterWet'!$A$3:$A$841,0)),"")="","",(IFERROR(INDEX('Both teabags AfterWet'!$C$3:$C$841,MATCH(J695,'Both teabags AfterWet'!$A$3:$A$841,0)),"")))</f>
        <v>1.4662999999999999</v>
      </c>
      <c r="P695" s="225">
        <f>IFERROR(IF(O695&gt;0,O695-(TBIcalc!$H$9),""),"")</f>
        <v>1.3156999999999999</v>
      </c>
      <c r="Q695" s="225">
        <f>IFERROR(INDEX('Ashed teabags wet'!$K$2:$K$821,MATCH(J695,'Ashed teabags wet'!$A$2:$A$821,0)),"")</f>
        <v>7.4839980305272942</v>
      </c>
      <c r="R695" s="225">
        <f t="shared" si="57"/>
        <v>1.2172330379123522</v>
      </c>
      <c r="S695" s="226">
        <f>'WetLitterbags placem_collection'!E36</f>
        <v>42765</v>
      </c>
      <c r="T695" s="226">
        <f>IF('WetLitterbags placem_collection'!G36="","",'WetLitterbags placem_collection'!G36)</f>
        <v>42820</v>
      </c>
      <c r="U695" s="227">
        <f t="shared" si="59"/>
        <v>55</v>
      </c>
      <c r="V695" s="225">
        <f t="shared" si="55"/>
        <v>0.57450000000000023</v>
      </c>
      <c r="W695" s="225">
        <f t="shared" si="56"/>
        <v>0.62983893541546121</v>
      </c>
      <c r="X695">
        <f>IFERROR(INDEX(Rainfall_Wet!$O$2:$O$217,MATCH(B695, Rainfall_Wet!$A$2:$A$217,0)),"")</f>
        <v>228.324359195</v>
      </c>
      <c r="Y695" s="231">
        <v>23.96</v>
      </c>
      <c r="Z695" s="231">
        <v>0.91999999999999804</v>
      </c>
      <c r="AA695" s="231">
        <v>75.12</v>
      </c>
      <c r="AB695" s="232" t="s">
        <v>2670</v>
      </c>
      <c r="AC695" s="231">
        <v>1.2493839329719072</v>
      </c>
      <c r="AD695">
        <f>IF('WetLitterbags placem_collection'!AB36="","",'WetLitterbags placem_collection'!AB36)</f>
        <v>6.5</v>
      </c>
      <c r="AE695">
        <f>IF('WetLitterbags placem_collection'!Z36="","",'WetLitterbags placem_collection'!Z36)</f>
        <v>14.2</v>
      </c>
      <c r="AF695" s="24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placem_collection'!Y36)),"YES","NO")</f>
        <v>NO</v>
      </c>
      <c r="AM695" t="str">
        <f>IF(ISNUMBER(SEARCH("H", 'WetLitterbags placem_collection'!Y36)),"YES","NO")</f>
        <v>NO</v>
      </c>
      <c r="AN695" t="str">
        <f>IF(ISNUMBER(SEARCH("R", 'WetLitterbags placem_collection'!Y36)),"YES","NO")</f>
        <v>YES</v>
      </c>
    </row>
    <row r="696" spans="1:40" ht="15" customHeight="1">
      <c r="A696" s="258" t="s">
        <v>2460</v>
      </c>
      <c r="B696" s="263">
        <f>'Dry_Litterbag Placem_Collection'!A37</f>
        <v>35</v>
      </c>
      <c r="C696" s="263" t="str">
        <f>'Dry_Litterbag Placem_Collection'!B37</f>
        <v>Makao</v>
      </c>
      <c r="D696" s="263" t="s">
        <v>2659</v>
      </c>
      <c r="E696" s="263" t="s">
        <v>20</v>
      </c>
      <c r="F696" s="263">
        <v>1</v>
      </c>
      <c r="G696" s="264" t="str">
        <f>'Dry_Litterbag Placem_Collection'!C37</f>
        <v>Dry_P1_T3</v>
      </c>
      <c r="H696" s="273" t="s">
        <v>3651</v>
      </c>
      <c r="I696" s="274" t="s">
        <v>298</v>
      </c>
      <c r="J696" s="223" t="str">
        <f>'WetLitterbags placem_collection'!Q37</f>
        <v>R69</v>
      </c>
      <c r="K696" s="225">
        <f>IFERROR(INDEX('Green_rooibos initial weight'!$C$5:$C$1749,MATCH(J696, 'Green_rooibos initial weight'!$A$5:$A$1749,0)),"")</f>
        <v>2.2149999999999999</v>
      </c>
      <c r="L696" s="225">
        <f>IFERROR(K696-(TBIcalc!$H$9+TBIcalc!$H$10),"")</f>
        <v>1.9651999999999998</v>
      </c>
      <c r="M696" s="391">
        <f>AVERAGE(Ashed_controlls!$K$12:$K$14)</f>
        <v>2.2816647271287041</v>
      </c>
      <c r="N696" s="225">
        <f t="shared" si="54"/>
        <v>1.9203607247824666</v>
      </c>
      <c r="O696" s="225">
        <f>IF(IFERROR(INDEX('Both teabags AfterWet'!$C$3:$C$841,MATCH(J696,'Both teabags AfterWet'!$A$3:$A$841,0)),"")="","",(IFERROR(INDEX('Both teabags AfterWet'!$C$3:$C$841,MATCH(J696,'Both teabags AfterWet'!$A$3:$A$841,0)),"")))</f>
        <v>1.498</v>
      </c>
      <c r="P696" s="225">
        <f>IFERROR(IF(O696&gt;0,O696-(TBIcalc!$H$9),""),"")</f>
        <v>1.3473999999999999</v>
      </c>
      <c r="Q696" s="225">
        <f>IFERROR(INDEX('Ashed teabags wet'!$K$2:$K$821,MATCH(J696,'Ashed teabags wet'!$A$2:$A$821,0)),"")</f>
        <v>7.3362875430821557</v>
      </c>
      <c r="R696" s="225">
        <f t="shared" si="57"/>
        <v>1.2485508616445109</v>
      </c>
      <c r="S696" s="226">
        <f>'WetLitterbags placem_collection'!E37</f>
        <v>42765</v>
      </c>
      <c r="T696" s="226">
        <f>IF('WetLitterbags placem_collection'!G37="","",'WetLitterbags placem_collection'!G37)</f>
        <v>42820</v>
      </c>
      <c r="U696" s="227">
        <f t="shared" si="59"/>
        <v>55</v>
      </c>
      <c r="V696" s="225">
        <f t="shared" si="55"/>
        <v>0.6177999999999999</v>
      </c>
      <c r="W696" s="225">
        <f t="shared" si="56"/>
        <v>0.67180986313795565</v>
      </c>
      <c r="X696">
        <f>IFERROR(INDEX(Rainfall_Wet!$O$2:$O$217,MATCH(B696, Rainfall_Wet!$A$2:$A$217,0)),"")</f>
        <v>228.324359195</v>
      </c>
      <c r="Y696" s="231">
        <v>23.96</v>
      </c>
      <c r="Z696" s="231">
        <v>0.91999999999999804</v>
      </c>
      <c r="AA696" s="231">
        <v>75.12</v>
      </c>
      <c r="AB696" s="232" t="s">
        <v>2670</v>
      </c>
      <c r="AC696" s="231">
        <v>1.2493839329719072</v>
      </c>
      <c r="AD696">
        <f>IF('WetLitterbags placem_collection'!AB37="","",'WetLitterbags placem_collection'!AB37)</f>
        <v>0.7</v>
      </c>
      <c r="AE696">
        <f>IF('WetLitterbags placem_collection'!Z37="","",'WetLitterbags placem_collection'!Z37)</f>
        <v>10.6</v>
      </c>
      <c r="AF696" s="24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placem_collection'!Y37)),"YES","NO")</f>
        <v>NO</v>
      </c>
      <c r="AM696" t="str">
        <f>IF(ISNUMBER(SEARCH("H", 'WetLitterbags placem_collection'!Y37)),"YES","NO")</f>
        <v>NO</v>
      </c>
      <c r="AN696" t="str">
        <f>IF(ISNUMBER(SEARCH("R", 'WetLitterbags placem_collection'!Y37)),"YES","NO")</f>
        <v>YES</v>
      </c>
    </row>
    <row r="697" spans="1:40" ht="15" customHeight="1">
      <c r="A697" s="258" t="s">
        <v>2460</v>
      </c>
      <c r="B697" s="263">
        <f>'Dry_Litterbag Placem_Collection'!A38</f>
        <v>36</v>
      </c>
      <c r="C697" s="263" t="str">
        <f>'Dry_Litterbag Placem_Collection'!B38</f>
        <v>Makao</v>
      </c>
      <c r="D697" s="263" t="s">
        <v>2659</v>
      </c>
      <c r="E697" s="263" t="s">
        <v>20</v>
      </c>
      <c r="F697" s="263">
        <v>1</v>
      </c>
      <c r="G697" s="264" t="str">
        <f>'Dry_Litterbag Placem_Collection'!C38</f>
        <v>Dry_P1_T4</v>
      </c>
      <c r="H697" s="273" t="s">
        <v>3651</v>
      </c>
      <c r="I697" s="274" t="s">
        <v>298</v>
      </c>
      <c r="J697" s="223" t="str">
        <f>'WetLitterbags placem_collection'!Q38</f>
        <v>R97</v>
      </c>
      <c r="K697" s="225">
        <f>IFERROR(INDEX('Green_rooibos initial weight'!$C$5:$C$1749,MATCH(J697, 'Green_rooibos initial weight'!$A$5:$A$1749,0)),"")</f>
        <v>2.2959999999999998</v>
      </c>
      <c r="L697" s="225">
        <f>IFERROR(K697-(TBIcalc!$H$9+TBIcalc!$H$10),"")</f>
        <v>2.0461999999999998</v>
      </c>
      <c r="M697" s="391">
        <f>AVERAGE(Ashed_controlls!$K$12:$K$14)</f>
        <v>2.2816647271287041</v>
      </c>
      <c r="N697" s="225">
        <f t="shared" si="54"/>
        <v>1.9995125763534922</v>
      </c>
      <c r="O697" s="225">
        <f>IF(IFERROR(INDEX('Both teabags AfterWet'!$C$3:$C$841,MATCH(J697,'Both teabags AfterWet'!$A$3:$A$841,0)),"")="","",(IFERROR(INDEX('Both teabags AfterWet'!$C$3:$C$841,MATCH(J697,'Both teabags AfterWet'!$A$3:$A$841,0)),"")))</f>
        <v>1.671</v>
      </c>
      <c r="P697" s="225">
        <f>IFERROR(IF(O697&gt;0,O697-(TBIcalc!$H$9),""),"")</f>
        <v>1.5204</v>
      </c>
      <c r="Q697" s="225">
        <f>IFERROR(INDEX('Ashed teabags wet'!$K$2:$K$821,MATCH(J697,'Ashed teabags wet'!$A$2:$A$821,0)),"")</f>
        <v>2.0873786407763748</v>
      </c>
      <c r="R697" s="225">
        <f t="shared" si="57"/>
        <v>1.4886634951456359</v>
      </c>
      <c r="S697" s="226">
        <f>'WetLitterbags placem_collection'!E38</f>
        <v>42765</v>
      </c>
      <c r="T697" s="226">
        <f>IF('WetLitterbags placem_collection'!G38="","",'WetLitterbags placem_collection'!G38)</f>
        <v>42820</v>
      </c>
      <c r="U697" s="227">
        <f t="shared" si="59"/>
        <v>55</v>
      </c>
      <c r="V697" s="225">
        <f t="shared" si="55"/>
        <v>0.52579999999999982</v>
      </c>
      <c r="W697" s="225">
        <f t="shared" si="56"/>
        <v>0.51084908120785633</v>
      </c>
      <c r="X697">
        <f>IFERROR(INDEX(Rainfall_Wet!$O$2:$O$217,MATCH(B697, Rainfall_Wet!$A$2:$A$217,0)),"")</f>
        <v>228.324359195</v>
      </c>
      <c r="Y697" s="231">
        <v>23.96</v>
      </c>
      <c r="Z697" s="231">
        <v>0.91999999999999804</v>
      </c>
      <c r="AA697" s="231">
        <v>75.12</v>
      </c>
      <c r="AB697" s="232" t="s">
        <v>2670</v>
      </c>
      <c r="AC697" s="231">
        <v>1.2493839329719072</v>
      </c>
      <c r="AD697">
        <f>IF('WetLitterbags placem_collection'!AB38="","",'WetLitterbags placem_collection'!AB38)</f>
        <v>3.3</v>
      </c>
      <c r="AE697">
        <f>IF('WetLitterbags placem_collection'!Z38="","",'WetLitterbags placem_collection'!Z38)</f>
        <v>4.9000000000000004</v>
      </c>
      <c r="AF697" s="24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placem_collection'!Y38)),"YES","NO")</f>
        <v>NO</v>
      </c>
      <c r="AM697" t="str">
        <f>IF(ISNUMBER(SEARCH("H", 'WetLitterbags placem_collection'!Y38)),"YES","NO")</f>
        <v>NO</v>
      </c>
      <c r="AN697" t="str">
        <f>IF(ISNUMBER(SEARCH("R", 'WetLitterbags placem_collection'!Y38)),"YES","NO")</f>
        <v>YES</v>
      </c>
    </row>
    <row r="698" spans="1:40" ht="15" customHeight="1">
      <c r="A698" s="258" t="s">
        <v>2460</v>
      </c>
      <c r="B698" s="263">
        <f>'Dry_Litterbag Placem_Collection'!A39</f>
        <v>37</v>
      </c>
      <c r="C698" s="263" t="str">
        <f>'Dry_Litterbag Placem_Collection'!B39</f>
        <v>Makao</v>
      </c>
      <c r="D698" s="263" t="s">
        <v>2659</v>
      </c>
      <c r="E698" s="263" t="s">
        <v>20</v>
      </c>
      <c r="F698" s="263">
        <v>1</v>
      </c>
      <c r="G698" s="264" t="str">
        <f>'Dry_Litterbag Placem_Collection'!C39</f>
        <v>Dry_P1_T5</v>
      </c>
      <c r="H698" s="273" t="s">
        <v>3651</v>
      </c>
      <c r="I698" s="274" t="s">
        <v>298</v>
      </c>
      <c r="J698" s="223" t="str">
        <f>'WetLitterbags placem_collection'!Q39</f>
        <v>R89</v>
      </c>
      <c r="K698" s="225">
        <f>IFERROR(INDEX('Green_rooibos initial weight'!$C$5:$C$1749,MATCH(J698, 'Green_rooibos initial weight'!$A$5:$A$1749,0)),"")</f>
        <v>2.1949999999999998</v>
      </c>
      <c r="L698" s="225">
        <f>IFERROR(K698-(TBIcalc!$H$9+TBIcalc!$H$10),"")</f>
        <v>1.9451999999999998</v>
      </c>
      <c r="M698" s="391">
        <f>AVERAGE(Ashed_controlls!$K$12:$K$14)</f>
        <v>2.2816647271287041</v>
      </c>
      <c r="N698" s="225">
        <f t="shared" si="54"/>
        <v>1.9008170577278922</v>
      </c>
      <c r="O698" s="225">
        <f>IF(IFERROR(INDEX('Both teabags AfterWet'!$C$3:$C$841,MATCH(J698,'Both teabags AfterWet'!$A$3:$A$841,0)),"")="","",(IFERROR(INDEX('Both teabags AfterWet'!$C$3:$C$841,MATCH(J698,'Both teabags AfterWet'!$A$3:$A$841,0)),"")))</f>
        <v>1.425</v>
      </c>
      <c r="P698" s="225">
        <f>IFERROR(IF(O698&gt;0,O698-(TBIcalc!$H$9),""),"")</f>
        <v>1.2744</v>
      </c>
      <c r="Q698" s="225">
        <f>IFERROR(INDEX('Ashed teabags wet'!$K$2:$K$821,MATCH(J698,'Ashed teabags wet'!$A$2:$A$821,0)),"")</f>
        <v>8.2721488007830519</v>
      </c>
      <c r="R698" s="225">
        <f t="shared" si="57"/>
        <v>1.1689797356828207</v>
      </c>
      <c r="S698" s="226">
        <f>'WetLitterbags placem_collection'!E39</f>
        <v>42765</v>
      </c>
      <c r="T698" s="226">
        <f>IF('WetLitterbags placem_collection'!G39="","",'WetLitterbags placem_collection'!G39)</f>
        <v>42820</v>
      </c>
      <c r="U698" s="227">
        <f t="shared" si="59"/>
        <v>55</v>
      </c>
      <c r="V698" s="225">
        <f t="shared" si="55"/>
        <v>0.67079999999999984</v>
      </c>
      <c r="W698" s="225">
        <f t="shared" si="56"/>
        <v>0.73183732204507157</v>
      </c>
      <c r="X698">
        <f>IFERROR(INDEX(Rainfall_Wet!$O$2:$O$217,MATCH(B698, Rainfall_Wet!$A$2:$A$217,0)),"")</f>
        <v>228.324359195</v>
      </c>
      <c r="Y698" s="231">
        <v>23.96</v>
      </c>
      <c r="Z698" s="231">
        <v>0.91999999999999804</v>
      </c>
      <c r="AA698" s="231">
        <v>75.12</v>
      </c>
      <c r="AB698" s="232" t="s">
        <v>2670</v>
      </c>
      <c r="AC698" s="231">
        <v>1.2493839329719072</v>
      </c>
      <c r="AD698">
        <f>IF('WetLitterbags placem_collection'!AB39="","",'WetLitterbags placem_collection'!AB39)</f>
        <v>8.3000000000000007</v>
      </c>
      <c r="AE698">
        <f>IF('WetLitterbags placem_collection'!Z39="","",'WetLitterbags placem_collection'!Z39)</f>
        <v>27.8</v>
      </c>
      <c r="AF698" s="24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placem_collection'!Y39)),"YES","NO")</f>
        <v>NO</v>
      </c>
      <c r="AM698" t="str">
        <f>IF(ISNUMBER(SEARCH("H", 'WetLitterbags placem_collection'!Y39)),"YES","NO")</f>
        <v>NO</v>
      </c>
      <c r="AN698" t="str">
        <f>IF(ISNUMBER(SEARCH("R", 'WetLitterbags placem_collection'!Y39)),"YES","NO")</f>
        <v>YES</v>
      </c>
    </row>
    <row r="699" spans="1:40" ht="15" customHeight="1">
      <c r="A699" s="258" t="s">
        <v>2460</v>
      </c>
      <c r="B699" s="263">
        <f>'Dry_Litterbag Placem_Collection'!A40</f>
        <v>38</v>
      </c>
      <c r="C699" s="263" t="str">
        <f>'Dry_Litterbag Placem_Collection'!B40</f>
        <v>Makao</v>
      </c>
      <c r="D699" s="263" t="s">
        <v>2659</v>
      </c>
      <c r="E699" s="263" t="s">
        <v>20</v>
      </c>
      <c r="F699" s="263">
        <v>1</v>
      </c>
      <c r="G699" s="264" t="str">
        <f>'Dry_Litterbag Placem_Collection'!C40</f>
        <v>Dry_P1_T6</v>
      </c>
      <c r="H699" s="273" t="s">
        <v>3651</v>
      </c>
      <c r="I699" s="274" t="s">
        <v>298</v>
      </c>
      <c r="J699" s="223" t="str">
        <f>'WetLitterbags placem_collection'!Q40</f>
        <v>R147</v>
      </c>
      <c r="K699" s="225">
        <f>IFERROR(INDEX('Green_rooibos initial weight'!$C$5:$C$1749,MATCH(J699, 'Green_rooibos initial weight'!$A$5:$A$1749,0)),"")</f>
        <v>2.1960000000000002</v>
      </c>
      <c r="L699" s="225">
        <f>IFERROR(K699-(TBIcalc!$H$9+TBIcalc!$H$10),"")</f>
        <v>1.9462000000000002</v>
      </c>
      <c r="M699" s="391">
        <f>AVERAGE(Ashed_controlls!$K$12:$K$14)</f>
        <v>2.2816647271287041</v>
      </c>
      <c r="N699" s="225">
        <f t="shared" si="54"/>
        <v>1.9017942410806212</v>
      </c>
      <c r="O699" s="225">
        <f>IF(IFERROR(INDEX('Both teabags AfterWet'!$C$3:$C$841,MATCH(J699,'Both teabags AfterWet'!$A$3:$A$841,0)),"")="","",(IFERROR(INDEX('Both teabags AfterWet'!$C$3:$C$841,MATCH(J699,'Both teabags AfterWet'!$A$3:$A$841,0)),"")))</f>
        <v>1.381</v>
      </c>
      <c r="P699" s="225">
        <f>IFERROR(IF(O699&gt;0,O699-(TBIcalc!$H$9),""),"")</f>
        <v>1.2303999999999999</v>
      </c>
      <c r="Q699" s="225">
        <f>IFERROR(INDEX('Ashed teabags wet'!$K$2:$K$821,MATCH(J699,'Ashed teabags wet'!$A$2:$A$821,0)),"")</f>
        <v>6.8948891031825541</v>
      </c>
      <c r="R699" s="225">
        <f t="shared" si="57"/>
        <v>1.1455652844744417</v>
      </c>
      <c r="S699" s="226">
        <f>'WetLitterbags placem_collection'!E40</f>
        <v>42765</v>
      </c>
      <c r="T699" s="226">
        <f>IF('WetLitterbags placem_collection'!G40="","",'WetLitterbags placem_collection'!G40)</f>
        <v>42820</v>
      </c>
      <c r="U699" s="227">
        <f t="shared" si="59"/>
        <v>55</v>
      </c>
      <c r="V699" s="225">
        <f t="shared" si="55"/>
        <v>0.71580000000000021</v>
      </c>
      <c r="W699" s="225">
        <f t="shared" si="56"/>
        <v>0.7562289566061795</v>
      </c>
      <c r="X699">
        <f>IFERROR(INDEX(Rainfall_Wet!$O$2:$O$217,MATCH(B699, Rainfall_Wet!$A$2:$A$217,0)),"")</f>
        <v>228.324359195</v>
      </c>
      <c r="Y699" s="231">
        <v>23.96</v>
      </c>
      <c r="Z699" s="231">
        <v>0.91999999999999804</v>
      </c>
      <c r="AA699" s="231">
        <v>75.12</v>
      </c>
      <c r="AB699" s="232" t="s">
        <v>2670</v>
      </c>
      <c r="AC699" s="231">
        <v>1.2493839329719072</v>
      </c>
      <c r="AD699">
        <f>IF('WetLitterbags placem_collection'!AB40="","",'WetLitterbags placem_collection'!AB40)</f>
        <v>2</v>
      </c>
      <c r="AE699">
        <f>IF('WetLitterbags placem_collection'!Z40="","",'WetLitterbags placem_collection'!Z40)</f>
        <v>20.399999999999999</v>
      </c>
      <c r="AF699" s="24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placem_collection'!Y40)),"YES","NO")</f>
        <v>NO</v>
      </c>
      <c r="AM699" t="str">
        <f>IF(ISNUMBER(SEARCH("H", 'WetLitterbags placem_collection'!Y40)),"YES","NO")</f>
        <v>NO</v>
      </c>
      <c r="AN699" t="str">
        <f>IF(ISNUMBER(SEARCH("R", 'WetLitterbags placem_collection'!Y40)),"YES","NO")</f>
        <v>NO</v>
      </c>
    </row>
    <row r="700" spans="1:40" ht="15" customHeight="1">
      <c r="A700" s="258" t="s">
        <v>2460</v>
      </c>
      <c r="B700" s="263">
        <f>'Dry_Litterbag Placem_Collection'!A41</f>
        <v>39</v>
      </c>
      <c r="C700" s="263" t="str">
        <f>'Dry_Litterbag Placem_Collection'!B41</f>
        <v>Makao</v>
      </c>
      <c r="D700" s="263" t="s">
        <v>2659</v>
      </c>
      <c r="E700" s="263" t="s">
        <v>20</v>
      </c>
      <c r="F700" s="263">
        <v>1</v>
      </c>
      <c r="G700" s="264" t="str">
        <f>'Dry_Litterbag Placem_Collection'!C41</f>
        <v>Dry_P1_T7</v>
      </c>
      <c r="H700" s="273" t="s">
        <v>3651</v>
      </c>
      <c r="I700" s="274" t="s">
        <v>298</v>
      </c>
      <c r="J700" s="223" t="str">
        <f>'WetLitterbags placem_collection'!Q41</f>
        <v>R65</v>
      </c>
      <c r="K700" s="225">
        <f>IFERROR(INDEX('Green_rooibos initial weight'!$C$5:$C$1749,MATCH(J700, 'Green_rooibos initial weight'!$A$5:$A$1749,0)),"")</f>
        <v>2.2559999999999998</v>
      </c>
      <c r="L700" s="225">
        <f>IFERROR(K700-(TBIcalc!$H$9+TBIcalc!$H$10),"")</f>
        <v>2.0061999999999998</v>
      </c>
      <c r="M700" s="391">
        <f>AVERAGE(Ashed_controlls!$K$12:$K$14)</f>
        <v>2.2816647271287041</v>
      </c>
      <c r="N700" s="225">
        <f t="shared" si="54"/>
        <v>1.9604252422443438</v>
      </c>
      <c r="O700" s="225">
        <f>IF(IFERROR(INDEX('Both teabags AfterWet'!$C$3:$C$841,MATCH(J700,'Both teabags AfterWet'!$A$3:$A$841,0)),"")="","",(IFERROR(INDEX('Both teabags AfterWet'!$C$3:$C$841,MATCH(J700,'Both teabags AfterWet'!$A$3:$A$841,0)),"")))</f>
        <v>1.5185</v>
      </c>
      <c r="P700" s="225">
        <f>IFERROR(IF(O700&gt;0,O700-(TBIcalc!$H$9),""),"")</f>
        <v>1.3678999999999999</v>
      </c>
      <c r="Q700" s="225">
        <f>IFERROR(INDEX('Ashed teabags wet'!$K$2:$K$821,MATCH(J700,'Ashed teabags wet'!$A$2:$A$821,0)),"")</f>
        <v>3.3680039623575757</v>
      </c>
      <c r="R700" s="225">
        <f t="shared" si="57"/>
        <v>1.3218290737989107</v>
      </c>
      <c r="S700" s="226">
        <f>'WetLitterbags placem_collection'!E41</f>
        <v>42765</v>
      </c>
      <c r="T700" s="226">
        <f>IF('WetLitterbags placem_collection'!G41="","",'WetLitterbags placem_collection'!G41)</f>
        <v>42820</v>
      </c>
      <c r="U700" s="227">
        <f t="shared" si="59"/>
        <v>55</v>
      </c>
      <c r="V700" s="225">
        <f t="shared" si="55"/>
        <v>0.63829999999999987</v>
      </c>
      <c r="W700" s="225">
        <f t="shared" si="56"/>
        <v>0.6385961684454331</v>
      </c>
      <c r="X700">
        <f>IFERROR(INDEX(Rainfall_Wet!$O$2:$O$217,MATCH(B700, Rainfall_Wet!$A$2:$A$217,0)),"")</f>
        <v>228.324359195</v>
      </c>
      <c r="Y700" s="231">
        <v>23.96</v>
      </c>
      <c r="Z700" s="231">
        <v>0.91999999999999804</v>
      </c>
      <c r="AA700" s="231">
        <v>75.12</v>
      </c>
      <c r="AB700" s="232" t="s">
        <v>2670</v>
      </c>
      <c r="AC700" s="231">
        <v>1.2493839329719072</v>
      </c>
      <c r="AD700">
        <f>IF('WetLitterbags placem_collection'!AB41="","",'WetLitterbags placem_collection'!AB41)</f>
        <v>2.4</v>
      </c>
      <c r="AE700">
        <f>IF('WetLitterbags placem_collection'!Z41="","",'WetLitterbags placem_collection'!Z41)</f>
        <v>18</v>
      </c>
      <c r="AF700" s="24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placem_collection'!Y41)),"YES","NO")</f>
        <v>NO</v>
      </c>
      <c r="AM700" t="str">
        <f>IF(ISNUMBER(SEARCH("H", 'WetLitterbags placem_collection'!Y41)),"YES","NO")</f>
        <v>NO</v>
      </c>
      <c r="AN700" t="str">
        <f>IF(ISNUMBER(SEARCH("R", 'WetLitterbags placem_collection'!Y41)),"YES","NO")</f>
        <v>YES</v>
      </c>
    </row>
    <row r="701" spans="1:40" ht="15" customHeight="1">
      <c r="A701" s="258" t="s">
        <v>2460</v>
      </c>
      <c r="B701" s="263">
        <f>'Dry_Litterbag Placem_Collection'!A42</f>
        <v>40</v>
      </c>
      <c r="C701" s="263" t="str">
        <f>'Dry_Litterbag Placem_Collection'!B42</f>
        <v>Makao</v>
      </c>
      <c r="D701" s="263" t="s">
        <v>2659</v>
      </c>
      <c r="E701" s="263" t="s">
        <v>20</v>
      </c>
      <c r="F701" s="263">
        <v>1</v>
      </c>
      <c r="G701" s="264" t="str">
        <f>'Dry_Litterbag Placem_Collection'!C42</f>
        <v>Dry_P1_T8</v>
      </c>
      <c r="H701" s="273" t="s">
        <v>3651</v>
      </c>
      <c r="I701" s="274" t="s">
        <v>298</v>
      </c>
      <c r="J701" s="223" t="str">
        <f>'WetLitterbags placem_collection'!Q42</f>
        <v>R420</v>
      </c>
      <c r="K701" s="225">
        <f>IFERROR(INDEX('Green_rooibos initial weight'!$C$5:$C$1749,MATCH(J701, 'Green_rooibos initial weight'!$A$5:$A$1749,0)),"")</f>
        <v>2.2749999999999999</v>
      </c>
      <c r="L701" s="225">
        <f>IFERROR(K701-(TBIcalc!$H$9+TBIcalc!$H$10),"")</f>
        <v>2.0251999999999999</v>
      </c>
      <c r="M701" s="391">
        <f>AVERAGE(Ashed_controlls!$K$12:$K$14)</f>
        <v>2.2816647271287041</v>
      </c>
      <c r="N701" s="225">
        <f t="shared" si="54"/>
        <v>1.9789917259461893</v>
      </c>
      <c r="O701" s="225">
        <f>IF(IFERROR(INDEX('Both teabags AfterWet'!$C$3:$C$841,MATCH(J701,'Both teabags AfterWet'!$A$3:$A$841,0)),"")="","",(IFERROR(INDEX('Both teabags AfterWet'!$C$3:$C$841,MATCH(J701,'Both teabags AfterWet'!$A$3:$A$841,0)),"")))</f>
        <v>1.66</v>
      </c>
      <c r="P701" s="225">
        <f>IFERROR(IF(O701&gt;0,O701-(TBIcalc!$H$9),""),"")</f>
        <v>1.5093999999999999</v>
      </c>
      <c r="Q701" s="225">
        <f>IFERROR(INDEX('Ashed teabags wet'!$K$2:$K$821,MATCH(J701,'Ashed teabags wet'!$A$2:$A$821,0)),"")</f>
        <v>4.7856430707881614</v>
      </c>
      <c r="R701" s="225">
        <f t="shared" si="57"/>
        <v>1.4371655034895234</v>
      </c>
      <c r="S701" s="226">
        <f>'WetLitterbags placem_collection'!E42</f>
        <v>42765</v>
      </c>
      <c r="T701" s="226">
        <f>IF('WetLitterbags placem_collection'!G42="","",'WetLitterbags placem_collection'!G42)</f>
        <v>42820</v>
      </c>
      <c r="U701" s="227">
        <f t="shared" si="59"/>
        <v>55</v>
      </c>
      <c r="V701" s="225">
        <f t="shared" si="55"/>
        <v>0.51580000000000004</v>
      </c>
      <c r="W701" s="225">
        <f t="shared" si="56"/>
        <v>0.5418262224566659</v>
      </c>
      <c r="X701">
        <f>IFERROR(INDEX(Rainfall_Wet!$O$2:$O$217,MATCH(B701, Rainfall_Wet!$A$2:$A$217,0)),"")</f>
        <v>228.324359195</v>
      </c>
      <c r="Y701" s="231">
        <v>23.96</v>
      </c>
      <c r="Z701" s="231">
        <v>0.91999999999999804</v>
      </c>
      <c r="AA701" s="231">
        <v>75.12</v>
      </c>
      <c r="AB701" s="232" t="s">
        <v>2670</v>
      </c>
      <c r="AC701" s="231">
        <v>1.2493839329719072</v>
      </c>
      <c r="AD701">
        <f>IF('WetLitterbags placem_collection'!AB42="","",'WetLitterbags placem_collection'!AB42)</f>
        <v>8.6999999999999993</v>
      </c>
      <c r="AE701">
        <f>IF('WetLitterbags placem_collection'!Z42="","",'WetLitterbags placem_collection'!Z42)</f>
        <v>19.3</v>
      </c>
      <c r="AF701" s="24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placem_collection'!Y42)),"YES","NO")</f>
        <v>NO</v>
      </c>
      <c r="AM701" t="str">
        <f>IF(ISNUMBER(SEARCH("H", 'WetLitterbags placem_collection'!Y42)),"YES","NO")</f>
        <v>NO</v>
      </c>
      <c r="AN701" t="str">
        <f>IF(ISNUMBER(SEARCH("R", 'WetLitterbags placem_collection'!Y42)),"YES","NO")</f>
        <v>NO</v>
      </c>
    </row>
    <row r="702" spans="1:40" ht="15" customHeight="1">
      <c r="A702" s="258" t="s">
        <v>2460</v>
      </c>
      <c r="B702" s="263">
        <f>'Dry_Litterbag Placem_Collection'!A43</f>
        <v>41</v>
      </c>
      <c r="C702" s="263" t="str">
        <f>'Dry_Litterbag Placem_Collection'!B43</f>
        <v>Makao</v>
      </c>
      <c r="D702" s="263" t="s">
        <v>2659</v>
      </c>
      <c r="E702" s="263" t="s">
        <v>20</v>
      </c>
      <c r="F702" s="263">
        <v>2</v>
      </c>
      <c r="G702" s="264" t="str">
        <f>'Dry_Litterbag Placem_Collection'!C43</f>
        <v>Dry_P2_T1</v>
      </c>
      <c r="H702" s="273" t="s">
        <v>3651</v>
      </c>
      <c r="I702" s="274" t="s">
        <v>298</v>
      </c>
      <c r="J702" s="223" t="str">
        <f>'WetLitterbags placem_collection'!Q43</f>
        <v>R77</v>
      </c>
      <c r="K702" s="225">
        <f>IFERROR(INDEX('Green_rooibos initial weight'!$C$5:$C$1749,MATCH(J702, 'Green_rooibos initial weight'!$A$5:$A$1749,0)),"")</f>
        <v>2.1749999999999998</v>
      </c>
      <c r="L702" s="225">
        <f>IFERROR(K702-(TBIcalc!$H$9+TBIcalc!$H$10),"")</f>
        <v>1.9251999999999998</v>
      </c>
      <c r="M702" s="391">
        <f>AVERAGE(Ashed_controlls!$K$12:$K$14)</f>
        <v>2.2816647271287041</v>
      </c>
      <c r="N702" s="225">
        <f t="shared" si="54"/>
        <v>1.8812733906733179</v>
      </c>
      <c r="O702" s="225">
        <f>IF(IFERROR(INDEX('Both teabags AfterWet'!$C$3:$C$841,MATCH(J702,'Both teabags AfterWet'!$A$3:$A$841,0)),"")="","",(IFERROR(INDEX('Both teabags AfterWet'!$C$3:$C$841,MATCH(J702,'Both teabags AfterWet'!$A$3:$A$841,0)),"")))</f>
        <v>1.5429999999999999</v>
      </c>
      <c r="P702" s="225">
        <f>IFERROR(IF(O702&gt;0,O702-(TBIcalc!$H$9),""),"")</f>
        <v>1.3923999999999999</v>
      </c>
      <c r="Q702" s="225">
        <f>IFERROR(INDEX('Ashed teabags wet'!$K$2:$K$821,MATCH(J702,'Ashed teabags wet'!$A$2:$A$821,0)),"")</f>
        <v>6.0530265132569756</v>
      </c>
      <c r="R702" s="225">
        <f t="shared" si="57"/>
        <v>1.3081176588294097</v>
      </c>
      <c r="S702" s="226">
        <f>'WetLitterbags placem_collection'!E43</f>
        <v>42766</v>
      </c>
      <c r="T702" s="226">
        <f>IF('WetLitterbags placem_collection'!G43="","",'WetLitterbags placem_collection'!G43)</f>
        <v>42820</v>
      </c>
      <c r="U702" s="227">
        <f t="shared" si="59"/>
        <v>54</v>
      </c>
      <c r="V702" s="225">
        <f t="shared" si="55"/>
        <v>0.53279999999999994</v>
      </c>
      <c r="W702" s="225">
        <f t="shared" si="56"/>
        <v>0.57315573184390822</v>
      </c>
      <c r="X702">
        <f>IFERROR(INDEX(Rainfall_Wet!$O$2:$O$217,MATCH(B702, Rainfall_Wet!$A$2:$A$217,0)),"")</f>
        <v>214.262898705</v>
      </c>
      <c r="Y702" s="231">
        <v>19.96</v>
      </c>
      <c r="Z702" s="231">
        <v>4.9199999999999982</v>
      </c>
      <c r="AA702" s="231">
        <v>75.12</v>
      </c>
      <c r="AB702" s="232" t="s">
        <v>2671</v>
      </c>
      <c r="AC702" s="231">
        <v>1.641498275012321</v>
      </c>
      <c r="AD702">
        <f>IF('WetLitterbags placem_collection'!AB43="","",'WetLitterbags placem_collection'!AB43)</f>
        <v>4</v>
      </c>
      <c r="AE702">
        <f>IF('WetLitterbags placem_collection'!Z43="","",'WetLitterbags placem_collection'!Z43)</f>
        <v>19.100000000000001</v>
      </c>
      <c r="AF702" s="24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placem_collection'!Y43)),"YES","NO")</f>
        <v>NO</v>
      </c>
      <c r="AM702" t="str">
        <f>IF(ISNUMBER(SEARCH("H", 'WetLitterbags placem_collection'!Y43)),"YES","NO")</f>
        <v>NO</v>
      </c>
      <c r="AN702" t="str">
        <f>IF(ISNUMBER(SEARCH("R", 'WetLitterbags placem_collection'!Y43)),"YES","NO")</f>
        <v>YES</v>
      </c>
    </row>
    <row r="703" spans="1:40" ht="15" customHeight="1">
      <c r="A703" s="258" t="s">
        <v>2460</v>
      </c>
      <c r="B703" s="263">
        <f>'Dry_Litterbag Placem_Collection'!A44</f>
        <v>42</v>
      </c>
      <c r="C703" s="263" t="str">
        <f>'Dry_Litterbag Placem_Collection'!B44</f>
        <v>Makao</v>
      </c>
      <c r="D703" s="263" t="s">
        <v>2659</v>
      </c>
      <c r="E703" s="263" t="s">
        <v>20</v>
      </c>
      <c r="F703" s="263">
        <v>2</v>
      </c>
      <c r="G703" s="264" t="str">
        <f>'Dry_Litterbag Placem_Collection'!C44</f>
        <v>Dry_P2_T2</v>
      </c>
      <c r="H703" s="273" t="s">
        <v>3651</v>
      </c>
      <c r="I703" s="274" t="s">
        <v>298</v>
      </c>
      <c r="J703" s="223" t="str">
        <f>'WetLitterbags placem_collection'!Q44</f>
        <v>R81</v>
      </c>
      <c r="K703" s="225">
        <f>IFERROR(INDEX('Green_rooibos initial weight'!$C$5:$C$1749,MATCH(J703, 'Green_rooibos initial weight'!$A$5:$A$1749,0)),"")</f>
        <v>2.004</v>
      </c>
      <c r="L703" s="225">
        <f>IFERROR(K703-(TBIcalc!$H$9+TBIcalc!$H$10),"")</f>
        <v>1.7542</v>
      </c>
      <c r="M703" s="391">
        <f>AVERAGE(Ashed_controlls!$K$12:$K$14)</f>
        <v>2.2816647271287041</v>
      </c>
      <c r="N703" s="225">
        <f t="shared" si="54"/>
        <v>1.7141750373567082</v>
      </c>
      <c r="O703" s="225">
        <f>IF(IFERROR(INDEX('Both teabags AfterWet'!$C$3:$C$841,MATCH(J703,'Both teabags AfterWet'!$A$3:$A$841,0)),"")="","",(IFERROR(INDEX('Both teabags AfterWet'!$C$3:$C$841,MATCH(J703,'Both teabags AfterWet'!$A$3:$A$841,0)),"")))</f>
        <v>1.528</v>
      </c>
      <c r="P703" s="225">
        <f>IFERROR(IF(O703&gt;0,O703-(TBIcalc!$H$9),""),"")</f>
        <v>1.3774</v>
      </c>
      <c r="Q703" s="225">
        <f>IFERROR(INDEX('Ashed teabags wet'!$K$2:$K$821,MATCH(J703,'Ashed teabags wet'!$A$2:$A$821,0)),"")</f>
        <v>2.5036109773709327</v>
      </c>
      <c r="R703" s="225">
        <f t="shared" si="57"/>
        <v>1.3429152623976928</v>
      </c>
      <c r="S703" s="226">
        <f>'WetLitterbags placem_collection'!E44</f>
        <v>42766</v>
      </c>
      <c r="T703" s="226">
        <f>IF('WetLitterbags placem_collection'!G44="","",'WetLitterbags placem_collection'!G44)</f>
        <v>42820</v>
      </c>
      <c r="U703" s="227">
        <f t="shared" si="59"/>
        <v>54</v>
      </c>
      <c r="V703" s="225">
        <f t="shared" si="55"/>
        <v>0.37680000000000002</v>
      </c>
      <c r="W703" s="225">
        <f t="shared" si="56"/>
        <v>0.37125977495901541</v>
      </c>
      <c r="X703">
        <f>IFERROR(INDEX(Rainfall_Wet!$O$2:$O$217,MATCH(B703, Rainfall_Wet!$A$2:$A$217,0)),"")</f>
        <v>214.262898705</v>
      </c>
      <c r="Y703" s="231">
        <v>19.96</v>
      </c>
      <c r="Z703" s="231">
        <v>4.9199999999999982</v>
      </c>
      <c r="AA703" s="231">
        <v>75.12</v>
      </c>
      <c r="AB703" s="232" t="s">
        <v>2671</v>
      </c>
      <c r="AC703" s="231">
        <v>1.641498275012321</v>
      </c>
      <c r="AD703">
        <f>IF('WetLitterbags placem_collection'!AB44="","",'WetLitterbags placem_collection'!AB44)</f>
        <v>5.9</v>
      </c>
      <c r="AE703">
        <f>IF('WetLitterbags placem_collection'!Z44="","",'WetLitterbags placem_collection'!Z44)</f>
        <v>12.7</v>
      </c>
      <c r="AF703" s="24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placem_collection'!Y44)),"YES","NO")</f>
        <v>NO</v>
      </c>
      <c r="AM703" t="str">
        <f>IF(ISNUMBER(SEARCH("H", 'WetLitterbags placem_collection'!Y44)),"YES","NO")</f>
        <v>NO</v>
      </c>
      <c r="AN703" t="str">
        <f>IF(ISNUMBER(SEARCH("R", 'WetLitterbags placem_collection'!Y44)),"YES","NO")</f>
        <v>NO</v>
      </c>
    </row>
    <row r="704" spans="1:40" ht="15" customHeight="1">
      <c r="A704" s="258" t="s">
        <v>2460</v>
      </c>
      <c r="B704" s="263">
        <f>'Dry_Litterbag Placem_Collection'!A45</f>
        <v>43</v>
      </c>
      <c r="C704" s="263" t="str">
        <f>'Dry_Litterbag Placem_Collection'!B45</f>
        <v>Makao</v>
      </c>
      <c r="D704" s="263" t="s">
        <v>2659</v>
      </c>
      <c r="E704" s="263" t="s">
        <v>20</v>
      </c>
      <c r="F704" s="263">
        <v>2</v>
      </c>
      <c r="G704" s="264" t="str">
        <f>'Dry_Litterbag Placem_Collection'!C45</f>
        <v>Dry_P2_T3</v>
      </c>
      <c r="H704" s="273" t="s">
        <v>3651</v>
      </c>
      <c r="I704" s="274" t="s">
        <v>298</v>
      </c>
      <c r="J704" s="223" t="str">
        <f>'WetLitterbags placem_collection'!Q45</f>
        <v>R117</v>
      </c>
      <c r="K704" s="225">
        <f>IFERROR(INDEX('Green_rooibos initial weight'!$C$5:$C$1749,MATCH(J704, 'Green_rooibos initial weight'!$A$5:$A$1749,0)),"")</f>
        <v>2.2029999999999998</v>
      </c>
      <c r="L704" s="225">
        <f>IFERROR(K704-(TBIcalc!$H$9+TBIcalc!$H$10),"")</f>
        <v>1.9531999999999998</v>
      </c>
      <c r="M704" s="391">
        <f>AVERAGE(Ashed_controlls!$K$12:$K$14)</f>
        <v>2.2816647271287041</v>
      </c>
      <c r="N704" s="225">
        <f t="shared" si="54"/>
        <v>1.908634524549722</v>
      </c>
      <c r="O704" s="225">
        <f>IF(IFERROR(INDEX('Both teabags AfterWet'!$C$3:$C$841,MATCH(J704,'Both teabags AfterWet'!$A$3:$A$841,0)),"")="","",(IFERROR(INDEX('Both teabags AfterWet'!$C$3:$C$841,MATCH(J704,'Both teabags AfterWet'!$A$3:$A$841,0)),"")))</f>
        <v>1.6155999999999999</v>
      </c>
      <c r="P704" s="225">
        <f>IFERROR(IF(O704&gt;0,O704-(TBIcalc!$H$9),""),"")</f>
        <v>1.4649999999999999</v>
      </c>
      <c r="Q704" s="225">
        <f>IFERROR(INDEX('Ashed teabags wet'!$K$2:$K$821,MATCH(J704,'Ashed teabags wet'!$A$2:$A$821,0)),"")</f>
        <v>1.8435475834578603</v>
      </c>
      <c r="R704" s="225">
        <f t="shared" si="57"/>
        <v>1.4379920279023422</v>
      </c>
      <c r="S704" s="226">
        <f>'WetLitterbags placem_collection'!E45</f>
        <v>42766</v>
      </c>
      <c r="T704" s="226">
        <f>IF('WetLitterbags placem_collection'!G45="","",'WetLitterbags placem_collection'!G45)</f>
        <v>42820</v>
      </c>
      <c r="U704" s="227">
        <f t="shared" si="59"/>
        <v>54</v>
      </c>
      <c r="V704" s="225">
        <f t="shared" si="55"/>
        <v>0.48819999999999997</v>
      </c>
      <c r="W704" s="225">
        <f t="shared" si="56"/>
        <v>0.47064249664737989</v>
      </c>
      <c r="X704">
        <f>IFERROR(INDEX(Rainfall_Wet!$O$2:$O$217,MATCH(B704, Rainfall_Wet!$A$2:$A$217,0)),"")</f>
        <v>214.262898705</v>
      </c>
      <c r="Y704" s="231">
        <v>19.96</v>
      </c>
      <c r="Z704" s="231">
        <v>4.9199999999999982</v>
      </c>
      <c r="AA704" s="231">
        <v>75.12</v>
      </c>
      <c r="AB704" s="232" t="s">
        <v>2671</v>
      </c>
      <c r="AC704" s="231">
        <v>1.641498275012321</v>
      </c>
      <c r="AD704">
        <f>IF('WetLitterbags placem_collection'!AB45="","",'WetLitterbags placem_collection'!AB45)</f>
        <v>5</v>
      </c>
      <c r="AE704">
        <f>IF('WetLitterbags placem_collection'!Z45="","",'WetLitterbags placem_collection'!Z45)</f>
        <v>26.3</v>
      </c>
      <c r="AF704" s="24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placem_collection'!Y45)),"YES","NO")</f>
        <v>NO</v>
      </c>
      <c r="AM704" t="str">
        <f>IF(ISNUMBER(SEARCH("H", 'WetLitterbags placem_collection'!Y45)),"YES","NO")</f>
        <v>NO</v>
      </c>
      <c r="AN704" t="str">
        <f>IF(ISNUMBER(SEARCH("R", 'WetLitterbags placem_collection'!Y45)),"YES","NO")</f>
        <v>YES</v>
      </c>
    </row>
    <row r="705" spans="1:40" ht="15" customHeight="1">
      <c r="A705" s="258" t="s">
        <v>2460</v>
      </c>
      <c r="B705" s="263">
        <f>'Dry_Litterbag Placem_Collection'!A46</f>
        <v>44</v>
      </c>
      <c r="C705" s="263" t="str">
        <f>'Dry_Litterbag Placem_Collection'!B46</f>
        <v>Makao</v>
      </c>
      <c r="D705" s="263" t="s">
        <v>2659</v>
      </c>
      <c r="E705" s="263" t="s">
        <v>20</v>
      </c>
      <c r="F705" s="263">
        <v>2</v>
      </c>
      <c r="G705" s="264" t="str">
        <f>'Dry_Litterbag Placem_Collection'!C46</f>
        <v>Dry_P2_T4</v>
      </c>
      <c r="H705" s="273" t="s">
        <v>3651</v>
      </c>
      <c r="I705" s="274" t="s">
        <v>298</v>
      </c>
      <c r="J705" s="223" t="str">
        <f>'WetLitterbags placem_collection'!Q46</f>
        <v>R6</v>
      </c>
      <c r="K705" s="225">
        <f>IFERROR(INDEX('Green_rooibos initial weight'!$C$5:$C$1749,MATCH(J705, 'Green_rooibos initial weight'!$A$5:$A$1749,0)),"")</f>
        <v>2.226</v>
      </c>
      <c r="L705" s="225">
        <f>IFERROR(K705-(TBIcalc!$H$9+TBIcalc!$H$10),"")</f>
        <v>1.9762</v>
      </c>
      <c r="M705" s="391">
        <f>AVERAGE(Ashed_controlls!$K$12:$K$14)</f>
        <v>2.2816647271287041</v>
      </c>
      <c r="N705" s="225">
        <f t="shared" si="54"/>
        <v>1.9311097416624825</v>
      </c>
      <c r="O705" s="225">
        <f>IF(IFERROR(INDEX('Both teabags AfterWet'!$C$3:$C$841,MATCH(J705,'Both teabags AfterWet'!$A$3:$A$841,0)),"")="","",(IFERROR(INDEX('Both teabags AfterWet'!$C$3:$C$841,MATCH(J705,'Both teabags AfterWet'!$A$3:$A$841,0)),"")))</f>
        <v>1.5294000000000001</v>
      </c>
      <c r="P705" s="225">
        <f>IFERROR(IF(O705&gt;0,O705-(TBIcalc!$H$9),""),"")</f>
        <v>1.3788</v>
      </c>
      <c r="Q705" s="225">
        <f>IFERROR(INDEX('Ashed teabags wet'!$K$2:$K$821,MATCH(J705,'Ashed teabags wet'!$A$2:$A$821,0)),"")</f>
        <v>3.8782523318604794</v>
      </c>
      <c r="R705" s="225">
        <f t="shared" si="57"/>
        <v>1.3253266568483077</v>
      </c>
      <c r="S705" s="226">
        <f>'WetLitterbags placem_collection'!E46</f>
        <v>42766</v>
      </c>
      <c r="T705" s="226">
        <f>IF('WetLitterbags placem_collection'!G46="","",'WetLitterbags placem_collection'!G46)</f>
        <v>42820</v>
      </c>
      <c r="U705" s="227">
        <f t="shared" si="59"/>
        <v>54</v>
      </c>
      <c r="V705" s="225">
        <f t="shared" si="55"/>
        <v>0.59739999999999993</v>
      </c>
      <c r="W705" s="225">
        <f t="shared" si="56"/>
        <v>0.60578308481417475</v>
      </c>
      <c r="X705">
        <f>IFERROR(INDEX(Rainfall_Wet!$O$2:$O$217,MATCH(B705, Rainfall_Wet!$A$2:$A$217,0)),"")</f>
        <v>214.262898705</v>
      </c>
      <c r="Y705" s="231">
        <v>19.96</v>
      </c>
      <c r="Z705" s="231">
        <v>4.9199999999999982</v>
      </c>
      <c r="AA705" s="231">
        <v>75.12</v>
      </c>
      <c r="AB705" s="232" t="s">
        <v>2671</v>
      </c>
      <c r="AC705" s="231">
        <v>1.641498275012321</v>
      </c>
      <c r="AD705">
        <f>IF('WetLitterbags placem_collection'!AB46="","",'WetLitterbags placem_collection'!AB46)</f>
        <v>2.6</v>
      </c>
      <c r="AE705">
        <f>IF('WetLitterbags placem_collection'!Z46="","",'WetLitterbags placem_collection'!Z46)</f>
        <v>39.200000000000003</v>
      </c>
      <c r="AF705" s="24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placem_collection'!Y46)),"YES","NO")</f>
        <v>NO</v>
      </c>
      <c r="AM705" t="str">
        <f>IF(ISNUMBER(SEARCH("H", 'WetLitterbags placem_collection'!Y46)),"YES","NO")</f>
        <v>NO</v>
      </c>
      <c r="AN705" t="str">
        <f>IF(ISNUMBER(SEARCH("R", 'WetLitterbags placem_collection'!Y46)),"YES","NO")</f>
        <v>NO</v>
      </c>
    </row>
    <row r="706" spans="1:40" ht="15" customHeight="1">
      <c r="A706" s="258" t="s">
        <v>2460</v>
      </c>
      <c r="B706" s="263">
        <f>'Dry_Litterbag Placem_Collection'!A47</f>
        <v>45</v>
      </c>
      <c r="C706" s="263" t="str">
        <f>'Dry_Litterbag Placem_Collection'!B47</f>
        <v>Makao</v>
      </c>
      <c r="D706" s="263" t="s">
        <v>2659</v>
      </c>
      <c r="E706" s="263" t="s">
        <v>20</v>
      </c>
      <c r="F706" s="263">
        <v>2</v>
      </c>
      <c r="G706" s="264" t="str">
        <f>'Dry_Litterbag Placem_Collection'!C47</f>
        <v>Dry_P2_T5</v>
      </c>
      <c r="H706" s="273" t="s">
        <v>3651</v>
      </c>
      <c r="I706" s="274" t="s">
        <v>298</v>
      </c>
      <c r="J706" s="223" t="str">
        <f>'WetLitterbags placem_collection'!Q47</f>
        <v>R74</v>
      </c>
      <c r="K706" s="225">
        <f>IFERROR(INDEX('Green_rooibos initial weight'!$C$5:$C$1749,MATCH(J706, 'Green_rooibos initial weight'!$A$5:$A$1749,0)),"")</f>
        <v>2.3340000000000001</v>
      </c>
      <c r="L706" s="225">
        <f>IFERROR(K706-(TBIcalc!$H$9+TBIcalc!$H$10),"")</f>
        <v>2.0842000000000001</v>
      </c>
      <c r="M706" s="391">
        <f>AVERAGE(Ashed_controlls!$K$12:$K$14)</f>
        <v>2.2816647271287041</v>
      </c>
      <c r="N706" s="225">
        <f t="shared" si="54"/>
        <v>2.0366455437571838</v>
      </c>
      <c r="O706" s="225">
        <f>IF(IFERROR(INDEX('Both teabags AfterWet'!$C$3:$C$841,MATCH(J706,'Both teabags AfterWet'!$A$3:$A$841,0)),"")="","",(IFERROR(INDEX('Both teabags AfterWet'!$C$3:$C$841,MATCH(J706,'Both teabags AfterWet'!$A$3:$A$841,0)),"")))</f>
        <v>1.5923</v>
      </c>
      <c r="P706" s="225">
        <f>IFERROR(IF(O706&gt;0,O706-(TBIcalc!$H$9),""),"")</f>
        <v>1.4417</v>
      </c>
      <c r="Q706" s="225">
        <f>IFERROR(INDEX('Ashed teabags wet'!$K$2:$K$821,MATCH(J706,'Ashed teabags wet'!$A$2:$A$821,0)),"")</f>
        <v>3.1049778215869339</v>
      </c>
      <c r="R706" s="225">
        <f t="shared" si="57"/>
        <v>1.3969355347461812</v>
      </c>
      <c r="S706" s="226">
        <f>'WetLitterbags placem_collection'!E47</f>
        <v>42766</v>
      </c>
      <c r="T706" s="226">
        <f>IF('WetLitterbags placem_collection'!G47="","",'WetLitterbags placem_collection'!G47)</f>
        <v>42820</v>
      </c>
      <c r="U706" s="227">
        <f t="shared" si="59"/>
        <v>54</v>
      </c>
      <c r="V706" s="225">
        <f t="shared" si="55"/>
        <v>0.64250000000000007</v>
      </c>
      <c r="W706" s="225">
        <f t="shared" si="56"/>
        <v>0.63971000901100261</v>
      </c>
      <c r="X706">
        <f>IFERROR(INDEX(Rainfall_Wet!$O$2:$O$217,MATCH(B706, Rainfall_Wet!$A$2:$A$217,0)),"")</f>
        <v>214.262898705</v>
      </c>
      <c r="Y706" s="231">
        <v>19.96</v>
      </c>
      <c r="Z706" s="231">
        <v>4.9199999999999982</v>
      </c>
      <c r="AA706" s="231">
        <v>75.12</v>
      </c>
      <c r="AB706" s="232" t="s">
        <v>2671</v>
      </c>
      <c r="AC706" s="231">
        <v>1.641498275012321</v>
      </c>
      <c r="AD706">
        <f>IF('WetLitterbags placem_collection'!AB47="","",'WetLitterbags placem_collection'!AB47)</f>
        <v>2.2999999999999998</v>
      </c>
      <c r="AE706">
        <f>IF('WetLitterbags placem_collection'!Z47="","",'WetLitterbags placem_collection'!Z47)</f>
        <v>9.3000000000000007</v>
      </c>
      <c r="AF706" s="24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placem_collection'!Y47)),"YES","NO")</f>
        <v>NO</v>
      </c>
      <c r="AM706" t="str">
        <f>IF(ISNUMBER(SEARCH("H", 'WetLitterbags placem_collection'!Y47)),"YES","NO")</f>
        <v>NO</v>
      </c>
      <c r="AN706" t="str">
        <f>IF(ISNUMBER(SEARCH("R", 'WetLitterbags placem_collection'!Y47)),"YES","NO")</f>
        <v>NO</v>
      </c>
    </row>
    <row r="707" spans="1:40" ht="15" customHeight="1">
      <c r="A707" s="258" t="s">
        <v>2460</v>
      </c>
      <c r="B707" s="263">
        <f>'Dry_Litterbag Placem_Collection'!A48</f>
        <v>46</v>
      </c>
      <c r="C707" s="263" t="str">
        <f>'Dry_Litterbag Placem_Collection'!B48</f>
        <v>Makao</v>
      </c>
      <c r="D707" s="263" t="s">
        <v>2659</v>
      </c>
      <c r="E707" s="263" t="s">
        <v>20</v>
      </c>
      <c r="F707" s="263">
        <v>2</v>
      </c>
      <c r="G707" s="264" t="str">
        <f>'Dry_Litterbag Placem_Collection'!C48</f>
        <v>Dry_P2_T6</v>
      </c>
      <c r="H707" s="273" t="s">
        <v>3651</v>
      </c>
      <c r="I707" s="274" t="s">
        <v>298</v>
      </c>
      <c r="J707" s="223" t="str">
        <f>'WetLitterbags placem_collection'!Q48</f>
        <v>R102</v>
      </c>
      <c r="K707" s="225">
        <f>IFERROR(INDEX('Green_rooibos initial weight'!$C$5:$C$1749,MATCH(J707, 'Green_rooibos initial weight'!$A$5:$A$1749,0)),"")</f>
        <v>2.2469999999999999</v>
      </c>
      <c r="L707" s="225">
        <f>IFERROR(K707-(TBIcalc!$H$9+TBIcalc!$H$10),"")</f>
        <v>1.9971999999999999</v>
      </c>
      <c r="M707" s="391">
        <f>AVERAGE(Ashed_controlls!$K$12:$K$14)</f>
        <v>2.2816647271287041</v>
      </c>
      <c r="N707" s="225">
        <f t="shared" ref="N707:N770" si="60">IFERROR(L707-(M707/100)*L707,"")</f>
        <v>1.9516305920697854</v>
      </c>
      <c r="O707" s="225" t="str">
        <f>IF(IFERROR(INDEX('Both teabags AfterWet'!$C$3:$C$841,MATCH(J707,'Both teabags AfterWet'!$A$3:$A$841,0)),"")="","",(IFERROR(INDEX('Both teabags AfterWet'!$C$3:$C$841,MATCH(J707,'Both teabags AfterWet'!$A$3:$A$841,0)),"")))</f>
        <v/>
      </c>
      <c r="P707" s="225" t="str">
        <f>IFERROR(IF(O707&gt;0,O707-(TBIcalc!$H$9),""),"")</f>
        <v/>
      </c>
      <c r="Q707" s="225" t="str">
        <f>IFERROR(INDEX('Ashed teabags wet'!$K$2:$K$821,MATCH(J707,'Ashed teabags wet'!$A$2:$A$821,0)),"")</f>
        <v/>
      </c>
      <c r="R707" s="225" t="str">
        <f t="shared" si="57"/>
        <v/>
      </c>
      <c r="S707" s="226">
        <f>'WetLitterbags placem_collection'!E48</f>
        <v>42766</v>
      </c>
      <c r="T707" s="226">
        <f>IF('WetLitterbags placem_collection'!G48="","",'WetLitterbags placem_collection'!G48)</f>
        <v>42820</v>
      </c>
      <c r="U707" s="227">
        <f t="shared" si="59"/>
        <v>54</v>
      </c>
      <c r="V707" s="225" t="str">
        <f t="shared" ref="V707:V770" si="61">IFERROR(L707-P707,"")</f>
        <v/>
      </c>
      <c r="W707" s="225" t="str">
        <f t="shared" ref="W707:W770" si="62">IFERROR(N707-R707,"")</f>
        <v/>
      </c>
      <c r="X707">
        <f>IFERROR(INDEX(Rainfall_Wet!$O$2:$O$217,MATCH(B707, Rainfall_Wet!$A$2:$A$217,0)),"")</f>
        <v>214.262898705</v>
      </c>
      <c r="Y707" s="231">
        <v>19.96</v>
      </c>
      <c r="Z707" s="231">
        <v>4.9199999999999982</v>
      </c>
      <c r="AA707" s="231">
        <v>75.12</v>
      </c>
      <c r="AB707" s="232" t="s">
        <v>2671</v>
      </c>
      <c r="AC707" s="231">
        <v>1.641498275012321</v>
      </c>
      <c r="AD707" t="str">
        <f>IF('WetLitterbags placem_collection'!AB48="","",'WetLitterbags placem_collection'!AB48)</f>
        <v/>
      </c>
      <c r="AE707" t="str">
        <f>IF('WetLitterbags placem_collection'!Z48="","",'WetLitterbags placem_collection'!Z48)</f>
        <v/>
      </c>
      <c r="AF707" s="24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placem_collection'!Y48)),"YES","NO")</f>
        <v>NO</v>
      </c>
      <c r="AM707" t="str">
        <f>IF(ISNUMBER(SEARCH("H", 'WetLitterbags placem_collection'!Y48)),"YES","NO")</f>
        <v>NO</v>
      </c>
      <c r="AN707" t="str">
        <f>IF(ISNUMBER(SEARCH("R", 'WetLitterbags placem_collection'!Y48)),"YES","NO")</f>
        <v>NO</v>
      </c>
    </row>
    <row r="708" spans="1:40" ht="15" customHeight="1">
      <c r="A708" s="258" t="s">
        <v>2460</v>
      </c>
      <c r="B708" s="263">
        <f>'Dry_Litterbag Placem_Collection'!A49</f>
        <v>47</v>
      </c>
      <c r="C708" s="263" t="str">
        <f>'Dry_Litterbag Placem_Collection'!B49</f>
        <v>Makao</v>
      </c>
      <c r="D708" s="263" t="s">
        <v>2659</v>
      </c>
      <c r="E708" s="263" t="s">
        <v>20</v>
      </c>
      <c r="F708" s="263">
        <v>2</v>
      </c>
      <c r="G708" s="264" t="str">
        <f>'Dry_Litterbag Placem_Collection'!C49</f>
        <v>Dry_P2_T7</v>
      </c>
      <c r="H708" s="273" t="s">
        <v>3651</v>
      </c>
      <c r="I708" s="274" t="s">
        <v>298</v>
      </c>
      <c r="J708" s="223" t="str">
        <f>'WetLitterbags placem_collection'!Q49</f>
        <v>R76</v>
      </c>
      <c r="K708" s="225">
        <f>IFERROR(INDEX('Green_rooibos initial weight'!$C$5:$C$1749,MATCH(J708, 'Green_rooibos initial weight'!$A$5:$A$1749,0)),"")</f>
        <v>2.2970000000000002</v>
      </c>
      <c r="L708" s="225">
        <f>IFERROR(K708-(TBIcalc!$H$9+TBIcalc!$H$10),"")</f>
        <v>2.0472000000000001</v>
      </c>
      <c r="M708" s="391">
        <f>AVERAGE(Ashed_controlls!$K$12:$K$14)</f>
        <v>2.2816647271287041</v>
      </c>
      <c r="N708" s="225">
        <f t="shared" si="60"/>
        <v>2.0004897597062214</v>
      </c>
      <c r="O708" s="225">
        <f>IF(IFERROR(INDEX('Both teabags AfterWet'!$C$3:$C$841,MATCH(J708,'Both teabags AfterWet'!$A$3:$A$841,0)),"")="","",(IFERROR(INDEX('Both teabags AfterWet'!$C$3:$C$841,MATCH(J708,'Both teabags AfterWet'!$A$3:$A$841,0)),"")))</f>
        <v>1.665</v>
      </c>
      <c r="P708" s="225">
        <f>IFERROR(IF(O708&gt;0,O708-(TBIcalc!$H$9),""),"")</f>
        <v>1.5144</v>
      </c>
      <c r="Q708" s="225">
        <f>IFERROR(INDEX('Ashed teabags wet'!$K$2:$K$821,MATCH(J708,'Ashed teabags wet'!$A$2:$A$821,0)),"")</f>
        <v>3.0587074494324868</v>
      </c>
      <c r="R708" s="225">
        <f t="shared" si="57"/>
        <v>1.4680789343857943</v>
      </c>
      <c r="S708" s="226">
        <f>'WetLitterbags placem_collection'!E49</f>
        <v>42766</v>
      </c>
      <c r="T708" s="226">
        <f>IF('WetLitterbags placem_collection'!G49="","",'WetLitterbags placem_collection'!G49)</f>
        <v>42820</v>
      </c>
      <c r="U708" s="227">
        <f t="shared" si="59"/>
        <v>54</v>
      </c>
      <c r="V708" s="225">
        <f t="shared" si="61"/>
        <v>0.53280000000000016</v>
      </c>
      <c r="W708" s="225">
        <f t="shared" si="62"/>
        <v>0.53241082532042716</v>
      </c>
      <c r="X708">
        <f>IFERROR(INDEX(Rainfall_Wet!$O$2:$O$217,MATCH(B708, Rainfall_Wet!$A$2:$A$217,0)),"")</f>
        <v>214.262898705</v>
      </c>
      <c r="Y708" s="231">
        <v>19.96</v>
      </c>
      <c r="Z708" s="231">
        <v>4.9199999999999982</v>
      </c>
      <c r="AA708" s="231">
        <v>75.12</v>
      </c>
      <c r="AB708" s="232" t="s">
        <v>2671</v>
      </c>
      <c r="AC708" s="231">
        <v>1.641498275012321</v>
      </c>
      <c r="AD708">
        <f>IF('WetLitterbags placem_collection'!AB49="","",'WetLitterbags placem_collection'!AB49)</f>
        <v>5.2</v>
      </c>
      <c r="AE708">
        <f>IF('WetLitterbags placem_collection'!Z49="","",'WetLitterbags placem_collection'!Z49)</f>
        <v>5.2</v>
      </c>
      <c r="AF708" s="24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placem_collection'!Y49)),"YES","NO")</f>
        <v>NO</v>
      </c>
      <c r="AM708" t="str">
        <f>IF(ISNUMBER(SEARCH("H", 'WetLitterbags placem_collection'!Y49)),"YES","NO")</f>
        <v>NO</v>
      </c>
      <c r="AN708" t="str">
        <f>IF(ISNUMBER(SEARCH("R", 'WetLitterbags placem_collection'!Y49)),"YES","NO")</f>
        <v>NO</v>
      </c>
    </row>
    <row r="709" spans="1:40" ht="15" customHeight="1">
      <c r="A709" s="258" t="s">
        <v>2460</v>
      </c>
      <c r="B709" s="263">
        <f>'Dry_Litterbag Placem_Collection'!A50</f>
        <v>48</v>
      </c>
      <c r="C709" s="263" t="str">
        <f>'Dry_Litterbag Placem_Collection'!B50</f>
        <v>Makao</v>
      </c>
      <c r="D709" s="263" t="s">
        <v>2659</v>
      </c>
      <c r="E709" s="263" t="s">
        <v>20</v>
      </c>
      <c r="F709" s="263">
        <v>2</v>
      </c>
      <c r="G709" s="264" t="str">
        <f>'Dry_Litterbag Placem_Collection'!C50</f>
        <v>Dry_P2_T8</v>
      </c>
      <c r="H709" s="273" t="s">
        <v>3651</v>
      </c>
      <c r="I709" s="274" t="s">
        <v>298</v>
      </c>
      <c r="J709" s="223" t="str">
        <f>'WetLitterbags placem_collection'!Q50</f>
        <v>R107</v>
      </c>
      <c r="K709" s="225">
        <f>IFERROR(INDEX('Green_rooibos initial weight'!$C$5:$C$1749,MATCH(J709, 'Green_rooibos initial weight'!$A$5:$A$1749,0)),"")</f>
        <v>2.19</v>
      </c>
      <c r="L709" s="225">
        <f>IFERROR(K709-(TBIcalc!$H$9+TBIcalc!$H$10),"")</f>
        <v>1.9401999999999999</v>
      </c>
      <c r="M709" s="391">
        <f>AVERAGE(Ashed_controlls!$K$12:$K$14)</f>
        <v>2.2816647271287041</v>
      </c>
      <c r="N709" s="225">
        <f t="shared" si="60"/>
        <v>1.8959311409642488</v>
      </c>
      <c r="O709" s="225">
        <f>IF(IFERROR(INDEX('Both teabags AfterWet'!$C$3:$C$841,MATCH(J709,'Both teabags AfterWet'!$A$3:$A$841,0)),"")="","",(IFERROR(INDEX('Both teabags AfterWet'!$C$3:$C$841,MATCH(J709,'Both teabags AfterWet'!$A$3:$A$841,0)),"")))</f>
        <v>1.5349999999999999</v>
      </c>
      <c r="P709" s="225">
        <f>IFERROR(IF(O709&gt;0,O709-(TBIcalc!$H$9),""),"")</f>
        <v>1.3843999999999999</v>
      </c>
      <c r="Q709" s="225">
        <f>IFERROR(INDEX('Ashed teabags wet'!$K$2:$K$821,MATCH(J709,'Ashed teabags wet'!$A$2:$A$821,0)),"")</f>
        <v>3.4431137724549741</v>
      </c>
      <c r="R709" s="225">
        <f t="shared" si="57"/>
        <v>1.3367335329341332</v>
      </c>
      <c r="S709" s="226">
        <f>'WetLitterbags placem_collection'!E50</f>
        <v>42766</v>
      </c>
      <c r="T709" s="226">
        <f>IF('WetLitterbags placem_collection'!G50="","",'WetLitterbags placem_collection'!G50)</f>
        <v>42820</v>
      </c>
      <c r="U709" s="227">
        <f t="shared" si="59"/>
        <v>54</v>
      </c>
      <c r="V709" s="225">
        <f t="shared" si="61"/>
        <v>0.55580000000000007</v>
      </c>
      <c r="W709" s="225">
        <f t="shared" si="62"/>
        <v>0.55919760803011553</v>
      </c>
      <c r="X709">
        <f>IFERROR(INDEX(Rainfall_Wet!$O$2:$O$217,MATCH(B709, Rainfall_Wet!$A$2:$A$217,0)),"")</f>
        <v>214.262898705</v>
      </c>
      <c r="Y709" s="231">
        <v>19.96</v>
      </c>
      <c r="Z709" s="231">
        <v>4.9199999999999982</v>
      </c>
      <c r="AA709" s="231">
        <v>75.12</v>
      </c>
      <c r="AB709" s="232" t="s">
        <v>2671</v>
      </c>
      <c r="AC709" s="231">
        <v>1.641498275012321</v>
      </c>
      <c r="AD709">
        <f>IF('WetLitterbags placem_collection'!AB50="","",'WetLitterbags placem_collection'!AB50)</f>
        <v>7.3</v>
      </c>
      <c r="AE709">
        <f>IF('WetLitterbags placem_collection'!Z50="","",'WetLitterbags placem_collection'!Z50)</f>
        <v>27.2</v>
      </c>
      <c r="AF709" s="24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placem_collection'!Y50)),"YES","NO")</f>
        <v>NO</v>
      </c>
      <c r="AM709" t="str">
        <f>IF(ISNUMBER(SEARCH("H", 'WetLitterbags placem_collection'!Y50)),"YES","NO")</f>
        <v>NO</v>
      </c>
      <c r="AN709" t="str">
        <f>IF(ISNUMBER(SEARCH("R", 'WetLitterbags placem_collection'!Y50)),"YES","NO")</f>
        <v>NO</v>
      </c>
    </row>
    <row r="710" spans="1:40" ht="15" customHeight="1">
      <c r="A710" s="258" t="s">
        <v>2460</v>
      </c>
      <c r="B710" s="263">
        <f>'Dry_Litterbag Placem_Collection'!A51</f>
        <v>49</v>
      </c>
      <c r="C710" s="263" t="str">
        <f>'Dry_Litterbag Placem_Collection'!B51</f>
        <v>Makao</v>
      </c>
      <c r="D710" s="263" t="s">
        <v>2659</v>
      </c>
      <c r="E710" s="263" t="s">
        <v>20</v>
      </c>
      <c r="F710" s="263">
        <v>3</v>
      </c>
      <c r="G710" s="264" t="str">
        <f>'Dry_Litterbag Placem_Collection'!C51</f>
        <v>Dry_P3_T1</v>
      </c>
      <c r="H710" s="273" t="s">
        <v>3651</v>
      </c>
      <c r="I710" s="274" t="s">
        <v>298</v>
      </c>
      <c r="J710" s="223" t="str">
        <f>'WetLitterbags placem_collection'!Q51</f>
        <v>R155</v>
      </c>
      <c r="K710" s="225">
        <f>IFERROR(INDEX('Green_rooibos initial weight'!$C$5:$C$1749,MATCH(J710, 'Green_rooibos initial weight'!$A$5:$A$1749,0)),"")</f>
        <v>2.206</v>
      </c>
      <c r="L710" s="225">
        <f>IFERROR(K710-(TBIcalc!$H$9+TBIcalc!$H$10),"")</f>
        <v>1.9561999999999999</v>
      </c>
      <c r="M710" s="391">
        <f>AVERAGE(Ashed_controlls!$K$12:$K$14)</f>
        <v>2.2816647271287041</v>
      </c>
      <c r="N710" s="225">
        <f t="shared" si="60"/>
        <v>1.9115660746079082</v>
      </c>
      <c r="O710" s="225">
        <f>IF(IFERROR(INDEX('Both teabags AfterWet'!$C$3:$C$841,MATCH(J710,'Both teabags AfterWet'!$A$3:$A$841,0)),"")="","",(IFERROR(INDEX('Both teabags AfterWet'!$C$3:$C$841,MATCH(J710,'Both teabags AfterWet'!$A$3:$A$841,0)),"")))</f>
        <v>1.5909</v>
      </c>
      <c r="P710" s="225">
        <f>IFERROR(IF(O710&gt;0,O710-(TBIcalc!$H$9),""),"")</f>
        <v>1.4402999999999999</v>
      </c>
      <c r="Q710" s="225">
        <f>IFERROR(INDEX('Ashed teabags wet'!$K$2:$K$821,MATCH(J710,'Ashed teabags wet'!$A$2:$A$821,0)),"")</f>
        <v>10.705352676338336</v>
      </c>
      <c r="R710" s="225">
        <f t="shared" si="57"/>
        <v>1.2861108054026988</v>
      </c>
      <c r="S710" s="226">
        <f>'WetLitterbags placem_collection'!E51</f>
        <v>42766</v>
      </c>
      <c r="T710" s="226">
        <f>IF('WetLitterbags placem_collection'!G51="","",'WetLitterbags placem_collection'!G51)</f>
        <v>42820</v>
      </c>
      <c r="U710" s="227">
        <f t="shared" si="59"/>
        <v>54</v>
      </c>
      <c r="V710" s="225">
        <f t="shared" si="61"/>
        <v>0.51590000000000003</v>
      </c>
      <c r="W710" s="225">
        <f t="shared" si="62"/>
        <v>0.62545526920520933</v>
      </c>
      <c r="X710">
        <f>IFERROR(INDEX(Rainfall_Wet!$O$2:$O$217,MATCH(B710, Rainfall_Wet!$A$2:$A$217,0)),"")</f>
        <v>214.262898705</v>
      </c>
      <c r="Y710" s="231">
        <v>21.96</v>
      </c>
      <c r="Z710" s="231">
        <v>8.9199999999999982</v>
      </c>
      <c r="AA710" s="231">
        <v>69.12</v>
      </c>
      <c r="AB710" s="232" t="s">
        <v>2670</v>
      </c>
      <c r="AC710" s="231">
        <v>1.7491375061606702</v>
      </c>
      <c r="AD710">
        <f>IF('WetLitterbags placem_collection'!AB51="","",'WetLitterbags placem_collection'!AB51)</f>
        <v>10.4</v>
      </c>
      <c r="AE710">
        <f>IF('WetLitterbags placem_collection'!Z51="","",'WetLitterbags placem_collection'!Z51)</f>
        <v>36</v>
      </c>
      <c r="AF710" s="24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placem_collection'!Y51)),"YES","NO")</f>
        <v>NO</v>
      </c>
      <c r="AM710" t="str">
        <f>IF(ISNUMBER(SEARCH("H", 'WetLitterbags placem_collection'!Y51)),"YES","NO")</f>
        <v>NO</v>
      </c>
      <c r="AN710" t="str">
        <f>IF(ISNUMBER(SEARCH("R", 'WetLitterbags placem_collection'!Y51)),"YES","NO")</f>
        <v>YES</v>
      </c>
    </row>
    <row r="711" spans="1:40" ht="15" customHeight="1">
      <c r="A711" s="258" t="s">
        <v>2460</v>
      </c>
      <c r="B711" s="263">
        <f>'Dry_Litterbag Placem_Collection'!A52</f>
        <v>50</v>
      </c>
      <c r="C711" s="263" t="str">
        <f>'Dry_Litterbag Placem_Collection'!B52</f>
        <v>Makao</v>
      </c>
      <c r="D711" s="263" t="s">
        <v>2659</v>
      </c>
      <c r="E711" s="263" t="s">
        <v>20</v>
      </c>
      <c r="F711" s="263">
        <v>3</v>
      </c>
      <c r="G711" s="264" t="str">
        <f>'Dry_Litterbag Placem_Collection'!C52</f>
        <v>Dry_P3_T2</v>
      </c>
      <c r="H711" s="273" t="s">
        <v>3651</v>
      </c>
      <c r="I711" s="274" t="s">
        <v>298</v>
      </c>
      <c r="J711" s="223" t="str">
        <f>'WetLitterbags placem_collection'!Q52</f>
        <v>R98</v>
      </c>
      <c r="K711" s="225">
        <f>IFERROR(INDEX('Green_rooibos initial weight'!$C$5:$C$1749,MATCH(J711, 'Green_rooibos initial weight'!$A$5:$A$1749,0)),"")</f>
        <v>2.1960000000000002</v>
      </c>
      <c r="L711" s="225">
        <f>IFERROR(K711-(TBIcalc!$H$9+TBIcalc!$H$10),"")</f>
        <v>1.9462000000000002</v>
      </c>
      <c r="M711" s="391">
        <f>AVERAGE(Ashed_controlls!$K$12:$K$14)</f>
        <v>2.2816647271287041</v>
      </c>
      <c r="N711" s="225">
        <f t="shared" si="60"/>
        <v>1.9017942410806212</v>
      </c>
      <c r="O711" s="225" t="str">
        <f>IF(IFERROR(INDEX('Both teabags AfterWet'!$C$3:$C$841,MATCH(J711,'Both teabags AfterWet'!$A$3:$A$841,0)),"")="","",(IFERROR(INDEX('Both teabags AfterWet'!$C$3:$C$841,MATCH(J711,'Both teabags AfterWet'!$A$3:$A$841,0)),"")))</f>
        <v/>
      </c>
      <c r="P711" s="225" t="str">
        <f>IFERROR(IF(O711&gt;0,O711-(TBIcalc!$H$9),""),"")</f>
        <v/>
      </c>
      <c r="Q711" s="225" t="str">
        <f>IFERROR(INDEX('Ashed teabags wet'!$K$2:$K$821,MATCH(J711,'Ashed teabags wet'!$A$2:$A$821,0)),"")</f>
        <v/>
      </c>
      <c r="R711" s="225" t="str">
        <f t="shared" si="57"/>
        <v/>
      </c>
      <c r="S711" s="226">
        <f>'WetLitterbags placem_collection'!E52</f>
        <v>42766</v>
      </c>
      <c r="T711" s="226">
        <f>IF('WetLitterbags placem_collection'!G52="","",'WetLitterbags placem_collection'!G52)</f>
        <v>42820</v>
      </c>
      <c r="U711" s="227">
        <f t="shared" si="59"/>
        <v>54</v>
      </c>
      <c r="V711" s="225" t="str">
        <f t="shared" si="61"/>
        <v/>
      </c>
      <c r="W711" s="225" t="str">
        <f t="shared" si="62"/>
        <v/>
      </c>
      <c r="X711">
        <f>IFERROR(INDEX(Rainfall_Wet!$O$2:$O$217,MATCH(B711, Rainfall_Wet!$A$2:$A$217,0)),"")</f>
        <v>214.262898705</v>
      </c>
      <c r="Y711" s="231">
        <v>21.96</v>
      </c>
      <c r="Z711" s="231">
        <v>8.9199999999999982</v>
      </c>
      <c r="AA711" s="231">
        <v>69.12</v>
      </c>
      <c r="AB711" s="232" t="s">
        <v>2670</v>
      </c>
      <c r="AC711" s="231">
        <v>1.7491375061606702</v>
      </c>
      <c r="AD711">
        <f>IF('WetLitterbags placem_collection'!AB52="","",'WetLitterbags placem_collection'!AB52)</f>
        <v>10</v>
      </c>
      <c r="AE711">
        <f>IF('WetLitterbags placem_collection'!Z52="","",'WetLitterbags placem_collection'!Z52)</f>
        <v>22.5</v>
      </c>
      <c r="AF711" s="24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placem_collection'!Y52)),"YES","NO")</f>
        <v>NO</v>
      </c>
      <c r="AM711" t="str">
        <f>IF(ISNUMBER(SEARCH("H", 'WetLitterbags placem_collection'!Y52)),"YES","NO")</f>
        <v>NO</v>
      </c>
      <c r="AN711" t="str">
        <f>IF(ISNUMBER(SEARCH("R", 'WetLitterbags placem_collection'!Y52)),"YES","NO")</f>
        <v>NO</v>
      </c>
    </row>
    <row r="712" spans="1:40" ht="15" customHeight="1">
      <c r="A712" s="258" t="s">
        <v>2460</v>
      </c>
      <c r="B712" s="263">
        <f>'Dry_Litterbag Placem_Collection'!A53</f>
        <v>51</v>
      </c>
      <c r="C712" s="263" t="str">
        <f>'Dry_Litterbag Placem_Collection'!B53</f>
        <v>Makao</v>
      </c>
      <c r="D712" s="263" t="s">
        <v>2659</v>
      </c>
      <c r="E712" s="263" t="s">
        <v>20</v>
      </c>
      <c r="F712" s="263">
        <v>3</v>
      </c>
      <c r="G712" s="264" t="str">
        <f>'Dry_Litterbag Placem_Collection'!C53</f>
        <v>Dry_P3_T3</v>
      </c>
      <c r="H712" s="273" t="s">
        <v>3651</v>
      </c>
      <c r="I712" s="274" t="s">
        <v>298</v>
      </c>
      <c r="J712" s="223" t="str">
        <f>'WetLitterbags placem_collection'!Q53</f>
        <v>R29</v>
      </c>
      <c r="K712" s="225">
        <f>IFERROR(INDEX('Green_rooibos initial weight'!$C$5:$C$1749,MATCH(J712, 'Green_rooibos initial weight'!$A$5:$A$1749,0)),"")</f>
        <v>2.2400000000000002</v>
      </c>
      <c r="L712" s="225">
        <f>IFERROR(K712-(TBIcalc!$H$9+TBIcalc!$H$10),"")</f>
        <v>1.9902000000000002</v>
      </c>
      <c r="M712" s="391">
        <f>AVERAGE(Ashed_controlls!$K$12:$K$14)</f>
        <v>2.2816647271287041</v>
      </c>
      <c r="N712" s="225">
        <f t="shared" si="60"/>
        <v>1.9447903086006848</v>
      </c>
      <c r="O712" s="225">
        <f>IF(IFERROR(INDEX('Both teabags AfterWet'!$C$3:$C$841,MATCH(J712,'Both teabags AfterWet'!$A$3:$A$841,0)),"")="","",(IFERROR(INDEX('Both teabags AfterWet'!$C$3:$C$841,MATCH(J712,'Both teabags AfterWet'!$A$3:$A$841,0)),"")))</f>
        <v>1.4950000000000001</v>
      </c>
      <c r="P712" s="225">
        <f>IFERROR(IF(O712&gt;0,O712-(TBIcalc!$H$9),""),"")</f>
        <v>1.3444</v>
      </c>
      <c r="Q712" s="225">
        <f>IFERROR(INDEX('Ashed teabags wet'!$K$2:$K$821,MATCH(J712,'Ashed teabags wet'!$A$2:$A$821,0)),"")</f>
        <v>3.8327526132399545</v>
      </c>
      <c r="R712" s="225">
        <f t="shared" si="57"/>
        <v>1.2928724738676021</v>
      </c>
      <c r="S712" s="226">
        <f>'WetLitterbags placem_collection'!E53</f>
        <v>42766</v>
      </c>
      <c r="T712" s="226">
        <f>IF('WetLitterbags placem_collection'!G53="","",'WetLitterbags placem_collection'!G53)</f>
        <v>42820</v>
      </c>
      <c r="U712" s="227">
        <f t="shared" si="59"/>
        <v>54</v>
      </c>
      <c r="V712" s="225">
        <f t="shared" si="61"/>
        <v>0.64580000000000015</v>
      </c>
      <c r="W712" s="225">
        <f t="shared" si="62"/>
        <v>0.65191783473308273</v>
      </c>
      <c r="X712">
        <f>IFERROR(INDEX(Rainfall_Wet!$O$2:$O$217,MATCH(B712, Rainfall_Wet!$A$2:$A$217,0)),"")</f>
        <v>214.262898705</v>
      </c>
      <c r="Y712" s="231">
        <v>21.96</v>
      </c>
      <c r="Z712" s="231">
        <v>8.9199999999999982</v>
      </c>
      <c r="AA712" s="231">
        <v>69.12</v>
      </c>
      <c r="AB712" s="232" t="s">
        <v>2670</v>
      </c>
      <c r="AC712" s="231">
        <v>1.7491375061606702</v>
      </c>
      <c r="AD712">
        <f>IF('WetLitterbags placem_collection'!AB53="","",'WetLitterbags placem_collection'!AB53)</f>
        <v>3</v>
      </c>
      <c r="AE712">
        <f>IF('WetLitterbags placem_collection'!Z53="","",'WetLitterbags placem_collection'!Z53)</f>
        <v>18</v>
      </c>
      <c r="AF712" s="24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placem_collection'!Y53)),"YES","NO")</f>
        <v>NO</v>
      </c>
      <c r="AM712" t="str">
        <f>IF(ISNUMBER(SEARCH("H", 'WetLitterbags placem_collection'!Y53)),"YES","NO")</f>
        <v>NO</v>
      </c>
      <c r="AN712" t="str">
        <f>IF(ISNUMBER(SEARCH("R", 'WetLitterbags placem_collection'!Y53)),"YES","NO")</f>
        <v>YES</v>
      </c>
    </row>
    <row r="713" spans="1:40" ht="15" customHeight="1">
      <c r="A713" s="258" t="s">
        <v>2460</v>
      </c>
      <c r="B713" s="263">
        <f>'Dry_Litterbag Placem_Collection'!A54</f>
        <v>52</v>
      </c>
      <c r="C713" s="263" t="str">
        <f>'Dry_Litterbag Placem_Collection'!B54</f>
        <v>Makao</v>
      </c>
      <c r="D713" s="263" t="s">
        <v>2659</v>
      </c>
      <c r="E713" s="263" t="s">
        <v>20</v>
      </c>
      <c r="F713" s="263">
        <v>3</v>
      </c>
      <c r="G713" s="264" t="str">
        <f>'Dry_Litterbag Placem_Collection'!C54</f>
        <v>Dry_P3_T4</v>
      </c>
      <c r="H713" s="273" t="s">
        <v>3651</v>
      </c>
      <c r="I713" s="274" t="s">
        <v>298</v>
      </c>
      <c r="J713" s="223" t="str">
        <f>'WetLitterbags placem_collection'!Q54</f>
        <v>R312</v>
      </c>
      <c r="K713" s="225">
        <f>IFERROR(INDEX('Green_rooibos initial weight'!$C$5:$C$1749,MATCH(J713, 'Green_rooibos initial weight'!$A$5:$A$1749,0)),"")</f>
        <v>2.2360000000000002</v>
      </c>
      <c r="L713" s="225">
        <f>IFERROR(K713-(TBIcalc!$H$9+TBIcalc!$H$10),"")</f>
        <v>1.9862000000000002</v>
      </c>
      <c r="M713" s="391">
        <f>AVERAGE(Ashed_controlls!$K$12:$K$14)</f>
        <v>2.2816647271287041</v>
      </c>
      <c r="N713" s="225">
        <f t="shared" si="60"/>
        <v>1.9408815751897699</v>
      </c>
      <c r="O713" s="225">
        <f>IF(IFERROR(INDEX('Both teabags AfterWet'!$C$3:$C$841,MATCH(J713,'Both teabags AfterWet'!$A$3:$A$841,0)),"")="","",(IFERROR(INDEX('Both teabags AfterWet'!$C$3:$C$841,MATCH(J713,'Both teabags AfterWet'!$A$3:$A$841,0)),"")))</f>
        <v>1.546</v>
      </c>
      <c r="P713" s="225">
        <f>IFERROR(IF(O713&gt;0,O713-(TBIcalc!$H$9),""),"")</f>
        <v>1.3954</v>
      </c>
      <c r="Q713" s="225">
        <f>IFERROR(INDEX('Ashed teabags wet'!$K$2:$K$821,MATCH(J713,'Ashed teabags wet'!$A$2:$A$821,0)),"")</f>
        <v>9.8235574630425244</v>
      </c>
      <c r="R713" s="225">
        <f t="shared" si="57"/>
        <v>1.2583220791607046</v>
      </c>
      <c r="S713" s="226">
        <f>'WetLitterbags placem_collection'!E54</f>
        <v>42766</v>
      </c>
      <c r="T713" s="226">
        <f>IF('WetLitterbags placem_collection'!G54="","",'WetLitterbags placem_collection'!G54)</f>
        <v>42820</v>
      </c>
      <c r="U713" s="227">
        <f t="shared" si="59"/>
        <v>54</v>
      </c>
      <c r="V713" s="225">
        <f t="shared" si="61"/>
        <v>0.59080000000000021</v>
      </c>
      <c r="W713" s="225">
        <f t="shared" si="62"/>
        <v>0.68255949602906529</v>
      </c>
      <c r="X713">
        <f>IFERROR(INDEX(Rainfall_Wet!$O$2:$O$217,MATCH(B713, Rainfall_Wet!$A$2:$A$217,0)),"")</f>
        <v>214.262898705</v>
      </c>
      <c r="Y713" s="231">
        <v>21.96</v>
      </c>
      <c r="Z713" s="231">
        <v>8.9199999999999982</v>
      </c>
      <c r="AA713" s="231">
        <v>69.12</v>
      </c>
      <c r="AB713" s="232" t="s">
        <v>2670</v>
      </c>
      <c r="AC713" s="231">
        <v>1.7491375061606702</v>
      </c>
      <c r="AD713">
        <f>IF('WetLitterbags placem_collection'!AB54="","",'WetLitterbags placem_collection'!AB54)</f>
        <v>13.4</v>
      </c>
      <c r="AE713">
        <f>IF('WetLitterbags placem_collection'!Z54="","",'WetLitterbags placem_collection'!Z54)</f>
        <v>67</v>
      </c>
      <c r="AF713" s="24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placem_collection'!Y54)),"YES","NO")</f>
        <v>NO</v>
      </c>
      <c r="AM713" t="str">
        <f>IF(ISNUMBER(SEARCH("H", 'WetLitterbags placem_collection'!Y54)),"YES","NO")</f>
        <v>NO</v>
      </c>
      <c r="AN713" t="str">
        <f>IF(ISNUMBER(SEARCH("R", 'WetLitterbags placem_collection'!Y54)),"YES","NO")</f>
        <v>YES</v>
      </c>
    </row>
    <row r="714" spans="1:40" ht="15" customHeight="1">
      <c r="A714" s="258" t="s">
        <v>2460</v>
      </c>
      <c r="B714" s="263">
        <f>'Dry_Litterbag Placem_Collection'!A55</f>
        <v>53</v>
      </c>
      <c r="C714" s="263" t="str">
        <f>'Dry_Litterbag Placem_Collection'!B55</f>
        <v>Makao</v>
      </c>
      <c r="D714" s="263" t="s">
        <v>2659</v>
      </c>
      <c r="E714" s="263" t="s">
        <v>20</v>
      </c>
      <c r="F714" s="263">
        <v>3</v>
      </c>
      <c r="G714" s="264" t="str">
        <f>'Dry_Litterbag Placem_Collection'!C55</f>
        <v>Dry_P3_T5</v>
      </c>
      <c r="H714" s="273" t="s">
        <v>3651</v>
      </c>
      <c r="I714" s="274" t="s">
        <v>298</v>
      </c>
      <c r="J714" s="223" t="str">
        <f>'WetLitterbags placem_collection'!Q55</f>
        <v>R113</v>
      </c>
      <c r="K714" s="225">
        <f>IFERROR(INDEX('Green_rooibos initial weight'!$C$5:$C$1749,MATCH(J714, 'Green_rooibos initial weight'!$A$5:$A$1749,0)),"")</f>
        <v>2.202</v>
      </c>
      <c r="L714" s="225">
        <f>IFERROR(K714-(TBIcalc!$H$9+TBIcalc!$H$10),"")</f>
        <v>1.9521999999999999</v>
      </c>
      <c r="M714" s="391">
        <f>AVERAGE(Ashed_controlls!$K$12:$K$14)</f>
        <v>2.2816647271287041</v>
      </c>
      <c r="N714" s="225">
        <f t="shared" si="60"/>
        <v>1.9076573411969935</v>
      </c>
      <c r="O714" s="225" t="str">
        <f>IF(IFERROR(INDEX('Both teabags AfterWet'!$C$3:$C$841,MATCH(J714,'Both teabags AfterWet'!$A$3:$A$841,0)),"")="","",(IFERROR(INDEX('Both teabags AfterWet'!$C$3:$C$841,MATCH(J714,'Both teabags AfterWet'!$A$3:$A$841,0)),"")))</f>
        <v/>
      </c>
      <c r="P714" s="225" t="str">
        <f>IFERROR(IF(O714&gt;0,O714-(TBIcalc!$H$9),""),"")</f>
        <v/>
      </c>
      <c r="Q714" s="225" t="str">
        <f>IFERROR(INDEX('Ashed teabags wet'!$K$2:$K$821,MATCH(J714,'Ashed teabags wet'!$A$2:$A$821,0)),"")</f>
        <v/>
      </c>
      <c r="R714" s="225" t="str">
        <f t="shared" si="57"/>
        <v/>
      </c>
      <c r="S714" s="226">
        <f>'WetLitterbags placem_collection'!E55</f>
        <v>42766</v>
      </c>
      <c r="T714" s="226">
        <f>IF('WetLitterbags placem_collection'!G55="","",'WetLitterbags placem_collection'!G55)</f>
        <v>42820</v>
      </c>
      <c r="U714" s="227">
        <f t="shared" si="59"/>
        <v>54</v>
      </c>
      <c r="V714" s="225" t="str">
        <f t="shared" si="61"/>
        <v/>
      </c>
      <c r="W714" s="225" t="str">
        <f t="shared" si="62"/>
        <v/>
      </c>
      <c r="X714">
        <f>IFERROR(INDEX(Rainfall_Wet!$O$2:$O$217,MATCH(B714, Rainfall_Wet!$A$2:$A$217,0)),"")</f>
        <v>214.262898705</v>
      </c>
      <c r="Y714" s="231">
        <v>21.96</v>
      </c>
      <c r="Z714" s="231">
        <v>8.9199999999999982</v>
      </c>
      <c r="AA714" s="231">
        <v>69.12</v>
      </c>
      <c r="AB714" s="232" t="s">
        <v>2670</v>
      </c>
      <c r="AC714" s="231">
        <v>1.7491375061606702</v>
      </c>
      <c r="AD714" t="str">
        <f>IF('WetLitterbags placem_collection'!AB55="","",'WetLitterbags placem_collection'!AB55)</f>
        <v/>
      </c>
      <c r="AE714" t="str">
        <f>IF('WetLitterbags placem_collection'!Z55="","",'WetLitterbags placem_collection'!Z55)</f>
        <v/>
      </c>
      <c r="AF714" s="24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placem_collection'!Y55)),"YES","NO")</f>
        <v>NO</v>
      </c>
      <c r="AM714" t="str">
        <f>IF(ISNUMBER(SEARCH("H", 'WetLitterbags placem_collection'!Y55)),"YES","NO")</f>
        <v>NO</v>
      </c>
      <c r="AN714" t="str">
        <f>IF(ISNUMBER(SEARCH("R", 'WetLitterbags placem_collection'!Y55)),"YES","NO")</f>
        <v>NO</v>
      </c>
    </row>
    <row r="715" spans="1:40" ht="15" customHeight="1">
      <c r="A715" s="258" t="s">
        <v>2460</v>
      </c>
      <c r="B715" s="263">
        <f>'Dry_Litterbag Placem_Collection'!A56</f>
        <v>54</v>
      </c>
      <c r="C715" s="263" t="str">
        <f>'Dry_Litterbag Placem_Collection'!B56</f>
        <v>Makao</v>
      </c>
      <c r="D715" s="263" t="s">
        <v>2659</v>
      </c>
      <c r="E715" s="263" t="s">
        <v>20</v>
      </c>
      <c r="F715" s="263">
        <v>3</v>
      </c>
      <c r="G715" s="264" t="str">
        <f>'Dry_Litterbag Placem_Collection'!C56</f>
        <v>Dry_P3_T6</v>
      </c>
      <c r="H715" s="273" t="s">
        <v>3651</v>
      </c>
      <c r="I715" s="274" t="s">
        <v>298</v>
      </c>
      <c r="J715" s="223" t="str">
        <f>'WetLitterbags placem_collection'!Q56</f>
        <v>R441</v>
      </c>
      <c r="K715" s="225">
        <f>IFERROR(INDEX('Green_rooibos initial weight'!$C$5:$C$1749,MATCH(J715, 'Green_rooibos initial weight'!$A$5:$A$1749,0)),"")</f>
        <v>2.1280000000000001</v>
      </c>
      <c r="L715" s="225">
        <f>IFERROR(K715-(TBIcalc!$H$9+TBIcalc!$H$10),"")</f>
        <v>1.8782000000000001</v>
      </c>
      <c r="M715" s="391">
        <f>AVERAGE(Ashed_controlls!$K$12:$K$14)</f>
        <v>2.2816647271287041</v>
      </c>
      <c r="N715" s="225">
        <f t="shared" si="60"/>
        <v>1.8353457730950689</v>
      </c>
      <c r="O715" s="225" t="str">
        <f>IF(IFERROR(INDEX('Both teabags AfterWet'!$C$3:$C$841,MATCH(J715,'Both teabags AfterWet'!$A$3:$A$841,0)),"")="","",(IFERROR(INDEX('Both teabags AfterWet'!$C$3:$C$841,MATCH(J715,'Both teabags AfterWet'!$A$3:$A$841,0)),"")))</f>
        <v/>
      </c>
      <c r="P715" s="225" t="str">
        <f>IFERROR(IF(O715&gt;0,O715-(TBIcalc!$H$9),""),"")</f>
        <v/>
      </c>
      <c r="Q715" s="225" t="str">
        <f>IFERROR(INDEX('Ashed teabags wet'!$K$2:$K$821,MATCH(J715,'Ashed teabags wet'!$A$2:$A$821,0)),"")</f>
        <v/>
      </c>
      <c r="R715" s="225" t="str">
        <f t="shared" ref="R715:R778" si="63">IFERROR(P715-(Q715/100)*P715,"")</f>
        <v/>
      </c>
      <c r="S715" s="226">
        <f>'WetLitterbags placem_collection'!E56</f>
        <v>42766</v>
      </c>
      <c r="T715" s="226">
        <f>IF('WetLitterbags placem_collection'!G56="","",'WetLitterbags placem_collection'!G56)</f>
        <v>42820</v>
      </c>
      <c r="U715" s="227">
        <f t="shared" si="59"/>
        <v>54</v>
      </c>
      <c r="V715" s="225" t="str">
        <f t="shared" si="61"/>
        <v/>
      </c>
      <c r="W715" s="225" t="str">
        <f t="shared" si="62"/>
        <v/>
      </c>
      <c r="X715">
        <f>IFERROR(INDEX(Rainfall_Wet!$O$2:$O$217,MATCH(B715, Rainfall_Wet!$A$2:$A$217,0)),"")</f>
        <v>214.262898705</v>
      </c>
      <c r="Y715" s="231">
        <v>21.96</v>
      </c>
      <c r="Z715" s="231">
        <v>8.9199999999999982</v>
      </c>
      <c r="AA715" s="231">
        <v>69.12</v>
      </c>
      <c r="AB715" s="232" t="s">
        <v>2670</v>
      </c>
      <c r="AC715" s="231">
        <v>1.7491375061606702</v>
      </c>
      <c r="AD715" t="str">
        <f>IF('WetLitterbags placem_collection'!AB56="","",'WetLitterbags placem_collection'!AB56)</f>
        <v/>
      </c>
      <c r="AE715" t="str">
        <f>IF('WetLitterbags placem_collection'!Z56="","",'WetLitterbags placem_collection'!Z56)</f>
        <v/>
      </c>
      <c r="AF715" s="24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placem_collection'!Y56)),"YES","NO")</f>
        <v>NO</v>
      </c>
      <c r="AM715" t="str">
        <f>IF(ISNUMBER(SEARCH("H", 'WetLitterbags placem_collection'!Y56)),"YES","NO")</f>
        <v>NO</v>
      </c>
      <c r="AN715" t="str">
        <f>IF(ISNUMBER(SEARCH("R", 'WetLitterbags placem_collection'!Y56)),"YES","NO")</f>
        <v>NO</v>
      </c>
    </row>
    <row r="716" spans="1:40" ht="15" customHeight="1">
      <c r="A716" s="258" t="s">
        <v>2460</v>
      </c>
      <c r="B716" s="263">
        <f>'Dry_Litterbag Placem_Collection'!A57</f>
        <v>55</v>
      </c>
      <c r="C716" s="263" t="str">
        <f>'Dry_Litterbag Placem_Collection'!B57</f>
        <v>Makao</v>
      </c>
      <c r="D716" s="263" t="s">
        <v>2659</v>
      </c>
      <c r="E716" s="263" t="s">
        <v>20</v>
      </c>
      <c r="F716" s="263">
        <v>3</v>
      </c>
      <c r="G716" s="264" t="str">
        <f>'Dry_Litterbag Placem_Collection'!C57</f>
        <v>Dry_P3_T7</v>
      </c>
      <c r="H716" s="273" t="s">
        <v>3651</v>
      </c>
      <c r="I716" s="274" t="s">
        <v>298</v>
      </c>
      <c r="J716" s="223" t="str">
        <f>'WetLitterbags placem_collection'!Q57</f>
        <v>R54b</v>
      </c>
      <c r="K716" s="225" t="str">
        <f>IFERROR(INDEX('Green_rooibos initial weight'!$C$5:$C$1749,MATCH(J716, 'Green_rooibos initial weight'!$A$5:$A$1749,0)),"")</f>
        <v/>
      </c>
      <c r="L716" s="225" t="str">
        <f>IFERROR(K716-(TBIcalc!$H$9+TBIcalc!$H$10),"")</f>
        <v/>
      </c>
      <c r="M716" s="391">
        <f>AVERAGE(Ashed_controlls!$K$12:$K$14)</f>
        <v>2.2816647271287041</v>
      </c>
      <c r="N716" s="225" t="str">
        <f t="shared" si="60"/>
        <v/>
      </c>
      <c r="O716" s="225">
        <f>IF(IFERROR(INDEX('Both teabags AfterWet'!$C$3:$C$841,MATCH(J716,'Both teabags AfterWet'!$A$3:$A$841,0)),"")="","",(IFERROR(INDEX('Both teabags AfterWet'!$C$3:$C$841,MATCH(J716,'Both teabags AfterWet'!$A$3:$A$841,0)),"")))</f>
        <v>1.5207999999999999</v>
      </c>
      <c r="P716" s="225">
        <f>IFERROR(IF(O716&gt;0,O716-(TBIcalc!$H$9),""),"")</f>
        <v>1.3701999999999999</v>
      </c>
      <c r="Q716" s="225">
        <f>IFERROR(INDEX('Ashed teabags wet'!$K$2:$K$821,MATCH(J716,'Ashed teabags wet'!$A$2:$A$821,0)),"")</f>
        <v>10.692124105011484</v>
      </c>
      <c r="R716" s="225">
        <f t="shared" si="63"/>
        <v>1.2236965155131325</v>
      </c>
      <c r="S716" s="226">
        <f>'WetLitterbags placem_collection'!E57</f>
        <v>42766</v>
      </c>
      <c r="T716" s="226">
        <f>IF('WetLitterbags placem_collection'!G57="","",'WetLitterbags placem_collection'!G57)</f>
        <v>42820</v>
      </c>
      <c r="U716" s="227">
        <f t="shared" si="59"/>
        <v>54</v>
      </c>
      <c r="V716" s="225" t="str">
        <f t="shared" si="61"/>
        <v/>
      </c>
      <c r="W716" s="225" t="str">
        <f t="shared" si="62"/>
        <v/>
      </c>
      <c r="X716">
        <f>IFERROR(INDEX(Rainfall_Wet!$O$2:$O$217,MATCH(B716, Rainfall_Wet!$A$2:$A$217,0)),"")</f>
        <v>214.262898705</v>
      </c>
      <c r="Y716" s="231">
        <v>21.96</v>
      </c>
      <c r="Z716" s="231">
        <v>8.9199999999999982</v>
      </c>
      <c r="AA716" s="231">
        <v>69.12</v>
      </c>
      <c r="AB716" s="232" t="s">
        <v>2670</v>
      </c>
      <c r="AC716" s="231">
        <v>1.7491375061606702</v>
      </c>
      <c r="AD716">
        <f>IF('WetLitterbags placem_collection'!AB57="","",'WetLitterbags placem_collection'!AB57)</f>
        <v>15.8</v>
      </c>
      <c r="AE716">
        <f>IF('WetLitterbags placem_collection'!Z57="","",'WetLitterbags placem_collection'!Z57)</f>
        <v>45</v>
      </c>
      <c r="AF716" s="24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placem_collection'!Y57)),"YES","NO")</f>
        <v>NO</v>
      </c>
      <c r="AM716" t="str">
        <f>IF(ISNUMBER(SEARCH("H", 'WetLitterbags placem_collection'!Y57)),"YES","NO")</f>
        <v>NO</v>
      </c>
      <c r="AN716" t="str">
        <f>IF(ISNUMBER(SEARCH("R", 'WetLitterbags placem_collection'!Y57)),"YES","NO")</f>
        <v>NO</v>
      </c>
    </row>
    <row r="717" spans="1:40" ht="15" customHeight="1">
      <c r="A717" s="258" t="s">
        <v>2460</v>
      </c>
      <c r="B717" s="263">
        <f>'Dry_Litterbag Placem_Collection'!A58</f>
        <v>56</v>
      </c>
      <c r="C717" s="263" t="str">
        <f>'Dry_Litterbag Placem_Collection'!B58</f>
        <v>Makao</v>
      </c>
      <c r="D717" s="263" t="s">
        <v>2659</v>
      </c>
      <c r="E717" s="263" t="s">
        <v>20</v>
      </c>
      <c r="F717" s="263">
        <v>3</v>
      </c>
      <c r="G717" s="264" t="str">
        <f>'Dry_Litterbag Placem_Collection'!C58</f>
        <v>Dry_P3_T8</v>
      </c>
      <c r="H717" s="273" t="s">
        <v>3651</v>
      </c>
      <c r="I717" s="274" t="s">
        <v>298</v>
      </c>
      <c r="J717" s="223" t="str">
        <f>'WetLitterbags placem_collection'!Q58</f>
        <v>R58</v>
      </c>
      <c r="K717" s="225">
        <f>IFERROR(INDEX('Green_rooibos initial weight'!$C$5:$C$1749,MATCH(J717, 'Green_rooibos initial weight'!$A$5:$A$1749,0)),"")</f>
        <v>2.1760000000000002</v>
      </c>
      <c r="L717" s="225">
        <f>IFERROR(K717-(TBIcalc!$H$9+TBIcalc!$H$10),"")</f>
        <v>1.9262000000000001</v>
      </c>
      <c r="M717" s="391">
        <f>AVERAGE(Ashed_controlls!$K$12:$K$14)</f>
        <v>2.2816647271287041</v>
      </c>
      <c r="N717" s="225">
        <f t="shared" si="60"/>
        <v>1.8822505740260471</v>
      </c>
      <c r="O717" s="225">
        <f>IF(IFERROR(INDEX('Both teabags AfterWet'!$C$3:$C$841,MATCH(J717,'Both teabags AfterWet'!$A$3:$A$841,0)),"")="","",(IFERROR(INDEX('Both teabags AfterWet'!$C$3:$C$841,MATCH(J717,'Both teabags AfterWet'!$A$3:$A$841,0)),"")))</f>
        <v>1.5980000000000001</v>
      </c>
      <c r="P717" s="225">
        <f>IFERROR(IF(O717&gt;0,O717-(TBIcalc!$H$9),""),"")</f>
        <v>1.4474</v>
      </c>
      <c r="Q717" s="225">
        <f>IFERROR(INDEX('Ashed teabags wet'!$K$2:$K$821,MATCH(J717,'Ashed teabags wet'!$A$2:$A$821,0)),"")</f>
        <v>3.1372549019609965</v>
      </c>
      <c r="R717" s="225">
        <f t="shared" si="63"/>
        <v>1.4019913725490165</v>
      </c>
      <c r="S717" s="226">
        <f>'WetLitterbags placem_collection'!E58</f>
        <v>42766</v>
      </c>
      <c r="T717" s="226">
        <f>IF('WetLitterbags placem_collection'!G58="","",'WetLitterbags placem_collection'!G58)</f>
        <v>42820</v>
      </c>
      <c r="U717" s="227">
        <f t="shared" si="59"/>
        <v>54</v>
      </c>
      <c r="V717" s="225">
        <f t="shared" si="61"/>
        <v>0.47880000000000011</v>
      </c>
      <c r="W717" s="225">
        <f t="shared" si="62"/>
        <v>0.48025920147703061</v>
      </c>
      <c r="X717">
        <f>IFERROR(INDEX(Rainfall_Wet!$O$2:$O$217,MATCH(B717, Rainfall_Wet!$A$2:$A$217,0)),"")</f>
        <v>214.262898705</v>
      </c>
      <c r="Y717" s="231">
        <v>21.96</v>
      </c>
      <c r="Z717" s="231">
        <v>8.9199999999999982</v>
      </c>
      <c r="AA717" s="231">
        <v>69.12</v>
      </c>
      <c r="AB717" s="232" t="s">
        <v>2670</v>
      </c>
      <c r="AC717" s="231">
        <v>1.7491375061606702</v>
      </c>
      <c r="AD717">
        <f>IF('WetLitterbags placem_collection'!AB58="","",'WetLitterbags placem_collection'!AB58)</f>
        <v>15.4</v>
      </c>
      <c r="AE717">
        <f>IF('WetLitterbags placem_collection'!Z58="","",'WetLitterbags placem_collection'!Z58)</f>
        <v>30.8</v>
      </c>
      <c r="AF717" s="24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placem_collection'!Y58)),"YES","NO")</f>
        <v>NO</v>
      </c>
      <c r="AM717" t="str">
        <f>IF(ISNUMBER(SEARCH("H", 'WetLitterbags placem_collection'!Y58)),"YES","NO")</f>
        <v>NO</v>
      </c>
      <c r="AN717" t="str">
        <f>IF(ISNUMBER(SEARCH("R", 'WetLitterbags placem_collection'!Y58)),"YES","NO")</f>
        <v>NO</v>
      </c>
    </row>
    <row r="718" spans="1:40" ht="15" customHeight="1">
      <c r="A718" s="258" t="s">
        <v>2460</v>
      </c>
      <c r="B718" s="263">
        <f>'Dry_Litterbag Placem_Collection'!A59</f>
        <v>57</v>
      </c>
      <c r="C718" s="263" t="str">
        <f>'Dry_Litterbag Placem_Collection'!B59</f>
        <v>Makao</v>
      </c>
      <c r="D718" s="263" t="s">
        <v>2659</v>
      </c>
      <c r="E718" s="263" t="s">
        <v>20</v>
      </c>
      <c r="F718" s="263">
        <v>4</v>
      </c>
      <c r="G718" s="264" t="str">
        <f>'Dry_Litterbag Placem_Collection'!C59</f>
        <v>Dry_P4_T1</v>
      </c>
      <c r="H718" s="273" t="s">
        <v>3651</v>
      </c>
      <c r="I718" s="274" t="s">
        <v>298</v>
      </c>
      <c r="J718" s="223" t="str">
        <f>'WetLitterbags placem_collection'!Q59</f>
        <v>R435</v>
      </c>
      <c r="K718" s="225">
        <f>IFERROR(INDEX('Green_rooibos initial weight'!$C$5:$C$1749,MATCH(J718, 'Green_rooibos initial weight'!$A$5:$A$1749,0)),"")</f>
        <v>2.141</v>
      </c>
      <c r="L718" s="225">
        <f>IFERROR(K718-(TBIcalc!$H$9+TBIcalc!$H$10),"")</f>
        <v>1.8912</v>
      </c>
      <c r="M718" s="391">
        <f>AVERAGE(Ashed_controlls!$K$12:$K$14)</f>
        <v>2.2816647271287041</v>
      </c>
      <c r="N718" s="225">
        <f t="shared" si="60"/>
        <v>1.8480491566805419</v>
      </c>
      <c r="O718" s="225">
        <f>IF(IFERROR(INDEX('Both teabags AfterWet'!$C$3:$C$841,MATCH(J718,'Both teabags AfterWet'!$A$3:$A$841,0)),"")="","",(IFERROR(INDEX('Both teabags AfterWet'!$C$3:$C$841,MATCH(J718,'Both teabags AfterWet'!$A$3:$A$841,0)),"")))</f>
        <v>1.4594</v>
      </c>
      <c r="P718" s="225">
        <f>IFERROR(IF(O718&gt;0,O718-(TBIcalc!$H$9),""),"")</f>
        <v>1.3088</v>
      </c>
      <c r="Q718" s="225">
        <f>IFERROR(INDEX('Ashed teabags wet'!$K$2:$K$821,MATCH(J718,'Ashed teabags wet'!$A$2:$A$821,0)),"")</f>
        <v>7.3673870333987725</v>
      </c>
      <c r="R718" s="225">
        <f t="shared" si="63"/>
        <v>1.2123756385068769</v>
      </c>
      <c r="S718" s="226">
        <f>'WetLitterbags placem_collection'!E59</f>
        <v>42766</v>
      </c>
      <c r="T718" s="226">
        <f>IF('WetLitterbags placem_collection'!G59="","",'WetLitterbags placem_collection'!G59)</f>
        <v>42820</v>
      </c>
      <c r="U718" s="227">
        <f t="shared" si="59"/>
        <v>54</v>
      </c>
      <c r="V718" s="225">
        <f t="shared" si="61"/>
        <v>0.58240000000000003</v>
      </c>
      <c r="W718" s="225">
        <f t="shared" si="62"/>
        <v>0.63567351817366502</v>
      </c>
      <c r="X718">
        <f>IFERROR(INDEX(Rainfall_Wet!$O$2:$O$217,MATCH(B718, Rainfall_Wet!$A$2:$A$217,0)),"")</f>
        <v>214.262898705</v>
      </c>
      <c r="Y718" s="231">
        <v>25.96</v>
      </c>
      <c r="Z718" s="231">
        <v>6.9200000000000008</v>
      </c>
      <c r="AA718" s="231">
        <v>67.12</v>
      </c>
      <c r="AB718" s="232" t="s">
        <v>2670</v>
      </c>
      <c r="AC718" s="231">
        <v>1.7568260226712666</v>
      </c>
      <c r="AD718">
        <f>IF('WetLitterbags placem_collection'!AB59="","",'WetLitterbags placem_collection'!AB59)</f>
        <v>3.3</v>
      </c>
      <c r="AE718">
        <f>IF('WetLitterbags placem_collection'!Z59="","",'WetLitterbags placem_collection'!Z59)</f>
        <v>28.4</v>
      </c>
      <c r="AF718" s="24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placem_collection'!Y59)),"YES","NO")</f>
        <v>NO</v>
      </c>
      <c r="AM718" t="str">
        <f>IF(ISNUMBER(SEARCH("H", 'WetLitterbags placem_collection'!Y59)),"YES","NO")</f>
        <v>NO</v>
      </c>
      <c r="AN718" t="str">
        <f>IF(ISNUMBER(SEARCH("R", 'WetLitterbags placem_collection'!Y59)),"YES","NO")</f>
        <v>YES</v>
      </c>
    </row>
    <row r="719" spans="1:40" ht="15" customHeight="1">
      <c r="A719" s="258" t="s">
        <v>2460</v>
      </c>
      <c r="B719" s="263">
        <f>'Dry_Litterbag Placem_Collection'!A60</f>
        <v>58</v>
      </c>
      <c r="C719" s="263" t="str">
        <f>'Dry_Litterbag Placem_Collection'!B60</f>
        <v>Makao</v>
      </c>
      <c r="D719" s="263" t="s">
        <v>2659</v>
      </c>
      <c r="E719" s="263" t="s">
        <v>20</v>
      </c>
      <c r="F719" s="263">
        <v>4</v>
      </c>
      <c r="G719" s="264" t="str">
        <f>'Dry_Litterbag Placem_Collection'!C60</f>
        <v>Dry_P4_T2</v>
      </c>
      <c r="H719" s="273" t="s">
        <v>3651</v>
      </c>
      <c r="I719" s="274" t="s">
        <v>298</v>
      </c>
      <c r="J719" s="223" t="str">
        <f>'WetLitterbags placem_collection'!Q60</f>
        <v>R31</v>
      </c>
      <c r="K719" s="225">
        <f>IFERROR(INDEX('Green_rooibos initial weight'!$C$5:$C$1749,MATCH(J719, 'Green_rooibos initial weight'!$A$5:$A$1749,0)),"")</f>
        <v>2.1589999999999998</v>
      </c>
      <c r="L719" s="225">
        <f>IFERROR(K719-(TBIcalc!$H$9+TBIcalc!$H$10),"")</f>
        <v>1.9091999999999998</v>
      </c>
      <c r="M719" s="391">
        <f>AVERAGE(Ashed_controlls!$K$12:$K$14)</f>
        <v>2.2816647271287041</v>
      </c>
      <c r="N719" s="225">
        <f t="shared" si="60"/>
        <v>1.8656384570296585</v>
      </c>
      <c r="O719" s="225">
        <f>IF(IFERROR(INDEX('Both teabags AfterWet'!$C$3:$C$841,MATCH(J719,'Both teabags AfterWet'!$A$3:$A$841,0)),"")="","",(IFERROR(INDEX('Both teabags AfterWet'!$C$3:$C$841,MATCH(J719,'Both teabags AfterWet'!$A$3:$A$841,0)),"")))</f>
        <v>1.1857</v>
      </c>
      <c r="P719" s="225">
        <f>IFERROR(IF(O719&gt;0,O719-(TBIcalc!$H$9),""),"")</f>
        <v>1.0350999999999999</v>
      </c>
      <c r="Q719" s="225" t="str">
        <f>IFERROR(INDEX('Ashed teabags wet'!$K$2:$K$821,MATCH(J719,'Ashed teabags wet'!$A$2:$A$821,0)),"")</f>
        <v/>
      </c>
      <c r="R719" s="225" t="str">
        <f t="shared" si="63"/>
        <v/>
      </c>
      <c r="S719" s="226">
        <f>'WetLitterbags placem_collection'!E60</f>
        <v>42766</v>
      </c>
      <c r="T719" s="226">
        <f>IF('WetLitterbags placem_collection'!G60="","",'WetLitterbags placem_collection'!G60)</f>
        <v>42820</v>
      </c>
      <c r="U719" s="227">
        <f t="shared" si="59"/>
        <v>54</v>
      </c>
      <c r="V719" s="225">
        <f t="shared" si="61"/>
        <v>0.87409999999999988</v>
      </c>
      <c r="W719" s="225" t="str">
        <f t="shared" si="62"/>
        <v/>
      </c>
      <c r="X719">
        <f>IFERROR(INDEX(Rainfall_Wet!$O$2:$O$217,MATCH(B719, Rainfall_Wet!$A$2:$A$217,0)),"")</f>
        <v>214.262898705</v>
      </c>
      <c r="Y719" s="231">
        <v>25.96</v>
      </c>
      <c r="Z719" s="231">
        <v>6.9200000000000008</v>
      </c>
      <c r="AA719" s="231">
        <v>67.12</v>
      </c>
      <c r="AB719" s="232" t="s">
        <v>2670</v>
      </c>
      <c r="AC719" s="231">
        <v>1.7568260226712666</v>
      </c>
      <c r="AD719">
        <f>IF('WetLitterbags placem_collection'!AB60="","",'WetLitterbags placem_collection'!AB60)</f>
        <v>1.4</v>
      </c>
      <c r="AE719">
        <f>IF('WetLitterbags placem_collection'!Z60="","",'WetLitterbags placem_collection'!Z60)</f>
        <v>54.4</v>
      </c>
      <c r="AF719" s="24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placem_collection'!Y60)),"YES","NO")</f>
        <v>NO</v>
      </c>
      <c r="AM719" t="str">
        <f>IF(ISNUMBER(SEARCH("H", 'WetLitterbags placem_collection'!Y60)),"YES","NO")</f>
        <v>NO</v>
      </c>
      <c r="AN719" t="str">
        <f>IF(ISNUMBER(SEARCH("R", 'WetLitterbags placem_collection'!Y60)),"YES","NO")</f>
        <v>NO</v>
      </c>
    </row>
    <row r="720" spans="1:40" ht="15" customHeight="1">
      <c r="A720" s="258" t="s">
        <v>2460</v>
      </c>
      <c r="B720" s="263">
        <f>'Dry_Litterbag Placem_Collection'!A61</f>
        <v>59</v>
      </c>
      <c r="C720" s="263" t="str">
        <f>'Dry_Litterbag Placem_Collection'!B61</f>
        <v>Makao</v>
      </c>
      <c r="D720" s="263" t="s">
        <v>2659</v>
      </c>
      <c r="E720" s="263" t="s">
        <v>20</v>
      </c>
      <c r="F720" s="263">
        <v>4</v>
      </c>
      <c r="G720" s="264" t="str">
        <f>'Dry_Litterbag Placem_Collection'!C61</f>
        <v>Dry_P4_T3</v>
      </c>
      <c r="H720" s="273" t="s">
        <v>3651</v>
      </c>
      <c r="I720" s="274" t="s">
        <v>298</v>
      </c>
      <c r="J720" s="223" t="str">
        <f>'WetLitterbags placem_collection'!Q61</f>
        <v>R120</v>
      </c>
      <c r="K720" s="225">
        <f>IFERROR(INDEX('Green_rooibos initial weight'!$C$5:$C$1749,MATCH(J720, 'Green_rooibos initial weight'!$A$5:$A$1749,0)),"")</f>
        <v>2.2450000000000001</v>
      </c>
      <c r="L720" s="225">
        <f>IFERROR(K720-(TBIcalc!$H$9+TBIcalc!$H$10),"")</f>
        <v>1.9952000000000001</v>
      </c>
      <c r="M720" s="391">
        <f>AVERAGE(Ashed_controlls!$K$12:$K$14)</f>
        <v>2.2816647271287041</v>
      </c>
      <c r="N720" s="225">
        <f t="shared" si="60"/>
        <v>1.9496762253643283</v>
      </c>
      <c r="O720" s="225">
        <f>IF(IFERROR(INDEX('Both teabags AfterWet'!$C$3:$C$841,MATCH(J720,'Both teabags AfterWet'!$A$3:$A$841,0)),"")="","",(IFERROR(INDEX('Both teabags AfterWet'!$C$3:$C$841,MATCH(J720,'Both teabags AfterWet'!$A$3:$A$841,0)),"")))</f>
        <v>1.4690000000000001</v>
      </c>
      <c r="P720" s="225">
        <f>IFERROR(IF(O720&gt;0,O720-(TBIcalc!$H$9),""),"")</f>
        <v>1.3184</v>
      </c>
      <c r="Q720" s="225">
        <f>IFERROR(INDEX('Ashed teabags wet'!$K$2:$K$821,MATCH(J720,'Ashed teabags wet'!$A$2:$A$821,0)),"")</f>
        <v>3.836571998007162</v>
      </c>
      <c r="R720" s="225">
        <f t="shared" si="63"/>
        <v>1.2678186347782736</v>
      </c>
      <c r="S720" s="226">
        <f>'WetLitterbags placem_collection'!E61</f>
        <v>42766</v>
      </c>
      <c r="T720" s="226">
        <f>IF('WetLitterbags placem_collection'!G61="","",'WetLitterbags placem_collection'!G61)</f>
        <v>42820</v>
      </c>
      <c r="U720" s="227">
        <f t="shared" si="59"/>
        <v>54</v>
      </c>
      <c r="V720" s="225">
        <f t="shared" si="61"/>
        <v>0.67680000000000007</v>
      </c>
      <c r="W720" s="225">
        <f t="shared" si="62"/>
        <v>0.68185759058605466</v>
      </c>
      <c r="X720">
        <f>IFERROR(INDEX(Rainfall_Wet!$O$2:$O$217,MATCH(B720, Rainfall_Wet!$A$2:$A$217,0)),"")</f>
        <v>214.262898705</v>
      </c>
      <c r="Y720" s="231">
        <v>25.96</v>
      </c>
      <c r="Z720" s="231">
        <v>6.9200000000000008</v>
      </c>
      <c r="AA720" s="231">
        <v>67.12</v>
      </c>
      <c r="AB720" s="232" t="s">
        <v>2670</v>
      </c>
      <c r="AC720" s="231">
        <v>1.7568260226712666</v>
      </c>
      <c r="AD720">
        <f>IF('WetLitterbags placem_collection'!AB61="","",'WetLitterbags placem_collection'!AB61)</f>
        <v>3.3</v>
      </c>
      <c r="AE720">
        <f>IF('WetLitterbags placem_collection'!Z61="","",'WetLitterbags placem_collection'!Z61)</f>
        <v>46</v>
      </c>
      <c r="AF720" s="24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placem_collection'!Y61)),"YES","NO")</f>
        <v>NO</v>
      </c>
      <c r="AM720" t="str">
        <f>IF(ISNUMBER(SEARCH("H", 'WetLitterbags placem_collection'!Y61)),"YES","NO")</f>
        <v>NO</v>
      </c>
      <c r="AN720" t="str">
        <f>IF(ISNUMBER(SEARCH("R", 'WetLitterbags placem_collection'!Y61)),"YES","NO")</f>
        <v>NO</v>
      </c>
    </row>
    <row r="721" spans="1:40" ht="15" customHeight="1">
      <c r="A721" s="258" t="s">
        <v>2460</v>
      </c>
      <c r="B721" s="263">
        <f>'Dry_Litterbag Placem_Collection'!A62</f>
        <v>60</v>
      </c>
      <c r="C721" s="263" t="str">
        <f>'Dry_Litterbag Placem_Collection'!B62</f>
        <v>Makao</v>
      </c>
      <c r="D721" s="263" t="s">
        <v>2659</v>
      </c>
      <c r="E721" s="263" t="s">
        <v>20</v>
      </c>
      <c r="F721" s="263">
        <v>4</v>
      </c>
      <c r="G721" s="264" t="str">
        <f>'Dry_Litterbag Placem_Collection'!C62</f>
        <v>Dry_P4_T4</v>
      </c>
      <c r="H721" s="273" t="s">
        <v>3651</v>
      </c>
      <c r="I721" s="274" t="s">
        <v>298</v>
      </c>
      <c r="J721" s="223" t="str">
        <f>'WetLitterbags placem_collection'!Q62</f>
        <v>R390</v>
      </c>
      <c r="K721" s="225">
        <f>IFERROR(INDEX('Green_rooibos initial weight'!$C$5:$C$1749,MATCH(J721, 'Green_rooibos initial weight'!$A$5:$A$1749,0)),"")</f>
        <v>2.2480000000000002</v>
      </c>
      <c r="L721" s="225">
        <f>IFERROR(K721-(TBIcalc!$H$9+TBIcalc!$H$10),"")</f>
        <v>1.9982000000000002</v>
      </c>
      <c r="M721" s="391">
        <f>AVERAGE(Ashed_controlls!$K$12:$K$14)</f>
        <v>2.2816647271287041</v>
      </c>
      <c r="N721" s="225">
        <f t="shared" si="60"/>
        <v>1.9526077754225144</v>
      </c>
      <c r="O721" s="225">
        <f>IF(IFERROR(INDEX('Both teabags AfterWet'!$C$3:$C$841,MATCH(J721,'Both teabags AfterWet'!$A$3:$A$841,0)),"")="","",(IFERROR(INDEX('Both teabags AfterWet'!$C$3:$C$841,MATCH(J721,'Both teabags AfterWet'!$A$3:$A$841,0)),"")))</f>
        <v>1.5309999999999999</v>
      </c>
      <c r="P721" s="225">
        <f>IFERROR(IF(O721&gt;0,O721-(TBIcalc!$H$9),""),"")</f>
        <v>1.3803999999999998</v>
      </c>
      <c r="Q721" s="225">
        <f>IFERROR(INDEX('Ashed teabags wet'!$K$2:$K$821,MATCH(J721,'Ashed teabags wet'!$A$2:$A$821,0)),"")</f>
        <v>9.7068716962994532</v>
      </c>
      <c r="R721" s="225">
        <f t="shared" si="63"/>
        <v>1.2464063431042822</v>
      </c>
      <c r="S721" s="226">
        <f>'WetLitterbags placem_collection'!E62</f>
        <v>42766</v>
      </c>
      <c r="T721" s="226">
        <f>IF('WetLitterbags placem_collection'!G62="","",'WetLitterbags placem_collection'!G62)</f>
        <v>42820</v>
      </c>
      <c r="U721" s="227">
        <f t="shared" si="59"/>
        <v>54</v>
      </c>
      <c r="V721" s="225">
        <f t="shared" si="61"/>
        <v>0.61780000000000035</v>
      </c>
      <c r="W721" s="225">
        <f t="shared" si="62"/>
        <v>0.70620143231823218</v>
      </c>
      <c r="X721">
        <f>IFERROR(INDEX(Rainfall_Wet!$O$2:$O$217,MATCH(B721, Rainfall_Wet!$A$2:$A$217,0)),"")</f>
        <v>214.262898705</v>
      </c>
      <c r="Y721" s="231">
        <v>25.96</v>
      </c>
      <c r="Z721" s="231">
        <v>6.9200000000000008</v>
      </c>
      <c r="AA721" s="231">
        <v>67.12</v>
      </c>
      <c r="AB721" s="232" t="s">
        <v>2670</v>
      </c>
      <c r="AC721" s="231">
        <v>1.7568260226712666</v>
      </c>
      <c r="AD721">
        <f>IF('WetLitterbags placem_collection'!AB62="","",'WetLitterbags placem_collection'!AB62)</f>
        <v>2.4</v>
      </c>
      <c r="AE721">
        <f>IF('WetLitterbags placem_collection'!Z62="","",'WetLitterbags placem_collection'!Z62)</f>
        <v>10.199999999999999</v>
      </c>
      <c r="AF721" s="24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placem_collection'!Y62)),"YES","NO")</f>
        <v>NO</v>
      </c>
      <c r="AM721" t="str">
        <f>IF(ISNUMBER(SEARCH("H", 'WetLitterbags placem_collection'!Y62)),"YES","NO")</f>
        <v>YES</v>
      </c>
      <c r="AN721" t="str">
        <f>IF(ISNUMBER(SEARCH("R", 'WetLitterbags placem_collection'!Y62)),"YES","NO")</f>
        <v>NO</v>
      </c>
    </row>
    <row r="722" spans="1:40" ht="15" customHeight="1">
      <c r="A722" s="258" t="s">
        <v>2460</v>
      </c>
      <c r="B722" s="263">
        <f>'Dry_Litterbag Placem_Collection'!A63</f>
        <v>61</v>
      </c>
      <c r="C722" s="263" t="str">
        <f>'Dry_Litterbag Placem_Collection'!B63</f>
        <v>Makao</v>
      </c>
      <c r="D722" s="263" t="s">
        <v>2659</v>
      </c>
      <c r="E722" s="263" t="s">
        <v>20</v>
      </c>
      <c r="F722" s="263">
        <v>4</v>
      </c>
      <c r="G722" s="264" t="str">
        <f>'Dry_Litterbag Placem_Collection'!C63</f>
        <v>Dry_P4_T5</v>
      </c>
      <c r="H722" s="273" t="s">
        <v>3651</v>
      </c>
      <c r="I722" s="274" t="s">
        <v>298</v>
      </c>
      <c r="J722" s="223" t="str">
        <f>'WetLitterbags placem_collection'!Q63</f>
        <v>R143</v>
      </c>
      <c r="K722" s="225">
        <f>IFERROR(INDEX('Green_rooibos initial weight'!$C$5:$C$1749,MATCH(J722, 'Green_rooibos initial weight'!$A$5:$A$1749,0)),"")</f>
        <v>2.1560000000000001</v>
      </c>
      <c r="L722" s="225">
        <f>IFERROR(K722-(TBIcalc!$H$9+TBIcalc!$H$10),"")</f>
        <v>1.9062000000000001</v>
      </c>
      <c r="M722" s="391">
        <f>AVERAGE(Ashed_controlls!$K$12:$K$14)</f>
        <v>2.2816647271287041</v>
      </c>
      <c r="N722" s="225">
        <f t="shared" si="60"/>
        <v>1.8627069069714728</v>
      </c>
      <c r="O722" s="225">
        <f>IF(IFERROR(INDEX('Both teabags AfterWet'!$C$3:$C$841,MATCH(J722,'Both teabags AfterWet'!$A$3:$A$841,0)),"")="","",(IFERROR(INDEX('Both teabags AfterWet'!$C$3:$C$841,MATCH(J722,'Both teabags AfterWet'!$A$3:$A$841,0)),"")))</f>
        <v>1.581</v>
      </c>
      <c r="P722" s="225">
        <f>IFERROR(IF(O722&gt;0,O722-(TBIcalc!$H$9),""),"")</f>
        <v>1.4303999999999999</v>
      </c>
      <c r="Q722" s="225">
        <f>IFERROR(INDEX('Ashed teabags wet'!$K$2:$K$821,MATCH(J722,'Ashed teabags wet'!$A$2:$A$821,0)),"")</f>
        <v>5.6762092793688481</v>
      </c>
      <c r="R722" s="225">
        <f t="shared" si="63"/>
        <v>1.349207502467908</v>
      </c>
      <c r="S722" s="226">
        <f>'WetLitterbags placem_collection'!E63</f>
        <v>42766</v>
      </c>
      <c r="T722" s="226">
        <f>IF('WetLitterbags placem_collection'!G63="","",'WetLitterbags placem_collection'!G63)</f>
        <v>42820</v>
      </c>
      <c r="U722" s="227">
        <f t="shared" si="59"/>
        <v>54</v>
      </c>
      <c r="V722" s="225">
        <f t="shared" si="61"/>
        <v>0.47580000000000022</v>
      </c>
      <c r="W722" s="225">
        <f t="shared" si="62"/>
        <v>0.51349940450356479</v>
      </c>
      <c r="X722">
        <f>IFERROR(INDEX(Rainfall_Wet!$O$2:$O$217,MATCH(B722, Rainfall_Wet!$A$2:$A$217,0)),"")</f>
        <v>214.262898705</v>
      </c>
      <c r="Y722" s="231">
        <v>25.96</v>
      </c>
      <c r="Z722" s="231">
        <v>6.9200000000000008</v>
      </c>
      <c r="AA722" s="231">
        <v>67.12</v>
      </c>
      <c r="AB722" s="232" t="s">
        <v>2670</v>
      </c>
      <c r="AC722" s="231">
        <v>1.7568260226712666</v>
      </c>
      <c r="AD722">
        <f>IF('WetLitterbags placem_collection'!AB63="","",'WetLitterbags placem_collection'!AB63)</f>
        <v>5.6</v>
      </c>
      <c r="AE722">
        <f>IF('WetLitterbags placem_collection'!Z63="","",'WetLitterbags placem_collection'!Z63)</f>
        <v>34.200000000000003</v>
      </c>
      <c r="AF722" s="24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placem_collection'!Y63)),"YES","NO")</f>
        <v>NO</v>
      </c>
      <c r="AM722" t="str">
        <f>IF(ISNUMBER(SEARCH("H", 'WetLitterbags placem_collection'!Y63)),"YES","NO")</f>
        <v>NO</v>
      </c>
      <c r="AN722" t="str">
        <f>IF(ISNUMBER(SEARCH("R", 'WetLitterbags placem_collection'!Y63)),"YES","NO")</f>
        <v>NO</v>
      </c>
    </row>
    <row r="723" spans="1:40" ht="15" customHeight="1">
      <c r="A723" s="258" t="s">
        <v>2460</v>
      </c>
      <c r="B723" s="263">
        <f>'Dry_Litterbag Placem_Collection'!A64</f>
        <v>62</v>
      </c>
      <c r="C723" s="263" t="str">
        <f>'Dry_Litterbag Placem_Collection'!B64</f>
        <v>Makao</v>
      </c>
      <c r="D723" s="263" t="s">
        <v>2659</v>
      </c>
      <c r="E723" s="263" t="s">
        <v>20</v>
      </c>
      <c r="F723" s="263">
        <v>4</v>
      </c>
      <c r="G723" s="264" t="str">
        <f>'Dry_Litterbag Placem_Collection'!C64</f>
        <v>Dry_P4_T6</v>
      </c>
      <c r="H723" s="273" t="s">
        <v>3651</v>
      </c>
      <c r="I723" s="274" t="s">
        <v>298</v>
      </c>
      <c r="J723" s="223" t="str">
        <f>'WetLitterbags placem_collection'!Q64</f>
        <v>R448</v>
      </c>
      <c r="K723" s="225">
        <f>IFERROR(INDEX('Green_rooibos initial weight'!$C$5:$C$1749,MATCH(J723, 'Green_rooibos initial weight'!$A$5:$A$1749,0)),"")</f>
        <v>2.2029999999999998</v>
      </c>
      <c r="L723" s="225">
        <f>IFERROR(K723-(TBIcalc!$H$9+TBIcalc!$H$10),"")</f>
        <v>1.9531999999999998</v>
      </c>
      <c r="M723" s="391">
        <f>AVERAGE(Ashed_controlls!$K$12:$K$14)</f>
        <v>2.2816647271287041</v>
      </c>
      <c r="N723" s="225">
        <f t="shared" si="60"/>
        <v>1.908634524549722</v>
      </c>
      <c r="O723" s="225">
        <f>IF(IFERROR(INDEX('Both teabags AfterWet'!$C$3:$C$841,MATCH(J723,'Both teabags AfterWet'!$A$3:$A$841,0)),"")="","",(IFERROR(INDEX('Both teabags AfterWet'!$C$3:$C$841,MATCH(J723,'Both teabags AfterWet'!$A$3:$A$841,0)),"")))</f>
        <v>1.5379</v>
      </c>
      <c r="P723" s="225">
        <f>IFERROR(IF(O723&gt;0,O723-(TBIcalc!$H$9),""),"")</f>
        <v>1.3873</v>
      </c>
      <c r="Q723" s="225">
        <f>IFERROR(INDEX('Ashed teabags wet'!$K$2:$K$821,MATCH(J723,'Ashed teabags wet'!$A$2:$A$821,0)),"")</f>
        <v>6.7460317460323242</v>
      </c>
      <c r="R723" s="225">
        <f t="shared" si="63"/>
        <v>1.2937123015872936</v>
      </c>
      <c r="S723" s="226">
        <f>'WetLitterbags placem_collection'!E64</f>
        <v>42766</v>
      </c>
      <c r="T723" s="226">
        <f>IF('WetLitterbags placem_collection'!G64="","",'WetLitterbags placem_collection'!G64)</f>
        <v>42820</v>
      </c>
      <c r="U723" s="227">
        <f t="shared" si="59"/>
        <v>54</v>
      </c>
      <c r="V723" s="225">
        <f t="shared" si="61"/>
        <v>0.56589999999999985</v>
      </c>
      <c r="W723" s="225">
        <f t="shared" si="62"/>
        <v>0.61492222296242849</v>
      </c>
      <c r="X723">
        <f>IFERROR(INDEX(Rainfall_Wet!$O$2:$O$217,MATCH(B723, Rainfall_Wet!$A$2:$A$217,0)),"")</f>
        <v>214.262898705</v>
      </c>
      <c r="Y723" s="231">
        <v>25.96</v>
      </c>
      <c r="Z723" s="231">
        <v>6.9200000000000008</v>
      </c>
      <c r="AA723" s="231">
        <v>67.12</v>
      </c>
      <c r="AB723" s="232" t="s">
        <v>2670</v>
      </c>
      <c r="AC723" s="231">
        <v>1.7568260226712666</v>
      </c>
      <c r="AD723">
        <f>IF('WetLitterbags placem_collection'!AB64="","",'WetLitterbags placem_collection'!AB64)</f>
        <v>4.2</v>
      </c>
      <c r="AE723">
        <f>IF('WetLitterbags placem_collection'!Z64="","",'WetLitterbags placem_collection'!Z64)</f>
        <v>40.4</v>
      </c>
      <c r="AF723" s="24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placem_collection'!Y64)),"YES","NO")</f>
        <v>NO</v>
      </c>
      <c r="AM723" t="str">
        <f>IF(ISNUMBER(SEARCH("H", 'WetLitterbags placem_collection'!Y64)),"YES","NO")</f>
        <v>NO</v>
      </c>
      <c r="AN723" t="str">
        <f>IF(ISNUMBER(SEARCH("R", 'WetLitterbags placem_collection'!Y64)),"YES","NO")</f>
        <v>NO</v>
      </c>
    </row>
    <row r="724" spans="1:40" ht="15" customHeight="1">
      <c r="A724" s="258" t="s">
        <v>2460</v>
      </c>
      <c r="B724" s="263">
        <f>'Dry_Litterbag Placem_Collection'!A65</f>
        <v>63</v>
      </c>
      <c r="C724" s="263" t="str">
        <f>'Dry_Litterbag Placem_Collection'!B65</f>
        <v>Makao</v>
      </c>
      <c r="D724" s="263" t="s">
        <v>2659</v>
      </c>
      <c r="E724" s="263" t="s">
        <v>20</v>
      </c>
      <c r="F724" s="263">
        <v>4</v>
      </c>
      <c r="G724" s="264" t="str">
        <f>'Dry_Litterbag Placem_Collection'!C65</f>
        <v>Dry_P4_T7</v>
      </c>
      <c r="H724" s="273" t="s">
        <v>3651</v>
      </c>
      <c r="I724" s="274" t="s">
        <v>298</v>
      </c>
      <c r="J724" s="223" t="str">
        <f>'WetLitterbags placem_collection'!Q65</f>
        <v>R423</v>
      </c>
      <c r="K724" s="225">
        <f>IFERROR(INDEX('Green_rooibos initial weight'!$C$5:$C$1749,MATCH(J724, 'Green_rooibos initial weight'!$A$5:$A$1749,0)),"")</f>
        <v>2.1760000000000002</v>
      </c>
      <c r="L724" s="225">
        <f>IFERROR(K724-(TBIcalc!$H$9+TBIcalc!$H$10),"")</f>
        <v>1.9262000000000001</v>
      </c>
      <c r="M724" s="391">
        <f>AVERAGE(Ashed_controlls!$K$12:$K$14)</f>
        <v>2.2816647271287041</v>
      </c>
      <c r="N724" s="225">
        <f t="shared" si="60"/>
        <v>1.8822505740260471</v>
      </c>
      <c r="O724" s="225">
        <f>IF(IFERROR(INDEX('Both teabags AfterWet'!$C$3:$C$841,MATCH(J724,'Both teabags AfterWet'!$A$3:$A$841,0)),"")="","",(IFERROR(INDEX('Both teabags AfterWet'!$C$3:$C$841,MATCH(J724,'Both teabags AfterWet'!$A$3:$A$841,0)),"")))</f>
        <v>1.6359999999999999</v>
      </c>
      <c r="P724" s="225">
        <f>IFERROR(IF(O724&gt;0,O724-(TBIcalc!$H$9),""),"")</f>
        <v>1.4853999999999998</v>
      </c>
      <c r="Q724" s="225">
        <f>IFERROR(INDEX('Ashed teabags wet'!$K$2:$K$821,MATCH(J724,'Ashed teabags wet'!$A$2:$A$821,0)),"")</f>
        <v>8.0404429465571852</v>
      </c>
      <c r="R724" s="225">
        <f t="shared" si="63"/>
        <v>1.3659672604718394</v>
      </c>
      <c r="S724" s="226">
        <f>'WetLitterbags placem_collection'!E65</f>
        <v>42766</v>
      </c>
      <c r="T724" s="226">
        <f>IF('WetLitterbags placem_collection'!G65="","",'WetLitterbags placem_collection'!G65)</f>
        <v>42820</v>
      </c>
      <c r="U724" s="227">
        <f t="shared" si="59"/>
        <v>54</v>
      </c>
      <c r="V724" s="225">
        <f t="shared" si="61"/>
        <v>0.4408000000000003</v>
      </c>
      <c r="W724" s="225">
        <f t="shared" si="62"/>
        <v>0.51628331355420776</v>
      </c>
      <c r="X724">
        <f>IFERROR(INDEX(Rainfall_Wet!$O$2:$O$217,MATCH(B724, Rainfall_Wet!$A$2:$A$217,0)),"")</f>
        <v>214.262898705</v>
      </c>
      <c r="Y724" s="231">
        <v>25.96</v>
      </c>
      <c r="Z724" s="231">
        <v>6.9200000000000008</v>
      </c>
      <c r="AA724" s="231">
        <v>67.12</v>
      </c>
      <c r="AB724" s="232" t="s">
        <v>2670</v>
      </c>
      <c r="AC724" s="231">
        <v>1.7568260226712666</v>
      </c>
      <c r="AD724">
        <f>IF('WetLitterbags placem_collection'!AB65="","",'WetLitterbags placem_collection'!AB65)</f>
        <v>4.9000000000000004</v>
      </c>
      <c r="AE724">
        <f>IF('WetLitterbags placem_collection'!Z65="","",'WetLitterbags placem_collection'!Z65)</f>
        <v>45</v>
      </c>
      <c r="AF724" s="24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placem_collection'!Y65)),"YES","NO")</f>
        <v>NO</v>
      </c>
      <c r="AM724" t="str">
        <f>IF(ISNUMBER(SEARCH("H", 'WetLitterbags placem_collection'!Y65)),"YES","NO")</f>
        <v>NO</v>
      </c>
      <c r="AN724" t="str">
        <f>IF(ISNUMBER(SEARCH("R", 'WetLitterbags placem_collection'!Y65)),"YES","NO")</f>
        <v>YES</v>
      </c>
    </row>
    <row r="725" spans="1:40" ht="15" customHeight="1">
      <c r="A725" s="258" t="s">
        <v>2460</v>
      </c>
      <c r="B725" s="263">
        <f>'Dry_Litterbag Placem_Collection'!A66</f>
        <v>64</v>
      </c>
      <c r="C725" s="263" t="str">
        <f>'Dry_Litterbag Placem_Collection'!B66</f>
        <v>Makao</v>
      </c>
      <c r="D725" s="263" t="s">
        <v>2659</v>
      </c>
      <c r="E725" s="263" t="s">
        <v>20</v>
      </c>
      <c r="F725" s="263">
        <v>4</v>
      </c>
      <c r="G725" s="264" t="str">
        <f>'Dry_Litterbag Placem_Collection'!C66</f>
        <v>Dry_P4_T8</v>
      </c>
      <c r="H725" s="273" t="s">
        <v>3651</v>
      </c>
      <c r="I725" s="274" t="s">
        <v>298</v>
      </c>
      <c r="J725" s="223" t="str">
        <f>'WetLitterbags placem_collection'!Q66</f>
        <v>R550</v>
      </c>
      <c r="K725" s="225">
        <f>IFERROR(INDEX('Green_rooibos initial weight'!$C$5:$C$1749,MATCH(J725, 'Green_rooibos initial weight'!$A$5:$A$1749,0)),"")</f>
        <v>2.177</v>
      </c>
      <c r="L725" s="225">
        <f>IFERROR(K725-(TBIcalc!$H$9+TBIcalc!$H$10),"")</f>
        <v>1.9272</v>
      </c>
      <c r="M725" s="391">
        <f>AVERAGE(Ashed_controlls!$K$12:$K$14)</f>
        <v>2.2816647271287041</v>
      </c>
      <c r="N725" s="225">
        <f t="shared" si="60"/>
        <v>1.8832277573787757</v>
      </c>
      <c r="O725" s="225">
        <f>IF(IFERROR(INDEX('Both teabags AfterWet'!$C$3:$C$841,MATCH(J725,'Both teabags AfterWet'!$A$3:$A$841,0)),"")="","",(IFERROR(INDEX('Both teabags AfterWet'!$C$3:$C$841,MATCH(J725,'Both teabags AfterWet'!$A$3:$A$841,0)),"")))</f>
        <v>1.6930000000000001</v>
      </c>
      <c r="P725" s="225">
        <f>IFERROR(IF(O725&gt;0,O725-(TBIcalc!$H$9),""),"")</f>
        <v>1.5424</v>
      </c>
      <c r="Q725" s="225">
        <f>IFERROR(INDEX('Ashed teabags wet'!$K$2:$K$821,MATCH(J725,'Ashed teabags wet'!$A$2:$A$821,0)),"")</f>
        <v>15.844027640671007</v>
      </c>
      <c r="R725" s="225">
        <f t="shared" si="63"/>
        <v>1.2980217176702904</v>
      </c>
      <c r="S725" s="226">
        <f>'WetLitterbags placem_collection'!E66</f>
        <v>42766</v>
      </c>
      <c r="T725" s="226">
        <f>IF('WetLitterbags placem_collection'!G66="","",'WetLitterbags placem_collection'!G66)</f>
        <v>42820</v>
      </c>
      <c r="U725" s="227">
        <f t="shared" si="59"/>
        <v>54</v>
      </c>
      <c r="V725" s="225">
        <f t="shared" si="61"/>
        <v>0.38480000000000003</v>
      </c>
      <c r="W725" s="225">
        <f t="shared" si="62"/>
        <v>0.58520603970848528</v>
      </c>
      <c r="X725">
        <f>IFERROR(INDEX(Rainfall_Wet!$O$2:$O$217,MATCH(B725, Rainfall_Wet!$A$2:$A$217,0)),"")</f>
        <v>214.262898705</v>
      </c>
      <c r="Y725" s="231">
        <v>25.96</v>
      </c>
      <c r="Z725" s="231">
        <v>6.9200000000000008</v>
      </c>
      <c r="AA725" s="231">
        <v>67.12</v>
      </c>
      <c r="AB725" s="232" t="s">
        <v>2670</v>
      </c>
      <c r="AC725" s="231">
        <v>1.7568260226712666</v>
      </c>
      <c r="AD725">
        <f>IF('WetLitterbags placem_collection'!AB66="","",'WetLitterbags placem_collection'!AB66)</f>
        <v>3</v>
      </c>
      <c r="AE725">
        <f>IF('WetLitterbags placem_collection'!Z66="","",'WetLitterbags placem_collection'!Z66)</f>
        <v>22.8</v>
      </c>
      <c r="AF725" s="24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placem_collection'!Y66)),"YES","NO")</f>
        <v>NO</v>
      </c>
      <c r="AM725" t="str">
        <f>IF(ISNUMBER(SEARCH("H", 'WetLitterbags placem_collection'!Y66)),"YES","NO")</f>
        <v>NO</v>
      </c>
      <c r="AN725" t="str">
        <f>IF(ISNUMBER(SEARCH("R", 'WetLitterbags placem_collection'!Y66)),"YES","NO")</f>
        <v>NO</v>
      </c>
    </row>
    <row r="726" spans="1:40" ht="15" customHeight="1">
      <c r="A726" s="258" t="s">
        <v>2460</v>
      </c>
      <c r="B726" s="263">
        <f>'Dry_Litterbag Placem_Collection'!A67</f>
        <v>65</v>
      </c>
      <c r="C726" s="263" t="str">
        <f>'Dry_Litterbag Placem_Collection'!B67</f>
        <v>Maswa</v>
      </c>
      <c r="D726" s="263" t="s">
        <v>2659</v>
      </c>
      <c r="E726" s="263" t="s">
        <v>2661</v>
      </c>
      <c r="F726" s="263">
        <v>1</v>
      </c>
      <c r="G726" s="264" t="str">
        <f>'Dry_Litterbag Placem_Collection'!C67</f>
        <v>Dry_W1_T1</v>
      </c>
      <c r="H726" s="273" t="s">
        <v>3651</v>
      </c>
      <c r="I726" s="274" t="s">
        <v>298</v>
      </c>
      <c r="J726" s="223" t="str">
        <f>'WetLitterbags placem_collection'!Q67</f>
        <v>R333</v>
      </c>
      <c r="K726" s="225">
        <f>IFERROR(INDEX('Green_rooibos initial weight'!$C$5:$C$1749,MATCH(J726, 'Green_rooibos initial weight'!$A$5:$A$1749,0)),"")</f>
        <v>2.27</v>
      </c>
      <c r="L726" s="225">
        <f>IFERROR(K726-(TBIcalc!$H$9+TBIcalc!$H$10),"")</f>
        <v>2.0202</v>
      </c>
      <c r="M726" s="391">
        <f>AVERAGE(Ashed_controlls!$K$12:$K$14)</f>
        <v>2.2816647271287041</v>
      </c>
      <c r="N726" s="225">
        <f t="shared" si="60"/>
        <v>1.9741058091825459</v>
      </c>
      <c r="O726" s="225">
        <f>IF(IFERROR(INDEX('Both teabags AfterWet'!$C$3:$C$841,MATCH(J726,'Both teabags AfterWet'!$A$3:$A$841,0)),"")="","",(IFERROR(INDEX('Both teabags AfterWet'!$C$3:$C$841,MATCH(J726,'Both teabags AfterWet'!$A$3:$A$841,0)),"")))</f>
        <v>1.6319999999999999</v>
      </c>
      <c r="P726" s="225">
        <f>IFERROR(IF(O726&gt;0,O726-(TBIcalc!$H$9),""),"")</f>
        <v>1.4813999999999998</v>
      </c>
      <c r="Q726" s="225">
        <f>IFERROR(INDEX('Ashed teabags wet'!$K$2:$K$821,MATCH(J726,'Ashed teabags wet'!$A$2:$A$821,0)),"")</f>
        <v>3.9440838741890998</v>
      </c>
      <c r="R726" s="225">
        <f t="shared" si="63"/>
        <v>1.4229723414877624</v>
      </c>
      <c r="S726" s="226">
        <f>'WetLitterbags placem_collection'!E67</f>
        <v>42767</v>
      </c>
      <c r="T726" s="226">
        <f>IF('WetLitterbags placem_collection'!G67="","",'WetLitterbags placem_collection'!G67)</f>
        <v>42818</v>
      </c>
      <c r="U726" s="227">
        <f t="shared" si="59"/>
        <v>51</v>
      </c>
      <c r="V726" s="225">
        <f t="shared" si="61"/>
        <v>0.53880000000000017</v>
      </c>
      <c r="W726" s="225">
        <f t="shared" si="62"/>
        <v>0.55113346769478344</v>
      </c>
      <c r="X726">
        <f>IFERROR(INDEX(Rainfall_Wet!$O$2:$O$217,MATCH(B726, Rainfall_Wet!$A$2:$A$217,0)),"")</f>
        <v>185.630065823</v>
      </c>
      <c r="Y726" s="231">
        <v>47.96</v>
      </c>
      <c r="Z726" s="231">
        <v>22.919999999999995</v>
      </c>
      <c r="AA726" s="231">
        <v>29.120000000000012</v>
      </c>
      <c r="AB726" s="232" t="s">
        <v>2673</v>
      </c>
      <c r="AC726" s="231">
        <v>2.8831936914736325</v>
      </c>
      <c r="AD726">
        <f>IF('WetLitterbags placem_collection'!AB67="","",'WetLitterbags placem_collection'!AB67)</f>
        <v>13.8</v>
      </c>
      <c r="AE726">
        <f>IF('WetLitterbags placem_collection'!Z67="","",'WetLitterbags placem_collection'!Z67)</f>
        <v>13.8</v>
      </c>
      <c r="AF726" s="24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placem_collection'!Y67)),"YES","NO")</f>
        <v>NO</v>
      </c>
      <c r="AM726" t="str">
        <f>IF(ISNUMBER(SEARCH("H", 'WetLitterbags placem_collection'!Y67)),"YES","NO")</f>
        <v>NO</v>
      </c>
      <c r="AN726" t="str">
        <f>IF(ISNUMBER(SEARCH("R", 'WetLitterbags placem_collection'!Y67)),"YES","NO")</f>
        <v>YES</v>
      </c>
    </row>
    <row r="727" spans="1:40" ht="15" customHeight="1">
      <c r="A727" s="258" t="s">
        <v>2460</v>
      </c>
      <c r="B727" s="263">
        <f>'Dry_Litterbag Placem_Collection'!A68</f>
        <v>66</v>
      </c>
      <c r="C727" s="263" t="str">
        <f>'Dry_Litterbag Placem_Collection'!B68</f>
        <v>Maswa</v>
      </c>
      <c r="D727" s="263" t="s">
        <v>2659</v>
      </c>
      <c r="E727" s="263" t="s">
        <v>2661</v>
      </c>
      <c r="F727" s="263">
        <v>1</v>
      </c>
      <c r="G727" s="264" t="str">
        <f>'Dry_Litterbag Placem_Collection'!C68</f>
        <v>Dry_W1_T2</v>
      </c>
      <c r="H727" s="273" t="s">
        <v>3651</v>
      </c>
      <c r="I727" s="274" t="s">
        <v>298</v>
      </c>
      <c r="J727" s="223" t="str">
        <f>'WetLitterbags placem_collection'!Q68</f>
        <v>R252</v>
      </c>
      <c r="K727" s="225">
        <f>IFERROR(INDEX('Green_rooibos initial weight'!$C$5:$C$1749,MATCH(J727, 'Green_rooibos initial weight'!$A$5:$A$1749,0)),"")</f>
        <v>2.2069999999999999</v>
      </c>
      <c r="L727" s="225">
        <f>IFERROR(K727-(TBIcalc!$H$9+TBIcalc!$H$10),"")</f>
        <v>1.9571999999999998</v>
      </c>
      <c r="M727" s="391">
        <f>AVERAGE(Ashed_controlls!$K$12:$K$14)</f>
        <v>2.2816647271287041</v>
      </c>
      <c r="N727" s="225">
        <f t="shared" si="60"/>
        <v>1.9125432579606367</v>
      </c>
      <c r="O727" s="225">
        <f>IF(IFERROR(INDEX('Both teabags AfterWet'!$C$3:$C$841,MATCH(J727,'Both teabags AfterWet'!$A$3:$A$841,0)),"")="","",(IFERROR(INDEX('Both teabags AfterWet'!$C$3:$C$841,MATCH(J727,'Both teabags AfterWet'!$A$3:$A$841,0)),"")))</f>
        <v>1.6584000000000001</v>
      </c>
      <c r="P727" s="225">
        <f>IFERROR(IF(O727&gt;0,O727-(TBIcalc!$H$9),""),"")</f>
        <v>1.5078</v>
      </c>
      <c r="Q727" s="225" t="str">
        <f>IFERROR(INDEX('Ashed teabags wet'!$K$2:$K$821,MATCH(J727,'Ashed teabags wet'!$A$2:$A$821,0)),"")</f>
        <v/>
      </c>
      <c r="R727" s="225" t="str">
        <f t="shared" si="63"/>
        <v/>
      </c>
      <c r="S727" s="226">
        <f>'WetLitterbags placem_collection'!E68</f>
        <v>42767</v>
      </c>
      <c r="T727" s="226">
        <f>IF('WetLitterbags placem_collection'!G68="","",'WetLitterbags placem_collection'!G68)</f>
        <v>42818</v>
      </c>
      <c r="U727" s="227">
        <f t="shared" ref="U727:U790" si="64">IFERROR(T727-S727,"")</f>
        <v>51</v>
      </c>
      <c r="V727" s="225">
        <f t="shared" si="61"/>
        <v>0.4493999999999998</v>
      </c>
      <c r="W727" s="225" t="str">
        <f t="shared" si="62"/>
        <v/>
      </c>
      <c r="X727">
        <f>IFERROR(INDEX(Rainfall_Wet!$O$2:$O$217,MATCH(B727, Rainfall_Wet!$A$2:$A$217,0)),"")</f>
        <v>185.630065823</v>
      </c>
      <c r="Y727" s="231">
        <v>47.96</v>
      </c>
      <c r="Z727" s="231">
        <v>22.919999999999995</v>
      </c>
      <c r="AA727" s="231">
        <v>29.120000000000012</v>
      </c>
      <c r="AB727" s="232" t="s">
        <v>2673</v>
      </c>
      <c r="AC727" s="231">
        <v>3.8831936914736298</v>
      </c>
      <c r="AD727">
        <f>IF('WetLitterbags placem_collection'!AB68="","",'WetLitterbags placem_collection'!AB68)</f>
        <v>8</v>
      </c>
      <c r="AE727">
        <f>IF('WetLitterbags placem_collection'!Z68="","",'WetLitterbags placem_collection'!Z68)</f>
        <v>19.8</v>
      </c>
      <c r="AF727" s="24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placem_collection'!Y68)),"YES","NO")</f>
        <v>NO</v>
      </c>
      <c r="AM727" t="str">
        <f>IF(ISNUMBER(SEARCH("H", 'WetLitterbags placem_collection'!Y68)),"YES","NO")</f>
        <v>NO</v>
      </c>
      <c r="AN727" t="str">
        <f>IF(ISNUMBER(SEARCH("R", 'WetLitterbags placem_collection'!Y68)),"YES","NO")</f>
        <v>NO</v>
      </c>
    </row>
    <row r="728" spans="1:40" ht="15" customHeight="1">
      <c r="A728" s="258" t="s">
        <v>2460</v>
      </c>
      <c r="B728" s="263">
        <f>'Dry_Litterbag Placem_Collection'!A69</f>
        <v>67</v>
      </c>
      <c r="C728" s="263" t="str">
        <f>'Dry_Litterbag Placem_Collection'!B69</f>
        <v>Maswa</v>
      </c>
      <c r="D728" s="263" t="s">
        <v>2659</v>
      </c>
      <c r="E728" s="263" t="s">
        <v>2661</v>
      </c>
      <c r="F728" s="263">
        <v>1</v>
      </c>
      <c r="G728" s="264" t="str">
        <f>'Dry_Litterbag Placem_Collection'!C69</f>
        <v>Dry_W1_T3</v>
      </c>
      <c r="H728" s="273" t="s">
        <v>3651</v>
      </c>
      <c r="I728" s="274" t="s">
        <v>298</v>
      </c>
      <c r="J728" s="223" t="str">
        <f>'WetLitterbags placem_collection'!Q69</f>
        <v>R44</v>
      </c>
      <c r="K728" s="225">
        <f>IFERROR(INDEX('Green_rooibos initial weight'!$C$5:$C$1749,MATCH(J728, 'Green_rooibos initial weight'!$A$5:$A$1749,0)),"")</f>
        <v>2.2480000000000002</v>
      </c>
      <c r="L728" s="225">
        <f>IFERROR(K728-(TBIcalc!$H$9+TBIcalc!$H$10),"")</f>
        <v>1.9982000000000002</v>
      </c>
      <c r="M728" s="391">
        <f>AVERAGE(Ashed_controlls!$K$12:$K$14)</f>
        <v>2.2816647271287041</v>
      </c>
      <c r="N728" s="225">
        <f t="shared" si="60"/>
        <v>1.9526077754225144</v>
      </c>
      <c r="O728" s="225">
        <f>IF(IFERROR(INDEX('Both teabags AfterWet'!$C$3:$C$841,MATCH(J728,'Both teabags AfterWet'!$A$3:$A$841,0)),"")="","",(IFERROR(INDEX('Both teabags AfterWet'!$C$3:$C$841,MATCH(J728,'Both teabags AfterWet'!$A$3:$A$841,0)),"")))</f>
        <v>1.5427999999999999</v>
      </c>
      <c r="P728" s="225">
        <f>IFERROR(IF(O728&gt;0,O728-(TBIcalc!$H$9),""),"")</f>
        <v>1.3921999999999999</v>
      </c>
      <c r="Q728" s="225">
        <f>IFERROR(INDEX('Ashed teabags wet'!$K$2:$K$821,MATCH(J728,'Ashed teabags wet'!$A$2:$A$821,0)),"")</f>
        <v>3.2098765432091394</v>
      </c>
      <c r="R728" s="225">
        <f t="shared" si="63"/>
        <v>1.3475120987654423</v>
      </c>
      <c r="S728" s="226">
        <f>'WetLitterbags placem_collection'!E69</f>
        <v>42767</v>
      </c>
      <c r="T728" s="226">
        <f>IF('WetLitterbags placem_collection'!G69="","",'WetLitterbags placem_collection'!G69)</f>
        <v>42818</v>
      </c>
      <c r="U728" s="227">
        <f t="shared" si="64"/>
        <v>51</v>
      </c>
      <c r="V728" s="225">
        <f t="shared" si="61"/>
        <v>0.60600000000000032</v>
      </c>
      <c r="W728" s="225">
        <f t="shared" si="62"/>
        <v>0.60509567665707209</v>
      </c>
      <c r="X728">
        <f>IFERROR(INDEX(Rainfall_Wet!$O$2:$O$217,MATCH(B728, Rainfall_Wet!$A$2:$A$217,0)),"")</f>
        <v>185.630065823</v>
      </c>
      <c r="Y728" s="231">
        <v>47.96</v>
      </c>
      <c r="Z728" s="231">
        <v>22.919999999999995</v>
      </c>
      <c r="AA728" s="231">
        <v>29.120000000000012</v>
      </c>
      <c r="AB728" s="232" t="s">
        <v>2673</v>
      </c>
      <c r="AC728" s="231">
        <v>4.8831936914736298</v>
      </c>
      <c r="AD728">
        <f>IF('WetLitterbags placem_collection'!AB69="","",'WetLitterbags placem_collection'!AB69)</f>
        <v>5.5</v>
      </c>
      <c r="AE728">
        <f>IF('WetLitterbags placem_collection'!Z69="","",'WetLitterbags placem_collection'!Z69)</f>
        <v>5.5</v>
      </c>
      <c r="AF728" s="24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placem_collection'!Y69)),"YES","NO")</f>
        <v>NO</v>
      </c>
      <c r="AM728" t="str">
        <f>IF(ISNUMBER(SEARCH("H", 'WetLitterbags placem_collection'!Y69)),"YES","NO")</f>
        <v>NO</v>
      </c>
      <c r="AN728" t="str">
        <f>IF(ISNUMBER(SEARCH("R", 'WetLitterbags placem_collection'!Y69)),"YES","NO")</f>
        <v>NO</v>
      </c>
    </row>
    <row r="729" spans="1:40" ht="15" customHeight="1">
      <c r="A729" s="258" t="s">
        <v>2460</v>
      </c>
      <c r="B729" s="263">
        <f>'Dry_Litterbag Placem_Collection'!A70</f>
        <v>68</v>
      </c>
      <c r="C729" s="263" t="str">
        <f>'Dry_Litterbag Placem_Collection'!B70</f>
        <v>Maswa</v>
      </c>
      <c r="D729" s="263" t="s">
        <v>2659</v>
      </c>
      <c r="E729" s="263" t="s">
        <v>2661</v>
      </c>
      <c r="F729" s="263">
        <v>1</v>
      </c>
      <c r="G729" s="264" t="str">
        <f>'Dry_Litterbag Placem_Collection'!C70</f>
        <v>Dry_W1_T4</v>
      </c>
      <c r="H729" s="273" t="s">
        <v>3651</v>
      </c>
      <c r="I729" s="274" t="s">
        <v>298</v>
      </c>
      <c r="J729" s="223" t="str">
        <f>'WetLitterbags placem_collection'!Q70</f>
        <v>R9</v>
      </c>
      <c r="K729" s="225">
        <f>IFERROR(INDEX('Green_rooibos initial weight'!$C$5:$C$1749,MATCH(J729, 'Green_rooibos initial weight'!$A$5:$A$1749,0)),"")</f>
        <v>2.2679999999999998</v>
      </c>
      <c r="L729" s="225">
        <f>IFERROR(K729-(TBIcalc!$H$9+TBIcalc!$H$10),"")</f>
        <v>2.0181999999999998</v>
      </c>
      <c r="M729" s="391">
        <f>AVERAGE(Ashed_controlls!$K$12:$K$14)</f>
        <v>2.2816647271287041</v>
      </c>
      <c r="N729" s="225">
        <f t="shared" si="60"/>
        <v>1.9721514424770883</v>
      </c>
      <c r="O729" s="225">
        <f>IF(IFERROR(INDEX('Both teabags AfterWet'!$C$3:$C$841,MATCH(J729,'Both teabags AfterWet'!$A$3:$A$841,0)),"")="","",(IFERROR(INDEX('Both teabags AfterWet'!$C$3:$C$841,MATCH(J729,'Both teabags AfterWet'!$A$3:$A$841,0)),"")))</f>
        <v>1.7050000000000001</v>
      </c>
      <c r="P729" s="225">
        <f>IFERROR(IF(O729&gt;0,O729-(TBIcalc!$H$9),""),"")</f>
        <v>1.5544</v>
      </c>
      <c r="Q729" s="225">
        <f>IFERROR(INDEX('Ashed teabags wet'!$K$2:$K$821,MATCH(J729,'Ashed teabags wet'!$A$2:$A$821,0)),"")</f>
        <v>6.1938061938065374</v>
      </c>
      <c r="R729" s="225">
        <f t="shared" si="63"/>
        <v>1.4581234765234712</v>
      </c>
      <c r="S729" s="226">
        <f>'WetLitterbags placem_collection'!E70</f>
        <v>42767</v>
      </c>
      <c r="T729" s="226">
        <f>IF('WetLitterbags placem_collection'!G70="","",'WetLitterbags placem_collection'!G70)</f>
        <v>42818</v>
      </c>
      <c r="U729" s="227">
        <f t="shared" si="64"/>
        <v>51</v>
      </c>
      <c r="V729" s="225">
        <f t="shared" si="61"/>
        <v>0.46379999999999977</v>
      </c>
      <c r="W729" s="225">
        <f t="shared" si="62"/>
        <v>0.51402796595361711</v>
      </c>
      <c r="X729">
        <f>IFERROR(INDEX(Rainfall_Wet!$O$2:$O$217,MATCH(B729, Rainfall_Wet!$A$2:$A$217,0)),"")</f>
        <v>185.630065823</v>
      </c>
      <c r="Y729" s="231">
        <v>47.96</v>
      </c>
      <c r="Z729" s="231">
        <v>22.919999999999995</v>
      </c>
      <c r="AA729" s="231">
        <v>29.120000000000012</v>
      </c>
      <c r="AB729" s="232" t="s">
        <v>2673</v>
      </c>
      <c r="AC729" s="231">
        <v>5.8831936914736298</v>
      </c>
      <c r="AD729">
        <f>IF('WetLitterbags placem_collection'!AB70="","",'WetLitterbags placem_collection'!AB70)</f>
        <v>9.6999999999999993</v>
      </c>
      <c r="AE729">
        <f>IF('WetLitterbags placem_collection'!Z70="","",'WetLitterbags placem_collection'!Z70)</f>
        <v>23.4</v>
      </c>
      <c r="AF729" s="24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placem_collection'!Y70)),"YES","NO")</f>
        <v>NO</v>
      </c>
      <c r="AM729" t="str">
        <f>IF(ISNUMBER(SEARCH("H", 'WetLitterbags placem_collection'!Y70)),"YES","NO")</f>
        <v>NO</v>
      </c>
      <c r="AN729" t="str">
        <f>IF(ISNUMBER(SEARCH("R", 'WetLitterbags placem_collection'!Y70)),"YES","NO")</f>
        <v>NO</v>
      </c>
    </row>
    <row r="730" spans="1:40" ht="15" customHeight="1">
      <c r="A730" s="258" t="s">
        <v>2460</v>
      </c>
      <c r="B730" s="263">
        <f>'Dry_Litterbag Placem_Collection'!A71</f>
        <v>69</v>
      </c>
      <c r="C730" s="263" t="str">
        <f>'Dry_Litterbag Placem_Collection'!B71</f>
        <v>Maswa</v>
      </c>
      <c r="D730" s="263" t="s">
        <v>2659</v>
      </c>
      <c r="E730" s="263" t="s">
        <v>2661</v>
      </c>
      <c r="F730" s="263">
        <v>1</v>
      </c>
      <c r="G730" s="264" t="str">
        <f>'Dry_Litterbag Placem_Collection'!C71</f>
        <v>Dry_W1_T5</v>
      </c>
      <c r="H730" s="273" t="s">
        <v>3651</v>
      </c>
      <c r="I730" s="274" t="s">
        <v>298</v>
      </c>
      <c r="J730" s="223" t="str">
        <f>'WetLitterbags placem_collection'!Q71</f>
        <v>R251</v>
      </c>
      <c r="K730" s="225">
        <f>IFERROR(INDEX('Green_rooibos initial weight'!$C$5:$C$1749,MATCH(J730, 'Green_rooibos initial weight'!$A$5:$A$1749,0)),"")</f>
        <v>2.266</v>
      </c>
      <c r="L730" s="225">
        <f>IFERROR(K730-(TBIcalc!$H$9+TBIcalc!$H$10),"")</f>
        <v>2.0162</v>
      </c>
      <c r="M730" s="391">
        <f>AVERAGE(Ashed_controlls!$K$12:$K$14)</f>
        <v>2.2816647271287041</v>
      </c>
      <c r="N730" s="225">
        <f t="shared" si="60"/>
        <v>1.9701970757716312</v>
      </c>
      <c r="O730" s="225">
        <f>IF(IFERROR(INDEX('Both teabags AfterWet'!$C$3:$C$841,MATCH(J730,'Both teabags AfterWet'!$A$3:$A$841,0)),"")="","",(IFERROR(INDEX('Both teabags AfterWet'!$C$3:$C$841,MATCH(J730,'Both teabags AfterWet'!$A$3:$A$841,0)),"")))</f>
        <v>1.8979999999999999</v>
      </c>
      <c r="P730" s="225">
        <f>IFERROR(IF(O730&gt;0,O730-(TBIcalc!$H$9),""),"")</f>
        <v>1.7473999999999998</v>
      </c>
      <c r="Q730" s="225">
        <f>IFERROR(INDEX('Ashed teabags wet'!$K$2:$K$821,MATCH(J730,'Ashed teabags wet'!$A$2:$A$821,0)),"")</f>
        <v>14.026483570377628</v>
      </c>
      <c r="R730" s="225">
        <f t="shared" si="63"/>
        <v>1.5023012260912212</v>
      </c>
      <c r="S730" s="226">
        <f>'WetLitterbags placem_collection'!E71</f>
        <v>42767</v>
      </c>
      <c r="T730" s="226">
        <f>IF('WetLitterbags placem_collection'!G71="","",'WetLitterbags placem_collection'!G71)</f>
        <v>42818</v>
      </c>
      <c r="U730" s="227">
        <f t="shared" si="64"/>
        <v>51</v>
      </c>
      <c r="V730" s="225">
        <f t="shared" si="61"/>
        <v>0.26880000000000015</v>
      </c>
      <c r="W730" s="225">
        <f t="shared" si="62"/>
        <v>0.46789584968040998</v>
      </c>
      <c r="X730">
        <f>IFERROR(INDEX(Rainfall_Wet!$O$2:$O$217,MATCH(B730, Rainfall_Wet!$A$2:$A$217,0)),"")</f>
        <v>185.630065823</v>
      </c>
      <c r="Y730" s="231">
        <v>47.96</v>
      </c>
      <c r="Z730" s="231">
        <v>22.919999999999995</v>
      </c>
      <c r="AA730" s="231">
        <v>29.120000000000012</v>
      </c>
      <c r="AB730" s="232" t="s">
        <v>2673</v>
      </c>
      <c r="AC730" s="231">
        <v>6.8831936914736298</v>
      </c>
      <c r="AD730">
        <f>IF('WetLitterbags placem_collection'!AB71="","",'WetLitterbags placem_collection'!AB71)</f>
        <v>14.4</v>
      </c>
      <c r="AE730">
        <f>IF('WetLitterbags placem_collection'!Z71="","",'WetLitterbags placem_collection'!Z71)</f>
        <v>24.4</v>
      </c>
      <c r="AF730" s="24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placem_collection'!Y71)),"YES","NO")</f>
        <v>NO</v>
      </c>
      <c r="AM730" t="str">
        <f>IF(ISNUMBER(SEARCH("H", 'WetLitterbags placem_collection'!Y71)),"YES","NO")</f>
        <v>NO</v>
      </c>
      <c r="AN730" t="str">
        <f>IF(ISNUMBER(SEARCH("R", 'WetLitterbags placem_collection'!Y71)),"YES","NO")</f>
        <v>YES</v>
      </c>
    </row>
    <row r="731" spans="1:40" ht="15" customHeight="1">
      <c r="A731" s="258" t="s">
        <v>2460</v>
      </c>
      <c r="B731" s="263">
        <f>'Dry_Litterbag Placem_Collection'!A72</f>
        <v>70</v>
      </c>
      <c r="C731" s="263" t="str">
        <f>'Dry_Litterbag Placem_Collection'!B72</f>
        <v>Maswa</v>
      </c>
      <c r="D731" s="263" t="s">
        <v>2659</v>
      </c>
      <c r="E731" s="263" t="s">
        <v>2661</v>
      </c>
      <c r="F731" s="263">
        <v>1</v>
      </c>
      <c r="G731" s="264" t="str">
        <f>'Dry_Litterbag Placem_Collection'!C72</f>
        <v>Dry_W1_T6</v>
      </c>
      <c r="H731" s="273" t="s">
        <v>3651</v>
      </c>
      <c r="I731" s="274" t="s">
        <v>298</v>
      </c>
      <c r="J731" s="223" t="str">
        <f>'WetLitterbags placem_collection'!Q72</f>
        <v>R266</v>
      </c>
      <c r="K731" s="225">
        <f>IFERROR(INDEX('Green_rooibos initial weight'!$C$5:$C$1749,MATCH(J731, 'Green_rooibos initial weight'!$A$5:$A$1749,0)),"")</f>
        <v>2.1720000000000002</v>
      </c>
      <c r="L731" s="225">
        <f>IFERROR(K731-(TBIcalc!$H$9+TBIcalc!$H$10),"")</f>
        <v>1.9222000000000001</v>
      </c>
      <c r="M731" s="391">
        <f>AVERAGE(Ashed_controlls!$K$12:$K$14)</f>
        <v>2.2816647271287041</v>
      </c>
      <c r="N731" s="225">
        <f t="shared" si="60"/>
        <v>1.8783418406151322</v>
      </c>
      <c r="O731" s="225">
        <f>IF(IFERROR(INDEX('Both teabags AfterWet'!$C$3:$C$841,MATCH(J731,'Both teabags AfterWet'!$A$3:$A$841,0)),"")="","",(IFERROR(INDEX('Both teabags AfterWet'!$C$3:$C$841,MATCH(J731,'Both teabags AfterWet'!$A$3:$A$841,0)),"")))</f>
        <v>1.599</v>
      </c>
      <c r="P731" s="225">
        <f>IFERROR(IF(O731&gt;0,O731-(TBIcalc!$H$9),""),"")</f>
        <v>1.4483999999999999</v>
      </c>
      <c r="Q731" s="225">
        <f>IFERROR(INDEX('Ashed teabags wet'!$K$2:$K$821,MATCH(J731,'Ashed teabags wet'!$A$2:$A$821,0)),"")</f>
        <v>2.9397110114603966</v>
      </c>
      <c r="R731" s="225">
        <f t="shared" si="63"/>
        <v>1.4058212257100076</v>
      </c>
      <c r="S731" s="226">
        <f>'WetLitterbags placem_collection'!E72</f>
        <v>42767</v>
      </c>
      <c r="T731" s="226">
        <f>IF('WetLitterbags placem_collection'!G72="","",'WetLitterbags placem_collection'!G72)</f>
        <v>42818</v>
      </c>
      <c r="U731" s="227">
        <f t="shared" si="64"/>
        <v>51</v>
      </c>
      <c r="V731" s="225">
        <f t="shared" si="61"/>
        <v>0.47380000000000022</v>
      </c>
      <c r="W731" s="225">
        <f t="shared" si="62"/>
        <v>0.47252061490512465</v>
      </c>
      <c r="X731">
        <f>IFERROR(INDEX(Rainfall_Wet!$O$2:$O$217,MATCH(B731, Rainfall_Wet!$A$2:$A$217,0)),"")</f>
        <v>185.630065823</v>
      </c>
      <c r="Y731" s="231">
        <v>47.96</v>
      </c>
      <c r="Z731" s="231">
        <v>22.919999999999995</v>
      </c>
      <c r="AA731" s="231">
        <v>29.120000000000012</v>
      </c>
      <c r="AB731" s="232" t="s">
        <v>2673</v>
      </c>
      <c r="AC731" s="231">
        <v>7.8831936914736298</v>
      </c>
      <c r="AD731">
        <f>IF('WetLitterbags placem_collection'!AB72="","",'WetLitterbags placem_collection'!AB72)</f>
        <v>15</v>
      </c>
      <c r="AE731">
        <f>IF('WetLitterbags placem_collection'!Z72="","",'WetLitterbags placem_collection'!Z72)</f>
        <v>28</v>
      </c>
      <c r="AF731" s="24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placem_collection'!Y72)),"YES","NO")</f>
        <v>NO</v>
      </c>
      <c r="AM731" t="str">
        <f>IF(ISNUMBER(SEARCH("H", 'WetLitterbags placem_collection'!Y72)),"YES","NO")</f>
        <v>NO</v>
      </c>
      <c r="AN731" t="str">
        <f>IF(ISNUMBER(SEARCH("R", 'WetLitterbags placem_collection'!Y72)),"YES","NO")</f>
        <v>YES</v>
      </c>
    </row>
    <row r="732" spans="1:40" ht="15" customHeight="1">
      <c r="A732" s="258" t="s">
        <v>2460</v>
      </c>
      <c r="B732" s="263">
        <f>'Dry_Litterbag Placem_Collection'!A73</f>
        <v>71</v>
      </c>
      <c r="C732" s="263" t="str">
        <f>'Dry_Litterbag Placem_Collection'!B73</f>
        <v>Maswa</v>
      </c>
      <c r="D732" s="263" t="s">
        <v>2659</v>
      </c>
      <c r="E732" s="263" t="s">
        <v>2661</v>
      </c>
      <c r="F732" s="263">
        <v>1</v>
      </c>
      <c r="G732" s="264" t="str">
        <f>'Dry_Litterbag Placem_Collection'!C73</f>
        <v>Dry_W1_T7</v>
      </c>
      <c r="H732" s="273" t="s">
        <v>3651</v>
      </c>
      <c r="I732" s="274" t="s">
        <v>298</v>
      </c>
      <c r="J732" s="223" t="str">
        <f>'WetLitterbags placem_collection'!Q73</f>
        <v>R528</v>
      </c>
      <c r="K732" s="225">
        <f>IFERROR(INDEX('Green_rooibos initial weight'!$C$5:$C$1749,MATCH(J732, 'Green_rooibos initial weight'!$A$5:$A$1749,0)),"")</f>
        <v>2.1019999999999999</v>
      </c>
      <c r="L732" s="225">
        <f>IFERROR(K732-(TBIcalc!$H$9+TBIcalc!$H$10),"")</f>
        <v>1.8521999999999998</v>
      </c>
      <c r="M732" s="391">
        <f>AVERAGE(Ashed_controlls!$K$12:$K$14)</f>
        <v>2.2816647271287041</v>
      </c>
      <c r="N732" s="225">
        <f t="shared" si="60"/>
        <v>1.809939005924122</v>
      </c>
      <c r="O732" s="225">
        <f>IF(IFERROR(INDEX('Both teabags AfterWet'!$C$3:$C$841,MATCH(J732,'Both teabags AfterWet'!$A$3:$A$841,0)),"")="","",(IFERROR(INDEX('Both teabags AfterWet'!$C$3:$C$841,MATCH(J732,'Both teabags AfterWet'!$A$3:$A$841,0)),"")))</f>
        <v>1.5779000000000001</v>
      </c>
      <c r="P732" s="225">
        <f>IFERROR(IF(O732&gt;0,O732-(TBIcalc!$H$9),""),"")</f>
        <v>1.4273</v>
      </c>
      <c r="Q732" s="225">
        <f>IFERROR(INDEX('Ashed teabags wet'!$K$2:$K$821,MATCH(J732,'Ashed teabags wet'!$A$2:$A$821,0)),"")</f>
        <v>2.689243027888772</v>
      </c>
      <c r="R732" s="225">
        <f t="shared" si="63"/>
        <v>1.3889164342629436</v>
      </c>
      <c r="S732" s="226">
        <f>'WetLitterbags placem_collection'!E73</f>
        <v>42767</v>
      </c>
      <c r="T732" s="226">
        <f>IF('WetLitterbags placem_collection'!G73="","",'WetLitterbags placem_collection'!G73)</f>
        <v>42818</v>
      </c>
      <c r="U732" s="227">
        <f t="shared" si="64"/>
        <v>51</v>
      </c>
      <c r="V732" s="225">
        <f t="shared" si="61"/>
        <v>0.42489999999999983</v>
      </c>
      <c r="W732" s="225">
        <f t="shared" si="62"/>
        <v>0.4210225716611784</v>
      </c>
      <c r="X732">
        <f>IFERROR(INDEX(Rainfall_Wet!$O$2:$O$217,MATCH(B732, Rainfall_Wet!$A$2:$A$217,0)),"")</f>
        <v>185.630065823</v>
      </c>
      <c r="Y732" s="231">
        <v>47.96</v>
      </c>
      <c r="Z732" s="231">
        <v>22.919999999999995</v>
      </c>
      <c r="AA732" s="231">
        <v>29.120000000000012</v>
      </c>
      <c r="AB732" s="232" t="s">
        <v>2673</v>
      </c>
      <c r="AC732" s="231">
        <v>8.8831936914736307</v>
      </c>
      <c r="AD732">
        <f>IF('WetLitterbags placem_collection'!AB73="","",'WetLitterbags placem_collection'!AB73)</f>
        <v>15.5</v>
      </c>
      <c r="AE732">
        <f>IF('WetLitterbags placem_collection'!Z73="","",'WetLitterbags placem_collection'!Z73)</f>
        <v>32</v>
      </c>
      <c r="AF732" s="24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placem_collection'!Y73)),"YES","NO")</f>
        <v>NO</v>
      </c>
      <c r="AM732" t="str">
        <f>IF(ISNUMBER(SEARCH("H", 'WetLitterbags placem_collection'!Y73)),"YES","NO")</f>
        <v>NO</v>
      </c>
      <c r="AN732" t="str">
        <f>IF(ISNUMBER(SEARCH("R", 'WetLitterbags placem_collection'!Y73)),"YES","NO")</f>
        <v>NO</v>
      </c>
    </row>
    <row r="733" spans="1:40" ht="15" customHeight="1">
      <c r="A733" s="258" t="s">
        <v>2460</v>
      </c>
      <c r="B733" s="263">
        <f>'Dry_Litterbag Placem_Collection'!A74</f>
        <v>72</v>
      </c>
      <c r="C733" s="263" t="str">
        <f>'Dry_Litterbag Placem_Collection'!B74</f>
        <v>Maswa</v>
      </c>
      <c r="D733" s="263" t="s">
        <v>2659</v>
      </c>
      <c r="E733" s="263" t="s">
        <v>2661</v>
      </c>
      <c r="F733" s="263">
        <v>1</v>
      </c>
      <c r="G733" s="264" t="str">
        <f>'Dry_Litterbag Placem_Collection'!C74</f>
        <v>Dry_W1_T8</v>
      </c>
      <c r="H733" s="273" t="s">
        <v>3651</v>
      </c>
      <c r="I733" s="274" t="s">
        <v>298</v>
      </c>
      <c r="J733" s="223" t="str">
        <f>'WetLitterbags placem_collection'!Q74</f>
        <v>R14</v>
      </c>
      <c r="K733" s="225">
        <f>IFERROR(INDEX('Green_rooibos initial weight'!$C$5:$C$1749,MATCH(J733, 'Green_rooibos initial weight'!$A$5:$A$1749,0)),"")</f>
        <v>2.181</v>
      </c>
      <c r="L733" s="225">
        <f>IFERROR(K733-(TBIcalc!$H$9+TBIcalc!$H$10),"")</f>
        <v>1.9312</v>
      </c>
      <c r="M733" s="391">
        <f>AVERAGE(Ashed_controlls!$K$12:$K$14)</f>
        <v>2.2816647271287041</v>
      </c>
      <c r="N733" s="225">
        <f t="shared" si="60"/>
        <v>1.8871364907896906</v>
      </c>
      <c r="O733" s="225">
        <f>IF(IFERROR(INDEX('Both teabags AfterWet'!$C$3:$C$841,MATCH(J733,'Both teabags AfterWet'!$A$3:$A$841,0)),"")="","",(IFERROR(INDEX('Both teabags AfterWet'!$C$3:$C$841,MATCH(J733,'Both teabags AfterWet'!$A$3:$A$841,0)),"")))</f>
        <v>1.5603</v>
      </c>
      <c r="P733" s="225">
        <f>IFERROR(IF(O733&gt;0,O733-(TBIcalc!$H$9),""),"")</f>
        <v>1.4097</v>
      </c>
      <c r="Q733" s="225">
        <f>IFERROR(INDEX('Ashed teabags wet'!$K$2:$K$821,MATCH(J733,'Ashed teabags wet'!$A$2:$A$821,0)),"")</f>
        <v>3.0571992110453157</v>
      </c>
      <c r="R733" s="225">
        <f t="shared" si="63"/>
        <v>1.3666026627218941</v>
      </c>
      <c r="S733" s="226">
        <f>'WetLitterbags placem_collection'!E74</f>
        <v>42767</v>
      </c>
      <c r="T733" s="226">
        <f>IF('WetLitterbags placem_collection'!G74="","",'WetLitterbags placem_collection'!G74)</f>
        <v>42818</v>
      </c>
      <c r="U733" s="227">
        <f t="shared" si="64"/>
        <v>51</v>
      </c>
      <c r="V733" s="225">
        <f t="shared" si="61"/>
        <v>0.52150000000000007</v>
      </c>
      <c r="W733" s="225">
        <f t="shared" si="62"/>
        <v>0.52053382806779647</v>
      </c>
      <c r="X733">
        <f>IFERROR(INDEX(Rainfall_Wet!$O$2:$O$217,MATCH(B733, Rainfall_Wet!$A$2:$A$217,0)),"")</f>
        <v>185.630065823</v>
      </c>
      <c r="Y733" s="231">
        <v>47.96</v>
      </c>
      <c r="Z733" s="231">
        <v>22.919999999999995</v>
      </c>
      <c r="AA733" s="231">
        <v>29.120000000000012</v>
      </c>
      <c r="AB733" s="232" t="s">
        <v>2673</v>
      </c>
      <c r="AC733" s="231">
        <v>9.8831936914736307</v>
      </c>
      <c r="AD733">
        <f>IF('WetLitterbags placem_collection'!AB74="","",'WetLitterbags placem_collection'!AB74)</f>
        <v>2.6</v>
      </c>
      <c r="AE733">
        <f>IF('WetLitterbags placem_collection'!Z74="","",'WetLitterbags placem_collection'!Z74)</f>
        <v>44</v>
      </c>
      <c r="AF733" s="24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placem_collection'!Y74)),"YES","NO")</f>
        <v>NO</v>
      </c>
      <c r="AM733" t="str">
        <f>IF(ISNUMBER(SEARCH("H", 'WetLitterbags placem_collection'!Y74)),"YES","NO")</f>
        <v>NO</v>
      </c>
      <c r="AN733" t="str">
        <f>IF(ISNUMBER(SEARCH("R", 'WetLitterbags placem_collection'!Y74)),"YES","NO")</f>
        <v>NO</v>
      </c>
    </row>
    <row r="734" spans="1:40" ht="15" customHeight="1">
      <c r="A734" s="258" t="s">
        <v>2460</v>
      </c>
      <c r="B734" s="263">
        <f>'Dry_Litterbag Placem_Collection'!A75</f>
        <v>73</v>
      </c>
      <c r="C734" s="263" t="str">
        <f>'Dry_Litterbag Placem_Collection'!B75</f>
        <v>Maswa</v>
      </c>
      <c r="D734" s="263" t="s">
        <v>2659</v>
      </c>
      <c r="E734" s="263" t="s">
        <v>2661</v>
      </c>
      <c r="F734" s="263">
        <v>2</v>
      </c>
      <c r="G734" s="264" t="str">
        <f>'Dry_Litterbag Placem_Collection'!C75</f>
        <v>Dry_W2_T1</v>
      </c>
      <c r="H734" s="273" t="s">
        <v>3651</v>
      </c>
      <c r="I734" s="274" t="s">
        <v>298</v>
      </c>
      <c r="J734" s="223" t="str">
        <f>'WetLitterbags placem_collection'!Q75</f>
        <v>R393</v>
      </c>
      <c r="K734" s="225">
        <f>IFERROR(INDEX('Green_rooibos initial weight'!$C$5:$C$1749,MATCH(J734, 'Green_rooibos initial weight'!$A$5:$A$1749,0)),"")</f>
        <v>2.1829999999999998</v>
      </c>
      <c r="L734" s="225">
        <f>IFERROR(K734-(TBIcalc!$H$9+TBIcalc!$H$10),"")</f>
        <v>1.9331999999999998</v>
      </c>
      <c r="M734" s="391">
        <f>AVERAGE(Ashed_controlls!$K$12:$K$14)</f>
        <v>2.2816647271287041</v>
      </c>
      <c r="N734" s="225">
        <f t="shared" si="60"/>
        <v>1.8890908574951477</v>
      </c>
      <c r="O734" s="225">
        <f>IF(IFERROR(INDEX('Both teabags AfterWet'!$C$3:$C$841,MATCH(J734,'Both teabags AfterWet'!$A$3:$A$841,0)),"")="","",(IFERROR(INDEX('Both teabags AfterWet'!$C$3:$C$841,MATCH(J734,'Both teabags AfterWet'!$A$3:$A$841,0)),"")))</f>
        <v>1.6598999999999999</v>
      </c>
      <c r="P734" s="225">
        <f>IFERROR(IF(O734&gt;0,O734-(TBIcalc!$H$9),""),"")</f>
        <v>1.5092999999999999</v>
      </c>
      <c r="Q734" s="225">
        <f>IFERROR(INDEX('Ashed teabags wet'!$K$2:$K$821,MATCH(J734,'Ashed teabags wet'!$A$2:$A$821,0)),"")</f>
        <v>2.4769305488104898</v>
      </c>
      <c r="R734" s="225">
        <f t="shared" si="63"/>
        <v>1.4719156872268031</v>
      </c>
      <c r="S734" s="226">
        <f>'WetLitterbags placem_collection'!E75</f>
        <v>42767</v>
      </c>
      <c r="T734" s="226">
        <f>IF('WetLitterbags placem_collection'!G75="","",'WetLitterbags placem_collection'!G75)</f>
        <v>42818</v>
      </c>
      <c r="U734" s="227">
        <f t="shared" si="64"/>
        <v>51</v>
      </c>
      <c r="V734" s="225">
        <f t="shared" si="61"/>
        <v>0.42389999999999994</v>
      </c>
      <c r="W734" s="225">
        <f t="shared" si="62"/>
        <v>0.41717517026834461</v>
      </c>
      <c r="X734">
        <f>IFERROR(INDEX(Rainfall_Wet!$O$2:$O$217,MATCH(B734, Rainfall_Wet!$A$2:$A$217,0)),"")</f>
        <v>185.630065823</v>
      </c>
      <c r="Y734" s="231">
        <v>45.272914521112256</v>
      </c>
      <c r="Z734" s="231">
        <v>23.604531410916575</v>
      </c>
      <c r="AA734" s="231">
        <v>31.122554067971166</v>
      </c>
      <c r="AB734" s="232" t="s">
        <v>2673</v>
      </c>
      <c r="AC734" s="231">
        <v>2.0547560374568752</v>
      </c>
      <c r="AD734">
        <f>IF('WetLitterbags placem_collection'!AB75="","",'WetLitterbags placem_collection'!AB75)</f>
        <v>9.1</v>
      </c>
      <c r="AE734">
        <f>IF('WetLitterbags placem_collection'!Z75="","",'WetLitterbags placem_collection'!Z75)</f>
        <v>10</v>
      </c>
      <c r="AF734" s="24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placem_collection'!Y75)),"YES","NO")</f>
        <v>NO</v>
      </c>
      <c r="AM734" t="str">
        <f>IF(ISNUMBER(SEARCH("H", 'WetLitterbags placem_collection'!Y75)),"YES","NO")</f>
        <v>NO</v>
      </c>
      <c r="AN734" t="str">
        <f>IF(ISNUMBER(SEARCH("R", 'WetLitterbags placem_collection'!Y75)),"YES","NO")</f>
        <v>YES</v>
      </c>
    </row>
    <row r="735" spans="1:40" ht="15" customHeight="1">
      <c r="A735" s="258" t="s">
        <v>2460</v>
      </c>
      <c r="B735" s="263">
        <f>'Dry_Litterbag Placem_Collection'!A76</f>
        <v>74</v>
      </c>
      <c r="C735" s="263" t="str">
        <f>'Dry_Litterbag Placem_Collection'!B76</f>
        <v>Maswa</v>
      </c>
      <c r="D735" s="263" t="s">
        <v>2659</v>
      </c>
      <c r="E735" s="263" t="s">
        <v>2661</v>
      </c>
      <c r="F735" s="263">
        <v>2</v>
      </c>
      <c r="G735" s="264" t="str">
        <f>'Dry_Litterbag Placem_Collection'!C76</f>
        <v>Dry_W2_T2</v>
      </c>
      <c r="H735" s="273" t="s">
        <v>3651</v>
      </c>
      <c r="I735" s="274" t="s">
        <v>298</v>
      </c>
      <c r="J735" s="223" t="str">
        <f>'WetLitterbags placem_collection'!Q76</f>
        <v>R138</v>
      </c>
      <c r="K735" s="225">
        <f>IFERROR(INDEX('Green_rooibos initial weight'!$C$5:$C$1749,MATCH(J735, 'Green_rooibos initial weight'!$A$5:$A$1749,0)),"")</f>
        <v>2.3140000000000001</v>
      </c>
      <c r="L735" s="225">
        <f>IFERROR(K735-(TBIcalc!$H$9+TBIcalc!$H$10),"")</f>
        <v>2.0642</v>
      </c>
      <c r="M735" s="391">
        <f>AVERAGE(Ashed_controlls!$K$12:$K$14)</f>
        <v>2.2816647271287041</v>
      </c>
      <c r="N735" s="225">
        <f t="shared" si="60"/>
        <v>2.0171018767026094</v>
      </c>
      <c r="O735" s="225">
        <f>IF(IFERROR(INDEX('Both teabags AfterWet'!$C$3:$C$841,MATCH(J735,'Both teabags AfterWet'!$A$3:$A$841,0)),"")="","",(IFERROR(INDEX('Both teabags AfterWet'!$C$3:$C$841,MATCH(J735,'Both teabags AfterWet'!$A$3:$A$841,0)),"")))</f>
        <v>1.6850000000000001</v>
      </c>
      <c r="P735" s="225">
        <f>IFERROR(IF(O735&gt;0,O735-(TBIcalc!$H$9),""),"")</f>
        <v>1.5344</v>
      </c>
      <c r="Q735" s="225">
        <f>IFERROR(INDEX('Ashed teabags wet'!$K$2:$K$821,MATCH(J735,'Ashed teabags wet'!$A$2:$A$821,0)),"")</f>
        <v>3.6873156342174327</v>
      </c>
      <c r="R735" s="225">
        <f t="shared" si="63"/>
        <v>1.4778218289085676</v>
      </c>
      <c r="S735" s="226">
        <f>'WetLitterbags placem_collection'!E76</f>
        <v>42767</v>
      </c>
      <c r="T735" s="226">
        <f>IF('WetLitterbags placem_collection'!G76="","",'WetLitterbags placem_collection'!G76)</f>
        <v>42818</v>
      </c>
      <c r="U735" s="227">
        <f t="shared" si="64"/>
        <v>51</v>
      </c>
      <c r="V735" s="225">
        <f t="shared" si="61"/>
        <v>0.52980000000000005</v>
      </c>
      <c r="W735" s="225">
        <f t="shared" si="62"/>
        <v>0.53928004779404182</v>
      </c>
      <c r="X735">
        <f>IFERROR(INDEX(Rainfall_Wet!$O$2:$O$217,MATCH(B735, Rainfall_Wet!$A$2:$A$217,0)),"")</f>
        <v>185.630065823</v>
      </c>
      <c r="Y735" s="231">
        <v>45.272914521112256</v>
      </c>
      <c r="Z735" s="231">
        <v>23.604531410916575</v>
      </c>
      <c r="AA735" s="231">
        <v>31.122554067971166</v>
      </c>
      <c r="AB735" s="232" t="s">
        <v>2673</v>
      </c>
      <c r="AC735" s="231">
        <v>3.0547560374568801</v>
      </c>
      <c r="AD735">
        <f>IF('WetLitterbags placem_collection'!AB76="","",'WetLitterbags placem_collection'!AB76)</f>
        <v>7.7</v>
      </c>
      <c r="AE735">
        <f>IF('WetLitterbags placem_collection'!Z76="","",'WetLitterbags placem_collection'!Z76)</f>
        <v>9.4</v>
      </c>
      <c r="AF735" s="24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placem_collection'!Y76)),"YES","NO")</f>
        <v>NO</v>
      </c>
      <c r="AM735" t="str">
        <f>IF(ISNUMBER(SEARCH("H", 'WetLitterbags placem_collection'!Y76)),"YES","NO")</f>
        <v>NO</v>
      </c>
      <c r="AN735" t="str">
        <f>IF(ISNUMBER(SEARCH("R", 'WetLitterbags placem_collection'!Y76)),"YES","NO")</f>
        <v>NO</v>
      </c>
    </row>
    <row r="736" spans="1:40" ht="15" customHeight="1">
      <c r="A736" s="258" t="s">
        <v>2460</v>
      </c>
      <c r="B736" s="263">
        <f>'Dry_Litterbag Placem_Collection'!A77</f>
        <v>75</v>
      </c>
      <c r="C736" s="263" t="str">
        <f>'Dry_Litterbag Placem_Collection'!B77</f>
        <v>Maswa</v>
      </c>
      <c r="D736" s="263" t="s">
        <v>2659</v>
      </c>
      <c r="E736" s="263" t="s">
        <v>2661</v>
      </c>
      <c r="F736" s="263">
        <v>2</v>
      </c>
      <c r="G736" s="264" t="str">
        <f>'Dry_Litterbag Placem_Collection'!C77</f>
        <v>Dry_W2_T3</v>
      </c>
      <c r="H736" s="273" t="s">
        <v>3651</v>
      </c>
      <c r="I736" s="274" t="s">
        <v>298</v>
      </c>
      <c r="J736" s="223" t="str">
        <f>'WetLitterbags placem_collection'!Q77</f>
        <v>R311</v>
      </c>
      <c r="K736" s="225">
        <f>IFERROR(INDEX('Green_rooibos initial weight'!$C$5:$C$1749,MATCH(J736, 'Green_rooibos initial weight'!$A$5:$A$1749,0)),"")</f>
        <v>2.2719999999999998</v>
      </c>
      <c r="L736" s="225">
        <f>IFERROR(K736-(TBIcalc!$H$9+TBIcalc!$H$10),"")</f>
        <v>2.0221999999999998</v>
      </c>
      <c r="M736" s="391">
        <f>AVERAGE(Ashed_controlls!$K$12:$K$14)</f>
        <v>2.2816647271287041</v>
      </c>
      <c r="N736" s="225">
        <f t="shared" si="60"/>
        <v>1.9760601758880032</v>
      </c>
      <c r="O736" s="225">
        <f>IF(IFERROR(INDEX('Both teabags AfterWet'!$C$3:$C$841,MATCH(J736,'Both teabags AfterWet'!$A$3:$A$841,0)),"")="","",(IFERROR(INDEX('Both teabags AfterWet'!$C$3:$C$841,MATCH(J736,'Both teabags AfterWet'!$A$3:$A$841,0)),"")))</f>
        <v>1.6715</v>
      </c>
      <c r="P736" s="225">
        <f>IFERROR(IF(O736&gt;0,O736-(TBIcalc!$H$9),""),"")</f>
        <v>1.5208999999999999</v>
      </c>
      <c r="Q736" s="225">
        <f>IFERROR(INDEX('Ashed teabags wet'!$K$2:$K$821,MATCH(J736,'Ashed teabags wet'!$A$2:$A$821,0)),"")</f>
        <v>3.5363457760311539</v>
      </c>
      <c r="R736" s="225">
        <f t="shared" si="63"/>
        <v>1.4671157170923421</v>
      </c>
      <c r="S736" s="226">
        <f>'WetLitterbags placem_collection'!E77</f>
        <v>42767</v>
      </c>
      <c r="T736" s="226">
        <f>IF('WetLitterbags placem_collection'!G77="","",'WetLitterbags placem_collection'!G77)</f>
        <v>42818</v>
      </c>
      <c r="U736" s="227">
        <f t="shared" si="64"/>
        <v>51</v>
      </c>
      <c r="V736" s="225">
        <f t="shared" si="61"/>
        <v>0.50129999999999986</v>
      </c>
      <c r="W736" s="225">
        <f t="shared" si="62"/>
        <v>0.50894445879566108</v>
      </c>
      <c r="X736">
        <f>IFERROR(INDEX(Rainfall_Wet!$O$2:$O$217,MATCH(B736, Rainfall_Wet!$A$2:$A$217,0)),"")</f>
        <v>185.630065823</v>
      </c>
      <c r="Y736" s="231">
        <v>45.272914521112256</v>
      </c>
      <c r="Z736" s="231">
        <v>23.604531410916575</v>
      </c>
      <c r="AA736" s="231">
        <v>31.122554067971166</v>
      </c>
      <c r="AB736" s="232" t="s">
        <v>2673</v>
      </c>
      <c r="AC736" s="231">
        <v>4.0547560374568796</v>
      </c>
      <c r="AD736">
        <f>IF('WetLitterbags placem_collection'!AB77="","",'WetLitterbags placem_collection'!AB77)</f>
        <v>6.1</v>
      </c>
      <c r="AE736">
        <f>IF('WetLitterbags placem_collection'!Z77="","",'WetLitterbags placem_collection'!Z77)</f>
        <v>13.8</v>
      </c>
      <c r="AF736" s="24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placem_collection'!Y77)),"YES","NO")</f>
        <v>NO</v>
      </c>
      <c r="AM736" t="str">
        <f>IF(ISNUMBER(SEARCH("H", 'WetLitterbags placem_collection'!Y77)),"YES","NO")</f>
        <v>NO</v>
      </c>
      <c r="AN736" t="str">
        <f>IF(ISNUMBER(SEARCH("R", 'WetLitterbags placem_collection'!Y77)),"YES","NO")</f>
        <v>NO</v>
      </c>
    </row>
    <row r="737" spans="1:40" ht="15" customHeight="1">
      <c r="A737" s="258" t="s">
        <v>2460</v>
      </c>
      <c r="B737" s="263">
        <f>'Dry_Litterbag Placem_Collection'!A78</f>
        <v>76</v>
      </c>
      <c r="C737" s="263" t="str">
        <f>'Dry_Litterbag Placem_Collection'!B78</f>
        <v>Maswa</v>
      </c>
      <c r="D737" s="263" t="s">
        <v>2659</v>
      </c>
      <c r="E737" s="263" t="s">
        <v>2661</v>
      </c>
      <c r="F737" s="263">
        <v>2</v>
      </c>
      <c r="G737" s="264" t="str">
        <f>'Dry_Litterbag Placem_Collection'!C78</f>
        <v>Dry_W2_T4</v>
      </c>
      <c r="H737" s="273" t="s">
        <v>3651</v>
      </c>
      <c r="I737" s="274" t="s">
        <v>298</v>
      </c>
      <c r="J737" s="223" t="str">
        <f>'WetLitterbags placem_collection'!Q78</f>
        <v>R183</v>
      </c>
      <c r="K737" s="225">
        <f>IFERROR(INDEX('Green_rooibos initial weight'!$C$5:$C$1749,MATCH(J737, 'Green_rooibos initial weight'!$A$5:$A$1749,0)),"")</f>
        <v>2.262</v>
      </c>
      <c r="L737" s="225">
        <f>IFERROR(K737-(TBIcalc!$H$9+TBIcalc!$H$10),"")</f>
        <v>2.0122</v>
      </c>
      <c r="M737" s="391">
        <f>AVERAGE(Ashed_controlls!$K$12:$K$14)</f>
        <v>2.2816647271287041</v>
      </c>
      <c r="N737" s="225">
        <f t="shared" si="60"/>
        <v>1.9662883423607163</v>
      </c>
      <c r="O737" s="225">
        <f>IF(IFERROR(INDEX('Both teabags AfterWet'!$C$3:$C$841,MATCH(J737,'Both teabags AfterWet'!$A$3:$A$841,0)),"")="","",(IFERROR(INDEX('Both teabags AfterWet'!$C$3:$C$841,MATCH(J737,'Both teabags AfterWet'!$A$3:$A$841,0)),"")))</f>
        <v>1.7490000000000001</v>
      </c>
      <c r="P737" s="225">
        <f>IFERROR(IF(O737&gt;0,O737-(TBIcalc!$H$9),""),"")</f>
        <v>1.5984</v>
      </c>
      <c r="Q737" s="225">
        <f>IFERROR(INDEX('Ashed teabags wet'!$K$2:$K$821,MATCH(J737,'Ashed teabags wet'!$A$2:$A$821,0)),"")</f>
        <v>2.262879152624262</v>
      </c>
      <c r="R737" s="225">
        <f t="shared" si="63"/>
        <v>1.5622301396244538</v>
      </c>
      <c r="S737" s="226">
        <f>'WetLitterbags placem_collection'!E78</f>
        <v>42767</v>
      </c>
      <c r="T737" s="226">
        <f>IF('WetLitterbags placem_collection'!G78="","",'WetLitterbags placem_collection'!G78)</f>
        <v>42818</v>
      </c>
      <c r="U737" s="227">
        <f t="shared" si="64"/>
        <v>51</v>
      </c>
      <c r="V737" s="225">
        <f t="shared" si="61"/>
        <v>0.41379999999999995</v>
      </c>
      <c r="W737" s="225">
        <f t="shared" si="62"/>
        <v>0.40405820273626247</v>
      </c>
      <c r="X737">
        <f>IFERROR(INDEX(Rainfall_Wet!$O$2:$O$217,MATCH(B737, Rainfall_Wet!$A$2:$A$217,0)),"")</f>
        <v>185.630065823</v>
      </c>
      <c r="Y737" s="231">
        <v>45.272914521112256</v>
      </c>
      <c r="Z737" s="231">
        <v>23.604531410916575</v>
      </c>
      <c r="AA737" s="231">
        <v>31.122554067971166</v>
      </c>
      <c r="AB737" s="232" t="s">
        <v>2673</v>
      </c>
      <c r="AC737" s="231">
        <v>5.0547560374568796</v>
      </c>
      <c r="AD737">
        <f>IF('WetLitterbags placem_collection'!AB78="","",'WetLitterbags placem_collection'!AB78)</f>
        <v>6.7</v>
      </c>
      <c r="AE737">
        <f>IF('WetLitterbags placem_collection'!Z78="","",'WetLitterbags placem_collection'!Z78)</f>
        <v>19.3</v>
      </c>
      <c r="AF737" s="24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placem_collection'!Y78)),"YES","NO")</f>
        <v>NO</v>
      </c>
      <c r="AM737" t="str">
        <f>IF(ISNUMBER(SEARCH("H", 'WetLitterbags placem_collection'!Y78)),"YES","NO")</f>
        <v>NO</v>
      </c>
      <c r="AN737" t="str">
        <f>IF(ISNUMBER(SEARCH("R", 'WetLitterbags placem_collection'!Y78)),"YES","NO")</f>
        <v>NO</v>
      </c>
    </row>
    <row r="738" spans="1:40" ht="15" customHeight="1">
      <c r="A738" s="258" t="s">
        <v>2460</v>
      </c>
      <c r="B738" s="263">
        <f>'Dry_Litterbag Placem_Collection'!A79</f>
        <v>77</v>
      </c>
      <c r="C738" s="263" t="str">
        <f>'Dry_Litterbag Placem_Collection'!B79</f>
        <v>Maswa</v>
      </c>
      <c r="D738" s="263" t="s">
        <v>2659</v>
      </c>
      <c r="E738" s="263" t="s">
        <v>2661</v>
      </c>
      <c r="F738" s="263">
        <v>2</v>
      </c>
      <c r="G738" s="264" t="str">
        <f>'Dry_Litterbag Placem_Collection'!C79</f>
        <v>Dry_W2_T5</v>
      </c>
      <c r="H738" s="273" t="s">
        <v>3651</v>
      </c>
      <c r="I738" s="274" t="s">
        <v>298</v>
      </c>
      <c r="J738" s="223" t="str">
        <f>'WetLitterbags placem_collection'!Q79</f>
        <v>R228</v>
      </c>
      <c r="K738" s="225">
        <f>IFERROR(INDEX('Green_rooibos initial weight'!$C$5:$C$1749,MATCH(J738, 'Green_rooibos initial weight'!$A$5:$A$1749,0)),"")</f>
        <v>2.2040000000000002</v>
      </c>
      <c r="L738" s="225">
        <f>IFERROR(K738-(TBIcalc!$H$9+TBIcalc!$H$10),"")</f>
        <v>1.9542000000000002</v>
      </c>
      <c r="M738" s="391">
        <f>AVERAGE(Ashed_controlls!$K$12:$K$14)</f>
        <v>2.2816647271287041</v>
      </c>
      <c r="N738" s="225">
        <f t="shared" si="60"/>
        <v>1.909611707902451</v>
      </c>
      <c r="O738" s="225">
        <f>IF(IFERROR(INDEX('Both teabags AfterWet'!$C$3:$C$841,MATCH(J738,'Both teabags AfterWet'!$A$3:$A$841,0)),"")="","",(IFERROR(INDEX('Both teabags AfterWet'!$C$3:$C$841,MATCH(J738,'Both teabags AfterWet'!$A$3:$A$841,0)),"")))</f>
        <v>2.2429999999999999</v>
      </c>
      <c r="P738" s="225">
        <f>IFERROR(IF(O738&gt;0,O738-(TBIcalc!$H$9),""),"")</f>
        <v>2.0924</v>
      </c>
      <c r="Q738" s="225">
        <f>IFERROR(INDEX('Ashed teabags wet'!$K$2:$K$821,MATCH(J738,'Ashed teabags wet'!$A$2:$A$821,0)),"")</f>
        <v>25.765054294176</v>
      </c>
      <c r="R738" s="225">
        <f t="shared" si="63"/>
        <v>1.5532920039486613</v>
      </c>
      <c r="S738" s="226">
        <f>'WetLitterbags placem_collection'!E79</f>
        <v>42767</v>
      </c>
      <c r="T738" s="226">
        <f>IF('WetLitterbags placem_collection'!G79="","",'WetLitterbags placem_collection'!G79)</f>
        <v>42818</v>
      </c>
      <c r="U738" s="227">
        <f t="shared" si="64"/>
        <v>51</v>
      </c>
      <c r="V738" s="225">
        <f t="shared" si="61"/>
        <v>-0.13819999999999988</v>
      </c>
      <c r="W738" s="225">
        <f t="shared" si="62"/>
        <v>0.35631970395378976</v>
      </c>
      <c r="X738">
        <f>IFERROR(INDEX(Rainfall_Wet!$O$2:$O$217,MATCH(B738, Rainfall_Wet!$A$2:$A$217,0)),"")</f>
        <v>185.630065823</v>
      </c>
      <c r="Y738" s="231">
        <v>45.272914521112256</v>
      </c>
      <c r="Z738" s="231">
        <v>23.604531410916575</v>
      </c>
      <c r="AA738" s="231">
        <v>31.122554067971166</v>
      </c>
      <c r="AB738" s="232" t="s">
        <v>2673</v>
      </c>
      <c r="AC738" s="231">
        <v>6.0547560374568796</v>
      </c>
      <c r="AD738">
        <f>IF('WetLitterbags placem_collection'!AB79="","",'WetLitterbags placem_collection'!AB79)</f>
        <v>3.1</v>
      </c>
      <c r="AE738">
        <f>IF('WetLitterbags placem_collection'!Z79="","",'WetLitterbags placem_collection'!Z79)</f>
        <v>9.8000000000000007</v>
      </c>
      <c r="AF738" s="24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placem_collection'!Y79)),"YES","NO")</f>
        <v>NO</v>
      </c>
      <c r="AM738" t="str">
        <f>IF(ISNUMBER(SEARCH("H", 'WetLitterbags placem_collection'!Y79)),"YES","NO")</f>
        <v>NO</v>
      </c>
      <c r="AN738" t="str">
        <f>IF(ISNUMBER(SEARCH("R", 'WetLitterbags placem_collection'!Y79)),"YES","NO")</f>
        <v>NO</v>
      </c>
    </row>
    <row r="739" spans="1:40" ht="15" customHeight="1">
      <c r="A739" s="258" t="s">
        <v>2460</v>
      </c>
      <c r="B739" s="263">
        <f>'Dry_Litterbag Placem_Collection'!A80</f>
        <v>78</v>
      </c>
      <c r="C739" s="263" t="str">
        <f>'Dry_Litterbag Placem_Collection'!B80</f>
        <v>Maswa</v>
      </c>
      <c r="D739" s="263" t="s">
        <v>2659</v>
      </c>
      <c r="E739" s="263" t="s">
        <v>2661</v>
      </c>
      <c r="F739" s="263">
        <v>2</v>
      </c>
      <c r="G739" s="264" t="str">
        <f>'Dry_Litterbag Placem_Collection'!C80</f>
        <v>Dry_W2_T6</v>
      </c>
      <c r="H739" s="273" t="s">
        <v>3651</v>
      </c>
      <c r="I739" s="274" t="s">
        <v>298</v>
      </c>
      <c r="J739" s="223" t="str">
        <f>'WetLitterbags placem_collection'!Q80</f>
        <v>R100</v>
      </c>
      <c r="K739" s="225">
        <f>IFERROR(INDEX('Green_rooibos initial weight'!$C$5:$C$1749,MATCH(J739, 'Green_rooibos initial weight'!$A$5:$A$1749,0)),"")</f>
        <v>2.2549999999999999</v>
      </c>
      <c r="L739" s="225">
        <f>IFERROR(K739-(TBIcalc!$H$9+TBIcalc!$H$10),"")</f>
        <v>2.0051999999999999</v>
      </c>
      <c r="M739" s="391">
        <f>AVERAGE(Ashed_controlls!$K$12:$K$14)</f>
        <v>2.2816647271287041</v>
      </c>
      <c r="N739" s="225">
        <f t="shared" si="60"/>
        <v>1.959448058891615</v>
      </c>
      <c r="O739" s="225">
        <f>IF(IFERROR(INDEX('Both teabags AfterWet'!$C$3:$C$841,MATCH(J739,'Both teabags AfterWet'!$A$3:$A$841,0)),"")="","",(IFERROR(INDEX('Both teabags AfterWet'!$C$3:$C$841,MATCH(J739,'Both teabags AfterWet'!$A$3:$A$841,0)),"")))</f>
        <v>1.7222999999999999</v>
      </c>
      <c r="P739" s="225">
        <f>IFERROR(IF(O739&gt;0,O739-(TBIcalc!$H$9),""),"")</f>
        <v>1.5716999999999999</v>
      </c>
      <c r="Q739" s="225">
        <f>IFERROR(INDEX('Ashed teabags wet'!$K$2:$K$821,MATCH(J739,'Ashed teabags wet'!$A$2:$A$821,0)),"")</f>
        <v>2.8361858190706335</v>
      </c>
      <c r="R739" s="225">
        <f t="shared" si="63"/>
        <v>1.5271236674816668</v>
      </c>
      <c r="S739" s="226">
        <f>'WetLitterbags placem_collection'!E80</f>
        <v>42767</v>
      </c>
      <c r="T739" s="226">
        <f>IF('WetLitterbags placem_collection'!G80="","",'WetLitterbags placem_collection'!G80)</f>
        <v>42818</v>
      </c>
      <c r="U739" s="227">
        <f t="shared" si="64"/>
        <v>51</v>
      </c>
      <c r="V739" s="225">
        <f t="shared" si="61"/>
        <v>0.4335</v>
      </c>
      <c r="W739" s="225">
        <f t="shared" si="62"/>
        <v>0.43232439140994816</v>
      </c>
      <c r="X739">
        <f>IFERROR(INDEX(Rainfall_Wet!$O$2:$O$217,MATCH(B739, Rainfall_Wet!$A$2:$A$217,0)),"")</f>
        <v>185.630065823</v>
      </c>
      <c r="Y739" s="231">
        <v>45.272914521112256</v>
      </c>
      <c r="Z739" s="231">
        <v>23.604531410916575</v>
      </c>
      <c r="AA739" s="231">
        <v>31.122554067971166</v>
      </c>
      <c r="AB739" s="232" t="s">
        <v>2673</v>
      </c>
      <c r="AC739" s="231">
        <v>7.0547560374568796</v>
      </c>
      <c r="AD739">
        <f>IF('WetLitterbags placem_collection'!AB80="","",'WetLitterbags placem_collection'!AB80)</f>
        <v>10.4</v>
      </c>
      <c r="AE739">
        <f>IF('WetLitterbags placem_collection'!Z80="","",'WetLitterbags placem_collection'!Z80)</f>
        <v>15.4</v>
      </c>
      <c r="AF739" s="24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placem_collection'!Y80)),"YES","NO")</f>
        <v>NO</v>
      </c>
      <c r="AM739" t="str">
        <f>IF(ISNUMBER(SEARCH("H", 'WetLitterbags placem_collection'!Y80)),"YES","NO")</f>
        <v>NO</v>
      </c>
      <c r="AN739" t="str">
        <f>IF(ISNUMBER(SEARCH("R", 'WetLitterbags placem_collection'!Y80)),"YES","NO")</f>
        <v>NO</v>
      </c>
    </row>
    <row r="740" spans="1:40" ht="15" customHeight="1">
      <c r="A740" s="258" t="s">
        <v>2460</v>
      </c>
      <c r="B740" s="263">
        <f>'Dry_Litterbag Placem_Collection'!A81</f>
        <v>79</v>
      </c>
      <c r="C740" s="263" t="str">
        <f>'Dry_Litterbag Placem_Collection'!B81</f>
        <v>Maswa</v>
      </c>
      <c r="D740" s="263" t="s">
        <v>2659</v>
      </c>
      <c r="E740" s="263" t="s">
        <v>2661</v>
      </c>
      <c r="F740" s="263">
        <v>2</v>
      </c>
      <c r="G740" s="264" t="str">
        <f>'Dry_Litterbag Placem_Collection'!C81</f>
        <v>Dry_W2_T7</v>
      </c>
      <c r="H740" s="273" t="s">
        <v>3651</v>
      </c>
      <c r="I740" s="274" t="s">
        <v>298</v>
      </c>
      <c r="J740" s="223" t="str">
        <f>'WetLitterbags placem_collection'!Q81</f>
        <v>R56</v>
      </c>
      <c r="K740" s="225">
        <f>IFERROR(INDEX('Green_rooibos initial weight'!$C$5:$C$1749,MATCH(J740, 'Green_rooibos initial weight'!$A$5:$A$1749,0)),"")</f>
        <v>2.1829999999999998</v>
      </c>
      <c r="L740" s="225">
        <f>IFERROR(K740-(TBIcalc!$H$9+TBIcalc!$H$10),"")</f>
        <v>1.9331999999999998</v>
      </c>
      <c r="M740" s="391">
        <f>AVERAGE(Ashed_controlls!$K$12:$K$14)</f>
        <v>2.2816647271287041</v>
      </c>
      <c r="N740" s="225">
        <f t="shared" si="60"/>
        <v>1.8890908574951477</v>
      </c>
      <c r="O740" s="225">
        <f>IF(IFERROR(INDEX('Both teabags AfterWet'!$C$3:$C$841,MATCH(J740,'Both teabags AfterWet'!$A$3:$A$841,0)),"")="","",(IFERROR(INDEX('Both teabags AfterWet'!$C$3:$C$841,MATCH(J740,'Both teabags AfterWet'!$A$3:$A$841,0)),"")))</f>
        <v>1.6438999999999999</v>
      </c>
      <c r="P740" s="225">
        <f>IFERROR(IF(O740&gt;0,O740-(TBIcalc!$H$9),""),"")</f>
        <v>1.4932999999999998</v>
      </c>
      <c r="Q740" s="225">
        <f>IFERROR(INDEX('Ashed teabags wet'!$K$2:$K$821,MATCH(J740,'Ashed teabags wet'!$A$2:$A$821,0)),"")</f>
        <v>1.8838304552590228</v>
      </c>
      <c r="R740" s="225">
        <f t="shared" si="63"/>
        <v>1.4651687598116168</v>
      </c>
      <c r="S740" s="226">
        <f>'WetLitterbags placem_collection'!E81</f>
        <v>42767</v>
      </c>
      <c r="T740" s="226">
        <f>IF('WetLitterbags placem_collection'!G81="","",'WetLitterbags placem_collection'!G81)</f>
        <v>42818</v>
      </c>
      <c r="U740" s="227">
        <f t="shared" si="64"/>
        <v>51</v>
      </c>
      <c r="V740" s="225">
        <f t="shared" si="61"/>
        <v>0.43989999999999996</v>
      </c>
      <c r="W740" s="225">
        <f t="shared" si="62"/>
        <v>0.42392209768353095</v>
      </c>
      <c r="X740">
        <f>IFERROR(INDEX(Rainfall_Wet!$O$2:$O$217,MATCH(B740, Rainfall_Wet!$A$2:$A$217,0)),"")</f>
        <v>185.630065823</v>
      </c>
      <c r="Y740" s="231">
        <v>45.272914521112256</v>
      </c>
      <c r="Z740" s="231">
        <v>23.604531410916575</v>
      </c>
      <c r="AA740" s="231">
        <v>31.122554067971166</v>
      </c>
      <c r="AB740" s="232" t="s">
        <v>2673</v>
      </c>
      <c r="AC740" s="231">
        <v>8.0547560374568796</v>
      </c>
      <c r="AD740">
        <f>IF('WetLitterbags placem_collection'!AB81="","",'WetLitterbags placem_collection'!AB81)</f>
        <v>3</v>
      </c>
      <c r="AE740">
        <f>IF('WetLitterbags placem_collection'!Z81="","",'WetLitterbags placem_collection'!Z81)</f>
        <v>5</v>
      </c>
      <c r="AF740" s="24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placem_collection'!Y81)),"YES","NO")</f>
        <v>NO</v>
      </c>
      <c r="AM740" t="str">
        <f>IF(ISNUMBER(SEARCH("H", 'WetLitterbags placem_collection'!Y81)),"YES","NO")</f>
        <v>NO</v>
      </c>
      <c r="AN740" t="str">
        <f>IF(ISNUMBER(SEARCH("R", 'WetLitterbags placem_collection'!Y81)),"YES","NO")</f>
        <v>NO</v>
      </c>
    </row>
    <row r="741" spans="1:40" ht="15" customHeight="1">
      <c r="A741" s="258" t="s">
        <v>2460</v>
      </c>
      <c r="B741" s="263">
        <f>'Dry_Litterbag Placem_Collection'!A82</f>
        <v>80</v>
      </c>
      <c r="C741" s="263" t="str">
        <f>'Dry_Litterbag Placem_Collection'!B82</f>
        <v>Maswa</v>
      </c>
      <c r="D741" s="263" t="s">
        <v>2659</v>
      </c>
      <c r="E741" s="263" t="s">
        <v>2661</v>
      </c>
      <c r="F741" s="263">
        <v>2</v>
      </c>
      <c r="G741" s="264" t="str">
        <f>'Dry_Litterbag Placem_Collection'!C82</f>
        <v>Dry_W2_T8</v>
      </c>
      <c r="H741" s="273" t="s">
        <v>3651</v>
      </c>
      <c r="I741" s="274" t="s">
        <v>298</v>
      </c>
      <c r="J741" s="223" t="str">
        <f>'WetLitterbags placem_collection'!Q82</f>
        <v>R68</v>
      </c>
      <c r="K741" s="225">
        <f>IFERROR(INDEX('Green_rooibos initial weight'!$C$5:$C$1749,MATCH(J741, 'Green_rooibos initial weight'!$A$5:$A$1749,0)),"")</f>
        <v>2.2370000000000001</v>
      </c>
      <c r="L741" s="225">
        <f>IFERROR(K741-(TBIcalc!$H$9+TBIcalc!$H$10),"")</f>
        <v>1.9872000000000001</v>
      </c>
      <c r="M741" s="391">
        <f>AVERAGE(Ashed_controlls!$K$12:$K$14)</f>
        <v>2.2816647271287041</v>
      </c>
      <c r="N741" s="225">
        <f t="shared" si="60"/>
        <v>1.9418587585424985</v>
      </c>
      <c r="O741" s="225">
        <f>IF(IFERROR(INDEX('Both teabags AfterWet'!$C$3:$C$841,MATCH(J741,'Both teabags AfterWet'!$A$3:$A$841,0)),"")="","",(IFERROR(INDEX('Both teabags AfterWet'!$C$3:$C$841,MATCH(J741,'Both teabags AfterWet'!$A$3:$A$841,0)),"")))</f>
        <v>1.639</v>
      </c>
      <c r="P741" s="225">
        <f>IFERROR(IF(O741&gt;0,O741-(TBIcalc!$H$9),""),"")</f>
        <v>1.4883999999999999</v>
      </c>
      <c r="Q741" s="225">
        <f>IFERROR(INDEX('Ashed teabags wet'!$K$2:$K$821,MATCH(J741,'Ashed teabags wet'!$A$2:$A$821,0)),"")</f>
        <v>10.359922178988159</v>
      </c>
      <c r="R741" s="225">
        <f t="shared" si="63"/>
        <v>1.3342029182879402</v>
      </c>
      <c r="S741" s="226">
        <f>'WetLitterbags placem_collection'!E82</f>
        <v>42767</v>
      </c>
      <c r="T741" s="226">
        <f>IF('WetLitterbags placem_collection'!G82="","",'WetLitterbags placem_collection'!G82)</f>
        <v>42818</v>
      </c>
      <c r="U741" s="227">
        <f t="shared" si="64"/>
        <v>51</v>
      </c>
      <c r="V741" s="225">
        <f t="shared" si="61"/>
        <v>0.49880000000000013</v>
      </c>
      <c r="W741" s="225">
        <f t="shared" si="62"/>
        <v>0.60765584025455821</v>
      </c>
      <c r="X741">
        <f>IFERROR(INDEX(Rainfall_Wet!$O$2:$O$217,MATCH(B741, Rainfall_Wet!$A$2:$A$217,0)),"")</f>
        <v>185.630065823</v>
      </c>
      <c r="Y741" s="231">
        <v>45.272914521112256</v>
      </c>
      <c r="Z741" s="231">
        <v>23.604531410916575</v>
      </c>
      <c r="AA741" s="231">
        <v>31.122554067971166</v>
      </c>
      <c r="AB741" s="232" t="s">
        <v>2673</v>
      </c>
      <c r="AC741" s="231">
        <v>9.0547560374568796</v>
      </c>
      <c r="AD741">
        <f>IF('WetLitterbags placem_collection'!AB82="","",'WetLitterbags placem_collection'!AB82)</f>
        <v>2.7</v>
      </c>
      <c r="AE741">
        <f>IF('WetLitterbags placem_collection'!Z82="","",'WetLitterbags placem_collection'!Z82)</f>
        <v>12.4</v>
      </c>
      <c r="AF741" s="24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placem_collection'!Y82)),"YES","NO")</f>
        <v>NO</v>
      </c>
      <c r="AM741" t="str">
        <f>IF(ISNUMBER(SEARCH("H", 'WetLitterbags placem_collection'!Y82)),"YES","NO")</f>
        <v>NO</v>
      </c>
      <c r="AN741" t="str">
        <f>IF(ISNUMBER(SEARCH("R", 'WetLitterbags placem_collection'!Y82)),"YES","NO")</f>
        <v>NO</v>
      </c>
    </row>
    <row r="742" spans="1:40" ht="15" customHeight="1">
      <c r="A742" s="258" t="s">
        <v>2460</v>
      </c>
      <c r="B742" s="263">
        <f>'Dry_Litterbag Placem_Collection'!A83</f>
        <v>81</v>
      </c>
      <c r="C742" s="263" t="str">
        <f>'Dry_Litterbag Placem_Collection'!B83</f>
        <v>Maswa</v>
      </c>
      <c r="D742" s="263" t="s">
        <v>2659</v>
      </c>
      <c r="E742" s="263" t="s">
        <v>2661</v>
      </c>
      <c r="F742" s="263">
        <v>3</v>
      </c>
      <c r="G742" s="264" t="str">
        <f>'Dry_Litterbag Placem_Collection'!C83</f>
        <v>Dry_W3_T1</v>
      </c>
      <c r="H742" s="273" t="s">
        <v>3651</v>
      </c>
      <c r="I742" s="274" t="s">
        <v>298</v>
      </c>
      <c r="J742" s="223" t="str">
        <f>'WetLitterbags placem_collection'!Q83</f>
        <v>R293</v>
      </c>
      <c r="K742" s="225">
        <f>IFERROR(INDEX('Green_rooibos initial weight'!$C$5:$C$1749,MATCH(J742, 'Green_rooibos initial weight'!$A$5:$A$1749,0)),"")</f>
        <v>2.165</v>
      </c>
      <c r="L742" s="225">
        <f>IFERROR(K742-(TBIcalc!$H$9+TBIcalc!$H$10),"")</f>
        <v>1.9152</v>
      </c>
      <c r="M742" s="391">
        <f>AVERAGE(Ashed_controlls!$K$12:$K$14)</f>
        <v>2.2816647271287041</v>
      </c>
      <c r="N742" s="225">
        <f t="shared" si="60"/>
        <v>1.8715015571460312</v>
      </c>
      <c r="O742" s="225">
        <f>IF(IFERROR(INDEX('Both teabags AfterWet'!$C$3:$C$841,MATCH(J742,'Both teabags AfterWet'!$A$3:$A$841,0)),"")="","",(IFERROR(INDEX('Both teabags AfterWet'!$C$3:$C$841,MATCH(J742,'Both teabags AfterWet'!$A$3:$A$841,0)),"")))</f>
        <v>1.736</v>
      </c>
      <c r="P742" s="225">
        <f>IFERROR(IF(O742&gt;0,O742-(TBIcalc!$H$9),""),"")</f>
        <v>1.5853999999999999</v>
      </c>
      <c r="Q742" s="225">
        <f>IFERROR(INDEX('Ashed teabags wet'!$K$2:$K$821,MATCH(J742,'Ashed teabags wet'!$A$2:$A$821,0)),"")</f>
        <v>2.1037181996090717</v>
      </c>
      <c r="R742" s="225">
        <f t="shared" si="63"/>
        <v>1.5520476516633976</v>
      </c>
      <c r="S742" s="226">
        <f>'WetLitterbags placem_collection'!E83</f>
        <v>42767</v>
      </c>
      <c r="T742" s="226">
        <f>IF('WetLitterbags placem_collection'!G83="","",'WetLitterbags placem_collection'!G83)</f>
        <v>42818</v>
      </c>
      <c r="U742" s="227">
        <f t="shared" si="64"/>
        <v>51</v>
      </c>
      <c r="V742" s="225">
        <f t="shared" si="61"/>
        <v>0.32980000000000009</v>
      </c>
      <c r="W742" s="225">
        <f t="shared" si="62"/>
        <v>0.31945390548263353</v>
      </c>
      <c r="X742">
        <f>IFERROR(INDEX(Rainfall_Wet!$O$2:$O$217,MATCH(B742, Rainfall_Wet!$A$2:$A$217,0)),"")</f>
        <v>185.01185076100001</v>
      </c>
      <c r="Y742" s="231">
        <v>38.691629007962128</v>
      </c>
      <c r="Z742" s="231">
        <v>26.81299763288143</v>
      </c>
      <c r="AA742" s="231">
        <v>34.495373359156439</v>
      </c>
      <c r="AB742" s="232" t="s">
        <v>2675</v>
      </c>
      <c r="AC742" s="231">
        <v>2.5483587974371611</v>
      </c>
      <c r="AD742">
        <f>IF('WetLitterbags placem_collection'!AB83="","",'WetLitterbags placem_collection'!AB83)</f>
        <v>6.2</v>
      </c>
      <c r="AE742">
        <f>IF('WetLitterbags placem_collection'!Z83="","",'WetLitterbags placem_collection'!Z83)</f>
        <v>13.3</v>
      </c>
      <c r="AF742" s="24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placem_collection'!Y83)),"YES","NO")</f>
        <v>NO</v>
      </c>
      <c r="AM742" t="str">
        <f>IF(ISNUMBER(SEARCH("H", 'WetLitterbags placem_collection'!Y83)),"YES","NO")</f>
        <v>NO</v>
      </c>
      <c r="AN742" t="str">
        <f>IF(ISNUMBER(SEARCH("R", 'WetLitterbags placem_collection'!Y83)),"YES","NO")</f>
        <v>YES</v>
      </c>
    </row>
    <row r="743" spans="1:40" ht="15" customHeight="1">
      <c r="A743" s="258" t="s">
        <v>2460</v>
      </c>
      <c r="B743" s="263">
        <f>'Dry_Litterbag Placem_Collection'!A84</f>
        <v>82</v>
      </c>
      <c r="C743" s="263" t="str">
        <f>'Dry_Litterbag Placem_Collection'!B84</f>
        <v>Maswa</v>
      </c>
      <c r="D743" s="263" t="s">
        <v>2659</v>
      </c>
      <c r="E743" s="263" t="s">
        <v>2661</v>
      </c>
      <c r="F743" s="263">
        <v>3</v>
      </c>
      <c r="G743" s="264" t="str">
        <f>'Dry_Litterbag Placem_Collection'!C84</f>
        <v>Dry_W3_T2</v>
      </c>
      <c r="H743" s="273" t="s">
        <v>3651</v>
      </c>
      <c r="I743" s="274" t="s">
        <v>298</v>
      </c>
      <c r="J743" s="223" t="str">
        <f>'WetLitterbags placem_collection'!Q84</f>
        <v>R368</v>
      </c>
      <c r="K743" s="225">
        <f>IFERROR(INDEX('Green_rooibos initial weight'!$C$5:$C$1749,MATCH(J743, 'Green_rooibos initial weight'!$A$5:$A$1749,0)),"")</f>
        <v>2.2549999999999999</v>
      </c>
      <c r="L743" s="225">
        <f>IFERROR(K743-(TBIcalc!$H$9+TBIcalc!$H$10),"")</f>
        <v>2.0051999999999999</v>
      </c>
      <c r="M743" s="391">
        <f>AVERAGE(Ashed_controlls!$K$12:$K$14)</f>
        <v>2.2816647271287041</v>
      </c>
      <c r="N743" s="225">
        <f t="shared" si="60"/>
        <v>1.959448058891615</v>
      </c>
      <c r="O743" s="225">
        <f>IF(IFERROR(INDEX('Both teabags AfterWet'!$C$3:$C$841,MATCH(J743,'Both teabags AfterWet'!$A$3:$A$841,0)),"")="","",(IFERROR(INDEX('Both teabags AfterWet'!$C$3:$C$841,MATCH(J743,'Both teabags AfterWet'!$A$3:$A$841,0)),"")))</f>
        <v>1.704</v>
      </c>
      <c r="P743" s="225">
        <f>IFERROR(IF(O743&gt;0,O743-(TBIcalc!$H$9),""),"")</f>
        <v>1.5533999999999999</v>
      </c>
      <c r="Q743" s="225">
        <f>IFERROR(INDEX('Ashed teabags wet'!$K$2:$K$821,MATCH(J743,'Ashed teabags wet'!$A$2:$A$821,0)),"")</f>
        <v>4.0756914119362859</v>
      </c>
      <c r="R743" s="225">
        <f t="shared" si="63"/>
        <v>1.4900882096069816</v>
      </c>
      <c r="S743" s="226">
        <f>'WetLitterbags placem_collection'!E84</f>
        <v>42767</v>
      </c>
      <c r="T743" s="226">
        <f>IF('WetLitterbags placem_collection'!G84="","",'WetLitterbags placem_collection'!G84)</f>
        <v>42819</v>
      </c>
      <c r="U743" s="227">
        <f t="shared" si="64"/>
        <v>52</v>
      </c>
      <c r="V743" s="225">
        <f t="shared" si="61"/>
        <v>0.45179999999999998</v>
      </c>
      <c r="W743" s="225">
        <f t="shared" si="62"/>
        <v>0.46935984928463337</v>
      </c>
      <c r="X743">
        <f>IFERROR(INDEX(Rainfall_Wet!$O$2:$O$217,MATCH(B743, Rainfall_Wet!$A$2:$A$217,0)),"")</f>
        <v>194.93009798400001</v>
      </c>
      <c r="Y743" s="231">
        <v>38.691629007962128</v>
      </c>
      <c r="Z743" s="231">
        <v>26.81299763288143</v>
      </c>
      <c r="AA743" s="231">
        <v>34.495373359156439</v>
      </c>
      <c r="AB743" s="232" t="s">
        <v>2675</v>
      </c>
      <c r="AC743" s="231">
        <v>3.5483587974371602</v>
      </c>
      <c r="AD743">
        <f>IF('WetLitterbags placem_collection'!AB84="","",'WetLitterbags placem_collection'!AB84)</f>
        <v>2.4</v>
      </c>
      <c r="AE743">
        <f>IF('WetLitterbags placem_collection'!Z84="","",'WetLitterbags placem_collection'!Z84)</f>
        <v>16.600000000000001</v>
      </c>
      <c r="AF743" s="24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placem_collection'!Y84)),"YES","NO")</f>
        <v>NO</v>
      </c>
      <c r="AM743" t="str">
        <f>IF(ISNUMBER(SEARCH("H", 'WetLitterbags placem_collection'!Y84)),"YES","NO")</f>
        <v>NO</v>
      </c>
      <c r="AN743" t="str">
        <f>IF(ISNUMBER(SEARCH("R", 'WetLitterbags placem_collection'!Y84)),"YES","NO")</f>
        <v>NO</v>
      </c>
    </row>
    <row r="744" spans="1:40" ht="15" customHeight="1">
      <c r="A744" s="258" t="s">
        <v>2460</v>
      </c>
      <c r="B744" s="263">
        <f>'Dry_Litterbag Placem_Collection'!A85</f>
        <v>83</v>
      </c>
      <c r="C744" s="263" t="str">
        <f>'Dry_Litterbag Placem_Collection'!B85</f>
        <v>Maswa</v>
      </c>
      <c r="D744" s="263" t="s">
        <v>2659</v>
      </c>
      <c r="E744" s="263" t="s">
        <v>2661</v>
      </c>
      <c r="F744" s="263">
        <v>3</v>
      </c>
      <c r="G744" s="264" t="str">
        <f>'Dry_Litterbag Placem_Collection'!C85</f>
        <v>Dry_W3_T3</v>
      </c>
      <c r="H744" s="273" t="s">
        <v>3651</v>
      </c>
      <c r="I744" s="274" t="s">
        <v>298</v>
      </c>
      <c r="J744" s="223" t="str">
        <f>'WetLitterbags placem_collection'!Q85</f>
        <v>R22</v>
      </c>
      <c r="K744" s="225">
        <f>IFERROR(INDEX('Green_rooibos initial weight'!$C$5:$C$1749,MATCH(J744, 'Green_rooibos initial weight'!$A$5:$A$1749,0)),"")</f>
        <v>2.0590000000000002</v>
      </c>
      <c r="L744" s="225">
        <f>IFERROR(K744-(TBIcalc!$H$9+TBIcalc!$H$10),"")</f>
        <v>1.8092000000000001</v>
      </c>
      <c r="M744" s="391">
        <f>AVERAGE(Ashed_controlls!$K$12:$K$14)</f>
        <v>2.2816647271287041</v>
      </c>
      <c r="N744" s="225">
        <f t="shared" si="60"/>
        <v>1.7679201217567877</v>
      </c>
      <c r="O744" s="225">
        <f>IF(IFERROR(INDEX('Both teabags AfterWet'!$C$3:$C$841,MATCH(J744,'Both teabags AfterWet'!$A$3:$A$841,0)),"")="","",(IFERROR(INDEX('Both teabags AfterWet'!$C$3:$C$841,MATCH(J744,'Both teabags AfterWet'!$A$3:$A$841,0)),"")))</f>
        <v>1.637</v>
      </c>
      <c r="P744" s="225">
        <f>IFERROR(IF(O744&gt;0,O744-(TBIcalc!$H$9),""),"")</f>
        <v>1.4863999999999999</v>
      </c>
      <c r="Q744" s="225">
        <f>IFERROR(INDEX('Ashed teabags wet'!$K$2:$K$821,MATCH(J744,'Ashed teabags wet'!$A$2:$A$821,0)),"")</f>
        <v>7.3339940535177606</v>
      </c>
      <c r="R744" s="225">
        <f t="shared" si="63"/>
        <v>1.377387512388512</v>
      </c>
      <c r="S744" s="226">
        <f>'WetLitterbags placem_collection'!E85</f>
        <v>42767</v>
      </c>
      <c r="T744" s="226">
        <f>IF('WetLitterbags placem_collection'!G85="","",'WetLitterbags placem_collection'!G85)</f>
        <v>42819</v>
      </c>
      <c r="U744" s="227">
        <f t="shared" si="64"/>
        <v>52</v>
      </c>
      <c r="V744" s="225">
        <f t="shared" si="61"/>
        <v>0.3228000000000002</v>
      </c>
      <c r="W744" s="225">
        <f t="shared" si="62"/>
        <v>0.39053260936827572</v>
      </c>
      <c r="X744">
        <f>IFERROR(INDEX(Rainfall_Wet!$O$2:$O$217,MATCH(B744, Rainfall_Wet!$A$2:$A$217,0)),"")</f>
        <v>194.93009798400001</v>
      </c>
      <c r="Y744" s="231">
        <v>38.691629007962128</v>
      </c>
      <c r="Z744" s="231">
        <v>26.81299763288143</v>
      </c>
      <c r="AA744" s="231">
        <v>34.495373359156439</v>
      </c>
      <c r="AB744" s="232" t="s">
        <v>2675</v>
      </c>
      <c r="AC744" s="231">
        <v>4.5483587974371602</v>
      </c>
      <c r="AD744">
        <f>IF('WetLitterbags placem_collection'!AB85="","",'WetLitterbags placem_collection'!AB85)</f>
        <v>6.4</v>
      </c>
      <c r="AE744">
        <f>IF('WetLitterbags placem_collection'!Z85="","",'WetLitterbags placem_collection'!Z85)</f>
        <v>42</v>
      </c>
      <c r="AF744" s="24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placem_collection'!Y85)),"YES","NO")</f>
        <v>NO</v>
      </c>
      <c r="AM744" t="str">
        <f>IF(ISNUMBER(SEARCH("H", 'WetLitterbags placem_collection'!Y85)),"YES","NO")</f>
        <v>NO</v>
      </c>
      <c r="AN744" t="str">
        <f>IF(ISNUMBER(SEARCH("R", 'WetLitterbags placem_collection'!Y85)),"YES","NO")</f>
        <v>NO</v>
      </c>
    </row>
    <row r="745" spans="1:40" ht="15" customHeight="1">
      <c r="A745" s="258" t="s">
        <v>2460</v>
      </c>
      <c r="B745" s="263">
        <f>'Dry_Litterbag Placem_Collection'!A86</f>
        <v>84</v>
      </c>
      <c r="C745" s="263" t="str">
        <f>'Dry_Litterbag Placem_Collection'!B86</f>
        <v>Maswa</v>
      </c>
      <c r="D745" s="263" t="s">
        <v>2659</v>
      </c>
      <c r="E745" s="263" t="s">
        <v>2661</v>
      </c>
      <c r="F745" s="263">
        <v>3</v>
      </c>
      <c r="G745" s="264" t="str">
        <f>'Dry_Litterbag Placem_Collection'!C86</f>
        <v>Dry_W3_T4</v>
      </c>
      <c r="H745" s="273" t="s">
        <v>3651</v>
      </c>
      <c r="I745" s="274" t="s">
        <v>298</v>
      </c>
      <c r="J745" s="223" t="str">
        <f>'WetLitterbags placem_collection'!Q86</f>
        <v>R417</v>
      </c>
      <c r="K745" s="225">
        <f>IFERROR(INDEX('Green_rooibos initial weight'!$C$5:$C$1749,MATCH(J745, 'Green_rooibos initial weight'!$A$5:$A$1749,0)),"")</f>
        <v>2.2269999999999999</v>
      </c>
      <c r="L745" s="225">
        <f>IFERROR(K745-(TBIcalc!$H$9+TBIcalc!$H$10),"")</f>
        <v>1.9771999999999998</v>
      </c>
      <c r="M745" s="391">
        <f>AVERAGE(Ashed_controlls!$K$12:$K$14)</f>
        <v>2.2816647271287041</v>
      </c>
      <c r="N745" s="225">
        <f t="shared" si="60"/>
        <v>1.9320869250152111</v>
      </c>
      <c r="O745" s="225">
        <f>IF(IFERROR(INDEX('Both teabags AfterWet'!$C$3:$C$841,MATCH(J745,'Both teabags AfterWet'!$A$3:$A$841,0)),"")="","",(IFERROR(INDEX('Both teabags AfterWet'!$C$3:$C$841,MATCH(J745,'Both teabags AfterWet'!$A$3:$A$841,0)),"")))</f>
        <v>1.5820000000000001</v>
      </c>
      <c r="P745" s="225">
        <f>IFERROR(IF(O745&gt;0,O745-(TBIcalc!$H$9),""),"")</f>
        <v>1.4314</v>
      </c>
      <c r="Q745" s="225">
        <f>IFERROR(INDEX('Ashed teabags wet'!$K$2:$K$821,MATCH(J745,'Ashed teabags wet'!$A$2:$A$821,0)),"")</f>
        <v>7.3412698412690327</v>
      </c>
      <c r="R745" s="225">
        <f t="shared" si="63"/>
        <v>1.3263170634920751</v>
      </c>
      <c r="S745" s="226">
        <f>'WetLitterbags placem_collection'!E86</f>
        <v>42767</v>
      </c>
      <c r="T745" s="226">
        <f>IF('WetLitterbags placem_collection'!G86="","",'WetLitterbags placem_collection'!G86)</f>
        <v>42819</v>
      </c>
      <c r="U745" s="227">
        <f t="shared" si="64"/>
        <v>52</v>
      </c>
      <c r="V745" s="225">
        <f t="shared" si="61"/>
        <v>0.54579999999999984</v>
      </c>
      <c r="W745" s="225">
        <f t="shared" si="62"/>
        <v>0.60576986152313594</v>
      </c>
      <c r="X745">
        <f>IFERROR(INDEX(Rainfall_Wet!$O$2:$O$217,MATCH(B745, Rainfall_Wet!$A$2:$A$217,0)),"")</f>
        <v>194.93009798400001</v>
      </c>
      <c r="Y745" s="231">
        <v>38.691629007962128</v>
      </c>
      <c r="Z745" s="231">
        <v>26.81299763288143</v>
      </c>
      <c r="AA745" s="231">
        <v>34.495373359156439</v>
      </c>
      <c r="AB745" s="232" t="s">
        <v>2675</v>
      </c>
      <c r="AC745" s="231">
        <v>5.5483587974371602</v>
      </c>
      <c r="AD745">
        <f>IF('WetLitterbags placem_collection'!AB86="","",'WetLitterbags placem_collection'!AB86)</f>
        <v>5.5</v>
      </c>
      <c r="AE745">
        <f>IF('WetLitterbags placem_collection'!Z86="","",'WetLitterbags placem_collection'!Z86)</f>
        <v>55.8</v>
      </c>
      <c r="AF745" s="24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placem_collection'!Y86)),"YES","NO")</f>
        <v>NO</v>
      </c>
      <c r="AM745" t="str">
        <f>IF(ISNUMBER(SEARCH("H", 'WetLitterbags placem_collection'!Y86)),"YES","NO")</f>
        <v>NO</v>
      </c>
      <c r="AN745" t="str">
        <f>IF(ISNUMBER(SEARCH("R", 'WetLitterbags placem_collection'!Y86)),"YES","NO")</f>
        <v>YES</v>
      </c>
    </row>
    <row r="746" spans="1:40" ht="15" customHeight="1">
      <c r="A746" s="258" t="s">
        <v>2460</v>
      </c>
      <c r="B746" s="263">
        <f>'Dry_Litterbag Placem_Collection'!A87</f>
        <v>85</v>
      </c>
      <c r="C746" s="263" t="str">
        <f>'Dry_Litterbag Placem_Collection'!B87</f>
        <v>Maswa</v>
      </c>
      <c r="D746" s="263" t="s">
        <v>2659</v>
      </c>
      <c r="E746" s="263" t="s">
        <v>2661</v>
      </c>
      <c r="F746" s="263">
        <v>3</v>
      </c>
      <c r="G746" s="264" t="str">
        <f>'Dry_Litterbag Placem_Collection'!C87</f>
        <v>Dry_W3_T5</v>
      </c>
      <c r="H746" s="273" t="s">
        <v>3651</v>
      </c>
      <c r="I746" s="274" t="s">
        <v>298</v>
      </c>
      <c r="J746" s="223" t="str">
        <f>'WetLitterbags placem_collection'!Q87</f>
        <v>R391</v>
      </c>
      <c r="K746" s="225">
        <f>IFERROR(INDEX('Green_rooibos initial weight'!$C$5:$C$1749,MATCH(J746, 'Green_rooibos initial weight'!$A$5:$A$1749,0)),"")</f>
        <v>2.1960000000000002</v>
      </c>
      <c r="L746" s="225">
        <f>IFERROR(K746-(TBIcalc!$H$9+TBIcalc!$H$10),"")</f>
        <v>1.9462000000000002</v>
      </c>
      <c r="M746" s="391">
        <f>AVERAGE(Ashed_controlls!$K$12:$K$14)</f>
        <v>2.2816647271287041</v>
      </c>
      <c r="N746" s="225">
        <f t="shared" si="60"/>
        <v>1.9017942410806212</v>
      </c>
      <c r="O746" s="225">
        <f>IF(IFERROR(INDEX('Both teabags AfterWet'!$C$3:$C$841,MATCH(J746,'Both teabags AfterWet'!$A$3:$A$841,0)),"")="","",(IFERROR(INDEX('Both teabags AfterWet'!$C$3:$C$841,MATCH(J746,'Both teabags AfterWet'!$A$3:$A$841,0)),"")))</f>
        <v>1.6220000000000001</v>
      </c>
      <c r="P746" s="225">
        <f>IFERROR(IF(O746&gt;0,O746-(TBIcalc!$H$9),""),"")</f>
        <v>1.4714</v>
      </c>
      <c r="Q746" s="225">
        <f>IFERROR(INDEX('Ashed teabags wet'!$K$2:$K$821,MATCH(J746,'Ashed teabags wet'!$A$2:$A$821,0)),"")</f>
        <v>3.6463536463541599</v>
      </c>
      <c r="R746" s="225">
        <f t="shared" si="63"/>
        <v>1.4177475524475449</v>
      </c>
      <c r="S746" s="226">
        <f>'WetLitterbags placem_collection'!E87</f>
        <v>42767</v>
      </c>
      <c r="T746" s="226">
        <f>IF('WetLitterbags placem_collection'!G87="","",'WetLitterbags placem_collection'!G87)</f>
        <v>42819</v>
      </c>
      <c r="U746" s="227">
        <f t="shared" si="64"/>
        <v>52</v>
      </c>
      <c r="V746" s="225">
        <f t="shared" si="61"/>
        <v>0.47480000000000011</v>
      </c>
      <c r="W746" s="225">
        <f t="shared" si="62"/>
        <v>0.48404668863307632</v>
      </c>
      <c r="X746">
        <f>IFERROR(INDEX(Rainfall_Wet!$O$2:$O$217,MATCH(B746, Rainfall_Wet!$A$2:$A$217,0)),"")</f>
        <v>194.93009798400001</v>
      </c>
      <c r="Y746" s="231">
        <v>38.691629007962128</v>
      </c>
      <c r="Z746" s="231">
        <v>26.81299763288143</v>
      </c>
      <c r="AA746" s="231">
        <v>34.495373359156439</v>
      </c>
      <c r="AB746" s="232" t="s">
        <v>2675</v>
      </c>
      <c r="AC746" s="231">
        <v>6.5483587974371602</v>
      </c>
      <c r="AD746">
        <f>IF('WetLitterbags placem_collection'!AB87="","",'WetLitterbags placem_collection'!AB87)</f>
        <v>8.6</v>
      </c>
      <c r="AE746">
        <f>IF('WetLitterbags placem_collection'!Z87="","",'WetLitterbags placem_collection'!Z87)</f>
        <v>3.8</v>
      </c>
      <c r="AF746" s="24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placem_collection'!Y87)),"YES","NO")</f>
        <v>NO</v>
      </c>
      <c r="AM746" t="str">
        <f>IF(ISNUMBER(SEARCH("H", 'WetLitterbags placem_collection'!Y87)),"YES","NO")</f>
        <v>NO</v>
      </c>
      <c r="AN746" t="str">
        <f>IF(ISNUMBER(SEARCH("R", 'WetLitterbags placem_collection'!Y87)),"YES","NO")</f>
        <v>NO</v>
      </c>
    </row>
    <row r="747" spans="1:40" ht="15" customHeight="1">
      <c r="A747" s="258" t="s">
        <v>2460</v>
      </c>
      <c r="B747" s="263">
        <f>'Dry_Litterbag Placem_Collection'!A88</f>
        <v>86</v>
      </c>
      <c r="C747" s="263" t="str">
        <f>'Dry_Litterbag Placem_Collection'!B88</f>
        <v>Maswa</v>
      </c>
      <c r="D747" s="263" t="s">
        <v>2659</v>
      </c>
      <c r="E747" s="263" t="s">
        <v>2661</v>
      </c>
      <c r="F747" s="263">
        <v>3</v>
      </c>
      <c r="G747" s="264" t="str">
        <f>'Dry_Litterbag Placem_Collection'!C88</f>
        <v>Dry_W3_T6</v>
      </c>
      <c r="H747" s="273" t="s">
        <v>3651</v>
      </c>
      <c r="I747" s="274" t="s">
        <v>298</v>
      </c>
      <c r="J747" s="223" t="str">
        <f>'WetLitterbags placem_collection'!Q88</f>
        <v>R62</v>
      </c>
      <c r="K747" s="225">
        <f>IFERROR(INDEX('Green_rooibos initial weight'!$C$5:$C$1749,MATCH(J747, 'Green_rooibos initial weight'!$A$5:$A$1749,0)),"")</f>
        <v>2.3660000000000001</v>
      </c>
      <c r="L747" s="225">
        <f>IFERROR(K747-(TBIcalc!$H$9+TBIcalc!$H$10),"")</f>
        <v>2.1162000000000001</v>
      </c>
      <c r="M747" s="391">
        <f>AVERAGE(Ashed_controlls!$K$12:$K$14)</f>
        <v>2.2816647271287041</v>
      </c>
      <c r="N747" s="225">
        <f t="shared" si="60"/>
        <v>2.0679154110445026</v>
      </c>
      <c r="O747" s="225">
        <f>IF(IFERROR(INDEX('Both teabags AfterWet'!$C$3:$C$841,MATCH(J747,'Both teabags AfterWet'!$A$3:$A$841,0)),"")="","",(IFERROR(INDEX('Both teabags AfterWet'!$C$3:$C$841,MATCH(J747,'Both teabags AfterWet'!$A$3:$A$841,0)),"")))</f>
        <v>1.6786000000000001</v>
      </c>
      <c r="P747" s="225">
        <f>IFERROR(IF(O747&gt;0,O747-(TBIcalc!$H$9),""),"")</f>
        <v>1.528</v>
      </c>
      <c r="Q747" s="225">
        <f>IFERROR(INDEX('Ashed teabags wet'!$K$2:$K$821,MATCH(J747,'Ashed teabags wet'!$A$2:$A$821,0)),"")</f>
        <v>28.338278931750832</v>
      </c>
      <c r="R747" s="225">
        <f t="shared" si="63"/>
        <v>1.0949910979228474</v>
      </c>
      <c r="S747" s="226">
        <f>'WetLitterbags placem_collection'!E88</f>
        <v>42767</v>
      </c>
      <c r="T747" s="226">
        <f>IF('WetLitterbags placem_collection'!G88="","",'WetLitterbags placem_collection'!G88)</f>
        <v>42819</v>
      </c>
      <c r="U747" s="227">
        <f t="shared" si="64"/>
        <v>52</v>
      </c>
      <c r="V747" s="225">
        <f t="shared" si="61"/>
        <v>0.58820000000000006</v>
      </c>
      <c r="W747" s="225">
        <f t="shared" si="62"/>
        <v>0.97292431312165517</v>
      </c>
      <c r="X747">
        <f>IFERROR(INDEX(Rainfall_Wet!$O$2:$O$217,MATCH(B747, Rainfall_Wet!$A$2:$A$217,0)),"")</f>
        <v>194.93009798400001</v>
      </c>
      <c r="Y747" s="231">
        <v>38.691629007962128</v>
      </c>
      <c r="Z747" s="231">
        <v>26.81299763288143</v>
      </c>
      <c r="AA747" s="231">
        <v>34.495373359156439</v>
      </c>
      <c r="AB747" s="232" t="s">
        <v>2675</v>
      </c>
      <c r="AC747" s="231">
        <v>7.5483587974371602</v>
      </c>
      <c r="AD747">
        <f>IF('WetLitterbags placem_collection'!AB88="","",'WetLitterbags placem_collection'!AB88)</f>
        <v>3.7</v>
      </c>
      <c r="AE747">
        <f>IF('WetLitterbags placem_collection'!Z88="","",'WetLitterbags placem_collection'!Z88)</f>
        <v>7.5</v>
      </c>
      <c r="AF747" s="24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placem_collection'!Y88)),"YES","NO")</f>
        <v>NO</v>
      </c>
      <c r="AM747" t="str">
        <f>IF(ISNUMBER(SEARCH("H", 'WetLitterbags placem_collection'!Y88)),"YES","NO")</f>
        <v>NO</v>
      </c>
      <c r="AN747" t="str">
        <f>IF(ISNUMBER(SEARCH("R", 'WetLitterbags placem_collection'!Y88)),"YES","NO")</f>
        <v>NO</v>
      </c>
    </row>
    <row r="748" spans="1:40" ht="15" customHeight="1">
      <c r="A748" s="258" t="s">
        <v>2460</v>
      </c>
      <c r="B748" s="263">
        <f>'Dry_Litterbag Placem_Collection'!A89</f>
        <v>87</v>
      </c>
      <c r="C748" s="263" t="str">
        <f>'Dry_Litterbag Placem_Collection'!B89</f>
        <v>Maswa</v>
      </c>
      <c r="D748" s="263" t="s">
        <v>2659</v>
      </c>
      <c r="E748" s="263" t="s">
        <v>2661</v>
      </c>
      <c r="F748" s="263">
        <v>3</v>
      </c>
      <c r="G748" s="264" t="str">
        <f>'Dry_Litterbag Placem_Collection'!C89</f>
        <v>Dry_W3_T7</v>
      </c>
      <c r="H748" s="273" t="s">
        <v>3651</v>
      </c>
      <c r="I748" s="274" t="s">
        <v>298</v>
      </c>
      <c r="J748" s="223" t="str">
        <f>'WetLitterbags placem_collection'!Q89</f>
        <v>R329</v>
      </c>
      <c r="K748" s="225">
        <f>IFERROR(INDEX('Green_rooibos initial weight'!$C$5:$C$1749,MATCH(J748, 'Green_rooibos initial weight'!$A$5:$A$1749,0)),"")</f>
        <v>2.2120000000000002</v>
      </c>
      <c r="L748" s="225">
        <f>IFERROR(K748-(TBIcalc!$H$9+TBIcalc!$H$10),"")</f>
        <v>1.9622000000000002</v>
      </c>
      <c r="M748" s="391">
        <f>AVERAGE(Ashed_controlls!$K$12:$K$14)</f>
        <v>2.2816647271287041</v>
      </c>
      <c r="N748" s="225">
        <f t="shared" si="60"/>
        <v>1.9174291747242806</v>
      </c>
      <c r="O748" s="225">
        <f>IF(IFERROR(INDEX('Both teabags AfterWet'!$C$3:$C$841,MATCH(J748,'Both teabags AfterWet'!$A$3:$A$841,0)),"")="","",(IFERROR(INDEX('Both teabags AfterWet'!$C$3:$C$841,MATCH(J748,'Both teabags AfterWet'!$A$3:$A$841,0)),"")))</f>
        <v>1.7085999999999999</v>
      </c>
      <c r="P748" s="225">
        <f>IFERROR(IF(O748&gt;0,O748-(TBIcalc!$H$9),""),"")</f>
        <v>1.5579999999999998</v>
      </c>
      <c r="Q748" s="225">
        <f>IFERROR(INDEX('Ashed teabags wet'!$K$2:$K$821,MATCH(J748,'Ashed teabags wet'!$A$2:$A$821,0)),"")</f>
        <v>5.7663873829462604</v>
      </c>
      <c r="R748" s="225">
        <f t="shared" si="63"/>
        <v>1.4681596845736971</v>
      </c>
      <c r="S748" s="226">
        <f>'WetLitterbags placem_collection'!E89</f>
        <v>42767</v>
      </c>
      <c r="T748" s="226">
        <f>IF('WetLitterbags placem_collection'!G89="","",'WetLitterbags placem_collection'!G89)</f>
        <v>42819</v>
      </c>
      <c r="U748" s="227">
        <f t="shared" si="64"/>
        <v>52</v>
      </c>
      <c r="V748" s="225">
        <f t="shared" si="61"/>
        <v>0.40420000000000034</v>
      </c>
      <c r="W748" s="225">
        <f t="shared" si="62"/>
        <v>0.44926949015058359</v>
      </c>
      <c r="X748">
        <f>IFERROR(INDEX(Rainfall_Wet!$O$2:$O$217,MATCH(B748, Rainfall_Wet!$A$2:$A$217,0)),"")</f>
        <v>194.93009798400001</v>
      </c>
      <c r="Y748" s="231">
        <v>38.691629007962128</v>
      </c>
      <c r="Z748" s="231">
        <v>26.81299763288143</v>
      </c>
      <c r="AA748" s="231">
        <v>34.495373359156439</v>
      </c>
      <c r="AB748" s="232" t="s">
        <v>2675</v>
      </c>
      <c r="AC748" s="231">
        <v>8.5483587974371602</v>
      </c>
      <c r="AD748">
        <f>IF('WetLitterbags placem_collection'!AB89="","",'WetLitterbags placem_collection'!AB89)</f>
        <v>7.5</v>
      </c>
      <c r="AE748">
        <f>IF('WetLitterbags placem_collection'!Z89="","",'WetLitterbags placem_collection'!Z89)</f>
        <v>12.6</v>
      </c>
      <c r="AF748" s="24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placem_collection'!Y89)),"YES","NO")</f>
        <v>NO</v>
      </c>
      <c r="AM748" t="str">
        <f>IF(ISNUMBER(SEARCH("H", 'WetLitterbags placem_collection'!Y89)),"YES","NO")</f>
        <v>NO</v>
      </c>
      <c r="AN748" t="str">
        <f>IF(ISNUMBER(SEARCH("R", 'WetLitterbags placem_collection'!Y89)),"YES","NO")</f>
        <v>NO</v>
      </c>
    </row>
    <row r="749" spans="1:40" ht="15" customHeight="1">
      <c r="A749" s="258" t="s">
        <v>2460</v>
      </c>
      <c r="B749" s="263">
        <f>'Dry_Litterbag Placem_Collection'!A90</f>
        <v>88</v>
      </c>
      <c r="C749" s="263" t="str">
        <f>'Dry_Litterbag Placem_Collection'!B90</f>
        <v>Maswa</v>
      </c>
      <c r="D749" s="263" t="s">
        <v>2659</v>
      </c>
      <c r="E749" s="263" t="s">
        <v>2661</v>
      </c>
      <c r="F749" s="263">
        <v>3</v>
      </c>
      <c r="G749" s="264" t="str">
        <f>'Dry_Litterbag Placem_Collection'!C90</f>
        <v>Dry_W3_T8</v>
      </c>
      <c r="H749" s="273" t="s">
        <v>3651</v>
      </c>
      <c r="I749" s="274" t="s">
        <v>298</v>
      </c>
      <c r="J749" s="223" t="str">
        <f>'WetLitterbags placem_collection'!Q90</f>
        <v>R288</v>
      </c>
      <c r="K749" s="225">
        <f>IFERROR(INDEX('Green_rooibos initial weight'!$C$5:$C$1749,MATCH(J749, 'Green_rooibos initial weight'!$A$5:$A$1749,0)),"")</f>
        <v>2.2450000000000001</v>
      </c>
      <c r="L749" s="225">
        <f>IFERROR(K749-(TBIcalc!$H$9+TBIcalc!$H$10),"")</f>
        <v>1.9952000000000001</v>
      </c>
      <c r="M749" s="391">
        <f>AVERAGE(Ashed_controlls!$K$12:$K$14)</f>
        <v>2.2816647271287041</v>
      </c>
      <c r="N749" s="225">
        <f t="shared" si="60"/>
        <v>1.9496762253643283</v>
      </c>
      <c r="O749" s="225" t="str">
        <f>IF(IFERROR(INDEX('Both teabags AfterWet'!$C$3:$C$841,MATCH(J749,'Both teabags AfterWet'!$A$3:$A$841,0)),"")="","",(IFERROR(INDEX('Both teabags AfterWet'!$C$3:$C$841,MATCH(J749,'Both teabags AfterWet'!$A$3:$A$841,0)),"")))</f>
        <v/>
      </c>
      <c r="P749" s="225" t="str">
        <f>IFERROR(IF(O749&gt;0,O749-(TBIcalc!$H$9),""),"")</f>
        <v/>
      </c>
      <c r="Q749" s="225" t="str">
        <f>IFERROR(INDEX('Ashed teabags wet'!$K$2:$K$821,MATCH(J749,'Ashed teabags wet'!$A$2:$A$821,0)),"")</f>
        <v/>
      </c>
      <c r="R749" s="225" t="str">
        <f t="shared" si="63"/>
        <v/>
      </c>
      <c r="S749" s="226">
        <f>'WetLitterbags placem_collection'!E90</f>
        <v>42767</v>
      </c>
      <c r="T749" s="226" t="str">
        <f>IF('WetLitterbags placem_collection'!G90="","",'WetLitterbags placem_collection'!G90)</f>
        <v/>
      </c>
      <c r="U749" s="227" t="str">
        <f t="shared" si="64"/>
        <v/>
      </c>
      <c r="V749" s="225" t="str">
        <f t="shared" si="61"/>
        <v/>
      </c>
      <c r="W749" s="225" t="str">
        <f t="shared" si="62"/>
        <v/>
      </c>
      <c r="X749" t="str">
        <f>IFERROR(INDEX(Rainfall_Wet!$O$2:$O$217,MATCH(B749, Rainfall_Wet!$A$2:$A$217,0)),"")</f>
        <v/>
      </c>
      <c r="Y749" s="231">
        <v>38.691629007962128</v>
      </c>
      <c r="Z749" s="231">
        <v>26.81299763288143</v>
      </c>
      <c r="AA749" s="231">
        <v>34.495373359156439</v>
      </c>
      <c r="AB749" s="232" t="s">
        <v>2675</v>
      </c>
      <c r="AC749" s="231">
        <v>9.5483587974371602</v>
      </c>
      <c r="AD749" t="str">
        <f>IF('WetLitterbags placem_collection'!AB90="","",'WetLitterbags placem_collection'!AB90)</f>
        <v/>
      </c>
      <c r="AE749" t="str">
        <f>IF('WetLitterbags placem_collection'!Z90="","",'WetLitterbags placem_collection'!Z90)</f>
        <v/>
      </c>
      <c r="AF749" s="24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placem_collection'!Y90)),"YES","NO")</f>
        <v>NO</v>
      </c>
      <c r="AM749" t="str">
        <f>IF(ISNUMBER(SEARCH("H", 'WetLitterbags placem_collection'!Y90)),"YES","NO")</f>
        <v>NO</v>
      </c>
      <c r="AN749" t="str">
        <f>IF(ISNUMBER(SEARCH("R", 'WetLitterbags placem_collection'!Y90)),"YES","NO")</f>
        <v>NO</v>
      </c>
    </row>
    <row r="750" spans="1:40" ht="15" customHeight="1">
      <c r="A750" s="258" t="s">
        <v>2460</v>
      </c>
      <c r="B750" s="263">
        <f>'Dry_Litterbag Placem_Collection'!A91</f>
        <v>89</v>
      </c>
      <c r="C750" s="263" t="str">
        <f>'Dry_Litterbag Placem_Collection'!B91</f>
        <v>Maswa</v>
      </c>
      <c r="D750" s="263" t="s">
        <v>2659</v>
      </c>
      <c r="E750" s="263" t="s">
        <v>2661</v>
      </c>
      <c r="F750" s="263">
        <v>4</v>
      </c>
      <c r="G750" s="264" t="str">
        <f>'Dry_Litterbag Placem_Collection'!C91</f>
        <v>Dry_W4_T1</v>
      </c>
      <c r="H750" s="273" t="s">
        <v>3651</v>
      </c>
      <c r="I750" s="274" t="s">
        <v>298</v>
      </c>
      <c r="J750" s="223" t="str">
        <f>'WetLitterbags placem_collection'!Q91</f>
        <v>R171</v>
      </c>
      <c r="K750" s="225">
        <f>IFERROR(INDEX('Green_rooibos initial weight'!$C$5:$C$1749,MATCH(J750, 'Green_rooibos initial weight'!$A$5:$A$1749,0)),"")</f>
        <v>2.1160000000000001</v>
      </c>
      <c r="L750" s="225">
        <f>IFERROR(K750-(TBIcalc!$H$9+TBIcalc!$H$10),"")</f>
        <v>1.8662000000000001</v>
      </c>
      <c r="M750" s="391">
        <f>AVERAGE(Ashed_controlls!$K$12:$K$14)</f>
        <v>2.2816647271287041</v>
      </c>
      <c r="N750" s="225">
        <f t="shared" si="60"/>
        <v>1.8236195728623241</v>
      </c>
      <c r="O750" s="225">
        <f>IF(IFERROR(INDEX('Both teabags AfterWet'!$C$3:$C$841,MATCH(J750,'Both teabags AfterWet'!$A$3:$A$841,0)),"")="","",(IFERROR(INDEX('Both teabags AfterWet'!$C$3:$C$841,MATCH(J750,'Both teabags AfterWet'!$A$3:$A$841,0)),"")))</f>
        <v>2.0529999999999999</v>
      </c>
      <c r="P750" s="225">
        <f>IFERROR(IF(O750&gt;0,O750-(TBIcalc!$H$9),""),"")</f>
        <v>1.9023999999999999</v>
      </c>
      <c r="Q750" s="225">
        <f>IFERROR(INDEX('Ashed teabags wet'!$K$2:$K$821,MATCH(J750,'Ashed teabags wet'!$A$2:$A$821,0)),"")</f>
        <v>19.890873015872916</v>
      </c>
      <c r="R750" s="225">
        <f t="shared" si="63"/>
        <v>1.5239960317460335</v>
      </c>
      <c r="S750" s="226">
        <f>'WetLitterbags placem_collection'!E91</f>
        <v>42767</v>
      </c>
      <c r="T750" s="226">
        <f>IF('WetLitterbags placem_collection'!G91="","",'WetLitterbags placem_collection'!G91)</f>
        <v>42819</v>
      </c>
      <c r="U750" s="227">
        <f t="shared" si="64"/>
        <v>52</v>
      </c>
      <c r="V750" s="225">
        <f t="shared" si="61"/>
        <v>-3.6199999999999788E-2</v>
      </c>
      <c r="W750" s="225">
        <f t="shared" si="62"/>
        <v>0.29962354111629064</v>
      </c>
      <c r="X750">
        <f>IFERROR(INDEX(Rainfall_Wet!$O$2:$O$217,MATCH(B750, Rainfall_Wet!$A$2:$A$217,0)),"")</f>
        <v>194.93009798400001</v>
      </c>
      <c r="Y750" s="231">
        <v>28.145762029394</v>
      </c>
      <c r="Z750" s="231">
        <v>25.085564727199518</v>
      </c>
      <c r="AA750" s="231">
        <v>46.768673243406489</v>
      </c>
      <c r="AB750" s="232" t="s">
        <v>2670</v>
      </c>
      <c r="AC750" s="231">
        <v>2.1716214884179394</v>
      </c>
      <c r="AD750">
        <f>IF('WetLitterbags placem_collection'!AB91="","",'WetLitterbags placem_collection'!AB91)</f>
        <v>7.3</v>
      </c>
      <c r="AE750">
        <f>IF('WetLitterbags placem_collection'!Z91="","",'WetLitterbags placem_collection'!Z91)</f>
        <v>35.799999999999997</v>
      </c>
      <c r="AF750" s="24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placem_collection'!Y91)),"YES","NO")</f>
        <v>NO</v>
      </c>
      <c r="AM750" t="str">
        <f>IF(ISNUMBER(SEARCH("H", 'WetLitterbags placem_collection'!Y91)),"YES","NO")</f>
        <v>NO</v>
      </c>
      <c r="AN750" t="str">
        <f>IF(ISNUMBER(SEARCH("R", 'WetLitterbags placem_collection'!Y91)),"YES","NO")</f>
        <v>NO</v>
      </c>
    </row>
    <row r="751" spans="1:40" ht="15" customHeight="1">
      <c r="A751" s="258" t="s">
        <v>2460</v>
      </c>
      <c r="B751" s="263">
        <f>'Dry_Litterbag Placem_Collection'!A92</f>
        <v>90</v>
      </c>
      <c r="C751" s="263" t="str">
        <f>'Dry_Litterbag Placem_Collection'!B92</f>
        <v>Maswa</v>
      </c>
      <c r="D751" s="263" t="s">
        <v>2659</v>
      </c>
      <c r="E751" s="263" t="s">
        <v>2661</v>
      </c>
      <c r="F751" s="263">
        <v>4</v>
      </c>
      <c r="G751" s="264" t="str">
        <f>'Dry_Litterbag Placem_Collection'!C92</f>
        <v>Dry_W4_T2</v>
      </c>
      <c r="H751" s="273" t="s">
        <v>3651</v>
      </c>
      <c r="I751" s="274" t="s">
        <v>298</v>
      </c>
      <c r="J751" s="223" t="str">
        <f>'WetLitterbags placem_collection'!Q92</f>
        <v>R517</v>
      </c>
      <c r="K751" s="225">
        <f>IFERROR(INDEX('Green_rooibos initial weight'!$C$5:$C$1749,MATCH(J751, 'Green_rooibos initial weight'!$A$5:$A$1749,0)),"")</f>
        <v>2.222</v>
      </c>
      <c r="L751" s="225">
        <f>IFERROR(K751-(TBIcalc!$H$9+TBIcalc!$H$10),"")</f>
        <v>1.9722</v>
      </c>
      <c r="M751" s="391">
        <f>AVERAGE(Ashed_controlls!$K$12:$K$14)</f>
        <v>2.2816647271287041</v>
      </c>
      <c r="N751" s="225">
        <f t="shared" si="60"/>
        <v>1.9272010082515676</v>
      </c>
      <c r="O751" s="225">
        <f>IF(IFERROR(INDEX('Both teabags AfterWet'!$C$3:$C$841,MATCH(J751,'Both teabags AfterWet'!$A$3:$A$841,0)),"")="","",(IFERROR(INDEX('Both teabags AfterWet'!$C$3:$C$841,MATCH(J751,'Both teabags AfterWet'!$A$3:$A$841,0)),"")))</f>
        <v>2.2749000000000001</v>
      </c>
      <c r="P751" s="225">
        <f>IFERROR(IF(O751&gt;0,O751-(TBIcalc!$H$9),""),"")</f>
        <v>2.1243000000000003</v>
      </c>
      <c r="Q751" s="225">
        <f>IFERROR(INDEX('Ashed teabags wet'!$K$2:$K$821,MATCH(J751,'Ashed teabags wet'!$A$2:$A$821,0)),"")</f>
        <v>22.544750846637683</v>
      </c>
      <c r="R751" s="225">
        <f t="shared" si="63"/>
        <v>1.645381857764876</v>
      </c>
      <c r="S751" s="226">
        <f>'WetLitterbags placem_collection'!E92</f>
        <v>42767</v>
      </c>
      <c r="T751" s="226">
        <f>IF('WetLitterbags placem_collection'!G92="","",'WetLitterbags placem_collection'!G92)</f>
        <v>42819</v>
      </c>
      <c r="U751" s="227">
        <f t="shared" si="64"/>
        <v>52</v>
      </c>
      <c r="V751" s="225">
        <f t="shared" si="61"/>
        <v>-0.15210000000000035</v>
      </c>
      <c r="W751" s="225">
        <f t="shared" si="62"/>
        <v>0.28181915048669159</v>
      </c>
      <c r="X751">
        <f>IFERROR(INDEX(Rainfall_Wet!$O$2:$O$217,MATCH(B751, Rainfall_Wet!$A$2:$A$217,0)),"")</f>
        <v>194.93009798400001</v>
      </c>
      <c r="Y751" s="231">
        <v>28.145762029394</v>
      </c>
      <c r="Z751" s="231">
        <v>25.085564727199518</v>
      </c>
      <c r="AA751" s="231">
        <v>46.768673243406489</v>
      </c>
      <c r="AB751" s="232" t="s">
        <v>2670</v>
      </c>
      <c r="AC751" s="231">
        <v>3.1716214884179399</v>
      </c>
      <c r="AD751">
        <f>IF('WetLitterbags placem_collection'!AB92="","",'WetLitterbags placem_collection'!AB92)</f>
        <v>7.7</v>
      </c>
      <c r="AE751">
        <f>IF('WetLitterbags placem_collection'!Z92="","",'WetLitterbags placem_collection'!Z92)</f>
        <v>30.4</v>
      </c>
      <c r="AF751" s="24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placem_collection'!Y92)),"YES","NO")</f>
        <v>NO</v>
      </c>
      <c r="AM751" t="str">
        <f>IF(ISNUMBER(SEARCH("H", 'WetLitterbags placem_collection'!Y92)),"YES","NO")</f>
        <v>NO</v>
      </c>
      <c r="AN751" t="str">
        <f>IF(ISNUMBER(SEARCH("R", 'WetLitterbags placem_collection'!Y92)),"YES","NO")</f>
        <v>YES</v>
      </c>
    </row>
    <row r="752" spans="1:40" ht="15" customHeight="1">
      <c r="A752" s="258" t="s">
        <v>2460</v>
      </c>
      <c r="B752" s="263">
        <f>'Dry_Litterbag Placem_Collection'!A93</f>
        <v>91</v>
      </c>
      <c r="C752" s="263" t="str">
        <f>'Dry_Litterbag Placem_Collection'!B93</f>
        <v>Maswa</v>
      </c>
      <c r="D752" s="263" t="s">
        <v>2659</v>
      </c>
      <c r="E752" s="263" t="s">
        <v>2661</v>
      </c>
      <c r="F752" s="263">
        <v>4</v>
      </c>
      <c r="G752" s="264" t="str">
        <f>'Dry_Litterbag Placem_Collection'!C93</f>
        <v>Dry_W4_T3</v>
      </c>
      <c r="H752" s="273" t="s">
        <v>3651</v>
      </c>
      <c r="I752" s="274" t="s">
        <v>298</v>
      </c>
      <c r="J752" s="223" t="str">
        <f>'WetLitterbags placem_collection'!Q93</f>
        <v>R73</v>
      </c>
      <c r="K752" s="225">
        <f>IFERROR(INDEX('Green_rooibos initial weight'!$C$5:$C$1749,MATCH(J752, 'Green_rooibos initial weight'!$A$5:$A$1749,0)),"")</f>
        <v>2.1459999999999999</v>
      </c>
      <c r="L752" s="225">
        <f>IFERROR(K752-(TBIcalc!$H$9+TBIcalc!$H$10),"")</f>
        <v>1.8961999999999999</v>
      </c>
      <c r="M752" s="391">
        <f>AVERAGE(Ashed_controlls!$K$12:$K$14)</f>
        <v>2.2816647271287041</v>
      </c>
      <c r="N752" s="225">
        <f t="shared" si="60"/>
        <v>1.8529350734441854</v>
      </c>
      <c r="O752" s="225">
        <f>IF(IFERROR(INDEX('Both teabags AfterWet'!$C$3:$C$841,MATCH(J752,'Both teabags AfterWet'!$A$3:$A$841,0)),"")="","",(IFERROR(INDEX('Both teabags AfterWet'!$C$3:$C$841,MATCH(J752,'Both teabags AfterWet'!$A$3:$A$841,0)),"")))</f>
        <v>1.663</v>
      </c>
      <c r="P752" s="225">
        <f>IFERROR(IF(O752&gt;0,O752-(TBIcalc!$H$9),""),"")</f>
        <v>1.5124</v>
      </c>
      <c r="Q752" s="225">
        <f>IFERROR(INDEX('Ashed teabags wet'!$K$2:$K$821,MATCH(J752,'Ashed teabags wet'!$A$2:$A$821,0)),"")</f>
        <v>3.2402791625130467</v>
      </c>
      <c r="R752" s="225">
        <f t="shared" si="63"/>
        <v>1.4633940179461526</v>
      </c>
      <c r="S752" s="226">
        <f>'WetLitterbags placem_collection'!E93</f>
        <v>42767</v>
      </c>
      <c r="T752" s="226">
        <f>IF('WetLitterbags placem_collection'!G93="","",'WetLitterbags placem_collection'!G93)</f>
        <v>42819</v>
      </c>
      <c r="U752" s="227">
        <f t="shared" si="64"/>
        <v>52</v>
      </c>
      <c r="V752" s="225">
        <f t="shared" si="61"/>
        <v>0.38379999999999992</v>
      </c>
      <c r="W752" s="225">
        <f t="shared" si="62"/>
        <v>0.38954105549803275</v>
      </c>
      <c r="X752">
        <f>IFERROR(INDEX(Rainfall_Wet!$O$2:$O$217,MATCH(B752, Rainfall_Wet!$A$2:$A$217,0)),"")</f>
        <v>194.93009798400001</v>
      </c>
      <c r="Y752" s="231">
        <v>28.145762029394</v>
      </c>
      <c r="Z752" s="231">
        <v>25.085564727199518</v>
      </c>
      <c r="AA752" s="231">
        <v>46.768673243406489</v>
      </c>
      <c r="AB752" s="232" t="s">
        <v>2670</v>
      </c>
      <c r="AC752" s="231">
        <v>4.1716214884179399</v>
      </c>
      <c r="AD752">
        <f>IF('WetLitterbags placem_collection'!AB93="","",'WetLitterbags placem_collection'!AB93)</f>
        <v>6.1</v>
      </c>
      <c r="AE752">
        <f>IF('WetLitterbags placem_collection'!Z93="","",'WetLitterbags placem_collection'!Z93)</f>
        <v>39.4</v>
      </c>
      <c r="AF752" s="24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placem_collection'!Y93)),"YES","NO")</f>
        <v>NO</v>
      </c>
      <c r="AM752" t="str">
        <f>IF(ISNUMBER(SEARCH("H", 'WetLitterbags placem_collection'!Y93)),"YES","NO")</f>
        <v>NO</v>
      </c>
      <c r="AN752" t="str">
        <f>IF(ISNUMBER(SEARCH("R", 'WetLitterbags placem_collection'!Y93)),"YES","NO")</f>
        <v>NO</v>
      </c>
    </row>
    <row r="753" spans="1:40" ht="15" customHeight="1">
      <c r="A753" s="258" t="s">
        <v>2460</v>
      </c>
      <c r="B753" s="263">
        <f>'Dry_Litterbag Placem_Collection'!A94</f>
        <v>92</v>
      </c>
      <c r="C753" s="263" t="str">
        <f>'Dry_Litterbag Placem_Collection'!B94</f>
        <v>Maswa</v>
      </c>
      <c r="D753" s="263" t="s">
        <v>2659</v>
      </c>
      <c r="E753" s="263" t="s">
        <v>2661</v>
      </c>
      <c r="F753" s="263">
        <v>4</v>
      </c>
      <c r="G753" s="264" t="str">
        <f>'Dry_Litterbag Placem_Collection'!C94</f>
        <v>Dry_W4_T4</v>
      </c>
      <c r="H753" s="273" t="s">
        <v>3651</v>
      </c>
      <c r="I753" s="274" t="s">
        <v>298</v>
      </c>
      <c r="J753" s="223" t="str">
        <f>'WetLitterbags placem_collection'!Q94</f>
        <v>R4</v>
      </c>
      <c r="K753" s="225">
        <f>IFERROR(INDEX('Green_rooibos initial weight'!$C$5:$C$1749,MATCH(J753, 'Green_rooibos initial weight'!$A$5:$A$1749,0)),"")</f>
        <v>2.1549999999999998</v>
      </c>
      <c r="L753" s="225">
        <f>IFERROR(K753-(TBIcalc!$H$9+TBIcalc!$H$10),"")</f>
        <v>1.9051999999999998</v>
      </c>
      <c r="M753" s="391">
        <f>AVERAGE(Ashed_controlls!$K$12:$K$14)</f>
        <v>2.2816647271287041</v>
      </c>
      <c r="N753" s="225">
        <f t="shared" si="60"/>
        <v>1.8617297236187438</v>
      </c>
      <c r="O753" s="225">
        <f>IF(IFERROR(INDEX('Both teabags AfterWet'!$C$3:$C$841,MATCH(J753,'Both teabags AfterWet'!$A$3:$A$841,0)),"")="","",(IFERROR(INDEX('Both teabags AfterWet'!$C$3:$C$841,MATCH(J753,'Both teabags AfterWet'!$A$3:$A$841,0)),"")))</f>
        <v>1.6779999999999999</v>
      </c>
      <c r="P753" s="225">
        <f>IFERROR(IF(O753&gt;0,O753-(TBIcalc!$H$9),""),"")</f>
        <v>1.5273999999999999</v>
      </c>
      <c r="Q753" s="225">
        <f>IFERROR(INDEX('Ashed teabags wet'!$K$2:$K$821,MATCH(J753,'Ashed teabags wet'!$A$2:$A$821,0)),"")</f>
        <v>2.4590163934421247</v>
      </c>
      <c r="R753" s="225">
        <f t="shared" si="63"/>
        <v>1.4898409836065649</v>
      </c>
      <c r="S753" s="226">
        <f>'WetLitterbags placem_collection'!E94</f>
        <v>42767</v>
      </c>
      <c r="T753" s="226">
        <f>IF('WetLitterbags placem_collection'!G94="","",'WetLitterbags placem_collection'!G94)</f>
        <v>42819</v>
      </c>
      <c r="U753" s="227">
        <f t="shared" si="64"/>
        <v>52</v>
      </c>
      <c r="V753" s="225">
        <f t="shared" si="61"/>
        <v>0.37779999999999991</v>
      </c>
      <c r="W753" s="225">
        <f t="shared" si="62"/>
        <v>0.37188874001217886</v>
      </c>
      <c r="X753">
        <f>IFERROR(INDEX(Rainfall_Wet!$O$2:$O$217,MATCH(B753, Rainfall_Wet!$A$2:$A$217,0)),"")</f>
        <v>194.93009798400001</v>
      </c>
      <c r="Y753" s="231">
        <v>28.145762029394</v>
      </c>
      <c r="Z753" s="231">
        <v>25.085564727199518</v>
      </c>
      <c r="AA753" s="231">
        <v>46.768673243406489</v>
      </c>
      <c r="AB753" s="232" t="s">
        <v>2670</v>
      </c>
      <c r="AC753" s="231">
        <v>5.1716214884179399</v>
      </c>
      <c r="AD753">
        <f>IF('WetLitterbags placem_collection'!AB94="","",'WetLitterbags placem_collection'!AB94)</f>
        <v>7.7</v>
      </c>
      <c r="AE753">
        <f>IF('WetLitterbags placem_collection'!Z94="","",'WetLitterbags placem_collection'!Z94)</f>
        <v>24.8</v>
      </c>
      <c r="AF753" s="24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placem_collection'!Y94)),"YES","NO")</f>
        <v>NO</v>
      </c>
      <c r="AM753" t="str">
        <f>IF(ISNUMBER(SEARCH("H", 'WetLitterbags placem_collection'!Y94)),"YES","NO")</f>
        <v>NO</v>
      </c>
      <c r="AN753" t="str">
        <f>IF(ISNUMBER(SEARCH("R", 'WetLitterbags placem_collection'!Y94)),"YES","NO")</f>
        <v>YES</v>
      </c>
    </row>
    <row r="754" spans="1:40" ht="15" customHeight="1">
      <c r="A754" s="258" t="s">
        <v>2460</v>
      </c>
      <c r="B754" s="263">
        <f>'Dry_Litterbag Placem_Collection'!A95</f>
        <v>93</v>
      </c>
      <c r="C754" s="263" t="str">
        <f>'Dry_Litterbag Placem_Collection'!B95</f>
        <v>Maswa</v>
      </c>
      <c r="D754" s="263" t="s">
        <v>2659</v>
      </c>
      <c r="E754" s="263" t="s">
        <v>2661</v>
      </c>
      <c r="F754" s="263">
        <v>4</v>
      </c>
      <c r="G754" s="264" t="str">
        <f>'Dry_Litterbag Placem_Collection'!C95</f>
        <v>Dry_W4_T5</v>
      </c>
      <c r="H754" s="273" t="s">
        <v>3651</v>
      </c>
      <c r="I754" s="274" t="s">
        <v>298</v>
      </c>
      <c r="J754" s="223" t="str">
        <f>'WetLitterbags placem_collection'!Q95</f>
        <v>R136</v>
      </c>
      <c r="K754" s="225">
        <f>IFERROR(INDEX('Green_rooibos initial weight'!$C$5:$C$1749,MATCH(J754, 'Green_rooibos initial weight'!$A$5:$A$1749,0)),"")</f>
        <v>2.21</v>
      </c>
      <c r="L754" s="225">
        <f>IFERROR(K754-(TBIcalc!$H$9+TBIcalc!$H$10),"")</f>
        <v>1.9601999999999999</v>
      </c>
      <c r="M754" s="391">
        <f>AVERAGE(Ashed_controlls!$K$12:$K$14)</f>
        <v>2.2816647271287041</v>
      </c>
      <c r="N754" s="225">
        <f t="shared" si="60"/>
        <v>1.9154748080188231</v>
      </c>
      <c r="O754" s="225">
        <f>IF(IFERROR(INDEX('Both teabags AfterWet'!$C$3:$C$841,MATCH(J754,'Both teabags AfterWet'!$A$3:$A$841,0)),"")="","",(IFERROR(INDEX('Both teabags AfterWet'!$C$3:$C$841,MATCH(J754,'Both teabags AfterWet'!$A$3:$A$841,0)),"")))</f>
        <v>1.6368</v>
      </c>
      <c r="P754" s="225">
        <f>IFERROR(IF(O754&gt;0,O754-(TBIcalc!$H$9),""),"")</f>
        <v>1.4862</v>
      </c>
      <c r="Q754" s="225">
        <f>IFERROR(INDEX('Ashed teabags wet'!$K$2:$K$821,MATCH(J754,'Ashed teabags wet'!$A$2:$A$821,0)),"")</f>
        <v>2.2232962783957189</v>
      </c>
      <c r="R754" s="225">
        <f t="shared" si="63"/>
        <v>1.4531573707104828</v>
      </c>
      <c r="S754" s="226">
        <f>'WetLitterbags placem_collection'!E95</f>
        <v>42767</v>
      </c>
      <c r="T754" s="226">
        <f>IF('WetLitterbags placem_collection'!G95="","",'WetLitterbags placem_collection'!G95)</f>
        <v>42819</v>
      </c>
      <c r="U754" s="227">
        <f t="shared" si="64"/>
        <v>52</v>
      </c>
      <c r="V754" s="225">
        <f t="shared" si="61"/>
        <v>0.47399999999999998</v>
      </c>
      <c r="W754" s="225">
        <f t="shared" si="62"/>
        <v>0.4623174373083403</v>
      </c>
      <c r="X754">
        <f>IFERROR(INDEX(Rainfall_Wet!$O$2:$O$217,MATCH(B754, Rainfall_Wet!$A$2:$A$217,0)),"")</f>
        <v>194.93009798400001</v>
      </c>
      <c r="Y754" s="231">
        <v>28.145762029394</v>
      </c>
      <c r="Z754" s="231">
        <v>25.085564727199518</v>
      </c>
      <c r="AA754" s="231">
        <v>46.768673243406489</v>
      </c>
      <c r="AB754" s="232" t="s">
        <v>2670</v>
      </c>
      <c r="AC754" s="231">
        <v>6.1716214884179399</v>
      </c>
      <c r="AD754">
        <f>IF('WetLitterbags placem_collection'!AB95="","",'WetLitterbags placem_collection'!AB95)</f>
        <v>6.6</v>
      </c>
      <c r="AE754">
        <f>IF('WetLitterbags placem_collection'!Z95="","",'WetLitterbags placem_collection'!Z95)</f>
        <v>40</v>
      </c>
      <c r="AF754" s="24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placem_collection'!Y95)),"YES","NO")</f>
        <v>NO</v>
      </c>
      <c r="AM754" t="str">
        <f>IF(ISNUMBER(SEARCH("H", 'WetLitterbags placem_collection'!Y95)),"YES","NO")</f>
        <v>NO</v>
      </c>
      <c r="AN754" t="str">
        <f>IF(ISNUMBER(SEARCH("R", 'WetLitterbags placem_collection'!Y95)),"YES","NO")</f>
        <v>YES</v>
      </c>
    </row>
    <row r="755" spans="1:40" ht="15" customHeight="1">
      <c r="A755" s="258" t="s">
        <v>2460</v>
      </c>
      <c r="B755" s="263">
        <f>'Dry_Litterbag Placem_Collection'!A96</f>
        <v>94</v>
      </c>
      <c r="C755" s="263" t="str">
        <f>'Dry_Litterbag Placem_Collection'!B96</f>
        <v>Maswa</v>
      </c>
      <c r="D755" s="263" t="s">
        <v>2659</v>
      </c>
      <c r="E755" s="263" t="s">
        <v>2661</v>
      </c>
      <c r="F755" s="263">
        <v>4</v>
      </c>
      <c r="G755" s="264" t="str">
        <f>'Dry_Litterbag Placem_Collection'!C96</f>
        <v>Dry_W4_T6</v>
      </c>
      <c r="H755" s="273" t="s">
        <v>3651</v>
      </c>
      <c r="I755" s="274" t="s">
        <v>298</v>
      </c>
      <c r="J755" s="223" t="str">
        <f>'WetLitterbags placem_collection'!Q96</f>
        <v>R358</v>
      </c>
      <c r="K755" s="225">
        <f>IFERROR(INDEX('Green_rooibos initial weight'!$C$5:$C$1749,MATCH(J755, 'Green_rooibos initial weight'!$A$5:$A$1749,0)),"")</f>
        <v>2.2210000000000001</v>
      </c>
      <c r="L755" s="225">
        <f>IFERROR(K755-(TBIcalc!$H$9+TBIcalc!$H$10),"")</f>
        <v>1.9712000000000001</v>
      </c>
      <c r="M755" s="391">
        <f>AVERAGE(Ashed_controlls!$K$12:$K$14)</f>
        <v>2.2816647271287041</v>
      </c>
      <c r="N755" s="225">
        <f t="shared" si="60"/>
        <v>1.926223824898839</v>
      </c>
      <c r="O755" s="225" t="str">
        <f>IF(IFERROR(INDEX('Both teabags AfterWet'!$C$3:$C$841,MATCH(J755,'Both teabags AfterWet'!$A$3:$A$841,0)),"")="","",(IFERROR(INDEX('Both teabags AfterWet'!$C$3:$C$841,MATCH(J755,'Both teabags AfterWet'!$A$3:$A$841,0)),"")))</f>
        <v/>
      </c>
      <c r="P755" s="225" t="str">
        <f>IFERROR(IF(O755&gt;0,O755-(TBIcalc!$H$9),""),"")</f>
        <v/>
      </c>
      <c r="Q755" s="225" t="str">
        <f>IFERROR(INDEX('Ashed teabags wet'!$K$2:$K$821,MATCH(J755,'Ashed teabags wet'!$A$2:$A$821,0)),"")</f>
        <v/>
      </c>
      <c r="R755" s="225" t="str">
        <f t="shared" si="63"/>
        <v/>
      </c>
      <c r="S755" s="226">
        <f>'WetLitterbags placem_collection'!E96</f>
        <v>42767</v>
      </c>
      <c r="T755" s="226" t="str">
        <f>IF('WetLitterbags placem_collection'!G96="","",'WetLitterbags placem_collection'!G96)</f>
        <v/>
      </c>
      <c r="U755" s="227" t="str">
        <f t="shared" si="64"/>
        <v/>
      </c>
      <c r="V755" s="225" t="str">
        <f t="shared" si="61"/>
        <v/>
      </c>
      <c r="W755" s="225" t="str">
        <f t="shared" si="62"/>
        <v/>
      </c>
      <c r="X755" t="str">
        <f>IFERROR(INDEX(Rainfall_Wet!$O$2:$O$217,MATCH(B755, Rainfall_Wet!$A$2:$A$217,0)),"")</f>
        <v/>
      </c>
      <c r="Y755" s="231">
        <v>28.145762029394</v>
      </c>
      <c r="Z755" s="231">
        <v>25.085564727199518</v>
      </c>
      <c r="AA755" s="231">
        <v>46.768673243406489</v>
      </c>
      <c r="AB755" s="232" t="s">
        <v>2670</v>
      </c>
      <c r="AC755" s="231">
        <v>7.1716214884179399</v>
      </c>
      <c r="AD755" t="str">
        <f>IF('WetLitterbags placem_collection'!AB96="","",'WetLitterbags placem_collection'!AB96)</f>
        <v/>
      </c>
      <c r="AE755" t="str">
        <f>IF('WetLitterbags placem_collection'!Z96="","",'WetLitterbags placem_collection'!Z96)</f>
        <v/>
      </c>
      <c r="AF755" s="24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placem_collection'!Y96)),"YES","NO")</f>
        <v>NO</v>
      </c>
      <c r="AM755" t="str">
        <f>IF(ISNUMBER(SEARCH("H", 'WetLitterbags placem_collection'!Y96)),"YES","NO")</f>
        <v>NO</v>
      </c>
      <c r="AN755" t="str">
        <f>IF(ISNUMBER(SEARCH("R", 'WetLitterbags placem_collection'!Y96)),"YES","NO")</f>
        <v>NO</v>
      </c>
    </row>
    <row r="756" spans="1:40" ht="15" customHeight="1">
      <c r="A756" s="258" t="s">
        <v>2460</v>
      </c>
      <c r="B756" s="263">
        <f>'Dry_Litterbag Placem_Collection'!A97</f>
        <v>95</v>
      </c>
      <c r="C756" s="263" t="str">
        <f>'Dry_Litterbag Placem_Collection'!B97</f>
        <v>Maswa</v>
      </c>
      <c r="D756" s="263" t="s">
        <v>2659</v>
      </c>
      <c r="E756" s="263" t="s">
        <v>2661</v>
      </c>
      <c r="F756" s="263">
        <v>4</v>
      </c>
      <c r="G756" s="264" t="str">
        <f>'Dry_Litterbag Placem_Collection'!C97</f>
        <v>Dry_W4_T7</v>
      </c>
      <c r="H756" s="273" t="s">
        <v>3651</v>
      </c>
      <c r="I756" s="274" t="s">
        <v>298</v>
      </c>
      <c r="J756" s="223" t="str">
        <f>'WetLitterbags placem_collection'!Q97</f>
        <v>R547</v>
      </c>
      <c r="K756" s="225">
        <f>IFERROR(INDEX('Green_rooibos initial weight'!$C$5:$C$1749,MATCH(J756, 'Green_rooibos initial weight'!$A$5:$A$1749,0)),"")</f>
        <v>2.194</v>
      </c>
      <c r="L756" s="225">
        <f>IFERROR(K756-(TBIcalc!$H$9+TBIcalc!$H$10),"")</f>
        <v>1.9441999999999999</v>
      </c>
      <c r="M756" s="391">
        <f>AVERAGE(Ashed_controlls!$K$12:$K$14)</f>
        <v>2.2816647271287041</v>
      </c>
      <c r="N756" s="225">
        <f t="shared" si="60"/>
        <v>1.8998398743751637</v>
      </c>
      <c r="O756" s="225">
        <f>IF(IFERROR(INDEX('Both teabags AfterWet'!$C$3:$C$841,MATCH(J756,'Both teabags AfterWet'!$A$3:$A$841,0)),"")="","",(IFERROR(INDEX('Both teabags AfterWet'!$C$3:$C$841,MATCH(J756,'Both teabags AfterWet'!$A$3:$A$841,0)),"")))</f>
        <v>1.5620000000000001</v>
      </c>
      <c r="P756" s="225">
        <f>IFERROR(IF(O756&gt;0,O756-(TBIcalc!$H$9),""),"")</f>
        <v>1.4114</v>
      </c>
      <c r="Q756" s="225">
        <f>IFERROR(INDEX('Ashed teabags wet'!$K$2:$K$821,MATCH(J756,'Ashed teabags wet'!$A$2:$A$821,0)),"")</f>
        <v>13.011335633317401</v>
      </c>
      <c r="R756" s="225">
        <f t="shared" si="63"/>
        <v>1.2277580088713582</v>
      </c>
      <c r="S756" s="226">
        <f>'WetLitterbags placem_collection'!E97</f>
        <v>42767</v>
      </c>
      <c r="T756" s="226">
        <f>IF('WetLitterbags placem_collection'!G97="","",'WetLitterbags placem_collection'!G97)</f>
        <v>42819</v>
      </c>
      <c r="U756" s="227">
        <f t="shared" si="64"/>
        <v>52</v>
      </c>
      <c r="V756" s="225">
        <f t="shared" si="61"/>
        <v>0.53279999999999994</v>
      </c>
      <c r="W756" s="225">
        <f t="shared" si="62"/>
        <v>0.67208186550380544</v>
      </c>
      <c r="X756">
        <f>IFERROR(INDEX(Rainfall_Wet!$O$2:$O$217,MATCH(B756, Rainfall_Wet!$A$2:$A$217,0)),"")</f>
        <v>194.93009798400001</v>
      </c>
      <c r="Y756" s="231">
        <v>28.145762029394</v>
      </c>
      <c r="Z756" s="231">
        <v>25.085564727199518</v>
      </c>
      <c r="AA756" s="231">
        <v>46.768673243406489</v>
      </c>
      <c r="AB756" s="232" t="s">
        <v>2670</v>
      </c>
      <c r="AC756" s="231">
        <v>8.1716214884179408</v>
      </c>
      <c r="AD756">
        <f>IF('WetLitterbags placem_collection'!AB97="","",'WetLitterbags placem_collection'!AB97)</f>
        <v>5.4</v>
      </c>
      <c r="AE756">
        <f>IF('WetLitterbags placem_collection'!Z97="","",'WetLitterbags placem_collection'!Z97)</f>
        <v>15.2</v>
      </c>
      <c r="AF756" s="24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placem_collection'!Y97)),"YES","NO")</f>
        <v>NO</v>
      </c>
      <c r="AM756" t="str">
        <f>IF(ISNUMBER(SEARCH("H", 'WetLitterbags placem_collection'!Y97)),"YES","NO")</f>
        <v>NO</v>
      </c>
      <c r="AN756" t="str">
        <f>IF(ISNUMBER(SEARCH("R", 'WetLitterbags placem_collection'!Y97)),"YES","NO")</f>
        <v>YES</v>
      </c>
    </row>
    <row r="757" spans="1:40" ht="15" customHeight="1">
      <c r="A757" s="258" t="s">
        <v>2460</v>
      </c>
      <c r="B757" s="263">
        <f>'Dry_Litterbag Placem_Collection'!A98</f>
        <v>96</v>
      </c>
      <c r="C757" s="263" t="str">
        <f>'Dry_Litterbag Placem_Collection'!B98</f>
        <v>Maswa</v>
      </c>
      <c r="D757" s="263" t="s">
        <v>2659</v>
      </c>
      <c r="E757" s="263" t="s">
        <v>2661</v>
      </c>
      <c r="F757" s="263">
        <v>4</v>
      </c>
      <c r="G757" s="264" t="str">
        <f>'Dry_Litterbag Placem_Collection'!C98</f>
        <v>Dry_W4_T8</v>
      </c>
      <c r="H757" s="273" t="s">
        <v>3651</v>
      </c>
      <c r="I757" s="274" t="s">
        <v>298</v>
      </c>
      <c r="J757" s="223" t="str">
        <f>'WetLitterbags placem_collection'!Q98</f>
        <v>R588</v>
      </c>
      <c r="K757" s="225">
        <f>IFERROR(INDEX('Green_rooibos initial weight'!$C$5:$C$1749,MATCH(J757, 'Green_rooibos initial weight'!$A$5:$A$1749,0)),"")</f>
        <v>2.1360000000000001</v>
      </c>
      <c r="L757" s="225">
        <f>IFERROR(K757-(TBIcalc!$H$9+TBIcalc!$H$10),"")</f>
        <v>1.8862000000000001</v>
      </c>
      <c r="M757" s="391">
        <f>AVERAGE(Ashed_controlls!$K$12:$K$14)</f>
        <v>2.2816647271287041</v>
      </c>
      <c r="N757" s="225">
        <f t="shared" si="60"/>
        <v>1.8431632399168985</v>
      </c>
      <c r="O757" s="225">
        <f>IF(IFERROR(INDEX('Both teabags AfterWet'!$C$3:$C$841,MATCH(J757,'Both teabags AfterWet'!$A$3:$A$841,0)),"")="","",(IFERROR(INDEX('Both teabags AfterWet'!$C$3:$C$841,MATCH(J757,'Both teabags AfterWet'!$A$3:$A$841,0)),"")))</f>
        <v>0.87350000000000005</v>
      </c>
      <c r="P757" s="225">
        <f>IFERROR(IF(O757&gt;0,O757-(TBIcalc!$H$9),""),"")</f>
        <v>0.7229000000000001</v>
      </c>
      <c r="Q757" s="225">
        <f>IFERROR(INDEX('Ashed teabags wet'!$K$2:$K$821,MATCH(J757,'Ashed teabags wet'!$A$2:$A$821,0)),"")</f>
        <v>6.1660865241169791</v>
      </c>
      <c r="R757" s="225">
        <f t="shared" si="63"/>
        <v>0.67832536051715842</v>
      </c>
      <c r="S757" s="226">
        <f>'WetLitterbags placem_collection'!E98</f>
        <v>42767</v>
      </c>
      <c r="T757" s="226">
        <f>IF('WetLitterbags placem_collection'!G98="","",'WetLitterbags placem_collection'!G98)</f>
        <v>42819</v>
      </c>
      <c r="U757" s="227">
        <f t="shared" si="64"/>
        <v>52</v>
      </c>
      <c r="V757" s="225">
        <f t="shared" si="61"/>
        <v>1.1633</v>
      </c>
      <c r="W757" s="225">
        <f t="shared" si="62"/>
        <v>1.16483787939974</v>
      </c>
      <c r="X757">
        <f>IFERROR(INDEX(Rainfall_Wet!$O$2:$O$217,MATCH(B757, Rainfall_Wet!$A$2:$A$217,0)),"")</f>
        <v>194.93009798400001</v>
      </c>
      <c r="Y757" s="231">
        <v>28.145762029394</v>
      </c>
      <c r="Z757" s="231">
        <v>25.085564727199518</v>
      </c>
      <c r="AA757" s="231">
        <v>46.768673243406489</v>
      </c>
      <c r="AB757" s="232" t="s">
        <v>2670</v>
      </c>
      <c r="AC757" s="231">
        <v>9.1716214884179408</v>
      </c>
      <c r="AD757">
        <f>IF('WetLitterbags placem_collection'!AB98="","",'WetLitterbags placem_collection'!AB98)</f>
        <v>4</v>
      </c>
      <c r="AE757">
        <f>IF('WetLitterbags placem_collection'!Z98="","",'WetLitterbags placem_collection'!Z98)</f>
        <v>34.4</v>
      </c>
      <c r="AF757" s="24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placem_collection'!Y98)),"YES","NO")</f>
        <v>NO</v>
      </c>
      <c r="AM757" t="str">
        <f>IF(ISNUMBER(SEARCH("H", 'WetLitterbags placem_collection'!Y98)),"YES","NO")</f>
        <v>NO</v>
      </c>
      <c r="AN757" t="str">
        <f>IF(ISNUMBER(SEARCH("R", 'WetLitterbags placem_collection'!Y98)),"YES","NO")</f>
        <v>NO</v>
      </c>
    </row>
    <row r="758" spans="1:40" ht="15" customHeight="1">
      <c r="A758" s="258" t="s">
        <v>2460</v>
      </c>
      <c r="B758" s="263">
        <f>'Dry_Litterbag Placem_Collection'!A99</f>
        <v>97</v>
      </c>
      <c r="C758" s="263" t="str">
        <f>'Dry_Litterbag Placem_Collection'!B99</f>
        <v xml:space="preserve">Mwantimba
</v>
      </c>
      <c r="D758" s="263" t="s">
        <v>2659</v>
      </c>
      <c r="E758" s="263" t="s">
        <v>2660</v>
      </c>
      <c r="F758" s="263">
        <v>1</v>
      </c>
      <c r="G758" s="264" t="str">
        <f>'Dry_Litterbag Placem_Collection'!C99</f>
        <v>Wet_Ag1_T1</v>
      </c>
      <c r="H758" s="273" t="s">
        <v>3651</v>
      </c>
      <c r="I758" s="274" t="s">
        <v>298</v>
      </c>
      <c r="J758" s="223" t="str">
        <f>'WetLitterbags placem_collection'!Q99</f>
        <v>R576</v>
      </c>
      <c r="K758" s="225">
        <f>IFERROR(INDEX('Green_rooibos initial weight'!$C$5:$C$1749,MATCH(J758, 'Green_rooibos initial weight'!$A$5:$A$1749,0)),"")</f>
        <v>2.109</v>
      </c>
      <c r="L758" s="225">
        <f>IFERROR(K758-(TBIcalc!$H$9+TBIcalc!$H$10),"")</f>
        <v>1.8592</v>
      </c>
      <c r="M758" s="391">
        <f>AVERAGE(Ashed_controlls!$K$12:$K$14)</f>
        <v>2.2816647271287041</v>
      </c>
      <c r="N758" s="225">
        <f t="shared" si="60"/>
        <v>1.8167792893932231</v>
      </c>
      <c r="O758" s="225" t="str">
        <f>IF(IFERROR(INDEX('Both teabags AfterWet'!$C$3:$C$841,MATCH(J758,'Both teabags AfterWet'!$A$3:$A$841,0)),"")="","",(IFERROR(INDEX('Both teabags AfterWet'!$C$3:$C$841,MATCH(J758,'Both teabags AfterWet'!$A$3:$A$841,0)),"")))</f>
        <v/>
      </c>
      <c r="P758" s="225" t="str">
        <f>IFERROR(IF(O758&gt;0,O758-(TBIcalc!$H$9),""),"")</f>
        <v/>
      </c>
      <c r="Q758" s="225">
        <f>IFERROR(INDEX('Ashed teabags wet'!$K$2:$K$821,MATCH(J758,'Ashed teabags wet'!$A$2:$A$821,0)),"")</f>
        <v>8.4409136047665729</v>
      </c>
      <c r="R758" s="225" t="str">
        <f t="shared" si="63"/>
        <v/>
      </c>
      <c r="S758" s="226">
        <f>'WetLitterbags placem_collection'!E99</f>
        <v>42762</v>
      </c>
      <c r="T758" s="226">
        <f>IF('WetLitterbags placem_collection'!G99="","",'WetLitterbags placem_collection'!G99)</f>
        <v>42816</v>
      </c>
      <c r="U758" s="227">
        <f t="shared" si="64"/>
        <v>54</v>
      </c>
      <c r="V758" s="225" t="str">
        <f t="shared" si="61"/>
        <v/>
      </c>
      <c r="W758" s="225" t="str">
        <f t="shared" si="62"/>
        <v/>
      </c>
      <c r="X758">
        <f>IFERROR(INDEX(Rainfall_Wet!$O$2:$O$217,MATCH(B758, Rainfall_Wet!$A$2:$A$217,0)),"")</f>
        <v>206.85140822299999</v>
      </c>
      <c r="Y758" s="231">
        <v>45.96</v>
      </c>
      <c r="Z758" s="231">
        <v>14.920000000000003</v>
      </c>
      <c r="AA758" s="231">
        <v>39.119999999999997</v>
      </c>
      <c r="AB758" s="232" t="s">
        <v>2673</v>
      </c>
      <c r="AC758" s="231">
        <v>2.0374568753080333</v>
      </c>
      <c r="AD758">
        <f>IF('WetLitterbags placem_collection'!AB99="","",'WetLitterbags placem_collection'!AB99)</f>
        <v>2.4</v>
      </c>
      <c r="AE758">
        <f>IF('WetLitterbags placem_collection'!Z99="","",'WetLitterbags placem_collection'!Z99)</f>
        <v>8.9</v>
      </c>
      <c r="AF758" s="24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placem_collection'!Y99)),"YES","NO")</f>
        <v>NO</v>
      </c>
      <c r="AM758" t="str">
        <f>IF(ISNUMBER(SEARCH("H", 'WetLitterbags placem_collection'!Y99)),"YES","NO")</f>
        <v>NO</v>
      </c>
      <c r="AN758" t="str">
        <f>IF(ISNUMBER(SEARCH("R", 'WetLitterbags placem_collection'!Y99)),"YES","NO")</f>
        <v>NO</v>
      </c>
    </row>
    <row r="759" spans="1:40" ht="15" customHeight="1">
      <c r="A759" s="258" t="s">
        <v>2460</v>
      </c>
      <c r="B759" s="263">
        <f>'Dry_Litterbag Placem_Collection'!A100</f>
        <v>98</v>
      </c>
      <c r="C759" s="263" t="str">
        <f>'Dry_Litterbag Placem_Collection'!B100</f>
        <v xml:space="preserve">Mwantimba
</v>
      </c>
      <c r="D759" s="263" t="s">
        <v>2659</v>
      </c>
      <c r="E759" s="263" t="s">
        <v>2660</v>
      </c>
      <c r="F759" s="263">
        <v>1</v>
      </c>
      <c r="G759" s="264" t="str">
        <f>'Dry_Litterbag Placem_Collection'!C100</f>
        <v>Wet_Ag1_T2</v>
      </c>
      <c r="H759" s="273" t="s">
        <v>3651</v>
      </c>
      <c r="I759" s="274" t="s">
        <v>298</v>
      </c>
      <c r="J759" s="223" t="str">
        <f>'WetLitterbags placem_collection'!Q100</f>
        <v>R561</v>
      </c>
      <c r="K759" s="225">
        <f>IFERROR(INDEX('Green_rooibos initial weight'!$C$5:$C$1749,MATCH(J759, 'Green_rooibos initial weight'!$A$5:$A$1749,0)),"")</f>
        <v>2.0760000000000001</v>
      </c>
      <c r="L759" s="225">
        <f>IFERROR(K759-(TBIcalc!$H$9+TBIcalc!$H$10),"")</f>
        <v>1.8262</v>
      </c>
      <c r="M759" s="391">
        <f>AVERAGE(Ashed_controlls!$K$12:$K$14)</f>
        <v>2.2816647271287041</v>
      </c>
      <c r="N759" s="225">
        <f t="shared" si="60"/>
        <v>1.7845322387531757</v>
      </c>
      <c r="O759" s="225">
        <f>IF(IFERROR(INDEX('Both teabags AfterWet'!$C$3:$C$841,MATCH(J759,'Both teabags AfterWet'!$A$3:$A$841,0)),"")="","",(IFERROR(INDEX('Both teabags AfterWet'!$C$3:$C$841,MATCH(J759,'Both teabags AfterWet'!$A$3:$A$841,0)),"")))</f>
        <v>1.661</v>
      </c>
      <c r="P759" s="225">
        <f>IFERROR(IF(O759&gt;0,O759-(TBIcalc!$H$9),""),"")</f>
        <v>1.5104</v>
      </c>
      <c r="Q759" s="225">
        <f>IFERROR(INDEX('Ashed teabags wet'!$K$2:$K$821,MATCH(J759,'Ashed teabags wet'!$A$2:$A$821,0)),"")</f>
        <v>12.28244654400746</v>
      </c>
      <c r="R759" s="225">
        <f t="shared" si="63"/>
        <v>1.3248859273993112</v>
      </c>
      <c r="S759" s="226">
        <f>'WetLitterbags placem_collection'!E100</f>
        <v>42762</v>
      </c>
      <c r="T759" s="226">
        <f>IF('WetLitterbags placem_collection'!G100="","",'WetLitterbags placem_collection'!G100)</f>
        <v>42816</v>
      </c>
      <c r="U759" s="227">
        <f t="shared" si="64"/>
        <v>54</v>
      </c>
      <c r="V759" s="225">
        <f t="shared" si="61"/>
        <v>0.31580000000000008</v>
      </c>
      <c r="W759" s="225">
        <f t="shared" si="62"/>
        <v>0.45964631135386447</v>
      </c>
      <c r="X759">
        <f>IFERROR(INDEX(Rainfall_Wet!$O$2:$O$217,MATCH(B759, Rainfall_Wet!$A$2:$A$217,0)),"")</f>
        <v>206.85140822299999</v>
      </c>
      <c r="Y759" s="231">
        <v>45.96</v>
      </c>
      <c r="Z759" s="231">
        <v>14.920000000000003</v>
      </c>
      <c r="AA759" s="231">
        <v>39.119999999999997</v>
      </c>
      <c r="AB759" s="232" t="s">
        <v>2673</v>
      </c>
      <c r="AC759" s="231">
        <v>3.0374568753080302</v>
      </c>
      <c r="AD759">
        <f>IF('WetLitterbags placem_collection'!AB100="","",'WetLitterbags placem_collection'!AB100)</f>
        <v>7.8</v>
      </c>
      <c r="AE759">
        <f>IF('WetLitterbags placem_collection'!Z100="","",'WetLitterbags placem_collection'!Z100)</f>
        <v>4.45</v>
      </c>
      <c r="AF759" s="24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placem_collection'!Y100)),"YES","NO")</f>
        <v>NO</v>
      </c>
      <c r="AM759" t="str">
        <f>IF(ISNUMBER(SEARCH("H", 'WetLitterbags placem_collection'!Y100)),"YES","NO")</f>
        <v>NO</v>
      </c>
      <c r="AN759" t="str">
        <f>IF(ISNUMBER(SEARCH("R", 'WetLitterbags placem_collection'!Y100)),"YES","NO")</f>
        <v>NO</v>
      </c>
    </row>
    <row r="760" spans="1:40" ht="15" customHeight="1">
      <c r="A760" s="258" t="s">
        <v>2460</v>
      </c>
      <c r="B760" s="263">
        <f>'Dry_Litterbag Placem_Collection'!A101</f>
        <v>99</v>
      </c>
      <c r="C760" s="263" t="str">
        <f>'Dry_Litterbag Placem_Collection'!B101</f>
        <v xml:space="preserve">Mwantimba
</v>
      </c>
      <c r="D760" s="263" t="s">
        <v>2659</v>
      </c>
      <c r="E760" s="263" t="s">
        <v>2660</v>
      </c>
      <c r="F760" s="263">
        <v>1</v>
      </c>
      <c r="G760" s="264" t="str">
        <f>'Dry_Litterbag Placem_Collection'!C101</f>
        <v>Wet_Ag1_T3</v>
      </c>
      <c r="H760" s="273" t="s">
        <v>3651</v>
      </c>
      <c r="I760" s="274" t="s">
        <v>298</v>
      </c>
      <c r="J760" s="223" t="str">
        <f>'WetLitterbags placem_collection'!Q101</f>
        <v>R496</v>
      </c>
      <c r="K760" s="225">
        <f>IFERROR(INDEX('Green_rooibos initial weight'!$C$5:$C$1749,MATCH(J760, 'Green_rooibos initial weight'!$A$5:$A$1749,0)),"")</f>
        <v>2.2389999999999999</v>
      </c>
      <c r="L760" s="225">
        <f>IFERROR(K760-(TBIcalc!$H$9+TBIcalc!$H$10),"")</f>
        <v>1.9891999999999999</v>
      </c>
      <c r="M760" s="391">
        <f>AVERAGE(Ashed_controlls!$K$12:$K$14)</f>
        <v>2.2816647271287041</v>
      </c>
      <c r="N760" s="225">
        <f t="shared" si="60"/>
        <v>1.9438131252479556</v>
      </c>
      <c r="O760" s="225">
        <f>IF(IFERROR(INDEX('Both teabags AfterWet'!$C$3:$C$841,MATCH(J760,'Both teabags AfterWet'!$A$3:$A$841,0)),"")="","",(IFERROR(INDEX('Both teabags AfterWet'!$C$3:$C$841,MATCH(J760,'Both teabags AfterWet'!$A$3:$A$841,0)),"")))</f>
        <v>1.5016</v>
      </c>
      <c r="P760" s="225">
        <f>IFERROR(IF(O760&gt;0,O760-(TBIcalc!$H$9),""),"")</f>
        <v>1.351</v>
      </c>
      <c r="Q760" s="225">
        <f>IFERROR(INDEX('Ashed teabags wet'!$K$2:$K$821,MATCH(J760,'Ashed teabags wet'!$A$2:$A$821,0)),"")</f>
        <v>7.3182711198407153</v>
      </c>
      <c r="R760" s="225">
        <f t="shared" si="63"/>
        <v>1.252130157170952</v>
      </c>
      <c r="S760" s="226">
        <f>'WetLitterbags placem_collection'!E101</f>
        <v>42762</v>
      </c>
      <c r="T760" s="226">
        <f>IF('WetLitterbags placem_collection'!G101="","",'WetLitterbags placem_collection'!G101)</f>
        <v>42816</v>
      </c>
      <c r="U760" s="227">
        <f t="shared" si="64"/>
        <v>54</v>
      </c>
      <c r="V760" s="225">
        <f t="shared" si="61"/>
        <v>0.63819999999999988</v>
      </c>
      <c r="W760" s="225">
        <f t="shared" si="62"/>
        <v>0.69168296807700358</v>
      </c>
      <c r="X760">
        <f>IFERROR(INDEX(Rainfall_Wet!$O$2:$O$217,MATCH(B760, Rainfall_Wet!$A$2:$A$217,0)),"")</f>
        <v>206.85140822299999</v>
      </c>
      <c r="Y760" s="231">
        <v>45.96</v>
      </c>
      <c r="Z760" s="231">
        <v>14.920000000000003</v>
      </c>
      <c r="AA760" s="231">
        <v>39.119999999999997</v>
      </c>
      <c r="AB760" s="232" t="s">
        <v>2673</v>
      </c>
      <c r="AC760" s="231">
        <v>4.0374568753080302</v>
      </c>
      <c r="AD760">
        <f>IF('WetLitterbags placem_collection'!AB101="","",'WetLitterbags placem_collection'!AB101)</f>
        <v>5.0999999999999996</v>
      </c>
      <c r="AE760">
        <f>IF('WetLitterbags placem_collection'!Z101="","",'WetLitterbags placem_collection'!Z101)</f>
        <v>2.2999999999999998</v>
      </c>
      <c r="AF760" s="24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placem_collection'!Y101)),"YES","NO")</f>
        <v>NO</v>
      </c>
      <c r="AM760" t="str">
        <f>IF(ISNUMBER(SEARCH("H", 'WetLitterbags placem_collection'!Y101)),"YES","NO")</f>
        <v>NO</v>
      </c>
      <c r="AN760" t="str">
        <f>IF(ISNUMBER(SEARCH("R", 'WetLitterbags placem_collection'!Y101)),"YES","NO")</f>
        <v>NO</v>
      </c>
    </row>
    <row r="761" spans="1:40" ht="15" customHeight="1">
      <c r="A761" s="258" t="s">
        <v>2460</v>
      </c>
      <c r="B761" s="263">
        <f>'Dry_Litterbag Placem_Collection'!A102</f>
        <v>100</v>
      </c>
      <c r="C761" s="263" t="str">
        <f>'Dry_Litterbag Placem_Collection'!B102</f>
        <v xml:space="preserve">Mwantimba
</v>
      </c>
      <c r="D761" s="263" t="s">
        <v>2659</v>
      </c>
      <c r="E761" s="263" t="s">
        <v>2660</v>
      </c>
      <c r="F761" s="263">
        <v>1</v>
      </c>
      <c r="G761" s="264" t="str">
        <f>'Dry_Litterbag Placem_Collection'!C102</f>
        <v>Wet_Ag1_T4</v>
      </c>
      <c r="H761" s="273" t="s">
        <v>3651</v>
      </c>
      <c r="I761" s="274" t="s">
        <v>298</v>
      </c>
      <c r="J761" s="223" t="str">
        <f>'WetLitterbags placem_collection'!Q102</f>
        <v>R497</v>
      </c>
      <c r="K761" s="225">
        <f>IFERROR(INDEX('Green_rooibos initial weight'!$C$5:$C$1749,MATCH(J761, 'Green_rooibos initial weight'!$A$5:$A$1749,0)),"")</f>
        <v>2.2240000000000002</v>
      </c>
      <c r="L761" s="225">
        <f>IFERROR(K761-(TBIcalc!$H$9+TBIcalc!$H$10),"")</f>
        <v>1.9742000000000002</v>
      </c>
      <c r="M761" s="391">
        <f>AVERAGE(Ashed_controlls!$K$12:$K$14)</f>
        <v>2.2816647271287041</v>
      </c>
      <c r="N761" s="225">
        <f t="shared" si="60"/>
        <v>1.9291553749570254</v>
      </c>
      <c r="O761" s="225">
        <f>IF(IFERROR(INDEX('Both teabags AfterWet'!$C$3:$C$841,MATCH(J761,'Both teabags AfterWet'!$A$3:$A$841,0)),"")="","",(IFERROR(INDEX('Both teabags AfterWet'!$C$3:$C$841,MATCH(J761,'Both teabags AfterWet'!$A$3:$A$841,0)),"")))</f>
        <v>1.66</v>
      </c>
      <c r="P761" s="225">
        <f>IFERROR(IF(O761&gt;0,O761-(TBIcalc!$H$9),""),"")</f>
        <v>1.5093999999999999</v>
      </c>
      <c r="Q761" s="225">
        <f>IFERROR(INDEX('Ashed teabags wet'!$K$2:$K$821,MATCH(J761,'Ashed teabags wet'!$A$2:$A$821,0)),"")</f>
        <v>7.3426573426567847</v>
      </c>
      <c r="R761" s="225">
        <f t="shared" si="63"/>
        <v>1.3985699300699383</v>
      </c>
      <c r="S761" s="226">
        <f>'WetLitterbags placem_collection'!E102</f>
        <v>42762</v>
      </c>
      <c r="T761" s="226">
        <f>IF('WetLitterbags placem_collection'!G102="","",'WetLitterbags placem_collection'!G102)</f>
        <v>42816</v>
      </c>
      <c r="U761" s="227">
        <f t="shared" si="64"/>
        <v>54</v>
      </c>
      <c r="V761" s="225">
        <f t="shared" si="61"/>
        <v>0.46480000000000032</v>
      </c>
      <c r="W761" s="225">
        <f t="shared" si="62"/>
        <v>0.53058544488708703</v>
      </c>
      <c r="X761">
        <f>IFERROR(INDEX(Rainfall_Wet!$O$2:$O$217,MATCH(B761, Rainfall_Wet!$A$2:$A$217,0)),"")</f>
        <v>206.85140822299999</v>
      </c>
      <c r="Y761" s="231">
        <v>45.96</v>
      </c>
      <c r="Z761" s="231">
        <v>14.920000000000003</v>
      </c>
      <c r="AA761" s="231">
        <v>39.119999999999997</v>
      </c>
      <c r="AB761" s="232" t="s">
        <v>2673</v>
      </c>
      <c r="AC761" s="231">
        <v>5.0374568753080302</v>
      </c>
      <c r="AD761">
        <f>IF('WetLitterbags placem_collection'!AB102="","",'WetLitterbags placem_collection'!AB102)</f>
        <v>1.6</v>
      </c>
      <c r="AE761">
        <f>IF('WetLitterbags placem_collection'!Z102="","",'WetLitterbags placem_collection'!Z102)</f>
        <v>15</v>
      </c>
      <c r="AF761" s="24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placem_collection'!Y102)),"YES","NO")</f>
        <v>NO</v>
      </c>
      <c r="AM761" t="str">
        <f>IF(ISNUMBER(SEARCH("H", 'WetLitterbags placem_collection'!Y102)),"YES","NO")</f>
        <v>NO</v>
      </c>
      <c r="AN761" t="str">
        <f>IF(ISNUMBER(SEARCH("R", 'WetLitterbags placem_collection'!Y102)),"YES","NO")</f>
        <v>NO</v>
      </c>
    </row>
    <row r="762" spans="1:40" ht="15" customHeight="1">
      <c r="A762" s="258" t="s">
        <v>2460</v>
      </c>
      <c r="B762" s="263">
        <f>'Dry_Litterbag Placem_Collection'!A103</f>
        <v>101</v>
      </c>
      <c r="C762" s="263" t="str">
        <f>'Dry_Litterbag Placem_Collection'!B103</f>
        <v xml:space="preserve">Mwantimba
</v>
      </c>
      <c r="D762" s="263" t="s">
        <v>2659</v>
      </c>
      <c r="E762" s="263" t="s">
        <v>2660</v>
      </c>
      <c r="F762" s="263">
        <v>1</v>
      </c>
      <c r="G762" s="264" t="str">
        <f>'Dry_Litterbag Placem_Collection'!C103</f>
        <v>Wet_Ag1_T5</v>
      </c>
      <c r="H762" s="273" t="s">
        <v>3651</v>
      </c>
      <c r="I762" s="274" t="s">
        <v>298</v>
      </c>
      <c r="J762" s="223" t="str">
        <f>'WetLitterbags placem_collection'!Q103</f>
        <v>R10</v>
      </c>
      <c r="K762" s="225">
        <f>IFERROR(INDEX('Green_rooibos initial weight'!$C$5:$C$1749,MATCH(J762, 'Green_rooibos initial weight'!$A$5:$A$1749,0)),"")</f>
        <v>2.29</v>
      </c>
      <c r="L762" s="225">
        <f>IFERROR(K762-(TBIcalc!$H$9+TBIcalc!$H$10),"")</f>
        <v>2.0402</v>
      </c>
      <c r="M762" s="391">
        <f>AVERAGE(Ashed_controlls!$K$12:$K$14)</f>
        <v>2.2816647271287041</v>
      </c>
      <c r="N762" s="225">
        <f t="shared" si="60"/>
        <v>1.9936494762371202</v>
      </c>
      <c r="O762" s="225">
        <f>IF(IFERROR(INDEX('Both teabags AfterWet'!$C$3:$C$841,MATCH(J762,'Both teabags AfterWet'!$A$3:$A$841,0)),"")="","",(IFERROR(INDEX('Both teabags AfterWet'!$C$3:$C$841,MATCH(J762,'Both teabags AfterWet'!$A$3:$A$841,0)),"")))</f>
        <v>1.5687</v>
      </c>
      <c r="P762" s="225">
        <f>IFERROR(IF(O762&gt;0,O762-(TBIcalc!$H$9),""),"")</f>
        <v>1.4180999999999999</v>
      </c>
      <c r="Q762" s="225">
        <f>IFERROR(INDEX('Ashed teabags wet'!$K$2:$K$821,MATCH(J762,'Ashed teabags wet'!$A$2:$A$821,0)),"")</f>
        <v>7.5048732943469902</v>
      </c>
      <c r="R762" s="225">
        <f t="shared" si="63"/>
        <v>1.3116733918128651</v>
      </c>
      <c r="S762" s="226">
        <f>'WetLitterbags placem_collection'!E103</f>
        <v>42762</v>
      </c>
      <c r="T762" s="226">
        <f>IF('WetLitterbags placem_collection'!G103="","",'WetLitterbags placem_collection'!G103)</f>
        <v>42816</v>
      </c>
      <c r="U762" s="227">
        <f t="shared" si="64"/>
        <v>54</v>
      </c>
      <c r="V762" s="225">
        <f t="shared" si="61"/>
        <v>0.6221000000000001</v>
      </c>
      <c r="W762" s="225">
        <f t="shared" si="62"/>
        <v>0.68197608442425506</v>
      </c>
      <c r="X762">
        <f>IFERROR(INDEX(Rainfall_Wet!$O$2:$O$217,MATCH(B762, Rainfall_Wet!$A$2:$A$217,0)),"")</f>
        <v>206.85140822299999</v>
      </c>
      <c r="Y762" s="231">
        <v>45.96</v>
      </c>
      <c r="Z762" s="231">
        <v>14.920000000000003</v>
      </c>
      <c r="AA762" s="231">
        <v>39.119999999999997</v>
      </c>
      <c r="AB762" s="232" t="s">
        <v>2673</v>
      </c>
      <c r="AC762" s="231">
        <v>6.0374568753080302</v>
      </c>
      <c r="AD762">
        <f>IF('WetLitterbags placem_collection'!AB103="","",'WetLitterbags placem_collection'!AB103)</f>
        <v>4.3499999999999996</v>
      </c>
      <c r="AE762">
        <f>IF('WetLitterbags placem_collection'!Z103="","",'WetLitterbags placem_collection'!Z103)</f>
        <v>17</v>
      </c>
      <c r="AF762" s="24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placem_collection'!Y103)),"YES","NO")</f>
        <v>NO</v>
      </c>
      <c r="AM762" t="str">
        <f>IF(ISNUMBER(SEARCH("H", 'WetLitterbags placem_collection'!Y103)),"YES","NO")</f>
        <v>NO</v>
      </c>
      <c r="AN762" t="str">
        <f>IF(ISNUMBER(SEARCH("R", 'WetLitterbags placem_collection'!Y103)),"YES","NO")</f>
        <v>NO</v>
      </c>
    </row>
    <row r="763" spans="1:40" ht="15" customHeight="1">
      <c r="A763" s="258" t="s">
        <v>2460</v>
      </c>
      <c r="B763" s="263">
        <f>'Dry_Litterbag Placem_Collection'!A104</f>
        <v>102</v>
      </c>
      <c r="C763" s="263" t="str">
        <f>'Dry_Litterbag Placem_Collection'!B104</f>
        <v xml:space="preserve">Mwantimba
</v>
      </c>
      <c r="D763" s="263" t="s">
        <v>2659</v>
      </c>
      <c r="E763" s="263" t="s">
        <v>2660</v>
      </c>
      <c r="F763" s="263">
        <v>1</v>
      </c>
      <c r="G763" s="264" t="str">
        <f>'Dry_Litterbag Placem_Collection'!C104</f>
        <v>Wet_Ag1_T6</v>
      </c>
      <c r="H763" s="273" t="s">
        <v>3651</v>
      </c>
      <c r="I763" s="274" t="s">
        <v>298</v>
      </c>
      <c r="J763" s="223" t="str">
        <f>'WetLitterbags placem_collection'!Q104</f>
        <v>R26</v>
      </c>
      <c r="K763" s="225">
        <f>IFERROR(INDEX('Green_rooibos initial weight'!$C$5:$C$1749,MATCH(J763, 'Green_rooibos initial weight'!$A$5:$A$1749,0)),"")</f>
        <v>2.2559999999999998</v>
      </c>
      <c r="L763" s="225">
        <f>IFERROR(K763-(TBIcalc!$H$9+TBIcalc!$H$10),"")</f>
        <v>2.0061999999999998</v>
      </c>
      <c r="M763" s="391">
        <f>AVERAGE(Ashed_controlls!$K$12:$K$14)</f>
        <v>2.2816647271287041</v>
      </c>
      <c r="N763" s="225">
        <f t="shared" si="60"/>
        <v>1.9604252422443438</v>
      </c>
      <c r="O763" s="225">
        <f>IF(IFERROR(INDEX('Both teabags AfterWet'!$C$3:$C$841,MATCH(J763,'Both teabags AfterWet'!$A$3:$A$841,0)),"")="","",(IFERROR(INDEX('Both teabags AfterWet'!$C$3:$C$841,MATCH(J763,'Both teabags AfterWet'!$A$3:$A$841,0)),"")))</f>
        <v>1.6240000000000001</v>
      </c>
      <c r="P763" s="225">
        <f>IFERROR(IF(O763&gt;0,O763-(TBIcalc!$H$9),""),"")</f>
        <v>1.4734</v>
      </c>
      <c r="Q763" s="225">
        <f>IFERROR(INDEX('Ashed teabags wet'!$K$2:$K$821,MATCH(J763,'Ashed teabags wet'!$A$2:$A$821,0)),"")</f>
        <v>5.4671968190859612</v>
      </c>
      <c r="R763" s="225">
        <f t="shared" si="63"/>
        <v>1.3928463220675875</v>
      </c>
      <c r="S763" s="226">
        <f>'WetLitterbags placem_collection'!E104</f>
        <v>42762</v>
      </c>
      <c r="T763" s="226">
        <f>IF('WetLitterbags placem_collection'!G104="","",'WetLitterbags placem_collection'!G104)</f>
        <v>42816</v>
      </c>
      <c r="U763" s="227">
        <f t="shared" si="64"/>
        <v>54</v>
      </c>
      <c r="V763" s="225">
        <f t="shared" si="61"/>
        <v>0.53279999999999972</v>
      </c>
      <c r="W763" s="225">
        <f t="shared" si="62"/>
        <v>0.56757892017675626</v>
      </c>
      <c r="X763">
        <f>IFERROR(INDEX(Rainfall_Wet!$O$2:$O$217,MATCH(B763, Rainfall_Wet!$A$2:$A$217,0)),"")</f>
        <v>206.85140822299999</v>
      </c>
      <c r="Y763" s="231">
        <v>45.96</v>
      </c>
      <c r="Z763" s="231">
        <v>14.920000000000003</v>
      </c>
      <c r="AA763" s="231">
        <v>39.119999999999997</v>
      </c>
      <c r="AB763" s="232" t="s">
        <v>2673</v>
      </c>
      <c r="AC763" s="231">
        <v>7.0374568753080302</v>
      </c>
      <c r="AD763">
        <f>IF('WetLitterbags placem_collection'!AB104="","",'WetLitterbags placem_collection'!AB104)</f>
        <v>7.7</v>
      </c>
      <c r="AE763">
        <f>IF('WetLitterbags placem_collection'!Z104="","",'WetLitterbags placem_collection'!Z104)</f>
        <v>21</v>
      </c>
      <c r="AF763" s="24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placem_collection'!Y104)),"YES","NO")</f>
        <v>NO</v>
      </c>
      <c r="AM763" t="str">
        <f>IF(ISNUMBER(SEARCH("H", 'WetLitterbags placem_collection'!Y104)),"YES","NO")</f>
        <v>NO</v>
      </c>
      <c r="AN763" t="str">
        <f>IF(ISNUMBER(SEARCH("R", 'WetLitterbags placem_collection'!Y104)),"YES","NO")</f>
        <v>NO</v>
      </c>
    </row>
    <row r="764" spans="1:40" ht="15" customHeight="1">
      <c r="A764" s="258" t="s">
        <v>2460</v>
      </c>
      <c r="B764" s="263">
        <f>'Dry_Litterbag Placem_Collection'!A105</f>
        <v>103</v>
      </c>
      <c r="C764" s="263" t="str">
        <f>'Dry_Litterbag Placem_Collection'!B105</f>
        <v xml:space="preserve">Mwantimba
</v>
      </c>
      <c r="D764" s="263" t="s">
        <v>2659</v>
      </c>
      <c r="E764" s="263" t="s">
        <v>2660</v>
      </c>
      <c r="F764" s="263">
        <v>1</v>
      </c>
      <c r="G764" s="264" t="str">
        <f>'Dry_Litterbag Placem_Collection'!C105</f>
        <v>Wet_Ag1_T7</v>
      </c>
      <c r="H764" s="273" t="s">
        <v>3651</v>
      </c>
      <c r="I764" s="274" t="s">
        <v>298</v>
      </c>
      <c r="J764" s="223" t="str">
        <f>'WetLitterbags placem_collection'!Q105</f>
        <v>R494</v>
      </c>
      <c r="K764" s="225">
        <f>IFERROR(INDEX('Green_rooibos initial weight'!$C$5:$C$1749,MATCH(J764, 'Green_rooibos initial weight'!$A$5:$A$1749,0)),"")</f>
        <v>2.2130000000000001</v>
      </c>
      <c r="L764" s="225">
        <f>IFERROR(K764-(TBIcalc!$H$9+TBIcalc!$H$10),"")</f>
        <v>1.9632000000000001</v>
      </c>
      <c r="M764" s="391">
        <f>AVERAGE(Ashed_controlls!$K$12:$K$14)</f>
        <v>2.2816647271287041</v>
      </c>
      <c r="N764" s="225">
        <f t="shared" si="60"/>
        <v>1.9184063580770094</v>
      </c>
      <c r="O764" s="225">
        <f>IF(IFERROR(INDEX('Both teabags AfterWet'!$C$3:$C$841,MATCH(J764,'Both teabags AfterWet'!$A$3:$A$841,0)),"")="","",(IFERROR(INDEX('Both teabags AfterWet'!$C$3:$C$841,MATCH(J764,'Both teabags AfterWet'!$A$3:$A$841,0)),"")))</f>
        <v>1.6919999999999999</v>
      </c>
      <c r="P764" s="225">
        <f>IFERROR(IF(O764&gt;0,O764-(TBIcalc!$H$9),""),"")</f>
        <v>1.5413999999999999</v>
      </c>
      <c r="Q764" s="225">
        <f>IFERROR(INDEX('Ashed teabags wet'!$K$2:$K$821,MATCH(J764,'Ashed teabags wet'!$A$2:$A$821,0)),"")</f>
        <v>5.3175775480057332</v>
      </c>
      <c r="R764" s="225">
        <f t="shared" si="63"/>
        <v>1.4594348596750395</v>
      </c>
      <c r="S764" s="226">
        <f>'WetLitterbags placem_collection'!E105</f>
        <v>42762</v>
      </c>
      <c r="T764" s="226">
        <f>IF('WetLitterbags placem_collection'!G105="","",'WetLitterbags placem_collection'!G105)</f>
        <v>42816</v>
      </c>
      <c r="U764" s="227">
        <f t="shared" si="64"/>
        <v>54</v>
      </c>
      <c r="V764" s="225">
        <f t="shared" si="61"/>
        <v>0.42180000000000017</v>
      </c>
      <c r="W764" s="225">
        <f t="shared" si="62"/>
        <v>0.45897149840196994</v>
      </c>
      <c r="X764">
        <f>IFERROR(INDEX(Rainfall_Wet!$O$2:$O$217,MATCH(B764, Rainfall_Wet!$A$2:$A$217,0)),"")</f>
        <v>206.85140822299999</v>
      </c>
      <c r="Y764" s="231">
        <v>45.96</v>
      </c>
      <c r="Z764" s="231">
        <v>14.920000000000003</v>
      </c>
      <c r="AA764" s="231">
        <v>39.119999999999997</v>
      </c>
      <c r="AB764" s="232" t="s">
        <v>2673</v>
      </c>
      <c r="AC764" s="231">
        <v>8.0374568753080293</v>
      </c>
      <c r="AD764">
        <f>IF('WetLitterbags placem_collection'!AB105="","",'WetLitterbags placem_collection'!AB105)</f>
        <v>3.25</v>
      </c>
      <c r="AE764">
        <f>IF('WetLitterbags placem_collection'!Z105="","",'WetLitterbags placem_collection'!Z105)</f>
        <v>16</v>
      </c>
      <c r="AF764" s="24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placem_collection'!Y105)),"YES","NO")</f>
        <v>NO</v>
      </c>
      <c r="AM764" t="str">
        <f>IF(ISNUMBER(SEARCH("H", 'WetLitterbags placem_collection'!Y105)),"YES","NO")</f>
        <v>NO</v>
      </c>
      <c r="AN764" t="str">
        <f>IF(ISNUMBER(SEARCH("R", 'WetLitterbags placem_collection'!Y105)),"YES","NO")</f>
        <v>YES</v>
      </c>
    </row>
    <row r="765" spans="1:40" ht="15" customHeight="1">
      <c r="A765" s="258" t="s">
        <v>2460</v>
      </c>
      <c r="B765" s="263">
        <f>'Dry_Litterbag Placem_Collection'!A106</f>
        <v>104</v>
      </c>
      <c r="C765" s="263" t="str">
        <f>'Dry_Litterbag Placem_Collection'!B106</f>
        <v xml:space="preserve">Mwantimba
</v>
      </c>
      <c r="D765" s="263" t="s">
        <v>2659</v>
      </c>
      <c r="E765" s="263" t="s">
        <v>2660</v>
      </c>
      <c r="F765" s="263">
        <v>1</v>
      </c>
      <c r="G765" s="264" t="str">
        <f>'Dry_Litterbag Placem_Collection'!C106</f>
        <v>Wet_Ag1_T8</v>
      </c>
      <c r="H765" s="273" t="s">
        <v>3651</v>
      </c>
      <c r="I765" s="274" t="s">
        <v>298</v>
      </c>
      <c r="J765" s="223" t="str">
        <f>'WetLitterbags placem_collection'!Q106</f>
        <v>R475</v>
      </c>
      <c r="K765" s="225">
        <f>IFERROR(INDEX('Green_rooibos initial weight'!$C$5:$C$1749,MATCH(J765, 'Green_rooibos initial weight'!$A$5:$A$1749,0)),"")</f>
        <v>2.2210000000000001</v>
      </c>
      <c r="L765" s="225">
        <f>IFERROR(K765-(TBIcalc!$H$9+TBIcalc!$H$10),"")</f>
        <v>1.9712000000000001</v>
      </c>
      <c r="M765" s="391">
        <f>AVERAGE(Ashed_controlls!$K$12:$K$14)</f>
        <v>2.2816647271287041</v>
      </c>
      <c r="N765" s="225">
        <f t="shared" si="60"/>
        <v>1.926223824898839</v>
      </c>
      <c r="O765" s="225">
        <f>IF(IFERROR(INDEX('Both teabags AfterWet'!$C$3:$C$841,MATCH(J765,'Both teabags AfterWet'!$A$3:$A$841,0)),"")="","",(IFERROR(INDEX('Both teabags AfterWet'!$C$3:$C$841,MATCH(J765,'Both teabags AfterWet'!$A$3:$A$841,0)),"")))</f>
        <v>1.4970000000000001</v>
      </c>
      <c r="P765" s="225">
        <f>IFERROR(IF(O765&gt;0,O765-(TBIcalc!$H$9),""),"")</f>
        <v>1.3464</v>
      </c>
      <c r="Q765" s="225">
        <f>IFERROR(INDEX('Ashed teabags wet'!$K$2:$K$821,MATCH(J765,'Ashed teabags wet'!$A$2:$A$821,0)),"")</f>
        <v>9.2474176094433584</v>
      </c>
      <c r="R765" s="225">
        <f t="shared" si="63"/>
        <v>1.2218927693064547</v>
      </c>
      <c r="S765" s="226">
        <f>'WetLitterbags placem_collection'!E106</f>
        <v>42762</v>
      </c>
      <c r="T765" s="226">
        <f>IF('WetLitterbags placem_collection'!G106="","",'WetLitterbags placem_collection'!G106)</f>
        <v>42816</v>
      </c>
      <c r="U765" s="227">
        <f t="shared" si="64"/>
        <v>54</v>
      </c>
      <c r="V765" s="225">
        <f t="shared" si="61"/>
        <v>0.62480000000000002</v>
      </c>
      <c r="W765" s="225">
        <f t="shared" si="62"/>
        <v>0.70433105559238429</v>
      </c>
      <c r="X765">
        <f>IFERROR(INDEX(Rainfall_Wet!$O$2:$O$217,MATCH(B765, Rainfall_Wet!$A$2:$A$217,0)),"")</f>
        <v>206.85140822299999</v>
      </c>
      <c r="Y765" s="231">
        <v>45.96</v>
      </c>
      <c r="Z765" s="231">
        <v>14.920000000000003</v>
      </c>
      <c r="AA765" s="231">
        <v>39.119999999999997</v>
      </c>
      <c r="AB765" s="232" t="s">
        <v>2673</v>
      </c>
      <c r="AC765" s="231">
        <v>9.0374568753080293</v>
      </c>
      <c r="AD765">
        <f>IF('WetLitterbags placem_collection'!AB106="","",'WetLitterbags placem_collection'!AB106)</f>
        <v>10.5</v>
      </c>
      <c r="AE765">
        <f>IF('WetLitterbags placem_collection'!Z106="","",'WetLitterbags placem_collection'!Z106)</f>
        <v>17</v>
      </c>
      <c r="AF765" s="24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placem_collection'!Y106)),"YES","NO")</f>
        <v>NO</v>
      </c>
      <c r="AM765" t="str">
        <f>IF(ISNUMBER(SEARCH("H", 'WetLitterbags placem_collection'!Y106)),"YES","NO")</f>
        <v>NO</v>
      </c>
      <c r="AN765" t="str">
        <f>IF(ISNUMBER(SEARCH("R", 'WetLitterbags placem_collection'!Y106)),"YES","NO")</f>
        <v>NO</v>
      </c>
    </row>
    <row r="766" spans="1:40" ht="15" customHeight="1">
      <c r="A766" s="258" t="s">
        <v>2460</v>
      </c>
      <c r="B766" s="263">
        <f>'Dry_Litterbag Placem_Collection'!A107</f>
        <v>105</v>
      </c>
      <c r="C766" s="263" t="str">
        <f>'Dry_Litterbag Placem_Collection'!B107</f>
        <v xml:space="preserve">Mwantimba
</v>
      </c>
      <c r="D766" s="263" t="s">
        <v>2659</v>
      </c>
      <c r="E766" s="263" t="s">
        <v>2660</v>
      </c>
      <c r="F766" s="263">
        <v>2</v>
      </c>
      <c r="G766" s="264" t="str">
        <f>'Dry_Litterbag Placem_Collection'!C107</f>
        <v>Wet_Ag2_T1</v>
      </c>
      <c r="H766" s="273" t="s">
        <v>3651</v>
      </c>
      <c r="I766" s="274" t="s">
        <v>298</v>
      </c>
      <c r="J766" s="223" t="str">
        <f>'WetLitterbags placem_collection'!Q107</f>
        <v>R540</v>
      </c>
      <c r="K766" s="225">
        <f>IFERROR(INDEX('Green_rooibos initial weight'!$C$5:$C$1749,MATCH(J766, 'Green_rooibos initial weight'!$A$5:$A$1749,0)),"")</f>
        <v>2.194</v>
      </c>
      <c r="L766" s="225">
        <f>IFERROR(K766-(TBIcalc!$H$9+TBIcalc!$H$10),"")</f>
        <v>1.9441999999999999</v>
      </c>
      <c r="M766" s="391">
        <f>AVERAGE(Ashed_controlls!$K$12:$K$14)</f>
        <v>2.2816647271287041</v>
      </c>
      <c r="N766" s="225">
        <f t="shared" si="60"/>
        <v>1.8998398743751637</v>
      </c>
      <c r="O766" s="225">
        <f>IF(IFERROR(INDEX('Both teabags AfterWet'!$C$3:$C$841,MATCH(J766,'Both teabags AfterWet'!$A$3:$A$841,0)),"")="","",(IFERROR(INDEX('Both teabags AfterWet'!$C$3:$C$841,MATCH(J766,'Both teabags AfterWet'!$A$3:$A$841,0)),"")))</f>
        <v>1.8080000000000001</v>
      </c>
      <c r="P766" s="225">
        <f>IFERROR(IF(O766&gt;0,O766-(TBIcalc!$H$9),""),"")</f>
        <v>1.6574</v>
      </c>
      <c r="Q766" s="225">
        <f>IFERROR(INDEX('Ashed teabags wet'!$K$2:$K$821,MATCH(J766,'Ashed teabags wet'!$A$2:$A$821,0)),"")</f>
        <v>5.7625434674605209</v>
      </c>
      <c r="R766" s="225">
        <f t="shared" si="63"/>
        <v>1.5618916045703093</v>
      </c>
      <c r="S766" s="226">
        <f>'WetLitterbags placem_collection'!E107</f>
        <v>42762</v>
      </c>
      <c r="T766" s="226">
        <f>IF('WetLitterbags placem_collection'!G107="","",'WetLitterbags placem_collection'!G107)</f>
        <v>42816</v>
      </c>
      <c r="U766" s="227">
        <f t="shared" si="64"/>
        <v>54</v>
      </c>
      <c r="V766" s="225">
        <f t="shared" si="61"/>
        <v>0.28679999999999994</v>
      </c>
      <c r="W766" s="225">
        <f t="shared" si="62"/>
        <v>0.33794826980485437</v>
      </c>
      <c r="X766">
        <f>IFERROR(INDEX(Rainfall_Wet!$O$2:$O$217,MATCH(B766, Rainfall_Wet!$A$2:$A$217,0)),"")</f>
        <v>206.85140822299999</v>
      </c>
      <c r="Y766" s="231">
        <v>34.344660194174757</v>
      </c>
      <c r="Z766" s="231">
        <v>19.22727272727273</v>
      </c>
      <c r="AA766" s="231">
        <v>46.428067078552509</v>
      </c>
      <c r="AB766" s="232" t="s">
        <v>2670</v>
      </c>
      <c r="AC766" s="231">
        <v>1.7452932479053718</v>
      </c>
      <c r="AD766">
        <f>IF('WetLitterbags placem_collection'!AB107="","",'WetLitterbags placem_collection'!AB107)</f>
        <v>5.5</v>
      </c>
      <c r="AE766">
        <f>IF('WetLitterbags placem_collection'!Z107="","",'WetLitterbags placem_collection'!Z107)</f>
        <v>23.5</v>
      </c>
      <c r="AF766" s="24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placem_collection'!Y107)),"YES","NO")</f>
        <v>NO</v>
      </c>
      <c r="AM766" t="str">
        <f>IF(ISNUMBER(SEARCH("H", 'WetLitterbags placem_collection'!Y107)),"YES","NO")</f>
        <v>NO</v>
      </c>
      <c r="AN766" t="str">
        <f>IF(ISNUMBER(SEARCH("R", 'WetLitterbags placem_collection'!Y107)),"YES","NO")</f>
        <v>YES</v>
      </c>
    </row>
    <row r="767" spans="1:40" ht="15" customHeight="1">
      <c r="A767" s="258" t="s">
        <v>2460</v>
      </c>
      <c r="B767" s="263">
        <f>'Dry_Litterbag Placem_Collection'!A108</f>
        <v>106</v>
      </c>
      <c r="C767" s="263" t="str">
        <f>'Dry_Litterbag Placem_Collection'!B108</f>
        <v xml:space="preserve">Mwantimba
</v>
      </c>
      <c r="D767" s="263" t="s">
        <v>2659</v>
      </c>
      <c r="E767" s="263" t="s">
        <v>2660</v>
      </c>
      <c r="F767" s="263">
        <v>2</v>
      </c>
      <c r="G767" s="264" t="str">
        <f>'Dry_Litterbag Placem_Collection'!C108</f>
        <v>Wet_Ag2_T2</v>
      </c>
      <c r="H767" s="273" t="s">
        <v>3651</v>
      </c>
      <c r="I767" s="274" t="s">
        <v>298</v>
      </c>
      <c r="J767" s="223" t="str">
        <f>'WetLitterbags placem_collection'!Q108</f>
        <v>R593</v>
      </c>
      <c r="K767" s="225">
        <f>IFERROR(INDEX('Green_rooibos initial weight'!$C$5:$C$1749,MATCH(J767, 'Green_rooibos initial weight'!$A$5:$A$1749,0)),"")</f>
        <v>2.2090000000000001</v>
      </c>
      <c r="L767" s="225">
        <f>IFERROR(K767-(TBIcalc!$H$9+TBIcalc!$H$10),"")</f>
        <v>1.9592000000000001</v>
      </c>
      <c r="M767" s="391">
        <f>AVERAGE(Ashed_controlls!$K$12:$K$14)</f>
        <v>2.2816647271287041</v>
      </c>
      <c r="N767" s="225">
        <f t="shared" si="60"/>
        <v>1.9144976246660945</v>
      </c>
      <c r="O767" s="225">
        <f>IF(IFERROR(INDEX('Both teabags AfterWet'!$C$3:$C$841,MATCH(J767,'Both teabags AfterWet'!$A$3:$A$841,0)),"")="","",(IFERROR(INDEX('Both teabags AfterWet'!$C$3:$C$841,MATCH(J767,'Both teabags AfterWet'!$A$3:$A$841,0)),"")))</f>
        <v>1.7729999999999999</v>
      </c>
      <c r="P767" s="225">
        <f>IFERROR(IF(O767&gt;0,O767-(TBIcalc!$H$9),""),"")</f>
        <v>1.6223999999999998</v>
      </c>
      <c r="Q767" s="225">
        <f>IFERROR(INDEX('Ashed teabags wet'!$K$2:$K$821,MATCH(J767,'Ashed teabags wet'!$A$2:$A$821,0)),"")</f>
        <v>5.062034739454969</v>
      </c>
      <c r="R767" s="225">
        <f t="shared" si="63"/>
        <v>1.5402735483870824</v>
      </c>
      <c r="S767" s="226">
        <f>'WetLitterbags placem_collection'!E108</f>
        <v>42762</v>
      </c>
      <c r="T767" s="226">
        <f>IF('WetLitterbags placem_collection'!G108="","",'WetLitterbags placem_collection'!G108)</f>
        <v>42816</v>
      </c>
      <c r="U767" s="227">
        <f t="shared" si="64"/>
        <v>54</v>
      </c>
      <c r="V767" s="225">
        <f t="shared" si="61"/>
        <v>0.33680000000000021</v>
      </c>
      <c r="W767" s="225">
        <f t="shared" si="62"/>
        <v>0.37422407627901211</v>
      </c>
      <c r="X767">
        <f>IFERROR(INDEX(Rainfall_Wet!$O$2:$O$217,MATCH(B767, Rainfall_Wet!$A$2:$A$217,0)),"")</f>
        <v>206.85140822299999</v>
      </c>
      <c r="Y767" s="231">
        <v>34.344660194174757</v>
      </c>
      <c r="Z767" s="231">
        <v>19.22727272727273</v>
      </c>
      <c r="AA767" s="231">
        <v>46.428067078552509</v>
      </c>
      <c r="AB767" s="232" t="s">
        <v>2670</v>
      </c>
      <c r="AC767" s="231">
        <v>2.7452932479053702</v>
      </c>
      <c r="AD767">
        <f>IF('WetLitterbags placem_collection'!AB108="","",'WetLitterbags placem_collection'!AB108)</f>
        <v>8.6</v>
      </c>
      <c r="AE767">
        <f>IF('WetLitterbags placem_collection'!Z108="","",'WetLitterbags placem_collection'!Z108)</f>
        <v>17</v>
      </c>
      <c r="AF767" s="24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placem_collection'!Y108)),"YES","NO")</f>
        <v>NO</v>
      </c>
      <c r="AM767" t="str">
        <f>IF(ISNUMBER(SEARCH("H", 'WetLitterbags placem_collection'!Y108)),"YES","NO")</f>
        <v>NO</v>
      </c>
      <c r="AN767" t="str">
        <f>IF(ISNUMBER(SEARCH("R", 'WetLitterbags placem_collection'!Y108)),"YES","NO")</f>
        <v>YES</v>
      </c>
    </row>
    <row r="768" spans="1:40" ht="15" customHeight="1">
      <c r="A768" s="258" t="s">
        <v>2460</v>
      </c>
      <c r="B768" s="263">
        <f>'Dry_Litterbag Placem_Collection'!A109</f>
        <v>107</v>
      </c>
      <c r="C768" s="263" t="str">
        <f>'Dry_Litterbag Placem_Collection'!B109</f>
        <v xml:space="preserve">Mwantimba
</v>
      </c>
      <c r="D768" s="263" t="s">
        <v>2659</v>
      </c>
      <c r="E768" s="263" t="s">
        <v>2660</v>
      </c>
      <c r="F768" s="263">
        <v>2</v>
      </c>
      <c r="G768" s="264" t="str">
        <f>'Dry_Litterbag Placem_Collection'!C109</f>
        <v>Wet_Ag2_T3</v>
      </c>
      <c r="H768" s="273" t="s">
        <v>3651</v>
      </c>
      <c r="I768" s="274" t="s">
        <v>298</v>
      </c>
      <c r="J768" s="223" t="str">
        <f>'WetLitterbags placem_collection'!Q109</f>
        <v>R510</v>
      </c>
      <c r="K768" s="225">
        <f>IFERROR(INDEX('Green_rooibos initial weight'!$C$5:$C$1749,MATCH(J768, 'Green_rooibos initial weight'!$A$5:$A$1749,0)),"")</f>
        <v>2.2349999999999999</v>
      </c>
      <c r="L768" s="225">
        <f>IFERROR(K768-(TBIcalc!$H$9+TBIcalc!$H$10),"")</f>
        <v>1.9851999999999999</v>
      </c>
      <c r="M768" s="391">
        <f>AVERAGE(Ashed_controlls!$K$12:$K$14)</f>
        <v>2.2816647271287041</v>
      </c>
      <c r="N768" s="225">
        <f t="shared" si="60"/>
        <v>1.9399043918370409</v>
      </c>
      <c r="O768" s="225">
        <f>IF(IFERROR(INDEX('Both teabags AfterWet'!$C$3:$C$841,MATCH(J768,'Both teabags AfterWet'!$A$3:$A$841,0)),"")="","",(IFERROR(INDEX('Both teabags AfterWet'!$C$3:$C$841,MATCH(J768,'Both teabags AfterWet'!$A$3:$A$841,0)),"")))</f>
        <v>1.5944</v>
      </c>
      <c r="P768" s="225">
        <f>IFERROR(IF(O768&gt;0,O768-(TBIcalc!$H$9),""),"")</f>
        <v>1.4438</v>
      </c>
      <c r="Q768" s="225">
        <f>IFERROR(INDEX('Ashed teabags wet'!$K$2:$K$821,MATCH(J768,'Ashed teabags wet'!$A$2:$A$821,0)),"")</f>
        <v>5.2605210420842559</v>
      </c>
      <c r="R768" s="225">
        <f t="shared" si="63"/>
        <v>1.3678485971943874</v>
      </c>
      <c r="S768" s="226">
        <f>'WetLitterbags placem_collection'!E109</f>
        <v>42762</v>
      </c>
      <c r="T768" s="226">
        <f>IF('WetLitterbags placem_collection'!G109="","",'WetLitterbags placem_collection'!G109)</f>
        <v>42816</v>
      </c>
      <c r="U768" s="227">
        <f t="shared" si="64"/>
        <v>54</v>
      </c>
      <c r="V768" s="225">
        <f t="shared" si="61"/>
        <v>0.54139999999999988</v>
      </c>
      <c r="W768" s="225">
        <f t="shared" si="62"/>
        <v>0.57205579464265344</v>
      </c>
      <c r="X768">
        <f>IFERROR(INDEX(Rainfall_Wet!$O$2:$O$217,MATCH(B768, Rainfall_Wet!$A$2:$A$217,0)),"")</f>
        <v>206.85140822299999</v>
      </c>
      <c r="Y768" s="231">
        <v>34.344660194174757</v>
      </c>
      <c r="Z768" s="231">
        <v>19.22727272727273</v>
      </c>
      <c r="AA768" s="231">
        <v>46.428067078552509</v>
      </c>
      <c r="AB768" s="232" t="s">
        <v>2670</v>
      </c>
      <c r="AC768" s="231">
        <v>3.7452932479053702</v>
      </c>
      <c r="AD768">
        <f>IF('WetLitterbags placem_collection'!AB109="","",'WetLitterbags placem_collection'!AB109)</f>
        <v>3.85</v>
      </c>
      <c r="AE768">
        <f>IF('WetLitterbags placem_collection'!Z109="","",'WetLitterbags placem_collection'!Z109)</f>
        <v>15.5</v>
      </c>
      <c r="AF768" s="24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placem_collection'!Y109)),"YES","NO")</f>
        <v>NO</v>
      </c>
      <c r="AM768" t="str">
        <f>IF(ISNUMBER(SEARCH("H", 'WetLitterbags placem_collection'!Y109)),"YES","NO")</f>
        <v>NO</v>
      </c>
      <c r="AN768" t="str">
        <f>IF(ISNUMBER(SEARCH("R", 'WetLitterbags placem_collection'!Y109)),"YES","NO")</f>
        <v>NO</v>
      </c>
    </row>
    <row r="769" spans="1:40" ht="15" customHeight="1">
      <c r="A769" s="258" t="s">
        <v>2460</v>
      </c>
      <c r="B769" s="263">
        <f>'Dry_Litterbag Placem_Collection'!A110</f>
        <v>108</v>
      </c>
      <c r="C769" s="263" t="str">
        <f>'Dry_Litterbag Placem_Collection'!B110</f>
        <v xml:space="preserve">Mwantimba
</v>
      </c>
      <c r="D769" s="263" t="s">
        <v>2659</v>
      </c>
      <c r="E769" s="263" t="s">
        <v>2660</v>
      </c>
      <c r="F769" s="263">
        <v>2</v>
      </c>
      <c r="G769" s="264" t="str">
        <f>'Dry_Litterbag Placem_Collection'!C110</f>
        <v>Wet_Ag2_T4</v>
      </c>
      <c r="H769" s="273" t="s">
        <v>3651</v>
      </c>
      <c r="I769" s="274" t="s">
        <v>298</v>
      </c>
      <c r="J769" s="223" t="str">
        <f>'WetLitterbags placem_collection'!Q110</f>
        <v>R509</v>
      </c>
      <c r="K769" s="225">
        <f>IFERROR(INDEX('Green_rooibos initial weight'!$C$5:$C$1749,MATCH(J769, 'Green_rooibos initial weight'!$A$5:$A$1749,0)),"")</f>
        <v>2.161</v>
      </c>
      <c r="L769" s="225">
        <f>IFERROR(K769-(TBIcalc!$H$9+TBIcalc!$H$10),"")</f>
        <v>1.9112</v>
      </c>
      <c r="M769" s="391">
        <f>AVERAGE(Ashed_controlls!$K$12:$K$14)</f>
        <v>2.2816647271287041</v>
      </c>
      <c r="N769" s="225">
        <f t="shared" si="60"/>
        <v>1.8675928237351163</v>
      </c>
      <c r="O769" s="225">
        <f>IF(IFERROR(INDEX('Both teabags AfterWet'!$C$3:$C$841,MATCH(J769,'Both teabags AfterWet'!$A$3:$A$841,0)),"")="","",(IFERROR(INDEX('Both teabags AfterWet'!$C$3:$C$841,MATCH(J769,'Both teabags AfterWet'!$A$3:$A$841,0)),"")))</f>
        <v>1.6739999999999999</v>
      </c>
      <c r="P769" s="225">
        <f>IFERROR(IF(O769&gt;0,O769-(TBIcalc!$H$9),""),"")</f>
        <v>1.5233999999999999</v>
      </c>
      <c r="Q769" s="225">
        <f>IFERROR(INDEX('Ashed teabags wet'!$K$2:$K$821,MATCH(J769,'Ashed teabags wet'!$A$2:$A$821,0)),"")</f>
        <v>5.6567593480338392</v>
      </c>
      <c r="R769" s="225">
        <f t="shared" si="63"/>
        <v>1.4372249280920524</v>
      </c>
      <c r="S769" s="226">
        <f>'WetLitterbags placem_collection'!E110</f>
        <v>42762</v>
      </c>
      <c r="T769" s="226">
        <f>IF('WetLitterbags placem_collection'!G110="","",'WetLitterbags placem_collection'!G110)</f>
        <v>42816</v>
      </c>
      <c r="U769" s="227">
        <f t="shared" si="64"/>
        <v>54</v>
      </c>
      <c r="V769" s="225">
        <f t="shared" si="61"/>
        <v>0.38780000000000014</v>
      </c>
      <c r="W769" s="225">
        <f t="shared" si="62"/>
        <v>0.43036789564306388</v>
      </c>
      <c r="X769">
        <f>IFERROR(INDEX(Rainfall_Wet!$O$2:$O$217,MATCH(B769, Rainfall_Wet!$A$2:$A$217,0)),"")</f>
        <v>206.85140822299999</v>
      </c>
      <c r="Y769" s="231">
        <v>34.344660194174757</v>
      </c>
      <c r="Z769" s="231">
        <v>19.22727272727273</v>
      </c>
      <c r="AA769" s="231">
        <v>46.428067078552509</v>
      </c>
      <c r="AB769" s="232" t="s">
        <v>2670</v>
      </c>
      <c r="AC769" s="231">
        <v>4.7452932479053702</v>
      </c>
      <c r="AD769">
        <f>IF('WetLitterbags placem_collection'!AB110="","",'WetLitterbags placem_collection'!AB110)</f>
        <v>9.6999999999999993</v>
      </c>
      <c r="AE769">
        <f>IF('WetLitterbags placem_collection'!Z110="","",'WetLitterbags placem_collection'!Z110)</f>
        <v>22.5</v>
      </c>
      <c r="AF769" s="24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placem_collection'!Y110)),"YES","NO")</f>
        <v>NO</v>
      </c>
      <c r="AM769" t="str">
        <f>IF(ISNUMBER(SEARCH("H", 'WetLitterbags placem_collection'!Y110)),"YES","NO")</f>
        <v>NO</v>
      </c>
      <c r="AN769" t="str">
        <f>IF(ISNUMBER(SEARCH("R", 'WetLitterbags placem_collection'!Y110)),"YES","NO")</f>
        <v>YES</v>
      </c>
    </row>
    <row r="770" spans="1:40" ht="15" customHeight="1">
      <c r="A770" s="258" t="s">
        <v>2460</v>
      </c>
      <c r="B770" s="263">
        <f>'Dry_Litterbag Placem_Collection'!A111</f>
        <v>109</v>
      </c>
      <c r="C770" s="263" t="str">
        <f>'Dry_Litterbag Placem_Collection'!B111</f>
        <v xml:space="preserve">Mwantimba
</v>
      </c>
      <c r="D770" s="263" t="s">
        <v>2659</v>
      </c>
      <c r="E770" s="263" t="s">
        <v>2660</v>
      </c>
      <c r="F770" s="263">
        <v>2</v>
      </c>
      <c r="G770" s="264" t="str">
        <f>'Dry_Litterbag Placem_Collection'!C111</f>
        <v>Wet_Ag2_T5</v>
      </c>
      <c r="H770" s="273" t="s">
        <v>3651</v>
      </c>
      <c r="I770" s="274" t="s">
        <v>298</v>
      </c>
      <c r="J770" s="223" t="str">
        <f>'WetLitterbags placem_collection'!Q111</f>
        <v>R33</v>
      </c>
      <c r="K770" s="225">
        <f>IFERROR(INDEX('Green_rooibos initial weight'!$C$5:$C$1749,MATCH(J770, 'Green_rooibos initial weight'!$A$5:$A$1749,0)),"")</f>
        <v>2.1989999999999998</v>
      </c>
      <c r="L770" s="225">
        <f>IFERROR(K770-(TBIcalc!$H$9+TBIcalc!$H$10),"")</f>
        <v>1.9491999999999998</v>
      </c>
      <c r="M770" s="391">
        <f>AVERAGE(Ashed_controlls!$K$12:$K$14)</f>
        <v>2.2816647271287041</v>
      </c>
      <c r="N770" s="225">
        <f t="shared" si="60"/>
        <v>1.9047257911388071</v>
      </c>
      <c r="O770" s="225">
        <f>IF(IFERROR(INDEX('Both teabags AfterWet'!$C$3:$C$841,MATCH(J770,'Both teabags AfterWet'!$A$3:$A$841,0)),"")="","",(IFERROR(INDEX('Both teabags AfterWet'!$C$3:$C$841,MATCH(J770,'Both teabags AfterWet'!$A$3:$A$841,0)),"")))</f>
        <v>1.5922000000000001</v>
      </c>
      <c r="P770" s="225">
        <f>IFERROR(IF(O770&gt;0,O770-(TBIcalc!$H$9),""),"")</f>
        <v>1.4416</v>
      </c>
      <c r="Q770" s="225">
        <f>IFERROR(INDEX('Ashed teabags wet'!$K$2:$K$821,MATCH(J770,'Ashed teabags wet'!$A$2:$A$821,0)),"")</f>
        <v>7.2896281800392453</v>
      </c>
      <c r="R770" s="225">
        <f t="shared" si="63"/>
        <v>1.3365127201565543</v>
      </c>
      <c r="S770" s="226">
        <f>'WetLitterbags placem_collection'!E111</f>
        <v>42762</v>
      </c>
      <c r="T770" s="226">
        <f>IF('WetLitterbags placem_collection'!G111="","",'WetLitterbags placem_collection'!G111)</f>
        <v>42816</v>
      </c>
      <c r="U770" s="227">
        <f t="shared" si="64"/>
        <v>54</v>
      </c>
      <c r="V770" s="225">
        <f t="shared" si="61"/>
        <v>0.50759999999999983</v>
      </c>
      <c r="W770" s="225">
        <f t="shared" si="62"/>
        <v>0.56821307098225282</v>
      </c>
      <c r="X770">
        <f>IFERROR(INDEX(Rainfall_Wet!$O$2:$O$217,MATCH(B770, Rainfall_Wet!$A$2:$A$217,0)),"")</f>
        <v>206.85140822299999</v>
      </c>
      <c r="Y770" s="231">
        <v>34.344660194174757</v>
      </c>
      <c r="Z770" s="231">
        <v>19.22727272727273</v>
      </c>
      <c r="AA770" s="231">
        <v>46.428067078552509</v>
      </c>
      <c r="AB770" s="232" t="s">
        <v>2670</v>
      </c>
      <c r="AC770" s="231">
        <v>5.7452932479053702</v>
      </c>
      <c r="AD770">
        <f>IF('WetLitterbags placem_collection'!AB111="","",'WetLitterbags placem_collection'!AB111)</f>
        <v>10.5</v>
      </c>
      <c r="AE770">
        <f>IF('WetLitterbags placem_collection'!Z111="","",'WetLitterbags placem_collection'!Z111)</f>
        <v>22.5</v>
      </c>
      <c r="AF770" s="24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placem_collection'!Y111)),"YES","NO")</f>
        <v>NO</v>
      </c>
      <c r="AM770" t="str">
        <f>IF(ISNUMBER(SEARCH("H", 'WetLitterbags placem_collection'!Y111)),"YES","NO")</f>
        <v>NO</v>
      </c>
      <c r="AN770" t="str">
        <f>IF(ISNUMBER(SEARCH("R", 'WetLitterbags placem_collection'!Y111)),"YES","NO")</f>
        <v>NO</v>
      </c>
    </row>
    <row r="771" spans="1:40" ht="15" customHeight="1">
      <c r="A771" s="258" t="s">
        <v>2460</v>
      </c>
      <c r="B771" s="263">
        <f>'Dry_Litterbag Placem_Collection'!A112</f>
        <v>110</v>
      </c>
      <c r="C771" s="263" t="str">
        <f>'Dry_Litterbag Placem_Collection'!B112</f>
        <v xml:space="preserve">Mwantimba
</v>
      </c>
      <c r="D771" s="263" t="s">
        <v>2659</v>
      </c>
      <c r="E771" s="263" t="s">
        <v>2660</v>
      </c>
      <c r="F771" s="263">
        <v>2</v>
      </c>
      <c r="G771" s="264" t="str">
        <f>'Dry_Litterbag Placem_Collection'!C112</f>
        <v>Wet_Ag2_T6</v>
      </c>
      <c r="H771" s="273" t="s">
        <v>3651</v>
      </c>
      <c r="I771" s="274" t="s">
        <v>298</v>
      </c>
      <c r="J771" s="223" t="str">
        <f>'WetLitterbags placem_collection'!Q112</f>
        <v>R54a</v>
      </c>
      <c r="K771" s="225" t="str">
        <f>IFERROR(INDEX('Green_rooibos initial weight'!$C$5:$C$1749,MATCH(J771, 'Green_rooibos initial weight'!$A$5:$A$1749,0)),"")</f>
        <v/>
      </c>
      <c r="L771" s="225" t="str">
        <f>IFERROR(K771-(TBIcalc!$H$9+TBIcalc!$H$10),"")</f>
        <v/>
      </c>
      <c r="M771" s="391">
        <f>AVERAGE(Ashed_controlls!$K$12:$K$14)</f>
        <v>2.2816647271287041</v>
      </c>
      <c r="N771" s="225" t="str">
        <f t="shared" ref="N771:N834" si="65">IFERROR(L771-(M771/100)*L771,"")</f>
        <v/>
      </c>
      <c r="O771" s="225">
        <f>IF(IFERROR(INDEX('Both teabags AfterWet'!$C$3:$C$841,MATCH(J771,'Both teabags AfterWet'!$A$3:$A$841,0)),"")="","",(IFERROR(INDEX('Both teabags AfterWet'!$C$3:$C$841,MATCH(J771,'Both teabags AfterWet'!$A$3:$A$841,0)),"")))</f>
        <v>1.4870000000000001</v>
      </c>
      <c r="P771" s="225">
        <f>IFERROR(IF(O771&gt;0,O771-(TBIcalc!$H$9),""),"")</f>
        <v>1.3364</v>
      </c>
      <c r="Q771" s="225">
        <f>IFERROR(INDEX('Ashed teabags wet'!$K$2:$K$821,MATCH(J771,'Ashed teabags wet'!$A$2:$A$821,0)),"")</f>
        <v>4.8934108527127869</v>
      </c>
      <c r="R771" s="225">
        <f t="shared" si="63"/>
        <v>1.2710044573643464</v>
      </c>
      <c r="S771" s="226">
        <f>'WetLitterbags placem_collection'!E112</f>
        <v>42762</v>
      </c>
      <c r="T771" s="226">
        <f>IF('WetLitterbags placem_collection'!G112="","",'WetLitterbags placem_collection'!G112)</f>
        <v>42816</v>
      </c>
      <c r="U771" s="227">
        <f t="shared" si="64"/>
        <v>54</v>
      </c>
      <c r="V771" s="225" t="str">
        <f t="shared" ref="V771:V834" si="66">IFERROR(L771-P771,"")</f>
        <v/>
      </c>
      <c r="W771" s="225" t="str">
        <f t="shared" ref="W771:W834" si="67">IFERROR(N771-R771,"")</f>
        <v/>
      </c>
      <c r="X771">
        <f>IFERROR(INDEX(Rainfall_Wet!$O$2:$O$217,MATCH(B771, Rainfall_Wet!$A$2:$A$217,0)),"")</f>
        <v>206.85140822299999</v>
      </c>
      <c r="Y771" s="231">
        <v>34.344660194174757</v>
      </c>
      <c r="Z771" s="231">
        <v>19.22727272727273</v>
      </c>
      <c r="AA771" s="231">
        <v>46.428067078552509</v>
      </c>
      <c r="AB771" s="232" t="s">
        <v>2670</v>
      </c>
      <c r="AC771" s="231">
        <v>6.7452932479053702</v>
      </c>
      <c r="AD771">
        <f>IF('WetLitterbags placem_collection'!AB112="","",'WetLitterbags placem_collection'!AB112)</f>
        <v>5.75</v>
      </c>
      <c r="AE771">
        <f>IF('WetLitterbags placem_collection'!Z112="","",'WetLitterbags placem_collection'!Z112)</f>
        <v>22.5</v>
      </c>
      <c r="AF771" s="24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placem_collection'!Y112)),"YES","NO")</f>
        <v>NO</v>
      </c>
      <c r="AM771" t="str">
        <f>IF(ISNUMBER(SEARCH("H", 'WetLitterbags placem_collection'!Y112)),"YES","NO")</f>
        <v>NO</v>
      </c>
      <c r="AN771" t="str">
        <f>IF(ISNUMBER(SEARCH("R", 'WetLitterbags placem_collection'!Y112)),"YES","NO")</f>
        <v>YES</v>
      </c>
    </row>
    <row r="772" spans="1:40" ht="15" customHeight="1">
      <c r="A772" s="258" t="s">
        <v>2460</v>
      </c>
      <c r="B772" s="263">
        <f>'Dry_Litterbag Placem_Collection'!A113</f>
        <v>111</v>
      </c>
      <c r="C772" s="263" t="str">
        <f>'Dry_Litterbag Placem_Collection'!B113</f>
        <v xml:space="preserve">Mwantimba
</v>
      </c>
      <c r="D772" s="263" t="s">
        <v>2659</v>
      </c>
      <c r="E772" s="263" t="s">
        <v>2660</v>
      </c>
      <c r="F772" s="263">
        <v>2</v>
      </c>
      <c r="G772" s="264" t="str">
        <f>'Dry_Litterbag Placem_Collection'!C113</f>
        <v>Wet_Ag2_T7</v>
      </c>
      <c r="H772" s="273" t="s">
        <v>3651</v>
      </c>
      <c r="I772" s="274" t="s">
        <v>298</v>
      </c>
      <c r="J772" s="223" t="str">
        <f>'WetLitterbags placem_collection'!Q113</f>
        <v>R487</v>
      </c>
      <c r="K772" s="225">
        <f>IFERROR(INDEX('Green_rooibos initial weight'!$C$5:$C$1749,MATCH(J772, 'Green_rooibos initial weight'!$A$5:$A$1749,0)),"")</f>
        <v>2.222</v>
      </c>
      <c r="L772" s="225">
        <f>IFERROR(K772-(TBIcalc!$H$9+TBIcalc!$H$10),"")</f>
        <v>1.9722</v>
      </c>
      <c r="M772" s="391">
        <f>AVERAGE(Ashed_controlls!$K$12:$K$14)</f>
        <v>2.2816647271287041</v>
      </c>
      <c r="N772" s="225">
        <f t="shared" si="65"/>
        <v>1.9272010082515676</v>
      </c>
      <c r="O772" s="225">
        <f>IF(IFERROR(INDEX('Both teabags AfterWet'!$C$3:$C$841,MATCH(J772,'Both teabags AfterWet'!$A$3:$A$841,0)),"")="","",(IFERROR(INDEX('Both teabags AfterWet'!$C$3:$C$841,MATCH(J772,'Both teabags AfterWet'!$A$3:$A$841,0)),"")))</f>
        <v>1.609</v>
      </c>
      <c r="P772" s="225">
        <f>IFERROR(IF(O772&gt;0,O772-(TBIcalc!$H$9),""),"")</f>
        <v>1.4583999999999999</v>
      </c>
      <c r="Q772" s="225">
        <f>IFERROR(INDEX('Ashed teabags wet'!$K$2:$K$821,MATCH(J772,'Ashed teabags wet'!$A$2:$A$821,0)),"")</f>
        <v>6.2961141170683206</v>
      </c>
      <c r="R772" s="225">
        <f t="shared" si="63"/>
        <v>1.3665774717166754</v>
      </c>
      <c r="S772" s="226">
        <f>'WetLitterbags placem_collection'!E113</f>
        <v>42762</v>
      </c>
      <c r="T772" s="226">
        <f>IF('WetLitterbags placem_collection'!G113="","",'WetLitterbags placem_collection'!G113)</f>
        <v>42816</v>
      </c>
      <c r="U772" s="227">
        <f t="shared" si="64"/>
        <v>54</v>
      </c>
      <c r="V772" s="225">
        <f t="shared" si="66"/>
        <v>0.51380000000000003</v>
      </c>
      <c r="W772" s="225">
        <f t="shared" si="67"/>
        <v>0.56062353653489216</v>
      </c>
      <c r="X772">
        <f>IFERROR(INDEX(Rainfall_Wet!$O$2:$O$217,MATCH(B772, Rainfall_Wet!$A$2:$A$217,0)),"")</f>
        <v>206.85140822299999</v>
      </c>
      <c r="Y772" s="231">
        <v>34.344660194174757</v>
      </c>
      <c r="Z772" s="231">
        <v>19.22727272727273</v>
      </c>
      <c r="AA772" s="231">
        <v>46.428067078552509</v>
      </c>
      <c r="AB772" s="232" t="s">
        <v>2670</v>
      </c>
      <c r="AC772" s="231">
        <v>7.7452932479053702</v>
      </c>
      <c r="AD772">
        <f>IF('WetLitterbags placem_collection'!AB113="","",'WetLitterbags placem_collection'!AB113)</f>
        <v>6.1</v>
      </c>
      <c r="AE772">
        <f>IF('WetLitterbags placem_collection'!Z113="","",'WetLitterbags placem_collection'!Z113)</f>
        <v>26</v>
      </c>
      <c r="AF772" s="24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placem_collection'!Y113)),"YES","NO")</f>
        <v>NO</v>
      </c>
      <c r="AM772" t="str">
        <f>IF(ISNUMBER(SEARCH("H", 'WetLitterbags placem_collection'!Y113)),"YES","NO")</f>
        <v>NO</v>
      </c>
      <c r="AN772" t="str">
        <f>IF(ISNUMBER(SEARCH("R", 'WetLitterbags placem_collection'!Y113)),"YES","NO")</f>
        <v>NO</v>
      </c>
    </row>
    <row r="773" spans="1:40" ht="15" customHeight="1">
      <c r="A773" s="258" t="s">
        <v>2460</v>
      </c>
      <c r="B773" s="263">
        <f>'Dry_Litterbag Placem_Collection'!A114</f>
        <v>112</v>
      </c>
      <c r="C773" s="263" t="str">
        <f>'Dry_Litterbag Placem_Collection'!B114</f>
        <v xml:space="preserve">Mwantimba
</v>
      </c>
      <c r="D773" s="263" t="s">
        <v>2659</v>
      </c>
      <c r="E773" s="263" t="s">
        <v>2660</v>
      </c>
      <c r="F773" s="263">
        <v>2</v>
      </c>
      <c r="G773" s="264" t="str">
        <f>'Dry_Litterbag Placem_Collection'!C114</f>
        <v>Wet_Ag2_T8</v>
      </c>
      <c r="H773" s="273" t="s">
        <v>3651</v>
      </c>
      <c r="I773" s="274" t="s">
        <v>298</v>
      </c>
      <c r="J773" s="223" t="str">
        <f>'WetLitterbags placem_collection'!Q114</f>
        <v>R530</v>
      </c>
      <c r="K773" s="225">
        <f>IFERROR(INDEX('Green_rooibos initial weight'!$C$5:$C$1749,MATCH(J773, 'Green_rooibos initial weight'!$A$5:$A$1749,0)),"")</f>
        <v>2.1659999999999999</v>
      </c>
      <c r="L773" s="225">
        <f>IFERROR(K773-(TBIcalc!$H$9+TBIcalc!$H$10),"")</f>
        <v>1.9161999999999999</v>
      </c>
      <c r="M773" s="391">
        <f>AVERAGE(Ashed_controlls!$K$12:$K$14)</f>
        <v>2.2816647271287041</v>
      </c>
      <c r="N773" s="225">
        <f t="shared" si="65"/>
        <v>1.8724787404987597</v>
      </c>
      <c r="O773" s="225">
        <f>IF(IFERROR(INDEX('Both teabags AfterWet'!$C$3:$C$841,MATCH(J773,'Both teabags AfterWet'!$A$3:$A$841,0)),"")="","",(IFERROR(INDEX('Both teabags AfterWet'!$C$3:$C$841,MATCH(J773,'Both teabags AfterWet'!$A$3:$A$841,0)),"")))</f>
        <v>1.627</v>
      </c>
      <c r="P773" s="225">
        <f>IFERROR(IF(O773&gt;0,O773-(TBIcalc!$H$9),""),"")</f>
        <v>1.4763999999999999</v>
      </c>
      <c r="Q773" s="228">
        <f>IFERROR(INDEX('Ashed teabags wet'!$K$2:$K$821,MATCH(J773,'Ashed teabags wet'!$A$2:$A$821,0)),"")</f>
        <v>4.6511627906973203</v>
      </c>
      <c r="R773" s="225">
        <f t="shared" si="63"/>
        <v>1.4077302325581447</v>
      </c>
      <c r="S773" s="226">
        <f>'WetLitterbags placem_collection'!E114</f>
        <v>42762</v>
      </c>
      <c r="T773" s="226">
        <f>IF('WetLitterbags placem_collection'!G114="","",'WetLitterbags placem_collection'!G114)</f>
        <v>42816</v>
      </c>
      <c r="U773" s="227">
        <f t="shared" si="64"/>
        <v>54</v>
      </c>
      <c r="V773" s="225">
        <f t="shared" si="66"/>
        <v>0.43979999999999997</v>
      </c>
      <c r="W773" s="225">
        <f t="shared" si="67"/>
        <v>0.46474850794061506</v>
      </c>
      <c r="X773">
        <f>IFERROR(INDEX(Rainfall_Wet!$O$2:$O$217,MATCH(B773, Rainfall_Wet!$A$2:$A$217,0)),"")</f>
        <v>206.85140822299999</v>
      </c>
      <c r="Y773" s="231">
        <v>34.344660194174757</v>
      </c>
      <c r="Z773" s="231">
        <v>19.22727272727273</v>
      </c>
      <c r="AA773" s="231">
        <v>46.428067078552509</v>
      </c>
      <c r="AB773" s="232" t="s">
        <v>2670</v>
      </c>
      <c r="AC773" s="231">
        <v>8.7452932479053693</v>
      </c>
      <c r="AD773">
        <f>IF('WetLitterbags placem_collection'!AB114="","",'WetLitterbags placem_collection'!AB114)</f>
        <v>11.5</v>
      </c>
      <c r="AE773">
        <f>IF('WetLitterbags placem_collection'!Z114="","",'WetLitterbags placem_collection'!Z114)</f>
        <v>15</v>
      </c>
      <c r="AF773" s="24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placem_collection'!Y114)),"YES","NO")</f>
        <v>NO</v>
      </c>
      <c r="AM773" t="str">
        <f>IF(ISNUMBER(SEARCH("H", 'WetLitterbags placem_collection'!Y114)),"YES","NO")</f>
        <v>NO</v>
      </c>
      <c r="AN773" t="str">
        <f>IF(ISNUMBER(SEARCH("R", 'WetLitterbags placem_collection'!Y114)),"YES","NO")</f>
        <v>NO</v>
      </c>
    </row>
    <row r="774" spans="1:40" ht="15" customHeight="1">
      <c r="A774" s="258" t="s">
        <v>2460</v>
      </c>
      <c r="B774" s="263">
        <f>'Dry_Litterbag Placem_Collection'!A115</f>
        <v>113</v>
      </c>
      <c r="C774" s="263" t="str">
        <f>'Dry_Litterbag Placem_Collection'!B115</f>
        <v xml:space="preserve">Mwantimba
</v>
      </c>
      <c r="D774" s="263" t="s">
        <v>2659</v>
      </c>
      <c r="E774" s="263" t="s">
        <v>2660</v>
      </c>
      <c r="F774" s="263">
        <v>3</v>
      </c>
      <c r="G774" s="264" t="str">
        <f>'Dry_Litterbag Placem_Collection'!C115</f>
        <v>Wet_Ag3_T1</v>
      </c>
      <c r="H774" s="273" t="s">
        <v>3651</v>
      </c>
      <c r="I774" s="274" t="s">
        <v>298</v>
      </c>
      <c r="J774" s="223" t="str">
        <f>'WetLitterbags placem_collection'!Q115</f>
        <v>R578</v>
      </c>
      <c r="K774" s="225">
        <f>IFERROR(INDEX('Green_rooibos initial weight'!$C$5:$C$1749,MATCH(J774, 'Green_rooibos initial weight'!$A$5:$A$1749,0)),"")</f>
        <v>2.1259999999999999</v>
      </c>
      <c r="L774" s="225">
        <f>IFERROR(K774-(TBIcalc!$H$9+TBIcalc!$H$10),"")</f>
        <v>1.8761999999999999</v>
      </c>
      <c r="M774" s="391">
        <f>AVERAGE(Ashed_controlls!$K$12:$K$14)</f>
        <v>2.2816647271287041</v>
      </c>
      <c r="N774" s="225">
        <f t="shared" si="65"/>
        <v>1.8333914063896111</v>
      </c>
      <c r="O774" s="225">
        <f>IF(IFERROR(INDEX('Both teabags AfterWet'!$C$3:$C$841,MATCH(J774,'Both teabags AfterWet'!$A$3:$A$841,0)),"")="","",(IFERROR(INDEX('Both teabags AfterWet'!$C$3:$C$841,MATCH(J774,'Both teabags AfterWet'!$A$3:$A$841,0)),"")))</f>
        <v>1.421</v>
      </c>
      <c r="P774" s="225">
        <f>IFERROR(IF(O774&gt;0,O774-(TBIcalc!$H$9),""),"")</f>
        <v>1.2704</v>
      </c>
      <c r="Q774" s="225">
        <f>IFERROR(INDEX('Ashed teabags wet'!$K$2:$K$821,MATCH(J774,'Ashed teabags wet'!$A$2:$A$821,0)),"")</f>
        <v>12.371134020618721</v>
      </c>
      <c r="R774" s="225">
        <f t="shared" si="63"/>
        <v>1.1132371134020598</v>
      </c>
      <c r="S774" s="226">
        <f>'WetLitterbags placem_collection'!E115</f>
        <v>42762</v>
      </c>
      <c r="T774" s="226">
        <f>IF('WetLitterbags placem_collection'!G115="","",'WetLitterbags placem_collection'!G115)</f>
        <v>42816</v>
      </c>
      <c r="U774" s="227">
        <f t="shared" si="64"/>
        <v>54</v>
      </c>
      <c r="V774" s="225">
        <f t="shared" si="66"/>
        <v>0.60579999999999989</v>
      </c>
      <c r="W774" s="225">
        <f t="shared" si="67"/>
        <v>0.72015429298755129</v>
      </c>
      <c r="X774">
        <f>IFERROR(INDEX(Rainfall_Wet!$O$2:$O$217,MATCH(B774, Rainfall_Wet!$A$2:$A$217,0)),"")</f>
        <v>206.85140822299999</v>
      </c>
      <c r="Y774" s="231">
        <v>27.96</v>
      </c>
      <c r="Z774" s="231">
        <v>4.9200000000000017</v>
      </c>
      <c r="AA774" s="231">
        <v>67.12</v>
      </c>
      <c r="AB774" s="232" t="s">
        <v>2670</v>
      </c>
      <c r="AC774" s="231">
        <v>0.88610152784622953</v>
      </c>
      <c r="AD774">
        <f>IF('WetLitterbags placem_collection'!AB115="","",'WetLitterbags placem_collection'!AB115)</f>
        <v>26</v>
      </c>
      <c r="AE774">
        <f>IF('WetLitterbags placem_collection'!Z115="","",'WetLitterbags placem_collection'!Z115)</f>
        <v>88.5</v>
      </c>
      <c r="AF774" s="24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placem_collection'!Y115)),"YES","NO")</f>
        <v>NO</v>
      </c>
      <c r="AM774" t="str">
        <f>IF(ISNUMBER(SEARCH("H", 'WetLitterbags placem_collection'!Y115)),"YES","NO")</f>
        <v>NO</v>
      </c>
      <c r="AN774" t="str">
        <f>IF(ISNUMBER(SEARCH("R", 'WetLitterbags placem_collection'!Y115)),"YES","NO")</f>
        <v>YES</v>
      </c>
    </row>
    <row r="775" spans="1:40" ht="15" customHeight="1">
      <c r="A775" s="258" t="s">
        <v>2460</v>
      </c>
      <c r="B775" s="263">
        <f>'Dry_Litterbag Placem_Collection'!A116</f>
        <v>114</v>
      </c>
      <c r="C775" s="263" t="str">
        <f>'Dry_Litterbag Placem_Collection'!B116</f>
        <v xml:space="preserve">Mwantimba
</v>
      </c>
      <c r="D775" s="263" t="s">
        <v>2659</v>
      </c>
      <c r="E775" s="263" t="s">
        <v>2660</v>
      </c>
      <c r="F775" s="263">
        <v>3</v>
      </c>
      <c r="G775" s="264" t="str">
        <f>'Dry_Litterbag Placem_Collection'!C116</f>
        <v>Wet_Ag3_T2</v>
      </c>
      <c r="H775" s="273" t="s">
        <v>3651</v>
      </c>
      <c r="I775" s="274" t="s">
        <v>298</v>
      </c>
      <c r="J775" s="223" t="str">
        <f>'WetLitterbags placem_collection'!Q116</f>
        <v>R37</v>
      </c>
      <c r="K775" s="225">
        <f>IFERROR(INDEX('Green_rooibos initial weight'!$C$5:$C$1749,MATCH(J775, 'Green_rooibos initial weight'!$A$5:$A$1749,0)),"")</f>
        <v>2.0979999999999999</v>
      </c>
      <c r="L775" s="225">
        <f>IFERROR(K775-(TBIcalc!$H$9+TBIcalc!$H$10),"")</f>
        <v>1.8481999999999998</v>
      </c>
      <c r="M775" s="391">
        <f>AVERAGE(Ashed_controlls!$K$12:$K$14)</f>
        <v>2.2816647271287041</v>
      </c>
      <c r="N775" s="225">
        <f t="shared" si="65"/>
        <v>1.8060302725132071</v>
      </c>
      <c r="O775" s="225">
        <f>IF(IFERROR(INDEX('Both teabags AfterWet'!$C$3:$C$841,MATCH(J775,'Both teabags AfterWet'!$A$3:$A$841,0)),"")="","",(IFERROR(INDEX('Both teabags AfterWet'!$C$3:$C$841,MATCH(J775,'Both teabags AfterWet'!$A$3:$A$841,0)),"")))</f>
        <v>1.504</v>
      </c>
      <c r="P775" s="225">
        <f>IFERROR(IF(O775&gt;0,O775-(TBIcalc!$H$9),""),"")</f>
        <v>1.3533999999999999</v>
      </c>
      <c r="Q775" s="225">
        <f>IFERROR(INDEX('Ashed teabags wet'!$K$2:$K$821,MATCH(J775,'Ashed teabags wet'!$A$2:$A$821,0)),"")</f>
        <v>11.717576364547087</v>
      </c>
      <c r="R775" s="225">
        <f t="shared" si="63"/>
        <v>1.1948143214822196</v>
      </c>
      <c r="S775" s="226">
        <f>'WetLitterbags placem_collection'!E116</f>
        <v>42762</v>
      </c>
      <c r="T775" s="226">
        <f>IF('WetLitterbags placem_collection'!G116="","",'WetLitterbags placem_collection'!G116)</f>
        <v>42816</v>
      </c>
      <c r="U775" s="227">
        <f t="shared" si="64"/>
        <v>54</v>
      </c>
      <c r="V775" s="225">
        <f t="shared" si="66"/>
        <v>0.49479999999999991</v>
      </c>
      <c r="W775" s="225">
        <f t="shared" si="67"/>
        <v>0.61121595103098758</v>
      </c>
      <c r="X775">
        <f>IFERROR(INDEX(Rainfall_Wet!$O$2:$O$217,MATCH(B775, Rainfall_Wet!$A$2:$A$217,0)),"")</f>
        <v>206.85140822299999</v>
      </c>
      <c r="Y775" s="231">
        <v>27.96</v>
      </c>
      <c r="Z775" s="231">
        <v>4.9200000000000017</v>
      </c>
      <c r="AA775" s="231">
        <v>67.12</v>
      </c>
      <c r="AB775" s="232" t="s">
        <v>2670</v>
      </c>
      <c r="AC775" s="231">
        <v>1.8861015278462301</v>
      </c>
      <c r="AD775">
        <f>IF('WetLitterbags placem_collection'!AB116="","",'WetLitterbags placem_collection'!AB116)</f>
        <v>16.5</v>
      </c>
      <c r="AE775">
        <f>IF('WetLitterbags placem_collection'!Z116="","",'WetLitterbags placem_collection'!Z116)</f>
        <v>87.5</v>
      </c>
      <c r="AF775" s="24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placem_collection'!Y116)),"YES","NO")</f>
        <v>NO</v>
      </c>
      <c r="AM775" t="str">
        <f>IF(ISNUMBER(SEARCH("H", 'WetLitterbags placem_collection'!Y116)),"YES","NO")</f>
        <v>NO</v>
      </c>
      <c r="AN775" t="str">
        <f>IF(ISNUMBER(SEARCH("R", 'WetLitterbags placem_collection'!Y116)),"YES","NO")</f>
        <v>NO</v>
      </c>
    </row>
    <row r="776" spans="1:40" ht="15" customHeight="1">
      <c r="A776" s="258" t="s">
        <v>2460</v>
      </c>
      <c r="B776" s="263">
        <f>'Dry_Litterbag Placem_Collection'!A117</f>
        <v>115</v>
      </c>
      <c r="C776" s="263" t="str">
        <f>'Dry_Litterbag Placem_Collection'!B117</f>
        <v xml:space="preserve">Mwantimba
</v>
      </c>
      <c r="D776" s="263" t="s">
        <v>2659</v>
      </c>
      <c r="E776" s="263" t="s">
        <v>2660</v>
      </c>
      <c r="F776" s="263">
        <v>3</v>
      </c>
      <c r="G776" s="264" t="str">
        <f>'Dry_Litterbag Placem_Collection'!C117</f>
        <v>Wet_Ag3_T3</v>
      </c>
      <c r="H776" s="273" t="s">
        <v>3651</v>
      </c>
      <c r="I776" s="274" t="s">
        <v>298</v>
      </c>
      <c r="J776" s="223" t="str">
        <f>'WetLitterbags placem_collection'!Q117</f>
        <v>R522</v>
      </c>
      <c r="K776" s="225">
        <f>IFERROR(INDEX('Green_rooibos initial weight'!$C$5:$C$1749,MATCH(J776, 'Green_rooibos initial weight'!$A$5:$A$1749,0)),"")</f>
        <v>2.1819999999999999</v>
      </c>
      <c r="L776" s="225">
        <f>IFERROR(K776-(TBIcalc!$H$9+TBIcalc!$H$10),"")</f>
        <v>1.9321999999999999</v>
      </c>
      <c r="M776" s="391">
        <f>AVERAGE(Ashed_controlls!$K$12:$K$14)</f>
        <v>2.2816647271287041</v>
      </c>
      <c r="N776" s="225">
        <f t="shared" si="65"/>
        <v>1.8881136741424192</v>
      </c>
      <c r="O776" s="225">
        <f>IF(IFERROR(INDEX('Both teabags AfterWet'!$C$3:$C$841,MATCH(J776,'Both teabags AfterWet'!$A$3:$A$841,0)),"")="","",(IFERROR(INDEX('Both teabags AfterWet'!$C$3:$C$841,MATCH(J776,'Both teabags AfterWet'!$A$3:$A$841,0)),"")))</f>
        <v>1.401</v>
      </c>
      <c r="P776" s="225">
        <f>IFERROR(IF(O776&gt;0,O776-(TBIcalc!$H$9),""),"")</f>
        <v>1.2504</v>
      </c>
      <c r="Q776" s="225">
        <f>IFERROR(INDEX('Ashed teabags wet'!$K$2:$K$821,MATCH(J776,'Ashed teabags wet'!$A$2:$A$821,0)),"")</f>
        <v>3.9292730844799202</v>
      </c>
      <c r="R776" s="225">
        <f t="shared" si="63"/>
        <v>1.201268369351663</v>
      </c>
      <c r="S776" s="226">
        <f>'WetLitterbags placem_collection'!E117</f>
        <v>42762</v>
      </c>
      <c r="T776" s="226">
        <f>IF('WetLitterbags placem_collection'!G117="","",'WetLitterbags placem_collection'!G117)</f>
        <v>42816</v>
      </c>
      <c r="U776" s="227">
        <f t="shared" si="64"/>
        <v>54</v>
      </c>
      <c r="V776" s="225">
        <f t="shared" si="66"/>
        <v>0.68179999999999996</v>
      </c>
      <c r="W776" s="225">
        <f t="shared" si="67"/>
        <v>0.68684530479075612</v>
      </c>
      <c r="X776">
        <f>IFERROR(INDEX(Rainfall_Wet!$O$2:$O$217,MATCH(B776, Rainfall_Wet!$A$2:$A$217,0)),"")</f>
        <v>206.85140822299999</v>
      </c>
      <c r="Y776" s="231">
        <v>27.96</v>
      </c>
      <c r="Z776" s="231">
        <v>4.9200000000000017</v>
      </c>
      <c r="AA776" s="231">
        <v>67.12</v>
      </c>
      <c r="AB776" s="232" t="s">
        <v>2670</v>
      </c>
      <c r="AC776" s="231">
        <v>2.8861015278462299</v>
      </c>
      <c r="AD776">
        <f>IF('WetLitterbags placem_collection'!AB117="","",'WetLitterbags placem_collection'!AB117)</f>
        <v>19</v>
      </c>
      <c r="AE776">
        <f>IF('WetLitterbags placem_collection'!Z117="","",'WetLitterbags placem_collection'!Z117)</f>
        <v>79.5</v>
      </c>
      <c r="AF776" s="24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placem_collection'!Y117)),"YES","NO")</f>
        <v>NO</v>
      </c>
      <c r="AM776" t="str">
        <f>IF(ISNUMBER(SEARCH("H", 'WetLitterbags placem_collection'!Y117)),"YES","NO")</f>
        <v>NO</v>
      </c>
      <c r="AN776" t="str">
        <f>IF(ISNUMBER(SEARCH("R", 'WetLitterbags placem_collection'!Y117)),"YES","NO")</f>
        <v>YES</v>
      </c>
    </row>
    <row r="777" spans="1:40" ht="15" customHeight="1">
      <c r="A777" s="258" t="s">
        <v>2460</v>
      </c>
      <c r="B777" s="263">
        <f>'Dry_Litterbag Placem_Collection'!A118</f>
        <v>116</v>
      </c>
      <c r="C777" s="263" t="str">
        <f>'Dry_Litterbag Placem_Collection'!B118</f>
        <v xml:space="preserve">Mwantimba
</v>
      </c>
      <c r="D777" s="263" t="s">
        <v>2659</v>
      </c>
      <c r="E777" s="263" t="s">
        <v>2660</v>
      </c>
      <c r="F777" s="263">
        <v>3</v>
      </c>
      <c r="G777" s="264" t="str">
        <f>'Dry_Litterbag Placem_Collection'!C118</f>
        <v>Wet_Ag3_T4</v>
      </c>
      <c r="H777" s="273" t="s">
        <v>3651</v>
      </c>
      <c r="I777" s="274" t="s">
        <v>298</v>
      </c>
      <c r="J777" s="223" t="str">
        <f>'WetLitterbags placem_collection'!Q118</f>
        <v>R480</v>
      </c>
      <c r="K777" s="225">
        <f>IFERROR(INDEX('Green_rooibos initial weight'!$C$5:$C$1749,MATCH(J777, 'Green_rooibos initial weight'!$A$5:$A$1749,0)),"")</f>
        <v>2.17</v>
      </c>
      <c r="L777" s="225">
        <f>IFERROR(K777-(TBIcalc!$H$9+TBIcalc!$H$10),"")</f>
        <v>1.9201999999999999</v>
      </c>
      <c r="M777" s="391">
        <f>AVERAGE(Ashed_controlls!$K$12:$K$14)</f>
        <v>2.2816647271287041</v>
      </c>
      <c r="N777" s="225">
        <f t="shared" si="65"/>
        <v>1.8763874739096746</v>
      </c>
      <c r="O777" s="225">
        <f>IF(IFERROR(INDEX('Both teabags AfterWet'!$C$3:$C$841,MATCH(J777,'Both teabags AfterWet'!$A$3:$A$841,0)),"")="","",(IFERROR(INDEX('Both teabags AfterWet'!$C$3:$C$841,MATCH(J777,'Both teabags AfterWet'!$A$3:$A$841,0)),"")))</f>
        <v>1.389</v>
      </c>
      <c r="P777" s="225">
        <f>IFERROR(IF(O777&gt;0,O777-(TBIcalc!$H$9),""),"")</f>
        <v>1.2383999999999999</v>
      </c>
      <c r="Q777" s="225">
        <f>IFERROR(INDEX('Ashed teabags wet'!$K$2:$K$821,MATCH(J777,'Ashed teabags wet'!$A$2:$A$821,0)),"")</f>
        <v>9.0863704443334274</v>
      </c>
      <c r="R777" s="225">
        <f t="shared" si="63"/>
        <v>1.1258743884173747</v>
      </c>
      <c r="S777" s="226">
        <f>'WetLitterbags placem_collection'!E118</f>
        <v>42762</v>
      </c>
      <c r="T777" s="226">
        <f>IF('WetLitterbags placem_collection'!G118="","",'WetLitterbags placem_collection'!G118)</f>
        <v>42816</v>
      </c>
      <c r="U777" s="227">
        <f t="shared" si="64"/>
        <v>54</v>
      </c>
      <c r="V777" s="225">
        <f t="shared" si="66"/>
        <v>0.68179999999999996</v>
      </c>
      <c r="W777" s="225">
        <f t="shared" si="67"/>
        <v>0.75051308549229989</v>
      </c>
      <c r="X777">
        <f>IFERROR(INDEX(Rainfall_Wet!$O$2:$O$217,MATCH(B777, Rainfall_Wet!$A$2:$A$217,0)),"")</f>
        <v>206.85140822299999</v>
      </c>
      <c r="Y777" s="231">
        <v>27.96</v>
      </c>
      <c r="Z777" s="231">
        <v>4.9200000000000017</v>
      </c>
      <c r="AA777" s="231">
        <v>67.12</v>
      </c>
      <c r="AB777" s="232" t="s">
        <v>2670</v>
      </c>
      <c r="AC777" s="231">
        <v>3.8861015278462299</v>
      </c>
      <c r="AD777">
        <f>IF('WetLitterbags placem_collection'!AB118="","",'WetLitterbags placem_collection'!AB118)</f>
        <v>22.5</v>
      </c>
      <c r="AE777">
        <f>IF('WetLitterbags placem_collection'!Z118="","",'WetLitterbags placem_collection'!Z118)</f>
        <v>76</v>
      </c>
      <c r="AF777" s="24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placem_collection'!Y118)),"YES","NO")</f>
        <v>NO</v>
      </c>
      <c r="AM777" t="str">
        <f>IF(ISNUMBER(SEARCH("H", 'WetLitterbags placem_collection'!Y118)),"YES","NO")</f>
        <v>NO</v>
      </c>
      <c r="AN777" t="str">
        <f>IF(ISNUMBER(SEARCH("R", 'WetLitterbags placem_collection'!Y118)),"YES","NO")</f>
        <v>YES</v>
      </c>
    </row>
    <row r="778" spans="1:40" ht="15" customHeight="1">
      <c r="A778" s="258" t="s">
        <v>2460</v>
      </c>
      <c r="B778" s="263">
        <f>'Dry_Litterbag Placem_Collection'!A119</f>
        <v>117</v>
      </c>
      <c r="C778" s="263" t="str">
        <f>'Dry_Litterbag Placem_Collection'!B119</f>
        <v xml:space="preserve">Mwantimba
</v>
      </c>
      <c r="D778" s="263" t="s">
        <v>2659</v>
      </c>
      <c r="E778" s="263" t="s">
        <v>2660</v>
      </c>
      <c r="F778" s="263">
        <v>3</v>
      </c>
      <c r="G778" s="264" t="str">
        <f>'Dry_Litterbag Placem_Collection'!C119</f>
        <v>Wet_Ag3_T5</v>
      </c>
      <c r="H778" s="273" t="s">
        <v>3651</v>
      </c>
      <c r="I778" s="274" t="s">
        <v>298</v>
      </c>
      <c r="J778" s="223" t="str">
        <f>'WetLitterbags placem_collection'!Q119</f>
        <v>R565</v>
      </c>
      <c r="K778" s="225">
        <f>IFERROR(INDEX('Green_rooibos initial weight'!$C$5:$C$1749,MATCH(J778, 'Green_rooibos initial weight'!$A$5:$A$1749,0)),"")</f>
        <v>2.0649999999999999</v>
      </c>
      <c r="L778" s="225">
        <f>IFERROR(K778-(TBIcalc!$H$9+TBIcalc!$H$10),"")</f>
        <v>1.8151999999999999</v>
      </c>
      <c r="M778" s="391">
        <f>AVERAGE(Ashed_controlls!$K$12:$K$14)</f>
        <v>2.2816647271287041</v>
      </c>
      <c r="N778" s="225">
        <f t="shared" si="65"/>
        <v>1.7737832218731597</v>
      </c>
      <c r="O778" s="225">
        <f>IF(IFERROR(INDEX('Both teabags AfterWet'!$C$3:$C$841,MATCH(J778,'Both teabags AfterWet'!$A$3:$A$841,0)),"")="","",(IFERROR(INDEX('Both teabags AfterWet'!$C$3:$C$841,MATCH(J778,'Both teabags AfterWet'!$A$3:$A$841,0)),"")))</f>
        <v>1.343</v>
      </c>
      <c r="P778" s="225">
        <f>IFERROR(IF(O778&gt;0,O778-(TBIcalc!$H$9),""),"")</f>
        <v>1.1923999999999999</v>
      </c>
      <c r="Q778" s="225" t="str">
        <f>IFERROR(INDEX('Ashed teabags wet'!$K$2:$K$821,MATCH(J778,'Ashed teabags wet'!$A$2:$A$821,0)),"")</f>
        <v/>
      </c>
      <c r="R778" s="225" t="str">
        <f t="shared" si="63"/>
        <v/>
      </c>
      <c r="S778" s="226">
        <f>'WetLitterbags placem_collection'!E119</f>
        <v>42762</v>
      </c>
      <c r="T778" s="226">
        <f>IF('WetLitterbags placem_collection'!G119="","",'WetLitterbags placem_collection'!G119)</f>
        <v>42816</v>
      </c>
      <c r="U778" s="227">
        <f t="shared" si="64"/>
        <v>54</v>
      </c>
      <c r="V778" s="225">
        <f t="shared" si="66"/>
        <v>0.62280000000000002</v>
      </c>
      <c r="W778" s="225" t="str">
        <f t="shared" si="67"/>
        <v/>
      </c>
      <c r="X778">
        <f>IFERROR(INDEX(Rainfall_Wet!$O$2:$O$217,MATCH(B778, Rainfall_Wet!$A$2:$A$217,0)),"")</f>
        <v>206.85140822299999</v>
      </c>
      <c r="Y778" s="231">
        <v>27.96</v>
      </c>
      <c r="Z778" s="231">
        <v>4.9200000000000017</v>
      </c>
      <c r="AA778" s="231">
        <v>67.12</v>
      </c>
      <c r="AB778" s="232" t="s">
        <v>2670</v>
      </c>
      <c r="AC778" s="231">
        <v>4.8861015278462299</v>
      </c>
      <c r="AD778">
        <f>IF('WetLitterbags placem_collection'!AB119="","",'WetLitterbags placem_collection'!AB119)</f>
        <v>23.5</v>
      </c>
      <c r="AE778">
        <f>IF('WetLitterbags placem_collection'!Z119="","",'WetLitterbags placem_collection'!Z119)</f>
        <v>76</v>
      </c>
      <c r="AF778" s="24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placem_collection'!Y119)),"YES","NO")</f>
        <v>NO</v>
      </c>
      <c r="AM778" t="str">
        <f>IF(ISNUMBER(SEARCH("H", 'WetLitterbags placem_collection'!Y119)),"YES","NO")</f>
        <v>NO</v>
      </c>
      <c r="AN778" t="str">
        <f>IF(ISNUMBER(SEARCH("R", 'WetLitterbags placem_collection'!Y119)),"YES","NO")</f>
        <v>NO</v>
      </c>
    </row>
    <row r="779" spans="1:40" ht="15" customHeight="1">
      <c r="A779" s="258" t="s">
        <v>2460</v>
      </c>
      <c r="B779" s="263">
        <f>'Dry_Litterbag Placem_Collection'!A120</f>
        <v>118</v>
      </c>
      <c r="C779" s="263" t="str">
        <f>'Dry_Litterbag Placem_Collection'!B120</f>
        <v xml:space="preserve">Mwantimba
</v>
      </c>
      <c r="D779" s="263" t="s">
        <v>2659</v>
      </c>
      <c r="E779" s="263" t="s">
        <v>2660</v>
      </c>
      <c r="F779" s="263">
        <v>3</v>
      </c>
      <c r="G779" s="264" t="str">
        <f>'Dry_Litterbag Placem_Collection'!C120</f>
        <v>Wet_Ag3_T6</v>
      </c>
      <c r="H779" s="273" t="s">
        <v>3651</v>
      </c>
      <c r="I779" s="274" t="s">
        <v>298</v>
      </c>
      <c r="J779" s="223" t="str">
        <f>'WetLitterbags placem_collection'!Q120</f>
        <v>R544</v>
      </c>
      <c r="K779" s="225">
        <f>IFERROR(INDEX('Green_rooibos initial weight'!$C$5:$C$1749,MATCH(J779, 'Green_rooibos initial weight'!$A$5:$A$1749,0)),"")</f>
        <v>2.2109999999999999</v>
      </c>
      <c r="L779" s="225">
        <f>IFERROR(K779-(TBIcalc!$H$9+TBIcalc!$H$10),"")</f>
        <v>1.9611999999999998</v>
      </c>
      <c r="M779" s="391">
        <f>AVERAGE(Ashed_controlls!$K$12:$K$14)</f>
        <v>2.2816647271287041</v>
      </c>
      <c r="N779" s="225">
        <f t="shared" si="65"/>
        <v>1.9164519913715516</v>
      </c>
      <c r="O779" s="225">
        <f>IF(IFERROR(INDEX('Both teabags AfterWet'!$C$3:$C$841,MATCH(J779,'Both teabags AfterWet'!$A$3:$A$841,0)),"")="","",(IFERROR(INDEX('Both teabags AfterWet'!$C$3:$C$841,MATCH(J779,'Both teabags AfterWet'!$A$3:$A$841,0)),"")))</f>
        <v>1.599</v>
      </c>
      <c r="P779" s="225">
        <f>IFERROR(IF(O779&gt;0,O779-(TBIcalc!$H$9),""),"")</f>
        <v>1.4483999999999999</v>
      </c>
      <c r="Q779" s="225">
        <f>IFERROR(INDEX('Ashed teabags wet'!$K$2:$K$821,MATCH(J779,'Ashed teabags wet'!$A$2:$A$821,0)),"")</f>
        <v>4.604604604605111</v>
      </c>
      <c r="R779" s="225">
        <f t="shared" ref="R779:R842" si="68">IFERROR(P779-(Q779/100)*P779,"")</f>
        <v>1.3817069069068995</v>
      </c>
      <c r="S779" s="226">
        <f>'WetLitterbags placem_collection'!E120</f>
        <v>42762</v>
      </c>
      <c r="T779" s="226">
        <f>IF('WetLitterbags placem_collection'!G120="","",'WetLitterbags placem_collection'!G120)</f>
        <v>42816</v>
      </c>
      <c r="U779" s="227">
        <f t="shared" si="64"/>
        <v>54</v>
      </c>
      <c r="V779" s="225">
        <f t="shared" si="66"/>
        <v>0.51279999999999992</v>
      </c>
      <c r="W779" s="225">
        <f t="shared" si="67"/>
        <v>0.53474508446465219</v>
      </c>
      <c r="X779">
        <f>IFERROR(INDEX(Rainfall_Wet!$O$2:$O$217,MATCH(B779, Rainfall_Wet!$A$2:$A$217,0)),"")</f>
        <v>206.85140822299999</v>
      </c>
      <c r="Y779" s="231">
        <v>27.96</v>
      </c>
      <c r="Z779" s="231">
        <v>4.9200000000000017</v>
      </c>
      <c r="AA779" s="231">
        <v>67.12</v>
      </c>
      <c r="AB779" s="232" t="s">
        <v>2670</v>
      </c>
      <c r="AC779" s="231">
        <v>5.8861015278462299</v>
      </c>
      <c r="AD779">
        <f>IF('WetLitterbags placem_collection'!AB120="","",'WetLitterbags placem_collection'!AB120)</f>
        <v>17.5</v>
      </c>
      <c r="AE779">
        <f>IF('WetLitterbags placem_collection'!Z120="","",'WetLitterbags placem_collection'!Z120)</f>
        <v>70.5</v>
      </c>
      <c r="AF779" s="24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placem_collection'!Y120)),"YES","NO")</f>
        <v>NO</v>
      </c>
      <c r="AM779" t="str">
        <f>IF(ISNUMBER(SEARCH("H", 'WetLitterbags placem_collection'!Y120)),"YES","NO")</f>
        <v>NO</v>
      </c>
      <c r="AN779" t="str">
        <f>IF(ISNUMBER(SEARCH("R", 'WetLitterbags placem_collection'!Y120)),"YES","NO")</f>
        <v>NO</v>
      </c>
    </row>
    <row r="780" spans="1:40" ht="15" customHeight="1">
      <c r="A780" s="258" t="s">
        <v>2460</v>
      </c>
      <c r="B780" s="263">
        <f>'Dry_Litterbag Placem_Collection'!A121</f>
        <v>119</v>
      </c>
      <c r="C780" s="263" t="str">
        <f>'Dry_Litterbag Placem_Collection'!B121</f>
        <v xml:space="preserve">Mwantimba
</v>
      </c>
      <c r="D780" s="263" t="s">
        <v>2659</v>
      </c>
      <c r="E780" s="263" t="s">
        <v>2660</v>
      </c>
      <c r="F780" s="263">
        <v>3</v>
      </c>
      <c r="G780" s="264" t="str">
        <f>'Dry_Litterbag Placem_Collection'!C121</f>
        <v>Wet_Ag3_T7</v>
      </c>
      <c r="H780" s="273" t="s">
        <v>3651</v>
      </c>
      <c r="I780" s="274" t="s">
        <v>298</v>
      </c>
      <c r="J780" s="223" t="str">
        <f>'WetLitterbags placem_collection'!Q121</f>
        <v>R526</v>
      </c>
      <c r="K780" s="225">
        <f>IFERROR(INDEX('Green_rooibos initial weight'!$C$5:$C$1749,MATCH(J780, 'Green_rooibos initial weight'!$A$5:$A$1749,0)),"")</f>
        <v>2.0960000000000001</v>
      </c>
      <c r="L780" s="225">
        <f>IFERROR(K780-(TBIcalc!$H$9+TBIcalc!$H$10),"")</f>
        <v>1.8462000000000001</v>
      </c>
      <c r="M780" s="391">
        <f>AVERAGE(Ashed_controlls!$K$12:$K$14)</f>
        <v>2.2816647271287041</v>
      </c>
      <c r="N780" s="225">
        <f t="shared" si="65"/>
        <v>1.80407590580775</v>
      </c>
      <c r="O780" s="225">
        <f>IF(IFERROR(INDEX('Both teabags AfterWet'!$C$3:$C$841,MATCH(J780,'Both teabags AfterWet'!$A$3:$A$841,0)),"")="","",(IFERROR(INDEX('Both teabags AfterWet'!$C$3:$C$841,MATCH(J780,'Both teabags AfterWet'!$A$3:$A$841,0)),"")))</f>
        <v>1.3</v>
      </c>
      <c r="P780" s="225">
        <f>IFERROR(IF(O780&gt;0,O780-(TBIcalc!$H$9),""),"")</f>
        <v>1.1494</v>
      </c>
      <c r="Q780" s="225">
        <f>IFERROR(INDEX('Ashed teabags wet'!$K$2:$K$821,MATCH(J780,'Ashed teabags wet'!$A$2:$A$821,0)),"")</f>
        <v>6.4671814671816925</v>
      </c>
      <c r="R780" s="225">
        <f t="shared" si="68"/>
        <v>1.0750662162162137</v>
      </c>
      <c r="S780" s="226">
        <f>'WetLitterbags placem_collection'!E121</f>
        <v>42762</v>
      </c>
      <c r="T780" s="226">
        <f>IF('WetLitterbags placem_collection'!G121="","",'WetLitterbags placem_collection'!G121)</f>
        <v>42816</v>
      </c>
      <c r="U780" s="227">
        <f t="shared" si="64"/>
        <v>54</v>
      </c>
      <c r="V780" s="225">
        <f t="shared" si="66"/>
        <v>0.69680000000000009</v>
      </c>
      <c r="W780" s="225">
        <f t="shared" si="67"/>
        <v>0.72900968959153634</v>
      </c>
      <c r="X780">
        <f>IFERROR(INDEX(Rainfall_Wet!$O$2:$O$217,MATCH(B780, Rainfall_Wet!$A$2:$A$217,0)),"")</f>
        <v>206.85140822299999</v>
      </c>
      <c r="Y780" s="231">
        <v>27.96</v>
      </c>
      <c r="Z780" s="231">
        <v>4.9200000000000017</v>
      </c>
      <c r="AA780" s="231">
        <v>67.12</v>
      </c>
      <c r="AB780" s="232" t="s">
        <v>2670</v>
      </c>
      <c r="AC780" s="231">
        <v>6.8861015278462299</v>
      </c>
      <c r="AD780">
        <f>IF('WetLitterbags placem_collection'!AB121="","",'WetLitterbags placem_collection'!AB121)</f>
        <v>18.5</v>
      </c>
      <c r="AE780">
        <f>IF('WetLitterbags placem_collection'!Z121="","",'WetLitterbags placem_collection'!Z121)</f>
        <v>74.5</v>
      </c>
      <c r="AF780" s="24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placem_collection'!Y121)),"YES","NO")</f>
        <v>NO</v>
      </c>
      <c r="AM780" t="str">
        <f>IF(ISNUMBER(SEARCH("H", 'WetLitterbags placem_collection'!Y121)),"YES","NO")</f>
        <v>NO</v>
      </c>
      <c r="AN780" t="str">
        <f>IF(ISNUMBER(SEARCH("R", 'WetLitterbags placem_collection'!Y121)),"YES","NO")</f>
        <v>YES</v>
      </c>
    </row>
    <row r="781" spans="1:40" ht="15" customHeight="1">
      <c r="A781" s="258" t="s">
        <v>2460</v>
      </c>
      <c r="B781" s="263">
        <f>'Dry_Litterbag Placem_Collection'!A122</f>
        <v>120</v>
      </c>
      <c r="C781" s="263" t="str">
        <f>'Dry_Litterbag Placem_Collection'!B122</f>
        <v xml:space="preserve">Mwantimba
</v>
      </c>
      <c r="D781" s="263" t="s">
        <v>2659</v>
      </c>
      <c r="E781" s="263" t="s">
        <v>2660</v>
      </c>
      <c r="F781" s="263">
        <v>3</v>
      </c>
      <c r="G781" s="264" t="str">
        <f>'Dry_Litterbag Placem_Collection'!C122</f>
        <v>Wet_Ag3_T8</v>
      </c>
      <c r="H781" s="273" t="s">
        <v>3651</v>
      </c>
      <c r="I781" s="274" t="s">
        <v>298</v>
      </c>
      <c r="J781" s="223" t="str">
        <f>'WetLitterbags placem_collection'!Q122</f>
        <v>R594</v>
      </c>
      <c r="K781" s="225">
        <f>IFERROR(INDEX('Green_rooibos initial weight'!$C$5:$C$1749,MATCH(J781, 'Green_rooibos initial weight'!$A$5:$A$1749,0)),"")</f>
        <v>2.2400000000000002</v>
      </c>
      <c r="L781" s="225">
        <f>IFERROR(K781-(TBIcalc!$H$9+TBIcalc!$H$10),"")</f>
        <v>1.9902000000000002</v>
      </c>
      <c r="M781" s="391">
        <f>AVERAGE(Ashed_controlls!$K$12:$K$14)</f>
        <v>2.2816647271287041</v>
      </c>
      <c r="N781" s="225">
        <f t="shared" si="65"/>
        <v>1.9447903086006848</v>
      </c>
      <c r="O781" s="225">
        <f>IF(IFERROR(INDEX('Both teabags AfterWet'!$C$3:$C$841,MATCH(J781,'Both teabags AfterWet'!$A$3:$A$841,0)),"")="","",(IFERROR(INDEX('Both teabags AfterWet'!$C$3:$C$841,MATCH(J781,'Both teabags AfterWet'!$A$3:$A$841,0)),"")))</f>
        <v>1.4142999999999999</v>
      </c>
      <c r="P781" s="225">
        <f>IFERROR(IF(O781&gt;0,O781-(TBIcalc!$H$9),""),"")</f>
        <v>1.2636999999999998</v>
      </c>
      <c r="Q781" s="225">
        <f>IFERROR(INDEX('Ashed teabags wet'!$K$2:$K$821,MATCH(J781,'Ashed teabags wet'!$A$2:$A$821,0)),"")</f>
        <v>4.3540669856461571</v>
      </c>
      <c r="R781" s="225">
        <f t="shared" si="68"/>
        <v>1.2086776555023893</v>
      </c>
      <c r="S781" s="226">
        <f>'WetLitterbags placem_collection'!E122</f>
        <v>42762</v>
      </c>
      <c r="T781" s="226">
        <f>IF('WetLitterbags placem_collection'!G122="","",'WetLitterbags placem_collection'!G122)</f>
        <v>42816</v>
      </c>
      <c r="U781" s="227">
        <f t="shared" si="64"/>
        <v>54</v>
      </c>
      <c r="V781" s="225">
        <f t="shared" si="66"/>
        <v>0.72650000000000037</v>
      </c>
      <c r="W781" s="225">
        <f t="shared" si="67"/>
        <v>0.73611265309829554</v>
      </c>
      <c r="X781">
        <f>IFERROR(INDEX(Rainfall_Wet!$O$2:$O$217,MATCH(B781, Rainfall_Wet!$A$2:$A$217,0)),"")</f>
        <v>206.85140822299999</v>
      </c>
      <c r="Y781" s="231">
        <v>27.96</v>
      </c>
      <c r="Z781" s="231">
        <v>4.9200000000000017</v>
      </c>
      <c r="AA781" s="231">
        <v>67.12</v>
      </c>
      <c r="AB781" s="232" t="s">
        <v>2670</v>
      </c>
      <c r="AC781" s="231">
        <v>7.8861015278462299</v>
      </c>
      <c r="AD781">
        <f>IF('WetLitterbags placem_collection'!AB122="","",'WetLitterbags placem_collection'!AB122)</f>
        <v>19</v>
      </c>
      <c r="AE781">
        <f>IF('WetLitterbags placem_collection'!Z122="","",'WetLitterbags placem_collection'!Z122)</f>
        <v>98.5</v>
      </c>
      <c r="AF781" s="24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placem_collection'!Y122)),"YES","NO")</f>
        <v>NO</v>
      </c>
      <c r="AM781" t="str">
        <f>IF(ISNUMBER(SEARCH("H", 'WetLitterbags placem_collection'!Y122)),"YES","NO")</f>
        <v>NO</v>
      </c>
      <c r="AN781" t="str">
        <f>IF(ISNUMBER(SEARCH("R", 'WetLitterbags placem_collection'!Y122)),"YES","NO")</f>
        <v>YES</v>
      </c>
    </row>
    <row r="782" spans="1:40" ht="15" customHeight="1">
      <c r="A782" s="258" t="s">
        <v>2460</v>
      </c>
      <c r="B782" s="263">
        <f>'Dry_Litterbag Placem_Collection'!A123</f>
        <v>121</v>
      </c>
      <c r="C782" s="263" t="str">
        <f>'Dry_Litterbag Placem_Collection'!B123</f>
        <v xml:space="preserve">Mwantimba
</v>
      </c>
      <c r="D782" s="263" t="s">
        <v>2659</v>
      </c>
      <c r="E782" s="263" t="s">
        <v>2660</v>
      </c>
      <c r="F782" s="263">
        <v>4</v>
      </c>
      <c r="G782" s="264" t="str">
        <f>'Dry_Litterbag Placem_Collection'!C123</f>
        <v>Wet_Ag4_T1</v>
      </c>
      <c r="H782" s="273" t="s">
        <v>3651</v>
      </c>
      <c r="I782" s="274" t="s">
        <v>298</v>
      </c>
      <c r="J782" s="223" t="str">
        <f>'WetLitterbags placem_collection'!Q123</f>
        <v>R564</v>
      </c>
      <c r="K782" s="225">
        <f>IFERROR(INDEX('Green_rooibos initial weight'!$C$5:$C$1749,MATCH(J782, 'Green_rooibos initial weight'!$A$5:$A$1749,0)),"")</f>
        <v>2.145</v>
      </c>
      <c r="L782" s="225">
        <f>IFERROR(K782-(TBIcalc!$H$9+TBIcalc!$H$10),"")</f>
        <v>1.8952</v>
      </c>
      <c r="M782" s="391">
        <f>AVERAGE(Ashed_controlls!$K$12:$K$14)</f>
        <v>2.2816647271287041</v>
      </c>
      <c r="N782" s="225">
        <f t="shared" si="65"/>
        <v>1.8519578900914568</v>
      </c>
      <c r="O782" s="225">
        <f>IF(IFERROR(INDEX('Both teabags AfterWet'!$C$3:$C$841,MATCH(J782,'Both teabags AfterWet'!$A$3:$A$841,0)),"")="","",(IFERROR(INDEX('Both teabags AfterWet'!$C$3:$C$841,MATCH(J782,'Both teabags AfterWet'!$A$3:$A$841,0)),"")))</f>
        <v>1.53</v>
      </c>
      <c r="P782" s="225">
        <f>IFERROR(IF(O782&gt;0,O782-(TBIcalc!$H$9),""),"")</f>
        <v>1.3794</v>
      </c>
      <c r="Q782" s="225">
        <f>IFERROR(INDEX('Ashed teabags wet'!$K$2:$K$821,MATCH(J782,'Ashed teabags wet'!$A$2:$A$821,0)),"")</f>
        <v>7.5161772025872624</v>
      </c>
      <c r="R782" s="225">
        <f t="shared" si="68"/>
        <v>1.2757218516675113</v>
      </c>
      <c r="S782" s="226">
        <f>'WetLitterbags placem_collection'!E123</f>
        <v>42762</v>
      </c>
      <c r="T782" s="226">
        <f>IF('WetLitterbags placem_collection'!G123="","",'WetLitterbags placem_collection'!G123)</f>
        <v>42816</v>
      </c>
      <c r="U782" s="227">
        <f t="shared" si="64"/>
        <v>54</v>
      </c>
      <c r="V782" s="225">
        <f t="shared" si="66"/>
        <v>0.51580000000000004</v>
      </c>
      <c r="W782" s="225">
        <f t="shared" si="67"/>
        <v>0.57623603842394555</v>
      </c>
      <c r="X782">
        <f>IFERROR(INDEX(Rainfall_Wet!$O$2:$O$217,MATCH(B782, Rainfall_Wet!$A$2:$A$217,0)),"")</f>
        <v>206.85140822299999</v>
      </c>
      <c r="Y782" s="231">
        <v>17.96</v>
      </c>
      <c r="Z782" s="231">
        <v>4.9199999999999982</v>
      </c>
      <c r="AA782" s="231">
        <v>77.12</v>
      </c>
      <c r="AB782" s="232" t="s">
        <v>2671</v>
      </c>
      <c r="AC782" s="231">
        <v>2.0220798422868409</v>
      </c>
      <c r="AD782">
        <f>IF('WetLitterbags placem_collection'!AB123="","",'WetLitterbags placem_collection'!AB123)</f>
        <v>9.65</v>
      </c>
      <c r="AE782">
        <f>IF('WetLitterbags placem_collection'!Z123="","",'WetLitterbags placem_collection'!Z123)</f>
        <v>63</v>
      </c>
      <c r="AF782" s="24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placem_collection'!Y123)),"YES","NO")</f>
        <v>NO</v>
      </c>
      <c r="AM782" t="str">
        <f>IF(ISNUMBER(SEARCH("H", 'WetLitterbags placem_collection'!Y123)),"YES","NO")</f>
        <v>NO</v>
      </c>
      <c r="AN782" t="str">
        <f>IF(ISNUMBER(SEARCH("R", 'WetLitterbags placem_collection'!Y123)),"YES","NO")</f>
        <v>YES</v>
      </c>
    </row>
    <row r="783" spans="1:40" ht="15" customHeight="1">
      <c r="A783" s="258" t="s">
        <v>2460</v>
      </c>
      <c r="B783" s="263">
        <f>'Dry_Litterbag Placem_Collection'!A124</f>
        <v>122</v>
      </c>
      <c r="C783" s="263" t="str">
        <f>'Dry_Litterbag Placem_Collection'!B124</f>
        <v xml:space="preserve">Mwantimba
</v>
      </c>
      <c r="D783" s="263" t="s">
        <v>2659</v>
      </c>
      <c r="E783" s="263" t="s">
        <v>2660</v>
      </c>
      <c r="F783" s="263">
        <v>4</v>
      </c>
      <c r="G783" s="264" t="str">
        <f>'Dry_Litterbag Placem_Collection'!C124</f>
        <v>Wet_Ag4_T2</v>
      </c>
      <c r="H783" s="273" t="s">
        <v>3651</v>
      </c>
      <c r="I783" s="274" t="s">
        <v>298</v>
      </c>
      <c r="J783" s="223" t="str">
        <f>'WetLitterbags placem_collection'!Q124</f>
        <v>R429</v>
      </c>
      <c r="K783" s="225">
        <f>IFERROR(INDEX('Green_rooibos initial weight'!$C$5:$C$1749,MATCH(J783, 'Green_rooibos initial weight'!$A$5:$A$1749,0)),"")</f>
        <v>2.21</v>
      </c>
      <c r="L783" s="225">
        <f>IFERROR(K783-(TBIcalc!$H$9+TBIcalc!$H$10),"")</f>
        <v>1.9601999999999999</v>
      </c>
      <c r="M783" s="391">
        <f>AVERAGE(Ashed_controlls!$K$12:$K$14)</f>
        <v>2.2816647271287041</v>
      </c>
      <c r="N783" s="225">
        <f t="shared" si="65"/>
        <v>1.9154748080188231</v>
      </c>
      <c r="O783" s="225">
        <f>IF(IFERROR(INDEX('Both teabags AfterWet'!$C$3:$C$841,MATCH(J783,'Both teabags AfterWet'!$A$3:$A$841,0)),"")="","",(IFERROR(INDEX('Both teabags AfterWet'!$C$3:$C$841,MATCH(J783,'Both teabags AfterWet'!$A$3:$A$841,0)),"")))</f>
        <v>1.2190000000000001</v>
      </c>
      <c r="P783" s="225">
        <f>IFERROR(IF(O783&gt;0,O783-(TBIcalc!$H$9),""),"")</f>
        <v>1.0684</v>
      </c>
      <c r="Q783" s="225">
        <f>IFERROR(INDEX('Ashed teabags wet'!$K$2:$K$821,MATCH(J783,'Ashed teabags wet'!$A$2:$A$821,0)),"")</f>
        <v>8.6138613861387903</v>
      </c>
      <c r="R783" s="225">
        <f t="shared" si="68"/>
        <v>0.97636950495049313</v>
      </c>
      <c r="S783" s="226">
        <f>'WetLitterbags placem_collection'!E124</f>
        <v>42762</v>
      </c>
      <c r="T783" s="226">
        <f>IF('WetLitterbags placem_collection'!G124="","",'WetLitterbags placem_collection'!G124)</f>
        <v>42816</v>
      </c>
      <c r="U783" s="227">
        <f t="shared" si="64"/>
        <v>54</v>
      </c>
      <c r="V783" s="225">
        <f t="shared" si="66"/>
        <v>0.89179999999999993</v>
      </c>
      <c r="W783" s="225">
        <f t="shared" si="67"/>
        <v>0.93910530306832996</v>
      </c>
      <c r="X783">
        <f>IFERROR(INDEX(Rainfall_Wet!$O$2:$O$217,MATCH(B783, Rainfall_Wet!$A$2:$A$217,0)),"")</f>
        <v>206.85140822299999</v>
      </c>
      <c r="Y783" s="231">
        <v>17.96</v>
      </c>
      <c r="Z783" s="231">
        <v>4.9199999999999982</v>
      </c>
      <c r="AA783" s="231">
        <v>77.12</v>
      </c>
      <c r="AB783" s="232" t="s">
        <v>2671</v>
      </c>
      <c r="AC783" s="231">
        <v>3.02207984228684</v>
      </c>
      <c r="AD783">
        <f>IF('WetLitterbags placem_collection'!AB124="","",'WetLitterbags placem_collection'!AB124)</f>
        <v>3.1</v>
      </c>
      <c r="AE783">
        <f>IF('WetLitterbags placem_collection'!Z124="","",'WetLitterbags placem_collection'!Z124)</f>
        <v>53</v>
      </c>
      <c r="AF783" s="24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placem_collection'!Y124)),"YES","NO")</f>
        <v>NO</v>
      </c>
      <c r="AM783" t="str">
        <f>IF(ISNUMBER(SEARCH("H", 'WetLitterbags placem_collection'!Y124)),"YES","NO")</f>
        <v>NO</v>
      </c>
      <c r="AN783" t="str">
        <f>IF(ISNUMBER(SEARCH("R", 'WetLitterbags placem_collection'!Y124)),"YES","NO")</f>
        <v>YES</v>
      </c>
    </row>
    <row r="784" spans="1:40" ht="15" customHeight="1">
      <c r="A784" s="258" t="s">
        <v>2460</v>
      </c>
      <c r="B784" s="263">
        <f>'Dry_Litterbag Placem_Collection'!A125</f>
        <v>123</v>
      </c>
      <c r="C784" s="263" t="str">
        <f>'Dry_Litterbag Placem_Collection'!B125</f>
        <v xml:space="preserve">Mwantimba
</v>
      </c>
      <c r="D784" s="263" t="s">
        <v>2659</v>
      </c>
      <c r="E784" s="263" t="s">
        <v>2660</v>
      </c>
      <c r="F784" s="263">
        <v>4</v>
      </c>
      <c r="G784" s="264" t="str">
        <f>'Dry_Litterbag Placem_Collection'!C125</f>
        <v>Wet_Ag4_T3</v>
      </c>
      <c r="H784" s="273" t="s">
        <v>3651</v>
      </c>
      <c r="I784" s="274" t="s">
        <v>298</v>
      </c>
      <c r="J784" s="223" t="str">
        <f>'WetLitterbags placem_collection'!Q125</f>
        <v>R466</v>
      </c>
      <c r="K784" s="225">
        <f>IFERROR(INDEX('Green_rooibos initial weight'!$C$5:$C$1749,MATCH(J784, 'Green_rooibos initial weight'!$A$5:$A$1749,0)),"")</f>
        <v>2.2269999999999999</v>
      </c>
      <c r="L784" s="225">
        <f>IFERROR(K784-(TBIcalc!$H$9+TBIcalc!$H$10),"")</f>
        <v>1.9771999999999998</v>
      </c>
      <c r="M784" s="391">
        <f>AVERAGE(Ashed_controlls!$K$12:$K$14)</f>
        <v>2.2816647271287041</v>
      </c>
      <c r="N784" s="225">
        <f t="shared" si="65"/>
        <v>1.9320869250152111</v>
      </c>
      <c r="O784" s="225">
        <f>IF(IFERROR(INDEX('Both teabags AfterWet'!$C$3:$C$841,MATCH(J784,'Both teabags AfterWet'!$A$3:$A$841,0)),"")="","",(IFERROR(INDEX('Both teabags AfterWet'!$C$3:$C$841,MATCH(J784,'Both teabags AfterWet'!$A$3:$A$841,0)),"")))</f>
        <v>1.5760000000000001</v>
      </c>
      <c r="P784" s="225">
        <f>IFERROR(IF(O784&gt;0,O784-(TBIcalc!$H$9),""),"")</f>
        <v>1.4254</v>
      </c>
      <c r="Q784" s="225">
        <f>IFERROR(INDEX('Ashed teabags wet'!$K$2:$K$821,MATCH(J784,'Ashed teabags wet'!$A$2:$A$821,0)),"")</f>
        <v>3.9460539460533175</v>
      </c>
      <c r="R784" s="225">
        <f t="shared" si="68"/>
        <v>1.369152947052956</v>
      </c>
      <c r="S784" s="226">
        <f>'WetLitterbags placem_collection'!E125</f>
        <v>42762</v>
      </c>
      <c r="T784" s="226">
        <f>IF('WetLitterbags placem_collection'!G125="","",'WetLitterbags placem_collection'!G125)</f>
        <v>42816</v>
      </c>
      <c r="U784" s="227">
        <f t="shared" si="64"/>
        <v>54</v>
      </c>
      <c r="V784" s="225">
        <f t="shared" si="66"/>
        <v>0.55179999999999985</v>
      </c>
      <c r="W784" s="225">
        <f t="shared" si="67"/>
        <v>0.56293397796225508</v>
      </c>
      <c r="X784">
        <f>IFERROR(INDEX(Rainfall_Wet!$O$2:$O$217,MATCH(B784, Rainfall_Wet!$A$2:$A$217,0)),"")</f>
        <v>206.85140822299999</v>
      </c>
      <c r="Y784" s="231">
        <v>17.96</v>
      </c>
      <c r="Z784" s="231">
        <v>4.9199999999999982</v>
      </c>
      <c r="AA784" s="231">
        <v>77.12</v>
      </c>
      <c r="AB784" s="232" t="s">
        <v>2671</v>
      </c>
      <c r="AC784" s="231">
        <v>4.02207984228684</v>
      </c>
      <c r="AD784">
        <f>IF('WetLitterbags placem_collection'!AB125="","",'WetLitterbags placem_collection'!AB125)</f>
        <v>3.9</v>
      </c>
      <c r="AE784">
        <f>IF('WetLitterbags placem_collection'!Z125="","",'WetLitterbags placem_collection'!Z125)</f>
        <v>51</v>
      </c>
      <c r="AF784" s="24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placem_collection'!Y125)),"YES","NO")</f>
        <v>NO</v>
      </c>
      <c r="AM784" t="str">
        <f>IF(ISNUMBER(SEARCH("H", 'WetLitterbags placem_collection'!Y125)),"YES","NO")</f>
        <v>NO</v>
      </c>
      <c r="AN784" t="str">
        <f>IF(ISNUMBER(SEARCH("R", 'WetLitterbags placem_collection'!Y125)),"YES","NO")</f>
        <v>NO</v>
      </c>
    </row>
    <row r="785" spans="1:40" ht="15" customHeight="1">
      <c r="A785" s="258" t="s">
        <v>2460</v>
      </c>
      <c r="B785" s="263">
        <f>'Dry_Litterbag Placem_Collection'!A126</f>
        <v>124</v>
      </c>
      <c r="C785" s="263" t="str">
        <f>'Dry_Litterbag Placem_Collection'!B126</f>
        <v xml:space="preserve">Mwantimba
</v>
      </c>
      <c r="D785" s="263" t="s">
        <v>2659</v>
      </c>
      <c r="E785" s="263" t="s">
        <v>2660</v>
      </c>
      <c r="F785" s="263">
        <v>4</v>
      </c>
      <c r="G785" s="264" t="str">
        <f>'Dry_Litterbag Placem_Collection'!C126</f>
        <v>Wet_Ag4_T4</v>
      </c>
      <c r="H785" s="273" t="s">
        <v>3651</v>
      </c>
      <c r="I785" s="274" t="s">
        <v>298</v>
      </c>
      <c r="J785" s="223" t="str">
        <f>'WetLitterbags placem_collection'!Q126</f>
        <v>R471</v>
      </c>
      <c r="K785" s="225">
        <f>IFERROR(INDEX('Green_rooibos initial weight'!$C$5:$C$1749,MATCH(J785, 'Green_rooibos initial weight'!$A$5:$A$1749,0)),"")</f>
        <v>2.238</v>
      </c>
      <c r="L785" s="225">
        <f>IFERROR(K785-(TBIcalc!$H$9+TBIcalc!$H$10),"")</f>
        <v>1.9882</v>
      </c>
      <c r="M785" s="391">
        <f>AVERAGE(Ashed_controlls!$K$12:$K$14)</f>
        <v>2.2816647271287041</v>
      </c>
      <c r="N785" s="225">
        <f t="shared" si="65"/>
        <v>1.942835941895227</v>
      </c>
      <c r="O785" s="225">
        <f>IF(IFERROR(INDEX('Both teabags AfterWet'!$C$3:$C$841,MATCH(J785,'Both teabags AfterWet'!$A$3:$A$841,0)),"")="","",(IFERROR(INDEX('Both teabags AfterWet'!$C$3:$C$841,MATCH(J785,'Both teabags AfterWet'!$A$3:$A$841,0)),"")))</f>
        <v>1.518</v>
      </c>
      <c r="P785" s="225">
        <f>IFERROR(IF(O785&gt;0,O785-(TBIcalc!$H$9),""),"")</f>
        <v>1.3673999999999999</v>
      </c>
      <c r="Q785" s="225">
        <f>IFERROR(INDEX('Ashed teabags wet'!$K$2:$K$821,MATCH(J785,'Ashed teabags wet'!$A$2:$A$821,0)),"")</f>
        <v>3.762376237623815</v>
      </c>
      <c r="R785" s="225">
        <f t="shared" si="68"/>
        <v>1.3159532673267318</v>
      </c>
      <c r="S785" s="226">
        <f>'WetLitterbags placem_collection'!E126</f>
        <v>42762</v>
      </c>
      <c r="T785" s="226">
        <f>IF('WetLitterbags placem_collection'!G126="","",'WetLitterbags placem_collection'!G126)</f>
        <v>42816</v>
      </c>
      <c r="U785" s="227">
        <f t="shared" si="64"/>
        <v>54</v>
      </c>
      <c r="V785" s="225">
        <f t="shared" si="66"/>
        <v>0.62080000000000002</v>
      </c>
      <c r="W785" s="225">
        <f t="shared" si="67"/>
        <v>0.62688267456849522</v>
      </c>
      <c r="X785">
        <f>IFERROR(INDEX(Rainfall_Wet!$O$2:$O$217,MATCH(B785, Rainfall_Wet!$A$2:$A$217,0)),"")</f>
        <v>206.85140822299999</v>
      </c>
      <c r="Y785" s="231">
        <v>17.96</v>
      </c>
      <c r="Z785" s="231">
        <v>4.9199999999999982</v>
      </c>
      <c r="AA785" s="231">
        <v>77.12</v>
      </c>
      <c r="AB785" s="232" t="s">
        <v>2671</v>
      </c>
      <c r="AC785" s="231">
        <v>5.02207984228684</v>
      </c>
      <c r="AD785">
        <f>IF('WetLitterbags placem_collection'!AB126="","",'WetLitterbags placem_collection'!AB126)</f>
        <v>5.45</v>
      </c>
      <c r="AE785">
        <f>IF('WetLitterbags placem_collection'!Z126="","",'WetLitterbags placem_collection'!Z126)</f>
        <v>47</v>
      </c>
      <c r="AF785" s="24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placem_collection'!Y126)),"YES","NO")</f>
        <v>NO</v>
      </c>
      <c r="AM785" t="str">
        <f>IF(ISNUMBER(SEARCH("H", 'WetLitterbags placem_collection'!Y126)),"YES","NO")</f>
        <v>NO</v>
      </c>
      <c r="AN785" t="str">
        <f>IF(ISNUMBER(SEARCH("R", 'WetLitterbags placem_collection'!Y126)),"YES","NO")</f>
        <v>NO</v>
      </c>
    </row>
    <row r="786" spans="1:40" ht="15" customHeight="1">
      <c r="A786" s="258" t="s">
        <v>2460</v>
      </c>
      <c r="B786" s="263">
        <f>'Dry_Litterbag Placem_Collection'!A127</f>
        <v>125</v>
      </c>
      <c r="C786" s="263" t="str">
        <f>'Dry_Litterbag Placem_Collection'!B127</f>
        <v xml:space="preserve">Mwantimba
</v>
      </c>
      <c r="D786" s="263" t="s">
        <v>2659</v>
      </c>
      <c r="E786" s="263" t="s">
        <v>2660</v>
      </c>
      <c r="F786" s="263">
        <v>4</v>
      </c>
      <c r="G786" s="264" t="str">
        <f>'Dry_Litterbag Placem_Collection'!C127</f>
        <v>Wet_Ag4_T5</v>
      </c>
      <c r="H786" s="273" t="s">
        <v>3651</v>
      </c>
      <c r="I786" s="274" t="s">
        <v>298</v>
      </c>
      <c r="J786" s="223" t="str">
        <f>'WetLitterbags placem_collection'!Q127</f>
        <v>R486</v>
      </c>
      <c r="K786" s="225">
        <f>IFERROR(INDEX('Green_rooibos initial weight'!$C$5:$C$1749,MATCH(J786, 'Green_rooibos initial weight'!$A$5:$A$1749,0)),"")</f>
        <v>2.218</v>
      </c>
      <c r="L786" s="225">
        <f>IFERROR(K786-(TBIcalc!$H$9+TBIcalc!$H$10),"")</f>
        <v>1.9681999999999999</v>
      </c>
      <c r="M786" s="391">
        <f>AVERAGE(Ashed_controlls!$K$12:$K$14)</f>
        <v>2.2816647271287041</v>
      </c>
      <c r="N786" s="225">
        <f t="shared" si="65"/>
        <v>1.9232922748406529</v>
      </c>
      <c r="O786" s="225" t="str">
        <f>IF(IFERROR(INDEX('Both teabags AfterWet'!$C$3:$C$841,MATCH(J786,'Both teabags AfterWet'!$A$3:$A$841,0)),"")="","",(IFERROR(INDEX('Both teabags AfterWet'!$C$3:$C$841,MATCH(J786,'Both teabags AfterWet'!$A$3:$A$841,0)),"")))</f>
        <v/>
      </c>
      <c r="P786" s="225" t="str">
        <f>IFERROR(IF(O786&gt;0,O786-(TBIcalc!$H$9),""),"")</f>
        <v/>
      </c>
      <c r="Q786" s="225">
        <f>IFERROR(INDEX('Ashed teabags wet'!$K$2:$K$821,MATCH(J786,'Ashed teabags wet'!$A$2:$A$821,0)),"")</f>
        <v>4.2372881355932517</v>
      </c>
      <c r="R786" s="225" t="str">
        <f t="shared" si="68"/>
        <v/>
      </c>
      <c r="S786" s="226">
        <f>'WetLitterbags placem_collection'!E127</f>
        <v>42762</v>
      </c>
      <c r="T786" s="226">
        <f>IF('WetLitterbags placem_collection'!G127="","",'WetLitterbags placem_collection'!G127)</f>
        <v>42816</v>
      </c>
      <c r="U786" s="227">
        <f t="shared" si="64"/>
        <v>54</v>
      </c>
      <c r="V786" s="225" t="str">
        <f t="shared" si="66"/>
        <v/>
      </c>
      <c r="W786" s="225" t="str">
        <f t="shared" si="67"/>
        <v/>
      </c>
      <c r="X786">
        <f>IFERROR(INDEX(Rainfall_Wet!$O$2:$O$217,MATCH(B786, Rainfall_Wet!$A$2:$A$217,0)),"")</f>
        <v>206.85140822299999</v>
      </c>
      <c r="Y786" s="231">
        <v>17.96</v>
      </c>
      <c r="Z786" s="231">
        <v>4.9199999999999982</v>
      </c>
      <c r="AA786" s="231">
        <v>77.12</v>
      </c>
      <c r="AB786" s="232" t="s">
        <v>2671</v>
      </c>
      <c r="AC786" s="231">
        <v>6.02207984228684</v>
      </c>
      <c r="AD786">
        <f>IF('WetLitterbags placem_collection'!AB127="","",'WetLitterbags placem_collection'!AB127)</f>
        <v>9.3000000000000007</v>
      </c>
      <c r="AE786">
        <f>IF('WetLitterbags placem_collection'!Z127="","",'WetLitterbags placem_collection'!Z127)</f>
        <v>43</v>
      </c>
      <c r="AF786" s="24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placem_collection'!Y127)),"YES","NO")</f>
        <v>NO</v>
      </c>
      <c r="AM786" t="str">
        <f>IF(ISNUMBER(SEARCH("H", 'WetLitterbags placem_collection'!Y127)),"YES","NO")</f>
        <v>NO</v>
      </c>
      <c r="AN786" t="str">
        <f>IF(ISNUMBER(SEARCH("R", 'WetLitterbags placem_collection'!Y127)),"YES","NO")</f>
        <v>YES</v>
      </c>
    </row>
    <row r="787" spans="1:40" ht="15" customHeight="1">
      <c r="A787" s="258" t="s">
        <v>2460</v>
      </c>
      <c r="B787" s="263">
        <f>'Dry_Litterbag Placem_Collection'!A128</f>
        <v>126</v>
      </c>
      <c r="C787" s="263" t="str">
        <f>'Dry_Litterbag Placem_Collection'!B128</f>
        <v xml:space="preserve">Mwantimba
</v>
      </c>
      <c r="D787" s="263" t="s">
        <v>2659</v>
      </c>
      <c r="E787" s="263" t="s">
        <v>2660</v>
      </c>
      <c r="F787" s="263">
        <v>4</v>
      </c>
      <c r="G787" s="264" t="str">
        <f>'Dry_Litterbag Placem_Collection'!C128</f>
        <v>Wet_Ag4_T6</v>
      </c>
      <c r="H787" s="273" t="s">
        <v>3651</v>
      </c>
      <c r="I787" s="274" t="s">
        <v>298</v>
      </c>
      <c r="J787" s="223" t="str">
        <f>'WetLitterbags placem_collection'!Q128</f>
        <v>R55</v>
      </c>
      <c r="K787" s="225">
        <f>IFERROR(INDEX('Green_rooibos initial weight'!$C$5:$C$1749,MATCH(J787, 'Green_rooibos initial weight'!$A$5:$A$1749,0)),"")</f>
        <v>2.2010000000000001</v>
      </c>
      <c r="L787" s="225">
        <f>IFERROR(K787-(TBIcalc!$H$9+TBIcalc!$H$10),"")</f>
        <v>1.9512</v>
      </c>
      <c r="M787" s="391">
        <f>AVERAGE(Ashed_controlls!$K$12:$K$14)</f>
        <v>2.2816647271287041</v>
      </c>
      <c r="N787" s="225">
        <f t="shared" si="65"/>
        <v>1.9066801578442647</v>
      </c>
      <c r="O787" s="225">
        <f>IF(IFERROR(INDEX('Both teabags AfterWet'!$C$3:$C$841,MATCH(J787,'Both teabags AfterWet'!$A$3:$A$841,0)),"")="","",(IFERROR(INDEX('Both teabags AfterWet'!$C$3:$C$841,MATCH(J787,'Both teabags AfterWet'!$A$3:$A$841,0)),"")))</f>
        <v>1.4419999999999999</v>
      </c>
      <c r="P787" s="225">
        <f>IFERROR(IF(O787&gt;0,O787-(TBIcalc!$H$9),""),"")</f>
        <v>1.2913999999999999</v>
      </c>
      <c r="Q787" s="225">
        <f>IFERROR(INDEX('Ashed teabags wet'!$K$2:$K$821,MATCH(J787,'Ashed teabags wet'!$A$2:$A$821,0)),"")</f>
        <v>3.9111540318678832</v>
      </c>
      <c r="R787" s="225">
        <f t="shared" si="68"/>
        <v>1.240891356832458</v>
      </c>
      <c r="S787" s="226">
        <f>'WetLitterbags placem_collection'!E128</f>
        <v>42762</v>
      </c>
      <c r="T787" s="226">
        <f>IF('WetLitterbags placem_collection'!G128="","",'WetLitterbags placem_collection'!G128)</f>
        <v>42816</v>
      </c>
      <c r="U787" s="227">
        <f t="shared" si="64"/>
        <v>54</v>
      </c>
      <c r="V787" s="225">
        <f t="shared" si="66"/>
        <v>0.65980000000000016</v>
      </c>
      <c r="W787" s="225">
        <f t="shared" si="67"/>
        <v>0.66578880101180671</v>
      </c>
      <c r="X787">
        <f>IFERROR(INDEX(Rainfall_Wet!$O$2:$O$217,MATCH(B787, Rainfall_Wet!$A$2:$A$217,0)),"")</f>
        <v>206.85140822299999</v>
      </c>
      <c r="Y787" s="231">
        <v>17.96</v>
      </c>
      <c r="Z787" s="231">
        <v>4.9199999999999982</v>
      </c>
      <c r="AA787" s="231">
        <v>77.12</v>
      </c>
      <c r="AB787" s="232" t="s">
        <v>2671</v>
      </c>
      <c r="AC787" s="231">
        <v>7.02207984228684</v>
      </c>
      <c r="AD787">
        <f>IF('WetLitterbags placem_collection'!AB128="","",'WetLitterbags placem_collection'!AB128)</f>
        <v>10.85</v>
      </c>
      <c r="AE787">
        <f>IF('WetLitterbags placem_collection'!Z128="","",'WetLitterbags placem_collection'!Z128)</f>
        <v>40</v>
      </c>
      <c r="AF787" s="24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placem_collection'!Y128)),"YES","NO")</f>
        <v>NO</v>
      </c>
      <c r="AM787" t="str">
        <f>IF(ISNUMBER(SEARCH("H", 'WetLitterbags placem_collection'!Y128)),"YES","NO")</f>
        <v>NO</v>
      </c>
      <c r="AN787" t="str">
        <f>IF(ISNUMBER(SEARCH("R", 'WetLitterbags placem_collection'!Y128)),"YES","NO")</f>
        <v>YES</v>
      </c>
    </row>
    <row r="788" spans="1:40" ht="15" customHeight="1">
      <c r="A788" s="258" t="s">
        <v>2460</v>
      </c>
      <c r="B788" s="263">
        <f>'Dry_Litterbag Placem_Collection'!A129</f>
        <v>127</v>
      </c>
      <c r="C788" s="263" t="str">
        <f>'Dry_Litterbag Placem_Collection'!B129</f>
        <v xml:space="preserve">Mwantimba
</v>
      </c>
      <c r="D788" s="263" t="s">
        <v>2659</v>
      </c>
      <c r="E788" s="263" t="s">
        <v>2660</v>
      </c>
      <c r="F788" s="263">
        <v>4</v>
      </c>
      <c r="G788" s="264" t="str">
        <f>'Dry_Litterbag Placem_Collection'!C129</f>
        <v>Wet_Ag4_T7</v>
      </c>
      <c r="H788" s="273" t="s">
        <v>3651</v>
      </c>
      <c r="I788" s="274" t="s">
        <v>298</v>
      </c>
      <c r="J788" s="223" t="str">
        <f>'WetLitterbags placem_collection'!Q129</f>
        <v>R424</v>
      </c>
      <c r="K788" s="225">
        <f>IFERROR(INDEX('Green_rooibos initial weight'!$C$5:$C$1749,MATCH(J788, 'Green_rooibos initial weight'!$A$5:$A$1749,0)),"")</f>
        <v>2.214</v>
      </c>
      <c r="L788" s="225">
        <f>IFERROR(K788-(TBIcalc!$H$9+TBIcalc!$H$10),"")</f>
        <v>1.9641999999999999</v>
      </c>
      <c r="M788" s="391">
        <f>AVERAGE(Ashed_controlls!$K$12:$K$14)</f>
        <v>2.2816647271287041</v>
      </c>
      <c r="N788" s="225">
        <f t="shared" si="65"/>
        <v>1.919383541429738</v>
      </c>
      <c r="O788" s="225">
        <f>IF(IFERROR(INDEX('Both teabags AfterWet'!$C$3:$C$841,MATCH(J788,'Both teabags AfterWet'!$A$3:$A$841,0)),"")="","",(IFERROR(INDEX('Both teabags AfterWet'!$C$3:$C$841,MATCH(J788,'Both teabags AfterWet'!$A$3:$A$841,0)),"")))</f>
        <v>1.552</v>
      </c>
      <c r="P788" s="225">
        <f>IFERROR(IF(O788&gt;0,O788-(TBIcalc!$H$9),""),"")</f>
        <v>1.4014</v>
      </c>
      <c r="Q788" s="225">
        <f>IFERROR(INDEX('Ashed teabags wet'!$K$2:$K$821,MATCH(J788,'Ashed teabags wet'!$A$2:$A$821,0)),"")</f>
        <v>7.3429951690818136</v>
      </c>
      <c r="R788" s="225">
        <f t="shared" si="68"/>
        <v>1.2984952657004873</v>
      </c>
      <c r="S788" s="226">
        <f>'WetLitterbags placem_collection'!E129</f>
        <v>42762</v>
      </c>
      <c r="T788" s="226">
        <f>IF('WetLitterbags placem_collection'!G129="","",'WetLitterbags placem_collection'!G129)</f>
        <v>42816</v>
      </c>
      <c r="U788" s="227">
        <f t="shared" si="64"/>
        <v>54</v>
      </c>
      <c r="V788" s="225">
        <f t="shared" si="66"/>
        <v>0.56279999999999997</v>
      </c>
      <c r="W788" s="225">
        <f t="shared" si="67"/>
        <v>0.62088827572925065</v>
      </c>
      <c r="X788">
        <f>IFERROR(INDEX(Rainfall_Wet!$O$2:$O$217,MATCH(B788, Rainfall_Wet!$A$2:$A$217,0)),"")</f>
        <v>206.85140822299999</v>
      </c>
      <c r="Y788" s="231">
        <v>17.96</v>
      </c>
      <c r="Z788" s="231">
        <v>4.9199999999999982</v>
      </c>
      <c r="AA788" s="231">
        <v>77.12</v>
      </c>
      <c r="AB788" s="232" t="s">
        <v>2671</v>
      </c>
      <c r="AC788" s="231">
        <v>8.0220798422868391</v>
      </c>
      <c r="AD788">
        <f>IF('WetLitterbags placem_collection'!AB129="","",'WetLitterbags placem_collection'!AB129)</f>
        <v>5.35</v>
      </c>
      <c r="AE788">
        <f>IF('WetLitterbags placem_collection'!Z129="","",'WetLitterbags placem_collection'!Z129)</f>
        <v>58</v>
      </c>
      <c r="AF788" s="24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placem_collection'!Y129)),"YES","NO")</f>
        <v>NO</v>
      </c>
      <c r="AM788" t="str">
        <f>IF(ISNUMBER(SEARCH("H", 'WetLitterbags placem_collection'!Y129)),"YES","NO")</f>
        <v>NO</v>
      </c>
      <c r="AN788" t="str">
        <f>IF(ISNUMBER(SEARCH("R", 'WetLitterbags placem_collection'!Y129)),"YES","NO")</f>
        <v>YES</v>
      </c>
    </row>
    <row r="789" spans="1:40" ht="15" customHeight="1">
      <c r="A789" s="258" t="s">
        <v>2460</v>
      </c>
      <c r="B789" s="263">
        <f>'Dry_Litterbag Placem_Collection'!A130</f>
        <v>128</v>
      </c>
      <c r="C789" s="263" t="str">
        <f>'Dry_Litterbag Placem_Collection'!B130</f>
        <v xml:space="preserve">Mwantimba
</v>
      </c>
      <c r="D789" s="263" t="s">
        <v>2659</v>
      </c>
      <c r="E789" s="263" t="s">
        <v>2660</v>
      </c>
      <c r="F789" s="263">
        <v>4</v>
      </c>
      <c r="G789" s="264" t="str">
        <f>'Dry_Litterbag Placem_Collection'!C130</f>
        <v>Wet_Ag4_T8</v>
      </c>
      <c r="H789" s="273" t="s">
        <v>3651</v>
      </c>
      <c r="I789" s="274" t="s">
        <v>298</v>
      </c>
      <c r="J789" s="223" t="str">
        <f>'WetLitterbags placem_collection'!Q130</f>
        <v>R418</v>
      </c>
      <c r="K789" s="225">
        <f>IFERROR(INDEX('Green_rooibos initial weight'!$C$5:$C$1749,MATCH(J789, 'Green_rooibos initial weight'!$A$5:$A$1749,0)),"")</f>
        <v>2.2029999999999998</v>
      </c>
      <c r="L789" s="225">
        <f>IFERROR(K789-(TBIcalc!$H$9+TBIcalc!$H$10),"")</f>
        <v>1.9531999999999998</v>
      </c>
      <c r="M789" s="391">
        <f>AVERAGE(Ashed_controlls!$K$12:$K$14)</f>
        <v>2.2816647271287041</v>
      </c>
      <c r="N789" s="225">
        <f t="shared" si="65"/>
        <v>1.908634524549722</v>
      </c>
      <c r="O789" s="225">
        <f>IF(IFERROR(INDEX('Both teabags AfterWet'!$C$3:$C$841,MATCH(J789,'Both teabags AfterWet'!$A$3:$A$841,0)),"")="","",(IFERROR(INDEX('Both teabags AfterWet'!$C$3:$C$841,MATCH(J789,'Both teabags AfterWet'!$A$3:$A$841,0)),"")))</f>
        <v>1.4119999999999999</v>
      </c>
      <c r="P789" s="225">
        <f>IFERROR(IF(O789&gt;0,O789-(TBIcalc!$H$9),""),"")</f>
        <v>1.2613999999999999</v>
      </c>
      <c r="Q789" s="225">
        <f>IFERROR(INDEX('Ashed teabags wet'!$K$2:$K$821,MATCH(J789,'Ashed teabags wet'!$A$2:$A$821,0)),"")</f>
        <v>4.4282238442810895</v>
      </c>
      <c r="R789" s="225">
        <f t="shared" si="68"/>
        <v>1.2055423844282382</v>
      </c>
      <c r="S789" s="226">
        <f>'WetLitterbags placem_collection'!E130</f>
        <v>42762</v>
      </c>
      <c r="T789" s="226">
        <f>IF('WetLitterbags placem_collection'!G130="","",'WetLitterbags placem_collection'!G130)</f>
        <v>42816</v>
      </c>
      <c r="U789" s="227">
        <f t="shared" si="64"/>
        <v>54</v>
      </c>
      <c r="V789" s="225">
        <f t="shared" si="66"/>
        <v>0.69179999999999997</v>
      </c>
      <c r="W789" s="225">
        <f t="shared" si="67"/>
        <v>0.7030921401214838</v>
      </c>
      <c r="X789">
        <f>IFERROR(INDEX(Rainfall_Wet!$O$2:$O$217,MATCH(B789, Rainfall_Wet!$A$2:$A$217,0)),"")</f>
        <v>206.85140822299999</v>
      </c>
      <c r="Y789" s="231">
        <v>17.96</v>
      </c>
      <c r="Z789" s="231">
        <v>4.9199999999999982</v>
      </c>
      <c r="AA789" s="231">
        <v>77.12</v>
      </c>
      <c r="AB789" s="232" t="s">
        <v>2671</v>
      </c>
      <c r="AC789" s="231">
        <v>9.0220798422868391</v>
      </c>
      <c r="AD789">
        <f>IF('WetLitterbags placem_collection'!AB130="","",'WetLitterbags placem_collection'!AB130)</f>
        <v>10.9</v>
      </c>
      <c r="AE789">
        <f>IF('WetLitterbags placem_collection'!Z130="","",'WetLitterbags placem_collection'!Z130)</f>
        <v>44</v>
      </c>
      <c r="AF789" s="24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placem_collection'!Y130)),"YES","NO")</f>
        <v>NO</v>
      </c>
      <c r="AM789" t="str">
        <f>IF(ISNUMBER(SEARCH("H", 'WetLitterbags placem_collection'!Y130)),"YES","NO")</f>
        <v>NO</v>
      </c>
      <c r="AN789" t="str">
        <f>IF(ISNUMBER(SEARCH("R", 'WetLitterbags placem_collection'!Y130)),"YES","NO")</f>
        <v>YES</v>
      </c>
    </row>
    <row r="790" spans="1:40" ht="15" customHeight="1">
      <c r="A790" s="258" t="s">
        <v>2460</v>
      </c>
      <c r="B790" s="263">
        <f>'Dry_Litterbag Placem_Collection'!A131</f>
        <v>129</v>
      </c>
      <c r="C790" s="263" t="str">
        <f>'Dry_Litterbag Placem_Collection'!B131</f>
        <v xml:space="preserve">Mwantimba
</v>
      </c>
      <c r="D790" s="263" t="s">
        <v>2659</v>
      </c>
      <c r="E790" s="263" t="s">
        <v>20</v>
      </c>
      <c r="F790" s="263">
        <v>1</v>
      </c>
      <c r="G790" s="264" t="str">
        <f>'Dry_Litterbag Placem_Collection'!C131</f>
        <v>Wet_P1_T1</v>
      </c>
      <c r="H790" s="273" t="s">
        <v>3651</v>
      </c>
      <c r="I790" s="274" t="s">
        <v>298</v>
      </c>
      <c r="J790" s="223" t="str">
        <f>'WetLitterbags placem_collection'!Q131</f>
        <v>R520</v>
      </c>
      <c r="K790" s="225">
        <f>IFERROR(INDEX('Green_rooibos initial weight'!$C$5:$C$1749,MATCH(J790, 'Green_rooibos initial weight'!$A$5:$A$1749,0)),"")</f>
        <v>2.2210000000000001</v>
      </c>
      <c r="L790" s="225">
        <f>IFERROR(K790-(TBIcalc!$H$9+TBIcalc!$H$10),"")</f>
        <v>1.9712000000000001</v>
      </c>
      <c r="M790" s="391">
        <f>AVERAGE(Ashed_controlls!$K$12:$K$14)</f>
        <v>2.2816647271287041</v>
      </c>
      <c r="N790" s="225">
        <f t="shared" si="65"/>
        <v>1.926223824898839</v>
      </c>
      <c r="O790" s="225">
        <f>IF(IFERROR(INDEX('Both teabags AfterWet'!$C$3:$C$841,MATCH(J790,'Both teabags AfterWet'!$A$3:$A$841,0)),"")="","",(IFERROR(INDEX('Both teabags AfterWet'!$C$3:$C$841,MATCH(J790,'Both teabags AfterWet'!$A$3:$A$841,0)),"")))</f>
        <v>1.5878000000000001</v>
      </c>
      <c r="P790" s="225">
        <f>IFERROR(IF(O790&gt;0,O790-(TBIcalc!$H$9),""),"")</f>
        <v>1.4372</v>
      </c>
      <c r="Q790" s="225">
        <f>IFERROR(INDEX('Ashed teabags wet'!$K$2:$K$821,MATCH(J790,'Ashed teabags wet'!$A$2:$A$821,0)),"")</f>
        <v>5.5940594059407749</v>
      </c>
      <c r="R790" s="225">
        <f t="shared" si="68"/>
        <v>1.3568021782178192</v>
      </c>
      <c r="S790" s="226">
        <f>'WetLitterbags placem_collection'!E131</f>
        <v>42762</v>
      </c>
      <c r="T790" s="226">
        <f>IF('WetLitterbags placem_collection'!G131="","",'WetLitterbags placem_collection'!G131)</f>
        <v>42816</v>
      </c>
      <c r="U790" s="227">
        <f t="shared" si="64"/>
        <v>54</v>
      </c>
      <c r="V790" s="225">
        <f t="shared" si="66"/>
        <v>0.53400000000000003</v>
      </c>
      <c r="W790" s="225">
        <f t="shared" si="67"/>
        <v>0.5694216466810198</v>
      </c>
      <c r="X790">
        <f>IFERROR(INDEX(Rainfall_Wet!$O$2:$O$217,MATCH(B790, Rainfall_Wet!$A$2:$A$217,0)),"")</f>
        <v>206.85140822299999</v>
      </c>
      <c r="Y790" s="231">
        <v>31.214836424255054</v>
      </c>
      <c r="Z790" s="231">
        <v>11.377370285476141</v>
      </c>
      <c r="AA790" s="231">
        <v>57.407793290268799</v>
      </c>
      <c r="AB790" s="232" t="s">
        <v>2670</v>
      </c>
      <c r="AC790" s="231">
        <v>1.7337604731394776</v>
      </c>
      <c r="AD790">
        <f>IF('WetLitterbags placem_collection'!AB131="","",'WetLitterbags placem_collection'!AB131)</f>
        <v>2.4</v>
      </c>
      <c r="AE790">
        <f>IF('WetLitterbags placem_collection'!Z131="","",'WetLitterbags placem_collection'!Z131)</f>
        <v>2.4</v>
      </c>
      <c r="AF790" s="24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placem_collection'!Y131)),"YES","NO")</f>
        <v>NO</v>
      </c>
      <c r="AM790" t="str">
        <f>IF(ISNUMBER(SEARCH("H", 'WetLitterbags placem_collection'!Y131)),"YES","NO")</f>
        <v>NO</v>
      </c>
      <c r="AN790" t="str">
        <f>IF(ISNUMBER(SEARCH("R", 'WetLitterbags placem_collection'!Y131)),"YES","NO")</f>
        <v>NO</v>
      </c>
    </row>
    <row r="791" spans="1:40" ht="15" customHeight="1">
      <c r="A791" s="258" t="s">
        <v>2460</v>
      </c>
      <c r="B791" s="263">
        <f>'Dry_Litterbag Placem_Collection'!A132</f>
        <v>130</v>
      </c>
      <c r="C791" s="263" t="str">
        <f>'Dry_Litterbag Placem_Collection'!B132</f>
        <v xml:space="preserve">Mwantimba
</v>
      </c>
      <c r="D791" s="263" t="s">
        <v>2659</v>
      </c>
      <c r="E791" s="263" t="s">
        <v>20</v>
      </c>
      <c r="F791" s="263">
        <v>1</v>
      </c>
      <c r="G791" s="264" t="str">
        <f>'Dry_Litterbag Placem_Collection'!C132</f>
        <v>Wet_P1_T2</v>
      </c>
      <c r="H791" s="273" t="s">
        <v>3651</v>
      </c>
      <c r="I791" s="274" t="s">
        <v>298</v>
      </c>
      <c r="J791" s="223" t="str">
        <f>'WetLitterbags placem_collection'!Q132</f>
        <v>R433</v>
      </c>
      <c r="K791" s="225">
        <f>IFERROR(INDEX('Green_rooibos initial weight'!$C$5:$C$1749,MATCH(J791, 'Green_rooibos initial weight'!$A$5:$A$1749,0)),"")</f>
        <v>2.0750000000000002</v>
      </c>
      <c r="L791" s="225">
        <f>IFERROR(K791-(TBIcalc!$H$9+TBIcalc!$H$10),"")</f>
        <v>1.8252000000000002</v>
      </c>
      <c r="M791" s="391">
        <f>AVERAGE(Ashed_controlls!$K$12:$K$14)</f>
        <v>2.2816647271287041</v>
      </c>
      <c r="N791" s="225">
        <f t="shared" si="65"/>
        <v>1.7835550554004471</v>
      </c>
      <c r="O791" s="225">
        <f>IF(IFERROR(INDEX('Both teabags AfterWet'!$C$3:$C$841,MATCH(J791,'Both teabags AfterWet'!$A$3:$A$841,0)),"")="","",(IFERROR(INDEX('Both teabags AfterWet'!$C$3:$C$841,MATCH(J791,'Both teabags AfterWet'!$A$3:$A$841,0)),"")))</f>
        <v>1.5069999999999999</v>
      </c>
      <c r="P791" s="225">
        <f>IFERROR(IF(O791&gt;0,O791-(TBIcalc!$H$9),""),"")</f>
        <v>1.3563999999999998</v>
      </c>
      <c r="Q791" s="225">
        <f>IFERROR(INDEX('Ashed teabags wet'!$K$2:$K$821,MATCH(J791,'Ashed teabags wet'!$A$2:$A$821,0)),"")</f>
        <v>5.1420176297748439</v>
      </c>
      <c r="R791" s="225">
        <f t="shared" si="68"/>
        <v>1.2866536728697338</v>
      </c>
      <c r="S791" s="226">
        <f>'WetLitterbags placem_collection'!E132</f>
        <v>42762</v>
      </c>
      <c r="T791" s="226">
        <f>IF('WetLitterbags placem_collection'!G132="","",'WetLitterbags placem_collection'!G132)</f>
        <v>42816</v>
      </c>
      <c r="U791" s="227">
        <f t="shared" ref="U791:U854" si="69">IFERROR(T791-S791,"")</f>
        <v>54</v>
      </c>
      <c r="V791" s="225">
        <f t="shared" si="66"/>
        <v>0.46880000000000033</v>
      </c>
      <c r="W791" s="225">
        <f t="shared" si="67"/>
        <v>0.49690138253071336</v>
      </c>
      <c r="X791">
        <f>IFERROR(INDEX(Rainfall_Wet!$O$2:$O$217,MATCH(B791, Rainfall_Wet!$A$2:$A$217,0)),"")</f>
        <v>206.85140822299999</v>
      </c>
      <c r="Y791" s="231">
        <v>31.214836424255054</v>
      </c>
      <c r="Z791" s="231">
        <v>11.377370285476141</v>
      </c>
      <c r="AA791" s="231">
        <v>57.407793290268799</v>
      </c>
      <c r="AB791" s="232" t="s">
        <v>2670</v>
      </c>
      <c r="AC791" s="231">
        <v>2.7337604731394798</v>
      </c>
      <c r="AD791">
        <f>IF('WetLitterbags placem_collection'!AB132="","",'WetLitterbags placem_collection'!AB132)</f>
        <v>2.1</v>
      </c>
      <c r="AE791">
        <f>IF('WetLitterbags placem_collection'!Z132="","",'WetLitterbags placem_collection'!Z132)</f>
        <v>3.5</v>
      </c>
      <c r="AF791" s="24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placem_collection'!Y132)),"YES","NO")</f>
        <v>NO</v>
      </c>
      <c r="AM791" t="str">
        <f>IF(ISNUMBER(SEARCH("H", 'WetLitterbags placem_collection'!Y132)),"YES","NO")</f>
        <v>NO</v>
      </c>
      <c r="AN791" t="str">
        <f>IF(ISNUMBER(SEARCH("R", 'WetLitterbags placem_collection'!Y132)),"YES","NO")</f>
        <v>NO</v>
      </c>
    </row>
    <row r="792" spans="1:40" ht="15" customHeight="1">
      <c r="A792" s="258" t="s">
        <v>2460</v>
      </c>
      <c r="B792" s="263">
        <f>'Dry_Litterbag Placem_Collection'!A133</f>
        <v>131</v>
      </c>
      <c r="C792" s="263" t="str">
        <f>'Dry_Litterbag Placem_Collection'!B133</f>
        <v xml:space="preserve">Mwantimba
</v>
      </c>
      <c r="D792" s="263" t="s">
        <v>2659</v>
      </c>
      <c r="E792" s="263" t="s">
        <v>20</v>
      </c>
      <c r="F792" s="263">
        <v>1</v>
      </c>
      <c r="G792" s="264" t="str">
        <f>'Dry_Litterbag Placem_Collection'!C133</f>
        <v>Wet_P1_T3</v>
      </c>
      <c r="H792" s="273" t="s">
        <v>3651</v>
      </c>
      <c r="I792" s="274" t="s">
        <v>298</v>
      </c>
      <c r="J792" s="223" t="str">
        <f>'WetLitterbags placem_collection'!Q133</f>
        <v>R592</v>
      </c>
      <c r="K792" s="225">
        <f>IFERROR(INDEX('Green_rooibos initial weight'!$C$5:$C$1749,MATCH(J792, 'Green_rooibos initial weight'!$A$5:$A$1749,0)),"")</f>
        <v>2.2549999999999999</v>
      </c>
      <c r="L792" s="225">
        <f>IFERROR(K792-(TBIcalc!$H$9+TBIcalc!$H$10),"")</f>
        <v>2.0051999999999999</v>
      </c>
      <c r="M792" s="391">
        <f>AVERAGE(Ashed_controlls!$K$12:$K$14)</f>
        <v>2.2816647271287041</v>
      </c>
      <c r="N792" s="225">
        <f t="shared" si="65"/>
        <v>1.959448058891615</v>
      </c>
      <c r="O792" s="225">
        <f>IF(IFERROR(INDEX('Both teabags AfterWet'!$C$3:$C$841,MATCH(J792,'Both teabags AfterWet'!$A$3:$A$841,0)),"")="","",(IFERROR(INDEX('Both teabags AfterWet'!$C$3:$C$841,MATCH(J792,'Both teabags AfterWet'!$A$3:$A$841,0)),"")))</f>
        <v>1.6073999999999999</v>
      </c>
      <c r="P792" s="225">
        <f>IFERROR(IF(O792&gt;0,O792-(TBIcalc!$H$9),""),"")</f>
        <v>1.4567999999999999</v>
      </c>
      <c r="Q792" s="225">
        <f>IFERROR(INDEX('Ashed teabags wet'!$K$2:$K$821,MATCH(J792,'Ashed teabags wet'!$A$2:$A$821,0)),"")</f>
        <v>3.7601142313182434</v>
      </c>
      <c r="R792" s="225">
        <f t="shared" si="68"/>
        <v>1.4020226558781557</v>
      </c>
      <c r="S792" s="226">
        <f>'WetLitterbags placem_collection'!E133</f>
        <v>42762</v>
      </c>
      <c r="T792" s="226">
        <f>IF('WetLitterbags placem_collection'!G133="","",'WetLitterbags placem_collection'!G133)</f>
        <v>42816</v>
      </c>
      <c r="U792" s="227">
        <f t="shared" si="69"/>
        <v>54</v>
      </c>
      <c r="V792" s="225">
        <f t="shared" si="66"/>
        <v>0.5484</v>
      </c>
      <c r="W792" s="225">
        <f t="shared" si="67"/>
        <v>0.55742540301345933</v>
      </c>
      <c r="X792">
        <f>IFERROR(INDEX(Rainfall_Wet!$O$2:$O$217,MATCH(B792, Rainfall_Wet!$A$2:$A$217,0)),"")</f>
        <v>206.85140822299999</v>
      </c>
      <c r="Y792" s="231">
        <v>31.214836424255054</v>
      </c>
      <c r="Z792" s="231">
        <v>11.377370285476141</v>
      </c>
      <c r="AA792" s="231">
        <v>57.407793290268799</v>
      </c>
      <c r="AB792" s="232" t="s">
        <v>2670</v>
      </c>
      <c r="AC792" s="231">
        <v>3.7337604731394798</v>
      </c>
      <c r="AD792">
        <f>IF('WetLitterbags placem_collection'!AB133="","",'WetLitterbags placem_collection'!AB133)</f>
        <v>4.5</v>
      </c>
      <c r="AE792">
        <f>IF('WetLitterbags placem_collection'!Z133="","",'WetLitterbags placem_collection'!Z133)</f>
        <v>7.5</v>
      </c>
      <c r="AF792" s="24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placem_collection'!Y133)),"YES","NO")</f>
        <v>NO</v>
      </c>
      <c r="AM792" t="str">
        <f>IF(ISNUMBER(SEARCH("H", 'WetLitterbags placem_collection'!Y133)),"YES","NO")</f>
        <v>NO</v>
      </c>
      <c r="AN792" t="str">
        <f>IF(ISNUMBER(SEARCH("R", 'WetLitterbags placem_collection'!Y133)),"YES","NO")</f>
        <v>NO</v>
      </c>
    </row>
    <row r="793" spans="1:40" ht="15" customHeight="1">
      <c r="A793" s="258" t="s">
        <v>2460</v>
      </c>
      <c r="B793" s="263">
        <f>'Dry_Litterbag Placem_Collection'!A134</f>
        <v>132</v>
      </c>
      <c r="C793" s="263" t="str">
        <f>'Dry_Litterbag Placem_Collection'!B134</f>
        <v xml:space="preserve">Mwantimba
</v>
      </c>
      <c r="D793" s="263" t="s">
        <v>2659</v>
      </c>
      <c r="E793" s="263" t="s">
        <v>20</v>
      </c>
      <c r="F793" s="263">
        <v>1</v>
      </c>
      <c r="G793" s="264" t="str">
        <f>'Dry_Litterbag Placem_Collection'!C134</f>
        <v>Wet_P1_T4</v>
      </c>
      <c r="H793" s="273" t="s">
        <v>3651</v>
      </c>
      <c r="I793" s="274" t="s">
        <v>298</v>
      </c>
      <c r="J793" s="223" t="str">
        <f>'WetLitterbags placem_collection'!Q134</f>
        <v>R477</v>
      </c>
      <c r="K793" s="225">
        <f>IFERROR(INDEX('Green_rooibos initial weight'!$C$5:$C$1749,MATCH(J793, 'Green_rooibos initial weight'!$A$5:$A$1749,0)),"")</f>
        <v>2.169</v>
      </c>
      <c r="L793" s="225">
        <f>IFERROR(K793-(TBIcalc!$H$9+TBIcalc!$H$10),"")</f>
        <v>1.9192</v>
      </c>
      <c r="M793" s="391">
        <f>AVERAGE(Ashed_controlls!$K$12:$K$14)</f>
        <v>2.2816647271287041</v>
      </c>
      <c r="N793" s="225">
        <f t="shared" si="65"/>
        <v>1.8754102905569459</v>
      </c>
      <c r="O793" s="225">
        <f>IF(IFERROR(INDEX('Both teabags AfterWet'!$C$3:$C$841,MATCH(J793,'Both teabags AfterWet'!$A$3:$A$841,0)),"")="","",(IFERROR(INDEX('Both teabags AfterWet'!$C$3:$C$841,MATCH(J793,'Both teabags AfterWet'!$A$3:$A$841,0)),"")))</f>
        <v>1.573</v>
      </c>
      <c r="P793" s="225">
        <f>IFERROR(IF(O793&gt;0,O793-(TBIcalc!$H$9),""),"")</f>
        <v>1.4223999999999999</v>
      </c>
      <c r="Q793" s="225">
        <f>IFERROR(INDEX('Ashed teabags wet'!$K$2:$K$821,MATCH(J793,'Ashed teabags wet'!$A$2:$A$821,0)),"")</f>
        <v>4.5098039215686896</v>
      </c>
      <c r="R793" s="225">
        <f t="shared" si="68"/>
        <v>1.3582525490196069</v>
      </c>
      <c r="S793" s="226">
        <f>'WetLitterbags placem_collection'!E134</f>
        <v>42762</v>
      </c>
      <c r="T793" s="226">
        <f>IF('WetLitterbags placem_collection'!G134="","",'WetLitterbags placem_collection'!G134)</f>
        <v>42816</v>
      </c>
      <c r="U793" s="227">
        <f t="shared" si="69"/>
        <v>54</v>
      </c>
      <c r="V793" s="225">
        <f t="shared" si="66"/>
        <v>0.49680000000000013</v>
      </c>
      <c r="W793" s="225">
        <f t="shared" si="67"/>
        <v>0.51715774153733896</v>
      </c>
      <c r="X793">
        <f>IFERROR(INDEX(Rainfall_Wet!$O$2:$O$217,MATCH(B793, Rainfall_Wet!$A$2:$A$217,0)),"")</f>
        <v>206.85140822299999</v>
      </c>
      <c r="Y793" s="231">
        <v>31.214836424255054</v>
      </c>
      <c r="Z793" s="231">
        <v>11.377370285476141</v>
      </c>
      <c r="AA793" s="231">
        <v>57.407793290268799</v>
      </c>
      <c r="AB793" s="232" t="s">
        <v>2670</v>
      </c>
      <c r="AC793" s="231">
        <v>4.7337604731394798</v>
      </c>
      <c r="AD793">
        <f>IF('WetLitterbags placem_collection'!AB134="","",'WetLitterbags placem_collection'!AB134)</f>
        <v>0.7</v>
      </c>
      <c r="AE793">
        <f>IF('WetLitterbags placem_collection'!Z134="","",'WetLitterbags placem_collection'!Z134)</f>
        <v>9.8000000000000007</v>
      </c>
      <c r="AF793" s="24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placem_collection'!Y134)),"YES","NO")</f>
        <v>NO</v>
      </c>
      <c r="AM793" t="str">
        <f>IF(ISNUMBER(SEARCH("H", 'WetLitterbags placem_collection'!Y134)),"YES","NO")</f>
        <v>NO</v>
      </c>
      <c r="AN793" t="str">
        <f>IF(ISNUMBER(SEARCH("R", 'WetLitterbags placem_collection'!Y134)),"YES","NO")</f>
        <v>NO</v>
      </c>
    </row>
    <row r="794" spans="1:40" ht="15" customHeight="1">
      <c r="A794" s="258" t="s">
        <v>2460</v>
      </c>
      <c r="B794" s="263">
        <f>'Dry_Litterbag Placem_Collection'!A135</f>
        <v>133</v>
      </c>
      <c r="C794" s="263" t="str">
        <f>'Dry_Litterbag Placem_Collection'!B135</f>
        <v xml:space="preserve">Mwantimba
</v>
      </c>
      <c r="D794" s="263" t="s">
        <v>2659</v>
      </c>
      <c r="E794" s="263" t="s">
        <v>20</v>
      </c>
      <c r="F794" s="263">
        <v>1</v>
      </c>
      <c r="G794" s="264" t="str">
        <f>'Dry_Litterbag Placem_Collection'!C135</f>
        <v>Wet_P1_T5</v>
      </c>
      <c r="H794" s="273" t="s">
        <v>3651</v>
      </c>
      <c r="I794" s="274" t="s">
        <v>298</v>
      </c>
      <c r="J794" s="223" t="str">
        <f>'WetLitterbags placem_collection'!Q135</f>
        <v>R597</v>
      </c>
      <c r="K794" s="225">
        <f>IFERROR(INDEX('Green_rooibos initial weight'!$C$5:$C$1749,MATCH(J794, 'Green_rooibos initial weight'!$A$5:$A$1749,0)),"")</f>
        <v>2.165</v>
      </c>
      <c r="L794" s="225">
        <f>IFERROR(K794-(TBIcalc!$H$9+TBIcalc!$H$10),"")</f>
        <v>1.9152</v>
      </c>
      <c r="M794" s="391">
        <f>AVERAGE(Ashed_controlls!$K$12:$K$14)</f>
        <v>2.2816647271287041</v>
      </c>
      <c r="N794" s="225">
        <f t="shared" si="65"/>
        <v>1.8715015571460312</v>
      </c>
      <c r="O794" s="225">
        <f>IF(IFERROR(INDEX('Both teabags AfterWet'!$C$3:$C$841,MATCH(J794,'Both teabags AfterWet'!$A$3:$A$841,0)),"")="","",(IFERROR(INDEX('Both teabags AfterWet'!$C$3:$C$841,MATCH(J794,'Both teabags AfterWet'!$A$3:$A$841,0)),"")))</f>
        <v>1.5714999999999999</v>
      </c>
      <c r="P794" s="225">
        <f>IFERROR(IF(O794&gt;0,O794-(TBIcalc!$H$9),""),"")</f>
        <v>1.4208999999999998</v>
      </c>
      <c r="Q794" s="225">
        <f>IFERROR(INDEX('Ashed teabags wet'!$K$2:$K$821,MATCH(J794,'Ashed teabags wet'!$A$2:$A$821,0)),"")</f>
        <v>7.7152812344452117</v>
      </c>
      <c r="R794" s="225">
        <f t="shared" si="68"/>
        <v>1.3112735689397679</v>
      </c>
      <c r="S794" s="226">
        <f>'WetLitterbags placem_collection'!E135</f>
        <v>42762</v>
      </c>
      <c r="T794" s="226">
        <f>IF('WetLitterbags placem_collection'!G135="","",'WetLitterbags placem_collection'!G135)</f>
        <v>42816</v>
      </c>
      <c r="U794" s="227">
        <f t="shared" si="69"/>
        <v>54</v>
      </c>
      <c r="V794" s="225">
        <f t="shared" si="66"/>
        <v>0.49430000000000018</v>
      </c>
      <c r="W794" s="225">
        <f t="shared" si="67"/>
        <v>0.56022798820626329</v>
      </c>
      <c r="X794">
        <f>IFERROR(INDEX(Rainfall_Wet!$O$2:$O$217,MATCH(B794, Rainfall_Wet!$A$2:$A$217,0)),"")</f>
        <v>206.85140822299999</v>
      </c>
      <c r="Y794" s="231">
        <v>31.214836424255054</v>
      </c>
      <c r="Z794" s="231">
        <v>11.377370285476141</v>
      </c>
      <c r="AA794" s="231">
        <v>57.407793290268799</v>
      </c>
      <c r="AB794" s="232" t="s">
        <v>2670</v>
      </c>
      <c r="AC794" s="231">
        <v>5.7337604731394798</v>
      </c>
      <c r="AD794">
        <f>IF('WetLitterbags placem_collection'!AB135="","",'WetLitterbags placem_collection'!AB135)</f>
        <v>2.2000000000000002</v>
      </c>
      <c r="AE794">
        <f>IF('WetLitterbags placem_collection'!Z135="","",'WetLitterbags placem_collection'!Z135)</f>
        <v>10</v>
      </c>
      <c r="AF794" s="24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placem_collection'!Y135)),"YES","NO")</f>
        <v>NO</v>
      </c>
      <c r="AM794" t="str">
        <f>IF(ISNUMBER(SEARCH("H", 'WetLitterbags placem_collection'!Y135)),"YES","NO")</f>
        <v>NO</v>
      </c>
      <c r="AN794" t="str">
        <f>IF(ISNUMBER(SEARCH("R", 'WetLitterbags placem_collection'!Y135)),"YES","NO")</f>
        <v>NO</v>
      </c>
    </row>
    <row r="795" spans="1:40" ht="15" customHeight="1">
      <c r="A795" s="258" t="s">
        <v>2460</v>
      </c>
      <c r="B795" s="263">
        <f>'Dry_Litterbag Placem_Collection'!A136</f>
        <v>134</v>
      </c>
      <c r="C795" s="263" t="str">
        <f>'Dry_Litterbag Placem_Collection'!B136</f>
        <v xml:space="preserve">Mwantimba
</v>
      </c>
      <c r="D795" s="263" t="s">
        <v>2659</v>
      </c>
      <c r="E795" s="263" t="s">
        <v>20</v>
      </c>
      <c r="F795" s="263">
        <v>1</v>
      </c>
      <c r="G795" s="264" t="str">
        <f>'Dry_Litterbag Placem_Collection'!C136</f>
        <v>Wet_P1_T6</v>
      </c>
      <c r="H795" s="273" t="s">
        <v>3651</v>
      </c>
      <c r="I795" s="274" t="s">
        <v>298</v>
      </c>
      <c r="J795" s="223" t="str">
        <f>'WetLitterbags placem_collection'!Q136</f>
        <v>R467</v>
      </c>
      <c r="K795" s="225">
        <f>IFERROR(INDEX('Green_rooibos initial weight'!$C$5:$C$1749,MATCH(J795, 'Green_rooibos initial weight'!$A$5:$A$1749,0)),"")</f>
        <v>2.3140000000000001</v>
      </c>
      <c r="L795" s="225">
        <f>IFERROR(K795-(TBIcalc!$H$9+TBIcalc!$H$10),"")</f>
        <v>2.0642</v>
      </c>
      <c r="M795" s="391">
        <f>AVERAGE(Ashed_controlls!$K$12:$K$14)</f>
        <v>2.2816647271287041</v>
      </c>
      <c r="N795" s="225">
        <f t="shared" si="65"/>
        <v>2.0171018767026094</v>
      </c>
      <c r="O795" s="225">
        <f>IF(IFERROR(INDEX('Both teabags AfterWet'!$C$3:$C$841,MATCH(J795,'Both teabags AfterWet'!$A$3:$A$841,0)),"")="","",(IFERROR(INDEX('Both teabags AfterWet'!$C$3:$C$841,MATCH(J795,'Both teabags AfterWet'!$A$3:$A$841,0)),"")))</f>
        <v>1.591</v>
      </c>
      <c r="P795" s="225">
        <f>IFERROR(IF(O795&gt;0,O795-(TBIcalc!$H$9),""),"")</f>
        <v>1.4403999999999999</v>
      </c>
      <c r="Q795" s="225">
        <f>IFERROR(INDEX('Ashed teabags wet'!$K$2:$K$821,MATCH(J795,'Ashed teabags wet'!$A$2:$A$821,0)),"")</f>
        <v>3.4619188921860404</v>
      </c>
      <c r="R795" s="225">
        <f t="shared" si="68"/>
        <v>1.3905345202769521</v>
      </c>
      <c r="S795" s="226">
        <f>'WetLitterbags placem_collection'!E136</f>
        <v>42762</v>
      </c>
      <c r="T795" s="226">
        <f>IF('WetLitterbags placem_collection'!G136="","",'WetLitterbags placem_collection'!G136)</f>
        <v>42816</v>
      </c>
      <c r="U795" s="227">
        <f t="shared" si="69"/>
        <v>54</v>
      </c>
      <c r="V795" s="225">
        <f t="shared" si="66"/>
        <v>0.62380000000000013</v>
      </c>
      <c r="W795" s="225">
        <f t="shared" si="67"/>
        <v>0.62656735642565731</v>
      </c>
      <c r="X795">
        <f>IFERROR(INDEX(Rainfall_Wet!$O$2:$O$217,MATCH(B795, Rainfall_Wet!$A$2:$A$217,0)),"")</f>
        <v>206.85140822299999</v>
      </c>
      <c r="Y795" s="231">
        <v>31.214836424255054</v>
      </c>
      <c r="Z795" s="231">
        <v>11.377370285476141</v>
      </c>
      <c r="AA795" s="231">
        <v>57.407793290268799</v>
      </c>
      <c r="AB795" s="232" t="s">
        <v>2670</v>
      </c>
      <c r="AC795" s="231">
        <v>6.7337604731394798</v>
      </c>
      <c r="AD795">
        <f>IF('WetLitterbags placem_collection'!AB136="","",'WetLitterbags placem_collection'!AB136)</f>
        <v>1.1000000000000001</v>
      </c>
      <c r="AE795">
        <f>IF('WetLitterbags placem_collection'!Z136="","",'WetLitterbags placem_collection'!Z136)</f>
        <v>15.4</v>
      </c>
      <c r="AF795" s="24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placem_collection'!Y136)),"YES","NO")</f>
        <v>NO</v>
      </c>
      <c r="AM795" t="str">
        <f>IF(ISNUMBER(SEARCH("H", 'WetLitterbags placem_collection'!Y136)),"YES","NO")</f>
        <v>NO</v>
      </c>
      <c r="AN795" t="str">
        <f>IF(ISNUMBER(SEARCH("R", 'WetLitterbags placem_collection'!Y136)),"YES","NO")</f>
        <v>NO</v>
      </c>
    </row>
    <row r="796" spans="1:40" ht="15" customHeight="1">
      <c r="A796" s="258" t="s">
        <v>2460</v>
      </c>
      <c r="B796" s="263">
        <f>'Dry_Litterbag Placem_Collection'!A137</f>
        <v>135</v>
      </c>
      <c r="C796" s="263" t="str">
        <f>'Dry_Litterbag Placem_Collection'!B137</f>
        <v xml:space="preserve">Mwantimba
</v>
      </c>
      <c r="D796" s="263" t="s">
        <v>2659</v>
      </c>
      <c r="E796" s="263" t="s">
        <v>20</v>
      </c>
      <c r="F796" s="263">
        <v>1</v>
      </c>
      <c r="G796" s="264" t="str">
        <f>'Dry_Litterbag Placem_Collection'!C137</f>
        <v>Wet_P1_T7</v>
      </c>
      <c r="H796" s="273" t="s">
        <v>3651</v>
      </c>
      <c r="I796" s="274" t="s">
        <v>298</v>
      </c>
      <c r="J796" s="223" t="str">
        <f>'WetLitterbags placem_collection'!Q137</f>
        <v>R596</v>
      </c>
      <c r="K796" s="225">
        <f>IFERROR(INDEX('Green_rooibos initial weight'!$C$5:$C$1749,MATCH(J796, 'Green_rooibos initial weight'!$A$5:$A$1749,0)),"")</f>
        <v>2.1749999999999998</v>
      </c>
      <c r="L796" s="225">
        <f>IFERROR(K796-(TBIcalc!$H$9+TBIcalc!$H$10),"")</f>
        <v>1.9251999999999998</v>
      </c>
      <c r="M796" s="391">
        <f>AVERAGE(Ashed_controlls!$K$12:$K$14)</f>
        <v>2.2816647271287041</v>
      </c>
      <c r="N796" s="225">
        <f t="shared" si="65"/>
        <v>1.8812733906733179</v>
      </c>
      <c r="O796" s="225">
        <f>IF(IFERROR(INDEX('Both teabags AfterWet'!$C$3:$C$841,MATCH(J796,'Both teabags AfterWet'!$A$3:$A$841,0)),"")="","",(IFERROR(INDEX('Both teabags AfterWet'!$C$3:$C$841,MATCH(J796,'Both teabags AfterWet'!$A$3:$A$841,0)),"")))</f>
        <v>1.512</v>
      </c>
      <c r="P796" s="225">
        <f>IFERROR(IF(O796&gt;0,O796-(TBIcalc!$H$9),""),"")</f>
        <v>1.3613999999999999</v>
      </c>
      <c r="Q796" s="225">
        <f>IFERROR(INDEX('Ashed teabags wet'!$K$2:$K$821,MATCH(J796,'Ashed teabags wet'!$A$2:$A$821,0)),"")</f>
        <v>6.95609274790369</v>
      </c>
      <c r="R796" s="225">
        <f t="shared" si="68"/>
        <v>1.266699753330039</v>
      </c>
      <c r="S796" s="226">
        <f>'WetLitterbags placem_collection'!E137</f>
        <v>42762</v>
      </c>
      <c r="T796" s="226">
        <f>IF('WetLitterbags placem_collection'!G137="","",'WetLitterbags placem_collection'!G137)</f>
        <v>42816</v>
      </c>
      <c r="U796" s="227">
        <f t="shared" si="69"/>
        <v>54</v>
      </c>
      <c r="V796" s="225">
        <f t="shared" si="66"/>
        <v>0.56379999999999986</v>
      </c>
      <c r="W796" s="225">
        <f t="shared" si="67"/>
        <v>0.61457363734327886</v>
      </c>
      <c r="X796">
        <f>IFERROR(INDEX(Rainfall_Wet!$O$2:$O$217,MATCH(B796, Rainfall_Wet!$A$2:$A$217,0)),"")</f>
        <v>206.85140822299999</v>
      </c>
      <c r="Y796" s="231">
        <v>31.214836424255054</v>
      </c>
      <c r="Z796" s="231">
        <v>11.377370285476141</v>
      </c>
      <c r="AA796" s="231">
        <v>57.407793290268799</v>
      </c>
      <c r="AB796" s="232" t="s">
        <v>2670</v>
      </c>
      <c r="AC796" s="231">
        <v>7.7337604731394798</v>
      </c>
      <c r="AD796">
        <f>IF('WetLitterbags placem_collection'!AB137="","",'WetLitterbags placem_collection'!AB137)</f>
        <v>2.1</v>
      </c>
      <c r="AE796">
        <f>IF('WetLitterbags placem_collection'!Z137="","",'WetLitterbags placem_collection'!Z137)</f>
        <v>5.6</v>
      </c>
      <c r="AF796" s="24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placem_collection'!Y137)),"YES","NO")</f>
        <v>NO</v>
      </c>
      <c r="AM796" t="str">
        <f>IF(ISNUMBER(SEARCH("H", 'WetLitterbags placem_collection'!Y137)),"YES","NO")</f>
        <v>NO</v>
      </c>
      <c r="AN796" t="str">
        <f>IF(ISNUMBER(SEARCH("R", 'WetLitterbags placem_collection'!Y137)),"YES","NO")</f>
        <v>NO</v>
      </c>
    </row>
    <row r="797" spans="1:40" ht="15" customHeight="1">
      <c r="A797" s="258" t="s">
        <v>2460</v>
      </c>
      <c r="B797" s="263">
        <f>'Dry_Litterbag Placem_Collection'!A138</f>
        <v>136</v>
      </c>
      <c r="C797" s="263" t="str">
        <f>'Dry_Litterbag Placem_Collection'!B138</f>
        <v xml:space="preserve">Mwantimba
</v>
      </c>
      <c r="D797" s="263" t="s">
        <v>2659</v>
      </c>
      <c r="E797" s="263" t="s">
        <v>20</v>
      </c>
      <c r="F797" s="263">
        <v>1</v>
      </c>
      <c r="G797" s="264" t="str">
        <f>'Dry_Litterbag Placem_Collection'!C138</f>
        <v>Wet_P1_T8</v>
      </c>
      <c r="H797" s="273" t="s">
        <v>3651</v>
      </c>
      <c r="I797" s="274" t="s">
        <v>298</v>
      </c>
      <c r="J797" s="223" t="str">
        <f>'WetLitterbags placem_collection'!Q138</f>
        <v>R543</v>
      </c>
      <c r="K797" s="225">
        <f>IFERROR(INDEX('Green_rooibos initial weight'!$C$5:$C$1749,MATCH(J797, 'Green_rooibos initial weight'!$A$5:$A$1749,0)),"")</f>
        <v>2.2730000000000001</v>
      </c>
      <c r="L797" s="225">
        <f>IFERROR(K797-(TBIcalc!$H$9+TBIcalc!$H$10),"")</f>
        <v>2.0232000000000001</v>
      </c>
      <c r="M797" s="391">
        <f>AVERAGE(Ashed_controlls!$K$12:$K$14)</f>
        <v>2.2816647271287041</v>
      </c>
      <c r="N797" s="225">
        <f t="shared" si="65"/>
        <v>1.9770373592407322</v>
      </c>
      <c r="O797" s="225">
        <f>IF(IFERROR(INDEX('Both teabags AfterWet'!$C$3:$C$841,MATCH(J797,'Both teabags AfterWet'!$A$3:$A$841,0)),"")="","",(IFERROR(INDEX('Both teabags AfterWet'!$C$3:$C$841,MATCH(J797,'Both teabags AfterWet'!$A$3:$A$841,0)),"")))</f>
        <v>1.5604</v>
      </c>
      <c r="P797" s="225">
        <f>IFERROR(IF(O797&gt;0,O797-(TBIcalc!$H$9),""),"")</f>
        <v>1.4097999999999999</v>
      </c>
      <c r="Q797" s="225">
        <f>IFERROR(INDEX('Ashed teabags wet'!$K$2:$K$821,MATCH(J797,'Ashed teabags wet'!$A$2:$A$821,0)),"")</f>
        <v>6.5917968749991243</v>
      </c>
      <c r="R797" s="225">
        <f t="shared" si="68"/>
        <v>1.3168688476562622</v>
      </c>
      <c r="S797" s="226">
        <f>'WetLitterbags placem_collection'!E138</f>
        <v>42762</v>
      </c>
      <c r="T797" s="226">
        <f>IF('WetLitterbags placem_collection'!G138="","",'WetLitterbags placem_collection'!G138)</f>
        <v>42816</v>
      </c>
      <c r="U797" s="227">
        <f t="shared" si="69"/>
        <v>54</v>
      </c>
      <c r="V797" s="225">
        <f t="shared" si="66"/>
        <v>0.61340000000000017</v>
      </c>
      <c r="W797" s="225">
        <f t="shared" si="67"/>
        <v>0.66016851158446999</v>
      </c>
      <c r="X797">
        <f>IFERROR(INDEX(Rainfall_Wet!$O$2:$O$217,MATCH(B797, Rainfall_Wet!$A$2:$A$217,0)),"")</f>
        <v>206.85140822299999</v>
      </c>
      <c r="Y797" s="231">
        <v>31.214836424255054</v>
      </c>
      <c r="Z797" s="231">
        <v>11.377370285476141</v>
      </c>
      <c r="AA797" s="231">
        <v>57.407793290268799</v>
      </c>
      <c r="AB797" s="232" t="s">
        <v>2670</v>
      </c>
      <c r="AC797" s="231">
        <v>8.7337604731394798</v>
      </c>
      <c r="AD797">
        <f>IF('WetLitterbags placem_collection'!AB138="","",'WetLitterbags placem_collection'!AB138)</f>
        <v>2.2999999999999998</v>
      </c>
      <c r="AE797">
        <f>IF('WetLitterbags placem_collection'!Z138="","",'WetLitterbags placem_collection'!Z138)</f>
        <v>16.3</v>
      </c>
      <c r="AF797" s="24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placem_collection'!Y138)),"YES","NO")</f>
        <v>NO</v>
      </c>
      <c r="AM797" t="str">
        <f>IF(ISNUMBER(SEARCH("H", 'WetLitterbags placem_collection'!Y138)),"YES","NO")</f>
        <v>NO</v>
      </c>
      <c r="AN797" t="str">
        <f>IF(ISNUMBER(SEARCH("R", 'WetLitterbags placem_collection'!Y138)),"YES","NO")</f>
        <v>YES</v>
      </c>
    </row>
    <row r="798" spans="1:40" ht="15" customHeight="1">
      <c r="A798" s="258" t="s">
        <v>2460</v>
      </c>
      <c r="B798" s="263">
        <f>'Dry_Litterbag Placem_Collection'!A139</f>
        <v>137</v>
      </c>
      <c r="C798" s="263" t="str">
        <f>'Dry_Litterbag Placem_Collection'!B139</f>
        <v xml:space="preserve">Mwantimba
</v>
      </c>
      <c r="D798" s="263" t="s">
        <v>2659</v>
      </c>
      <c r="E798" s="263" t="s">
        <v>20</v>
      </c>
      <c r="F798" s="263">
        <v>2</v>
      </c>
      <c r="G798" s="264" t="str">
        <f>'Dry_Litterbag Placem_Collection'!C139</f>
        <v>Wet_P2_T1</v>
      </c>
      <c r="H798" s="273" t="s">
        <v>3651</v>
      </c>
      <c r="I798" s="274" t="s">
        <v>298</v>
      </c>
      <c r="J798" s="223" t="str">
        <f>'WetLitterbags placem_collection'!Q139</f>
        <v>R483</v>
      </c>
      <c r="K798" s="225">
        <f>IFERROR(INDEX('Green_rooibos initial weight'!$C$5:$C$1749,MATCH(J798, 'Green_rooibos initial weight'!$A$5:$A$1749,0)),"")</f>
        <v>2.1970000000000001</v>
      </c>
      <c r="L798" s="225">
        <f>IFERROR(K798-(TBIcalc!$H$9+TBIcalc!$H$10),"")</f>
        <v>1.9472</v>
      </c>
      <c r="M798" s="391">
        <f>AVERAGE(Ashed_controlls!$K$12:$K$14)</f>
        <v>2.2816647271287041</v>
      </c>
      <c r="N798" s="225">
        <f t="shared" si="65"/>
        <v>1.90277142443335</v>
      </c>
      <c r="O798" s="225">
        <f>IF(IFERROR(INDEX('Both teabags AfterWet'!$C$3:$C$841,MATCH(J798,'Both teabags AfterWet'!$A$3:$A$841,0)),"")="","",(IFERROR(INDEX('Both teabags AfterWet'!$C$3:$C$841,MATCH(J798,'Both teabags AfterWet'!$A$3:$A$841,0)),"")))</f>
        <v>1.778</v>
      </c>
      <c r="P798" s="225">
        <f>IFERROR(IF(O798&gt;0,O798-(TBIcalc!$H$9),""),"")</f>
        <v>1.6274</v>
      </c>
      <c r="Q798" s="225">
        <f>IFERROR(INDEX('Ashed teabags wet'!$K$2:$K$821,MATCH(J798,'Ashed teabags wet'!$A$2:$A$821,0)),"")</f>
        <v>11.371400683259917</v>
      </c>
      <c r="R798" s="225">
        <f t="shared" si="68"/>
        <v>1.4423418252806282</v>
      </c>
      <c r="S798" s="226">
        <f>'WetLitterbags placem_collection'!E139</f>
        <v>42762</v>
      </c>
      <c r="T798" s="226">
        <f>IF('WetLitterbags placem_collection'!G139="","",'WetLitterbags placem_collection'!G139)</f>
        <v>42816</v>
      </c>
      <c r="U798" s="227">
        <f t="shared" si="69"/>
        <v>54</v>
      </c>
      <c r="V798" s="225">
        <f t="shared" si="66"/>
        <v>0.31980000000000008</v>
      </c>
      <c r="W798" s="225">
        <f t="shared" si="67"/>
        <v>0.46042959915272186</v>
      </c>
      <c r="X798">
        <f>IFERROR(INDEX(Rainfall_Wet!$O$2:$O$217,MATCH(B798, Rainfall_Wet!$A$2:$A$217,0)),"")</f>
        <v>206.85140822299999</v>
      </c>
      <c r="Y798" s="231">
        <v>33.96</v>
      </c>
      <c r="Z798" s="231">
        <v>8.9200000000000017</v>
      </c>
      <c r="AA798" s="231">
        <v>57.12</v>
      </c>
      <c r="AB798" s="232" t="s">
        <v>2670</v>
      </c>
      <c r="AC798" s="231">
        <v>2.072055199605717</v>
      </c>
      <c r="AD798">
        <f>IF('WetLitterbags placem_collection'!AB139="","",'WetLitterbags placem_collection'!AB139)</f>
        <v>1.2</v>
      </c>
      <c r="AE798">
        <f>IF('WetLitterbags placem_collection'!Z139="","",'WetLitterbags placem_collection'!Z139)</f>
        <v>32.4</v>
      </c>
      <c r="AF798" s="24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placem_collection'!Y139)),"YES","NO")</f>
        <v>NO</v>
      </c>
      <c r="AM798" t="str">
        <f>IF(ISNUMBER(SEARCH("H", 'WetLitterbags placem_collection'!Y139)),"YES","NO")</f>
        <v>NO</v>
      </c>
      <c r="AN798" t="str">
        <f>IF(ISNUMBER(SEARCH("R", 'WetLitterbags placem_collection'!Y139)),"YES","NO")</f>
        <v>NO</v>
      </c>
    </row>
    <row r="799" spans="1:40" ht="15" customHeight="1">
      <c r="A799" s="258" t="s">
        <v>2460</v>
      </c>
      <c r="B799" s="263">
        <f>'Dry_Litterbag Placem_Collection'!A140</f>
        <v>138</v>
      </c>
      <c r="C799" s="263" t="str">
        <f>'Dry_Litterbag Placem_Collection'!B140</f>
        <v xml:space="preserve">Mwantimba
</v>
      </c>
      <c r="D799" s="263" t="s">
        <v>2659</v>
      </c>
      <c r="E799" s="263" t="s">
        <v>20</v>
      </c>
      <c r="F799" s="263">
        <v>2</v>
      </c>
      <c r="G799" s="264" t="str">
        <f>'Dry_Litterbag Placem_Collection'!C140</f>
        <v>Wet_P2_T2</v>
      </c>
      <c r="H799" s="273" t="s">
        <v>3651</v>
      </c>
      <c r="I799" s="274" t="s">
        <v>298</v>
      </c>
      <c r="J799" s="223" t="str">
        <f>'WetLitterbags placem_collection'!Q140</f>
        <v>R21</v>
      </c>
      <c r="K799" s="225">
        <f>IFERROR(INDEX('Green_rooibos initial weight'!$C$5:$C$1749,MATCH(J799, 'Green_rooibos initial weight'!$A$5:$A$1749,0)),"")</f>
        <v>2.0249999999999999</v>
      </c>
      <c r="L799" s="225">
        <f>IFERROR(K799-(TBIcalc!$H$9+TBIcalc!$H$10),"")</f>
        <v>1.7751999999999999</v>
      </c>
      <c r="M799" s="391">
        <f>AVERAGE(Ashed_controlls!$K$12:$K$14)</f>
        <v>2.2816647271287041</v>
      </c>
      <c r="N799" s="225">
        <f t="shared" si="65"/>
        <v>1.7346958877640111</v>
      </c>
      <c r="O799" s="225">
        <f>IF(IFERROR(INDEX('Both teabags AfterWet'!$C$3:$C$841,MATCH(J799,'Both teabags AfterWet'!$A$3:$A$841,0)),"")="","",(IFERROR(INDEX('Both teabags AfterWet'!$C$3:$C$841,MATCH(J799,'Both teabags AfterWet'!$A$3:$A$841,0)),"")))</f>
        <v>1.522</v>
      </c>
      <c r="P799" s="225">
        <f>IFERROR(IF(O799&gt;0,O799-(TBIcalc!$H$9),""),"")</f>
        <v>1.3714</v>
      </c>
      <c r="Q799" s="225">
        <f>IFERROR(INDEX('Ashed teabags wet'!$K$2:$K$821,MATCH(J799,'Ashed teabags wet'!$A$2:$A$821,0)),"")</f>
        <v>5.1369863013697721</v>
      </c>
      <c r="R799" s="225">
        <f t="shared" si="68"/>
        <v>1.3009513698630149</v>
      </c>
      <c r="S799" s="226">
        <f>'WetLitterbags placem_collection'!E140</f>
        <v>42762</v>
      </c>
      <c r="T799" s="226">
        <f>IF('WetLitterbags placem_collection'!G140="","",'WetLitterbags placem_collection'!G140)</f>
        <v>42816</v>
      </c>
      <c r="U799" s="227">
        <f t="shared" si="69"/>
        <v>54</v>
      </c>
      <c r="V799" s="225">
        <f t="shared" si="66"/>
        <v>0.40379999999999994</v>
      </c>
      <c r="W799" s="225">
        <f t="shared" si="67"/>
        <v>0.43374451790099622</v>
      </c>
      <c r="X799">
        <f>IFERROR(INDEX(Rainfall_Wet!$O$2:$O$217,MATCH(B799, Rainfall_Wet!$A$2:$A$217,0)),"")</f>
        <v>206.85140822299999</v>
      </c>
      <c r="Y799" s="231">
        <v>33.96</v>
      </c>
      <c r="Z799" s="231">
        <v>8.9200000000000017</v>
      </c>
      <c r="AA799" s="231">
        <v>57.12</v>
      </c>
      <c r="AB799" s="232" t="s">
        <v>2670</v>
      </c>
      <c r="AC799" s="231">
        <v>3.0720551996057202</v>
      </c>
      <c r="AD799">
        <f>IF('WetLitterbags placem_collection'!AB140="","",'WetLitterbags placem_collection'!AB140)</f>
        <v>2.8</v>
      </c>
      <c r="AE799">
        <f>IF('WetLitterbags placem_collection'!Z140="","",'WetLitterbags placem_collection'!Z140)</f>
        <v>26.4</v>
      </c>
      <c r="AF799" s="24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placem_collection'!Y140)),"YES","NO")</f>
        <v>NO</v>
      </c>
      <c r="AM799" t="str">
        <f>IF(ISNUMBER(SEARCH("H", 'WetLitterbags placem_collection'!Y140)),"YES","NO")</f>
        <v>NO</v>
      </c>
      <c r="AN799" t="str">
        <f>IF(ISNUMBER(SEARCH("R", 'WetLitterbags placem_collection'!Y140)),"YES","NO")</f>
        <v>NO</v>
      </c>
    </row>
    <row r="800" spans="1:40" ht="15" customHeight="1">
      <c r="A800" s="258" t="s">
        <v>2460</v>
      </c>
      <c r="B800" s="263">
        <f>'Dry_Litterbag Placem_Collection'!A141</f>
        <v>139</v>
      </c>
      <c r="C800" s="263" t="str">
        <f>'Dry_Litterbag Placem_Collection'!B141</f>
        <v xml:space="preserve">Mwantimba
</v>
      </c>
      <c r="D800" s="263" t="s">
        <v>2659</v>
      </c>
      <c r="E800" s="263" t="s">
        <v>20</v>
      </c>
      <c r="F800" s="263">
        <v>2</v>
      </c>
      <c r="G800" s="264" t="str">
        <f>'Dry_Litterbag Placem_Collection'!C141</f>
        <v>Wet_P2_T3</v>
      </c>
      <c r="H800" s="273" t="s">
        <v>3651</v>
      </c>
      <c r="I800" s="274" t="s">
        <v>298</v>
      </c>
      <c r="J800" s="223" t="str">
        <f>'WetLitterbags placem_collection'!Q141</f>
        <v>R538</v>
      </c>
      <c r="K800" s="225">
        <f>IFERROR(INDEX('Green_rooibos initial weight'!$C$5:$C$1749,MATCH(J800, 'Green_rooibos initial weight'!$A$5:$A$1749,0)),"")</f>
        <v>2.2000000000000002</v>
      </c>
      <c r="L800" s="225">
        <f>IFERROR(K800-(TBIcalc!$H$9+TBIcalc!$H$10),"")</f>
        <v>1.9502000000000002</v>
      </c>
      <c r="M800" s="391">
        <f>AVERAGE(Ashed_controlls!$K$12:$K$14)</f>
        <v>2.2816647271287041</v>
      </c>
      <c r="N800" s="225">
        <f t="shared" si="65"/>
        <v>1.9057029744915361</v>
      </c>
      <c r="O800" s="225">
        <f>IF(IFERROR(INDEX('Both teabags AfterWet'!$C$3:$C$841,MATCH(J800,'Both teabags AfterWet'!$A$3:$A$841,0)),"")="","",(IFERROR(INDEX('Both teabags AfterWet'!$C$3:$C$841,MATCH(J800,'Both teabags AfterWet'!$A$3:$A$841,0)),"")))</f>
        <v>1.415</v>
      </c>
      <c r="P800" s="225">
        <f>IFERROR(IF(O800&gt;0,O800-(TBIcalc!$H$9),""),"")</f>
        <v>1.2644</v>
      </c>
      <c r="Q800" s="225">
        <f>IFERROR(INDEX('Ashed teabags wet'!$K$2:$K$821,MATCH(J800,'Ashed teabags wet'!$A$2:$A$821,0)),"")</f>
        <v>10.337972166998611</v>
      </c>
      <c r="R800" s="225">
        <f t="shared" si="68"/>
        <v>1.1336866799204695</v>
      </c>
      <c r="S800" s="226">
        <f>'WetLitterbags placem_collection'!E141</f>
        <v>42762</v>
      </c>
      <c r="T800" s="226">
        <f>IF('WetLitterbags placem_collection'!G141="","",'WetLitterbags placem_collection'!G141)</f>
        <v>42816</v>
      </c>
      <c r="U800" s="227">
        <f t="shared" si="69"/>
        <v>54</v>
      </c>
      <c r="V800" s="225">
        <f t="shared" si="66"/>
        <v>0.68580000000000019</v>
      </c>
      <c r="W800" s="225">
        <f t="shared" si="67"/>
        <v>0.77201629457106669</v>
      </c>
      <c r="X800">
        <f>IFERROR(INDEX(Rainfall_Wet!$O$2:$O$217,MATCH(B800, Rainfall_Wet!$A$2:$A$217,0)),"")</f>
        <v>206.85140822299999</v>
      </c>
      <c r="Y800" s="231">
        <v>33.96</v>
      </c>
      <c r="Z800" s="231">
        <v>8.9200000000000017</v>
      </c>
      <c r="AA800" s="231">
        <v>57.12</v>
      </c>
      <c r="AB800" s="232" t="s">
        <v>2670</v>
      </c>
      <c r="AC800" s="231">
        <v>4.0720551996057202</v>
      </c>
      <c r="AD800">
        <f>IF('WetLitterbags placem_collection'!AB141="","",'WetLitterbags placem_collection'!AB141)</f>
        <v>5.7</v>
      </c>
      <c r="AE800">
        <f>IF('WetLitterbags placem_collection'!Z141="","",'WetLitterbags placem_collection'!Z141)</f>
        <v>19.399999999999999</v>
      </c>
      <c r="AF800" s="24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placem_collection'!Y141)),"YES","NO")</f>
        <v>NO</v>
      </c>
      <c r="AM800" t="str">
        <f>IF(ISNUMBER(SEARCH("H", 'WetLitterbags placem_collection'!Y141)),"YES","NO")</f>
        <v>NO</v>
      </c>
      <c r="AN800" t="str">
        <f>IF(ISNUMBER(SEARCH("R", 'WetLitterbags placem_collection'!Y141)),"YES","NO")</f>
        <v>NO</v>
      </c>
    </row>
    <row r="801" spans="1:40" ht="15" customHeight="1">
      <c r="A801" s="258" t="s">
        <v>2460</v>
      </c>
      <c r="B801" s="263">
        <f>'Dry_Litterbag Placem_Collection'!A142</f>
        <v>140</v>
      </c>
      <c r="C801" s="263" t="str">
        <f>'Dry_Litterbag Placem_Collection'!B142</f>
        <v xml:space="preserve">Mwantimba
</v>
      </c>
      <c r="D801" s="263" t="s">
        <v>2659</v>
      </c>
      <c r="E801" s="263" t="s">
        <v>20</v>
      </c>
      <c r="F801" s="263">
        <v>2</v>
      </c>
      <c r="G801" s="264" t="str">
        <f>'Dry_Litterbag Placem_Collection'!C142</f>
        <v>Wet_P2_T4</v>
      </c>
      <c r="H801" s="273" t="s">
        <v>3651</v>
      </c>
      <c r="I801" s="274" t="s">
        <v>298</v>
      </c>
      <c r="J801" s="223" t="str">
        <f>'WetLitterbags placem_collection'!Q142</f>
        <v>R559</v>
      </c>
      <c r="K801" s="225">
        <f>IFERROR(INDEX('Green_rooibos initial weight'!$C$5:$C$1749,MATCH(J801, 'Green_rooibos initial weight'!$A$5:$A$1749,0)),"")</f>
        <v>2.161</v>
      </c>
      <c r="L801" s="225">
        <f>IFERROR(K801-(TBIcalc!$H$9+TBIcalc!$H$10),"")</f>
        <v>1.9112</v>
      </c>
      <c r="M801" s="391">
        <f>AVERAGE(Ashed_controlls!$K$12:$K$14)</f>
        <v>2.2816647271287041</v>
      </c>
      <c r="N801" s="225">
        <f t="shared" si="65"/>
        <v>1.8675928237351163</v>
      </c>
      <c r="O801" s="225">
        <f>IF(IFERROR(INDEX('Both teabags AfterWet'!$C$3:$C$841,MATCH(J801,'Both teabags AfterWet'!$A$3:$A$841,0)),"")="","",(IFERROR(INDEX('Both teabags AfterWet'!$C$3:$C$841,MATCH(J801,'Both teabags AfterWet'!$A$3:$A$841,0)),"")))</f>
        <v>1.6634</v>
      </c>
      <c r="P801" s="225">
        <f>IFERROR(IF(O801&gt;0,O801-(TBIcalc!$H$9),""),"")</f>
        <v>1.5127999999999999</v>
      </c>
      <c r="Q801" s="225">
        <f>IFERROR(INDEX('Ashed teabags wet'!$K$2:$K$821,MATCH(J801,'Ashed teabags wet'!$A$2:$A$821,0)),"")</f>
        <v>11.767508337303465</v>
      </c>
      <c r="R801" s="225">
        <f t="shared" si="68"/>
        <v>1.3347811338732731</v>
      </c>
      <c r="S801" s="226">
        <f>'WetLitterbags placem_collection'!E142</f>
        <v>42762</v>
      </c>
      <c r="T801" s="226">
        <f>IF('WetLitterbags placem_collection'!G142="","",'WetLitterbags placem_collection'!G142)</f>
        <v>42816</v>
      </c>
      <c r="U801" s="227">
        <f t="shared" si="69"/>
        <v>54</v>
      </c>
      <c r="V801" s="225">
        <f t="shared" si="66"/>
        <v>0.39840000000000009</v>
      </c>
      <c r="W801" s="225">
        <f t="shared" si="67"/>
        <v>0.53281168986184313</v>
      </c>
      <c r="X801">
        <f>IFERROR(INDEX(Rainfall_Wet!$O$2:$O$217,MATCH(B801, Rainfall_Wet!$A$2:$A$217,0)),"")</f>
        <v>206.85140822299999</v>
      </c>
      <c r="Y801" s="231">
        <v>33.96</v>
      </c>
      <c r="Z801" s="231">
        <v>8.9200000000000017</v>
      </c>
      <c r="AA801" s="231">
        <v>57.12</v>
      </c>
      <c r="AB801" s="232" t="s">
        <v>2670</v>
      </c>
      <c r="AC801" s="231">
        <v>5.0720551996057202</v>
      </c>
      <c r="AD801">
        <f>IF('WetLitterbags placem_collection'!AB142="","",'WetLitterbags placem_collection'!AB142)</f>
        <v>1.4</v>
      </c>
      <c r="AE801">
        <f>IF('WetLitterbags placem_collection'!Z142="","",'WetLitterbags placem_collection'!Z142)</f>
        <v>33.4</v>
      </c>
      <c r="AF801" s="24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placem_collection'!Y142)),"YES","NO")</f>
        <v>NO</v>
      </c>
      <c r="AM801" t="str">
        <f>IF(ISNUMBER(SEARCH("H", 'WetLitterbags placem_collection'!Y142)),"YES","NO")</f>
        <v>NO</v>
      </c>
      <c r="AN801" t="str">
        <f>IF(ISNUMBER(SEARCH("R", 'WetLitterbags placem_collection'!Y142)),"YES","NO")</f>
        <v>NO</v>
      </c>
    </row>
    <row r="802" spans="1:40" ht="15" customHeight="1">
      <c r="A802" s="258" t="s">
        <v>2460</v>
      </c>
      <c r="B802" s="263">
        <f>'Dry_Litterbag Placem_Collection'!A143</f>
        <v>141</v>
      </c>
      <c r="C802" s="263" t="str">
        <f>'Dry_Litterbag Placem_Collection'!B143</f>
        <v xml:space="preserve">Mwantimba
</v>
      </c>
      <c r="D802" s="263" t="s">
        <v>2659</v>
      </c>
      <c r="E802" s="263" t="s">
        <v>20</v>
      </c>
      <c r="F802" s="263">
        <v>2</v>
      </c>
      <c r="G802" s="264" t="str">
        <f>'Dry_Litterbag Placem_Collection'!C143</f>
        <v>Wet_P2_T5</v>
      </c>
      <c r="H802" s="273" t="s">
        <v>3651</v>
      </c>
      <c r="I802" s="274" t="s">
        <v>298</v>
      </c>
      <c r="J802" s="223" t="str">
        <f>'WetLitterbags placem_collection'!Q143</f>
        <v>R465</v>
      </c>
      <c r="K802" s="225">
        <f>IFERROR(INDEX('Green_rooibos initial weight'!$C$5:$C$1749,MATCH(J802, 'Green_rooibos initial weight'!$A$5:$A$1749,0)),"")</f>
        <v>2.206</v>
      </c>
      <c r="L802" s="225">
        <f>IFERROR(K802-(TBIcalc!$H$9+TBIcalc!$H$10),"")</f>
        <v>1.9561999999999999</v>
      </c>
      <c r="M802" s="391">
        <f>AVERAGE(Ashed_controlls!$K$12:$K$14)</f>
        <v>2.2816647271287041</v>
      </c>
      <c r="N802" s="225">
        <f t="shared" si="65"/>
        <v>1.9115660746079082</v>
      </c>
      <c r="O802" s="225">
        <f>IF(IFERROR(INDEX('Both teabags AfterWet'!$C$3:$C$841,MATCH(J802,'Both teabags AfterWet'!$A$3:$A$841,0)),"")="","",(IFERROR(INDEX('Both teabags AfterWet'!$C$3:$C$841,MATCH(J802,'Both teabags AfterWet'!$A$3:$A$841,0)),"")))</f>
        <v>1.6759999999999999</v>
      </c>
      <c r="P802" s="225">
        <f>IFERROR(IF(O802&gt;0,O802-(TBIcalc!$H$9),""),"")</f>
        <v>1.5253999999999999</v>
      </c>
      <c r="Q802" s="225">
        <f>IFERROR(INDEX('Ashed teabags wet'!$K$2:$K$821,MATCH(J802,'Ashed teabags wet'!$A$2:$A$821,0)),"")</f>
        <v>2.2604422604422161</v>
      </c>
      <c r="R802" s="225">
        <f t="shared" si="68"/>
        <v>1.4909192137592142</v>
      </c>
      <c r="S802" s="226">
        <f>'WetLitterbags placem_collection'!E143</f>
        <v>42762</v>
      </c>
      <c r="T802" s="226">
        <f>IF('WetLitterbags placem_collection'!G143="","",'WetLitterbags placem_collection'!G143)</f>
        <v>42816</v>
      </c>
      <c r="U802" s="227">
        <f t="shared" si="69"/>
        <v>54</v>
      </c>
      <c r="V802" s="225">
        <f t="shared" si="66"/>
        <v>0.43080000000000007</v>
      </c>
      <c r="W802" s="225">
        <f t="shared" si="67"/>
        <v>0.42064686084869396</v>
      </c>
      <c r="X802">
        <f>IFERROR(INDEX(Rainfall_Wet!$O$2:$O$217,MATCH(B802, Rainfall_Wet!$A$2:$A$217,0)),"")</f>
        <v>206.85140822299999</v>
      </c>
      <c r="Y802" s="231">
        <v>33.96</v>
      </c>
      <c r="Z802" s="231">
        <v>8.9200000000000017</v>
      </c>
      <c r="AA802" s="231">
        <v>57.12</v>
      </c>
      <c r="AB802" s="232" t="s">
        <v>2670</v>
      </c>
      <c r="AC802" s="231">
        <v>6.0720551996057202</v>
      </c>
      <c r="AD802">
        <f>IF('WetLitterbags placem_collection'!AB143="","",'WetLitterbags placem_collection'!AB143)</f>
        <v>1.4</v>
      </c>
      <c r="AE802">
        <f>IF('WetLitterbags placem_collection'!Z143="","",'WetLitterbags placem_collection'!Z143)</f>
        <v>28.4</v>
      </c>
      <c r="AF802" s="24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placem_collection'!Y143)),"YES","NO")</f>
        <v>NO</v>
      </c>
      <c r="AM802" t="str">
        <f>IF(ISNUMBER(SEARCH("H", 'WetLitterbags placem_collection'!Y143)),"YES","NO")</f>
        <v>NO</v>
      </c>
      <c r="AN802" t="str">
        <f>IF(ISNUMBER(SEARCH("R", 'WetLitterbags placem_collection'!Y143)),"YES","NO")</f>
        <v>NO</v>
      </c>
    </row>
    <row r="803" spans="1:40" ht="15" customHeight="1">
      <c r="A803" s="258" t="s">
        <v>2460</v>
      </c>
      <c r="B803" s="263">
        <f>'Dry_Litterbag Placem_Collection'!A144</f>
        <v>142</v>
      </c>
      <c r="C803" s="263" t="str">
        <f>'Dry_Litterbag Placem_Collection'!B144</f>
        <v xml:space="preserve">Mwantimba
</v>
      </c>
      <c r="D803" s="263" t="s">
        <v>2659</v>
      </c>
      <c r="E803" s="263" t="s">
        <v>20</v>
      </c>
      <c r="F803" s="263">
        <v>2</v>
      </c>
      <c r="G803" s="264" t="str">
        <f>'Dry_Litterbag Placem_Collection'!C144</f>
        <v>Wet_P2_T6</v>
      </c>
      <c r="H803" s="273" t="s">
        <v>3651</v>
      </c>
      <c r="I803" s="274" t="s">
        <v>298</v>
      </c>
      <c r="J803" s="223" t="str">
        <f>'WetLitterbags placem_collection'!Q144</f>
        <v>R503</v>
      </c>
      <c r="K803" s="225">
        <f>IFERROR(INDEX('Green_rooibos initial weight'!$C$5:$C$1749,MATCH(J803, 'Green_rooibos initial weight'!$A$5:$A$1749,0)),"")</f>
        <v>2.1709999999999998</v>
      </c>
      <c r="L803" s="225">
        <f>IFERROR(K803-(TBIcalc!$H$9+TBIcalc!$H$10),"")</f>
        <v>1.9211999999999998</v>
      </c>
      <c r="M803" s="391">
        <f>AVERAGE(Ashed_controlls!$K$12:$K$14)</f>
        <v>2.2816647271287041</v>
      </c>
      <c r="N803" s="225">
        <f t="shared" si="65"/>
        <v>1.8773646572624032</v>
      </c>
      <c r="O803" s="225" t="str">
        <f>IF(IFERROR(INDEX('Both teabags AfterWet'!$C$3:$C$841,MATCH(J803,'Both teabags AfterWet'!$A$3:$A$841,0)),"")="","",(IFERROR(INDEX('Both teabags AfterWet'!$C$3:$C$841,MATCH(J803,'Both teabags AfterWet'!$A$3:$A$841,0)),"")))</f>
        <v/>
      </c>
      <c r="P803" s="225" t="str">
        <f>IFERROR(IF(O803&gt;0,O803-(TBIcalc!$H$9),""),"")</f>
        <v/>
      </c>
      <c r="Q803" s="225" t="str">
        <f>IFERROR(INDEX('Ashed teabags wet'!$K$2:$K$821,MATCH(J803,'Ashed teabags wet'!$A$2:$A$821,0)),"")</f>
        <v/>
      </c>
      <c r="R803" s="225" t="str">
        <f t="shared" si="68"/>
        <v/>
      </c>
      <c r="S803" s="226">
        <f>'WetLitterbags placem_collection'!E144</f>
        <v>42762</v>
      </c>
      <c r="T803" s="226">
        <f>IF('WetLitterbags placem_collection'!G144="","",'WetLitterbags placem_collection'!G144)</f>
        <v>42816</v>
      </c>
      <c r="U803" s="227">
        <f t="shared" si="69"/>
        <v>54</v>
      </c>
      <c r="V803" s="225" t="str">
        <f t="shared" si="66"/>
        <v/>
      </c>
      <c r="W803" s="225" t="str">
        <f t="shared" si="67"/>
        <v/>
      </c>
      <c r="X803">
        <f>IFERROR(INDEX(Rainfall_Wet!$O$2:$O$217,MATCH(B803, Rainfall_Wet!$A$2:$A$217,0)),"")</f>
        <v>206.85140822299999</v>
      </c>
      <c r="Y803" s="231">
        <v>33.96</v>
      </c>
      <c r="Z803" s="231">
        <v>8.9200000000000017</v>
      </c>
      <c r="AA803" s="231">
        <v>57.12</v>
      </c>
      <c r="AB803" s="232" t="s">
        <v>2670</v>
      </c>
      <c r="AC803" s="231">
        <v>7.0720551996057202</v>
      </c>
      <c r="AD803">
        <f>IF('WetLitterbags placem_collection'!AB144="","",'WetLitterbags placem_collection'!AB144)</f>
        <v>1.7</v>
      </c>
      <c r="AE803">
        <f>IF('WetLitterbags placem_collection'!Z144="","",'WetLitterbags placem_collection'!Z144)</f>
        <v>33.799999999999997</v>
      </c>
      <c r="AF803" s="24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placem_collection'!Y144)),"YES","NO")</f>
        <v>NO</v>
      </c>
      <c r="AM803" t="str">
        <f>IF(ISNUMBER(SEARCH("H", 'WetLitterbags placem_collection'!Y144)),"YES","NO")</f>
        <v>NO</v>
      </c>
      <c r="AN803" t="str">
        <f>IF(ISNUMBER(SEARCH("R", 'WetLitterbags placem_collection'!Y144)),"YES","NO")</f>
        <v>YES</v>
      </c>
    </row>
    <row r="804" spans="1:40" ht="15" customHeight="1">
      <c r="A804" s="258" t="s">
        <v>2460</v>
      </c>
      <c r="B804" s="263">
        <f>'Dry_Litterbag Placem_Collection'!A145</f>
        <v>143</v>
      </c>
      <c r="C804" s="263" t="str">
        <f>'Dry_Litterbag Placem_Collection'!B145</f>
        <v xml:space="preserve">Mwantimba
</v>
      </c>
      <c r="D804" s="263" t="s">
        <v>2659</v>
      </c>
      <c r="E804" s="263" t="s">
        <v>20</v>
      </c>
      <c r="F804" s="263">
        <v>2</v>
      </c>
      <c r="G804" s="264" t="str">
        <f>'Dry_Litterbag Placem_Collection'!C145</f>
        <v>Wet_P2_T7</v>
      </c>
      <c r="H804" s="273" t="s">
        <v>3651</v>
      </c>
      <c r="I804" s="274" t="s">
        <v>298</v>
      </c>
      <c r="J804" s="223" t="str">
        <f>'WetLitterbags placem_collection'!Q145</f>
        <v>R567</v>
      </c>
      <c r="K804" s="225">
        <f>IFERROR(INDEX('Green_rooibos initial weight'!$C$5:$C$1749,MATCH(J804, 'Green_rooibos initial weight'!$A$5:$A$1749,0)),"")</f>
        <v>2.097</v>
      </c>
      <c r="L804" s="225">
        <f>IFERROR(K804-(TBIcalc!$H$9+TBIcalc!$H$10),"")</f>
        <v>1.8472</v>
      </c>
      <c r="M804" s="391">
        <f>AVERAGE(Ashed_controlls!$K$12:$K$14)</f>
        <v>2.2816647271287041</v>
      </c>
      <c r="N804" s="225">
        <f t="shared" si="65"/>
        <v>1.8050530891604786</v>
      </c>
      <c r="O804" s="225">
        <f>IF(IFERROR(INDEX('Both teabags AfterWet'!$C$3:$C$841,MATCH(J804,'Both teabags AfterWet'!$A$3:$A$841,0)),"")="","",(IFERROR(INDEX('Both teabags AfterWet'!$C$3:$C$841,MATCH(J804,'Both teabags AfterWet'!$A$3:$A$841,0)),"")))</f>
        <v>1.5908</v>
      </c>
      <c r="P804" s="225">
        <f>IFERROR(IF(O804&gt;0,O804-(TBIcalc!$H$9),""),"")</f>
        <v>1.4401999999999999</v>
      </c>
      <c r="Q804" s="225">
        <f>IFERROR(INDEX('Ashed teabags wet'!$K$2:$K$821,MATCH(J804,'Ashed teabags wet'!$A$2:$A$821,0)),"")</f>
        <v>3.9043435822355246</v>
      </c>
      <c r="R804" s="225">
        <f t="shared" si="68"/>
        <v>1.383969643728644</v>
      </c>
      <c r="S804" s="226">
        <f>'WetLitterbags placem_collection'!E145</f>
        <v>42762</v>
      </c>
      <c r="T804" s="226">
        <f>IF('WetLitterbags placem_collection'!G145="","",'WetLitterbags placem_collection'!G145)</f>
        <v>42816</v>
      </c>
      <c r="U804" s="227">
        <f t="shared" si="69"/>
        <v>54</v>
      </c>
      <c r="V804" s="225">
        <f t="shared" si="66"/>
        <v>0.40700000000000003</v>
      </c>
      <c r="W804" s="225">
        <f t="shared" si="67"/>
        <v>0.42108344543183462</v>
      </c>
      <c r="X804">
        <f>IFERROR(INDEX(Rainfall_Wet!$O$2:$O$217,MATCH(B804, Rainfall_Wet!$A$2:$A$217,0)),"")</f>
        <v>206.85140822299999</v>
      </c>
      <c r="Y804" s="231">
        <v>33.96</v>
      </c>
      <c r="Z804" s="231">
        <v>8.9200000000000017</v>
      </c>
      <c r="AA804" s="231">
        <v>57.12</v>
      </c>
      <c r="AB804" s="232" t="s">
        <v>2670</v>
      </c>
      <c r="AC804" s="231">
        <v>8.0720551996057193</v>
      </c>
      <c r="AD804">
        <f>IF('WetLitterbags placem_collection'!AB145="","",'WetLitterbags placem_collection'!AB145)</f>
        <v>2</v>
      </c>
      <c r="AE804">
        <f>IF('WetLitterbags placem_collection'!Z145="","",'WetLitterbags placem_collection'!Z145)</f>
        <v>23.4</v>
      </c>
      <c r="AF804" s="24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placem_collection'!Y145)),"YES","NO")</f>
        <v>NO</v>
      </c>
      <c r="AM804" t="str">
        <f>IF(ISNUMBER(SEARCH("H", 'WetLitterbags placem_collection'!Y145)),"YES","NO")</f>
        <v>NO</v>
      </c>
      <c r="AN804" t="str">
        <f>IF(ISNUMBER(SEARCH("R", 'WetLitterbags placem_collection'!Y145)),"YES","NO")</f>
        <v>NO</v>
      </c>
    </row>
    <row r="805" spans="1:40" ht="15" customHeight="1">
      <c r="A805" s="258" t="s">
        <v>2460</v>
      </c>
      <c r="B805" s="263">
        <f>'Dry_Litterbag Placem_Collection'!A146</f>
        <v>144</v>
      </c>
      <c r="C805" s="263" t="str">
        <f>'Dry_Litterbag Placem_Collection'!B146</f>
        <v xml:space="preserve">Mwantimba
</v>
      </c>
      <c r="D805" s="263" t="s">
        <v>2659</v>
      </c>
      <c r="E805" s="263" t="s">
        <v>20</v>
      </c>
      <c r="F805" s="263">
        <v>2</v>
      </c>
      <c r="G805" s="264" t="str">
        <f>'Dry_Litterbag Placem_Collection'!C146</f>
        <v>Wet_P2_T8</v>
      </c>
      <c r="H805" s="273" t="s">
        <v>3651</v>
      </c>
      <c r="I805" s="274" t="s">
        <v>298</v>
      </c>
      <c r="J805" s="223" t="str">
        <f>'WetLitterbags placem_collection'!Q146</f>
        <v>R15</v>
      </c>
      <c r="K805" s="225">
        <f>IFERROR(INDEX('Green_rooibos initial weight'!$C$5:$C$1749,MATCH(J805, 'Green_rooibos initial weight'!$A$5:$A$1749,0)),"")</f>
        <v>2.2269999999999999</v>
      </c>
      <c r="L805" s="225">
        <f>IFERROR(K805-(TBIcalc!$H$9+TBIcalc!$H$10),"")</f>
        <v>1.9771999999999998</v>
      </c>
      <c r="M805" s="391">
        <f>AVERAGE(Ashed_controlls!$K$12:$K$14)</f>
        <v>2.2816647271287041</v>
      </c>
      <c r="N805" s="225">
        <f t="shared" si="65"/>
        <v>1.9320869250152111</v>
      </c>
      <c r="O805" s="225">
        <f>IF(IFERROR(INDEX('Both teabags AfterWet'!$C$3:$C$841,MATCH(J805,'Both teabags AfterWet'!$A$3:$A$841,0)),"")="","",(IFERROR(INDEX('Both teabags AfterWet'!$C$3:$C$841,MATCH(J805,'Both teabags AfterWet'!$A$3:$A$841,0)),"")))</f>
        <v>1.7290000000000001</v>
      </c>
      <c r="P805" s="225">
        <f>IFERROR(IF(O805&gt;0,O805-(TBIcalc!$H$9),""),"")</f>
        <v>1.5784</v>
      </c>
      <c r="Q805" s="225">
        <f>IFERROR(INDEX('Ashed teabags wet'!$K$2:$K$821,MATCH(J805,'Ashed teabags wet'!$A$2:$A$821,0)),"")</f>
        <v>11.138613861386148</v>
      </c>
      <c r="R805" s="225">
        <f t="shared" si="68"/>
        <v>1.4025881188118812</v>
      </c>
      <c r="S805" s="226">
        <f>'WetLitterbags placem_collection'!E146</f>
        <v>42762</v>
      </c>
      <c r="T805" s="226">
        <f>IF('WetLitterbags placem_collection'!G146="","",'WetLitterbags placem_collection'!G146)</f>
        <v>42816</v>
      </c>
      <c r="U805" s="227">
        <f t="shared" si="69"/>
        <v>54</v>
      </c>
      <c r="V805" s="225">
        <f t="shared" si="66"/>
        <v>0.39879999999999982</v>
      </c>
      <c r="W805" s="225">
        <f t="shared" si="67"/>
        <v>0.5294988062033299</v>
      </c>
      <c r="X805">
        <f>IFERROR(INDEX(Rainfall_Wet!$O$2:$O$217,MATCH(B805, Rainfall_Wet!$A$2:$A$217,0)),"")</f>
        <v>206.85140822299999</v>
      </c>
      <c r="Y805" s="231">
        <v>33.96</v>
      </c>
      <c r="Z805" s="231">
        <v>8.9200000000000017</v>
      </c>
      <c r="AA805" s="231">
        <v>57.12</v>
      </c>
      <c r="AB805" s="232" t="s">
        <v>2670</v>
      </c>
      <c r="AC805" s="231">
        <v>9.0720551996057193</v>
      </c>
      <c r="AD805">
        <f>IF('WetLitterbags placem_collection'!AB146="","",'WetLitterbags placem_collection'!AB146)</f>
        <v>2.5</v>
      </c>
      <c r="AE805">
        <f>IF('WetLitterbags placem_collection'!Z146="","",'WetLitterbags placem_collection'!Z146)</f>
        <v>19.8</v>
      </c>
      <c r="AF805" s="24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placem_collection'!Y146)),"YES","NO")</f>
        <v>NO</v>
      </c>
      <c r="AM805" t="str">
        <f>IF(ISNUMBER(SEARCH("H", 'WetLitterbags placem_collection'!Y146)),"YES","NO")</f>
        <v>NO</v>
      </c>
      <c r="AN805" t="str">
        <f>IF(ISNUMBER(SEARCH("R", 'WetLitterbags placem_collection'!Y146)),"YES","NO")</f>
        <v>NO</v>
      </c>
    </row>
    <row r="806" spans="1:40" ht="15" customHeight="1">
      <c r="A806" s="258" t="s">
        <v>2460</v>
      </c>
      <c r="B806" s="263">
        <f>'Dry_Litterbag Placem_Collection'!A147</f>
        <v>145</v>
      </c>
      <c r="C806" s="263" t="str">
        <f>'Dry_Litterbag Placem_Collection'!B147</f>
        <v xml:space="preserve">Mwantimba
</v>
      </c>
      <c r="D806" s="263" t="s">
        <v>2659</v>
      </c>
      <c r="E806" s="263" t="s">
        <v>20</v>
      </c>
      <c r="F806" s="263">
        <v>3</v>
      </c>
      <c r="G806" s="264" t="str">
        <f>'Dry_Litterbag Placem_Collection'!C147</f>
        <v>Wet_P3_T1</v>
      </c>
      <c r="H806" s="273" t="s">
        <v>3651</v>
      </c>
      <c r="I806" s="274" t="s">
        <v>298</v>
      </c>
      <c r="J806" s="223" t="str">
        <f>'WetLitterbags placem_collection'!Q147</f>
        <v>R40</v>
      </c>
      <c r="K806" s="225">
        <f>IFERROR(INDEX('Green_rooibos initial weight'!$C$5:$C$1749,MATCH(J806, 'Green_rooibos initial weight'!$A$5:$A$1749,0)),"")</f>
        <v>2.121</v>
      </c>
      <c r="L806" s="225">
        <f>IFERROR(K806-(TBIcalc!$H$9+TBIcalc!$H$10),"")</f>
        <v>1.8712</v>
      </c>
      <c r="M806" s="391">
        <f>AVERAGE(Ashed_controlls!$K$12:$K$14)</f>
        <v>2.2816647271287041</v>
      </c>
      <c r="N806" s="225">
        <f t="shared" si="65"/>
        <v>1.8285054896259676</v>
      </c>
      <c r="O806" s="225">
        <f>IF(IFERROR(INDEX('Both teabags AfterWet'!$C$3:$C$841,MATCH(J806,'Both teabags AfterWet'!$A$3:$A$841,0)),"")="","",(IFERROR(INDEX('Both teabags AfterWet'!$C$3:$C$841,MATCH(J806,'Both teabags AfterWet'!$A$3:$A$841,0)),"")))</f>
        <v>1.589</v>
      </c>
      <c r="P806" s="225">
        <f>IFERROR(IF(O806&gt;0,O806-(TBIcalc!$H$9),""),"")</f>
        <v>1.4383999999999999</v>
      </c>
      <c r="Q806" s="225">
        <f>IFERROR(INDEX('Ashed teabags wet'!$K$2:$K$821,MATCH(J806,'Ashed teabags wet'!$A$2:$A$821,0)),"")</f>
        <v>8.3980582524276741</v>
      </c>
      <c r="R806" s="225">
        <f t="shared" si="68"/>
        <v>1.3176023300970803</v>
      </c>
      <c r="S806" s="226">
        <f>'WetLitterbags placem_collection'!E147</f>
        <v>42762</v>
      </c>
      <c r="T806" s="226">
        <f>IF('WetLitterbags placem_collection'!G147="","",'WetLitterbags placem_collection'!G147)</f>
        <v>42815</v>
      </c>
      <c r="U806" s="227">
        <f t="shared" si="69"/>
        <v>53</v>
      </c>
      <c r="V806" s="225">
        <f t="shared" si="66"/>
        <v>0.43280000000000007</v>
      </c>
      <c r="W806" s="225">
        <f t="shared" si="67"/>
        <v>0.51090315952888732</v>
      </c>
      <c r="X806">
        <f>IFERROR(INDEX(Rainfall_Wet!$O$2:$O$217,MATCH(B806, Rainfall_Wet!$A$2:$A$217,0)),"")</f>
        <v>205.76139209600001</v>
      </c>
      <c r="Y806" s="231">
        <v>39.96</v>
      </c>
      <c r="Z806" s="231">
        <v>12.920000000000002</v>
      </c>
      <c r="AA806" s="231">
        <v>47.12</v>
      </c>
      <c r="AB806" s="232" t="s">
        <v>2674</v>
      </c>
      <c r="AC806" s="231">
        <v>1.6549531789058647</v>
      </c>
      <c r="AD806">
        <f>IF('WetLitterbags placem_collection'!AB147="","",'WetLitterbags placem_collection'!AB147)</f>
        <v>3.95</v>
      </c>
      <c r="AE806">
        <f>IF('WetLitterbags placem_collection'!Z147="","",'WetLitterbags placem_collection'!Z147)</f>
        <v>13</v>
      </c>
      <c r="AF806" s="24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placem_collection'!Y147)),"YES","NO")</f>
        <v>NO</v>
      </c>
      <c r="AM806" t="str">
        <f>IF(ISNUMBER(SEARCH("H", 'WetLitterbags placem_collection'!Y147)),"YES","NO")</f>
        <v>NO</v>
      </c>
      <c r="AN806" t="str">
        <f>IF(ISNUMBER(SEARCH("R", 'WetLitterbags placem_collection'!Y147)),"YES","NO")</f>
        <v>NO</v>
      </c>
    </row>
    <row r="807" spans="1:40" ht="15" customHeight="1">
      <c r="A807" s="258" t="s">
        <v>2460</v>
      </c>
      <c r="B807" s="263">
        <f>'Dry_Litterbag Placem_Collection'!A148</f>
        <v>146</v>
      </c>
      <c r="C807" s="263" t="str">
        <f>'Dry_Litterbag Placem_Collection'!B148</f>
        <v xml:space="preserve">Mwantimba
</v>
      </c>
      <c r="D807" s="263" t="s">
        <v>2659</v>
      </c>
      <c r="E807" s="263" t="s">
        <v>20</v>
      </c>
      <c r="F807" s="263">
        <v>3</v>
      </c>
      <c r="G807" s="264" t="str">
        <f>'Dry_Litterbag Placem_Collection'!C148</f>
        <v>Wet_P3_T2</v>
      </c>
      <c r="H807" s="273" t="s">
        <v>3651</v>
      </c>
      <c r="I807" s="274" t="s">
        <v>298</v>
      </c>
      <c r="J807" s="223" t="str">
        <f>'WetLitterbags placem_collection'!Q148</f>
        <v>R468</v>
      </c>
      <c r="K807" s="225">
        <f>IFERROR(INDEX('Green_rooibos initial weight'!$C$5:$C$1749,MATCH(J807, 'Green_rooibos initial weight'!$A$5:$A$1749,0)),"")</f>
        <v>2.2869999999999999</v>
      </c>
      <c r="L807" s="225">
        <f>IFERROR(K807-(TBIcalc!$H$9+TBIcalc!$H$10),"")</f>
        <v>2.0371999999999999</v>
      </c>
      <c r="M807" s="391">
        <f>AVERAGE(Ashed_controlls!$K$12:$K$14)</f>
        <v>2.2816647271287041</v>
      </c>
      <c r="N807" s="225">
        <f t="shared" si="65"/>
        <v>1.9907179261789338</v>
      </c>
      <c r="O807" s="225">
        <f>IF(IFERROR(INDEX('Both teabags AfterWet'!$C$3:$C$841,MATCH(J807,'Both teabags AfterWet'!$A$3:$A$841,0)),"")="","",(IFERROR(INDEX('Both teabags AfterWet'!$C$3:$C$841,MATCH(J807,'Both teabags AfterWet'!$A$3:$A$841,0)),"")))</f>
        <v>1.657</v>
      </c>
      <c r="P807" s="225">
        <f>IFERROR(IF(O807&gt;0,O807-(TBIcalc!$H$9),""),"")</f>
        <v>1.5064</v>
      </c>
      <c r="Q807" s="225">
        <f>IFERROR(INDEX('Ashed teabags wet'!$K$2:$K$821,MATCH(J807,'Ashed teabags wet'!$A$2:$A$821,0)),"")</f>
        <v>5.4683544303797067</v>
      </c>
      <c r="R807" s="225">
        <f t="shared" si="68"/>
        <v>1.42402470886076</v>
      </c>
      <c r="S807" s="226">
        <f>'WetLitterbags placem_collection'!E148</f>
        <v>42762</v>
      </c>
      <c r="T807" s="226">
        <f>IF('WetLitterbags placem_collection'!G148="","",'WetLitterbags placem_collection'!G148)</f>
        <v>42815</v>
      </c>
      <c r="U807" s="227">
        <f t="shared" si="69"/>
        <v>53</v>
      </c>
      <c r="V807" s="225">
        <f t="shared" si="66"/>
        <v>0.53079999999999994</v>
      </c>
      <c r="W807" s="225">
        <f t="shared" si="67"/>
        <v>0.56669321731817379</v>
      </c>
      <c r="X807">
        <f>IFERROR(INDEX(Rainfall_Wet!$O$2:$O$217,MATCH(B807, Rainfall_Wet!$A$2:$A$217,0)),"")</f>
        <v>205.76139209600001</v>
      </c>
      <c r="Y807" s="231">
        <v>39.96</v>
      </c>
      <c r="Z807" s="231">
        <v>12.920000000000002</v>
      </c>
      <c r="AA807" s="231">
        <v>47.12</v>
      </c>
      <c r="AB807" s="232" t="s">
        <v>2674</v>
      </c>
      <c r="AC807" s="231">
        <v>2.6549531789058598</v>
      </c>
      <c r="AD807">
        <f>IF('WetLitterbags placem_collection'!AB148="","",'WetLitterbags placem_collection'!AB148)</f>
        <v>2.75</v>
      </c>
      <c r="AE807">
        <f>IF('WetLitterbags placem_collection'!Z148="","",'WetLitterbags placem_collection'!Z148)</f>
        <v>17.7</v>
      </c>
      <c r="AF807" s="24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placem_collection'!Y148)),"YES","NO")</f>
        <v>NO</v>
      </c>
      <c r="AM807" t="str">
        <f>IF(ISNUMBER(SEARCH("H", 'WetLitterbags placem_collection'!Y148)),"YES","NO")</f>
        <v>NO</v>
      </c>
      <c r="AN807" t="str">
        <f>IF(ISNUMBER(SEARCH("R", 'WetLitterbags placem_collection'!Y148)),"YES","NO")</f>
        <v>NO</v>
      </c>
    </row>
    <row r="808" spans="1:40" ht="15" customHeight="1">
      <c r="A808" s="258" t="s">
        <v>2460</v>
      </c>
      <c r="B808" s="263">
        <f>'Dry_Litterbag Placem_Collection'!A149</f>
        <v>147</v>
      </c>
      <c r="C808" s="263" t="str">
        <f>'Dry_Litterbag Placem_Collection'!B149</f>
        <v xml:space="preserve">Mwantimba
</v>
      </c>
      <c r="D808" s="263" t="s">
        <v>2659</v>
      </c>
      <c r="E808" s="263" t="s">
        <v>20</v>
      </c>
      <c r="F808" s="263">
        <v>3</v>
      </c>
      <c r="G808" s="264" t="str">
        <f>'Dry_Litterbag Placem_Collection'!C149</f>
        <v>Wet_P3_T3</v>
      </c>
      <c r="H808" s="273" t="s">
        <v>3651</v>
      </c>
      <c r="I808" s="274" t="s">
        <v>298</v>
      </c>
      <c r="J808" s="223" t="str">
        <f>'WetLitterbags placem_collection'!Q149</f>
        <v>R582</v>
      </c>
      <c r="K808" s="225">
        <f>IFERROR(INDEX('Green_rooibos initial weight'!$C$5:$C$1749,MATCH(J808, 'Green_rooibos initial weight'!$A$5:$A$1749,0)),"")</f>
        <v>2.2360000000000002</v>
      </c>
      <c r="L808" s="225">
        <f>IFERROR(K808-(TBIcalc!$H$9+TBIcalc!$H$10),"")</f>
        <v>1.9862000000000002</v>
      </c>
      <c r="M808" s="391">
        <f>AVERAGE(Ashed_controlls!$K$12:$K$14)</f>
        <v>2.2816647271287041</v>
      </c>
      <c r="N808" s="225">
        <f t="shared" si="65"/>
        <v>1.9408815751897699</v>
      </c>
      <c r="O808" s="225">
        <f>IF(IFERROR(INDEX('Both teabags AfterWet'!$C$3:$C$841,MATCH(J808,'Both teabags AfterWet'!$A$3:$A$841,0)),"")="","",(IFERROR(INDEX('Both teabags AfterWet'!$C$3:$C$841,MATCH(J808,'Both teabags AfterWet'!$A$3:$A$841,0)),"")))</f>
        <v>1.742</v>
      </c>
      <c r="P808" s="225">
        <f>IFERROR(IF(O808&gt;0,O808-(TBIcalc!$H$9),""),"")</f>
        <v>1.5913999999999999</v>
      </c>
      <c r="Q808" s="225">
        <f>IFERROR(INDEX('Ashed teabags wet'!$K$2:$K$821,MATCH(J808,'Ashed teabags wet'!$A$2:$A$821,0)),"")</f>
        <v>1.3068731848979416</v>
      </c>
      <c r="R808" s="225">
        <f t="shared" si="68"/>
        <v>1.570602420135534</v>
      </c>
      <c r="S808" s="226">
        <f>'WetLitterbags placem_collection'!E149</f>
        <v>42762</v>
      </c>
      <c r="T808" s="226">
        <f>IF('WetLitterbags placem_collection'!G149="","",'WetLitterbags placem_collection'!G149)</f>
        <v>42816</v>
      </c>
      <c r="U808" s="227">
        <f t="shared" si="69"/>
        <v>54</v>
      </c>
      <c r="V808" s="225">
        <f t="shared" si="66"/>
        <v>0.39480000000000026</v>
      </c>
      <c r="W808" s="225">
        <f t="shared" si="67"/>
        <v>0.37027915505423592</v>
      </c>
      <c r="X808">
        <f>IFERROR(INDEX(Rainfall_Wet!$O$2:$O$217,MATCH(B808, Rainfall_Wet!$A$2:$A$217,0)),"")</f>
        <v>206.85140822299999</v>
      </c>
      <c r="Y808" s="231">
        <v>39.96</v>
      </c>
      <c r="Z808" s="231">
        <v>12.920000000000002</v>
      </c>
      <c r="AA808" s="231">
        <v>47.12</v>
      </c>
      <c r="AB808" s="232" t="s">
        <v>2674</v>
      </c>
      <c r="AC808" s="231">
        <v>3.6549531789058598</v>
      </c>
      <c r="AD808">
        <f>IF('WetLitterbags placem_collection'!AB149="","",'WetLitterbags placem_collection'!AB149)</f>
        <v>3.6</v>
      </c>
      <c r="AE808">
        <f>IF('WetLitterbags placem_collection'!Z149="","",'WetLitterbags placem_collection'!Z149)</f>
        <v>19</v>
      </c>
      <c r="AF808" s="24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placem_collection'!Y149)),"YES","NO")</f>
        <v>NO</v>
      </c>
      <c r="AM808" t="str">
        <f>IF(ISNUMBER(SEARCH("H", 'WetLitterbags placem_collection'!Y149)),"YES","NO")</f>
        <v>NO</v>
      </c>
      <c r="AN808" t="str">
        <f>IF(ISNUMBER(SEARCH("R", 'WetLitterbags placem_collection'!Y149)),"YES","NO")</f>
        <v>NO</v>
      </c>
    </row>
    <row r="809" spans="1:40" ht="15" customHeight="1">
      <c r="A809" s="258" t="s">
        <v>2460</v>
      </c>
      <c r="B809" s="263">
        <f>'Dry_Litterbag Placem_Collection'!A150</f>
        <v>148</v>
      </c>
      <c r="C809" s="263" t="str">
        <f>'Dry_Litterbag Placem_Collection'!B150</f>
        <v xml:space="preserve">Mwantimba
</v>
      </c>
      <c r="D809" s="263" t="s">
        <v>2659</v>
      </c>
      <c r="E809" s="263" t="s">
        <v>20</v>
      </c>
      <c r="F809" s="263">
        <v>3</v>
      </c>
      <c r="G809" s="264" t="str">
        <f>'Dry_Litterbag Placem_Collection'!C150</f>
        <v>Wet_P3_T4</v>
      </c>
      <c r="H809" s="273" t="s">
        <v>3651</v>
      </c>
      <c r="I809" s="274" t="s">
        <v>298</v>
      </c>
      <c r="J809" s="223" t="str">
        <f>'WetLitterbags placem_collection'!Q150</f>
        <v>R20</v>
      </c>
      <c r="K809" s="225">
        <f>IFERROR(INDEX('Green_rooibos initial weight'!$C$5:$C$1749,MATCH(J809, 'Green_rooibos initial weight'!$A$5:$A$1749,0)),"")</f>
        <v>2.2400000000000002</v>
      </c>
      <c r="L809" s="225">
        <f>IFERROR(K809-(TBIcalc!$H$9+TBIcalc!$H$10),"")</f>
        <v>1.9902000000000002</v>
      </c>
      <c r="M809" s="391">
        <f>AVERAGE(Ashed_controlls!$K$12:$K$14)</f>
        <v>2.2816647271287041</v>
      </c>
      <c r="N809" s="225">
        <f t="shared" si="65"/>
        <v>1.9447903086006848</v>
      </c>
      <c r="O809" s="225">
        <f>IF(IFERROR(INDEX('Both teabags AfterWet'!$C$3:$C$841,MATCH(J809,'Both teabags AfterWet'!$A$3:$A$841,0)),"")="","",(IFERROR(INDEX('Both teabags AfterWet'!$C$3:$C$841,MATCH(J809,'Both teabags AfterWet'!$A$3:$A$841,0)),"")))</f>
        <v>1.6375999999999999</v>
      </c>
      <c r="P809" s="225">
        <f>IFERROR(IF(O809&gt;0,O809-(TBIcalc!$H$9),""),"")</f>
        <v>1.4869999999999999</v>
      </c>
      <c r="Q809" s="225">
        <f>IFERROR(INDEX('Ashed teabags wet'!$K$2:$K$821,MATCH(J809,'Ashed teabags wet'!$A$2:$A$821,0)),"")</f>
        <v>56.818181818177493</v>
      </c>
      <c r="R809" s="225">
        <f t="shared" si="68"/>
        <v>0.64211363636370067</v>
      </c>
      <c r="S809" s="226">
        <f>'WetLitterbags placem_collection'!E150</f>
        <v>42762</v>
      </c>
      <c r="T809" s="226">
        <f>IF('WetLitterbags placem_collection'!G150="","",'WetLitterbags placem_collection'!G150)</f>
        <v>42816</v>
      </c>
      <c r="U809" s="227">
        <f t="shared" si="69"/>
        <v>54</v>
      </c>
      <c r="V809" s="225">
        <f t="shared" si="66"/>
        <v>0.50320000000000031</v>
      </c>
      <c r="W809" s="225">
        <f t="shared" si="67"/>
        <v>1.3026766722369842</v>
      </c>
      <c r="X809">
        <f>IFERROR(INDEX(Rainfall_Wet!$O$2:$O$217,MATCH(B809, Rainfall_Wet!$A$2:$A$217,0)),"")</f>
        <v>206.85140822299999</v>
      </c>
      <c r="Y809" s="231">
        <v>39.96</v>
      </c>
      <c r="Z809" s="231">
        <v>12.920000000000002</v>
      </c>
      <c r="AA809" s="231">
        <v>47.12</v>
      </c>
      <c r="AB809" s="232" t="s">
        <v>2674</v>
      </c>
      <c r="AC809" s="231">
        <v>4.6549531789058696</v>
      </c>
      <c r="AD809">
        <f>IF('WetLitterbags placem_collection'!AB150="","",'WetLitterbags placem_collection'!AB150)</f>
        <v>4.9000000000000004</v>
      </c>
      <c r="AE809">
        <f>IF('WetLitterbags placem_collection'!Z150="","",'WetLitterbags placem_collection'!Z150)</f>
        <v>17.489999999999998</v>
      </c>
      <c r="AF809" s="24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placem_collection'!Y150)),"YES","NO")</f>
        <v>NO</v>
      </c>
      <c r="AM809" t="str">
        <f>IF(ISNUMBER(SEARCH("H", 'WetLitterbags placem_collection'!Y150)),"YES","NO")</f>
        <v>NO</v>
      </c>
      <c r="AN809" t="str">
        <f>IF(ISNUMBER(SEARCH("R", 'WetLitterbags placem_collection'!Y150)),"YES","NO")</f>
        <v>NO</v>
      </c>
    </row>
    <row r="810" spans="1:40" ht="15" customHeight="1">
      <c r="A810" s="258" t="s">
        <v>2460</v>
      </c>
      <c r="B810" s="263">
        <f>'Dry_Litterbag Placem_Collection'!A151</f>
        <v>149</v>
      </c>
      <c r="C810" s="263" t="str">
        <f>'Dry_Litterbag Placem_Collection'!B151</f>
        <v xml:space="preserve">Mwantimba
</v>
      </c>
      <c r="D810" s="263" t="s">
        <v>2659</v>
      </c>
      <c r="E810" s="263" t="s">
        <v>20</v>
      </c>
      <c r="F810" s="263">
        <v>3</v>
      </c>
      <c r="G810" s="264" t="str">
        <f>'Dry_Litterbag Placem_Collection'!C151</f>
        <v>Wet_P3_T5</v>
      </c>
      <c r="H810" s="273" t="s">
        <v>3651</v>
      </c>
      <c r="I810" s="274" t="s">
        <v>298</v>
      </c>
      <c r="J810" s="223" t="str">
        <f>'WetLitterbags placem_collection'!Q151</f>
        <v>R533</v>
      </c>
      <c r="K810" s="225">
        <f>IFERROR(INDEX('Green_rooibos initial weight'!$C$5:$C$1749,MATCH(J810, 'Green_rooibos initial weight'!$A$5:$A$1749,0)),"")</f>
        <v>2.1970000000000001</v>
      </c>
      <c r="L810" s="225">
        <f>IFERROR(K810-(TBIcalc!$H$9+TBIcalc!$H$10),"")</f>
        <v>1.9472</v>
      </c>
      <c r="M810" s="391">
        <f>AVERAGE(Ashed_controlls!$K$12:$K$14)</f>
        <v>2.2816647271287041</v>
      </c>
      <c r="N810" s="225">
        <f t="shared" si="65"/>
        <v>1.90277142443335</v>
      </c>
      <c r="O810" s="225">
        <f>IF(IFERROR(INDEX('Both teabags AfterWet'!$C$3:$C$841,MATCH(J810,'Both teabags AfterWet'!$A$3:$A$841,0)),"")="","",(IFERROR(INDEX('Both teabags AfterWet'!$C$3:$C$841,MATCH(J810,'Both teabags AfterWet'!$A$3:$A$841,0)),"")))</f>
        <v>1.7899</v>
      </c>
      <c r="P810" s="225">
        <f>IFERROR(IF(O810&gt;0,O810-(TBIcalc!$H$9),""),"")</f>
        <v>1.6393</v>
      </c>
      <c r="Q810" s="225">
        <f>IFERROR(INDEX('Ashed teabags wet'!$K$2:$K$821,MATCH(J810,'Ashed teabags wet'!$A$2:$A$821,0)),"")</f>
        <v>11.542288557213293</v>
      </c>
      <c r="R810" s="225">
        <f t="shared" si="68"/>
        <v>1.4500872636816025</v>
      </c>
      <c r="S810" s="226">
        <f>'WetLitterbags placem_collection'!E151</f>
        <v>42762</v>
      </c>
      <c r="T810" s="226">
        <f>IF('WetLitterbags placem_collection'!G151="","",'WetLitterbags placem_collection'!G151)</f>
        <v>42816</v>
      </c>
      <c r="U810" s="227">
        <f t="shared" si="69"/>
        <v>54</v>
      </c>
      <c r="V810" s="225">
        <f t="shared" si="66"/>
        <v>0.30790000000000006</v>
      </c>
      <c r="W810" s="225">
        <f t="shared" si="67"/>
        <v>0.45268416075174756</v>
      </c>
      <c r="X810">
        <f>IFERROR(INDEX(Rainfall_Wet!$O$2:$O$217,MATCH(B810, Rainfall_Wet!$A$2:$A$217,0)),"")</f>
        <v>206.85140822299999</v>
      </c>
      <c r="Y810" s="231">
        <v>39.96</v>
      </c>
      <c r="Z810" s="231">
        <v>12.920000000000002</v>
      </c>
      <c r="AA810" s="231">
        <v>47.12</v>
      </c>
      <c r="AB810" s="232" t="s">
        <v>2674</v>
      </c>
      <c r="AC810" s="231">
        <v>5.6549531789058696</v>
      </c>
      <c r="AD810">
        <f>IF('WetLitterbags placem_collection'!AB151="","",'WetLitterbags placem_collection'!AB151)</f>
        <v>2.8</v>
      </c>
      <c r="AE810">
        <f>IF('WetLitterbags placem_collection'!Z151="","",'WetLitterbags placem_collection'!Z151)</f>
        <v>13</v>
      </c>
      <c r="AF810" s="24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placem_collection'!Y151)),"YES","NO")</f>
        <v>NO</v>
      </c>
      <c r="AM810" t="str">
        <f>IF(ISNUMBER(SEARCH("H", 'WetLitterbags placem_collection'!Y151)),"YES","NO")</f>
        <v>NO</v>
      </c>
      <c r="AN810" t="str">
        <f>IF(ISNUMBER(SEARCH("R", 'WetLitterbags placem_collection'!Y151)),"YES","NO")</f>
        <v>NO</v>
      </c>
    </row>
    <row r="811" spans="1:40" ht="15" customHeight="1">
      <c r="A811" s="258" t="s">
        <v>2460</v>
      </c>
      <c r="B811" s="263">
        <f>'Dry_Litterbag Placem_Collection'!A152</f>
        <v>150</v>
      </c>
      <c r="C811" s="263" t="str">
        <f>'Dry_Litterbag Placem_Collection'!B152</f>
        <v xml:space="preserve">Mwantimba
</v>
      </c>
      <c r="D811" s="263" t="s">
        <v>2659</v>
      </c>
      <c r="E811" s="263" t="s">
        <v>20</v>
      </c>
      <c r="F811" s="263">
        <v>3</v>
      </c>
      <c r="G811" s="264" t="str">
        <f>'Dry_Litterbag Placem_Collection'!C152</f>
        <v>Wet_P3_T6</v>
      </c>
      <c r="H811" s="273" t="s">
        <v>3651</v>
      </c>
      <c r="I811" s="274" t="s">
        <v>298</v>
      </c>
      <c r="J811" s="223" t="str">
        <f>'WetLitterbags placem_collection'!Q152</f>
        <v>R572</v>
      </c>
      <c r="K811" s="225">
        <f>IFERROR(INDEX('Green_rooibos initial weight'!$C$5:$C$1749,MATCH(J811, 'Green_rooibos initial weight'!$A$5:$A$1749,0)),"")</f>
        <v>2.0819999999999999</v>
      </c>
      <c r="L811" s="225">
        <f>IFERROR(K811-(TBIcalc!$H$9+TBIcalc!$H$10),"")</f>
        <v>1.8321999999999998</v>
      </c>
      <c r="M811" s="391">
        <f>AVERAGE(Ashed_controlls!$K$12:$K$14)</f>
        <v>2.2816647271287041</v>
      </c>
      <c r="N811" s="225">
        <f t="shared" si="65"/>
        <v>1.7903953388695477</v>
      </c>
      <c r="O811" s="225">
        <f>IF(IFERROR(INDEX('Both teabags AfterWet'!$C$3:$C$841,MATCH(J811,'Both teabags AfterWet'!$A$3:$A$841,0)),"")="","",(IFERROR(INDEX('Both teabags AfterWet'!$C$3:$C$841,MATCH(J811,'Both teabags AfterWet'!$A$3:$A$841,0)),"")))</f>
        <v>1.5680000000000001</v>
      </c>
      <c r="P811" s="225">
        <f>IFERROR(IF(O811&gt;0,O811-(TBIcalc!$H$9),""),"")</f>
        <v>1.4174</v>
      </c>
      <c r="Q811" s="225">
        <f>IFERROR(INDEX('Ashed teabags wet'!$K$2:$K$821,MATCH(J811,'Ashed teabags wet'!$A$2:$A$821,0)),"")</f>
        <v>7.1853320118927355</v>
      </c>
      <c r="R811" s="225">
        <f t="shared" si="68"/>
        <v>1.3155551040634323</v>
      </c>
      <c r="S811" s="226">
        <f>'WetLitterbags placem_collection'!E152</f>
        <v>42762</v>
      </c>
      <c r="T811" s="226">
        <f>IF('WetLitterbags placem_collection'!G152="","",'WetLitterbags placem_collection'!G152)</f>
        <v>42816</v>
      </c>
      <c r="U811" s="227">
        <f t="shared" si="69"/>
        <v>54</v>
      </c>
      <c r="V811" s="225">
        <f t="shared" si="66"/>
        <v>0.41479999999999984</v>
      </c>
      <c r="W811" s="225">
        <f t="shared" si="67"/>
        <v>0.47484023480611537</v>
      </c>
      <c r="X811">
        <f>IFERROR(INDEX(Rainfall_Wet!$O$2:$O$217,MATCH(B811, Rainfall_Wet!$A$2:$A$217,0)),"")</f>
        <v>206.85140822299999</v>
      </c>
      <c r="Y811" s="231">
        <v>39.96</v>
      </c>
      <c r="Z811" s="231">
        <v>12.920000000000002</v>
      </c>
      <c r="AA811" s="231">
        <v>47.12</v>
      </c>
      <c r="AB811" s="232" t="s">
        <v>2674</v>
      </c>
      <c r="AC811" s="231">
        <v>6.6549531789058696</v>
      </c>
      <c r="AD811">
        <f>IF('WetLitterbags placem_collection'!AB152="","",'WetLitterbags placem_collection'!AB152)</f>
        <v>2.75</v>
      </c>
      <c r="AE811">
        <f>IF('WetLitterbags placem_collection'!Z152="","",'WetLitterbags placem_collection'!Z152)</f>
        <v>19</v>
      </c>
      <c r="AF811" s="24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placem_collection'!Y152)),"YES","NO")</f>
        <v>NO</v>
      </c>
      <c r="AM811" t="str">
        <f>IF(ISNUMBER(SEARCH("H", 'WetLitterbags placem_collection'!Y152)),"YES","NO")</f>
        <v>NO</v>
      </c>
      <c r="AN811" t="str">
        <f>IF(ISNUMBER(SEARCH("R", 'WetLitterbags placem_collection'!Y152)),"YES","NO")</f>
        <v>NO</v>
      </c>
    </row>
    <row r="812" spans="1:40" ht="15" customHeight="1">
      <c r="A812" s="258" t="s">
        <v>2460</v>
      </c>
      <c r="B812" s="263">
        <f>'Dry_Litterbag Placem_Collection'!A153</f>
        <v>151</v>
      </c>
      <c r="C812" s="263" t="str">
        <f>'Dry_Litterbag Placem_Collection'!B153</f>
        <v xml:space="preserve">Mwantimba
</v>
      </c>
      <c r="D812" s="263" t="s">
        <v>2659</v>
      </c>
      <c r="E812" s="263" t="s">
        <v>20</v>
      </c>
      <c r="F812" s="263">
        <v>3</v>
      </c>
      <c r="G812" s="264" t="str">
        <f>'Dry_Litterbag Placem_Collection'!C153</f>
        <v>Wet_P3_T7</v>
      </c>
      <c r="H812" s="273" t="s">
        <v>3651</v>
      </c>
      <c r="I812" s="274" t="s">
        <v>298</v>
      </c>
      <c r="J812" s="223" t="str">
        <f>'WetLitterbags placem_collection'!Q153</f>
        <v>R504</v>
      </c>
      <c r="K812" s="225">
        <f>IFERROR(INDEX('Green_rooibos initial weight'!$C$5:$C$1749,MATCH(J812, 'Green_rooibos initial weight'!$A$5:$A$1749,0)),"")</f>
        <v>2.1629999999999998</v>
      </c>
      <c r="L812" s="225">
        <f>IFERROR(K812-(TBIcalc!$H$9+TBIcalc!$H$10),"")</f>
        <v>1.9131999999999998</v>
      </c>
      <c r="M812" s="391">
        <f>AVERAGE(Ashed_controlls!$K$12:$K$14)</f>
        <v>2.2816647271287041</v>
      </c>
      <c r="N812" s="225">
        <f t="shared" si="65"/>
        <v>1.8695471904405734</v>
      </c>
      <c r="O812" s="225">
        <f>IF(IFERROR(INDEX('Both teabags AfterWet'!$C$3:$C$841,MATCH(J812,'Both teabags AfterWet'!$A$3:$A$841,0)),"")="","",(IFERROR(INDEX('Both teabags AfterWet'!$C$3:$C$841,MATCH(J812,'Both teabags AfterWet'!$A$3:$A$841,0)),"")))</f>
        <v>1.798</v>
      </c>
      <c r="P812" s="225">
        <f>IFERROR(IF(O812&gt;0,O812-(TBIcalc!$H$9),""),"")</f>
        <v>1.6474</v>
      </c>
      <c r="Q812" s="225">
        <f>IFERROR(INDEX('Ashed teabags wet'!$K$2:$K$821,MATCH(J812,'Ashed teabags wet'!$A$2:$A$821,0)),"")</f>
        <v>6.3484251968501049</v>
      </c>
      <c r="R812" s="225">
        <f t="shared" si="68"/>
        <v>1.5428160433070914</v>
      </c>
      <c r="S812" s="226">
        <f>'WetLitterbags placem_collection'!E153</f>
        <v>42762</v>
      </c>
      <c r="T812" s="226">
        <f>IF('WetLitterbags placem_collection'!G153="","",'WetLitterbags placem_collection'!G153)</f>
        <v>42816</v>
      </c>
      <c r="U812" s="227">
        <f t="shared" si="69"/>
        <v>54</v>
      </c>
      <c r="V812" s="225">
        <f t="shared" si="66"/>
        <v>0.26579999999999981</v>
      </c>
      <c r="W812" s="225">
        <f t="shared" si="67"/>
        <v>0.32673114713348195</v>
      </c>
      <c r="X812">
        <f>IFERROR(INDEX(Rainfall_Wet!$O$2:$O$217,MATCH(B812, Rainfall_Wet!$A$2:$A$217,0)),"")</f>
        <v>206.85140822299999</v>
      </c>
      <c r="Y812" s="231">
        <v>39.96</v>
      </c>
      <c r="Z812" s="231">
        <v>12.920000000000002</v>
      </c>
      <c r="AA812" s="231">
        <v>47.12</v>
      </c>
      <c r="AB812" s="232" t="s">
        <v>2674</v>
      </c>
      <c r="AC812" s="231">
        <v>7.6549531789058696</v>
      </c>
      <c r="AD812">
        <f>IF('WetLitterbags placem_collection'!AB153="","",'WetLitterbags placem_collection'!AB153)</f>
        <v>1.4</v>
      </c>
      <c r="AE812">
        <f>IF('WetLitterbags placem_collection'!Z153="","",'WetLitterbags placem_collection'!Z153)</f>
        <v>7.9</v>
      </c>
      <c r="AF812" s="24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placem_collection'!Y153)),"YES","NO")</f>
        <v>NO</v>
      </c>
      <c r="AM812" t="str">
        <f>IF(ISNUMBER(SEARCH("H", 'WetLitterbags placem_collection'!Y153)),"YES","NO")</f>
        <v>NO</v>
      </c>
      <c r="AN812" t="str">
        <f>IF(ISNUMBER(SEARCH("R", 'WetLitterbags placem_collection'!Y153)),"YES","NO")</f>
        <v>NO</v>
      </c>
    </row>
    <row r="813" spans="1:40" ht="15" customHeight="1">
      <c r="A813" s="258" t="s">
        <v>2460</v>
      </c>
      <c r="B813" s="263">
        <f>'Dry_Litterbag Placem_Collection'!A154</f>
        <v>152</v>
      </c>
      <c r="C813" s="263" t="str">
        <f>'Dry_Litterbag Placem_Collection'!B154</f>
        <v xml:space="preserve">Mwantimba
</v>
      </c>
      <c r="D813" s="263" t="s">
        <v>2659</v>
      </c>
      <c r="E813" s="263" t="s">
        <v>20</v>
      </c>
      <c r="F813" s="263">
        <v>3</v>
      </c>
      <c r="G813" s="264" t="str">
        <f>'Dry_Litterbag Placem_Collection'!C154</f>
        <v>Wet_P3_T8</v>
      </c>
      <c r="H813" s="273" t="s">
        <v>3651</v>
      </c>
      <c r="I813" s="274" t="s">
        <v>298</v>
      </c>
      <c r="J813" s="223" t="str">
        <f>'WetLitterbags placem_collection'!Q154</f>
        <v>R579</v>
      </c>
      <c r="K813" s="225">
        <f>IFERROR(INDEX('Green_rooibos initial weight'!$C$5:$C$1749,MATCH(J813, 'Green_rooibos initial weight'!$A$5:$A$1749,0)),"")</f>
        <v>2.1349999999999998</v>
      </c>
      <c r="L813" s="225">
        <f>IFERROR(K813-(TBIcalc!$H$9+TBIcalc!$H$10),"")</f>
        <v>1.8851999999999998</v>
      </c>
      <c r="M813" s="391">
        <f>AVERAGE(Ashed_controlls!$K$12:$K$14)</f>
        <v>2.2816647271287041</v>
      </c>
      <c r="N813" s="225">
        <f t="shared" si="65"/>
        <v>1.8421860565641694</v>
      </c>
      <c r="O813" s="225">
        <f>IF(IFERROR(INDEX('Both teabags AfterWet'!$C$3:$C$841,MATCH(J813,'Both teabags AfterWet'!$A$3:$A$841,0)),"")="","",(IFERROR(INDEX('Both teabags AfterWet'!$C$3:$C$841,MATCH(J813,'Both teabags AfterWet'!$A$3:$A$841,0)),"")))</f>
        <v>1.5234000000000001</v>
      </c>
      <c r="P813" s="225">
        <f>IFERROR(IF(O813&gt;0,O813-(TBIcalc!$H$9),""),"")</f>
        <v>1.3728</v>
      </c>
      <c r="Q813" s="225">
        <f>IFERROR(INDEX('Ashed teabags wet'!$K$2:$K$821,MATCH(J813,'Ashed teabags wet'!$A$2:$A$821,0)),"")</f>
        <v>5.1525762881442967</v>
      </c>
      <c r="R813" s="225">
        <f t="shared" si="68"/>
        <v>1.302065432716355</v>
      </c>
      <c r="S813" s="226">
        <f>'WetLitterbags placem_collection'!E154</f>
        <v>42762</v>
      </c>
      <c r="T813" s="226">
        <f>IF('WetLitterbags placem_collection'!G154="","",'WetLitterbags placem_collection'!G154)</f>
        <v>42816</v>
      </c>
      <c r="U813" s="227">
        <f t="shared" si="69"/>
        <v>54</v>
      </c>
      <c r="V813" s="225">
        <f t="shared" si="66"/>
        <v>0.51239999999999974</v>
      </c>
      <c r="W813" s="225">
        <f t="shared" si="67"/>
        <v>0.54012062384781445</v>
      </c>
      <c r="X813">
        <f>IFERROR(INDEX(Rainfall_Wet!$O$2:$O$217,MATCH(B813, Rainfall_Wet!$A$2:$A$217,0)),"")</f>
        <v>206.85140822299999</v>
      </c>
      <c r="Y813" s="231">
        <v>39.96</v>
      </c>
      <c r="Z813" s="231">
        <v>12.920000000000002</v>
      </c>
      <c r="AA813" s="231">
        <v>47.12</v>
      </c>
      <c r="AB813" s="232" t="s">
        <v>2674</v>
      </c>
      <c r="AC813" s="231">
        <v>8.6549531789058705</v>
      </c>
      <c r="AD813">
        <f>IF('WetLitterbags placem_collection'!AB154="","",'WetLitterbags placem_collection'!AB154)</f>
        <v>2.2000000000000002</v>
      </c>
      <c r="AE813">
        <f>IF('WetLitterbags placem_collection'!Z154="","",'WetLitterbags placem_collection'!Z154)</f>
        <v>15</v>
      </c>
      <c r="AF813" s="24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placem_collection'!Y154)),"YES","NO")</f>
        <v>NO</v>
      </c>
      <c r="AM813" t="str">
        <f>IF(ISNUMBER(SEARCH("H", 'WetLitterbags placem_collection'!Y154)),"YES","NO")</f>
        <v>NO</v>
      </c>
      <c r="AN813" t="str">
        <f>IF(ISNUMBER(SEARCH("R", 'WetLitterbags placem_collection'!Y154)),"YES","NO")</f>
        <v>NO</v>
      </c>
    </row>
    <row r="814" spans="1:40" ht="15" customHeight="1">
      <c r="A814" s="258" t="s">
        <v>2460</v>
      </c>
      <c r="B814" s="263">
        <f>'Dry_Litterbag Placem_Collection'!A155</f>
        <v>153</v>
      </c>
      <c r="C814" s="263" t="str">
        <f>'Dry_Litterbag Placem_Collection'!B155</f>
        <v xml:space="preserve">Mwantimba
</v>
      </c>
      <c r="D814" s="263" t="s">
        <v>2659</v>
      </c>
      <c r="E814" s="263" t="s">
        <v>20</v>
      </c>
      <c r="F814" s="263">
        <v>4</v>
      </c>
      <c r="G814" s="264" t="str">
        <f>'Dry_Litterbag Placem_Collection'!C155</f>
        <v>Wet_P4_T1</v>
      </c>
      <c r="H814" s="273" t="s">
        <v>3651</v>
      </c>
      <c r="I814" s="274" t="s">
        <v>298</v>
      </c>
      <c r="J814" s="223" t="str">
        <f>'WetLitterbags placem_collection'!Q155</f>
        <v>R440</v>
      </c>
      <c r="K814" s="225">
        <f>IFERROR(INDEX('Green_rooibos initial weight'!$C$5:$C$1749,MATCH(J814, 'Green_rooibos initial weight'!$A$5:$A$1749,0)),"")</f>
        <v>2.1110000000000002</v>
      </c>
      <c r="L814" s="225">
        <f>IFERROR(K814-(TBIcalc!$H$9+TBIcalc!$H$10),"")</f>
        <v>1.8612000000000002</v>
      </c>
      <c r="M814" s="391">
        <f>AVERAGE(Ashed_controlls!$K$12:$K$14)</f>
        <v>2.2816647271287041</v>
      </c>
      <c r="N814" s="225">
        <f t="shared" si="65"/>
        <v>1.8187336560986807</v>
      </c>
      <c r="O814" s="225">
        <f>IF(IFERROR(INDEX('Both teabags AfterWet'!$C$3:$C$841,MATCH(J814,'Both teabags AfterWet'!$A$3:$A$841,0)),"")="","",(IFERROR(INDEX('Both teabags AfterWet'!$C$3:$C$841,MATCH(J814,'Both teabags AfterWet'!$A$3:$A$841,0)),"")))</f>
        <v>1.6322000000000001</v>
      </c>
      <c r="P814" s="225">
        <f>IFERROR(IF(O814&gt;0,O814-(TBIcalc!$H$9),""),"")</f>
        <v>1.4816</v>
      </c>
      <c r="Q814" s="225">
        <f>IFERROR(INDEX('Ashed teabags wet'!$K$2:$K$821,MATCH(J814,'Ashed teabags wet'!$A$2:$A$821,0)),"")</f>
        <v>4.0218470705065492</v>
      </c>
      <c r="R814" s="225">
        <f t="shared" si="68"/>
        <v>1.4220123138033749</v>
      </c>
      <c r="S814" s="226">
        <f>'WetLitterbags placem_collection'!E155</f>
        <v>42762</v>
      </c>
      <c r="T814" s="226">
        <f>IF('WetLitterbags placem_collection'!G155="","",'WetLitterbags placem_collection'!G155)</f>
        <v>42816</v>
      </c>
      <c r="U814" s="227">
        <f t="shared" si="69"/>
        <v>54</v>
      </c>
      <c r="V814" s="225">
        <f t="shared" si="66"/>
        <v>0.37960000000000016</v>
      </c>
      <c r="W814" s="225">
        <f t="shared" si="67"/>
        <v>0.39672134229530576</v>
      </c>
      <c r="X814">
        <f>IFERROR(INDEX(Rainfall_Wet!$O$2:$O$217,MATCH(B814, Rainfall_Wet!$A$2:$A$217,0)),"")</f>
        <v>206.85140822299999</v>
      </c>
      <c r="Y814" s="231">
        <v>27.96</v>
      </c>
      <c r="Z814" s="231">
        <v>4.9200000000000017</v>
      </c>
      <c r="AA814" s="231">
        <v>67.12</v>
      </c>
      <c r="AB814" s="232" t="s">
        <v>2670</v>
      </c>
      <c r="AC814" s="231">
        <v>1.0437161163134547</v>
      </c>
      <c r="AD814">
        <f>IF('WetLitterbags placem_collection'!AB155="","",'WetLitterbags placem_collection'!AB155)</f>
        <v>2.1</v>
      </c>
      <c r="AE814">
        <f>IF('WetLitterbags placem_collection'!Z155="","",'WetLitterbags placem_collection'!Z155)</f>
        <v>16.399999999999999</v>
      </c>
      <c r="AF814" s="24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placem_collection'!Y155)),"YES","NO")</f>
        <v>NO</v>
      </c>
      <c r="AM814" t="str">
        <f>IF(ISNUMBER(SEARCH("H", 'WetLitterbags placem_collection'!Y155)),"YES","NO")</f>
        <v>NO</v>
      </c>
      <c r="AN814" t="str">
        <f>IF(ISNUMBER(SEARCH("R", 'WetLitterbags placem_collection'!Y155)),"YES","NO")</f>
        <v>NO</v>
      </c>
    </row>
    <row r="815" spans="1:40" ht="15" customHeight="1">
      <c r="A815" s="258" t="s">
        <v>2460</v>
      </c>
      <c r="B815" s="263">
        <f>'Dry_Litterbag Placem_Collection'!A156</f>
        <v>154</v>
      </c>
      <c r="C815" s="263" t="str">
        <f>'Dry_Litterbag Placem_Collection'!B156</f>
        <v xml:space="preserve">Mwantimba
</v>
      </c>
      <c r="D815" s="263" t="s">
        <v>2659</v>
      </c>
      <c r="E815" s="263" t="s">
        <v>20</v>
      </c>
      <c r="F815" s="263">
        <v>4</v>
      </c>
      <c r="G815" s="264" t="str">
        <f>'Dry_Litterbag Placem_Collection'!C156</f>
        <v>Wet_P4_T2</v>
      </c>
      <c r="H815" s="273" t="s">
        <v>3651</v>
      </c>
      <c r="I815" s="274" t="s">
        <v>298</v>
      </c>
      <c r="J815" s="223" t="str">
        <f>'WetLitterbags placem_collection'!Q156</f>
        <v>R485</v>
      </c>
      <c r="K815" s="225">
        <f>IFERROR(INDEX('Green_rooibos initial weight'!$C$5:$C$1749,MATCH(J815, 'Green_rooibos initial weight'!$A$5:$A$1749,0)),"")</f>
        <v>2.242</v>
      </c>
      <c r="L815" s="225">
        <f>IFERROR(K815-(TBIcalc!$H$9+TBIcalc!$H$10),"")</f>
        <v>1.9922</v>
      </c>
      <c r="M815" s="391">
        <f>AVERAGE(Ashed_controlls!$K$12:$K$14)</f>
        <v>2.2816647271287041</v>
      </c>
      <c r="N815" s="225">
        <f t="shared" si="65"/>
        <v>1.9467446753061419</v>
      </c>
      <c r="O815" s="225">
        <f>IF(IFERROR(INDEX('Both teabags AfterWet'!$C$3:$C$841,MATCH(J815,'Both teabags AfterWet'!$A$3:$A$841,0)),"")="","",(IFERROR(INDEX('Both teabags AfterWet'!$C$3:$C$841,MATCH(J815,'Both teabags AfterWet'!$A$3:$A$841,0)),"")))</f>
        <v>1.839</v>
      </c>
      <c r="P815" s="225">
        <f>IFERROR(IF(O815&gt;0,O815-(TBIcalc!$H$9),""),"")</f>
        <v>1.6883999999999999</v>
      </c>
      <c r="Q815" s="225">
        <f>IFERROR(INDEX('Ashed teabags wet'!$K$2:$K$821,MATCH(J815,'Ashed teabags wet'!$A$2:$A$821,0)),"")</f>
        <v>11.924381968008097</v>
      </c>
      <c r="R815" s="225">
        <f t="shared" si="68"/>
        <v>1.4870687348521512</v>
      </c>
      <c r="S815" s="226">
        <f>'WetLitterbags placem_collection'!E156</f>
        <v>42762</v>
      </c>
      <c r="T815" s="226">
        <f>IF('WetLitterbags placem_collection'!G156="","",'WetLitterbags placem_collection'!G156)</f>
        <v>42816</v>
      </c>
      <c r="U815" s="227">
        <f t="shared" si="69"/>
        <v>54</v>
      </c>
      <c r="V815" s="225">
        <f t="shared" si="66"/>
        <v>0.30380000000000007</v>
      </c>
      <c r="W815" s="225">
        <f t="shared" si="67"/>
        <v>0.45967594045399074</v>
      </c>
      <c r="X815">
        <f>IFERROR(INDEX(Rainfall_Wet!$O$2:$O$217,MATCH(B815, Rainfall_Wet!$A$2:$A$217,0)),"")</f>
        <v>206.85140822299999</v>
      </c>
      <c r="Y815" s="231">
        <v>27.96</v>
      </c>
      <c r="Z815" s="231">
        <v>4.9200000000000017</v>
      </c>
      <c r="AA815" s="231">
        <v>67.12</v>
      </c>
      <c r="AB815" s="232" t="s">
        <v>2670</v>
      </c>
      <c r="AC815" s="231">
        <v>2.0437161163134498</v>
      </c>
      <c r="AD815">
        <f>IF('WetLitterbags placem_collection'!AB156="","",'WetLitterbags placem_collection'!AB156)</f>
        <v>2.15</v>
      </c>
      <c r="AE815">
        <f>IF('WetLitterbags placem_collection'!Z156="","",'WetLitterbags placem_collection'!Z156)</f>
        <v>9</v>
      </c>
      <c r="AF815" s="24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placem_collection'!Y156)),"YES","NO")</f>
        <v>NO</v>
      </c>
      <c r="AM815" t="str">
        <f>IF(ISNUMBER(SEARCH("H", 'WetLitterbags placem_collection'!Y156)),"YES","NO")</f>
        <v>NO</v>
      </c>
      <c r="AN815" t="str">
        <f>IF(ISNUMBER(SEARCH("R", 'WetLitterbags placem_collection'!Y156)),"YES","NO")</f>
        <v>NO</v>
      </c>
    </row>
    <row r="816" spans="1:40" ht="15" customHeight="1">
      <c r="A816" s="258" t="s">
        <v>2460</v>
      </c>
      <c r="B816" s="263">
        <f>'Dry_Litterbag Placem_Collection'!A157</f>
        <v>155</v>
      </c>
      <c r="C816" s="263" t="str">
        <f>'Dry_Litterbag Placem_Collection'!B157</f>
        <v xml:space="preserve">Mwantimba
</v>
      </c>
      <c r="D816" s="263" t="s">
        <v>2659</v>
      </c>
      <c r="E816" s="263" t="s">
        <v>20</v>
      </c>
      <c r="F816" s="263">
        <v>4</v>
      </c>
      <c r="G816" s="264" t="str">
        <f>'Dry_Litterbag Placem_Collection'!C157</f>
        <v>Wet_P4_T3</v>
      </c>
      <c r="H816" s="273" t="s">
        <v>3651</v>
      </c>
      <c r="I816" s="274" t="s">
        <v>298</v>
      </c>
      <c r="J816" s="223" t="str">
        <f>'WetLitterbags placem_collection'!Q157</f>
        <v>R556</v>
      </c>
      <c r="K816" s="225">
        <f>IFERROR(INDEX('Green_rooibos initial weight'!$C$5:$C$1749,MATCH(J816, 'Green_rooibos initial weight'!$A$5:$A$1749,0)),"")</f>
        <v>2.0830000000000002</v>
      </c>
      <c r="L816" s="225">
        <f>IFERROR(K816-(TBIcalc!$H$9+TBIcalc!$H$10),"")</f>
        <v>1.8332000000000002</v>
      </c>
      <c r="M816" s="391">
        <f>AVERAGE(Ashed_controlls!$K$12:$K$14)</f>
        <v>2.2816647271287041</v>
      </c>
      <c r="N816" s="225">
        <f t="shared" si="65"/>
        <v>1.7913725222222767</v>
      </c>
      <c r="O816" s="225">
        <f>IF(IFERROR(INDEX('Both teabags AfterWet'!$C$3:$C$841,MATCH(J816,'Both teabags AfterWet'!$A$3:$A$841,0)),"")="","",(IFERROR(INDEX('Both teabags AfterWet'!$C$3:$C$841,MATCH(J816,'Both teabags AfterWet'!$A$3:$A$841,0)),"")))</f>
        <v>1.643</v>
      </c>
      <c r="P816" s="225">
        <f>IFERROR(IF(O816&gt;0,O816-(TBIcalc!$H$9),""),"")</f>
        <v>1.4923999999999999</v>
      </c>
      <c r="Q816" s="225">
        <f>IFERROR(INDEX('Ashed teabags wet'!$K$2:$K$821,MATCH(J816,'Ashed teabags wet'!$A$2:$A$821,0)),"")</f>
        <v>7.5886170743882877</v>
      </c>
      <c r="R816" s="225">
        <f t="shared" si="68"/>
        <v>1.3791474787818292</v>
      </c>
      <c r="S816" s="226">
        <f>'WetLitterbags placem_collection'!E157</f>
        <v>42762</v>
      </c>
      <c r="T816" s="226">
        <f>IF('WetLitterbags placem_collection'!G157="","",'WetLitterbags placem_collection'!G157)</f>
        <v>42816</v>
      </c>
      <c r="U816" s="227">
        <f t="shared" si="69"/>
        <v>54</v>
      </c>
      <c r="V816" s="225">
        <f t="shared" si="66"/>
        <v>0.34080000000000021</v>
      </c>
      <c r="W816" s="225">
        <f t="shared" si="67"/>
        <v>0.41222504344044753</v>
      </c>
      <c r="X816">
        <f>IFERROR(INDEX(Rainfall_Wet!$O$2:$O$217,MATCH(B816, Rainfall_Wet!$A$2:$A$217,0)),"")</f>
        <v>206.85140822299999</v>
      </c>
      <c r="Y816" s="231">
        <v>27.96</v>
      </c>
      <c r="Z816" s="231">
        <v>4.9200000000000017</v>
      </c>
      <c r="AA816" s="231">
        <v>67.12</v>
      </c>
      <c r="AB816" s="232" t="s">
        <v>2670</v>
      </c>
      <c r="AC816" s="231">
        <v>3.0437161163134498</v>
      </c>
      <c r="AD816">
        <f>IF('WetLitterbags placem_collection'!AB157="","",'WetLitterbags placem_collection'!AB157)</f>
        <v>1.2</v>
      </c>
      <c r="AE816">
        <f>IF('WetLitterbags placem_collection'!Z157="","",'WetLitterbags placem_collection'!Z157)</f>
        <v>11</v>
      </c>
      <c r="AF816" s="24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placem_collection'!Y157)),"YES","NO")</f>
        <v>NO</v>
      </c>
      <c r="AM816" t="str">
        <f>IF(ISNUMBER(SEARCH("H", 'WetLitterbags placem_collection'!Y157)),"YES","NO")</f>
        <v>NO</v>
      </c>
      <c r="AN816" t="str">
        <f>IF(ISNUMBER(SEARCH("R", 'WetLitterbags placem_collection'!Y157)),"YES","NO")</f>
        <v>NO</v>
      </c>
    </row>
    <row r="817" spans="1:40" ht="15" customHeight="1">
      <c r="A817" s="258" t="s">
        <v>2460</v>
      </c>
      <c r="B817" s="263">
        <f>'Dry_Litterbag Placem_Collection'!A158</f>
        <v>156</v>
      </c>
      <c r="C817" s="263" t="str">
        <f>'Dry_Litterbag Placem_Collection'!B158</f>
        <v xml:space="preserve">Mwantimba
</v>
      </c>
      <c r="D817" s="263" t="s">
        <v>2659</v>
      </c>
      <c r="E817" s="263" t="s">
        <v>20</v>
      </c>
      <c r="F817" s="263">
        <v>4</v>
      </c>
      <c r="G817" s="264" t="str">
        <f>'Dry_Litterbag Placem_Collection'!C158</f>
        <v>Wet_P4_T4</v>
      </c>
      <c r="H817" s="273" t="s">
        <v>3651</v>
      </c>
      <c r="I817" s="274" t="s">
        <v>298</v>
      </c>
      <c r="J817" s="223" t="str">
        <f>'WetLitterbags placem_collection'!Q158</f>
        <v>R464</v>
      </c>
      <c r="K817" s="225">
        <f>IFERROR(INDEX('Green_rooibos initial weight'!$C$5:$C$1749,MATCH(J817, 'Green_rooibos initial weight'!$A$5:$A$1749,0)),"")</f>
        <v>2.2040000000000002</v>
      </c>
      <c r="L817" s="225">
        <f>IFERROR(K817-(TBIcalc!$H$9+TBIcalc!$H$10),"")</f>
        <v>1.9542000000000002</v>
      </c>
      <c r="M817" s="391">
        <f>AVERAGE(Ashed_controlls!$K$12:$K$14)</f>
        <v>2.2816647271287041</v>
      </c>
      <c r="N817" s="225">
        <f t="shared" si="65"/>
        <v>1.909611707902451</v>
      </c>
      <c r="O817" s="225">
        <f>IF(IFERROR(INDEX('Both teabags AfterWet'!$C$3:$C$841,MATCH(J817,'Both teabags AfterWet'!$A$3:$A$841,0)),"")="","",(IFERROR(INDEX('Both teabags AfterWet'!$C$3:$C$841,MATCH(J817,'Both teabags AfterWet'!$A$3:$A$841,0)),"")))</f>
        <v>1.802</v>
      </c>
      <c r="P817" s="225">
        <f>IFERROR(IF(O817&gt;0,O817-(TBIcalc!$H$9),""),"")</f>
        <v>1.6514</v>
      </c>
      <c r="Q817" s="225">
        <f>IFERROR(INDEX('Ashed teabags wet'!$K$2:$K$821,MATCH(J817,'Ashed teabags wet'!$A$2:$A$821,0)),"")</f>
        <v>8.8737201365180916</v>
      </c>
      <c r="R817" s="225">
        <f t="shared" si="68"/>
        <v>1.5048593856655401</v>
      </c>
      <c r="S817" s="226">
        <f>'WetLitterbags placem_collection'!E158</f>
        <v>42762</v>
      </c>
      <c r="T817" s="226">
        <f>IF('WetLitterbags placem_collection'!G158="","",'WetLitterbags placem_collection'!G158)</f>
        <v>42816</v>
      </c>
      <c r="U817" s="227">
        <f t="shared" si="69"/>
        <v>54</v>
      </c>
      <c r="V817" s="225">
        <f t="shared" si="66"/>
        <v>0.30280000000000018</v>
      </c>
      <c r="W817" s="225">
        <f t="shared" si="67"/>
        <v>0.40475232223691093</v>
      </c>
      <c r="X817">
        <f>IFERROR(INDEX(Rainfall_Wet!$O$2:$O$217,MATCH(B817, Rainfall_Wet!$A$2:$A$217,0)),"")</f>
        <v>206.85140822299999</v>
      </c>
      <c r="Y817" s="231">
        <v>27.96</v>
      </c>
      <c r="Z817" s="231">
        <v>4.9200000000000017</v>
      </c>
      <c r="AA817" s="231">
        <v>67.12</v>
      </c>
      <c r="AB817" s="232" t="s">
        <v>2670</v>
      </c>
      <c r="AC817" s="231">
        <v>4.0437161163134503</v>
      </c>
      <c r="AD817">
        <f>IF('WetLitterbags placem_collection'!AB158="","",'WetLitterbags placem_collection'!AB158)</f>
        <v>1.55</v>
      </c>
      <c r="AE817">
        <f>IF('WetLitterbags placem_collection'!Z158="","",'WetLitterbags placem_collection'!Z158)</f>
        <v>9.1</v>
      </c>
      <c r="AF817" s="24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placem_collection'!Y158)),"YES","NO")</f>
        <v>NO</v>
      </c>
      <c r="AM817" t="str">
        <f>IF(ISNUMBER(SEARCH("H", 'WetLitterbags placem_collection'!Y158)),"YES","NO")</f>
        <v>NO</v>
      </c>
      <c r="AN817" t="str">
        <f>IF(ISNUMBER(SEARCH("R", 'WetLitterbags placem_collection'!Y158)),"YES","NO")</f>
        <v>YES</v>
      </c>
    </row>
    <row r="818" spans="1:40" ht="15" customHeight="1">
      <c r="A818" s="258" t="s">
        <v>2460</v>
      </c>
      <c r="B818" s="263">
        <f>'Dry_Litterbag Placem_Collection'!A159</f>
        <v>157</v>
      </c>
      <c r="C818" s="263" t="str">
        <f>'Dry_Litterbag Placem_Collection'!B159</f>
        <v xml:space="preserve">Mwantimba
</v>
      </c>
      <c r="D818" s="263" t="s">
        <v>2659</v>
      </c>
      <c r="E818" s="263" t="s">
        <v>20</v>
      </c>
      <c r="F818" s="263">
        <v>4</v>
      </c>
      <c r="G818" s="264" t="str">
        <f>'Dry_Litterbag Placem_Collection'!C159</f>
        <v>Wet_P4_T5</v>
      </c>
      <c r="H818" s="273" t="s">
        <v>3651</v>
      </c>
      <c r="I818" s="274" t="s">
        <v>298</v>
      </c>
      <c r="J818" s="223" t="str">
        <f>'WetLitterbags placem_collection'!Q159</f>
        <v>R35</v>
      </c>
      <c r="K818" s="225">
        <f>IFERROR(INDEX('Green_rooibos initial weight'!$C$5:$C$1749,MATCH(J818, 'Green_rooibos initial weight'!$A$5:$A$1749,0)),"")</f>
        <v>2.0630000000000002</v>
      </c>
      <c r="L818" s="225">
        <f>IFERROR(K818-(TBIcalc!$H$9+TBIcalc!$H$10),"")</f>
        <v>1.8132000000000001</v>
      </c>
      <c r="M818" s="391">
        <f>AVERAGE(Ashed_controlls!$K$12:$K$14)</f>
        <v>2.2816647271287041</v>
      </c>
      <c r="N818" s="225">
        <f t="shared" si="65"/>
        <v>1.7718288551677024</v>
      </c>
      <c r="O818" s="225">
        <f>IF(IFERROR(INDEX('Both teabags AfterWet'!$C$3:$C$841,MATCH(J818,'Both teabags AfterWet'!$A$3:$A$841,0)),"")="","",(IFERROR(INDEX('Both teabags AfterWet'!$C$3:$C$841,MATCH(J818,'Both teabags AfterWet'!$A$3:$A$841,0)),"")))</f>
        <v>1.994</v>
      </c>
      <c r="P818" s="225">
        <f>IFERROR(IF(O818&gt;0,O818-(TBIcalc!$H$9),""),"")</f>
        <v>1.8433999999999999</v>
      </c>
      <c r="Q818" s="225">
        <f>IFERROR(INDEX('Ashed teabags wet'!$K$2:$K$821,MATCH(J818,'Ashed teabags wet'!$A$2:$A$821,0)),"")</f>
        <v>10.019743336623607</v>
      </c>
      <c r="R818" s="225">
        <f t="shared" si="68"/>
        <v>1.6586960513326803</v>
      </c>
      <c r="S818" s="226">
        <f>'WetLitterbags placem_collection'!E159</f>
        <v>42762</v>
      </c>
      <c r="T818" s="226">
        <f>IF('WetLitterbags placem_collection'!G159="","",'WetLitterbags placem_collection'!G159)</f>
        <v>42816</v>
      </c>
      <c r="U818" s="227">
        <f t="shared" si="69"/>
        <v>54</v>
      </c>
      <c r="V818" s="225">
        <f t="shared" si="66"/>
        <v>-3.0199999999999783E-2</v>
      </c>
      <c r="W818" s="225">
        <f t="shared" si="67"/>
        <v>0.11313280383502211</v>
      </c>
      <c r="X818">
        <f>IFERROR(INDEX(Rainfall_Wet!$O$2:$O$217,MATCH(B818, Rainfall_Wet!$A$2:$A$217,0)),"")</f>
        <v>206.85140822299999</v>
      </c>
      <c r="Y818" s="231">
        <v>27.96</v>
      </c>
      <c r="Z818" s="231">
        <v>4.9200000000000017</v>
      </c>
      <c r="AA818" s="231">
        <v>67.12</v>
      </c>
      <c r="AB818" s="232" t="s">
        <v>2670</v>
      </c>
      <c r="AC818" s="231">
        <v>5.0437161163134503</v>
      </c>
      <c r="AD818">
        <f>IF('WetLitterbags placem_collection'!AB159="","",'WetLitterbags placem_collection'!AB159)</f>
        <v>2.2999999999999998</v>
      </c>
      <c r="AE818">
        <f>IF('WetLitterbags placem_collection'!Z159="","",'WetLitterbags placem_collection'!Z159)</f>
        <v>7.7</v>
      </c>
      <c r="AF818" s="24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placem_collection'!Y159)),"YES","NO")</f>
        <v>NO</v>
      </c>
      <c r="AM818" t="str">
        <f>IF(ISNUMBER(SEARCH("H", 'WetLitterbags placem_collection'!Y159)),"YES","NO")</f>
        <v>NO</v>
      </c>
      <c r="AN818" t="str">
        <f>IF(ISNUMBER(SEARCH("R", 'WetLitterbags placem_collection'!Y159)),"YES","NO")</f>
        <v>NO</v>
      </c>
    </row>
    <row r="819" spans="1:40" ht="15" customHeight="1">
      <c r="A819" s="258" t="s">
        <v>2460</v>
      </c>
      <c r="B819" s="263">
        <f>'Dry_Litterbag Placem_Collection'!A160</f>
        <v>158</v>
      </c>
      <c r="C819" s="263" t="str">
        <f>'Dry_Litterbag Placem_Collection'!B160</f>
        <v xml:space="preserve">Mwantimba
</v>
      </c>
      <c r="D819" s="263" t="s">
        <v>2659</v>
      </c>
      <c r="E819" s="263" t="s">
        <v>20</v>
      </c>
      <c r="F819" s="263">
        <v>4</v>
      </c>
      <c r="G819" s="264" t="str">
        <f>'Dry_Litterbag Placem_Collection'!C160</f>
        <v>Wet_P4_T6</v>
      </c>
      <c r="H819" s="273" t="s">
        <v>3651</v>
      </c>
      <c r="I819" s="274" t="s">
        <v>298</v>
      </c>
      <c r="J819" s="223" t="str">
        <f>'WetLitterbags placem_collection'!Q160</f>
        <v>R570</v>
      </c>
      <c r="K819" s="225">
        <f>IFERROR(INDEX('Green_rooibos initial weight'!$C$5:$C$1749,MATCH(J819, 'Green_rooibos initial weight'!$A$5:$A$1749,0)),"")</f>
        <v>2.0910000000000002</v>
      </c>
      <c r="L819" s="225">
        <f>IFERROR(K819-(TBIcalc!$H$9+TBIcalc!$H$10),"")</f>
        <v>1.8412000000000002</v>
      </c>
      <c r="M819" s="391">
        <f>AVERAGE(Ashed_controlls!$K$12:$K$14)</f>
        <v>2.2816647271287041</v>
      </c>
      <c r="N819" s="225">
        <f t="shared" si="65"/>
        <v>1.7991899890441065</v>
      </c>
      <c r="O819" s="225">
        <f>IF(IFERROR(INDEX('Both teabags AfterWet'!$C$3:$C$841,MATCH(J819,'Both teabags AfterWet'!$A$3:$A$841,0)),"")="","",(IFERROR(INDEX('Both teabags AfterWet'!$C$3:$C$841,MATCH(J819,'Both teabags AfterWet'!$A$3:$A$841,0)),"")))</f>
        <v>1.718</v>
      </c>
      <c r="P819" s="225">
        <f>IFERROR(IF(O819&gt;0,O819-(TBIcalc!$H$9),""),"")</f>
        <v>1.5673999999999999</v>
      </c>
      <c r="Q819" s="225">
        <f>IFERROR(INDEX('Ashed teabags wet'!$K$2:$K$821,MATCH(J819,'Ashed teabags wet'!$A$2:$A$821,0)),"")</f>
        <v>4.5090180360722032</v>
      </c>
      <c r="R819" s="225">
        <f t="shared" si="68"/>
        <v>1.4967256513026042</v>
      </c>
      <c r="S819" s="226">
        <f>'WetLitterbags placem_collection'!E160</f>
        <v>42762</v>
      </c>
      <c r="T819" s="226">
        <f>IF('WetLitterbags placem_collection'!G160="","",'WetLitterbags placem_collection'!G160)</f>
        <v>42816</v>
      </c>
      <c r="U819" s="227">
        <f t="shared" si="69"/>
        <v>54</v>
      </c>
      <c r="V819" s="225">
        <f t="shared" si="66"/>
        <v>0.27380000000000027</v>
      </c>
      <c r="W819" s="225">
        <f t="shared" si="67"/>
        <v>0.30246433774150239</v>
      </c>
      <c r="X819">
        <f>IFERROR(INDEX(Rainfall_Wet!$O$2:$O$217,MATCH(B819, Rainfall_Wet!$A$2:$A$217,0)),"")</f>
        <v>206.85140822299999</v>
      </c>
      <c r="Y819" s="231">
        <v>27.96</v>
      </c>
      <c r="Z819" s="231">
        <v>4.9200000000000017</v>
      </c>
      <c r="AA819" s="231">
        <v>67.12</v>
      </c>
      <c r="AB819" s="232" t="s">
        <v>2670</v>
      </c>
      <c r="AC819" s="231">
        <v>6.0437161163134503</v>
      </c>
      <c r="AD819">
        <f>IF('WetLitterbags placem_collection'!AB160="","",'WetLitterbags placem_collection'!AB160)</f>
        <v>1.9</v>
      </c>
      <c r="AE819">
        <f>IF('WetLitterbags placem_collection'!Z160="","",'WetLitterbags placem_collection'!Z160)</f>
        <v>4.3</v>
      </c>
      <c r="AF819" s="24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placem_collection'!Y160)),"YES","NO")</f>
        <v>NO</v>
      </c>
      <c r="AM819" t="str">
        <f>IF(ISNUMBER(SEARCH("H", 'WetLitterbags placem_collection'!Y160)),"YES","NO")</f>
        <v>NO</v>
      </c>
      <c r="AN819" t="str">
        <f>IF(ISNUMBER(SEARCH("R", 'WetLitterbags placem_collection'!Y160)),"YES","NO")</f>
        <v>NO</v>
      </c>
    </row>
    <row r="820" spans="1:40" ht="15" customHeight="1">
      <c r="A820" s="258" t="s">
        <v>2460</v>
      </c>
      <c r="B820" s="263">
        <f>'Dry_Litterbag Placem_Collection'!A161</f>
        <v>159</v>
      </c>
      <c r="C820" s="263" t="str">
        <f>'Dry_Litterbag Placem_Collection'!B161</f>
        <v xml:space="preserve">Mwantimba
</v>
      </c>
      <c r="D820" s="263" t="s">
        <v>2659</v>
      </c>
      <c r="E820" s="263" t="s">
        <v>20</v>
      </c>
      <c r="F820" s="263">
        <v>4</v>
      </c>
      <c r="G820" s="264" t="str">
        <f>'Dry_Litterbag Placem_Collection'!C161</f>
        <v>Wet_P4_T7</v>
      </c>
      <c r="H820" s="273" t="s">
        <v>3651</v>
      </c>
      <c r="I820" s="274" t="s">
        <v>298</v>
      </c>
      <c r="J820" s="223" t="str">
        <f>'WetLitterbags placem_collection'!Q161</f>
        <v>R439</v>
      </c>
      <c r="K820" s="225">
        <f>IFERROR(INDEX('Green_rooibos initial weight'!$C$5:$C$1749,MATCH(J820, 'Green_rooibos initial weight'!$A$5:$A$1749,0)),"")</f>
        <v>2.2450000000000001</v>
      </c>
      <c r="L820" s="225">
        <f>IFERROR(K820-(TBIcalc!$H$9+TBIcalc!$H$10),"")</f>
        <v>1.9952000000000001</v>
      </c>
      <c r="M820" s="391">
        <f>AVERAGE(Ashed_controlls!$K$12:$K$14)</f>
        <v>2.2816647271287041</v>
      </c>
      <c r="N820" s="225">
        <f t="shared" si="65"/>
        <v>1.9496762253643283</v>
      </c>
      <c r="O820" s="225" t="str">
        <f>IF(IFERROR(INDEX('Both teabags AfterWet'!$C$3:$C$841,MATCH(J820,'Both teabags AfterWet'!$A$3:$A$841,0)),"")="","",(IFERROR(INDEX('Both teabags AfterWet'!$C$3:$C$841,MATCH(J820,'Both teabags AfterWet'!$A$3:$A$841,0)),"")))</f>
        <v/>
      </c>
      <c r="P820" s="225" t="str">
        <f>IFERROR(IF(O820&gt;0,O820-(TBIcalc!$H$9),""),"")</f>
        <v/>
      </c>
      <c r="Q820" s="225" t="str">
        <f>IFERROR(INDEX('Ashed teabags wet'!$K$2:$K$821,MATCH(J820,'Ashed teabags wet'!$A$2:$A$821,0)),"")</f>
        <v/>
      </c>
      <c r="R820" s="225" t="str">
        <f t="shared" si="68"/>
        <v/>
      </c>
      <c r="S820" s="226">
        <f>'WetLitterbags placem_collection'!E161</f>
        <v>42762</v>
      </c>
      <c r="T820" s="226">
        <f>IF('WetLitterbags placem_collection'!G161="","",'WetLitterbags placem_collection'!G161)</f>
        <v>42816</v>
      </c>
      <c r="U820" s="227">
        <f t="shared" si="69"/>
        <v>54</v>
      </c>
      <c r="V820" s="225" t="str">
        <f t="shared" si="66"/>
        <v/>
      </c>
      <c r="W820" s="225" t="str">
        <f t="shared" si="67"/>
        <v/>
      </c>
      <c r="X820">
        <f>IFERROR(INDEX(Rainfall_Wet!$O$2:$O$217,MATCH(B820, Rainfall_Wet!$A$2:$A$217,0)),"")</f>
        <v>206.85140822299999</v>
      </c>
      <c r="Y820" s="231">
        <v>27.96</v>
      </c>
      <c r="Z820" s="231">
        <v>4.9200000000000017</v>
      </c>
      <c r="AA820" s="231">
        <v>67.12</v>
      </c>
      <c r="AB820" s="232" t="s">
        <v>2670</v>
      </c>
      <c r="AC820" s="231">
        <v>7.0437161163134503</v>
      </c>
      <c r="AD820">
        <f>IF('WetLitterbags placem_collection'!AB161="","",'WetLitterbags placem_collection'!AB161)</f>
        <v>2.65</v>
      </c>
      <c r="AE820">
        <f>IF('WetLitterbags placem_collection'!Z161="","",'WetLitterbags placem_collection'!Z161)</f>
        <v>0</v>
      </c>
      <c r="AF820" s="24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placem_collection'!Y161)),"YES","NO")</f>
        <v>NO</v>
      </c>
      <c r="AM820" t="str">
        <f>IF(ISNUMBER(SEARCH("H", 'WetLitterbags placem_collection'!Y161)),"YES","NO")</f>
        <v>NO</v>
      </c>
      <c r="AN820" t="str">
        <f>IF(ISNUMBER(SEARCH("R", 'WetLitterbags placem_collection'!Y161)),"YES","NO")</f>
        <v>NO</v>
      </c>
    </row>
    <row r="821" spans="1:40" ht="15" customHeight="1">
      <c r="A821" s="258" t="s">
        <v>2460</v>
      </c>
      <c r="B821" s="263">
        <f>'Dry_Litterbag Placem_Collection'!A162</f>
        <v>160</v>
      </c>
      <c r="C821" s="263" t="str">
        <f>'Dry_Litterbag Placem_Collection'!B162</f>
        <v xml:space="preserve">Mwantimba
</v>
      </c>
      <c r="D821" s="263" t="s">
        <v>2659</v>
      </c>
      <c r="E821" s="263" t="s">
        <v>20</v>
      </c>
      <c r="F821" s="263">
        <v>4</v>
      </c>
      <c r="G821" s="264" t="str">
        <f>'Dry_Litterbag Placem_Collection'!C162</f>
        <v>Wet_P4_T8</v>
      </c>
      <c r="H821" s="273" t="s">
        <v>3651</v>
      </c>
      <c r="I821" s="274" t="s">
        <v>298</v>
      </c>
      <c r="J821" s="223" t="str">
        <f>'WetLitterbags placem_collection'!Q162</f>
        <v>R461</v>
      </c>
      <c r="K821" s="225">
        <f>IFERROR(INDEX('Green_rooibos initial weight'!$C$5:$C$1749,MATCH(J821, 'Green_rooibos initial weight'!$A$5:$A$1749,0)),"")</f>
        <v>2.1930000000000001</v>
      </c>
      <c r="L821" s="225">
        <f>IFERROR(K821-(TBIcalc!$H$9+TBIcalc!$H$10),"")</f>
        <v>1.9432</v>
      </c>
      <c r="M821" s="391">
        <f>AVERAGE(Ashed_controlls!$K$12:$K$14)</f>
        <v>2.2816647271287041</v>
      </c>
      <c r="N821" s="225">
        <f t="shared" si="65"/>
        <v>1.8988626910224351</v>
      </c>
      <c r="O821" s="225">
        <f>IF(IFERROR(INDEX('Both teabags AfterWet'!$C$3:$C$841,MATCH(J821,'Both teabags AfterWet'!$A$3:$A$841,0)),"")="","",(IFERROR(INDEX('Both teabags AfterWet'!$C$3:$C$841,MATCH(J821,'Both teabags AfterWet'!$A$3:$A$841,0)),"")))</f>
        <v>1.744</v>
      </c>
      <c r="P821" s="225">
        <f>IFERROR(IF(O821&gt;0,O821-(TBIcalc!$H$9),""),"")</f>
        <v>1.5933999999999999</v>
      </c>
      <c r="Q821" s="225">
        <f>IFERROR(INDEX('Ashed teabags wet'!$K$2:$K$821,MATCH(J821,'Ashed teabags wet'!$A$2:$A$821,0)),"")</f>
        <v>4.181184668989598</v>
      </c>
      <c r="R821" s="225">
        <f t="shared" si="68"/>
        <v>1.5267770034843198</v>
      </c>
      <c r="S821" s="226">
        <f>'WetLitterbags placem_collection'!E162</f>
        <v>42762</v>
      </c>
      <c r="T821" s="226">
        <f>IF('WetLitterbags placem_collection'!G162="","",'WetLitterbags placem_collection'!G162)</f>
        <v>42816</v>
      </c>
      <c r="U821" s="227">
        <f t="shared" si="69"/>
        <v>54</v>
      </c>
      <c r="V821" s="225">
        <f t="shared" si="66"/>
        <v>0.34980000000000011</v>
      </c>
      <c r="W821" s="225">
        <f t="shared" si="67"/>
        <v>0.37208568753811533</v>
      </c>
      <c r="X821">
        <f>IFERROR(INDEX(Rainfall_Wet!$O$2:$O$217,MATCH(B821, Rainfall_Wet!$A$2:$A$217,0)),"")</f>
        <v>206.85140822299999</v>
      </c>
      <c r="Y821" s="231">
        <v>27.96</v>
      </c>
      <c r="Z821" s="231">
        <v>4.9200000000000017</v>
      </c>
      <c r="AA821" s="231">
        <v>67.12</v>
      </c>
      <c r="AB821" s="232" t="s">
        <v>2670</v>
      </c>
      <c r="AC821" s="231">
        <v>8.0437161163134494</v>
      </c>
      <c r="AD821">
        <f>IF('WetLitterbags placem_collection'!AB162="","",'WetLitterbags placem_collection'!AB162)</f>
        <v>0.8</v>
      </c>
      <c r="AE821">
        <f>IF('WetLitterbags placem_collection'!Z162="","",'WetLitterbags placem_collection'!Z162)</f>
        <v>10.8</v>
      </c>
      <c r="AF821" s="24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placem_collection'!Y162)),"YES","NO")</f>
        <v>NO</v>
      </c>
      <c r="AM821" t="str">
        <f>IF(ISNUMBER(SEARCH("H", 'WetLitterbags placem_collection'!Y162)),"YES","NO")</f>
        <v>NO</v>
      </c>
      <c r="AN821" t="str">
        <f>IF(ISNUMBER(SEARCH("R", 'WetLitterbags placem_collection'!Y162)),"YES","NO")</f>
        <v>NO</v>
      </c>
    </row>
    <row r="822" spans="1:40" ht="15" customHeight="1">
      <c r="A822" s="258" t="s">
        <v>2460</v>
      </c>
      <c r="B822" s="263">
        <f>'Dry_Litterbag Placem_Collection'!A163</f>
        <v>161</v>
      </c>
      <c r="C822" s="263" t="str">
        <f>'Dry_Litterbag Placem_Collection'!B163</f>
        <v>Handajega</v>
      </c>
      <c r="D822" s="263" t="s">
        <v>2659</v>
      </c>
      <c r="E822" s="263" t="s">
        <v>2661</v>
      </c>
      <c r="F822" s="263">
        <v>1</v>
      </c>
      <c r="G822" s="264" t="str">
        <f>'Dry_Litterbag Placem_Collection'!C163</f>
        <v>Wet_W1_T1</v>
      </c>
      <c r="H822" s="273" t="s">
        <v>3651</v>
      </c>
      <c r="I822" s="274" t="s">
        <v>298</v>
      </c>
      <c r="J822" s="223" t="str">
        <f>'WetLitterbags placem_collection'!Q163</f>
        <v>R253</v>
      </c>
      <c r="K822" s="225">
        <f>IFERROR(INDEX('Green_rooibos initial weight'!$C$5:$C$1749,MATCH(J822, 'Green_rooibos initial weight'!$A$5:$A$1749,0)),"")</f>
        <v>2.2130000000000001</v>
      </c>
      <c r="L822" s="225">
        <f>IFERROR(K822-(TBIcalc!$H$9+TBIcalc!$H$10),"")</f>
        <v>1.9632000000000001</v>
      </c>
      <c r="M822" s="391">
        <f>AVERAGE(Ashed_controlls!$K$12:$K$14)</f>
        <v>2.2816647271287041</v>
      </c>
      <c r="N822" s="225">
        <f t="shared" si="65"/>
        <v>1.9184063580770094</v>
      </c>
      <c r="O822" s="225">
        <f>IF(IFERROR(INDEX('Both teabags AfterWet'!$C$3:$C$841,MATCH(J822,'Both teabags AfterWet'!$A$3:$A$841,0)),"")="","",(IFERROR(INDEX('Both teabags AfterWet'!$C$3:$C$841,MATCH(J822,'Both teabags AfterWet'!$A$3:$A$841,0)),"")))</f>
        <v>1.7033</v>
      </c>
      <c r="P822" s="225">
        <f>IFERROR(IF(O822&gt;0,O822-(TBIcalc!$H$9),""),"")</f>
        <v>1.5527</v>
      </c>
      <c r="Q822" s="225">
        <f>IFERROR(INDEX('Ashed teabags wet'!$K$2:$K$821,MATCH(J822,'Ashed teabags wet'!$A$2:$A$821,0)),"")</f>
        <v>2.4952015355091484</v>
      </c>
      <c r="R822" s="225">
        <f t="shared" si="68"/>
        <v>1.5139570057581495</v>
      </c>
      <c r="S822" s="226">
        <f>'WetLitterbags placem_collection'!E163</f>
        <v>42763</v>
      </c>
      <c r="T822" s="226">
        <f>IF('WetLitterbags placem_collection'!G163="","",'WetLitterbags placem_collection'!G163)</f>
        <v>42814</v>
      </c>
      <c r="U822" s="227">
        <f t="shared" si="69"/>
        <v>51</v>
      </c>
      <c r="V822" s="225">
        <f t="shared" si="66"/>
        <v>0.41050000000000009</v>
      </c>
      <c r="W822" s="225">
        <f t="shared" si="67"/>
        <v>0.40444935231885992</v>
      </c>
      <c r="X822">
        <f>IFERROR(INDEX(Rainfall_Wet!$O$2:$O$217,MATCH(B822, Rainfall_Wet!$A$2:$A$217,0)),"")</f>
        <v>181.383442621</v>
      </c>
      <c r="Y822" s="231">
        <v>21.96</v>
      </c>
      <c r="Z822" s="231">
        <v>4.9199999999999982</v>
      </c>
      <c r="AA822" s="231">
        <v>73.12</v>
      </c>
      <c r="AB822" s="232" t="s">
        <v>2670</v>
      </c>
      <c r="AC822" s="231">
        <v>1.2416954164613114</v>
      </c>
      <c r="AD822">
        <f>IF('WetLitterbags placem_collection'!AB163="","",'WetLitterbags placem_collection'!AB163)</f>
        <v>7.6</v>
      </c>
      <c r="AE822">
        <f>IF('WetLitterbags placem_collection'!Z163="","",'WetLitterbags placem_collection'!Z163)</f>
        <v>35.799999999999997</v>
      </c>
      <c r="AF822" s="24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placem_collection'!Y163)),"YES","NO")</f>
        <v>NO</v>
      </c>
      <c r="AM822" t="str">
        <f>IF(ISNUMBER(SEARCH("H", 'WetLitterbags placem_collection'!Y163)),"YES","NO")</f>
        <v>NO</v>
      </c>
      <c r="AN822" t="str">
        <f>IF(ISNUMBER(SEARCH("R", 'WetLitterbags placem_collection'!Y163)),"YES","NO")</f>
        <v>NO</v>
      </c>
    </row>
    <row r="823" spans="1:40" ht="15" customHeight="1">
      <c r="A823" s="258" t="s">
        <v>2460</v>
      </c>
      <c r="B823" s="263">
        <f>'Dry_Litterbag Placem_Collection'!A164</f>
        <v>162</v>
      </c>
      <c r="C823" s="263" t="str">
        <f>'Dry_Litterbag Placem_Collection'!B164</f>
        <v>Handajega</v>
      </c>
      <c r="D823" s="263" t="s">
        <v>2659</v>
      </c>
      <c r="E823" s="263" t="s">
        <v>2661</v>
      </c>
      <c r="F823" s="263">
        <v>1</v>
      </c>
      <c r="G823" s="264" t="str">
        <f>'Dry_Litterbag Placem_Collection'!C164</f>
        <v>Wet_W1_T2</v>
      </c>
      <c r="H823" s="273" t="s">
        <v>3651</v>
      </c>
      <c r="I823" s="274" t="s">
        <v>298</v>
      </c>
      <c r="J823" s="223" t="str">
        <f>'WetLitterbags placem_collection'!Q164</f>
        <v>R285</v>
      </c>
      <c r="K823" s="225">
        <f>IFERROR(INDEX('Green_rooibos initial weight'!$C$5:$C$1749,MATCH(J823, 'Green_rooibos initial weight'!$A$5:$A$1749,0)),"")</f>
        <v>2.2400000000000002</v>
      </c>
      <c r="L823" s="225">
        <f>IFERROR(K823-(TBIcalc!$H$9+TBIcalc!$H$10),"")</f>
        <v>1.9902000000000002</v>
      </c>
      <c r="M823" s="391">
        <f>AVERAGE(Ashed_controlls!$K$12:$K$14)</f>
        <v>2.2816647271287041</v>
      </c>
      <c r="N823" s="225">
        <f t="shared" si="65"/>
        <v>1.9447903086006848</v>
      </c>
      <c r="O823" s="225">
        <f>IF(IFERROR(INDEX('Both teabags AfterWet'!$C$3:$C$841,MATCH(J823,'Both teabags AfterWet'!$A$3:$A$841,0)),"")="","",(IFERROR(INDEX('Both teabags AfterWet'!$C$3:$C$841,MATCH(J823,'Both teabags AfterWet'!$A$3:$A$841,0)),"")))</f>
        <v>1.6621999999999999</v>
      </c>
      <c r="P823" s="225">
        <f>IFERROR(IF(O823&gt;0,O823-(TBIcalc!$H$9),""),"")</f>
        <v>1.5115999999999998</v>
      </c>
      <c r="Q823" s="225">
        <f>IFERROR(INDEX('Ashed teabags wet'!$K$2:$K$821,MATCH(J823,'Ashed teabags wet'!$A$2:$A$821,0)),"")</f>
        <v>1.8419777023749115</v>
      </c>
      <c r="R823" s="225">
        <f t="shared" si="68"/>
        <v>1.4837566650509006</v>
      </c>
      <c r="S823" s="226">
        <f>'WetLitterbags placem_collection'!E164</f>
        <v>42763</v>
      </c>
      <c r="T823" s="226">
        <f>IF('WetLitterbags placem_collection'!G164="","",'WetLitterbags placem_collection'!G164)</f>
        <v>42814</v>
      </c>
      <c r="U823" s="227">
        <f t="shared" si="69"/>
        <v>51</v>
      </c>
      <c r="V823" s="225">
        <f t="shared" si="66"/>
        <v>0.47860000000000036</v>
      </c>
      <c r="W823" s="225">
        <f t="shared" si="67"/>
        <v>0.46103364354978416</v>
      </c>
      <c r="X823">
        <f>IFERROR(INDEX(Rainfall_Wet!$O$2:$O$217,MATCH(B823, Rainfall_Wet!$A$2:$A$217,0)),"")</f>
        <v>181.383442621</v>
      </c>
      <c r="Y823" s="231">
        <v>21.96</v>
      </c>
      <c r="Z823" s="231">
        <v>4.9199999999999982</v>
      </c>
      <c r="AA823" s="231">
        <v>73.12</v>
      </c>
      <c r="AB823" s="232" t="s">
        <v>2670</v>
      </c>
      <c r="AC823" s="231">
        <v>2.2416954164613099</v>
      </c>
      <c r="AD823">
        <f>IF('WetLitterbags placem_collection'!AB164="","",'WetLitterbags placem_collection'!AB164)</f>
        <v>4.0999999999999996</v>
      </c>
      <c r="AE823">
        <f>IF('WetLitterbags placem_collection'!Z164="","",'WetLitterbags placem_collection'!Z164)</f>
        <v>31.4</v>
      </c>
      <c r="AF823" s="24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placem_collection'!Y164)),"YES","NO")</f>
        <v>NO</v>
      </c>
      <c r="AM823" t="str">
        <f>IF(ISNUMBER(SEARCH("H", 'WetLitterbags placem_collection'!Y164)),"YES","NO")</f>
        <v>NO</v>
      </c>
      <c r="AN823" t="str">
        <f>IF(ISNUMBER(SEARCH("R", 'WetLitterbags placem_collection'!Y164)),"YES","NO")</f>
        <v>YES</v>
      </c>
    </row>
    <row r="824" spans="1:40" ht="15" customHeight="1">
      <c r="A824" s="258" t="s">
        <v>2460</v>
      </c>
      <c r="B824" s="263">
        <f>'Dry_Litterbag Placem_Collection'!A165</f>
        <v>163</v>
      </c>
      <c r="C824" s="263" t="str">
        <f>'Dry_Litterbag Placem_Collection'!B165</f>
        <v>Handajega</v>
      </c>
      <c r="D824" s="263" t="s">
        <v>2659</v>
      </c>
      <c r="E824" s="263" t="s">
        <v>2661</v>
      </c>
      <c r="F824" s="263">
        <v>1</v>
      </c>
      <c r="G824" s="264" t="str">
        <f>'Dry_Litterbag Placem_Collection'!C165</f>
        <v>Wet_W1_T3</v>
      </c>
      <c r="H824" s="273" t="s">
        <v>3651</v>
      </c>
      <c r="I824" s="274" t="s">
        <v>298</v>
      </c>
      <c r="J824" s="223" t="str">
        <f>'WetLitterbags placem_collection'!Q165</f>
        <v>R341</v>
      </c>
      <c r="K824" s="225">
        <f>IFERROR(INDEX('Green_rooibos initial weight'!$C$5:$C$1749,MATCH(J824, 'Green_rooibos initial weight'!$A$5:$A$1749,0)),"")</f>
        <v>2.1560000000000001</v>
      </c>
      <c r="L824" s="225">
        <f>IFERROR(K824-(TBIcalc!$H$9+TBIcalc!$H$10),"")</f>
        <v>1.9062000000000001</v>
      </c>
      <c r="M824" s="391">
        <f>AVERAGE(Ashed_controlls!$K$12:$K$14)</f>
        <v>2.2816647271287041</v>
      </c>
      <c r="N824" s="225">
        <f t="shared" si="65"/>
        <v>1.8627069069714728</v>
      </c>
      <c r="O824" s="225">
        <f>IF(IFERROR(INDEX('Both teabags AfterWet'!$C$3:$C$841,MATCH(J824,'Both teabags AfterWet'!$A$3:$A$841,0)),"")="","",(IFERROR(INDEX('Both teabags AfterWet'!$C$3:$C$841,MATCH(J824,'Both teabags AfterWet'!$A$3:$A$841,0)),"")))</f>
        <v>1.738</v>
      </c>
      <c r="P824" s="225">
        <f>IFERROR(IF(O824&gt;0,O824-(TBIcalc!$H$9),""),"")</f>
        <v>1.5873999999999999</v>
      </c>
      <c r="Q824" s="225">
        <f>IFERROR(INDEX('Ashed teabags wet'!$K$2:$K$821,MATCH(J824,'Ashed teabags wet'!$A$2:$A$821,0)),"")</f>
        <v>2.2942643391521438</v>
      </c>
      <c r="R824" s="225">
        <f t="shared" si="68"/>
        <v>1.5509808478802989</v>
      </c>
      <c r="S824" s="226">
        <f>'WetLitterbags placem_collection'!E165</f>
        <v>42763</v>
      </c>
      <c r="T824" s="226">
        <f>IF('WetLitterbags placem_collection'!G165="","",'WetLitterbags placem_collection'!G165)</f>
        <v>42814</v>
      </c>
      <c r="U824" s="227">
        <f t="shared" si="69"/>
        <v>51</v>
      </c>
      <c r="V824" s="225">
        <f t="shared" si="66"/>
        <v>0.31880000000000019</v>
      </c>
      <c r="W824" s="225">
        <f t="shared" si="67"/>
        <v>0.3117260590911739</v>
      </c>
      <c r="X824">
        <f>IFERROR(INDEX(Rainfall_Wet!$O$2:$O$217,MATCH(B824, Rainfall_Wet!$A$2:$A$217,0)),"")</f>
        <v>181.383442621</v>
      </c>
      <c r="Y824" s="231">
        <v>21.96</v>
      </c>
      <c r="Z824" s="231">
        <v>4.9199999999999982</v>
      </c>
      <c r="AA824" s="231">
        <v>73.12</v>
      </c>
      <c r="AB824" s="232" t="s">
        <v>2670</v>
      </c>
      <c r="AC824" s="231">
        <v>3.2416954164613099</v>
      </c>
      <c r="AD824">
        <f>IF('WetLitterbags placem_collection'!AB165="","",'WetLitterbags placem_collection'!AB165)</f>
        <v>7.8</v>
      </c>
      <c r="AE824">
        <f>IF('WetLitterbags placem_collection'!Z165="","",'WetLitterbags placem_collection'!Z165)</f>
        <v>28.8</v>
      </c>
      <c r="AF824" s="24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placem_collection'!Y165)),"YES","NO")</f>
        <v>NO</v>
      </c>
      <c r="AM824" t="str">
        <f>IF(ISNUMBER(SEARCH("H", 'WetLitterbags placem_collection'!Y165)),"YES","NO")</f>
        <v>NO</v>
      </c>
      <c r="AN824" t="str">
        <f>IF(ISNUMBER(SEARCH("R", 'WetLitterbags placem_collection'!Y165)),"YES","NO")</f>
        <v>NO</v>
      </c>
    </row>
    <row r="825" spans="1:40" ht="15" customHeight="1">
      <c r="A825" s="258" t="s">
        <v>2460</v>
      </c>
      <c r="B825" s="263">
        <f>'Dry_Litterbag Placem_Collection'!A166</f>
        <v>164</v>
      </c>
      <c r="C825" s="263" t="str">
        <f>'Dry_Litterbag Placem_Collection'!B166</f>
        <v>Handajega</v>
      </c>
      <c r="D825" s="263" t="s">
        <v>2659</v>
      </c>
      <c r="E825" s="263" t="s">
        <v>2661</v>
      </c>
      <c r="F825" s="263">
        <v>1</v>
      </c>
      <c r="G825" s="264" t="str">
        <f>'Dry_Litterbag Placem_Collection'!C166</f>
        <v>Wet_W1_T4</v>
      </c>
      <c r="H825" s="273" t="s">
        <v>3651</v>
      </c>
      <c r="I825" s="274" t="s">
        <v>298</v>
      </c>
      <c r="J825" s="223" t="str">
        <f>'WetLitterbags placem_collection'!Q166</f>
        <v>R264</v>
      </c>
      <c r="K825" s="225">
        <f>IFERROR(INDEX('Green_rooibos initial weight'!$C$5:$C$1749,MATCH(J825, 'Green_rooibos initial weight'!$A$5:$A$1749,0)),"")</f>
        <v>2.2250000000000001</v>
      </c>
      <c r="L825" s="225">
        <f>IFERROR(K825-(TBIcalc!$H$9+TBIcalc!$H$10),"")</f>
        <v>1.9752000000000001</v>
      </c>
      <c r="M825" s="391">
        <f>AVERAGE(Ashed_controlls!$K$12:$K$14)</f>
        <v>2.2816647271287041</v>
      </c>
      <c r="N825" s="225">
        <f t="shared" si="65"/>
        <v>1.9301325583097539</v>
      </c>
      <c r="O825" s="225">
        <f>IF(IFERROR(INDEX('Both teabags AfterWet'!$C$3:$C$841,MATCH(J825,'Both teabags AfterWet'!$A$3:$A$841,0)),"")="","",(IFERROR(INDEX('Both teabags AfterWet'!$C$3:$C$841,MATCH(J825,'Both teabags AfterWet'!$A$3:$A$841,0)),"")))</f>
        <v>1.7050000000000001</v>
      </c>
      <c r="P825" s="225">
        <f>IFERROR(IF(O825&gt;0,O825-(TBIcalc!$H$9),""),"")</f>
        <v>1.5544</v>
      </c>
      <c r="Q825" s="225">
        <f>IFERROR(INDEX('Ashed teabags wet'!$K$2:$K$821,MATCH(J825,'Ashed teabags wet'!$A$2:$A$821,0)),"")</f>
        <v>1.9295706705255817</v>
      </c>
      <c r="R825" s="225">
        <f t="shared" si="68"/>
        <v>1.5244067534973504</v>
      </c>
      <c r="S825" s="226">
        <f>'WetLitterbags placem_collection'!E166</f>
        <v>42763</v>
      </c>
      <c r="T825" s="226">
        <f>IF('WetLitterbags placem_collection'!G166="","",'WetLitterbags placem_collection'!G166)</f>
        <v>42814</v>
      </c>
      <c r="U825" s="227">
        <f t="shared" si="69"/>
        <v>51</v>
      </c>
      <c r="V825" s="225">
        <f t="shared" si="66"/>
        <v>0.42080000000000006</v>
      </c>
      <c r="W825" s="225">
        <f t="shared" si="67"/>
        <v>0.4057258048124035</v>
      </c>
      <c r="X825">
        <f>IFERROR(INDEX(Rainfall_Wet!$O$2:$O$217,MATCH(B825, Rainfall_Wet!$A$2:$A$217,0)),"")</f>
        <v>181.383442621</v>
      </c>
      <c r="Y825" s="231">
        <v>21.96</v>
      </c>
      <c r="Z825" s="231">
        <v>4.9199999999999982</v>
      </c>
      <c r="AA825" s="231">
        <v>73.12</v>
      </c>
      <c r="AB825" s="232" t="s">
        <v>2670</v>
      </c>
      <c r="AC825" s="231">
        <v>4.2416954164613099</v>
      </c>
      <c r="AD825">
        <f>IF('WetLitterbags placem_collection'!AB166="","",'WetLitterbags placem_collection'!AB166)</f>
        <v>9.5</v>
      </c>
      <c r="AE825">
        <f>IF('WetLitterbags placem_collection'!Z166="","",'WetLitterbags placem_collection'!Z166)</f>
        <v>20.8</v>
      </c>
      <c r="AF825" s="24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placem_collection'!Y166)),"YES","NO")</f>
        <v>NO</v>
      </c>
      <c r="AM825" t="str">
        <f>IF(ISNUMBER(SEARCH("H", 'WetLitterbags placem_collection'!Y166)),"YES","NO")</f>
        <v>NO</v>
      </c>
      <c r="AN825" t="str">
        <f>IF(ISNUMBER(SEARCH("R", 'WetLitterbags placem_collection'!Y166)),"YES","NO")</f>
        <v>NO</v>
      </c>
    </row>
    <row r="826" spans="1:40" ht="15" customHeight="1">
      <c r="A826" s="258" t="s">
        <v>2460</v>
      </c>
      <c r="B826" s="263">
        <f>'Dry_Litterbag Placem_Collection'!A167</f>
        <v>165</v>
      </c>
      <c r="C826" s="263" t="str">
        <f>'Dry_Litterbag Placem_Collection'!B167</f>
        <v>Handajega</v>
      </c>
      <c r="D826" s="263" t="s">
        <v>2659</v>
      </c>
      <c r="E826" s="263" t="s">
        <v>2661</v>
      </c>
      <c r="F826" s="263">
        <v>1</v>
      </c>
      <c r="G826" s="264" t="str">
        <f>'Dry_Litterbag Placem_Collection'!C167</f>
        <v>Wet_W1_T5</v>
      </c>
      <c r="H826" s="273" t="s">
        <v>3651</v>
      </c>
      <c r="I826" s="274" t="s">
        <v>298</v>
      </c>
      <c r="J826" s="223" t="str">
        <f>'WetLitterbags placem_collection'!Q167</f>
        <v>R411</v>
      </c>
      <c r="K826" s="225">
        <f>IFERROR(INDEX('Green_rooibos initial weight'!$C$5:$C$1749,MATCH(J826, 'Green_rooibos initial weight'!$A$5:$A$1749,0)),"")</f>
        <v>2.2240000000000002</v>
      </c>
      <c r="L826" s="225">
        <f>IFERROR(K826-(TBIcalc!$H$9+TBIcalc!$H$10),"")</f>
        <v>1.9742000000000002</v>
      </c>
      <c r="M826" s="391">
        <f>AVERAGE(Ashed_controlls!$K$12:$K$14)</f>
        <v>2.2816647271287041</v>
      </c>
      <c r="N826" s="225">
        <f t="shared" si="65"/>
        <v>1.9291553749570254</v>
      </c>
      <c r="O826" s="225">
        <f>IF(IFERROR(INDEX('Both teabags AfterWet'!$C$3:$C$841,MATCH(J826,'Both teabags AfterWet'!$A$3:$A$841,0)),"")="","",(IFERROR(INDEX('Both teabags AfterWet'!$C$3:$C$841,MATCH(J826,'Both teabags AfterWet'!$A$3:$A$841,0)),"")))</f>
        <v>1.728</v>
      </c>
      <c r="P826" s="225">
        <f>IFERROR(IF(O826&gt;0,O826-(TBIcalc!$H$9),""),"")</f>
        <v>1.5773999999999999</v>
      </c>
      <c r="Q826" s="225">
        <f>IFERROR(INDEX('Ashed teabags wet'!$K$2:$K$821,MATCH(J826,'Ashed teabags wet'!$A$2:$A$821,0)),"")</f>
        <v>1.9212295869364138</v>
      </c>
      <c r="R826" s="225">
        <f t="shared" si="68"/>
        <v>1.5470945244956649</v>
      </c>
      <c r="S826" s="226">
        <f>'WetLitterbags placem_collection'!E167</f>
        <v>42763</v>
      </c>
      <c r="T826" s="226">
        <f>IF('WetLitterbags placem_collection'!G167="","",'WetLitterbags placem_collection'!G167)</f>
        <v>42814</v>
      </c>
      <c r="U826" s="227">
        <f t="shared" si="69"/>
        <v>51</v>
      </c>
      <c r="V826" s="225">
        <f t="shared" si="66"/>
        <v>0.39680000000000026</v>
      </c>
      <c r="W826" s="225">
        <f t="shared" si="67"/>
        <v>0.38206085046136051</v>
      </c>
      <c r="X826">
        <f>IFERROR(INDEX(Rainfall_Wet!$O$2:$O$217,MATCH(B826, Rainfall_Wet!$A$2:$A$217,0)),"")</f>
        <v>181.383442621</v>
      </c>
      <c r="Y826" s="231">
        <v>21.96</v>
      </c>
      <c r="Z826" s="231">
        <v>4.9199999999999982</v>
      </c>
      <c r="AA826" s="231">
        <v>73.12</v>
      </c>
      <c r="AB826" s="232" t="s">
        <v>2670</v>
      </c>
      <c r="AC826" s="231">
        <v>5.2416954164613099</v>
      </c>
      <c r="AD826">
        <f>IF('WetLitterbags placem_collection'!AB167="","",'WetLitterbags placem_collection'!AB167)</f>
        <v>10.4</v>
      </c>
      <c r="AE826">
        <f>IF('WetLitterbags placem_collection'!Z167="","",'WetLitterbags placem_collection'!Z167)</f>
        <v>13.8</v>
      </c>
      <c r="AF826" s="24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placem_collection'!Y167)),"YES","NO")</f>
        <v>NO</v>
      </c>
      <c r="AM826" t="str">
        <f>IF(ISNUMBER(SEARCH("H", 'WetLitterbags placem_collection'!Y167)),"YES","NO")</f>
        <v>NO</v>
      </c>
      <c r="AN826" t="str">
        <f>IF(ISNUMBER(SEARCH("R", 'WetLitterbags placem_collection'!Y167)),"YES","NO")</f>
        <v>NO</v>
      </c>
    </row>
    <row r="827" spans="1:40" ht="15" customHeight="1">
      <c r="A827" s="258" t="s">
        <v>2460</v>
      </c>
      <c r="B827" s="263">
        <f>'Dry_Litterbag Placem_Collection'!A168</f>
        <v>166</v>
      </c>
      <c r="C827" s="263" t="str">
        <f>'Dry_Litterbag Placem_Collection'!B168</f>
        <v>Handajega</v>
      </c>
      <c r="D827" s="263" t="s">
        <v>2659</v>
      </c>
      <c r="E827" s="263" t="s">
        <v>2661</v>
      </c>
      <c r="F827" s="263">
        <v>1</v>
      </c>
      <c r="G827" s="264" t="str">
        <f>'Dry_Litterbag Placem_Collection'!C168</f>
        <v>Wet_W1_T6</v>
      </c>
      <c r="H827" s="273" t="s">
        <v>3651</v>
      </c>
      <c r="I827" s="274" t="s">
        <v>298</v>
      </c>
      <c r="J827" s="223" t="str">
        <f>'WetLitterbags placem_collection'!Q168</f>
        <v>R259</v>
      </c>
      <c r="K827" s="225">
        <f>IFERROR(INDEX('Green_rooibos initial weight'!$C$5:$C$1749,MATCH(J827, 'Green_rooibos initial weight'!$A$5:$A$1749,0)),"")</f>
        <v>2.218</v>
      </c>
      <c r="L827" s="225">
        <f>IFERROR(K827-(TBIcalc!$H$9+TBIcalc!$H$10),"")</f>
        <v>1.9681999999999999</v>
      </c>
      <c r="M827" s="391">
        <f>AVERAGE(Ashed_controlls!$K$12:$K$14)</f>
        <v>2.2816647271287041</v>
      </c>
      <c r="N827" s="225">
        <f t="shared" si="65"/>
        <v>1.9232922748406529</v>
      </c>
      <c r="O827" s="225">
        <f>IF(IFERROR(INDEX('Both teabags AfterWet'!$C$3:$C$841,MATCH(J827,'Both teabags AfterWet'!$A$3:$A$841,0)),"")="","",(IFERROR(INDEX('Both teabags AfterWet'!$C$3:$C$841,MATCH(J827,'Both teabags AfterWet'!$A$3:$A$841,0)),"")))</f>
        <v>1.7169000000000001</v>
      </c>
      <c r="P827" s="225">
        <f>IFERROR(IF(O827&gt;0,O827-(TBIcalc!$H$9),""),"")</f>
        <v>1.5663</v>
      </c>
      <c r="Q827" s="225">
        <f>IFERROR(INDEX('Ashed teabags wet'!$K$2:$K$821,MATCH(J827,'Ashed teabags wet'!$A$2:$A$821,0)),"")</f>
        <v>1.9326065411295223</v>
      </c>
      <c r="R827" s="225">
        <f t="shared" si="68"/>
        <v>1.5360295837462883</v>
      </c>
      <c r="S827" s="226">
        <f>'WetLitterbags placem_collection'!E168</f>
        <v>42763</v>
      </c>
      <c r="T827" s="226">
        <f>IF('WetLitterbags placem_collection'!G168="","",'WetLitterbags placem_collection'!G168)</f>
        <v>42814</v>
      </c>
      <c r="U827" s="227">
        <f t="shared" si="69"/>
        <v>51</v>
      </c>
      <c r="V827" s="225">
        <f t="shared" si="66"/>
        <v>0.40189999999999992</v>
      </c>
      <c r="W827" s="225">
        <f t="shared" si="67"/>
        <v>0.38726269109436462</v>
      </c>
      <c r="X827">
        <f>IFERROR(INDEX(Rainfall_Wet!$O$2:$O$217,MATCH(B827, Rainfall_Wet!$A$2:$A$217,0)),"")</f>
        <v>181.383442621</v>
      </c>
      <c r="Y827" s="231">
        <v>21.96</v>
      </c>
      <c r="Z827" s="231">
        <v>4.9199999999999982</v>
      </c>
      <c r="AA827" s="231">
        <v>73.12</v>
      </c>
      <c r="AB827" s="232" t="s">
        <v>2670</v>
      </c>
      <c r="AC827" s="231">
        <v>6.2416954164613099</v>
      </c>
      <c r="AD827">
        <f>IF('WetLitterbags placem_collection'!AB168="","",'WetLitterbags placem_collection'!AB168)</f>
        <v>2.1</v>
      </c>
      <c r="AE827">
        <f>IF('WetLitterbags placem_collection'!Z168="","",'WetLitterbags placem_collection'!Z168)</f>
        <v>4.7</v>
      </c>
      <c r="AF827" s="24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placem_collection'!Y168)),"YES","NO")</f>
        <v>NO</v>
      </c>
      <c r="AM827" t="str">
        <f>IF(ISNUMBER(SEARCH("H", 'WetLitterbags placem_collection'!Y168)),"YES","NO")</f>
        <v>NO</v>
      </c>
      <c r="AN827" t="str">
        <f>IF(ISNUMBER(SEARCH("R", 'WetLitterbags placem_collection'!Y168)),"YES","NO")</f>
        <v>NO</v>
      </c>
    </row>
    <row r="828" spans="1:40" ht="15" customHeight="1">
      <c r="A828" s="258" t="s">
        <v>2460</v>
      </c>
      <c r="B828" s="263">
        <f>'Dry_Litterbag Placem_Collection'!A169</f>
        <v>167</v>
      </c>
      <c r="C828" s="263" t="str">
        <f>'Dry_Litterbag Placem_Collection'!B169</f>
        <v>Handajega</v>
      </c>
      <c r="D828" s="263" t="s">
        <v>2659</v>
      </c>
      <c r="E828" s="263" t="s">
        <v>2661</v>
      </c>
      <c r="F828" s="263">
        <v>1</v>
      </c>
      <c r="G828" s="264" t="str">
        <f>'Dry_Litterbag Placem_Collection'!C169</f>
        <v>Wet_W1_T7</v>
      </c>
      <c r="H828" s="273" t="s">
        <v>3651</v>
      </c>
      <c r="I828" s="274" t="s">
        <v>298</v>
      </c>
      <c r="J828" s="223" t="str">
        <f>'WetLitterbags placem_collection'!Q169</f>
        <v>R215</v>
      </c>
      <c r="K828" s="225">
        <f>IFERROR(INDEX('Green_rooibos initial weight'!$C$5:$C$1749,MATCH(J828, 'Green_rooibos initial weight'!$A$5:$A$1749,0)),"")</f>
        <v>2.1949999999999998</v>
      </c>
      <c r="L828" s="225">
        <f>IFERROR(K828-(TBIcalc!$H$9+TBIcalc!$H$10),"")</f>
        <v>1.9451999999999998</v>
      </c>
      <c r="M828" s="391">
        <f>AVERAGE(Ashed_controlls!$K$12:$K$14)</f>
        <v>2.2816647271287041</v>
      </c>
      <c r="N828" s="225">
        <f t="shared" si="65"/>
        <v>1.9008170577278922</v>
      </c>
      <c r="O828" s="225">
        <f>IF(IFERROR(INDEX('Both teabags AfterWet'!$C$3:$C$841,MATCH(J828,'Both teabags AfterWet'!$A$3:$A$841,0)),"")="","",(IFERROR(INDEX('Both teabags AfterWet'!$C$3:$C$841,MATCH(J828,'Both teabags AfterWet'!$A$3:$A$841,0)),"")))</f>
        <v>1.7432000000000001</v>
      </c>
      <c r="P828" s="225">
        <f>IFERROR(IF(O828&gt;0,O828-(TBIcalc!$H$9),""),"")</f>
        <v>1.5926</v>
      </c>
      <c r="Q828" s="225">
        <f>IFERROR(INDEX('Ashed teabags wet'!$K$2:$K$821,MATCH(J828,'Ashed teabags wet'!$A$2:$A$821,0)),"")</f>
        <v>1.8428709990296765</v>
      </c>
      <c r="R828" s="225">
        <f t="shared" si="68"/>
        <v>1.5632504364694535</v>
      </c>
      <c r="S828" s="226">
        <f>'WetLitterbags placem_collection'!E169</f>
        <v>42763</v>
      </c>
      <c r="T828" s="226">
        <f>IF('WetLitterbags placem_collection'!G169="","",'WetLitterbags placem_collection'!G169)</f>
        <v>42814</v>
      </c>
      <c r="U828" s="227">
        <f t="shared" si="69"/>
        <v>51</v>
      </c>
      <c r="V828" s="225">
        <f t="shared" si="66"/>
        <v>0.3525999999999998</v>
      </c>
      <c r="W828" s="225">
        <f t="shared" si="67"/>
        <v>0.33756662125843873</v>
      </c>
      <c r="X828">
        <f>IFERROR(INDEX(Rainfall_Wet!$O$2:$O$217,MATCH(B828, Rainfall_Wet!$A$2:$A$217,0)),"")</f>
        <v>181.383442621</v>
      </c>
      <c r="Y828" s="231">
        <v>21.96</v>
      </c>
      <c r="Z828" s="231">
        <v>4.9199999999999982</v>
      </c>
      <c r="AA828" s="231">
        <v>73.12</v>
      </c>
      <c r="AB828" s="232" t="s">
        <v>2670</v>
      </c>
      <c r="AC828" s="231">
        <v>7.2416954164613099</v>
      </c>
      <c r="AD828">
        <f>IF('WetLitterbags placem_collection'!AB169="","",'WetLitterbags placem_collection'!AB169)</f>
        <v>5.6</v>
      </c>
      <c r="AE828">
        <f>IF('WetLitterbags placem_collection'!Z169="","",'WetLitterbags placem_collection'!Z169)</f>
        <v>4.2</v>
      </c>
      <c r="AF828" s="24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placem_collection'!Y169)),"YES","NO")</f>
        <v>NO</v>
      </c>
      <c r="AM828" t="str">
        <f>IF(ISNUMBER(SEARCH("H", 'WetLitterbags placem_collection'!Y169)),"YES","NO")</f>
        <v>NO</v>
      </c>
      <c r="AN828" t="str">
        <f>IF(ISNUMBER(SEARCH("R", 'WetLitterbags placem_collection'!Y169)),"YES","NO")</f>
        <v>NO</v>
      </c>
    </row>
    <row r="829" spans="1:40" ht="15" customHeight="1">
      <c r="A829" s="258" t="s">
        <v>2460</v>
      </c>
      <c r="B829" s="263">
        <f>'Dry_Litterbag Placem_Collection'!A170</f>
        <v>168</v>
      </c>
      <c r="C829" s="263" t="str">
        <f>'Dry_Litterbag Placem_Collection'!B170</f>
        <v>Handajega</v>
      </c>
      <c r="D829" s="263" t="s">
        <v>2659</v>
      </c>
      <c r="E829" s="263" t="s">
        <v>2661</v>
      </c>
      <c r="F829" s="263">
        <v>1</v>
      </c>
      <c r="G829" s="264" t="str">
        <f>'Dry_Litterbag Placem_Collection'!C170</f>
        <v>Wet_W1_T8</v>
      </c>
      <c r="H829" s="273" t="s">
        <v>3651</v>
      </c>
      <c r="I829" s="274" t="s">
        <v>298</v>
      </c>
      <c r="J829" s="223" t="str">
        <f>'WetLitterbags placem_collection'!Q170</f>
        <v>R322</v>
      </c>
      <c r="K829" s="225">
        <f>IFERROR(INDEX('Green_rooibos initial weight'!$C$5:$C$1749,MATCH(J829, 'Green_rooibos initial weight'!$A$5:$A$1749,0)),"")</f>
        <v>2.1909999999999998</v>
      </c>
      <c r="L829" s="225">
        <f>IFERROR(K829-(TBIcalc!$H$9+TBIcalc!$H$10),"")</f>
        <v>1.9411999999999998</v>
      </c>
      <c r="M829" s="391">
        <f>AVERAGE(Ashed_controlls!$K$12:$K$14)</f>
        <v>2.2816647271287041</v>
      </c>
      <c r="N829" s="225">
        <f t="shared" si="65"/>
        <v>1.8969083243169773</v>
      </c>
      <c r="O829" s="225">
        <f>IF(IFERROR(INDEX('Both teabags AfterWet'!$C$3:$C$841,MATCH(J829,'Both teabags AfterWet'!$A$3:$A$841,0)),"")="","",(IFERROR(INDEX('Both teabags AfterWet'!$C$3:$C$841,MATCH(J829,'Both teabags AfterWet'!$A$3:$A$841,0)),"")))</f>
        <v>1.6950000000000001</v>
      </c>
      <c r="P829" s="225">
        <f>IFERROR(IF(O829&gt;0,O829-(TBIcalc!$H$9),""),"")</f>
        <v>1.5444</v>
      </c>
      <c r="Q829" s="225">
        <f>IFERROR(INDEX('Ashed teabags wet'!$K$2:$K$821,MATCH(J829,'Ashed teabags wet'!$A$2:$A$821,0)),"")</f>
        <v>2.1371769383691874</v>
      </c>
      <c r="R829" s="225">
        <f t="shared" si="68"/>
        <v>1.5113934393638262</v>
      </c>
      <c r="S829" s="226">
        <f>'WetLitterbags placem_collection'!E170</f>
        <v>42763</v>
      </c>
      <c r="T829" s="226">
        <f>IF('WetLitterbags placem_collection'!G170="","",'WetLitterbags placem_collection'!G170)</f>
        <v>42814</v>
      </c>
      <c r="U829" s="227">
        <f t="shared" si="69"/>
        <v>51</v>
      </c>
      <c r="V829" s="225">
        <f t="shared" si="66"/>
        <v>0.39679999999999982</v>
      </c>
      <c r="W829" s="225">
        <f t="shared" si="67"/>
        <v>0.38551488495315112</v>
      </c>
      <c r="X829">
        <f>IFERROR(INDEX(Rainfall_Wet!$O$2:$O$217,MATCH(B829, Rainfall_Wet!$A$2:$A$217,0)),"")</f>
        <v>181.383442621</v>
      </c>
      <c r="Y829" s="231">
        <v>21.96</v>
      </c>
      <c r="Z829" s="231">
        <v>4.9199999999999982</v>
      </c>
      <c r="AA829" s="231">
        <v>73.12</v>
      </c>
      <c r="AB829" s="232" t="s">
        <v>2670</v>
      </c>
      <c r="AC829" s="231">
        <v>8.2416954164613099</v>
      </c>
      <c r="AD829">
        <f>IF('WetLitterbags placem_collection'!AB170="","",'WetLitterbags placem_collection'!AB170)</f>
        <v>2.4</v>
      </c>
      <c r="AE829">
        <f>IF('WetLitterbags placem_collection'!Z170="","",'WetLitterbags placem_collection'!Z170)</f>
        <v>46</v>
      </c>
      <c r="AF829" s="24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placem_collection'!Y170)),"YES","NO")</f>
        <v>NO</v>
      </c>
      <c r="AM829" t="str">
        <f>IF(ISNUMBER(SEARCH("H", 'WetLitterbags placem_collection'!Y170)),"YES","NO")</f>
        <v>NO</v>
      </c>
      <c r="AN829" t="str">
        <f>IF(ISNUMBER(SEARCH("R", 'WetLitterbags placem_collection'!Y170)),"YES","NO")</f>
        <v>NO</v>
      </c>
    </row>
    <row r="830" spans="1:40" ht="15" customHeight="1">
      <c r="A830" s="258" t="s">
        <v>2460</v>
      </c>
      <c r="B830" s="263">
        <f>'Dry_Litterbag Placem_Collection'!A171</f>
        <v>169</v>
      </c>
      <c r="C830" s="263" t="str">
        <f>'Dry_Litterbag Placem_Collection'!B171</f>
        <v>Handajega</v>
      </c>
      <c r="D830" s="263" t="s">
        <v>2659</v>
      </c>
      <c r="E830" s="263" t="s">
        <v>2661</v>
      </c>
      <c r="F830" s="263">
        <v>2</v>
      </c>
      <c r="G830" s="264" t="str">
        <f>'Dry_Litterbag Placem_Collection'!C171</f>
        <v>Wet_W2_T1</v>
      </c>
      <c r="H830" s="273" t="s">
        <v>3651</v>
      </c>
      <c r="I830" s="274" t="s">
        <v>298</v>
      </c>
      <c r="J830" s="223" t="str">
        <f>'WetLitterbags placem_collection'!Q171</f>
        <v>R403</v>
      </c>
      <c r="K830" s="225">
        <f>IFERROR(INDEX('Green_rooibos initial weight'!$C$5:$C$1749,MATCH(J830, 'Green_rooibos initial weight'!$A$5:$A$1749,0)),"")</f>
        <v>2.2679999999999998</v>
      </c>
      <c r="L830" s="225">
        <f>IFERROR(K830-(TBIcalc!$H$9+TBIcalc!$H$10),"")</f>
        <v>2.0181999999999998</v>
      </c>
      <c r="M830" s="391">
        <f>AVERAGE(Ashed_controlls!$K$12:$K$14)</f>
        <v>2.2816647271287041</v>
      </c>
      <c r="N830" s="225">
        <f t="shared" si="65"/>
        <v>1.9721514424770883</v>
      </c>
      <c r="O830" s="225">
        <f>IF(IFERROR(INDEX('Both teabags AfterWet'!$C$3:$C$841,MATCH(J830,'Both teabags AfterWet'!$A$3:$A$841,0)),"")="","",(IFERROR(INDEX('Both teabags AfterWet'!$C$3:$C$841,MATCH(J830,'Both teabags AfterWet'!$A$3:$A$841,0)),"")))</f>
        <v>1.736</v>
      </c>
      <c r="P830" s="225">
        <f>IFERROR(IF(O830&gt;0,O830-(TBIcalc!$H$9),""),"")</f>
        <v>1.5853999999999999</v>
      </c>
      <c r="Q830" s="225">
        <f>IFERROR(INDEX('Ashed teabags wet'!$K$2:$K$821,MATCH(J830,'Ashed teabags wet'!$A$2:$A$821,0)),"")</f>
        <v>3.6768263183359386</v>
      </c>
      <c r="R830" s="225">
        <f t="shared" si="68"/>
        <v>1.527107595549102</v>
      </c>
      <c r="S830" s="226">
        <f>'WetLitterbags placem_collection'!E171</f>
        <v>42763</v>
      </c>
      <c r="T830" s="226">
        <f>IF('WetLitterbags placem_collection'!G171="","",'WetLitterbags placem_collection'!G171)</f>
        <v>42814</v>
      </c>
      <c r="U830" s="227">
        <f t="shared" si="69"/>
        <v>51</v>
      </c>
      <c r="V830" s="225">
        <f t="shared" si="66"/>
        <v>0.43279999999999985</v>
      </c>
      <c r="W830" s="225">
        <f t="shared" si="67"/>
        <v>0.44504384692798626</v>
      </c>
      <c r="X830">
        <f>IFERROR(INDEX(Rainfall_Wet!$O$2:$O$217,MATCH(B830, Rainfall_Wet!$A$2:$A$217,0)),"")</f>
        <v>181.383442621</v>
      </c>
      <c r="Y830" s="231">
        <v>23.96</v>
      </c>
      <c r="Z830" s="231">
        <v>4.9199999999999982</v>
      </c>
      <c r="AA830" s="231">
        <v>71.12</v>
      </c>
      <c r="AB830" s="232" t="s">
        <v>2670</v>
      </c>
      <c r="AC830" s="231">
        <v>3.30913750616067</v>
      </c>
      <c r="AD830">
        <f>IF('WetLitterbags placem_collection'!AB171="","",'WetLitterbags placem_collection'!AB171)</f>
        <v>8.1999999999999993</v>
      </c>
      <c r="AE830">
        <f>IF('WetLitterbags placem_collection'!Z171="","",'WetLitterbags placem_collection'!Z171)</f>
        <v>11.4</v>
      </c>
      <c r="AF830" s="24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placem_collection'!Y171)),"YES","NO")</f>
        <v>NO</v>
      </c>
      <c r="AM830" t="str">
        <f>IF(ISNUMBER(SEARCH("H", 'WetLitterbags placem_collection'!Y171)),"YES","NO")</f>
        <v>NO</v>
      </c>
      <c r="AN830" t="str">
        <f>IF(ISNUMBER(SEARCH("R", 'WetLitterbags placem_collection'!Y171)),"YES","NO")</f>
        <v>NO</v>
      </c>
    </row>
    <row r="831" spans="1:40" ht="15" customHeight="1">
      <c r="A831" s="258" t="s">
        <v>2460</v>
      </c>
      <c r="B831" s="263">
        <f>'Dry_Litterbag Placem_Collection'!A172</f>
        <v>170</v>
      </c>
      <c r="C831" s="263" t="str">
        <f>'Dry_Litterbag Placem_Collection'!B172</f>
        <v>Handajega</v>
      </c>
      <c r="D831" s="263" t="s">
        <v>2659</v>
      </c>
      <c r="E831" s="263" t="s">
        <v>2661</v>
      </c>
      <c r="F831" s="263">
        <v>2</v>
      </c>
      <c r="G831" s="264" t="str">
        <f>'Dry_Litterbag Placem_Collection'!C172</f>
        <v>Wet_W2_T2</v>
      </c>
      <c r="H831" s="273" t="s">
        <v>3651</v>
      </c>
      <c r="I831" s="274" t="s">
        <v>298</v>
      </c>
      <c r="J831" s="223" t="str">
        <f>'WetLitterbags placem_collection'!Q172</f>
        <v>R583</v>
      </c>
      <c r="K831" s="225">
        <f>IFERROR(INDEX('Green_rooibos initial weight'!$C$5:$C$1749,MATCH(J831, 'Green_rooibos initial weight'!$A$5:$A$1749,0)),"")</f>
        <v>2.2549999999999999</v>
      </c>
      <c r="L831" s="225">
        <f>IFERROR(K831-(TBIcalc!$H$9+TBIcalc!$H$10),"")</f>
        <v>2.0051999999999999</v>
      </c>
      <c r="M831" s="391">
        <f>AVERAGE(Ashed_controlls!$K$12:$K$14)</f>
        <v>2.2816647271287041</v>
      </c>
      <c r="N831" s="225">
        <f t="shared" si="65"/>
        <v>1.959448058891615</v>
      </c>
      <c r="O831" s="225">
        <f>IF(IFERROR(INDEX('Both teabags AfterWet'!$C$3:$C$841,MATCH(J831,'Both teabags AfterWet'!$A$3:$A$841,0)),"")="","",(IFERROR(INDEX('Both teabags AfterWet'!$C$3:$C$841,MATCH(J831,'Both teabags AfterWet'!$A$3:$A$841,0)),"")))</f>
        <v>1.71</v>
      </c>
      <c r="P831" s="225">
        <f>IFERROR(IF(O831&gt;0,O831-(TBIcalc!$H$9),""),"")</f>
        <v>1.5593999999999999</v>
      </c>
      <c r="Q831" s="225">
        <f>IFERROR(INDEX('Ashed teabags wet'!$K$2:$K$821,MATCH(J831,'Ashed teabags wet'!$A$2:$A$821,0)),"")</f>
        <v>2.3988005996999138</v>
      </c>
      <c r="R831" s="225">
        <f t="shared" si="68"/>
        <v>1.5219931034482794</v>
      </c>
      <c r="S831" s="226">
        <f>'WetLitterbags placem_collection'!E172</f>
        <v>42763</v>
      </c>
      <c r="T831" s="226">
        <f>IF('WetLitterbags placem_collection'!G172="","",'WetLitterbags placem_collection'!G172)</f>
        <v>42814</v>
      </c>
      <c r="U831" s="227">
        <f t="shared" si="69"/>
        <v>51</v>
      </c>
      <c r="V831" s="225">
        <f t="shared" si="66"/>
        <v>0.44579999999999997</v>
      </c>
      <c r="W831" s="225">
        <f t="shared" si="67"/>
        <v>0.43745495544333557</v>
      </c>
      <c r="X831">
        <f>IFERROR(INDEX(Rainfall_Wet!$O$2:$O$217,MATCH(B831, Rainfall_Wet!$A$2:$A$217,0)),"")</f>
        <v>181.383442621</v>
      </c>
      <c r="Y831" s="231">
        <v>23.96</v>
      </c>
      <c r="Z831" s="231">
        <v>4.9199999999999982</v>
      </c>
      <c r="AA831" s="231">
        <v>71.12</v>
      </c>
      <c r="AB831" s="232" t="s">
        <v>2670</v>
      </c>
      <c r="AC831" s="231">
        <v>4.3091375061606696</v>
      </c>
      <c r="AD831">
        <f>IF('WetLitterbags placem_collection'!AB172="","",'WetLitterbags placem_collection'!AB172)</f>
        <v>7.7</v>
      </c>
      <c r="AE831">
        <f>IF('WetLitterbags placem_collection'!Z172="","",'WetLitterbags placem_collection'!Z172)</f>
        <v>15.8</v>
      </c>
      <c r="AF831" s="24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placem_collection'!Y172)),"YES","NO")</f>
        <v>NO</v>
      </c>
      <c r="AM831" t="str">
        <f>IF(ISNUMBER(SEARCH("H", 'WetLitterbags placem_collection'!Y172)),"YES","NO")</f>
        <v>NO</v>
      </c>
      <c r="AN831" t="str">
        <f>IF(ISNUMBER(SEARCH("R", 'WetLitterbags placem_collection'!Y172)),"YES","NO")</f>
        <v>NO</v>
      </c>
    </row>
    <row r="832" spans="1:40" ht="15" customHeight="1">
      <c r="A832" s="258" t="s">
        <v>2460</v>
      </c>
      <c r="B832" s="263">
        <f>'Dry_Litterbag Placem_Collection'!A173</f>
        <v>171</v>
      </c>
      <c r="C832" s="263" t="str">
        <f>'Dry_Litterbag Placem_Collection'!B173</f>
        <v>Handajega</v>
      </c>
      <c r="D832" s="263" t="s">
        <v>2659</v>
      </c>
      <c r="E832" s="263" t="s">
        <v>2661</v>
      </c>
      <c r="F832" s="263">
        <v>2</v>
      </c>
      <c r="G832" s="264" t="str">
        <f>'Dry_Litterbag Placem_Collection'!C173</f>
        <v>Wet_W2_T3</v>
      </c>
      <c r="H832" s="273" t="s">
        <v>3651</v>
      </c>
      <c r="I832" s="274" t="s">
        <v>298</v>
      </c>
      <c r="J832" s="223" t="str">
        <f>'WetLitterbags placem_collection'!Q173</f>
        <v>R451</v>
      </c>
      <c r="K832" s="225">
        <f>IFERROR(INDEX('Green_rooibos initial weight'!$C$5:$C$1749,MATCH(J832, 'Green_rooibos initial weight'!$A$5:$A$1749,0)),"")</f>
        <v>2.1970000000000001</v>
      </c>
      <c r="L832" s="225">
        <f>IFERROR(K832-(TBIcalc!$H$9+TBIcalc!$H$10),"")</f>
        <v>1.9472</v>
      </c>
      <c r="M832" s="391">
        <f>AVERAGE(Ashed_controlls!$K$12:$K$14)</f>
        <v>2.2816647271287041</v>
      </c>
      <c r="N832" s="225">
        <f t="shared" si="65"/>
        <v>1.90277142443335</v>
      </c>
      <c r="O832" s="225">
        <f>IF(IFERROR(INDEX('Both teabags AfterWet'!$C$3:$C$841,MATCH(J832,'Both teabags AfterWet'!$A$3:$A$841,0)),"")="","",(IFERROR(INDEX('Both teabags AfterWet'!$C$3:$C$841,MATCH(J832,'Both teabags AfterWet'!$A$3:$A$841,0)),"")))</f>
        <v>1.629</v>
      </c>
      <c r="P832" s="225">
        <f>IFERROR(IF(O832&gt;0,O832-(TBIcalc!$H$9),""),"")</f>
        <v>1.4783999999999999</v>
      </c>
      <c r="Q832" s="225">
        <f>IFERROR(INDEX('Ashed teabags wet'!$K$2:$K$821,MATCH(J832,'Ashed teabags wet'!$A$2:$A$821,0)),"")</f>
        <v>1.7224409448818911</v>
      </c>
      <c r="R832" s="225">
        <f t="shared" si="68"/>
        <v>1.4529354330708661</v>
      </c>
      <c r="S832" s="226">
        <f>'WetLitterbags placem_collection'!E173</f>
        <v>42763</v>
      </c>
      <c r="T832" s="226">
        <f>IF('WetLitterbags placem_collection'!G173="","",'WetLitterbags placem_collection'!G173)</f>
        <v>42814</v>
      </c>
      <c r="U832" s="227">
        <f t="shared" si="69"/>
        <v>51</v>
      </c>
      <c r="V832" s="225">
        <f t="shared" si="66"/>
        <v>0.46880000000000011</v>
      </c>
      <c r="W832" s="225">
        <f t="shared" si="67"/>
        <v>0.44983599136248387</v>
      </c>
      <c r="X832">
        <f>IFERROR(INDEX(Rainfall_Wet!$O$2:$O$217,MATCH(B832, Rainfall_Wet!$A$2:$A$217,0)),"")</f>
        <v>181.383442621</v>
      </c>
      <c r="Y832" s="231">
        <v>23.96</v>
      </c>
      <c r="Z832" s="231">
        <v>4.9199999999999982</v>
      </c>
      <c r="AA832" s="231">
        <v>71.12</v>
      </c>
      <c r="AB832" s="232" t="s">
        <v>2670</v>
      </c>
      <c r="AC832" s="231">
        <v>5.3091375061606696</v>
      </c>
      <c r="AD832">
        <f>IF('WetLitterbags placem_collection'!AB173="","",'WetLitterbags placem_collection'!AB173)</f>
        <v>13.4</v>
      </c>
      <c r="AE832">
        <f>IF('WetLitterbags placem_collection'!Z173="","",'WetLitterbags placem_collection'!Z173)</f>
        <v>7.6</v>
      </c>
      <c r="AF832" s="24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placem_collection'!Y173)),"YES","NO")</f>
        <v>NO</v>
      </c>
      <c r="AM832" t="str">
        <f>IF(ISNUMBER(SEARCH("H", 'WetLitterbags placem_collection'!Y173)),"YES","NO")</f>
        <v>NO</v>
      </c>
      <c r="AN832" t="str">
        <f>IF(ISNUMBER(SEARCH("R", 'WetLitterbags placem_collection'!Y173)),"YES","NO")</f>
        <v>NO</v>
      </c>
    </row>
    <row r="833" spans="1:40" ht="15" customHeight="1">
      <c r="A833" s="258" t="s">
        <v>2460</v>
      </c>
      <c r="B833" s="263">
        <f>'Dry_Litterbag Placem_Collection'!A174</f>
        <v>172</v>
      </c>
      <c r="C833" s="263" t="str">
        <f>'Dry_Litterbag Placem_Collection'!B174</f>
        <v>Handajega</v>
      </c>
      <c r="D833" s="263" t="s">
        <v>2659</v>
      </c>
      <c r="E833" s="263" t="s">
        <v>2661</v>
      </c>
      <c r="F833" s="263">
        <v>2</v>
      </c>
      <c r="G833" s="264" t="str">
        <f>'Dry_Litterbag Placem_Collection'!C174</f>
        <v>Wet_W2_T4</v>
      </c>
      <c r="H833" s="273" t="s">
        <v>3651</v>
      </c>
      <c r="I833" s="274" t="s">
        <v>298</v>
      </c>
      <c r="J833" s="223" t="str">
        <f>'WetLitterbags placem_collection'!Q174</f>
        <v>R353</v>
      </c>
      <c r="K833" s="225">
        <f>IFERROR(INDEX('Green_rooibos initial weight'!$C$5:$C$1749,MATCH(J833, 'Green_rooibos initial weight'!$A$5:$A$1749,0)),"")</f>
        <v>2.2909999999999999</v>
      </c>
      <c r="L833" s="225">
        <f>IFERROR(K833-(TBIcalc!$H$9+TBIcalc!$H$10),"")</f>
        <v>2.0411999999999999</v>
      </c>
      <c r="M833" s="391">
        <f>AVERAGE(Ashed_controlls!$K$12:$K$14)</f>
        <v>2.2816647271287041</v>
      </c>
      <c r="N833" s="225">
        <f t="shared" si="65"/>
        <v>1.9946266595898487</v>
      </c>
      <c r="O833" s="225">
        <f>IF(IFERROR(INDEX('Both teabags AfterWet'!$C$3:$C$841,MATCH(J833,'Both teabags AfterWet'!$A$3:$A$841,0)),"")="","",(IFERROR(INDEX('Both teabags AfterWet'!$C$3:$C$841,MATCH(J833,'Both teabags AfterWet'!$A$3:$A$841,0)),"")))</f>
        <v>1.7694000000000001</v>
      </c>
      <c r="P833" s="225">
        <f>IFERROR(IF(O833&gt;0,O833-(TBIcalc!$H$9),""),"")</f>
        <v>1.6188</v>
      </c>
      <c r="Q833" s="225" t="str">
        <f>IFERROR(INDEX('Ashed teabags wet'!$K$2:$K$821,MATCH(J833,'Ashed teabags wet'!$A$2:$A$821,0)),"")</f>
        <v/>
      </c>
      <c r="R833" s="225" t="str">
        <f t="shared" si="68"/>
        <v/>
      </c>
      <c r="S833" s="226">
        <f>'WetLitterbags placem_collection'!E174</f>
        <v>42763</v>
      </c>
      <c r="T833" s="226">
        <f>IF('WetLitterbags placem_collection'!G174="","",'WetLitterbags placem_collection'!G174)</f>
        <v>42814</v>
      </c>
      <c r="U833" s="227">
        <f t="shared" si="69"/>
        <v>51</v>
      </c>
      <c r="V833" s="225">
        <f t="shared" si="66"/>
        <v>0.42239999999999989</v>
      </c>
      <c r="W833" s="225" t="str">
        <f t="shared" si="67"/>
        <v/>
      </c>
      <c r="X833">
        <f>IFERROR(INDEX(Rainfall_Wet!$O$2:$O$217,MATCH(B833, Rainfall_Wet!$A$2:$A$217,0)),"")</f>
        <v>181.383442621</v>
      </c>
      <c r="Y833" s="231">
        <v>23.96</v>
      </c>
      <c r="Z833" s="231">
        <v>4.9199999999999982</v>
      </c>
      <c r="AA833" s="231">
        <v>71.12</v>
      </c>
      <c r="AB833" s="232" t="s">
        <v>2670</v>
      </c>
      <c r="AC833" s="231">
        <v>6.3091375061606696</v>
      </c>
      <c r="AD833">
        <f>IF('WetLitterbags placem_collection'!AB174="","",'WetLitterbags placem_collection'!AB174)</f>
        <v>3.3</v>
      </c>
      <c r="AE833">
        <f>IF('WetLitterbags placem_collection'!Z174="","",'WetLitterbags placem_collection'!Z174)</f>
        <v>28.4</v>
      </c>
      <c r="AF833" s="24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placem_collection'!Y174)),"YES","NO")</f>
        <v>NO</v>
      </c>
      <c r="AM833" t="str">
        <f>IF(ISNUMBER(SEARCH("H", 'WetLitterbags placem_collection'!Y174)),"YES","NO")</f>
        <v>NO</v>
      </c>
      <c r="AN833" t="str">
        <f>IF(ISNUMBER(SEARCH("R", 'WetLitterbags placem_collection'!Y174)),"YES","NO")</f>
        <v>NO</v>
      </c>
    </row>
    <row r="834" spans="1:40" ht="15" customHeight="1">
      <c r="A834" s="258" t="s">
        <v>2460</v>
      </c>
      <c r="B834" s="263">
        <f>'Dry_Litterbag Placem_Collection'!A175</f>
        <v>173</v>
      </c>
      <c r="C834" s="263" t="str">
        <f>'Dry_Litterbag Placem_Collection'!B175</f>
        <v>Handajega</v>
      </c>
      <c r="D834" s="263" t="s">
        <v>2659</v>
      </c>
      <c r="E834" s="263" t="s">
        <v>2661</v>
      </c>
      <c r="F834" s="263">
        <v>2</v>
      </c>
      <c r="G834" s="264" t="str">
        <f>'Dry_Litterbag Placem_Collection'!C175</f>
        <v>Wet_W2_T5</v>
      </c>
      <c r="H834" s="273" t="s">
        <v>3651</v>
      </c>
      <c r="I834" s="274" t="s">
        <v>298</v>
      </c>
      <c r="J834" s="223" t="str">
        <f>'WetLitterbags placem_collection'!Q175</f>
        <v>R105</v>
      </c>
      <c r="K834" s="225">
        <f>IFERROR(INDEX('Green_rooibos initial weight'!$C$5:$C$1749,MATCH(J834, 'Green_rooibos initial weight'!$A$5:$A$1749,0)),"")</f>
        <v>2.254</v>
      </c>
      <c r="L834" s="225">
        <f>IFERROR(K834-(TBIcalc!$H$9+TBIcalc!$H$10),"")</f>
        <v>2.0042</v>
      </c>
      <c r="M834" s="391">
        <f>AVERAGE(Ashed_controlls!$K$12:$K$14)</f>
        <v>2.2816647271287041</v>
      </c>
      <c r="N834" s="225">
        <f t="shared" si="65"/>
        <v>1.9584708755388864</v>
      </c>
      <c r="O834" s="225">
        <f>IF(IFERROR(INDEX('Both teabags AfterWet'!$C$3:$C$841,MATCH(J834,'Both teabags AfterWet'!$A$3:$A$841,0)),"")="","",(IFERROR(INDEX('Both teabags AfterWet'!$C$3:$C$841,MATCH(J834,'Both teabags AfterWet'!$A$3:$A$841,0)),"")))</f>
        <v>1.6919999999999999</v>
      </c>
      <c r="P834" s="225">
        <f>IFERROR(IF(O834&gt;0,O834-(TBIcalc!$H$9),""),"")</f>
        <v>1.5413999999999999</v>
      </c>
      <c r="Q834" s="225">
        <f>IFERROR(INDEX('Ashed teabags wet'!$K$2:$K$821,MATCH(J834,'Ashed teabags wet'!$A$2:$A$821,0)),"")</f>
        <v>2.5628626692459697</v>
      </c>
      <c r="R834" s="225">
        <f t="shared" si="68"/>
        <v>1.5018960348162425</v>
      </c>
      <c r="S834" s="226">
        <f>'WetLitterbags placem_collection'!E175</f>
        <v>42763</v>
      </c>
      <c r="T834" s="226">
        <f>IF('WetLitterbags placem_collection'!G175="","",'WetLitterbags placem_collection'!G175)</f>
        <v>42814</v>
      </c>
      <c r="U834" s="227">
        <f t="shared" si="69"/>
        <v>51</v>
      </c>
      <c r="V834" s="225">
        <f t="shared" si="66"/>
        <v>0.4628000000000001</v>
      </c>
      <c r="W834" s="225">
        <f t="shared" si="67"/>
        <v>0.45657484072264398</v>
      </c>
      <c r="X834">
        <f>IFERROR(INDEX(Rainfall_Wet!$O$2:$O$217,MATCH(B834, Rainfall_Wet!$A$2:$A$217,0)),"")</f>
        <v>181.383442621</v>
      </c>
      <c r="Y834" s="231">
        <v>23.96</v>
      </c>
      <c r="Z834" s="231">
        <v>4.9199999999999982</v>
      </c>
      <c r="AA834" s="231">
        <v>71.12</v>
      </c>
      <c r="AB834" s="232" t="s">
        <v>2670</v>
      </c>
      <c r="AC834" s="231">
        <v>7.3091375061606696</v>
      </c>
      <c r="AD834">
        <f>IF('WetLitterbags placem_collection'!AB175="","",'WetLitterbags placem_collection'!AB175)</f>
        <v>15.4</v>
      </c>
      <c r="AE834">
        <f>IF('WetLitterbags placem_collection'!Z175="","",'WetLitterbags placem_collection'!Z175)</f>
        <v>12.4</v>
      </c>
      <c r="AF834" s="24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placem_collection'!Y175)),"YES","NO")</f>
        <v>NO</v>
      </c>
      <c r="AM834" t="str">
        <f>IF(ISNUMBER(SEARCH("H", 'WetLitterbags placem_collection'!Y175)),"YES","NO")</f>
        <v>NO</v>
      </c>
      <c r="AN834" t="str">
        <f>IF(ISNUMBER(SEARCH("R", 'WetLitterbags placem_collection'!Y175)),"YES","NO")</f>
        <v>NO</v>
      </c>
    </row>
    <row r="835" spans="1:40" ht="15" customHeight="1">
      <c r="A835" s="258" t="s">
        <v>2460</v>
      </c>
      <c r="B835" s="263">
        <f>'Dry_Litterbag Placem_Collection'!A176</f>
        <v>174</v>
      </c>
      <c r="C835" s="263" t="str">
        <f>'Dry_Litterbag Placem_Collection'!B176</f>
        <v>Handajega</v>
      </c>
      <c r="D835" s="263" t="s">
        <v>2659</v>
      </c>
      <c r="E835" s="263" t="s">
        <v>2661</v>
      </c>
      <c r="F835" s="263">
        <v>2</v>
      </c>
      <c r="G835" s="264" t="str">
        <f>'Dry_Litterbag Placem_Collection'!C176</f>
        <v>Wet_W2_T6</v>
      </c>
      <c r="H835" s="273" t="s">
        <v>3651</v>
      </c>
      <c r="I835" s="274" t="s">
        <v>298</v>
      </c>
      <c r="J835" s="223" t="str">
        <f>'WetLitterbags placem_collection'!Q176</f>
        <v>R384</v>
      </c>
      <c r="K835" s="225">
        <f>IFERROR(INDEX('Green_rooibos initial weight'!$C$5:$C$1749,MATCH(J835, 'Green_rooibos initial weight'!$A$5:$A$1749,0)),"")</f>
        <v>2.2240000000000002</v>
      </c>
      <c r="L835" s="225">
        <f>IFERROR(K835-(TBIcalc!$H$9+TBIcalc!$H$10),"")</f>
        <v>1.9742000000000002</v>
      </c>
      <c r="M835" s="391">
        <f>AVERAGE(Ashed_controlls!$K$12:$K$14)</f>
        <v>2.2816647271287041</v>
      </c>
      <c r="N835" s="225">
        <f t="shared" ref="N835:N881" si="70">IFERROR(L835-(M835/100)*L835,"")</f>
        <v>1.9291553749570254</v>
      </c>
      <c r="O835" s="225">
        <f>IF(IFERROR(INDEX('Both teabags AfterWet'!$C$3:$C$841,MATCH(J835,'Both teabags AfterWet'!$A$3:$A$841,0)),"")="","",(IFERROR(INDEX('Both teabags AfterWet'!$C$3:$C$841,MATCH(J835,'Both teabags AfterWet'!$A$3:$A$841,0)),"")))</f>
        <v>1.772</v>
      </c>
      <c r="P835" s="225">
        <f>IFERROR(IF(O835&gt;0,O835-(TBIcalc!$H$9),""),"")</f>
        <v>1.6214</v>
      </c>
      <c r="Q835" s="225">
        <f>IFERROR(INDEX('Ashed teabags wet'!$K$2:$K$821,MATCH(J835,'Ashed teabags wet'!$A$2:$A$821,0)),"")</f>
        <v>2.1032504780120633</v>
      </c>
      <c r="R835" s="225">
        <f t="shared" si="68"/>
        <v>1.5872978967495124</v>
      </c>
      <c r="S835" s="226">
        <f>'WetLitterbags placem_collection'!E176</f>
        <v>42763</v>
      </c>
      <c r="T835" s="226">
        <f>IF('WetLitterbags placem_collection'!G176="","",'WetLitterbags placem_collection'!G176)</f>
        <v>42814</v>
      </c>
      <c r="U835" s="227">
        <f t="shared" si="69"/>
        <v>51</v>
      </c>
      <c r="V835" s="225">
        <f t="shared" ref="V835:V881" si="71">IFERROR(L835-P835,"")</f>
        <v>0.35280000000000022</v>
      </c>
      <c r="W835" s="225">
        <f t="shared" ref="W835:W881" si="72">IFERROR(N835-R835,"")</f>
        <v>0.341857478207513</v>
      </c>
      <c r="X835">
        <f>IFERROR(INDEX(Rainfall_Wet!$O$2:$O$217,MATCH(B835, Rainfall_Wet!$A$2:$A$217,0)),"")</f>
        <v>181.383442621</v>
      </c>
      <c r="Y835" s="231">
        <v>23.96</v>
      </c>
      <c r="Z835" s="231">
        <v>4.9199999999999982</v>
      </c>
      <c r="AA835" s="231">
        <v>71.12</v>
      </c>
      <c r="AB835" s="232" t="s">
        <v>2670</v>
      </c>
      <c r="AC835" s="231">
        <v>8.3091375061606705</v>
      </c>
      <c r="AD835">
        <f>IF('WetLitterbags placem_collection'!AB176="","",'WetLitterbags placem_collection'!AB176)</f>
        <v>7.4</v>
      </c>
      <c r="AE835">
        <f>IF('WetLitterbags placem_collection'!Z176="","",'WetLitterbags placem_collection'!Z176)</f>
        <v>7.4</v>
      </c>
      <c r="AF835" s="24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placem_collection'!Y176)),"YES","NO")</f>
        <v>NO</v>
      </c>
      <c r="AM835" t="str">
        <f>IF(ISNUMBER(SEARCH("H", 'WetLitterbags placem_collection'!Y176)),"YES","NO")</f>
        <v>NO</v>
      </c>
      <c r="AN835" t="str">
        <f>IF(ISNUMBER(SEARCH("R", 'WetLitterbags placem_collection'!Y176)),"YES","NO")</f>
        <v>NO</v>
      </c>
    </row>
    <row r="836" spans="1:40" ht="15" customHeight="1">
      <c r="A836" s="258" t="s">
        <v>2460</v>
      </c>
      <c r="B836" s="263">
        <f>'Dry_Litterbag Placem_Collection'!A177</f>
        <v>175</v>
      </c>
      <c r="C836" s="263" t="str">
        <f>'Dry_Litterbag Placem_Collection'!B177</f>
        <v>Handajega</v>
      </c>
      <c r="D836" s="263" t="s">
        <v>2659</v>
      </c>
      <c r="E836" s="263" t="s">
        <v>2661</v>
      </c>
      <c r="F836" s="263">
        <v>2</v>
      </c>
      <c r="G836" s="264" t="str">
        <f>'Dry_Litterbag Placem_Collection'!C177</f>
        <v>Wet_W2_T7</v>
      </c>
      <c r="H836" s="273" t="s">
        <v>3651</v>
      </c>
      <c r="I836" s="274" t="s">
        <v>298</v>
      </c>
      <c r="J836" s="223" t="str">
        <f>'WetLitterbags placem_collection'!Q177</f>
        <v>R481</v>
      </c>
      <c r="K836" s="225">
        <f>IFERROR(INDEX('Green_rooibos initial weight'!$C$5:$C$1749,MATCH(J836, 'Green_rooibos initial weight'!$A$5:$A$1749,0)),"")</f>
        <v>2.1589999999999998</v>
      </c>
      <c r="L836" s="225">
        <f>IFERROR(K836-(TBIcalc!$H$9+TBIcalc!$H$10),"")</f>
        <v>1.9091999999999998</v>
      </c>
      <c r="M836" s="391">
        <f>AVERAGE(Ashed_controlls!$K$12:$K$14)</f>
        <v>2.2816647271287041</v>
      </c>
      <c r="N836" s="225">
        <f t="shared" si="70"/>
        <v>1.8656384570296585</v>
      </c>
      <c r="O836" s="225">
        <f>IF(IFERROR(INDEX('Both teabags AfterWet'!$C$3:$C$841,MATCH(J836,'Both teabags AfterWet'!$A$3:$A$841,0)),"")="","",(IFERROR(INDEX('Both teabags AfterWet'!$C$3:$C$841,MATCH(J836,'Both teabags AfterWet'!$A$3:$A$841,0)),"")))</f>
        <v>1.681</v>
      </c>
      <c r="P836" s="225">
        <f>IFERROR(IF(O836&gt;0,O836-(TBIcalc!$H$9),""),"")</f>
        <v>1.5304</v>
      </c>
      <c r="Q836" s="225">
        <f>IFERROR(INDEX('Ashed teabags wet'!$K$2:$K$821,MATCH(J836,'Ashed teabags wet'!$A$2:$A$821,0)),"")</f>
        <v>22.390243902438794</v>
      </c>
      <c r="R836" s="225">
        <f t="shared" si="68"/>
        <v>1.1877397073170766</v>
      </c>
      <c r="S836" s="226">
        <f>'WetLitterbags placem_collection'!E177</f>
        <v>42763</v>
      </c>
      <c r="T836" s="226">
        <f>IF('WetLitterbags placem_collection'!G177="","",'WetLitterbags placem_collection'!G177)</f>
        <v>42814</v>
      </c>
      <c r="U836" s="227">
        <f t="shared" si="69"/>
        <v>51</v>
      </c>
      <c r="V836" s="225">
        <f t="shared" si="71"/>
        <v>0.3787999999999998</v>
      </c>
      <c r="W836" s="225">
        <f t="shared" si="72"/>
        <v>0.67789874971258191</v>
      </c>
      <c r="X836">
        <f>IFERROR(INDEX(Rainfall_Wet!$O$2:$O$217,MATCH(B836, Rainfall_Wet!$A$2:$A$217,0)),"")</f>
        <v>181.383442621</v>
      </c>
      <c r="Y836" s="231">
        <v>23.96</v>
      </c>
      <c r="Z836" s="231">
        <v>4.9199999999999982</v>
      </c>
      <c r="AA836" s="231">
        <v>71.12</v>
      </c>
      <c r="AB836" s="232" t="s">
        <v>2670</v>
      </c>
      <c r="AC836" s="231">
        <v>9.3091375061606705</v>
      </c>
      <c r="AD836">
        <f>IF('WetLitterbags placem_collection'!AB177="","",'WetLitterbags placem_collection'!AB177)</f>
        <v>15.4</v>
      </c>
      <c r="AE836">
        <f>IF('WetLitterbags placem_collection'!Z177="","",'WetLitterbags placem_collection'!Z177)</f>
        <v>9.8000000000000007</v>
      </c>
      <c r="AF836" s="24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placem_collection'!Y177)),"YES","NO")</f>
        <v>NO</v>
      </c>
      <c r="AM836" t="str">
        <f>IF(ISNUMBER(SEARCH("H", 'WetLitterbags placem_collection'!Y177)),"YES","NO")</f>
        <v>NO</v>
      </c>
      <c r="AN836" t="str">
        <f>IF(ISNUMBER(SEARCH("R", 'WetLitterbags placem_collection'!Y177)),"YES","NO")</f>
        <v>NO</v>
      </c>
    </row>
    <row r="837" spans="1:40" ht="15" customHeight="1">
      <c r="A837" s="258" t="s">
        <v>2460</v>
      </c>
      <c r="B837" s="263">
        <f>'Dry_Litterbag Placem_Collection'!A178</f>
        <v>176</v>
      </c>
      <c r="C837" s="263" t="str">
        <f>'Dry_Litterbag Placem_Collection'!B178</f>
        <v>Handajega</v>
      </c>
      <c r="D837" s="263" t="s">
        <v>2659</v>
      </c>
      <c r="E837" s="263" t="s">
        <v>2661</v>
      </c>
      <c r="F837" s="263">
        <v>2</v>
      </c>
      <c r="G837" s="264" t="str">
        <f>'Dry_Litterbag Placem_Collection'!C178</f>
        <v>Wet_W2_T8</v>
      </c>
      <c r="H837" s="273" t="s">
        <v>3651</v>
      </c>
      <c r="I837" s="274" t="s">
        <v>298</v>
      </c>
      <c r="J837" s="223" t="str">
        <f>'WetLitterbags placem_collection'!Q178</f>
        <v>R490</v>
      </c>
      <c r="K837" s="225">
        <f>IFERROR(INDEX('Green_rooibos initial weight'!$C$5:$C$1749,MATCH(J837, 'Green_rooibos initial weight'!$A$5:$A$1749,0)),"")</f>
        <v>2.1890000000000001</v>
      </c>
      <c r="L837" s="225">
        <f>IFERROR(K837-(TBIcalc!$H$9+TBIcalc!$H$10),"")</f>
        <v>1.9392</v>
      </c>
      <c r="M837" s="391">
        <f>AVERAGE(Ashed_controlls!$K$12:$K$14)</f>
        <v>2.2816647271287041</v>
      </c>
      <c r="N837" s="225">
        <f t="shared" si="70"/>
        <v>1.8949539576115202</v>
      </c>
      <c r="O837" s="225">
        <f>IF(IFERROR(INDEX('Both teabags AfterWet'!$C$3:$C$841,MATCH(J837,'Both teabags AfterWet'!$A$3:$A$841,0)),"")="","",(IFERROR(INDEX('Both teabags AfterWet'!$C$3:$C$841,MATCH(J837,'Both teabags AfterWet'!$A$3:$A$841,0)),"")))</f>
        <v>1.7070000000000001</v>
      </c>
      <c r="P837" s="225">
        <f>IFERROR(IF(O837&gt;0,O837-(TBIcalc!$H$9),""),"")</f>
        <v>1.5564</v>
      </c>
      <c r="Q837" s="225">
        <f>IFERROR(INDEX('Ashed teabags wet'!$K$2:$K$821,MATCH(J837,'Ashed teabags wet'!$A$2:$A$821,0)),"")</f>
        <v>2.6433915211971035</v>
      </c>
      <c r="R837" s="225">
        <f t="shared" si="68"/>
        <v>1.5152582543640882</v>
      </c>
      <c r="S837" s="226">
        <f>'WetLitterbags placem_collection'!E178</f>
        <v>42763</v>
      </c>
      <c r="T837" s="226">
        <f>IF('WetLitterbags placem_collection'!G178="","",'WetLitterbags placem_collection'!G178)</f>
        <v>42814</v>
      </c>
      <c r="U837" s="227">
        <f t="shared" si="69"/>
        <v>51</v>
      </c>
      <c r="V837" s="225">
        <f t="shared" si="71"/>
        <v>0.38280000000000003</v>
      </c>
      <c r="W837" s="225">
        <f t="shared" si="72"/>
        <v>0.37969570324743196</v>
      </c>
      <c r="X837">
        <f>IFERROR(INDEX(Rainfall_Wet!$O$2:$O$217,MATCH(B837, Rainfall_Wet!$A$2:$A$217,0)),"")</f>
        <v>181.383442621</v>
      </c>
      <c r="Y837" s="231">
        <v>23.96</v>
      </c>
      <c r="Z837" s="231">
        <v>4.9199999999999982</v>
      </c>
      <c r="AA837" s="231">
        <v>71.12</v>
      </c>
      <c r="AB837" s="232" t="s">
        <v>2670</v>
      </c>
      <c r="AC837" s="231">
        <v>10.309137506160701</v>
      </c>
      <c r="AD837">
        <f>IF('WetLitterbags placem_collection'!AB178="","",'WetLitterbags placem_collection'!AB178)</f>
        <v>6.8</v>
      </c>
      <c r="AE837">
        <f>IF('WetLitterbags placem_collection'!Z178="","",'WetLitterbags placem_collection'!Z178)</f>
        <v>6.9</v>
      </c>
      <c r="AF837" s="24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placem_collection'!Y178)),"YES","NO")</f>
        <v>NO</v>
      </c>
      <c r="AM837" t="str">
        <f>IF(ISNUMBER(SEARCH("H", 'WetLitterbags placem_collection'!Y178)),"YES","NO")</f>
        <v>NO</v>
      </c>
      <c r="AN837" t="str">
        <f>IF(ISNUMBER(SEARCH("R", 'WetLitterbags placem_collection'!Y178)),"YES","NO")</f>
        <v>NO</v>
      </c>
    </row>
    <row r="838" spans="1:40" ht="15" customHeight="1">
      <c r="A838" s="258" t="s">
        <v>2460</v>
      </c>
      <c r="B838" s="263">
        <f>'Dry_Litterbag Placem_Collection'!A179</f>
        <v>177</v>
      </c>
      <c r="C838" s="263" t="str">
        <f>'Dry_Litterbag Placem_Collection'!B179</f>
        <v>Handajega</v>
      </c>
      <c r="D838" s="263" t="s">
        <v>2659</v>
      </c>
      <c r="E838" s="263" t="s">
        <v>2661</v>
      </c>
      <c r="F838" s="263">
        <v>3</v>
      </c>
      <c r="G838" s="264" t="str">
        <f>'Dry_Litterbag Placem_Collection'!C179</f>
        <v>Wet_W3_T1</v>
      </c>
      <c r="H838" s="273" t="s">
        <v>3651</v>
      </c>
      <c r="I838" s="274" t="s">
        <v>298</v>
      </c>
      <c r="J838" s="223" t="str">
        <f>'WetLitterbags placem_collection'!Q179</f>
        <v>R470</v>
      </c>
      <c r="K838" s="225">
        <f>IFERROR(INDEX('Green_rooibos initial weight'!$C$5:$C$1749,MATCH(J838, 'Green_rooibos initial weight'!$A$5:$A$1749,0)),"")</f>
        <v>2.1240000000000001</v>
      </c>
      <c r="L838" s="225">
        <f>IFERROR(K838-(TBIcalc!$H$9+TBIcalc!$H$10),"")</f>
        <v>1.8742000000000001</v>
      </c>
      <c r="M838" s="391">
        <f>AVERAGE(Ashed_controlls!$K$12:$K$14)</f>
        <v>2.2816647271287041</v>
      </c>
      <c r="N838" s="225">
        <f t="shared" si="70"/>
        <v>1.8314370396841539</v>
      </c>
      <c r="O838" s="225">
        <f>IF(IFERROR(INDEX('Both teabags AfterWet'!$C$3:$C$841,MATCH(J838,'Both teabags AfterWet'!$A$3:$A$841,0)),"")="","",(IFERROR(INDEX('Both teabags AfterWet'!$C$3:$C$841,MATCH(J838,'Both teabags AfterWet'!$A$3:$A$841,0)),"")))</f>
        <v>1.677</v>
      </c>
      <c r="P838" s="225">
        <f>IFERROR(IF(O838&gt;0,O838-(TBIcalc!$H$9),""),"")</f>
        <v>1.5264</v>
      </c>
      <c r="Q838" s="225">
        <f>IFERROR(INDEX('Ashed teabags wet'!$K$2:$K$821,MATCH(J838,'Ashed teabags wet'!$A$2:$A$821,0)),"")</f>
        <v>2.3705853894531068</v>
      </c>
      <c r="R838" s="225">
        <f t="shared" si="68"/>
        <v>1.4902153846153878</v>
      </c>
      <c r="S838" s="226">
        <f>'WetLitterbags placem_collection'!E179</f>
        <v>42763</v>
      </c>
      <c r="T838" s="226">
        <f>IF('WetLitterbags placem_collection'!G179="","",'WetLitterbags placem_collection'!G179)</f>
        <v>42815</v>
      </c>
      <c r="U838" s="227">
        <f t="shared" si="69"/>
        <v>52</v>
      </c>
      <c r="V838" s="225">
        <f t="shared" si="71"/>
        <v>0.34780000000000011</v>
      </c>
      <c r="W838" s="225">
        <f t="shared" si="72"/>
        <v>0.34122165506876612</v>
      </c>
      <c r="X838">
        <f>IFERROR(INDEX(Rainfall_Wet!$O$2:$O$217,MATCH(B838, Rainfall_Wet!$A$2:$A$217,0)),"")</f>
        <v>188.24043152799999</v>
      </c>
      <c r="Y838" s="231">
        <v>25.96</v>
      </c>
      <c r="Z838" s="231">
        <v>8.9200000000000017</v>
      </c>
      <c r="AA838" s="231">
        <v>65.12</v>
      </c>
      <c r="AB838" s="232" t="s">
        <v>2670</v>
      </c>
      <c r="AC838" s="231">
        <v>1.614588467225234</v>
      </c>
      <c r="AD838">
        <f>IF('WetLitterbags placem_collection'!AB179="","",'WetLitterbags placem_collection'!AB179)</f>
        <v>17.8</v>
      </c>
      <c r="AE838">
        <f>IF('WetLitterbags placem_collection'!Z179="","",'WetLitterbags placem_collection'!Z179)</f>
        <v>25.8</v>
      </c>
      <c r="AF838" s="24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placem_collection'!Y179)),"YES","NO")</f>
        <v>NO</v>
      </c>
      <c r="AM838" t="str">
        <f>IF(ISNUMBER(SEARCH("H", 'WetLitterbags placem_collection'!Y179)),"YES","NO")</f>
        <v>NO</v>
      </c>
      <c r="AN838" t="str">
        <f>IF(ISNUMBER(SEARCH("R", 'WetLitterbags placem_collection'!Y179)),"YES","NO")</f>
        <v>NO</v>
      </c>
    </row>
    <row r="839" spans="1:40" ht="15" customHeight="1">
      <c r="A839" s="258" t="s">
        <v>2460</v>
      </c>
      <c r="B839" s="263">
        <f>'Dry_Litterbag Placem_Collection'!A180</f>
        <v>178</v>
      </c>
      <c r="C839" s="263" t="str">
        <f>'Dry_Litterbag Placem_Collection'!B180</f>
        <v>Handajega</v>
      </c>
      <c r="D839" s="263" t="s">
        <v>2659</v>
      </c>
      <c r="E839" s="263" t="s">
        <v>2661</v>
      </c>
      <c r="F839" s="263">
        <v>3</v>
      </c>
      <c r="G839" s="264" t="str">
        <f>'Dry_Litterbag Placem_Collection'!C180</f>
        <v>Wet_W3_T2</v>
      </c>
      <c r="H839" s="273" t="s">
        <v>3651</v>
      </c>
      <c r="I839" s="274" t="s">
        <v>298</v>
      </c>
      <c r="J839" s="223" t="str">
        <f>'WetLitterbags placem_collection'!Q180</f>
        <v>R488</v>
      </c>
      <c r="K839" s="225">
        <f>IFERROR(INDEX('Green_rooibos initial weight'!$C$5:$C$1749,MATCH(J839, 'Green_rooibos initial weight'!$A$5:$A$1749,0)),"")</f>
        <v>2.1589999999999998</v>
      </c>
      <c r="L839" s="225">
        <f>IFERROR(K839-(TBIcalc!$H$9+TBIcalc!$H$10),"")</f>
        <v>1.9091999999999998</v>
      </c>
      <c r="M839" s="391">
        <f>AVERAGE(Ashed_controlls!$K$12:$K$14)</f>
        <v>2.2816647271287041</v>
      </c>
      <c r="N839" s="225">
        <f t="shared" si="70"/>
        <v>1.8656384570296585</v>
      </c>
      <c r="O839" s="225">
        <f>IF(IFERROR(INDEX('Both teabags AfterWet'!$C$3:$C$841,MATCH(J839,'Both teabags AfterWet'!$A$3:$A$841,0)),"")="","",(IFERROR(INDEX('Both teabags AfterWet'!$C$3:$C$841,MATCH(J839,'Both teabags AfterWet'!$A$3:$A$841,0)),"")))</f>
        <v>1.6446000000000001</v>
      </c>
      <c r="P839" s="225">
        <f>IFERROR(IF(O839&gt;0,O839-(TBIcalc!$H$9),""),"")</f>
        <v>1.494</v>
      </c>
      <c r="Q839" s="225">
        <f>IFERROR(INDEX('Ashed teabags wet'!$K$2:$K$821,MATCH(J839,'Ashed teabags wet'!$A$2:$A$821,0)),"")</f>
        <v>2.0802377414560613</v>
      </c>
      <c r="R839" s="225">
        <f t="shared" si="68"/>
        <v>1.4629212481426463</v>
      </c>
      <c r="S839" s="226">
        <f>'WetLitterbags placem_collection'!E180</f>
        <v>42763</v>
      </c>
      <c r="T839" s="226">
        <f>IF('WetLitterbags placem_collection'!G180="","",'WetLitterbags placem_collection'!G180)</f>
        <v>42815</v>
      </c>
      <c r="U839" s="227">
        <f t="shared" si="69"/>
        <v>52</v>
      </c>
      <c r="V839" s="225">
        <f t="shared" si="71"/>
        <v>0.41519999999999979</v>
      </c>
      <c r="W839" s="225">
        <f t="shared" si="72"/>
        <v>0.40271720888701212</v>
      </c>
      <c r="X839">
        <f>IFERROR(INDEX(Rainfall_Wet!$O$2:$O$217,MATCH(B839, Rainfall_Wet!$A$2:$A$217,0)),"")</f>
        <v>188.24043152799999</v>
      </c>
      <c r="Y839" s="231">
        <v>25.96</v>
      </c>
      <c r="Z839" s="231">
        <v>8.9200000000000017</v>
      </c>
      <c r="AA839" s="231">
        <v>65.12</v>
      </c>
      <c r="AB839" s="232" t="s">
        <v>2670</v>
      </c>
      <c r="AC839" s="231">
        <v>2.61458846722523</v>
      </c>
      <c r="AD839">
        <f>IF('WetLitterbags placem_collection'!AB180="","",'WetLitterbags placem_collection'!AB180)</f>
        <v>15.4</v>
      </c>
      <c r="AE839">
        <f>IF('WetLitterbags placem_collection'!Z180="","",'WetLitterbags placem_collection'!Z180)</f>
        <v>18.8</v>
      </c>
      <c r="AF839" s="24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placem_collection'!Y180)),"YES","NO")</f>
        <v>NO</v>
      </c>
      <c r="AM839" t="str">
        <f>IF(ISNUMBER(SEARCH("H", 'WetLitterbags placem_collection'!Y180)),"YES","NO")</f>
        <v>NO</v>
      </c>
      <c r="AN839" t="str">
        <f>IF(ISNUMBER(SEARCH("R", 'WetLitterbags placem_collection'!Y180)),"YES","NO")</f>
        <v>NO</v>
      </c>
    </row>
    <row r="840" spans="1:40" ht="15" customHeight="1">
      <c r="A840" s="258" t="s">
        <v>2460</v>
      </c>
      <c r="B840" s="263">
        <f>'Dry_Litterbag Placem_Collection'!A181</f>
        <v>179</v>
      </c>
      <c r="C840" s="263" t="str">
        <f>'Dry_Litterbag Placem_Collection'!B181</f>
        <v>Handajega</v>
      </c>
      <c r="D840" s="263" t="s">
        <v>2659</v>
      </c>
      <c r="E840" s="263" t="s">
        <v>2661</v>
      </c>
      <c r="F840" s="263">
        <v>3</v>
      </c>
      <c r="G840" s="264" t="str">
        <f>'Dry_Litterbag Placem_Collection'!C181</f>
        <v>Wet_W3_T3</v>
      </c>
      <c r="H840" s="273" t="s">
        <v>3651</v>
      </c>
      <c r="I840" s="274" t="s">
        <v>298</v>
      </c>
      <c r="J840" s="223" t="str">
        <f>'WetLitterbags placem_collection'!Q181</f>
        <v>R273</v>
      </c>
      <c r="K840" s="225">
        <f>IFERROR(INDEX('Green_rooibos initial weight'!$C$5:$C$1749,MATCH(J840, 'Green_rooibos initial weight'!$A$5:$A$1749,0)),"")</f>
        <v>2.2090000000000001</v>
      </c>
      <c r="L840" s="225">
        <f>IFERROR(K840-(TBIcalc!$H$9+TBIcalc!$H$10),"")</f>
        <v>1.9592000000000001</v>
      </c>
      <c r="M840" s="391">
        <f>AVERAGE(Ashed_controlls!$K$12:$K$14)</f>
        <v>2.2816647271287041</v>
      </c>
      <c r="N840" s="225">
        <f t="shared" si="70"/>
        <v>1.9144976246660945</v>
      </c>
      <c r="O840" s="225">
        <f>IF(IFERROR(INDEX('Both teabags AfterWet'!$C$3:$C$841,MATCH(J840,'Both teabags AfterWet'!$A$3:$A$841,0)),"")="","",(IFERROR(INDEX('Both teabags AfterWet'!$C$3:$C$841,MATCH(J840,'Both teabags AfterWet'!$A$3:$A$841,0)),"")))</f>
        <v>1.655</v>
      </c>
      <c r="P840" s="225">
        <f>IFERROR(IF(O840&gt;0,O840-(TBIcalc!$H$9),""),"")</f>
        <v>1.5044</v>
      </c>
      <c r="Q840" s="225">
        <f>IFERROR(INDEX('Ashed teabags wet'!$K$2:$K$821,MATCH(J840,'Ashed teabags wet'!$A$2:$A$821,0)),"")</f>
        <v>1.9912578921804642</v>
      </c>
      <c r="R840" s="225">
        <f t="shared" si="68"/>
        <v>1.4744435162700371</v>
      </c>
      <c r="S840" s="226">
        <f>'WetLitterbags placem_collection'!E181</f>
        <v>42763</v>
      </c>
      <c r="T840" s="226">
        <f>IF('WetLitterbags placem_collection'!G181="","",'WetLitterbags placem_collection'!G181)</f>
        <v>42815</v>
      </c>
      <c r="U840" s="227">
        <f t="shared" si="69"/>
        <v>52</v>
      </c>
      <c r="V840" s="225">
        <f t="shared" si="71"/>
        <v>0.45480000000000009</v>
      </c>
      <c r="W840" s="225">
        <f t="shared" si="72"/>
        <v>0.44005410839605741</v>
      </c>
      <c r="X840">
        <f>IFERROR(INDEX(Rainfall_Wet!$O$2:$O$217,MATCH(B840, Rainfall_Wet!$A$2:$A$217,0)),"")</f>
        <v>188.24043152799999</v>
      </c>
      <c r="Y840" s="231">
        <v>25.96</v>
      </c>
      <c r="Z840" s="231">
        <v>8.9200000000000017</v>
      </c>
      <c r="AA840" s="231">
        <v>65.12</v>
      </c>
      <c r="AB840" s="232" t="s">
        <v>2670</v>
      </c>
      <c r="AC840" s="231">
        <v>3.61458846722523</v>
      </c>
      <c r="AD840">
        <f>IF('WetLitterbags placem_collection'!AB181="","",'WetLitterbags placem_collection'!AB181)</f>
        <v>11.8</v>
      </c>
      <c r="AE840">
        <f>IF('WetLitterbags placem_collection'!Z181="","",'WetLitterbags placem_collection'!Z181)</f>
        <v>15.4</v>
      </c>
      <c r="AF840" s="24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placem_collection'!Y181)),"YES","NO")</f>
        <v>NO</v>
      </c>
      <c r="AM840" t="str">
        <f>IF(ISNUMBER(SEARCH("H", 'WetLitterbags placem_collection'!Y181)),"YES","NO")</f>
        <v>NO</v>
      </c>
      <c r="AN840" t="str">
        <f>IF(ISNUMBER(SEARCH("R", 'WetLitterbags placem_collection'!Y181)),"YES","NO")</f>
        <v>NO</v>
      </c>
    </row>
    <row r="841" spans="1:40" ht="15" customHeight="1">
      <c r="A841" s="258" t="s">
        <v>2460</v>
      </c>
      <c r="B841" s="263">
        <f>'Dry_Litterbag Placem_Collection'!A182</f>
        <v>180</v>
      </c>
      <c r="C841" s="263" t="str">
        <f>'Dry_Litterbag Placem_Collection'!B182</f>
        <v>Handajega</v>
      </c>
      <c r="D841" s="263" t="s">
        <v>2659</v>
      </c>
      <c r="E841" s="263" t="s">
        <v>2661</v>
      </c>
      <c r="F841" s="263">
        <v>3</v>
      </c>
      <c r="G841" s="264" t="str">
        <f>'Dry_Litterbag Placem_Collection'!C182</f>
        <v>Wet_W3_T4</v>
      </c>
      <c r="H841" s="273" t="s">
        <v>3651</v>
      </c>
      <c r="I841" s="274" t="s">
        <v>298</v>
      </c>
      <c r="J841" s="223" t="str">
        <f>'WetLitterbags placem_collection'!Q182</f>
        <v>R301</v>
      </c>
      <c r="K841" s="225">
        <f>IFERROR(INDEX('Green_rooibos initial weight'!$C$5:$C$1749,MATCH(J841, 'Green_rooibos initial weight'!$A$5:$A$1749,0)),"")</f>
        <v>2.2530000000000001</v>
      </c>
      <c r="L841" s="225">
        <f>IFERROR(K841-(TBIcalc!$H$9+TBIcalc!$H$10),"")</f>
        <v>2.0032000000000001</v>
      </c>
      <c r="M841" s="391">
        <f>AVERAGE(Ashed_controlls!$K$12:$K$14)</f>
        <v>2.2816647271287041</v>
      </c>
      <c r="N841" s="225">
        <f t="shared" si="70"/>
        <v>1.9574936921861579</v>
      </c>
      <c r="O841" s="225">
        <f>IF(IFERROR(INDEX('Both teabags AfterWet'!$C$3:$C$841,MATCH(J841,'Both teabags AfterWet'!$A$3:$A$841,0)),"")="","",(IFERROR(INDEX('Both teabags AfterWet'!$C$3:$C$841,MATCH(J841,'Both teabags AfterWet'!$A$3:$A$841,0)),"")))</f>
        <v>1.6709000000000001</v>
      </c>
      <c r="P841" s="225">
        <f>IFERROR(IF(O841&gt;0,O841-(TBIcalc!$H$9),""),"")</f>
        <v>1.5203</v>
      </c>
      <c r="Q841" s="225">
        <f>IFERROR(INDEX('Ashed teabags wet'!$K$2:$K$821,MATCH(J841,'Ashed teabags wet'!$A$2:$A$821,0)),"")</f>
        <v>1.9038076152294727</v>
      </c>
      <c r="R841" s="225">
        <f t="shared" si="68"/>
        <v>1.4913564128256662</v>
      </c>
      <c r="S841" s="226">
        <f>'WetLitterbags placem_collection'!E182</f>
        <v>42763</v>
      </c>
      <c r="T841" s="226">
        <f>IF('WetLitterbags placem_collection'!G182="","",'WetLitterbags placem_collection'!G182)</f>
        <v>42815</v>
      </c>
      <c r="U841" s="227">
        <f t="shared" si="69"/>
        <v>52</v>
      </c>
      <c r="V841" s="225">
        <f t="shared" si="71"/>
        <v>0.48290000000000011</v>
      </c>
      <c r="W841" s="225">
        <f t="shared" si="72"/>
        <v>0.46613727936049165</v>
      </c>
      <c r="X841">
        <f>IFERROR(INDEX(Rainfall_Wet!$O$2:$O$217,MATCH(B841, Rainfall_Wet!$A$2:$A$217,0)),"")</f>
        <v>188.24043152799999</v>
      </c>
      <c r="Y841" s="231">
        <v>25.96</v>
      </c>
      <c r="Z841" s="231">
        <v>8.9200000000000017</v>
      </c>
      <c r="AA841" s="231">
        <v>65.12</v>
      </c>
      <c r="AB841" s="232" t="s">
        <v>2670</v>
      </c>
      <c r="AC841" s="231">
        <v>4.6145884672252304</v>
      </c>
      <c r="AD841">
        <f>IF('WetLitterbags placem_collection'!AB182="","",'WetLitterbags placem_collection'!AB182)</f>
        <v>8.3000000000000007</v>
      </c>
      <c r="AE841">
        <f>IF('WetLitterbags placem_collection'!Z182="","",'WetLitterbags placem_collection'!Z182)</f>
        <v>35</v>
      </c>
      <c r="AF841" s="24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placem_collection'!Y182)),"YES","NO")</f>
        <v>NO</v>
      </c>
      <c r="AM841" t="str">
        <f>IF(ISNUMBER(SEARCH("H", 'WetLitterbags placem_collection'!Y182)),"YES","NO")</f>
        <v>NO</v>
      </c>
      <c r="AN841" t="str">
        <f>IF(ISNUMBER(SEARCH("R", 'WetLitterbags placem_collection'!Y182)),"YES","NO")</f>
        <v>YES</v>
      </c>
    </row>
    <row r="842" spans="1:40" ht="15" customHeight="1">
      <c r="A842" s="258" t="s">
        <v>2460</v>
      </c>
      <c r="B842" s="263">
        <f>'Dry_Litterbag Placem_Collection'!A183</f>
        <v>181</v>
      </c>
      <c r="C842" s="263" t="str">
        <f>'Dry_Litterbag Placem_Collection'!B183</f>
        <v>Handajega</v>
      </c>
      <c r="D842" s="263" t="s">
        <v>2659</v>
      </c>
      <c r="E842" s="263" t="s">
        <v>2661</v>
      </c>
      <c r="F842" s="263">
        <v>3</v>
      </c>
      <c r="G842" s="264" t="str">
        <f>'Dry_Litterbag Placem_Collection'!C183</f>
        <v>Wet_W3_T5</v>
      </c>
      <c r="H842" s="273" t="s">
        <v>3651</v>
      </c>
      <c r="I842" s="274" t="s">
        <v>298</v>
      </c>
      <c r="J842" s="223" t="str">
        <f>'WetLitterbags placem_collection'!Q183</f>
        <v>R291</v>
      </c>
      <c r="K842" s="225">
        <f>IFERROR(INDEX('Green_rooibos initial weight'!$C$5:$C$1749,MATCH(J842, 'Green_rooibos initial weight'!$A$5:$A$1749,0)),"")</f>
        <v>2.2320000000000002</v>
      </c>
      <c r="L842" s="225">
        <f>IFERROR(K842-(TBIcalc!$H$9+TBIcalc!$H$10),"")</f>
        <v>1.9822000000000002</v>
      </c>
      <c r="M842" s="391">
        <f>AVERAGE(Ashed_controlls!$K$12:$K$14)</f>
        <v>2.2816647271287041</v>
      </c>
      <c r="N842" s="225">
        <f t="shared" si="70"/>
        <v>1.936972841778855</v>
      </c>
      <c r="O842" s="225">
        <f>IF(IFERROR(INDEX('Both teabags AfterWet'!$C$3:$C$841,MATCH(J842,'Both teabags AfterWet'!$A$3:$A$841,0)),"")="","",(IFERROR(INDEX('Both teabags AfterWet'!$C$3:$C$841,MATCH(J842,'Both teabags AfterWet'!$A$3:$A$841,0)),"")))</f>
        <v>1.6970000000000001</v>
      </c>
      <c r="P842" s="225">
        <f>IFERROR(IF(O842&gt;0,O842-(TBIcalc!$H$9),""),"")</f>
        <v>1.5464</v>
      </c>
      <c r="Q842" s="225">
        <f>IFERROR(INDEX('Ashed teabags wet'!$K$2:$K$821,MATCH(J842,'Ashed teabags wet'!$A$2:$A$821,0)),"")</f>
        <v>2.1348859776812832</v>
      </c>
      <c r="R842" s="225">
        <f t="shared" si="68"/>
        <v>1.5133861232411365</v>
      </c>
      <c r="S842" s="226">
        <f>'WetLitterbags placem_collection'!E183</f>
        <v>42763</v>
      </c>
      <c r="T842" s="226">
        <f>IF('WetLitterbags placem_collection'!G183="","",'WetLitterbags placem_collection'!G183)</f>
        <v>42815</v>
      </c>
      <c r="U842" s="227">
        <f t="shared" si="69"/>
        <v>52</v>
      </c>
      <c r="V842" s="225">
        <f t="shared" si="71"/>
        <v>0.43580000000000019</v>
      </c>
      <c r="W842" s="225">
        <f t="shared" si="72"/>
        <v>0.42358671853771845</v>
      </c>
      <c r="X842">
        <f>IFERROR(INDEX(Rainfall_Wet!$O$2:$O$217,MATCH(B842, Rainfall_Wet!$A$2:$A$217,0)),"")</f>
        <v>188.24043152799999</v>
      </c>
      <c r="Y842" s="231">
        <v>25.96</v>
      </c>
      <c r="Z842" s="231">
        <v>8.9200000000000017</v>
      </c>
      <c r="AA842" s="231">
        <v>65.12</v>
      </c>
      <c r="AB842" s="232" t="s">
        <v>2670</v>
      </c>
      <c r="AC842" s="231">
        <v>5.6145884672252304</v>
      </c>
      <c r="AD842">
        <f>IF('WetLitterbags placem_collection'!AB183="","",'WetLitterbags placem_collection'!AB183)</f>
        <v>11.4</v>
      </c>
      <c r="AE842">
        <f>IF('WetLitterbags placem_collection'!Z183="","",'WetLitterbags placem_collection'!Z183)</f>
        <v>15.8</v>
      </c>
      <c r="AF842" s="24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placem_collection'!Y183)),"YES","NO")</f>
        <v>NO</v>
      </c>
      <c r="AM842" t="str">
        <f>IF(ISNUMBER(SEARCH("H", 'WetLitterbags placem_collection'!Y183)),"YES","NO")</f>
        <v>NO</v>
      </c>
      <c r="AN842" t="str">
        <f>IF(ISNUMBER(SEARCH("R", 'WetLitterbags placem_collection'!Y183)),"YES","NO")</f>
        <v>NO</v>
      </c>
    </row>
    <row r="843" spans="1:40" ht="15" customHeight="1">
      <c r="A843" s="258" t="s">
        <v>2460</v>
      </c>
      <c r="B843" s="263">
        <f>'Dry_Litterbag Placem_Collection'!A184</f>
        <v>182</v>
      </c>
      <c r="C843" s="263" t="str">
        <f>'Dry_Litterbag Placem_Collection'!B184</f>
        <v>Handajega</v>
      </c>
      <c r="D843" s="263" t="s">
        <v>2659</v>
      </c>
      <c r="E843" s="263" t="s">
        <v>2661</v>
      </c>
      <c r="F843" s="263">
        <v>3</v>
      </c>
      <c r="G843" s="264" t="str">
        <f>'Dry_Litterbag Placem_Collection'!C184</f>
        <v>Wet_W3_T6</v>
      </c>
      <c r="H843" s="273" t="s">
        <v>3651</v>
      </c>
      <c r="I843" s="274" t="s">
        <v>298</v>
      </c>
      <c r="J843" s="223" t="str">
        <f>'WetLitterbags placem_collection'!Q184</f>
        <v>R537</v>
      </c>
      <c r="K843" s="225">
        <f>IFERROR(INDEX('Green_rooibos initial weight'!$C$5:$C$1749,MATCH(J843, 'Green_rooibos initial weight'!$A$5:$A$1749,0)),"")</f>
        <v>2.145</v>
      </c>
      <c r="L843" s="225">
        <f>IFERROR(K843-(TBIcalc!$H$9+TBIcalc!$H$10),"")</f>
        <v>1.8952</v>
      </c>
      <c r="M843" s="391">
        <f>AVERAGE(Ashed_controlls!$K$12:$K$14)</f>
        <v>2.2816647271287041</v>
      </c>
      <c r="N843" s="225">
        <f t="shared" si="70"/>
        <v>1.8519578900914568</v>
      </c>
      <c r="O843" s="225">
        <f>IF(IFERROR(INDEX('Both teabags AfterWet'!$C$3:$C$841,MATCH(J843,'Both teabags AfterWet'!$A$3:$A$841,0)),"")="","",(IFERROR(INDEX('Both teabags AfterWet'!$C$3:$C$841,MATCH(J843,'Both teabags AfterWet'!$A$3:$A$841,0)),"")))</f>
        <v>1.7152000000000001</v>
      </c>
      <c r="P843" s="225">
        <f>IFERROR(IF(O843&gt;0,O843-(TBIcalc!$H$9),""),"")</f>
        <v>1.5646</v>
      </c>
      <c r="Q843" s="225">
        <f>IFERROR(INDEX('Ashed teabags wet'!$K$2:$K$821,MATCH(J843,'Ashed teabags wet'!$A$2:$A$821,0)),"")</f>
        <v>2.0958083832334542</v>
      </c>
      <c r="R843" s="225">
        <f t="shared" ref="R843:R881" si="73">IFERROR(P843-(Q843/100)*P843,"")</f>
        <v>1.5318089820359293</v>
      </c>
      <c r="S843" s="226">
        <f>'WetLitterbags placem_collection'!E184</f>
        <v>42763</v>
      </c>
      <c r="T843" s="226">
        <f>IF('WetLitterbags placem_collection'!G184="","",'WetLitterbags placem_collection'!G184)</f>
        <v>42815</v>
      </c>
      <c r="U843" s="227">
        <f t="shared" si="69"/>
        <v>52</v>
      </c>
      <c r="V843" s="225">
        <f t="shared" si="71"/>
        <v>0.3306</v>
      </c>
      <c r="W843" s="225">
        <f t="shared" si="72"/>
        <v>0.32014890805552754</v>
      </c>
      <c r="X843">
        <f>IFERROR(INDEX(Rainfall_Wet!$O$2:$O$217,MATCH(B843, Rainfall_Wet!$A$2:$A$217,0)),"")</f>
        <v>188.24043152799999</v>
      </c>
      <c r="Y843" s="231">
        <v>25.96</v>
      </c>
      <c r="Z843" s="231">
        <v>8.9200000000000017</v>
      </c>
      <c r="AA843" s="231">
        <v>65.12</v>
      </c>
      <c r="AB843" s="232" t="s">
        <v>2670</v>
      </c>
      <c r="AC843" s="231">
        <v>6.6145884672252304</v>
      </c>
      <c r="AD843">
        <f>IF('WetLitterbags placem_collection'!AB184="","",'WetLitterbags placem_collection'!AB184)</f>
        <v>8.8000000000000007</v>
      </c>
      <c r="AE843">
        <f>IF('WetLitterbags placem_collection'!Z184="","",'WetLitterbags placem_collection'!Z184)</f>
        <v>15.8</v>
      </c>
      <c r="AF843" s="24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placem_collection'!Y184)),"YES","NO")</f>
        <v>NO</v>
      </c>
      <c r="AM843" t="str">
        <f>IF(ISNUMBER(SEARCH("H", 'WetLitterbags placem_collection'!Y184)),"YES","NO")</f>
        <v>NO</v>
      </c>
      <c r="AN843" t="str">
        <f>IF(ISNUMBER(SEARCH("R", 'WetLitterbags placem_collection'!Y184)),"YES","NO")</f>
        <v>NO</v>
      </c>
    </row>
    <row r="844" spans="1:40" ht="15" customHeight="1">
      <c r="A844" s="258" t="s">
        <v>2460</v>
      </c>
      <c r="B844" s="263">
        <f>'Dry_Litterbag Placem_Collection'!A185</f>
        <v>183</v>
      </c>
      <c r="C844" s="263" t="str">
        <f>'Dry_Litterbag Placem_Collection'!B185</f>
        <v>Handajega</v>
      </c>
      <c r="D844" s="263" t="s">
        <v>2659</v>
      </c>
      <c r="E844" s="263" t="s">
        <v>2661</v>
      </c>
      <c r="F844" s="263">
        <v>3</v>
      </c>
      <c r="G844" s="264" t="str">
        <f>'Dry_Litterbag Placem_Collection'!C185</f>
        <v>Wet_W3_T7</v>
      </c>
      <c r="H844" s="273" t="s">
        <v>3651</v>
      </c>
      <c r="I844" s="274" t="s">
        <v>298</v>
      </c>
      <c r="J844" s="223" t="str">
        <f>'WetLitterbags placem_collection'!Q185</f>
        <v>R290</v>
      </c>
      <c r="K844" s="225">
        <f>IFERROR(INDEX('Green_rooibos initial weight'!$C$5:$C$1749,MATCH(J844, 'Green_rooibos initial weight'!$A$5:$A$1749,0)),"")</f>
        <v>2.153</v>
      </c>
      <c r="L844" s="225">
        <f>IFERROR(K844-(TBIcalc!$H$9+TBIcalc!$H$10),"")</f>
        <v>1.9032</v>
      </c>
      <c r="M844" s="391">
        <f>AVERAGE(Ashed_controlls!$K$12:$K$14)</f>
        <v>2.2816647271287041</v>
      </c>
      <c r="N844" s="225">
        <f t="shared" si="70"/>
        <v>1.8597753569132864</v>
      </c>
      <c r="O844" s="225">
        <f>IF(IFERROR(INDEX('Both teabags AfterWet'!$C$3:$C$841,MATCH(J844,'Both teabags AfterWet'!$A$3:$A$841,0)),"")="","",(IFERROR(INDEX('Both teabags AfterWet'!$C$3:$C$841,MATCH(J844,'Both teabags AfterWet'!$A$3:$A$841,0)),"")))</f>
        <v>1.7310000000000001</v>
      </c>
      <c r="P844" s="225">
        <f>IFERROR(IF(O844&gt;0,O844-(TBIcalc!$H$9),""),"")</f>
        <v>1.5804</v>
      </c>
      <c r="Q844" s="225">
        <f>IFERROR(INDEX('Ashed teabags wet'!$K$2:$K$821,MATCH(J844,'Ashed teabags wet'!$A$2:$A$821,0)),"")</f>
        <v>2.639442231076139</v>
      </c>
      <c r="R844" s="225">
        <f t="shared" si="73"/>
        <v>1.5386862549800728</v>
      </c>
      <c r="S844" s="226">
        <f>'WetLitterbags placem_collection'!E185</f>
        <v>42763</v>
      </c>
      <c r="T844" s="226">
        <f>IF('WetLitterbags placem_collection'!G185="","",'WetLitterbags placem_collection'!G185)</f>
        <v>42815</v>
      </c>
      <c r="U844" s="227">
        <f t="shared" si="69"/>
        <v>52</v>
      </c>
      <c r="V844" s="225">
        <f t="shared" si="71"/>
        <v>0.32279999999999998</v>
      </c>
      <c r="W844" s="225">
        <f t="shared" si="72"/>
        <v>0.32108910193321361</v>
      </c>
      <c r="X844">
        <f>IFERROR(INDEX(Rainfall_Wet!$O$2:$O$217,MATCH(B844, Rainfall_Wet!$A$2:$A$217,0)),"")</f>
        <v>188.24043152799999</v>
      </c>
      <c r="Y844" s="231">
        <v>25.96</v>
      </c>
      <c r="Z844" s="231">
        <v>8.9200000000000017</v>
      </c>
      <c r="AA844" s="231">
        <v>65.12</v>
      </c>
      <c r="AB844" s="232" t="s">
        <v>2670</v>
      </c>
      <c r="AC844" s="231">
        <v>7.6145884672252304</v>
      </c>
      <c r="AD844">
        <f>IF('WetLitterbags placem_collection'!AB185="","",'WetLitterbags placem_collection'!AB185)</f>
        <v>11.4</v>
      </c>
      <c r="AE844">
        <f>IF('WetLitterbags placem_collection'!Z185="","",'WetLitterbags placem_collection'!Z185)</f>
        <v>35.799999999999997</v>
      </c>
      <c r="AF844" s="24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placem_collection'!Y185)),"YES","NO")</f>
        <v>NO</v>
      </c>
      <c r="AM844" t="str">
        <f>IF(ISNUMBER(SEARCH("H", 'WetLitterbags placem_collection'!Y185)),"YES","NO")</f>
        <v>NO</v>
      </c>
      <c r="AN844" t="str">
        <f>IF(ISNUMBER(SEARCH("R", 'WetLitterbags placem_collection'!Y185)),"YES","NO")</f>
        <v>NO</v>
      </c>
    </row>
    <row r="845" spans="1:40" ht="15" customHeight="1">
      <c r="A845" s="258" t="s">
        <v>2460</v>
      </c>
      <c r="B845" s="263">
        <f>'Dry_Litterbag Placem_Collection'!A186</f>
        <v>184</v>
      </c>
      <c r="C845" s="263" t="str">
        <f>'Dry_Litterbag Placem_Collection'!B186</f>
        <v>Handajega</v>
      </c>
      <c r="D845" s="263" t="s">
        <v>2659</v>
      </c>
      <c r="E845" s="263" t="s">
        <v>2661</v>
      </c>
      <c r="F845" s="263">
        <v>3</v>
      </c>
      <c r="G845" s="264" t="str">
        <f>'Dry_Litterbag Placem_Collection'!C186</f>
        <v>Wet_W3_T8</v>
      </c>
      <c r="H845" s="273" t="s">
        <v>3651</v>
      </c>
      <c r="I845" s="274" t="s">
        <v>298</v>
      </c>
      <c r="J845" s="223" t="str">
        <f>'WetLitterbags placem_collection'!Q186</f>
        <v>R555</v>
      </c>
      <c r="K845" s="225">
        <f>IFERROR(INDEX('Green_rooibos initial weight'!$C$5:$C$1749,MATCH(J845, 'Green_rooibos initial weight'!$A$5:$A$1749,0)),"")</f>
        <v>2.1789999999999998</v>
      </c>
      <c r="L845" s="225">
        <f>IFERROR(K845-(TBIcalc!$H$9+TBIcalc!$H$10),"")</f>
        <v>1.9291999999999998</v>
      </c>
      <c r="M845" s="391">
        <f>AVERAGE(Ashed_controlls!$K$12:$K$14)</f>
        <v>2.2816647271287041</v>
      </c>
      <c r="N845" s="225">
        <f t="shared" si="70"/>
        <v>1.8851821240842328</v>
      </c>
      <c r="O845" s="225">
        <f>IF(IFERROR(INDEX('Both teabags AfterWet'!$C$3:$C$841,MATCH(J845,'Both teabags AfterWet'!$A$3:$A$841,0)),"")="","",(IFERROR(INDEX('Both teabags AfterWet'!$C$3:$C$841,MATCH(J845,'Both teabags AfterWet'!$A$3:$A$841,0)),"")))</f>
        <v>1.7096</v>
      </c>
      <c r="P845" s="225">
        <f>IFERROR(IF(O845&gt;0,O845-(TBIcalc!$H$9),""),"")</f>
        <v>1.5589999999999999</v>
      </c>
      <c r="Q845" s="225">
        <f>IFERROR(INDEX('Ashed teabags wet'!$K$2:$K$821,MATCH(J845,'Ashed teabags wet'!$A$2:$A$821,0)),"")</f>
        <v>2.750491159135366</v>
      </c>
      <c r="R845" s="225">
        <f t="shared" si="73"/>
        <v>1.5161198428290796</v>
      </c>
      <c r="S845" s="226">
        <f>'WetLitterbags placem_collection'!E186</f>
        <v>42763</v>
      </c>
      <c r="T845" s="226">
        <f>IF('WetLitterbags placem_collection'!G186="","",'WetLitterbags placem_collection'!G186)</f>
        <v>42815</v>
      </c>
      <c r="U845" s="227">
        <f t="shared" si="69"/>
        <v>52</v>
      </c>
      <c r="V845" s="225">
        <f t="shared" si="71"/>
        <v>0.37019999999999986</v>
      </c>
      <c r="W845" s="225">
        <f t="shared" si="72"/>
        <v>0.36906228125515317</v>
      </c>
      <c r="X845">
        <f>IFERROR(INDEX(Rainfall_Wet!$O$2:$O$217,MATCH(B845, Rainfall_Wet!$A$2:$A$217,0)),"")</f>
        <v>188.24043152799999</v>
      </c>
      <c r="Y845" s="231">
        <v>25.96</v>
      </c>
      <c r="Z845" s="231">
        <v>8.9200000000000017</v>
      </c>
      <c r="AA845" s="231">
        <v>65.12</v>
      </c>
      <c r="AB845" s="232" t="s">
        <v>2670</v>
      </c>
      <c r="AC845" s="231">
        <v>8.6145884672252304</v>
      </c>
      <c r="AD845">
        <f>IF('WetLitterbags placem_collection'!AB186="","",'WetLitterbags placem_collection'!AB186)</f>
        <v>3.7</v>
      </c>
      <c r="AE845">
        <f>IF('WetLitterbags placem_collection'!Z186="","",'WetLitterbags placem_collection'!Z186)</f>
        <v>16.399999999999999</v>
      </c>
      <c r="AF845" s="24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placem_collection'!Y186)),"YES","NO")</f>
        <v>NO</v>
      </c>
      <c r="AM845" t="str">
        <f>IF(ISNUMBER(SEARCH("H", 'WetLitterbags placem_collection'!Y186)),"YES","NO")</f>
        <v>NO</v>
      </c>
      <c r="AN845" t="str">
        <f>IF(ISNUMBER(SEARCH("R", 'WetLitterbags placem_collection'!Y186)),"YES","NO")</f>
        <v>NO</v>
      </c>
    </row>
    <row r="846" spans="1:40" ht="15" customHeight="1">
      <c r="A846" s="258" t="s">
        <v>2460</v>
      </c>
      <c r="B846" s="263">
        <f>'Dry_Litterbag Placem_Collection'!A187</f>
        <v>185</v>
      </c>
      <c r="C846" s="263" t="str">
        <f>'Dry_Litterbag Placem_Collection'!B187</f>
        <v>Handajega</v>
      </c>
      <c r="D846" s="263" t="s">
        <v>2659</v>
      </c>
      <c r="E846" s="263" t="s">
        <v>2661</v>
      </c>
      <c r="F846" s="263">
        <v>4</v>
      </c>
      <c r="G846" s="264" t="str">
        <f>'Dry_Litterbag Placem_Collection'!C187</f>
        <v>Wet_W4_T1</v>
      </c>
      <c r="H846" s="273" t="s">
        <v>3651</v>
      </c>
      <c r="I846" s="274" t="s">
        <v>298</v>
      </c>
      <c r="J846" s="223" t="str">
        <f>'WetLitterbags placem_collection'!Q187</f>
        <v>R539</v>
      </c>
      <c r="K846" s="225">
        <f>IFERROR(INDEX('Green_rooibos initial weight'!$C$5:$C$1749,MATCH(J846, 'Green_rooibos initial weight'!$A$5:$A$1749,0)),"")</f>
        <v>2.16</v>
      </c>
      <c r="L846" s="225">
        <f>IFERROR(K846-(TBIcalc!$H$9+TBIcalc!$H$10),"")</f>
        <v>1.9102000000000001</v>
      </c>
      <c r="M846" s="391">
        <f>AVERAGE(Ashed_controlls!$K$12:$K$14)</f>
        <v>2.2816647271287041</v>
      </c>
      <c r="N846" s="225">
        <f t="shared" si="70"/>
        <v>1.8666156403823877</v>
      </c>
      <c r="O846" s="225">
        <f>IF(IFERROR(INDEX('Both teabags AfterWet'!$C$3:$C$841,MATCH(J846,'Both teabags AfterWet'!$A$3:$A$841,0)),"")="","",(IFERROR(INDEX('Both teabags AfterWet'!$C$3:$C$841,MATCH(J846,'Both teabags AfterWet'!$A$3:$A$841,0)),"")))</f>
        <v>1.7513000000000001</v>
      </c>
      <c r="P846" s="225">
        <f>IFERROR(IF(O846&gt;0,O846-(TBIcalc!$H$9),""),"")</f>
        <v>1.6007</v>
      </c>
      <c r="Q846" s="225">
        <f>IFERROR(INDEX('Ashed teabags wet'!$K$2:$K$821,MATCH(J846,'Ashed teabags wet'!$A$2:$A$821,0)),"")</f>
        <v>1.5944195316393635</v>
      </c>
      <c r="R846" s="225">
        <f t="shared" si="73"/>
        <v>1.5751781265570488</v>
      </c>
      <c r="S846" s="226">
        <f>'WetLitterbags placem_collection'!E187</f>
        <v>42763</v>
      </c>
      <c r="T846" s="226">
        <f>IF('WetLitterbags placem_collection'!G187="","",'WetLitterbags placem_collection'!G187)</f>
        <v>42815</v>
      </c>
      <c r="U846" s="227">
        <f t="shared" si="69"/>
        <v>52</v>
      </c>
      <c r="V846" s="225">
        <f t="shared" si="71"/>
        <v>0.30950000000000011</v>
      </c>
      <c r="W846" s="225">
        <f t="shared" si="72"/>
        <v>0.29143751382533889</v>
      </c>
      <c r="X846">
        <f>IFERROR(INDEX(Rainfall_Wet!$O$2:$O$217,MATCH(B846, Rainfall_Wet!$A$2:$A$217,0)),"")</f>
        <v>188.24043152799999</v>
      </c>
      <c r="Y846" s="231">
        <v>25.96</v>
      </c>
      <c r="Z846" s="231">
        <v>8.9200000000000017</v>
      </c>
      <c r="AA846" s="231">
        <v>65.12</v>
      </c>
      <c r="AB846" s="232" t="s">
        <v>2670</v>
      </c>
      <c r="AC846" s="231">
        <v>1.6991621488417901</v>
      </c>
      <c r="AD846">
        <f>IF('WetLitterbags placem_collection'!AB187="","",'WetLitterbags placem_collection'!AB187)</f>
        <v>9.8000000000000007</v>
      </c>
      <c r="AE846">
        <f>IF('WetLitterbags placem_collection'!Z187="","",'WetLitterbags placem_collection'!Z187)</f>
        <v>29.4</v>
      </c>
      <c r="AF846" s="24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placem_collection'!Y187)),"YES","NO")</f>
        <v>NO</v>
      </c>
      <c r="AM846" t="str">
        <f>IF(ISNUMBER(SEARCH("H", 'WetLitterbags placem_collection'!Y187)),"YES","NO")</f>
        <v>NO</v>
      </c>
      <c r="AN846" t="str">
        <f>IF(ISNUMBER(SEARCH("R", 'WetLitterbags placem_collection'!Y187)),"YES","NO")</f>
        <v>NO</v>
      </c>
    </row>
    <row r="847" spans="1:40" ht="15" customHeight="1">
      <c r="A847" s="258" t="s">
        <v>2460</v>
      </c>
      <c r="B847" s="263">
        <f>'Dry_Litterbag Placem_Collection'!A188</f>
        <v>186</v>
      </c>
      <c r="C847" s="263" t="str">
        <f>'Dry_Litterbag Placem_Collection'!B188</f>
        <v>Handajega</v>
      </c>
      <c r="D847" s="263" t="s">
        <v>2659</v>
      </c>
      <c r="E847" s="263" t="s">
        <v>2661</v>
      </c>
      <c r="F847" s="263">
        <v>4</v>
      </c>
      <c r="G847" s="264" t="str">
        <f>'Dry_Litterbag Placem_Collection'!C188</f>
        <v>Wet_W4_T2</v>
      </c>
      <c r="H847" s="273" t="s">
        <v>3651</v>
      </c>
      <c r="I847" s="274" t="s">
        <v>298</v>
      </c>
      <c r="J847" s="223" t="str">
        <f>'WetLitterbags placem_collection'!Q188</f>
        <v>R186</v>
      </c>
      <c r="K847" s="225">
        <f>IFERROR(INDEX('Green_rooibos initial weight'!$C$5:$C$1749,MATCH(J847, 'Green_rooibos initial weight'!$A$5:$A$1749,0)),"")</f>
        <v>2.2530000000000001</v>
      </c>
      <c r="L847" s="225">
        <f>IFERROR(K847-(TBIcalc!$H$9+TBIcalc!$H$10),"")</f>
        <v>2.0032000000000001</v>
      </c>
      <c r="M847" s="391">
        <f>AVERAGE(Ashed_controlls!$K$12:$K$14)</f>
        <v>2.2816647271287041</v>
      </c>
      <c r="N847" s="225">
        <f t="shared" si="70"/>
        <v>1.9574936921861579</v>
      </c>
      <c r="O847" s="225">
        <f>IF(IFERROR(INDEX('Both teabags AfterWet'!$C$3:$C$841,MATCH(J847,'Both teabags AfterWet'!$A$3:$A$841,0)),"")="","",(IFERROR(INDEX('Both teabags AfterWet'!$C$3:$C$841,MATCH(J847,'Both teabags AfterWet'!$A$3:$A$841,0)),"")))</f>
        <v>1.7809999999999999</v>
      </c>
      <c r="P847" s="225">
        <f>IFERROR(IF(O847&gt;0,O847-(TBIcalc!$H$9),""),"")</f>
        <v>1.6303999999999998</v>
      </c>
      <c r="Q847" s="225">
        <f>IFERROR(INDEX('Ashed teabags wet'!$K$2:$K$821,MATCH(J847,'Ashed teabags wet'!$A$2:$A$821,0)),"")</f>
        <v>2.2783556215947218</v>
      </c>
      <c r="R847" s="225">
        <f t="shared" si="73"/>
        <v>1.5932536899455194</v>
      </c>
      <c r="S847" s="226">
        <f>'WetLitterbags placem_collection'!E188</f>
        <v>42763</v>
      </c>
      <c r="T847" s="226">
        <f>IF('WetLitterbags placem_collection'!G188="","",'WetLitterbags placem_collection'!G188)</f>
        <v>42815</v>
      </c>
      <c r="U847" s="227">
        <f t="shared" si="69"/>
        <v>52</v>
      </c>
      <c r="V847" s="225">
        <f t="shared" si="71"/>
        <v>0.37280000000000024</v>
      </c>
      <c r="W847" s="225">
        <f t="shared" si="72"/>
        <v>0.36424000224063846</v>
      </c>
      <c r="X847">
        <f>IFERROR(INDEX(Rainfall_Wet!$O$2:$O$217,MATCH(B847, Rainfall_Wet!$A$2:$A$217,0)),"")</f>
        <v>188.24043152799999</v>
      </c>
      <c r="Y847" s="231">
        <v>25.96</v>
      </c>
      <c r="Z847" s="231">
        <v>8.9200000000000017</v>
      </c>
      <c r="AA847" s="231">
        <v>65.12</v>
      </c>
      <c r="AB847" s="232" t="s">
        <v>2670</v>
      </c>
      <c r="AC847" s="231">
        <v>2.6991621488417898</v>
      </c>
      <c r="AD847">
        <f>IF('WetLitterbags placem_collection'!AB188="","",'WetLitterbags placem_collection'!AB188)</f>
        <v>11.4</v>
      </c>
      <c r="AE847">
        <f>IF('WetLitterbags placem_collection'!Z188="","",'WetLitterbags placem_collection'!Z188)</f>
        <v>45.4</v>
      </c>
      <c r="AF847" s="24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placem_collection'!Y188)),"YES","NO")</f>
        <v>NO</v>
      </c>
      <c r="AM847" t="str">
        <f>IF(ISNUMBER(SEARCH("H", 'WetLitterbags placem_collection'!Y188)),"YES","NO")</f>
        <v>NO</v>
      </c>
      <c r="AN847" t="str">
        <f>IF(ISNUMBER(SEARCH("R", 'WetLitterbags placem_collection'!Y188)),"YES","NO")</f>
        <v>NO</v>
      </c>
    </row>
    <row r="848" spans="1:40" ht="15" customHeight="1">
      <c r="A848" s="258" t="s">
        <v>2460</v>
      </c>
      <c r="B848" s="263">
        <f>'Dry_Litterbag Placem_Collection'!A189</f>
        <v>187</v>
      </c>
      <c r="C848" s="263" t="str">
        <f>'Dry_Litterbag Placem_Collection'!B189</f>
        <v>Handajega</v>
      </c>
      <c r="D848" s="263" t="s">
        <v>2659</v>
      </c>
      <c r="E848" s="263" t="s">
        <v>2661</v>
      </c>
      <c r="F848" s="263">
        <v>4</v>
      </c>
      <c r="G848" s="264" t="str">
        <f>'Dry_Litterbag Placem_Collection'!C189</f>
        <v>Wet_W4_T3</v>
      </c>
      <c r="H848" s="273" t="s">
        <v>3651</v>
      </c>
      <c r="I848" s="274" t="s">
        <v>298</v>
      </c>
      <c r="J848" s="223" t="str">
        <f>'WetLitterbags placem_collection'!Q189</f>
        <v>R580</v>
      </c>
      <c r="K848" s="225">
        <f>IFERROR(INDEX('Green_rooibos initial weight'!$C$5:$C$1749,MATCH(J848, 'Green_rooibos initial weight'!$A$5:$A$1749,0)),"")</f>
        <v>2.0870000000000002</v>
      </c>
      <c r="L848" s="225">
        <f>IFERROR(K848-(TBIcalc!$H$9+TBIcalc!$H$10),"")</f>
        <v>1.8372000000000002</v>
      </c>
      <c r="M848" s="391">
        <f>AVERAGE(Ashed_controlls!$K$12:$K$14)</f>
        <v>2.2816647271287041</v>
      </c>
      <c r="N848" s="225">
        <f t="shared" si="70"/>
        <v>1.7952812556331916</v>
      </c>
      <c r="O848" s="225">
        <f>IF(IFERROR(INDEX('Both teabags AfterWet'!$C$3:$C$841,MATCH(J848,'Both teabags AfterWet'!$A$3:$A$841,0)),"")="","",(IFERROR(INDEX('Both teabags AfterWet'!$C$3:$C$841,MATCH(J848,'Both teabags AfterWet'!$A$3:$A$841,0)),"")))</f>
        <v>1.6225000000000001</v>
      </c>
      <c r="P848" s="225">
        <f>IFERROR(IF(O848&gt;0,O848-(TBIcalc!$H$9),""),"")</f>
        <v>1.4719</v>
      </c>
      <c r="Q848" s="225">
        <f>IFERROR(INDEX('Ashed teabags wet'!$K$2:$K$821,MATCH(J848,'Ashed teabags wet'!$A$2:$A$821,0)),"")</f>
        <v>2.0914396887151829</v>
      </c>
      <c r="R848" s="225">
        <f t="shared" si="73"/>
        <v>1.4411160992218013</v>
      </c>
      <c r="S848" s="226">
        <f>'WetLitterbags placem_collection'!E189</f>
        <v>42763</v>
      </c>
      <c r="T848" s="226">
        <f>IF('WetLitterbags placem_collection'!G189="","",'WetLitterbags placem_collection'!G189)</f>
        <v>42815</v>
      </c>
      <c r="U848" s="227">
        <f t="shared" si="69"/>
        <v>52</v>
      </c>
      <c r="V848" s="225">
        <f t="shared" si="71"/>
        <v>0.36530000000000018</v>
      </c>
      <c r="W848" s="225">
        <f t="shared" si="72"/>
        <v>0.35416515641139035</v>
      </c>
      <c r="X848">
        <f>IFERROR(INDEX(Rainfall_Wet!$O$2:$O$217,MATCH(B848, Rainfall_Wet!$A$2:$A$217,0)),"")</f>
        <v>188.24043152799999</v>
      </c>
      <c r="Y848" s="231">
        <v>25.96</v>
      </c>
      <c r="Z848" s="231">
        <v>8.9200000000000017</v>
      </c>
      <c r="AA848" s="231">
        <v>65.12</v>
      </c>
      <c r="AB848" s="232" t="s">
        <v>2670</v>
      </c>
      <c r="AC848" s="231">
        <v>3.6991621488417898</v>
      </c>
      <c r="AD848">
        <f>IF('WetLitterbags placem_collection'!AB189="","",'WetLitterbags placem_collection'!AB189)</f>
        <v>0.6</v>
      </c>
      <c r="AE848">
        <f>IF('WetLitterbags placem_collection'!Z189="","",'WetLitterbags placem_collection'!Z189)</f>
        <v>39.4</v>
      </c>
      <c r="AF848" s="24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placem_collection'!Y189)),"YES","NO")</f>
        <v>NO</v>
      </c>
      <c r="AM848" t="str">
        <f>IF(ISNUMBER(SEARCH("H", 'WetLitterbags placem_collection'!Y189)),"YES","NO")</f>
        <v>NO</v>
      </c>
      <c r="AN848" t="str">
        <f>IF(ISNUMBER(SEARCH("R", 'WetLitterbags placem_collection'!Y189)),"YES","NO")</f>
        <v>NO</v>
      </c>
    </row>
    <row r="849" spans="1:40" ht="15" customHeight="1">
      <c r="A849" s="258" t="s">
        <v>2460</v>
      </c>
      <c r="B849" s="263">
        <f>'Dry_Litterbag Placem_Collection'!A190</f>
        <v>188</v>
      </c>
      <c r="C849" s="263" t="str">
        <f>'Dry_Litterbag Placem_Collection'!B190</f>
        <v>Handajega</v>
      </c>
      <c r="D849" s="263" t="s">
        <v>2659</v>
      </c>
      <c r="E849" s="263" t="s">
        <v>2661</v>
      </c>
      <c r="F849" s="263">
        <v>4</v>
      </c>
      <c r="G849" s="264" t="str">
        <f>'Dry_Litterbag Placem_Collection'!C190</f>
        <v>Wet_W4_T4</v>
      </c>
      <c r="H849" s="273" t="s">
        <v>3651</v>
      </c>
      <c r="I849" s="274" t="s">
        <v>298</v>
      </c>
      <c r="J849" s="223" t="str">
        <f>'WetLitterbags placem_collection'!Q190</f>
        <v>R222</v>
      </c>
      <c r="K849" s="225">
        <f>IFERROR(INDEX('Green_rooibos initial weight'!$C$5:$C$1749,MATCH(J849, 'Green_rooibos initial weight'!$A$5:$A$1749,0)),"")</f>
        <v>2.194</v>
      </c>
      <c r="L849" s="225">
        <f>IFERROR(K849-(TBIcalc!$H$9+TBIcalc!$H$10),"")</f>
        <v>1.9441999999999999</v>
      </c>
      <c r="M849" s="391">
        <f>AVERAGE(Ashed_controlls!$K$12:$K$14)</f>
        <v>2.2816647271287041</v>
      </c>
      <c r="N849" s="225">
        <f t="shared" si="70"/>
        <v>1.8998398743751637</v>
      </c>
      <c r="O849" s="225">
        <f>IF(IFERROR(INDEX('Both teabags AfterWet'!$C$3:$C$841,MATCH(J849,'Both teabags AfterWet'!$A$3:$A$841,0)),"")="","",(IFERROR(INDEX('Both teabags AfterWet'!$C$3:$C$841,MATCH(J849,'Both teabags AfterWet'!$A$3:$A$841,0)),"")))</f>
        <v>1.5732999999999999</v>
      </c>
      <c r="P849" s="225">
        <f>IFERROR(IF(O849&gt;0,O849-(TBIcalc!$H$9),""),"")</f>
        <v>1.4226999999999999</v>
      </c>
      <c r="Q849" s="225">
        <f>IFERROR(INDEX('Ashed teabags wet'!$K$2:$K$821,MATCH(J849,'Ashed teabags wet'!$A$2:$A$821,0)),"")</f>
        <v>3.2535885167466505</v>
      </c>
      <c r="R849" s="225">
        <f t="shared" si="73"/>
        <v>1.3764111961722452</v>
      </c>
      <c r="S849" s="226">
        <f>'WetLitterbags placem_collection'!E190</f>
        <v>42763</v>
      </c>
      <c r="T849" s="226">
        <f>IF('WetLitterbags placem_collection'!G190="","",'WetLitterbags placem_collection'!G190)</f>
        <v>42815</v>
      </c>
      <c r="U849" s="227">
        <f t="shared" si="69"/>
        <v>52</v>
      </c>
      <c r="V849" s="225">
        <f t="shared" si="71"/>
        <v>0.52150000000000007</v>
      </c>
      <c r="W849" s="225">
        <f t="shared" si="72"/>
        <v>0.5234286782029185</v>
      </c>
      <c r="X849">
        <f>IFERROR(INDEX(Rainfall_Wet!$O$2:$O$217,MATCH(B849, Rainfall_Wet!$A$2:$A$217,0)),"")</f>
        <v>188.24043152799999</v>
      </c>
      <c r="Y849" s="231">
        <v>25.96</v>
      </c>
      <c r="Z849" s="231">
        <v>8.9200000000000017</v>
      </c>
      <c r="AA849" s="231">
        <v>65.12</v>
      </c>
      <c r="AB849" s="232" t="s">
        <v>2670</v>
      </c>
      <c r="AC849" s="231">
        <v>4.6991621488417898</v>
      </c>
      <c r="AD849">
        <f>IF('WetLitterbags placem_collection'!AB190="","",'WetLitterbags placem_collection'!AB190)</f>
        <v>2.2999999999999998</v>
      </c>
      <c r="AE849">
        <f>IF('WetLitterbags placem_collection'!Z190="","",'WetLitterbags placem_collection'!Z190)</f>
        <v>14.4</v>
      </c>
      <c r="AF849" s="24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placem_collection'!Y190)),"YES","NO")</f>
        <v>NO</v>
      </c>
      <c r="AM849" t="str">
        <f>IF(ISNUMBER(SEARCH("H", 'WetLitterbags placem_collection'!Y190)),"YES","NO")</f>
        <v>NO</v>
      </c>
      <c r="AN849" t="str">
        <f>IF(ISNUMBER(SEARCH("R", 'WetLitterbags placem_collection'!Y190)),"YES","NO")</f>
        <v>NO</v>
      </c>
    </row>
    <row r="850" spans="1:40" ht="15" customHeight="1">
      <c r="A850" s="258" t="s">
        <v>2460</v>
      </c>
      <c r="B850" s="263">
        <f>'Dry_Litterbag Placem_Collection'!A191</f>
        <v>189</v>
      </c>
      <c r="C850" s="263" t="str">
        <f>'Dry_Litterbag Placem_Collection'!B191</f>
        <v>Handajega</v>
      </c>
      <c r="D850" s="263" t="s">
        <v>2659</v>
      </c>
      <c r="E850" s="263" t="s">
        <v>2661</v>
      </c>
      <c r="F850" s="263">
        <v>4</v>
      </c>
      <c r="G850" s="264" t="str">
        <f>'Dry_Litterbag Placem_Collection'!C191</f>
        <v>Wet_W4_T5</v>
      </c>
      <c r="H850" s="273" t="s">
        <v>3651</v>
      </c>
      <c r="I850" s="274" t="s">
        <v>298</v>
      </c>
      <c r="J850" s="223" t="str">
        <f>'WetLitterbags placem_collection'!Q191</f>
        <v>R216</v>
      </c>
      <c r="K850" s="225">
        <f>IFERROR(INDEX('Green_rooibos initial weight'!$C$5:$C$1749,MATCH(J850, 'Green_rooibos initial weight'!$A$5:$A$1749,0)),"")</f>
        <v>2.1880000000000002</v>
      </c>
      <c r="L850" s="225">
        <f>IFERROR(K850-(TBIcalc!$H$9+TBIcalc!$H$10),"")</f>
        <v>1.9382000000000001</v>
      </c>
      <c r="M850" s="391">
        <f>AVERAGE(Ashed_controlls!$K$12:$K$14)</f>
        <v>2.2816647271287041</v>
      </c>
      <c r="N850" s="225">
        <f t="shared" si="70"/>
        <v>1.8939767742587916</v>
      </c>
      <c r="O850" s="225">
        <f>IF(IFERROR(INDEX('Both teabags AfterWet'!$C$3:$C$841,MATCH(J850,'Both teabags AfterWet'!$A$3:$A$841,0)),"")="","",(IFERROR(INDEX('Both teabags AfterWet'!$C$3:$C$841,MATCH(J850,'Both teabags AfterWet'!$A$3:$A$841,0)),"")))</f>
        <v>1.6973</v>
      </c>
      <c r="P850" s="225">
        <f>IFERROR(IF(O850&gt;0,O850-(TBIcalc!$H$9),""),"")</f>
        <v>1.5467</v>
      </c>
      <c r="Q850" s="225">
        <f>IFERROR(INDEX('Ashed teabags wet'!$K$2:$K$821,MATCH(J850,'Ashed teabags wet'!$A$2:$A$821,0)),"")</f>
        <v>2.7254707631314172</v>
      </c>
      <c r="R850" s="225">
        <f t="shared" si="73"/>
        <v>1.5045451437066464</v>
      </c>
      <c r="S850" s="226">
        <f>'WetLitterbags placem_collection'!E191</f>
        <v>42763</v>
      </c>
      <c r="T850" s="226">
        <f>IF('WetLitterbags placem_collection'!G191="","",'WetLitterbags placem_collection'!G191)</f>
        <v>42815</v>
      </c>
      <c r="U850" s="227">
        <f t="shared" si="69"/>
        <v>52</v>
      </c>
      <c r="V850" s="225">
        <f t="shared" si="71"/>
        <v>0.39150000000000018</v>
      </c>
      <c r="W850" s="225">
        <f t="shared" si="72"/>
        <v>0.38943163055214525</v>
      </c>
      <c r="X850">
        <f>IFERROR(INDEX(Rainfall_Wet!$O$2:$O$217,MATCH(B850, Rainfall_Wet!$A$2:$A$217,0)),"")</f>
        <v>188.24043152799999</v>
      </c>
      <c r="Y850" s="231">
        <v>25.96</v>
      </c>
      <c r="Z850" s="231">
        <v>8.9200000000000017</v>
      </c>
      <c r="AA850" s="231">
        <v>65.12</v>
      </c>
      <c r="AB850" s="232" t="s">
        <v>2670</v>
      </c>
      <c r="AC850" s="231">
        <v>5.6991621488417898</v>
      </c>
      <c r="AD850">
        <f>IF('WetLitterbags placem_collection'!AB191="","",'WetLitterbags placem_collection'!AB191)</f>
        <v>0.6</v>
      </c>
      <c r="AE850">
        <f>IF('WetLitterbags placem_collection'!Z191="","",'WetLitterbags placem_collection'!Z191)</f>
        <v>7</v>
      </c>
      <c r="AF850" s="24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placem_collection'!Y191)),"YES","NO")</f>
        <v>NO</v>
      </c>
      <c r="AM850" t="str">
        <f>IF(ISNUMBER(SEARCH("H", 'WetLitterbags placem_collection'!Y191)),"YES","NO")</f>
        <v>NO</v>
      </c>
      <c r="AN850" t="str">
        <f>IF(ISNUMBER(SEARCH("R", 'WetLitterbags placem_collection'!Y191)),"YES","NO")</f>
        <v>YES</v>
      </c>
    </row>
    <row r="851" spans="1:40" ht="15" customHeight="1">
      <c r="A851" s="258" t="s">
        <v>2460</v>
      </c>
      <c r="B851" s="263">
        <f>'Dry_Litterbag Placem_Collection'!A192</f>
        <v>190</v>
      </c>
      <c r="C851" s="263" t="str">
        <f>'Dry_Litterbag Placem_Collection'!B192</f>
        <v>Handajega</v>
      </c>
      <c r="D851" s="263" t="s">
        <v>2659</v>
      </c>
      <c r="E851" s="263" t="s">
        <v>2661</v>
      </c>
      <c r="F851" s="263">
        <v>4</v>
      </c>
      <c r="G851" s="264" t="str">
        <f>'Dry_Litterbag Placem_Collection'!C192</f>
        <v>Wet_W4_T6</v>
      </c>
      <c r="H851" s="273" t="s">
        <v>3651</v>
      </c>
      <c r="I851" s="274" t="s">
        <v>298</v>
      </c>
      <c r="J851" s="223" t="str">
        <f>'WetLitterbags placem_collection'!Q192</f>
        <v>R232</v>
      </c>
      <c r="K851" s="225">
        <f>IFERROR(INDEX('Green_rooibos initial weight'!$C$5:$C$1749,MATCH(J851, 'Green_rooibos initial weight'!$A$5:$A$1749,0)),"")</f>
        <v>2.2440000000000002</v>
      </c>
      <c r="L851" s="225">
        <f>IFERROR(K851-(TBIcalc!$H$9+TBIcalc!$H$10),"")</f>
        <v>1.9942000000000002</v>
      </c>
      <c r="M851" s="391">
        <f>AVERAGE(Ashed_controlls!$K$12:$K$14)</f>
        <v>2.2816647271287041</v>
      </c>
      <c r="N851" s="225">
        <f t="shared" si="70"/>
        <v>1.9486990420115995</v>
      </c>
      <c r="O851" s="225">
        <f>IF(IFERROR(INDEX('Both teabags AfterWet'!$C$3:$C$841,MATCH(J851,'Both teabags AfterWet'!$A$3:$A$841,0)),"")="","",(IFERROR(INDEX('Both teabags AfterWet'!$C$3:$C$841,MATCH(J851,'Both teabags AfterWet'!$A$3:$A$841,0)),"")))</f>
        <v>1.7355</v>
      </c>
      <c r="P851" s="225">
        <f>IFERROR(IF(O851&gt;0,O851-(TBIcalc!$H$9),""),"")</f>
        <v>1.5849</v>
      </c>
      <c r="Q851" s="225">
        <f>IFERROR(INDEX('Ashed teabags wet'!$K$2:$K$821,MATCH(J851,'Ashed teabags wet'!$A$2:$A$821,0)),"")</f>
        <v>2.2167487684728533</v>
      </c>
      <c r="R851" s="225">
        <f t="shared" si="73"/>
        <v>1.5497667487684736</v>
      </c>
      <c r="S851" s="226">
        <f>'WetLitterbags placem_collection'!E192</f>
        <v>42763</v>
      </c>
      <c r="T851" s="226">
        <f>IF('WetLitterbags placem_collection'!G192="","",'WetLitterbags placem_collection'!G192)</f>
        <v>42815</v>
      </c>
      <c r="U851" s="227">
        <f t="shared" si="69"/>
        <v>52</v>
      </c>
      <c r="V851" s="225">
        <f t="shared" si="71"/>
        <v>0.40930000000000022</v>
      </c>
      <c r="W851" s="225">
        <f t="shared" si="72"/>
        <v>0.39893229324312585</v>
      </c>
      <c r="X851">
        <f>IFERROR(INDEX(Rainfall_Wet!$O$2:$O$217,MATCH(B851, Rainfall_Wet!$A$2:$A$217,0)),"")</f>
        <v>188.24043152799999</v>
      </c>
      <c r="Y851" s="231">
        <v>25.96</v>
      </c>
      <c r="Z851" s="231">
        <v>8.9200000000000017</v>
      </c>
      <c r="AA851" s="231">
        <v>65.12</v>
      </c>
      <c r="AB851" s="232" t="s">
        <v>2670</v>
      </c>
      <c r="AC851" s="231">
        <v>6.6991621488417898</v>
      </c>
      <c r="AD851">
        <f>IF('WetLitterbags placem_collection'!AB192="","",'WetLitterbags placem_collection'!AB192)</f>
        <v>9.5</v>
      </c>
      <c r="AE851">
        <f>IF('WetLitterbags placem_collection'!Z192="","",'WetLitterbags placem_collection'!Z192)</f>
        <v>17.399999999999999</v>
      </c>
      <c r="AF851" s="24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placem_collection'!Y192)),"YES","NO")</f>
        <v>NO</v>
      </c>
      <c r="AM851" t="str">
        <f>IF(ISNUMBER(SEARCH("H", 'WetLitterbags placem_collection'!Y192)),"YES","NO")</f>
        <v>NO</v>
      </c>
      <c r="AN851" t="str">
        <f>IF(ISNUMBER(SEARCH("R", 'WetLitterbags placem_collection'!Y192)),"YES","NO")</f>
        <v>NO</v>
      </c>
    </row>
    <row r="852" spans="1:40" ht="15" customHeight="1">
      <c r="A852" s="258" t="s">
        <v>2460</v>
      </c>
      <c r="B852" s="263">
        <f>'Dry_Litterbag Placem_Collection'!A193</f>
        <v>191</v>
      </c>
      <c r="C852" s="263" t="str">
        <f>'Dry_Litterbag Placem_Collection'!B193</f>
        <v>Handajega</v>
      </c>
      <c r="D852" s="263" t="s">
        <v>2659</v>
      </c>
      <c r="E852" s="263" t="s">
        <v>2661</v>
      </c>
      <c r="F852" s="263">
        <v>4</v>
      </c>
      <c r="G852" s="264" t="str">
        <f>'Dry_Litterbag Placem_Collection'!C193</f>
        <v>Wet_W4_T7</v>
      </c>
      <c r="H852" s="273" t="s">
        <v>3651</v>
      </c>
      <c r="I852" s="274" t="s">
        <v>298</v>
      </c>
      <c r="J852" s="223" t="str">
        <f>'WetLitterbags placem_collection'!Q193</f>
        <v>R387</v>
      </c>
      <c r="K852" s="225">
        <f>IFERROR(INDEX('Green_rooibos initial weight'!$C$5:$C$1749,MATCH(J852, 'Green_rooibos initial weight'!$A$5:$A$1749,0)),"")</f>
        <v>2.1080000000000001</v>
      </c>
      <c r="L852" s="225">
        <f>IFERROR(K852-(TBIcalc!$H$9+TBIcalc!$H$10),"")</f>
        <v>1.8582000000000001</v>
      </c>
      <c r="M852" s="391">
        <f>AVERAGE(Ashed_controlls!$K$12:$K$14)</f>
        <v>2.2816647271287041</v>
      </c>
      <c r="N852" s="225">
        <f t="shared" si="70"/>
        <v>1.8158021060404945</v>
      </c>
      <c r="O852" s="225">
        <f>IF(IFERROR(INDEX('Both teabags AfterWet'!$C$3:$C$841,MATCH(J852,'Both teabags AfterWet'!$A$3:$A$841,0)),"")="","",(IFERROR(INDEX('Both teabags AfterWet'!$C$3:$C$841,MATCH(J852,'Both teabags AfterWet'!$A$3:$A$841,0)),"")))</f>
        <v>1.6520999999999999</v>
      </c>
      <c r="P852" s="225">
        <f>IFERROR(IF(O852&gt;0,O852-(TBIcalc!$H$9),""),"")</f>
        <v>1.5014999999999998</v>
      </c>
      <c r="Q852" s="225">
        <f>IFERROR(INDEX('Ashed teabags wet'!$K$2:$K$821,MATCH(J852,'Ashed teabags wet'!$A$2:$A$821,0)),"")</f>
        <v>2.1414342629480405</v>
      </c>
      <c r="R852" s="225">
        <f t="shared" si="73"/>
        <v>1.469346364541835</v>
      </c>
      <c r="S852" s="226">
        <f>'WetLitterbags placem_collection'!E193</f>
        <v>42763</v>
      </c>
      <c r="T852" s="226">
        <f>IF('WetLitterbags placem_collection'!G193="","",'WetLitterbags placem_collection'!G193)</f>
        <v>42815</v>
      </c>
      <c r="U852" s="227">
        <f t="shared" si="69"/>
        <v>52</v>
      </c>
      <c r="V852" s="225">
        <f t="shared" si="71"/>
        <v>0.35670000000000024</v>
      </c>
      <c r="W852" s="225">
        <f t="shared" si="72"/>
        <v>0.34645574149865954</v>
      </c>
      <c r="X852">
        <f>IFERROR(INDEX(Rainfall_Wet!$O$2:$O$217,MATCH(B852, Rainfall_Wet!$A$2:$A$217,0)),"")</f>
        <v>188.24043152799999</v>
      </c>
      <c r="Y852" s="231">
        <v>25.96</v>
      </c>
      <c r="Z852" s="231">
        <v>8.9200000000000017</v>
      </c>
      <c r="AA852" s="231">
        <v>65.12</v>
      </c>
      <c r="AB852" s="232" t="s">
        <v>2670</v>
      </c>
      <c r="AC852" s="231">
        <v>7.6991621488417898</v>
      </c>
      <c r="AD852">
        <f>IF('WetLitterbags placem_collection'!AB193="","",'WetLitterbags placem_collection'!AB193)</f>
        <v>12.4</v>
      </c>
      <c r="AE852">
        <f>IF('WetLitterbags placem_collection'!Z193="","",'WetLitterbags placem_collection'!Z193)</f>
        <v>29.8</v>
      </c>
      <c r="AF852" s="24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placem_collection'!Y193)),"YES","NO")</f>
        <v>NO</v>
      </c>
      <c r="AM852" t="str">
        <f>IF(ISNUMBER(SEARCH("H", 'WetLitterbags placem_collection'!Y193)),"YES","NO")</f>
        <v>NO</v>
      </c>
      <c r="AN852" t="str">
        <f>IF(ISNUMBER(SEARCH("R", 'WetLitterbags placem_collection'!Y193)),"YES","NO")</f>
        <v>NO</v>
      </c>
    </row>
    <row r="853" spans="1:40" ht="15" customHeight="1">
      <c r="A853" s="258" t="s">
        <v>2460</v>
      </c>
      <c r="B853" s="263">
        <f>'Dry_Litterbag Placem_Collection'!A194</f>
        <v>192</v>
      </c>
      <c r="C853" s="263" t="str">
        <f>'Dry_Litterbag Placem_Collection'!B194</f>
        <v>Handajega</v>
      </c>
      <c r="D853" s="263" t="s">
        <v>2659</v>
      </c>
      <c r="E853" s="263" t="s">
        <v>2661</v>
      </c>
      <c r="F853" s="263">
        <v>4</v>
      </c>
      <c r="G853" s="264" t="str">
        <f>'Dry_Litterbag Placem_Collection'!C194</f>
        <v>Wet_W4_T8</v>
      </c>
      <c r="H853" s="273" t="s">
        <v>3651</v>
      </c>
      <c r="I853" s="274" t="s">
        <v>298</v>
      </c>
      <c r="J853" s="223" t="str">
        <f>'WetLitterbags placem_collection'!Q194</f>
        <v>R346</v>
      </c>
      <c r="K853" s="225">
        <f>IFERROR(INDEX('Green_rooibos initial weight'!$C$5:$C$1749,MATCH(J853, 'Green_rooibos initial weight'!$A$5:$A$1749,0)),"")</f>
        <v>2.2349999999999999</v>
      </c>
      <c r="L853" s="225">
        <f>IFERROR(K853-(TBIcalc!$H$9+TBIcalc!$H$10),"")</f>
        <v>1.9851999999999999</v>
      </c>
      <c r="M853" s="391">
        <f>AVERAGE(Ashed_controlls!$K$12:$K$14)</f>
        <v>2.2816647271287041</v>
      </c>
      <c r="N853" s="225">
        <f t="shared" si="70"/>
        <v>1.9399043918370409</v>
      </c>
      <c r="O853" s="225">
        <f>IF(IFERROR(INDEX('Both teabags AfterWet'!$C$3:$C$841,MATCH(J853,'Both teabags AfterWet'!$A$3:$A$841,0)),"")="","",(IFERROR(INDEX('Both teabags AfterWet'!$C$3:$C$841,MATCH(J853,'Both teabags AfterWet'!$A$3:$A$841,0)),"")))</f>
        <v>1.6679999999999999</v>
      </c>
      <c r="P853" s="225">
        <f>IFERROR(IF(O853&gt;0,O853-(TBIcalc!$H$9),""),"")</f>
        <v>1.5173999999999999</v>
      </c>
      <c r="Q853" s="225">
        <f>IFERROR(INDEX('Ashed teabags wet'!$K$2:$K$821,MATCH(J853,'Ashed teabags wet'!$A$2:$A$821,0)),"")</f>
        <v>2.8640776699025032</v>
      </c>
      <c r="R853" s="225">
        <f t="shared" si="73"/>
        <v>1.4739404854368994</v>
      </c>
      <c r="S853" s="226">
        <f>'WetLitterbags placem_collection'!E194</f>
        <v>42763</v>
      </c>
      <c r="T853" s="226">
        <f>IF('WetLitterbags placem_collection'!G194="","",'WetLitterbags placem_collection'!G194)</f>
        <v>42815</v>
      </c>
      <c r="U853" s="227">
        <f t="shared" si="69"/>
        <v>52</v>
      </c>
      <c r="V853" s="225">
        <f t="shared" si="71"/>
        <v>0.46779999999999999</v>
      </c>
      <c r="W853" s="225">
        <f t="shared" si="72"/>
        <v>0.46596390640014151</v>
      </c>
      <c r="X853">
        <f>IFERROR(INDEX(Rainfall_Wet!$O$2:$O$217,MATCH(B853, Rainfall_Wet!$A$2:$A$217,0)),"")</f>
        <v>188.24043152799999</v>
      </c>
      <c r="Y853" s="231">
        <v>25.96</v>
      </c>
      <c r="Z853" s="231">
        <v>8.9200000000000017</v>
      </c>
      <c r="AA853" s="231">
        <v>65.12</v>
      </c>
      <c r="AB853" s="232" t="s">
        <v>2670</v>
      </c>
      <c r="AC853" s="231">
        <v>8.6991621488417898</v>
      </c>
      <c r="AD853">
        <f>IF('WetLitterbags placem_collection'!AB194="","",'WetLitterbags placem_collection'!AB194)</f>
        <v>3.6</v>
      </c>
      <c r="AE853">
        <f>IF('WetLitterbags placem_collection'!Z194="","",'WetLitterbags placem_collection'!Z194)</f>
        <v>37.799999999999997</v>
      </c>
      <c r="AF853" s="24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placem_collection'!Y194)),"YES","NO")</f>
        <v>NO</v>
      </c>
      <c r="AM853" t="str">
        <f>IF(ISNUMBER(SEARCH("H", 'WetLitterbags placem_collection'!Y194)),"YES","NO")</f>
        <v>NO</v>
      </c>
      <c r="AN853" t="str">
        <f>IF(ISNUMBER(SEARCH("R", 'WetLitterbags placem_collection'!Y194)),"YES","NO")</f>
        <v>NO</v>
      </c>
    </row>
    <row r="854" spans="1:40" ht="15" customHeight="1">
      <c r="A854" s="258" t="s">
        <v>2460</v>
      </c>
      <c r="B854" s="263">
        <f>'Dry_Litterbag Placem_Collection'!A195</f>
        <v>193</v>
      </c>
      <c r="C854" s="263" t="str">
        <f>'Dry_Litterbag Placem_Collection'!B195</f>
        <v>Makao</v>
      </c>
      <c r="D854" s="263" t="s">
        <v>2659</v>
      </c>
      <c r="E854" s="263" t="s">
        <v>2526</v>
      </c>
      <c r="F854" s="263">
        <v>4</v>
      </c>
      <c r="G854" s="264" t="str">
        <f>'Dry_Litterbag Placem_Collection'!C195</f>
        <v>Dry_Ag1_CG4</v>
      </c>
      <c r="H854" s="273" t="s">
        <v>3651</v>
      </c>
      <c r="I854" s="274" t="s">
        <v>298</v>
      </c>
      <c r="J854" s="223" t="str">
        <f>'WetLitterbags placem_collection'!Q195</f>
        <v>R364</v>
      </c>
      <c r="K854" s="225">
        <f>IFERROR(INDEX('Green_rooibos initial weight'!$C$5:$C$1749,MATCH(J854, 'Green_rooibos initial weight'!$A$5:$A$1749,0)),"")</f>
        <v>2.234</v>
      </c>
      <c r="L854" s="225">
        <f>IFERROR(K854-(TBIcalc!$H$9+TBIcalc!$H$10),"")</f>
        <v>1.9842</v>
      </c>
      <c r="M854" s="391">
        <f>AVERAGE(Ashed_controlls!$K$12:$K$14)</f>
        <v>2.2816647271287041</v>
      </c>
      <c r="N854" s="225">
        <f t="shared" si="70"/>
        <v>1.9389272084843123</v>
      </c>
      <c r="O854" s="225">
        <f>IF(IFERROR(INDEX('Both teabags AfterWet'!$C$3:$C$841,MATCH(J854,'Both teabags AfterWet'!$A$3:$A$841,0)),"")="","",(IFERROR(INDEX('Both teabags AfterWet'!$C$3:$C$841,MATCH(J854,'Both teabags AfterWet'!$A$3:$A$841,0)),"")))</f>
        <v>1.3913</v>
      </c>
      <c r="P854" s="225">
        <f>IFERROR(IF(O854&gt;0,O854-(TBIcalc!$H$9),""),"")</f>
        <v>1.2406999999999999</v>
      </c>
      <c r="Q854" s="225">
        <f>IFERROR(INDEX('Ashed teabags wet'!$K$2:$K$821,MATCH(J854,'Ashed teabags wet'!$A$2:$A$821,0)),"")</f>
        <v>3.461725987323931</v>
      </c>
      <c r="R854" s="225">
        <f t="shared" si="73"/>
        <v>1.1977503656752719</v>
      </c>
      <c r="S854" s="226">
        <f>'WetLitterbags placem_collection'!E195</f>
        <v>42769</v>
      </c>
      <c r="T854" s="226">
        <f>IF('WetLitterbags placem_collection'!G195="","",'WetLitterbags placem_collection'!G195)</f>
        <v>42813</v>
      </c>
      <c r="U854" s="227">
        <f t="shared" si="69"/>
        <v>44</v>
      </c>
      <c r="V854" s="225">
        <f t="shared" si="71"/>
        <v>0.74350000000000005</v>
      </c>
      <c r="W854" s="225">
        <f t="shared" si="72"/>
        <v>0.74117684280904039</v>
      </c>
      <c r="X854">
        <f>IFERROR(INDEX(Rainfall_Wet!$O$2:$O$217,MATCH(B854, Rainfall_Wet!$A$2:$A$217,0)),"")</f>
        <v>175.054685654</v>
      </c>
      <c r="Y854" s="231">
        <v>12.565665055683967</v>
      </c>
      <c r="Z854" s="231">
        <v>0.9665896196679955</v>
      </c>
      <c r="AA854" s="231">
        <v>86.467745324648035</v>
      </c>
      <c r="AB854" s="232" t="s">
        <v>2672</v>
      </c>
      <c r="AC854" s="231">
        <v>1.0225726959093147</v>
      </c>
      <c r="AD854">
        <f>IF('WetLitterbags placem_collection'!AB195="","",'WetLitterbags placem_collection'!AB195)</f>
        <v>15.2</v>
      </c>
      <c r="AE854">
        <f>IF('WetLitterbags placem_collection'!Z195="","",'WetLitterbags placem_collection'!Z195)</f>
        <v>12.2</v>
      </c>
      <c r="AF854" s="24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placem_collection'!Y195)),"YES","NO")</f>
        <v>NO</v>
      </c>
      <c r="AM854" t="str">
        <f>IF(ISNUMBER(SEARCH("H", 'WetLitterbags placem_collection'!Y195)),"YES","NO")</f>
        <v>NO</v>
      </c>
      <c r="AN854" t="str">
        <f>IF(ISNUMBER(SEARCH("R", 'WetLitterbags placem_collection'!Y195)),"YES","NO")</f>
        <v>NO</v>
      </c>
    </row>
    <row r="855" spans="1:40" ht="15" customHeight="1">
      <c r="A855" s="258" t="s">
        <v>2460</v>
      </c>
      <c r="B855" s="263">
        <f>'Dry_Litterbag Placem_Collection'!A196</f>
        <v>194</v>
      </c>
      <c r="C855" s="263" t="str">
        <f>'Dry_Litterbag Placem_Collection'!B196</f>
        <v>Makao</v>
      </c>
      <c r="D855" s="263" t="s">
        <v>2659</v>
      </c>
      <c r="E855" s="263" t="s">
        <v>2526</v>
      </c>
      <c r="F855" s="263">
        <v>3</v>
      </c>
      <c r="G855" s="264" t="str">
        <f>'Dry_Litterbag Placem_Collection'!C196</f>
        <v>Dry_Ag2_CG3</v>
      </c>
      <c r="H855" s="273" t="s">
        <v>3651</v>
      </c>
      <c r="I855" s="274" t="s">
        <v>298</v>
      </c>
      <c r="J855" s="223" t="str">
        <f>'WetLitterbags placem_collection'!Q196</f>
        <v>R167</v>
      </c>
      <c r="K855" s="225">
        <f>IFERROR(INDEX('Green_rooibos initial weight'!$C$5:$C$1749,MATCH(J855, 'Green_rooibos initial weight'!$A$5:$A$1749,0)),"")</f>
        <v>2.177</v>
      </c>
      <c r="L855" s="225">
        <f>IFERROR(K855-(TBIcalc!$H$9+TBIcalc!$H$10),"")</f>
        <v>1.9272</v>
      </c>
      <c r="M855" s="391">
        <f>AVERAGE(Ashed_controlls!$K$12:$K$14)</f>
        <v>2.2816647271287041</v>
      </c>
      <c r="N855" s="225">
        <f t="shared" si="70"/>
        <v>1.8832277573787757</v>
      </c>
      <c r="O855" s="225">
        <f>IF(IFERROR(INDEX('Both teabags AfterWet'!$C$3:$C$841,MATCH(J855,'Both teabags AfterWet'!$A$3:$A$841,0)),"")="","",(IFERROR(INDEX('Both teabags AfterWet'!$C$3:$C$841,MATCH(J855,'Both teabags AfterWet'!$A$3:$A$841,0)),"")))</f>
        <v>1.4750000000000001</v>
      </c>
      <c r="P855" s="225">
        <f>IFERROR(IF(O855&gt;0,O855-(TBIcalc!$H$9),""),"")</f>
        <v>1.3244</v>
      </c>
      <c r="Q855" s="225">
        <f>IFERROR(INDEX('Ashed teabags wet'!$K$2:$K$821,MATCH(J855,'Ashed teabags wet'!$A$2:$A$821,0)),"")</f>
        <v>3.2435129740522455</v>
      </c>
      <c r="R855" s="225">
        <f t="shared" si="73"/>
        <v>1.2814429141716521</v>
      </c>
      <c r="S855" s="226">
        <f>'WetLitterbags placem_collection'!E196</f>
        <v>42769</v>
      </c>
      <c r="T855" s="226">
        <f>IF('WetLitterbags placem_collection'!G196="","",'WetLitterbags placem_collection'!G196)</f>
        <v>42813</v>
      </c>
      <c r="U855" s="227">
        <f t="shared" ref="U855:U881" si="74">IFERROR(T855-S855,"")</f>
        <v>44</v>
      </c>
      <c r="V855" s="225">
        <f t="shared" si="71"/>
        <v>0.6028</v>
      </c>
      <c r="W855" s="225">
        <f t="shared" si="72"/>
        <v>0.60178484320712355</v>
      </c>
      <c r="X855">
        <f>IFERROR(INDEX(Rainfall_Wet!$O$2:$O$217,MATCH(B855, Rainfall_Wet!$A$2:$A$217,0)),"")</f>
        <v>175.054685654</v>
      </c>
      <c r="Y855" s="231">
        <v>21.13063730679653</v>
      </c>
      <c r="Z855" s="231">
        <v>3.0912555579081076</v>
      </c>
      <c r="AA855" s="231">
        <v>75.778107135295357</v>
      </c>
      <c r="AB855" s="232" t="s">
        <v>2670</v>
      </c>
      <c r="AC855" s="231">
        <v>0.46131099063578063</v>
      </c>
      <c r="AD855">
        <f>IF('WetLitterbags placem_collection'!AB196="","",'WetLitterbags placem_collection'!AB196)</f>
        <v>7.9</v>
      </c>
      <c r="AE855">
        <f>IF('WetLitterbags placem_collection'!Z196="","",'WetLitterbags placem_collection'!Z196)</f>
        <v>7.9</v>
      </c>
      <c r="AF855" s="24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placem_collection'!Y196)),"YES","NO")</f>
        <v>NO</v>
      </c>
      <c r="AM855" t="str">
        <f>IF(ISNUMBER(SEARCH("H", 'WetLitterbags placem_collection'!Y196)),"YES","NO")</f>
        <v>NO</v>
      </c>
      <c r="AN855" t="str">
        <f>IF(ISNUMBER(SEARCH("R", 'WetLitterbags placem_collection'!Y196)),"YES","NO")</f>
        <v>YES</v>
      </c>
    </row>
    <row r="856" spans="1:40" ht="15" customHeight="1">
      <c r="A856" s="258" t="s">
        <v>2460</v>
      </c>
      <c r="B856" s="263">
        <f>'Dry_Litterbag Placem_Collection'!A197</f>
        <v>195</v>
      </c>
      <c r="C856" s="263" t="str">
        <f>'Dry_Litterbag Placem_Collection'!B197</f>
        <v>Makao</v>
      </c>
      <c r="D856" s="263" t="s">
        <v>2659</v>
      </c>
      <c r="E856" s="263" t="s">
        <v>2526</v>
      </c>
      <c r="F856" s="263">
        <v>2</v>
      </c>
      <c r="G856" s="264" t="str">
        <f>'Dry_Litterbag Placem_Collection'!C197</f>
        <v>Dry_Ag3_CG2</v>
      </c>
      <c r="H856" s="273" t="s">
        <v>3651</v>
      </c>
      <c r="I856" s="274" t="s">
        <v>298</v>
      </c>
      <c r="J856" s="223" t="str">
        <f>'WetLitterbags placem_collection'!Q197</f>
        <v>R25</v>
      </c>
      <c r="K856" s="225">
        <f>IFERROR(INDEX('Green_rooibos initial weight'!$C$5:$C$1749,MATCH(J856, 'Green_rooibos initial weight'!$A$5:$A$1749,0)),"")</f>
        <v>2.16</v>
      </c>
      <c r="L856" s="225">
        <f>IFERROR(K856-(TBIcalc!$H$9+TBIcalc!$H$10),"")</f>
        <v>1.9102000000000001</v>
      </c>
      <c r="M856" s="391">
        <f>AVERAGE(Ashed_controlls!$K$12:$K$14)</f>
        <v>2.2816647271287041</v>
      </c>
      <c r="N856" s="225">
        <f t="shared" si="70"/>
        <v>1.8666156403823877</v>
      </c>
      <c r="O856" s="225">
        <f>IF(IFERROR(INDEX('Both teabags AfterWet'!$C$3:$C$841,MATCH(J856,'Both teabags AfterWet'!$A$3:$A$841,0)),"")="","",(IFERROR(INDEX('Both teabags AfterWet'!$C$3:$C$841,MATCH(J856,'Both teabags AfterWet'!$A$3:$A$841,0)),"")))</f>
        <v>1.3527</v>
      </c>
      <c r="P856" s="225">
        <f>IFERROR(IF(O856&gt;0,O856-(TBIcalc!$H$9),""),"")</f>
        <v>1.2020999999999999</v>
      </c>
      <c r="Q856" s="225">
        <f>IFERROR(INDEX('Ashed teabags wet'!$K$2:$K$821,MATCH(J856,'Ashed teabags wet'!$A$2:$A$821,0)),"")</f>
        <v>4.592085979482369</v>
      </c>
      <c r="R856" s="225">
        <f t="shared" si="73"/>
        <v>1.1468985344406424</v>
      </c>
      <c r="S856" s="226">
        <f>'WetLitterbags placem_collection'!E197</f>
        <v>42769</v>
      </c>
      <c r="T856" s="226">
        <f>IF('WetLitterbags placem_collection'!G197="","",'WetLitterbags placem_collection'!G197)</f>
        <v>42814</v>
      </c>
      <c r="U856" s="227">
        <f t="shared" si="74"/>
        <v>45</v>
      </c>
      <c r="V856" s="225">
        <f t="shared" si="71"/>
        <v>0.70810000000000017</v>
      </c>
      <c r="W856" s="225">
        <f t="shared" si="72"/>
        <v>0.71971710594174532</v>
      </c>
      <c r="X856">
        <f>IFERROR(INDEX(Rainfall_Wet!$O$2:$O$217,MATCH(B856, Rainfall_Wet!$A$2:$A$217,0)),"")</f>
        <v>175.377105089</v>
      </c>
      <c r="Y856" s="231">
        <v>54.080969906906262</v>
      </c>
      <c r="Z856" s="231">
        <v>21.264484651351896</v>
      </c>
      <c r="AA856" s="231">
        <v>24.654545441741845</v>
      </c>
      <c r="AB856" s="232" t="s">
        <v>2673</v>
      </c>
      <c r="AC856" s="231">
        <v>1.8433218334154755</v>
      </c>
      <c r="AD856">
        <f>IF('WetLitterbags placem_collection'!AB197="","",'WetLitterbags placem_collection'!AB197)</f>
        <v>5.13</v>
      </c>
      <c r="AE856">
        <f>IF('WetLitterbags placem_collection'!Z197="","",'WetLitterbags placem_collection'!Z197)</f>
        <v>5.13</v>
      </c>
      <c r="AF856" s="24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placem_collection'!Y197)),"YES","NO")</f>
        <v>NO</v>
      </c>
      <c r="AM856" t="str">
        <f>IF(ISNUMBER(SEARCH("H", 'WetLitterbags placem_collection'!Y197)),"YES","NO")</f>
        <v>NO</v>
      </c>
      <c r="AN856" t="str">
        <f>IF(ISNUMBER(SEARCH("R", 'WetLitterbags placem_collection'!Y197)),"YES","NO")</f>
        <v>NO</v>
      </c>
    </row>
    <row r="857" spans="1:40" ht="15" customHeight="1">
      <c r="A857" s="258" t="s">
        <v>2460</v>
      </c>
      <c r="B857" s="263">
        <f>'Dry_Litterbag Placem_Collection'!A198</f>
        <v>196</v>
      </c>
      <c r="C857" s="263" t="str">
        <f>'Dry_Litterbag Placem_Collection'!B198</f>
        <v>Makao</v>
      </c>
      <c r="D857" s="263" t="s">
        <v>2659</v>
      </c>
      <c r="E857" s="263" t="s">
        <v>2526</v>
      </c>
      <c r="F857" s="263">
        <v>1</v>
      </c>
      <c r="G857" s="264" t="str">
        <f>'Dry_Litterbag Placem_Collection'!C198</f>
        <v>Dry_Ag4_CG1</v>
      </c>
      <c r="H857" s="273" t="s">
        <v>3651</v>
      </c>
      <c r="I857" s="274" t="s">
        <v>298</v>
      </c>
      <c r="J857" s="223" t="str">
        <f>'WetLitterbags placem_collection'!Q198</f>
        <v>R362</v>
      </c>
      <c r="K857" s="225">
        <f>IFERROR(INDEX('Green_rooibos initial weight'!$C$5:$C$1749,MATCH(J857, 'Green_rooibos initial weight'!$A$5:$A$1749,0)),"")</f>
        <v>2.246</v>
      </c>
      <c r="L857" s="225">
        <f>IFERROR(K857-(TBIcalc!$H$9+TBIcalc!$H$10),"")</f>
        <v>1.9962</v>
      </c>
      <c r="M857" s="391">
        <f>AVERAGE(Ashed_controlls!$K$12:$K$14)</f>
        <v>2.2816647271287041</v>
      </c>
      <c r="N857" s="225">
        <f t="shared" si="70"/>
        <v>1.9506534087170568</v>
      </c>
      <c r="O857" s="225">
        <f>IF(IFERROR(INDEX('Both teabags AfterWet'!$C$3:$C$841,MATCH(J857,'Both teabags AfterWet'!$A$3:$A$841,0)),"")="","",(IFERROR(INDEX('Both teabags AfterWet'!$C$3:$C$841,MATCH(J857,'Both teabags AfterWet'!$A$3:$A$841,0)),"")))</f>
        <v>1.5253000000000001</v>
      </c>
      <c r="P857" s="225">
        <f>IFERROR(IF(O857&gt;0,O857-(TBIcalc!$H$9),""),"")</f>
        <v>1.3747</v>
      </c>
      <c r="Q857" s="225">
        <f>IFERROR(INDEX('Ashed teabags wet'!$K$2:$K$821,MATCH(J857,'Ashed teabags wet'!$A$2:$A$821,0)),"")</f>
        <v>3.690944881888675</v>
      </c>
      <c r="R857" s="225">
        <f t="shared" si="73"/>
        <v>1.3239605807086765</v>
      </c>
      <c r="S857" s="226">
        <f>'WetLitterbags placem_collection'!E198</f>
        <v>42769</v>
      </c>
      <c r="T857" s="226">
        <f>IF('WetLitterbags placem_collection'!G198="","",'WetLitterbags placem_collection'!G198)</f>
        <v>42814</v>
      </c>
      <c r="U857" s="227">
        <f t="shared" si="74"/>
        <v>45</v>
      </c>
      <c r="V857" s="225">
        <f t="shared" si="71"/>
        <v>0.62149999999999994</v>
      </c>
      <c r="W857" s="225">
        <f t="shared" si="72"/>
        <v>0.62669282800838033</v>
      </c>
      <c r="X857">
        <f>IFERROR(INDEX(Rainfall_Wet!$O$2:$O$217,MATCH(B857, Rainfall_Wet!$A$2:$A$217,0)),"")</f>
        <v>175.377105089</v>
      </c>
      <c r="Y857" s="231">
        <v>51.960000000000008</v>
      </c>
      <c r="Z857" s="231">
        <v>18.919999999999995</v>
      </c>
      <c r="AA857" s="231">
        <v>29.120000000000005</v>
      </c>
      <c r="AB857" s="232" t="s">
        <v>2673</v>
      </c>
      <c r="AC857" s="231">
        <v>1.85293247905372</v>
      </c>
      <c r="AD857">
        <f>IF('WetLitterbags placem_collection'!AB198="","",'WetLitterbags placem_collection'!AB198)</f>
        <v>13.8</v>
      </c>
      <c r="AE857">
        <f>IF('WetLitterbags placem_collection'!Z198="","",'WetLitterbags placem_collection'!Z198)</f>
        <v>17.399999999999999</v>
      </c>
      <c r="AF857" s="24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placem_collection'!Y198)),"YES","NO")</f>
        <v>NO</v>
      </c>
      <c r="AM857" t="str">
        <f>IF(ISNUMBER(SEARCH("H", 'WetLitterbags placem_collection'!Y198)),"YES","NO")</f>
        <v>NO</v>
      </c>
      <c r="AN857" t="str">
        <f>IF(ISNUMBER(SEARCH("R", 'WetLitterbags placem_collection'!Y198)),"YES","NO")</f>
        <v>NO</v>
      </c>
    </row>
    <row r="858" spans="1:40" ht="15" customHeight="1">
      <c r="A858" s="258" t="s">
        <v>2460</v>
      </c>
      <c r="B858" s="263">
        <f>'Dry_Litterbag Placem_Collection'!A199</f>
        <v>197</v>
      </c>
      <c r="C858" s="263" t="str">
        <f>'Dry_Litterbag Placem_Collection'!B199</f>
        <v>Makao</v>
      </c>
      <c r="D858" s="263" t="s">
        <v>2659</v>
      </c>
      <c r="E858" s="263" t="s">
        <v>2526</v>
      </c>
      <c r="F858" s="263">
        <v>2</v>
      </c>
      <c r="G858" s="264" t="str">
        <f>'Dry_Litterbag Placem_Collection'!C199</f>
        <v>Dry_P1_CG2</v>
      </c>
      <c r="H858" s="273" t="s">
        <v>3651</v>
      </c>
      <c r="I858" s="274" t="s">
        <v>298</v>
      </c>
      <c r="J858" s="223" t="str">
        <f>'WetLitterbags placem_collection'!Q199</f>
        <v>R370</v>
      </c>
      <c r="K858" s="225">
        <f>IFERROR(INDEX('Green_rooibos initial weight'!$C$5:$C$1749,MATCH(J858, 'Green_rooibos initial weight'!$A$5:$A$1749,0)),"")</f>
        <v>2.2290000000000001</v>
      </c>
      <c r="L858" s="225">
        <f>IFERROR(K858-(TBIcalc!$H$9+TBIcalc!$H$10),"")</f>
        <v>1.9792000000000001</v>
      </c>
      <c r="M858" s="391">
        <f>AVERAGE(Ashed_controlls!$K$12:$K$14)</f>
        <v>2.2816647271287041</v>
      </c>
      <c r="N858" s="225">
        <f t="shared" si="70"/>
        <v>1.9340412917206689</v>
      </c>
      <c r="O858" s="225">
        <f>IF(IFERROR(INDEX('Both teabags AfterWet'!$C$3:$C$841,MATCH(J858,'Both teabags AfterWet'!$A$3:$A$841,0)),"")="","",(IFERROR(INDEX('Both teabags AfterWet'!$C$3:$C$841,MATCH(J858,'Both teabags AfterWet'!$A$3:$A$841,0)),"")))</f>
        <v>1.488</v>
      </c>
      <c r="P858" s="225">
        <f>IFERROR(IF(O858&gt;0,O858-(TBIcalc!$H$9),""),"")</f>
        <v>1.3373999999999999</v>
      </c>
      <c r="Q858" s="225">
        <f>IFERROR(INDEX('Ashed teabags wet'!$K$2:$K$821,MATCH(J858,'Ashed teabags wet'!$A$2:$A$821,0)),"")</f>
        <v>5.0682261208581973</v>
      </c>
      <c r="R858" s="225">
        <f t="shared" si="73"/>
        <v>1.2696175438596424</v>
      </c>
      <c r="S858" s="226">
        <f>'WetLitterbags placem_collection'!E199</f>
        <v>42769</v>
      </c>
      <c r="T858" s="226">
        <f>IF('WetLitterbags placem_collection'!G199="","",'WetLitterbags placem_collection'!G199)</f>
        <v>42814</v>
      </c>
      <c r="U858" s="227">
        <f t="shared" si="74"/>
        <v>45</v>
      </c>
      <c r="V858" s="225">
        <f t="shared" si="71"/>
        <v>0.64180000000000015</v>
      </c>
      <c r="W858" s="225">
        <f t="shared" si="72"/>
        <v>0.66442374786102643</v>
      </c>
      <c r="X858">
        <f>IFERROR(INDEX(Rainfall_Wet!$O$2:$O$217,MATCH(B858, Rainfall_Wet!$A$2:$A$217,0)),"")</f>
        <v>175.377105089</v>
      </c>
      <c r="Y858" s="231">
        <v>23.96</v>
      </c>
      <c r="Z858" s="231">
        <v>0.91999999999999804</v>
      </c>
      <c r="AA858" s="231">
        <v>75.12</v>
      </c>
      <c r="AB858" s="232" t="s">
        <v>2670</v>
      </c>
      <c r="AC858" s="231">
        <v>1.2493839329719072</v>
      </c>
      <c r="AD858">
        <f>IF('WetLitterbags placem_collection'!AB199="","",'WetLitterbags placem_collection'!AB199)</f>
        <v>5.13</v>
      </c>
      <c r="AE858">
        <f>IF('WetLitterbags placem_collection'!Z199="","",'WetLitterbags placem_collection'!Z199)</f>
        <v>5.13</v>
      </c>
      <c r="AF858" s="24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placem_collection'!Y199)),"YES","NO")</f>
        <v>NO</v>
      </c>
      <c r="AM858" t="str">
        <f>IF(ISNUMBER(SEARCH("H", 'WetLitterbags placem_collection'!Y199)),"YES","NO")</f>
        <v>NO</v>
      </c>
      <c r="AN858" t="str">
        <f>IF(ISNUMBER(SEARCH("R", 'WetLitterbags placem_collection'!Y199)),"YES","NO")</f>
        <v>YES</v>
      </c>
    </row>
    <row r="859" spans="1:40" ht="15" customHeight="1">
      <c r="A859" s="258" t="s">
        <v>2460</v>
      </c>
      <c r="B859" s="263">
        <f>'Dry_Litterbag Placem_Collection'!A200</f>
        <v>198</v>
      </c>
      <c r="C859" s="263" t="str">
        <f>'Dry_Litterbag Placem_Collection'!B200</f>
        <v>Makao</v>
      </c>
      <c r="D859" s="263" t="s">
        <v>2659</v>
      </c>
      <c r="E859" s="263" t="s">
        <v>2526</v>
      </c>
      <c r="F859" s="263">
        <v>3</v>
      </c>
      <c r="G859" s="264" t="str">
        <f>'Dry_Litterbag Placem_Collection'!C200</f>
        <v>Dry_P2_CG3</v>
      </c>
      <c r="H859" s="273" t="s">
        <v>3651</v>
      </c>
      <c r="I859" s="274" t="s">
        <v>298</v>
      </c>
      <c r="J859" s="223" t="str">
        <f>'WetLitterbags placem_collection'!Q200</f>
        <v>R168</v>
      </c>
      <c r="K859" s="225">
        <f>IFERROR(INDEX('Green_rooibos initial weight'!$C$5:$C$1749,MATCH(J859, 'Green_rooibos initial weight'!$A$5:$A$1749,0)),"")</f>
        <v>2.1459999999999999</v>
      </c>
      <c r="L859" s="225">
        <f>IFERROR(K859-(TBIcalc!$H$9+TBIcalc!$H$10),"")</f>
        <v>1.8961999999999999</v>
      </c>
      <c r="M859" s="391">
        <f>AVERAGE(Ashed_controlls!$K$12:$K$14)</f>
        <v>2.2816647271287041</v>
      </c>
      <c r="N859" s="225">
        <f t="shared" si="70"/>
        <v>1.8529350734441854</v>
      </c>
      <c r="O859" s="225">
        <f>IF(IFERROR(INDEX('Both teabags AfterWet'!$C$3:$C$841,MATCH(J859,'Both teabags AfterWet'!$A$3:$A$841,0)),"")="","",(IFERROR(INDEX('Both teabags AfterWet'!$C$3:$C$841,MATCH(J859,'Both teabags AfterWet'!$A$3:$A$841,0)),"")))</f>
        <v>1.5734999999999999</v>
      </c>
      <c r="P859" s="225">
        <f>IFERROR(IF(O859&gt;0,O859-(TBIcalc!$H$9),""),"")</f>
        <v>1.4228999999999998</v>
      </c>
      <c r="Q859" s="225">
        <f>IFERROR(INDEX('Ashed teabags wet'!$K$2:$K$821,MATCH(J859,'Ashed teabags wet'!$A$2:$A$821,0)),"")</f>
        <v>3.118908382066123</v>
      </c>
      <c r="R859" s="225">
        <f t="shared" si="73"/>
        <v>1.378521052631581</v>
      </c>
      <c r="S859" s="226">
        <f>'WetLitterbags placem_collection'!E200</f>
        <v>42769</v>
      </c>
      <c r="T859" s="226">
        <f>IF('WetLitterbags placem_collection'!G200="","",'WetLitterbags placem_collection'!G200)</f>
        <v>42813</v>
      </c>
      <c r="U859" s="227">
        <f t="shared" si="74"/>
        <v>44</v>
      </c>
      <c r="V859" s="225">
        <f t="shared" si="71"/>
        <v>0.47330000000000005</v>
      </c>
      <c r="W859" s="225">
        <f t="shared" si="72"/>
        <v>0.47441402081260442</v>
      </c>
      <c r="X859">
        <f>IFERROR(INDEX(Rainfall_Wet!$O$2:$O$217,MATCH(B859, Rainfall_Wet!$A$2:$A$217,0)),"")</f>
        <v>175.054685654</v>
      </c>
      <c r="Y859" s="231">
        <v>19.96</v>
      </c>
      <c r="Z859" s="231">
        <v>4.9199999999999982</v>
      </c>
      <c r="AA859" s="231">
        <v>75.12</v>
      </c>
      <c r="AB859" s="232" t="s">
        <v>2671</v>
      </c>
      <c r="AC859" s="231">
        <v>1.641498275012321</v>
      </c>
      <c r="AD859">
        <f>IF('WetLitterbags placem_collection'!AB200="","",'WetLitterbags placem_collection'!AB200)</f>
        <v>7.9</v>
      </c>
      <c r="AE859">
        <f>IF('WetLitterbags placem_collection'!Z200="","",'WetLitterbags placem_collection'!Z200)</f>
        <v>7.9</v>
      </c>
      <c r="AF859" s="24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placem_collection'!Y200)),"YES","NO")</f>
        <v>NO</v>
      </c>
      <c r="AM859" t="str">
        <f>IF(ISNUMBER(SEARCH("H", 'WetLitterbags placem_collection'!Y200)),"YES","NO")</f>
        <v>NO</v>
      </c>
      <c r="AN859" t="str">
        <f>IF(ISNUMBER(SEARCH("R", 'WetLitterbags placem_collection'!Y200)),"YES","NO")</f>
        <v>YES</v>
      </c>
    </row>
    <row r="860" spans="1:40" ht="15" customHeight="1">
      <c r="A860" s="258" t="s">
        <v>2460</v>
      </c>
      <c r="B860" s="263">
        <f>'Dry_Litterbag Placem_Collection'!A201</f>
        <v>199</v>
      </c>
      <c r="C860" s="263" t="str">
        <f>'Dry_Litterbag Placem_Collection'!B201</f>
        <v>Makao</v>
      </c>
      <c r="D860" s="263" t="s">
        <v>2659</v>
      </c>
      <c r="E860" s="263" t="s">
        <v>2526</v>
      </c>
      <c r="F860" s="263">
        <v>1</v>
      </c>
      <c r="G860" s="264" t="str">
        <f>'Dry_Litterbag Placem_Collection'!C201</f>
        <v>Dry_P3_CG1</v>
      </c>
      <c r="H860" s="273" t="s">
        <v>3651</v>
      </c>
      <c r="I860" s="274" t="s">
        <v>298</v>
      </c>
      <c r="J860" s="223" t="str">
        <f>'WetLitterbags placem_collection'!Q201</f>
        <v>R369</v>
      </c>
      <c r="K860" s="225">
        <f>IFERROR(INDEX('Green_rooibos initial weight'!$C$5:$C$1749,MATCH(J860, 'Green_rooibos initial weight'!$A$5:$A$1749,0)),"")</f>
        <v>2.2400000000000002</v>
      </c>
      <c r="L860" s="225">
        <f>IFERROR(K860-(TBIcalc!$H$9+TBIcalc!$H$10),"")</f>
        <v>1.9902000000000002</v>
      </c>
      <c r="M860" s="391">
        <f>AVERAGE(Ashed_controlls!$K$12:$K$14)</f>
        <v>2.2816647271287041</v>
      </c>
      <c r="N860" s="225">
        <f t="shared" si="70"/>
        <v>1.9447903086006848</v>
      </c>
      <c r="O860" s="225" t="str">
        <f>IF(IFERROR(INDEX('Both teabags AfterWet'!$C$3:$C$841,MATCH(J860,'Both teabags AfterWet'!$A$3:$A$841,0)),"")="","",(IFERROR(INDEX('Both teabags AfterWet'!$C$3:$C$841,MATCH(J860,'Both teabags AfterWet'!$A$3:$A$841,0)),"")))</f>
        <v/>
      </c>
      <c r="P860" s="225" t="str">
        <f>IFERROR(IF(O860&gt;0,O860-(TBIcalc!$H$9),""),"")</f>
        <v/>
      </c>
      <c r="Q860" s="225" t="str">
        <f>IFERROR(INDEX('Ashed teabags wet'!$K$2:$K$821,MATCH(J860,'Ashed teabags wet'!$A$2:$A$821,0)),"")</f>
        <v/>
      </c>
      <c r="R860" s="225" t="str">
        <f t="shared" si="73"/>
        <v/>
      </c>
      <c r="S860" s="226">
        <f>'WetLitterbags placem_collection'!E201</f>
        <v>42769</v>
      </c>
      <c r="T860" s="226">
        <f>IF('WetLitterbags placem_collection'!G201="","",'WetLitterbags placem_collection'!G201)</f>
        <v>42814</v>
      </c>
      <c r="U860" s="227">
        <f t="shared" si="74"/>
        <v>45</v>
      </c>
      <c r="V860" s="225" t="str">
        <f t="shared" si="71"/>
        <v/>
      </c>
      <c r="W860" s="225" t="str">
        <f t="shared" si="72"/>
        <v/>
      </c>
      <c r="X860">
        <f>IFERROR(INDEX(Rainfall_Wet!$O$2:$O$217,MATCH(B860, Rainfall_Wet!$A$2:$A$217,0)),"")</f>
        <v>175.377105089</v>
      </c>
      <c r="Y860" s="231">
        <v>21.96</v>
      </c>
      <c r="Z860" s="231">
        <v>8.9199999999999982</v>
      </c>
      <c r="AA860" s="231">
        <v>69.12</v>
      </c>
      <c r="AB860" s="232" t="s">
        <v>2670</v>
      </c>
      <c r="AC860" s="231">
        <v>1.7491375061606702</v>
      </c>
      <c r="AD860">
        <f>IF('WetLitterbags placem_collection'!AB201="","",'WetLitterbags placem_collection'!AB201)</f>
        <v>13.8</v>
      </c>
      <c r="AE860">
        <f>IF('WetLitterbags placem_collection'!Z201="","",'WetLitterbags placem_collection'!Z201)</f>
        <v>17.399999999999999</v>
      </c>
      <c r="AF860" s="24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placem_collection'!Y201)),"YES","NO")</f>
        <v>NO</v>
      </c>
      <c r="AM860" t="str">
        <f>IF(ISNUMBER(SEARCH("H", 'WetLitterbags placem_collection'!Y201)),"YES","NO")</f>
        <v>NO</v>
      </c>
      <c r="AN860" t="str">
        <f>IF(ISNUMBER(SEARCH("R", 'WetLitterbags placem_collection'!Y201)),"YES","NO")</f>
        <v>YES</v>
      </c>
    </row>
    <row r="861" spans="1:40" ht="15" customHeight="1">
      <c r="A861" s="258" t="s">
        <v>2460</v>
      </c>
      <c r="B861" s="263">
        <f>'Dry_Litterbag Placem_Collection'!A202</f>
        <v>200</v>
      </c>
      <c r="C861" s="263" t="str">
        <f>'Dry_Litterbag Placem_Collection'!B202</f>
        <v>Makao</v>
      </c>
      <c r="D861" s="263" t="s">
        <v>2659</v>
      </c>
      <c r="E861" s="263" t="s">
        <v>2526</v>
      </c>
      <c r="F861" s="263">
        <v>4</v>
      </c>
      <c r="G861" s="264" t="str">
        <f>'Dry_Litterbag Placem_Collection'!C202</f>
        <v>Dry_P4_CG4</v>
      </c>
      <c r="H861" s="273" t="s">
        <v>3651</v>
      </c>
      <c r="I861" s="274" t="s">
        <v>298</v>
      </c>
      <c r="J861" s="223" t="str">
        <f>'WetLitterbags placem_collection'!Q202</f>
        <v>R359</v>
      </c>
      <c r="K861" s="225">
        <f>IFERROR(INDEX('Green_rooibos initial weight'!$C$5:$C$1749,MATCH(J861, 'Green_rooibos initial weight'!$A$5:$A$1749,0)),"")</f>
        <v>2.198</v>
      </c>
      <c r="L861" s="225">
        <f>IFERROR(K861-(TBIcalc!$H$9+TBIcalc!$H$10),"")</f>
        <v>1.9481999999999999</v>
      </c>
      <c r="M861" s="391">
        <f>AVERAGE(Ashed_controlls!$K$12:$K$14)</f>
        <v>2.2816647271287041</v>
      </c>
      <c r="N861" s="225">
        <f t="shared" si="70"/>
        <v>1.9037486077860786</v>
      </c>
      <c r="O861" s="225">
        <f>IF(IFERROR(INDEX('Both teabags AfterWet'!$C$3:$C$841,MATCH(J861,'Both teabags AfterWet'!$A$3:$A$841,0)),"")="","",(IFERROR(INDEX('Both teabags AfterWet'!$C$3:$C$841,MATCH(J861,'Both teabags AfterWet'!$A$3:$A$841,0)),"")))</f>
        <v>1.4882</v>
      </c>
      <c r="P861" s="225">
        <f>IFERROR(IF(O861&gt;0,O861-(TBIcalc!$H$9),""),"")</f>
        <v>1.3375999999999999</v>
      </c>
      <c r="Q861" s="225">
        <f>IFERROR(INDEX('Ashed teabags wet'!$K$2:$K$821,MATCH(J861,'Ashed teabags wet'!$A$2:$A$821,0)),"")</f>
        <v>4.0291262135925576</v>
      </c>
      <c r="R861" s="225">
        <f t="shared" si="73"/>
        <v>1.2837064077669857</v>
      </c>
      <c r="S861" s="226">
        <f>'WetLitterbags placem_collection'!E202</f>
        <v>42769</v>
      </c>
      <c r="T861" s="226">
        <f>IF('WetLitterbags placem_collection'!G202="","",'WetLitterbags placem_collection'!G202)</f>
        <v>42813</v>
      </c>
      <c r="U861" s="227">
        <f t="shared" si="74"/>
        <v>44</v>
      </c>
      <c r="V861" s="225">
        <f t="shared" si="71"/>
        <v>0.61060000000000003</v>
      </c>
      <c r="W861" s="225">
        <f t="shared" si="72"/>
        <v>0.62004220001909283</v>
      </c>
      <c r="X861">
        <f>IFERROR(INDEX(Rainfall_Wet!$O$2:$O$217,MATCH(B861, Rainfall_Wet!$A$2:$A$217,0)),"")</f>
        <v>175.054685654</v>
      </c>
      <c r="Y861" s="231">
        <v>25.96</v>
      </c>
      <c r="Z861" s="231">
        <v>6.9200000000000008</v>
      </c>
      <c r="AA861" s="231">
        <v>67.12</v>
      </c>
      <c r="AB861" s="232" t="s">
        <v>2670</v>
      </c>
      <c r="AC861" s="231">
        <v>1.7568260226712666</v>
      </c>
      <c r="AD861">
        <f>IF('WetLitterbags placem_collection'!AB202="","",'WetLitterbags placem_collection'!AB202)</f>
        <v>15.2</v>
      </c>
      <c r="AE861">
        <f>IF('WetLitterbags placem_collection'!Z202="","",'WetLitterbags placem_collection'!Z202)</f>
        <v>12.2</v>
      </c>
      <c r="AF861" s="24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placem_collection'!Y202)),"YES","NO")</f>
        <v>NO</v>
      </c>
      <c r="AM861" t="str">
        <f>IF(ISNUMBER(SEARCH("H", 'WetLitterbags placem_collection'!Y202)),"YES","NO")</f>
        <v>NO</v>
      </c>
      <c r="AN861" t="str">
        <f>IF(ISNUMBER(SEARCH("R", 'WetLitterbags placem_collection'!Y202)),"YES","NO")</f>
        <v>YES</v>
      </c>
    </row>
    <row r="862" spans="1:40" ht="15" customHeight="1">
      <c r="A862" s="258" t="s">
        <v>2460</v>
      </c>
      <c r="B862" s="263">
        <f>'Dry_Litterbag Placem_Collection'!A203</f>
        <v>201</v>
      </c>
      <c r="C862" s="263" t="str">
        <f>'Dry_Litterbag Placem_Collection'!B203</f>
        <v>Maswa</v>
      </c>
      <c r="D862" s="263" t="s">
        <v>2659</v>
      </c>
      <c r="E862" s="263" t="s">
        <v>2526</v>
      </c>
      <c r="F862" s="263">
        <v>4</v>
      </c>
      <c r="G862" s="264" t="str">
        <f>'Dry_Litterbag Placem_Collection'!C203</f>
        <v>Dry_W3_CG4</v>
      </c>
      <c r="H862" s="273" t="s">
        <v>3651</v>
      </c>
      <c r="I862" s="274" t="s">
        <v>298</v>
      </c>
      <c r="J862" s="223" t="str">
        <f>'WetLitterbags placem_collection'!Q203</f>
        <v>R395</v>
      </c>
      <c r="K862" s="225">
        <f>IFERROR(INDEX('Green_rooibos initial weight'!$C$5:$C$1749,MATCH(J862, 'Green_rooibos initial weight'!$A$5:$A$1749,0)),"")</f>
        <v>2.1280000000000001</v>
      </c>
      <c r="L862" s="225">
        <f>IFERROR(K862-(TBIcalc!$H$9+TBIcalc!$H$10),"")</f>
        <v>1.8782000000000001</v>
      </c>
      <c r="M862" s="391">
        <f>AVERAGE(Ashed_controlls!$K$12:$K$14)</f>
        <v>2.2816647271287041</v>
      </c>
      <c r="N862" s="225">
        <f t="shared" si="70"/>
        <v>1.8353457730950689</v>
      </c>
      <c r="O862" s="225">
        <f>IF(IFERROR(INDEX('Both teabags AfterWet'!$C$3:$C$841,MATCH(J862,'Both teabags AfterWet'!$A$3:$A$841,0)),"")="","",(IFERROR(INDEX('Both teabags AfterWet'!$C$3:$C$841,MATCH(J862,'Both teabags AfterWet'!$A$3:$A$841,0)),"")))</f>
        <v>1.5786</v>
      </c>
      <c r="P862" s="225">
        <f>IFERROR(IF(O862&gt;0,O862-(TBIcalc!$H$9),""),"")</f>
        <v>1.4279999999999999</v>
      </c>
      <c r="Q862" s="225">
        <f>IFERROR(INDEX('Ashed teabags wet'!$K$2:$K$821,MATCH(J862,'Ashed teabags wet'!$A$2:$A$821,0)),"")</f>
        <v>3.0123456790120686</v>
      </c>
      <c r="R862" s="225">
        <f t="shared" si="73"/>
        <v>1.3849837037037076</v>
      </c>
      <c r="S862" s="226">
        <f>'WetLitterbags placem_collection'!E203</f>
        <v>42769</v>
      </c>
      <c r="T862" s="226">
        <f>IF('WetLitterbags placem_collection'!G203="","",'WetLitterbags placem_collection'!G203)</f>
        <v>42813</v>
      </c>
      <c r="U862" s="227">
        <f t="shared" si="74"/>
        <v>44</v>
      </c>
      <c r="V862" s="225">
        <f t="shared" si="71"/>
        <v>0.45020000000000016</v>
      </c>
      <c r="W862" s="225">
        <f t="shared" si="72"/>
        <v>0.45036206939136125</v>
      </c>
      <c r="X862">
        <f>IFERROR(INDEX(Rainfall_Wet!$O$2:$O$217,MATCH(B862, Rainfall_Wet!$A$2:$A$217,0)),"")</f>
        <v>175.054685654</v>
      </c>
      <c r="Y862" s="231">
        <v>38.691629007962128</v>
      </c>
      <c r="Z862" s="231">
        <v>26.81299763288143</v>
      </c>
      <c r="AA862" s="231">
        <v>34.495373359156439</v>
      </c>
      <c r="AB862" s="232" t="s">
        <v>2675</v>
      </c>
      <c r="AC862" s="231">
        <v>2.5483587974371611</v>
      </c>
      <c r="AD862">
        <f>IF('WetLitterbags placem_collection'!AB203="","",'WetLitterbags placem_collection'!AB203)</f>
        <v>15.2</v>
      </c>
      <c r="AE862">
        <f>IF('WetLitterbags placem_collection'!Z203="","",'WetLitterbags placem_collection'!Z203)</f>
        <v>12.2</v>
      </c>
      <c r="AF862" s="24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placem_collection'!Y203)),"YES","NO")</f>
        <v>NO</v>
      </c>
      <c r="AM862" t="str">
        <f>IF(ISNUMBER(SEARCH("H", 'WetLitterbags placem_collection'!Y203)),"YES","NO")</f>
        <v>NO</v>
      </c>
      <c r="AN862" t="str">
        <f>IF(ISNUMBER(SEARCH("R", 'WetLitterbags placem_collection'!Y203)),"YES","NO")</f>
        <v>NO</v>
      </c>
    </row>
    <row r="863" spans="1:40" ht="15" customHeight="1">
      <c r="A863" s="258" t="s">
        <v>2460</v>
      </c>
      <c r="B863" s="263">
        <f>'Dry_Litterbag Placem_Collection'!A204</f>
        <v>202</v>
      </c>
      <c r="C863" s="263" t="str">
        <f>'Dry_Litterbag Placem_Collection'!B204</f>
        <v>Maswa</v>
      </c>
      <c r="D863" s="263" t="s">
        <v>2659</v>
      </c>
      <c r="E863" s="263" t="s">
        <v>2526</v>
      </c>
      <c r="F863" s="263">
        <v>1</v>
      </c>
      <c r="G863" s="264" t="str">
        <f>'Dry_Litterbag Placem_Collection'!C204</f>
        <v>Dry_W2_CG1</v>
      </c>
      <c r="H863" s="273" t="s">
        <v>3651</v>
      </c>
      <c r="I863" s="274" t="s">
        <v>298</v>
      </c>
      <c r="J863" s="223" t="str">
        <f>'WetLitterbags placem_collection'!Q204</f>
        <v>R182</v>
      </c>
      <c r="K863" s="225">
        <f>IFERROR(INDEX('Green_rooibos initial weight'!$C$5:$C$1749,MATCH(J863, 'Green_rooibos initial weight'!$A$5:$A$1749,0)),"")</f>
        <v>2.161</v>
      </c>
      <c r="L863" s="225">
        <f>IFERROR(K863-(TBIcalc!$H$9+TBIcalc!$H$10),"")</f>
        <v>1.9112</v>
      </c>
      <c r="M863" s="391">
        <f>AVERAGE(Ashed_controlls!$K$12:$K$14)</f>
        <v>2.2816647271287041</v>
      </c>
      <c r="N863" s="225">
        <f t="shared" si="70"/>
        <v>1.8675928237351163</v>
      </c>
      <c r="O863" s="225">
        <f>IF(IFERROR(INDEX('Both teabags AfterWet'!$C$3:$C$841,MATCH(J863,'Both teabags AfterWet'!$A$3:$A$841,0)),"")="","",(IFERROR(INDEX('Both teabags AfterWet'!$C$3:$C$841,MATCH(J863,'Both teabags AfterWet'!$A$3:$A$841,0)),"")))</f>
        <v>1.679</v>
      </c>
      <c r="P863" s="225">
        <f>IFERROR(IF(O863&gt;0,O863-(TBIcalc!$H$9),""),"")</f>
        <v>1.5284</v>
      </c>
      <c r="Q863" s="225">
        <f>IFERROR(INDEX('Ashed teabags wet'!$K$2:$K$821,MATCH(J863,'Ashed teabags wet'!$A$2:$A$821,0)),"")</f>
        <v>3.9234919077970858</v>
      </c>
      <c r="R863" s="225">
        <f t="shared" si="73"/>
        <v>1.4684333496812294</v>
      </c>
      <c r="S863" s="226">
        <f>'WetLitterbags placem_collection'!E204</f>
        <v>42769</v>
      </c>
      <c r="T863" s="226">
        <f>IF('WetLitterbags placem_collection'!G204="","",'WetLitterbags placem_collection'!G204)</f>
        <v>42814</v>
      </c>
      <c r="U863" s="227">
        <f t="shared" si="74"/>
        <v>45</v>
      </c>
      <c r="V863" s="225">
        <f t="shared" si="71"/>
        <v>0.38280000000000003</v>
      </c>
      <c r="W863" s="225">
        <f t="shared" si="72"/>
        <v>0.39915947405388685</v>
      </c>
      <c r="X863">
        <f>IFERROR(INDEX(Rainfall_Wet!$O$2:$O$217,MATCH(B863, Rainfall_Wet!$A$2:$A$217,0)),"")</f>
        <v>175.377105089</v>
      </c>
      <c r="Y863" s="231">
        <v>45.272914521112256</v>
      </c>
      <c r="Z863" s="231">
        <v>23.604531410916575</v>
      </c>
      <c r="AA863" s="231">
        <v>31.122554067971166</v>
      </c>
      <c r="AB863" s="232" t="s">
        <v>2673</v>
      </c>
      <c r="AC863" s="231">
        <v>2.0547560374568752</v>
      </c>
      <c r="AD863">
        <f>IF('WetLitterbags placem_collection'!AB204="","",'WetLitterbags placem_collection'!AB204)</f>
        <v>13.8</v>
      </c>
      <c r="AE863">
        <f>IF('WetLitterbags placem_collection'!Z204="","",'WetLitterbags placem_collection'!Z204)</f>
        <v>17.399999999999999</v>
      </c>
      <c r="AF863" s="24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placem_collection'!Y204)),"YES","NO")</f>
        <v>NO</v>
      </c>
      <c r="AM863" t="str">
        <f>IF(ISNUMBER(SEARCH("H", 'WetLitterbags placem_collection'!Y204)),"YES","NO")</f>
        <v>NO</v>
      </c>
      <c r="AN863" t="str">
        <f>IF(ISNUMBER(SEARCH("R", 'WetLitterbags placem_collection'!Y204)),"YES","NO")</f>
        <v>NO</v>
      </c>
    </row>
    <row r="864" spans="1:40" ht="15" customHeight="1">
      <c r="A864" s="258" t="s">
        <v>2460</v>
      </c>
      <c r="B864" s="263">
        <f>'Dry_Litterbag Placem_Collection'!A205</f>
        <v>203</v>
      </c>
      <c r="C864" s="263" t="str">
        <f>'Dry_Litterbag Placem_Collection'!B205</f>
        <v>Maswa</v>
      </c>
      <c r="D864" s="263" t="s">
        <v>2659</v>
      </c>
      <c r="E864" s="263" t="s">
        <v>2526</v>
      </c>
      <c r="F864" s="263">
        <v>2</v>
      </c>
      <c r="G864" s="264" t="str">
        <f>'Dry_Litterbag Placem_Collection'!C205</f>
        <v>Dry_W1_CG2</v>
      </c>
      <c r="H864" s="273" t="s">
        <v>3651</v>
      </c>
      <c r="I864" s="274" t="s">
        <v>298</v>
      </c>
      <c r="J864" s="223" t="str">
        <f>'WetLitterbags placem_collection'!Q205</f>
        <v>R342</v>
      </c>
      <c r="K864" s="225">
        <f>IFERROR(INDEX('Green_rooibos initial weight'!$C$5:$C$1749,MATCH(J864, 'Green_rooibos initial weight'!$A$5:$A$1749,0)),"")</f>
        <v>2.2450000000000001</v>
      </c>
      <c r="L864" s="225">
        <f>IFERROR(K864-(TBIcalc!$H$9+TBIcalc!$H$10),"")</f>
        <v>1.9952000000000001</v>
      </c>
      <c r="M864" s="391">
        <f>AVERAGE(Ashed_controlls!$K$12:$K$14)</f>
        <v>2.2816647271287041</v>
      </c>
      <c r="N864" s="225">
        <f t="shared" si="70"/>
        <v>1.9496762253643283</v>
      </c>
      <c r="O864" s="225">
        <f>IF(IFERROR(INDEX('Both teabags AfterWet'!$C$3:$C$841,MATCH(J864,'Both teabags AfterWet'!$A$3:$A$841,0)),"")="","",(IFERROR(INDEX('Both teabags AfterWet'!$C$3:$C$841,MATCH(J864,'Both teabags AfterWet'!$A$3:$A$841,0)),"")))</f>
        <v>1.5906</v>
      </c>
      <c r="P864" s="225">
        <f>IFERROR(IF(O864&gt;0,O864-(TBIcalc!$H$9),""),"")</f>
        <v>1.44</v>
      </c>
      <c r="Q864" s="225">
        <f>IFERROR(INDEX('Ashed teabags wet'!$K$2:$K$821,MATCH(J864,'Ashed teabags wet'!$A$2:$A$821,0)),"")</f>
        <v>3.642714570858145</v>
      </c>
      <c r="R864" s="225">
        <f t="shared" si="73"/>
        <v>1.3875449101796427</v>
      </c>
      <c r="S864" s="226">
        <f>'WetLitterbags placem_collection'!E205</f>
        <v>42769</v>
      </c>
      <c r="T864" s="226">
        <f>IF('WetLitterbags placem_collection'!G205="","",'WetLitterbags placem_collection'!G205)</f>
        <v>42814</v>
      </c>
      <c r="U864" s="227">
        <f t="shared" si="74"/>
        <v>45</v>
      </c>
      <c r="V864" s="225">
        <f t="shared" si="71"/>
        <v>0.55520000000000014</v>
      </c>
      <c r="W864" s="225">
        <f t="shared" si="72"/>
        <v>0.56213131518468562</v>
      </c>
      <c r="X864">
        <f>IFERROR(INDEX(Rainfall_Wet!$O$2:$O$217,MATCH(B864, Rainfall_Wet!$A$2:$A$217,0)),"")</f>
        <v>175.377105089</v>
      </c>
      <c r="Y864" s="231">
        <v>47.96</v>
      </c>
      <c r="Z864" s="231">
        <v>22.919999999999995</v>
      </c>
      <c r="AA864" s="231">
        <v>29.120000000000012</v>
      </c>
      <c r="AB864" s="232" t="s">
        <v>2673</v>
      </c>
      <c r="AC864" s="231">
        <v>2.8831936914736325</v>
      </c>
      <c r="AD864">
        <f>IF('WetLitterbags placem_collection'!AB205="","",'WetLitterbags placem_collection'!AB205)</f>
        <v>5.13</v>
      </c>
      <c r="AE864">
        <f>IF('WetLitterbags placem_collection'!Z205="","",'WetLitterbags placem_collection'!Z205)</f>
        <v>5.13</v>
      </c>
      <c r="AF864" s="24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placem_collection'!Y205)),"YES","NO")</f>
        <v>NO</v>
      </c>
      <c r="AM864" t="str">
        <f>IF(ISNUMBER(SEARCH("H", 'WetLitterbags placem_collection'!Y205)),"YES","NO")</f>
        <v>NO</v>
      </c>
      <c r="AN864" t="str">
        <f>IF(ISNUMBER(SEARCH("R", 'WetLitterbags placem_collection'!Y205)),"YES","NO")</f>
        <v>NO</v>
      </c>
    </row>
    <row r="865" spans="1:40" ht="15" customHeight="1">
      <c r="A865" s="258" t="s">
        <v>2460</v>
      </c>
      <c r="B865" s="263">
        <f>'Dry_Litterbag Placem_Collection'!A206</f>
        <v>204</v>
      </c>
      <c r="C865" s="263" t="str">
        <f>'Dry_Litterbag Placem_Collection'!B206</f>
        <v>Maswa</v>
      </c>
      <c r="D865" s="263" t="s">
        <v>2659</v>
      </c>
      <c r="E865" s="263" t="s">
        <v>2526</v>
      </c>
      <c r="F865" s="263">
        <v>3</v>
      </c>
      <c r="G865" s="264" t="str">
        <f>'Dry_Litterbag Placem_Collection'!C206</f>
        <v>Dry_W4_CG3</v>
      </c>
      <c r="H865" s="273" t="s">
        <v>3651</v>
      </c>
      <c r="I865" s="274" t="s">
        <v>298</v>
      </c>
      <c r="J865" s="223" t="str">
        <f>'WetLitterbags placem_collection'!Q206</f>
        <v>R139</v>
      </c>
      <c r="K865" s="225">
        <f>IFERROR(INDEX('Green_rooibos initial weight'!$C$5:$C$1749,MATCH(J865, 'Green_rooibos initial weight'!$A$5:$A$1749,0)),"")</f>
        <v>2.2829999999999999</v>
      </c>
      <c r="L865" s="225">
        <f>IFERROR(K865-(TBIcalc!$H$9+TBIcalc!$H$10),"")</f>
        <v>2.0331999999999999</v>
      </c>
      <c r="M865" s="391">
        <f>AVERAGE(Ashed_controlls!$K$12:$K$14)</f>
        <v>2.2816647271287041</v>
      </c>
      <c r="N865" s="225">
        <f t="shared" si="70"/>
        <v>1.9868091927680191</v>
      </c>
      <c r="O865" s="225">
        <f>IF(IFERROR(INDEX('Both teabags AfterWet'!$C$3:$C$841,MATCH(J865,'Both teabags AfterWet'!$A$3:$A$841,0)),"")="","",(IFERROR(INDEX('Both teabags AfterWet'!$C$3:$C$841,MATCH(J865,'Both teabags AfterWet'!$A$3:$A$841,0)),"")))</f>
        <v>1.6255999999999999</v>
      </c>
      <c r="P865" s="225">
        <f>IFERROR(IF(O865&gt;0,O865-(TBIcalc!$H$9),""),"")</f>
        <v>1.4749999999999999</v>
      </c>
      <c r="Q865" s="225">
        <f>IFERROR(INDEX('Ashed teabags wet'!$K$2:$K$821,MATCH(J865,'Ashed teabags wet'!$A$2:$A$821,0)),"")</f>
        <v>2.9484029484021739</v>
      </c>
      <c r="R865" s="225">
        <f t="shared" si="73"/>
        <v>1.4315110565110678</v>
      </c>
      <c r="S865" s="226">
        <f>'WetLitterbags placem_collection'!E206</f>
        <v>42769</v>
      </c>
      <c r="T865" s="226">
        <f>IF('WetLitterbags placem_collection'!G206="","",'WetLitterbags placem_collection'!G206)</f>
        <v>42813</v>
      </c>
      <c r="U865" s="227">
        <f t="shared" si="74"/>
        <v>44</v>
      </c>
      <c r="V865" s="225">
        <f t="shared" si="71"/>
        <v>0.55820000000000003</v>
      </c>
      <c r="W865" s="225">
        <f t="shared" si="72"/>
        <v>0.55529813625695135</v>
      </c>
      <c r="X865">
        <f>IFERROR(INDEX(Rainfall_Wet!$O$2:$O$217,MATCH(B865, Rainfall_Wet!$A$2:$A$217,0)),"")</f>
        <v>175.054685654</v>
      </c>
      <c r="Y865" s="231">
        <v>28.145762029394</v>
      </c>
      <c r="Z865" s="231">
        <v>25.085564727199518</v>
      </c>
      <c r="AA865" s="231">
        <v>46.768673243406489</v>
      </c>
      <c r="AB865" s="232" t="s">
        <v>2670</v>
      </c>
      <c r="AC865" s="231">
        <v>2.1716214884179394</v>
      </c>
      <c r="AD865">
        <f>IF('WetLitterbags placem_collection'!AB206="","",'WetLitterbags placem_collection'!AB206)</f>
        <v>7.9</v>
      </c>
      <c r="AE865">
        <f>IF('WetLitterbags placem_collection'!Z206="","",'WetLitterbags placem_collection'!Z206)</f>
        <v>7.9</v>
      </c>
      <c r="AF865" s="24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placem_collection'!Y206)),"YES","NO")</f>
        <v>NO</v>
      </c>
      <c r="AM865" t="str">
        <f>IF(ISNUMBER(SEARCH("H", 'WetLitterbags placem_collection'!Y206)),"YES","NO")</f>
        <v>NO</v>
      </c>
      <c r="AN865" t="str">
        <f>IF(ISNUMBER(SEARCH("R", 'WetLitterbags placem_collection'!Y206)),"YES","NO")</f>
        <v>NO</v>
      </c>
    </row>
    <row r="866" spans="1:40" ht="15" customHeight="1">
      <c r="A866" s="258" t="s">
        <v>2460</v>
      </c>
      <c r="B866" s="263">
        <f>'Dry_Litterbag Placem_Collection'!A207</f>
        <v>205</v>
      </c>
      <c r="C866" s="263" t="str">
        <f>'Dry_Litterbag Placem_Collection'!B207</f>
        <v xml:space="preserve">Mwantimba
</v>
      </c>
      <c r="D866" s="263" t="s">
        <v>2659</v>
      </c>
      <c r="E866" s="263" t="s">
        <v>2526</v>
      </c>
      <c r="F866" s="263">
        <v>2</v>
      </c>
      <c r="G866" s="264" t="str">
        <f>'Dry_Litterbag Placem_Collection'!C207</f>
        <v>Wet_Ag1_CG2</v>
      </c>
      <c r="H866" s="273" t="s">
        <v>3651</v>
      </c>
      <c r="I866" s="274" t="s">
        <v>298</v>
      </c>
      <c r="J866" s="223" t="str">
        <f>'WetLitterbags placem_collection'!Q207</f>
        <v>R92</v>
      </c>
      <c r="K866" s="225">
        <f>IFERROR(INDEX('Green_rooibos initial weight'!$C$5:$C$1749,MATCH(J866, 'Green_rooibos initial weight'!$A$5:$A$1749,0)),"")</f>
        <v>2.246</v>
      </c>
      <c r="L866" s="225">
        <f>IFERROR(K866-(TBIcalc!$H$9+TBIcalc!$H$10),"")</f>
        <v>1.9962</v>
      </c>
      <c r="M866" s="391">
        <f>AVERAGE(Ashed_controlls!$K$12:$K$14)</f>
        <v>2.2816647271287041</v>
      </c>
      <c r="N866" s="225">
        <f t="shared" si="70"/>
        <v>1.9506534087170568</v>
      </c>
      <c r="O866" s="225">
        <f>IF(IFERROR(INDEX('Both teabags AfterWet'!$C$3:$C$841,MATCH(J866,'Both teabags AfterWet'!$A$3:$A$841,0)),"")="","",(IFERROR(INDEX('Both teabags AfterWet'!$C$3:$C$841,MATCH(J866,'Both teabags AfterWet'!$A$3:$A$841,0)),"")))</f>
        <v>1.7204999999999999</v>
      </c>
      <c r="P866" s="225">
        <f>IFERROR(IF(O866&gt;0,O866-(TBIcalc!$H$9),""),"")</f>
        <v>1.5698999999999999</v>
      </c>
      <c r="Q866" s="225">
        <f>IFERROR(INDEX('Ashed teabags wet'!$K$2:$K$821,MATCH(J866,'Ashed teabags wet'!$A$2:$A$821,0)),"")</f>
        <v>4.6821094135039614</v>
      </c>
      <c r="R866" s="225">
        <f t="shared" si="73"/>
        <v>1.4963955643174012</v>
      </c>
      <c r="S866" s="226">
        <f>'WetLitterbags placem_collection'!E207</f>
        <v>42769</v>
      </c>
      <c r="T866" s="226">
        <f>IF('WetLitterbags placem_collection'!G207="","",'WetLitterbags placem_collection'!G207)</f>
        <v>42814</v>
      </c>
      <c r="U866" s="227">
        <f t="shared" si="74"/>
        <v>45</v>
      </c>
      <c r="V866" s="225">
        <f t="shared" si="71"/>
        <v>0.42630000000000012</v>
      </c>
      <c r="W866" s="225">
        <f t="shared" si="72"/>
        <v>0.45425784439965566</v>
      </c>
      <c r="X866">
        <f>IFERROR(INDEX(Rainfall_Wet!$O$2:$O$217,MATCH(B866, Rainfall_Wet!$A$2:$A$217,0)),"")</f>
        <v>175.377105089</v>
      </c>
      <c r="Y866" s="231">
        <v>45.96</v>
      </c>
      <c r="Z866" s="231">
        <v>14.920000000000003</v>
      </c>
      <c r="AA866" s="231">
        <v>39.119999999999997</v>
      </c>
      <c r="AB866" s="232" t="s">
        <v>2673</v>
      </c>
      <c r="AC866" s="231">
        <v>2.0374568753080333</v>
      </c>
      <c r="AD866">
        <f>IF('WetLitterbags placem_collection'!AB207="","",'WetLitterbags placem_collection'!AB207)</f>
        <v>5.13</v>
      </c>
      <c r="AE866">
        <f>IF('WetLitterbags placem_collection'!Z207="","",'WetLitterbags placem_collection'!Z207)</f>
        <v>5.13</v>
      </c>
      <c r="AF866" s="24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placem_collection'!Y207)),"YES","NO")</f>
        <v>NO</v>
      </c>
      <c r="AM866" t="str">
        <f>IF(ISNUMBER(SEARCH("H", 'WetLitterbags placem_collection'!Y207)),"YES","NO")</f>
        <v>NO</v>
      </c>
      <c r="AN866" t="str">
        <f>IF(ISNUMBER(SEARCH("R", 'WetLitterbags placem_collection'!Y207)),"YES","NO")</f>
        <v>NO</v>
      </c>
    </row>
    <row r="867" spans="1:40" ht="15" customHeight="1">
      <c r="A867" s="258" t="s">
        <v>2460</v>
      </c>
      <c r="B867" s="263">
        <f>'Dry_Litterbag Placem_Collection'!A208</f>
        <v>206</v>
      </c>
      <c r="C867" s="263" t="str">
        <f>'Dry_Litterbag Placem_Collection'!B208</f>
        <v xml:space="preserve">Mwantimba
</v>
      </c>
      <c r="D867" s="263" t="s">
        <v>2659</v>
      </c>
      <c r="E867" s="263" t="s">
        <v>2526</v>
      </c>
      <c r="F867" s="263">
        <v>1</v>
      </c>
      <c r="G867" s="264" t="str">
        <f>'Dry_Litterbag Placem_Collection'!C208</f>
        <v>Wet_Ag2_CG1</v>
      </c>
      <c r="H867" s="273" t="s">
        <v>3651</v>
      </c>
      <c r="I867" s="274" t="s">
        <v>298</v>
      </c>
      <c r="J867" s="223" t="str">
        <f>'WetLitterbags placem_collection'!Q208</f>
        <v>R328</v>
      </c>
      <c r="K867" s="225">
        <f>IFERROR(INDEX('Green_rooibos initial weight'!$C$5:$C$1749,MATCH(J867, 'Green_rooibos initial weight'!$A$5:$A$1749,0)),"")</f>
        <v>2.2549999999999999</v>
      </c>
      <c r="L867" s="225">
        <f>IFERROR(K867-(TBIcalc!$H$9+TBIcalc!$H$10),"")</f>
        <v>2.0051999999999999</v>
      </c>
      <c r="M867" s="391">
        <f>AVERAGE(Ashed_controlls!$K$12:$K$14)</f>
        <v>2.2816647271287041</v>
      </c>
      <c r="N867" s="225">
        <f t="shared" si="70"/>
        <v>1.959448058891615</v>
      </c>
      <c r="O867" s="225">
        <f>IF(IFERROR(INDEX('Both teabags AfterWet'!$C$3:$C$841,MATCH(J867,'Both teabags AfterWet'!$A$3:$A$841,0)),"")="","",(IFERROR(INDEX('Both teabags AfterWet'!$C$3:$C$841,MATCH(J867,'Both teabags AfterWet'!$A$3:$A$841,0)),"")))</f>
        <v>1.609</v>
      </c>
      <c r="P867" s="225">
        <f>IFERROR(IF(O867&gt;0,O867-(TBIcalc!$H$9),""),"")</f>
        <v>1.4583999999999999</v>
      </c>
      <c r="Q867" s="225">
        <f>IFERROR(INDEX('Ashed teabags wet'!$K$2:$K$821,MATCH(J867,'Ashed teabags wet'!$A$2:$A$821,0)),"")</f>
        <v>5.8794708476237458</v>
      </c>
      <c r="R867" s="225">
        <f t="shared" si="73"/>
        <v>1.3726537971582553</v>
      </c>
      <c r="S867" s="226">
        <f>'WetLitterbags placem_collection'!E208</f>
        <v>42769</v>
      </c>
      <c r="T867" s="226">
        <f>IF('WetLitterbags placem_collection'!G208="","",'WetLitterbags placem_collection'!G208)</f>
        <v>42814</v>
      </c>
      <c r="U867" s="227">
        <f t="shared" si="74"/>
        <v>45</v>
      </c>
      <c r="V867" s="225">
        <f t="shared" si="71"/>
        <v>0.54679999999999995</v>
      </c>
      <c r="W867" s="225">
        <f t="shared" si="72"/>
        <v>0.58679426173335969</v>
      </c>
      <c r="X867">
        <f>IFERROR(INDEX(Rainfall_Wet!$O$2:$O$217,MATCH(B867, Rainfall_Wet!$A$2:$A$217,0)),"")</f>
        <v>175.377105089</v>
      </c>
      <c r="Y867" s="231">
        <v>34.344660194174757</v>
      </c>
      <c r="Z867" s="231">
        <v>19.22727272727273</v>
      </c>
      <c r="AA867" s="231">
        <v>46.428067078552509</v>
      </c>
      <c r="AB867" s="232" t="s">
        <v>2670</v>
      </c>
      <c r="AC867" s="231">
        <v>1.7452932479053718</v>
      </c>
      <c r="AD867">
        <f>IF('WetLitterbags placem_collection'!AB208="","",'WetLitterbags placem_collection'!AB208)</f>
        <v>13.8</v>
      </c>
      <c r="AE867">
        <f>IF('WetLitterbags placem_collection'!Z208="","",'WetLitterbags placem_collection'!Z208)</f>
        <v>17.399999999999999</v>
      </c>
      <c r="AF867" s="24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placem_collection'!Y208)),"YES","NO")</f>
        <v>NO</v>
      </c>
      <c r="AM867" t="str">
        <f>IF(ISNUMBER(SEARCH("H", 'WetLitterbags placem_collection'!Y208)),"YES","NO")</f>
        <v>NO</v>
      </c>
      <c r="AN867" t="str">
        <f>IF(ISNUMBER(SEARCH("R", 'WetLitterbags placem_collection'!Y208)),"YES","NO")</f>
        <v>YES</v>
      </c>
    </row>
    <row r="868" spans="1:40" ht="15" customHeight="1">
      <c r="A868" s="258" t="s">
        <v>2460</v>
      </c>
      <c r="B868" s="263">
        <f>'Dry_Litterbag Placem_Collection'!A209</f>
        <v>207</v>
      </c>
      <c r="C868" s="263" t="str">
        <f>'Dry_Litterbag Placem_Collection'!B209</f>
        <v xml:space="preserve">Mwantimba
</v>
      </c>
      <c r="D868" s="263" t="s">
        <v>2659</v>
      </c>
      <c r="E868" s="263" t="s">
        <v>2526</v>
      </c>
      <c r="F868" s="263">
        <v>4</v>
      </c>
      <c r="G868" s="264" t="str">
        <f>'Dry_Litterbag Placem_Collection'!C209</f>
        <v>Wet_Ag3_CG4</v>
      </c>
      <c r="H868" s="273" t="s">
        <v>3651</v>
      </c>
      <c r="I868" s="274" t="s">
        <v>298</v>
      </c>
      <c r="J868" s="223" t="str">
        <f>'WetLitterbags placem_collection'!Q209</f>
        <v>R149</v>
      </c>
      <c r="K868" s="225">
        <f>IFERROR(INDEX('Green_rooibos initial weight'!$C$5:$C$1749,MATCH(J868, 'Green_rooibos initial weight'!$A$5:$A$1749,0)),"")</f>
        <v>2.2400000000000002</v>
      </c>
      <c r="L868" s="225">
        <f>IFERROR(K868-(TBIcalc!$H$9+TBIcalc!$H$10),"")</f>
        <v>1.9902000000000002</v>
      </c>
      <c r="M868" s="391">
        <f>AVERAGE(Ashed_controlls!$K$12:$K$14)</f>
        <v>2.2816647271287041</v>
      </c>
      <c r="N868" s="225">
        <f t="shared" si="70"/>
        <v>1.9447903086006848</v>
      </c>
      <c r="O868" s="225">
        <f>IF(IFERROR(INDEX('Both teabags AfterWet'!$C$3:$C$841,MATCH(J868,'Both teabags AfterWet'!$A$3:$A$841,0)),"")="","",(IFERROR(INDEX('Both teabags AfterWet'!$C$3:$C$841,MATCH(J868,'Both teabags AfterWet'!$A$3:$A$841,0)),"")))</f>
        <v>1.401</v>
      </c>
      <c r="P868" s="225">
        <f>IFERROR(IF(O868&gt;0,O868-(TBIcalc!$H$9),""),"")</f>
        <v>1.2504</v>
      </c>
      <c r="Q868" s="225">
        <f>IFERROR(INDEX('Ashed teabags wet'!$K$2:$K$821,MATCH(J868,'Ashed teabags wet'!$A$2:$A$821,0)),"")</f>
        <v>9.4146341463411449</v>
      </c>
      <c r="R868" s="225">
        <f t="shared" si="73"/>
        <v>1.1326794146341503</v>
      </c>
      <c r="S868" s="226">
        <f>'WetLitterbags placem_collection'!E209</f>
        <v>42769</v>
      </c>
      <c r="T868" s="226">
        <f>IF('WetLitterbags placem_collection'!G209="","",'WetLitterbags placem_collection'!G209)</f>
        <v>42813</v>
      </c>
      <c r="U868" s="227">
        <f t="shared" si="74"/>
        <v>44</v>
      </c>
      <c r="V868" s="225">
        <f t="shared" si="71"/>
        <v>0.73980000000000024</v>
      </c>
      <c r="W868" s="225">
        <f t="shared" si="72"/>
        <v>0.81211089396653446</v>
      </c>
      <c r="X868">
        <f>IFERROR(INDEX(Rainfall_Wet!$O$2:$O$217,MATCH(B868, Rainfall_Wet!$A$2:$A$217,0)),"")</f>
        <v>175.054685654</v>
      </c>
      <c r="Y868" s="231">
        <v>27.96</v>
      </c>
      <c r="Z868" s="231">
        <v>4.9200000000000017</v>
      </c>
      <c r="AA868" s="231">
        <v>67.12</v>
      </c>
      <c r="AB868" s="232" t="s">
        <v>2670</v>
      </c>
      <c r="AC868" s="231">
        <v>0.88610152784622953</v>
      </c>
      <c r="AD868">
        <f>IF('WetLitterbags placem_collection'!AB209="","",'WetLitterbags placem_collection'!AB209)</f>
        <v>15.2</v>
      </c>
      <c r="AE868">
        <f>IF('WetLitterbags placem_collection'!Z209="","",'WetLitterbags placem_collection'!Z209)</f>
        <v>12.2</v>
      </c>
      <c r="AF868" s="24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placem_collection'!Y209)),"YES","NO")</f>
        <v>NO</v>
      </c>
      <c r="AM868" t="str">
        <f>IF(ISNUMBER(SEARCH("H", 'WetLitterbags placem_collection'!Y209)),"YES","NO")</f>
        <v>NO</v>
      </c>
      <c r="AN868" t="str">
        <f>IF(ISNUMBER(SEARCH("R", 'WetLitterbags placem_collection'!Y209)),"YES","NO")</f>
        <v>NO</v>
      </c>
    </row>
    <row r="869" spans="1:40" ht="15" customHeight="1">
      <c r="A869" s="258" t="s">
        <v>2460</v>
      </c>
      <c r="B869" s="263">
        <f>'Dry_Litterbag Placem_Collection'!A210</f>
        <v>208</v>
      </c>
      <c r="C869" s="263" t="str">
        <f>'Dry_Litterbag Placem_Collection'!B210</f>
        <v xml:space="preserve">Mwantimba
</v>
      </c>
      <c r="D869" s="263" t="s">
        <v>2659</v>
      </c>
      <c r="E869" s="263" t="s">
        <v>2526</v>
      </c>
      <c r="F869" s="263">
        <v>3</v>
      </c>
      <c r="G869" s="264" t="str">
        <f>'Dry_Litterbag Placem_Collection'!C210</f>
        <v>Wet_Ag4_CG3</v>
      </c>
      <c r="H869" s="273" t="s">
        <v>3651</v>
      </c>
      <c r="I869" s="274" t="s">
        <v>298</v>
      </c>
      <c r="J869" s="223" t="str">
        <f>'WetLitterbags placem_collection'!Q210</f>
        <v>R449</v>
      </c>
      <c r="K869" s="225">
        <f>IFERROR(INDEX('Green_rooibos initial weight'!$C$5:$C$1749,MATCH(J869, 'Green_rooibos initial weight'!$A$5:$A$1749,0)),"")</f>
        <v>2.2709999999999999</v>
      </c>
      <c r="L869" s="225">
        <f>IFERROR(K869-(TBIcalc!$H$9+TBIcalc!$H$10),"")</f>
        <v>2.0211999999999999</v>
      </c>
      <c r="M869" s="391">
        <f>AVERAGE(Ashed_controlls!$K$12:$K$14)</f>
        <v>2.2816647271287041</v>
      </c>
      <c r="N869" s="225">
        <f t="shared" si="70"/>
        <v>1.9750829925352744</v>
      </c>
      <c r="O869" s="225">
        <f>IF(IFERROR(INDEX('Both teabags AfterWet'!$C$3:$C$841,MATCH(J869,'Both teabags AfterWet'!$A$3:$A$841,0)),"")="","",(IFERROR(INDEX('Both teabags AfterWet'!$C$3:$C$841,MATCH(J869,'Both teabags AfterWet'!$A$3:$A$841,0)),"")))</f>
        <v>1.611</v>
      </c>
      <c r="P869" s="225">
        <f>IFERROR(IF(O869&gt;0,O869-(TBIcalc!$H$9),""),"")</f>
        <v>1.4603999999999999</v>
      </c>
      <c r="Q869" s="225">
        <f>IFERROR(INDEX('Ashed teabags wet'!$K$2:$K$821,MATCH(J869,'Ashed teabags wet'!$A$2:$A$821,0)),"")</f>
        <v>7.5425790754251629</v>
      </c>
      <c r="R869" s="225">
        <f t="shared" si="73"/>
        <v>1.3502481751824909</v>
      </c>
      <c r="S869" s="226">
        <f>'WetLitterbags placem_collection'!E210</f>
        <v>42769</v>
      </c>
      <c r="T869" s="226">
        <f>IF('WetLitterbags placem_collection'!G210="","",'WetLitterbags placem_collection'!G210)</f>
        <v>42813</v>
      </c>
      <c r="U869" s="227">
        <f t="shared" si="74"/>
        <v>44</v>
      </c>
      <c r="V869" s="225">
        <f t="shared" si="71"/>
        <v>0.56079999999999997</v>
      </c>
      <c r="W869" s="225">
        <f t="shared" si="72"/>
        <v>0.62483481735278357</v>
      </c>
      <c r="X869">
        <f>IFERROR(INDEX(Rainfall_Wet!$O$2:$O$217,MATCH(B869, Rainfall_Wet!$A$2:$A$217,0)),"")</f>
        <v>175.054685654</v>
      </c>
      <c r="Y869" s="231">
        <v>17.96</v>
      </c>
      <c r="Z869" s="231">
        <v>4.9199999999999982</v>
      </c>
      <c r="AA869" s="231">
        <v>77.12</v>
      </c>
      <c r="AB869" s="232" t="s">
        <v>2671</v>
      </c>
      <c r="AC869" s="231">
        <v>2.0220798422868409</v>
      </c>
      <c r="AD869">
        <f>IF('WetLitterbags placem_collection'!AB210="","",'WetLitterbags placem_collection'!AB210)</f>
        <v>7.9</v>
      </c>
      <c r="AE869">
        <f>IF('WetLitterbags placem_collection'!Z210="","",'WetLitterbags placem_collection'!Z210)</f>
        <v>7.9</v>
      </c>
      <c r="AF869" s="24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placem_collection'!Y210)),"YES","NO")</f>
        <v>NO</v>
      </c>
      <c r="AM869" t="str">
        <f>IF(ISNUMBER(SEARCH("H", 'WetLitterbags placem_collection'!Y210)),"YES","NO")</f>
        <v>NO</v>
      </c>
      <c r="AN869" t="str">
        <f>IF(ISNUMBER(SEARCH("R", 'WetLitterbags placem_collection'!Y210)),"YES","NO")</f>
        <v>YES</v>
      </c>
    </row>
    <row r="870" spans="1:40" ht="15" customHeight="1">
      <c r="A870" s="258" t="s">
        <v>2460</v>
      </c>
      <c r="B870" s="263">
        <f>'Dry_Litterbag Placem_Collection'!A211</f>
        <v>209</v>
      </c>
      <c r="C870" s="263" t="str">
        <f>'Dry_Litterbag Placem_Collection'!B211</f>
        <v xml:space="preserve">Mwantimba
</v>
      </c>
      <c r="D870" s="263" t="s">
        <v>2659</v>
      </c>
      <c r="E870" s="263" t="s">
        <v>2526</v>
      </c>
      <c r="F870" s="263">
        <v>2</v>
      </c>
      <c r="G870" s="264" t="str">
        <f>'Dry_Litterbag Placem_Collection'!C211</f>
        <v>Wet_P1_CG2</v>
      </c>
      <c r="H870" s="273" t="s">
        <v>3651</v>
      </c>
      <c r="I870" s="274" t="s">
        <v>298</v>
      </c>
      <c r="J870" s="223" t="str">
        <f>'WetLitterbags placem_collection'!Q211</f>
        <v>R142</v>
      </c>
      <c r="K870" s="225">
        <f>IFERROR(INDEX('Green_rooibos initial weight'!$C$5:$C$1749,MATCH(J870, 'Green_rooibos initial weight'!$A$5:$A$1749,0)),"")</f>
        <v>2.0870000000000002</v>
      </c>
      <c r="L870" s="225">
        <f>IFERROR(K870-(TBIcalc!$H$9+TBIcalc!$H$10),"")</f>
        <v>1.8372000000000002</v>
      </c>
      <c r="M870" s="391">
        <f>AVERAGE(Ashed_controlls!$K$12:$K$14)</f>
        <v>2.2816647271287041</v>
      </c>
      <c r="N870" s="225">
        <f t="shared" si="70"/>
        <v>1.7952812556331916</v>
      </c>
      <c r="O870" s="225">
        <f>IF(IFERROR(INDEX('Both teabags AfterWet'!$C$3:$C$841,MATCH(J870,'Both teabags AfterWet'!$A$3:$A$841,0)),"")="","",(IFERROR(INDEX('Both teabags AfterWet'!$C$3:$C$841,MATCH(J870,'Both teabags AfterWet'!$A$3:$A$841,0)),"")))</f>
        <v>1.5780000000000001</v>
      </c>
      <c r="P870" s="225">
        <f>IFERROR(IF(O870&gt;0,O870-(TBIcalc!$H$9),""),"")</f>
        <v>1.4274</v>
      </c>
      <c r="Q870" s="225">
        <f>IFERROR(INDEX('Ashed teabags wet'!$K$2:$K$821,MATCH(J870,'Ashed teabags wet'!$A$2:$A$821,0)),"")</f>
        <v>6.2620423892102917</v>
      </c>
      <c r="R870" s="225">
        <f t="shared" si="73"/>
        <v>1.3380156069364122</v>
      </c>
      <c r="S870" s="226">
        <f>'WetLitterbags placem_collection'!E211</f>
        <v>42769</v>
      </c>
      <c r="T870" s="226">
        <f>IF('WetLitterbags placem_collection'!G211="","",'WetLitterbags placem_collection'!G211)</f>
        <v>42814</v>
      </c>
      <c r="U870" s="227">
        <f t="shared" si="74"/>
        <v>45</v>
      </c>
      <c r="V870" s="225">
        <f t="shared" si="71"/>
        <v>0.40980000000000016</v>
      </c>
      <c r="W870" s="225">
        <f t="shared" si="72"/>
        <v>0.45726564869677944</v>
      </c>
      <c r="X870">
        <f>IFERROR(INDEX(Rainfall_Wet!$O$2:$O$217,MATCH(B870, Rainfall_Wet!$A$2:$A$217,0)),"")</f>
        <v>175.377105089</v>
      </c>
      <c r="Y870" s="231">
        <v>31.214836424255054</v>
      </c>
      <c r="Z870" s="231">
        <v>11.377370285476141</v>
      </c>
      <c r="AA870" s="231">
        <v>57.407793290268799</v>
      </c>
      <c r="AB870" s="232" t="s">
        <v>2670</v>
      </c>
      <c r="AC870" s="231">
        <v>1.7337604731394776</v>
      </c>
      <c r="AD870">
        <f>IF('WetLitterbags placem_collection'!AB211="","",'WetLitterbags placem_collection'!AB211)</f>
        <v>5.13</v>
      </c>
      <c r="AE870">
        <f>IF('WetLitterbags placem_collection'!Z211="","",'WetLitterbags placem_collection'!Z211)</f>
        <v>5.13</v>
      </c>
      <c r="AF870" s="24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placem_collection'!Y211)),"YES","NO")</f>
        <v>NO</v>
      </c>
      <c r="AM870" t="str">
        <f>IF(ISNUMBER(SEARCH("H", 'WetLitterbags placem_collection'!Y211)),"YES","NO")</f>
        <v>NO</v>
      </c>
      <c r="AN870" t="str">
        <f>IF(ISNUMBER(SEARCH("R", 'WetLitterbags placem_collection'!Y211)),"YES","NO")</f>
        <v>YES</v>
      </c>
    </row>
    <row r="871" spans="1:40" ht="15" customHeight="1">
      <c r="A871" s="258" t="s">
        <v>2460</v>
      </c>
      <c r="B871" s="263">
        <f>'Dry_Litterbag Placem_Collection'!A212</f>
        <v>210</v>
      </c>
      <c r="C871" s="263" t="str">
        <f>'Dry_Litterbag Placem_Collection'!B212</f>
        <v xml:space="preserve">Mwantimba
</v>
      </c>
      <c r="D871" s="263" t="s">
        <v>2659</v>
      </c>
      <c r="E871" s="263" t="s">
        <v>2526</v>
      </c>
      <c r="F871" s="263">
        <v>4</v>
      </c>
      <c r="G871" s="264" t="str">
        <f>'Dry_Litterbag Placem_Collection'!C212</f>
        <v>Wet_P2_CG4</v>
      </c>
      <c r="H871" s="273" t="s">
        <v>3651</v>
      </c>
      <c r="I871" s="274" t="s">
        <v>298</v>
      </c>
      <c r="J871" s="223" t="str">
        <f>'WetLitterbags placem_collection'!Q212</f>
        <v>R392</v>
      </c>
      <c r="K871" s="225">
        <f>IFERROR(INDEX('Green_rooibos initial weight'!$C$5:$C$1749,MATCH(J871, 'Green_rooibos initial weight'!$A$5:$A$1749,0)),"")</f>
        <v>2.2309999999999999</v>
      </c>
      <c r="L871" s="225">
        <f>IFERROR(K871-(TBIcalc!$H$9+TBIcalc!$H$10),"")</f>
        <v>1.9811999999999999</v>
      </c>
      <c r="M871" s="391">
        <f>AVERAGE(Ashed_controlls!$K$12:$K$14)</f>
        <v>2.2816647271287041</v>
      </c>
      <c r="N871" s="225">
        <f t="shared" si="70"/>
        <v>1.935995658426126</v>
      </c>
      <c r="O871" s="225">
        <f>IF(IFERROR(INDEX('Both teabags AfterWet'!$C$3:$C$841,MATCH(J871,'Both teabags AfterWet'!$A$3:$A$841,0)),"")="","",(IFERROR(INDEX('Both teabags AfterWet'!$C$3:$C$841,MATCH(J871,'Both teabags AfterWet'!$A$3:$A$841,0)),"")))</f>
        <v>1.6165</v>
      </c>
      <c r="P871" s="225">
        <f>IFERROR(IF(O871&gt;0,O871-(TBIcalc!$H$9),""),"")</f>
        <v>1.4659</v>
      </c>
      <c r="Q871" s="225">
        <f>IFERROR(INDEX('Ashed teabags wet'!$K$2:$K$821,MATCH(J871,'Ashed teabags wet'!$A$2:$A$821,0)),"")</f>
        <v>8.4810733109723397</v>
      </c>
      <c r="R871" s="225">
        <f t="shared" si="73"/>
        <v>1.3415759463344565</v>
      </c>
      <c r="S871" s="226">
        <f>'WetLitterbags placem_collection'!E212</f>
        <v>42769</v>
      </c>
      <c r="T871" s="226">
        <f>IF('WetLitterbags placem_collection'!G212="","",'WetLitterbags placem_collection'!G212)</f>
        <v>42813</v>
      </c>
      <c r="U871" s="227">
        <f t="shared" si="74"/>
        <v>44</v>
      </c>
      <c r="V871" s="225">
        <f t="shared" si="71"/>
        <v>0.51529999999999987</v>
      </c>
      <c r="W871" s="225">
        <f t="shared" si="72"/>
        <v>0.59441971209166944</v>
      </c>
      <c r="X871">
        <f>IFERROR(INDEX(Rainfall_Wet!$O$2:$O$217,MATCH(B871, Rainfall_Wet!$A$2:$A$217,0)),"")</f>
        <v>175.054685654</v>
      </c>
      <c r="Y871" s="231">
        <v>33.96</v>
      </c>
      <c r="Z871" s="231">
        <v>8.9200000000000017</v>
      </c>
      <c r="AA871" s="231">
        <v>57.12</v>
      </c>
      <c r="AB871" s="232" t="s">
        <v>2670</v>
      </c>
      <c r="AC871" s="231">
        <v>2.072055199605717</v>
      </c>
      <c r="AD871">
        <f>IF('WetLitterbags placem_collection'!AB212="","",'WetLitterbags placem_collection'!AB212)</f>
        <v>15.2</v>
      </c>
      <c r="AE871">
        <f>IF('WetLitterbags placem_collection'!Z212="","",'WetLitterbags placem_collection'!Z212)</f>
        <v>12.2</v>
      </c>
      <c r="AF871" s="24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placem_collection'!Y212)),"YES","NO")</f>
        <v>NO</v>
      </c>
      <c r="AM871" t="str">
        <f>IF(ISNUMBER(SEARCH("H", 'WetLitterbags placem_collection'!Y212)),"YES","NO")</f>
        <v>NO</v>
      </c>
      <c r="AN871" t="str">
        <f>IF(ISNUMBER(SEARCH("R", 'WetLitterbags placem_collection'!Y212)),"YES","NO")</f>
        <v>NO</v>
      </c>
    </row>
    <row r="872" spans="1:40" ht="15" customHeight="1">
      <c r="A872" s="258" t="s">
        <v>2460</v>
      </c>
      <c r="B872" s="263">
        <f>'Dry_Litterbag Placem_Collection'!A213</f>
        <v>211</v>
      </c>
      <c r="C872" s="263" t="str">
        <f>'Dry_Litterbag Placem_Collection'!B213</f>
        <v xml:space="preserve">Mwantimba
</v>
      </c>
      <c r="D872" s="263" t="s">
        <v>2659</v>
      </c>
      <c r="E872" s="263" t="s">
        <v>2526</v>
      </c>
      <c r="F872" s="263">
        <v>1</v>
      </c>
      <c r="G872" s="264" t="str">
        <f>'Dry_Litterbag Placem_Collection'!C213</f>
        <v>Wet_P3_CG1</v>
      </c>
      <c r="H872" s="273" t="s">
        <v>3651</v>
      </c>
      <c r="I872" s="274" t="s">
        <v>298</v>
      </c>
      <c r="J872" s="223" t="str">
        <f>'WetLitterbags placem_collection'!Q213</f>
        <v>R589</v>
      </c>
      <c r="K872" s="225">
        <f>IFERROR(INDEX('Green_rooibos initial weight'!$C$5:$C$1749,MATCH(J872, 'Green_rooibos initial weight'!$A$5:$A$1749,0)),"")</f>
        <v>2.157</v>
      </c>
      <c r="L872" s="225">
        <f>IFERROR(K872-(TBIcalc!$H$9+TBIcalc!$H$10),"")</f>
        <v>1.9072</v>
      </c>
      <c r="M872" s="391">
        <f>AVERAGE(Ashed_controlls!$K$12:$K$14)</f>
        <v>2.2816647271287041</v>
      </c>
      <c r="N872" s="225">
        <f t="shared" si="70"/>
        <v>1.8636840903242013</v>
      </c>
      <c r="O872" s="225">
        <f>IF(IFERROR(INDEX('Both teabags AfterWet'!$C$3:$C$841,MATCH(J872,'Both teabags AfterWet'!$A$3:$A$841,0)),"")="","",(IFERROR(INDEX('Both teabags AfterWet'!$C$3:$C$841,MATCH(J872,'Both teabags AfterWet'!$A$3:$A$841,0)),"")))</f>
        <v>1.5489999999999999</v>
      </c>
      <c r="P872" s="225">
        <f>IFERROR(IF(O872&gt;0,O872-(TBIcalc!$H$9),""),"")</f>
        <v>1.3983999999999999</v>
      </c>
      <c r="Q872" s="225">
        <f>IFERROR(INDEX('Ashed teabags wet'!$K$2:$K$821,MATCH(J872,'Ashed teabags wet'!$A$2:$A$821,0)),"")</f>
        <v>7.414730598121813</v>
      </c>
      <c r="R872" s="225">
        <f t="shared" si="73"/>
        <v>1.2947124073158645</v>
      </c>
      <c r="S872" s="226">
        <f>'WetLitterbags placem_collection'!E213</f>
        <v>42769</v>
      </c>
      <c r="T872" s="226">
        <f>IF('WetLitterbags placem_collection'!G213="","",'WetLitterbags placem_collection'!G213)</f>
        <v>42814</v>
      </c>
      <c r="U872" s="227">
        <f t="shared" si="74"/>
        <v>45</v>
      </c>
      <c r="V872" s="225">
        <f t="shared" si="71"/>
        <v>0.50880000000000014</v>
      </c>
      <c r="W872" s="225">
        <f t="shared" si="72"/>
        <v>0.56897168300833689</v>
      </c>
      <c r="X872">
        <f>IFERROR(INDEX(Rainfall_Wet!$O$2:$O$217,MATCH(B872, Rainfall_Wet!$A$2:$A$217,0)),"")</f>
        <v>175.377105089</v>
      </c>
      <c r="Y872" s="231">
        <v>39.96</v>
      </c>
      <c r="Z872" s="231">
        <v>12.920000000000002</v>
      </c>
      <c r="AA872" s="231">
        <v>47.12</v>
      </c>
      <c r="AB872" s="232" t="s">
        <v>2674</v>
      </c>
      <c r="AC872" s="231">
        <v>1.6549531789058647</v>
      </c>
      <c r="AD872">
        <f>IF('WetLitterbags placem_collection'!AB213="","",'WetLitterbags placem_collection'!AB213)</f>
        <v>13.8</v>
      </c>
      <c r="AE872">
        <f>IF('WetLitterbags placem_collection'!Z213="","",'WetLitterbags placem_collection'!Z213)</f>
        <v>17.399999999999999</v>
      </c>
      <c r="AF872" s="24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placem_collection'!Y213)),"YES","NO")</f>
        <v>NO</v>
      </c>
      <c r="AM872" t="str">
        <f>IF(ISNUMBER(SEARCH("H", 'WetLitterbags placem_collection'!Y213)),"YES","NO")</f>
        <v>NO</v>
      </c>
      <c r="AN872" t="str">
        <f>IF(ISNUMBER(SEARCH("R", 'WetLitterbags placem_collection'!Y213)),"YES","NO")</f>
        <v>YES</v>
      </c>
    </row>
    <row r="873" spans="1:40" ht="15" customHeight="1">
      <c r="A873" s="258" t="s">
        <v>2460</v>
      </c>
      <c r="B873" s="263">
        <f>'Dry_Litterbag Placem_Collection'!A214</f>
        <v>215</v>
      </c>
      <c r="C873" s="263" t="str">
        <f>'Dry_Litterbag Placem_Collection'!B214</f>
        <v xml:space="preserve">Mwantimba
</v>
      </c>
      <c r="D873" s="263" t="s">
        <v>2659</v>
      </c>
      <c r="E873" s="263" t="s">
        <v>2526</v>
      </c>
      <c r="F873" s="263">
        <v>3</v>
      </c>
      <c r="G873" s="264" t="str">
        <f>'Dry_Litterbag Placem_Collection'!C214</f>
        <v>Wet_W3_CG1</v>
      </c>
      <c r="H873" s="273" t="s">
        <v>3651</v>
      </c>
      <c r="I873" s="274" t="s">
        <v>298</v>
      </c>
      <c r="J873" s="223" t="str">
        <f>'WetLitterbags placem_collection'!Q214</f>
        <v>R130</v>
      </c>
      <c r="K873" s="225">
        <f>IFERROR(INDEX('Green_rooibos initial weight'!$C$5:$C$1749,MATCH(J873, 'Green_rooibos initial weight'!$A$5:$A$1749,0)),"")</f>
        <v>2.2410000000000001</v>
      </c>
      <c r="L873" s="225">
        <f>IFERROR(K873-(TBIcalc!$H$9+TBIcalc!$H$10),"")</f>
        <v>1.9912000000000001</v>
      </c>
      <c r="M873" s="391">
        <f>AVERAGE(Ashed_controlls!$K$12:$K$14)</f>
        <v>2.2816647271287041</v>
      </c>
      <c r="N873" s="225">
        <f t="shared" si="70"/>
        <v>1.9457674919534134</v>
      </c>
      <c r="O873" s="225">
        <f>IF(IFERROR(INDEX('Both teabags AfterWet'!$C$3:$C$841,MATCH(J873,'Both teabags AfterWet'!$A$3:$A$841,0)),"")="","",(IFERROR(INDEX('Both teabags AfterWet'!$C$3:$C$841,MATCH(J873,'Both teabags AfterWet'!$A$3:$A$841,0)),"")))</f>
        <v>1.6712</v>
      </c>
      <c r="P873" s="225">
        <f>IFERROR(IF(O873&gt;0,O873-(TBIcalc!$H$9),""),"")</f>
        <v>1.5206</v>
      </c>
      <c r="Q873" s="225">
        <f>IFERROR(INDEX('Ashed teabags wet'!$K$2:$K$821,MATCH(J873,'Ashed teabags wet'!$A$2:$A$821,0)),"")</f>
        <v>7.2700296735904999</v>
      </c>
      <c r="R873" s="225">
        <f t="shared" si="73"/>
        <v>1.4100519287833828</v>
      </c>
      <c r="S873" s="226">
        <f>'WetLitterbags placem_collection'!E214</f>
        <v>42769</v>
      </c>
      <c r="T873" s="226">
        <f>IF('WetLitterbags placem_collection'!G214="","",'WetLitterbags placem_collection'!G214)</f>
        <v>42813</v>
      </c>
      <c r="U873" s="227">
        <f t="shared" si="74"/>
        <v>44</v>
      </c>
      <c r="V873" s="225">
        <f t="shared" si="71"/>
        <v>0.47060000000000013</v>
      </c>
      <c r="W873" s="225">
        <f t="shared" si="72"/>
        <v>0.53571556317003055</v>
      </c>
      <c r="X873">
        <f>IFERROR(INDEX(Rainfall_Wet!$O$2:$O$217,MATCH(B873, Rainfall_Wet!$A$2:$A$217,0)),"")</f>
        <v>175.377105089</v>
      </c>
      <c r="Y873" s="231">
        <v>27.96</v>
      </c>
      <c r="Z873" s="231">
        <v>4.9200000000000017</v>
      </c>
      <c r="AA873" s="231">
        <v>67.12</v>
      </c>
      <c r="AB873" s="232" t="s">
        <v>2670</v>
      </c>
      <c r="AC873" s="231">
        <v>1.0437161163134547</v>
      </c>
      <c r="AD873">
        <f>IF('WetLitterbags placem_collection'!AB214="","",'WetLitterbags placem_collection'!AB214)</f>
        <v>7.9</v>
      </c>
      <c r="AE873">
        <f>IF('WetLitterbags placem_collection'!Z214="","",'WetLitterbags placem_collection'!Z214)</f>
        <v>7.9</v>
      </c>
      <c r="AF873" s="24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placem_collection'!Y214)),"YES","NO")</f>
        <v>NO</v>
      </c>
      <c r="AM873" t="str">
        <f>IF(ISNUMBER(SEARCH("H", 'WetLitterbags placem_collection'!Y214)),"YES","NO")</f>
        <v>NO</v>
      </c>
      <c r="AN873" t="str">
        <f>IF(ISNUMBER(SEARCH("R", 'WetLitterbags placem_collection'!Y214)),"YES","NO")</f>
        <v>YES</v>
      </c>
    </row>
    <row r="874" spans="1:40" ht="15" customHeight="1">
      <c r="A874" s="258" t="s">
        <v>2460</v>
      </c>
      <c r="B874" s="263">
        <f>'Dry_Litterbag Placem_Collection'!A215</f>
        <v>212</v>
      </c>
      <c r="C874" s="263" t="str">
        <f>'Dry_Litterbag Placem_Collection'!B215</f>
        <v xml:space="preserve">Mwantimba
</v>
      </c>
      <c r="D874" s="263" t="s">
        <v>2659</v>
      </c>
      <c r="E874" s="263" t="s">
        <v>2526</v>
      </c>
      <c r="F874" s="263">
        <v>4</v>
      </c>
      <c r="G874" s="264" t="str">
        <f>'Dry_Litterbag Placem_Collection'!C215</f>
        <v>Wet_P4_CG3</v>
      </c>
      <c r="H874" s="273" t="s">
        <v>3651</v>
      </c>
      <c r="I874" s="274" t="s">
        <v>298</v>
      </c>
      <c r="J874" s="223" t="str">
        <f>'WetLitterbags placem_collection'!Q215</f>
        <v>R111</v>
      </c>
      <c r="K874" s="225">
        <f>IFERROR(INDEX('Green_rooibos initial weight'!$C$5:$C$1749,MATCH(J874, 'Green_rooibos initial weight'!$A$5:$A$1749,0)),"")</f>
        <v>2.3170000000000002</v>
      </c>
      <c r="L874" s="225">
        <f>IFERROR(K874-(TBIcalc!$H$9+TBIcalc!$H$10),"")</f>
        <v>2.0672000000000001</v>
      </c>
      <c r="M874" s="391">
        <f>AVERAGE(Ashed_controlls!$K$12:$K$14)</f>
        <v>2.2816647271287041</v>
      </c>
      <c r="N874" s="225">
        <f t="shared" si="70"/>
        <v>2.0200334267607958</v>
      </c>
      <c r="O874" s="225">
        <f>IF(IFERROR(INDEX('Both teabags AfterWet'!$C$3:$C$841,MATCH(J874,'Both teabags AfterWet'!$A$3:$A$841,0)),"")="","",(IFERROR(INDEX('Both teabags AfterWet'!$C$3:$C$841,MATCH(J874,'Both teabags AfterWet'!$A$3:$A$841,0)),"")))</f>
        <v>1.587</v>
      </c>
      <c r="P874" s="225">
        <f>IFERROR(IF(O874&gt;0,O874-(TBIcalc!$H$9),""),"")</f>
        <v>1.4363999999999999</v>
      </c>
      <c r="Q874" s="225">
        <f>IFERROR(INDEX('Ashed teabags wet'!$K$2:$K$821,MATCH(J874,'Ashed teabags wet'!$A$2:$A$821,0)),"")</f>
        <v>3.4013605442175416</v>
      </c>
      <c r="R874" s="225">
        <f t="shared" si="73"/>
        <v>1.3875428571428592</v>
      </c>
      <c r="S874" s="226">
        <f>'WetLitterbags placem_collection'!E215</f>
        <v>42769</v>
      </c>
      <c r="T874" s="226">
        <f>IF('WetLitterbags placem_collection'!G215="","",'WetLitterbags placem_collection'!G215)</f>
        <v>42813</v>
      </c>
      <c r="U874" s="227">
        <f t="shared" si="74"/>
        <v>44</v>
      </c>
      <c r="V874" s="225">
        <f t="shared" si="71"/>
        <v>0.63080000000000025</v>
      </c>
      <c r="W874" s="225">
        <f t="shared" si="72"/>
        <v>0.63249056961793659</v>
      </c>
      <c r="X874">
        <f>IFERROR(INDEX(Rainfall_Wet!$O$2:$O$217,MATCH(B874, Rainfall_Wet!$A$2:$A$217,0)),"")</f>
        <v>175.054685654</v>
      </c>
      <c r="Y874" s="231">
        <v>21.96</v>
      </c>
      <c r="Z874" s="231">
        <v>4.9199999999999982</v>
      </c>
      <c r="AA874" s="231">
        <v>73.12</v>
      </c>
      <c r="AB874" s="232" t="s">
        <v>2670</v>
      </c>
      <c r="AC874" s="231">
        <v>1.2416954164613114</v>
      </c>
      <c r="AD874">
        <f>IF('WetLitterbags placem_collection'!AB215="","",'WetLitterbags placem_collection'!AB215)</f>
        <v>15.2</v>
      </c>
      <c r="AE874">
        <f>IF('WetLitterbags placem_collection'!Z215="","",'WetLitterbags placem_collection'!Z215)</f>
        <v>12.2</v>
      </c>
      <c r="AF874" s="24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placem_collection'!Y215)),"YES","NO")</f>
        <v>NO</v>
      </c>
      <c r="AM874" t="str">
        <f>IF(ISNUMBER(SEARCH("H", 'WetLitterbags placem_collection'!Y215)),"YES","NO")</f>
        <v>NO</v>
      </c>
      <c r="AN874" t="str">
        <f>IF(ISNUMBER(SEARCH("R", 'WetLitterbags placem_collection'!Y215)),"YES","NO")</f>
        <v>NO</v>
      </c>
    </row>
    <row r="875" spans="1:40" ht="15" customHeight="1">
      <c r="A875" s="258" t="s">
        <v>2460</v>
      </c>
      <c r="B875" s="263">
        <f>'Dry_Litterbag Placem_Collection'!A216</f>
        <v>213</v>
      </c>
      <c r="C875" s="263" t="str">
        <f>'Dry_Litterbag Placem_Collection'!B216</f>
        <v>Handajega</v>
      </c>
      <c r="D875" s="263" t="s">
        <v>2659</v>
      </c>
      <c r="E875" s="263" t="s">
        <v>2526</v>
      </c>
      <c r="F875" s="263">
        <v>3</v>
      </c>
      <c r="G875" s="264" t="str">
        <f>'Dry_Litterbag Placem_Collection'!C216</f>
        <v>Wet_W1_CG4</v>
      </c>
      <c r="H875" s="273" t="s">
        <v>3651</v>
      </c>
      <c r="I875" s="274" t="s">
        <v>298</v>
      </c>
      <c r="J875" s="223" t="str">
        <f>'WetLitterbags placem_collection'!Q216</f>
        <v>R412</v>
      </c>
      <c r="K875" s="225">
        <f>IFERROR(INDEX('Green_rooibos initial weight'!$C$5:$C$1749,MATCH(J875, 'Green_rooibos initial weight'!$A$5:$A$1749,0)),"")</f>
        <v>2.2709999999999999</v>
      </c>
      <c r="L875" s="225">
        <f>IFERROR(K875-(TBIcalc!$H$9+TBIcalc!$H$10),"")</f>
        <v>2.0211999999999999</v>
      </c>
      <c r="M875" s="391">
        <f>AVERAGE(Ashed_controlls!$K$12:$K$14)</f>
        <v>2.2816647271287041</v>
      </c>
      <c r="N875" s="225">
        <f t="shared" si="70"/>
        <v>1.9750829925352744</v>
      </c>
      <c r="O875" s="225">
        <f>IF(IFERROR(INDEX('Both teabags AfterWet'!$C$3:$C$841,MATCH(J875,'Both teabags AfterWet'!$A$3:$A$841,0)),"")="","",(IFERROR(INDEX('Both teabags AfterWet'!$C$3:$C$841,MATCH(J875,'Both teabags AfterWet'!$A$3:$A$841,0)),"")))</f>
        <v>1.4850000000000001</v>
      </c>
      <c r="P875" s="225">
        <f>IFERROR(IF(O875&gt;0,O875-(TBIcalc!$H$9),""),"")</f>
        <v>1.3344</v>
      </c>
      <c r="Q875" s="225">
        <f>IFERROR(INDEX('Ashed teabags wet'!$K$2:$K$821,MATCH(J875,'Ashed teabags wet'!$A$2:$A$821,0)),"")</f>
        <v>5.5972013992993173</v>
      </c>
      <c r="R875" s="225">
        <f t="shared" si="73"/>
        <v>1.2597109445277499</v>
      </c>
      <c r="S875" s="226">
        <f>'WetLitterbags placem_collection'!E216</f>
        <v>42769</v>
      </c>
      <c r="T875" s="226">
        <f>IF('WetLitterbags placem_collection'!G216="","",'WetLitterbags placem_collection'!G216)</f>
        <v>42813</v>
      </c>
      <c r="U875" s="227">
        <f t="shared" si="74"/>
        <v>44</v>
      </c>
      <c r="V875" s="225">
        <f t="shared" si="71"/>
        <v>0.68679999999999986</v>
      </c>
      <c r="W875" s="225">
        <f t="shared" si="72"/>
        <v>0.71537204800752452</v>
      </c>
      <c r="X875">
        <f>IFERROR(INDEX(Rainfall_Wet!$O$2:$O$217,MATCH(B875, Rainfall_Wet!$A$2:$A$217,0)),"")</f>
        <v>175.054685654</v>
      </c>
      <c r="Y875" s="231">
        <v>23.96</v>
      </c>
      <c r="Z875" s="231">
        <v>4.9199999999999982</v>
      </c>
      <c r="AA875" s="231">
        <v>71.12</v>
      </c>
      <c r="AB875" s="232" t="s">
        <v>2670</v>
      </c>
      <c r="AC875" s="231">
        <v>3.30913750616067</v>
      </c>
      <c r="AD875">
        <f>IF('WetLitterbags placem_collection'!AB216="","",'WetLitterbags placem_collection'!AB216)</f>
        <v>7.9</v>
      </c>
      <c r="AE875">
        <f>IF('WetLitterbags placem_collection'!Z216="","",'WetLitterbags placem_collection'!Z216)</f>
        <v>7.9</v>
      </c>
      <c r="AF875" s="24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placem_collection'!Y216)),"YES","NO")</f>
        <v>NO</v>
      </c>
      <c r="AM875" t="str">
        <f>IF(ISNUMBER(SEARCH("H", 'WetLitterbags placem_collection'!Y216)),"YES","NO")</f>
        <v>NO</v>
      </c>
      <c r="AN875" t="str">
        <f>IF(ISNUMBER(SEARCH("R", 'WetLitterbags placem_collection'!Y216)),"YES","NO")</f>
        <v>YES</v>
      </c>
    </row>
    <row r="876" spans="1:40" ht="15" customHeight="1">
      <c r="A876" s="258" t="s">
        <v>2460</v>
      </c>
      <c r="B876" s="263">
        <f>'Dry_Litterbag Placem_Collection'!A217</f>
        <v>214</v>
      </c>
      <c r="C876" s="263" t="str">
        <f>'Dry_Litterbag Placem_Collection'!B217</f>
        <v>Handajega</v>
      </c>
      <c r="D876" s="263" t="s">
        <v>2659</v>
      </c>
      <c r="E876" s="263" t="s">
        <v>2526</v>
      </c>
      <c r="F876" s="263">
        <v>1</v>
      </c>
      <c r="G876" s="264" t="str">
        <f>'Dry_Litterbag Placem_Collection'!C217</f>
        <v>Wet_W2_CG3</v>
      </c>
      <c r="H876" s="273" t="s">
        <v>3651</v>
      </c>
      <c r="I876" s="274" t="s">
        <v>298</v>
      </c>
      <c r="J876" s="223" t="str">
        <f>'WetLitterbags placem_collection'!Q217</f>
        <v>R434</v>
      </c>
      <c r="K876" s="225">
        <f>IFERROR(INDEX('Green_rooibos initial weight'!$C$5:$C$1749,MATCH(J876, 'Green_rooibos initial weight'!$A$5:$A$1749,0)),"")</f>
        <v>2.0840000000000001</v>
      </c>
      <c r="L876" s="225">
        <f>IFERROR(K876-(TBIcalc!$H$9+TBIcalc!$H$10),"")</f>
        <v>1.8342000000000001</v>
      </c>
      <c r="M876" s="391">
        <f>AVERAGE(Ashed_controlls!$K$12:$K$14)</f>
        <v>2.2816647271287041</v>
      </c>
      <c r="N876" s="225">
        <f t="shared" si="70"/>
        <v>1.7923497055750053</v>
      </c>
      <c r="O876" s="225">
        <f>IF(IFERROR(INDEX('Both teabags AfterWet'!$C$3:$C$841,MATCH(J876,'Both teabags AfterWet'!$A$3:$A$841,0)),"")="","",(IFERROR(INDEX('Both teabags AfterWet'!$C$3:$C$841,MATCH(J876,'Both teabags AfterWet'!$A$3:$A$841,0)),"")))</f>
        <v>1.5467</v>
      </c>
      <c r="P876" s="225">
        <f>IFERROR(IF(O876&gt;0,O876-(TBIcalc!$H$9),""),"")</f>
        <v>1.3960999999999999</v>
      </c>
      <c r="Q876" s="225">
        <f>IFERROR(INDEX('Ashed teabags wet'!$K$2:$K$821,MATCH(J876,'Ashed teabags wet'!$A$2:$A$821,0)),"")</f>
        <v>2.1484374999999396</v>
      </c>
      <c r="R876" s="225">
        <f t="shared" si="73"/>
        <v>1.3661056640625007</v>
      </c>
      <c r="S876" s="226">
        <f>'WetLitterbags placem_collection'!E217</f>
        <v>42769</v>
      </c>
      <c r="T876" s="226">
        <f>IF('WetLitterbags placem_collection'!G217="","",'WetLitterbags placem_collection'!G217)</f>
        <v>42814</v>
      </c>
      <c r="U876" s="227">
        <f t="shared" si="74"/>
        <v>45</v>
      </c>
      <c r="V876" s="225">
        <f t="shared" si="71"/>
        <v>0.43810000000000016</v>
      </c>
      <c r="W876" s="225">
        <f t="shared" si="72"/>
        <v>0.42624404151250461</v>
      </c>
      <c r="X876">
        <f>IFERROR(INDEX(Rainfall_Wet!$O$2:$O$217,MATCH(B876, Rainfall_Wet!$A$2:$A$217,0)),"")</f>
        <v>175.054685654</v>
      </c>
      <c r="Y876" s="231">
        <v>25.96</v>
      </c>
      <c r="Z876" s="231">
        <v>8.9200000000000017</v>
      </c>
      <c r="AA876" s="231">
        <v>65.12</v>
      </c>
      <c r="AB876" s="232" t="s">
        <v>2670</v>
      </c>
      <c r="AC876" s="231">
        <v>1.614588467225234</v>
      </c>
      <c r="AD876">
        <f>IF('WetLitterbags placem_collection'!AB217="","",'WetLitterbags placem_collection'!AB217)</f>
        <v>13.8</v>
      </c>
      <c r="AE876">
        <f>IF('WetLitterbags placem_collection'!Z217="","",'WetLitterbags placem_collection'!Z217)</f>
        <v>17.399999999999999</v>
      </c>
      <c r="AF876" s="24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placem_collection'!Y217)),"YES","NO")</f>
        <v>NO</v>
      </c>
      <c r="AM876" t="str">
        <f>IF(ISNUMBER(SEARCH("H", 'WetLitterbags placem_collection'!Y217)),"YES","NO")</f>
        <v>NO</v>
      </c>
      <c r="AN876" t="str">
        <f>IF(ISNUMBER(SEARCH("R", 'WetLitterbags placem_collection'!Y217)),"YES","NO")</f>
        <v>YES</v>
      </c>
    </row>
    <row r="877" spans="1:40" ht="15" customHeight="1">
      <c r="A877" s="258" t="s">
        <v>2460</v>
      </c>
      <c r="B877" s="263">
        <f>'Dry_Litterbag Placem_Collection'!A218</f>
        <v>216</v>
      </c>
      <c r="C877" s="263" t="str">
        <f>'Dry_Litterbag Placem_Collection'!B218</f>
        <v>Handajega</v>
      </c>
      <c r="D877" s="263" t="s">
        <v>2659</v>
      </c>
      <c r="E877" s="263" t="s">
        <v>2526</v>
      </c>
      <c r="F877" s="263">
        <v>2</v>
      </c>
      <c r="G877" s="264" t="str">
        <f>'Dry_Litterbag Placem_Collection'!C218</f>
        <v>Wet_W4_CG2</v>
      </c>
      <c r="H877" s="273" t="s">
        <v>3651</v>
      </c>
      <c r="I877" s="274" t="s">
        <v>298</v>
      </c>
      <c r="J877" s="223" t="str">
        <f>'WetLitterbags placem_collection'!Q218</f>
        <v>R457</v>
      </c>
      <c r="K877" s="225">
        <f>IFERROR(INDEX('Green_rooibos initial weight'!$C$5:$C$1749,MATCH(J877, 'Green_rooibos initial weight'!$A$5:$A$1749,0)),"")</f>
        <v>2.2410000000000001</v>
      </c>
      <c r="L877" s="225">
        <f>IFERROR(K877-(TBIcalc!$H$9+TBIcalc!$H$10),"")</f>
        <v>1.9912000000000001</v>
      </c>
      <c r="M877" s="391">
        <f>AVERAGE(Ashed_controlls!$K$12:$K$14)</f>
        <v>2.2816647271287041</v>
      </c>
      <c r="N877" s="225">
        <f t="shared" si="70"/>
        <v>1.9457674919534134</v>
      </c>
      <c r="O877" s="225">
        <f>IF(IFERROR(INDEX('Both teabags AfterWet'!$C$3:$C$841,MATCH(J877,'Both teabags AfterWet'!$A$3:$A$841,0)),"")="","",(IFERROR(INDEX('Both teabags AfterWet'!$C$3:$C$841,MATCH(J877,'Both teabags AfterWet'!$A$3:$A$841,0)),"")))</f>
        <v>1.5940000000000001</v>
      </c>
      <c r="P877" s="225">
        <f>IFERROR(IF(O877&gt;0,O877-(TBIcalc!$H$9),""),"")</f>
        <v>1.4434</v>
      </c>
      <c r="Q877" s="225">
        <f>IFERROR(INDEX('Ashed teabags wet'!$K$2:$K$821,MATCH(J877,'Ashed teabags wet'!$A$2:$A$821,0)),"")</f>
        <v>3.2951289398278099</v>
      </c>
      <c r="R877" s="225">
        <f t="shared" si="73"/>
        <v>1.3958381088825254</v>
      </c>
      <c r="S877" s="226">
        <f>'WetLitterbags placem_collection'!E218</f>
        <v>42769</v>
      </c>
      <c r="T877" s="226">
        <f>IF('WetLitterbags placem_collection'!G218="","",'WetLitterbags placem_collection'!G218)</f>
        <v>42814</v>
      </c>
      <c r="U877" s="227">
        <f t="shared" si="74"/>
        <v>45</v>
      </c>
      <c r="V877" s="225">
        <f t="shared" si="71"/>
        <v>0.54780000000000006</v>
      </c>
      <c r="W877" s="225">
        <f t="shared" si="72"/>
        <v>0.54992938307088801</v>
      </c>
      <c r="X877">
        <f>IFERROR(INDEX(Rainfall_Wet!$O$2:$O$217,MATCH(B877, Rainfall_Wet!$A$2:$A$217,0)),"")</f>
        <v>175.377105089</v>
      </c>
      <c r="Y877" s="231">
        <v>25.96</v>
      </c>
      <c r="Z877" s="231">
        <v>8.9200000000000017</v>
      </c>
      <c r="AA877" s="231">
        <v>65.12</v>
      </c>
      <c r="AB877" s="232" t="s">
        <v>2670</v>
      </c>
      <c r="AC877" s="231">
        <v>1.6991621488417901</v>
      </c>
      <c r="AD877">
        <f>IF('WetLitterbags placem_collection'!AB218="","",'WetLitterbags placem_collection'!AB218)</f>
        <v>5.13</v>
      </c>
      <c r="AE877">
        <f>IF('WetLitterbags placem_collection'!Z218="","",'WetLitterbags placem_collection'!Z218)</f>
        <v>5.13</v>
      </c>
      <c r="AF877" s="24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placem_collection'!Y218)),"YES","NO")</f>
        <v>NO</v>
      </c>
      <c r="AM877" t="str">
        <f>IF(ISNUMBER(SEARCH("H", 'WetLitterbags placem_collection'!Y218)),"YES","NO")</f>
        <v>NO</v>
      </c>
      <c r="AN877" t="str">
        <f>IF(ISNUMBER(SEARCH("R", 'WetLitterbags placem_collection'!Y218)),"YES","NO")</f>
        <v>YES</v>
      </c>
    </row>
    <row r="878" spans="1:40" ht="15" customHeight="1">
      <c r="A878" s="258" t="s">
        <v>2460</v>
      </c>
      <c r="B878" s="263">
        <f>'Dry_Litterbag Placem_Collection'!A219</f>
        <v>217</v>
      </c>
      <c r="C878" s="263" t="str">
        <f>'Dry_Litterbag Placem_Collection'!B219</f>
        <v>Seronera</v>
      </c>
      <c r="D878" s="263" t="s">
        <v>2659</v>
      </c>
      <c r="E878" s="263" t="s">
        <v>2526</v>
      </c>
      <c r="F878" s="263">
        <v>1</v>
      </c>
      <c r="G878" s="264" t="str">
        <f>'Dry_Litterbag Placem_Collection'!C219</f>
        <v>Local1_CG1</v>
      </c>
      <c r="H878" s="273" t="s">
        <v>3651</v>
      </c>
      <c r="I878" s="274" t="s">
        <v>298</v>
      </c>
      <c r="J878" s="223" t="str">
        <f>'WetLitterbags placem_collection'!Q219</f>
        <v>R410</v>
      </c>
      <c r="K878" s="225">
        <f>IFERROR(INDEX('Green_rooibos initial weight'!$C$5:$C$1749,MATCH(J878, 'Green_rooibos initial weight'!$A$5:$A$1749,0)),"")</f>
        <v>2.1930000000000001</v>
      </c>
      <c r="L878" s="225">
        <f>IFERROR(K878-(TBIcalc!$H$9+TBIcalc!$H$10),"")</f>
        <v>1.9432</v>
      </c>
      <c r="M878" s="391">
        <f>AVERAGE(Ashed_controlls!$K$12:$K$14)</f>
        <v>2.2816647271287041</v>
      </c>
      <c r="N878" s="225">
        <f t="shared" si="70"/>
        <v>1.8988626910224351</v>
      </c>
      <c r="O878" s="225">
        <f>IF(IFERROR(INDEX('Both teabags AfterWet'!$C$3:$C$841,MATCH(J878,'Both teabags AfterWet'!$A$3:$A$841,0)),"")="","",(IFERROR(INDEX('Both teabags AfterWet'!$C$3:$C$841,MATCH(J878,'Both teabags AfterWet'!$A$3:$A$841,0)),"")))</f>
        <v>1.488</v>
      </c>
      <c r="P878" s="225">
        <f>IFERROR(IF(O878&gt;0,O878-(TBIcalc!$H$9),""),"")</f>
        <v>1.3373999999999999</v>
      </c>
      <c r="Q878" s="225">
        <f>IFERROR(INDEX('Ashed teabags wet'!$K$2:$K$821,MATCH(J878,'Ashed teabags wet'!$A$2:$A$821,0)),"")</f>
        <v>4.277286135692731</v>
      </c>
      <c r="R878" s="225">
        <f t="shared" si="73"/>
        <v>1.2801955752212453</v>
      </c>
      <c r="S878" s="226">
        <f>'WetLitterbags placem_collection'!E219</f>
        <v>42769</v>
      </c>
      <c r="T878" s="226">
        <f>IF('WetLitterbags placem_collection'!G219="","",'WetLitterbags placem_collection'!G219)</f>
        <v>42814</v>
      </c>
      <c r="U878" s="227">
        <f t="shared" si="74"/>
        <v>45</v>
      </c>
      <c r="V878" s="225">
        <f t="shared" si="71"/>
        <v>0.60580000000000012</v>
      </c>
      <c r="W878" s="225">
        <f t="shared" si="72"/>
        <v>0.61866711580118983</v>
      </c>
      <c r="X878">
        <f>IFERROR(INDEX(Rainfall_Wet!$O$2:$O$217,MATCH(B878, Rainfall_Wet!$A$2:$A$217,0)),"")</f>
        <v>175.377105089</v>
      </c>
      <c r="Y878" s="231">
        <v>29.076539101497506</v>
      </c>
      <c r="Z878" s="231">
        <v>7.1963394342762079</v>
      </c>
      <c r="AA878" s="231">
        <v>63.727121464226286</v>
      </c>
      <c r="AB878" s="231" t="s">
        <v>2670</v>
      </c>
      <c r="AC878" s="231">
        <v>1.0994578610152781</v>
      </c>
      <c r="AD878">
        <f>IF('WetLitterbags placem_collection'!AB219="","",'WetLitterbags placem_collection'!AB219)</f>
        <v>13.8</v>
      </c>
      <c r="AE878">
        <f>IF('WetLitterbags placem_collection'!Z219="","",'WetLitterbags placem_collection'!Z219)</f>
        <v>17.399999999999999</v>
      </c>
      <c r="AF878" s="24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placem_collection'!Y219)),"YES","NO")</f>
        <v>NO</v>
      </c>
      <c r="AM878" t="str">
        <f>IF(ISNUMBER(SEARCH("H", 'WetLitterbags placem_collection'!Y219)),"YES","NO")</f>
        <v>NO</v>
      </c>
      <c r="AN878" t="str">
        <f>IF(ISNUMBER(SEARCH("R", 'WetLitterbags placem_collection'!Y219)),"YES","NO")</f>
        <v>NO</v>
      </c>
    </row>
    <row r="879" spans="1:40" ht="15" customHeight="1">
      <c r="A879" s="258" t="s">
        <v>2460</v>
      </c>
      <c r="B879" s="263">
        <f>'Dry_Litterbag Placem_Collection'!A220</f>
        <v>218</v>
      </c>
      <c r="C879" s="263" t="str">
        <f>'Dry_Litterbag Placem_Collection'!B220</f>
        <v>Seronera</v>
      </c>
      <c r="D879" s="263" t="s">
        <v>2659</v>
      </c>
      <c r="E879" s="263" t="s">
        <v>2526</v>
      </c>
      <c r="F879" s="263">
        <v>2</v>
      </c>
      <c r="G879" s="264" t="str">
        <f>'Dry_Litterbag Placem_Collection'!C220</f>
        <v>Local2_CG2</v>
      </c>
      <c r="H879" s="273" t="s">
        <v>3651</v>
      </c>
      <c r="I879" s="274" t="s">
        <v>298</v>
      </c>
      <c r="J879" s="223" t="str">
        <f>'WetLitterbags placem_collection'!Q220</f>
        <v>R103</v>
      </c>
      <c r="K879" s="225">
        <f>IFERROR(INDEX('Green_rooibos initial weight'!$C$5:$C$1749,MATCH(J879, 'Green_rooibos initial weight'!$A$5:$A$1749,0)),"")</f>
        <v>2.246</v>
      </c>
      <c r="L879" s="225">
        <f>IFERROR(K879-(TBIcalc!$H$9+TBIcalc!$H$10),"")</f>
        <v>1.9962</v>
      </c>
      <c r="M879" s="391">
        <f>AVERAGE(Ashed_controlls!$K$12:$K$14)</f>
        <v>2.2816647271287041</v>
      </c>
      <c r="N879" s="225">
        <f t="shared" si="70"/>
        <v>1.9506534087170568</v>
      </c>
      <c r="O879" s="225">
        <f>IF(IFERROR(INDEX('Both teabags AfterWet'!$C$3:$C$841,MATCH(J879,'Both teabags AfterWet'!$A$3:$A$841,0)),"")="","",(IFERROR(INDEX('Both teabags AfterWet'!$C$3:$C$841,MATCH(J879,'Both teabags AfterWet'!$A$3:$A$841,0)),"")))</f>
        <v>1.4296</v>
      </c>
      <c r="P879" s="225">
        <f>IFERROR(IF(O879&gt;0,O879-(TBIcalc!$H$9),""),"")</f>
        <v>1.2789999999999999</v>
      </c>
      <c r="Q879" s="225">
        <f>IFERROR(INDEX('Ashed teabags wet'!$K$2:$K$821,MATCH(J879,'Ashed teabags wet'!$A$2:$A$821,0)),"")</f>
        <v>5.6706114398422001</v>
      </c>
      <c r="R879" s="225">
        <f t="shared" si="73"/>
        <v>1.2064728796844182</v>
      </c>
      <c r="S879" s="226">
        <f>'WetLitterbags placem_collection'!E220</f>
        <v>42769</v>
      </c>
      <c r="T879" s="226">
        <f>IF('WetLitterbags placem_collection'!G220="","",'WetLitterbags placem_collection'!G220)</f>
        <v>42814</v>
      </c>
      <c r="U879" s="227">
        <f t="shared" si="74"/>
        <v>45</v>
      </c>
      <c r="V879" s="225">
        <f t="shared" si="71"/>
        <v>0.71720000000000006</v>
      </c>
      <c r="W879" s="225">
        <f t="shared" si="72"/>
        <v>0.74418052903263865</v>
      </c>
      <c r="X879">
        <f>IFERROR(INDEX(Rainfall_Wet!$O$2:$O$217,MATCH(B879, Rainfall_Wet!$A$2:$A$217,0)),"")</f>
        <v>175.377105089</v>
      </c>
      <c r="Y879" s="231">
        <v>21.072635135135137</v>
      </c>
      <c r="Z879" s="231">
        <v>7.3057432432432412</v>
      </c>
      <c r="AA879" s="231">
        <v>71.621621621621614</v>
      </c>
      <c r="AB879" s="231" t="s">
        <v>2670</v>
      </c>
      <c r="AC879" s="231">
        <v>1.4512074913750617</v>
      </c>
      <c r="AD879">
        <f>IF('WetLitterbags placem_collection'!AB220="","",'WetLitterbags placem_collection'!AB220)</f>
        <v>5.13</v>
      </c>
      <c r="AE879">
        <f>IF('WetLitterbags placem_collection'!Z220="","",'WetLitterbags placem_collection'!Z220)</f>
        <v>5.13</v>
      </c>
      <c r="AF879" s="24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placem_collection'!Y220)),"YES","NO")</f>
        <v>NO</v>
      </c>
      <c r="AM879" t="str">
        <f>IF(ISNUMBER(SEARCH("H", 'WetLitterbags placem_collection'!Y220)),"YES","NO")</f>
        <v>NO</v>
      </c>
      <c r="AN879" t="str">
        <f>IF(ISNUMBER(SEARCH("R", 'WetLitterbags placem_collection'!Y220)),"YES","NO")</f>
        <v>YES</v>
      </c>
    </row>
    <row r="880" spans="1:40" ht="15" customHeight="1">
      <c r="A880" s="258" t="s">
        <v>2460</v>
      </c>
      <c r="B880" s="263">
        <f>'Dry_Litterbag Placem_Collection'!A221</f>
        <v>219</v>
      </c>
      <c r="C880" s="263" t="str">
        <f>'Dry_Litterbag Placem_Collection'!B221</f>
        <v>Seronera</v>
      </c>
      <c r="D880" s="263" t="s">
        <v>2659</v>
      </c>
      <c r="E880" s="263" t="s">
        <v>2526</v>
      </c>
      <c r="F880" s="263">
        <v>3</v>
      </c>
      <c r="G880" s="264" t="str">
        <f>'Dry_Litterbag Placem_Collection'!C221</f>
        <v>Local3_CG3</v>
      </c>
      <c r="H880" s="273" t="s">
        <v>3651</v>
      </c>
      <c r="I880" s="274" t="s">
        <v>298</v>
      </c>
      <c r="J880" s="223" t="str">
        <f>'WetLitterbags placem_collection'!Q221</f>
        <v>R356</v>
      </c>
      <c r="K880" s="225">
        <f>IFERROR(INDEX('Green_rooibos initial weight'!$C$5:$C$1749,MATCH(J880, 'Green_rooibos initial weight'!$A$5:$A$1749,0)),"")</f>
        <v>2.1619999999999999</v>
      </c>
      <c r="L880" s="225">
        <f>IFERROR(K880-(TBIcalc!$H$9+TBIcalc!$H$10),"")</f>
        <v>1.9121999999999999</v>
      </c>
      <c r="M880" s="391">
        <f>AVERAGE(Ashed_controlls!$K$12:$K$14)</f>
        <v>2.2816647271287041</v>
      </c>
      <c r="N880" s="225">
        <f t="shared" si="70"/>
        <v>1.8685700070878448</v>
      </c>
      <c r="O880" s="225">
        <f>IF(IFERROR(INDEX('Both teabags AfterWet'!$C$3:$C$841,MATCH(J880,'Both teabags AfterWet'!$A$3:$A$841,0)),"")="","",(IFERROR(INDEX('Both teabags AfterWet'!$C$3:$C$841,MATCH(J880,'Both teabags AfterWet'!$A$3:$A$841,0)),"")))</f>
        <v>1.4823</v>
      </c>
      <c r="P880" s="225">
        <f>IFERROR(IF(O880&gt;0,O880-(TBIcalc!$H$9),""),"")</f>
        <v>1.3316999999999999</v>
      </c>
      <c r="Q880" s="225">
        <f>IFERROR(INDEX('Ashed teabags wet'!$K$2:$K$821,MATCH(J880,'Ashed teabags wet'!$A$2:$A$821,0)),"")</f>
        <v>7.426928605653603</v>
      </c>
      <c r="R880" s="225">
        <f t="shared" si="73"/>
        <v>1.2327955917585109</v>
      </c>
      <c r="S880" s="226">
        <f>'WetLitterbags placem_collection'!E221</f>
        <v>42769</v>
      </c>
      <c r="T880" s="226">
        <f>IF('WetLitterbags placem_collection'!G221="","",'WetLitterbags placem_collection'!G221)</f>
        <v>42813</v>
      </c>
      <c r="U880" s="227">
        <f t="shared" si="74"/>
        <v>44</v>
      </c>
      <c r="V880" s="225">
        <f t="shared" si="71"/>
        <v>0.58050000000000002</v>
      </c>
      <c r="W880" s="225">
        <f t="shared" si="72"/>
        <v>0.63577441532933388</v>
      </c>
      <c r="X880">
        <f>IFERROR(INDEX(Rainfall_Wet!$O$2:$O$217,MATCH(B880, Rainfall_Wet!$A$2:$A$217,0)),"")</f>
        <v>175.054685654</v>
      </c>
      <c r="Y880" s="231">
        <v>21.96</v>
      </c>
      <c r="Z880" s="231">
        <v>4.9199999999999982</v>
      </c>
      <c r="AA880" s="231">
        <v>73.12</v>
      </c>
      <c r="AB880" s="231" t="s">
        <v>2670</v>
      </c>
      <c r="AC880" s="231">
        <v>1.4012321340561851</v>
      </c>
      <c r="AD880">
        <f>IF('WetLitterbags placem_collection'!AB221="","",'WetLitterbags placem_collection'!AB221)</f>
        <v>7.9</v>
      </c>
      <c r="AE880">
        <f>IF('WetLitterbags placem_collection'!Z221="","",'WetLitterbags placem_collection'!Z221)</f>
        <v>7.9</v>
      </c>
      <c r="AF880" s="24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placem_collection'!Y221)),"YES","NO")</f>
        <v>NO</v>
      </c>
      <c r="AM880" t="str">
        <f>IF(ISNUMBER(SEARCH("H", 'WetLitterbags placem_collection'!Y221)),"YES","NO")</f>
        <v>NO</v>
      </c>
      <c r="AN880" t="str">
        <f>IF(ISNUMBER(SEARCH("R", 'WetLitterbags placem_collection'!Y221)),"YES","NO")</f>
        <v>NO</v>
      </c>
    </row>
    <row r="881" spans="1:40" ht="15" customHeight="1">
      <c r="A881" s="258" t="s">
        <v>2460</v>
      </c>
      <c r="B881" s="263">
        <f>'Dry_Litterbag Placem_Collection'!A222</f>
        <v>220</v>
      </c>
      <c r="C881" s="263" t="str">
        <f>'Dry_Litterbag Placem_Collection'!B222</f>
        <v>Seronera</v>
      </c>
      <c r="D881" s="263" t="s">
        <v>2659</v>
      </c>
      <c r="E881" s="263" t="s">
        <v>2526</v>
      </c>
      <c r="F881" s="263">
        <v>4</v>
      </c>
      <c r="G881" s="264" t="str">
        <f>'Dry_Litterbag Placem_Collection'!C222</f>
        <v>Local4_CG4</v>
      </c>
      <c r="H881" s="273" t="s">
        <v>3651</v>
      </c>
      <c r="I881" s="274" t="s">
        <v>298</v>
      </c>
      <c r="J881" s="223" t="str">
        <f>'WetLitterbags placem_collection'!Q222</f>
        <v>R319</v>
      </c>
      <c r="K881" s="225">
        <f>IFERROR(INDEX('Green_rooibos initial weight'!$C$5:$C$1749,MATCH(J881, 'Green_rooibos initial weight'!$A$5:$A$1749,0)),"")</f>
        <v>2.1709999999999998</v>
      </c>
      <c r="L881" s="225">
        <f>IFERROR(K881-(TBIcalc!$H$9+TBIcalc!$H$10),"")</f>
        <v>1.9211999999999998</v>
      </c>
      <c r="M881" s="391">
        <f>AVERAGE(Ashed_controlls!$K$12:$K$14)</f>
        <v>2.2816647271287041</v>
      </c>
      <c r="N881" s="225">
        <f t="shared" si="70"/>
        <v>1.8773646572624032</v>
      </c>
      <c r="O881" s="225">
        <f>IF(IFERROR(INDEX('Both teabags AfterWet'!$C$3:$C$841,MATCH(J881,'Both teabags AfterWet'!$A$3:$A$841,0)),"")="","",(IFERROR(INDEX('Both teabags AfterWet'!$C$3:$C$841,MATCH(J881,'Both teabags AfterWet'!$A$3:$A$841,0)),"")))</f>
        <v>1.5328999999999999</v>
      </c>
      <c r="P881" s="225">
        <f>IFERROR(IF(O881&gt;0,O881-(TBIcalc!$H$9),""),"")</f>
        <v>1.3822999999999999</v>
      </c>
      <c r="Q881" s="225">
        <f>IFERROR(INDEX('Ashed teabags wet'!$K$2:$K$821,MATCH(J881,'Ashed teabags wet'!$A$2:$A$821,0)),"")</f>
        <v>5.0223769269016794</v>
      </c>
      <c r="R881" s="225">
        <f t="shared" si="73"/>
        <v>1.312875683739438</v>
      </c>
      <c r="S881" s="226">
        <f>'WetLitterbags placem_collection'!E222</f>
        <v>42769</v>
      </c>
      <c r="T881" s="226">
        <f>IF('WetLitterbags placem_collection'!G222="","",'WetLitterbags placem_collection'!G222)</f>
        <v>42813</v>
      </c>
      <c r="U881" s="227">
        <f t="shared" si="74"/>
        <v>44</v>
      </c>
      <c r="V881" s="225">
        <f t="shared" si="71"/>
        <v>0.53889999999999993</v>
      </c>
      <c r="W881" s="225">
        <f t="shared" si="72"/>
        <v>0.56448897352296523</v>
      </c>
      <c r="X881">
        <f>IFERROR(INDEX(Rainfall_Wet!$O$2:$O$217,MATCH(B881, Rainfall_Wet!$A$2:$A$217,0)),"")</f>
        <v>175.054685654</v>
      </c>
      <c r="Y881" s="231">
        <v>15.960000000000003</v>
      </c>
      <c r="Z881" s="231">
        <v>6.9199999999999982</v>
      </c>
      <c r="AA881" s="231">
        <v>77.11999999999999</v>
      </c>
      <c r="AB881" s="231" t="s">
        <v>2671</v>
      </c>
      <c r="AC881" s="231">
        <v>0.60547067520946207</v>
      </c>
      <c r="AD881">
        <f>IF('WetLitterbags placem_collection'!AB222="","",'WetLitterbags placem_collection'!AB222)</f>
        <v>15.2</v>
      </c>
      <c r="AE881">
        <f>IF('WetLitterbags placem_collection'!Z222="","",'WetLitterbags placem_collection'!Z222)</f>
        <v>12.2</v>
      </c>
      <c r="AF881" s="24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placem_collection'!Y222)),"YES","NO")</f>
        <v>NO</v>
      </c>
      <c r="AM881" t="str">
        <f>IF(ISNUMBER(SEARCH("H", 'WetLitterbags placem_collection'!Y222)),"YES","NO")</f>
        <v>NO</v>
      </c>
      <c r="AN881" t="str">
        <f>IF(ISNUMBER(SEARCH("R", 'WetLitterbags placem_collection'!Y222)),"YES","NO")</f>
        <v>NO</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zoomScaleNormal="100" workbookViewId="0">
      <pane xSplit="7" ySplit="1" topLeftCell="H739" activePane="bottomRight" state="frozen"/>
      <selection pane="topRight" activeCell="F1" sqref="F1"/>
      <selection pane="bottomLeft" activeCell="A2" sqref="A2"/>
      <selection pane="bottomRight" activeCell="J750" sqref="J750"/>
    </sheetView>
  </sheetViews>
  <sheetFormatPr baseColWidth="10" defaultColWidth="11.44140625" defaultRowHeight="14.4"/>
  <cols>
    <col min="1" max="1" width="11.44140625" style="259"/>
    <col min="2" max="2" width="6.109375" style="223" customWidth="1"/>
    <col min="3" max="6" width="11.44140625" style="223"/>
    <col min="7" max="7" width="20.109375" style="224" customWidth="1"/>
    <col min="8" max="9" width="11.44140625" style="223"/>
    <col min="11" max="16" width="11.44140625" style="195"/>
    <col min="17" max="17" width="21.88671875" style="240" customWidth="1"/>
    <col min="18" max="18" width="24.44140625" style="240" customWidth="1"/>
    <col min="19" max="20" width="11.44140625" style="16"/>
    <col min="21" max="21" width="11.44140625" style="17"/>
    <col min="22" max="22" width="11.44140625" style="195"/>
    <col min="23" max="27" width="11.44140625" style="240"/>
    <col min="28" max="28" width="16.88671875" customWidth="1"/>
    <col min="32" max="32" width="11.44140625" style="246"/>
  </cols>
  <sheetData>
    <row r="1" spans="1:40" ht="87" thickBot="1">
      <c r="A1" s="257" t="s">
        <v>2457</v>
      </c>
      <c r="B1" s="70" t="s">
        <v>2164</v>
      </c>
      <c r="C1" s="70" t="s">
        <v>2643</v>
      </c>
      <c r="D1" s="70" t="s">
        <v>2665</v>
      </c>
      <c r="E1" s="70" t="s">
        <v>2648</v>
      </c>
      <c r="F1" s="70" t="s">
        <v>2641</v>
      </c>
      <c r="G1" s="235" t="s">
        <v>2642</v>
      </c>
      <c r="H1" s="70" t="s">
        <v>25</v>
      </c>
      <c r="I1" s="70" t="s">
        <v>2664</v>
      </c>
      <c r="J1" s="70" t="s">
        <v>2647</v>
      </c>
      <c r="K1" s="279" t="s">
        <v>2649</v>
      </c>
      <c r="L1" s="279" t="s">
        <v>2650</v>
      </c>
      <c r="M1" s="70" t="s">
        <v>2651</v>
      </c>
      <c r="N1" s="70" t="s">
        <v>2652</v>
      </c>
      <c r="O1" s="279" t="s">
        <v>2653</v>
      </c>
      <c r="P1" s="279" t="s">
        <v>2654</v>
      </c>
      <c r="Q1" s="277" t="s">
        <v>2655</v>
      </c>
      <c r="R1" s="277" t="s">
        <v>2656</v>
      </c>
      <c r="S1" s="236" t="s">
        <v>2658</v>
      </c>
      <c r="T1" s="237" t="s">
        <v>31</v>
      </c>
      <c r="U1" s="238" t="s">
        <v>2657</v>
      </c>
      <c r="V1" s="279" t="s">
        <v>3653</v>
      </c>
      <c r="W1" s="277" t="s">
        <v>2663</v>
      </c>
      <c r="X1" s="277" t="s">
        <v>3150</v>
      </c>
      <c r="Y1" s="277" t="s">
        <v>2677</v>
      </c>
      <c r="Z1" s="277" t="s">
        <v>2678</v>
      </c>
      <c r="AA1" s="277" t="s">
        <v>2679</v>
      </c>
      <c r="AB1" s="238" t="s">
        <v>3151</v>
      </c>
      <c r="AC1" s="238" t="s">
        <v>2680</v>
      </c>
      <c r="AD1" s="239" t="s">
        <v>3154</v>
      </c>
      <c r="AE1" s="239" t="s">
        <v>3155</v>
      </c>
      <c r="AF1" s="245" t="s">
        <v>3152</v>
      </c>
      <c r="AG1" s="239" t="s">
        <v>3153</v>
      </c>
      <c r="AH1" s="239" t="s">
        <v>3159</v>
      </c>
      <c r="AI1" s="239" t="s">
        <v>3160</v>
      </c>
      <c r="AJ1" s="239" t="s">
        <v>3162</v>
      </c>
      <c r="AK1" s="239" t="s">
        <v>3163</v>
      </c>
      <c r="AL1" s="251" t="s">
        <v>3519</v>
      </c>
      <c r="AM1" s="251" t="s">
        <v>3520</v>
      </c>
      <c r="AN1" s="251" t="s">
        <v>3521</v>
      </c>
    </row>
    <row r="2" spans="1:40">
      <c r="A2" s="262" t="s">
        <v>2659</v>
      </c>
      <c r="B2" s="263">
        <f>'Dry_Litterbag Placem_Collection'!A3</f>
        <v>1</v>
      </c>
      <c r="C2" s="263" t="str">
        <f>'Dry_Litterbag Placem_Collection'!B3</f>
        <v>Makao</v>
      </c>
      <c r="D2" s="263" t="s">
        <v>2659</v>
      </c>
      <c r="E2" s="263" t="s">
        <v>2660</v>
      </c>
      <c r="F2" s="263">
        <v>1</v>
      </c>
      <c r="G2" s="264" t="str">
        <f>'Dry_Litterbag Placem_Collection'!C3</f>
        <v>Dry_Ag1_T1</v>
      </c>
      <c r="H2" s="265" t="s">
        <v>2541</v>
      </c>
      <c r="I2" s="266" t="s">
        <v>1147</v>
      </c>
      <c r="J2" s="263" t="str">
        <f>IF(ISBLANK('Dry_Litterbag Placem_Collection'!J3),"","G"&amp;""&amp;'Dry_Litterbag Placem_Collection'!J3)</f>
        <v>G407</v>
      </c>
      <c r="K2" s="267">
        <f>IFERROR(INDEX('Green_rooibos initial weight'!$C$5:$C$1749,MATCH(J2, 'Green_rooibos initial weight'!$A$5:$A$1749,0)),"")</f>
        <v>1.966</v>
      </c>
      <c r="L2" s="267">
        <f>IFERROR(K2-(TBIcalc!$Q$9+TBIcalc!$Q$10),"")</f>
        <v>1.7161999999999999</v>
      </c>
      <c r="M2" s="391">
        <f>AVERAGE(Ashed_controlls!$K$2:$K$11)</f>
        <v>5.5147656768714146</v>
      </c>
      <c r="N2" s="267">
        <f>IFERROR(L2-(M2/100)*L2,"")</f>
        <v>1.6215555914535327</v>
      </c>
      <c r="O2" s="267">
        <f>IF(IFERROR(INDEX('Both teabags AfterDry'!$D$3:$D$900,MATCH(J2,'Both teabags AfterDry'!$A$3:$A$900,0)),"")="","",(IFERROR(INDEX('Both teabags AfterDry'!$D$3:$D$900,MATCH(J2,'Both teabags AfterDry'!$A$3:$A$900,0)),"")))</f>
        <v>1.278</v>
      </c>
      <c r="P2" s="267">
        <f>IFERROR(IF(O2&gt;0,O2-(TBIcalc!$Q$9),""),"")</f>
        <v>1.1274</v>
      </c>
      <c r="Q2" s="278">
        <f>IFERROR(INDEX('Ashed teabags dry'!$K$2:$K$825,MATCH(J2,'Ashed teabags dry'!$A$2:$A$825,0)),"")</f>
        <v>21.67931688804563</v>
      </c>
      <c r="R2" s="278">
        <f>IFERROR(P2-(Q2/100)*P2,"")</f>
        <v>0.88298738140417354</v>
      </c>
      <c r="S2" s="268">
        <f>'Dry_Litterbag Placem_Collection'!E3</f>
        <v>42938</v>
      </c>
      <c r="T2" s="268">
        <f>IF('Dry_Litterbag Placem_Collection'!G3="","",'Dry_Litterbag Placem_Collection'!G3)</f>
        <v>43007</v>
      </c>
      <c r="U2" s="269">
        <f t="shared" ref="U2:U65" si="0">IFERROR(T2-S2,"")</f>
        <v>69</v>
      </c>
      <c r="V2" s="267">
        <f>IFERROR(L2-P2,"")</f>
        <v>0.58879999999999999</v>
      </c>
      <c r="W2" s="267">
        <f>IFERROR(N2-R2,"")</f>
        <v>0.73856821004935913</v>
      </c>
      <c r="X2" s="271">
        <f>IFERROR(INDEX(Rainfall_Dry!$O$2:$O$217,MATCH(B2, Rainfall_Dry!$A$2:$A$217,0)),"")</f>
        <v>6.900000125</v>
      </c>
      <c r="Y2" s="260">
        <v>12.565665055683967</v>
      </c>
      <c r="Z2" s="260">
        <v>0.9665896196679955</v>
      </c>
      <c r="AA2" s="260">
        <v>86.467745324648035</v>
      </c>
      <c r="AB2" s="261" t="s">
        <v>2672</v>
      </c>
      <c r="AC2" s="260">
        <v>1.0225726959093147</v>
      </c>
      <c r="AD2">
        <f>IF('WetLitterbags placem_collection'!AB3="","",'WetLitterbags placem_collection'!AB3)</f>
        <v>26.4</v>
      </c>
      <c r="AE2">
        <f>IF('WetLitterbags placem_collection'!Z3="","",'WetLitterbags placem_collection'!Z3)</f>
        <v>41</v>
      </c>
      <c r="AF2" s="246" t="str">
        <f>IF('WetLitterbags placem_collection'!AA3="","",'WetLitterbags placem_collection'!AA3)</f>
        <v>M</v>
      </c>
      <c r="AG2">
        <f>IF('WetLitterbags placem_collection'!AC3="","",'WetLitterbags placem_collection'!AC3)</f>
        <v>1</v>
      </c>
      <c r="AH2">
        <f>IFERROR(AVERAGE('Dry_Litterbag Placem_Collection'!O3,'Dry_Litterbag Placem_Collection'!R3),"")</f>
        <v>3.8</v>
      </c>
      <c r="AI2" s="271">
        <f>IFERROR(AVERAGE('Dry_Litterbag Placem_Collection'!N3,'Dry_Litterbag Placem_Collection'!Q3),"")</f>
        <v>26.9</v>
      </c>
      <c r="AJ2" s="270">
        <f>INDEX(Coordinates!$B$2:$B$197,MATCH(G2,Coordinates!$J$2:$J$197,0))</f>
        <v>-3.3978609999999998</v>
      </c>
      <c r="AK2" s="270">
        <f>INDEX(Coordinates!$C$2:$C$197,MATCH(G2,Coordinates!$J$2:$J$197,0))</f>
        <v>34.837608000000003</v>
      </c>
      <c r="AL2" s="270" t="str">
        <f>IF(ISNUMBER(SEARCH("C", 'Dry_Litterbag Placem_Collection'!S3)),"YES","NO")</f>
        <v>NO</v>
      </c>
      <c r="AM2" s="270" t="str">
        <f>IF(ISNUMBER(SEARCH("H", 'Dry_Litterbag Placem_Collection'!S3)),"YES","NO")</f>
        <v>YES</v>
      </c>
      <c r="AN2" s="270" t="str">
        <f>IF(ISNUMBER(SEARCH("R", 'Dry_Litterbag Placem_Collection'!S3)),"YES","NO")</f>
        <v>NO</v>
      </c>
    </row>
    <row r="3" spans="1:40">
      <c r="A3" s="262" t="s">
        <v>2659</v>
      </c>
      <c r="B3" s="263">
        <f>'Dry_Litterbag Placem_Collection'!A4</f>
        <v>2</v>
      </c>
      <c r="C3" s="263" t="str">
        <f>'Dry_Litterbag Placem_Collection'!B4</f>
        <v>Makao</v>
      </c>
      <c r="D3" s="263" t="s">
        <v>2659</v>
      </c>
      <c r="E3" s="263" t="s">
        <v>2660</v>
      </c>
      <c r="F3" s="263">
        <v>1</v>
      </c>
      <c r="G3" s="264" t="str">
        <f>'Dry_Litterbag Placem_Collection'!C4</f>
        <v>Dry_Ag1_T2</v>
      </c>
      <c r="H3" s="265" t="s">
        <v>2541</v>
      </c>
      <c r="I3" s="266" t="s">
        <v>1147</v>
      </c>
      <c r="J3" s="263" t="str">
        <f>IF(ISBLANK('Dry_Litterbag Placem_Collection'!J4),"","G"&amp;""&amp;'Dry_Litterbag Placem_Collection'!J4)</f>
        <v/>
      </c>
      <c r="K3" s="267" t="str">
        <f>IFERROR(INDEX('Green_rooibos initial weight'!$C$5:$C$1749,MATCH(J3, 'Green_rooibos initial weight'!$A$5:$A$1749,0)),"")</f>
        <v/>
      </c>
      <c r="L3" s="267" t="str">
        <f>IFERROR(K3-(TBIcalc!$Q$9+TBIcalc!$Q$10),"")</f>
        <v/>
      </c>
      <c r="M3" s="391">
        <f>AVERAGE(Ashed_controlls!$K$2:$K$11)</f>
        <v>5.5147656768714146</v>
      </c>
      <c r="N3" s="267" t="str">
        <f t="shared" ref="N3:N66" si="1">IFERROR(L3-(M3/100)*L3,"")</f>
        <v/>
      </c>
      <c r="O3" s="267" t="str">
        <f>IF(IFERROR(INDEX('Both teabags AfterDry'!$D$3:$D$900,MATCH(J3,'Both teabags AfterDry'!$A$3:$A$900,0)),"")="","",(IFERROR(INDEX('Both teabags AfterDry'!$D$3:$D$900,MATCH(J3,'Both teabags AfterDry'!$A$3:$A$900,0)),"")))</f>
        <v/>
      </c>
      <c r="P3" s="267" t="str">
        <f>IFERROR(IF(O3&gt;0,O3-(TBIcalc!$Q$9),""),"")</f>
        <v/>
      </c>
      <c r="Q3" s="278" t="str">
        <f>IFERROR(INDEX('Ashed teabags dry'!$K$2:$K$825,MATCH(J3,'Ashed teabags dry'!$A$2:$A$825,0)),"")</f>
        <v/>
      </c>
      <c r="R3" s="278" t="str">
        <f t="shared" ref="R3:R66" si="2">IFERROR(P3-(Q3/100)*P3,"")</f>
        <v/>
      </c>
      <c r="S3" s="268">
        <f>'Dry_Litterbag Placem_Collection'!E4</f>
        <v>0</v>
      </c>
      <c r="T3" s="268" t="str">
        <f>IF('Dry_Litterbag Placem_Collection'!G4="","",'Dry_Litterbag Placem_Collection'!G4)</f>
        <v/>
      </c>
      <c r="U3" s="269" t="str">
        <f t="shared" si="0"/>
        <v/>
      </c>
      <c r="V3" s="267" t="str">
        <f t="shared" ref="V3:V66" si="3">IFERROR(L3-P3,"")</f>
        <v/>
      </c>
      <c r="W3" s="267" t="str">
        <f t="shared" ref="W3:W66" si="4">IFERROR(N3-R3,"")</f>
        <v/>
      </c>
      <c r="X3" s="271" t="str">
        <f>IFERROR(INDEX(Rainfall_Dry!$O$2:$O$217,MATCH(B3, Rainfall_Dry!$A$2:$A$217,0)),"")</f>
        <v/>
      </c>
      <c r="Y3" s="260">
        <v>12.565665055683967</v>
      </c>
      <c r="Z3" s="260">
        <v>0.9665896196679955</v>
      </c>
      <c r="AA3" s="260">
        <v>86.467745324648035</v>
      </c>
      <c r="AB3" s="261" t="s">
        <v>2672</v>
      </c>
      <c r="AC3" s="260">
        <v>2.02257269590931</v>
      </c>
      <c r="AD3">
        <f>IF('WetLitterbags placem_collection'!AB4="","",'WetLitterbags placem_collection'!AB4)</f>
        <v>22.4</v>
      </c>
      <c r="AE3">
        <f>IF('WetLitterbags placem_collection'!Z4="","",'WetLitterbags placem_collection'!Z4)</f>
        <v>39.799999999999997</v>
      </c>
      <c r="AF3" s="24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71" t="str">
        <f>IFERROR(AVERAGE('Dry_Litterbag Placem_Collection'!N4,'Dry_Litterbag Placem_Collection'!Q4),"")</f>
        <v/>
      </c>
      <c r="AJ3" s="270">
        <f>INDEX(Coordinates!$B$2:$B$197,MATCH(G3,Coordinates!$J$2:$J$197,0))</f>
        <v>-3.397879042</v>
      </c>
      <c r="AK3" s="270">
        <f>INDEX(Coordinates!$C$2:$C$197,MATCH(G3,Coordinates!$J$2:$J$197,0))</f>
        <v>34.837536010000001</v>
      </c>
      <c r="AL3" s="270" t="str">
        <f>IF(ISNUMBER(SEARCH("C", 'Dry_Litterbag Placem_Collection'!S4)),"YES","NO")</f>
        <v>NO</v>
      </c>
      <c r="AM3" s="270" t="str">
        <f>IF(ISNUMBER(SEARCH("H", 'Dry_Litterbag Placem_Collection'!S4)),"YES","NO")</f>
        <v>NO</v>
      </c>
      <c r="AN3" s="270" t="str">
        <f>IF(ISNUMBER(SEARCH("R", 'Dry_Litterbag Placem_Collection'!S4)),"YES","NO")</f>
        <v>NO</v>
      </c>
    </row>
    <row r="4" spans="1:40">
      <c r="A4" s="262" t="s">
        <v>2659</v>
      </c>
      <c r="B4" s="263">
        <f>'Dry_Litterbag Placem_Collection'!A5</f>
        <v>3</v>
      </c>
      <c r="C4" s="263" t="str">
        <f>'Dry_Litterbag Placem_Collection'!B5</f>
        <v>Makao</v>
      </c>
      <c r="D4" s="263" t="s">
        <v>2659</v>
      </c>
      <c r="E4" s="263" t="s">
        <v>2660</v>
      </c>
      <c r="F4" s="263">
        <v>1</v>
      </c>
      <c r="G4" s="264" t="str">
        <f>'Dry_Litterbag Placem_Collection'!C5</f>
        <v>Dry_Ag1_T3</v>
      </c>
      <c r="H4" s="265" t="s">
        <v>2541</v>
      </c>
      <c r="I4" s="266" t="s">
        <v>1147</v>
      </c>
      <c r="J4" s="263" t="str">
        <f>IF(ISBLANK('Dry_Litterbag Placem_Collection'!J5),"","G"&amp;""&amp;'Dry_Litterbag Placem_Collection'!J5)</f>
        <v>G259</v>
      </c>
      <c r="K4" s="267">
        <f>IFERROR(INDEX('Green_rooibos initial weight'!$C$5:$C$1749,MATCH(J4, 'Green_rooibos initial weight'!$A$5:$A$1749,0)),"")</f>
        <v>1.913</v>
      </c>
      <c r="L4" s="267">
        <f>IFERROR(K4-(TBIcalc!$Q$9+TBIcalc!$Q$10),"")</f>
        <v>1.6632</v>
      </c>
      <c r="M4" s="391">
        <f>AVERAGE(Ashed_controlls!$K$2:$K$11)</f>
        <v>5.5147656768714146</v>
      </c>
      <c r="N4" s="267">
        <f t="shared" si="1"/>
        <v>1.5714784172622747</v>
      </c>
      <c r="O4" s="267">
        <f>IF(IFERROR(INDEX('Both teabags AfterDry'!$D$3:$D$900,MATCH(J4,'Both teabags AfterDry'!$A$3:$A$900,0)),"")="","",(IFERROR(INDEX('Both teabags AfterDry'!$D$3:$D$900,MATCH(J4,'Both teabags AfterDry'!$A$3:$A$900,0)),"")))</f>
        <v>1.5964</v>
      </c>
      <c r="P4" s="267">
        <f>IFERROR(IF(O4&gt;0,O4-(TBIcalc!$Q$9),""),"")</f>
        <v>1.4458</v>
      </c>
      <c r="Q4" s="278">
        <f>IFERROR(INDEX('Ashed teabags dry'!$K$2:$K$825,MATCH(J4,'Ashed teabags dry'!$A$2:$A$825,0)),"")</f>
        <v>10.613993336505917</v>
      </c>
      <c r="R4" s="278">
        <f t="shared" si="2"/>
        <v>1.2923428843407974</v>
      </c>
      <c r="S4" s="268">
        <f>'Dry_Litterbag Placem_Collection'!E5</f>
        <v>42938</v>
      </c>
      <c r="T4" s="268">
        <f>IF('Dry_Litterbag Placem_Collection'!G5="","",'Dry_Litterbag Placem_Collection'!G5)</f>
        <v>43007</v>
      </c>
      <c r="U4" s="269">
        <f t="shared" si="0"/>
        <v>69</v>
      </c>
      <c r="V4" s="267">
        <f t="shared" si="3"/>
        <v>0.21740000000000004</v>
      </c>
      <c r="W4" s="267">
        <f t="shared" si="4"/>
        <v>0.2791355329214773</v>
      </c>
      <c r="X4" s="271">
        <f>IFERROR(INDEX(Rainfall_Dry!$O$2:$O$217,MATCH(B4, Rainfall_Dry!$A$2:$A$217,0)),"")</f>
        <v>6.900000125</v>
      </c>
      <c r="Y4" s="260">
        <v>12.565665055683967</v>
      </c>
      <c r="Z4" s="260">
        <v>0.9665896196679955</v>
      </c>
      <c r="AA4" s="260">
        <v>86.467745324648035</v>
      </c>
      <c r="AB4" s="261" t="s">
        <v>2672</v>
      </c>
      <c r="AC4" s="260">
        <v>3.02257269590931</v>
      </c>
      <c r="AD4" t="str">
        <f>IF('WetLitterbags placem_collection'!AB5="","",'WetLitterbags placem_collection'!AB5)</f>
        <v/>
      </c>
      <c r="AE4" t="str">
        <f>IF('WetLitterbags placem_collection'!Z5="","",'WetLitterbags placem_collection'!Z5)</f>
        <v/>
      </c>
      <c r="AF4" s="246" t="str">
        <f>IF('WetLitterbags placem_collection'!AA5="","",'WetLitterbags placem_collection'!AA5)</f>
        <v/>
      </c>
      <c r="AG4" t="str">
        <f>IF('WetLitterbags placem_collection'!AC5="","",'WetLitterbags placem_collection'!AC5)</f>
        <v/>
      </c>
      <c r="AH4">
        <f>IFERROR(AVERAGE('Dry_Litterbag Placem_Collection'!O5,'Dry_Litterbag Placem_Collection'!R5),"")</f>
        <v>3.3</v>
      </c>
      <c r="AI4" s="271">
        <f>IFERROR(AVERAGE('Dry_Litterbag Placem_Collection'!N5,'Dry_Litterbag Placem_Collection'!Q5),"")</f>
        <v>25</v>
      </c>
      <c r="AJ4" s="270">
        <f>INDEX(Coordinates!$B$2:$B$197,MATCH(G4,Coordinates!$J$2:$J$197,0))</f>
        <v>-3.3978739999999998</v>
      </c>
      <c r="AK4" s="270">
        <f>INDEX(Coordinates!$C$2:$C$197,MATCH(G4,Coordinates!$J$2:$J$197,0))</f>
        <v>34.837578999999998</v>
      </c>
      <c r="AL4" s="270" t="str">
        <f>IF(ISNUMBER(SEARCH("C", 'Dry_Litterbag Placem_Collection'!S5)),"YES","NO")</f>
        <v>YES</v>
      </c>
      <c r="AM4" s="270" t="str">
        <f>IF(ISNUMBER(SEARCH("H", 'Dry_Litterbag Placem_Collection'!S5)),"YES","NO")</f>
        <v>YES</v>
      </c>
      <c r="AN4" s="270" t="str">
        <f>IF(ISNUMBER(SEARCH("R", 'Dry_Litterbag Placem_Collection'!S5)),"YES","NO")</f>
        <v>NO</v>
      </c>
    </row>
    <row r="5" spans="1:40">
      <c r="A5" s="262" t="s">
        <v>2659</v>
      </c>
      <c r="B5" s="263">
        <f>'Dry_Litterbag Placem_Collection'!A6</f>
        <v>4</v>
      </c>
      <c r="C5" s="263" t="str">
        <f>'Dry_Litterbag Placem_Collection'!B6</f>
        <v>Makao</v>
      </c>
      <c r="D5" s="263" t="s">
        <v>2659</v>
      </c>
      <c r="E5" s="263" t="s">
        <v>2660</v>
      </c>
      <c r="F5" s="263">
        <v>1</v>
      </c>
      <c r="G5" s="264" t="str">
        <f>'Dry_Litterbag Placem_Collection'!C6</f>
        <v>Dry_Ag1_T4</v>
      </c>
      <c r="H5" s="265" t="s">
        <v>2541</v>
      </c>
      <c r="I5" s="266" t="s">
        <v>1147</v>
      </c>
      <c r="J5" s="263" t="str">
        <f>IF(ISBLANK('Dry_Litterbag Placem_Collection'!J6),"","G"&amp;""&amp;'Dry_Litterbag Placem_Collection'!J6)</f>
        <v>G255</v>
      </c>
      <c r="K5" s="267">
        <f>IFERROR(INDEX('Green_rooibos initial weight'!$C$5:$C$1749,MATCH(J5, 'Green_rooibos initial weight'!$A$5:$A$1749,0)),"")</f>
        <v>2.0310000000000001</v>
      </c>
      <c r="L5" s="267">
        <f>IFERROR(K5-(TBIcalc!$Q$9+TBIcalc!$Q$10),"")</f>
        <v>1.7812000000000001</v>
      </c>
      <c r="M5" s="391">
        <f>AVERAGE(Ashed_controlls!$K$2:$K$11)</f>
        <v>5.5147656768714146</v>
      </c>
      <c r="N5" s="267">
        <f t="shared" si="1"/>
        <v>1.6829709937635664</v>
      </c>
      <c r="O5" s="267">
        <f>IF(IFERROR(INDEX('Both teabags AfterDry'!$D$3:$D$900,MATCH(J5,'Both teabags AfterDry'!$A$3:$A$900,0)),"")="","",(IFERROR(INDEX('Both teabags AfterDry'!$D$3:$D$900,MATCH(J5,'Both teabags AfterDry'!$A$3:$A$900,0)),"")))</f>
        <v>1.6215999999999999</v>
      </c>
      <c r="P5" s="267">
        <f>IFERROR(IF(O5&gt;0,O5-(TBIcalc!$Q$9),""),"")</f>
        <v>1.4709999999999999</v>
      </c>
      <c r="Q5" s="278">
        <f>IFERROR(INDEX('Ashed teabags dry'!$K$2:$K$825,MATCH(J5,'Ashed teabags dry'!$A$2:$A$825,0)),"")</f>
        <v>8.5846867749423765</v>
      </c>
      <c r="R5" s="278">
        <f t="shared" si="2"/>
        <v>1.3447192575405975</v>
      </c>
      <c r="S5" s="268">
        <f>'Dry_Litterbag Placem_Collection'!E6</f>
        <v>42938</v>
      </c>
      <c r="T5" s="268">
        <f>IF('Dry_Litterbag Placem_Collection'!G6="","",'Dry_Litterbag Placem_Collection'!G6)</f>
        <v>43007</v>
      </c>
      <c r="U5" s="269">
        <f t="shared" si="0"/>
        <v>69</v>
      </c>
      <c r="V5" s="267">
        <f t="shared" si="3"/>
        <v>0.31020000000000025</v>
      </c>
      <c r="W5" s="267">
        <f t="shared" si="4"/>
        <v>0.33825173622296889</v>
      </c>
      <c r="X5" s="271">
        <f>IFERROR(INDEX(Rainfall_Dry!$O$2:$O$217,MATCH(B5, Rainfall_Dry!$A$2:$A$217,0)),"")</f>
        <v>6.900000125</v>
      </c>
      <c r="Y5" s="260">
        <v>12.565665055683967</v>
      </c>
      <c r="Z5" s="260">
        <v>0.9665896196679955</v>
      </c>
      <c r="AA5" s="260">
        <v>86.467745324648035</v>
      </c>
      <c r="AB5" s="261" t="s">
        <v>2672</v>
      </c>
      <c r="AC5" s="260">
        <v>4.02257269590931</v>
      </c>
      <c r="AD5" t="str">
        <f>IF('WetLitterbags placem_collection'!AB6="","",'WetLitterbags placem_collection'!AB6)</f>
        <v/>
      </c>
      <c r="AE5" t="str">
        <f>IF('WetLitterbags placem_collection'!Z6="","",'WetLitterbags placem_collection'!Z6)</f>
        <v/>
      </c>
      <c r="AF5" s="24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71">
        <f>IFERROR(AVERAGE('Dry_Litterbag Placem_Collection'!N6,'Dry_Litterbag Placem_Collection'!Q6),"")</f>
        <v>27.35</v>
      </c>
      <c r="AJ5" s="270">
        <f>INDEX(Coordinates!$B$2:$B$197,MATCH(G5,Coordinates!$J$2:$J$197,0))</f>
        <v>-3.3977780399999999</v>
      </c>
      <c r="AK5" s="270">
        <f>INDEX(Coordinates!$C$2:$C$197,MATCH(G5,Coordinates!$J$2:$J$197,0))</f>
        <v>34.83751204</v>
      </c>
      <c r="AL5" s="270" t="str">
        <f>IF(ISNUMBER(SEARCH("C", 'Dry_Litterbag Placem_Collection'!S6)),"YES","NO")</f>
        <v>NO</v>
      </c>
      <c r="AM5" s="270" t="str">
        <f>IF(ISNUMBER(SEARCH("H", 'Dry_Litterbag Placem_Collection'!S6)),"YES","NO")</f>
        <v>NO</v>
      </c>
      <c r="AN5" s="270" t="str">
        <f>IF(ISNUMBER(SEARCH("R", 'Dry_Litterbag Placem_Collection'!S6)),"YES","NO")</f>
        <v>NO</v>
      </c>
    </row>
    <row r="6" spans="1:40">
      <c r="A6" s="262" t="s">
        <v>2659</v>
      </c>
      <c r="B6" s="263">
        <f>'Dry_Litterbag Placem_Collection'!A7</f>
        <v>5</v>
      </c>
      <c r="C6" s="263" t="str">
        <f>'Dry_Litterbag Placem_Collection'!B7</f>
        <v>Makao</v>
      </c>
      <c r="D6" s="263" t="s">
        <v>2659</v>
      </c>
      <c r="E6" s="263" t="s">
        <v>2660</v>
      </c>
      <c r="F6" s="263">
        <v>1</v>
      </c>
      <c r="G6" s="264" t="str">
        <f>'Dry_Litterbag Placem_Collection'!C7</f>
        <v>Dry_Ag1_T5</v>
      </c>
      <c r="H6" s="265" t="s">
        <v>2541</v>
      </c>
      <c r="I6" s="266" t="s">
        <v>1147</v>
      </c>
      <c r="J6" s="263" t="str">
        <f>IF(ISBLANK('Dry_Litterbag Placem_Collection'!J7),"","G"&amp;""&amp;'Dry_Litterbag Placem_Collection'!J7)</f>
        <v>G122</v>
      </c>
      <c r="K6" s="267">
        <f>IFERROR(INDEX('Green_rooibos initial weight'!$C$5:$C$1749,MATCH(J6, 'Green_rooibos initial weight'!$A$5:$A$1749,0)),"")</f>
        <v>1.95</v>
      </c>
      <c r="L6" s="267">
        <f>IFERROR(K6-(TBIcalc!$Q$9+TBIcalc!$Q$10),"")</f>
        <v>1.7001999999999999</v>
      </c>
      <c r="M6" s="391">
        <f>AVERAGE(Ashed_controlls!$K$2:$K$11)</f>
        <v>5.5147656768714146</v>
      </c>
      <c r="N6" s="267">
        <f t="shared" si="1"/>
        <v>1.6064379539618321</v>
      </c>
      <c r="O6" s="267" t="str">
        <f>IF(IFERROR(INDEX('Both teabags AfterDry'!$D$3:$D$900,MATCH(J6,'Both teabags AfterDry'!$A$3:$A$900,0)),"")="","",(IFERROR(INDEX('Both teabags AfterDry'!$D$3:$D$900,MATCH(J6,'Both teabags AfterDry'!$A$3:$A$900,0)),"")))</f>
        <v/>
      </c>
      <c r="P6" s="267" t="str">
        <f>IFERROR(IF(O6&gt;0,O6-(TBIcalc!$Q$9),""),"")</f>
        <v/>
      </c>
      <c r="Q6" s="278" t="str">
        <f>IFERROR(INDEX('Ashed teabags dry'!$K$2:$K$825,MATCH(J6,'Ashed teabags dry'!$A$2:$A$825,0)),"")</f>
        <v/>
      </c>
      <c r="R6" s="278" t="str">
        <f t="shared" si="2"/>
        <v/>
      </c>
      <c r="S6" s="268">
        <f>'Dry_Litterbag Placem_Collection'!E7</f>
        <v>42938</v>
      </c>
      <c r="T6" s="268" t="str">
        <f>IF('Dry_Litterbag Placem_Collection'!G7="","",'Dry_Litterbag Placem_Collection'!G7)</f>
        <v/>
      </c>
      <c r="U6" s="269" t="str">
        <f t="shared" si="0"/>
        <v/>
      </c>
      <c r="V6" s="267" t="str">
        <f t="shared" si="3"/>
        <v/>
      </c>
      <c r="W6" s="267" t="str">
        <f t="shared" si="4"/>
        <v/>
      </c>
      <c r="X6" s="271" t="str">
        <f>IFERROR(INDEX(Rainfall_Dry!$O$2:$O$217,MATCH(B6, Rainfall_Dry!$A$2:$A$217,0)),"")</f>
        <v/>
      </c>
      <c r="Y6" s="260">
        <v>12.565665055683967</v>
      </c>
      <c r="Z6" s="260">
        <v>0.9665896196679955</v>
      </c>
      <c r="AA6" s="260">
        <v>86.467745324648035</v>
      </c>
      <c r="AB6" s="261" t="s">
        <v>2672</v>
      </c>
      <c r="AC6" s="260">
        <v>5.02257269590931</v>
      </c>
      <c r="AD6">
        <f>IF('WetLitterbags placem_collection'!AB7="","",'WetLitterbags placem_collection'!AB7)</f>
        <v>28.4</v>
      </c>
      <c r="AE6">
        <f>IF('WetLitterbags placem_collection'!Z7="","",'WetLitterbags placem_collection'!Z7)</f>
        <v>36.4</v>
      </c>
      <c r="AF6" s="246" t="str">
        <f>IF('WetLitterbags placem_collection'!AA7="","",'WetLitterbags placem_collection'!AA7)</f>
        <v>M</v>
      </c>
      <c r="AG6">
        <f>IF('WetLitterbags placem_collection'!AC7="","",'WetLitterbags placem_collection'!AC7)</f>
        <v>1</v>
      </c>
      <c r="AH6">
        <f>IFERROR(AVERAGE('Dry_Litterbag Placem_Collection'!O7,'Dry_Litterbag Placem_Collection'!R7),"")</f>
        <v>3.2</v>
      </c>
      <c r="AI6" s="271">
        <f>IFERROR(AVERAGE('Dry_Litterbag Placem_Collection'!N7,'Dry_Litterbag Placem_Collection'!Q7),"")</f>
        <v>26.7</v>
      </c>
      <c r="AJ6" s="270">
        <f>INDEX(Coordinates!$B$2:$B$197,MATCH(G6,Coordinates!$J$2:$J$197,0))</f>
        <v>-3.3978020120000001</v>
      </c>
      <c r="AK6" s="270">
        <f>INDEX(Coordinates!$C$2:$C$197,MATCH(G6,Coordinates!$J$2:$J$197,0))</f>
        <v>34.83751204</v>
      </c>
      <c r="AL6" s="270" t="str">
        <f>IF(ISNUMBER(SEARCH("C", 'Dry_Litterbag Placem_Collection'!S7)),"YES","NO")</f>
        <v>NO</v>
      </c>
      <c r="AM6" s="270" t="str">
        <f>IF(ISNUMBER(SEARCH("H", 'Dry_Litterbag Placem_Collection'!S7)),"YES","NO")</f>
        <v>NO</v>
      </c>
      <c r="AN6" s="270" t="str">
        <f>IF(ISNUMBER(SEARCH("R", 'Dry_Litterbag Placem_Collection'!S7)),"YES","NO")</f>
        <v>NO</v>
      </c>
    </row>
    <row r="7" spans="1:40">
      <c r="A7" s="262" t="s">
        <v>2659</v>
      </c>
      <c r="B7" s="263">
        <f>'Dry_Litterbag Placem_Collection'!A8</f>
        <v>6</v>
      </c>
      <c r="C7" s="263" t="str">
        <f>'Dry_Litterbag Placem_Collection'!B8</f>
        <v>Makao</v>
      </c>
      <c r="D7" s="263" t="s">
        <v>2659</v>
      </c>
      <c r="E7" s="263" t="s">
        <v>2660</v>
      </c>
      <c r="F7" s="263">
        <v>1</v>
      </c>
      <c r="G7" s="264" t="str">
        <f>'Dry_Litterbag Placem_Collection'!C8</f>
        <v>Dry_Ag1_T6</v>
      </c>
      <c r="H7" s="265" t="s">
        <v>2541</v>
      </c>
      <c r="I7" s="266" t="s">
        <v>1147</v>
      </c>
      <c r="J7" s="263" t="str">
        <f>IF(ISBLANK('Dry_Litterbag Placem_Collection'!J8),"","G"&amp;""&amp;'Dry_Litterbag Placem_Collection'!J8)</f>
        <v>G478</v>
      </c>
      <c r="K7" s="267">
        <f>IFERROR(INDEX('Green_rooibos initial weight'!$C$5:$C$1749,MATCH(J7, 'Green_rooibos initial weight'!$A$5:$A$1749,0)),"")</f>
        <v>2.056</v>
      </c>
      <c r="L7" s="267">
        <f>IFERROR(K7-(TBIcalc!$Q$9+TBIcalc!$Q$10),"")</f>
        <v>1.8062</v>
      </c>
      <c r="M7" s="391">
        <f>AVERAGE(Ashed_controlls!$K$2:$K$11)</f>
        <v>5.5147656768714146</v>
      </c>
      <c r="N7" s="267">
        <f t="shared" si="1"/>
        <v>1.7065923023443486</v>
      </c>
      <c r="O7" s="267" t="str">
        <f>IF(IFERROR(INDEX('Both teabags AfterDry'!$D$3:$D$900,MATCH(J7,'Both teabags AfterDry'!$A$3:$A$900,0)),"")="","",(IFERROR(INDEX('Both teabags AfterDry'!$D$3:$D$900,MATCH(J7,'Both teabags AfterDry'!$A$3:$A$900,0)),"")))</f>
        <v/>
      </c>
      <c r="P7" s="267" t="str">
        <f>IFERROR(IF(O7&gt;0,O7-(TBIcalc!$Q$9),""),"")</f>
        <v/>
      </c>
      <c r="Q7" s="278" t="str">
        <f>IFERROR(INDEX('Ashed teabags dry'!$K$2:$K$825,MATCH(J7,'Ashed teabags dry'!$A$2:$A$825,0)),"")</f>
        <v/>
      </c>
      <c r="R7" s="278" t="str">
        <f t="shared" si="2"/>
        <v/>
      </c>
      <c r="S7" s="268">
        <f>'Dry_Litterbag Placem_Collection'!E8</f>
        <v>42938</v>
      </c>
      <c r="T7" s="268">
        <f>IF('Dry_Litterbag Placem_Collection'!G8="","",'Dry_Litterbag Placem_Collection'!G8)</f>
        <v>43007</v>
      </c>
      <c r="U7" s="269">
        <f t="shared" si="0"/>
        <v>69</v>
      </c>
      <c r="V7" s="267" t="str">
        <f t="shared" si="3"/>
        <v/>
      </c>
      <c r="W7" s="267" t="str">
        <f t="shared" si="4"/>
        <v/>
      </c>
      <c r="X7" s="271">
        <f>IFERROR(INDEX(Rainfall_Dry!$O$2:$O$217,MATCH(B7, Rainfall_Dry!$A$2:$A$217,0)),"")</f>
        <v>6.900000125</v>
      </c>
      <c r="Y7" s="260">
        <v>12.565665055683967</v>
      </c>
      <c r="Z7" s="260">
        <v>0.9665896196679955</v>
      </c>
      <c r="AA7" s="260">
        <v>86.467745324648035</v>
      </c>
      <c r="AB7" s="261" t="s">
        <v>2672</v>
      </c>
      <c r="AC7" s="260">
        <v>6.02257269590931</v>
      </c>
      <c r="AD7">
        <f>IF('WetLitterbags placem_collection'!AB8="","",'WetLitterbags placem_collection'!AB8)</f>
        <v>32.4</v>
      </c>
      <c r="AE7">
        <f>IF('WetLitterbags placem_collection'!Z8="","",'WetLitterbags placem_collection'!Z8)</f>
        <v>31</v>
      </c>
      <c r="AF7" s="246" t="str">
        <f>IF('WetLitterbags placem_collection'!AA8="","",'WetLitterbags placem_collection'!AA8)</f>
        <v>M</v>
      </c>
      <c r="AG7">
        <f>IF('WetLitterbags placem_collection'!AC8="","",'WetLitterbags placem_collection'!AC8)</f>
        <v>1</v>
      </c>
      <c r="AH7">
        <f>IFERROR(AVERAGE('Dry_Litterbag Placem_Collection'!O8,'Dry_Litterbag Placem_Collection'!R8),"")</f>
        <v>5.35</v>
      </c>
      <c r="AI7" s="271">
        <f>IFERROR(AVERAGE('Dry_Litterbag Placem_Collection'!N8,'Dry_Litterbag Placem_Collection'!Q8),"")</f>
        <v>26.6</v>
      </c>
      <c r="AJ7" s="270">
        <f>INDEX(Coordinates!$B$2:$B$197,MATCH(G7,Coordinates!$J$2:$J$197,0))</f>
        <v>-3.3977389800000002</v>
      </c>
      <c r="AK7" s="270">
        <f>INDEX(Coordinates!$C$2:$C$197,MATCH(G7,Coordinates!$J$2:$J$197,0))</f>
        <v>34.837501979999999</v>
      </c>
      <c r="AL7" s="270" t="str">
        <f>IF(ISNUMBER(SEARCH("C", 'Dry_Litterbag Placem_Collection'!S8)),"YES","NO")</f>
        <v>NO</v>
      </c>
      <c r="AM7" s="270" t="str">
        <f>IF(ISNUMBER(SEARCH("H", 'Dry_Litterbag Placem_Collection'!S8)),"YES","NO")</f>
        <v>NO</v>
      </c>
      <c r="AN7" s="270" t="str">
        <f>IF(ISNUMBER(SEARCH("R", 'Dry_Litterbag Placem_Collection'!S8)),"YES","NO")</f>
        <v>NO</v>
      </c>
    </row>
    <row r="8" spans="1:40">
      <c r="A8" s="262" t="s">
        <v>2659</v>
      </c>
      <c r="B8" s="263">
        <f>'Dry_Litterbag Placem_Collection'!A9</f>
        <v>7</v>
      </c>
      <c r="C8" s="263" t="str">
        <f>'Dry_Litterbag Placem_Collection'!B9</f>
        <v>Makao</v>
      </c>
      <c r="D8" s="263" t="s">
        <v>2659</v>
      </c>
      <c r="E8" s="263" t="s">
        <v>2660</v>
      </c>
      <c r="F8" s="263">
        <v>1</v>
      </c>
      <c r="G8" s="264" t="str">
        <f>'Dry_Litterbag Placem_Collection'!C9</f>
        <v>Dry_Ag1_T7</v>
      </c>
      <c r="H8" s="265" t="s">
        <v>2541</v>
      </c>
      <c r="I8" s="266" t="s">
        <v>1147</v>
      </c>
      <c r="J8" s="263" t="str">
        <f>IF(ISBLANK('Dry_Litterbag Placem_Collection'!J9),"","G"&amp;""&amp;'Dry_Litterbag Placem_Collection'!J9)</f>
        <v>G106</v>
      </c>
      <c r="K8" s="267">
        <f>IFERROR(INDEX('Green_rooibos initial weight'!$C$5:$C$1749,MATCH(J8, 'Green_rooibos initial weight'!$A$5:$A$1749,0)),"")</f>
        <v>2.1230000000000002</v>
      </c>
      <c r="L8" s="267">
        <f>IFERROR(K8-(TBIcalc!$Q$9+TBIcalc!$Q$10),"")</f>
        <v>1.8732000000000002</v>
      </c>
      <c r="M8" s="391">
        <f>AVERAGE(Ashed_controlls!$K$2:$K$11)</f>
        <v>5.5147656768714146</v>
      </c>
      <c r="N8" s="267">
        <f t="shared" si="1"/>
        <v>1.7698974093408448</v>
      </c>
      <c r="O8" s="267">
        <f>IF(IFERROR(INDEX('Both teabags AfterDry'!$D$3:$D$900,MATCH(J8,'Both teabags AfterDry'!$A$3:$A$900,0)),"")="","",(IFERROR(INDEX('Both teabags AfterDry'!$D$3:$D$900,MATCH(J8,'Both teabags AfterDry'!$A$3:$A$900,0)),"")))</f>
        <v>2.0188999999999999</v>
      </c>
      <c r="P8" s="267">
        <f>IFERROR(IF(O8&gt;0,O8-(TBIcalc!$Q$9),""),"")</f>
        <v>1.8682999999999998</v>
      </c>
      <c r="Q8" s="278">
        <f>IFERROR(INDEX('Ashed teabags dry'!$K$2:$K$825,MATCH(J8,'Ashed teabags dry'!$A$2:$A$825,0)),"")</f>
        <v>8.482523444160524</v>
      </c>
      <c r="R8" s="278">
        <f t="shared" si="2"/>
        <v>1.7098210144927488</v>
      </c>
      <c r="S8" s="268">
        <f>'Dry_Litterbag Placem_Collection'!E9</f>
        <v>42938</v>
      </c>
      <c r="T8" s="268">
        <f>IF('Dry_Litterbag Placem_Collection'!G9="","",'Dry_Litterbag Placem_Collection'!G9)</f>
        <v>43007</v>
      </c>
      <c r="U8" s="269">
        <f t="shared" si="0"/>
        <v>69</v>
      </c>
      <c r="V8" s="267">
        <f t="shared" si="3"/>
        <v>4.9000000000003485E-3</v>
      </c>
      <c r="W8" s="267">
        <f t="shared" si="4"/>
        <v>6.0076394848096015E-2</v>
      </c>
      <c r="X8" s="271">
        <f>IFERROR(INDEX(Rainfall_Dry!$O$2:$O$217,MATCH(B8, Rainfall_Dry!$A$2:$A$217,0)),"")</f>
        <v>6.900000125</v>
      </c>
      <c r="Y8" s="260">
        <v>12.565665055683967</v>
      </c>
      <c r="Z8" s="260">
        <v>0.9665896196679955</v>
      </c>
      <c r="AA8" s="260">
        <v>86.467745324648035</v>
      </c>
      <c r="AB8" s="261" t="s">
        <v>2672</v>
      </c>
      <c r="AC8" s="260">
        <v>7.02257269590931</v>
      </c>
      <c r="AD8">
        <f>IF('WetLitterbags placem_collection'!AB9="","",'WetLitterbags placem_collection'!AB9)</f>
        <v>36</v>
      </c>
      <c r="AE8">
        <f>IF('WetLitterbags placem_collection'!Z9="","",'WetLitterbags placem_collection'!Z9)</f>
        <v>43.4</v>
      </c>
      <c r="AF8" s="246" t="str">
        <f>IF('WetLitterbags placem_collection'!AA9="","",'WetLitterbags placem_collection'!AA9)</f>
        <v>M</v>
      </c>
      <c r="AG8">
        <f>IF('WetLitterbags placem_collection'!AC9="","",'WetLitterbags placem_collection'!AC9)</f>
        <v>1</v>
      </c>
      <c r="AH8">
        <f>IFERROR(AVERAGE('Dry_Litterbag Placem_Collection'!O9,'Dry_Litterbag Placem_Collection'!R9),"")</f>
        <v>2.95</v>
      </c>
      <c r="AI8" s="271">
        <f>IFERROR(AVERAGE('Dry_Litterbag Placem_Collection'!N9,'Dry_Litterbag Placem_Collection'!Q9),"")</f>
        <v>24.75</v>
      </c>
      <c r="AJ8" s="270">
        <f>INDEX(Coordinates!$B$2:$B$197,MATCH(G8,Coordinates!$J$2:$J$197,0))</f>
        <v>-3.3977630360000002</v>
      </c>
      <c r="AK8" s="270">
        <f>INDEX(Coordinates!$C$2:$C$197,MATCH(G8,Coordinates!$J$2:$J$197,0))</f>
        <v>34.837600969999997</v>
      </c>
      <c r="AL8" s="270" t="str">
        <f>IF(ISNUMBER(SEARCH("C", 'Dry_Litterbag Placem_Collection'!S9)),"YES","NO")</f>
        <v>NO</v>
      </c>
      <c r="AM8" s="270" t="str">
        <f>IF(ISNUMBER(SEARCH("H", 'Dry_Litterbag Placem_Collection'!S9)),"YES","NO")</f>
        <v>YES</v>
      </c>
      <c r="AN8" s="270" t="str">
        <f>IF(ISNUMBER(SEARCH("R", 'Dry_Litterbag Placem_Collection'!S9)),"YES","NO")</f>
        <v>NO</v>
      </c>
    </row>
    <row r="9" spans="1:40">
      <c r="A9" s="262" t="s">
        <v>2659</v>
      </c>
      <c r="B9" s="263">
        <f>'Dry_Litterbag Placem_Collection'!A10</f>
        <v>8</v>
      </c>
      <c r="C9" s="263" t="str">
        <f>'Dry_Litterbag Placem_Collection'!B10</f>
        <v>Makao</v>
      </c>
      <c r="D9" s="263" t="s">
        <v>2659</v>
      </c>
      <c r="E9" s="263" t="s">
        <v>2660</v>
      </c>
      <c r="F9" s="263">
        <v>1</v>
      </c>
      <c r="G9" s="264" t="str">
        <f>'Dry_Litterbag Placem_Collection'!C10</f>
        <v>Dry_Ag1_T8</v>
      </c>
      <c r="H9" s="265" t="s">
        <v>2541</v>
      </c>
      <c r="I9" s="266" t="s">
        <v>1147</v>
      </c>
      <c r="J9" s="263" t="str">
        <f>IF(ISBLANK('Dry_Litterbag Placem_Collection'!J10),"","G"&amp;""&amp;'Dry_Litterbag Placem_Collection'!J10)</f>
        <v>G228</v>
      </c>
      <c r="K9" s="267">
        <f>IFERROR(INDEX('Green_rooibos initial weight'!$C$5:$C$1749,MATCH(J9, 'Green_rooibos initial weight'!$A$5:$A$1749,0)),"")</f>
        <v>1.976</v>
      </c>
      <c r="L9" s="267">
        <f>IFERROR(K9-(TBIcalc!$Q$9+TBIcalc!$Q$10),"")</f>
        <v>1.7262</v>
      </c>
      <c r="M9" s="391">
        <f>AVERAGE(Ashed_controlls!$K$2:$K$11)</f>
        <v>5.5147656768714146</v>
      </c>
      <c r="N9" s="267">
        <f t="shared" si="1"/>
        <v>1.6310041148858456</v>
      </c>
      <c r="O9" s="267">
        <f>IF(IFERROR(INDEX('Both teabags AfterDry'!$D$3:$D$900,MATCH(J9,'Both teabags AfterDry'!$A$3:$A$900,0)),"")="","",(IFERROR(INDEX('Both teabags AfterDry'!$D$3:$D$900,MATCH(J9,'Both teabags AfterDry'!$A$3:$A$900,0)),"")))</f>
        <v>0.83330000000000004</v>
      </c>
      <c r="P9" s="267">
        <f>IFERROR(IF(O9&gt;0,O9-(TBIcalc!$Q$9),""),"")</f>
        <v>0.68270000000000008</v>
      </c>
      <c r="Q9" s="278">
        <f>IFERROR(INDEX('Ashed teabags dry'!$K$2:$K$825,MATCH(J9,'Ashed teabags dry'!$A$2:$A$825,0)),"")</f>
        <v>14.545454545454678</v>
      </c>
      <c r="R9" s="278">
        <f t="shared" si="2"/>
        <v>0.58339818181818104</v>
      </c>
      <c r="S9" s="268">
        <f>'Dry_Litterbag Placem_Collection'!E10</f>
        <v>42938</v>
      </c>
      <c r="T9" s="268">
        <f>IF('Dry_Litterbag Placem_Collection'!G10="","",'Dry_Litterbag Placem_Collection'!G10)</f>
        <v>43007</v>
      </c>
      <c r="U9" s="269">
        <f t="shared" si="0"/>
        <v>69</v>
      </c>
      <c r="V9" s="267">
        <f t="shared" si="3"/>
        <v>1.0434999999999999</v>
      </c>
      <c r="W9" s="267">
        <f t="shared" si="4"/>
        <v>1.0476059330676646</v>
      </c>
      <c r="X9" s="271">
        <f>IFERROR(INDEX(Rainfall_Dry!$O$2:$O$217,MATCH(B9, Rainfall_Dry!$A$2:$A$217,0)),"")</f>
        <v>6.900000125</v>
      </c>
      <c r="Y9" s="260">
        <v>12.565665055683967</v>
      </c>
      <c r="Z9" s="260">
        <v>0.9665896196679955</v>
      </c>
      <c r="AA9" s="260">
        <v>86.467745324648035</v>
      </c>
      <c r="AB9" s="261" t="s">
        <v>2672</v>
      </c>
      <c r="AC9" s="260">
        <v>8.0225726959093109</v>
      </c>
      <c r="AD9">
        <f>IF('WetLitterbags placem_collection'!AB10="","",'WetLitterbags placem_collection'!AB10)</f>
        <v>36</v>
      </c>
      <c r="AE9">
        <f>IF('WetLitterbags placem_collection'!Z10="","",'WetLitterbags placem_collection'!Z10)</f>
        <v>38.4</v>
      </c>
      <c r="AF9" s="24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71">
        <f>IFERROR(AVERAGE('Dry_Litterbag Placem_Collection'!N10,'Dry_Litterbag Placem_Collection'!Q10),"")</f>
        <v>26</v>
      </c>
      <c r="AJ9" s="270">
        <f>INDEX(Coordinates!$B$2:$B$197,MATCH(G9,Coordinates!$J$2:$J$197,0))</f>
        <v>-3.3977320230000001</v>
      </c>
      <c r="AK9" s="270">
        <f>INDEX(Coordinates!$C$2:$C$197,MATCH(G9,Coordinates!$J$2:$J$197,0))</f>
        <v>34.837561989999998</v>
      </c>
      <c r="AL9" s="270" t="str">
        <f>IF(ISNUMBER(SEARCH("C", 'Dry_Litterbag Placem_Collection'!S10)),"YES","NO")</f>
        <v>NO</v>
      </c>
      <c r="AM9" s="270" t="str">
        <f>IF(ISNUMBER(SEARCH("H", 'Dry_Litterbag Placem_Collection'!S10)),"YES","NO")</f>
        <v>NO</v>
      </c>
      <c r="AN9" s="270" t="str">
        <f>IF(ISNUMBER(SEARCH("R", 'Dry_Litterbag Placem_Collection'!S10)),"YES","NO")</f>
        <v>YES</v>
      </c>
    </row>
    <row r="10" spans="1:40">
      <c r="A10" s="262" t="s">
        <v>2659</v>
      </c>
      <c r="B10" s="263">
        <f>'Dry_Litterbag Placem_Collection'!A11</f>
        <v>9</v>
      </c>
      <c r="C10" s="263" t="str">
        <f>'Dry_Litterbag Placem_Collection'!B11</f>
        <v>Makao</v>
      </c>
      <c r="D10" s="263" t="s">
        <v>2659</v>
      </c>
      <c r="E10" s="263" t="s">
        <v>2660</v>
      </c>
      <c r="F10" s="263">
        <v>2</v>
      </c>
      <c r="G10" s="264" t="str">
        <f>'Dry_Litterbag Placem_Collection'!C11</f>
        <v>Dry_Ag2_T1</v>
      </c>
      <c r="H10" s="265" t="s">
        <v>2541</v>
      </c>
      <c r="I10" s="266" t="s">
        <v>1147</v>
      </c>
      <c r="J10" s="263" t="str">
        <f>IF(ISBLANK('Dry_Litterbag Placem_Collection'!J11),"","G"&amp;""&amp;'Dry_Litterbag Placem_Collection'!J11)</f>
        <v>G277</v>
      </c>
      <c r="K10" s="267">
        <f>IFERROR(INDEX('Green_rooibos initial weight'!$C$5:$C$1749,MATCH(J10, 'Green_rooibos initial weight'!$A$5:$A$1749,0)),"")</f>
        <v>1.93</v>
      </c>
      <c r="L10" s="267">
        <f>IFERROR(K10-(TBIcalc!$Q$9+TBIcalc!$Q$10),"")</f>
        <v>1.6801999999999999</v>
      </c>
      <c r="M10" s="391">
        <f>AVERAGE(Ashed_controlls!$K$2:$K$11)</f>
        <v>5.5147656768714146</v>
      </c>
      <c r="N10" s="267">
        <f t="shared" si="1"/>
        <v>1.5875409070972064</v>
      </c>
      <c r="O10" s="267">
        <f>IF(IFERROR(INDEX('Both teabags AfterDry'!$D$3:$D$900,MATCH(J10,'Both teabags AfterDry'!$A$3:$A$900,0)),"")="","",(IFERROR(INDEX('Both teabags AfterDry'!$D$3:$D$900,MATCH(J10,'Both teabags AfterDry'!$A$3:$A$900,0)),"")))</f>
        <v>1.9345000000000001</v>
      </c>
      <c r="P10" s="267">
        <f>IFERROR(IF(O10&gt;0,O10-(TBIcalc!$Q$9),""),"")</f>
        <v>1.7839</v>
      </c>
      <c r="Q10" s="278">
        <f>IFERROR(INDEX('Ashed teabags dry'!$K$2:$K$825,MATCH(J10,'Ashed teabags dry'!$A$2:$A$825,0)),"")</f>
        <v>22.768222768222728</v>
      </c>
      <c r="R10" s="278">
        <f t="shared" si="2"/>
        <v>1.3777376740376748</v>
      </c>
      <c r="S10" s="268">
        <f>'Dry_Litterbag Placem_Collection'!E11</f>
        <v>42938</v>
      </c>
      <c r="T10" s="268">
        <f>IF('Dry_Litterbag Placem_Collection'!G11="","",'Dry_Litterbag Placem_Collection'!G11)</f>
        <v>43007</v>
      </c>
      <c r="U10" s="269">
        <f t="shared" si="0"/>
        <v>69</v>
      </c>
      <c r="V10" s="267">
        <f t="shared" si="3"/>
        <v>-0.10370000000000013</v>
      </c>
      <c r="W10" s="267">
        <f t="shared" si="4"/>
        <v>0.20980323305953164</v>
      </c>
      <c r="X10" s="271">
        <f>IFERROR(INDEX(Rainfall_Dry!$O$2:$O$217,MATCH(B10, Rainfall_Dry!$A$2:$A$217,0)),"")</f>
        <v>6.900000125</v>
      </c>
      <c r="Y10" s="260">
        <v>21.13063730679653</v>
      </c>
      <c r="Z10" s="260">
        <v>3.0912555579081076</v>
      </c>
      <c r="AA10" s="260">
        <v>75.778107135295357</v>
      </c>
      <c r="AB10" s="261" t="s">
        <v>2670</v>
      </c>
      <c r="AC10" s="260">
        <v>0.46131099063578063</v>
      </c>
      <c r="AD10">
        <f>IF('WetLitterbags placem_collection'!AB11="","",'WetLitterbags placem_collection'!AB11)</f>
        <v>10.8</v>
      </c>
      <c r="AE10">
        <f>IF('WetLitterbags placem_collection'!Z11="","",'WetLitterbags placem_collection'!Z11)</f>
        <v>28.4</v>
      </c>
      <c r="AF10" s="24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71">
        <f>IFERROR(AVERAGE('Dry_Litterbag Placem_Collection'!N11,'Dry_Litterbag Placem_Collection'!Q11),"")</f>
        <v>26.15</v>
      </c>
      <c r="AJ10" s="270">
        <f>INDEX(Coordinates!$B$2:$B$197,MATCH(G10,Coordinates!$J$2:$J$197,0))</f>
        <v>-3.3978290019999999</v>
      </c>
      <c r="AK10" s="270">
        <f>INDEX(Coordinates!$C$2:$C$197,MATCH(G10,Coordinates!$J$2:$J$197,0))</f>
        <v>34.837011969999999</v>
      </c>
      <c r="AL10" s="270" t="str">
        <f>IF(ISNUMBER(SEARCH("C", 'Dry_Litterbag Placem_Collection'!S11)),"YES","NO")</f>
        <v>YES</v>
      </c>
      <c r="AM10" s="270" t="str">
        <f>IF(ISNUMBER(SEARCH("H", 'Dry_Litterbag Placem_Collection'!S11)),"YES","NO")</f>
        <v>YES</v>
      </c>
      <c r="AN10" s="270" t="str">
        <f>IF(ISNUMBER(SEARCH("R", 'Dry_Litterbag Placem_Collection'!S11)),"YES","NO")</f>
        <v>NO</v>
      </c>
    </row>
    <row r="11" spans="1:40">
      <c r="A11" s="262" t="s">
        <v>2659</v>
      </c>
      <c r="B11" s="263">
        <f>'Dry_Litterbag Placem_Collection'!A12</f>
        <v>10</v>
      </c>
      <c r="C11" s="263" t="str">
        <f>'Dry_Litterbag Placem_Collection'!B12</f>
        <v>Makao</v>
      </c>
      <c r="D11" s="263" t="s">
        <v>2659</v>
      </c>
      <c r="E11" s="263" t="s">
        <v>2660</v>
      </c>
      <c r="F11" s="263">
        <v>2</v>
      </c>
      <c r="G11" s="264" t="str">
        <f>'Dry_Litterbag Placem_Collection'!C12</f>
        <v>Dry_Ag2_T2</v>
      </c>
      <c r="H11" s="265" t="s">
        <v>2541</v>
      </c>
      <c r="I11" s="266" t="s">
        <v>1147</v>
      </c>
      <c r="J11" s="263" t="str">
        <f>IF(ISBLANK('Dry_Litterbag Placem_Collection'!J12),"","G"&amp;""&amp;'Dry_Litterbag Placem_Collection'!J12)</f>
        <v>G310</v>
      </c>
      <c r="K11" s="267">
        <f>IFERROR(INDEX('Green_rooibos initial weight'!$C$5:$C$1749,MATCH(J11, 'Green_rooibos initial weight'!$A$5:$A$1749,0)),"")</f>
        <v>2.0459999999999998</v>
      </c>
      <c r="L11" s="267">
        <f>IFERROR(K11-(TBIcalc!$Q$9+TBIcalc!$Q$10),"")</f>
        <v>1.7961999999999998</v>
      </c>
      <c r="M11" s="391">
        <f>AVERAGE(Ashed_controlls!$K$2:$K$11)</f>
        <v>5.5147656768714146</v>
      </c>
      <c r="N11" s="267">
        <f t="shared" si="1"/>
        <v>1.6971437789120354</v>
      </c>
      <c r="O11" s="267" t="str">
        <f>IF(IFERROR(INDEX('Both teabags AfterDry'!$D$3:$D$900,MATCH(J11,'Both teabags AfterDry'!$A$3:$A$900,0)),"")="","",(IFERROR(INDEX('Both teabags AfterDry'!$D$3:$D$900,MATCH(J11,'Both teabags AfterDry'!$A$3:$A$900,0)),"")))</f>
        <v/>
      </c>
      <c r="P11" s="267" t="str">
        <f>IFERROR(IF(O11&gt;0,O11-(TBIcalc!$Q$9),""),"")</f>
        <v/>
      </c>
      <c r="Q11" s="278" t="str">
        <f>IFERROR(INDEX('Ashed teabags dry'!$K$2:$K$825,MATCH(J11,'Ashed teabags dry'!$A$2:$A$825,0)),"")</f>
        <v/>
      </c>
      <c r="R11" s="278" t="str">
        <f t="shared" si="2"/>
        <v/>
      </c>
      <c r="S11" s="268">
        <f>'Dry_Litterbag Placem_Collection'!E12</f>
        <v>42938</v>
      </c>
      <c r="T11" s="268" t="str">
        <f>IF('Dry_Litterbag Placem_Collection'!G12="","",'Dry_Litterbag Placem_Collection'!G12)</f>
        <v/>
      </c>
      <c r="U11" s="269" t="str">
        <f t="shared" si="0"/>
        <v/>
      </c>
      <c r="V11" s="267" t="str">
        <f t="shared" si="3"/>
        <v/>
      </c>
      <c r="W11" s="267" t="str">
        <f t="shared" si="4"/>
        <v/>
      </c>
      <c r="X11" s="271" t="str">
        <f>IFERROR(INDEX(Rainfall_Dry!$O$2:$O$217,MATCH(B11, Rainfall_Dry!$A$2:$A$217,0)),"")</f>
        <v/>
      </c>
      <c r="Y11" s="260">
        <v>21.13063730679653</v>
      </c>
      <c r="Z11" s="260">
        <v>3.0912555579081076</v>
      </c>
      <c r="AA11" s="260">
        <v>75.778107135295357</v>
      </c>
      <c r="AB11" s="261" t="s">
        <v>2670</v>
      </c>
      <c r="AC11" s="260">
        <v>1.46131099063578</v>
      </c>
      <c r="AD11">
        <f>IF('WetLitterbags placem_collection'!AB12="","",'WetLitterbags placem_collection'!AB12)</f>
        <v>16.8</v>
      </c>
      <c r="AE11">
        <f>IF('WetLitterbags placem_collection'!Z12="","",'WetLitterbags placem_collection'!Z12)</f>
        <v>30</v>
      </c>
      <c r="AF11" s="24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71">
        <f>IFERROR(AVERAGE('Dry_Litterbag Placem_Collection'!N12,'Dry_Litterbag Placem_Collection'!Q12),"")</f>
        <v>26.1</v>
      </c>
      <c r="AJ11" s="270">
        <f>INDEX(Coordinates!$B$2:$B$197,MATCH(G11,Coordinates!$J$2:$J$197,0))</f>
        <v>-3.3978119869999999</v>
      </c>
      <c r="AK11" s="270">
        <f>INDEX(Coordinates!$C$2:$C$197,MATCH(G11,Coordinates!$J$2:$J$197,0))</f>
        <v>34.836968980000002</v>
      </c>
      <c r="AL11" s="270" t="str">
        <f>IF(ISNUMBER(SEARCH("C", 'Dry_Litterbag Placem_Collection'!S12)),"YES","NO")</f>
        <v>NO</v>
      </c>
      <c r="AM11" s="270" t="str">
        <f>IF(ISNUMBER(SEARCH("H", 'Dry_Litterbag Placem_Collection'!S12)),"YES","NO")</f>
        <v>NO</v>
      </c>
      <c r="AN11" s="270" t="str">
        <f>IF(ISNUMBER(SEARCH("R", 'Dry_Litterbag Placem_Collection'!S12)),"YES","NO")</f>
        <v>NO</v>
      </c>
    </row>
    <row r="12" spans="1:40">
      <c r="A12" s="262" t="s">
        <v>2659</v>
      </c>
      <c r="B12" s="263">
        <f>'Dry_Litterbag Placem_Collection'!A13</f>
        <v>11</v>
      </c>
      <c r="C12" s="263" t="str">
        <f>'Dry_Litterbag Placem_Collection'!B13</f>
        <v>Makao</v>
      </c>
      <c r="D12" s="263" t="s">
        <v>2659</v>
      </c>
      <c r="E12" s="263" t="s">
        <v>2660</v>
      </c>
      <c r="F12" s="263">
        <v>2</v>
      </c>
      <c r="G12" s="264" t="str">
        <f>'Dry_Litterbag Placem_Collection'!C13</f>
        <v>Dry_Ag2_T3</v>
      </c>
      <c r="H12" s="265" t="s">
        <v>2541</v>
      </c>
      <c r="I12" s="266" t="s">
        <v>1147</v>
      </c>
      <c r="J12" s="263" t="str">
        <f>IF(ISBLANK('Dry_Litterbag Placem_Collection'!J13),"","G"&amp;""&amp;'Dry_Litterbag Placem_Collection'!J13)</f>
        <v>G435</v>
      </c>
      <c r="K12" s="267">
        <f>IFERROR(INDEX('Green_rooibos initial weight'!$C$5:$C$1749,MATCH(J12, 'Green_rooibos initial weight'!$A$5:$A$1749,0)),"")</f>
        <v>2.0009999999999999</v>
      </c>
      <c r="L12" s="267">
        <f>IFERROR(K12-(TBIcalc!$Q$9+TBIcalc!$Q$10),"")</f>
        <v>1.7511999999999999</v>
      </c>
      <c r="M12" s="391">
        <f>AVERAGE(Ashed_controlls!$K$2:$K$11)</f>
        <v>5.5147656768714146</v>
      </c>
      <c r="N12" s="267">
        <f t="shared" si="1"/>
        <v>1.6546254234666278</v>
      </c>
      <c r="O12" s="267">
        <f>IF(IFERROR(INDEX('Both teabags AfterDry'!$D$3:$D$900,MATCH(J12,'Both teabags AfterDry'!$A$3:$A$900,0)),"")="","",(IFERROR(INDEX('Both teabags AfterDry'!$D$3:$D$900,MATCH(J12,'Both teabags AfterDry'!$A$3:$A$900,0)),"")))</f>
        <v>1.7934000000000001</v>
      </c>
      <c r="P12" s="267">
        <f>IFERROR(IF(O12&gt;0,O12-(TBIcalc!$Q$9),""),"")</f>
        <v>1.6428</v>
      </c>
      <c r="Q12" s="278">
        <f>IFERROR(INDEX('Ashed teabags dry'!$K$2:$K$825,MATCH(J12,'Ashed teabags dry'!$A$2:$A$825,0)),"")</f>
        <v>10.240078392944513</v>
      </c>
      <c r="R12" s="278">
        <f t="shared" si="2"/>
        <v>1.4745759921607076</v>
      </c>
      <c r="S12" s="268">
        <f>'Dry_Litterbag Placem_Collection'!E13</f>
        <v>42938</v>
      </c>
      <c r="T12" s="268">
        <f>IF('Dry_Litterbag Placem_Collection'!G13="","",'Dry_Litterbag Placem_Collection'!G13)</f>
        <v>43007</v>
      </c>
      <c r="U12" s="269">
        <f t="shared" si="0"/>
        <v>69</v>
      </c>
      <c r="V12" s="267">
        <f t="shared" si="3"/>
        <v>0.10839999999999983</v>
      </c>
      <c r="W12" s="267">
        <f t="shared" si="4"/>
        <v>0.18004943130592022</v>
      </c>
      <c r="X12" s="271">
        <f>IFERROR(INDEX(Rainfall_Dry!$O$2:$O$217,MATCH(B12, Rainfall_Dry!$A$2:$A$217,0)),"")</f>
        <v>6.900000125</v>
      </c>
      <c r="Y12" s="260">
        <v>21.13063730679653</v>
      </c>
      <c r="Z12" s="260">
        <v>3.0912555579081076</v>
      </c>
      <c r="AA12" s="260">
        <v>75.778107135295357</v>
      </c>
      <c r="AB12" s="261" t="s">
        <v>2670</v>
      </c>
      <c r="AC12" s="260">
        <v>2.4613109906357802</v>
      </c>
      <c r="AD12">
        <f>IF('WetLitterbags placem_collection'!AB13="","",'WetLitterbags placem_collection'!AB13)</f>
        <v>11.4</v>
      </c>
      <c r="AE12">
        <f>IF('WetLitterbags placem_collection'!Z13="","",'WetLitterbags placem_collection'!Z13)</f>
        <v>24.4</v>
      </c>
      <c r="AF12" s="24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71">
        <f>IFERROR(AVERAGE('Dry_Litterbag Placem_Collection'!N13,'Dry_Litterbag Placem_Collection'!Q13),"")</f>
        <v>26.450000000000003</v>
      </c>
      <c r="AJ12" s="270">
        <f>INDEX(Coordinates!$B$2:$B$197,MATCH(G12,Coordinates!$J$2:$J$197,0))</f>
        <v>-3.3977929599999999</v>
      </c>
      <c r="AK12" s="270">
        <f>INDEX(Coordinates!$C$2:$C$197,MATCH(G12,Coordinates!$J$2:$J$197,0))</f>
        <v>34.837102999999999</v>
      </c>
      <c r="AL12" s="270" t="str">
        <f>IF(ISNUMBER(SEARCH("C", 'Dry_Litterbag Placem_Collection'!S13)),"YES","NO")</f>
        <v>YES</v>
      </c>
      <c r="AM12" s="270" t="str">
        <f>IF(ISNUMBER(SEARCH("H", 'Dry_Litterbag Placem_Collection'!S13)),"YES","NO")</f>
        <v>YES</v>
      </c>
      <c r="AN12" s="270" t="str">
        <f>IF(ISNUMBER(SEARCH("R", 'Dry_Litterbag Placem_Collection'!S13)),"YES","NO")</f>
        <v>NO</v>
      </c>
    </row>
    <row r="13" spans="1:40">
      <c r="A13" s="262" t="s">
        <v>2659</v>
      </c>
      <c r="B13" s="263">
        <f>'Dry_Litterbag Placem_Collection'!A14</f>
        <v>12</v>
      </c>
      <c r="C13" s="263" t="str">
        <f>'Dry_Litterbag Placem_Collection'!B14</f>
        <v>Makao</v>
      </c>
      <c r="D13" s="263" t="s">
        <v>2659</v>
      </c>
      <c r="E13" s="263" t="s">
        <v>2660</v>
      </c>
      <c r="F13" s="263">
        <v>2</v>
      </c>
      <c r="G13" s="264" t="str">
        <f>'Dry_Litterbag Placem_Collection'!C14</f>
        <v>Dry_Ag2_T4</v>
      </c>
      <c r="H13" s="265" t="s">
        <v>2541</v>
      </c>
      <c r="I13" s="266" t="s">
        <v>1147</v>
      </c>
      <c r="J13" s="263" t="str">
        <f>IF(ISBLANK('Dry_Litterbag Placem_Collection'!J14),"","G"&amp;""&amp;'Dry_Litterbag Placem_Collection'!J14)</f>
        <v/>
      </c>
      <c r="K13" s="267" t="str">
        <f>IFERROR(INDEX('Green_rooibos initial weight'!$C$5:$C$1749,MATCH(J13, 'Green_rooibos initial weight'!$A$5:$A$1749,0)),"")</f>
        <v/>
      </c>
      <c r="L13" s="267" t="str">
        <f>IFERROR(K13-(TBIcalc!$Q$9+TBIcalc!$Q$10),"")</f>
        <v/>
      </c>
      <c r="M13" s="391">
        <f>AVERAGE(Ashed_controlls!$K$2:$K$11)</f>
        <v>5.5147656768714146</v>
      </c>
      <c r="N13" s="267" t="str">
        <f t="shared" si="1"/>
        <v/>
      </c>
      <c r="O13" s="267" t="str">
        <f>IF(IFERROR(INDEX('Both teabags AfterDry'!$D$3:$D$900,MATCH(J13,'Both teabags AfterDry'!$A$3:$A$900,0)),"")="","",(IFERROR(INDEX('Both teabags AfterDry'!$D$3:$D$900,MATCH(J13,'Both teabags AfterDry'!$A$3:$A$900,0)),"")))</f>
        <v/>
      </c>
      <c r="P13" s="267" t="str">
        <f>IFERROR(IF(O13&gt;0,O13-(TBIcalc!$Q$9),""),"")</f>
        <v/>
      </c>
      <c r="Q13" s="278" t="str">
        <f>IFERROR(INDEX('Ashed teabags dry'!$K$2:$K$825,MATCH(J13,'Ashed teabags dry'!$A$2:$A$825,0)),"")</f>
        <v/>
      </c>
      <c r="R13" s="278" t="str">
        <f t="shared" si="2"/>
        <v/>
      </c>
      <c r="S13" s="268">
        <f>'Dry_Litterbag Placem_Collection'!E14</f>
        <v>0</v>
      </c>
      <c r="T13" s="268" t="str">
        <f>IF('Dry_Litterbag Placem_Collection'!G14="","",'Dry_Litterbag Placem_Collection'!G14)</f>
        <v/>
      </c>
      <c r="U13" s="269" t="str">
        <f t="shared" si="0"/>
        <v/>
      </c>
      <c r="V13" s="267" t="str">
        <f t="shared" si="3"/>
        <v/>
      </c>
      <c r="W13" s="267" t="str">
        <f t="shared" si="4"/>
        <v/>
      </c>
      <c r="X13" s="271" t="str">
        <f>IFERROR(INDEX(Rainfall_Dry!$O$2:$O$217,MATCH(B13, Rainfall_Dry!$A$2:$A$217,0)),"")</f>
        <v/>
      </c>
      <c r="Y13" s="260">
        <v>21.13063730679653</v>
      </c>
      <c r="Z13" s="260">
        <v>3.0912555579081076</v>
      </c>
      <c r="AA13" s="260">
        <v>75.778107135295357</v>
      </c>
      <c r="AB13" s="261" t="s">
        <v>2670</v>
      </c>
      <c r="AC13" s="260">
        <v>3.4613109906357802</v>
      </c>
      <c r="AD13" t="str">
        <f>IF('WetLitterbags placem_collection'!AB14="","",'WetLitterbags placem_collection'!AB14)</f>
        <v/>
      </c>
      <c r="AE13" t="str">
        <f>IF('WetLitterbags placem_collection'!Z14="","",'WetLitterbags placem_collection'!Z14)</f>
        <v/>
      </c>
      <c r="AF13" s="24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71" t="str">
        <f>IFERROR(AVERAGE('Dry_Litterbag Placem_Collection'!N14,'Dry_Litterbag Placem_Collection'!Q14),"")</f>
        <v/>
      </c>
      <c r="AJ13" s="270">
        <f>INDEX(Coordinates!$B$2:$B$197,MATCH(G13,Coordinates!$J$2:$J$197,0))</f>
        <v>-3.3979050260000001</v>
      </c>
      <c r="AK13" s="270">
        <f>INDEX(Coordinates!$C$2:$C$197,MATCH(G13,Coordinates!$J$2:$J$197,0))</f>
        <v>34.837123030000001</v>
      </c>
      <c r="AL13" s="270" t="str">
        <f>IF(ISNUMBER(SEARCH("C", 'Dry_Litterbag Placem_Collection'!S14)),"YES","NO")</f>
        <v>NO</v>
      </c>
      <c r="AM13" s="270" t="str">
        <f>IF(ISNUMBER(SEARCH("H", 'Dry_Litterbag Placem_Collection'!S14)),"YES","NO")</f>
        <v>NO</v>
      </c>
      <c r="AN13" s="270" t="str">
        <f>IF(ISNUMBER(SEARCH("R", 'Dry_Litterbag Placem_Collection'!S14)),"YES","NO")</f>
        <v>NO</v>
      </c>
    </row>
    <row r="14" spans="1:40">
      <c r="A14" s="262" t="s">
        <v>2659</v>
      </c>
      <c r="B14" s="263">
        <f>'Dry_Litterbag Placem_Collection'!A15</f>
        <v>13</v>
      </c>
      <c r="C14" s="263" t="str">
        <f>'Dry_Litterbag Placem_Collection'!B15</f>
        <v>Makao</v>
      </c>
      <c r="D14" s="263" t="s">
        <v>2659</v>
      </c>
      <c r="E14" s="263" t="s">
        <v>2660</v>
      </c>
      <c r="F14" s="263">
        <v>2</v>
      </c>
      <c r="G14" s="264" t="str">
        <f>'Dry_Litterbag Placem_Collection'!C15</f>
        <v>Dry_Ag2_T5</v>
      </c>
      <c r="H14" s="265" t="s">
        <v>2541</v>
      </c>
      <c r="I14" s="266" t="s">
        <v>1147</v>
      </c>
      <c r="J14" s="263" t="str">
        <f>IF(ISBLANK('Dry_Litterbag Placem_Collection'!J15),"","G"&amp;""&amp;'Dry_Litterbag Placem_Collection'!J15)</f>
        <v>G2</v>
      </c>
      <c r="K14" s="267">
        <f>IFERROR(INDEX('Green_rooibos initial weight'!$C$5:$C$1749,MATCH(J14, 'Green_rooibos initial weight'!$A$5:$A$1749,0)),"")</f>
        <v>2</v>
      </c>
      <c r="L14" s="267">
        <f>IFERROR(K14-(TBIcalc!$Q$9+TBIcalc!$Q$10),"")</f>
        <v>1.7502</v>
      </c>
      <c r="M14" s="391">
        <f>AVERAGE(Ashed_controlls!$K$2:$K$11)</f>
        <v>5.5147656768714146</v>
      </c>
      <c r="N14" s="267">
        <f t="shared" si="1"/>
        <v>1.6536805711233964</v>
      </c>
      <c r="O14" s="267">
        <f>IF(IFERROR(INDEX('Both teabags AfterDry'!$D$3:$D$900,MATCH(J14,'Both teabags AfterDry'!$A$3:$A$900,0)),"")="","",(IFERROR(INDEX('Both teabags AfterDry'!$D$3:$D$900,MATCH(J14,'Both teabags AfterDry'!$A$3:$A$900,0)),"")))</f>
        <v>1.7587999999999999</v>
      </c>
      <c r="P14" s="267">
        <f>IFERROR(IF(O14&gt;0,O14-(TBIcalc!$Q$9),""),"")</f>
        <v>1.6081999999999999</v>
      </c>
      <c r="Q14" s="278">
        <f>IFERROR(INDEX('Ashed teabags dry'!$K$2:$K$825,MATCH(J14,'Ashed teabags dry'!$A$2:$A$825,0)),"")</f>
        <v>27.976482116609386</v>
      </c>
      <c r="R14" s="278">
        <f t="shared" si="2"/>
        <v>1.1582822146006877</v>
      </c>
      <c r="S14" s="268">
        <f>'Dry_Litterbag Placem_Collection'!E15</f>
        <v>42938</v>
      </c>
      <c r="T14" s="268">
        <f>IF('Dry_Litterbag Placem_Collection'!G15="","",'Dry_Litterbag Placem_Collection'!G15)</f>
        <v>43007</v>
      </c>
      <c r="U14" s="269">
        <f t="shared" si="0"/>
        <v>69</v>
      </c>
      <c r="V14" s="267">
        <f t="shared" si="3"/>
        <v>0.14200000000000013</v>
      </c>
      <c r="W14" s="267">
        <f t="shared" si="4"/>
        <v>0.49539835652270869</v>
      </c>
      <c r="X14" s="271">
        <f>IFERROR(INDEX(Rainfall_Dry!$O$2:$O$217,MATCH(B14, Rainfall_Dry!$A$2:$A$217,0)),"")</f>
        <v>6.900000125</v>
      </c>
      <c r="Y14" s="260">
        <v>21.13063730679653</v>
      </c>
      <c r="Z14" s="260">
        <v>3.0912555579081076</v>
      </c>
      <c r="AA14" s="260">
        <v>75.778107135295357</v>
      </c>
      <c r="AB14" s="261" t="s">
        <v>2670</v>
      </c>
      <c r="AC14" s="260">
        <v>4.4613109906357797</v>
      </c>
      <c r="AD14">
        <f>IF('WetLitterbags placem_collection'!AB15="","",'WetLitterbags placem_collection'!AB15)</f>
        <v>11.4</v>
      </c>
      <c r="AE14">
        <f>IF('WetLitterbags placem_collection'!Z15="","",'WetLitterbags placem_collection'!Z15)</f>
        <v>31</v>
      </c>
      <c r="AF14" s="24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71">
        <f>IFERROR(AVERAGE('Dry_Litterbag Placem_Collection'!N15,'Dry_Litterbag Placem_Collection'!Q15),"")</f>
        <v>26.1</v>
      </c>
      <c r="AJ14" s="270">
        <f>INDEX(Coordinates!$B$2:$B$197,MATCH(G14,Coordinates!$J$2:$J$197,0))</f>
        <v>-3.3979040199999999</v>
      </c>
      <c r="AK14" s="270">
        <f>INDEX(Coordinates!$C$2:$C$197,MATCH(G14,Coordinates!$J$2:$J$197,0))</f>
        <v>34.837027980000002</v>
      </c>
      <c r="AL14" s="270" t="str">
        <f>IF(ISNUMBER(SEARCH("C", 'Dry_Litterbag Placem_Collection'!S15)),"YES","NO")</f>
        <v>YES</v>
      </c>
      <c r="AM14" s="270" t="str">
        <f>IF(ISNUMBER(SEARCH("H", 'Dry_Litterbag Placem_Collection'!S15)),"YES","NO")</f>
        <v>NO</v>
      </c>
      <c r="AN14" s="270" t="str">
        <f>IF(ISNUMBER(SEARCH("R", 'Dry_Litterbag Placem_Collection'!S15)),"YES","NO")</f>
        <v>NO</v>
      </c>
    </row>
    <row r="15" spans="1:40">
      <c r="A15" s="262" t="s">
        <v>2659</v>
      </c>
      <c r="B15" s="263">
        <f>'Dry_Litterbag Placem_Collection'!A16</f>
        <v>14</v>
      </c>
      <c r="C15" s="263" t="str">
        <f>'Dry_Litterbag Placem_Collection'!B16</f>
        <v>Makao</v>
      </c>
      <c r="D15" s="263" t="s">
        <v>2659</v>
      </c>
      <c r="E15" s="263" t="s">
        <v>2660</v>
      </c>
      <c r="F15" s="263">
        <v>2</v>
      </c>
      <c r="G15" s="264" t="str">
        <f>'Dry_Litterbag Placem_Collection'!C16</f>
        <v>Dry_Ag2_T6</v>
      </c>
      <c r="H15" s="265" t="s">
        <v>2541</v>
      </c>
      <c r="I15" s="266" t="s">
        <v>1147</v>
      </c>
      <c r="J15" s="263" t="str">
        <f>IF(ISBLANK('Dry_Litterbag Placem_Collection'!J16),"","G"&amp;""&amp;'Dry_Litterbag Placem_Collection'!J16)</f>
        <v>G225</v>
      </c>
      <c r="K15" s="267">
        <f>IFERROR(INDEX('Green_rooibos initial weight'!$C$5:$C$1749,MATCH(J15, 'Green_rooibos initial weight'!$A$5:$A$1749,0)),"")</f>
        <v>2.117</v>
      </c>
      <c r="L15" s="267">
        <f>IFERROR(K15-(TBIcalc!$Q$9+TBIcalc!$Q$10),"")</f>
        <v>1.8672</v>
      </c>
      <c r="M15" s="391">
        <f>AVERAGE(Ashed_controlls!$K$2:$K$11)</f>
        <v>5.5147656768714146</v>
      </c>
      <c r="N15" s="267">
        <f t="shared" si="1"/>
        <v>1.764228295281457</v>
      </c>
      <c r="O15" s="267">
        <f>IF(IFERROR(INDEX('Both teabags AfterDry'!$D$3:$D$900,MATCH(J15,'Both teabags AfterDry'!$A$3:$A$900,0)),"")="","",(IFERROR(INDEX('Both teabags AfterDry'!$D$3:$D$900,MATCH(J15,'Both teabags AfterDry'!$A$3:$A$900,0)),"")))</f>
        <v>1.25</v>
      </c>
      <c r="P15" s="267">
        <f>IFERROR(IF(O15&gt;0,O15-(TBIcalc!$Q$9),""),"")</f>
        <v>1.0993999999999999</v>
      </c>
      <c r="Q15" s="278" t="str">
        <f>IFERROR(INDEX('Ashed teabags dry'!$K$2:$K$825,MATCH(J15,'Ashed teabags dry'!$A$2:$A$825,0)),"")</f>
        <v/>
      </c>
      <c r="R15" s="278" t="str">
        <f t="shared" si="2"/>
        <v/>
      </c>
      <c r="S15" s="268">
        <f>'Dry_Litterbag Placem_Collection'!E16</f>
        <v>42938</v>
      </c>
      <c r="T15" s="268">
        <f>IF('Dry_Litterbag Placem_Collection'!G16="","",'Dry_Litterbag Placem_Collection'!G16)</f>
        <v>43007</v>
      </c>
      <c r="U15" s="269">
        <f t="shared" si="0"/>
        <v>69</v>
      </c>
      <c r="V15" s="267">
        <f t="shared" si="3"/>
        <v>0.76780000000000004</v>
      </c>
      <c r="W15" s="267" t="str">
        <f t="shared" si="4"/>
        <v/>
      </c>
      <c r="X15" s="271">
        <f>IFERROR(INDEX(Rainfall_Dry!$O$2:$O$217,MATCH(B15, Rainfall_Dry!$A$2:$A$217,0)),"")</f>
        <v>6.900000125</v>
      </c>
      <c r="Y15" s="260">
        <v>21.13063730679653</v>
      </c>
      <c r="Z15" s="260">
        <v>3.0912555579081076</v>
      </c>
      <c r="AA15" s="260">
        <v>75.778107135295357</v>
      </c>
      <c r="AB15" s="261" t="s">
        <v>2670</v>
      </c>
      <c r="AC15" s="260">
        <v>5.4613109906357797</v>
      </c>
      <c r="AD15">
        <f>IF('WetLitterbags placem_collection'!AB16="","",'WetLitterbags placem_collection'!AB16)</f>
        <v>28.4</v>
      </c>
      <c r="AE15">
        <f>IF('WetLitterbags placem_collection'!Z16="","",'WetLitterbags placem_collection'!Z16)</f>
        <v>42.4</v>
      </c>
      <c r="AF15" s="24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71">
        <f>IFERROR(AVERAGE('Dry_Litterbag Placem_Collection'!N16,'Dry_Litterbag Placem_Collection'!Q16),"")</f>
        <v>25.55</v>
      </c>
      <c r="AJ15" s="270">
        <f>INDEX(Coordinates!$B$2:$B$197,MATCH(G15,Coordinates!$J$2:$J$197,0))</f>
        <v>-3.397854986</v>
      </c>
      <c r="AK15" s="270">
        <f>INDEX(Coordinates!$C$2:$C$197,MATCH(G15,Coordinates!$J$2:$J$197,0))</f>
        <v>34.836874010000002</v>
      </c>
      <c r="AL15" s="270" t="str">
        <f>IF(ISNUMBER(SEARCH("C", 'Dry_Litterbag Placem_Collection'!S16)),"YES","NO")</f>
        <v>NO</v>
      </c>
      <c r="AM15" s="270" t="str">
        <f>IF(ISNUMBER(SEARCH("H", 'Dry_Litterbag Placem_Collection'!S16)),"YES","NO")</f>
        <v>YES</v>
      </c>
      <c r="AN15" s="270" t="str">
        <f>IF(ISNUMBER(SEARCH("R", 'Dry_Litterbag Placem_Collection'!S16)),"YES","NO")</f>
        <v>NO</v>
      </c>
    </row>
    <row r="16" spans="1:40">
      <c r="A16" s="262" t="s">
        <v>2659</v>
      </c>
      <c r="B16" s="263">
        <f>'Dry_Litterbag Placem_Collection'!A17</f>
        <v>15</v>
      </c>
      <c r="C16" s="263" t="str">
        <f>'Dry_Litterbag Placem_Collection'!B17</f>
        <v>Makao</v>
      </c>
      <c r="D16" s="263" t="s">
        <v>2659</v>
      </c>
      <c r="E16" s="263" t="s">
        <v>2660</v>
      </c>
      <c r="F16" s="263">
        <v>2</v>
      </c>
      <c r="G16" s="264" t="str">
        <f>'Dry_Litterbag Placem_Collection'!C17</f>
        <v>Dry_Ag2_T7</v>
      </c>
      <c r="H16" s="265" t="s">
        <v>2541</v>
      </c>
      <c r="I16" s="266" t="s">
        <v>1147</v>
      </c>
      <c r="J16" s="263" t="str">
        <f>IF(ISBLANK('Dry_Litterbag Placem_Collection'!J17),"","G"&amp;""&amp;'Dry_Litterbag Placem_Collection'!J17)</f>
        <v>G444</v>
      </c>
      <c r="K16" s="267">
        <f>IFERROR(INDEX('Green_rooibos initial weight'!$C$5:$C$1749,MATCH(J16, 'Green_rooibos initial weight'!$A$5:$A$1749,0)),"")</f>
        <v>2.0259999999999998</v>
      </c>
      <c r="L16" s="267">
        <f>IFERROR(K16-(TBIcalc!$Q$9+TBIcalc!$Q$10),"")</f>
        <v>1.7761999999999998</v>
      </c>
      <c r="M16" s="391">
        <f>AVERAGE(Ashed_controlls!$K$2:$K$11)</f>
        <v>5.5147656768714146</v>
      </c>
      <c r="N16" s="267">
        <f t="shared" si="1"/>
        <v>1.6782467320474097</v>
      </c>
      <c r="O16" s="267">
        <f>IF(IFERROR(INDEX('Both teabags AfterDry'!$D$3:$D$900,MATCH(J16,'Both teabags AfterDry'!$A$3:$A$900,0)),"")="","",(IFERROR(INDEX('Both teabags AfterDry'!$D$3:$D$900,MATCH(J16,'Both teabags AfterDry'!$A$3:$A$900,0)),"")))</f>
        <v>1.3574999999999999</v>
      </c>
      <c r="P16" s="267">
        <f>IFERROR(IF(O16&gt;0,O16-(TBIcalc!$Q$9),""),"")</f>
        <v>1.2068999999999999</v>
      </c>
      <c r="Q16" s="278">
        <f>IFERROR(INDEX('Ashed teabags dry'!$K$2:$K$825,MATCH(J16,'Ashed teabags dry'!$A$2:$A$825,0)),"")</f>
        <v>10.790345480359514</v>
      </c>
      <c r="R16" s="278">
        <f t="shared" si="2"/>
        <v>1.0766713203975409</v>
      </c>
      <c r="S16" s="268">
        <f>'Dry_Litterbag Placem_Collection'!E17</f>
        <v>42938</v>
      </c>
      <c r="T16" s="268">
        <f>IF('Dry_Litterbag Placem_Collection'!G17="","",'Dry_Litterbag Placem_Collection'!G17)</f>
        <v>43007</v>
      </c>
      <c r="U16" s="269">
        <f t="shared" si="0"/>
        <v>69</v>
      </c>
      <c r="V16" s="267">
        <f t="shared" si="3"/>
        <v>0.56929999999999992</v>
      </c>
      <c r="W16" s="267">
        <f t="shared" si="4"/>
        <v>0.60157541164986883</v>
      </c>
      <c r="X16" s="271">
        <f>IFERROR(INDEX(Rainfall_Dry!$O$2:$O$217,MATCH(B16, Rainfall_Dry!$A$2:$A$217,0)),"")</f>
        <v>6.900000125</v>
      </c>
      <c r="Y16" s="260">
        <v>21.13063730679653</v>
      </c>
      <c r="Z16" s="260">
        <v>3.0912555579081076</v>
      </c>
      <c r="AA16" s="260">
        <v>75.778107135295357</v>
      </c>
      <c r="AB16" s="261" t="s">
        <v>2670</v>
      </c>
      <c r="AC16" s="260">
        <v>6.4613109906357797</v>
      </c>
      <c r="AD16">
        <f>IF('WetLitterbags placem_collection'!AB17="","",'WetLitterbags placem_collection'!AB17)</f>
        <v>15.8</v>
      </c>
      <c r="AE16">
        <f>IF('WetLitterbags placem_collection'!Z17="","",'WetLitterbags placem_collection'!Z17)</f>
        <v>30.4</v>
      </c>
      <c r="AF16" s="24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71">
        <f>IFERROR(AVERAGE('Dry_Litterbag Placem_Collection'!N17,'Dry_Litterbag Placem_Collection'!Q17),"")</f>
        <v>28</v>
      </c>
      <c r="AJ16" s="270">
        <f>INDEX(Coordinates!$B$2:$B$197,MATCH(G16,Coordinates!$J$2:$J$197,0))</f>
        <v>-3.3978060349999999</v>
      </c>
      <c r="AK16" s="270">
        <f>INDEX(Coordinates!$C$2:$C$197,MATCH(G16,Coordinates!$J$2:$J$197,0))</f>
        <v>34.837023960000003</v>
      </c>
      <c r="AL16" s="270" t="str">
        <f>IF(ISNUMBER(SEARCH("C", 'Dry_Litterbag Placem_Collection'!S17)),"YES","NO")</f>
        <v>YES</v>
      </c>
      <c r="AM16" s="270" t="str">
        <f>IF(ISNUMBER(SEARCH("H", 'Dry_Litterbag Placem_Collection'!S17)),"YES","NO")</f>
        <v>YES</v>
      </c>
      <c r="AN16" s="270" t="str">
        <f>IF(ISNUMBER(SEARCH("R", 'Dry_Litterbag Placem_Collection'!S17)),"YES","NO")</f>
        <v>NO</v>
      </c>
    </row>
    <row r="17" spans="1:40">
      <c r="A17" s="262" t="s">
        <v>2659</v>
      </c>
      <c r="B17" s="263">
        <f>'Dry_Litterbag Placem_Collection'!A18</f>
        <v>16</v>
      </c>
      <c r="C17" s="263" t="str">
        <f>'Dry_Litterbag Placem_Collection'!B18</f>
        <v>Makao</v>
      </c>
      <c r="D17" s="263" t="s">
        <v>2659</v>
      </c>
      <c r="E17" s="263" t="s">
        <v>2660</v>
      </c>
      <c r="F17" s="263">
        <v>2</v>
      </c>
      <c r="G17" s="264" t="str">
        <f>'Dry_Litterbag Placem_Collection'!C18</f>
        <v>Dry_Ag2_T8</v>
      </c>
      <c r="H17" s="265" t="s">
        <v>2541</v>
      </c>
      <c r="I17" s="266" t="s">
        <v>1147</v>
      </c>
      <c r="J17" s="263" t="str">
        <f>IF(ISBLANK('Dry_Litterbag Placem_Collection'!J18),"","G"&amp;""&amp;'Dry_Litterbag Placem_Collection'!J18)</f>
        <v>G376</v>
      </c>
      <c r="K17" s="267">
        <f>IFERROR(INDEX('Green_rooibos initial weight'!$C$5:$C$1749,MATCH(J17, 'Green_rooibos initial weight'!$A$5:$A$1749,0)),"")</f>
        <v>2.0329999999999999</v>
      </c>
      <c r="L17" s="267">
        <f>IFERROR(K17-(TBIcalc!$Q$9+TBIcalc!$Q$10),"")</f>
        <v>1.7831999999999999</v>
      </c>
      <c r="M17" s="391">
        <f>AVERAGE(Ashed_controlls!$K$2:$K$11)</f>
        <v>5.5147656768714146</v>
      </c>
      <c r="N17" s="267">
        <f t="shared" si="1"/>
        <v>1.6848606984500289</v>
      </c>
      <c r="O17" s="267" t="str">
        <f>IF(IFERROR(INDEX('Both teabags AfterDry'!$D$3:$D$900,MATCH(J17,'Both teabags AfterDry'!$A$3:$A$900,0)),"")="","",(IFERROR(INDEX('Both teabags AfterDry'!$D$3:$D$900,MATCH(J17,'Both teabags AfterDry'!$A$3:$A$900,0)),"")))</f>
        <v/>
      </c>
      <c r="P17" s="267" t="str">
        <f>IFERROR(IF(O17&gt;0,O17-(TBIcalc!$Q$9),""),"")</f>
        <v/>
      </c>
      <c r="Q17" s="278" t="str">
        <f>IFERROR(INDEX('Ashed teabags dry'!$K$2:$K$825,MATCH(J17,'Ashed teabags dry'!$A$2:$A$825,0)),"")</f>
        <v/>
      </c>
      <c r="R17" s="278" t="str">
        <f t="shared" si="2"/>
        <v/>
      </c>
      <c r="S17" s="268">
        <f>'Dry_Litterbag Placem_Collection'!E18</f>
        <v>42938</v>
      </c>
      <c r="T17" s="268">
        <f>IF('Dry_Litterbag Placem_Collection'!G18="","",'Dry_Litterbag Placem_Collection'!G18)</f>
        <v>43007</v>
      </c>
      <c r="U17" s="269">
        <f t="shared" si="0"/>
        <v>69</v>
      </c>
      <c r="V17" s="267" t="str">
        <f t="shared" si="3"/>
        <v/>
      </c>
      <c r="W17" s="267" t="str">
        <f t="shared" si="4"/>
        <v/>
      </c>
      <c r="X17" s="271">
        <f>IFERROR(INDEX(Rainfall_Dry!$O$2:$O$217,MATCH(B17, Rainfall_Dry!$A$2:$A$217,0)),"")</f>
        <v>6.900000125</v>
      </c>
      <c r="Y17" s="260">
        <v>21.13063730679653</v>
      </c>
      <c r="Z17" s="260">
        <v>3.0912555579081076</v>
      </c>
      <c r="AA17" s="260">
        <v>75.778107135295357</v>
      </c>
      <c r="AB17" s="261" t="s">
        <v>2670</v>
      </c>
      <c r="AC17" s="260">
        <v>7.4613109906357797</v>
      </c>
      <c r="AD17">
        <f>IF('WetLitterbags placem_collection'!AB18="","",'WetLitterbags placem_collection'!AB18)</f>
        <v>8</v>
      </c>
      <c r="AE17">
        <f>IF('WetLitterbags placem_collection'!Z18="","",'WetLitterbags placem_collection'!Z18)</f>
        <v>12.4</v>
      </c>
      <c r="AF17" s="24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71">
        <f>IFERROR(AVERAGE('Dry_Litterbag Placem_Collection'!N18,'Dry_Litterbag Placem_Collection'!Q18),"")</f>
        <v>27.049999999999997</v>
      </c>
      <c r="AJ17" s="270">
        <f>INDEX(Coordinates!$B$2:$B$197,MATCH(G17,Coordinates!$J$2:$J$197,0))</f>
        <v>-3.3977669760000002</v>
      </c>
      <c r="AK17" s="270">
        <f>INDEX(Coordinates!$C$2:$C$197,MATCH(G17,Coordinates!$J$2:$J$197,0))</f>
        <v>34.837181039999997</v>
      </c>
      <c r="AL17" s="270" t="str">
        <f>IF(ISNUMBER(SEARCH("C", 'Dry_Litterbag Placem_Collection'!S18)),"YES","NO")</f>
        <v>YES</v>
      </c>
      <c r="AM17" s="270" t="str">
        <f>IF(ISNUMBER(SEARCH("H", 'Dry_Litterbag Placem_Collection'!S18)),"YES","NO")</f>
        <v>YES</v>
      </c>
      <c r="AN17" s="270" t="str">
        <f>IF(ISNUMBER(SEARCH("R", 'Dry_Litterbag Placem_Collection'!S18)),"YES","NO")</f>
        <v>NO</v>
      </c>
    </row>
    <row r="18" spans="1:40">
      <c r="A18" s="262" t="s">
        <v>2659</v>
      </c>
      <c r="B18" s="263">
        <f>'Dry_Litterbag Placem_Collection'!A19</f>
        <v>17</v>
      </c>
      <c r="C18" s="263" t="str">
        <f>'Dry_Litterbag Placem_Collection'!B19</f>
        <v>Makao</v>
      </c>
      <c r="D18" s="263" t="s">
        <v>2659</v>
      </c>
      <c r="E18" s="263" t="s">
        <v>2660</v>
      </c>
      <c r="F18" s="263">
        <v>3</v>
      </c>
      <c r="G18" s="264" t="str">
        <f>'Dry_Litterbag Placem_Collection'!C19</f>
        <v>Dry_Ag3_T1</v>
      </c>
      <c r="H18" s="265" t="s">
        <v>2541</v>
      </c>
      <c r="I18" s="266" t="s">
        <v>1147</v>
      </c>
      <c r="J18" s="263" t="str">
        <f>IF(ISBLANK('Dry_Litterbag Placem_Collection'!J19),"","G"&amp;""&amp;'Dry_Litterbag Placem_Collection'!J19)</f>
        <v>G209</v>
      </c>
      <c r="K18" s="267">
        <f>IFERROR(INDEX('Green_rooibos initial weight'!$C$5:$C$1749,MATCH(J18, 'Green_rooibos initial weight'!$A$5:$A$1749,0)),"")</f>
        <v>2.1160000000000001</v>
      </c>
      <c r="L18" s="267">
        <f>IFERROR(K18-(TBIcalc!$Q$9+TBIcalc!$Q$10),"")</f>
        <v>1.8662000000000001</v>
      </c>
      <c r="M18" s="391">
        <f>AVERAGE(Ashed_controlls!$K$2:$K$11)</f>
        <v>5.5147656768714146</v>
      </c>
      <c r="N18" s="267">
        <f t="shared" si="1"/>
        <v>1.7632834429382258</v>
      </c>
      <c r="O18" s="267">
        <f>IF(IFERROR(INDEX('Both teabags AfterDry'!$D$3:$D$900,MATCH(J18,'Both teabags AfterDry'!$A$3:$A$900,0)),"")="","",(IFERROR(INDEX('Both teabags AfterDry'!$D$3:$D$900,MATCH(J18,'Both teabags AfterDry'!$A$3:$A$900,0)),"")))</f>
        <v>1.9087000000000001</v>
      </c>
      <c r="P18" s="267">
        <f>IFERROR(IF(O18&gt;0,O18-(TBIcalc!$Q$9),""),"")</f>
        <v>1.7581</v>
      </c>
      <c r="Q18" s="278">
        <f>IFERROR(INDEX('Ashed teabags dry'!$K$2:$K$825,MATCH(J18,'Ashed teabags dry'!$A$2:$A$825,0)),"")</f>
        <v>5.4283290924516674</v>
      </c>
      <c r="R18" s="278">
        <f t="shared" si="2"/>
        <v>1.6626645462256073</v>
      </c>
      <c r="S18" s="268">
        <f>'Dry_Litterbag Placem_Collection'!E19</f>
        <v>42936</v>
      </c>
      <c r="T18" s="268">
        <f>IF('Dry_Litterbag Placem_Collection'!G19="","",'Dry_Litterbag Placem_Collection'!G19)</f>
        <v>43007</v>
      </c>
      <c r="U18" s="269">
        <f t="shared" si="0"/>
        <v>71</v>
      </c>
      <c r="V18" s="267">
        <f t="shared" si="3"/>
        <v>0.10810000000000008</v>
      </c>
      <c r="W18" s="267">
        <f t="shared" si="4"/>
        <v>0.10061889671261848</v>
      </c>
      <c r="X18" s="271">
        <f>IFERROR(INDEX(Rainfall_Dry!$O$2:$O$217,MATCH(B18, Rainfall_Dry!$A$2:$A$217,0)),"")</f>
        <v>6.900000125</v>
      </c>
      <c r="Y18" s="260">
        <v>54.080969906906262</v>
      </c>
      <c r="Z18" s="260">
        <v>21.264484651351896</v>
      </c>
      <c r="AA18" s="260">
        <v>24.654545441741845</v>
      </c>
      <c r="AB18" s="261" t="s">
        <v>2673</v>
      </c>
      <c r="AC18" s="260">
        <v>1.8433218334154755</v>
      </c>
      <c r="AD18" t="str">
        <f>IF('WetLitterbags placem_collection'!AB19="","",'WetLitterbags placem_collection'!AB19)</f>
        <v/>
      </c>
      <c r="AE18" t="str">
        <f>IF('WetLitterbags placem_collection'!Z19="","",'WetLitterbags placem_collection'!Z19)</f>
        <v/>
      </c>
      <c r="AF18" s="24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71">
        <f>IFERROR(AVERAGE('Dry_Litterbag Placem_Collection'!N19,'Dry_Litterbag Placem_Collection'!Q19),"")</f>
        <v>26.2</v>
      </c>
      <c r="AJ18" s="270">
        <f>INDEX(Coordinates!$B$2:$B$197,MATCH(G18,Coordinates!$J$2:$J$197,0))</f>
        <v>-3.3854090330000002</v>
      </c>
      <c r="AK18" s="270">
        <f>INDEX(Coordinates!$C$2:$C$197,MATCH(G18,Coordinates!$J$2:$J$197,0))</f>
        <v>34.818901029999999</v>
      </c>
      <c r="AL18" s="270" t="str">
        <f>IF(ISNUMBER(SEARCH("C", 'Dry_Litterbag Placem_Collection'!S19)),"YES","NO")</f>
        <v>NO</v>
      </c>
      <c r="AM18" s="270" t="str">
        <f>IF(ISNUMBER(SEARCH("H", 'Dry_Litterbag Placem_Collection'!S19)),"YES","NO")</f>
        <v>NO</v>
      </c>
      <c r="AN18" s="270" t="str">
        <f>IF(ISNUMBER(SEARCH("R", 'Dry_Litterbag Placem_Collection'!S19)),"YES","NO")</f>
        <v>NO</v>
      </c>
    </row>
    <row r="19" spans="1:40">
      <c r="A19" s="262" t="s">
        <v>2659</v>
      </c>
      <c r="B19" s="263">
        <f>'Dry_Litterbag Placem_Collection'!A20</f>
        <v>18</v>
      </c>
      <c r="C19" s="263" t="str">
        <f>'Dry_Litterbag Placem_Collection'!B20</f>
        <v>Makao</v>
      </c>
      <c r="D19" s="263" t="s">
        <v>2659</v>
      </c>
      <c r="E19" s="263" t="s">
        <v>2660</v>
      </c>
      <c r="F19" s="263">
        <v>3</v>
      </c>
      <c r="G19" s="264" t="str">
        <f>'Dry_Litterbag Placem_Collection'!C20</f>
        <v>Dry_Ag3_T2</v>
      </c>
      <c r="H19" s="265" t="s">
        <v>2541</v>
      </c>
      <c r="I19" s="266" t="s">
        <v>1147</v>
      </c>
      <c r="J19" s="263" t="str">
        <f>IF(ISBLANK('Dry_Litterbag Placem_Collection'!J20),"","G"&amp;""&amp;'Dry_Litterbag Placem_Collection'!J20)</f>
        <v>G10</v>
      </c>
      <c r="K19" s="267">
        <f>IFERROR(INDEX('Green_rooibos initial weight'!$C$5:$C$1749,MATCH(J19, 'Green_rooibos initial weight'!$A$5:$A$1749,0)),"")</f>
        <v>1.9710000000000001</v>
      </c>
      <c r="L19" s="267">
        <f>IFERROR(K19-(TBIcalc!$Q$9+TBIcalc!$Q$10),"")</f>
        <v>1.7212000000000001</v>
      </c>
      <c r="M19" s="391">
        <f>AVERAGE(Ashed_controlls!$K$2:$K$11)</f>
        <v>5.5147656768714146</v>
      </c>
      <c r="N19" s="267">
        <f t="shared" si="1"/>
        <v>1.6262798531696894</v>
      </c>
      <c r="O19" s="267">
        <f>IF(IFERROR(INDEX('Both teabags AfterDry'!$D$3:$D$900,MATCH(J19,'Both teabags AfterDry'!$A$3:$A$900,0)),"")="","",(IFERROR(INDEX('Both teabags AfterDry'!$D$3:$D$900,MATCH(J19,'Both teabags AfterDry'!$A$3:$A$900,0)),"")))</f>
        <v>1.7706999999999999</v>
      </c>
      <c r="P19" s="267">
        <f>IFERROR(IF(O19&gt;0,O19-(TBIcalc!$Q$9),""),"")</f>
        <v>1.6200999999999999</v>
      </c>
      <c r="Q19" s="278">
        <f>IFERROR(INDEX('Ashed teabags dry'!$K$2:$K$825,MATCH(J19,'Ashed teabags dry'!$A$2:$A$825,0)),"")</f>
        <v>5.8337384540594233</v>
      </c>
      <c r="R19" s="278">
        <f t="shared" si="2"/>
        <v>1.5255876033057831</v>
      </c>
      <c r="S19" s="268">
        <f>'Dry_Litterbag Placem_Collection'!E20</f>
        <v>42936</v>
      </c>
      <c r="T19" s="268">
        <f>IF('Dry_Litterbag Placem_Collection'!G20="","",'Dry_Litterbag Placem_Collection'!G20)</f>
        <v>43007</v>
      </c>
      <c r="U19" s="269">
        <f t="shared" si="0"/>
        <v>71</v>
      </c>
      <c r="V19" s="267">
        <f t="shared" si="3"/>
        <v>0.10110000000000019</v>
      </c>
      <c r="W19" s="267">
        <f t="shared" si="4"/>
        <v>0.10069224986390624</v>
      </c>
      <c r="X19" s="271">
        <f>IFERROR(INDEX(Rainfall_Dry!$O$2:$O$217,MATCH(B19, Rainfall_Dry!$A$2:$A$217,0)),"")</f>
        <v>6.900000125</v>
      </c>
      <c r="Y19" s="260">
        <v>54.080969906906262</v>
      </c>
      <c r="Z19" s="260">
        <v>21.264484651351896</v>
      </c>
      <c r="AA19" s="260">
        <v>24.654545441741845</v>
      </c>
      <c r="AB19" s="261" t="s">
        <v>2673</v>
      </c>
      <c r="AC19" s="260">
        <v>2.8433218334154802</v>
      </c>
      <c r="AD19" t="str">
        <f>IF('WetLitterbags placem_collection'!AB20="","",'WetLitterbags placem_collection'!AB20)</f>
        <v/>
      </c>
      <c r="AE19" t="str">
        <f>IF('WetLitterbags placem_collection'!Z20="","",'WetLitterbags placem_collection'!Z20)</f>
        <v/>
      </c>
      <c r="AF19" s="24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71">
        <f>IFERROR(AVERAGE('Dry_Litterbag Placem_Collection'!N20,'Dry_Litterbag Placem_Collection'!Q20),"")</f>
        <v>26.1</v>
      </c>
      <c r="AJ19" s="270">
        <f>INDEX(Coordinates!$B$2:$B$197,MATCH(G19,Coordinates!$J$2:$J$197,0))</f>
        <v>-3.385375002</v>
      </c>
      <c r="AK19" s="270">
        <f>INDEX(Coordinates!$C$2:$C$197,MATCH(G19,Coordinates!$J$2:$J$197,0))</f>
        <v>34.818939999999998</v>
      </c>
      <c r="AL19" s="270" t="str">
        <f>IF(ISNUMBER(SEARCH("C", 'Dry_Litterbag Placem_Collection'!S20)),"YES","NO")</f>
        <v>NO</v>
      </c>
      <c r="AM19" s="270" t="str">
        <f>IF(ISNUMBER(SEARCH("H", 'Dry_Litterbag Placem_Collection'!S20)),"YES","NO")</f>
        <v>NO</v>
      </c>
      <c r="AN19" s="270" t="str">
        <f>IF(ISNUMBER(SEARCH("R", 'Dry_Litterbag Placem_Collection'!S20)),"YES","NO")</f>
        <v>NO</v>
      </c>
    </row>
    <row r="20" spans="1:40">
      <c r="A20" s="262" t="s">
        <v>2659</v>
      </c>
      <c r="B20" s="263">
        <f>'Dry_Litterbag Placem_Collection'!A21</f>
        <v>19</v>
      </c>
      <c r="C20" s="263" t="str">
        <f>'Dry_Litterbag Placem_Collection'!B21</f>
        <v>Makao</v>
      </c>
      <c r="D20" s="263" t="s">
        <v>2659</v>
      </c>
      <c r="E20" s="263" t="s">
        <v>2660</v>
      </c>
      <c r="F20" s="263">
        <v>3</v>
      </c>
      <c r="G20" s="264" t="str">
        <f>'Dry_Litterbag Placem_Collection'!C21</f>
        <v>Dry_Ag3_T3</v>
      </c>
      <c r="H20" s="265" t="s">
        <v>2541</v>
      </c>
      <c r="I20" s="266" t="s">
        <v>1147</v>
      </c>
      <c r="J20" s="263" t="str">
        <f>IF(ISBLANK('Dry_Litterbag Placem_Collection'!J21),"","G"&amp;""&amp;'Dry_Litterbag Placem_Collection'!J21)</f>
        <v>G190</v>
      </c>
      <c r="K20" s="267">
        <f>IFERROR(INDEX('Green_rooibos initial weight'!$C$5:$C$1749,MATCH(J20, 'Green_rooibos initial weight'!$A$5:$A$1749,0)),"")</f>
        <v>1.909</v>
      </c>
      <c r="L20" s="267">
        <f>IFERROR(K20-(TBIcalc!$Q$9+TBIcalc!$Q$10),"")</f>
        <v>1.6592</v>
      </c>
      <c r="M20" s="391">
        <f>AVERAGE(Ashed_controlls!$K$2:$K$11)</f>
        <v>5.5147656768714146</v>
      </c>
      <c r="N20" s="267">
        <f t="shared" si="1"/>
        <v>1.5676990078893496</v>
      </c>
      <c r="O20" s="267">
        <f>IF(IFERROR(INDEX('Both teabags AfterDry'!$D$3:$D$900,MATCH(J20,'Both teabags AfterDry'!$A$3:$A$900,0)),"")="","",(IFERROR(INDEX('Both teabags AfterDry'!$D$3:$D$900,MATCH(J20,'Both teabags AfterDry'!$A$3:$A$900,0)),"")))</f>
        <v>1.7041999999999999</v>
      </c>
      <c r="P20" s="267">
        <f>IFERROR(IF(O20&gt;0,O20-(TBIcalc!$Q$9),""),"")</f>
        <v>1.5535999999999999</v>
      </c>
      <c r="Q20" s="278">
        <f>IFERROR(INDEX('Ashed teabags dry'!$K$2:$K$825,MATCH(J20,'Ashed teabags dry'!$A$2:$A$825,0)),"")</f>
        <v>6.0311284046705405</v>
      </c>
      <c r="R20" s="278">
        <f t="shared" si="2"/>
        <v>1.4599003891050384</v>
      </c>
      <c r="S20" s="268">
        <f>'Dry_Litterbag Placem_Collection'!E21</f>
        <v>42936</v>
      </c>
      <c r="T20" s="268">
        <f>IF('Dry_Litterbag Placem_Collection'!G21="","",'Dry_Litterbag Placem_Collection'!G21)</f>
        <v>43007</v>
      </c>
      <c r="U20" s="269">
        <f t="shared" si="0"/>
        <v>71</v>
      </c>
      <c r="V20" s="267">
        <f t="shared" si="3"/>
        <v>0.10560000000000014</v>
      </c>
      <c r="W20" s="267">
        <f t="shared" si="4"/>
        <v>0.10779861878431118</v>
      </c>
      <c r="X20" s="271">
        <f>IFERROR(INDEX(Rainfall_Dry!$O$2:$O$217,MATCH(B20, Rainfall_Dry!$A$2:$A$217,0)),"")</f>
        <v>6.900000125</v>
      </c>
      <c r="Y20" s="260">
        <v>54.080969906906262</v>
      </c>
      <c r="Z20" s="260">
        <v>21.264484651351896</v>
      </c>
      <c r="AA20" s="260">
        <v>24.654545441741845</v>
      </c>
      <c r="AB20" s="261" t="s">
        <v>2673</v>
      </c>
      <c r="AC20" s="260">
        <v>3.8433218334154802</v>
      </c>
      <c r="AD20" t="str">
        <f>IF('WetLitterbags placem_collection'!AB21="","",'WetLitterbags placem_collection'!AB21)</f>
        <v/>
      </c>
      <c r="AE20" t="str">
        <f>IF('WetLitterbags placem_collection'!Z21="","",'WetLitterbags placem_collection'!Z21)</f>
        <v/>
      </c>
      <c r="AF20" s="24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71">
        <f>IFERROR(AVERAGE('Dry_Litterbag Placem_Collection'!N21,'Dry_Litterbag Placem_Collection'!Q21),"")</f>
        <v>25.700000000000003</v>
      </c>
      <c r="AJ20" s="270">
        <f>INDEX(Coordinates!$B$2:$B$197,MATCH(G20,Coordinates!$J$2:$J$197,0))</f>
        <v>-3.3853589930000001</v>
      </c>
      <c r="AK20" s="270">
        <f>INDEX(Coordinates!$C$2:$C$197,MATCH(G20,Coordinates!$J$2:$J$197,0))</f>
        <v>34.818991969999999</v>
      </c>
      <c r="AL20" s="270" t="str">
        <f>IF(ISNUMBER(SEARCH("C", 'Dry_Litterbag Placem_Collection'!S21)),"YES","NO")</f>
        <v>NO</v>
      </c>
      <c r="AM20" s="270" t="str">
        <f>IF(ISNUMBER(SEARCH("H", 'Dry_Litterbag Placem_Collection'!S21)),"YES","NO")</f>
        <v>YES</v>
      </c>
      <c r="AN20" s="270" t="str">
        <f>IF(ISNUMBER(SEARCH("R", 'Dry_Litterbag Placem_Collection'!S21)),"YES","NO")</f>
        <v>NO</v>
      </c>
    </row>
    <row r="21" spans="1:40">
      <c r="A21" s="262" t="s">
        <v>2659</v>
      </c>
      <c r="B21" s="263">
        <f>'Dry_Litterbag Placem_Collection'!A22</f>
        <v>20</v>
      </c>
      <c r="C21" s="263" t="str">
        <f>'Dry_Litterbag Placem_Collection'!B22</f>
        <v>Makao</v>
      </c>
      <c r="D21" s="263" t="s">
        <v>2659</v>
      </c>
      <c r="E21" s="263" t="s">
        <v>2660</v>
      </c>
      <c r="F21" s="263">
        <v>3</v>
      </c>
      <c r="G21" s="264" t="str">
        <f>'Dry_Litterbag Placem_Collection'!C22</f>
        <v>Dry_Ag3_T4</v>
      </c>
      <c r="H21" s="265" t="s">
        <v>2541</v>
      </c>
      <c r="I21" s="266" t="s">
        <v>1147</v>
      </c>
      <c r="J21" s="263" t="str">
        <f>IF(ISBLANK('Dry_Litterbag Placem_Collection'!J22),"","G"&amp;""&amp;'Dry_Litterbag Placem_Collection'!J22)</f>
        <v>G38</v>
      </c>
      <c r="K21" s="267">
        <f>IFERROR(INDEX('Green_rooibos initial weight'!$C$5:$C$1749,MATCH(J21, 'Green_rooibos initial weight'!$A$5:$A$1749,0)),"")</f>
        <v>1.93</v>
      </c>
      <c r="L21" s="267">
        <f>IFERROR(K21-(TBIcalc!$Q$9+TBIcalc!$Q$10),"")</f>
        <v>1.6801999999999999</v>
      </c>
      <c r="M21" s="391">
        <f>AVERAGE(Ashed_controlls!$K$2:$K$11)</f>
        <v>5.5147656768714146</v>
      </c>
      <c r="N21" s="267">
        <f t="shared" si="1"/>
        <v>1.5875409070972064</v>
      </c>
      <c r="O21" s="267">
        <f>IF(IFERROR(INDEX('Both teabags AfterDry'!$D$3:$D$900,MATCH(J21,'Both teabags AfterDry'!$A$3:$A$900,0)),"")="","",(IFERROR(INDEX('Both teabags AfterDry'!$D$3:$D$900,MATCH(J21,'Both teabags AfterDry'!$A$3:$A$900,0)),"")))</f>
        <v>1.6738</v>
      </c>
      <c r="P21" s="267">
        <f>IFERROR(IF(O21&gt;0,O21-(TBIcalc!$Q$9),""),"")</f>
        <v>1.5231999999999999</v>
      </c>
      <c r="Q21" s="278">
        <f>IFERROR(INDEX('Ashed teabags dry'!$K$2:$K$825,MATCH(J21,'Ashed teabags dry'!$A$2:$A$825,0)),"")</f>
        <v>6.723084156088639</v>
      </c>
      <c r="R21" s="278">
        <f t="shared" si="2"/>
        <v>1.4207939821344577</v>
      </c>
      <c r="S21" s="268">
        <f>'Dry_Litterbag Placem_Collection'!E22</f>
        <v>42936</v>
      </c>
      <c r="T21" s="268">
        <f>IF('Dry_Litterbag Placem_Collection'!G22="","",'Dry_Litterbag Placem_Collection'!G22)</f>
        <v>43007</v>
      </c>
      <c r="U21" s="269">
        <f t="shared" si="0"/>
        <v>71</v>
      </c>
      <c r="V21" s="267">
        <f t="shared" si="3"/>
        <v>0.15700000000000003</v>
      </c>
      <c r="W21" s="267">
        <f t="shared" si="4"/>
        <v>0.16674692496274868</v>
      </c>
      <c r="X21" s="271">
        <f>IFERROR(INDEX(Rainfall_Dry!$O$2:$O$217,MATCH(B21, Rainfall_Dry!$A$2:$A$217,0)),"")</f>
        <v>6.900000125</v>
      </c>
      <c r="Y21" s="260">
        <v>54.080969906906262</v>
      </c>
      <c r="Z21" s="260">
        <v>21.264484651351896</v>
      </c>
      <c r="AA21" s="260">
        <v>24.654545441741845</v>
      </c>
      <c r="AB21" s="261" t="s">
        <v>2673</v>
      </c>
      <c r="AC21" s="260">
        <v>4.8433218334154802</v>
      </c>
      <c r="AD21" t="str">
        <f>IF('WetLitterbags placem_collection'!AB22="","",'WetLitterbags placem_collection'!AB22)</f>
        <v/>
      </c>
      <c r="AE21" t="str">
        <f>IF('WetLitterbags placem_collection'!Z22="","",'WetLitterbags placem_collection'!Z22)</f>
        <v/>
      </c>
      <c r="AF21" s="24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71">
        <f>IFERROR(AVERAGE('Dry_Litterbag Placem_Collection'!N22,'Dry_Litterbag Placem_Collection'!Q22),"")</f>
        <v>26.3</v>
      </c>
      <c r="AJ21" s="270">
        <f>INDEX(Coordinates!$B$2:$B$197,MATCH(G21,Coordinates!$J$2:$J$197,0))</f>
        <v>-3.3853969629999998</v>
      </c>
      <c r="AK21" s="270">
        <f>INDEX(Coordinates!$C$2:$C$197,MATCH(G21,Coordinates!$J$2:$J$197,0))</f>
        <v>34.818977969999999</v>
      </c>
      <c r="AL21" s="270" t="str">
        <f>IF(ISNUMBER(SEARCH("C", 'Dry_Litterbag Placem_Collection'!S22)),"YES","NO")</f>
        <v>NO</v>
      </c>
      <c r="AM21" s="270" t="str">
        <f>IF(ISNUMBER(SEARCH("H", 'Dry_Litterbag Placem_Collection'!S22)),"YES","NO")</f>
        <v>YES</v>
      </c>
      <c r="AN21" s="270" t="str">
        <f>IF(ISNUMBER(SEARCH("R", 'Dry_Litterbag Placem_Collection'!S22)),"YES","NO")</f>
        <v>NO</v>
      </c>
    </row>
    <row r="22" spans="1:40">
      <c r="A22" s="262" t="s">
        <v>2659</v>
      </c>
      <c r="B22" s="263">
        <f>'Dry_Litterbag Placem_Collection'!A23</f>
        <v>21</v>
      </c>
      <c r="C22" s="263" t="str">
        <f>'Dry_Litterbag Placem_Collection'!B23</f>
        <v>Makao</v>
      </c>
      <c r="D22" s="263" t="s">
        <v>2659</v>
      </c>
      <c r="E22" s="263" t="s">
        <v>2660</v>
      </c>
      <c r="F22" s="263">
        <v>3</v>
      </c>
      <c r="G22" s="264" t="str">
        <f>'Dry_Litterbag Placem_Collection'!C23</f>
        <v>Dry_Ag3_T5</v>
      </c>
      <c r="H22" s="265" t="s">
        <v>2541</v>
      </c>
      <c r="I22" s="266" t="s">
        <v>1147</v>
      </c>
      <c r="J22" s="263" t="str">
        <f>IF(ISBLANK('Dry_Litterbag Placem_Collection'!J23),"","G"&amp;""&amp;'Dry_Litterbag Placem_Collection'!J23)</f>
        <v>G468</v>
      </c>
      <c r="K22" s="267">
        <f>IFERROR(INDEX('Green_rooibos initial weight'!$C$5:$C$1749,MATCH(J22, 'Green_rooibos initial weight'!$A$5:$A$1749,0)),"")</f>
        <v>2.1309999999999998</v>
      </c>
      <c r="L22" s="267">
        <f>IFERROR(K22-(TBIcalc!$Q$9+TBIcalc!$Q$10),"")</f>
        <v>1.8811999999999998</v>
      </c>
      <c r="M22" s="391">
        <f>AVERAGE(Ashed_controlls!$K$2:$K$11)</f>
        <v>5.5147656768714146</v>
      </c>
      <c r="N22" s="267">
        <f t="shared" si="1"/>
        <v>1.7774562280866948</v>
      </c>
      <c r="O22" s="267" t="str">
        <f>IF(IFERROR(INDEX('Both teabags AfterDry'!$D$3:$D$900,MATCH(J22,'Both teabags AfterDry'!$A$3:$A$900,0)),"")="","",(IFERROR(INDEX('Both teabags AfterDry'!$D$3:$D$900,MATCH(J22,'Both teabags AfterDry'!$A$3:$A$900,0)),"")))</f>
        <v/>
      </c>
      <c r="P22" s="267" t="str">
        <f>IFERROR(IF(O22&gt;0,O22-(TBIcalc!$Q$9),""),"")</f>
        <v/>
      </c>
      <c r="Q22" s="278" t="str">
        <f>IFERROR(INDEX('Ashed teabags dry'!$K$2:$K$825,MATCH(J22,'Ashed teabags dry'!$A$2:$A$825,0)),"")</f>
        <v/>
      </c>
      <c r="R22" s="278" t="str">
        <f t="shared" si="2"/>
        <v/>
      </c>
      <c r="S22" s="268">
        <f>'Dry_Litterbag Placem_Collection'!E23</f>
        <v>42936</v>
      </c>
      <c r="T22" s="268">
        <f>IF('Dry_Litterbag Placem_Collection'!G23="","",'Dry_Litterbag Placem_Collection'!G23)</f>
        <v>43007</v>
      </c>
      <c r="U22" s="269">
        <f t="shared" si="0"/>
        <v>71</v>
      </c>
      <c r="V22" s="267" t="str">
        <f t="shared" si="3"/>
        <v/>
      </c>
      <c r="W22" s="267" t="str">
        <f t="shared" si="4"/>
        <v/>
      </c>
      <c r="X22" s="271">
        <f>IFERROR(INDEX(Rainfall_Dry!$O$2:$O$217,MATCH(B22, Rainfall_Dry!$A$2:$A$217,0)),"")</f>
        <v>6.900000125</v>
      </c>
      <c r="Y22" s="260">
        <v>54.080969906906262</v>
      </c>
      <c r="Z22" s="260">
        <v>21.264484651351896</v>
      </c>
      <c r="AA22" s="260">
        <v>24.654545441741845</v>
      </c>
      <c r="AB22" s="261" t="s">
        <v>2673</v>
      </c>
      <c r="AC22" s="260">
        <v>5.8433218334154802</v>
      </c>
      <c r="AD22" t="str">
        <f>IF('WetLitterbags placem_collection'!AB23="","",'WetLitterbags placem_collection'!AB23)</f>
        <v/>
      </c>
      <c r="AE22" t="str">
        <f>IF('WetLitterbags placem_collection'!Z23="","",'WetLitterbags placem_collection'!Z23)</f>
        <v/>
      </c>
      <c r="AF22" s="24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71">
        <f>IFERROR(AVERAGE('Dry_Litterbag Placem_Collection'!N23,'Dry_Litterbag Placem_Collection'!Q23),"")</f>
        <v>26.1</v>
      </c>
      <c r="AJ22" s="270">
        <f>INDEX(Coordinates!$B$2:$B$197,MATCH(G22,Coordinates!$J$2:$J$197,0))</f>
        <v>-3.3854019919999998</v>
      </c>
      <c r="AK22" s="270">
        <f>INDEX(Coordinates!$C$2:$C$197,MATCH(G22,Coordinates!$J$2:$J$197,0))</f>
        <v>34.81894604</v>
      </c>
      <c r="AL22" s="270" t="str">
        <f>IF(ISNUMBER(SEARCH("C", 'Dry_Litterbag Placem_Collection'!S23)),"YES","NO")</f>
        <v>NO</v>
      </c>
      <c r="AM22" s="270" t="str">
        <f>IF(ISNUMBER(SEARCH("H", 'Dry_Litterbag Placem_Collection'!S23)),"YES","NO")</f>
        <v>NO</v>
      </c>
      <c r="AN22" s="270" t="str">
        <f>IF(ISNUMBER(SEARCH("R", 'Dry_Litterbag Placem_Collection'!S23)),"YES","NO")</f>
        <v>NO</v>
      </c>
    </row>
    <row r="23" spans="1:40">
      <c r="A23" s="262" t="s">
        <v>2659</v>
      </c>
      <c r="B23" s="263">
        <f>'Dry_Litterbag Placem_Collection'!A24</f>
        <v>22</v>
      </c>
      <c r="C23" s="263" t="str">
        <f>'Dry_Litterbag Placem_Collection'!B24</f>
        <v>Makao</v>
      </c>
      <c r="D23" s="263" t="s">
        <v>2659</v>
      </c>
      <c r="E23" s="263" t="s">
        <v>2660</v>
      </c>
      <c r="F23" s="263">
        <v>3</v>
      </c>
      <c r="G23" s="264" t="str">
        <f>'Dry_Litterbag Placem_Collection'!C24</f>
        <v>Dry_Ag3_T6</v>
      </c>
      <c r="H23" s="265" t="s">
        <v>2541</v>
      </c>
      <c r="I23" s="266" t="s">
        <v>1147</v>
      </c>
      <c r="J23" s="263" t="str">
        <f>IF(ISBLANK('Dry_Litterbag Placem_Collection'!J24),"","G"&amp;""&amp;'Dry_Litterbag Placem_Collection'!J24)</f>
        <v>G8</v>
      </c>
      <c r="K23" s="267">
        <f>IFERROR(INDEX('Green_rooibos initial weight'!$C$5:$C$1749,MATCH(J23, 'Green_rooibos initial weight'!$A$5:$A$1749,0)),"")</f>
        <v>2.0209999999999999</v>
      </c>
      <c r="L23" s="267">
        <f>IFERROR(K23-(TBIcalc!$Q$9+TBIcalc!$Q$10),"")</f>
        <v>1.7711999999999999</v>
      </c>
      <c r="M23" s="391">
        <f>AVERAGE(Ashed_controlls!$K$2:$K$11)</f>
        <v>5.5147656768714146</v>
      </c>
      <c r="N23" s="267">
        <f t="shared" si="1"/>
        <v>1.6735224703312535</v>
      </c>
      <c r="O23" s="267">
        <f>IF(IFERROR(INDEX('Both teabags AfterDry'!$D$3:$D$900,MATCH(J23,'Both teabags AfterDry'!$A$3:$A$900,0)),"")="","",(IFERROR(INDEX('Both teabags AfterDry'!$D$3:$D$900,MATCH(J23,'Both teabags AfterDry'!$A$3:$A$900,0)),"")))</f>
        <v>1.4722999999999999</v>
      </c>
      <c r="P23" s="267">
        <f>IFERROR(IF(O23&gt;0,O23-(TBIcalc!$Q$9),""),"")</f>
        <v>1.3216999999999999</v>
      </c>
      <c r="Q23" s="278">
        <f>IFERROR(INDEX('Ashed teabags dry'!$K$2:$K$825,MATCH(J23,'Ashed teabags dry'!$A$2:$A$825,0)),"")</f>
        <v>8.7882822902793247</v>
      </c>
      <c r="R23" s="278">
        <f t="shared" si="2"/>
        <v>1.2055452729693781</v>
      </c>
      <c r="S23" s="268">
        <f>'Dry_Litterbag Placem_Collection'!E24</f>
        <v>42936</v>
      </c>
      <c r="T23" s="268">
        <f>IF('Dry_Litterbag Placem_Collection'!G24="","",'Dry_Litterbag Placem_Collection'!G24)</f>
        <v>43007</v>
      </c>
      <c r="U23" s="269">
        <f t="shared" si="0"/>
        <v>71</v>
      </c>
      <c r="V23" s="267">
        <f t="shared" si="3"/>
        <v>0.44950000000000001</v>
      </c>
      <c r="W23" s="267">
        <f t="shared" si="4"/>
        <v>0.46797719736187537</v>
      </c>
      <c r="X23" s="271">
        <f>IFERROR(INDEX(Rainfall_Dry!$O$2:$O$217,MATCH(B23, Rainfall_Dry!$A$2:$A$217,0)),"")</f>
        <v>6.900000125</v>
      </c>
      <c r="Y23" s="260">
        <v>54.080969906906262</v>
      </c>
      <c r="Z23" s="260">
        <v>21.264484651351896</v>
      </c>
      <c r="AA23" s="260">
        <v>24.654545441741845</v>
      </c>
      <c r="AB23" s="261" t="s">
        <v>2673</v>
      </c>
      <c r="AC23" s="260">
        <v>6.8433218334154802</v>
      </c>
      <c r="AD23" t="str">
        <f>IF('WetLitterbags placem_collection'!AB24="","",'WetLitterbags placem_collection'!AB24)</f>
        <v/>
      </c>
      <c r="AE23" t="str">
        <f>IF('WetLitterbags placem_collection'!Z24="","",'WetLitterbags placem_collection'!Z24)</f>
        <v/>
      </c>
      <c r="AF23" s="24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71">
        <f>IFERROR(AVERAGE('Dry_Litterbag Placem_Collection'!N24,'Dry_Litterbag Placem_Collection'!Q24),"")</f>
        <v>25.75</v>
      </c>
      <c r="AJ23" s="270">
        <f>INDEX(Coordinates!$B$2:$B$197,MATCH(G23,Coordinates!$J$2:$J$197,0))</f>
        <v>-3.3854470029999999</v>
      </c>
      <c r="AK23" s="270">
        <f>INDEX(Coordinates!$C$2:$C$197,MATCH(G23,Coordinates!$J$2:$J$197,0))</f>
        <v>34.818946959999998</v>
      </c>
      <c r="AL23" s="270" t="str">
        <f>IF(ISNUMBER(SEARCH("C", 'Dry_Litterbag Placem_Collection'!S24)),"YES","NO")</f>
        <v>NO</v>
      </c>
      <c r="AM23" s="270" t="str">
        <f>IF(ISNUMBER(SEARCH("H", 'Dry_Litterbag Placem_Collection'!S24)),"YES","NO")</f>
        <v>NO</v>
      </c>
      <c r="AN23" s="270" t="str">
        <f>IF(ISNUMBER(SEARCH("R", 'Dry_Litterbag Placem_Collection'!S24)),"YES","NO")</f>
        <v>NO</v>
      </c>
    </row>
    <row r="24" spans="1:40">
      <c r="A24" s="262" t="s">
        <v>2659</v>
      </c>
      <c r="B24" s="263">
        <f>'Dry_Litterbag Placem_Collection'!A25</f>
        <v>23</v>
      </c>
      <c r="C24" s="263" t="str">
        <f>'Dry_Litterbag Placem_Collection'!B25</f>
        <v>Makao</v>
      </c>
      <c r="D24" s="263" t="s">
        <v>2659</v>
      </c>
      <c r="E24" s="263" t="s">
        <v>2660</v>
      </c>
      <c r="F24" s="263">
        <v>3</v>
      </c>
      <c r="G24" s="264" t="str">
        <f>'Dry_Litterbag Placem_Collection'!C25</f>
        <v>Dry_Ag3_T7</v>
      </c>
      <c r="H24" s="265" t="s">
        <v>2541</v>
      </c>
      <c r="I24" s="266" t="s">
        <v>1147</v>
      </c>
      <c r="J24" s="263" t="str">
        <f>IF(ISBLANK('Dry_Litterbag Placem_Collection'!J25),"","G"&amp;""&amp;'Dry_Litterbag Placem_Collection'!J25)</f>
        <v/>
      </c>
      <c r="K24" s="267" t="str">
        <f>IFERROR(INDEX('Green_rooibos initial weight'!$C$5:$C$1749,MATCH(J24, 'Green_rooibos initial weight'!$A$5:$A$1749,0)),"")</f>
        <v/>
      </c>
      <c r="L24" s="267" t="str">
        <f>IFERROR(K24-(TBIcalc!$Q$9+TBIcalc!$Q$10),"")</f>
        <v/>
      </c>
      <c r="M24" s="391">
        <f>AVERAGE(Ashed_controlls!$K$2:$K$11)</f>
        <v>5.5147656768714146</v>
      </c>
      <c r="N24" s="267" t="str">
        <f t="shared" si="1"/>
        <v/>
      </c>
      <c r="O24" s="267" t="str">
        <f>IF(IFERROR(INDEX('Both teabags AfterDry'!$D$3:$D$900,MATCH(J24,'Both teabags AfterDry'!$A$3:$A$900,0)),"")="","",(IFERROR(INDEX('Both teabags AfterDry'!$D$3:$D$900,MATCH(J24,'Both teabags AfterDry'!$A$3:$A$900,0)),"")))</f>
        <v/>
      </c>
      <c r="P24" s="267" t="str">
        <f>IFERROR(IF(O24&gt;0,O24-(TBIcalc!$Q$9),""),"")</f>
        <v/>
      </c>
      <c r="Q24" s="278" t="str">
        <f>IFERROR(INDEX('Ashed teabags dry'!$K$2:$K$825,MATCH(J24,'Ashed teabags dry'!$A$2:$A$825,0)),"")</f>
        <v/>
      </c>
      <c r="R24" s="278" t="str">
        <f t="shared" si="2"/>
        <v/>
      </c>
      <c r="S24" s="268">
        <f>'Dry_Litterbag Placem_Collection'!E25</f>
        <v>0</v>
      </c>
      <c r="T24" s="268" t="str">
        <f>IF('Dry_Litterbag Placem_Collection'!G25="","",'Dry_Litterbag Placem_Collection'!G25)</f>
        <v/>
      </c>
      <c r="U24" s="269" t="str">
        <f t="shared" si="0"/>
        <v/>
      </c>
      <c r="V24" s="267" t="str">
        <f t="shared" si="3"/>
        <v/>
      </c>
      <c r="W24" s="267" t="str">
        <f t="shared" si="4"/>
        <v/>
      </c>
      <c r="X24" s="271" t="str">
        <f>IFERROR(INDEX(Rainfall_Dry!$O$2:$O$217,MATCH(B24, Rainfall_Dry!$A$2:$A$217,0)),"")</f>
        <v/>
      </c>
      <c r="Y24" s="260">
        <v>54.080969906906262</v>
      </c>
      <c r="Z24" s="260">
        <v>21.264484651351896</v>
      </c>
      <c r="AA24" s="260">
        <v>24.654545441741845</v>
      </c>
      <c r="AB24" s="261" t="s">
        <v>2673</v>
      </c>
      <c r="AC24" s="260">
        <v>7.8433218334154802</v>
      </c>
      <c r="AD24" t="str">
        <f>IF('WetLitterbags placem_collection'!AB25="","",'WetLitterbags placem_collection'!AB25)</f>
        <v/>
      </c>
      <c r="AE24" t="str">
        <f>IF('WetLitterbags placem_collection'!Z25="","",'WetLitterbags placem_collection'!Z25)</f>
        <v/>
      </c>
      <c r="AF24" s="24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71" t="str">
        <f>IFERROR(AVERAGE('Dry_Litterbag Placem_Collection'!N25,'Dry_Litterbag Placem_Collection'!Q25),"")</f>
        <v/>
      </c>
      <c r="AJ24" s="270">
        <f>INDEX(Coordinates!$B$2:$B$197,MATCH(G24,Coordinates!$J$2:$J$197,0))</f>
        <v>-3.3854200130000001</v>
      </c>
      <c r="AK24" s="270">
        <f>INDEX(Coordinates!$C$2:$C$197,MATCH(G24,Coordinates!$J$2:$J$197,0))</f>
        <v>34.818856019999998</v>
      </c>
      <c r="AL24" s="270" t="str">
        <f>IF(ISNUMBER(SEARCH("C", 'Dry_Litterbag Placem_Collection'!S25)),"YES","NO")</f>
        <v>NO</v>
      </c>
      <c r="AM24" s="270" t="str">
        <f>IF(ISNUMBER(SEARCH("H", 'Dry_Litterbag Placem_Collection'!S25)),"YES","NO")</f>
        <v>NO</v>
      </c>
      <c r="AN24" s="270" t="str">
        <f>IF(ISNUMBER(SEARCH("R", 'Dry_Litterbag Placem_Collection'!S25)),"YES","NO")</f>
        <v>NO</v>
      </c>
    </row>
    <row r="25" spans="1:40">
      <c r="A25" s="262" t="s">
        <v>2659</v>
      </c>
      <c r="B25" s="263">
        <f>'Dry_Litterbag Placem_Collection'!A26</f>
        <v>24</v>
      </c>
      <c r="C25" s="263" t="str">
        <f>'Dry_Litterbag Placem_Collection'!B26</f>
        <v>Makao</v>
      </c>
      <c r="D25" s="263" t="s">
        <v>2659</v>
      </c>
      <c r="E25" s="263" t="s">
        <v>2660</v>
      </c>
      <c r="F25" s="263">
        <v>3</v>
      </c>
      <c r="G25" s="264" t="str">
        <f>'Dry_Litterbag Placem_Collection'!C26</f>
        <v>Dry_Ag3_T8</v>
      </c>
      <c r="H25" s="265" t="s">
        <v>2541</v>
      </c>
      <c r="I25" s="266" t="s">
        <v>1147</v>
      </c>
      <c r="J25" s="263" t="str">
        <f>IF(ISBLANK('Dry_Litterbag Placem_Collection'!J26),"","G"&amp;""&amp;'Dry_Litterbag Placem_Collection'!J26)</f>
        <v>G320</v>
      </c>
      <c r="K25" s="267">
        <f>IFERROR(INDEX('Green_rooibos initial weight'!$C$5:$C$1749,MATCH(J25, 'Green_rooibos initial weight'!$A$5:$A$1749,0)),"")</f>
        <v>2.044</v>
      </c>
      <c r="L25" s="267">
        <f>IFERROR(K25-(TBIcalc!$Q$9+TBIcalc!$Q$10),"")</f>
        <v>1.7942</v>
      </c>
      <c r="M25" s="391">
        <f>AVERAGE(Ashed_controlls!$K$2:$K$11)</f>
        <v>5.5147656768714146</v>
      </c>
      <c r="N25" s="267">
        <f t="shared" si="1"/>
        <v>1.6952540742255731</v>
      </c>
      <c r="O25" s="267">
        <f>IF(IFERROR(INDEX('Both teabags AfterDry'!$D$3:$D$900,MATCH(J25,'Both teabags AfterDry'!$A$3:$A$900,0)),"")="","",(IFERROR(INDEX('Both teabags AfterDry'!$D$3:$D$900,MATCH(J25,'Both teabags AfterDry'!$A$3:$A$900,0)),"")))</f>
        <v>1.7525999999999999</v>
      </c>
      <c r="P25" s="267">
        <f>IFERROR(IF(O25&gt;0,O25-(TBIcalc!$Q$9),""),"")</f>
        <v>1.6019999999999999</v>
      </c>
      <c r="Q25" s="278">
        <f>IFERROR(INDEX('Ashed teabags dry'!$K$2:$K$825,MATCH(J25,'Ashed teabags dry'!$A$2:$A$825,0)),"")</f>
        <v>6.2730627306273838</v>
      </c>
      <c r="R25" s="278">
        <f t="shared" si="2"/>
        <v>1.5015055350553492</v>
      </c>
      <c r="S25" s="268">
        <f>'Dry_Litterbag Placem_Collection'!E26</f>
        <v>42936</v>
      </c>
      <c r="T25" s="268">
        <f>IF('Dry_Litterbag Placem_Collection'!G26="","",'Dry_Litterbag Placem_Collection'!G26)</f>
        <v>43007</v>
      </c>
      <c r="U25" s="269">
        <f t="shared" si="0"/>
        <v>71</v>
      </c>
      <c r="V25" s="267">
        <f t="shared" si="3"/>
        <v>0.19220000000000015</v>
      </c>
      <c r="W25" s="267">
        <f t="shared" si="4"/>
        <v>0.19374853917022383</v>
      </c>
      <c r="X25" s="271">
        <f>IFERROR(INDEX(Rainfall_Dry!$O$2:$O$217,MATCH(B25, Rainfall_Dry!$A$2:$A$217,0)),"")</f>
        <v>6.900000125</v>
      </c>
      <c r="Y25" s="260">
        <v>54.080969906906262</v>
      </c>
      <c r="Z25" s="260">
        <v>21.264484651351896</v>
      </c>
      <c r="AA25" s="260">
        <v>24.654545441741845</v>
      </c>
      <c r="AB25" s="261" t="s">
        <v>2673</v>
      </c>
      <c r="AC25" s="260">
        <v>8.8433218334154695</v>
      </c>
      <c r="AD25" t="str">
        <f>IF('WetLitterbags placem_collection'!AB26="","",'WetLitterbags placem_collection'!AB26)</f>
        <v/>
      </c>
      <c r="AE25" t="str">
        <f>IF('WetLitterbags placem_collection'!Z26="","",'WetLitterbags placem_collection'!Z26)</f>
        <v/>
      </c>
      <c r="AF25" s="24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71">
        <f>IFERROR(AVERAGE('Dry_Litterbag Placem_Collection'!N26,'Dry_Litterbag Placem_Collection'!Q26),"")</f>
        <v>25.5</v>
      </c>
      <c r="AJ25" s="270">
        <f>INDEX(Coordinates!$B$2:$B$197,MATCH(G25,Coordinates!$J$2:$J$197,0))</f>
        <v>-3.3853829649999998</v>
      </c>
      <c r="AK25" s="270">
        <f>INDEX(Coordinates!$C$2:$C$197,MATCH(G25,Coordinates!$J$2:$J$197,0))</f>
        <v>34.818877980000003</v>
      </c>
      <c r="AL25" s="270" t="str">
        <f>IF(ISNUMBER(SEARCH("C", 'Dry_Litterbag Placem_Collection'!S26)),"YES","NO")</f>
        <v>NO</v>
      </c>
      <c r="AM25" s="270" t="str">
        <f>IF(ISNUMBER(SEARCH("H", 'Dry_Litterbag Placem_Collection'!S26)),"YES","NO")</f>
        <v>NO</v>
      </c>
      <c r="AN25" s="270" t="str">
        <f>IF(ISNUMBER(SEARCH("R", 'Dry_Litterbag Placem_Collection'!S26)),"YES","NO")</f>
        <v>NO</v>
      </c>
    </row>
    <row r="26" spans="1:40">
      <c r="A26" s="262" t="s">
        <v>2659</v>
      </c>
      <c r="B26" s="263">
        <f>'Dry_Litterbag Placem_Collection'!A27</f>
        <v>25</v>
      </c>
      <c r="C26" s="263" t="str">
        <f>'Dry_Litterbag Placem_Collection'!B27</f>
        <v>Makao</v>
      </c>
      <c r="D26" s="263" t="s">
        <v>2659</v>
      </c>
      <c r="E26" s="263" t="s">
        <v>2660</v>
      </c>
      <c r="F26" s="263">
        <v>4</v>
      </c>
      <c r="G26" s="264" t="str">
        <f>'Dry_Litterbag Placem_Collection'!C27</f>
        <v>Dry_Ag4_T1</v>
      </c>
      <c r="H26" s="265" t="s">
        <v>2541</v>
      </c>
      <c r="I26" s="266" t="s">
        <v>1147</v>
      </c>
      <c r="J26" s="263" t="str">
        <f>IF(ISBLANK('Dry_Litterbag Placem_Collection'!J27),"","G"&amp;""&amp;'Dry_Litterbag Placem_Collection'!J27)</f>
        <v>G322</v>
      </c>
      <c r="K26" s="267">
        <f>IFERROR(INDEX('Green_rooibos initial weight'!$C$5:$C$1749,MATCH(J26, 'Green_rooibos initial weight'!$A$5:$A$1749,0)),"")</f>
        <v>2.0169999999999999</v>
      </c>
      <c r="L26" s="267">
        <f>IFERROR(K26-(TBIcalc!$Q$9+TBIcalc!$Q$10),"")</f>
        <v>1.7671999999999999</v>
      </c>
      <c r="M26" s="391">
        <f>AVERAGE(Ashed_controlls!$K$2:$K$11)</f>
        <v>5.5147656768714146</v>
      </c>
      <c r="N26" s="267">
        <f t="shared" si="1"/>
        <v>1.6697430609583281</v>
      </c>
      <c r="O26" s="267">
        <f>IF(IFERROR(INDEX('Both teabags AfterDry'!$D$3:$D$900,MATCH(J26,'Both teabags AfterDry'!$A$3:$A$900,0)),"")="","",(IFERROR(INDEX('Both teabags AfterDry'!$D$3:$D$900,MATCH(J26,'Both teabags AfterDry'!$A$3:$A$900,0)),"")))</f>
        <v>1.8697999999999999</v>
      </c>
      <c r="P26" s="267">
        <f>IFERROR(IF(O26&gt;0,O26-(TBIcalc!$Q$9),""),"")</f>
        <v>1.7191999999999998</v>
      </c>
      <c r="Q26" s="278">
        <f>IFERROR(INDEX('Ashed teabags dry'!$K$2:$K$825,MATCH(J26,'Ashed teabags dry'!$A$2:$A$825,0)),"")</f>
        <v>6.1076102762959152</v>
      </c>
      <c r="R26" s="278">
        <f t="shared" si="2"/>
        <v>1.6141979641299204</v>
      </c>
      <c r="S26" s="268">
        <f>'Dry_Litterbag Placem_Collection'!E27</f>
        <v>42936</v>
      </c>
      <c r="T26" s="268">
        <f>IF('Dry_Litterbag Placem_Collection'!G27="","",'Dry_Litterbag Placem_Collection'!G27)</f>
        <v>43007</v>
      </c>
      <c r="U26" s="269">
        <f t="shared" si="0"/>
        <v>71</v>
      </c>
      <c r="V26" s="267">
        <f t="shared" si="3"/>
        <v>4.8000000000000043E-2</v>
      </c>
      <c r="W26" s="267">
        <f t="shared" si="4"/>
        <v>5.5545096828407692E-2</v>
      </c>
      <c r="X26" s="271">
        <f>IFERROR(INDEX(Rainfall_Dry!$O$2:$O$217,MATCH(B26, Rainfall_Dry!$A$2:$A$217,0)),"")</f>
        <v>6.900000125</v>
      </c>
      <c r="Y26" s="260">
        <v>51.960000000000008</v>
      </c>
      <c r="Z26" s="260">
        <v>18.919999999999995</v>
      </c>
      <c r="AA26" s="260">
        <v>29.120000000000005</v>
      </c>
      <c r="AB26" s="261" t="s">
        <v>2673</v>
      </c>
      <c r="AC26" s="260">
        <v>1.85293247905372</v>
      </c>
      <c r="AD26" t="str">
        <f>IF('WetLitterbags placem_collection'!AB27="","",'WetLitterbags placem_collection'!AB27)</f>
        <v/>
      </c>
      <c r="AE26" t="str">
        <f>IF('WetLitterbags placem_collection'!Z27="","",'WetLitterbags placem_collection'!Z27)</f>
        <v/>
      </c>
      <c r="AF26" s="24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71">
        <f>IFERROR(AVERAGE('Dry_Litterbag Placem_Collection'!N27,'Dry_Litterbag Placem_Collection'!Q27),"")</f>
        <v>25.4</v>
      </c>
      <c r="AJ26" s="270">
        <f>INDEX(Coordinates!$B$2:$B$197,MATCH(G26,Coordinates!$J$2:$J$197,0))</f>
        <v>-3.3849129919999998</v>
      </c>
      <c r="AK26" s="270">
        <f>INDEX(Coordinates!$C$2:$C$197,MATCH(G26,Coordinates!$J$2:$J$197,0))</f>
        <v>34.818899020000003</v>
      </c>
      <c r="AL26" s="270" t="str">
        <f>IF(ISNUMBER(SEARCH("C", 'Dry_Litterbag Placem_Collection'!S27)),"YES","NO")</f>
        <v>NO</v>
      </c>
      <c r="AM26" s="270" t="str">
        <f>IF(ISNUMBER(SEARCH("H", 'Dry_Litterbag Placem_Collection'!S27)),"YES","NO")</f>
        <v>NO</v>
      </c>
      <c r="AN26" s="270" t="str">
        <f>IF(ISNUMBER(SEARCH("R", 'Dry_Litterbag Placem_Collection'!S27)),"YES","NO")</f>
        <v>NO</v>
      </c>
    </row>
    <row r="27" spans="1:40">
      <c r="A27" s="262" t="s">
        <v>2659</v>
      </c>
      <c r="B27" s="263">
        <f>'Dry_Litterbag Placem_Collection'!A28</f>
        <v>26</v>
      </c>
      <c r="C27" s="263" t="str">
        <f>'Dry_Litterbag Placem_Collection'!B28</f>
        <v>Makao</v>
      </c>
      <c r="D27" s="263" t="s">
        <v>2659</v>
      </c>
      <c r="E27" s="263" t="s">
        <v>2660</v>
      </c>
      <c r="F27" s="263">
        <v>4</v>
      </c>
      <c r="G27" s="264" t="str">
        <f>'Dry_Litterbag Placem_Collection'!C28</f>
        <v>Dry_Ag4_T2</v>
      </c>
      <c r="H27" s="265" t="s">
        <v>2541</v>
      </c>
      <c r="I27" s="266" t="s">
        <v>1147</v>
      </c>
      <c r="J27" s="263" t="str">
        <f>IF(ISBLANK('Dry_Litterbag Placem_Collection'!J28),"","G"&amp;""&amp;'Dry_Litterbag Placem_Collection'!J28)</f>
        <v>G58</v>
      </c>
      <c r="K27" s="267">
        <f>IFERROR(INDEX('Green_rooibos initial weight'!$C$5:$C$1749,MATCH(J27, 'Green_rooibos initial weight'!$A$5:$A$1749,0)),"")</f>
        <v>1.9370000000000001</v>
      </c>
      <c r="L27" s="267">
        <f>IFERROR(K27-(TBIcalc!$Q$9+TBIcalc!$Q$10),"")</f>
        <v>1.6872</v>
      </c>
      <c r="M27" s="391">
        <f>AVERAGE(Ashed_controlls!$K$2:$K$11)</f>
        <v>5.5147656768714146</v>
      </c>
      <c r="N27" s="267">
        <f t="shared" si="1"/>
        <v>1.5941548734998254</v>
      </c>
      <c r="O27" s="267">
        <f>IF(IFERROR(INDEX('Both teabags AfterDry'!$D$3:$D$900,MATCH(J27,'Both teabags AfterDry'!$A$3:$A$900,0)),"")="","",(IFERROR(INDEX('Both teabags AfterDry'!$D$3:$D$900,MATCH(J27,'Both teabags AfterDry'!$A$3:$A$900,0)),"")))</f>
        <v>1.7357</v>
      </c>
      <c r="P27" s="267">
        <f>IFERROR(IF(O27&gt;0,O27-(TBIcalc!$Q$9),""),"")</f>
        <v>1.5851</v>
      </c>
      <c r="Q27" s="278">
        <f>IFERROR(INDEX('Ashed teabags dry'!$K$2:$K$825,MATCH(J27,'Ashed teabags dry'!$A$2:$A$825,0)),"")</f>
        <v>5.724049551473775</v>
      </c>
      <c r="R27" s="278">
        <f t="shared" si="2"/>
        <v>1.4943680905595891</v>
      </c>
      <c r="S27" s="268">
        <f>'Dry_Litterbag Placem_Collection'!E28</f>
        <v>42936</v>
      </c>
      <c r="T27" s="268">
        <f>IF('Dry_Litterbag Placem_Collection'!G28="","",'Dry_Litterbag Placem_Collection'!G28)</f>
        <v>43007</v>
      </c>
      <c r="U27" s="269">
        <f t="shared" si="0"/>
        <v>71</v>
      </c>
      <c r="V27" s="267">
        <f t="shared" si="3"/>
        <v>0.10210000000000008</v>
      </c>
      <c r="W27" s="267">
        <f t="shared" si="4"/>
        <v>9.9786782940236352E-2</v>
      </c>
      <c r="X27" s="271">
        <f>IFERROR(INDEX(Rainfall_Dry!$O$2:$O$217,MATCH(B27, Rainfall_Dry!$A$2:$A$217,0)),"")</f>
        <v>6.900000125</v>
      </c>
      <c r="Y27" s="260">
        <v>51.960000000000008</v>
      </c>
      <c r="Z27" s="260">
        <v>18.919999999999995</v>
      </c>
      <c r="AA27" s="260">
        <v>29.120000000000005</v>
      </c>
      <c r="AB27" s="261" t="s">
        <v>2673</v>
      </c>
      <c r="AC27" s="260">
        <v>2.8529324790537198</v>
      </c>
      <c r="AD27" t="str">
        <f>IF('WetLitterbags placem_collection'!AB28="","",'WetLitterbags placem_collection'!AB28)</f>
        <v/>
      </c>
      <c r="AE27" t="str">
        <f>IF('WetLitterbags placem_collection'!Z28="","",'WetLitterbags placem_collection'!Z28)</f>
        <v/>
      </c>
      <c r="AF27" s="24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71">
        <f>IFERROR(AVERAGE('Dry_Litterbag Placem_Collection'!N28,'Dry_Litterbag Placem_Collection'!Q28),"")</f>
        <v>25.85</v>
      </c>
      <c r="AJ27" s="270">
        <f>INDEX(Coordinates!$B$2:$B$197,MATCH(G27,Coordinates!$J$2:$J$197,0))</f>
        <v>-3.3849689999999999</v>
      </c>
      <c r="AK27" s="270">
        <f>INDEX(Coordinates!$C$2:$C$197,MATCH(G27,Coordinates!$J$2:$J$197,0))</f>
        <v>34.818908</v>
      </c>
      <c r="AL27" s="270" t="str">
        <f>IF(ISNUMBER(SEARCH("C", 'Dry_Litterbag Placem_Collection'!S28)),"YES","NO")</f>
        <v>NO</v>
      </c>
      <c r="AM27" s="270" t="str">
        <f>IF(ISNUMBER(SEARCH("H", 'Dry_Litterbag Placem_Collection'!S28)),"YES","NO")</f>
        <v>NO</v>
      </c>
      <c r="AN27" s="270" t="str">
        <f>IF(ISNUMBER(SEARCH("R", 'Dry_Litterbag Placem_Collection'!S28)),"YES","NO")</f>
        <v>NO</v>
      </c>
    </row>
    <row r="28" spans="1:40">
      <c r="A28" s="262" t="s">
        <v>2659</v>
      </c>
      <c r="B28" s="263">
        <f>'Dry_Litterbag Placem_Collection'!A29</f>
        <v>27</v>
      </c>
      <c r="C28" s="263" t="str">
        <f>'Dry_Litterbag Placem_Collection'!B29</f>
        <v>Makao</v>
      </c>
      <c r="D28" s="263" t="s">
        <v>2659</v>
      </c>
      <c r="E28" s="263" t="s">
        <v>2660</v>
      </c>
      <c r="F28" s="263">
        <v>4</v>
      </c>
      <c r="G28" s="264" t="str">
        <f>'Dry_Litterbag Placem_Collection'!C29</f>
        <v>Dry_Ag4_T3</v>
      </c>
      <c r="H28" s="265" t="s">
        <v>2541</v>
      </c>
      <c r="I28" s="266" t="s">
        <v>1147</v>
      </c>
      <c r="J28" s="263" t="str">
        <f>IF(ISBLANK('Dry_Litterbag Placem_Collection'!J29),"","G"&amp;""&amp;'Dry_Litterbag Placem_Collection'!J29)</f>
        <v>G340</v>
      </c>
      <c r="K28" s="267">
        <f>IFERROR(INDEX('Green_rooibos initial weight'!$C$5:$C$1749,MATCH(J28, 'Green_rooibos initial weight'!$A$5:$A$1749,0)),"")</f>
        <v>2.0150000000000001</v>
      </c>
      <c r="L28" s="267">
        <f>IFERROR(K28-(TBIcalc!$Q$9+TBIcalc!$Q$10),"")</f>
        <v>1.7652000000000001</v>
      </c>
      <c r="M28" s="391">
        <f>AVERAGE(Ashed_controlls!$K$2:$K$11)</f>
        <v>5.5147656768714146</v>
      </c>
      <c r="N28" s="267">
        <f t="shared" si="1"/>
        <v>1.6678533562718658</v>
      </c>
      <c r="O28" s="267" t="str">
        <f>IF(IFERROR(INDEX('Both teabags AfterDry'!$D$3:$D$900,MATCH(J28,'Both teabags AfterDry'!$A$3:$A$900,0)),"")="","",(IFERROR(INDEX('Both teabags AfterDry'!$D$3:$D$900,MATCH(J28,'Both teabags AfterDry'!$A$3:$A$900,0)),"")))</f>
        <v/>
      </c>
      <c r="P28" s="267" t="str">
        <f>IFERROR(IF(O28&gt;0,O28-(TBIcalc!$Q$9),""),"")</f>
        <v/>
      </c>
      <c r="Q28" s="278" t="str">
        <f>IFERROR(INDEX('Ashed teabags dry'!$K$2:$K$825,MATCH(J28,'Ashed teabags dry'!$A$2:$A$825,0)),"")</f>
        <v/>
      </c>
      <c r="R28" s="278" t="str">
        <f t="shared" si="2"/>
        <v/>
      </c>
      <c r="S28" s="268">
        <f>'Dry_Litterbag Placem_Collection'!E29</f>
        <v>42936</v>
      </c>
      <c r="T28" s="268">
        <f>IF('Dry_Litterbag Placem_Collection'!G29="","",'Dry_Litterbag Placem_Collection'!G29)</f>
        <v>43007</v>
      </c>
      <c r="U28" s="269">
        <f t="shared" si="0"/>
        <v>71</v>
      </c>
      <c r="V28" s="267" t="str">
        <f t="shared" si="3"/>
        <v/>
      </c>
      <c r="W28" s="267" t="str">
        <f t="shared" si="4"/>
        <v/>
      </c>
      <c r="X28" s="271">
        <f>IFERROR(INDEX(Rainfall_Dry!$O$2:$O$217,MATCH(B28, Rainfall_Dry!$A$2:$A$217,0)),"")</f>
        <v>6.900000125</v>
      </c>
      <c r="Y28" s="260">
        <v>51.960000000000008</v>
      </c>
      <c r="Z28" s="260">
        <v>18.919999999999995</v>
      </c>
      <c r="AA28" s="260">
        <v>29.120000000000005</v>
      </c>
      <c r="AB28" s="261" t="s">
        <v>2673</v>
      </c>
      <c r="AC28" s="260">
        <v>3.8529324790537198</v>
      </c>
      <c r="AD28" t="str">
        <f>IF('WetLitterbags placem_collection'!AB29="","",'WetLitterbags placem_collection'!AB29)</f>
        <v/>
      </c>
      <c r="AE28" t="str">
        <f>IF('WetLitterbags placem_collection'!Z29="","",'WetLitterbags placem_collection'!Z29)</f>
        <v/>
      </c>
      <c r="AF28" s="24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71">
        <f>IFERROR(AVERAGE('Dry_Litterbag Placem_Collection'!N29,'Dry_Litterbag Placem_Collection'!Q29),"")</f>
        <v>26.15</v>
      </c>
      <c r="AJ28" s="270">
        <f>INDEX(Coordinates!$B$2:$B$197,MATCH(G28,Coordinates!$J$2:$J$197,0))</f>
        <v>-3.3849350359999999</v>
      </c>
      <c r="AK28" s="270">
        <f>INDEX(Coordinates!$C$2:$C$197,MATCH(G28,Coordinates!$J$2:$J$197,0))</f>
        <v>34.818943019999999</v>
      </c>
      <c r="AL28" s="270" t="str">
        <f>IF(ISNUMBER(SEARCH("C", 'Dry_Litterbag Placem_Collection'!S29)),"YES","NO")</f>
        <v>NO</v>
      </c>
      <c r="AM28" s="270" t="str">
        <f>IF(ISNUMBER(SEARCH("H", 'Dry_Litterbag Placem_Collection'!S29)),"YES","NO")</f>
        <v>NO</v>
      </c>
      <c r="AN28" s="270" t="str">
        <f>IF(ISNUMBER(SEARCH("R", 'Dry_Litterbag Placem_Collection'!S29)),"YES","NO")</f>
        <v>NO</v>
      </c>
    </row>
    <row r="29" spans="1:40">
      <c r="A29" s="262" t="s">
        <v>2659</v>
      </c>
      <c r="B29" s="263">
        <f>'Dry_Litterbag Placem_Collection'!A30</f>
        <v>28</v>
      </c>
      <c r="C29" s="263" t="str">
        <f>'Dry_Litterbag Placem_Collection'!B30</f>
        <v>Makao</v>
      </c>
      <c r="D29" s="263" t="s">
        <v>2659</v>
      </c>
      <c r="E29" s="263" t="s">
        <v>2660</v>
      </c>
      <c r="F29" s="263">
        <v>4</v>
      </c>
      <c r="G29" s="264" t="str">
        <f>'Dry_Litterbag Placem_Collection'!C30</f>
        <v>Dry_Ag4_T4</v>
      </c>
      <c r="H29" s="265" t="s">
        <v>2541</v>
      </c>
      <c r="I29" s="266" t="s">
        <v>1147</v>
      </c>
      <c r="J29" s="263" t="str">
        <f>IF(ISBLANK('Dry_Litterbag Placem_Collection'!J30),"","G"&amp;""&amp;'Dry_Litterbag Placem_Collection'!J30)</f>
        <v>G61</v>
      </c>
      <c r="K29" s="267">
        <f>IFERROR(INDEX('Green_rooibos initial weight'!$C$5:$C$1749,MATCH(J29, 'Green_rooibos initial weight'!$A$5:$A$1749,0)),"")</f>
        <v>1.88</v>
      </c>
      <c r="L29" s="267">
        <f>IFERROR(K29-(TBIcalc!$Q$9+TBIcalc!$Q$10),"")</f>
        <v>1.6301999999999999</v>
      </c>
      <c r="M29" s="391">
        <f>AVERAGE(Ashed_controlls!$K$2:$K$11)</f>
        <v>5.5147656768714146</v>
      </c>
      <c r="N29" s="267">
        <f t="shared" si="1"/>
        <v>1.5402982899356421</v>
      </c>
      <c r="O29" s="267">
        <f>IF(IFERROR(INDEX('Both teabags AfterDry'!$D$3:$D$900,MATCH(J29,'Both teabags AfterDry'!$A$3:$A$900,0)),"")="","",(IFERROR(INDEX('Both teabags AfterDry'!$D$3:$D$900,MATCH(J29,'Both teabags AfterDry'!$A$3:$A$900,0)),"")))</f>
        <v>1.4991000000000001</v>
      </c>
      <c r="P29" s="267">
        <f>IFERROR(IF(O29&gt;0,O29-(TBIcalc!$Q$9),""),"")</f>
        <v>1.3485</v>
      </c>
      <c r="Q29" s="278">
        <f>IFERROR(INDEX('Ashed teabags dry'!$K$2:$K$825,MATCH(J29,'Ashed teabags dry'!$A$2:$A$825,0)),"")</f>
        <v>6.888472352389627</v>
      </c>
      <c r="R29" s="278">
        <f t="shared" si="2"/>
        <v>1.2556089503280259</v>
      </c>
      <c r="S29" s="268">
        <f>'Dry_Litterbag Placem_Collection'!E30</f>
        <v>42936</v>
      </c>
      <c r="T29" s="268">
        <f>IF('Dry_Litterbag Placem_Collection'!G30="","",'Dry_Litterbag Placem_Collection'!G30)</f>
        <v>43007</v>
      </c>
      <c r="U29" s="269">
        <f t="shared" si="0"/>
        <v>71</v>
      </c>
      <c r="V29" s="267">
        <f t="shared" si="3"/>
        <v>0.28169999999999984</v>
      </c>
      <c r="W29" s="267">
        <f t="shared" si="4"/>
        <v>0.28468933960761622</v>
      </c>
      <c r="X29" s="271">
        <f>IFERROR(INDEX(Rainfall_Dry!$O$2:$O$217,MATCH(B29, Rainfall_Dry!$A$2:$A$217,0)),"")</f>
        <v>6.900000125</v>
      </c>
      <c r="Y29" s="260">
        <v>51.960000000000008</v>
      </c>
      <c r="Z29" s="260">
        <v>18.919999999999995</v>
      </c>
      <c r="AA29" s="260">
        <v>29.120000000000005</v>
      </c>
      <c r="AB29" s="261" t="s">
        <v>2673</v>
      </c>
      <c r="AC29" s="260">
        <v>4.8529324790537203</v>
      </c>
      <c r="AD29" t="str">
        <f>IF('WetLitterbags placem_collection'!AB30="","",'WetLitterbags placem_collection'!AB30)</f>
        <v/>
      </c>
      <c r="AE29" t="str">
        <f>IF('WetLitterbags placem_collection'!Z30="","",'WetLitterbags placem_collection'!Z30)</f>
        <v/>
      </c>
      <c r="AF29" s="24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71">
        <f>IFERROR(AVERAGE('Dry_Litterbag Placem_Collection'!N30,'Dry_Litterbag Placem_Collection'!Q30),"")</f>
        <v>25.700000000000003</v>
      </c>
      <c r="AJ29" s="270">
        <f>INDEX(Coordinates!$B$2:$B$197,MATCH(G29,Coordinates!$J$2:$J$197,0))</f>
        <v>-3.3850070369999998</v>
      </c>
      <c r="AK29" s="270">
        <f>INDEX(Coordinates!$C$2:$C$197,MATCH(G29,Coordinates!$J$2:$J$197,0))</f>
        <v>34.818888960000002</v>
      </c>
      <c r="AL29" s="270" t="str">
        <f>IF(ISNUMBER(SEARCH("C", 'Dry_Litterbag Placem_Collection'!S30)),"YES","NO")</f>
        <v>NO</v>
      </c>
      <c r="AM29" s="270" t="str">
        <f>IF(ISNUMBER(SEARCH("H", 'Dry_Litterbag Placem_Collection'!S30)),"YES","NO")</f>
        <v>NO</v>
      </c>
      <c r="AN29" s="270" t="str">
        <f>IF(ISNUMBER(SEARCH("R", 'Dry_Litterbag Placem_Collection'!S30)),"YES","NO")</f>
        <v>NO</v>
      </c>
    </row>
    <row r="30" spans="1:40">
      <c r="A30" s="262" t="s">
        <v>2659</v>
      </c>
      <c r="B30" s="263">
        <f>'Dry_Litterbag Placem_Collection'!A31</f>
        <v>29</v>
      </c>
      <c r="C30" s="263" t="str">
        <f>'Dry_Litterbag Placem_Collection'!B31</f>
        <v>Makao</v>
      </c>
      <c r="D30" s="263" t="s">
        <v>2659</v>
      </c>
      <c r="E30" s="263" t="s">
        <v>2660</v>
      </c>
      <c r="F30" s="263">
        <v>4</v>
      </c>
      <c r="G30" s="264" t="str">
        <f>'Dry_Litterbag Placem_Collection'!C31</f>
        <v>Dry_Ag4_T5</v>
      </c>
      <c r="H30" s="265" t="s">
        <v>2541</v>
      </c>
      <c r="I30" s="266" t="s">
        <v>1147</v>
      </c>
      <c r="J30" s="263" t="str">
        <f>IF(ISBLANK('Dry_Litterbag Placem_Collection'!J31),"","G"&amp;""&amp;'Dry_Litterbag Placem_Collection'!J31)</f>
        <v>G319</v>
      </c>
      <c r="K30" s="267">
        <f>IFERROR(INDEX('Green_rooibos initial weight'!$C$5:$C$1749,MATCH(J30, 'Green_rooibos initial weight'!$A$5:$A$1749,0)),"")</f>
        <v>2.012</v>
      </c>
      <c r="L30" s="267">
        <f>IFERROR(K30-(TBIcalc!$Q$9+TBIcalc!$Q$10),"")</f>
        <v>1.7622</v>
      </c>
      <c r="M30" s="391">
        <f>AVERAGE(Ashed_controlls!$K$2:$K$11)</f>
        <v>5.5147656768714146</v>
      </c>
      <c r="N30" s="267">
        <f t="shared" si="1"/>
        <v>1.6650187992421719</v>
      </c>
      <c r="O30" s="267">
        <f>IF(IFERROR(INDEX('Both teabags AfterDry'!$D$3:$D$900,MATCH(J30,'Both teabags AfterDry'!$A$3:$A$900,0)),"")="","",(IFERROR(INDEX('Both teabags AfterDry'!$D$3:$D$900,MATCH(J30,'Both teabags AfterDry'!$A$3:$A$900,0)),"")))</f>
        <v>1.8162</v>
      </c>
      <c r="P30" s="267">
        <f>IFERROR(IF(O30&gt;0,O30-(TBIcalc!$Q$9),""),"")</f>
        <v>1.6656</v>
      </c>
      <c r="Q30" s="278" t="str">
        <f>IFERROR(INDEX('Ashed teabags dry'!$K$2:$K$825,MATCH(J30,'Ashed teabags dry'!$A$2:$A$825,0)),"")</f>
        <v/>
      </c>
      <c r="R30" s="278" t="str">
        <f t="shared" si="2"/>
        <v/>
      </c>
      <c r="S30" s="268">
        <f>'Dry_Litterbag Placem_Collection'!E31</f>
        <v>42936</v>
      </c>
      <c r="T30" s="268">
        <f>IF('Dry_Litterbag Placem_Collection'!G31="","",'Dry_Litterbag Placem_Collection'!G31)</f>
        <v>43007</v>
      </c>
      <c r="U30" s="269">
        <f t="shared" si="0"/>
        <v>71</v>
      </c>
      <c r="V30" s="267">
        <f t="shared" si="3"/>
        <v>9.6600000000000019E-2</v>
      </c>
      <c r="W30" s="267" t="str">
        <f t="shared" si="4"/>
        <v/>
      </c>
      <c r="X30" s="271">
        <f>IFERROR(INDEX(Rainfall_Dry!$O$2:$O$217,MATCH(B30, Rainfall_Dry!$A$2:$A$217,0)),"")</f>
        <v>6.900000125</v>
      </c>
      <c r="Y30" s="260">
        <v>51.960000000000008</v>
      </c>
      <c r="Z30" s="260">
        <v>18.919999999999995</v>
      </c>
      <c r="AA30" s="260">
        <v>29.120000000000005</v>
      </c>
      <c r="AB30" s="261" t="s">
        <v>2673</v>
      </c>
      <c r="AC30" s="260">
        <v>5.8529324790537203</v>
      </c>
      <c r="AD30" t="str">
        <f>IF('WetLitterbags placem_collection'!AB31="","",'WetLitterbags placem_collection'!AB31)</f>
        <v/>
      </c>
      <c r="AE30" t="str">
        <f>IF('WetLitterbags placem_collection'!Z31="","",'WetLitterbags placem_collection'!Z31)</f>
        <v/>
      </c>
      <c r="AF30" s="24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71">
        <f>IFERROR(AVERAGE('Dry_Litterbag Placem_Collection'!N31,'Dry_Litterbag Placem_Collection'!Q31),"")</f>
        <v>25.65</v>
      </c>
      <c r="AJ30" s="270">
        <f>INDEX(Coordinates!$B$2:$B$197,MATCH(G30,Coordinates!$J$2:$J$197,0))</f>
        <v>-3.3849480280000002</v>
      </c>
      <c r="AK30" s="270">
        <f>INDEX(Coordinates!$C$2:$C$197,MATCH(G30,Coordinates!$J$2:$J$197,0))</f>
        <v>34.818854010000003</v>
      </c>
      <c r="AL30" s="270" t="str">
        <f>IF(ISNUMBER(SEARCH("C", 'Dry_Litterbag Placem_Collection'!S31)),"YES","NO")</f>
        <v>NO</v>
      </c>
      <c r="AM30" s="270" t="str">
        <f>IF(ISNUMBER(SEARCH("H", 'Dry_Litterbag Placem_Collection'!S31)),"YES","NO")</f>
        <v>NO</v>
      </c>
      <c r="AN30" s="270" t="str">
        <f>IF(ISNUMBER(SEARCH("R", 'Dry_Litterbag Placem_Collection'!S31)),"YES","NO")</f>
        <v>NO</v>
      </c>
    </row>
    <row r="31" spans="1:40">
      <c r="A31" s="262" t="s">
        <v>2659</v>
      </c>
      <c r="B31" s="263">
        <f>'Dry_Litterbag Placem_Collection'!A32</f>
        <v>30</v>
      </c>
      <c r="C31" s="263" t="str">
        <f>'Dry_Litterbag Placem_Collection'!B32</f>
        <v>Makao</v>
      </c>
      <c r="D31" s="263" t="s">
        <v>2659</v>
      </c>
      <c r="E31" s="263" t="s">
        <v>2660</v>
      </c>
      <c r="F31" s="263">
        <v>4</v>
      </c>
      <c r="G31" s="264" t="str">
        <f>'Dry_Litterbag Placem_Collection'!C32</f>
        <v>Dry_Ag4_T6</v>
      </c>
      <c r="H31" s="265" t="s">
        <v>2541</v>
      </c>
      <c r="I31" s="266" t="s">
        <v>1147</v>
      </c>
      <c r="J31" s="263" t="str">
        <f>IF(ISBLANK('Dry_Litterbag Placem_Collection'!J32),"","G"&amp;""&amp;'Dry_Litterbag Placem_Collection'!J32)</f>
        <v>G273</v>
      </c>
      <c r="K31" s="267">
        <f>IFERROR(INDEX('Green_rooibos initial weight'!$C$5:$C$1749,MATCH(J31, 'Green_rooibos initial weight'!$A$5:$A$1749,0)),"")</f>
        <v>2.073</v>
      </c>
      <c r="L31" s="267">
        <f>IFERROR(K31-(TBIcalc!$Q$9+TBIcalc!$Q$10),"")</f>
        <v>1.8231999999999999</v>
      </c>
      <c r="M31" s="391">
        <f>AVERAGE(Ashed_controlls!$K$2:$K$11)</f>
        <v>5.5147656768714146</v>
      </c>
      <c r="N31" s="267">
        <f t="shared" si="1"/>
        <v>1.7226547921792803</v>
      </c>
      <c r="O31" s="267">
        <f>IF(IFERROR(INDEX('Both teabags AfterDry'!$D$3:$D$900,MATCH(J31,'Both teabags AfterDry'!$A$3:$A$900,0)),"")="","",(IFERROR(INDEX('Both teabags AfterDry'!$D$3:$D$900,MATCH(J31,'Both teabags AfterDry'!$A$3:$A$900,0)),"")))</f>
        <v>1.9318</v>
      </c>
      <c r="P31" s="267">
        <f>IFERROR(IF(O31&gt;0,O31-(TBIcalc!$Q$9),""),"")</f>
        <v>1.7811999999999999</v>
      </c>
      <c r="Q31" s="278">
        <f>IFERROR(INDEX('Ashed teabags dry'!$K$2:$K$825,MATCH(J31,'Ashed teabags dry'!$A$2:$A$825,0)),"")</f>
        <v>5.1138805328754682</v>
      </c>
      <c r="R31" s="278">
        <f t="shared" si="2"/>
        <v>1.690111559948422</v>
      </c>
      <c r="S31" s="268">
        <f>'Dry_Litterbag Placem_Collection'!E32</f>
        <v>42936</v>
      </c>
      <c r="T31" s="268">
        <f>IF('Dry_Litterbag Placem_Collection'!G32="","",'Dry_Litterbag Placem_Collection'!G32)</f>
        <v>43007</v>
      </c>
      <c r="U31" s="269">
        <f t="shared" si="0"/>
        <v>71</v>
      </c>
      <c r="V31" s="267">
        <f t="shared" si="3"/>
        <v>4.2000000000000037E-2</v>
      </c>
      <c r="W31" s="267">
        <f t="shared" si="4"/>
        <v>3.254323223085831E-2</v>
      </c>
      <c r="X31" s="271">
        <f>IFERROR(INDEX(Rainfall_Dry!$O$2:$O$217,MATCH(B31, Rainfall_Dry!$A$2:$A$217,0)),"")</f>
        <v>6.900000125</v>
      </c>
      <c r="Y31" s="260">
        <v>51.960000000000008</v>
      </c>
      <c r="Z31" s="260">
        <v>18.919999999999995</v>
      </c>
      <c r="AA31" s="260">
        <v>29.120000000000005</v>
      </c>
      <c r="AB31" s="261" t="s">
        <v>2673</v>
      </c>
      <c r="AC31" s="260">
        <v>6.8529324790537203</v>
      </c>
      <c r="AD31" t="str">
        <f>IF('WetLitterbags placem_collection'!AB32="","",'WetLitterbags placem_collection'!AB32)</f>
        <v/>
      </c>
      <c r="AE31" t="str">
        <f>IF('WetLitterbags placem_collection'!Z32="","",'WetLitterbags placem_collection'!Z32)</f>
        <v/>
      </c>
      <c r="AF31" s="24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71">
        <f>IFERROR(AVERAGE('Dry_Litterbag Placem_Collection'!N32,'Dry_Litterbag Placem_Collection'!Q32),"")</f>
        <v>24</v>
      </c>
      <c r="AJ31" s="270">
        <f>INDEX(Coordinates!$B$2:$B$197,MATCH(G31,Coordinates!$J$2:$J$197,0))</f>
        <v>-3.38496496</v>
      </c>
      <c r="AK31" s="270">
        <f>INDEX(Coordinates!$C$2:$C$197,MATCH(G31,Coordinates!$J$2:$J$197,0))</f>
        <v>34.818790970000002</v>
      </c>
      <c r="AL31" s="270" t="str">
        <f>IF(ISNUMBER(SEARCH("C", 'Dry_Litterbag Placem_Collection'!S32)),"YES","NO")</f>
        <v>NO</v>
      </c>
      <c r="AM31" s="270" t="str">
        <f>IF(ISNUMBER(SEARCH("H", 'Dry_Litterbag Placem_Collection'!S32)),"YES","NO")</f>
        <v>NO</v>
      </c>
      <c r="AN31" s="270" t="str">
        <f>IF(ISNUMBER(SEARCH("R", 'Dry_Litterbag Placem_Collection'!S32)),"YES","NO")</f>
        <v>NO</v>
      </c>
    </row>
    <row r="32" spans="1:40">
      <c r="A32" s="262" t="s">
        <v>2659</v>
      </c>
      <c r="B32" s="263">
        <f>'Dry_Litterbag Placem_Collection'!A33</f>
        <v>31</v>
      </c>
      <c r="C32" s="263" t="str">
        <f>'Dry_Litterbag Placem_Collection'!B33</f>
        <v>Makao</v>
      </c>
      <c r="D32" s="263" t="s">
        <v>2659</v>
      </c>
      <c r="E32" s="263" t="s">
        <v>2660</v>
      </c>
      <c r="F32" s="263">
        <v>4</v>
      </c>
      <c r="G32" s="264" t="str">
        <f>'Dry_Litterbag Placem_Collection'!C33</f>
        <v>Dry_Ag4_T7</v>
      </c>
      <c r="H32" s="265" t="s">
        <v>2541</v>
      </c>
      <c r="I32" s="266" t="s">
        <v>1147</v>
      </c>
      <c r="J32" s="263" t="str">
        <f>IF(ISBLANK('Dry_Litterbag Placem_Collection'!J33),"","G"&amp;""&amp;'Dry_Litterbag Placem_Collection'!J33)</f>
        <v/>
      </c>
      <c r="K32" s="267" t="str">
        <f>IFERROR(INDEX('Green_rooibos initial weight'!$C$5:$C$1749,MATCH(J32, 'Green_rooibos initial weight'!$A$5:$A$1749,0)),"")</f>
        <v/>
      </c>
      <c r="L32" s="267" t="str">
        <f>IFERROR(K32-(TBIcalc!$Q$9+TBIcalc!$Q$10),"")</f>
        <v/>
      </c>
      <c r="M32" s="391">
        <f>AVERAGE(Ashed_controlls!$K$2:$K$11)</f>
        <v>5.5147656768714146</v>
      </c>
      <c r="N32" s="267" t="str">
        <f t="shared" si="1"/>
        <v/>
      </c>
      <c r="O32" s="267" t="str">
        <f>IF(IFERROR(INDEX('Both teabags AfterDry'!$D$3:$D$900,MATCH(J32,'Both teabags AfterDry'!$A$3:$A$900,0)),"")="","",(IFERROR(INDEX('Both teabags AfterDry'!$D$3:$D$900,MATCH(J32,'Both teabags AfterDry'!$A$3:$A$900,0)),"")))</f>
        <v/>
      </c>
      <c r="P32" s="267" t="str">
        <f>IFERROR(IF(O32&gt;0,O32-(TBIcalc!$Q$9),""),"")</f>
        <v/>
      </c>
      <c r="Q32" s="278" t="str">
        <f>IFERROR(INDEX('Ashed teabags dry'!$K$2:$K$825,MATCH(J32,'Ashed teabags dry'!$A$2:$A$825,0)),"")</f>
        <v/>
      </c>
      <c r="R32" s="278" t="str">
        <f t="shared" si="2"/>
        <v/>
      </c>
      <c r="S32" s="268">
        <f>'Dry_Litterbag Placem_Collection'!E33</f>
        <v>0</v>
      </c>
      <c r="T32" s="268" t="str">
        <f>IF('Dry_Litterbag Placem_Collection'!G33="","",'Dry_Litterbag Placem_Collection'!G33)</f>
        <v/>
      </c>
      <c r="U32" s="269" t="str">
        <f t="shared" si="0"/>
        <v/>
      </c>
      <c r="V32" s="267" t="str">
        <f t="shared" si="3"/>
        <v/>
      </c>
      <c r="W32" s="267" t="str">
        <f t="shared" si="4"/>
        <v/>
      </c>
      <c r="X32" s="271" t="str">
        <f>IFERROR(INDEX(Rainfall_Dry!$O$2:$O$217,MATCH(B32, Rainfall_Dry!$A$2:$A$217,0)),"")</f>
        <v/>
      </c>
      <c r="Y32" s="260">
        <v>51.960000000000008</v>
      </c>
      <c r="Z32" s="260">
        <v>18.919999999999995</v>
      </c>
      <c r="AA32" s="260">
        <v>29.120000000000005</v>
      </c>
      <c r="AB32" s="261" t="s">
        <v>2673</v>
      </c>
      <c r="AC32" s="260">
        <v>7.8529324790537203</v>
      </c>
      <c r="AD32" t="str">
        <f>IF('WetLitterbags placem_collection'!AB33="","",'WetLitterbags placem_collection'!AB33)</f>
        <v/>
      </c>
      <c r="AE32" t="str">
        <f>IF('WetLitterbags placem_collection'!Z33="","",'WetLitterbags placem_collection'!Z33)</f>
        <v/>
      </c>
      <c r="AF32" s="24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71" t="str">
        <f>IFERROR(AVERAGE('Dry_Litterbag Placem_Collection'!N33,'Dry_Litterbag Placem_Collection'!Q33),"")</f>
        <v/>
      </c>
      <c r="AJ32" s="270">
        <f>INDEX(Coordinates!$B$2:$B$197,MATCH(G32,Coordinates!$J$2:$J$197,0))</f>
        <v>-3.3848409909999999</v>
      </c>
      <c r="AK32" s="270">
        <f>INDEX(Coordinates!$C$2:$C$197,MATCH(G32,Coordinates!$J$2:$J$197,0))</f>
        <v>34.818838999999997</v>
      </c>
      <c r="AL32" s="270" t="str">
        <f>IF(ISNUMBER(SEARCH("C", 'Dry_Litterbag Placem_Collection'!S33)),"YES","NO")</f>
        <v>NO</v>
      </c>
      <c r="AM32" s="270" t="str">
        <f>IF(ISNUMBER(SEARCH("H", 'Dry_Litterbag Placem_Collection'!S33)),"YES","NO")</f>
        <v>NO</v>
      </c>
      <c r="AN32" s="270" t="str">
        <f>IF(ISNUMBER(SEARCH("R", 'Dry_Litterbag Placem_Collection'!S33)),"YES","NO")</f>
        <v>NO</v>
      </c>
    </row>
    <row r="33" spans="1:40">
      <c r="A33" s="262" t="s">
        <v>2659</v>
      </c>
      <c r="B33" s="263">
        <f>'Dry_Litterbag Placem_Collection'!A34</f>
        <v>32</v>
      </c>
      <c r="C33" s="263" t="str">
        <f>'Dry_Litterbag Placem_Collection'!B34</f>
        <v>Makao</v>
      </c>
      <c r="D33" s="263" t="s">
        <v>2659</v>
      </c>
      <c r="E33" s="263" t="s">
        <v>2660</v>
      </c>
      <c r="F33" s="263">
        <v>4</v>
      </c>
      <c r="G33" s="264" t="str">
        <f>'Dry_Litterbag Placem_Collection'!C34</f>
        <v>Dry_Ag4_T8</v>
      </c>
      <c r="H33" s="265" t="s">
        <v>2541</v>
      </c>
      <c r="I33" s="266" t="s">
        <v>1147</v>
      </c>
      <c r="J33" s="263" t="str">
        <f>IF(ISBLANK('Dry_Litterbag Placem_Collection'!J34),"","G"&amp;""&amp;'Dry_Litterbag Placem_Collection'!J34)</f>
        <v>G193</v>
      </c>
      <c r="K33" s="267">
        <f>IFERROR(INDEX('Green_rooibos initial weight'!$C$5:$C$1749,MATCH(J33, 'Green_rooibos initial weight'!$A$5:$A$1749,0)),"")</f>
        <v>2.177</v>
      </c>
      <c r="L33" s="267">
        <f>IFERROR(K33-(TBIcalc!$Q$9+TBIcalc!$Q$10),"")</f>
        <v>1.9272</v>
      </c>
      <c r="M33" s="391">
        <f>AVERAGE(Ashed_controlls!$K$2:$K$11)</f>
        <v>5.5147656768714146</v>
      </c>
      <c r="N33" s="267">
        <f t="shared" si="1"/>
        <v>1.8209194358753342</v>
      </c>
      <c r="O33" s="267">
        <f>IF(IFERROR(INDEX('Both teabags AfterDry'!$D$3:$D$900,MATCH(J33,'Both teabags AfterDry'!$A$3:$A$900,0)),"")="","",(IFERROR(INDEX('Both teabags AfterDry'!$D$3:$D$900,MATCH(J33,'Both teabags AfterDry'!$A$3:$A$900,0)),"")))</f>
        <v>1.8848</v>
      </c>
      <c r="P33" s="267">
        <f>IFERROR(IF(O33&gt;0,O33-(TBIcalc!$Q$9),""),"")</f>
        <v>1.7342</v>
      </c>
      <c r="Q33" s="278">
        <f>IFERROR(INDEX('Ashed teabags dry'!$K$2:$K$825,MATCH(J33,'Ashed teabags dry'!$A$2:$A$825,0)),"")</f>
        <v>6.5004452359746852</v>
      </c>
      <c r="R33" s="278">
        <f t="shared" si="2"/>
        <v>1.6214692787177269</v>
      </c>
      <c r="S33" s="268">
        <f>'Dry_Litterbag Placem_Collection'!E34</f>
        <v>42936</v>
      </c>
      <c r="T33" s="268">
        <f>IF('Dry_Litterbag Placem_Collection'!G34="","",'Dry_Litterbag Placem_Collection'!G34)</f>
        <v>43007</v>
      </c>
      <c r="U33" s="269">
        <f t="shared" si="0"/>
        <v>71</v>
      </c>
      <c r="V33" s="267">
        <f t="shared" si="3"/>
        <v>0.19300000000000006</v>
      </c>
      <c r="W33" s="267">
        <f t="shared" si="4"/>
        <v>0.19945015715760728</v>
      </c>
      <c r="X33" s="271">
        <f>IFERROR(INDEX(Rainfall_Dry!$O$2:$O$217,MATCH(B33, Rainfall_Dry!$A$2:$A$217,0)),"")</f>
        <v>6.900000125</v>
      </c>
      <c r="Y33" s="260">
        <v>51.960000000000008</v>
      </c>
      <c r="Z33" s="260">
        <v>18.919999999999995</v>
      </c>
      <c r="AA33" s="260">
        <v>29.120000000000005</v>
      </c>
      <c r="AB33" s="261" t="s">
        <v>2673</v>
      </c>
      <c r="AC33" s="260">
        <v>8.8529324790537203</v>
      </c>
      <c r="AD33" t="str">
        <f>IF('WetLitterbags placem_collection'!AB34="","",'WetLitterbags placem_collection'!AB34)</f>
        <v/>
      </c>
      <c r="AE33" t="str">
        <f>IF('WetLitterbags placem_collection'!Z34="","",'WetLitterbags placem_collection'!Z34)</f>
        <v/>
      </c>
      <c r="AF33" s="24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71">
        <f>IFERROR(AVERAGE('Dry_Litterbag Placem_Collection'!N34,'Dry_Litterbag Placem_Collection'!Q34),"")</f>
        <v>25.45</v>
      </c>
      <c r="AJ33" s="270">
        <f>INDEX(Coordinates!$B$2:$B$197,MATCH(G33,Coordinates!$J$2:$J$197,0))</f>
        <v>-3.3849010060000002</v>
      </c>
      <c r="AK33" s="270">
        <f>INDEX(Coordinates!$C$2:$C$197,MATCH(G33,Coordinates!$J$2:$J$197,0))</f>
        <v>34.818979990000003</v>
      </c>
      <c r="AL33" s="270" t="str">
        <f>IF(ISNUMBER(SEARCH("C", 'Dry_Litterbag Placem_Collection'!S34)),"YES","NO")</f>
        <v>NO</v>
      </c>
      <c r="AM33" s="270" t="str">
        <f>IF(ISNUMBER(SEARCH("H", 'Dry_Litterbag Placem_Collection'!S34)),"YES","NO")</f>
        <v>NO</v>
      </c>
      <c r="AN33" s="270" t="str">
        <f>IF(ISNUMBER(SEARCH("R", 'Dry_Litterbag Placem_Collection'!S34)),"YES","NO")</f>
        <v>NO</v>
      </c>
    </row>
    <row r="34" spans="1:40">
      <c r="A34" s="262" t="s">
        <v>2659</v>
      </c>
      <c r="B34" s="263">
        <f>'Dry_Litterbag Placem_Collection'!A35</f>
        <v>33</v>
      </c>
      <c r="C34" s="263" t="str">
        <f>'Dry_Litterbag Placem_Collection'!B35</f>
        <v>Makao</v>
      </c>
      <c r="D34" s="263" t="s">
        <v>2659</v>
      </c>
      <c r="E34" s="263" t="s">
        <v>20</v>
      </c>
      <c r="F34" s="263">
        <v>1</v>
      </c>
      <c r="G34" s="264" t="str">
        <f>'Dry_Litterbag Placem_Collection'!C35</f>
        <v>Dry_P1_T1</v>
      </c>
      <c r="H34" s="265" t="s">
        <v>2541</v>
      </c>
      <c r="I34" s="266" t="s">
        <v>1147</v>
      </c>
      <c r="J34" s="263" t="str">
        <f>IF(ISBLANK('Dry_Litterbag Placem_Collection'!J35),"","G"&amp;""&amp;'Dry_Litterbag Placem_Collection'!J35)</f>
        <v>G218</v>
      </c>
      <c r="K34" s="267">
        <f>IFERROR(INDEX('Green_rooibos initial weight'!$C$5:$C$1749,MATCH(J34, 'Green_rooibos initial weight'!$A$5:$A$1749,0)),"")</f>
        <v>1.96</v>
      </c>
      <c r="L34" s="267">
        <f>IFERROR(K34-(TBIcalc!$Q$9+TBIcalc!$Q$10),"")</f>
        <v>1.7101999999999999</v>
      </c>
      <c r="M34" s="391">
        <f>AVERAGE(Ashed_controlls!$K$2:$K$11)</f>
        <v>5.5147656768714146</v>
      </c>
      <c r="N34" s="267">
        <f t="shared" si="1"/>
        <v>1.615886477394145</v>
      </c>
      <c r="O34" s="267">
        <f>IF(IFERROR(INDEX('Both teabags AfterDry'!$D$3:$D$900,MATCH(J34,'Both teabags AfterDry'!$A$3:$A$900,0)),"")="","",(IFERROR(INDEX('Both teabags AfterDry'!$D$3:$D$900,MATCH(J34,'Both teabags AfterDry'!$A$3:$A$900,0)),"")))</f>
        <v>1.7766</v>
      </c>
      <c r="P34" s="267">
        <f>IFERROR(IF(O34&gt;0,O34-(TBIcalc!$Q$9),""),"")</f>
        <v>1.6259999999999999</v>
      </c>
      <c r="Q34" s="278">
        <f>IFERROR(INDEX('Ashed teabags dry'!$K$2:$K$825,MATCH(J34,'Ashed teabags dry'!$A$2:$A$825,0)),"")</f>
        <v>5.8311575282857895</v>
      </c>
      <c r="R34" s="278">
        <f t="shared" si="2"/>
        <v>1.5311853785900729</v>
      </c>
      <c r="S34" s="268">
        <f>'Dry_Litterbag Placem_Collection'!E35</f>
        <v>42938</v>
      </c>
      <c r="T34" s="268">
        <f>IF('Dry_Litterbag Placem_Collection'!G35="","",'Dry_Litterbag Placem_Collection'!G35)</f>
        <v>43005</v>
      </c>
      <c r="U34" s="269">
        <f t="shared" si="0"/>
        <v>67</v>
      </c>
      <c r="V34" s="267">
        <f t="shared" si="3"/>
        <v>8.4200000000000053E-2</v>
      </c>
      <c r="W34" s="267">
        <f t="shared" si="4"/>
        <v>8.4701098804072172E-2</v>
      </c>
      <c r="X34" s="271">
        <f>IFERROR(INDEX(Rainfall_Dry!$O$2:$O$217,MATCH(B34, Rainfall_Dry!$A$2:$A$217,0)),"")</f>
        <v>6.5250000359999998</v>
      </c>
      <c r="Y34" s="260">
        <v>23.96</v>
      </c>
      <c r="Z34" s="260">
        <v>0.91999999999999804</v>
      </c>
      <c r="AA34" s="260">
        <v>75.12</v>
      </c>
      <c r="AB34" s="261" t="s">
        <v>2670</v>
      </c>
      <c r="AC34" s="260">
        <v>1.2493839329719072</v>
      </c>
      <c r="AD34">
        <f>IF('WetLitterbags placem_collection'!AB35="","",'WetLitterbags placem_collection'!AB35)</f>
        <v>9.5</v>
      </c>
      <c r="AE34">
        <f>IF('WetLitterbags placem_collection'!Z35="","",'WetLitterbags placem_collection'!Z35)</f>
        <v>17.2</v>
      </c>
      <c r="AF34" s="24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71">
        <f>IFERROR(AVERAGE('Dry_Litterbag Placem_Collection'!N35,'Dry_Litterbag Placem_Collection'!Q35),"")</f>
        <v>26.15</v>
      </c>
      <c r="AJ34" s="270">
        <f>INDEX(Coordinates!$B$2:$B$197,MATCH(G34,Coordinates!$J$2:$J$197,0))</f>
        <v>-3.4092039989999998</v>
      </c>
      <c r="AK34" s="270">
        <f>INDEX(Coordinates!$C$2:$C$197,MATCH(G34,Coordinates!$J$2:$J$197,0))</f>
        <v>34.852751009999999</v>
      </c>
      <c r="AL34" s="270" t="str">
        <f>IF(ISNUMBER(SEARCH("C", 'Dry_Litterbag Placem_Collection'!S35)),"YES","NO")</f>
        <v>NO</v>
      </c>
      <c r="AM34" s="270" t="str">
        <f>IF(ISNUMBER(SEARCH("H", 'Dry_Litterbag Placem_Collection'!S35)),"YES","NO")</f>
        <v>NO</v>
      </c>
      <c r="AN34" s="270" t="str">
        <f>IF(ISNUMBER(SEARCH("R", 'Dry_Litterbag Placem_Collection'!S35)),"YES","NO")</f>
        <v>NO</v>
      </c>
    </row>
    <row r="35" spans="1:40">
      <c r="A35" s="262" t="s">
        <v>2659</v>
      </c>
      <c r="B35" s="263">
        <f>'Dry_Litterbag Placem_Collection'!A36</f>
        <v>34</v>
      </c>
      <c r="C35" s="263" t="str">
        <f>'Dry_Litterbag Placem_Collection'!B36</f>
        <v>Makao</v>
      </c>
      <c r="D35" s="263" t="s">
        <v>2659</v>
      </c>
      <c r="E35" s="263" t="s">
        <v>20</v>
      </c>
      <c r="F35" s="263">
        <v>1</v>
      </c>
      <c r="G35" s="264" t="str">
        <f>'Dry_Litterbag Placem_Collection'!C36</f>
        <v>Dry_P1_T2</v>
      </c>
      <c r="H35" s="265" t="s">
        <v>2541</v>
      </c>
      <c r="I35" s="266" t="s">
        <v>1147</v>
      </c>
      <c r="J35" s="263" t="str">
        <f>IF(ISBLANK('Dry_Litterbag Placem_Collection'!J36),"","G"&amp;""&amp;'Dry_Litterbag Placem_Collection'!J36)</f>
        <v>G104</v>
      </c>
      <c r="K35" s="267">
        <f>IFERROR(INDEX('Green_rooibos initial weight'!$C$5:$C$1749,MATCH(J35, 'Green_rooibos initial weight'!$A$5:$A$1749,0)),"")</f>
        <v>2.0259999999999998</v>
      </c>
      <c r="L35" s="267">
        <f>IFERROR(K35-(TBIcalc!$Q$9+TBIcalc!$Q$10),"")</f>
        <v>1.7761999999999998</v>
      </c>
      <c r="M35" s="391">
        <f>AVERAGE(Ashed_controlls!$K$2:$K$11)</f>
        <v>5.5147656768714146</v>
      </c>
      <c r="N35" s="267">
        <f t="shared" si="1"/>
        <v>1.6782467320474097</v>
      </c>
      <c r="O35" s="267" t="str">
        <f>IF(IFERROR(INDEX('Both teabags AfterDry'!$D$3:$D$900,MATCH(J35,'Both teabags AfterDry'!$A$3:$A$900,0)),"")="","",(IFERROR(INDEX('Both teabags AfterDry'!$D$3:$D$900,MATCH(J35,'Both teabags AfterDry'!$A$3:$A$900,0)),"")))</f>
        <v/>
      </c>
      <c r="P35" s="267" t="str">
        <f>IFERROR(IF(O35&gt;0,O35-(TBIcalc!$Q$9),""),"")</f>
        <v/>
      </c>
      <c r="Q35" s="278" t="str">
        <f>IFERROR(INDEX('Ashed teabags dry'!$K$2:$K$825,MATCH(J35,'Ashed teabags dry'!$A$2:$A$825,0)),"")</f>
        <v/>
      </c>
      <c r="R35" s="278" t="str">
        <f t="shared" si="2"/>
        <v/>
      </c>
      <c r="S35" s="268">
        <f>'Dry_Litterbag Placem_Collection'!E36</f>
        <v>42938</v>
      </c>
      <c r="T35" s="268">
        <f>IF('Dry_Litterbag Placem_Collection'!G36="","",'Dry_Litterbag Placem_Collection'!G36)</f>
        <v>43005</v>
      </c>
      <c r="U35" s="269">
        <f t="shared" si="0"/>
        <v>67</v>
      </c>
      <c r="V35" s="267" t="str">
        <f t="shared" si="3"/>
        <v/>
      </c>
      <c r="W35" s="267" t="str">
        <f t="shared" si="4"/>
        <v/>
      </c>
      <c r="X35" s="271">
        <f>IFERROR(INDEX(Rainfall_Dry!$O$2:$O$217,MATCH(B35, Rainfall_Dry!$A$2:$A$217,0)),"")</f>
        <v>6.5250000359999998</v>
      </c>
      <c r="Y35" s="260">
        <v>23.96</v>
      </c>
      <c r="Z35" s="260">
        <v>0.91999999999999804</v>
      </c>
      <c r="AA35" s="260">
        <v>75.12</v>
      </c>
      <c r="AB35" s="261" t="s">
        <v>2670</v>
      </c>
      <c r="AC35" s="260">
        <v>1.2493839329719072</v>
      </c>
      <c r="AD35">
        <f>IF('WetLitterbags placem_collection'!AB36="","",'WetLitterbags placem_collection'!AB36)</f>
        <v>6.5</v>
      </c>
      <c r="AE35">
        <f>IF('WetLitterbags placem_collection'!Z36="","",'WetLitterbags placem_collection'!Z36)</f>
        <v>14.2</v>
      </c>
      <c r="AF35" s="24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71">
        <f>IFERROR(AVERAGE('Dry_Litterbag Placem_Collection'!N36,'Dry_Litterbag Placem_Collection'!Q36),"")</f>
        <v>26.9</v>
      </c>
      <c r="AJ35" s="270">
        <f>INDEX(Coordinates!$B$2:$B$197,MATCH(G35,Coordinates!$J$2:$J$197,0))</f>
        <v>-3.4092350119999999</v>
      </c>
      <c r="AK35" s="270">
        <f>INDEX(Coordinates!$C$2:$C$197,MATCH(G35,Coordinates!$J$2:$J$197,0))</f>
        <v>34.852782019999999</v>
      </c>
      <c r="AL35" s="270" t="str">
        <f>IF(ISNUMBER(SEARCH("C", 'Dry_Litterbag Placem_Collection'!S36)),"YES","NO")</f>
        <v>NO</v>
      </c>
      <c r="AM35" s="270" t="str">
        <f>IF(ISNUMBER(SEARCH("H", 'Dry_Litterbag Placem_Collection'!S36)),"YES","NO")</f>
        <v>YES</v>
      </c>
      <c r="AN35" s="270" t="str">
        <f>IF(ISNUMBER(SEARCH("R", 'Dry_Litterbag Placem_Collection'!S36)),"YES","NO")</f>
        <v>NO</v>
      </c>
    </row>
    <row r="36" spans="1:40">
      <c r="A36" s="262" t="s">
        <v>2659</v>
      </c>
      <c r="B36" s="263">
        <f>'Dry_Litterbag Placem_Collection'!A37</f>
        <v>35</v>
      </c>
      <c r="C36" s="263" t="str">
        <f>'Dry_Litterbag Placem_Collection'!B37</f>
        <v>Makao</v>
      </c>
      <c r="D36" s="263" t="s">
        <v>2659</v>
      </c>
      <c r="E36" s="263" t="s">
        <v>20</v>
      </c>
      <c r="F36" s="263">
        <v>1</v>
      </c>
      <c r="G36" s="264" t="str">
        <f>'Dry_Litterbag Placem_Collection'!C37</f>
        <v>Dry_P1_T3</v>
      </c>
      <c r="H36" s="265" t="s">
        <v>2541</v>
      </c>
      <c r="I36" s="266" t="s">
        <v>1147</v>
      </c>
      <c r="J36" s="263" t="str">
        <f>IF(ISBLANK('Dry_Litterbag Placem_Collection'!J37),"","G"&amp;""&amp;'Dry_Litterbag Placem_Collection'!J37)</f>
        <v>G188</v>
      </c>
      <c r="K36" s="267">
        <f>IFERROR(INDEX('Green_rooibos initial weight'!$C$5:$C$1749,MATCH(J36, 'Green_rooibos initial weight'!$A$5:$A$1749,0)),"")</f>
        <v>1.952</v>
      </c>
      <c r="L36" s="267">
        <f>IFERROR(K36-(TBIcalc!$Q$9+TBIcalc!$Q$10),"")</f>
        <v>1.7021999999999999</v>
      </c>
      <c r="M36" s="391">
        <f>AVERAGE(Ashed_controlls!$K$2:$K$11)</f>
        <v>5.5147656768714146</v>
      </c>
      <c r="N36" s="267">
        <f t="shared" si="1"/>
        <v>1.6083276586482946</v>
      </c>
      <c r="O36" s="267">
        <f>IF(IFERROR(INDEX('Both teabags AfterDry'!$D$3:$D$900,MATCH(J36,'Both teabags AfterDry'!$A$3:$A$900,0)),"")="","",(IFERROR(INDEX('Both teabags AfterDry'!$D$3:$D$900,MATCH(J36,'Both teabags AfterDry'!$A$3:$A$900,0)),"")))</f>
        <v>1.7849999999999999</v>
      </c>
      <c r="P36" s="267">
        <f>IFERROR(IF(O36&gt;0,O36-(TBIcalc!$Q$9),""),"")</f>
        <v>1.6343999999999999</v>
      </c>
      <c r="Q36" s="278">
        <f>IFERROR(INDEX('Ashed teabags dry'!$K$2:$K$825,MATCH(J36,'Ashed teabags dry'!$A$2:$A$825,0)),"")</f>
        <v>5.9055118110234908</v>
      </c>
      <c r="R36" s="278">
        <f t="shared" si="2"/>
        <v>1.5378803149606319</v>
      </c>
      <c r="S36" s="268">
        <f>'Dry_Litterbag Placem_Collection'!E37</f>
        <v>42938</v>
      </c>
      <c r="T36" s="268">
        <f>IF('Dry_Litterbag Placem_Collection'!G37="","",'Dry_Litterbag Placem_Collection'!G37)</f>
        <v>43005</v>
      </c>
      <c r="U36" s="269">
        <f t="shared" si="0"/>
        <v>67</v>
      </c>
      <c r="V36" s="267">
        <f t="shared" si="3"/>
        <v>6.7800000000000082E-2</v>
      </c>
      <c r="W36" s="267">
        <f t="shared" si="4"/>
        <v>7.04473436876627E-2</v>
      </c>
      <c r="X36" s="271">
        <f>IFERROR(INDEX(Rainfall_Dry!$O$2:$O$217,MATCH(B36, Rainfall_Dry!$A$2:$A$217,0)),"")</f>
        <v>6.5250000359999998</v>
      </c>
      <c r="Y36" s="260">
        <v>23.96</v>
      </c>
      <c r="Z36" s="260">
        <v>0.91999999999999804</v>
      </c>
      <c r="AA36" s="260">
        <v>75.12</v>
      </c>
      <c r="AB36" s="261" t="s">
        <v>2670</v>
      </c>
      <c r="AC36" s="260">
        <v>1.2493839329719072</v>
      </c>
      <c r="AD36">
        <f>IF('WetLitterbags placem_collection'!AB37="","",'WetLitterbags placem_collection'!AB37)</f>
        <v>0.7</v>
      </c>
      <c r="AE36">
        <f>IF('WetLitterbags placem_collection'!Z37="","",'WetLitterbags placem_collection'!Z37)</f>
        <v>10.6</v>
      </c>
      <c r="AF36" s="24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71">
        <f>IFERROR(AVERAGE('Dry_Litterbag Placem_Collection'!N37,'Dry_Litterbag Placem_Collection'!Q37),"")</f>
        <v>26.95</v>
      </c>
      <c r="AJ36" s="270">
        <f>INDEX(Coordinates!$B$2:$B$197,MATCH(G36,Coordinates!$J$2:$J$197,0))</f>
        <v>-3.409177009</v>
      </c>
      <c r="AK36" s="270">
        <f>INDEX(Coordinates!$C$2:$C$197,MATCH(G36,Coordinates!$J$2:$J$197,0))</f>
        <v>34.852818990000003</v>
      </c>
      <c r="AL36" s="270" t="str">
        <f>IF(ISNUMBER(SEARCH("C", 'Dry_Litterbag Placem_Collection'!S37)),"YES","NO")</f>
        <v>NO</v>
      </c>
      <c r="AM36" s="270" t="str">
        <f>IF(ISNUMBER(SEARCH("H", 'Dry_Litterbag Placem_Collection'!S37)),"YES","NO")</f>
        <v>NO</v>
      </c>
      <c r="AN36" s="270" t="str">
        <f>IF(ISNUMBER(SEARCH("R", 'Dry_Litterbag Placem_Collection'!S37)),"YES","NO")</f>
        <v>NO</v>
      </c>
    </row>
    <row r="37" spans="1:40">
      <c r="A37" s="262" t="s">
        <v>2659</v>
      </c>
      <c r="B37" s="263">
        <f>'Dry_Litterbag Placem_Collection'!A38</f>
        <v>36</v>
      </c>
      <c r="C37" s="263" t="str">
        <f>'Dry_Litterbag Placem_Collection'!B38</f>
        <v>Makao</v>
      </c>
      <c r="D37" s="263" t="s">
        <v>2659</v>
      </c>
      <c r="E37" s="263" t="s">
        <v>20</v>
      </c>
      <c r="F37" s="263">
        <v>1</v>
      </c>
      <c r="G37" s="264" t="str">
        <f>'Dry_Litterbag Placem_Collection'!C38</f>
        <v>Dry_P1_T4</v>
      </c>
      <c r="H37" s="265" t="s">
        <v>2541</v>
      </c>
      <c r="I37" s="266" t="s">
        <v>1147</v>
      </c>
      <c r="J37" s="263" t="str">
        <f>IF(ISBLANK('Dry_Litterbag Placem_Collection'!J38),"","G"&amp;""&amp;'Dry_Litterbag Placem_Collection'!J38)</f>
        <v>G379</v>
      </c>
      <c r="K37" s="267">
        <f>IFERROR(INDEX('Green_rooibos initial weight'!$C$5:$C$1749,MATCH(J37, 'Green_rooibos initial weight'!$A$5:$A$1749,0)),"")</f>
        <v>2.052</v>
      </c>
      <c r="L37" s="267">
        <f>IFERROR(K37-(TBIcalc!$Q$9+TBIcalc!$Q$10),"")</f>
        <v>1.8022</v>
      </c>
      <c r="M37" s="391">
        <f>AVERAGE(Ashed_controlls!$K$2:$K$11)</f>
        <v>5.5147656768714146</v>
      </c>
      <c r="N37" s="267">
        <f t="shared" si="1"/>
        <v>1.7028128929714235</v>
      </c>
      <c r="O37" s="267">
        <f>IF(IFERROR(INDEX('Both teabags AfterDry'!$D$3:$D$900,MATCH(J37,'Both teabags AfterDry'!$A$3:$A$900,0)),"")="","",(IFERROR(INDEX('Both teabags AfterDry'!$D$3:$D$900,MATCH(J37,'Both teabags AfterDry'!$A$3:$A$900,0)),"")))</f>
        <v>1.65</v>
      </c>
      <c r="P37" s="267">
        <f>IFERROR(IF(O37&gt;0,O37-(TBIcalc!$Q$9),""),"")</f>
        <v>1.4993999999999998</v>
      </c>
      <c r="Q37" s="278">
        <f>IFERROR(INDEX('Ashed teabags dry'!$K$2:$K$825,MATCH(J37,'Ashed teabags dry'!$A$2:$A$825,0)),"")</f>
        <v>8.6725663716812598</v>
      </c>
      <c r="R37" s="278">
        <f t="shared" si="2"/>
        <v>1.3693635398230111</v>
      </c>
      <c r="S37" s="268">
        <f>'Dry_Litterbag Placem_Collection'!E38</f>
        <v>42938</v>
      </c>
      <c r="T37" s="268">
        <f>IF('Dry_Litterbag Placem_Collection'!G38="","",'Dry_Litterbag Placem_Collection'!G38)</f>
        <v>43005</v>
      </c>
      <c r="U37" s="269">
        <f t="shared" si="0"/>
        <v>67</v>
      </c>
      <c r="V37" s="267">
        <f t="shared" si="3"/>
        <v>0.30280000000000018</v>
      </c>
      <c r="W37" s="267">
        <f t="shared" si="4"/>
        <v>0.3334493531484124</v>
      </c>
      <c r="X37" s="271">
        <f>IFERROR(INDEX(Rainfall_Dry!$O$2:$O$217,MATCH(B37, Rainfall_Dry!$A$2:$A$217,0)),"")</f>
        <v>6.5250000359999998</v>
      </c>
      <c r="Y37" s="260">
        <v>23.96</v>
      </c>
      <c r="Z37" s="260">
        <v>0.91999999999999804</v>
      </c>
      <c r="AA37" s="260">
        <v>75.12</v>
      </c>
      <c r="AB37" s="261" t="s">
        <v>2670</v>
      </c>
      <c r="AC37" s="260">
        <v>1.2493839329719072</v>
      </c>
      <c r="AD37">
        <f>IF('WetLitterbags placem_collection'!AB38="","",'WetLitterbags placem_collection'!AB38)</f>
        <v>3.3</v>
      </c>
      <c r="AE37">
        <f>IF('WetLitterbags placem_collection'!Z38="","",'WetLitterbags placem_collection'!Z38)</f>
        <v>4.9000000000000004</v>
      </c>
      <c r="AF37" s="24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71">
        <f>IFERROR(AVERAGE('Dry_Litterbag Placem_Collection'!N38,'Dry_Litterbag Placem_Collection'!Q38),"")</f>
        <v>25.85</v>
      </c>
      <c r="AJ37" s="270">
        <f>INDEX(Coordinates!$B$2:$B$197,MATCH(G37,Coordinates!$J$2:$J$197,0))</f>
        <v>-3.40917198</v>
      </c>
      <c r="AK37" s="270">
        <f>INDEX(Coordinates!$C$2:$C$197,MATCH(G37,Coordinates!$J$2:$J$197,0))</f>
        <v>34.852960979999999</v>
      </c>
      <c r="AL37" s="270" t="str">
        <f>IF(ISNUMBER(SEARCH("C", 'Dry_Litterbag Placem_Collection'!S38)),"YES","NO")</f>
        <v>NO</v>
      </c>
      <c r="AM37" s="270" t="str">
        <f>IF(ISNUMBER(SEARCH("H", 'Dry_Litterbag Placem_Collection'!S38)),"YES","NO")</f>
        <v>NO</v>
      </c>
      <c r="AN37" s="270" t="str">
        <f>IF(ISNUMBER(SEARCH("R", 'Dry_Litterbag Placem_Collection'!S38)),"YES","NO")</f>
        <v>NO</v>
      </c>
    </row>
    <row r="38" spans="1:40">
      <c r="A38" s="262" t="s">
        <v>2659</v>
      </c>
      <c r="B38" s="263">
        <f>'Dry_Litterbag Placem_Collection'!A39</f>
        <v>37</v>
      </c>
      <c r="C38" s="263" t="str">
        <f>'Dry_Litterbag Placem_Collection'!B39</f>
        <v>Makao</v>
      </c>
      <c r="D38" s="263" t="s">
        <v>2659</v>
      </c>
      <c r="E38" s="263" t="s">
        <v>20</v>
      </c>
      <c r="F38" s="263">
        <v>1</v>
      </c>
      <c r="G38" s="264" t="str">
        <f>'Dry_Litterbag Placem_Collection'!C39</f>
        <v>Dry_P1_T5</v>
      </c>
      <c r="H38" s="265" t="s">
        <v>2541</v>
      </c>
      <c r="I38" s="266" t="s">
        <v>1147</v>
      </c>
      <c r="J38" s="263" t="str">
        <f>IF(ISBLANK('Dry_Litterbag Placem_Collection'!J39),"","G"&amp;""&amp;'Dry_Litterbag Placem_Collection'!J39)</f>
        <v>G66</v>
      </c>
      <c r="K38" s="267">
        <f>IFERROR(INDEX('Green_rooibos initial weight'!$C$5:$C$1749,MATCH(J38, 'Green_rooibos initial weight'!$A$5:$A$1749,0)),"")</f>
        <v>1.9490000000000001</v>
      </c>
      <c r="L38" s="267">
        <f>IFERROR(K38-(TBIcalc!$Q$9+TBIcalc!$Q$10),"")</f>
        <v>1.6992</v>
      </c>
      <c r="M38" s="391">
        <f>AVERAGE(Ashed_controlls!$K$2:$K$11)</f>
        <v>5.5147656768714146</v>
      </c>
      <c r="N38" s="267">
        <f t="shared" si="1"/>
        <v>1.6054931016186009</v>
      </c>
      <c r="O38" s="267">
        <f>IF(IFERROR(INDEX('Both teabags AfterDry'!$D$3:$D$900,MATCH(J38,'Both teabags AfterDry'!$A$3:$A$900,0)),"")="","",(IFERROR(INDEX('Both teabags AfterDry'!$D$3:$D$900,MATCH(J38,'Both teabags AfterDry'!$A$3:$A$900,0)),"")))</f>
        <v>3.3298000000000001</v>
      </c>
      <c r="P38" s="267">
        <f>IFERROR(IF(O38&gt;0,O38-(TBIcalc!$Q$9),""),"")</f>
        <v>3.1792000000000002</v>
      </c>
      <c r="Q38" s="278">
        <f>IFERROR(INDEX('Ashed teabags dry'!$K$2:$K$825,MATCH(J38,'Ashed teabags dry'!$A$2:$A$825,0)),"")</f>
        <v>73.511543134872284</v>
      </c>
      <c r="R38" s="278">
        <f t="shared" si="2"/>
        <v>0.84212102065614047</v>
      </c>
      <c r="S38" s="268">
        <f>'Dry_Litterbag Placem_Collection'!E39</f>
        <v>42938</v>
      </c>
      <c r="T38" s="268">
        <f>IF('Dry_Litterbag Placem_Collection'!G39="","",'Dry_Litterbag Placem_Collection'!G39)</f>
        <v>43005</v>
      </c>
      <c r="U38" s="269">
        <f t="shared" si="0"/>
        <v>67</v>
      </c>
      <c r="V38" s="267">
        <f t="shared" si="3"/>
        <v>-1.4800000000000002</v>
      </c>
      <c r="W38" s="267">
        <f t="shared" si="4"/>
        <v>0.76337208096246045</v>
      </c>
      <c r="X38" s="271">
        <f>IFERROR(INDEX(Rainfall_Dry!$O$2:$O$217,MATCH(B38, Rainfall_Dry!$A$2:$A$217,0)),"")</f>
        <v>6.5250000359999998</v>
      </c>
      <c r="Y38" s="260">
        <v>23.96</v>
      </c>
      <c r="Z38" s="260">
        <v>0.91999999999999804</v>
      </c>
      <c r="AA38" s="260">
        <v>75.12</v>
      </c>
      <c r="AB38" s="261" t="s">
        <v>2670</v>
      </c>
      <c r="AC38" s="260">
        <v>1.2493839329719072</v>
      </c>
      <c r="AD38">
        <f>IF('WetLitterbags placem_collection'!AB39="","",'WetLitterbags placem_collection'!AB39)</f>
        <v>8.3000000000000007</v>
      </c>
      <c r="AE38">
        <f>IF('WetLitterbags placem_collection'!Z39="","",'WetLitterbags placem_collection'!Z39)</f>
        <v>27.8</v>
      </c>
      <c r="AF38" s="24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71">
        <f>IFERROR(AVERAGE('Dry_Litterbag Placem_Collection'!N39,'Dry_Litterbag Placem_Collection'!Q39),"")</f>
        <v>26.1</v>
      </c>
      <c r="AJ38" s="270">
        <f>INDEX(Coordinates!$B$2:$B$197,MATCH(G38,Coordinates!$J$2:$J$197,0))</f>
        <v>-3.4090709779999999</v>
      </c>
      <c r="AK38" s="270">
        <f>INDEX(Coordinates!$C$2:$C$197,MATCH(G38,Coordinates!$J$2:$J$197,0))</f>
        <v>34.852712029999999</v>
      </c>
      <c r="AL38" s="270" t="str">
        <f>IF(ISNUMBER(SEARCH("C", 'Dry_Litterbag Placem_Collection'!S39)),"YES","NO")</f>
        <v>YES</v>
      </c>
      <c r="AM38" s="270" t="str">
        <f>IF(ISNUMBER(SEARCH("H", 'Dry_Litterbag Placem_Collection'!S39)),"YES","NO")</f>
        <v>YES</v>
      </c>
      <c r="AN38" s="270" t="str">
        <f>IF(ISNUMBER(SEARCH("R", 'Dry_Litterbag Placem_Collection'!S39)),"YES","NO")</f>
        <v>NO</v>
      </c>
    </row>
    <row r="39" spans="1:40">
      <c r="A39" s="262" t="s">
        <v>2659</v>
      </c>
      <c r="B39" s="263">
        <f>'Dry_Litterbag Placem_Collection'!A40</f>
        <v>38</v>
      </c>
      <c r="C39" s="263" t="str">
        <f>'Dry_Litterbag Placem_Collection'!B40</f>
        <v>Makao</v>
      </c>
      <c r="D39" s="263" t="s">
        <v>2659</v>
      </c>
      <c r="E39" s="263" t="s">
        <v>20</v>
      </c>
      <c r="F39" s="263">
        <v>1</v>
      </c>
      <c r="G39" s="264" t="str">
        <f>'Dry_Litterbag Placem_Collection'!C40</f>
        <v>Dry_P1_T6</v>
      </c>
      <c r="H39" s="265" t="s">
        <v>2541</v>
      </c>
      <c r="I39" s="266" t="s">
        <v>1147</v>
      </c>
      <c r="J39" s="263" t="str">
        <f>IF(ISBLANK('Dry_Litterbag Placem_Collection'!J40),"","G"&amp;""&amp;'Dry_Litterbag Placem_Collection'!J40)</f>
        <v>G625</v>
      </c>
      <c r="K39" s="267">
        <f>IFERROR(INDEX('Green_rooibos initial weight'!$C$5:$C$1749,MATCH(J39, 'Green_rooibos initial weight'!$A$5:$A$1749,0)),"")</f>
        <v>1.9650000000000001</v>
      </c>
      <c r="L39" s="267">
        <f>IFERROR(K39-(TBIcalc!$Q$9+TBIcalc!$Q$10),"")</f>
        <v>1.7152000000000001</v>
      </c>
      <c r="M39" s="391">
        <f>AVERAGE(Ashed_controlls!$K$2:$K$11)</f>
        <v>5.5147656768714146</v>
      </c>
      <c r="N39" s="267">
        <f t="shared" si="1"/>
        <v>1.6206107391103015</v>
      </c>
      <c r="O39" s="267">
        <f>IF(IFERROR(INDEX('Both teabags AfterDry'!$D$3:$D$900,MATCH(J39,'Both teabags AfterDry'!$A$3:$A$900,0)),"")="","",(IFERROR(INDEX('Both teabags AfterDry'!$D$3:$D$900,MATCH(J39,'Both teabags AfterDry'!$A$3:$A$900,0)),"")))</f>
        <v>1.8379000000000001</v>
      </c>
      <c r="P39" s="267">
        <f>IFERROR(IF(O39&gt;0,O39-(TBIcalc!$Q$9),""),"")</f>
        <v>1.6873</v>
      </c>
      <c r="Q39" s="278">
        <f>IFERROR(INDEX('Ashed teabags dry'!$K$2:$K$825,MATCH(J39,'Ashed teabags dry'!$A$2:$A$825,0)),"")</f>
        <v>9.99592003263969</v>
      </c>
      <c r="R39" s="278">
        <f t="shared" si="2"/>
        <v>1.5186388412892706</v>
      </c>
      <c r="S39" s="268">
        <f>'Dry_Litterbag Placem_Collection'!E40</f>
        <v>42938</v>
      </c>
      <c r="T39" s="268">
        <f>IF('Dry_Litterbag Placem_Collection'!G40="","",'Dry_Litterbag Placem_Collection'!G40)</f>
        <v>43005</v>
      </c>
      <c r="U39" s="269">
        <f t="shared" si="0"/>
        <v>67</v>
      </c>
      <c r="V39" s="267">
        <f t="shared" si="3"/>
        <v>2.7900000000000036E-2</v>
      </c>
      <c r="W39" s="267">
        <f t="shared" si="4"/>
        <v>0.10197189782103089</v>
      </c>
      <c r="X39" s="271">
        <f>IFERROR(INDEX(Rainfall_Dry!$O$2:$O$217,MATCH(B39, Rainfall_Dry!$A$2:$A$217,0)),"")</f>
        <v>6.5250000359999998</v>
      </c>
      <c r="Y39" s="260">
        <v>23.96</v>
      </c>
      <c r="Z39" s="260">
        <v>0.91999999999999804</v>
      </c>
      <c r="AA39" s="260">
        <v>75.12</v>
      </c>
      <c r="AB39" s="261" t="s">
        <v>2670</v>
      </c>
      <c r="AC39" s="260">
        <v>1.2493839329719072</v>
      </c>
      <c r="AD39">
        <f>IF('WetLitterbags placem_collection'!AB40="","",'WetLitterbags placem_collection'!AB40)</f>
        <v>2</v>
      </c>
      <c r="AE39">
        <f>IF('WetLitterbags placem_collection'!Z40="","",'WetLitterbags placem_collection'!Z40)</f>
        <v>20.399999999999999</v>
      </c>
      <c r="AF39" s="24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71">
        <f>IFERROR(AVERAGE('Dry_Litterbag Placem_Collection'!N40,'Dry_Litterbag Placem_Collection'!Q40),"")</f>
        <v>26.7</v>
      </c>
      <c r="AJ39" s="270">
        <f>INDEX(Coordinates!$B$2:$B$197,MATCH(G39,Coordinates!$J$2:$J$197,0))</f>
        <v>-3.409280023</v>
      </c>
      <c r="AK39" s="270">
        <f>INDEX(Coordinates!$C$2:$C$197,MATCH(G39,Coordinates!$J$2:$J$197,0))</f>
        <v>34.852612960000002</v>
      </c>
      <c r="AL39" s="270" t="str">
        <f>IF(ISNUMBER(SEARCH("C", 'Dry_Litterbag Placem_Collection'!S40)),"YES","NO")</f>
        <v>YES</v>
      </c>
      <c r="AM39" s="270" t="str">
        <f>IF(ISNUMBER(SEARCH("H", 'Dry_Litterbag Placem_Collection'!S40)),"YES","NO")</f>
        <v>YES</v>
      </c>
      <c r="AN39" s="270" t="str">
        <f>IF(ISNUMBER(SEARCH("R", 'Dry_Litterbag Placem_Collection'!S40)),"YES","NO")</f>
        <v>NO</v>
      </c>
    </row>
    <row r="40" spans="1:40">
      <c r="A40" s="262" t="s">
        <v>2659</v>
      </c>
      <c r="B40" s="263">
        <f>'Dry_Litterbag Placem_Collection'!A41</f>
        <v>39</v>
      </c>
      <c r="C40" s="263" t="str">
        <f>'Dry_Litterbag Placem_Collection'!B41</f>
        <v>Makao</v>
      </c>
      <c r="D40" s="263" t="s">
        <v>2659</v>
      </c>
      <c r="E40" s="263" t="s">
        <v>20</v>
      </c>
      <c r="F40" s="263">
        <v>1</v>
      </c>
      <c r="G40" s="264" t="str">
        <f>'Dry_Litterbag Placem_Collection'!C41</f>
        <v>Dry_P1_T7</v>
      </c>
      <c r="H40" s="265" t="s">
        <v>2541</v>
      </c>
      <c r="I40" s="266" t="s">
        <v>1147</v>
      </c>
      <c r="J40" s="263" t="str">
        <f>IF(ISBLANK('Dry_Litterbag Placem_Collection'!J41),"","G"&amp;""&amp;'Dry_Litterbag Placem_Collection'!J41)</f>
        <v/>
      </c>
      <c r="K40" s="267" t="str">
        <f>IFERROR(INDEX('Green_rooibos initial weight'!$C$5:$C$1749,MATCH(J40, 'Green_rooibos initial weight'!$A$5:$A$1749,0)),"")</f>
        <v/>
      </c>
      <c r="L40" s="267" t="str">
        <f>IFERROR(K40-(TBIcalc!$Q$9+TBIcalc!$Q$10),"")</f>
        <v/>
      </c>
      <c r="M40" s="391">
        <f>AVERAGE(Ashed_controlls!$K$2:$K$11)</f>
        <v>5.5147656768714146</v>
      </c>
      <c r="N40" s="267" t="str">
        <f t="shared" si="1"/>
        <v/>
      </c>
      <c r="O40" s="267" t="str">
        <f>IF(IFERROR(INDEX('Both teabags AfterDry'!$D$3:$D$900,MATCH(J40,'Both teabags AfterDry'!$A$3:$A$900,0)),"")="","",(IFERROR(INDEX('Both teabags AfterDry'!$D$3:$D$900,MATCH(J40,'Both teabags AfterDry'!$A$3:$A$900,0)),"")))</f>
        <v/>
      </c>
      <c r="P40" s="267" t="str">
        <f>IFERROR(IF(O40&gt;0,O40-(TBIcalc!$Q$9),""),"")</f>
        <v/>
      </c>
      <c r="Q40" s="278" t="str">
        <f>IFERROR(INDEX('Ashed teabags dry'!$K$2:$K$825,MATCH(J40,'Ashed teabags dry'!$A$2:$A$825,0)),"")</f>
        <v/>
      </c>
      <c r="R40" s="278" t="str">
        <f t="shared" si="2"/>
        <v/>
      </c>
      <c r="S40" s="268">
        <f>'Dry_Litterbag Placem_Collection'!E41</f>
        <v>42938</v>
      </c>
      <c r="T40" s="268" t="str">
        <f>IF('Dry_Litterbag Placem_Collection'!G41="","",'Dry_Litterbag Placem_Collection'!G41)</f>
        <v/>
      </c>
      <c r="U40" s="269" t="str">
        <f t="shared" si="0"/>
        <v/>
      </c>
      <c r="V40" s="267" t="str">
        <f t="shared" si="3"/>
        <v/>
      </c>
      <c r="W40" s="267" t="str">
        <f t="shared" si="4"/>
        <v/>
      </c>
      <c r="X40" s="271" t="str">
        <f>IFERROR(INDEX(Rainfall_Dry!$O$2:$O$217,MATCH(B40, Rainfall_Dry!$A$2:$A$217,0)),"")</f>
        <v/>
      </c>
      <c r="Y40" s="260">
        <v>23.96</v>
      </c>
      <c r="Z40" s="260">
        <v>0.91999999999999804</v>
      </c>
      <c r="AA40" s="260">
        <v>75.12</v>
      </c>
      <c r="AB40" s="261" t="s">
        <v>2670</v>
      </c>
      <c r="AC40" s="260">
        <v>1.2493839329719072</v>
      </c>
      <c r="AD40">
        <f>IF('WetLitterbags placem_collection'!AB41="","",'WetLitterbags placem_collection'!AB41)</f>
        <v>2.4</v>
      </c>
      <c r="AE40">
        <f>IF('WetLitterbags placem_collection'!Z41="","",'WetLitterbags placem_collection'!Z41)</f>
        <v>18</v>
      </c>
      <c r="AF40" s="24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71" t="str">
        <f>IFERROR(AVERAGE('Dry_Litterbag Placem_Collection'!N41,'Dry_Litterbag Placem_Collection'!Q41),"")</f>
        <v/>
      </c>
      <c r="AJ40" s="270">
        <f>INDEX(Coordinates!$B$2:$B$197,MATCH(G40,Coordinates!$J$2:$J$197,0))</f>
        <v>-3.4093859700000002</v>
      </c>
      <c r="AK40" s="270">
        <f>INDEX(Coordinates!$C$2:$C$197,MATCH(G40,Coordinates!$J$2:$J$197,0))</f>
        <v>34.852855030000001</v>
      </c>
      <c r="AL40" s="270" t="str">
        <f>IF(ISNUMBER(SEARCH("C", 'Dry_Litterbag Placem_Collection'!S41)),"YES","NO")</f>
        <v>NO</v>
      </c>
      <c r="AM40" s="270" t="str">
        <f>IF(ISNUMBER(SEARCH("H", 'Dry_Litterbag Placem_Collection'!S41)),"YES","NO")</f>
        <v>NO</v>
      </c>
      <c r="AN40" s="270" t="str">
        <f>IF(ISNUMBER(SEARCH("R", 'Dry_Litterbag Placem_Collection'!S41)),"YES","NO")</f>
        <v>NO</v>
      </c>
    </row>
    <row r="41" spans="1:40">
      <c r="A41" s="262" t="s">
        <v>2659</v>
      </c>
      <c r="B41" s="263">
        <f>'Dry_Litterbag Placem_Collection'!A42</f>
        <v>40</v>
      </c>
      <c r="C41" s="263" t="str">
        <f>'Dry_Litterbag Placem_Collection'!B42</f>
        <v>Makao</v>
      </c>
      <c r="D41" s="263" t="s">
        <v>2659</v>
      </c>
      <c r="E41" s="263" t="s">
        <v>20</v>
      </c>
      <c r="F41" s="263">
        <v>1</v>
      </c>
      <c r="G41" s="264" t="str">
        <f>'Dry_Litterbag Placem_Collection'!C42</f>
        <v>Dry_P1_T8</v>
      </c>
      <c r="H41" s="265" t="s">
        <v>2541</v>
      </c>
      <c r="I41" s="266" t="s">
        <v>1147</v>
      </c>
      <c r="J41" s="263" t="str">
        <f>IF(ISBLANK('Dry_Litterbag Placem_Collection'!J42),"","G"&amp;""&amp;'Dry_Litterbag Placem_Collection'!J42)</f>
        <v>G88</v>
      </c>
      <c r="K41" s="267">
        <f>IFERROR(INDEX('Green_rooibos initial weight'!$C$5:$C$1749,MATCH(J41, 'Green_rooibos initial weight'!$A$5:$A$1749,0)),"")</f>
        <v>2.1549999999999998</v>
      </c>
      <c r="L41" s="267">
        <f>IFERROR(K41-(TBIcalc!$Q$9+TBIcalc!$Q$10),"")</f>
        <v>1.9051999999999998</v>
      </c>
      <c r="M41" s="391">
        <f>AVERAGE(Ashed_controlls!$K$2:$K$11)</f>
        <v>5.5147656768714146</v>
      </c>
      <c r="N41" s="267">
        <f t="shared" si="1"/>
        <v>1.8001326843242456</v>
      </c>
      <c r="O41" s="267">
        <f>IF(IFERROR(INDEX('Both teabags AfterDry'!$D$3:$D$900,MATCH(J41,'Both teabags AfterDry'!$A$3:$A$900,0)),"")="","",(IFERROR(INDEX('Both teabags AfterDry'!$D$3:$D$900,MATCH(J41,'Both teabags AfterDry'!$A$3:$A$900,0)),"")))</f>
        <v>1.9495</v>
      </c>
      <c r="P41" s="267">
        <f>IFERROR(IF(O41&gt;0,O41-(TBIcalc!$Q$9),""),"")</f>
        <v>1.7988999999999999</v>
      </c>
      <c r="Q41" s="278">
        <f>IFERROR(INDEX('Ashed teabags dry'!$K$2:$K$825,MATCH(J41,'Ashed teabags dry'!$A$2:$A$825,0)),"")</f>
        <v>6.6945606694563358</v>
      </c>
      <c r="R41" s="278">
        <f t="shared" si="2"/>
        <v>1.6784715481171499</v>
      </c>
      <c r="S41" s="268">
        <f>'Dry_Litterbag Placem_Collection'!E42</f>
        <v>42938</v>
      </c>
      <c r="T41" s="268">
        <f>IF('Dry_Litterbag Placem_Collection'!G42="","",'Dry_Litterbag Placem_Collection'!G42)</f>
        <v>43005</v>
      </c>
      <c r="U41" s="269">
        <f t="shared" si="0"/>
        <v>67</v>
      </c>
      <c r="V41" s="267">
        <f t="shared" si="3"/>
        <v>0.10629999999999984</v>
      </c>
      <c r="W41" s="267">
        <f t="shared" si="4"/>
        <v>0.12166113620709562</v>
      </c>
      <c r="X41" s="271">
        <f>IFERROR(INDEX(Rainfall_Dry!$O$2:$O$217,MATCH(B41, Rainfall_Dry!$A$2:$A$217,0)),"")</f>
        <v>6.5250000359999998</v>
      </c>
      <c r="Y41" s="260">
        <v>23.96</v>
      </c>
      <c r="Z41" s="260">
        <v>0.91999999999999804</v>
      </c>
      <c r="AA41" s="260">
        <v>75.12</v>
      </c>
      <c r="AB41" s="261" t="s">
        <v>2670</v>
      </c>
      <c r="AC41" s="260">
        <v>1.2493839329719072</v>
      </c>
      <c r="AD41">
        <f>IF('WetLitterbags placem_collection'!AB42="","",'WetLitterbags placem_collection'!AB42)</f>
        <v>8.6999999999999993</v>
      </c>
      <c r="AE41">
        <f>IF('WetLitterbags placem_collection'!Z42="","",'WetLitterbags placem_collection'!Z42)</f>
        <v>19.3</v>
      </c>
      <c r="AF41" s="24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71">
        <f>IFERROR(AVERAGE('Dry_Litterbag Placem_Collection'!N42,'Dry_Litterbag Placem_Collection'!Q42),"")</f>
        <v>26.2</v>
      </c>
      <c r="AJ41" s="270">
        <f>INDEX(Coordinates!$B$2:$B$197,MATCH(G41,Coordinates!$J$2:$J$197,0))</f>
        <v>-3.4091539590000002</v>
      </c>
      <c r="AK41" s="270">
        <f>INDEX(Coordinates!$C$2:$C$197,MATCH(G41,Coordinates!$J$2:$J$197,0))</f>
        <v>34.852755029999997</v>
      </c>
      <c r="AL41" s="270" t="str">
        <f>IF(ISNUMBER(SEARCH("C", 'Dry_Litterbag Placem_Collection'!S42)),"YES","NO")</f>
        <v>YES</v>
      </c>
      <c r="AM41" s="270" t="str">
        <f>IF(ISNUMBER(SEARCH("H", 'Dry_Litterbag Placem_Collection'!S42)),"YES","NO")</f>
        <v>YES</v>
      </c>
      <c r="AN41" s="270" t="str">
        <f>IF(ISNUMBER(SEARCH("R", 'Dry_Litterbag Placem_Collection'!S42)),"YES","NO")</f>
        <v>NO</v>
      </c>
    </row>
    <row r="42" spans="1:40">
      <c r="A42" s="262" t="s">
        <v>2659</v>
      </c>
      <c r="B42" s="263">
        <f>'Dry_Litterbag Placem_Collection'!A43</f>
        <v>41</v>
      </c>
      <c r="C42" s="263" t="str">
        <f>'Dry_Litterbag Placem_Collection'!B43</f>
        <v>Makao</v>
      </c>
      <c r="D42" s="263" t="s">
        <v>2659</v>
      </c>
      <c r="E42" s="263" t="s">
        <v>20</v>
      </c>
      <c r="F42" s="263">
        <v>2</v>
      </c>
      <c r="G42" s="264" t="str">
        <f>'Dry_Litterbag Placem_Collection'!C43</f>
        <v>Dry_P2_T1</v>
      </c>
      <c r="H42" s="265" t="s">
        <v>2541</v>
      </c>
      <c r="I42" s="266" t="s">
        <v>1147</v>
      </c>
      <c r="J42" s="263" t="str">
        <f>IF(ISBLANK('Dry_Litterbag Placem_Collection'!J43),"","G"&amp;""&amp;'Dry_Litterbag Placem_Collection'!J43)</f>
        <v>G256</v>
      </c>
      <c r="K42" s="267">
        <f>IFERROR(INDEX('Green_rooibos initial weight'!$C$5:$C$1749,MATCH(J42, 'Green_rooibos initial weight'!$A$5:$A$1749,0)),"")</f>
        <v>2.11</v>
      </c>
      <c r="L42" s="267">
        <f>IFERROR(K42-(TBIcalc!$Q$9+TBIcalc!$Q$10),"")</f>
        <v>1.8601999999999999</v>
      </c>
      <c r="M42" s="391">
        <f>AVERAGE(Ashed_controlls!$K$2:$K$11)</f>
        <v>5.5147656768714146</v>
      </c>
      <c r="N42" s="267">
        <f t="shared" si="1"/>
        <v>1.7576143288788377</v>
      </c>
      <c r="O42" s="267">
        <f>IF(IFERROR(INDEX('Both teabags AfterDry'!$D$3:$D$900,MATCH(J42,'Both teabags AfterDry'!$A$3:$A$900,0)),"")="","",(IFERROR(INDEX('Both teabags AfterDry'!$D$3:$D$900,MATCH(J42,'Both teabags AfterDry'!$A$3:$A$900,0)),"")))</f>
        <v>1.6208</v>
      </c>
      <c r="P42" s="267">
        <f>IFERROR(IF(O42&gt;0,O42-(TBIcalc!$Q$9),""),"")</f>
        <v>1.4702</v>
      </c>
      <c r="Q42" s="278">
        <f>IFERROR(INDEX('Ashed teabags dry'!$K$2:$K$825,MATCH(J42,'Ashed teabags dry'!$A$2:$A$825,0)),"")</f>
        <v>6.3627730294394693</v>
      </c>
      <c r="R42" s="278">
        <f t="shared" si="2"/>
        <v>1.376654510921181</v>
      </c>
      <c r="S42" s="268">
        <f>'Dry_Litterbag Placem_Collection'!E43</f>
        <v>42938</v>
      </c>
      <c r="T42" s="268">
        <f>IF('Dry_Litterbag Placem_Collection'!G43="","",'Dry_Litterbag Placem_Collection'!G43)</f>
        <v>43005</v>
      </c>
      <c r="U42" s="269">
        <f t="shared" si="0"/>
        <v>67</v>
      </c>
      <c r="V42" s="267">
        <f t="shared" si="3"/>
        <v>0.3899999999999999</v>
      </c>
      <c r="W42" s="267">
        <f t="shared" si="4"/>
        <v>0.38095981795765677</v>
      </c>
      <c r="X42" s="271">
        <f>IFERROR(INDEX(Rainfall_Dry!$O$2:$O$217,MATCH(B42, Rainfall_Dry!$A$2:$A$217,0)),"")</f>
        <v>6.5250000359999998</v>
      </c>
      <c r="Y42" s="260">
        <v>19.96</v>
      </c>
      <c r="Z42" s="260">
        <v>4.9199999999999982</v>
      </c>
      <c r="AA42" s="260">
        <v>75.12</v>
      </c>
      <c r="AB42" s="261" t="s">
        <v>2671</v>
      </c>
      <c r="AC42" s="260">
        <v>1.641498275012321</v>
      </c>
      <c r="AD42">
        <f>IF('WetLitterbags placem_collection'!AB43="","",'WetLitterbags placem_collection'!AB43)</f>
        <v>4</v>
      </c>
      <c r="AE42">
        <f>IF('WetLitterbags placem_collection'!Z43="","",'WetLitterbags placem_collection'!Z43)</f>
        <v>19.100000000000001</v>
      </c>
      <c r="AF42" s="24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71">
        <f>IFERROR(AVERAGE('Dry_Litterbag Placem_Collection'!N43,'Dry_Litterbag Placem_Collection'!Q43),"")</f>
        <v>27.85</v>
      </c>
      <c r="AJ42" s="270">
        <f>INDEX(Coordinates!$B$2:$B$197,MATCH(G42,Coordinates!$J$2:$J$197,0))</f>
        <v>-3.4083420040000001</v>
      </c>
      <c r="AK42" s="270">
        <f>INDEX(Coordinates!$C$2:$C$197,MATCH(G42,Coordinates!$J$2:$J$197,0))</f>
        <v>34.850283040000001</v>
      </c>
      <c r="AL42" s="270" t="str">
        <f>IF(ISNUMBER(SEARCH("C", 'Dry_Litterbag Placem_Collection'!S43)),"YES","NO")</f>
        <v>NO</v>
      </c>
      <c r="AM42" s="270" t="str">
        <f>IF(ISNUMBER(SEARCH("H", 'Dry_Litterbag Placem_Collection'!S43)),"YES","NO")</f>
        <v>YES</v>
      </c>
      <c r="AN42" s="270" t="str">
        <f>IF(ISNUMBER(SEARCH("R", 'Dry_Litterbag Placem_Collection'!S43)),"YES","NO")</f>
        <v>NO</v>
      </c>
    </row>
    <row r="43" spans="1:40">
      <c r="A43" s="262" t="s">
        <v>2659</v>
      </c>
      <c r="B43" s="263">
        <f>'Dry_Litterbag Placem_Collection'!A44</f>
        <v>42</v>
      </c>
      <c r="C43" s="263" t="str">
        <f>'Dry_Litterbag Placem_Collection'!B44</f>
        <v>Makao</v>
      </c>
      <c r="D43" s="263" t="s">
        <v>2659</v>
      </c>
      <c r="E43" s="263" t="s">
        <v>20</v>
      </c>
      <c r="F43" s="263">
        <v>2</v>
      </c>
      <c r="G43" s="264" t="str">
        <f>'Dry_Litterbag Placem_Collection'!C44</f>
        <v>Dry_P2_T2</v>
      </c>
      <c r="H43" s="265" t="s">
        <v>2541</v>
      </c>
      <c r="I43" s="266" t="s">
        <v>1147</v>
      </c>
      <c r="J43" s="263" t="str">
        <f>IF(ISBLANK('Dry_Litterbag Placem_Collection'!J44),"","G"&amp;""&amp;'Dry_Litterbag Placem_Collection'!J44)</f>
        <v>G341</v>
      </c>
      <c r="K43" s="267">
        <f>IFERROR(INDEX('Green_rooibos initial weight'!$C$5:$C$1749,MATCH(J43, 'Green_rooibos initial weight'!$A$5:$A$1749,0)),"")</f>
        <v>1.954</v>
      </c>
      <c r="L43" s="267">
        <f>IFERROR(K43-(TBIcalc!$Q$9+TBIcalc!$Q$10),"")</f>
        <v>1.7041999999999999</v>
      </c>
      <c r="M43" s="391">
        <f>AVERAGE(Ashed_controlls!$K$2:$K$11)</f>
        <v>5.5147656768714146</v>
      </c>
      <c r="N43" s="267">
        <f t="shared" si="1"/>
        <v>1.6102173633347574</v>
      </c>
      <c r="O43" s="267">
        <f>IF(IFERROR(INDEX('Both teabags AfterDry'!$D$3:$D$900,MATCH(J43,'Both teabags AfterDry'!$A$3:$A$900,0)),"")="","",(IFERROR(INDEX('Both teabags AfterDry'!$D$3:$D$900,MATCH(J43,'Both teabags AfterDry'!$A$3:$A$900,0)),"")))</f>
        <v>1.7267999999999999</v>
      </c>
      <c r="P43" s="267">
        <f>IFERROR(IF(O43&gt;0,O43-(TBIcalc!$Q$9),""),"")</f>
        <v>1.5761999999999998</v>
      </c>
      <c r="Q43" s="278">
        <f>IFERROR(INDEX('Ashed teabags dry'!$K$2:$K$825,MATCH(J43,'Ashed teabags dry'!$A$2:$A$825,0)),"")</f>
        <v>7.1704594246447426</v>
      </c>
      <c r="R43" s="278">
        <f t="shared" si="2"/>
        <v>1.4631792185487493</v>
      </c>
      <c r="S43" s="268">
        <f>'Dry_Litterbag Placem_Collection'!E44</f>
        <v>42938</v>
      </c>
      <c r="T43" s="268">
        <f>IF('Dry_Litterbag Placem_Collection'!G44="","",'Dry_Litterbag Placem_Collection'!G44)</f>
        <v>43005</v>
      </c>
      <c r="U43" s="269">
        <f t="shared" si="0"/>
        <v>67</v>
      </c>
      <c r="V43" s="267">
        <f t="shared" si="3"/>
        <v>0.12800000000000011</v>
      </c>
      <c r="W43" s="267">
        <f t="shared" si="4"/>
        <v>0.14703814478600807</v>
      </c>
      <c r="X43" s="271">
        <f>IFERROR(INDEX(Rainfall_Dry!$O$2:$O$217,MATCH(B43, Rainfall_Dry!$A$2:$A$217,0)),"")</f>
        <v>6.5250000359999998</v>
      </c>
      <c r="Y43" s="260">
        <v>19.96</v>
      </c>
      <c r="Z43" s="260">
        <v>4.9199999999999982</v>
      </c>
      <c r="AA43" s="260">
        <v>75.12</v>
      </c>
      <c r="AB43" s="261" t="s">
        <v>2671</v>
      </c>
      <c r="AC43" s="260">
        <v>1.641498275012321</v>
      </c>
      <c r="AD43">
        <f>IF('WetLitterbags placem_collection'!AB44="","",'WetLitterbags placem_collection'!AB44)</f>
        <v>5.9</v>
      </c>
      <c r="AE43">
        <f>IF('WetLitterbags placem_collection'!Z44="","",'WetLitterbags placem_collection'!Z44)</f>
        <v>12.7</v>
      </c>
      <c r="AF43" s="24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71">
        <f>IFERROR(AVERAGE('Dry_Litterbag Placem_Collection'!N44,'Dry_Litterbag Placem_Collection'!Q44),"")</f>
        <v>27.15</v>
      </c>
      <c r="AJ43" s="270">
        <f>INDEX(Coordinates!$B$2:$B$197,MATCH(G43,Coordinates!$J$2:$J$197,0))</f>
        <v>-3.4084079690000002</v>
      </c>
      <c r="AK43" s="270">
        <f>INDEX(Coordinates!$C$2:$C$197,MATCH(G43,Coordinates!$J$2:$J$197,0))</f>
        <v>34.850295029999998</v>
      </c>
      <c r="AL43" s="270" t="str">
        <f>IF(ISNUMBER(SEARCH("C", 'Dry_Litterbag Placem_Collection'!S44)),"YES","NO")</f>
        <v>YES</v>
      </c>
      <c r="AM43" s="270" t="str">
        <f>IF(ISNUMBER(SEARCH("H", 'Dry_Litterbag Placem_Collection'!S44)),"YES","NO")</f>
        <v>YES</v>
      </c>
      <c r="AN43" s="270" t="str">
        <f>IF(ISNUMBER(SEARCH("R", 'Dry_Litterbag Placem_Collection'!S44)),"YES","NO")</f>
        <v>NO</v>
      </c>
    </row>
    <row r="44" spans="1:40">
      <c r="A44" s="262" t="s">
        <v>2659</v>
      </c>
      <c r="B44" s="263">
        <f>'Dry_Litterbag Placem_Collection'!A45</f>
        <v>43</v>
      </c>
      <c r="C44" s="263" t="str">
        <f>'Dry_Litterbag Placem_Collection'!B45</f>
        <v>Makao</v>
      </c>
      <c r="D44" s="263" t="s">
        <v>2659</v>
      </c>
      <c r="E44" s="263" t="s">
        <v>20</v>
      </c>
      <c r="F44" s="263">
        <v>2</v>
      </c>
      <c r="G44" s="264" t="str">
        <f>'Dry_Litterbag Placem_Collection'!C45</f>
        <v>Dry_P2_T3</v>
      </c>
      <c r="H44" s="265" t="s">
        <v>2541</v>
      </c>
      <c r="I44" s="266" t="s">
        <v>1147</v>
      </c>
      <c r="J44" s="263" t="str">
        <f>IF(ISBLANK('Dry_Litterbag Placem_Collection'!J45),"","G"&amp;""&amp;'Dry_Litterbag Placem_Collection'!J45)</f>
        <v>G246</v>
      </c>
      <c r="K44" s="267">
        <f>IFERROR(INDEX('Green_rooibos initial weight'!$C$5:$C$1749,MATCH(J44, 'Green_rooibos initial weight'!$A$5:$A$1749,0)),"")</f>
        <v>2.1829999999999998</v>
      </c>
      <c r="L44" s="267">
        <f>IFERROR(K44-(TBIcalc!$Q$9+TBIcalc!$Q$10),"")</f>
        <v>1.9331999999999998</v>
      </c>
      <c r="M44" s="391">
        <f>AVERAGE(Ashed_controlls!$K$2:$K$11)</f>
        <v>5.5147656768714146</v>
      </c>
      <c r="N44" s="267">
        <f t="shared" si="1"/>
        <v>1.8265885499347216</v>
      </c>
      <c r="O44" s="267">
        <f>IF(IFERROR(INDEX('Both teabags AfterDry'!$D$3:$D$900,MATCH(J44,'Both teabags AfterDry'!$A$3:$A$900,0)),"")="","",(IFERROR(INDEX('Both teabags AfterDry'!$D$3:$D$900,MATCH(J44,'Both teabags AfterDry'!$A$3:$A$900,0)),"")))</f>
        <v>1.9577</v>
      </c>
      <c r="P44" s="267">
        <f>IFERROR(IF(O44&gt;0,O44-(TBIcalc!$Q$9),""),"")</f>
        <v>1.8070999999999999</v>
      </c>
      <c r="Q44" s="278">
        <f>IFERROR(INDEX('Ashed teabags dry'!$K$2:$K$825,MATCH(J44,'Ashed teabags dry'!$A$2:$A$825,0)),"")</f>
        <v>8.1468218442253786</v>
      </c>
      <c r="R44" s="278">
        <f t="shared" si="2"/>
        <v>1.6598787824530032</v>
      </c>
      <c r="S44" s="268">
        <f>'Dry_Litterbag Placem_Collection'!E45</f>
        <v>42938</v>
      </c>
      <c r="T44" s="268">
        <f>IF('Dry_Litterbag Placem_Collection'!G45="","",'Dry_Litterbag Placem_Collection'!G45)</f>
        <v>43005</v>
      </c>
      <c r="U44" s="269">
        <f t="shared" si="0"/>
        <v>67</v>
      </c>
      <c r="V44" s="267">
        <f t="shared" si="3"/>
        <v>0.12609999999999988</v>
      </c>
      <c r="W44" s="267">
        <f t="shared" si="4"/>
        <v>0.1667097674817184</v>
      </c>
      <c r="X44" s="271">
        <f>IFERROR(INDEX(Rainfall_Dry!$O$2:$O$217,MATCH(B44, Rainfall_Dry!$A$2:$A$217,0)),"")</f>
        <v>6.5250000359999998</v>
      </c>
      <c r="Y44" s="260">
        <v>19.96</v>
      </c>
      <c r="Z44" s="260">
        <v>4.9199999999999982</v>
      </c>
      <c r="AA44" s="260">
        <v>75.12</v>
      </c>
      <c r="AB44" s="261" t="s">
        <v>2671</v>
      </c>
      <c r="AC44" s="260">
        <v>1.641498275012321</v>
      </c>
      <c r="AD44">
        <f>IF('WetLitterbags placem_collection'!AB45="","",'WetLitterbags placem_collection'!AB45)</f>
        <v>5</v>
      </c>
      <c r="AE44">
        <f>IF('WetLitterbags placem_collection'!Z45="","",'WetLitterbags placem_collection'!Z45)</f>
        <v>26.3</v>
      </c>
      <c r="AF44" s="24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71">
        <f>IFERROR(AVERAGE('Dry_Litterbag Placem_Collection'!N45,'Dry_Litterbag Placem_Collection'!Q45),"")</f>
        <v>26.1</v>
      </c>
      <c r="AJ44" s="270">
        <f>INDEX(Coordinates!$B$2:$B$197,MATCH(G44,Coordinates!$J$2:$J$197,0))</f>
        <v>-3.4082369789999998</v>
      </c>
      <c r="AK44" s="270">
        <f>INDEX(Coordinates!$C$2:$C$197,MATCH(G44,Coordinates!$J$2:$J$197,0))</f>
        <v>34.850189999999998</v>
      </c>
      <c r="AL44" s="270" t="str">
        <f>IF(ISNUMBER(SEARCH("C", 'Dry_Litterbag Placem_Collection'!S45)),"YES","NO")</f>
        <v>YES</v>
      </c>
      <c r="AM44" s="270" t="str">
        <f>IF(ISNUMBER(SEARCH("H", 'Dry_Litterbag Placem_Collection'!S45)),"YES","NO")</f>
        <v>YES</v>
      </c>
      <c r="AN44" s="270" t="str">
        <f>IF(ISNUMBER(SEARCH("R", 'Dry_Litterbag Placem_Collection'!S45)),"YES","NO")</f>
        <v>NO</v>
      </c>
    </row>
    <row r="45" spans="1:40">
      <c r="A45" s="262" t="s">
        <v>2659</v>
      </c>
      <c r="B45" s="263">
        <f>'Dry_Litterbag Placem_Collection'!A46</f>
        <v>44</v>
      </c>
      <c r="C45" s="263" t="str">
        <f>'Dry_Litterbag Placem_Collection'!B46</f>
        <v>Makao</v>
      </c>
      <c r="D45" s="263" t="s">
        <v>2659</v>
      </c>
      <c r="E45" s="263" t="s">
        <v>20</v>
      </c>
      <c r="F45" s="263">
        <v>2</v>
      </c>
      <c r="G45" s="264" t="str">
        <f>'Dry_Litterbag Placem_Collection'!C46</f>
        <v>Dry_P2_T4</v>
      </c>
      <c r="H45" s="265" t="s">
        <v>2541</v>
      </c>
      <c r="I45" s="266" t="s">
        <v>1147</v>
      </c>
      <c r="J45" s="263" t="str">
        <f>IF(ISBLANK('Dry_Litterbag Placem_Collection'!J46),"","G"&amp;""&amp;'Dry_Litterbag Placem_Collection'!J46)</f>
        <v>G115</v>
      </c>
      <c r="K45" s="267">
        <f>IFERROR(INDEX('Green_rooibos initial weight'!$C$5:$C$1749,MATCH(J45, 'Green_rooibos initial weight'!$A$5:$A$1749,0)),"")</f>
        <v>2.048</v>
      </c>
      <c r="L45" s="267">
        <f>IFERROR(K45-(TBIcalc!$Q$9+TBIcalc!$Q$10),"")</f>
        <v>1.7982</v>
      </c>
      <c r="M45" s="391">
        <f>AVERAGE(Ashed_controlls!$K$2:$K$11)</f>
        <v>5.5147656768714146</v>
      </c>
      <c r="N45" s="267">
        <f t="shared" si="1"/>
        <v>1.6990334835984982</v>
      </c>
      <c r="O45" s="267">
        <f>IF(IFERROR(INDEX('Both teabags AfterDry'!$D$3:$D$900,MATCH(J45,'Both teabags AfterDry'!$A$3:$A$900,0)),"")="","",(IFERROR(INDEX('Both teabags AfterDry'!$D$3:$D$900,MATCH(J45,'Both teabags AfterDry'!$A$3:$A$900,0)),"")))</f>
        <v>1.7069000000000001</v>
      </c>
      <c r="P45" s="267">
        <f>IFERROR(IF(O45&gt;0,O45-(TBIcalc!$Q$9),""),"")</f>
        <v>1.5563</v>
      </c>
      <c r="Q45" s="278">
        <f>IFERROR(INDEX('Ashed teabags dry'!$K$2:$K$825,MATCH(J45,'Ashed teabags dry'!$A$2:$A$825,0)),"")</f>
        <v>5.939159826170572</v>
      </c>
      <c r="R45" s="278">
        <f t="shared" si="2"/>
        <v>1.4638688556253074</v>
      </c>
      <c r="S45" s="268">
        <f>'Dry_Litterbag Placem_Collection'!E46</f>
        <v>42938</v>
      </c>
      <c r="T45" s="268">
        <f>IF('Dry_Litterbag Placem_Collection'!G46="","",'Dry_Litterbag Placem_Collection'!G46)</f>
        <v>43005</v>
      </c>
      <c r="U45" s="269">
        <f t="shared" si="0"/>
        <v>67</v>
      </c>
      <c r="V45" s="267">
        <f t="shared" si="3"/>
        <v>0.2419</v>
      </c>
      <c r="W45" s="267">
        <f t="shared" si="4"/>
        <v>0.23516462797319071</v>
      </c>
      <c r="X45" s="271">
        <f>IFERROR(INDEX(Rainfall_Dry!$O$2:$O$217,MATCH(B45, Rainfall_Dry!$A$2:$A$217,0)),"")</f>
        <v>6.5250000359999998</v>
      </c>
      <c r="Y45" s="260">
        <v>19.96</v>
      </c>
      <c r="Z45" s="260">
        <v>4.9199999999999982</v>
      </c>
      <c r="AA45" s="260">
        <v>75.12</v>
      </c>
      <c r="AB45" s="261" t="s">
        <v>2671</v>
      </c>
      <c r="AC45" s="260">
        <v>1.641498275012321</v>
      </c>
      <c r="AD45">
        <f>IF('WetLitterbags placem_collection'!AB46="","",'WetLitterbags placem_collection'!AB46)</f>
        <v>2.6</v>
      </c>
      <c r="AE45">
        <f>IF('WetLitterbags placem_collection'!Z46="","",'WetLitterbags placem_collection'!Z46)</f>
        <v>39.200000000000003</v>
      </c>
      <c r="AF45" s="24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71">
        <f>IFERROR(AVERAGE('Dry_Litterbag Placem_Collection'!N46,'Dry_Litterbag Placem_Collection'!Q46),"")</f>
        <v>26.5</v>
      </c>
      <c r="AJ45" s="270">
        <f>INDEX(Coordinates!$B$2:$B$197,MATCH(G45,Coordinates!$J$2:$J$197,0))</f>
        <v>-3.4081529920000002</v>
      </c>
      <c r="AK45" s="270">
        <f>INDEX(Coordinates!$C$2:$C$197,MATCH(G45,Coordinates!$J$2:$J$197,0))</f>
        <v>34.850168959999998</v>
      </c>
      <c r="AL45" s="270" t="str">
        <f>IF(ISNUMBER(SEARCH("C", 'Dry_Litterbag Placem_Collection'!S46)),"YES","NO")</f>
        <v>NO</v>
      </c>
      <c r="AM45" s="270" t="str">
        <f>IF(ISNUMBER(SEARCH("H", 'Dry_Litterbag Placem_Collection'!S46)),"YES","NO")</f>
        <v>NO</v>
      </c>
      <c r="AN45" s="270" t="str">
        <f>IF(ISNUMBER(SEARCH("R", 'Dry_Litterbag Placem_Collection'!S46)),"YES","NO")</f>
        <v>NO</v>
      </c>
    </row>
    <row r="46" spans="1:40">
      <c r="A46" s="262" t="s">
        <v>2659</v>
      </c>
      <c r="B46" s="263">
        <f>'Dry_Litterbag Placem_Collection'!A47</f>
        <v>45</v>
      </c>
      <c r="C46" s="263" t="str">
        <f>'Dry_Litterbag Placem_Collection'!B47</f>
        <v>Makao</v>
      </c>
      <c r="D46" s="263" t="s">
        <v>2659</v>
      </c>
      <c r="E46" s="263" t="s">
        <v>20</v>
      </c>
      <c r="F46" s="263">
        <v>2</v>
      </c>
      <c r="G46" s="264" t="str">
        <f>'Dry_Litterbag Placem_Collection'!C47</f>
        <v>Dry_P2_T5</v>
      </c>
      <c r="H46" s="265" t="s">
        <v>2541</v>
      </c>
      <c r="I46" s="266" t="s">
        <v>1147</v>
      </c>
      <c r="J46" s="263" t="str">
        <f>IF(ISBLANK('Dry_Litterbag Placem_Collection'!J47),"","G"&amp;""&amp;'Dry_Litterbag Placem_Collection'!J47)</f>
        <v>G480</v>
      </c>
      <c r="K46" s="267">
        <f>IFERROR(INDEX('Green_rooibos initial weight'!$C$5:$C$1749,MATCH(J46, 'Green_rooibos initial weight'!$A$5:$A$1749,0)),"")</f>
        <v>1.9850000000000001</v>
      </c>
      <c r="L46" s="267">
        <f>IFERROR(K46-(TBIcalc!$Q$9+TBIcalc!$Q$10),"")</f>
        <v>1.7352000000000001</v>
      </c>
      <c r="M46" s="391">
        <f>AVERAGE(Ashed_controlls!$K$2:$K$11)</f>
        <v>5.5147656768714146</v>
      </c>
      <c r="N46" s="267">
        <f t="shared" si="1"/>
        <v>1.6395077859749272</v>
      </c>
      <c r="O46" s="267" t="str">
        <f>IF(IFERROR(INDEX('Both teabags AfterDry'!$D$3:$D$900,MATCH(J46,'Both teabags AfterDry'!$A$3:$A$900,0)),"")="","",(IFERROR(INDEX('Both teabags AfterDry'!$D$3:$D$900,MATCH(J46,'Both teabags AfterDry'!$A$3:$A$900,0)),"")))</f>
        <v/>
      </c>
      <c r="P46" s="267" t="str">
        <f>IFERROR(IF(O46&gt;0,O46-(TBIcalc!$Q$9),""),"")</f>
        <v/>
      </c>
      <c r="Q46" s="278" t="str">
        <f>IFERROR(INDEX('Ashed teabags dry'!$K$2:$K$825,MATCH(J46,'Ashed teabags dry'!$A$2:$A$825,0)),"")</f>
        <v/>
      </c>
      <c r="R46" s="278" t="str">
        <f t="shared" si="2"/>
        <v/>
      </c>
      <c r="S46" s="268">
        <f>'Dry_Litterbag Placem_Collection'!E47</f>
        <v>42938</v>
      </c>
      <c r="T46" s="268">
        <f>IF('Dry_Litterbag Placem_Collection'!G47="","",'Dry_Litterbag Placem_Collection'!G47)</f>
        <v>43005</v>
      </c>
      <c r="U46" s="269">
        <f t="shared" si="0"/>
        <v>67</v>
      </c>
      <c r="V46" s="267" t="str">
        <f t="shared" si="3"/>
        <v/>
      </c>
      <c r="W46" s="267" t="str">
        <f t="shared" si="4"/>
        <v/>
      </c>
      <c r="X46" s="271">
        <f>IFERROR(INDEX(Rainfall_Dry!$O$2:$O$217,MATCH(B46, Rainfall_Dry!$A$2:$A$217,0)),"")</f>
        <v>6.5250000359999998</v>
      </c>
      <c r="Y46" s="260">
        <v>19.96</v>
      </c>
      <c r="Z46" s="260">
        <v>4.9199999999999982</v>
      </c>
      <c r="AA46" s="260">
        <v>75.12</v>
      </c>
      <c r="AB46" s="261" t="s">
        <v>2671</v>
      </c>
      <c r="AC46" s="260">
        <v>1.641498275012321</v>
      </c>
      <c r="AD46">
        <f>IF('WetLitterbags placem_collection'!AB47="","",'WetLitterbags placem_collection'!AB47)</f>
        <v>2.2999999999999998</v>
      </c>
      <c r="AE46">
        <f>IF('WetLitterbags placem_collection'!Z47="","",'WetLitterbags placem_collection'!Z47)</f>
        <v>9.3000000000000007</v>
      </c>
      <c r="AF46" s="24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71">
        <f>IFERROR(AVERAGE('Dry_Litterbag Placem_Collection'!N47,'Dry_Litterbag Placem_Collection'!Q47),"")</f>
        <v>27.25</v>
      </c>
      <c r="AJ46" s="270">
        <f>INDEX(Coordinates!$B$2:$B$197,MATCH(G46,Coordinates!$J$2:$J$197,0))</f>
        <v>-3.4081789759999999</v>
      </c>
      <c r="AK46" s="270">
        <f>INDEX(Coordinates!$C$2:$C$197,MATCH(G46,Coordinates!$J$2:$J$197,0))</f>
        <v>34.850516980000002</v>
      </c>
      <c r="AL46" s="270" t="str">
        <f>IF(ISNUMBER(SEARCH("C", 'Dry_Litterbag Placem_Collection'!S47)),"YES","NO")</f>
        <v>YES</v>
      </c>
      <c r="AM46" s="270" t="str">
        <f>IF(ISNUMBER(SEARCH("H", 'Dry_Litterbag Placem_Collection'!S47)),"YES","NO")</f>
        <v>YES</v>
      </c>
      <c r="AN46" s="270" t="str">
        <f>IF(ISNUMBER(SEARCH("R", 'Dry_Litterbag Placem_Collection'!S47)),"YES","NO")</f>
        <v>NO</v>
      </c>
    </row>
    <row r="47" spans="1:40">
      <c r="A47" s="262" t="s">
        <v>2659</v>
      </c>
      <c r="B47" s="263">
        <f>'Dry_Litterbag Placem_Collection'!A48</f>
        <v>46</v>
      </c>
      <c r="C47" s="263" t="str">
        <f>'Dry_Litterbag Placem_Collection'!B48</f>
        <v>Makao</v>
      </c>
      <c r="D47" s="263" t="s">
        <v>2659</v>
      </c>
      <c r="E47" s="263" t="s">
        <v>20</v>
      </c>
      <c r="F47" s="263">
        <v>2</v>
      </c>
      <c r="G47" s="264" t="str">
        <f>'Dry_Litterbag Placem_Collection'!C48</f>
        <v>Dry_P2_T6</v>
      </c>
      <c r="H47" s="265" t="s">
        <v>2541</v>
      </c>
      <c r="I47" s="266" t="s">
        <v>1147</v>
      </c>
      <c r="J47" s="263" t="str">
        <f>IF(ISBLANK('Dry_Litterbag Placem_Collection'!J48),"","G"&amp;""&amp;'Dry_Litterbag Placem_Collection'!J48)</f>
        <v/>
      </c>
      <c r="K47" s="267" t="str">
        <f>IFERROR(INDEX('Green_rooibos initial weight'!$C$5:$C$1749,MATCH(J47, 'Green_rooibos initial weight'!$A$5:$A$1749,0)),"")</f>
        <v/>
      </c>
      <c r="L47" s="267" t="str">
        <f>IFERROR(K47-(TBIcalc!$Q$9+TBIcalc!$Q$10),"")</f>
        <v/>
      </c>
      <c r="M47" s="391">
        <f>AVERAGE(Ashed_controlls!$K$2:$K$11)</f>
        <v>5.5147656768714146</v>
      </c>
      <c r="N47" s="267" t="str">
        <f t="shared" si="1"/>
        <v/>
      </c>
      <c r="O47" s="267" t="str">
        <f>IF(IFERROR(INDEX('Both teabags AfterDry'!$D$3:$D$900,MATCH(J47,'Both teabags AfterDry'!$A$3:$A$900,0)),"")="","",(IFERROR(INDEX('Both teabags AfterDry'!$D$3:$D$900,MATCH(J47,'Both teabags AfterDry'!$A$3:$A$900,0)),"")))</f>
        <v/>
      </c>
      <c r="P47" s="267" t="str">
        <f>IFERROR(IF(O47&gt;0,O47-(TBIcalc!$Q$9),""),"")</f>
        <v/>
      </c>
      <c r="Q47" s="278" t="str">
        <f>IFERROR(INDEX('Ashed teabags dry'!$K$2:$K$825,MATCH(J47,'Ashed teabags dry'!$A$2:$A$825,0)),"")</f>
        <v/>
      </c>
      <c r="R47" s="278" t="str">
        <f t="shared" si="2"/>
        <v/>
      </c>
      <c r="S47" s="268">
        <f>'Dry_Litterbag Placem_Collection'!E48</f>
        <v>0</v>
      </c>
      <c r="T47" s="268" t="str">
        <f>IF('Dry_Litterbag Placem_Collection'!G48="","",'Dry_Litterbag Placem_Collection'!G48)</f>
        <v/>
      </c>
      <c r="U47" s="269" t="str">
        <f t="shared" si="0"/>
        <v/>
      </c>
      <c r="V47" s="267" t="str">
        <f t="shared" si="3"/>
        <v/>
      </c>
      <c r="W47" s="267" t="str">
        <f t="shared" si="4"/>
        <v/>
      </c>
      <c r="X47" s="271" t="str">
        <f>IFERROR(INDEX(Rainfall_Dry!$O$2:$O$217,MATCH(B47, Rainfall_Dry!$A$2:$A$217,0)),"")</f>
        <v/>
      </c>
      <c r="Y47" s="260">
        <v>19.96</v>
      </c>
      <c r="Z47" s="260">
        <v>4.9199999999999982</v>
      </c>
      <c r="AA47" s="260">
        <v>75.12</v>
      </c>
      <c r="AB47" s="261" t="s">
        <v>2671</v>
      </c>
      <c r="AC47" s="260">
        <v>1.641498275012321</v>
      </c>
      <c r="AD47" t="str">
        <f>IF('WetLitterbags placem_collection'!AB48="","",'WetLitterbags placem_collection'!AB48)</f>
        <v/>
      </c>
      <c r="AE47" t="str">
        <f>IF('WetLitterbags placem_collection'!Z48="","",'WetLitterbags placem_collection'!Z48)</f>
        <v/>
      </c>
      <c r="AF47" s="24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71" t="str">
        <f>IFERROR(AVERAGE('Dry_Litterbag Placem_Collection'!N48,'Dry_Litterbag Placem_Collection'!Q48),"")</f>
        <v/>
      </c>
      <c r="AJ47" s="270">
        <f>INDEX(Coordinates!$B$2:$B$197,MATCH(G47,Coordinates!$J$2:$J$197,0))</f>
        <v>-3.4084730130000001</v>
      </c>
      <c r="AK47" s="270">
        <f>INDEX(Coordinates!$C$2:$C$197,MATCH(G47,Coordinates!$J$2:$J$197,0))</f>
        <v>34.850401980000001</v>
      </c>
      <c r="AL47" s="270" t="str">
        <f>IF(ISNUMBER(SEARCH("C", 'Dry_Litterbag Placem_Collection'!S48)),"YES","NO")</f>
        <v>NO</v>
      </c>
      <c r="AM47" s="270" t="str">
        <f>IF(ISNUMBER(SEARCH("H", 'Dry_Litterbag Placem_Collection'!S48)),"YES","NO")</f>
        <v>NO</v>
      </c>
      <c r="AN47" s="270" t="str">
        <f>IF(ISNUMBER(SEARCH("R", 'Dry_Litterbag Placem_Collection'!S48)),"YES","NO")</f>
        <v>NO</v>
      </c>
    </row>
    <row r="48" spans="1:40">
      <c r="A48" s="262" t="s">
        <v>2659</v>
      </c>
      <c r="B48" s="263">
        <f>'Dry_Litterbag Placem_Collection'!A49</f>
        <v>47</v>
      </c>
      <c r="C48" s="263" t="str">
        <f>'Dry_Litterbag Placem_Collection'!B49</f>
        <v>Makao</v>
      </c>
      <c r="D48" s="263" t="s">
        <v>2659</v>
      </c>
      <c r="E48" s="263" t="s">
        <v>20</v>
      </c>
      <c r="F48" s="263">
        <v>2</v>
      </c>
      <c r="G48" s="264" t="str">
        <f>'Dry_Litterbag Placem_Collection'!C49</f>
        <v>Dry_P2_T7</v>
      </c>
      <c r="H48" s="265" t="s">
        <v>2541</v>
      </c>
      <c r="I48" s="266" t="s">
        <v>1147</v>
      </c>
      <c r="J48" s="263" t="str">
        <f>IF(ISBLANK('Dry_Litterbag Placem_Collection'!J49),"","G"&amp;""&amp;'Dry_Litterbag Placem_Collection'!J49)</f>
        <v>G110</v>
      </c>
      <c r="K48" s="267">
        <f>IFERROR(INDEX('Green_rooibos initial weight'!$C$5:$C$1749,MATCH(J48, 'Green_rooibos initial weight'!$A$5:$A$1749,0)),"")</f>
        <v>2.093</v>
      </c>
      <c r="L48" s="267">
        <f>IFERROR(K48-(TBIcalc!$Q$9+TBIcalc!$Q$10),"")</f>
        <v>1.8431999999999999</v>
      </c>
      <c r="M48" s="391">
        <f>AVERAGE(Ashed_controlls!$K$2:$K$11)</f>
        <v>5.5147656768714146</v>
      </c>
      <c r="N48" s="267">
        <f t="shared" si="1"/>
        <v>1.741551839043906</v>
      </c>
      <c r="O48" s="267">
        <f>IF(IFERROR(INDEX('Both teabags AfterDry'!$D$3:$D$900,MATCH(J48,'Both teabags AfterDry'!$A$3:$A$900,0)),"")="","",(IFERROR(INDEX('Both teabags AfterDry'!$D$3:$D$900,MATCH(J48,'Both teabags AfterDry'!$A$3:$A$900,0)),"")))</f>
        <v>1.8372999999999999</v>
      </c>
      <c r="P48" s="267">
        <f>IFERROR(IF(O48&gt;0,O48-(TBIcalc!$Q$9),""),"")</f>
        <v>1.6866999999999999</v>
      </c>
      <c r="Q48" s="278">
        <f>IFERROR(INDEX('Ashed teabags dry'!$K$2:$K$825,MATCH(J48,'Ashed teabags dry'!$A$2:$A$825,0)),"")</f>
        <v>6.3440422936146827</v>
      </c>
      <c r="R48" s="278">
        <f t="shared" si="2"/>
        <v>1.5796950386336011</v>
      </c>
      <c r="S48" s="268">
        <f>'Dry_Litterbag Placem_Collection'!E49</f>
        <v>42938</v>
      </c>
      <c r="T48" s="268">
        <f>IF('Dry_Litterbag Placem_Collection'!G49="","",'Dry_Litterbag Placem_Collection'!G49)</f>
        <v>43005</v>
      </c>
      <c r="U48" s="269">
        <f t="shared" si="0"/>
        <v>67</v>
      </c>
      <c r="V48" s="267">
        <f t="shared" si="3"/>
        <v>0.15650000000000008</v>
      </c>
      <c r="W48" s="267">
        <f t="shared" si="4"/>
        <v>0.16185680041030492</v>
      </c>
      <c r="X48" s="271">
        <f>IFERROR(INDEX(Rainfall_Dry!$O$2:$O$217,MATCH(B48, Rainfall_Dry!$A$2:$A$217,0)),"")</f>
        <v>6.5250000359999998</v>
      </c>
      <c r="Y48" s="260">
        <v>19.96</v>
      </c>
      <c r="Z48" s="260">
        <v>4.9199999999999982</v>
      </c>
      <c r="AA48" s="260">
        <v>75.12</v>
      </c>
      <c r="AB48" s="261" t="s">
        <v>2671</v>
      </c>
      <c r="AC48" s="260">
        <v>1.641498275012321</v>
      </c>
      <c r="AD48">
        <f>IF('WetLitterbags placem_collection'!AB49="","",'WetLitterbags placem_collection'!AB49)</f>
        <v>5.2</v>
      </c>
      <c r="AE48">
        <f>IF('WetLitterbags placem_collection'!Z49="","",'WetLitterbags placem_collection'!Z49)</f>
        <v>5.2</v>
      </c>
      <c r="AF48" s="24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71">
        <f>IFERROR(AVERAGE('Dry_Litterbag Placem_Collection'!N49,'Dry_Litterbag Placem_Collection'!Q49),"")</f>
        <v>26.4</v>
      </c>
      <c r="AJ48" s="270">
        <f>INDEX(Coordinates!$B$2:$B$197,MATCH(G48,Coordinates!$J$2:$J$197,0))</f>
        <v>-3.4084819820000001</v>
      </c>
      <c r="AK48" s="270">
        <f>INDEX(Coordinates!$C$2:$C$197,MATCH(G48,Coordinates!$J$2:$J$197,0))</f>
        <v>34.850024040000001</v>
      </c>
      <c r="AL48" s="270" t="str">
        <f>IF(ISNUMBER(SEARCH("C", 'Dry_Litterbag Placem_Collection'!S49)),"YES","NO")</f>
        <v>NO</v>
      </c>
      <c r="AM48" s="270" t="str">
        <f>IF(ISNUMBER(SEARCH("H", 'Dry_Litterbag Placem_Collection'!S49)),"YES","NO")</f>
        <v>NO</v>
      </c>
      <c r="AN48" s="270" t="str">
        <f>IF(ISNUMBER(SEARCH("R", 'Dry_Litterbag Placem_Collection'!S49)),"YES","NO")</f>
        <v>NO</v>
      </c>
    </row>
    <row r="49" spans="1:40">
      <c r="A49" s="262" t="s">
        <v>2659</v>
      </c>
      <c r="B49" s="263">
        <f>'Dry_Litterbag Placem_Collection'!A50</f>
        <v>48</v>
      </c>
      <c r="C49" s="263" t="str">
        <f>'Dry_Litterbag Placem_Collection'!B50</f>
        <v>Makao</v>
      </c>
      <c r="D49" s="263" t="s">
        <v>2659</v>
      </c>
      <c r="E49" s="263" t="s">
        <v>20</v>
      </c>
      <c r="F49" s="263">
        <v>2</v>
      </c>
      <c r="G49" s="264" t="str">
        <f>'Dry_Litterbag Placem_Collection'!C50</f>
        <v>Dry_P2_T8</v>
      </c>
      <c r="H49" s="265" t="s">
        <v>2541</v>
      </c>
      <c r="I49" s="266" t="s">
        <v>1147</v>
      </c>
      <c r="J49" s="263" t="str">
        <f>IF(ISBLANK('Dry_Litterbag Placem_Collection'!J50),"","G"&amp;""&amp;'Dry_Litterbag Placem_Collection'!J50)</f>
        <v>G233</v>
      </c>
      <c r="K49" s="267">
        <f>IFERROR(INDEX('Green_rooibos initial weight'!$C$5:$C$1749,MATCH(J49, 'Green_rooibos initial weight'!$A$5:$A$1749,0)),"")</f>
        <v>1.9490000000000001</v>
      </c>
      <c r="L49" s="267">
        <f>IFERROR(K49-(TBIcalc!$Q$9+TBIcalc!$Q$10),"")</f>
        <v>1.6992</v>
      </c>
      <c r="M49" s="391">
        <f>AVERAGE(Ashed_controlls!$K$2:$K$11)</f>
        <v>5.5147656768714146</v>
      </c>
      <c r="N49" s="267">
        <f t="shared" si="1"/>
        <v>1.6054931016186009</v>
      </c>
      <c r="O49" s="267">
        <f>IF(IFERROR(INDEX('Both teabags AfterDry'!$D$3:$D$900,MATCH(J49,'Both teabags AfterDry'!$A$3:$A$900,0)),"")="","",(IFERROR(INDEX('Both teabags AfterDry'!$D$3:$D$900,MATCH(J49,'Both teabags AfterDry'!$A$3:$A$900,0)),"")))</f>
        <v>1.6727000000000001</v>
      </c>
      <c r="P49" s="267">
        <f>IFERROR(IF(O49&gt;0,O49-(TBIcalc!$Q$9),""),"")</f>
        <v>1.5221</v>
      </c>
      <c r="Q49" s="278">
        <f>IFERROR(INDEX('Ashed teabags dry'!$K$2:$K$825,MATCH(J49,'Ashed teabags dry'!$A$2:$A$825,0)),"")</f>
        <v>6.3352826510722657</v>
      </c>
      <c r="R49" s="278">
        <f t="shared" si="2"/>
        <v>1.4256706627680291</v>
      </c>
      <c r="S49" s="268">
        <f>'Dry_Litterbag Placem_Collection'!E50</f>
        <v>42938</v>
      </c>
      <c r="T49" s="268">
        <f>IF('Dry_Litterbag Placem_Collection'!G50="","",'Dry_Litterbag Placem_Collection'!G50)</f>
        <v>43005</v>
      </c>
      <c r="U49" s="269">
        <f t="shared" si="0"/>
        <v>67</v>
      </c>
      <c r="V49" s="267">
        <f t="shared" si="3"/>
        <v>0.17710000000000004</v>
      </c>
      <c r="W49" s="267">
        <f t="shared" si="4"/>
        <v>0.17982243885057181</v>
      </c>
      <c r="X49" s="271">
        <f>IFERROR(INDEX(Rainfall_Dry!$O$2:$O$217,MATCH(B49, Rainfall_Dry!$A$2:$A$217,0)),"")</f>
        <v>6.5250000359999998</v>
      </c>
      <c r="Y49" s="260">
        <v>19.96</v>
      </c>
      <c r="Z49" s="260">
        <v>4.9199999999999982</v>
      </c>
      <c r="AA49" s="260">
        <v>75.12</v>
      </c>
      <c r="AB49" s="261" t="s">
        <v>2671</v>
      </c>
      <c r="AC49" s="260">
        <v>1.641498275012321</v>
      </c>
      <c r="AD49">
        <f>IF('WetLitterbags placem_collection'!AB50="","",'WetLitterbags placem_collection'!AB50)</f>
        <v>7.3</v>
      </c>
      <c r="AE49">
        <f>IF('WetLitterbags placem_collection'!Z50="","",'WetLitterbags placem_collection'!Z50)</f>
        <v>27.2</v>
      </c>
      <c r="AF49" s="24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71">
        <f>IFERROR(AVERAGE('Dry_Litterbag Placem_Collection'!N50,'Dry_Litterbag Placem_Collection'!Q50),"")</f>
        <v>25.950000000000003</v>
      </c>
      <c r="AJ49" s="270">
        <f>INDEX(Coordinates!$B$2:$B$197,MATCH(G49,Coordinates!$J$2:$J$197,0))</f>
        <v>-3.4081990090000001</v>
      </c>
      <c r="AK49" s="270">
        <f>INDEX(Coordinates!$C$2:$C$197,MATCH(G49,Coordinates!$J$2:$J$197,0))</f>
        <v>34.850254960000001</v>
      </c>
      <c r="AL49" s="270" t="str">
        <f>IF(ISNUMBER(SEARCH("C", 'Dry_Litterbag Placem_Collection'!S50)),"YES","NO")</f>
        <v>NO</v>
      </c>
      <c r="AM49" s="270" t="str">
        <f>IF(ISNUMBER(SEARCH("H", 'Dry_Litterbag Placem_Collection'!S50)),"YES","NO")</f>
        <v>NO</v>
      </c>
      <c r="AN49" s="270" t="str">
        <f>IF(ISNUMBER(SEARCH("R", 'Dry_Litterbag Placem_Collection'!S50)),"YES","NO")</f>
        <v>NO</v>
      </c>
    </row>
    <row r="50" spans="1:40">
      <c r="A50" s="262" t="s">
        <v>2659</v>
      </c>
      <c r="B50" s="263">
        <f>'Dry_Litterbag Placem_Collection'!A51</f>
        <v>49</v>
      </c>
      <c r="C50" s="263" t="str">
        <f>'Dry_Litterbag Placem_Collection'!B51</f>
        <v>Makao</v>
      </c>
      <c r="D50" s="263" t="s">
        <v>2659</v>
      </c>
      <c r="E50" s="263" t="s">
        <v>20</v>
      </c>
      <c r="F50" s="263">
        <v>3</v>
      </c>
      <c r="G50" s="264" t="str">
        <f>'Dry_Litterbag Placem_Collection'!C51</f>
        <v>Dry_P3_T1</v>
      </c>
      <c r="H50" s="265" t="s">
        <v>2541</v>
      </c>
      <c r="I50" s="266" t="s">
        <v>1147</v>
      </c>
      <c r="J50" s="263" t="str">
        <f>IF(ISBLANK('Dry_Litterbag Placem_Collection'!J51),"","G"&amp;""&amp;'Dry_Litterbag Placem_Collection'!J51)</f>
        <v>G54</v>
      </c>
      <c r="K50" s="267">
        <f>IFERROR(INDEX('Green_rooibos initial weight'!$C$5:$C$1749,MATCH(J50, 'Green_rooibos initial weight'!$A$5:$A$1749,0)),"")</f>
        <v>2.0539999999999998</v>
      </c>
      <c r="L50" s="267">
        <f>IFERROR(K50-(TBIcalc!$Q$9+TBIcalc!$Q$10),"")</f>
        <v>1.8041999999999998</v>
      </c>
      <c r="M50" s="391">
        <f>AVERAGE(Ashed_controlls!$K$2:$K$11)</f>
        <v>5.5147656768714146</v>
      </c>
      <c r="N50" s="267">
        <f t="shared" si="1"/>
        <v>1.7047025976578858</v>
      </c>
      <c r="O50" s="267" t="str">
        <f>IF(IFERROR(INDEX('Both teabags AfterDry'!$D$3:$D$900,MATCH(J50,'Both teabags AfterDry'!$A$3:$A$900,0)),"")="","",(IFERROR(INDEX('Both teabags AfterDry'!$D$3:$D$900,MATCH(J50,'Both teabags AfterDry'!$A$3:$A$900,0)),"")))</f>
        <v/>
      </c>
      <c r="P50" s="267" t="str">
        <f>IFERROR(IF(O50&gt;0,O50-(TBIcalc!$Q$9),""),"")</f>
        <v/>
      </c>
      <c r="Q50" s="278" t="str">
        <f>IFERROR(INDEX('Ashed teabags dry'!$K$2:$K$825,MATCH(J50,'Ashed teabags dry'!$A$2:$A$825,0)),"")</f>
        <v/>
      </c>
      <c r="R50" s="278" t="str">
        <f t="shared" si="2"/>
        <v/>
      </c>
      <c r="S50" s="268">
        <f>'Dry_Litterbag Placem_Collection'!E51</f>
        <v>42938</v>
      </c>
      <c r="T50" s="268">
        <f>IF('Dry_Litterbag Placem_Collection'!G51="","",'Dry_Litterbag Placem_Collection'!G51)</f>
        <v>43005</v>
      </c>
      <c r="U50" s="269">
        <f t="shared" si="0"/>
        <v>67</v>
      </c>
      <c r="V50" s="267" t="str">
        <f t="shared" si="3"/>
        <v/>
      </c>
      <c r="W50" s="267" t="str">
        <f t="shared" si="4"/>
        <v/>
      </c>
      <c r="X50" s="271">
        <f>IFERROR(INDEX(Rainfall_Dry!$O$2:$O$217,MATCH(B50, Rainfall_Dry!$A$2:$A$217,0)),"")</f>
        <v>6.5250000359999998</v>
      </c>
      <c r="Y50" s="260">
        <v>21.96</v>
      </c>
      <c r="Z50" s="260">
        <v>8.9199999999999982</v>
      </c>
      <c r="AA50" s="260">
        <v>69.12</v>
      </c>
      <c r="AB50" s="261" t="s">
        <v>2670</v>
      </c>
      <c r="AC50" s="260">
        <v>1.7491375061606702</v>
      </c>
      <c r="AD50">
        <f>IF('WetLitterbags placem_collection'!AB51="","",'WetLitterbags placem_collection'!AB51)</f>
        <v>10.4</v>
      </c>
      <c r="AE50">
        <f>IF('WetLitterbags placem_collection'!Z51="","",'WetLitterbags placem_collection'!Z51)</f>
        <v>36</v>
      </c>
      <c r="AF50" s="24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71">
        <f>IFERROR(AVERAGE('Dry_Litterbag Placem_Collection'!N51,'Dry_Litterbag Placem_Collection'!Q51),"")</f>
        <v>31.5</v>
      </c>
      <c r="AJ50" s="270">
        <f>INDEX(Coordinates!$B$2:$B$197,MATCH(G50,Coordinates!$J$2:$J$197,0))</f>
        <v>-3.406225992</v>
      </c>
      <c r="AK50" s="270">
        <f>INDEX(Coordinates!$C$2:$C$197,MATCH(G50,Coordinates!$J$2:$J$197,0))</f>
        <v>34.85055998</v>
      </c>
      <c r="AL50" s="270" t="str">
        <f>IF(ISNUMBER(SEARCH("C", 'Dry_Litterbag Placem_Collection'!S51)),"YES","NO")</f>
        <v>NO</v>
      </c>
      <c r="AM50" s="270" t="str">
        <f>IF(ISNUMBER(SEARCH("H", 'Dry_Litterbag Placem_Collection'!S51)),"YES","NO")</f>
        <v>NO</v>
      </c>
      <c r="AN50" s="270" t="str">
        <f>IF(ISNUMBER(SEARCH("R", 'Dry_Litterbag Placem_Collection'!S51)),"YES","NO")</f>
        <v>NO</v>
      </c>
    </row>
    <row r="51" spans="1:40">
      <c r="A51" s="262" t="s">
        <v>2659</v>
      </c>
      <c r="B51" s="263">
        <f>'Dry_Litterbag Placem_Collection'!A52</f>
        <v>50</v>
      </c>
      <c r="C51" s="263" t="str">
        <f>'Dry_Litterbag Placem_Collection'!B52</f>
        <v>Makao</v>
      </c>
      <c r="D51" s="263" t="s">
        <v>2659</v>
      </c>
      <c r="E51" s="263" t="s">
        <v>20</v>
      </c>
      <c r="F51" s="263">
        <v>3</v>
      </c>
      <c r="G51" s="264" t="str">
        <f>'Dry_Litterbag Placem_Collection'!C52</f>
        <v>Dry_P3_T2</v>
      </c>
      <c r="H51" s="265" t="s">
        <v>2541</v>
      </c>
      <c r="I51" s="266" t="s">
        <v>1147</v>
      </c>
      <c r="J51" s="263" t="str">
        <f>IF(ISBLANK('Dry_Litterbag Placem_Collection'!J52),"","G"&amp;""&amp;'Dry_Litterbag Placem_Collection'!J52)</f>
        <v>G276</v>
      </c>
      <c r="K51" s="267">
        <f>IFERROR(INDEX('Green_rooibos initial weight'!$C$5:$C$1749,MATCH(J51, 'Green_rooibos initial weight'!$A$5:$A$1749,0)),"")</f>
        <v>1.966</v>
      </c>
      <c r="L51" s="267">
        <f>IFERROR(K51-(TBIcalc!$Q$9+TBIcalc!$Q$10),"")</f>
        <v>1.7161999999999999</v>
      </c>
      <c r="M51" s="391">
        <f>AVERAGE(Ashed_controlls!$K$2:$K$11)</f>
        <v>5.5147656768714146</v>
      </c>
      <c r="N51" s="267">
        <f t="shared" si="1"/>
        <v>1.6215555914535327</v>
      </c>
      <c r="O51" s="267" t="str">
        <f>IF(IFERROR(INDEX('Both teabags AfterDry'!$D$3:$D$900,MATCH(J51,'Both teabags AfterDry'!$A$3:$A$900,0)),"")="","",(IFERROR(INDEX('Both teabags AfterDry'!$D$3:$D$900,MATCH(J51,'Both teabags AfterDry'!$A$3:$A$900,0)),"")))</f>
        <v/>
      </c>
      <c r="P51" s="267" t="str">
        <f>IFERROR(IF(O51&gt;0,O51-(TBIcalc!$Q$9),""),"")</f>
        <v/>
      </c>
      <c r="Q51" s="278" t="str">
        <f>IFERROR(INDEX('Ashed teabags dry'!$K$2:$K$825,MATCH(J51,'Ashed teabags dry'!$A$2:$A$825,0)),"")</f>
        <v/>
      </c>
      <c r="R51" s="278" t="str">
        <f t="shared" si="2"/>
        <v/>
      </c>
      <c r="S51" s="268">
        <f>'Dry_Litterbag Placem_Collection'!E52</f>
        <v>42938</v>
      </c>
      <c r="T51" s="268" t="str">
        <f>IF('Dry_Litterbag Placem_Collection'!G52="","",'Dry_Litterbag Placem_Collection'!G52)</f>
        <v/>
      </c>
      <c r="U51" s="269" t="str">
        <f t="shared" si="0"/>
        <v/>
      </c>
      <c r="V51" s="267" t="str">
        <f t="shared" si="3"/>
        <v/>
      </c>
      <c r="W51" s="267" t="str">
        <f t="shared" si="4"/>
        <v/>
      </c>
      <c r="X51" s="271" t="str">
        <f>IFERROR(INDEX(Rainfall_Dry!$O$2:$O$217,MATCH(B51, Rainfall_Dry!$A$2:$A$217,0)),"")</f>
        <v/>
      </c>
      <c r="Y51" s="260">
        <v>21.96</v>
      </c>
      <c r="Z51" s="260">
        <v>8.9199999999999982</v>
      </c>
      <c r="AA51" s="260">
        <v>69.12</v>
      </c>
      <c r="AB51" s="261" t="s">
        <v>2670</v>
      </c>
      <c r="AC51" s="260">
        <v>1.7491375061606702</v>
      </c>
      <c r="AD51">
        <f>IF('WetLitterbags placem_collection'!AB52="","",'WetLitterbags placem_collection'!AB52)</f>
        <v>10</v>
      </c>
      <c r="AE51">
        <f>IF('WetLitterbags placem_collection'!Z52="","",'WetLitterbags placem_collection'!Z52)</f>
        <v>22.5</v>
      </c>
      <c r="AF51" s="24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71">
        <f>IFERROR(AVERAGE('Dry_Litterbag Placem_Collection'!N52,'Dry_Litterbag Placem_Collection'!Q52),"")</f>
        <v>27.6</v>
      </c>
      <c r="AJ51" s="270">
        <f>INDEX(Coordinates!$B$2:$B$197,MATCH(G51,Coordinates!$J$2:$J$197,0))</f>
        <v>-3.4062630399999998</v>
      </c>
      <c r="AK51" s="270">
        <f>INDEX(Coordinates!$C$2:$C$197,MATCH(G51,Coordinates!$J$2:$J$197,0))</f>
        <v>34.850566010000001</v>
      </c>
      <c r="AL51" s="270" t="str">
        <f>IF(ISNUMBER(SEARCH("C", 'Dry_Litterbag Placem_Collection'!S52)),"YES","NO")</f>
        <v>NO</v>
      </c>
      <c r="AM51" s="270" t="str">
        <f>IF(ISNUMBER(SEARCH("H", 'Dry_Litterbag Placem_Collection'!S52)),"YES","NO")</f>
        <v>NO</v>
      </c>
      <c r="AN51" s="270" t="str">
        <f>IF(ISNUMBER(SEARCH("R", 'Dry_Litterbag Placem_Collection'!S52)),"YES","NO")</f>
        <v>NO</v>
      </c>
    </row>
    <row r="52" spans="1:40">
      <c r="A52" s="262" t="s">
        <v>2659</v>
      </c>
      <c r="B52" s="263">
        <f>'Dry_Litterbag Placem_Collection'!A53</f>
        <v>51</v>
      </c>
      <c r="C52" s="263" t="str">
        <f>'Dry_Litterbag Placem_Collection'!B53</f>
        <v>Makao</v>
      </c>
      <c r="D52" s="263" t="s">
        <v>2659</v>
      </c>
      <c r="E52" s="263" t="s">
        <v>20</v>
      </c>
      <c r="F52" s="263">
        <v>3</v>
      </c>
      <c r="G52" s="264" t="str">
        <f>'Dry_Litterbag Placem_Collection'!C53</f>
        <v>Dry_P3_T3</v>
      </c>
      <c r="H52" s="265" t="s">
        <v>2541</v>
      </c>
      <c r="I52" s="266" t="s">
        <v>1147</v>
      </c>
      <c r="J52" s="263" t="str">
        <f>IF(ISBLANK('Dry_Litterbag Placem_Collection'!J53),"","G"&amp;""&amp;'Dry_Litterbag Placem_Collection'!J53)</f>
        <v>G227</v>
      </c>
      <c r="K52" s="267">
        <f>IFERROR(INDEX('Green_rooibos initial weight'!$C$5:$C$1749,MATCH(J52, 'Green_rooibos initial weight'!$A$5:$A$1749,0)),"")</f>
        <v>1.986</v>
      </c>
      <c r="L52" s="267">
        <f>IFERROR(K52-(TBIcalc!$Q$9+TBIcalc!$Q$10),"")</f>
        <v>1.7362</v>
      </c>
      <c r="M52" s="391">
        <f>AVERAGE(Ashed_controlls!$K$2:$K$11)</f>
        <v>5.5147656768714146</v>
      </c>
      <c r="N52" s="267">
        <f t="shared" si="1"/>
        <v>1.6404526383181586</v>
      </c>
      <c r="O52" s="267">
        <f>IF(IFERROR(INDEX('Both teabags AfterDry'!$D$3:$D$900,MATCH(J52,'Both teabags AfterDry'!$A$3:$A$900,0)),"")="","",(IFERROR(INDEX('Both teabags AfterDry'!$D$3:$D$900,MATCH(J52,'Both teabags AfterDry'!$A$3:$A$900,0)),"")))</f>
        <v>1.7715000000000001</v>
      </c>
      <c r="P52" s="267">
        <f>IFERROR(IF(O52&gt;0,O52-(TBIcalc!$Q$9),""),"")</f>
        <v>1.6209</v>
      </c>
      <c r="Q52" s="278">
        <f>IFERROR(INDEX('Ashed teabags dry'!$K$2:$K$825,MATCH(J52,'Ashed teabags dry'!$A$2:$A$825,0)),"")</f>
        <v>5.9108954565503948</v>
      </c>
      <c r="R52" s="278">
        <f t="shared" si="2"/>
        <v>1.5250902955447747</v>
      </c>
      <c r="S52" s="268">
        <f>'Dry_Litterbag Placem_Collection'!E53</f>
        <v>42938</v>
      </c>
      <c r="T52" s="268">
        <f>IF('Dry_Litterbag Placem_Collection'!G53="","",'Dry_Litterbag Placem_Collection'!G53)</f>
        <v>43005</v>
      </c>
      <c r="U52" s="269">
        <f t="shared" si="0"/>
        <v>67</v>
      </c>
      <c r="V52" s="267">
        <f t="shared" si="3"/>
        <v>0.11529999999999996</v>
      </c>
      <c r="W52" s="267">
        <f t="shared" si="4"/>
        <v>0.11536234277338386</v>
      </c>
      <c r="X52" s="271">
        <f>IFERROR(INDEX(Rainfall_Dry!$O$2:$O$217,MATCH(B52, Rainfall_Dry!$A$2:$A$217,0)),"")</f>
        <v>6.5250000359999998</v>
      </c>
      <c r="Y52" s="260">
        <v>21.96</v>
      </c>
      <c r="Z52" s="260">
        <v>8.9199999999999982</v>
      </c>
      <c r="AA52" s="260">
        <v>69.12</v>
      </c>
      <c r="AB52" s="261" t="s">
        <v>2670</v>
      </c>
      <c r="AC52" s="260">
        <v>1.7491375061606702</v>
      </c>
      <c r="AD52">
        <f>IF('WetLitterbags placem_collection'!AB53="","",'WetLitterbags placem_collection'!AB53)</f>
        <v>3</v>
      </c>
      <c r="AE52">
        <f>IF('WetLitterbags placem_collection'!Z53="","",'WetLitterbags placem_collection'!Z53)</f>
        <v>18</v>
      </c>
      <c r="AF52" s="24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71">
        <f>IFERROR(AVERAGE('Dry_Litterbag Placem_Collection'!N53,'Dry_Litterbag Placem_Collection'!Q53),"")</f>
        <v>34.450000000000003</v>
      </c>
      <c r="AJ52" s="270">
        <f>INDEX(Coordinates!$B$2:$B$197,MATCH(G52,Coordinates!$J$2:$J$197,0))</f>
        <v>-3.4063920379999999</v>
      </c>
      <c r="AK52" s="270">
        <f>INDEX(Coordinates!$C$2:$C$197,MATCH(G52,Coordinates!$J$2:$J$197,0))</f>
        <v>34.850696020000001</v>
      </c>
      <c r="AL52" s="270" t="str">
        <f>IF(ISNUMBER(SEARCH("C", 'Dry_Litterbag Placem_Collection'!S53)),"YES","NO")</f>
        <v>NO</v>
      </c>
      <c r="AM52" s="270" t="str">
        <f>IF(ISNUMBER(SEARCH("H", 'Dry_Litterbag Placem_Collection'!S53)),"YES","NO")</f>
        <v>NO</v>
      </c>
      <c r="AN52" s="270" t="str">
        <f>IF(ISNUMBER(SEARCH("R", 'Dry_Litterbag Placem_Collection'!S53)),"YES","NO")</f>
        <v>NO</v>
      </c>
    </row>
    <row r="53" spans="1:40">
      <c r="A53" s="262" t="s">
        <v>2659</v>
      </c>
      <c r="B53" s="263">
        <f>'Dry_Litterbag Placem_Collection'!A54</f>
        <v>52</v>
      </c>
      <c r="C53" s="263" t="str">
        <f>'Dry_Litterbag Placem_Collection'!B54</f>
        <v>Makao</v>
      </c>
      <c r="D53" s="263" t="s">
        <v>2659</v>
      </c>
      <c r="E53" s="263" t="s">
        <v>20</v>
      </c>
      <c r="F53" s="263">
        <v>3</v>
      </c>
      <c r="G53" s="264" t="str">
        <f>'Dry_Litterbag Placem_Collection'!C54</f>
        <v>Dry_P3_T4</v>
      </c>
      <c r="H53" s="265" t="s">
        <v>2541</v>
      </c>
      <c r="I53" s="266" t="s">
        <v>1147</v>
      </c>
      <c r="J53" s="263" t="str">
        <f>IF(ISBLANK('Dry_Litterbag Placem_Collection'!J54),"","G"&amp;""&amp;'Dry_Litterbag Placem_Collection'!J54)</f>
        <v>G237</v>
      </c>
      <c r="K53" s="267">
        <f>IFERROR(INDEX('Green_rooibos initial weight'!$C$5:$C$1749,MATCH(J53, 'Green_rooibos initial weight'!$A$5:$A$1749,0)),"")</f>
        <v>1.988</v>
      </c>
      <c r="L53" s="267">
        <f>IFERROR(K53-(TBIcalc!$Q$9+TBIcalc!$Q$10),"")</f>
        <v>1.7382</v>
      </c>
      <c r="M53" s="391">
        <f>AVERAGE(Ashed_controlls!$K$2:$K$11)</f>
        <v>5.5147656768714146</v>
      </c>
      <c r="N53" s="267">
        <f t="shared" si="1"/>
        <v>1.6423423430046211</v>
      </c>
      <c r="O53" s="267">
        <f>IF(IFERROR(INDEX('Both teabags AfterDry'!$D$3:$D$900,MATCH(J53,'Both teabags AfterDry'!$A$3:$A$900,0)),"")="","",(IFERROR(INDEX('Both teabags AfterDry'!$D$3:$D$900,MATCH(J53,'Both teabags AfterDry'!$A$3:$A$900,0)),"")))</f>
        <v>1.8220000000000001</v>
      </c>
      <c r="P53" s="267">
        <f>IFERROR(IF(O53&gt;0,O53-(TBIcalc!$Q$9),""),"")</f>
        <v>1.6714</v>
      </c>
      <c r="Q53" s="278">
        <f>IFERROR(INDEX('Ashed teabags dry'!$K$2:$K$825,MATCH(J53,'Ashed teabags dry'!$A$2:$A$825,0)),"")</f>
        <v>5.8161350844273088</v>
      </c>
      <c r="R53" s="278">
        <f t="shared" si="2"/>
        <v>1.5741891181988819</v>
      </c>
      <c r="S53" s="268">
        <f>'Dry_Litterbag Placem_Collection'!E54</f>
        <v>42938</v>
      </c>
      <c r="T53" s="268">
        <f>IF('Dry_Litterbag Placem_Collection'!G54="","",'Dry_Litterbag Placem_Collection'!G54)</f>
        <v>43005</v>
      </c>
      <c r="U53" s="269">
        <f t="shared" si="0"/>
        <v>67</v>
      </c>
      <c r="V53" s="267">
        <f t="shared" si="3"/>
        <v>6.6799999999999971E-2</v>
      </c>
      <c r="W53" s="267">
        <f t="shared" si="4"/>
        <v>6.8153224805739265E-2</v>
      </c>
      <c r="X53" s="271">
        <f>IFERROR(INDEX(Rainfall_Dry!$O$2:$O$217,MATCH(B53, Rainfall_Dry!$A$2:$A$217,0)),"")</f>
        <v>6.5250000359999998</v>
      </c>
      <c r="Y53" s="260">
        <v>21.96</v>
      </c>
      <c r="Z53" s="260">
        <v>8.9199999999999982</v>
      </c>
      <c r="AA53" s="260">
        <v>69.12</v>
      </c>
      <c r="AB53" s="261" t="s">
        <v>2670</v>
      </c>
      <c r="AC53" s="260">
        <v>1.7491375061606702</v>
      </c>
      <c r="AD53">
        <f>IF('WetLitterbags placem_collection'!AB54="","",'WetLitterbags placem_collection'!AB54)</f>
        <v>13.4</v>
      </c>
      <c r="AE53">
        <f>IF('WetLitterbags placem_collection'!Z54="","",'WetLitterbags placem_collection'!Z54)</f>
        <v>67</v>
      </c>
      <c r="AF53" s="24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71">
        <f>IFERROR(AVERAGE('Dry_Litterbag Placem_Collection'!N54,'Dry_Litterbag Placem_Collection'!Q54),"")</f>
        <v>30.75</v>
      </c>
      <c r="AJ53" s="270">
        <f>INDEX(Coordinates!$B$2:$B$197,MATCH(G53,Coordinates!$J$2:$J$197,0))</f>
        <v>-3.4061569999999999</v>
      </c>
      <c r="AK53" s="270">
        <f>INDEX(Coordinates!$C$2:$C$197,MATCH(G53,Coordinates!$J$2:$J$197,0))</f>
        <v>34.850738999999997</v>
      </c>
      <c r="AL53" s="270" t="str">
        <f>IF(ISNUMBER(SEARCH("C", 'Dry_Litterbag Placem_Collection'!S54)),"YES","NO")</f>
        <v>NO</v>
      </c>
      <c r="AM53" s="270" t="str">
        <f>IF(ISNUMBER(SEARCH("H", 'Dry_Litterbag Placem_Collection'!S54)),"YES","NO")</f>
        <v>NO</v>
      </c>
      <c r="AN53" s="270" t="str">
        <f>IF(ISNUMBER(SEARCH("R", 'Dry_Litterbag Placem_Collection'!S54)),"YES","NO")</f>
        <v>NO</v>
      </c>
    </row>
    <row r="54" spans="1:40">
      <c r="A54" s="262" t="s">
        <v>2659</v>
      </c>
      <c r="B54" s="263">
        <f>'Dry_Litterbag Placem_Collection'!A55</f>
        <v>53</v>
      </c>
      <c r="C54" s="263" t="str">
        <f>'Dry_Litterbag Placem_Collection'!B55</f>
        <v>Makao</v>
      </c>
      <c r="D54" s="263" t="s">
        <v>2659</v>
      </c>
      <c r="E54" s="263" t="s">
        <v>20</v>
      </c>
      <c r="F54" s="263">
        <v>3</v>
      </c>
      <c r="G54" s="264" t="str">
        <f>'Dry_Litterbag Placem_Collection'!C55</f>
        <v>Dry_P3_T5</v>
      </c>
      <c r="H54" s="265" t="s">
        <v>2541</v>
      </c>
      <c r="I54" s="266" t="s">
        <v>1147</v>
      </c>
      <c r="J54" s="263" t="str">
        <f>IF(ISBLANK('Dry_Litterbag Placem_Collection'!J55),"","G"&amp;""&amp;'Dry_Litterbag Placem_Collection'!J55)</f>
        <v>G172</v>
      </c>
      <c r="K54" s="267">
        <f>IFERROR(INDEX('Green_rooibos initial weight'!$C$5:$C$1749,MATCH(J54, 'Green_rooibos initial weight'!$A$5:$A$1749,0)),"")</f>
        <v>1.9870000000000001</v>
      </c>
      <c r="L54" s="267">
        <f>IFERROR(K54-(TBIcalc!$Q$9+TBIcalc!$Q$10),"")</f>
        <v>1.7372000000000001</v>
      </c>
      <c r="M54" s="391">
        <f>AVERAGE(Ashed_controlls!$K$2:$K$11)</f>
        <v>5.5147656768714146</v>
      </c>
      <c r="N54" s="267">
        <f t="shared" si="1"/>
        <v>1.64139749066139</v>
      </c>
      <c r="O54" s="267">
        <f>IF(IFERROR(INDEX('Both teabags AfterDry'!$D$3:$D$900,MATCH(J54,'Both teabags AfterDry'!$A$3:$A$900,0)),"")="","",(IFERROR(INDEX('Both teabags AfterDry'!$D$3:$D$900,MATCH(J54,'Both teabags AfterDry'!$A$3:$A$900,0)),"")))</f>
        <v>1.8197000000000001</v>
      </c>
      <c r="P54" s="267">
        <f>IFERROR(IF(O54&gt;0,O54-(TBIcalc!$Q$9),""),"")</f>
        <v>1.6691</v>
      </c>
      <c r="Q54" s="278">
        <f>IFERROR(INDEX('Ashed teabags dry'!$K$2:$K$825,MATCH(J54,'Ashed teabags dry'!$A$2:$A$825,0)),"")</f>
        <v>5.6308213378488601</v>
      </c>
      <c r="R54" s="278">
        <f t="shared" si="2"/>
        <v>1.5751159610499648</v>
      </c>
      <c r="S54" s="268">
        <f>'Dry_Litterbag Placem_Collection'!E55</f>
        <v>42938</v>
      </c>
      <c r="T54" s="268">
        <f>IF('Dry_Litterbag Placem_Collection'!G55="","",'Dry_Litterbag Placem_Collection'!G55)</f>
        <v>43005</v>
      </c>
      <c r="U54" s="269">
        <f t="shared" si="0"/>
        <v>67</v>
      </c>
      <c r="V54" s="267">
        <f t="shared" si="3"/>
        <v>6.8100000000000049E-2</v>
      </c>
      <c r="W54" s="267">
        <f t="shared" si="4"/>
        <v>6.6281529611425194E-2</v>
      </c>
      <c r="X54" s="271">
        <f>IFERROR(INDEX(Rainfall_Dry!$O$2:$O$217,MATCH(B54, Rainfall_Dry!$A$2:$A$217,0)),"")</f>
        <v>6.5250000359999998</v>
      </c>
      <c r="Y54" s="260">
        <v>21.96</v>
      </c>
      <c r="Z54" s="260">
        <v>8.9199999999999982</v>
      </c>
      <c r="AA54" s="260">
        <v>69.12</v>
      </c>
      <c r="AB54" s="261" t="s">
        <v>2670</v>
      </c>
      <c r="AC54" s="260">
        <v>1.7491375061606702</v>
      </c>
      <c r="AD54" t="str">
        <f>IF('WetLitterbags placem_collection'!AB55="","",'WetLitterbags placem_collection'!AB55)</f>
        <v/>
      </c>
      <c r="AE54" t="str">
        <f>IF('WetLitterbags placem_collection'!Z55="","",'WetLitterbags placem_collection'!Z55)</f>
        <v/>
      </c>
      <c r="AF54" s="24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71">
        <f>IFERROR(AVERAGE('Dry_Litterbag Placem_Collection'!N55,'Dry_Litterbag Placem_Collection'!Q55),"")</f>
        <v>30.4</v>
      </c>
      <c r="AJ54" s="270">
        <f>INDEX(Coordinates!$B$2:$B$197,MATCH(G54,Coordinates!$J$2:$J$197,0))</f>
        <v>-3.4061140000000001</v>
      </c>
      <c r="AK54" s="270">
        <f>INDEX(Coordinates!$C$2:$C$197,MATCH(G54,Coordinates!$J$2:$J$197,0))</f>
        <v>34.850596000000003</v>
      </c>
      <c r="AL54" s="270" t="str">
        <f>IF(ISNUMBER(SEARCH("C", 'Dry_Litterbag Placem_Collection'!S55)),"YES","NO")</f>
        <v>NO</v>
      </c>
      <c r="AM54" s="270" t="str">
        <f>IF(ISNUMBER(SEARCH("H", 'Dry_Litterbag Placem_Collection'!S55)),"YES","NO")</f>
        <v>NO</v>
      </c>
      <c r="AN54" s="270" t="str">
        <f>IF(ISNUMBER(SEARCH("R", 'Dry_Litterbag Placem_Collection'!S55)),"YES","NO")</f>
        <v>NO</v>
      </c>
    </row>
    <row r="55" spans="1:40">
      <c r="A55" s="262" t="s">
        <v>2659</v>
      </c>
      <c r="B55" s="263">
        <f>'Dry_Litterbag Placem_Collection'!A56</f>
        <v>54</v>
      </c>
      <c r="C55" s="263" t="str">
        <f>'Dry_Litterbag Placem_Collection'!B56</f>
        <v>Makao</v>
      </c>
      <c r="D55" s="263" t="s">
        <v>2659</v>
      </c>
      <c r="E55" s="263" t="s">
        <v>20</v>
      </c>
      <c r="F55" s="263">
        <v>3</v>
      </c>
      <c r="G55" s="264" t="str">
        <f>'Dry_Litterbag Placem_Collection'!C56</f>
        <v>Dry_P3_T6</v>
      </c>
      <c r="H55" s="265" t="s">
        <v>2541</v>
      </c>
      <c r="I55" s="266" t="s">
        <v>1147</v>
      </c>
      <c r="J55" s="263" t="str">
        <f>IF(ISBLANK('Dry_Litterbag Placem_Collection'!J56),"","G"&amp;""&amp;'Dry_Litterbag Placem_Collection'!J56)</f>
        <v/>
      </c>
      <c r="K55" s="267" t="str">
        <f>IFERROR(INDEX('Green_rooibos initial weight'!$C$5:$C$1749,MATCH(J55, 'Green_rooibos initial weight'!$A$5:$A$1749,0)),"")</f>
        <v/>
      </c>
      <c r="L55" s="267" t="str">
        <f>IFERROR(K55-(TBIcalc!$Q$9+TBIcalc!$Q$10),"")</f>
        <v/>
      </c>
      <c r="M55" s="391">
        <f>AVERAGE(Ashed_controlls!$K$2:$K$11)</f>
        <v>5.5147656768714146</v>
      </c>
      <c r="N55" s="267" t="str">
        <f t="shared" si="1"/>
        <v/>
      </c>
      <c r="O55" s="267" t="str">
        <f>IF(IFERROR(INDEX('Both teabags AfterDry'!$D$3:$D$900,MATCH(J55,'Both teabags AfterDry'!$A$3:$A$900,0)),"")="","",(IFERROR(INDEX('Both teabags AfterDry'!$D$3:$D$900,MATCH(J55,'Both teabags AfterDry'!$A$3:$A$900,0)),"")))</f>
        <v/>
      </c>
      <c r="P55" s="267" t="str">
        <f>IFERROR(IF(O55&gt;0,O55-(TBIcalc!$Q$9),""),"")</f>
        <v/>
      </c>
      <c r="Q55" s="278" t="str">
        <f>IFERROR(INDEX('Ashed teabags dry'!$K$2:$K$825,MATCH(J55,'Ashed teabags dry'!$A$2:$A$825,0)),"")</f>
        <v/>
      </c>
      <c r="R55" s="278" t="str">
        <f t="shared" si="2"/>
        <v/>
      </c>
      <c r="S55" s="268">
        <f>'Dry_Litterbag Placem_Collection'!E56</f>
        <v>0</v>
      </c>
      <c r="T55" s="268" t="str">
        <f>IF('Dry_Litterbag Placem_Collection'!G56="","",'Dry_Litterbag Placem_Collection'!G56)</f>
        <v/>
      </c>
      <c r="U55" s="269" t="str">
        <f t="shared" si="0"/>
        <v/>
      </c>
      <c r="V55" s="267" t="str">
        <f t="shared" si="3"/>
        <v/>
      </c>
      <c r="W55" s="267" t="str">
        <f t="shared" si="4"/>
        <v/>
      </c>
      <c r="X55" s="271" t="str">
        <f>IFERROR(INDEX(Rainfall_Dry!$O$2:$O$217,MATCH(B55, Rainfall_Dry!$A$2:$A$217,0)),"")</f>
        <v/>
      </c>
      <c r="Y55" s="260">
        <v>21.96</v>
      </c>
      <c r="Z55" s="260">
        <v>8.9199999999999982</v>
      </c>
      <c r="AA55" s="260">
        <v>69.12</v>
      </c>
      <c r="AB55" s="261" t="s">
        <v>2670</v>
      </c>
      <c r="AC55" s="260">
        <v>1.7491375061606702</v>
      </c>
      <c r="AD55" t="str">
        <f>IF('WetLitterbags placem_collection'!AB56="","",'WetLitterbags placem_collection'!AB56)</f>
        <v/>
      </c>
      <c r="AE55" t="str">
        <f>IF('WetLitterbags placem_collection'!Z56="","",'WetLitterbags placem_collection'!Z56)</f>
        <v/>
      </c>
      <c r="AF55" s="24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71" t="str">
        <f>IFERROR(AVERAGE('Dry_Litterbag Placem_Collection'!N56,'Dry_Litterbag Placem_Collection'!Q56),"")</f>
        <v/>
      </c>
      <c r="AJ55" s="270">
        <f>INDEX(Coordinates!$B$2:$B$197,MATCH(G55,Coordinates!$J$2:$J$197,0))</f>
        <v>-3.406058019</v>
      </c>
      <c r="AK55" s="270">
        <f>INDEX(Coordinates!$C$2:$C$197,MATCH(G55,Coordinates!$J$2:$J$197,0))</f>
        <v>34.850466019999999</v>
      </c>
      <c r="AL55" s="270" t="str">
        <f>IF(ISNUMBER(SEARCH("C", 'Dry_Litterbag Placem_Collection'!S56)),"YES","NO")</f>
        <v>NO</v>
      </c>
      <c r="AM55" s="270" t="str">
        <f>IF(ISNUMBER(SEARCH("H", 'Dry_Litterbag Placem_Collection'!S56)),"YES","NO")</f>
        <v>NO</v>
      </c>
      <c r="AN55" s="270" t="str">
        <f>IF(ISNUMBER(SEARCH("R", 'Dry_Litterbag Placem_Collection'!S56)),"YES","NO")</f>
        <v>NO</v>
      </c>
    </row>
    <row r="56" spans="1:40">
      <c r="A56" s="262" t="s">
        <v>2659</v>
      </c>
      <c r="B56" s="263">
        <f>'Dry_Litterbag Placem_Collection'!A57</f>
        <v>55</v>
      </c>
      <c r="C56" s="263" t="str">
        <f>'Dry_Litterbag Placem_Collection'!B57</f>
        <v>Makao</v>
      </c>
      <c r="D56" s="263" t="s">
        <v>2659</v>
      </c>
      <c r="E56" s="263" t="s">
        <v>20</v>
      </c>
      <c r="F56" s="263">
        <v>3</v>
      </c>
      <c r="G56" s="264" t="str">
        <f>'Dry_Litterbag Placem_Collection'!C57</f>
        <v>Dry_P3_T7</v>
      </c>
      <c r="H56" s="265" t="s">
        <v>2541</v>
      </c>
      <c r="I56" s="266" t="s">
        <v>1147</v>
      </c>
      <c r="J56" s="263" t="str">
        <f>IF(ISBLANK('Dry_Litterbag Placem_Collection'!J57),"","G"&amp;""&amp;'Dry_Litterbag Placem_Collection'!J57)</f>
        <v>G86</v>
      </c>
      <c r="K56" s="267">
        <f>IFERROR(INDEX('Green_rooibos initial weight'!$C$5:$C$1749,MATCH(J56, 'Green_rooibos initial weight'!$A$5:$A$1749,0)),"")</f>
        <v>2.1030000000000002</v>
      </c>
      <c r="L56" s="267">
        <f>IFERROR(K56-(TBIcalc!$Q$9+TBIcalc!$Q$10),"")</f>
        <v>1.8532000000000002</v>
      </c>
      <c r="M56" s="391">
        <f>AVERAGE(Ashed_controlls!$K$2:$K$11)</f>
        <v>5.5147656768714146</v>
      </c>
      <c r="N56" s="267">
        <f t="shared" si="1"/>
        <v>1.7510003624762192</v>
      </c>
      <c r="O56" s="267">
        <f>IF(IFERROR(INDEX('Both teabags AfterDry'!$D$3:$D$900,MATCH(J56,'Both teabags AfterDry'!$A$3:$A$900,0)),"")="","",(IFERROR(INDEX('Both teabags AfterDry'!$D$3:$D$900,MATCH(J56,'Both teabags AfterDry'!$A$3:$A$900,0)),"")))</f>
        <v>1.8914</v>
      </c>
      <c r="P56" s="267">
        <f>IFERROR(IF(O56&gt;0,O56-(TBIcalc!$Q$9),""),"")</f>
        <v>1.7407999999999999</v>
      </c>
      <c r="Q56" s="278">
        <f>IFERROR(INDEX('Ashed teabags dry'!$K$2:$K$825,MATCH(J56,'Ashed teabags dry'!$A$2:$A$825,0)),"")</f>
        <v>6.1160714285713613</v>
      </c>
      <c r="R56" s="278">
        <f t="shared" si="2"/>
        <v>1.6343314285714297</v>
      </c>
      <c r="S56" s="268">
        <f>'Dry_Litterbag Placem_Collection'!E57</f>
        <v>42938</v>
      </c>
      <c r="T56" s="268">
        <f>IF('Dry_Litterbag Placem_Collection'!G57="","",'Dry_Litterbag Placem_Collection'!G57)</f>
        <v>43005</v>
      </c>
      <c r="U56" s="269">
        <f t="shared" si="0"/>
        <v>67</v>
      </c>
      <c r="V56" s="267">
        <f t="shared" si="3"/>
        <v>0.11240000000000028</v>
      </c>
      <c r="W56" s="267">
        <f t="shared" si="4"/>
        <v>0.1166689339047895</v>
      </c>
      <c r="X56" s="271">
        <f>IFERROR(INDEX(Rainfall_Dry!$O$2:$O$217,MATCH(B56, Rainfall_Dry!$A$2:$A$217,0)),"")</f>
        <v>6.5250000359999998</v>
      </c>
      <c r="Y56" s="260">
        <v>21.96</v>
      </c>
      <c r="Z56" s="260">
        <v>8.9199999999999982</v>
      </c>
      <c r="AA56" s="260">
        <v>69.12</v>
      </c>
      <c r="AB56" s="261" t="s">
        <v>2670</v>
      </c>
      <c r="AC56" s="260">
        <v>1.7491375061606702</v>
      </c>
      <c r="AD56">
        <f>IF('WetLitterbags placem_collection'!AB57="","",'WetLitterbags placem_collection'!AB57)</f>
        <v>15.8</v>
      </c>
      <c r="AE56">
        <f>IF('WetLitterbags placem_collection'!Z57="","",'WetLitterbags placem_collection'!Z57)</f>
        <v>45</v>
      </c>
      <c r="AF56" s="24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71">
        <f>IFERROR(AVERAGE('Dry_Litterbag Placem_Collection'!N57,'Dry_Litterbag Placem_Collection'!Q57),"")</f>
        <v>31.9</v>
      </c>
      <c r="AJ56" s="270">
        <f>INDEX(Coordinates!$B$2:$B$197,MATCH(G56,Coordinates!$J$2:$J$197,0))</f>
        <v>-3.4061389879999999</v>
      </c>
      <c r="AK56" s="270">
        <f>INDEX(Coordinates!$C$2:$C$197,MATCH(G56,Coordinates!$J$2:$J$197,0))</f>
        <v>34.850574979999998</v>
      </c>
      <c r="AL56" s="270" t="str">
        <f>IF(ISNUMBER(SEARCH("C", 'Dry_Litterbag Placem_Collection'!S57)),"YES","NO")</f>
        <v>YES</v>
      </c>
      <c r="AM56" s="270" t="str">
        <f>IF(ISNUMBER(SEARCH("H", 'Dry_Litterbag Placem_Collection'!S57)),"YES","NO")</f>
        <v>YES</v>
      </c>
      <c r="AN56" s="270" t="str">
        <f>IF(ISNUMBER(SEARCH("R", 'Dry_Litterbag Placem_Collection'!S57)),"YES","NO")</f>
        <v>NO</v>
      </c>
    </row>
    <row r="57" spans="1:40">
      <c r="A57" s="262" t="s">
        <v>2659</v>
      </c>
      <c r="B57" s="263">
        <f>'Dry_Litterbag Placem_Collection'!A58</f>
        <v>56</v>
      </c>
      <c r="C57" s="263" t="str">
        <f>'Dry_Litterbag Placem_Collection'!B58</f>
        <v>Makao</v>
      </c>
      <c r="D57" s="263" t="s">
        <v>2659</v>
      </c>
      <c r="E57" s="263" t="s">
        <v>20</v>
      </c>
      <c r="F57" s="263">
        <v>3</v>
      </c>
      <c r="G57" s="264" t="str">
        <f>'Dry_Litterbag Placem_Collection'!C58</f>
        <v>Dry_P3_T8</v>
      </c>
      <c r="H57" s="265" t="s">
        <v>2541</v>
      </c>
      <c r="I57" s="266" t="s">
        <v>1147</v>
      </c>
      <c r="J57" s="263" t="str">
        <f>IF(ISBLANK('Dry_Litterbag Placem_Collection'!J58),"","G"&amp;""&amp;'Dry_Litterbag Placem_Collection'!J58)</f>
        <v>G107</v>
      </c>
      <c r="K57" s="267">
        <f>IFERROR(INDEX('Green_rooibos initial weight'!$C$5:$C$1749,MATCH(J57, 'Green_rooibos initial weight'!$A$5:$A$1749,0)),"")</f>
        <v>2.1749999999999998</v>
      </c>
      <c r="L57" s="267">
        <f>IFERROR(K57-(TBIcalc!$Q$9+TBIcalc!$Q$10),"")</f>
        <v>1.9251999999999998</v>
      </c>
      <c r="M57" s="391">
        <f>AVERAGE(Ashed_controlls!$K$2:$K$11)</f>
        <v>5.5147656768714146</v>
      </c>
      <c r="N57" s="267">
        <f t="shared" si="1"/>
        <v>1.8190297311888712</v>
      </c>
      <c r="O57" s="267">
        <f>IF(IFERROR(INDEX('Both teabags AfterDry'!$D$3:$D$900,MATCH(J57,'Both teabags AfterDry'!$A$3:$A$900,0)),"")="","",(IFERROR(INDEX('Both teabags AfterDry'!$D$3:$D$900,MATCH(J57,'Both teabags AfterDry'!$A$3:$A$900,0)),"")))</f>
        <v>2.0276000000000001</v>
      </c>
      <c r="P57" s="267">
        <f>IFERROR(IF(O57&gt;0,O57-(TBIcalc!$Q$9),""),"")</f>
        <v>1.877</v>
      </c>
      <c r="Q57" s="278">
        <f>IFERROR(INDEX('Ashed teabags dry'!$K$2:$K$825,MATCH(J57,'Ashed teabags dry'!$A$2:$A$825,0)),"")</f>
        <v>5.6218057921633493</v>
      </c>
      <c r="R57" s="278">
        <f t="shared" si="2"/>
        <v>1.7714787052810939</v>
      </c>
      <c r="S57" s="268">
        <f>'Dry_Litterbag Placem_Collection'!E58</f>
        <v>42938</v>
      </c>
      <c r="T57" s="268">
        <f>IF('Dry_Litterbag Placem_Collection'!G58="","",'Dry_Litterbag Placem_Collection'!G58)</f>
        <v>43005</v>
      </c>
      <c r="U57" s="269">
        <f t="shared" si="0"/>
        <v>67</v>
      </c>
      <c r="V57" s="267">
        <f t="shared" si="3"/>
        <v>4.8199999999999799E-2</v>
      </c>
      <c r="W57" s="267">
        <f t="shared" si="4"/>
        <v>4.7551025907777378E-2</v>
      </c>
      <c r="X57" s="271">
        <f>IFERROR(INDEX(Rainfall_Dry!$O$2:$O$217,MATCH(B57, Rainfall_Dry!$A$2:$A$217,0)),"")</f>
        <v>6.5250000359999998</v>
      </c>
      <c r="Y57" s="260">
        <v>21.96</v>
      </c>
      <c r="Z57" s="260">
        <v>8.9199999999999982</v>
      </c>
      <c r="AA57" s="260">
        <v>69.12</v>
      </c>
      <c r="AB57" s="261" t="s">
        <v>2670</v>
      </c>
      <c r="AC57" s="260">
        <v>1.7491375061606702</v>
      </c>
      <c r="AD57">
        <f>IF('WetLitterbags placem_collection'!AB58="","",'WetLitterbags placem_collection'!AB58)</f>
        <v>15.4</v>
      </c>
      <c r="AE57">
        <f>IF('WetLitterbags placem_collection'!Z58="","",'WetLitterbags placem_collection'!Z58)</f>
        <v>30.8</v>
      </c>
      <c r="AF57" s="24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71">
        <f>IFERROR(AVERAGE('Dry_Litterbag Placem_Collection'!N58,'Dry_Litterbag Placem_Collection'!Q58),"")</f>
        <v>30.049999999999997</v>
      </c>
      <c r="AJ57" s="270">
        <f>INDEX(Coordinates!$B$2:$B$197,MATCH(G57,Coordinates!$J$2:$J$197,0))</f>
        <v>-3.4062900300000001</v>
      </c>
      <c r="AK57" s="270">
        <f>INDEX(Coordinates!$C$2:$C$197,MATCH(G57,Coordinates!$J$2:$J$197,0))</f>
        <v>34.850441959999998</v>
      </c>
      <c r="AL57" s="270" t="str">
        <f>IF(ISNUMBER(SEARCH("C", 'Dry_Litterbag Placem_Collection'!S58)),"YES","NO")</f>
        <v>NO</v>
      </c>
      <c r="AM57" s="270" t="str">
        <f>IF(ISNUMBER(SEARCH("H", 'Dry_Litterbag Placem_Collection'!S58)),"YES","NO")</f>
        <v>NO</v>
      </c>
      <c r="AN57" s="270" t="str">
        <f>IF(ISNUMBER(SEARCH("R", 'Dry_Litterbag Placem_Collection'!S58)),"YES","NO")</f>
        <v>NO</v>
      </c>
    </row>
    <row r="58" spans="1:40">
      <c r="A58" s="262" t="s">
        <v>2659</v>
      </c>
      <c r="B58" s="263">
        <f>'Dry_Litterbag Placem_Collection'!A59</f>
        <v>57</v>
      </c>
      <c r="C58" s="263" t="str">
        <f>'Dry_Litterbag Placem_Collection'!B59</f>
        <v>Makao</v>
      </c>
      <c r="D58" s="263" t="s">
        <v>2659</v>
      </c>
      <c r="E58" s="263" t="s">
        <v>20</v>
      </c>
      <c r="F58" s="263">
        <v>4</v>
      </c>
      <c r="G58" s="264" t="str">
        <f>'Dry_Litterbag Placem_Collection'!C59</f>
        <v>Dry_P4_T1</v>
      </c>
      <c r="H58" s="265" t="s">
        <v>2541</v>
      </c>
      <c r="I58" s="266" t="s">
        <v>1147</v>
      </c>
      <c r="J58" s="263" t="str">
        <f>IF(ISBLANK('Dry_Litterbag Placem_Collection'!J59),"","G"&amp;""&amp;'Dry_Litterbag Placem_Collection'!J59)</f>
        <v>G41</v>
      </c>
      <c r="K58" s="267">
        <f>IFERROR(INDEX('Green_rooibos initial weight'!$C$5:$C$1749,MATCH(J58, 'Green_rooibos initial weight'!$A$5:$A$1749,0)),"")</f>
        <v>1.9850000000000001</v>
      </c>
      <c r="L58" s="267">
        <f>IFERROR(K58-(TBIcalc!$Q$9+TBIcalc!$Q$10),"")</f>
        <v>1.7352000000000001</v>
      </c>
      <c r="M58" s="391">
        <f>AVERAGE(Ashed_controlls!$K$2:$K$11)</f>
        <v>5.5147656768714146</v>
      </c>
      <c r="N58" s="267">
        <f t="shared" si="1"/>
        <v>1.6395077859749272</v>
      </c>
      <c r="O58" s="267">
        <f>IF(IFERROR(INDEX('Both teabags AfterDry'!$D$3:$D$900,MATCH(J58,'Both teabags AfterDry'!$A$3:$A$900,0)),"")="","",(IFERROR(INDEX('Both teabags AfterDry'!$D$3:$D$900,MATCH(J58,'Both teabags AfterDry'!$A$3:$A$900,0)),"")))</f>
        <v>1.7847</v>
      </c>
      <c r="P58" s="267">
        <f>IFERROR(IF(O58&gt;0,O58-(TBIcalc!$Q$9),""),"")</f>
        <v>1.6340999999999999</v>
      </c>
      <c r="Q58" s="278">
        <f>IFERROR(INDEX('Ashed teabags dry'!$K$2:$K$825,MATCH(J58,'Ashed teabags dry'!$A$2:$A$825,0)),"")</f>
        <v>6.1166429587480353</v>
      </c>
      <c r="R58" s="278">
        <f t="shared" si="2"/>
        <v>1.5341479374110982</v>
      </c>
      <c r="S58" s="268">
        <f>'Dry_Litterbag Placem_Collection'!E59</f>
        <v>42938</v>
      </c>
      <c r="T58" s="268">
        <f>IF('Dry_Litterbag Placem_Collection'!G59="","",'Dry_Litterbag Placem_Collection'!G59)</f>
        <v>43005</v>
      </c>
      <c r="U58" s="269">
        <f t="shared" si="0"/>
        <v>67</v>
      </c>
      <c r="V58" s="267">
        <f t="shared" si="3"/>
        <v>0.10110000000000019</v>
      </c>
      <c r="W58" s="267">
        <f t="shared" si="4"/>
        <v>0.10535984856382896</v>
      </c>
      <c r="X58" s="271">
        <f>IFERROR(INDEX(Rainfall_Dry!$O$2:$O$217,MATCH(B58, Rainfall_Dry!$A$2:$A$217,0)),"")</f>
        <v>6.5250000359999998</v>
      </c>
      <c r="Y58" s="260">
        <v>25.96</v>
      </c>
      <c r="Z58" s="260">
        <v>6.9200000000000008</v>
      </c>
      <c r="AA58" s="260">
        <v>67.12</v>
      </c>
      <c r="AB58" s="261" t="s">
        <v>2670</v>
      </c>
      <c r="AC58" s="260">
        <v>1.7568260226712666</v>
      </c>
      <c r="AD58">
        <f>IF('WetLitterbags placem_collection'!AB59="","",'WetLitterbags placem_collection'!AB59)</f>
        <v>3.3</v>
      </c>
      <c r="AE58">
        <f>IF('WetLitterbags placem_collection'!Z59="","",'WetLitterbags placem_collection'!Z59)</f>
        <v>28.4</v>
      </c>
      <c r="AF58" s="24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71">
        <f>IFERROR(AVERAGE('Dry_Litterbag Placem_Collection'!N59,'Dry_Litterbag Placem_Collection'!Q59),"")</f>
        <v>33.25</v>
      </c>
      <c r="AJ58" s="270">
        <f>INDEX(Coordinates!$B$2:$B$197,MATCH(G58,Coordinates!$J$2:$J$197,0))</f>
        <v>-3.4064239729999999</v>
      </c>
      <c r="AK58" s="270">
        <f>INDEX(Coordinates!$C$2:$C$197,MATCH(G58,Coordinates!$J$2:$J$197,0))</f>
        <v>34.851213010000002</v>
      </c>
      <c r="AL58" s="270" t="str">
        <f>IF(ISNUMBER(SEARCH("C", 'Dry_Litterbag Placem_Collection'!S59)),"YES","NO")</f>
        <v>NO</v>
      </c>
      <c r="AM58" s="270" t="str">
        <f>IF(ISNUMBER(SEARCH("H", 'Dry_Litterbag Placem_Collection'!S59)),"YES","NO")</f>
        <v>NO</v>
      </c>
      <c r="AN58" s="270" t="str">
        <f>IF(ISNUMBER(SEARCH("R", 'Dry_Litterbag Placem_Collection'!S59)),"YES","NO")</f>
        <v>NO</v>
      </c>
    </row>
    <row r="59" spans="1:40">
      <c r="A59" s="262" t="s">
        <v>2659</v>
      </c>
      <c r="B59" s="263">
        <f>'Dry_Litterbag Placem_Collection'!A60</f>
        <v>58</v>
      </c>
      <c r="C59" s="263" t="str">
        <f>'Dry_Litterbag Placem_Collection'!B60</f>
        <v>Makao</v>
      </c>
      <c r="D59" s="263" t="s">
        <v>2659</v>
      </c>
      <c r="E59" s="263" t="s">
        <v>20</v>
      </c>
      <c r="F59" s="263">
        <v>4</v>
      </c>
      <c r="G59" s="264" t="str">
        <f>'Dry_Litterbag Placem_Collection'!C60</f>
        <v>Dry_P4_T2</v>
      </c>
      <c r="H59" s="265" t="s">
        <v>2541</v>
      </c>
      <c r="I59" s="266" t="s">
        <v>1147</v>
      </c>
      <c r="J59" s="263" t="str">
        <f>IF(ISBLANK('Dry_Litterbag Placem_Collection'!J60),"","G"&amp;""&amp;'Dry_Litterbag Placem_Collection'!J60)</f>
        <v>G481</v>
      </c>
      <c r="K59" s="267">
        <f>IFERROR(INDEX('Green_rooibos initial weight'!$C$5:$C$1749,MATCH(J59, 'Green_rooibos initial weight'!$A$5:$A$1749,0)),"")</f>
        <v>2.0529999999999999</v>
      </c>
      <c r="L59" s="267">
        <f>IFERROR(K59-(TBIcalc!$Q$9+TBIcalc!$Q$10),"")</f>
        <v>1.8031999999999999</v>
      </c>
      <c r="M59" s="391">
        <f>AVERAGE(Ashed_controlls!$K$2:$K$11)</f>
        <v>5.5147656768714146</v>
      </c>
      <c r="N59" s="267">
        <f t="shared" si="1"/>
        <v>1.7037577453146546</v>
      </c>
      <c r="O59" s="267">
        <f>IF(IFERROR(INDEX('Both teabags AfterDry'!$D$3:$D$900,MATCH(J59,'Both teabags AfterDry'!$A$3:$A$900,0)),"")="","",(IFERROR(INDEX('Both teabags AfterDry'!$D$3:$D$900,MATCH(J59,'Both teabags AfterDry'!$A$3:$A$900,0)),"")))</f>
        <v>1.7612000000000001</v>
      </c>
      <c r="P59" s="267">
        <f>IFERROR(IF(O59&gt;0,O59-(TBIcalc!$Q$9),""),"")</f>
        <v>1.6106</v>
      </c>
      <c r="Q59" s="278">
        <f>IFERROR(INDEX('Ashed teabags dry'!$K$2:$K$825,MATCH(J59,'Ashed teabags dry'!$A$2:$A$825,0)),"")</f>
        <v>5.8618976651769072</v>
      </c>
      <c r="R59" s="278">
        <f t="shared" si="2"/>
        <v>1.5161882762046608</v>
      </c>
      <c r="S59" s="268">
        <f>'Dry_Litterbag Placem_Collection'!E60</f>
        <v>42938</v>
      </c>
      <c r="T59" s="268">
        <f>IF('Dry_Litterbag Placem_Collection'!G60="","",'Dry_Litterbag Placem_Collection'!G60)</f>
        <v>43005</v>
      </c>
      <c r="U59" s="269">
        <f t="shared" si="0"/>
        <v>67</v>
      </c>
      <c r="V59" s="267">
        <f t="shared" si="3"/>
        <v>0.19259999999999988</v>
      </c>
      <c r="W59" s="267">
        <f t="shared" si="4"/>
        <v>0.18756946910999384</v>
      </c>
      <c r="X59" s="271">
        <f>IFERROR(INDEX(Rainfall_Dry!$O$2:$O$217,MATCH(B59, Rainfall_Dry!$A$2:$A$217,0)),"")</f>
        <v>6.5250000359999998</v>
      </c>
      <c r="Y59" s="260">
        <v>25.96</v>
      </c>
      <c r="Z59" s="260">
        <v>6.9200000000000008</v>
      </c>
      <c r="AA59" s="260">
        <v>67.12</v>
      </c>
      <c r="AB59" s="261" t="s">
        <v>2670</v>
      </c>
      <c r="AC59" s="260">
        <v>1.7568260226712666</v>
      </c>
      <c r="AD59">
        <f>IF('WetLitterbags placem_collection'!AB60="","",'WetLitterbags placem_collection'!AB60)</f>
        <v>1.4</v>
      </c>
      <c r="AE59">
        <f>IF('WetLitterbags placem_collection'!Z60="","",'WetLitterbags placem_collection'!Z60)</f>
        <v>54.4</v>
      </c>
      <c r="AF59" s="24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71">
        <f>IFERROR(AVERAGE('Dry_Litterbag Placem_Collection'!N60,'Dry_Litterbag Placem_Collection'!Q60),"")</f>
        <v>32.35</v>
      </c>
      <c r="AJ59" s="270">
        <f>INDEX(Coordinates!$B$2:$B$197,MATCH(G59,Coordinates!$J$2:$J$197,0))</f>
        <v>-3.4065020079999999</v>
      </c>
      <c r="AK59" s="270">
        <f>INDEX(Coordinates!$C$2:$C$197,MATCH(G59,Coordinates!$J$2:$J$197,0))</f>
        <v>34.851056020000001</v>
      </c>
      <c r="AL59" s="270" t="str">
        <f>IF(ISNUMBER(SEARCH("C", 'Dry_Litterbag Placem_Collection'!S60)),"YES","NO")</f>
        <v>NO</v>
      </c>
      <c r="AM59" s="270" t="str">
        <f>IF(ISNUMBER(SEARCH("H", 'Dry_Litterbag Placem_Collection'!S60)),"YES","NO")</f>
        <v>YES</v>
      </c>
      <c r="AN59" s="270" t="str">
        <f>IF(ISNUMBER(SEARCH("R", 'Dry_Litterbag Placem_Collection'!S60)),"YES","NO")</f>
        <v>NO</v>
      </c>
    </row>
    <row r="60" spans="1:40">
      <c r="A60" s="262" t="s">
        <v>2659</v>
      </c>
      <c r="B60" s="263">
        <f>'Dry_Litterbag Placem_Collection'!A61</f>
        <v>59</v>
      </c>
      <c r="C60" s="263" t="str">
        <f>'Dry_Litterbag Placem_Collection'!B61</f>
        <v>Makao</v>
      </c>
      <c r="D60" s="263" t="s">
        <v>2659</v>
      </c>
      <c r="E60" s="263" t="s">
        <v>20</v>
      </c>
      <c r="F60" s="263">
        <v>4</v>
      </c>
      <c r="G60" s="264" t="str">
        <f>'Dry_Litterbag Placem_Collection'!C61</f>
        <v>Dry_P4_T3</v>
      </c>
      <c r="H60" s="265" t="s">
        <v>2541</v>
      </c>
      <c r="I60" s="266" t="s">
        <v>1147</v>
      </c>
      <c r="J60" s="263" t="str">
        <f>IF(ISBLANK('Dry_Litterbag Placem_Collection'!J61),"","G"&amp;""&amp;'Dry_Litterbag Placem_Collection'!J61)</f>
        <v>G261</v>
      </c>
      <c r="K60" s="267">
        <f>IFERROR(INDEX('Green_rooibos initial weight'!$C$5:$C$1749,MATCH(J60, 'Green_rooibos initial weight'!$A$5:$A$1749,0)),"")</f>
        <v>1.9850000000000001</v>
      </c>
      <c r="L60" s="267">
        <f>IFERROR(K60-(TBIcalc!$Q$9+TBIcalc!$Q$10),"")</f>
        <v>1.7352000000000001</v>
      </c>
      <c r="M60" s="391">
        <f>AVERAGE(Ashed_controlls!$K$2:$K$11)</f>
        <v>5.5147656768714146</v>
      </c>
      <c r="N60" s="267">
        <f t="shared" si="1"/>
        <v>1.6395077859749272</v>
      </c>
      <c r="O60" s="267">
        <f>IF(IFERROR(INDEX('Both teabags AfterDry'!$D$3:$D$900,MATCH(J60,'Both teabags AfterDry'!$A$3:$A$900,0)),"")="","",(IFERROR(INDEX('Both teabags AfterDry'!$D$3:$D$900,MATCH(J60,'Both teabags AfterDry'!$A$3:$A$900,0)),"")))</f>
        <v>1.8041</v>
      </c>
      <c r="P60" s="267">
        <f>IFERROR(IF(O60&gt;0,O60-(TBIcalc!$Q$9),""),"")</f>
        <v>1.6535</v>
      </c>
      <c r="Q60" s="278">
        <f>IFERROR(INDEX('Ashed teabags dry'!$K$2:$K$825,MATCH(J60,'Ashed teabags dry'!$A$2:$A$825,0)),"")</f>
        <v>5.7350933090575786</v>
      </c>
      <c r="R60" s="278">
        <f t="shared" si="2"/>
        <v>1.558670232134733</v>
      </c>
      <c r="S60" s="268">
        <f>'Dry_Litterbag Placem_Collection'!E61</f>
        <v>42938</v>
      </c>
      <c r="T60" s="268">
        <f>IF('Dry_Litterbag Placem_Collection'!G61="","",'Dry_Litterbag Placem_Collection'!G61)</f>
        <v>43005</v>
      </c>
      <c r="U60" s="269">
        <f t="shared" si="0"/>
        <v>67</v>
      </c>
      <c r="V60" s="267">
        <f t="shared" si="3"/>
        <v>8.1700000000000106E-2</v>
      </c>
      <c r="W60" s="267">
        <f t="shared" si="4"/>
        <v>8.0837553840194198E-2</v>
      </c>
      <c r="X60" s="271">
        <f>IFERROR(INDEX(Rainfall_Dry!$O$2:$O$217,MATCH(B60, Rainfall_Dry!$A$2:$A$217,0)),"")</f>
        <v>6.5250000359999998</v>
      </c>
      <c r="Y60" s="260">
        <v>25.96</v>
      </c>
      <c r="Z60" s="260">
        <v>6.9200000000000008</v>
      </c>
      <c r="AA60" s="260">
        <v>67.12</v>
      </c>
      <c r="AB60" s="261" t="s">
        <v>2670</v>
      </c>
      <c r="AC60" s="260">
        <v>1.7568260226712666</v>
      </c>
      <c r="AD60">
        <f>IF('WetLitterbags placem_collection'!AB61="","",'WetLitterbags placem_collection'!AB61)</f>
        <v>3.3</v>
      </c>
      <c r="AE60">
        <f>IF('WetLitterbags placem_collection'!Z61="","",'WetLitterbags placem_collection'!Z61)</f>
        <v>46</v>
      </c>
      <c r="AF60" s="24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71">
        <f>IFERROR(AVERAGE('Dry_Litterbag Placem_Collection'!N61,'Dry_Litterbag Placem_Collection'!Q61),"")</f>
        <v>31.8</v>
      </c>
      <c r="AJ60" s="270">
        <f>INDEX(Coordinates!$B$2:$B$197,MATCH(G60,Coordinates!$J$2:$J$197,0))</f>
        <v>-3.4062359670000002</v>
      </c>
      <c r="AK60" s="270">
        <f>INDEX(Coordinates!$C$2:$C$197,MATCH(G60,Coordinates!$J$2:$J$197,0))</f>
        <v>34.851107990000003</v>
      </c>
      <c r="AL60" s="270" t="str">
        <f>IF(ISNUMBER(SEARCH("C", 'Dry_Litterbag Placem_Collection'!S61)),"YES","NO")</f>
        <v>NO</v>
      </c>
      <c r="AM60" s="270" t="str">
        <f>IF(ISNUMBER(SEARCH("H", 'Dry_Litterbag Placem_Collection'!S61)),"YES","NO")</f>
        <v>NO</v>
      </c>
      <c r="AN60" s="270" t="str">
        <f>IF(ISNUMBER(SEARCH("R", 'Dry_Litterbag Placem_Collection'!S61)),"YES","NO")</f>
        <v>NO</v>
      </c>
    </row>
    <row r="61" spans="1:40">
      <c r="A61" s="262" t="s">
        <v>2659</v>
      </c>
      <c r="B61" s="263">
        <f>'Dry_Litterbag Placem_Collection'!A62</f>
        <v>60</v>
      </c>
      <c r="C61" s="263" t="str">
        <f>'Dry_Litterbag Placem_Collection'!B62</f>
        <v>Makao</v>
      </c>
      <c r="D61" s="263" t="s">
        <v>2659</v>
      </c>
      <c r="E61" s="263" t="s">
        <v>20</v>
      </c>
      <c r="F61" s="263">
        <v>4</v>
      </c>
      <c r="G61" s="264" t="str">
        <f>'Dry_Litterbag Placem_Collection'!C62</f>
        <v>Dry_P4_T4</v>
      </c>
      <c r="H61" s="265" t="s">
        <v>2541</v>
      </c>
      <c r="I61" s="266" t="s">
        <v>1147</v>
      </c>
      <c r="J61" s="263" t="str">
        <f>IF(ISBLANK('Dry_Litterbag Placem_Collection'!J62),"","G"&amp;""&amp;'Dry_Litterbag Placem_Collection'!J62)</f>
        <v>G152</v>
      </c>
      <c r="K61" s="267">
        <f>IFERROR(INDEX('Green_rooibos initial weight'!$C$5:$C$1749,MATCH(J61, 'Green_rooibos initial weight'!$A$5:$A$1749,0)),"")</f>
        <v>2.0489999999999999</v>
      </c>
      <c r="L61" s="267">
        <f>IFERROR(K61-(TBIcalc!$Q$9+TBIcalc!$Q$10),"")</f>
        <v>1.7991999999999999</v>
      </c>
      <c r="M61" s="391">
        <f>AVERAGE(Ashed_controlls!$K$2:$K$11)</f>
        <v>5.5147656768714146</v>
      </c>
      <c r="N61" s="267">
        <f t="shared" si="1"/>
        <v>1.6999783359417293</v>
      </c>
      <c r="O61" s="267">
        <f>IF(IFERROR(INDEX('Both teabags AfterDry'!$D$3:$D$900,MATCH(J61,'Both teabags AfterDry'!$A$3:$A$900,0)),"")="","",(IFERROR(INDEX('Both teabags AfterDry'!$D$3:$D$900,MATCH(J61,'Both teabags AfterDry'!$A$3:$A$900,0)),"")))</f>
        <v>1.8697999999999999</v>
      </c>
      <c r="P61" s="267">
        <f>IFERROR(IF(O61&gt;0,O61-(TBIcalc!$Q$9),""),"")</f>
        <v>1.7191999999999998</v>
      </c>
      <c r="Q61" s="278">
        <f>IFERROR(INDEX('Ashed teabags dry'!$K$2:$K$825,MATCH(J61,'Ashed teabags dry'!$A$2:$A$825,0)),"")</f>
        <v>5.545536519386725</v>
      </c>
      <c r="R61" s="278">
        <f t="shared" si="2"/>
        <v>1.6238611361587032</v>
      </c>
      <c r="S61" s="268">
        <f>'Dry_Litterbag Placem_Collection'!E62</f>
        <v>42938</v>
      </c>
      <c r="T61" s="268">
        <f>IF('Dry_Litterbag Placem_Collection'!G62="","",'Dry_Litterbag Placem_Collection'!G62)</f>
        <v>43005</v>
      </c>
      <c r="U61" s="269">
        <f t="shared" si="0"/>
        <v>67</v>
      </c>
      <c r="V61" s="267">
        <f t="shared" si="3"/>
        <v>8.0000000000000071E-2</v>
      </c>
      <c r="W61" s="267">
        <f t="shared" si="4"/>
        <v>7.6117199783026113E-2</v>
      </c>
      <c r="X61" s="271">
        <f>IFERROR(INDEX(Rainfall_Dry!$O$2:$O$217,MATCH(B61, Rainfall_Dry!$A$2:$A$217,0)),"")</f>
        <v>6.5250000359999998</v>
      </c>
      <c r="Y61" s="260">
        <v>25.96</v>
      </c>
      <c r="Z61" s="260">
        <v>6.9200000000000008</v>
      </c>
      <c r="AA61" s="260">
        <v>67.12</v>
      </c>
      <c r="AB61" s="261" t="s">
        <v>2670</v>
      </c>
      <c r="AC61" s="260">
        <v>1.7568260226712666</v>
      </c>
      <c r="AD61">
        <f>IF('WetLitterbags placem_collection'!AB62="","",'WetLitterbags placem_collection'!AB62)</f>
        <v>2.4</v>
      </c>
      <c r="AE61">
        <f>IF('WetLitterbags placem_collection'!Z62="","",'WetLitterbags placem_collection'!Z62)</f>
        <v>10.199999999999999</v>
      </c>
      <c r="AF61" s="24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71">
        <f>IFERROR(AVERAGE('Dry_Litterbag Placem_Collection'!N62,'Dry_Litterbag Placem_Collection'!Q62),"")</f>
        <v>32.650000000000006</v>
      </c>
      <c r="AJ61" s="270">
        <f>INDEX(Coordinates!$B$2:$B$197,MATCH(G61,Coordinates!$J$2:$J$197,0))</f>
        <v>-3.406281983</v>
      </c>
      <c r="AK61" s="270">
        <f>INDEX(Coordinates!$C$2:$C$197,MATCH(G61,Coordinates!$J$2:$J$197,0))</f>
        <v>34.85137898</v>
      </c>
      <c r="AL61" s="270" t="str">
        <f>IF(ISNUMBER(SEARCH("C", 'Dry_Litterbag Placem_Collection'!S62)),"YES","NO")</f>
        <v>NO</v>
      </c>
      <c r="AM61" s="270" t="str">
        <f>IF(ISNUMBER(SEARCH("H", 'Dry_Litterbag Placem_Collection'!S62)),"YES","NO")</f>
        <v>NO</v>
      </c>
      <c r="AN61" s="270" t="str">
        <f>IF(ISNUMBER(SEARCH("R", 'Dry_Litterbag Placem_Collection'!S62)),"YES","NO")</f>
        <v>NO</v>
      </c>
    </row>
    <row r="62" spans="1:40">
      <c r="A62" s="262" t="s">
        <v>2659</v>
      </c>
      <c r="B62" s="263">
        <f>'Dry_Litterbag Placem_Collection'!A63</f>
        <v>61</v>
      </c>
      <c r="C62" s="263" t="str">
        <f>'Dry_Litterbag Placem_Collection'!B63</f>
        <v>Makao</v>
      </c>
      <c r="D62" s="263" t="s">
        <v>2659</v>
      </c>
      <c r="E62" s="263" t="s">
        <v>20</v>
      </c>
      <c r="F62" s="263">
        <v>4</v>
      </c>
      <c r="G62" s="264" t="str">
        <f>'Dry_Litterbag Placem_Collection'!C63</f>
        <v>Dry_P4_T5</v>
      </c>
      <c r="H62" s="265" t="s">
        <v>2541</v>
      </c>
      <c r="I62" s="266" t="s">
        <v>1147</v>
      </c>
      <c r="J62" s="263" t="str">
        <f>IF(ISBLANK('Dry_Litterbag Placem_Collection'!J63),"","G"&amp;""&amp;'Dry_Litterbag Placem_Collection'!J63)</f>
        <v>G191</v>
      </c>
      <c r="K62" s="267">
        <f>IFERROR(INDEX('Green_rooibos initial weight'!$C$5:$C$1749,MATCH(J62, 'Green_rooibos initial weight'!$A$5:$A$1749,0)),"")</f>
        <v>2.0590000000000002</v>
      </c>
      <c r="L62" s="267">
        <f>IFERROR(K62-(TBIcalc!$Q$9+TBIcalc!$Q$10),"")</f>
        <v>1.8092000000000001</v>
      </c>
      <c r="M62" s="391">
        <f>AVERAGE(Ashed_controlls!$K$2:$K$11)</f>
        <v>5.5147656768714146</v>
      </c>
      <c r="N62" s="267">
        <f t="shared" si="1"/>
        <v>1.7094268593740425</v>
      </c>
      <c r="O62" s="267" t="str">
        <f>IF(IFERROR(INDEX('Both teabags AfterDry'!$D$3:$D$900,MATCH(J62,'Both teabags AfterDry'!$A$3:$A$900,0)),"")="","",(IFERROR(INDEX('Both teabags AfterDry'!$D$3:$D$900,MATCH(J62,'Both teabags AfterDry'!$A$3:$A$900,0)),"")))</f>
        <v/>
      </c>
      <c r="P62" s="267" t="str">
        <f>IFERROR(IF(O62&gt;0,O62-(TBIcalc!$Q$9),""),"")</f>
        <v/>
      </c>
      <c r="Q62" s="278" t="str">
        <f>IFERROR(INDEX('Ashed teabags dry'!$K$2:$K$825,MATCH(J62,'Ashed teabags dry'!$A$2:$A$825,0)),"")</f>
        <v/>
      </c>
      <c r="R62" s="278" t="str">
        <f t="shared" si="2"/>
        <v/>
      </c>
      <c r="S62" s="268">
        <f>'Dry_Litterbag Placem_Collection'!E63</f>
        <v>42938</v>
      </c>
      <c r="T62" s="268">
        <f>IF('Dry_Litterbag Placem_Collection'!G63="","",'Dry_Litterbag Placem_Collection'!G63)</f>
        <v>43005</v>
      </c>
      <c r="U62" s="269">
        <f t="shared" si="0"/>
        <v>67</v>
      </c>
      <c r="V62" s="267" t="str">
        <f t="shared" si="3"/>
        <v/>
      </c>
      <c r="W62" s="267" t="str">
        <f t="shared" si="4"/>
        <v/>
      </c>
      <c r="X62" s="271">
        <f>IFERROR(INDEX(Rainfall_Dry!$O$2:$O$217,MATCH(B62, Rainfall_Dry!$A$2:$A$217,0)),"")</f>
        <v>6.5250000359999998</v>
      </c>
      <c r="Y62" s="260">
        <v>25.96</v>
      </c>
      <c r="Z62" s="260">
        <v>6.9200000000000008</v>
      </c>
      <c r="AA62" s="260">
        <v>67.12</v>
      </c>
      <c r="AB62" s="261" t="s">
        <v>2670</v>
      </c>
      <c r="AC62" s="260">
        <v>1.7568260226712666</v>
      </c>
      <c r="AD62">
        <f>IF('WetLitterbags placem_collection'!AB63="","",'WetLitterbags placem_collection'!AB63)</f>
        <v>5.6</v>
      </c>
      <c r="AE62">
        <f>IF('WetLitterbags placem_collection'!Z63="","",'WetLitterbags placem_collection'!Z63)</f>
        <v>34.200000000000003</v>
      </c>
      <c r="AF62" s="24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71">
        <f>IFERROR(AVERAGE('Dry_Litterbag Placem_Collection'!N63,'Dry_Litterbag Placem_Collection'!Q63),"")</f>
        <v>34</v>
      </c>
      <c r="AJ62" s="270">
        <f>INDEX(Coordinates!$B$2:$B$197,MATCH(G62,Coordinates!$J$2:$J$197,0))</f>
        <v>-3.406569986</v>
      </c>
      <c r="AK62" s="270">
        <f>INDEX(Coordinates!$C$2:$C$197,MATCH(G62,Coordinates!$J$2:$J$197,0))</f>
        <v>34.851323989999997</v>
      </c>
      <c r="AL62" s="270" t="str">
        <f>IF(ISNUMBER(SEARCH("C", 'Dry_Litterbag Placem_Collection'!S63)),"YES","NO")</f>
        <v>NO</v>
      </c>
      <c r="AM62" s="270" t="str">
        <f>IF(ISNUMBER(SEARCH("H", 'Dry_Litterbag Placem_Collection'!S63)),"YES","NO")</f>
        <v>NO</v>
      </c>
      <c r="AN62" s="270" t="str">
        <f>IF(ISNUMBER(SEARCH("R", 'Dry_Litterbag Placem_Collection'!S63)),"YES","NO")</f>
        <v>NO</v>
      </c>
    </row>
    <row r="63" spans="1:40">
      <c r="A63" s="262" t="s">
        <v>2659</v>
      </c>
      <c r="B63" s="263">
        <f>'Dry_Litterbag Placem_Collection'!A64</f>
        <v>62</v>
      </c>
      <c r="C63" s="263" t="str">
        <f>'Dry_Litterbag Placem_Collection'!B64</f>
        <v>Makao</v>
      </c>
      <c r="D63" s="263" t="s">
        <v>2659</v>
      </c>
      <c r="E63" s="263" t="s">
        <v>20</v>
      </c>
      <c r="F63" s="263">
        <v>4</v>
      </c>
      <c r="G63" s="264" t="str">
        <f>'Dry_Litterbag Placem_Collection'!C64</f>
        <v>Dry_P4_T6</v>
      </c>
      <c r="H63" s="265" t="s">
        <v>2541</v>
      </c>
      <c r="I63" s="266" t="s">
        <v>1147</v>
      </c>
      <c r="J63" s="263" t="str">
        <f>IF(ISBLANK('Dry_Litterbag Placem_Collection'!J64),"","G"&amp;""&amp;'Dry_Litterbag Placem_Collection'!J64)</f>
        <v/>
      </c>
      <c r="K63" s="267" t="str">
        <f>IFERROR(INDEX('Green_rooibos initial weight'!$C$5:$C$1749,MATCH(J63, 'Green_rooibos initial weight'!$A$5:$A$1749,0)),"")</f>
        <v/>
      </c>
      <c r="L63" s="267" t="str">
        <f>IFERROR(K63-(TBIcalc!$Q$9+TBIcalc!$Q$10),"")</f>
        <v/>
      </c>
      <c r="M63" s="391">
        <f>AVERAGE(Ashed_controlls!$K$2:$K$11)</f>
        <v>5.5147656768714146</v>
      </c>
      <c r="N63" s="267" t="str">
        <f t="shared" si="1"/>
        <v/>
      </c>
      <c r="O63" s="267" t="str">
        <f>IF(IFERROR(INDEX('Both teabags AfterDry'!$D$3:$D$900,MATCH(J63,'Both teabags AfterDry'!$A$3:$A$900,0)),"")="","",(IFERROR(INDEX('Both teabags AfterDry'!$D$3:$D$900,MATCH(J63,'Both teabags AfterDry'!$A$3:$A$900,0)),"")))</f>
        <v/>
      </c>
      <c r="P63" s="267" t="str">
        <f>IFERROR(IF(O63&gt;0,O63-(TBIcalc!$Q$9),""),"")</f>
        <v/>
      </c>
      <c r="Q63" s="278" t="str">
        <f>IFERROR(INDEX('Ashed teabags dry'!$K$2:$K$825,MATCH(J63,'Ashed teabags dry'!$A$2:$A$825,0)),"")</f>
        <v/>
      </c>
      <c r="R63" s="278" t="str">
        <f t="shared" si="2"/>
        <v/>
      </c>
      <c r="S63" s="268">
        <f>'Dry_Litterbag Placem_Collection'!E64</f>
        <v>0</v>
      </c>
      <c r="T63" s="268" t="str">
        <f>IF('Dry_Litterbag Placem_Collection'!G64="","",'Dry_Litterbag Placem_Collection'!G64)</f>
        <v/>
      </c>
      <c r="U63" s="269" t="str">
        <f t="shared" si="0"/>
        <v/>
      </c>
      <c r="V63" s="267" t="str">
        <f t="shared" si="3"/>
        <v/>
      </c>
      <c r="W63" s="267" t="str">
        <f t="shared" si="4"/>
        <v/>
      </c>
      <c r="X63" s="271" t="str">
        <f>IFERROR(INDEX(Rainfall_Dry!$O$2:$O$217,MATCH(B63, Rainfall_Dry!$A$2:$A$217,0)),"")</f>
        <v/>
      </c>
      <c r="Y63" s="260">
        <v>25.96</v>
      </c>
      <c r="Z63" s="260">
        <v>6.9200000000000008</v>
      </c>
      <c r="AA63" s="260">
        <v>67.12</v>
      </c>
      <c r="AB63" s="261" t="s">
        <v>2670</v>
      </c>
      <c r="AC63" s="260">
        <v>1.7568260226712666</v>
      </c>
      <c r="AD63">
        <f>IF('WetLitterbags placem_collection'!AB64="","",'WetLitterbags placem_collection'!AB64)</f>
        <v>4.2</v>
      </c>
      <c r="AE63">
        <f>IF('WetLitterbags placem_collection'!Z64="","",'WetLitterbags placem_collection'!Z64)</f>
        <v>40.4</v>
      </c>
      <c r="AF63" s="24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71" t="str">
        <f>IFERROR(AVERAGE('Dry_Litterbag Placem_Collection'!N64,'Dry_Litterbag Placem_Collection'!Q64),"")</f>
        <v/>
      </c>
      <c r="AJ63" s="270">
        <f>INDEX(Coordinates!$B$2:$B$197,MATCH(G63,Coordinates!$J$2:$J$197,0))</f>
        <v>-3.4065180179999999</v>
      </c>
      <c r="AK63" s="270">
        <f>INDEX(Coordinates!$C$2:$C$197,MATCH(G63,Coordinates!$J$2:$J$197,0))</f>
        <v>34.85121402</v>
      </c>
      <c r="AL63" s="270" t="str">
        <f>IF(ISNUMBER(SEARCH("C", 'Dry_Litterbag Placem_Collection'!S64)),"YES","NO")</f>
        <v>NO</v>
      </c>
      <c r="AM63" s="270" t="str">
        <f>IF(ISNUMBER(SEARCH("H", 'Dry_Litterbag Placem_Collection'!S64)),"YES","NO")</f>
        <v>NO</v>
      </c>
      <c r="AN63" s="270" t="str">
        <f>IF(ISNUMBER(SEARCH("R", 'Dry_Litterbag Placem_Collection'!S64)),"YES","NO")</f>
        <v>NO</v>
      </c>
    </row>
    <row r="64" spans="1:40">
      <c r="A64" s="262" t="s">
        <v>2659</v>
      </c>
      <c r="B64" s="263">
        <f>'Dry_Litterbag Placem_Collection'!A65</f>
        <v>63</v>
      </c>
      <c r="C64" s="263" t="str">
        <f>'Dry_Litterbag Placem_Collection'!B65</f>
        <v>Makao</v>
      </c>
      <c r="D64" s="263" t="s">
        <v>2659</v>
      </c>
      <c r="E64" s="263" t="s">
        <v>20</v>
      </c>
      <c r="F64" s="263">
        <v>4</v>
      </c>
      <c r="G64" s="264" t="str">
        <f>'Dry_Litterbag Placem_Collection'!C65</f>
        <v>Dry_P4_T7</v>
      </c>
      <c r="H64" s="265" t="s">
        <v>2541</v>
      </c>
      <c r="I64" s="266" t="s">
        <v>1147</v>
      </c>
      <c r="J64" s="263" t="str">
        <f>IF(ISBLANK('Dry_Litterbag Placem_Collection'!J65),"","G"&amp;""&amp;'Dry_Litterbag Placem_Collection'!J65)</f>
        <v>G49</v>
      </c>
      <c r="K64" s="267">
        <f>IFERROR(INDEX('Green_rooibos initial weight'!$C$5:$C$1749,MATCH(J64, 'Green_rooibos initial weight'!$A$5:$A$1749,0)),"")</f>
        <v>2.0859999999999999</v>
      </c>
      <c r="L64" s="267">
        <f>IFERROR(K64-(TBIcalc!$Q$9+TBIcalc!$Q$10),"")</f>
        <v>1.8361999999999998</v>
      </c>
      <c r="M64" s="391">
        <f>AVERAGE(Ashed_controlls!$K$2:$K$11)</f>
        <v>5.5147656768714146</v>
      </c>
      <c r="N64" s="267">
        <f t="shared" si="1"/>
        <v>1.734937872641287</v>
      </c>
      <c r="O64" s="267">
        <f>IF(IFERROR(INDEX('Both teabags AfterDry'!$D$3:$D$900,MATCH(J64,'Both teabags AfterDry'!$A$3:$A$900,0)),"")="","",(IFERROR(INDEX('Both teabags AfterDry'!$D$3:$D$900,MATCH(J64,'Both teabags AfterDry'!$A$3:$A$900,0)),"")))</f>
        <v>1.9326000000000001</v>
      </c>
      <c r="P64" s="267">
        <f>IFERROR(IF(O64&gt;0,O64-(TBIcalc!$Q$9),""),"")</f>
        <v>1.782</v>
      </c>
      <c r="Q64" s="278">
        <f>IFERROR(INDEX('Ashed teabags dry'!$K$2:$K$825,MATCH(J64,'Ashed teabags dry'!$A$2:$A$825,0)),"")</f>
        <v>4.9388753056235117</v>
      </c>
      <c r="R64" s="278">
        <f t="shared" si="2"/>
        <v>1.693989242053789</v>
      </c>
      <c r="S64" s="268">
        <f>'Dry_Litterbag Placem_Collection'!E65</f>
        <v>42938</v>
      </c>
      <c r="T64" s="268">
        <f>IF('Dry_Litterbag Placem_Collection'!G65="","",'Dry_Litterbag Placem_Collection'!G65)</f>
        <v>43005</v>
      </c>
      <c r="U64" s="269">
        <f t="shared" si="0"/>
        <v>67</v>
      </c>
      <c r="V64" s="267">
        <f t="shared" si="3"/>
        <v>5.4199999999999804E-2</v>
      </c>
      <c r="W64" s="267">
        <f t="shared" si="4"/>
        <v>4.0948630587497981E-2</v>
      </c>
      <c r="X64" s="271">
        <f>IFERROR(INDEX(Rainfall_Dry!$O$2:$O$217,MATCH(B64, Rainfall_Dry!$A$2:$A$217,0)),"")</f>
        <v>6.5250000359999998</v>
      </c>
      <c r="Y64" s="260">
        <v>25.96</v>
      </c>
      <c r="Z64" s="260">
        <v>6.9200000000000008</v>
      </c>
      <c r="AA64" s="260">
        <v>67.12</v>
      </c>
      <c r="AB64" s="261" t="s">
        <v>2670</v>
      </c>
      <c r="AC64" s="260">
        <v>1.7568260226712666</v>
      </c>
      <c r="AD64">
        <f>IF('WetLitterbags placem_collection'!AB65="","",'WetLitterbags placem_collection'!AB65)</f>
        <v>4.9000000000000004</v>
      </c>
      <c r="AE64">
        <f>IF('WetLitterbags placem_collection'!Z65="","",'WetLitterbags placem_collection'!Z65)</f>
        <v>45</v>
      </c>
      <c r="AF64" s="24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71">
        <f>IFERROR(AVERAGE('Dry_Litterbag Placem_Collection'!N65,'Dry_Litterbag Placem_Collection'!Q65),"")</f>
        <v>31.3</v>
      </c>
      <c r="AJ64" s="270">
        <f>INDEX(Coordinates!$B$2:$B$197,MATCH(G64,Coordinates!$J$2:$J$197,0))</f>
        <v>-3.406334035</v>
      </c>
      <c r="AK64" s="270">
        <f>INDEX(Coordinates!$C$2:$C$197,MATCH(G64,Coordinates!$J$2:$J$197,0))</f>
        <v>34.851172030000001</v>
      </c>
      <c r="AL64" s="270" t="str">
        <f>IF(ISNUMBER(SEARCH("C", 'Dry_Litterbag Placem_Collection'!S65)),"YES","NO")</f>
        <v>NO</v>
      </c>
      <c r="AM64" s="270" t="str">
        <f>IF(ISNUMBER(SEARCH("H", 'Dry_Litterbag Placem_Collection'!S65)),"YES","NO")</f>
        <v>NO</v>
      </c>
      <c r="AN64" s="270" t="str">
        <f>IF(ISNUMBER(SEARCH("R", 'Dry_Litterbag Placem_Collection'!S65)),"YES","NO")</f>
        <v>NO</v>
      </c>
    </row>
    <row r="65" spans="1:40">
      <c r="A65" s="262" t="s">
        <v>2659</v>
      </c>
      <c r="B65" s="263">
        <f>'Dry_Litterbag Placem_Collection'!A66</f>
        <v>64</v>
      </c>
      <c r="C65" s="263" t="str">
        <f>'Dry_Litterbag Placem_Collection'!B66</f>
        <v>Makao</v>
      </c>
      <c r="D65" s="263" t="s">
        <v>2659</v>
      </c>
      <c r="E65" s="263" t="s">
        <v>20</v>
      </c>
      <c r="F65" s="263">
        <v>4</v>
      </c>
      <c r="G65" s="264" t="str">
        <f>'Dry_Litterbag Placem_Collection'!C66</f>
        <v>Dry_P4_T8</v>
      </c>
      <c r="H65" s="265" t="s">
        <v>2541</v>
      </c>
      <c r="I65" s="266" t="s">
        <v>1147</v>
      </c>
      <c r="J65" s="263" t="str">
        <f>IF(ISBLANK('Dry_Litterbag Placem_Collection'!J66),"","G"&amp;""&amp;'Dry_Litterbag Placem_Collection'!J66)</f>
        <v>G347</v>
      </c>
      <c r="K65" s="267">
        <f>IFERROR(INDEX('Green_rooibos initial weight'!$C$5:$C$1749,MATCH(J65, 'Green_rooibos initial weight'!$A$5:$A$1749,0)),"")</f>
        <v>1.8919999999999999</v>
      </c>
      <c r="L65" s="267">
        <f>IFERROR(K65-(TBIcalc!$Q$9+TBIcalc!$Q$10),"")</f>
        <v>1.6421999999999999</v>
      </c>
      <c r="M65" s="391">
        <f>AVERAGE(Ashed_controlls!$K$2:$K$11)</f>
        <v>5.5147656768714146</v>
      </c>
      <c r="N65" s="267">
        <f t="shared" si="1"/>
        <v>1.5516365180544176</v>
      </c>
      <c r="O65" s="267">
        <f>IF(IFERROR(INDEX('Both teabags AfterDry'!$D$3:$D$900,MATCH(J65,'Both teabags AfterDry'!$A$3:$A$900,0)),"")="","",(IFERROR(INDEX('Both teabags AfterDry'!$D$3:$D$900,MATCH(J65,'Both teabags AfterDry'!$A$3:$A$900,0)),"")))</f>
        <v>1.6924999999999999</v>
      </c>
      <c r="P65" s="267">
        <f>IFERROR(IF(O65&gt;0,O65-(TBIcalc!$Q$9),""),"")</f>
        <v>1.5418999999999998</v>
      </c>
      <c r="Q65" s="278">
        <f>IFERROR(INDEX('Ashed teabags dry'!$K$2:$K$825,MATCH(J65,'Ashed teabags dry'!$A$2:$A$825,0)),"")</f>
        <v>6.3334982681843854</v>
      </c>
      <c r="R65" s="278">
        <f t="shared" si="2"/>
        <v>1.4442437902028649</v>
      </c>
      <c r="S65" s="268">
        <f>'Dry_Litterbag Placem_Collection'!E66</f>
        <v>42938</v>
      </c>
      <c r="T65" s="268">
        <f>IF('Dry_Litterbag Placem_Collection'!G66="","",'Dry_Litterbag Placem_Collection'!G66)</f>
        <v>43005</v>
      </c>
      <c r="U65" s="269">
        <f t="shared" si="0"/>
        <v>67</v>
      </c>
      <c r="V65" s="267">
        <f t="shared" si="3"/>
        <v>0.10030000000000006</v>
      </c>
      <c r="W65" s="267">
        <f t="shared" si="4"/>
        <v>0.10739272785155274</v>
      </c>
      <c r="X65" s="271">
        <f>IFERROR(INDEX(Rainfall_Dry!$O$2:$O$217,MATCH(B65, Rainfall_Dry!$A$2:$A$217,0)),"")</f>
        <v>6.5250000359999998</v>
      </c>
      <c r="Y65" s="260">
        <v>25.96</v>
      </c>
      <c r="Z65" s="260">
        <v>6.9200000000000008</v>
      </c>
      <c r="AA65" s="260">
        <v>67.12</v>
      </c>
      <c r="AB65" s="261" t="s">
        <v>2670</v>
      </c>
      <c r="AC65" s="260">
        <v>1.7568260226712666</v>
      </c>
      <c r="AD65">
        <f>IF('WetLitterbags placem_collection'!AB66="","",'WetLitterbags placem_collection'!AB66)</f>
        <v>3</v>
      </c>
      <c r="AE65">
        <f>IF('WetLitterbags placem_collection'!Z66="","",'WetLitterbags placem_collection'!Z66)</f>
        <v>22.8</v>
      </c>
      <c r="AF65" s="24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71">
        <f>IFERROR(AVERAGE('Dry_Litterbag Placem_Collection'!N66,'Dry_Litterbag Placem_Collection'!Q66),"")</f>
        <v>31.5</v>
      </c>
      <c r="AJ65" s="270">
        <f>INDEX(Coordinates!$B$2:$B$197,MATCH(G65,Coordinates!$J$2:$J$197,0))</f>
        <v>-3.4063409920000001</v>
      </c>
      <c r="AK65" s="270">
        <f>INDEX(Coordinates!$C$2:$C$197,MATCH(G65,Coordinates!$J$2:$J$197,0))</f>
        <v>34.85126004</v>
      </c>
      <c r="AL65" s="270" t="str">
        <f>IF(ISNUMBER(SEARCH("C", 'Dry_Litterbag Placem_Collection'!S66)),"YES","NO")</f>
        <v>NO</v>
      </c>
      <c r="AM65" s="270" t="str">
        <f>IF(ISNUMBER(SEARCH("H", 'Dry_Litterbag Placem_Collection'!S66)),"YES","NO")</f>
        <v>NO</v>
      </c>
      <c r="AN65" s="270" t="str">
        <f>IF(ISNUMBER(SEARCH("R", 'Dry_Litterbag Placem_Collection'!S66)),"YES","NO")</f>
        <v>NO</v>
      </c>
    </row>
    <row r="66" spans="1:40">
      <c r="A66" s="262" t="s">
        <v>2659</v>
      </c>
      <c r="B66" s="263">
        <f>'Dry_Litterbag Placem_Collection'!A67</f>
        <v>65</v>
      </c>
      <c r="C66" s="263" t="str">
        <f>'Dry_Litterbag Placem_Collection'!B67</f>
        <v>Maswa</v>
      </c>
      <c r="D66" s="263" t="s">
        <v>2659</v>
      </c>
      <c r="E66" s="263" t="s">
        <v>2661</v>
      </c>
      <c r="F66" s="263">
        <v>1</v>
      </c>
      <c r="G66" s="264" t="str">
        <f>'Dry_Litterbag Placem_Collection'!C67</f>
        <v>Dry_W1_T1</v>
      </c>
      <c r="H66" s="265" t="s">
        <v>2541</v>
      </c>
      <c r="I66" s="266" t="s">
        <v>1147</v>
      </c>
      <c r="J66" s="263" t="str">
        <f>IF(ISBLANK('Dry_Litterbag Placem_Collection'!J67),"","G"&amp;""&amp;'Dry_Litterbag Placem_Collection'!J67)</f>
        <v>G495</v>
      </c>
      <c r="K66" s="267">
        <f>IFERROR(INDEX('Green_rooibos initial weight'!$C$5:$C$1749,MATCH(J66, 'Green_rooibos initial weight'!$A$5:$A$1749,0)),"")</f>
        <v>2.0390000000000001</v>
      </c>
      <c r="L66" s="267">
        <f>IFERROR(K66-(TBIcalc!$Q$9+TBIcalc!$Q$10),"")</f>
        <v>1.7892000000000001</v>
      </c>
      <c r="M66" s="391">
        <f>AVERAGE(Ashed_controlls!$K$2:$K$11)</f>
        <v>5.5147656768714146</v>
      </c>
      <c r="N66" s="267">
        <f t="shared" si="1"/>
        <v>1.6905298125094168</v>
      </c>
      <c r="O66" s="267" t="str">
        <f>IF(IFERROR(INDEX('Both teabags AfterDry'!$D$3:$D$900,MATCH(J66,'Both teabags AfterDry'!$A$3:$A$900,0)),"")="","",(IFERROR(INDEX('Both teabags AfterDry'!$D$3:$D$900,MATCH(J66,'Both teabags AfterDry'!$A$3:$A$900,0)),"")))</f>
        <v/>
      </c>
      <c r="P66" s="267" t="str">
        <f>IFERROR(IF(O66&gt;0,O66-(TBIcalc!$Q$9),""),"")</f>
        <v/>
      </c>
      <c r="Q66" s="278" t="str">
        <f>IFERROR(INDEX('Ashed teabags dry'!$K$2:$K$825,MATCH(J66,'Ashed teabags dry'!$A$2:$A$825,0)),"")</f>
        <v/>
      </c>
      <c r="R66" s="278" t="str">
        <f t="shared" si="2"/>
        <v/>
      </c>
      <c r="S66" s="268">
        <f>'Dry_Litterbag Placem_Collection'!E67</f>
        <v>42937</v>
      </c>
      <c r="T66" s="268">
        <f>IF('Dry_Litterbag Placem_Collection'!G67="","",'Dry_Litterbag Placem_Collection'!G67)</f>
        <v>43005</v>
      </c>
      <c r="U66" s="269">
        <f t="shared" ref="U66:U129" si="5">IFERROR(T66-S66,"")</f>
        <v>68</v>
      </c>
      <c r="V66" s="267" t="str">
        <f t="shared" si="3"/>
        <v/>
      </c>
      <c r="W66" s="267" t="str">
        <f t="shared" si="4"/>
        <v/>
      </c>
      <c r="X66" s="271">
        <f>IFERROR(INDEX(Rainfall_Dry!$O$2:$O$217,MATCH(B66, Rainfall_Dry!$A$2:$A$217,0)),"")</f>
        <v>6.900000125</v>
      </c>
      <c r="Y66" s="260">
        <v>47.96</v>
      </c>
      <c r="Z66" s="260">
        <v>22.919999999999995</v>
      </c>
      <c r="AA66" s="260">
        <v>29.120000000000012</v>
      </c>
      <c r="AB66" s="261" t="s">
        <v>2673</v>
      </c>
      <c r="AC66" s="260">
        <v>2.8831936914736325</v>
      </c>
      <c r="AD66">
        <f>IF('WetLitterbags placem_collection'!AB67="","",'WetLitterbags placem_collection'!AB67)</f>
        <v>13.8</v>
      </c>
      <c r="AE66">
        <f>IF('WetLitterbags placem_collection'!Z67="","",'WetLitterbags placem_collection'!Z67)</f>
        <v>13.8</v>
      </c>
      <c r="AF66" s="24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71">
        <f>IFERROR(AVERAGE('Dry_Litterbag Placem_Collection'!N67,'Dry_Litterbag Placem_Collection'!Q67),"")</f>
        <v>28</v>
      </c>
      <c r="AJ66" s="270">
        <f>INDEX(Coordinates!$B$2:$B$197,MATCH(G66,Coordinates!$J$2:$J$197,0))</f>
        <v>-3.2993960379999998</v>
      </c>
      <c r="AK66" s="270">
        <f>INDEX(Coordinates!$C$2:$C$197,MATCH(G66,Coordinates!$J$2:$J$197,0))</f>
        <v>34.848240959999998</v>
      </c>
      <c r="AL66" s="270" t="str">
        <f>IF(ISNUMBER(SEARCH("C", 'Dry_Litterbag Placem_Collection'!S67)),"YES","NO")</f>
        <v>NO</v>
      </c>
      <c r="AM66" s="270" t="str">
        <f>IF(ISNUMBER(SEARCH("H", 'Dry_Litterbag Placem_Collection'!S67)),"YES","NO")</f>
        <v>NO</v>
      </c>
      <c r="AN66" s="270" t="str">
        <f>IF(ISNUMBER(SEARCH("R", 'Dry_Litterbag Placem_Collection'!S67)),"YES","NO")</f>
        <v>NO</v>
      </c>
    </row>
    <row r="67" spans="1:40">
      <c r="A67" s="262" t="s">
        <v>2659</v>
      </c>
      <c r="B67" s="263">
        <f>'Dry_Litterbag Placem_Collection'!A68</f>
        <v>66</v>
      </c>
      <c r="C67" s="263" t="str">
        <f>'Dry_Litterbag Placem_Collection'!B68</f>
        <v>Maswa</v>
      </c>
      <c r="D67" s="263" t="s">
        <v>2659</v>
      </c>
      <c r="E67" s="263" t="s">
        <v>2661</v>
      </c>
      <c r="F67" s="263">
        <v>1</v>
      </c>
      <c r="G67" s="264" t="str">
        <f>'Dry_Litterbag Placem_Collection'!C68</f>
        <v>Dry_W1_T2</v>
      </c>
      <c r="H67" s="265" t="s">
        <v>2541</v>
      </c>
      <c r="I67" s="266" t="s">
        <v>1147</v>
      </c>
      <c r="J67" s="263" t="str">
        <f>IF(ISBLANK('Dry_Litterbag Placem_Collection'!J68),"","G"&amp;""&amp;'Dry_Litterbag Placem_Collection'!J68)</f>
        <v>G247</v>
      </c>
      <c r="K67" s="267">
        <f>IFERROR(INDEX('Green_rooibos initial weight'!$C$5:$C$1749,MATCH(J67, 'Green_rooibos initial weight'!$A$5:$A$1749,0)),"")</f>
        <v>2.13</v>
      </c>
      <c r="L67" s="267">
        <f>IFERROR(K67-(TBIcalc!$Q$9+TBIcalc!$Q$10),"")</f>
        <v>1.8801999999999999</v>
      </c>
      <c r="M67" s="391">
        <f>AVERAGE(Ashed_controlls!$K$2:$K$11)</f>
        <v>5.5147656768714146</v>
      </c>
      <c r="N67" s="267">
        <f t="shared" ref="N67:N130" si="6">IFERROR(L67-(M67/100)*L67,"")</f>
        <v>1.7765113757434636</v>
      </c>
      <c r="O67" s="267">
        <f>IF(IFERROR(INDEX('Both teabags AfterDry'!$D$3:$D$900,MATCH(J67,'Both teabags AfterDry'!$A$3:$A$900,0)),"")="","",(IFERROR(INDEX('Both teabags AfterDry'!$D$3:$D$900,MATCH(J67,'Both teabags AfterDry'!$A$3:$A$900,0)),"")))</f>
        <v>1.9853000000000001</v>
      </c>
      <c r="P67" s="267">
        <f>IFERROR(IF(O67&gt;0,O67-(TBIcalc!$Q$9),""),"")</f>
        <v>1.8347</v>
      </c>
      <c r="Q67" s="278">
        <f>IFERROR(INDEX('Ashed teabags dry'!$K$2:$K$825,MATCH(J67,'Ashed teabags dry'!$A$2:$A$825,0)),"")</f>
        <v>6.078147612156255</v>
      </c>
      <c r="R67" s="278">
        <f t="shared" ref="R67:R130" si="7">IFERROR(P67-(Q67/100)*P67,"")</f>
        <v>1.7231842257597692</v>
      </c>
      <c r="S67" s="268">
        <f>'Dry_Litterbag Placem_Collection'!E68</f>
        <v>42937</v>
      </c>
      <c r="T67" s="268">
        <f>IF('Dry_Litterbag Placem_Collection'!G68="","",'Dry_Litterbag Placem_Collection'!G68)</f>
        <v>43005</v>
      </c>
      <c r="U67" s="269">
        <f t="shared" si="5"/>
        <v>68</v>
      </c>
      <c r="V67" s="267">
        <f t="shared" ref="V67:V130" si="8">IFERROR(L67-P67,"")</f>
        <v>4.5499999999999874E-2</v>
      </c>
      <c r="W67" s="267">
        <f t="shared" ref="W67:W130" si="9">IFERROR(N67-R67,"")</f>
        <v>5.3327149983694477E-2</v>
      </c>
      <c r="X67" s="271">
        <f>IFERROR(INDEX(Rainfall_Dry!$O$2:$O$217,MATCH(B67, Rainfall_Dry!$A$2:$A$217,0)),"")</f>
        <v>6.900000125</v>
      </c>
      <c r="Y67" s="260">
        <v>47.96</v>
      </c>
      <c r="Z67" s="260">
        <v>22.919999999999995</v>
      </c>
      <c r="AA67" s="260">
        <v>29.120000000000012</v>
      </c>
      <c r="AB67" s="261" t="s">
        <v>2673</v>
      </c>
      <c r="AC67" s="260">
        <v>3.8831936914736298</v>
      </c>
      <c r="AD67">
        <f>IF('WetLitterbags placem_collection'!AB68="","",'WetLitterbags placem_collection'!AB68)</f>
        <v>8</v>
      </c>
      <c r="AE67">
        <f>IF('WetLitterbags placem_collection'!Z68="","",'WetLitterbags placem_collection'!Z68)</f>
        <v>19.8</v>
      </c>
      <c r="AF67" s="24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71">
        <f>IFERROR(AVERAGE('Dry_Litterbag Placem_Collection'!N68,'Dry_Litterbag Placem_Collection'!Q68),"")</f>
        <v>23.6</v>
      </c>
      <c r="AJ67" s="270">
        <f>INDEX(Coordinates!$B$2:$B$197,MATCH(G67,Coordinates!$J$2:$J$197,0))</f>
        <v>-3.2993090340000002</v>
      </c>
      <c r="AK67" s="270">
        <f>INDEX(Coordinates!$C$2:$C$197,MATCH(G67,Coordinates!$J$2:$J$197,0))</f>
        <v>34.848404989999999</v>
      </c>
      <c r="AL67" s="270" t="str">
        <f>IF(ISNUMBER(SEARCH("C", 'Dry_Litterbag Placem_Collection'!S68)),"YES","NO")</f>
        <v>YES</v>
      </c>
      <c r="AM67" s="270" t="str">
        <f>IF(ISNUMBER(SEARCH("H", 'Dry_Litterbag Placem_Collection'!S68)),"YES","NO")</f>
        <v>YES</v>
      </c>
      <c r="AN67" s="270" t="str">
        <f>IF(ISNUMBER(SEARCH("R", 'Dry_Litterbag Placem_Collection'!S68)),"YES","NO")</f>
        <v>NO</v>
      </c>
    </row>
    <row r="68" spans="1:40">
      <c r="A68" s="262" t="s">
        <v>2659</v>
      </c>
      <c r="B68" s="263">
        <f>'Dry_Litterbag Placem_Collection'!A69</f>
        <v>67</v>
      </c>
      <c r="C68" s="263" t="str">
        <f>'Dry_Litterbag Placem_Collection'!B69</f>
        <v>Maswa</v>
      </c>
      <c r="D68" s="263" t="s">
        <v>2659</v>
      </c>
      <c r="E68" s="263" t="s">
        <v>2661</v>
      </c>
      <c r="F68" s="263">
        <v>1</v>
      </c>
      <c r="G68" s="264" t="str">
        <f>'Dry_Litterbag Placem_Collection'!C69</f>
        <v>Dry_W1_T3</v>
      </c>
      <c r="H68" s="265" t="s">
        <v>2541</v>
      </c>
      <c r="I68" s="266" t="s">
        <v>1147</v>
      </c>
      <c r="J68" s="263" t="str">
        <f>IF(ISBLANK('Dry_Litterbag Placem_Collection'!J69),"","G"&amp;""&amp;'Dry_Litterbag Placem_Collection'!J69)</f>
        <v/>
      </c>
      <c r="K68" s="267" t="str">
        <f>IFERROR(INDEX('Green_rooibos initial weight'!$C$5:$C$1749,MATCH(J68, 'Green_rooibos initial weight'!$A$5:$A$1749,0)),"")</f>
        <v/>
      </c>
      <c r="L68" s="267" t="str">
        <f>IFERROR(K68-(TBIcalc!$Q$9+TBIcalc!$Q$10),"")</f>
        <v/>
      </c>
      <c r="M68" s="391">
        <f>AVERAGE(Ashed_controlls!$K$2:$K$11)</f>
        <v>5.5147656768714146</v>
      </c>
      <c r="N68" s="267" t="str">
        <f t="shared" si="6"/>
        <v/>
      </c>
      <c r="O68" s="267" t="str">
        <f>IF(IFERROR(INDEX('Both teabags AfterDry'!$D$3:$D$900,MATCH(J68,'Both teabags AfterDry'!$A$3:$A$900,0)),"")="","",(IFERROR(INDEX('Both teabags AfterDry'!$D$3:$D$900,MATCH(J68,'Both teabags AfterDry'!$A$3:$A$900,0)),"")))</f>
        <v/>
      </c>
      <c r="P68" s="267" t="str">
        <f>IFERROR(IF(O68&gt;0,O68-(TBIcalc!$Q$9),""),"")</f>
        <v/>
      </c>
      <c r="Q68" s="278" t="str">
        <f>IFERROR(INDEX('Ashed teabags dry'!$K$2:$K$825,MATCH(J68,'Ashed teabags dry'!$A$2:$A$825,0)),"")</f>
        <v/>
      </c>
      <c r="R68" s="278" t="str">
        <f t="shared" si="7"/>
        <v/>
      </c>
      <c r="S68" s="268">
        <f>'Dry_Litterbag Placem_Collection'!E69</f>
        <v>0</v>
      </c>
      <c r="T68" s="268" t="str">
        <f>IF('Dry_Litterbag Placem_Collection'!G69="","",'Dry_Litterbag Placem_Collection'!G69)</f>
        <v/>
      </c>
      <c r="U68" s="269" t="str">
        <f t="shared" si="5"/>
        <v/>
      </c>
      <c r="V68" s="267" t="str">
        <f t="shared" si="8"/>
        <v/>
      </c>
      <c r="W68" s="267" t="str">
        <f t="shared" si="9"/>
        <v/>
      </c>
      <c r="X68" s="271" t="str">
        <f>IFERROR(INDEX(Rainfall_Dry!$O$2:$O$217,MATCH(B68, Rainfall_Dry!$A$2:$A$217,0)),"")</f>
        <v/>
      </c>
      <c r="Y68" s="260">
        <v>47.96</v>
      </c>
      <c r="Z68" s="260">
        <v>22.919999999999995</v>
      </c>
      <c r="AA68" s="260">
        <v>29.120000000000012</v>
      </c>
      <c r="AB68" s="261" t="s">
        <v>2673</v>
      </c>
      <c r="AC68" s="260">
        <v>4.8831936914736298</v>
      </c>
      <c r="AD68">
        <f>IF('WetLitterbags placem_collection'!AB69="","",'WetLitterbags placem_collection'!AB69)</f>
        <v>5.5</v>
      </c>
      <c r="AE68">
        <f>IF('WetLitterbags placem_collection'!Z69="","",'WetLitterbags placem_collection'!Z69)</f>
        <v>5.5</v>
      </c>
      <c r="AF68" s="24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71" t="str">
        <f>IFERROR(AVERAGE('Dry_Litterbag Placem_Collection'!N69,'Dry_Litterbag Placem_Collection'!Q69),"")</f>
        <v/>
      </c>
      <c r="AJ68" s="270">
        <f>INDEX(Coordinates!$B$2:$B$197,MATCH(G68,Coordinates!$J$2:$J$197,0))</f>
        <v>-3.299434008</v>
      </c>
      <c r="AK68" s="270">
        <f>INDEX(Coordinates!$C$2:$C$197,MATCH(G68,Coordinates!$J$2:$J$197,0))</f>
        <v>34.848514960000003</v>
      </c>
      <c r="AL68" s="270" t="str">
        <f>IF(ISNUMBER(SEARCH("C", 'Dry_Litterbag Placem_Collection'!S69)),"YES","NO")</f>
        <v>NO</v>
      </c>
      <c r="AM68" s="270" t="str">
        <f>IF(ISNUMBER(SEARCH("H", 'Dry_Litterbag Placem_Collection'!S69)),"YES","NO")</f>
        <v>NO</v>
      </c>
      <c r="AN68" s="270" t="str">
        <f>IF(ISNUMBER(SEARCH("R", 'Dry_Litterbag Placem_Collection'!S69)),"YES","NO")</f>
        <v>NO</v>
      </c>
    </row>
    <row r="69" spans="1:40">
      <c r="A69" s="262" t="s">
        <v>2659</v>
      </c>
      <c r="B69" s="263">
        <f>'Dry_Litterbag Placem_Collection'!A70</f>
        <v>68</v>
      </c>
      <c r="C69" s="263" t="str">
        <f>'Dry_Litterbag Placem_Collection'!B70</f>
        <v>Maswa</v>
      </c>
      <c r="D69" s="263" t="s">
        <v>2659</v>
      </c>
      <c r="E69" s="263" t="s">
        <v>2661</v>
      </c>
      <c r="F69" s="263">
        <v>1</v>
      </c>
      <c r="G69" s="264" t="str">
        <f>'Dry_Litterbag Placem_Collection'!C70</f>
        <v>Dry_W1_T4</v>
      </c>
      <c r="H69" s="265" t="s">
        <v>2541</v>
      </c>
      <c r="I69" s="266" t="s">
        <v>1147</v>
      </c>
      <c r="J69" s="263" t="str">
        <f>IF(ISBLANK('Dry_Litterbag Placem_Collection'!J70),"","G"&amp;""&amp;'Dry_Litterbag Placem_Collection'!J70)</f>
        <v>G63</v>
      </c>
      <c r="K69" s="267">
        <f>IFERROR(INDEX('Green_rooibos initial weight'!$C$5:$C$1749,MATCH(J69, 'Green_rooibos initial weight'!$A$5:$A$1749,0)),"")</f>
        <v>2</v>
      </c>
      <c r="L69" s="267">
        <f>IFERROR(K69-(TBIcalc!$Q$9+TBIcalc!$Q$10),"")</f>
        <v>1.7502</v>
      </c>
      <c r="M69" s="391">
        <f>AVERAGE(Ashed_controlls!$K$2:$K$11)</f>
        <v>5.5147656768714146</v>
      </c>
      <c r="N69" s="267">
        <f t="shared" si="6"/>
        <v>1.6536805711233964</v>
      </c>
      <c r="O69" s="267">
        <f>IF(IFERROR(INDEX('Both teabags AfterDry'!$D$3:$D$900,MATCH(J69,'Both teabags AfterDry'!$A$3:$A$900,0)),"")="","",(IFERROR(INDEX('Both teabags AfterDry'!$D$3:$D$900,MATCH(J69,'Both teabags AfterDry'!$A$3:$A$900,0)),"")))</f>
        <v>1.8152999999999999</v>
      </c>
      <c r="P69" s="267">
        <f>IFERROR(IF(O69&gt;0,O69-(TBIcalc!$Q$9),""),"")</f>
        <v>1.6646999999999998</v>
      </c>
      <c r="Q69" s="278">
        <f>IFERROR(INDEX('Ashed teabags dry'!$K$2:$K$825,MATCH(J69,'Ashed teabags dry'!$A$2:$A$825,0)),"")</f>
        <v>5.6851311953349883</v>
      </c>
      <c r="R69" s="278">
        <f t="shared" si="7"/>
        <v>1.5700596209912583</v>
      </c>
      <c r="S69" s="268">
        <f>'Dry_Litterbag Placem_Collection'!E70</f>
        <v>42937</v>
      </c>
      <c r="T69" s="268">
        <f>IF('Dry_Litterbag Placem_Collection'!G70="","",'Dry_Litterbag Placem_Collection'!G70)</f>
        <v>43005</v>
      </c>
      <c r="U69" s="269">
        <f t="shared" si="5"/>
        <v>68</v>
      </c>
      <c r="V69" s="267">
        <f t="shared" si="8"/>
        <v>8.5500000000000131E-2</v>
      </c>
      <c r="W69" s="267">
        <f t="shared" si="9"/>
        <v>8.3620950132138105E-2</v>
      </c>
      <c r="X69" s="271">
        <f>IFERROR(INDEX(Rainfall_Dry!$O$2:$O$217,MATCH(B69, Rainfall_Dry!$A$2:$A$217,0)),"")</f>
        <v>6.900000125</v>
      </c>
      <c r="Y69" s="260">
        <v>47.96</v>
      </c>
      <c r="Z69" s="260">
        <v>22.919999999999995</v>
      </c>
      <c r="AA69" s="260">
        <v>29.120000000000012</v>
      </c>
      <c r="AB69" s="261" t="s">
        <v>2673</v>
      </c>
      <c r="AC69" s="260">
        <v>5.8831936914736298</v>
      </c>
      <c r="AD69">
        <f>IF('WetLitterbags placem_collection'!AB70="","",'WetLitterbags placem_collection'!AB70)</f>
        <v>9.6999999999999993</v>
      </c>
      <c r="AE69">
        <f>IF('WetLitterbags placem_collection'!Z70="","",'WetLitterbags placem_collection'!Z70)</f>
        <v>23.4</v>
      </c>
      <c r="AF69" s="24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71">
        <f>IFERROR(AVERAGE('Dry_Litterbag Placem_Collection'!N70,'Dry_Litterbag Placem_Collection'!Q70),"")</f>
        <v>26.85</v>
      </c>
      <c r="AJ69" s="270">
        <f>INDEX(Coordinates!$B$2:$B$197,MATCH(G69,Coordinates!$J$2:$J$197,0))</f>
        <v>-3.2991180099999999</v>
      </c>
      <c r="AK69" s="270">
        <f>INDEX(Coordinates!$C$2:$C$197,MATCH(G69,Coordinates!$J$2:$J$197,0))</f>
        <v>34.84824699</v>
      </c>
      <c r="AL69" s="270" t="str">
        <f>IF(ISNUMBER(SEARCH("C", 'Dry_Litterbag Placem_Collection'!S70)),"YES","NO")</f>
        <v>NO</v>
      </c>
      <c r="AM69" s="270" t="str">
        <f>IF(ISNUMBER(SEARCH("H", 'Dry_Litterbag Placem_Collection'!S70)),"YES","NO")</f>
        <v>NO</v>
      </c>
      <c r="AN69" s="270" t="str">
        <f>IF(ISNUMBER(SEARCH("R", 'Dry_Litterbag Placem_Collection'!S70)),"YES","NO")</f>
        <v>NO</v>
      </c>
    </row>
    <row r="70" spans="1:40">
      <c r="A70" s="262" t="s">
        <v>2659</v>
      </c>
      <c r="B70" s="263">
        <f>'Dry_Litterbag Placem_Collection'!A71</f>
        <v>69</v>
      </c>
      <c r="C70" s="263" t="str">
        <f>'Dry_Litterbag Placem_Collection'!B71</f>
        <v>Maswa</v>
      </c>
      <c r="D70" s="263" t="s">
        <v>2659</v>
      </c>
      <c r="E70" s="263" t="s">
        <v>2661</v>
      </c>
      <c r="F70" s="263">
        <v>1</v>
      </c>
      <c r="G70" s="264" t="str">
        <f>'Dry_Litterbag Placem_Collection'!C71</f>
        <v>Dry_W1_T5</v>
      </c>
      <c r="H70" s="265" t="s">
        <v>2541</v>
      </c>
      <c r="I70" s="266" t="s">
        <v>1147</v>
      </c>
      <c r="J70" s="263" t="str">
        <f>IF(ISBLANK('Dry_Litterbag Placem_Collection'!J71),"","G"&amp;""&amp;'Dry_Litterbag Placem_Collection'!J71)</f>
        <v>G382</v>
      </c>
      <c r="K70" s="267">
        <f>IFERROR(INDEX('Green_rooibos initial weight'!$C$5:$C$1749,MATCH(J70, 'Green_rooibos initial weight'!$A$5:$A$1749,0)),"")</f>
        <v>2.0960000000000001</v>
      </c>
      <c r="L70" s="267">
        <f>IFERROR(K70-(TBIcalc!$Q$9+TBIcalc!$Q$10),"")</f>
        <v>1.8462000000000001</v>
      </c>
      <c r="M70" s="391">
        <f>AVERAGE(Ashed_controlls!$K$2:$K$11)</f>
        <v>5.5147656768714146</v>
      </c>
      <c r="N70" s="267">
        <f t="shared" si="6"/>
        <v>1.7443863960735999</v>
      </c>
      <c r="O70" s="267">
        <f>IF(IFERROR(INDEX('Both teabags AfterDry'!$D$3:$D$900,MATCH(J70,'Both teabags AfterDry'!$A$3:$A$900,0)),"")="","",(IFERROR(INDEX('Both teabags AfterDry'!$D$3:$D$900,MATCH(J70,'Both teabags AfterDry'!$A$3:$A$900,0)),"")))</f>
        <v>1.8677999999999999</v>
      </c>
      <c r="P70" s="267">
        <f>IFERROR(IF(O70&gt;0,O70-(TBIcalc!$Q$9),""),"")</f>
        <v>1.7171999999999998</v>
      </c>
      <c r="Q70" s="278">
        <f>IFERROR(INDEX('Ashed teabags dry'!$K$2:$K$825,MATCH(J70,'Ashed teabags dry'!$A$2:$A$825,0)),"")</f>
        <v>5.5063913470994565</v>
      </c>
      <c r="R70" s="278">
        <f t="shared" si="7"/>
        <v>1.622644247787608</v>
      </c>
      <c r="S70" s="268">
        <f>'Dry_Litterbag Placem_Collection'!E71</f>
        <v>42937</v>
      </c>
      <c r="T70" s="268">
        <f>IF('Dry_Litterbag Placem_Collection'!G71="","",'Dry_Litterbag Placem_Collection'!G71)</f>
        <v>43006</v>
      </c>
      <c r="U70" s="269">
        <f t="shared" si="5"/>
        <v>69</v>
      </c>
      <c r="V70" s="267">
        <f t="shared" si="8"/>
        <v>0.12900000000000023</v>
      </c>
      <c r="W70" s="267">
        <f t="shared" si="9"/>
        <v>0.12174214828599195</v>
      </c>
      <c r="X70" s="271">
        <f>IFERROR(INDEX(Rainfall_Dry!$O$2:$O$217,MATCH(B70, Rainfall_Dry!$A$2:$A$217,0)),"")</f>
        <v>6.900000125</v>
      </c>
      <c r="Y70" s="260">
        <v>47.96</v>
      </c>
      <c r="Z70" s="260">
        <v>22.919999999999995</v>
      </c>
      <c r="AA70" s="260">
        <v>29.120000000000012</v>
      </c>
      <c r="AB70" s="261" t="s">
        <v>2673</v>
      </c>
      <c r="AC70" s="260">
        <v>6.8831936914736298</v>
      </c>
      <c r="AD70">
        <f>IF('WetLitterbags placem_collection'!AB71="","",'WetLitterbags placem_collection'!AB71)</f>
        <v>14.4</v>
      </c>
      <c r="AE70">
        <f>IF('WetLitterbags placem_collection'!Z71="","",'WetLitterbags placem_collection'!Z71)</f>
        <v>24.4</v>
      </c>
      <c r="AF70" s="24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71">
        <f>IFERROR(AVERAGE('Dry_Litterbag Placem_Collection'!N71,'Dry_Litterbag Placem_Collection'!Q71),"")</f>
        <v>26.55</v>
      </c>
      <c r="AJ70" s="270">
        <f>INDEX(Coordinates!$B$2:$B$197,MATCH(G70,Coordinates!$J$2:$J$197,0))</f>
        <v>-3.2993180030000002</v>
      </c>
      <c r="AK70" s="270">
        <f>INDEX(Coordinates!$C$2:$C$197,MATCH(G70,Coordinates!$J$2:$J$197,0))</f>
        <v>34.848235010000003</v>
      </c>
      <c r="AL70" s="270" t="str">
        <f>IF(ISNUMBER(SEARCH("C", 'Dry_Litterbag Placem_Collection'!S71)),"YES","NO")</f>
        <v>NO</v>
      </c>
      <c r="AM70" s="270" t="str">
        <f>IF(ISNUMBER(SEARCH("H", 'Dry_Litterbag Placem_Collection'!S71)),"YES","NO")</f>
        <v>NO</v>
      </c>
      <c r="AN70" s="270" t="str">
        <f>IF(ISNUMBER(SEARCH("R", 'Dry_Litterbag Placem_Collection'!S71)),"YES","NO")</f>
        <v>NO</v>
      </c>
    </row>
    <row r="71" spans="1:40">
      <c r="A71" s="262" t="s">
        <v>2659</v>
      </c>
      <c r="B71" s="263">
        <f>'Dry_Litterbag Placem_Collection'!A72</f>
        <v>70</v>
      </c>
      <c r="C71" s="263" t="str">
        <f>'Dry_Litterbag Placem_Collection'!B72</f>
        <v>Maswa</v>
      </c>
      <c r="D71" s="263" t="s">
        <v>2659</v>
      </c>
      <c r="E71" s="263" t="s">
        <v>2661</v>
      </c>
      <c r="F71" s="263">
        <v>1</v>
      </c>
      <c r="G71" s="264" t="str">
        <f>'Dry_Litterbag Placem_Collection'!C72</f>
        <v>Dry_W1_T6</v>
      </c>
      <c r="H71" s="265" t="s">
        <v>2541</v>
      </c>
      <c r="I71" s="266" t="s">
        <v>1147</v>
      </c>
      <c r="J71" s="263" t="str">
        <f>IF(ISBLANK('Dry_Litterbag Placem_Collection'!J72),"","G"&amp;""&amp;'Dry_Litterbag Placem_Collection'!J72)</f>
        <v>G278</v>
      </c>
      <c r="K71" s="267">
        <f>IFERROR(INDEX('Green_rooibos initial weight'!$C$5:$C$1749,MATCH(J71, 'Green_rooibos initial weight'!$A$5:$A$1749,0)),"")</f>
        <v>2.0049999999999999</v>
      </c>
      <c r="L71" s="267">
        <f>IFERROR(K71-(TBIcalc!$Q$9+TBIcalc!$Q$10),"")</f>
        <v>1.7551999999999999</v>
      </c>
      <c r="M71" s="391">
        <f>AVERAGE(Ashed_controlls!$K$2:$K$11)</f>
        <v>5.5147656768714146</v>
      </c>
      <c r="N71" s="267">
        <f t="shared" si="6"/>
        <v>1.6584048328395529</v>
      </c>
      <c r="O71" s="267">
        <f>IF(IFERROR(INDEX('Both teabags AfterDry'!$D$3:$D$900,MATCH(J71,'Both teabags AfterDry'!$A$3:$A$900,0)),"")="","",(IFERROR(INDEX('Both teabags AfterDry'!$D$3:$D$900,MATCH(J71,'Both teabags AfterDry'!$A$3:$A$900,0)),"")))</f>
        <v>1.8243</v>
      </c>
      <c r="P71" s="267">
        <f>IFERROR(IF(O71&gt;0,O71-(TBIcalc!$Q$9),""),"")</f>
        <v>1.6737</v>
      </c>
      <c r="Q71" s="278">
        <f>IFERROR(INDEX('Ashed teabags dry'!$K$2:$K$825,MATCH(J71,'Ashed teabags dry'!$A$2:$A$825,0)),"")</f>
        <v>5.9292476332832429</v>
      </c>
      <c r="R71" s="278">
        <f t="shared" si="7"/>
        <v>1.5744621823617384</v>
      </c>
      <c r="S71" s="268">
        <f>'Dry_Litterbag Placem_Collection'!E72</f>
        <v>42937</v>
      </c>
      <c r="T71" s="268">
        <f>IF('Dry_Litterbag Placem_Collection'!G72="","",'Dry_Litterbag Placem_Collection'!G72)</f>
        <v>43006</v>
      </c>
      <c r="U71" s="269">
        <f t="shared" si="5"/>
        <v>69</v>
      </c>
      <c r="V71" s="267">
        <f t="shared" si="8"/>
        <v>8.1499999999999906E-2</v>
      </c>
      <c r="W71" s="267">
        <f t="shared" si="9"/>
        <v>8.3942650477814462E-2</v>
      </c>
      <c r="X71" s="271">
        <f>IFERROR(INDEX(Rainfall_Dry!$O$2:$O$217,MATCH(B71, Rainfall_Dry!$A$2:$A$217,0)),"")</f>
        <v>6.900000125</v>
      </c>
      <c r="Y71" s="260">
        <v>47.96</v>
      </c>
      <c r="Z71" s="260">
        <v>22.919999999999995</v>
      </c>
      <c r="AA71" s="260">
        <v>29.120000000000012</v>
      </c>
      <c r="AB71" s="261" t="s">
        <v>2673</v>
      </c>
      <c r="AC71" s="260">
        <v>7.8831936914736298</v>
      </c>
      <c r="AD71">
        <f>IF('WetLitterbags placem_collection'!AB72="","",'WetLitterbags placem_collection'!AB72)</f>
        <v>15</v>
      </c>
      <c r="AE71">
        <f>IF('WetLitterbags placem_collection'!Z72="","",'WetLitterbags placem_collection'!Z72)</f>
        <v>28</v>
      </c>
      <c r="AF71" s="24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71">
        <f>IFERROR(AVERAGE('Dry_Litterbag Placem_Collection'!N72,'Dry_Litterbag Placem_Collection'!Q72),"")</f>
        <v>27.200000000000003</v>
      </c>
      <c r="AJ71" s="270">
        <f>INDEX(Coordinates!$B$2:$B$197,MATCH(G71,Coordinates!$J$2:$J$197,0))</f>
        <v>-3.299381034</v>
      </c>
      <c r="AK71" s="270">
        <f>INDEX(Coordinates!$C$2:$C$197,MATCH(G71,Coordinates!$J$2:$J$197,0))</f>
        <v>34.848312040000003</v>
      </c>
      <c r="AL71" s="270" t="str">
        <f>IF(ISNUMBER(SEARCH("C", 'Dry_Litterbag Placem_Collection'!S72)),"YES","NO")</f>
        <v>NO</v>
      </c>
      <c r="AM71" s="270" t="str">
        <f>IF(ISNUMBER(SEARCH("H", 'Dry_Litterbag Placem_Collection'!S72)),"YES","NO")</f>
        <v>NO</v>
      </c>
      <c r="AN71" s="270" t="str">
        <f>IF(ISNUMBER(SEARCH("R", 'Dry_Litterbag Placem_Collection'!S72)),"YES","NO")</f>
        <v>NO</v>
      </c>
    </row>
    <row r="72" spans="1:40">
      <c r="A72" s="262" t="s">
        <v>2659</v>
      </c>
      <c r="B72" s="263">
        <f>'Dry_Litterbag Placem_Collection'!A73</f>
        <v>71</v>
      </c>
      <c r="C72" s="263" t="str">
        <f>'Dry_Litterbag Placem_Collection'!B73</f>
        <v>Maswa</v>
      </c>
      <c r="D72" s="263" t="s">
        <v>2659</v>
      </c>
      <c r="E72" s="263" t="s">
        <v>2661</v>
      </c>
      <c r="F72" s="263">
        <v>1</v>
      </c>
      <c r="G72" s="264" t="str">
        <f>'Dry_Litterbag Placem_Collection'!C73</f>
        <v>Dry_W1_T7</v>
      </c>
      <c r="H72" s="265" t="s">
        <v>2541</v>
      </c>
      <c r="I72" s="266" t="s">
        <v>1147</v>
      </c>
      <c r="J72" s="263" t="str">
        <f>IF(ISBLANK('Dry_Litterbag Placem_Collection'!J73),"","G"&amp;""&amp;'Dry_Litterbag Placem_Collection'!J73)</f>
        <v>G138</v>
      </c>
      <c r="K72" s="267">
        <f>IFERROR(INDEX('Green_rooibos initial weight'!$C$5:$C$1749,MATCH(J72, 'Green_rooibos initial weight'!$A$5:$A$1749,0)),"")</f>
        <v>1.956</v>
      </c>
      <c r="L72" s="267">
        <f>IFERROR(K72-(TBIcalc!$Q$9+TBIcalc!$Q$10),"")</f>
        <v>1.7061999999999999</v>
      </c>
      <c r="M72" s="391">
        <f>AVERAGE(Ashed_controlls!$K$2:$K$11)</f>
        <v>5.5147656768714146</v>
      </c>
      <c r="N72" s="267">
        <f t="shared" si="6"/>
        <v>1.6121070680212199</v>
      </c>
      <c r="O72" s="267">
        <f>IF(IFERROR(INDEX('Both teabags AfterDry'!$D$3:$D$900,MATCH(J72,'Both teabags AfterDry'!$A$3:$A$900,0)),"")="","",(IFERROR(INDEX('Both teabags AfterDry'!$D$3:$D$900,MATCH(J72,'Both teabags AfterDry'!$A$3:$A$900,0)),"")))</f>
        <v>1.782</v>
      </c>
      <c r="P72" s="267">
        <f>IFERROR(IF(O72&gt;0,O72-(TBIcalc!$Q$9),""),"")</f>
        <v>1.6314</v>
      </c>
      <c r="Q72" s="278">
        <f>IFERROR(INDEX('Ashed teabags dry'!$K$2:$K$825,MATCH(J72,'Ashed teabags dry'!$A$2:$A$825,0)),"")</f>
        <v>5.177372962607877</v>
      </c>
      <c r="R72" s="278">
        <f t="shared" si="7"/>
        <v>1.546936337488015</v>
      </c>
      <c r="S72" s="268">
        <f>'Dry_Litterbag Placem_Collection'!E73</f>
        <v>42937</v>
      </c>
      <c r="T72" s="268">
        <f>IF('Dry_Litterbag Placem_Collection'!G73="","",'Dry_Litterbag Placem_Collection'!G73)</f>
        <v>43006</v>
      </c>
      <c r="U72" s="269">
        <f t="shared" si="5"/>
        <v>69</v>
      </c>
      <c r="V72" s="267">
        <f t="shared" si="8"/>
        <v>7.4799999999999978E-2</v>
      </c>
      <c r="W72" s="267">
        <f t="shared" si="9"/>
        <v>6.517073053320499E-2</v>
      </c>
      <c r="X72" s="271">
        <f>IFERROR(INDEX(Rainfall_Dry!$O$2:$O$217,MATCH(B72, Rainfall_Dry!$A$2:$A$217,0)),"")</f>
        <v>6.900000125</v>
      </c>
      <c r="Y72" s="260">
        <v>47.96</v>
      </c>
      <c r="Z72" s="260">
        <v>22.919999999999995</v>
      </c>
      <c r="AA72" s="260">
        <v>29.120000000000012</v>
      </c>
      <c r="AB72" s="261" t="s">
        <v>2673</v>
      </c>
      <c r="AC72" s="260">
        <v>8.8831936914736307</v>
      </c>
      <c r="AD72">
        <f>IF('WetLitterbags placem_collection'!AB73="","",'WetLitterbags placem_collection'!AB73)</f>
        <v>15.5</v>
      </c>
      <c r="AE72">
        <f>IF('WetLitterbags placem_collection'!Z73="","",'WetLitterbags placem_collection'!Z73)</f>
        <v>32</v>
      </c>
      <c r="AF72" s="24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71">
        <f>IFERROR(AVERAGE('Dry_Litterbag Placem_Collection'!N73,'Dry_Litterbag Placem_Collection'!Q73),"")</f>
        <v>27.6</v>
      </c>
      <c r="AJ72" s="270">
        <f>INDEX(Coordinates!$B$2:$B$197,MATCH(G72,Coordinates!$J$2:$J$197,0))</f>
        <v>-3.2992429849999998</v>
      </c>
      <c r="AK72" s="270">
        <f>INDEX(Coordinates!$C$2:$C$197,MATCH(G72,Coordinates!$J$2:$J$197,0))</f>
        <v>34.847900989999999</v>
      </c>
      <c r="AL72" s="270" t="str">
        <f>IF(ISNUMBER(SEARCH("C", 'Dry_Litterbag Placem_Collection'!S73)),"YES","NO")</f>
        <v>NO</v>
      </c>
      <c r="AM72" s="270" t="str">
        <f>IF(ISNUMBER(SEARCH("H", 'Dry_Litterbag Placem_Collection'!S73)),"YES","NO")</f>
        <v>NO</v>
      </c>
      <c r="AN72" s="270" t="str">
        <f>IF(ISNUMBER(SEARCH("R", 'Dry_Litterbag Placem_Collection'!S73)),"YES","NO")</f>
        <v>NO</v>
      </c>
    </row>
    <row r="73" spans="1:40">
      <c r="A73" s="262" t="s">
        <v>2659</v>
      </c>
      <c r="B73" s="263">
        <f>'Dry_Litterbag Placem_Collection'!A74</f>
        <v>72</v>
      </c>
      <c r="C73" s="263" t="str">
        <f>'Dry_Litterbag Placem_Collection'!B74</f>
        <v>Maswa</v>
      </c>
      <c r="D73" s="263" t="s">
        <v>2659</v>
      </c>
      <c r="E73" s="263" t="s">
        <v>2661</v>
      </c>
      <c r="F73" s="263">
        <v>1</v>
      </c>
      <c r="G73" s="264" t="str">
        <f>'Dry_Litterbag Placem_Collection'!C74</f>
        <v>Dry_W1_T8</v>
      </c>
      <c r="H73" s="265" t="s">
        <v>2541</v>
      </c>
      <c r="I73" s="266" t="s">
        <v>1147</v>
      </c>
      <c r="J73" s="263" t="str">
        <f>IF(ISBLANK('Dry_Litterbag Placem_Collection'!J74),"","G"&amp;""&amp;'Dry_Litterbag Placem_Collection'!J74)</f>
        <v>G431</v>
      </c>
      <c r="K73" s="267">
        <f>IFERROR(INDEX('Green_rooibos initial weight'!$C$5:$C$1749,MATCH(J73, 'Green_rooibos initial weight'!$A$5:$A$1749,0)),"")</f>
        <v>2.08</v>
      </c>
      <c r="L73" s="267">
        <f>IFERROR(K73-(TBIcalc!$Q$9+TBIcalc!$Q$10),"")</f>
        <v>1.8302</v>
      </c>
      <c r="M73" s="391">
        <f>AVERAGE(Ashed_controlls!$K$2:$K$11)</f>
        <v>5.5147656768714146</v>
      </c>
      <c r="N73" s="267">
        <f t="shared" si="6"/>
        <v>1.7292687585818993</v>
      </c>
      <c r="O73" s="267">
        <f>IF(IFERROR(INDEX('Both teabags AfterDry'!$D$3:$D$900,MATCH(J73,'Both teabags AfterDry'!$A$3:$A$900,0)),"")="","",(IFERROR(INDEX('Both teabags AfterDry'!$D$3:$D$900,MATCH(J73,'Both teabags AfterDry'!$A$3:$A$900,0)),"")))</f>
        <v>1.8758999999999999</v>
      </c>
      <c r="P73" s="267">
        <f>IFERROR(IF(O73&gt;0,O73-(TBIcalc!$Q$9),""),"")</f>
        <v>1.7252999999999998</v>
      </c>
      <c r="Q73" s="278">
        <f>IFERROR(INDEX('Ashed teabags dry'!$K$2:$K$825,MATCH(J73,'Ashed teabags dry'!$A$2:$A$825,0)),"")</f>
        <v>5.6922334780507073</v>
      </c>
      <c r="R73" s="278">
        <f t="shared" si="7"/>
        <v>1.627091895803191</v>
      </c>
      <c r="S73" s="268">
        <f>'Dry_Litterbag Placem_Collection'!E74</f>
        <v>42937</v>
      </c>
      <c r="T73" s="268">
        <f>IF('Dry_Litterbag Placem_Collection'!G74="","",'Dry_Litterbag Placem_Collection'!G74)</f>
        <v>43006</v>
      </c>
      <c r="U73" s="269">
        <f t="shared" si="5"/>
        <v>69</v>
      </c>
      <c r="V73" s="267">
        <f t="shared" si="8"/>
        <v>0.10490000000000022</v>
      </c>
      <c r="W73" s="267">
        <f t="shared" si="9"/>
        <v>0.1021768627787083</v>
      </c>
      <c r="X73" s="271">
        <f>IFERROR(INDEX(Rainfall_Dry!$O$2:$O$217,MATCH(B73, Rainfall_Dry!$A$2:$A$217,0)),"")</f>
        <v>6.900000125</v>
      </c>
      <c r="Y73" s="260">
        <v>47.96</v>
      </c>
      <c r="Z73" s="260">
        <v>22.919999999999995</v>
      </c>
      <c r="AA73" s="260">
        <v>29.120000000000012</v>
      </c>
      <c r="AB73" s="261" t="s">
        <v>2673</v>
      </c>
      <c r="AC73" s="260">
        <v>9.8831936914736307</v>
      </c>
      <c r="AD73">
        <f>IF('WetLitterbags placem_collection'!AB74="","",'WetLitterbags placem_collection'!AB74)</f>
        <v>2.6</v>
      </c>
      <c r="AE73">
        <f>IF('WetLitterbags placem_collection'!Z74="","",'WetLitterbags placem_collection'!Z74)</f>
        <v>44</v>
      </c>
      <c r="AF73" s="24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71">
        <f>IFERROR(AVERAGE('Dry_Litterbag Placem_Collection'!N74,'Dry_Litterbag Placem_Collection'!Q74),"")</f>
        <v>26.35</v>
      </c>
      <c r="AJ73" s="270">
        <f>INDEX(Coordinates!$B$2:$B$197,MATCH(G73,Coordinates!$J$2:$J$197,0))</f>
        <v>-3.2996540329999999</v>
      </c>
      <c r="AK73" s="270">
        <f>INDEX(Coordinates!$C$2:$C$197,MATCH(G73,Coordinates!$J$2:$J$197,0))</f>
        <v>34.848151020000003</v>
      </c>
      <c r="AL73" s="270" t="str">
        <f>IF(ISNUMBER(SEARCH("C", 'Dry_Litterbag Placem_Collection'!S74)),"YES","NO")</f>
        <v>NO</v>
      </c>
      <c r="AM73" s="270" t="str">
        <f>IF(ISNUMBER(SEARCH("H", 'Dry_Litterbag Placem_Collection'!S74)),"YES","NO")</f>
        <v>NO</v>
      </c>
      <c r="AN73" s="270" t="str">
        <f>IF(ISNUMBER(SEARCH("R", 'Dry_Litterbag Placem_Collection'!S74)),"YES","NO")</f>
        <v>NO</v>
      </c>
    </row>
    <row r="74" spans="1:40">
      <c r="A74" s="262" t="s">
        <v>2659</v>
      </c>
      <c r="B74" s="263">
        <f>'Dry_Litterbag Placem_Collection'!A75</f>
        <v>73</v>
      </c>
      <c r="C74" s="263" t="str">
        <f>'Dry_Litterbag Placem_Collection'!B75</f>
        <v>Maswa</v>
      </c>
      <c r="D74" s="263" t="s">
        <v>2659</v>
      </c>
      <c r="E74" s="263" t="s">
        <v>2661</v>
      </c>
      <c r="F74" s="263">
        <v>2</v>
      </c>
      <c r="G74" s="264" t="str">
        <f>'Dry_Litterbag Placem_Collection'!C75</f>
        <v>Dry_W2_T1</v>
      </c>
      <c r="H74" s="265" t="s">
        <v>2541</v>
      </c>
      <c r="I74" s="266" t="s">
        <v>1147</v>
      </c>
      <c r="J74" s="263" t="str">
        <f>IF(ISBLANK('Dry_Litterbag Placem_Collection'!J75),"","G"&amp;""&amp;'Dry_Litterbag Placem_Collection'!J75)</f>
        <v>G321</v>
      </c>
      <c r="K74" s="267">
        <f>IFERROR(INDEX('Green_rooibos initial weight'!$C$5:$C$1749,MATCH(J74, 'Green_rooibos initial weight'!$A$5:$A$1749,0)),"")</f>
        <v>1.9179999999999999</v>
      </c>
      <c r="L74" s="267">
        <f>IFERROR(K74-(TBIcalc!$Q$9+TBIcalc!$Q$10),"")</f>
        <v>1.6681999999999999</v>
      </c>
      <c r="M74" s="391">
        <f>AVERAGE(Ashed_controlls!$K$2:$K$11)</f>
        <v>5.5147656768714146</v>
      </c>
      <c r="N74" s="267">
        <f t="shared" si="6"/>
        <v>1.5762026789784309</v>
      </c>
      <c r="O74" s="267" t="str">
        <f>IF(IFERROR(INDEX('Both teabags AfterDry'!$D$3:$D$900,MATCH(J74,'Both teabags AfterDry'!$A$3:$A$900,0)),"")="","",(IFERROR(INDEX('Both teabags AfterDry'!$D$3:$D$900,MATCH(J74,'Both teabags AfterDry'!$A$3:$A$900,0)),"")))</f>
        <v/>
      </c>
      <c r="P74" s="267" t="str">
        <f>IFERROR(IF(O74&gt;0,O74-(TBIcalc!$Q$9),""),"")</f>
        <v/>
      </c>
      <c r="Q74" s="278" t="str">
        <f>IFERROR(INDEX('Ashed teabags dry'!$K$2:$K$825,MATCH(J74,'Ashed teabags dry'!$A$2:$A$825,0)),"")</f>
        <v/>
      </c>
      <c r="R74" s="278" t="str">
        <f t="shared" si="7"/>
        <v/>
      </c>
      <c r="S74" s="268">
        <f>'Dry_Litterbag Placem_Collection'!E75</f>
        <v>42937</v>
      </c>
      <c r="T74" s="268">
        <f>IF('Dry_Litterbag Placem_Collection'!G75="","",'Dry_Litterbag Placem_Collection'!G75)</f>
        <v>43006</v>
      </c>
      <c r="U74" s="269">
        <f t="shared" si="5"/>
        <v>69</v>
      </c>
      <c r="V74" s="267" t="str">
        <f t="shared" si="8"/>
        <v/>
      </c>
      <c r="W74" s="267" t="str">
        <f t="shared" si="9"/>
        <v/>
      </c>
      <c r="X74" s="271">
        <f>IFERROR(INDEX(Rainfall_Dry!$O$2:$O$217,MATCH(B74, Rainfall_Dry!$A$2:$A$217,0)),"")</f>
        <v>6.900000125</v>
      </c>
      <c r="Y74" s="260">
        <v>45.272914521112256</v>
      </c>
      <c r="Z74" s="260">
        <v>23.604531410916575</v>
      </c>
      <c r="AA74" s="260">
        <v>31.122554067971166</v>
      </c>
      <c r="AB74" s="261" t="s">
        <v>2673</v>
      </c>
      <c r="AC74" s="260">
        <v>2.0547560374568752</v>
      </c>
      <c r="AD74">
        <f>IF('WetLitterbags placem_collection'!AB75="","",'WetLitterbags placem_collection'!AB75)</f>
        <v>9.1</v>
      </c>
      <c r="AE74">
        <f>IF('WetLitterbags placem_collection'!Z75="","",'WetLitterbags placem_collection'!Z75)</f>
        <v>10</v>
      </c>
      <c r="AF74" s="24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71">
        <f>IFERROR(AVERAGE('Dry_Litterbag Placem_Collection'!N75,'Dry_Litterbag Placem_Collection'!Q75),"")</f>
        <v>28.35</v>
      </c>
      <c r="AJ74" s="270">
        <f>INDEX(Coordinates!$B$2:$B$197,MATCH(G74,Coordinates!$J$2:$J$197,0))</f>
        <v>-3.3025860229999999</v>
      </c>
      <c r="AK74" s="270">
        <f>INDEX(Coordinates!$C$2:$C$197,MATCH(G74,Coordinates!$J$2:$J$197,0))</f>
        <v>34.848048009999999</v>
      </c>
      <c r="AL74" s="270" t="str">
        <f>IF(ISNUMBER(SEARCH("C", 'Dry_Litterbag Placem_Collection'!S75)),"YES","NO")</f>
        <v>NO</v>
      </c>
      <c r="AM74" s="270" t="str">
        <f>IF(ISNUMBER(SEARCH("H", 'Dry_Litterbag Placem_Collection'!S75)),"YES","NO")</f>
        <v>NO</v>
      </c>
      <c r="AN74" s="270" t="str">
        <f>IF(ISNUMBER(SEARCH("R", 'Dry_Litterbag Placem_Collection'!S75)),"YES","NO")</f>
        <v>NO</v>
      </c>
    </row>
    <row r="75" spans="1:40">
      <c r="A75" s="262" t="s">
        <v>2659</v>
      </c>
      <c r="B75" s="263">
        <f>'Dry_Litterbag Placem_Collection'!A76</f>
        <v>74</v>
      </c>
      <c r="C75" s="263" t="str">
        <f>'Dry_Litterbag Placem_Collection'!B76</f>
        <v>Maswa</v>
      </c>
      <c r="D75" s="263" t="s">
        <v>2659</v>
      </c>
      <c r="E75" s="263" t="s">
        <v>2661</v>
      </c>
      <c r="F75" s="263">
        <v>2</v>
      </c>
      <c r="G75" s="264" t="str">
        <f>'Dry_Litterbag Placem_Collection'!C76</f>
        <v>Dry_W2_T2</v>
      </c>
      <c r="H75" s="265" t="s">
        <v>2541</v>
      </c>
      <c r="I75" s="266" t="s">
        <v>1147</v>
      </c>
      <c r="J75" s="263" t="str">
        <f>IF(ISBLANK('Dry_Litterbag Placem_Collection'!J76),"","G"&amp;""&amp;'Dry_Litterbag Placem_Collection'!J76)</f>
        <v>G329</v>
      </c>
      <c r="K75" s="267">
        <f>IFERROR(INDEX('Green_rooibos initial weight'!$C$5:$C$1749,MATCH(J75, 'Green_rooibos initial weight'!$A$5:$A$1749,0)),"")</f>
        <v>1.9550000000000001</v>
      </c>
      <c r="L75" s="267">
        <f>IFERROR(K75-(TBIcalc!$Q$9+TBIcalc!$Q$10),"")</f>
        <v>1.7052</v>
      </c>
      <c r="M75" s="391">
        <f>AVERAGE(Ashed_controlls!$K$2:$K$11)</f>
        <v>5.5147656768714146</v>
      </c>
      <c r="N75" s="267">
        <f t="shared" si="6"/>
        <v>1.6111622156779888</v>
      </c>
      <c r="O75" s="267">
        <f>IF(IFERROR(INDEX('Both teabags AfterDry'!$D$3:$D$900,MATCH(J75,'Both teabags AfterDry'!$A$3:$A$900,0)),"")="","",(IFERROR(INDEX('Both teabags AfterDry'!$D$3:$D$900,MATCH(J75,'Both teabags AfterDry'!$A$3:$A$900,0)),"")))</f>
        <v>1.7850999999999999</v>
      </c>
      <c r="P75" s="267">
        <f>IFERROR(IF(O75&gt;0,O75-(TBIcalc!$Q$9),""),"")</f>
        <v>1.6344999999999998</v>
      </c>
      <c r="Q75" s="278">
        <f>IFERROR(INDEX('Ashed teabags dry'!$K$2:$K$825,MATCH(J75,'Ashed teabags dry'!$A$2:$A$825,0)),"")</f>
        <v>5.4652880354504347</v>
      </c>
      <c r="R75" s="278">
        <f t="shared" si="7"/>
        <v>1.5451698670605625</v>
      </c>
      <c r="S75" s="268">
        <f>'Dry_Litterbag Placem_Collection'!E76</f>
        <v>42937</v>
      </c>
      <c r="T75" s="268">
        <f>IF('Dry_Litterbag Placem_Collection'!G76="","",'Dry_Litterbag Placem_Collection'!G76)</f>
        <v>43006</v>
      </c>
      <c r="U75" s="269">
        <f t="shared" si="5"/>
        <v>69</v>
      </c>
      <c r="V75" s="267">
        <f t="shared" si="8"/>
        <v>7.0700000000000207E-2</v>
      </c>
      <c r="W75" s="267">
        <f t="shared" si="9"/>
        <v>6.5992348617426311E-2</v>
      </c>
      <c r="X75" s="271">
        <f>IFERROR(INDEX(Rainfall_Dry!$O$2:$O$217,MATCH(B75, Rainfall_Dry!$A$2:$A$217,0)),"")</f>
        <v>6.900000125</v>
      </c>
      <c r="Y75" s="260">
        <v>45.272914521112256</v>
      </c>
      <c r="Z75" s="260">
        <v>23.604531410916575</v>
      </c>
      <c r="AA75" s="260">
        <v>31.122554067971166</v>
      </c>
      <c r="AB75" s="261" t="s">
        <v>2673</v>
      </c>
      <c r="AC75" s="260">
        <v>3.0547560374568801</v>
      </c>
      <c r="AD75">
        <f>IF('WetLitterbags placem_collection'!AB76="","",'WetLitterbags placem_collection'!AB76)</f>
        <v>7.7</v>
      </c>
      <c r="AE75">
        <f>IF('WetLitterbags placem_collection'!Z76="","",'WetLitterbags placem_collection'!Z76)</f>
        <v>9.4</v>
      </c>
      <c r="AF75" s="24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71">
        <f>IFERROR(AVERAGE('Dry_Litterbag Placem_Collection'!N76,'Dry_Litterbag Placem_Collection'!Q76),"")</f>
        <v>28.1</v>
      </c>
      <c r="AJ75" s="270">
        <f>INDEX(Coordinates!$B$2:$B$197,MATCH(G75,Coordinates!$J$2:$J$197,0))</f>
        <v>-3.3025779759999998</v>
      </c>
      <c r="AK75" s="270">
        <f>INDEX(Coordinates!$C$2:$C$197,MATCH(G75,Coordinates!$J$2:$J$197,0))</f>
        <v>34.848041969999997</v>
      </c>
      <c r="AL75" s="270" t="str">
        <f>IF(ISNUMBER(SEARCH("C", 'Dry_Litterbag Placem_Collection'!S76)),"YES","NO")</f>
        <v>NO</v>
      </c>
      <c r="AM75" s="270" t="str">
        <f>IF(ISNUMBER(SEARCH("H", 'Dry_Litterbag Placem_Collection'!S76)),"YES","NO")</f>
        <v>NO</v>
      </c>
      <c r="AN75" s="270" t="str">
        <f>IF(ISNUMBER(SEARCH("R", 'Dry_Litterbag Placem_Collection'!S76)),"YES","NO")</f>
        <v>NO</v>
      </c>
    </row>
    <row r="76" spans="1:40">
      <c r="A76" s="262" t="s">
        <v>2659</v>
      </c>
      <c r="B76" s="263">
        <f>'Dry_Litterbag Placem_Collection'!A77</f>
        <v>75</v>
      </c>
      <c r="C76" s="263" t="str">
        <f>'Dry_Litterbag Placem_Collection'!B77</f>
        <v>Maswa</v>
      </c>
      <c r="D76" s="263" t="s">
        <v>2659</v>
      </c>
      <c r="E76" s="263" t="s">
        <v>2661</v>
      </c>
      <c r="F76" s="263">
        <v>2</v>
      </c>
      <c r="G76" s="264" t="str">
        <f>'Dry_Litterbag Placem_Collection'!C77</f>
        <v>Dry_W2_T3</v>
      </c>
      <c r="H76" s="265" t="s">
        <v>2541</v>
      </c>
      <c r="I76" s="266" t="s">
        <v>1147</v>
      </c>
      <c r="J76" s="263" t="str">
        <f>IF(ISBLANK('Dry_Litterbag Placem_Collection'!J77),"","G"&amp;""&amp;'Dry_Litterbag Placem_Collection'!J77)</f>
        <v>G215</v>
      </c>
      <c r="K76" s="267">
        <f>IFERROR(INDEX('Green_rooibos initial weight'!$C$5:$C$1749,MATCH(J76, 'Green_rooibos initial weight'!$A$5:$A$1749,0)),"")</f>
        <v>2.0579999999999998</v>
      </c>
      <c r="L76" s="267">
        <f>IFERROR(K76-(TBIcalc!$Q$9+TBIcalc!$Q$10),"")</f>
        <v>1.8081999999999998</v>
      </c>
      <c r="M76" s="391">
        <f>AVERAGE(Ashed_controlls!$K$2:$K$11)</f>
        <v>5.5147656768714146</v>
      </c>
      <c r="N76" s="267">
        <f t="shared" si="6"/>
        <v>1.7084820070308109</v>
      </c>
      <c r="O76" s="267">
        <f>IF(IFERROR(INDEX('Both teabags AfterDry'!$D$3:$D$900,MATCH(J76,'Both teabags AfterDry'!$A$3:$A$900,0)),"")="","",(IFERROR(INDEX('Both teabags AfterDry'!$D$3:$D$900,MATCH(J76,'Both teabags AfterDry'!$A$3:$A$900,0)),"")))</f>
        <v>1.9146000000000001</v>
      </c>
      <c r="P76" s="267">
        <f>IFERROR(IF(O76&gt;0,O76-(TBIcalc!$Q$9),""),"")</f>
        <v>1.764</v>
      </c>
      <c r="Q76" s="278">
        <f>IFERROR(INDEX('Ashed teabags dry'!$K$2:$K$825,MATCH(J76,'Ashed teabags dry'!$A$2:$A$825,0)),"")</f>
        <v>5.0223769269016794</v>
      </c>
      <c r="R76" s="278">
        <f t="shared" si="7"/>
        <v>1.6754052710094545</v>
      </c>
      <c r="S76" s="268">
        <f>'Dry_Litterbag Placem_Collection'!E77</f>
        <v>42937</v>
      </c>
      <c r="T76" s="268">
        <f>IF('Dry_Litterbag Placem_Collection'!G77="","",'Dry_Litterbag Placem_Collection'!G77)</f>
        <v>43006</v>
      </c>
      <c r="U76" s="269">
        <f t="shared" si="5"/>
        <v>69</v>
      </c>
      <c r="V76" s="267">
        <f t="shared" si="8"/>
        <v>4.4199999999999795E-2</v>
      </c>
      <c r="W76" s="267">
        <f t="shared" si="9"/>
        <v>3.3076736021356412E-2</v>
      </c>
      <c r="X76" s="271">
        <f>IFERROR(INDEX(Rainfall_Dry!$O$2:$O$217,MATCH(B76, Rainfall_Dry!$A$2:$A$217,0)),"")</f>
        <v>6.900000125</v>
      </c>
      <c r="Y76" s="260">
        <v>45.272914521112256</v>
      </c>
      <c r="Z76" s="260">
        <v>23.604531410916575</v>
      </c>
      <c r="AA76" s="260">
        <v>31.122554067971166</v>
      </c>
      <c r="AB76" s="261" t="s">
        <v>2673</v>
      </c>
      <c r="AC76" s="260">
        <v>4.0547560374568796</v>
      </c>
      <c r="AD76">
        <f>IF('WetLitterbags placem_collection'!AB77="","",'WetLitterbags placem_collection'!AB77)</f>
        <v>6.1</v>
      </c>
      <c r="AE76">
        <f>IF('WetLitterbags placem_collection'!Z77="","",'WetLitterbags placem_collection'!Z77)</f>
        <v>13.8</v>
      </c>
      <c r="AF76" s="24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71">
        <f>IFERROR(AVERAGE('Dry_Litterbag Placem_Collection'!N77,'Dry_Litterbag Placem_Collection'!Q77),"")</f>
        <v>27.200000000000003</v>
      </c>
      <c r="AJ76" s="270">
        <f>INDEX(Coordinates!$B$2:$B$197,MATCH(G76,Coordinates!$J$2:$J$197,0))</f>
        <v>-3.302687025</v>
      </c>
      <c r="AK76" s="270">
        <f>INDEX(Coordinates!$C$2:$C$197,MATCH(G76,Coordinates!$J$2:$J$197,0))</f>
        <v>34.847926970000003</v>
      </c>
      <c r="AL76" s="270" t="str">
        <f>IF(ISNUMBER(SEARCH("C", 'Dry_Litterbag Placem_Collection'!S77)),"YES","NO")</f>
        <v>NO</v>
      </c>
      <c r="AM76" s="270" t="str">
        <f>IF(ISNUMBER(SEARCH("H", 'Dry_Litterbag Placem_Collection'!S77)),"YES","NO")</f>
        <v>YES</v>
      </c>
      <c r="AN76" s="270" t="str">
        <f>IF(ISNUMBER(SEARCH("R", 'Dry_Litterbag Placem_Collection'!S77)),"YES","NO")</f>
        <v>NO</v>
      </c>
    </row>
    <row r="77" spans="1:40">
      <c r="A77" s="262" t="s">
        <v>2659</v>
      </c>
      <c r="B77" s="263">
        <f>'Dry_Litterbag Placem_Collection'!A78</f>
        <v>76</v>
      </c>
      <c r="C77" s="263" t="str">
        <f>'Dry_Litterbag Placem_Collection'!B78</f>
        <v>Maswa</v>
      </c>
      <c r="D77" s="263" t="s">
        <v>2659</v>
      </c>
      <c r="E77" s="263" t="s">
        <v>2661</v>
      </c>
      <c r="F77" s="263">
        <v>2</v>
      </c>
      <c r="G77" s="264" t="str">
        <f>'Dry_Litterbag Placem_Collection'!C78</f>
        <v>Dry_W2_T4</v>
      </c>
      <c r="H77" s="265" t="s">
        <v>2541</v>
      </c>
      <c r="I77" s="266" t="s">
        <v>1147</v>
      </c>
      <c r="J77" s="263" t="str">
        <f>IF(ISBLANK('Dry_Litterbag Placem_Collection'!J78),"","G"&amp;""&amp;'Dry_Litterbag Placem_Collection'!J78)</f>
        <v>G60</v>
      </c>
      <c r="K77" s="267">
        <f>IFERROR(INDEX('Green_rooibos initial weight'!$C$5:$C$1749,MATCH(J77, 'Green_rooibos initial weight'!$A$5:$A$1749,0)),"")</f>
        <v>2.1230000000000002</v>
      </c>
      <c r="L77" s="267">
        <f>IFERROR(K77-(TBIcalc!$Q$9+TBIcalc!$Q$10),"")</f>
        <v>1.8732000000000002</v>
      </c>
      <c r="M77" s="391">
        <f>AVERAGE(Ashed_controlls!$K$2:$K$11)</f>
        <v>5.5147656768714146</v>
      </c>
      <c r="N77" s="267">
        <f t="shared" si="6"/>
        <v>1.7698974093408448</v>
      </c>
      <c r="O77" s="267">
        <f>IF(IFERROR(INDEX('Both teabags AfterDry'!$D$3:$D$900,MATCH(J77,'Both teabags AfterDry'!$A$3:$A$900,0)),"")="","",(IFERROR(INDEX('Both teabags AfterDry'!$D$3:$D$900,MATCH(J77,'Both teabags AfterDry'!$A$3:$A$900,0)),"")))</f>
        <v>1.9540999999999999</v>
      </c>
      <c r="P77" s="267">
        <f>IFERROR(IF(O77&gt;0,O77-(TBIcalc!$Q$9),""),"")</f>
        <v>1.8034999999999999</v>
      </c>
      <c r="Q77" s="278">
        <f>IFERROR(INDEX('Ashed teabags dry'!$K$2:$K$825,MATCH(J77,'Ashed teabags dry'!$A$2:$A$825,0)),"")</f>
        <v>5.8748403575990409</v>
      </c>
      <c r="R77" s="278">
        <f t="shared" si="7"/>
        <v>1.6975472541507013</v>
      </c>
      <c r="S77" s="268">
        <f>'Dry_Litterbag Placem_Collection'!E78</f>
        <v>42937</v>
      </c>
      <c r="T77" s="268">
        <f>IF('Dry_Litterbag Placem_Collection'!G78="","",'Dry_Litterbag Placem_Collection'!G78)</f>
        <v>43006</v>
      </c>
      <c r="U77" s="269">
        <f t="shared" si="5"/>
        <v>69</v>
      </c>
      <c r="V77" s="267">
        <f t="shared" si="8"/>
        <v>6.9700000000000317E-2</v>
      </c>
      <c r="W77" s="267">
        <f t="shared" si="9"/>
        <v>7.2350155190143539E-2</v>
      </c>
      <c r="X77" s="271">
        <f>IFERROR(INDEX(Rainfall_Dry!$O$2:$O$217,MATCH(B77, Rainfall_Dry!$A$2:$A$217,0)),"")</f>
        <v>6.900000125</v>
      </c>
      <c r="Y77" s="260">
        <v>45.272914521112256</v>
      </c>
      <c r="Z77" s="260">
        <v>23.604531410916575</v>
      </c>
      <c r="AA77" s="260">
        <v>31.122554067971166</v>
      </c>
      <c r="AB77" s="261" t="s">
        <v>2673</v>
      </c>
      <c r="AC77" s="260">
        <v>5.0547560374568796</v>
      </c>
      <c r="AD77">
        <f>IF('WetLitterbags placem_collection'!AB78="","",'WetLitterbags placem_collection'!AB78)</f>
        <v>6.7</v>
      </c>
      <c r="AE77">
        <f>IF('WetLitterbags placem_collection'!Z78="","",'WetLitterbags placem_collection'!Z78)</f>
        <v>19.3</v>
      </c>
      <c r="AF77" s="24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71">
        <f>IFERROR(AVERAGE('Dry_Litterbag Placem_Collection'!N78,'Dry_Litterbag Placem_Collection'!Q78),"")</f>
        <v>27.75</v>
      </c>
      <c r="AJ77" s="270">
        <f>INDEX(Coordinates!$B$2:$B$197,MATCH(G77,Coordinates!$J$2:$J$197,0))</f>
        <v>-3.3024560190000001</v>
      </c>
      <c r="AK77" s="270">
        <f>INDEX(Coordinates!$C$2:$C$197,MATCH(G77,Coordinates!$J$2:$J$197,0))</f>
        <v>34.847871990000002</v>
      </c>
      <c r="AL77" s="270" t="str">
        <f>IF(ISNUMBER(SEARCH("C", 'Dry_Litterbag Placem_Collection'!S78)),"YES","NO")</f>
        <v>NO</v>
      </c>
      <c r="AM77" s="270" t="str">
        <f>IF(ISNUMBER(SEARCH("H", 'Dry_Litterbag Placem_Collection'!S78)),"YES","NO")</f>
        <v>NO</v>
      </c>
      <c r="AN77" s="270" t="str">
        <f>IF(ISNUMBER(SEARCH("R", 'Dry_Litterbag Placem_Collection'!S78)),"YES","NO")</f>
        <v>NO</v>
      </c>
    </row>
    <row r="78" spans="1:40">
      <c r="A78" s="262" t="s">
        <v>2659</v>
      </c>
      <c r="B78" s="263">
        <f>'Dry_Litterbag Placem_Collection'!A79</f>
        <v>77</v>
      </c>
      <c r="C78" s="263" t="str">
        <f>'Dry_Litterbag Placem_Collection'!B79</f>
        <v>Maswa</v>
      </c>
      <c r="D78" s="263" t="s">
        <v>2659</v>
      </c>
      <c r="E78" s="263" t="s">
        <v>2661</v>
      </c>
      <c r="F78" s="263">
        <v>2</v>
      </c>
      <c r="G78" s="264" t="str">
        <f>'Dry_Litterbag Placem_Collection'!C79</f>
        <v>Dry_W2_T5</v>
      </c>
      <c r="H78" s="265" t="s">
        <v>2541</v>
      </c>
      <c r="I78" s="266" t="s">
        <v>1147</v>
      </c>
      <c r="J78" s="263" t="str">
        <f>IF(ISBLANK('Dry_Litterbag Placem_Collection'!J79),"","G"&amp;""&amp;'Dry_Litterbag Placem_Collection'!J79)</f>
        <v/>
      </c>
      <c r="K78" s="267" t="str">
        <f>IFERROR(INDEX('Green_rooibos initial weight'!$C$5:$C$1749,MATCH(J78, 'Green_rooibos initial weight'!$A$5:$A$1749,0)),"")</f>
        <v/>
      </c>
      <c r="L78" s="267" t="str">
        <f>IFERROR(K78-(TBIcalc!$Q$9+TBIcalc!$Q$10),"")</f>
        <v/>
      </c>
      <c r="M78" s="391">
        <f>AVERAGE(Ashed_controlls!$K$2:$K$11)</f>
        <v>5.5147656768714146</v>
      </c>
      <c r="N78" s="267" t="str">
        <f t="shared" si="6"/>
        <v/>
      </c>
      <c r="O78" s="267" t="str">
        <f>IF(IFERROR(INDEX('Both teabags AfterDry'!$D$3:$D$900,MATCH(J78,'Both teabags AfterDry'!$A$3:$A$900,0)),"")="","",(IFERROR(INDEX('Both teabags AfterDry'!$D$3:$D$900,MATCH(J78,'Both teabags AfterDry'!$A$3:$A$900,0)),"")))</f>
        <v/>
      </c>
      <c r="P78" s="267" t="str">
        <f>IFERROR(IF(O78&gt;0,O78-(TBIcalc!$Q$9),""),"")</f>
        <v/>
      </c>
      <c r="Q78" s="278" t="str">
        <f>IFERROR(INDEX('Ashed teabags dry'!$K$2:$K$825,MATCH(J78,'Ashed teabags dry'!$A$2:$A$825,0)),"")</f>
        <v/>
      </c>
      <c r="R78" s="278" t="str">
        <f t="shared" si="7"/>
        <v/>
      </c>
      <c r="S78" s="268">
        <f>'Dry_Litterbag Placem_Collection'!E79</f>
        <v>0</v>
      </c>
      <c r="T78" s="268" t="str">
        <f>IF('Dry_Litterbag Placem_Collection'!G79="","",'Dry_Litterbag Placem_Collection'!G79)</f>
        <v/>
      </c>
      <c r="U78" s="269" t="str">
        <f t="shared" si="5"/>
        <v/>
      </c>
      <c r="V78" s="267" t="str">
        <f t="shared" si="8"/>
        <v/>
      </c>
      <c r="W78" s="267" t="str">
        <f t="shared" si="9"/>
        <v/>
      </c>
      <c r="X78" s="271" t="str">
        <f>IFERROR(INDEX(Rainfall_Dry!$O$2:$O$217,MATCH(B78, Rainfall_Dry!$A$2:$A$217,0)),"")</f>
        <v/>
      </c>
      <c r="Y78" s="260">
        <v>45.272914521112256</v>
      </c>
      <c r="Z78" s="260">
        <v>23.604531410916575</v>
      </c>
      <c r="AA78" s="260">
        <v>31.122554067971166</v>
      </c>
      <c r="AB78" s="261" t="s">
        <v>2673</v>
      </c>
      <c r="AC78" s="260">
        <v>6.0547560374568796</v>
      </c>
      <c r="AD78">
        <f>IF('WetLitterbags placem_collection'!AB79="","",'WetLitterbags placem_collection'!AB79)</f>
        <v>3.1</v>
      </c>
      <c r="AE78">
        <f>IF('WetLitterbags placem_collection'!Z79="","",'WetLitterbags placem_collection'!Z79)</f>
        <v>9.8000000000000007</v>
      </c>
      <c r="AF78" s="24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71" t="str">
        <f>IFERROR(AVERAGE('Dry_Litterbag Placem_Collection'!N79,'Dry_Litterbag Placem_Collection'!Q79),"")</f>
        <v/>
      </c>
      <c r="AJ78" s="270">
        <f>INDEX(Coordinates!$B$2:$B$197,MATCH(G78,Coordinates!$J$2:$J$197,0))</f>
        <v>-3.3023280279999998</v>
      </c>
      <c r="AK78" s="270">
        <f>INDEX(Coordinates!$C$2:$C$197,MATCH(G78,Coordinates!$J$2:$J$197,0))</f>
        <v>34.848223019999999</v>
      </c>
      <c r="AL78" s="270" t="str">
        <f>IF(ISNUMBER(SEARCH("C", 'Dry_Litterbag Placem_Collection'!S79)),"YES","NO")</f>
        <v>NO</v>
      </c>
      <c r="AM78" s="270" t="str">
        <f>IF(ISNUMBER(SEARCH("H", 'Dry_Litterbag Placem_Collection'!S79)),"YES","NO")</f>
        <v>NO</v>
      </c>
      <c r="AN78" s="270" t="str">
        <f>IF(ISNUMBER(SEARCH("R", 'Dry_Litterbag Placem_Collection'!S79)),"YES","NO")</f>
        <v>NO</v>
      </c>
    </row>
    <row r="79" spans="1:40">
      <c r="A79" s="262" t="s">
        <v>2659</v>
      </c>
      <c r="B79" s="263">
        <f>'Dry_Litterbag Placem_Collection'!A80</f>
        <v>78</v>
      </c>
      <c r="C79" s="263" t="str">
        <f>'Dry_Litterbag Placem_Collection'!B80</f>
        <v>Maswa</v>
      </c>
      <c r="D79" s="263" t="s">
        <v>2659</v>
      </c>
      <c r="E79" s="263" t="s">
        <v>2661</v>
      </c>
      <c r="F79" s="263">
        <v>2</v>
      </c>
      <c r="G79" s="264" t="str">
        <f>'Dry_Litterbag Placem_Collection'!C80</f>
        <v>Dry_W2_T6</v>
      </c>
      <c r="H79" s="265" t="s">
        <v>2541</v>
      </c>
      <c r="I79" s="266" t="s">
        <v>1147</v>
      </c>
      <c r="J79" s="263" t="str">
        <f>IF(ISBLANK('Dry_Litterbag Placem_Collection'!J80),"","G"&amp;""&amp;'Dry_Litterbag Placem_Collection'!J80)</f>
        <v>G97</v>
      </c>
      <c r="K79" s="267">
        <f>IFERROR(INDEX('Green_rooibos initial weight'!$C$5:$C$1749,MATCH(J79, 'Green_rooibos initial weight'!$A$5:$A$1749,0)),"")</f>
        <v>2.0960000000000001</v>
      </c>
      <c r="L79" s="267">
        <f>IFERROR(K79-(TBIcalc!$Q$9+TBIcalc!$Q$10),"")</f>
        <v>1.8462000000000001</v>
      </c>
      <c r="M79" s="391">
        <f>AVERAGE(Ashed_controlls!$K$2:$K$11)</f>
        <v>5.5147656768714146</v>
      </c>
      <c r="N79" s="267">
        <f t="shared" si="6"/>
        <v>1.7443863960735999</v>
      </c>
      <c r="O79" s="267">
        <f>IF(IFERROR(INDEX('Both teabags AfterDry'!$D$3:$D$900,MATCH(J79,'Both teabags AfterDry'!$A$3:$A$900,0)),"")="","",(IFERROR(INDEX('Both teabags AfterDry'!$D$3:$D$900,MATCH(J79,'Both teabags AfterDry'!$A$3:$A$900,0)),"")))</f>
        <v>1.7647999999999999</v>
      </c>
      <c r="P79" s="267">
        <f>IFERROR(IF(O79&gt;0,O79-(TBIcalc!$Q$9),""),"")</f>
        <v>1.6141999999999999</v>
      </c>
      <c r="Q79" s="278">
        <f>IFERROR(INDEX('Ashed teabags dry'!$K$2:$K$825,MATCH(J79,'Ashed teabags dry'!$A$2:$A$825,0)),"")</f>
        <v>5.6475170399223327</v>
      </c>
      <c r="R79" s="278">
        <f t="shared" si="7"/>
        <v>1.5230377799415735</v>
      </c>
      <c r="S79" s="268">
        <f>'Dry_Litterbag Placem_Collection'!E80</f>
        <v>42937</v>
      </c>
      <c r="T79" s="268">
        <f>IF('Dry_Litterbag Placem_Collection'!G80="","",'Dry_Litterbag Placem_Collection'!G80)</f>
        <v>43006</v>
      </c>
      <c r="U79" s="269">
        <f t="shared" si="5"/>
        <v>69</v>
      </c>
      <c r="V79" s="267">
        <f t="shared" si="8"/>
        <v>0.23200000000000021</v>
      </c>
      <c r="W79" s="267">
        <f t="shared" si="9"/>
        <v>0.22134861613202639</v>
      </c>
      <c r="X79" s="271">
        <f>IFERROR(INDEX(Rainfall_Dry!$O$2:$O$217,MATCH(B79, Rainfall_Dry!$A$2:$A$217,0)),"")</f>
        <v>6.900000125</v>
      </c>
      <c r="Y79" s="260">
        <v>45.272914521112256</v>
      </c>
      <c r="Z79" s="260">
        <v>23.604531410916575</v>
      </c>
      <c r="AA79" s="260">
        <v>31.122554067971166</v>
      </c>
      <c r="AB79" s="261" t="s">
        <v>2673</v>
      </c>
      <c r="AC79" s="260">
        <v>7.0547560374568796</v>
      </c>
      <c r="AD79">
        <f>IF('WetLitterbags placem_collection'!AB80="","",'WetLitterbags placem_collection'!AB80)</f>
        <v>10.4</v>
      </c>
      <c r="AE79">
        <f>IF('WetLitterbags placem_collection'!Z80="","",'WetLitterbags placem_collection'!Z80)</f>
        <v>15.4</v>
      </c>
      <c r="AF79" s="24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71">
        <f>IFERROR(AVERAGE('Dry_Litterbag Placem_Collection'!N80,'Dry_Litterbag Placem_Collection'!Q80),"")</f>
        <v>28.35</v>
      </c>
      <c r="AJ79" s="270">
        <f>INDEX(Coordinates!$B$2:$B$197,MATCH(G79,Coordinates!$J$2:$J$197,0))</f>
        <v>-3.3025680020000001</v>
      </c>
      <c r="AK79" s="270">
        <f>INDEX(Coordinates!$C$2:$C$197,MATCH(G79,Coordinates!$J$2:$J$197,0))</f>
        <v>34.848167029999999</v>
      </c>
      <c r="AL79" s="270" t="str">
        <f>IF(ISNUMBER(SEARCH("C", 'Dry_Litterbag Placem_Collection'!S80)),"YES","NO")</f>
        <v>NO</v>
      </c>
      <c r="AM79" s="270" t="str">
        <f>IF(ISNUMBER(SEARCH("H", 'Dry_Litterbag Placem_Collection'!S80)),"YES","NO")</f>
        <v>YES</v>
      </c>
      <c r="AN79" s="270" t="str">
        <f>IF(ISNUMBER(SEARCH("R", 'Dry_Litterbag Placem_Collection'!S80)),"YES","NO")</f>
        <v>NO</v>
      </c>
    </row>
    <row r="80" spans="1:40">
      <c r="A80" s="262" t="s">
        <v>2659</v>
      </c>
      <c r="B80" s="263">
        <f>'Dry_Litterbag Placem_Collection'!A81</f>
        <v>79</v>
      </c>
      <c r="C80" s="263" t="str">
        <f>'Dry_Litterbag Placem_Collection'!B81</f>
        <v>Maswa</v>
      </c>
      <c r="D80" s="263" t="s">
        <v>2659</v>
      </c>
      <c r="E80" s="263" t="s">
        <v>2661</v>
      </c>
      <c r="F80" s="263">
        <v>2</v>
      </c>
      <c r="G80" s="264" t="str">
        <f>'Dry_Litterbag Placem_Collection'!C81</f>
        <v>Dry_W2_T7</v>
      </c>
      <c r="H80" s="265" t="s">
        <v>2541</v>
      </c>
      <c r="I80" s="266" t="s">
        <v>1147</v>
      </c>
      <c r="J80" s="263" t="str">
        <f>IF(ISBLANK('Dry_Litterbag Placem_Collection'!J81),"","G"&amp;""&amp;'Dry_Litterbag Placem_Collection'!J81)</f>
        <v>G130</v>
      </c>
      <c r="K80" s="267">
        <f>IFERROR(INDEX('Green_rooibos initial weight'!$C$5:$C$1749,MATCH(J80, 'Green_rooibos initial weight'!$A$5:$A$1749,0)),"")</f>
        <v>1.976</v>
      </c>
      <c r="L80" s="267">
        <f>IFERROR(K80-(TBIcalc!$Q$9+TBIcalc!$Q$10),"")</f>
        <v>1.7262</v>
      </c>
      <c r="M80" s="391">
        <f>AVERAGE(Ashed_controlls!$K$2:$K$11)</f>
        <v>5.5147656768714146</v>
      </c>
      <c r="N80" s="267">
        <f t="shared" si="6"/>
        <v>1.6310041148858456</v>
      </c>
      <c r="O80" s="267">
        <f>IF(IFERROR(INDEX('Both teabags AfterDry'!$D$3:$D$900,MATCH(J80,'Both teabags AfterDry'!$A$3:$A$900,0)),"")="","",(IFERROR(INDEX('Both teabags AfterDry'!$D$3:$D$900,MATCH(J80,'Both teabags AfterDry'!$A$3:$A$900,0)),"")))</f>
        <v>1.8545</v>
      </c>
      <c r="P80" s="267">
        <f>IFERROR(IF(O80&gt;0,O80-(TBIcalc!$Q$9),""),"")</f>
        <v>1.7039</v>
      </c>
      <c r="Q80" s="278">
        <f>IFERROR(INDEX('Ashed teabags dry'!$K$2:$K$825,MATCH(J80,'Ashed teabags dry'!$A$2:$A$825,0)),"")</f>
        <v>5.8363970588233842</v>
      </c>
      <c r="R80" s="278">
        <f t="shared" si="7"/>
        <v>1.6044536305147084</v>
      </c>
      <c r="S80" s="268">
        <f>'Dry_Litterbag Placem_Collection'!E81</f>
        <v>42937</v>
      </c>
      <c r="T80" s="268">
        <f>IF('Dry_Litterbag Placem_Collection'!G81="","",'Dry_Litterbag Placem_Collection'!G81)</f>
        <v>43006</v>
      </c>
      <c r="U80" s="269">
        <f t="shared" si="5"/>
        <v>69</v>
      </c>
      <c r="V80" s="267">
        <f t="shared" si="8"/>
        <v>2.2299999999999986E-2</v>
      </c>
      <c r="W80" s="267">
        <f t="shared" si="9"/>
        <v>2.6550484371137273E-2</v>
      </c>
      <c r="X80" s="271">
        <f>IFERROR(INDEX(Rainfall_Dry!$O$2:$O$217,MATCH(B80, Rainfall_Dry!$A$2:$A$217,0)),"")</f>
        <v>6.900000125</v>
      </c>
      <c r="Y80" s="260">
        <v>45.272914521112256</v>
      </c>
      <c r="Z80" s="260">
        <v>23.604531410916575</v>
      </c>
      <c r="AA80" s="260">
        <v>31.122554067971166</v>
      </c>
      <c r="AB80" s="261" t="s">
        <v>2673</v>
      </c>
      <c r="AC80" s="260">
        <v>8.0547560374568796</v>
      </c>
      <c r="AD80">
        <f>IF('WetLitterbags placem_collection'!AB81="","",'WetLitterbags placem_collection'!AB81)</f>
        <v>3</v>
      </c>
      <c r="AE80">
        <f>IF('WetLitterbags placem_collection'!Z81="","",'WetLitterbags placem_collection'!Z81)</f>
        <v>5</v>
      </c>
      <c r="AF80" s="24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71">
        <f>IFERROR(AVERAGE('Dry_Litterbag Placem_Collection'!N81,'Dry_Litterbag Placem_Collection'!Q81),"")</f>
        <v>26.25</v>
      </c>
      <c r="AJ80" s="270">
        <f>INDEX(Coordinates!$B$2:$B$197,MATCH(G80,Coordinates!$J$2:$J$197,0))</f>
        <v>-3.3026270100000001</v>
      </c>
      <c r="AK80" s="270">
        <f>INDEX(Coordinates!$C$2:$C$197,MATCH(G80,Coordinates!$J$2:$J$197,0))</f>
        <v>34.84840801</v>
      </c>
      <c r="AL80" s="270" t="str">
        <f>IF(ISNUMBER(SEARCH("C", 'Dry_Litterbag Placem_Collection'!S81)),"YES","NO")</f>
        <v>NO</v>
      </c>
      <c r="AM80" s="270" t="str">
        <f>IF(ISNUMBER(SEARCH("H", 'Dry_Litterbag Placem_Collection'!S81)),"YES","NO")</f>
        <v>NO</v>
      </c>
      <c r="AN80" s="270" t="str">
        <f>IF(ISNUMBER(SEARCH("R", 'Dry_Litterbag Placem_Collection'!S81)),"YES","NO")</f>
        <v>NO</v>
      </c>
    </row>
    <row r="81" spans="1:40">
      <c r="A81" s="262" t="s">
        <v>2659</v>
      </c>
      <c r="B81" s="263">
        <f>'Dry_Litterbag Placem_Collection'!A82</f>
        <v>80</v>
      </c>
      <c r="C81" s="263" t="str">
        <f>'Dry_Litterbag Placem_Collection'!B82</f>
        <v>Maswa</v>
      </c>
      <c r="D81" s="263" t="s">
        <v>2659</v>
      </c>
      <c r="E81" s="263" t="s">
        <v>2661</v>
      </c>
      <c r="F81" s="263">
        <v>2</v>
      </c>
      <c r="G81" s="264" t="str">
        <f>'Dry_Litterbag Placem_Collection'!C82</f>
        <v>Dry_W2_T8</v>
      </c>
      <c r="H81" s="265" t="s">
        <v>2541</v>
      </c>
      <c r="I81" s="266" t="s">
        <v>1147</v>
      </c>
      <c r="J81" s="263" t="str">
        <f>IF(ISBLANK('Dry_Litterbag Placem_Collection'!J82),"","G"&amp;""&amp;'Dry_Litterbag Placem_Collection'!J82)</f>
        <v>G24</v>
      </c>
      <c r="K81" s="267">
        <f>IFERROR(INDEX('Green_rooibos initial weight'!$C$5:$C$1749,MATCH(J81, 'Green_rooibos initial weight'!$A$5:$A$1749,0)),"")</f>
        <v>2.09</v>
      </c>
      <c r="L81" s="267">
        <f>IFERROR(K81-(TBIcalc!$Q$9+TBIcalc!$Q$10),"")</f>
        <v>1.8401999999999998</v>
      </c>
      <c r="M81" s="391">
        <f>AVERAGE(Ashed_controlls!$K$2:$K$11)</f>
        <v>5.5147656768714146</v>
      </c>
      <c r="N81" s="267">
        <f t="shared" si="6"/>
        <v>1.7387172820142121</v>
      </c>
      <c r="O81" s="267">
        <f>IF(IFERROR(INDEX('Both teabags AfterDry'!$D$3:$D$900,MATCH(J81,'Both teabags AfterDry'!$A$3:$A$900,0)),"")="","",(IFERROR(INDEX('Both teabags AfterDry'!$D$3:$D$900,MATCH(J81,'Both teabags AfterDry'!$A$3:$A$900,0)),"")))</f>
        <v>1.9084000000000001</v>
      </c>
      <c r="P81" s="267">
        <f>IFERROR(IF(O81&gt;0,O81-(TBIcalc!$Q$9),""),"")</f>
        <v>1.7578</v>
      </c>
      <c r="Q81" s="278">
        <f>IFERROR(INDEX('Ashed teabags dry'!$K$2:$K$825,MATCH(J81,'Ashed teabags dry'!$A$2:$A$825,0)),"")</f>
        <v>5.4078826764434664</v>
      </c>
      <c r="R81" s="278">
        <f t="shared" si="7"/>
        <v>1.6627402383134768</v>
      </c>
      <c r="S81" s="268">
        <f>'Dry_Litterbag Placem_Collection'!E82</f>
        <v>42937</v>
      </c>
      <c r="T81" s="268">
        <f>IF('Dry_Litterbag Placem_Collection'!G82="","",'Dry_Litterbag Placem_Collection'!G82)</f>
        <v>43006</v>
      </c>
      <c r="U81" s="269">
        <f t="shared" si="5"/>
        <v>69</v>
      </c>
      <c r="V81" s="267">
        <f t="shared" si="8"/>
        <v>8.2399999999999807E-2</v>
      </c>
      <c r="W81" s="267">
        <f t="shared" si="9"/>
        <v>7.5977043700735214E-2</v>
      </c>
      <c r="X81" s="271">
        <f>IFERROR(INDEX(Rainfall_Dry!$O$2:$O$217,MATCH(B81, Rainfall_Dry!$A$2:$A$217,0)),"")</f>
        <v>6.900000125</v>
      </c>
      <c r="Y81" s="260">
        <v>45.272914521112256</v>
      </c>
      <c r="Z81" s="260">
        <v>23.604531410916575</v>
      </c>
      <c r="AA81" s="260">
        <v>31.122554067971166</v>
      </c>
      <c r="AB81" s="261" t="s">
        <v>2673</v>
      </c>
      <c r="AC81" s="260">
        <v>9.0547560374568796</v>
      </c>
      <c r="AD81">
        <f>IF('WetLitterbags placem_collection'!AB82="","",'WetLitterbags placem_collection'!AB82)</f>
        <v>2.7</v>
      </c>
      <c r="AE81">
        <f>IF('WetLitterbags placem_collection'!Z82="","",'WetLitterbags placem_collection'!Z82)</f>
        <v>12.4</v>
      </c>
      <c r="AF81" s="24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71">
        <f>IFERROR(AVERAGE('Dry_Litterbag Placem_Collection'!N82,'Dry_Litterbag Placem_Collection'!Q82),"")</f>
        <v>27.7</v>
      </c>
      <c r="AJ81" s="270">
        <f>INDEX(Coordinates!$B$2:$B$197,MATCH(G81,Coordinates!$J$2:$J$197,0))</f>
        <v>-3.3028539920000002</v>
      </c>
      <c r="AK81" s="270">
        <f>INDEX(Coordinates!$C$2:$C$197,MATCH(G81,Coordinates!$J$2:$J$197,0))</f>
        <v>34.847988999999998</v>
      </c>
      <c r="AL81" s="270" t="str">
        <f>IF(ISNUMBER(SEARCH("C", 'Dry_Litterbag Placem_Collection'!S82)),"YES","NO")</f>
        <v>NO</v>
      </c>
      <c r="AM81" s="270" t="str">
        <f>IF(ISNUMBER(SEARCH("H", 'Dry_Litterbag Placem_Collection'!S82)),"YES","NO")</f>
        <v>NO</v>
      </c>
      <c r="AN81" s="270" t="str">
        <f>IF(ISNUMBER(SEARCH("R", 'Dry_Litterbag Placem_Collection'!S82)),"YES","NO")</f>
        <v>NO</v>
      </c>
    </row>
    <row r="82" spans="1:40">
      <c r="A82" s="262" t="s">
        <v>2659</v>
      </c>
      <c r="B82" s="263">
        <f>'Dry_Litterbag Placem_Collection'!A83</f>
        <v>81</v>
      </c>
      <c r="C82" s="263" t="str">
        <f>'Dry_Litterbag Placem_Collection'!B83</f>
        <v>Maswa</v>
      </c>
      <c r="D82" s="263" t="s">
        <v>2659</v>
      </c>
      <c r="E82" s="263" t="s">
        <v>2661</v>
      </c>
      <c r="F82" s="263">
        <v>3</v>
      </c>
      <c r="G82" s="264" t="str">
        <f>'Dry_Litterbag Placem_Collection'!C83</f>
        <v>Dry_W3_T1</v>
      </c>
      <c r="H82" s="265" t="s">
        <v>2541</v>
      </c>
      <c r="I82" s="266" t="s">
        <v>1147</v>
      </c>
      <c r="J82" s="263" t="str">
        <f>IF(ISBLANK('Dry_Litterbag Placem_Collection'!J83),"","G"&amp;""&amp;'Dry_Litterbag Placem_Collection'!J83)</f>
        <v>G312</v>
      </c>
      <c r="K82" s="267">
        <f>IFERROR(INDEX('Green_rooibos initial weight'!$C$5:$C$1749,MATCH(J82, 'Green_rooibos initial weight'!$A$5:$A$1749,0)),"")</f>
        <v>2.0179999999999998</v>
      </c>
      <c r="L82" s="267">
        <f>IFERROR(K82-(TBIcalc!$Q$9+TBIcalc!$Q$10),"")</f>
        <v>1.7681999999999998</v>
      </c>
      <c r="M82" s="391">
        <f>AVERAGE(Ashed_controlls!$K$2:$K$11)</f>
        <v>5.5147656768714146</v>
      </c>
      <c r="N82" s="267">
        <f t="shared" si="6"/>
        <v>1.6706879133015595</v>
      </c>
      <c r="O82" s="267">
        <f>IF(IFERROR(INDEX('Both teabags AfterDry'!$D$3:$D$900,MATCH(J82,'Both teabags AfterDry'!$A$3:$A$900,0)),"")="","",(IFERROR(INDEX('Both teabags AfterDry'!$D$3:$D$900,MATCH(J82,'Both teabags AfterDry'!$A$3:$A$900,0)),"")))</f>
        <v>1.7978000000000001</v>
      </c>
      <c r="P82" s="267">
        <f>IFERROR(IF(O82&gt;0,O82-(TBIcalc!$Q$9),""),"")</f>
        <v>1.6472</v>
      </c>
      <c r="Q82" s="278">
        <f>IFERROR(INDEX('Ashed teabags dry'!$K$2:$K$825,MATCH(J82,'Ashed teabags dry'!$A$2:$A$825,0)),"")</f>
        <v>5.5148853099064077</v>
      </c>
      <c r="R82" s="278">
        <f t="shared" si="7"/>
        <v>1.5563588091752216</v>
      </c>
      <c r="S82" s="268">
        <f>'Dry_Litterbag Placem_Collection'!E83</f>
        <v>42937</v>
      </c>
      <c r="T82" s="268">
        <f>IF('Dry_Litterbag Placem_Collection'!G83="","",'Dry_Litterbag Placem_Collection'!G83)</f>
        <v>43006</v>
      </c>
      <c r="U82" s="269">
        <f t="shared" si="5"/>
        <v>69</v>
      </c>
      <c r="V82" s="267">
        <f t="shared" si="8"/>
        <v>0.12099999999999977</v>
      </c>
      <c r="W82" s="267">
        <f t="shared" si="9"/>
        <v>0.1143291041263379</v>
      </c>
      <c r="X82" s="271">
        <f>IFERROR(INDEX(Rainfall_Dry!$O$2:$O$217,MATCH(B82, Rainfall_Dry!$A$2:$A$217,0)),"")</f>
        <v>12.563016860999999</v>
      </c>
      <c r="Y82" s="260">
        <v>38.691629007962128</v>
      </c>
      <c r="Z82" s="260">
        <v>26.81299763288143</v>
      </c>
      <c r="AA82" s="260">
        <v>34.495373359156439</v>
      </c>
      <c r="AB82" s="261" t="s">
        <v>2675</v>
      </c>
      <c r="AC82" s="260">
        <v>2.5483587974371611</v>
      </c>
      <c r="AD82">
        <f>IF('WetLitterbags placem_collection'!AB83="","",'WetLitterbags placem_collection'!AB83)</f>
        <v>6.2</v>
      </c>
      <c r="AE82">
        <f>IF('WetLitterbags placem_collection'!Z83="","",'WetLitterbags placem_collection'!Z83)</f>
        <v>13.3</v>
      </c>
      <c r="AF82" s="24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71">
        <f>IFERROR(AVERAGE('Dry_Litterbag Placem_Collection'!N83,'Dry_Litterbag Placem_Collection'!Q83),"")</f>
        <v>26.35</v>
      </c>
      <c r="AJ82" s="270">
        <f>INDEX(Coordinates!$B$2:$B$197,MATCH(G82,Coordinates!$J$2:$J$197,0))</f>
        <v>-3.2957159630000001</v>
      </c>
      <c r="AK82" s="270">
        <f>INDEX(Coordinates!$C$2:$C$197,MATCH(G82,Coordinates!$J$2:$J$197,0))</f>
        <v>34.852460999999998</v>
      </c>
      <c r="AL82" s="270" t="str">
        <f>IF(ISNUMBER(SEARCH("C", 'Dry_Litterbag Placem_Collection'!S83)),"YES","NO")</f>
        <v>NO</v>
      </c>
      <c r="AM82" s="270" t="str">
        <f>IF(ISNUMBER(SEARCH("H", 'Dry_Litterbag Placem_Collection'!S83)),"YES","NO")</f>
        <v>NO</v>
      </c>
      <c r="AN82" s="270" t="str">
        <f>IF(ISNUMBER(SEARCH("R", 'Dry_Litterbag Placem_Collection'!S83)),"YES","NO")</f>
        <v>NO</v>
      </c>
    </row>
    <row r="83" spans="1:40">
      <c r="A83" s="262" t="s">
        <v>2659</v>
      </c>
      <c r="B83" s="263">
        <f>'Dry_Litterbag Placem_Collection'!A84</f>
        <v>82</v>
      </c>
      <c r="C83" s="263" t="str">
        <f>'Dry_Litterbag Placem_Collection'!B84</f>
        <v>Maswa</v>
      </c>
      <c r="D83" s="263" t="s">
        <v>2659</v>
      </c>
      <c r="E83" s="263" t="s">
        <v>2661</v>
      </c>
      <c r="F83" s="263">
        <v>3</v>
      </c>
      <c r="G83" s="264" t="str">
        <f>'Dry_Litterbag Placem_Collection'!C84</f>
        <v>Dry_W3_T2</v>
      </c>
      <c r="H83" s="265" t="s">
        <v>2541</v>
      </c>
      <c r="I83" s="266" t="s">
        <v>1147</v>
      </c>
      <c r="J83" s="263" t="str">
        <f>IF(ISBLANK('Dry_Litterbag Placem_Collection'!J84),"","G"&amp;""&amp;'Dry_Litterbag Placem_Collection'!J84)</f>
        <v>G356</v>
      </c>
      <c r="K83" s="267">
        <f>IFERROR(INDEX('Green_rooibos initial weight'!$C$5:$C$1749,MATCH(J83, 'Green_rooibos initial weight'!$A$5:$A$1749,0)),"")</f>
        <v>1.9870000000000001</v>
      </c>
      <c r="L83" s="267">
        <f>IFERROR(K83-(TBIcalc!$Q$9+TBIcalc!$Q$10),"")</f>
        <v>1.7372000000000001</v>
      </c>
      <c r="M83" s="391">
        <f>AVERAGE(Ashed_controlls!$K$2:$K$11)</f>
        <v>5.5147656768714146</v>
      </c>
      <c r="N83" s="267">
        <f t="shared" si="6"/>
        <v>1.64139749066139</v>
      </c>
      <c r="O83" s="267">
        <f>IF(IFERROR(INDEX('Both teabags AfterDry'!$D$3:$D$900,MATCH(J83,'Both teabags AfterDry'!$A$3:$A$900,0)),"")="","",(IFERROR(INDEX('Both teabags AfterDry'!$D$3:$D$900,MATCH(J83,'Both teabags AfterDry'!$A$3:$A$900,0)),"")))</f>
        <v>1.7767999999999999</v>
      </c>
      <c r="P83" s="267">
        <f>IFERROR(IF(O83&gt;0,O83-(TBIcalc!$Q$9),""),"")</f>
        <v>1.6261999999999999</v>
      </c>
      <c r="Q83" s="278">
        <f>IFERROR(INDEX('Ashed teabags dry'!$K$2:$K$825,MATCH(J83,'Ashed teabags dry'!$A$2:$A$825,0)),"")</f>
        <v>5.2706552706550589</v>
      </c>
      <c r="R83" s="278">
        <f t="shared" si="7"/>
        <v>1.5404886039886074</v>
      </c>
      <c r="S83" s="268">
        <f>'Dry_Litterbag Placem_Collection'!E84</f>
        <v>42937</v>
      </c>
      <c r="T83" s="268">
        <f>IF('Dry_Litterbag Placem_Collection'!G84="","",'Dry_Litterbag Placem_Collection'!G84)</f>
        <v>43006</v>
      </c>
      <c r="U83" s="269">
        <f t="shared" si="5"/>
        <v>69</v>
      </c>
      <c r="V83" s="267">
        <f t="shared" si="8"/>
        <v>0.11100000000000021</v>
      </c>
      <c r="W83" s="267">
        <f t="shared" si="9"/>
        <v>0.10090888667278253</v>
      </c>
      <c r="X83" s="271">
        <f>IFERROR(INDEX(Rainfall_Dry!$O$2:$O$217,MATCH(B83, Rainfall_Dry!$A$2:$A$217,0)),"")</f>
        <v>12.563016860999999</v>
      </c>
      <c r="Y83" s="260">
        <v>38.691629007962128</v>
      </c>
      <c r="Z83" s="260">
        <v>26.81299763288143</v>
      </c>
      <c r="AA83" s="260">
        <v>34.495373359156439</v>
      </c>
      <c r="AB83" s="261" t="s">
        <v>2675</v>
      </c>
      <c r="AC83" s="260">
        <v>3.5483587974371602</v>
      </c>
      <c r="AD83">
        <f>IF('WetLitterbags placem_collection'!AB84="","",'WetLitterbags placem_collection'!AB84)</f>
        <v>2.4</v>
      </c>
      <c r="AE83">
        <f>IF('WetLitterbags placem_collection'!Z84="","",'WetLitterbags placem_collection'!Z84)</f>
        <v>16.600000000000001</v>
      </c>
      <c r="AF83" s="24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71">
        <f>IFERROR(AVERAGE('Dry_Litterbag Placem_Collection'!N84,'Dry_Litterbag Placem_Collection'!Q84),"")</f>
        <v>25.5</v>
      </c>
      <c r="AJ83" s="270">
        <f>INDEX(Coordinates!$B$2:$B$197,MATCH(G83,Coordinates!$J$2:$J$197,0))</f>
        <v>-3.2957230040000001</v>
      </c>
      <c r="AK83" s="270">
        <f>INDEX(Coordinates!$C$2:$C$197,MATCH(G83,Coordinates!$J$2:$J$197,0))</f>
        <v>34.852416990000002</v>
      </c>
      <c r="AL83" s="270" t="str">
        <f>IF(ISNUMBER(SEARCH("C", 'Dry_Litterbag Placem_Collection'!S84)),"YES","NO")</f>
        <v>NO</v>
      </c>
      <c r="AM83" s="270" t="str">
        <f>IF(ISNUMBER(SEARCH("H", 'Dry_Litterbag Placem_Collection'!S84)),"YES","NO")</f>
        <v>NO</v>
      </c>
      <c r="AN83" s="270" t="str">
        <f>IF(ISNUMBER(SEARCH("R", 'Dry_Litterbag Placem_Collection'!S84)),"YES","NO")</f>
        <v>NO</v>
      </c>
    </row>
    <row r="84" spans="1:40">
      <c r="A84" s="262" t="s">
        <v>2659</v>
      </c>
      <c r="B84" s="263">
        <f>'Dry_Litterbag Placem_Collection'!A85</f>
        <v>83</v>
      </c>
      <c r="C84" s="263" t="str">
        <f>'Dry_Litterbag Placem_Collection'!B85</f>
        <v>Maswa</v>
      </c>
      <c r="D84" s="263" t="s">
        <v>2659</v>
      </c>
      <c r="E84" s="263" t="s">
        <v>2661</v>
      </c>
      <c r="F84" s="263">
        <v>3</v>
      </c>
      <c r="G84" s="264" t="str">
        <f>'Dry_Litterbag Placem_Collection'!C85</f>
        <v>Dry_W3_T3</v>
      </c>
      <c r="H84" s="265" t="s">
        <v>2541</v>
      </c>
      <c r="I84" s="266" t="s">
        <v>1147</v>
      </c>
      <c r="J84" s="263" t="str">
        <f>IF(ISBLANK('Dry_Litterbag Placem_Collection'!J85),"","G"&amp;""&amp;'Dry_Litterbag Placem_Collection'!J85)</f>
        <v>G331</v>
      </c>
      <c r="K84" s="267">
        <f>IFERROR(INDEX('Green_rooibos initial weight'!$C$5:$C$1749,MATCH(J84, 'Green_rooibos initial weight'!$A$5:$A$1749,0)),"")</f>
        <v>2.0550000000000002</v>
      </c>
      <c r="L84" s="267">
        <f>IFERROR(K84-(TBIcalc!$Q$9+TBIcalc!$Q$10),"")</f>
        <v>1.8052000000000001</v>
      </c>
      <c r="M84" s="391">
        <f>AVERAGE(Ashed_controlls!$K$2:$K$11)</f>
        <v>5.5147656768714146</v>
      </c>
      <c r="N84" s="267">
        <f t="shared" si="6"/>
        <v>1.7056474500011174</v>
      </c>
      <c r="O84" s="267">
        <f>IF(IFERROR(INDEX('Both teabags AfterDry'!$D$3:$D$900,MATCH(J84,'Both teabags AfterDry'!$A$3:$A$900,0)),"")="","",(IFERROR(INDEX('Both teabags AfterDry'!$D$3:$D$900,MATCH(J84,'Both teabags AfterDry'!$A$3:$A$900,0)),"")))</f>
        <v>1.8354999999999999</v>
      </c>
      <c r="P84" s="267">
        <f>IFERROR(IF(O84&gt;0,O84-(TBIcalc!$Q$9),""),"")</f>
        <v>1.6848999999999998</v>
      </c>
      <c r="Q84" s="278">
        <f>IFERROR(INDEX('Ashed teabags dry'!$K$2:$K$825,MATCH(J84,'Ashed teabags dry'!$A$2:$A$825,0)),"")</f>
        <v>5.6902523503216829</v>
      </c>
      <c r="R84" s="278">
        <f t="shared" si="7"/>
        <v>1.5890249381494299</v>
      </c>
      <c r="S84" s="268">
        <f>'Dry_Litterbag Placem_Collection'!E85</f>
        <v>42937</v>
      </c>
      <c r="T84" s="268">
        <f>IF('Dry_Litterbag Placem_Collection'!G85="","",'Dry_Litterbag Placem_Collection'!G85)</f>
        <v>43006</v>
      </c>
      <c r="U84" s="269">
        <f t="shared" si="5"/>
        <v>69</v>
      </c>
      <c r="V84" s="267">
        <f t="shared" si="8"/>
        <v>0.1203000000000003</v>
      </c>
      <c r="W84" s="267">
        <f t="shared" si="9"/>
        <v>0.11662251185168748</v>
      </c>
      <c r="X84" s="271">
        <f>IFERROR(INDEX(Rainfall_Dry!$O$2:$O$217,MATCH(B84, Rainfall_Dry!$A$2:$A$217,0)),"")</f>
        <v>12.563016860999999</v>
      </c>
      <c r="Y84" s="260">
        <v>38.691629007962128</v>
      </c>
      <c r="Z84" s="260">
        <v>26.81299763288143</v>
      </c>
      <c r="AA84" s="260">
        <v>34.495373359156439</v>
      </c>
      <c r="AB84" s="261" t="s">
        <v>2675</v>
      </c>
      <c r="AC84" s="260">
        <v>4.5483587974371602</v>
      </c>
      <c r="AD84">
        <f>IF('WetLitterbags placem_collection'!AB85="","",'WetLitterbags placem_collection'!AB85)</f>
        <v>6.4</v>
      </c>
      <c r="AE84">
        <f>IF('WetLitterbags placem_collection'!Z85="","",'WetLitterbags placem_collection'!Z85)</f>
        <v>42</v>
      </c>
      <c r="AF84" s="24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71">
        <f>IFERROR(AVERAGE('Dry_Litterbag Placem_Collection'!N85,'Dry_Litterbag Placem_Collection'!Q85),"")</f>
        <v>26.05</v>
      </c>
      <c r="AJ84" s="270">
        <f>INDEX(Coordinates!$B$2:$B$197,MATCH(G84,Coordinates!$J$2:$J$197,0))</f>
        <v>-3.2957430369999998</v>
      </c>
      <c r="AK84" s="270">
        <f>INDEX(Coordinates!$C$2:$C$197,MATCH(G84,Coordinates!$J$2:$J$197,0))</f>
        <v>34.852309030000001</v>
      </c>
      <c r="AL84" s="270" t="str">
        <f>IF(ISNUMBER(SEARCH("C", 'Dry_Litterbag Placem_Collection'!S85)),"YES","NO")</f>
        <v>NO</v>
      </c>
      <c r="AM84" s="270" t="str">
        <f>IF(ISNUMBER(SEARCH("H", 'Dry_Litterbag Placem_Collection'!S85)),"YES","NO")</f>
        <v>YES</v>
      </c>
      <c r="AN84" s="270" t="str">
        <f>IF(ISNUMBER(SEARCH("R", 'Dry_Litterbag Placem_Collection'!S85)),"YES","NO")</f>
        <v>NO</v>
      </c>
    </row>
    <row r="85" spans="1:40">
      <c r="A85" s="262" t="s">
        <v>2659</v>
      </c>
      <c r="B85" s="263">
        <f>'Dry_Litterbag Placem_Collection'!A86</f>
        <v>84</v>
      </c>
      <c r="C85" s="263" t="str">
        <f>'Dry_Litterbag Placem_Collection'!B86</f>
        <v>Maswa</v>
      </c>
      <c r="D85" s="263" t="s">
        <v>2659</v>
      </c>
      <c r="E85" s="263" t="s">
        <v>2661</v>
      </c>
      <c r="F85" s="263">
        <v>3</v>
      </c>
      <c r="G85" s="264" t="str">
        <f>'Dry_Litterbag Placem_Collection'!C86</f>
        <v>Dry_W3_T4</v>
      </c>
      <c r="H85" s="265" t="s">
        <v>2541</v>
      </c>
      <c r="I85" s="266" t="s">
        <v>1147</v>
      </c>
      <c r="J85" s="263" t="str">
        <f>IF(ISBLANK('Dry_Litterbag Placem_Collection'!J86),"","G"&amp;""&amp;'Dry_Litterbag Placem_Collection'!J86)</f>
        <v>G101</v>
      </c>
      <c r="K85" s="267">
        <f>IFERROR(INDEX('Green_rooibos initial weight'!$C$5:$C$1749,MATCH(J85, 'Green_rooibos initial weight'!$A$5:$A$1749,0)),"")</f>
        <v>2.173</v>
      </c>
      <c r="L85" s="267">
        <f>IFERROR(K85-(TBIcalc!$Q$9+TBIcalc!$Q$10),"")</f>
        <v>1.9232</v>
      </c>
      <c r="M85" s="391">
        <f>AVERAGE(Ashed_controlls!$K$2:$K$11)</f>
        <v>5.5147656768714146</v>
      </c>
      <c r="N85" s="267">
        <f t="shared" si="6"/>
        <v>1.8171400265024089</v>
      </c>
      <c r="O85" s="267">
        <f>IF(IFERROR(INDEX('Both teabags AfterDry'!$D$3:$D$900,MATCH(J85,'Both teabags AfterDry'!$A$3:$A$900,0)),"")="","",(IFERROR(INDEX('Both teabags AfterDry'!$D$3:$D$900,MATCH(J85,'Both teabags AfterDry'!$A$3:$A$900,0)),"")))</f>
        <v>1.9434</v>
      </c>
      <c r="P85" s="267">
        <f>IFERROR(IF(O85&gt;0,O85-(TBIcalc!$Q$9),""),"")</f>
        <v>1.7927999999999999</v>
      </c>
      <c r="Q85" s="278">
        <f>IFERROR(INDEX('Ashed teabags dry'!$K$2:$K$825,MATCH(J85,'Ashed teabags dry'!$A$2:$A$825,0)),"")</f>
        <v>5.5508112724168974</v>
      </c>
      <c r="R85" s="278">
        <f t="shared" si="7"/>
        <v>1.6932850555081098</v>
      </c>
      <c r="S85" s="268">
        <f>'Dry_Litterbag Placem_Collection'!E86</f>
        <v>42937</v>
      </c>
      <c r="T85" s="268">
        <f>IF('Dry_Litterbag Placem_Collection'!G86="","",'Dry_Litterbag Placem_Collection'!G86)</f>
        <v>43006</v>
      </c>
      <c r="U85" s="269">
        <f t="shared" si="5"/>
        <v>69</v>
      </c>
      <c r="V85" s="267">
        <f t="shared" si="8"/>
        <v>0.13040000000000007</v>
      </c>
      <c r="W85" s="267">
        <f t="shared" si="9"/>
        <v>0.1238549709942991</v>
      </c>
      <c r="X85" s="271">
        <f>IFERROR(INDEX(Rainfall_Dry!$O$2:$O$217,MATCH(B85, Rainfall_Dry!$A$2:$A$217,0)),"")</f>
        <v>12.563016860999999</v>
      </c>
      <c r="Y85" s="260">
        <v>38.691629007962128</v>
      </c>
      <c r="Z85" s="260">
        <v>26.81299763288143</v>
      </c>
      <c r="AA85" s="260">
        <v>34.495373359156439</v>
      </c>
      <c r="AB85" s="261" t="s">
        <v>2675</v>
      </c>
      <c r="AC85" s="260">
        <v>5.5483587974371602</v>
      </c>
      <c r="AD85">
        <f>IF('WetLitterbags placem_collection'!AB86="","",'WetLitterbags placem_collection'!AB86)</f>
        <v>5.5</v>
      </c>
      <c r="AE85">
        <f>IF('WetLitterbags placem_collection'!Z86="","",'WetLitterbags placem_collection'!Z86)</f>
        <v>55.8</v>
      </c>
      <c r="AF85" s="24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71">
        <f>IFERROR(AVERAGE('Dry_Litterbag Placem_Collection'!N86,'Dry_Litterbag Placem_Collection'!Q86),"")</f>
        <v>26.549999999999997</v>
      </c>
      <c r="AJ85" s="270">
        <f>INDEX(Coordinates!$B$2:$B$197,MATCH(G85,Coordinates!$J$2:$J$197,0))</f>
        <v>-3.295795005</v>
      </c>
      <c r="AK85" s="270">
        <f>INDEX(Coordinates!$C$2:$C$197,MATCH(G85,Coordinates!$J$2:$J$197,0))</f>
        <v>34.85232001</v>
      </c>
      <c r="AL85" s="270" t="str">
        <f>IF(ISNUMBER(SEARCH("C", 'Dry_Litterbag Placem_Collection'!S86)),"YES","NO")</f>
        <v>NO</v>
      </c>
      <c r="AM85" s="270" t="str">
        <f>IF(ISNUMBER(SEARCH("H", 'Dry_Litterbag Placem_Collection'!S86)),"YES","NO")</f>
        <v>YES</v>
      </c>
      <c r="AN85" s="270" t="str">
        <f>IF(ISNUMBER(SEARCH("R", 'Dry_Litterbag Placem_Collection'!S86)),"YES","NO")</f>
        <v>NO</v>
      </c>
    </row>
    <row r="86" spans="1:40">
      <c r="A86" s="262" t="s">
        <v>2659</v>
      </c>
      <c r="B86" s="263">
        <f>'Dry_Litterbag Placem_Collection'!A87</f>
        <v>85</v>
      </c>
      <c r="C86" s="263" t="str">
        <f>'Dry_Litterbag Placem_Collection'!B87</f>
        <v>Maswa</v>
      </c>
      <c r="D86" s="263" t="s">
        <v>2659</v>
      </c>
      <c r="E86" s="263" t="s">
        <v>2661</v>
      </c>
      <c r="F86" s="263">
        <v>3</v>
      </c>
      <c r="G86" s="264" t="str">
        <f>'Dry_Litterbag Placem_Collection'!C87</f>
        <v>Dry_W3_T5</v>
      </c>
      <c r="H86" s="265" t="s">
        <v>2541</v>
      </c>
      <c r="I86" s="266" t="s">
        <v>1147</v>
      </c>
      <c r="J86" s="263" t="str">
        <f>IF(ISBLANK('Dry_Litterbag Placem_Collection'!J87),"","G"&amp;""&amp;'Dry_Litterbag Placem_Collection'!J87)</f>
        <v/>
      </c>
      <c r="K86" s="267" t="str">
        <f>IFERROR(INDEX('Green_rooibos initial weight'!$C$5:$C$1749,MATCH(J86, 'Green_rooibos initial weight'!$A$5:$A$1749,0)),"")</f>
        <v/>
      </c>
      <c r="L86" s="267" t="str">
        <f>IFERROR(K86-(TBIcalc!$Q$9+TBIcalc!$Q$10),"")</f>
        <v/>
      </c>
      <c r="M86" s="391">
        <f>AVERAGE(Ashed_controlls!$K$2:$K$11)</f>
        <v>5.5147656768714146</v>
      </c>
      <c r="N86" s="267" t="str">
        <f t="shared" si="6"/>
        <v/>
      </c>
      <c r="O86" s="267" t="str">
        <f>IF(IFERROR(INDEX('Both teabags AfterDry'!$D$3:$D$900,MATCH(J86,'Both teabags AfterDry'!$A$3:$A$900,0)),"")="","",(IFERROR(INDEX('Both teabags AfterDry'!$D$3:$D$900,MATCH(J86,'Both teabags AfterDry'!$A$3:$A$900,0)),"")))</f>
        <v/>
      </c>
      <c r="P86" s="267" t="str">
        <f>IFERROR(IF(O86&gt;0,O86-(TBIcalc!$Q$9),""),"")</f>
        <v/>
      </c>
      <c r="Q86" s="278" t="str">
        <f>IFERROR(INDEX('Ashed teabags dry'!$K$2:$K$825,MATCH(J86,'Ashed teabags dry'!$A$2:$A$825,0)),"")</f>
        <v/>
      </c>
      <c r="R86" s="278" t="str">
        <f t="shared" si="7"/>
        <v/>
      </c>
      <c r="S86" s="268">
        <f>'Dry_Litterbag Placem_Collection'!E87</f>
        <v>0</v>
      </c>
      <c r="T86" s="268" t="str">
        <f>IF('Dry_Litterbag Placem_Collection'!G87="","",'Dry_Litterbag Placem_Collection'!G87)</f>
        <v/>
      </c>
      <c r="U86" s="269" t="str">
        <f t="shared" si="5"/>
        <v/>
      </c>
      <c r="V86" s="267" t="str">
        <f t="shared" si="8"/>
        <v/>
      </c>
      <c r="W86" s="267" t="str">
        <f t="shared" si="9"/>
        <v/>
      </c>
      <c r="X86" s="271" t="str">
        <f>IFERROR(INDEX(Rainfall_Dry!$O$2:$O$217,MATCH(B86, Rainfall_Dry!$A$2:$A$217,0)),"")</f>
        <v/>
      </c>
      <c r="Y86" s="260">
        <v>38.691629007962128</v>
      </c>
      <c r="Z86" s="260">
        <v>26.81299763288143</v>
      </c>
      <c r="AA86" s="260">
        <v>34.495373359156439</v>
      </c>
      <c r="AB86" s="261" t="s">
        <v>2675</v>
      </c>
      <c r="AC86" s="260">
        <v>6.5483587974371602</v>
      </c>
      <c r="AD86">
        <f>IF('WetLitterbags placem_collection'!AB87="","",'WetLitterbags placem_collection'!AB87)</f>
        <v>8.6</v>
      </c>
      <c r="AE86">
        <f>IF('WetLitterbags placem_collection'!Z87="","",'WetLitterbags placem_collection'!Z87)</f>
        <v>3.8</v>
      </c>
      <c r="AF86" s="24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71" t="str">
        <f>IFERROR(AVERAGE('Dry_Litterbag Placem_Collection'!N87,'Dry_Litterbag Placem_Collection'!Q87),"")</f>
        <v/>
      </c>
      <c r="AJ86" s="270">
        <f>INDEX(Coordinates!$B$2:$B$197,MATCH(G86,Coordinates!$J$2:$J$197,0))</f>
        <v>-3.2957100119999998</v>
      </c>
      <c r="AK86" s="270">
        <f>INDEX(Coordinates!$C$2:$C$197,MATCH(G86,Coordinates!$J$2:$J$197,0))</f>
        <v>34.852283970000002</v>
      </c>
      <c r="AL86" s="270" t="str">
        <f>IF(ISNUMBER(SEARCH("C", 'Dry_Litterbag Placem_Collection'!S87)),"YES","NO")</f>
        <v>NO</v>
      </c>
      <c r="AM86" s="270" t="str">
        <f>IF(ISNUMBER(SEARCH("H", 'Dry_Litterbag Placem_Collection'!S87)),"YES","NO")</f>
        <v>NO</v>
      </c>
      <c r="AN86" s="270" t="str">
        <f>IF(ISNUMBER(SEARCH("R", 'Dry_Litterbag Placem_Collection'!S87)),"YES","NO")</f>
        <v>NO</v>
      </c>
    </row>
    <row r="87" spans="1:40">
      <c r="A87" s="262" t="s">
        <v>2659</v>
      </c>
      <c r="B87" s="263">
        <f>'Dry_Litterbag Placem_Collection'!A88</f>
        <v>86</v>
      </c>
      <c r="C87" s="263" t="str">
        <f>'Dry_Litterbag Placem_Collection'!B88</f>
        <v>Maswa</v>
      </c>
      <c r="D87" s="263" t="s">
        <v>2659</v>
      </c>
      <c r="E87" s="263" t="s">
        <v>2661</v>
      </c>
      <c r="F87" s="263">
        <v>3</v>
      </c>
      <c r="G87" s="264" t="str">
        <f>'Dry_Litterbag Placem_Collection'!C88</f>
        <v>Dry_W3_T6</v>
      </c>
      <c r="H87" s="265" t="s">
        <v>2541</v>
      </c>
      <c r="I87" s="266" t="s">
        <v>1147</v>
      </c>
      <c r="J87" s="263" t="str">
        <f>IF(ISBLANK('Dry_Litterbag Placem_Collection'!J88),"","G"&amp;""&amp;'Dry_Litterbag Placem_Collection'!J88)</f>
        <v>G31</v>
      </c>
      <c r="K87" s="267">
        <f>IFERROR(INDEX('Green_rooibos initial weight'!$C$5:$C$1749,MATCH(J87, 'Green_rooibos initial weight'!$A$5:$A$1749,0)),"")</f>
        <v>1.9390000000000001</v>
      </c>
      <c r="L87" s="267">
        <f>IFERROR(K87-(TBIcalc!$Q$9+TBIcalc!$Q$10),"")</f>
        <v>1.6892</v>
      </c>
      <c r="M87" s="391">
        <f>AVERAGE(Ashed_controlls!$K$2:$K$11)</f>
        <v>5.5147656768714146</v>
      </c>
      <c r="N87" s="267">
        <f t="shared" si="6"/>
        <v>1.5960445781862882</v>
      </c>
      <c r="O87" s="267" t="str">
        <f>IF(IFERROR(INDEX('Both teabags AfterDry'!$D$3:$D$900,MATCH(J87,'Both teabags AfterDry'!$A$3:$A$900,0)),"")="","",(IFERROR(INDEX('Both teabags AfterDry'!$D$3:$D$900,MATCH(J87,'Both teabags AfterDry'!$A$3:$A$900,0)),"")))</f>
        <v/>
      </c>
      <c r="P87" s="267" t="str">
        <f>IFERROR(IF(O87&gt;0,O87-(TBIcalc!$Q$9),""),"")</f>
        <v/>
      </c>
      <c r="Q87" s="278" t="str">
        <f>IFERROR(INDEX('Ashed teabags dry'!$K$2:$K$825,MATCH(J87,'Ashed teabags dry'!$A$2:$A$825,0)),"")</f>
        <v/>
      </c>
      <c r="R87" s="278" t="str">
        <f t="shared" si="7"/>
        <v/>
      </c>
      <c r="S87" s="268">
        <f>'Dry_Litterbag Placem_Collection'!E88</f>
        <v>42937</v>
      </c>
      <c r="T87" s="268">
        <f>IF('Dry_Litterbag Placem_Collection'!G88="","",'Dry_Litterbag Placem_Collection'!G88)</f>
        <v>43006</v>
      </c>
      <c r="U87" s="269">
        <f t="shared" si="5"/>
        <v>69</v>
      </c>
      <c r="V87" s="267" t="str">
        <f t="shared" si="8"/>
        <v/>
      </c>
      <c r="W87" s="267" t="str">
        <f t="shared" si="9"/>
        <v/>
      </c>
      <c r="X87" s="271">
        <f>IFERROR(INDEX(Rainfall_Dry!$O$2:$O$217,MATCH(B87, Rainfall_Dry!$A$2:$A$217,0)),"")</f>
        <v>12.563016860999999</v>
      </c>
      <c r="Y87" s="260">
        <v>38.691629007962128</v>
      </c>
      <c r="Z87" s="260">
        <v>26.81299763288143</v>
      </c>
      <c r="AA87" s="260">
        <v>34.495373359156439</v>
      </c>
      <c r="AB87" s="261" t="s">
        <v>2675</v>
      </c>
      <c r="AC87" s="260">
        <v>7.5483587974371602</v>
      </c>
      <c r="AD87">
        <f>IF('WetLitterbags placem_collection'!AB88="","",'WetLitterbags placem_collection'!AB88)</f>
        <v>3.7</v>
      </c>
      <c r="AE87">
        <f>IF('WetLitterbags placem_collection'!Z88="","",'WetLitterbags placem_collection'!Z88)</f>
        <v>7.5</v>
      </c>
      <c r="AF87" s="24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71">
        <f>IFERROR(AVERAGE('Dry_Litterbag Placem_Collection'!N88,'Dry_Litterbag Placem_Collection'!Q88),"")</f>
        <v>26.9</v>
      </c>
      <c r="AJ87" s="270">
        <f>INDEX(Coordinates!$B$2:$B$197,MATCH(G87,Coordinates!$J$2:$J$197,0))</f>
        <v>-3.2956140399999998</v>
      </c>
      <c r="AK87" s="270">
        <f>INDEX(Coordinates!$C$2:$C$197,MATCH(G87,Coordinates!$J$2:$J$197,0))</f>
        <v>34.852137030000002</v>
      </c>
      <c r="AL87" s="270" t="str">
        <f>IF(ISNUMBER(SEARCH("C", 'Dry_Litterbag Placem_Collection'!S88)),"YES","NO")</f>
        <v>NO</v>
      </c>
      <c r="AM87" s="270" t="str">
        <f>IF(ISNUMBER(SEARCH("H", 'Dry_Litterbag Placem_Collection'!S88)),"YES","NO")</f>
        <v>YES</v>
      </c>
      <c r="AN87" s="270" t="str">
        <f>IF(ISNUMBER(SEARCH("R", 'Dry_Litterbag Placem_Collection'!S88)),"YES","NO")</f>
        <v>NO</v>
      </c>
    </row>
    <row r="88" spans="1:40">
      <c r="A88" s="262" t="s">
        <v>2659</v>
      </c>
      <c r="B88" s="263">
        <f>'Dry_Litterbag Placem_Collection'!A89</f>
        <v>87</v>
      </c>
      <c r="C88" s="263" t="str">
        <f>'Dry_Litterbag Placem_Collection'!B89</f>
        <v>Maswa</v>
      </c>
      <c r="D88" s="263" t="s">
        <v>2659</v>
      </c>
      <c r="E88" s="263" t="s">
        <v>2661</v>
      </c>
      <c r="F88" s="263">
        <v>3</v>
      </c>
      <c r="G88" s="264" t="str">
        <f>'Dry_Litterbag Placem_Collection'!C89</f>
        <v>Dry_W3_T7</v>
      </c>
      <c r="H88" s="265" t="s">
        <v>2541</v>
      </c>
      <c r="I88" s="266" t="s">
        <v>1147</v>
      </c>
      <c r="J88" s="263" t="str">
        <f>IF(ISBLANK('Dry_Litterbag Placem_Collection'!J89),"","G"&amp;""&amp;'Dry_Litterbag Placem_Collection'!J89)</f>
        <v>G220</v>
      </c>
      <c r="K88" s="267">
        <f>IFERROR(INDEX('Green_rooibos initial weight'!$C$5:$C$1749,MATCH(J88, 'Green_rooibos initial weight'!$A$5:$A$1749,0)),"")</f>
        <v>2.1179999999999999</v>
      </c>
      <c r="L88" s="267">
        <f>IFERROR(K88-(TBIcalc!$Q$9+TBIcalc!$Q$10),"")</f>
        <v>1.8681999999999999</v>
      </c>
      <c r="M88" s="391">
        <f>AVERAGE(Ashed_controlls!$K$2:$K$11)</f>
        <v>5.5147656768714146</v>
      </c>
      <c r="N88" s="267">
        <f t="shared" si="6"/>
        <v>1.7651731476246881</v>
      </c>
      <c r="O88" s="267">
        <f>IF(IFERROR(INDEX('Both teabags AfterDry'!$D$3:$D$900,MATCH(J88,'Both teabags AfterDry'!$A$3:$A$900,0)),"")="","",(IFERROR(INDEX('Both teabags AfterDry'!$D$3:$D$900,MATCH(J88,'Both teabags AfterDry'!$A$3:$A$900,0)),"")))</f>
        <v>1.9671000000000001</v>
      </c>
      <c r="P88" s="267">
        <f>IFERROR(IF(O88&gt;0,O88-(TBIcalc!$Q$9),""),"")</f>
        <v>1.8165</v>
      </c>
      <c r="Q88" s="278">
        <f>IFERROR(INDEX('Ashed teabags dry'!$K$2:$K$825,MATCH(J88,'Ashed teabags dry'!$A$2:$A$825,0)),"")</f>
        <v>5.9062218214606252</v>
      </c>
      <c r="R88" s="278">
        <f t="shared" si="7"/>
        <v>1.7092134806131678</v>
      </c>
      <c r="S88" s="268">
        <f>'Dry_Litterbag Placem_Collection'!E89</f>
        <v>42937</v>
      </c>
      <c r="T88" s="268">
        <f>IF('Dry_Litterbag Placem_Collection'!G89="","",'Dry_Litterbag Placem_Collection'!G89)</f>
        <v>43006</v>
      </c>
      <c r="U88" s="269">
        <f t="shared" si="5"/>
        <v>69</v>
      </c>
      <c r="V88" s="267">
        <f t="shared" si="8"/>
        <v>5.1699999999999857E-2</v>
      </c>
      <c r="W88" s="267">
        <f t="shared" si="9"/>
        <v>5.5959667011520331E-2</v>
      </c>
      <c r="X88" s="271">
        <f>IFERROR(INDEX(Rainfall_Dry!$O$2:$O$217,MATCH(B88, Rainfall_Dry!$A$2:$A$217,0)),"")</f>
        <v>12.563016860999999</v>
      </c>
      <c r="Y88" s="260">
        <v>38.691629007962128</v>
      </c>
      <c r="Z88" s="260">
        <v>26.81299763288143</v>
      </c>
      <c r="AA88" s="260">
        <v>34.495373359156439</v>
      </c>
      <c r="AB88" s="261" t="s">
        <v>2675</v>
      </c>
      <c r="AC88" s="260">
        <v>8.5483587974371602</v>
      </c>
      <c r="AD88">
        <f>IF('WetLitterbags placem_collection'!AB89="","",'WetLitterbags placem_collection'!AB89)</f>
        <v>7.5</v>
      </c>
      <c r="AE88">
        <f>IF('WetLitterbags placem_collection'!Z89="","",'WetLitterbags placem_collection'!Z89)</f>
        <v>12.6</v>
      </c>
      <c r="AF88" s="24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71">
        <f>IFERROR(AVERAGE('Dry_Litterbag Placem_Collection'!N89,'Dry_Litterbag Placem_Collection'!Q89),"")</f>
        <v>24.3</v>
      </c>
      <c r="AJ88" s="270">
        <f>INDEX(Coordinates!$B$2:$B$197,MATCH(G88,Coordinates!$J$2:$J$197,0))</f>
        <v>-3.295904975</v>
      </c>
      <c r="AK88" s="270">
        <f>INDEX(Coordinates!$C$2:$C$197,MATCH(G88,Coordinates!$J$2:$J$197,0))</f>
        <v>34.852136029999997</v>
      </c>
      <c r="AL88" s="270" t="str">
        <f>IF(ISNUMBER(SEARCH("C", 'Dry_Litterbag Placem_Collection'!S89)),"YES","NO")</f>
        <v>NO</v>
      </c>
      <c r="AM88" s="270" t="str">
        <f>IF(ISNUMBER(SEARCH("H", 'Dry_Litterbag Placem_Collection'!S89)),"YES","NO")</f>
        <v>NO</v>
      </c>
      <c r="AN88" s="270" t="str">
        <f>IF(ISNUMBER(SEARCH("R", 'Dry_Litterbag Placem_Collection'!S89)),"YES","NO")</f>
        <v>NO</v>
      </c>
    </row>
    <row r="89" spans="1:40">
      <c r="A89" s="262" t="s">
        <v>2659</v>
      </c>
      <c r="B89" s="263">
        <f>'Dry_Litterbag Placem_Collection'!A90</f>
        <v>88</v>
      </c>
      <c r="C89" s="263" t="str">
        <f>'Dry_Litterbag Placem_Collection'!B90</f>
        <v>Maswa</v>
      </c>
      <c r="D89" s="263" t="s">
        <v>2659</v>
      </c>
      <c r="E89" s="263" t="s">
        <v>2661</v>
      </c>
      <c r="F89" s="263">
        <v>3</v>
      </c>
      <c r="G89" s="264" t="str">
        <f>'Dry_Litterbag Placem_Collection'!C90</f>
        <v>Dry_W3_T8</v>
      </c>
      <c r="H89" s="265" t="s">
        <v>2541</v>
      </c>
      <c r="I89" s="266" t="s">
        <v>1147</v>
      </c>
      <c r="J89" s="263" t="str">
        <f>IF(ISBLANK('Dry_Litterbag Placem_Collection'!J90),"","G"&amp;""&amp;'Dry_Litterbag Placem_Collection'!J90)</f>
        <v>G531</v>
      </c>
      <c r="K89" s="267">
        <f>IFERROR(INDEX('Green_rooibos initial weight'!$C$5:$C$1749,MATCH(J89, 'Green_rooibos initial weight'!$A$5:$A$1749,0)),"")</f>
        <v>2.0110000000000001</v>
      </c>
      <c r="L89" s="267">
        <f>IFERROR(K89-(TBIcalc!$Q$9+TBIcalc!$Q$10),"")</f>
        <v>1.7612000000000001</v>
      </c>
      <c r="M89" s="391">
        <f>AVERAGE(Ashed_controlls!$K$2:$K$11)</f>
        <v>5.5147656768714146</v>
      </c>
      <c r="N89" s="267">
        <f t="shared" si="6"/>
        <v>1.6640739468989407</v>
      </c>
      <c r="O89" s="267">
        <f>IF(IFERROR(INDEX('Both teabags AfterDry'!$D$3:$D$900,MATCH(J89,'Both teabags AfterDry'!$A$3:$A$900,0)),"")="","",(IFERROR(INDEX('Both teabags AfterDry'!$D$3:$D$900,MATCH(J89,'Both teabags AfterDry'!$A$3:$A$900,0)),"")))</f>
        <v>1.8593999999999999</v>
      </c>
      <c r="P89" s="267">
        <f>IFERROR(IF(O89&gt;0,O89-(TBIcalc!$Q$9),""),"")</f>
        <v>1.7087999999999999</v>
      </c>
      <c r="Q89" s="278">
        <f>IFERROR(INDEX('Ashed teabags dry'!$K$2:$K$825,MATCH(J89,'Ashed teabags dry'!$A$2:$A$825,0)),"")</f>
        <v>7.2600696171056427</v>
      </c>
      <c r="R89" s="278">
        <f t="shared" si="7"/>
        <v>1.5847399303828986</v>
      </c>
      <c r="S89" s="268">
        <f>'Dry_Litterbag Placem_Collection'!E90</f>
        <v>42937</v>
      </c>
      <c r="T89" s="268">
        <f>IF('Dry_Litterbag Placem_Collection'!G90="","",'Dry_Litterbag Placem_Collection'!G90)</f>
        <v>43006</v>
      </c>
      <c r="U89" s="269">
        <f t="shared" si="5"/>
        <v>69</v>
      </c>
      <c r="V89" s="267">
        <f t="shared" si="8"/>
        <v>5.2400000000000224E-2</v>
      </c>
      <c r="W89" s="267">
        <f t="shared" si="9"/>
        <v>7.9334016516042105E-2</v>
      </c>
      <c r="X89" s="271">
        <f>IFERROR(INDEX(Rainfall_Dry!$O$2:$O$217,MATCH(B89, Rainfall_Dry!$A$2:$A$217,0)),"")</f>
        <v>12.563016860999999</v>
      </c>
      <c r="Y89" s="260">
        <v>38.691629007962128</v>
      </c>
      <c r="Z89" s="260">
        <v>26.81299763288143</v>
      </c>
      <c r="AA89" s="260">
        <v>34.495373359156439</v>
      </c>
      <c r="AB89" s="261" t="s">
        <v>2675</v>
      </c>
      <c r="AC89" s="260">
        <v>9.5483587974371602</v>
      </c>
      <c r="AD89" t="str">
        <f>IF('WetLitterbags placem_collection'!AB90="","",'WetLitterbags placem_collection'!AB90)</f>
        <v/>
      </c>
      <c r="AE89" t="str">
        <f>IF('WetLitterbags placem_collection'!Z90="","",'WetLitterbags placem_collection'!Z90)</f>
        <v/>
      </c>
      <c r="AF89" s="24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71">
        <f>IFERROR(AVERAGE('Dry_Litterbag Placem_Collection'!N90,'Dry_Litterbag Placem_Collection'!Q90),"")</f>
        <v>26.049999999999997</v>
      </c>
      <c r="AJ89" s="270">
        <f>INDEX(Coordinates!$B$2:$B$197,MATCH(G89,Coordinates!$J$2:$J$197,0))</f>
        <v>-3.2959530039999998</v>
      </c>
      <c r="AK89" s="270">
        <f>INDEX(Coordinates!$C$2:$C$197,MATCH(G89,Coordinates!$J$2:$J$197,0))</f>
        <v>34.85242504</v>
      </c>
      <c r="AL89" s="270" t="str">
        <f>IF(ISNUMBER(SEARCH("C", 'Dry_Litterbag Placem_Collection'!S90)),"YES","NO")</f>
        <v>NO</v>
      </c>
      <c r="AM89" s="270" t="str">
        <f>IF(ISNUMBER(SEARCH("H", 'Dry_Litterbag Placem_Collection'!S90)),"YES","NO")</f>
        <v>NO</v>
      </c>
      <c r="AN89" s="270" t="str">
        <f>IF(ISNUMBER(SEARCH("R", 'Dry_Litterbag Placem_Collection'!S90)),"YES","NO")</f>
        <v>NO</v>
      </c>
    </row>
    <row r="90" spans="1:40">
      <c r="A90" s="262" t="s">
        <v>2659</v>
      </c>
      <c r="B90" s="263">
        <f>'Dry_Litterbag Placem_Collection'!A91</f>
        <v>89</v>
      </c>
      <c r="C90" s="263" t="str">
        <f>'Dry_Litterbag Placem_Collection'!B91</f>
        <v>Maswa</v>
      </c>
      <c r="D90" s="263" t="s">
        <v>2659</v>
      </c>
      <c r="E90" s="263" t="s">
        <v>2661</v>
      </c>
      <c r="F90" s="263">
        <v>4</v>
      </c>
      <c r="G90" s="264" t="str">
        <f>'Dry_Litterbag Placem_Collection'!C91</f>
        <v>Dry_W4_T1</v>
      </c>
      <c r="H90" s="265" t="s">
        <v>2541</v>
      </c>
      <c r="I90" s="266" t="s">
        <v>1147</v>
      </c>
      <c r="J90" s="263" t="str">
        <f>IF(ISBLANK('Dry_Litterbag Placem_Collection'!J91),"","G"&amp;""&amp;'Dry_Litterbag Placem_Collection'!J91)</f>
        <v>G35</v>
      </c>
      <c r="K90" s="267">
        <f>IFERROR(INDEX('Green_rooibos initial weight'!$C$5:$C$1749,MATCH(J90, 'Green_rooibos initial weight'!$A$5:$A$1749,0)),"")</f>
        <v>2.0299999999999998</v>
      </c>
      <c r="L90" s="267">
        <f>IFERROR(K90-(TBIcalc!$Q$9+TBIcalc!$Q$10),"")</f>
        <v>1.7801999999999998</v>
      </c>
      <c r="M90" s="391">
        <f>AVERAGE(Ashed_controlls!$K$2:$K$11)</f>
        <v>5.5147656768714146</v>
      </c>
      <c r="N90" s="267">
        <f t="shared" si="6"/>
        <v>1.6820261414203348</v>
      </c>
      <c r="O90" s="267">
        <f>IF(IFERROR(INDEX('Both teabags AfterDry'!$D$3:$D$900,MATCH(J90,'Both teabags AfterDry'!$A$3:$A$900,0)),"")="","",(IFERROR(INDEX('Both teabags AfterDry'!$D$3:$D$900,MATCH(J90,'Both teabags AfterDry'!$A$3:$A$900,0)),"")))</f>
        <v>1.8633999999999999</v>
      </c>
      <c r="P90" s="267">
        <f>IFERROR(IF(O90&gt;0,O90-(TBIcalc!$Q$9),""),"")</f>
        <v>1.7127999999999999</v>
      </c>
      <c r="Q90" s="278">
        <f>IFERROR(INDEX('Ashed teabags dry'!$K$2:$K$825,MATCH(J90,'Ashed teabags dry'!$A$2:$A$825,0)),"")</f>
        <v>5.6105610561053325</v>
      </c>
      <c r="R90" s="278">
        <f t="shared" si="7"/>
        <v>1.6167023102310278</v>
      </c>
      <c r="S90" s="268">
        <f>'Dry_Litterbag Placem_Collection'!E91</f>
        <v>42937</v>
      </c>
      <c r="T90" s="268">
        <f>IF('Dry_Litterbag Placem_Collection'!G91="","",'Dry_Litterbag Placem_Collection'!G91)</f>
        <v>43006</v>
      </c>
      <c r="U90" s="269">
        <f t="shared" si="5"/>
        <v>69</v>
      </c>
      <c r="V90" s="267">
        <f t="shared" si="8"/>
        <v>6.7399999999999904E-2</v>
      </c>
      <c r="W90" s="267">
        <f t="shared" si="9"/>
        <v>6.5323831189306958E-2</v>
      </c>
      <c r="X90" s="271">
        <f>IFERROR(INDEX(Rainfall_Dry!$O$2:$O$217,MATCH(B90, Rainfall_Dry!$A$2:$A$217,0)),"")</f>
        <v>12.563016860999999</v>
      </c>
      <c r="Y90" s="260">
        <v>28.145762029394</v>
      </c>
      <c r="Z90" s="260">
        <v>25.085564727199518</v>
      </c>
      <c r="AA90" s="260">
        <v>46.768673243406489</v>
      </c>
      <c r="AB90" s="261" t="s">
        <v>2670</v>
      </c>
      <c r="AC90" s="260">
        <v>2.1716214884179394</v>
      </c>
      <c r="AD90">
        <f>IF('WetLitterbags placem_collection'!AB91="","",'WetLitterbags placem_collection'!AB91)</f>
        <v>7.3</v>
      </c>
      <c r="AE90">
        <f>IF('WetLitterbags placem_collection'!Z91="","",'WetLitterbags placem_collection'!Z91)</f>
        <v>35.799999999999997</v>
      </c>
      <c r="AF90" s="24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71">
        <f>IFERROR(AVERAGE('Dry_Litterbag Placem_Collection'!N91,'Dry_Litterbag Placem_Collection'!Q91),"")</f>
        <v>26.6</v>
      </c>
      <c r="AJ90" s="270">
        <f>INDEX(Coordinates!$B$2:$B$197,MATCH(G90,Coordinates!$J$2:$J$197,0))</f>
        <v>-3.2966709980000002</v>
      </c>
      <c r="AK90" s="270">
        <f>INDEX(Coordinates!$C$2:$C$197,MATCH(G90,Coordinates!$J$2:$J$197,0))</f>
        <v>34.854407019999996</v>
      </c>
      <c r="AL90" s="270" t="str">
        <f>IF(ISNUMBER(SEARCH("C", 'Dry_Litterbag Placem_Collection'!S91)),"YES","NO")</f>
        <v>NO</v>
      </c>
      <c r="AM90" s="270" t="str">
        <f>IF(ISNUMBER(SEARCH("H", 'Dry_Litterbag Placem_Collection'!S91)),"YES","NO")</f>
        <v>NO</v>
      </c>
      <c r="AN90" s="270" t="str">
        <f>IF(ISNUMBER(SEARCH("R", 'Dry_Litterbag Placem_Collection'!S91)),"YES","NO")</f>
        <v>NO</v>
      </c>
    </row>
    <row r="91" spans="1:40">
      <c r="A91" s="262" t="s">
        <v>2659</v>
      </c>
      <c r="B91" s="263">
        <f>'Dry_Litterbag Placem_Collection'!A92</f>
        <v>90</v>
      </c>
      <c r="C91" s="263" t="str">
        <f>'Dry_Litterbag Placem_Collection'!B92</f>
        <v>Maswa</v>
      </c>
      <c r="D91" s="263" t="s">
        <v>2659</v>
      </c>
      <c r="E91" s="263" t="s">
        <v>2661</v>
      </c>
      <c r="F91" s="263">
        <v>4</v>
      </c>
      <c r="G91" s="264" t="str">
        <f>'Dry_Litterbag Placem_Collection'!C92</f>
        <v>Dry_W4_T2</v>
      </c>
      <c r="H91" s="265" t="s">
        <v>2541</v>
      </c>
      <c r="I91" s="266" t="s">
        <v>1147</v>
      </c>
      <c r="J91" s="263" t="str">
        <f>IF(ISBLANK('Dry_Litterbag Placem_Collection'!J92),"","G"&amp;""&amp;'Dry_Litterbag Placem_Collection'!J92)</f>
        <v>G264</v>
      </c>
      <c r="K91" s="267">
        <f>IFERROR(INDEX('Green_rooibos initial weight'!$C$5:$C$1749,MATCH(J91, 'Green_rooibos initial weight'!$A$5:$A$1749,0)),"")</f>
        <v>2.1070000000000002</v>
      </c>
      <c r="L91" s="267">
        <f>IFERROR(K91-(TBIcalc!$Q$9+TBIcalc!$Q$10),"")</f>
        <v>1.8572000000000002</v>
      </c>
      <c r="M91" s="391">
        <f>AVERAGE(Ashed_controlls!$K$2:$K$11)</f>
        <v>5.5147656768714146</v>
      </c>
      <c r="N91" s="267">
        <f t="shared" si="6"/>
        <v>1.7547797718491442</v>
      </c>
      <c r="O91" s="267" t="str">
        <f>IF(IFERROR(INDEX('Both teabags AfterDry'!$D$3:$D$900,MATCH(J91,'Both teabags AfterDry'!$A$3:$A$900,0)),"")="","",(IFERROR(INDEX('Both teabags AfterDry'!$D$3:$D$900,MATCH(J91,'Both teabags AfterDry'!$A$3:$A$900,0)),"")))</f>
        <v/>
      </c>
      <c r="P91" s="267" t="str">
        <f>IFERROR(IF(O91&gt;0,O91-(TBIcalc!$Q$9),""),"")</f>
        <v/>
      </c>
      <c r="Q91" s="278" t="str">
        <f>IFERROR(INDEX('Ashed teabags dry'!$K$2:$K$825,MATCH(J91,'Ashed teabags dry'!$A$2:$A$825,0)),"")</f>
        <v/>
      </c>
      <c r="R91" s="278" t="str">
        <f t="shared" si="7"/>
        <v/>
      </c>
      <c r="S91" s="268">
        <f>'Dry_Litterbag Placem_Collection'!E92</f>
        <v>42937</v>
      </c>
      <c r="T91" s="268">
        <f>IF('Dry_Litterbag Placem_Collection'!G92="","",'Dry_Litterbag Placem_Collection'!G92)</f>
        <v>43006</v>
      </c>
      <c r="U91" s="269">
        <f t="shared" si="5"/>
        <v>69</v>
      </c>
      <c r="V91" s="267" t="str">
        <f t="shared" si="8"/>
        <v/>
      </c>
      <c r="W91" s="267" t="str">
        <f t="shared" si="9"/>
        <v/>
      </c>
      <c r="X91" s="271">
        <f>IFERROR(INDEX(Rainfall_Dry!$O$2:$O$217,MATCH(B91, Rainfall_Dry!$A$2:$A$217,0)),"")</f>
        <v>12.563016860999999</v>
      </c>
      <c r="Y91" s="260">
        <v>28.145762029394</v>
      </c>
      <c r="Z91" s="260">
        <v>25.085564727199518</v>
      </c>
      <c r="AA91" s="260">
        <v>46.768673243406489</v>
      </c>
      <c r="AB91" s="261" t="s">
        <v>2670</v>
      </c>
      <c r="AC91" s="260">
        <v>3.1716214884179399</v>
      </c>
      <c r="AD91">
        <f>IF('WetLitterbags placem_collection'!AB92="","",'WetLitterbags placem_collection'!AB92)</f>
        <v>7.7</v>
      </c>
      <c r="AE91">
        <f>IF('WetLitterbags placem_collection'!Z92="","",'WetLitterbags placem_collection'!Z92)</f>
        <v>30.4</v>
      </c>
      <c r="AF91" s="24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71">
        <f>IFERROR(AVERAGE('Dry_Litterbag Placem_Collection'!N92,'Dry_Litterbag Placem_Collection'!Q92),"")</f>
        <v>26.45</v>
      </c>
      <c r="AJ91" s="270">
        <f>INDEX(Coordinates!$B$2:$B$197,MATCH(G91,Coordinates!$J$2:$J$197,0))</f>
        <v>-3.2966860009999999</v>
      </c>
      <c r="AK91" s="270">
        <f>INDEX(Coordinates!$C$2:$C$197,MATCH(G91,Coordinates!$J$2:$J$197,0))</f>
        <v>34.854371989999997</v>
      </c>
      <c r="AL91" s="270" t="str">
        <f>IF(ISNUMBER(SEARCH("C", 'Dry_Litterbag Placem_Collection'!S92)),"YES","NO")</f>
        <v>NO</v>
      </c>
      <c r="AM91" s="270" t="str">
        <f>IF(ISNUMBER(SEARCH("H", 'Dry_Litterbag Placem_Collection'!S92)),"YES","NO")</f>
        <v>NO</v>
      </c>
      <c r="AN91" s="270" t="str">
        <f>IF(ISNUMBER(SEARCH("R", 'Dry_Litterbag Placem_Collection'!S92)),"YES","NO")</f>
        <v>NO</v>
      </c>
    </row>
    <row r="92" spans="1:40">
      <c r="A92" s="262" t="s">
        <v>2659</v>
      </c>
      <c r="B92" s="263">
        <f>'Dry_Litterbag Placem_Collection'!A93</f>
        <v>91</v>
      </c>
      <c r="C92" s="263" t="str">
        <f>'Dry_Litterbag Placem_Collection'!B93</f>
        <v>Maswa</v>
      </c>
      <c r="D92" s="263" t="s">
        <v>2659</v>
      </c>
      <c r="E92" s="263" t="s">
        <v>2661</v>
      </c>
      <c r="F92" s="263">
        <v>4</v>
      </c>
      <c r="G92" s="264" t="str">
        <f>'Dry_Litterbag Placem_Collection'!C93</f>
        <v>Dry_W4_T3</v>
      </c>
      <c r="H92" s="265" t="s">
        <v>2541</v>
      </c>
      <c r="I92" s="266" t="s">
        <v>1147</v>
      </c>
      <c r="J92" s="263" t="str">
        <f>IF(ISBLANK('Dry_Litterbag Placem_Collection'!J93),"","G"&amp;""&amp;'Dry_Litterbag Placem_Collection'!J93)</f>
        <v>G13</v>
      </c>
      <c r="K92" s="267">
        <f>IFERROR(INDEX('Green_rooibos initial weight'!$C$5:$C$1749,MATCH(J92, 'Green_rooibos initial weight'!$A$5:$A$1749,0)),"")</f>
        <v>2.085</v>
      </c>
      <c r="L92" s="267">
        <f>IFERROR(K92-(TBIcalc!$Q$9+TBIcalc!$Q$10),"")</f>
        <v>1.8351999999999999</v>
      </c>
      <c r="M92" s="391">
        <f>AVERAGE(Ashed_controlls!$K$2:$K$11)</f>
        <v>5.5147656768714146</v>
      </c>
      <c r="N92" s="267">
        <f t="shared" si="6"/>
        <v>1.7339930202980558</v>
      </c>
      <c r="O92" s="267">
        <f>IF(IFERROR(INDEX('Both teabags AfterDry'!$D$3:$D$900,MATCH(J92,'Both teabags AfterDry'!$A$3:$A$900,0)),"")="","",(IFERROR(INDEX('Both teabags AfterDry'!$D$3:$D$900,MATCH(J92,'Both teabags AfterDry'!$A$3:$A$900,0)),"")))</f>
        <v>1.9104000000000001</v>
      </c>
      <c r="P92" s="267">
        <f>IFERROR(IF(O92&gt;0,O92-(TBIcalc!$Q$9),""),"")</f>
        <v>1.7598</v>
      </c>
      <c r="Q92" s="278">
        <f>IFERROR(INDEX('Ashed teabags dry'!$K$2:$K$825,MATCH(J92,'Ashed teabags dry'!$A$2:$A$825,0)),"")</f>
        <v>5.9558517284466683</v>
      </c>
      <c r="R92" s="278">
        <f t="shared" si="7"/>
        <v>1.6549889212827955</v>
      </c>
      <c r="S92" s="268">
        <f>'Dry_Litterbag Placem_Collection'!E93</f>
        <v>42937</v>
      </c>
      <c r="T92" s="268">
        <f>IF('Dry_Litterbag Placem_Collection'!G93="","",'Dry_Litterbag Placem_Collection'!G93)</f>
        <v>43006</v>
      </c>
      <c r="U92" s="269">
        <f t="shared" si="5"/>
        <v>69</v>
      </c>
      <c r="V92" s="267">
        <f t="shared" si="8"/>
        <v>7.5399999999999912E-2</v>
      </c>
      <c r="W92" s="267">
        <f t="shared" si="9"/>
        <v>7.9004099015260287E-2</v>
      </c>
      <c r="X92" s="271">
        <f>IFERROR(INDEX(Rainfall_Dry!$O$2:$O$217,MATCH(B92, Rainfall_Dry!$A$2:$A$217,0)),"")</f>
        <v>12.563016860999999</v>
      </c>
      <c r="Y92" s="260">
        <v>28.145762029394</v>
      </c>
      <c r="Z92" s="260">
        <v>25.085564727199518</v>
      </c>
      <c r="AA92" s="260">
        <v>46.768673243406489</v>
      </c>
      <c r="AB92" s="261" t="s">
        <v>2670</v>
      </c>
      <c r="AC92" s="260">
        <v>4.1716214884179399</v>
      </c>
      <c r="AD92">
        <f>IF('WetLitterbags placem_collection'!AB93="","",'WetLitterbags placem_collection'!AB93)</f>
        <v>6.1</v>
      </c>
      <c r="AE92">
        <f>IF('WetLitterbags placem_collection'!Z93="","",'WetLitterbags placem_collection'!Z93)</f>
        <v>39.4</v>
      </c>
      <c r="AF92" s="24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71">
        <f>IFERROR(AVERAGE('Dry_Litterbag Placem_Collection'!N93,'Dry_Litterbag Placem_Collection'!Q93),"")</f>
        <v>25.95</v>
      </c>
      <c r="AJ92" s="270">
        <f>INDEX(Coordinates!$B$2:$B$197,MATCH(G92,Coordinates!$J$2:$J$197,0))</f>
        <v>-3.2966180239999998</v>
      </c>
      <c r="AK92" s="270">
        <f>INDEX(Coordinates!$C$2:$C$197,MATCH(G92,Coordinates!$J$2:$J$197,0))</f>
        <v>34.854464020000002</v>
      </c>
      <c r="AL92" s="270" t="str">
        <f>IF(ISNUMBER(SEARCH("C", 'Dry_Litterbag Placem_Collection'!S93)),"YES","NO")</f>
        <v>NO</v>
      </c>
      <c r="AM92" s="270" t="str">
        <f>IF(ISNUMBER(SEARCH("H", 'Dry_Litterbag Placem_Collection'!S93)),"YES","NO")</f>
        <v>NO</v>
      </c>
      <c r="AN92" s="270" t="str">
        <f>IF(ISNUMBER(SEARCH("R", 'Dry_Litterbag Placem_Collection'!S93)),"YES","NO")</f>
        <v>NO</v>
      </c>
    </row>
    <row r="93" spans="1:40">
      <c r="A93" s="262" t="s">
        <v>2659</v>
      </c>
      <c r="B93" s="263">
        <f>'Dry_Litterbag Placem_Collection'!A94</f>
        <v>92</v>
      </c>
      <c r="C93" s="263" t="str">
        <f>'Dry_Litterbag Placem_Collection'!B94</f>
        <v>Maswa</v>
      </c>
      <c r="D93" s="263" t="s">
        <v>2659</v>
      </c>
      <c r="E93" s="263" t="s">
        <v>2661</v>
      </c>
      <c r="F93" s="263">
        <v>4</v>
      </c>
      <c r="G93" s="264" t="str">
        <f>'Dry_Litterbag Placem_Collection'!C94</f>
        <v>Dry_W4_T4</v>
      </c>
      <c r="H93" s="265" t="s">
        <v>2541</v>
      </c>
      <c r="I93" s="266" t="s">
        <v>1147</v>
      </c>
      <c r="J93" s="263" t="str">
        <f>IF(ISBLANK('Dry_Litterbag Placem_Collection'!J94),"","G"&amp;""&amp;'Dry_Litterbag Placem_Collection'!J94)</f>
        <v>G324</v>
      </c>
      <c r="K93" s="267">
        <f>IFERROR(INDEX('Green_rooibos initial weight'!$C$5:$C$1749,MATCH(J93, 'Green_rooibos initial weight'!$A$5:$A$1749,0)),"")</f>
        <v>2.0430000000000001</v>
      </c>
      <c r="L93" s="267">
        <f>IFERROR(K93-(TBIcalc!$Q$9+TBIcalc!$Q$10),"")</f>
        <v>1.7932000000000001</v>
      </c>
      <c r="M93" s="391">
        <f>AVERAGE(Ashed_controlls!$K$2:$K$11)</f>
        <v>5.5147656768714146</v>
      </c>
      <c r="N93" s="267">
        <f t="shared" si="6"/>
        <v>1.6943092218823419</v>
      </c>
      <c r="O93" s="267">
        <f>IF(IFERROR(INDEX('Both teabags AfterDry'!$D$3:$D$900,MATCH(J93,'Both teabags AfterDry'!$A$3:$A$900,0)),"")="","",(IFERROR(INDEX('Both teabags AfterDry'!$D$3:$D$900,MATCH(J93,'Both teabags AfterDry'!$A$3:$A$900,0)),"")))</f>
        <v>1.6847000000000001</v>
      </c>
      <c r="P93" s="267">
        <f>IFERROR(IF(O93&gt;0,O93-(TBIcalc!$Q$9),""),"")</f>
        <v>1.5341</v>
      </c>
      <c r="Q93" s="278">
        <f>IFERROR(INDEX('Ashed teabags dry'!$K$2:$K$825,MATCH(J93,'Ashed teabags dry'!$A$2:$A$825,0)),"")</f>
        <v>7.5962018990501106</v>
      </c>
      <c r="R93" s="278">
        <f t="shared" si="7"/>
        <v>1.4175666666666722</v>
      </c>
      <c r="S93" s="268">
        <f>'Dry_Litterbag Placem_Collection'!E94</f>
        <v>42937</v>
      </c>
      <c r="T93" s="268">
        <f>IF('Dry_Litterbag Placem_Collection'!G94="","",'Dry_Litterbag Placem_Collection'!G94)</f>
        <v>43006</v>
      </c>
      <c r="U93" s="269">
        <f t="shared" si="5"/>
        <v>69</v>
      </c>
      <c r="V93" s="267">
        <f t="shared" si="8"/>
        <v>0.25910000000000011</v>
      </c>
      <c r="W93" s="267">
        <f t="shared" si="9"/>
        <v>0.27674255521566971</v>
      </c>
      <c r="X93" s="271">
        <f>IFERROR(INDEX(Rainfall_Dry!$O$2:$O$217,MATCH(B93, Rainfall_Dry!$A$2:$A$217,0)),"")</f>
        <v>12.563016860999999</v>
      </c>
      <c r="Y93" s="260">
        <v>28.145762029394</v>
      </c>
      <c r="Z93" s="260">
        <v>25.085564727199518</v>
      </c>
      <c r="AA93" s="260">
        <v>46.768673243406489</v>
      </c>
      <c r="AB93" s="261" t="s">
        <v>2670</v>
      </c>
      <c r="AC93" s="260">
        <v>5.1716214884179399</v>
      </c>
      <c r="AD93">
        <f>IF('WetLitterbags placem_collection'!AB94="","",'WetLitterbags placem_collection'!AB94)</f>
        <v>7.7</v>
      </c>
      <c r="AE93">
        <f>IF('WetLitterbags placem_collection'!Z94="","",'WetLitterbags placem_collection'!Z94)</f>
        <v>24.8</v>
      </c>
      <c r="AF93" s="24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71">
        <f>IFERROR(AVERAGE('Dry_Litterbag Placem_Collection'!N94,'Dry_Litterbag Placem_Collection'!Q94),"")</f>
        <v>26</v>
      </c>
      <c r="AJ93" s="270">
        <f>INDEX(Coordinates!$B$2:$B$197,MATCH(G93,Coordinates!$J$2:$J$197,0))</f>
        <v>-3.2965539860000002</v>
      </c>
      <c r="AK93" s="270">
        <f>INDEX(Coordinates!$C$2:$C$197,MATCH(G93,Coordinates!$J$2:$J$197,0))</f>
        <v>34.854455969999997</v>
      </c>
      <c r="AL93" s="270" t="str">
        <f>IF(ISNUMBER(SEARCH("C", 'Dry_Litterbag Placem_Collection'!S94)),"YES","NO")</f>
        <v>NO</v>
      </c>
      <c r="AM93" s="270" t="str">
        <f>IF(ISNUMBER(SEARCH("H", 'Dry_Litterbag Placem_Collection'!S94)),"YES","NO")</f>
        <v>YES</v>
      </c>
      <c r="AN93" s="270" t="str">
        <f>IF(ISNUMBER(SEARCH("R", 'Dry_Litterbag Placem_Collection'!S94)),"YES","NO")</f>
        <v>NO</v>
      </c>
    </row>
    <row r="94" spans="1:40">
      <c r="A94" s="262" t="s">
        <v>2659</v>
      </c>
      <c r="B94" s="263">
        <f>'Dry_Litterbag Placem_Collection'!A95</f>
        <v>93</v>
      </c>
      <c r="C94" s="263" t="str">
        <f>'Dry_Litterbag Placem_Collection'!B95</f>
        <v>Maswa</v>
      </c>
      <c r="D94" s="263" t="s">
        <v>2659</v>
      </c>
      <c r="E94" s="263" t="s">
        <v>2661</v>
      </c>
      <c r="F94" s="263">
        <v>4</v>
      </c>
      <c r="G94" s="264" t="str">
        <f>'Dry_Litterbag Placem_Collection'!C95</f>
        <v>Dry_W4_T5</v>
      </c>
      <c r="H94" s="265" t="s">
        <v>2541</v>
      </c>
      <c r="I94" s="266" t="s">
        <v>1147</v>
      </c>
      <c r="J94" s="263" t="str">
        <f>IF(ISBLANK('Dry_Litterbag Placem_Collection'!J95),"","G"&amp;""&amp;'Dry_Litterbag Placem_Collection'!J95)</f>
        <v>G99</v>
      </c>
      <c r="K94" s="267">
        <f>IFERROR(INDEX('Green_rooibos initial weight'!$C$5:$C$1749,MATCH(J94, 'Green_rooibos initial weight'!$A$5:$A$1749,0)),"")</f>
        <v>2.097</v>
      </c>
      <c r="L94" s="267">
        <f>IFERROR(K94-(TBIcalc!$Q$9+TBIcalc!$Q$10),"")</f>
        <v>1.8472</v>
      </c>
      <c r="M94" s="391">
        <f>AVERAGE(Ashed_controlls!$K$2:$K$11)</f>
        <v>5.5147656768714146</v>
      </c>
      <c r="N94" s="267">
        <f t="shared" si="6"/>
        <v>1.7453312484168313</v>
      </c>
      <c r="O94" s="267">
        <f>IF(IFERROR(INDEX('Both teabags AfterDry'!$D$3:$D$900,MATCH(J94,'Both teabags AfterDry'!$A$3:$A$900,0)),"")="","",(IFERROR(INDEX('Both teabags AfterDry'!$D$3:$D$900,MATCH(J94,'Both teabags AfterDry'!$A$3:$A$900,0)),"")))</f>
        <v>1.9186000000000001</v>
      </c>
      <c r="P94" s="267">
        <f>IFERROR(IF(O94&gt;0,O94-(TBIcalc!$Q$9),""),"")</f>
        <v>1.768</v>
      </c>
      <c r="Q94" s="278">
        <f>IFERROR(INDEX('Ashed teabags dry'!$K$2:$K$825,MATCH(J94,'Ashed teabags dry'!$A$2:$A$825,0)),"")</f>
        <v>6.1659712563742239</v>
      </c>
      <c r="R94" s="278">
        <f t="shared" si="7"/>
        <v>1.6589856281873037</v>
      </c>
      <c r="S94" s="268">
        <f>'Dry_Litterbag Placem_Collection'!E95</f>
        <v>42937</v>
      </c>
      <c r="T94" s="268">
        <f>IF('Dry_Litterbag Placem_Collection'!G95="","",'Dry_Litterbag Placem_Collection'!G95)</f>
        <v>43006</v>
      </c>
      <c r="U94" s="269">
        <f t="shared" si="5"/>
        <v>69</v>
      </c>
      <c r="V94" s="267">
        <f t="shared" si="8"/>
        <v>7.9199999999999937E-2</v>
      </c>
      <c r="W94" s="267">
        <f t="shared" si="9"/>
        <v>8.6345620229527631E-2</v>
      </c>
      <c r="X94" s="271">
        <f>IFERROR(INDEX(Rainfall_Dry!$O$2:$O$217,MATCH(B94, Rainfall_Dry!$A$2:$A$217,0)),"")</f>
        <v>12.563016860999999</v>
      </c>
      <c r="Y94" s="260">
        <v>28.145762029394</v>
      </c>
      <c r="Z94" s="260">
        <v>25.085564727199518</v>
      </c>
      <c r="AA94" s="260">
        <v>46.768673243406489</v>
      </c>
      <c r="AB94" s="261" t="s">
        <v>2670</v>
      </c>
      <c r="AC94" s="260">
        <v>6.1716214884179399</v>
      </c>
      <c r="AD94">
        <f>IF('WetLitterbags placem_collection'!AB95="","",'WetLitterbags placem_collection'!AB95)</f>
        <v>6.6</v>
      </c>
      <c r="AE94">
        <f>IF('WetLitterbags placem_collection'!Z95="","",'WetLitterbags placem_collection'!Z95)</f>
        <v>40</v>
      </c>
      <c r="AF94" s="24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71">
        <f>IFERROR(AVERAGE('Dry_Litterbag Placem_Collection'!N95,'Dry_Litterbag Placem_Collection'!Q95),"")</f>
        <v>26.4</v>
      </c>
      <c r="AJ94" s="270">
        <f>INDEX(Coordinates!$B$2:$B$197,MATCH(G94,Coordinates!$J$2:$J$197,0))</f>
        <v>-3.2964789680000002</v>
      </c>
      <c r="AK94" s="270">
        <f>INDEX(Coordinates!$C$2:$C$197,MATCH(G94,Coordinates!$J$2:$J$197,0))</f>
        <v>34.854331000000002</v>
      </c>
      <c r="AL94" s="270" t="str">
        <f>IF(ISNUMBER(SEARCH("C", 'Dry_Litterbag Placem_Collection'!S95)),"YES","NO")</f>
        <v>NO</v>
      </c>
      <c r="AM94" s="270" t="str">
        <f>IF(ISNUMBER(SEARCH("H", 'Dry_Litterbag Placem_Collection'!S95)),"YES","NO")</f>
        <v>YES</v>
      </c>
      <c r="AN94" s="270" t="str">
        <f>IF(ISNUMBER(SEARCH("R", 'Dry_Litterbag Placem_Collection'!S95)),"YES","NO")</f>
        <v>NO</v>
      </c>
    </row>
    <row r="95" spans="1:40">
      <c r="A95" s="262" t="s">
        <v>2659</v>
      </c>
      <c r="B95" s="263">
        <f>'Dry_Litterbag Placem_Collection'!A96</f>
        <v>94</v>
      </c>
      <c r="C95" s="263" t="str">
        <f>'Dry_Litterbag Placem_Collection'!B96</f>
        <v>Maswa</v>
      </c>
      <c r="D95" s="263" t="s">
        <v>2659</v>
      </c>
      <c r="E95" s="263" t="s">
        <v>2661</v>
      </c>
      <c r="F95" s="263">
        <v>4</v>
      </c>
      <c r="G95" s="264" t="str">
        <f>'Dry_Litterbag Placem_Collection'!C96</f>
        <v>Dry_W4_T6</v>
      </c>
      <c r="H95" s="265" t="s">
        <v>2541</v>
      </c>
      <c r="I95" s="266" t="s">
        <v>1147</v>
      </c>
      <c r="J95" s="263" t="str">
        <f>IF(ISBLANK('Dry_Litterbag Placem_Collection'!J96),"","G"&amp;""&amp;'Dry_Litterbag Placem_Collection'!J96)</f>
        <v/>
      </c>
      <c r="K95" s="267" t="str">
        <f>IFERROR(INDEX('Green_rooibos initial weight'!$C$5:$C$1749,MATCH(J95, 'Green_rooibos initial weight'!$A$5:$A$1749,0)),"")</f>
        <v/>
      </c>
      <c r="L95" s="267" t="str">
        <f>IFERROR(K95-(TBIcalc!$Q$9+TBIcalc!$Q$10),"")</f>
        <v/>
      </c>
      <c r="M95" s="391">
        <f>AVERAGE(Ashed_controlls!$K$2:$K$11)</f>
        <v>5.5147656768714146</v>
      </c>
      <c r="N95" s="267" t="str">
        <f t="shared" si="6"/>
        <v/>
      </c>
      <c r="O95" s="267" t="str">
        <f>IF(IFERROR(INDEX('Both teabags AfterDry'!$D$3:$D$900,MATCH(J95,'Both teabags AfterDry'!$A$3:$A$900,0)),"")="","",(IFERROR(INDEX('Both teabags AfterDry'!$D$3:$D$900,MATCH(J95,'Both teabags AfterDry'!$A$3:$A$900,0)),"")))</f>
        <v/>
      </c>
      <c r="P95" s="267" t="str">
        <f>IFERROR(IF(O95&gt;0,O95-(TBIcalc!$Q$9),""),"")</f>
        <v/>
      </c>
      <c r="Q95" s="278" t="str">
        <f>IFERROR(INDEX('Ashed teabags dry'!$K$2:$K$825,MATCH(J95,'Ashed teabags dry'!$A$2:$A$825,0)),"")</f>
        <v/>
      </c>
      <c r="R95" s="278" t="str">
        <f t="shared" si="7"/>
        <v/>
      </c>
      <c r="S95" s="268">
        <f>'Dry_Litterbag Placem_Collection'!E96</f>
        <v>0</v>
      </c>
      <c r="T95" s="268" t="str">
        <f>IF('Dry_Litterbag Placem_Collection'!G96="","",'Dry_Litterbag Placem_Collection'!G96)</f>
        <v/>
      </c>
      <c r="U95" s="269" t="str">
        <f t="shared" si="5"/>
        <v/>
      </c>
      <c r="V95" s="267" t="str">
        <f t="shared" si="8"/>
        <v/>
      </c>
      <c r="W95" s="267" t="str">
        <f t="shared" si="9"/>
        <v/>
      </c>
      <c r="X95" s="271" t="str">
        <f>IFERROR(INDEX(Rainfall_Dry!$O$2:$O$217,MATCH(B95, Rainfall_Dry!$A$2:$A$217,0)),"")</f>
        <v/>
      </c>
      <c r="Y95" s="260">
        <v>28.145762029394</v>
      </c>
      <c r="Z95" s="260">
        <v>25.085564727199518</v>
      </c>
      <c r="AA95" s="260">
        <v>46.768673243406489</v>
      </c>
      <c r="AB95" s="261" t="s">
        <v>2670</v>
      </c>
      <c r="AC95" s="260">
        <v>7.1716214884179399</v>
      </c>
      <c r="AD95" t="str">
        <f>IF('WetLitterbags placem_collection'!AB96="","",'WetLitterbags placem_collection'!AB96)</f>
        <v/>
      </c>
      <c r="AE95" t="str">
        <f>IF('WetLitterbags placem_collection'!Z96="","",'WetLitterbags placem_collection'!Z96)</f>
        <v/>
      </c>
      <c r="AF95" s="24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71" t="str">
        <f>IFERROR(AVERAGE('Dry_Litterbag Placem_Collection'!N96,'Dry_Litterbag Placem_Collection'!Q96),"")</f>
        <v/>
      </c>
      <c r="AJ95" s="270">
        <f>INDEX(Coordinates!$B$2:$B$197,MATCH(G95,Coordinates!$J$2:$J$197,0))</f>
        <v>-3.2964649700000002</v>
      </c>
      <c r="AK95" s="270">
        <f>INDEX(Coordinates!$C$2:$C$197,MATCH(G95,Coordinates!$J$2:$J$197,0))</f>
        <v>34.854340970000003</v>
      </c>
      <c r="AL95" s="270" t="str">
        <f>IF(ISNUMBER(SEARCH("C", 'Dry_Litterbag Placem_Collection'!S96)),"YES","NO")</f>
        <v>NO</v>
      </c>
      <c r="AM95" s="270" t="str">
        <f>IF(ISNUMBER(SEARCH("H", 'Dry_Litterbag Placem_Collection'!S96)),"YES","NO")</f>
        <v>NO</v>
      </c>
      <c r="AN95" s="270" t="str">
        <f>IF(ISNUMBER(SEARCH("R", 'Dry_Litterbag Placem_Collection'!S96)),"YES","NO")</f>
        <v>NO</v>
      </c>
    </row>
    <row r="96" spans="1:40" ht="15" customHeight="1">
      <c r="A96" s="262" t="s">
        <v>2659</v>
      </c>
      <c r="B96" s="263">
        <f>'Dry_Litterbag Placem_Collection'!A97</f>
        <v>95</v>
      </c>
      <c r="C96" s="263" t="str">
        <f>'Dry_Litterbag Placem_Collection'!B97</f>
        <v>Maswa</v>
      </c>
      <c r="D96" s="263" t="s">
        <v>2659</v>
      </c>
      <c r="E96" s="263" t="s">
        <v>2661</v>
      </c>
      <c r="F96" s="263">
        <v>4</v>
      </c>
      <c r="G96" s="264" t="str">
        <f>'Dry_Litterbag Placem_Collection'!C97</f>
        <v>Dry_W4_T7</v>
      </c>
      <c r="H96" s="265" t="s">
        <v>2541</v>
      </c>
      <c r="I96" s="266" t="s">
        <v>1147</v>
      </c>
      <c r="J96" s="263" t="str">
        <f>IF(ISBLANK('Dry_Litterbag Placem_Collection'!J97),"","G"&amp;""&amp;'Dry_Litterbag Placem_Collection'!J97)</f>
        <v>G126</v>
      </c>
      <c r="K96" s="267">
        <f>IFERROR(INDEX('Green_rooibos initial weight'!$C$5:$C$1749,MATCH(J96, 'Green_rooibos initial weight'!$A$5:$A$1749,0)),"")</f>
        <v>2.093</v>
      </c>
      <c r="L96" s="267">
        <f>IFERROR(K96-(TBIcalc!$Q$9+TBIcalc!$Q$10),"")</f>
        <v>1.8431999999999999</v>
      </c>
      <c r="M96" s="391">
        <f>AVERAGE(Ashed_controlls!$K$2:$K$11)</f>
        <v>5.5147656768714146</v>
      </c>
      <c r="N96" s="267">
        <f t="shared" si="6"/>
        <v>1.741551839043906</v>
      </c>
      <c r="O96" s="267">
        <f>IF(IFERROR(INDEX('Both teabags AfterDry'!$D$3:$D$900,MATCH(J96,'Both teabags AfterDry'!$A$3:$A$900,0)),"")="","",(IFERROR(INDEX('Both teabags AfterDry'!$D$3:$D$900,MATCH(J96,'Both teabags AfterDry'!$A$3:$A$900,0)),"")))</f>
        <v>1.8705000000000001</v>
      </c>
      <c r="P96" s="267">
        <f>IFERROR(IF(O96&gt;0,O96-(TBIcalc!$Q$9),""),"")</f>
        <v>1.7199</v>
      </c>
      <c r="Q96" s="278">
        <f>IFERROR(INDEX('Ashed teabags dry'!$K$2:$K$825,MATCH(J96,'Ashed teabags dry'!$A$2:$A$825,0)),"")</f>
        <v>5.4866412213739713</v>
      </c>
      <c r="R96" s="278">
        <f t="shared" si="7"/>
        <v>1.6255352576335891</v>
      </c>
      <c r="S96" s="268">
        <f>'Dry_Litterbag Placem_Collection'!E97</f>
        <v>42937</v>
      </c>
      <c r="T96" s="268">
        <f>IF('Dry_Litterbag Placem_Collection'!G97="","",'Dry_Litterbag Placem_Collection'!G97)</f>
        <v>43006</v>
      </c>
      <c r="U96" s="269">
        <f t="shared" si="5"/>
        <v>69</v>
      </c>
      <c r="V96" s="267">
        <f t="shared" si="8"/>
        <v>0.12329999999999997</v>
      </c>
      <c r="W96" s="267">
        <f t="shared" si="9"/>
        <v>0.1160165814103169</v>
      </c>
      <c r="X96" s="271">
        <f>IFERROR(INDEX(Rainfall_Dry!$O$2:$O$217,MATCH(B96, Rainfall_Dry!$A$2:$A$217,0)),"")</f>
        <v>12.563016860999999</v>
      </c>
      <c r="Y96" s="260">
        <v>28.145762029394</v>
      </c>
      <c r="Z96" s="260">
        <v>25.085564727199518</v>
      </c>
      <c r="AA96" s="260">
        <v>46.768673243406489</v>
      </c>
      <c r="AB96" s="261" t="s">
        <v>2670</v>
      </c>
      <c r="AC96" s="260">
        <v>8.1716214884179408</v>
      </c>
      <c r="AD96">
        <f>IF('WetLitterbags placem_collection'!AB97="","",'WetLitterbags placem_collection'!AB97)</f>
        <v>5.4</v>
      </c>
      <c r="AE96">
        <f>IF('WetLitterbags placem_collection'!Z97="","",'WetLitterbags placem_collection'!Z97)</f>
        <v>15.2</v>
      </c>
      <c r="AF96" s="24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71">
        <f>IFERROR(AVERAGE('Dry_Litterbag Placem_Collection'!N97,'Dry_Litterbag Placem_Collection'!Q97),"")</f>
        <v>27.35</v>
      </c>
      <c r="AJ96" s="270">
        <f>INDEX(Coordinates!$B$2:$B$197,MATCH(G96,Coordinates!$J$2:$J$197,0))</f>
        <v>-3.296725983</v>
      </c>
      <c r="AK96" s="270">
        <f>INDEX(Coordinates!$C$2:$C$197,MATCH(G96,Coordinates!$J$2:$J$197,0))</f>
        <v>34.854216000000001</v>
      </c>
      <c r="AL96" s="270" t="str">
        <f>IF(ISNUMBER(SEARCH("C", 'Dry_Litterbag Placem_Collection'!S97)),"YES","NO")</f>
        <v>NO</v>
      </c>
      <c r="AM96" s="270" t="str">
        <f>IF(ISNUMBER(SEARCH("H", 'Dry_Litterbag Placem_Collection'!S97)),"YES","NO")</f>
        <v>NO</v>
      </c>
      <c r="AN96" s="270" t="str">
        <f>IF(ISNUMBER(SEARCH("R", 'Dry_Litterbag Placem_Collection'!S97)),"YES","NO")</f>
        <v>NO</v>
      </c>
    </row>
    <row r="97" spans="1:40" ht="15" customHeight="1">
      <c r="A97" s="262" t="s">
        <v>2659</v>
      </c>
      <c r="B97" s="263">
        <f>'Dry_Litterbag Placem_Collection'!A98</f>
        <v>96</v>
      </c>
      <c r="C97" s="263" t="str">
        <f>'Dry_Litterbag Placem_Collection'!B98</f>
        <v>Maswa</v>
      </c>
      <c r="D97" s="263" t="s">
        <v>2659</v>
      </c>
      <c r="E97" s="263" t="s">
        <v>2661</v>
      </c>
      <c r="F97" s="263">
        <v>4</v>
      </c>
      <c r="G97" s="264" t="str">
        <f>'Dry_Litterbag Placem_Collection'!C98</f>
        <v>Dry_W4_T8</v>
      </c>
      <c r="H97" s="265" t="s">
        <v>2541</v>
      </c>
      <c r="I97" s="266" t="s">
        <v>1147</v>
      </c>
      <c r="J97" s="263" t="str">
        <f>IF(ISBLANK('Dry_Litterbag Placem_Collection'!J98),"","G"&amp;""&amp;'Dry_Litterbag Placem_Collection'!J98)</f>
        <v>G244</v>
      </c>
      <c r="K97" s="267">
        <f>IFERROR(INDEX('Green_rooibos initial weight'!$C$5:$C$1749,MATCH(J97, 'Green_rooibos initial weight'!$A$5:$A$1749,0)),"")</f>
        <v>2.04</v>
      </c>
      <c r="L97" s="267">
        <f>IFERROR(K97-(TBIcalc!$Q$9+TBIcalc!$Q$10),"")</f>
        <v>1.7902</v>
      </c>
      <c r="M97" s="391">
        <f>AVERAGE(Ashed_controlls!$K$2:$K$11)</f>
        <v>5.5147656768714146</v>
      </c>
      <c r="N97" s="267">
        <f t="shared" si="6"/>
        <v>1.691474664852648</v>
      </c>
      <c r="O97" s="267">
        <f>IF(IFERROR(INDEX('Both teabags AfterDry'!$D$3:$D$900,MATCH(J97,'Both teabags AfterDry'!$A$3:$A$900,0)),"")="","",(IFERROR(INDEX('Both teabags AfterDry'!$D$3:$D$900,MATCH(J97,'Both teabags AfterDry'!$A$3:$A$900,0)),"")))</f>
        <v>1.8649</v>
      </c>
      <c r="P97" s="267">
        <f>IFERROR(IF(O97&gt;0,O97-(TBIcalc!$Q$9),""),"")</f>
        <v>1.7142999999999999</v>
      </c>
      <c r="Q97" s="278">
        <f>IFERROR(INDEX('Ashed teabags dry'!$K$2:$K$825,MATCH(J97,'Ashed teabags dry'!$A$2:$A$825,0)),"")</f>
        <v>5.8795180722893514</v>
      </c>
      <c r="R97" s="278">
        <f t="shared" si="7"/>
        <v>1.6135074216867435</v>
      </c>
      <c r="S97" s="268">
        <f>'Dry_Litterbag Placem_Collection'!E98</f>
        <v>42937</v>
      </c>
      <c r="T97" s="268">
        <f>IF('Dry_Litterbag Placem_Collection'!G98="","",'Dry_Litterbag Placem_Collection'!G98)</f>
        <v>43006</v>
      </c>
      <c r="U97" s="269">
        <f t="shared" si="5"/>
        <v>69</v>
      </c>
      <c r="V97" s="267">
        <f t="shared" si="8"/>
        <v>7.5900000000000079E-2</v>
      </c>
      <c r="W97" s="267">
        <f t="shared" si="9"/>
        <v>7.7967243165904421E-2</v>
      </c>
      <c r="X97" s="271">
        <f>IFERROR(INDEX(Rainfall_Dry!$O$2:$O$217,MATCH(B97, Rainfall_Dry!$A$2:$A$217,0)),"")</f>
        <v>12.563016860999999</v>
      </c>
      <c r="Y97" s="260">
        <v>28.145762029394</v>
      </c>
      <c r="Z97" s="260">
        <v>25.085564727199518</v>
      </c>
      <c r="AA97" s="260">
        <v>46.768673243406489</v>
      </c>
      <c r="AB97" s="261" t="s">
        <v>2670</v>
      </c>
      <c r="AC97" s="260">
        <v>9.1716214884179408</v>
      </c>
      <c r="AD97">
        <f>IF('WetLitterbags placem_collection'!AB98="","",'WetLitterbags placem_collection'!AB98)</f>
        <v>4</v>
      </c>
      <c r="AE97">
        <f>IF('WetLitterbags placem_collection'!Z98="","",'WetLitterbags placem_collection'!Z98)</f>
        <v>34.4</v>
      </c>
      <c r="AF97" s="24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71">
        <f>IFERROR(AVERAGE('Dry_Litterbag Placem_Collection'!N98,'Dry_Litterbag Placem_Collection'!Q98),"")</f>
        <v>25.950000000000003</v>
      </c>
      <c r="AJ97" s="270">
        <f>INDEX(Coordinates!$B$2:$B$197,MATCH(G97,Coordinates!$J$2:$J$197,0))</f>
        <v>-3.2968360369999998</v>
      </c>
      <c r="AK97" s="270">
        <f>INDEX(Coordinates!$C$2:$C$197,MATCH(G97,Coordinates!$J$2:$J$197,0))</f>
        <v>34.854462009999999</v>
      </c>
      <c r="AL97" s="270" t="str">
        <f>IF(ISNUMBER(SEARCH("C", 'Dry_Litterbag Placem_Collection'!S98)),"YES","NO")</f>
        <v>NO</v>
      </c>
      <c r="AM97" s="270" t="str">
        <f>IF(ISNUMBER(SEARCH("H", 'Dry_Litterbag Placem_Collection'!S98)),"YES","NO")</f>
        <v>NO</v>
      </c>
      <c r="AN97" s="270" t="str">
        <f>IF(ISNUMBER(SEARCH("R", 'Dry_Litterbag Placem_Collection'!S98)),"YES","NO")</f>
        <v>NO</v>
      </c>
    </row>
    <row r="98" spans="1:40" ht="15" customHeight="1">
      <c r="A98" s="262" t="s">
        <v>2659</v>
      </c>
      <c r="B98" s="263">
        <f>'Dry_Litterbag Placem_Collection'!A99</f>
        <v>97</v>
      </c>
      <c r="C98" s="263" t="str">
        <f>'Dry_Litterbag Placem_Collection'!B99</f>
        <v xml:space="preserve">Mwantimba
</v>
      </c>
      <c r="D98" s="263" t="s">
        <v>2460</v>
      </c>
      <c r="E98" s="263" t="s">
        <v>2660</v>
      </c>
      <c r="F98" s="263">
        <v>1</v>
      </c>
      <c r="G98" s="264" t="str">
        <f>'Dry_Litterbag Placem_Collection'!C99</f>
        <v>Wet_Ag1_T1</v>
      </c>
      <c r="H98" s="265" t="s">
        <v>2541</v>
      </c>
      <c r="I98" s="266" t="s">
        <v>1147</v>
      </c>
      <c r="J98" s="263" t="str">
        <f>IF(ISBLANK('Dry_Litterbag Placem_Collection'!J99),"","G"&amp;""&amp;'Dry_Litterbag Placem_Collection'!J99)</f>
        <v>G432</v>
      </c>
      <c r="K98" s="267">
        <f>IFERROR(INDEX('Green_rooibos initial weight'!$C$5:$C$1749,MATCH(J98, 'Green_rooibos initial weight'!$A$5:$A$1749,0)),"")</f>
        <v>2.0659999999999998</v>
      </c>
      <c r="L98" s="267">
        <f>IFERROR(K98-(TBIcalc!$Q$9+TBIcalc!$Q$10),"")</f>
        <v>1.8161999999999998</v>
      </c>
      <c r="M98" s="391">
        <f>AVERAGE(Ashed_controlls!$K$2:$K$11)</f>
        <v>5.5147656768714146</v>
      </c>
      <c r="N98" s="267">
        <f t="shared" si="6"/>
        <v>1.7160408257766613</v>
      </c>
      <c r="O98" s="267" t="str">
        <f>IF(IFERROR(INDEX('Both teabags AfterDry'!$D$3:$D$900,MATCH(J98,'Both teabags AfterDry'!$A$3:$A$900,0)),"")="","",(IFERROR(INDEX('Both teabags AfterDry'!$D$3:$D$900,MATCH(J98,'Both teabags AfterDry'!$A$3:$A$900,0)),"")))</f>
        <v/>
      </c>
      <c r="P98" s="267" t="str">
        <f>IFERROR(IF(O98&gt;0,O98-(TBIcalc!$Q$9),""),"")</f>
        <v/>
      </c>
      <c r="Q98" s="278" t="str">
        <f>IFERROR(INDEX('Ashed teabags dry'!$K$2:$K$825,MATCH(J98,'Ashed teabags dry'!$A$2:$A$825,0)),"")</f>
        <v/>
      </c>
      <c r="R98" s="278" t="str">
        <f t="shared" si="7"/>
        <v/>
      </c>
      <c r="S98" s="268">
        <f>'Dry_Litterbag Placem_Collection'!E99</f>
        <v>42939</v>
      </c>
      <c r="T98" s="268">
        <f>IF('Dry_Litterbag Placem_Collection'!G99="","",'Dry_Litterbag Placem_Collection'!G99)</f>
        <v>43010</v>
      </c>
      <c r="U98" s="269">
        <f t="shared" si="5"/>
        <v>71</v>
      </c>
      <c r="V98" s="267" t="str">
        <f t="shared" si="8"/>
        <v/>
      </c>
      <c r="W98" s="267" t="str">
        <f t="shared" si="9"/>
        <v/>
      </c>
      <c r="X98" s="271">
        <f>IFERROR(INDEX(Rainfall_Dry!$O$2:$O$217,MATCH(B98, Rainfall_Dry!$A$2:$A$217,0)),"")</f>
        <v>137.19979645800001</v>
      </c>
      <c r="Y98" s="260">
        <v>45.96</v>
      </c>
      <c r="Z98" s="260">
        <v>14.920000000000003</v>
      </c>
      <c r="AA98" s="260">
        <v>39.119999999999997</v>
      </c>
      <c r="AB98" s="261" t="s">
        <v>2673</v>
      </c>
      <c r="AC98" s="260">
        <v>2.0374568753080333</v>
      </c>
      <c r="AD98">
        <f>IF('WetLitterbags placem_collection'!AB99="","",'WetLitterbags placem_collection'!AB99)</f>
        <v>2.4</v>
      </c>
      <c r="AE98">
        <f>IF('WetLitterbags placem_collection'!Z99="","",'WetLitterbags placem_collection'!Z99)</f>
        <v>8.9</v>
      </c>
      <c r="AF98" s="24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71">
        <f>IFERROR(AVERAGE('Dry_Litterbag Placem_Collection'!N99,'Dry_Litterbag Placem_Collection'!Q99),"")</f>
        <v>28.5</v>
      </c>
      <c r="AJ98" s="270">
        <f>INDEX(Coordinates!$B$2:$B$197,MATCH(G98,Coordinates!$J$2:$J$197,0))</f>
        <v>-2.3691620310000001</v>
      </c>
      <c r="AK98" s="270">
        <f>INDEX(Coordinates!$C$2:$C$197,MATCH(G98,Coordinates!$J$2:$J$197,0))</f>
        <v>34.06028104</v>
      </c>
      <c r="AL98" s="270" t="str">
        <f>IF(ISNUMBER(SEARCH("C", 'Dry_Litterbag Placem_Collection'!S99)),"YES","NO")</f>
        <v>YES</v>
      </c>
      <c r="AM98" s="270" t="str">
        <f>IF(ISNUMBER(SEARCH("H", 'Dry_Litterbag Placem_Collection'!S99)),"YES","NO")</f>
        <v>YES</v>
      </c>
      <c r="AN98" s="270" t="str">
        <f>IF(ISNUMBER(SEARCH("R", 'Dry_Litterbag Placem_Collection'!S99)),"YES","NO")</f>
        <v>NO</v>
      </c>
    </row>
    <row r="99" spans="1:40" ht="15" customHeight="1">
      <c r="A99" s="262" t="s">
        <v>2659</v>
      </c>
      <c r="B99" s="263">
        <f>'Dry_Litterbag Placem_Collection'!A100</f>
        <v>98</v>
      </c>
      <c r="C99" s="263" t="str">
        <f>'Dry_Litterbag Placem_Collection'!B100</f>
        <v xml:space="preserve">Mwantimba
</v>
      </c>
      <c r="D99" s="263" t="s">
        <v>2460</v>
      </c>
      <c r="E99" s="263" t="s">
        <v>2660</v>
      </c>
      <c r="F99" s="263">
        <v>1</v>
      </c>
      <c r="G99" s="264" t="str">
        <f>'Dry_Litterbag Placem_Collection'!C100</f>
        <v>Wet_Ag1_T2</v>
      </c>
      <c r="H99" s="265" t="s">
        <v>2541</v>
      </c>
      <c r="I99" s="266" t="s">
        <v>1147</v>
      </c>
      <c r="J99" s="263" t="str">
        <f>IF(ISBLANK('Dry_Litterbag Placem_Collection'!J100),"","G"&amp;""&amp;'Dry_Litterbag Placem_Collection'!J100)</f>
        <v>G184</v>
      </c>
      <c r="K99" s="267">
        <f>IFERROR(INDEX('Green_rooibos initial weight'!$C$5:$C$1749,MATCH(J99, 'Green_rooibos initial weight'!$A$5:$A$1749,0)),"")</f>
        <v>1.925</v>
      </c>
      <c r="L99" s="267">
        <f>IFERROR(K99-(TBIcalc!$Q$9+TBIcalc!$Q$10),"")</f>
        <v>1.6752</v>
      </c>
      <c r="M99" s="391">
        <f>AVERAGE(Ashed_controlls!$K$2:$K$11)</f>
        <v>5.5147656768714146</v>
      </c>
      <c r="N99" s="267">
        <f t="shared" si="6"/>
        <v>1.5828166453810502</v>
      </c>
      <c r="O99" s="267">
        <f>IF(IFERROR(INDEX('Both teabags AfterDry'!$D$3:$D$900,MATCH(J99,'Both teabags AfterDry'!$A$3:$A$900,0)),"")="","",(IFERROR(INDEX('Both teabags AfterDry'!$D$3:$D$900,MATCH(J99,'Both teabags AfterDry'!$A$3:$A$900,0)),"")))</f>
        <v>0.99180000000000001</v>
      </c>
      <c r="P99" s="267">
        <f>IFERROR(IF(O99&gt;0,O99-(TBIcalc!$Q$9),""),"")</f>
        <v>0.84119999999999995</v>
      </c>
      <c r="Q99" s="278">
        <f>IFERROR(INDEX('Ashed teabags dry'!$K$2:$K$825,MATCH(J99,'Ashed teabags dry'!$A$2:$A$825,0)),"")</f>
        <v>12.153918348193013</v>
      </c>
      <c r="R99" s="278">
        <f t="shared" si="7"/>
        <v>0.73896123885500031</v>
      </c>
      <c r="S99" s="268">
        <f>'Dry_Litterbag Placem_Collection'!E100</f>
        <v>42939</v>
      </c>
      <c r="T99" s="268">
        <f>IF('Dry_Litterbag Placem_Collection'!G100="","",'Dry_Litterbag Placem_Collection'!G100)</f>
        <v>43010</v>
      </c>
      <c r="U99" s="269">
        <f t="shared" si="5"/>
        <v>71</v>
      </c>
      <c r="V99" s="267">
        <f t="shared" si="8"/>
        <v>0.83400000000000007</v>
      </c>
      <c r="W99" s="267">
        <f t="shared" si="9"/>
        <v>0.84385540652604984</v>
      </c>
      <c r="X99" s="271">
        <f>IFERROR(INDEX(Rainfall_Dry!$O$2:$O$217,MATCH(B99, Rainfall_Dry!$A$2:$A$217,0)),"")</f>
        <v>137.19979645800001</v>
      </c>
      <c r="Y99" s="260">
        <v>45.96</v>
      </c>
      <c r="Z99" s="260">
        <v>14.920000000000003</v>
      </c>
      <c r="AA99" s="260">
        <v>39.119999999999997</v>
      </c>
      <c r="AB99" s="261" t="s">
        <v>2673</v>
      </c>
      <c r="AC99" s="260">
        <v>3.0374568753080302</v>
      </c>
      <c r="AD99">
        <f>IF('WetLitterbags placem_collection'!AB100="","",'WetLitterbags placem_collection'!AB100)</f>
        <v>7.8</v>
      </c>
      <c r="AE99">
        <f>IF('WetLitterbags placem_collection'!Z100="","",'WetLitterbags placem_collection'!Z100)</f>
        <v>4.45</v>
      </c>
      <c r="AF99" s="24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71">
        <f>IFERROR(AVERAGE('Dry_Litterbag Placem_Collection'!N100,'Dry_Litterbag Placem_Collection'!Q100),"")</f>
        <v>29.3</v>
      </c>
      <c r="AJ99" s="270">
        <f>INDEX(Coordinates!$B$2:$B$197,MATCH(G99,Coordinates!$J$2:$J$197,0))</f>
        <v>-2.3692249790000002</v>
      </c>
      <c r="AK99" s="270">
        <f>INDEX(Coordinates!$C$2:$C$197,MATCH(G99,Coordinates!$J$2:$J$197,0))</f>
        <v>34.060285989999997</v>
      </c>
      <c r="AL99" s="270" t="str">
        <f>IF(ISNUMBER(SEARCH("C", 'Dry_Litterbag Placem_Collection'!S100)),"YES","NO")</f>
        <v>YES</v>
      </c>
      <c r="AM99" s="270" t="str">
        <f>IF(ISNUMBER(SEARCH("H", 'Dry_Litterbag Placem_Collection'!S100)),"YES","NO")</f>
        <v>YES</v>
      </c>
      <c r="AN99" s="270" t="str">
        <f>IF(ISNUMBER(SEARCH("R", 'Dry_Litterbag Placem_Collection'!S100)),"YES","NO")</f>
        <v>NO</v>
      </c>
    </row>
    <row r="100" spans="1:40" ht="15" customHeight="1">
      <c r="A100" s="262" t="s">
        <v>2659</v>
      </c>
      <c r="B100" s="263">
        <f>'Dry_Litterbag Placem_Collection'!A101</f>
        <v>99</v>
      </c>
      <c r="C100" s="263" t="str">
        <f>'Dry_Litterbag Placem_Collection'!B101</f>
        <v xml:space="preserve">Mwantimba
</v>
      </c>
      <c r="D100" s="263" t="s">
        <v>2460</v>
      </c>
      <c r="E100" s="263" t="s">
        <v>2660</v>
      </c>
      <c r="F100" s="263">
        <v>1</v>
      </c>
      <c r="G100" s="264" t="str">
        <f>'Dry_Litterbag Placem_Collection'!C101</f>
        <v>Wet_Ag1_T3</v>
      </c>
      <c r="H100" s="265" t="s">
        <v>2541</v>
      </c>
      <c r="I100" s="266" t="s">
        <v>1147</v>
      </c>
      <c r="J100" s="263" t="str">
        <f>IF(ISBLANK('Dry_Litterbag Placem_Collection'!J101),"","G"&amp;""&amp;'Dry_Litterbag Placem_Collection'!J101)</f>
        <v/>
      </c>
      <c r="K100" s="267" t="str">
        <f>IFERROR(INDEX('Green_rooibos initial weight'!$C$5:$C$1749,MATCH(J100, 'Green_rooibos initial weight'!$A$5:$A$1749,0)),"")</f>
        <v/>
      </c>
      <c r="L100" s="267" t="str">
        <f>IFERROR(K100-(TBIcalc!$Q$9+TBIcalc!$Q$10),"")</f>
        <v/>
      </c>
      <c r="M100" s="391">
        <f>AVERAGE(Ashed_controlls!$K$2:$K$11)</f>
        <v>5.5147656768714146</v>
      </c>
      <c r="N100" s="267" t="str">
        <f t="shared" si="6"/>
        <v/>
      </c>
      <c r="O100" s="267" t="str">
        <f>IF(IFERROR(INDEX('Both teabags AfterDry'!$D$3:$D$900,MATCH(J100,'Both teabags AfterDry'!$A$3:$A$900,0)),"")="","",(IFERROR(INDEX('Both teabags AfterDry'!$D$3:$D$900,MATCH(J100,'Both teabags AfterDry'!$A$3:$A$900,0)),"")))</f>
        <v/>
      </c>
      <c r="P100" s="267" t="str">
        <f>IFERROR(IF(O100&gt;0,O100-(TBIcalc!$Q$9),""),"")</f>
        <v/>
      </c>
      <c r="Q100" s="278" t="str">
        <f>IFERROR(INDEX('Ashed teabags dry'!$K$2:$K$825,MATCH(J100,'Ashed teabags dry'!$A$2:$A$825,0)),"")</f>
        <v/>
      </c>
      <c r="R100" s="278" t="str">
        <f t="shared" si="7"/>
        <v/>
      </c>
      <c r="S100" s="268">
        <f>'Dry_Litterbag Placem_Collection'!E101</f>
        <v>0</v>
      </c>
      <c r="T100" s="268" t="str">
        <f>IF('Dry_Litterbag Placem_Collection'!G101="","",'Dry_Litterbag Placem_Collection'!G101)</f>
        <v/>
      </c>
      <c r="U100" s="269" t="str">
        <f t="shared" si="5"/>
        <v/>
      </c>
      <c r="V100" s="267" t="str">
        <f t="shared" si="8"/>
        <v/>
      </c>
      <c r="W100" s="267" t="str">
        <f t="shared" si="9"/>
        <v/>
      </c>
      <c r="X100" s="271" t="str">
        <f>IFERROR(INDEX(Rainfall_Dry!$O$2:$O$217,MATCH(B100, Rainfall_Dry!$A$2:$A$217,0)),"")</f>
        <v/>
      </c>
      <c r="Y100" s="260">
        <v>45.96</v>
      </c>
      <c r="Z100" s="260">
        <v>14.920000000000003</v>
      </c>
      <c r="AA100" s="260">
        <v>39.119999999999997</v>
      </c>
      <c r="AB100" s="261" t="s">
        <v>2673</v>
      </c>
      <c r="AC100" s="260">
        <v>4.0374568753080302</v>
      </c>
      <c r="AD100">
        <f>IF('WetLitterbags placem_collection'!AB101="","",'WetLitterbags placem_collection'!AB101)</f>
        <v>5.0999999999999996</v>
      </c>
      <c r="AE100">
        <f>IF('WetLitterbags placem_collection'!Z101="","",'WetLitterbags placem_collection'!Z101)</f>
        <v>2.2999999999999998</v>
      </c>
      <c r="AF100" s="24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71" t="str">
        <f>IFERROR(AVERAGE('Dry_Litterbag Placem_Collection'!N101,'Dry_Litterbag Placem_Collection'!Q101),"")</f>
        <v/>
      </c>
      <c r="AJ100" s="270">
        <f>INDEX(Coordinates!$B$2:$B$197,MATCH(G100,Coordinates!$J$2:$J$197,0))</f>
        <v>-2.369284993</v>
      </c>
      <c r="AK100" s="270">
        <f>INDEX(Coordinates!$C$2:$C$197,MATCH(G100,Coordinates!$J$2:$J$197,0))</f>
        <v>34.06028104</v>
      </c>
      <c r="AL100" s="270" t="str">
        <f>IF(ISNUMBER(SEARCH("C", 'Dry_Litterbag Placem_Collection'!S101)),"YES","NO")</f>
        <v>NO</v>
      </c>
      <c r="AM100" s="270" t="str">
        <f>IF(ISNUMBER(SEARCH("H", 'Dry_Litterbag Placem_Collection'!S101)),"YES","NO")</f>
        <v>NO</v>
      </c>
      <c r="AN100" s="270" t="str">
        <f>IF(ISNUMBER(SEARCH("R", 'Dry_Litterbag Placem_Collection'!S101)),"YES","NO")</f>
        <v>NO</v>
      </c>
    </row>
    <row r="101" spans="1:40" ht="15" customHeight="1">
      <c r="A101" s="262" t="s">
        <v>2659</v>
      </c>
      <c r="B101" s="263">
        <f>'Dry_Litterbag Placem_Collection'!A102</f>
        <v>100</v>
      </c>
      <c r="C101" s="263" t="str">
        <f>'Dry_Litterbag Placem_Collection'!B102</f>
        <v xml:space="preserve">Mwantimba
</v>
      </c>
      <c r="D101" s="263" t="s">
        <v>2460</v>
      </c>
      <c r="E101" s="263" t="s">
        <v>2660</v>
      </c>
      <c r="F101" s="263">
        <v>1</v>
      </c>
      <c r="G101" s="264" t="str">
        <f>'Dry_Litterbag Placem_Collection'!C102</f>
        <v>Wet_Ag1_T4</v>
      </c>
      <c r="H101" s="265" t="s">
        <v>2541</v>
      </c>
      <c r="I101" s="266" t="s">
        <v>1147</v>
      </c>
      <c r="J101" s="263" t="str">
        <f>IF(ISBLANK('Dry_Litterbag Placem_Collection'!J102),"","G"&amp;""&amp;'Dry_Litterbag Placem_Collection'!J102)</f>
        <v>G176</v>
      </c>
      <c r="K101" s="267">
        <f>IFERROR(INDEX('Green_rooibos initial weight'!$C$5:$C$1749,MATCH(J101, 'Green_rooibos initial weight'!$A$5:$A$1749,0)),"")</f>
        <v>2.0590000000000002</v>
      </c>
      <c r="L101" s="267">
        <f>IFERROR(K101-(TBIcalc!$Q$9+TBIcalc!$Q$10),"")</f>
        <v>1.8092000000000001</v>
      </c>
      <c r="M101" s="391">
        <f>AVERAGE(Ashed_controlls!$K$2:$K$11)</f>
        <v>5.5147656768714146</v>
      </c>
      <c r="N101" s="267">
        <f t="shared" si="6"/>
        <v>1.7094268593740425</v>
      </c>
      <c r="O101" s="267">
        <f>IF(IFERROR(INDEX('Both teabags AfterDry'!$D$3:$D$900,MATCH(J101,'Both teabags AfterDry'!$A$3:$A$900,0)),"")="","",(IFERROR(INDEX('Both teabags AfterDry'!$D$3:$D$900,MATCH(J101,'Both teabags AfterDry'!$A$3:$A$900,0)),"")))</f>
        <v>1.3146</v>
      </c>
      <c r="P101" s="267">
        <f>IFERROR(IF(O101&gt;0,O101-(TBIcalc!$Q$9),""),"")</f>
        <v>1.1639999999999999</v>
      </c>
      <c r="Q101" s="278">
        <f>IFERROR(INDEX('Ashed teabags dry'!$K$2:$K$825,MATCH(J101,'Ashed teabags dry'!$A$2:$A$825,0)),"")</f>
        <v>14.190157668418236</v>
      </c>
      <c r="R101" s="278">
        <f t="shared" si="7"/>
        <v>0.99882656473961173</v>
      </c>
      <c r="S101" s="268">
        <f>'Dry_Litterbag Placem_Collection'!E102</f>
        <v>42939</v>
      </c>
      <c r="T101" s="268">
        <f>IF('Dry_Litterbag Placem_Collection'!G102="","",'Dry_Litterbag Placem_Collection'!G102)</f>
        <v>43010</v>
      </c>
      <c r="U101" s="269">
        <f t="shared" si="5"/>
        <v>71</v>
      </c>
      <c r="V101" s="267">
        <f t="shared" si="8"/>
        <v>0.64520000000000022</v>
      </c>
      <c r="W101" s="267">
        <f t="shared" si="9"/>
        <v>0.71060029463443075</v>
      </c>
      <c r="X101" s="271">
        <f>IFERROR(INDEX(Rainfall_Dry!$O$2:$O$217,MATCH(B101, Rainfall_Dry!$A$2:$A$217,0)),"")</f>
        <v>137.19979645800001</v>
      </c>
      <c r="Y101" s="260">
        <v>45.96</v>
      </c>
      <c r="Z101" s="260">
        <v>14.920000000000003</v>
      </c>
      <c r="AA101" s="260">
        <v>39.119999999999997</v>
      </c>
      <c r="AB101" s="261" t="s">
        <v>2673</v>
      </c>
      <c r="AC101" s="260">
        <v>5.0374568753080302</v>
      </c>
      <c r="AD101">
        <f>IF('WetLitterbags placem_collection'!AB102="","",'WetLitterbags placem_collection'!AB102)</f>
        <v>1.6</v>
      </c>
      <c r="AE101">
        <f>IF('WetLitterbags placem_collection'!Z102="","",'WetLitterbags placem_collection'!Z102)</f>
        <v>15</v>
      </c>
      <c r="AF101" s="24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71">
        <f>IFERROR(AVERAGE('Dry_Litterbag Placem_Collection'!N102,'Dry_Litterbag Placem_Collection'!Q102),"")</f>
        <v>29.1</v>
      </c>
      <c r="AJ101" s="270">
        <f>INDEX(Coordinates!$B$2:$B$197,MATCH(G101,Coordinates!$J$2:$J$197,0))</f>
        <v>-2.3691989950000001</v>
      </c>
      <c r="AK101" s="270">
        <f>INDEX(Coordinates!$C$2:$C$197,MATCH(G101,Coordinates!$J$2:$J$197,0))</f>
        <v>34.060208029999998</v>
      </c>
      <c r="AL101" s="270" t="str">
        <f>IF(ISNUMBER(SEARCH("C", 'Dry_Litterbag Placem_Collection'!S102)),"YES","NO")</f>
        <v>YES</v>
      </c>
      <c r="AM101" s="270" t="str">
        <f>IF(ISNUMBER(SEARCH("H", 'Dry_Litterbag Placem_Collection'!S102)),"YES","NO")</f>
        <v>YES</v>
      </c>
      <c r="AN101" s="270" t="str">
        <f>IF(ISNUMBER(SEARCH("R", 'Dry_Litterbag Placem_Collection'!S102)),"YES","NO")</f>
        <v>NO</v>
      </c>
    </row>
    <row r="102" spans="1:40" ht="15" customHeight="1">
      <c r="A102" s="262" t="s">
        <v>2659</v>
      </c>
      <c r="B102" s="263">
        <f>'Dry_Litterbag Placem_Collection'!A103</f>
        <v>101</v>
      </c>
      <c r="C102" s="263" t="str">
        <f>'Dry_Litterbag Placem_Collection'!B103</f>
        <v xml:space="preserve">Mwantimba
</v>
      </c>
      <c r="D102" s="263" t="s">
        <v>2460</v>
      </c>
      <c r="E102" s="263" t="s">
        <v>2660</v>
      </c>
      <c r="F102" s="263">
        <v>1</v>
      </c>
      <c r="G102" s="264" t="str">
        <f>'Dry_Litterbag Placem_Collection'!C103</f>
        <v>Wet_Ag1_T5</v>
      </c>
      <c r="H102" s="265" t="s">
        <v>2541</v>
      </c>
      <c r="I102" s="266" t="s">
        <v>1147</v>
      </c>
      <c r="J102" s="263" t="str">
        <f>IF(ISBLANK('Dry_Litterbag Placem_Collection'!J103),"","G"&amp;""&amp;'Dry_Litterbag Placem_Collection'!J103)</f>
        <v>G11</v>
      </c>
      <c r="K102" s="267">
        <f>IFERROR(INDEX('Green_rooibos initial weight'!$C$5:$C$1749,MATCH(J102, 'Green_rooibos initial weight'!$A$5:$A$1749,0)),"")</f>
        <v>1.839</v>
      </c>
      <c r="L102" s="267">
        <f>IFERROR(K102-(TBIcalc!$Q$9+TBIcalc!$Q$10),"")</f>
        <v>1.5891999999999999</v>
      </c>
      <c r="M102" s="391">
        <f>AVERAGE(Ashed_controlls!$K$2:$K$11)</f>
        <v>5.5147656768714146</v>
      </c>
      <c r="N102" s="267">
        <f t="shared" si="6"/>
        <v>1.5015593438631594</v>
      </c>
      <c r="O102" s="267">
        <f>IF(IFERROR(INDEX('Both teabags AfterDry'!$D$3:$D$900,MATCH(J102,'Both teabags AfterDry'!$A$3:$A$900,0)),"")="","",(IFERROR(INDEX('Both teabags AfterDry'!$D$3:$D$900,MATCH(J102,'Both teabags AfterDry'!$A$3:$A$900,0)),"")))</f>
        <v>1.0169999999999999</v>
      </c>
      <c r="P102" s="267">
        <f>IFERROR(IF(O102&gt;0,O102-(TBIcalc!$Q$9),""),"")</f>
        <v>0.86639999999999984</v>
      </c>
      <c r="Q102" s="278">
        <f>IFERROR(INDEX('Ashed teabags dry'!$K$2:$K$825,MATCH(J102,'Ashed teabags dry'!$A$2:$A$825,0)),"")</f>
        <v>15.774099318403096</v>
      </c>
      <c r="R102" s="278">
        <f t="shared" si="7"/>
        <v>0.72973320350535542</v>
      </c>
      <c r="S102" s="268">
        <f>'Dry_Litterbag Placem_Collection'!E103</f>
        <v>42939</v>
      </c>
      <c r="T102" s="268">
        <f>IF('Dry_Litterbag Placem_Collection'!G103="","",'Dry_Litterbag Placem_Collection'!G103)</f>
        <v>43010</v>
      </c>
      <c r="U102" s="269">
        <f t="shared" si="5"/>
        <v>71</v>
      </c>
      <c r="V102" s="267">
        <f t="shared" si="8"/>
        <v>0.72280000000000011</v>
      </c>
      <c r="W102" s="267">
        <f t="shared" si="9"/>
        <v>0.77182614035780395</v>
      </c>
      <c r="X102" s="271">
        <f>IFERROR(INDEX(Rainfall_Dry!$O$2:$O$217,MATCH(B102, Rainfall_Dry!$A$2:$A$217,0)),"")</f>
        <v>137.19979645800001</v>
      </c>
      <c r="Y102" s="260">
        <v>45.96</v>
      </c>
      <c r="Z102" s="260">
        <v>14.920000000000003</v>
      </c>
      <c r="AA102" s="260">
        <v>39.119999999999997</v>
      </c>
      <c r="AB102" s="261" t="s">
        <v>2673</v>
      </c>
      <c r="AC102" s="260">
        <v>6.0374568753080302</v>
      </c>
      <c r="AD102">
        <f>IF('WetLitterbags placem_collection'!AB103="","",'WetLitterbags placem_collection'!AB103)</f>
        <v>4.3499999999999996</v>
      </c>
      <c r="AE102">
        <f>IF('WetLitterbags placem_collection'!Z103="","",'WetLitterbags placem_collection'!Z103)</f>
        <v>17</v>
      </c>
      <c r="AF102" s="24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71">
        <f>IFERROR(AVERAGE('Dry_Litterbag Placem_Collection'!N103,'Dry_Litterbag Placem_Collection'!Q103),"")</f>
        <v>29.549999999999997</v>
      </c>
      <c r="AJ102" s="270">
        <f>INDEX(Coordinates!$B$2:$B$197,MATCH(G102,Coordinates!$J$2:$J$197,0))</f>
        <v>-2.3691900260000001</v>
      </c>
      <c r="AK102" s="270">
        <f>INDEX(Coordinates!$C$2:$C$197,MATCH(G102,Coordinates!$J$2:$J$197,0))</f>
        <v>34.060177019999998</v>
      </c>
      <c r="AL102" s="270" t="str">
        <f>IF(ISNUMBER(SEARCH("C", 'Dry_Litterbag Placem_Collection'!S103)),"YES","NO")</f>
        <v>YES</v>
      </c>
      <c r="AM102" s="270" t="str">
        <f>IF(ISNUMBER(SEARCH("H", 'Dry_Litterbag Placem_Collection'!S103)),"YES","NO")</f>
        <v>NO</v>
      </c>
      <c r="AN102" s="270" t="str">
        <f>IF(ISNUMBER(SEARCH("R", 'Dry_Litterbag Placem_Collection'!S103)),"YES","NO")</f>
        <v>NO</v>
      </c>
    </row>
    <row r="103" spans="1:40" ht="15" customHeight="1">
      <c r="A103" s="262" t="s">
        <v>2659</v>
      </c>
      <c r="B103" s="263">
        <f>'Dry_Litterbag Placem_Collection'!A104</f>
        <v>102</v>
      </c>
      <c r="C103" s="263" t="str">
        <f>'Dry_Litterbag Placem_Collection'!B104</f>
        <v xml:space="preserve">Mwantimba
</v>
      </c>
      <c r="D103" s="263" t="s">
        <v>2460</v>
      </c>
      <c r="E103" s="263" t="s">
        <v>2660</v>
      </c>
      <c r="F103" s="263">
        <v>1</v>
      </c>
      <c r="G103" s="264" t="str">
        <f>'Dry_Litterbag Placem_Collection'!C104</f>
        <v>Wet_Ag1_T6</v>
      </c>
      <c r="H103" s="265" t="s">
        <v>2541</v>
      </c>
      <c r="I103" s="266" t="s">
        <v>1147</v>
      </c>
      <c r="J103" s="263" t="str">
        <f>IF(ISBLANK('Dry_Litterbag Placem_Collection'!J104),"","G"&amp;""&amp;'Dry_Litterbag Placem_Collection'!J104)</f>
        <v>G284</v>
      </c>
      <c r="K103" s="267">
        <f>IFERROR(INDEX('Green_rooibos initial weight'!$C$5:$C$1749,MATCH(J103, 'Green_rooibos initial weight'!$A$5:$A$1749,0)),"")</f>
        <v>2.0760000000000001</v>
      </c>
      <c r="L103" s="267">
        <f>IFERROR(K103-(TBIcalc!$Q$9+TBIcalc!$Q$10),"")</f>
        <v>1.8262</v>
      </c>
      <c r="M103" s="391">
        <f>AVERAGE(Ashed_controlls!$K$2:$K$11)</f>
        <v>5.5147656768714146</v>
      </c>
      <c r="N103" s="267">
        <f t="shared" si="6"/>
        <v>1.7254893492089742</v>
      </c>
      <c r="O103" s="267">
        <f>IF(IFERROR(INDEX('Both teabags AfterDry'!$D$3:$D$900,MATCH(J103,'Both teabags AfterDry'!$A$3:$A$900,0)),"")="","",(IFERROR(INDEX('Both teabags AfterDry'!$D$3:$D$900,MATCH(J103,'Both teabags AfterDry'!$A$3:$A$900,0)),"")))</f>
        <v>1.1585000000000001</v>
      </c>
      <c r="P103" s="267">
        <f>IFERROR(IF(O103&gt;0,O103-(TBIcalc!$Q$9),""),"")</f>
        <v>1.0079</v>
      </c>
      <c r="Q103" s="278">
        <f>IFERROR(INDEX('Ashed teabags dry'!$K$2:$K$825,MATCH(J103,'Ashed teabags dry'!$A$2:$A$825,0)),"")</f>
        <v>12.200736648250626</v>
      </c>
      <c r="R103" s="278">
        <f t="shared" si="7"/>
        <v>0.88492877532228198</v>
      </c>
      <c r="S103" s="268">
        <f>'Dry_Litterbag Placem_Collection'!E104</f>
        <v>42939</v>
      </c>
      <c r="T103" s="268">
        <f>IF('Dry_Litterbag Placem_Collection'!G104="","",'Dry_Litterbag Placem_Collection'!G104)</f>
        <v>43010</v>
      </c>
      <c r="U103" s="269">
        <f t="shared" si="5"/>
        <v>71</v>
      </c>
      <c r="V103" s="267">
        <f t="shared" si="8"/>
        <v>0.81830000000000003</v>
      </c>
      <c r="W103" s="267">
        <f t="shared" si="9"/>
        <v>0.84056057388669225</v>
      </c>
      <c r="X103" s="271">
        <f>IFERROR(INDEX(Rainfall_Dry!$O$2:$O$217,MATCH(B103, Rainfall_Dry!$A$2:$A$217,0)),"")</f>
        <v>137.19979645800001</v>
      </c>
      <c r="Y103" s="260">
        <v>45.96</v>
      </c>
      <c r="Z103" s="260">
        <v>14.920000000000003</v>
      </c>
      <c r="AA103" s="260">
        <v>39.119999999999997</v>
      </c>
      <c r="AB103" s="261" t="s">
        <v>2673</v>
      </c>
      <c r="AC103" s="260">
        <v>7.0374568753080302</v>
      </c>
      <c r="AD103">
        <f>IF('WetLitterbags placem_collection'!AB104="","",'WetLitterbags placem_collection'!AB104)</f>
        <v>7.7</v>
      </c>
      <c r="AE103">
        <f>IF('WetLitterbags placem_collection'!Z104="","",'WetLitterbags placem_collection'!Z104)</f>
        <v>21</v>
      </c>
      <c r="AF103" s="24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71">
        <f>IFERROR(AVERAGE('Dry_Litterbag Placem_Collection'!N104,'Dry_Litterbag Placem_Collection'!Q104),"")</f>
        <v>29.05</v>
      </c>
      <c r="AJ103" s="270">
        <f>INDEX(Coordinates!$B$2:$B$197,MATCH(G103,Coordinates!$J$2:$J$197,0))</f>
        <v>-2.3691350409999998</v>
      </c>
      <c r="AK103" s="270">
        <f>INDEX(Coordinates!$C$2:$C$197,MATCH(G103,Coordinates!$J$2:$J$197,0))</f>
        <v>34.06018297</v>
      </c>
      <c r="AL103" s="270" t="str">
        <f>IF(ISNUMBER(SEARCH("C", 'Dry_Litterbag Placem_Collection'!S104)),"YES","NO")</f>
        <v>YES</v>
      </c>
      <c r="AM103" s="270" t="str">
        <f>IF(ISNUMBER(SEARCH("H", 'Dry_Litterbag Placem_Collection'!S104)),"YES","NO")</f>
        <v>YES</v>
      </c>
      <c r="AN103" s="270" t="str">
        <f>IF(ISNUMBER(SEARCH("R", 'Dry_Litterbag Placem_Collection'!S104)),"YES","NO")</f>
        <v>NO</v>
      </c>
    </row>
    <row r="104" spans="1:40" ht="15" customHeight="1">
      <c r="A104" s="262" t="s">
        <v>2659</v>
      </c>
      <c r="B104" s="263">
        <f>'Dry_Litterbag Placem_Collection'!A105</f>
        <v>103</v>
      </c>
      <c r="C104" s="263" t="str">
        <f>'Dry_Litterbag Placem_Collection'!B105</f>
        <v xml:space="preserve">Mwantimba
</v>
      </c>
      <c r="D104" s="263" t="s">
        <v>2460</v>
      </c>
      <c r="E104" s="263" t="s">
        <v>2660</v>
      </c>
      <c r="F104" s="263">
        <v>1</v>
      </c>
      <c r="G104" s="264" t="str">
        <f>'Dry_Litterbag Placem_Collection'!C105</f>
        <v>Wet_Ag1_T7</v>
      </c>
      <c r="H104" s="265" t="s">
        <v>2541</v>
      </c>
      <c r="I104" s="266" t="s">
        <v>1147</v>
      </c>
      <c r="J104" s="263" t="str">
        <f>IF(ISBLANK('Dry_Litterbag Placem_Collection'!J105),"","G"&amp;""&amp;'Dry_Litterbag Placem_Collection'!J105)</f>
        <v>G326</v>
      </c>
      <c r="K104" s="267">
        <f>IFERROR(INDEX('Green_rooibos initial weight'!$C$5:$C$1749,MATCH(J104, 'Green_rooibos initial weight'!$A$5:$A$1749,0)),"")</f>
        <v>2.04</v>
      </c>
      <c r="L104" s="267">
        <f>IFERROR(K104-(TBIcalc!$Q$9+TBIcalc!$Q$10),"")</f>
        <v>1.7902</v>
      </c>
      <c r="M104" s="391">
        <f>AVERAGE(Ashed_controlls!$K$2:$K$11)</f>
        <v>5.5147656768714146</v>
      </c>
      <c r="N104" s="267">
        <f t="shared" si="6"/>
        <v>1.691474664852648</v>
      </c>
      <c r="O104" s="267">
        <f>IF(IFERROR(INDEX('Both teabags AfterDry'!$D$3:$D$900,MATCH(J104,'Both teabags AfterDry'!$A$3:$A$900,0)),"")="","",(IFERROR(INDEX('Both teabags AfterDry'!$D$3:$D$900,MATCH(J104,'Both teabags AfterDry'!$A$3:$A$900,0)),"")))</f>
        <v>1.0625</v>
      </c>
      <c r="P104" s="267">
        <f>IFERROR(IF(O104&gt;0,O104-(TBIcalc!$Q$9),""),"")</f>
        <v>0.91189999999999993</v>
      </c>
      <c r="Q104" s="278">
        <f>IFERROR(INDEX('Ashed teabags dry'!$K$2:$K$825,MATCH(J104,'Ashed teabags dry'!$A$2:$A$825,0)),"")</f>
        <v>16.846473029045587</v>
      </c>
      <c r="R104" s="278">
        <f t="shared" si="7"/>
        <v>0.75827701244813328</v>
      </c>
      <c r="S104" s="268">
        <f>'Dry_Litterbag Placem_Collection'!E105</f>
        <v>42939</v>
      </c>
      <c r="T104" s="268">
        <f>IF('Dry_Litterbag Placem_Collection'!G105="","",'Dry_Litterbag Placem_Collection'!G105)</f>
        <v>43010</v>
      </c>
      <c r="U104" s="269">
        <f t="shared" si="5"/>
        <v>71</v>
      </c>
      <c r="V104" s="267">
        <f t="shared" si="8"/>
        <v>0.87830000000000008</v>
      </c>
      <c r="W104" s="267">
        <f t="shared" si="9"/>
        <v>0.93319765240451469</v>
      </c>
      <c r="X104" s="271">
        <f>IFERROR(INDEX(Rainfall_Dry!$O$2:$O$217,MATCH(B104, Rainfall_Dry!$A$2:$A$217,0)),"")</f>
        <v>137.19979645800001</v>
      </c>
      <c r="Y104" s="260">
        <v>45.96</v>
      </c>
      <c r="Z104" s="260">
        <v>14.920000000000003</v>
      </c>
      <c r="AA104" s="260">
        <v>39.119999999999997</v>
      </c>
      <c r="AB104" s="261" t="s">
        <v>2673</v>
      </c>
      <c r="AC104" s="260">
        <v>8.0374568753080293</v>
      </c>
      <c r="AD104">
        <f>IF('WetLitterbags placem_collection'!AB105="","",'WetLitterbags placem_collection'!AB105)</f>
        <v>3.25</v>
      </c>
      <c r="AE104">
        <f>IF('WetLitterbags placem_collection'!Z105="","",'WetLitterbags placem_collection'!Z105)</f>
        <v>16</v>
      </c>
      <c r="AF104" s="24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71">
        <f>IFERROR(AVERAGE('Dry_Litterbag Placem_Collection'!N105,'Dry_Litterbag Placem_Collection'!Q105),"")</f>
        <v>28.799999999999997</v>
      </c>
      <c r="AJ104" s="270">
        <f>INDEX(Coordinates!$B$2:$B$197,MATCH(G104,Coordinates!$J$2:$J$197,0))</f>
        <v>-2.3691330289999999</v>
      </c>
      <c r="AK104" s="270">
        <f>INDEX(Coordinates!$C$2:$C$197,MATCH(G104,Coordinates!$J$2:$J$197,0))</f>
        <v>34.060233009999997</v>
      </c>
      <c r="AL104" s="270" t="str">
        <f>IF(ISNUMBER(SEARCH("C", 'Dry_Litterbag Placem_Collection'!S105)),"YES","NO")</f>
        <v>YES</v>
      </c>
      <c r="AM104" s="270" t="str">
        <f>IF(ISNUMBER(SEARCH("H", 'Dry_Litterbag Placem_Collection'!S105)),"YES","NO")</f>
        <v>YES</v>
      </c>
      <c r="AN104" s="270" t="str">
        <f>IF(ISNUMBER(SEARCH("R", 'Dry_Litterbag Placem_Collection'!S105)),"YES","NO")</f>
        <v>NO</v>
      </c>
    </row>
    <row r="105" spans="1:40" ht="15" customHeight="1">
      <c r="A105" s="262" t="s">
        <v>2659</v>
      </c>
      <c r="B105" s="263">
        <f>'Dry_Litterbag Placem_Collection'!A106</f>
        <v>104</v>
      </c>
      <c r="C105" s="263" t="str">
        <f>'Dry_Litterbag Placem_Collection'!B106</f>
        <v xml:space="preserve">Mwantimba
</v>
      </c>
      <c r="D105" s="263" t="s">
        <v>2460</v>
      </c>
      <c r="E105" s="263" t="s">
        <v>2660</v>
      </c>
      <c r="F105" s="263">
        <v>1</v>
      </c>
      <c r="G105" s="264" t="str">
        <f>'Dry_Litterbag Placem_Collection'!C106</f>
        <v>Wet_Ag1_T8</v>
      </c>
      <c r="H105" s="265" t="s">
        <v>2541</v>
      </c>
      <c r="I105" s="266" t="s">
        <v>1147</v>
      </c>
      <c r="J105" s="263" t="str">
        <f>IF(ISBLANK('Dry_Litterbag Placem_Collection'!J106),"","G"&amp;""&amp;'Dry_Litterbag Placem_Collection'!J106)</f>
        <v>G162</v>
      </c>
      <c r="K105" s="267">
        <f>IFERROR(INDEX('Green_rooibos initial weight'!$C$5:$C$1749,MATCH(J105, 'Green_rooibos initial weight'!$A$5:$A$1749,0)),"")</f>
        <v>2.0390000000000001</v>
      </c>
      <c r="L105" s="267">
        <f>IFERROR(K105-(TBIcalc!$Q$9+TBIcalc!$Q$10),"")</f>
        <v>1.7892000000000001</v>
      </c>
      <c r="M105" s="391">
        <f>AVERAGE(Ashed_controlls!$K$2:$K$11)</f>
        <v>5.5147656768714146</v>
      </c>
      <c r="N105" s="267">
        <f t="shared" si="6"/>
        <v>1.6905298125094168</v>
      </c>
      <c r="O105" s="267">
        <f>IF(IFERROR(INDEX('Both teabags AfterDry'!$D$3:$D$900,MATCH(J105,'Both teabags AfterDry'!$A$3:$A$900,0)),"")="","",(IFERROR(INDEX('Both teabags AfterDry'!$D$3:$D$900,MATCH(J105,'Both teabags AfterDry'!$A$3:$A$900,0)),"")))</f>
        <v>1.4899</v>
      </c>
      <c r="P105" s="267">
        <f>IFERROR(IF(O105&gt;0,O105-(TBIcalc!$Q$9),""),"")</f>
        <v>1.3392999999999999</v>
      </c>
      <c r="Q105" s="278" t="str">
        <f>IFERROR(INDEX('Ashed teabags dry'!$K$2:$K$825,MATCH(J105,'Ashed teabags dry'!$A$2:$A$825,0)),"")</f>
        <v/>
      </c>
      <c r="R105" s="278" t="str">
        <f t="shared" si="7"/>
        <v/>
      </c>
      <c r="S105" s="268">
        <f>'Dry_Litterbag Placem_Collection'!E106</f>
        <v>42939</v>
      </c>
      <c r="T105" s="268">
        <f>IF('Dry_Litterbag Placem_Collection'!G106="","",'Dry_Litterbag Placem_Collection'!G106)</f>
        <v>43010</v>
      </c>
      <c r="U105" s="269">
        <f t="shared" si="5"/>
        <v>71</v>
      </c>
      <c r="V105" s="267">
        <f t="shared" si="8"/>
        <v>0.44990000000000019</v>
      </c>
      <c r="W105" s="267" t="str">
        <f t="shared" si="9"/>
        <v/>
      </c>
      <c r="X105" s="271">
        <f>IFERROR(INDEX(Rainfall_Dry!$O$2:$O$217,MATCH(B105, Rainfall_Dry!$A$2:$A$217,0)),"")</f>
        <v>137.19979645800001</v>
      </c>
      <c r="Y105" s="260">
        <v>45.96</v>
      </c>
      <c r="Z105" s="260">
        <v>14.920000000000003</v>
      </c>
      <c r="AA105" s="260">
        <v>39.119999999999997</v>
      </c>
      <c r="AB105" s="261" t="s">
        <v>2673</v>
      </c>
      <c r="AC105" s="260">
        <v>9.0374568753080293</v>
      </c>
      <c r="AD105">
        <f>IF('WetLitterbags placem_collection'!AB106="","",'WetLitterbags placem_collection'!AB106)</f>
        <v>10.5</v>
      </c>
      <c r="AE105">
        <f>IF('WetLitterbags placem_collection'!Z106="","",'WetLitterbags placem_collection'!Z106)</f>
        <v>17</v>
      </c>
      <c r="AF105" s="24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71">
        <f>IFERROR(AVERAGE('Dry_Litterbag Placem_Collection'!N106,'Dry_Litterbag Placem_Collection'!Q106),"")</f>
        <v>28.05</v>
      </c>
      <c r="AJ105" s="270">
        <f>INDEX(Coordinates!$B$2:$B$197,MATCH(G105,Coordinates!$J$2:$J$197,0))</f>
        <v>-2.3692910280000001</v>
      </c>
      <c r="AK105" s="270">
        <f>INDEX(Coordinates!$C$2:$C$197,MATCH(G105,Coordinates!$J$2:$J$197,0))</f>
        <v>34.06016202</v>
      </c>
      <c r="AL105" s="270" t="str">
        <f>IF(ISNUMBER(SEARCH("C", 'Dry_Litterbag Placem_Collection'!S106)),"YES","NO")</f>
        <v>YES</v>
      </c>
      <c r="AM105" s="270" t="str">
        <f>IF(ISNUMBER(SEARCH("H", 'Dry_Litterbag Placem_Collection'!S106)),"YES","NO")</f>
        <v>NO</v>
      </c>
      <c r="AN105" s="270" t="str">
        <f>IF(ISNUMBER(SEARCH("R", 'Dry_Litterbag Placem_Collection'!S106)),"YES","NO")</f>
        <v>NO</v>
      </c>
    </row>
    <row r="106" spans="1:40" ht="15" customHeight="1">
      <c r="A106" s="262" t="s">
        <v>2659</v>
      </c>
      <c r="B106" s="263">
        <f>'Dry_Litterbag Placem_Collection'!A107</f>
        <v>105</v>
      </c>
      <c r="C106" s="263" t="str">
        <f>'Dry_Litterbag Placem_Collection'!B107</f>
        <v xml:space="preserve">Mwantimba
</v>
      </c>
      <c r="D106" s="263" t="s">
        <v>2460</v>
      </c>
      <c r="E106" s="263" t="s">
        <v>2660</v>
      </c>
      <c r="F106" s="263">
        <v>2</v>
      </c>
      <c r="G106" s="264" t="str">
        <f>'Dry_Litterbag Placem_Collection'!C107</f>
        <v>Wet_Ag2_T1</v>
      </c>
      <c r="H106" s="265" t="s">
        <v>2541</v>
      </c>
      <c r="I106" s="266" t="s">
        <v>1147</v>
      </c>
      <c r="J106" s="263" t="str">
        <f>IF(ISBLANK('Dry_Litterbag Placem_Collection'!J107),"","G"&amp;""&amp;'Dry_Litterbag Placem_Collection'!J107)</f>
        <v>G6</v>
      </c>
      <c r="K106" s="267">
        <f>IFERROR(INDEX('Green_rooibos initial weight'!$C$5:$C$1749,MATCH(J106, 'Green_rooibos initial weight'!$A$5:$A$1749,0)),"")</f>
        <v>2.016</v>
      </c>
      <c r="L106" s="267">
        <f>IFERROR(K106-(TBIcalc!$Q$9+TBIcalc!$Q$10),"")</f>
        <v>1.7662</v>
      </c>
      <c r="M106" s="391">
        <f>AVERAGE(Ashed_controlls!$K$2:$K$11)</f>
        <v>5.5147656768714146</v>
      </c>
      <c r="N106" s="267">
        <f t="shared" si="6"/>
        <v>1.668798208615097</v>
      </c>
      <c r="O106" s="267">
        <f>IF(IFERROR(INDEX('Both teabags AfterDry'!$D$3:$D$900,MATCH(J106,'Both teabags AfterDry'!$A$3:$A$900,0)),"")="","",(IFERROR(INDEX('Both teabags AfterDry'!$D$3:$D$900,MATCH(J106,'Both teabags AfterDry'!$A$3:$A$900,0)),"")))</f>
        <v>1.1637</v>
      </c>
      <c r="P106" s="267">
        <f>IFERROR(IF(O106&gt;0,O106-(TBIcalc!$Q$9),""),"")</f>
        <v>1.0130999999999999</v>
      </c>
      <c r="Q106" s="278">
        <f>IFERROR(INDEX('Ashed teabags dry'!$K$2:$K$825,MATCH(J106,'Ashed teabags dry'!$A$2:$A$825,0)),"")</f>
        <v>24.114832535885235</v>
      </c>
      <c r="R106" s="278">
        <f t="shared" si="7"/>
        <v>0.76879263157894662</v>
      </c>
      <c r="S106" s="268">
        <f>'Dry_Litterbag Placem_Collection'!E107</f>
        <v>42939</v>
      </c>
      <c r="T106" s="268">
        <f>IF('Dry_Litterbag Placem_Collection'!G107="","",'Dry_Litterbag Placem_Collection'!G107)</f>
        <v>43010</v>
      </c>
      <c r="U106" s="269">
        <f t="shared" si="5"/>
        <v>71</v>
      </c>
      <c r="V106" s="267">
        <f t="shared" si="8"/>
        <v>0.7531000000000001</v>
      </c>
      <c r="W106" s="267">
        <f t="shared" si="9"/>
        <v>0.90000557703615036</v>
      </c>
      <c r="X106" s="271">
        <f>IFERROR(INDEX(Rainfall_Dry!$O$2:$O$217,MATCH(B106, Rainfall_Dry!$A$2:$A$217,0)),"")</f>
        <v>137.19979645800001</v>
      </c>
      <c r="Y106" s="260">
        <v>34.344660194174757</v>
      </c>
      <c r="Z106" s="260">
        <v>19.22727272727273</v>
      </c>
      <c r="AA106" s="260">
        <v>46.428067078552509</v>
      </c>
      <c r="AB106" s="261" t="s">
        <v>2670</v>
      </c>
      <c r="AC106" s="260">
        <v>1.7452932479053718</v>
      </c>
      <c r="AD106">
        <f>IF('WetLitterbags placem_collection'!AB107="","",'WetLitterbags placem_collection'!AB107)</f>
        <v>5.5</v>
      </c>
      <c r="AE106">
        <f>IF('WetLitterbags placem_collection'!Z107="","",'WetLitterbags placem_collection'!Z107)</f>
        <v>23.5</v>
      </c>
      <c r="AF106" s="24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71">
        <f>IFERROR(AVERAGE('Dry_Litterbag Placem_Collection'!N107,'Dry_Litterbag Placem_Collection'!Q107),"")</f>
        <v>30.549999999999997</v>
      </c>
      <c r="AJ106" s="270">
        <f>INDEX(Coordinates!$B$2:$B$197,MATCH(G106,Coordinates!$J$2:$J$197,0))</f>
        <v>-2.3698080240000001</v>
      </c>
      <c r="AK106" s="270">
        <f>INDEX(Coordinates!$C$2:$C$197,MATCH(G106,Coordinates!$J$2:$J$197,0))</f>
        <v>34.059671010000002</v>
      </c>
      <c r="AL106" s="270" t="str">
        <f>IF(ISNUMBER(SEARCH("C", 'Dry_Litterbag Placem_Collection'!S107)),"YES","NO")</f>
        <v>NO</v>
      </c>
      <c r="AM106" s="270" t="str">
        <f>IF(ISNUMBER(SEARCH("H", 'Dry_Litterbag Placem_Collection'!S107)),"YES","NO")</f>
        <v>NO</v>
      </c>
      <c r="AN106" s="270" t="str">
        <f>IF(ISNUMBER(SEARCH("R", 'Dry_Litterbag Placem_Collection'!S107)),"YES","NO")</f>
        <v>NO</v>
      </c>
    </row>
    <row r="107" spans="1:40" ht="15" customHeight="1">
      <c r="A107" s="262" t="s">
        <v>2659</v>
      </c>
      <c r="B107" s="263">
        <f>'Dry_Litterbag Placem_Collection'!A108</f>
        <v>106</v>
      </c>
      <c r="C107" s="263" t="str">
        <f>'Dry_Litterbag Placem_Collection'!B108</f>
        <v xml:space="preserve">Mwantimba
</v>
      </c>
      <c r="D107" s="263" t="s">
        <v>2460</v>
      </c>
      <c r="E107" s="263" t="s">
        <v>2660</v>
      </c>
      <c r="F107" s="263">
        <v>2</v>
      </c>
      <c r="G107" s="264" t="str">
        <f>'Dry_Litterbag Placem_Collection'!C108</f>
        <v>Wet_Ag2_T2</v>
      </c>
      <c r="H107" s="265" t="s">
        <v>2541</v>
      </c>
      <c r="I107" s="266" t="s">
        <v>1147</v>
      </c>
      <c r="J107" s="263" t="str">
        <f>IF(ISBLANK('Dry_Litterbag Placem_Collection'!J108),"","G"&amp;""&amp;'Dry_Litterbag Placem_Collection'!J108)</f>
        <v>G20</v>
      </c>
      <c r="K107" s="267">
        <f>IFERROR(INDEX('Green_rooibos initial weight'!$C$5:$C$1749,MATCH(J107, 'Green_rooibos initial weight'!$A$5:$A$1749,0)),"")</f>
        <v>2.032</v>
      </c>
      <c r="L107" s="267">
        <f>IFERROR(K107-(TBIcalc!$Q$9+TBIcalc!$Q$10),"")</f>
        <v>1.7822</v>
      </c>
      <c r="M107" s="391">
        <f>AVERAGE(Ashed_controlls!$K$2:$K$11)</f>
        <v>5.5147656768714146</v>
      </c>
      <c r="N107" s="267">
        <f t="shared" si="6"/>
        <v>1.6839158461067976</v>
      </c>
      <c r="O107" s="267">
        <f>IF(IFERROR(INDEX('Both teabags AfterDry'!$D$3:$D$900,MATCH(J107,'Both teabags AfterDry'!$A$3:$A$900,0)),"")="","",(IFERROR(INDEX('Both teabags AfterDry'!$D$3:$D$900,MATCH(J107,'Both teabags AfterDry'!$A$3:$A$900,0)),"")))</f>
        <v>1.0826</v>
      </c>
      <c r="P107" s="267">
        <f>IFERROR(IF(O107&gt;0,O107-(TBIcalc!$Q$9),""),"")</f>
        <v>0.93199999999999994</v>
      </c>
      <c r="Q107" s="278">
        <f>IFERROR(INDEX('Ashed teabags dry'!$K$2:$K$825,MATCH(J107,'Ashed teabags dry'!$A$2:$A$825,0)),"")</f>
        <v>11.814345991561</v>
      </c>
      <c r="R107" s="278">
        <f t="shared" si="7"/>
        <v>0.82189029535865143</v>
      </c>
      <c r="S107" s="268">
        <f>'Dry_Litterbag Placem_Collection'!E108</f>
        <v>42939</v>
      </c>
      <c r="T107" s="268">
        <f>IF('Dry_Litterbag Placem_Collection'!G108="","",'Dry_Litterbag Placem_Collection'!G108)</f>
        <v>43010</v>
      </c>
      <c r="U107" s="269">
        <f t="shared" si="5"/>
        <v>71</v>
      </c>
      <c r="V107" s="267">
        <f t="shared" si="8"/>
        <v>0.85020000000000007</v>
      </c>
      <c r="W107" s="267">
        <f t="shared" si="9"/>
        <v>0.86202555074814613</v>
      </c>
      <c r="X107" s="271">
        <f>IFERROR(INDEX(Rainfall_Dry!$O$2:$O$217,MATCH(B107, Rainfall_Dry!$A$2:$A$217,0)),"")</f>
        <v>137.19979645800001</v>
      </c>
      <c r="Y107" s="260">
        <v>34.344660194174757</v>
      </c>
      <c r="Z107" s="260">
        <v>19.22727272727273</v>
      </c>
      <c r="AA107" s="260">
        <v>46.428067078552509</v>
      </c>
      <c r="AB107" s="261" t="s">
        <v>2670</v>
      </c>
      <c r="AC107" s="260">
        <v>2.7452932479053702</v>
      </c>
      <c r="AD107">
        <f>IF('WetLitterbags placem_collection'!AB108="","",'WetLitterbags placem_collection'!AB108)</f>
        <v>8.6</v>
      </c>
      <c r="AE107">
        <f>IF('WetLitterbags placem_collection'!Z108="","",'WetLitterbags placem_collection'!Z108)</f>
        <v>17</v>
      </c>
      <c r="AF107" s="24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71">
        <f>IFERROR(AVERAGE('Dry_Litterbag Placem_Collection'!N108,'Dry_Litterbag Placem_Collection'!Q108),"")</f>
        <v>31.3</v>
      </c>
      <c r="AJ107" s="270">
        <f>INDEX(Coordinates!$B$2:$B$197,MATCH(G107,Coordinates!$J$2:$J$197,0))</f>
        <v>-2.3697620069999998</v>
      </c>
      <c r="AK107" s="270">
        <f>INDEX(Coordinates!$C$2:$C$197,MATCH(G107,Coordinates!$J$2:$J$197,0))</f>
        <v>34.059730010000003</v>
      </c>
      <c r="AL107" s="270" t="str">
        <f>IF(ISNUMBER(SEARCH("C", 'Dry_Litterbag Placem_Collection'!S108)),"YES","NO")</f>
        <v>NO</v>
      </c>
      <c r="AM107" s="270" t="str">
        <f>IF(ISNUMBER(SEARCH("H", 'Dry_Litterbag Placem_Collection'!S108)),"YES","NO")</f>
        <v>YES</v>
      </c>
      <c r="AN107" s="270" t="str">
        <f>IF(ISNUMBER(SEARCH("R", 'Dry_Litterbag Placem_Collection'!S108)),"YES","NO")</f>
        <v>NO</v>
      </c>
    </row>
    <row r="108" spans="1:40" ht="15" customHeight="1">
      <c r="A108" s="262" t="s">
        <v>2659</v>
      </c>
      <c r="B108" s="263">
        <f>'Dry_Litterbag Placem_Collection'!A109</f>
        <v>107</v>
      </c>
      <c r="C108" s="263" t="str">
        <f>'Dry_Litterbag Placem_Collection'!B109</f>
        <v xml:space="preserve">Mwantimba
</v>
      </c>
      <c r="D108" s="263" t="s">
        <v>2460</v>
      </c>
      <c r="E108" s="263" t="s">
        <v>2660</v>
      </c>
      <c r="F108" s="263">
        <v>2</v>
      </c>
      <c r="G108" s="264" t="str">
        <f>'Dry_Litterbag Placem_Collection'!C109</f>
        <v>Wet_Ag2_T3</v>
      </c>
      <c r="H108" s="265" t="s">
        <v>2541</v>
      </c>
      <c r="I108" s="266" t="s">
        <v>1147</v>
      </c>
      <c r="J108" s="263" t="str">
        <f>IF(ISBLANK('Dry_Litterbag Placem_Collection'!J109),"","G"&amp;""&amp;'Dry_Litterbag Placem_Collection'!J109)</f>
        <v>G129</v>
      </c>
      <c r="K108" s="267">
        <f>IFERROR(INDEX('Green_rooibos initial weight'!$C$5:$C$1749,MATCH(J108, 'Green_rooibos initial weight'!$A$5:$A$1749,0)),"")</f>
        <v>1.9630000000000001</v>
      </c>
      <c r="L108" s="267">
        <f>IFERROR(K108-(TBIcalc!$Q$9+TBIcalc!$Q$10),"")</f>
        <v>1.7132000000000001</v>
      </c>
      <c r="M108" s="391">
        <f>AVERAGE(Ashed_controlls!$K$2:$K$11)</f>
        <v>5.5147656768714146</v>
      </c>
      <c r="N108" s="267">
        <f t="shared" si="6"/>
        <v>1.618721034423839</v>
      </c>
      <c r="O108" s="267" t="str">
        <f>IF(IFERROR(INDEX('Both teabags AfterDry'!$D$3:$D$900,MATCH(J108,'Both teabags AfterDry'!$A$3:$A$900,0)),"")="","",(IFERROR(INDEX('Both teabags AfterDry'!$D$3:$D$900,MATCH(J108,'Both teabags AfterDry'!$A$3:$A$900,0)),"")))</f>
        <v/>
      </c>
      <c r="P108" s="267" t="str">
        <f>IFERROR(IF(O108&gt;0,O108-(TBIcalc!$Q$9),""),"")</f>
        <v/>
      </c>
      <c r="Q108" s="278" t="str">
        <f>IFERROR(INDEX('Ashed teabags dry'!$K$2:$K$825,MATCH(J108,'Ashed teabags dry'!$A$2:$A$825,0)),"")</f>
        <v/>
      </c>
      <c r="R108" s="278" t="str">
        <f t="shared" si="7"/>
        <v/>
      </c>
      <c r="S108" s="268">
        <f>'Dry_Litterbag Placem_Collection'!E109</f>
        <v>42939</v>
      </c>
      <c r="T108" s="268">
        <f>IF('Dry_Litterbag Placem_Collection'!G109="","",'Dry_Litterbag Placem_Collection'!G109)</f>
        <v>43010</v>
      </c>
      <c r="U108" s="269">
        <f t="shared" si="5"/>
        <v>71</v>
      </c>
      <c r="V108" s="267" t="str">
        <f t="shared" si="8"/>
        <v/>
      </c>
      <c r="W108" s="267" t="str">
        <f t="shared" si="9"/>
        <v/>
      </c>
      <c r="X108" s="271">
        <f>IFERROR(INDEX(Rainfall_Dry!$O$2:$O$217,MATCH(B108, Rainfall_Dry!$A$2:$A$217,0)),"")</f>
        <v>137.19979645800001</v>
      </c>
      <c r="Y108" s="260">
        <v>34.344660194174757</v>
      </c>
      <c r="Z108" s="260">
        <v>19.22727272727273</v>
      </c>
      <c r="AA108" s="260">
        <v>46.428067078552509</v>
      </c>
      <c r="AB108" s="261" t="s">
        <v>2670</v>
      </c>
      <c r="AC108" s="260">
        <v>3.7452932479053702</v>
      </c>
      <c r="AD108">
        <f>IF('WetLitterbags placem_collection'!AB109="","",'WetLitterbags placem_collection'!AB109)</f>
        <v>3.85</v>
      </c>
      <c r="AE108">
        <f>IF('WetLitterbags placem_collection'!Z109="","",'WetLitterbags placem_collection'!Z109)</f>
        <v>15.5</v>
      </c>
      <c r="AF108" s="24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71">
        <f>IFERROR(AVERAGE('Dry_Litterbag Placem_Collection'!N109,'Dry_Litterbag Placem_Collection'!Q109),"")</f>
        <v>30.200000000000003</v>
      </c>
      <c r="AJ108" s="270">
        <f>INDEX(Coordinates!$B$2:$B$197,MATCH(G108,Coordinates!$J$2:$J$197,0))</f>
        <v>-2.3698409649999999</v>
      </c>
      <c r="AK108" s="270">
        <f>INDEX(Coordinates!$C$2:$C$197,MATCH(G108,Coordinates!$J$2:$J$197,0))</f>
        <v>34.059814000000003</v>
      </c>
      <c r="AL108" s="270" t="str">
        <f>IF(ISNUMBER(SEARCH("C", 'Dry_Litterbag Placem_Collection'!S109)),"YES","NO")</f>
        <v>YES</v>
      </c>
      <c r="AM108" s="270" t="str">
        <f>IF(ISNUMBER(SEARCH("H", 'Dry_Litterbag Placem_Collection'!S109)),"YES","NO")</f>
        <v>YES</v>
      </c>
      <c r="AN108" s="270" t="str">
        <f>IF(ISNUMBER(SEARCH("R", 'Dry_Litterbag Placem_Collection'!S109)),"YES","NO")</f>
        <v>NO</v>
      </c>
    </row>
    <row r="109" spans="1:40" ht="15" customHeight="1">
      <c r="A109" s="262" t="s">
        <v>2659</v>
      </c>
      <c r="B109" s="263">
        <f>'Dry_Litterbag Placem_Collection'!A110</f>
        <v>108</v>
      </c>
      <c r="C109" s="263" t="str">
        <f>'Dry_Litterbag Placem_Collection'!B110</f>
        <v xml:space="preserve">Mwantimba
</v>
      </c>
      <c r="D109" s="263" t="s">
        <v>2460</v>
      </c>
      <c r="E109" s="263" t="s">
        <v>2660</v>
      </c>
      <c r="F109" s="263">
        <v>2</v>
      </c>
      <c r="G109" s="264" t="str">
        <f>'Dry_Litterbag Placem_Collection'!C110</f>
        <v>Wet_Ag2_T4</v>
      </c>
      <c r="H109" s="265" t="s">
        <v>2541</v>
      </c>
      <c r="I109" s="266" t="s">
        <v>1147</v>
      </c>
      <c r="J109" s="263" t="str">
        <f>IF(ISBLANK('Dry_Litterbag Placem_Collection'!J110),"","G"&amp;""&amp;'Dry_Litterbag Placem_Collection'!J110)</f>
        <v>G258</v>
      </c>
      <c r="K109" s="267">
        <f>IFERROR(INDEX('Green_rooibos initial weight'!$C$5:$C$1749,MATCH(J109, 'Green_rooibos initial weight'!$A$5:$A$1749,0)),"")</f>
        <v>2.1280000000000001</v>
      </c>
      <c r="L109" s="267">
        <f>IFERROR(K109-(TBIcalc!$Q$9+TBIcalc!$Q$10),"")</f>
        <v>1.8782000000000001</v>
      </c>
      <c r="M109" s="391">
        <f>AVERAGE(Ashed_controlls!$K$2:$K$11)</f>
        <v>5.5147656768714146</v>
      </c>
      <c r="N109" s="267">
        <f t="shared" si="6"/>
        <v>1.7746216710570011</v>
      </c>
      <c r="O109" s="267">
        <f>IF(IFERROR(INDEX('Both teabags AfterDry'!$D$3:$D$900,MATCH(J109,'Both teabags AfterDry'!$A$3:$A$900,0)),"")="","",(IFERROR(INDEX('Both teabags AfterDry'!$D$3:$D$900,MATCH(J109,'Both teabags AfterDry'!$A$3:$A$900,0)),"")))</f>
        <v>0.92730000000000001</v>
      </c>
      <c r="P109" s="267">
        <f>IFERROR(IF(O109&gt;0,O109-(TBIcalc!$Q$9),""),"")</f>
        <v>0.77669999999999995</v>
      </c>
      <c r="Q109" s="278">
        <f>IFERROR(INDEX('Ashed teabags dry'!$K$2:$K$825,MATCH(J109,'Ashed teabags dry'!$A$2:$A$825,0)),"")</f>
        <v>20.211233797408489</v>
      </c>
      <c r="R109" s="278">
        <f t="shared" si="7"/>
        <v>0.61971934709552823</v>
      </c>
      <c r="S109" s="268">
        <f>'Dry_Litterbag Placem_Collection'!E110</f>
        <v>42939</v>
      </c>
      <c r="T109" s="268">
        <f>IF('Dry_Litterbag Placem_Collection'!G110="","",'Dry_Litterbag Placem_Collection'!G110)</f>
        <v>43010</v>
      </c>
      <c r="U109" s="269">
        <f t="shared" si="5"/>
        <v>71</v>
      </c>
      <c r="V109" s="267">
        <f t="shared" si="8"/>
        <v>1.1015000000000001</v>
      </c>
      <c r="W109" s="267">
        <f t="shared" si="9"/>
        <v>1.1549023239614729</v>
      </c>
      <c r="X109" s="271">
        <f>IFERROR(INDEX(Rainfall_Dry!$O$2:$O$217,MATCH(B109, Rainfall_Dry!$A$2:$A$217,0)),"")</f>
        <v>137.19979645800001</v>
      </c>
      <c r="Y109" s="260">
        <v>34.344660194174757</v>
      </c>
      <c r="Z109" s="260">
        <v>19.22727272727273</v>
      </c>
      <c r="AA109" s="260">
        <v>46.428067078552509</v>
      </c>
      <c r="AB109" s="261" t="s">
        <v>2670</v>
      </c>
      <c r="AC109" s="260">
        <v>4.7452932479053702</v>
      </c>
      <c r="AD109">
        <f>IF('WetLitterbags placem_collection'!AB110="","",'WetLitterbags placem_collection'!AB110)</f>
        <v>9.6999999999999993</v>
      </c>
      <c r="AE109">
        <f>IF('WetLitterbags placem_collection'!Z110="","",'WetLitterbags placem_collection'!Z110)</f>
        <v>22.5</v>
      </c>
      <c r="AF109" s="24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71">
        <f>IFERROR(AVERAGE('Dry_Litterbag Placem_Collection'!N110,'Dry_Litterbag Placem_Collection'!Q110),"")</f>
        <v>31.8</v>
      </c>
      <c r="AJ109" s="270">
        <f>INDEX(Coordinates!$B$2:$B$197,MATCH(G109,Coordinates!$J$2:$J$197,0))</f>
        <v>-2.3698620030000002</v>
      </c>
      <c r="AK109" s="270">
        <f>INDEX(Coordinates!$C$2:$C$197,MATCH(G109,Coordinates!$J$2:$J$197,0))</f>
        <v>34.059759020000001</v>
      </c>
      <c r="AL109" s="270" t="str">
        <f>IF(ISNUMBER(SEARCH("C", 'Dry_Litterbag Placem_Collection'!S110)),"YES","NO")</f>
        <v>YES</v>
      </c>
      <c r="AM109" s="270" t="str">
        <f>IF(ISNUMBER(SEARCH("H", 'Dry_Litterbag Placem_Collection'!S110)),"YES","NO")</f>
        <v>NO</v>
      </c>
      <c r="AN109" s="270" t="str">
        <f>IF(ISNUMBER(SEARCH("R", 'Dry_Litterbag Placem_Collection'!S110)),"YES","NO")</f>
        <v>NO</v>
      </c>
    </row>
    <row r="110" spans="1:40" ht="15" customHeight="1">
      <c r="A110" s="262" t="s">
        <v>2659</v>
      </c>
      <c r="B110" s="263">
        <f>'Dry_Litterbag Placem_Collection'!A111</f>
        <v>109</v>
      </c>
      <c r="C110" s="263" t="str">
        <f>'Dry_Litterbag Placem_Collection'!B111</f>
        <v xml:space="preserve">Mwantimba
</v>
      </c>
      <c r="D110" s="263" t="s">
        <v>2460</v>
      </c>
      <c r="E110" s="263" t="s">
        <v>2660</v>
      </c>
      <c r="F110" s="263">
        <v>2</v>
      </c>
      <c r="G110" s="264" t="str">
        <f>'Dry_Litterbag Placem_Collection'!C111</f>
        <v>Wet_Ag2_T5</v>
      </c>
      <c r="H110" s="265" t="s">
        <v>2541</v>
      </c>
      <c r="I110" s="266" t="s">
        <v>1147</v>
      </c>
      <c r="J110" s="263" t="str">
        <f>IF(ISBLANK('Dry_Litterbag Placem_Collection'!J111),"","G"&amp;""&amp;'Dry_Litterbag Placem_Collection'!J111)</f>
        <v>G294</v>
      </c>
      <c r="K110" s="267">
        <f>IFERROR(INDEX('Green_rooibos initial weight'!$C$5:$C$1749,MATCH(J110, 'Green_rooibos initial weight'!$A$5:$A$1749,0)),"")</f>
        <v>1.994</v>
      </c>
      <c r="L110" s="267">
        <f>IFERROR(K110-(TBIcalc!$Q$9+TBIcalc!$Q$10),"")</f>
        <v>1.7442</v>
      </c>
      <c r="M110" s="391">
        <f>AVERAGE(Ashed_controlls!$K$2:$K$11)</f>
        <v>5.5147656768714146</v>
      </c>
      <c r="N110" s="267">
        <f t="shared" si="6"/>
        <v>1.6480114570640088</v>
      </c>
      <c r="O110" s="267">
        <f>IF(IFERROR(INDEX('Both teabags AfterDry'!$D$3:$D$900,MATCH(J110,'Both teabags AfterDry'!$A$3:$A$900,0)),"")="","",(IFERROR(INDEX('Both teabags AfterDry'!$D$3:$D$900,MATCH(J110,'Both teabags AfterDry'!$A$3:$A$900,0)),"")))</f>
        <v>0.93010000000000004</v>
      </c>
      <c r="P110" s="267">
        <f>IFERROR(IF(O110&gt;0,O110-(TBIcalc!$Q$9),""),"")</f>
        <v>0.77950000000000008</v>
      </c>
      <c r="Q110" s="278">
        <f>IFERROR(INDEX('Ashed teabags dry'!$K$2:$K$825,MATCH(J110,'Ashed teabags dry'!$A$2:$A$825,0)),"")</f>
        <v>29.671832269827163</v>
      </c>
      <c r="R110" s="278">
        <f t="shared" si="7"/>
        <v>0.54820806745669737</v>
      </c>
      <c r="S110" s="268">
        <f>'Dry_Litterbag Placem_Collection'!E111</f>
        <v>42939</v>
      </c>
      <c r="T110" s="268">
        <f>IF('Dry_Litterbag Placem_Collection'!G111="","",'Dry_Litterbag Placem_Collection'!G111)</f>
        <v>43010</v>
      </c>
      <c r="U110" s="269">
        <f t="shared" si="5"/>
        <v>71</v>
      </c>
      <c r="V110" s="267">
        <f t="shared" si="8"/>
        <v>0.96469999999999989</v>
      </c>
      <c r="W110" s="267">
        <f t="shared" si="9"/>
        <v>1.0998033896073114</v>
      </c>
      <c r="X110" s="271">
        <f>IFERROR(INDEX(Rainfall_Dry!$O$2:$O$217,MATCH(B110, Rainfall_Dry!$A$2:$A$217,0)),"")</f>
        <v>137.19979645800001</v>
      </c>
      <c r="Y110" s="260">
        <v>34.344660194174757</v>
      </c>
      <c r="Z110" s="260">
        <v>19.22727272727273</v>
      </c>
      <c r="AA110" s="260">
        <v>46.428067078552509</v>
      </c>
      <c r="AB110" s="261" t="s">
        <v>2670</v>
      </c>
      <c r="AC110" s="260">
        <v>5.7452932479053702</v>
      </c>
      <c r="AD110">
        <f>IF('WetLitterbags placem_collection'!AB111="","",'WetLitterbags placem_collection'!AB111)</f>
        <v>10.5</v>
      </c>
      <c r="AE110">
        <f>IF('WetLitterbags placem_collection'!Z111="","",'WetLitterbags placem_collection'!Z111)</f>
        <v>22.5</v>
      </c>
      <c r="AF110" s="24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71">
        <f>IFERROR(AVERAGE('Dry_Litterbag Placem_Collection'!N111,'Dry_Litterbag Placem_Collection'!Q111),"")</f>
        <v>30.65</v>
      </c>
      <c r="AJ110" s="270">
        <f>INDEX(Coordinates!$B$2:$B$197,MATCH(G110,Coordinates!$J$2:$J$197,0))</f>
        <v>-2.3698390370000002</v>
      </c>
      <c r="AK110" s="270">
        <f>INDEX(Coordinates!$C$2:$C$197,MATCH(G110,Coordinates!$J$2:$J$197,0))</f>
        <v>34.059714</v>
      </c>
      <c r="AL110" s="270" t="str">
        <f>IF(ISNUMBER(SEARCH("C", 'Dry_Litterbag Placem_Collection'!S111)),"YES","NO")</f>
        <v>NO</v>
      </c>
      <c r="AM110" s="270" t="str">
        <f>IF(ISNUMBER(SEARCH("H", 'Dry_Litterbag Placem_Collection'!S111)),"YES","NO")</f>
        <v>NO</v>
      </c>
      <c r="AN110" s="270" t="str">
        <f>IF(ISNUMBER(SEARCH("R", 'Dry_Litterbag Placem_Collection'!S111)),"YES","NO")</f>
        <v>NO</v>
      </c>
    </row>
    <row r="111" spans="1:40" ht="15" customHeight="1">
      <c r="A111" s="262" t="s">
        <v>2659</v>
      </c>
      <c r="B111" s="263">
        <f>'Dry_Litterbag Placem_Collection'!A112</f>
        <v>110</v>
      </c>
      <c r="C111" s="263" t="str">
        <f>'Dry_Litterbag Placem_Collection'!B112</f>
        <v xml:space="preserve">Mwantimba
</v>
      </c>
      <c r="D111" s="263" t="s">
        <v>2460</v>
      </c>
      <c r="E111" s="263" t="s">
        <v>2660</v>
      </c>
      <c r="F111" s="263">
        <v>2</v>
      </c>
      <c r="G111" s="264" t="str">
        <f>'Dry_Litterbag Placem_Collection'!C112</f>
        <v>Wet_Ag2_T6</v>
      </c>
      <c r="H111" s="265" t="s">
        <v>2541</v>
      </c>
      <c r="I111" s="266" t="s">
        <v>1147</v>
      </c>
      <c r="J111" s="263" t="str">
        <f>IF(ISBLANK('Dry_Litterbag Placem_Collection'!J112),"","G"&amp;""&amp;'Dry_Litterbag Placem_Collection'!J112)</f>
        <v>G350</v>
      </c>
      <c r="K111" s="267">
        <f>IFERROR(INDEX('Green_rooibos initial weight'!$C$5:$C$1749,MATCH(J111, 'Green_rooibos initial weight'!$A$5:$A$1749,0)),"")</f>
        <v>2.0640000000000001</v>
      </c>
      <c r="L111" s="267">
        <f>IFERROR(K111-(TBIcalc!$Q$9+TBIcalc!$Q$10),"")</f>
        <v>1.8142</v>
      </c>
      <c r="M111" s="391">
        <f>AVERAGE(Ashed_controlls!$K$2:$K$11)</f>
        <v>5.5147656768714146</v>
      </c>
      <c r="N111" s="267">
        <f t="shared" si="6"/>
        <v>1.7141511210901987</v>
      </c>
      <c r="O111" s="267">
        <f>IF(IFERROR(INDEX('Both teabags AfterDry'!$D$3:$D$900,MATCH(J111,'Both teabags AfterDry'!$A$3:$A$900,0)),"")="","",(IFERROR(INDEX('Both teabags AfterDry'!$D$3:$D$900,MATCH(J111,'Both teabags AfterDry'!$A$3:$A$900,0)),"")))</f>
        <v>0.95640000000000003</v>
      </c>
      <c r="P111" s="267">
        <f>IFERROR(IF(O111&gt;0,O111-(TBIcalc!$Q$9),""),"")</f>
        <v>0.80580000000000007</v>
      </c>
      <c r="Q111" s="278">
        <f>IFERROR(INDEX('Ashed teabags dry'!$K$2:$K$825,MATCH(J111,'Ashed teabags dry'!$A$2:$A$825,0)),"")</f>
        <v>19.624497094323072</v>
      </c>
      <c r="R111" s="278">
        <f t="shared" si="7"/>
        <v>0.64766580241394478</v>
      </c>
      <c r="S111" s="268">
        <f>'Dry_Litterbag Placem_Collection'!E112</f>
        <v>42939</v>
      </c>
      <c r="T111" s="268">
        <f>IF('Dry_Litterbag Placem_Collection'!G112="","",'Dry_Litterbag Placem_Collection'!G112)</f>
        <v>43010</v>
      </c>
      <c r="U111" s="269">
        <f t="shared" si="5"/>
        <v>71</v>
      </c>
      <c r="V111" s="267">
        <f t="shared" si="8"/>
        <v>1.0084</v>
      </c>
      <c r="W111" s="267">
        <f t="shared" si="9"/>
        <v>1.066485318676254</v>
      </c>
      <c r="X111" s="271">
        <f>IFERROR(INDEX(Rainfall_Dry!$O$2:$O$217,MATCH(B111, Rainfall_Dry!$A$2:$A$217,0)),"")</f>
        <v>137.19979645800001</v>
      </c>
      <c r="Y111" s="260">
        <v>34.344660194174757</v>
      </c>
      <c r="Z111" s="260">
        <v>19.22727272727273</v>
      </c>
      <c r="AA111" s="260">
        <v>46.428067078552509</v>
      </c>
      <c r="AB111" s="261" t="s">
        <v>2670</v>
      </c>
      <c r="AC111" s="260">
        <v>6.7452932479053702</v>
      </c>
      <c r="AD111">
        <f>IF('WetLitterbags placem_collection'!AB112="","",'WetLitterbags placem_collection'!AB112)</f>
        <v>5.75</v>
      </c>
      <c r="AE111">
        <f>IF('WetLitterbags placem_collection'!Z112="","",'WetLitterbags placem_collection'!Z112)</f>
        <v>22.5</v>
      </c>
      <c r="AF111" s="24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71">
        <f>IFERROR(AVERAGE('Dry_Litterbag Placem_Collection'!N112,'Dry_Litterbag Placem_Collection'!Q112),"")</f>
        <v>31.150000000000002</v>
      </c>
      <c r="AJ111" s="270">
        <f>INDEX(Coordinates!$B$2:$B$197,MATCH(G111,Coordinates!$J$2:$J$197,0))</f>
        <v>-2.3697549659999999</v>
      </c>
      <c r="AK111" s="270">
        <f>INDEX(Coordinates!$C$2:$C$197,MATCH(G111,Coordinates!$J$2:$J$197,0))</f>
        <v>34.059668989999999</v>
      </c>
      <c r="AL111" s="270" t="str">
        <f>IF(ISNUMBER(SEARCH("C", 'Dry_Litterbag Placem_Collection'!S112)),"YES","NO")</f>
        <v>YES</v>
      </c>
      <c r="AM111" s="270" t="str">
        <f>IF(ISNUMBER(SEARCH("H", 'Dry_Litterbag Placem_Collection'!S112)),"YES","NO")</f>
        <v>YES</v>
      </c>
      <c r="AN111" s="270" t="str">
        <f>IF(ISNUMBER(SEARCH("R", 'Dry_Litterbag Placem_Collection'!S112)),"YES","NO")</f>
        <v>NO</v>
      </c>
    </row>
    <row r="112" spans="1:40" ht="15" customHeight="1">
      <c r="A112" s="262" t="s">
        <v>2659</v>
      </c>
      <c r="B112" s="263">
        <f>'Dry_Litterbag Placem_Collection'!A113</f>
        <v>111</v>
      </c>
      <c r="C112" s="263" t="str">
        <f>'Dry_Litterbag Placem_Collection'!B113</f>
        <v xml:space="preserve">Mwantimba
</v>
      </c>
      <c r="D112" s="263" t="s">
        <v>2460</v>
      </c>
      <c r="E112" s="263" t="s">
        <v>2660</v>
      </c>
      <c r="F112" s="263">
        <v>2</v>
      </c>
      <c r="G112" s="264" t="str">
        <f>'Dry_Litterbag Placem_Collection'!C113</f>
        <v>Wet_Ag2_T7</v>
      </c>
      <c r="H112" s="265" t="s">
        <v>2541</v>
      </c>
      <c r="I112" s="266" t="s">
        <v>1147</v>
      </c>
      <c r="J112" s="263" t="str">
        <f>IF(ISBLANK('Dry_Litterbag Placem_Collection'!J113),"","G"&amp;""&amp;'Dry_Litterbag Placem_Collection'!J113)</f>
        <v>G274</v>
      </c>
      <c r="K112" s="267">
        <f>IFERROR(INDEX('Green_rooibos initial weight'!$C$5:$C$1749,MATCH(J112, 'Green_rooibos initial weight'!$A$5:$A$1749,0)),"")</f>
        <v>2.12</v>
      </c>
      <c r="L112" s="267">
        <f>IFERROR(K112-(TBIcalc!$Q$9+TBIcalc!$Q$10),"")</f>
        <v>1.8702000000000001</v>
      </c>
      <c r="M112" s="391">
        <f>AVERAGE(Ashed_controlls!$K$2:$K$11)</f>
        <v>5.5147656768714146</v>
      </c>
      <c r="N112" s="267">
        <f t="shared" si="6"/>
        <v>1.7670628523111509</v>
      </c>
      <c r="O112" s="267">
        <f>IF(IFERROR(INDEX('Both teabags AfterDry'!$D$3:$D$900,MATCH(J112,'Both teabags AfterDry'!$A$3:$A$900,0)),"")="","",(IFERROR(INDEX('Both teabags AfterDry'!$D$3:$D$900,MATCH(J112,'Both teabags AfterDry'!$A$3:$A$900,0)),"")))</f>
        <v>1.0779000000000001</v>
      </c>
      <c r="P112" s="267">
        <f>IFERROR(IF(O112&gt;0,O112-(TBIcalc!$Q$9),""),"")</f>
        <v>0.92730000000000001</v>
      </c>
      <c r="Q112" s="278">
        <f>IFERROR(INDEX('Ashed teabags dry'!$K$2:$K$825,MATCH(J112,'Ashed teabags dry'!$A$2:$A$825,0)),"")</f>
        <v>17.275747508306221</v>
      </c>
      <c r="R112" s="278">
        <f t="shared" si="7"/>
        <v>0.76710199335547635</v>
      </c>
      <c r="S112" s="268">
        <f>'Dry_Litterbag Placem_Collection'!E113</f>
        <v>42939</v>
      </c>
      <c r="T112" s="268">
        <f>IF('Dry_Litterbag Placem_Collection'!G113="","",'Dry_Litterbag Placem_Collection'!G113)</f>
        <v>43010</v>
      </c>
      <c r="U112" s="269">
        <f t="shared" si="5"/>
        <v>71</v>
      </c>
      <c r="V112" s="267">
        <f t="shared" si="8"/>
        <v>0.94290000000000007</v>
      </c>
      <c r="W112" s="267">
        <f t="shared" si="9"/>
        <v>0.99996085895567455</v>
      </c>
      <c r="X112" s="271">
        <f>IFERROR(INDEX(Rainfall_Dry!$O$2:$O$217,MATCH(B112, Rainfall_Dry!$A$2:$A$217,0)),"")</f>
        <v>137.19979645800001</v>
      </c>
      <c r="Y112" s="260">
        <v>34.344660194174757</v>
      </c>
      <c r="Z112" s="260">
        <v>19.22727272727273</v>
      </c>
      <c r="AA112" s="260">
        <v>46.428067078552509</v>
      </c>
      <c r="AB112" s="261" t="s">
        <v>2670</v>
      </c>
      <c r="AC112" s="260">
        <v>7.7452932479053702</v>
      </c>
      <c r="AD112">
        <f>IF('WetLitterbags placem_collection'!AB113="","",'WetLitterbags placem_collection'!AB113)</f>
        <v>6.1</v>
      </c>
      <c r="AE112">
        <f>IF('WetLitterbags placem_collection'!Z113="","",'WetLitterbags placem_collection'!Z113)</f>
        <v>26</v>
      </c>
      <c r="AF112" s="24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71">
        <f>IFERROR(AVERAGE('Dry_Litterbag Placem_Collection'!N113,'Dry_Litterbag Placem_Collection'!Q113),"")</f>
        <v>29.549999999999997</v>
      </c>
      <c r="AJ112" s="270">
        <f>INDEX(Coordinates!$B$2:$B$197,MATCH(G112,Coordinates!$J$2:$J$197,0))</f>
        <v>-2.3697330060000001</v>
      </c>
      <c r="AK112" s="270">
        <f>INDEX(Coordinates!$C$2:$C$197,MATCH(G112,Coordinates!$J$2:$J$197,0))</f>
        <v>34.059615010000002</v>
      </c>
      <c r="AL112" s="270" t="str">
        <f>IF(ISNUMBER(SEARCH("C", 'Dry_Litterbag Placem_Collection'!S113)),"YES","NO")</f>
        <v>YES</v>
      </c>
      <c r="AM112" s="270" t="str">
        <f>IF(ISNUMBER(SEARCH("H", 'Dry_Litterbag Placem_Collection'!S113)),"YES","NO")</f>
        <v>NO</v>
      </c>
      <c r="AN112" s="270" t="str">
        <f>IF(ISNUMBER(SEARCH("R", 'Dry_Litterbag Placem_Collection'!S113)),"YES","NO")</f>
        <v>NO</v>
      </c>
    </row>
    <row r="113" spans="1:40" ht="15" customHeight="1">
      <c r="A113" s="262" t="s">
        <v>2659</v>
      </c>
      <c r="B113" s="263">
        <f>'Dry_Litterbag Placem_Collection'!A114</f>
        <v>112</v>
      </c>
      <c r="C113" s="263" t="str">
        <f>'Dry_Litterbag Placem_Collection'!B114</f>
        <v xml:space="preserve">Mwantimba
</v>
      </c>
      <c r="D113" s="263" t="s">
        <v>2460</v>
      </c>
      <c r="E113" s="263" t="s">
        <v>2660</v>
      </c>
      <c r="F113" s="263">
        <v>2</v>
      </c>
      <c r="G113" s="264" t="str">
        <f>'Dry_Litterbag Placem_Collection'!C114</f>
        <v>Wet_Ag2_T8</v>
      </c>
      <c r="H113" s="265" t="s">
        <v>2541</v>
      </c>
      <c r="I113" s="266" t="s">
        <v>1147</v>
      </c>
      <c r="J113" s="263" t="str">
        <f>IF(ISBLANK('Dry_Litterbag Placem_Collection'!J114),"","G"&amp;""&amp;'Dry_Litterbag Placem_Collection'!J114)</f>
        <v/>
      </c>
      <c r="K113" s="267" t="str">
        <f>IFERROR(INDEX('Green_rooibos initial weight'!$C$5:$C$1749,MATCH(J113, 'Green_rooibos initial weight'!$A$5:$A$1749,0)),"")</f>
        <v/>
      </c>
      <c r="L113" s="267" t="str">
        <f>IFERROR(K113-(TBIcalc!$Q$9+TBIcalc!$Q$10),"")</f>
        <v/>
      </c>
      <c r="M113" s="391">
        <f>AVERAGE(Ashed_controlls!$K$2:$K$11)</f>
        <v>5.5147656768714146</v>
      </c>
      <c r="N113" s="267" t="str">
        <f t="shared" si="6"/>
        <v/>
      </c>
      <c r="O113" s="267" t="str">
        <f>IF(IFERROR(INDEX('Both teabags AfterDry'!$D$3:$D$900,MATCH(J113,'Both teabags AfterDry'!$A$3:$A$900,0)),"")="","",(IFERROR(INDEX('Both teabags AfterDry'!$D$3:$D$900,MATCH(J113,'Both teabags AfterDry'!$A$3:$A$900,0)),"")))</f>
        <v/>
      </c>
      <c r="P113" s="267" t="str">
        <f>IFERROR(IF(O113&gt;0,O113-(TBIcalc!$Q$9),""),"")</f>
        <v/>
      </c>
      <c r="Q113" s="278" t="str">
        <f>IFERROR(INDEX('Ashed teabags dry'!$K$2:$K$825,MATCH(J113,'Ashed teabags dry'!$A$2:$A$825,0)),"")</f>
        <v/>
      </c>
      <c r="R113" s="278" t="str">
        <f t="shared" si="7"/>
        <v/>
      </c>
      <c r="S113" s="268">
        <f>'Dry_Litterbag Placem_Collection'!E114</f>
        <v>0</v>
      </c>
      <c r="T113" s="268" t="str">
        <f>IF('Dry_Litterbag Placem_Collection'!G114="","",'Dry_Litterbag Placem_Collection'!G114)</f>
        <v/>
      </c>
      <c r="U113" s="269" t="str">
        <f t="shared" si="5"/>
        <v/>
      </c>
      <c r="V113" s="267" t="str">
        <f t="shared" si="8"/>
        <v/>
      </c>
      <c r="W113" s="267" t="str">
        <f t="shared" si="9"/>
        <v/>
      </c>
      <c r="X113" s="271" t="str">
        <f>IFERROR(INDEX(Rainfall_Dry!$O$2:$O$217,MATCH(B113, Rainfall_Dry!$A$2:$A$217,0)),"")</f>
        <v/>
      </c>
      <c r="Y113" s="260">
        <v>34.344660194174757</v>
      </c>
      <c r="Z113" s="260">
        <v>19.22727272727273</v>
      </c>
      <c r="AA113" s="260">
        <v>46.428067078552509</v>
      </c>
      <c r="AB113" s="261" t="s">
        <v>2670</v>
      </c>
      <c r="AC113" s="260">
        <v>8.7452932479053693</v>
      </c>
      <c r="AD113">
        <f>IF('WetLitterbags placem_collection'!AB114="","",'WetLitterbags placem_collection'!AB114)</f>
        <v>11.5</v>
      </c>
      <c r="AE113">
        <f>IF('WetLitterbags placem_collection'!Z114="","",'WetLitterbags placem_collection'!Z114)</f>
        <v>15</v>
      </c>
      <c r="AF113" s="24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71" t="str">
        <f>IFERROR(AVERAGE('Dry_Litterbag Placem_Collection'!N114,'Dry_Litterbag Placem_Collection'!Q114),"")</f>
        <v/>
      </c>
      <c r="AJ113" s="270">
        <f>INDEX(Coordinates!$B$2:$B$197,MATCH(G113,Coordinates!$J$2:$J$197,0))</f>
        <v>-2.36967098</v>
      </c>
      <c r="AK113" s="270">
        <f>INDEX(Coordinates!$C$2:$C$197,MATCH(G113,Coordinates!$J$2:$J$197,0))</f>
        <v>34.059735959999998</v>
      </c>
      <c r="AL113" s="270" t="str">
        <f>IF(ISNUMBER(SEARCH("C", 'Dry_Litterbag Placem_Collection'!S114)),"YES","NO")</f>
        <v>NO</v>
      </c>
      <c r="AM113" s="270" t="str">
        <f>IF(ISNUMBER(SEARCH("H", 'Dry_Litterbag Placem_Collection'!S114)),"YES","NO")</f>
        <v>NO</v>
      </c>
      <c r="AN113" s="270" t="str">
        <f>IF(ISNUMBER(SEARCH("R", 'Dry_Litterbag Placem_Collection'!S114)),"YES","NO")</f>
        <v>NO</v>
      </c>
    </row>
    <row r="114" spans="1:40" ht="15" customHeight="1">
      <c r="A114" s="262" t="s">
        <v>2659</v>
      </c>
      <c r="B114" s="263">
        <f>'Dry_Litterbag Placem_Collection'!A115</f>
        <v>113</v>
      </c>
      <c r="C114" s="263" t="str">
        <f>'Dry_Litterbag Placem_Collection'!B115</f>
        <v xml:space="preserve">Mwantimba
</v>
      </c>
      <c r="D114" s="263" t="s">
        <v>2460</v>
      </c>
      <c r="E114" s="263" t="s">
        <v>2660</v>
      </c>
      <c r="F114" s="263">
        <v>3</v>
      </c>
      <c r="G114" s="264" t="str">
        <f>'Dry_Litterbag Placem_Collection'!C115</f>
        <v>Wet_Ag3_T1</v>
      </c>
      <c r="H114" s="265" t="s">
        <v>2541</v>
      </c>
      <c r="I114" s="266" t="s">
        <v>1147</v>
      </c>
      <c r="J114" s="263" t="str">
        <f>IF(ISBLANK('Dry_Litterbag Placem_Collection'!J115),"","G"&amp;""&amp;'Dry_Litterbag Placem_Collection'!J115)</f>
        <v>G314</v>
      </c>
      <c r="K114" s="267">
        <f>IFERROR(INDEX('Green_rooibos initial weight'!$C$5:$C$1749,MATCH(J114, 'Green_rooibos initial weight'!$A$5:$A$1749,0)),"")</f>
        <v>2.0430000000000001</v>
      </c>
      <c r="L114" s="267">
        <f>IFERROR(K114-(TBIcalc!$Q$9+TBIcalc!$Q$10),"")</f>
        <v>1.7932000000000001</v>
      </c>
      <c r="M114" s="391">
        <f>AVERAGE(Ashed_controlls!$K$2:$K$11)</f>
        <v>5.5147656768714146</v>
      </c>
      <c r="N114" s="267">
        <f t="shared" si="6"/>
        <v>1.6943092218823419</v>
      </c>
      <c r="O114" s="267">
        <f>IF(IFERROR(INDEX('Both teabags AfterDry'!$D$3:$D$900,MATCH(J114,'Both teabags AfterDry'!$A$3:$A$900,0)),"")="","",(IFERROR(INDEX('Both teabags AfterDry'!$D$3:$D$900,MATCH(J114,'Both teabags AfterDry'!$A$3:$A$900,0)),"")))</f>
        <v>0.78080000000000005</v>
      </c>
      <c r="P114" s="267">
        <f>IFERROR(IF(O114&gt;0,O114-(TBIcalc!$Q$9),""),"")</f>
        <v>0.63020000000000009</v>
      </c>
      <c r="Q114" s="278">
        <f>IFERROR(INDEX('Ashed teabags dry'!$K$2:$K$825,MATCH(J114,'Ashed teabags dry'!$A$2:$A$825,0)),"")</f>
        <v>21.798134011874424</v>
      </c>
      <c r="R114" s="278">
        <f t="shared" si="7"/>
        <v>0.49282815945716746</v>
      </c>
      <c r="S114" s="268">
        <f>'Dry_Litterbag Placem_Collection'!E115</f>
        <v>42939</v>
      </c>
      <c r="T114" s="268">
        <f>IF('Dry_Litterbag Placem_Collection'!G115="","",'Dry_Litterbag Placem_Collection'!G115)</f>
        <v>43008</v>
      </c>
      <c r="U114" s="269">
        <f t="shared" si="5"/>
        <v>69</v>
      </c>
      <c r="V114" s="267">
        <f t="shared" si="8"/>
        <v>1.163</v>
      </c>
      <c r="W114" s="267">
        <f t="shared" si="9"/>
        <v>1.2014810624251744</v>
      </c>
      <c r="X114" s="271">
        <f>IFERROR(INDEX(Rainfall_Dry!$O$2:$O$217,MATCH(B114, Rainfall_Dry!$A$2:$A$217,0)),"")</f>
        <v>136.27214243</v>
      </c>
      <c r="Y114" s="260">
        <v>27.96</v>
      </c>
      <c r="Z114" s="260">
        <v>4.9200000000000017</v>
      </c>
      <c r="AA114" s="260">
        <v>67.12</v>
      </c>
      <c r="AB114" s="261" t="s">
        <v>2670</v>
      </c>
      <c r="AC114" s="260">
        <v>0.88610152784622953</v>
      </c>
      <c r="AD114">
        <f>IF('WetLitterbags placem_collection'!AB115="","",'WetLitterbags placem_collection'!AB115)</f>
        <v>26</v>
      </c>
      <c r="AE114">
        <f>IF('WetLitterbags placem_collection'!Z115="","",'WetLitterbags placem_collection'!Z115)</f>
        <v>88.5</v>
      </c>
      <c r="AF114" s="24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71">
        <f>IFERROR(AVERAGE('Dry_Litterbag Placem_Collection'!N115,'Dry_Litterbag Placem_Collection'!Q115),"")</f>
        <v>28.9</v>
      </c>
      <c r="AJ114" s="270">
        <f>INDEX(Coordinates!$B$2:$B$197,MATCH(G114,Coordinates!$J$2:$J$197,0))</f>
        <v>-2.3487199940000001</v>
      </c>
      <c r="AK114" s="270">
        <f>INDEX(Coordinates!$C$2:$C$197,MATCH(G114,Coordinates!$J$2:$J$197,0))</f>
        <v>34.051391029999998</v>
      </c>
      <c r="AL114" s="270" t="str">
        <f>IF(ISNUMBER(SEARCH("C", 'Dry_Litterbag Placem_Collection'!S115)),"YES","NO")</f>
        <v>NO</v>
      </c>
      <c r="AM114" s="270" t="str">
        <f>IF(ISNUMBER(SEARCH("H", 'Dry_Litterbag Placem_Collection'!S115)),"YES","NO")</f>
        <v>NO</v>
      </c>
      <c r="AN114" s="270" t="str">
        <f>IF(ISNUMBER(SEARCH("R", 'Dry_Litterbag Placem_Collection'!S115)),"YES","NO")</f>
        <v>YES</v>
      </c>
    </row>
    <row r="115" spans="1:40" ht="15" customHeight="1">
      <c r="A115" s="262" t="s">
        <v>2659</v>
      </c>
      <c r="B115" s="263">
        <f>'Dry_Litterbag Placem_Collection'!A116</f>
        <v>114</v>
      </c>
      <c r="C115" s="263" t="str">
        <f>'Dry_Litterbag Placem_Collection'!B116</f>
        <v xml:space="preserve">Mwantimba
</v>
      </c>
      <c r="D115" s="263" t="s">
        <v>2460</v>
      </c>
      <c r="E115" s="263" t="s">
        <v>2660</v>
      </c>
      <c r="F115" s="263">
        <v>3</v>
      </c>
      <c r="G115" s="264" t="str">
        <f>'Dry_Litterbag Placem_Collection'!C116</f>
        <v>Wet_Ag3_T2</v>
      </c>
      <c r="H115" s="265" t="s">
        <v>2541</v>
      </c>
      <c r="I115" s="266" t="s">
        <v>1147</v>
      </c>
      <c r="J115" s="263" t="str">
        <f>IF(ISBLANK('Dry_Litterbag Placem_Collection'!J116),"","G"&amp;""&amp;'Dry_Litterbag Placem_Collection'!J116)</f>
        <v>G263</v>
      </c>
      <c r="K115" s="267">
        <f>IFERROR(INDEX('Green_rooibos initial weight'!$C$5:$C$1749,MATCH(J115, 'Green_rooibos initial weight'!$A$5:$A$1749,0)),"")</f>
        <v>2.0960000000000001</v>
      </c>
      <c r="L115" s="267">
        <f>IFERROR(K115-(TBIcalc!$Q$9+TBIcalc!$Q$10),"")</f>
        <v>1.8462000000000001</v>
      </c>
      <c r="M115" s="391">
        <f>AVERAGE(Ashed_controlls!$K$2:$K$11)</f>
        <v>5.5147656768714146</v>
      </c>
      <c r="N115" s="267">
        <f t="shared" si="6"/>
        <v>1.7443863960735999</v>
      </c>
      <c r="O115" s="267">
        <f>IF(IFERROR(INDEX('Both teabags AfterDry'!$D$3:$D$900,MATCH(J115,'Both teabags AfterDry'!$A$3:$A$900,0)),"")="","",(IFERROR(INDEX('Both teabags AfterDry'!$D$3:$D$900,MATCH(J115,'Both teabags AfterDry'!$A$3:$A$900,0)),"")))</f>
        <v>0.83330000000000004</v>
      </c>
      <c r="P115" s="267">
        <f>IFERROR(IF(O115&gt;0,O115-(TBIcalc!$Q$9),""),"")</f>
        <v>0.68270000000000008</v>
      </c>
      <c r="Q115" s="278">
        <f>IFERROR(INDEX('Ashed teabags dry'!$K$2:$K$825,MATCH(J115,'Ashed teabags dry'!$A$2:$A$825,0)),"")</f>
        <v>29.125376992675438</v>
      </c>
      <c r="R115" s="278">
        <f t="shared" si="7"/>
        <v>0.48386105127100487</v>
      </c>
      <c r="S115" s="268">
        <f>'Dry_Litterbag Placem_Collection'!E116</f>
        <v>42939</v>
      </c>
      <c r="T115" s="268">
        <f>IF('Dry_Litterbag Placem_Collection'!G116="","",'Dry_Litterbag Placem_Collection'!G116)</f>
        <v>43008</v>
      </c>
      <c r="U115" s="269">
        <f t="shared" si="5"/>
        <v>69</v>
      </c>
      <c r="V115" s="267">
        <f t="shared" si="8"/>
        <v>1.1635</v>
      </c>
      <c r="W115" s="267">
        <f t="shared" si="9"/>
        <v>1.260525344802595</v>
      </c>
      <c r="X115" s="271">
        <f>IFERROR(INDEX(Rainfall_Dry!$O$2:$O$217,MATCH(B115, Rainfall_Dry!$A$2:$A$217,0)),"")</f>
        <v>136.27214243</v>
      </c>
      <c r="Y115" s="260">
        <v>27.96</v>
      </c>
      <c r="Z115" s="260">
        <v>4.9200000000000017</v>
      </c>
      <c r="AA115" s="260">
        <v>67.12</v>
      </c>
      <c r="AB115" s="261" t="s">
        <v>2670</v>
      </c>
      <c r="AC115" s="260">
        <v>1.8861015278462301</v>
      </c>
      <c r="AD115">
        <f>IF('WetLitterbags placem_collection'!AB116="","",'WetLitterbags placem_collection'!AB116)</f>
        <v>16.5</v>
      </c>
      <c r="AE115">
        <f>IF('WetLitterbags placem_collection'!Z116="","",'WetLitterbags placem_collection'!Z116)</f>
        <v>87.5</v>
      </c>
      <c r="AF115" s="24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71">
        <f>IFERROR(AVERAGE('Dry_Litterbag Placem_Collection'!N116,'Dry_Litterbag Placem_Collection'!Q116),"")</f>
        <v>28.1</v>
      </c>
      <c r="AJ115" s="270">
        <f>INDEX(Coordinates!$B$2:$B$197,MATCH(G115,Coordinates!$J$2:$J$197,0))</f>
        <v>-2.348716976</v>
      </c>
      <c r="AK115" s="270">
        <f>INDEX(Coordinates!$C$2:$C$197,MATCH(G115,Coordinates!$J$2:$J$197,0))</f>
        <v>34.051484989999999</v>
      </c>
      <c r="AL115" s="270" t="str">
        <f>IF(ISNUMBER(SEARCH("C", 'Dry_Litterbag Placem_Collection'!S116)),"YES","NO")</f>
        <v>NO</v>
      </c>
      <c r="AM115" s="270" t="str">
        <f>IF(ISNUMBER(SEARCH("H", 'Dry_Litterbag Placem_Collection'!S116)),"YES","NO")</f>
        <v>NO</v>
      </c>
      <c r="AN115" s="270" t="str">
        <f>IF(ISNUMBER(SEARCH("R", 'Dry_Litterbag Placem_Collection'!S116)),"YES","NO")</f>
        <v>NO</v>
      </c>
    </row>
    <row r="116" spans="1:40" ht="15" customHeight="1">
      <c r="A116" s="262" t="s">
        <v>2659</v>
      </c>
      <c r="B116" s="263">
        <f>'Dry_Litterbag Placem_Collection'!A117</f>
        <v>115</v>
      </c>
      <c r="C116" s="263" t="str">
        <f>'Dry_Litterbag Placem_Collection'!B117</f>
        <v xml:space="preserve">Mwantimba
</v>
      </c>
      <c r="D116" s="263" t="s">
        <v>2460</v>
      </c>
      <c r="E116" s="263" t="s">
        <v>2660</v>
      </c>
      <c r="F116" s="263">
        <v>3</v>
      </c>
      <c r="G116" s="264" t="str">
        <f>'Dry_Litterbag Placem_Collection'!C117</f>
        <v>Wet_Ag3_T3</v>
      </c>
      <c r="H116" s="265" t="s">
        <v>2541</v>
      </c>
      <c r="I116" s="266" t="s">
        <v>1147</v>
      </c>
      <c r="J116" s="263" t="str">
        <f>IF(ISBLANK('Dry_Litterbag Placem_Collection'!J117),"","G"&amp;""&amp;'Dry_Litterbag Placem_Collection'!J117)</f>
        <v>G125</v>
      </c>
      <c r="K116" s="267">
        <f>IFERROR(INDEX('Green_rooibos initial weight'!$C$5:$C$1749,MATCH(J116, 'Green_rooibos initial weight'!$A$5:$A$1749,0)),"")</f>
        <v>2.0979999999999999</v>
      </c>
      <c r="L116" s="267">
        <f>IFERROR(K116-(TBIcalc!$Q$9+TBIcalc!$Q$10),"")</f>
        <v>1.8481999999999998</v>
      </c>
      <c r="M116" s="391">
        <f>AVERAGE(Ashed_controlls!$K$2:$K$11)</f>
        <v>5.5147656768714146</v>
      </c>
      <c r="N116" s="267">
        <f t="shared" si="6"/>
        <v>1.7462761007600625</v>
      </c>
      <c r="O116" s="267">
        <f>IF(IFERROR(INDEX('Both teabags AfterDry'!$D$3:$D$900,MATCH(J116,'Both teabags AfterDry'!$A$3:$A$900,0)),"")="","",(IFERROR(INDEX('Both teabags AfterDry'!$D$3:$D$900,MATCH(J116,'Both teabags AfterDry'!$A$3:$A$900,0)),"")))</f>
        <v>0.78120000000000001</v>
      </c>
      <c r="P116" s="267">
        <f>IFERROR(IF(O116&gt;0,O116-(TBIcalc!$Q$9),""),"")</f>
        <v>0.63060000000000005</v>
      </c>
      <c r="Q116" s="278">
        <f>IFERROR(INDEX('Ashed teabags dry'!$K$2:$K$825,MATCH(J116,'Ashed teabags dry'!$A$2:$A$825,0)),"")</f>
        <v>18.503937007873372</v>
      </c>
      <c r="R116" s="278">
        <f t="shared" si="7"/>
        <v>0.51391417322835053</v>
      </c>
      <c r="S116" s="268">
        <f>'Dry_Litterbag Placem_Collection'!E117</f>
        <v>42939</v>
      </c>
      <c r="T116" s="268">
        <f>IF('Dry_Litterbag Placem_Collection'!G117="","",'Dry_Litterbag Placem_Collection'!G117)</f>
        <v>43008</v>
      </c>
      <c r="U116" s="269">
        <f t="shared" si="5"/>
        <v>69</v>
      </c>
      <c r="V116" s="267">
        <f t="shared" si="8"/>
        <v>1.2175999999999998</v>
      </c>
      <c r="W116" s="267">
        <f t="shared" si="9"/>
        <v>1.2323619275317119</v>
      </c>
      <c r="X116" s="271">
        <f>IFERROR(INDEX(Rainfall_Dry!$O$2:$O$217,MATCH(B116, Rainfall_Dry!$A$2:$A$217,0)),"")</f>
        <v>136.27214243</v>
      </c>
      <c r="Y116" s="260">
        <v>27.96</v>
      </c>
      <c r="Z116" s="260">
        <v>4.9200000000000017</v>
      </c>
      <c r="AA116" s="260">
        <v>67.12</v>
      </c>
      <c r="AB116" s="261" t="s">
        <v>2670</v>
      </c>
      <c r="AC116" s="260">
        <v>2.8861015278462299</v>
      </c>
      <c r="AD116">
        <f>IF('WetLitterbags placem_collection'!AB117="","",'WetLitterbags placem_collection'!AB117)</f>
        <v>19</v>
      </c>
      <c r="AE116">
        <f>IF('WetLitterbags placem_collection'!Z117="","",'WetLitterbags placem_collection'!Z117)</f>
        <v>79.5</v>
      </c>
      <c r="AF116" s="24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71">
        <f>IFERROR(AVERAGE('Dry_Litterbag Placem_Collection'!N117,'Dry_Litterbag Placem_Collection'!Q117),"")</f>
        <v>28.95</v>
      </c>
      <c r="AJ116" s="270">
        <f>INDEX(Coordinates!$B$2:$B$197,MATCH(G116,Coordinates!$J$2:$J$197,0))</f>
        <v>-2.3487800079999999</v>
      </c>
      <c r="AK116" s="270">
        <f>INDEX(Coordinates!$C$2:$C$197,MATCH(G116,Coordinates!$J$2:$J$197,0))</f>
        <v>34.051495969999998</v>
      </c>
      <c r="AL116" s="270" t="str">
        <f>IF(ISNUMBER(SEARCH("C", 'Dry_Litterbag Placem_Collection'!S117)),"YES","NO")</f>
        <v>NO</v>
      </c>
      <c r="AM116" s="270" t="str">
        <f>IF(ISNUMBER(SEARCH("H", 'Dry_Litterbag Placem_Collection'!S117)),"YES","NO")</f>
        <v>NO</v>
      </c>
      <c r="AN116" s="270" t="str">
        <f>IF(ISNUMBER(SEARCH("R", 'Dry_Litterbag Placem_Collection'!S117)),"YES","NO")</f>
        <v>YES</v>
      </c>
    </row>
    <row r="117" spans="1:40" ht="15" customHeight="1">
      <c r="A117" s="262" t="s">
        <v>2659</v>
      </c>
      <c r="B117" s="263">
        <f>'Dry_Litterbag Placem_Collection'!A118</f>
        <v>116</v>
      </c>
      <c r="C117" s="263" t="str">
        <f>'Dry_Litterbag Placem_Collection'!B118</f>
        <v xml:space="preserve">Mwantimba
</v>
      </c>
      <c r="D117" s="263" t="s">
        <v>2460</v>
      </c>
      <c r="E117" s="263" t="s">
        <v>2660</v>
      </c>
      <c r="F117" s="263">
        <v>3</v>
      </c>
      <c r="G117" s="264" t="str">
        <f>'Dry_Litterbag Placem_Collection'!C118</f>
        <v>Wet_Ag3_T4</v>
      </c>
      <c r="H117" s="265" t="s">
        <v>2541</v>
      </c>
      <c r="I117" s="266" t="s">
        <v>1147</v>
      </c>
      <c r="J117" s="263" t="str">
        <f>IF(ISBLANK('Dry_Litterbag Placem_Collection'!J118),"","G"&amp;""&amp;'Dry_Litterbag Placem_Collection'!J118)</f>
        <v>G189</v>
      </c>
      <c r="K117" s="267">
        <f>IFERROR(INDEX('Green_rooibos initial weight'!$C$5:$C$1749,MATCH(J117, 'Green_rooibos initial weight'!$A$5:$A$1749,0)),"")</f>
        <v>2.0059999999999998</v>
      </c>
      <c r="L117" s="267">
        <f>IFERROR(K117-(TBIcalc!$Q$9+TBIcalc!$Q$10),"")</f>
        <v>1.7561999999999998</v>
      </c>
      <c r="M117" s="391">
        <f>AVERAGE(Ashed_controlls!$K$2:$K$11)</f>
        <v>5.5147656768714146</v>
      </c>
      <c r="N117" s="267">
        <f t="shared" si="6"/>
        <v>1.659349685182784</v>
      </c>
      <c r="O117" s="267">
        <f>IF(IFERROR(INDEX('Both teabags AfterDry'!$D$3:$D$900,MATCH(J117,'Both teabags AfterDry'!$A$3:$A$900,0)),"")="","",(IFERROR(INDEX('Both teabags AfterDry'!$D$3:$D$900,MATCH(J117,'Both teabags AfterDry'!$A$3:$A$900,0)),"")))</f>
        <v>0.76890000000000003</v>
      </c>
      <c r="P117" s="267">
        <f>IFERROR(IF(O117&gt;0,O117-(TBIcalc!$Q$9),""),"")</f>
        <v>0.61830000000000007</v>
      </c>
      <c r="Q117" s="278">
        <f>IFERROR(INDEX('Ashed teabags dry'!$K$2:$K$825,MATCH(J117,'Ashed teabags dry'!$A$2:$A$825,0)),"")</f>
        <v>20.116618075801487</v>
      </c>
      <c r="R117" s="278">
        <f t="shared" si="7"/>
        <v>0.49391895043731948</v>
      </c>
      <c r="S117" s="268">
        <f>'Dry_Litterbag Placem_Collection'!E118</f>
        <v>42939</v>
      </c>
      <c r="T117" s="268">
        <f>IF('Dry_Litterbag Placem_Collection'!G118="","",'Dry_Litterbag Placem_Collection'!G118)</f>
        <v>43008</v>
      </c>
      <c r="U117" s="269">
        <f t="shared" si="5"/>
        <v>69</v>
      </c>
      <c r="V117" s="267">
        <f t="shared" si="8"/>
        <v>1.1378999999999997</v>
      </c>
      <c r="W117" s="267">
        <f t="shared" si="9"/>
        <v>1.1654307347454647</v>
      </c>
      <c r="X117" s="271">
        <f>IFERROR(INDEX(Rainfall_Dry!$O$2:$O$217,MATCH(B117, Rainfall_Dry!$A$2:$A$217,0)),"")</f>
        <v>136.27214243</v>
      </c>
      <c r="Y117" s="260">
        <v>27.96</v>
      </c>
      <c r="Z117" s="260">
        <v>4.9200000000000017</v>
      </c>
      <c r="AA117" s="260">
        <v>67.12</v>
      </c>
      <c r="AB117" s="261" t="s">
        <v>2670</v>
      </c>
      <c r="AC117" s="260">
        <v>3.8861015278462299</v>
      </c>
      <c r="AD117">
        <f>IF('WetLitterbags placem_collection'!AB118="","",'WetLitterbags placem_collection'!AB118)</f>
        <v>22.5</v>
      </c>
      <c r="AE117">
        <f>IF('WetLitterbags placem_collection'!Z118="","",'WetLitterbags placem_collection'!Z118)</f>
        <v>76</v>
      </c>
      <c r="AF117" s="24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71">
        <f>IFERROR(AVERAGE('Dry_Litterbag Placem_Collection'!N118,'Dry_Litterbag Placem_Collection'!Q118),"")</f>
        <v>29.799999999999997</v>
      </c>
      <c r="AJ117" s="270">
        <f>INDEX(Coordinates!$B$2:$B$197,MATCH(G117,Coordinates!$J$2:$J$197,0))</f>
        <v>-2.3488120270000001</v>
      </c>
      <c r="AK117" s="270">
        <f>INDEX(Coordinates!$C$2:$C$197,MATCH(G117,Coordinates!$J$2:$J$197,0))</f>
        <v>34.05146697</v>
      </c>
      <c r="AL117" s="270" t="str">
        <f>IF(ISNUMBER(SEARCH("C", 'Dry_Litterbag Placem_Collection'!S118)),"YES","NO")</f>
        <v>NO</v>
      </c>
      <c r="AM117" s="270" t="str">
        <f>IF(ISNUMBER(SEARCH("H", 'Dry_Litterbag Placem_Collection'!S118)),"YES","NO")</f>
        <v>NO</v>
      </c>
      <c r="AN117" s="270" t="str">
        <f>IF(ISNUMBER(SEARCH("R", 'Dry_Litterbag Placem_Collection'!S118)),"YES","NO")</f>
        <v>YES</v>
      </c>
    </row>
    <row r="118" spans="1:40" ht="15" customHeight="1">
      <c r="A118" s="262" t="s">
        <v>2659</v>
      </c>
      <c r="B118" s="263">
        <f>'Dry_Litterbag Placem_Collection'!A119</f>
        <v>117</v>
      </c>
      <c r="C118" s="263" t="str">
        <f>'Dry_Litterbag Placem_Collection'!B119</f>
        <v xml:space="preserve">Mwantimba
</v>
      </c>
      <c r="D118" s="263" t="s">
        <v>2460</v>
      </c>
      <c r="E118" s="263" t="s">
        <v>2660</v>
      </c>
      <c r="F118" s="263">
        <v>3</v>
      </c>
      <c r="G118" s="264" t="str">
        <f>'Dry_Litterbag Placem_Collection'!C119</f>
        <v>Wet_Ag3_T5</v>
      </c>
      <c r="H118" s="265" t="s">
        <v>2541</v>
      </c>
      <c r="I118" s="266" t="s">
        <v>1147</v>
      </c>
      <c r="J118" s="263" t="str">
        <f>IF(ISBLANK('Dry_Litterbag Placem_Collection'!J119),"","G"&amp;""&amp;'Dry_Litterbag Placem_Collection'!J119)</f>
        <v>G533</v>
      </c>
      <c r="K118" s="267">
        <f>IFERROR(INDEX('Green_rooibos initial weight'!$C$5:$C$1749,MATCH(J118, 'Green_rooibos initial weight'!$A$5:$A$1749,0)),"")</f>
        <v>2.1070000000000002</v>
      </c>
      <c r="L118" s="267">
        <f>IFERROR(K118-(TBIcalc!$Q$9+TBIcalc!$Q$10),"")</f>
        <v>1.8572000000000002</v>
      </c>
      <c r="M118" s="391">
        <f>AVERAGE(Ashed_controlls!$K$2:$K$11)</f>
        <v>5.5147656768714146</v>
      </c>
      <c r="N118" s="267">
        <f t="shared" si="6"/>
        <v>1.7547797718491442</v>
      </c>
      <c r="O118" s="267" t="str">
        <f>IF(IFERROR(INDEX('Both teabags AfterDry'!$D$3:$D$900,MATCH(J118,'Both teabags AfterDry'!$A$3:$A$900,0)),"")="","",(IFERROR(INDEX('Both teabags AfterDry'!$D$3:$D$900,MATCH(J118,'Both teabags AfterDry'!$A$3:$A$900,0)),"")))</f>
        <v/>
      </c>
      <c r="P118" s="267" t="str">
        <f>IFERROR(IF(O118&gt;0,O118-(TBIcalc!$Q$9),""),"")</f>
        <v/>
      </c>
      <c r="Q118" s="278" t="str">
        <f>IFERROR(INDEX('Ashed teabags dry'!$K$2:$K$825,MATCH(J118,'Ashed teabags dry'!$A$2:$A$825,0)),"")</f>
        <v/>
      </c>
      <c r="R118" s="278" t="str">
        <f t="shared" si="7"/>
        <v/>
      </c>
      <c r="S118" s="268">
        <f>'Dry_Litterbag Placem_Collection'!E119</f>
        <v>42939</v>
      </c>
      <c r="T118" s="268">
        <f>IF('Dry_Litterbag Placem_Collection'!G119="","",'Dry_Litterbag Placem_Collection'!G119)</f>
        <v>43008</v>
      </c>
      <c r="U118" s="269">
        <f t="shared" si="5"/>
        <v>69</v>
      </c>
      <c r="V118" s="267" t="str">
        <f t="shared" si="8"/>
        <v/>
      </c>
      <c r="W118" s="267" t="str">
        <f t="shared" si="9"/>
        <v/>
      </c>
      <c r="X118" s="271">
        <f>IFERROR(INDEX(Rainfall_Dry!$O$2:$O$217,MATCH(B118, Rainfall_Dry!$A$2:$A$217,0)),"")</f>
        <v>136.27214243</v>
      </c>
      <c r="Y118" s="260">
        <v>27.96</v>
      </c>
      <c r="Z118" s="260">
        <v>4.9200000000000017</v>
      </c>
      <c r="AA118" s="260">
        <v>67.12</v>
      </c>
      <c r="AB118" s="261" t="s">
        <v>2670</v>
      </c>
      <c r="AC118" s="260">
        <v>4.8861015278462299</v>
      </c>
      <c r="AD118">
        <f>IF('WetLitterbags placem_collection'!AB119="","",'WetLitterbags placem_collection'!AB119)</f>
        <v>23.5</v>
      </c>
      <c r="AE118">
        <f>IF('WetLitterbags placem_collection'!Z119="","",'WetLitterbags placem_collection'!Z119)</f>
        <v>76</v>
      </c>
      <c r="AF118" s="24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71">
        <f>IFERROR(AVERAGE('Dry_Litterbag Placem_Collection'!N119,'Dry_Litterbag Placem_Collection'!Q119),"")</f>
        <v>29.05</v>
      </c>
      <c r="AJ118" s="270">
        <f>INDEX(Coordinates!$B$2:$B$197,MATCH(G118,Coordinates!$J$2:$J$197,0))</f>
        <v>-2.348814961</v>
      </c>
      <c r="AK118" s="270">
        <f>INDEX(Coordinates!$C$2:$C$197,MATCH(G118,Coordinates!$J$2:$J$197,0))</f>
        <v>34.051439979999998</v>
      </c>
      <c r="AL118" s="270" t="str">
        <f>IF(ISNUMBER(SEARCH("C", 'Dry_Litterbag Placem_Collection'!S119)),"YES","NO")</f>
        <v>NO</v>
      </c>
      <c r="AM118" s="270" t="str">
        <f>IF(ISNUMBER(SEARCH("H", 'Dry_Litterbag Placem_Collection'!S119)),"YES","NO")</f>
        <v>NO</v>
      </c>
      <c r="AN118" s="270" t="str">
        <f>IF(ISNUMBER(SEARCH("R", 'Dry_Litterbag Placem_Collection'!S119)),"YES","NO")</f>
        <v>YES</v>
      </c>
    </row>
    <row r="119" spans="1:40" ht="15" customHeight="1">
      <c r="A119" s="262" t="s">
        <v>2659</v>
      </c>
      <c r="B119" s="263">
        <f>'Dry_Litterbag Placem_Collection'!A120</f>
        <v>118</v>
      </c>
      <c r="C119" s="263" t="str">
        <f>'Dry_Litterbag Placem_Collection'!B120</f>
        <v xml:space="preserve">Mwantimba
</v>
      </c>
      <c r="D119" s="263" t="s">
        <v>2460</v>
      </c>
      <c r="E119" s="263" t="s">
        <v>2660</v>
      </c>
      <c r="F119" s="263">
        <v>3</v>
      </c>
      <c r="G119" s="264" t="str">
        <f>'Dry_Litterbag Placem_Collection'!C120</f>
        <v>Wet_Ag3_T6</v>
      </c>
      <c r="H119" s="265" t="s">
        <v>2541</v>
      </c>
      <c r="I119" s="266" t="s">
        <v>1147</v>
      </c>
      <c r="J119" s="263" t="str">
        <f>IF(ISBLANK('Dry_Litterbag Placem_Collection'!J120),"","G"&amp;""&amp;'Dry_Litterbag Placem_Collection'!J120)</f>
        <v>G200</v>
      </c>
      <c r="K119" s="267">
        <f>IFERROR(INDEX('Green_rooibos initial weight'!$C$5:$C$1749,MATCH(J119, 'Green_rooibos initial weight'!$A$5:$A$1749,0)),"")</f>
        <v>2.0150000000000001</v>
      </c>
      <c r="L119" s="267">
        <f>IFERROR(K119-(TBIcalc!$Q$9+TBIcalc!$Q$10),"")</f>
        <v>1.7652000000000001</v>
      </c>
      <c r="M119" s="391">
        <f>AVERAGE(Ashed_controlls!$K$2:$K$11)</f>
        <v>5.5147656768714146</v>
      </c>
      <c r="N119" s="267">
        <f t="shared" si="6"/>
        <v>1.6678533562718658</v>
      </c>
      <c r="O119" s="267">
        <f>IF(IFERROR(INDEX('Both teabags AfterDry'!$D$3:$D$900,MATCH(J119,'Both teabags AfterDry'!$A$3:$A$900,0)),"")="","",(IFERROR(INDEX('Both teabags AfterDry'!$D$3:$D$900,MATCH(J119,'Both teabags AfterDry'!$A$3:$A$900,0)),"")))</f>
        <v>0.71760000000000002</v>
      </c>
      <c r="P119" s="267">
        <f>IFERROR(IF(O119&gt;0,O119-(TBIcalc!$Q$9),""),"")</f>
        <v>0.56699999999999995</v>
      </c>
      <c r="Q119" s="278">
        <f>IFERROR(INDEX('Ashed teabags dry'!$K$2:$K$825,MATCH(J119,'Ashed teabags dry'!$A$2:$A$825,0)),"")</f>
        <v>18.547215496368619</v>
      </c>
      <c r="R119" s="278">
        <f t="shared" si="7"/>
        <v>0.46183728813558989</v>
      </c>
      <c r="S119" s="268">
        <f>'Dry_Litterbag Placem_Collection'!E120</f>
        <v>42939</v>
      </c>
      <c r="T119" s="268">
        <f>IF('Dry_Litterbag Placem_Collection'!G120="","",'Dry_Litterbag Placem_Collection'!G120)</f>
        <v>43008</v>
      </c>
      <c r="U119" s="269">
        <f t="shared" si="5"/>
        <v>69</v>
      </c>
      <c r="V119" s="267">
        <f t="shared" si="8"/>
        <v>1.1982000000000002</v>
      </c>
      <c r="W119" s="267">
        <f t="shared" si="9"/>
        <v>1.2060160681362759</v>
      </c>
      <c r="X119" s="271">
        <f>IFERROR(INDEX(Rainfall_Dry!$O$2:$O$217,MATCH(B119, Rainfall_Dry!$A$2:$A$217,0)),"")</f>
        <v>136.27214243</v>
      </c>
      <c r="Y119" s="260">
        <v>27.96</v>
      </c>
      <c r="Z119" s="260">
        <v>4.9200000000000017</v>
      </c>
      <c r="AA119" s="260">
        <v>67.12</v>
      </c>
      <c r="AB119" s="261" t="s">
        <v>2670</v>
      </c>
      <c r="AC119" s="260">
        <v>5.8861015278462299</v>
      </c>
      <c r="AD119">
        <f>IF('WetLitterbags placem_collection'!AB120="","",'WetLitterbags placem_collection'!AB120)</f>
        <v>17.5</v>
      </c>
      <c r="AE119">
        <f>IF('WetLitterbags placem_collection'!Z120="","",'WetLitterbags placem_collection'!Z120)</f>
        <v>70.5</v>
      </c>
      <c r="AF119" s="24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71">
        <f>IFERROR(AVERAGE('Dry_Litterbag Placem_Collection'!N120,'Dry_Litterbag Placem_Collection'!Q120),"")</f>
        <v>28.25</v>
      </c>
      <c r="AJ119" s="270">
        <f>INDEX(Coordinates!$B$2:$B$197,MATCH(G119,Coordinates!$J$2:$J$197,0))</f>
        <v>-2.3488729629999998</v>
      </c>
      <c r="AK119" s="270">
        <f>INDEX(Coordinates!$C$2:$C$197,MATCH(G119,Coordinates!$J$2:$J$197,0))</f>
        <v>34.051454980000003</v>
      </c>
      <c r="AL119" s="270" t="str">
        <f>IF(ISNUMBER(SEARCH("C", 'Dry_Litterbag Placem_Collection'!S120)),"YES","NO")</f>
        <v>NO</v>
      </c>
      <c r="AM119" s="270" t="str">
        <f>IF(ISNUMBER(SEARCH("H", 'Dry_Litterbag Placem_Collection'!S120)),"YES","NO")</f>
        <v>YES</v>
      </c>
      <c r="AN119" s="270" t="str">
        <f>IF(ISNUMBER(SEARCH("R", 'Dry_Litterbag Placem_Collection'!S120)),"YES","NO")</f>
        <v>YES</v>
      </c>
    </row>
    <row r="120" spans="1:40" ht="15" customHeight="1">
      <c r="A120" s="262" t="s">
        <v>2659</v>
      </c>
      <c r="B120" s="263">
        <f>'Dry_Litterbag Placem_Collection'!A121</f>
        <v>119</v>
      </c>
      <c r="C120" s="263" t="str">
        <f>'Dry_Litterbag Placem_Collection'!B121</f>
        <v xml:space="preserve">Mwantimba
</v>
      </c>
      <c r="D120" s="263" t="s">
        <v>2460</v>
      </c>
      <c r="E120" s="263" t="s">
        <v>2660</v>
      </c>
      <c r="F120" s="263">
        <v>3</v>
      </c>
      <c r="G120" s="264" t="str">
        <f>'Dry_Litterbag Placem_Collection'!C121</f>
        <v>Wet_Ag3_T7</v>
      </c>
      <c r="H120" s="265" t="s">
        <v>2541</v>
      </c>
      <c r="I120" s="266" t="s">
        <v>1147</v>
      </c>
      <c r="J120" s="263" t="str">
        <f>IF(ISBLANK('Dry_Litterbag Placem_Collection'!J121),"","G"&amp;""&amp;'Dry_Litterbag Placem_Collection'!J121)</f>
        <v>G236</v>
      </c>
      <c r="K120" s="267">
        <f>IFERROR(INDEX('Green_rooibos initial weight'!$C$5:$C$1749,MATCH(J120, 'Green_rooibos initial weight'!$A$5:$A$1749,0)),"")</f>
        <v>2.0529999999999999</v>
      </c>
      <c r="L120" s="267">
        <f>IFERROR(K120-(TBIcalc!$Q$9+TBIcalc!$Q$10),"")</f>
        <v>1.8031999999999999</v>
      </c>
      <c r="M120" s="391">
        <f>AVERAGE(Ashed_controlls!$K$2:$K$11)</f>
        <v>5.5147656768714146</v>
      </c>
      <c r="N120" s="267">
        <f t="shared" si="6"/>
        <v>1.7037577453146546</v>
      </c>
      <c r="O120" s="267">
        <f>IF(IFERROR(INDEX('Both teabags AfterDry'!$D$3:$D$900,MATCH(J120,'Both teabags AfterDry'!$A$3:$A$900,0)),"")="","",(IFERROR(INDEX('Both teabags AfterDry'!$D$3:$D$900,MATCH(J120,'Both teabags AfterDry'!$A$3:$A$900,0)),"")))</f>
        <v>0.81489999999999996</v>
      </c>
      <c r="P120" s="267">
        <f>IFERROR(IF(O120&gt;0,O120-(TBIcalc!$Q$9),""),"")</f>
        <v>0.66429999999999989</v>
      </c>
      <c r="Q120" s="278">
        <f>IFERROR(INDEX('Ashed teabags dry'!$K$2:$K$825,MATCH(J120,'Ashed teabags dry'!$A$2:$A$825,0)),"")</f>
        <v>19.0062711046786</v>
      </c>
      <c r="R120" s="278">
        <f t="shared" si="7"/>
        <v>0.53804134105162005</v>
      </c>
      <c r="S120" s="268">
        <f>'Dry_Litterbag Placem_Collection'!E121</f>
        <v>42939</v>
      </c>
      <c r="T120" s="268">
        <f>IF('Dry_Litterbag Placem_Collection'!G121="","",'Dry_Litterbag Placem_Collection'!G121)</f>
        <v>43008</v>
      </c>
      <c r="U120" s="269">
        <f t="shared" si="5"/>
        <v>69</v>
      </c>
      <c r="V120" s="267">
        <f t="shared" si="8"/>
        <v>1.1389</v>
      </c>
      <c r="W120" s="267">
        <f t="shared" si="9"/>
        <v>1.1657164042630346</v>
      </c>
      <c r="X120" s="271">
        <f>IFERROR(INDEX(Rainfall_Dry!$O$2:$O$217,MATCH(B120, Rainfall_Dry!$A$2:$A$217,0)),"")</f>
        <v>136.27214243</v>
      </c>
      <c r="Y120" s="260">
        <v>27.96</v>
      </c>
      <c r="Z120" s="260">
        <v>4.9200000000000017</v>
      </c>
      <c r="AA120" s="260">
        <v>67.12</v>
      </c>
      <c r="AB120" s="261" t="s">
        <v>2670</v>
      </c>
      <c r="AC120" s="260">
        <v>6.8861015278462299</v>
      </c>
      <c r="AD120">
        <f>IF('WetLitterbags placem_collection'!AB121="","",'WetLitterbags placem_collection'!AB121)</f>
        <v>18.5</v>
      </c>
      <c r="AE120">
        <f>IF('WetLitterbags placem_collection'!Z121="","",'WetLitterbags placem_collection'!Z121)</f>
        <v>74.5</v>
      </c>
      <c r="AF120" s="24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71">
        <f>IFERROR(AVERAGE('Dry_Litterbag Placem_Collection'!N121,'Dry_Litterbag Placem_Collection'!Q121),"")</f>
        <v>27.95</v>
      </c>
      <c r="AJ120" s="270">
        <f>INDEX(Coordinates!$B$2:$B$197,MATCH(G120,Coordinates!$J$2:$J$197,0))</f>
        <v>-2.3488589659999999</v>
      </c>
      <c r="AK120" s="270">
        <f>INDEX(Coordinates!$C$2:$C$197,MATCH(G120,Coordinates!$J$2:$J$197,0))</f>
        <v>34.051389010000001</v>
      </c>
      <c r="AL120" s="270" t="str">
        <f>IF(ISNUMBER(SEARCH("C", 'Dry_Litterbag Placem_Collection'!S121)),"YES","NO")</f>
        <v>NO</v>
      </c>
      <c r="AM120" s="270" t="str">
        <f>IF(ISNUMBER(SEARCH("H", 'Dry_Litterbag Placem_Collection'!S121)),"YES","NO")</f>
        <v>YES</v>
      </c>
      <c r="AN120" s="270" t="str">
        <f>IF(ISNUMBER(SEARCH("R", 'Dry_Litterbag Placem_Collection'!S121)),"YES","NO")</f>
        <v>NO</v>
      </c>
    </row>
    <row r="121" spans="1:40" ht="15" customHeight="1">
      <c r="A121" s="262" t="s">
        <v>2659</v>
      </c>
      <c r="B121" s="263">
        <f>'Dry_Litterbag Placem_Collection'!A122</f>
        <v>120</v>
      </c>
      <c r="C121" s="263" t="str">
        <f>'Dry_Litterbag Placem_Collection'!B122</f>
        <v xml:space="preserve">Mwantimba
</v>
      </c>
      <c r="D121" s="263" t="s">
        <v>2460</v>
      </c>
      <c r="E121" s="263" t="s">
        <v>2660</v>
      </c>
      <c r="F121" s="263">
        <v>3</v>
      </c>
      <c r="G121" s="264" t="str">
        <f>'Dry_Litterbag Placem_Collection'!C122</f>
        <v>Wet_Ag3_T8</v>
      </c>
      <c r="H121" s="265" t="s">
        <v>2541</v>
      </c>
      <c r="I121" s="266" t="s">
        <v>1147</v>
      </c>
      <c r="J121" s="263" t="str">
        <f>IF(ISBLANK('Dry_Litterbag Placem_Collection'!J122),"","G"&amp;""&amp;'Dry_Litterbag Placem_Collection'!J122)</f>
        <v/>
      </c>
      <c r="K121" s="267" t="str">
        <f>IFERROR(INDEX('Green_rooibos initial weight'!$C$5:$C$1749,MATCH(J121, 'Green_rooibos initial weight'!$A$5:$A$1749,0)),"")</f>
        <v/>
      </c>
      <c r="L121" s="267" t="str">
        <f>IFERROR(K121-(TBIcalc!$Q$9+TBIcalc!$Q$10),"")</f>
        <v/>
      </c>
      <c r="M121" s="391">
        <f>AVERAGE(Ashed_controlls!$K$2:$K$11)</f>
        <v>5.5147656768714146</v>
      </c>
      <c r="N121" s="267" t="str">
        <f t="shared" si="6"/>
        <v/>
      </c>
      <c r="O121" s="267" t="str">
        <f>IF(IFERROR(INDEX('Both teabags AfterDry'!$D$3:$D$900,MATCH(J121,'Both teabags AfterDry'!$A$3:$A$900,0)),"")="","",(IFERROR(INDEX('Both teabags AfterDry'!$D$3:$D$900,MATCH(J121,'Both teabags AfterDry'!$A$3:$A$900,0)),"")))</f>
        <v/>
      </c>
      <c r="P121" s="267" t="str">
        <f>IFERROR(IF(O121&gt;0,O121-(TBIcalc!$Q$9),""),"")</f>
        <v/>
      </c>
      <c r="Q121" s="278" t="str">
        <f>IFERROR(INDEX('Ashed teabags dry'!$K$2:$K$825,MATCH(J121,'Ashed teabags dry'!$A$2:$A$825,0)),"")</f>
        <v/>
      </c>
      <c r="R121" s="278" t="str">
        <f t="shared" si="7"/>
        <v/>
      </c>
      <c r="S121" s="268">
        <f>'Dry_Litterbag Placem_Collection'!E122</f>
        <v>0</v>
      </c>
      <c r="T121" s="268" t="str">
        <f>IF('Dry_Litterbag Placem_Collection'!G122="","",'Dry_Litterbag Placem_Collection'!G122)</f>
        <v/>
      </c>
      <c r="U121" s="269" t="str">
        <f t="shared" si="5"/>
        <v/>
      </c>
      <c r="V121" s="267" t="str">
        <f t="shared" si="8"/>
        <v/>
      </c>
      <c r="W121" s="267" t="str">
        <f t="shared" si="9"/>
        <v/>
      </c>
      <c r="X121" s="271" t="str">
        <f>IFERROR(INDEX(Rainfall_Dry!$O$2:$O$217,MATCH(B121, Rainfall_Dry!$A$2:$A$217,0)),"")</f>
        <v/>
      </c>
      <c r="Y121" s="260">
        <v>27.96</v>
      </c>
      <c r="Z121" s="260">
        <v>4.9200000000000017</v>
      </c>
      <c r="AA121" s="260">
        <v>67.12</v>
      </c>
      <c r="AB121" s="261" t="s">
        <v>2670</v>
      </c>
      <c r="AC121" s="260">
        <v>7.8861015278462299</v>
      </c>
      <c r="AD121">
        <f>IF('WetLitterbags placem_collection'!AB122="","",'WetLitterbags placem_collection'!AB122)</f>
        <v>19</v>
      </c>
      <c r="AE121">
        <f>IF('WetLitterbags placem_collection'!Z122="","",'WetLitterbags placem_collection'!Z122)</f>
        <v>98.5</v>
      </c>
      <c r="AF121" s="24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71" t="str">
        <f>IFERROR(AVERAGE('Dry_Litterbag Placem_Collection'!N122,'Dry_Litterbag Placem_Collection'!Q122),"")</f>
        <v/>
      </c>
      <c r="AJ121" s="270">
        <f>INDEX(Coordinates!$B$2:$B$197,MATCH(G121,Coordinates!$J$2:$J$197,0))</f>
        <v>-2.3486449760000001</v>
      </c>
      <c r="AK121" s="270">
        <f>INDEX(Coordinates!$C$2:$C$197,MATCH(G121,Coordinates!$J$2:$J$197,0))</f>
        <v>34.051495969999998</v>
      </c>
      <c r="AL121" s="270" t="str">
        <f>IF(ISNUMBER(SEARCH("C", 'Dry_Litterbag Placem_Collection'!S122)),"YES","NO")</f>
        <v>NO</v>
      </c>
      <c r="AM121" s="270" t="str">
        <f>IF(ISNUMBER(SEARCH("H", 'Dry_Litterbag Placem_Collection'!S122)),"YES","NO")</f>
        <v>NO</v>
      </c>
      <c r="AN121" s="270" t="str">
        <f>IF(ISNUMBER(SEARCH("R", 'Dry_Litterbag Placem_Collection'!S122)),"YES","NO")</f>
        <v>NO</v>
      </c>
    </row>
    <row r="122" spans="1:40" ht="15" customHeight="1">
      <c r="A122" s="262" t="s">
        <v>2659</v>
      </c>
      <c r="B122" s="263">
        <f>'Dry_Litterbag Placem_Collection'!A123</f>
        <v>121</v>
      </c>
      <c r="C122" s="263" t="str">
        <f>'Dry_Litterbag Placem_Collection'!B123</f>
        <v xml:space="preserve">Mwantimba
</v>
      </c>
      <c r="D122" s="263" t="s">
        <v>2460</v>
      </c>
      <c r="E122" s="263" t="s">
        <v>2660</v>
      </c>
      <c r="F122" s="263">
        <v>4</v>
      </c>
      <c r="G122" s="264" t="str">
        <f>'Dry_Litterbag Placem_Collection'!C123</f>
        <v>Wet_Ag4_T1</v>
      </c>
      <c r="H122" s="265" t="s">
        <v>2541</v>
      </c>
      <c r="I122" s="266" t="s">
        <v>1147</v>
      </c>
      <c r="J122" s="263" t="str">
        <f>IF(ISBLANK('Dry_Litterbag Placem_Collection'!J123),"","G"&amp;""&amp;'Dry_Litterbag Placem_Collection'!J123)</f>
        <v>G280</v>
      </c>
      <c r="K122" s="267">
        <f>IFERROR(INDEX('Green_rooibos initial weight'!$C$5:$C$1749,MATCH(J122, 'Green_rooibos initial weight'!$A$5:$A$1749,0)),"")</f>
        <v>1.9450000000000001</v>
      </c>
      <c r="L122" s="267">
        <f>IFERROR(K122-(TBIcalc!$Q$9+TBIcalc!$Q$10),"")</f>
        <v>1.6952</v>
      </c>
      <c r="M122" s="391">
        <f>AVERAGE(Ashed_controlls!$K$2:$K$11)</f>
        <v>5.5147656768714146</v>
      </c>
      <c r="N122" s="267">
        <f t="shared" si="6"/>
        <v>1.6017136922456758</v>
      </c>
      <c r="O122" s="267" t="str">
        <f>IF(IFERROR(INDEX('Both teabags AfterDry'!$D$3:$D$900,MATCH(J122,'Both teabags AfterDry'!$A$3:$A$900,0)),"")="","",(IFERROR(INDEX('Both teabags AfterDry'!$D$3:$D$900,MATCH(J122,'Both teabags AfterDry'!$A$3:$A$900,0)),"")))</f>
        <v/>
      </c>
      <c r="P122" s="267" t="str">
        <f>IFERROR(IF(O122&gt;0,O122-(TBIcalc!$Q$9),""),"")</f>
        <v/>
      </c>
      <c r="Q122" s="278" t="str">
        <f>IFERROR(INDEX('Ashed teabags dry'!$K$2:$K$825,MATCH(J122,'Ashed teabags dry'!$A$2:$A$825,0)),"")</f>
        <v/>
      </c>
      <c r="R122" s="278" t="str">
        <f t="shared" si="7"/>
        <v/>
      </c>
      <c r="S122" s="268">
        <f>'Dry_Litterbag Placem_Collection'!E123</f>
        <v>42939</v>
      </c>
      <c r="T122" s="268">
        <f>IF('Dry_Litterbag Placem_Collection'!G123="","",'Dry_Litterbag Placem_Collection'!G123)</f>
        <v>43008</v>
      </c>
      <c r="U122" s="269">
        <f t="shared" si="5"/>
        <v>69</v>
      </c>
      <c r="V122" s="267" t="str">
        <f t="shared" si="8"/>
        <v/>
      </c>
      <c r="W122" s="267" t="str">
        <f t="shared" si="9"/>
        <v/>
      </c>
      <c r="X122" s="271">
        <f>IFERROR(INDEX(Rainfall_Dry!$O$2:$O$217,MATCH(B122, Rainfall_Dry!$A$2:$A$217,0)),"")</f>
        <v>136.27214243</v>
      </c>
      <c r="Y122" s="260">
        <v>17.96</v>
      </c>
      <c r="Z122" s="260">
        <v>4.9199999999999982</v>
      </c>
      <c r="AA122" s="260">
        <v>77.12</v>
      </c>
      <c r="AB122" s="261" t="s">
        <v>2671</v>
      </c>
      <c r="AC122" s="260">
        <v>2.0220798422868409</v>
      </c>
      <c r="AD122">
        <f>IF('WetLitterbags placem_collection'!AB123="","",'WetLitterbags placem_collection'!AB123)</f>
        <v>9.65</v>
      </c>
      <c r="AE122">
        <f>IF('WetLitterbags placem_collection'!Z123="","",'WetLitterbags placem_collection'!Z123)</f>
        <v>63</v>
      </c>
      <c r="AF122" s="24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71">
        <f>IFERROR(AVERAGE('Dry_Litterbag Placem_Collection'!N123,'Dry_Litterbag Placem_Collection'!Q123),"")</f>
        <v>29.1</v>
      </c>
      <c r="AJ122" s="270">
        <f>INDEX(Coordinates!$B$2:$B$197,MATCH(G122,Coordinates!$J$2:$J$197,0))</f>
        <v>-2.3492639789999998</v>
      </c>
      <c r="AK122" s="270">
        <f>INDEX(Coordinates!$C$2:$C$197,MATCH(G122,Coordinates!$J$2:$J$197,0))</f>
        <v>34.051464029999998</v>
      </c>
      <c r="AL122" s="270" t="str">
        <f>IF(ISNUMBER(SEARCH("C", 'Dry_Litterbag Placem_Collection'!S123)),"YES","NO")</f>
        <v>NO</v>
      </c>
      <c r="AM122" s="270" t="str">
        <f>IF(ISNUMBER(SEARCH("H", 'Dry_Litterbag Placem_Collection'!S123)),"YES","NO")</f>
        <v>NO</v>
      </c>
      <c r="AN122" s="270" t="str">
        <f>IF(ISNUMBER(SEARCH("R", 'Dry_Litterbag Placem_Collection'!S123)),"YES","NO")</f>
        <v>NO</v>
      </c>
    </row>
    <row r="123" spans="1:40" ht="15" customHeight="1">
      <c r="A123" s="262" t="s">
        <v>2659</v>
      </c>
      <c r="B123" s="263">
        <f>'Dry_Litterbag Placem_Collection'!A124</f>
        <v>122</v>
      </c>
      <c r="C123" s="263" t="str">
        <f>'Dry_Litterbag Placem_Collection'!B124</f>
        <v xml:space="preserve">Mwantimba
</v>
      </c>
      <c r="D123" s="263" t="s">
        <v>2460</v>
      </c>
      <c r="E123" s="263" t="s">
        <v>2660</v>
      </c>
      <c r="F123" s="263">
        <v>4</v>
      </c>
      <c r="G123" s="264" t="str">
        <f>'Dry_Litterbag Placem_Collection'!C124</f>
        <v>Wet_Ag4_T2</v>
      </c>
      <c r="H123" s="265" t="s">
        <v>2541</v>
      </c>
      <c r="I123" s="266" t="s">
        <v>1147</v>
      </c>
      <c r="J123" s="263" t="str">
        <f>IF(ISBLANK('Dry_Litterbag Placem_Collection'!J124),"","G"&amp;""&amp;'Dry_Litterbag Placem_Collection'!J124)</f>
        <v>G231</v>
      </c>
      <c r="K123" s="267">
        <f>IFERROR(INDEX('Green_rooibos initial weight'!$C$5:$C$1749,MATCH(J123, 'Green_rooibos initial weight'!$A$5:$A$1749,0)),"")</f>
        <v>2.085</v>
      </c>
      <c r="L123" s="267">
        <f>IFERROR(K123-(TBIcalc!$Q$9+TBIcalc!$Q$10),"")</f>
        <v>1.8351999999999999</v>
      </c>
      <c r="M123" s="391">
        <f>AVERAGE(Ashed_controlls!$K$2:$K$11)</f>
        <v>5.5147656768714146</v>
      </c>
      <c r="N123" s="267">
        <f t="shared" si="6"/>
        <v>1.7339930202980558</v>
      </c>
      <c r="O123" s="267">
        <f>IF(IFERROR(INDEX('Both teabags AfterDry'!$D$3:$D$900,MATCH(J123,'Both teabags AfterDry'!$A$3:$A$900,0)),"")="","",(IFERROR(INDEX('Both teabags AfterDry'!$D$3:$D$900,MATCH(J123,'Both teabags AfterDry'!$A$3:$A$900,0)),"")))</f>
        <v>1.8747</v>
      </c>
      <c r="P123" s="267">
        <f>IFERROR(IF(O123&gt;0,O123-(TBIcalc!$Q$9),""),"")</f>
        <v>1.7241</v>
      </c>
      <c r="Q123" s="278">
        <f>IFERROR(INDEX('Ashed teabags dry'!$K$2:$K$825,MATCH(J123,'Ashed teabags dry'!$A$2:$A$825,0)),"")</f>
        <v>27.063339731285495</v>
      </c>
      <c r="R123" s="278">
        <f t="shared" si="7"/>
        <v>1.2575009596929068</v>
      </c>
      <c r="S123" s="268">
        <f>'Dry_Litterbag Placem_Collection'!E124</f>
        <v>42939</v>
      </c>
      <c r="T123" s="268">
        <f>IF('Dry_Litterbag Placem_Collection'!G124="","",'Dry_Litterbag Placem_Collection'!G124)</f>
        <v>43008</v>
      </c>
      <c r="U123" s="269">
        <f t="shared" si="5"/>
        <v>69</v>
      </c>
      <c r="V123" s="267">
        <f t="shared" si="8"/>
        <v>0.11109999999999998</v>
      </c>
      <c r="W123" s="267">
        <f t="shared" si="9"/>
        <v>0.47649206060514904</v>
      </c>
      <c r="X123" s="271">
        <f>IFERROR(INDEX(Rainfall_Dry!$O$2:$O$217,MATCH(B123, Rainfall_Dry!$A$2:$A$217,0)),"")</f>
        <v>136.27214243</v>
      </c>
      <c r="Y123" s="260">
        <v>17.96</v>
      </c>
      <c r="Z123" s="260">
        <v>4.9199999999999982</v>
      </c>
      <c r="AA123" s="260">
        <v>77.12</v>
      </c>
      <c r="AB123" s="261" t="s">
        <v>2671</v>
      </c>
      <c r="AC123" s="260">
        <v>3.02207984228684</v>
      </c>
      <c r="AD123">
        <f>IF('WetLitterbags placem_collection'!AB124="","",'WetLitterbags placem_collection'!AB124)</f>
        <v>3.1</v>
      </c>
      <c r="AE123">
        <f>IF('WetLitterbags placem_collection'!Z124="","",'WetLitterbags placem_collection'!Z124)</f>
        <v>53</v>
      </c>
      <c r="AF123" s="24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71">
        <f>IFERROR(AVERAGE('Dry_Litterbag Placem_Collection'!N124,'Dry_Litterbag Placem_Collection'!Q124),"")</f>
        <v>28.55</v>
      </c>
      <c r="AJ123" s="270">
        <f>INDEX(Coordinates!$B$2:$B$197,MATCH(G123,Coordinates!$J$2:$J$197,0))</f>
        <v>-2.34923196</v>
      </c>
      <c r="AK123" s="270">
        <f>INDEX(Coordinates!$C$2:$C$197,MATCH(G123,Coordinates!$J$2:$J$197,0))</f>
        <v>34.051422039999999</v>
      </c>
      <c r="AL123" s="270" t="str">
        <f>IF(ISNUMBER(SEARCH("C", 'Dry_Litterbag Placem_Collection'!S124)),"YES","NO")</f>
        <v>NO</v>
      </c>
      <c r="AM123" s="270" t="str">
        <f>IF(ISNUMBER(SEARCH("H", 'Dry_Litterbag Placem_Collection'!S124)),"YES","NO")</f>
        <v>YES</v>
      </c>
      <c r="AN123" s="270" t="str">
        <f>IF(ISNUMBER(SEARCH("R", 'Dry_Litterbag Placem_Collection'!S124)),"YES","NO")</f>
        <v>NO</v>
      </c>
    </row>
    <row r="124" spans="1:40" ht="15" customHeight="1">
      <c r="A124" s="262" t="s">
        <v>2659</v>
      </c>
      <c r="B124" s="263">
        <f>'Dry_Litterbag Placem_Collection'!A125</f>
        <v>123</v>
      </c>
      <c r="C124" s="263" t="str">
        <f>'Dry_Litterbag Placem_Collection'!B125</f>
        <v xml:space="preserve">Mwantimba
</v>
      </c>
      <c r="D124" s="263" t="s">
        <v>2460</v>
      </c>
      <c r="E124" s="263" t="s">
        <v>2660</v>
      </c>
      <c r="F124" s="263">
        <v>4</v>
      </c>
      <c r="G124" s="264" t="str">
        <f>'Dry_Litterbag Placem_Collection'!C125</f>
        <v>Wet_Ag4_T3</v>
      </c>
      <c r="H124" s="265" t="s">
        <v>2541</v>
      </c>
      <c r="I124" s="266" t="s">
        <v>1147</v>
      </c>
      <c r="J124" s="263" t="str">
        <f>IF(ISBLANK('Dry_Litterbag Placem_Collection'!J125),"","G"&amp;""&amp;'Dry_Litterbag Placem_Collection'!J125)</f>
        <v>G292</v>
      </c>
      <c r="K124" s="267">
        <f>IFERROR(INDEX('Green_rooibos initial weight'!$C$5:$C$1749,MATCH(J124, 'Green_rooibos initial weight'!$A$5:$A$1749,0)),"")</f>
        <v>2.0289999999999999</v>
      </c>
      <c r="L124" s="267">
        <f>IFERROR(K124-(TBIcalc!$Q$9+TBIcalc!$Q$10),"")</f>
        <v>1.7791999999999999</v>
      </c>
      <c r="M124" s="391">
        <f>AVERAGE(Ashed_controlls!$K$2:$K$11)</f>
        <v>5.5147656768714146</v>
      </c>
      <c r="N124" s="267">
        <f t="shared" si="6"/>
        <v>1.6810812890771036</v>
      </c>
      <c r="O124" s="267">
        <f>IF(IFERROR(INDEX('Both teabags AfterDry'!$D$3:$D$900,MATCH(J124,'Both teabags AfterDry'!$A$3:$A$900,0)),"")="","",(IFERROR(INDEX('Both teabags AfterDry'!$D$3:$D$900,MATCH(J124,'Both teabags AfterDry'!$A$3:$A$900,0)),"")))</f>
        <v>0.88980000000000004</v>
      </c>
      <c r="P124" s="267">
        <f>IFERROR(IF(O124&gt;0,O124-(TBIcalc!$Q$9),""),"")</f>
        <v>0.73920000000000008</v>
      </c>
      <c r="Q124" s="278">
        <f>IFERROR(INDEX('Ashed teabags dry'!$K$2:$K$825,MATCH(J124,'Ashed teabags dry'!$A$2:$A$825,0)),"")</f>
        <v>18.857705563761883</v>
      </c>
      <c r="R124" s="278">
        <f t="shared" si="7"/>
        <v>0.59980384047267221</v>
      </c>
      <c r="S124" s="268">
        <f>'Dry_Litterbag Placem_Collection'!E125</f>
        <v>42939</v>
      </c>
      <c r="T124" s="268">
        <f>IF('Dry_Litterbag Placem_Collection'!G125="","",'Dry_Litterbag Placem_Collection'!G125)</f>
        <v>43008</v>
      </c>
      <c r="U124" s="269">
        <f t="shared" si="5"/>
        <v>69</v>
      </c>
      <c r="V124" s="267">
        <f t="shared" si="8"/>
        <v>1.0399999999999998</v>
      </c>
      <c r="W124" s="267">
        <f t="shared" si="9"/>
        <v>1.0812774486044314</v>
      </c>
      <c r="X124" s="271">
        <f>IFERROR(INDEX(Rainfall_Dry!$O$2:$O$217,MATCH(B124, Rainfall_Dry!$A$2:$A$217,0)),"")</f>
        <v>136.27214243</v>
      </c>
      <c r="Y124" s="260">
        <v>17.96</v>
      </c>
      <c r="Z124" s="260">
        <v>4.9199999999999982</v>
      </c>
      <c r="AA124" s="260">
        <v>77.12</v>
      </c>
      <c r="AB124" s="261" t="s">
        <v>2671</v>
      </c>
      <c r="AC124" s="260">
        <v>4.02207984228684</v>
      </c>
      <c r="AD124">
        <f>IF('WetLitterbags placem_collection'!AB125="","",'WetLitterbags placem_collection'!AB125)</f>
        <v>3.9</v>
      </c>
      <c r="AE124">
        <f>IF('WetLitterbags placem_collection'!Z125="","",'WetLitterbags placem_collection'!Z125)</f>
        <v>51</v>
      </c>
      <c r="AF124" s="24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71">
        <f>IFERROR(AVERAGE('Dry_Litterbag Placem_Collection'!N125,'Dry_Litterbag Placem_Collection'!Q125),"")</f>
        <v>27.1</v>
      </c>
      <c r="AJ124" s="270">
        <f>INDEX(Coordinates!$B$2:$B$197,MATCH(G124,Coordinates!$J$2:$J$197,0))</f>
        <v>-2.3492390009999999</v>
      </c>
      <c r="AK124" s="270">
        <f>INDEX(Coordinates!$C$2:$C$197,MATCH(G124,Coordinates!$J$2:$J$197,0))</f>
        <v>34.051304020000003</v>
      </c>
      <c r="AL124" s="270" t="str">
        <f>IF(ISNUMBER(SEARCH("C", 'Dry_Litterbag Placem_Collection'!S125)),"YES","NO")</f>
        <v>NO</v>
      </c>
      <c r="AM124" s="270" t="str">
        <f>IF(ISNUMBER(SEARCH("H", 'Dry_Litterbag Placem_Collection'!S125)),"YES","NO")</f>
        <v>NO</v>
      </c>
      <c r="AN124" s="270" t="str">
        <f>IF(ISNUMBER(SEARCH("R", 'Dry_Litterbag Placem_Collection'!S125)),"YES","NO")</f>
        <v>YES</v>
      </c>
    </row>
    <row r="125" spans="1:40" ht="15" customHeight="1">
      <c r="A125" s="262" t="s">
        <v>2659</v>
      </c>
      <c r="B125" s="263">
        <f>'Dry_Litterbag Placem_Collection'!A126</f>
        <v>124</v>
      </c>
      <c r="C125" s="263" t="str">
        <f>'Dry_Litterbag Placem_Collection'!B126</f>
        <v xml:space="preserve">Mwantimba
</v>
      </c>
      <c r="D125" s="263" t="s">
        <v>2460</v>
      </c>
      <c r="E125" s="263" t="s">
        <v>2660</v>
      </c>
      <c r="F125" s="263">
        <v>4</v>
      </c>
      <c r="G125" s="264" t="str">
        <f>'Dry_Litterbag Placem_Collection'!C126</f>
        <v>Wet_Ag4_T4</v>
      </c>
      <c r="H125" s="265" t="s">
        <v>2541</v>
      </c>
      <c r="I125" s="266" t="s">
        <v>1147</v>
      </c>
      <c r="J125" s="263" t="str">
        <f>IF(ISBLANK('Dry_Litterbag Placem_Collection'!J126),"","G"&amp;""&amp;'Dry_Litterbag Placem_Collection'!J126)</f>
        <v>G116</v>
      </c>
      <c r="K125" s="267">
        <f>IFERROR(INDEX('Green_rooibos initial weight'!$C$5:$C$1749,MATCH(J125, 'Green_rooibos initial weight'!$A$5:$A$1749,0)),"")</f>
        <v>1.925</v>
      </c>
      <c r="L125" s="267">
        <f>IFERROR(K125-(TBIcalc!$Q$9+TBIcalc!$Q$10),"")</f>
        <v>1.6752</v>
      </c>
      <c r="M125" s="391">
        <f>AVERAGE(Ashed_controlls!$K$2:$K$11)</f>
        <v>5.5147656768714146</v>
      </c>
      <c r="N125" s="267">
        <f t="shared" si="6"/>
        <v>1.5828166453810502</v>
      </c>
      <c r="O125" s="267">
        <f>IF(IFERROR(INDEX('Both teabags AfterDry'!$D$3:$D$900,MATCH(J125,'Both teabags AfterDry'!$A$3:$A$900,0)),"")="","",(IFERROR(INDEX('Both teabags AfterDry'!$D$3:$D$900,MATCH(J125,'Both teabags AfterDry'!$A$3:$A$900,0)),"")))</f>
        <v>0.63749999999999996</v>
      </c>
      <c r="P125" s="267">
        <f>IFERROR(IF(O125&gt;0,O125-(TBIcalc!$Q$9),""),"")</f>
        <v>0.48689999999999994</v>
      </c>
      <c r="Q125" s="278">
        <f>IFERROR(INDEX('Ashed teabags dry'!$K$2:$K$825,MATCH(J125,'Ashed teabags dry'!$A$2:$A$825,0)),"")</f>
        <v>17.988929889299115</v>
      </c>
      <c r="R125" s="278">
        <f t="shared" si="7"/>
        <v>0.39931190036900255</v>
      </c>
      <c r="S125" s="268">
        <f>'Dry_Litterbag Placem_Collection'!E126</f>
        <v>42939</v>
      </c>
      <c r="T125" s="268">
        <f>IF('Dry_Litterbag Placem_Collection'!G126="","",'Dry_Litterbag Placem_Collection'!G126)</f>
        <v>43008</v>
      </c>
      <c r="U125" s="269">
        <f t="shared" si="5"/>
        <v>69</v>
      </c>
      <c r="V125" s="267">
        <f t="shared" si="8"/>
        <v>1.1883000000000001</v>
      </c>
      <c r="W125" s="267">
        <f t="shared" si="9"/>
        <v>1.1835047450120477</v>
      </c>
      <c r="X125" s="271">
        <f>IFERROR(INDEX(Rainfall_Dry!$O$2:$O$217,MATCH(B125, Rainfall_Dry!$A$2:$A$217,0)),"")</f>
        <v>136.27214243</v>
      </c>
      <c r="Y125" s="260">
        <v>17.96</v>
      </c>
      <c r="Z125" s="260">
        <v>4.9199999999999982</v>
      </c>
      <c r="AA125" s="260">
        <v>77.12</v>
      </c>
      <c r="AB125" s="261" t="s">
        <v>2671</v>
      </c>
      <c r="AC125" s="260">
        <v>5.02207984228684</v>
      </c>
      <c r="AD125">
        <f>IF('WetLitterbags placem_collection'!AB126="","",'WetLitterbags placem_collection'!AB126)</f>
        <v>5.45</v>
      </c>
      <c r="AE125">
        <f>IF('WetLitterbags placem_collection'!Z126="","",'WetLitterbags placem_collection'!Z126)</f>
        <v>47</v>
      </c>
      <c r="AF125" s="24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71">
        <f>IFERROR(AVERAGE('Dry_Litterbag Placem_Collection'!N126,'Dry_Litterbag Placem_Collection'!Q126),"")</f>
        <v>28.05</v>
      </c>
      <c r="AJ125" s="270">
        <f>INDEX(Coordinates!$B$2:$B$197,MATCH(G125,Coordinates!$J$2:$J$197,0))</f>
        <v>-2.3492799889999998</v>
      </c>
      <c r="AK125" s="270">
        <f>INDEX(Coordinates!$C$2:$C$197,MATCH(G125,Coordinates!$J$2:$J$197,0))</f>
        <v>34.051280970000001</v>
      </c>
      <c r="AL125" s="270" t="str">
        <f>IF(ISNUMBER(SEARCH("C", 'Dry_Litterbag Placem_Collection'!S126)),"YES","NO")</f>
        <v>NO</v>
      </c>
      <c r="AM125" s="270" t="str">
        <f>IF(ISNUMBER(SEARCH("H", 'Dry_Litterbag Placem_Collection'!S126)),"YES","NO")</f>
        <v>YES</v>
      </c>
      <c r="AN125" s="270" t="str">
        <f>IF(ISNUMBER(SEARCH("R", 'Dry_Litterbag Placem_Collection'!S126)),"YES","NO")</f>
        <v>YES</v>
      </c>
    </row>
    <row r="126" spans="1:40" ht="15" customHeight="1">
      <c r="A126" s="262" t="s">
        <v>2659</v>
      </c>
      <c r="B126" s="263">
        <f>'Dry_Litterbag Placem_Collection'!A127</f>
        <v>125</v>
      </c>
      <c r="C126" s="263" t="str">
        <f>'Dry_Litterbag Placem_Collection'!B127</f>
        <v xml:space="preserve">Mwantimba
</v>
      </c>
      <c r="D126" s="263" t="s">
        <v>2460</v>
      </c>
      <c r="E126" s="263" t="s">
        <v>2660</v>
      </c>
      <c r="F126" s="263">
        <v>4</v>
      </c>
      <c r="G126" s="264" t="str">
        <f>'Dry_Litterbag Placem_Collection'!C127</f>
        <v>Wet_Ag4_T5</v>
      </c>
      <c r="H126" s="265" t="s">
        <v>2541</v>
      </c>
      <c r="I126" s="266" t="s">
        <v>1147</v>
      </c>
      <c r="J126" s="263" t="str">
        <f>IF(ISBLANK('Dry_Litterbag Placem_Collection'!J127),"","G"&amp;""&amp;'Dry_Litterbag Placem_Collection'!J127)</f>
        <v>G50</v>
      </c>
      <c r="K126" s="267">
        <f>IFERROR(INDEX('Green_rooibos initial weight'!$C$5:$C$1749,MATCH(J126, 'Green_rooibos initial weight'!$A$5:$A$1749,0)),"")</f>
        <v>1.954</v>
      </c>
      <c r="L126" s="267">
        <f>IFERROR(K126-(TBIcalc!$Q$9+TBIcalc!$Q$10),"")</f>
        <v>1.7041999999999999</v>
      </c>
      <c r="M126" s="391">
        <f>AVERAGE(Ashed_controlls!$K$2:$K$11)</f>
        <v>5.5147656768714146</v>
      </c>
      <c r="N126" s="267">
        <f t="shared" si="6"/>
        <v>1.6102173633347574</v>
      </c>
      <c r="O126" s="267">
        <f>IF(IFERROR(INDEX('Both teabags AfterDry'!$D$3:$D$900,MATCH(J126,'Both teabags AfterDry'!$A$3:$A$900,0)),"")="","",(IFERROR(INDEX('Both teabags AfterDry'!$D$3:$D$900,MATCH(J126,'Both teabags AfterDry'!$A$3:$A$900,0)),"")))</f>
        <v>0.8911</v>
      </c>
      <c r="P126" s="267">
        <f>IFERROR(IF(O126&gt;0,O126-(TBIcalc!$Q$9),""),"")</f>
        <v>0.74049999999999994</v>
      </c>
      <c r="Q126" s="278">
        <f>IFERROR(INDEX('Ashed teabags dry'!$K$2:$K$825,MATCH(J126,'Ashed teabags dry'!$A$2:$A$825,0)),"")</f>
        <v>30.974309258361465</v>
      </c>
      <c r="R126" s="278">
        <f t="shared" si="7"/>
        <v>0.5111352399418333</v>
      </c>
      <c r="S126" s="268">
        <f>'Dry_Litterbag Placem_Collection'!E127</f>
        <v>42939</v>
      </c>
      <c r="T126" s="268">
        <f>IF('Dry_Litterbag Placem_Collection'!G127="","",'Dry_Litterbag Placem_Collection'!G127)</f>
        <v>43008</v>
      </c>
      <c r="U126" s="269">
        <f t="shared" si="5"/>
        <v>69</v>
      </c>
      <c r="V126" s="267">
        <f t="shared" si="8"/>
        <v>0.9637</v>
      </c>
      <c r="W126" s="267">
        <f t="shared" si="9"/>
        <v>1.099082123392924</v>
      </c>
      <c r="X126" s="271">
        <f>IFERROR(INDEX(Rainfall_Dry!$O$2:$O$217,MATCH(B126, Rainfall_Dry!$A$2:$A$217,0)),"")</f>
        <v>136.27214243</v>
      </c>
      <c r="Y126" s="260">
        <v>17.96</v>
      </c>
      <c r="Z126" s="260">
        <v>4.9199999999999982</v>
      </c>
      <c r="AA126" s="260">
        <v>77.12</v>
      </c>
      <c r="AB126" s="261" t="s">
        <v>2671</v>
      </c>
      <c r="AC126" s="260">
        <v>6.02207984228684</v>
      </c>
      <c r="AD126">
        <f>IF('WetLitterbags placem_collection'!AB127="","",'WetLitterbags placem_collection'!AB127)</f>
        <v>9.3000000000000007</v>
      </c>
      <c r="AE126">
        <f>IF('WetLitterbags placem_collection'!Z127="","",'WetLitterbags placem_collection'!Z127)</f>
        <v>43</v>
      </c>
      <c r="AF126" s="24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71">
        <f>IFERROR(AVERAGE('Dry_Litterbag Placem_Collection'!N127,'Dry_Litterbag Placem_Collection'!Q127),"")</f>
        <v>28.05</v>
      </c>
      <c r="AJ126" s="270">
        <f>INDEX(Coordinates!$B$2:$B$197,MATCH(G126,Coordinates!$J$2:$J$197,0))</f>
        <v>-2.3493320400000002</v>
      </c>
      <c r="AK126" s="270">
        <f>INDEX(Coordinates!$C$2:$C$197,MATCH(G126,Coordinates!$J$2:$J$197,0))</f>
        <v>34.051321960000003</v>
      </c>
      <c r="AL126" s="270" t="str">
        <f>IF(ISNUMBER(SEARCH("C", 'Dry_Litterbag Placem_Collection'!S127)),"YES","NO")</f>
        <v>NO</v>
      </c>
      <c r="AM126" s="270" t="str">
        <f>IF(ISNUMBER(SEARCH("H", 'Dry_Litterbag Placem_Collection'!S127)),"YES","NO")</f>
        <v>NO</v>
      </c>
      <c r="AN126" s="270" t="str">
        <f>IF(ISNUMBER(SEARCH("R", 'Dry_Litterbag Placem_Collection'!S127)),"YES","NO")</f>
        <v>NO</v>
      </c>
    </row>
    <row r="127" spans="1:40" ht="15" customHeight="1">
      <c r="A127" s="262" t="s">
        <v>2659</v>
      </c>
      <c r="B127" s="263">
        <f>'Dry_Litterbag Placem_Collection'!A128</f>
        <v>126</v>
      </c>
      <c r="C127" s="263" t="str">
        <f>'Dry_Litterbag Placem_Collection'!B128</f>
        <v xml:space="preserve">Mwantimba
</v>
      </c>
      <c r="D127" s="263" t="s">
        <v>2460</v>
      </c>
      <c r="E127" s="263" t="s">
        <v>2660</v>
      </c>
      <c r="F127" s="263">
        <v>4</v>
      </c>
      <c r="G127" s="264" t="str">
        <f>'Dry_Litterbag Placem_Collection'!C128</f>
        <v>Wet_Ag4_T6</v>
      </c>
      <c r="H127" s="265" t="s">
        <v>2541</v>
      </c>
      <c r="I127" s="266" t="s">
        <v>1147</v>
      </c>
      <c r="J127" s="263" t="str">
        <f>IF(ISBLANK('Dry_Litterbag Placem_Collection'!J128),"","G"&amp;""&amp;'Dry_Litterbag Placem_Collection'!J128)</f>
        <v/>
      </c>
      <c r="K127" s="267" t="str">
        <f>IFERROR(INDEX('Green_rooibos initial weight'!$C$5:$C$1749,MATCH(J127, 'Green_rooibos initial weight'!$A$5:$A$1749,0)),"")</f>
        <v/>
      </c>
      <c r="L127" s="267" t="str">
        <f>IFERROR(K127-(TBIcalc!$Q$9+TBIcalc!$Q$10),"")</f>
        <v/>
      </c>
      <c r="M127" s="391">
        <f>AVERAGE(Ashed_controlls!$K$2:$K$11)</f>
        <v>5.5147656768714146</v>
      </c>
      <c r="N127" s="267" t="str">
        <f t="shared" si="6"/>
        <v/>
      </c>
      <c r="O127" s="267" t="str">
        <f>IF(IFERROR(INDEX('Both teabags AfterDry'!$D$3:$D$900,MATCH(J127,'Both teabags AfterDry'!$A$3:$A$900,0)),"")="","",(IFERROR(INDEX('Both teabags AfterDry'!$D$3:$D$900,MATCH(J127,'Both teabags AfterDry'!$A$3:$A$900,0)),"")))</f>
        <v/>
      </c>
      <c r="P127" s="267" t="str">
        <f>IFERROR(IF(O127&gt;0,O127-(TBIcalc!$Q$9),""),"")</f>
        <v/>
      </c>
      <c r="Q127" s="278" t="str">
        <f>IFERROR(INDEX('Ashed teabags dry'!$K$2:$K$825,MATCH(J127,'Ashed teabags dry'!$A$2:$A$825,0)),"")</f>
        <v/>
      </c>
      <c r="R127" s="278" t="str">
        <f t="shared" si="7"/>
        <v/>
      </c>
      <c r="S127" s="268">
        <f>'Dry_Litterbag Placem_Collection'!E128</f>
        <v>0</v>
      </c>
      <c r="T127" s="268" t="str">
        <f>IF('Dry_Litterbag Placem_Collection'!G128="","",'Dry_Litterbag Placem_Collection'!G128)</f>
        <v/>
      </c>
      <c r="U127" s="269" t="str">
        <f t="shared" si="5"/>
        <v/>
      </c>
      <c r="V127" s="267" t="str">
        <f t="shared" si="8"/>
        <v/>
      </c>
      <c r="W127" s="267" t="str">
        <f t="shared" si="9"/>
        <v/>
      </c>
      <c r="X127" s="271" t="str">
        <f>IFERROR(INDEX(Rainfall_Dry!$O$2:$O$217,MATCH(B127, Rainfall_Dry!$A$2:$A$217,0)),"")</f>
        <v/>
      </c>
      <c r="Y127" s="260">
        <v>17.96</v>
      </c>
      <c r="Z127" s="260">
        <v>4.9199999999999982</v>
      </c>
      <c r="AA127" s="260">
        <v>77.12</v>
      </c>
      <c r="AB127" s="261" t="s">
        <v>2671</v>
      </c>
      <c r="AC127" s="260">
        <v>7.02207984228684</v>
      </c>
      <c r="AD127">
        <f>IF('WetLitterbags placem_collection'!AB128="","",'WetLitterbags placem_collection'!AB128)</f>
        <v>10.85</v>
      </c>
      <c r="AE127">
        <f>IF('WetLitterbags placem_collection'!Z128="","",'WetLitterbags placem_collection'!Z128)</f>
        <v>40</v>
      </c>
      <c r="AF127" s="24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71" t="str">
        <f>IFERROR(AVERAGE('Dry_Litterbag Placem_Collection'!N128,'Dry_Litterbag Placem_Collection'!Q128),"")</f>
        <v/>
      </c>
      <c r="AJ127" s="270">
        <f>INDEX(Coordinates!$B$2:$B$197,MATCH(G127,Coordinates!$J$2:$J$197,0))</f>
        <v>-2.3493509829999999</v>
      </c>
      <c r="AK127" s="270">
        <f>INDEX(Coordinates!$C$2:$C$197,MATCH(G127,Coordinates!$J$2:$J$197,0))</f>
        <v>34.051332019999997</v>
      </c>
      <c r="AL127" s="270" t="str">
        <f>IF(ISNUMBER(SEARCH("C", 'Dry_Litterbag Placem_Collection'!S128)),"YES","NO")</f>
        <v>NO</v>
      </c>
      <c r="AM127" s="270" t="str">
        <f>IF(ISNUMBER(SEARCH("H", 'Dry_Litterbag Placem_Collection'!S128)),"YES","NO")</f>
        <v>NO</v>
      </c>
      <c r="AN127" s="270" t="str">
        <f>IF(ISNUMBER(SEARCH("R", 'Dry_Litterbag Placem_Collection'!S128)),"YES","NO")</f>
        <v>NO</v>
      </c>
    </row>
    <row r="128" spans="1:40" ht="15" customHeight="1">
      <c r="A128" s="262" t="s">
        <v>2659</v>
      </c>
      <c r="B128" s="263">
        <f>'Dry_Litterbag Placem_Collection'!A129</f>
        <v>127</v>
      </c>
      <c r="C128" s="263" t="str">
        <f>'Dry_Litterbag Placem_Collection'!B129</f>
        <v xml:space="preserve">Mwantimba
</v>
      </c>
      <c r="D128" s="263" t="s">
        <v>2460</v>
      </c>
      <c r="E128" s="263" t="s">
        <v>2660</v>
      </c>
      <c r="F128" s="263">
        <v>4</v>
      </c>
      <c r="G128" s="264" t="str">
        <f>'Dry_Litterbag Placem_Collection'!C129</f>
        <v>Wet_Ag4_T7</v>
      </c>
      <c r="H128" s="265" t="s">
        <v>2541</v>
      </c>
      <c r="I128" s="266" t="s">
        <v>1147</v>
      </c>
      <c r="J128" s="263" t="str">
        <f>IF(ISBLANK('Dry_Litterbag Placem_Collection'!J129),"","G"&amp;""&amp;'Dry_Litterbag Placem_Collection'!J129)</f>
        <v>G318</v>
      </c>
      <c r="K128" s="267">
        <f>IFERROR(INDEX('Green_rooibos initial weight'!$C$5:$C$1749,MATCH(J128, 'Green_rooibos initial weight'!$A$5:$A$1749,0)),"")</f>
        <v>1.929</v>
      </c>
      <c r="L128" s="267">
        <f>IFERROR(K128-(TBIcalc!$Q$9+TBIcalc!$Q$10),"")</f>
        <v>1.6792</v>
      </c>
      <c r="M128" s="391">
        <f>AVERAGE(Ashed_controlls!$K$2:$K$11)</f>
        <v>5.5147656768714146</v>
      </c>
      <c r="N128" s="267">
        <f t="shared" si="6"/>
        <v>1.5865960547539752</v>
      </c>
      <c r="O128" s="267">
        <f>IF(IFERROR(INDEX('Both teabags AfterDry'!$D$3:$D$900,MATCH(J128,'Both teabags AfterDry'!$A$3:$A$900,0)),"")="","",(IFERROR(INDEX('Both teabags AfterDry'!$D$3:$D$900,MATCH(J128,'Both teabags AfterDry'!$A$3:$A$900,0)),"")))</f>
        <v>0.70609999999999995</v>
      </c>
      <c r="P128" s="267">
        <f>IFERROR(IF(O128&gt;0,O128-(TBIcalc!$Q$9),""),"")</f>
        <v>0.55549999999999988</v>
      </c>
      <c r="Q128" s="278">
        <f>IFERROR(INDEX('Ashed teabags dry'!$K$2:$K$825,MATCH(J128,'Ashed teabags dry'!$A$2:$A$825,0)),"")</f>
        <v>13.937442502299483</v>
      </c>
      <c r="R128" s="278">
        <f t="shared" si="7"/>
        <v>0.47807750689972628</v>
      </c>
      <c r="S128" s="268">
        <f>'Dry_Litterbag Placem_Collection'!E129</f>
        <v>42939</v>
      </c>
      <c r="T128" s="268">
        <f>IF('Dry_Litterbag Placem_Collection'!G129="","",'Dry_Litterbag Placem_Collection'!G129)</f>
        <v>43008</v>
      </c>
      <c r="U128" s="269">
        <f t="shared" si="5"/>
        <v>69</v>
      </c>
      <c r="V128" s="267">
        <f t="shared" si="8"/>
        <v>1.1237000000000001</v>
      </c>
      <c r="W128" s="267">
        <f t="shared" si="9"/>
        <v>1.108518547854249</v>
      </c>
      <c r="X128" s="271">
        <f>IFERROR(INDEX(Rainfall_Dry!$O$2:$O$217,MATCH(B128, Rainfall_Dry!$A$2:$A$217,0)),"")</f>
        <v>136.27214243</v>
      </c>
      <c r="Y128" s="260">
        <v>17.96</v>
      </c>
      <c r="Z128" s="260">
        <v>4.9199999999999982</v>
      </c>
      <c r="AA128" s="260">
        <v>77.12</v>
      </c>
      <c r="AB128" s="261" t="s">
        <v>2671</v>
      </c>
      <c r="AC128" s="260">
        <v>8.0220798422868391</v>
      </c>
      <c r="AD128">
        <f>IF('WetLitterbags placem_collection'!AB129="","",'WetLitterbags placem_collection'!AB129)</f>
        <v>5.35</v>
      </c>
      <c r="AE128">
        <f>IF('WetLitterbags placem_collection'!Z129="","",'WetLitterbags placem_collection'!Z129)</f>
        <v>58</v>
      </c>
      <c r="AF128" s="24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71">
        <f>IFERROR(AVERAGE('Dry_Litterbag Placem_Collection'!N129,'Dry_Litterbag Placem_Collection'!Q129),"")</f>
        <v>28.1</v>
      </c>
      <c r="AJ128" s="270">
        <f>INDEX(Coordinates!$B$2:$B$197,MATCH(G128,Coordinates!$J$2:$J$197,0))</f>
        <v>-2.3491850219999999</v>
      </c>
      <c r="AK128" s="270">
        <f>INDEX(Coordinates!$C$2:$C$197,MATCH(G128,Coordinates!$J$2:$J$197,0))</f>
        <v>34.051264959999997</v>
      </c>
      <c r="AL128" s="270" t="str">
        <f>IF(ISNUMBER(SEARCH("C", 'Dry_Litterbag Placem_Collection'!S129)),"YES","NO")</f>
        <v>NO</v>
      </c>
      <c r="AM128" s="270" t="str">
        <f>IF(ISNUMBER(SEARCH("H", 'Dry_Litterbag Placem_Collection'!S129)),"YES","NO")</f>
        <v>NO</v>
      </c>
      <c r="AN128" s="270" t="str">
        <f>IF(ISNUMBER(SEARCH("R", 'Dry_Litterbag Placem_Collection'!S129)),"YES","NO")</f>
        <v>YES</v>
      </c>
    </row>
    <row r="129" spans="1:40" ht="15" customHeight="1">
      <c r="A129" s="262" t="s">
        <v>2659</v>
      </c>
      <c r="B129" s="263">
        <f>'Dry_Litterbag Placem_Collection'!A130</f>
        <v>128</v>
      </c>
      <c r="C129" s="263" t="str">
        <f>'Dry_Litterbag Placem_Collection'!B130</f>
        <v xml:space="preserve">Mwantimba
</v>
      </c>
      <c r="D129" s="263" t="s">
        <v>2460</v>
      </c>
      <c r="E129" s="263" t="s">
        <v>2660</v>
      </c>
      <c r="F129" s="263">
        <v>4</v>
      </c>
      <c r="G129" s="264" t="str">
        <f>'Dry_Litterbag Placem_Collection'!C130</f>
        <v>Wet_Ag4_T8</v>
      </c>
      <c r="H129" s="265" t="s">
        <v>2541</v>
      </c>
      <c r="I129" s="266" t="s">
        <v>1147</v>
      </c>
      <c r="J129" s="263" t="str">
        <f>IF(ISBLANK('Dry_Litterbag Placem_Collection'!J130),"","G"&amp;""&amp;'Dry_Litterbag Placem_Collection'!J130)</f>
        <v>G34</v>
      </c>
      <c r="K129" s="267">
        <f>IFERROR(INDEX('Green_rooibos initial weight'!$C$5:$C$1749,MATCH(J129, 'Green_rooibos initial weight'!$A$5:$A$1749,0)),"")</f>
        <v>2.133</v>
      </c>
      <c r="L129" s="267">
        <f>IFERROR(K129-(TBIcalc!$Q$9+TBIcalc!$Q$10),"")</f>
        <v>1.8832</v>
      </c>
      <c r="M129" s="391">
        <f>AVERAGE(Ashed_controlls!$K$2:$K$11)</f>
        <v>5.5147656768714146</v>
      </c>
      <c r="N129" s="267">
        <f t="shared" si="6"/>
        <v>1.7793459327731576</v>
      </c>
      <c r="O129" s="267">
        <f>IF(IFERROR(INDEX('Both teabags AfterDry'!$D$3:$D$900,MATCH(J129,'Both teabags AfterDry'!$A$3:$A$900,0)),"")="","",(IFERROR(INDEX('Both teabags AfterDry'!$D$3:$D$900,MATCH(J129,'Both teabags AfterDry'!$A$3:$A$900,0)),"")))</f>
        <v>0.92579999999999996</v>
      </c>
      <c r="P129" s="267">
        <f>IFERROR(IF(O129&gt;0,O129-(TBIcalc!$Q$9),""),"")</f>
        <v>0.77519999999999989</v>
      </c>
      <c r="Q129" s="278">
        <f>IFERROR(INDEX('Ashed teabags dry'!$K$2:$K$825,MATCH(J129,'Ashed teabags dry'!$A$2:$A$825,0)),"")</f>
        <v>26.714158504006296</v>
      </c>
      <c r="R129" s="278">
        <f t="shared" si="7"/>
        <v>0.56811184327694308</v>
      </c>
      <c r="S129" s="268">
        <f>'Dry_Litterbag Placem_Collection'!E130</f>
        <v>42939</v>
      </c>
      <c r="T129" s="268">
        <f>IF('Dry_Litterbag Placem_Collection'!G130="","",'Dry_Litterbag Placem_Collection'!G130)</f>
        <v>43008</v>
      </c>
      <c r="U129" s="269">
        <f t="shared" si="5"/>
        <v>69</v>
      </c>
      <c r="V129" s="267">
        <f t="shared" si="8"/>
        <v>1.1080000000000001</v>
      </c>
      <c r="W129" s="267">
        <f t="shared" si="9"/>
        <v>1.2112340894962146</v>
      </c>
      <c r="X129" s="271">
        <f>IFERROR(INDEX(Rainfall_Dry!$O$2:$O$217,MATCH(B129, Rainfall_Dry!$A$2:$A$217,0)),"")</f>
        <v>136.27214243</v>
      </c>
      <c r="Y129" s="260">
        <v>17.96</v>
      </c>
      <c r="Z129" s="260">
        <v>4.9199999999999982</v>
      </c>
      <c r="AA129" s="260">
        <v>77.12</v>
      </c>
      <c r="AB129" s="261" t="s">
        <v>2671</v>
      </c>
      <c r="AC129" s="260">
        <v>9.0220798422868391</v>
      </c>
      <c r="AD129">
        <f>IF('WetLitterbags placem_collection'!AB130="","",'WetLitterbags placem_collection'!AB130)</f>
        <v>10.9</v>
      </c>
      <c r="AE129">
        <f>IF('WetLitterbags placem_collection'!Z130="","",'WetLitterbags placem_collection'!Z130)</f>
        <v>44</v>
      </c>
      <c r="AF129" s="24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71">
        <f>IFERROR(AVERAGE('Dry_Litterbag Placem_Collection'!N130,'Dry_Litterbag Placem_Collection'!Q130),"")</f>
        <v>28.4</v>
      </c>
      <c r="AJ129" s="270">
        <f>INDEX(Coordinates!$B$2:$B$197,MATCH(G129,Coordinates!$J$2:$J$197,0))</f>
        <v>-2.3493099960000001</v>
      </c>
      <c r="AK129" s="270">
        <f>INDEX(Coordinates!$C$2:$C$197,MATCH(G129,Coordinates!$J$2:$J$197,0))</f>
        <v>34.05141802</v>
      </c>
      <c r="AL129" s="270" t="str">
        <f>IF(ISNUMBER(SEARCH("C", 'Dry_Litterbag Placem_Collection'!S130)),"YES","NO")</f>
        <v>NO</v>
      </c>
      <c r="AM129" s="270" t="str">
        <f>IF(ISNUMBER(SEARCH("H", 'Dry_Litterbag Placem_Collection'!S130)),"YES","NO")</f>
        <v>NO</v>
      </c>
      <c r="AN129" s="270" t="str">
        <f>IF(ISNUMBER(SEARCH("R", 'Dry_Litterbag Placem_Collection'!S130)),"YES","NO")</f>
        <v>NO</v>
      </c>
    </row>
    <row r="130" spans="1:40" ht="15" customHeight="1">
      <c r="A130" s="262" t="s">
        <v>2659</v>
      </c>
      <c r="B130" s="263">
        <f>'Dry_Litterbag Placem_Collection'!A131</f>
        <v>129</v>
      </c>
      <c r="C130" s="263" t="str">
        <f>'Dry_Litterbag Placem_Collection'!B131</f>
        <v xml:space="preserve">Mwantimba
</v>
      </c>
      <c r="D130" s="263" t="s">
        <v>2460</v>
      </c>
      <c r="E130" s="263" t="s">
        <v>20</v>
      </c>
      <c r="F130" s="263">
        <v>1</v>
      </c>
      <c r="G130" s="264" t="str">
        <f>'Dry_Litterbag Placem_Collection'!C131</f>
        <v>Wet_P1_T1</v>
      </c>
      <c r="H130" s="265" t="s">
        <v>2541</v>
      </c>
      <c r="I130" s="266" t="s">
        <v>1147</v>
      </c>
      <c r="J130" s="263" t="str">
        <f>IF(ISBLANK('Dry_Litterbag Placem_Collection'!J131),"","G"&amp;""&amp;'Dry_Litterbag Placem_Collection'!J131)</f>
        <v>G80</v>
      </c>
      <c r="K130" s="267">
        <f>IFERROR(INDEX('Green_rooibos initial weight'!$C$5:$C$1749,MATCH(J130, 'Green_rooibos initial weight'!$A$5:$A$1749,0)),"")</f>
        <v>2.0259999999999998</v>
      </c>
      <c r="L130" s="267">
        <f>IFERROR(K130-(TBIcalc!$Q$9+TBIcalc!$Q$10),"")</f>
        <v>1.7761999999999998</v>
      </c>
      <c r="M130" s="391">
        <f>AVERAGE(Ashed_controlls!$K$2:$K$11)</f>
        <v>5.5147656768714146</v>
      </c>
      <c r="N130" s="267">
        <f t="shared" si="6"/>
        <v>1.6782467320474097</v>
      </c>
      <c r="O130" s="267">
        <f>IF(IFERROR(INDEX('Both teabags AfterDry'!$D$3:$D$900,MATCH(J130,'Both teabags AfterDry'!$A$3:$A$900,0)),"")="","",(IFERROR(INDEX('Both teabags AfterDry'!$D$3:$D$900,MATCH(J130,'Both teabags AfterDry'!$A$3:$A$900,0)),"")))</f>
        <v>0.72970000000000002</v>
      </c>
      <c r="P130" s="267">
        <f>IFERROR(IF(O130&gt;0,O130-(TBIcalc!$Q$9),""),"")</f>
        <v>0.57909999999999995</v>
      </c>
      <c r="Q130" s="278">
        <f>IFERROR(INDEX('Ashed teabags dry'!$K$2:$K$825,MATCH(J130,'Ashed teabags dry'!$A$2:$A$825,0)),"")</f>
        <v>20.009394081728875</v>
      </c>
      <c r="R130" s="278">
        <f t="shared" si="7"/>
        <v>0.46322559887270803</v>
      </c>
      <c r="S130" s="268">
        <f>'Dry_Litterbag Placem_Collection'!E131</f>
        <v>42939</v>
      </c>
      <c r="T130" s="268">
        <f>IF('Dry_Litterbag Placem_Collection'!G131="","",'Dry_Litterbag Placem_Collection'!G131)</f>
        <v>43008</v>
      </c>
      <c r="U130" s="269">
        <f t="shared" ref="U130:U193" si="10">IFERROR(T130-S130,"")</f>
        <v>69</v>
      </c>
      <c r="V130" s="267">
        <f t="shared" si="8"/>
        <v>1.1970999999999998</v>
      </c>
      <c r="W130" s="267">
        <f t="shared" si="9"/>
        <v>1.2150211331747016</v>
      </c>
      <c r="X130" s="271">
        <f>IFERROR(INDEX(Rainfall_Dry!$O$2:$O$217,MATCH(B130, Rainfall_Dry!$A$2:$A$217,0)),"")</f>
        <v>136.27214243</v>
      </c>
      <c r="Y130" s="260">
        <v>31.214836424255054</v>
      </c>
      <c r="Z130" s="260">
        <v>11.377370285476141</v>
      </c>
      <c r="AA130" s="260">
        <v>57.407793290268799</v>
      </c>
      <c r="AB130" s="261" t="s">
        <v>2670</v>
      </c>
      <c r="AC130" s="260">
        <v>1.7337604731394776</v>
      </c>
      <c r="AD130">
        <f>IF('WetLitterbags placem_collection'!AB131="","",'WetLitterbags placem_collection'!AB131)</f>
        <v>2.4</v>
      </c>
      <c r="AE130">
        <f>IF('WetLitterbags placem_collection'!Z131="","",'WetLitterbags placem_collection'!Z131)</f>
        <v>2.4</v>
      </c>
      <c r="AF130" s="24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71">
        <f>IFERROR(AVERAGE('Dry_Litterbag Placem_Collection'!N131,'Dry_Litterbag Placem_Collection'!Q131),"")</f>
        <v>29.05</v>
      </c>
      <c r="AJ130" s="270">
        <f>INDEX(Coordinates!$B$2:$B$197,MATCH(G130,Coordinates!$J$2:$J$197,0))</f>
        <v>-2.3503360249999998</v>
      </c>
      <c r="AK130" s="270">
        <f>INDEX(Coordinates!$C$2:$C$197,MATCH(G130,Coordinates!$J$2:$J$197,0))</f>
        <v>34.049662009999999</v>
      </c>
      <c r="AL130" s="270" t="str">
        <f>IF(ISNUMBER(SEARCH("C", 'Dry_Litterbag Placem_Collection'!S131)),"YES","NO")</f>
        <v>YES</v>
      </c>
      <c r="AM130" s="270" t="str">
        <f>IF(ISNUMBER(SEARCH("H", 'Dry_Litterbag Placem_Collection'!S131)),"YES","NO")</f>
        <v>YES</v>
      </c>
      <c r="AN130" s="270" t="str">
        <f>IF(ISNUMBER(SEARCH("R", 'Dry_Litterbag Placem_Collection'!S131)),"YES","NO")</f>
        <v>NO</v>
      </c>
    </row>
    <row r="131" spans="1:40" ht="15" customHeight="1">
      <c r="A131" s="262" t="s">
        <v>2659</v>
      </c>
      <c r="B131" s="263">
        <f>'Dry_Litterbag Placem_Collection'!A132</f>
        <v>130</v>
      </c>
      <c r="C131" s="263" t="str">
        <f>'Dry_Litterbag Placem_Collection'!B132</f>
        <v xml:space="preserve">Mwantimba
</v>
      </c>
      <c r="D131" s="263" t="s">
        <v>2460</v>
      </c>
      <c r="E131" s="263" t="s">
        <v>20</v>
      </c>
      <c r="F131" s="263">
        <v>1</v>
      </c>
      <c r="G131" s="264" t="str">
        <f>'Dry_Litterbag Placem_Collection'!C132</f>
        <v>Wet_P1_T2</v>
      </c>
      <c r="H131" s="265" t="s">
        <v>2541</v>
      </c>
      <c r="I131" s="266" t="s">
        <v>1147</v>
      </c>
      <c r="J131" s="263" t="str">
        <f>IF(ISBLANK('Dry_Litterbag Placem_Collection'!J132),"","G"&amp;""&amp;'Dry_Litterbag Placem_Collection'!J132)</f>
        <v>G64</v>
      </c>
      <c r="K131" s="267">
        <f>IFERROR(INDEX('Green_rooibos initial weight'!$C$5:$C$1749,MATCH(J131, 'Green_rooibos initial weight'!$A$5:$A$1749,0)),"")</f>
        <v>2.0840000000000001</v>
      </c>
      <c r="L131" s="267">
        <f>IFERROR(K131-(TBIcalc!$Q$9+TBIcalc!$Q$10),"")</f>
        <v>1.8342000000000001</v>
      </c>
      <c r="M131" s="391">
        <f>AVERAGE(Ashed_controlls!$K$2:$K$11)</f>
        <v>5.5147656768714146</v>
      </c>
      <c r="N131" s="267">
        <f t="shared" ref="N131:N194" si="11">IFERROR(L131-(M131/100)*L131,"")</f>
        <v>1.7330481679548246</v>
      </c>
      <c r="O131" s="267">
        <f>IF(IFERROR(INDEX('Both teabags AfterDry'!$D$3:$D$900,MATCH(J131,'Both teabags AfterDry'!$A$3:$A$900,0)),"")="","",(IFERROR(INDEX('Both teabags AfterDry'!$D$3:$D$900,MATCH(J131,'Both teabags AfterDry'!$A$3:$A$900,0)),"")))</f>
        <v>0.83650000000000002</v>
      </c>
      <c r="P131" s="267">
        <f>IFERROR(IF(O131&gt;0,O131-(TBIcalc!$Q$9),""),"")</f>
        <v>0.68589999999999995</v>
      </c>
      <c r="Q131" s="278">
        <f>IFERROR(INDEX('Ashed teabags dry'!$K$2:$K$825,MATCH(J131,'Ashed teabags dry'!$A$2:$A$825,0)),"")</f>
        <v>23.217636022513883</v>
      </c>
      <c r="R131" s="278">
        <f t="shared" ref="R131:R194" si="12">IFERROR(P131-(Q131/100)*P131,"")</f>
        <v>0.52665023452157722</v>
      </c>
      <c r="S131" s="268">
        <f>'Dry_Litterbag Placem_Collection'!E132</f>
        <v>42939</v>
      </c>
      <c r="T131" s="268">
        <f>IF('Dry_Litterbag Placem_Collection'!G132="","",'Dry_Litterbag Placem_Collection'!G132)</f>
        <v>43008</v>
      </c>
      <c r="U131" s="269">
        <f t="shared" si="10"/>
        <v>69</v>
      </c>
      <c r="V131" s="267">
        <f t="shared" ref="V131:V194" si="13">IFERROR(L131-P131,"")</f>
        <v>1.1483000000000001</v>
      </c>
      <c r="W131" s="267">
        <f t="shared" ref="W131:W194" si="14">IFERROR(N131-R131,"")</f>
        <v>1.2063979334332475</v>
      </c>
      <c r="X131" s="271">
        <f>IFERROR(INDEX(Rainfall_Dry!$O$2:$O$217,MATCH(B131, Rainfall_Dry!$A$2:$A$217,0)),"")</f>
        <v>136.27214243</v>
      </c>
      <c r="Y131" s="260">
        <v>31.214836424255054</v>
      </c>
      <c r="Z131" s="260">
        <v>11.377370285476141</v>
      </c>
      <c r="AA131" s="260">
        <v>57.407793290268799</v>
      </c>
      <c r="AB131" s="261" t="s">
        <v>2670</v>
      </c>
      <c r="AC131" s="260">
        <v>2.7337604731394798</v>
      </c>
      <c r="AD131">
        <f>IF('WetLitterbags placem_collection'!AB132="","",'WetLitterbags placem_collection'!AB132)</f>
        <v>2.1</v>
      </c>
      <c r="AE131">
        <f>IF('WetLitterbags placem_collection'!Z132="","",'WetLitterbags placem_collection'!Z132)</f>
        <v>3.5</v>
      </c>
      <c r="AF131" s="24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71">
        <f>IFERROR(AVERAGE('Dry_Litterbag Placem_Collection'!N132,'Dry_Litterbag Placem_Collection'!Q132),"")</f>
        <v>28.55</v>
      </c>
      <c r="AJ131" s="270">
        <f>INDEX(Coordinates!$B$2:$B$197,MATCH(G131,Coordinates!$J$2:$J$197,0))</f>
        <v>-2.3503729889999998</v>
      </c>
      <c r="AK131" s="270">
        <f>INDEX(Coordinates!$C$2:$C$197,MATCH(G131,Coordinates!$J$2:$J$197,0))</f>
        <v>34.049626969999998</v>
      </c>
      <c r="AL131" s="270" t="str">
        <f>IF(ISNUMBER(SEARCH("C", 'Dry_Litterbag Placem_Collection'!S132)),"YES","NO")</f>
        <v>YES</v>
      </c>
      <c r="AM131" s="270" t="str">
        <f>IF(ISNUMBER(SEARCH("H", 'Dry_Litterbag Placem_Collection'!S132)),"YES","NO")</f>
        <v>NO</v>
      </c>
      <c r="AN131" s="270" t="str">
        <f>IF(ISNUMBER(SEARCH("R", 'Dry_Litterbag Placem_Collection'!S132)),"YES","NO")</f>
        <v>NO</v>
      </c>
    </row>
    <row r="132" spans="1:40" ht="15" customHeight="1">
      <c r="A132" s="262" t="s">
        <v>2659</v>
      </c>
      <c r="B132" s="263">
        <f>'Dry_Litterbag Placem_Collection'!A133</f>
        <v>131</v>
      </c>
      <c r="C132" s="263" t="str">
        <f>'Dry_Litterbag Placem_Collection'!B133</f>
        <v xml:space="preserve">Mwantimba
</v>
      </c>
      <c r="D132" s="263" t="s">
        <v>2460</v>
      </c>
      <c r="E132" s="263" t="s">
        <v>20</v>
      </c>
      <c r="F132" s="263">
        <v>1</v>
      </c>
      <c r="G132" s="264" t="str">
        <f>'Dry_Litterbag Placem_Collection'!C133</f>
        <v>Wet_P1_T3</v>
      </c>
      <c r="H132" s="265" t="s">
        <v>2541</v>
      </c>
      <c r="I132" s="266" t="s">
        <v>1147</v>
      </c>
      <c r="J132" s="263" t="str">
        <f>IF(ISBLANK('Dry_Litterbag Placem_Collection'!J133),"","G"&amp;""&amp;'Dry_Litterbag Placem_Collection'!J133)</f>
        <v>G118</v>
      </c>
      <c r="K132" s="267">
        <f>IFERROR(INDEX('Green_rooibos initial weight'!$C$5:$C$1749,MATCH(J132, 'Green_rooibos initial weight'!$A$5:$A$1749,0)),"")</f>
        <v>2.0870000000000002</v>
      </c>
      <c r="L132" s="267">
        <f>IFERROR(K132-(TBIcalc!$Q$9+TBIcalc!$Q$10),"")</f>
        <v>1.8372000000000002</v>
      </c>
      <c r="M132" s="391">
        <f>AVERAGE(Ashed_controlls!$K$2:$K$11)</f>
        <v>5.5147656768714146</v>
      </c>
      <c r="N132" s="267">
        <f t="shared" si="11"/>
        <v>1.7358827249845186</v>
      </c>
      <c r="O132" s="267">
        <f>IF(IFERROR(INDEX('Both teabags AfterDry'!$D$3:$D$900,MATCH(J132,'Both teabags AfterDry'!$A$3:$A$900,0)),"")="","",(IFERROR(INDEX('Both teabags AfterDry'!$D$3:$D$900,MATCH(J132,'Both teabags AfterDry'!$A$3:$A$900,0)),"")))</f>
        <v>0.87509999999999999</v>
      </c>
      <c r="P132" s="267">
        <f>IFERROR(IF(O132&gt;0,O132-(TBIcalc!$Q$9),""),"")</f>
        <v>0.72449999999999992</v>
      </c>
      <c r="Q132" s="278">
        <f>IFERROR(INDEX('Ashed teabags dry'!$K$2:$K$825,MATCH(J132,'Ashed teabags dry'!$A$2:$A$825,0)),"")</f>
        <v>19.267364414842707</v>
      </c>
      <c r="R132" s="278">
        <f t="shared" si="12"/>
        <v>0.58490794481446451</v>
      </c>
      <c r="S132" s="268">
        <f>'Dry_Litterbag Placem_Collection'!E133</f>
        <v>42939</v>
      </c>
      <c r="T132" s="268">
        <f>IF('Dry_Litterbag Placem_Collection'!G133="","",'Dry_Litterbag Placem_Collection'!G133)</f>
        <v>43008</v>
      </c>
      <c r="U132" s="269">
        <f t="shared" si="10"/>
        <v>69</v>
      </c>
      <c r="V132" s="267">
        <f t="shared" si="13"/>
        <v>1.1127000000000002</v>
      </c>
      <c r="W132" s="267">
        <f t="shared" si="14"/>
        <v>1.1509747801700541</v>
      </c>
      <c r="X132" s="271">
        <f>IFERROR(INDEX(Rainfall_Dry!$O$2:$O$217,MATCH(B132, Rainfall_Dry!$A$2:$A$217,0)),"")</f>
        <v>136.27214243</v>
      </c>
      <c r="Y132" s="260">
        <v>31.214836424255054</v>
      </c>
      <c r="Z132" s="260">
        <v>11.377370285476141</v>
      </c>
      <c r="AA132" s="260">
        <v>57.407793290268799</v>
      </c>
      <c r="AB132" s="261" t="s">
        <v>2670</v>
      </c>
      <c r="AC132" s="260">
        <v>3.7337604731394798</v>
      </c>
      <c r="AD132">
        <f>IF('WetLitterbags placem_collection'!AB133="","",'WetLitterbags placem_collection'!AB133)</f>
        <v>4.5</v>
      </c>
      <c r="AE132">
        <f>IF('WetLitterbags placem_collection'!Z133="","",'WetLitterbags placem_collection'!Z133)</f>
        <v>7.5</v>
      </c>
      <c r="AF132" s="24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71">
        <f>IFERROR(AVERAGE('Dry_Litterbag Placem_Collection'!N133,'Dry_Litterbag Placem_Collection'!Q133),"")</f>
        <v>28.6</v>
      </c>
      <c r="AJ132" s="270">
        <f>INDEX(Coordinates!$B$2:$B$197,MATCH(G132,Coordinates!$J$2:$J$197,0))</f>
        <v>-2.3503259660000002</v>
      </c>
      <c r="AK132" s="270">
        <f>INDEX(Coordinates!$C$2:$C$197,MATCH(G132,Coordinates!$J$2:$J$197,0))</f>
        <v>34.049616999999998</v>
      </c>
      <c r="AL132" s="270" t="str">
        <f>IF(ISNUMBER(SEARCH("C", 'Dry_Litterbag Placem_Collection'!S133)),"YES","NO")</f>
        <v>YES</v>
      </c>
      <c r="AM132" s="270" t="str">
        <f>IF(ISNUMBER(SEARCH("H", 'Dry_Litterbag Placem_Collection'!S133)),"YES","NO")</f>
        <v>NO</v>
      </c>
      <c r="AN132" s="270" t="str">
        <f>IF(ISNUMBER(SEARCH("R", 'Dry_Litterbag Placem_Collection'!S133)),"YES","NO")</f>
        <v>NO</v>
      </c>
    </row>
    <row r="133" spans="1:40" ht="15" customHeight="1">
      <c r="A133" s="262" t="s">
        <v>2659</v>
      </c>
      <c r="B133" s="263">
        <f>'Dry_Litterbag Placem_Collection'!A134</f>
        <v>132</v>
      </c>
      <c r="C133" s="263" t="str">
        <f>'Dry_Litterbag Placem_Collection'!B134</f>
        <v xml:space="preserve">Mwantimba
</v>
      </c>
      <c r="D133" s="263" t="s">
        <v>2460</v>
      </c>
      <c r="E133" s="263" t="s">
        <v>20</v>
      </c>
      <c r="F133" s="263">
        <v>1</v>
      </c>
      <c r="G133" s="264" t="str">
        <f>'Dry_Litterbag Placem_Collection'!C134</f>
        <v>Wet_P1_T4</v>
      </c>
      <c r="H133" s="265" t="s">
        <v>2541</v>
      </c>
      <c r="I133" s="266" t="s">
        <v>1147</v>
      </c>
      <c r="J133" s="263" t="str">
        <f>IF(ISBLANK('Dry_Litterbag Placem_Collection'!J134),"","G"&amp;""&amp;'Dry_Litterbag Placem_Collection'!J134)</f>
        <v/>
      </c>
      <c r="K133" s="267" t="str">
        <f>IFERROR(INDEX('Green_rooibos initial weight'!$C$5:$C$1749,MATCH(J133, 'Green_rooibos initial weight'!$A$5:$A$1749,0)),"")</f>
        <v/>
      </c>
      <c r="L133" s="267" t="str">
        <f>IFERROR(K133-(TBIcalc!$Q$9+TBIcalc!$Q$10),"")</f>
        <v/>
      </c>
      <c r="M133" s="391">
        <f>AVERAGE(Ashed_controlls!$K$2:$K$11)</f>
        <v>5.5147656768714146</v>
      </c>
      <c r="N133" s="267" t="str">
        <f t="shared" si="11"/>
        <v/>
      </c>
      <c r="O133" s="267" t="str">
        <f>IF(IFERROR(INDEX('Both teabags AfterDry'!$D$3:$D$900,MATCH(J133,'Both teabags AfterDry'!$A$3:$A$900,0)),"")="","",(IFERROR(INDEX('Both teabags AfterDry'!$D$3:$D$900,MATCH(J133,'Both teabags AfterDry'!$A$3:$A$900,0)),"")))</f>
        <v/>
      </c>
      <c r="P133" s="267" t="str">
        <f>IFERROR(IF(O133&gt;0,O133-(TBIcalc!$Q$9),""),"")</f>
        <v/>
      </c>
      <c r="Q133" s="278" t="str">
        <f>IFERROR(INDEX('Ashed teabags dry'!$K$2:$K$825,MATCH(J133,'Ashed teabags dry'!$A$2:$A$825,0)),"")</f>
        <v/>
      </c>
      <c r="R133" s="278" t="str">
        <f t="shared" si="12"/>
        <v/>
      </c>
      <c r="S133" s="268">
        <f>'Dry_Litterbag Placem_Collection'!E134</f>
        <v>0</v>
      </c>
      <c r="T133" s="268" t="str">
        <f>IF('Dry_Litterbag Placem_Collection'!G134="","",'Dry_Litterbag Placem_Collection'!G134)</f>
        <v/>
      </c>
      <c r="U133" s="269" t="str">
        <f t="shared" si="10"/>
        <v/>
      </c>
      <c r="V133" s="267" t="str">
        <f t="shared" si="13"/>
        <v/>
      </c>
      <c r="W133" s="267" t="str">
        <f t="shared" si="14"/>
        <v/>
      </c>
      <c r="X133" s="271" t="str">
        <f>IFERROR(INDEX(Rainfall_Dry!$O$2:$O$217,MATCH(B133, Rainfall_Dry!$A$2:$A$217,0)),"")</f>
        <v/>
      </c>
      <c r="Y133" s="260">
        <v>31.214836424255054</v>
      </c>
      <c r="Z133" s="260">
        <v>11.377370285476141</v>
      </c>
      <c r="AA133" s="260">
        <v>57.407793290268799</v>
      </c>
      <c r="AB133" s="261" t="s">
        <v>2670</v>
      </c>
      <c r="AC133" s="260">
        <v>4.7337604731394798</v>
      </c>
      <c r="AD133">
        <f>IF('WetLitterbags placem_collection'!AB134="","",'WetLitterbags placem_collection'!AB134)</f>
        <v>0.7</v>
      </c>
      <c r="AE133">
        <f>IF('WetLitterbags placem_collection'!Z134="","",'WetLitterbags placem_collection'!Z134)</f>
        <v>9.8000000000000007</v>
      </c>
      <c r="AF133" s="24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71" t="str">
        <f>IFERROR(AVERAGE('Dry_Litterbag Placem_Collection'!N134,'Dry_Litterbag Placem_Collection'!Q134),"")</f>
        <v/>
      </c>
      <c r="AJ133" s="270">
        <f>INDEX(Coordinates!$B$2:$B$197,MATCH(G133,Coordinates!$J$2:$J$197,0))</f>
        <v>-2.3504800260000001</v>
      </c>
      <c r="AK133" s="270">
        <f>INDEX(Coordinates!$C$2:$C$197,MATCH(G133,Coordinates!$J$2:$J$197,0))</f>
        <v>34.049551030000003</v>
      </c>
      <c r="AL133" s="270" t="str">
        <f>IF(ISNUMBER(SEARCH("C", 'Dry_Litterbag Placem_Collection'!S134)),"YES","NO")</f>
        <v>NO</v>
      </c>
      <c r="AM133" s="270" t="str">
        <f>IF(ISNUMBER(SEARCH("H", 'Dry_Litterbag Placem_Collection'!S134)),"YES","NO")</f>
        <v>NO</v>
      </c>
      <c r="AN133" s="270" t="str">
        <f>IF(ISNUMBER(SEARCH("R", 'Dry_Litterbag Placem_Collection'!S134)),"YES","NO")</f>
        <v>NO</v>
      </c>
    </row>
    <row r="134" spans="1:40" ht="15" customHeight="1">
      <c r="A134" s="262" t="s">
        <v>2659</v>
      </c>
      <c r="B134" s="263">
        <f>'Dry_Litterbag Placem_Collection'!A135</f>
        <v>133</v>
      </c>
      <c r="C134" s="263" t="str">
        <f>'Dry_Litterbag Placem_Collection'!B135</f>
        <v xml:space="preserve">Mwantimba
</v>
      </c>
      <c r="D134" s="263" t="s">
        <v>2460</v>
      </c>
      <c r="E134" s="263" t="s">
        <v>20</v>
      </c>
      <c r="F134" s="263">
        <v>1</v>
      </c>
      <c r="G134" s="264" t="str">
        <f>'Dry_Litterbag Placem_Collection'!C135</f>
        <v>Wet_P1_T5</v>
      </c>
      <c r="H134" s="265" t="s">
        <v>2541</v>
      </c>
      <c r="I134" s="266" t="s">
        <v>1147</v>
      </c>
      <c r="J134" s="263" t="str">
        <f>IF(ISBLANK('Dry_Litterbag Placem_Collection'!J135),"","G"&amp;""&amp;'Dry_Litterbag Placem_Collection'!J135)</f>
        <v>G270</v>
      </c>
      <c r="K134" s="267">
        <f>IFERROR(INDEX('Green_rooibos initial weight'!$C$5:$C$1749,MATCH(J134, 'Green_rooibos initial weight'!$A$5:$A$1749,0)),"")</f>
        <v>2.0139999999999998</v>
      </c>
      <c r="L134" s="267">
        <f>IFERROR(K134-(TBIcalc!$Q$9+TBIcalc!$Q$10),"")</f>
        <v>1.7641999999999998</v>
      </c>
      <c r="M134" s="391">
        <f>AVERAGE(Ashed_controlls!$K$2:$K$11)</f>
        <v>5.5147656768714146</v>
      </c>
      <c r="N134" s="267">
        <f t="shared" si="11"/>
        <v>1.6669085039286342</v>
      </c>
      <c r="O134" s="267" t="str">
        <f>IF(IFERROR(INDEX('Both teabags AfterDry'!$D$3:$D$900,MATCH(J134,'Both teabags AfterDry'!$A$3:$A$900,0)),"")="","",(IFERROR(INDEX('Both teabags AfterDry'!$D$3:$D$900,MATCH(J134,'Both teabags AfterDry'!$A$3:$A$900,0)),"")))</f>
        <v/>
      </c>
      <c r="P134" s="267" t="str">
        <f>IFERROR(IF(O134&gt;0,O134-(TBIcalc!$Q$9),""),"")</f>
        <v/>
      </c>
      <c r="Q134" s="278" t="str">
        <f>IFERROR(INDEX('Ashed teabags dry'!$K$2:$K$825,MATCH(J134,'Ashed teabags dry'!$A$2:$A$825,0)),"")</f>
        <v/>
      </c>
      <c r="R134" s="278" t="str">
        <f t="shared" si="12"/>
        <v/>
      </c>
      <c r="S134" s="268">
        <f>'Dry_Litterbag Placem_Collection'!E135</f>
        <v>42939</v>
      </c>
      <c r="T134" s="268">
        <f>IF('Dry_Litterbag Placem_Collection'!G135="","",'Dry_Litterbag Placem_Collection'!G135)</f>
        <v>43008</v>
      </c>
      <c r="U134" s="269">
        <f t="shared" si="10"/>
        <v>69</v>
      </c>
      <c r="V134" s="267" t="str">
        <f t="shared" si="13"/>
        <v/>
      </c>
      <c r="W134" s="267" t="str">
        <f t="shared" si="14"/>
        <v/>
      </c>
      <c r="X134" s="271">
        <f>IFERROR(INDEX(Rainfall_Dry!$O$2:$O$217,MATCH(B134, Rainfall_Dry!$A$2:$A$217,0)),"")</f>
        <v>136.27214243</v>
      </c>
      <c r="Y134" s="260">
        <v>31.214836424255054</v>
      </c>
      <c r="Z134" s="260">
        <v>11.377370285476141</v>
      </c>
      <c r="AA134" s="260">
        <v>57.407793290268799</v>
      </c>
      <c r="AB134" s="261" t="s">
        <v>2670</v>
      </c>
      <c r="AC134" s="260">
        <v>5.7337604731394798</v>
      </c>
      <c r="AD134">
        <f>IF('WetLitterbags placem_collection'!AB135="","",'WetLitterbags placem_collection'!AB135)</f>
        <v>2.2000000000000002</v>
      </c>
      <c r="AE134">
        <f>IF('WetLitterbags placem_collection'!Z135="","",'WetLitterbags placem_collection'!Z135)</f>
        <v>10</v>
      </c>
      <c r="AF134" s="24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71">
        <f>IFERROR(AVERAGE('Dry_Litterbag Placem_Collection'!N135,'Dry_Litterbag Placem_Collection'!Q135),"")</f>
        <v>31.3</v>
      </c>
      <c r="AJ134" s="270">
        <f>INDEX(Coordinates!$B$2:$B$197,MATCH(G134,Coordinates!$J$2:$J$197,0))</f>
        <v>-2.350474996</v>
      </c>
      <c r="AK134" s="270">
        <f>INDEX(Coordinates!$C$2:$C$197,MATCH(G134,Coordinates!$J$2:$J$197,0))</f>
        <v>34.049801979999998</v>
      </c>
      <c r="AL134" s="270" t="str">
        <f>IF(ISNUMBER(SEARCH("C", 'Dry_Litterbag Placem_Collection'!S135)),"YES","NO")</f>
        <v>YES</v>
      </c>
      <c r="AM134" s="270" t="str">
        <f>IF(ISNUMBER(SEARCH("H", 'Dry_Litterbag Placem_Collection'!S135)),"YES","NO")</f>
        <v>NO</v>
      </c>
      <c r="AN134" s="270" t="str">
        <f>IF(ISNUMBER(SEARCH("R", 'Dry_Litterbag Placem_Collection'!S135)),"YES","NO")</f>
        <v>NO</v>
      </c>
    </row>
    <row r="135" spans="1:40" ht="15" customHeight="1">
      <c r="A135" s="262" t="s">
        <v>2659</v>
      </c>
      <c r="B135" s="263">
        <f>'Dry_Litterbag Placem_Collection'!A136</f>
        <v>134</v>
      </c>
      <c r="C135" s="263" t="str">
        <f>'Dry_Litterbag Placem_Collection'!B136</f>
        <v xml:space="preserve">Mwantimba
</v>
      </c>
      <c r="D135" s="263" t="s">
        <v>2460</v>
      </c>
      <c r="E135" s="263" t="s">
        <v>20</v>
      </c>
      <c r="F135" s="263">
        <v>1</v>
      </c>
      <c r="G135" s="264" t="str">
        <f>'Dry_Litterbag Placem_Collection'!C136</f>
        <v>Wet_P1_T6</v>
      </c>
      <c r="H135" s="265" t="s">
        <v>2541</v>
      </c>
      <c r="I135" s="266" t="s">
        <v>1147</v>
      </c>
      <c r="J135" s="263" t="str">
        <f>IF(ISBLANK('Dry_Litterbag Placem_Collection'!J136),"","G"&amp;""&amp;'Dry_Litterbag Placem_Collection'!J136)</f>
        <v>G316</v>
      </c>
      <c r="K135" s="267">
        <f>IFERROR(INDEX('Green_rooibos initial weight'!$C$5:$C$1749,MATCH(J135, 'Green_rooibos initial weight'!$A$5:$A$1749,0)),"")</f>
        <v>2.0579999999999998</v>
      </c>
      <c r="L135" s="267">
        <f>IFERROR(K135-(TBIcalc!$Q$9+TBIcalc!$Q$10),"")</f>
        <v>1.8081999999999998</v>
      </c>
      <c r="M135" s="391">
        <f>AVERAGE(Ashed_controlls!$K$2:$K$11)</f>
        <v>5.5147656768714146</v>
      </c>
      <c r="N135" s="267">
        <f t="shared" si="11"/>
        <v>1.7084820070308109</v>
      </c>
      <c r="O135" s="267">
        <f>IF(IFERROR(INDEX('Both teabags AfterDry'!$D$3:$D$900,MATCH(J135,'Both teabags AfterDry'!$A$3:$A$900,0)),"")="","",(IFERROR(INDEX('Both teabags AfterDry'!$D$3:$D$900,MATCH(J135,'Both teabags AfterDry'!$A$3:$A$900,0)),"")))</f>
        <v>0.6512</v>
      </c>
      <c r="P135" s="267">
        <f>IFERROR(IF(O135&gt;0,O135-(TBIcalc!$Q$9),""),"")</f>
        <v>0.50059999999999993</v>
      </c>
      <c r="Q135" s="278" t="str">
        <f>IFERROR(INDEX('Ashed teabags dry'!$K$2:$K$825,MATCH(J135,'Ashed teabags dry'!$A$2:$A$825,0)),"")</f>
        <v/>
      </c>
      <c r="R135" s="278" t="str">
        <f t="shared" si="12"/>
        <v/>
      </c>
      <c r="S135" s="268">
        <f>'Dry_Litterbag Placem_Collection'!E136</f>
        <v>42939</v>
      </c>
      <c r="T135" s="268">
        <f>IF('Dry_Litterbag Placem_Collection'!G136="","",'Dry_Litterbag Placem_Collection'!G136)</f>
        <v>43008</v>
      </c>
      <c r="U135" s="269">
        <f t="shared" si="10"/>
        <v>69</v>
      </c>
      <c r="V135" s="267">
        <f t="shared" si="13"/>
        <v>1.3075999999999999</v>
      </c>
      <c r="W135" s="267" t="str">
        <f t="shared" si="14"/>
        <v/>
      </c>
      <c r="X135" s="271">
        <f>IFERROR(INDEX(Rainfall_Dry!$O$2:$O$217,MATCH(B135, Rainfall_Dry!$A$2:$A$217,0)),"")</f>
        <v>136.27214243</v>
      </c>
      <c r="Y135" s="260">
        <v>31.214836424255054</v>
      </c>
      <c r="Z135" s="260">
        <v>11.377370285476141</v>
      </c>
      <c r="AA135" s="260">
        <v>57.407793290268799</v>
      </c>
      <c r="AB135" s="261" t="s">
        <v>2670</v>
      </c>
      <c r="AC135" s="260">
        <v>6.7337604731394798</v>
      </c>
      <c r="AD135">
        <f>IF('WetLitterbags placem_collection'!AB136="","",'WetLitterbags placem_collection'!AB136)</f>
        <v>1.1000000000000001</v>
      </c>
      <c r="AE135">
        <f>IF('WetLitterbags placem_collection'!Z136="","",'WetLitterbags placem_collection'!Z136)</f>
        <v>15.4</v>
      </c>
      <c r="AF135" s="24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71">
        <f>IFERROR(AVERAGE('Dry_Litterbag Placem_Collection'!N136,'Dry_Litterbag Placem_Collection'!Q136),"")</f>
        <v>29.200000000000003</v>
      </c>
      <c r="AJ135" s="270">
        <f>INDEX(Coordinates!$B$2:$B$197,MATCH(G135,Coordinates!$J$2:$J$197,0))</f>
        <v>-2.3503559730000001</v>
      </c>
      <c r="AK135" s="270">
        <f>INDEX(Coordinates!$C$2:$C$197,MATCH(G135,Coordinates!$J$2:$J$197,0))</f>
        <v>34.049800980000001</v>
      </c>
      <c r="AL135" s="270" t="str">
        <f>IF(ISNUMBER(SEARCH("C", 'Dry_Litterbag Placem_Collection'!S136)),"YES","NO")</f>
        <v>NO</v>
      </c>
      <c r="AM135" s="270" t="str">
        <f>IF(ISNUMBER(SEARCH("H", 'Dry_Litterbag Placem_Collection'!S136)),"YES","NO")</f>
        <v>NO</v>
      </c>
      <c r="AN135" s="270" t="str">
        <f>IF(ISNUMBER(SEARCH("R", 'Dry_Litterbag Placem_Collection'!S136)),"YES","NO")</f>
        <v>YES</v>
      </c>
    </row>
    <row r="136" spans="1:40" ht="15" customHeight="1">
      <c r="A136" s="262" t="s">
        <v>2659</v>
      </c>
      <c r="B136" s="263">
        <f>'Dry_Litterbag Placem_Collection'!A137</f>
        <v>135</v>
      </c>
      <c r="C136" s="263" t="str">
        <f>'Dry_Litterbag Placem_Collection'!B137</f>
        <v xml:space="preserve">Mwantimba
</v>
      </c>
      <c r="D136" s="263" t="s">
        <v>2460</v>
      </c>
      <c r="E136" s="263" t="s">
        <v>20</v>
      </c>
      <c r="F136" s="263">
        <v>1</v>
      </c>
      <c r="G136" s="264" t="str">
        <f>'Dry_Litterbag Placem_Collection'!C137</f>
        <v>Wet_P1_T7</v>
      </c>
      <c r="H136" s="265" t="s">
        <v>2541</v>
      </c>
      <c r="I136" s="266" t="s">
        <v>1147</v>
      </c>
      <c r="J136" s="263" t="str">
        <f>IF(ISBLANK('Dry_Litterbag Placem_Collection'!J137),"","G"&amp;""&amp;'Dry_Litterbag Placem_Collection'!J137)</f>
        <v>G77</v>
      </c>
      <c r="K136" s="267">
        <f>IFERROR(INDEX('Green_rooibos initial weight'!$C$5:$C$1749,MATCH(J136, 'Green_rooibos initial weight'!$A$5:$A$1749,0)),"")</f>
        <v>2.0190000000000001</v>
      </c>
      <c r="L136" s="267">
        <f>IFERROR(K136-(TBIcalc!$Q$9+TBIcalc!$Q$10),"")</f>
        <v>1.7692000000000001</v>
      </c>
      <c r="M136" s="391">
        <f>AVERAGE(Ashed_controlls!$K$2:$K$11)</f>
        <v>5.5147656768714146</v>
      </c>
      <c r="N136" s="267">
        <f t="shared" si="11"/>
        <v>1.6716327656447911</v>
      </c>
      <c r="O136" s="267">
        <f>IF(IFERROR(INDEX('Both teabags AfterDry'!$D$3:$D$900,MATCH(J136,'Both teabags AfterDry'!$A$3:$A$900,0)),"")="","",(IFERROR(INDEX('Both teabags AfterDry'!$D$3:$D$900,MATCH(J136,'Both teabags AfterDry'!$A$3:$A$900,0)),"")))</f>
        <v>0.94330000000000003</v>
      </c>
      <c r="P136" s="267">
        <f>IFERROR(IF(O136&gt;0,O136-(TBIcalc!$Q$9),""),"")</f>
        <v>0.79269999999999996</v>
      </c>
      <c r="Q136" s="278">
        <f>IFERROR(INDEX('Ashed teabags dry'!$K$2:$K$825,MATCH(J136,'Ashed teabags dry'!$A$2:$A$825,0)),"")</f>
        <v>34.179033030157882</v>
      </c>
      <c r="R136" s="278">
        <f t="shared" si="12"/>
        <v>0.52176280516993845</v>
      </c>
      <c r="S136" s="268">
        <f>'Dry_Litterbag Placem_Collection'!E137</f>
        <v>42939</v>
      </c>
      <c r="T136" s="268">
        <f>IF('Dry_Litterbag Placem_Collection'!G137="","",'Dry_Litterbag Placem_Collection'!G137)</f>
        <v>43008</v>
      </c>
      <c r="U136" s="269">
        <f t="shared" si="10"/>
        <v>69</v>
      </c>
      <c r="V136" s="267">
        <f t="shared" si="13"/>
        <v>0.97650000000000015</v>
      </c>
      <c r="W136" s="267">
        <f t="shared" si="14"/>
        <v>1.1498699604748528</v>
      </c>
      <c r="X136" s="271">
        <f>IFERROR(INDEX(Rainfall_Dry!$O$2:$O$217,MATCH(B136, Rainfall_Dry!$A$2:$A$217,0)),"")</f>
        <v>136.27214243</v>
      </c>
      <c r="Y136" s="260">
        <v>31.214836424255054</v>
      </c>
      <c r="Z136" s="260">
        <v>11.377370285476141</v>
      </c>
      <c r="AA136" s="260">
        <v>57.407793290268799</v>
      </c>
      <c r="AB136" s="261" t="s">
        <v>2670</v>
      </c>
      <c r="AC136" s="260">
        <v>7.7337604731394798</v>
      </c>
      <c r="AD136">
        <f>IF('WetLitterbags placem_collection'!AB137="","",'WetLitterbags placem_collection'!AB137)</f>
        <v>2.1</v>
      </c>
      <c r="AE136">
        <f>IF('WetLitterbags placem_collection'!Z137="","",'WetLitterbags placem_collection'!Z137)</f>
        <v>5.6</v>
      </c>
      <c r="AF136" s="24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71">
        <f>IFERROR(AVERAGE('Dry_Litterbag Placem_Collection'!N137,'Dry_Litterbag Placem_Collection'!Q137),"")</f>
        <v>31.35</v>
      </c>
      <c r="AJ136" s="270">
        <f>INDEX(Coordinates!$B$2:$B$197,MATCH(G136,Coordinates!$J$2:$J$197,0))</f>
        <v>-2.3503589909999998</v>
      </c>
      <c r="AK136" s="270">
        <f>INDEX(Coordinates!$C$2:$C$197,MATCH(G136,Coordinates!$J$2:$J$197,0))</f>
        <v>34.049719000000003</v>
      </c>
      <c r="AL136" s="270" t="str">
        <f>IF(ISNUMBER(SEARCH("C", 'Dry_Litterbag Placem_Collection'!S137)),"YES","NO")</f>
        <v>YES</v>
      </c>
      <c r="AM136" s="270" t="str">
        <f>IF(ISNUMBER(SEARCH("H", 'Dry_Litterbag Placem_Collection'!S137)),"YES","NO")</f>
        <v>YES</v>
      </c>
      <c r="AN136" s="270" t="str">
        <f>IF(ISNUMBER(SEARCH("R", 'Dry_Litterbag Placem_Collection'!S137)),"YES","NO")</f>
        <v>NO</v>
      </c>
    </row>
    <row r="137" spans="1:40" ht="15" customHeight="1">
      <c r="A137" s="262" t="s">
        <v>2659</v>
      </c>
      <c r="B137" s="263">
        <f>'Dry_Litterbag Placem_Collection'!A138</f>
        <v>136</v>
      </c>
      <c r="C137" s="263" t="str">
        <f>'Dry_Litterbag Placem_Collection'!B138</f>
        <v xml:space="preserve">Mwantimba
</v>
      </c>
      <c r="D137" s="263" t="s">
        <v>2460</v>
      </c>
      <c r="E137" s="263" t="s">
        <v>20</v>
      </c>
      <c r="F137" s="263">
        <v>1</v>
      </c>
      <c r="G137" s="264" t="str">
        <f>'Dry_Litterbag Placem_Collection'!C138</f>
        <v>Wet_P1_T8</v>
      </c>
      <c r="H137" s="265" t="s">
        <v>2541</v>
      </c>
      <c r="I137" s="266" t="s">
        <v>1147</v>
      </c>
      <c r="J137" s="263" t="str">
        <f>IF(ISBLANK('Dry_Litterbag Placem_Collection'!J138),"","G"&amp;""&amp;'Dry_Litterbag Placem_Collection'!J138)</f>
        <v>G332</v>
      </c>
      <c r="K137" s="267">
        <f>IFERROR(INDEX('Green_rooibos initial weight'!$C$5:$C$1749,MATCH(J137, 'Green_rooibos initial weight'!$A$5:$A$1749,0)),"")</f>
        <v>2.121</v>
      </c>
      <c r="L137" s="267">
        <f>IFERROR(K137-(TBIcalc!$Q$9+TBIcalc!$Q$10),"")</f>
        <v>1.8712</v>
      </c>
      <c r="M137" s="391">
        <f>AVERAGE(Ashed_controlls!$K$2:$K$11)</f>
        <v>5.5147656768714146</v>
      </c>
      <c r="N137" s="267">
        <f t="shared" si="11"/>
        <v>1.7680077046543821</v>
      </c>
      <c r="O137" s="267">
        <f>IF(IFERROR(INDEX('Both teabags AfterDry'!$D$3:$D$900,MATCH(J137,'Both teabags AfterDry'!$A$3:$A$900,0)),"")="","",(IFERROR(INDEX('Both teabags AfterDry'!$D$3:$D$900,MATCH(J137,'Both teabags AfterDry'!$A$3:$A$900,0)),"")))</f>
        <v>0.98260000000000003</v>
      </c>
      <c r="P137" s="267">
        <f>IFERROR(IF(O137&gt;0,O137-(TBIcalc!$Q$9),""),"")</f>
        <v>0.83200000000000007</v>
      </c>
      <c r="Q137" s="278">
        <f>IFERROR(INDEX('Ashed teabags dry'!$K$2:$K$825,MATCH(J137,'Ashed teabags dry'!$A$2:$A$825,0)),"")</f>
        <v>36.128717698681726</v>
      </c>
      <c r="R137" s="278">
        <f t="shared" si="12"/>
        <v>0.53140906874696814</v>
      </c>
      <c r="S137" s="268">
        <f>'Dry_Litterbag Placem_Collection'!E138</f>
        <v>42939</v>
      </c>
      <c r="T137" s="268">
        <f>IF('Dry_Litterbag Placem_Collection'!G138="","",'Dry_Litterbag Placem_Collection'!G138)</f>
        <v>43008</v>
      </c>
      <c r="U137" s="269">
        <f t="shared" si="10"/>
        <v>69</v>
      </c>
      <c r="V137" s="267">
        <f t="shared" si="13"/>
        <v>1.0391999999999999</v>
      </c>
      <c r="W137" s="267">
        <f t="shared" si="14"/>
        <v>1.2365986359074139</v>
      </c>
      <c r="X137" s="271">
        <f>IFERROR(INDEX(Rainfall_Dry!$O$2:$O$217,MATCH(B137, Rainfall_Dry!$A$2:$A$217,0)),"")</f>
        <v>136.27214243</v>
      </c>
      <c r="Y137" s="260">
        <v>31.214836424255054</v>
      </c>
      <c r="Z137" s="260">
        <v>11.377370285476141</v>
      </c>
      <c r="AA137" s="260">
        <v>57.407793290268799</v>
      </c>
      <c r="AB137" s="261" t="s">
        <v>2670</v>
      </c>
      <c r="AC137" s="260">
        <v>8.7337604731394798</v>
      </c>
      <c r="AD137">
        <f>IF('WetLitterbags placem_collection'!AB138="","",'WetLitterbags placem_collection'!AB138)</f>
        <v>2.2999999999999998</v>
      </c>
      <c r="AE137">
        <f>IF('WetLitterbags placem_collection'!Z138="","",'WetLitterbags placem_collection'!Z138)</f>
        <v>16.3</v>
      </c>
      <c r="AF137" s="24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71">
        <f>IFERROR(AVERAGE('Dry_Litterbag Placem_Collection'!N138,'Dry_Litterbag Placem_Collection'!Q138),"")</f>
        <v>29.9</v>
      </c>
      <c r="AJ137" s="270">
        <f>INDEX(Coordinates!$B$2:$B$197,MATCH(G137,Coordinates!$J$2:$J$197,0))</f>
        <v>-2.3502159960000002</v>
      </c>
      <c r="AK137" s="270">
        <f>INDEX(Coordinates!$C$2:$C$197,MATCH(G137,Coordinates!$J$2:$J$197,0))</f>
        <v>34.049822020000001</v>
      </c>
      <c r="AL137" s="270" t="str">
        <f>IF(ISNUMBER(SEARCH("C", 'Dry_Litterbag Placem_Collection'!S138)),"YES","NO")</f>
        <v>YES</v>
      </c>
      <c r="AM137" s="270" t="str">
        <f>IF(ISNUMBER(SEARCH("H", 'Dry_Litterbag Placem_Collection'!S138)),"YES","NO")</f>
        <v>NO</v>
      </c>
      <c r="AN137" s="270" t="str">
        <f>IF(ISNUMBER(SEARCH("R", 'Dry_Litterbag Placem_Collection'!S138)),"YES","NO")</f>
        <v>NO</v>
      </c>
    </row>
    <row r="138" spans="1:40" ht="15" customHeight="1">
      <c r="A138" s="262" t="s">
        <v>2659</v>
      </c>
      <c r="B138" s="263">
        <f>'Dry_Litterbag Placem_Collection'!A139</f>
        <v>137</v>
      </c>
      <c r="C138" s="263" t="str">
        <f>'Dry_Litterbag Placem_Collection'!B139</f>
        <v xml:space="preserve">Mwantimba
</v>
      </c>
      <c r="D138" s="263" t="s">
        <v>2460</v>
      </c>
      <c r="E138" s="263" t="s">
        <v>20</v>
      </c>
      <c r="F138" s="263">
        <v>2</v>
      </c>
      <c r="G138" s="264" t="str">
        <f>'Dry_Litterbag Placem_Collection'!C139</f>
        <v>Wet_P2_T1</v>
      </c>
      <c r="H138" s="265" t="s">
        <v>2541</v>
      </c>
      <c r="I138" s="266" t="s">
        <v>1147</v>
      </c>
      <c r="J138" s="263" t="str">
        <f>IF(ISBLANK('Dry_Litterbag Placem_Collection'!J139),"","G"&amp;""&amp;'Dry_Litterbag Placem_Collection'!J139)</f>
        <v>G30</v>
      </c>
      <c r="K138" s="267">
        <f>IFERROR(INDEX('Green_rooibos initial weight'!$C$5:$C$1749,MATCH(J138, 'Green_rooibos initial weight'!$A$5:$A$1749,0)),"")</f>
        <v>2.0680000000000001</v>
      </c>
      <c r="L138" s="267">
        <f>IFERROR(K138-(TBIcalc!$Q$9+TBIcalc!$Q$10),"")</f>
        <v>1.8182</v>
      </c>
      <c r="M138" s="391">
        <f>AVERAGE(Ashed_controlls!$K$2:$K$11)</f>
        <v>5.5147656768714146</v>
      </c>
      <c r="N138" s="267">
        <f t="shared" si="11"/>
        <v>1.7179305304631241</v>
      </c>
      <c r="O138" s="267">
        <f>IF(IFERROR(INDEX('Both teabags AfterDry'!$D$3:$D$900,MATCH(J138,'Both teabags AfterDry'!$A$3:$A$900,0)),"")="","",(IFERROR(INDEX('Both teabags AfterDry'!$D$3:$D$900,MATCH(J138,'Both teabags AfterDry'!$A$3:$A$900,0)),"")))</f>
        <v>0.80879999999999996</v>
      </c>
      <c r="P138" s="267">
        <f>IFERROR(IF(O138&gt;0,O138-(TBIcalc!$Q$9),""),"")</f>
        <v>0.6581999999999999</v>
      </c>
      <c r="Q138" s="278">
        <f>IFERROR(INDEX('Ashed teabags dry'!$K$2:$K$825,MATCH(J138,'Ashed teabags dry'!$A$2:$A$825,0)),"")</f>
        <v>19.57311534968159</v>
      </c>
      <c r="R138" s="278">
        <f t="shared" si="12"/>
        <v>0.52936975476839565</v>
      </c>
      <c r="S138" s="268">
        <f>'Dry_Litterbag Placem_Collection'!E139</f>
        <v>42939</v>
      </c>
      <c r="T138" s="268">
        <f>IF('Dry_Litterbag Placem_Collection'!G139="","",'Dry_Litterbag Placem_Collection'!G139)</f>
        <v>43008</v>
      </c>
      <c r="U138" s="269">
        <f t="shared" si="10"/>
        <v>69</v>
      </c>
      <c r="V138" s="267">
        <f t="shared" si="13"/>
        <v>1.1600000000000001</v>
      </c>
      <c r="W138" s="267">
        <f t="shared" si="14"/>
        <v>1.1885607756947283</v>
      </c>
      <c r="X138" s="271">
        <f>IFERROR(INDEX(Rainfall_Dry!$O$2:$O$217,MATCH(B138, Rainfall_Dry!$A$2:$A$217,0)),"")</f>
        <v>136.27214243</v>
      </c>
      <c r="Y138" s="260">
        <v>33.96</v>
      </c>
      <c r="Z138" s="260">
        <v>8.9200000000000017</v>
      </c>
      <c r="AA138" s="260">
        <v>57.12</v>
      </c>
      <c r="AB138" s="261" t="s">
        <v>2670</v>
      </c>
      <c r="AC138" s="260">
        <v>2.072055199605717</v>
      </c>
      <c r="AD138">
        <f>IF('WetLitterbags placem_collection'!AB139="","",'WetLitterbags placem_collection'!AB139)</f>
        <v>1.2</v>
      </c>
      <c r="AE138">
        <f>IF('WetLitterbags placem_collection'!Z139="","",'WetLitterbags placem_collection'!Z139)</f>
        <v>32.4</v>
      </c>
      <c r="AF138" s="24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71">
        <f>IFERROR(AVERAGE('Dry_Litterbag Placem_Collection'!N139,'Dry_Litterbag Placem_Collection'!Q139),"")</f>
        <v>27.55</v>
      </c>
      <c r="AJ138" s="270">
        <f>INDEX(Coordinates!$B$2:$B$197,MATCH(G138,Coordinates!$J$2:$J$197,0))</f>
        <v>-2.348596025</v>
      </c>
      <c r="AK138" s="270">
        <f>INDEX(Coordinates!$C$2:$C$197,MATCH(G138,Coordinates!$J$2:$J$197,0))</f>
        <v>34.050070959999999</v>
      </c>
      <c r="AL138" s="270" t="str">
        <f>IF(ISNUMBER(SEARCH("C", 'Dry_Litterbag Placem_Collection'!S139)),"YES","NO")</f>
        <v>NO</v>
      </c>
      <c r="AM138" s="270" t="str">
        <f>IF(ISNUMBER(SEARCH("H", 'Dry_Litterbag Placem_Collection'!S139)),"YES","NO")</f>
        <v>YES</v>
      </c>
      <c r="AN138" s="270" t="str">
        <f>IF(ISNUMBER(SEARCH("R", 'Dry_Litterbag Placem_Collection'!S139)),"YES","NO")</f>
        <v>NO</v>
      </c>
    </row>
    <row r="139" spans="1:40" ht="15" customHeight="1">
      <c r="A139" s="262" t="s">
        <v>2659</v>
      </c>
      <c r="B139" s="263">
        <f>'Dry_Litterbag Placem_Collection'!A140</f>
        <v>138</v>
      </c>
      <c r="C139" s="263" t="str">
        <f>'Dry_Litterbag Placem_Collection'!B140</f>
        <v xml:space="preserve">Mwantimba
</v>
      </c>
      <c r="D139" s="263" t="s">
        <v>2460</v>
      </c>
      <c r="E139" s="263" t="s">
        <v>20</v>
      </c>
      <c r="F139" s="263">
        <v>2</v>
      </c>
      <c r="G139" s="264" t="str">
        <f>'Dry_Litterbag Placem_Collection'!C140</f>
        <v>Wet_P2_T2</v>
      </c>
      <c r="H139" s="265" t="s">
        <v>2541</v>
      </c>
      <c r="I139" s="266" t="s">
        <v>1147</v>
      </c>
      <c r="J139" s="263" t="str">
        <f>IF(ISBLANK('Dry_Litterbag Placem_Collection'!J140),"","G"&amp;""&amp;'Dry_Litterbag Placem_Collection'!J140)</f>
        <v>G213</v>
      </c>
      <c r="K139" s="267">
        <f>IFERROR(INDEX('Green_rooibos initial weight'!$C$5:$C$1749,MATCH(J139, 'Green_rooibos initial weight'!$A$5:$A$1749,0)),"")</f>
        <v>2.0670000000000002</v>
      </c>
      <c r="L139" s="267">
        <f>IFERROR(K139-(TBIcalc!$Q$9+TBIcalc!$Q$10),"")</f>
        <v>1.8172000000000001</v>
      </c>
      <c r="M139" s="391">
        <f>AVERAGE(Ashed_controlls!$K$2:$K$11)</f>
        <v>5.5147656768714146</v>
      </c>
      <c r="N139" s="267">
        <f t="shared" si="11"/>
        <v>1.7169856781198929</v>
      </c>
      <c r="O139" s="267">
        <f>IF(IFERROR(INDEX('Both teabags AfterDry'!$D$3:$D$900,MATCH(J139,'Both teabags AfterDry'!$A$3:$A$900,0)),"")="","",(IFERROR(INDEX('Both teabags AfterDry'!$D$3:$D$900,MATCH(J139,'Both teabags AfterDry'!$A$3:$A$900,0)),"")))</f>
        <v>0.66200000000000003</v>
      </c>
      <c r="P139" s="267">
        <f>IFERROR(IF(O139&gt;0,O139-(TBIcalc!$Q$9),""),"")</f>
        <v>0.51140000000000008</v>
      </c>
      <c r="Q139" s="278">
        <f>IFERROR(INDEX('Ashed teabags dry'!$K$2:$K$825,MATCH(J139,'Ashed teabags dry'!$A$2:$A$825,0)),"")</f>
        <v>28.084896347481987</v>
      </c>
      <c r="R139" s="278">
        <f t="shared" si="12"/>
        <v>0.36777384007897718</v>
      </c>
      <c r="S139" s="268">
        <f>'Dry_Litterbag Placem_Collection'!E140</f>
        <v>42939</v>
      </c>
      <c r="T139" s="268">
        <f>IF('Dry_Litterbag Placem_Collection'!G140="","",'Dry_Litterbag Placem_Collection'!G140)</f>
        <v>43008</v>
      </c>
      <c r="U139" s="269">
        <f t="shared" si="10"/>
        <v>69</v>
      </c>
      <c r="V139" s="267">
        <f t="shared" si="13"/>
        <v>1.3058000000000001</v>
      </c>
      <c r="W139" s="267">
        <f t="shared" si="14"/>
        <v>1.3492118380409157</v>
      </c>
      <c r="X139" s="271">
        <f>IFERROR(INDEX(Rainfall_Dry!$O$2:$O$217,MATCH(B139, Rainfall_Dry!$A$2:$A$217,0)),"")</f>
        <v>136.27214243</v>
      </c>
      <c r="Y139" s="260">
        <v>33.96</v>
      </c>
      <c r="Z139" s="260">
        <v>8.9200000000000017</v>
      </c>
      <c r="AA139" s="260">
        <v>57.12</v>
      </c>
      <c r="AB139" s="261" t="s">
        <v>2670</v>
      </c>
      <c r="AC139" s="260">
        <v>3.0720551996057202</v>
      </c>
      <c r="AD139">
        <f>IF('WetLitterbags placem_collection'!AB140="","",'WetLitterbags placem_collection'!AB140)</f>
        <v>2.8</v>
      </c>
      <c r="AE139">
        <f>IF('WetLitterbags placem_collection'!Z140="","",'WetLitterbags placem_collection'!Z140)</f>
        <v>26.4</v>
      </c>
      <c r="AF139" s="24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71">
        <f>IFERROR(AVERAGE('Dry_Litterbag Placem_Collection'!N140,'Dry_Litterbag Placem_Collection'!Q140),"")</f>
        <v>28.799999999999997</v>
      </c>
      <c r="AJ139" s="270">
        <f>INDEX(Coordinates!$B$2:$B$197,MATCH(G139,Coordinates!$J$2:$J$197,0))</f>
        <v>-2.3485449790000001</v>
      </c>
      <c r="AK139" s="270">
        <f>INDEX(Coordinates!$C$2:$C$197,MATCH(G139,Coordinates!$J$2:$J$197,0))</f>
        <v>34.050146980000001</v>
      </c>
      <c r="AL139" s="270" t="str">
        <f>IF(ISNUMBER(SEARCH("C", 'Dry_Litterbag Placem_Collection'!S140)),"YES","NO")</f>
        <v>YES</v>
      </c>
      <c r="AM139" s="270" t="str">
        <f>IF(ISNUMBER(SEARCH("H", 'Dry_Litterbag Placem_Collection'!S140)),"YES","NO")</f>
        <v>YES</v>
      </c>
      <c r="AN139" s="270" t="str">
        <f>IF(ISNUMBER(SEARCH("R", 'Dry_Litterbag Placem_Collection'!S140)),"YES","NO")</f>
        <v>NO</v>
      </c>
    </row>
    <row r="140" spans="1:40" ht="15" customHeight="1">
      <c r="A140" s="262" t="s">
        <v>2659</v>
      </c>
      <c r="B140" s="263">
        <f>'Dry_Litterbag Placem_Collection'!A141</f>
        <v>139</v>
      </c>
      <c r="C140" s="263" t="str">
        <f>'Dry_Litterbag Placem_Collection'!B141</f>
        <v xml:space="preserve">Mwantimba
</v>
      </c>
      <c r="D140" s="263" t="s">
        <v>2460</v>
      </c>
      <c r="E140" s="263" t="s">
        <v>20</v>
      </c>
      <c r="F140" s="263">
        <v>2</v>
      </c>
      <c r="G140" s="264" t="str">
        <f>'Dry_Litterbag Placem_Collection'!C141</f>
        <v>Wet_P2_T3</v>
      </c>
      <c r="H140" s="265" t="s">
        <v>2541</v>
      </c>
      <c r="I140" s="266" t="s">
        <v>1147</v>
      </c>
      <c r="J140" s="263" t="str">
        <f>IF(ISBLANK('Dry_Litterbag Placem_Collection'!J141),"","G"&amp;""&amp;'Dry_Litterbag Placem_Collection'!J141)</f>
        <v>G17</v>
      </c>
      <c r="K140" s="267">
        <f>IFERROR(INDEX('Green_rooibos initial weight'!$C$5:$C$1749,MATCH(J140, 'Green_rooibos initial weight'!$A$5:$A$1749,0)),"")</f>
        <v>1.9870000000000001</v>
      </c>
      <c r="L140" s="267">
        <f>IFERROR(K140-(TBIcalc!$Q$9+TBIcalc!$Q$10),"")</f>
        <v>1.7372000000000001</v>
      </c>
      <c r="M140" s="391">
        <f>AVERAGE(Ashed_controlls!$K$2:$K$11)</f>
        <v>5.5147656768714146</v>
      </c>
      <c r="N140" s="267">
        <f t="shared" si="11"/>
        <v>1.64139749066139</v>
      </c>
      <c r="O140" s="267">
        <f>IF(IFERROR(INDEX('Both teabags AfterDry'!$D$3:$D$900,MATCH(J140,'Both teabags AfterDry'!$A$3:$A$900,0)),"")="","",(IFERROR(INDEX('Both teabags AfterDry'!$D$3:$D$900,MATCH(J140,'Both teabags AfterDry'!$A$3:$A$900,0)),"")))</f>
        <v>0.73580000000000001</v>
      </c>
      <c r="P140" s="267">
        <f>IFERROR(IF(O140&gt;0,O140-(TBIcalc!$Q$9),""),"")</f>
        <v>0.58519999999999994</v>
      </c>
      <c r="Q140" s="278">
        <f>IFERROR(INDEX('Ashed teabags dry'!$K$2:$K$825,MATCH(J140,'Ashed teabags dry'!$A$2:$A$825,0)),"")</f>
        <v>21.345029239766301</v>
      </c>
      <c r="R140" s="278">
        <f t="shared" si="12"/>
        <v>0.46028888888888758</v>
      </c>
      <c r="S140" s="268">
        <f>'Dry_Litterbag Placem_Collection'!E141</f>
        <v>42939</v>
      </c>
      <c r="T140" s="268">
        <f>IF('Dry_Litterbag Placem_Collection'!G141="","",'Dry_Litterbag Placem_Collection'!G141)</f>
        <v>43008</v>
      </c>
      <c r="U140" s="269">
        <f t="shared" si="10"/>
        <v>69</v>
      </c>
      <c r="V140" s="267">
        <f t="shared" si="13"/>
        <v>1.1520000000000001</v>
      </c>
      <c r="W140" s="267">
        <f t="shared" si="14"/>
        <v>1.1811086017725023</v>
      </c>
      <c r="X140" s="271">
        <f>IFERROR(INDEX(Rainfall_Dry!$O$2:$O$217,MATCH(B140, Rainfall_Dry!$A$2:$A$217,0)),"")</f>
        <v>136.27214243</v>
      </c>
      <c r="Y140" s="260">
        <v>33.96</v>
      </c>
      <c r="Z140" s="260">
        <v>8.9200000000000017</v>
      </c>
      <c r="AA140" s="260">
        <v>57.12</v>
      </c>
      <c r="AB140" s="261" t="s">
        <v>2670</v>
      </c>
      <c r="AC140" s="260">
        <v>4.0720551996057202</v>
      </c>
      <c r="AD140">
        <f>IF('WetLitterbags placem_collection'!AB141="","",'WetLitterbags placem_collection'!AB141)</f>
        <v>5.7</v>
      </c>
      <c r="AE140">
        <f>IF('WetLitterbags placem_collection'!Z141="","",'WetLitterbags placem_collection'!Z141)</f>
        <v>19.399999999999999</v>
      </c>
      <c r="AF140" s="24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71">
        <f>IFERROR(AVERAGE('Dry_Litterbag Placem_Collection'!N141,'Dry_Litterbag Placem_Collection'!Q141),"")</f>
        <v>28.15</v>
      </c>
      <c r="AJ140" s="270">
        <f>INDEX(Coordinates!$B$2:$B$197,MATCH(G140,Coordinates!$J$2:$J$197,0))</f>
        <v>-2.3487209990000002</v>
      </c>
      <c r="AK140" s="270">
        <f>INDEX(Coordinates!$C$2:$C$197,MATCH(G140,Coordinates!$J$2:$J$197,0))</f>
        <v>34.050128039999997</v>
      </c>
      <c r="AL140" s="270" t="str">
        <f>IF(ISNUMBER(SEARCH("C", 'Dry_Litterbag Placem_Collection'!S141)),"YES","NO")</f>
        <v>YES</v>
      </c>
      <c r="AM140" s="270" t="str">
        <f>IF(ISNUMBER(SEARCH("H", 'Dry_Litterbag Placem_Collection'!S141)),"YES","NO")</f>
        <v>YES</v>
      </c>
      <c r="AN140" s="270" t="str">
        <f>IF(ISNUMBER(SEARCH("R", 'Dry_Litterbag Placem_Collection'!S141)),"YES","NO")</f>
        <v>NO</v>
      </c>
    </row>
    <row r="141" spans="1:40" ht="15" customHeight="1">
      <c r="A141" s="262" t="s">
        <v>2659</v>
      </c>
      <c r="B141" s="263">
        <f>'Dry_Litterbag Placem_Collection'!A142</f>
        <v>140</v>
      </c>
      <c r="C141" s="263" t="str">
        <f>'Dry_Litterbag Placem_Collection'!B142</f>
        <v xml:space="preserve">Mwantimba
</v>
      </c>
      <c r="D141" s="263" t="s">
        <v>2460</v>
      </c>
      <c r="E141" s="263" t="s">
        <v>20</v>
      </c>
      <c r="F141" s="263">
        <v>2</v>
      </c>
      <c r="G141" s="264" t="str">
        <f>'Dry_Litterbag Placem_Collection'!C142</f>
        <v>Wet_P2_T4</v>
      </c>
      <c r="H141" s="265" t="s">
        <v>2541</v>
      </c>
      <c r="I141" s="266" t="s">
        <v>1147</v>
      </c>
      <c r="J141" s="263" t="str">
        <f>IF(ISBLANK('Dry_Litterbag Placem_Collection'!J142),"","G"&amp;""&amp;'Dry_Litterbag Placem_Collection'!J142)</f>
        <v>G401</v>
      </c>
      <c r="K141" s="267">
        <f>IFERROR(INDEX('Green_rooibos initial weight'!$C$5:$C$1749,MATCH(J141, 'Green_rooibos initial weight'!$A$5:$A$1749,0)),"")</f>
        <v>1.9390000000000001</v>
      </c>
      <c r="L141" s="267">
        <f>IFERROR(K141-(TBIcalc!$Q$9+TBIcalc!$Q$10),"")</f>
        <v>1.6892</v>
      </c>
      <c r="M141" s="391">
        <f>AVERAGE(Ashed_controlls!$K$2:$K$11)</f>
        <v>5.5147656768714146</v>
      </c>
      <c r="N141" s="267">
        <f t="shared" si="11"/>
        <v>1.5960445781862882</v>
      </c>
      <c r="O141" s="267">
        <f>IF(IFERROR(INDEX('Both teabags AfterDry'!$D$3:$D$900,MATCH(J141,'Both teabags AfterDry'!$A$3:$A$900,0)),"")="","",(IFERROR(INDEX('Both teabags AfterDry'!$D$3:$D$900,MATCH(J141,'Both teabags AfterDry'!$A$3:$A$900,0)),"")))</f>
        <v>0.9304</v>
      </c>
      <c r="P141" s="267">
        <f>IFERROR(IF(O141&gt;0,O141-(TBIcalc!$Q$9),""),"")</f>
        <v>0.77980000000000005</v>
      </c>
      <c r="Q141" s="278">
        <f>IFERROR(INDEX('Ashed teabags dry'!$K$2:$K$825,MATCH(J141,'Ashed teabags dry'!$A$2:$A$825,0)),"")</f>
        <v>22.900763358778644</v>
      </c>
      <c r="R141" s="278">
        <f t="shared" si="12"/>
        <v>0.60121984732824418</v>
      </c>
      <c r="S141" s="268">
        <f>'Dry_Litterbag Placem_Collection'!E142</f>
        <v>42939</v>
      </c>
      <c r="T141" s="268">
        <f>IF('Dry_Litterbag Placem_Collection'!G142="","",'Dry_Litterbag Placem_Collection'!G142)</f>
        <v>43008</v>
      </c>
      <c r="U141" s="269">
        <f t="shared" si="10"/>
        <v>69</v>
      </c>
      <c r="V141" s="267">
        <f t="shared" si="13"/>
        <v>0.90939999999999999</v>
      </c>
      <c r="W141" s="267">
        <f t="shared" si="14"/>
        <v>0.99482473085804402</v>
      </c>
      <c r="X141" s="271">
        <f>IFERROR(INDEX(Rainfall_Dry!$O$2:$O$217,MATCH(B141, Rainfall_Dry!$A$2:$A$217,0)),"")</f>
        <v>136.27214243</v>
      </c>
      <c r="Y141" s="260">
        <v>33.96</v>
      </c>
      <c r="Z141" s="260">
        <v>8.9200000000000017</v>
      </c>
      <c r="AA141" s="260">
        <v>57.12</v>
      </c>
      <c r="AB141" s="261" t="s">
        <v>2670</v>
      </c>
      <c r="AC141" s="260">
        <v>5.0720551996057202</v>
      </c>
      <c r="AD141">
        <f>IF('WetLitterbags placem_collection'!AB142="","",'WetLitterbags placem_collection'!AB142)</f>
        <v>1.4</v>
      </c>
      <c r="AE141">
        <f>IF('WetLitterbags placem_collection'!Z142="","",'WetLitterbags placem_collection'!Z142)</f>
        <v>33.4</v>
      </c>
      <c r="AF141" s="24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71">
        <f>IFERROR(AVERAGE('Dry_Litterbag Placem_Collection'!N142,'Dry_Litterbag Placem_Collection'!Q142),"")</f>
        <v>28</v>
      </c>
      <c r="AJ141" s="270">
        <f>INDEX(Coordinates!$B$2:$B$197,MATCH(G141,Coordinates!$J$2:$J$197,0))</f>
        <v>-2.3486250270000002</v>
      </c>
      <c r="AK141" s="270">
        <f>INDEX(Coordinates!$C$2:$C$197,MATCH(G141,Coordinates!$J$2:$J$197,0))</f>
        <v>34.050070959999999</v>
      </c>
      <c r="AL141" s="270" t="str">
        <f>IF(ISNUMBER(SEARCH("C", 'Dry_Litterbag Placem_Collection'!S142)),"YES","NO")</f>
        <v>NO</v>
      </c>
      <c r="AM141" s="270" t="str">
        <f>IF(ISNUMBER(SEARCH("H", 'Dry_Litterbag Placem_Collection'!S142)),"YES","NO")</f>
        <v>NO</v>
      </c>
      <c r="AN141" s="270" t="str">
        <f>IF(ISNUMBER(SEARCH("R", 'Dry_Litterbag Placem_Collection'!S142)),"YES","NO")</f>
        <v>YES</v>
      </c>
    </row>
    <row r="142" spans="1:40" ht="15" customHeight="1">
      <c r="A142" s="262" t="s">
        <v>2659</v>
      </c>
      <c r="B142" s="263">
        <f>'Dry_Litterbag Placem_Collection'!A143</f>
        <v>141</v>
      </c>
      <c r="C142" s="263" t="str">
        <f>'Dry_Litterbag Placem_Collection'!B143</f>
        <v xml:space="preserve">Mwantimba
</v>
      </c>
      <c r="D142" s="263" t="s">
        <v>2460</v>
      </c>
      <c r="E142" s="263" t="s">
        <v>20</v>
      </c>
      <c r="F142" s="263">
        <v>2</v>
      </c>
      <c r="G142" s="264" t="str">
        <f>'Dry_Litterbag Placem_Collection'!C143</f>
        <v>Wet_P2_T5</v>
      </c>
      <c r="H142" s="265" t="s">
        <v>2541</v>
      </c>
      <c r="I142" s="266" t="s">
        <v>1147</v>
      </c>
      <c r="J142" s="263" t="str">
        <f>IF(ISBLANK('Dry_Litterbag Placem_Collection'!J143),"","G"&amp;""&amp;'Dry_Litterbag Placem_Collection'!J143)</f>
        <v/>
      </c>
      <c r="K142" s="267" t="str">
        <f>IFERROR(INDEX('Green_rooibos initial weight'!$C$5:$C$1749,MATCH(J142, 'Green_rooibos initial weight'!$A$5:$A$1749,0)),"")</f>
        <v/>
      </c>
      <c r="L142" s="267" t="str">
        <f>IFERROR(K142-(TBIcalc!$Q$9+TBIcalc!$Q$10),"")</f>
        <v/>
      </c>
      <c r="M142" s="391">
        <f>AVERAGE(Ashed_controlls!$K$2:$K$11)</f>
        <v>5.5147656768714146</v>
      </c>
      <c r="N142" s="267" t="str">
        <f t="shared" si="11"/>
        <v/>
      </c>
      <c r="O142" s="267" t="str">
        <f>IF(IFERROR(INDEX('Both teabags AfterDry'!$D$3:$D$900,MATCH(J142,'Both teabags AfterDry'!$A$3:$A$900,0)),"")="","",(IFERROR(INDEX('Both teabags AfterDry'!$D$3:$D$900,MATCH(J142,'Both teabags AfterDry'!$A$3:$A$900,0)),"")))</f>
        <v/>
      </c>
      <c r="P142" s="267" t="str">
        <f>IFERROR(IF(O142&gt;0,O142-(TBIcalc!$Q$9),""),"")</f>
        <v/>
      </c>
      <c r="Q142" s="278" t="str">
        <f>IFERROR(INDEX('Ashed teabags dry'!$K$2:$K$825,MATCH(J142,'Ashed teabags dry'!$A$2:$A$825,0)),"")</f>
        <v/>
      </c>
      <c r="R142" s="278" t="str">
        <f t="shared" si="12"/>
        <v/>
      </c>
      <c r="S142" s="268">
        <f>'Dry_Litterbag Placem_Collection'!E143</f>
        <v>0</v>
      </c>
      <c r="T142" s="268" t="str">
        <f>IF('Dry_Litterbag Placem_Collection'!G143="","",'Dry_Litterbag Placem_Collection'!G143)</f>
        <v/>
      </c>
      <c r="U142" s="269" t="str">
        <f t="shared" si="10"/>
        <v/>
      </c>
      <c r="V142" s="267" t="str">
        <f t="shared" si="13"/>
        <v/>
      </c>
      <c r="W142" s="267" t="str">
        <f t="shared" si="14"/>
        <v/>
      </c>
      <c r="X142" s="271" t="str">
        <f>IFERROR(INDEX(Rainfall_Dry!$O$2:$O$217,MATCH(B142, Rainfall_Dry!$A$2:$A$217,0)),"")</f>
        <v/>
      </c>
      <c r="Y142" s="260">
        <v>33.96</v>
      </c>
      <c r="Z142" s="260">
        <v>8.9200000000000017</v>
      </c>
      <c r="AA142" s="260">
        <v>57.12</v>
      </c>
      <c r="AB142" s="261" t="s">
        <v>2670</v>
      </c>
      <c r="AC142" s="260">
        <v>6.0720551996057202</v>
      </c>
      <c r="AD142">
        <f>IF('WetLitterbags placem_collection'!AB143="","",'WetLitterbags placem_collection'!AB143)</f>
        <v>1.4</v>
      </c>
      <c r="AE142">
        <f>IF('WetLitterbags placem_collection'!Z143="","",'WetLitterbags placem_collection'!Z143)</f>
        <v>28.4</v>
      </c>
      <c r="AF142" s="24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71" t="str">
        <f>IFERROR(AVERAGE('Dry_Litterbag Placem_Collection'!N143,'Dry_Litterbag Placem_Collection'!Q143),"")</f>
        <v/>
      </c>
      <c r="AJ142" s="270">
        <f>INDEX(Coordinates!$B$2:$B$197,MATCH(G142,Coordinates!$J$2:$J$197,0))</f>
        <v>-2.3486060000000002</v>
      </c>
      <c r="AK142" s="270">
        <f>INDEX(Coordinates!$C$2:$C$197,MATCH(G142,Coordinates!$J$2:$J$197,0))</f>
        <v>34.050010020000002</v>
      </c>
      <c r="AL142" s="270" t="str">
        <f>IF(ISNUMBER(SEARCH("C", 'Dry_Litterbag Placem_Collection'!S143)),"YES","NO")</f>
        <v>NO</v>
      </c>
      <c r="AM142" s="270" t="str">
        <f>IF(ISNUMBER(SEARCH("H", 'Dry_Litterbag Placem_Collection'!S143)),"YES","NO")</f>
        <v>NO</v>
      </c>
      <c r="AN142" s="270" t="str">
        <f>IF(ISNUMBER(SEARCH("R", 'Dry_Litterbag Placem_Collection'!S143)),"YES","NO")</f>
        <v>NO</v>
      </c>
    </row>
    <row r="143" spans="1:40" ht="15" customHeight="1">
      <c r="A143" s="262" t="s">
        <v>2659</v>
      </c>
      <c r="B143" s="263">
        <f>'Dry_Litterbag Placem_Collection'!A144</f>
        <v>142</v>
      </c>
      <c r="C143" s="263" t="str">
        <f>'Dry_Litterbag Placem_Collection'!B144</f>
        <v xml:space="preserve">Mwantimba
</v>
      </c>
      <c r="D143" s="263" t="s">
        <v>2460</v>
      </c>
      <c r="E143" s="263" t="s">
        <v>20</v>
      </c>
      <c r="F143" s="263">
        <v>2</v>
      </c>
      <c r="G143" s="264" t="str">
        <f>'Dry_Litterbag Placem_Collection'!C144</f>
        <v>Wet_P2_T6</v>
      </c>
      <c r="H143" s="265" t="s">
        <v>2541</v>
      </c>
      <c r="I143" s="266" t="s">
        <v>1147</v>
      </c>
      <c r="J143" s="263" t="str">
        <f>IF(ISBLANK('Dry_Litterbag Placem_Collection'!J144),"","G"&amp;""&amp;'Dry_Litterbag Placem_Collection'!J144)</f>
        <v>G87</v>
      </c>
      <c r="K143" s="267">
        <f>IFERROR(INDEX('Green_rooibos initial weight'!$C$5:$C$1749,MATCH(J143, 'Green_rooibos initial weight'!$A$5:$A$1749,0)),"")</f>
        <v>1.9870000000000001</v>
      </c>
      <c r="L143" s="267">
        <f>IFERROR(K143-(TBIcalc!$Q$9+TBIcalc!$Q$10),"")</f>
        <v>1.7372000000000001</v>
      </c>
      <c r="M143" s="391">
        <f>AVERAGE(Ashed_controlls!$K$2:$K$11)</f>
        <v>5.5147656768714146</v>
      </c>
      <c r="N143" s="267">
        <f t="shared" si="11"/>
        <v>1.64139749066139</v>
      </c>
      <c r="O143" s="267" t="str">
        <f>IF(IFERROR(INDEX('Both teabags AfterDry'!$D$3:$D$900,MATCH(J143,'Both teabags AfterDry'!$A$3:$A$900,0)),"")="","",(IFERROR(INDEX('Both teabags AfterDry'!$D$3:$D$900,MATCH(J143,'Both teabags AfterDry'!$A$3:$A$900,0)),"")))</f>
        <v/>
      </c>
      <c r="P143" s="267" t="str">
        <f>IFERROR(IF(O143&gt;0,O143-(TBIcalc!$Q$9),""),"")</f>
        <v/>
      </c>
      <c r="Q143" s="278" t="str">
        <f>IFERROR(INDEX('Ashed teabags dry'!$K$2:$K$825,MATCH(J143,'Ashed teabags dry'!$A$2:$A$825,0)),"")</f>
        <v/>
      </c>
      <c r="R143" s="278" t="str">
        <f t="shared" si="12"/>
        <v/>
      </c>
      <c r="S143" s="268">
        <f>'Dry_Litterbag Placem_Collection'!E144</f>
        <v>42939</v>
      </c>
      <c r="T143" s="268">
        <f>IF('Dry_Litterbag Placem_Collection'!G144="","",'Dry_Litterbag Placem_Collection'!G144)</f>
        <v>43008</v>
      </c>
      <c r="U143" s="269">
        <f t="shared" si="10"/>
        <v>69</v>
      </c>
      <c r="V143" s="267" t="str">
        <f t="shared" si="13"/>
        <v/>
      </c>
      <c r="W143" s="267" t="str">
        <f t="shared" si="14"/>
        <v/>
      </c>
      <c r="X143" s="271">
        <f>IFERROR(INDEX(Rainfall_Dry!$O$2:$O$217,MATCH(B143, Rainfall_Dry!$A$2:$A$217,0)),"")</f>
        <v>136.27214243</v>
      </c>
      <c r="Y143" s="260">
        <v>33.96</v>
      </c>
      <c r="Z143" s="260">
        <v>8.9200000000000017</v>
      </c>
      <c r="AA143" s="260">
        <v>57.12</v>
      </c>
      <c r="AB143" s="261" t="s">
        <v>2670</v>
      </c>
      <c r="AC143" s="260">
        <v>7.0720551996057202</v>
      </c>
      <c r="AD143">
        <f>IF('WetLitterbags placem_collection'!AB144="","",'WetLitterbags placem_collection'!AB144)</f>
        <v>1.7</v>
      </c>
      <c r="AE143">
        <f>IF('WetLitterbags placem_collection'!Z144="","",'WetLitterbags placem_collection'!Z144)</f>
        <v>33.799999999999997</v>
      </c>
      <c r="AF143" s="24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71">
        <f>IFERROR(AVERAGE('Dry_Litterbag Placem_Collection'!N144,'Dry_Litterbag Placem_Collection'!Q144),"")</f>
        <v>28.4</v>
      </c>
      <c r="AJ143" s="270">
        <f>INDEX(Coordinates!$B$2:$B$197,MATCH(G143,Coordinates!$J$2:$J$197,0))</f>
        <v>-2.348618992</v>
      </c>
      <c r="AK143" s="270">
        <f>INDEX(Coordinates!$C$2:$C$197,MATCH(G143,Coordinates!$J$2:$J$197,0))</f>
        <v>34.049996030000003</v>
      </c>
      <c r="AL143" s="270" t="str">
        <f>IF(ISNUMBER(SEARCH("C", 'Dry_Litterbag Placem_Collection'!S144)),"YES","NO")</f>
        <v>YES</v>
      </c>
      <c r="AM143" s="270" t="str">
        <f>IF(ISNUMBER(SEARCH("H", 'Dry_Litterbag Placem_Collection'!S144)),"YES","NO")</f>
        <v>NO</v>
      </c>
      <c r="AN143" s="270" t="str">
        <f>IF(ISNUMBER(SEARCH("R", 'Dry_Litterbag Placem_Collection'!S144)),"YES","NO")</f>
        <v>YES</v>
      </c>
    </row>
    <row r="144" spans="1:40" ht="15" customHeight="1">
      <c r="A144" s="262" t="s">
        <v>2659</v>
      </c>
      <c r="B144" s="263">
        <f>'Dry_Litterbag Placem_Collection'!A145</f>
        <v>143</v>
      </c>
      <c r="C144" s="263" t="str">
        <f>'Dry_Litterbag Placem_Collection'!B145</f>
        <v xml:space="preserve">Mwantimba
</v>
      </c>
      <c r="D144" s="263" t="s">
        <v>2460</v>
      </c>
      <c r="E144" s="263" t="s">
        <v>20</v>
      </c>
      <c r="F144" s="263">
        <v>2</v>
      </c>
      <c r="G144" s="264" t="str">
        <f>'Dry_Litterbag Placem_Collection'!C145</f>
        <v>Wet_P2_T7</v>
      </c>
      <c r="H144" s="265" t="s">
        <v>2541</v>
      </c>
      <c r="I144" s="266" t="s">
        <v>1147</v>
      </c>
      <c r="J144" s="263" t="str">
        <f>IF(ISBLANK('Dry_Litterbag Placem_Collection'!J145),"","G"&amp;""&amp;'Dry_Litterbag Placem_Collection'!J145)</f>
        <v>G501</v>
      </c>
      <c r="K144" s="267">
        <f>IFERROR(INDEX('Green_rooibos initial weight'!$C$5:$C$1749,MATCH(J144, 'Green_rooibos initial weight'!$A$5:$A$1749,0)),"")</f>
        <v>1.917</v>
      </c>
      <c r="L144" s="267">
        <f>IFERROR(K144-(TBIcalc!$Q$9+TBIcalc!$Q$10),"")</f>
        <v>1.6672</v>
      </c>
      <c r="M144" s="391">
        <f>AVERAGE(Ashed_controlls!$K$2:$K$11)</f>
        <v>5.5147656768714146</v>
      </c>
      <c r="N144" s="267">
        <f t="shared" si="11"/>
        <v>1.5752578266351998</v>
      </c>
      <c r="O144" s="267">
        <f>IF(IFERROR(INDEX('Both teabags AfterDry'!$D$3:$D$900,MATCH(J144,'Both teabags AfterDry'!$A$3:$A$900,0)),"")="","",(IFERROR(INDEX('Both teabags AfterDry'!$D$3:$D$900,MATCH(J144,'Both teabags AfterDry'!$A$3:$A$900,0)),"")))</f>
        <v>0.78680000000000005</v>
      </c>
      <c r="P144" s="267">
        <f>IFERROR(IF(O144&gt;0,O144-(TBIcalc!$Q$9),""),"")</f>
        <v>0.6362000000000001</v>
      </c>
      <c r="Q144" s="278">
        <f>IFERROR(INDEX('Ashed teabags dry'!$K$2:$K$825,MATCH(J144,'Ashed teabags dry'!$A$2:$A$825,0)),"")</f>
        <v>20.618120237087211</v>
      </c>
      <c r="R144" s="278">
        <f t="shared" si="12"/>
        <v>0.50502751905165122</v>
      </c>
      <c r="S144" s="268">
        <f>'Dry_Litterbag Placem_Collection'!E145</f>
        <v>42939</v>
      </c>
      <c r="T144" s="268">
        <f>IF('Dry_Litterbag Placem_Collection'!G145="","",'Dry_Litterbag Placem_Collection'!G145)</f>
        <v>43008</v>
      </c>
      <c r="U144" s="269">
        <f t="shared" si="10"/>
        <v>69</v>
      </c>
      <c r="V144" s="267">
        <f t="shared" si="13"/>
        <v>1.0309999999999999</v>
      </c>
      <c r="W144" s="267">
        <f t="shared" si="14"/>
        <v>1.0702303075835484</v>
      </c>
      <c r="X144" s="271">
        <f>IFERROR(INDEX(Rainfall_Dry!$O$2:$O$217,MATCH(B144, Rainfall_Dry!$A$2:$A$217,0)),"")</f>
        <v>136.27214243</v>
      </c>
      <c r="Y144" s="260">
        <v>33.96</v>
      </c>
      <c r="Z144" s="260">
        <v>8.9200000000000017</v>
      </c>
      <c r="AA144" s="260">
        <v>57.12</v>
      </c>
      <c r="AB144" s="261" t="s">
        <v>2670</v>
      </c>
      <c r="AC144" s="260">
        <v>8.0720551996057193</v>
      </c>
      <c r="AD144">
        <f>IF('WetLitterbags placem_collection'!AB145="","",'WetLitterbags placem_collection'!AB145)</f>
        <v>2</v>
      </c>
      <c r="AE144">
        <f>IF('WetLitterbags placem_collection'!Z145="","",'WetLitterbags placem_collection'!Z145)</f>
        <v>23.4</v>
      </c>
      <c r="AF144" s="24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71">
        <f>IFERROR(AVERAGE('Dry_Litterbag Placem_Collection'!N145,'Dry_Litterbag Placem_Collection'!Q145),"")</f>
        <v>28</v>
      </c>
      <c r="AJ144" s="270">
        <f>INDEX(Coordinates!$B$2:$B$197,MATCH(G144,Coordinates!$J$2:$J$197,0))</f>
        <v>-2.3484970349999998</v>
      </c>
      <c r="AK144" s="270">
        <f>INDEX(Coordinates!$C$2:$C$197,MATCH(G144,Coordinates!$J$2:$J$197,0))</f>
        <v>34.049979010000001</v>
      </c>
      <c r="AL144" s="270" t="str">
        <f>IF(ISNUMBER(SEARCH("C", 'Dry_Litterbag Placem_Collection'!S145)),"YES","NO")</f>
        <v>NO</v>
      </c>
      <c r="AM144" s="270" t="str">
        <f>IF(ISNUMBER(SEARCH("H", 'Dry_Litterbag Placem_Collection'!S145)),"YES","NO")</f>
        <v>NO</v>
      </c>
      <c r="AN144" s="270" t="str">
        <f>IF(ISNUMBER(SEARCH("R", 'Dry_Litterbag Placem_Collection'!S145)),"YES","NO")</f>
        <v>NO</v>
      </c>
    </row>
    <row r="145" spans="1:40" ht="15" customHeight="1">
      <c r="A145" s="262" t="s">
        <v>2659</v>
      </c>
      <c r="B145" s="263">
        <f>'Dry_Litterbag Placem_Collection'!A146</f>
        <v>144</v>
      </c>
      <c r="C145" s="263" t="str">
        <f>'Dry_Litterbag Placem_Collection'!B146</f>
        <v xml:space="preserve">Mwantimba
</v>
      </c>
      <c r="D145" s="263" t="s">
        <v>2460</v>
      </c>
      <c r="E145" s="263" t="s">
        <v>20</v>
      </c>
      <c r="F145" s="263">
        <v>2</v>
      </c>
      <c r="G145" s="264" t="str">
        <f>'Dry_Litterbag Placem_Collection'!C146</f>
        <v>Wet_P2_T8</v>
      </c>
      <c r="H145" s="265" t="s">
        <v>2541</v>
      </c>
      <c r="I145" s="266" t="s">
        <v>1147</v>
      </c>
      <c r="J145" s="263" t="str">
        <f>IF(ISBLANK('Dry_Litterbag Placem_Collection'!J146),"","G"&amp;""&amp;'Dry_Litterbag Placem_Collection'!J146)</f>
        <v>G141</v>
      </c>
      <c r="K145" s="267">
        <f>IFERROR(INDEX('Green_rooibos initial weight'!$C$5:$C$1749,MATCH(J145, 'Green_rooibos initial weight'!$A$5:$A$1749,0)),"")</f>
        <v>2.0310000000000001</v>
      </c>
      <c r="L145" s="267">
        <f>IFERROR(K145-(TBIcalc!$Q$9+TBIcalc!$Q$10),"")</f>
        <v>1.7812000000000001</v>
      </c>
      <c r="M145" s="391">
        <f>AVERAGE(Ashed_controlls!$K$2:$K$11)</f>
        <v>5.5147656768714146</v>
      </c>
      <c r="N145" s="267">
        <f t="shared" si="11"/>
        <v>1.6829709937635664</v>
      </c>
      <c r="O145" s="267">
        <f>IF(IFERROR(INDEX('Both teabags AfterDry'!$D$3:$D$900,MATCH(J145,'Both teabags AfterDry'!$A$3:$A$900,0)),"")="","",(IFERROR(INDEX('Both teabags AfterDry'!$D$3:$D$900,MATCH(J145,'Both teabags AfterDry'!$A$3:$A$900,0)),"")))</f>
        <v>0.66180000000000005</v>
      </c>
      <c r="P145" s="267">
        <f>IFERROR(IF(O145&gt;0,O145-(TBIcalc!$Q$9),""),"")</f>
        <v>0.5112000000000001</v>
      </c>
      <c r="Q145" s="278">
        <f>IFERROR(INDEX('Ashed teabags dry'!$K$2:$K$825,MATCH(J145,'Ashed teabags dry'!$A$2:$A$825,0)),"")</f>
        <v>16.886930983847094</v>
      </c>
      <c r="R145" s="278">
        <f t="shared" si="12"/>
        <v>0.42487400881057374</v>
      </c>
      <c r="S145" s="268">
        <f>'Dry_Litterbag Placem_Collection'!E146</f>
        <v>42939</v>
      </c>
      <c r="T145" s="268">
        <f>IF('Dry_Litterbag Placem_Collection'!G146="","",'Dry_Litterbag Placem_Collection'!G146)</f>
        <v>43008</v>
      </c>
      <c r="U145" s="269">
        <f t="shared" si="10"/>
        <v>69</v>
      </c>
      <c r="V145" s="267">
        <f t="shared" si="13"/>
        <v>1.27</v>
      </c>
      <c r="W145" s="267">
        <f t="shared" si="14"/>
        <v>1.2580969849529926</v>
      </c>
      <c r="X145" s="271">
        <f>IFERROR(INDEX(Rainfall_Dry!$O$2:$O$217,MATCH(B145, Rainfall_Dry!$A$2:$A$217,0)),"")</f>
        <v>136.27214243</v>
      </c>
      <c r="Y145" s="260">
        <v>33.96</v>
      </c>
      <c r="Z145" s="260">
        <v>8.9200000000000017</v>
      </c>
      <c r="AA145" s="260">
        <v>57.12</v>
      </c>
      <c r="AB145" s="261" t="s">
        <v>2670</v>
      </c>
      <c r="AC145" s="260">
        <v>9.0720551996057193</v>
      </c>
      <c r="AD145">
        <f>IF('WetLitterbags placem_collection'!AB146="","",'WetLitterbags placem_collection'!AB146)</f>
        <v>2.5</v>
      </c>
      <c r="AE145">
        <f>IF('WetLitterbags placem_collection'!Z146="","",'WetLitterbags placem_collection'!Z146)</f>
        <v>19.8</v>
      </c>
      <c r="AF145" s="24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71">
        <f>IFERROR(AVERAGE('Dry_Litterbag Placem_Collection'!N146,'Dry_Litterbag Placem_Collection'!Q146),"")</f>
        <v>29.15</v>
      </c>
      <c r="AJ145" s="270">
        <f>INDEX(Coordinates!$B$2:$B$197,MATCH(G145,Coordinates!$J$2:$J$197,0))</f>
        <v>-2.3486560399999998</v>
      </c>
      <c r="AK145" s="270">
        <f>INDEX(Coordinates!$C$2:$C$197,MATCH(G145,Coordinates!$J$2:$J$197,0))</f>
        <v>34.049895020000001</v>
      </c>
      <c r="AL145" s="270" t="str">
        <f>IF(ISNUMBER(SEARCH("C", 'Dry_Litterbag Placem_Collection'!S146)),"YES","NO")</f>
        <v>NO</v>
      </c>
      <c r="AM145" s="270" t="str">
        <f>IF(ISNUMBER(SEARCH("H", 'Dry_Litterbag Placem_Collection'!S146)),"YES","NO")</f>
        <v>YES</v>
      </c>
      <c r="AN145" s="270" t="str">
        <f>IF(ISNUMBER(SEARCH("R", 'Dry_Litterbag Placem_Collection'!S146)),"YES","NO")</f>
        <v>NO</v>
      </c>
    </row>
    <row r="146" spans="1:40" ht="15" customHeight="1">
      <c r="A146" s="262" t="s">
        <v>2659</v>
      </c>
      <c r="B146" s="263">
        <f>'Dry_Litterbag Placem_Collection'!A147</f>
        <v>145</v>
      </c>
      <c r="C146" s="263" t="str">
        <f>'Dry_Litterbag Placem_Collection'!B147</f>
        <v xml:space="preserve">Mwantimba
</v>
      </c>
      <c r="D146" s="263" t="s">
        <v>2460</v>
      </c>
      <c r="E146" s="263" t="s">
        <v>20</v>
      </c>
      <c r="F146" s="263">
        <v>3</v>
      </c>
      <c r="G146" s="264" t="str">
        <f>'Dry_Litterbag Placem_Collection'!C147</f>
        <v>Wet_P3_T1</v>
      </c>
      <c r="H146" s="265" t="s">
        <v>2541</v>
      </c>
      <c r="I146" s="266" t="s">
        <v>1147</v>
      </c>
      <c r="J146" s="263" t="str">
        <f>IF(ISBLANK('Dry_Litterbag Placem_Collection'!J147),"","G"&amp;""&amp;'Dry_Litterbag Placem_Collection'!J147)</f>
        <v>G131</v>
      </c>
      <c r="K146" s="267">
        <f>IFERROR(INDEX('Green_rooibos initial weight'!$C$5:$C$1749,MATCH(J146, 'Green_rooibos initial weight'!$A$5:$A$1749,0)),"")</f>
        <v>1.9670000000000001</v>
      </c>
      <c r="L146" s="267">
        <f>IFERROR(K146-(TBIcalc!$Q$9+TBIcalc!$Q$10),"")</f>
        <v>1.7172000000000001</v>
      </c>
      <c r="M146" s="391">
        <f>AVERAGE(Ashed_controlls!$K$2:$K$11)</f>
        <v>5.5147656768714146</v>
      </c>
      <c r="N146" s="267">
        <f t="shared" si="11"/>
        <v>1.6225004437967641</v>
      </c>
      <c r="O146" s="267">
        <f>IF(IFERROR(INDEX('Both teabags AfterDry'!$D$3:$D$900,MATCH(J146,'Both teabags AfterDry'!$A$3:$A$900,0)),"")="","",(IFERROR(INDEX('Both teabags AfterDry'!$D$3:$D$900,MATCH(J146,'Both teabags AfterDry'!$A$3:$A$900,0)),"")))</f>
        <v>1.544</v>
      </c>
      <c r="P146" s="267">
        <f>IFERROR(IF(O146&gt;0,O146-(TBIcalc!$Q$9),""),"")</f>
        <v>1.3934</v>
      </c>
      <c r="Q146" s="278">
        <f>IFERROR(INDEX('Ashed teabags dry'!$K$2:$K$825,MATCH(J146,'Ashed teabags dry'!$A$2:$A$825,0)),"")</f>
        <v>8.3820662768028189</v>
      </c>
      <c r="R146" s="278">
        <f t="shared" si="12"/>
        <v>1.2766042884990294</v>
      </c>
      <c r="S146" s="268">
        <f>'Dry_Litterbag Placem_Collection'!E147</f>
        <v>42939</v>
      </c>
      <c r="T146" s="268">
        <f>IF('Dry_Litterbag Placem_Collection'!G147="","",'Dry_Litterbag Placem_Collection'!G147)</f>
        <v>43010</v>
      </c>
      <c r="U146" s="269">
        <f t="shared" si="10"/>
        <v>71</v>
      </c>
      <c r="V146" s="267">
        <f t="shared" si="13"/>
        <v>0.32380000000000009</v>
      </c>
      <c r="W146" s="267">
        <f t="shared" si="14"/>
        <v>0.34589615529773465</v>
      </c>
      <c r="X146" s="271">
        <f>IFERROR(INDEX(Rainfall_Dry!$O$2:$O$217,MATCH(B146, Rainfall_Dry!$A$2:$A$217,0)),"")</f>
        <v>137.19979645800001</v>
      </c>
      <c r="Y146" s="260">
        <v>39.96</v>
      </c>
      <c r="Z146" s="260">
        <v>12.920000000000002</v>
      </c>
      <c r="AA146" s="260">
        <v>47.12</v>
      </c>
      <c r="AB146" s="261" t="s">
        <v>2674</v>
      </c>
      <c r="AC146" s="260">
        <v>1.6549531789058647</v>
      </c>
      <c r="AD146">
        <f>IF('WetLitterbags placem_collection'!AB147="","",'WetLitterbags placem_collection'!AB147)</f>
        <v>3.95</v>
      </c>
      <c r="AE146">
        <f>IF('WetLitterbags placem_collection'!Z147="","",'WetLitterbags placem_collection'!Z147)</f>
        <v>13</v>
      </c>
      <c r="AF146" s="24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71">
        <f>IFERROR(AVERAGE('Dry_Litterbag Placem_Collection'!N147,'Dry_Litterbag Placem_Collection'!Q147),"")</f>
        <v>30</v>
      </c>
      <c r="AJ146" s="270">
        <f>INDEX(Coordinates!$B$2:$B$197,MATCH(G146,Coordinates!$J$2:$J$197,0))</f>
        <v>-2.3675269729999999</v>
      </c>
      <c r="AK146" s="270">
        <f>INDEX(Coordinates!$C$2:$C$197,MATCH(G146,Coordinates!$J$2:$J$197,0))</f>
        <v>34.06035799</v>
      </c>
      <c r="AL146" s="270" t="str">
        <f>IF(ISNUMBER(SEARCH("C", 'Dry_Litterbag Placem_Collection'!S147)),"YES","NO")</f>
        <v>NO</v>
      </c>
      <c r="AM146" s="270" t="str">
        <f>IF(ISNUMBER(SEARCH("H", 'Dry_Litterbag Placem_Collection'!S147)),"YES","NO")</f>
        <v>NO</v>
      </c>
      <c r="AN146" s="270" t="str">
        <f>IF(ISNUMBER(SEARCH("R", 'Dry_Litterbag Placem_Collection'!S147)),"YES","NO")</f>
        <v>NO</v>
      </c>
    </row>
    <row r="147" spans="1:40" ht="15" customHeight="1">
      <c r="A147" s="262" t="s">
        <v>2659</v>
      </c>
      <c r="B147" s="263">
        <f>'Dry_Litterbag Placem_Collection'!A148</f>
        <v>146</v>
      </c>
      <c r="C147" s="263" t="str">
        <f>'Dry_Litterbag Placem_Collection'!B148</f>
        <v xml:space="preserve">Mwantimba
</v>
      </c>
      <c r="D147" s="263" t="s">
        <v>2460</v>
      </c>
      <c r="E147" s="263" t="s">
        <v>20</v>
      </c>
      <c r="F147" s="263">
        <v>3</v>
      </c>
      <c r="G147" s="264" t="str">
        <f>'Dry_Litterbag Placem_Collection'!C148</f>
        <v>Wet_P3_T2</v>
      </c>
      <c r="H147" s="265" t="s">
        <v>2541</v>
      </c>
      <c r="I147" s="266" t="s">
        <v>1147</v>
      </c>
      <c r="J147" s="263" t="str">
        <f>IF(ISBLANK('Dry_Litterbag Placem_Collection'!J148),"","G"&amp;""&amp;'Dry_Litterbag Placem_Collection'!J148)</f>
        <v>G465</v>
      </c>
      <c r="K147" s="267">
        <f>IFERROR(INDEX('Green_rooibos initial weight'!$C$5:$C$1749,MATCH(J147, 'Green_rooibos initial weight'!$A$5:$A$1749,0)),"")</f>
        <v>2.004</v>
      </c>
      <c r="L147" s="267">
        <f>IFERROR(K147-(TBIcalc!$Q$9+TBIcalc!$Q$10),"")</f>
        <v>1.7542</v>
      </c>
      <c r="M147" s="391">
        <f>AVERAGE(Ashed_controlls!$K$2:$K$11)</f>
        <v>5.5147656768714146</v>
      </c>
      <c r="N147" s="267">
        <f t="shared" si="11"/>
        <v>1.6574599804963217</v>
      </c>
      <c r="O147" s="267">
        <f>IF(IFERROR(INDEX('Both teabags AfterDry'!$D$3:$D$900,MATCH(J147,'Both teabags AfterDry'!$A$3:$A$900,0)),"")="","",(IFERROR(INDEX('Both teabags AfterDry'!$D$3:$D$900,MATCH(J147,'Both teabags AfterDry'!$A$3:$A$900,0)),"")))</f>
        <v>1.6845000000000001</v>
      </c>
      <c r="P147" s="267">
        <f>IFERROR(IF(O147&gt;0,O147-(TBIcalc!$Q$9),""),"")</f>
        <v>1.5339</v>
      </c>
      <c r="Q147" s="278">
        <f>IFERROR(INDEX('Ashed teabags dry'!$K$2:$K$825,MATCH(J147,'Ashed teabags dry'!$A$2:$A$825,0)),"")</f>
        <v>6.8675889328057185</v>
      </c>
      <c r="R147" s="278">
        <f t="shared" si="12"/>
        <v>1.4285580533596931</v>
      </c>
      <c r="S147" s="268">
        <f>'Dry_Litterbag Placem_Collection'!E148</f>
        <v>42939</v>
      </c>
      <c r="T147" s="268">
        <f>IF('Dry_Litterbag Placem_Collection'!G148="","",'Dry_Litterbag Placem_Collection'!G148)</f>
        <v>43010</v>
      </c>
      <c r="U147" s="269">
        <f t="shared" si="10"/>
        <v>71</v>
      </c>
      <c r="V147" s="267">
        <f t="shared" si="13"/>
        <v>0.22029999999999994</v>
      </c>
      <c r="W147" s="267">
        <f t="shared" si="14"/>
        <v>0.2289019271366286</v>
      </c>
      <c r="X147" s="271">
        <f>IFERROR(INDEX(Rainfall_Dry!$O$2:$O$217,MATCH(B147, Rainfall_Dry!$A$2:$A$217,0)),"")</f>
        <v>137.19979645800001</v>
      </c>
      <c r="Y147" s="260">
        <v>39.96</v>
      </c>
      <c r="Z147" s="260">
        <v>12.920000000000002</v>
      </c>
      <c r="AA147" s="260">
        <v>47.12</v>
      </c>
      <c r="AB147" s="261" t="s">
        <v>2674</v>
      </c>
      <c r="AC147" s="260">
        <v>2.6549531789058598</v>
      </c>
      <c r="AD147">
        <f>IF('WetLitterbags placem_collection'!AB148="","",'WetLitterbags placem_collection'!AB148)</f>
        <v>2.75</v>
      </c>
      <c r="AE147">
        <f>IF('WetLitterbags placem_collection'!Z148="","",'WetLitterbags placem_collection'!Z148)</f>
        <v>17.7</v>
      </c>
      <c r="AF147" s="24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71">
        <f>IFERROR(AVERAGE('Dry_Litterbag Placem_Collection'!N148,'Dry_Litterbag Placem_Collection'!Q148),"")</f>
        <v>31</v>
      </c>
      <c r="AJ147" s="270">
        <f>INDEX(Coordinates!$B$2:$B$197,MATCH(G147,Coordinates!$J$2:$J$197,0))</f>
        <v>-2.3675380370000001</v>
      </c>
      <c r="AK147" s="270">
        <f>INDEX(Coordinates!$C$2:$C$197,MATCH(G147,Coordinates!$J$2:$J$197,0))</f>
        <v>34.060381960000001</v>
      </c>
      <c r="AL147" s="270" t="str">
        <f>IF(ISNUMBER(SEARCH("C", 'Dry_Litterbag Placem_Collection'!S148)),"YES","NO")</f>
        <v>NO</v>
      </c>
      <c r="AM147" s="270" t="str">
        <f>IF(ISNUMBER(SEARCH("H", 'Dry_Litterbag Placem_Collection'!S148)),"YES","NO")</f>
        <v>NO</v>
      </c>
      <c r="AN147" s="270" t="str">
        <f>IF(ISNUMBER(SEARCH("R", 'Dry_Litterbag Placem_Collection'!S148)),"YES","NO")</f>
        <v>NO</v>
      </c>
    </row>
    <row r="148" spans="1:40" ht="15" customHeight="1">
      <c r="A148" s="262" t="s">
        <v>2659</v>
      </c>
      <c r="B148" s="263">
        <f>'Dry_Litterbag Placem_Collection'!A149</f>
        <v>147</v>
      </c>
      <c r="C148" s="263" t="str">
        <f>'Dry_Litterbag Placem_Collection'!B149</f>
        <v xml:space="preserve">Mwantimba
</v>
      </c>
      <c r="D148" s="263" t="s">
        <v>2460</v>
      </c>
      <c r="E148" s="263" t="s">
        <v>20</v>
      </c>
      <c r="F148" s="263">
        <v>3</v>
      </c>
      <c r="G148" s="264" t="str">
        <f>'Dry_Litterbag Placem_Collection'!C149</f>
        <v>Wet_P3_T3</v>
      </c>
      <c r="H148" s="265" t="s">
        <v>2541</v>
      </c>
      <c r="I148" s="266" t="s">
        <v>1147</v>
      </c>
      <c r="J148" s="263" t="str">
        <f>IF(ISBLANK('Dry_Litterbag Placem_Collection'!J149),"","G"&amp;""&amp;'Dry_Litterbag Placem_Collection'!J149)</f>
        <v>G15</v>
      </c>
      <c r="K148" s="267">
        <f>IFERROR(INDEX('Green_rooibos initial weight'!$C$5:$C$1749,MATCH(J148, 'Green_rooibos initial weight'!$A$5:$A$1749,0)),"")</f>
        <v>2.0510000000000002</v>
      </c>
      <c r="L148" s="267">
        <f>IFERROR(K148-(TBIcalc!$Q$9+TBIcalc!$Q$10),"")</f>
        <v>1.8012000000000001</v>
      </c>
      <c r="M148" s="391">
        <f>AVERAGE(Ashed_controlls!$K$2:$K$11)</f>
        <v>5.5147656768714146</v>
      </c>
      <c r="N148" s="267">
        <f t="shared" si="11"/>
        <v>1.7018680406281923</v>
      </c>
      <c r="O148" s="267">
        <f>IF(IFERROR(INDEX('Both teabags AfterDry'!$D$3:$D$900,MATCH(J148,'Both teabags AfterDry'!$A$3:$A$900,0)),"")="","",(IFERROR(INDEX('Both teabags AfterDry'!$D$3:$D$900,MATCH(J148,'Both teabags AfterDry'!$A$3:$A$900,0)),"")))</f>
        <v>1.6711</v>
      </c>
      <c r="P148" s="267">
        <f>IFERROR(IF(O148&gt;0,O148-(TBIcalc!$Q$9),""),"")</f>
        <v>1.5205</v>
      </c>
      <c r="Q148" s="278">
        <f>IFERROR(INDEX('Ashed teabags dry'!$K$2:$K$825,MATCH(J148,'Ashed teabags dry'!$A$2:$A$825,0)),"")</f>
        <v>6.9790628115651439</v>
      </c>
      <c r="R148" s="278">
        <f t="shared" si="12"/>
        <v>1.4143833499501519</v>
      </c>
      <c r="S148" s="268">
        <f>'Dry_Litterbag Placem_Collection'!E149</f>
        <v>42939</v>
      </c>
      <c r="T148" s="268">
        <f>IF('Dry_Litterbag Placem_Collection'!G149="","",'Dry_Litterbag Placem_Collection'!G149)</f>
        <v>43010</v>
      </c>
      <c r="U148" s="269">
        <f t="shared" si="10"/>
        <v>71</v>
      </c>
      <c r="V148" s="267">
        <f t="shared" si="13"/>
        <v>0.28070000000000017</v>
      </c>
      <c r="W148" s="267">
        <f t="shared" si="14"/>
        <v>0.28748469067804039</v>
      </c>
      <c r="X148" s="271">
        <f>IFERROR(INDEX(Rainfall_Dry!$O$2:$O$217,MATCH(B148, Rainfall_Dry!$A$2:$A$217,0)),"")</f>
        <v>137.19979645800001</v>
      </c>
      <c r="Y148" s="260">
        <v>39.96</v>
      </c>
      <c r="Z148" s="260">
        <v>12.920000000000002</v>
      </c>
      <c r="AA148" s="260">
        <v>47.12</v>
      </c>
      <c r="AB148" s="261" t="s">
        <v>2674</v>
      </c>
      <c r="AC148" s="260">
        <v>3.6549531789058598</v>
      </c>
      <c r="AD148">
        <f>IF('WetLitterbags placem_collection'!AB149="","",'WetLitterbags placem_collection'!AB149)</f>
        <v>3.6</v>
      </c>
      <c r="AE148">
        <f>IF('WetLitterbags placem_collection'!Z149="","",'WetLitterbags placem_collection'!Z149)</f>
        <v>19</v>
      </c>
      <c r="AF148" s="24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71">
        <f>IFERROR(AVERAGE('Dry_Litterbag Placem_Collection'!N149,'Dry_Litterbag Placem_Collection'!Q149),"")</f>
        <v>29.900000000000002</v>
      </c>
      <c r="AJ148" s="270">
        <f>INDEX(Coordinates!$B$2:$B$197,MATCH(G148,Coordinates!$J$2:$J$197,0))</f>
        <v>-2.3675780180000001</v>
      </c>
      <c r="AK148" s="270">
        <f>INDEX(Coordinates!$C$2:$C$197,MATCH(G148,Coordinates!$J$2:$J$197,0))</f>
        <v>34.060323029999999</v>
      </c>
      <c r="AL148" s="270" t="str">
        <f>IF(ISNUMBER(SEARCH("C", 'Dry_Litterbag Placem_Collection'!S149)),"YES","NO")</f>
        <v>NO</v>
      </c>
      <c r="AM148" s="270" t="str">
        <f>IF(ISNUMBER(SEARCH("H", 'Dry_Litterbag Placem_Collection'!S149)),"YES","NO")</f>
        <v>NO</v>
      </c>
      <c r="AN148" s="270" t="str">
        <f>IF(ISNUMBER(SEARCH("R", 'Dry_Litterbag Placem_Collection'!S149)),"YES","NO")</f>
        <v>NO</v>
      </c>
    </row>
    <row r="149" spans="1:40" ht="15" customHeight="1">
      <c r="A149" s="262" t="s">
        <v>2659</v>
      </c>
      <c r="B149" s="263">
        <f>'Dry_Litterbag Placem_Collection'!A150</f>
        <v>148</v>
      </c>
      <c r="C149" s="263" t="str">
        <f>'Dry_Litterbag Placem_Collection'!B150</f>
        <v xml:space="preserve">Mwantimba
</v>
      </c>
      <c r="D149" s="263" t="s">
        <v>2460</v>
      </c>
      <c r="E149" s="263" t="s">
        <v>20</v>
      </c>
      <c r="F149" s="263">
        <v>3</v>
      </c>
      <c r="G149" s="264" t="str">
        <f>'Dry_Litterbag Placem_Collection'!C150</f>
        <v>Wet_P3_T4</v>
      </c>
      <c r="H149" s="265" t="s">
        <v>2541</v>
      </c>
      <c r="I149" s="266" t="s">
        <v>1147</v>
      </c>
      <c r="J149" s="263" t="str">
        <f>IF(ISBLANK('Dry_Litterbag Placem_Collection'!J150),"","G"&amp;""&amp;'Dry_Litterbag Placem_Collection'!J150)</f>
        <v>G290</v>
      </c>
      <c r="K149" s="267">
        <f>IFERROR(INDEX('Green_rooibos initial weight'!$C$5:$C$1749,MATCH(J149, 'Green_rooibos initial weight'!$A$5:$A$1749,0)),"")</f>
        <v>2.0539999999999998</v>
      </c>
      <c r="L149" s="267">
        <f>IFERROR(K149-(TBIcalc!$Q$9+TBIcalc!$Q$10),"")</f>
        <v>1.8041999999999998</v>
      </c>
      <c r="M149" s="391">
        <f>AVERAGE(Ashed_controlls!$K$2:$K$11)</f>
        <v>5.5147656768714146</v>
      </c>
      <c r="N149" s="267">
        <f t="shared" si="11"/>
        <v>1.7047025976578858</v>
      </c>
      <c r="O149" s="267">
        <f>IF(IFERROR(INDEX('Both teabags AfterDry'!$D$3:$D$900,MATCH(J149,'Both teabags AfterDry'!$A$3:$A$900,0)),"")="","",(IFERROR(INDEX('Both teabags AfterDry'!$D$3:$D$900,MATCH(J149,'Both teabags AfterDry'!$A$3:$A$900,0)),"")))</f>
        <v>1.6564000000000001</v>
      </c>
      <c r="P149" s="267">
        <f>IFERROR(IF(O149&gt;0,O149-(TBIcalc!$Q$9),""),"")</f>
        <v>1.5058</v>
      </c>
      <c r="Q149" s="278">
        <f>IFERROR(INDEX('Ashed teabags dry'!$K$2:$K$825,MATCH(J149,'Ashed teabags dry'!$A$2:$A$825,0)),"")</f>
        <v>7.4552269887550784</v>
      </c>
      <c r="R149" s="278">
        <f t="shared" si="12"/>
        <v>1.393539192003326</v>
      </c>
      <c r="S149" s="268">
        <f>'Dry_Litterbag Placem_Collection'!E150</f>
        <v>42939</v>
      </c>
      <c r="T149" s="268">
        <f>IF('Dry_Litterbag Placem_Collection'!G150="","",'Dry_Litterbag Placem_Collection'!G150)</f>
        <v>43010</v>
      </c>
      <c r="U149" s="269">
        <f t="shared" si="10"/>
        <v>71</v>
      </c>
      <c r="V149" s="267">
        <f t="shared" si="13"/>
        <v>0.29839999999999978</v>
      </c>
      <c r="W149" s="267">
        <f t="shared" si="14"/>
        <v>0.3111634056545598</v>
      </c>
      <c r="X149" s="271">
        <f>IFERROR(INDEX(Rainfall_Dry!$O$2:$O$217,MATCH(B149, Rainfall_Dry!$A$2:$A$217,0)),"")</f>
        <v>137.19979645800001</v>
      </c>
      <c r="Y149" s="260">
        <v>39.96</v>
      </c>
      <c r="Z149" s="260">
        <v>12.920000000000002</v>
      </c>
      <c r="AA149" s="260">
        <v>47.12</v>
      </c>
      <c r="AB149" s="261" t="s">
        <v>2674</v>
      </c>
      <c r="AC149" s="260">
        <v>4.6549531789058696</v>
      </c>
      <c r="AD149">
        <f>IF('WetLitterbags placem_collection'!AB150="","",'WetLitterbags placem_collection'!AB150)</f>
        <v>4.9000000000000004</v>
      </c>
      <c r="AE149">
        <f>IF('WetLitterbags placem_collection'!Z150="","",'WetLitterbags placem_collection'!Z150)</f>
        <v>17.489999999999998</v>
      </c>
      <c r="AF149" s="24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71">
        <f>IFERROR(AVERAGE('Dry_Litterbag Placem_Collection'!N150,'Dry_Litterbag Placem_Collection'!Q150),"")</f>
        <v>31.6</v>
      </c>
      <c r="AJ149" s="270">
        <f>INDEX(Coordinates!$B$2:$B$197,MATCH(G149,Coordinates!$J$2:$J$197,0))</f>
        <v>-2.3676269689999998</v>
      </c>
      <c r="AK149" s="270">
        <f>INDEX(Coordinates!$C$2:$C$197,MATCH(G149,Coordinates!$J$2:$J$197,0))</f>
        <v>34.060310960000002</v>
      </c>
      <c r="AL149" s="270" t="str">
        <f>IF(ISNUMBER(SEARCH("C", 'Dry_Litterbag Placem_Collection'!S150)),"YES","NO")</f>
        <v>NO</v>
      </c>
      <c r="AM149" s="270" t="str">
        <f>IF(ISNUMBER(SEARCH("H", 'Dry_Litterbag Placem_Collection'!S150)),"YES","NO")</f>
        <v>NO</v>
      </c>
      <c r="AN149" s="270" t="str">
        <f>IF(ISNUMBER(SEARCH("R", 'Dry_Litterbag Placem_Collection'!S150)),"YES","NO")</f>
        <v>NO</v>
      </c>
    </row>
    <row r="150" spans="1:40" ht="15" customHeight="1">
      <c r="A150" s="262" t="s">
        <v>2659</v>
      </c>
      <c r="B150" s="263">
        <f>'Dry_Litterbag Placem_Collection'!A151</f>
        <v>149</v>
      </c>
      <c r="C150" s="263" t="str">
        <f>'Dry_Litterbag Placem_Collection'!B151</f>
        <v xml:space="preserve">Mwantimba
</v>
      </c>
      <c r="D150" s="263" t="s">
        <v>2460</v>
      </c>
      <c r="E150" s="263" t="s">
        <v>20</v>
      </c>
      <c r="F150" s="263">
        <v>3</v>
      </c>
      <c r="G150" s="264" t="str">
        <f>'Dry_Litterbag Placem_Collection'!C151</f>
        <v>Wet_P3_T5</v>
      </c>
      <c r="H150" s="265" t="s">
        <v>2541</v>
      </c>
      <c r="I150" s="266" t="s">
        <v>1147</v>
      </c>
      <c r="J150" s="263" t="str">
        <f>IF(ISBLANK('Dry_Litterbag Placem_Collection'!J151),"","G"&amp;""&amp;'Dry_Litterbag Placem_Collection'!J151)</f>
        <v>G194</v>
      </c>
      <c r="K150" s="267">
        <f>IFERROR(INDEX('Green_rooibos initial weight'!$C$5:$C$1749,MATCH(J150, 'Green_rooibos initial weight'!$A$5:$A$1749,0)),"")</f>
        <v>2.032</v>
      </c>
      <c r="L150" s="267">
        <f>IFERROR(K150-(TBIcalc!$Q$9+TBIcalc!$Q$10),"")</f>
        <v>1.7822</v>
      </c>
      <c r="M150" s="391">
        <f>AVERAGE(Ashed_controlls!$K$2:$K$11)</f>
        <v>5.5147656768714146</v>
      </c>
      <c r="N150" s="267">
        <f t="shared" si="11"/>
        <v>1.6839158461067976</v>
      </c>
      <c r="O150" s="267">
        <f>IF(IFERROR(INDEX('Both teabags AfterDry'!$D$3:$D$900,MATCH(J150,'Both teabags AfterDry'!$A$3:$A$900,0)),"")="","",(IFERROR(INDEX('Both teabags AfterDry'!$D$3:$D$900,MATCH(J150,'Both teabags AfterDry'!$A$3:$A$900,0)),"")))</f>
        <v>1.56</v>
      </c>
      <c r="P150" s="267">
        <f>IFERROR(IF(O150&gt;0,O150-(TBIcalc!$Q$9),""),"")</f>
        <v>1.4094</v>
      </c>
      <c r="Q150" s="278">
        <f>IFERROR(INDEX('Ashed teabags dry'!$K$2:$K$825,MATCH(J150,'Ashed teabags dry'!$A$2:$A$825,0)),"")</f>
        <v>7.1186440677962963</v>
      </c>
      <c r="R150" s="278">
        <f t="shared" si="12"/>
        <v>1.3090698305084789</v>
      </c>
      <c r="S150" s="268">
        <f>'Dry_Litterbag Placem_Collection'!E151</f>
        <v>42939</v>
      </c>
      <c r="T150" s="268">
        <f>IF('Dry_Litterbag Placem_Collection'!G151="","",'Dry_Litterbag Placem_Collection'!G151)</f>
        <v>43010</v>
      </c>
      <c r="U150" s="269">
        <f t="shared" si="10"/>
        <v>71</v>
      </c>
      <c r="V150" s="267">
        <f t="shared" si="13"/>
        <v>0.37280000000000002</v>
      </c>
      <c r="W150" s="267">
        <f t="shared" si="14"/>
        <v>0.37484601559831865</v>
      </c>
      <c r="X150" s="271">
        <f>IFERROR(INDEX(Rainfall_Dry!$O$2:$O$217,MATCH(B150, Rainfall_Dry!$A$2:$A$217,0)),"")</f>
        <v>137.19979645800001</v>
      </c>
      <c r="Y150" s="260">
        <v>39.96</v>
      </c>
      <c r="Z150" s="260">
        <v>12.920000000000002</v>
      </c>
      <c r="AA150" s="260">
        <v>47.12</v>
      </c>
      <c r="AB150" s="261" t="s">
        <v>2674</v>
      </c>
      <c r="AC150" s="260">
        <v>5.6549531789058696</v>
      </c>
      <c r="AD150">
        <f>IF('WetLitterbags placem_collection'!AB151="","",'WetLitterbags placem_collection'!AB151)</f>
        <v>2.8</v>
      </c>
      <c r="AE150">
        <f>IF('WetLitterbags placem_collection'!Z151="","",'WetLitterbags placem_collection'!Z151)</f>
        <v>13</v>
      </c>
      <c r="AF150" s="24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71">
        <f>IFERROR(AVERAGE('Dry_Litterbag Placem_Collection'!N151,'Dry_Litterbag Placem_Collection'!Q151),"")</f>
        <v>31</v>
      </c>
      <c r="AJ150" s="270">
        <f>INDEX(Coordinates!$B$2:$B$197,MATCH(G150,Coordinates!$J$2:$J$197,0))</f>
        <v>-2.3677179960000001</v>
      </c>
      <c r="AK150" s="270">
        <f>INDEX(Coordinates!$C$2:$C$197,MATCH(G150,Coordinates!$J$2:$J$197,0))</f>
        <v>34.060324960000003</v>
      </c>
      <c r="AL150" s="270" t="str">
        <f>IF(ISNUMBER(SEARCH("C", 'Dry_Litterbag Placem_Collection'!S151)),"YES","NO")</f>
        <v>NO</v>
      </c>
      <c r="AM150" s="270" t="str">
        <f>IF(ISNUMBER(SEARCH("H", 'Dry_Litterbag Placem_Collection'!S151)),"YES","NO")</f>
        <v>NO</v>
      </c>
      <c r="AN150" s="270" t="str">
        <f>IF(ISNUMBER(SEARCH("R", 'Dry_Litterbag Placem_Collection'!S151)),"YES","NO")</f>
        <v>NO</v>
      </c>
    </row>
    <row r="151" spans="1:40" ht="15" customHeight="1">
      <c r="A151" s="262" t="s">
        <v>2659</v>
      </c>
      <c r="B151" s="263">
        <f>'Dry_Litterbag Placem_Collection'!A152</f>
        <v>150</v>
      </c>
      <c r="C151" s="263" t="str">
        <f>'Dry_Litterbag Placem_Collection'!B152</f>
        <v xml:space="preserve">Mwantimba
</v>
      </c>
      <c r="D151" s="263" t="s">
        <v>2460</v>
      </c>
      <c r="E151" s="263" t="s">
        <v>20</v>
      </c>
      <c r="F151" s="263">
        <v>3</v>
      </c>
      <c r="G151" s="264" t="str">
        <f>'Dry_Litterbag Placem_Collection'!C152</f>
        <v>Wet_P3_T6</v>
      </c>
      <c r="H151" s="265" t="s">
        <v>2541</v>
      </c>
      <c r="I151" s="266" t="s">
        <v>1147</v>
      </c>
      <c r="J151" s="263" t="str">
        <f>IF(ISBLANK('Dry_Litterbag Placem_Collection'!J152),"","G"&amp;""&amp;'Dry_Litterbag Placem_Collection'!J152)</f>
        <v>G272</v>
      </c>
      <c r="K151" s="267">
        <f>IFERROR(INDEX('Green_rooibos initial weight'!$C$5:$C$1749,MATCH(J151, 'Green_rooibos initial weight'!$A$5:$A$1749,0)),"")</f>
        <v>2.0649999999999999</v>
      </c>
      <c r="L151" s="267">
        <f>IFERROR(K151-(TBIcalc!$Q$9+TBIcalc!$Q$10),"")</f>
        <v>1.8151999999999999</v>
      </c>
      <c r="M151" s="391">
        <f>AVERAGE(Ashed_controlls!$K$2:$K$11)</f>
        <v>5.5147656768714146</v>
      </c>
      <c r="N151" s="267">
        <f t="shared" si="11"/>
        <v>1.7150959734334301</v>
      </c>
      <c r="O151" s="267" t="str">
        <f>IF(IFERROR(INDEX('Both teabags AfterDry'!$D$3:$D$900,MATCH(J151,'Both teabags AfterDry'!$A$3:$A$900,0)),"")="","",(IFERROR(INDEX('Both teabags AfterDry'!$D$3:$D$900,MATCH(J151,'Both teabags AfterDry'!$A$3:$A$900,0)),"")))</f>
        <v/>
      </c>
      <c r="P151" s="267" t="str">
        <f>IFERROR(IF(O151&gt;0,O151-(TBIcalc!$Q$9),""),"")</f>
        <v/>
      </c>
      <c r="Q151" s="278" t="str">
        <f>IFERROR(INDEX('Ashed teabags dry'!$K$2:$K$825,MATCH(J151,'Ashed teabags dry'!$A$2:$A$825,0)),"")</f>
        <v/>
      </c>
      <c r="R151" s="278" t="str">
        <f t="shared" si="12"/>
        <v/>
      </c>
      <c r="S151" s="268">
        <f>'Dry_Litterbag Placem_Collection'!E152</f>
        <v>42939</v>
      </c>
      <c r="T151" s="268">
        <f>IF('Dry_Litterbag Placem_Collection'!G152="","",'Dry_Litterbag Placem_Collection'!G152)</f>
        <v>43010</v>
      </c>
      <c r="U151" s="269">
        <f t="shared" si="10"/>
        <v>71</v>
      </c>
      <c r="V151" s="267" t="str">
        <f t="shared" si="13"/>
        <v/>
      </c>
      <c r="W151" s="267" t="str">
        <f t="shared" si="14"/>
        <v/>
      </c>
      <c r="X151" s="271">
        <f>IFERROR(INDEX(Rainfall_Dry!$O$2:$O$217,MATCH(B151, Rainfall_Dry!$A$2:$A$217,0)),"")</f>
        <v>137.19979645800001</v>
      </c>
      <c r="Y151" s="260">
        <v>39.96</v>
      </c>
      <c r="Z151" s="260">
        <v>12.920000000000002</v>
      </c>
      <c r="AA151" s="260">
        <v>47.12</v>
      </c>
      <c r="AB151" s="261" t="s">
        <v>2674</v>
      </c>
      <c r="AC151" s="260">
        <v>6.6549531789058696</v>
      </c>
      <c r="AD151">
        <f>IF('WetLitterbags placem_collection'!AB152="","",'WetLitterbags placem_collection'!AB152)</f>
        <v>2.75</v>
      </c>
      <c r="AE151">
        <f>IF('WetLitterbags placem_collection'!Z152="","",'WetLitterbags placem_collection'!Z152)</f>
        <v>19</v>
      </c>
      <c r="AF151" s="24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71">
        <f>IFERROR(AVERAGE('Dry_Litterbag Placem_Collection'!N152,'Dry_Litterbag Placem_Collection'!Q152),"")</f>
        <v>30.8</v>
      </c>
      <c r="AJ151" s="270">
        <f>INDEX(Coordinates!$B$2:$B$197,MATCH(G151,Coordinates!$J$2:$J$197,0))</f>
        <v>-2.3675230329999999</v>
      </c>
      <c r="AK151" s="270">
        <f>INDEX(Coordinates!$C$2:$C$197,MATCH(G151,Coordinates!$J$2:$J$197,0))</f>
        <v>34.060512969999998</v>
      </c>
      <c r="AL151" s="270" t="str">
        <f>IF(ISNUMBER(SEARCH("C", 'Dry_Litterbag Placem_Collection'!S152)),"YES","NO")</f>
        <v>NO</v>
      </c>
      <c r="AM151" s="270" t="str">
        <f>IF(ISNUMBER(SEARCH("H", 'Dry_Litterbag Placem_Collection'!S152)),"YES","NO")</f>
        <v>YES</v>
      </c>
      <c r="AN151" s="270" t="str">
        <f>IF(ISNUMBER(SEARCH("R", 'Dry_Litterbag Placem_Collection'!S152)),"YES","NO")</f>
        <v>NO</v>
      </c>
    </row>
    <row r="152" spans="1:40" ht="15" customHeight="1">
      <c r="A152" s="262" t="s">
        <v>2659</v>
      </c>
      <c r="B152" s="263">
        <f>'Dry_Litterbag Placem_Collection'!A153</f>
        <v>151</v>
      </c>
      <c r="C152" s="263" t="str">
        <f>'Dry_Litterbag Placem_Collection'!B153</f>
        <v xml:space="preserve">Mwantimba
</v>
      </c>
      <c r="D152" s="263" t="s">
        <v>2460</v>
      </c>
      <c r="E152" s="263" t="s">
        <v>20</v>
      </c>
      <c r="F152" s="263">
        <v>3</v>
      </c>
      <c r="G152" s="264" t="str">
        <f>'Dry_Litterbag Placem_Collection'!C153</f>
        <v>Wet_P3_T7</v>
      </c>
      <c r="H152" s="265" t="s">
        <v>2541</v>
      </c>
      <c r="I152" s="266" t="s">
        <v>1147</v>
      </c>
      <c r="J152" s="263" t="str">
        <f>IF(ISBLANK('Dry_Litterbag Placem_Collection'!J153),"","G"&amp;""&amp;'Dry_Litterbag Placem_Collection'!J153)</f>
        <v/>
      </c>
      <c r="K152" s="267" t="str">
        <f>IFERROR(INDEX('Green_rooibos initial weight'!$C$5:$C$1749,MATCH(J152, 'Green_rooibos initial weight'!$A$5:$A$1749,0)),"")</f>
        <v/>
      </c>
      <c r="L152" s="267" t="str">
        <f>IFERROR(K152-(TBIcalc!$Q$9+TBIcalc!$Q$10),"")</f>
        <v/>
      </c>
      <c r="M152" s="391">
        <f>AVERAGE(Ashed_controlls!$K$2:$K$11)</f>
        <v>5.5147656768714146</v>
      </c>
      <c r="N152" s="267" t="str">
        <f t="shared" si="11"/>
        <v/>
      </c>
      <c r="O152" s="267" t="str">
        <f>IF(IFERROR(INDEX('Both teabags AfterDry'!$D$3:$D$900,MATCH(J152,'Both teabags AfterDry'!$A$3:$A$900,0)),"")="","",(IFERROR(INDEX('Both teabags AfterDry'!$D$3:$D$900,MATCH(J152,'Both teabags AfterDry'!$A$3:$A$900,0)),"")))</f>
        <v/>
      </c>
      <c r="P152" s="267" t="str">
        <f>IFERROR(IF(O152&gt;0,O152-(TBIcalc!$Q$9),""),"")</f>
        <v/>
      </c>
      <c r="Q152" s="278" t="str">
        <f>IFERROR(INDEX('Ashed teabags dry'!$K$2:$K$825,MATCH(J152,'Ashed teabags dry'!$A$2:$A$825,0)),"")</f>
        <v/>
      </c>
      <c r="R152" s="278" t="str">
        <f t="shared" si="12"/>
        <v/>
      </c>
      <c r="S152" s="268">
        <f>'Dry_Litterbag Placem_Collection'!E153</f>
        <v>0</v>
      </c>
      <c r="T152" s="268" t="str">
        <f>IF('Dry_Litterbag Placem_Collection'!G153="","",'Dry_Litterbag Placem_Collection'!G153)</f>
        <v/>
      </c>
      <c r="U152" s="269" t="str">
        <f t="shared" si="10"/>
        <v/>
      </c>
      <c r="V152" s="267" t="str">
        <f t="shared" si="13"/>
        <v/>
      </c>
      <c r="W152" s="267" t="str">
        <f t="shared" si="14"/>
        <v/>
      </c>
      <c r="X152" s="271" t="str">
        <f>IFERROR(INDEX(Rainfall_Dry!$O$2:$O$217,MATCH(B152, Rainfall_Dry!$A$2:$A$217,0)),"")</f>
        <v/>
      </c>
      <c r="Y152" s="260">
        <v>39.96</v>
      </c>
      <c r="Z152" s="260">
        <v>12.920000000000002</v>
      </c>
      <c r="AA152" s="260">
        <v>47.12</v>
      </c>
      <c r="AB152" s="261" t="s">
        <v>2674</v>
      </c>
      <c r="AC152" s="260">
        <v>7.6549531789058696</v>
      </c>
      <c r="AD152">
        <f>IF('WetLitterbags placem_collection'!AB153="","",'WetLitterbags placem_collection'!AB153)</f>
        <v>1.4</v>
      </c>
      <c r="AE152">
        <f>IF('WetLitterbags placem_collection'!Z153="","",'WetLitterbags placem_collection'!Z153)</f>
        <v>7.9</v>
      </c>
      <c r="AF152" s="24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71" t="str">
        <f>IFERROR(AVERAGE('Dry_Litterbag Placem_Collection'!N153,'Dry_Litterbag Placem_Collection'!Q153),"")</f>
        <v/>
      </c>
      <c r="AJ152" s="270">
        <f>INDEX(Coordinates!$B$2:$B$197,MATCH(G152,Coordinates!$J$2:$J$197,0))</f>
        <v>-2.3673460070000001</v>
      </c>
      <c r="AK152" s="270">
        <f>INDEX(Coordinates!$C$2:$C$197,MATCH(G152,Coordinates!$J$2:$J$197,0))</f>
        <v>34.060310039999997</v>
      </c>
      <c r="AL152" s="270" t="str">
        <f>IF(ISNUMBER(SEARCH("C", 'Dry_Litterbag Placem_Collection'!S153)),"YES","NO")</f>
        <v>NO</v>
      </c>
      <c r="AM152" s="270" t="str">
        <f>IF(ISNUMBER(SEARCH("H", 'Dry_Litterbag Placem_Collection'!S153)),"YES","NO")</f>
        <v>NO</v>
      </c>
      <c r="AN152" s="270" t="str">
        <f>IF(ISNUMBER(SEARCH("R", 'Dry_Litterbag Placem_Collection'!S153)),"YES","NO")</f>
        <v>NO</v>
      </c>
    </row>
    <row r="153" spans="1:40" ht="15" customHeight="1">
      <c r="A153" s="262" t="s">
        <v>2659</v>
      </c>
      <c r="B153" s="263">
        <f>'Dry_Litterbag Placem_Collection'!A154</f>
        <v>152</v>
      </c>
      <c r="C153" s="263" t="str">
        <f>'Dry_Litterbag Placem_Collection'!B154</f>
        <v xml:space="preserve">Mwantimba
</v>
      </c>
      <c r="D153" s="263" t="s">
        <v>2460</v>
      </c>
      <c r="E153" s="263" t="s">
        <v>20</v>
      </c>
      <c r="F153" s="263">
        <v>3</v>
      </c>
      <c r="G153" s="264" t="str">
        <f>'Dry_Litterbag Placem_Collection'!C154</f>
        <v>Wet_P3_T8</v>
      </c>
      <c r="H153" s="265" t="s">
        <v>2541</v>
      </c>
      <c r="I153" s="266" t="s">
        <v>1147</v>
      </c>
      <c r="J153" s="263" t="str">
        <f>IF(ISBLANK('Dry_Litterbag Placem_Collection'!J154),"","G"&amp;""&amp;'Dry_Litterbag Placem_Collection'!J154)</f>
        <v>G198</v>
      </c>
      <c r="K153" s="267">
        <f>IFERROR(INDEX('Green_rooibos initial weight'!$C$5:$C$1749,MATCH(J153, 'Green_rooibos initial weight'!$A$5:$A$1749,0)),"")</f>
        <v>1.931</v>
      </c>
      <c r="L153" s="267">
        <f>IFERROR(K153-(TBIcalc!$Q$9+TBIcalc!$Q$10),"")</f>
        <v>1.6812</v>
      </c>
      <c r="M153" s="391">
        <f>AVERAGE(Ashed_controlls!$K$2:$K$11)</f>
        <v>5.5147656768714146</v>
      </c>
      <c r="N153" s="267">
        <f t="shared" si="11"/>
        <v>1.5884857594404378</v>
      </c>
      <c r="O153" s="267">
        <f>IF(IFERROR(INDEX('Both teabags AfterDry'!$D$3:$D$900,MATCH(J153,'Both teabags AfterDry'!$A$3:$A$900,0)),"")="","",(IFERROR(INDEX('Both teabags AfterDry'!$D$3:$D$900,MATCH(J153,'Both teabags AfterDry'!$A$3:$A$900,0)),"")))</f>
        <v>1.3654999999999999</v>
      </c>
      <c r="P153" s="267">
        <f>IFERROR(IF(O153&gt;0,O153-(TBIcalc!$Q$9),""),"")</f>
        <v>1.2148999999999999</v>
      </c>
      <c r="Q153" s="278">
        <f>IFERROR(INDEX('Ashed teabags dry'!$K$2:$K$825,MATCH(J153,'Ashed teabags dry'!$A$2:$A$825,0)),"")</f>
        <v>10.100586756077433</v>
      </c>
      <c r="R153" s="278">
        <f t="shared" si="12"/>
        <v>1.0921879715004152</v>
      </c>
      <c r="S153" s="268">
        <f>'Dry_Litterbag Placem_Collection'!E154</f>
        <v>42939</v>
      </c>
      <c r="T153" s="268">
        <f>IF('Dry_Litterbag Placem_Collection'!G154="","",'Dry_Litterbag Placem_Collection'!G154)</f>
        <v>43010</v>
      </c>
      <c r="U153" s="269">
        <f t="shared" si="10"/>
        <v>71</v>
      </c>
      <c r="V153" s="267">
        <f t="shared" si="13"/>
        <v>0.46630000000000016</v>
      </c>
      <c r="W153" s="267">
        <f t="shared" si="14"/>
        <v>0.49629778794002255</v>
      </c>
      <c r="X153" s="271">
        <f>IFERROR(INDEX(Rainfall_Dry!$O$2:$O$217,MATCH(B153, Rainfall_Dry!$A$2:$A$217,0)),"")</f>
        <v>137.19979645800001</v>
      </c>
      <c r="Y153" s="260">
        <v>39.96</v>
      </c>
      <c r="Z153" s="260">
        <v>12.920000000000002</v>
      </c>
      <c r="AA153" s="260">
        <v>47.12</v>
      </c>
      <c r="AB153" s="261" t="s">
        <v>2674</v>
      </c>
      <c r="AC153" s="260">
        <v>8.6549531789058705</v>
      </c>
      <c r="AD153">
        <f>IF('WetLitterbags placem_collection'!AB154="","",'WetLitterbags placem_collection'!AB154)</f>
        <v>2.2000000000000002</v>
      </c>
      <c r="AE153">
        <f>IF('WetLitterbags placem_collection'!Z154="","",'WetLitterbags placem_collection'!Z154)</f>
        <v>15</v>
      </c>
      <c r="AF153" s="24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71">
        <f>IFERROR(AVERAGE('Dry_Litterbag Placem_Collection'!N154,'Dry_Litterbag Placem_Collection'!Q154),"")</f>
        <v>28.45</v>
      </c>
      <c r="AJ153" s="270">
        <f>INDEX(Coordinates!$B$2:$B$197,MATCH(G153,Coordinates!$J$2:$J$197,0))</f>
        <v>-2.367543988</v>
      </c>
      <c r="AK153" s="270">
        <f>INDEX(Coordinates!$C$2:$C$197,MATCH(G153,Coordinates!$J$2:$J$197,0))</f>
        <v>34.060168969999999</v>
      </c>
      <c r="AL153" s="270" t="str">
        <f>IF(ISNUMBER(SEARCH("C", 'Dry_Litterbag Placem_Collection'!S154)),"YES","NO")</f>
        <v>YES</v>
      </c>
      <c r="AM153" s="270" t="str">
        <f>IF(ISNUMBER(SEARCH("H", 'Dry_Litterbag Placem_Collection'!S154)),"YES","NO")</f>
        <v>YES</v>
      </c>
      <c r="AN153" s="270" t="str">
        <f>IF(ISNUMBER(SEARCH("R", 'Dry_Litterbag Placem_Collection'!S154)),"YES","NO")</f>
        <v>NO</v>
      </c>
    </row>
    <row r="154" spans="1:40" ht="15" customHeight="1">
      <c r="A154" s="262" t="s">
        <v>2659</v>
      </c>
      <c r="B154" s="263">
        <f>'Dry_Litterbag Placem_Collection'!A155</f>
        <v>153</v>
      </c>
      <c r="C154" s="263" t="str">
        <f>'Dry_Litterbag Placem_Collection'!B155</f>
        <v xml:space="preserve">Mwantimba
</v>
      </c>
      <c r="D154" s="263" t="s">
        <v>2460</v>
      </c>
      <c r="E154" s="263" t="s">
        <v>20</v>
      </c>
      <c r="F154" s="263">
        <v>4</v>
      </c>
      <c r="G154" s="264" t="str">
        <f>'Dry_Litterbag Placem_Collection'!C155</f>
        <v>Wet_P4_T1</v>
      </c>
      <c r="H154" s="265" t="s">
        <v>2541</v>
      </c>
      <c r="I154" s="266" t="s">
        <v>1147</v>
      </c>
      <c r="J154" s="263" t="str">
        <f>IF(ISBLANK('Dry_Litterbag Placem_Collection'!J155),"","G"&amp;""&amp;'Dry_Litterbag Placem_Collection'!J155)</f>
        <v>G197</v>
      </c>
      <c r="K154" s="267">
        <f>IFERROR(INDEX('Green_rooibos initial weight'!$C$5:$C$1749,MATCH(J154, 'Green_rooibos initial weight'!$A$5:$A$1749,0)),"")</f>
        <v>2.1120000000000001</v>
      </c>
      <c r="L154" s="267">
        <f>IFERROR(K154-(TBIcalc!$Q$9+TBIcalc!$Q$10),"")</f>
        <v>1.8622000000000001</v>
      </c>
      <c r="M154" s="391">
        <f>AVERAGE(Ashed_controlls!$K$2:$K$11)</f>
        <v>5.5147656768714146</v>
      </c>
      <c r="N154" s="267">
        <f t="shared" si="11"/>
        <v>1.7595040335653005</v>
      </c>
      <c r="O154" s="267">
        <f>IF(IFERROR(INDEX('Both teabags AfterDry'!$D$3:$D$900,MATCH(J154,'Both teabags AfterDry'!$A$3:$A$900,0)),"")="","",(IFERROR(INDEX('Both teabags AfterDry'!$D$3:$D$900,MATCH(J154,'Both teabags AfterDry'!$A$3:$A$900,0)),"")))</f>
        <v>1.2847</v>
      </c>
      <c r="P154" s="267">
        <f>IFERROR(IF(O154&gt;0,O154-(TBIcalc!$Q$9),""),"")</f>
        <v>1.1340999999999999</v>
      </c>
      <c r="Q154" s="278">
        <f>IFERROR(INDEX('Ashed teabags dry'!$K$2:$K$825,MATCH(J154,'Ashed teabags dry'!$A$2:$A$825,0)),"")</f>
        <v>10.205908683975077</v>
      </c>
      <c r="R154" s="278">
        <f t="shared" si="12"/>
        <v>1.0183547896150387</v>
      </c>
      <c r="S154" s="268">
        <f>'Dry_Litterbag Placem_Collection'!E155</f>
        <v>42939</v>
      </c>
      <c r="T154" s="268">
        <f>IF('Dry_Litterbag Placem_Collection'!G155="","",'Dry_Litterbag Placem_Collection'!G155)</f>
        <v>43010</v>
      </c>
      <c r="U154" s="269">
        <f t="shared" si="10"/>
        <v>71</v>
      </c>
      <c r="V154" s="267">
        <f t="shared" si="13"/>
        <v>0.72810000000000019</v>
      </c>
      <c r="W154" s="267">
        <f t="shared" si="14"/>
        <v>0.74114924395026183</v>
      </c>
      <c r="X154" s="271">
        <f>IFERROR(INDEX(Rainfall_Dry!$O$2:$O$217,MATCH(B154, Rainfall_Dry!$A$2:$A$217,0)),"")</f>
        <v>137.19979645800001</v>
      </c>
      <c r="Y154" s="260">
        <v>27.96</v>
      </c>
      <c r="Z154" s="260">
        <v>4.9200000000000017</v>
      </c>
      <c r="AA154" s="260">
        <v>67.12</v>
      </c>
      <c r="AB154" s="261" t="s">
        <v>2670</v>
      </c>
      <c r="AC154" s="260">
        <v>1.0437161163134547</v>
      </c>
      <c r="AD154">
        <f>IF('WetLitterbags placem_collection'!AB155="","",'WetLitterbags placem_collection'!AB155)</f>
        <v>2.1</v>
      </c>
      <c r="AE154">
        <f>IF('WetLitterbags placem_collection'!Z155="","",'WetLitterbags placem_collection'!Z155)</f>
        <v>16.399999999999999</v>
      </c>
      <c r="AF154" s="24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71">
        <f>IFERROR(AVERAGE('Dry_Litterbag Placem_Collection'!N155,'Dry_Litterbag Placem_Collection'!Q155),"")</f>
        <v>31.65</v>
      </c>
      <c r="AJ154" s="270">
        <f>INDEX(Coordinates!$B$2:$B$197,MATCH(G154,Coordinates!$J$2:$J$197,0))</f>
        <v>-2.3676780150000001</v>
      </c>
      <c r="AK154" s="270">
        <f>INDEX(Coordinates!$C$2:$C$197,MATCH(G154,Coordinates!$J$2:$J$197,0))</f>
        <v>34.05937797</v>
      </c>
      <c r="AL154" s="270" t="str">
        <f>IF(ISNUMBER(SEARCH("C", 'Dry_Litterbag Placem_Collection'!S155)),"YES","NO")</f>
        <v>YES</v>
      </c>
      <c r="AM154" s="270" t="str">
        <f>IF(ISNUMBER(SEARCH("H", 'Dry_Litterbag Placem_Collection'!S155)),"YES","NO")</f>
        <v>YES</v>
      </c>
      <c r="AN154" s="270" t="str">
        <f>IF(ISNUMBER(SEARCH("R", 'Dry_Litterbag Placem_Collection'!S155)),"YES","NO")</f>
        <v>NO</v>
      </c>
    </row>
    <row r="155" spans="1:40" ht="15" customHeight="1">
      <c r="A155" s="262" t="s">
        <v>2659</v>
      </c>
      <c r="B155" s="263">
        <f>'Dry_Litterbag Placem_Collection'!A156</f>
        <v>154</v>
      </c>
      <c r="C155" s="263" t="str">
        <f>'Dry_Litterbag Placem_Collection'!B156</f>
        <v xml:space="preserve">Mwantimba
</v>
      </c>
      <c r="D155" s="263" t="s">
        <v>2460</v>
      </c>
      <c r="E155" s="263" t="s">
        <v>20</v>
      </c>
      <c r="F155" s="263">
        <v>4</v>
      </c>
      <c r="G155" s="264" t="str">
        <f>'Dry_Litterbag Placem_Collection'!C156</f>
        <v>Wet_P4_T2</v>
      </c>
      <c r="H155" s="265" t="s">
        <v>2541</v>
      </c>
      <c r="I155" s="266" t="s">
        <v>1147</v>
      </c>
      <c r="J155" s="263" t="str">
        <f>IF(ISBLANK('Dry_Litterbag Placem_Collection'!J156),"","G"&amp;""&amp;'Dry_Litterbag Placem_Collection'!J156)</f>
        <v>G127</v>
      </c>
      <c r="K155" s="267">
        <f>IFERROR(INDEX('Green_rooibos initial weight'!$C$5:$C$1749,MATCH(J155, 'Green_rooibos initial weight'!$A$5:$A$1749,0)),"")</f>
        <v>1.9490000000000001</v>
      </c>
      <c r="L155" s="267">
        <f>IFERROR(K155-(TBIcalc!$Q$9+TBIcalc!$Q$10),"")</f>
        <v>1.6992</v>
      </c>
      <c r="M155" s="391">
        <f>AVERAGE(Ashed_controlls!$K$2:$K$11)</f>
        <v>5.5147656768714146</v>
      </c>
      <c r="N155" s="267">
        <f t="shared" si="11"/>
        <v>1.6054931016186009</v>
      </c>
      <c r="O155" s="267">
        <f>IF(IFERROR(INDEX('Both teabags AfterDry'!$D$3:$D$900,MATCH(J155,'Both teabags AfterDry'!$A$3:$A$900,0)),"")="","",(IFERROR(INDEX('Both teabags AfterDry'!$D$3:$D$900,MATCH(J155,'Both teabags AfterDry'!$A$3:$A$900,0)),"")))</f>
        <v>1.1896</v>
      </c>
      <c r="P155" s="267">
        <f>IFERROR(IF(O155&gt;0,O155-(TBIcalc!$Q$9),""),"")</f>
        <v>1.0389999999999999</v>
      </c>
      <c r="Q155" s="278">
        <f>IFERROR(INDEX('Ashed teabags dry'!$K$2:$K$825,MATCH(J155,'Ashed teabags dry'!$A$2:$A$825,0)),"")</f>
        <v>12.964728312678373</v>
      </c>
      <c r="R155" s="278">
        <f t="shared" si="12"/>
        <v>0.90429647283127168</v>
      </c>
      <c r="S155" s="268">
        <f>'Dry_Litterbag Placem_Collection'!E156</f>
        <v>42939</v>
      </c>
      <c r="T155" s="268">
        <f>IF('Dry_Litterbag Placem_Collection'!G156="","",'Dry_Litterbag Placem_Collection'!G156)</f>
        <v>43010</v>
      </c>
      <c r="U155" s="269">
        <f t="shared" si="10"/>
        <v>71</v>
      </c>
      <c r="V155" s="267">
        <f t="shared" si="13"/>
        <v>0.66020000000000012</v>
      </c>
      <c r="W155" s="267">
        <f t="shared" si="14"/>
        <v>0.70119662878732925</v>
      </c>
      <c r="X155" s="271">
        <f>IFERROR(INDEX(Rainfall_Dry!$O$2:$O$217,MATCH(B155, Rainfall_Dry!$A$2:$A$217,0)),"")</f>
        <v>137.19979645800001</v>
      </c>
      <c r="Y155" s="260">
        <v>27.96</v>
      </c>
      <c r="Z155" s="260">
        <v>4.9200000000000017</v>
      </c>
      <c r="AA155" s="260">
        <v>67.12</v>
      </c>
      <c r="AB155" s="261" t="s">
        <v>2670</v>
      </c>
      <c r="AC155" s="260">
        <v>2.0437161163134498</v>
      </c>
      <c r="AD155">
        <f>IF('WetLitterbags placem_collection'!AB156="","",'WetLitterbags placem_collection'!AB156)</f>
        <v>2.15</v>
      </c>
      <c r="AE155">
        <f>IF('WetLitterbags placem_collection'!Z156="","",'WetLitterbags placem_collection'!Z156)</f>
        <v>9</v>
      </c>
      <c r="AF155" s="24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71">
        <f>IFERROR(AVERAGE('Dry_Litterbag Placem_Collection'!N156,'Dry_Litterbag Placem_Collection'!Q156),"")</f>
        <v>30.45</v>
      </c>
      <c r="AJ155" s="270">
        <f>INDEX(Coordinates!$B$2:$B$197,MATCH(G155,Coordinates!$J$2:$J$197,0))</f>
        <v>-2.3677299820000002</v>
      </c>
      <c r="AK155" s="270">
        <f>INDEX(Coordinates!$C$2:$C$197,MATCH(G155,Coordinates!$J$2:$J$197,0))</f>
        <v>34.059351990000003</v>
      </c>
      <c r="AL155" s="270" t="str">
        <f>IF(ISNUMBER(SEARCH("C", 'Dry_Litterbag Placem_Collection'!S156)),"YES","NO")</f>
        <v>YES</v>
      </c>
      <c r="AM155" s="270" t="str">
        <f>IF(ISNUMBER(SEARCH("H", 'Dry_Litterbag Placem_Collection'!S156)),"YES","NO")</f>
        <v>YES</v>
      </c>
      <c r="AN155" s="270" t="str">
        <f>IF(ISNUMBER(SEARCH("R", 'Dry_Litterbag Placem_Collection'!S156)),"YES","NO")</f>
        <v>NO</v>
      </c>
    </row>
    <row r="156" spans="1:40" ht="15" customHeight="1">
      <c r="A156" s="262" t="s">
        <v>2659</v>
      </c>
      <c r="B156" s="263">
        <f>'Dry_Litterbag Placem_Collection'!A157</f>
        <v>155</v>
      </c>
      <c r="C156" s="263" t="str">
        <f>'Dry_Litterbag Placem_Collection'!B157</f>
        <v xml:space="preserve">Mwantimba
</v>
      </c>
      <c r="D156" s="263" t="s">
        <v>2460</v>
      </c>
      <c r="E156" s="263" t="s">
        <v>20</v>
      </c>
      <c r="F156" s="263">
        <v>4</v>
      </c>
      <c r="G156" s="264" t="str">
        <f>'Dry_Litterbag Placem_Collection'!C157</f>
        <v>Wet_P4_T3</v>
      </c>
      <c r="H156" s="265" t="s">
        <v>2541</v>
      </c>
      <c r="I156" s="266" t="s">
        <v>1147</v>
      </c>
      <c r="J156" s="263" t="str">
        <f>IF(ISBLANK('Dry_Litterbag Placem_Collection'!J157),"","G"&amp;""&amp;'Dry_Litterbag Placem_Collection'!J157)</f>
        <v>G253</v>
      </c>
      <c r="K156" s="267">
        <f>IFERROR(INDEX('Green_rooibos initial weight'!$C$5:$C$1749,MATCH(J156, 'Green_rooibos initial weight'!$A$5:$A$1749,0)),"")</f>
        <v>2.0169999999999999</v>
      </c>
      <c r="L156" s="267">
        <f>IFERROR(K156-(TBIcalc!$Q$9+TBIcalc!$Q$10),"")</f>
        <v>1.7671999999999999</v>
      </c>
      <c r="M156" s="391">
        <f>AVERAGE(Ashed_controlls!$K$2:$K$11)</f>
        <v>5.5147656768714146</v>
      </c>
      <c r="N156" s="267">
        <f t="shared" si="11"/>
        <v>1.6697430609583281</v>
      </c>
      <c r="O156" s="267">
        <f>IF(IFERROR(INDEX('Both teabags AfterDry'!$D$3:$D$900,MATCH(J156,'Both teabags AfterDry'!$A$3:$A$900,0)),"")="","",(IFERROR(INDEX('Both teabags AfterDry'!$D$3:$D$900,MATCH(J156,'Both teabags AfterDry'!$A$3:$A$900,0)),"")))</f>
        <v>1.2484</v>
      </c>
      <c r="P156" s="267">
        <f>IFERROR(IF(O156&gt;0,O156-(TBIcalc!$Q$9),""),"")</f>
        <v>1.0977999999999999</v>
      </c>
      <c r="Q156" s="278">
        <f>IFERROR(INDEX('Ashed teabags dry'!$K$2:$K$825,MATCH(J156,'Ashed teabags dry'!$A$2:$A$825,0)),"")</f>
        <v>13.077679449360829</v>
      </c>
      <c r="R156" s="278">
        <f t="shared" si="12"/>
        <v>0.95423323500491675</v>
      </c>
      <c r="S156" s="268">
        <f>'Dry_Litterbag Placem_Collection'!E157</f>
        <v>42939</v>
      </c>
      <c r="T156" s="268">
        <f>IF('Dry_Litterbag Placem_Collection'!G157="","",'Dry_Litterbag Placem_Collection'!G157)</f>
        <v>43010</v>
      </c>
      <c r="U156" s="269">
        <f t="shared" si="10"/>
        <v>71</v>
      </c>
      <c r="V156" s="267">
        <f t="shared" si="13"/>
        <v>0.6694</v>
      </c>
      <c r="W156" s="267">
        <f t="shared" si="14"/>
        <v>0.71550982595341139</v>
      </c>
      <c r="X156" s="271">
        <f>IFERROR(INDEX(Rainfall_Dry!$O$2:$O$217,MATCH(B156, Rainfall_Dry!$A$2:$A$217,0)),"")</f>
        <v>137.19979645800001</v>
      </c>
      <c r="Y156" s="260">
        <v>27.96</v>
      </c>
      <c r="Z156" s="260">
        <v>4.9200000000000017</v>
      </c>
      <c r="AA156" s="260">
        <v>67.12</v>
      </c>
      <c r="AB156" s="261" t="s">
        <v>2670</v>
      </c>
      <c r="AC156" s="260">
        <v>3.0437161163134498</v>
      </c>
      <c r="AD156">
        <f>IF('WetLitterbags placem_collection'!AB157="","",'WetLitterbags placem_collection'!AB157)</f>
        <v>1.2</v>
      </c>
      <c r="AE156">
        <f>IF('WetLitterbags placem_collection'!Z157="","",'WetLitterbags placem_collection'!Z157)</f>
        <v>11</v>
      </c>
      <c r="AF156" s="24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71">
        <f>IFERROR(AVERAGE('Dry_Litterbag Placem_Collection'!N157,'Dry_Litterbag Placem_Collection'!Q157),"")</f>
        <v>29.4</v>
      </c>
      <c r="AJ156" s="270">
        <f>INDEX(Coordinates!$B$2:$B$197,MATCH(G156,Coordinates!$J$2:$J$197,0))</f>
        <v>-2.3677119609999999</v>
      </c>
      <c r="AK156" s="270">
        <f>INDEX(Coordinates!$C$2:$C$197,MATCH(G156,Coordinates!$J$2:$J$197,0))</f>
        <v>34.059339000000001</v>
      </c>
      <c r="AL156" s="270" t="str">
        <f>IF(ISNUMBER(SEARCH("C", 'Dry_Litterbag Placem_Collection'!S157)),"YES","NO")</f>
        <v>NO</v>
      </c>
      <c r="AM156" s="270" t="str">
        <f>IF(ISNUMBER(SEARCH("H", 'Dry_Litterbag Placem_Collection'!S157)),"YES","NO")</f>
        <v>YES</v>
      </c>
      <c r="AN156" s="270" t="str">
        <f>IF(ISNUMBER(SEARCH("R", 'Dry_Litterbag Placem_Collection'!S157)),"YES","NO")</f>
        <v>NO</v>
      </c>
    </row>
    <row r="157" spans="1:40" ht="15" customHeight="1">
      <c r="A157" s="262" t="s">
        <v>2659</v>
      </c>
      <c r="B157" s="263">
        <f>'Dry_Litterbag Placem_Collection'!A158</f>
        <v>156</v>
      </c>
      <c r="C157" s="263" t="str">
        <f>'Dry_Litterbag Placem_Collection'!B158</f>
        <v xml:space="preserve">Mwantimba
</v>
      </c>
      <c r="D157" s="263" t="s">
        <v>2460</v>
      </c>
      <c r="E157" s="263" t="s">
        <v>20</v>
      </c>
      <c r="F157" s="263">
        <v>4</v>
      </c>
      <c r="G157" s="264" t="str">
        <f>'Dry_Litterbag Placem_Collection'!C158</f>
        <v>Wet_P4_T4</v>
      </c>
      <c r="H157" s="265" t="s">
        <v>2541</v>
      </c>
      <c r="I157" s="266" t="s">
        <v>1147</v>
      </c>
      <c r="J157" s="263" t="str">
        <f>IF(ISBLANK('Dry_Litterbag Placem_Collection'!J158),"","G"&amp;""&amp;'Dry_Litterbag Placem_Collection'!J158)</f>
        <v>G47</v>
      </c>
      <c r="K157" s="267">
        <f>IFERROR(INDEX('Green_rooibos initial weight'!$C$5:$C$1749,MATCH(J157, 'Green_rooibos initial weight'!$A$5:$A$1749,0)),"")</f>
        <v>2.0840000000000001</v>
      </c>
      <c r="L157" s="267">
        <f>IFERROR(K157-(TBIcalc!$Q$9+TBIcalc!$Q$10),"")</f>
        <v>1.8342000000000001</v>
      </c>
      <c r="M157" s="391">
        <f>AVERAGE(Ashed_controlls!$K$2:$K$11)</f>
        <v>5.5147656768714146</v>
      </c>
      <c r="N157" s="267">
        <f t="shared" si="11"/>
        <v>1.7330481679548246</v>
      </c>
      <c r="O157" s="267">
        <f>IF(IFERROR(INDEX('Both teabags AfterDry'!$D$3:$D$900,MATCH(J157,'Both teabags AfterDry'!$A$3:$A$900,0)),"")="","",(IFERROR(INDEX('Both teabags AfterDry'!$D$3:$D$900,MATCH(J157,'Both teabags AfterDry'!$A$3:$A$900,0)),"")))</f>
        <v>1.1167</v>
      </c>
      <c r="P157" s="267">
        <f>IFERROR(IF(O157&gt;0,O157-(TBIcalc!$Q$9),""),"")</f>
        <v>0.96609999999999996</v>
      </c>
      <c r="Q157" s="278">
        <f>IFERROR(INDEX('Ashed teabags dry'!$K$2:$K$825,MATCH(J157,'Ashed teabags dry'!$A$2:$A$825,0)),"")</f>
        <v>22.323571771483682</v>
      </c>
      <c r="R157" s="278">
        <f t="shared" si="12"/>
        <v>0.75043197311569609</v>
      </c>
      <c r="S157" s="268">
        <f>'Dry_Litterbag Placem_Collection'!E158</f>
        <v>42939</v>
      </c>
      <c r="T157" s="268">
        <f>IF('Dry_Litterbag Placem_Collection'!G158="","",'Dry_Litterbag Placem_Collection'!G158)</f>
        <v>43010</v>
      </c>
      <c r="U157" s="269">
        <f t="shared" si="10"/>
        <v>71</v>
      </c>
      <c r="V157" s="267">
        <f t="shared" si="13"/>
        <v>0.86810000000000009</v>
      </c>
      <c r="W157" s="267">
        <f t="shared" si="14"/>
        <v>0.98261619483912854</v>
      </c>
      <c r="X157" s="271">
        <f>IFERROR(INDEX(Rainfall_Dry!$O$2:$O$217,MATCH(B157, Rainfall_Dry!$A$2:$A$217,0)),"")</f>
        <v>137.19979645800001</v>
      </c>
      <c r="Y157" s="260">
        <v>27.96</v>
      </c>
      <c r="Z157" s="260">
        <v>4.9200000000000017</v>
      </c>
      <c r="AA157" s="260">
        <v>67.12</v>
      </c>
      <c r="AB157" s="261" t="s">
        <v>2670</v>
      </c>
      <c r="AC157" s="260">
        <v>4.0437161163134503</v>
      </c>
      <c r="AD157">
        <f>IF('WetLitterbags placem_collection'!AB158="","",'WetLitterbags placem_collection'!AB158)</f>
        <v>1.55</v>
      </c>
      <c r="AE157">
        <f>IF('WetLitterbags placem_collection'!Z158="","",'WetLitterbags placem_collection'!Z158)</f>
        <v>9.1</v>
      </c>
      <c r="AF157" s="24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71">
        <f>IFERROR(AVERAGE('Dry_Litterbag Placem_Collection'!N158,'Dry_Litterbag Placem_Collection'!Q158),"")</f>
        <v>30.35</v>
      </c>
      <c r="AJ157" s="270">
        <f>INDEX(Coordinates!$B$2:$B$197,MATCH(G157,Coordinates!$J$2:$J$197,0))</f>
        <v>-2.3676950300000001</v>
      </c>
      <c r="AK157" s="270">
        <f>INDEX(Coordinates!$C$2:$C$197,MATCH(G157,Coordinates!$J$2:$J$197,0))</f>
        <v>34.059499010000003</v>
      </c>
      <c r="AL157" s="270" t="str">
        <f>IF(ISNUMBER(SEARCH("C", 'Dry_Litterbag Placem_Collection'!S158)),"YES","NO")</f>
        <v>NO</v>
      </c>
      <c r="AM157" s="270" t="str">
        <f>IF(ISNUMBER(SEARCH("H", 'Dry_Litterbag Placem_Collection'!S158)),"YES","NO")</f>
        <v>YES</v>
      </c>
      <c r="AN157" s="270" t="str">
        <f>IF(ISNUMBER(SEARCH("R", 'Dry_Litterbag Placem_Collection'!S158)),"YES","NO")</f>
        <v>YES</v>
      </c>
    </row>
    <row r="158" spans="1:40" ht="15" customHeight="1">
      <c r="A158" s="262" t="s">
        <v>2659</v>
      </c>
      <c r="B158" s="263">
        <f>'Dry_Litterbag Placem_Collection'!A159</f>
        <v>157</v>
      </c>
      <c r="C158" s="263" t="str">
        <f>'Dry_Litterbag Placem_Collection'!B159</f>
        <v xml:space="preserve">Mwantimba
</v>
      </c>
      <c r="D158" s="263" t="s">
        <v>2460</v>
      </c>
      <c r="E158" s="263" t="s">
        <v>20</v>
      </c>
      <c r="F158" s="263">
        <v>4</v>
      </c>
      <c r="G158" s="264" t="str">
        <f>'Dry_Litterbag Placem_Collection'!C159</f>
        <v>Wet_P4_T5</v>
      </c>
      <c r="H158" s="265" t="s">
        <v>2541</v>
      </c>
      <c r="I158" s="266" t="s">
        <v>1147</v>
      </c>
      <c r="J158" s="263" t="str">
        <f>IF(ISBLANK('Dry_Litterbag Placem_Collection'!J159),"","G"&amp;""&amp;'Dry_Litterbag Placem_Collection'!J159)</f>
        <v>G328</v>
      </c>
      <c r="K158" s="267">
        <f>IFERROR(INDEX('Green_rooibos initial weight'!$C$5:$C$1749,MATCH(J158, 'Green_rooibos initial weight'!$A$5:$A$1749,0)),"")</f>
        <v>2.1309999999999998</v>
      </c>
      <c r="L158" s="267">
        <f>IFERROR(K158-(TBIcalc!$Q$9+TBIcalc!$Q$10),"")</f>
        <v>1.8811999999999998</v>
      </c>
      <c r="M158" s="391">
        <f>AVERAGE(Ashed_controlls!$K$2:$K$11)</f>
        <v>5.5147656768714146</v>
      </c>
      <c r="N158" s="267">
        <f t="shared" si="11"/>
        <v>1.7774562280866948</v>
      </c>
      <c r="O158" s="267" t="str">
        <f>IF(IFERROR(INDEX('Both teabags AfterDry'!$D$3:$D$900,MATCH(J158,'Both teabags AfterDry'!$A$3:$A$900,0)),"")="","",(IFERROR(INDEX('Both teabags AfterDry'!$D$3:$D$900,MATCH(J158,'Both teabags AfterDry'!$A$3:$A$900,0)),"")))</f>
        <v/>
      </c>
      <c r="P158" s="267" t="str">
        <f>IFERROR(IF(O158&gt;0,O158-(TBIcalc!$Q$9),""),"")</f>
        <v/>
      </c>
      <c r="Q158" s="278" t="str">
        <f>IFERROR(INDEX('Ashed teabags dry'!$K$2:$K$825,MATCH(J158,'Ashed teabags dry'!$A$2:$A$825,0)),"")</f>
        <v/>
      </c>
      <c r="R158" s="278" t="str">
        <f t="shared" si="12"/>
        <v/>
      </c>
      <c r="S158" s="268">
        <f>'Dry_Litterbag Placem_Collection'!E159</f>
        <v>42939</v>
      </c>
      <c r="T158" s="268">
        <f>IF('Dry_Litterbag Placem_Collection'!G159="","",'Dry_Litterbag Placem_Collection'!G159)</f>
        <v>43010</v>
      </c>
      <c r="U158" s="269">
        <f t="shared" si="10"/>
        <v>71</v>
      </c>
      <c r="V158" s="267" t="str">
        <f t="shared" si="13"/>
        <v/>
      </c>
      <c r="W158" s="267" t="str">
        <f t="shared" si="14"/>
        <v/>
      </c>
      <c r="X158" s="271">
        <f>IFERROR(INDEX(Rainfall_Dry!$O$2:$O$217,MATCH(B158, Rainfall_Dry!$A$2:$A$217,0)),"")</f>
        <v>137.19979645800001</v>
      </c>
      <c r="Y158" s="260">
        <v>27.96</v>
      </c>
      <c r="Z158" s="260">
        <v>4.9200000000000017</v>
      </c>
      <c r="AA158" s="260">
        <v>67.12</v>
      </c>
      <c r="AB158" s="261" t="s">
        <v>2670</v>
      </c>
      <c r="AC158" s="260">
        <v>5.0437161163134503</v>
      </c>
      <c r="AD158">
        <f>IF('WetLitterbags placem_collection'!AB159="","",'WetLitterbags placem_collection'!AB159)</f>
        <v>2.2999999999999998</v>
      </c>
      <c r="AE158">
        <f>IF('WetLitterbags placem_collection'!Z159="","",'WetLitterbags placem_collection'!Z159)</f>
        <v>7.7</v>
      </c>
      <c r="AF158" s="24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71">
        <f>IFERROR(AVERAGE('Dry_Litterbag Placem_Collection'!N159,'Dry_Litterbag Placem_Collection'!Q159),"")</f>
        <v>29.85</v>
      </c>
      <c r="AJ158" s="270">
        <f>INDEX(Coordinates!$B$2:$B$197,MATCH(G158,Coordinates!$J$2:$J$197,0))</f>
        <v>-2.3678019830000001</v>
      </c>
      <c r="AK158" s="270">
        <f>INDEX(Coordinates!$C$2:$C$197,MATCH(G158,Coordinates!$J$2:$J$197,0))</f>
        <v>34.059521969999999</v>
      </c>
      <c r="AL158" s="270" t="str">
        <f>IF(ISNUMBER(SEARCH("C", 'Dry_Litterbag Placem_Collection'!S159)),"YES","NO")</f>
        <v>YES</v>
      </c>
      <c r="AM158" s="270" t="str">
        <f>IF(ISNUMBER(SEARCH("H", 'Dry_Litterbag Placem_Collection'!S159)),"YES","NO")</f>
        <v>YES</v>
      </c>
      <c r="AN158" s="270" t="str">
        <f>IF(ISNUMBER(SEARCH("R", 'Dry_Litterbag Placem_Collection'!S159)),"YES","NO")</f>
        <v>YES</v>
      </c>
    </row>
    <row r="159" spans="1:40" ht="15" customHeight="1">
      <c r="A159" s="262" t="s">
        <v>2659</v>
      </c>
      <c r="B159" s="263">
        <f>'Dry_Litterbag Placem_Collection'!A160</f>
        <v>158</v>
      </c>
      <c r="C159" s="263" t="str">
        <f>'Dry_Litterbag Placem_Collection'!B160</f>
        <v xml:space="preserve">Mwantimba
</v>
      </c>
      <c r="D159" s="263" t="s">
        <v>2460</v>
      </c>
      <c r="E159" s="263" t="s">
        <v>20</v>
      </c>
      <c r="F159" s="263">
        <v>4</v>
      </c>
      <c r="G159" s="264" t="str">
        <f>'Dry_Litterbag Placem_Collection'!C160</f>
        <v>Wet_P4_T6</v>
      </c>
      <c r="H159" s="265" t="s">
        <v>2541</v>
      </c>
      <c r="I159" s="266" t="s">
        <v>1147</v>
      </c>
      <c r="J159" s="263" t="str">
        <f>IF(ISBLANK('Dry_Litterbag Placem_Collection'!J160),"","G"&amp;""&amp;'Dry_Litterbag Placem_Collection'!J160)</f>
        <v>G21</v>
      </c>
      <c r="K159" s="267">
        <f>IFERROR(INDEX('Green_rooibos initial weight'!$C$5:$C$1749,MATCH(J159, 'Green_rooibos initial weight'!$A$5:$A$1749,0)),"")</f>
        <v>2.04</v>
      </c>
      <c r="L159" s="267">
        <f>IFERROR(K159-(TBIcalc!$Q$9+TBIcalc!$Q$10),"")</f>
        <v>1.7902</v>
      </c>
      <c r="M159" s="391">
        <f>AVERAGE(Ashed_controlls!$K$2:$K$11)</f>
        <v>5.5147656768714146</v>
      </c>
      <c r="N159" s="267">
        <f t="shared" si="11"/>
        <v>1.691474664852648</v>
      </c>
      <c r="O159" s="267" t="str">
        <f>IF(IFERROR(INDEX('Both teabags AfterDry'!$D$3:$D$900,MATCH(J159,'Both teabags AfterDry'!$A$3:$A$900,0)),"")="","",(IFERROR(INDEX('Both teabags AfterDry'!$D$3:$D$900,MATCH(J159,'Both teabags AfterDry'!$A$3:$A$900,0)),"")))</f>
        <v/>
      </c>
      <c r="P159" s="267" t="str">
        <f>IFERROR(IF(O159&gt;0,O159-(TBIcalc!$Q$9),""),"")</f>
        <v/>
      </c>
      <c r="Q159" s="278">
        <f>IFERROR(INDEX('Ashed teabags dry'!$K$2:$K$825,MATCH(J159,'Ashed teabags dry'!$A$2:$A$825,0)),"")</f>
        <v>0</v>
      </c>
      <c r="R159" s="278" t="str">
        <f t="shared" si="12"/>
        <v/>
      </c>
      <c r="S159" s="268">
        <f>'Dry_Litterbag Placem_Collection'!E160</f>
        <v>42939</v>
      </c>
      <c r="T159" s="268">
        <f>IF('Dry_Litterbag Placem_Collection'!G160="","",'Dry_Litterbag Placem_Collection'!G160)</f>
        <v>43010</v>
      </c>
      <c r="U159" s="269">
        <f t="shared" si="10"/>
        <v>71</v>
      </c>
      <c r="V159" s="267" t="str">
        <f t="shared" si="13"/>
        <v/>
      </c>
      <c r="W159" s="267" t="str">
        <f t="shared" si="14"/>
        <v/>
      </c>
      <c r="X159" s="271">
        <f>IFERROR(INDEX(Rainfall_Dry!$O$2:$O$217,MATCH(B159, Rainfall_Dry!$A$2:$A$217,0)),"")</f>
        <v>137.19979645800001</v>
      </c>
      <c r="Y159" s="260">
        <v>27.96</v>
      </c>
      <c r="Z159" s="260">
        <v>4.9200000000000017</v>
      </c>
      <c r="AA159" s="260">
        <v>67.12</v>
      </c>
      <c r="AB159" s="261" t="s">
        <v>2670</v>
      </c>
      <c r="AC159" s="260">
        <v>6.0437161163134503</v>
      </c>
      <c r="AD159">
        <f>IF('WetLitterbags placem_collection'!AB160="","",'WetLitterbags placem_collection'!AB160)</f>
        <v>1.9</v>
      </c>
      <c r="AE159">
        <f>IF('WetLitterbags placem_collection'!Z160="","",'WetLitterbags placem_collection'!Z160)</f>
        <v>4.3</v>
      </c>
      <c r="AF159" s="24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71">
        <f>IFERROR(AVERAGE('Dry_Litterbag Placem_Collection'!N160,'Dry_Litterbag Placem_Collection'!Q160),"")</f>
        <v>31.8</v>
      </c>
      <c r="AJ159" s="270">
        <f>INDEX(Coordinates!$B$2:$B$197,MATCH(G159,Coordinates!$J$2:$J$197,0))</f>
        <v>-2.3679270410000002</v>
      </c>
      <c r="AK159" s="270">
        <f>INDEX(Coordinates!$C$2:$C$197,MATCH(G159,Coordinates!$J$2:$J$197,0))</f>
        <v>34.059300020000002</v>
      </c>
      <c r="AL159" s="270" t="str">
        <f>IF(ISNUMBER(SEARCH("C", 'Dry_Litterbag Placem_Collection'!S160)),"YES","NO")</f>
        <v>YES</v>
      </c>
      <c r="AM159" s="270" t="str">
        <f>IF(ISNUMBER(SEARCH("H", 'Dry_Litterbag Placem_Collection'!S160)),"YES","NO")</f>
        <v>YES</v>
      </c>
      <c r="AN159" s="270" t="str">
        <f>IF(ISNUMBER(SEARCH("R", 'Dry_Litterbag Placem_Collection'!S160)),"YES","NO")</f>
        <v>NO</v>
      </c>
    </row>
    <row r="160" spans="1:40" ht="15" customHeight="1">
      <c r="A160" s="262" t="s">
        <v>2659</v>
      </c>
      <c r="B160" s="263">
        <f>'Dry_Litterbag Placem_Collection'!A161</f>
        <v>159</v>
      </c>
      <c r="C160" s="263" t="str">
        <f>'Dry_Litterbag Placem_Collection'!B161</f>
        <v xml:space="preserve">Mwantimba
</v>
      </c>
      <c r="D160" s="263" t="s">
        <v>2460</v>
      </c>
      <c r="E160" s="263" t="s">
        <v>20</v>
      </c>
      <c r="F160" s="263">
        <v>4</v>
      </c>
      <c r="G160" s="264" t="str">
        <f>'Dry_Litterbag Placem_Collection'!C161</f>
        <v>Wet_P4_T7</v>
      </c>
      <c r="H160" s="265" t="s">
        <v>2541</v>
      </c>
      <c r="I160" s="266" t="s">
        <v>1147</v>
      </c>
      <c r="J160" s="263" t="str">
        <f>IF(ISBLANK('Dry_Litterbag Placem_Collection'!J161),"","G"&amp;""&amp;'Dry_Litterbag Placem_Collection'!J161)</f>
        <v/>
      </c>
      <c r="K160" s="267" t="str">
        <f>IFERROR(INDEX('Green_rooibos initial weight'!$C$5:$C$1749,MATCH(J160, 'Green_rooibos initial weight'!$A$5:$A$1749,0)),"")</f>
        <v/>
      </c>
      <c r="L160" s="267" t="str">
        <f>IFERROR(K160-(TBIcalc!$Q$9+TBIcalc!$Q$10),"")</f>
        <v/>
      </c>
      <c r="M160" s="391">
        <f>AVERAGE(Ashed_controlls!$K$2:$K$11)</f>
        <v>5.5147656768714146</v>
      </c>
      <c r="N160" s="267" t="str">
        <f t="shared" si="11"/>
        <v/>
      </c>
      <c r="O160" s="267" t="str">
        <f>IF(IFERROR(INDEX('Both teabags AfterDry'!$D$3:$D$900,MATCH(J160,'Both teabags AfterDry'!$A$3:$A$900,0)),"")="","",(IFERROR(INDEX('Both teabags AfterDry'!$D$3:$D$900,MATCH(J160,'Both teabags AfterDry'!$A$3:$A$900,0)),"")))</f>
        <v/>
      </c>
      <c r="P160" s="267" t="str">
        <f>IFERROR(IF(O160&gt;0,O160-(TBIcalc!$Q$9),""),"")</f>
        <v/>
      </c>
      <c r="Q160" s="278" t="str">
        <f>IFERROR(INDEX('Ashed teabags dry'!$K$2:$K$825,MATCH(J160,'Ashed teabags dry'!$A$2:$A$825,0)),"")</f>
        <v/>
      </c>
      <c r="R160" s="278" t="str">
        <f t="shared" si="12"/>
        <v/>
      </c>
      <c r="S160" s="268">
        <f>'Dry_Litterbag Placem_Collection'!E161</f>
        <v>0</v>
      </c>
      <c r="T160" s="268" t="str">
        <f>IF('Dry_Litterbag Placem_Collection'!G161="","",'Dry_Litterbag Placem_Collection'!G161)</f>
        <v/>
      </c>
      <c r="U160" s="269" t="str">
        <f t="shared" si="10"/>
        <v/>
      </c>
      <c r="V160" s="267" t="str">
        <f t="shared" si="13"/>
        <v/>
      </c>
      <c r="W160" s="267" t="str">
        <f t="shared" si="14"/>
        <v/>
      </c>
      <c r="X160" s="271" t="str">
        <f>IFERROR(INDEX(Rainfall_Dry!$O$2:$O$217,MATCH(B160, Rainfall_Dry!$A$2:$A$217,0)),"")</f>
        <v/>
      </c>
      <c r="Y160" s="260">
        <v>27.96</v>
      </c>
      <c r="Z160" s="260">
        <v>4.9200000000000017</v>
      </c>
      <c r="AA160" s="260">
        <v>67.12</v>
      </c>
      <c r="AB160" s="261" t="s">
        <v>2670</v>
      </c>
      <c r="AC160" s="260">
        <v>7.0437161163134503</v>
      </c>
      <c r="AD160">
        <f>IF('WetLitterbags placem_collection'!AB161="","",'WetLitterbags placem_collection'!AB161)</f>
        <v>2.65</v>
      </c>
      <c r="AE160">
        <f>IF('WetLitterbags placem_collection'!Z161="","",'WetLitterbags placem_collection'!Z161)</f>
        <v>0</v>
      </c>
      <c r="AF160" s="24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71" t="str">
        <f>IFERROR(AVERAGE('Dry_Litterbag Placem_Collection'!N161,'Dry_Litterbag Placem_Collection'!Q161),"")</f>
        <v/>
      </c>
      <c r="AJ160" s="270">
        <f>INDEX(Coordinates!$B$2:$B$197,MATCH(G160,Coordinates!$J$2:$J$197,0))</f>
        <v>-2.3676829599999998</v>
      </c>
      <c r="AK160" s="270">
        <f>INDEX(Coordinates!$C$2:$C$197,MATCH(G160,Coordinates!$J$2:$J$197,0))</f>
        <v>34.059236990000002</v>
      </c>
      <c r="AL160" s="270" t="str">
        <f>IF(ISNUMBER(SEARCH("C", 'Dry_Litterbag Placem_Collection'!S161)),"YES","NO")</f>
        <v>NO</v>
      </c>
      <c r="AM160" s="270" t="str">
        <f>IF(ISNUMBER(SEARCH("H", 'Dry_Litterbag Placem_Collection'!S161)),"YES","NO")</f>
        <v>NO</v>
      </c>
      <c r="AN160" s="270" t="str">
        <f>IF(ISNUMBER(SEARCH("R", 'Dry_Litterbag Placem_Collection'!S161)),"YES","NO")</f>
        <v>NO</v>
      </c>
    </row>
    <row r="161" spans="1:40" ht="15" customHeight="1">
      <c r="A161" s="262" t="s">
        <v>2659</v>
      </c>
      <c r="B161" s="263">
        <f>'Dry_Litterbag Placem_Collection'!A162</f>
        <v>160</v>
      </c>
      <c r="C161" s="263" t="str">
        <f>'Dry_Litterbag Placem_Collection'!B162</f>
        <v xml:space="preserve">Mwantimba
</v>
      </c>
      <c r="D161" s="263" t="s">
        <v>2460</v>
      </c>
      <c r="E161" s="263" t="s">
        <v>20</v>
      </c>
      <c r="F161" s="263">
        <v>4</v>
      </c>
      <c r="G161" s="264" t="str">
        <f>'Dry_Litterbag Placem_Collection'!C162</f>
        <v>Wet_P4_T8</v>
      </c>
      <c r="H161" s="265" t="s">
        <v>2541</v>
      </c>
      <c r="I161" s="266" t="s">
        <v>1147</v>
      </c>
      <c r="J161" s="263" t="str">
        <f>IF(ISBLANK('Dry_Litterbag Placem_Collection'!J162),"","G"&amp;""&amp;'Dry_Litterbag Placem_Collection'!J162)</f>
        <v>G482</v>
      </c>
      <c r="K161" s="267">
        <f>IFERROR(INDEX('Green_rooibos initial weight'!$C$5:$C$1749,MATCH(J161, 'Green_rooibos initial weight'!$A$5:$A$1749,0)),"")</f>
        <v>2.056</v>
      </c>
      <c r="L161" s="267">
        <f>IFERROR(K161-(TBIcalc!$Q$9+TBIcalc!$Q$10),"")</f>
        <v>1.8062</v>
      </c>
      <c r="M161" s="391">
        <f>AVERAGE(Ashed_controlls!$K$2:$K$11)</f>
        <v>5.5147656768714146</v>
      </c>
      <c r="N161" s="267">
        <f t="shared" si="11"/>
        <v>1.7065923023443486</v>
      </c>
      <c r="O161" s="267">
        <f>IF(IFERROR(INDEX('Both teabags AfterDry'!$D$3:$D$900,MATCH(J161,'Both teabags AfterDry'!$A$3:$A$900,0)),"")="","",(IFERROR(INDEX('Both teabags AfterDry'!$D$3:$D$900,MATCH(J161,'Both teabags AfterDry'!$A$3:$A$900,0)),"")))</f>
        <v>1.4819</v>
      </c>
      <c r="P161" s="267">
        <f>IFERROR(IF(O161&gt;0,O161-(TBIcalc!$Q$9),""),"")</f>
        <v>1.3312999999999999</v>
      </c>
      <c r="Q161" s="278">
        <f>IFERROR(INDEX('Ashed teabags dry'!$K$2:$K$825,MATCH(J161,'Ashed teabags dry'!$A$2:$A$825,0)),"")</f>
        <v>15.061378659112389</v>
      </c>
      <c r="R161" s="278">
        <f t="shared" si="12"/>
        <v>1.1307878659112367</v>
      </c>
      <c r="S161" s="268">
        <f>'Dry_Litterbag Placem_Collection'!E162</f>
        <v>42939</v>
      </c>
      <c r="T161" s="268">
        <f>IF('Dry_Litterbag Placem_Collection'!G162="","",'Dry_Litterbag Placem_Collection'!G162)</f>
        <v>43010</v>
      </c>
      <c r="U161" s="269">
        <f t="shared" si="10"/>
        <v>71</v>
      </c>
      <c r="V161" s="267">
        <f t="shared" si="13"/>
        <v>0.4749000000000001</v>
      </c>
      <c r="W161" s="267">
        <f t="shared" si="14"/>
        <v>0.57580443643311185</v>
      </c>
      <c r="X161" s="271">
        <f>IFERROR(INDEX(Rainfall_Dry!$O$2:$O$217,MATCH(B161, Rainfall_Dry!$A$2:$A$217,0)),"")</f>
        <v>137.19979645800001</v>
      </c>
      <c r="Y161" s="260">
        <v>27.96</v>
      </c>
      <c r="Z161" s="260">
        <v>4.9200000000000017</v>
      </c>
      <c r="AA161" s="260">
        <v>67.12</v>
      </c>
      <c r="AB161" s="261" t="s">
        <v>2670</v>
      </c>
      <c r="AC161" s="260">
        <v>8.0437161163134494</v>
      </c>
      <c r="AD161">
        <f>IF('WetLitterbags placem_collection'!AB162="","",'WetLitterbags placem_collection'!AB162)</f>
        <v>0.8</v>
      </c>
      <c r="AE161">
        <f>IF('WetLitterbags placem_collection'!Z162="","",'WetLitterbags placem_collection'!Z162)</f>
        <v>10.8</v>
      </c>
      <c r="AF161" s="24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71">
        <f>IFERROR(AVERAGE('Dry_Litterbag Placem_Collection'!N162,'Dry_Litterbag Placem_Collection'!Q162),"")</f>
        <v>29.200000000000003</v>
      </c>
      <c r="AJ161" s="270">
        <f>INDEX(Coordinates!$B$2:$B$197,MATCH(G161,Coordinates!$J$2:$J$197,0))</f>
        <v>-2.367547005</v>
      </c>
      <c r="AK161" s="270">
        <f>INDEX(Coordinates!$C$2:$C$197,MATCH(G161,Coordinates!$J$2:$J$197,0))</f>
        <v>34.059494989999997</v>
      </c>
      <c r="AL161" s="270" t="str">
        <f>IF(ISNUMBER(SEARCH("C", 'Dry_Litterbag Placem_Collection'!S162)),"YES","NO")</f>
        <v>YES</v>
      </c>
      <c r="AM161" s="270" t="str">
        <f>IF(ISNUMBER(SEARCH("H", 'Dry_Litterbag Placem_Collection'!S162)),"YES","NO")</f>
        <v>YES</v>
      </c>
      <c r="AN161" s="270" t="str">
        <f>IF(ISNUMBER(SEARCH("R", 'Dry_Litterbag Placem_Collection'!S162)),"YES","NO")</f>
        <v>NO</v>
      </c>
    </row>
    <row r="162" spans="1:40" ht="15" customHeight="1">
      <c r="A162" s="262" t="s">
        <v>2659</v>
      </c>
      <c r="B162" s="263">
        <f>'Dry_Litterbag Placem_Collection'!A163</f>
        <v>161</v>
      </c>
      <c r="C162" s="263" t="str">
        <f>'Dry_Litterbag Placem_Collection'!B163</f>
        <v>Handajega</v>
      </c>
      <c r="D162" s="263" t="s">
        <v>2460</v>
      </c>
      <c r="E162" s="263" t="s">
        <v>2661</v>
      </c>
      <c r="F162" s="263">
        <v>1</v>
      </c>
      <c r="G162" s="264" t="str">
        <f>'Dry_Litterbag Placem_Collection'!C163</f>
        <v>Wet_W1_T1</v>
      </c>
      <c r="H162" s="265" t="s">
        <v>2541</v>
      </c>
      <c r="I162" s="266" t="s">
        <v>1147</v>
      </c>
      <c r="J162" s="263" t="str">
        <f>IF(ISBLANK('Dry_Litterbag Placem_Collection'!J163),"","G"&amp;""&amp;'Dry_Litterbag Placem_Collection'!J163)</f>
        <v>G51</v>
      </c>
      <c r="K162" s="267">
        <f>IFERROR(INDEX('Green_rooibos initial weight'!$C$5:$C$1749,MATCH(J162, 'Green_rooibos initial weight'!$A$5:$A$1749,0)),"")</f>
        <v>2.0259999999999998</v>
      </c>
      <c r="L162" s="267">
        <f>IFERROR(K162-(TBIcalc!$Q$9+TBIcalc!$Q$10),"")</f>
        <v>1.7761999999999998</v>
      </c>
      <c r="M162" s="391">
        <f>AVERAGE(Ashed_controlls!$K$2:$K$11)</f>
        <v>5.5147656768714146</v>
      </c>
      <c r="N162" s="267">
        <f t="shared" si="11"/>
        <v>1.6782467320474097</v>
      </c>
      <c r="O162" s="267">
        <f>IF(IFERROR(INDEX('Both teabags AfterDry'!$D$3:$D$900,MATCH(J162,'Both teabags AfterDry'!$A$3:$A$900,0)),"")="","",(IFERROR(INDEX('Both teabags AfterDry'!$D$3:$D$900,MATCH(J162,'Both teabags AfterDry'!$A$3:$A$900,0)),"")))</f>
        <v>0.81589999999999996</v>
      </c>
      <c r="P162" s="267">
        <f>IFERROR(IF(O162&gt;0,O162-(TBIcalc!$Q$9),""),"")</f>
        <v>0.6653</v>
      </c>
      <c r="Q162" s="278">
        <f>IFERROR(INDEX('Ashed teabags dry'!$K$2:$K$825,MATCH(J162,'Ashed teabags dry'!$A$2:$A$825,0)),"")</f>
        <v>26.176336226588315</v>
      </c>
      <c r="R162" s="278">
        <f t="shared" si="12"/>
        <v>0.49114883508450791</v>
      </c>
      <c r="S162" s="268">
        <f>'Dry_Litterbag Placem_Collection'!E163</f>
        <v>42940</v>
      </c>
      <c r="T162" s="268">
        <f>IF('Dry_Litterbag Placem_Collection'!G163="","",'Dry_Litterbag Placem_Collection'!G163)</f>
        <v>43009</v>
      </c>
      <c r="U162" s="269">
        <f t="shared" si="10"/>
        <v>69</v>
      </c>
      <c r="V162" s="267">
        <f t="shared" si="13"/>
        <v>1.1108999999999998</v>
      </c>
      <c r="W162" s="267">
        <f t="shared" si="14"/>
        <v>1.1870978969629018</v>
      </c>
      <c r="X162" s="271">
        <f>IFERROR(INDEX(Rainfall_Dry!$O$2:$O$217,MATCH(B162, Rainfall_Dry!$A$2:$A$217,0)),"")</f>
        <v>162.634207253</v>
      </c>
      <c r="Y162" s="260">
        <v>21.96</v>
      </c>
      <c r="Z162" s="260">
        <v>4.9199999999999982</v>
      </c>
      <c r="AA162" s="260">
        <v>73.12</v>
      </c>
      <c r="AB162" s="261" t="s">
        <v>2670</v>
      </c>
      <c r="AC162" s="260">
        <v>1.2416954164613114</v>
      </c>
      <c r="AD162">
        <f>IF('WetLitterbags placem_collection'!AB163="","",'WetLitterbags placem_collection'!AB163)</f>
        <v>7.6</v>
      </c>
      <c r="AE162">
        <f>IF('WetLitterbags placem_collection'!Z163="","",'WetLitterbags placem_collection'!Z163)</f>
        <v>35.799999999999997</v>
      </c>
      <c r="AF162" s="24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71">
        <f>IFERROR(AVERAGE('Dry_Litterbag Placem_Collection'!N163,'Dry_Litterbag Placem_Collection'!Q163),"")</f>
        <v>31.7</v>
      </c>
      <c r="AJ162" s="270">
        <f>INDEX(Coordinates!$B$2:$B$197,MATCH(G162,Coordinates!$J$2:$J$197,0))</f>
        <v>-2.272751033</v>
      </c>
      <c r="AK162" s="270">
        <f>INDEX(Coordinates!$C$2:$C$197,MATCH(G162,Coordinates!$J$2:$J$197,0))</f>
        <v>34.023176030000002</v>
      </c>
      <c r="AL162" s="270" t="str">
        <f>IF(ISNUMBER(SEARCH("C", 'Dry_Litterbag Placem_Collection'!S163)),"YES","NO")</f>
        <v>NO</v>
      </c>
      <c r="AM162" s="270" t="str">
        <f>IF(ISNUMBER(SEARCH("H", 'Dry_Litterbag Placem_Collection'!S163)),"YES","NO")</f>
        <v>YES</v>
      </c>
      <c r="AN162" s="270" t="str">
        <f>IF(ISNUMBER(SEARCH("R", 'Dry_Litterbag Placem_Collection'!S163)),"YES","NO")</f>
        <v>YES</v>
      </c>
    </row>
    <row r="163" spans="1:40" ht="15" customHeight="1">
      <c r="A163" s="262" t="s">
        <v>2659</v>
      </c>
      <c r="B163" s="263">
        <f>'Dry_Litterbag Placem_Collection'!A164</f>
        <v>162</v>
      </c>
      <c r="C163" s="263" t="str">
        <f>'Dry_Litterbag Placem_Collection'!B164</f>
        <v>Handajega</v>
      </c>
      <c r="D163" s="263" t="s">
        <v>2460</v>
      </c>
      <c r="E163" s="263" t="s">
        <v>2661</v>
      </c>
      <c r="F163" s="263">
        <v>1</v>
      </c>
      <c r="G163" s="264" t="str">
        <f>'Dry_Litterbag Placem_Collection'!C164</f>
        <v>Wet_W1_T2</v>
      </c>
      <c r="H163" s="265" t="s">
        <v>2541</v>
      </c>
      <c r="I163" s="266" t="s">
        <v>1147</v>
      </c>
      <c r="J163" s="263" t="str">
        <f>IF(ISBLANK('Dry_Litterbag Placem_Collection'!J164),"","G"&amp;""&amp;'Dry_Litterbag Placem_Collection'!J164)</f>
        <v>G238</v>
      </c>
      <c r="K163" s="267">
        <f>IFERROR(INDEX('Green_rooibos initial weight'!$C$5:$C$1749,MATCH(J163, 'Green_rooibos initial weight'!$A$5:$A$1749,0)),"")</f>
        <v>2.1160000000000001</v>
      </c>
      <c r="L163" s="267">
        <f>IFERROR(K163-(TBIcalc!$Q$9+TBIcalc!$Q$10),"")</f>
        <v>1.8662000000000001</v>
      </c>
      <c r="M163" s="391">
        <f>AVERAGE(Ashed_controlls!$K$2:$K$11)</f>
        <v>5.5147656768714146</v>
      </c>
      <c r="N163" s="267">
        <f t="shared" si="11"/>
        <v>1.7632834429382258</v>
      </c>
      <c r="O163" s="267">
        <f>IF(IFERROR(INDEX('Both teabags AfterDry'!$D$3:$D$900,MATCH(J163,'Both teabags AfterDry'!$A$3:$A$900,0)),"")="","",(IFERROR(INDEX('Both teabags AfterDry'!$D$3:$D$900,MATCH(J163,'Both teabags AfterDry'!$A$3:$A$900,0)),"")))</f>
        <v>0.81089999999999995</v>
      </c>
      <c r="P163" s="267">
        <f>IFERROR(IF(O163&gt;0,O163-(TBIcalc!$Q$9),""),"")</f>
        <v>0.66029999999999989</v>
      </c>
      <c r="Q163" s="278">
        <f>IFERROR(INDEX('Ashed teabags dry'!$K$2:$K$825,MATCH(J163,'Ashed teabags dry'!$A$2:$A$825,0)),"")</f>
        <v>25.849056603773789</v>
      </c>
      <c r="R163" s="278">
        <f t="shared" si="12"/>
        <v>0.48961867924528157</v>
      </c>
      <c r="S163" s="268">
        <f>'Dry_Litterbag Placem_Collection'!E164</f>
        <v>42940</v>
      </c>
      <c r="T163" s="268">
        <f>IF('Dry_Litterbag Placem_Collection'!G164="","",'Dry_Litterbag Placem_Collection'!G164)</f>
        <v>43009</v>
      </c>
      <c r="U163" s="269">
        <f t="shared" si="10"/>
        <v>69</v>
      </c>
      <c r="V163" s="267">
        <f t="shared" si="13"/>
        <v>1.2059000000000002</v>
      </c>
      <c r="W163" s="267">
        <f t="shared" si="14"/>
        <v>1.2736647636929441</v>
      </c>
      <c r="X163" s="271">
        <f>IFERROR(INDEX(Rainfall_Dry!$O$2:$O$217,MATCH(B163, Rainfall_Dry!$A$2:$A$217,0)),"")</f>
        <v>162.634207253</v>
      </c>
      <c r="Y163" s="260">
        <v>21.96</v>
      </c>
      <c r="Z163" s="260">
        <v>4.9199999999999982</v>
      </c>
      <c r="AA163" s="260">
        <v>73.12</v>
      </c>
      <c r="AB163" s="261" t="s">
        <v>2670</v>
      </c>
      <c r="AC163" s="260">
        <v>2.2416954164613099</v>
      </c>
      <c r="AD163">
        <f>IF('WetLitterbags placem_collection'!AB164="","",'WetLitterbags placem_collection'!AB164)</f>
        <v>4.0999999999999996</v>
      </c>
      <c r="AE163">
        <f>IF('WetLitterbags placem_collection'!Z164="","",'WetLitterbags placem_collection'!Z164)</f>
        <v>31.4</v>
      </c>
      <c r="AF163" s="24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71">
        <f>IFERROR(AVERAGE('Dry_Litterbag Placem_Collection'!N164,'Dry_Litterbag Placem_Collection'!Q164),"")</f>
        <v>31.650000000000002</v>
      </c>
      <c r="AJ163" s="270">
        <f>INDEX(Coordinates!$B$2:$B$197,MATCH(G163,Coordinates!$J$2:$J$197,0))</f>
        <v>-2.2727060219999999</v>
      </c>
      <c r="AK163" s="270">
        <f>INDEX(Coordinates!$C$2:$C$197,MATCH(G163,Coordinates!$J$2:$J$197,0))</f>
        <v>34.023162030000002</v>
      </c>
      <c r="AL163" s="270" t="str">
        <f>IF(ISNUMBER(SEARCH("C", 'Dry_Litterbag Placem_Collection'!S164)),"YES","NO")</f>
        <v>NO</v>
      </c>
      <c r="AM163" s="270" t="str">
        <f>IF(ISNUMBER(SEARCH("H", 'Dry_Litterbag Placem_Collection'!S164)),"YES","NO")</f>
        <v>NO</v>
      </c>
      <c r="AN163" s="270" t="str">
        <f>IF(ISNUMBER(SEARCH("R", 'Dry_Litterbag Placem_Collection'!S164)),"YES","NO")</f>
        <v>YES</v>
      </c>
    </row>
    <row r="164" spans="1:40" ht="15" customHeight="1">
      <c r="A164" s="262" t="s">
        <v>2659</v>
      </c>
      <c r="B164" s="263">
        <f>'Dry_Litterbag Placem_Collection'!A165</f>
        <v>163</v>
      </c>
      <c r="C164" s="263" t="str">
        <f>'Dry_Litterbag Placem_Collection'!B165</f>
        <v>Handajega</v>
      </c>
      <c r="D164" s="263" t="s">
        <v>2460</v>
      </c>
      <c r="E164" s="263" t="s">
        <v>2661</v>
      </c>
      <c r="F164" s="263">
        <v>1</v>
      </c>
      <c r="G164" s="264" t="str">
        <f>'Dry_Litterbag Placem_Collection'!C165</f>
        <v>Wet_W1_T3</v>
      </c>
      <c r="H164" s="265" t="s">
        <v>2541</v>
      </c>
      <c r="I164" s="266" t="s">
        <v>1147</v>
      </c>
      <c r="J164" s="263" t="str">
        <f>IF(ISBLANK('Dry_Litterbag Placem_Collection'!J165),"","G"&amp;""&amp;'Dry_Litterbag Placem_Collection'!J165)</f>
        <v>G59</v>
      </c>
      <c r="K164" s="267">
        <f>IFERROR(INDEX('Green_rooibos initial weight'!$C$5:$C$1749,MATCH(J164, 'Green_rooibos initial weight'!$A$5:$A$1749,0)),"")</f>
        <v>1.929</v>
      </c>
      <c r="L164" s="267">
        <f>IFERROR(K164-(TBIcalc!$Q$9+TBIcalc!$Q$10),"")</f>
        <v>1.6792</v>
      </c>
      <c r="M164" s="391">
        <f>AVERAGE(Ashed_controlls!$K$2:$K$11)</f>
        <v>5.5147656768714146</v>
      </c>
      <c r="N164" s="267">
        <f t="shared" si="11"/>
        <v>1.5865960547539752</v>
      </c>
      <c r="O164" s="267">
        <f>IF(IFERROR(INDEX('Both teabags AfterDry'!$D$3:$D$900,MATCH(J164,'Both teabags AfterDry'!$A$3:$A$900,0)),"")="","",(IFERROR(INDEX('Both teabags AfterDry'!$D$3:$D$900,MATCH(J164,'Both teabags AfterDry'!$A$3:$A$900,0)),"")))</f>
        <v>0.95679999999999998</v>
      </c>
      <c r="P164" s="267">
        <f>IFERROR(IF(O164&gt;0,O164-(TBIcalc!$Q$9),""),"")</f>
        <v>0.80620000000000003</v>
      </c>
      <c r="Q164" s="278">
        <f>IFERROR(INDEX('Ashed teabags dry'!$K$2:$K$825,MATCH(J164,'Ashed teabags dry'!$A$2:$A$825,0)),"")</f>
        <v>34.794396746499032</v>
      </c>
      <c r="R164" s="278">
        <f t="shared" si="12"/>
        <v>0.52568757342972483</v>
      </c>
      <c r="S164" s="268">
        <f>'Dry_Litterbag Placem_Collection'!E165</f>
        <v>42940</v>
      </c>
      <c r="T164" s="268">
        <f>IF('Dry_Litterbag Placem_Collection'!G165="","",'Dry_Litterbag Placem_Collection'!G165)</f>
        <v>43009</v>
      </c>
      <c r="U164" s="269">
        <f t="shared" si="10"/>
        <v>69</v>
      </c>
      <c r="V164" s="267">
        <f t="shared" si="13"/>
        <v>0.873</v>
      </c>
      <c r="W164" s="267">
        <f t="shared" si="14"/>
        <v>1.0609084813242504</v>
      </c>
      <c r="X164" s="271">
        <f>IFERROR(INDEX(Rainfall_Dry!$O$2:$O$217,MATCH(B164, Rainfall_Dry!$A$2:$A$217,0)),"")</f>
        <v>162.634207253</v>
      </c>
      <c r="Y164" s="260">
        <v>21.96</v>
      </c>
      <c r="Z164" s="260">
        <v>4.9199999999999982</v>
      </c>
      <c r="AA164" s="260">
        <v>73.12</v>
      </c>
      <c r="AB164" s="261" t="s">
        <v>2670</v>
      </c>
      <c r="AC164" s="260">
        <v>3.2416954164613099</v>
      </c>
      <c r="AD164">
        <f>IF('WetLitterbags placem_collection'!AB165="","",'WetLitterbags placem_collection'!AB165)</f>
        <v>7.8</v>
      </c>
      <c r="AE164">
        <f>IF('WetLitterbags placem_collection'!Z165="","",'WetLitterbags placem_collection'!Z165)</f>
        <v>28.8</v>
      </c>
      <c r="AF164" s="24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71">
        <f>IFERROR(AVERAGE('Dry_Litterbag Placem_Collection'!N165,'Dry_Litterbag Placem_Collection'!Q165),"")</f>
        <v>32.75</v>
      </c>
      <c r="AJ164" s="270">
        <f>INDEX(Coordinates!$B$2:$B$197,MATCH(G164,Coordinates!$J$2:$J$197,0))</f>
        <v>-2.2726719919999998</v>
      </c>
      <c r="AK164" s="270">
        <f>INDEX(Coordinates!$C$2:$C$197,MATCH(G164,Coordinates!$J$2:$J$197,0))</f>
        <v>34.023210980000002</v>
      </c>
      <c r="AL164" s="270" t="str">
        <f>IF(ISNUMBER(SEARCH("C", 'Dry_Litterbag Placem_Collection'!S165)),"YES","NO")</f>
        <v>NO</v>
      </c>
      <c r="AM164" s="270" t="str">
        <f>IF(ISNUMBER(SEARCH("H", 'Dry_Litterbag Placem_Collection'!S165)),"YES","NO")</f>
        <v>NO</v>
      </c>
      <c r="AN164" s="270" t="str">
        <f>IF(ISNUMBER(SEARCH("R", 'Dry_Litterbag Placem_Collection'!S165)),"YES","NO")</f>
        <v>YES</v>
      </c>
    </row>
    <row r="165" spans="1:40" ht="15" customHeight="1">
      <c r="A165" s="262" t="s">
        <v>2659</v>
      </c>
      <c r="B165" s="263">
        <f>'Dry_Litterbag Placem_Collection'!A166</f>
        <v>164</v>
      </c>
      <c r="C165" s="263" t="str">
        <f>'Dry_Litterbag Placem_Collection'!B166</f>
        <v>Handajega</v>
      </c>
      <c r="D165" s="263" t="s">
        <v>2460</v>
      </c>
      <c r="E165" s="263" t="s">
        <v>2661</v>
      </c>
      <c r="F165" s="263">
        <v>1</v>
      </c>
      <c r="G165" s="264" t="str">
        <f>'Dry_Litterbag Placem_Collection'!C166</f>
        <v>Wet_W1_T4</v>
      </c>
      <c r="H165" s="265" t="s">
        <v>2541</v>
      </c>
      <c r="I165" s="266" t="s">
        <v>1147</v>
      </c>
      <c r="J165" s="263" t="str">
        <f>IF(ISBLANK('Dry_Litterbag Placem_Collection'!J166),"","G"&amp;""&amp;'Dry_Litterbag Placem_Collection'!J166)</f>
        <v>G7</v>
      </c>
      <c r="K165" s="267">
        <f>IFERROR(INDEX('Green_rooibos initial weight'!$C$5:$C$1749,MATCH(J165, 'Green_rooibos initial weight'!$A$5:$A$1749,0)),"")</f>
        <v>1.974</v>
      </c>
      <c r="L165" s="267">
        <f>IFERROR(K165-(TBIcalc!$Q$9+TBIcalc!$Q$10),"")</f>
        <v>1.7242</v>
      </c>
      <c r="M165" s="391">
        <f>AVERAGE(Ashed_controlls!$K$2:$K$11)</f>
        <v>5.5147656768714146</v>
      </c>
      <c r="N165" s="267">
        <f t="shared" si="11"/>
        <v>1.6291144101993831</v>
      </c>
      <c r="O165" s="267">
        <f>IF(IFERROR(INDEX('Both teabags AfterDry'!$D$3:$D$900,MATCH(J165,'Both teabags AfterDry'!$A$3:$A$900,0)),"")="","",(IFERROR(INDEX('Both teabags AfterDry'!$D$3:$D$900,MATCH(J165,'Both teabags AfterDry'!$A$3:$A$900,0)),"")))</f>
        <v>0.82040000000000002</v>
      </c>
      <c r="P165" s="267">
        <f>IFERROR(IF(O165&gt;0,O165-(TBIcalc!$Q$9),""),"")</f>
        <v>0.66979999999999995</v>
      </c>
      <c r="Q165" s="278">
        <f>IFERROR(INDEX('Ashed teabags dry'!$K$2:$K$825,MATCH(J165,'Ashed teabags dry'!$A$2:$A$825,0)),"")</f>
        <v>25.538020086083453</v>
      </c>
      <c r="R165" s="278">
        <f t="shared" si="12"/>
        <v>0.49874634146341301</v>
      </c>
      <c r="S165" s="268">
        <f>'Dry_Litterbag Placem_Collection'!E166</f>
        <v>42940</v>
      </c>
      <c r="T165" s="268">
        <f>IF('Dry_Litterbag Placem_Collection'!G166="","",'Dry_Litterbag Placem_Collection'!G166)</f>
        <v>43009</v>
      </c>
      <c r="U165" s="269">
        <f t="shared" si="10"/>
        <v>69</v>
      </c>
      <c r="V165" s="267">
        <f t="shared" si="13"/>
        <v>1.0544</v>
      </c>
      <c r="W165" s="267">
        <f t="shared" si="14"/>
        <v>1.1303680687359701</v>
      </c>
      <c r="X165" s="271">
        <f>IFERROR(INDEX(Rainfall_Dry!$O$2:$O$217,MATCH(B165, Rainfall_Dry!$A$2:$A$217,0)),"")</f>
        <v>162.634207253</v>
      </c>
      <c r="Y165" s="260">
        <v>21.96</v>
      </c>
      <c r="Z165" s="260">
        <v>4.9199999999999982</v>
      </c>
      <c r="AA165" s="260">
        <v>73.12</v>
      </c>
      <c r="AB165" s="261" t="s">
        <v>2670</v>
      </c>
      <c r="AC165" s="260">
        <v>4.2416954164613099</v>
      </c>
      <c r="AD165">
        <f>IF('WetLitterbags placem_collection'!AB166="","",'WetLitterbags placem_collection'!AB166)</f>
        <v>9.5</v>
      </c>
      <c r="AE165">
        <f>IF('WetLitterbags placem_collection'!Z166="","",'WetLitterbags placem_collection'!Z166)</f>
        <v>20.8</v>
      </c>
      <c r="AF165" s="24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71">
        <f>IFERROR(AVERAGE('Dry_Litterbag Placem_Collection'!N166,'Dry_Litterbag Placem_Collection'!Q166),"")</f>
        <v>31.3</v>
      </c>
      <c r="AJ165" s="270">
        <f>INDEX(Coordinates!$B$2:$B$197,MATCH(G165,Coordinates!$J$2:$J$197,0))</f>
        <v>-2.2726180130000002</v>
      </c>
      <c r="AK165" s="270">
        <f>INDEX(Coordinates!$C$2:$C$197,MATCH(G165,Coordinates!$J$2:$J$197,0))</f>
        <v>34.023212999999998</v>
      </c>
      <c r="AL165" s="270" t="str">
        <f>IF(ISNUMBER(SEARCH("C", 'Dry_Litterbag Placem_Collection'!S166)),"YES","NO")</f>
        <v>NO</v>
      </c>
      <c r="AM165" s="270" t="str">
        <f>IF(ISNUMBER(SEARCH("H", 'Dry_Litterbag Placem_Collection'!S166)),"YES","NO")</f>
        <v>NO</v>
      </c>
      <c r="AN165" s="270" t="str">
        <f>IF(ISNUMBER(SEARCH("R", 'Dry_Litterbag Placem_Collection'!S166)),"YES","NO")</f>
        <v>YES</v>
      </c>
    </row>
    <row r="166" spans="1:40" ht="15" customHeight="1">
      <c r="A166" s="262" t="s">
        <v>2659</v>
      </c>
      <c r="B166" s="263">
        <f>'Dry_Litterbag Placem_Collection'!A167</f>
        <v>165</v>
      </c>
      <c r="C166" s="263" t="str">
        <f>'Dry_Litterbag Placem_Collection'!B167</f>
        <v>Handajega</v>
      </c>
      <c r="D166" s="263" t="s">
        <v>2460</v>
      </c>
      <c r="E166" s="263" t="s">
        <v>2661</v>
      </c>
      <c r="F166" s="263">
        <v>1</v>
      </c>
      <c r="G166" s="264" t="str">
        <f>'Dry_Litterbag Placem_Collection'!C167</f>
        <v>Wet_W1_T5</v>
      </c>
      <c r="H166" s="265" t="s">
        <v>2541</v>
      </c>
      <c r="I166" s="266" t="s">
        <v>1147</v>
      </c>
      <c r="J166" s="263" t="str">
        <f>IF(ISBLANK('Dry_Litterbag Placem_Collection'!J167),"","G"&amp;""&amp;'Dry_Litterbag Placem_Collection'!J167)</f>
        <v>G85</v>
      </c>
      <c r="K166" s="267">
        <f>IFERROR(INDEX('Green_rooibos initial weight'!$C$5:$C$1749,MATCH(J166, 'Green_rooibos initial weight'!$A$5:$A$1749,0)),"")</f>
        <v>2.1360000000000001</v>
      </c>
      <c r="L166" s="267">
        <f>IFERROR(K166-(TBIcalc!$Q$9+TBIcalc!$Q$10),"")</f>
        <v>1.8862000000000001</v>
      </c>
      <c r="M166" s="391">
        <f>AVERAGE(Ashed_controlls!$K$2:$K$11)</f>
        <v>5.5147656768714146</v>
      </c>
      <c r="N166" s="267">
        <f t="shared" si="11"/>
        <v>1.7821804898028515</v>
      </c>
      <c r="O166" s="267">
        <f>IF(IFERROR(INDEX('Both teabags AfterDry'!$D$3:$D$900,MATCH(J166,'Both teabags AfterDry'!$A$3:$A$900,0)),"")="","",(IFERROR(INDEX('Both teabags AfterDry'!$D$3:$D$900,MATCH(J166,'Both teabags AfterDry'!$A$3:$A$900,0)),"")))</f>
        <v>0.84360000000000002</v>
      </c>
      <c r="P166" s="267">
        <f>IFERROR(IF(O166&gt;0,O166-(TBIcalc!$Q$9),""),"")</f>
        <v>0.69300000000000006</v>
      </c>
      <c r="Q166" s="278">
        <f>IFERROR(INDEX('Ashed teabags dry'!$K$2:$K$825,MATCH(J166,'Ashed teabags dry'!$A$2:$A$825,0)),"")</f>
        <v>25.443786982247975</v>
      </c>
      <c r="R166" s="278">
        <f t="shared" si="12"/>
        <v>0.51667455621302161</v>
      </c>
      <c r="S166" s="268">
        <f>'Dry_Litterbag Placem_Collection'!E167</f>
        <v>42940</v>
      </c>
      <c r="T166" s="268">
        <f>IF('Dry_Litterbag Placem_Collection'!G167="","",'Dry_Litterbag Placem_Collection'!G167)</f>
        <v>43009</v>
      </c>
      <c r="U166" s="269">
        <f t="shared" si="10"/>
        <v>69</v>
      </c>
      <c r="V166" s="267">
        <f t="shared" si="13"/>
        <v>1.1932</v>
      </c>
      <c r="W166" s="267">
        <f t="shared" si="14"/>
        <v>1.26550593358983</v>
      </c>
      <c r="X166" s="271">
        <f>IFERROR(INDEX(Rainfall_Dry!$O$2:$O$217,MATCH(B166, Rainfall_Dry!$A$2:$A$217,0)),"")</f>
        <v>162.634207253</v>
      </c>
      <c r="Y166" s="260">
        <v>21.96</v>
      </c>
      <c r="Z166" s="260">
        <v>4.9199999999999982</v>
      </c>
      <c r="AA166" s="260">
        <v>73.12</v>
      </c>
      <c r="AB166" s="261" t="s">
        <v>2670</v>
      </c>
      <c r="AC166" s="260">
        <v>5.2416954164613099</v>
      </c>
      <c r="AD166">
        <f>IF('WetLitterbags placem_collection'!AB167="","",'WetLitterbags placem_collection'!AB167)</f>
        <v>10.4</v>
      </c>
      <c r="AE166">
        <f>IF('WetLitterbags placem_collection'!Z167="","",'WetLitterbags placem_collection'!Z167)</f>
        <v>13.8</v>
      </c>
      <c r="AF166" s="24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71">
        <f>IFERROR(AVERAGE('Dry_Litterbag Placem_Collection'!N167,'Dry_Litterbag Placem_Collection'!Q167),"")</f>
        <v>32.049999999999997</v>
      </c>
      <c r="AJ166" s="270">
        <f>INDEX(Coordinates!$B$2:$B$197,MATCH(G166,Coordinates!$J$2:$J$197,0))</f>
        <v>-2.2724750170000001</v>
      </c>
      <c r="AK166" s="270">
        <f>INDEX(Coordinates!$C$2:$C$197,MATCH(G166,Coordinates!$J$2:$J$197,0))</f>
        <v>34.02334501</v>
      </c>
      <c r="AL166" s="270" t="str">
        <f>IF(ISNUMBER(SEARCH("C", 'Dry_Litterbag Placem_Collection'!S167)),"YES","NO")</f>
        <v>NO</v>
      </c>
      <c r="AM166" s="270" t="str">
        <f>IF(ISNUMBER(SEARCH("H", 'Dry_Litterbag Placem_Collection'!S167)),"YES","NO")</f>
        <v>NO</v>
      </c>
      <c r="AN166" s="270" t="str">
        <f>IF(ISNUMBER(SEARCH("R", 'Dry_Litterbag Placem_Collection'!S167)),"YES","NO")</f>
        <v>NO</v>
      </c>
    </row>
    <row r="167" spans="1:40" ht="15" customHeight="1">
      <c r="A167" s="262" t="s">
        <v>2659</v>
      </c>
      <c r="B167" s="263">
        <f>'Dry_Litterbag Placem_Collection'!A168</f>
        <v>166</v>
      </c>
      <c r="C167" s="263" t="str">
        <f>'Dry_Litterbag Placem_Collection'!B168</f>
        <v>Handajega</v>
      </c>
      <c r="D167" s="263" t="s">
        <v>2460</v>
      </c>
      <c r="E167" s="263" t="s">
        <v>2661</v>
      </c>
      <c r="F167" s="263">
        <v>1</v>
      </c>
      <c r="G167" s="264" t="str">
        <f>'Dry_Litterbag Placem_Collection'!C168</f>
        <v>Wet_W1_T6</v>
      </c>
      <c r="H167" s="265" t="s">
        <v>2541</v>
      </c>
      <c r="I167" s="266" t="s">
        <v>1147</v>
      </c>
      <c r="J167" s="263" t="str">
        <f>IF(ISBLANK('Dry_Litterbag Placem_Collection'!J168),"","G"&amp;""&amp;'Dry_Litterbag Placem_Collection'!J168)</f>
        <v>G1</v>
      </c>
      <c r="K167" s="267">
        <f>IFERROR(INDEX('Green_rooibos initial weight'!$C$5:$C$1749,MATCH(J167, 'Green_rooibos initial weight'!$A$5:$A$1749,0)),"")</f>
        <v>1.9870000000000001</v>
      </c>
      <c r="L167" s="267">
        <f>IFERROR(K167-(TBIcalc!$Q$9+TBIcalc!$Q$10),"")</f>
        <v>1.7372000000000001</v>
      </c>
      <c r="M167" s="391">
        <f>AVERAGE(Ashed_controlls!$K$2:$K$11)</f>
        <v>5.5147656768714146</v>
      </c>
      <c r="N167" s="267">
        <f t="shared" si="11"/>
        <v>1.64139749066139</v>
      </c>
      <c r="O167" s="267">
        <f>IF(IFERROR(INDEX('Both teabags AfterDry'!$D$3:$D$900,MATCH(J167,'Both teabags AfterDry'!$A$3:$A$900,0)),"")="","",(IFERROR(INDEX('Both teabags AfterDry'!$D$3:$D$900,MATCH(J167,'Both teabags AfterDry'!$A$3:$A$900,0)),"")))</f>
        <v>0.85040000000000004</v>
      </c>
      <c r="P167" s="267">
        <f>IFERROR(IF(O167&gt;0,O167-(TBIcalc!$Q$9),""),"")</f>
        <v>0.69979999999999998</v>
      </c>
      <c r="Q167" s="278">
        <f>IFERROR(INDEX('Ashed teabags dry'!$K$2:$K$825,MATCH(J167,'Ashed teabags dry'!$A$2:$A$825,0)),"")</f>
        <v>26.737451737451874</v>
      </c>
      <c r="R167" s="278">
        <f t="shared" si="12"/>
        <v>0.51269131274131174</v>
      </c>
      <c r="S167" s="268">
        <f>'Dry_Litterbag Placem_Collection'!E168</f>
        <v>42940</v>
      </c>
      <c r="T167" s="268">
        <f>IF('Dry_Litterbag Placem_Collection'!G168="","",'Dry_Litterbag Placem_Collection'!G168)</f>
        <v>43009</v>
      </c>
      <c r="U167" s="269">
        <f t="shared" si="10"/>
        <v>69</v>
      </c>
      <c r="V167" s="267">
        <f t="shared" si="13"/>
        <v>1.0374000000000001</v>
      </c>
      <c r="W167" s="267">
        <f t="shared" si="14"/>
        <v>1.1287061779200782</v>
      </c>
      <c r="X167" s="271">
        <f>IFERROR(INDEX(Rainfall_Dry!$O$2:$O$217,MATCH(B167, Rainfall_Dry!$A$2:$A$217,0)),"")</f>
        <v>162.634207253</v>
      </c>
      <c r="Y167" s="260">
        <v>21.96</v>
      </c>
      <c r="Z167" s="260">
        <v>4.9199999999999982</v>
      </c>
      <c r="AA167" s="260">
        <v>73.12</v>
      </c>
      <c r="AB167" s="261" t="s">
        <v>2670</v>
      </c>
      <c r="AC167" s="260">
        <v>6.2416954164613099</v>
      </c>
      <c r="AD167">
        <f>IF('WetLitterbags placem_collection'!AB168="","",'WetLitterbags placem_collection'!AB168)</f>
        <v>2.1</v>
      </c>
      <c r="AE167">
        <f>IF('WetLitterbags placem_collection'!Z168="","",'WetLitterbags placem_collection'!Z168)</f>
        <v>4.7</v>
      </c>
      <c r="AF167" s="24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71">
        <f>IFERROR(AVERAGE('Dry_Litterbag Placem_Collection'!N168,'Dry_Litterbag Placem_Collection'!Q168),"")</f>
        <v>33.25</v>
      </c>
      <c r="AJ167" s="270">
        <f>INDEX(Coordinates!$B$2:$B$197,MATCH(G167,Coordinates!$J$2:$J$197,0))</f>
        <v>-2.2725490289999999</v>
      </c>
      <c r="AK167" s="270">
        <f>INDEX(Coordinates!$C$2:$C$197,MATCH(G167,Coordinates!$J$2:$J$197,0))</f>
        <v>34.022886020000001</v>
      </c>
      <c r="AL167" s="270" t="str">
        <f>IF(ISNUMBER(SEARCH("C", 'Dry_Litterbag Placem_Collection'!S168)),"YES","NO")</f>
        <v>NO</v>
      </c>
      <c r="AM167" s="270" t="str">
        <f>IF(ISNUMBER(SEARCH("H", 'Dry_Litterbag Placem_Collection'!S168)),"YES","NO")</f>
        <v>NO</v>
      </c>
      <c r="AN167" s="270" t="str">
        <f>IF(ISNUMBER(SEARCH("R", 'Dry_Litterbag Placem_Collection'!S168)),"YES","NO")</f>
        <v>YES</v>
      </c>
    </row>
    <row r="168" spans="1:40" ht="15" customHeight="1">
      <c r="A168" s="262" t="s">
        <v>2659</v>
      </c>
      <c r="B168" s="263">
        <f>'Dry_Litterbag Placem_Collection'!A169</f>
        <v>167</v>
      </c>
      <c r="C168" s="263" t="str">
        <f>'Dry_Litterbag Placem_Collection'!B169</f>
        <v>Handajega</v>
      </c>
      <c r="D168" s="263" t="s">
        <v>2460</v>
      </c>
      <c r="E168" s="263" t="s">
        <v>2661</v>
      </c>
      <c r="F168" s="263">
        <v>1</v>
      </c>
      <c r="G168" s="264" t="str">
        <f>'Dry_Litterbag Placem_Collection'!C169</f>
        <v>Wet_W1_T7</v>
      </c>
      <c r="H168" s="265" t="s">
        <v>2541</v>
      </c>
      <c r="I168" s="266" t="s">
        <v>1147</v>
      </c>
      <c r="J168" s="263" t="str">
        <f>IF(ISBLANK('Dry_Litterbag Placem_Collection'!J169),"","G"&amp;""&amp;'Dry_Litterbag Placem_Collection'!J169)</f>
        <v/>
      </c>
      <c r="K168" s="267" t="str">
        <f>IFERROR(INDEX('Green_rooibos initial weight'!$C$5:$C$1749,MATCH(J168, 'Green_rooibos initial weight'!$A$5:$A$1749,0)),"")</f>
        <v/>
      </c>
      <c r="L168" s="267" t="str">
        <f>IFERROR(K168-(TBIcalc!$Q$9+TBIcalc!$Q$10),"")</f>
        <v/>
      </c>
      <c r="M168" s="391">
        <f>AVERAGE(Ashed_controlls!$K$2:$K$11)</f>
        <v>5.5147656768714146</v>
      </c>
      <c r="N168" s="267" t="str">
        <f t="shared" si="11"/>
        <v/>
      </c>
      <c r="O168" s="267" t="str">
        <f>IF(IFERROR(INDEX('Both teabags AfterDry'!$D$3:$D$900,MATCH(J168,'Both teabags AfterDry'!$A$3:$A$900,0)),"")="","",(IFERROR(INDEX('Both teabags AfterDry'!$D$3:$D$900,MATCH(J168,'Both teabags AfterDry'!$A$3:$A$900,0)),"")))</f>
        <v/>
      </c>
      <c r="P168" s="267" t="str">
        <f>IFERROR(IF(O168&gt;0,O168-(TBIcalc!$Q$9),""),"")</f>
        <v/>
      </c>
      <c r="Q168" s="278" t="str">
        <f>IFERROR(INDEX('Ashed teabags dry'!$K$2:$K$825,MATCH(J168,'Ashed teabags dry'!$A$2:$A$825,0)),"")</f>
        <v/>
      </c>
      <c r="R168" s="278" t="str">
        <f t="shared" si="12"/>
        <v/>
      </c>
      <c r="S168" s="268">
        <f>'Dry_Litterbag Placem_Collection'!E169</f>
        <v>0</v>
      </c>
      <c r="T168" s="268" t="str">
        <f>IF('Dry_Litterbag Placem_Collection'!G169="","",'Dry_Litterbag Placem_Collection'!G169)</f>
        <v/>
      </c>
      <c r="U168" s="269" t="str">
        <f t="shared" si="10"/>
        <v/>
      </c>
      <c r="V168" s="267" t="str">
        <f t="shared" si="13"/>
        <v/>
      </c>
      <c r="W168" s="267" t="str">
        <f t="shared" si="14"/>
        <v/>
      </c>
      <c r="X168" s="271" t="str">
        <f>IFERROR(INDEX(Rainfall_Dry!$O$2:$O$217,MATCH(B168, Rainfall_Dry!$A$2:$A$217,0)),"")</f>
        <v/>
      </c>
      <c r="Y168" s="260">
        <v>21.96</v>
      </c>
      <c r="Z168" s="260">
        <v>4.9199999999999982</v>
      </c>
      <c r="AA168" s="260">
        <v>73.12</v>
      </c>
      <c r="AB168" s="261" t="s">
        <v>2670</v>
      </c>
      <c r="AC168" s="260">
        <v>7.2416954164613099</v>
      </c>
      <c r="AD168">
        <f>IF('WetLitterbags placem_collection'!AB169="","",'WetLitterbags placem_collection'!AB169)</f>
        <v>5.6</v>
      </c>
      <c r="AE168">
        <f>IF('WetLitterbags placem_collection'!Z169="","",'WetLitterbags placem_collection'!Z169)</f>
        <v>4.2</v>
      </c>
      <c r="AF168" s="24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71" t="str">
        <f>IFERROR(AVERAGE('Dry_Litterbag Placem_Collection'!N169,'Dry_Litterbag Placem_Collection'!Q169),"")</f>
        <v/>
      </c>
      <c r="AJ168" s="270">
        <f>INDEX(Coordinates!$B$2:$B$197,MATCH(G168,Coordinates!$J$2:$J$197,0))</f>
        <v>-2.2729950310000002</v>
      </c>
      <c r="AK168" s="270">
        <f>INDEX(Coordinates!$C$2:$C$197,MATCH(G168,Coordinates!$J$2:$J$197,0))</f>
        <v>34.022923990000002</v>
      </c>
      <c r="AL168" s="270" t="str">
        <f>IF(ISNUMBER(SEARCH("C", 'Dry_Litterbag Placem_Collection'!S169)),"YES","NO")</f>
        <v>NO</v>
      </c>
      <c r="AM168" s="270" t="str">
        <f>IF(ISNUMBER(SEARCH("H", 'Dry_Litterbag Placem_Collection'!S169)),"YES","NO")</f>
        <v>NO</v>
      </c>
      <c r="AN168" s="270" t="str">
        <f>IF(ISNUMBER(SEARCH("R", 'Dry_Litterbag Placem_Collection'!S169)),"YES","NO")</f>
        <v>NO</v>
      </c>
    </row>
    <row r="169" spans="1:40" ht="15" customHeight="1">
      <c r="A169" s="262" t="s">
        <v>2659</v>
      </c>
      <c r="B169" s="263">
        <f>'Dry_Litterbag Placem_Collection'!A170</f>
        <v>168</v>
      </c>
      <c r="C169" s="263" t="str">
        <f>'Dry_Litterbag Placem_Collection'!B170</f>
        <v>Handajega</v>
      </c>
      <c r="D169" s="263" t="s">
        <v>2460</v>
      </c>
      <c r="E169" s="263" t="s">
        <v>2661</v>
      </c>
      <c r="F169" s="263">
        <v>1</v>
      </c>
      <c r="G169" s="264" t="str">
        <f>'Dry_Litterbag Placem_Collection'!C170</f>
        <v>Wet_W1_T8</v>
      </c>
      <c r="H169" s="265" t="s">
        <v>2541</v>
      </c>
      <c r="I169" s="266" t="s">
        <v>1147</v>
      </c>
      <c r="J169" s="263" t="str">
        <f>IF(ISBLANK('Dry_Litterbag Placem_Collection'!J170),"","G"&amp;""&amp;'Dry_Litterbag Placem_Collection'!J170)</f>
        <v>G70</v>
      </c>
      <c r="K169" s="267">
        <f>IFERROR(INDEX('Green_rooibos initial weight'!$C$5:$C$1749,MATCH(J169, 'Green_rooibos initial weight'!$A$5:$A$1749,0)),"")</f>
        <v>2.0939999999999999</v>
      </c>
      <c r="L169" s="267">
        <f>IFERROR(K169-(TBIcalc!$Q$9+TBIcalc!$Q$10),"")</f>
        <v>1.8441999999999998</v>
      </c>
      <c r="M169" s="391">
        <f>AVERAGE(Ashed_controlls!$K$2:$K$11)</f>
        <v>5.5147656768714146</v>
      </c>
      <c r="N169" s="267">
        <f t="shared" si="11"/>
        <v>1.7424966913871371</v>
      </c>
      <c r="O169" s="267" t="str">
        <f>IF(IFERROR(INDEX('Both teabags AfterDry'!$D$3:$D$900,MATCH(J169,'Both teabags AfterDry'!$A$3:$A$900,0)),"")="","",(IFERROR(INDEX('Both teabags AfterDry'!$D$3:$D$900,MATCH(J169,'Both teabags AfterDry'!$A$3:$A$900,0)),"")))</f>
        <v/>
      </c>
      <c r="P169" s="267" t="str">
        <f>IFERROR(IF(O169&gt;0,O169-(TBIcalc!$Q$9),""),"")</f>
        <v/>
      </c>
      <c r="Q169" s="278" t="str">
        <f>IFERROR(INDEX('Ashed teabags dry'!$K$2:$K$825,MATCH(J169,'Ashed teabags dry'!$A$2:$A$825,0)),"")</f>
        <v/>
      </c>
      <c r="R169" s="278" t="str">
        <f t="shared" si="12"/>
        <v/>
      </c>
      <c r="S169" s="268">
        <f>'Dry_Litterbag Placem_Collection'!E170</f>
        <v>42940</v>
      </c>
      <c r="T169" s="268">
        <f>IF('Dry_Litterbag Placem_Collection'!G170="","",'Dry_Litterbag Placem_Collection'!G170)</f>
        <v>43009</v>
      </c>
      <c r="U169" s="269">
        <f t="shared" si="10"/>
        <v>69</v>
      </c>
      <c r="V169" s="267" t="str">
        <f t="shared" si="13"/>
        <v/>
      </c>
      <c r="W169" s="267" t="str">
        <f t="shared" si="14"/>
        <v/>
      </c>
      <c r="X169" s="271">
        <f>IFERROR(INDEX(Rainfall_Dry!$O$2:$O$217,MATCH(B169, Rainfall_Dry!$A$2:$A$217,0)),"")</f>
        <v>162.634207253</v>
      </c>
      <c r="Y169" s="260">
        <v>21.96</v>
      </c>
      <c r="Z169" s="260">
        <v>4.9199999999999982</v>
      </c>
      <c r="AA169" s="260">
        <v>73.12</v>
      </c>
      <c r="AB169" s="261" t="s">
        <v>2670</v>
      </c>
      <c r="AC169" s="260">
        <v>8.2416954164613099</v>
      </c>
      <c r="AD169">
        <f>IF('WetLitterbags placem_collection'!AB170="","",'WetLitterbags placem_collection'!AB170)</f>
        <v>2.4</v>
      </c>
      <c r="AE169">
        <f>IF('WetLitterbags placem_collection'!Z170="","",'WetLitterbags placem_collection'!Z170)</f>
        <v>46</v>
      </c>
      <c r="AF169" s="24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71">
        <f>IFERROR(AVERAGE('Dry_Litterbag Placem_Collection'!N170,'Dry_Litterbag Placem_Collection'!Q170),"")</f>
        <v>30.15</v>
      </c>
      <c r="AJ169" s="270">
        <f>INDEX(Coordinates!$B$2:$B$197,MATCH(G169,Coordinates!$J$2:$J$197,0))</f>
        <v>-2.2729129719999999</v>
      </c>
      <c r="AK169" s="270">
        <f>INDEX(Coordinates!$C$2:$C$197,MATCH(G169,Coordinates!$J$2:$J$197,0))</f>
        <v>34.023350039999997</v>
      </c>
      <c r="AL169" s="270" t="str">
        <f>IF(ISNUMBER(SEARCH("C", 'Dry_Litterbag Placem_Collection'!S170)),"YES","NO")</f>
        <v>NO</v>
      </c>
      <c r="AM169" s="270" t="str">
        <f>IF(ISNUMBER(SEARCH("H", 'Dry_Litterbag Placem_Collection'!S170)),"YES","NO")</f>
        <v>NO</v>
      </c>
      <c r="AN169" s="270" t="str">
        <f>IF(ISNUMBER(SEARCH("R", 'Dry_Litterbag Placem_Collection'!S170)),"YES","NO")</f>
        <v>YES</v>
      </c>
    </row>
    <row r="170" spans="1:40" ht="15" customHeight="1">
      <c r="A170" s="262" t="s">
        <v>2659</v>
      </c>
      <c r="B170" s="263">
        <f>'Dry_Litterbag Placem_Collection'!A171</f>
        <v>169</v>
      </c>
      <c r="C170" s="263" t="str">
        <f>'Dry_Litterbag Placem_Collection'!B171</f>
        <v>Handajega</v>
      </c>
      <c r="D170" s="263" t="s">
        <v>2460</v>
      </c>
      <c r="E170" s="263" t="s">
        <v>2661</v>
      </c>
      <c r="F170" s="263">
        <v>2</v>
      </c>
      <c r="G170" s="264" t="str">
        <f>'Dry_Litterbag Placem_Collection'!C171</f>
        <v>Wet_W2_T1</v>
      </c>
      <c r="H170" s="265" t="s">
        <v>2541</v>
      </c>
      <c r="I170" s="266" t="s">
        <v>1147</v>
      </c>
      <c r="J170" s="263" t="str">
        <f>IF(ISBLANK('Dry_Litterbag Placem_Collection'!J171),"","G"&amp;""&amp;'Dry_Litterbag Placem_Collection'!J171)</f>
        <v>G250</v>
      </c>
      <c r="K170" s="267">
        <f>IFERROR(INDEX('Green_rooibos initial weight'!$C$5:$C$1749,MATCH(J170, 'Green_rooibos initial weight'!$A$5:$A$1749,0)),"")</f>
        <v>2.0139999999999998</v>
      </c>
      <c r="L170" s="267">
        <f>IFERROR(K170-(TBIcalc!$Q$9+TBIcalc!$Q$10),"")</f>
        <v>1.7641999999999998</v>
      </c>
      <c r="M170" s="391">
        <f>AVERAGE(Ashed_controlls!$K$2:$K$11)</f>
        <v>5.5147656768714146</v>
      </c>
      <c r="N170" s="267">
        <f t="shared" si="11"/>
        <v>1.6669085039286342</v>
      </c>
      <c r="O170" s="267">
        <f>IF(IFERROR(INDEX('Both teabags AfterDry'!$D$3:$D$900,MATCH(J170,'Both teabags AfterDry'!$A$3:$A$900,0)),"")="","",(IFERROR(INDEX('Both teabags AfterDry'!$D$3:$D$900,MATCH(J170,'Both teabags AfterDry'!$A$3:$A$900,0)),"")))</f>
        <v>0.80610000000000004</v>
      </c>
      <c r="P170" s="267">
        <f>IFERROR(IF(O170&gt;0,O170-(TBIcalc!$Q$9),""),"")</f>
        <v>0.65549999999999997</v>
      </c>
      <c r="Q170" s="278">
        <f>IFERROR(INDEX('Ashed teabags dry'!$K$2:$K$825,MATCH(J170,'Ashed teabags dry'!$A$2:$A$825,0)),"")</f>
        <v>17.823265102348216</v>
      </c>
      <c r="R170" s="278">
        <f t="shared" si="12"/>
        <v>0.53866849725410737</v>
      </c>
      <c r="S170" s="268">
        <f>'Dry_Litterbag Placem_Collection'!E171</f>
        <v>42940</v>
      </c>
      <c r="T170" s="268">
        <f>IF('Dry_Litterbag Placem_Collection'!G171="","",'Dry_Litterbag Placem_Collection'!G171)</f>
        <v>43009</v>
      </c>
      <c r="U170" s="269">
        <f t="shared" si="10"/>
        <v>69</v>
      </c>
      <c r="V170" s="267">
        <f t="shared" si="13"/>
        <v>1.1086999999999998</v>
      </c>
      <c r="W170" s="267">
        <f t="shared" si="14"/>
        <v>1.1282400066745268</v>
      </c>
      <c r="X170" s="271">
        <f>IFERROR(INDEX(Rainfall_Dry!$O$2:$O$217,MATCH(B170, Rainfall_Dry!$A$2:$A$217,0)),"")</f>
        <v>162.634207253</v>
      </c>
      <c r="Y170" s="260">
        <v>23.96</v>
      </c>
      <c r="Z170" s="260">
        <v>4.9199999999999982</v>
      </c>
      <c r="AA170" s="260">
        <v>71.12</v>
      </c>
      <c r="AB170" s="261" t="s">
        <v>2670</v>
      </c>
      <c r="AC170" s="260">
        <v>3.30913750616067</v>
      </c>
      <c r="AD170">
        <f>IF('WetLitterbags placem_collection'!AB171="","",'WetLitterbags placem_collection'!AB171)</f>
        <v>8.1999999999999993</v>
      </c>
      <c r="AE170">
        <f>IF('WetLitterbags placem_collection'!Z171="","",'WetLitterbags placem_collection'!Z171)</f>
        <v>11.4</v>
      </c>
      <c r="AF170" s="24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71">
        <f>IFERROR(AVERAGE('Dry_Litterbag Placem_Collection'!N171,'Dry_Litterbag Placem_Collection'!Q171),"")</f>
        <v>35.049999999999997</v>
      </c>
      <c r="AJ170" s="270">
        <f>INDEX(Coordinates!$B$2:$B$197,MATCH(G170,Coordinates!$J$2:$J$197,0))</f>
        <v>-2.2784290180000002</v>
      </c>
      <c r="AK170" s="270">
        <f>INDEX(Coordinates!$C$2:$C$197,MATCH(G170,Coordinates!$J$2:$J$197,0))</f>
        <v>34.024240030000001</v>
      </c>
      <c r="AL170" s="270" t="str">
        <f>IF(ISNUMBER(SEARCH("C", 'Dry_Litterbag Placem_Collection'!S171)),"YES","NO")</f>
        <v>NO</v>
      </c>
      <c r="AM170" s="270" t="str">
        <f>IF(ISNUMBER(SEARCH("H", 'Dry_Litterbag Placem_Collection'!S171)),"YES","NO")</f>
        <v>NO</v>
      </c>
      <c r="AN170" s="270" t="str">
        <f>IF(ISNUMBER(SEARCH("R", 'Dry_Litterbag Placem_Collection'!S171)),"YES","NO")</f>
        <v>YES</v>
      </c>
    </row>
    <row r="171" spans="1:40" ht="15" customHeight="1">
      <c r="A171" s="262" t="s">
        <v>2659</v>
      </c>
      <c r="B171" s="263">
        <f>'Dry_Litterbag Placem_Collection'!A172</f>
        <v>170</v>
      </c>
      <c r="C171" s="263" t="str">
        <f>'Dry_Litterbag Placem_Collection'!B172</f>
        <v>Handajega</v>
      </c>
      <c r="D171" s="263" t="s">
        <v>2460</v>
      </c>
      <c r="E171" s="263" t="s">
        <v>2661</v>
      </c>
      <c r="F171" s="263">
        <v>2</v>
      </c>
      <c r="G171" s="264" t="str">
        <f>'Dry_Litterbag Placem_Collection'!C172</f>
        <v>Wet_W2_T2</v>
      </c>
      <c r="H171" s="265" t="s">
        <v>2541</v>
      </c>
      <c r="I171" s="266" t="s">
        <v>1147</v>
      </c>
      <c r="J171" s="263" t="str">
        <f>IF(ISBLANK('Dry_Litterbag Placem_Collection'!J172),"","G"&amp;""&amp;'Dry_Litterbag Placem_Collection'!J172)</f>
        <v>G624</v>
      </c>
      <c r="K171" s="267">
        <f>IFERROR(INDEX('Green_rooibos initial weight'!$C$5:$C$1749,MATCH(J171, 'Green_rooibos initial weight'!$A$5:$A$1749,0)),"")</f>
        <v>2.024</v>
      </c>
      <c r="L171" s="267">
        <f>IFERROR(K171-(TBIcalc!$Q$9+TBIcalc!$Q$10),"")</f>
        <v>1.7742</v>
      </c>
      <c r="M171" s="391">
        <f>AVERAGE(Ashed_controlls!$K$2:$K$11)</f>
        <v>5.5147656768714146</v>
      </c>
      <c r="N171" s="267">
        <f t="shared" si="11"/>
        <v>1.6763570273609474</v>
      </c>
      <c r="O171" s="267">
        <f>IF(IFERROR(INDEX('Both teabags AfterDry'!$D$3:$D$900,MATCH(J171,'Both teabags AfterDry'!$A$3:$A$900,0)),"")="","",(IFERROR(INDEX('Both teabags AfterDry'!$D$3:$D$900,MATCH(J171,'Both teabags AfterDry'!$A$3:$A$900,0)),"")))</f>
        <v>0.94779999999999998</v>
      </c>
      <c r="P171" s="267">
        <f>IFERROR(IF(O171&gt;0,O171-(TBIcalc!$Q$9),""),"")</f>
        <v>0.79719999999999991</v>
      </c>
      <c r="Q171" s="278">
        <f>IFERROR(INDEX('Ashed teabags dry'!$K$2:$K$825,MATCH(J171,'Ashed teabags dry'!$A$2:$A$825,0)),"")</f>
        <v>29.054385105340501</v>
      </c>
      <c r="R171" s="278">
        <f t="shared" si="12"/>
        <v>0.56557844194022544</v>
      </c>
      <c r="S171" s="268">
        <f>'Dry_Litterbag Placem_Collection'!E172</f>
        <v>42940</v>
      </c>
      <c r="T171" s="268">
        <f>IF('Dry_Litterbag Placem_Collection'!G172="","",'Dry_Litterbag Placem_Collection'!G172)</f>
        <v>43009</v>
      </c>
      <c r="U171" s="269">
        <f t="shared" si="10"/>
        <v>69</v>
      </c>
      <c r="V171" s="267">
        <f t="shared" si="13"/>
        <v>0.97700000000000009</v>
      </c>
      <c r="W171" s="267">
        <f t="shared" si="14"/>
        <v>1.1107785854207219</v>
      </c>
      <c r="X171" s="271">
        <f>IFERROR(INDEX(Rainfall_Dry!$O$2:$O$217,MATCH(B171, Rainfall_Dry!$A$2:$A$217,0)),"")</f>
        <v>162.634207253</v>
      </c>
      <c r="Y171" s="260">
        <v>23.96</v>
      </c>
      <c r="Z171" s="260">
        <v>4.9199999999999982</v>
      </c>
      <c r="AA171" s="260">
        <v>71.12</v>
      </c>
      <c r="AB171" s="261" t="s">
        <v>2670</v>
      </c>
      <c r="AC171" s="260">
        <v>4.3091375061606696</v>
      </c>
      <c r="AD171">
        <f>IF('WetLitterbags placem_collection'!AB172="","",'WetLitterbags placem_collection'!AB172)</f>
        <v>7.7</v>
      </c>
      <c r="AE171">
        <f>IF('WetLitterbags placem_collection'!Z172="","",'WetLitterbags placem_collection'!Z172)</f>
        <v>15.8</v>
      </c>
      <c r="AF171" s="24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71">
        <f>IFERROR(AVERAGE('Dry_Litterbag Placem_Collection'!N172,'Dry_Litterbag Placem_Collection'!Q172),"")</f>
        <v>33.950000000000003</v>
      </c>
      <c r="AJ171" s="270">
        <f>INDEX(Coordinates!$B$2:$B$197,MATCH(G171,Coordinates!$J$2:$J$197,0))</f>
        <v>-2.2784629650000001</v>
      </c>
      <c r="AK171" s="270">
        <f>INDEX(Coordinates!$C$2:$C$197,MATCH(G171,Coordinates!$J$2:$J$197,0))</f>
        <v>34.024177999999999</v>
      </c>
      <c r="AL171" s="270" t="str">
        <f>IF(ISNUMBER(SEARCH("C", 'Dry_Litterbag Placem_Collection'!S172)),"YES","NO")</f>
        <v>NO</v>
      </c>
      <c r="AM171" s="270" t="str">
        <f>IF(ISNUMBER(SEARCH("H", 'Dry_Litterbag Placem_Collection'!S172)),"YES","NO")</f>
        <v>YES</v>
      </c>
      <c r="AN171" s="270" t="str">
        <f>IF(ISNUMBER(SEARCH("R", 'Dry_Litterbag Placem_Collection'!S172)),"YES","NO")</f>
        <v>YES</v>
      </c>
    </row>
    <row r="172" spans="1:40" ht="15" customHeight="1">
      <c r="A172" s="262" t="s">
        <v>2659</v>
      </c>
      <c r="B172" s="263">
        <f>'Dry_Litterbag Placem_Collection'!A173</f>
        <v>171</v>
      </c>
      <c r="C172" s="263" t="str">
        <f>'Dry_Litterbag Placem_Collection'!B173</f>
        <v>Handajega</v>
      </c>
      <c r="D172" s="263" t="s">
        <v>2460</v>
      </c>
      <c r="E172" s="263" t="s">
        <v>2661</v>
      </c>
      <c r="F172" s="263">
        <v>2</v>
      </c>
      <c r="G172" s="264" t="str">
        <f>'Dry_Litterbag Placem_Collection'!C173</f>
        <v>Wet_W2_T3</v>
      </c>
      <c r="H172" s="265" t="s">
        <v>2541</v>
      </c>
      <c r="I172" s="266" t="s">
        <v>1147</v>
      </c>
      <c r="J172" s="263" t="str">
        <f>IF(ISBLANK('Dry_Litterbag Placem_Collection'!J173),"","G"&amp;""&amp;'Dry_Litterbag Placem_Collection'!J173)</f>
        <v>G149</v>
      </c>
      <c r="K172" s="267">
        <f>IFERROR(INDEX('Green_rooibos initial weight'!$C$5:$C$1749,MATCH(J172, 'Green_rooibos initial weight'!$A$5:$A$1749,0)),"")</f>
        <v>2.1789999999999998</v>
      </c>
      <c r="L172" s="267">
        <f>IFERROR(K172-(TBIcalc!$Q$9+TBIcalc!$Q$10),"")</f>
        <v>1.9291999999999998</v>
      </c>
      <c r="M172" s="391">
        <f>AVERAGE(Ashed_controlls!$K$2:$K$11)</f>
        <v>5.5147656768714146</v>
      </c>
      <c r="N172" s="267">
        <f t="shared" si="11"/>
        <v>1.8228091405617965</v>
      </c>
      <c r="O172" s="267">
        <f>IF(IFERROR(INDEX('Both teabags AfterDry'!$D$3:$D$900,MATCH(J172,'Both teabags AfterDry'!$A$3:$A$900,0)),"")="","",(IFERROR(INDEX('Both teabags AfterDry'!$D$3:$D$900,MATCH(J172,'Both teabags AfterDry'!$A$3:$A$900,0)),"")))</f>
        <v>0.75890000000000002</v>
      </c>
      <c r="P172" s="267">
        <f>IFERROR(IF(O172&gt;0,O172-(TBIcalc!$Q$9),""),"")</f>
        <v>0.60830000000000006</v>
      </c>
      <c r="Q172" s="278">
        <f>IFERROR(INDEX('Ashed teabags dry'!$K$2:$K$825,MATCH(J172,'Ashed teabags dry'!$A$2:$A$825,0)),"")</f>
        <v>19.04525111884687</v>
      </c>
      <c r="R172" s="278">
        <f t="shared" si="12"/>
        <v>0.49244773744405457</v>
      </c>
      <c r="S172" s="268">
        <f>'Dry_Litterbag Placem_Collection'!E173</f>
        <v>42940</v>
      </c>
      <c r="T172" s="268">
        <f>IF('Dry_Litterbag Placem_Collection'!G173="","",'Dry_Litterbag Placem_Collection'!G173)</f>
        <v>43009</v>
      </c>
      <c r="U172" s="269">
        <f t="shared" si="10"/>
        <v>69</v>
      </c>
      <c r="V172" s="267">
        <f t="shared" si="13"/>
        <v>1.3208999999999997</v>
      </c>
      <c r="W172" s="267">
        <f t="shared" si="14"/>
        <v>1.330361403117742</v>
      </c>
      <c r="X172" s="271">
        <f>IFERROR(INDEX(Rainfall_Dry!$O$2:$O$217,MATCH(B172, Rainfall_Dry!$A$2:$A$217,0)),"")</f>
        <v>162.634207253</v>
      </c>
      <c r="Y172" s="260">
        <v>23.96</v>
      </c>
      <c r="Z172" s="260">
        <v>4.9199999999999982</v>
      </c>
      <c r="AA172" s="260">
        <v>71.12</v>
      </c>
      <c r="AB172" s="261" t="s">
        <v>2670</v>
      </c>
      <c r="AC172" s="260">
        <v>5.3091375061606696</v>
      </c>
      <c r="AD172">
        <f>IF('WetLitterbags placem_collection'!AB173="","",'WetLitterbags placem_collection'!AB173)</f>
        <v>13.4</v>
      </c>
      <c r="AE172">
        <f>IF('WetLitterbags placem_collection'!Z173="","",'WetLitterbags placem_collection'!Z173)</f>
        <v>7.6</v>
      </c>
      <c r="AF172" s="24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71">
        <f>IFERROR(AVERAGE('Dry_Litterbag Placem_Collection'!N173,'Dry_Litterbag Placem_Collection'!Q173),"")</f>
        <v>33</v>
      </c>
      <c r="AJ172" s="270">
        <f>INDEX(Coordinates!$B$2:$B$197,MATCH(G172,Coordinates!$J$2:$J$197,0))</f>
        <v>-2.2785389889999998</v>
      </c>
      <c r="AK172" s="270">
        <f>INDEX(Coordinates!$C$2:$C$197,MATCH(G172,Coordinates!$J$2:$J$197,0))</f>
        <v>34.024371039999998</v>
      </c>
      <c r="AL172" s="270" t="str">
        <f>IF(ISNUMBER(SEARCH("C", 'Dry_Litterbag Placem_Collection'!S173)),"YES","NO")</f>
        <v>NO</v>
      </c>
      <c r="AM172" s="270" t="str">
        <f>IF(ISNUMBER(SEARCH("H", 'Dry_Litterbag Placem_Collection'!S173)),"YES","NO")</f>
        <v>NO</v>
      </c>
      <c r="AN172" s="270" t="str">
        <f>IF(ISNUMBER(SEARCH("R", 'Dry_Litterbag Placem_Collection'!S173)),"YES","NO")</f>
        <v>YES</v>
      </c>
    </row>
    <row r="173" spans="1:40" ht="15" customHeight="1">
      <c r="A173" s="262" t="s">
        <v>2659</v>
      </c>
      <c r="B173" s="263">
        <f>'Dry_Litterbag Placem_Collection'!A174</f>
        <v>172</v>
      </c>
      <c r="C173" s="263" t="str">
        <f>'Dry_Litterbag Placem_Collection'!B174</f>
        <v>Handajega</v>
      </c>
      <c r="D173" s="263" t="s">
        <v>2460</v>
      </c>
      <c r="E173" s="263" t="s">
        <v>2661</v>
      </c>
      <c r="F173" s="263">
        <v>2</v>
      </c>
      <c r="G173" s="264" t="str">
        <f>'Dry_Litterbag Placem_Collection'!C174</f>
        <v>Wet_W2_T4</v>
      </c>
      <c r="H173" s="265" t="s">
        <v>2541</v>
      </c>
      <c r="I173" s="266" t="s">
        <v>1147</v>
      </c>
      <c r="J173" s="263" t="str">
        <f>IF(ISBLANK('Dry_Litterbag Placem_Collection'!J174),"","G"&amp;""&amp;'Dry_Litterbag Placem_Collection'!J174)</f>
        <v/>
      </c>
      <c r="K173" s="267" t="str">
        <f>IFERROR(INDEX('Green_rooibos initial weight'!$C$5:$C$1749,MATCH(J173, 'Green_rooibos initial weight'!$A$5:$A$1749,0)),"")</f>
        <v/>
      </c>
      <c r="L173" s="267" t="str">
        <f>IFERROR(K173-(TBIcalc!$Q$9+TBIcalc!$Q$10),"")</f>
        <v/>
      </c>
      <c r="M173" s="391">
        <f>AVERAGE(Ashed_controlls!$K$2:$K$11)</f>
        <v>5.5147656768714146</v>
      </c>
      <c r="N173" s="267" t="str">
        <f t="shared" si="11"/>
        <v/>
      </c>
      <c r="O173" s="267" t="str">
        <f>IF(IFERROR(INDEX('Both teabags AfterDry'!$D$3:$D$900,MATCH(J173,'Both teabags AfterDry'!$A$3:$A$900,0)),"")="","",(IFERROR(INDEX('Both teabags AfterDry'!$D$3:$D$900,MATCH(J173,'Both teabags AfterDry'!$A$3:$A$900,0)),"")))</f>
        <v/>
      </c>
      <c r="P173" s="267" t="str">
        <f>IFERROR(IF(O173&gt;0,O173-(TBIcalc!$Q$9),""),"")</f>
        <v/>
      </c>
      <c r="Q173" s="278" t="str">
        <f>IFERROR(INDEX('Ashed teabags dry'!$K$2:$K$825,MATCH(J173,'Ashed teabags dry'!$A$2:$A$825,0)),"")</f>
        <v/>
      </c>
      <c r="R173" s="278" t="str">
        <f t="shared" si="12"/>
        <v/>
      </c>
      <c r="S173" s="268">
        <f>'Dry_Litterbag Placem_Collection'!E174</f>
        <v>0</v>
      </c>
      <c r="T173" s="268" t="str">
        <f>IF('Dry_Litterbag Placem_Collection'!G174="","",'Dry_Litterbag Placem_Collection'!G174)</f>
        <v/>
      </c>
      <c r="U173" s="269" t="str">
        <f t="shared" si="10"/>
        <v/>
      </c>
      <c r="V173" s="267" t="str">
        <f t="shared" si="13"/>
        <v/>
      </c>
      <c r="W173" s="267" t="str">
        <f t="shared" si="14"/>
        <v/>
      </c>
      <c r="X173" s="271" t="str">
        <f>IFERROR(INDEX(Rainfall_Dry!$O$2:$O$217,MATCH(B173, Rainfall_Dry!$A$2:$A$217,0)),"")</f>
        <v/>
      </c>
      <c r="Y173" s="260">
        <v>23.96</v>
      </c>
      <c r="Z173" s="260">
        <v>4.9199999999999982</v>
      </c>
      <c r="AA173" s="260">
        <v>71.12</v>
      </c>
      <c r="AB173" s="261" t="s">
        <v>2670</v>
      </c>
      <c r="AC173" s="260">
        <v>6.3091375061606696</v>
      </c>
      <c r="AD173">
        <f>IF('WetLitterbags placem_collection'!AB174="","",'WetLitterbags placem_collection'!AB174)</f>
        <v>3.3</v>
      </c>
      <c r="AE173">
        <f>IF('WetLitterbags placem_collection'!Z174="","",'WetLitterbags placem_collection'!Z174)</f>
        <v>28.4</v>
      </c>
      <c r="AF173" s="24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71" t="str">
        <f>IFERROR(AVERAGE('Dry_Litterbag Placem_Collection'!N174,'Dry_Litterbag Placem_Collection'!Q174),"")</f>
        <v/>
      </c>
      <c r="AJ173" s="270">
        <f>INDEX(Coordinates!$B$2:$B$197,MATCH(G173,Coordinates!$J$2:$J$197,0))</f>
        <v>-2.2781410160000002</v>
      </c>
      <c r="AK173" s="270">
        <f>INDEX(Coordinates!$C$2:$C$197,MATCH(G173,Coordinates!$J$2:$J$197,0))</f>
        <v>34.024136009999999</v>
      </c>
      <c r="AL173" s="270" t="str">
        <f>IF(ISNUMBER(SEARCH("C", 'Dry_Litterbag Placem_Collection'!S174)),"YES","NO")</f>
        <v>NO</v>
      </c>
      <c r="AM173" s="270" t="str">
        <f>IF(ISNUMBER(SEARCH("H", 'Dry_Litterbag Placem_Collection'!S174)),"YES","NO")</f>
        <v>NO</v>
      </c>
      <c r="AN173" s="270" t="str">
        <f>IF(ISNUMBER(SEARCH("R", 'Dry_Litterbag Placem_Collection'!S174)),"YES","NO")</f>
        <v>NO</v>
      </c>
    </row>
    <row r="174" spans="1:40" ht="15" customHeight="1">
      <c r="A174" s="262" t="s">
        <v>2659</v>
      </c>
      <c r="B174" s="263">
        <f>'Dry_Litterbag Placem_Collection'!A175</f>
        <v>173</v>
      </c>
      <c r="C174" s="263" t="str">
        <f>'Dry_Litterbag Placem_Collection'!B175</f>
        <v>Handajega</v>
      </c>
      <c r="D174" s="263" t="s">
        <v>2460</v>
      </c>
      <c r="E174" s="263" t="s">
        <v>2661</v>
      </c>
      <c r="F174" s="263">
        <v>2</v>
      </c>
      <c r="G174" s="264" t="str">
        <f>'Dry_Litterbag Placem_Collection'!C175</f>
        <v>Wet_W2_T5</v>
      </c>
      <c r="H174" s="265" t="s">
        <v>2541</v>
      </c>
      <c r="I174" s="266" t="s">
        <v>1147</v>
      </c>
      <c r="J174" s="263" t="str">
        <f>IF(ISBLANK('Dry_Litterbag Placem_Collection'!J175),"","G"&amp;""&amp;'Dry_Litterbag Placem_Collection'!J175)</f>
        <v>G597</v>
      </c>
      <c r="K174" s="267">
        <f>IFERROR(INDEX('Green_rooibos initial weight'!$C$5:$C$1749,MATCH(J174, 'Green_rooibos initial weight'!$A$5:$A$1749,0)),"")</f>
        <v>1.948</v>
      </c>
      <c r="L174" s="267">
        <f>IFERROR(K174-(TBIcalc!$Q$9+TBIcalc!$Q$10),"")</f>
        <v>1.6981999999999999</v>
      </c>
      <c r="M174" s="391">
        <f>AVERAGE(Ashed_controlls!$K$2:$K$11)</f>
        <v>5.5147656768714146</v>
      </c>
      <c r="N174" s="267">
        <f t="shared" si="11"/>
        <v>1.6045482492753695</v>
      </c>
      <c r="O174" s="267" t="str">
        <f>IF(IFERROR(INDEX('Both teabags AfterDry'!$D$3:$D$900,MATCH(J174,'Both teabags AfterDry'!$A$3:$A$900,0)),"")="","",(IFERROR(INDEX('Both teabags AfterDry'!$D$3:$D$900,MATCH(J174,'Both teabags AfterDry'!$A$3:$A$900,0)),"")))</f>
        <v/>
      </c>
      <c r="P174" s="267" t="str">
        <f>IFERROR(IF(O174&gt;0,O174-(TBIcalc!$Q$9),""),"")</f>
        <v/>
      </c>
      <c r="Q174" s="278" t="str">
        <f>IFERROR(INDEX('Ashed teabags dry'!$K$2:$K$825,MATCH(J174,'Ashed teabags dry'!$A$2:$A$825,0)),"")</f>
        <v/>
      </c>
      <c r="R174" s="278" t="str">
        <f t="shared" si="12"/>
        <v/>
      </c>
      <c r="S174" s="268">
        <f>'Dry_Litterbag Placem_Collection'!E175</f>
        <v>42940</v>
      </c>
      <c r="T174" s="268">
        <f>IF('Dry_Litterbag Placem_Collection'!G175="","",'Dry_Litterbag Placem_Collection'!G175)</f>
        <v>43009</v>
      </c>
      <c r="U174" s="269">
        <f t="shared" si="10"/>
        <v>69</v>
      </c>
      <c r="V174" s="267" t="str">
        <f t="shared" si="13"/>
        <v/>
      </c>
      <c r="W174" s="267" t="str">
        <f t="shared" si="14"/>
        <v/>
      </c>
      <c r="X174" s="271">
        <f>IFERROR(INDEX(Rainfall_Dry!$O$2:$O$217,MATCH(B174, Rainfall_Dry!$A$2:$A$217,0)),"")</f>
        <v>162.634207253</v>
      </c>
      <c r="Y174" s="260">
        <v>23.96</v>
      </c>
      <c r="Z174" s="260">
        <v>4.9199999999999982</v>
      </c>
      <c r="AA174" s="260">
        <v>71.12</v>
      </c>
      <c r="AB174" s="261" t="s">
        <v>2670</v>
      </c>
      <c r="AC174" s="260">
        <v>7.3091375061606696</v>
      </c>
      <c r="AD174">
        <f>IF('WetLitterbags placem_collection'!AB175="","",'WetLitterbags placem_collection'!AB175)</f>
        <v>15.4</v>
      </c>
      <c r="AE174">
        <f>IF('WetLitterbags placem_collection'!Z175="","",'WetLitterbags placem_collection'!Z175)</f>
        <v>12.4</v>
      </c>
      <c r="AF174" s="24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71">
        <f>IFERROR(AVERAGE('Dry_Litterbag Placem_Collection'!N175,'Dry_Litterbag Placem_Collection'!Q175),"")</f>
        <v>34.049999999999997</v>
      </c>
      <c r="AJ174" s="270">
        <f>INDEX(Coordinates!$B$2:$B$197,MATCH(G174,Coordinates!$J$2:$J$197,0))</f>
        <v>-2.27856799</v>
      </c>
      <c r="AK174" s="270">
        <f>INDEX(Coordinates!$C$2:$C$197,MATCH(G174,Coordinates!$J$2:$J$197,0))</f>
        <v>34.023969970000003</v>
      </c>
      <c r="AL174" s="270" t="str">
        <f>IF(ISNUMBER(SEARCH("C", 'Dry_Litterbag Placem_Collection'!S175)),"YES","NO")</f>
        <v>NO</v>
      </c>
      <c r="AM174" s="270" t="str">
        <f>IF(ISNUMBER(SEARCH("H", 'Dry_Litterbag Placem_Collection'!S175)),"YES","NO")</f>
        <v>YES</v>
      </c>
      <c r="AN174" s="270" t="str">
        <f>IF(ISNUMBER(SEARCH("R", 'Dry_Litterbag Placem_Collection'!S175)),"YES","NO")</f>
        <v>YES</v>
      </c>
    </row>
    <row r="175" spans="1:40" ht="15" customHeight="1">
      <c r="A175" s="262" t="s">
        <v>2659</v>
      </c>
      <c r="B175" s="263">
        <f>'Dry_Litterbag Placem_Collection'!A176</f>
        <v>174</v>
      </c>
      <c r="C175" s="263" t="str">
        <f>'Dry_Litterbag Placem_Collection'!B176</f>
        <v>Handajega</v>
      </c>
      <c r="D175" s="263" t="s">
        <v>2460</v>
      </c>
      <c r="E175" s="263" t="s">
        <v>2661</v>
      </c>
      <c r="F175" s="263">
        <v>2</v>
      </c>
      <c r="G175" s="264" t="str">
        <f>'Dry_Litterbag Placem_Collection'!C176</f>
        <v>Wet_W2_T6</v>
      </c>
      <c r="H175" s="265" t="s">
        <v>2541</v>
      </c>
      <c r="I175" s="266" t="s">
        <v>1147</v>
      </c>
      <c r="J175" s="263" t="str">
        <f>IF(ISBLANK('Dry_Litterbag Placem_Collection'!J176),"","G"&amp;""&amp;'Dry_Litterbag Placem_Collection'!J176)</f>
        <v>G396</v>
      </c>
      <c r="K175" s="267">
        <f>IFERROR(INDEX('Green_rooibos initial weight'!$C$5:$C$1749,MATCH(J175, 'Green_rooibos initial weight'!$A$5:$A$1749,0)),"")</f>
        <v>2.0070000000000001</v>
      </c>
      <c r="L175" s="267">
        <f>IFERROR(K175-(TBIcalc!$Q$9+TBIcalc!$Q$10),"")</f>
        <v>1.7572000000000001</v>
      </c>
      <c r="M175" s="391">
        <f>AVERAGE(Ashed_controlls!$K$2:$K$11)</f>
        <v>5.5147656768714146</v>
      </c>
      <c r="N175" s="267">
        <f t="shared" si="11"/>
        <v>1.6602945375260156</v>
      </c>
      <c r="O175" s="267">
        <f>IF(IFERROR(INDEX('Both teabags AfterDry'!$D$3:$D$900,MATCH(J175,'Both teabags AfterDry'!$A$3:$A$900,0)),"")="","",(IFERROR(INDEX('Both teabags AfterDry'!$D$3:$D$900,MATCH(J175,'Both teabags AfterDry'!$A$3:$A$900,0)),"")))</f>
        <v>0.80349999999999999</v>
      </c>
      <c r="P175" s="267">
        <f>IFERROR(IF(O175&gt;0,O175-(TBIcalc!$Q$9),""),"")</f>
        <v>0.65290000000000004</v>
      </c>
      <c r="Q175" s="278">
        <f>IFERROR(INDEX('Ashed teabags dry'!$K$2:$K$825,MATCH(J175,'Ashed teabags dry'!$A$2:$A$825,0)),"")</f>
        <v>24.860074626865973</v>
      </c>
      <c r="R175" s="278">
        <f t="shared" si="12"/>
        <v>0.49058857276119205</v>
      </c>
      <c r="S175" s="268">
        <f>'Dry_Litterbag Placem_Collection'!E176</f>
        <v>42940</v>
      </c>
      <c r="T175" s="268">
        <f>IF('Dry_Litterbag Placem_Collection'!G176="","",'Dry_Litterbag Placem_Collection'!G176)</f>
        <v>43009</v>
      </c>
      <c r="U175" s="269">
        <f t="shared" si="10"/>
        <v>69</v>
      </c>
      <c r="V175" s="267">
        <f t="shared" si="13"/>
        <v>1.1043000000000001</v>
      </c>
      <c r="W175" s="267">
        <f t="shared" si="14"/>
        <v>1.1697059647648236</v>
      </c>
      <c r="X175" s="271">
        <f>IFERROR(INDEX(Rainfall_Dry!$O$2:$O$217,MATCH(B175, Rainfall_Dry!$A$2:$A$217,0)),"")</f>
        <v>162.634207253</v>
      </c>
      <c r="Y175" s="260">
        <v>23.96</v>
      </c>
      <c r="Z175" s="260">
        <v>4.9199999999999982</v>
      </c>
      <c r="AA175" s="260">
        <v>71.12</v>
      </c>
      <c r="AB175" s="261" t="s">
        <v>2670</v>
      </c>
      <c r="AC175" s="260">
        <v>8.3091375061606705</v>
      </c>
      <c r="AD175">
        <f>IF('WetLitterbags placem_collection'!AB176="","",'WetLitterbags placem_collection'!AB176)</f>
        <v>7.4</v>
      </c>
      <c r="AE175">
        <f>IF('WetLitterbags placem_collection'!Z176="","",'WetLitterbags placem_collection'!Z176)</f>
        <v>7.4</v>
      </c>
      <c r="AF175" s="24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71">
        <f>IFERROR(AVERAGE('Dry_Litterbag Placem_Collection'!N176,'Dry_Litterbag Placem_Collection'!Q176),"")</f>
        <v>33.200000000000003</v>
      </c>
      <c r="AJ175" s="270">
        <f>INDEX(Coordinates!$B$2:$B$197,MATCH(G175,Coordinates!$J$2:$J$197,0))</f>
        <v>-2.2786809780000001</v>
      </c>
      <c r="AK175" s="270">
        <f>INDEX(Coordinates!$C$2:$C$197,MATCH(G175,Coordinates!$J$2:$J$197,0))</f>
        <v>34.02434899</v>
      </c>
      <c r="AL175" s="270" t="str">
        <f>IF(ISNUMBER(SEARCH("C", 'Dry_Litterbag Placem_Collection'!S176)),"YES","NO")</f>
        <v>NO</v>
      </c>
      <c r="AM175" s="270" t="str">
        <f>IF(ISNUMBER(SEARCH("H", 'Dry_Litterbag Placem_Collection'!S176)),"YES","NO")</f>
        <v>YES</v>
      </c>
      <c r="AN175" s="270" t="str">
        <f>IF(ISNUMBER(SEARCH("R", 'Dry_Litterbag Placem_Collection'!S176)),"YES","NO")</f>
        <v>YES</v>
      </c>
    </row>
    <row r="176" spans="1:40" ht="15" customHeight="1">
      <c r="A176" s="262" t="s">
        <v>2659</v>
      </c>
      <c r="B176" s="263">
        <f>'Dry_Litterbag Placem_Collection'!A177</f>
        <v>175</v>
      </c>
      <c r="C176" s="263" t="str">
        <f>'Dry_Litterbag Placem_Collection'!B177</f>
        <v>Handajega</v>
      </c>
      <c r="D176" s="263" t="s">
        <v>2460</v>
      </c>
      <c r="E176" s="263" t="s">
        <v>2661</v>
      </c>
      <c r="F176" s="263">
        <v>2</v>
      </c>
      <c r="G176" s="264" t="str">
        <f>'Dry_Litterbag Placem_Collection'!C177</f>
        <v>Wet_W2_T7</v>
      </c>
      <c r="H176" s="265" t="s">
        <v>2541</v>
      </c>
      <c r="I176" s="266" t="s">
        <v>1147</v>
      </c>
      <c r="J176" s="263" t="str">
        <f>IF(ISBLANK('Dry_Litterbag Placem_Collection'!J177),"","G"&amp;""&amp;'Dry_Litterbag Placem_Collection'!J177)</f>
        <v>G612</v>
      </c>
      <c r="K176" s="267">
        <f>IFERROR(INDEX('Green_rooibos initial weight'!$C$5:$C$1749,MATCH(J176, 'Green_rooibos initial weight'!$A$5:$A$1749,0)),"")</f>
        <v>2.004</v>
      </c>
      <c r="L176" s="267">
        <f>IFERROR(K176-(TBIcalc!$Q$9+TBIcalc!$Q$10),"")</f>
        <v>1.7542</v>
      </c>
      <c r="M176" s="391">
        <f>AVERAGE(Ashed_controlls!$K$2:$K$11)</f>
        <v>5.5147656768714146</v>
      </c>
      <c r="N176" s="267">
        <f t="shared" si="11"/>
        <v>1.6574599804963217</v>
      </c>
      <c r="O176" s="267">
        <f>IF(IFERROR(INDEX('Both teabags AfterDry'!$D$3:$D$900,MATCH(J176,'Both teabags AfterDry'!$A$3:$A$900,0)),"")="","",(IFERROR(INDEX('Both teabags AfterDry'!$D$3:$D$900,MATCH(J176,'Both teabags AfterDry'!$A$3:$A$900,0)),"")))</f>
        <v>0.83</v>
      </c>
      <c r="P176" s="267">
        <f>IFERROR(IF(O176&gt;0,O176-(TBIcalc!$Q$9),""),"")</f>
        <v>0.6794</v>
      </c>
      <c r="Q176" s="278">
        <f>IFERROR(INDEX('Ashed teabags dry'!$K$2:$K$825,MATCH(J176,'Ashed teabags dry'!$A$2:$A$825,0)),"")</f>
        <v>28.902765388045704</v>
      </c>
      <c r="R176" s="278">
        <f t="shared" si="12"/>
        <v>0.48303461195361752</v>
      </c>
      <c r="S176" s="268">
        <f>'Dry_Litterbag Placem_Collection'!E177</f>
        <v>42940</v>
      </c>
      <c r="T176" s="268">
        <f>IF('Dry_Litterbag Placem_Collection'!G177="","",'Dry_Litterbag Placem_Collection'!G177)</f>
        <v>43009</v>
      </c>
      <c r="U176" s="269">
        <f t="shared" si="10"/>
        <v>69</v>
      </c>
      <c r="V176" s="267">
        <f t="shared" si="13"/>
        <v>1.0748</v>
      </c>
      <c r="W176" s="267">
        <f t="shared" si="14"/>
        <v>1.1744253685427042</v>
      </c>
      <c r="X176" s="271">
        <f>IFERROR(INDEX(Rainfall_Dry!$O$2:$O$217,MATCH(B176, Rainfall_Dry!$A$2:$A$217,0)),"")</f>
        <v>162.634207253</v>
      </c>
      <c r="Y176" s="260">
        <v>23.96</v>
      </c>
      <c r="Z176" s="260">
        <v>4.9199999999999982</v>
      </c>
      <c r="AA176" s="260">
        <v>71.12</v>
      </c>
      <c r="AB176" s="261" t="s">
        <v>2670</v>
      </c>
      <c r="AC176" s="260">
        <v>9.3091375061606705</v>
      </c>
      <c r="AD176">
        <f>IF('WetLitterbags placem_collection'!AB177="","",'WetLitterbags placem_collection'!AB177)</f>
        <v>15.4</v>
      </c>
      <c r="AE176">
        <f>IF('WetLitterbags placem_collection'!Z177="","",'WetLitterbags placem_collection'!Z177)</f>
        <v>9.8000000000000007</v>
      </c>
      <c r="AF176" s="24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71">
        <f>IFERROR(AVERAGE('Dry_Litterbag Placem_Collection'!N177,'Dry_Litterbag Placem_Collection'!Q177),"")</f>
        <v>34.049999999999997</v>
      </c>
      <c r="AJ176" s="270">
        <f>INDEX(Coordinates!$B$2:$B$197,MATCH(G176,Coordinates!$J$2:$J$197,0))</f>
        <v>-2.2784219779999999</v>
      </c>
      <c r="AK176" s="270">
        <f>INDEX(Coordinates!$C$2:$C$197,MATCH(G176,Coordinates!$J$2:$J$197,0))</f>
        <v>34.024374979999997</v>
      </c>
      <c r="AL176" s="270" t="str">
        <f>IF(ISNUMBER(SEARCH("C", 'Dry_Litterbag Placem_Collection'!S177)),"YES","NO")</f>
        <v>NO</v>
      </c>
      <c r="AM176" s="270" t="str">
        <f>IF(ISNUMBER(SEARCH("H", 'Dry_Litterbag Placem_Collection'!S177)),"YES","NO")</f>
        <v>YES</v>
      </c>
      <c r="AN176" s="270" t="str">
        <f>IF(ISNUMBER(SEARCH("R", 'Dry_Litterbag Placem_Collection'!S177)),"YES","NO")</f>
        <v>YES</v>
      </c>
    </row>
    <row r="177" spans="1:40" ht="15" customHeight="1">
      <c r="A177" s="262" t="s">
        <v>2659</v>
      </c>
      <c r="B177" s="263">
        <f>'Dry_Litterbag Placem_Collection'!A178</f>
        <v>176</v>
      </c>
      <c r="C177" s="263" t="str">
        <f>'Dry_Litterbag Placem_Collection'!B178</f>
        <v>Handajega</v>
      </c>
      <c r="D177" s="263" t="s">
        <v>2460</v>
      </c>
      <c r="E177" s="263" t="s">
        <v>2661</v>
      </c>
      <c r="F177" s="263">
        <v>2</v>
      </c>
      <c r="G177" s="264" t="str">
        <f>'Dry_Litterbag Placem_Collection'!C178</f>
        <v>Wet_W2_T8</v>
      </c>
      <c r="H177" s="265" t="s">
        <v>2541</v>
      </c>
      <c r="I177" s="266" t="s">
        <v>1147</v>
      </c>
      <c r="J177" s="263" t="str">
        <f>IF(ISBLANK('Dry_Litterbag Placem_Collection'!J178),"","G"&amp;""&amp;'Dry_Litterbag Placem_Collection'!J178)</f>
        <v>G183</v>
      </c>
      <c r="K177" s="267">
        <f>IFERROR(INDEX('Green_rooibos initial weight'!$C$5:$C$1749,MATCH(J177, 'Green_rooibos initial weight'!$A$5:$A$1749,0)),"")</f>
        <v>1.897</v>
      </c>
      <c r="L177" s="267">
        <f>IFERROR(K177-(TBIcalc!$Q$9+TBIcalc!$Q$10),"")</f>
        <v>1.6472</v>
      </c>
      <c r="M177" s="391">
        <f>AVERAGE(Ashed_controlls!$K$2:$K$11)</f>
        <v>5.5147656768714146</v>
      </c>
      <c r="N177" s="267">
        <f t="shared" si="11"/>
        <v>1.5563607797705741</v>
      </c>
      <c r="O177" s="267">
        <f>IF(IFERROR(INDEX('Both teabags AfterDry'!$D$3:$D$900,MATCH(J177,'Both teabags AfterDry'!$A$3:$A$900,0)),"")="","",(IFERROR(INDEX('Both teabags AfterDry'!$D$3:$D$900,MATCH(J177,'Both teabags AfterDry'!$A$3:$A$900,0)),"")))</f>
        <v>0.92459999999999998</v>
      </c>
      <c r="P177" s="267">
        <f>IFERROR(IF(O177&gt;0,O177-(TBIcalc!$Q$9),""),"")</f>
        <v>0.77400000000000002</v>
      </c>
      <c r="Q177" s="278">
        <f>IFERROR(INDEX('Ashed teabags dry'!$K$2:$K$825,MATCH(J177,'Ashed teabags dry'!$A$2:$A$825,0)),"")</f>
        <v>36.390532544378914</v>
      </c>
      <c r="R177" s="278">
        <f t="shared" si="12"/>
        <v>0.49233727810650724</v>
      </c>
      <c r="S177" s="268">
        <f>'Dry_Litterbag Placem_Collection'!E178</f>
        <v>42940</v>
      </c>
      <c r="T177" s="268">
        <f>IF('Dry_Litterbag Placem_Collection'!G178="","",'Dry_Litterbag Placem_Collection'!G178)</f>
        <v>43009</v>
      </c>
      <c r="U177" s="269">
        <f t="shared" si="10"/>
        <v>69</v>
      </c>
      <c r="V177" s="267">
        <f t="shared" si="13"/>
        <v>0.87319999999999998</v>
      </c>
      <c r="W177" s="267">
        <f t="shared" si="14"/>
        <v>1.0640235016640669</v>
      </c>
      <c r="X177" s="271">
        <f>IFERROR(INDEX(Rainfall_Dry!$O$2:$O$217,MATCH(B177, Rainfall_Dry!$A$2:$A$217,0)),"")</f>
        <v>162.634207253</v>
      </c>
      <c r="Y177" s="260">
        <v>23.96</v>
      </c>
      <c r="Z177" s="260">
        <v>4.9199999999999982</v>
      </c>
      <c r="AA177" s="260">
        <v>71.12</v>
      </c>
      <c r="AB177" s="261" t="s">
        <v>2670</v>
      </c>
      <c r="AC177" s="260">
        <v>10.309137506160701</v>
      </c>
      <c r="AD177">
        <f>IF('WetLitterbags placem_collection'!AB178="","",'WetLitterbags placem_collection'!AB178)</f>
        <v>6.8</v>
      </c>
      <c r="AE177">
        <f>IF('WetLitterbags placem_collection'!Z178="","",'WetLitterbags placem_collection'!Z178)</f>
        <v>6.9</v>
      </c>
      <c r="AF177" s="24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71">
        <f>IFERROR(AVERAGE('Dry_Litterbag Placem_Collection'!N178,'Dry_Litterbag Placem_Collection'!Q178),"")</f>
        <v>34.5</v>
      </c>
      <c r="AJ177" s="270">
        <f>INDEX(Coordinates!$B$2:$B$197,MATCH(G177,Coordinates!$J$2:$J$197,0))</f>
        <v>-2.2782909679999999</v>
      </c>
      <c r="AK177" s="270">
        <f>INDEX(Coordinates!$C$2:$C$197,MATCH(G177,Coordinates!$J$2:$J$197,0))</f>
        <v>34.024574970000003</v>
      </c>
      <c r="AL177" s="270" t="str">
        <f>IF(ISNUMBER(SEARCH("C", 'Dry_Litterbag Placem_Collection'!S178)),"YES","NO")</f>
        <v>NO</v>
      </c>
      <c r="AM177" s="270" t="str">
        <f>IF(ISNUMBER(SEARCH("H", 'Dry_Litterbag Placem_Collection'!S178)),"YES","NO")</f>
        <v>YES</v>
      </c>
      <c r="AN177" s="270" t="str">
        <f>IF(ISNUMBER(SEARCH("R", 'Dry_Litterbag Placem_Collection'!S178)),"YES","NO")</f>
        <v>YES</v>
      </c>
    </row>
    <row r="178" spans="1:40" ht="15" customHeight="1">
      <c r="A178" s="262" t="s">
        <v>2659</v>
      </c>
      <c r="B178" s="263">
        <f>'Dry_Litterbag Placem_Collection'!A179</f>
        <v>177</v>
      </c>
      <c r="C178" s="263" t="str">
        <f>'Dry_Litterbag Placem_Collection'!B179</f>
        <v>Handajega</v>
      </c>
      <c r="D178" s="263" t="s">
        <v>2460</v>
      </c>
      <c r="E178" s="263" t="s">
        <v>2661</v>
      </c>
      <c r="F178" s="263">
        <v>3</v>
      </c>
      <c r="G178" s="264" t="str">
        <f>'Dry_Litterbag Placem_Collection'!C179</f>
        <v>Wet_W3_T1</v>
      </c>
      <c r="H178" s="265" t="s">
        <v>2541</v>
      </c>
      <c r="I178" s="266" t="s">
        <v>1147</v>
      </c>
      <c r="J178" s="263" t="str">
        <f>IF(ISBLANK('Dry_Litterbag Placem_Collection'!J179),"","G"&amp;""&amp;'Dry_Litterbag Placem_Collection'!J179)</f>
        <v>G98</v>
      </c>
      <c r="K178" s="267">
        <f>IFERROR(INDEX('Green_rooibos initial weight'!$C$5:$C$1749,MATCH(J178, 'Green_rooibos initial weight'!$A$5:$A$1749,0)),"")</f>
        <v>2.0979999999999999</v>
      </c>
      <c r="L178" s="267">
        <f>IFERROR(K178-(TBIcalc!$Q$9+TBIcalc!$Q$10),"")</f>
        <v>1.8481999999999998</v>
      </c>
      <c r="M178" s="391">
        <f>AVERAGE(Ashed_controlls!$K$2:$K$11)</f>
        <v>5.5147656768714146</v>
      </c>
      <c r="N178" s="267">
        <f t="shared" si="11"/>
        <v>1.7462761007600625</v>
      </c>
      <c r="O178" s="267" t="str">
        <f>IF(IFERROR(INDEX('Both teabags AfterDry'!$D$3:$D$900,MATCH(J178,'Both teabags AfterDry'!$A$3:$A$900,0)),"")="","",(IFERROR(INDEX('Both teabags AfterDry'!$D$3:$D$900,MATCH(J178,'Both teabags AfterDry'!$A$3:$A$900,0)),"")))</f>
        <v/>
      </c>
      <c r="P178" s="267" t="str">
        <f>IFERROR(IF(O178&gt;0,O178-(TBIcalc!$Q$9),""),"")</f>
        <v/>
      </c>
      <c r="Q178" s="278" t="str">
        <f>IFERROR(INDEX('Ashed teabags dry'!$K$2:$K$825,MATCH(J178,'Ashed teabags dry'!$A$2:$A$825,0)),"")</f>
        <v/>
      </c>
      <c r="R178" s="278" t="str">
        <f t="shared" si="12"/>
        <v/>
      </c>
      <c r="S178" s="268">
        <f>'Dry_Litterbag Placem_Collection'!E179</f>
        <v>42940</v>
      </c>
      <c r="T178" s="268">
        <f>IF('Dry_Litterbag Placem_Collection'!G179="","",'Dry_Litterbag Placem_Collection'!G179)</f>
        <v>43009</v>
      </c>
      <c r="U178" s="269">
        <f t="shared" si="10"/>
        <v>69</v>
      </c>
      <c r="V178" s="267" t="str">
        <f t="shared" si="13"/>
        <v/>
      </c>
      <c r="W178" s="267" t="str">
        <f t="shared" si="14"/>
        <v/>
      </c>
      <c r="X178" s="271">
        <f>IFERROR(INDEX(Rainfall_Dry!$O$2:$O$217,MATCH(B178, Rainfall_Dry!$A$2:$A$217,0)),"")</f>
        <v>162.634207253</v>
      </c>
      <c r="Y178" s="260">
        <v>25.96</v>
      </c>
      <c r="Z178" s="260">
        <v>8.9200000000000017</v>
      </c>
      <c r="AA178" s="260">
        <v>65.12</v>
      </c>
      <c r="AB178" s="261" t="s">
        <v>2670</v>
      </c>
      <c r="AC178" s="260">
        <v>1.614588467225234</v>
      </c>
      <c r="AD178">
        <f>IF('WetLitterbags placem_collection'!AB179="","",'WetLitterbags placem_collection'!AB179)</f>
        <v>17.8</v>
      </c>
      <c r="AE178">
        <f>IF('WetLitterbags placem_collection'!Z179="","",'WetLitterbags placem_collection'!Z179)</f>
        <v>25.8</v>
      </c>
      <c r="AF178" s="24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71">
        <f>IFERROR(AVERAGE('Dry_Litterbag Placem_Collection'!N179,'Dry_Litterbag Placem_Collection'!Q179),"")</f>
        <v>34.150000000000006</v>
      </c>
      <c r="AJ178" s="270">
        <f>INDEX(Coordinates!$B$2:$B$197,MATCH(G178,Coordinates!$J$2:$J$197,0))</f>
        <v>-2.277740026</v>
      </c>
      <c r="AK178" s="270">
        <f>INDEX(Coordinates!$C$2:$C$197,MATCH(G178,Coordinates!$J$2:$J$197,0))</f>
        <v>34.027640990000002</v>
      </c>
      <c r="AL178" s="270" t="str">
        <f>IF(ISNUMBER(SEARCH("C", 'Dry_Litterbag Placem_Collection'!S179)),"YES","NO")</f>
        <v>NO</v>
      </c>
      <c r="AM178" s="270" t="str">
        <f>IF(ISNUMBER(SEARCH("H", 'Dry_Litterbag Placem_Collection'!S179)),"YES","NO")</f>
        <v>YES</v>
      </c>
      <c r="AN178" s="270" t="str">
        <f>IF(ISNUMBER(SEARCH("R", 'Dry_Litterbag Placem_Collection'!S179)),"YES","NO")</f>
        <v>YES</v>
      </c>
    </row>
    <row r="179" spans="1:40" ht="15" customHeight="1">
      <c r="A179" s="262" t="s">
        <v>2659</v>
      </c>
      <c r="B179" s="263">
        <f>'Dry_Litterbag Placem_Collection'!A180</f>
        <v>178</v>
      </c>
      <c r="C179" s="263" t="str">
        <f>'Dry_Litterbag Placem_Collection'!B180</f>
        <v>Handajega</v>
      </c>
      <c r="D179" s="263" t="s">
        <v>2460</v>
      </c>
      <c r="E179" s="263" t="s">
        <v>2661</v>
      </c>
      <c r="F179" s="263">
        <v>3</v>
      </c>
      <c r="G179" s="264" t="str">
        <f>'Dry_Litterbag Placem_Collection'!C180</f>
        <v>Wet_W3_T2</v>
      </c>
      <c r="H179" s="265" t="s">
        <v>2541</v>
      </c>
      <c r="I179" s="266" t="s">
        <v>1147</v>
      </c>
      <c r="J179" s="263" t="str">
        <f>IF(ISBLANK('Dry_Litterbag Placem_Collection'!J180),"","G"&amp;""&amp;'Dry_Litterbag Placem_Collection'!J180)</f>
        <v>G353</v>
      </c>
      <c r="K179" s="267">
        <f>IFERROR(INDEX('Green_rooibos initial weight'!$C$5:$C$1749,MATCH(J179, 'Green_rooibos initial weight'!$A$5:$A$1749,0)),"")</f>
        <v>1.988</v>
      </c>
      <c r="L179" s="267">
        <f>IFERROR(K179-(TBIcalc!$Q$9+TBIcalc!$Q$10),"")</f>
        <v>1.7382</v>
      </c>
      <c r="M179" s="391">
        <f>AVERAGE(Ashed_controlls!$K$2:$K$11)</f>
        <v>5.5147656768714146</v>
      </c>
      <c r="N179" s="267">
        <f t="shared" si="11"/>
        <v>1.6423423430046211</v>
      </c>
      <c r="O179" s="267">
        <f>IF(IFERROR(INDEX('Both teabags AfterDry'!$D$3:$D$900,MATCH(J179,'Both teabags AfterDry'!$A$3:$A$900,0)),"")="","",(IFERROR(INDEX('Both teabags AfterDry'!$D$3:$D$900,MATCH(J179,'Both teabags AfterDry'!$A$3:$A$900,0)),"")))</f>
        <v>0.80569999999999997</v>
      </c>
      <c r="P179" s="267">
        <f>IFERROR(IF(O179&gt;0,O179-(TBIcalc!$Q$9),""),"")</f>
        <v>0.65510000000000002</v>
      </c>
      <c r="Q179" s="278">
        <f>IFERROR(INDEX('Ashed teabags dry'!$K$2:$K$825,MATCH(J179,'Ashed teabags dry'!$A$2:$A$825,0)),"")</f>
        <v>27.451946771808881</v>
      </c>
      <c r="R179" s="278">
        <f t="shared" si="12"/>
        <v>0.47526229669788</v>
      </c>
      <c r="S179" s="268">
        <f>'Dry_Litterbag Placem_Collection'!E180</f>
        <v>42940</v>
      </c>
      <c r="T179" s="268">
        <f>IF('Dry_Litterbag Placem_Collection'!G180="","",'Dry_Litterbag Placem_Collection'!G180)</f>
        <v>43009</v>
      </c>
      <c r="U179" s="269">
        <f t="shared" si="10"/>
        <v>69</v>
      </c>
      <c r="V179" s="267">
        <f t="shared" si="13"/>
        <v>1.0831</v>
      </c>
      <c r="W179" s="267">
        <f t="shared" si="14"/>
        <v>1.167080046306741</v>
      </c>
      <c r="X179" s="271">
        <f>IFERROR(INDEX(Rainfall_Dry!$O$2:$O$217,MATCH(B179, Rainfall_Dry!$A$2:$A$217,0)),"")</f>
        <v>162.634207253</v>
      </c>
      <c r="Y179" s="260">
        <v>25.96</v>
      </c>
      <c r="Z179" s="260">
        <v>8.9200000000000017</v>
      </c>
      <c r="AA179" s="260">
        <v>65.12</v>
      </c>
      <c r="AB179" s="261" t="s">
        <v>2670</v>
      </c>
      <c r="AC179" s="260">
        <v>2.61458846722523</v>
      </c>
      <c r="AD179">
        <f>IF('WetLitterbags placem_collection'!AB180="","",'WetLitterbags placem_collection'!AB180)</f>
        <v>15.4</v>
      </c>
      <c r="AE179">
        <f>IF('WetLitterbags placem_collection'!Z180="","",'WetLitterbags placem_collection'!Z180)</f>
        <v>18.8</v>
      </c>
      <c r="AF179" s="24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71">
        <f>IFERROR(AVERAGE('Dry_Litterbag Placem_Collection'!N180,'Dry_Litterbag Placem_Collection'!Q180),"")</f>
        <v>35.799999999999997</v>
      </c>
      <c r="AJ179" s="270">
        <f>INDEX(Coordinates!$B$2:$B$197,MATCH(G179,Coordinates!$J$2:$J$197,0))</f>
        <v>-2.2777889760000001</v>
      </c>
      <c r="AK179" s="270">
        <f>INDEX(Coordinates!$C$2:$C$197,MATCH(G179,Coordinates!$J$2:$J$197,0))</f>
        <v>34.027664960000003</v>
      </c>
      <c r="AL179" s="270" t="str">
        <f>IF(ISNUMBER(SEARCH("C", 'Dry_Litterbag Placem_Collection'!S180)),"YES","NO")</f>
        <v>NO</v>
      </c>
      <c r="AM179" s="270" t="str">
        <f>IF(ISNUMBER(SEARCH("H", 'Dry_Litterbag Placem_Collection'!S180)),"YES","NO")</f>
        <v>NO</v>
      </c>
      <c r="AN179" s="270" t="str">
        <f>IF(ISNUMBER(SEARCH("R", 'Dry_Litterbag Placem_Collection'!S180)),"YES","NO")</f>
        <v>YES</v>
      </c>
    </row>
    <row r="180" spans="1:40" ht="15" customHeight="1">
      <c r="A180" s="262" t="s">
        <v>2659</v>
      </c>
      <c r="B180" s="263">
        <f>'Dry_Litterbag Placem_Collection'!A181</f>
        <v>179</v>
      </c>
      <c r="C180" s="263" t="str">
        <f>'Dry_Litterbag Placem_Collection'!B181</f>
        <v>Handajega</v>
      </c>
      <c r="D180" s="263" t="s">
        <v>2460</v>
      </c>
      <c r="E180" s="263" t="s">
        <v>2661</v>
      </c>
      <c r="F180" s="263">
        <v>3</v>
      </c>
      <c r="G180" s="264" t="str">
        <f>'Dry_Litterbag Placem_Collection'!C181</f>
        <v>Wet_W3_T3</v>
      </c>
      <c r="H180" s="265" t="s">
        <v>2541</v>
      </c>
      <c r="I180" s="266" t="s">
        <v>1147</v>
      </c>
      <c r="J180" s="263" t="str">
        <f>IF(ISBLANK('Dry_Litterbag Placem_Collection'!J181),"","G"&amp;""&amp;'Dry_Litterbag Placem_Collection'!J181)</f>
        <v>G42</v>
      </c>
      <c r="K180" s="267">
        <f>IFERROR(INDEX('Green_rooibos initial weight'!$C$5:$C$1749,MATCH(J180, 'Green_rooibos initial weight'!$A$5:$A$1749,0)),"")</f>
        <v>1.9530000000000001</v>
      </c>
      <c r="L180" s="267">
        <f>IFERROR(K180-(TBIcalc!$Q$9+TBIcalc!$Q$10),"")</f>
        <v>1.7032</v>
      </c>
      <c r="M180" s="391">
        <f>AVERAGE(Ashed_controlls!$K$2:$K$11)</f>
        <v>5.5147656768714146</v>
      </c>
      <c r="N180" s="267">
        <f t="shared" si="11"/>
        <v>1.609272510991526</v>
      </c>
      <c r="O180" s="267" t="str">
        <f>IF(IFERROR(INDEX('Both teabags AfterDry'!$D$3:$D$900,MATCH(J180,'Both teabags AfterDry'!$A$3:$A$900,0)),"")="","",(IFERROR(INDEX('Both teabags AfterDry'!$D$3:$D$900,MATCH(J180,'Both teabags AfterDry'!$A$3:$A$900,0)),"")))</f>
        <v/>
      </c>
      <c r="P180" s="267" t="str">
        <f>IFERROR(IF(O180&gt;0,O180-(TBIcalc!$Q$9),""),"")</f>
        <v/>
      </c>
      <c r="Q180" s="278">
        <f>IFERROR(INDEX('Ashed teabags dry'!$K$2:$K$825,MATCH(J180,'Ashed teabags dry'!$A$2:$A$825,0)),"")</f>
        <v>41.121951219512503</v>
      </c>
      <c r="R180" s="278" t="str">
        <f t="shared" si="12"/>
        <v/>
      </c>
      <c r="S180" s="268">
        <f>'Dry_Litterbag Placem_Collection'!E181</f>
        <v>42940</v>
      </c>
      <c r="T180" s="268">
        <f>IF('Dry_Litterbag Placem_Collection'!G181="","",'Dry_Litterbag Placem_Collection'!G181)</f>
        <v>43009</v>
      </c>
      <c r="U180" s="269">
        <f t="shared" si="10"/>
        <v>69</v>
      </c>
      <c r="V180" s="267" t="str">
        <f t="shared" si="13"/>
        <v/>
      </c>
      <c r="W180" s="267" t="str">
        <f t="shared" si="14"/>
        <v/>
      </c>
      <c r="X180" s="271">
        <f>IFERROR(INDEX(Rainfall_Dry!$O$2:$O$217,MATCH(B180, Rainfall_Dry!$A$2:$A$217,0)),"")</f>
        <v>162.634207253</v>
      </c>
      <c r="Y180" s="260">
        <v>25.96</v>
      </c>
      <c r="Z180" s="260">
        <v>8.9200000000000017</v>
      </c>
      <c r="AA180" s="260">
        <v>65.12</v>
      </c>
      <c r="AB180" s="261" t="s">
        <v>2670</v>
      </c>
      <c r="AC180" s="260">
        <v>3.61458846722523</v>
      </c>
      <c r="AD180">
        <f>IF('WetLitterbags placem_collection'!AB181="","",'WetLitterbags placem_collection'!AB181)</f>
        <v>11.8</v>
      </c>
      <c r="AE180">
        <f>IF('WetLitterbags placem_collection'!Z181="","",'WetLitterbags placem_collection'!Z181)</f>
        <v>15.4</v>
      </c>
      <c r="AF180" s="24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71">
        <f>IFERROR(AVERAGE('Dry_Litterbag Placem_Collection'!N181,'Dry_Litterbag Placem_Collection'!Q181),"")</f>
        <v>34.75</v>
      </c>
      <c r="AJ180" s="270">
        <f>INDEX(Coordinates!$B$2:$B$197,MATCH(G180,Coordinates!$J$2:$J$197,0))</f>
        <v>-2.2778579589999999</v>
      </c>
      <c r="AK180" s="270">
        <f>INDEX(Coordinates!$C$2:$C$197,MATCH(G180,Coordinates!$J$2:$J$197,0))</f>
        <v>34.027682980000002</v>
      </c>
      <c r="AL180" s="270" t="str">
        <f>IF(ISNUMBER(SEARCH("C", 'Dry_Litterbag Placem_Collection'!S181)),"YES","NO")</f>
        <v>NO</v>
      </c>
      <c r="AM180" s="270" t="str">
        <f>IF(ISNUMBER(SEARCH("H", 'Dry_Litterbag Placem_Collection'!S181)),"YES","NO")</f>
        <v>NO</v>
      </c>
      <c r="AN180" s="270" t="str">
        <f>IF(ISNUMBER(SEARCH("R", 'Dry_Litterbag Placem_Collection'!S181)),"YES","NO")</f>
        <v>YES</v>
      </c>
    </row>
    <row r="181" spans="1:40" ht="15" customHeight="1">
      <c r="A181" s="262" t="s">
        <v>2659</v>
      </c>
      <c r="B181" s="263">
        <f>'Dry_Litterbag Placem_Collection'!A182</f>
        <v>180</v>
      </c>
      <c r="C181" s="263" t="str">
        <f>'Dry_Litterbag Placem_Collection'!B182</f>
        <v>Handajega</v>
      </c>
      <c r="D181" s="263" t="s">
        <v>2460</v>
      </c>
      <c r="E181" s="263" t="s">
        <v>2661</v>
      </c>
      <c r="F181" s="263">
        <v>3</v>
      </c>
      <c r="G181" s="264" t="str">
        <f>'Dry_Litterbag Placem_Collection'!C182</f>
        <v>Wet_W3_T4</v>
      </c>
      <c r="H181" s="265" t="s">
        <v>2541</v>
      </c>
      <c r="I181" s="266" t="s">
        <v>1147</v>
      </c>
      <c r="J181" s="263" t="str">
        <f>IF(ISBLANK('Dry_Litterbag Placem_Collection'!J182),"","G"&amp;""&amp;'Dry_Litterbag Placem_Collection'!J182)</f>
        <v>G245</v>
      </c>
      <c r="K181" s="267">
        <f>IFERROR(INDEX('Green_rooibos initial weight'!$C$5:$C$1749,MATCH(J181, 'Green_rooibos initial weight'!$A$5:$A$1749,0)),"")</f>
        <v>2.0150000000000001</v>
      </c>
      <c r="L181" s="267">
        <f>IFERROR(K181-(TBIcalc!$Q$9+TBIcalc!$Q$10),"")</f>
        <v>1.7652000000000001</v>
      </c>
      <c r="M181" s="391">
        <f>AVERAGE(Ashed_controlls!$K$2:$K$11)</f>
        <v>5.5147656768714146</v>
      </c>
      <c r="N181" s="267">
        <f t="shared" si="11"/>
        <v>1.6678533562718658</v>
      </c>
      <c r="O181" s="267">
        <f>IF(IFERROR(INDEX('Both teabags AfterDry'!$D$3:$D$900,MATCH(J181,'Both teabags AfterDry'!$A$3:$A$900,0)),"")="","",(IFERROR(INDEX('Both teabags AfterDry'!$D$3:$D$900,MATCH(J181,'Both teabags AfterDry'!$A$3:$A$900,0)),"")))</f>
        <v>0.81240000000000001</v>
      </c>
      <c r="P181" s="267">
        <f>IFERROR(IF(O181&gt;0,O181-(TBIcalc!$Q$9),""),"")</f>
        <v>0.66179999999999994</v>
      </c>
      <c r="Q181" s="278">
        <f>IFERROR(INDEX('Ashed teabags dry'!$K$2:$K$825,MATCH(J181,'Ashed teabags dry'!$A$2:$A$825,0)),"")</f>
        <v>19.084712755598879</v>
      </c>
      <c r="R181" s="278">
        <f t="shared" si="12"/>
        <v>0.53549737098344652</v>
      </c>
      <c r="S181" s="268">
        <f>'Dry_Litterbag Placem_Collection'!E182</f>
        <v>42940</v>
      </c>
      <c r="T181" s="268">
        <f>IF('Dry_Litterbag Placem_Collection'!G182="","",'Dry_Litterbag Placem_Collection'!G182)</f>
        <v>43009</v>
      </c>
      <c r="U181" s="269">
        <f t="shared" si="10"/>
        <v>69</v>
      </c>
      <c r="V181" s="267">
        <f t="shared" si="13"/>
        <v>1.1034000000000002</v>
      </c>
      <c r="W181" s="267">
        <f t="shared" si="14"/>
        <v>1.1323559852884193</v>
      </c>
      <c r="X181" s="271">
        <f>IFERROR(INDEX(Rainfall_Dry!$O$2:$O$217,MATCH(B181, Rainfall_Dry!$A$2:$A$217,0)),"")</f>
        <v>162.634207253</v>
      </c>
      <c r="Y181" s="260">
        <v>25.96</v>
      </c>
      <c r="Z181" s="260">
        <v>8.9200000000000017</v>
      </c>
      <c r="AA181" s="260">
        <v>65.12</v>
      </c>
      <c r="AB181" s="261" t="s">
        <v>2670</v>
      </c>
      <c r="AC181" s="260">
        <v>4.6145884672252304</v>
      </c>
      <c r="AD181">
        <f>IF('WetLitterbags placem_collection'!AB182="","",'WetLitterbags placem_collection'!AB182)</f>
        <v>8.3000000000000007</v>
      </c>
      <c r="AE181">
        <f>IF('WetLitterbags placem_collection'!Z182="","",'WetLitterbags placem_collection'!Z182)</f>
        <v>35</v>
      </c>
      <c r="AF181" s="24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71">
        <f>IFERROR(AVERAGE('Dry_Litterbag Placem_Collection'!N182,'Dry_Litterbag Placem_Collection'!Q182),"")</f>
        <v>31</v>
      </c>
      <c r="AJ181" s="270">
        <f>INDEX(Coordinates!$B$2:$B$197,MATCH(G181,Coordinates!$J$2:$J$197,0))</f>
        <v>-2.2780199809999999</v>
      </c>
      <c r="AK181" s="270">
        <f>INDEX(Coordinates!$C$2:$C$197,MATCH(G181,Coordinates!$J$2:$J$197,0))</f>
        <v>34.027705019999999</v>
      </c>
      <c r="AL181" s="270" t="str">
        <f>IF(ISNUMBER(SEARCH("C", 'Dry_Litterbag Placem_Collection'!S182)),"YES","NO")</f>
        <v>NO</v>
      </c>
      <c r="AM181" s="270" t="str">
        <f>IF(ISNUMBER(SEARCH("H", 'Dry_Litterbag Placem_Collection'!S182)),"YES","NO")</f>
        <v>NO</v>
      </c>
      <c r="AN181" s="270" t="str">
        <f>IF(ISNUMBER(SEARCH("R", 'Dry_Litterbag Placem_Collection'!S182)),"YES","NO")</f>
        <v>YES</v>
      </c>
    </row>
    <row r="182" spans="1:40" ht="15" customHeight="1">
      <c r="A182" s="262" t="s">
        <v>2659</v>
      </c>
      <c r="B182" s="263">
        <f>'Dry_Litterbag Placem_Collection'!A183</f>
        <v>181</v>
      </c>
      <c r="C182" s="263" t="str">
        <f>'Dry_Litterbag Placem_Collection'!B183</f>
        <v>Handajega</v>
      </c>
      <c r="D182" s="263" t="s">
        <v>2460</v>
      </c>
      <c r="E182" s="263" t="s">
        <v>2661</v>
      </c>
      <c r="F182" s="263">
        <v>3</v>
      </c>
      <c r="G182" s="264" t="str">
        <f>'Dry_Litterbag Placem_Collection'!C183</f>
        <v>Wet_W3_T5</v>
      </c>
      <c r="H182" s="265" t="s">
        <v>2541</v>
      </c>
      <c r="I182" s="266" t="s">
        <v>1147</v>
      </c>
      <c r="J182" s="263" t="str">
        <f>IF(ISBLANK('Dry_Litterbag Placem_Collection'!J183),"","G"&amp;""&amp;'Dry_Litterbag Placem_Collection'!J183)</f>
        <v>G411</v>
      </c>
      <c r="K182" s="267">
        <f>IFERROR(INDEX('Green_rooibos initial weight'!$C$5:$C$1749,MATCH(J182, 'Green_rooibos initial weight'!$A$5:$A$1749,0)),"")</f>
        <v>2.1120000000000001</v>
      </c>
      <c r="L182" s="267">
        <f>IFERROR(K182-(TBIcalc!$Q$9+TBIcalc!$Q$10),"")</f>
        <v>1.8622000000000001</v>
      </c>
      <c r="M182" s="391">
        <f>AVERAGE(Ashed_controlls!$K$2:$K$11)</f>
        <v>5.5147656768714146</v>
      </c>
      <c r="N182" s="267">
        <f t="shared" si="11"/>
        <v>1.7595040335653005</v>
      </c>
      <c r="O182" s="267">
        <f>IF(IFERROR(INDEX('Both teabags AfterDry'!$D$3:$D$900,MATCH(J182,'Both teabags AfterDry'!$A$3:$A$900,0)),"")="","",(IFERROR(INDEX('Both teabags AfterDry'!$D$3:$D$900,MATCH(J182,'Both teabags AfterDry'!$A$3:$A$900,0)),"")))</f>
        <v>0.76629999999999998</v>
      </c>
      <c r="P182" s="267">
        <f>IFERROR(IF(O182&gt;0,O182-(TBIcalc!$Q$9),""),"")</f>
        <v>0.61569999999999991</v>
      </c>
      <c r="Q182" s="278">
        <f>IFERROR(INDEX('Ashed teabags dry'!$K$2:$K$825,MATCH(J182,'Ashed teabags dry'!$A$2:$A$825,0)),"")</f>
        <v>18.218018914882634</v>
      </c>
      <c r="R182" s="278">
        <f t="shared" si="12"/>
        <v>0.50353165754106755</v>
      </c>
      <c r="S182" s="268">
        <f>'Dry_Litterbag Placem_Collection'!E183</f>
        <v>42940</v>
      </c>
      <c r="T182" s="268">
        <f>IF('Dry_Litterbag Placem_Collection'!G183="","",'Dry_Litterbag Placem_Collection'!G183)</f>
        <v>43009</v>
      </c>
      <c r="U182" s="269">
        <f t="shared" si="10"/>
        <v>69</v>
      </c>
      <c r="V182" s="267">
        <f t="shared" si="13"/>
        <v>1.2465000000000002</v>
      </c>
      <c r="W182" s="267">
        <f t="shared" si="14"/>
        <v>1.255972376024233</v>
      </c>
      <c r="X182" s="271">
        <f>IFERROR(INDEX(Rainfall_Dry!$O$2:$O$217,MATCH(B182, Rainfall_Dry!$A$2:$A$217,0)),"")</f>
        <v>162.634207253</v>
      </c>
      <c r="Y182" s="260">
        <v>25.96</v>
      </c>
      <c r="Z182" s="260">
        <v>8.9200000000000017</v>
      </c>
      <c r="AA182" s="260">
        <v>65.12</v>
      </c>
      <c r="AB182" s="261" t="s">
        <v>2670</v>
      </c>
      <c r="AC182" s="260">
        <v>5.6145884672252304</v>
      </c>
      <c r="AD182">
        <f>IF('WetLitterbags placem_collection'!AB183="","",'WetLitterbags placem_collection'!AB183)</f>
        <v>11.4</v>
      </c>
      <c r="AE182">
        <f>IF('WetLitterbags placem_collection'!Z183="","",'WetLitterbags placem_collection'!Z183)</f>
        <v>15.8</v>
      </c>
      <c r="AF182" s="24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71">
        <f>IFERROR(AVERAGE('Dry_Litterbag Placem_Collection'!N183,'Dry_Litterbag Placem_Collection'!Q183),"")</f>
        <v>35.099999999999994</v>
      </c>
      <c r="AJ182" s="270">
        <f>INDEX(Coordinates!$B$2:$B$197,MATCH(G182,Coordinates!$J$2:$J$197,0))</f>
        <v>-2.2777329850000001</v>
      </c>
      <c r="AK182" s="270">
        <f>INDEX(Coordinates!$C$2:$C$197,MATCH(G182,Coordinates!$J$2:$J$197,0))</f>
        <v>34.027422970000003</v>
      </c>
      <c r="AL182" s="270" t="str">
        <f>IF(ISNUMBER(SEARCH("C", 'Dry_Litterbag Placem_Collection'!S183)),"YES","NO")</f>
        <v>NO</v>
      </c>
      <c r="AM182" s="270" t="str">
        <f>IF(ISNUMBER(SEARCH("H", 'Dry_Litterbag Placem_Collection'!S183)),"YES","NO")</f>
        <v>NO</v>
      </c>
      <c r="AN182" s="270" t="str">
        <f>IF(ISNUMBER(SEARCH("R", 'Dry_Litterbag Placem_Collection'!S183)),"YES","NO")</f>
        <v>YES</v>
      </c>
    </row>
    <row r="183" spans="1:40" ht="15" customHeight="1">
      <c r="A183" s="262" t="s">
        <v>2659</v>
      </c>
      <c r="B183" s="263">
        <f>'Dry_Litterbag Placem_Collection'!A184</f>
        <v>182</v>
      </c>
      <c r="C183" s="263" t="str">
        <f>'Dry_Litterbag Placem_Collection'!B184</f>
        <v>Handajega</v>
      </c>
      <c r="D183" s="263" t="s">
        <v>2460</v>
      </c>
      <c r="E183" s="263" t="s">
        <v>2661</v>
      </c>
      <c r="F183" s="263">
        <v>3</v>
      </c>
      <c r="G183" s="264" t="str">
        <f>'Dry_Litterbag Placem_Collection'!C184</f>
        <v>Wet_W3_T6</v>
      </c>
      <c r="H183" s="265" t="s">
        <v>2541</v>
      </c>
      <c r="I183" s="266" t="s">
        <v>1147</v>
      </c>
      <c r="J183" s="263" t="str">
        <f>IF(ISBLANK('Dry_Litterbag Placem_Collection'!J184),"","G"&amp;""&amp;'Dry_Litterbag Placem_Collection'!J184)</f>
        <v>G309</v>
      </c>
      <c r="K183" s="267">
        <f>IFERROR(INDEX('Green_rooibos initial weight'!$C$5:$C$1749,MATCH(J183, 'Green_rooibos initial weight'!$A$5:$A$1749,0)),"")</f>
        <v>2.0579999999999998</v>
      </c>
      <c r="L183" s="267">
        <f>IFERROR(K183-(TBIcalc!$Q$9+TBIcalc!$Q$10),"")</f>
        <v>1.8081999999999998</v>
      </c>
      <c r="M183" s="391">
        <f>AVERAGE(Ashed_controlls!$K$2:$K$11)</f>
        <v>5.5147656768714146</v>
      </c>
      <c r="N183" s="267">
        <f t="shared" si="11"/>
        <v>1.7084820070308109</v>
      </c>
      <c r="O183" s="267">
        <f>IF(IFERROR(INDEX('Both teabags AfterDry'!$D$3:$D$900,MATCH(J183,'Both teabags AfterDry'!$A$3:$A$900,0)),"")="","",(IFERROR(INDEX('Both teabags AfterDry'!$D$3:$D$900,MATCH(J183,'Both teabags AfterDry'!$A$3:$A$900,0)),"")))</f>
        <v>0.88170000000000004</v>
      </c>
      <c r="P183" s="267">
        <f>IFERROR(IF(O183&gt;0,O183-(TBIcalc!$Q$9),""),"")</f>
        <v>0.73110000000000008</v>
      </c>
      <c r="Q183" s="278">
        <f>IFERROR(INDEX('Ashed teabags dry'!$K$2:$K$825,MATCH(J183,'Ashed teabags dry'!$A$2:$A$825,0)),"")</f>
        <v>34.288537549406669</v>
      </c>
      <c r="R183" s="278">
        <f t="shared" si="12"/>
        <v>0.48041650197628794</v>
      </c>
      <c r="S183" s="268">
        <f>'Dry_Litterbag Placem_Collection'!E184</f>
        <v>42940</v>
      </c>
      <c r="T183" s="268">
        <f>IF('Dry_Litterbag Placem_Collection'!G184="","",'Dry_Litterbag Placem_Collection'!G184)</f>
        <v>43009</v>
      </c>
      <c r="U183" s="269">
        <f t="shared" si="10"/>
        <v>69</v>
      </c>
      <c r="V183" s="267">
        <f t="shared" si="13"/>
        <v>1.0770999999999997</v>
      </c>
      <c r="W183" s="267">
        <f t="shared" si="14"/>
        <v>1.2280655050545231</v>
      </c>
      <c r="X183" s="271">
        <f>IFERROR(INDEX(Rainfall_Dry!$O$2:$O$217,MATCH(B183, Rainfall_Dry!$A$2:$A$217,0)),"")</f>
        <v>162.634207253</v>
      </c>
      <c r="Y183" s="260">
        <v>25.96</v>
      </c>
      <c r="Z183" s="260">
        <v>8.9200000000000017</v>
      </c>
      <c r="AA183" s="260">
        <v>65.12</v>
      </c>
      <c r="AB183" s="261" t="s">
        <v>2670</v>
      </c>
      <c r="AC183" s="260">
        <v>6.6145884672252304</v>
      </c>
      <c r="AD183">
        <f>IF('WetLitterbags placem_collection'!AB184="","",'WetLitterbags placem_collection'!AB184)</f>
        <v>8.8000000000000007</v>
      </c>
      <c r="AE183">
        <f>IF('WetLitterbags placem_collection'!Z184="","",'WetLitterbags placem_collection'!Z184)</f>
        <v>15.8</v>
      </c>
      <c r="AF183" s="24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71">
        <f>IFERROR(AVERAGE('Dry_Litterbag Placem_Collection'!N184,'Dry_Litterbag Placem_Collection'!Q184),"")</f>
        <v>36.400000000000006</v>
      </c>
      <c r="AJ183" s="270">
        <f>INDEX(Coordinates!$B$2:$B$197,MATCH(G183,Coordinates!$J$2:$J$197,0))</f>
        <v>-2.2777009659999998</v>
      </c>
      <c r="AK183" s="270">
        <f>INDEX(Coordinates!$C$2:$C$197,MATCH(G183,Coordinates!$J$2:$J$197,0))</f>
        <v>34.027393969999999</v>
      </c>
      <c r="AL183" s="270" t="str">
        <f>IF(ISNUMBER(SEARCH("C", 'Dry_Litterbag Placem_Collection'!S184)),"YES","NO")</f>
        <v>NO</v>
      </c>
      <c r="AM183" s="270" t="str">
        <f>IF(ISNUMBER(SEARCH("H", 'Dry_Litterbag Placem_Collection'!S184)),"YES","NO")</f>
        <v>NO</v>
      </c>
      <c r="AN183" s="270" t="str">
        <f>IF(ISNUMBER(SEARCH("R", 'Dry_Litterbag Placem_Collection'!S184)),"YES","NO")</f>
        <v>NO</v>
      </c>
    </row>
    <row r="184" spans="1:40" ht="15" customHeight="1">
      <c r="A184" s="262" t="s">
        <v>2659</v>
      </c>
      <c r="B184" s="263">
        <f>'Dry_Litterbag Placem_Collection'!A185</f>
        <v>183</v>
      </c>
      <c r="C184" s="263" t="str">
        <f>'Dry_Litterbag Placem_Collection'!B185</f>
        <v>Handajega</v>
      </c>
      <c r="D184" s="263" t="s">
        <v>2460</v>
      </c>
      <c r="E184" s="263" t="s">
        <v>2661</v>
      </c>
      <c r="F184" s="263">
        <v>3</v>
      </c>
      <c r="G184" s="264" t="str">
        <f>'Dry_Litterbag Placem_Collection'!C185</f>
        <v>Wet_W3_T7</v>
      </c>
      <c r="H184" s="265" t="s">
        <v>2541</v>
      </c>
      <c r="I184" s="266" t="s">
        <v>1147</v>
      </c>
      <c r="J184" s="263" t="str">
        <f>IF(ISBLANK('Dry_Litterbag Placem_Collection'!J185),"","G"&amp;""&amp;'Dry_Litterbag Placem_Collection'!J185)</f>
        <v/>
      </c>
      <c r="K184" s="267" t="str">
        <f>IFERROR(INDEX('Green_rooibos initial weight'!$C$5:$C$1749,MATCH(J184, 'Green_rooibos initial weight'!$A$5:$A$1749,0)),"")</f>
        <v/>
      </c>
      <c r="L184" s="267" t="str">
        <f>IFERROR(K184-(TBIcalc!$Q$9+TBIcalc!$Q$10),"")</f>
        <v/>
      </c>
      <c r="M184" s="391">
        <f>AVERAGE(Ashed_controlls!$K$2:$K$11)</f>
        <v>5.5147656768714146</v>
      </c>
      <c r="N184" s="267" t="str">
        <f t="shared" si="11"/>
        <v/>
      </c>
      <c r="O184" s="267" t="str">
        <f>IF(IFERROR(INDEX('Both teabags AfterDry'!$D$3:$D$900,MATCH(J184,'Both teabags AfterDry'!$A$3:$A$900,0)),"")="","",(IFERROR(INDEX('Both teabags AfterDry'!$D$3:$D$900,MATCH(J184,'Both teabags AfterDry'!$A$3:$A$900,0)),"")))</f>
        <v/>
      </c>
      <c r="P184" s="267" t="str">
        <f>IFERROR(IF(O184&gt;0,O184-(TBIcalc!$Q$9),""),"")</f>
        <v/>
      </c>
      <c r="Q184" s="278" t="str">
        <f>IFERROR(INDEX('Ashed teabags dry'!$K$2:$K$825,MATCH(J184,'Ashed teabags dry'!$A$2:$A$825,0)),"")</f>
        <v/>
      </c>
      <c r="R184" s="278" t="str">
        <f t="shared" si="12"/>
        <v/>
      </c>
      <c r="S184" s="268">
        <f>'Dry_Litterbag Placem_Collection'!E185</f>
        <v>0</v>
      </c>
      <c r="T184" s="268" t="str">
        <f>IF('Dry_Litterbag Placem_Collection'!G185="","",'Dry_Litterbag Placem_Collection'!G185)</f>
        <v/>
      </c>
      <c r="U184" s="269" t="str">
        <f t="shared" si="10"/>
        <v/>
      </c>
      <c r="V184" s="267" t="str">
        <f t="shared" si="13"/>
        <v/>
      </c>
      <c r="W184" s="267" t="str">
        <f t="shared" si="14"/>
        <v/>
      </c>
      <c r="X184" s="271" t="str">
        <f>IFERROR(INDEX(Rainfall_Dry!$O$2:$O$217,MATCH(B184, Rainfall_Dry!$A$2:$A$217,0)),"")</f>
        <v/>
      </c>
      <c r="Y184" s="260">
        <v>25.96</v>
      </c>
      <c r="Z184" s="260">
        <v>8.9200000000000017</v>
      </c>
      <c r="AA184" s="260">
        <v>65.12</v>
      </c>
      <c r="AB184" s="261" t="s">
        <v>2670</v>
      </c>
      <c r="AC184" s="260">
        <v>7.6145884672252304</v>
      </c>
      <c r="AD184">
        <f>IF('WetLitterbags placem_collection'!AB185="","",'WetLitterbags placem_collection'!AB185)</f>
        <v>11.4</v>
      </c>
      <c r="AE184">
        <f>IF('WetLitterbags placem_collection'!Z185="","",'WetLitterbags placem_collection'!Z185)</f>
        <v>35.799999999999997</v>
      </c>
      <c r="AF184" s="24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71" t="str">
        <f>IFERROR(AVERAGE('Dry_Litterbag Placem_Collection'!N185,'Dry_Litterbag Placem_Collection'!Q185),"")</f>
        <v/>
      </c>
      <c r="AJ184" s="270">
        <f>INDEX(Coordinates!$B$2:$B$197,MATCH(G184,Coordinates!$J$2:$J$197,0))</f>
        <v>-2.2777790019999999</v>
      </c>
      <c r="AK184" s="270">
        <f>INDEX(Coordinates!$C$2:$C$197,MATCH(G184,Coordinates!$J$2:$J$197,0))</f>
        <v>34.028066029999998</v>
      </c>
      <c r="AL184" s="270" t="str">
        <f>IF(ISNUMBER(SEARCH("C", 'Dry_Litterbag Placem_Collection'!S185)),"YES","NO")</f>
        <v>NO</v>
      </c>
      <c r="AM184" s="270" t="str">
        <f>IF(ISNUMBER(SEARCH("H", 'Dry_Litterbag Placem_Collection'!S185)),"YES","NO")</f>
        <v>NO</v>
      </c>
      <c r="AN184" s="270" t="str">
        <f>IF(ISNUMBER(SEARCH("R", 'Dry_Litterbag Placem_Collection'!S185)),"YES","NO")</f>
        <v>NO</v>
      </c>
    </row>
    <row r="185" spans="1:40" ht="15" customHeight="1">
      <c r="A185" s="262" t="s">
        <v>2659</v>
      </c>
      <c r="B185" s="263">
        <f>'Dry_Litterbag Placem_Collection'!A186</f>
        <v>184</v>
      </c>
      <c r="C185" s="263" t="str">
        <f>'Dry_Litterbag Placem_Collection'!B186</f>
        <v>Handajega</v>
      </c>
      <c r="D185" s="263" t="s">
        <v>2460</v>
      </c>
      <c r="E185" s="263" t="s">
        <v>2661</v>
      </c>
      <c r="F185" s="263">
        <v>3</v>
      </c>
      <c r="G185" s="264" t="str">
        <f>'Dry_Litterbag Placem_Collection'!C186</f>
        <v>Wet_W3_T8</v>
      </c>
      <c r="H185" s="265" t="s">
        <v>2541</v>
      </c>
      <c r="I185" s="266" t="s">
        <v>1147</v>
      </c>
      <c r="J185" s="263" t="str">
        <f>IF(ISBLANK('Dry_Litterbag Placem_Collection'!J186),"","G"&amp;""&amp;'Dry_Litterbag Placem_Collection'!J186)</f>
        <v>G235</v>
      </c>
      <c r="K185" s="267">
        <f>IFERROR(INDEX('Green_rooibos initial weight'!$C$5:$C$1749,MATCH(J185, 'Green_rooibos initial weight'!$A$5:$A$1749,0)),"")</f>
        <v>1.9259999999999999</v>
      </c>
      <c r="L185" s="267">
        <f>IFERROR(K185-(TBIcalc!$Q$9+TBIcalc!$Q$10),"")</f>
        <v>1.6761999999999999</v>
      </c>
      <c r="M185" s="391">
        <f>AVERAGE(Ashed_controlls!$K$2:$K$11)</f>
        <v>5.5147656768714146</v>
      </c>
      <c r="N185" s="267">
        <f t="shared" si="11"/>
        <v>1.5837614977242813</v>
      </c>
      <c r="O185" s="267">
        <f>IF(IFERROR(INDEX('Both teabags AfterDry'!$D$3:$D$900,MATCH(J185,'Both teabags AfterDry'!$A$3:$A$900,0)),"")="","",(IFERROR(INDEX('Both teabags AfterDry'!$D$3:$D$900,MATCH(J185,'Both teabags AfterDry'!$A$3:$A$900,0)),"")))</f>
        <v>0.66620000000000001</v>
      </c>
      <c r="P185" s="267">
        <f>IFERROR(IF(O185&gt;0,O185-(TBIcalc!$Q$9),""),"")</f>
        <v>0.51560000000000006</v>
      </c>
      <c r="Q185" s="278">
        <f>IFERROR(INDEX('Ashed teabags dry'!$K$2:$K$825,MATCH(J185,'Ashed teabags dry'!$A$2:$A$825,0)),"")</f>
        <v>28.09315866084463</v>
      </c>
      <c r="R185" s="278">
        <f t="shared" si="12"/>
        <v>0.37075167394468511</v>
      </c>
      <c r="S185" s="268">
        <f>'Dry_Litterbag Placem_Collection'!E186</f>
        <v>42940</v>
      </c>
      <c r="T185" s="268">
        <f>IF('Dry_Litterbag Placem_Collection'!G186="","",'Dry_Litterbag Placem_Collection'!G186)</f>
        <v>43009</v>
      </c>
      <c r="U185" s="269">
        <f t="shared" si="10"/>
        <v>69</v>
      </c>
      <c r="V185" s="267">
        <f t="shared" si="13"/>
        <v>1.1605999999999999</v>
      </c>
      <c r="W185" s="267">
        <f t="shared" si="14"/>
        <v>1.2130098237795961</v>
      </c>
      <c r="X185" s="271">
        <f>IFERROR(INDEX(Rainfall_Dry!$O$2:$O$217,MATCH(B185, Rainfall_Dry!$A$2:$A$217,0)),"")</f>
        <v>162.634207253</v>
      </c>
      <c r="Y185" s="260">
        <v>25.96</v>
      </c>
      <c r="Z185" s="260">
        <v>8.9200000000000017</v>
      </c>
      <c r="AA185" s="260">
        <v>65.12</v>
      </c>
      <c r="AB185" s="261" t="s">
        <v>2670</v>
      </c>
      <c r="AC185" s="260">
        <v>8.6145884672252304</v>
      </c>
      <c r="AD185">
        <f>IF('WetLitterbags placem_collection'!AB186="","",'WetLitterbags placem_collection'!AB186)</f>
        <v>3.7</v>
      </c>
      <c r="AE185">
        <f>IF('WetLitterbags placem_collection'!Z186="","",'WetLitterbags placem_collection'!Z186)</f>
        <v>16.399999999999999</v>
      </c>
      <c r="AF185" s="24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71">
        <f>IFERROR(AVERAGE('Dry_Litterbag Placem_Collection'!N186,'Dry_Litterbag Placem_Collection'!Q186),"")</f>
        <v>28.05</v>
      </c>
      <c r="AJ185" s="270">
        <f>INDEX(Coordinates!$B$2:$B$197,MATCH(G185,Coordinates!$J$2:$J$197,0))</f>
        <v>-2.2775169829999999</v>
      </c>
      <c r="AK185" s="270">
        <f>INDEX(Coordinates!$C$2:$C$197,MATCH(G185,Coordinates!$J$2:$J$197,0))</f>
        <v>34.027766970000002</v>
      </c>
      <c r="AL185" s="270" t="str">
        <f>IF(ISNUMBER(SEARCH("C", 'Dry_Litterbag Placem_Collection'!S186)),"YES","NO")</f>
        <v>NO</v>
      </c>
      <c r="AM185" s="270" t="str">
        <f>IF(ISNUMBER(SEARCH("H", 'Dry_Litterbag Placem_Collection'!S186)),"YES","NO")</f>
        <v>NO</v>
      </c>
      <c r="AN185" s="270" t="str">
        <f>IF(ISNUMBER(SEARCH("R", 'Dry_Litterbag Placem_Collection'!S186)),"YES","NO")</f>
        <v>YES</v>
      </c>
    </row>
    <row r="186" spans="1:40" ht="15" customHeight="1">
      <c r="A186" s="262" t="s">
        <v>2659</v>
      </c>
      <c r="B186" s="263">
        <f>'Dry_Litterbag Placem_Collection'!A187</f>
        <v>185</v>
      </c>
      <c r="C186" s="263" t="str">
        <f>'Dry_Litterbag Placem_Collection'!B187</f>
        <v>Handajega</v>
      </c>
      <c r="D186" s="263" t="s">
        <v>2460</v>
      </c>
      <c r="E186" s="263" t="s">
        <v>2661</v>
      </c>
      <c r="F186" s="263">
        <v>4</v>
      </c>
      <c r="G186" s="264" t="str">
        <f>'Dry_Litterbag Placem_Collection'!C187</f>
        <v>Wet_W4_T1</v>
      </c>
      <c r="H186" s="265" t="s">
        <v>2541</v>
      </c>
      <c r="I186" s="266" t="s">
        <v>1147</v>
      </c>
      <c r="J186" s="263" t="str">
        <f>IF(ISBLANK('Dry_Litterbag Placem_Collection'!J187),"","G"&amp;""&amp;'Dry_Litterbag Placem_Collection'!J187)</f>
        <v>G369</v>
      </c>
      <c r="K186" s="267">
        <f>IFERROR(INDEX('Green_rooibos initial weight'!$C$5:$C$1749,MATCH(J186, 'Green_rooibos initial weight'!$A$5:$A$1749,0)),"")</f>
        <v>2.1219999999999999</v>
      </c>
      <c r="L186" s="267">
        <f>IFERROR(K186-(TBIcalc!$Q$9+TBIcalc!$Q$10),"")</f>
        <v>1.8721999999999999</v>
      </c>
      <c r="M186" s="391">
        <f>AVERAGE(Ashed_controlls!$K$2:$K$11)</f>
        <v>5.5147656768714146</v>
      </c>
      <c r="N186" s="267">
        <f t="shared" si="11"/>
        <v>1.7689525569976132</v>
      </c>
      <c r="O186" s="267" t="str">
        <f>IF(IFERROR(INDEX('Both teabags AfterDry'!$D$3:$D$900,MATCH(J186,'Both teabags AfterDry'!$A$3:$A$900,0)),"")="","",(IFERROR(INDEX('Both teabags AfterDry'!$D$3:$D$900,MATCH(J186,'Both teabags AfterDry'!$A$3:$A$900,0)),"")))</f>
        <v/>
      </c>
      <c r="P186" s="267" t="str">
        <f>IFERROR(IF(O186&gt;0,O186-(TBIcalc!$Q$9),""),"")</f>
        <v/>
      </c>
      <c r="Q186" s="278" t="str">
        <f>IFERROR(INDEX('Ashed teabags dry'!$K$2:$K$825,MATCH(J186,'Ashed teabags dry'!$A$2:$A$825,0)),"")</f>
        <v/>
      </c>
      <c r="R186" s="278" t="str">
        <f t="shared" si="12"/>
        <v/>
      </c>
      <c r="S186" s="268">
        <f>'Dry_Litterbag Placem_Collection'!E187</f>
        <v>42940</v>
      </c>
      <c r="T186" s="268">
        <f>IF('Dry_Litterbag Placem_Collection'!G187="","",'Dry_Litterbag Placem_Collection'!G187)</f>
        <v>43009</v>
      </c>
      <c r="U186" s="269">
        <f t="shared" si="10"/>
        <v>69</v>
      </c>
      <c r="V186" s="267" t="str">
        <f t="shared" si="13"/>
        <v/>
      </c>
      <c r="W186" s="267" t="str">
        <f t="shared" si="14"/>
        <v/>
      </c>
      <c r="X186" s="271">
        <f>IFERROR(INDEX(Rainfall_Dry!$O$2:$O$217,MATCH(B186, Rainfall_Dry!$A$2:$A$217,0)),"")</f>
        <v>162.634207253</v>
      </c>
      <c r="Y186" s="260">
        <v>25.96</v>
      </c>
      <c r="Z186" s="260">
        <v>8.9200000000000017</v>
      </c>
      <c r="AA186" s="260">
        <v>65.12</v>
      </c>
      <c r="AB186" s="261" t="s">
        <v>2670</v>
      </c>
      <c r="AC186" s="260">
        <v>1.6991621488417901</v>
      </c>
      <c r="AD186">
        <f>IF('WetLitterbags placem_collection'!AB187="","",'WetLitterbags placem_collection'!AB187)</f>
        <v>9.8000000000000007</v>
      </c>
      <c r="AE186">
        <f>IF('WetLitterbags placem_collection'!Z187="","",'WetLitterbags placem_collection'!Z187)</f>
        <v>29.4</v>
      </c>
      <c r="AF186" s="24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71">
        <f>IFERROR(AVERAGE('Dry_Litterbag Placem_Collection'!N187,'Dry_Litterbag Placem_Collection'!Q187),"")</f>
        <v>35</v>
      </c>
      <c r="AJ186" s="270">
        <f>INDEX(Coordinates!$B$2:$B$197,MATCH(G186,Coordinates!$J$2:$J$197,0))</f>
        <v>-2.2787330300000002</v>
      </c>
      <c r="AK186" s="270">
        <f>INDEX(Coordinates!$C$2:$C$197,MATCH(G186,Coordinates!$J$2:$J$197,0))</f>
        <v>34.032136029999997</v>
      </c>
      <c r="AL186" s="270" t="str">
        <f>IF(ISNUMBER(SEARCH("C", 'Dry_Litterbag Placem_Collection'!S187)),"YES","NO")</f>
        <v>NO</v>
      </c>
      <c r="AM186" s="270" t="str">
        <f>IF(ISNUMBER(SEARCH("H", 'Dry_Litterbag Placem_Collection'!S187)),"YES","NO")</f>
        <v>NO</v>
      </c>
      <c r="AN186" s="270" t="str">
        <f>IF(ISNUMBER(SEARCH("R", 'Dry_Litterbag Placem_Collection'!S187)),"YES","NO")</f>
        <v>NO</v>
      </c>
    </row>
    <row r="187" spans="1:40" ht="15" customHeight="1">
      <c r="A187" s="262" t="s">
        <v>2659</v>
      </c>
      <c r="B187" s="263">
        <f>'Dry_Litterbag Placem_Collection'!A188</f>
        <v>186</v>
      </c>
      <c r="C187" s="263" t="str">
        <f>'Dry_Litterbag Placem_Collection'!B188</f>
        <v>Handajega</v>
      </c>
      <c r="D187" s="263" t="s">
        <v>2460</v>
      </c>
      <c r="E187" s="263" t="s">
        <v>2661</v>
      </c>
      <c r="F187" s="263">
        <v>4</v>
      </c>
      <c r="G187" s="264" t="str">
        <f>'Dry_Litterbag Placem_Collection'!C188</f>
        <v>Wet_W4_T2</v>
      </c>
      <c r="H187" s="265" t="s">
        <v>2541</v>
      </c>
      <c r="I187" s="266" t="s">
        <v>1147</v>
      </c>
      <c r="J187" s="263" t="str">
        <f>IF(ISBLANK('Dry_Litterbag Placem_Collection'!J188),"","G"&amp;""&amp;'Dry_Litterbag Placem_Collection'!J188)</f>
        <v>G295</v>
      </c>
      <c r="K187" s="267">
        <f>IFERROR(INDEX('Green_rooibos initial weight'!$C$5:$C$1749,MATCH(J187, 'Green_rooibos initial weight'!$A$5:$A$1749,0)),"")</f>
        <v>2.0379999999999998</v>
      </c>
      <c r="L187" s="267">
        <f>IFERROR(K187-(TBIcalc!$Q$9+TBIcalc!$Q$10),"")</f>
        <v>1.7881999999999998</v>
      </c>
      <c r="M187" s="391">
        <f>AVERAGE(Ashed_controlls!$K$2:$K$11)</f>
        <v>5.5147656768714146</v>
      </c>
      <c r="N187" s="267">
        <f t="shared" si="11"/>
        <v>1.6895849601661852</v>
      </c>
      <c r="O187" s="267">
        <f>IF(IFERROR(INDEX('Both teabags AfterDry'!$D$3:$D$900,MATCH(J187,'Both teabags AfterDry'!$A$3:$A$900,0)),"")="","",(IFERROR(INDEX('Both teabags AfterDry'!$D$3:$D$900,MATCH(J187,'Both teabags AfterDry'!$A$3:$A$900,0)),"")))</f>
        <v>0.92659999999999998</v>
      </c>
      <c r="P187" s="267">
        <f>IFERROR(IF(O187&gt;0,O187-(TBIcalc!$Q$9),""),"")</f>
        <v>0.77600000000000002</v>
      </c>
      <c r="Q187" s="278">
        <f>IFERROR(INDEX('Ashed teabags dry'!$K$2:$K$825,MATCH(J187,'Ashed teabags dry'!$A$2:$A$825,0)),"")</f>
        <v>26.422563087580492</v>
      </c>
      <c r="R187" s="278">
        <f t="shared" si="12"/>
        <v>0.57096091044037545</v>
      </c>
      <c r="S187" s="268">
        <f>'Dry_Litterbag Placem_Collection'!E188</f>
        <v>42940</v>
      </c>
      <c r="T187" s="268">
        <f>IF('Dry_Litterbag Placem_Collection'!G188="","",'Dry_Litterbag Placem_Collection'!G188)</f>
        <v>43009</v>
      </c>
      <c r="U187" s="269">
        <f t="shared" si="10"/>
        <v>69</v>
      </c>
      <c r="V187" s="267">
        <f t="shared" si="13"/>
        <v>1.0121999999999998</v>
      </c>
      <c r="W187" s="267">
        <f t="shared" si="14"/>
        <v>1.1186240497258098</v>
      </c>
      <c r="X187" s="271">
        <f>IFERROR(INDEX(Rainfall_Dry!$O$2:$O$217,MATCH(B187, Rainfall_Dry!$A$2:$A$217,0)),"")</f>
        <v>162.634207253</v>
      </c>
      <c r="Y187" s="260">
        <v>25.96</v>
      </c>
      <c r="Z187" s="260">
        <v>8.9200000000000017</v>
      </c>
      <c r="AA187" s="260">
        <v>65.12</v>
      </c>
      <c r="AB187" s="261" t="s">
        <v>2670</v>
      </c>
      <c r="AC187" s="260">
        <v>2.6991621488417898</v>
      </c>
      <c r="AD187">
        <f>IF('WetLitterbags placem_collection'!AB188="","",'WetLitterbags placem_collection'!AB188)</f>
        <v>11.4</v>
      </c>
      <c r="AE187">
        <f>IF('WetLitterbags placem_collection'!Z188="","",'WetLitterbags placem_collection'!Z188)</f>
        <v>45.4</v>
      </c>
      <c r="AF187" s="24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71">
        <f>IFERROR(AVERAGE('Dry_Litterbag Placem_Collection'!N188,'Dry_Litterbag Placem_Collection'!Q188),"")</f>
        <v>35.299999999999997</v>
      </c>
      <c r="AJ187" s="270">
        <f>INDEX(Coordinates!$B$2:$B$197,MATCH(G187,Coordinates!$J$2:$J$197,0))</f>
        <v>-2.278763037</v>
      </c>
      <c r="AK187" s="270">
        <f>INDEX(Coordinates!$C$2:$C$197,MATCH(G187,Coordinates!$J$2:$J$197,0))</f>
        <v>34.031974009999999</v>
      </c>
      <c r="AL187" s="270" t="str">
        <f>IF(ISNUMBER(SEARCH("C", 'Dry_Litterbag Placem_Collection'!S188)),"YES","NO")</f>
        <v>NO</v>
      </c>
      <c r="AM187" s="270" t="str">
        <f>IF(ISNUMBER(SEARCH("H", 'Dry_Litterbag Placem_Collection'!S188)),"YES","NO")</f>
        <v>YES</v>
      </c>
      <c r="AN187" s="270" t="str">
        <f>IF(ISNUMBER(SEARCH("R", 'Dry_Litterbag Placem_Collection'!S188)),"YES","NO")</f>
        <v>YES</v>
      </c>
    </row>
    <row r="188" spans="1:40" ht="15" customHeight="1">
      <c r="A188" s="262" t="s">
        <v>2659</v>
      </c>
      <c r="B188" s="263">
        <f>'Dry_Litterbag Placem_Collection'!A189</f>
        <v>187</v>
      </c>
      <c r="C188" s="263" t="str">
        <f>'Dry_Litterbag Placem_Collection'!B189</f>
        <v>Handajega</v>
      </c>
      <c r="D188" s="263" t="s">
        <v>2460</v>
      </c>
      <c r="E188" s="263" t="s">
        <v>2661</v>
      </c>
      <c r="F188" s="263">
        <v>4</v>
      </c>
      <c r="G188" s="264" t="str">
        <f>'Dry_Litterbag Placem_Collection'!C189</f>
        <v>Wet_W4_T3</v>
      </c>
      <c r="H188" s="265" t="s">
        <v>2541</v>
      </c>
      <c r="I188" s="266" t="s">
        <v>1147</v>
      </c>
      <c r="J188" s="263" t="str">
        <f>IF(ISBLANK('Dry_Litterbag Placem_Collection'!J189),"","G"&amp;""&amp;'Dry_Litterbag Placem_Collection'!J189)</f>
        <v>G242</v>
      </c>
      <c r="K188" s="267">
        <f>IFERROR(INDEX('Green_rooibos initial weight'!$C$5:$C$1749,MATCH(J188, 'Green_rooibos initial weight'!$A$5:$A$1749,0)),"")</f>
        <v>1.9470000000000001</v>
      </c>
      <c r="L188" s="267">
        <f>IFERROR(K188-(TBIcalc!$Q$9+TBIcalc!$Q$10),"")</f>
        <v>1.6972</v>
      </c>
      <c r="M188" s="391">
        <f>AVERAGE(Ashed_controlls!$K$2:$K$11)</f>
        <v>5.5147656768714146</v>
      </c>
      <c r="N188" s="267">
        <f t="shared" si="11"/>
        <v>1.6036033969321384</v>
      </c>
      <c r="O188" s="267">
        <f>IF(IFERROR(INDEX('Both teabags AfterDry'!$D$3:$D$900,MATCH(J188,'Both teabags AfterDry'!$A$3:$A$900,0)),"")="","",(IFERROR(INDEX('Both teabags AfterDry'!$D$3:$D$900,MATCH(J188,'Both teabags AfterDry'!$A$3:$A$900,0)),"")))</f>
        <v>0.70840000000000003</v>
      </c>
      <c r="P188" s="267">
        <f>IFERROR(IF(O188&gt;0,O188-(TBIcalc!$Q$9),""),"")</f>
        <v>0.55780000000000007</v>
      </c>
      <c r="Q188" s="278">
        <f>IFERROR(INDEX('Ashed teabags dry'!$K$2:$K$825,MATCH(J188,'Ashed teabags dry'!$A$2:$A$825,0)),"")</f>
        <v>27.059970745976948</v>
      </c>
      <c r="R188" s="278">
        <f t="shared" si="12"/>
        <v>0.40685948317894061</v>
      </c>
      <c r="S188" s="268">
        <f>'Dry_Litterbag Placem_Collection'!E189</f>
        <v>42940</v>
      </c>
      <c r="T188" s="268">
        <f>IF('Dry_Litterbag Placem_Collection'!G189="","",'Dry_Litterbag Placem_Collection'!G189)</f>
        <v>43009</v>
      </c>
      <c r="U188" s="269">
        <f t="shared" si="10"/>
        <v>69</v>
      </c>
      <c r="V188" s="267">
        <f t="shared" si="13"/>
        <v>1.1394</v>
      </c>
      <c r="W188" s="267">
        <f t="shared" si="14"/>
        <v>1.1967439137531977</v>
      </c>
      <c r="X188" s="271">
        <f>IFERROR(INDEX(Rainfall_Dry!$O$2:$O$217,MATCH(B188, Rainfall_Dry!$A$2:$A$217,0)),"")</f>
        <v>162.634207253</v>
      </c>
      <c r="Y188" s="260">
        <v>25.96</v>
      </c>
      <c r="Z188" s="260">
        <v>8.9200000000000017</v>
      </c>
      <c r="AA188" s="260">
        <v>65.12</v>
      </c>
      <c r="AB188" s="261" t="s">
        <v>2670</v>
      </c>
      <c r="AC188" s="260">
        <v>3.6991621488417898</v>
      </c>
      <c r="AD188">
        <f>IF('WetLitterbags placem_collection'!AB189="","",'WetLitterbags placem_collection'!AB189)</f>
        <v>0.6</v>
      </c>
      <c r="AE188">
        <f>IF('WetLitterbags placem_collection'!Z189="","",'WetLitterbags placem_collection'!Z189)</f>
        <v>39.4</v>
      </c>
      <c r="AF188" s="24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71">
        <f>IFERROR(AVERAGE('Dry_Litterbag Placem_Collection'!N189,'Dry_Litterbag Placem_Collection'!Q189),"")</f>
        <v>35.150000000000006</v>
      </c>
      <c r="AJ188" s="270">
        <f>INDEX(Coordinates!$B$2:$B$197,MATCH(G188,Coordinates!$J$2:$J$197,0))</f>
        <v>-2.2785890289999999</v>
      </c>
      <c r="AK188" s="270">
        <f>INDEX(Coordinates!$C$2:$C$197,MATCH(G188,Coordinates!$J$2:$J$197,0))</f>
        <v>34.031841999999997</v>
      </c>
      <c r="AL188" s="270" t="str">
        <f>IF(ISNUMBER(SEARCH("C", 'Dry_Litterbag Placem_Collection'!S189)),"YES","NO")</f>
        <v>NO</v>
      </c>
      <c r="AM188" s="270" t="str">
        <f>IF(ISNUMBER(SEARCH("H", 'Dry_Litterbag Placem_Collection'!S189)),"YES","NO")</f>
        <v>NO</v>
      </c>
      <c r="AN188" s="270" t="str">
        <f>IF(ISNUMBER(SEARCH("R", 'Dry_Litterbag Placem_Collection'!S189)),"YES","NO")</f>
        <v>YES</v>
      </c>
    </row>
    <row r="189" spans="1:40" ht="15" customHeight="1">
      <c r="A189" s="262" t="s">
        <v>2659</v>
      </c>
      <c r="B189" s="263">
        <f>'Dry_Litterbag Placem_Collection'!A190</f>
        <v>188</v>
      </c>
      <c r="C189" s="263" t="str">
        <f>'Dry_Litterbag Placem_Collection'!B190</f>
        <v>Handajega</v>
      </c>
      <c r="D189" s="263" t="s">
        <v>2460</v>
      </c>
      <c r="E189" s="263" t="s">
        <v>2661</v>
      </c>
      <c r="F189" s="263">
        <v>4</v>
      </c>
      <c r="G189" s="264" t="str">
        <f>'Dry_Litterbag Placem_Collection'!C190</f>
        <v>Wet_W4_T4</v>
      </c>
      <c r="H189" s="265" t="s">
        <v>2541</v>
      </c>
      <c r="I189" s="266" t="s">
        <v>1147</v>
      </c>
      <c r="J189" s="263" t="str">
        <f>IF(ISBLANK('Dry_Litterbag Placem_Collection'!J190),"","G"&amp;""&amp;'Dry_Litterbag Placem_Collection'!J190)</f>
        <v>G146</v>
      </c>
      <c r="K189" s="267">
        <f>IFERROR(INDEX('Green_rooibos initial weight'!$C$5:$C$1749,MATCH(J189, 'Green_rooibos initial weight'!$A$5:$A$1749,0)),"")</f>
        <v>2.0529999999999999</v>
      </c>
      <c r="L189" s="267">
        <f>IFERROR(K189-(TBIcalc!$Q$9+TBIcalc!$Q$10),"")</f>
        <v>1.8031999999999999</v>
      </c>
      <c r="M189" s="391">
        <f>AVERAGE(Ashed_controlls!$K$2:$K$11)</f>
        <v>5.5147656768714146</v>
      </c>
      <c r="N189" s="267">
        <f t="shared" si="11"/>
        <v>1.7037577453146546</v>
      </c>
      <c r="O189" s="267">
        <f>IF(IFERROR(INDEX('Both teabags AfterDry'!$D$3:$D$900,MATCH(J189,'Both teabags AfterDry'!$A$3:$A$900,0)),"")="","",(IFERROR(INDEX('Both teabags AfterDry'!$D$3:$D$900,MATCH(J189,'Both teabags AfterDry'!$A$3:$A$900,0)),"")))</f>
        <v>0.91069999999999995</v>
      </c>
      <c r="P189" s="267">
        <f>IFERROR(IF(O189&gt;0,O189-(TBIcalc!$Q$9),""),"")</f>
        <v>0.7601</v>
      </c>
      <c r="Q189" s="278">
        <f>IFERROR(INDEX('Ashed teabags dry'!$K$2:$K$825,MATCH(J189,'Ashed teabags dry'!$A$2:$A$825,0)),"")</f>
        <v>39.03411608329683</v>
      </c>
      <c r="R189" s="278">
        <f t="shared" si="12"/>
        <v>0.46340168365086076</v>
      </c>
      <c r="S189" s="268">
        <f>'Dry_Litterbag Placem_Collection'!E190</f>
        <v>42940</v>
      </c>
      <c r="T189" s="268">
        <f>IF('Dry_Litterbag Placem_Collection'!G190="","",'Dry_Litterbag Placem_Collection'!G190)</f>
        <v>43009</v>
      </c>
      <c r="U189" s="269">
        <f t="shared" si="10"/>
        <v>69</v>
      </c>
      <c r="V189" s="267">
        <f t="shared" si="13"/>
        <v>1.0430999999999999</v>
      </c>
      <c r="W189" s="267">
        <f t="shared" si="14"/>
        <v>1.2403560616637939</v>
      </c>
      <c r="X189" s="271">
        <f>IFERROR(INDEX(Rainfall_Dry!$O$2:$O$217,MATCH(B189, Rainfall_Dry!$A$2:$A$217,0)),"")</f>
        <v>162.634207253</v>
      </c>
      <c r="Y189" s="260">
        <v>25.96</v>
      </c>
      <c r="Z189" s="260">
        <v>8.9200000000000017</v>
      </c>
      <c r="AA189" s="260">
        <v>65.12</v>
      </c>
      <c r="AB189" s="261" t="s">
        <v>2670</v>
      </c>
      <c r="AC189" s="260">
        <v>4.6991621488417898</v>
      </c>
      <c r="AD189">
        <f>IF('WetLitterbags placem_collection'!AB190="","",'WetLitterbags placem_collection'!AB190)</f>
        <v>2.2999999999999998</v>
      </c>
      <c r="AE189">
        <f>IF('WetLitterbags placem_collection'!Z190="","",'WetLitterbags placem_collection'!Z190)</f>
        <v>14.4</v>
      </c>
      <c r="AF189" s="24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71">
        <f>IFERROR(AVERAGE('Dry_Litterbag Placem_Collection'!N190,'Dry_Litterbag Placem_Collection'!Q190),"")</f>
        <v>34.150000000000006</v>
      </c>
      <c r="AJ189" s="270">
        <f>INDEX(Coordinates!$B$2:$B$197,MATCH(G189,Coordinates!$J$2:$J$197,0))</f>
        <v>-2.278422983</v>
      </c>
      <c r="AK189" s="270">
        <f>INDEX(Coordinates!$C$2:$C$197,MATCH(G189,Coordinates!$J$2:$J$197,0))</f>
        <v>34.032261009999999</v>
      </c>
      <c r="AL189" s="270" t="str">
        <f>IF(ISNUMBER(SEARCH("C", 'Dry_Litterbag Placem_Collection'!S190)),"YES","NO")</f>
        <v>NO</v>
      </c>
      <c r="AM189" s="270" t="str">
        <f>IF(ISNUMBER(SEARCH("H", 'Dry_Litterbag Placem_Collection'!S190)),"YES","NO")</f>
        <v>YES</v>
      </c>
      <c r="AN189" s="270" t="str">
        <f>IF(ISNUMBER(SEARCH("R", 'Dry_Litterbag Placem_Collection'!S190)),"YES","NO")</f>
        <v>YES</v>
      </c>
    </row>
    <row r="190" spans="1:40" ht="15" customHeight="1">
      <c r="A190" s="262" t="s">
        <v>2659</v>
      </c>
      <c r="B190" s="263">
        <f>'Dry_Litterbag Placem_Collection'!A191</f>
        <v>189</v>
      </c>
      <c r="C190" s="263" t="str">
        <f>'Dry_Litterbag Placem_Collection'!B191</f>
        <v>Handajega</v>
      </c>
      <c r="D190" s="263" t="s">
        <v>2460</v>
      </c>
      <c r="E190" s="263" t="s">
        <v>2661</v>
      </c>
      <c r="F190" s="263">
        <v>4</v>
      </c>
      <c r="G190" s="264" t="str">
        <f>'Dry_Litterbag Placem_Collection'!C191</f>
        <v>Wet_W4_T5</v>
      </c>
      <c r="H190" s="265" t="s">
        <v>2541</v>
      </c>
      <c r="I190" s="266" t="s">
        <v>1147</v>
      </c>
      <c r="J190" s="263" t="str">
        <f>IF(ISBLANK('Dry_Litterbag Placem_Collection'!J191),"","G"&amp;""&amp;'Dry_Litterbag Placem_Collection'!J191)</f>
        <v>G144</v>
      </c>
      <c r="K190" s="267">
        <f>IFERROR(INDEX('Green_rooibos initial weight'!$C$5:$C$1749,MATCH(J190, 'Green_rooibos initial weight'!$A$5:$A$1749,0)),"")</f>
        <v>2.0230000000000001</v>
      </c>
      <c r="L190" s="267">
        <f>IFERROR(K190-(TBIcalc!$Q$9+TBIcalc!$Q$10),"")</f>
        <v>1.7732000000000001</v>
      </c>
      <c r="M190" s="391">
        <f>AVERAGE(Ashed_controlls!$K$2:$K$11)</f>
        <v>5.5147656768714146</v>
      </c>
      <c r="N190" s="267">
        <f t="shared" si="11"/>
        <v>1.6754121750177162</v>
      </c>
      <c r="O190" s="267">
        <f>IF(IFERROR(INDEX('Both teabags AfterDry'!$D$3:$D$900,MATCH(J190,'Both teabags AfterDry'!$A$3:$A$900,0)),"")="","",(IFERROR(INDEX('Both teabags AfterDry'!$D$3:$D$900,MATCH(J190,'Both teabags AfterDry'!$A$3:$A$900,0)),"")))</f>
        <v>0.68520000000000003</v>
      </c>
      <c r="P190" s="267">
        <f>IFERROR(IF(O190&gt;0,O190-(TBIcalc!$Q$9),""),"")</f>
        <v>0.53459999999999996</v>
      </c>
      <c r="Q190" s="278">
        <f>IFERROR(INDEX('Ashed teabags dry'!$K$2:$K$825,MATCH(J190,'Ashed teabags dry'!$A$2:$A$825,0)),"")</f>
        <v>22.366450324513245</v>
      </c>
      <c r="R190" s="278">
        <f t="shared" si="12"/>
        <v>0.41502895656515215</v>
      </c>
      <c r="S190" s="268">
        <f>'Dry_Litterbag Placem_Collection'!E191</f>
        <v>42940</v>
      </c>
      <c r="T190" s="268">
        <f>IF('Dry_Litterbag Placem_Collection'!G191="","",'Dry_Litterbag Placem_Collection'!G191)</f>
        <v>43009</v>
      </c>
      <c r="U190" s="269">
        <f t="shared" si="10"/>
        <v>69</v>
      </c>
      <c r="V190" s="267">
        <f t="shared" si="13"/>
        <v>1.2386000000000001</v>
      </c>
      <c r="W190" s="267">
        <f t="shared" si="14"/>
        <v>1.2603832184525641</v>
      </c>
      <c r="X190" s="271">
        <f>IFERROR(INDEX(Rainfall_Dry!$O$2:$O$217,MATCH(B190, Rainfall_Dry!$A$2:$A$217,0)),"")</f>
        <v>162.634207253</v>
      </c>
      <c r="Y190" s="260">
        <v>25.96</v>
      </c>
      <c r="Z190" s="260">
        <v>8.9200000000000017</v>
      </c>
      <c r="AA190" s="260">
        <v>65.12</v>
      </c>
      <c r="AB190" s="261" t="s">
        <v>2670</v>
      </c>
      <c r="AC190" s="260">
        <v>5.6991621488417898</v>
      </c>
      <c r="AD190">
        <f>IF('WetLitterbags placem_collection'!AB191="","",'WetLitterbags placem_collection'!AB191)</f>
        <v>0.6</v>
      </c>
      <c r="AE190">
        <f>IF('WetLitterbags placem_collection'!Z191="","",'WetLitterbags placem_collection'!Z191)</f>
        <v>7</v>
      </c>
      <c r="AF190" s="24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71">
        <f>IFERROR(AVERAGE('Dry_Litterbag Placem_Collection'!N191,'Dry_Litterbag Placem_Collection'!Q191),"")</f>
        <v>33</v>
      </c>
      <c r="AJ190" s="270">
        <f>INDEX(Coordinates!$B$2:$B$197,MATCH(G190,Coordinates!$J$2:$J$197,0))</f>
        <v>-2.2787580080000001</v>
      </c>
      <c r="AK190" s="270">
        <f>INDEX(Coordinates!$C$2:$C$197,MATCH(G190,Coordinates!$J$2:$J$197,0))</f>
        <v>34.032463010000001</v>
      </c>
      <c r="AL190" s="270" t="str">
        <f>IF(ISNUMBER(SEARCH("C", 'Dry_Litterbag Placem_Collection'!S191)),"YES","NO")</f>
        <v>NO</v>
      </c>
      <c r="AM190" s="270" t="str">
        <f>IF(ISNUMBER(SEARCH("H", 'Dry_Litterbag Placem_Collection'!S191)),"YES","NO")</f>
        <v>NO</v>
      </c>
      <c r="AN190" s="270" t="str">
        <f>IF(ISNUMBER(SEARCH("R", 'Dry_Litterbag Placem_Collection'!S191)),"YES","NO")</f>
        <v>YES</v>
      </c>
    </row>
    <row r="191" spans="1:40" ht="15" customHeight="1">
      <c r="A191" s="262" t="s">
        <v>2659</v>
      </c>
      <c r="B191" s="263">
        <f>'Dry_Litterbag Placem_Collection'!A192</f>
        <v>190</v>
      </c>
      <c r="C191" s="263" t="str">
        <f>'Dry_Litterbag Placem_Collection'!B192</f>
        <v>Handajega</v>
      </c>
      <c r="D191" s="263" t="s">
        <v>2460</v>
      </c>
      <c r="E191" s="263" t="s">
        <v>2661</v>
      </c>
      <c r="F191" s="263">
        <v>4</v>
      </c>
      <c r="G191" s="264" t="str">
        <f>'Dry_Litterbag Placem_Collection'!C192</f>
        <v>Wet_W4_T6</v>
      </c>
      <c r="H191" s="265" t="s">
        <v>2541</v>
      </c>
      <c r="I191" s="266" t="s">
        <v>1147</v>
      </c>
      <c r="J191" s="263" t="str">
        <f>IF(ISBLANK('Dry_Litterbag Placem_Collection'!J192),"","G"&amp;""&amp;'Dry_Litterbag Placem_Collection'!J192)</f>
        <v>G171</v>
      </c>
      <c r="K191" s="267">
        <f>IFERROR(INDEX('Green_rooibos initial weight'!$C$5:$C$1749,MATCH(J191, 'Green_rooibos initial weight'!$A$5:$A$1749,0)),"")</f>
        <v>1.9239999999999999</v>
      </c>
      <c r="L191" s="267">
        <f>IFERROR(K191-(TBIcalc!$Q$9+TBIcalc!$Q$10),"")</f>
        <v>1.6741999999999999</v>
      </c>
      <c r="M191" s="391">
        <f>AVERAGE(Ashed_controlls!$K$2:$K$11)</f>
        <v>5.5147656768714146</v>
      </c>
      <c r="N191" s="267">
        <f t="shared" si="11"/>
        <v>1.5818717930378188</v>
      </c>
      <c r="O191" s="267">
        <f>IF(IFERROR(INDEX('Both teabags AfterDry'!$D$3:$D$900,MATCH(J191,'Both teabags AfterDry'!$A$3:$A$900,0)),"")="","",(IFERROR(INDEX('Both teabags AfterDry'!$D$3:$D$900,MATCH(J191,'Both teabags AfterDry'!$A$3:$A$900,0)),"")))</f>
        <v>0.75309999999999999</v>
      </c>
      <c r="P191" s="267">
        <f>IFERROR(IF(O191&gt;0,O191-(TBIcalc!$Q$9),""),"")</f>
        <v>0.60250000000000004</v>
      </c>
      <c r="Q191" s="278">
        <f>IFERROR(INDEX('Ashed teabags dry'!$K$2:$K$825,MATCH(J191,'Ashed teabags dry'!$A$2:$A$825,0)),"")</f>
        <v>24.915824915824324</v>
      </c>
      <c r="R191" s="278">
        <f t="shared" si="12"/>
        <v>0.45238215488215849</v>
      </c>
      <c r="S191" s="268">
        <f>'Dry_Litterbag Placem_Collection'!E192</f>
        <v>42940</v>
      </c>
      <c r="T191" s="268">
        <f>IF('Dry_Litterbag Placem_Collection'!G192="","",'Dry_Litterbag Placem_Collection'!G192)</f>
        <v>43009</v>
      </c>
      <c r="U191" s="269">
        <f t="shared" si="10"/>
        <v>69</v>
      </c>
      <c r="V191" s="267">
        <f t="shared" si="13"/>
        <v>1.0716999999999999</v>
      </c>
      <c r="W191" s="267">
        <f t="shared" si="14"/>
        <v>1.1294896381556603</v>
      </c>
      <c r="X191" s="271">
        <f>IFERROR(INDEX(Rainfall_Dry!$O$2:$O$217,MATCH(B191, Rainfall_Dry!$A$2:$A$217,0)),"")</f>
        <v>162.634207253</v>
      </c>
      <c r="Y191" s="260">
        <v>25.96</v>
      </c>
      <c r="Z191" s="260">
        <v>8.9200000000000017</v>
      </c>
      <c r="AA191" s="260">
        <v>65.12</v>
      </c>
      <c r="AB191" s="261" t="s">
        <v>2670</v>
      </c>
      <c r="AC191" s="260">
        <v>6.6991621488417898</v>
      </c>
      <c r="AD191">
        <f>IF('WetLitterbags placem_collection'!AB192="","",'WetLitterbags placem_collection'!AB192)</f>
        <v>9.5</v>
      </c>
      <c r="AE191">
        <f>IF('WetLitterbags placem_collection'!Z192="","",'WetLitterbags placem_collection'!Z192)</f>
        <v>17.399999999999999</v>
      </c>
      <c r="AF191" s="24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71">
        <f>IFERROR(AVERAGE('Dry_Litterbag Placem_Collection'!N192,'Dry_Litterbag Placem_Collection'!Q192),"")</f>
        <v>36.049999999999997</v>
      </c>
      <c r="AJ191" s="270">
        <f>INDEX(Coordinates!$B$2:$B$197,MATCH(G191,Coordinates!$J$2:$J$197,0))</f>
        <v>-2.2787559960000001</v>
      </c>
      <c r="AK191" s="270">
        <f>INDEX(Coordinates!$C$2:$C$197,MATCH(G191,Coordinates!$J$2:$J$197,0))</f>
        <v>34.032268969999997</v>
      </c>
      <c r="AL191" s="270" t="str">
        <f>IF(ISNUMBER(SEARCH("C", 'Dry_Litterbag Placem_Collection'!S192)),"YES","NO")</f>
        <v>NO</v>
      </c>
      <c r="AM191" s="270" t="str">
        <f>IF(ISNUMBER(SEARCH("H", 'Dry_Litterbag Placem_Collection'!S192)),"YES","NO")</f>
        <v>NO</v>
      </c>
      <c r="AN191" s="270" t="str">
        <f>IF(ISNUMBER(SEARCH("R", 'Dry_Litterbag Placem_Collection'!S192)),"YES","NO")</f>
        <v>NO</v>
      </c>
    </row>
    <row r="192" spans="1:40" ht="15" customHeight="1">
      <c r="A192" s="262" t="s">
        <v>2659</v>
      </c>
      <c r="B192" s="263">
        <f>'Dry_Litterbag Placem_Collection'!A193</f>
        <v>191</v>
      </c>
      <c r="C192" s="263" t="str">
        <f>'Dry_Litterbag Placem_Collection'!B193</f>
        <v>Handajega</v>
      </c>
      <c r="D192" s="263" t="s">
        <v>2460</v>
      </c>
      <c r="E192" s="263" t="s">
        <v>2661</v>
      </c>
      <c r="F192" s="263">
        <v>4</v>
      </c>
      <c r="G192" s="264" t="str">
        <f>'Dry_Litterbag Placem_Collection'!C193</f>
        <v>Wet_W4_T7</v>
      </c>
      <c r="H192" s="265" t="s">
        <v>2541</v>
      </c>
      <c r="I192" s="266" t="s">
        <v>1147</v>
      </c>
      <c r="J192" s="263" t="str">
        <f>IF(ISBLANK('Dry_Litterbag Placem_Collection'!J193),"","G"&amp;""&amp;'Dry_Litterbag Placem_Collection'!J193)</f>
        <v>G232</v>
      </c>
      <c r="K192" s="267">
        <f>IFERROR(INDEX('Green_rooibos initial weight'!$C$5:$C$1749,MATCH(J192, 'Green_rooibos initial weight'!$A$5:$A$1749,0)),"")</f>
        <v>2.04</v>
      </c>
      <c r="L192" s="267">
        <f>IFERROR(K192-(TBIcalc!$Q$9+TBIcalc!$Q$10),"")</f>
        <v>1.7902</v>
      </c>
      <c r="M192" s="391">
        <f>AVERAGE(Ashed_controlls!$K$2:$K$11)</f>
        <v>5.5147656768714146</v>
      </c>
      <c r="N192" s="267">
        <f t="shared" si="11"/>
        <v>1.691474664852648</v>
      </c>
      <c r="O192" s="267">
        <f>IF(IFERROR(INDEX('Both teabags AfterDry'!$D$3:$D$900,MATCH(J192,'Both teabags AfterDry'!$A$3:$A$900,0)),"")="","",(IFERROR(INDEX('Both teabags AfterDry'!$D$3:$D$900,MATCH(J192,'Both teabags AfterDry'!$A$3:$A$900,0)),"")))</f>
        <v>0.80369999999999997</v>
      </c>
      <c r="P192" s="267">
        <f>IFERROR(IF(O192&gt;0,O192-(TBIcalc!$Q$9),""),"")</f>
        <v>0.65310000000000001</v>
      </c>
      <c r="Q192" s="278">
        <f>IFERROR(INDEX('Ashed teabags dry'!$K$2:$K$825,MATCH(J192,'Ashed teabags dry'!$A$2:$A$825,0)),"")</f>
        <v>26.339066339066047</v>
      </c>
      <c r="R192" s="278">
        <f t="shared" si="12"/>
        <v>0.48107955773955968</v>
      </c>
      <c r="S192" s="268">
        <f>'Dry_Litterbag Placem_Collection'!E193</f>
        <v>42940</v>
      </c>
      <c r="T192" s="268">
        <f>IF('Dry_Litterbag Placem_Collection'!G193="","",'Dry_Litterbag Placem_Collection'!G193)</f>
        <v>43009</v>
      </c>
      <c r="U192" s="269">
        <f t="shared" si="10"/>
        <v>69</v>
      </c>
      <c r="V192" s="267">
        <f t="shared" si="13"/>
        <v>1.1371</v>
      </c>
      <c r="W192" s="267">
        <f t="shared" si="14"/>
        <v>1.2103951071130883</v>
      </c>
      <c r="X192" s="271">
        <f>IFERROR(INDEX(Rainfall_Dry!$O$2:$O$217,MATCH(B192, Rainfall_Dry!$A$2:$A$217,0)),"")</f>
        <v>162.634207253</v>
      </c>
      <c r="Y192" s="260">
        <v>25.96</v>
      </c>
      <c r="Z192" s="260">
        <v>8.9200000000000017</v>
      </c>
      <c r="AA192" s="260">
        <v>65.12</v>
      </c>
      <c r="AB192" s="261" t="s">
        <v>2670</v>
      </c>
      <c r="AC192" s="260">
        <v>7.6991621488417898</v>
      </c>
      <c r="AD192">
        <f>IF('WetLitterbags placem_collection'!AB193="","",'WetLitterbags placem_collection'!AB193)</f>
        <v>12.4</v>
      </c>
      <c r="AE192">
        <f>IF('WetLitterbags placem_collection'!Z193="","",'WetLitterbags placem_collection'!Z193)</f>
        <v>29.8</v>
      </c>
      <c r="AF192" s="24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71">
        <f>IFERROR(AVERAGE('Dry_Litterbag Placem_Collection'!N193,'Dry_Litterbag Placem_Collection'!Q193),"")</f>
        <v>36.349999999999994</v>
      </c>
      <c r="AJ192" s="270">
        <f>INDEX(Coordinates!$B$2:$B$197,MATCH(G192,Coordinates!$J$2:$J$197,0))</f>
        <v>-2.278704029</v>
      </c>
      <c r="AK192" s="270">
        <f>INDEX(Coordinates!$C$2:$C$197,MATCH(G192,Coordinates!$J$2:$J$197,0))</f>
        <v>34.032182970000001</v>
      </c>
      <c r="AL192" s="270" t="str">
        <f>IF(ISNUMBER(SEARCH("C", 'Dry_Litterbag Placem_Collection'!S193)),"YES","NO")</f>
        <v>NO</v>
      </c>
      <c r="AM192" s="270" t="str">
        <f>IF(ISNUMBER(SEARCH("H", 'Dry_Litterbag Placem_Collection'!S193)),"YES","NO")</f>
        <v>NO</v>
      </c>
      <c r="AN192" s="270" t="str">
        <f>IF(ISNUMBER(SEARCH("R", 'Dry_Litterbag Placem_Collection'!S193)),"YES","NO")</f>
        <v>NO</v>
      </c>
    </row>
    <row r="193" spans="1:40" ht="15" customHeight="1">
      <c r="A193" s="262" t="s">
        <v>2659</v>
      </c>
      <c r="B193" s="263">
        <f>'Dry_Litterbag Placem_Collection'!A194</f>
        <v>192</v>
      </c>
      <c r="C193" s="263" t="str">
        <f>'Dry_Litterbag Placem_Collection'!B194</f>
        <v>Handajega</v>
      </c>
      <c r="D193" s="263" t="s">
        <v>2460</v>
      </c>
      <c r="E193" s="263" t="s">
        <v>2661</v>
      </c>
      <c r="F193" s="263">
        <v>4</v>
      </c>
      <c r="G193" s="264" t="str">
        <f>'Dry_Litterbag Placem_Collection'!C194</f>
        <v>Wet_W4_T8</v>
      </c>
      <c r="H193" s="265" t="s">
        <v>2541</v>
      </c>
      <c r="I193" s="266" t="s">
        <v>1147</v>
      </c>
      <c r="J193" s="263" t="str">
        <f>IF(ISBLANK('Dry_Litterbag Placem_Collection'!J194),"","G"&amp;""&amp;'Dry_Litterbag Placem_Collection'!J194)</f>
        <v/>
      </c>
      <c r="K193" s="267" t="str">
        <f>IFERROR(INDEX('Green_rooibos initial weight'!$C$5:$C$1749,MATCH(J193, 'Green_rooibos initial weight'!$A$5:$A$1749,0)),"")</f>
        <v/>
      </c>
      <c r="L193" s="267" t="str">
        <f>IFERROR(K193-(TBIcalc!$Q$9+TBIcalc!$Q$10),"")</f>
        <v/>
      </c>
      <c r="M193" s="391">
        <f>AVERAGE(Ashed_controlls!$K$2:$K$11)</f>
        <v>5.5147656768714146</v>
      </c>
      <c r="N193" s="267" t="str">
        <f t="shared" si="11"/>
        <v/>
      </c>
      <c r="O193" s="267" t="str">
        <f>IF(IFERROR(INDEX('Both teabags AfterDry'!$D$3:$D$900,MATCH(J193,'Both teabags AfterDry'!$A$3:$A$900,0)),"")="","",(IFERROR(INDEX('Both teabags AfterDry'!$D$3:$D$900,MATCH(J193,'Both teabags AfterDry'!$A$3:$A$900,0)),"")))</f>
        <v/>
      </c>
      <c r="P193" s="267" t="str">
        <f>IFERROR(IF(O193&gt;0,O193-(TBIcalc!$Q$9),""),"")</f>
        <v/>
      </c>
      <c r="Q193" s="278" t="str">
        <f>IFERROR(INDEX('Ashed teabags dry'!$K$2:$K$825,MATCH(J193,'Ashed teabags dry'!$A$2:$A$825,0)),"")</f>
        <v/>
      </c>
      <c r="R193" s="278" t="str">
        <f t="shared" si="12"/>
        <v/>
      </c>
      <c r="S193" s="268">
        <f>'Dry_Litterbag Placem_Collection'!E194</f>
        <v>0</v>
      </c>
      <c r="T193" s="268" t="str">
        <f>IF('Dry_Litterbag Placem_Collection'!G194="","",'Dry_Litterbag Placem_Collection'!G194)</f>
        <v/>
      </c>
      <c r="U193" s="269" t="str">
        <f t="shared" si="10"/>
        <v/>
      </c>
      <c r="V193" s="267" t="str">
        <f t="shared" si="13"/>
        <v/>
      </c>
      <c r="W193" s="267" t="str">
        <f t="shared" si="14"/>
        <v/>
      </c>
      <c r="X193" s="271" t="str">
        <f>IFERROR(INDEX(Rainfall_Dry!$O$2:$O$217,MATCH(B193, Rainfall_Dry!$A$2:$A$217,0)),"")</f>
        <v/>
      </c>
      <c r="Y193" s="260">
        <v>25.96</v>
      </c>
      <c r="Z193" s="260">
        <v>8.9200000000000017</v>
      </c>
      <c r="AA193" s="260">
        <v>65.12</v>
      </c>
      <c r="AB193" s="261" t="s">
        <v>2670</v>
      </c>
      <c r="AC193" s="260">
        <v>8.6991621488417898</v>
      </c>
      <c r="AD193">
        <f>IF('WetLitterbags placem_collection'!AB194="","",'WetLitterbags placem_collection'!AB194)</f>
        <v>3.6</v>
      </c>
      <c r="AE193">
        <f>IF('WetLitterbags placem_collection'!Z194="","",'WetLitterbags placem_collection'!Z194)</f>
        <v>37.799999999999997</v>
      </c>
      <c r="AF193" s="24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71" t="str">
        <f>IFERROR(AVERAGE('Dry_Litterbag Placem_Collection'!N194,'Dry_Litterbag Placem_Collection'!Q194),"")</f>
        <v/>
      </c>
      <c r="AJ193" s="270">
        <f>INDEX(Coordinates!$B$2:$B$197,MATCH(G193,Coordinates!$J$2:$J$197,0))</f>
        <v>-2.2789770269999998</v>
      </c>
      <c r="AK193" s="270">
        <f>INDEX(Coordinates!$C$2:$C$197,MATCH(G193,Coordinates!$J$2:$J$197,0))</f>
        <v>34.032051039999999</v>
      </c>
      <c r="AL193" s="270" t="str">
        <f>IF(ISNUMBER(SEARCH("C", 'Dry_Litterbag Placem_Collection'!S194)),"YES","NO")</f>
        <v>NO</v>
      </c>
      <c r="AM193" s="270" t="str">
        <f>IF(ISNUMBER(SEARCH("H", 'Dry_Litterbag Placem_Collection'!S194)),"YES","NO")</f>
        <v>NO</v>
      </c>
      <c r="AN193" s="270" t="str">
        <f>IF(ISNUMBER(SEARCH("R", 'Dry_Litterbag Placem_Collection'!S194)),"YES","NO")</f>
        <v>NO</v>
      </c>
    </row>
    <row r="194" spans="1:40" ht="15" customHeight="1">
      <c r="A194" s="262" t="s">
        <v>2659</v>
      </c>
      <c r="B194" s="263">
        <f>'Dry_Litterbag Placem_Collection'!A195</f>
        <v>193</v>
      </c>
      <c r="C194" s="263" t="str">
        <f>'Dry_Litterbag Placem_Collection'!B195</f>
        <v>Makao</v>
      </c>
      <c r="D194" s="263" t="s">
        <v>2659</v>
      </c>
      <c r="E194" s="263" t="s">
        <v>2526</v>
      </c>
      <c r="F194" s="263">
        <v>4</v>
      </c>
      <c r="G194" s="264" t="str">
        <f>'Dry_Litterbag Placem_Collection'!C195</f>
        <v>Dry_Ag1_CG4</v>
      </c>
      <c r="H194" s="265" t="s">
        <v>2541</v>
      </c>
      <c r="I194" s="266" t="s">
        <v>1147</v>
      </c>
      <c r="J194" s="263" t="str">
        <f>IF(ISBLANK('Dry_Litterbag Placem_Collection'!J195),"","G"&amp;""&amp;'Dry_Litterbag Placem_Collection'!J195)</f>
        <v>G257</v>
      </c>
      <c r="K194" s="267">
        <f>IFERROR(INDEX('Green_rooibos initial weight'!$C$5:$C$1749,MATCH(J194, 'Green_rooibos initial weight'!$A$5:$A$1749,0)),"")</f>
        <v>1.9319999999999999</v>
      </c>
      <c r="L194" s="267">
        <f>IFERROR(K194-(TBIcalc!$Q$9+TBIcalc!$Q$10),"")</f>
        <v>1.6821999999999999</v>
      </c>
      <c r="M194" s="391">
        <f>AVERAGE(Ashed_controlls!$K$2:$K$11)</f>
        <v>5.5147656768714146</v>
      </c>
      <c r="N194" s="267">
        <f t="shared" si="11"/>
        <v>1.589430611783669</v>
      </c>
      <c r="O194" s="267">
        <f>IF(IFERROR(INDEX('Both teabags AfterDry'!$D$3:$D$900,MATCH(J194,'Both teabags AfterDry'!$A$3:$A$900,0)),"")="","",(IFERROR(INDEX('Both teabags AfterDry'!$D$3:$D$900,MATCH(J194,'Both teabags AfterDry'!$A$3:$A$900,0)),"")))</f>
        <v>0.67</v>
      </c>
      <c r="P194" s="267">
        <f>IFERROR(IF(O194&gt;0,O194-(TBIcalc!$Q$9),""),"")</f>
        <v>0.51940000000000008</v>
      </c>
      <c r="Q194" s="278">
        <f>IFERROR(INDEX('Ashed teabags dry'!$K$2:$K$825,MATCH(J194,'Ashed teabags dry'!$A$2:$A$825,0)),"")</f>
        <v>13.170731707316666</v>
      </c>
      <c r="R194" s="278">
        <f t="shared" si="12"/>
        <v>0.45099121951219734</v>
      </c>
      <c r="S194" s="268">
        <f>'Dry_Litterbag Placem_Collection'!E195</f>
        <v>42942</v>
      </c>
      <c r="T194" s="268">
        <f>IF('Dry_Litterbag Placem_Collection'!G195="","",'Dry_Litterbag Placem_Collection'!G195)</f>
        <v>43004</v>
      </c>
      <c r="U194" s="269">
        <f t="shared" ref="U194:U257" si="15">IFERROR(T194-S194,"")</f>
        <v>62</v>
      </c>
      <c r="V194" s="267">
        <f t="shared" si="13"/>
        <v>1.1627999999999998</v>
      </c>
      <c r="W194" s="267">
        <f t="shared" si="14"/>
        <v>1.1384393922714717</v>
      </c>
      <c r="X194" s="271">
        <f>IFERROR(INDEX(Rainfall_Dry!$O$2:$O$217,MATCH(B194, Rainfall_Dry!$A$2:$A$217,0)),"")</f>
        <v>171.84818423999999</v>
      </c>
      <c r="Y194" s="260">
        <v>12.565665055683967</v>
      </c>
      <c r="Z194" s="260">
        <v>0.9665896196679955</v>
      </c>
      <c r="AA194" s="260">
        <v>86.467745324648035</v>
      </c>
      <c r="AB194" s="261" t="s">
        <v>2672</v>
      </c>
      <c r="AC194" s="260">
        <v>1.0225726959093147</v>
      </c>
      <c r="AD194">
        <f>IF('WetLitterbags placem_collection'!AB195="","",'WetLitterbags placem_collection'!AB195)</f>
        <v>15.2</v>
      </c>
      <c r="AE194">
        <f>IF('WetLitterbags placem_collection'!Z195="","",'WetLitterbags placem_collection'!Z195)</f>
        <v>12.2</v>
      </c>
      <c r="AF194" s="24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71">
        <f>IFERROR(AVERAGE('Dry_Litterbag Placem_Collection'!N195,'Dry_Litterbag Placem_Collection'!Q195),"")</f>
        <v>28.799999999999997</v>
      </c>
      <c r="AJ194">
        <v>-2.4396949910000001</v>
      </c>
      <c r="AK194">
        <v>34.838574029999997</v>
      </c>
      <c r="AL194" s="270" t="str">
        <f>IF(ISNUMBER(SEARCH("C", 'Dry_Litterbag Placem_Collection'!S195)),"YES","NO")</f>
        <v>NO</v>
      </c>
      <c r="AM194" s="270" t="str">
        <f>IF(ISNUMBER(SEARCH("H", 'Dry_Litterbag Placem_Collection'!S195)),"YES","NO")</f>
        <v>NO</v>
      </c>
      <c r="AN194" s="270" t="str">
        <f>IF(ISNUMBER(SEARCH("R", 'Dry_Litterbag Placem_Collection'!S195)),"YES","NO")</f>
        <v>YES</v>
      </c>
    </row>
    <row r="195" spans="1:40" ht="15" customHeight="1">
      <c r="A195" s="262" t="s">
        <v>2659</v>
      </c>
      <c r="B195" s="263">
        <f>'Dry_Litterbag Placem_Collection'!A196</f>
        <v>194</v>
      </c>
      <c r="C195" s="263" t="str">
        <f>'Dry_Litterbag Placem_Collection'!B196</f>
        <v>Makao</v>
      </c>
      <c r="D195" s="263" t="s">
        <v>2659</v>
      </c>
      <c r="E195" s="263" t="s">
        <v>2526</v>
      </c>
      <c r="F195" s="263">
        <v>3</v>
      </c>
      <c r="G195" s="264" t="str">
        <f>'Dry_Litterbag Placem_Collection'!C196</f>
        <v>Dry_Ag2_CG3</v>
      </c>
      <c r="H195" s="265" t="s">
        <v>2541</v>
      </c>
      <c r="I195" s="266" t="s">
        <v>1147</v>
      </c>
      <c r="J195" s="263" t="str">
        <f>IF(ISBLANK('Dry_Litterbag Placem_Collection'!J196),"","G"&amp;""&amp;'Dry_Litterbag Placem_Collection'!J196)</f>
        <v>G148</v>
      </c>
      <c r="K195" s="267">
        <f>IFERROR(INDEX('Green_rooibos initial weight'!$C$5:$C$1749,MATCH(J195, 'Green_rooibos initial weight'!$A$5:$A$1749,0)),"")</f>
        <v>2.0710000000000002</v>
      </c>
      <c r="L195" s="267">
        <f>IFERROR(K195-(TBIcalc!$Q$9+TBIcalc!$Q$10),"")</f>
        <v>1.8212000000000002</v>
      </c>
      <c r="M195" s="391">
        <f>AVERAGE(Ashed_controlls!$K$2:$K$11)</f>
        <v>5.5147656768714146</v>
      </c>
      <c r="N195" s="267">
        <f t="shared" ref="N195:N258" si="16">IFERROR(L195-(M195/100)*L195,"")</f>
        <v>1.720765087492818</v>
      </c>
      <c r="O195" s="267">
        <f>IF(IFERROR(INDEX('Both teabags AfterDry'!$D$3:$D$900,MATCH(J195,'Both teabags AfterDry'!$A$3:$A$900,0)),"")="","",(IFERROR(INDEX('Both teabags AfterDry'!$D$3:$D$900,MATCH(J195,'Both teabags AfterDry'!$A$3:$A$900,0)),"")))</f>
        <v>0.433</v>
      </c>
      <c r="P195" s="267">
        <f>IFERROR(IF(O195&gt;0,O195-(TBIcalc!$Q$9),""),"")</f>
        <v>0.28239999999999998</v>
      </c>
      <c r="Q195" s="278">
        <f>IFERROR(INDEX('Ashed teabags dry'!$K$2:$K$825,MATCH(J195,'Ashed teabags dry'!$A$2:$A$825,0)),"")</f>
        <v>15.447941888619916</v>
      </c>
      <c r="R195" s="278">
        <f t="shared" ref="R195:R258" si="17">IFERROR(P195-(Q195/100)*P195,"")</f>
        <v>0.23877501210653734</v>
      </c>
      <c r="S195" s="268">
        <f>'Dry_Litterbag Placem_Collection'!E196</f>
        <v>42942</v>
      </c>
      <c r="T195" s="268">
        <f>IF('Dry_Litterbag Placem_Collection'!G196="","",'Dry_Litterbag Placem_Collection'!G196)</f>
        <v>43004</v>
      </c>
      <c r="U195" s="269">
        <f t="shared" si="15"/>
        <v>62</v>
      </c>
      <c r="V195" s="267">
        <f t="shared" ref="V195:V258" si="18">IFERROR(L195-P195,"")</f>
        <v>1.5388000000000002</v>
      </c>
      <c r="W195" s="267">
        <f t="shared" ref="W195:W258" si="19">IFERROR(N195-R195,"")</f>
        <v>1.4819900753862807</v>
      </c>
      <c r="X195" s="271">
        <f>IFERROR(INDEX(Rainfall_Dry!$O$2:$O$217,MATCH(B195, Rainfall_Dry!$A$2:$A$217,0)),"")</f>
        <v>171.84818423999999</v>
      </c>
      <c r="Y195" s="260">
        <v>21.13063730679653</v>
      </c>
      <c r="Z195" s="260">
        <v>3.0912555579081076</v>
      </c>
      <c r="AA195" s="260">
        <v>75.778107135295357</v>
      </c>
      <c r="AB195" s="261" t="s">
        <v>2670</v>
      </c>
      <c r="AC195" s="260">
        <v>0.46131099063578063</v>
      </c>
      <c r="AD195">
        <f>IF('WetLitterbags placem_collection'!AB196="","",'WetLitterbags placem_collection'!AB196)</f>
        <v>7.9</v>
      </c>
      <c r="AE195">
        <f>IF('WetLitterbags placem_collection'!Z196="","",'WetLitterbags placem_collection'!Z196)</f>
        <v>7.9</v>
      </c>
      <c r="AF195" s="24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71">
        <f>IFERROR(AVERAGE('Dry_Litterbag Placem_Collection'!N196,'Dry_Litterbag Placem_Collection'!Q196),"")</f>
        <v>30.849999999999998</v>
      </c>
      <c r="AJ195">
        <v>-2.4395990190000001</v>
      </c>
      <c r="AK195">
        <v>34.838418959999998</v>
      </c>
      <c r="AL195" s="270" t="str">
        <f>IF(ISNUMBER(SEARCH("C", 'Dry_Litterbag Placem_Collection'!S196)),"YES","NO")</f>
        <v>NO</v>
      </c>
      <c r="AM195" s="270" t="str">
        <f>IF(ISNUMBER(SEARCH("H", 'Dry_Litterbag Placem_Collection'!S196)),"YES","NO")</f>
        <v>YES</v>
      </c>
      <c r="AN195" s="270" t="str">
        <f>IF(ISNUMBER(SEARCH("R", 'Dry_Litterbag Placem_Collection'!S196)),"YES","NO")</f>
        <v>YES</v>
      </c>
    </row>
    <row r="196" spans="1:40" ht="15" customHeight="1">
      <c r="A196" s="262" t="s">
        <v>2659</v>
      </c>
      <c r="B196" s="263">
        <f>'Dry_Litterbag Placem_Collection'!A197</f>
        <v>195</v>
      </c>
      <c r="C196" s="263" t="str">
        <f>'Dry_Litterbag Placem_Collection'!B197</f>
        <v>Makao</v>
      </c>
      <c r="D196" s="263" t="s">
        <v>2659</v>
      </c>
      <c r="E196" s="263" t="s">
        <v>2526</v>
      </c>
      <c r="F196" s="263">
        <v>2</v>
      </c>
      <c r="G196" s="264" t="str">
        <f>'Dry_Litterbag Placem_Collection'!C197</f>
        <v>Dry_Ag3_CG2</v>
      </c>
      <c r="H196" s="265" t="s">
        <v>2541</v>
      </c>
      <c r="I196" s="266" t="s">
        <v>1147</v>
      </c>
      <c r="J196" s="263" t="str">
        <f>IF(ISBLANK('Dry_Litterbag Placem_Collection'!J197),"","G"&amp;""&amp;'Dry_Litterbag Placem_Collection'!J197)</f>
        <v>G105</v>
      </c>
      <c r="K196" s="267">
        <f>IFERROR(INDEX('Green_rooibos initial weight'!$C$5:$C$1749,MATCH(J196, 'Green_rooibos initial weight'!$A$5:$A$1749,0)),"")</f>
        <v>2.1440000000000001</v>
      </c>
      <c r="L196" s="267">
        <f>IFERROR(K196-(TBIcalc!$Q$9+TBIcalc!$Q$10),"")</f>
        <v>1.8942000000000001</v>
      </c>
      <c r="M196" s="391">
        <f>AVERAGE(Ashed_controlls!$K$2:$K$11)</f>
        <v>5.5147656768714146</v>
      </c>
      <c r="N196" s="267">
        <f t="shared" si="16"/>
        <v>1.7897393085487017</v>
      </c>
      <c r="O196" s="267">
        <f>IF(IFERROR(INDEX('Both teabags AfterDry'!$D$3:$D$900,MATCH(J196,'Both teabags AfterDry'!$A$3:$A$900,0)),"")="","",(IFERROR(INDEX('Both teabags AfterDry'!$D$3:$D$900,MATCH(J196,'Both teabags AfterDry'!$A$3:$A$900,0)),"")))</f>
        <v>1.2050000000000001</v>
      </c>
      <c r="P196" s="267">
        <f>IFERROR(IF(O196&gt;0,O196-(TBIcalc!$Q$9),""),"")</f>
        <v>1.0544</v>
      </c>
      <c r="Q196" s="278">
        <f>IFERROR(INDEX('Ashed teabags dry'!$K$2:$K$825,MATCH(J196,'Ashed teabags dry'!$A$2:$A$825,0)),"")</f>
        <v>44.075144508670796</v>
      </c>
      <c r="R196" s="278">
        <f t="shared" si="17"/>
        <v>0.58967167630057515</v>
      </c>
      <c r="S196" s="268">
        <f>'Dry_Litterbag Placem_Collection'!E197</f>
        <v>42942</v>
      </c>
      <c r="T196" s="268">
        <f>IF('Dry_Litterbag Placem_Collection'!G197="","",'Dry_Litterbag Placem_Collection'!G197)</f>
        <v>43004</v>
      </c>
      <c r="U196" s="269">
        <f t="shared" si="15"/>
        <v>62</v>
      </c>
      <c r="V196" s="267">
        <f t="shared" si="18"/>
        <v>0.8398000000000001</v>
      </c>
      <c r="W196" s="267">
        <f t="shared" si="19"/>
        <v>1.2000676322481265</v>
      </c>
      <c r="X196" s="271">
        <f>IFERROR(INDEX(Rainfall_Dry!$O$2:$O$217,MATCH(B196, Rainfall_Dry!$A$2:$A$217,0)),"")</f>
        <v>171.84818423999999</v>
      </c>
      <c r="Y196" s="260">
        <v>54.080969906906262</v>
      </c>
      <c r="Z196" s="260">
        <v>21.264484651351896</v>
      </c>
      <c r="AA196" s="260">
        <v>24.654545441741845</v>
      </c>
      <c r="AB196" s="261" t="s">
        <v>2673</v>
      </c>
      <c r="AC196" s="260">
        <v>1.8433218334154755</v>
      </c>
      <c r="AD196">
        <f>IF('WetLitterbags placem_collection'!AB197="","",'WetLitterbags placem_collection'!AB197)</f>
        <v>5.13</v>
      </c>
      <c r="AE196">
        <f>IF('WetLitterbags placem_collection'!Z197="","",'WetLitterbags placem_collection'!Z197)</f>
        <v>5.13</v>
      </c>
      <c r="AF196" s="24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71">
        <f>IFERROR(AVERAGE('Dry_Litterbag Placem_Collection'!N197,'Dry_Litterbag Placem_Collection'!Q197),"")</f>
        <v>28.1</v>
      </c>
      <c r="AJ196">
        <v>-2.4396450349999999</v>
      </c>
      <c r="AK196">
        <v>34.83836599</v>
      </c>
      <c r="AL196" s="270" t="str">
        <f>IF(ISNUMBER(SEARCH("C", 'Dry_Litterbag Placem_Collection'!S197)),"YES","NO")</f>
        <v>NO</v>
      </c>
      <c r="AM196" s="270" t="str">
        <f>IF(ISNUMBER(SEARCH("H", 'Dry_Litterbag Placem_Collection'!S197)),"YES","NO")</f>
        <v>YES</v>
      </c>
      <c r="AN196" s="270" t="str">
        <f>IF(ISNUMBER(SEARCH("R", 'Dry_Litterbag Placem_Collection'!S197)),"YES","NO")</f>
        <v>YES</v>
      </c>
    </row>
    <row r="197" spans="1:40" ht="15" customHeight="1">
      <c r="A197" s="262" t="s">
        <v>2659</v>
      </c>
      <c r="B197" s="263">
        <f>'Dry_Litterbag Placem_Collection'!A198</f>
        <v>196</v>
      </c>
      <c r="C197" s="263" t="str">
        <f>'Dry_Litterbag Placem_Collection'!B198</f>
        <v>Makao</v>
      </c>
      <c r="D197" s="263" t="s">
        <v>2659</v>
      </c>
      <c r="E197" s="263" t="s">
        <v>2526</v>
      </c>
      <c r="F197" s="263">
        <v>1</v>
      </c>
      <c r="G197" s="264" t="str">
        <f>'Dry_Litterbag Placem_Collection'!C198</f>
        <v>Dry_Ag4_CG1</v>
      </c>
      <c r="H197" s="265" t="s">
        <v>2541</v>
      </c>
      <c r="I197" s="266" t="s">
        <v>1147</v>
      </c>
      <c r="J197" s="263" t="str">
        <f>IF(ISBLANK('Dry_Litterbag Placem_Collection'!J198),"","G"&amp;""&amp;'Dry_Litterbag Placem_Collection'!J198)</f>
        <v>G12</v>
      </c>
      <c r="K197" s="267">
        <f>IFERROR(INDEX('Green_rooibos initial weight'!$C$5:$C$1749,MATCH(J197, 'Green_rooibos initial weight'!$A$5:$A$1749,0)),"")</f>
        <v>1.9870000000000001</v>
      </c>
      <c r="L197" s="267">
        <f>IFERROR(K197-(TBIcalc!$Q$9+TBIcalc!$Q$10),"")</f>
        <v>1.7372000000000001</v>
      </c>
      <c r="M197" s="391">
        <f>AVERAGE(Ashed_controlls!$K$2:$K$11)</f>
        <v>5.5147656768714146</v>
      </c>
      <c r="N197" s="267">
        <f t="shared" si="16"/>
        <v>1.64139749066139</v>
      </c>
      <c r="O197" s="267">
        <f>IF(IFERROR(INDEX('Both teabags AfterDry'!$D$3:$D$900,MATCH(J197,'Both teabags AfterDry'!$A$3:$A$900,0)),"")="","",(IFERROR(INDEX('Both teabags AfterDry'!$D$3:$D$900,MATCH(J197,'Both teabags AfterDry'!$A$3:$A$900,0)),"")))</f>
        <v>0.748</v>
      </c>
      <c r="P197" s="267">
        <f>IFERROR(IF(O197&gt;0,O197-(TBIcalc!$Q$9),""),"")</f>
        <v>0.59739999999999993</v>
      </c>
      <c r="Q197" s="278">
        <f>IFERROR(INDEX('Ashed teabags dry'!$K$2:$K$825,MATCH(J197,'Ashed teabags dry'!$A$2:$A$825,0)),"")</f>
        <v>27.855421686746478</v>
      </c>
      <c r="R197" s="278">
        <f t="shared" si="17"/>
        <v>0.43099171084337651</v>
      </c>
      <c r="S197" s="268">
        <f>'Dry_Litterbag Placem_Collection'!E198</f>
        <v>42942</v>
      </c>
      <c r="T197" s="268">
        <f>IF('Dry_Litterbag Placem_Collection'!G198="","",'Dry_Litterbag Placem_Collection'!G198)</f>
        <v>43004</v>
      </c>
      <c r="U197" s="269">
        <f t="shared" si="15"/>
        <v>62</v>
      </c>
      <c r="V197" s="267">
        <f t="shared" si="18"/>
        <v>1.1398000000000001</v>
      </c>
      <c r="W197" s="267">
        <f t="shared" si="19"/>
        <v>1.2104057798180134</v>
      </c>
      <c r="X197" s="271">
        <f>IFERROR(INDEX(Rainfall_Dry!$O$2:$O$217,MATCH(B197, Rainfall_Dry!$A$2:$A$217,0)),"")</f>
        <v>171.84818423999999</v>
      </c>
      <c r="Y197" s="260">
        <v>51.960000000000008</v>
      </c>
      <c r="Z197" s="260">
        <v>18.919999999999995</v>
      </c>
      <c r="AA197" s="260">
        <v>29.120000000000005</v>
      </c>
      <c r="AB197" s="261" t="s">
        <v>2673</v>
      </c>
      <c r="AC197" s="260">
        <v>1.85293247905372</v>
      </c>
      <c r="AD197">
        <f>IF('WetLitterbags placem_collection'!AB198="","",'WetLitterbags placem_collection'!AB198)</f>
        <v>13.8</v>
      </c>
      <c r="AE197">
        <f>IF('WetLitterbags placem_collection'!Z198="","",'WetLitterbags placem_collection'!Z198)</f>
        <v>17.399999999999999</v>
      </c>
      <c r="AF197" s="24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71">
        <f>IFERROR(AVERAGE('Dry_Litterbag Placem_Collection'!N198,'Dry_Litterbag Placem_Collection'!Q198),"")</f>
        <v>26.65</v>
      </c>
      <c r="AJ197">
        <v>-2.439403972</v>
      </c>
      <c r="AK197">
        <v>34.838404959999998</v>
      </c>
      <c r="AL197" s="270" t="str">
        <f>IF(ISNUMBER(SEARCH("C", 'Dry_Litterbag Placem_Collection'!S198)),"YES","NO")</f>
        <v>NO</v>
      </c>
      <c r="AM197" s="270" t="str">
        <f>IF(ISNUMBER(SEARCH("H", 'Dry_Litterbag Placem_Collection'!S198)),"YES","NO")</f>
        <v>YES</v>
      </c>
      <c r="AN197" s="270" t="str">
        <f>IF(ISNUMBER(SEARCH("R", 'Dry_Litterbag Placem_Collection'!S198)),"YES","NO")</f>
        <v>NO</v>
      </c>
    </row>
    <row r="198" spans="1:40" ht="15" customHeight="1">
      <c r="A198" s="262" t="s">
        <v>2659</v>
      </c>
      <c r="B198" s="263">
        <f>'Dry_Litterbag Placem_Collection'!A199</f>
        <v>197</v>
      </c>
      <c r="C198" s="263" t="str">
        <f>'Dry_Litterbag Placem_Collection'!B199</f>
        <v>Makao</v>
      </c>
      <c r="D198" s="263" t="s">
        <v>2659</v>
      </c>
      <c r="E198" s="263" t="s">
        <v>2526</v>
      </c>
      <c r="F198" s="263">
        <v>2</v>
      </c>
      <c r="G198" s="264" t="str">
        <f>'Dry_Litterbag Placem_Collection'!C199</f>
        <v>Dry_P1_CG2</v>
      </c>
      <c r="H198" s="265" t="s">
        <v>2541</v>
      </c>
      <c r="I198" s="266" t="s">
        <v>1147</v>
      </c>
      <c r="J198" s="263" t="str">
        <f>IF(ISBLANK('Dry_Litterbag Placem_Collection'!J199),"","G"&amp;""&amp;'Dry_Litterbag Placem_Collection'!J199)</f>
        <v>G399</v>
      </c>
      <c r="K198" s="267">
        <f>IFERROR(INDEX('Green_rooibos initial weight'!$C$5:$C$1749,MATCH(J198, 'Green_rooibos initial weight'!$A$5:$A$1749,0)),"")</f>
        <v>2.0070000000000001</v>
      </c>
      <c r="L198" s="267">
        <f>IFERROR(K198-(TBIcalc!$Q$9+TBIcalc!$Q$10),"")</f>
        <v>1.7572000000000001</v>
      </c>
      <c r="M198" s="391">
        <f>AVERAGE(Ashed_controlls!$K$2:$K$11)</f>
        <v>5.5147656768714146</v>
      </c>
      <c r="N198" s="267">
        <f t="shared" si="16"/>
        <v>1.6602945375260156</v>
      </c>
      <c r="O198" s="267">
        <f>IF(IFERROR(INDEX('Both teabags AfterDry'!$D$3:$D$900,MATCH(J198,'Both teabags AfterDry'!$A$3:$A$900,0)),"")="","",(IFERROR(INDEX('Both teabags AfterDry'!$D$3:$D$900,MATCH(J198,'Both teabags AfterDry'!$A$3:$A$900,0)),"")))</f>
        <v>0.69</v>
      </c>
      <c r="P198" s="267">
        <f>IFERROR(IF(O198&gt;0,O198-(TBIcalc!$Q$9),""),"")</f>
        <v>0.53939999999999988</v>
      </c>
      <c r="Q198" s="278">
        <f>IFERROR(INDEX('Ashed teabags dry'!$K$2:$K$825,MATCH(J198,'Ashed teabags dry'!$A$2:$A$825,0)),"")</f>
        <v>18.458698661744211</v>
      </c>
      <c r="R198" s="278">
        <f t="shared" si="17"/>
        <v>0.43983377941855162</v>
      </c>
      <c r="S198" s="268">
        <f>'Dry_Litterbag Placem_Collection'!E199</f>
        <v>42942</v>
      </c>
      <c r="T198" s="268">
        <f>IF('Dry_Litterbag Placem_Collection'!G199="","",'Dry_Litterbag Placem_Collection'!G199)</f>
        <v>43004</v>
      </c>
      <c r="U198" s="269">
        <f t="shared" si="15"/>
        <v>62</v>
      </c>
      <c r="V198" s="267">
        <f t="shared" si="18"/>
        <v>1.2178000000000002</v>
      </c>
      <c r="W198" s="267">
        <f t="shared" si="19"/>
        <v>1.220460758107464</v>
      </c>
      <c r="X198" s="271">
        <f>IFERROR(INDEX(Rainfall_Dry!$O$2:$O$217,MATCH(B198, Rainfall_Dry!$A$2:$A$217,0)),"")</f>
        <v>171.84818423999999</v>
      </c>
      <c r="Y198" s="260">
        <v>23.96</v>
      </c>
      <c r="Z198" s="260">
        <v>0.91999999999999804</v>
      </c>
      <c r="AA198" s="260">
        <v>75.12</v>
      </c>
      <c r="AB198" s="261" t="s">
        <v>2670</v>
      </c>
      <c r="AC198" s="260">
        <v>1.2493839329719072</v>
      </c>
      <c r="AD198">
        <f>IF('WetLitterbags placem_collection'!AB199="","",'WetLitterbags placem_collection'!AB199)</f>
        <v>5.13</v>
      </c>
      <c r="AE198">
        <f>IF('WetLitterbags placem_collection'!Z199="","",'WetLitterbags placem_collection'!Z199)</f>
        <v>5.13</v>
      </c>
      <c r="AF198" s="24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71">
        <f>IFERROR(AVERAGE('Dry_Litterbag Placem_Collection'!N199,'Dry_Litterbag Placem_Collection'!Q199),"")</f>
        <v>29.05</v>
      </c>
      <c r="AJ198">
        <v>-2.4396450349999999</v>
      </c>
      <c r="AK198">
        <v>34.83836599</v>
      </c>
      <c r="AL198" s="270" t="str">
        <f>IF(ISNUMBER(SEARCH("C", 'Dry_Litterbag Placem_Collection'!S199)),"YES","NO")</f>
        <v>NO</v>
      </c>
      <c r="AM198" s="270" t="str">
        <f>IF(ISNUMBER(SEARCH("H", 'Dry_Litterbag Placem_Collection'!S199)),"YES","NO")</f>
        <v>NO</v>
      </c>
      <c r="AN198" s="270" t="str">
        <f>IF(ISNUMBER(SEARCH("R", 'Dry_Litterbag Placem_Collection'!S199)),"YES","NO")</f>
        <v>YES</v>
      </c>
    </row>
    <row r="199" spans="1:40" ht="15" customHeight="1">
      <c r="A199" s="262" t="s">
        <v>2659</v>
      </c>
      <c r="B199" s="263">
        <f>'Dry_Litterbag Placem_Collection'!A200</f>
        <v>198</v>
      </c>
      <c r="C199" s="263" t="str">
        <f>'Dry_Litterbag Placem_Collection'!B200</f>
        <v>Makao</v>
      </c>
      <c r="D199" s="263" t="s">
        <v>2659</v>
      </c>
      <c r="E199" s="263" t="s">
        <v>2526</v>
      </c>
      <c r="F199" s="263">
        <v>3</v>
      </c>
      <c r="G199" s="264" t="str">
        <f>'Dry_Litterbag Placem_Collection'!C200</f>
        <v>Dry_P2_CG3</v>
      </c>
      <c r="H199" s="265" t="s">
        <v>2541</v>
      </c>
      <c r="I199" s="266" t="s">
        <v>1147</v>
      </c>
      <c r="J199" s="263" t="str">
        <f>IF(ISBLANK('Dry_Litterbag Placem_Collection'!J200),"","G"&amp;""&amp;'Dry_Litterbag Placem_Collection'!J200)</f>
        <v>G27</v>
      </c>
      <c r="K199" s="267">
        <f>IFERROR(INDEX('Green_rooibos initial weight'!$C$5:$C$1749,MATCH(J199, 'Green_rooibos initial weight'!$A$5:$A$1749,0)),"")</f>
        <v>1.966</v>
      </c>
      <c r="L199" s="267">
        <f>IFERROR(K199-(TBIcalc!$Q$9+TBIcalc!$Q$10),"")</f>
        <v>1.7161999999999999</v>
      </c>
      <c r="M199" s="391">
        <f>AVERAGE(Ashed_controlls!$K$2:$K$11)</f>
        <v>5.5147656768714146</v>
      </c>
      <c r="N199" s="267">
        <f t="shared" si="16"/>
        <v>1.6215555914535327</v>
      </c>
      <c r="O199" s="267">
        <f>IF(IFERROR(INDEX('Both teabags AfterDry'!$D$3:$D$900,MATCH(J199,'Both teabags AfterDry'!$A$3:$A$900,0)),"")="","",(IFERROR(INDEX('Both teabags AfterDry'!$D$3:$D$900,MATCH(J199,'Both teabags AfterDry'!$A$3:$A$900,0)),"")))</f>
        <v>0.73799999999999999</v>
      </c>
      <c r="P199" s="267">
        <f>IFERROR(IF(O199&gt;0,O199-(TBIcalc!$Q$9),""),"")</f>
        <v>0.58739999999999992</v>
      </c>
      <c r="Q199" s="278">
        <f>IFERROR(INDEX('Ashed teabags dry'!$K$2:$K$825,MATCH(J199,'Ashed teabags dry'!$A$2:$A$825,0)),"")</f>
        <v>26.042177538007827</v>
      </c>
      <c r="R199" s="278">
        <f t="shared" si="17"/>
        <v>0.43442824914174194</v>
      </c>
      <c r="S199" s="268">
        <f>'Dry_Litterbag Placem_Collection'!E200</f>
        <v>42942</v>
      </c>
      <c r="T199" s="268">
        <f>IF('Dry_Litterbag Placem_Collection'!G200="","",'Dry_Litterbag Placem_Collection'!G200)</f>
        <v>43004</v>
      </c>
      <c r="U199" s="269">
        <f t="shared" si="15"/>
        <v>62</v>
      </c>
      <c r="V199" s="267">
        <f t="shared" si="18"/>
        <v>1.1288</v>
      </c>
      <c r="W199" s="267">
        <f t="shared" si="19"/>
        <v>1.1871273423117907</v>
      </c>
      <c r="X199" s="271">
        <f>IFERROR(INDEX(Rainfall_Dry!$O$2:$O$217,MATCH(B199, Rainfall_Dry!$A$2:$A$217,0)),"")</f>
        <v>171.84818423999999</v>
      </c>
      <c r="Y199" s="260">
        <v>19.96</v>
      </c>
      <c r="Z199" s="260">
        <v>4.9199999999999982</v>
      </c>
      <c r="AA199" s="260">
        <v>75.12</v>
      </c>
      <c r="AB199" s="261" t="s">
        <v>2671</v>
      </c>
      <c r="AC199" s="260">
        <v>1.641498275012321</v>
      </c>
      <c r="AD199">
        <f>IF('WetLitterbags placem_collection'!AB200="","",'WetLitterbags placem_collection'!AB200)</f>
        <v>7.9</v>
      </c>
      <c r="AE199">
        <f>IF('WetLitterbags placem_collection'!Z200="","",'WetLitterbags placem_collection'!Z200)</f>
        <v>7.9</v>
      </c>
      <c r="AF199" s="24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71">
        <f>IFERROR(AVERAGE('Dry_Litterbag Placem_Collection'!N200,'Dry_Litterbag Placem_Collection'!Q200),"")</f>
        <v>30.25</v>
      </c>
      <c r="AJ199">
        <v>-2.4395990190000001</v>
      </c>
      <c r="AK199">
        <v>34.838418959999998</v>
      </c>
      <c r="AL199" s="270" t="str">
        <f>IF(ISNUMBER(SEARCH("C", 'Dry_Litterbag Placem_Collection'!S200)),"YES","NO")</f>
        <v>NO</v>
      </c>
      <c r="AM199" s="270" t="str">
        <f>IF(ISNUMBER(SEARCH("H", 'Dry_Litterbag Placem_Collection'!S200)),"YES","NO")</f>
        <v>NO</v>
      </c>
      <c r="AN199" s="270" t="str">
        <f>IF(ISNUMBER(SEARCH("R", 'Dry_Litterbag Placem_Collection'!S200)),"YES","NO")</f>
        <v>YES</v>
      </c>
    </row>
    <row r="200" spans="1:40" ht="15" customHeight="1">
      <c r="A200" s="262" t="s">
        <v>2659</v>
      </c>
      <c r="B200" s="263">
        <f>'Dry_Litterbag Placem_Collection'!A201</f>
        <v>199</v>
      </c>
      <c r="C200" s="263" t="str">
        <f>'Dry_Litterbag Placem_Collection'!B201</f>
        <v>Makao</v>
      </c>
      <c r="D200" s="263" t="s">
        <v>2659</v>
      </c>
      <c r="E200" s="263" t="s">
        <v>2526</v>
      </c>
      <c r="F200" s="263">
        <v>1</v>
      </c>
      <c r="G200" s="264" t="str">
        <f>'Dry_Litterbag Placem_Collection'!C201</f>
        <v>Dry_P3_CG1</v>
      </c>
      <c r="H200" s="265" t="s">
        <v>2541</v>
      </c>
      <c r="I200" s="266" t="s">
        <v>1147</v>
      </c>
      <c r="J200" s="263" t="str">
        <f>IF(ISBLANK('Dry_Litterbag Placem_Collection'!J201),"","G"&amp;""&amp;'Dry_Litterbag Placem_Collection'!J201)</f>
        <v>G224</v>
      </c>
      <c r="K200" s="267">
        <f>IFERROR(INDEX('Green_rooibos initial weight'!$C$5:$C$1749,MATCH(J200, 'Green_rooibos initial weight'!$A$5:$A$1749,0)),"")</f>
        <v>2.0259999999999998</v>
      </c>
      <c r="L200" s="267">
        <f>IFERROR(K200-(TBIcalc!$Q$9+TBIcalc!$Q$10),"")</f>
        <v>1.7761999999999998</v>
      </c>
      <c r="M200" s="391">
        <f>AVERAGE(Ashed_controlls!$K$2:$K$11)</f>
        <v>5.5147656768714146</v>
      </c>
      <c r="N200" s="267">
        <f t="shared" si="16"/>
        <v>1.6782467320474097</v>
      </c>
      <c r="O200" s="267">
        <f>IF(IFERROR(INDEX('Both teabags AfterDry'!$D$3:$D$900,MATCH(J200,'Both teabags AfterDry'!$A$3:$A$900,0)),"")="","",(IFERROR(INDEX('Both teabags AfterDry'!$D$3:$D$900,MATCH(J200,'Both teabags AfterDry'!$A$3:$A$900,0)),"")))</f>
        <v>0.53049999999999997</v>
      </c>
      <c r="P200" s="267">
        <f>IFERROR(IF(O200&gt;0,O200-(TBIcalc!$Q$9),""),"")</f>
        <v>0.37989999999999996</v>
      </c>
      <c r="Q200" s="278">
        <f>IFERROR(INDEX('Ashed teabags dry'!$K$2:$K$825,MATCH(J200,'Ashed teabags dry'!$A$2:$A$825,0)),"")</f>
        <v>22.616075886170179</v>
      </c>
      <c r="R200" s="278">
        <f t="shared" si="17"/>
        <v>0.29398152770843944</v>
      </c>
      <c r="S200" s="268">
        <f>'Dry_Litterbag Placem_Collection'!E201</f>
        <v>42942</v>
      </c>
      <c r="T200" s="268">
        <f>IF('Dry_Litterbag Placem_Collection'!G201="","",'Dry_Litterbag Placem_Collection'!G201)</f>
        <v>43004</v>
      </c>
      <c r="U200" s="269">
        <f t="shared" si="15"/>
        <v>62</v>
      </c>
      <c r="V200" s="267">
        <f t="shared" si="18"/>
        <v>1.3962999999999999</v>
      </c>
      <c r="W200" s="267">
        <f t="shared" si="19"/>
        <v>1.3842652043389703</v>
      </c>
      <c r="X200" s="271">
        <f>IFERROR(INDEX(Rainfall_Dry!$O$2:$O$217,MATCH(B200, Rainfall_Dry!$A$2:$A$217,0)),"")</f>
        <v>171.84818423999999</v>
      </c>
      <c r="Y200" s="260">
        <v>21.96</v>
      </c>
      <c r="Z200" s="260">
        <v>8.9199999999999982</v>
      </c>
      <c r="AA200" s="260">
        <v>69.12</v>
      </c>
      <c r="AB200" s="261" t="s">
        <v>2670</v>
      </c>
      <c r="AC200" s="260">
        <v>1.7491375061606702</v>
      </c>
      <c r="AD200">
        <f>IF('WetLitterbags placem_collection'!AB201="","",'WetLitterbags placem_collection'!AB201)</f>
        <v>13.8</v>
      </c>
      <c r="AE200">
        <f>IF('WetLitterbags placem_collection'!Z201="","",'WetLitterbags placem_collection'!Z201)</f>
        <v>17.399999999999999</v>
      </c>
      <c r="AF200" s="24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71">
        <f>IFERROR(AVERAGE('Dry_Litterbag Placem_Collection'!N201,'Dry_Litterbag Placem_Collection'!Q201),"")</f>
        <v>27.200000000000003</v>
      </c>
      <c r="AJ200">
        <v>-2.439403972</v>
      </c>
      <c r="AK200">
        <v>34.838404959999998</v>
      </c>
      <c r="AL200" s="270" t="str">
        <f>IF(ISNUMBER(SEARCH("C", 'Dry_Litterbag Placem_Collection'!S201)),"YES","NO")</f>
        <v>NO</v>
      </c>
      <c r="AM200" s="270" t="str">
        <f>IF(ISNUMBER(SEARCH("H", 'Dry_Litterbag Placem_Collection'!S201)),"YES","NO")</f>
        <v>YES</v>
      </c>
      <c r="AN200" s="270" t="str">
        <f>IF(ISNUMBER(SEARCH("R", 'Dry_Litterbag Placem_Collection'!S201)),"YES","NO")</f>
        <v>NO</v>
      </c>
    </row>
    <row r="201" spans="1:40" ht="15" customHeight="1">
      <c r="A201" s="262" t="s">
        <v>2659</v>
      </c>
      <c r="B201" s="263">
        <f>'Dry_Litterbag Placem_Collection'!A202</f>
        <v>200</v>
      </c>
      <c r="C201" s="263" t="str">
        <f>'Dry_Litterbag Placem_Collection'!B202</f>
        <v>Makao</v>
      </c>
      <c r="D201" s="263" t="s">
        <v>2659</v>
      </c>
      <c r="E201" s="263" t="s">
        <v>2526</v>
      </c>
      <c r="F201" s="263">
        <v>4</v>
      </c>
      <c r="G201" s="264" t="str">
        <f>'Dry_Litterbag Placem_Collection'!C202</f>
        <v>Dry_P4_CG4</v>
      </c>
      <c r="H201" s="265" t="s">
        <v>2541</v>
      </c>
      <c r="I201" s="266" t="s">
        <v>1147</v>
      </c>
      <c r="J201" s="263" t="str">
        <f>IF(ISBLANK('Dry_Litterbag Placem_Collection'!J202),"","G"&amp;""&amp;'Dry_Litterbag Placem_Collection'!J202)</f>
        <v>G158</v>
      </c>
      <c r="K201" s="267">
        <f>IFERROR(INDEX('Green_rooibos initial weight'!$C$5:$C$1749,MATCH(J201, 'Green_rooibos initial weight'!$A$5:$A$1749,0)),"")</f>
        <v>2.0609999999999999</v>
      </c>
      <c r="L201" s="267">
        <f>IFERROR(K201-(TBIcalc!$Q$9+TBIcalc!$Q$10),"")</f>
        <v>1.8111999999999999</v>
      </c>
      <c r="M201" s="391">
        <f>AVERAGE(Ashed_controlls!$K$2:$K$11)</f>
        <v>5.5147656768714146</v>
      </c>
      <c r="N201" s="267">
        <f t="shared" si="16"/>
        <v>1.7113165640605048</v>
      </c>
      <c r="O201" s="267">
        <f>IF(IFERROR(INDEX('Both teabags AfterDry'!$D$3:$D$900,MATCH(J201,'Both teabags AfterDry'!$A$3:$A$900,0)),"")="","",(IFERROR(INDEX('Both teabags AfterDry'!$D$3:$D$900,MATCH(J201,'Both teabags AfterDry'!$A$3:$A$900,0)),"")))</f>
        <v>0.71050000000000002</v>
      </c>
      <c r="P201" s="267">
        <f>IFERROR(IF(O201&gt;0,O201-(TBIcalc!$Q$9),""),"")</f>
        <v>0.55990000000000006</v>
      </c>
      <c r="Q201" s="278">
        <f>IFERROR(INDEX('Ashed teabags dry'!$K$2:$K$825,MATCH(J201,'Ashed teabags dry'!$A$2:$A$825,0)),"")</f>
        <v>21.295855169128785</v>
      </c>
      <c r="R201" s="278">
        <f t="shared" si="17"/>
        <v>0.44066450690804798</v>
      </c>
      <c r="S201" s="268">
        <f>'Dry_Litterbag Placem_Collection'!E202</f>
        <v>42942</v>
      </c>
      <c r="T201" s="268">
        <f>IF('Dry_Litterbag Placem_Collection'!G202="","",'Dry_Litterbag Placem_Collection'!G202)</f>
        <v>43004</v>
      </c>
      <c r="U201" s="269">
        <f t="shared" si="15"/>
        <v>62</v>
      </c>
      <c r="V201" s="267">
        <f t="shared" si="18"/>
        <v>1.2512999999999999</v>
      </c>
      <c r="W201" s="267">
        <f t="shared" si="19"/>
        <v>1.2706520571524569</v>
      </c>
      <c r="X201" s="271">
        <f>IFERROR(INDEX(Rainfall_Dry!$O$2:$O$217,MATCH(B201, Rainfall_Dry!$A$2:$A$217,0)),"")</f>
        <v>171.84818423999999</v>
      </c>
      <c r="Y201" s="260">
        <v>25.96</v>
      </c>
      <c r="Z201" s="260">
        <v>6.9200000000000008</v>
      </c>
      <c r="AA201" s="260">
        <v>67.12</v>
      </c>
      <c r="AB201" s="261" t="s">
        <v>2670</v>
      </c>
      <c r="AC201" s="260">
        <v>1.7568260226712666</v>
      </c>
      <c r="AD201">
        <f>IF('WetLitterbags placem_collection'!AB202="","",'WetLitterbags placem_collection'!AB202)</f>
        <v>15.2</v>
      </c>
      <c r="AE201">
        <f>IF('WetLitterbags placem_collection'!Z202="","",'WetLitterbags placem_collection'!Z202)</f>
        <v>12.2</v>
      </c>
      <c r="AF201" s="24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71">
        <f>IFERROR(AVERAGE('Dry_Litterbag Placem_Collection'!N202,'Dry_Litterbag Placem_Collection'!Q202),"")</f>
        <v>32.9</v>
      </c>
      <c r="AJ201">
        <v>-2.4396949910000001</v>
      </c>
      <c r="AK201">
        <v>34.838574029999997</v>
      </c>
      <c r="AL201" s="270" t="str">
        <f>IF(ISNUMBER(SEARCH("C", 'Dry_Litterbag Placem_Collection'!S202)),"YES","NO")</f>
        <v>NO</v>
      </c>
      <c r="AM201" s="270" t="str">
        <f>IF(ISNUMBER(SEARCH("H", 'Dry_Litterbag Placem_Collection'!S202)),"YES","NO")</f>
        <v>NO</v>
      </c>
      <c r="AN201" s="270" t="str">
        <f>IF(ISNUMBER(SEARCH("R", 'Dry_Litterbag Placem_Collection'!S202)),"YES","NO")</f>
        <v>YES</v>
      </c>
    </row>
    <row r="202" spans="1:40" ht="15" customHeight="1">
      <c r="A202" s="262" t="s">
        <v>2659</v>
      </c>
      <c r="B202" s="263">
        <f>'Dry_Litterbag Placem_Collection'!A203</f>
        <v>201</v>
      </c>
      <c r="C202" s="263" t="str">
        <f>'Dry_Litterbag Placem_Collection'!B203</f>
        <v>Maswa</v>
      </c>
      <c r="D202" s="263" t="s">
        <v>2659</v>
      </c>
      <c r="E202" s="263" t="s">
        <v>2526</v>
      </c>
      <c r="F202" s="263">
        <v>4</v>
      </c>
      <c r="G202" s="264" t="str">
        <f>'Dry_Litterbag Placem_Collection'!C203</f>
        <v>Dry_W3_CG4</v>
      </c>
      <c r="H202" s="265" t="s">
        <v>2541</v>
      </c>
      <c r="I202" s="266" t="s">
        <v>1147</v>
      </c>
      <c r="J202" s="263" t="str">
        <f>IF(ISBLANK('Dry_Litterbag Placem_Collection'!J203),"","G"&amp;""&amp;'Dry_Litterbag Placem_Collection'!J203)</f>
        <v>G211</v>
      </c>
      <c r="K202" s="267">
        <f>IFERROR(INDEX('Green_rooibos initial weight'!$C$5:$C$1749,MATCH(J202, 'Green_rooibos initial weight'!$A$5:$A$1749,0)),"")</f>
        <v>2.06</v>
      </c>
      <c r="L202" s="267">
        <f>IFERROR(K202-(TBIcalc!$Q$9+TBIcalc!$Q$10),"")</f>
        <v>1.8102</v>
      </c>
      <c r="M202" s="391">
        <f>AVERAGE(Ashed_controlls!$K$2:$K$11)</f>
        <v>5.5147656768714146</v>
      </c>
      <c r="N202" s="267">
        <f t="shared" si="16"/>
        <v>1.7103717117172736</v>
      </c>
      <c r="O202" s="267">
        <f>IF(IFERROR(INDEX('Both teabags AfterDry'!$D$3:$D$900,MATCH(J202,'Both teabags AfterDry'!$A$3:$A$900,0)),"")="","",(IFERROR(INDEX('Both teabags AfterDry'!$D$3:$D$900,MATCH(J202,'Both teabags AfterDry'!$A$3:$A$900,0)),"")))</f>
        <v>0.67300000000000004</v>
      </c>
      <c r="P202" s="267">
        <f>IFERROR(IF(O202&gt;0,O202-(TBIcalc!$Q$9),""),"")</f>
        <v>0.52239999999999998</v>
      </c>
      <c r="Q202" s="278">
        <f>IFERROR(INDEX('Ashed teabags dry'!$K$2:$K$825,MATCH(J202,'Ashed teabags dry'!$A$2:$A$825,0)),"")</f>
        <v>67.294685990337157</v>
      </c>
      <c r="R202" s="278">
        <f t="shared" si="17"/>
        <v>0.17085256038647867</v>
      </c>
      <c r="S202" s="268">
        <f>'Dry_Litterbag Placem_Collection'!E203</f>
        <v>42942</v>
      </c>
      <c r="T202" s="268">
        <f>IF('Dry_Litterbag Placem_Collection'!G203="","",'Dry_Litterbag Placem_Collection'!G203)</f>
        <v>43004</v>
      </c>
      <c r="U202" s="269">
        <f t="shared" si="15"/>
        <v>62</v>
      </c>
      <c r="V202" s="267">
        <f t="shared" si="18"/>
        <v>1.2878000000000001</v>
      </c>
      <c r="W202" s="267">
        <f t="shared" si="19"/>
        <v>1.5395191513307949</v>
      </c>
      <c r="X202" s="271">
        <f>IFERROR(INDEX(Rainfall_Dry!$O$2:$O$217,MATCH(B202, Rainfall_Dry!$A$2:$A$217,0)),"")</f>
        <v>171.84818423999999</v>
      </c>
      <c r="Y202" s="260">
        <v>38.691629007962128</v>
      </c>
      <c r="Z202" s="260">
        <v>26.81299763288143</v>
      </c>
      <c r="AA202" s="260">
        <v>34.495373359156439</v>
      </c>
      <c r="AB202" s="261" t="s">
        <v>2675</v>
      </c>
      <c r="AC202" s="260">
        <v>2.5483587974371611</v>
      </c>
      <c r="AD202">
        <f>IF('WetLitterbags placem_collection'!AB203="","",'WetLitterbags placem_collection'!AB203)</f>
        <v>15.2</v>
      </c>
      <c r="AE202">
        <f>IF('WetLitterbags placem_collection'!Z203="","",'WetLitterbags placem_collection'!Z203)</f>
        <v>12.2</v>
      </c>
      <c r="AF202" s="24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71">
        <f>IFERROR(AVERAGE('Dry_Litterbag Placem_Collection'!N203,'Dry_Litterbag Placem_Collection'!Q203),"")</f>
        <v>29.15</v>
      </c>
      <c r="AJ202">
        <v>-2.4396949910000001</v>
      </c>
      <c r="AK202">
        <v>34.838574029999997</v>
      </c>
      <c r="AL202" s="270" t="str">
        <f>IF(ISNUMBER(SEARCH("C", 'Dry_Litterbag Placem_Collection'!S203)),"YES","NO")</f>
        <v>NO</v>
      </c>
      <c r="AM202" s="270" t="str">
        <f>IF(ISNUMBER(SEARCH("H", 'Dry_Litterbag Placem_Collection'!S203)),"YES","NO")</f>
        <v>YES</v>
      </c>
      <c r="AN202" s="270" t="str">
        <f>IF(ISNUMBER(SEARCH("R", 'Dry_Litterbag Placem_Collection'!S203)),"YES","NO")</f>
        <v>YES</v>
      </c>
    </row>
    <row r="203" spans="1:40" ht="15" customHeight="1">
      <c r="A203" s="262" t="s">
        <v>2659</v>
      </c>
      <c r="B203" s="263">
        <f>'Dry_Litterbag Placem_Collection'!A204</f>
        <v>202</v>
      </c>
      <c r="C203" s="263" t="str">
        <f>'Dry_Litterbag Placem_Collection'!B204</f>
        <v>Maswa</v>
      </c>
      <c r="D203" s="263" t="s">
        <v>2659</v>
      </c>
      <c r="E203" s="263" t="s">
        <v>2526</v>
      </c>
      <c r="F203" s="263">
        <v>1</v>
      </c>
      <c r="G203" s="264" t="str">
        <f>'Dry_Litterbag Placem_Collection'!C204</f>
        <v>Dry_W2_CG1</v>
      </c>
      <c r="H203" s="265" t="s">
        <v>2541</v>
      </c>
      <c r="I203" s="266" t="s">
        <v>1147</v>
      </c>
      <c r="J203" s="263" t="str">
        <f>IF(ISBLANK('Dry_Litterbag Placem_Collection'!J204),"","G"&amp;""&amp;'Dry_Litterbag Placem_Collection'!J204)</f>
        <v>G181</v>
      </c>
      <c r="K203" s="267">
        <f>IFERROR(INDEX('Green_rooibos initial weight'!$C$5:$C$1749,MATCH(J203, 'Green_rooibos initial weight'!$A$5:$A$1749,0)),"")</f>
        <v>1.7629999999999999</v>
      </c>
      <c r="L203" s="267">
        <f>IFERROR(K203-(TBIcalc!$Q$9+TBIcalc!$Q$10),"")</f>
        <v>1.5131999999999999</v>
      </c>
      <c r="M203" s="391">
        <f>AVERAGE(Ashed_controlls!$K$2:$K$11)</f>
        <v>5.5147656768714146</v>
      </c>
      <c r="N203" s="267">
        <f t="shared" si="16"/>
        <v>1.4297505657775815</v>
      </c>
      <c r="O203" s="267">
        <f>IF(IFERROR(INDEX('Both teabags AfterDry'!$D$3:$D$900,MATCH(J203,'Both teabags AfterDry'!$A$3:$A$900,0)),"")="","",(IFERROR(INDEX('Both teabags AfterDry'!$D$3:$D$900,MATCH(J203,'Both teabags AfterDry'!$A$3:$A$900,0)),"")))</f>
        <v>0.80740000000000001</v>
      </c>
      <c r="P203" s="267">
        <f>IFERROR(IF(O203&gt;0,O203-(TBIcalc!$Q$9),""),"")</f>
        <v>0.65680000000000005</v>
      </c>
      <c r="Q203" s="278">
        <f>IFERROR(INDEX('Ashed teabags dry'!$K$2:$K$825,MATCH(J203,'Ashed teabags dry'!$A$2:$A$825,0)),"")</f>
        <v>30.530575539568105</v>
      </c>
      <c r="R203" s="278">
        <f t="shared" si="17"/>
        <v>0.45627517985611671</v>
      </c>
      <c r="S203" s="268">
        <f>'Dry_Litterbag Placem_Collection'!E204</f>
        <v>42942</v>
      </c>
      <c r="T203" s="268">
        <f>IF('Dry_Litterbag Placem_Collection'!G204="","",'Dry_Litterbag Placem_Collection'!G204)</f>
        <v>43004</v>
      </c>
      <c r="U203" s="269">
        <f t="shared" si="15"/>
        <v>62</v>
      </c>
      <c r="V203" s="267">
        <f t="shared" si="18"/>
        <v>0.85639999999999983</v>
      </c>
      <c r="W203" s="267">
        <f t="shared" si="19"/>
        <v>0.97347538592146488</v>
      </c>
      <c r="X203" s="271">
        <f>IFERROR(INDEX(Rainfall_Dry!$O$2:$O$217,MATCH(B203, Rainfall_Dry!$A$2:$A$217,0)),"")</f>
        <v>171.84818423999999</v>
      </c>
      <c r="Y203" s="260">
        <v>45.272914521112256</v>
      </c>
      <c r="Z203" s="260">
        <v>23.604531410916575</v>
      </c>
      <c r="AA203" s="260">
        <v>31.122554067971166</v>
      </c>
      <c r="AB203" s="261" t="s">
        <v>2673</v>
      </c>
      <c r="AC203" s="260">
        <v>2.0547560374568752</v>
      </c>
      <c r="AD203">
        <f>IF('WetLitterbags placem_collection'!AB204="","",'WetLitterbags placem_collection'!AB204)</f>
        <v>13.8</v>
      </c>
      <c r="AE203">
        <f>IF('WetLitterbags placem_collection'!Z204="","",'WetLitterbags placem_collection'!Z204)</f>
        <v>17.399999999999999</v>
      </c>
      <c r="AF203" s="24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71">
        <f>IFERROR(AVERAGE('Dry_Litterbag Placem_Collection'!N204,'Dry_Litterbag Placem_Collection'!Q204),"")</f>
        <v>28.85</v>
      </c>
      <c r="AJ203">
        <v>-2.439403972</v>
      </c>
      <c r="AK203">
        <v>34.838404959999998</v>
      </c>
      <c r="AL203" s="270" t="str">
        <f>IF(ISNUMBER(SEARCH("C", 'Dry_Litterbag Placem_Collection'!S204)),"YES","NO")</f>
        <v>NO</v>
      </c>
      <c r="AM203" s="270" t="str">
        <f>IF(ISNUMBER(SEARCH("H", 'Dry_Litterbag Placem_Collection'!S204)),"YES","NO")</f>
        <v>NO</v>
      </c>
      <c r="AN203" s="270" t="str">
        <f>IF(ISNUMBER(SEARCH("R", 'Dry_Litterbag Placem_Collection'!S204)),"YES","NO")</f>
        <v>YES</v>
      </c>
    </row>
    <row r="204" spans="1:40" ht="15" customHeight="1">
      <c r="A204" s="262" t="s">
        <v>2659</v>
      </c>
      <c r="B204" s="263">
        <f>'Dry_Litterbag Placem_Collection'!A205</f>
        <v>203</v>
      </c>
      <c r="C204" s="263" t="str">
        <f>'Dry_Litterbag Placem_Collection'!B205</f>
        <v>Maswa</v>
      </c>
      <c r="D204" s="263" t="s">
        <v>2659</v>
      </c>
      <c r="E204" s="263" t="s">
        <v>2526</v>
      </c>
      <c r="F204" s="263">
        <v>2</v>
      </c>
      <c r="G204" s="264" t="str">
        <f>'Dry_Litterbag Placem_Collection'!C205</f>
        <v>Dry_W1_CG2</v>
      </c>
      <c r="H204" s="265" t="s">
        <v>2541</v>
      </c>
      <c r="I204" s="266" t="s">
        <v>1147</v>
      </c>
      <c r="J204" s="263" t="str">
        <f>IF(ISBLANK('Dry_Litterbag Placem_Collection'!J205),"","G"&amp;""&amp;'Dry_Litterbag Placem_Collection'!J205)</f>
        <v>G179</v>
      </c>
      <c r="K204" s="267">
        <f>IFERROR(INDEX('Green_rooibos initial weight'!$C$5:$C$1749,MATCH(J204, 'Green_rooibos initial weight'!$A$5:$A$1749,0)),"")</f>
        <v>1.9750000000000001</v>
      </c>
      <c r="L204" s="267">
        <f>IFERROR(K204-(TBIcalc!$Q$9+TBIcalc!$Q$10),"")</f>
        <v>1.7252000000000001</v>
      </c>
      <c r="M204" s="391">
        <f>AVERAGE(Ashed_controlls!$K$2:$K$11)</f>
        <v>5.5147656768714146</v>
      </c>
      <c r="N204" s="267">
        <f t="shared" si="16"/>
        <v>1.6300592625426145</v>
      </c>
      <c r="O204" s="267">
        <f>IF(IFERROR(INDEX('Both teabags AfterDry'!$D$3:$D$900,MATCH(J204,'Both teabags AfterDry'!$A$3:$A$900,0)),"")="","",(IFERROR(INDEX('Both teabags AfterDry'!$D$3:$D$900,MATCH(J204,'Both teabags AfterDry'!$A$3:$A$900,0)),"")))</f>
        <v>0.59770000000000001</v>
      </c>
      <c r="P204" s="267">
        <f>IFERROR(IF(O204&gt;0,O204-(TBIcalc!$Q$9),""),"")</f>
        <v>0.4471</v>
      </c>
      <c r="Q204" s="278">
        <f>IFERROR(INDEX('Ashed teabags dry'!$K$2:$K$825,MATCH(J204,'Ashed teabags dry'!$A$2:$A$825,0)),"")</f>
        <v>24.558823529410816</v>
      </c>
      <c r="R204" s="278">
        <f t="shared" si="17"/>
        <v>0.33729750000000425</v>
      </c>
      <c r="S204" s="268">
        <f>'Dry_Litterbag Placem_Collection'!E205</f>
        <v>42942</v>
      </c>
      <c r="T204" s="268">
        <f>IF('Dry_Litterbag Placem_Collection'!G205="","",'Dry_Litterbag Placem_Collection'!G205)</f>
        <v>43004</v>
      </c>
      <c r="U204" s="269">
        <f t="shared" si="15"/>
        <v>62</v>
      </c>
      <c r="V204" s="267">
        <f t="shared" si="18"/>
        <v>1.2781</v>
      </c>
      <c r="W204" s="267">
        <f t="shared" si="19"/>
        <v>1.2927617625426102</v>
      </c>
      <c r="X204" s="271">
        <f>IFERROR(INDEX(Rainfall_Dry!$O$2:$O$217,MATCH(B204, Rainfall_Dry!$A$2:$A$217,0)),"")</f>
        <v>171.84818423999999</v>
      </c>
      <c r="Y204" s="260">
        <v>47.96</v>
      </c>
      <c r="Z204" s="260">
        <v>22.919999999999995</v>
      </c>
      <c r="AA204" s="260">
        <v>29.120000000000012</v>
      </c>
      <c r="AB204" s="261" t="s">
        <v>2673</v>
      </c>
      <c r="AC204" s="260">
        <v>2.8831936914736325</v>
      </c>
      <c r="AD204">
        <f>IF('WetLitterbags placem_collection'!AB205="","",'WetLitterbags placem_collection'!AB205)</f>
        <v>5.13</v>
      </c>
      <c r="AE204">
        <f>IF('WetLitterbags placem_collection'!Z205="","",'WetLitterbags placem_collection'!Z205)</f>
        <v>5.13</v>
      </c>
      <c r="AF204" s="24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71">
        <f>IFERROR(AVERAGE('Dry_Litterbag Placem_Collection'!N205,'Dry_Litterbag Placem_Collection'!Q205),"")</f>
        <v>28.299999999999997</v>
      </c>
      <c r="AJ204">
        <v>-2.4396450349999999</v>
      </c>
      <c r="AK204">
        <v>34.83836599</v>
      </c>
      <c r="AL204" s="270" t="str">
        <f>IF(ISNUMBER(SEARCH("C", 'Dry_Litterbag Placem_Collection'!S205)),"YES","NO")</f>
        <v>NO</v>
      </c>
      <c r="AM204" s="270" t="str">
        <f>IF(ISNUMBER(SEARCH("H", 'Dry_Litterbag Placem_Collection'!S205)),"YES","NO")</f>
        <v>YES</v>
      </c>
      <c r="AN204" s="270" t="str">
        <f>IF(ISNUMBER(SEARCH("R", 'Dry_Litterbag Placem_Collection'!S205)),"YES","NO")</f>
        <v>YES</v>
      </c>
    </row>
    <row r="205" spans="1:40" ht="15" customHeight="1">
      <c r="A205" s="262" t="s">
        <v>2659</v>
      </c>
      <c r="B205" s="263">
        <f>'Dry_Litterbag Placem_Collection'!A206</f>
        <v>204</v>
      </c>
      <c r="C205" s="263" t="str">
        <f>'Dry_Litterbag Placem_Collection'!B206</f>
        <v>Maswa</v>
      </c>
      <c r="D205" s="263" t="s">
        <v>2659</v>
      </c>
      <c r="E205" s="263" t="s">
        <v>2526</v>
      </c>
      <c r="F205" s="263">
        <v>3</v>
      </c>
      <c r="G205" s="264" t="str">
        <f>'Dry_Litterbag Placem_Collection'!C206</f>
        <v>Dry_W4_CG3</v>
      </c>
      <c r="H205" s="265" t="s">
        <v>2541</v>
      </c>
      <c r="I205" s="266" t="s">
        <v>1147</v>
      </c>
      <c r="J205" s="263" t="str">
        <f>IF(ISBLANK('Dry_Litterbag Placem_Collection'!J206),"","G"&amp;""&amp;'Dry_Litterbag Placem_Collection'!J206)</f>
        <v>G248</v>
      </c>
      <c r="K205" s="267">
        <f>IFERROR(INDEX('Green_rooibos initial weight'!$C$5:$C$1749,MATCH(J205, 'Green_rooibos initial weight'!$A$5:$A$1749,0)),"")</f>
        <v>1.9950000000000001</v>
      </c>
      <c r="L205" s="267">
        <f>IFERROR(K205-(TBIcalc!$Q$9+TBIcalc!$Q$10),"")</f>
        <v>1.7452000000000001</v>
      </c>
      <c r="M205" s="391">
        <f>AVERAGE(Ashed_controlls!$K$2:$K$11)</f>
        <v>5.5147656768714146</v>
      </c>
      <c r="N205" s="267">
        <f t="shared" si="16"/>
        <v>1.6489563094072401</v>
      </c>
      <c r="O205" s="267">
        <f>IF(IFERROR(INDEX('Both teabags AfterDry'!$D$3:$D$900,MATCH(J205,'Both teabags AfterDry'!$A$3:$A$900,0)),"")="","",(IFERROR(INDEX('Both teabags AfterDry'!$D$3:$D$900,MATCH(J205,'Both teabags AfterDry'!$A$3:$A$900,0)),"")))</f>
        <v>1.7124999999999999</v>
      </c>
      <c r="P205" s="267">
        <f>IFERROR(IF(O205&gt;0,O205-(TBIcalc!$Q$9),""),"")</f>
        <v>1.5618999999999998</v>
      </c>
      <c r="Q205" s="278">
        <f>IFERROR(INDEX('Ashed teabags dry'!$K$2:$K$825,MATCH(J205,'Ashed teabags dry'!$A$2:$A$825,0)),"")</f>
        <v>13.375486381322672</v>
      </c>
      <c r="R205" s="278">
        <f t="shared" si="17"/>
        <v>1.352988278210121</v>
      </c>
      <c r="S205" s="268">
        <f>'Dry_Litterbag Placem_Collection'!E206</f>
        <v>42942</v>
      </c>
      <c r="T205" s="268">
        <f>IF('Dry_Litterbag Placem_Collection'!G206="","",'Dry_Litterbag Placem_Collection'!G206)</f>
        <v>43004</v>
      </c>
      <c r="U205" s="269">
        <f t="shared" si="15"/>
        <v>62</v>
      </c>
      <c r="V205" s="267">
        <f t="shared" si="18"/>
        <v>0.18330000000000024</v>
      </c>
      <c r="W205" s="267">
        <f t="shared" si="19"/>
        <v>0.29596803119711912</v>
      </c>
      <c r="X205" s="271">
        <f>IFERROR(INDEX(Rainfall_Dry!$O$2:$O$217,MATCH(B205, Rainfall_Dry!$A$2:$A$217,0)),"")</f>
        <v>171.84818423999999</v>
      </c>
      <c r="Y205" s="260">
        <v>28.145762029394</v>
      </c>
      <c r="Z205" s="260">
        <v>25.085564727199518</v>
      </c>
      <c r="AA205" s="260">
        <v>46.768673243406489</v>
      </c>
      <c r="AB205" s="261" t="s">
        <v>2670</v>
      </c>
      <c r="AC205" s="260">
        <v>2.1716214884179394</v>
      </c>
      <c r="AD205">
        <f>IF('WetLitterbags placem_collection'!AB206="","",'WetLitterbags placem_collection'!AB206)</f>
        <v>7.9</v>
      </c>
      <c r="AE205">
        <f>IF('WetLitterbags placem_collection'!Z206="","",'WetLitterbags placem_collection'!Z206)</f>
        <v>7.9</v>
      </c>
      <c r="AF205" s="24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71">
        <f>IFERROR(AVERAGE('Dry_Litterbag Placem_Collection'!N206,'Dry_Litterbag Placem_Collection'!Q206),"")</f>
        <v>27.299999999999997</v>
      </c>
      <c r="AJ205">
        <v>-2.4395990190000001</v>
      </c>
      <c r="AK205">
        <v>34.838418959999998</v>
      </c>
      <c r="AL205" s="270" t="str">
        <f>IF(ISNUMBER(SEARCH("C", 'Dry_Litterbag Placem_Collection'!S206)),"YES","NO")</f>
        <v>NO</v>
      </c>
      <c r="AM205" s="270" t="str">
        <f>IF(ISNUMBER(SEARCH("H", 'Dry_Litterbag Placem_Collection'!S206)),"YES","NO")</f>
        <v>YES</v>
      </c>
      <c r="AN205" s="270" t="str">
        <f>IF(ISNUMBER(SEARCH("R", 'Dry_Litterbag Placem_Collection'!S206)),"YES","NO")</f>
        <v>YES</v>
      </c>
    </row>
    <row r="206" spans="1:40" ht="15" customHeight="1">
      <c r="A206" s="262" t="s">
        <v>2659</v>
      </c>
      <c r="B206" s="263">
        <f>'Dry_Litterbag Placem_Collection'!A207</f>
        <v>205</v>
      </c>
      <c r="C206" s="263" t="str">
        <f>'Dry_Litterbag Placem_Collection'!B207</f>
        <v xml:space="preserve">Mwantimba
</v>
      </c>
      <c r="D206" s="263" t="s">
        <v>2460</v>
      </c>
      <c r="E206" s="263" t="s">
        <v>2526</v>
      </c>
      <c r="F206" s="263">
        <v>2</v>
      </c>
      <c r="G206" s="264" t="str">
        <f>'Dry_Litterbag Placem_Collection'!C207</f>
        <v>Wet_Ag1_CG2</v>
      </c>
      <c r="H206" s="265" t="s">
        <v>2541</v>
      </c>
      <c r="I206" s="266" t="s">
        <v>1147</v>
      </c>
      <c r="J206" s="263" t="str">
        <f>IF(ISBLANK('Dry_Litterbag Placem_Collection'!J207),"","G"&amp;""&amp;'Dry_Litterbag Placem_Collection'!J207)</f>
        <v>G55</v>
      </c>
      <c r="K206" s="267">
        <f>IFERROR(INDEX('Green_rooibos initial weight'!$C$5:$C$1749,MATCH(J206, 'Green_rooibos initial weight'!$A$5:$A$1749,0)),"")</f>
        <v>2.024</v>
      </c>
      <c r="L206" s="267">
        <f>IFERROR(K206-(TBIcalc!$Q$9+TBIcalc!$Q$10),"")</f>
        <v>1.7742</v>
      </c>
      <c r="M206" s="391">
        <f>AVERAGE(Ashed_controlls!$K$2:$K$11)</f>
        <v>5.5147656768714146</v>
      </c>
      <c r="N206" s="267">
        <f t="shared" si="16"/>
        <v>1.6763570273609474</v>
      </c>
      <c r="O206" s="267">
        <f>IF(IFERROR(INDEX('Both teabags AfterDry'!$D$3:$D$900,MATCH(J206,'Both teabags AfterDry'!$A$3:$A$900,0)),"")="","",(IFERROR(INDEX('Both teabags AfterDry'!$D$3:$D$900,MATCH(J206,'Both teabags AfterDry'!$A$3:$A$900,0)),"")))</f>
        <v>0.86550000000000005</v>
      </c>
      <c r="P206" s="267">
        <f>IFERROR(IF(O206&gt;0,O206-(TBIcalc!$Q$9),""),"")</f>
        <v>0.71490000000000009</v>
      </c>
      <c r="Q206" s="278">
        <f>IFERROR(INDEX('Ashed teabags dry'!$K$2:$K$825,MATCH(J206,'Ashed teabags dry'!$A$2:$A$825,0)),"")</f>
        <v>19.260700389104883</v>
      </c>
      <c r="R206" s="278">
        <f t="shared" si="17"/>
        <v>0.57720525291828928</v>
      </c>
      <c r="S206" s="268">
        <f>'Dry_Litterbag Placem_Collection'!E207</f>
        <v>42942</v>
      </c>
      <c r="T206" s="268">
        <f>IF('Dry_Litterbag Placem_Collection'!G207="","",'Dry_Litterbag Placem_Collection'!G207)</f>
        <v>43004</v>
      </c>
      <c r="U206" s="269">
        <f t="shared" si="15"/>
        <v>62</v>
      </c>
      <c r="V206" s="267">
        <f t="shared" si="18"/>
        <v>1.0592999999999999</v>
      </c>
      <c r="W206" s="267">
        <f t="shared" si="19"/>
        <v>1.099151774442658</v>
      </c>
      <c r="X206" s="271">
        <f>IFERROR(INDEX(Rainfall_Dry!$O$2:$O$217,MATCH(B206, Rainfall_Dry!$A$2:$A$217,0)),"")</f>
        <v>171.84818423999999</v>
      </c>
      <c r="Y206" s="260">
        <v>45.96</v>
      </c>
      <c r="Z206" s="260">
        <v>14.920000000000003</v>
      </c>
      <c r="AA206" s="260">
        <v>39.119999999999997</v>
      </c>
      <c r="AB206" s="261" t="s">
        <v>2673</v>
      </c>
      <c r="AC206" s="260">
        <v>2.0374568753080333</v>
      </c>
      <c r="AD206">
        <f>IF('WetLitterbags placem_collection'!AB207="","",'WetLitterbags placem_collection'!AB207)</f>
        <v>5.13</v>
      </c>
      <c r="AE206">
        <f>IF('WetLitterbags placem_collection'!Z207="","",'WetLitterbags placem_collection'!Z207)</f>
        <v>5.13</v>
      </c>
      <c r="AF206" s="24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71">
        <f>IFERROR(AVERAGE('Dry_Litterbag Placem_Collection'!N207,'Dry_Litterbag Placem_Collection'!Q207),"")</f>
        <v>29.05</v>
      </c>
      <c r="AJ206">
        <v>-2.4396450349999999</v>
      </c>
      <c r="AK206">
        <v>34.83836599</v>
      </c>
      <c r="AL206" s="270" t="str">
        <f>IF(ISNUMBER(SEARCH("C", 'Dry_Litterbag Placem_Collection'!S207)),"YES","NO")</f>
        <v>NO</v>
      </c>
      <c r="AM206" s="270" t="str">
        <f>IF(ISNUMBER(SEARCH("H", 'Dry_Litterbag Placem_Collection'!S207)),"YES","NO")</f>
        <v>YES</v>
      </c>
      <c r="AN206" s="270" t="str">
        <f>IF(ISNUMBER(SEARCH("R", 'Dry_Litterbag Placem_Collection'!S207)),"YES","NO")</f>
        <v>YES</v>
      </c>
    </row>
    <row r="207" spans="1:40" ht="15" customHeight="1">
      <c r="A207" s="262" t="s">
        <v>2659</v>
      </c>
      <c r="B207" s="263">
        <f>'Dry_Litterbag Placem_Collection'!A208</f>
        <v>206</v>
      </c>
      <c r="C207" s="263" t="str">
        <f>'Dry_Litterbag Placem_Collection'!B208</f>
        <v xml:space="preserve">Mwantimba
</v>
      </c>
      <c r="D207" s="263" t="s">
        <v>2460</v>
      </c>
      <c r="E207" s="263" t="s">
        <v>2526</v>
      </c>
      <c r="F207" s="263">
        <v>1</v>
      </c>
      <c r="G207" s="264" t="str">
        <f>'Dry_Litterbag Placem_Collection'!C208</f>
        <v>Wet_Ag2_CG1</v>
      </c>
      <c r="H207" s="265" t="s">
        <v>2541</v>
      </c>
      <c r="I207" s="266" t="s">
        <v>1147</v>
      </c>
      <c r="J207" s="263" t="str">
        <f>IF(ISBLANK('Dry_Litterbag Placem_Collection'!J208),"","G"&amp;""&amp;'Dry_Litterbag Placem_Collection'!J208)</f>
        <v>G124</v>
      </c>
      <c r="K207" s="267">
        <f>IFERROR(INDEX('Green_rooibos initial weight'!$C$5:$C$1749,MATCH(J207, 'Green_rooibos initial weight'!$A$5:$A$1749,0)),"")</f>
        <v>1.9390000000000001</v>
      </c>
      <c r="L207" s="267">
        <f>IFERROR(K207-(TBIcalc!$Q$9+TBIcalc!$Q$10),"")</f>
        <v>1.6892</v>
      </c>
      <c r="M207" s="391">
        <f>AVERAGE(Ashed_controlls!$K$2:$K$11)</f>
        <v>5.5147656768714146</v>
      </c>
      <c r="N207" s="267">
        <f t="shared" si="16"/>
        <v>1.5960445781862882</v>
      </c>
      <c r="O207" s="267">
        <f>IF(IFERROR(INDEX('Both teabags AfterDry'!$D$3:$D$900,MATCH(J207,'Both teabags AfterDry'!$A$3:$A$900,0)),"")="","",(IFERROR(INDEX('Both teabags AfterDry'!$D$3:$D$900,MATCH(J207,'Both teabags AfterDry'!$A$3:$A$900,0)),"")))</f>
        <v>0.66969999999999996</v>
      </c>
      <c r="P207" s="267">
        <f>IFERROR(IF(O207&gt;0,O207-(TBIcalc!$Q$9),""),"")</f>
        <v>0.51909999999999989</v>
      </c>
      <c r="Q207" s="278">
        <f>IFERROR(INDEX('Ashed teabags dry'!$K$2:$K$825,MATCH(J207,'Ashed teabags dry'!$A$2:$A$825,0)),"")</f>
        <v>14.333976833976731</v>
      </c>
      <c r="R207" s="278">
        <f t="shared" si="17"/>
        <v>0.44469232625482669</v>
      </c>
      <c r="S207" s="268">
        <f>'Dry_Litterbag Placem_Collection'!E208</f>
        <v>42942</v>
      </c>
      <c r="T207" s="268">
        <f>IF('Dry_Litterbag Placem_Collection'!G208="","",'Dry_Litterbag Placem_Collection'!G208)</f>
        <v>43004</v>
      </c>
      <c r="U207" s="269">
        <f t="shared" si="15"/>
        <v>62</v>
      </c>
      <c r="V207" s="267">
        <f t="shared" si="18"/>
        <v>1.1701000000000001</v>
      </c>
      <c r="W207" s="267">
        <f t="shared" si="19"/>
        <v>1.1513522519314616</v>
      </c>
      <c r="X207" s="271">
        <f>IFERROR(INDEX(Rainfall_Dry!$O$2:$O$217,MATCH(B207, Rainfall_Dry!$A$2:$A$217,0)),"")</f>
        <v>171.84818423999999</v>
      </c>
      <c r="Y207" s="260">
        <v>34.344660194174757</v>
      </c>
      <c r="Z207" s="260">
        <v>19.22727272727273</v>
      </c>
      <c r="AA207" s="260">
        <v>46.428067078552509</v>
      </c>
      <c r="AB207" s="261" t="s">
        <v>2670</v>
      </c>
      <c r="AC207" s="260">
        <v>1.7452932479053718</v>
      </c>
      <c r="AD207">
        <f>IF('WetLitterbags placem_collection'!AB208="","",'WetLitterbags placem_collection'!AB208)</f>
        <v>13.8</v>
      </c>
      <c r="AE207">
        <f>IF('WetLitterbags placem_collection'!Z208="","",'WetLitterbags placem_collection'!Z208)</f>
        <v>17.399999999999999</v>
      </c>
      <c r="AF207" s="24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71">
        <f>IFERROR(AVERAGE('Dry_Litterbag Placem_Collection'!N208,'Dry_Litterbag Placem_Collection'!Q208),"")</f>
        <v>27.799999999999997</v>
      </c>
      <c r="AJ207">
        <v>-2.439403972</v>
      </c>
      <c r="AK207">
        <v>34.838404959999998</v>
      </c>
      <c r="AL207" s="270" t="str">
        <f>IF(ISNUMBER(SEARCH("C", 'Dry_Litterbag Placem_Collection'!S208)),"YES","NO")</f>
        <v>NO</v>
      </c>
      <c r="AM207" s="270" t="str">
        <f>IF(ISNUMBER(SEARCH("H", 'Dry_Litterbag Placem_Collection'!S208)),"YES","NO")</f>
        <v>NO</v>
      </c>
      <c r="AN207" s="270" t="str">
        <f>IF(ISNUMBER(SEARCH("R", 'Dry_Litterbag Placem_Collection'!S208)),"YES","NO")</f>
        <v>YES</v>
      </c>
    </row>
    <row r="208" spans="1:40" ht="15" customHeight="1">
      <c r="A208" s="262" t="s">
        <v>2659</v>
      </c>
      <c r="B208" s="263">
        <f>'Dry_Litterbag Placem_Collection'!A209</f>
        <v>207</v>
      </c>
      <c r="C208" s="263" t="str">
        <f>'Dry_Litterbag Placem_Collection'!B209</f>
        <v xml:space="preserve">Mwantimba
</v>
      </c>
      <c r="D208" s="263" t="s">
        <v>2460</v>
      </c>
      <c r="E208" s="263" t="s">
        <v>2526</v>
      </c>
      <c r="F208" s="263">
        <v>4</v>
      </c>
      <c r="G208" s="264" t="str">
        <f>'Dry_Litterbag Placem_Collection'!C209</f>
        <v>Wet_Ag3_CG4</v>
      </c>
      <c r="H208" s="265" t="s">
        <v>2541</v>
      </c>
      <c r="I208" s="266" t="s">
        <v>1147</v>
      </c>
      <c r="J208" s="263" t="str">
        <f>IF(ISBLANK('Dry_Litterbag Placem_Collection'!J209),"","G"&amp;""&amp;'Dry_Litterbag Placem_Collection'!J209)</f>
        <v>G234</v>
      </c>
      <c r="K208" s="267">
        <f>IFERROR(INDEX('Green_rooibos initial weight'!$C$5:$C$1749,MATCH(J208, 'Green_rooibos initial weight'!$A$5:$A$1749,0)),"")</f>
        <v>2.13</v>
      </c>
      <c r="L208" s="267">
        <f>IFERROR(K208-(TBIcalc!$Q$9+TBIcalc!$Q$10),"")</f>
        <v>1.8801999999999999</v>
      </c>
      <c r="M208" s="391">
        <f>AVERAGE(Ashed_controlls!$K$2:$K$11)</f>
        <v>5.5147656768714146</v>
      </c>
      <c r="N208" s="267">
        <f t="shared" si="16"/>
        <v>1.7765113757434636</v>
      </c>
      <c r="O208" s="267">
        <f>IF(IFERROR(INDEX('Both teabags AfterDry'!$D$3:$D$900,MATCH(J208,'Both teabags AfterDry'!$A$3:$A$900,0)),"")="","",(IFERROR(INDEX('Both teabags AfterDry'!$D$3:$D$900,MATCH(J208,'Both teabags AfterDry'!$A$3:$A$900,0)),"")))</f>
        <v>0.745</v>
      </c>
      <c r="P208" s="267">
        <f>IFERROR(IF(O208&gt;0,O208-(TBIcalc!$Q$9),""),"")</f>
        <v>0.59440000000000004</v>
      </c>
      <c r="Q208" s="278">
        <f>IFERROR(INDEX('Ashed teabags dry'!$K$2:$K$825,MATCH(J208,'Ashed teabags dry'!$A$2:$A$825,0)),"")</f>
        <v>21.467639015496861</v>
      </c>
      <c r="R208" s="278">
        <f t="shared" si="17"/>
        <v>0.46679635369188666</v>
      </c>
      <c r="S208" s="268">
        <f>'Dry_Litterbag Placem_Collection'!E209</f>
        <v>42942</v>
      </c>
      <c r="T208" s="268">
        <f>IF('Dry_Litterbag Placem_Collection'!G209="","",'Dry_Litterbag Placem_Collection'!G209)</f>
        <v>43004</v>
      </c>
      <c r="U208" s="269">
        <f t="shared" si="15"/>
        <v>62</v>
      </c>
      <c r="V208" s="267">
        <f t="shared" si="18"/>
        <v>1.2857999999999998</v>
      </c>
      <c r="W208" s="267">
        <f t="shared" si="19"/>
        <v>1.309715022051577</v>
      </c>
      <c r="X208" s="271">
        <f>IFERROR(INDEX(Rainfall_Dry!$O$2:$O$217,MATCH(B208, Rainfall_Dry!$A$2:$A$217,0)),"")</f>
        <v>171.84818423999999</v>
      </c>
      <c r="Y208" s="260">
        <v>27.96</v>
      </c>
      <c r="Z208" s="260">
        <v>4.9200000000000017</v>
      </c>
      <c r="AA208" s="260">
        <v>67.12</v>
      </c>
      <c r="AB208" s="261" t="s">
        <v>2670</v>
      </c>
      <c r="AC208" s="260">
        <v>0.88610152784622953</v>
      </c>
      <c r="AD208">
        <f>IF('WetLitterbags placem_collection'!AB209="","",'WetLitterbags placem_collection'!AB209)</f>
        <v>15.2</v>
      </c>
      <c r="AE208">
        <f>IF('WetLitterbags placem_collection'!Z209="","",'WetLitterbags placem_collection'!Z209)</f>
        <v>12.2</v>
      </c>
      <c r="AF208" s="24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71">
        <f>IFERROR(AVERAGE('Dry_Litterbag Placem_Collection'!N209,'Dry_Litterbag Placem_Collection'!Q209),"")</f>
        <v>29.6</v>
      </c>
      <c r="AJ208">
        <v>-2.4396949910000001</v>
      </c>
      <c r="AK208">
        <v>34.838574029999997</v>
      </c>
      <c r="AL208" s="270" t="str">
        <f>IF(ISNUMBER(SEARCH("C", 'Dry_Litterbag Placem_Collection'!S209)),"YES","NO")</f>
        <v>NO</v>
      </c>
      <c r="AM208" s="270" t="str">
        <f>IF(ISNUMBER(SEARCH("H", 'Dry_Litterbag Placem_Collection'!S209)),"YES","NO")</f>
        <v>NO</v>
      </c>
      <c r="AN208" s="270" t="str">
        <f>IF(ISNUMBER(SEARCH("R", 'Dry_Litterbag Placem_Collection'!S209)),"YES","NO")</f>
        <v>YES</v>
      </c>
    </row>
    <row r="209" spans="1:40" ht="15" customHeight="1">
      <c r="A209" s="262" t="s">
        <v>2659</v>
      </c>
      <c r="B209" s="263">
        <f>'Dry_Litterbag Placem_Collection'!A210</f>
        <v>208</v>
      </c>
      <c r="C209" s="263" t="str">
        <f>'Dry_Litterbag Placem_Collection'!B210</f>
        <v xml:space="preserve">Mwantimba
</v>
      </c>
      <c r="D209" s="263" t="s">
        <v>2460</v>
      </c>
      <c r="E209" s="263" t="s">
        <v>2526</v>
      </c>
      <c r="F209" s="263">
        <v>3</v>
      </c>
      <c r="G209" s="264" t="str">
        <f>'Dry_Litterbag Placem_Collection'!C210</f>
        <v>Wet_Ag4_CG3</v>
      </c>
      <c r="H209" s="265" t="s">
        <v>2541</v>
      </c>
      <c r="I209" s="266" t="s">
        <v>1147</v>
      </c>
      <c r="J209" s="263" t="str">
        <f>IF(ISBLANK('Dry_Litterbag Placem_Collection'!J210),"","G"&amp;""&amp;'Dry_Litterbag Placem_Collection'!J210)</f>
        <v>G412</v>
      </c>
      <c r="K209" s="267">
        <f>IFERROR(INDEX('Green_rooibos initial weight'!$C$5:$C$1749,MATCH(J209, 'Green_rooibos initial weight'!$A$5:$A$1749,0)),"")</f>
        <v>2.0049999999999999</v>
      </c>
      <c r="L209" s="267">
        <f>IFERROR(K209-(TBIcalc!$Q$9+TBIcalc!$Q$10),"")</f>
        <v>1.7551999999999999</v>
      </c>
      <c r="M209" s="391">
        <f>AVERAGE(Ashed_controlls!$K$2:$K$11)</f>
        <v>5.5147656768714146</v>
      </c>
      <c r="N209" s="267">
        <f t="shared" si="16"/>
        <v>1.6584048328395529</v>
      </c>
      <c r="O209" s="267">
        <f>IF(IFERROR(INDEX('Both teabags AfterDry'!$D$3:$D$900,MATCH(J209,'Both teabags AfterDry'!$A$3:$A$900,0)),"")="","",(IFERROR(INDEX('Both teabags AfterDry'!$D$3:$D$900,MATCH(J209,'Both teabags AfterDry'!$A$3:$A$900,0)),"")))</f>
        <v>0.72499999999999998</v>
      </c>
      <c r="P209" s="267">
        <f>IFERROR(IF(O209&gt;0,O209-(TBIcalc!$Q$9),""),"")</f>
        <v>0.57440000000000002</v>
      </c>
      <c r="Q209" s="278">
        <f>IFERROR(INDEX('Ashed teabags dry'!$K$2:$K$825,MATCH(J209,'Ashed teabags dry'!$A$2:$A$825,0)),"")</f>
        <v>27.644710578842087</v>
      </c>
      <c r="R209" s="278">
        <f t="shared" si="17"/>
        <v>0.41560878243513111</v>
      </c>
      <c r="S209" s="268">
        <f>'Dry_Litterbag Placem_Collection'!E210</f>
        <v>42942</v>
      </c>
      <c r="T209" s="268">
        <f>IF('Dry_Litterbag Placem_Collection'!G210="","",'Dry_Litterbag Placem_Collection'!G210)</f>
        <v>43004</v>
      </c>
      <c r="U209" s="269">
        <f t="shared" si="15"/>
        <v>62</v>
      </c>
      <c r="V209" s="267">
        <f t="shared" si="18"/>
        <v>1.1807999999999998</v>
      </c>
      <c r="W209" s="267">
        <f t="shared" si="19"/>
        <v>1.2427960504044218</v>
      </c>
      <c r="X209" s="271">
        <f>IFERROR(INDEX(Rainfall_Dry!$O$2:$O$217,MATCH(B209, Rainfall_Dry!$A$2:$A$217,0)),"")</f>
        <v>171.84818423999999</v>
      </c>
      <c r="Y209" s="260">
        <v>17.96</v>
      </c>
      <c r="Z209" s="260">
        <v>4.9199999999999982</v>
      </c>
      <c r="AA209" s="260">
        <v>77.12</v>
      </c>
      <c r="AB209" s="261" t="s">
        <v>2671</v>
      </c>
      <c r="AC209" s="260">
        <v>2.0220798422868409</v>
      </c>
      <c r="AD209">
        <f>IF('WetLitterbags placem_collection'!AB210="","",'WetLitterbags placem_collection'!AB210)</f>
        <v>7.9</v>
      </c>
      <c r="AE209">
        <f>IF('WetLitterbags placem_collection'!Z210="","",'WetLitterbags placem_collection'!Z210)</f>
        <v>7.9</v>
      </c>
      <c r="AF209" s="24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71">
        <f>IFERROR(AVERAGE('Dry_Litterbag Placem_Collection'!N210,'Dry_Litterbag Placem_Collection'!Q210),"")</f>
        <v>29.1</v>
      </c>
      <c r="AJ209">
        <v>-2.4395990190000001</v>
      </c>
      <c r="AK209">
        <v>34.838418959999998</v>
      </c>
      <c r="AL209" s="270" t="str">
        <f>IF(ISNUMBER(SEARCH("C", 'Dry_Litterbag Placem_Collection'!S210)),"YES","NO")</f>
        <v>NO</v>
      </c>
      <c r="AM209" s="270" t="str">
        <f>IF(ISNUMBER(SEARCH("H", 'Dry_Litterbag Placem_Collection'!S210)),"YES","NO")</f>
        <v>YES</v>
      </c>
      <c r="AN209" s="270" t="str">
        <f>IF(ISNUMBER(SEARCH("R", 'Dry_Litterbag Placem_Collection'!S210)),"YES","NO")</f>
        <v>YES</v>
      </c>
    </row>
    <row r="210" spans="1:40" ht="15" customHeight="1">
      <c r="A210" s="262" t="s">
        <v>2659</v>
      </c>
      <c r="B210" s="263">
        <f>'Dry_Litterbag Placem_Collection'!A211</f>
        <v>209</v>
      </c>
      <c r="C210" s="263" t="str">
        <f>'Dry_Litterbag Placem_Collection'!B211</f>
        <v xml:space="preserve">Mwantimba
</v>
      </c>
      <c r="D210" s="263" t="s">
        <v>2460</v>
      </c>
      <c r="E210" s="263" t="s">
        <v>2526</v>
      </c>
      <c r="F210" s="263">
        <v>2</v>
      </c>
      <c r="G210" s="264" t="str">
        <f>'Dry_Litterbag Placem_Collection'!C211</f>
        <v>Wet_P1_CG2</v>
      </c>
      <c r="H210" s="265" t="s">
        <v>2541</v>
      </c>
      <c r="I210" s="266" t="s">
        <v>1147</v>
      </c>
      <c r="J210" s="263" t="str">
        <f>IF(ISBLANK('Dry_Litterbag Placem_Collection'!J211),"","G"&amp;""&amp;'Dry_Litterbag Placem_Collection'!J211)</f>
        <v>G94</v>
      </c>
      <c r="K210" s="267">
        <f>IFERROR(INDEX('Green_rooibos initial weight'!$C$5:$C$1749,MATCH(J210, 'Green_rooibos initial weight'!$A$5:$A$1749,0)),"")</f>
        <v>2.0630000000000002</v>
      </c>
      <c r="L210" s="267">
        <f>IFERROR(K210-(TBIcalc!$Q$9+TBIcalc!$Q$10),"")</f>
        <v>1.8132000000000001</v>
      </c>
      <c r="M210" s="391">
        <f>AVERAGE(Ashed_controlls!$K$2:$K$11)</f>
        <v>5.5147656768714146</v>
      </c>
      <c r="N210" s="267">
        <f t="shared" si="16"/>
        <v>1.7132062687469676</v>
      </c>
      <c r="O210" s="267" t="str">
        <f>IF(IFERROR(INDEX('Both teabags AfterDry'!$D$3:$D$900,MATCH(J210,'Both teabags AfterDry'!$A$3:$A$900,0)),"")="","",(IFERROR(INDEX('Both teabags AfterDry'!$D$3:$D$900,MATCH(J210,'Both teabags AfterDry'!$A$3:$A$900,0)),"")))</f>
        <v/>
      </c>
      <c r="P210" s="267" t="str">
        <f>IFERROR(IF(O210&gt;0,O210-(TBIcalc!$Q$9),""),"")</f>
        <v/>
      </c>
      <c r="Q210" s="278">
        <f>IFERROR(INDEX('Ashed teabags dry'!$K$2:$K$825,MATCH(J210,'Ashed teabags dry'!$A$2:$A$825,0)),"")</f>
        <v>19.445818901534416</v>
      </c>
      <c r="R210" s="278" t="str">
        <f t="shared" si="17"/>
        <v/>
      </c>
      <c r="S210" s="268">
        <f>'Dry_Litterbag Placem_Collection'!E211</f>
        <v>42942</v>
      </c>
      <c r="T210" s="268">
        <f>IF('Dry_Litterbag Placem_Collection'!G211="","",'Dry_Litterbag Placem_Collection'!G211)</f>
        <v>43004</v>
      </c>
      <c r="U210" s="269">
        <f t="shared" si="15"/>
        <v>62</v>
      </c>
      <c r="V210" s="267" t="str">
        <f t="shared" si="18"/>
        <v/>
      </c>
      <c r="W210" s="267" t="str">
        <f t="shared" si="19"/>
        <v/>
      </c>
      <c r="X210" s="271">
        <f>IFERROR(INDEX(Rainfall_Dry!$O$2:$O$217,MATCH(B210, Rainfall_Dry!$A$2:$A$217,0)),"")</f>
        <v>171.84818423999999</v>
      </c>
      <c r="Y210" s="260">
        <v>31.214836424255054</v>
      </c>
      <c r="Z210" s="260">
        <v>11.377370285476141</v>
      </c>
      <c r="AA210" s="260">
        <v>57.407793290268799</v>
      </c>
      <c r="AB210" s="261" t="s">
        <v>2670</v>
      </c>
      <c r="AC210" s="260">
        <v>1.7337604731394776</v>
      </c>
      <c r="AD210">
        <f>IF('WetLitterbags placem_collection'!AB211="","",'WetLitterbags placem_collection'!AB211)</f>
        <v>5.13</v>
      </c>
      <c r="AE210">
        <f>IF('WetLitterbags placem_collection'!Z211="","",'WetLitterbags placem_collection'!Z211)</f>
        <v>5.13</v>
      </c>
      <c r="AF210" s="24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71">
        <f>IFERROR(AVERAGE('Dry_Litterbag Placem_Collection'!N211,'Dry_Litterbag Placem_Collection'!Q211),"")</f>
        <v>29.6</v>
      </c>
      <c r="AJ210">
        <v>-2.4396450349999999</v>
      </c>
      <c r="AK210">
        <v>34.83836599</v>
      </c>
      <c r="AL210" s="270" t="str">
        <f>IF(ISNUMBER(SEARCH("C", 'Dry_Litterbag Placem_Collection'!S211)),"YES","NO")</f>
        <v>NO</v>
      </c>
      <c r="AM210" s="270" t="str">
        <f>IF(ISNUMBER(SEARCH("H", 'Dry_Litterbag Placem_Collection'!S211)),"YES","NO")</f>
        <v>NO</v>
      </c>
      <c r="AN210" s="270" t="str">
        <f>IF(ISNUMBER(SEARCH("R", 'Dry_Litterbag Placem_Collection'!S211)),"YES","NO")</f>
        <v>YES</v>
      </c>
    </row>
    <row r="211" spans="1:40" ht="15" customHeight="1">
      <c r="A211" s="262" t="s">
        <v>2659</v>
      </c>
      <c r="B211" s="263">
        <f>'Dry_Litterbag Placem_Collection'!A212</f>
        <v>210</v>
      </c>
      <c r="C211" s="263" t="str">
        <f>'Dry_Litterbag Placem_Collection'!B212</f>
        <v xml:space="preserve">Mwantimba
</v>
      </c>
      <c r="D211" s="263" t="s">
        <v>2460</v>
      </c>
      <c r="E211" s="263" t="s">
        <v>2526</v>
      </c>
      <c r="F211" s="263">
        <v>4</v>
      </c>
      <c r="G211" s="264" t="str">
        <f>'Dry_Litterbag Placem_Collection'!C212</f>
        <v>Wet_P2_CG4</v>
      </c>
      <c r="H211" s="265" t="s">
        <v>2541</v>
      </c>
      <c r="I211" s="266" t="s">
        <v>1147</v>
      </c>
      <c r="J211" s="263" t="str">
        <f>IF(ISBLANK('Dry_Litterbag Placem_Collection'!J212),"","G"&amp;""&amp;'Dry_Litterbag Placem_Collection'!J212)</f>
        <v>G93</v>
      </c>
      <c r="K211" s="267">
        <f>IFERROR(INDEX('Green_rooibos initial weight'!$C$5:$C$1749,MATCH(J211, 'Green_rooibos initial weight'!$A$5:$A$1749,0)),"")</f>
        <v>2.1230000000000002</v>
      </c>
      <c r="L211" s="267">
        <f>IFERROR(K211-(TBIcalc!$Q$9+TBIcalc!$Q$10),"")</f>
        <v>1.8732000000000002</v>
      </c>
      <c r="M211" s="391">
        <f>AVERAGE(Ashed_controlls!$K$2:$K$11)</f>
        <v>5.5147656768714146</v>
      </c>
      <c r="N211" s="267">
        <f t="shared" si="16"/>
        <v>1.7698974093408448</v>
      </c>
      <c r="O211" s="267">
        <f>IF(IFERROR(INDEX('Both teabags AfterDry'!$D$3:$D$900,MATCH(J211,'Both teabags AfterDry'!$A$3:$A$900,0)),"")="","",(IFERROR(INDEX('Both teabags AfterDry'!$D$3:$D$900,MATCH(J211,'Both teabags AfterDry'!$A$3:$A$900,0)),"")))</f>
        <v>0.80600000000000005</v>
      </c>
      <c r="P211" s="267">
        <f>IFERROR(IF(O211&gt;0,O211-(TBIcalc!$Q$9),""),"")</f>
        <v>0.65539999999999998</v>
      </c>
      <c r="Q211" s="278">
        <f>IFERROR(INDEX('Ashed teabags dry'!$K$2:$K$825,MATCH(J211,'Ashed teabags dry'!$A$2:$A$825,0)),"")</f>
        <v>13.82488479262701</v>
      </c>
      <c r="R211" s="278">
        <f t="shared" si="17"/>
        <v>0.56479170506912257</v>
      </c>
      <c r="S211" s="268">
        <f>'Dry_Litterbag Placem_Collection'!E212</f>
        <v>42942</v>
      </c>
      <c r="T211" s="268">
        <f>IF('Dry_Litterbag Placem_Collection'!G212="","",'Dry_Litterbag Placem_Collection'!G212)</f>
        <v>43004</v>
      </c>
      <c r="U211" s="269">
        <f t="shared" si="15"/>
        <v>62</v>
      </c>
      <c r="V211" s="267">
        <f t="shared" si="18"/>
        <v>1.2178000000000002</v>
      </c>
      <c r="W211" s="267">
        <f t="shared" si="19"/>
        <v>1.2051057042717224</v>
      </c>
      <c r="X211" s="271">
        <f>IFERROR(INDEX(Rainfall_Dry!$O$2:$O$217,MATCH(B211, Rainfall_Dry!$A$2:$A$217,0)),"")</f>
        <v>171.84818423999999</v>
      </c>
      <c r="Y211" s="260">
        <v>33.96</v>
      </c>
      <c r="Z211" s="260">
        <v>8.9200000000000017</v>
      </c>
      <c r="AA211" s="260">
        <v>57.12</v>
      </c>
      <c r="AB211" s="261" t="s">
        <v>2670</v>
      </c>
      <c r="AC211" s="260">
        <v>2.072055199605717</v>
      </c>
      <c r="AD211">
        <f>IF('WetLitterbags placem_collection'!AB212="","",'WetLitterbags placem_collection'!AB212)</f>
        <v>15.2</v>
      </c>
      <c r="AE211">
        <f>IF('WetLitterbags placem_collection'!Z212="","",'WetLitterbags placem_collection'!Z212)</f>
        <v>12.2</v>
      </c>
      <c r="AF211" s="24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71">
        <f>IFERROR(AVERAGE('Dry_Litterbag Placem_Collection'!N212,'Dry_Litterbag Placem_Collection'!Q212),"")</f>
        <v>27.5</v>
      </c>
      <c r="AJ211">
        <v>-2.4396949910000001</v>
      </c>
      <c r="AK211">
        <v>34.838574029999997</v>
      </c>
      <c r="AL211" s="270" t="str">
        <f>IF(ISNUMBER(SEARCH("C", 'Dry_Litterbag Placem_Collection'!S212)),"YES","NO")</f>
        <v>YES</v>
      </c>
      <c r="AM211" s="270" t="str">
        <f>IF(ISNUMBER(SEARCH("H", 'Dry_Litterbag Placem_Collection'!S212)),"YES","NO")</f>
        <v>NO</v>
      </c>
      <c r="AN211" s="270" t="str">
        <f>IF(ISNUMBER(SEARCH("R", 'Dry_Litterbag Placem_Collection'!S212)),"YES","NO")</f>
        <v>YES</v>
      </c>
    </row>
    <row r="212" spans="1:40" ht="15" customHeight="1">
      <c r="A212" s="262" t="s">
        <v>2659</v>
      </c>
      <c r="B212" s="263">
        <f>'Dry_Litterbag Placem_Collection'!A213</f>
        <v>211</v>
      </c>
      <c r="C212" s="263" t="str">
        <f>'Dry_Litterbag Placem_Collection'!B213</f>
        <v xml:space="preserve">Mwantimba
</v>
      </c>
      <c r="D212" s="263" t="s">
        <v>2460</v>
      </c>
      <c r="E212" s="263" t="s">
        <v>2526</v>
      </c>
      <c r="F212" s="263">
        <v>1</v>
      </c>
      <c r="G212" s="264" t="str">
        <f>'Dry_Litterbag Placem_Collection'!C213</f>
        <v>Wet_P3_CG1</v>
      </c>
      <c r="H212" s="265" t="s">
        <v>2541</v>
      </c>
      <c r="I212" s="266" t="s">
        <v>1147</v>
      </c>
      <c r="J212" s="263" t="str">
        <f>IF(ISBLANK('Dry_Litterbag Placem_Collection'!J213),"","G"&amp;""&amp;'Dry_Litterbag Placem_Collection'!J213)</f>
        <v>G26</v>
      </c>
      <c r="K212" s="267">
        <f>IFERROR(INDEX('Green_rooibos initial weight'!$C$5:$C$1749,MATCH(J212, 'Green_rooibos initial weight'!$A$5:$A$1749,0)),"")</f>
        <v>2.1059999999999999</v>
      </c>
      <c r="L212" s="267">
        <f>IFERROR(K212-(TBIcalc!$Q$9+TBIcalc!$Q$10),"")</f>
        <v>1.8561999999999999</v>
      </c>
      <c r="M212" s="391">
        <f>AVERAGE(Ashed_controlls!$K$2:$K$11)</f>
        <v>5.5147656768714146</v>
      </c>
      <c r="N212" s="267">
        <f t="shared" si="16"/>
        <v>1.7538349195059126</v>
      </c>
      <c r="O212" s="267">
        <f>IF(IFERROR(INDEX('Both teabags AfterDry'!$D$3:$D$900,MATCH(J212,'Both teabags AfterDry'!$A$3:$A$900,0)),"")="","",(IFERROR(INDEX('Both teabags AfterDry'!$D$3:$D$900,MATCH(J212,'Both teabags AfterDry'!$A$3:$A$900,0)),"")))</f>
        <v>0.38400000000000001</v>
      </c>
      <c r="P212" s="267">
        <f>IFERROR(IF(O212&gt;0,O212-(TBIcalc!$Q$9),""),"")</f>
        <v>0.2334</v>
      </c>
      <c r="Q212" s="278">
        <f>IFERROR(INDEX('Ashed teabags dry'!$K$2:$K$825,MATCH(J212,'Ashed teabags dry'!$A$2:$A$825,0)),"")</f>
        <v>18.38888888888961</v>
      </c>
      <c r="R212" s="278">
        <f t="shared" si="17"/>
        <v>0.19048033333333164</v>
      </c>
      <c r="S212" s="268">
        <f>'Dry_Litterbag Placem_Collection'!E213</f>
        <v>42942</v>
      </c>
      <c r="T212" s="268">
        <f>IF('Dry_Litterbag Placem_Collection'!G213="","",'Dry_Litterbag Placem_Collection'!G213)</f>
        <v>43004</v>
      </c>
      <c r="U212" s="269">
        <f t="shared" si="15"/>
        <v>62</v>
      </c>
      <c r="V212" s="267">
        <f t="shared" si="18"/>
        <v>1.6227999999999998</v>
      </c>
      <c r="W212" s="267">
        <f t="shared" si="19"/>
        <v>1.5633545861725811</v>
      </c>
      <c r="X212" s="271">
        <f>IFERROR(INDEX(Rainfall_Dry!$O$2:$O$217,MATCH(B212, Rainfall_Dry!$A$2:$A$217,0)),"")</f>
        <v>171.84818423999999</v>
      </c>
      <c r="Y212" s="260">
        <v>39.96</v>
      </c>
      <c r="Z212" s="260">
        <v>12.920000000000002</v>
      </c>
      <c r="AA212" s="260">
        <v>47.12</v>
      </c>
      <c r="AB212" s="261" t="s">
        <v>2674</v>
      </c>
      <c r="AC212" s="260">
        <v>1.6549531789058647</v>
      </c>
      <c r="AD212">
        <f>IF('WetLitterbags placem_collection'!AB213="","",'WetLitterbags placem_collection'!AB213)</f>
        <v>13.8</v>
      </c>
      <c r="AE212">
        <f>IF('WetLitterbags placem_collection'!Z213="","",'WetLitterbags placem_collection'!Z213)</f>
        <v>17.399999999999999</v>
      </c>
      <c r="AF212" s="24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71">
        <f>IFERROR(AVERAGE('Dry_Litterbag Placem_Collection'!N213,'Dry_Litterbag Placem_Collection'!Q213),"")</f>
        <v>28</v>
      </c>
      <c r="AJ212">
        <v>-2.439403972</v>
      </c>
      <c r="AK212">
        <v>34.838404959999998</v>
      </c>
      <c r="AL212" s="270" t="str">
        <f>IF(ISNUMBER(SEARCH("C", 'Dry_Litterbag Placem_Collection'!S213)),"YES","NO")</f>
        <v>NO</v>
      </c>
      <c r="AM212" s="270" t="str">
        <f>IF(ISNUMBER(SEARCH("H", 'Dry_Litterbag Placem_Collection'!S213)),"YES","NO")</f>
        <v>YES</v>
      </c>
      <c r="AN212" s="270" t="str">
        <f>IF(ISNUMBER(SEARCH("R", 'Dry_Litterbag Placem_Collection'!S213)),"YES","NO")</f>
        <v>NO</v>
      </c>
    </row>
    <row r="213" spans="1:40" ht="15" customHeight="1">
      <c r="A213" s="262" t="s">
        <v>2659</v>
      </c>
      <c r="B213" s="263">
        <f>'Dry_Litterbag Placem_Collection'!A214</f>
        <v>215</v>
      </c>
      <c r="C213" s="263" t="str">
        <f>'Dry_Litterbag Placem_Collection'!B214</f>
        <v xml:space="preserve">Mwantimba
</v>
      </c>
      <c r="D213" s="263" t="s">
        <v>2460</v>
      </c>
      <c r="E213" s="263" t="s">
        <v>2526</v>
      </c>
      <c r="F213" s="263">
        <v>3</v>
      </c>
      <c r="G213" s="264" t="str">
        <f>'Dry_Litterbag Placem_Collection'!C214</f>
        <v>Wet_W3_CG1</v>
      </c>
      <c r="H213" s="265" t="s">
        <v>2541</v>
      </c>
      <c r="I213" s="266" t="s">
        <v>1147</v>
      </c>
      <c r="J213" s="263" t="str">
        <f>IF(ISBLANK('Dry_Litterbag Placem_Collection'!J214),"","G"&amp;""&amp;'Dry_Litterbag Placem_Collection'!J214)</f>
        <v>G169</v>
      </c>
      <c r="K213" s="267">
        <f>IFERROR(INDEX('Green_rooibos initial weight'!$C$5:$C$1749,MATCH(J213, 'Green_rooibos initial weight'!$A$5:$A$1749,0)),"")</f>
        <v>2.0649999999999999</v>
      </c>
      <c r="L213" s="267">
        <f>IFERROR(K213-(TBIcalc!$Q$9+TBIcalc!$Q$10),"")</f>
        <v>1.8151999999999999</v>
      </c>
      <c r="M213" s="391">
        <f>AVERAGE(Ashed_controlls!$K$2:$K$11)</f>
        <v>5.5147656768714146</v>
      </c>
      <c r="N213" s="267">
        <f t="shared" si="16"/>
        <v>1.7150959734334301</v>
      </c>
      <c r="O213" s="267">
        <f>IF(IFERROR(INDEX('Both teabags AfterDry'!$D$3:$D$900,MATCH(J213,'Both teabags AfterDry'!$A$3:$A$900,0)),"")="","",(IFERROR(INDEX('Both teabags AfterDry'!$D$3:$D$900,MATCH(J213,'Both teabags AfterDry'!$A$3:$A$900,0)),"")))</f>
        <v>0.70899999999999996</v>
      </c>
      <c r="P213" s="267">
        <f>IFERROR(IF(O213&gt;0,O213-(TBIcalc!$Q$9),""),"")</f>
        <v>0.55840000000000001</v>
      </c>
      <c r="Q213" s="278">
        <f>IFERROR(INDEX('Ashed teabags dry'!$K$2:$K$825,MATCH(J213,'Ashed teabags dry'!$A$2:$A$825,0)),"")</f>
        <v>21.867199201197611</v>
      </c>
      <c r="R213" s="278">
        <f t="shared" si="17"/>
        <v>0.43629355966051253</v>
      </c>
      <c r="S213" s="268">
        <f>'Dry_Litterbag Placem_Collection'!E214</f>
        <v>42942</v>
      </c>
      <c r="T213" s="268">
        <f>IF('Dry_Litterbag Placem_Collection'!G214="","",'Dry_Litterbag Placem_Collection'!G214)</f>
        <v>43004</v>
      </c>
      <c r="U213" s="269">
        <f t="shared" si="15"/>
        <v>62</v>
      </c>
      <c r="V213" s="267">
        <f t="shared" si="18"/>
        <v>1.2567999999999999</v>
      </c>
      <c r="W213" s="267">
        <f t="shared" si="19"/>
        <v>1.2788024137729175</v>
      </c>
      <c r="X213" s="271" t="str">
        <f>IFERROR(INDEX(Rainfall_Dry!$O$2:$O$217,MATCH(B213, Rainfall_Dry!$A$2:$A$217,0)),"")</f>
        <v/>
      </c>
      <c r="Y213" s="260">
        <v>27.96</v>
      </c>
      <c r="Z213" s="260">
        <v>4.9200000000000017</v>
      </c>
      <c r="AA213" s="260">
        <v>67.12</v>
      </c>
      <c r="AB213" s="261" t="s">
        <v>2670</v>
      </c>
      <c r="AC213" s="260">
        <v>1.0437161163134547</v>
      </c>
      <c r="AD213">
        <f>IF('WetLitterbags placem_collection'!AB214="","",'WetLitterbags placem_collection'!AB214)</f>
        <v>7.9</v>
      </c>
      <c r="AE213">
        <f>IF('WetLitterbags placem_collection'!Z214="","",'WetLitterbags placem_collection'!Z214)</f>
        <v>7.9</v>
      </c>
      <c r="AF213" s="24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71">
        <f>IFERROR(AVERAGE('Dry_Litterbag Placem_Collection'!N214,'Dry_Litterbag Placem_Collection'!Q214),"")</f>
        <v>28.75</v>
      </c>
      <c r="AJ213">
        <v>-2.4395990190000001</v>
      </c>
      <c r="AK213">
        <v>34.838418959999998</v>
      </c>
      <c r="AL213" s="270" t="str">
        <f>IF(ISNUMBER(SEARCH("C", 'Dry_Litterbag Placem_Collection'!S214)),"YES","NO")</f>
        <v>NO</v>
      </c>
      <c r="AM213" s="270" t="str">
        <f>IF(ISNUMBER(SEARCH("H", 'Dry_Litterbag Placem_Collection'!S214)),"YES","NO")</f>
        <v>NO</v>
      </c>
      <c r="AN213" s="270" t="str">
        <f>IF(ISNUMBER(SEARCH("R", 'Dry_Litterbag Placem_Collection'!S214)),"YES","NO")</f>
        <v>NO</v>
      </c>
    </row>
    <row r="214" spans="1:40" ht="15" customHeight="1">
      <c r="A214" s="262" t="s">
        <v>2659</v>
      </c>
      <c r="B214" s="263">
        <f>'Dry_Litterbag Placem_Collection'!A215</f>
        <v>212</v>
      </c>
      <c r="C214" s="263" t="str">
        <f>'Dry_Litterbag Placem_Collection'!B215</f>
        <v xml:space="preserve">Mwantimba
</v>
      </c>
      <c r="D214" s="263" t="s">
        <v>2460</v>
      </c>
      <c r="E214" s="263" t="s">
        <v>2526</v>
      </c>
      <c r="F214" s="263">
        <v>4</v>
      </c>
      <c r="G214" s="264" t="str">
        <f>'Dry_Litterbag Placem_Collection'!C215</f>
        <v>Wet_P4_CG3</v>
      </c>
      <c r="H214" s="265" t="s">
        <v>2541</v>
      </c>
      <c r="I214" s="266" t="s">
        <v>1147</v>
      </c>
      <c r="J214" s="263" t="str">
        <f>IF(ISBLANK('Dry_Litterbag Placem_Collection'!J215),"","G"&amp;""&amp;'Dry_Litterbag Placem_Collection'!J215)</f>
        <v>G68</v>
      </c>
      <c r="K214" s="267">
        <f>IFERROR(INDEX('Green_rooibos initial weight'!$C$5:$C$1749,MATCH(J214, 'Green_rooibos initial weight'!$A$5:$A$1749,0)),"")</f>
        <v>1.921</v>
      </c>
      <c r="L214" s="267">
        <f>IFERROR(K214-(TBIcalc!$Q$9+TBIcalc!$Q$10),"")</f>
        <v>1.6712</v>
      </c>
      <c r="M214" s="391">
        <f>AVERAGE(Ashed_controlls!$K$2:$K$11)</f>
        <v>5.5147656768714146</v>
      </c>
      <c r="N214" s="267">
        <f t="shared" si="16"/>
        <v>1.5790372360081248</v>
      </c>
      <c r="O214" s="267">
        <f>IF(IFERROR(INDEX('Both teabags AfterDry'!$D$3:$D$900,MATCH(J214,'Both teabags AfterDry'!$A$3:$A$900,0)),"")="","",(IFERROR(INDEX('Both teabags AfterDry'!$D$3:$D$900,MATCH(J214,'Both teabags AfterDry'!$A$3:$A$900,0)),"")))</f>
        <v>0.71</v>
      </c>
      <c r="P214" s="267">
        <f>IFERROR(IF(O214&gt;0,O214-(TBIcalc!$Q$9),""),"")</f>
        <v>0.5593999999999999</v>
      </c>
      <c r="Q214" s="278">
        <f>IFERROR(INDEX('Ashed teabags dry'!$K$2:$K$825,MATCH(J214,'Ashed teabags dry'!$A$2:$A$825,0)),"")</f>
        <v>24.931756141947613</v>
      </c>
      <c r="R214" s="278">
        <f t="shared" si="17"/>
        <v>0.419931756141945</v>
      </c>
      <c r="S214" s="268">
        <f>'Dry_Litterbag Placem_Collection'!E215</f>
        <v>42942</v>
      </c>
      <c r="T214" s="268">
        <f>IF('Dry_Litterbag Placem_Collection'!G215="","",'Dry_Litterbag Placem_Collection'!G215)</f>
        <v>43004</v>
      </c>
      <c r="U214" s="269">
        <f t="shared" si="15"/>
        <v>62</v>
      </c>
      <c r="V214" s="267">
        <f t="shared" si="18"/>
        <v>1.1118000000000001</v>
      </c>
      <c r="W214" s="267">
        <f t="shared" si="19"/>
        <v>1.15910547986618</v>
      </c>
      <c r="X214" s="271">
        <f>IFERROR(INDEX(Rainfall_Dry!$O$2:$O$217,MATCH(B214, Rainfall_Dry!$A$2:$A$217,0)),"")</f>
        <v>171.84818423999999</v>
      </c>
      <c r="Y214" s="260">
        <v>21.96</v>
      </c>
      <c r="Z214" s="260">
        <v>4.9199999999999982</v>
      </c>
      <c r="AA214" s="260">
        <v>73.12</v>
      </c>
      <c r="AB214" s="261" t="s">
        <v>2670</v>
      </c>
      <c r="AC214" s="260">
        <v>1.2416954164613114</v>
      </c>
      <c r="AD214">
        <f>IF('WetLitterbags placem_collection'!AB215="","",'WetLitterbags placem_collection'!AB215)</f>
        <v>15.2</v>
      </c>
      <c r="AE214">
        <f>IF('WetLitterbags placem_collection'!Z215="","",'WetLitterbags placem_collection'!Z215)</f>
        <v>12.2</v>
      </c>
      <c r="AF214" s="24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71">
        <f>IFERROR(AVERAGE('Dry_Litterbag Placem_Collection'!N215,'Dry_Litterbag Placem_Collection'!Q215),"")</f>
        <v>28.25</v>
      </c>
      <c r="AJ214">
        <v>-2.4396949910000001</v>
      </c>
      <c r="AK214">
        <v>34.838574029999997</v>
      </c>
      <c r="AL214" s="270" t="str">
        <f>IF(ISNUMBER(SEARCH("C", 'Dry_Litterbag Placem_Collection'!S215)),"YES","NO")</f>
        <v>NO</v>
      </c>
      <c r="AM214" s="270" t="str">
        <f>IF(ISNUMBER(SEARCH("H", 'Dry_Litterbag Placem_Collection'!S215)),"YES","NO")</f>
        <v>YES</v>
      </c>
      <c r="AN214" s="270" t="str">
        <f>IF(ISNUMBER(SEARCH("R", 'Dry_Litterbag Placem_Collection'!S215)),"YES","NO")</f>
        <v>YES</v>
      </c>
    </row>
    <row r="215" spans="1:40" ht="15" customHeight="1">
      <c r="A215" s="262" t="s">
        <v>2659</v>
      </c>
      <c r="B215" s="263">
        <f>'Dry_Litterbag Placem_Collection'!A216</f>
        <v>213</v>
      </c>
      <c r="C215" s="263" t="str">
        <f>'Dry_Litterbag Placem_Collection'!B216</f>
        <v>Handajega</v>
      </c>
      <c r="D215" s="263" t="s">
        <v>2460</v>
      </c>
      <c r="E215" s="263" t="s">
        <v>2526</v>
      </c>
      <c r="F215" s="263">
        <v>3</v>
      </c>
      <c r="G215" s="264" t="str">
        <f>'Dry_Litterbag Placem_Collection'!C216</f>
        <v>Wet_W1_CG4</v>
      </c>
      <c r="H215" s="265" t="s">
        <v>2541</v>
      </c>
      <c r="I215" s="266" t="s">
        <v>1147</v>
      </c>
      <c r="J215" s="263" t="str">
        <f>IF(ISBLANK('Dry_Litterbag Placem_Collection'!J216),"","G"&amp;""&amp;'Dry_Litterbag Placem_Collection'!J216)</f>
        <v>G143</v>
      </c>
      <c r="K215" s="267">
        <f>IFERROR(INDEX('Green_rooibos initial weight'!$C$5:$C$1749,MATCH(J215, 'Green_rooibos initial weight'!$A$5:$A$1749,0)),"")</f>
        <v>1.9450000000000001</v>
      </c>
      <c r="L215" s="267">
        <f>IFERROR(K215-(TBIcalc!$Q$9+TBIcalc!$Q$10),"")</f>
        <v>1.6952</v>
      </c>
      <c r="M215" s="391">
        <f>AVERAGE(Ashed_controlls!$K$2:$K$11)</f>
        <v>5.5147656768714146</v>
      </c>
      <c r="N215" s="267">
        <f t="shared" si="16"/>
        <v>1.6017136922456758</v>
      </c>
      <c r="O215" s="267">
        <f>IF(IFERROR(INDEX('Both teabags AfterDry'!$D$3:$D$900,MATCH(J215,'Both teabags AfterDry'!$A$3:$A$900,0)),"")="","",(IFERROR(INDEX('Both teabags AfterDry'!$D$3:$D$900,MATCH(J215,'Both teabags AfterDry'!$A$3:$A$900,0)),"")))</f>
        <v>0.57899999999999996</v>
      </c>
      <c r="P215" s="267">
        <f>IFERROR(IF(O215&gt;0,O215-(TBIcalc!$Q$9),""),"")</f>
        <v>0.42839999999999995</v>
      </c>
      <c r="Q215" s="278">
        <f>IFERROR(INDEX('Ashed teabags dry'!$K$2:$K$825,MATCH(J215,'Ashed teabags dry'!$A$2:$A$825,0)),"")</f>
        <v>19.161676646707068</v>
      </c>
      <c r="R215" s="278">
        <f t="shared" si="17"/>
        <v>0.34631137724550687</v>
      </c>
      <c r="S215" s="268">
        <f>'Dry_Litterbag Placem_Collection'!E216</f>
        <v>42942</v>
      </c>
      <c r="T215" s="268">
        <f>IF('Dry_Litterbag Placem_Collection'!G216="","",'Dry_Litterbag Placem_Collection'!G216)</f>
        <v>43004</v>
      </c>
      <c r="U215" s="269">
        <f t="shared" si="15"/>
        <v>62</v>
      </c>
      <c r="V215" s="267">
        <f t="shared" si="18"/>
        <v>1.2668000000000001</v>
      </c>
      <c r="W215" s="267">
        <f t="shared" si="19"/>
        <v>1.255402315000169</v>
      </c>
      <c r="X215" s="271">
        <f>IFERROR(INDEX(Rainfall_Dry!$O$2:$O$217,MATCH(B215, Rainfall_Dry!$A$2:$A$217,0)),"")</f>
        <v>171.84818423999999</v>
      </c>
      <c r="Y215" s="260">
        <v>23.96</v>
      </c>
      <c r="Z215" s="260">
        <v>4.9199999999999982</v>
      </c>
      <c r="AA215" s="260">
        <v>71.12</v>
      </c>
      <c r="AB215" s="261" t="s">
        <v>2670</v>
      </c>
      <c r="AC215" s="260">
        <v>3.30913750616067</v>
      </c>
      <c r="AD215">
        <f>IF('WetLitterbags placem_collection'!AB216="","",'WetLitterbags placem_collection'!AB216)</f>
        <v>7.9</v>
      </c>
      <c r="AE215">
        <f>IF('WetLitterbags placem_collection'!Z216="","",'WetLitterbags placem_collection'!Z216)</f>
        <v>7.9</v>
      </c>
      <c r="AF215" s="24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71">
        <f>IFERROR(AVERAGE('Dry_Litterbag Placem_Collection'!N216,'Dry_Litterbag Placem_Collection'!Q216),"")</f>
        <v>29.1</v>
      </c>
      <c r="AJ215">
        <v>-2.4396949910000001</v>
      </c>
      <c r="AK215">
        <v>34.838574029999997</v>
      </c>
      <c r="AL215" s="270" t="str">
        <f>IF(ISNUMBER(SEARCH("C", 'Dry_Litterbag Placem_Collection'!S216)),"YES","NO")</f>
        <v>NO</v>
      </c>
      <c r="AM215" s="270" t="str">
        <f>IF(ISNUMBER(SEARCH("H", 'Dry_Litterbag Placem_Collection'!S216)),"YES","NO")</f>
        <v>NO</v>
      </c>
      <c r="AN215" s="270" t="str">
        <f>IF(ISNUMBER(SEARCH("R", 'Dry_Litterbag Placem_Collection'!S216)),"YES","NO")</f>
        <v>YES</v>
      </c>
    </row>
    <row r="216" spans="1:40" ht="15" customHeight="1">
      <c r="A216" s="262" t="s">
        <v>2659</v>
      </c>
      <c r="B216" s="263">
        <f>'Dry_Litterbag Placem_Collection'!A217</f>
        <v>214</v>
      </c>
      <c r="C216" s="263" t="str">
        <f>'Dry_Litterbag Placem_Collection'!B217</f>
        <v>Handajega</v>
      </c>
      <c r="D216" s="263" t="s">
        <v>2460</v>
      </c>
      <c r="E216" s="263" t="s">
        <v>2526</v>
      </c>
      <c r="F216" s="263">
        <v>1</v>
      </c>
      <c r="G216" s="264" t="str">
        <f>'Dry_Litterbag Placem_Collection'!C217</f>
        <v>Wet_W2_CG3</v>
      </c>
      <c r="H216" s="265" t="s">
        <v>2541</v>
      </c>
      <c r="I216" s="266" t="s">
        <v>1147</v>
      </c>
      <c r="J216" s="263" t="str">
        <f>IF(ISBLANK('Dry_Litterbag Placem_Collection'!J217),"","G"&amp;""&amp;'Dry_Litterbag Placem_Collection'!J217)</f>
        <v>G128</v>
      </c>
      <c r="K216" s="267">
        <f>IFERROR(INDEX('Green_rooibos initial weight'!$C$5:$C$1749,MATCH(J216, 'Green_rooibos initial weight'!$A$5:$A$1749,0)),"")</f>
        <v>2.0219999999999998</v>
      </c>
      <c r="L216" s="267">
        <f>IFERROR(K216-(TBIcalc!$Q$9+TBIcalc!$Q$10),"")</f>
        <v>1.7721999999999998</v>
      </c>
      <c r="M216" s="391">
        <f>AVERAGE(Ashed_controlls!$K$2:$K$11)</f>
        <v>5.5147656768714146</v>
      </c>
      <c r="N216" s="267">
        <f t="shared" si="16"/>
        <v>1.6744673226744846</v>
      </c>
      <c r="O216" s="267">
        <f>IF(IFERROR(INDEX('Both teabags AfterDry'!$D$3:$D$900,MATCH(J216,'Both teabags AfterDry'!$A$3:$A$900,0)),"")="","",(IFERROR(INDEX('Both teabags AfterDry'!$D$3:$D$900,MATCH(J216,'Both teabags AfterDry'!$A$3:$A$900,0)),"")))</f>
        <v>0.70599999999999996</v>
      </c>
      <c r="P216" s="267">
        <f>IFERROR(IF(O216&gt;0,O216-(TBIcalc!$Q$9),""),"")</f>
        <v>0.55539999999999989</v>
      </c>
      <c r="Q216" s="278">
        <f>IFERROR(INDEX('Ashed teabags dry'!$K$2:$K$825,MATCH(J216,'Ashed teabags dry'!$A$2:$A$825,0)),"")</f>
        <v>20.06472491909372</v>
      </c>
      <c r="R216" s="278">
        <f t="shared" si="17"/>
        <v>0.44396051779935342</v>
      </c>
      <c r="S216" s="268">
        <f>'Dry_Litterbag Placem_Collection'!E217</f>
        <v>42942</v>
      </c>
      <c r="T216" s="268">
        <f>IF('Dry_Litterbag Placem_Collection'!G217="","",'Dry_Litterbag Placem_Collection'!G217)</f>
        <v>43004</v>
      </c>
      <c r="U216" s="269">
        <f t="shared" si="15"/>
        <v>62</v>
      </c>
      <c r="V216" s="267">
        <f t="shared" si="18"/>
        <v>1.2167999999999999</v>
      </c>
      <c r="W216" s="267">
        <f t="shared" si="19"/>
        <v>1.2305068048751311</v>
      </c>
      <c r="X216" s="271">
        <f>IFERROR(INDEX(Rainfall_Dry!$O$2:$O$217,MATCH(B216, Rainfall_Dry!$A$2:$A$217,0)),"")</f>
        <v>171.84818423999999</v>
      </c>
      <c r="Y216" s="260">
        <v>25.96</v>
      </c>
      <c r="Z216" s="260">
        <v>8.9200000000000017</v>
      </c>
      <c r="AA216" s="260">
        <v>65.12</v>
      </c>
      <c r="AB216" s="261" t="s">
        <v>2670</v>
      </c>
      <c r="AC216" s="260">
        <v>1.614588467225234</v>
      </c>
      <c r="AD216">
        <f>IF('WetLitterbags placem_collection'!AB217="","",'WetLitterbags placem_collection'!AB217)</f>
        <v>13.8</v>
      </c>
      <c r="AE216">
        <f>IF('WetLitterbags placem_collection'!Z217="","",'WetLitterbags placem_collection'!Z217)</f>
        <v>17.399999999999999</v>
      </c>
      <c r="AF216" s="24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71">
        <f>IFERROR(AVERAGE('Dry_Litterbag Placem_Collection'!N217,'Dry_Litterbag Placem_Collection'!Q217),"")</f>
        <v>29.8</v>
      </c>
      <c r="AJ216">
        <v>-2.439403972</v>
      </c>
      <c r="AK216">
        <v>34.838404959999998</v>
      </c>
      <c r="AL216" s="270" t="str">
        <f>IF(ISNUMBER(SEARCH("C", 'Dry_Litterbag Placem_Collection'!S217)),"YES","NO")</f>
        <v>NO</v>
      </c>
      <c r="AM216" s="270" t="str">
        <f>IF(ISNUMBER(SEARCH("H", 'Dry_Litterbag Placem_Collection'!S217)),"YES","NO")</f>
        <v>YES</v>
      </c>
      <c r="AN216" s="270" t="str">
        <f>IF(ISNUMBER(SEARCH("R", 'Dry_Litterbag Placem_Collection'!S217)),"YES","NO")</f>
        <v>NO</v>
      </c>
    </row>
    <row r="217" spans="1:40" ht="15" customHeight="1">
      <c r="A217" s="262" t="s">
        <v>2659</v>
      </c>
      <c r="B217" s="263">
        <f>'Dry_Litterbag Placem_Collection'!A218</f>
        <v>216</v>
      </c>
      <c r="C217" s="263" t="str">
        <f>'Dry_Litterbag Placem_Collection'!B218</f>
        <v>Handajega</v>
      </c>
      <c r="D217" s="263" t="s">
        <v>2460</v>
      </c>
      <c r="E217" s="263" t="s">
        <v>2526</v>
      </c>
      <c r="F217" s="263">
        <v>2</v>
      </c>
      <c r="G217" s="264" t="str">
        <f>'Dry_Litterbag Placem_Collection'!C218</f>
        <v>Wet_W4_CG2</v>
      </c>
      <c r="H217" s="265" t="s">
        <v>2541</v>
      </c>
      <c r="I217" s="266" t="s">
        <v>1147</v>
      </c>
      <c r="J217" s="263" t="str">
        <f>IF(ISBLANK('Dry_Litterbag Placem_Collection'!J218),"","G"&amp;""&amp;'Dry_Litterbag Placem_Collection'!J218)</f>
        <v>G95</v>
      </c>
      <c r="K217" s="267">
        <f>IFERROR(INDEX('Green_rooibos initial weight'!$C$5:$C$1749,MATCH(J217, 'Green_rooibos initial weight'!$A$5:$A$1749,0)),"")</f>
        <v>2.1110000000000002</v>
      </c>
      <c r="L217" s="267">
        <f>IFERROR(K217-(TBIcalc!$Q$9+TBIcalc!$Q$10),"")</f>
        <v>1.8612000000000002</v>
      </c>
      <c r="M217" s="391">
        <f>AVERAGE(Ashed_controlls!$K$2:$K$11)</f>
        <v>5.5147656768714146</v>
      </c>
      <c r="N217" s="267">
        <f t="shared" si="16"/>
        <v>1.7585591812220693</v>
      </c>
      <c r="O217" s="267">
        <f>IF(IFERROR(INDEX('Both teabags AfterDry'!$D$3:$D$900,MATCH(J217,'Both teabags AfterDry'!$A$3:$A$900,0)),"")="","",(IFERROR(INDEX('Both teabags AfterDry'!$D$3:$D$900,MATCH(J217,'Both teabags AfterDry'!$A$3:$A$900,0)),"")))</f>
        <v>0.80600000000000005</v>
      </c>
      <c r="P217" s="267">
        <f>IFERROR(IF(O217&gt;0,O217-(TBIcalc!$Q$9),""),"")</f>
        <v>0.65539999999999998</v>
      </c>
      <c r="Q217" s="278">
        <f>IFERROR(INDEX('Ashed teabags dry'!$K$2:$K$825,MATCH(J217,'Ashed teabags dry'!$A$2:$A$825,0)),"")</f>
        <v>24.313893653516725</v>
      </c>
      <c r="R217" s="278">
        <f t="shared" si="17"/>
        <v>0.49604674099485135</v>
      </c>
      <c r="S217" s="268">
        <f>'Dry_Litterbag Placem_Collection'!E218</f>
        <v>42942</v>
      </c>
      <c r="T217" s="268">
        <f>IF('Dry_Litterbag Placem_Collection'!G218="","",'Dry_Litterbag Placem_Collection'!G218)</f>
        <v>43004</v>
      </c>
      <c r="U217" s="269">
        <f t="shared" si="15"/>
        <v>62</v>
      </c>
      <c r="V217" s="267">
        <f t="shared" si="18"/>
        <v>1.2058000000000002</v>
      </c>
      <c r="W217" s="267">
        <f t="shared" si="19"/>
        <v>1.2625124402272179</v>
      </c>
      <c r="X217" s="271">
        <f>IFERROR(INDEX(Rainfall_Dry!$O$2:$O$217,MATCH(B217, Rainfall_Dry!$A$2:$A$217,0)),"")</f>
        <v>171.84818423999999</v>
      </c>
      <c r="Y217" s="260">
        <v>25.96</v>
      </c>
      <c r="Z217" s="260">
        <v>8.9200000000000017</v>
      </c>
      <c r="AA217" s="260">
        <v>65.12</v>
      </c>
      <c r="AB217" s="261" t="s">
        <v>2670</v>
      </c>
      <c r="AC217" s="260">
        <v>1.6991621488417901</v>
      </c>
      <c r="AD217">
        <f>IF('WetLitterbags placem_collection'!AB218="","",'WetLitterbags placem_collection'!AB218)</f>
        <v>5.13</v>
      </c>
      <c r="AE217">
        <f>IF('WetLitterbags placem_collection'!Z218="","",'WetLitterbags placem_collection'!Z218)</f>
        <v>5.13</v>
      </c>
      <c r="AF217" s="24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71">
        <f>IFERROR(AVERAGE('Dry_Litterbag Placem_Collection'!N218,'Dry_Litterbag Placem_Collection'!Q218),"")</f>
        <v>29.85</v>
      </c>
      <c r="AJ217">
        <v>-2.4396450349999999</v>
      </c>
      <c r="AK217">
        <v>34.83836599</v>
      </c>
      <c r="AL217" s="270" t="str">
        <f>IF(ISNUMBER(SEARCH("C", 'Dry_Litterbag Placem_Collection'!S218)),"YES","NO")</f>
        <v>NO</v>
      </c>
      <c r="AM217" s="270" t="str">
        <f>IF(ISNUMBER(SEARCH("H", 'Dry_Litterbag Placem_Collection'!S218)),"YES","NO")</f>
        <v>NO</v>
      </c>
      <c r="AN217" s="270" t="str">
        <f>IF(ISNUMBER(SEARCH("R", 'Dry_Litterbag Placem_Collection'!S218)),"YES","NO")</f>
        <v>NO</v>
      </c>
    </row>
    <row r="218" spans="1:40" ht="15" customHeight="1">
      <c r="A218" s="262" t="s">
        <v>2659</v>
      </c>
      <c r="B218" s="263">
        <f>'Dry_Litterbag Placem_Collection'!A219</f>
        <v>217</v>
      </c>
      <c r="C218" s="263" t="str">
        <f>'Dry_Litterbag Placem_Collection'!B219</f>
        <v>Seronera</v>
      </c>
      <c r="D218" s="263" t="s">
        <v>2662</v>
      </c>
      <c r="E218" s="263" t="s">
        <v>2526</v>
      </c>
      <c r="F218" s="263">
        <v>1</v>
      </c>
      <c r="G218" s="264" t="str">
        <f>'Dry_Litterbag Placem_Collection'!C219</f>
        <v>Local1_CG1</v>
      </c>
      <c r="H218" s="265" t="s">
        <v>2541</v>
      </c>
      <c r="I218" s="266" t="s">
        <v>1147</v>
      </c>
      <c r="J218" s="263" t="str">
        <f>IF(ISBLANK('Dry_Litterbag Placem_Collection'!J219),"","G"&amp;""&amp;'Dry_Litterbag Placem_Collection'!J219)</f>
        <v>G313</v>
      </c>
      <c r="K218" s="267">
        <f>IFERROR(INDEX('Green_rooibos initial weight'!$C$5:$C$1749,MATCH(J218, 'Green_rooibos initial weight'!$A$5:$A$1749,0)),"")</f>
        <v>1.923</v>
      </c>
      <c r="L218" s="267">
        <f>IFERROR(K218-(TBIcalc!$Q$9+TBIcalc!$Q$10),"")</f>
        <v>1.6732</v>
      </c>
      <c r="M218" s="391">
        <f>AVERAGE(Ashed_controlls!$K$2:$K$11)</f>
        <v>5.5147656768714146</v>
      </c>
      <c r="N218" s="267">
        <f t="shared" si="16"/>
        <v>1.5809269406945876</v>
      </c>
      <c r="O218" s="267">
        <f>IF(IFERROR(INDEX('Both teabags AfterDry'!$D$3:$D$900,MATCH(J218,'Both teabags AfterDry'!$A$3:$A$900,0)),"")="","",(IFERROR(INDEX('Both teabags AfterDry'!$D$3:$D$900,MATCH(J218,'Both teabags AfterDry'!$A$3:$A$900,0)),"")))</f>
        <v>0.74719999999999998</v>
      </c>
      <c r="P218" s="267">
        <f>IFERROR(IF(O218&gt;0,O218-(TBIcalc!$Q$9),""),"")</f>
        <v>0.59660000000000002</v>
      </c>
      <c r="Q218" s="278">
        <f>IFERROR(INDEX('Ashed teabags dry'!$K$2:$K$825,MATCH(J218,'Ashed teabags dry'!$A$2:$A$825,0)),"")</f>
        <v>17.652671755725578</v>
      </c>
      <c r="R218" s="278">
        <f t="shared" si="17"/>
        <v>0.49128416030534122</v>
      </c>
      <c r="S218" s="268">
        <f>'Dry_Litterbag Placem_Collection'!E219</f>
        <v>42942</v>
      </c>
      <c r="T218" s="268">
        <f>IF('Dry_Litterbag Placem_Collection'!G219="","",'Dry_Litterbag Placem_Collection'!G219)</f>
        <v>43004</v>
      </c>
      <c r="U218" s="269">
        <f t="shared" si="15"/>
        <v>62</v>
      </c>
      <c r="V218" s="267">
        <f t="shared" si="18"/>
        <v>1.0766</v>
      </c>
      <c r="W218" s="267">
        <f t="shared" si="19"/>
        <v>1.0896427803892463</v>
      </c>
      <c r="X218" s="271">
        <f>IFERROR(INDEX(Rainfall_Dry!$O$2:$O$217,MATCH(B218, Rainfall_Dry!$A$2:$A$217,0)),"")</f>
        <v>171.84818423999999</v>
      </c>
      <c r="Y218" s="260">
        <v>29.076539101497506</v>
      </c>
      <c r="Z218" s="260">
        <v>7.1963394342762079</v>
      </c>
      <c r="AA218" s="260">
        <v>63.727121464226286</v>
      </c>
      <c r="AB218" s="260" t="s">
        <v>2670</v>
      </c>
      <c r="AC218" s="260">
        <v>1.0994578610152781</v>
      </c>
      <c r="AD218">
        <f>IF('WetLitterbags placem_collection'!AB219="","",'WetLitterbags placem_collection'!AB219)</f>
        <v>13.8</v>
      </c>
      <c r="AE218">
        <f>IF('WetLitterbags placem_collection'!Z219="","",'WetLitterbags placem_collection'!Z219)</f>
        <v>17.399999999999999</v>
      </c>
      <c r="AF218" s="24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71">
        <f>IFERROR(AVERAGE('Dry_Litterbag Placem_Collection'!N219,'Dry_Litterbag Placem_Collection'!Q219),"")</f>
        <v>31.25</v>
      </c>
      <c r="AJ218">
        <v>-2.439403972</v>
      </c>
      <c r="AK218">
        <v>34.838404959999998</v>
      </c>
      <c r="AL218" s="270" t="str">
        <f>IF(ISNUMBER(SEARCH("C", 'Dry_Litterbag Placem_Collection'!S219)),"YES","NO")</f>
        <v>NO</v>
      </c>
      <c r="AM218" s="270" t="str">
        <f>IF(ISNUMBER(SEARCH("H", 'Dry_Litterbag Placem_Collection'!S219)),"YES","NO")</f>
        <v>YES</v>
      </c>
      <c r="AN218" s="270" t="str">
        <f>IF(ISNUMBER(SEARCH("R", 'Dry_Litterbag Placem_Collection'!S219)),"YES","NO")</f>
        <v>YES</v>
      </c>
    </row>
    <row r="219" spans="1:40" ht="15" customHeight="1">
      <c r="A219" s="262" t="s">
        <v>2659</v>
      </c>
      <c r="B219" s="263">
        <f>'Dry_Litterbag Placem_Collection'!A220</f>
        <v>218</v>
      </c>
      <c r="C219" s="263" t="str">
        <f>'Dry_Litterbag Placem_Collection'!B220</f>
        <v>Seronera</v>
      </c>
      <c r="D219" s="263" t="s">
        <v>2662</v>
      </c>
      <c r="E219" s="263" t="s">
        <v>2526</v>
      </c>
      <c r="F219" s="263">
        <v>2</v>
      </c>
      <c r="G219" s="264" t="str">
        <f>'Dry_Litterbag Placem_Collection'!C220</f>
        <v>Local2_CG2</v>
      </c>
      <c r="H219" s="265" t="s">
        <v>2541</v>
      </c>
      <c r="I219" s="266" t="s">
        <v>1147</v>
      </c>
      <c r="J219" s="263" t="str">
        <f>IF(ISBLANK('Dry_Litterbag Placem_Collection'!J220),"","G"&amp;""&amp;'Dry_Litterbag Placem_Collection'!J220)</f>
        <v>G485</v>
      </c>
      <c r="K219" s="267">
        <f>IFERROR(INDEX('Green_rooibos initial weight'!$C$5:$C$1749,MATCH(J219, 'Green_rooibos initial weight'!$A$5:$A$1749,0)),"")</f>
        <v>1.9890000000000001</v>
      </c>
      <c r="L219" s="267">
        <f>IFERROR(K219-(TBIcalc!$Q$9+TBIcalc!$Q$10),"")</f>
        <v>1.7392000000000001</v>
      </c>
      <c r="M219" s="391">
        <f>AVERAGE(Ashed_controlls!$K$2:$K$11)</f>
        <v>5.5147656768714146</v>
      </c>
      <c r="N219" s="267">
        <f t="shared" si="16"/>
        <v>1.6432871953478525</v>
      </c>
      <c r="O219" s="267">
        <f>IF(IFERROR(INDEX('Both teabags AfterDry'!$D$3:$D$900,MATCH(J219,'Both teabags AfterDry'!$A$3:$A$900,0)),"")="","",(IFERROR(INDEX('Both teabags AfterDry'!$D$3:$D$900,MATCH(J219,'Both teabags AfterDry'!$A$3:$A$900,0)),"")))</f>
        <v>0.66900000000000004</v>
      </c>
      <c r="P219" s="267">
        <f>IFERROR(IF(O219&gt;0,O219-(TBIcalc!$Q$9),""),"")</f>
        <v>0.51839999999999997</v>
      </c>
      <c r="Q219" s="278">
        <f>IFERROR(INDEX('Ashed teabags dry'!$K$2:$K$825,MATCH(J219,'Ashed teabags dry'!$A$2:$A$825,0)),"")</f>
        <v>22.069641981362956</v>
      </c>
      <c r="R219" s="278">
        <f t="shared" si="17"/>
        <v>0.40399097596861444</v>
      </c>
      <c r="S219" s="268">
        <f>'Dry_Litterbag Placem_Collection'!E220</f>
        <v>42942</v>
      </c>
      <c r="T219" s="268">
        <f>IF('Dry_Litterbag Placem_Collection'!G220="","",'Dry_Litterbag Placem_Collection'!G220)</f>
        <v>43004</v>
      </c>
      <c r="U219" s="269">
        <f t="shared" si="15"/>
        <v>62</v>
      </c>
      <c r="V219" s="267">
        <f t="shared" si="18"/>
        <v>1.2208000000000001</v>
      </c>
      <c r="W219" s="267">
        <f t="shared" si="19"/>
        <v>1.2392962193792381</v>
      </c>
      <c r="X219" s="271">
        <f>IFERROR(INDEX(Rainfall_Dry!$O$2:$O$217,MATCH(B219, Rainfall_Dry!$A$2:$A$217,0)),"")</f>
        <v>171.84818423999999</v>
      </c>
      <c r="Y219" s="260">
        <v>21.072635135135137</v>
      </c>
      <c r="Z219" s="260">
        <v>7.3057432432432412</v>
      </c>
      <c r="AA219" s="260">
        <v>71.621621621621614</v>
      </c>
      <c r="AB219" s="260" t="s">
        <v>2670</v>
      </c>
      <c r="AC219" s="260">
        <v>1.4512074913750617</v>
      </c>
      <c r="AD219">
        <f>IF('WetLitterbags placem_collection'!AB220="","",'WetLitterbags placem_collection'!AB220)</f>
        <v>5.13</v>
      </c>
      <c r="AE219">
        <f>IF('WetLitterbags placem_collection'!Z220="","",'WetLitterbags placem_collection'!Z220)</f>
        <v>5.13</v>
      </c>
      <c r="AF219" s="24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71">
        <f>IFERROR(AVERAGE('Dry_Litterbag Placem_Collection'!N220,'Dry_Litterbag Placem_Collection'!Q220),"")</f>
        <v>29.15</v>
      </c>
      <c r="AJ219">
        <v>-2.4396450349999999</v>
      </c>
      <c r="AK219">
        <v>34.83836599</v>
      </c>
      <c r="AL219" s="270" t="str">
        <f>IF(ISNUMBER(SEARCH("C", 'Dry_Litterbag Placem_Collection'!S220)),"YES","NO")</f>
        <v>NO</v>
      </c>
      <c r="AM219" s="270" t="str">
        <f>IF(ISNUMBER(SEARCH("H", 'Dry_Litterbag Placem_Collection'!S220)),"YES","NO")</f>
        <v>NO</v>
      </c>
      <c r="AN219" s="270" t="str">
        <f>IF(ISNUMBER(SEARCH("R", 'Dry_Litterbag Placem_Collection'!S220)),"YES","NO")</f>
        <v>YES</v>
      </c>
    </row>
    <row r="220" spans="1:40" ht="15" customHeight="1">
      <c r="A220" s="262" t="s">
        <v>2659</v>
      </c>
      <c r="B220" s="263">
        <f>'Dry_Litterbag Placem_Collection'!A221</f>
        <v>219</v>
      </c>
      <c r="C220" s="263" t="str">
        <f>'Dry_Litterbag Placem_Collection'!B221</f>
        <v>Seronera</v>
      </c>
      <c r="D220" s="263" t="s">
        <v>2662</v>
      </c>
      <c r="E220" s="263" t="s">
        <v>2526</v>
      </c>
      <c r="F220" s="263">
        <v>3</v>
      </c>
      <c r="G220" s="264" t="str">
        <f>'Dry_Litterbag Placem_Collection'!C221</f>
        <v>Local3_CG3</v>
      </c>
      <c r="H220" s="265" t="s">
        <v>2541</v>
      </c>
      <c r="I220" s="266" t="s">
        <v>1147</v>
      </c>
      <c r="J220" s="263" t="str">
        <f>IF(ISBLANK('Dry_Litterbag Placem_Collection'!J221),"","G"&amp;""&amp;'Dry_Litterbag Placem_Collection'!J221)</f>
        <v>G196</v>
      </c>
      <c r="K220" s="267">
        <f>IFERROR(INDEX('Green_rooibos initial weight'!$C$5:$C$1749,MATCH(J220, 'Green_rooibos initial weight'!$A$5:$A$1749,0)),"")</f>
        <v>2.028</v>
      </c>
      <c r="L220" s="267">
        <f>IFERROR(K220-(TBIcalc!$Q$9+TBIcalc!$Q$10),"")</f>
        <v>1.7782</v>
      </c>
      <c r="M220" s="391">
        <f>AVERAGE(Ashed_controlls!$K$2:$K$11)</f>
        <v>5.5147656768714146</v>
      </c>
      <c r="N220" s="267">
        <f t="shared" si="16"/>
        <v>1.6801364367338725</v>
      </c>
      <c r="O220" s="267">
        <f>IF(IFERROR(INDEX('Both teabags AfterDry'!$D$3:$D$900,MATCH(J220,'Both teabags AfterDry'!$A$3:$A$900,0)),"")="","",(IFERROR(INDEX('Both teabags AfterDry'!$D$3:$D$900,MATCH(J220,'Both teabags AfterDry'!$A$3:$A$900,0)),"")))</f>
        <v>0.5756</v>
      </c>
      <c r="P220" s="267">
        <f>IFERROR(IF(O220&gt;0,O220-(TBIcalc!$Q$9),""),"")</f>
        <v>0.42499999999999999</v>
      </c>
      <c r="Q220" s="278">
        <f>IFERROR(INDEX('Ashed teabags dry'!$K$2:$K$825,MATCH(J220,'Ashed teabags dry'!$A$2:$A$825,0)),"")</f>
        <v>22.698178237321503</v>
      </c>
      <c r="R220" s="278">
        <f t="shared" si="17"/>
        <v>0.32853274249138359</v>
      </c>
      <c r="S220" s="268">
        <f>'Dry_Litterbag Placem_Collection'!E221</f>
        <v>42942</v>
      </c>
      <c r="T220" s="268">
        <f>IF('Dry_Litterbag Placem_Collection'!G221="","",'Dry_Litterbag Placem_Collection'!G221)</f>
        <v>43004</v>
      </c>
      <c r="U220" s="269">
        <f t="shared" si="15"/>
        <v>62</v>
      </c>
      <c r="V220" s="267">
        <f t="shared" si="18"/>
        <v>1.3532</v>
      </c>
      <c r="W220" s="267">
        <f t="shared" si="19"/>
        <v>1.3516036942424889</v>
      </c>
      <c r="X220" s="271">
        <f>IFERROR(INDEX(Rainfall_Dry!$O$2:$O$217,MATCH(B220, Rainfall_Dry!$A$2:$A$217,0)),"")</f>
        <v>171.84818423999999</v>
      </c>
      <c r="Y220" s="260">
        <v>21.96</v>
      </c>
      <c r="Z220" s="260">
        <v>4.9199999999999982</v>
      </c>
      <c r="AA220" s="260">
        <v>73.12</v>
      </c>
      <c r="AB220" s="260" t="s">
        <v>2670</v>
      </c>
      <c r="AC220" s="260">
        <v>1.4012321340561851</v>
      </c>
      <c r="AD220">
        <f>IF('WetLitterbags placem_collection'!AB221="","",'WetLitterbags placem_collection'!AB221)</f>
        <v>7.9</v>
      </c>
      <c r="AE220">
        <f>IF('WetLitterbags placem_collection'!Z221="","",'WetLitterbags placem_collection'!Z221)</f>
        <v>7.9</v>
      </c>
      <c r="AF220" s="24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71">
        <f>IFERROR(AVERAGE('Dry_Litterbag Placem_Collection'!N221,'Dry_Litterbag Placem_Collection'!Q221),"")</f>
        <v>32.75</v>
      </c>
      <c r="AJ220">
        <v>-2.4395990190000001</v>
      </c>
      <c r="AK220">
        <v>34.838418959999998</v>
      </c>
      <c r="AL220" s="270" t="str">
        <f>IF(ISNUMBER(SEARCH("C", 'Dry_Litterbag Placem_Collection'!S221)),"YES","NO")</f>
        <v>NO</v>
      </c>
      <c r="AM220" s="270" t="str">
        <f>IF(ISNUMBER(SEARCH("H", 'Dry_Litterbag Placem_Collection'!S221)),"YES","NO")</f>
        <v>YES</v>
      </c>
      <c r="AN220" s="270" t="str">
        <f>IF(ISNUMBER(SEARCH("R", 'Dry_Litterbag Placem_Collection'!S221)),"YES","NO")</f>
        <v>YES</v>
      </c>
    </row>
    <row r="221" spans="1:40" ht="15" customHeight="1">
      <c r="A221" s="262" t="s">
        <v>2659</v>
      </c>
      <c r="B221" s="263">
        <f>'Dry_Litterbag Placem_Collection'!A222</f>
        <v>220</v>
      </c>
      <c r="C221" s="263" t="str">
        <f>'Dry_Litterbag Placem_Collection'!B222</f>
        <v>Seronera</v>
      </c>
      <c r="D221" s="263" t="s">
        <v>2662</v>
      </c>
      <c r="E221" s="263" t="s">
        <v>2526</v>
      </c>
      <c r="F221" s="263">
        <v>4</v>
      </c>
      <c r="G221" s="264" t="str">
        <f>'Dry_Litterbag Placem_Collection'!C222</f>
        <v>Local4_CG4</v>
      </c>
      <c r="H221" s="265" t="s">
        <v>2541</v>
      </c>
      <c r="I221" s="266" t="s">
        <v>1147</v>
      </c>
      <c r="J221" s="263" t="str">
        <f>IF(ISBLANK('Dry_Litterbag Placem_Collection'!J222),"","G"&amp;""&amp;'Dry_Litterbag Placem_Collection'!J222)</f>
        <v>G39</v>
      </c>
      <c r="K221" s="267">
        <f>IFERROR(INDEX('Green_rooibos initial weight'!$C$5:$C$1749,MATCH(J221, 'Green_rooibos initial weight'!$A$5:$A$1749,0)),"")</f>
        <v>2.0670000000000002</v>
      </c>
      <c r="L221" s="267">
        <f>IFERROR(K221-(TBIcalc!$Q$9+TBIcalc!$Q$10),"")</f>
        <v>1.8172000000000001</v>
      </c>
      <c r="M221" s="391">
        <f>AVERAGE(Ashed_controlls!$K$2:$K$11)</f>
        <v>5.5147656768714146</v>
      </c>
      <c r="N221" s="267">
        <f t="shared" si="16"/>
        <v>1.7169856781198929</v>
      </c>
      <c r="O221" s="267" t="str">
        <f>IF(IFERROR(INDEX('Both teabags AfterDry'!$D$3:$D$900,MATCH(J221,'Both teabags AfterDry'!$A$3:$A$900,0)),"")="","",(IFERROR(INDEX('Both teabags AfterDry'!$D$3:$D$900,MATCH(J221,'Both teabags AfterDry'!$A$3:$A$900,0)),"")))</f>
        <v/>
      </c>
      <c r="P221" s="267" t="str">
        <f>IFERROR(IF(O221&gt;0,O221-(TBIcalc!$Q$9),""),"")</f>
        <v/>
      </c>
      <c r="Q221" s="278" t="str">
        <f>IFERROR(INDEX('Ashed teabags dry'!$K$2:$K$825,MATCH(J221,'Ashed teabags dry'!$A$2:$A$825,0)),"")</f>
        <v/>
      </c>
      <c r="R221" s="278" t="str">
        <f t="shared" si="17"/>
        <v/>
      </c>
      <c r="S221" s="268">
        <f>'Dry_Litterbag Placem_Collection'!E222</f>
        <v>42942</v>
      </c>
      <c r="T221" s="268">
        <f>IF('Dry_Litterbag Placem_Collection'!G222="","",'Dry_Litterbag Placem_Collection'!G222)</f>
        <v>43004</v>
      </c>
      <c r="U221" s="269">
        <f t="shared" si="15"/>
        <v>62</v>
      </c>
      <c r="V221" s="267" t="str">
        <f t="shared" si="18"/>
        <v/>
      </c>
      <c r="W221" s="267" t="str">
        <f t="shared" si="19"/>
        <v/>
      </c>
      <c r="X221" s="271">
        <f>IFERROR(INDEX(Rainfall_Dry!$O$2:$O$217,MATCH(B221, Rainfall_Dry!$A$2:$A$217,0)),"")</f>
        <v>171.84818423999999</v>
      </c>
      <c r="Y221" s="260">
        <v>15.960000000000003</v>
      </c>
      <c r="Z221" s="260">
        <v>6.9199999999999982</v>
      </c>
      <c r="AA221" s="260">
        <v>77.11999999999999</v>
      </c>
      <c r="AB221" s="260" t="s">
        <v>2671</v>
      </c>
      <c r="AC221" s="260">
        <v>0.60547067520946207</v>
      </c>
      <c r="AD221">
        <f>IF('WetLitterbags placem_collection'!AB222="","",'WetLitterbags placem_collection'!AB222)</f>
        <v>15.2</v>
      </c>
      <c r="AE221">
        <f>IF('WetLitterbags placem_collection'!Z222="","",'WetLitterbags placem_collection'!Z222)</f>
        <v>12.2</v>
      </c>
      <c r="AF221" s="24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71">
        <f>IFERROR(AVERAGE('Dry_Litterbag Placem_Collection'!N222,'Dry_Litterbag Placem_Collection'!Q222),"")</f>
        <v>33.65</v>
      </c>
      <c r="AJ221">
        <v>-2.4396949910000001</v>
      </c>
      <c r="AK221">
        <v>34.838574029999997</v>
      </c>
      <c r="AL221" s="270" t="str">
        <f>IF(ISNUMBER(SEARCH("C", 'Dry_Litterbag Placem_Collection'!S222)),"YES","NO")</f>
        <v>NO</v>
      </c>
      <c r="AM221" s="270" t="str">
        <f>IF(ISNUMBER(SEARCH("H", 'Dry_Litterbag Placem_Collection'!S222)),"YES","NO")</f>
        <v>NO</v>
      </c>
      <c r="AN221" s="270" t="str">
        <f>IF(ISNUMBER(SEARCH("R", 'Dry_Litterbag Placem_Collection'!S222)),"YES","NO")</f>
        <v>YES</v>
      </c>
    </row>
    <row r="222" spans="1:40" ht="15" customHeight="1">
      <c r="A222" s="262" t="s">
        <v>2659</v>
      </c>
      <c r="B222" s="263">
        <f>'Dry_Litterbag Placem_Collection'!A3</f>
        <v>1</v>
      </c>
      <c r="C222" s="263" t="str">
        <f>'Dry_Litterbag Placem_Collection'!B3</f>
        <v>Makao</v>
      </c>
      <c r="D222" s="263" t="s">
        <v>2659</v>
      </c>
      <c r="E222" s="263" t="s">
        <v>2660</v>
      </c>
      <c r="F222" s="263">
        <v>1</v>
      </c>
      <c r="G222" s="264" t="str">
        <f>'Dry_Litterbag Placem_Collection'!C3</f>
        <v>Dry_Ag1_T1</v>
      </c>
      <c r="H222" s="265" t="s">
        <v>2541</v>
      </c>
      <c r="I222" s="272" t="s">
        <v>298</v>
      </c>
      <c r="J222" s="263" t="str">
        <f>IF(ISBLANK('Dry_Litterbag Placem_Collection'!K3),"","R"&amp;""&amp;'Dry_Litterbag Placem_Collection'!K3)</f>
        <v>R811</v>
      </c>
      <c r="K222" s="267">
        <f>IFERROR(INDEX('Green_rooibos initial weight'!$C$5:$C$1749,MATCH(J222, 'Green_rooibos initial weight'!$A$5:$A$1749,0)),"")</f>
        <v>2.226</v>
      </c>
      <c r="L222" s="267">
        <f>IFERROR(K222-(TBIcalc!$Q$9+TBIcalc!$Q$10),"")</f>
        <v>1.9762</v>
      </c>
      <c r="M222" s="391">
        <f>AVERAGE(Ashed_controlls!$K$12:$K$14)</f>
        <v>2.2816647271287041</v>
      </c>
      <c r="N222" s="267">
        <f t="shared" si="16"/>
        <v>1.9311097416624825</v>
      </c>
      <c r="O222" s="267">
        <f>IF(IFERROR(INDEX('Both teabags AfterDry'!$D$3:$D$900,MATCH(J222,'Both teabags AfterDry'!$A$3:$A$900,0)),"")="","",(IFERROR(INDEX('Both teabags AfterDry'!$D$3:$D$900,MATCH(J222,'Both teabags AfterDry'!$A$3:$A$900,0)),"")))</f>
        <v>1.8292999999999999</v>
      </c>
      <c r="P222" s="267">
        <f>IFERROR(IF(O222&gt;0,O222-(TBIcalc!$Q$9),""),"")</f>
        <v>1.6786999999999999</v>
      </c>
      <c r="Q222" s="278">
        <f>IFERROR(INDEX('Ashed teabags dry'!$K$2:$K$825,MATCH(J222,'Ashed teabags dry'!$A$2:$A$825,0)),"")</f>
        <v>3.9233576642330181</v>
      </c>
      <c r="R222" s="278">
        <f t="shared" si="17"/>
        <v>1.6128385948905202</v>
      </c>
      <c r="S222" s="268">
        <f>'Dry_Litterbag Placem_Collection'!E3</f>
        <v>42938</v>
      </c>
      <c r="T222" s="268">
        <f>IF('Dry_Litterbag Placem_Collection'!G3="","",'Dry_Litterbag Placem_Collection'!G3)</f>
        <v>43007</v>
      </c>
      <c r="U222" s="269">
        <f t="shared" si="15"/>
        <v>69</v>
      </c>
      <c r="V222" s="267">
        <f t="shared" si="18"/>
        <v>0.2975000000000001</v>
      </c>
      <c r="W222" s="267">
        <f t="shared" si="19"/>
        <v>0.31827114677196233</v>
      </c>
      <c r="X222" s="271">
        <f>IFERROR(INDEX(Rainfall_Dry!$O$2:$O$217,MATCH(B222, Rainfall_Dry!$A$2:$A$217,0)),"")</f>
        <v>6.900000125</v>
      </c>
      <c r="Y222" s="260">
        <v>12.565665055683967</v>
      </c>
      <c r="Z222" s="260">
        <v>0.9665896196679955</v>
      </c>
      <c r="AA222" s="260">
        <v>86.467745324648035</v>
      </c>
      <c r="AB222" s="261" t="s">
        <v>2672</v>
      </c>
      <c r="AC222" s="260">
        <v>1.0225726959093147</v>
      </c>
      <c r="AD222">
        <f>IF('WetLitterbags placem_collection'!AB3="","",'WetLitterbags placem_collection'!AB3)</f>
        <v>26.4</v>
      </c>
      <c r="AE222">
        <f>IF('WetLitterbags placem_collection'!Z3="","",'WetLitterbags placem_collection'!Z3)</f>
        <v>41</v>
      </c>
      <c r="AF222" s="24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71">
        <f>IFERROR(AVERAGE('Dry_Litterbag Placem_Collection'!N3,'Dry_Litterbag Placem_Collection'!Q3),"")</f>
        <v>26.9</v>
      </c>
      <c r="AJ222" s="270">
        <f>INDEX(Coordinates!$B$2:$B$197,MATCH(G222,Coordinates!$J$2:$J$197,0))</f>
        <v>-3.3978609999999998</v>
      </c>
      <c r="AK222" s="270">
        <f>INDEX(Coordinates!$C$2:$C$197,MATCH(G222,Coordinates!$J$2:$J$197,0))</f>
        <v>34.837608000000003</v>
      </c>
      <c r="AL222" s="270" t="str">
        <f>IF(ISNUMBER(SEARCH("C", 'Dry_Litterbag Placem_Collection'!T3)),"YES","NO")</f>
        <v>NO</v>
      </c>
      <c r="AM222" s="270" t="str">
        <f>IF(ISNUMBER(SEARCH("H", 'Dry_Litterbag Placem_Collection'!T3)),"YES","NO")</f>
        <v>YES</v>
      </c>
      <c r="AN222" s="270" t="str">
        <f>IF(ISNUMBER(SEARCH("R", 'Dry_Litterbag Placem_Collection'!T3)),"YES","NO")</f>
        <v>NO</v>
      </c>
    </row>
    <row r="223" spans="1:40" ht="15" customHeight="1">
      <c r="A223" s="262" t="s">
        <v>2659</v>
      </c>
      <c r="B223" s="263">
        <f>'Dry_Litterbag Placem_Collection'!A4</f>
        <v>2</v>
      </c>
      <c r="C223" s="263" t="str">
        <f>'Dry_Litterbag Placem_Collection'!B4</f>
        <v>Makao</v>
      </c>
      <c r="D223" s="263" t="s">
        <v>2659</v>
      </c>
      <c r="E223" s="263" t="s">
        <v>2660</v>
      </c>
      <c r="F223" s="263">
        <v>1</v>
      </c>
      <c r="G223" s="264" t="str">
        <f>'Dry_Litterbag Placem_Collection'!C4</f>
        <v>Dry_Ag1_T2</v>
      </c>
      <c r="H223" s="265" t="s">
        <v>2541</v>
      </c>
      <c r="I223" s="272" t="s">
        <v>298</v>
      </c>
      <c r="J223" s="263" t="str">
        <f>IF(ISBLANK('Dry_Litterbag Placem_Collection'!K4),"","R"&amp;""&amp;'Dry_Litterbag Placem_Collection'!K4)</f>
        <v/>
      </c>
      <c r="K223" s="267" t="str">
        <f>IFERROR(INDEX('Green_rooibos initial weight'!$C$5:$C$1749,MATCH(J223, 'Green_rooibos initial weight'!$A$5:$A$1749,0)),"")</f>
        <v/>
      </c>
      <c r="L223" s="267" t="str">
        <f>IFERROR(K223-(TBIcalc!$Q$9+TBIcalc!$Q$10),"")</f>
        <v/>
      </c>
      <c r="M223" s="391">
        <f>AVERAGE(Ashed_controlls!$K$12:$K$14)</f>
        <v>2.2816647271287041</v>
      </c>
      <c r="N223" s="267" t="str">
        <f t="shared" si="16"/>
        <v/>
      </c>
      <c r="O223" s="267" t="str">
        <f>IF(IFERROR(INDEX('Both teabags AfterDry'!$D$3:$D$900,MATCH(J223,'Both teabags AfterDry'!$A$3:$A$900,0)),"")="","",(IFERROR(INDEX('Both teabags AfterDry'!$D$3:$D$900,MATCH(J223,'Both teabags AfterDry'!$A$3:$A$900,0)),"")))</f>
        <v/>
      </c>
      <c r="P223" s="267" t="str">
        <f>IFERROR(IF(O223&gt;0,O223-(TBIcalc!$Q$9),""),"")</f>
        <v/>
      </c>
      <c r="Q223" s="278" t="str">
        <f>IFERROR(INDEX('Ashed teabags dry'!$K$2:$K$825,MATCH(J223,'Ashed teabags dry'!$A$2:$A$825,0)),"")</f>
        <v/>
      </c>
      <c r="R223" s="278" t="str">
        <f t="shared" si="17"/>
        <v/>
      </c>
      <c r="S223" s="268">
        <f>'Dry_Litterbag Placem_Collection'!E4</f>
        <v>0</v>
      </c>
      <c r="T223" s="268" t="str">
        <f>IF('Dry_Litterbag Placem_Collection'!G4="","",'Dry_Litterbag Placem_Collection'!G4)</f>
        <v/>
      </c>
      <c r="U223" s="269" t="str">
        <f t="shared" si="15"/>
        <v/>
      </c>
      <c r="V223" s="267" t="str">
        <f t="shared" si="18"/>
        <v/>
      </c>
      <c r="W223" s="267" t="str">
        <f t="shared" si="19"/>
        <v/>
      </c>
      <c r="X223" s="271" t="str">
        <f>IFERROR(INDEX(Rainfall_Dry!$O$2:$O$217,MATCH(B223, Rainfall_Dry!$A$2:$A$217,0)),"")</f>
        <v/>
      </c>
      <c r="Y223" s="260">
        <v>12.565665055683967</v>
      </c>
      <c r="Z223" s="260">
        <v>0.9665896196679955</v>
      </c>
      <c r="AA223" s="260">
        <v>86.467745324648035</v>
      </c>
      <c r="AB223" s="261" t="s">
        <v>2672</v>
      </c>
      <c r="AC223" s="260">
        <v>2.02257269590931</v>
      </c>
      <c r="AD223">
        <f>IF('WetLitterbags placem_collection'!AB4="","",'WetLitterbags placem_collection'!AB4)</f>
        <v>22.4</v>
      </c>
      <c r="AE223">
        <f>IF('WetLitterbags placem_collection'!Z4="","",'WetLitterbags placem_collection'!Z4)</f>
        <v>39.799999999999997</v>
      </c>
      <c r="AF223" s="24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71" t="str">
        <f>IFERROR(AVERAGE('Dry_Litterbag Placem_Collection'!N4,'Dry_Litterbag Placem_Collection'!Q4),"")</f>
        <v/>
      </c>
      <c r="AJ223" s="270">
        <f>INDEX(Coordinates!$B$2:$B$197,MATCH(G223,Coordinates!$J$2:$J$197,0))</f>
        <v>-3.397879042</v>
      </c>
      <c r="AK223" s="270">
        <f>INDEX(Coordinates!$C$2:$C$197,MATCH(G223,Coordinates!$J$2:$J$197,0))</f>
        <v>34.837536010000001</v>
      </c>
      <c r="AL223" s="270" t="str">
        <f>IF(ISNUMBER(SEARCH("C", 'Dry_Litterbag Placem_Collection'!T4)),"YES","NO")</f>
        <v>NO</v>
      </c>
      <c r="AM223" s="270" t="str">
        <f>IF(ISNUMBER(SEARCH("H", 'Dry_Litterbag Placem_Collection'!T4)),"YES","NO")</f>
        <v>NO</v>
      </c>
      <c r="AN223" s="270" t="str">
        <f>IF(ISNUMBER(SEARCH("R", 'Dry_Litterbag Placem_Collection'!T4)),"YES","NO")</f>
        <v>NO</v>
      </c>
    </row>
    <row r="224" spans="1:40" ht="15" customHeight="1">
      <c r="A224" s="262" t="s">
        <v>2659</v>
      </c>
      <c r="B224" s="263">
        <f>'Dry_Litterbag Placem_Collection'!A5</f>
        <v>3</v>
      </c>
      <c r="C224" s="263" t="str">
        <f>'Dry_Litterbag Placem_Collection'!B5</f>
        <v>Makao</v>
      </c>
      <c r="D224" s="263" t="s">
        <v>2659</v>
      </c>
      <c r="E224" s="263" t="s">
        <v>2660</v>
      </c>
      <c r="F224" s="263">
        <v>1</v>
      </c>
      <c r="G224" s="264" t="str">
        <f>'Dry_Litterbag Placem_Collection'!C5</f>
        <v>Dry_Ag1_T3</v>
      </c>
      <c r="H224" s="265" t="s">
        <v>2541</v>
      </c>
      <c r="I224" s="272" t="s">
        <v>298</v>
      </c>
      <c r="J224" s="263" t="str">
        <f>IF(ISBLANK('Dry_Litterbag Placem_Collection'!K5),"","R"&amp;""&amp;'Dry_Litterbag Placem_Collection'!K5)</f>
        <v>R742</v>
      </c>
      <c r="K224" s="267">
        <f>IFERROR(INDEX('Green_rooibos initial weight'!$C$5:$C$1749,MATCH(J224, 'Green_rooibos initial weight'!$A$5:$A$1749,0)),"")</f>
        <v>2.1259999999999999</v>
      </c>
      <c r="L224" s="267">
        <f>IFERROR(K224-(TBIcalc!$Q$9+TBIcalc!$Q$10),"")</f>
        <v>1.8761999999999999</v>
      </c>
      <c r="M224" s="391">
        <f>AVERAGE(Ashed_controlls!$K$12:$K$14)</f>
        <v>2.2816647271287041</v>
      </c>
      <c r="N224" s="267">
        <f t="shared" si="16"/>
        <v>1.8333914063896111</v>
      </c>
      <c r="O224" s="267">
        <f>IF(IFERROR(INDEX('Both teabags AfterDry'!$D$3:$D$900,MATCH(J224,'Both teabags AfterDry'!$A$3:$A$900,0)),"")="","",(IFERROR(INDEX('Both teabags AfterDry'!$D$3:$D$900,MATCH(J224,'Both teabags AfterDry'!$A$3:$A$900,0)),"")))</f>
        <v>1.8767</v>
      </c>
      <c r="P224" s="267">
        <f>IFERROR(IF(O224&gt;0,O224-(TBIcalc!$Q$9),""),"")</f>
        <v>1.7261</v>
      </c>
      <c r="Q224" s="278">
        <f>IFERROR(INDEX('Ashed teabags dry'!$K$2:$K$825,MATCH(J224,'Ashed teabags dry'!$A$2:$A$825,0)),"")</f>
        <v>2.7142857142857459</v>
      </c>
      <c r="R224" s="278">
        <f t="shared" si="17"/>
        <v>1.6792487142857138</v>
      </c>
      <c r="S224" s="268">
        <f>'Dry_Litterbag Placem_Collection'!E5</f>
        <v>42938</v>
      </c>
      <c r="T224" s="268">
        <f>IF('Dry_Litterbag Placem_Collection'!G5="","",'Dry_Litterbag Placem_Collection'!G5)</f>
        <v>43007</v>
      </c>
      <c r="U224" s="269">
        <f t="shared" si="15"/>
        <v>69</v>
      </c>
      <c r="V224" s="267">
        <f t="shared" si="18"/>
        <v>0.1500999999999999</v>
      </c>
      <c r="W224" s="267">
        <f t="shared" si="19"/>
        <v>0.15414269210389731</v>
      </c>
      <c r="X224" s="271">
        <f>IFERROR(INDEX(Rainfall_Dry!$O$2:$O$217,MATCH(B224, Rainfall_Dry!$A$2:$A$217,0)),"")</f>
        <v>6.900000125</v>
      </c>
      <c r="Y224" s="260">
        <v>12.565665055683967</v>
      </c>
      <c r="Z224" s="260">
        <v>0.9665896196679955</v>
      </c>
      <c r="AA224" s="260">
        <v>86.467745324648035</v>
      </c>
      <c r="AB224" s="261" t="s">
        <v>2672</v>
      </c>
      <c r="AC224" s="260">
        <v>3.02257269590931</v>
      </c>
      <c r="AD224" t="str">
        <f>IF('WetLitterbags placem_collection'!AB5="","",'WetLitterbags placem_collection'!AB5)</f>
        <v/>
      </c>
      <c r="AE224" t="str">
        <f>IF('WetLitterbags placem_collection'!Z5="","",'WetLitterbags placem_collection'!Z5)</f>
        <v/>
      </c>
      <c r="AF224" s="24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71">
        <f>IFERROR(AVERAGE('Dry_Litterbag Placem_Collection'!N5,'Dry_Litterbag Placem_Collection'!Q5),"")</f>
        <v>25</v>
      </c>
      <c r="AJ224" s="270">
        <f>INDEX(Coordinates!$B$2:$B$197,MATCH(G224,Coordinates!$J$2:$J$197,0))</f>
        <v>-3.3978739999999998</v>
      </c>
      <c r="AK224" s="270">
        <f>INDEX(Coordinates!$C$2:$C$197,MATCH(G224,Coordinates!$J$2:$J$197,0))</f>
        <v>34.837578999999998</v>
      </c>
      <c r="AL224" s="270" t="str">
        <f>IF(ISNUMBER(SEARCH("C", 'Dry_Litterbag Placem_Collection'!T5)),"YES","NO")</f>
        <v>YES</v>
      </c>
      <c r="AM224" s="270" t="str">
        <f>IF(ISNUMBER(SEARCH("H", 'Dry_Litterbag Placem_Collection'!T5)),"YES","NO")</f>
        <v>YES</v>
      </c>
      <c r="AN224" s="270" t="str">
        <f>IF(ISNUMBER(SEARCH("R", 'Dry_Litterbag Placem_Collection'!T5)),"YES","NO")</f>
        <v>NO</v>
      </c>
    </row>
    <row r="225" spans="1:40" ht="15" customHeight="1">
      <c r="A225" s="262" t="s">
        <v>2659</v>
      </c>
      <c r="B225" s="263">
        <f>'Dry_Litterbag Placem_Collection'!A6</f>
        <v>4</v>
      </c>
      <c r="C225" s="263" t="str">
        <f>'Dry_Litterbag Placem_Collection'!B6</f>
        <v>Makao</v>
      </c>
      <c r="D225" s="263" t="s">
        <v>2659</v>
      </c>
      <c r="E225" s="263" t="s">
        <v>2660</v>
      </c>
      <c r="F225" s="263">
        <v>1</v>
      </c>
      <c r="G225" s="264" t="str">
        <f>'Dry_Litterbag Placem_Collection'!C6</f>
        <v>Dry_Ag1_T4</v>
      </c>
      <c r="H225" s="265" t="s">
        <v>2541</v>
      </c>
      <c r="I225" s="272" t="s">
        <v>298</v>
      </c>
      <c r="J225" s="263" t="str">
        <f>IF(ISBLANK('Dry_Litterbag Placem_Collection'!K6),"","R"&amp;""&amp;'Dry_Litterbag Placem_Collection'!K6)</f>
        <v>R661</v>
      </c>
      <c r="K225" s="267">
        <f>IFERROR(INDEX('Green_rooibos initial weight'!$C$5:$C$1749,MATCH(J225, 'Green_rooibos initial weight'!$A$5:$A$1749,0)),"")</f>
        <v>2.1629999999999998</v>
      </c>
      <c r="L225" s="267">
        <f>IFERROR(K225-(TBIcalc!$Q$9+TBIcalc!$Q$10),"")</f>
        <v>1.9131999999999998</v>
      </c>
      <c r="M225" s="391">
        <f>AVERAGE(Ashed_controlls!$K$12:$K$14)</f>
        <v>2.2816647271287041</v>
      </c>
      <c r="N225" s="267">
        <f t="shared" si="16"/>
        <v>1.8695471904405734</v>
      </c>
      <c r="O225" s="267">
        <f>IF(IFERROR(INDEX('Both teabags AfterDry'!$D$3:$D$900,MATCH(J225,'Both teabags AfterDry'!$A$3:$A$900,0)),"")="","",(IFERROR(INDEX('Both teabags AfterDry'!$D$3:$D$900,MATCH(J225,'Both teabags AfterDry'!$A$3:$A$900,0)),"")))</f>
        <v>1.837</v>
      </c>
      <c r="P225" s="267">
        <f>IFERROR(IF(O225&gt;0,O225-(TBIcalc!$Q$9),""),"")</f>
        <v>1.6863999999999999</v>
      </c>
      <c r="Q225" s="278">
        <f>IFERROR(INDEX('Ashed teabags dry'!$K$2:$K$825,MATCH(J225,'Ashed teabags dry'!$A$2:$A$825,0)),"")</f>
        <v>2.5594149908590014</v>
      </c>
      <c r="R225" s="278">
        <f t="shared" si="17"/>
        <v>1.6432380255941537</v>
      </c>
      <c r="S225" s="268">
        <f>'Dry_Litterbag Placem_Collection'!E6</f>
        <v>42938</v>
      </c>
      <c r="T225" s="268">
        <f>IF('Dry_Litterbag Placem_Collection'!G6="","",'Dry_Litterbag Placem_Collection'!G6)</f>
        <v>43007</v>
      </c>
      <c r="U225" s="269">
        <f t="shared" si="15"/>
        <v>69</v>
      </c>
      <c r="V225" s="267">
        <f t="shared" si="18"/>
        <v>0.22679999999999989</v>
      </c>
      <c r="W225" s="267">
        <f t="shared" si="19"/>
        <v>0.22630916484641972</v>
      </c>
      <c r="X225" s="271">
        <f>IFERROR(INDEX(Rainfall_Dry!$O$2:$O$217,MATCH(B225, Rainfall_Dry!$A$2:$A$217,0)),"")</f>
        <v>6.900000125</v>
      </c>
      <c r="Y225" s="260">
        <v>12.565665055683967</v>
      </c>
      <c r="Z225" s="260">
        <v>0.9665896196679955</v>
      </c>
      <c r="AA225" s="260">
        <v>86.467745324648035</v>
      </c>
      <c r="AB225" s="261" t="s">
        <v>2672</v>
      </c>
      <c r="AC225" s="260">
        <v>4.02257269590931</v>
      </c>
      <c r="AD225" t="str">
        <f>IF('WetLitterbags placem_collection'!AB6="","",'WetLitterbags placem_collection'!AB6)</f>
        <v/>
      </c>
      <c r="AE225" t="str">
        <f>IF('WetLitterbags placem_collection'!Z6="","",'WetLitterbags placem_collection'!Z6)</f>
        <v/>
      </c>
      <c r="AF225" s="24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71">
        <f>IFERROR(AVERAGE('Dry_Litterbag Placem_Collection'!N6,'Dry_Litterbag Placem_Collection'!Q6),"")</f>
        <v>27.35</v>
      </c>
      <c r="AJ225" s="270">
        <f>INDEX(Coordinates!$B$2:$B$197,MATCH(G225,Coordinates!$J$2:$J$197,0))</f>
        <v>-3.3977780399999999</v>
      </c>
      <c r="AK225" s="270">
        <f>INDEX(Coordinates!$C$2:$C$197,MATCH(G225,Coordinates!$J$2:$J$197,0))</f>
        <v>34.83751204</v>
      </c>
      <c r="AL225" s="270" t="str">
        <f>IF(ISNUMBER(SEARCH("C", 'Dry_Litterbag Placem_Collection'!T6)),"YES","NO")</f>
        <v>NO</v>
      </c>
      <c r="AM225" s="270" t="str">
        <f>IF(ISNUMBER(SEARCH("H", 'Dry_Litterbag Placem_Collection'!T6)),"YES","NO")</f>
        <v>YES</v>
      </c>
      <c r="AN225" s="270" t="str">
        <f>IF(ISNUMBER(SEARCH("R", 'Dry_Litterbag Placem_Collection'!T6)),"YES","NO")</f>
        <v>NO</v>
      </c>
    </row>
    <row r="226" spans="1:40" ht="15" customHeight="1">
      <c r="A226" s="262" t="s">
        <v>2659</v>
      </c>
      <c r="B226" s="263">
        <f>'Dry_Litterbag Placem_Collection'!A7</f>
        <v>5</v>
      </c>
      <c r="C226" s="263" t="str">
        <f>'Dry_Litterbag Placem_Collection'!B7</f>
        <v>Makao</v>
      </c>
      <c r="D226" s="263" t="s">
        <v>2659</v>
      </c>
      <c r="E226" s="263" t="s">
        <v>2660</v>
      </c>
      <c r="F226" s="263">
        <v>1</v>
      </c>
      <c r="G226" s="264" t="str">
        <f>'Dry_Litterbag Placem_Collection'!C7</f>
        <v>Dry_Ag1_T5</v>
      </c>
      <c r="H226" s="265" t="s">
        <v>2541</v>
      </c>
      <c r="I226" s="272" t="s">
        <v>298</v>
      </c>
      <c r="J226" s="263" t="str">
        <f>IF(ISBLANK('Dry_Litterbag Placem_Collection'!K7),"","R"&amp;""&amp;'Dry_Litterbag Placem_Collection'!K7)</f>
        <v>R724</v>
      </c>
      <c r="K226" s="267">
        <f>IFERROR(INDEX('Green_rooibos initial weight'!$C$5:$C$1749,MATCH(J226, 'Green_rooibos initial weight'!$A$5:$A$1749,0)),"")</f>
        <v>2.149</v>
      </c>
      <c r="L226" s="267">
        <f>IFERROR(K226-(TBIcalc!$Q$9+TBIcalc!$Q$10),"")</f>
        <v>1.8992</v>
      </c>
      <c r="M226" s="391">
        <f>AVERAGE(Ashed_controlls!$K$12:$K$14)</f>
        <v>2.2816647271287041</v>
      </c>
      <c r="N226" s="267">
        <f t="shared" si="16"/>
        <v>1.8558666235023717</v>
      </c>
      <c r="O226" s="267" t="str">
        <f>IF(IFERROR(INDEX('Both teabags AfterDry'!$D$3:$D$900,MATCH(J226,'Both teabags AfterDry'!$A$3:$A$900,0)),"")="","",(IFERROR(INDEX('Both teabags AfterDry'!$D$3:$D$900,MATCH(J226,'Both teabags AfterDry'!$A$3:$A$900,0)),"")))</f>
        <v/>
      </c>
      <c r="P226" s="267" t="str">
        <f>IFERROR(IF(O226&gt;0,O226-(TBIcalc!$Q$9),""),"")</f>
        <v/>
      </c>
      <c r="Q226" s="278" t="str">
        <f>IFERROR(INDEX('Ashed teabags dry'!$K$2:$K$825,MATCH(J226,'Ashed teabags dry'!$A$2:$A$825,0)),"")</f>
        <v/>
      </c>
      <c r="R226" s="278" t="str">
        <f t="shared" si="17"/>
        <v/>
      </c>
      <c r="S226" s="268">
        <f>'Dry_Litterbag Placem_Collection'!E7</f>
        <v>42938</v>
      </c>
      <c r="T226" s="268" t="str">
        <f>IF('Dry_Litterbag Placem_Collection'!G7="","",'Dry_Litterbag Placem_Collection'!G7)</f>
        <v/>
      </c>
      <c r="U226" s="269" t="str">
        <f t="shared" si="15"/>
        <v/>
      </c>
      <c r="V226" s="267" t="str">
        <f t="shared" si="18"/>
        <v/>
      </c>
      <c r="W226" s="267" t="str">
        <f t="shared" si="19"/>
        <v/>
      </c>
      <c r="X226" s="271" t="str">
        <f>IFERROR(INDEX(Rainfall_Dry!$O$2:$O$217,MATCH(B226, Rainfall_Dry!$A$2:$A$217,0)),"")</f>
        <v/>
      </c>
      <c r="Y226" s="260">
        <v>12.565665055683967</v>
      </c>
      <c r="Z226" s="260">
        <v>0.9665896196679955</v>
      </c>
      <c r="AA226" s="260">
        <v>86.467745324648035</v>
      </c>
      <c r="AB226" s="261" t="s">
        <v>2672</v>
      </c>
      <c r="AC226" s="260">
        <v>5.02257269590931</v>
      </c>
      <c r="AD226">
        <f>IF('WetLitterbags placem_collection'!AB7="","",'WetLitterbags placem_collection'!AB7)</f>
        <v>28.4</v>
      </c>
      <c r="AE226">
        <f>IF('WetLitterbags placem_collection'!Z7="","",'WetLitterbags placem_collection'!Z7)</f>
        <v>36.4</v>
      </c>
      <c r="AF226" s="24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71">
        <f>IFERROR(AVERAGE('Dry_Litterbag Placem_Collection'!N7,'Dry_Litterbag Placem_Collection'!Q7),"")</f>
        <v>26.7</v>
      </c>
      <c r="AJ226" s="270">
        <f>INDEX(Coordinates!$B$2:$B$197,MATCH(G226,Coordinates!$J$2:$J$197,0))</f>
        <v>-3.3978020120000001</v>
      </c>
      <c r="AK226" s="270">
        <f>INDEX(Coordinates!$C$2:$C$197,MATCH(G226,Coordinates!$J$2:$J$197,0))</f>
        <v>34.83751204</v>
      </c>
      <c r="AL226" s="270" t="str">
        <f>IF(ISNUMBER(SEARCH("C", 'Dry_Litterbag Placem_Collection'!T7)),"YES","NO")</f>
        <v>NO</v>
      </c>
      <c r="AM226" s="270" t="str">
        <f>IF(ISNUMBER(SEARCH("H", 'Dry_Litterbag Placem_Collection'!T7)),"YES","NO")</f>
        <v>NO</v>
      </c>
      <c r="AN226" s="270" t="str">
        <f>IF(ISNUMBER(SEARCH("R", 'Dry_Litterbag Placem_Collection'!T7)),"YES","NO")</f>
        <v>NO</v>
      </c>
    </row>
    <row r="227" spans="1:40" ht="15" customHeight="1">
      <c r="A227" s="262" t="s">
        <v>2659</v>
      </c>
      <c r="B227" s="263">
        <f>'Dry_Litterbag Placem_Collection'!A8</f>
        <v>6</v>
      </c>
      <c r="C227" s="263" t="str">
        <f>'Dry_Litterbag Placem_Collection'!B8</f>
        <v>Makao</v>
      </c>
      <c r="D227" s="263" t="s">
        <v>2659</v>
      </c>
      <c r="E227" s="263" t="s">
        <v>2660</v>
      </c>
      <c r="F227" s="263">
        <v>1</v>
      </c>
      <c r="G227" s="264" t="str">
        <f>'Dry_Litterbag Placem_Collection'!C8</f>
        <v>Dry_Ag1_T6</v>
      </c>
      <c r="H227" s="265" t="s">
        <v>2541</v>
      </c>
      <c r="I227" s="272" t="s">
        <v>298</v>
      </c>
      <c r="J227" s="263" t="str">
        <f>IF(ISBLANK('Dry_Litterbag Placem_Collection'!K8),"","R"&amp;""&amp;'Dry_Litterbag Placem_Collection'!K8)</f>
        <v>R688</v>
      </c>
      <c r="K227" s="267">
        <f>IFERROR(INDEX('Green_rooibos initial weight'!$C$5:$C$1749,MATCH(J227, 'Green_rooibos initial weight'!$A$5:$A$1749,0)),"")</f>
        <v>2.1709999999999998</v>
      </c>
      <c r="L227" s="267">
        <f>IFERROR(K227-(TBIcalc!$Q$9+TBIcalc!$Q$10),"")</f>
        <v>1.9211999999999998</v>
      </c>
      <c r="M227" s="391">
        <f>AVERAGE(Ashed_controlls!$K$12:$K$14)</f>
        <v>2.2816647271287041</v>
      </c>
      <c r="N227" s="267">
        <f t="shared" si="16"/>
        <v>1.8773646572624032</v>
      </c>
      <c r="O227" s="267" t="str">
        <f>IF(IFERROR(INDEX('Both teabags AfterDry'!$D$3:$D$900,MATCH(J227,'Both teabags AfterDry'!$A$3:$A$900,0)),"")="","",(IFERROR(INDEX('Both teabags AfterDry'!$D$3:$D$900,MATCH(J227,'Both teabags AfterDry'!$A$3:$A$900,0)),"")))</f>
        <v/>
      </c>
      <c r="P227" s="267" t="str">
        <f>IFERROR(IF(O227&gt;0,O227-(TBIcalc!$Q$9),""),"")</f>
        <v/>
      </c>
      <c r="Q227" s="278" t="str">
        <f>IFERROR(INDEX('Ashed teabags dry'!$K$2:$K$825,MATCH(J227,'Ashed teabags dry'!$A$2:$A$825,0)),"")</f>
        <v/>
      </c>
      <c r="R227" s="278" t="str">
        <f t="shared" si="17"/>
        <v/>
      </c>
      <c r="S227" s="268">
        <f>'Dry_Litterbag Placem_Collection'!E8</f>
        <v>42938</v>
      </c>
      <c r="T227" s="268">
        <f>IF('Dry_Litterbag Placem_Collection'!G8="","",'Dry_Litterbag Placem_Collection'!G8)</f>
        <v>43007</v>
      </c>
      <c r="U227" s="269">
        <f t="shared" si="15"/>
        <v>69</v>
      </c>
      <c r="V227" s="267" t="str">
        <f t="shared" si="18"/>
        <v/>
      </c>
      <c r="W227" s="267" t="str">
        <f t="shared" si="19"/>
        <v/>
      </c>
      <c r="X227" s="271">
        <f>IFERROR(INDEX(Rainfall_Dry!$O$2:$O$217,MATCH(B227, Rainfall_Dry!$A$2:$A$217,0)),"")</f>
        <v>6.900000125</v>
      </c>
      <c r="Y227" s="260">
        <v>12.565665055683967</v>
      </c>
      <c r="Z227" s="260">
        <v>0.9665896196679955</v>
      </c>
      <c r="AA227" s="260">
        <v>86.467745324648035</v>
      </c>
      <c r="AB227" s="261" t="s">
        <v>2672</v>
      </c>
      <c r="AC227" s="260">
        <v>6.02257269590931</v>
      </c>
      <c r="AD227">
        <f>IF('WetLitterbags placem_collection'!AB8="","",'WetLitterbags placem_collection'!AB8)</f>
        <v>32.4</v>
      </c>
      <c r="AE227">
        <f>IF('WetLitterbags placem_collection'!Z8="","",'WetLitterbags placem_collection'!Z8)</f>
        <v>31</v>
      </c>
      <c r="AF227" s="24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71">
        <f>IFERROR(AVERAGE('Dry_Litterbag Placem_Collection'!N8,'Dry_Litterbag Placem_Collection'!Q8),"")</f>
        <v>26.6</v>
      </c>
      <c r="AJ227" s="270">
        <f>INDEX(Coordinates!$B$2:$B$197,MATCH(G227,Coordinates!$J$2:$J$197,0))</f>
        <v>-3.3977389800000002</v>
      </c>
      <c r="AK227" s="270">
        <f>INDEX(Coordinates!$C$2:$C$197,MATCH(G227,Coordinates!$J$2:$J$197,0))</f>
        <v>34.837501979999999</v>
      </c>
      <c r="AL227" s="270" t="str">
        <f>IF(ISNUMBER(SEARCH("C", 'Dry_Litterbag Placem_Collection'!T8)),"YES","NO")</f>
        <v>NO</v>
      </c>
      <c r="AM227" s="270" t="str">
        <f>IF(ISNUMBER(SEARCH("H", 'Dry_Litterbag Placem_Collection'!T8)),"YES","NO")</f>
        <v>NO</v>
      </c>
      <c r="AN227" s="270" t="str">
        <f>IF(ISNUMBER(SEARCH("R", 'Dry_Litterbag Placem_Collection'!T8)),"YES","NO")</f>
        <v>NO</v>
      </c>
    </row>
    <row r="228" spans="1:40" ht="15" customHeight="1">
      <c r="A228" s="262" t="s">
        <v>2659</v>
      </c>
      <c r="B228" s="263">
        <f>'Dry_Litterbag Placem_Collection'!A9</f>
        <v>7</v>
      </c>
      <c r="C228" s="263" t="str">
        <f>'Dry_Litterbag Placem_Collection'!B9</f>
        <v>Makao</v>
      </c>
      <c r="D228" s="263" t="s">
        <v>2659</v>
      </c>
      <c r="E228" s="263" t="s">
        <v>2660</v>
      </c>
      <c r="F228" s="263">
        <v>1</v>
      </c>
      <c r="G228" s="264" t="str">
        <f>'Dry_Litterbag Placem_Collection'!C9</f>
        <v>Dry_Ag1_T7</v>
      </c>
      <c r="H228" s="265" t="s">
        <v>2541</v>
      </c>
      <c r="I228" s="272" t="s">
        <v>298</v>
      </c>
      <c r="J228" s="263" t="str">
        <f>IF(ISBLANK('Dry_Litterbag Placem_Collection'!K9),"","R"&amp;""&amp;'Dry_Litterbag Placem_Collection'!K9)</f>
        <v>R762</v>
      </c>
      <c r="K228" s="267">
        <f>IFERROR(INDEX('Green_rooibos initial weight'!$C$5:$C$1749,MATCH(J228, 'Green_rooibos initial weight'!$A$5:$A$1749,0)),"")</f>
        <v>2.1949999999999998</v>
      </c>
      <c r="L228" s="267">
        <f>IFERROR(K228-(TBIcalc!$Q$9+TBIcalc!$Q$10),"")</f>
        <v>1.9451999999999998</v>
      </c>
      <c r="M228" s="391">
        <f>AVERAGE(Ashed_controlls!$K$12:$K$14)</f>
        <v>2.2816647271287041</v>
      </c>
      <c r="N228" s="267">
        <f t="shared" si="16"/>
        <v>1.9008170577278922</v>
      </c>
      <c r="O228" s="267">
        <f>IF(IFERROR(INDEX('Both teabags AfterDry'!$D$3:$D$900,MATCH(J228,'Both teabags AfterDry'!$A$3:$A$900,0)),"")="","",(IFERROR(INDEX('Both teabags AfterDry'!$D$3:$D$900,MATCH(J228,'Both teabags AfterDry'!$A$3:$A$900,0)),"")))</f>
        <v>1.7052</v>
      </c>
      <c r="P228" s="267">
        <f>IFERROR(IF(O228&gt;0,O228-(TBIcalc!$Q$9),""),"")</f>
        <v>1.5546</v>
      </c>
      <c r="Q228" s="278">
        <f>IFERROR(INDEX('Ashed teabags dry'!$K$2:$K$825,MATCH(J228,'Ashed teabags dry'!$A$2:$A$825,0)),"")</f>
        <v>6.2499999999996207</v>
      </c>
      <c r="R228" s="278">
        <f t="shared" si="17"/>
        <v>1.4574375000000059</v>
      </c>
      <c r="S228" s="268">
        <f>'Dry_Litterbag Placem_Collection'!E9</f>
        <v>42938</v>
      </c>
      <c r="T228" s="268">
        <f>IF('Dry_Litterbag Placem_Collection'!G9="","",'Dry_Litterbag Placem_Collection'!G9)</f>
        <v>43007</v>
      </c>
      <c r="U228" s="269">
        <f t="shared" si="15"/>
        <v>69</v>
      </c>
      <c r="V228" s="267">
        <f t="shared" si="18"/>
        <v>0.39059999999999984</v>
      </c>
      <c r="W228" s="267">
        <f t="shared" si="19"/>
        <v>0.44337955772788629</v>
      </c>
      <c r="X228" s="271">
        <f>IFERROR(INDEX(Rainfall_Dry!$O$2:$O$217,MATCH(B228, Rainfall_Dry!$A$2:$A$217,0)),"")</f>
        <v>6.900000125</v>
      </c>
      <c r="Y228" s="260">
        <v>12.565665055683967</v>
      </c>
      <c r="Z228" s="260">
        <v>0.9665896196679955</v>
      </c>
      <c r="AA228" s="260">
        <v>86.467745324648035</v>
      </c>
      <c r="AB228" s="261" t="s">
        <v>2672</v>
      </c>
      <c r="AC228" s="260">
        <v>7.02257269590931</v>
      </c>
      <c r="AD228">
        <f>IF('WetLitterbags placem_collection'!AB9="","",'WetLitterbags placem_collection'!AB9)</f>
        <v>36</v>
      </c>
      <c r="AE228">
        <f>IF('WetLitterbags placem_collection'!Z9="","",'WetLitterbags placem_collection'!Z9)</f>
        <v>43.4</v>
      </c>
      <c r="AF228" s="24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71">
        <f>IFERROR(AVERAGE('Dry_Litterbag Placem_Collection'!N9,'Dry_Litterbag Placem_Collection'!Q9),"")</f>
        <v>24.75</v>
      </c>
      <c r="AJ228" s="270">
        <f>INDEX(Coordinates!$B$2:$B$197,MATCH(G228,Coordinates!$J$2:$J$197,0))</f>
        <v>-3.3977630360000002</v>
      </c>
      <c r="AK228" s="270">
        <f>INDEX(Coordinates!$C$2:$C$197,MATCH(G228,Coordinates!$J$2:$J$197,0))</f>
        <v>34.837600969999997</v>
      </c>
      <c r="AL228" s="270" t="str">
        <f>IF(ISNUMBER(SEARCH("C", 'Dry_Litterbag Placem_Collection'!T9)),"YES","NO")</f>
        <v>NO</v>
      </c>
      <c r="AM228" s="270" t="str">
        <f>IF(ISNUMBER(SEARCH("H", 'Dry_Litterbag Placem_Collection'!T9)),"YES","NO")</f>
        <v>YES</v>
      </c>
      <c r="AN228" s="270" t="str">
        <f>IF(ISNUMBER(SEARCH("R", 'Dry_Litterbag Placem_Collection'!T9)),"YES","NO")</f>
        <v>NO</v>
      </c>
    </row>
    <row r="229" spans="1:40" ht="15" customHeight="1">
      <c r="A229" s="262" t="s">
        <v>2659</v>
      </c>
      <c r="B229" s="263">
        <f>'Dry_Litterbag Placem_Collection'!A10</f>
        <v>8</v>
      </c>
      <c r="C229" s="263" t="str">
        <f>'Dry_Litterbag Placem_Collection'!B10</f>
        <v>Makao</v>
      </c>
      <c r="D229" s="263" t="s">
        <v>2659</v>
      </c>
      <c r="E229" s="263" t="s">
        <v>2660</v>
      </c>
      <c r="F229" s="263">
        <v>1</v>
      </c>
      <c r="G229" s="264" t="str">
        <f>'Dry_Litterbag Placem_Collection'!C10</f>
        <v>Dry_Ag1_T8</v>
      </c>
      <c r="H229" s="265" t="s">
        <v>2541</v>
      </c>
      <c r="I229" s="272" t="s">
        <v>298</v>
      </c>
      <c r="J229" s="263" t="str">
        <f>IF(ISBLANK('Dry_Litterbag Placem_Collection'!K10),"","R"&amp;""&amp;'Dry_Litterbag Placem_Collection'!K10)</f>
        <v>R727</v>
      </c>
      <c r="K229" s="267">
        <f>IFERROR(INDEX('Green_rooibos initial weight'!$C$5:$C$1749,MATCH(J229, 'Green_rooibos initial weight'!$A$5:$A$1749,0)),"")</f>
        <v>2.1629999999999998</v>
      </c>
      <c r="L229" s="267">
        <f>IFERROR(K229-(TBIcalc!$Q$9+TBIcalc!$Q$10),"")</f>
        <v>1.9131999999999998</v>
      </c>
      <c r="M229" s="391">
        <f>AVERAGE(Ashed_controlls!$K$12:$K$14)</f>
        <v>2.2816647271287041</v>
      </c>
      <c r="N229" s="267">
        <f t="shared" si="16"/>
        <v>1.8695471904405734</v>
      </c>
      <c r="O229" s="267" t="str">
        <f>IF(IFERROR(INDEX('Both teabags AfterDry'!$D$3:$D$900,MATCH(J229,'Both teabags AfterDry'!$A$3:$A$900,0)),"")="","",(IFERROR(INDEX('Both teabags AfterDry'!$D$3:$D$900,MATCH(J229,'Both teabags AfterDry'!$A$3:$A$900,0)),"")))</f>
        <v/>
      </c>
      <c r="P229" s="267" t="str">
        <f>IFERROR(IF(O229&gt;0,O229-(TBIcalc!$Q$9),""),"")</f>
        <v/>
      </c>
      <c r="Q229" s="278">
        <f>IFERROR(INDEX('Ashed teabags dry'!$K$2:$K$825,MATCH(J229,'Ashed teabags dry'!$A$2:$A$825,0)),"")</f>
        <v>91.762114537445356</v>
      </c>
      <c r="R229" s="278" t="str">
        <f t="shared" si="17"/>
        <v/>
      </c>
      <c r="S229" s="268">
        <f>'Dry_Litterbag Placem_Collection'!E10</f>
        <v>42938</v>
      </c>
      <c r="T229" s="268">
        <f>IF('Dry_Litterbag Placem_Collection'!G10="","",'Dry_Litterbag Placem_Collection'!G10)</f>
        <v>43007</v>
      </c>
      <c r="U229" s="269">
        <f t="shared" si="15"/>
        <v>69</v>
      </c>
      <c r="V229" s="267" t="str">
        <f t="shared" si="18"/>
        <v/>
      </c>
      <c r="W229" s="267" t="str">
        <f t="shared" si="19"/>
        <v/>
      </c>
      <c r="X229" s="271">
        <f>IFERROR(INDEX(Rainfall_Dry!$O$2:$O$217,MATCH(B229, Rainfall_Dry!$A$2:$A$217,0)),"")</f>
        <v>6.900000125</v>
      </c>
      <c r="Y229" s="260">
        <v>12.565665055683967</v>
      </c>
      <c r="Z229" s="260">
        <v>0.9665896196679955</v>
      </c>
      <c r="AA229" s="260">
        <v>86.467745324648035</v>
      </c>
      <c r="AB229" s="261" t="s">
        <v>2672</v>
      </c>
      <c r="AC229" s="260">
        <v>8.0225726959093109</v>
      </c>
      <c r="AD229">
        <f>IF('WetLitterbags placem_collection'!AB10="","",'WetLitterbags placem_collection'!AB10)</f>
        <v>36</v>
      </c>
      <c r="AE229">
        <f>IF('WetLitterbags placem_collection'!Z10="","",'WetLitterbags placem_collection'!Z10)</f>
        <v>38.4</v>
      </c>
      <c r="AF229" s="24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71">
        <f>IFERROR(AVERAGE('Dry_Litterbag Placem_Collection'!N10,'Dry_Litterbag Placem_Collection'!Q10),"")</f>
        <v>26</v>
      </c>
      <c r="AJ229" s="270">
        <f>INDEX(Coordinates!$B$2:$B$197,MATCH(G229,Coordinates!$J$2:$J$197,0))</f>
        <v>-3.3977320230000001</v>
      </c>
      <c r="AK229" s="270">
        <f>INDEX(Coordinates!$C$2:$C$197,MATCH(G229,Coordinates!$J$2:$J$197,0))</f>
        <v>34.837561989999998</v>
      </c>
      <c r="AL229" s="270" t="str">
        <f>IF(ISNUMBER(SEARCH("C", 'Dry_Litterbag Placem_Collection'!T10)),"YES","NO")</f>
        <v>NO</v>
      </c>
      <c r="AM229" s="270" t="str">
        <f>IF(ISNUMBER(SEARCH("H", 'Dry_Litterbag Placem_Collection'!T10)),"YES","NO")</f>
        <v>NO</v>
      </c>
      <c r="AN229" s="270" t="str">
        <f>IF(ISNUMBER(SEARCH("R", 'Dry_Litterbag Placem_Collection'!T10)),"YES","NO")</f>
        <v>NO</v>
      </c>
    </row>
    <row r="230" spans="1:40" ht="15" customHeight="1">
      <c r="A230" s="262" t="s">
        <v>2659</v>
      </c>
      <c r="B230" s="263">
        <f>'Dry_Litterbag Placem_Collection'!A11</f>
        <v>9</v>
      </c>
      <c r="C230" s="263" t="str">
        <f>'Dry_Litterbag Placem_Collection'!B11</f>
        <v>Makao</v>
      </c>
      <c r="D230" s="263" t="s">
        <v>2659</v>
      </c>
      <c r="E230" s="263" t="s">
        <v>2660</v>
      </c>
      <c r="F230" s="263">
        <v>2</v>
      </c>
      <c r="G230" s="264" t="str">
        <f>'Dry_Litterbag Placem_Collection'!C11</f>
        <v>Dry_Ag2_T1</v>
      </c>
      <c r="H230" s="265" t="s">
        <v>2541</v>
      </c>
      <c r="I230" s="272" t="s">
        <v>298</v>
      </c>
      <c r="J230" s="263" t="str">
        <f>IF(ISBLANK('Dry_Litterbag Placem_Collection'!K11),"","R"&amp;""&amp;'Dry_Litterbag Placem_Collection'!K11)</f>
        <v>R785</v>
      </c>
      <c r="K230" s="267">
        <f>IFERROR(INDEX('Green_rooibos initial weight'!$C$5:$C$1749,MATCH(J230, 'Green_rooibos initial weight'!$A$5:$A$1749,0)),"")</f>
        <v>2.2549999999999999</v>
      </c>
      <c r="L230" s="267">
        <f>IFERROR(K230-(TBIcalc!$Q$9+TBIcalc!$Q$10),"")</f>
        <v>2.0051999999999999</v>
      </c>
      <c r="M230" s="391">
        <f>AVERAGE(Ashed_controlls!$K$12:$K$14)</f>
        <v>2.2816647271287041</v>
      </c>
      <c r="N230" s="267">
        <f t="shared" si="16"/>
        <v>1.959448058891615</v>
      </c>
      <c r="O230" s="267">
        <f>IF(IFERROR(INDEX('Both teabags AfterDry'!$D$3:$D$900,MATCH(J230,'Both teabags AfterDry'!$A$3:$A$900,0)),"")="","",(IFERROR(INDEX('Both teabags AfterDry'!$D$3:$D$900,MATCH(J230,'Both teabags AfterDry'!$A$3:$A$900,0)),"")))</f>
        <v>3.7812999999999999</v>
      </c>
      <c r="P230" s="267">
        <f>IFERROR(IF(O230&gt;0,O230-(TBIcalc!$Q$9),""),"")</f>
        <v>3.6307</v>
      </c>
      <c r="Q230" s="278">
        <f>IFERROR(INDEX('Ashed teabags dry'!$K$2:$K$825,MATCH(J230,'Ashed teabags dry'!$A$2:$A$825,0)),"")</f>
        <v>96.078431372548579</v>
      </c>
      <c r="R230" s="278">
        <f t="shared" si="17"/>
        <v>0.1423803921568787</v>
      </c>
      <c r="S230" s="268">
        <f>'Dry_Litterbag Placem_Collection'!E11</f>
        <v>42938</v>
      </c>
      <c r="T230" s="268">
        <f>IF('Dry_Litterbag Placem_Collection'!G11="","",'Dry_Litterbag Placem_Collection'!G11)</f>
        <v>43007</v>
      </c>
      <c r="U230" s="269">
        <f t="shared" si="15"/>
        <v>69</v>
      </c>
      <c r="V230" s="267">
        <f t="shared" si="18"/>
        <v>-1.6255000000000002</v>
      </c>
      <c r="W230" s="267">
        <f t="shared" si="19"/>
        <v>1.8170676667347363</v>
      </c>
      <c r="X230" s="271">
        <f>IFERROR(INDEX(Rainfall_Dry!$O$2:$O$217,MATCH(B230, Rainfall_Dry!$A$2:$A$217,0)),"")</f>
        <v>6.900000125</v>
      </c>
      <c r="Y230" s="260">
        <v>21.13063730679653</v>
      </c>
      <c r="Z230" s="260">
        <v>3.0912555579081076</v>
      </c>
      <c r="AA230" s="260">
        <v>75.778107135295357</v>
      </c>
      <c r="AB230" s="261" t="s">
        <v>2670</v>
      </c>
      <c r="AC230" s="260">
        <v>0.46131099063578063</v>
      </c>
      <c r="AD230">
        <f>IF('WetLitterbags placem_collection'!AB11="","",'WetLitterbags placem_collection'!AB11)</f>
        <v>10.8</v>
      </c>
      <c r="AE230">
        <f>IF('WetLitterbags placem_collection'!Z11="","",'WetLitterbags placem_collection'!Z11)</f>
        <v>28.4</v>
      </c>
      <c r="AF230" s="24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71">
        <f>IFERROR(AVERAGE('Dry_Litterbag Placem_Collection'!N11,'Dry_Litterbag Placem_Collection'!Q11),"")</f>
        <v>26.15</v>
      </c>
      <c r="AJ230" s="270">
        <f>INDEX(Coordinates!$B$2:$B$197,MATCH(G230,Coordinates!$J$2:$J$197,0))</f>
        <v>-3.3978290019999999</v>
      </c>
      <c r="AK230" s="270">
        <f>INDEX(Coordinates!$C$2:$C$197,MATCH(G230,Coordinates!$J$2:$J$197,0))</f>
        <v>34.837011969999999</v>
      </c>
      <c r="AL230" s="270" t="str">
        <f>IF(ISNUMBER(SEARCH("C", 'Dry_Litterbag Placem_Collection'!T11)),"YES","NO")</f>
        <v>YES</v>
      </c>
      <c r="AM230" s="270" t="str">
        <f>IF(ISNUMBER(SEARCH("H", 'Dry_Litterbag Placem_Collection'!T11)),"YES","NO")</f>
        <v>NO</v>
      </c>
      <c r="AN230" s="270" t="str">
        <f>IF(ISNUMBER(SEARCH("R", 'Dry_Litterbag Placem_Collection'!T11)),"YES","NO")</f>
        <v>NO</v>
      </c>
    </row>
    <row r="231" spans="1:40" ht="15" customHeight="1">
      <c r="A231" s="262" t="s">
        <v>2659</v>
      </c>
      <c r="B231" s="263">
        <f>'Dry_Litterbag Placem_Collection'!A12</f>
        <v>10</v>
      </c>
      <c r="C231" s="263" t="str">
        <f>'Dry_Litterbag Placem_Collection'!B12</f>
        <v>Makao</v>
      </c>
      <c r="D231" s="263" t="s">
        <v>2659</v>
      </c>
      <c r="E231" s="263" t="s">
        <v>2660</v>
      </c>
      <c r="F231" s="263">
        <v>2</v>
      </c>
      <c r="G231" s="264" t="str">
        <f>'Dry_Litterbag Placem_Collection'!C12</f>
        <v>Dry_Ag2_T2</v>
      </c>
      <c r="H231" s="265" t="s">
        <v>2541</v>
      </c>
      <c r="I231" s="272" t="s">
        <v>298</v>
      </c>
      <c r="J231" s="263" t="str">
        <f>IF(ISBLANK('Dry_Litterbag Placem_Collection'!K12),"","R"&amp;""&amp;'Dry_Litterbag Placem_Collection'!K12)</f>
        <v>R747</v>
      </c>
      <c r="K231" s="267">
        <f>IFERROR(INDEX('Green_rooibos initial weight'!$C$5:$C$1749,MATCH(J231, 'Green_rooibos initial weight'!$A$5:$A$1749,0)),"")</f>
        <v>2.1549999999999998</v>
      </c>
      <c r="L231" s="267">
        <f>IFERROR(K231-(TBIcalc!$Q$9+TBIcalc!$Q$10),"")</f>
        <v>1.9051999999999998</v>
      </c>
      <c r="M231" s="391">
        <f>AVERAGE(Ashed_controlls!$K$12:$K$14)</f>
        <v>2.2816647271287041</v>
      </c>
      <c r="N231" s="267">
        <f t="shared" si="16"/>
        <v>1.8617297236187438</v>
      </c>
      <c r="O231" s="267" t="str">
        <f>IF(IFERROR(INDEX('Both teabags AfterDry'!$D$3:$D$900,MATCH(J231,'Both teabags AfterDry'!$A$3:$A$900,0)),"")="","",(IFERROR(INDEX('Both teabags AfterDry'!$D$3:$D$900,MATCH(J231,'Both teabags AfterDry'!$A$3:$A$900,0)),"")))</f>
        <v/>
      </c>
      <c r="P231" s="267" t="str">
        <f>IFERROR(IF(O231&gt;0,O231-(TBIcalc!$Q$9),""),"")</f>
        <v/>
      </c>
      <c r="Q231" s="278" t="str">
        <f>IFERROR(INDEX('Ashed teabags dry'!$K$2:$K$825,MATCH(J231,'Ashed teabags dry'!$A$2:$A$825,0)),"")</f>
        <v/>
      </c>
      <c r="R231" s="278" t="str">
        <f t="shared" si="17"/>
        <v/>
      </c>
      <c r="S231" s="268">
        <f>'Dry_Litterbag Placem_Collection'!E12</f>
        <v>42938</v>
      </c>
      <c r="T231" s="268" t="str">
        <f>IF('Dry_Litterbag Placem_Collection'!G12="","",'Dry_Litterbag Placem_Collection'!G12)</f>
        <v/>
      </c>
      <c r="U231" s="269" t="str">
        <f t="shared" si="15"/>
        <v/>
      </c>
      <c r="V231" s="267" t="str">
        <f t="shared" si="18"/>
        <v/>
      </c>
      <c r="W231" s="267" t="str">
        <f t="shared" si="19"/>
        <v/>
      </c>
      <c r="X231" s="271" t="str">
        <f>IFERROR(INDEX(Rainfall_Dry!$O$2:$O$217,MATCH(B231, Rainfall_Dry!$A$2:$A$217,0)),"")</f>
        <v/>
      </c>
      <c r="Y231" s="260">
        <v>21.13063730679653</v>
      </c>
      <c r="Z231" s="260">
        <v>3.0912555579081076</v>
      </c>
      <c r="AA231" s="260">
        <v>75.778107135295357</v>
      </c>
      <c r="AB231" s="261" t="s">
        <v>2670</v>
      </c>
      <c r="AC231" s="260">
        <v>1.46131099063578</v>
      </c>
      <c r="AD231">
        <f>IF('WetLitterbags placem_collection'!AB12="","",'WetLitterbags placem_collection'!AB12)</f>
        <v>16.8</v>
      </c>
      <c r="AE231">
        <f>IF('WetLitterbags placem_collection'!Z12="","",'WetLitterbags placem_collection'!Z12)</f>
        <v>30</v>
      </c>
      <c r="AF231" s="24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71">
        <f>IFERROR(AVERAGE('Dry_Litterbag Placem_Collection'!N12,'Dry_Litterbag Placem_Collection'!Q12),"")</f>
        <v>26.1</v>
      </c>
      <c r="AJ231" s="270">
        <f>INDEX(Coordinates!$B$2:$B$197,MATCH(G231,Coordinates!$J$2:$J$197,0))</f>
        <v>-3.3978119869999999</v>
      </c>
      <c r="AK231" s="270">
        <f>INDEX(Coordinates!$C$2:$C$197,MATCH(G231,Coordinates!$J$2:$J$197,0))</f>
        <v>34.836968980000002</v>
      </c>
      <c r="AL231" s="270" t="str">
        <f>IF(ISNUMBER(SEARCH("C", 'Dry_Litterbag Placem_Collection'!T12)),"YES","NO")</f>
        <v>NO</v>
      </c>
      <c r="AM231" s="270" t="str">
        <f>IF(ISNUMBER(SEARCH("H", 'Dry_Litterbag Placem_Collection'!T12)),"YES","NO")</f>
        <v>NO</v>
      </c>
      <c r="AN231" s="270" t="str">
        <f>IF(ISNUMBER(SEARCH("R", 'Dry_Litterbag Placem_Collection'!T12)),"YES","NO")</f>
        <v>NO</v>
      </c>
    </row>
    <row r="232" spans="1:40" ht="15" customHeight="1">
      <c r="A232" s="262" t="s">
        <v>2659</v>
      </c>
      <c r="B232" s="263">
        <f>'Dry_Litterbag Placem_Collection'!A13</f>
        <v>11</v>
      </c>
      <c r="C232" s="263" t="str">
        <f>'Dry_Litterbag Placem_Collection'!B13</f>
        <v>Makao</v>
      </c>
      <c r="D232" s="263" t="s">
        <v>2659</v>
      </c>
      <c r="E232" s="263" t="s">
        <v>2660</v>
      </c>
      <c r="F232" s="263">
        <v>2</v>
      </c>
      <c r="G232" s="264" t="str">
        <f>'Dry_Litterbag Placem_Collection'!C13</f>
        <v>Dry_Ag2_T3</v>
      </c>
      <c r="H232" s="265" t="s">
        <v>2541</v>
      </c>
      <c r="I232" s="272" t="s">
        <v>298</v>
      </c>
      <c r="J232" s="263" t="str">
        <f>IF(ISBLANK('Dry_Litterbag Placem_Collection'!K13),"","R"&amp;""&amp;'Dry_Litterbag Placem_Collection'!K13)</f>
        <v>R748</v>
      </c>
      <c r="K232" s="267">
        <f>IFERROR(INDEX('Green_rooibos initial weight'!$C$5:$C$1749,MATCH(J232, 'Green_rooibos initial weight'!$A$5:$A$1749,0)),"")</f>
        <v>2.1829999999999998</v>
      </c>
      <c r="L232" s="267">
        <f>IFERROR(K232-(TBIcalc!$Q$9+TBIcalc!$Q$10),"")</f>
        <v>1.9331999999999998</v>
      </c>
      <c r="M232" s="391">
        <f>AVERAGE(Ashed_controlls!$K$12:$K$14)</f>
        <v>2.2816647271287041</v>
      </c>
      <c r="N232" s="267">
        <f t="shared" si="16"/>
        <v>1.8890908574951477</v>
      </c>
      <c r="O232" s="267">
        <f>IF(IFERROR(INDEX('Both teabags AfterDry'!$D$3:$D$900,MATCH(J232,'Both teabags AfterDry'!$A$3:$A$900,0)),"")="","",(IFERROR(INDEX('Both teabags AfterDry'!$D$3:$D$900,MATCH(J232,'Both teabags AfterDry'!$A$3:$A$900,0)),"")))</f>
        <v>0.98360000000000003</v>
      </c>
      <c r="P232" s="267">
        <f>IFERROR(IF(O232&gt;0,O232-(TBIcalc!$Q$9),""),"")</f>
        <v>0.83299999999999996</v>
      </c>
      <c r="Q232" s="278">
        <f>IFERROR(INDEX('Ashed teabags dry'!$K$2:$K$825,MATCH(J232,'Ashed teabags dry'!$A$2:$A$825,0)),"")</f>
        <v>89.951923076922583</v>
      </c>
      <c r="R232" s="278">
        <f t="shared" si="17"/>
        <v>8.3700480769234864E-2</v>
      </c>
      <c r="S232" s="268">
        <f>'Dry_Litterbag Placem_Collection'!E13</f>
        <v>42938</v>
      </c>
      <c r="T232" s="268">
        <f>IF('Dry_Litterbag Placem_Collection'!G13="","",'Dry_Litterbag Placem_Collection'!G13)</f>
        <v>43007</v>
      </c>
      <c r="U232" s="269">
        <f t="shared" si="15"/>
        <v>69</v>
      </c>
      <c r="V232" s="267">
        <f t="shared" si="18"/>
        <v>1.1001999999999998</v>
      </c>
      <c r="W232" s="267">
        <f t="shared" si="19"/>
        <v>1.8053903767259127</v>
      </c>
      <c r="X232" s="271">
        <f>IFERROR(INDEX(Rainfall_Dry!$O$2:$O$217,MATCH(B232, Rainfall_Dry!$A$2:$A$217,0)),"")</f>
        <v>6.900000125</v>
      </c>
      <c r="Y232" s="260">
        <v>21.13063730679653</v>
      </c>
      <c r="Z232" s="260">
        <v>3.0912555579081076</v>
      </c>
      <c r="AA232" s="260">
        <v>75.778107135295357</v>
      </c>
      <c r="AB232" s="261" t="s">
        <v>2670</v>
      </c>
      <c r="AC232" s="260">
        <v>2.4613109906357802</v>
      </c>
      <c r="AD232">
        <f>IF('WetLitterbags placem_collection'!AB13="","",'WetLitterbags placem_collection'!AB13)</f>
        <v>11.4</v>
      </c>
      <c r="AE232">
        <f>IF('WetLitterbags placem_collection'!Z13="","",'WetLitterbags placem_collection'!Z13)</f>
        <v>24.4</v>
      </c>
      <c r="AF232" s="24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71">
        <f>IFERROR(AVERAGE('Dry_Litterbag Placem_Collection'!N13,'Dry_Litterbag Placem_Collection'!Q13),"")</f>
        <v>26.450000000000003</v>
      </c>
      <c r="AJ232" s="270">
        <f>INDEX(Coordinates!$B$2:$B$197,MATCH(G232,Coordinates!$J$2:$J$197,0))</f>
        <v>-3.3977929599999999</v>
      </c>
      <c r="AK232" s="270">
        <f>INDEX(Coordinates!$C$2:$C$197,MATCH(G232,Coordinates!$J$2:$J$197,0))</f>
        <v>34.837102999999999</v>
      </c>
      <c r="AL232" s="270" t="str">
        <f>IF(ISNUMBER(SEARCH("C", 'Dry_Litterbag Placem_Collection'!T13)),"YES","NO")</f>
        <v>YES</v>
      </c>
      <c r="AM232" s="270" t="str">
        <f>IF(ISNUMBER(SEARCH("H", 'Dry_Litterbag Placem_Collection'!T13)),"YES","NO")</f>
        <v>YES</v>
      </c>
      <c r="AN232" s="270" t="str">
        <f>IF(ISNUMBER(SEARCH("R", 'Dry_Litterbag Placem_Collection'!T13)),"YES","NO")</f>
        <v>NO</v>
      </c>
    </row>
    <row r="233" spans="1:40" ht="15" customHeight="1">
      <c r="A233" s="262" t="s">
        <v>2659</v>
      </c>
      <c r="B233" s="263">
        <f>'Dry_Litterbag Placem_Collection'!A14</f>
        <v>12</v>
      </c>
      <c r="C233" s="263" t="str">
        <f>'Dry_Litterbag Placem_Collection'!B14</f>
        <v>Makao</v>
      </c>
      <c r="D233" s="263" t="s">
        <v>2659</v>
      </c>
      <c r="E233" s="263" t="s">
        <v>2660</v>
      </c>
      <c r="F233" s="263">
        <v>2</v>
      </c>
      <c r="G233" s="264" t="str">
        <f>'Dry_Litterbag Placem_Collection'!C14</f>
        <v>Dry_Ag2_T4</v>
      </c>
      <c r="H233" s="265" t="s">
        <v>2541</v>
      </c>
      <c r="I233" s="272" t="s">
        <v>298</v>
      </c>
      <c r="J233" s="263" t="str">
        <f>IF(ISBLANK('Dry_Litterbag Placem_Collection'!K14),"","R"&amp;""&amp;'Dry_Litterbag Placem_Collection'!K14)</f>
        <v/>
      </c>
      <c r="K233" s="267" t="str">
        <f>IFERROR(INDEX('Green_rooibos initial weight'!$C$5:$C$1749,MATCH(J233, 'Green_rooibos initial weight'!$A$5:$A$1749,0)),"")</f>
        <v/>
      </c>
      <c r="L233" s="267" t="str">
        <f>IFERROR(K233-(TBIcalc!$Q$9+TBIcalc!$Q$10),"")</f>
        <v/>
      </c>
      <c r="M233" s="391">
        <f>AVERAGE(Ashed_controlls!$K$12:$K$14)</f>
        <v>2.2816647271287041</v>
      </c>
      <c r="N233" s="267" t="str">
        <f t="shared" si="16"/>
        <v/>
      </c>
      <c r="O233" s="267" t="str">
        <f>IF(IFERROR(INDEX('Both teabags AfterDry'!$D$3:$D$900,MATCH(J233,'Both teabags AfterDry'!$A$3:$A$900,0)),"")="","",(IFERROR(INDEX('Both teabags AfterDry'!$D$3:$D$900,MATCH(J233,'Both teabags AfterDry'!$A$3:$A$900,0)),"")))</f>
        <v/>
      </c>
      <c r="P233" s="267" t="str">
        <f>IFERROR(IF(O233&gt;0,O233-(TBIcalc!$Q$9),""),"")</f>
        <v/>
      </c>
      <c r="Q233" s="278" t="str">
        <f>IFERROR(INDEX('Ashed teabags dry'!$K$2:$K$825,MATCH(J233,'Ashed teabags dry'!$A$2:$A$825,0)),"")</f>
        <v/>
      </c>
      <c r="R233" s="278" t="str">
        <f t="shared" si="17"/>
        <v/>
      </c>
      <c r="S233" s="268">
        <f>'Dry_Litterbag Placem_Collection'!E14</f>
        <v>0</v>
      </c>
      <c r="T233" s="268" t="str">
        <f>IF('Dry_Litterbag Placem_Collection'!G14="","",'Dry_Litterbag Placem_Collection'!G14)</f>
        <v/>
      </c>
      <c r="U233" s="269" t="str">
        <f t="shared" si="15"/>
        <v/>
      </c>
      <c r="V233" s="267" t="str">
        <f t="shared" si="18"/>
        <v/>
      </c>
      <c r="W233" s="267" t="str">
        <f t="shared" si="19"/>
        <v/>
      </c>
      <c r="X233" s="271" t="str">
        <f>IFERROR(INDEX(Rainfall_Dry!$O$2:$O$217,MATCH(B233, Rainfall_Dry!$A$2:$A$217,0)),"")</f>
        <v/>
      </c>
      <c r="Y233" s="260">
        <v>21.13063730679653</v>
      </c>
      <c r="Z233" s="260">
        <v>3.0912555579081076</v>
      </c>
      <c r="AA233" s="260">
        <v>75.778107135295357</v>
      </c>
      <c r="AB233" s="261" t="s">
        <v>2670</v>
      </c>
      <c r="AC233" s="260">
        <v>3.4613109906357802</v>
      </c>
      <c r="AD233" t="str">
        <f>IF('WetLitterbags placem_collection'!AB14="","",'WetLitterbags placem_collection'!AB14)</f>
        <v/>
      </c>
      <c r="AE233" t="str">
        <f>IF('WetLitterbags placem_collection'!Z14="","",'WetLitterbags placem_collection'!Z14)</f>
        <v/>
      </c>
      <c r="AF233" s="24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71" t="str">
        <f>IFERROR(AVERAGE('Dry_Litterbag Placem_Collection'!N14,'Dry_Litterbag Placem_Collection'!Q14),"")</f>
        <v/>
      </c>
      <c r="AJ233" s="270">
        <f>INDEX(Coordinates!$B$2:$B$197,MATCH(G233,Coordinates!$J$2:$J$197,0))</f>
        <v>-3.3979050260000001</v>
      </c>
      <c r="AK233" s="270">
        <f>INDEX(Coordinates!$C$2:$C$197,MATCH(G233,Coordinates!$J$2:$J$197,0))</f>
        <v>34.837123030000001</v>
      </c>
      <c r="AL233" s="270" t="str">
        <f>IF(ISNUMBER(SEARCH("C", 'Dry_Litterbag Placem_Collection'!T14)),"YES","NO")</f>
        <v>NO</v>
      </c>
      <c r="AM233" s="270" t="str">
        <f>IF(ISNUMBER(SEARCH("H", 'Dry_Litterbag Placem_Collection'!T14)),"YES","NO")</f>
        <v>NO</v>
      </c>
      <c r="AN233" s="270" t="str">
        <f>IF(ISNUMBER(SEARCH("R", 'Dry_Litterbag Placem_Collection'!T14)),"YES","NO")</f>
        <v>NO</v>
      </c>
    </row>
    <row r="234" spans="1:40" ht="15" customHeight="1">
      <c r="A234" s="262" t="s">
        <v>2659</v>
      </c>
      <c r="B234" s="263">
        <f>'Dry_Litterbag Placem_Collection'!A15</f>
        <v>13</v>
      </c>
      <c r="C234" s="263" t="str">
        <f>'Dry_Litterbag Placem_Collection'!B15</f>
        <v>Makao</v>
      </c>
      <c r="D234" s="263" t="s">
        <v>2659</v>
      </c>
      <c r="E234" s="263" t="s">
        <v>2660</v>
      </c>
      <c r="F234" s="263">
        <v>2</v>
      </c>
      <c r="G234" s="264" t="str">
        <f>'Dry_Litterbag Placem_Collection'!C15</f>
        <v>Dry_Ag2_T5</v>
      </c>
      <c r="H234" s="265" t="s">
        <v>2541</v>
      </c>
      <c r="I234" s="272" t="s">
        <v>298</v>
      </c>
      <c r="J234" s="263" t="str">
        <f>IF(ISBLANK('Dry_Litterbag Placem_Collection'!K15),"","R"&amp;""&amp;'Dry_Litterbag Placem_Collection'!K15)</f>
        <v>R784</v>
      </c>
      <c r="K234" s="267">
        <f>IFERROR(INDEX('Green_rooibos initial weight'!$C$5:$C$1749,MATCH(J234, 'Green_rooibos initial weight'!$A$5:$A$1749,0)),"")</f>
        <v>2.17</v>
      </c>
      <c r="L234" s="267">
        <f>IFERROR(K234-(TBIcalc!$Q$9+TBIcalc!$Q$10),"")</f>
        <v>1.9201999999999999</v>
      </c>
      <c r="M234" s="391">
        <f>AVERAGE(Ashed_controlls!$K$12:$K$14)</f>
        <v>2.2816647271287041</v>
      </c>
      <c r="N234" s="267">
        <f t="shared" si="16"/>
        <v>1.8763874739096746</v>
      </c>
      <c r="O234" s="267" t="str">
        <f>IF(IFERROR(INDEX('Both teabags AfterDry'!$D$3:$D$900,MATCH(J234,'Both teabags AfterDry'!$A$3:$A$900,0)),"")="","",(IFERROR(INDEX('Both teabags AfterDry'!$D$3:$D$900,MATCH(J234,'Both teabags AfterDry'!$A$3:$A$900,0)),"")))</f>
        <v/>
      </c>
      <c r="P234" s="267" t="str">
        <f>IFERROR(IF(O234&gt;0,O234-(TBIcalc!$Q$9),""),"")</f>
        <v/>
      </c>
      <c r="Q234" s="278">
        <f>IFERROR(INDEX('Ashed teabags dry'!$K$2:$K$825,MATCH(J234,'Ashed teabags dry'!$A$2:$A$825,0)),"")</f>
        <v>92.742616033754956</v>
      </c>
      <c r="R234" s="278" t="str">
        <f t="shared" si="17"/>
        <v/>
      </c>
      <c r="S234" s="268">
        <f>'Dry_Litterbag Placem_Collection'!E15</f>
        <v>42938</v>
      </c>
      <c r="T234" s="268">
        <f>IF('Dry_Litterbag Placem_Collection'!G15="","",'Dry_Litterbag Placem_Collection'!G15)</f>
        <v>43007</v>
      </c>
      <c r="U234" s="269">
        <f t="shared" si="15"/>
        <v>69</v>
      </c>
      <c r="V234" s="267" t="str">
        <f t="shared" si="18"/>
        <v/>
      </c>
      <c r="W234" s="267" t="str">
        <f t="shared" si="19"/>
        <v/>
      </c>
      <c r="X234" s="271">
        <f>IFERROR(INDEX(Rainfall_Dry!$O$2:$O$217,MATCH(B234, Rainfall_Dry!$A$2:$A$217,0)),"")</f>
        <v>6.900000125</v>
      </c>
      <c r="Y234" s="260">
        <v>21.13063730679653</v>
      </c>
      <c r="Z234" s="260">
        <v>3.0912555579081076</v>
      </c>
      <c r="AA234" s="260">
        <v>75.778107135295357</v>
      </c>
      <c r="AB234" s="261" t="s">
        <v>2670</v>
      </c>
      <c r="AC234" s="260">
        <v>4.4613109906357797</v>
      </c>
      <c r="AD234">
        <f>IF('WetLitterbags placem_collection'!AB15="","",'WetLitterbags placem_collection'!AB15)</f>
        <v>11.4</v>
      </c>
      <c r="AE234">
        <f>IF('WetLitterbags placem_collection'!Z15="","",'WetLitterbags placem_collection'!Z15)</f>
        <v>31</v>
      </c>
      <c r="AF234" s="24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71">
        <f>IFERROR(AVERAGE('Dry_Litterbag Placem_Collection'!N15,'Dry_Litterbag Placem_Collection'!Q15),"")</f>
        <v>26.1</v>
      </c>
      <c r="AJ234" s="270">
        <f>INDEX(Coordinates!$B$2:$B$197,MATCH(G234,Coordinates!$J$2:$J$197,0))</f>
        <v>-3.3979040199999999</v>
      </c>
      <c r="AK234" s="270">
        <f>INDEX(Coordinates!$C$2:$C$197,MATCH(G234,Coordinates!$J$2:$J$197,0))</f>
        <v>34.837027980000002</v>
      </c>
      <c r="AL234" s="270" t="str">
        <f>IF(ISNUMBER(SEARCH("C", 'Dry_Litterbag Placem_Collection'!T15)),"YES","NO")</f>
        <v>YES</v>
      </c>
      <c r="AM234" s="270" t="str">
        <f>IF(ISNUMBER(SEARCH("H", 'Dry_Litterbag Placem_Collection'!T15)),"YES","NO")</f>
        <v>YES</v>
      </c>
      <c r="AN234" s="270" t="str">
        <f>IF(ISNUMBER(SEARCH("R", 'Dry_Litterbag Placem_Collection'!T15)),"YES","NO")</f>
        <v>NO</v>
      </c>
    </row>
    <row r="235" spans="1:40" ht="15" customHeight="1">
      <c r="A235" s="262" t="s">
        <v>2659</v>
      </c>
      <c r="B235" s="263">
        <f>'Dry_Litterbag Placem_Collection'!A16</f>
        <v>14</v>
      </c>
      <c r="C235" s="263" t="str">
        <f>'Dry_Litterbag Placem_Collection'!B16</f>
        <v>Makao</v>
      </c>
      <c r="D235" s="263" t="s">
        <v>2659</v>
      </c>
      <c r="E235" s="263" t="s">
        <v>2660</v>
      </c>
      <c r="F235" s="263">
        <v>2</v>
      </c>
      <c r="G235" s="264" t="str">
        <f>'Dry_Litterbag Placem_Collection'!C16</f>
        <v>Dry_Ag2_T6</v>
      </c>
      <c r="H235" s="265" t="s">
        <v>2541</v>
      </c>
      <c r="I235" s="272" t="s">
        <v>298</v>
      </c>
      <c r="J235" s="263" t="str">
        <f>IF(ISBLANK('Dry_Litterbag Placem_Collection'!K16),"","R"&amp;""&amp;'Dry_Litterbag Placem_Collection'!K16)</f>
        <v>R838</v>
      </c>
      <c r="K235" s="267">
        <f>IFERROR(INDEX('Green_rooibos initial weight'!$C$5:$C$1749,MATCH(J235, 'Green_rooibos initial weight'!$A$5:$A$1749,0)),"")</f>
        <v>2.1589999999999998</v>
      </c>
      <c r="L235" s="267">
        <f>IFERROR(K235-(TBIcalc!$Q$9+TBIcalc!$Q$10),"")</f>
        <v>1.9091999999999998</v>
      </c>
      <c r="M235" s="391">
        <f>AVERAGE(Ashed_controlls!$K$12:$K$14)</f>
        <v>2.2816647271287041</v>
      </c>
      <c r="N235" s="267">
        <f t="shared" si="16"/>
        <v>1.8656384570296585</v>
      </c>
      <c r="O235" s="267">
        <f>IF(IFERROR(INDEX('Both teabags AfterDry'!$D$3:$D$900,MATCH(J235,'Both teabags AfterDry'!$A$3:$A$900,0)),"")="","",(IFERROR(INDEX('Both teabags AfterDry'!$D$3:$D$900,MATCH(J235,'Both teabags AfterDry'!$A$3:$A$900,0)),"")))</f>
        <v>1.0848</v>
      </c>
      <c r="P235" s="267">
        <f>IFERROR(IF(O235&gt;0,O235-(TBIcalc!$Q$9),""),"")</f>
        <v>0.93419999999999992</v>
      </c>
      <c r="Q235" s="278">
        <f>IFERROR(INDEX('Ashed teabags dry'!$K$2:$K$825,MATCH(J235,'Ashed teabags dry'!$A$2:$A$825,0)),"")</f>
        <v>96.944824441403483</v>
      </c>
      <c r="R235" s="278">
        <f t="shared" si="17"/>
        <v>2.854145006840858E-2</v>
      </c>
      <c r="S235" s="268">
        <f>'Dry_Litterbag Placem_Collection'!E16</f>
        <v>42938</v>
      </c>
      <c r="T235" s="268">
        <f>IF('Dry_Litterbag Placem_Collection'!G16="","",'Dry_Litterbag Placem_Collection'!G16)</f>
        <v>43007</v>
      </c>
      <c r="U235" s="269">
        <f t="shared" si="15"/>
        <v>69</v>
      </c>
      <c r="V235" s="267">
        <f t="shared" si="18"/>
        <v>0.97499999999999987</v>
      </c>
      <c r="W235" s="267">
        <f t="shared" si="19"/>
        <v>1.8370970069612498</v>
      </c>
      <c r="X235" s="271">
        <f>IFERROR(INDEX(Rainfall_Dry!$O$2:$O$217,MATCH(B235, Rainfall_Dry!$A$2:$A$217,0)),"")</f>
        <v>6.900000125</v>
      </c>
      <c r="Y235" s="260">
        <v>21.13063730679653</v>
      </c>
      <c r="Z235" s="260">
        <v>3.0912555579081076</v>
      </c>
      <c r="AA235" s="260">
        <v>75.778107135295357</v>
      </c>
      <c r="AB235" s="261" t="s">
        <v>2670</v>
      </c>
      <c r="AC235" s="260">
        <v>5.4613109906357797</v>
      </c>
      <c r="AD235">
        <f>IF('WetLitterbags placem_collection'!AB16="","",'WetLitterbags placem_collection'!AB16)</f>
        <v>28.4</v>
      </c>
      <c r="AE235">
        <f>IF('WetLitterbags placem_collection'!Z16="","",'WetLitterbags placem_collection'!Z16)</f>
        <v>42.4</v>
      </c>
      <c r="AF235" s="24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71">
        <f>IFERROR(AVERAGE('Dry_Litterbag Placem_Collection'!N16,'Dry_Litterbag Placem_Collection'!Q16),"")</f>
        <v>25.55</v>
      </c>
      <c r="AJ235" s="270">
        <f>INDEX(Coordinates!$B$2:$B$197,MATCH(G235,Coordinates!$J$2:$J$197,0))</f>
        <v>-3.397854986</v>
      </c>
      <c r="AK235" s="270">
        <f>INDEX(Coordinates!$C$2:$C$197,MATCH(G235,Coordinates!$J$2:$J$197,0))</f>
        <v>34.836874010000002</v>
      </c>
      <c r="AL235" s="270" t="str">
        <f>IF(ISNUMBER(SEARCH("C", 'Dry_Litterbag Placem_Collection'!T16)),"YES","NO")</f>
        <v>YES</v>
      </c>
      <c r="AM235" s="270" t="str">
        <f>IF(ISNUMBER(SEARCH("H", 'Dry_Litterbag Placem_Collection'!T16)),"YES","NO")</f>
        <v>YES</v>
      </c>
      <c r="AN235" s="270" t="str">
        <f>IF(ISNUMBER(SEARCH("R", 'Dry_Litterbag Placem_Collection'!T16)),"YES","NO")</f>
        <v>NO</v>
      </c>
    </row>
    <row r="236" spans="1:40" ht="15" customHeight="1">
      <c r="A236" s="262" t="s">
        <v>2659</v>
      </c>
      <c r="B236" s="263">
        <f>'Dry_Litterbag Placem_Collection'!A17</f>
        <v>15</v>
      </c>
      <c r="C236" s="263" t="str">
        <f>'Dry_Litterbag Placem_Collection'!B17</f>
        <v>Makao</v>
      </c>
      <c r="D236" s="263" t="s">
        <v>2659</v>
      </c>
      <c r="E236" s="263" t="s">
        <v>2660</v>
      </c>
      <c r="F236" s="263">
        <v>2</v>
      </c>
      <c r="G236" s="264" t="str">
        <f>'Dry_Litterbag Placem_Collection'!C17</f>
        <v>Dry_Ag2_T7</v>
      </c>
      <c r="H236" s="265" t="s">
        <v>2541</v>
      </c>
      <c r="I236" s="272" t="s">
        <v>298</v>
      </c>
      <c r="J236" s="263" t="str">
        <f>IF(ISBLANK('Dry_Litterbag Placem_Collection'!K17),"","R"&amp;""&amp;'Dry_Litterbag Placem_Collection'!K17)</f>
        <v>R793</v>
      </c>
      <c r="K236" s="267">
        <f>IFERROR(INDEX('Green_rooibos initial weight'!$C$5:$C$1749,MATCH(J236, 'Green_rooibos initial weight'!$A$5:$A$1749,0)),"")</f>
        <v>2.2050000000000001</v>
      </c>
      <c r="L236" s="267">
        <f>IFERROR(K236-(TBIcalc!$Q$9+TBIcalc!$Q$10),"")</f>
        <v>1.9552</v>
      </c>
      <c r="M236" s="391">
        <f>AVERAGE(Ashed_controlls!$K$12:$K$14)</f>
        <v>2.2816647271287041</v>
      </c>
      <c r="N236" s="267">
        <f t="shared" si="16"/>
        <v>1.9105888912551796</v>
      </c>
      <c r="O236" s="267">
        <f>IF(IFERROR(INDEX('Both teabags AfterDry'!$D$3:$D$900,MATCH(J236,'Both teabags AfterDry'!$A$3:$A$900,0)),"")="","",(IFERROR(INDEX('Both teabags AfterDry'!$D$3:$D$900,MATCH(J236,'Both teabags AfterDry'!$A$3:$A$900,0)),"")))</f>
        <v>0.24560000000000001</v>
      </c>
      <c r="P236" s="267">
        <f>IFERROR(IF(O236&gt;0,O236-(TBIcalc!$Q$9),""),"")</f>
        <v>9.5000000000000001E-2</v>
      </c>
      <c r="Q236" s="278">
        <f>IFERROR(INDEX('Ashed teabags dry'!$K$2:$K$825,MATCH(J236,'Ashed teabags dry'!$A$2:$A$825,0)),"")</f>
        <v>0</v>
      </c>
      <c r="R236" s="278">
        <f t="shared" si="17"/>
        <v>9.5000000000000001E-2</v>
      </c>
      <c r="S236" s="268">
        <f>'Dry_Litterbag Placem_Collection'!E17</f>
        <v>42938</v>
      </c>
      <c r="T236" s="268">
        <f>IF('Dry_Litterbag Placem_Collection'!G17="","",'Dry_Litterbag Placem_Collection'!G17)</f>
        <v>43007</v>
      </c>
      <c r="U236" s="269">
        <f t="shared" si="15"/>
        <v>69</v>
      </c>
      <c r="V236" s="267">
        <f t="shared" si="18"/>
        <v>1.8602000000000001</v>
      </c>
      <c r="W236" s="267">
        <f t="shared" si="19"/>
        <v>1.8155888912551796</v>
      </c>
      <c r="X236" s="271">
        <f>IFERROR(INDEX(Rainfall_Dry!$O$2:$O$217,MATCH(B236, Rainfall_Dry!$A$2:$A$217,0)),"")</f>
        <v>6.900000125</v>
      </c>
      <c r="Y236" s="260">
        <v>21.13063730679653</v>
      </c>
      <c r="Z236" s="260">
        <v>3.0912555579081076</v>
      </c>
      <c r="AA236" s="260">
        <v>75.778107135295357</v>
      </c>
      <c r="AB236" s="261" t="s">
        <v>2670</v>
      </c>
      <c r="AC236" s="260">
        <v>6.4613109906357797</v>
      </c>
      <c r="AD236">
        <f>IF('WetLitterbags placem_collection'!AB17="","",'WetLitterbags placem_collection'!AB17)</f>
        <v>15.8</v>
      </c>
      <c r="AE236">
        <f>IF('WetLitterbags placem_collection'!Z17="","",'WetLitterbags placem_collection'!Z17)</f>
        <v>30.4</v>
      </c>
      <c r="AF236" s="24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71">
        <f>IFERROR(AVERAGE('Dry_Litterbag Placem_Collection'!N17,'Dry_Litterbag Placem_Collection'!Q17),"")</f>
        <v>28</v>
      </c>
      <c r="AJ236" s="270">
        <f>INDEX(Coordinates!$B$2:$B$197,MATCH(G236,Coordinates!$J$2:$J$197,0))</f>
        <v>-3.3978060349999999</v>
      </c>
      <c r="AK236" s="270">
        <f>INDEX(Coordinates!$C$2:$C$197,MATCH(G236,Coordinates!$J$2:$J$197,0))</f>
        <v>34.837023960000003</v>
      </c>
      <c r="AL236" s="270" t="str">
        <f>IF(ISNUMBER(SEARCH("C", 'Dry_Litterbag Placem_Collection'!T17)),"YES","NO")</f>
        <v>YES</v>
      </c>
      <c r="AM236" s="270" t="str">
        <f>IF(ISNUMBER(SEARCH("H", 'Dry_Litterbag Placem_Collection'!T17)),"YES","NO")</f>
        <v>YES</v>
      </c>
      <c r="AN236" s="270" t="str">
        <f>IF(ISNUMBER(SEARCH("R", 'Dry_Litterbag Placem_Collection'!T17)),"YES","NO")</f>
        <v>NO</v>
      </c>
    </row>
    <row r="237" spans="1:40" ht="15" customHeight="1">
      <c r="A237" s="262" t="s">
        <v>2659</v>
      </c>
      <c r="B237" s="263">
        <f>'Dry_Litterbag Placem_Collection'!A18</f>
        <v>16</v>
      </c>
      <c r="C237" s="263" t="str">
        <f>'Dry_Litterbag Placem_Collection'!B18</f>
        <v>Makao</v>
      </c>
      <c r="D237" s="263" t="s">
        <v>2659</v>
      </c>
      <c r="E237" s="263" t="s">
        <v>2660</v>
      </c>
      <c r="F237" s="263">
        <v>2</v>
      </c>
      <c r="G237" s="264" t="str">
        <f>'Dry_Litterbag Placem_Collection'!C18</f>
        <v>Dry_Ag2_T8</v>
      </c>
      <c r="H237" s="265" t="s">
        <v>2541</v>
      </c>
      <c r="I237" s="272" t="s">
        <v>298</v>
      </c>
      <c r="J237" s="263" t="str">
        <f>IF(ISBLANK('Dry_Litterbag Placem_Collection'!K18),"","R"&amp;""&amp;'Dry_Litterbag Placem_Collection'!K18)</f>
        <v>R755</v>
      </c>
      <c r="K237" s="267">
        <f>IFERROR(INDEX('Green_rooibos initial weight'!$C$5:$C$1749,MATCH(J237, 'Green_rooibos initial weight'!$A$5:$A$1749,0)),"")</f>
        <v>2.2120000000000002</v>
      </c>
      <c r="L237" s="267">
        <f>IFERROR(K237-(TBIcalc!$Q$9+TBIcalc!$Q$10),"")</f>
        <v>1.9622000000000002</v>
      </c>
      <c r="M237" s="391">
        <f>AVERAGE(Ashed_controlls!$K$12:$K$14)</f>
        <v>2.2816647271287041</v>
      </c>
      <c r="N237" s="267">
        <f t="shared" si="16"/>
        <v>1.9174291747242806</v>
      </c>
      <c r="O237" s="267" t="str">
        <f>IF(IFERROR(INDEX('Both teabags AfterDry'!$D$3:$D$900,MATCH(J237,'Both teabags AfterDry'!$A$3:$A$900,0)),"")="","",(IFERROR(INDEX('Both teabags AfterDry'!$D$3:$D$900,MATCH(J237,'Both teabags AfterDry'!$A$3:$A$900,0)),"")))</f>
        <v/>
      </c>
      <c r="P237" s="267" t="str">
        <f>IFERROR(IF(O237&gt;0,O237-(TBIcalc!$Q$9),""),"")</f>
        <v/>
      </c>
      <c r="Q237" s="278" t="str">
        <f>IFERROR(INDEX('Ashed teabags dry'!$K$2:$K$825,MATCH(J237,'Ashed teabags dry'!$A$2:$A$825,0)),"")</f>
        <v/>
      </c>
      <c r="R237" s="278" t="str">
        <f t="shared" si="17"/>
        <v/>
      </c>
      <c r="S237" s="268">
        <f>'Dry_Litterbag Placem_Collection'!E18</f>
        <v>42938</v>
      </c>
      <c r="T237" s="268">
        <f>IF('Dry_Litterbag Placem_Collection'!G18="","",'Dry_Litterbag Placem_Collection'!G18)</f>
        <v>43007</v>
      </c>
      <c r="U237" s="269">
        <f t="shared" si="15"/>
        <v>69</v>
      </c>
      <c r="V237" s="267" t="str">
        <f t="shared" si="18"/>
        <v/>
      </c>
      <c r="W237" s="267" t="str">
        <f t="shared" si="19"/>
        <v/>
      </c>
      <c r="X237" s="271">
        <f>IFERROR(INDEX(Rainfall_Dry!$O$2:$O$217,MATCH(B237, Rainfall_Dry!$A$2:$A$217,0)),"")</f>
        <v>6.900000125</v>
      </c>
      <c r="Y237" s="260">
        <v>21.13063730679653</v>
      </c>
      <c r="Z237" s="260">
        <v>3.0912555579081076</v>
      </c>
      <c r="AA237" s="260">
        <v>75.778107135295357</v>
      </c>
      <c r="AB237" s="261" t="s">
        <v>2670</v>
      </c>
      <c r="AC237" s="260">
        <v>7.4613109906357797</v>
      </c>
      <c r="AD237">
        <f>IF('WetLitterbags placem_collection'!AB18="","",'WetLitterbags placem_collection'!AB18)</f>
        <v>8</v>
      </c>
      <c r="AE237">
        <f>IF('WetLitterbags placem_collection'!Z18="","",'WetLitterbags placem_collection'!Z18)</f>
        <v>12.4</v>
      </c>
      <c r="AF237" s="24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71">
        <f>IFERROR(AVERAGE('Dry_Litterbag Placem_Collection'!N18,'Dry_Litterbag Placem_Collection'!Q18),"")</f>
        <v>27.049999999999997</v>
      </c>
      <c r="AJ237" s="270">
        <f>INDEX(Coordinates!$B$2:$B$197,MATCH(G237,Coordinates!$J$2:$J$197,0))</f>
        <v>-3.3977669760000002</v>
      </c>
      <c r="AK237" s="270">
        <f>INDEX(Coordinates!$C$2:$C$197,MATCH(G237,Coordinates!$J$2:$J$197,0))</f>
        <v>34.837181039999997</v>
      </c>
      <c r="AL237" s="270" t="str">
        <f>IF(ISNUMBER(SEARCH("C", 'Dry_Litterbag Placem_Collection'!T18)),"YES","NO")</f>
        <v>YES</v>
      </c>
      <c r="AM237" s="270" t="str">
        <f>IF(ISNUMBER(SEARCH("H", 'Dry_Litterbag Placem_Collection'!T18)),"YES","NO")</f>
        <v>YES</v>
      </c>
      <c r="AN237" s="270" t="str">
        <f>IF(ISNUMBER(SEARCH("R", 'Dry_Litterbag Placem_Collection'!T18)),"YES","NO")</f>
        <v>NO</v>
      </c>
    </row>
    <row r="238" spans="1:40" ht="15" customHeight="1">
      <c r="A238" s="262" t="s">
        <v>2659</v>
      </c>
      <c r="B238" s="263">
        <f>'Dry_Litterbag Placem_Collection'!A19</f>
        <v>17</v>
      </c>
      <c r="C238" s="263" t="str">
        <f>'Dry_Litterbag Placem_Collection'!B19</f>
        <v>Makao</v>
      </c>
      <c r="D238" s="263" t="s">
        <v>2659</v>
      </c>
      <c r="E238" s="263" t="s">
        <v>2660</v>
      </c>
      <c r="F238" s="263">
        <v>3</v>
      </c>
      <c r="G238" s="264" t="str">
        <f>'Dry_Litterbag Placem_Collection'!C19</f>
        <v>Dry_Ag3_T1</v>
      </c>
      <c r="H238" s="265" t="s">
        <v>2541</v>
      </c>
      <c r="I238" s="272" t="s">
        <v>298</v>
      </c>
      <c r="J238" s="263" t="str">
        <f>IF(ISBLANK('Dry_Litterbag Placem_Collection'!K19),"","R"&amp;""&amp;'Dry_Litterbag Placem_Collection'!K19)</f>
        <v>R826</v>
      </c>
      <c r="K238" s="267">
        <f>IFERROR(INDEX('Green_rooibos initial weight'!$C$5:$C$1749,MATCH(J238, 'Green_rooibos initial weight'!$A$5:$A$1749,0)),"")</f>
        <v>2.1659999999999999</v>
      </c>
      <c r="L238" s="267">
        <f>IFERROR(K238-(TBIcalc!$Q$9+TBIcalc!$Q$10),"")</f>
        <v>1.9161999999999999</v>
      </c>
      <c r="M238" s="391">
        <f>AVERAGE(Ashed_controlls!$K$12:$K$14)</f>
        <v>2.2816647271287041</v>
      </c>
      <c r="N238" s="267">
        <f t="shared" si="16"/>
        <v>1.8724787404987597</v>
      </c>
      <c r="O238" s="267">
        <f>IF(IFERROR(INDEX('Both teabags AfterDry'!$D$3:$D$900,MATCH(J238,'Both teabags AfterDry'!$A$3:$A$900,0)),"")="","",(IFERROR(INDEX('Both teabags AfterDry'!$D$3:$D$900,MATCH(J238,'Both teabags AfterDry'!$A$3:$A$900,0)),"")))</f>
        <v>1.9086000000000001</v>
      </c>
      <c r="P238" s="267">
        <f>IFERROR(IF(O238&gt;0,O238-(TBIcalc!$Q$9),""),"")</f>
        <v>1.758</v>
      </c>
      <c r="Q238" s="278">
        <f>IFERROR(INDEX('Ashed teabags dry'!$K$2:$K$825,MATCH(J238,'Ashed teabags dry'!$A$2:$A$825,0)),"")</f>
        <v>3.214971209212738</v>
      </c>
      <c r="R238" s="278">
        <f t="shared" si="17"/>
        <v>1.7014808061420401</v>
      </c>
      <c r="S238" s="268">
        <f>'Dry_Litterbag Placem_Collection'!E19</f>
        <v>42936</v>
      </c>
      <c r="T238" s="268">
        <f>IF('Dry_Litterbag Placem_Collection'!G19="","",'Dry_Litterbag Placem_Collection'!G19)</f>
        <v>43007</v>
      </c>
      <c r="U238" s="269">
        <f t="shared" si="15"/>
        <v>71</v>
      </c>
      <c r="V238" s="267">
        <f t="shared" si="18"/>
        <v>0.1581999999999999</v>
      </c>
      <c r="W238" s="267">
        <f t="shared" si="19"/>
        <v>0.17099793435671962</v>
      </c>
      <c r="X238" s="271">
        <f>IFERROR(INDEX(Rainfall_Dry!$O$2:$O$217,MATCH(B238, Rainfall_Dry!$A$2:$A$217,0)),"")</f>
        <v>6.900000125</v>
      </c>
      <c r="Y238" s="260">
        <v>54.080969906906262</v>
      </c>
      <c r="Z238" s="260">
        <v>21.264484651351896</v>
      </c>
      <c r="AA238" s="260">
        <v>24.654545441741845</v>
      </c>
      <c r="AB238" s="261" t="s">
        <v>2673</v>
      </c>
      <c r="AC238" s="260">
        <v>1.8433218334154755</v>
      </c>
      <c r="AD238" t="str">
        <f>IF('WetLitterbags placem_collection'!AB19="","",'WetLitterbags placem_collection'!AB19)</f>
        <v/>
      </c>
      <c r="AE238" t="str">
        <f>IF('WetLitterbags placem_collection'!Z19="","",'WetLitterbags placem_collection'!Z19)</f>
        <v/>
      </c>
      <c r="AF238" s="24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71">
        <f>IFERROR(AVERAGE('Dry_Litterbag Placem_Collection'!N19,'Dry_Litterbag Placem_Collection'!Q19),"")</f>
        <v>26.2</v>
      </c>
      <c r="AJ238" s="270">
        <f>INDEX(Coordinates!$B$2:$B$197,MATCH(G238,Coordinates!$J$2:$J$197,0))</f>
        <v>-3.3854090330000002</v>
      </c>
      <c r="AK238" s="270">
        <f>INDEX(Coordinates!$C$2:$C$197,MATCH(G238,Coordinates!$J$2:$J$197,0))</f>
        <v>34.818901029999999</v>
      </c>
      <c r="AL238" s="270" t="str">
        <f>IF(ISNUMBER(SEARCH("C", 'Dry_Litterbag Placem_Collection'!T19)),"YES","NO")</f>
        <v>NO</v>
      </c>
      <c r="AM238" s="270" t="str">
        <f>IF(ISNUMBER(SEARCH("H", 'Dry_Litterbag Placem_Collection'!T19)),"YES","NO")</f>
        <v>NO</v>
      </c>
      <c r="AN238" s="270" t="str">
        <f>IF(ISNUMBER(SEARCH("R", 'Dry_Litterbag Placem_Collection'!T19)),"YES","NO")</f>
        <v>NO</v>
      </c>
    </row>
    <row r="239" spans="1:40" ht="15" customHeight="1">
      <c r="A239" s="262" t="s">
        <v>2659</v>
      </c>
      <c r="B239" s="263">
        <f>'Dry_Litterbag Placem_Collection'!A20</f>
        <v>18</v>
      </c>
      <c r="C239" s="263" t="str">
        <f>'Dry_Litterbag Placem_Collection'!B20</f>
        <v>Makao</v>
      </c>
      <c r="D239" s="263" t="s">
        <v>2659</v>
      </c>
      <c r="E239" s="263" t="s">
        <v>2660</v>
      </c>
      <c r="F239" s="263">
        <v>3</v>
      </c>
      <c r="G239" s="264" t="str">
        <f>'Dry_Litterbag Placem_Collection'!C20</f>
        <v>Dry_Ag3_T2</v>
      </c>
      <c r="H239" s="265" t="s">
        <v>2541</v>
      </c>
      <c r="I239" s="272" t="s">
        <v>298</v>
      </c>
      <c r="J239" s="263" t="str">
        <f>IF(ISBLANK('Dry_Litterbag Placem_Collection'!K20),"","R"&amp;""&amp;'Dry_Litterbag Placem_Collection'!K20)</f>
        <v>R732</v>
      </c>
      <c r="K239" s="267">
        <f>IFERROR(INDEX('Green_rooibos initial weight'!$C$5:$C$1749,MATCH(J239, 'Green_rooibos initial weight'!$A$5:$A$1749,0)),"")</f>
        <v>2.2189999999999999</v>
      </c>
      <c r="L239" s="267">
        <f>IFERROR(K239-(TBIcalc!$Q$9+TBIcalc!$Q$10),"")</f>
        <v>1.9691999999999998</v>
      </c>
      <c r="M239" s="391">
        <f>AVERAGE(Ashed_controlls!$K$12:$K$14)</f>
        <v>2.2816647271287041</v>
      </c>
      <c r="N239" s="267">
        <f t="shared" si="16"/>
        <v>1.9242694581933815</v>
      </c>
      <c r="O239" s="267">
        <f>IF(IFERROR(INDEX('Both teabags AfterDry'!$D$3:$D$900,MATCH(J239,'Both teabags AfterDry'!$A$3:$A$900,0)),"")="","",(IFERROR(INDEX('Both teabags AfterDry'!$D$3:$D$900,MATCH(J239,'Both teabags AfterDry'!$A$3:$A$900,0)),"")))</f>
        <v>1.9874000000000001</v>
      </c>
      <c r="P239" s="267">
        <f>IFERROR(IF(O239&gt;0,O239-(TBIcalc!$Q$9),""),"")</f>
        <v>1.8368</v>
      </c>
      <c r="Q239" s="278">
        <f>IFERROR(INDEX('Ashed teabags dry'!$K$2:$K$825,MATCH(J239,'Ashed teabags dry'!$A$2:$A$825,0)),"")</f>
        <v>2.4777006937559349</v>
      </c>
      <c r="R239" s="278">
        <f t="shared" si="17"/>
        <v>1.791289593657091</v>
      </c>
      <c r="S239" s="268">
        <f>'Dry_Litterbag Placem_Collection'!E20</f>
        <v>42936</v>
      </c>
      <c r="T239" s="268">
        <f>IF('Dry_Litterbag Placem_Collection'!G20="","",'Dry_Litterbag Placem_Collection'!G20)</f>
        <v>43007</v>
      </c>
      <c r="U239" s="269">
        <f t="shared" si="15"/>
        <v>71</v>
      </c>
      <c r="V239" s="267">
        <f t="shared" si="18"/>
        <v>0.13239999999999985</v>
      </c>
      <c r="W239" s="267">
        <f t="shared" si="19"/>
        <v>0.13297986453629052</v>
      </c>
      <c r="X239" s="271">
        <f>IFERROR(INDEX(Rainfall_Dry!$O$2:$O$217,MATCH(B239, Rainfall_Dry!$A$2:$A$217,0)),"")</f>
        <v>6.900000125</v>
      </c>
      <c r="Y239" s="260">
        <v>54.080969906906262</v>
      </c>
      <c r="Z239" s="260">
        <v>21.264484651351896</v>
      </c>
      <c r="AA239" s="260">
        <v>24.654545441741845</v>
      </c>
      <c r="AB239" s="261" t="s">
        <v>2673</v>
      </c>
      <c r="AC239" s="260">
        <v>2.8433218334154802</v>
      </c>
      <c r="AD239" t="str">
        <f>IF('WetLitterbags placem_collection'!AB20="","",'WetLitterbags placem_collection'!AB20)</f>
        <v/>
      </c>
      <c r="AE239" t="str">
        <f>IF('WetLitterbags placem_collection'!Z20="","",'WetLitterbags placem_collection'!Z20)</f>
        <v/>
      </c>
      <c r="AF239" s="24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71">
        <f>IFERROR(AVERAGE('Dry_Litterbag Placem_Collection'!N20,'Dry_Litterbag Placem_Collection'!Q20),"")</f>
        <v>26.1</v>
      </c>
      <c r="AJ239" s="270">
        <f>INDEX(Coordinates!$B$2:$B$197,MATCH(G239,Coordinates!$J$2:$J$197,0))</f>
        <v>-3.385375002</v>
      </c>
      <c r="AK239" s="270">
        <f>INDEX(Coordinates!$C$2:$C$197,MATCH(G239,Coordinates!$J$2:$J$197,0))</f>
        <v>34.818939999999998</v>
      </c>
      <c r="AL239" s="270" t="str">
        <f>IF(ISNUMBER(SEARCH("C", 'Dry_Litterbag Placem_Collection'!T20)),"YES","NO")</f>
        <v>NO</v>
      </c>
      <c r="AM239" s="270" t="str">
        <f>IF(ISNUMBER(SEARCH("H", 'Dry_Litterbag Placem_Collection'!T20)),"YES","NO")</f>
        <v>YES</v>
      </c>
      <c r="AN239" s="270" t="str">
        <f>IF(ISNUMBER(SEARCH("R", 'Dry_Litterbag Placem_Collection'!T20)),"YES","NO")</f>
        <v>NO</v>
      </c>
    </row>
    <row r="240" spans="1:40" ht="15" customHeight="1">
      <c r="A240" s="262" t="s">
        <v>2659</v>
      </c>
      <c r="B240" s="263">
        <f>'Dry_Litterbag Placem_Collection'!A21</f>
        <v>19</v>
      </c>
      <c r="C240" s="263" t="str">
        <f>'Dry_Litterbag Placem_Collection'!B21</f>
        <v>Makao</v>
      </c>
      <c r="D240" s="263" t="s">
        <v>2659</v>
      </c>
      <c r="E240" s="263" t="s">
        <v>2660</v>
      </c>
      <c r="F240" s="263">
        <v>3</v>
      </c>
      <c r="G240" s="264" t="str">
        <f>'Dry_Litterbag Placem_Collection'!C21</f>
        <v>Dry_Ag3_T3</v>
      </c>
      <c r="H240" s="265" t="s">
        <v>2541</v>
      </c>
      <c r="I240" s="272" t="s">
        <v>298</v>
      </c>
      <c r="J240" s="263" t="str">
        <f>IF(ISBLANK('Dry_Litterbag Placem_Collection'!K21),"","R"&amp;""&amp;'Dry_Litterbag Placem_Collection'!K21)</f>
        <v>R749</v>
      </c>
      <c r="K240" s="267">
        <f>IFERROR(INDEX('Green_rooibos initial weight'!$C$5:$C$1749,MATCH(J240, 'Green_rooibos initial weight'!$A$5:$A$1749,0)),"")</f>
        <v>2.2050000000000001</v>
      </c>
      <c r="L240" s="267">
        <f>IFERROR(K240-(TBIcalc!$Q$9+TBIcalc!$Q$10),"")</f>
        <v>1.9552</v>
      </c>
      <c r="M240" s="391">
        <f>AVERAGE(Ashed_controlls!$K$12:$K$14)</f>
        <v>2.2816647271287041</v>
      </c>
      <c r="N240" s="267">
        <f t="shared" si="16"/>
        <v>1.9105888912551796</v>
      </c>
      <c r="O240" s="267">
        <f>IF(IFERROR(INDEX('Both teabags AfterDry'!$D$3:$D$900,MATCH(J240,'Both teabags AfterDry'!$A$3:$A$900,0)),"")="","",(IFERROR(INDEX('Both teabags AfterDry'!$D$3:$D$900,MATCH(J240,'Both teabags AfterDry'!$A$3:$A$900,0)),"")))</f>
        <v>1.9492</v>
      </c>
      <c r="P240" s="267">
        <f>IFERROR(IF(O240&gt;0,O240-(TBIcalc!$Q$9),""),"")</f>
        <v>1.7986</v>
      </c>
      <c r="Q240" s="278">
        <f>IFERROR(INDEX('Ashed teabags dry'!$K$2:$K$825,MATCH(J240,'Ashed teabags dry'!$A$2:$A$825,0)),"")</f>
        <v>3.2445520581110632</v>
      </c>
      <c r="R240" s="278">
        <f t="shared" si="17"/>
        <v>1.7402434866828145</v>
      </c>
      <c r="S240" s="268">
        <f>'Dry_Litterbag Placem_Collection'!E21</f>
        <v>42936</v>
      </c>
      <c r="T240" s="268">
        <f>IF('Dry_Litterbag Placem_Collection'!G21="","",'Dry_Litterbag Placem_Collection'!G21)</f>
        <v>43007</v>
      </c>
      <c r="U240" s="269">
        <f t="shared" si="15"/>
        <v>71</v>
      </c>
      <c r="V240" s="267">
        <f t="shared" si="18"/>
        <v>0.15660000000000007</v>
      </c>
      <c r="W240" s="267">
        <f t="shared" si="19"/>
        <v>0.17034540457236513</v>
      </c>
      <c r="X240" s="271">
        <f>IFERROR(INDEX(Rainfall_Dry!$O$2:$O$217,MATCH(B240, Rainfall_Dry!$A$2:$A$217,0)),"")</f>
        <v>6.900000125</v>
      </c>
      <c r="Y240" s="260">
        <v>54.080969906906262</v>
      </c>
      <c r="Z240" s="260">
        <v>21.264484651351896</v>
      </c>
      <c r="AA240" s="260">
        <v>24.654545441741845</v>
      </c>
      <c r="AB240" s="261" t="s">
        <v>2673</v>
      </c>
      <c r="AC240" s="260">
        <v>3.8433218334154802</v>
      </c>
      <c r="AD240" t="str">
        <f>IF('WetLitterbags placem_collection'!AB21="","",'WetLitterbags placem_collection'!AB21)</f>
        <v/>
      </c>
      <c r="AE240" t="str">
        <f>IF('WetLitterbags placem_collection'!Z21="","",'WetLitterbags placem_collection'!Z21)</f>
        <v/>
      </c>
      <c r="AF240" s="24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71">
        <f>IFERROR(AVERAGE('Dry_Litterbag Placem_Collection'!N21,'Dry_Litterbag Placem_Collection'!Q21),"")</f>
        <v>25.700000000000003</v>
      </c>
      <c r="AJ240" s="270">
        <f>INDEX(Coordinates!$B$2:$B$197,MATCH(G240,Coordinates!$J$2:$J$197,0))</f>
        <v>-3.3853589930000001</v>
      </c>
      <c r="AK240" s="270">
        <f>INDEX(Coordinates!$C$2:$C$197,MATCH(G240,Coordinates!$J$2:$J$197,0))</f>
        <v>34.818991969999999</v>
      </c>
      <c r="AL240" s="270" t="str">
        <f>IF(ISNUMBER(SEARCH("C", 'Dry_Litterbag Placem_Collection'!T21)),"YES","NO")</f>
        <v>NO</v>
      </c>
      <c r="AM240" s="270" t="str">
        <f>IF(ISNUMBER(SEARCH("H", 'Dry_Litterbag Placem_Collection'!T21)),"YES","NO")</f>
        <v>NO</v>
      </c>
      <c r="AN240" s="270" t="str">
        <f>IF(ISNUMBER(SEARCH("R", 'Dry_Litterbag Placem_Collection'!T21)),"YES","NO")</f>
        <v>NO</v>
      </c>
    </row>
    <row r="241" spans="1:40" ht="15" customHeight="1">
      <c r="A241" s="262" t="s">
        <v>2659</v>
      </c>
      <c r="B241" s="263">
        <f>'Dry_Litterbag Placem_Collection'!A22</f>
        <v>20</v>
      </c>
      <c r="C241" s="263" t="str">
        <f>'Dry_Litterbag Placem_Collection'!B22</f>
        <v>Makao</v>
      </c>
      <c r="D241" s="263" t="s">
        <v>2659</v>
      </c>
      <c r="E241" s="263" t="s">
        <v>2660</v>
      </c>
      <c r="F241" s="263">
        <v>3</v>
      </c>
      <c r="G241" s="264" t="str">
        <f>'Dry_Litterbag Placem_Collection'!C22</f>
        <v>Dry_Ag3_T4</v>
      </c>
      <c r="H241" s="265" t="s">
        <v>2541</v>
      </c>
      <c r="I241" s="272" t="s">
        <v>298</v>
      </c>
      <c r="J241" s="263" t="str">
        <f>IF(ISBLANK('Dry_Litterbag Placem_Collection'!K22),"","R"&amp;""&amp;'Dry_Litterbag Placem_Collection'!K22)</f>
        <v>R632</v>
      </c>
      <c r="K241" s="267">
        <f>IFERROR(INDEX('Green_rooibos initial weight'!$C$5:$C$1749,MATCH(J241, 'Green_rooibos initial weight'!$A$5:$A$1749,0)),"")</f>
        <v>2.1269999999999998</v>
      </c>
      <c r="L241" s="267">
        <f>IFERROR(K241-(TBIcalc!$Q$9+TBIcalc!$Q$10),"")</f>
        <v>1.8771999999999998</v>
      </c>
      <c r="M241" s="391">
        <f>AVERAGE(Ashed_controlls!$K$12:$K$14)</f>
        <v>2.2816647271287041</v>
      </c>
      <c r="N241" s="267">
        <f t="shared" si="16"/>
        <v>1.8343685897423396</v>
      </c>
      <c r="O241" s="267">
        <f>IF(IFERROR(INDEX('Both teabags AfterDry'!$D$3:$D$900,MATCH(J241,'Both teabags AfterDry'!$A$3:$A$900,0)),"")="","",(IFERROR(INDEX('Both teabags AfterDry'!$D$3:$D$900,MATCH(J241,'Both teabags AfterDry'!$A$3:$A$900,0)),"")))</f>
        <v>1.9161999999999999</v>
      </c>
      <c r="P241" s="267">
        <f>IFERROR(IF(O241&gt;0,O241-(TBIcalc!$Q$9),""),"")</f>
        <v>1.7655999999999998</v>
      </c>
      <c r="Q241" s="278">
        <f>IFERROR(INDEX('Ashed teabags dry'!$K$2:$K$825,MATCH(J241,'Ashed teabags dry'!$A$2:$A$825,0)),"")</f>
        <v>3.0104712041882107</v>
      </c>
      <c r="R241" s="278">
        <f t="shared" si="17"/>
        <v>1.7124471204188527</v>
      </c>
      <c r="S241" s="268">
        <f>'Dry_Litterbag Placem_Collection'!E22</f>
        <v>42936</v>
      </c>
      <c r="T241" s="268">
        <f>IF('Dry_Litterbag Placem_Collection'!G22="","",'Dry_Litterbag Placem_Collection'!G22)</f>
        <v>43007</v>
      </c>
      <c r="U241" s="269">
        <f t="shared" si="15"/>
        <v>71</v>
      </c>
      <c r="V241" s="267">
        <f t="shared" si="18"/>
        <v>0.11159999999999992</v>
      </c>
      <c r="W241" s="267">
        <f t="shared" si="19"/>
        <v>0.12192146932348691</v>
      </c>
      <c r="X241" s="271">
        <f>IFERROR(INDEX(Rainfall_Dry!$O$2:$O$217,MATCH(B241, Rainfall_Dry!$A$2:$A$217,0)),"")</f>
        <v>6.900000125</v>
      </c>
      <c r="Y241" s="260">
        <v>54.080969906906262</v>
      </c>
      <c r="Z241" s="260">
        <v>21.264484651351896</v>
      </c>
      <c r="AA241" s="260">
        <v>24.654545441741845</v>
      </c>
      <c r="AB241" s="261" t="s">
        <v>2673</v>
      </c>
      <c r="AC241" s="260">
        <v>4.8433218334154802</v>
      </c>
      <c r="AD241" t="str">
        <f>IF('WetLitterbags placem_collection'!AB22="","",'WetLitterbags placem_collection'!AB22)</f>
        <v/>
      </c>
      <c r="AE241" t="str">
        <f>IF('WetLitterbags placem_collection'!Z22="","",'WetLitterbags placem_collection'!Z22)</f>
        <v/>
      </c>
      <c r="AF241" s="24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71">
        <f>IFERROR(AVERAGE('Dry_Litterbag Placem_Collection'!N22,'Dry_Litterbag Placem_Collection'!Q22),"")</f>
        <v>26.3</v>
      </c>
      <c r="AJ241" s="270">
        <f>INDEX(Coordinates!$B$2:$B$197,MATCH(G241,Coordinates!$J$2:$J$197,0))</f>
        <v>-3.3853969629999998</v>
      </c>
      <c r="AK241" s="270">
        <f>INDEX(Coordinates!$C$2:$C$197,MATCH(G241,Coordinates!$J$2:$J$197,0))</f>
        <v>34.818977969999999</v>
      </c>
      <c r="AL241" s="270" t="str">
        <f>IF(ISNUMBER(SEARCH("C", 'Dry_Litterbag Placem_Collection'!T22)),"YES","NO")</f>
        <v>NO</v>
      </c>
      <c r="AM241" s="270" t="str">
        <f>IF(ISNUMBER(SEARCH("H", 'Dry_Litterbag Placem_Collection'!T22)),"YES","NO")</f>
        <v>NO</v>
      </c>
      <c r="AN241" s="270" t="str">
        <f>IF(ISNUMBER(SEARCH("R", 'Dry_Litterbag Placem_Collection'!T22)),"YES","NO")</f>
        <v>NO</v>
      </c>
    </row>
    <row r="242" spans="1:40" ht="15" customHeight="1">
      <c r="A242" s="262" t="s">
        <v>2659</v>
      </c>
      <c r="B242" s="263">
        <f>'Dry_Litterbag Placem_Collection'!A23</f>
        <v>21</v>
      </c>
      <c r="C242" s="263" t="str">
        <f>'Dry_Litterbag Placem_Collection'!B23</f>
        <v>Makao</v>
      </c>
      <c r="D242" s="263" t="s">
        <v>2659</v>
      </c>
      <c r="E242" s="263" t="s">
        <v>2660</v>
      </c>
      <c r="F242" s="263">
        <v>3</v>
      </c>
      <c r="G242" s="264" t="str">
        <f>'Dry_Litterbag Placem_Collection'!C23</f>
        <v>Dry_Ag3_T5</v>
      </c>
      <c r="H242" s="265" t="s">
        <v>2541</v>
      </c>
      <c r="I242" s="272" t="s">
        <v>298</v>
      </c>
      <c r="J242" s="263" t="str">
        <f>IF(ISBLANK('Dry_Litterbag Placem_Collection'!K23),"","R"&amp;""&amp;'Dry_Litterbag Placem_Collection'!K23)</f>
        <v>R630</v>
      </c>
      <c r="K242" s="267">
        <f>IFERROR(INDEX('Green_rooibos initial weight'!$C$5:$C$1749,MATCH(J242, 'Green_rooibos initial weight'!$A$5:$A$1749,0)),"")</f>
        <v>2.13</v>
      </c>
      <c r="L242" s="267">
        <f>IFERROR(K242-(TBIcalc!$Q$9+TBIcalc!$Q$10),"")</f>
        <v>1.8801999999999999</v>
      </c>
      <c r="M242" s="391">
        <f>AVERAGE(Ashed_controlls!$K$12:$K$14)</f>
        <v>2.2816647271287041</v>
      </c>
      <c r="N242" s="267">
        <f t="shared" si="16"/>
        <v>1.837300139800526</v>
      </c>
      <c r="O242" s="267" t="str">
        <f>IF(IFERROR(INDEX('Both teabags AfterDry'!$D$3:$D$900,MATCH(J242,'Both teabags AfterDry'!$A$3:$A$900,0)),"")="","",(IFERROR(INDEX('Both teabags AfterDry'!$D$3:$D$900,MATCH(J242,'Both teabags AfterDry'!$A$3:$A$900,0)),"")))</f>
        <v/>
      </c>
      <c r="P242" s="267" t="str">
        <f>IFERROR(IF(O242&gt;0,O242-(TBIcalc!$Q$9),""),"")</f>
        <v/>
      </c>
      <c r="Q242" s="278" t="str">
        <f>IFERROR(INDEX('Ashed teabags dry'!$K$2:$K$825,MATCH(J242,'Ashed teabags dry'!$A$2:$A$825,0)),"")</f>
        <v/>
      </c>
      <c r="R242" s="278" t="str">
        <f t="shared" si="17"/>
        <v/>
      </c>
      <c r="S242" s="268">
        <f>'Dry_Litterbag Placem_Collection'!E23</f>
        <v>42936</v>
      </c>
      <c r="T242" s="268">
        <f>IF('Dry_Litterbag Placem_Collection'!G23="","",'Dry_Litterbag Placem_Collection'!G23)</f>
        <v>43007</v>
      </c>
      <c r="U242" s="269">
        <f t="shared" si="15"/>
        <v>71</v>
      </c>
      <c r="V242" s="267" t="str">
        <f t="shared" si="18"/>
        <v/>
      </c>
      <c r="W242" s="267" t="str">
        <f t="shared" si="19"/>
        <v/>
      </c>
      <c r="X242" s="271">
        <f>IFERROR(INDEX(Rainfall_Dry!$O$2:$O$217,MATCH(B242, Rainfall_Dry!$A$2:$A$217,0)),"")</f>
        <v>6.900000125</v>
      </c>
      <c r="Y242" s="260">
        <v>54.080969906906262</v>
      </c>
      <c r="Z242" s="260">
        <v>21.264484651351896</v>
      </c>
      <c r="AA242" s="260">
        <v>24.654545441741845</v>
      </c>
      <c r="AB242" s="261" t="s">
        <v>2673</v>
      </c>
      <c r="AC242" s="260">
        <v>5.8433218334154802</v>
      </c>
      <c r="AD242" t="str">
        <f>IF('WetLitterbags placem_collection'!AB23="","",'WetLitterbags placem_collection'!AB23)</f>
        <v/>
      </c>
      <c r="AE242" t="str">
        <f>IF('WetLitterbags placem_collection'!Z23="","",'WetLitterbags placem_collection'!Z23)</f>
        <v/>
      </c>
      <c r="AF242" s="24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71">
        <f>IFERROR(AVERAGE('Dry_Litterbag Placem_Collection'!N23,'Dry_Litterbag Placem_Collection'!Q23),"")</f>
        <v>26.1</v>
      </c>
      <c r="AJ242" s="270">
        <f>INDEX(Coordinates!$B$2:$B$197,MATCH(G242,Coordinates!$J$2:$J$197,0))</f>
        <v>-3.3854019919999998</v>
      </c>
      <c r="AK242" s="270">
        <f>INDEX(Coordinates!$C$2:$C$197,MATCH(G242,Coordinates!$J$2:$J$197,0))</f>
        <v>34.81894604</v>
      </c>
      <c r="AL242" s="270" t="str">
        <f>IF(ISNUMBER(SEARCH("C", 'Dry_Litterbag Placem_Collection'!T23)),"YES","NO")</f>
        <v>NO</v>
      </c>
      <c r="AM242" s="270" t="str">
        <f>IF(ISNUMBER(SEARCH("H", 'Dry_Litterbag Placem_Collection'!T23)),"YES","NO")</f>
        <v>NO</v>
      </c>
      <c r="AN242" s="270" t="str">
        <f>IF(ISNUMBER(SEARCH("R", 'Dry_Litterbag Placem_Collection'!T23)),"YES","NO")</f>
        <v>NO</v>
      </c>
    </row>
    <row r="243" spans="1:40" ht="15" customHeight="1">
      <c r="A243" s="262" t="s">
        <v>2659</v>
      </c>
      <c r="B243" s="263">
        <f>'Dry_Litterbag Placem_Collection'!A24</f>
        <v>22</v>
      </c>
      <c r="C243" s="263" t="str">
        <f>'Dry_Litterbag Placem_Collection'!B24</f>
        <v>Makao</v>
      </c>
      <c r="D243" s="263" t="s">
        <v>2659</v>
      </c>
      <c r="E243" s="263" t="s">
        <v>2660</v>
      </c>
      <c r="F243" s="263">
        <v>3</v>
      </c>
      <c r="G243" s="264" t="str">
        <f>'Dry_Litterbag Placem_Collection'!C24</f>
        <v>Dry_Ag3_T6</v>
      </c>
      <c r="H243" s="265" t="s">
        <v>2541</v>
      </c>
      <c r="I243" s="272" t="s">
        <v>298</v>
      </c>
      <c r="J243" s="263" t="str">
        <f>IF(ISBLANK('Dry_Litterbag Placem_Collection'!K24),"","R"&amp;""&amp;'Dry_Litterbag Placem_Collection'!K24)</f>
        <v>R723</v>
      </c>
      <c r="K243" s="267">
        <f>IFERROR(INDEX('Green_rooibos initial weight'!$C$5:$C$1749,MATCH(J243, 'Green_rooibos initial weight'!$A$5:$A$1749,0)),"")</f>
        <v>2.2559999999999998</v>
      </c>
      <c r="L243" s="267">
        <f>IFERROR(K243-(TBIcalc!$Q$9+TBIcalc!$Q$10),"")</f>
        <v>2.0061999999999998</v>
      </c>
      <c r="M243" s="391">
        <f>AVERAGE(Ashed_controlls!$K$12:$K$14)</f>
        <v>2.2816647271287041</v>
      </c>
      <c r="N243" s="267">
        <f t="shared" si="16"/>
        <v>1.9604252422443438</v>
      </c>
      <c r="O243" s="267">
        <f>IF(IFERROR(INDEX('Both teabags AfterDry'!$D$3:$D$900,MATCH(J243,'Both teabags AfterDry'!$A$3:$A$900,0)),"")="","",(IFERROR(INDEX('Both teabags AfterDry'!$D$3:$D$900,MATCH(J243,'Both teabags AfterDry'!$A$3:$A$900,0)),"")))</f>
        <v>1.8997999999999999</v>
      </c>
      <c r="P243" s="267">
        <f>IFERROR(IF(O243&gt;0,O243-(TBIcalc!$Q$9),""),"")</f>
        <v>1.7491999999999999</v>
      </c>
      <c r="Q243" s="278">
        <f>IFERROR(INDEX('Ashed teabags dry'!$K$2:$K$825,MATCH(J243,'Ashed teabags dry'!$A$2:$A$825,0)),"")</f>
        <v>3.508771929824448</v>
      </c>
      <c r="R243" s="278">
        <f t="shared" si="17"/>
        <v>1.6878245614035106</v>
      </c>
      <c r="S243" s="268">
        <f>'Dry_Litterbag Placem_Collection'!E24</f>
        <v>42936</v>
      </c>
      <c r="T243" s="268">
        <f>IF('Dry_Litterbag Placem_Collection'!G24="","",'Dry_Litterbag Placem_Collection'!G24)</f>
        <v>43007</v>
      </c>
      <c r="U243" s="269">
        <f t="shared" si="15"/>
        <v>71</v>
      </c>
      <c r="V243" s="267">
        <f t="shared" si="18"/>
        <v>0.2569999999999999</v>
      </c>
      <c r="W243" s="267">
        <f t="shared" si="19"/>
        <v>0.27260068084083322</v>
      </c>
      <c r="X243" s="271">
        <f>IFERROR(INDEX(Rainfall_Dry!$O$2:$O$217,MATCH(B243, Rainfall_Dry!$A$2:$A$217,0)),"")</f>
        <v>6.900000125</v>
      </c>
      <c r="Y243" s="260">
        <v>54.080969906906262</v>
      </c>
      <c r="Z243" s="260">
        <v>21.264484651351896</v>
      </c>
      <c r="AA243" s="260">
        <v>24.654545441741845</v>
      </c>
      <c r="AB243" s="261" t="s">
        <v>2673</v>
      </c>
      <c r="AC243" s="260">
        <v>6.8433218334154802</v>
      </c>
      <c r="AD243" t="str">
        <f>IF('WetLitterbags placem_collection'!AB24="","",'WetLitterbags placem_collection'!AB24)</f>
        <v/>
      </c>
      <c r="AE243" t="str">
        <f>IF('WetLitterbags placem_collection'!Z24="","",'WetLitterbags placem_collection'!Z24)</f>
        <v/>
      </c>
      <c r="AF243" s="24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71">
        <f>IFERROR(AVERAGE('Dry_Litterbag Placem_Collection'!N24,'Dry_Litterbag Placem_Collection'!Q24),"")</f>
        <v>25.75</v>
      </c>
      <c r="AJ243" s="270">
        <f>INDEX(Coordinates!$B$2:$B$197,MATCH(G243,Coordinates!$J$2:$J$197,0))</f>
        <v>-3.3854470029999999</v>
      </c>
      <c r="AK243" s="270">
        <f>INDEX(Coordinates!$C$2:$C$197,MATCH(G243,Coordinates!$J$2:$J$197,0))</f>
        <v>34.818946959999998</v>
      </c>
      <c r="AL243" s="270" t="str">
        <f>IF(ISNUMBER(SEARCH("C", 'Dry_Litterbag Placem_Collection'!T24)),"YES","NO")</f>
        <v>NO</v>
      </c>
      <c r="AM243" s="270" t="str">
        <f>IF(ISNUMBER(SEARCH("H", 'Dry_Litterbag Placem_Collection'!T24)),"YES","NO")</f>
        <v>YES</v>
      </c>
      <c r="AN243" s="270" t="str">
        <f>IF(ISNUMBER(SEARCH("R", 'Dry_Litterbag Placem_Collection'!T24)),"YES","NO")</f>
        <v>NO</v>
      </c>
    </row>
    <row r="244" spans="1:40" ht="15" customHeight="1">
      <c r="A244" s="262" t="s">
        <v>2659</v>
      </c>
      <c r="B244" s="263">
        <f>'Dry_Litterbag Placem_Collection'!A25</f>
        <v>23</v>
      </c>
      <c r="C244" s="263" t="str">
        <f>'Dry_Litterbag Placem_Collection'!B25</f>
        <v>Makao</v>
      </c>
      <c r="D244" s="263" t="s">
        <v>2659</v>
      </c>
      <c r="E244" s="263" t="s">
        <v>2660</v>
      </c>
      <c r="F244" s="263">
        <v>3</v>
      </c>
      <c r="G244" s="264" t="str">
        <f>'Dry_Litterbag Placem_Collection'!C25</f>
        <v>Dry_Ag3_T7</v>
      </c>
      <c r="H244" s="265" t="s">
        <v>2541</v>
      </c>
      <c r="I244" s="272" t="s">
        <v>298</v>
      </c>
      <c r="J244" s="263" t="str">
        <f>IF(ISBLANK('Dry_Litterbag Placem_Collection'!K25),"","R"&amp;""&amp;'Dry_Litterbag Placem_Collection'!K25)</f>
        <v/>
      </c>
      <c r="K244" s="267" t="str">
        <f>IFERROR(INDEX('Green_rooibos initial weight'!$C$5:$C$1749,MATCH(J244, 'Green_rooibos initial weight'!$A$5:$A$1749,0)),"")</f>
        <v/>
      </c>
      <c r="L244" s="267" t="str">
        <f>IFERROR(K244-(TBIcalc!$Q$9+TBIcalc!$Q$10),"")</f>
        <v/>
      </c>
      <c r="M244" s="391">
        <f>AVERAGE(Ashed_controlls!$K$12:$K$14)</f>
        <v>2.2816647271287041</v>
      </c>
      <c r="N244" s="267" t="str">
        <f t="shared" si="16"/>
        <v/>
      </c>
      <c r="O244" s="267" t="str">
        <f>IF(IFERROR(INDEX('Both teabags AfterDry'!$D$3:$D$900,MATCH(J244,'Both teabags AfterDry'!$A$3:$A$900,0)),"")="","",(IFERROR(INDEX('Both teabags AfterDry'!$D$3:$D$900,MATCH(J244,'Both teabags AfterDry'!$A$3:$A$900,0)),"")))</f>
        <v/>
      </c>
      <c r="P244" s="267" t="str">
        <f>IFERROR(IF(O244&gt;0,O244-(TBIcalc!$Q$9),""),"")</f>
        <v/>
      </c>
      <c r="Q244" s="278" t="str">
        <f>IFERROR(INDEX('Ashed teabags dry'!$K$2:$K$825,MATCH(J244,'Ashed teabags dry'!$A$2:$A$825,0)),"")</f>
        <v/>
      </c>
      <c r="R244" s="278" t="str">
        <f t="shared" si="17"/>
        <v/>
      </c>
      <c r="S244" s="268">
        <f>'Dry_Litterbag Placem_Collection'!E25</f>
        <v>0</v>
      </c>
      <c r="T244" s="268" t="str">
        <f>IF('Dry_Litterbag Placem_Collection'!G25="","",'Dry_Litterbag Placem_Collection'!G25)</f>
        <v/>
      </c>
      <c r="U244" s="269" t="str">
        <f t="shared" si="15"/>
        <v/>
      </c>
      <c r="V244" s="267" t="str">
        <f t="shared" si="18"/>
        <v/>
      </c>
      <c r="W244" s="267" t="str">
        <f t="shared" si="19"/>
        <v/>
      </c>
      <c r="X244" s="271" t="str">
        <f>IFERROR(INDEX(Rainfall_Dry!$O$2:$O$217,MATCH(B244, Rainfall_Dry!$A$2:$A$217,0)),"")</f>
        <v/>
      </c>
      <c r="Y244" s="260">
        <v>54.080969906906262</v>
      </c>
      <c r="Z244" s="260">
        <v>21.264484651351896</v>
      </c>
      <c r="AA244" s="260">
        <v>24.654545441741845</v>
      </c>
      <c r="AB244" s="261" t="s">
        <v>2673</v>
      </c>
      <c r="AC244" s="260">
        <v>7.8433218334154802</v>
      </c>
      <c r="AD244" t="str">
        <f>IF('WetLitterbags placem_collection'!AB25="","",'WetLitterbags placem_collection'!AB25)</f>
        <v/>
      </c>
      <c r="AE244" t="str">
        <f>IF('WetLitterbags placem_collection'!Z25="","",'WetLitterbags placem_collection'!Z25)</f>
        <v/>
      </c>
      <c r="AF244" s="24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71" t="str">
        <f>IFERROR(AVERAGE('Dry_Litterbag Placem_Collection'!N25,'Dry_Litterbag Placem_Collection'!Q25),"")</f>
        <v/>
      </c>
      <c r="AJ244" s="270">
        <f>INDEX(Coordinates!$B$2:$B$197,MATCH(G244,Coordinates!$J$2:$J$197,0))</f>
        <v>-3.3854200130000001</v>
      </c>
      <c r="AK244" s="270">
        <f>INDEX(Coordinates!$C$2:$C$197,MATCH(G244,Coordinates!$J$2:$J$197,0))</f>
        <v>34.818856019999998</v>
      </c>
      <c r="AL244" s="270" t="str">
        <f>IF(ISNUMBER(SEARCH("C", 'Dry_Litterbag Placem_Collection'!T25)),"YES","NO")</f>
        <v>NO</v>
      </c>
      <c r="AM244" s="270" t="str">
        <f>IF(ISNUMBER(SEARCH("H", 'Dry_Litterbag Placem_Collection'!T25)),"YES","NO")</f>
        <v>NO</v>
      </c>
      <c r="AN244" s="270" t="str">
        <f>IF(ISNUMBER(SEARCH("R", 'Dry_Litterbag Placem_Collection'!T25)),"YES","NO")</f>
        <v>NO</v>
      </c>
    </row>
    <row r="245" spans="1:40" ht="15" customHeight="1">
      <c r="A245" s="262" t="s">
        <v>2659</v>
      </c>
      <c r="B245" s="263">
        <f>'Dry_Litterbag Placem_Collection'!A26</f>
        <v>24</v>
      </c>
      <c r="C245" s="263" t="str">
        <f>'Dry_Litterbag Placem_Collection'!B26</f>
        <v>Makao</v>
      </c>
      <c r="D245" s="263" t="s">
        <v>2659</v>
      </c>
      <c r="E245" s="263" t="s">
        <v>2660</v>
      </c>
      <c r="F245" s="263">
        <v>3</v>
      </c>
      <c r="G245" s="264" t="str">
        <f>'Dry_Litterbag Placem_Collection'!C26</f>
        <v>Dry_Ag3_T8</v>
      </c>
      <c r="H245" s="265" t="s">
        <v>2541</v>
      </c>
      <c r="I245" s="272" t="s">
        <v>298</v>
      </c>
      <c r="J245" s="263" t="str">
        <f>IF(ISBLANK('Dry_Litterbag Placem_Collection'!K26),"","R"&amp;""&amp;'Dry_Litterbag Placem_Collection'!K26)</f>
        <v>R225</v>
      </c>
      <c r="K245" s="267">
        <f>IFERROR(INDEX('Green_rooibos initial weight'!$C$5:$C$1749,MATCH(J245, 'Green_rooibos initial weight'!$A$5:$A$1749,0)),"")</f>
        <v>2.214</v>
      </c>
      <c r="L245" s="267">
        <f>IFERROR(K245-(TBIcalc!$Q$9+TBIcalc!$Q$10),"")</f>
        <v>1.9641999999999999</v>
      </c>
      <c r="M245" s="391">
        <f>AVERAGE(Ashed_controlls!$K$12:$K$14)</f>
        <v>2.2816647271287041</v>
      </c>
      <c r="N245" s="267">
        <f t="shared" si="16"/>
        <v>1.919383541429738</v>
      </c>
      <c r="O245" s="267">
        <f>IF(IFERROR(INDEX('Both teabags AfterDry'!$D$3:$D$900,MATCH(J245,'Both teabags AfterDry'!$A$3:$A$900,0)),"")="","",(IFERROR(INDEX('Both teabags AfterDry'!$D$3:$D$900,MATCH(J245,'Both teabags AfterDry'!$A$3:$A$900,0)),"")))</f>
        <v>1.9572000000000001</v>
      </c>
      <c r="P245" s="267">
        <f>IFERROR(IF(O245&gt;0,O245-(TBIcalc!$Q$9),""),"")</f>
        <v>1.8066</v>
      </c>
      <c r="Q245" s="278">
        <f>IFERROR(INDEX('Ashed teabags dry'!$K$2:$K$825,MATCH(J245,'Ashed teabags dry'!$A$2:$A$825,0)),"")</f>
        <v>2.4928092042184851</v>
      </c>
      <c r="R245" s="278">
        <f t="shared" si="17"/>
        <v>1.7615649089165888</v>
      </c>
      <c r="S245" s="268">
        <f>'Dry_Litterbag Placem_Collection'!E26</f>
        <v>42936</v>
      </c>
      <c r="T245" s="268">
        <f>IF('Dry_Litterbag Placem_Collection'!G26="","",'Dry_Litterbag Placem_Collection'!G26)</f>
        <v>43007</v>
      </c>
      <c r="U245" s="269">
        <f t="shared" si="15"/>
        <v>71</v>
      </c>
      <c r="V245" s="267">
        <f t="shared" si="18"/>
        <v>0.15759999999999996</v>
      </c>
      <c r="W245" s="267">
        <f t="shared" si="19"/>
        <v>0.1578186325131492</v>
      </c>
      <c r="X245" s="271">
        <f>IFERROR(INDEX(Rainfall_Dry!$O$2:$O$217,MATCH(B245, Rainfall_Dry!$A$2:$A$217,0)),"")</f>
        <v>6.900000125</v>
      </c>
      <c r="Y245" s="260">
        <v>54.080969906906262</v>
      </c>
      <c r="Z245" s="260">
        <v>21.264484651351896</v>
      </c>
      <c r="AA245" s="260">
        <v>24.654545441741845</v>
      </c>
      <c r="AB245" s="261" t="s">
        <v>2673</v>
      </c>
      <c r="AC245" s="260">
        <v>8.8433218334154695</v>
      </c>
      <c r="AD245" t="str">
        <f>IF('WetLitterbags placem_collection'!AB26="","",'WetLitterbags placem_collection'!AB26)</f>
        <v/>
      </c>
      <c r="AE245" t="str">
        <f>IF('WetLitterbags placem_collection'!Z26="","",'WetLitterbags placem_collection'!Z26)</f>
        <v/>
      </c>
      <c r="AF245" s="24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71">
        <f>IFERROR(AVERAGE('Dry_Litterbag Placem_Collection'!N26,'Dry_Litterbag Placem_Collection'!Q26),"")</f>
        <v>25.5</v>
      </c>
      <c r="AJ245" s="270">
        <f>INDEX(Coordinates!$B$2:$B$197,MATCH(G245,Coordinates!$J$2:$J$197,0))</f>
        <v>-3.3853829649999998</v>
      </c>
      <c r="AK245" s="270">
        <f>INDEX(Coordinates!$C$2:$C$197,MATCH(G245,Coordinates!$J$2:$J$197,0))</f>
        <v>34.818877980000003</v>
      </c>
      <c r="AL245" s="270" t="str">
        <f>IF(ISNUMBER(SEARCH("C", 'Dry_Litterbag Placem_Collection'!T26)),"YES","NO")</f>
        <v>NO</v>
      </c>
      <c r="AM245" s="270" t="str">
        <f>IF(ISNUMBER(SEARCH("H", 'Dry_Litterbag Placem_Collection'!T26)),"YES","NO")</f>
        <v>NO</v>
      </c>
      <c r="AN245" s="270" t="str">
        <f>IF(ISNUMBER(SEARCH("R", 'Dry_Litterbag Placem_Collection'!T26)),"YES","NO")</f>
        <v>NO</v>
      </c>
    </row>
    <row r="246" spans="1:40" ht="15" customHeight="1">
      <c r="A246" s="262" t="s">
        <v>2659</v>
      </c>
      <c r="B246" s="263">
        <f>'Dry_Litterbag Placem_Collection'!A27</f>
        <v>25</v>
      </c>
      <c r="C246" s="263" t="str">
        <f>'Dry_Litterbag Placem_Collection'!B27</f>
        <v>Makao</v>
      </c>
      <c r="D246" s="263" t="s">
        <v>2659</v>
      </c>
      <c r="E246" s="263" t="s">
        <v>2660</v>
      </c>
      <c r="F246" s="263">
        <v>4</v>
      </c>
      <c r="G246" s="264" t="str">
        <f>'Dry_Litterbag Placem_Collection'!C27</f>
        <v>Dry_Ag4_T1</v>
      </c>
      <c r="H246" s="265" t="s">
        <v>2541</v>
      </c>
      <c r="I246" s="272" t="s">
        <v>298</v>
      </c>
      <c r="J246" s="263" t="str">
        <f>IF(ISBLANK('Dry_Litterbag Placem_Collection'!K27),"","R"&amp;""&amp;'Dry_Litterbag Placem_Collection'!K27)</f>
        <v>R43</v>
      </c>
      <c r="K246" s="267">
        <f>IFERROR(INDEX('Green_rooibos initial weight'!$C$5:$C$1749,MATCH(J246, 'Green_rooibos initial weight'!$A$5:$A$1749,0)),"")</f>
        <v>2.2759999999999998</v>
      </c>
      <c r="L246" s="267">
        <f>IFERROR(K246-(TBIcalc!$Q$9+TBIcalc!$Q$10),"")</f>
        <v>2.0261999999999998</v>
      </c>
      <c r="M246" s="391">
        <f>AVERAGE(Ashed_controlls!$K$12:$K$14)</f>
        <v>2.2816647271287041</v>
      </c>
      <c r="N246" s="267">
        <f t="shared" si="16"/>
        <v>1.9799689092989179</v>
      </c>
      <c r="O246" s="267">
        <f>IF(IFERROR(INDEX('Both teabags AfterDry'!$D$3:$D$900,MATCH(J246,'Both teabags AfterDry'!$A$3:$A$900,0)),"")="","",(IFERROR(INDEX('Both teabags AfterDry'!$D$3:$D$900,MATCH(J246,'Both teabags AfterDry'!$A$3:$A$900,0)),"")))</f>
        <v>2.0165999999999999</v>
      </c>
      <c r="P246" s="267">
        <f>IFERROR(IF(O246&gt;0,O246-(TBIcalc!$Q$9),""),"")</f>
        <v>1.8659999999999999</v>
      </c>
      <c r="Q246" s="278">
        <f>IFERROR(INDEX('Ashed teabags dry'!$K$2:$K$825,MATCH(J246,'Ashed teabags dry'!$A$2:$A$825,0)),"")</f>
        <v>3.4160037435664092</v>
      </c>
      <c r="R246" s="278">
        <f t="shared" si="17"/>
        <v>1.8022573701450506</v>
      </c>
      <c r="S246" s="268">
        <f>'Dry_Litterbag Placem_Collection'!E27</f>
        <v>42936</v>
      </c>
      <c r="T246" s="268">
        <f>IF('Dry_Litterbag Placem_Collection'!G27="","",'Dry_Litterbag Placem_Collection'!G27)</f>
        <v>43007</v>
      </c>
      <c r="U246" s="269">
        <f t="shared" si="15"/>
        <v>71</v>
      </c>
      <c r="V246" s="267">
        <f t="shared" si="18"/>
        <v>0.1601999999999999</v>
      </c>
      <c r="W246" s="267">
        <f t="shared" si="19"/>
        <v>0.17771153915386728</v>
      </c>
      <c r="X246" s="271">
        <f>IFERROR(INDEX(Rainfall_Dry!$O$2:$O$217,MATCH(B246, Rainfall_Dry!$A$2:$A$217,0)),"")</f>
        <v>6.900000125</v>
      </c>
      <c r="Y246" s="260">
        <v>51.960000000000008</v>
      </c>
      <c r="Z246" s="260">
        <v>18.919999999999995</v>
      </c>
      <c r="AA246" s="260">
        <v>29.120000000000005</v>
      </c>
      <c r="AB246" s="261" t="s">
        <v>2673</v>
      </c>
      <c r="AC246" s="260">
        <v>1.85293247905372</v>
      </c>
      <c r="AD246" t="str">
        <f>IF('WetLitterbags placem_collection'!AB27="","",'WetLitterbags placem_collection'!AB27)</f>
        <v/>
      </c>
      <c r="AE246" t="str">
        <f>IF('WetLitterbags placem_collection'!Z27="","",'WetLitterbags placem_collection'!Z27)</f>
        <v/>
      </c>
      <c r="AF246" s="24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71">
        <f>IFERROR(AVERAGE('Dry_Litterbag Placem_Collection'!N27,'Dry_Litterbag Placem_Collection'!Q27),"")</f>
        <v>25.4</v>
      </c>
      <c r="AJ246" s="270">
        <f>INDEX(Coordinates!$B$2:$B$197,MATCH(G246,Coordinates!$J$2:$J$197,0))</f>
        <v>-3.3849129919999998</v>
      </c>
      <c r="AK246" s="270">
        <f>INDEX(Coordinates!$C$2:$C$197,MATCH(G246,Coordinates!$J$2:$J$197,0))</f>
        <v>34.818899020000003</v>
      </c>
      <c r="AL246" s="270" t="str">
        <f>IF(ISNUMBER(SEARCH("C", 'Dry_Litterbag Placem_Collection'!T27)),"YES","NO")</f>
        <v>NO</v>
      </c>
      <c r="AM246" s="270" t="str">
        <f>IF(ISNUMBER(SEARCH("H", 'Dry_Litterbag Placem_Collection'!T27)),"YES","NO")</f>
        <v>NO</v>
      </c>
      <c r="AN246" s="270" t="str">
        <f>IF(ISNUMBER(SEARCH("R", 'Dry_Litterbag Placem_Collection'!T27)),"YES","NO")</f>
        <v>NO</v>
      </c>
    </row>
    <row r="247" spans="1:40" ht="15" customHeight="1">
      <c r="A247" s="262" t="s">
        <v>2659</v>
      </c>
      <c r="B247" s="263">
        <f>'Dry_Litterbag Placem_Collection'!A28</f>
        <v>26</v>
      </c>
      <c r="C247" s="263" t="str">
        <f>'Dry_Litterbag Placem_Collection'!B28</f>
        <v>Makao</v>
      </c>
      <c r="D247" s="263" t="s">
        <v>2659</v>
      </c>
      <c r="E247" s="263" t="s">
        <v>2660</v>
      </c>
      <c r="F247" s="263">
        <v>4</v>
      </c>
      <c r="G247" s="264" t="str">
        <f>'Dry_Litterbag Placem_Collection'!C28</f>
        <v>Dry_Ag4_T2</v>
      </c>
      <c r="H247" s="265" t="s">
        <v>2541</v>
      </c>
      <c r="I247" s="272" t="s">
        <v>298</v>
      </c>
      <c r="J247" s="263" t="str">
        <f>IF(ISBLANK('Dry_Litterbag Placem_Collection'!K28),"","R"&amp;""&amp;'Dry_Litterbag Placem_Collection'!K28)</f>
        <v>R602</v>
      </c>
      <c r="K247" s="267">
        <f>IFERROR(INDEX('Green_rooibos initial weight'!$C$5:$C$1749,MATCH(J247, 'Green_rooibos initial weight'!$A$5:$A$1749,0)),"")</f>
        <v>2.19</v>
      </c>
      <c r="L247" s="267">
        <f>IFERROR(K247-(TBIcalc!$Q$9+TBIcalc!$Q$10),"")</f>
        <v>1.9401999999999999</v>
      </c>
      <c r="M247" s="391">
        <f>AVERAGE(Ashed_controlls!$K$12:$K$14)</f>
        <v>2.2816647271287041</v>
      </c>
      <c r="N247" s="267">
        <f t="shared" si="16"/>
        <v>1.8959311409642488</v>
      </c>
      <c r="O247" s="267">
        <f>IF(IFERROR(INDEX('Both teabags AfterDry'!$D$3:$D$900,MATCH(J247,'Both teabags AfterDry'!$A$3:$A$900,0)),"")="","",(IFERROR(INDEX('Both teabags AfterDry'!$D$3:$D$900,MATCH(J247,'Both teabags AfterDry'!$A$3:$A$900,0)),"")))</f>
        <v>1.9849000000000001</v>
      </c>
      <c r="P247" s="267">
        <f>IFERROR(IF(O247&gt;0,O247-(TBIcalc!$Q$9),""),"")</f>
        <v>1.8343</v>
      </c>
      <c r="Q247" s="278">
        <f>IFERROR(INDEX('Ashed teabags dry'!$K$2:$K$825,MATCH(J247,'Ashed teabags dry'!$A$2:$A$825,0)),"")</f>
        <v>2.2760290556907226</v>
      </c>
      <c r="R247" s="278">
        <f t="shared" si="17"/>
        <v>1.7925507990314651</v>
      </c>
      <c r="S247" s="268">
        <f>'Dry_Litterbag Placem_Collection'!E28</f>
        <v>42936</v>
      </c>
      <c r="T247" s="268">
        <f>IF('Dry_Litterbag Placem_Collection'!G28="","",'Dry_Litterbag Placem_Collection'!G28)</f>
        <v>43007</v>
      </c>
      <c r="U247" s="269">
        <f t="shared" si="15"/>
        <v>71</v>
      </c>
      <c r="V247" s="267">
        <f t="shared" si="18"/>
        <v>0.10589999999999988</v>
      </c>
      <c r="W247" s="267">
        <f t="shared" si="19"/>
        <v>0.10338034193278367</v>
      </c>
      <c r="X247" s="271">
        <f>IFERROR(INDEX(Rainfall_Dry!$O$2:$O$217,MATCH(B247, Rainfall_Dry!$A$2:$A$217,0)),"")</f>
        <v>6.900000125</v>
      </c>
      <c r="Y247" s="260">
        <v>51.960000000000008</v>
      </c>
      <c r="Z247" s="260">
        <v>18.919999999999995</v>
      </c>
      <c r="AA247" s="260">
        <v>29.120000000000005</v>
      </c>
      <c r="AB247" s="261" t="s">
        <v>2673</v>
      </c>
      <c r="AC247" s="260">
        <v>2.8529324790537198</v>
      </c>
      <c r="AD247" t="str">
        <f>IF('WetLitterbags placem_collection'!AB28="","",'WetLitterbags placem_collection'!AB28)</f>
        <v/>
      </c>
      <c r="AE247" t="str">
        <f>IF('WetLitterbags placem_collection'!Z28="","",'WetLitterbags placem_collection'!Z28)</f>
        <v/>
      </c>
      <c r="AF247" s="24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71">
        <f>IFERROR(AVERAGE('Dry_Litterbag Placem_Collection'!N28,'Dry_Litterbag Placem_Collection'!Q28),"")</f>
        <v>25.85</v>
      </c>
      <c r="AJ247" s="270">
        <f>INDEX(Coordinates!$B$2:$B$197,MATCH(G247,Coordinates!$J$2:$J$197,0))</f>
        <v>-3.3849689999999999</v>
      </c>
      <c r="AK247" s="270">
        <f>INDEX(Coordinates!$C$2:$C$197,MATCH(G247,Coordinates!$J$2:$J$197,0))</f>
        <v>34.818908</v>
      </c>
      <c r="AL247" s="270" t="str">
        <f>IF(ISNUMBER(SEARCH("C", 'Dry_Litterbag Placem_Collection'!T28)),"YES","NO")</f>
        <v>NO</v>
      </c>
      <c r="AM247" s="270" t="str">
        <f>IF(ISNUMBER(SEARCH("H", 'Dry_Litterbag Placem_Collection'!T28)),"YES","NO")</f>
        <v>NO</v>
      </c>
      <c r="AN247" s="270" t="str">
        <f>IF(ISNUMBER(SEARCH("R", 'Dry_Litterbag Placem_Collection'!T28)),"YES","NO")</f>
        <v>NO</v>
      </c>
    </row>
    <row r="248" spans="1:40" ht="15" customHeight="1">
      <c r="A248" s="262" t="s">
        <v>2659</v>
      </c>
      <c r="B248" s="263">
        <f>'Dry_Litterbag Placem_Collection'!A29</f>
        <v>27</v>
      </c>
      <c r="C248" s="263" t="str">
        <f>'Dry_Litterbag Placem_Collection'!B29</f>
        <v>Makao</v>
      </c>
      <c r="D248" s="263" t="s">
        <v>2659</v>
      </c>
      <c r="E248" s="263" t="s">
        <v>2660</v>
      </c>
      <c r="F248" s="263">
        <v>4</v>
      </c>
      <c r="G248" s="264" t="str">
        <f>'Dry_Litterbag Placem_Collection'!C29</f>
        <v>Dry_Ag4_T3</v>
      </c>
      <c r="H248" s="265" t="s">
        <v>2541</v>
      </c>
      <c r="I248" s="272" t="s">
        <v>298</v>
      </c>
      <c r="J248" s="263" t="str">
        <f>IF(ISBLANK('Dry_Litterbag Placem_Collection'!K29),"","R"&amp;""&amp;'Dry_Litterbag Placem_Collection'!K29)</f>
        <v>R666</v>
      </c>
      <c r="K248" s="267">
        <f>IFERROR(INDEX('Green_rooibos initial weight'!$C$5:$C$1749,MATCH(J248, 'Green_rooibos initial weight'!$A$5:$A$1749,0)),"")</f>
        <v>2.15</v>
      </c>
      <c r="L248" s="267">
        <f>IFERROR(K248-(TBIcalc!$Q$9+TBIcalc!$Q$10),"")</f>
        <v>1.9001999999999999</v>
      </c>
      <c r="M248" s="391">
        <f>AVERAGE(Ashed_controlls!$K$12:$K$14)</f>
        <v>2.2816647271287041</v>
      </c>
      <c r="N248" s="267">
        <f t="shared" si="16"/>
        <v>1.8568438068551003</v>
      </c>
      <c r="O248" s="267" t="str">
        <f>IF(IFERROR(INDEX('Both teabags AfterDry'!$D$3:$D$900,MATCH(J248,'Both teabags AfterDry'!$A$3:$A$900,0)),"")="","",(IFERROR(INDEX('Both teabags AfterDry'!$D$3:$D$900,MATCH(J248,'Both teabags AfterDry'!$A$3:$A$900,0)),"")))</f>
        <v/>
      </c>
      <c r="P248" s="267" t="str">
        <f>IFERROR(IF(O248&gt;0,O248-(TBIcalc!$Q$9),""),"")</f>
        <v/>
      </c>
      <c r="Q248" s="278" t="str">
        <f>IFERROR(INDEX('Ashed teabags dry'!$K$2:$K$825,MATCH(J248,'Ashed teabags dry'!$A$2:$A$825,0)),"")</f>
        <v/>
      </c>
      <c r="R248" s="278" t="str">
        <f t="shared" si="17"/>
        <v/>
      </c>
      <c r="S248" s="268">
        <f>'Dry_Litterbag Placem_Collection'!E29</f>
        <v>42936</v>
      </c>
      <c r="T248" s="268">
        <f>IF('Dry_Litterbag Placem_Collection'!G29="","",'Dry_Litterbag Placem_Collection'!G29)</f>
        <v>43007</v>
      </c>
      <c r="U248" s="269">
        <f t="shared" si="15"/>
        <v>71</v>
      </c>
      <c r="V248" s="267" t="str">
        <f t="shared" si="18"/>
        <v/>
      </c>
      <c r="W248" s="267" t="str">
        <f t="shared" si="19"/>
        <v/>
      </c>
      <c r="X248" s="271">
        <f>IFERROR(INDEX(Rainfall_Dry!$O$2:$O$217,MATCH(B248, Rainfall_Dry!$A$2:$A$217,0)),"")</f>
        <v>6.900000125</v>
      </c>
      <c r="Y248" s="260">
        <v>51.960000000000008</v>
      </c>
      <c r="Z248" s="260">
        <v>18.919999999999995</v>
      </c>
      <c r="AA248" s="260">
        <v>29.120000000000005</v>
      </c>
      <c r="AB248" s="261" t="s">
        <v>2673</v>
      </c>
      <c r="AC248" s="260">
        <v>3.8529324790537198</v>
      </c>
      <c r="AD248" t="str">
        <f>IF('WetLitterbags placem_collection'!AB29="","",'WetLitterbags placem_collection'!AB29)</f>
        <v/>
      </c>
      <c r="AE248" t="str">
        <f>IF('WetLitterbags placem_collection'!Z29="","",'WetLitterbags placem_collection'!Z29)</f>
        <v/>
      </c>
      <c r="AF248" s="24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71">
        <f>IFERROR(AVERAGE('Dry_Litterbag Placem_Collection'!N29,'Dry_Litterbag Placem_Collection'!Q29),"")</f>
        <v>26.15</v>
      </c>
      <c r="AJ248" s="270">
        <f>INDEX(Coordinates!$B$2:$B$197,MATCH(G248,Coordinates!$J$2:$J$197,0))</f>
        <v>-3.3849350359999999</v>
      </c>
      <c r="AK248" s="270">
        <f>INDEX(Coordinates!$C$2:$C$197,MATCH(G248,Coordinates!$J$2:$J$197,0))</f>
        <v>34.818943019999999</v>
      </c>
      <c r="AL248" s="270" t="str">
        <f>IF(ISNUMBER(SEARCH("C", 'Dry_Litterbag Placem_Collection'!T29)),"YES","NO")</f>
        <v>NO</v>
      </c>
      <c r="AM248" s="270" t="str">
        <f>IF(ISNUMBER(SEARCH("H", 'Dry_Litterbag Placem_Collection'!T29)),"YES","NO")</f>
        <v>NO</v>
      </c>
      <c r="AN248" s="270" t="str">
        <f>IF(ISNUMBER(SEARCH("R", 'Dry_Litterbag Placem_Collection'!T29)),"YES","NO")</f>
        <v>NO</v>
      </c>
    </row>
    <row r="249" spans="1:40" ht="15" customHeight="1">
      <c r="A249" s="262" t="s">
        <v>2659</v>
      </c>
      <c r="B249" s="263">
        <f>'Dry_Litterbag Placem_Collection'!A30</f>
        <v>28</v>
      </c>
      <c r="C249" s="263" t="str">
        <f>'Dry_Litterbag Placem_Collection'!B30</f>
        <v>Makao</v>
      </c>
      <c r="D249" s="263" t="s">
        <v>2659</v>
      </c>
      <c r="E249" s="263" t="s">
        <v>2660</v>
      </c>
      <c r="F249" s="263">
        <v>4</v>
      </c>
      <c r="G249" s="264" t="str">
        <f>'Dry_Litterbag Placem_Collection'!C30</f>
        <v>Dry_Ag4_T4</v>
      </c>
      <c r="H249" s="265" t="s">
        <v>2541</v>
      </c>
      <c r="I249" s="272" t="s">
        <v>298</v>
      </c>
      <c r="J249" s="263" t="str">
        <f>IF(ISBLANK('Dry_Litterbag Placem_Collection'!K30),"","R"&amp;""&amp;'Dry_Litterbag Placem_Collection'!K30)</f>
        <v>R705</v>
      </c>
      <c r="K249" s="267">
        <f>IFERROR(INDEX('Green_rooibos initial weight'!$C$5:$C$1749,MATCH(J249, 'Green_rooibos initial weight'!$A$5:$A$1749,0)),"")</f>
        <v>2.1859999999999999</v>
      </c>
      <c r="L249" s="267">
        <f>IFERROR(K249-(TBIcalc!$Q$9+TBIcalc!$Q$10),"")</f>
        <v>1.9361999999999999</v>
      </c>
      <c r="M249" s="391">
        <f>AVERAGE(Ashed_controlls!$K$12:$K$14)</f>
        <v>2.2816647271287041</v>
      </c>
      <c r="N249" s="267">
        <f t="shared" si="16"/>
        <v>1.8920224075533341</v>
      </c>
      <c r="O249" s="267">
        <f>IF(IFERROR(INDEX('Both teabags AfterDry'!$D$3:$D$900,MATCH(J249,'Both teabags AfterDry'!$A$3:$A$900,0)),"")="","",(IFERROR(INDEX('Both teabags AfterDry'!$D$3:$D$900,MATCH(J249,'Both teabags AfterDry'!$A$3:$A$900,0)),"")))</f>
        <v>2.0167999999999999</v>
      </c>
      <c r="P249" s="267">
        <f>IFERROR(IF(O249&gt;0,O249-(TBIcalc!$Q$9),""),"")</f>
        <v>1.8661999999999999</v>
      </c>
      <c r="Q249" s="278">
        <f>IFERROR(INDEX('Ashed teabags dry'!$K$2:$K$825,MATCH(J249,'Ashed teabags dry'!$A$2:$A$825,0)),"")</f>
        <v>3.6201222378937139</v>
      </c>
      <c r="R249" s="278">
        <f t="shared" si="17"/>
        <v>1.7986412787964274</v>
      </c>
      <c r="S249" s="268">
        <f>'Dry_Litterbag Placem_Collection'!E30</f>
        <v>42936</v>
      </c>
      <c r="T249" s="268">
        <f>IF('Dry_Litterbag Placem_Collection'!G30="","",'Dry_Litterbag Placem_Collection'!G30)</f>
        <v>43007</v>
      </c>
      <c r="U249" s="269">
        <f t="shared" si="15"/>
        <v>71</v>
      </c>
      <c r="V249" s="267">
        <f t="shared" si="18"/>
        <v>7.0000000000000062E-2</v>
      </c>
      <c r="W249" s="267">
        <f t="shared" si="19"/>
        <v>9.3381128756906628E-2</v>
      </c>
      <c r="X249" s="271">
        <f>IFERROR(INDEX(Rainfall_Dry!$O$2:$O$217,MATCH(B249, Rainfall_Dry!$A$2:$A$217,0)),"")</f>
        <v>6.900000125</v>
      </c>
      <c r="Y249" s="260">
        <v>51.960000000000008</v>
      </c>
      <c r="Z249" s="260">
        <v>18.919999999999995</v>
      </c>
      <c r="AA249" s="260">
        <v>29.120000000000005</v>
      </c>
      <c r="AB249" s="261" t="s">
        <v>2673</v>
      </c>
      <c r="AC249" s="260">
        <v>4.8529324790537203</v>
      </c>
      <c r="AD249" t="str">
        <f>IF('WetLitterbags placem_collection'!AB30="","",'WetLitterbags placem_collection'!AB30)</f>
        <v/>
      </c>
      <c r="AE249" t="str">
        <f>IF('WetLitterbags placem_collection'!Z30="","",'WetLitterbags placem_collection'!Z30)</f>
        <v/>
      </c>
      <c r="AF249" s="24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71">
        <f>IFERROR(AVERAGE('Dry_Litterbag Placem_Collection'!N30,'Dry_Litterbag Placem_Collection'!Q30),"")</f>
        <v>25.700000000000003</v>
      </c>
      <c r="AJ249" s="270">
        <f>INDEX(Coordinates!$B$2:$B$197,MATCH(G249,Coordinates!$J$2:$J$197,0))</f>
        <v>-3.3850070369999998</v>
      </c>
      <c r="AK249" s="270">
        <f>INDEX(Coordinates!$C$2:$C$197,MATCH(G249,Coordinates!$J$2:$J$197,0))</f>
        <v>34.818888960000002</v>
      </c>
      <c r="AL249" s="270" t="str">
        <f>IF(ISNUMBER(SEARCH("C", 'Dry_Litterbag Placem_Collection'!T30)),"YES","NO")</f>
        <v>NO</v>
      </c>
      <c r="AM249" s="270" t="str">
        <f>IF(ISNUMBER(SEARCH("H", 'Dry_Litterbag Placem_Collection'!T30)),"YES","NO")</f>
        <v>NO</v>
      </c>
      <c r="AN249" s="270" t="str">
        <f>IF(ISNUMBER(SEARCH("R", 'Dry_Litterbag Placem_Collection'!T30)),"YES","NO")</f>
        <v>NO</v>
      </c>
    </row>
    <row r="250" spans="1:40" ht="15" customHeight="1">
      <c r="A250" s="262" t="s">
        <v>2659</v>
      </c>
      <c r="B250" s="263">
        <f>'Dry_Litterbag Placem_Collection'!A31</f>
        <v>29</v>
      </c>
      <c r="C250" s="263" t="str">
        <f>'Dry_Litterbag Placem_Collection'!B31</f>
        <v>Makao</v>
      </c>
      <c r="D250" s="263" t="s">
        <v>2659</v>
      </c>
      <c r="E250" s="263" t="s">
        <v>2660</v>
      </c>
      <c r="F250" s="263">
        <v>4</v>
      </c>
      <c r="G250" s="264" t="str">
        <f>'Dry_Litterbag Placem_Collection'!C31</f>
        <v>Dry_Ag4_T5</v>
      </c>
      <c r="H250" s="265" t="s">
        <v>2541</v>
      </c>
      <c r="I250" s="272" t="s">
        <v>298</v>
      </c>
      <c r="J250" s="263" t="str">
        <f>IF(ISBLANK('Dry_Litterbag Placem_Collection'!K31),"","R"&amp;""&amp;'Dry_Litterbag Placem_Collection'!K31)</f>
        <v>R305</v>
      </c>
      <c r="K250" s="267">
        <f>IFERROR(INDEX('Green_rooibos initial weight'!$C$5:$C$1749,MATCH(J250, 'Green_rooibos initial weight'!$A$5:$A$1749,0)),"")</f>
        <v>2.2829999999999999</v>
      </c>
      <c r="L250" s="267">
        <f>IFERROR(K250-(TBIcalc!$Q$9+TBIcalc!$Q$10),"")</f>
        <v>2.0331999999999999</v>
      </c>
      <c r="M250" s="391">
        <f>AVERAGE(Ashed_controlls!$K$12:$K$14)</f>
        <v>2.2816647271287041</v>
      </c>
      <c r="N250" s="267">
        <f t="shared" si="16"/>
        <v>1.9868091927680191</v>
      </c>
      <c r="O250" s="267">
        <f>IF(IFERROR(INDEX('Both teabags AfterDry'!$D$3:$D$900,MATCH(J250,'Both teabags AfterDry'!$A$3:$A$900,0)),"")="","",(IFERROR(INDEX('Both teabags AfterDry'!$D$3:$D$900,MATCH(J250,'Both teabags AfterDry'!$A$3:$A$900,0)),"")))</f>
        <v>2.0718999999999999</v>
      </c>
      <c r="P250" s="267">
        <f>IFERROR(IF(O250&gt;0,O250-(TBIcalc!$Q$9),""),"")</f>
        <v>1.9212999999999998</v>
      </c>
      <c r="Q250" s="278">
        <f>IFERROR(INDEX('Ashed teabags dry'!$K$2:$K$825,MATCH(J250,'Ashed teabags dry'!$A$2:$A$825,0)),"")</f>
        <v>2.7534965034964429</v>
      </c>
      <c r="R250" s="278">
        <f t="shared" si="17"/>
        <v>1.8683970716783227</v>
      </c>
      <c r="S250" s="268">
        <f>'Dry_Litterbag Placem_Collection'!E31</f>
        <v>42936</v>
      </c>
      <c r="T250" s="268">
        <f>IF('Dry_Litterbag Placem_Collection'!G31="","",'Dry_Litterbag Placem_Collection'!G31)</f>
        <v>43007</v>
      </c>
      <c r="U250" s="269">
        <f t="shared" si="15"/>
        <v>71</v>
      </c>
      <c r="V250" s="267">
        <f t="shared" si="18"/>
        <v>0.11190000000000011</v>
      </c>
      <c r="W250" s="267">
        <f t="shared" si="19"/>
        <v>0.11841212108969645</v>
      </c>
      <c r="X250" s="271">
        <f>IFERROR(INDEX(Rainfall_Dry!$O$2:$O$217,MATCH(B250, Rainfall_Dry!$A$2:$A$217,0)),"")</f>
        <v>6.900000125</v>
      </c>
      <c r="Y250" s="260">
        <v>51.960000000000008</v>
      </c>
      <c r="Z250" s="260">
        <v>18.919999999999995</v>
      </c>
      <c r="AA250" s="260">
        <v>29.120000000000005</v>
      </c>
      <c r="AB250" s="261" t="s">
        <v>2673</v>
      </c>
      <c r="AC250" s="260">
        <v>5.8529324790537203</v>
      </c>
      <c r="AD250" t="str">
        <f>IF('WetLitterbags placem_collection'!AB31="","",'WetLitterbags placem_collection'!AB31)</f>
        <v/>
      </c>
      <c r="AE250" t="str">
        <f>IF('WetLitterbags placem_collection'!Z31="","",'WetLitterbags placem_collection'!Z31)</f>
        <v/>
      </c>
      <c r="AF250" s="24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71">
        <f>IFERROR(AVERAGE('Dry_Litterbag Placem_Collection'!N31,'Dry_Litterbag Placem_Collection'!Q31),"")</f>
        <v>25.65</v>
      </c>
      <c r="AJ250" s="270">
        <f>INDEX(Coordinates!$B$2:$B$197,MATCH(G250,Coordinates!$J$2:$J$197,0))</f>
        <v>-3.3849480280000002</v>
      </c>
      <c r="AK250" s="270">
        <f>INDEX(Coordinates!$C$2:$C$197,MATCH(G250,Coordinates!$J$2:$J$197,0))</f>
        <v>34.818854010000003</v>
      </c>
      <c r="AL250" s="270" t="str">
        <f>IF(ISNUMBER(SEARCH("C", 'Dry_Litterbag Placem_Collection'!T31)),"YES","NO")</f>
        <v>NO</v>
      </c>
      <c r="AM250" s="270" t="str">
        <f>IF(ISNUMBER(SEARCH("H", 'Dry_Litterbag Placem_Collection'!T31)),"YES","NO")</f>
        <v>NO</v>
      </c>
      <c r="AN250" s="270" t="str">
        <f>IF(ISNUMBER(SEARCH("R", 'Dry_Litterbag Placem_Collection'!T31)),"YES","NO")</f>
        <v>NO</v>
      </c>
    </row>
    <row r="251" spans="1:40" ht="15" customHeight="1">
      <c r="A251" s="262" t="s">
        <v>2659</v>
      </c>
      <c r="B251" s="263">
        <f>'Dry_Litterbag Placem_Collection'!A32</f>
        <v>30</v>
      </c>
      <c r="C251" s="263" t="str">
        <f>'Dry_Litterbag Placem_Collection'!B32</f>
        <v>Makao</v>
      </c>
      <c r="D251" s="263" t="s">
        <v>2659</v>
      </c>
      <c r="E251" s="263" t="s">
        <v>2660</v>
      </c>
      <c r="F251" s="263">
        <v>4</v>
      </c>
      <c r="G251" s="264" t="str">
        <f>'Dry_Litterbag Placem_Collection'!C32</f>
        <v>Dry_Ag4_T6</v>
      </c>
      <c r="H251" s="265" t="s">
        <v>2541</v>
      </c>
      <c r="I251" s="272" t="s">
        <v>298</v>
      </c>
      <c r="J251" s="263" t="str">
        <f>IF(ISBLANK('Dry_Litterbag Placem_Collection'!K32),"","R"&amp;""&amp;'Dry_Litterbag Placem_Collection'!K32)</f>
        <v>R667</v>
      </c>
      <c r="K251" s="267">
        <f>IFERROR(INDEX('Green_rooibos initial weight'!$C$5:$C$1749,MATCH(J251, 'Green_rooibos initial weight'!$A$5:$A$1749,0)),"")</f>
        <v>2.1949999999999998</v>
      </c>
      <c r="L251" s="267">
        <f>IFERROR(K251-(TBIcalc!$Q$9+TBIcalc!$Q$10),"")</f>
        <v>1.9451999999999998</v>
      </c>
      <c r="M251" s="391">
        <f>AVERAGE(Ashed_controlls!$K$12:$K$14)</f>
        <v>2.2816647271287041</v>
      </c>
      <c r="N251" s="267">
        <f t="shared" si="16"/>
        <v>1.9008170577278922</v>
      </c>
      <c r="O251" s="267">
        <f>IF(IFERROR(INDEX('Both teabags AfterDry'!$D$3:$D$900,MATCH(J251,'Both teabags AfterDry'!$A$3:$A$900,0)),"")="","",(IFERROR(INDEX('Both teabags AfterDry'!$D$3:$D$900,MATCH(J251,'Both teabags AfterDry'!$A$3:$A$900,0)),"")))</f>
        <v>2.0158999999999998</v>
      </c>
      <c r="P251" s="267">
        <f>IFERROR(IF(O251&gt;0,O251-(TBIcalc!$Q$9),""),"")</f>
        <v>1.8652999999999997</v>
      </c>
      <c r="Q251" s="278">
        <f>IFERROR(INDEX('Ashed teabags dry'!$K$2:$K$825,MATCH(J251,'Ashed teabags dry'!$A$2:$A$825,0)),"")</f>
        <v>2.0813623462635014</v>
      </c>
      <c r="R251" s="278">
        <f t="shared" si="17"/>
        <v>1.8264763481551467</v>
      </c>
      <c r="S251" s="268">
        <f>'Dry_Litterbag Placem_Collection'!E32</f>
        <v>42936</v>
      </c>
      <c r="T251" s="268">
        <f>IF('Dry_Litterbag Placem_Collection'!G32="","",'Dry_Litterbag Placem_Collection'!G32)</f>
        <v>43007</v>
      </c>
      <c r="U251" s="269">
        <f t="shared" si="15"/>
        <v>71</v>
      </c>
      <c r="V251" s="267">
        <f t="shared" si="18"/>
        <v>7.9900000000000082E-2</v>
      </c>
      <c r="W251" s="267">
        <f t="shared" si="19"/>
        <v>7.4340709572745522E-2</v>
      </c>
      <c r="X251" s="271">
        <f>IFERROR(INDEX(Rainfall_Dry!$O$2:$O$217,MATCH(B251, Rainfall_Dry!$A$2:$A$217,0)),"")</f>
        <v>6.900000125</v>
      </c>
      <c r="Y251" s="260">
        <v>51.960000000000008</v>
      </c>
      <c r="Z251" s="260">
        <v>18.919999999999995</v>
      </c>
      <c r="AA251" s="260">
        <v>29.120000000000005</v>
      </c>
      <c r="AB251" s="261" t="s">
        <v>2673</v>
      </c>
      <c r="AC251" s="260">
        <v>6.8529324790537203</v>
      </c>
      <c r="AD251" t="str">
        <f>IF('WetLitterbags placem_collection'!AB32="","",'WetLitterbags placem_collection'!AB32)</f>
        <v/>
      </c>
      <c r="AE251" t="str">
        <f>IF('WetLitterbags placem_collection'!Z32="","",'WetLitterbags placem_collection'!Z32)</f>
        <v/>
      </c>
      <c r="AF251" s="24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71">
        <f>IFERROR(AVERAGE('Dry_Litterbag Placem_Collection'!N32,'Dry_Litterbag Placem_Collection'!Q32),"")</f>
        <v>24</v>
      </c>
      <c r="AJ251" s="270">
        <f>INDEX(Coordinates!$B$2:$B$197,MATCH(G251,Coordinates!$J$2:$J$197,0))</f>
        <v>-3.38496496</v>
      </c>
      <c r="AK251" s="270">
        <f>INDEX(Coordinates!$C$2:$C$197,MATCH(G251,Coordinates!$J$2:$J$197,0))</f>
        <v>34.818790970000002</v>
      </c>
      <c r="AL251" s="270" t="str">
        <f>IF(ISNUMBER(SEARCH("C", 'Dry_Litterbag Placem_Collection'!T32)),"YES","NO")</f>
        <v>NO</v>
      </c>
      <c r="AM251" s="270" t="str">
        <f>IF(ISNUMBER(SEARCH("H", 'Dry_Litterbag Placem_Collection'!T32)),"YES","NO")</f>
        <v>NO</v>
      </c>
      <c r="AN251" s="270" t="str">
        <f>IF(ISNUMBER(SEARCH("R", 'Dry_Litterbag Placem_Collection'!T32)),"YES","NO")</f>
        <v>NO</v>
      </c>
    </row>
    <row r="252" spans="1:40" ht="15" customHeight="1">
      <c r="A252" s="262" t="s">
        <v>2659</v>
      </c>
      <c r="B252" s="263">
        <f>'Dry_Litterbag Placem_Collection'!A33</f>
        <v>31</v>
      </c>
      <c r="C252" s="263" t="str">
        <f>'Dry_Litterbag Placem_Collection'!B33</f>
        <v>Makao</v>
      </c>
      <c r="D252" s="263" t="s">
        <v>2659</v>
      </c>
      <c r="E252" s="263" t="s">
        <v>2660</v>
      </c>
      <c r="F252" s="263">
        <v>4</v>
      </c>
      <c r="G252" s="264" t="str">
        <f>'Dry_Litterbag Placem_Collection'!C33</f>
        <v>Dry_Ag4_T7</v>
      </c>
      <c r="H252" s="265" t="s">
        <v>2541</v>
      </c>
      <c r="I252" s="272" t="s">
        <v>298</v>
      </c>
      <c r="J252" s="263" t="str">
        <f>IF(ISBLANK('Dry_Litterbag Placem_Collection'!K33),"","R"&amp;""&amp;'Dry_Litterbag Placem_Collection'!K33)</f>
        <v/>
      </c>
      <c r="K252" s="267" t="str">
        <f>IFERROR(INDEX('Green_rooibos initial weight'!$C$5:$C$1749,MATCH(J252, 'Green_rooibos initial weight'!$A$5:$A$1749,0)),"")</f>
        <v/>
      </c>
      <c r="L252" s="267" t="str">
        <f>IFERROR(K252-(TBIcalc!$Q$9+TBIcalc!$Q$10),"")</f>
        <v/>
      </c>
      <c r="M252" s="391">
        <f>AVERAGE(Ashed_controlls!$K$12:$K$14)</f>
        <v>2.2816647271287041</v>
      </c>
      <c r="N252" s="267" t="str">
        <f t="shared" si="16"/>
        <v/>
      </c>
      <c r="O252" s="267" t="str">
        <f>IF(IFERROR(INDEX('Both teabags AfterDry'!$D$3:$D$900,MATCH(J252,'Both teabags AfterDry'!$A$3:$A$900,0)),"")="","",(IFERROR(INDEX('Both teabags AfterDry'!$D$3:$D$900,MATCH(J252,'Both teabags AfterDry'!$A$3:$A$900,0)),"")))</f>
        <v/>
      </c>
      <c r="P252" s="267" t="str">
        <f>IFERROR(IF(O252&gt;0,O252-(TBIcalc!$Q$9),""),"")</f>
        <v/>
      </c>
      <c r="Q252" s="278" t="str">
        <f>IFERROR(INDEX('Ashed teabags dry'!$K$2:$K$825,MATCH(J252,'Ashed teabags dry'!$A$2:$A$825,0)),"")</f>
        <v/>
      </c>
      <c r="R252" s="278" t="str">
        <f t="shared" si="17"/>
        <v/>
      </c>
      <c r="S252" s="268">
        <f>'Dry_Litterbag Placem_Collection'!E33</f>
        <v>0</v>
      </c>
      <c r="T252" s="268" t="str">
        <f>IF('Dry_Litterbag Placem_Collection'!G33="","",'Dry_Litterbag Placem_Collection'!G33)</f>
        <v/>
      </c>
      <c r="U252" s="269" t="str">
        <f t="shared" si="15"/>
        <v/>
      </c>
      <c r="V252" s="267" t="str">
        <f t="shared" si="18"/>
        <v/>
      </c>
      <c r="W252" s="267" t="str">
        <f t="shared" si="19"/>
        <v/>
      </c>
      <c r="X252" s="271" t="str">
        <f>IFERROR(INDEX(Rainfall_Dry!$O$2:$O$217,MATCH(B252, Rainfall_Dry!$A$2:$A$217,0)),"")</f>
        <v/>
      </c>
      <c r="Y252" s="260">
        <v>51.960000000000008</v>
      </c>
      <c r="Z252" s="260">
        <v>18.919999999999995</v>
      </c>
      <c r="AA252" s="260">
        <v>29.120000000000005</v>
      </c>
      <c r="AB252" s="261" t="s">
        <v>2673</v>
      </c>
      <c r="AC252" s="260">
        <v>7.8529324790537203</v>
      </c>
      <c r="AD252" t="str">
        <f>IF('WetLitterbags placem_collection'!AB33="","",'WetLitterbags placem_collection'!AB33)</f>
        <v/>
      </c>
      <c r="AE252" t="str">
        <f>IF('WetLitterbags placem_collection'!Z33="","",'WetLitterbags placem_collection'!Z33)</f>
        <v/>
      </c>
      <c r="AF252" s="24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71" t="str">
        <f>IFERROR(AVERAGE('Dry_Litterbag Placem_Collection'!N33,'Dry_Litterbag Placem_Collection'!Q33),"")</f>
        <v/>
      </c>
      <c r="AJ252" s="270">
        <f>INDEX(Coordinates!$B$2:$B$197,MATCH(G252,Coordinates!$J$2:$J$197,0))</f>
        <v>-3.3848409909999999</v>
      </c>
      <c r="AK252" s="270">
        <f>INDEX(Coordinates!$C$2:$C$197,MATCH(G252,Coordinates!$J$2:$J$197,0))</f>
        <v>34.818838999999997</v>
      </c>
      <c r="AL252" s="270" t="str">
        <f>IF(ISNUMBER(SEARCH("C", 'Dry_Litterbag Placem_Collection'!T33)),"YES","NO")</f>
        <v>NO</v>
      </c>
      <c r="AM252" s="270" t="str">
        <f>IF(ISNUMBER(SEARCH("H", 'Dry_Litterbag Placem_Collection'!T33)),"YES","NO")</f>
        <v>NO</v>
      </c>
      <c r="AN252" s="270" t="str">
        <f>IF(ISNUMBER(SEARCH("R", 'Dry_Litterbag Placem_Collection'!T33)),"YES","NO")</f>
        <v>NO</v>
      </c>
    </row>
    <row r="253" spans="1:40" ht="15" customHeight="1">
      <c r="A253" s="262" t="s">
        <v>2659</v>
      </c>
      <c r="B253" s="263">
        <f>'Dry_Litterbag Placem_Collection'!A34</f>
        <v>32</v>
      </c>
      <c r="C253" s="263" t="str">
        <f>'Dry_Litterbag Placem_Collection'!B34</f>
        <v>Makao</v>
      </c>
      <c r="D253" s="263" t="s">
        <v>2659</v>
      </c>
      <c r="E253" s="263" t="s">
        <v>2660</v>
      </c>
      <c r="F253" s="263">
        <v>4</v>
      </c>
      <c r="G253" s="264" t="str">
        <f>'Dry_Litterbag Placem_Collection'!C34</f>
        <v>Dry_Ag4_T8</v>
      </c>
      <c r="H253" s="265" t="s">
        <v>2541</v>
      </c>
      <c r="I253" s="272" t="s">
        <v>298</v>
      </c>
      <c r="J253" s="263" t="str">
        <f>IF(ISBLANK('Dry_Litterbag Placem_Collection'!K34),"","R"&amp;""&amp;'Dry_Litterbag Placem_Collection'!K34)</f>
        <v>R743</v>
      </c>
      <c r="K253" s="267">
        <f>IFERROR(INDEX('Green_rooibos initial weight'!$C$5:$C$1749,MATCH(J253, 'Green_rooibos initial weight'!$A$5:$A$1749,0)),"")</f>
        <v>2.2480000000000002</v>
      </c>
      <c r="L253" s="267">
        <f>IFERROR(K253-(TBIcalc!$Q$9+TBIcalc!$Q$10),"")</f>
        <v>1.9982000000000002</v>
      </c>
      <c r="M253" s="391">
        <f>AVERAGE(Ashed_controlls!$K$12:$K$14)</f>
        <v>2.2816647271287041</v>
      </c>
      <c r="N253" s="267">
        <f t="shared" si="16"/>
        <v>1.9526077754225144</v>
      </c>
      <c r="O253" s="267">
        <f>IF(IFERROR(INDEX('Both teabags AfterDry'!$D$3:$D$900,MATCH(J253,'Both teabags AfterDry'!$A$3:$A$900,0)),"")="","",(IFERROR(INDEX('Both teabags AfterDry'!$D$3:$D$900,MATCH(J253,'Both teabags AfterDry'!$A$3:$A$900,0)),"")))</f>
        <v>1.9944999999999999</v>
      </c>
      <c r="P253" s="267">
        <f>IFERROR(IF(O253&gt;0,O253-(TBIcalc!$Q$9),""),"")</f>
        <v>1.8438999999999999</v>
      </c>
      <c r="Q253" s="278">
        <f>IFERROR(INDEX('Ashed teabags dry'!$K$2:$K$825,MATCH(J253,'Ashed teabags dry'!$A$2:$A$825,0)),"")</f>
        <v>3.3151904997520401</v>
      </c>
      <c r="R253" s="278">
        <f t="shared" si="17"/>
        <v>1.7827712023750719</v>
      </c>
      <c r="S253" s="268">
        <f>'Dry_Litterbag Placem_Collection'!E34</f>
        <v>42936</v>
      </c>
      <c r="T253" s="268">
        <f>IF('Dry_Litterbag Placem_Collection'!G34="","",'Dry_Litterbag Placem_Collection'!G34)</f>
        <v>43007</v>
      </c>
      <c r="U253" s="269">
        <f t="shared" si="15"/>
        <v>71</v>
      </c>
      <c r="V253" s="267">
        <f t="shared" si="18"/>
        <v>0.15430000000000033</v>
      </c>
      <c r="W253" s="267">
        <f t="shared" si="19"/>
        <v>0.16983657304744249</v>
      </c>
      <c r="X253" s="271">
        <f>IFERROR(INDEX(Rainfall_Dry!$O$2:$O$217,MATCH(B253, Rainfall_Dry!$A$2:$A$217,0)),"")</f>
        <v>6.900000125</v>
      </c>
      <c r="Y253" s="260">
        <v>51.960000000000008</v>
      </c>
      <c r="Z253" s="260">
        <v>18.919999999999995</v>
      </c>
      <c r="AA253" s="260">
        <v>29.120000000000005</v>
      </c>
      <c r="AB253" s="261" t="s">
        <v>2673</v>
      </c>
      <c r="AC253" s="260">
        <v>8.8529324790537203</v>
      </c>
      <c r="AD253" t="str">
        <f>IF('WetLitterbags placem_collection'!AB34="","",'WetLitterbags placem_collection'!AB34)</f>
        <v/>
      </c>
      <c r="AE253" t="str">
        <f>IF('WetLitterbags placem_collection'!Z34="","",'WetLitterbags placem_collection'!Z34)</f>
        <v/>
      </c>
      <c r="AF253" s="24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71">
        <f>IFERROR(AVERAGE('Dry_Litterbag Placem_Collection'!N34,'Dry_Litterbag Placem_Collection'!Q34),"")</f>
        <v>25.45</v>
      </c>
      <c r="AJ253" s="270">
        <f>INDEX(Coordinates!$B$2:$B$197,MATCH(G253,Coordinates!$J$2:$J$197,0))</f>
        <v>-3.3849010060000002</v>
      </c>
      <c r="AK253" s="270">
        <f>INDEX(Coordinates!$C$2:$C$197,MATCH(G253,Coordinates!$J$2:$J$197,0))</f>
        <v>34.818979990000003</v>
      </c>
      <c r="AL253" s="270" t="str">
        <f>IF(ISNUMBER(SEARCH("C", 'Dry_Litterbag Placem_Collection'!T34)),"YES","NO")</f>
        <v>NO</v>
      </c>
      <c r="AM253" s="270" t="str">
        <f>IF(ISNUMBER(SEARCH("H", 'Dry_Litterbag Placem_Collection'!T34)),"YES","NO")</f>
        <v>NO</v>
      </c>
      <c r="AN253" s="270" t="str">
        <f>IF(ISNUMBER(SEARCH("R", 'Dry_Litterbag Placem_Collection'!T34)),"YES","NO")</f>
        <v>NO</v>
      </c>
    </row>
    <row r="254" spans="1:40" ht="15" customHeight="1">
      <c r="A254" s="262" t="s">
        <v>2659</v>
      </c>
      <c r="B254" s="263">
        <f>'Dry_Litterbag Placem_Collection'!A35</f>
        <v>33</v>
      </c>
      <c r="C254" s="263" t="str">
        <f>'Dry_Litterbag Placem_Collection'!B35</f>
        <v>Makao</v>
      </c>
      <c r="D254" s="263" t="s">
        <v>2659</v>
      </c>
      <c r="E254" s="263" t="s">
        <v>20</v>
      </c>
      <c r="F254" s="263">
        <v>1</v>
      </c>
      <c r="G254" s="264" t="str">
        <f>'Dry_Litterbag Placem_Collection'!C35</f>
        <v>Dry_P1_T1</v>
      </c>
      <c r="H254" s="265" t="s">
        <v>2541</v>
      </c>
      <c r="I254" s="272" t="s">
        <v>298</v>
      </c>
      <c r="J254" s="263" t="str">
        <f>IF(ISBLANK('Dry_Litterbag Placem_Collection'!K35),"","R"&amp;""&amp;'Dry_Litterbag Placem_Collection'!K35)</f>
        <v>R769</v>
      </c>
      <c r="K254" s="267">
        <f>IFERROR(INDEX('Green_rooibos initial weight'!$C$5:$C$1749,MATCH(J254, 'Green_rooibos initial weight'!$A$5:$A$1749,0)),"")</f>
        <v>2.2480000000000002</v>
      </c>
      <c r="L254" s="267">
        <f>IFERROR(K254-(TBIcalc!$Q$9+TBIcalc!$Q$10),"")</f>
        <v>1.9982000000000002</v>
      </c>
      <c r="M254" s="391">
        <f>AVERAGE(Ashed_controlls!$K$12:$K$14)</f>
        <v>2.2816647271287041</v>
      </c>
      <c r="N254" s="267">
        <f t="shared" si="16"/>
        <v>1.9526077754225144</v>
      </c>
      <c r="O254" s="267">
        <f>IF(IFERROR(INDEX('Both teabags AfterDry'!$D$3:$D$900,MATCH(J254,'Both teabags AfterDry'!$A$3:$A$900,0)),"")="","",(IFERROR(INDEX('Both teabags AfterDry'!$D$3:$D$900,MATCH(J254,'Both teabags AfterDry'!$A$3:$A$900,0)),"")))</f>
        <v>1.9911000000000001</v>
      </c>
      <c r="P254" s="267">
        <f>IFERROR(IF(O254&gt;0,O254-(TBIcalc!$Q$9),""),"")</f>
        <v>1.8405</v>
      </c>
      <c r="Q254" s="278">
        <f>IFERROR(INDEX('Ashed teabags dry'!$K$2:$K$825,MATCH(J254,'Ashed teabags dry'!$A$2:$A$825,0)),"")</f>
        <v>2.7544351073765245</v>
      </c>
      <c r="R254" s="278">
        <f t="shared" si="17"/>
        <v>1.7898046218487351</v>
      </c>
      <c r="S254" s="268">
        <f>'Dry_Litterbag Placem_Collection'!E35</f>
        <v>42938</v>
      </c>
      <c r="T254" s="268">
        <f>IF('Dry_Litterbag Placem_Collection'!G35="","",'Dry_Litterbag Placem_Collection'!G35)</f>
        <v>43005</v>
      </c>
      <c r="U254" s="269">
        <f t="shared" si="15"/>
        <v>67</v>
      </c>
      <c r="V254" s="267">
        <f t="shared" si="18"/>
        <v>0.15770000000000017</v>
      </c>
      <c r="W254" s="267">
        <f t="shared" si="19"/>
        <v>0.16280315357377928</v>
      </c>
      <c r="X254" s="271">
        <f>IFERROR(INDEX(Rainfall_Dry!$O$2:$O$217,MATCH(B254, Rainfall_Dry!$A$2:$A$217,0)),"")</f>
        <v>6.5250000359999998</v>
      </c>
      <c r="Y254" s="260">
        <v>23.96</v>
      </c>
      <c r="Z254" s="260">
        <v>0.91999999999999804</v>
      </c>
      <c r="AA254" s="260">
        <v>75.12</v>
      </c>
      <c r="AB254" s="261" t="s">
        <v>2670</v>
      </c>
      <c r="AC254" s="260">
        <v>1.2493839329719072</v>
      </c>
      <c r="AD254">
        <f>IF('WetLitterbags placem_collection'!AB35="","",'WetLitterbags placem_collection'!AB35)</f>
        <v>9.5</v>
      </c>
      <c r="AE254">
        <f>IF('WetLitterbags placem_collection'!Z35="","",'WetLitterbags placem_collection'!Z35)</f>
        <v>17.2</v>
      </c>
      <c r="AF254" s="24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71">
        <f>IFERROR(AVERAGE('Dry_Litterbag Placem_Collection'!N35,'Dry_Litterbag Placem_Collection'!Q35),"")</f>
        <v>26.15</v>
      </c>
      <c r="AJ254" s="270">
        <f>INDEX(Coordinates!$B$2:$B$197,MATCH(G254,Coordinates!$J$2:$J$197,0))</f>
        <v>-3.4092039989999998</v>
      </c>
      <c r="AK254" s="270">
        <f>INDEX(Coordinates!$C$2:$C$197,MATCH(G254,Coordinates!$J$2:$J$197,0))</f>
        <v>34.852751009999999</v>
      </c>
      <c r="AL254" s="270" t="str">
        <f>IF(ISNUMBER(SEARCH("C", 'Dry_Litterbag Placem_Collection'!T35)),"YES","NO")</f>
        <v>NO</v>
      </c>
      <c r="AM254" s="270" t="str">
        <f>IF(ISNUMBER(SEARCH("H", 'Dry_Litterbag Placem_Collection'!T35)),"YES","NO")</f>
        <v>NO</v>
      </c>
      <c r="AN254" s="270" t="str">
        <f>IF(ISNUMBER(SEARCH("R", 'Dry_Litterbag Placem_Collection'!T35)),"YES","NO")</f>
        <v>NO</v>
      </c>
    </row>
    <row r="255" spans="1:40" ht="15" customHeight="1">
      <c r="A255" s="262" t="s">
        <v>2659</v>
      </c>
      <c r="B255" s="263">
        <f>'Dry_Litterbag Placem_Collection'!A36</f>
        <v>34</v>
      </c>
      <c r="C255" s="263" t="str">
        <f>'Dry_Litterbag Placem_Collection'!B36</f>
        <v>Makao</v>
      </c>
      <c r="D255" s="263" t="s">
        <v>2659</v>
      </c>
      <c r="E255" s="263" t="s">
        <v>20</v>
      </c>
      <c r="F255" s="263">
        <v>1</v>
      </c>
      <c r="G255" s="264" t="str">
        <f>'Dry_Litterbag Placem_Collection'!C36</f>
        <v>Dry_P1_T2</v>
      </c>
      <c r="H255" s="265" t="s">
        <v>2541</v>
      </c>
      <c r="I255" s="272" t="s">
        <v>298</v>
      </c>
      <c r="J255" s="263" t="str">
        <f>IF(ISBLANK('Dry_Litterbag Placem_Collection'!K36),"","R"&amp;""&amp;'Dry_Litterbag Placem_Collection'!K36)</f>
        <v>R753</v>
      </c>
      <c r="K255" s="267">
        <f>IFERROR(INDEX('Green_rooibos initial weight'!$C$5:$C$1749,MATCH(J255, 'Green_rooibos initial weight'!$A$5:$A$1749,0)),"")</f>
        <v>2.2400000000000002</v>
      </c>
      <c r="L255" s="267">
        <f>IFERROR(K255-(TBIcalc!$Q$9+TBIcalc!$Q$10),"")</f>
        <v>1.9902000000000002</v>
      </c>
      <c r="M255" s="391">
        <f>AVERAGE(Ashed_controlls!$K$12:$K$14)</f>
        <v>2.2816647271287041</v>
      </c>
      <c r="N255" s="267">
        <f t="shared" si="16"/>
        <v>1.9447903086006848</v>
      </c>
      <c r="O255" s="267" t="str">
        <f>IF(IFERROR(INDEX('Both teabags AfterDry'!$D$3:$D$900,MATCH(J255,'Both teabags AfterDry'!$A$3:$A$900,0)),"")="","",(IFERROR(INDEX('Both teabags AfterDry'!$D$3:$D$900,MATCH(J255,'Both teabags AfterDry'!$A$3:$A$900,0)),"")))</f>
        <v/>
      </c>
      <c r="P255" s="267" t="str">
        <f>IFERROR(IF(O255&gt;0,O255-(TBIcalc!$Q$9),""),"")</f>
        <v/>
      </c>
      <c r="Q255" s="278" t="str">
        <f>IFERROR(INDEX('Ashed teabags dry'!$K$2:$K$825,MATCH(J255,'Ashed teabags dry'!$A$2:$A$825,0)),"")</f>
        <v/>
      </c>
      <c r="R255" s="278" t="str">
        <f t="shared" si="17"/>
        <v/>
      </c>
      <c r="S255" s="268">
        <f>'Dry_Litterbag Placem_Collection'!E36</f>
        <v>42938</v>
      </c>
      <c r="T255" s="268">
        <f>IF('Dry_Litterbag Placem_Collection'!G36="","",'Dry_Litterbag Placem_Collection'!G36)</f>
        <v>43005</v>
      </c>
      <c r="U255" s="269">
        <f t="shared" si="15"/>
        <v>67</v>
      </c>
      <c r="V255" s="267" t="str">
        <f t="shared" si="18"/>
        <v/>
      </c>
      <c r="W255" s="267" t="str">
        <f t="shared" si="19"/>
        <v/>
      </c>
      <c r="X255" s="271">
        <f>IFERROR(INDEX(Rainfall_Dry!$O$2:$O$217,MATCH(B255, Rainfall_Dry!$A$2:$A$217,0)),"")</f>
        <v>6.5250000359999998</v>
      </c>
      <c r="Y255" s="260">
        <v>23.96</v>
      </c>
      <c r="Z255" s="260">
        <v>0.91999999999999804</v>
      </c>
      <c r="AA255" s="260">
        <v>75.12</v>
      </c>
      <c r="AB255" s="261" t="s">
        <v>2670</v>
      </c>
      <c r="AC255" s="260">
        <v>1.2493839329719072</v>
      </c>
      <c r="AD255">
        <f>IF('WetLitterbags placem_collection'!AB36="","",'WetLitterbags placem_collection'!AB36)</f>
        <v>6.5</v>
      </c>
      <c r="AE255">
        <f>IF('WetLitterbags placem_collection'!Z36="","",'WetLitterbags placem_collection'!Z36)</f>
        <v>14.2</v>
      </c>
      <c r="AF255" s="24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71">
        <f>IFERROR(AVERAGE('Dry_Litterbag Placem_Collection'!N36,'Dry_Litterbag Placem_Collection'!Q36),"")</f>
        <v>26.9</v>
      </c>
      <c r="AJ255" s="270">
        <f>INDEX(Coordinates!$B$2:$B$197,MATCH(G255,Coordinates!$J$2:$J$197,0))</f>
        <v>-3.4092350119999999</v>
      </c>
      <c r="AK255" s="270">
        <f>INDEX(Coordinates!$C$2:$C$197,MATCH(G255,Coordinates!$J$2:$J$197,0))</f>
        <v>34.852782019999999</v>
      </c>
      <c r="AL255" s="270" t="str">
        <f>IF(ISNUMBER(SEARCH("C", 'Dry_Litterbag Placem_Collection'!T36)),"YES","NO")</f>
        <v>NO</v>
      </c>
      <c r="AM255" s="270" t="str">
        <f>IF(ISNUMBER(SEARCH("H", 'Dry_Litterbag Placem_Collection'!T36)),"YES","NO")</f>
        <v>NO</v>
      </c>
      <c r="AN255" s="270" t="str">
        <f>IF(ISNUMBER(SEARCH("R", 'Dry_Litterbag Placem_Collection'!T36)),"YES","NO")</f>
        <v>NO</v>
      </c>
    </row>
    <row r="256" spans="1:40" ht="15" customHeight="1">
      <c r="A256" s="262" t="s">
        <v>2659</v>
      </c>
      <c r="B256" s="263">
        <f>'Dry_Litterbag Placem_Collection'!A37</f>
        <v>35</v>
      </c>
      <c r="C256" s="263" t="str">
        <f>'Dry_Litterbag Placem_Collection'!B37</f>
        <v>Makao</v>
      </c>
      <c r="D256" s="263" t="s">
        <v>2659</v>
      </c>
      <c r="E256" s="263" t="s">
        <v>20</v>
      </c>
      <c r="F256" s="263">
        <v>1</v>
      </c>
      <c r="G256" s="264" t="str">
        <f>'Dry_Litterbag Placem_Collection'!C37</f>
        <v>Dry_P1_T3</v>
      </c>
      <c r="H256" s="265" t="s">
        <v>2541</v>
      </c>
      <c r="I256" s="272" t="s">
        <v>298</v>
      </c>
      <c r="J256" s="263" t="str">
        <f>IF(ISBLANK('Dry_Litterbag Placem_Collection'!K37),"","R"&amp;""&amp;'Dry_Litterbag Placem_Collection'!K37)</f>
        <v>R776</v>
      </c>
      <c r="K256" s="267">
        <f>IFERROR(INDEX('Green_rooibos initial weight'!$C$5:$C$1749,MATCH(J256, 'Green_rooibos initial weight'!$A$5:$A$1749,0)),"")</f>
        <v>2.1989999999999998</v>
      </c>
      <c r="L256" s="267">
        <f>IFERROR(K256-(TBIcalc!$Q$9+TBIcalc!$Q$10),"")</f>
        <v>1.9491999999999998</v>
      </c>
      <c r="M256" s="391">
        <f>AVERAGE(Ashed_controlls!$K$12:$K$14)</f>
        <v>2.2816647271287041</v>
      </c>
      <c r="N256" s="267">
        <f t="shared" si="16"/>
        <v>1.9047257911388071</v>
      </c>
      <c r="O256" s="267">
        <f>IF(IFERROR(INDEX('Both teabags AfterDry'!$D$3:$D$900,MATCH(J256,'Both teabags AfterDry'!$A$3:$A$900,0)),"")="","",(IFERROR(INDEX('Both teabags AfterDry'!$D$3:$D$900,MATCH(J256,'Both teabags AfterDry'!$A$3:$A$900,0)),"")))</f>
        <v>1.9447000000000001</v>
      </c>
      <c r="P256" s="267">
        <f>IFERROR(IF(O256&gt;0,O256-(TBIcalc!$Q$9),""),"")</f>
        <v>1.7941</v>
      </c>
      <c r="Q256" s="278">
        <f>IFERROR(INDEX('Ashed teabags dry'!$K$2:$K$825,MATCH(J256,'Ashed teabags dry'!$A$2:$A$825,0)),"")</f>
        <v>3.3316506814742248</v>
      </c>
      <c r="R256" s="278">
        <f t="shared" si="17"/>
        <v>1.734326855123671</v>
      </c>
      <c r="S256" s="268">
        <f>'Dry_Litterbag Placem_Collection'!E37</f>
        <v>42938</v>
      </c>
      <c r="T256" s="268">
        <f>IF('Dry_Litterbag Placem_Collection'!G37="","",'Dry_Litterbag Placem_Collection'!G37)</f>
        <v>43005</v>
      </c>
      <c r="U256" s="269">
        <f t="shared" si="15"/>
        <v>67</v>
      </c>
      <c r="V256" s="267">
        <f t="shared" si="18"/>
        <v>0.15509999999999979</v>
      </c>
      <c r="W256" s="267">
        <f t="shared" si="19"/>
        <v>0.17039893601513612</v>
      </c>
      <c r="X256" s="271">
        <f>IFERROR(INDEX(Rainfall_Dry!$O$2:$O$217,MATCH(B256, Rainfall_Dry!$A$2:$A$217,0)),"")</f>
        <v>6.5250000359999998</v>
      </c>
      <c r="Y256" s="260">
        <v>23.96</v>
      </c>
      <c r="Z256" s="260">
        <v>0.91999999999999804</v>
      </c>
      <c r="AA256" s="260">
        <v>75.12</v>
      </c>
      <c r="AB256" s="261" t="s">
        <v>2670</v>
      </c>
      <c r="AC256" s="260">
        <v>1.2493839329719072</v>
      </c>
      <c r="AD256">
        <f>IF('WetLitterbags placem_collection'!AB37="","",'WetLitterbags placem_collection'!AB37)</f>
        <v>0.7</v>
      </c>
      <c r="AE256">
        <f>IF('WetLitterbags placem_collection'!Z37="","",'WetLitterbags placem_collection'!Z37)</f>
        <v>10.6</v>
      </c>
      <c r="AF256" s="24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71">
        <f>IFERROR(AVERAGE('Dry_Litterbag Placem_Collection'!N37,'Dry_Litterbag Placem_Collection'!Q37),"")</f>
        <v>26.95</v>
      </c>
      <c r="AJ256" s="270">
        <f>INDEX(Coordinates!$B$2:$B$197,MATCH(G256,Coordinates!$J$2:$J$197,0))</f>
        <v>-3.409177009</v>
      </c>
      <c r="AK256" s="270">
        <f>INDEX(Coordinates!$C$2:$C$197,MATCH(G256,Coordinates!$J$2:$J$197,0))</f>
        <v>34.852818990000003</v>
      </c>
      <c r="AL256" s="270" t="str">
        <f>IF(ISNUMBER(SEARCH("C", 'Dry_Litterbag Placem_Collection'!T37)),"YES","NO")</f>
        <v>NO</v>
      </c>
      <c r="AM256" s="270" t="str">
        <f>IF(ISNUMBER(SEARCH("H", 'Dry_Litterbag Placem_Collection'!T37)),"YES","NO")</f>
        <v>NO</v>
      </c>
      <c r="AN256" s="270" t="str">
        <f>IF(ISNUMBER(SEARCH("R", 'Dry_Litterbag Placem_Collection'!T37)),"YES","NO")</f>
        <v>NO</v>
      </c>
    </row>
    <row r="257" spans="1:40" ht="15" customHeight="1">
      <c r="A257" s="262" t="s">
        <v>2659</v>
      </c>
      <c r="B257" s="263">
        <f>'Dry_Litterbag Placem_Collection'!A38</f>
        <v>36</v>
      </c>
      <c r="C257" s="263" t="str">
        <f>'Dry_Litterbag Placem_Collection'!B38</f>
        <v>Makao</v>
      </c>
      <c r="D257" s="263" t="s">
        <v>2659</v>
      </c>
      <c r="E257" s="263" t="s">
        <v>20</v>
      </c>
      <c r="F257" s="263">
        <v>1</v>
      </c>
      <c r="G257" s="264" t="str">
        <f>'Dry_Litterbag Placem_Collection'!C38</f>
        <v>Dry_P1_T4</v>
      </c>
      <c r="H257" s="265" t="s">
        <v>2541</v>
      </c>
      <c r="I257" s="272" t="s">
        <v>298</v>
      </c>
      <c r="J257" s="263" t="str">
        <f>IF(ISBLANK('Dry_Litterbag Placem_Collection'!K38),"","R"&amp;""&amp;'Dry_Litterbag Placem_Collection'!K38)</f>
        <v>R799</v>
      </c>
      <c r="K257" s="267">
        <f>IFERROR(INDEX('Green_rooibos initial weight'!$C$5:$C$1749,MATCH(J257, 'Green_rooibos initial weight'!$A$5:$A$1749,0)),"")</f>
        <v>2.2040000000000002</v>
      </c>
      <c r="L257" s="267">
        <f>IFERROR(K257-(TBIcalc!$Q$9+TBIcalc!$Q$10),"")</f>
        <v>1.9542000000000002</v>
      </c>
      <c r="M257" s="391">
        <f>AVERAGE(Ashed_controlls!$K$12:$K$14)</f>
        <v>2.2816647271287041</v>
      </c>
      <c r="N257" s="267">
        <f t="shared" si="16"/>
        <v>1.909611707902451</v>
      </c>
      <c r="O257" s="267">
        <f>IF(IFERROR(INDEX('Both teabags AfterDry'!$D$3:$D$900,MATCH(J257,'Both teabags AfterDry'!$A$3:$A$900,0)),"")="","",(IFERROR(INDEX('Both teabags AfterDry'!$D$3:$D$900,MATCH(J257,'Both teabags AfterDry'!$A$3:$A$900,0)),"")))</f>
        <v>1.3494999999999999</v>
      </c>
      <c r="P257" s="267">
        <f>IFERROR(IF(O257&gt;0,O257-(TBIcalc!$Q$9),""),"")</f>
        <v>1.1988999999999999</v>
      </c>
      <c r="Q257" s="278">
        <f>IFERROR(INDEX('Ashed teabags dry'!$K$2:$K$825,MATCH(J257,'Ashed teabags dry'!$A$2:$A$825,0)),"")</f>
        <v>96.616541353382999</v>
      </c>
      <c r="R257" s="278">
        <f t="shared" si="17"/>
        <v>4.0564285714291159E-2</v>
      </c>
      <c r="S257" s="268">
        <f>'Dry_Litterbag Placem_Collection'!E38</f>
        <v>42938</v>
      </c>
      <c r="T257" s="268">
        <f>IF('Dry_Litterbag Placem_Collection'!G38="","",'Dry_Litterbag Placem_Collection'!G38)</f>
        <v>43005</v>
      </c>
      <c r="U257" s="269">
        <f t="shared" si="15"/>
        <v>67</v>
      </c>
      <c r="V257" s="267">
        <f t="shared" si="18"/>
        <v>0.7553000000000003</v>
      </c>
      <c r="W257" s="267">
        <f t="shared" si="19"/>
        <v>1.8690474221881599</v>
      </c>
      <c r="X257" s="271">
        <f>IFERROR(INDEX(Rainfall_Dry!$O$2:$O$217,MATCH(B257, Rainfall_Dry!$A$2:$A$217,0)),"")</f>
        <v>6.5250000359999998</v>
      </c>
      <c r="Y257" s="260">
        <v>23.96</v>
      </c>
      <c r="Z257" s="260">
        <v>0.91999999999999804</v>
      </c>
      <c r="AA257" s="260">
        <v>75.12</v>
      </c>
      <c r="AB257" s="261" t="s">
        <v>2670</v>
      </c>
      <c r="AC257" s="260">
        <v>1.2493839329719072</v>
      </c>
      <c r="AD257">
        <f>IF('WetLitterbags placem_collection'!AB38="","",'WetLitterbags placem_collection'!AB38)</f>
        <v>3.3</v>
      </c>
      <c r="AE257">
        <f>IF('WetLitterbags placem_collection'!Z38="","",'WetLitterbags placem_collection'!Z38)</f>
        <v>4.9000000000000004</v>
      </c>
      <c r="AF257" s="24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71">
        <f>IFERROR(AVERAGE('Dry_Litterbag Placem_Collection'!N38,'Dry_Litterbag Placem_Collection'!Q38),"")</f>
        <v>25.85</v>
      </c>
      <c r="AJ257" s="270">
        <f>INDEX(Coordinates!$B$2:$B$197,MATCH(G257,Coordinates!$J$2:$J$197,0))</f>
        <v>-3.40917198</v>
      </c>
      <c r="AK257" s="270">
        <f>INDEX(Coordinates!$C$2:$C$197,MATCH(G257,Coordinates!$J$2:$J$197,0))</f>
        <v>34.852960979999999</v>
      </c>
      <c r="AL257" s="270" t="str">
        <f>IF(ISNUMBER(SEARCH("C", 'Dry_Litterbag Placem_Collection'!T38)),"YES","NO")</f>
        <v>YES</v>
      </c>
      <c r="AM257" s="270" t="str">
        <f>IF(ISNUMBER(SEARCH("H", 'Dry_Litterbag Placem_Collection'!T38)),"YES","NO")</f>
        <v>YES</v>
      </c>
      <c r="AN257" s="270" t="str">
        <f>IF(ISNUMBER(SEARCH("R", 'Dry_Litterbag Placem_Collection'!T38)),"YES","NO")</f>
        <v>NO</v>
      </c>
    </row>
    <row r="258" spans="1:40" ht="15" customHeight="1">
      <c r="A258" s="262" t="s">
        <v>2659</v>
      </c>
      <c r="B258" s="263">
        <f>'Dry_Litterbag Placem_Collection'!A39</f>
        <v>37</v>
      </c>
      <c r="C258" s="263" t="str">
        <f>'Dry_Litterbag Placem_Collection'!B39</f>
        <v>Makao</v>
      </c>
      <c r="D258" s="263" t="s">
        <v>2659</v>
      </c>
      <c r="E258" s="263" t="s">
        <v>20</v>
      </c>
      <c r="F258" s="263">
        <v>1</v>
      </c>
      <c r="G258" s="264" t="str">
        <f>'Dry_Litterbag Placem_Collection'!C39</f>
        <v>Dry_P1_T5</v>
      </c>
      <c r="H258" s="265" t="s">
        <v>2541</v>
      </c>
      <c r="I258" s="272" t="s">
        <v>298</v>
      </c>
      <c r="J258" s="263" t="str">
        <f>IF(ISBLANK('Dry_Litterbag Placem_Collection'!K39),"","R"&amp;""&amp;'Dry_Litterbag Placem_Collection'!K39)</f>
        <v>R722</v>
      </c>
      <c r="K258" s="267">
        <f>IFERROR(INDEX('Green_rooibos initial weight'!$C$5:$C$1749,MATCH(J258, 'Green_rooibos initial weight'!$A$5:$A$1749,0)),"")</f>
        <v>2.2069999999999999</v>
      </c>
      <c r="L258" s="267">
        <f>IFERROR(K258-(TBIcalc!$Q$9+TBIcalc!$Q$10),"")</f>
        <v>1.9571999999999998</v>
      </c>
      <c r="M258" s="391">
        <f>AVERAGE(Ashed_controlls!$K$12:$K$14)</f>
        <v>2.2816647271287041</v>
      </c>
      <c r="N258" s="267">
        <f t="shared" si="16"/>
        <v>1.9125432579606367</v>
      </c>
      <c r="O258" s="267">
        <f>IF(IFERROR(INDEX('Both teabags AfterDry'!$D$3:$D$900,MATCH(J258,'Both teabags AfterDry'!$A$3:$A$900,0)),"")="","",(IFERROR(INDEX('Both teabags AfterDry'!$D$3:$D$900,MATCH(J258,'Both teabags AfterDry'!$A$3:$A$900,0)),"")))</f>
        <v>0.13320000000000001</v>
      </c>
      <c r="P258" s="267">
        <f>IFERROR(IF(O258&gt;0,O258-(TBIcalc!$Q$9),""),"")</f>
        <v>-1.7399999999999999E-2</v>
      </c>
      <c r="Q258" s="278">
        <f>IFERROR(INDEX('Ashed teabags dry'!$K$2:$K$825,MATCH(J258,'Ashed teabags dry'!$A$2:$A$825,0)),"")</f>
        <v>96.545105566220045</v>
      </c>
      <c r="R258" s="278">
        <f t="shared" si="17"/>
        <v>-6.0115163147771156E-4</v>
      </c>
      <c r="S258" s="268">
        <f>'Dry_Litterbag Placem_Collection'!E39</f>
        <v>42938</v>
      </c>
      <c r="T258" s="268">
        <f>IF('Dry_Litterbag Placem_Collection'!G39="","",'Dry_Litterbag Placem_Collection'!G39)</f>
        <v>43005</v>
      </c>
      <c r="U258" s="269">
        <f t="shared" ref="U258:U321" si="20">IFERROR(T258-S258,"")</f>
        <v>67</v>
      </c>
      <c r="V258" s="267">
        <f t="shared" si="18"/>
        <v>1.9745999999999999</v>
      </c>
      <c r="W258" s="267">
        <f t="shared" si="19"/>
        <v>1.9131444095921144</v>
      </c>
      <c r="X258" s="271">
        <f>IFERROR(INDEX(Rainfall_Dry!$O$2:$O$217,MATCH(B258, Rainfall_Dry!$A$2:$A$217,0)),"")</f>
        <v>6.5250000359999998</v>
      </c>
      <c r="Y258" s="260">
        <v>23.96</v>
      </c>
      <c r="Z258" s="260">
        <v>0.91999999999999804</v>
      </c>
      <c r="AA258" s="260">
        <v>75.12</v>
      </c>
      <c r="AB258" s="261" t="s">
        <v>2670</v>
      </c>
      <c r="AC258" s="260">
        <v>1.2493839329719072</v>
      </c>
      <c r="AD258">
        <f>IF('WetLitterbags placem_collection'!AB39="","",'WetLitterbags placem_collection'!AB39)</f>
        <v>8.3000000000000007</v>
      </c>
      <c r="AE258">
        <f>IF('WetLitterbags placem_collection'!Z39="","",'WetLitterbags placem_collection'!Z39)</f>
        <v>27.8</v>
      </c>
      <c r="AF258" s="24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71">
        <f>IFERROR(AVERAGE('Dry_Litterbag Placem_Collection'!N39,'Dry_Litterbag Placem_Collection'!Q39),"")</f>
        <v>26.1</v>
      </c>
      <c r="AJ258" s="270">
        <f>INDEX(Coordinates!$B$2:$B$197,MATCH(G258,Coordinates!$J$2:$J$197,0))</f>
        <v>-3.4090709779999999</v>
      </c>
      <c r="AK258" s="270">
        <f>INDEX(Coordinates!$C$2:$C$197,MATCH(G258,Coordinates!$J$2:$J$197,0))</f>
        <v>34.852712029999999</v>
      </c>
      <c r="AL258" s="270" t="str">
        <f>IF(ISNUMBER(SEARCH("C", 'Dry_Litterbag Placem_Collection'!T39)),"YES","NO")</f>
        <v>YES</v>
      </c>
      <c r="AM258" s="270" t="str">
        <f>IF(ISNUMBER(SEARCH("H", 'Dry_Litterbag Placem_Collection'!T39)),"YES","NO")</f>
        <v>YES</v>
      </c>
      <c r="AN258" s="270" t="str">
        <f>IF(ISNUMBER(SEARCH("R", 'Dry_Litterbag Placem_Collection'!T39)),"YES","NO")</f>
        <v>NO</v>
      </c>
    </row>
    <row r="259" spans="1:40" ht="15" customHeight="1">
      <c r="A259" s="262" t="s">
        <v>2659</v>
      </c>
      <c r="B259" s="263">
        <f>'Dry_Litterbag Placem_Collection'!A40</f>
        <v>38</v>
      </c>
      <c r="C259" s="263" t="str">
        <f>'Dry_Litterbag Placem_Collection'!B40</f>
        <v>Makao</v>
      </c>
      <c r="D259" s="263" t="s">
        <v>2659</v>
      </c>
      <c r="E259" s="263" t="s">
        <v>20</v>
      </c>
      <c r="F259" s="263">
        <v>1</v>
      </c>
      <c r="G259" s="264" t="str">
        <f>'Dry_Litterbag Placem_Collection'!C40</f>
        <v>Dry_P1_T6</v>
      </c>
      <c r="H259" s="265" t="s">
        <v>2541</v>
      </c>
      <c r="I259" s="272" t="s">
        <v>298</v>
      </c>
      <c r="J259" s="263" t="str">
        <f>IF(ISBLANK('Dry_Litterbag Placem_Collection'!K40),"","R"&amp;""&amp;'Dry_Litterbag Placem_Collection'!K40)</f>
        <v>R796</v>
      </c>
      <c r="K259" s="267">
        <f>IFERROR(INDEX('Green_rooibos initial weight'!$C$5:$C$1749,MATCH(J259, 'Green_rooibos initial weight'!$A$5:$A$1749,0)),"")</f>
        <v>2.2360000000000002</v>
      </c>
      <c r="L259" s="267">
        <f>IFERROR(K259-(TBIcalc!$Q$9+TBIcalc!$Q$10),"")</f>
        <v>1.9862000000000002</v>
      </c>
      <c r="M259" s="391">
        <f>AVERAGE(Ashed_controlls!$K$12:$K$14)</f>
        <v>2.2816647271287041</v>
      </c>
      <c r="N259" s="267">
        <f t="shared" ref="N259:N322" si="21">IFERROR(L259-(M259/100)*L259,"")</f>
        <v>1.9408815751897699</v>
      </c>
      <c r="O259" s="267">
        <f>IF(IFERROR(INDEX('Both teabags AfterDry'!$D$3:$D$900,MATCH(J259,'Both teabags AfterDry'!$A$3:$A$900,0)),"")="","",(IFERROR(INDEX('Both teabags AfterDry'!$D$3:$D$900,MATCH(J259,'Both teabags AfterDry'!$A$3:$A$900,0)),"")))</f>
        <v>1.9076</v>
      </c>
      <c r="P259" s="267">
        <f>IFERROR(IF(O259&gt;0,O259-(TBIcalc!$Q$9),""),"")</f>
        <v>1.7569999999999999</v>
      </c>
      <c r="Q259" s="278">
        <f>IFERROR(INDEX('Ashed teabags dry'!$K$2:$K$825,MATCH(J259,'Ashed teabags dry'!$A$2:$A$825,0)),"")</f>
        <v>4.810004810006216</v>
      </c>
      <c r="R259" s="278">
        <f t="shared" ref="R259:R322" si="22">IFERROR(P259-(Q259/100)*P259,"")</f>
        <v>1.6724882154881906</v>
      </c>
      <c r="S259" s="268">
        <f>'Dry_Litterbag Placem_Collection'!E40</f>
        <v>42938</v>
      </c>
      <c r="T259" s="268">
        <f>IF('Dry_Litterbag Placem_Collection'!G40="","",'Dry_Litterbag Placem_Collection'!G40)</f>
        <v>43005</v>
      </c>
      <c r="U259" s="269">
        <f t="shared" si="20"/>
        <v>67</v>
      </c>
      <c r="V259" s="267">
        <f t="shared" ref="V259:V322" si="23">IFERROR(L259-P259,"")</f>
        <v>0.22920000000000029</v>
      </c>
      <c r="W259" s="267">
        <f t="shared" ref="W259:W322" si="24">IFERROR(N259-R259,"")</f>
        <v>0.26839335970157929</v>
      </c>
      <c r="X259" s="271">
        <f>IFERROR(INDEX(Rainfall_Dry!$O$2:$O$217,MATCH(B259, Rainfall_Dry!$A$2:$A$217,0)),"")</f>
        <v>6.5250000359999998</v>
      </c>
      <c r="Y259" s="260">
        <v>23.96</v>
      </c>
      <c r="Z259" s="260">
        <v>0.91999999999999804</v>
      </c>
      <c r="AA259" s="260">
        <v>75.12</v>
      </c>
      <c r="AB259" s="261" t="s">
        <v>2670</v>
      </c>
      <c r="AC259" s="260">
        <v>1.2493839329719072</v>
      </c>
      <c r="AD259">
        <f>IF('WetLitterbags placem_collection'!AB40="","",'WetLitterbags placem_collection'!AB40)</f>
        <v>2</v>
      </c>
      <c r="AE259">
        <f>IF('WetLitterbags placem_collection'!Z40="","",'WetLitterbags placem_collection'!Z40)</f>
        <v>20.399999999999999</v>
      </c>
      <c r="AF259" s="24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71">
        <f>IFERROR(AVERAGE('Dry_Litterbag Placem_Collection'!N40,'Dry_Litterbag Placem_Collection'!Q40),"")</f>
        <v>26.7</v>
      </c>
      <c r="AJ259" s="270">
        <f>INDEX(Coordinates!$B$2:$B$197,MATCH(G259,Coordinates!$J$2:$J$197,0))</f>
        <v>-3.409280023</v>
      </c>
      <c r="AK259" s="270">
        <f>INDEX(Coordinates!$C$2:$C$197,MATCH(G259,Coordinates!$J$2:$J$197,0))</f>
        <v>34.852612960000002</v>
      </c>
      <c r="AL259" s="270" t="str">
        <f>IF(ISNUMBER(SEARCH("C", 'Dry_Litterbag Placem_Collection'!T40)),"YES","NO")</f>
        <v>NO</v>
      </c>
      <c r="AM259" s="270" t="str">
        <f>IF(ISNUMBER(SEARCH("H", 'Dry_Litterbag Placem_Collection'!T40)),"YES","NO")</f>
        <v>NO</v>
      </c>
      <c r="AN259" s="270" t="str">
        <f>IF(ISNUMBER(SEARCH("R", 'Dry_Litterbag Placem_Collection'!T40)),"YES","NO")</f>
        <v>NO</v>
      </c>
    </row>
    <row r="260" spans="1:40" ht="15" customHeight="1">
      <c r="A260" s="262" t="s">
        <v>2659</v>
      </c>
      <c r="B260" s="263">
        <f>'Dry_Litterbag Placem_Collection'!A41</f>
        <v>39</v>
      </c>
      <c r="C260" s="263" t="str">
        <f>'Dry_Litterbag Placem_Collection'!B41</f>
        <v>Makao</v>
      </c>
      <c r="D260" s="263" t="s">
        <v>2659</v>
      </c>
      <c r="E260" s="263" t="s">
        <v>20</v>
      </c>
      <c r="F260" s="263">
        <v>1</v>
      </c>
      <c r="G260" s="264" t="str">
        <f>'Dry_Litterbag Placem_Collection'!C41</f>
        <v>Dry_P1_T7</v>
      </c>
      <c r="H260" s="265" t="s">
        <v>2541</v>
      </c>
      <c r="I260" s="272" t="s">
        <v>298</v>
      </c>
      <c r="J260" s="263" t="str">
        <f>IF(ISBLANK('Dry_Litterbag Placem_Collection'!K41),"","R"&amp;""&amp;'Dry_Litterbag Placem_Collection'!K41)</f>
        <v/>
      </c>
      <c r="K260" s="267" t="str">
        <f>IFERROR(INDEX('Green_rooibos initial weight'!$C$5:$C$1749,MATCH(J260, 'Green_rooibos initial weight'!$A$5:$A$1749,0)),"")</f>
        <v/>
      </c>
      <c r="L260" s="267" t="str">
        <f>IFERROR(K260-(TBIcalc!$Q$9+TBIcalc!$Q$10),"")</f>
        <v/>
      </c>
      <c r="M260" s="391">
        <f>AVERAGE(Ashed_controlls!$K$12:$K$14)</f>
        <v>2.2816647271287041</v>
      </c>
      <c r="N260" s="267" t="str">
        <f t="shared" si="21"/>
        <v/>
      </c>
      <c r="O260" s="267" t="str">
        <f>IF(IFERROR(INDEX('Both teabags AfterDry'!$D$3:$D$900,MATCH(J260,'Both teabags AfterDry'!$A$3:$A$900,0)),"")="","",(IFERROR(INDEX('Both teabags AfterDry'!$D$3:$D$900,MATCH(J260,'Both teabags AfterDry'!$A$3:$A$900,0)),"")))</f>
        <v/>
      </c>
      <c r="P260" s="267" t="str">
        <f>IFERROR(IF(O260&gt;0,O260-(TBIcalc!$Q$9),""),"")</f>
        <v/>
      </c>
      <c r="Q260" s="278" t="str">
        <f>IFERROR(INDEX('Ashed teabags dry'!$K$2:$K$825,MATCH(J260,'Ashed teabags dry'!$A$2:$A$825,0)),"")</f>
        <v/>
      </c>
      <c r="R260" s="278" t="str">
        <f t="shared" si="22"/>
        <v/>
      </c>
      <c r="S260" s="268">
        <f>'Dry_Litterbag Placem_Collection'!E41</f>
        <v>42938</v>
      </c>
      <c r="T260" s="268" t="str">
        <f>IF('Dry_Litterbag Placem_Collection'!G41="","",'Dry_Litterbag Placem_Collection'!G41)</f>
        <v/>
      </c>
      <c r="U260" s="269" t="str">
        <f t="shared" si="20"/>
        <v/>
      </c>
      <c r="V260" s="267" t="str">
        <f t="shared" si="23"/>
        <v/>
      </c>
      <c r="W260" s="267" t="str">
        <f t="shared" si="24"/>
        <v/>
      </c>
      <c r="X260" s="271" t="str">
        <f>IFERROR(INDEX(Rainfall_Dry!$O$2:$O$217,MATCH(B260, Rainfall_Dry!$A$2:$A$217,0)),"")</f>
        <v/>
      </c>
      <c r="Y260" s="260">
        <v>23.96</v>
      </c>
      <c r="Z260" s="260">
        <v>0.91999999999999804</v>
      </c>
      <c r="AA260" s="260">
        <v>75.12</v>
      </c>
      <c r="AB260" s="261" t="s">
        <v>2670</v>
      </c>
      <c r="AC260" s="260">
        <v>1.2493839329719072</v>
      </c>
      <c r="AD260">
        <f>IF('WetLitterbags placem_collection'!AB41="","",'WetLitterbags placem_collection'!AB41)</f>
        <v>2.4</v>
      </c>
      <c r="AE260">
        <f>IF('WetLitterbags placem_collection'!Z41="","",'WetLitterbags placem_collection'!Z41)</f>
        <v>18</v>
      </c>
      <c r="AF260" s="24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71" t="str">
        <f>IFERROR(AVERAGE('Dry_Litterbag Placem_Collection'!N41,'Dry_Litterbag Placem_Collection'!Q41),"")</f>
        <v/>
      </c>
      <c r="AJ260" s="270">
        <f>INDEX(Coordinates!$B$2:$B$197,MATCH(G260,Coordinates!$J$2:$J$197,0))</f>
        <v>-3.4093859700000002</v>
      </c>
      <c r="AK260" s="270">
        <f>INDEX(Coordinates!$C$2:$C$197,MATCH(G260,Coordinates!$J$2:$J$197,0))</f>
        <v>34.852855030000001</v>
      </c>
      <c r="AL260" s="270" t="str">
        <f>IF(ISNUMBER(SEARCH("C", 'Dry_Litterbag Placem_Collection'!T41)),"YES","NO")</f>
        <v>NO</v>
      </c>
      <c r="AM260" s="270" t="str">
        <f>IF(ISNUMBER(SEARCH("H", 'Dry_Litterbag Placem_Collection'!T41)),"YES","NO")</f>
        <v>NO</v>
      </c>
      <c r="AN260" s="270" t="str">
        <f>IF(ISNUMBER(SEARCH("R", 'Dry_Litterbag Placem_Collection'!T41)),"YES","NO")</f>
        <v>NO</v>
      </c>
    </row>
    <row r="261" spans="1:40" ht="15" customHeight="1">
      <c r="A261" s="262" t="s">
        <v>2659</v>
      </c>
      <c r="B261" s="263">
        <f>'Dry_Litterbag Placem_Collection'!A42</f>
        <v>40</v>
      </c>
      <c r="C261" s="263" t="str">
        <f>'Dry_Litterbag Placem_Collection'!B42</f>
        <v>Makao</v>
      </c>
      <c r="D261" s="263" t="s">
        <v>2659</v>
      </c>
      <c r="E261" s="263" t="s">
        <v>20</v>
      </c>
      <c r="F261" s="263">
        <v>1</v>
      </c>
      <c r="G261" s="264" t="str">
        <f>'Dry_Litterbag Placem_Collection'!C42</f>
        <v>Dry_P1_T8</v>
      </c>
      <c r="H261" s="265" t="s">
        <v>2541</v>
      </c>
      <c r="I261" s="272" t="s">
        <v>298</v>
      </c>
      <c r="J261" s="263" t="str">
        <f>IF(ISBLANK('Dry_Litterbag Placem_Collection'!K42),"","R"&amp;""&amp;'Dry_Litterbag Placem_Collection'!K42)</f>
        <v>R782</v>
      </c>
      <c r="K261" s="267">
        <f>IFERROR(INDEX('Green_rooibos initial weight'!$C$5:$C$1749,MATCH(J261, 'Green_rooibos initial weight'!$A$5:$A$1749,0)),"")</f>
        <v>2.2410000000000001</v>
      </c>
      <c r="L261" s="267">
        <f>IFERROR(K261-(TBIcalc!$Q$9+TBIcalc!$Q$10),"")</f>
        <v>1.9912000000000001</v>
      </c>
      <c r="M261" s="391">
        <f>AVERAGE(Ashed_controlls!$K$12:$K$14)</f>
        <v>2.2816647271287041</v>
      </c>
      <c r="N261" s="267">
        <f t="shared" si="21"/>
        <v>1.9457674919534134</v>
      </c>
      <c r="O261" s="267">
        <f>IF(IFERROR(INDEX('Both teabags AfterDry'!$D$3:$D$900,MATCH(J261,'Both teabags AfterDry'!$A$3:$A$900,0)),"")="","",(IFERROR(INDEX('Both teabags AfterDry'!$D$3:$D$900,MATCH(J261,'Both teabags AfterDry'!$A$3:$A$900,0)),"")))</f>
        <v>1.992</v>
      </c>
      <c r="P261" s="267">
        <f>IFERROR(IF(O261&gt;0,O261-(TBIcalc!$Q$9),""),"")</f>
        <v>1.8413999999999999</v>
      </c>
      <c r="Q261" s="278">
        <f>IFERROR(INDEX('Ashed teabags dry'!$K$2:$K$825,MATCH(J261,'Ashed teabags dry'!$A$2:$A$825,0)),"")</f>
        <v>3.5485460818134884</v>
      </c>
      <c r="R261" s="278">
        <f t="shared" si="22"/>
        <v>1.7760570724494864</v>
      </c>
      <c r="S261" s="268">
        <f>'Dry_Litterbag Placem_Collection'!E42</f>
        <v>42938</v>
      </c>
      <c r="T261" s="268">
        <f>IF('Dry_Litterbag Placem_Collection'!G42="","",'Dry_Litterbag Placem_Collection'!G42)</f>
        <v>43005</v>
      </c>
      <c r="U261" s="269">
        <f t="shared" si="20"/>
        <v>67</v>
      </c>
      <c r="V261" s="267">
        <f t="shared" si="23"/>
        <v>0.14980000000000016</v>
      </c>
      <c r="W261" s="267">
        <f t="shared" si="24"/>
        <v>0.16971041950392696</v>
      </c>
      <c r="X261" s="271">
        <f>IFERROR(INDEX(Rainfall_Dry!$O$2:$O$217,MATCH(B261, Rainfall_Dry!$A$2:$A$217,0)),"")</f>
        <v>6.5250000359999998</v>
      </c>
      <c r="Y261" s="260">
        <v>23.96</v>
      </c>
      <c r="Z261" s="260">
        <v>0.91999999999999804</v>
      </c>
      <c r="AA261" s="260">
        <v>75.12</v>
      </c>
      <c r="AB261" s="261" t="s">
        <v>2670</v>
      </c>
      <c r="AC261" s="260">
        <v>1.2493839329719072</v>
      </c>
      <c r="AD261">
        <f>IF('WetLitterbags placem_collection'!AB42="","",'WetLitterbags placem_collection'!AB42)</f>
        <v>8.6999999999999993</v>
      </c>
      <c r="AE261">
        <f>IF('WetLitterbags placem_collection'!Z42="","",'WetLitterbags placem_collection'!Z42)</f>
        <v>19.3</v>
      </c>
      <c r="AF261" s="24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71">
        <f>IFERROR(AVERAGE('Dry_Litterbag Placem_Collection'!N42,'Dry_Litterbag Placem_Collection'!Q42),"")</f>
        <v>26.2</v>
      </c>
      <c r="AJ261" s="270">
        <f>INDEX(Coordinates!$B$2:$B$197,MATCH(G261,Coordinates!$J$2:$J$197,0))</f>
        <v>-3.4091539590000002</v>
      </c>
      <c r="AK261" s="270">
        <f>INDEX(Coordinates!$C$2:$C$197,MATCH(G261,Coordinates!$J$2:$J$197,0))</f>
        <v>34.852755029999997</v>
      </c>
      <c r="AL261" s="270" t="str">
        <f>IF(ISNUMBER(SEARCH("C", 'Dry_Litterbag Placem_Collection'!T42)),"YES","NO")</f>
        <v>NO</v>
      </c>
      <c r="AM261" s="270" t="str">
        <f>IF(ISNUMBER(SEARCH("H", 'Dry_Litterbag Placem_Collection'!T42)),"YES","NO")</f>
        <v>NO</v>
      </c>
      <c r="AN261" s="270" t="str">
        <f>IF(ISNUMBER(SEARCH("R", 'Dry_Litterbag Placem_Collection'!T42)),"YES","NO")</f>
        <v>NO</v>
      </c>
    </row>
    <row r="262" spans="1:40" ht="15" customHeight="1">
      <c r="A262" s="262" t="s">
        <v>2659</v>
      </c>
      <c r="B262" s="263">
        <f>'Dry_Litterbag Placem_Collection'!A43</f>
        <v>41</v>
      </c>
      <c r="C262" s="263" t="str">
        <f>'Dry_Litterbag Placem_Collection'!B43</f>
        <v>Makao</v>
      </c>
      <c r="D262" s="263" t="s">
        <v>2659</v>
      </c>
      <c r="E262" s="263" t="s">
        <v>20</v>
      </c>
      <c r="F262" s="263">
        <v>2</v>
      </c>
      <c r="G262" s="264" t="str">
        <f>'Dry_Litterbag Placem_Collection'!C43</f>
        <v>Dry_P2_T1</v>
      </c>
      <c r="H262" s="265" t="s">
        <v>2541</v>
      </c>
      <c r="I262" s="272" t="s">
        <v>298</v>
      </c>
      <c r="J262" s="263" t="str">
        <f>IF(ISBLANK('Dry_Litterbag Placem_Collection'!K43),"","R"&amp;""&amp;'Dry_Litterbag Placem_Collection'!K43)</f>
        <v>R820</v>
      </c>
      <c r="K262" s="267">
        <f>IFERROR(INDEX('Green_rooibos initial weight'!$C$5:$C$1749,MATCH(J262, 'Green_rooibos initial weight'!$A$5:$A$1749,0)),"")</f>
        <v>2.2170000000000001</v>
      </c>
      <c r="L262" s="267">
        <f>IFERROR(K262-(TBIcalc!$Q$9+TBIcalc!$Q$10),"")</f>
        <v>1.9672000000000001</v>
      </c>
      <c r="M262" s="391">
        <f>AVERAGE(Ashed_controlls!$K$12:$K$14)</f>
        <v>2.2816647271287041</v>
      </c>
      <c r="N262" s="267">
        <f t="shared" si="21"/>
        <v>1.9223150914879241</v>
      </c>
      <c r="O262" s="267">
        <f>IF(IFERROR(INDEX('Both teabags AfterDry'!$D$3:$D$900,MATCH(J262,'Both teabags AfterDry'!$A$3:$A$900,0)),"")="","",(IFERROR(INDEX('Both teabags AfterDry'!$D$3:$D$900,MATCH(J262,'Both teabags AfterDry'!$A$3:$A$900,0)),"")))</f>
        <v>1.2708999999999999</v>
      </c>
      <c r="P262" s="267">
        <f>IFERROR(IF(O262&gt;0,O262-(TBIcalc!$Q$9),""),"")</f>
        <v>1.1202999999999999</v>
      </c>
      <c r="Q262" s="278">
        <f>IFERROR(INDEX('Ashed teabags dry'!$K$2:$K$825,MATCH(J262,'Ashed teabags dry'!$A$2:$A$825,0)),"")</f>
        <v>3.1920199501252777</v>
      </c>
      <c r="R262" s="278">
        <f t="shared" si="22"/>
        <v>1.0845398004987463</v>
      </c>
      <c r="S262" s="268">
        <f>'Dry_Litterbag Placem_Collection'!E43</f>
        <v>42938</v>
      </c>
      <c r="T262" s="268">
        <f>IF('Dry_Litterbag Placem_Collection'!G43="","",'Dry_Litterbag Placem_Collection'!G43)</f>
        <v>43005</v>
      </c>
      <c r="U262" s="269">
        <f t="shared" si="20"/>
        <v>67</v>
      </c>
      <c r="V262" s="267">
        <f t="shared" si="23"/>
        <v>0.84690000000000021</v>
      </c>
      <c r="W262" s="267">
        <f t="shared" si="24"/>
        <v>0.8377752909891778</v>
      </c>
      <c r="X262" s="271">
        <f>IFERROR(INDEX(Rainfall_Dry!$O$2:$O$217,MATCH(B262, Rainfall_Dry!$A$2:$A$217,0)),"")</f>
        <v>6.5250000359999998</v>
      </c>
      <c r="Y262" s="260">
        <v>19.96</v>
      </c>
      <c r="Z262" s="260">
        <v>4.9199999999999982</v>
      </c>
      <c r="AA262" s="260">
        <v>75.12</v>
      </c>
      <c r="AB262" s="261" t="s">
        <v>2671</v>
      </c>
      <c r="AC262" s="260">
        <v>1.641498275012321</v>
      </c>
      <c r="AD262">
        <f>IF('WetLitterbags placem_collection'!AB43="","",'WetLitterbags placem_collection'!AB43)</f>
        <v>4</v>
      </c>
      <c r="AE262">
        <f>IF('WetLitterbags placem_collection'!Z43="","",'WetLitterbags placem_collection'!Z43)</f>
        <v>19.100000000000001</v>
      </c>
      <c r="AF262" s="24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71">
        <f>IFERROR(AVERAGE('Dry_Litterbag Placem_Collection'!N43,'Dry_Litterbag Placem_Collection'!Q43),"")</f>
        <v>27.85</v>
      </c>
      <c r="AJ262" s="270">
        <f>INDEX(Coordinates!$B$2:$B$197,MATCH(G262,Coordinates!$J$2:$J$197,0))</f>
        <v>-3.4083420040000001</v>
      </c>
      <c r="AK262" s="270">
        <f>INDEX(Coordinates!$C$2:$C$197,MATCH(G262,Coordinates!$J$2:$J$197,0))</f>
        <v>34.850283040000001</v>
      </c>
      <c r="AL262" s="270" t="str">
        <f>IF(ISNUMBER(SEARCH("C", 'Dry_Litterbag Placem_Collection'!T43)),"YES","NO")</f>
        <v>NO</v>
      </c>
      <c r="AM262" s="270" t="str">
        <f>IF(ISNUMBER(SEARCH("H", 'Dry_Litterbag Placem_Collection'!T43)),"YES","NO")</f>
        <v>YES</v>
      </c>
      <c r="AN262" s="270" t="str">
        <f>IF(ISNUMBER(SEARCH("R", 'Dry_Litterbag Placem_Collection'!T43)),"YES","NO")</f>
        <v>NO</v>
      </c>
    </row>
    <row r="263" spans="1:40" ht="15" customHeight="1">
      <c r="A263" s="262" t="s">
        <v>2659</v>
      </c>
      <c r="B263" s="263">
        <f>'Dry_Litterbag Placem_Collection'!A44</f>
        <v>42</v>
      </c>
      <c r="C263" s="263" t="str">
        <f>'Dry_Litterbag Placem_Collection'!B44</f>
        <v>Makao</v>
      </c>
      <c r="D263" s="263" t="s">
        <v>2659</v>
      </c>
      <c r="E263" s="263" t="s">
        <v>20</v>
      </c>
      <c r="F263" s="263">
        <v>2</v>
      </c>
      <c r="G263" s="264" t="str">
        <f>'Dry_Litterbag Placem_Collection'!C44</f>
        <v>Dry_P2_T2</v>
      </c>
      <c r="H263" s="265" t="s">
        <v>2541</v>
      </c>
      <c r="I263" s="272" t="s">
        <v>298</v>
      </c>
      <c r="J263" s="263" t="str">
        <f>IF(ISBLANK('Dry_Litterbag Placem_Collection'!K44),"","R"&amp;""&amp;'Dry_Litterbag Placem_Collection'!K44)</f>
        <v>R806</v>
      </c>
      <c r="K263" s="267">
        <f>IFERROR(INDEX('Green_rooibos initial weight'!$C$5:$C$1749,MATCH(J263, 'Green_rooibos initial weight'!$A$5:$A$1749,0)),"")</f>
        <v>2.2389999999999999</v>
      </c>
      <c r="L263" s="267">
        <f>IFERROR(K263-(TBIcalc!$Q$9+TBIcalc!$Q$10),"")</f>
        <v>1.9891999999999999</v>
      </c>
      <c r="M263" s="391">
        <f>AVERAGE(Ashed_controlls!$K$12:$K$14)</f>
        <v>2.2816647271287041</v>
      </c>
      <c r="N263" s="267">
        <f t="shared" si="21"/>
        <v>1.9438131252479556</v>
      </c>
      <c r="O263" s="267">
        <f>IF(IFERROR(INDEX('Both teabags AfterDry'!$D$3:$D$900,MATCH(J263,'Both teabags AfterDry'!$A$3:$A$900,0)),"")="","",(IFERROR(INDEX('Both teabags AfterDry'!$D$3:$D$900,MATCH(J263,'Both teabags AfterDry'!$A$3:$A$900,0)),"")))</f>
        <v>0.14760000000000001</v>
      </c>
      <c r="P263" s="267">
        <f>IFERROR(IF(O263&gt;0,O263-(TBIcalc!$Q$9),""),"")</f>
        <v>-3.0000000000000027E-3</v>
      </c>
      <c r="Q263" s="278">
        <f>IFERROR(INDEX('Ashed teabags dry'!$K$2:$K$825,MATCH(J263,'Ashed teabags dry'!$A$2:$A$825,0)),"")</f>
        <v>0</v>
      </c>
      <c r="R263" s="278">
        <f t="shared" si="22"/>
        <v>-3.0000000000000027E-3</v>
      </c>
      <c r="S263" s="268">
        <f>'Dry_Litterbag Placem_Collection'!E44</f>
        <v>42938</v>
      </c>
      <c r="T263" s="268">
        <f>IF('Dry_Litterbag Placem_Collection'!G44="","",'Dry_Litterbag Placem_Collection'!G44)</f>
        <v>43005</v>
      </c>
      <c r="U263" s="269">
        <f t="shared" si="20"/>
        <v>67</v>
      </c>
      <c r="V263" s="267">
        <f t="shared" si="23"/>
        <v>1.9922</v>
      </c>
      <c r="W263" s="267">
        <f t="shared" si="24"/>
        <v>1.9468131252479557</v>
      </c>
      <c r="X263" s="271">
        <f>IFERROR(INDEX(Rainfall_Dry!$O$2:$O$217,MATCH(B263, Rainfall_Dry!$A$2:$A$217,0)),"")</f>
        <v>6.5250000359999998</v>
      </c>
      <c r="Y263" s="260">
        <v>19.96</v>
      </c>
      <c r="Z263" s="260">
        <v>4.9199999999999982</v>
      </c>
      <c r="AA263" s="260">
        <v>75.12</v>
      </c>
      <c r="AB263" s="261" t="s">
        <v>2671</v>
      </c>
      <c r="AC263" s="260">
        <v>1.641498275012321</v>
      </c>
      <c r="AD263">
        <f>IF('WetLitterbags placem_collection'!AB44="","",'WetLitterbags placem_collection'!AB44)</f>
        <v>5.9</v>
      </c>
      <c r="AE263">
        <f>IF('WetLitterbags placem_collection'!Z44="","",'WetLitterbags placem_collection'!Z44)</f>
        <v>12.7</v>
      </c>
      <c r="AF263" s="24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71">
        <f>IFERROR(AVERAGE('Dry_Litterbag Placem_Collection'!N44,'Dry_Litterbag Placem_Collection'!Q44),"")</f>
        <v>27.15</v>
      </c>
      <c r="AJ263" s="270">
        <f>INDEX(Coordinates!$B$2:$B$197,MATCH(G263,Coordinates!$J$2:$J$197,0))</f>
        <v>-3.4084079690000002</v>
      </c>
      <c r="AK263" s="270">
        <f>INDEX(Coordinates!$C$2:$C$197,MATCH(G263,Coordinates!$J$2:$J$197,0))</f>
        <v>34.850295029999998</v>
      </c>
      <c r="AL263" s="270" t="str">
        <f>IF(ISNUMBER(SEARCH("C", 'Dry_Litterbag Placem_Collection'!T44)),"YES","NO")</f>
        <v>YES</v>
      </c>
      <c r="AM263" s="270" t="str">
        <f>IF(ISNUMBER(SEARCH("H", 'Dry_Litterbag Placem_Collection'!T44)),"YES","NO")</f>
        <v>YES</v>
      </c>
      <c r="AN263" s="270" t="str">
        <f>IF(ISNUMBER(SEARCH("R", 'Dry_Litterbag Placem_Collection'!T44)),"YES","NO")</f>
        <v>NO</v>
      </c>
    </row>
    <row r="264" spans="1:40" ht="15" customHeight="1">
      <c r="A264" s="262" t="s">
        <v>2659</v>
      </c>
      <c r="B264" s="263">
        <f>'Dry_Litterbag Placem_Collection'!A45</f>
        <v>43</v>
      </c>
      <c r="C264" s="263" t="str">
        <f>'Dry_Litterbag Placem_Collection'!B45</f>
        <v>Makao</v>
      </c>
      <c r="D264" s="263" t="s">
        <v>2659</v>
      </c>
      <c r="E264" s="263" t="s">
        <v>20</v>
      </c>
      <c r="F264" s="263">
        <v>2</v>
      </c>
      <c r="G264" s="264" t="str">
        <f>'Dry_Litterbag Placem_Collection'!C45</f>
        <v>Dry_P2_T3</v>
      </c>
      <c r="H264" s="265" t="s">
        <v>2541</v>
      </c>
      <c r="I264" s="272" t="s">
        <v>298</v>
      </c>
      <c r="J264" s="263" t="str">
        <f>IF(ISBLANK('Dry_Litterbag Placem_Collection'!K45),"","R"&amp;""&amp;'Dry_Litterbag Placem_Collection'!K45)</f>
        <v>R758</v>
      </c>
      <c r="K264" s="267">
        <f>IFERROR(INDEX('Green_rooibos initial weight'!$C$5:$C$1749,MATCH(J264, 'Green_rooibos initial weight'!$A$5:$A$1749,0)),"")</f>
        <v>2.2200000000000002</v>
      </c>
      <c r="L264" s="267">
        <f>IFERROR(K264-(TBIcalc!$Q$9+TBIcalc!$Q$10),"")</f>
        <v>1.9702000000000002</v>
      </c>
      <c r="M264" s="391">
        <f>AVERAGE(Ashed_controlls!$K$12:$K$14)</f>
        <v>2.2816647271287041</v>
      </c>
      <c r="N264" s="267">
        <f t="shared" si="21"/>
        <v>1.9252466415461105</v>
      </c>
      <c r="O264" s="267">
        <f>IF(IFERROR(INDEX('Both teabags AfterDry'!$D$3:$D$900,MATCH(J264,'Both teabags AfterDry'!$A$3:$A$900,0)),"")="","",(IFERROR(INDEX('Both teabags AfterDry'!$D$3:$D$900,MATCH(J264,'Both teabags AfterDry'!$A$3:$A$900,0)),"")))</f>
        <v>1.6818</v>
      </c>
      <c r="P264" s="267">
        <f>IFERROR(IF(O264&gt;0,O264-(TBIcalc!$Q$9),""),"")</f>
        <v>1.5311999999999999</v>
      </c>
      <c r="Q264" s="278">
        <f>IFERROR(INDEX('Ashed teabags dry'!$K$2:$K$825,MATCH(J264,'Ashed teabags dry'!$A$2:$A$825,0)),"")</f>
        <v>92.062122519413393</v>
      </c>
      <c r="R264" s="278">
        <f t="shared" si="22"/>
        <v>0.12154477998274205</v>
      </c>
      <c r="S264" s="268">
        <f>'Dry_Litterbag Placem_Collection'!E45</f>
        <v>42938</v>
      </c>
      <c r="T264" s="268">
        <f>IF('Dry_Litterbag Placem_Collection'!G45="","",'Dry_Litterbag Placem_Collection'!G45)</f>
        <v>43005</v>
      </c>
      <c r="U264" s="269">
        <f t="shared" si="20"/>
        <v>67</v>
      </c>
      <c r="V264" s="267">
        <f t="shared" si="23"/>
        <v>0.43900000000000028</v>
      </c>
      <c r="W264" s="267">
        <f t="shared" si="24"/>
        <v>1.8037018615633684</v>
      </c>
      <c r="X264" s="271">
        <f>IFERROR(INDEX(Rainfall_Dry!$O$2:$O$217,MATCH(B264, Rainfall_Dry!$A$2:$A$217,0)),"")</f>
        <v>6.5250000359999998</v>
      </c>
      <c r="Y264" s="260">
        <v>19.96</v>
      </c>
      <c r="Z264" s="260">
        <v>4.9199999999999982</v>
      </c>
      <c r="AA264" s="260">
        <v>75.12</v>
      </c>
      <c r="AB264" s="261" t="s">
        <v>2671</v>
      </c>
      <c r="AC264" s="260">
        <v>1.641498275012321</v>
      </c>
      <c r="AD264">
        <f>IF('WetLitterbags placem_collection'!AB45="","",'WetLitterbags placem_collection'!AB45)</f>
        <v>5</v>
      </c>
      <c r="AE264">
        <f>IF('WetLitterbags placem_collection'!Z45="","",'WetLitterbags placem_collection'!Z45)</f>
        <v>26.3</v>
      </c>
      <c r="AF264" s="24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71">
        <f>IFERROR(AVERAGE('Dry_Litterbag Placem_Collection'!N45,'Dry_Litterbag Placem_Collection'!Q45),"")</f>
        <v>26.1</v>
      </c>
      <c r="AJ264" s="270">
        <f>INDEX(Coordinates!$B$2:$B$197,MATCH(G264,Coordinates!$J$2:$J$197,0))</f>
        <v>-3.4082369789999998</v>
      </c>
      <c r="AK264" s="270">
        <f>INDEX(Coordinates!$C$2:$C$197,MATCH(G264,Coordinates!$J$2:$J$197,0))</f>
        <v>34.850189999999998</v>
      </c>
      <c r="AL264" s="270" t="str">
        <f>IF(ISNUMBER(SEARCH("C", 'Dry_Litterbag Placem_Collection'!T45)),"YES","NO")</f>
        <v>YES</v>
      </c>
      <c r="AM264" s="270" t="str">
        <f>IF(ISNUMBER(SEARCH("H", 'Dry_Litterbag Placem_Collection'!T45)),"YES","NO")</f>
        <v>YES</v>
      </c>
      <c r="AN264" s="270" t="str">
        <f>IF(ISNUMBER(SEARCH("R", 'Dry_Litterbag Placem_Collection'!T45)),"YES","NO")</f>
        <v>NO</v>
      </c>
    </row>
    <row r="265" spans="1:40" ht="15" customHeight="1">
      <c r="A265" s="262" t="s">
        <v>2659</v>
      </c>
      <c r="B265" s="263">
        <f>'Dry_Litterbag Placem_Collection'!A46</f>
        <v>44</v>
      </c>
      <c r="C265" s="263" t="str">
        <f>'Dry_Litterbag Placem_Collection'!B46</f>
        <v>Makao</v>
      </c>
      <c r="D265" s="263" t="s">
        <v>2659</v>
      </c>
      <c r="E265" s="263" t="s">
        <v>20</v>
      </c>
      <c r="F265" s="263">
        <v>2</v>
      </c>
      <c r="G265" s="264" t="str">
        <f>'Dry_Litterbag Placem_Collection'!C46</f>
        <v>Dry_P2_T4</v>
      </c>
      <c r="H265" s="265" t="s">
        <v>2541</v>
      </c>
      <c r="I265" s="272" t="s">
        <v>298</v>
      </c>
      <c r="J265" s="263" t="str">
        <f>IF(ISBLANK('Dry_Litterbag Placem_Collection'!K46),"","R"&amp;""&amp;'Dry_Litterbag Placem_Collection'!K46)</f>
        <v>R783</v>
      </c>
      <c r="K265" s="267">
        <f>IFERROR(INDEX('Green_rooibos initial weight'!$C$5:$C$1749,MATCH(J265, 'Green_rooibos initial weight'!$A$5:$A$1749,0)),"")</f>
        <v>2.1989999999999998</v>
      </c>
      <c r="L265" s="267">
        <f>IFERROR(K265-(TBIcalc!$Q$9+TBIcalc!$Q$10),"")</f>
        <v>1.9491999999999998</v>
      </c>
      <c r="M265" s="391">
        <f>AVERAGE(Ashed_controlls!$K$12:$K$14)</f>
        <v>2.2816647271287041</v>
      </c>
      <c r="N265" s="267">
        <f t="shared" si="21"/>
        <v>1.9047257911388071</v>
      </c>
      <c r="O265" s="267">
        <f>IF(IFERROR(INDEX('Both teabags AfterDry'!$D$3:$D$900,MATCH(J265,'Both teabags AfterDry'!$A$3:$A$900,0)),"")="","",(IFERROR(INDEX('Both teabags AfterDry'!$D$3:$D$900,MATCH(J265,'Both teabags AfterDry'!$A$3:$A$900,0)),"")))</f>
        <v>1.8973</v>
      </c>
      <c r="P265" s="267">
        <f>IFERROR(IF(O265&gt;0,O265-(TBIcalc!$Q$9),""),"")</f>
        <v>1.7466999999999999</v>
      </c>
      <c r="Q265" s="278">
        <f>IFERROR(INDEX('Ashed teabags dry'!$K$2:$K$825,MATCH(J265,'Ashed teabags dry'!$A$2:$A$825,0)),"")</f>
        <v>3.6579572446556408</v>
      </c>
      <c r="R265" s="278">
        <f t="shared" si="22"/>
        <v>1.6828064608075999</v>
      </c>
      <c r="S265" s="268">
        <f>'Dry_Litterbag Placem_Collection'!E46</f>
        <v>42938</v>
      </c>
      <c r="T265" s="268">
        <f>IF('Dry_Litterbag Placem_Collection'!G46="","",'Dry_Litterbag Placem_Collection'!G46)</f>
        <v>43005</v>
      </c>
      <c r="U265" s="269">
        <f t="shared" si="20"/>
        <v>67</v>
      </c>
      <c r="V265" s="267">
        <f t="shared" si="23"/>
        <v>0.2024999999999999</v>
      </c>
      <c r="W265" s="267">
        <f t="shared" si="24"/>
        <v>0.22191933033120725</v>
      </c>
      <c r="X265" s="271">
        <f>IFERROR(INDEX(Rainfall_Dry!$O$2:$O$217,MATCH(B265, Rainfall_Dry!$A$2:$A$217,0)),"")</f>
        <v>6.5250000359999998</v>
      </c>
      <c r="Y265" s="260">
        <v>19.96</v>
      </c>
      <c r="Z265" s="260">
        <v>4.9199999999999982</v>
      </c>
      <c r="AA265" s="260">
        <v>75.12</v>
      </c>
      <c r="AB265" s="261" t="s">
        <v>2671</v>
      </c>
      <c r="AC265" s="260">
        <v>1.641498275012321</v>
      </c>
      <c r="AD265">
        <f>IF('WetLitterbags placem_collection'!AB46="","",'WetLitterbags placem_collection'!AB46)</f>
        <v>2.6</v>
      </c>
      <c r="AE265">
        <f>IF('WetLitterbags placem_collection'!Z46="","",'WetLitterbags placem_collection'!Z46)</f>
        <v>39.200000000000003</v>
      </c>
      <c r="AF265" s="24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71">
        <f>IFERROR(AVERAGE('Dry_Litterbag Placem_Collection'!N46,'Dry_Litterbag Placem_Collection'!Q46),"")</f>
        <v>26.5</v>
      </c>
      <c r="AJ265" s="270">
        <f>INDEX(Coordinates!$B$2:$B$197,MATCH(G265,Coordinates!$J$2:$J$197,0))</f>
        <v>-3.4081529920000002</v>
      </c>
      <c r="AK265" s="270">
        <f>INDEX(Coordinates!$C$2:$C$197,MATCH(G265,Coordinates!$J$2:$J$197,0))</f>
        <v>34.850168959999998</v>
      </c>
      <c r="AL265" s="270" t="str">
        <f>IF(ISNUMBER(SEARCH("C", 'Dry_Litterbag Placem_Collection'!T46)),"YES","NO")</f>
        <v>NO</v>
      </c>
      <c r="AM265" s="270" t="str">
        <f>IF(ISNUMBER(SEARCH("H", 'Dry_Litterbag Placem_Collection'!T46)),"YES","NO")</f>
        <v>NO</v>
      </c>
      <c r="AN265" s="270" t="str">
        <f>IF(ISNUMBER(SEARCH("R", 'Dry_Litterbag Placem_Collection'!T46)),"YES","NO")</f>
        <v>NO</v>
      </c>
    </row>
    <row r="266" spans="1:40" ht="15" customHeight="1">
      <c r="A266" s="262" t="s">
        <v>2659</v>
      </c>
      <c r="B266" s="263">
        <f>'Dry_Litterbag Placem_Collection'!A47</f>
        <v>45</v>
      </c>
      <c r="C266" s="263" t="str">
        <f>'Dry_Litterbag Placem_Collection'!B47</f>
        <v>Makao</v>
      </c>
      <c r="D266" s="263" t="s">
        <v>2659</v>
      </c>
      <c r="E266" s="263" t="s">
        <v>20</v>
      </c>
      <c r="F266" s="263">
        <v>2</v>
      </c>
      <c r="G266" s="264" t="str">
        <f>'Dry_Litterbag Placem_Collection'!C47</f>
        <v>Dry_P2_T5</v>
      </c>
      <c r="H266" s="265" t="s">
        <v>2541</v>
      </c>
      <c r="I266" s="272" t="s">
        <v>298</v>
      </c>
      <c r="J266" s="263" t="str">
        <f>IF(ISBLANK('Dry_Litterbag Placem_Collection'!K47),"","R"&amp;""&amp;'Dry_Litterbag Placem_Collection'!K47)</f>
        <v>R827</v>
      </c>
      <c r="K266" s="267">
        <f>IFERROR(INDEX('Green_rooibos initial weight'!$C$5:$C$1749,MATCH(J266, 'Green_rooibos initial weight'!$A$5:$A$1749,0)),"")</f>
        <v>2.222</v>
      </c>
      <c r="L266" s="267">
        <f>IFERROR(K266-(TBIcalc!$Q$9+TBIcalc!$Q$10),"")</f>
        <v>1.9722</v>
      </c>
      <c r="M266" s="391">
        <f>AVERAGE(Ashed_controlls!$K$12:$K$14)</f>
        <v>2.2816647271287041</v>
      </c>
      <c r="N266" s="267">
        <f t="shared" si="21"/>
        <v>1.9272010082515676</v>
      </c>
      <c r="O266" s="267" t="str">
        <f>IF(IFERROR(INDEX('Both teabags AfterDry'!$D$3:$D$900,MATCH(J266,'Both teabags AfterDry'!$A$3:$A$900,0)),"")="","",(IFERROR(INDEX('Both teabags AfterDry'!$D$3:$D$900,MATCH(J266,'Both teabags AfterDry'!$A$3:$A$900,0)),"")))</f>
        <v/>
      </c>
      <c r="P266" s="267" t="str">
        <f>IFERROR(IF(O266&gt;0,O266-(TBIcalc!$Q$9),""),"")</f>
        <v/>
      </c>
      <c r="Q266" s="278" t="str">
        <f>IFERROR(INDEX('Ashed teabags dry'!$K$2:$K$825,MATCH(J266,'Ashed teabags dry'!$A$2:$A$825,0)),"")</f>
        <v/>
      </c>
      <c r="R266" s="278" t="str">
        <f t="shared" si="22"/>
        <v/>
      </c>
      <c r="S266" s="268">
        <f>'Dry_Litterbag Placem_Collection'!E47</f>
        <v>42938</v>
      </c>
      <c r="T266" s="268">
        <f>IF('Dry_Litterbag Placem_Collection'!G47="","",'Dry_Litterbag Placem_Collection'!G47)</f>
        <v>43005</v>
      </c>
      <c r="U266" s="269">
        <f t="shared" si="20"/>
        <v>67</v>
      </c>
      <c r="V266" s="267" t="str">
        <f t="shared" si="23"/>
        <v/>
      </c>
      <c r="W266" s="267" t="str">
        <f t="shared" si="24"/>
        <v/>
      </c>
      <c r="X266" s="271">
        <f>IFERROR(INDEX(Rainfall_Dry!$O$2:$O$217,MATCH(B266, Rainfall_Dry!$A$2:$A$217,0)),"")</f>
        <v>6.5250000359999998</v>
      </c>
      <c r="Y266" s="260">
        <v>19.96</v>
      </c>
      <c r="Z266" s="260">
        <v>4.9199999999999982</v>
      </c>
      <c r="AA266" s="260">
        <v>75.12</v>
      </c>
      <c r="AB266" s="261" t="s">
        <v>2671</v>
      </c>
      <c r="AC266" s="260">
        <v>1.641498275012321</v>
      </c>
      <c r="AD266">
        <f>IF('WetLitterbags placem_collection'!AB47="","",'WetLitterbags placem_collection'!AB47)</f>
        <v>2.2999999999999998</v>
      </c>
      <c r="AE266">
        <f>IF('WetLitterbags placem_collection'!Z47="","",'WetLitterbags placem_collection'!Z47)</f>
        <v>9.3000000000000007</v>
      </c>
      <c r="AF266" s="24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71">
        <f>IFERROR(AVERAGE('Dry_Litterbag Placem_Collection'!N47,'Dry_Litterbag Placem_Collection'!Q47),"")</f>
        <v>27.25</v>
      </c>
      <c r="AJ266" s="270">
        <f>INDEX(Coordinates!$B$2:$B$197,MATCH(G266,Coordinates!$J$2:$J$197,0))</f>
        <v>-3.4081789759999999</v>
      </c>
      <c r="AK266" s="270">
        <f>INDEX(Coordinates!$C$2:$C$197,MATCH(G266,Coordinates!$J$2:$J$197,0))</f>
        <v>34.850516980000002</v>
      </c>
      <c r="AL266" s="270" t="str">
        <f>IF(ISNUMBER(SEARCH("C", 'Dry_Litterbag Placem_Collection'!T47)),"YES","NO")</f>
        <v>YES</v>
      </c>
      <c r="AM266" s="270" t="str">
        <f>IF(ISNUMBER(SEARCH("H", 'Dry_Litterbag Placem_Collection'!T47)),"YES","NO")</f>
        <v>YES</v>
      </c>
      <c r="AN266" s="270" t="str">
        <f>IF(ISNUMBER(SEARCH("R", 'Dry_Litterbag Placem_Collection'!T47)),"YES","NO")</f>
        <v>NO</v>
      </c>
    </row>
    <row r="267" spans="1:40" ht="15" customHeight="1">
      <c r="A267" s="262" t="s">
        <v>2659</v>
      </c>
      <c r="B267" s="263">
        <f>'Dry_Litterbag Placem_Collection'!A48</f>
        <v>46</v>
      </c>
      <c r="C267" s="263" t="str">
        <f>'Dry_Litterbag Placem_Collection'!B48</f>
        <v>Makao</v>
      </c>
      <c r="D267" s="263" t="s">
        <v>2659</v>
      </c>
      <c r="E267" s="263" t="s">
        <v>20</v>
      </c>
      <c r="F267" s="263">
        <v>2</v>
      </c>
      <c r="G267" s="264" t="str">
        <f>'Dry_Litterbag Placem_Collection'!C48</f>
        <v>Dry_P2_T6</v>
      </c>
      <c r="H267" s="265" t="s">
        <v>2541</v>
      </c>
      <c r="I267" s="272" t="s">
        <v>298</v>
      </c>
      <c r="J267" s="263" t="str">
        <f>IF(ISBLANK('Dry_Litterbag Placem_Collection'!K48),"","R"&amp;""&amp;'Dry_Litterbag Placem_Collection'!K48)</f>
        <v/>
      </c>
      <c r="K267" s="267" t="str">
        <f>IFERROR(INDEX('Green_rooibos initial weight'!$C$5:$C$1749,MATCH(J267, 'Green_rooibos initial weight'!$A$5:$A$1749,0)),"")</f>
        <v/>
      </c>
      <c r="L267" s="267" t="str">
        <f>IFERROR(K267-(TBIcalc!$Q$9+TBIcalc!$Q$10),"")</f>
        <v/>
      </c>
      <c r="M267" s="391">
        <f>AVERAGE(Ashed_controlls!$K$12:$K$14)</f>
        <v>2.2816647271287041</v>
      </c>
      <c r="N267" s="267" t="str">
        <f t="shared" si="21"/>
        <v/>
      </c>
      <c r="O267" s="267" t="str">
        <f>IF(IFERROR(INDEX('Both teabags AfterDry'!$D$3:$D$900,MATCH(J267,'Both teabags AfterDry'!$A$3:$A$900,0)),"")="","",(IFERROR(INDEX('Both teabags AfterDry'!$D$3:$D$900,MATCH(J267,'Both teabags AfterDry'!$A$3:$A$900,0)),"")))</f>
        <v/>
      </c>
      <c r="P267" s="267" t="str">
        <f>IFERROR(IF(O267&gt;0,O267-(TBIcalc!$Q$9),""),"")</f>
        <v/>
      </c>
      <c r="Q267" s="278" t="str">
        <f>IFERROR(INDEX('Ashed teabags dry'!$K$2:$K$825,MATCH(J267,'Ashed teabags dry'!$A$2:$A$825,0)),"")</f>
        <v/>
      </c>
      <c r="R267" s="278" t="str">
        <f t="shared" si="22"/>
        <v/>
      </c>
      <c r="S267" s="268">
        <f>'Dry_Litterbag Placem_Collection'!E48</f>
        <v>0</v>
      </c>
      <c r="T267" s="268" t="str">
        <f>IF('Dry_Litterbag Placem_Collection'!G48="","",'Dry_Litterbag Placem_Collection'!G48)</f>
        <v/>
      </c>
      <c r="U267" s="269" t="str">
        <f t="shared" si="20"/>
        <v/>
      </c>
      <c r="V267" s="267" t="str">
        <f t="shared" si="23"/>
        <v/>
      </c>
      <c r="W267" s="267" t="str">
        <f t="shared" si="24"/>
        <v/>
      </c>
      <c r="X267" s="271" t="str">
        <f>IFERROR(INDEX(Rainfall_Dry!$O$2:$O$217,MATCH(B267, Rainfall_Dry!$A$2:$A$217,0)),"")</f>
        <v/>
      </c>
      <c r="Y267" s="260">
        <v>19.96</v>
      </c>
      <c r="Z267" s="260">
        <v>4.9199999999999982</v>
      </c>
      <c r="AA267" s="260">
        <v>75.12</v>
      </c>
      <c r="AB267" s="261" t="s">
        <v>2671</v>
      </c>
      <c r="AC267" s="260">
        <v>1.641498275012321</v>
      </c>
      <c r="AD267" t="str">
        <f>IF('WetLitterbags placem_collection'!AB48="","",'WetLitterbags placem_collection'!AB48)</f>
        <v/>
      </c>
      <c r="AE267" t="str">
        <f>IF('WetLitterbags placem_collection'!Z48="","",'WetLitterbags placem_collection'!Z48)</f>
        <v/>
      </c>
      <c r="AF267" s="24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71" t="str">
        <f>IFERROR(AVERAGE('Dry_Litterbag Placem_Collection'!N48,'Dry_Litterbag Placem_Collection'!Q48),"")</f>
        <v/>
      </c>
      <c r="AJ267" s="270">
        <f>INDEX(Coordinates!$B$2:$B$197,MATCH(G267,Coordinates!$J$2:$J$197,0))</f>
        <v>-3.4084730130000001</v>
      </c>
      <c r="AK267" s="270">
        <f>INDEX(Coordinates!$C$2:$C$197,MATCH(G267,Coordinates!$J$2:$J$197,0))</f>
        <v>34.850401980000001</v>
      </c>
      <c r="AL267" s="270" t="str">
        <f>IF(ISNUMBER(SEARCH("C", 'Dry_Litterbag Placem_Collection'!T48)),"YES","NO")</f>
        <v>NO</v>
      </c>
      <c r="AM267" s="270" t="str">
        <f>IF(ISNUMBER(SEARCH("H", 'Dry_Litterbag Placem_Collection'!T48)),"YES","NO")</f>
        <v>NO</v>
      </c>
      <c r="AN267" s="270" t="str">
        <f>IF(ISNUMBER(SEARCH("R", 'Dry_Litterbag Placem_Collection'!T48)),"YES","NO")</f>
        <v>NO</v>
      </c>
    </row>
    <row r="268" spans="1:40" ht="15" customHeight="1">
      <c r="A268" s="262" t="s">
        <v>2659</v>
      </c>
      <c r="B268" s="263">
        <f>'Dry_Litterbag Placem_Collection'!A49</f>
        <v>47</v>
      </c>
      <c r="C268" s="263" t="str">
        <f>'Dry_Litterbag Placem_Collection'!B49</f>
        <v>Makao</v>
      </c>
      <c r="D268" s="263" t="s">
        <v>2659</v>
      </c>
      <c r="E268" s="263" t="s">
        <v>20</v>
      </c>
      <c r="F268" s="263">
        <v>2</v>
      </c>
      <c r="G268" s="264" t="str">
        <f>'Dry_Litterbag Placem_Collection'!C49</f>
        <v>Dry_P2_T7</v>
      </c>
      <c r="H268" s="265" t="s">
        <v>2541</v>
      </c>
      <c r="I268" s="272" t="s">
        <v>298</v>
      </c>
      <c r="J268" s="263" t="str">
        <f>IF(ISBLANK('Dry_Litterbag Placem_Collection'!K49),"","R"&amp;""&amp;'Dry_Litterbag Placem_Collection'!K49)</f>
        <v>R831</v>
      </c>
      <c r="K268" s="267">
        <f>IFERROR(INDEX('Green_rooibos initial weight'!$C$5:$C$1749,MATCH(J268, 'Green_rooibos initial weight'!$A$5:$A$1749,0)),"")</f>
        <v>2.2410000000000001</v>
      </c>
      <c r="L268" s="267">
        <f>IFERROR(K268-(TBIcalc!$Q$9+TBIcalc!$Q$10),"")</f>
        <v>1.9912000000000001</v>
      </c>
      <c r="M268" s="391">
        <f>AVERAGE(Ashed_controlls!$K$12:$K$14)</f>
        <v>2.2816647271287041</v>
      </c>
      <c r="N268" s="267">
        <f t="shared" si="21"/>
        <v>1.9457674919534134</v>
      </c>
      <c r="O268" s="267">
        <f>IF(IFERROR(INDEX('Both teabags AfterDry'!$D$3:$D$900,MATCH(J268,'Both teabags AfterDry'!$A$3:$A$900,0)),"")="","",(IFERROR(INDEX('Both teabags AfterDry'!$D$3:$D$900,MATCH(J268,'Both teabags AfterDry'!$A$3:$A$900,0)),"")))</f>
        <v>1.9105000000000001</v>
      </c>
      <c r="P268" s="267">
        <f>IFERROR(IF(O268&gt;0,O268-(TBIcalc!$Q$9),""),"")</f>
        <v>1.7599</v>
      </c>
      <c r="Q268" s="278">
        <f>IFERROR(INDEX('Ashed teabags dry'!$K$2:$K$825,MATCH(J268,'Ashed teabags dry'!$A$2:$A$825,0)),"")</f>
        <v>4.5857988165679391</v>
      </c>
      <c r="R268" s="278">
        <f t="shared" si="22"/>
        <v>1.6791945266272208</v>
      </c>
      <c r="S268" s="268">
        <f>'Dry_Litterbag Placem_Collection'!E49</f>
        <v>42938</v>
      </c>
      <c r="T268" s="268">
        <f>IF('Dry_Litterbag Placem_Collection'!G49="","",'Dry_Litterbag Placem_Collection'!G49)</f>
        <v>43005</v>
      </c>
      <c r="U268" s="269">
        <f t="shared" si="20"/>
        <v>67</v>
      </c>
      <c r="V268" s="267">
        <f t="shared" si="23"/>
        <v>0.23130000000000006</v>
      </c>
      <c r="W268" s="267">
        <f t="shared" si="24"/>
        <v>0.26657296532619257</v>
      </c>
      <c r="X268" s="271">
        <f>IFERROR(INDEX(Rainfall_Dry!$O$2:$O$217,MATCH(B268, Rainfall_Dry!$A$2:$A$217,0)),"")</f>
        <v>6.5250000359999998</v>
      </c>
      <c r="Y268" s="260">
        <v>19.96</v>
      </c>
      <c r="Z268" s="260">
        <v>4.9199999999999982</v>
      </c>
      <c r="AA268" s="260">
        <v>75.12</v>
      </c>
      <c r="AB268" s="261" t="s">
        <v>2671</v>
      </c>
      <c r="AC268" s="260">
        <v>1.641498275012321</v>
      </c>
      <c r="AD268">
        <f>IF('WetLitterbags placem_collection'!AB49="","",'WetLitterbags placem_collection'!AB49)</f>
        <v>5.2</v>
      </c>
      <c r="AE268">
        <f>IF('WetLitterbags placem_collection'!Z49="","",'WetLitterbags placem_collection'!Z49)</f>
        <v>5.2</v>
      </c>
      <c r="AF268" s="24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71">
        <f>IFERROR(AVERAGE('Dry_Litterbag Placem_Collection'!N49,'Dry_Litterbag Placem_Collection'!Q49),"")</f>
        <v>26.4</v>
      </c>
      <c r="AJ268" s="270">
        <f>INDEX(Coordinates!$B$2:$B$197,MATCH(G268,Coordinates!$J$2:$J$197,0))</f>
        <v>-3.4084819820000001</v>
      </c>
      <c r="AK268" s="270">
        <f>INDEX(Coordinates!$C$2:$C$197,MATCH(G268,Coordinates!$J$2:$J$197,0))</f>
        <v>34.850024040000001</v>
      </c>
      <c r="AL268" s="270" t="str">
        <f>IF(ISNUMBER(SEARCH("C", 'Dry_Litterbag Placem_Collection'!T49)),"YES","NO")</f>
        <v>NO</v>
      </c>
      <c r="AM268" s="270" t="str">
        <f>IF(ISNUMBER(SEARCH("H", 'Dry_Litterbag Placem_Collection'!T49)),"YES","NO")</f>
        <v>YES</v>
      </c>
      <c r="AN268" s="270" t="str">
        <f>IF(ISNUMBER(SEARCH("R", 'Dry_Litterbag Placem_Collection'!T49)),"YES","NO")</f>
        <v>NO</v>
      </c>
    </row>
    <row r="269" spans="1:40" ht="15" customHeight="1">
      <c r="A269" s="262" t="s">
        <v>2659</v>
      </c>
      <c r="B269" s="263">
        <f>'Dry_Litterbag Placem_Collection'!A50</f>
        <v>48</v>
      </c>
      <c r="C269" s="263" t="str">
        <f>'Dry_Litterbag Placem_Collection'!B50</f>
        <v>Makao</v>
      </c>
      <c r="D269" s="263" t="s">
        <v>2659</v>
      </c>
      <c r="E269" s="263" t="s">
        <v>20</v>
      </c>
      <c r="F269" s="263">
        <v>2</v>
      </c>
      <c r="G269" s="264" t="str">
        <f>'Dry_Litterbag Placem_Collection'!C50</f>
        <v>Dry_P2_T8</v>
      </c>
      <c r="H269" s="265" t="s">
        <v>2541</v>
      </c>
      <c r="I269" s="272" t="s">
        <v>298</v>
      </c>
      <c r="J269" s="263" t="str">
        <f>IF(ISBLANK('Dry_Litterbag Placem_Collection'!K50),"","R"&amp;""&amp;'Dry_Litterbag Placem_Collection'!K50)</f>
        <v>R828</v>
      </c>
      <c r="K269" s="267">
        <f>IFERROR(INDEX('Green_rooibos initial weight'!$C$5:$C$1749,MATCH(J269, 'Green_rooibos initial weight'!$A$5:$A$1749,0)),"")</f>
        <v>2.2330000000000001</v>
      </c>
      <c r="L269" s="267">
        <f>IFERROR(K269-(TBIcalc!$Q$9+TBIcalc!$Q$10),"")</f>
        <v>1.9832000000000001</v>
      </c>
      <c r="M269" s="391">
        <f>AVERAGE(Ashed_controlls!$K$12:$K$14)</f>
        <v>2.2816647271287041</v>
      </c>
      <c r="N269" s="267">
        <f t="shared" si="21"/>
        <v>1.9379500251315835</v>
      </c>
      <c r="O269" s="267">
        <f>IF(IFERROR(INDEX('Both teabags AfterDry'!$D$3:$D$900,MATCH(J269,'Both teabags AfterDry'!$A$3:$A$900,0)),"")="","",(IFERROR(INDEX('Both teabags AfterDry'!$D$3:$D$900,MATCH(J269,'Both teabags AfterDry'!$A$3:$A$900,0)),"")))</f>
        <v>1.7596000000000001</v>
      </c>
      <c r="P269" s="267">
        <f>IFERROR(IF(O269&gt;0,O269-(TBIcalc!$Q$9),""),"")</f>
        <v>1.609</v>
      </c>
      <c r="Q269" s="278">
        <f>IFERROR(INDEX('Ashed teabags dry'!$K$2:$K$825,MATCH(J269,'Ashed teabags dry'!$A$2:$A$825,0)),"")</f>
        <v>2.0276953511382803</v>
      </c>
      <c r="R269" s="278">
        <f t="shared" si="22"/>
        <v>1.576374381800185</v>
      </c>
      <c r="S269" s="268">
        <f>'Dry_Litterbag Placem_Collection'!E50</f>
        <v>42938</v>
      </c>
      <c r="T269" s="268">
        <f>IF('Dry_Litterbag Placem_Collection'!G50="","",'Dry_Litterbag Placem_Collection'!G50)</f>
        <v>43005</v>
      </c>
      <c r="U269" s="269">
        <f t="shared" si="20"/>
        <v>67</v>
      </c>
      <c r="V269" s="267">
        <f t="shared" si="23"/>
        <v>0.37420000000000009</v>
      </c>
      <c r="W269" s="267">
        <f t="shared" si="24"/>
        <v>0.36157564333139858</v>
      </c>
      <c r="X269" s="271">
        <f>IFERROR(INDEX(Rainfall_Dry!$O$2:$O$217,MATCH(B269, Rainfall_Dry!$A$2:$A$217,0)),"")</f>
        <v>6.5250000359999998</v>
      </c>
      <c r="Y269" s="260">
        <v>19.96</v>
      </c>
      <c r="Z269" s="260">
        <v>4.9199999999999982</v>
      </c>
      <c r="AA269" s="260">
        <v>75.12</v>
      </c>
      <c r="AB269" s="261" t="s">
        <v>2671</v>
      </c>
      <c r="AC269" s="260">
        <v>1.641498275012321</v>
      </c>
      <c r="AD269">
        <f>IF('WetLitterbags placem_collection'!AB50="","",'WetLitterbags placem_collection'!AB50)</f>
        <v>7.3</v>
      </c>
      <c r="AE269">
        <f>IF('WetLitterbags placem_collection'!Z50="","",'WetLitterbags placem_collection'!Z50)</f>
        <v>27.2</v>
      </c>
      <c r="AF269" s="24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71">
        <f>IFERROR(AVERAGE('Dry_Litterbag Placem_Collection'!N50,'Dry_Litterbag Placem_Collection'!Q50),"")</f>
        <v>25.950000000000003</v>
      </c>
      <c r="AJ269" s="270">
        <f>INDEX(Coordinates!$B$2:$B$197,MATCH(G269,Coordinates!$J$2:$J$197,0))</f>
        <v>-3.4081990090000001</v>
      </c>
      <c r="AK269" s="270">
        <f>INDEX(Coordinates!$C$2:$C$197,MATCH(G269,Coordinates!$J$2:$J$197,0))</f>
        <v>34.850254960000001</v>
      </c>
      <c r="AL269" s="270" t="str">
        <f>IF(ISNUMBER(SEARCH("C", 'Dry_Litterbag Placem_Collection'!T50)),"YES","NO")</f>
        <v>NO</v>
      </c>
      <c r="AM269" s="270" t="str">
        <f>IF(ISNUMBER(SEARCH("H", 'Dry_Litterbag Placem_Collection'!T50)),"YES","NO")</f>
        <v>NO</v>
      </c>
      <c r="AN269" s="270" t="str">
        <f>IF(ISNUMBER(SEARCH("R", 'Dry_Litterbag Placem_Collection'!T50)),"YES","NO")</f>
        <v>NO</v>
      </c>
    </row>
    <row r="270" spans="1:40" ht="15" customHeight="1">
      <c r="A270" s="262" t="s">
        <v>2659</v>
      </c>
      <c r="B270" s="263">
        <f>'Dry_Litterbag Placem_Collection'!A51</f>
        <v>49</v>
      </c>
      <c r="C270" s="263" t="str">
        <f>'Dry_Litterbag Placem_Collection'!B51</f>
        <v>Makao</v>
      </c>
      <c r="D270" s="263" t="s">
        <v>2659</v>
      </c>
      <c r="E270" s="263" t="s">
        <v>20</v>
      </c>
      <c r="F270" s="263">
        <v>3</v>
      </c>
      <c r="G270" s="264" t="str">
        <f>'Dry_Litterbag Placem_Collection'!C51</f>
        <v>Dry_P3_T1</v>
      </c>
      <c r="H270" s="265" t="s">
        <v>2541</v>
      </c>
      <c r="I270" s="272" t="s">
        <v>298</v>
      </c>
      <c r="J270" s="263" t="str">
        <f>IF(ISBLANK('Dry_Litterbag Placem_Collection'!K51),"","R"&amp;""&amp;'Dry_Litterbag Placem_Collection'!K51)</f>
        <v>R805</v>
      </c>
      <c r="K270" s="267">
        <f>IFERROR(INDEX('Green_rooibos initial weight'!$C$5:$C$1749,MATCH(J270, 'Green_rooibos initial weight'!$A$5:$A$1749,0)),"")</f>
        <v>2.2469999999999999</v>
      </c>
      <c r="L270" s="267">
        <f>IFERROR(K270-(TBIcalc!$Q$9+TBIcalc!$Q$10),"")</f>
        <v>1.9971999999999999</v>
      </c>
      <c r="M270" s="391">
        <f>AVERAGE(Ashed_controlls!$K$12:$K$14)</f>
        <v>2.2816647271287041</v>
      </c>
      <c r="N270" s="267">
        <f t="shared" si="21"/>
        <v>1.9516305920697854</v>
      </c>
      <c r="O270" s="267" t="str">
        <f>IF(IFERROR(INDEX('Both teabags AfterDry'!$D$3:$D$900,MATCH(J270,'Both teabags AfterDry'!$A$3:$A$900,0)),"")="","",(IFERROR(INDEX('Both teabags AfterDry'!$D$3:$D$900,MATCH(J270,'Both teabags AfterDry'!$A$3:$A$900,0)),"")))</f>
        <v/>
      </c>
      <c r="P270" s="267" t="str">
        <f>IFERROR(IF(O270&gt;0,O270-(TBIcalc!$Q$9),""),"")</f>
        <v/>
      </c>
      <c r="Q270" s="278" t="str">
        <f>IFERROR(INDEX('Ashed teabags dry'!$K$2:$K$825,MATCH(J270,'Ashed teabags dry'!$A$2:$A$825,0)),"")</f>
        <v/>
      </c>
      <c r="R270" s="278" t="str">
        <f t="shared" si="22"/>
        <v/>
      </c>
      <c r="S270" s="268">
        <f>'Dry_Litterbag Placem_Collection'!E51</f>
        <v>42938</v>
      </c>
      <c r="T270" s="268">
        <f>IF('Dry_Litterbag Placem_Collection'!G51="","",'Dry_Litterbag Placem_Collection'!G51)</f>
        <v>43005</v>
      </c>
      <c r="U270" s="269">
        <f t="shared" si="20"/>
        <v>67</v>
      </c>
      <c r="V270" s="267" t="str">
        <f t="shared" si="23"/>
        <v/>
      </c>
      <c r="W270" s="267" t="str">
        <f t="shared" si="24"/>
        <v/>
      </c>
      <c r="X270" s="271">
        <f>IFERROR(INDEX(Rainfall_Dry!$O$2:$O$217,MATCH(B270, Rainfall_Dry!$A$2:$A$217,0)),"")</f>
        <v>6.5250000359999998</v>
      </c>
      <c r="Y270" s="260">
        <v>21.96</v>
      </c>
      <c r="Z270" s="260">
        <v>8.9199999999999982</v>
      </c>
      <c r="AA270" s="260">
        <v>69.12</v>
      </c>
      <c r="AB270" s="261" t="s">
        <v>2670</v>
      </c>
      <c r="AC270" s="260">
        <v>1.7491375061606702</v>
      </c>
      <c r="AD270">
        <f>IF('WetLitterbags placem_collection'!AB51="","",'WetLitterbags placem_collection'!AB51)</f>
        <v>10.4</v>
      </c>
      <c r="AE270">
        <f>IF('WetLitterbags placem_collection'!Z51="","",'WetLitterbags placem_collection'!Z51)</f>
        <v>36</v>
      </c>
      <c r="AF270" s="24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71">
        <f>IFERROR(AVERAGE('Dry_Litterbag Placem_Collection'!N51,'Dry_Litterbag Placem_Collection'!Q51),"")</f>
        <v>31.5</v>
      </c>
      <c r="AJ270" s="270">
        <f>INDEX(Coordinates!$B$2:$B$197,MATCH(G270,Coordinates!$J$2:$J$197,0))</f>
        <v>-3.406225992</v>
      </c>
      <c r="AK270" s="270">
        <f>INDEX(Coordinates!$C$2:$C$197,MATCH(G270,Coordinates!$J$2:$J$197,0))</f>
        <v>34.85055998</v>
      </c>
      <c r="AL270" s="270" t="str">
        <f>IF(ISNUMBER(SEARCH("C", 'Dry_Litterbag Placem_Collection'!T51)),"YES","NO")</f>
        <v>NO</v>
      </c>
      <c r="AM270" s="270" t="str">
        <f>IF(ISNUMBER(SEARCH("H", 'Dry_Litterbag Placem_Collection'!T51)),"YES","NO")</f>
        <v>NO</v>
      </c>
      <c r="AN270" s="270" t="str">
        <f>IF(ISNUMBER(SEARCH("R", 'Dry_Litterbag Placem_Collection'!T51)),"YES","NO")</f>
        <v>NO</v>
      </c>
    </row>
    <row r="271" spans="1:40" ht="15" customHeight="1">
      <c r="A271" s="262" t="s">
        <v>2659</v>
      </c>
      <c r="B271" s="263">
        <f>'Dry_Litterbag Placem_Collection'!A52</f>
        <v>50</v>
      </c>
      <c r="C271" s="263" t="str">
        <f>'Dry_Litterbag Placem_Collection'!B52</f>
        <v>Makao</v>
      </c>
      <c r="D271" s="263" t="s">
        <v>2659</v>
      </c>
      <c r="E271" s="263" t="s">
        <v>20</v>
      </c>
      <c r="F271" s="263">
        <v>3</v>
      </c>
      <c r="G271" s="264" t="str">
        <f>'Dry_Litterbag Placem_Collection'!C52</f>
        <v>Dry_P3_T2</v>
      </c>
      <c r="H271" s="265" t="s">
        <v>2541</v>
      </c>
      <c r="I271" s="272" t="s">
        <v>298</v>
      </c>
      <c r="J271" s="263" t="str">
        <f>IF(ISBLANK('Dry_Litterbag Placem_Collection'!K52),"","R"&amp;""&amp;'Dry_Litterbag Placem_Collection'!K52)</f>
        <v>R754</v>
      </c>
      <c r="K271" s="267">
        <f>IFERROR(INDEX('Green_rooibos initial weight'!$C$5:$C$1749,MATCH(J271, 'Green_rooibos initial weight'!$A$5:$A$1749,0)),"")</f>
        <v>2.2069999999999999</v>
      </c>
      <c r="L271" s="267">
        <f>IFERROR(K271-(TBIcalc!$Q$9+TBIcalc!$Q$10),"")</f>
        <v>1.9571999999999998</v>
      </c>
      <c r="M271" s="391">
        <f>AVERAGE(Ashed_controlls!$K$12:$K$14)</f>
        <v>2.2816647271287041</v>
      </c>
      <c r="N271" s="267">
        <f t="shared" si="21"/>
        <v>1.9125432579606367</v>
      </c>
      <c r="O271" s="267" t="str">
        <f>IF(IFERROR(INDEX('Both teabags AfterDry'!$D$3:$D$900,MATCH(J271,'Both teabags AfterDry'!$A$3:$A$900,0)),"")="","",(IFERROR(INDEX('Both teabags AfterDry'!$D$3:$D$900,MATCH(J271,'Both teabags AfterDry'!$A$3:$A$900,0)),"")))</f>
        <v/>
      </c>
      <c r="P271" s="267" t="str">
        <f>IFERROR(IF(O271&gt;0,O271-(TBIcalc!$Q$9),""),"")</f>
        <v/>
      </c>
      <c r="Q271" s="278" t="str">
        <f>IFERROR(INDEX('Ashed teabags dry'!$K$2:$K$825,MATCH(J271,'Ashed teabags dry'!$A$2:$A$825,0)),"")</f>
        <v/>
      </c>
      <c r="R271" s="278" t="str">
        <f t="shared" si="22"/>
        <v/>
      </c>
      <c r="S271" s="268">
        <f>'Dry_Litterbag Placem_Collection'!E52</f>
        <v>42938</v>
      </c>
      <c r="T271" s="268" t="str">
        <f>IF('Dry_Litterbag Placem_Collection'!G52="","",'Dry_Litterbag Placem_Collection'!G52)</f>
        <v/>
      </c>
      <c r="U271" s="269" t="str">
        <f t="shared" si="20"/>
        <v/>
      </c>
      <c r="V271" s="267" t="str">
        <f t="shared" si="23"/>
        <v/>
      </c>
      <c r="W271" s="267" t="str">
        <f t="shared" si="24"/>
        <v/>
      </c>
      <c r="X271" s="271" t="str">
        <f>IFERROR(INDEX(Rainfall_Dry!$O$2:$O$217,MATCH(B271, Rainfall_Dry!$A$2:$A$217,0)),"")</f>
        <v/>
      </c>
      <c r="Y271" s="260">
        <v>21.96</v>
      </c>
      <c r="Z271" s="260">
        <v>8.9199999999999982</v>
      </c>
      <c r="AA271" s="260">
        <v>69.12</v>
      </c>
      <c r="AB271" s="261" t="s">
        <v>2670</v>
      </c>
      <c r="AC271" s="260">
        <v>1.7491375061606702</v>
      </c>
      <c r="AD271">
        <f>IF('WetLitterbags placem_collection'!AB52="","",'WetLitterbags placem_collection'!AB52)</f>
        <v>10</v>
      </c>
      <c r="AE271">
        <f>IF('WetLitterbags placem_collection'!Z52="","",'WetLitterbags placem_collection'!Z52)</f>
        <v>22.5</v>
      </c>
      <c r="AF271" s="24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71">
        <f>IFERROR(AVERAGE('Dry_Litterbag Placem_Collection'!N52,'Dry_Litterbag Placem_Collection'!Q52),"")</f>
        <v>27.6</v>
      </c>
      <c r="AJ271" s="270">
        <f>INDEX(Coordinates!$B$2:$B$197,MATCH(G271,Coordinates!$J$2:$J$197,0))</f>
        <v>-3.4062630399999998</v>
      </c>
      <c r="AK271" s="270">
        <f>INDEX(Coordinates!$C$2:$C$197,MATCH(G271,Coordinates!$J$2:$J$197,0))</f>
        <v>34.850566010000001</v>
      </c>
      <c r="AL271" s="270" t="str">
        <f>IF(ISNUMBER(SEARCH("C", 'Dry_Litterbag Placem_Collection'!T52)),"YES","NO")</f>
        <v>NO</v>
      </c>
      <c r="AM271" s="270" t="str">
        <f>IF(ISNUMBER(SEARCH("H", 'Dry_Litterbag Placem_Collection'!T52)),"YES","NO")</f>
        <v>NO</v>
      </c>
      <c r="AN271" s="270" t="str">
        <f>IF(ISNUMBER(SEARCH("R", 'Dry_Litterbag Placem_Collection'!T52)),"YES","NO")</f>
        <v>NO</v>
      </c>
    </row>
    <row r="272" spans="1:40" ht="15" customHeight="1">
      <c r="A272" s="262" t="s">
        <v>2659</v>
      </c>
      <c r="B272" s="263">
        <f>'Dry_Litterbag Placem_Collection'!A53</f>
        <v>51</v>
      </c>
      <c r="C272" s="263" t="str">
        <f>'Dry_Litterbag Placem_Collection'!B53</f>
        <v>Makao</v>
      </c>
      <c r="D272" s="263" t="s">
        <v>2659</v>
      </c>
      <c r="E272" s="263" t="s">
        <v>20</v>
      </c>
      <c r="F272" s="263">
        <v>3</v>
      </c>
      <c r="G272" s="264" t="str">
        <f>'Dry_Litterbag Placem_Collection'!C53</f>
        <v>Dry_P3_T3</v>
      </c>
      <c r="H272" s="265" t="s">
        <v>2541</v>
      </c>
      <c r="I272" s="272" t="s">
        <v>298</v>
      </c>
      <c r="J272" s="263" t="str">
        <f>IF(ISBLANK('Dry_Litterbag Placem_Collection'!K53),"","R"&amp;""&amp;'Dry_Litterbag Placem_Collection'!K53)</f>
        <v>R798</v>
      </c>
      <c r="K272" s="267">
        <f>IFERROR(INDEX('Green_rooibos initial weight'!$C$5:$C$1749,MATCH(J272, 'Green_rooibos initial weight'!$A$5:$A$1749,0)),"")</f>
        <v>2.1850000000000001</v>
      </c>
      <c r="L272" s="267">
        <f>IFERROR(K272-(TBIcalc!$Q$9+TBIcalc!$Q$10),"")</f>
        <v>1.9352</v>
      </c>
      <c r="M272" s="391">
        <f>AVERAGE(Ashed_controlls!$K$12:$K$14)</f>
        <v>2.2816647271287041</v>
      </c>
      <c r="N272" s="267">
        <f t="shared" si="21"/>
        <v>1.8910452242006053</v>
      </c>
      <c r="O272" s="267">
        <f>IF(IFERROR(INDEX('Both teabags AfterDry'!$D$3:$D$900,MATCH(J272,'Both teabags AfterDry'!$A$3:$A$900,0)),"")="","",(IFERROR(INDEX('Both teabags AfterDry'!$D$3:$D$900,MATCH(J272,'Both teabags AfterDry'!$A$3:$A$900,0)),"")))</f>
        <v>1.8956999999999999</v>
      </c>
      <c r="P272" s="267">
        <f>IFERROR(IF(O272&gt;0,O272-(TBIcalc!$Q$9),""),"")</f>
        <v>1.7450999999999999</v>
      </c>
      <c r="Q272" s="278">
        <f>IFERROR(INDEX('Ashed teabags dry'!$K$2:$K$825,MATCH(J272,'Ashed teabags dry'!$A$2:$A$825,0)),"")</f>
        <v>3.1954887218038985</v>
      </c>
      <c r="R272" s="278">
        <f t="shared" si="22"/>
        <v>1.6893355263158001</v>
      </c>
      <c r="S272" s="268">
        <f>'Dry_Litterbag Placem_Collection'!E53</f>
        <v>42938</v>
      </c>
      <c r="T272" s="268">
        <f>IF('Dry_Litterbag Placem_Collection'!G53="","",'Dry_Litterbag Placem_Collection'!G53)</f>
        <v>43005</v>
      </c>
      <c r="U272" s="269">
        <f t="shared" si="20"/>
        <v>67</v>
      </c>
      <c r="V272" s="267">
        <f t="shared" si="23"/>
        <v>0.19010000000000016</v>
      </c>
      <c r="W272" s="267">
        <f t="shared" si="24"/>
        <v>0.20170969788480519</v>
      </c>
      <c r="X272" s="271">
        <f>IFERROR(INDEX(Rainfall_Dry!$O$2:$O$217,MATCH(B272, Rainfall_Dry!$A$2:$A$217,0)),"")</f>
        <v>6.5250000359999998</v>
      </c>
      <c r="Y272" s="260">
        <v>21.96</v>
      </c>
      <c r="Z272" s="260">
        <v>8.9199999999999982</v>
      </c>
      <c r="AA272" s="260">
        <v>69.12</v>
      </c>
      <c r="AB272" s="261" t="s">
        <v>2670</v>
      </c>
      <c r="AC272" s="260">
        <v>1.7491375061606702</v>
      </c>
      <c r="AD272">
        <f>IF('WetLitterbags placem_collection'!AB53="","",'WetLitterbags placem_collection'!AB53)</f>
        <v>3</v>
      </c>
      <c r="AE272">
        <f>IF('WetLitterbags placem_collection'!Z53="","",'WetLitterbags placem_collection'!Z53)</f>
        <v>18</v>
      </c>
      <c r="AF272" s="24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71">
        <f>IFERROR(AVERAGE('Dry_Litterbag Placem_Collection'!N53,'Dry_Litterbag Placem_Collection'!Q53),"")</f>
        <v>34.450000000000003</v>
      </c>
      <c r="AJ272" s="270">
        <f>INDEX(Coordinates!$B$2:$B$197,MATCH(G272,Coordinates!$J$2:$J$197,0))</f>
        <v>-3.4063920379999999</v>
      </c>
      <c r="AK272" s="270">
        <f>INDEX(Coordinates!$C$2:$C$197,MATCH(G272,Coordinates!$J$2:$J$197,0))</f>
        <v>34.850696020000001</v>
      </c>
      <c r="AL272" s="270" t="str">
        <f>IF(ISNUMBER(SEARCH("C", 'Dry_Litterbag Placem_Collection'!T53)),"YES","NO")</f>
        <v>NO</v>
      </c>
      <c r="AM272" s="270" t="str">
        <f>IF(ISNUMBER(SEARCH("H", 'Dry_Litterbag Placem_Collection'!T53)),"YES","NO")</f>
        <v>NO</v>
      </c>
      <c r="AN272" s="270" t="str">
        <f>IF(ISNUMBER(SEARCH("R", 'Dry_Litterbag Placem_Collection'!T53)),"YES","NO")</f>
        <v>NO</v>
      </c>
    </row>
    <row r="273" spans="1:40" ht="15" customHeight="1">
      <c r="A273" s="262" t="s">
        <v>2659</v>
      </c>
      <c r="B273" s="263">
        <f>'Dry_Litterbag Placem_Collection'!A54</f>
        <v>52</v>
      </c>
      <c r="C273" s="263" t="str">
        <f>'Dry_Litterbag Placem_Collection'!B54</f>
        <v>Makao</v>
      </c>
      <c r="D273" s="263" t="s">
        <v>2659</v>
      </c>
      <c r="E273" s="263" t="s">
        <v>20</v>
      </c>
      <c r="F273" s="263">
        <v>3</v>
      </c>
      <c r="G273" s="264" t="str">
        <f>'Dry_Litterbag Placem_Collection'!C54</f>
        <v>Dry_P3_T4</v>
      </c>
      <c r="H273" s="265" t="s">
        <v>2541</v>
      </c>
      <c r="I273" s="272" t="s">
        <v>298</v>
      </c>
      <c r="J273" s="263" t="str">
        <f>IF(ISBLANK('Dry_Litterbag Placem_Collection'!K54),"","R"&amp;""&amp;'Dry_Litterbag Placem_Collection'!K54)</f>
        <v>R833</v>
      </c>
      <c r="K273" s="267">
        <f>IFERROR(INDEX('Green_rooibos initial weight'!$C$5:$C$1749,MATCH(J273, 'Green_rooibos initial weight'!$A$5:$A$1749,0)),"")</f>
        <v>2.218</v>
      </c>
      <c r="L273" s="267">
        <f>IFERROR(K273-(TBIcalc!$Q$9+TBIcalc!$Q$10),"")</f>
        <v>1.9681999999999999</v>
      </c>
      <c r="M273" s="391">
        <f>AVERAGE(Ashed_controlls!$K$12:$K$14)</f>
        <v>2.2816647271287041</v>
      </c>
      <c r="N273" s="267">
        <f t="shared" si="21"/>
        <v>1.9232922748406529</v>
      </c>
      <c r="O273" s="267">
        <f>IF(IFERROR(INDEX('Both teabags AfterDry'!$D$3:$D$900,MATCH(J273,'Both teabags AfterDry'!$A$3:$A$900,0)),"")="","",(IFERROR(INDEX('Both teabags AfterDry'!$D$3:$D$900,MATCH(J273,'Both teabags AfterDry'!$A$3:$A$900,0)),"")))</f>
        <v>1.9791000000000001</v>
      </c>
      <c r="P273" s="267">
        <f>IFERROR(IF(O273&gt;0,O273-(TBIcalc!$Q$9),""),"")</f>
        <v>1.8285</v>
      </c>
      <c r="Q273" s="278">
        <f>IFERROR(INDEX('Ashed teabags dry'!$K$2:$K$825,MATCH(J273,'Ashed teabags dry'!$A$2:$A$825,0)),"")</f>
        <v>3.0042918454938667</v>
      </c>
      <c r="R273" s="278">
        <f t="shared" si="22"/>
        <v>1.7735665236051446</v>
      </c>
      <c r="S273" s="268">
        <f>'Dry_Litterbag Placem_Collection'!E54</f>
        <v>42938</v>
      </c>
      <c r="T273" s="268">
        <f>IF('Dry_Litterbag Placem_Collection'!G54="","",'Dry_Litterbag Placem_Collection'!G54)</f>
        <v>43005</v>
      </c>
      <c r="U273" s="269">
        <f t="shared" si="20"/>
        <v>67</v>
      </c>
      <c r="V273" s="267">
        <f t="shared" si="23"/>
        <v>0.13969999999999994</v>
      </c>
      <c r="W273" s="267">
        <f t="shared" si="24"/>
        <v>0.14972575123550835</v>
      </c>
      <c r="X273" s="271">
        <f>IFERROR(INDEX(Rainfall_Dry!$O$2:$O$217,MATCH(B273, Rainfall_Dry!$A$2:$A$217,0)),"")</f>
        <v>6.5250000359999998</v>
      </c>
      <c r="Y273" s="260">
        <v>21.96</v>
      </c>
      <c r="Z273" s="260">
        <v>8.9199999999999982</v>
      </c>
      <c r="AA273" s="260">
        <v>69.12</v>
      </c>
      <c r="AB273" s="261" t="s">
        <v>2670</v>
      </c>
      <c r="AC273" s="260">
        <v>1.7491375061606702</v>
      </c>
      <c r="AD273">
        <f>IF('WetLitterbags placem_collection'!AB54="","",'WetLitterbags placem_collection'!AB54)</f>
        <v>13.4</v>
      </c>
      <c r="AE273">
        <f>IF('WetLitterbags placem_collection'!Z54="","",'WetLitterbags placem_collection'!Z54)</f>
        <v>67</v>
      </c>
      <c r="AF273" s="24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71">
        <f>IFERROR(AVERAGE('Dry_Litterbag Placem_Collection'!N54,'Dry_Litterbag Placem_Collection'!Q54),"")</f>
        <v>30.75</v>
      </c>
      <c r="AJ273" s="270">
        <f>INDEX(Coordinates!$B$2:$B$197,MATCH(G273,Coordinates!$J$2:$J$197,0))</f>
        <v>-3.4061569999999999</v>
      </c>
      <c r="AK273" s="270">
        <f>INDEX(Coordinates!$C$2:$C$197,MATCH(G273,Coordinates!$J$2:$J$197,0))</f>
        <v>34.850738999999997</v>
      </c>
      <c r="AL273" s="270" t="str">
        <f>IF(ISNUMBER(SEARCH("C", 'Dry_Litterbag Placem_Collection'!T54)),"YES","NO")</f>
        <v>NO</v>
      </c>
      <c r="AM273" s="270" t="str">
        <f>IF(ISNUMBER(SEARCH("H", 'Dry_Litterbag Placem_Collection'!T54)),"YES","NO")</f>
        <v>NO</v>
      </c>
      <c r="AN273" s="270" t="str">
        <f>IF(ISNUMBER(SEARCH("R", 'Dry_Litterbag Placem_Collection'!T54)),"YES","NO")</f>
        <v>NO</v>
      </c>
    </row>
    <row r="274" spans="1:40" ht="15" customHeight="1">
      <c r="A274" s="262" t="s">
        <v>2659</v>
      </c>
      <c r="B274" s="263">
        <f>'Dry_Litterbag Placem_Collection'!A55</f>
        <v>53</v>
      </c>
      <c r="C274" s="263" t="str">
        <f>'Dry_Litterbag Placem_Collection'!B55</f>
        <v>Makao</v>
      </c>
      <c r="D274" s="263" t="s">
        <v>2659</v>
      </c>
      <c r="E274" s="263" t="s">
        <v>20</v>
      </c>
      <c r="F274" s="263">
        <v>3</v>
      </c>
      <c r="G274" s="264" t="str">
        <f>'Dry_Litterbag Placem_Collection'!C55</f>
        <v>Dry_P3_T5</v>
      </c>
      <c r="H274" s="265" t="s">
        <v>2541</v>
      </c>
      <c r="I274" s="272" t="s">
        <v>298</v>
      </c>
      <c r="J274" s="263" t="str">
        <f>IF(ISBLANK('Dry_Litterbag Placem_Collection'!K55),"","R"&amp;""&amp;'Dry_Litterbag Placem_Collection'!K55)</f>
        <v>R734</v>
      </c>
      <c r="K274" s="267">
        <f>IFERROR(INDEX('Green_rooibos initial weight'!$C$5:$C$1749,MATCH(J274, 'Green_rooibos initial weight'!$A$5:$A$1749,0)),"")</f>
        <v>2.1589999999999998</v>
      </c>
      <c r="L274" s="267">
        <f>IFERROR(K274-(TBIcalc!$Q$9+TBIcalc!$Q$10),"")</f>
        <v>1.9091999999999998</v>
      </c>
      <c r="M274" s="391">
        <f>AVERAGE(Ashed_controlls!$K$12:$K$14)</f>
        <v>2.2816647271287041</v>
      </c>
      <c r="N274" s="267">
        <f t="shared" si="21"/>
        <v>1.8656384570296585</v>
      </c>
      <c r="O274" s="267">
        <f>IF(IFERROR(INDEX('Both teabags AfterDry'!$D$3:$D$900,MATCH(J274,'Both teabags AfterDry'!$A$3:$A$900,0)),"")="","",(IFERROR(INDEX('Both teabags AfterDry'!$D$3:$D$900,MATCH(J274,'Both teabags AfterDry'!$A$3:$A$900,0)),"")))</f>
        <v>1.8914</v>
      </c>
      <c r="P274" s="267">
        <f>IFERROR(IF(O274&gt;0,O274-(TBIcalc!$Q$9),""),"")</f>
        <v>1.7407999999999999</v>
      </c>
      <c r="Q274" s="278">
        <f>IFERROR(INDEX('Ashed teabags dry'!$K$2:$K$825,MATCH(J274,'Ashed teabags dry'!$A$2:$A$825,0)),"")</f>
        <v>2.63419483101393</v>
      </c>
      <c r="R274" s="278">
        <f t="shared" si="22"/>
        <v>1.6949439363817094</v>
      </c>
      <c r="S274" s="268">
        <f>'Dry_Litterbag Placem_Collection'!E55</f>
        <v>42938</v>
      </c>
      <c r="T274" s="268">
        <f>IF('Dry_Litterbag Placem_Collection'!G55="","",'Dry_Litterbag Placem_Collection'!G55)</f>
        <v>43005</v>
      </c>
      <c r="U274" s="269">
        <f t="shared" si="20"/>
        <v>67</v>
      </c>
      <c r="V274" s="267">
        <f t="shared" si="23"/>
        <v>0.16839999999999988</v>
      </c>
      <c r="W274" s="267">
        <f t="shared" si="24"/>
        <v>0.1706945206479491</v>
      </c>
      <c r="X274" s="271">
        <f>IFERROR(INDEX(Rainfall_Dry!$O$2:$O$217,MATCH(B274, Rainfall_Dry!$A$2:$A$217,0)),"")</f>
        <v>6.5250000359999998</v>
      </c>
      <c r="Y274" s="260">
        <v>21.96</v>
      </c>
      <c r="Z274" s="260">
        <v>8.9199999999999982</v>
      </c>
      <c r="AA274" s="260">
        <v>69.12</v>
      </c>
      <c r="AB274" s="261" t="s">
        <v>2670</v>
      </c>
      <c r="AC274" s="260">
        <v>1.7491375061606702</v>
      </c>
      <c r="AD274" t="str">
        <f>IF('WetLitterbags placem_collection'!AB55="","",'WetLitterbags placem_collection'!AB55)</f>
        <v/>
      </c>
      <c r="AE274" t="str">
        <f>IF('WetLitterbags placem_collection'!Z55="","",'WetLitterbags placem_collection'!Z55)</f>
        <v/>
      </c>
      <c r="AF274" s="24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71">
        <f>IFERROR(AVERAGE('Dry_Litterbag Placem_Collection'!N55,'Dry_Litterbag Placem_Collection'!Q55),"")</f>
        <v>30.4</v>
      </c>
      <c r="AJ274" s="270">
        <f>INDEX(Coordinates!$B$2:$B$197,MATCH(G274,Coordinates!$J$2:$J$197,0))</f>
        <v>-3.4061140000000001</v>
      </c>
      <c r="AK274" s="270">
        <f>INDEX(Coordinates!$C$2:$C$197,MATCH(G274,Coordinates!$J$2:$J$197,0))</f>
        <v>34.850596000000003</v>
      </c>
      <c r="AL274" s="270" t="str">
        <f>IF(ISNUMBER(SEARCH("C", 'Dry_Litterbag Placem_Collection'!T55)),"YES","NO")</f>
        <v>NO</v>
      </c>
      <c r="AM274" s="270" t="str">
        <f>IF(ISNUMBER(SEARCH("H", 'Dry_Litterbag Placem_Collection'!T55)),"YES","NO")</f>
        <v>NO</v>
      </c>
      <c r="AN274" s="270" t="str">
        <f>IF(ISNUMBER(SEARCH("R", 'Dry_Litterbag Placem_Collection'!T55)),"YES","NO")</f>
        <v>NO</v>
      </c>
    </row>
    <row r="275" spans="1:40" ht="15" customHeight="1">
      <c r="A275" s="262" t="s">
        <v>2659</v>
      </c>
      <c r="B275" s="263">
        <f>'Dry_Litterbag Placem_Collection'!A56</f>
        <v>54</v>
      </c>
      <c r="C275" s="263" t="str">
        <f>'Dry_Litterbag Placem_Collection'!B56</f>
        <v>Makao</v>
      </c>
      <c r="D275" s="263" t="s">
        <v>2659</v>
      </c>
      <c r="E275" s="263" t="s">
        <v>20</v>
      </c>
      <c r="F275" s="263">
        <v>3</v>
      </c>
      <c r="G275" s="264" t="str">
        <f>'Dry_Litterbag Placem_Collection'!C56</f>
        <v>Dry_P3_T6</v>
      </c>
      <c r="H275" s="265" t="s">
        <v>2541</v>
      </c>
      <c r="I275" s="272" t="s">
        <v>298</v>
      </c>
      <c r="J275" s="263" t="str">
        <f>IF(ISBLANK('Dry_Litterbag Placem_Collection'!K56),"","R"&amp;""&amp;'Dry_Litterbag Placem_Collection'!K56)</f>
        <v/>
      </c>
      <c r="K275" s="267" t="str">
        <f>IFERROR(INDEX('Green_rooibos initial weight'!$C$5:$C$1749,MATCH(J275, 'Green_rooibos initial weight'!$A$5:$A$1749,0)),"")</f>
        <v/>
      </c>
      <c r="L275" s="267" t="str">
        <f>IFERROR(K275-(TBIcalc!$Q$9+TBIcalc!$Q$10),"")</f>
        <v/>
      </c>
      <c r="M275" s="391">
        <f>AVERAGE(Ashed_controlls!$K$12:$K$14)</f>
        <v>2.2816647271287041</v>
      </c>
      <c r="N275" s="267" t="str">
        <f t="shared" si="21"/>
        <v/>
      </c>
      <c r="O275" s="267" t="str">
        <f>IF(IFERROR(INDEX('Both teabags AfterDry'!$D$3:$D$900,MATCH(J275,'Both teabags AfterDry'!$A$3:$A$900,0)),"")="","",(IFERROR(INDEX('Both teabags AfterDry'!$D$3:$D$900,MATCH(J275,'Both teabags AfterDry'!$A$3:$A$900,0)),"")))</f>
        <v/>
      </c>
      <c r="P275" s="267" t="str">
        <f>IFERROR(IF(O275&gt;0,O275-(TBIcalc!$Q$9),""),"")</f>
        <v/>
      </c>
      <c r="Q275" s="278" t="str">
        <f>IFERROR(INDEX('Ashed teabags dry'!$K$2:$K$825,MATCH(J275,'Ashed teabags dry'!$A$2:$A$825,0)),"")</f>
        <v/>
      </c>
      <c r="R275" s="278" t="str">
        <f t="shared" si="22"/>
        <v/>
      </c>
      <c r="S275" s="268">
        <f>'Dry_Litterbag Placem_Collection'!E56</f>
        <v>0</v>
      </c>
      <c r="T275" s="268" t="str">
        <f>IF('Dry_Litterbag Placem_Collection'!G56="","",'Dry_Litterbag Placem_Collection'!G56)</f>
        <v/>
      </c>
      <c r="U275" s="269" t="str">
        <f t="shared" si="20"/>
        <v/>
      </c>
      <c r="V275" s="267" t="str">
        <f t="shared" si="23"/>
        <v/>
      </c>
      <c r="W275" s="267" t="str">
        <f t="shared" si="24"/>
        <v/>
      </c>
      <c r="X275" s="271" t="str">
        <f>IFERROR(INDEX(Rainfall_Dry!$O$2:$O$217,MATCH(B275, Rainfall_Dry!$A$2:$A$217,0)),"")</f>
        <v/>
      </c>
      <c r="Y275" s="260">
        <v>21.96</v>
      </c>
      <c r="Z275" s="260">
        <v>8.9199999999999982</v>
      </c>
      <c r="AA275" s="260">
        <v>69.12</v>
      </c>
      <c r="AB275" s="261" t="s">
        <v>2670</v>
      </c>
      <c r="AC275" s="260">
        <v>1.7491375061606702</v>
      </c>
      <c r="AD275" t="str">
        <f>IF('WetLitterbags placem_collection'!AB56="","",'WetLitterbags placem_collection'!AB56)</f>
        <v/>
      </c>
      <c r="AE275" t="str">
        <f>IF('WetLitterbags placem_collection'!Z56="","",'WetLitterbags placem_collection'!Z56)</f>
        <v/>
      </c>
      <c r="AF275" s="24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71" t="str">
        <f>IFERROR(AVERAGE('Dry_Litterbag Placem_Collection'!N56,'Dry_Litterbag Placem_Collection'!Q56),"")</f>
        <v/>
      </c>
      <c r="AJ275" s="270">
        <f>INDEX(Coordinates!$B$2:$B$197,MATCH(G275,Coordinates!$J$2:$J$197,0))</f>
        <v>-3.406058019</v>
      </c>
      <c r="AK275" s="270">
        <f>INDEX(Coordinates!$C$2:$C$197,MATCH(G275,Coordinates!$J$2:$J$197,0))</f>
        <v>34.850466019999999</v>
      </c>
      <c r="AL275" s="270" t="str">
        <f>IF(ISNUMBER(SEARCH("C", 'Dry_Litterbag Placem_Collection'!T56)),"YES","NO")</f>
        <v>NO</v>
      </c>
      <c r="AM275" s="270" t="str">
        <f>IF(ISNUMBER(SEARCH("H", 'Dry_Litterbag Placem_Collection'!T56)),"YES","NO")</f>
        <v>NO</v>
      </c>
      <c r="AN275" s="270" t="str">
        <f>IF(ISNUMBER(SEARCH("R", 'Dry_Litterbag Placem_Collection'!T56)),"YES","NO")</f>
        <v>NO</v>
      </c>
    </row>
    <row r="276" spans="1:40" ht="15" customHeight="1">
      <c r="A276" s="262" t="s">
        <v>2659</v>
      </c>
      <c r="B276" s="263">
        <f>'Dry_Litterbag Placem_Collection'!A57</f>
        <v>55</v>
      </c>
      <c r="C276" s="263" t="str">
        <f>'Dry_Litterbag Placem_Collection'!B57</f>
        <v>Makao</v>
      </c>
      <c r="D276" s="263" t="s">
        <v>2659</v>
      </c>
      <c r="E276" s="263" t="s">
        <v>20</v>
      </c>
      <c r="F276" s="263">
        <v>3</v>
      </c>
      <c r="G276" s="264" t="str">
        <f>'Dry_Litterbag Placem_Collection'!C57</f>
        <v>Dry_P3_T7</v>
      </c>
      <c r="H276" s="265" t="s">
        <v>2541</v>
      </c>
      <c r="I276" s="272" t="s">
        <v>298</v>
      </c>
      <c r="J276" s="263" t="str">
        <f>IF(ISBLANK('Dry_Litterbag Placem_Collection'!K57),"","R"&amp;""&amp;'Dry_Litterbag Placem_Collection'!K57)</f>
        <v>R839</v>
      </c>
      <c r="K276" s="267">
        <f>IFERROR(INDEX('Green_rooibos initial weight'!$C$5:$C$1749,MATCH(J276, 'Green_rooibos initial weight'!$A$5:$A$1749,0)),"")</f>
        <v>2.2269999999999999</v>
      </c>
      <c r="L276" s="267">
        <f>IFERROR(K276-(TBIcalc!$Q$9+TBIcalc!$Q$10),"")</f>
        <v>1.9771999999999998</v>
      </c>
      <c r="M276" s="391">
        <f>AVERAGE(Ashed_controlls!$K$12:$K$14)</f>
        <v>2.2816647271287041</v>
      </c>
      <c r="N276" s="267">
        <f t="shared" si="21"/>
        <v>1.9320869250152111</v>
      </c>
      <c r="O276" s="267">
        <f>IF(IFERROR(INDEX('Both teabags AfterDry'!$D$3:$D$900,MATCH(J276,'Both teabags AfterDry'!$A$3:$A$900,0)),"")="","",(IFERROR(INDEX('Both teabags AfterDry'!$D$3:$D$900,MATCH(J276,'Both teabags AfterDry'!$A$3:$A$900,0)),"")))</f>
        <v>1.9775</v>
      </c>
      <c r="P276" s="267">
        <f>IFERROR(IF(O276&gt;0,O276-(TBIcalc!$Q$9),""),"")</f>
        <v>1.8269</v>
      </c>
      <c r="Q276" s="278">
        <f>IFERROR(INDEX('Ashed teabags dry'!$K$2:$K$825,MATCH(J276,'Ashed teabags dry'!$A$2:$A$825,0)),"")</f>
        <v>2.7226580526069402</v>
      </c>
      <c r="R276" s="278">
        <f t="shared" si="22"/>
        <v>1.7771597600369238</v>
      </c>
      <c r="S276" s="268">
        <f>'Dry_Litterbag Placem_Collection'!E57</f>
        <v>42938</v>
      </c>
      <c r="T276" s="268">
        <f>IF('Dry_Litterbag Placem_Collection'!G57="","",'Dry_Litterbag Placem_Collection'!G57)</f>
        <v>43005</v>
      </c>
      <c r="U276" s="269">
        <f t="shared" si="20"/>
        <v>67</v>
      </c>
      <c r="V276" s="267">
        <f t="shared" si="23"/>
        <v>0.15029999999999988</v>
      </c>
      <c r="W276" s="267">
        <f t="shared" si="24"/>
        <v>0.15492716497828729</v>
      </c>
      <c r="X276" s="271">
        <f>IFERROR(INDEX(Rainfall_Dry!$O$2:$O$217,MATCH(B276, Rainfall_Dry!$A$2:$A$217,0)),"")</f>
        <v>6.5250000359999998</v>
      </c>
      <c r="Y276" s="260">
        <v>21.96</v>
      </c>
      <c r="Z276" s="260">
        <v>8.9199999999999982</v>
      </c>
      <c r="AA276" s="260">
        <v>69.12</v>
      </c>
      <c r="AB276" s="261" t="s">
        <v>2670</v>
      </c>
      <c r="AC276" s="260">
        <v>1.7491375061606702</v>
      </c>
      <c r="AD276">
        <f>IF('WetLitterbags placem_collection'!AB57="","",'WetLitterbags placem_collection'!AB57)</f>
        <v>15.8</v>
      </c>
      <c r="AE276">
        <f>IF('WetLitterbags placem_collection'!Z57="","",'WetLitterbags placem_collection'!Z57)</f>
        <v>45</v>
      </c>
      <c r="AF276" s="24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71">
        <f>IFERROR(AVERAGE('Dry_Litterbag Placem_Collection'!N57,'Dry_Litterbag Placem_Collection'!Q57),"")</f>
        <v>31.9</v>
      </c>
      <c r="AJ276" s="270">
        <f>INDEX(Coordinates!$B$2:$B$197,MATCH(G276,Coordinates!$J$2:$J$197,0))</f>
        <v>-3.4061389879999999</v>
      </c>
      <c r="AK276" s="270">
        <f>INDEX(Coordinates!$C$2:$C$197,MATCH(G276,Coordinates!$J$2:$J$197,0))</f>
        <v>34.850574979999998</v>
      </c>
      <c r="AL276" s="270" t="str">
        <f>IF(ISNUMBER(SEARCH("C", 'Dry_Litterbag Placem_Collection'!T57)),"YES","NO")</f>
        <v>YES</v>
      </c>
      <c r="AM276" s="270" t="str">
        <f>IF(ISNUMBER(SEARCH("H", 'Dry_Litterbag Placem_Collection'!T57)),"YES","NO")</f>
        <v>YES</v>
      </c>
      <c r="AN276" s="270" t="str">
        <f>IF(ISNUMBER(SEARCH("R", 'Dry_Litterbag Placem_Collection'!T57)),"YES","NO")</f>
        <v>NO</v>
      </c>
    </row>
    <row r="277" spans="1:40" ht="15" customHeight="1">
      <c r="A277" s="262" t="s">
        <v>2659</v>
      </c>
      <c r="B277" s="263">
        <f>'Dry_Litterbag Placem_Collection'!A58</f>
        <v>56</v>
      </c>
      <c r="C277" s="263" t="str">
        <f>'Dry_Litterbag Placem_Collection'!B58</f>
        <v>Makao</v>
      </c>
      <c r="D277" s="263" t="s">
        <v>2659</v>
      </c>
      <c r="E277" s="263" t="s">
        <v>20</v>
      </c>
      <c r="F277" s="263">
        <v>3</v>
      </c>
      <c r="G277" s="264" t="str">
        <f>'Dry_Litterbag Placem_Collection'!C58</f>
        <v>Dry_P3_T8</v>
      </c>
      <c r="H277" s="265" t="s">
        <v>2541</v>
      </c>
      <c r="I277" s="272" t="s">
        <v>298</v>
      </c>
      <c r="J277" s="263" t="str">
        <f>IF(ISBLANK('Dry_Litterbag Placem_Collection'!K58),"","R"&amp;""&amp;'Dry_Litterbag Placem_Collection'!K58)</f>
        <v>R760</v>
      </c>
      <c r="K277" s="267">
        <f>IFERROR(INDEX('Green_rooibos initial weight'!$C$5:$C$1749,MATCH(J277, 'Green_rooibos initial weight'!$A$5:$A$1749,0)),"")</f>
        <v>2.2320000000000002</v>
      </c>
      <c r="L277" s="267">
        <f>IFERROR(K277-(TBIcalc!$Q$9+TBIcalc!$Q$10),"")</f>
        <v>1.9822000000000002</v>
      </c>
      <c r="M277" s="391">
        <f>AVERAGE(Ashed_controlls!$K$12:$K$14)</f>
        <v>2.2816647271287041</v>
      </c>
      <c r="N277" s="267">
        <f t="shared" si="21"/>
        <v>1.936972841778855</v>
      </c>
      <c r="O277" s="267">
        <f>IF(IFERROR(INDEX('Both teabags AfterDry'!$D$3:$D$900,MATCH(J277,'Both teabags AfterDry'!$A$3:$A$900,0)),"")="","",(IFERROR(INDEX('Both teabags AfterDry'!$D$3:$D$900,MATCH(J277,'Both teabags AfterDry'!$A$3:$A$900,0)),"")))</f>
        <v>1.9821</v>
      </c>
      <c r="P277" s="267">
        <f>IFERROR(IF(O277&gt;0,O277-(TBIcalc!$Q$9),""),"")</f>
        <v>1.8314999999999999</v>
      </c>
      <c r="Q277" s="278">
        <f>IFERROR(INDEX('Ashed teabags dry'!$K$2:$K$825,MATCH(J277,'Ashed teabags dry'!$A$2:$A$825,0)),"")</f>
        <v>2.8949950932292219</v>
      </c>
      <c r="R277" s="278">
        <f t="shared" si="22"/>
        <v>1.7784781648675068</v>
      </c>
      <c r="S277" s="268">
        <f>'Dry_Litterbag Placem_Collection'!E58</f>
        <v>42938</v>
      </c>
      <c r="T277" s="268">
        <f>IF('Dry_Litterbag Placem_Collection'!G58="","",'Dry_Litterbag Placem_Collection'!G58)</f>
        <v>43005</v>
      </c>
      <c r="U277" s="269">
        <f t="shared" si="20"/>
        <v>67</v>
      </c>
      <c r="V277" s="267">
        <f t="shared" si="23"/>
        <v>0.15070000000000028</v>
      </c>
      <c r="W277" s="267">
        <f t="shared" si="24"/>
        <v>0.15849467691134822</v>
      </c>
      <c r="X277" s="271">
        <f>IFERROR(INDEX(Rainfall_Dry!$O$2:$O$217,MATCH(B277, Rainfall_Dry!$A$2:$A$217,0)),"")</f>
        <v>6.5250000359999998</v>
      </c>
      <c r="Y277" s="260">
        <v>21.96</v>
      </c>
      <c r="Z277" s="260">
        <v>8.9199999999999982</v>
      </c>
      <c r="AA277" s="260">
        <v>69.12</v>
      </c>
      <c r="AB277" s="261" t="s">
        <v>2670</v>
      </c>
      <c r="AC277" s="260">
        <v>1.7491375061606702</v>
      </c>
      <c r="AD277">
        <f>IF('WetLitterbags placem_collection'!AB58="","",'WetLitterbags placem_collection'!AB58)</f>
        <v>15.4</v>
      </c>
      <c r="AE277">
        <f>IF('WetLitterbags placem_collection'!Z58="","",'WetLitterbags placem_collection'!Z58)</f>
        <v>30.8</v>
      </c>
      <c r="AF277" s="24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71">
        <f>IFERROR(AVERAGE('Dry_Litterbag Placem_Collection'!N58,'Dry_Litterbag Placem_Collection'!Q58),"")</f>
        <v>30.049999999999997</v>
      </c>
      <c r="AJ277" s="270">
        <f>INDEX(Coordinates!$B$2:$B$197,MATCH(G277,Coordinates!$J$2:$J$197,0))</f>
        <v>-3.4062900300000001</v>
      </c>
      <c r="AK277" s="270">
        <f>INDEX(Coordinates!$C$2:$C$197,MATCH(G277,Coordinates!$J$2:$J$197,0))</f>
        <v>34.850441959999998</v>
      </c>
      <c r="AL277" s="270" t="str">
        <f>IF(ISNUMBER(SEARCH("C", 'Dry_Litterbag Placem_Collection'!T58)),"YES","NO")</f>
        <v>NO</v>
      </c>
      <c r="AM277" s="270" t="str">
        <f>IF(ISNUMBER(SEARCH("H", 'Dry_Litterbag Placem_Collection'!T58)),"YES","NO")</f>
        <v>NO</v>
      </c>
      <c r="AN277" s="270" t="str">
        <f>IF(ISNUMBER(SEARCH("R", 'Dry_Litterbag Placem_Collection'!T58)),"YES","NO")</f>
        <v>NO</v>
      </c>
    </row>
    <row r="278" spans="1:40" ht="15" customHeight="1">
      <c r="A278" s="262" t="s">
        <v>2659</v>
      </c>
      <c r="B278" s="263">
        <f>'Dry_Litterbag Placem_Collection'!A59</f>
        <v>57</v>
      </c>
      <c r="C278" s="263" t="str">
        <f>'Dry_Litterbag Placem_Collection'!B59</f>
        <v>Makao</v>
      </c>
      <c r="D278" s="263" t="s">
        <v>2659</v>
      </c>
      <c r="E278" s="263" t="s">
        <v>20</v>
      </c>
      <c r="F278" s="263">
        <v>4</v>
      </c>
      <c r="G278" s="264" t="str">
        <f>'Dry_Litterbag Placem_Collection'!C59</f>
        <v>Dry_P4_T1</v>
      </c>
      <c r="H278" s="265" t="s">
        <v>2541</v>
      </c>
      <c r="I278" s="272" t="s">
        <v>298</v>
      </c>
      <c r="J278" s="263" t="str">
        <f>IF(ISBLANK('Dry_Litterbag Placem_Collection'!K59),"","R"&amp;""&amp;'Dry_Litterbag Placem_Collection'!K59)</f>
        <v>R830</v>
      </c>
      <c r="K278" s="267">
        <f>IFERROR(INDEX('Green_rooibos initial weight'!$C$5:$C$1749,MATCH(J278, 'Green_rooibos initial weight'!$A$5:$A$1749,0)),"")</f>
        <v>2.2160000000000002</v>
      </c>
      <c r="L278" s="267">
        <f>IFERROR(K278-(TBIcalc!$Q$9+TBIcalc!$Q$10),"")</f>
        <v>1.9662000000000002</v>
      </c>
      <c r="M278" s="391">
        <f>AVERAGE(Ashed_controlls!$K$12:$K$14)</f>
        <v>2.2816647271287041</v>
      </c>
      <c r="N278" s="267">
        <f t="shared" si="21"/>
        <v>1.9213379081351956</v>
      </c>
      <c r="O278" s="267">
        <f>IF(IFERROR(INDEX('Both teabags AfterDry'!$D$3:$D$900,MATCH(J278,'Both teabags AfterDry'!$A$3:$A$900,0)),"")="","",(IFERROR(INDEX('Both teabags AfterDry'!$D$3:$D$900,MATCH(J278,'Both teabags AfterDry'!$A$3:$A$900,0)),"")))</f>
        <v>1.9719</v>
      </c>
      <c r="P278" s="267">
        <f>IFERROR(IF(O278&gt;0,O278-(TBIcalc!$Q$9),""),"")</f>
        <v>1.8212999999999999</v>
      </c>
      <c r="Q278" s="278">
        <f>IFERROR(INDEX('Ashed teabags dry'!$K$2:$K$825,MATCH(J278,'Ashed teabags dry'!$A$2:$A$825,0)),"")</f>
        <v>2.183219178082795</v>
      </c>
      <c r="R278" s="278">
        <f t="shared" si="22"/>
        <v>1.781537029109578</v>
      </c>
      <c r="S278" s="268">
        <f>'Dry_Litterbag Placem_Collection'!E59</f>
        <v>42938</v>
      </c>
      <c r="T278" s="268">
        <f>IF('Dry_Litterbag Placem_Collection'!G59="","",'Dry_Litterbag Placem_Collection'!G59)</f>
        <v>43005</v>
      </c>
      <c r="U278" s="269">
        <f t="shared" si="20"/>
        <v>67</v>
      </c>
      <c r="V278" s="267">
        <f t="shared" si="23"/>
        <v>0.14490000000000025</v>
      </c>
      <c r="W278" s="267">
        <f t="shared" si="24"/>
        <v>0.13980087902561755</v>
      </c>
      <c r="X278" s="271">
        <f>IFERROR(INDEX(Rainfall_Dry!$O$2:$O$217,MATCH(B278, Rainfall_Dry!$A$2:$A$217,0)),"")</f>
        <v>6.5250000359999998</v>
      </c>
      <c r="Y278" s="260">
        <v>25.96</v>
      </c>
      <c r="Z278" s="260">
        <v>6.9200000000000008</v>
      </c>
      <c r="AA278" s="260">
        <v>67.12</v>
      </c>
      <c r="AB278" s="261" t="s">
        <v>2670</v>
      </c>
      <c r="AC278" s="260">
        <v>1.7568260226712666</v>
      </c>
      <c r="AD278">
        <f>IF('WetLitterbags placem_collection'!AB59="","",'WetLitterbags placem_collection'!AB59)</f>
        <v>3.3</v>
      </c>
      <c r="AE278">
        <f>IF('WetLitterbags placem_collection'!Z59="","",'WetLitterbags placem_collection'!Z59)</f>
        <v>28.4</v>
      </c>
      <c r="AF278" s="24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71">
        <f>IFERROR(AVERAGE('Dry_Litterbag Placem_Collection'!N59,'Dry_Litterbag Placem_Collection'!Q59),"")</f>
        <v>33.25</v>
      </c>
      <c r="AJ278" s="270">
        <f>INDEX(Coordinates!$B$2:$B$197,MATCH(G278,Coordinates!$J$2:$J$197,0))</f>
        <v>-3.4064239729999999</v>
      </c>
      <c r="AK278" s="270">
        <f>INDEX(Coordinates!$C$2:$C$197,MATCH(G278,Coordinates!$J$2:$J$197,0))</f>
        <v>34.851213010000002</v>
      </c>
      <c r="AL278" s="270" t="str">
        <f>IF(ISNUMBER(SEARCH("C", 'Dry_Litterbag Placem_Collection'!T59)),"YES","NO")</f>
        <v>NO</v>
      </c>
      <c r="AM278" s="270" t="str">
        <f>IF(ISNUMBER(SEARCH("H", 'Dry_Litterbag Placem_Collection'!T59)),"YES","NO")</f>
        <v>NO</v>
      </c>
      <c r="AN278" s="270" t="str">
        <f>IF(ISNUMBER(SEARCH("R", 'Dry_Litterbag Placem_Collection'!T59)),"YES","NO")</f>
        <v>NO</v>
      </c>
    </row>
    <row r="279" spans="1:40" ht="15" customHeight="1">
      <c r="A279" s="262" t="s">
        <v>2659</v>
      </c>
      <c r="B279" s="263">
        <f>'Dry_Litterbag Placem_Collection'!A60</f>
        <v>58</v>
      </c>
      <c r="C279" s="263" t="str">
        <f>'Dry_Litterbag Placem_Collection'!B60</f>
        <v>Makao</v>
      </c>
      <c r="D279" s="263" t="s">
        <v>2659</v>
      </c>
      <c r="E279" s="263" t="s">
        <v>20</v>
      </c>
      <c r="F279" s="263">
        <v>4</v>
      </c>
      <c r="G279" s="264" t="str">
        <f>'Dry_Litterbag Placem_Collection'!C60</f>
        <v>Dry_P4_T2</v>
      </c>
      <c r="H279" s="265" t="s">
        <v>2541</v>
      </c>
      <c r="I279" s="272" t="s">
        <v>298</v>
      </c>
      <c r="J279" s="263" t="str">
        <f>IF(ISBLANK('Dry_Litterbag Placem_Collection'!K60),"","R"&amp;""&amp;'Dry_Litterbag Placem_Collection'!K60)</f>
        <v>R725</v>
      </c>
      <c r="K279" s="267">
        <f>IFERROR(INDEX('Green_rooibos initial weight'!$C$5:$C$1749,MATCH(J279, 'Green_rooibos initial weight'!$A$5:$A$1749,0)),"")</f>
        <v>2.1930000000000001</v>
      </c>
      <c r="L279" s="267">
        <f>IFERROR(K279-(TBIcalc!$Q$9+TBIcalc!$Q$10),"")</f>
        <v>1.9432</v>
      </c>
      <c r="M279" s="391">
        <f>AVERAGE(Ashed_controlls!$K$12:$K$14)</f>
        <v>2.2816647271287041</v>
      </c>
      <c r="N279" s="267">
        <f t="shared" si="21"/>
        <v>1.8988626910224351</v>
      </c>
      <c r="O279" s="267">
        <f>IF(IFERROR(INDEX('Both teabags AfterDry'!$D$3:$D$900,MATCH(J279,'Both teabags AfterDry'!$A$3:$A$900,0)),"")="","",(IFERROR(INDEX('Both teabags AfterDry'!$D$3:$D$900,MATCH(J279,'Both teabags AfterDry'!$A$3:$A$900,0)),"")))</f>
        <v>0.71450000000000002</v>
      </c>
      <c r="P279" s="267">
        <f>IFERROR(IF(O279&gt;0,O279-(TBIcalc!$Q$9),""),"")</f>
        <v>0.56390000000000007</v>
      </c>
      <c r="Q279" s="278">
        <f>IFERROR(INDEX('Ashed teabags dry'!$K$2:$K$825,MATCH(J279,'Ashed teabags dry'!$A$2:$A$825,0)),"")</f>
        <v>3.528360875390312</v>
      </c>
      <c r="R279" s="278">
        <f t="shared" si="22"/>
        <v>0.54400357302367408</v>
      </c>
      <c r="S279" s="268">
        <f>'Dry_Litterbag Placem_Collection'!E60</f>
        <v>42938</v>
      </c>
      <c r="T279" s="268">
        <f>IF('Dry_Litterbag Placem_Collection'!G60="","",'Dry_Litterbag Placem_Collection'!G60)</f>
        <v>43005</v>
      </c>
      <c r="U279" s="269">
        <f t="shared" si="20"/>
        <v>67</v>
      </c>
      <c r="V279" s="267">
        <f t="shared" si="23"/>
        <v>1.3793</v>
      </c>
      <c r="W279" s="267">
        <f t="shared" si="24"/>
        <v>1.354859117998761</v>
      </c>
      <c r="X279" s="271">
        <f>IFERROR(INDEX(Rainfall_Dry!$O$2:$O$217,MATCH(B279, Rainfall_Dry!$A$2:$A$217,0)),"")</f>
        <v>6.5250000359999998</v>
      </c>
      <c r="Y279" s="260">
        <v>25.96</v>
      </c>
      <c r="Z279" s="260">
        <v>6.9200000000000008</v>
      </c>
      <c r="AA279" s="260">
        <v>67.12</v>
      </c>
      <c r="AB279" s="261" t="s">
        <v>2670</v>
      </c>
      <c r="AC279" s="260">
        <v>1.7568260226712666</v>
      </c>
      <c r="AD279">
        <f>IF('WetLitterbags placem_collection'!AB60="","",'WetLitterbags placem_collection'!AB60)</f>
        <v>1.4</v>
      </c>
      <c r="AE279">
        <f>IF('WetLitterbags placem_collection'!Z60="","",'WetLitterbags placem_collection'!Z60)</f>
        <v>54.4</v>
      </c>
      <c r="AF279" s="24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71">
        <f>IFERROR(AVERAGE('Dry_Litterbag Placem_Collection'!N60,'Dry_Litterbag Placem_Collection'!Q60),"")</f>
        <v>32.35</v>
      </c>
      <c r="AJ279" s="270">
        <f>INDEX(Coordinates!$B$2:$B$197,MATCH(G279,Coordinates!$J$2:$J$197,0))</f>
        <v>-3.4065020079999999</v>
      </c>
      <c r="AK279" s="270">
        <f>INDEX(Coordinates!$C$2:$C$197,MATCH(G279,Coordinates!$J$2:$J$197,0))</f>
        <v>34.851056020000001</v>
      </c>
      <c r="AL279" s="270" t="str">
        <f>IF(ISNUMBER(SEARCH("C", 'Dry_Litterbag Placem_Collection'!T60)),"YES","NO")</f>
        <v>NO</v>
      </c>
      <c r="AM279" s="270" t="str">
        <f>IF(ISNUMBER(SEARCH("H", 'Dry_Litterbag Placem_Collection'!T60)),"YES","NO")</f>
        <v>YES</v>
      </c>
      <c r="AN279" s="270" t="str">
        <f>IF(ISNUMBER(SEARCH("R", 'Dry_Litterbag Placem_Collection'!T60)),"YES","NO")</f>
        <v>NO</v>
      </c>
    </row>
    <row r="280" spans="1:40" ht="15" customHeight="1">
      <c r="A280" s="262" t="s">
        <v>2659</v>
      </c>
      <c r="B280" s="263">
        <f>'Dry_Litterbag Placem_Collection'!A61</f>
        <v>59</v>
      </c>
      <c r="C280" s="263" t="str">
        <f>'Dry_Litterbag Placem_Collection'!B61</f>
        <v>Makao</v>
      </c>
      <c r="D280" s="263" t="s">
        <v>2659</v>
      </c>
      <c r="E280" s="263" t="s">
        <v>20</v>
      </c>
      <c r="F280" s="263">
        <v>4</v>
      </c>
      <c r="G280" s="264" t="str">
        <f>'Dry_Litterbag Placem_Collection'!C61</f>
        <v>Dry_P4_T3</v>
      </c>
      <c r="H280" s="265" t="s">
        <v>2541</v>
      </c>
      <c r="I280" s="272" t="s">
        <v>298</v>
      </c>
      <c r="J280" s="263" t="str">
        <f>IF(ISBLANK('Dry_Litterbag Placem_Collection'!K61),"","R"&amp;""&amp;'Dry_Litterbag Placem_Collection'!K61)</f>
        <v>R721</v>
      </c>
      <c r="K280" s="267">
        <f>IFERROR(INDEX('Green_rooibos initial weight'!$C$5:$C$1749,MATCH(J280, 'Green_rooibos initial weight'!$A$5:$A$1749,0)),"")</f>
        <v>2.2229999999999999</v>
      </c>
      <c r="L280" s="267">
        <f>IFERROR(K280-(TBIcalc!$Q$9+TBIcalc!$Q$10),"")</f>
        <v>1.9731999999999998</v>
      </c>
      <c r="M280" s="391">
        <f>AVERAGE(Ashed_controlls!$K$12:$K$14)</f>
        <v>2.2816647271287041</v>
      </c>
      <c r="N280" s="267">
        <f t="shared" si="21"/>
        <v>1.9281781916042962</v>
      </c>
      <c r="O280" s="267">
        <f>IF(IFERROR(INDEX('Both teabags AfterDry'!$D$3:$D$900,MATCH(J280,'Both teabags AfterDry'!$A$3:$A$900,0)),"")="","",(IFERROR(INDEX('Both teabags AfterDry'!$D$3:$D$900,MATCH(J280,'Both teabags AfterDry'!$A$3:$A$900,0)),"")))</f>
        <v>1.9549000000000001</v>
      </c>
      <c r="P280" s="267">
        <f>IFERROR(IF(O280&gt;0,O280-(TBIcalc!$Q$9),""),"")</f>
        <v>1.8043</v>
      </c>
      <c r="Q280" s="278">
        <f>IFERROR(INDEX('Ashed teabags dry'!$K$2:$K$825,MATCH(J280,'Ashed teabags dry'!$A$2:$A$825,0)),"")</f>
        <v>2.6871401151632113</v>
      </c>
      <c r="R280" s="278">
        <f t="shared" si="22"/>
        <v>1.7558159309021102</v>
      </c>
      <c r="S280" s="268">
        <f>'Dry_Litterbag Placem_Collection'!E61</f>
        <v>42938</v>
      </c>
      <c r="T280" s="268">
        <f>IF('Dry_Litterbag Placem_Collection'!G61="","",'Dry_Litterbag Placem_Collection'!G61)</f>
        <v>43005</v>
      </c>
      <c r="U280" s="269">
        <f t="shared" si="20"/>
        <v>67</v>
      </c>
      <c r="V280" s="267">
        <f t="shared" si="23"/>
        <v>0.16889999999999983</v>
      </c>
      <c r="W280" s="267">
        <f t="shared" si="24"/>
        <v>0.17236226070218597</v>
      </c>
      <c r="X280" s="271">
        <f>IFERROR(INDEX(Rainfall_Dry!$O$2:$O$217,MATCH(B280, Rainfall_Dry!$A$2:$A$217,0)),"")</f>
        <v>6.5250000359999998</v>
      </c>
      <c r="Y280" s="260">
        <v>25.96</v>
      </c>
      <c r="Z280" s="260">
        <v>6.9200000000000008</v>
      </c>
      <c r="AA280" s="260">
        <v>67.12</v>
      </c>
      <c r="AB280" s="261" t="s">
        <v>2670</v>
      </c>
      <c r="AC280" s="260">
        <v>1.7568260226712666</v>
      </c>
      <c r="AD280">
        <f>IF('WetLitterbags placem_collection'!AB61="","",'WetLitterbags placem_collection'!AB61)</f>
        <v>3.3</v>
      </c>
      <c r="AE280">
        <f>IF('WetLitterbags placem_collection'!Z61="","",'WetLitterbags placem_collection'!Z61)</f>
        <v>46</v>
      </c>
      <c r="AF280" s="24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71">
        <f>IFERROR(AVERAGE('Dry_Litterbag Placem_Collection'!N61,'Dry_Litterbag Placem_Collection'!Q61),"")</f>
        <v>31.8</v>
      </c>
      <c r="AJ280" s="270">
        <f>INDEX(Coordinates!$B$2:$B$197,MATCH(G280,Coordinates!$J$2:$J$197,0))</f>
        <v>-3.4062359670000002</v>
      </c>
      <c r="AK280" s="270">
        <f>INDEX(Coordinates!$C$2:$C$197,MATCH(G280,Coordinates!$J$2:$J$197,0))</f>
        <v>34.851107990000003</v>
      </c>
      <c r="AL280" s="270" t="str">
        <f>IF(ISNUMBER(SEARCH("C", 'Dry_Litterbag Placem_Collection'!T61)),"YES","NO")</f>
        <v>NO</v>
      </c>
      <c r="AM280" s="270" t="str">
        <f>IF(ISNUMBER(SEARCH("H", 'Dry_Litterbag Placem_Collection'!T61)),"YES","NO")</f>
        <v>NO</v>
      </c>
      <c r="AN280" s="270" t="str">
        <f>IF(ISNUMBER(SEARCH("R", 'Dry_Litterbag Placem_Collection'!T61)),"YES","NO")</f>
        <v>NO</v>
      </c>
    </row>
    <row r="281" spans="1:40" ht="15" customHeight="1">
      <c r="A281" s="262" t="s">
        <v>2659</v>
      </c>
      <c r="B281" s="263">
        <f>'Dry_Litterbag Placem_Collection'!A62</f>
        <v>60</v>
      </c>
      <c r="C281" s="263" t="str">
        <f>'Dry_Litterbag Placem_Collection'!B62</f>
        <v>Makao</v>
      </c>
      <c r="D281" s="263" t="s">
        <v>2659</v>
      </c>
      <c r="E281" s="263" t="s">
        <v>20</v>
      </c>
      <c r="F281" s="263">
        <v>4</v>
      </c>
      <c r="G281" s="264" t="str">
        <f>'Dry_Litterbag Placem_Collection'!C62</f>
        <v>Dry_P4_T4</v>
      </c>
      <c r="H281" s="265" t="s">
        <v>2541</v>
      </c>
      <c r="I281" s="272" t="s">
        <v>298</v>
      </c>
      <c r="J281" s="263" t="str">
        <f>IF(ISBLANK('Dry_Litterbag Placem_Collection'!K62),"","R"&amp;""&amp;'Dry_Litterbag Placem_Collection'!K62)</f>
        <v>R763</v>
      </c>
      <c r="K281" s="267">
        <f>IFERROR(INDEX('Green_rooibos initial weight'!$C$5:$C$1749,MATCH(J281, 'Green_rooibos initial weight'!$A$5:$A$1749,0)),"")</f>
        <v>2.2589999999999999</v>
      </c>
      <c r="L281" s="267">
        <f>IFERROR(K281-(TBIcalc!$Q$9+TBIcalc!$Q$10),"")</f>
        <v>2.0091999999999999</v>
      </c>
      <c r="M281" s="391">
        <f>AVERAGE(Ashed_controlls!$K$12:$K$14)</f>
        <v>2.2816647271287041</v>
      </c>
      <c r="N281" s="267">
        <f t="shared" si="21"/>
        <v>1.9633567923025299</v>
      </c>
      <c r="O281" s="267">
        <f>IF(IFERROR(INDEX('Both teabags AfterDry'!$D$3:$D$900,MATCH(J281,'Both teabags AfterDry'!$A$3:$A$900,0)),"")="","",(IFERROR(INDEX('Both teabags AfterDry'!$D$3:$D$900,MATCH(J281,'Both teabags AfterDry'!$A$3:$A$900,0)),"")))</f>
        <v>1.9797</v>
      </c>
      <c r="P281" s="267">
        <f>IFERROR(IF(O281&gt;0,O281-(TBIcalc!$Q$9),""),"")</f>
        <v>1.8290999999999999</v>
      </c>
      <c r="Q281" s="278">
        <f>IFERROR(INDEX('Ashed teabags dry'!$K$2:$K$825,MATCH(J281,'Ashed teabags dry'!$A$2:$A$825,0)),"")</f>
        <v>2.8315946348738801</v>
      </c>
      <c r="R281" s="278">
        <f t="shared" si="22"/>
        <v>1.7773073025335218</v>
      </c>
      <c r="S281" s="268">
        <f>'Dry_Litterbag Placem_Collection'!E62</f>
        <v>42938</v>
      </c>
      <c r="T281" s="268">
        <f>IF('Dry_Litterbag Placem_Collection'!G62="","",'Dry_Litterbag Placem_Collection'!G62)</f>
        <v>43005</v>
      </c>
      <c r="U281" s="269">
        <f t="shared" si="20"/>
        <v>67</v>
      </c>
      <c r="V281" s="267">
        <f t="shared" si="23"/>
        <v>0.18009999999999993</v>
      </c>
      <c r="W281" s="267">
        <f t="shared" si="24"/>
        <v>0.18604948976900815</v>
      </c>
      <c r="X281" s="271">
        <f>IFERROR(INDEX(Rainfall_Dry!$O$2:$O$217,MATCH(B281, Rainfall_Dry!$A$2:$A$217,0)),"")</f>
        <v>6.5250000359999998</v>
      </c>
      <c r="Y281" s="260">
        <v>25.96</v>
      </c>
      <c r="Z281" s="260">
        <v>6.9200000000000008</v>
      </c>
      <c r="AA281" s="260">
        <v>67.12</v>
      </c>
      <c r="AB281" s="261" t="s">
        <v>2670</v>
      </c>
      <c r="AC281" s="260">
        <v>1.7568260226712666</v>
      </c>
      <c r="AD281">
        <f>IF('WetLitterbags placem_collection'!AB62="","",'WetLitterbags placem_collection'!AB62)</f>
        <v>2.4</v>
      </c>
      <c r="AE281">
        <f>IF('WetLitterbags placem_collection'!Z62="","",'WetLitterbags placem_collection'!Z62)</f>
        <v>10.199999999999999</v>
      </c>
      <c r="AF281" s="24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71">
        <f>IFERROR(AVERAGE('Dry_Litterbag Placem_Collection'!N62,'Dry_Litterbag Placem_Collection'!Q62),"")</f>
        <v>32.650000000000006</v>
      </c>
      <c r="AJ281" s="270">
        <f>INDEX(Coordinates!$B$2:$B$197,MATCH(G281,Coordinates!$J$2:$J$197,0))</f>
        <v>-3.406281983</v>
      </c>
      <c r="AK281" s="270">
        <f>INDEX(Coordinates!$C$2:$C$197,MATCH(G281,Coordinates!$J$2:$J$197,0))</f>
        <v>34.85137898</v>
      </c>
      <c r="AL281" s="270" t="str">
        <f>IF(ISNUMBER(SEARCH("C", 'Dry_Litterbag Placem_Collection'!T62)),"YES","NO")</f>
        <v>NO</v>
      </c>
      <c r="AM281" s="270" t="str">
        <f>IF(ISNUMBER(SEARCH("H", 'Dry_Litterbag Placem_Collection'!T62)),"YES","NO")</f>
        <v>NO</v>
      </c>
      <c r="AN281" s="270" t="str">
        <f>IF(ISNUMBER(SEARCH("R", 'Dry_Litterbag Placem_Collection'!T62)),"YES","NO")</f>
        <v>NO</v>
      </c>
    </row>
    <row r="282" spans="1:40" ht="15" customHeight="1">
      <c r="A282" s="262" t="s">
        <v>2659</v>
      </c>
      <c r="B282" s="263">
        <f>'Dry_Litterbag Placem_Collection'!A63</f>
        <v>61</v>
      </c>
      <c r="C282" s="263" t="str">
        <f>'Dry_Litterbag Placem_Collection'!B63</f>
        <v>Makao</v>
      </c>
      <c r="D282" s="263" t="s">
        <v>2659</v>
      </c>
      <c r="E282" s="263" t="s">
        <v>20</v>
      </c>
      <c r="F282" s="263">
        <v>4</v>
      </c>
      <c r="G282" s="264" t="str">
        <f>'Dry_Litterbag Placem_Collection'!C63</f>
        <v>Dry_P4_T5</v>
      </c>
      <c r="H282" s="265" t="s">
        <v>2541</v>
      </c>
      <c r="I282" s="272" t="s">
        <v>298</v>
      </c>
      <c r="J282" s="263" t="str">
        <f>IF(ISBLANK('Dry_Litterbag Placem_Collection'!K63),"","R"&amp;""&amp;'Dry_Litterbag Placem_Collection'!K63)</f>
        <v>R775</v>
      </c>
      <c r="K282" s="267">
        <f>IFERROR(INDEX('Green_rooibos initial weight'!$C$5:$C$1749,MATCH(J282, 'Green_rooibos initial weight'!$A$5:$A$1749,0)),"")</f>
        <v>2.2290000000000001</v>
      </c>
      <c r="L282" s="267">
        <f>IFERROR(K282-(TBIcalc!$Q$9+TBIcalc!$Q$10),"")</f>
        <v>1.9792000000000001</v>
      </c>
      <c r="M282" s="391">
        <f>AVERAGE(Ashed_controlls!$K$12:$K$14)</f>
        <v>2.2816647271287041</v>
      </c>
      <c r="N282" s="267">
        <f t="shared" si="21"/>
        <v>1.9340412917206689</v>
      </c>
      <c r="O282" s="267" t="str">
        <f>IF(IFERROR(INDEX('Both teabags AfterDry'!$D$3:$D$900,MATCH(J282,'Both teabags AfterDry'!$A$3:$A$900,0)),"")="","",(IFERROR(INDEX('Both teabags AfterDry'!$D$3:$D$900,MATCH(J282,'Both teabags AfterDry'!$A$3:$A$900,0)),"")))</f>
        <v/>
      </c>
      <c r="P282" s="267" t="str">
        <f>IFERROR(IF(O282&gt;0,O282-(TBIcalc!$Q$9),""),"")</f>
        <v/>
      </c>
      <c r="Q282" s="278" t="str">
        <f>IFERROR(INDEX('Ashed teabags dry'!$K$2:$K$825,MATCH(J282,'Ashed teabags dry'!$A$2:$A$825,0)),"")</f>
        <v/>
      </c>
      <c r="R282" s="278" t="str">
        <f t="shared" si="22"/>
        <v/>
      </c>
      <c r="S282" s="268">
        <f>'Dry_Litterbag Placem_Collection'!E63</f>
        <v>42938</v>
      </c>
      <c r="T282" s="268">
        <f>IF('Dry_Litterbag Placem_Collection'!G63="","",'Dry_Litterbag Placem_Collection'!G63)</f>
        <v>43005</v>
      </c>
      <c r="U282" s="269">
        <f t="shared" si="20"/>
        <v>67</v>
      </c>
      <c r="V282" s="267" t="str">
        <f t="shared" si="23"/>
        <v/>
      </c>
      <c r="W282" s="267" t="str">
        <f t="shared" si="24"/>
        <v/>
      </c>
      <c r="X282" s="271">
        <f>IFERROR(INDEX(Rainfall_Dry!$O$2:$O$217,MATCH(B282, Rainfall_Dry!$A$2:$A$217,0)),"")</f>
        <v>6.5250000359999998</v>
      </c>
      <c r="Y282" s="260">
        <v>25.96</v>
      </c>
      <c r="Z282" s="260">
        <v>6.9200000000000008</v>
      </c>
      <c r="AA282" s="260">
        <v>67.12</v>
      </c>
      <c r="AB282" s="261" t="s">
        <v>2670</v>
      </c>
      <c r="AC282" s="260">
        <v>1.7568260226712666</v>
      </c>
      <c r="AD282">
        <f>IF('WetLitterbags placem_collection'!AB63="","",'WetLitterbags placem_collection'!AB63)</f>
        <v>5.6</v>
      </c>
      <c r="AE282">
        <f>IF('WetLitterbags placem_collection'!Z63="","",'WetLitterbags placem_collection'!Z63)</f>
        <v>34.200000000000003</v>
      </c>
      <c r="AF282" s="24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71">
        <f>IFERROR(AVERAGE('Dry_Litterbag Placem_Collection'!N63,'Dry_Litterbag Placem_Collection'!Q63),"")</f>
        <v>34</v>
      </c>
      <c r="AJ282" s="270">
        <f>INDEX(Coordinates!$B$2:$B$197,MATCH(G282,Coordinates!$J$2:$J$197,0))</f>
        <v>-3.406569986</v>
      </c>
      <c r="AK282" s="270">
        <f>INDEX(Coordinates!$C$2:$C$197,MATCH(G282,Coordinates!$J$2:$J$197,0))</f>
        <v>34.851323989999997</v>
      </c>
      <c r="AL282" s="270" t="str">
        <f>IF(ISNUMBER(SEARCH("C", 'Dry_Litterbag Placem_Collection'!T63)),"YES","NO")</f>
        <v>NO</v>
      </c>
      <c r="AM282" s="270" t="str">
        <f>IF(ISNUMBER(SEARCH("H", 'Dry_Litterbag Placem_Collection'!T63)),"YES","NO")</f>
        <v>NO</v>
      </c>
      <c r="AN282" s="270" t="str">
        <f>IF(ISNUMBER(SEARCH("R", 'Dry_Litterbag Placem_Collection'!T63)),"YES","NO")</f>
        <v>NO</v>
      </c>
    </row>
    <row r="283" spans="1:40" ht="15" customHeight="1">
      <c r="A283" s="262" t="s">
        <v>2659</v>
      </c>
      <c r="B283" s="263">
        <f>'Dry_Litterbag Placem_Collection'!A64</f>
        <v>62</v>
      </c>
      <c r="C283" s="263" t="str">
        <f>'Dry_Litterbag Placem_Collection'!B64</f>
        <v>Makao</v>
      </c>
      <c r="D283" s="263" t="s">
        <v>2659</v>
      </c>
      <c r="E283" s="263" t="s">
        <v>20</v>
      </c>
      <c r="F283" s="263">
        <v>4</v>
      </c>
      <c r="G283" s="264" t="str">
        <f>'Dry_Litterbag Placem_Collection'!C64</f>
        <v>Dry_P4_T6</v>
      </c>
      <c r="H283" s="265" t="s">
        <v>2541</v>
      </c>
      <c r="I283" s="272" t="s">
        <v>298</v>
      </c>
      <c r="J283" s="263" t="str">
        <f>IF(ISBLANK('Dry_Litterbag Placem_Collection'!K64),"","R"&amp;""&amp;'Dry_Litterbag Placem_Collection'!K64)</f>
        <v/>
      </c>
      <c r="K283" s="267" t="str">
        <f>IFERROR(INDEX('Green_rooibos initial weight'!$C$5:$C$1749,MATCH(J283, 'Green_rooibos initial weight'!$A$5:$A$1749,0)),"")</f>
        <v/>
      </c>
      <c r="L283" s="267" t="str">
        <f>IFERROR(K283-(TBIcalc!$Q$9+TBIcalc!$Q$10),"")</f>
        <v/>
      </c>
      <c r="M283" s="391">
        <f>AVERAGE(Ashed_controlls!$K$12:$K$14)</f>
        <v>2.2816647271287041</v>
      </c>
      <c r="N283" s="267" t="str">
        <f t="shared" si="21"/>
        <v/>
      </c>
      <c r="O283" s="267" t="str">
        <f>IF(IFERROR(INDEX('Both teabags AfterDry'!$D$3:$D$900,MATCH(J283,'Both teabags AfterDry'!$A$3:$A$900,0)),"")="","",(IFERROR(INDEX('Both teabags AfterDry'!$D$3:$D$900,MATCH(J283,'Both teabags AfterDry'!$A$3:$A$900,0)),"")))</f>
        <v/>
      </c>
      <c r="P283" s="267" t="str">
        <f>IFERROR(IF(O283&gt;0,O283-(TBIcalc!$Q$9),""),"")</f>
        <v/>
      </c>
      <c r="Q283" s="278" t="str">
        <f>IFERROR(INDEX('Ashed teabags dry'!$K$2:$K$825,MATCH(J283,'Ashed teabags dry'!$A$2:$A$825,0)),"")</f>
        <v/>
      </c>
      <c r="R283" s="278" t="str">
        <f t="shared" si="22"/>
        <v/>
      </c>
      <c r="S283" s="268">
        <f>'Dry_Litterbag Placem_Collection'!E64</f>
        <v>0</v>
      </c>
      <c r="T283" s="268" t="str">
        <f>IF('Dry_Litterbag Placem_Collection'!G64="","",'Dry_Litterbag Placem_Collection'!G64)</f>
        <v/>
      </c>
      <c r="U283" s="269" t="str">
        <f t="shared" si="20"/>
        <v/>
      </c>
      <c r="V283" s="267" t="str">
        <f t="shared" si="23"/>
        <v/>
      </c>
      <c r="W283" s="267" t="str">
        <f t="shared" si="24"/>
        <v/>
      </c>
      <c r="X283" s="271" t="str">
        <f>IFERROR(INDEX(Rainfall_Dry!$O$2:$O$217,MATCH(B283, Rainfall_Dry!$A$2:$A$217,0)),"")</f>
        <v/>
      </c>
      <c r="Y283" s="260">
        <v>25.96</v>
      </c>
      <c r="Z283" s="260">
        <v>6.9200000000000008</v>
      </c>
      <c r="AA283" s="260">
        <v>67.12</v>
      </c>
      <c r="AB283" s="261" t="s">
        <v>2670</v>
      </c>
      <c r="AC283" s="260">
        <v>1.7568260226712666</v>
      </c>
      <c r="AD283">
        <f>IF('WetLitterbags placem_collection'!AB64="","",'WetLitterbags placem_collection'!AB64)</f>
        <v>4.2</v>
      </c>
      <c r="AE283">
        <f>IF('WetLitterbags placem_collection'!Z64="","",'WetLitterbags placem_collection'!Z64)</f>
        <v>40.4</v>
      </c>
      <c r="AF283" s="24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71" t="str">
        <f>IFERROR(AVERAGE('Dry_Litterbag Placem_Collection'!N64,'Dry_Litterbag Placem_Collection'!Q64),"")</f>
        <v/>
      </c>
      <c r="AJ283" s="270">
        <f>INDEX(Coordinates!$B$2:$B$197,MATCH(G283,Coordinates!$J$2:$J$197,0))</f>
        <v>-3.4065180179999999</v>
      </c>
      <c r="AK283" s="270">
        <f>INDEX(Coordinates!$C$2:$C$197,MATCH(G283,Coordinates!$J$2:$J$197,0))</f>
        <v>34.85121402</v>
      </c>
      <c r="AL283" s="270" t="str">
        <f>IF(ISNUMBER(SEARCH("C", 'Dry_Litterbag Placem_Collection'!T64)),"YES","NO")</f>
        <v>NO</v>
      </c>
      <c r="AM283" s="270" t="str">
        <f>IF(ISNUMBER(SEARCH("H", 'Dry_Litterbag Placem_Collection'!T64)),"YES","NO")</f>
        <v>NO</v>
      </c>
      <c r="AN283" s="270" t="str">
        <f>IF(ISNUMBER(SEARCH("R", 'Dry_Litterbag Placem_Collection'!T64)),"YES","NO")</f>
        <v>NO</v>
      </c>
    </row>
    <row r="284" spans="1:40" ht="15" customHeight="1">
      <c r="A284" s="262" t="s">
        <v>2659</v>
      </c>
      <c r="B284" s="263">
        <f>'Dry_Litterbag Placem_Collection'!A65</f>
        <v>63</v>
      </c>
      <c r="C284" s="263" t="str">
        <f>'Dry_Litterbag Placem_Collection'!B65</f>
        <v>Makao</v>
      </c>
      <c r="D284" s="263" t="s">
        <v>2659</v>
      </c>
      <c r="E284" s="263" t="s">
        <v>20</v>
      </c>
      <c r="F284" s="263">
        <v>4</v>
      </c>
      <c r="G284" s="264" t="str">
        <f>'Dry_Litterbag Placem_Collection'!C65</f>
        <v>Dry_P4_T7</v>
      </c>
      <c r="H284" s="265" t="s">
        <v>2541</v>
      </c>
      <c r="I284" s="272" t="s">
        <v>298</v>
      </c>
      <c r="J284" s="263" t="str">
        <f>IF(ISBLANK('Dry_Litterbag Placem_Collection'!K65),"","R"&amp;""&amp;'Dry_Litterbag Placem_Collection'!K65)</f>
        <v>R733</v>
      </c>
      <c r="K284" s="267">
        <f>IFERROR(INDEX('Green_rooibos initial weight'!$C$5:$C$1749,MATCH(J284, 'Green_rooibos initial weight'!$A$5:$A$1749,0)),"")</f>
        <v>2.181</v>
      </c>
      <c r="L284" s="267">
        <f>IFERROR(K284-(TBIcalc!$Q$9+TBIcalc!$Q$10),"")</f>
        <v>1.9312</v>
      </c>
      <c r="M284" s="391">
        <f>AVERAGE(Ashed_controlls!$K$12:$K$14)</f>
        <v>2.2816647271287041</v>
      </c>
      <c r="N284" s="267">
        <f t="shared" si="21"/>
        <v>1.8871364907896906</v>
      </c>
      <c r="O284" s="267">
        <f>IF(IFERROR(INDEX('Both teabags AfterDry'!$D$3:$D$900,MATCH(J284,'Both teabags AfterDry'!$A$3:$A$900,0)),"")="","",(IFERROR(INDEX('Both teabags AfterDry'!$D$3:$D$900,MATCH(J284,'Both teabags AfterDry'!$A$3:$A$900,0)),"")))</f>
        <v>1.9025000000000001</v>
      </c>
      <c r="P284" s="267">
        <f>IFERROR(IF(O284&gt;0,O284-(TBIcalc!$Q$9),""),"")</f>
        <v>1.7519</v>
      </c>
      <c r="Q284" s="278">
        <f>IFERROR(INDEX('Ashed teabags dry'!$K$2:$K$825,MATCH(J284,'Ashed teabags dry'!$A$2:$A$825,0)),"")</f>
        <v>2.0627417275461966</v>
      </c>
      <c r="R284" s="278">
        <f t="shared" si="22"/>
        <v>1.7157628276751182</v>
      </c>
      <c r="S284" s="268">
        <f>'Dry_Litterbag Placem_Collection'!E65</f>
        <v>42938</v>
      </c>
      <c r="T284" s="268">
        <f>IF('Dry_Litterbag Placem_Collection'!G65="","",'Dry_Litterbag Placem_Collection'!G65)</f>
        <v>43005</v>
      </c>
      <c r="U284" s="269">
        <f t="shared" si="20"/>
        <v>67</v>
      </c>
      <c r="V284" s="267">
        <f t="shared" si="23"/>
        <v>0.17930000000000001</v>
      </c>
      <c r="W284" s="267">
        <f t="shared" si="24"/>
        <v>0.17137366311457236</v>
      </c>
      <c r="X284" s="271">
        <f>IFERROR(INDEX(Rainfall_Dry!$O$2:$O$217,MATCH(B284, Rainfall_Dry!$A$2:$A$217,0)),"")</f>
        <v>6.5250000359999998</v>
      </c>
      <c r="Y284" s="260">
        <v>25.96</v>
      </c>
      <c r="Z284" s="260">
        <v>6.9200000000000008</v>
      </c>
      <c r="AA284" s="260">
        <v>67.12</v>
      </c>
      <c r="AB284" s="261" t="s">
        <v>2670</v>
      </c>
      <c r="AC284" s="260">
        <v>1.7568260226712666</v>
      </c>
      <c r="AD284">
        <f>IF('WetLitterbags placem_collection'!AB65="","",'WetLitterbags placem_collection'!AB65)</f>
        <v>4.9000000000000004</v>
      </c>
      <c r="AE284">
        <f>IF('WetLitterbags placem_collection'!Z65="","",'WetLitterbags placem_collection'!Z65)</f>
        <v>45</v>
      </c>
      <c r="AF284" s="24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71">
        <f>IFERROR(AVERAGE('Dry_Litterbag Placem_Collection'!N65,'Dry_Litterbag Placem_Collection'!Q65),"")</f>
        <v>31.3</v>
      </c>
      <c r="AJ284" s="270">
        <f>INDEX(Coordinates!$B$2:$B$197,MATCH(G284,Coordinates!$J$2:$J$197,0))</f>
        <v>-3.406334035</v>
      </c>
      <c r="AK284" s="270">
        <f>INDEX(Coordinates!$C$2:$C$197,MATCH(G284,Coordinates!$J$2:$J$197,0))</f>
        <v>34.851172030000001</v>
      </c>
      <c r="AL284" s="270" t="str">
        <f>IF(ISNUMBER(SEARCH("C", 'Dry_Litterbag Placem_Collection'!T65)),"YES","NO")</f>
        <v>NO</v>
      </c>
      <c r="AM284" s="270" t="str">
        <f>IF(ISNUMBER(SEARCH("H", 'Dry_Litterbag Placem_Collection'!T65)),"YES","NO")</f>
        <v>NO</v>
      </c>
      <c r="AN284" s="270" t="str">
        <f>IF(ISNUMBER(SEARCH("R", 'Dry_Litterbag Placem_Collection'!T65)),"YES","NO")</f>
        <v>NO</v>
      </c>
    </row>
    <row r="285" spans="1:40" ht="15" customHeight="1">
      <c r="A285" s="262" t="s">
        <v>2659</v>
      </c>
      <c r="B285" s="263">
        <f>'Dry_Litterbag Placem_Collection'!A66</f>
        <v>64</v>
      </c>
      <c r="C285" s="263" t="str">
        <f>'Dry_Litterbag Placem_Collection'!B66</f>
        <v>Makao</v>
      </c>
      <c r="D285" s="263" t="s">
        <v>2659</v>
      </c>
      <c r="E285" s="263" t="s">
        <v>20</v>
      </c>
      <c r="F285" s="263">
        <v>4</v>
      </c>
      <c r="G285" s="264" t="str">
        <f>'Dry_Litterbag Placem_Collection'!C66</f>
        <v>Dry_P4_T8</v>
      </c>
      <c r="H285" s="265" t="s">
        <v>2541</v>
      </c>
      <c r="I285" s="272" t="s">
        <v>298</v>
      </c>
      <c r="J285" s="263" t="str">
        <f>IF(ISBLANK('Dry_Litterbag Placem_Collection'!K66),"","R"&amp;""&amp;'Dry_Litterbag Placem_Collection'!K66)</f>
        <v>R765</v>
      </c>
      <c r="K285" s="267">
        <f>IFERROR(INDEX('Green_rooibos initial weight'!$C$5:$C$1749,MATCH(J285, 'Green_rooibos initial weight'!$A$5:$A$1749,0)),"")</f>
        <v>2.2400000000000002</v>
      </c>
      <c r="L285" s="267">
        <f>IFERROR(K285-(TBIcalc!$Q$9+TBIcalc!$Q$10),"")</f>
        <v>1.9902000000000002</v>
      </c>
      <c r="M285" s="391">
        <f>AVERAGE(Ashed_controlls!$K$12:$K$14)</f>
        <v>2.2816647271287041</v>
      </c>
      <c r="N285" s="267">
        <f t="shared" si="21"/>
        <v>1.9447903086006848</v>
      </c>
      <c r="O285" s="267">
        <f>IF(IFERROR(INDEX('Both teabags AfterDry'!$D$3:$D$900,MATCH(J285,'Both teabags AfterDry'!$A$3:$A$900,0)),"")="","",(IFERROR(INDEX('Both teabags AfterDry'!$D$3:$D$900,MATCH(J285,'Both teabags AfterDry'!$A$3:$A$900,0)),"")))</f>
        <v>1.9783999999999999</v>
      </c>
      <c r="P285" s="267">
        <f>IFERROR(IF(O285&gt;0,O285-(TBIcalc!$Q$9),""),"")</f>
        <v>1.8277999999999999</v>
      </c>
      <c r="Q285" s="278">
        <f>IFERROR(INDEX('Ashed teabags dry'!$K$2:$K$825,MATCH(J285,'Ashed teabags dry'!$A$2:$A$825,0)),"")</f>
        <v>2.2874191944304623</v>
      </c>
      <c r="R285" s="278">
        <f t="shared" si="22"/>
        <v>1.7859905519641999</v>
      </c>
      <c r="S285" s="268">
        <f>'Dry_Litterbag Placem_Collection'!E66</f>
        <v>42938</v>
      </c>
      <c r="T285" s="268">
        <f>IF('Dry_Litterbag Placem_Collection'!G66="","",'Dry_Litterbag Placem_Collection'!G66)</f>
        <v>43005</v>
      </c>
      <c r="U285" s="269">
        <f t="shared" si="20"/>
        <v>67</v>
      </c>
      <c r="V285" s="267">
        <f t="shared" si="23"/>
        <v>0.16240000000000032</v>
      </c>
      <c r="W285" s="267">
        <f t="shared" si="24"/>
        <v>0.15879975663648493</v>
      </c>
      <c r="X285" s="271">
        <f>IFERROR(INDEX(Rainfall_Dry!$O$2:$O$217,MATCH(B285, Rainfall_Dry!$A$2:$A$217,0)),"")</f>
        <v>6.5250000359999998</v>
      </c>
      <c r="Y285" s="260">
        <v>25.96</v>
      </c>
      <c r="Z285" s="260">
        <v>6.9200000000000008</v>
      </c>
      <c r="AA285" s="260">
        <v>67.12</v>
      </c>
      <c r="AB285" s="261" t="s">
        <v>2670</v>
      </c>
      <c r="AC285" s="260">
        <v>1.7568260226712666</v>
      </c>
      <c r="AD285">
        <f>IF('WetLitterbags placem_collection'!AB66="","",'WetLitterbags placem_collection'!AB66)</f>
        <v>3</v>
      </c>
      <c r="AE285">
        <f>IF('WetLitterbags placem_collection'!Z66="","",'WetLitterbags placem_collection'!Z66)</f>
        <v>22.8</v>
      </c>
      <c r="AF285" s="24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71">
        <f>IFERROR(AVERAGE('Dry_Litterbag Placem_Collection'!N66,'Dry_Litterbag Placem_Collection'!Q66),"")</f>
        <v>31.5</v>
      </c>
      <c r="AJ285" s="270">
        <f>INDEX(Coordinates!$B$2:$B$197,MATCH(G285,Coordinates!$J$2:$J$197,0))</f>
        <v>-3.4063409920000001</v>
      </c>
      <c r="AK285" s="270">
        <f>INDEX(Coordinates!$C$2:$C$197,MATCH(G285,Coordinates!$J$2:$J$197,0))</f>
        <v>34.85126004</v>
      </c>
      <c r="AL285" s="270" t="str">
        <f>IF(ISNUMBER(SEARCH("C", 'Dry_Litterbag Placem_Collection'!T66)),"YES","NO")</f>
        <v>NO</v>
      </c>
      <c r="AM285" s="270" t="str">
        <f>IF(ISNUMBER(SEARCH("H", 'Dry_Litterbag Placem_Collection'!T66)),"YES","NO")</f>
        <v>NO</v>
      </c>
      <c r="AN285" s="270" t="str">
        <f>IF(ISNUMBER(SEARCH("R", 'Dry_Litterbag Placem_Collection'!T66)),"YES","NO")</f>
        <v>NO</v>
      </c>
    </row>
    <row r="286" spans="1:40" ht="15" customHeight="1">
      <c r="A286" s="262" t="s">
        <v>2659</v>
      </c>
      <c r="B286" s="263">
        <f>'Dry_Litterbag Placem_Collection'!A67</f>
        <v>65</v>
      </c>
      <c r="C286" s="263" t="str">
        <f>'Dry_Litterbag Placem_Collection'!B67</f>
        <v>Maswa</v>
      </c>
      <c r="D286" s="263" t="s">
        <v>2659</v>
      </c>
      <c r="E286" s="263" t="s">
        <v>2661</v>
      </c>
      <c r="F286" s="263">
        <v>1</v>
      </c>
      <c r="G286" s="264" t="str">
        <f>'Dry_Litterbag Placem_Collection'!C67</f>
        <v>Dry_W1_T1</v>
      </c>
      <c r="H286" s="265" t="s">
        <v>2541</v>
      </c>
      <c r="I286" s="272" t="s">
        <v>298</v>
      </c>
      <c r="J286" s="263" t="str">
        <f>IF(ISBLANK('Dry_Litterbag Placem_Collection'!K67),"","R"&amp;""&amp;'Dry_Litterbag Placem_Collection'!K67)</f>
        <v>R731</v>
      </c>
      <c r="K286" s="267">
        <f>IFERROR(INDEX('Green_rooibos initial weight'!$C$5:$C$1749,MATCH(J286, 'Green_rooibos initial weight'!$A$5:$A$1749,0)),"")</f>
        <v>2.2480000000000002</v>
      </c>
      <c r="L286" s="267">
        <f>IFERROR(K286-(TBIcalc!$Q$9+TBIcalc!$Q$10),"")</f>
        <v>1.9982000000000002</v>
      </c>
      <c r="M286" s="391">
        <f>AVERAGE(Ashed_controlls!$K$12:$K$14)</f>
        <v>2.2816647271287041</v>
      </c>
      <c r="N286" s="267">
        <f t="shared" si="21"/>
        <v>1.9526077754225144</v>
      </c>
      <c r="O286" s="267" t="str">
        <f>IF(IFERROR(INDEX('Both teabags AfterDry'!$D$3:$D$900,MATCH(J286,'Both teabags AfterDry'!$A$3:$A$900,0)),"")="","",(IFERROR(INDEX('Both teabags AfterDry'!$D$3:$D$900,MATCH(J286,'Both teabags AfterDry'!$A$3:$A$900,0)),"")))</f>
        <v/>
      </c>
      <c r="P286" s="267" t="str">
        <f>IFERROR(IF(O286&gt;0,O286-(TBIcalc!$Q$9),""),"")</f>
        <v/>
      </c>
      <c r="Q286" s="278" t="str">
        <f>IFERROR(INDEX('Ashed teabags dry'!$K$2:$K$825,MATCH(J286,'Ashed teabags dry'!$A$2:$A$825,0)),"")</f>
        <v/>
      </c>
      <c r="R286" s="278" t="str">
        <f t="shared" si="22"/>
        <v/>
      </c>
      <c r="S286" s="268">
        <f>'Dry_Litterbag Placem_Collection'!E67</f>
        <v>42937</v>
      </c>
      <c r="T286" s="268">
        <f>IF('Dry_Litterbag Placem_Collection'!G67="","",'Dry_Litterbag Placem_Collection'!G67)</f>
        <v>43005</v>
      </c>
      <c r="U286" s="269">
        <f t="shared" si="20"/>
        <v>68</v>
      </c>
      <c r="V286" s="267" t="str">
        <f t="shared" si="23"/>
        <v/>
      </c>
      <c r="W286" s="267" t="str">
        <f t="shared" si="24"/>
        <v/>
      </c>
      <c r="X286" s="271">
        <f>IFERROR(INDEX(Rainfall_Dry!$O$2:$O$217,MATCH(B286, Rainfall_Dry!$A$2:$A$217,0)),"")</f>
        <v>6.900000125</v>
      </c>
      <c r="Y286" s="260">
        <v>47.96</v>
      </c>
      <c r="Z286" s="260">
        <v>22.919999999999995</v>
      </c>
      <c r="AA286" s="260">
        <v>29.120000000000012</v>
      </c>
      <c r="AB286" s="261" t="s">
        <v>2673</v>
      </c>
      <c r="AC286" s="260">
        <v>2.8831936914736325</v>
      </c>
      <c r="AD286">
        <f>IF('WetLitterbags placem_collection'!AB67="","",'WetLitterbags placem_collection'!AB67)</f>
        <v>13.8</v>
      </c>
      <c r="AE286">
        <f>IF('WetLitterbags placem_collection'!Z67="","",'WetLitterbags placem_collection'!Z67)</f>
        <v>13.8</v>
      </c>
      <c r="AF286" s="24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71">
        <f>IFERROR(AVERAGE('Dry_Litterbag Placem_Collection'!N67,'Dry_Litterbag Placem_Collection'!Q67),"")</f>
        <v>28</v>
      </c>
      <c r="AJ286" s="270">
        <f>INDEX(Coordinates!$B$2:$B$197,MATCH(G286,Coordinates!$J$2:$J$197,0))</f>
        <v>-3.2993960379999998</v>
      </c>
      <c r="AK286" s="270">
        <f>INDEX(Coordinates!$C$2:$C$197,MATCH(G286,Coordinates!$J$2:$J$197,0))</f>
        <v>34.848240959999998</v>
      </c>
      <c r="AL286" s="270" t="str">
        <f>IF(ISNUMBER(SEARCH("C", 'Dry_Litterbag Placem_Collection'!T67)),"YES","NO")</f>
        <v>NO</v>
      </c>
      <c r="AM286" s="270" t="str">
        <f>IF(ISNUMBER(SEARCH("H", 'Dry_Litterbag Placem_Collection'!T67)),"YES","NO")</f>
        <v>NO</v>
      </c>
      <c r="AN286" s="270" t="str">
        <f>IF(ISNUMBER(SEARCH("R", 'Dry_Litterbag Placem_Collection'!T67)),"YES","NO")</f>
        <v>NO</v>
      </c>
    </row>
    <row r="287" spans="1:40" ht="15" customHeight="1">
      <c r="A287" s="262" t="s">
        <v>2659</v>
      </c>
      <c r="B287" s="263">
        <f>'Dry_Litterbag Placem_Collection'!A68</f>
        <v>66</v>
      </c>
      <c r="C287" s="263" t="str">
        <f>'Dry_Litterbag Placem_Collection'!B68</f>
        <v>Maswa</v>
      </c>
      <c r="D287" s="263" t="s">
        <v>2659</v>
      </c>
      <c r="E287" s="263" t="s">
        <v>2661</v>
      </c>
      <c r="F287" s="263">
        <v>1</v>
      </c>
      <c r="G287" s="264" t="str">
        <f>'Dry_Litterbag Placem_Collection'!C68</f>
        <v>Dry_W1_T2</v>
      </c>
      <c r="H287" s="265" t="s">
        <v>2541</v>
      </c>
      <c r="I287" s="272" t="s">
        <v>298</v>
      </c>
      <c r="J287" s="263" t="str">
        <f>IF(ISBLANK('Dry_Litterbag Placem_Collection'!K68),"","R"&amp;""&amp;'Dry_Litterbag Placem_Collection'!K68)</f>
        <v>R816</v>
      </c>
      <c r="K287" s="267">
        <f>IFERROR(INDEX('Green_rooibos initial weight'!$C$5:$C$1749,MATCH(J287, 'Green_rooibos initial weight'!$A$5:$A$1749,0)),"")</f>
        <v>2.194</v>
      </c>
      <c r="L287" s="267">
        <f>IFERROR(K287-(TBIcalc!$Q$9+TBIcalc!$Q$10),"")</f>
        <v>1.9441999999999999</v>
      </c>
      <c r="M287" s="391">
        <f>AVERAGE(Ashed_controlls!$K$12:$K$14)</f>
        <v>2.2816647271287041</v>
      </c>
      <c r="N287" s="267">
        <f t="shared" si="21"/>
        <v>1.8998398743751637</v>
      </c>
      <c r="O287" s="267" t="str">
        <f>IF(IFERROR(INDEX('Both teabags AfterDry'!$D$3:$D$900,MATCH(J287,'Both teabags AfterDry'!$A$3:$A$900,0)),"")="","",(IFERROR(INDEX('Both teabags AfterDry'!$D$3:$D$900,MATCH(J287,'Both teabags AfterDry'!$A$3:$A$900,0)),"")))</f>
        <v/>
      </c>
      <c r="P287" s="267" t="str">
        <f>IFERROR(IF(O287&gt;0,O287-(TBIcalc!$Q$9),""),"")</f>
        <v/>
      </c>
      <c r="Q287" s="278">
        <f>IFERROR(INDEX('Ashed teabags dry'!$K$2:$K$825,MATCH(J287,'Ashed teabags dry'!$A$2:$A$825,0)),"")</f>
        <v>3.3524481693872197</v>
      </c>
      <c r="R287" s="278" t="str">
        <f t="shared" si="22"/>
        <v/>
      </c>
      <c r="S287" s="268">
        <f>'Dry_Litterbag Placem_Collection'!E68</f>
        <v>42937</v>
      </c>
      <c r="T287" s="268">
        <f>IF('Dry_Litterbag Placem_Collection'!G68="","",'Dry_Litterbag Placem_Collection'!G68)</f>
        <v>43005</v>
      </c>
      <c r="U287" s="269">
        <f t="shared" si="20"/>
        <v>68</v>
      </c>
      <c r="V287" s="267" t="str">
        <f t="shared" si="23"/>
        <v/>
      </c>
      <c r="W287" s="267" t="str">
        <f t="shared" si="24"/>
        <v/>
      </c>
      <c r="X287" s="271">
        <f>IFERROR(INDEX(Rainfall_Dry!$O$2:$O$217,MATCH(B287, Rainfall_Dry!$A$2:$A$217,0)),"")</f>
        <v>6.900000125</v>
      </c>
      <c r="Y287" s="260">
        <v>47.96</v>
      </c>
      <c r="Z287" s="260">
        <v>22.919999999999995</v>
      </c>
      <c r="AA287" s="260">
        <v>29.120000000000012</v>
      </c>
      <c r="AB287" s="261" t="s">
        <v>2673</v>
      </c>
      <c r="AC287" s="260">
        <v>3.8831936914736298</v>
      </c>
      <c r="AD287">
        <f>IF('WetLitterbags placem_collection'!AB68="","",'WetLitterbags placem_collection'!AB68)</f>
        <v>8</v>
      </c>
      <c r="AE287">
        <f>IF('WetLitterbags placem_collection'!Z68="","",'WetLitterbags placem_collection'!Z68)</f>
        <v>19.8</v>
      </c>
      <c r="AF287" s="24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71">
        <f>IFERROR(AVERAGE('Dry_Litterbag Placem_Collection'!N68,'Dry_Litterbag Placem_Collection'!Q68),"")</f>
        <v>23.6</v>
      </c>
      <c r="AJ287" s="270">
        <f>INDEX(Coordinates!$B$2:$B$197,MATCH(G287,Coordinates!$J$2:$J$197,0))</f>
        <v>-3.2993090340000002</v>
      </c>
      <c r="AK287" s="270">
        <f>INDEX(Coordinates!$C$2:$C$197,MATCH(G287,Coordinates!$J$2:$J$197,0))</f>
        <v>34.848404989999999</v>
      </c>
      <c r="AL287" s="270" t="str">
        <f>IF(ISNUMBER(SEARCH("C", 'Dry_Litterbag Placem_Collection'!T68)),"YES","NO")</f>
        <v>NO</v>
      </c>
      <c r="AM287" s="270" t="str">
        <f>IF(ISNUMBER(SEARCH("H", 'Dry_Litterbag Placem_Collection'!T68)),"YES","NO")</f>
        <v>NO</v>
      </c>
      <c r="AN287" s="270" t="str">
        <f>IF(ISNUMBER(SEARCH("R", 'Dry_Litterbag Placem_Collection'!T68)),"YES","NO")</f>
        <v>NO</v>
      </c>
    </row>
    <row r="288" spans="1:40" ht="15" customHeight="1">
      <c r="A288" s="262" t="s">
        <v>2659</v>
      </c>
      <c r="B288" s="263">
        <f>'Dry_Litterbag Placem_Collection'!A69</f>
        <v>67</v>
      </c>
      <c r="C288" s="263" t="str">
        <f>'Dry_Litterbag Placem_Collection'!B69</f>
        <v>Maswa</v>
      </c>
      <c r="D288" s="263" t="s">
        <v>2659</v>
      </c>
      <c r="E288" s="263" t="s">
        <v>2661</v>
      </c>
      <c r="F288" s="263">
        <v>1</v>
      </c>
      <c r="G288" s="264" t="str">
        <f>'Dry_Litterbag Placem_Collection'!C69</f>
        <v>Dry_W1_T3</v>
      </c>
      <c r="H288" s="265" t="s">
        <v>2541</v>
      </c>
      <c r="I288" s="272" t="s">
        <v>298</v>
      </c>
      <c r="J288" s="263" t="str">
        <f>IF(ISBLANK('Dry_Litterbag Placem_Collection'!K69),"","R"&amp;""&amp;'Dry_Litterbag Placem_Collection'!K69)</f>
        <v/>
      </c>
      <c r="K288" s="267" t="str">
        <f>IFERROR(INDEX('Green_rooibos initial weight'!$C$5:$C$1749,MATCH(J288, 'Green_rooibos initial weight'!$A$5:$A$1749,0)),"")</f>
        <v/>
      </c>
      <c r="L288" s="267" t="str">
        <f>IFERROR(K288-(TBIcalc!$Q$9+TBIcalc!$Q$10),"")</f>
        <v/>
      </c>
      <c r="M288" s="391">
        <f>AVERAGE(Ashed_controlls!$K$12:$K$14)</f>
        <v>2.2816647271287041</v>
      </c>
      <c r="N288" s="267" t="str">
        <f t="shared" si="21"/>
        <v/>
      </c>
      <c r="O288" s="267" t="str">
        <f>IF(IFERROR(INDEX('Both teabags AfterDry'!$D$3:$D$900,MATCH(J288,'Both teabags AfterDry'!$A$3:$A$900,0)),"")="","",(IFERROR(INDEX('Both teabags AfterDry'!$D$3:$D$900,MATCH(J288,'Both teabags AfterDry'!$A$3:$A$900,0)),"")))</f>
        <v/>
      </c>
      <c r="P288" s="267" t="str">
        <f>IFERROR(IF(O288&gt;0,O288-(TBIcalc!$Q$9),""),"")</f>
        <v/>
      </c>
      <c r="Q288" s="278" t="str">
        <f>IFERROR(INDEX('Ashed teabags dry'!$K$2:$K$825,MATCH(J288,'Ashed teabags dry'!$A$2:$A$825,0)),"")</f>
        <v/>
      </c>
      <c r="R288" s="278" t="str">
        <f t="shared" si="22"/>
        <v/>
      </c>
      <c r="S288" s="268">
        <f>'Dry_Litterbag Placem_Collection'!E69</f>
        <v>0</v>
      </c>
      <c r="T288" s="268" t="str">
        <f>IF('Dry_Litterbag Placem_Collection'!G69="","",'Dry_Litterbag Placem_Collection'!G69)</f>
        <v/>
      </c>
      <c r="U288" s="269" t="str">
        <f t="shared" si="20"/>
        <v/>
      </c>
      <c r="V288" s="267" t="str">
        <f t="shared" si="23"/>
        <v/>
      </c>
      <c r="W288" s="267" t="str">
        <f t="shared" si="24"/>
        <v/>
      </c>
      <c r="X288" s="271" t="str">
        <f>IFERROR(INDEX(Rainfall_Dry!$O$2:$O$217,MATCH(B288, Rainfall_Dry!$A$2:$A$217,0)),"")</f>
        <v/>
      </c>
      <c r="Y288" s="260">
        <v>47.96</v>
      </c>
      <c r="Z288" s="260">
        <v>22.919999999999995</v>
      </c>
      <c r="AA288" s="260">
        <v>29.120000000000012</v>
      </c>
      <c r="AB288" s="261" t="s">
        <v>2673</v>
      </c>
      <c r="AC288" s="260">
        <v>4.8831936914736298</v>
      </c>
      <c r="AD288">
        <f>IF('WetLitterbags placem_collection'!AB69="","",'WetLitterbags placem_collection'!AB69)</f>
        <v>5.5</v>
      </c>
      <c r="AE288">
        <f>IF('WetLitterbags placem_collection'!Z69="","",'WetLitterbags placem_collection'!Z69)</f>
        <v>5.5</v>
      </c>
      <c r="AF288" s="24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71" t="str">
        <f>IFERROR(AVERAGE('Dry_Litterbag Placem_Collection'!N69,'Dry_Litterbag Placem_Collection'!Q69),"")</f>
        <v/>
      </c>
      <c r="AJ288" s="270">
        <f>INDEX(Coordinates!$B$2:$B$197,MATCH(G288,Coordinates!$J$2:$J$197,0))</f>
        <v>-3.299434008</v>
      </c>
      <c r="AK288" s="270">
        <f>INDEX(Coordinates!$C$2:$C$197,MATCH(G288,Coordinates!$J$2:$J$197,0))</f>
        <v>34.848514960000003</v>
      </c>
      <c r="AL288" s="270" t="str">
        <f>IF(ISNUMBER(SEARCH("C", 'Dry_Litterbag Placem_Collection'!T69)),"YES","NO")</f>
        <v>NO</v>
      </c>
      <c r="AM288" s="270" t="str">
        <f>IF(ISNUMBER(SEARCH("H", 'Dry_Litterbag Placem_Collection'!T69)),"YES","NO")</f>
        <v>NO</v>
      </c>
      <c r="AN288" s="270" t="str">
        <f>IF(ISNUMBER(SEARCH("R", 'Dry_Litterbag Placem_Collection'!T69)),"YES","NO")</f>
        <v>NO</v>
      </c>
    </row>
    <row r="289" spans="1:40" ht="15" customHeight="1">
      <c r="A289" s="262" t="s">
        <v>2659</v>
      </c>
      <c r="B289" s="263">
        <f>'Dry_Litterbag Placem_Collection'!A70</f>
        <v>68</v>
      </c>
      <c r="C289" s="263" t="str">
        <f>'Dry_Litterbag Placem_Collection'!B70</f>
        <v>Maswa</v>
      </c>
      <c r="D289" s="263" t="s">
        <v>2659</v>
      </c>
      <c r="E289" s="263" t="s">
        <v>2661</v>
      </c>
      <c r="F289" s="263">
        <v>1</v>
      </c>
      <c r="G289" s="264" t="str">
        <f>'Dry_Litterbag Placem_Collection'!C70</f>
        <v>Dry_W1_T4</v>
      </c>
      <c r="H289" s="265" t="s">
        <v>2541</v>
      </c>
      <c r="I289" s="272" t="s">
        <v>298</v>
      </c>
      <c r="J289" s="263" t="str">
        <f>IF(ISBLANK('Dry_Litterbag Placem_Collection'!K70),"","R"&amp;""&amp;'Dry_Litterbag Placem_Collection'!K70)</f>
        <v>R815</v>
      </c>
      <c r="K289" s="267">
        <f>IFERROR(INDEX('Green_rooibos initial weight'!$C$5:$C$1749,MATCH(J289, 'Green_rooibos initial weight'!$A$5:$A$1749,0)),"")</f>
        <v>2.2130000000000001</v>
      </c>
      <c r="L289" s="267">
        <f>IFERROR(K289-(TBIcalc!$Q$9+TBIcalc!$Q$10),"")</f>
        <v>1.9632000000000001</v>
      </c>
      <c r="M289" s="391">
        <f>AVERAGE(Ashed_controlls!$K$12:$K$14)</f>
        <v>2.2816647271287041</v>
      </c>
      <c r="N289" s="267">
        <f t="shared" si="21"/>
        <v>1.9184063580770094</v>
      </c>
      <c r="O289" s="267">
        <f>IF(IFERROR(INDEX('Both teabags AfterDry'!$D$3:$D$900,MATCH(J289,'Both teabags AfterDry'!$A$3:$A$900,0)),"")="","",(IFERROR(INDEX('Both teabags AfterDry'!$D$3:$D$900,MATCH(J289,'Both teabags AfterDry'!$A$3:$A$900,0)),"")))</f>
        <v>1.9467000000000001</v>
      </c>
      <c r="P289" s="267">
        <f>IFERROR(IF(O289&gt;0,O289-(TBIcalc!$Q$9),""),"")</f>
        <v>1.7961</v>
      </c>
      <c r="Q289" s="278">
        <f>IFERROR(INDEX('Ashed teabags dry'!$K$2:$K$825,MATCH(J289,'Ashed teabags dry'!$A$2:$A$825,0)),"")</f>
        <v>2.8207461328482384</v>
      </c>
      <c r="R289" s="278">
        <f t="shared" si="22"/>
        <v>1.7454365787079129</v>
      </c>
      <c r="S289" s="268">
        <f>'Dry_Litterbag Placem_Collection'!E70</f>
        <v>42937</v>
      </c>
      <c r="T289" s="268">
        <f>IF('Dry_Litterbag Placem_Collection'!G70="","",'Dry_Litterbag Placem_Collection'!G70)</f>
        <v>43005</v>
      </c>
      <c r="U289" s="269">
        <f t="shared" si="20"/>
        <v>68</v>
      </c>
      <c r="V289" s="267">
        <f t="shared" si="23"/>
        <v>0.16710000000000003</v>
      </c>
      <c r="W289" s="267">
        <f t="shared" si="24"/>
        <v>0.17296977936909652</v>
      </c>
      <c r="X289" s="271">
        <f>IFERROR(INDEX(Rainfall_Dry!$O$2:$O$217,MATCH(B289, Rainfall_Dry!$A$2:$A$217,0)),"")</f>
        <v>6.900000125</v>
      </c>
      <c r="Y289" s="260">
        <v>47.96</v>
      </c>
      <c r="Z289" s="260">
        <v>22.919999999999995</v>
      </c>
      <c r="AA289" s="260">
        <v>29.120000000000012</v>
      </c>
      <c r="AB289" s="261" t="s">
        <v>2673</v>
      </c>
      <c r="AC289" s="260">
        <v>5.8831936914736298</v>
      </c>
      <c r="AD289">
        <f>IF('WetLitterbags placem_collection'!AB70="","",'WetLitterbags placem_collection'!AB70)</f>
        <v>9.6999999999999993</v>
      </c>
      <c r="AE289">
        <f>IF('WetLitterbags placem_collection'!Z70="","",'WetLitterbags placem_collection'!Z70)</f>
        <v>23.4</v>
      </c>
      <c r="AF289" s="24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71">
        <f>IFERROR(AVERAGE('Dry_Litterbag Placem_Collection'!N70,'Dry_Litterbag Placem_Collection'!Q70),"")</f>
        <v>26.85</v>
      </c>
      <c r="AJ289" s="270">
        <f>INDEX(Coordinates!$B$2:$B$197,MATCH(G289,Coordinates!$J$2:$J$197,0))</f>
        <v>-3.2991180099999999</v>
      </c>
      <c r="AK289" s="270">
        <f>INDEX(Coordinates!$C$2:$C$197,MATCH(G289,Coordinates!$J$2:$J$197,0))</f>
        <v>34.84824699</v>
      </c>
      <c r="AL289" s="270" t="str">
        <f>IF(ISNUMBER(SEARCH("C", 'Dry_Litterbag Placem_Collection'!T70)),"YES","NO")</f>
        <v>NO</v>
      </c>
      <c r="AM289" s="270" t="str">
        <f>IF(ISNUMBER(SEARCH("H", 'Dry_Litterbag Placem_Collection'!T70)),"YES","NO")</f>
        <v>NO</v>
      </c>
      <c r="AN289" s="270" t="str">
        <f>IF(ISNUMBER(SEARCH("R", 'Dry_Litterbag Placem_Collection'!T70)),"YES","NO")</f>
        <v>NO</v>
      </c>
    </row>
    <row r="290" spans="1:40" ht="15" customHeight="1">
      <c r="A290" s="262" t="s">
        <v>2659</v>
      </c>
      <c r="B290" s="263">
        <f>'Dry_Litterbag Placem_Collection'!A71</f>
        <v>69</v>
      </c>
      <c r="C290" s="263" t="str">
        <f>'Dry_Litterbag Placem_Collection'!B71</f>
        <v>Maswa</v>
      </c>
      <c r="D290" s="263" t="s">
        <v>2659</v>
      </c>
      <c r="E290" s="263" t="s">
        <v>2661</v>
      </c>
      <c r="F290" s="263">
        <v>1</v>
      </c>
      <c r="G290" s="264" t="str">
        <f>'Dry_Litterbag Placem_Collection'!C71</f>
        <v>Dry_W1_T5</v>
      </c>
      <c r="H290" s="265" t="s">
        <v>2541</v>
      </c>
      <c r="I290" s="272" t="s">
        <v>298</v>
      </c>
      <c r="J290" s="263" t="str">
        <f>IF(ISBLANK('Dry_Litterbag Placem_Collection'!K71),"","R"&amp;""&amp;'Dry_Litterbag Placem_Collection'!K71)</f>
        <v>R741</v>
      </c>
      <c r="K290" s="267">
        <f>IFERROR(INDEX('Green_rooibos initial weight'!$C$5:$C$1749,MATCH(J290, 'Green_rooibos initial weight'!$A$5:$A$1749,0)),"")</f>
        <v>2.262</v>
      </c>
      <c r="L290" s="267">
        <f>IFERROR(K290-(TBIcalc!$Q$9+TBIcalc!$Q$10),"")</f>
        <v>2.0122</v>
      </c>
      <c r="M290" s="391">
        <f>AVERAGE(Ashed_controlls!$K$12:$K$14)</f>
        <v>2.2816647271287041</v>
      </c>
      <c r="N290" s="267">
        <f t="shared" si="21"/>
        <v>1.9662883423607163</v>
      </c>
      <c r="O290" s="267">
        <f>IF(IFERROR(INDEX('Both teabags AfterDry'!$D$3:$D$900,MATCH(J290,'Both teabags AfterDry'!$A$3:$A$900,0)),"")="","",(IFERROR(INDEX('Both teabags AfterDry'!$D$3:$D$900,MATCH(J290,'Both teabags AfterDry'!$A$3:$A$900,0)),"")))</f>
        <v>1.9702999999999999</v>
      </c>
      <c r="P290" s="267">
        <f>IFERROR(IF(O290&gt;0,O290-(TBIcalc!$Q$9),""),"")</f>
        <v>1.8196999999999999</v>
      </c>
      <c r="Q290" s="278">
        <f>IFERROR(INDEX('Ashed teabags dry'!$K$2:$K$825,MATCH(J290,'Ashed teabags dry'!$A$2:$A$825,0)),"")</f>
        <v>3.5535535535533986</v>
      </c>
      <c r="R290" s="278">
        <f t="shared" si="22"/>
        <v>1.7550359859859888</v>
      </c>
      <c r="S290" s="268">
        <f>'Dry_Litterbag Placem_Collection'!E71</f>
        <v>42937</v>
      </c>
      <c r="T290" s="268">
        <f>IF('Dry_Litterbag Placem_Collection'!G71="","",'Dry_Litterbag Placem_Collection'!G71)</f>
        <v>43006</v>
      </c>
      <c r="U290" s="269">
        <f t="shared" si="20"/>
        <v>69</v>
      </c>
      <c r="V290" s="267">
        <f t="shared" si="23"/>
        <v>0.19250000000000012</v>
      </c>
      <c r="W290" s="267">
        <f t="shared" si="24"/>
        <v>0.2112523563747275</v>
      </c>
      <c r="X290" s="271">
        <f>IFERROR(INDEX(Rainfall_Dry!$O$2:$O$217,MATCH(B290, Rainfall_Dry!$A$2:$A$217,0)),"")</f>
        <v>6.900000125</v>
      </c>
      <c r="Y290" s="260">
        <v>47.96</v>
      </c>
      <c r="Z290" s="260">
        <v>22.919999999999995</v>
      </c>
      <c r="AA290" s="260">
        <v>29.120000000000012</v>
      </c>
      <c r="AB290" s="261" t="s">
        <v>2673</v>
      </c>
      <c r="AC290" s="260">
        <v>6.8831936914736298</v>
      </c>
      <c r="AD290">
        <f>IF('WetLitterbags placem_collection'!AB71="","",'WetLitterbags placem_collection'!AB71)</f>
        <v>14.4</v>
      </c>
      <c r="AE290">
        <f>IF('WetLitterbags placem_collection'!Z71="","",'WetLitterbags placem_collection'!Z71)</f>
        <v>24.4</v>
      </c>
      <c r="AF290" s="24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71">
        <f>IFERROR(AVERAGE('Dry_Litterbag Placem_Collection'!N71,'Dry_Litterbag Placem_Collection'!Q71),"")</f>
        <v>26.55</v>
      </c>
      <c r="AJ290" s="270">
        <f>INDEX(Coordinates!$B$2:$B$197,MATCH(G290,Coordinates!$J$2:$J$197,0))</f>
        <v>-3.2993180030000002</v>
      </c>
      <c r="AK290" s="270">
        <f>INDEX(Coordinates!$C$2:$C$197,MATCH(G290,Coordinates!$J$2:$J$197,0))</f>
        <v>34.848235010000003</v>
      </c>
      <c r="AL290" s="270" t="str">
        <f>IF(ISNUMBER(SEARCH("C", 'Dry_Litterbag Placem_Collection'!T71)),"YES","NO")</f>
        <v>YES</v>
      </c>
      <c r="AM290" s="270" t="str">
        <f>IF(ISNUMBER(SEARCH("H", 'Dry_Litterbag Placem_Collection'!T71)),"YES","NO")</f>
        <v>NO</v>
      </c>
      <c r="AN290" s="270" t="str">
        <f>IF(ISNUMBER(SEARCH("R", 'Dry_Litterbag Placem_Collection'!T71)),"YES","NO")</f>
        <v>NO</v>
      </c>
    </row>
    <row r="291" spans="1:40" ht="15" customHeight="1">
      <c r="A291" s="262" t="s">
        <v>2659</v>
      </c>
      <c r="B291" s="263">
        <f>'Dry_Litterbag Placem_Collection'!A72</f>
        <v>70</v>
      </c>
      <c r="C291" s="263" t="str">
        <f>'Dry_Litterbag Placem_Collection'!B72</f>
        <v>Maswa</v>
      </c>
      <c r="D291" s="263" t="s">
        <v>2659</v>
      </c>
      <c r="E291" s="263" t="s">
        <v>2661</v>
      </c>
      <c r="F291" s="263">
        <v>1</v>
      </c>
      <c r="G291" s="264" t="str">
        <f>'Dry_Litterbag Placem_Collection'!C72</f>
        <v>Dry_W1_T6</v>
      </c>
      <c r="H291" s="265" t="s">
        <v>2541</v>
      </c>
      <c r="I291" s="272" t="s">
        <v>298</v>
      </c>
      <c r="J291" s="263" t="str">
        <f>IF(ISBLANK('Dry_Litterbag Placem_Collection'!K72),"","R"&amp;""&amp;'Dry_Litterbag Placem_Collection'!K72)</f>
        <v>R294</v>
      </c>
      <c r="K291" s="267">
        <f>IFERROR(INDEX('Green_rooibos initial weight'!$C$5:$C$1749,MATCH(J291, 'Green_rooibos initial weight'!$A$5:$A$1749,0)),"")</f>
        <v>2.226</v>
      </c>
      <c r="L291" s="267">
        <f>IFERROR(K291-(TBIcalc!$Q$9+TBIcalc!$Q$10),"")</f>
        <v>1.9762</v>
      </c>
      <c r="M291" s="391">
        <f>AVERAGE(Ashed_controlls!$K$12:$K$14)</f>
        <v>2.2816647271287041</v>
      </c>
      <c r="N291" s="267">
        <f t="shared" si="21"/>
        <v>1.9311097416624825</v>
      </c>
      <c r="O291" s="267">
        <f>IF(IFERROR(INDEX('Both teabags AfterDry'!$D$3:$D$900,MATCH(J291,'Both teabags AfterDry'!$A$3:$A$900,0)),"")="","",(IFERROR(INDEX('Both teabags AfterDry'!$D$3:$D$900,MATCH(J291,'Both teabags AfterDry'!$A$3:$A$900,0)),"")))</f>
        <v>0.51</v>
      </c>
      <c r="P291" s="267">
        <f>IFERROR(IF(O291&gt;0,O291-(TBIcalc!$Q$9),""),"")</f>
        <v>0.3594</v>
      </c>
      <c r="Q291" s="278">
        <f>IFERROR(INDEX('Ashed teabags dry'!$K$2:$K$825,MATCH(J291,'Ashed teabags dry'!$A$2:$A$825,0)),"")</f>
        <v>66.450324513230314</v>
      </c>
      <c r="R291" s="278">
        <f t="shared" si="22"/>
        <v>0.12057753369945023</v>
      </c>
      <c r="S291" s="268">
        <f>'Dry_Litterbag Placem_Collection'!E72</f>
        <v>42937</v>
      </c>
      <c r="T291" s="268">
        <f>IF('Dry_Litterbag Placem_Collection'!G72="","",'Dry_Litterbag Placem_Collection'!G72)</f>
        <v>43006</v>
      </c>
      <c r="U291" s="269">
        <f t="shared" si="20"/>
        <v>69</v>
      </c>
      <c r="V291" s="267">
        <f t="shared" si="23"/>
        <v>1.6168</v>
      </c>
      <c r="W291" s="267">
        <f t="shared" si="24"/>
        <v>1.8105322079630324</v>
      </c>
      <c r="X291" s="271">
        <f>IFERROR(INDEX(Rainfall_Dry!$O$2:$O$217,MATCH(B291, Rainfall_Dry!$A$2:$A$217,0)),"")</f>
        <v>6.900000125</v>
      </c>
      <c r="Y291" s="260">
        <v>47.96</v>
      </c>
      <c r="Z291" s="260">
        <v>22.919999999999995</v>
      </c>
      <c r="AA291" s="260">
        <v>29.120000000000012</v>
      </c>
      <c r="AB291" s="261" t="s">
        <v>2673</v>
      </c>
      <c r="AC291" s="260">
        <v>7.8831936914736298</v>
      </c>
      <c r="AD291">
        <f>IF('WetLitterbags placem_collection'!AB72="","",'WetLitterbags placem_collection'!AB72)</f>
        <v>15</v>
      </c>
      <c r="AE291">
        <f>IF('WetLitterbags placem_collection'!Z72="","",'WetLitterbags placem_collection'!Z72)</f>
        <v>28</v>
      </c>
      <c r="AF291" s="24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71">
        <f>IFERROR(AVERAGE('Dry_Litterbag Placem_Collection'!N72,'Dry_Litterbag Placem_Collection'!Q72),"")</f>
        <v>27.200000000000003</v>
      </c>
      <c r="AJ291" s="270">
        <f>INDEX(Coordinates!$B$2:$B$197,MATCH(G291,Coordinates!$J$2:$J$197,0))</f>
        <v>-3.299381034</v>
      </c>
      <c r="AK291" s="270">
        <f>INDEX(Coordinates!$C$2:$C$197,MATCH(G291,Coordinates!$J$2:$J$197,0))</f>
        <v>34.848312040000003</v>
      </c>
      <c r="AL291" s="270" t="str">
        <f>IF(ISNUMBER(SEARCH("C", 'Dry_Litterbag Placem_Collection'!T72)),"YES","NO")</f>
        <v>YES</v>
      </c>
      <c r="AM291" s="270" t="str">
        <f>IF(ISNUMBER(SEARCH("H", 'Dry_Litterbag Placem_Collection'!T72)),"YES","NO")</f>
        <v>YES</v>
      </c>
      <c r="AN291" s="270" t="str">
        <f>IF(ISNUMBER(SEARCH("R", 'Dry_Litterbag Placem_Collection'!T72)),"YES","NO")</f>
        <v>NO</v>
      </c>
    </row>
    <row r="292" spans="1:40" ht="15" customHeight="1">
      <c r="A292" s="262" t="s">
        <v>2659</v>
      </c>
      <c r="B292" s="263">
        <f>'Dry_Litterbag Placem_Collection'!A73</f>
        <v>71</v>
      </c>
      <c r="C292" s="263" t="str">
        <f>'Dry_Litterbag Placem_Collection'!B73</f>
        <v>Maswa</v>
      </c>
      <c r="D292" s="263" t="s">
        <v>2659</v>
      </c>
      <c r="E292" s="263" t="s">
        <v>2661</v>
      </c>
      <c r="F292" s="263">
        <v>1</v>
      </c>
      <c r="G292" s="264" t="str">
        <f>'Dry_Litterbag Placem_Collection'!C73</f>
        <v>Dry_W1_T7</v>
      </c>
      <c r="H292" s="265" t="s">
        <v>2541</v>
      </c>
      <c r="I292" s="272" t="s">
        <v>298</v>
      </c>
      <c r="J292" s="263" t="str">
        <f>IF(ISBLANK('Dry_Litterbag Placem_Collection'!K73),"","R"&amp;""&amp;'Dry_Litterbag Placem_Collection'!K73)</f>
        <v>R761</v>
      </c>
      <c r="K292" s="267">
        <f>IFERROR(INDEX('Green_rooibos initial weight'!$C$5:$C$1749,MATCH(J292, 'Green_rooibos initial weight'!$A$5:$A$1749,0)),"")</f>
        <v>2.1509999999999998</v>
      </c>
      <c r="L292" s="267">
        <f>IFERROR(K292-(TBIcalc!$Q$9+TBIcalc!$Q$10),"")</f>
        <v>1.9011999999999998</v>
      </c>
      <c r="M292" s="391">
        <f>AVERAGE(Ashed_controlls!$K$12:$K$14)</f>
        <v>2.2816647271287041</v>
      </c>
      <c r="N292" s="267">
        <f t="shared" si="21"/>
        <v>1.8578209902078289</v>
      </c>
      <c r="O292" s="267">
        <f>IF(IFERROR(INDEX('Both teabags AfterDry'!$D$3:$D$900,MATCH(J292,'Both teabags AfterDry'!$A$3:$A$900,0)),"")="","",(IFERROR(INDEX('Both teabags AfterDry'!$D$3:$D$900,MATCH(J292,'Both teabags AfterDry'!$A$3:$A$900,0)),"")))</f>
        <v>1.9017999999999999</v>
      </c>
      <c r="P292" s="267">
        <f>IFERROR(IF(O292&gt;0,O292-(TBIcalc!$Q$9),""),"")</f>
        <v>1.7511999999999999</v>
      </c>
      <c r="Q292" s="278">
        <f>IFERROR(INDEX('Ashed teabags dry'!$K$2:$K$825,MATCH(J292,'Ashed teabags dry'!$A$2:$A$825,0)),"")</f>
        <v>2.5515210991172763</v>
      </c>
      <c r="R292" s="278">
        <f t="shared" si="22"/>
        <v>1.7065177625122581</v>
      </c>
      <c r="S292" s="268">
        <f>'Dry_Litterbag Placem_Collection'!E73</f>
        <v>42937</v>
      </c>
      <c r="T292" s="268">
        <f>IF('Dry_Litterbag Placem_Collection'!G73="","",'Dry_Litterbag Placem_Collection'!G73)</f>
        <v>43006</v>
      </c>
      <c r="U292" s="269">
        <f t="shared" si="20"/>
        <v>69</v>
      </c>
      <c r="V292" s="267">
        <f t="shared" si="23"/>
        <v>0.14999999999999991</v>
      </c>
      <c r="W292" s="267">
        <f t="shared" si="24"/>
        <v>0.15130322769557081</v>
      </c>
      <c r="X292" s="271">
        <f>IFERROR(INDEX(Rainfall_Dry!$O$2:$O$217,MATCH(B292, Rainfall_Dry!$A$2:$A$217,0)),"")</f>
        <v>6.900000125</v>
      </c>
      <c r="Y292" s="260">
        <v>47.96</v>
      </c>
      <c r="Z292" s="260">
        <v>22.919999999999995</v>
      </c>
      <c r="AA292" s="260">
        <v>29.120000000000012</v>
      </c>
      <c r="AB292" s="261" t="s">
        <v>2673</v>
      </c>
      <c r="AC292" s="260">
        <v>8.8831936914736307</v>
      </c>
      <c r="AD292">
        <f>IF('WetLitterbags placem_collection'!AB73="","",'WetLitterbags placem_collection'!AB73)</f>
        <v>15.5</v>
      </c>
      <c r="AE292">
        <f>IF('WetLitterbags placem_collection'!Z73="","",'WetLitterbags placem_collection'!Z73)</f>
        <v>32</v>
      </c>
      <c r="AF292" s="24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71">
        <f>IFERROR(AVERAGE('Dry_Litterbag Placem_Collection'!N73,'Dry_Litterbag Placem_Collection'!Q73),"")</f>
        <v>27.6</v>
      </c>
      <c r="AJ292" s="270">
        <f>INDEX(Coordinates!$B$2:$B$197,MATCH(G292,Coordinates!$J$2:$J$197,0))</f>
        <v>-3.2992429849999998</v>
      </c>
      <c r="AK292" s="270">
        <f>INDEX(Coordinates!$C$2:$C$197,MATCH(G292,Coordinates!$J$2:$J$197,0))</f>
        <v>34.847900989999999</v>
      </c>
      <c r="AL292" s="270" t="str">
        <f>IF(ISNUMBER(SEARCH("C", 'Dry_Litterbag Placem_Collection'!T73)),"YES","NO")</f>
        <v>NO</v>
      </c>
      <c r="AM292" s="270" t="str">
        <f>IF(ISNUMBER(SEARCH("H", 'Dry_Litterbag Placem_Collection'!T73)),"YES","NO")</f>
        <v>NO</v>
      </c>
      <c r="AN292" s="270" t="str">
        <f>IF(ISNUMBER(SEARCH("R", 'Dry_Litterbag Placem_Collection'!T73)),"YES","NO")</f>
        <v>NO</v>
      </c>
    </row>
    <row r="293" spans="1:40" ht="15" customHeight="1">
      <c r="A293" s="262" t="s">
        <v>2659</v>
      </c>
      <c r="B293" s="263">
        <f>'Dry_Litterbag Placem_Collection'!A74</f>
        <v>72</v>
      </c>
      <c r="C293" s="263" t="str">
        <f>'Dry_Litterbag Placem_Collection'!B74</f>
        <v>Maswa</v>
      </c>
      <c r="D293" s="263" t="s">
        <v>2659</v>
      </c>
      <c r="E293" s="263" t="s">
        <v>2661</v>
      </c>
      <c r="F293" s="263">
        <v>1</v>
      </c>
      <c r="G293" s="264" t="str">
        <f>'Dry_Litterbag Placem_Collection'!C74</f>
        <v>Dry_W1_T8</v>
      </c>
      <c r="H293" s="265" t="s">
        <v>2541</v>
      </c>
      <c r="I293" s="272" t="s">
        <v>298</v>
      </c>
      <c r="J293" s="263" t="str">
        <f>IF(ISBLANK('Dry_Litterbag Placem_Collection'!K74),"","R"&amp;""&amp;'Dry_Litterbag Placem_Collection'!K74)</f>
        <v>R780</v>
      </c>
      <c r="K293" s="267">
        <f>IFERROR(INDEX('Green_rooibos initial weight'!$C$5:$C$1749,MATCH(J293, 'Green_rooibos initial weight'!$A$5:$A$1749,0)),"")</f>
        <v>2.19</v>
      </c>
      <c r="L293" s="267">
        <f>IFERROR(K293-(TBIcalc!$Q$9+TBIcalc!$Q$10),"")</f>
        <v>1.9401999999999999</v>
      </c>
      <c r="M293" s="391">
        <f>AVERAGE(Ashed_controlls!$K$12:$K$14)</f>
        <v>2.2816647271287041</v>
      </c>
      <c r="N293" s="267">
        <f t="shared" si="21"/>
        <v>1.8959311409642488</v>
      </c>
      <c r="O293" s="267">
        <f>IF(IFERROR(INDEX('Both teabags AfterDry'!$D$3:$D$900,MATCH(J293,'Both teabags AfterDry'!$A$3:$A$900,0)),"")="","",(IFERROR(INDEX('Both teabags AfterDry'!$D$3:$D$900,MATCH(J293,'Both teabags AfterDry'!$A$3:$A$900,0)),"")))</f>
        <v>1.9477</v>
      </c>
      <c r="P293" s="267">
        <f>IFERROR(IF(O293&gt;0,O293-(TBIcalc!$Q$9),""),"")</f>
        <v>1.7970999999999999</v>
      </c>
      <c r="Q293" s="278">
        <f>IFERROR(INDEX('Ashed teabags dry'!$K$2:$K$825,MATCH(J293,'Ashed teabags dry'!$A$2:$A$825,0)),"")</f>
        <v>2.0045558086562076</v>
      </c>
      <c r="R293" s="278">
        <f t="shared" si="22"/>
        <v>1.7610761275626392</v>
      </c>
      <c r="S293" s="268">
        <f>'Dry_Litterbag Placem_Collection'!E74</f>
        <v>42937</v>
      </c>
      <c r="T293" s="268">
        <f>IF('Dry_Litterbag Placem_Collection'!G74="","",'Dry_Litterbag Placem_Collection'!G74)</f>
        <v>43006</v>
      </c>
      <c r="U293" s="269">
        <f t="shared" si="20"/>
        <v>69</v>
      </c>
      <c r="V293" s="267">
        <f t="shared" si="23"/>
        <v>0.1431</v>
      </c>
      <c r="W293" s="267">
        <f t="shared" si="24"/>
        <v>0.13485501340160955</v>
      </c>
      <c r="X293" s="271">
        <f>IFERROR(INDEX(Rainfall_Dry!$O$2:$O$217,MATCH(B293, Rainfall_Dry!$A$2:$A$217,0)),"")</f>
        <v>6.900000125</v>
      </c>
      <c r="Y293" s="260">
        <v>47.96</v>
      </c>
      <c r="Z293" s="260">
        <v>22.919999999999995</v>
      </c>
      <c r="AA293" s="260">
        <v>29.120000000000012</v>
      </c>
      <c r="AB293" s="261" t="s">
        <v>2673</v>
      </c>
      <c r="AC293" s="260">
        <v>9.8831936914736307</v>
      </c>
      <c r="AD293">
        <f>IF('WetLitterbags placem_collection'!AB74="","",'WetLitterbags placem_collection'!AB74)</f>
        <v>2.6</v>
      </c>
      <c r="AE293">
        <f>IF('WetLitterbags placem_collection'!Z74="","",'WetLitterbags placem_collection'!Z74)</f>
        <v>44</v>
      </c>
      <c r="AF293" s="24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71">
        <f>IFERROR(AVERAGE('Dry_Litterbag Placem_Collection'!N74,'Dry_Litterbag Placem_Collection'!Q74),"")</f>
        <v>26.35</v>
      </c>
      <c r="AJ293" s="270">
        <f>INDEX(Coordinates!$B$2:$B$197,MATCH(G293,Coordinates!$J$2:$J$197,0))</f>
        <v>-3.2996540329999999</v>
      </c>
      <c r="AK293" s="270">
        <f>INDEX(Coordinates!$C$2:$C$197,MATCH(G293,Coordinates!$J$2:$J$197,0))</f>
        <v>34.848151020000003</v>
      </c>
      <c r="AL293" s="270" t="str">
        <f>IF(ISNUMBER(SEARCH("C", 'Dry_Litterbag Placem_Collection'!T74)),"YES","NO")</f>
        <v>NO</v>
      </c>
      <c r="AM293" s="270" t="str">
        <f>IF(ISNUMBER(SEARCH("H", 'Dry_Litterbag Placem_Collection'!T74)),"YES","NO")</f>
        <v>NO</v>
      </c>
      <c r="AN293" s="270" t="str">
        <f>IF(ISNUMBER(SEARCH("R", 'Dry_Litterbag Placem_Collection'!T74)),"YES","NO")</f>
        <v>NO</v>
      </c>
    </row>
    <row r="294" spans="1:40" ht="15" customHeight="1">
      <c r="A294" s="262" t="s">
        <v>2659</v>
      </c>
      <c r="B294" s="263">
        <f>'Dry_Litterbag Placem_Collection'!A75</f>
        <v>73</v>
      </c>
      <c r="C294" s="263" t="str">
        <f>'Dry_Litterbag Placem_Collection'!B75</f>
        <v>Maswa</v>
      </c>
      <c r="D294" s="263" t="s">
        <v>2659</v>
      </c>
      <c r="E294" s="263" t="s">
        <v>2661</v>
      </c>
      <c r="F294" s="263">
        <v>2</v>
      </c>
      <c r="G294" s="264" t="str">
        <f>'Dry_Litterbag Placem_Collection'!C75</f>
        <v>Dry_W2_T1</v>
      </c>
      <c r="H294" s="265" t="s">
        <v>2541</v>
      </c>
      <c r="I294" s="272" t="s">
        <v>298</v>
      </c>
      <c r="J294" s="263" t="str">
        <f>IF(ISBLANK('Dry_Litterbag Placem_Collection'!K75),"","R"&amp;""&amp;'Dry_Litterbag Placem_Collection'!K75)</f>
        <v>R730</v>
      </c>
      <c r="K294" s="267">
        <f>IFERROR(INDEX('Green_rooibos initial weight'!$C$5:$C$1749,MATCH(J294, 'Green_rooibos initial weight'!$A$5:$A$1749,0)),"")</f>
        <v>2.1509999999999998</v>
      </c>
      <c r="L294" s="267">
        <f>IFERROR(K294-(TBIcalc!$Q$9+TBIcalc!$Q$10),"")</f>
        <v>1.9011999999999998</v>
      </c>
      <c r="M294" s="391">
        <f>AVERAGE(Ashed_controlls!$K$12:$K$14)</f>
        <v>2.2816647271287041</v>
      </c>
      <c r="N294" s="267">
        <f t="shared" si="21"/>
        <v>1.8578209902078289</v>
      </c>
      <c r="O294" s="267" t="str">
        <f>IF(IFERROR(INDEX('Both teabags AfterDry'!$D$3:$D$900,MATCH(J294,'Both teabags AfterDry'!$A$3:$A$900,0)),"")="","",(IFERROR(INDEX('Both teabags AfterDry'!$D$3:$D$900,MATCH(J294,'Both teabags AfterDry'!$A$3:$A$900,0)),"")))</f>
        <v/>
      </c>
      <c r="P294" s="267" t="str">
        <f>IFERROR(IF(O294&gt;0,O294-(TBIcalc!$Q$9),""),"")</f>
        <v/>
      </c>
      <c r="Q294" s="278" t="str">
        <f>IFERROR(INDEX('Ashed teabags dry'!$K$2:$K$825,MATCH(J294,'Ashed teabags dry'!$A$2:$A$825,0)),"")</f>
        <v/>
      </c>
      <c r="R294" s="278" t="str">
        <f t="shared" si="22"/>
        <v/>
      </c>
      <c r="S294" s="268">
        <f>'Dry_Litterbag Placem_Collection'!E75</f>
        <v>42937</v>
      </c>
      <c r="T294" s="268">
        <f>IF('Dry_Litterbag Placem_Collection'!G75="","",'Dry_Litterbag Placem_Collection'!G75)</f>
        <v>43006</v>
      </c>
      <c r="U294" s="269">
        <f t="shared" si="20"/>
        <v>69</v>
      </c>
      <c r="V294" s="267" t="str">
        <f t="shared" si="23"/>
        <v/>
      </c>
      <c r="W294" s="267" t="str">
        <f t="shared" si="24"/>
        <v/>
      </c>
      <c r="X294" s="271">
        <f>IFERROR(INDEX(Rainfall_Dry!$O$2:$O$217,MATCH(B294, Rainfall_Dry!$A$2:$A$217,0)),"")</f>
        <v>6.900000125</v>
      </c>
      <c r="Y294" s="260">
        <v>45.272914521112256</v>
      </c>
      <c r="Z294" s="260">
        <v>23.604531410916575</v>
      </c>
      <c r="AA294" s="260">
        <v>31.122554067971166</v>
      </c>
      <c r="AB294" s="261" t="s">
        <v>2673</v>
      </c>
      <c r="AC294" s="260">
        <v>2.0547560374568752</v>
      </c>
      <c r="AD294">
        <f>IF('WetLitterbags placem_collection'!AB75="","",'WetLitterbags placem_collection'!AB75)</f>
        <v>9.1</v>
      </c>
      <c r="AE294">
        <f>IF('WetLitterbags placem_collection'!Z75="","",'WetLitterbags placem_collection'!Z75)</f>
        <v>10</v>
      </c>
      <c r="AF294" s="24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71">
        <f>IFERROR(AVERAGE('Dry_Litterbag Placem_Collection'!N75,'Dry_Litterbag Placem_Collection'!Q75),"")</f>
        <v>28.35</v>
      </c>
      <c r="AJ294" s="270">
        <f>INDEX(Coordinates!$B$2:$B$197,MATCH(G294,Coordinates!$J$2:$J$197,0))</f>
        <v>-3.3025860229999999</v>
      </c>
      <c r="AK294" s="270">
        <f>INDEX(Coordinates!$C$2:$C$197,MATCH(G294,Coordinates!$J$2:$J$197,0))</f>
        <v>34.848048009999999</v>
      </c>
      <c r="AL294" s="270" t="str">
        <f>IF(ISNUMBER(SEARCH("C", 'Dry_Litterbag Placem_Collection'!T75)),"YES","NO")</f>
        <v>NO</v>
      </c>
      <c r="AM294" s="270" t="str">
        <f>IF(ISNUMBER(SEARCH("H", 'Dry_Litterbag Placem_Collection'!T75)),"YES","NO")</f>
        <v>NO</v>
      </c>
      <c r="AN294" s="270" t="str">
        <f>IF(ISNUMBER(SEARCH("R", 'Dry_Litterbag Placem_Collection'!T75)),"YES","NO")</f>
        <v>NO</v>
      </c>
    </row>
    <row r="295" spans="1:40" ht="15" customHeight="1">
      <c r="A295" s="262" t="s">
        <v>2659</v>
      </c>
      <c r="B295" s="263">
        <f>'Dry_Litterbag Placem_Collection'!A76</f>
        <v>74</v>
      </c>
      <c r="C295" s="263" t="str">
        <f>'Dry_Litterbag Placem_Collection'!B76</f>
        <v>Maswa</v>
      </c>
      <c r="D295" s="263" t="s">
        <v>2659</v>
      </c>
      <c r="E295" s="263" t="s">
        <v>2661</v>
      </c>
      <c r="F295" s="263">
        <v>2</v>
      </c>
      <c r="G295" s="264" t="str">
        <f>'Dry_Litterbag Placem_Collection'!C76</f>
        <v>Dry_W2_T2</v>
      </c>
      <c r="H295" s="265" t="s">
        <v>2541</v>
      </c>
      <c r="I295" s="272" t="s">
        <v>298</v>
      </c>
      <c r="J295" s="263" t="str">
        <f>IF(ISBLANK('Dry_Litterbag Placem_Collection'!K76),"","R"&amp;""&amp;'Dry_Litterbag Placem_Collection'!K76)</f>
        <v>R825</v>
      </c>
      <c r="K295" s="267">
        <f>IFERROR(INDEX('Green_rooibos initial weight'!$C$5:$C$1749,MATCH(J295, 'Green_rooibos initial weight'!$A$5:$A$1749,0)),"")</f>
        <v>2.1419999999999999</v>
      </c>
      <c r="L295" s="267">
        <f>IFERROR(K295-(TBIcalc!$Q$9+TBIcalc!$Q$10),"")</f>
        <v>1.8921999999999999</v>
      </c>
      <c r="M295" s="391">
        <f>AVERAGE(Ashed_controlls!$K$12:$K$14)</f>
        <v>2.2816647271287041</v>
      </c>
      <c r="N295" s="267">
        <f t="shared" si="21"/>
        <v>1.8490263400332705</v>
      </c>
      <c r="O295" s="267">
        <f>IF(IFERROR(INDEX('Both teabags AfterDry'!$D$3:$D$900,MATCH(J295,'Both teabags AfterDry'!$A$3:$A$900,0)),"")="","",(IFERROR(INDEX('Both teabags AfterDry'!$D$3:$D$900,MATCH(J295,'Both teabags AfterDry'!$A$3:$A$900,0)),"")))</f>
        <v>1.8925000000000001</v>
      </c>
      <c r="P295" s="267">
        <f>IFERROR(IF(O295&gt;0,O295-(TBIcalc!$Q$9),""),"")</f>
        <v>1.7419</v>
      </c>
      <c r="Q295" s="278">
        <f>IFERROR(INDEX('Ashed teabags dry'!$K$2:$K$825,MATCH(J295,'Ashed teabags dry'!$A$2:$A$825,0)),"")</f>
        <v>2.7741655830084477</v>
      </c>
      <c r="R295" s="278">
        <f t="shared" si="22"/>
        <v>1.6935768097095758</v>
      </c>
      <c r="S295" s="268">
        <f>'Dry_Litterbag Placem_Collection'!E76</f>
        <v>42937</v>
      </c>
      <c r="T295" s="268">
        <f>IF('Dry_Litterbag Placem_Collection'!G76="","",'Dry_Litterbag Placem_Collection'!G76)</f>
        <v>43006</v>
      </c>
      <c r="U295" s="269">
        <f t="shared" si="20"/>
        <v>69</v>
      </c>
      <c r="V295" s="267">
        <f t="shared" si="23"/>
        <v>0.15029999999999988</v>
      </c>
      <c r="W295" s="267">
        <f t="shared" si="24"/>
        <v>0.15544953032369468</v>
      </c>
      <c r="X295" s="271">
        <f>IFERROR(INDEX(Rainfall_Dry!$O$2:$O$217,MATCH(B295, Rainfall_Dry!$A$2:$A$217,0)),"")</f>
        <v>6.900000125</v>
      </c>
      <c r="Y295" s="260">
        <v>45.272914521112256</v>
      </c>
      <c r="Z295" s="260">
        <v>23.604531410916575</v>
      </c>
      <c r="AA295" s="260">
        <v>31.122554067971166</v>
      </c>
      <c r="AB295" s="261" t="s">
        <v>2673</v>
      </c>
      <c r="AC295" s="260">
        <v>3.0547560374568801</v>
      </c>
      <c r="AD295">
        <f>IF('WetLitterbags placem_collection'!AB76="","",'WetLitterbags placem_collection'!AB76)</f>
        <v>7.7</v>
      </c>
      <c r="AE295">
        <f>IF('WetLitterbags placem_collection'!Z76="","",'WetLitterbags placem_collection'!Z76)</f>
        <v>9.4</v>
      </c>
      <c r="AF295" s="24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71">
        <f>IFERROR(AVERAGE('Dry_Litterbag Placem_Collection'!N76,'Dry_Litterbag Placem_Collection'!Q76),"")</f>
        <v>28.1</v>
      </c>
      <c r="AJ295" s="270">
        <f>INDEX(Coordinates!$B$2:$B$197,MATCH(G295,Coordinates!$J$2:$J$197,0))</f>
        <v>-3.3025779759999998</v>
      </c>
      <c r="AK295" s="270">
        <f>INDEX(Coordinates!$C$2:$C$197,MATCH(G295,Coordinates!$J$2:$J$197,0))</f>
        <v>34.848041969999997</v>
      </c>
      <c r="AL295" s="270" t="str">
        <f>IF(ISNUMBER(SEARCH("C", 'Dry_Litterbag Placem_Collection'!T76)),"YES","NO")</f>
        <v>NO</v>
      </c>
      <c r="AM295" s="270" t="str">
        <f>IF(ISNUMBER(SEARCH("H", 'Dry_Litterbag Placem_Collection'!T76)),"YES","NO")</f>
        <v>NO</v>
      </c>
      <c r="AN295" s="270" t="str">
        <f>IF(ISNUMBER(SEARCH("R", 'Dry_Litterbag Placem_Collection'!T76)),"YES","NO")</f>
        <v>NO</v>
      </c>
    </row>
    <row r="296" spans="1:40" ht="15" customHeight="1">
      <c r="A296" s="262" t="s">
        <v>2659</v>
      </c>
      <c r="B296" s="263">
        <f>'Dry_Litterbag Placem_Collection'!A77</f>
        <v>75</v>
      </c>
      <c r="C296" s="263" t="str">
        <f>'Dry_Litterbag Placem_Collection'!B77</f>
        <v>Maswa</v>
      </c>
      <c r="D296" s="263" t="s">
        <v>2659</v>
      </c>
      <c r="E296" s="263" t="s">
        <v>2661</v>
      </c>
      <c r="F296" s="263">
        <v>2</v>
      </c>
      <c r="G296" s="264" t="str">
        <f>'Dry_Litterbag Placem_Collection'!C77</f>
        <v>Dry_W2_T3</v>
      </c>
      <c r="H296" s="265" t="s">
        <v>2541</v>
      </c>
      <c r="I296" s="272" t="s">
        <v>298</v>
      </c>
      <c r="J296" s="263" t="str">
        <f>IF(ISBLANK('Dry_Litterbag Placem_Collection'!K77),"","R"&amp;""&amp;'Dry_Litterbag Placem_Collection'!K77)</f>
        <v>R840</v>
      </c>
      <c r="K296" s="267">
        <f>IFERROR(INDEX('Green_rooibos initial weight'!$C$5:$C$1749,MATCH(J296, 'Green_rooibos initial weight'!$A$5:$A$1749,0)),"")</f>
        <v>2.3010000000000002</v>
      </c>
      <c r="L296" s="267">
        <f>IFERROR(K296-(TBIcalc!$Q$9+TBIcalc!$Q$10),"")</f>
        <v>2.0512000000000001</v>
      </c>
      <c r="M296" s="391">
        <f>AVERAGE(Ashed_controlls!$K$12:$K$14)</f>
        <v>2.2816647271287041</v>
      </c>
      <c r="N296" s="267">
        <f t="shared" si="21"/>
        <v>2.0043984931171361</v>
      </c>
      <c r="O296" s="267">
        <f>IF(IFERROR(INDEX('Both teabags AfterDry'!$D$3:$D$900,MATCH(J296,'Both teabags AfterDry'!$A$3:$A$900,0)),"")="","",(IFERROR(INDEX('Both teabags AfterDry'!$D$3:$D$900,MATCH(J296,'Both teabags AfterDry'!$A$3:$A$900,0)),"")))</f>
        <v>2.0405000000000002</v>
      </c>
      <c r="P296" s="267">
        <f>IFERROR(IF(O296&gt;0,O296-(TBIcalc!$Q$9),""),"")</f>
        <v>1.8899000000000001</v>
      </c>
      <c r="Q296" s="278">
        <f>IFERROR(INDEX('Ashed teabags dry'!$K$2:$K$825,MATCH(J296,'Ashed teabags dry'!$A$2:$A$825,0)),"")</f>
        <v>3.2504780114727398</v>
      </c>
      <c r="R296" s="278">
        <f t="shared" si="22"/>
        <v>1.8284692160611768</v>
      </c>
      <c r="S296" s="268">
        <f>'Dry_Litterbag Placem_Collection'!E77</f>
        <v>42937</v>
      </c>
      <c r="T296" s="268">
        <f>IF('Dry_Litterbag Placem_Collection'!G77="","",'Dry_Litterbag Placem_Collection'!G77)</f>
        <v>43006</v>
      </c>
      <c r="U296" s="269">
        <f t="shared" si="20"/>
        <v>69</v>
      </c>
      <c r="V296" s="267">
        <f t="shared" si="23"/>
        <v>0.1613</v>
      </c>
      <c r="W296" s="267">
        <f t="shared" si="24"/>
        <v>0.17592927705595929</v>
      </c>
      <c r="X296" s="271">
        <f>IFERROR(INDEX(Rainfall_Dry!$O$2:$O$217,MATCH(B296, Rainfall_Dry!$A$2:$A$217,0)),"")</f>
        <v>6.900000125</v>
      </c>
      <c r="Y296" s="260">
        <v>45.272914521112256</v>
      </c>
      <c r="Z296" s="260">
        <v>23.604531410916575</v>
      </c>
      <c r="AA296" s="260">
        <v>31.122554067971166</v>
      </c>
      <c r="AB296" s="261" t="s">
        <v>2673</v>
      </c>
      <c r="AC296" s="260">
        <v>4.0547560374568796</v>
      </c>
      <c r="AD296">
        <f>IF('WetLitterbags placem_collection'!AB77="","",'WetLitterbags placem_collection'!AB77)</f>
        <v>6.1</v>
      </c>
      <c r="AE296">
        <f>IF('WetLitterbags placem_collection'!Z77="","",'WetLitterbags placem_collection'!Z77)</f>
        <v>13.8</v>
      </c>
      <c r="AF296" s="24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71">
        <f>IFERROR(AVERAGE('Dry_Litterbag Placem_Collection'!N77,'Dry_Litterbag Placem_Collection'!Q77),"")</f>
        <v>27.200000000000003</v>
      </c>
      <c r="AJ296" s="270">
        <f>INDEX(Coordinates!$B$2:$B$197,MATCH(G296,Coordinates!$J$2:$J$197,0))</f>
        <v>-3.302687025</v>
      </c>
      <c r="AK296" s="270">
        <f>INDEX(Coordinates!$C$2:$C$197,MATCH(G296,Coordinates!$J$2:$J$197,0))</f>
        <v>34.847926970000003</v>
      </c>
      <c r="AL296" s="270" t="str">
        <f>IF(ISNUMBER(SEARCH("C", 'Dry_Litterbag Placem_Collection'!T77)),"YES","NO")</f>
        <v>NO</v>
      </c>
      <c r="AM296" s="270" t="str">
        <f>IF(ISNUMBER(SEARCH("H", 'Dry_Litterbag Placem_Collection'!T77)),"YES","NO")</f>
        <v>NO</v>
      </c>
      <c r="AN296" s="270" t="str">
        <f>IF(ISNUMBER(SEARCH("R", 'Dry_Litterbag Placem_Collection'!T77)),"YES","NO")</f>
        <v>NO</v>
      </c>
    </row>
    <row r="297" spans="1:40" ht="15" customHeight="1">
      <c r="A297" s="262" t="s">
        <v>2659</v>
      </c>
      <c r="B297" s="263">
        <f>'Dry_Litterbag Placem_Collection'!A78</f>
        <v>76</v>
      </c>
      <c r="C297" s="263" t="str">
        <f>'Dry_Litterbag Placem_Collection'!B78</f>
        <v>Maswa</v>
      </c>
      <c r="D297" s="263" t="s">
        <v>2659</v>
      </c>
      <c r="E297" s="263" t="s">
        <v>2661</v>
      </c>
      <c r="F297" s="263">
        <v>2</v>
      </c>
      <c r="G297" s="264" t="str">
        <f>'Dry_Litterbag Placem_Collection'!C78</f>
        <v>Dry_W2_T4</v>
      </c>
      <c r="H297" s="265" t="s">
        <v>2541</v>
      </c>
      <c r="I297" s="272" t="s">
        <v>298</v>
      </c>
      <c r="J297" s="263" t="str">
        <f>IF(ISBLANK('Dry_Litterbag Placem_Collection'!K78),"","R"&amp;""&amp;'Dry_Litterbag Placem_Collection'!K78)</f>
        <v>R770</v>
      </c>
      <c r="K297" s="267">
        <f>IFERROR(INDEX('Green_rooibos initial weight'!$C$5:$C$1749,MATCH(J297, 'Green_rooibos initial weight'!$A$5:$A$1749,0)),"")</f>
        <v>2.206</v>
      </c>
      <c r="L297" s="267">
        <f>IFERROR(K297-(TBIcalc!$Q$9+TBIcalc!$Q$10),"")</f>
        <v>1.9561999999999999</v>
      </c>
      <c r="M297" s="391">
        <f>AVERAGE(Ashed_controlls!$K$12:$K$14)</f>
        <v>2.2816647271287041</v>
      </c>
      <c r="N297" s="267">
        <f t="shared" si="21"/>
        <v>1.9115660746079082</v>
      </c>
      <c r="O297" s="267">
        <f>IF(IFERROR(INDEX('Both teabags AfterDry'!$D$3:$D$900,MATCH(J297,'Both teabags AfterDry'!$A$3:$A$900,0)),"")="","",(IFERROR(INDEX('Both teabags AfterDry'!$D$3:$D$900,MATCH(J297,'Both teabags AfterDry'!$A$3:$A$900,0)),"")))</f>
        <v>1.9444999999999999</v>
      </c>
      <c r="P297" s="267">
        <f>IFERROR(IF(O297&gt;0,O297-(TBIcalc!$Q$9),""),"")</f>
        <v>1.7938999999999998</v>
      </c>
      <c r="Q297" s="278">
        <f>IFERROR(INDEX('Ashed teabags dry'!$K$2:$K$825,MATCH(J297,'Ashed teabags dry'!$A$2:$A$825,0)),"")</f>
        <v>2.8059990324146233</v>
      </c>
      <c r="R297" s="278">
        <f t="shared" si="22"/>
        <v>1.7435631833575138</v>
      </c>
      <c r="S297" s="268">
        <f>'Dry_Litterbag Placem_Collection'!E78</f>
        <v>42937</v>
      </c>
      <c r="T297" s="268">
        <f>IF('Dry_Litterbag Placem_Collection'!G78="","",'Dry_Litterbag Placem_Collection'!G78)</f>
        <v>43006</v>
      </c>
      <c r="U297" s="269">
        <f t="shared" si="20"/>
        <v>69</v>
      </c>
      <c r="V297" s="267">
        <f t="shared" si="23"/>
        <v>0.16230000000000011</v>
      </c>
      <c r="W297" s="267">
        <f t="shared" si="24"/>
        <v>0.16800289125039436</v>
      </c>
      <c r="X297" s="271">
        <f>IFERROR(INDEX(Rainfall_Dry!$O$2:$O$217,MATCH(B297, Rainfall_Dry!$A$2:$A$217,0)),"")</f>
        <v>6.900000125</v>
      </c>
      <c r="Y297" s="260">
        <v>45.272914521112256</v>
      </c>
      <c r="Z297" s="260">
        <v>23.604531410916575</v>
      </c>
      <c r="AA297" s="260">
        <v>31.122554067971166</v>
      </c>
      <c r="AB297" s="261" t="s">
        <v>2673</v>
      </c>
      <c r="AC297" s="260">
        <v>5.0547560374568796</v>
      </c>
      <c r="AD297">
        <f>IF('WetLitterbags placem_collection'!AB78="","",'WetLitterbags placem_collection'!AB78)</f>
        <v>6.7</v>
      </c>
      <c r="AE297">
        <f>IF('WetLitterbags placem_collection'!Z78="","",'WetLitterbags placem_collection'!Z78)</f>
        <v>19.3</v>
      </c>
      <c r="AF297" s="24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71">
        <f>IFERROR(AVERAGE('Dry_Litterbag Placem_Collection'!N78,'Dry_Litterbag Placem_Collection'!Q78),"")</f>
        <v>27.75</v>
      </c>
      <c r="AJ297" s="270">
        <f>INDEX(Coordinates!$B$2:$B$197,MATCH(G297,Coordinates!$J$2:$J$197,0))</f>
        <v>-3.3024560190000001</v>
      </c>
      <c r="AK297" s="270">
        <f>INDEX(Coordinates!$C$2:$C$197,MATCH(G297,Coordinates!$J$2:$J$197,0))</f>
        <v>34.847871990000002</v>
      </c>
      <c r="AL297" s="270" t="str">
        <f>IF(ISNUMBER(SEARCH("C", 'Dry_Litterbag Placem_Collection'!T78)),"YES","NO")</f>
        <v>NO</v>
      </c>
      <c r="AM297" s="270" t="str">
        <f>IF(ISNUMBER(SEARCH("H", 'Dry_Litterbag Placem_Collection'!T78)),"YES","NO")</f>
        <v>NO</v>
      </c>
      <c r="AN297" s="270" t="str">
        <f>IF(ISNUMBER(SEARCH("R", 'Dry_Litterbag Placem_Collection'!T78)),"YES","NO")</f>
        <v>NO</v>
      </c>
    </row>
    <row r="298" spans="1:40" ht="15" customHeight="1">
      <c r="A298" s="262" t="s">
        <v>2659</v>
      </c>
      <c r="B298" s="263">
        <f>'Dry_Litterbag Placem_Collection'!A79</f>
        <v>77</v>
      </c>
      <c r="C298" s="263" t="str">
        <f>'Dry_Litterbag Placem_Collection'!B79</f>
        <v>Maswa</v>
      </c>
      <c r="D298" s="263" t="s">
        <v>2659</v>
      </c>
      <c r="E298" s="263" t="s">
        <v>2661</v>
      </c>
      <c r="F298" s="263">
        <v>2</v>
      </c>
      <c r="G298" s="264" t="str">
        <f>'Dry_Litterbag Placem_Collection'!C79</f>
        <v>Dry_W2_T5</v>
      </c>
      <c r="H298" s="265" t="s">
        <v>2541</v>
      </c>
      <c r="I298" s="272" t="s">
        <v>298</v>
      </c>
      <c r="J298" s="263" t="str">
        <f>IF(ISBLANK('Dry_Litterbag Placem_Collection'!K79),"","R"&amp;""&amp;'Dry_Litterbag Placem_Collection'!K79)</f>
        <v/>
      </c>
      <c r="K298" s="267" t="str">
        <f>IFERROR(INDEX('Green_rooibos initial weight'!$C$5:$C$1749,MATCH(J298, 'Green_rooibos initial weight'!$A$5:$A$1749,0)),"")</f>
        <v/>
      </c>
      <c r="L298" s="267" t="str">
        <f>IFERROR(K298-(TBIcalc!$Q$9+TBIcalc!$Q$10),"")</f>
        <v/>
      </c>
      <c r="M298" s="391">
        <f>AVERAGE(Ashed_controlls!$K$12:$K$14)</f>
        <v>2.2816647271287041</v>
      </c>
      <c r="N298" s="267" t="str">
        <f t="shared" si="21"/>
        <v/>
      </c>
      <c r="O298" s="267" t="str">
        <f>IF(IFERROR(INDEX('Both teabags AfterDry'!$D$3:$D$900,MATCH(J298,'Both teabags AfterDry'!$A$3:$A$900,0)),"")="","",(IFERROR(INDEX('Both teabags AfterDry'!$D$3:$D$900,MATCH(J298,'Both teabags AfterDry'!$A$3:$A$900,0)),"")))</f>
        <v/>
      </c>
      <c r="P298" s="267" t="str">
        <f>IFERROR(IF(O298&gt;0,O298-(TBIcalc!$Q$9),""),"")</f>
        <v/>
      </c>
      <c r="Q298" s="278" t="str">
        <f>IFERROR(INDEX('Ashed teabags dry'!$K$2:$K$825,MATCH(J298,'Ashed teabags dry'!$A$2:$A$825,0)),"")</f>
        <v/>
      </c>
      <c r="R298" s="278" t="str">
        <f t="shared" si="22"/>
        <v/>
      </c>
      <c r="S298" s="268">
        <f>'Dry_Litterbag Placem_Collection'!E79</f>
        <v>0</v>
      </c>
      <c r="T298" s="268" t="str">
        <f>IF('Dry_Litterbag Placem_Collection'!G79="","",'Dry_Litterbag Placem_Collection'!G79)</f>
        <v/>
      </c>
      <c r="U298" s="269" t="str">
        <f t="shared" si="20"/>
        <v/>
      </c>
      <c r="V298" s="267" t="str">
        <f t="shared" si="23"/>
        <v/>
      </c>
      <c r="W298" s="267" t="str">
        <f t="shared" si="24"/>
        <v/>
      </c>
      <c r="X298" s="271" t="str">
        <f>IFERROR(INDEX(Rainfall_Dry!$O$2:$O$217,MATCH(B298, Rainfall_Dry!$A$2:$A$217,0)),"")</f>
        <v/>
      </c>
      <c r="Y298" s="260">
        <v>45.272914521112256</v>
      </c>
      <c r="Z298" s="260">
        <v>23.604531410916575</v>
      </c>
      <c r="AA298" s="260">
        <v>31.122554067971166</v>
      </c>
      <c r="AB298" s="261" t="s">
        <v>2673</v>
      </c>
      <c r="AC298" s="260">
        <v>6.0547560374568796</v>
      </c>
      <c r="AD298">
        <f>IF('WetLitterbags placem_collection'!AB79="","",'WetLitterbags placem_collection'!AB79)</f>
        <v>3.1</v>
      </c>
      <c r="AE298">
        <f>IF('WetLitterbags placem_collection'!Z79="","",'WetLitterbags placem_collection'!Z79)</f>
        <v>9.8000000000000007</v>
      </c>
      <c r="AF298" s="24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71" t="str">
        <f>IFERROR(AVERAGE('Dry_Litterbag Placem_Collection'!N79,'Dry_Litterbag Placem_Collection'!Q79),"")</f>
        <v/>
      </c>
      <c r="AJ298" s="270">
        <f>INDEX(Coordinates!$B$2:$B$197,MATCH(G298,Coordinates!$J$2:$J$197,0))</f>
        <v>-3.3023280279999998</v>
      </c>
      <c r="AK298" s="270">
        <f>INDEX(Coordinates!$C$2:$C$197,MATCH(G298,Coordinates!$J$2:$J$197,0))</f>
        <v>34.848223019999999</v>
      </c>
      <c r="AL298" s="270" t="str">
        <f>IF(ISNUMBER(SEARCH("C", 'Dry_Litterbag Placem_Collection'!T79)),"YES","NO")</f>
        <v>NO</v>
      </c>
      <c r="AM298" s="270" t="str">
        <f>IF(ISNUMBER(SEARCH("H", 'Dry_Litterbag Placem_Collection'!T79)),"YES","NO")</f>
        <v>NO</v>
      </c>
      <c r="AN298" s="270" t="str">
        <f>IF(ISNUMBER(SEARCH("R", 'Dry_Litterbag Placem_Collection'!T79)),"YES","NO")</f>
        <v>NO</v>
      </c>
    </row>
    <row r="299" spans="1:40" ht="15" customHeight="1">
      <c r="A299" s="262" t="s">
        <v>2659</v>
      </c>
      <c r="B299" s="263">
        <f>'Dry_Litterbag Placem_Collection'!A80</f>
        <v>78</v>
      </c>
      <c r="C299" s="263" t="str">
        <f>'Dry_Litterbag Placem_Collection'!B80</f>
        <v>Maswa</v>
      </c>
      <c r="D299" s="263" t="s">
        <v>2659</v>
      </c>
      <c r="E299" s="263" t="s">
        <v>2661</v>
      </c>
      <c r="F299" s="263">
        <v>2</v>
      </c>
      <c r="G299" s="264" t="str">
        <f>'Dry_Litterbag Placem_Collection'!C80</f>
        <v>Dry_W2_T6</v>
      </c>
      <c r="H299" s="265" t="s">
        <v>2541</v>
      </c>
      <c r="I299" s="272" t="s">
        <v>298</v>
      </c>
      <c r="J299" s="263" t="str">
        <f>IF(ISBLANK('Dry_Litterbag Placem_Collection'!K80),"","R"&amp;""&amp;'Dry_Litterbag Placem_Collection'!K80)</f>
        <v>R696</v>
      </c>
      <c r="K299" s="267">
        <f>IFERROR(INDEX('Green_rooibos initial weight'!$C$5:$C$1749,MATCH(J299, 'Green_rooibos initial weight'!$A$5:$A$1749,0)),"")</f>
        <v>2.1389999999999998</v>
      </c>
      <c r="L299" s="267">
        <f>IFERROR(K299-(TBIcalc!$Q$9+TBIcalc!$Q$10),"")</f>
        <v>1.8891999999999998</v>
      </c>
      <c r="M299" s="391">
        <f>AVERAGE(Ashed_controlls!$K$12:$K$14)</f>
        <v>2.2816647271287041</v>
      </c>
      <c r="N299" s="267">
        <f t="shared" si="21"/>
        <v>1.8460947899750844</v>
      </c>
      <c r="O299" s="267">
        <f>IF(IFERROR(INDEX('Both teabags AfterDry'!$D$3:$D$900,MATCH(J299,'Both teabags AfterDry'!$A$3:$A$900,0)),"")="","",(IFERROR(INDEX('Both teabags AfterDry'!$D$3:$D$900,MATCH(J299,'Both teabags AfterDry'!$A$3:$A$900,0)),"")))</f>
        <v>1.9605999999999999</v>
      </c>
      <c r="P299" s="267">
        <f>IFERROR(IF(O299&gt;0,O299-(TBIcalc!$Q$9),""),"")</f>
        <v>1.8099999999999998</v>
      </c>
      <c r="Q299" s="278">
        <f>IFERROR(INDEX('Ashed teabags dry'!$K$2:$K$825,MATCH(J299,'Ashed teabags dry'!$A$2:$A$825,0)),"")</f>
        <v>2.2848808945063115</v>
      </c>
      <c r="R299" s="278">
        <f t="shared" si="22"/>
        <v>1.7686436558094356</v>
      </c>
      <c r="S299" s="268">
        <f>'Dry_Litterbag Placem_Collection'!E80</f>
        <v>42937</v>
      </c>
      <c r="T299" s="268">
        <f>IF('Dry_Litterbag Placem_Collection'!G80="","",'Dry_Litterbag Placem_Collection'!G80)</f>
        <v>43006</v>
      </c>
      <c r="U299" s="269">
        <f t="shared" si="20"/>
        <v>69</v>
      </c>
      <c r="V299" s="267">
        <f t="shared" si="23"/>
        <v>7.9199999999999937E-2</v>
      </c>
      <c r="W299" s="267">
        <f t="shared" si="24"/>
        <v>7.745113416564875E-2</v>
      </c>
      <c r="X299" s="271">
        <f>IFERROR(INDEX(Rainfall_Dry!$O$2:$O$217,MATCH(B299, Rainfall_Dry!$A$2:$A$217,0)),"")</f>
        <v>6.900000125</v>
      </c>
      <c r="Y299" s="260">
        <v>45.272914521112256</v>
      </c>
      <c r="Z299" s="260">
        <v>23.604531410916575</v>
      </c>
      <c r="AA299" s="260">
        <v>31.122554067971166</v>
      </c>
      <c r="AB299" s="261" t="s">
        <v>2673</v>
      </c>
      <c r="AC299" s="260">
        <v>7.0547560374568796</v>
      </c>
      <c r="AD299">
        <f>IF('WetLitterbags placem_collection'!AB80="","",'WetLitterbags placem_collection'!AB80)</f>
        <v>10.4</v>
      </c>
      <c r="AE299">
        <f>IF('WetLitterbags placem_collection'!Z80="","",'WetLitterbags placem_collection'!Z80)</f>
        <v>15.4</v>
      </c>
      <c r="AF299" s="24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71">
        <f>IFERROR(AVERAGE('Dry_Litterbag Placem_Collection'!N80,'Dry_Litterbag Placem_Collection'!Q80),"")</f>
        <v>28.35</v>
      </c>
      <c r="AJ299" s="270">
        <f>INDEX(Coordinates!$B$2:$B$197,MATCH(G299,Coordinates!$J$2:$J$197,0))</f>
        <v>-3.3025680020000001</v>
      </c>
      <c r="AK299" s="270">
        <f>INDEX(Coordinates!$C$2:$C$197,MATCH(G299,Coordinates!$J$2:$J$197,0))</f>
        <v>34.848167029999999</v>
      </c>
      <c r="AL299" s="270" t="str">
        <f>IF(ISNUMBER(SEARCH("C", 'Dry_Litterbag Placem_Collection'!T80)),"YES","NO")</f>
        <v>NO</v>
      </c>
      <c r="AM299" s="270" t="str">
        <f>IF(ISNUMBER(SEARCH("H", 'Dry_Litterbag Placem_Collection'!T80)),"YES","NO")</f>
        <v>YES</v>
      </c>
      <c r="AN299" s="270" t="str">
        <f>IF(ISNUMBER(SEARCH("R", 'Dry_Litterbag Placem_Collection'!T80)),"YES","NO")</f>
        <v>NO</v>
      </c>
    </row>
    <row r="300" spans="1:40" ht="15" customHeight="1">
      <c r="A300" s="262" t="s">
        <v>2659</v>
      </c>
      <c r="B300" s="263">
        <f>'Dry_Litterbag Placem_Collection'!A81</f>
        <v>79</v>
      </c>
      <c r="C300" s="263" t="str">
        <f>'Dry_Litterbag Placem_Collection'!B81</f>
        <v>Maswa</v>
      </c>
      <c r="D300" s="263" t="s">
        <v>2659</v>
      </c>
      <c r="E300" s="263" t="s">
        <v>2661</v>
      </c>
      <c r="F300" s="263">
        <v>2</v>
      </c>
      <c r="G300" s="264" t="str">
        <f>'Dry_Litterbag Placem_Collection'!C81</f>
        <v>Dry_W2_T7</v>
      </c>
      <c r="H300" s="265" t="s">
        <v>2541</v>
      </c>
      <c r="I300" s="272" t="s">
        <v>298</v>
      </c>
      <c r="J300" s="263" t="str">
        <f>IF(ISBLANK('Dry_Litterbag Placem_Collection'!K81),"","R"&amp;""&amp;'Dry_Litterbag Placem_Collection'!K81)</f>
        <v>R270</v>
      </c>
      <c r="K300" s="267">
        <f>IFERROR(INDEX('Green_rooibos initial weight'!$C$5:$C$1749,MATCH(J300, 'Green_rooibos initial weight'!$A$5:$A$1749,0)),"")</f>
        <v>2.2170000000000001</v>
      </c>
      <c r="L300" s="267">
        <f>IFERROR(K300-(TBIcalc!$Q$9+TBIcalc!$Q$10),"")</f>
        <v>1.9672000000000001</v>
      </c>
      <c r="M300" s="391">
        <f>AVERAGE(Ashed_controlls!$K$12:$K$14)</f>
        <v>2.2816647271287041</v>
      </c>
      <c r="N300" s="267">
        <f t="shared" si="21"/>
        <v>1.9223150914879241</v>
      </c>
      <c r="O300" s="267">
        <f>IF(IFERROR(INDEX('Both teabags AfterDry'!$D$3:$D$900,MATCH(J300,'Both teabags AfterDry'!$A$3:$A$900,0)),"")="","",(IFERROR(INDEX('Both teabags AfterDry'!$D$3:$D$900,MATCH(J300,'Both teabags AfterDry'!$A$3:$A$900,0)),"")))</f>
        <v>1.9970000000000001</v>
      </c>
      <c r="P300" s="267">
        <f>IFERROR(IF(O300&gt;0,O300-(TBIcalc!$Q$9),""),"")</f>
        <v>1.8464</v>
      </c>
      <c r="Q300" s="278">
        <f>IFERROR(INDEX('Ashed teabags dry'!$K$2:$K$825,MATCH(J300,'Ashed teabags dry'!$A$2:$A$825,0)),"")</f>
        <v>2.6437847866422564</v>
      </c>
      <c r="R300" s="278">
        <f t="shared" si="22"/>
        <v>1.7975851576994375</v>
      </c>
      <c r="S300" s="268">
        <f>'Dry_Litterbag Placem_Collection'!E81</f>
        <v>42937</v>
      </c>
      <c r="T300" s="268">
        <f>IF('Dry_Litterbag Placem_Collection'!G81="","",'Dry_Litterbag Placem_Collection'!G81)</f>
        <v>43006</v>
      </c>
      <c r="U300" s="269">
        <f t="shared" si="20"/>
        <v>69</v>
      </c>
      <c r="V300" s="267">
        <f t="shared" si="23"/>
        <v>0.12080000000000002</v>
      </c>
      <c r="W300" s="267">
        <f t="shared" si="24"/>
        <v>0.12472993378848662</v>
      </c>
      <c r="X300" s="271">
        <f>IFERROR(INDEX(Rainfall_Dry!$O$2:$O$217,MATCH(B300, Rainfall_Dry!$A$2:$A$217,0)),"")</f>
        <v>6.900000125</v>
      </c>
      <c r="Y300" s="260">
        <v>45.272914521112256</v>
      </c>
      <c r="Z300" s="260">
        <v>23.604531410916575</v>
      </c>
      <c r="AA300" s="260">
        <v>31.122554067971166</v>
      </c>
      <c r="AB300" s="261" t="s">
        <v>2673</v>
      </c>
      <c r="AC300" s="260">
        <v>8.0547560374568796</v>
      </c>
      <c r="AD300">
        <f>IF('WetLitterbags placem_collection'!AB81="","",'WetLitterbags placem_collection'!AB81)</f>
        <v>3</v>
      </c>
      <c r="AE300">
        <f>IF('WetLitterbags placem_collection'!Z81="","",'WetLitterbags placem_collection'!Z81)</f>
        <v>5</v>
      </c>
      <c r="AF300" s="24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71">
        <f>IFERROR(AVERAGE('Dry_Litterbag Placem_Collection'!N81,'Dry_Litterbag Placem_Collection'!Q81),"")</f>
        <v>26.25</v>
      </c>
      <c r="AJ300" s="270">
        <f>INDEX(Coordinates!$B$2:$B$197,MATCH(G300,Coordinates!$J$2:$J$197,0))</f>
        <v>-3.3026270100000001</v>
      </c>
      <c r="AK300" s="270">
        <f>INDEX(Coordinates!$C$2:$C$197,MATCH(G300,Coordinates!$J$2:$J$197,0))</f>
        <v>34.84840801</v>
      </c>
      <c r="AL300" s="270" t="str">
        <f>IF(ISNUMBER(SEARCH("C", 'Dry_Litterbag Placem_Collection'!T81)),"YES","NO")</f>
        <v>NO</v>
      </c>
      <c r="AM300" s="270" t="str">
        <f>IF(ISNUMBER(SEARCH("H", 'Dry_Litterbag Placem_Collection'!T81)),"YES","NO")</f>
        <v>NO</v>
      </c>
      <c r="AN300" s="270" t="str">
        <f>IF(ISNUMBER(SEARCH("R", 'Dry_Litterbag Placem_Collection'!T81)),"YES","NO")</f>
        <v>NO</v>
      </c>
    </row>
    <row r="301" spans="1:40" ht="15" customHeight="1">
      <c r="A301" s="262" t="s">
        <v>2659</v>
      </c>
      <c r="B301" s="263">
        <f>'Dry_Litterbag Placem_Collection'!A82</f>
        <v>80</v>
      </c>
      <c r="C301" s="263" t="str">
        <f>'Dry_Litterbag Placem_Collection'!B82</f>
        <v>Maswa</v>
      </c>
      <c r="D301" s="263" t="s">
        <v>2659</v>
      </c>
      <c r="E301" s="263" t="s">
        <v>2661</v>
      </c>
      <c r="F301" s="263">
        <v>2</v>
      </c>
      <c r="G301" s="264" t="str">
        <f>'Dry_Litterbag Placem_Collection'!C82</f>
        <v>Dry_W2_T8</v>
      </c>
      <c r="H301" s="265" t="s">
        <v>2541</v>
      </c>
      <c r="I301" s="272" t="s">
        <v>298</v>
      </c>
      <c r="J301" s="263" t="str">
        <f>IF(ISBLANK('Dry_Litterbag Placem_Collection'!K82),"","R"&amp;""&amp;'Dry_Litterbag Placem_Collection'!K82)</f>
        <v>R726</v>
      </c>
      <c r="K301" s="267">
        <f>IFERROR(INDEX('Green_rooibos initial weight'!$C$5:$C$1749,MATCH(J301, 'Green_rooibos initial weight'!$A$5:$A$1749,0)),"")</f>
        <v>2.2810000000000001</v>
      </c>
      <c r="L301" s="267">
        <f>IFERROR(K301-(TBIcalc!$Q$9+TBIcalc!$Q$10),"")</f>
        <v>2.0312000000000001</v>
      </c>
      <c r="M301" s="391">
        <f>AVERAGE(Ashed_controlls!$K$12:$K$14)</f>
        <v>2.2816647271287041</v>
      </c>
      <c r="N301" s="267">
        <f t="shared" si="21"/>
        <v>1.9848548260625618</v>
      </c>
      <c r="O301" s="267">
        <f>IF(IFERROR(INDEX('Both teabags AfterDry'!$D$3:$D$900,MATCH(J301,'Both teabags AfterDry'!$A$3:$A$900,0)),"")="","",(IFERROR(INDEX('Both teabags AfterDry'!$D$3:$D$900,MATCH(J301,'Both teabags AfterDry'!$A$3:$A$900,0)),"")))</f>
        <v>1.9471000000000001</v>
      </c>
      <c r="P301" s="267">
        <f>IFERROR(IF(O301&gt;0,O301-(TBIcalc!$Q$9),""),"")</f>
        <v>1.7965</v>
      </c>
      <c r="Q301" s="278">
        <f>IFERROR(INDEX('Ashed teabags dry'!$K$2:$K$825,MATCH(J301,'Ashed teabags dry'!$A$2:$A$825,0)),"")</f>
        <v>2.8653295128930178</v>
      </c>
      <c r="R301" s="278">
        <f t="shared" si="22"/>
        <v>1.7450243553008769</v>
      </c>
      <c r="S301" s="268">
        <f>'Dry_Litterbag Placem_Collection'!E82</f>
        <v>42937</v>
      </c>
      <c r="T301" s="268">
        <f>IF('Dry_Litterbag Placem_Collection'!G82="","",'Dry_Litterbag Placem_Collection'!G82)</f>
        <v>43006</v>
      </c>
      <c r="U301" s="269">
        <f t="shared" si="20"/>
        <v>69</v>
      </c>
      <c r="V301" s="267">
        <f t="shared" si="23"/>
        <v>0.23470000000000013</v>
      </c>
      <c r="W301" s="267">
        <f t="shared" si="24"/>
        <v>0.23983047076168496</v>
      </c>
      <c r="X301" s="271">
        <f>IFERROR(INDEX(Rainfall_Dry!$O$2:$O$217,MATCH(B301, Rainfall_Dry!$A$2:$A$217,0)),"")</f>
        <v>6.900000125</v>
      </c>
      <c r="Y301" s="260">
        <v>45.272914521112256</v>
      </c>
      <c r="Z301" s="260">
        <v>23.604531410916575</v>
      </c>
      <c r="AA301" s="260">
        <v>31.122554067971166</v>
      </c>
      <c r="AB301" s="261" t="s">
        <v>2673</v>
      </c>
      <c r="AC301" s="260">
        <v>9.0547560374568796</v>
      </c>
      <c r="AD301">
        <f>IF('WetLitterbags placem_collection'!AB82="","",'WetLitterbags placem_collection'!AB82)</f>
        <v>2.7</v>
      </c>
      <c r="AE301">
        <f>IF('WetLitterbags placem_collection'!Z82="","",'WetLitterbags placem_collection'!Z82)</f>
        <v>12.4</v>
      </c>
      <c r="AF301" s="24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71">
        <f>IFERROR(AVERAGE('Dry_Litterbag Placem_Collection'!N82,'Dry_Litterbag Placem_Collection'!Q82),"")</f>
        <v>27.7</v>
      </c>
      <c r="AJ301" s="270">
        <f>INDEX(Coordinates!$B$2:$B$197,MATCH(G301,Coordinates!$J$2:$J$197,0))</f>
        <v>-3.3028539920000002</v>
      </c>
      <c r="AK301" s="270">
        <f>INDEX(Coordinates!$C$2:$C$197,MATCH(G301,Coordinates!$J$2:$J$197,0))</f>
        <v>34.847988999999998</v>
      </c>
      <c r="AL301" s="270" t="str">
        <f>IF(ISNUMBER(SEARCH("C", 'Dry_Litterbag Placem_Collection'!T82)),"YES","NO")</f>
        <v>NO</v>
      </c>
      <c r="AM301" s="270" t="str">
        <f>IF(ISNUMBER(SEARCH("H", 'Dry_Litterbag Placem_Collection'!T82)),"YES","NO")</f>
        <v>NO</v>
      </c>
      <c r="AN301" s="270" t="str">
        <f>IF(ISNUMBER(SEARCH("R", 'Dry_Litterbag Placem_Collection'!T82)),"YES","NO")</f>
        <v>NO</v>
      </c>
    </row>
    <row r="302" spans="1:40" ht="15" customHeight="1">
      <c r="A302" s="262" t="s">
        <v>2659</v>
      </c>
      <c r="B302" s="263">
        <f>'Dry_Litterbag Placem_Collection'!A83</f>
        <v>81</v>
      </c>
      <c r="C302" s="263" t="str">
        <f>'Dry_Litterbag Placem_Collection'!B83</f>
        <v>Maswa</v>
      </c>
      <c r="D302" s="263" t="s">
        <v>2659</v>
      </c>
      <c r="E302" s="263" t="s">
        <v>2661</v>
      </c>
      <c r="F302" s="263">
        <v>3</v>
      </c>
      <c r="G302" s="264" t="str">
        <f>'Dry_Litterbag Placem_Collection'!C83</f>
        <v>Dry_W3_T1</v>
      </c>
      <c r="H302" s="265" t="s">
        <v>2541</v>
      </c>
      <c r="I302" s="272" t="s">
        <v>298</v>
      </c>
      <c r="J302" s="263" t="str">
        <f>IF(ISBLANK('Dry_Litterbag Placem_Collection'!K83),"","R"&amp;""&amp;'Dry_Litterbag Placem_Collection'!K83)</f>
        <v>R739</v>
      </c>
      <c r="K302" s="267">
        <f>IFERROR(INDEX('Green_rooibos initial weight'!$C$5:$C$1749,MATCH(J302, 'Green_rooibos initial weight'!$A$5:$A$1749,0)),"")</f>
        <v>2.222</v>
      </c>
      <c r="L302" s="267">
        <f>IFERROR(K302-(TBIcalc!$Q$9+TBIcalc!$Q$10),"")</f>
        <v>1.9722</v>
      </c>
      <c r="M302" s="391">
        <f>AVERAGE(Ashed_controlls!$K$12:$K$14)</f>
        <v>2.2816647271287041</v>
      </c>
      <c r="N302" s="267">
        <f t="shared" si="21"/>
        <v>1.9272010082515676</v>
      </c>
      <c r="O302" s="267">
        <f>IF(IFERROR(INDEX('Both teabags AfterDry'!$D$3:$D$900,MATCH(J302,'Both teabags AfterDry'!$A$3:$A$900,0)),"")="","",(IFERROR(INDEX('Both teabags AfterDry'!$D$3:$D$900,MATCH(J302,'Both teabags AfterDry'!$A$3:$A$900,0)),"")))</f>
        <v>1.9457</v>
      </c>
      <c r="P302" s="267">
        <f>IFERROR(IF(O302&gt;0,O302-(TBIcalc!$Q$9),""),"")</f>
        <v>1.7950999999999999</v>
      </c>
      <c r="Q302" s="278">
        <f>IFERROR(INDEX('Ashed teabags dry'!$K$2:$K$825,MATCH(J302,'Ashed teabags dry'!$A$2:$A$825,0)),"")</f>
        <v>2.6627218934911183</v>
      </c>
      <c r="R302" s="278">
        <f t="shared" si="22"/>
        <v>1.7473014792899408</v>
      </c>
      <c r="S302" s="268">
        <f>'Dry_Litterbag Placem_Collection'!E83</f>
        <v>42937</v>
      </c>
      <c r="T302" s="268">
        <f>IF('Dry_Litterbag Placem_Collection'!G83="","",'Dry_Litterbag Placem_Collection'!G83)</f>
        <v>43006</v>
      </c>
      <c r="U302" s="269">
        <f t="shared" si="20"/>
        <v>69</v>
      </c>
      <c r="V302" s="267">
        <f t="shared" si="23"/>
        <v>0.17710000000000004</v>
      </c>
      <c r="W302" s="267">
        <f t="shared" si="24"/>
        <v>0.17989952896162675</v>
      </c>
      <c r="X302" s="271">
        <f>IFERROR(INDEX(Rainfall_Dry!$O$2:$O$217,MATCH(B302, Rainfall_Dry!$A$2:$A$217,0)),"")</f>
        <v>12.563016860999999</v>
      </c>
      <c r="Y302" s="260">
        <v>38.691629007962128</v>
      </c>
      <c r="Z302" s="260">
        <v>26.81299763288143</v>
      </c>
      <c r="AA302" s="260">
        <v>34.495373359156439</v>
      </c>
      <c r="AB302" s="261" t="s">
        <v>2675</v>
      </c>
      <c r="AC302" s="260">
        <v>2.5483587974371611</v>
      </c>
      <c r="AD302">
        <f>IF('WetLitterbags placem_collection'!AB83="","",'WetLitterbags placem_collection'!AB83)</f>
        <v>6.2</v>
      </c>
      <c r="AE302">
        <f>IF('WetLitterbags placem_collection'!Z83="","",'WetLitterbags placem_collection'!Z83)</f>
        <v>13.3</v>
      </c>
      <c r="AF302" s="24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71">
        <f>IFERROR(AVERAGE('Dry_Litterbag Placem_Collection'!N83,'Dry_Litterbag Placem_Collection'!Q83),"")</f>
        <v>26.35</v>
      </c>
      <c r="AJ302" s="270">
        <f>INDEX(Coordinates!$B$2:$B$197,MATCH(G302,Coordinates!$J$2:$J$197,0))</f>
        <v>-3.2957159630000001</v>
      </c>
      <c r="AK302" s="270">
        <f>INDEX(Coordinates!$C$2:$C$197,MATCH(G302,Coordinates!$J$2:$J$197,0))</f>
        <v>34.852460999999998</v>
      </c>
      <c r="AL302" s="270" t="str">
        <f>IF(ISNUMBER(SEARCH("C", 'Dry_Litterbag Placem_Collection'!T83)),"YES","NO")</f>
        <v>NO</v>
      </c>
      <c r="AM302" s="270" t="str">
        <f>IF(ISNUMBER(SEARCH("H", 'Dry_Litterbag Placem_Collection'!T83)),"YES","NO")</f>
        <v>NO</v>
      </c>
      <c r="AN302" s="270" t="str">
        <f>IF(ISNUMBER(SEARCH("R", 'Dry_Litterbag Placem_Collection'!T83)),"YES","NO")</f>
        <v>NO</v>
      </c>
    </row>
    <row r="303" spans="1:40" ht="15" customHeight="1">
      <c r="A303" s="262" t="s">
        <v>2659</v>
      </c>
      <c r="B303" s="263">
        <f>'Dry_Litterbag Placem_Collection'!A84</f>
        <v>82</v>
      </c>
      <c r="C303" s="263" t="str">
        <f>'Dry_Litterbag Placem_Collection'!B84</f>
        <v>Maswa</v>
      </c>
      <c r="D303" s="263" t="s">
        <v>2659</v>
      </c>
      <c r="E303" s="263" t="s">
        <v>2661</v>
      </c>
      <c r="F303" s="263">
        <v>3</v>
      </c>
      <c r="G303" s="264" t="str">
        <f>'Dry_Litterbag Placem_Collection'!C84</f>
        <v>Dry_W3_T2</v>
      </c>
      <c r="H303" s="265" t="s">
        <v>2541</v>
      </c>
      <c r="I303" s="272" t="s">
        <v>298</v>
      </c>
      <c r="J303" s="263" t="str">
        <f>IF(ISBLANK('Dry_Litterbag Placem_Collection'!K84),"","R"&amp;""&amp;'Dry_Litterbag Placem_Collection'!K84)</f>
        <v>R800</v>
      </c>
      <c r="K303" s="267">
        <f>IFERROR(INDEX('Green_rooibos initial weight'!$C$5:$C$1749,MATCH(J303, 'Green_rooibos initial weight'!$A$5:$A$1749,0)),"")</f>
        <v>2.1579999999999999</v>
      </c>
      <c r="L303" s="267">
        <f>IFERROR(K303-(TBIcalc!$Q$9+TBIcalc!$Q$10),"")</f>
        <v>1.9081999999999999</v>
      </c>
      <c r="M303" s="391">
        <f>AVERAGE(Ashed_controlls!$K$12:$K$14)</f>
        <v>2.2816647271287041</v>
      </c>
      <c r="N303" s="267">
        <f t="shared" si="21"/>
        <v>1.8646612736769299</v>
      </c>
      <c r="O303" s="267">
        <f>IF(IFERROR(INDEX('Both teabags AfterDry'!$D$3:$D$900,MATCH(J303,'Both teabags AfterDry'!$A$3:$A$900,0)),"")="","",(IFERROR(INDEX('Both teabags AfterDry'!$D$3:$D$900,MATCH(J303,'Both teabags AfterDry'!$A$3:$A$900,0)),"")))</f>
        <v>1.8712</v>
      </c>
      <c r="P303" s="267">
        <f>IFERROR(IF(O303&gt;0,O303-(TBIcalc!$Q$9),""),"")</f>
        <v>1.7205999999999999</v>
      </c>
      <c r="Q303" s="278">
        <f>IFERROR(INDEX('Ashed teabags dry'!$K$2:$K$825,MATCH(J303,'Ashed teabags dry'!$A$2:$A$825,0)),"")</f>
        <v>2.8725314183131179</v>
      </c>
      <c r="R303" s="278">
        <f t="shared" si="22"/>
        <v>1.6711752244165043</v>
      </c>
      <c r="S303" s="268">
        <f>'Dry_Litterbag Placem_Collection'!E84</f>
        <v>42937</v>
      </c>
      <c r="T303" s="268">
        <f>IF('Dry_Litterbag Placem_Collection'!G84="","",'Dry_Litterbag Placem_Collection'!G84)</f>
        <v>43006</v>
      </c>
      <c r="U303" s="269">
        <f t="shared" si="20"/>
        <v>69</v>
      </c>
      <c r="V303" s="267">
        <f t="shared" si="23"/>
        <v>0.18759999999999999</v>
      </c>
      <c r="W303" s="267">
        <f t="shared" si="24"/>
        <v>0.19348604926042556</v>
      </c>
      <c r="X303" s="271">
        <f>IFERROR(INDEX(Rainfall_Dry!$O$2:$O$217,MATCH(B303, Rainfall_Dry!$A$2:$A$217,0)),"")</f>
        <v>12.563016860999999</v>
      </c>
      <c r="Y303" s="260">
        <v>38.691629007962128</v>
      </c>
      <c r="Z303" s="260">
        <v>26.81299763288143</v>
      </c>
      <c r="AA303" s="260">
        <v>34.495373359156439</v>
      </c>
      <c r="AB303" s="261" t="s">
        <v>2675</v>
      </c>
      <c r="AC303" s="260">
        <v>3.5483587974371602</v>
      </c>
      <c r="AD303">
        <f>IF('WetLitterbags placem_collection'!AB84="","",'WetLitterbags placem_collection'!AB84)</f>
        <v>2.4</v>
      </c>
      <c r="AE303">
        <f>IF('WetLitterbags placem_collection'!Z84="","",'WetLitterbags placem_collection'!Z84)</f>
        <v>16.600000000000001</v>
      </c>
      <c r="AF303" s="24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71">
        <f>IFERROR(AVERAGE('Dry_Litterbag Placem_Collection'!N84,'Dry_Litterbag Placem_Collection'!Q84),"")</f>
        <v>25.5</v>
      </c>
      <c r="AJ303" s="270">
        <f>INDEX(Coordinates!$B$2:$B$197,MATCH(G303,Coordinates!$J$2:$J$197,0))</f>
        <v>-3.2957230040000001</v>
      </c>
      <c r="AK303" s="270">
        <f>INDEX(Coordinates!$C$2:$C$197,MATCH(G303,Coordinates!$J$2:$J$197,0))</f>
        <v>34.852416990000002</v>
      </c>
      <c r="AL303" s="270" t="str">
        <f>IF(ISNUMBER(SEARCH("C", 'Dry_Litterbag Placem_Collection'!T84)),"YES","NO")</f>
        <v>NO</v>
      </c>
      <c r="AM303" s="270" t="str">
        <f>IF(ISNUMBER(SEARCH("H", 'Dry_Litterbag Placem_Collection'!T84)),"YES","NO")</f>
        <v>NO</v>
      </c>
      <c r="AN303" s="270" t="str">
        <f>IF(ISNUMBER(SEARCH("R", 'Dry_Litterbag Placem_Collection'!T84)),"YES","NO")</f>
        <v>NO</v>
      </c>
    </row>
    <row r="304" spans="1:40" ht="15" customHeight="1">
      <c r="A304" s="262" t="s">
        <v>2659</v>
      </c>
      <c r="B304" s="263">
        <f>'Dry_Litterbag Placem_Collection'!A85</f>
        <v>83</v>
      </c>
      <c r="C304" s="263" t="str">
        <f>'Dry_Litterbag Placem_Collection'!B85</f>
        <v>Maswa</v>
      </c>
      <c r="D304" s="263" t="s">
        <v>2659</v>
      </c>
      <c r="E304" s="263" t="s">
        <v>2661</v>
      </c>
      <c r="F304" s="263">
        <v>3</v>
      </c>
      <c r="G304" s="264" t="str">
        <f>'Dry_Litterbag Placem_Collection'!C85</f>
        <v>Dry_W3_T3</v>
      </c>
      <c r="H304" s="265" t="s">
        <v>2541</v>
      </c>
      <c r="I304" s="272" t="s">
        <v>298</v>
      </c>
      <c r="J304" s="263" t="str">
        <f>IF(ISBLANK('Dry_Litterbag Placem_Collection'!K85),"","R"&amp;""&amp;'Dry_Litterbag Placem_Collection'!K85)</f>
        <v>R764</v>
      </c>
      <c r="K304" s="267">
        <f>IFERROR(INDEX('Green_rooibos initial weight'!$C$5:$C$1749,MATCH(J304, 'Green_rooibos initial weight'!$A$5:$A$1749,0)),"")</f>
        <v>2.2160000000000002</v>
      </c>
      <c r="L304" s="267">
        <f>IFERROR(K304-(TBIcalc!$Q$9+TBIcalc!$Q$10),"")</f>
        <v>1.9662000000000002</v>
      </c>
      <c r="M304" s="391">
        <f>AVERAGE(Ashed_controlls!$K$12:$K$14)</f>
        <v>2.2816647271287041</v>
      </c>
      <c r="N304" s="267">
        <f t="shared" si="21"/>
        <v>1.9213379081351956</v>
      </c>
      <c r="O304" s="267">
        <f>IF(IFERROR(INDEX('Both teabags AfterDry'!$D$3:$D$900,MATCH(J304,'Both teabags AfterDry'!$A$3:$A$900,0)),"")="","",(IFERROR(INDEX('Both teabags AfterDry'!$D$3:$D$900,MATCH(J304,'Both teabags AfterDry'!$A$3:$A$900,0)),"")))</f>
        <v>1.9178999999999999</v>
      </c>
      <c r="P304" s="267">
        <f>IFERROR(IF(O304&gt;0,O304-(TBIcalc!$Q$9),""),"")</f>
        <v>1.7672999999999999</v>
      </c>
      <c r="Q304" s="278">
        <f>IFERROR(INDEX('Ashed teabags dry'!$K$2:$K$825,MATCH(J304,'Ashed teabags dry'!$A$2:$A$825,0)),"")</f>
        <v>2.3591718825229306</v>
      </c>
      <c r="R304" s="278">
        <f t="shared" si="22"/>
        <v>1.7256063553201721</v>
      </c>
      <c r="S304" s="268">
        <f>'Dry_Litterbag Placem_Collection'!E85</f>
        <v>42937</v>
      </c>
      <c r="T304" s="268">
        <f>IF('Dry_Litterbag Placem_Collection'!G85="","",'Dry_Litterbag Placem_Collection'!G85)</f>
        <v>43006</v>
      </c>
      <c r="U304" s="269">
        <f t="shared" si="20"/>
        <v>69</v>
      </c>
      <c r="V304" s="267">
        <f t="shared" si="23"/>
        <v>0.1989000000000003</v>
      </c>
      <c r="W304" s="267">
        <f t="shared" si="24"/>
        <v>0.19573155281502341</v>
      </c>
      <c r="X304" s="271">
        <f>IFERROR(INDEX(Rainfall_Dry!$O$2:$O$217,MATCH(B304, Rainfall_Dry!$A$2:$A$217,0)),"")</f>
        <v>12.563016860999999</v>
      </c>
      <c r="Y304" s="260">
        <v>38.691629007962128</v>
      </c>
      <c r="Z304" s="260">
        <v>26.81299763288143</v>
      </c>
      <c r="AA304" s="260">
        <v>34.495373359156439</v>
      </c>
      <c r="AB304" s="261" t="s">
        <v>2675</v>
      </c>
      <c r="AC304" s="260">
        <v>4.5483587974371602</v>
      </c>
      <c r="AD304">
        <f>IF('WetLitterbags placem_collection'!AB85="","",'WetLitterbags placem_collection'!AB85)</f>
        <v>6.4</v>
      </c>
      <c r="AE304">
        <f>IF('WetLitterbags placem_collection'!Z85="","",'WetLitterbags placem_collection'!Z85)</f>
        <v>42</v>
      </c>
      <c r="AF304" s="24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71">
        <f>IFERROR(AVERAGE('Dry_Litterbag Placem_Collection'!N85,'Dry_Litterbag Placem_Collection'!Q85),"")</f>
        <v>26.05</v>
      </c>
      <c r="AJ304" s="270">
        <f>INDEX(Coordinates!$B$2:$B$197,MATCH(G304,Coordinates!$J$2:$J$197,0))</f>
        <v>-3.2957430369999998</v>
      </c>
      <c r="AK304" s="270">
        <f>INDEX(Coordinates!$C$2:$C$197,MATCH(G304,Coordinates!$J$2:$J$197,0))</f>
        <v>34.852309030000001</v>
      </c>
      <c r="AL304" s="270" t="str">
        <f>IF(ISNUMBER(SEARCH("C", 'Dry_Litterbag Placem_Collection'!T85)),"YES","NO")</f>
        <v>NO</v>
      </c>
      <c r="AM304" s="270" t="str">
        <f>IF(ISNUMBER(SEARCH("H", 'Dry_Litterbag Placem_Collection'!T85)),"YES","NO")</f>
        <v>NO</v>
      </c>
      <c r="AN304" s="270" t="str">
        <f>IF(ISNUMBER(SEARCH("R", 'Dry_Litterbag Placem_Collection'!T85)),"YES","NO")</f>
        <v>NO</v>
      </c>
    </row>
    <row r="305" spans="1:40" ht="15" customHeight="1">
      <c r="A305" s="262" t="s">
        <v>2659</v>
      </c>
      <c r="B305" s="263">
        <f>'Dry_Litterbag Placem_Collection'!A86</f>
        <v>84</v>
      </c>
      <c r="C305" s="263" t="str">
        <f>'Dry_Litterbag Placem_Collection'!B86</f>
        <v>Maswa</v>
      </c>
      <c r="D305" s="263" t="s">
        <v>2659</v>
      </c>
      <c r="E305" s="263" t="s">
        <v>2661</v>
      </c>
      <c r="F305" s="263">
        <v>3</v>
      </c>
      <c r="G305" s="264" t="str">
        <f>'Dry_Litterbag Placem_Collection'!C86</f>
        <v>Dry_W3_T4</v>
      </c>
      <c r="H305" s="265" t="s">
        <v>2541</v>
      </c>
      <c r="I305" s="272" t="s">
        <v>298</v>
      </c>
      <c r="J305" s="263" t="str">
        <f>IF(ISBLANK('Dry_Litterbag Placem_Collection'!K86),"","R"&amp;""&amp;'Dry_Litterbag Placem_Collection'!K86)</f>
        <v>R778</v>
      </c>
      <c r="K305" s="267">
        <f>IFERROR(INDEX('Green_rooibos initial weight'!$C$5:$C$1749,MATCH(J305, 'Green_rooibos initial weight'!$A$5:$A$1749,0)),"")</f>
        <v>2.2450000000000001</v>
      </c>
      <c r="L305" s="267">
        <f>IFERROR(K305-(TBIcalc!$Q$9+TBIcalc!$Q$10),"")</f>
        <v>1.9952000000000001</v>
      </c>
      <c r="M305" s="391">
        <f>AVERAGE(Ashed_controlls!$K$12:$K$14)</f>
        <v>2.2816647271287041</v>
      </c>
      <c r="N305" s="267">
        <f t="shared" si="21"/>
        <v>1.9496762253643283</v>
      </c>
      <c r="O305" s="267">
        <f>IF(IFERROR(INDEX('Both teabags AfterDry'!$D$3:$D$900,MATCH(J305,'Both teabags AfterDry'!$A$3:$A$900,0)),"")="","",(IFERROR(INDEX('Both teabags AfterDry'!$D$3:$D$900,MATCH(J305,'Both teabags AfterDry'!$A$3:$A$900,0)),"")))</f>
        <v>1.9495</v>
      </c>
      <c r="P305" s="267">
        <f>IFERROR(IF(O305&gt;0,O305-(TBIcalc!$Q$9),""),"")</f>
        <v>1.7988999999999999</v>
      </c>
      <c r="Q305" s="278">
        <f>IFERROR(INDEX('Ashed teabags dry'!$K$2:$K$825,MATCH(J305,'Ashed teabags dry'!$A$2:$A$825,0)),"")</f>
        <v>2.5398406374508733</v>
      </c>
      <c r="R305" s="278">
        <f t="shared" si="22"/>
        <v>1.7532108067728962</v>
      </c>
      <c r="S305" s="268">
        <f>'Dry_Litterbag Placem_Collection'!E86</f>
        <v>42937</v>
      </c>
      <c r="T305" s="268">
        <f>IF('Dry_Litterbag Placem_Collection'!G86="","",'Dry_Litterbag Placem_Collection'!G86)</f>
        <v>43006</v>
      </c>
      <c r="U305" s="269">
        <f t="shared" si="20"/>
        <v>69</v>
      </c>
      <c r="V305" s="267">
        <f t="shared" si="23"/>
        <v>0.19630000000000014</v>
      </c>
      <c r="W305" s="267">
        <f t="shared" si="24"/>
        <v>0.19646541859143207</v>
      </c>
      <c r="X305" s="271">
        <f>IFERROR(INDEX(Rainfall_Dry!$O$2:$O$217,MATCH(B305, Rainfall_Dry!$A$2:$A$217,0)),"")</f>
        <v>12.563016860999999</v>
      </c>
      <c r="Y305" s="260">
        <v>38.691629007962128</v>
      </c>
      <c r="Z305" s="260">
        <v>26.81299763288143</v>
      </c>
      <c r="AA305" s="260">
        <v>34.495373359156439</v>
      </c>
      <c r="AB305" s="261" t="s">
        <v>2675</v>
      </c>
      <c r="AC305" s="260">
        <v>5.5483587974371602</v>
      </c>
      <c r="AD305">
        <f>IF('WetLitterbags placem_collection'!AB86="","",'WetLitterbags placem_collection'!AB86)</f>
        <v>5.5</v>
      </c>
      <c r="AE305">
        <f>IF('WetLitterbags placem_collection'!Z86="","",'WetLitterbags placem_collection'!Z86)</f>
        <v>55.8</v>
      </c>
      <c r="AF305" s="24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71">
        <f>IFERROR(AVERAGE('Dry_Litterbag Placem_Collection'!N86,'Dry_Litterbag Placem_Collection'!Q86),"")</f>
        <v>26.549999999999997</v>
      </c>
      <c r="AJ305" s="270">
        <f>INDEX(Coordinates!$B$2:$B$197,MATCH(G305,Coordinates!$J$2:$J$197,0))</f>
        <v>-3.295795005</v>
      </c>
      <c r="AK305" s="270">
        <f>INDEX(Coordinates!$C$2:$C$197,MATCH(G305,Coordinates!$J$2:$J$197,0))</f>
        <v>34.85232001</v>
      </c>
      <c r="AL305" s="270" t="str">
        <f>IF(ISNUMBER(SEARCH("C", 'Dry_Litterbag Placem_Collection'!T86)),"YES","NO")</f>
        <v>NO</v>
      </c>
      <c r="AM305" s="270" t="str">
        <f>IF(ISNUMBER(SEARCH("H", 'Dry_Litterbag Placem_Collection'!T86)),"YES","NO")</f>
        <v>NO</v>
      </c>
      <c r="AN305" s="270" t="str">
        <f>IF(ISNUMBER(SEARCH("R", 'Dry_Litterbag Placem_Collection'!T86)),"YES","NO")</f>
        <v>NO</v>
      </c>
    </row>
    <row r="306" spans="1:40" ht="15" customHeight="1">
      <c r="A306" s="262" t="s">
        <v>2659</v>
      </c>
      <c r="B306" s="263">
        <f>'Dry_Litterbag Placem_Collection'!A87</f>
        <v>85</v>
      </c>
      <c r="C306" s="263" t="str">
        <f>'Dry_Litterbag Placem_Collection'!B87</f>
        <v>Maswa</v>
      </c>
      <c r="D306" s="263" t="s">
        <v>2659</v>
      </c>
      <c r="E306" s="263" t="s">
        <v>2661</v>
      </c>
      <c r="F306" s="263">
        <v>3</v>
      </c>
      <c r="G306" s="264" t="str">
        <f>'Dry_Litterbag Placem_Collection'!C87</f>
        <v>Dry_W3_T5</v>
      </c>
      <c r="H306" s="265" t="s">
        <v>2541</v>
      </c>
      <c r="I306" s="272" t="s">
        <v>298</v>
      </c>
      <c r="J306" s="263" t="str">
        <f>IF(ISBLANK('Dry_Litterbag Placem_Collection'!K87),"","R"&amp;""&amp;'Dry_Litterbag Placem_Collection'!K87)</f>
        <v/>
      </c>
      <c r="K306" s="267" t="str">
        <f>IFERROR(INDEX('Green_rooibos initial weight'!$C$5:$C$1749,MATCH(J306, 'Green_rooibos initial weight'!$A$5:$A$1749,0)),"")</f>
        <v/>
      </c>
      <c r="L306" s="267" t="str">
        <f>IFERROR(K306-(TBIcalc!$Q$9+TBIcalc!$Q$10),"")</f>
        <v/>
      </c>
      <c r="M306" s="391">
        <f>AVERAGE(Ashed_controlls!$K$12:$K$14)</f>
        <v>2.2816647271287041</v>
      </c>
      <c r="N306" s="267" t="str">
        <f t="shared" si="21"/>
        <v/>
      </c>
      <c r="O306" s="267" t="str">
        <f>IF(IFERROR(INDEX('Both teabags AfterDry'!$D$3:$D$900,MATCH(J306,'Both teabags AfterDry'!$A$3:$A$900,0)),"")="","",(IFERROR(INDEX('Both teabags AfterDry'!$D$3:$D$900,MATCH(J306,'Both teabags AfterDry'!$A$3:$A$900,0)),"")))</f>
        <v/>
      </c>
      <c r="P306" s="267" t="str">
        <f>IFERROR(IF(O306&gt;0,O306-(TBIcalc!$Q$9),""),"")</f>
        <v/>
      </c>
      <c r="Q306" s="278" t="str">
        <f>IFERROR(INDEX('Ashed teabags dry'!$K$2:$K$825,MATCH(J306,'Ashed teabags dry'!$A$2:$A$825,0)),"")</f>
        <v/>
      </c>
      <c r="R306" s="278" t="str">
        <f t="shared" si="22"/>
        <v/>
      </c>
      <c r="S306" s="268">
        <f>'Dry_Litterbag Placem_Collection'!E87</f>
        <v>0</v>
      </c>
      <c r="T306" s="268" t="str">
        <f>IF('Dry_Litterbag Placem_Collection'!G87="","",'Dry_Litterbag Placem_Collection'!G87)</f>
        <v/>
      </c>
      <c r="U306" s="269" t="str">
        <f t="shared" si="20"/>
        <v/>
      </c>
      <c r="V306" s="267" t="str">
        <f t="shared" si="23"/>
        <v/>
      </c>
      <c r="W306" s="267" t="str">
        <f t="shared" si="24"/>
        <v/>
      </c>
      <c r="X306" s="271" t="str">
        <f>IFERROR(INDEX(Rainfall_Dry!$O$2:$O$217,MATCH(B306, Rainfall_Dry!$A$2:$A$217,0)),"")</f>
        <v/>
      </c>
      <c r="Y306" s="260">
        <v>38.691629007962128</v>
      </c>
      <c r="Z306" s="260">
        <v>26.81299763288143</v>
      </c>
      <c r="AA306" s="260">
        <v>34.495373359156439</v>
      </c>
      <c r="AB306" s="261" t="s">
        <v>2675</v>
      </c>
      <c r="AC306" s="260">
        <v>6.5483587974371602</v>
      </c>
      <c r="AD306">
        <f>IF('WetLitterbags placem_collection'!AB87="","",'WetLitterbags placem_collection'!AB87)</f>
        <v>8.6</v>
      </c>
      <c r="AE306">
        <f>IF('WetLitterbags placem_collection'!Z87="","",'WetLitterbags placem_collection'!Z87)</f>
        <v>3.8</v>
      </c>
      <c r="AF306" s="24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71" t="str">
        <f>IFERROR(AVERAGE('Dry_Litterbag Placem_Collection'!N87,'Dry_Litterbag Placem_Collection'!Q87),"")</f>
        <v/>
      </c>
      <c r="AJ306" s="270">
        <f>INDEX(Coordinates!$B$2:$B$197,MATCH(G306,Coordinates!$J$2:$J$197,0))</f>
        <v>-3.2957100119999998</v>
      </c>
      <c r="AK306" s="270">
        <f>INDEX(Coordinates!$C$2:$C$197,MATCH(G306,Coordinates!$J$2:$J$197,0))</f>
        <v>34.852283970000002</v>
      </c>
      <c r="AL306" s="270" t="str">
        <f>IF(ISNUMBER(SEARCH("C", 'Dry_Litterbag Placem_Collection'!T87)),"YES","NO")</f>
        <v>NO</v>
      </c>
      <c r="AM306" s="270" t="str">
        <f>IF(ISNUMBER(SEARCH("H", 'Dry_Litterbag Placem_Collection'!T87)),"YES","NO")</f>
        <v>NO</v>
      </c>
      <c r="AN306" s="270" t="str">
        <f>IF(ISNUMBER(SEARCH("R", 'Dry_Litterbag Placem_Collection'!T87)),"YES","NO")</f>
        <v>NO</v>
      </c>
    </row>
    <row r="307" spans="1:40" ht="15" customHeight="1">
      <c r="A307" s="262" t="s">
        <v>2659</v>
      </c>
      <c r="B307" s="263">
        <f>'Dry_Litterbag Placem_Collection'!A88</f>
        <v>86</v>
      </c>
      <c r="C307" s="263" t="str">
        <f>'Dry_Litterbag Placem_Collection'!B88</f>
        <v>Maswa</v>
      </c>
      <c r="D307" s="263" t="s">
        <v>2659</v>
      </c>
      <c r="E307" s="263" t="s">
        <v>2661</v>
      </c>
      <c r="F307" s="263">
        <v>3</v>
      </c>
      <c r="G307" s="264" t="str">
        <f>'Dry_Litterbag Placem_Collection'!C88</f>
        <v>Dry_W3_T6</v>
      </c>
      <c r="H307" s="265" t="s">
        <v>2541</v>
      </c>
      <c r="I307" s="272" t="s">
        <v>298</v>
      </c>
      <c r="J307" s="263" t="str">
        <f>IF(ISBLANK('Dry_Litterbag Placem_Collection'!K88),"","R"&amp;""&amp;'Dry_Litterbag Placem_Collection'!K88)</f>
        <v>R738</v>
      </c>
      <c r="K307" s="267">
        <f>IFERROR(INDEX('Green_rooibos initial weight'!$C$5:$C$1749,MATCH(J307, 'Green_rooibos initial weight'!$A$5:$A$1749,0)),"")</f>
        <v>2.1890000000000001</v>
      </c>
      <c r="L307" s="267">
        <f>IFERROR(K307-(TBIcalc!$Q$9+TBIcalc!$Q$10),"")</f>
        <v>1.9392</v>
      </c>
      <c r="M307" s="391">
        <f>AVERAGE(Ashed_controlls!$K$12:$K$14)</f>
        <v>2.2816647271287041</v>
      </c>
      <c r="N307" s="267">
        <f t="shared" si="21"/>
        <v>1.8949539576115202</v>
      </c>
      <c r="O307" s="267" t="str">
        <f>IF(IFERROR(INDEX('Both teabags AfterDry'!$D$3:$D$900,MATCH(J307,'Both teabags AfterDry'!$A$3:$A$900,0)),"")="","",(IFERROR(INDEX('Both teabags AfterDry'!$D$3:$D$900,MATCH(J307,'Both teabags AfterDry'!$A$3:$A$900,0)),"")))</f>
        <v/>
      </c>
      <c r="P307" s="267" t="str">
        <f>IFERROR(IF(O307&gt;0,O307-(TBIcalc!$Q$9),""),"")</f>
        <v/>
      </c>
      <c r="Q307" s="278" t="str">
        <f>IFERROR(INDEX('Ashed teabags dry'!$K$2:$K$825,MATCH(J307,'Ashed teabags dry'!$A$2:$A$825,0)),"")</f>
        <v/>
      </c>
      <c r="R307" s="278" t="str">
        <f t="shared" si="22"/>
        <v/>
      </c>
      <c r="S307" s="268">
        <f>'Dry_Litterbag Placem_Collection'!E88</f>
        <v>42937</v>
      </c>
      <c r="T307" s="268">
        <f>IF('Dry_Litterbag Placem_Collection'!G88="","",'Dry_Litterbag Placem_Collection'!G88)</f>
        <v>43006</v>
      </c>
      <c r="U307" s="269">
        <f t="shared" si="20"/>
        <v>69</v>
      </c>
      <c r="V307" s="267" t="str">
        <f t="shared" si="23"/>
        <v/>
      </c>
      <c r="W307" s="267" t="str">
        <f t="shared" si="24"/>
        <v/>
      </c>
      <c r="X307" s="271">
        <f>IFERROR(INDEX(Rainfall_Dry!$O$2:$O$217,MATCH(B307, Rainfall_Dry!$A$2:$A$217,0)),"")</f>
        <v>12.563016860999999</v>
      </c>
      <c r="Y307" s="260">
        <v>38.691629007962128</v>
      </c>
      <c r="Z307" s="260">
        <v>26.81299763288143</v>
      </c>
      <c r="AA307" s="260">
        <v>34.495373359156439</v>
      </c>
      <c r="AB307" s="261" t="s">
        <v>2675</v>
      </c>
      <c r="AC307" s="260">
        <v>7.5483587974371602</v>
      </c>
      <c r="AD307">
        <f>IF('WetLitterbags placem_collection'!AB88="","",'WetLitterbags placem_collection'!AB88)</f>
        <v>3.7</v>
      </c>
      <c r="AE307">
        <f>IF('WetLitterbags placem_collection'!Z88="","",'WetLitterbags placem_collection'!Z88)</f>
        <v>7.5</v>
      </c>
      <c r="AF307" s="24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71">
        <f>IFERROR(AVERAGE('Dry_Litterbag Placem_Collection'!N88,'Dry_Litterbag Placem_Collection'!Q88),"")</f>
        <v>26.9</v>
      </c>
      <c r="AJ307" s="270">
        <f>INDEX(Coordinates!$B$2:$B$197,MATCH(G307,Coordinates!$J$2:$J$197,0))</f>
        <v>-3.2956140399999998</v>
      </c>
      <c r="AK307" s="270">
        <f>INDEX(Coordinates!$C$2:$C$197,MATCH(G307,Coordinates!$J$2:$J$197,0))</f>
        <v>34.852137030000002</v>
      </c>
      <c r="AL307" s="270" t="str">
        <f>IF(ISNUMBER(SEARCH("C", 'Dry_Litterbag Placem_Collection'!T88)),"YES","NO")</f>
        <v>NO</v>
      </c>
      <c r="AM307" s="270" t="str">
        <f>IF(ISNUMBER(SEARCH("H", 'Dry_Litterbag Placem_Collection'!T88)),"YES","NO")</f>
        <v>NO</v>
      </c>
      <c r="AN307" s="270" t="str">
        <f>IF(ISNUMBER(SEARCH("R", 'Dry_Litterbag Placem_Collection'!T88)),"YES","NO")</f>
        <v>NO</v>
      </c>
    </row>
    <row r="308" spans="1:40" ht="15" customHeight="1">
      <c r="A308" s="262" t="s">
        <v>2659</v>
      </c>
      <c r="B308" s="263">
        <f>'Dry_Litterbag Placem_Collection'!A89</f>
        <v>87</v>
      </c>
      <c r="C308" s="263" t="str">
        <f>'Dry_Litterbag Placem_Collection'!B89</f>
        <v>Maswa</v>
      </c>
      <c r="D308" s="263" t="s">
        <v>2659</v>
      </c>
      <c r="E308" s="263" t="s">
        <v>2661</v>
      </c>
      <c r="F308" s="263">
        <v>3</v>
      </c>
      <c r="G308" s="264" t="str">
        <f>'Dry_Litterbag Placem_Collection'!C89</f>
        <v>Dry_W3_T7</v>
      </c>
      <c r="H308" s="265" t="s">
        <v>2541</v>
      </c>
      <c r="I308" s="272" t="s">
        <v>298</v>
      </c>
      <c r="J308" s="263" t="str">
        <f>IF(ISBLANK('Dry_Litterbag Placem_Collection'!K89),"","R"&amp;""&amp;'Dry_Litterbag Placem_Collection'!K89)</f>
        <v>R394</v>
      </c>
      <c r="K308" s="267">
        <f>IFERROR(INDEX('Green_rooibos initial weight'!$C$5:$C$1749,MATCH(J308, 'Green_rooibos initial weight'!$A$5:$A$1749,0)),"")</f>
        <v>2.1800000000000002</v>
      </c>
      <c r="L308" s="267">
        <f>IFERROR(K308-(TBIcalc!$Q$9+TBIcalc!$Q$10),"")</f>
        <v>1.9302000000000001</v>
      </c>
      <c r="M308" s="391">
        <f>AVERAGE(Ashed_controlls!$K$12:$K$14)</f>
        <v>2.2816647271287041</v>
      </c>
      <c r="N308" s="267">
        <f t="shared" si="21"/>
        <v>1.8861593074369618</v>
      </c>
      <c r="O308" s="267">
        <f>IF(IFERROR(INDEX('Both teabags AfterDry'!$D$3:$D$900,MATCH(J308,'Both teabags AfterDry'!$A$3:$A$900,0)),"")="","",(IFERROR(INDEX('Both teabags AfterDry'!$D$3:$D$900,MATCH(J308,'Both teabags AfterDry'!$A$3:$A$900,0)),"")))</f>
        <v>1.9392</v>
      </c>
      <c r="P308" s="267">
        <f>IFERROR(IF(O308&gt;0,O308-(TBIcalc!$Q$9),""),"")</f>
        <v>1.7886</v>
      </c>
      <c r="Q308" s="278">
        <f>IFERROR(INDEX('Ashed teabags dry'!$K$2:$K$825,MATCH(J308,'Ashed teabags dry'!$A$2:$A$825,0)),"")</f>
        <v>3.1437125748499946</v>
      </c>
      <c r="R308" s="278">
        <f t="shared" si="22"/>
        <v>1.732371556886233</v>
      </c>
      <c r="S308" s="268">
        <f>'Dry_Litterbag Placem_Collection'!E89</f>
        <v>42937</v>
      </c>
      <c r="T308" s="268">
        <f>IF('Dry_Litterbag Placem_Collection'!G89="","",'Dry_Litterbag Placem_Collection'!G89)</f>
        <v>43006</v>
      </c>
      <c r="U308" s="269">
        <f t="shared" si="20"/>
        <v>69</v>
      </c>
      <c r="V308" s="267">
        <f t="shared" si="23"/>
        <v>0.14160000000000017</v>
      </c>
      <c r="W308" s="267">
        <f t="shared" si="24"/>
        <v>0.1537877505507288</v>
      </c>
      <c r="X308" s="271">
        <f>IFERROR(INDEX(Rainfall_Dry!$O$2:$O$217,MATCH(B308, Rainfall_Dry!$A$2:$A$217,0)),"")</f>
        <v>12.563016860999999</v>
      </c>
      <c r="Y308" s="260">
        <v>38.691629007962128</v>
      </c>
      <c r="Z308" s="260">
        <v>26.81299763288143</v>
      </c>
      <c r="AA308" s="260">
        <v>34.495373359156439</v>
      </c>
      <c r="AB308" s="261" t="s">
        <v>2675</v>
      </c>
      <c r="AC308" s="260">
        <v>8.5483587974371602</v>
      </c>
      <c r="AD308">
        <f>IF('WetLitterbags placem_collection'!AB89="","",'WetLitterbags placem_collection'!AB89)</f>
        <v>7.5</v>
      </c>
      <c r="AE308">
        <f>IF('WetLitterbags placem_collection'!Z89="","",'WetLitterbags placem_collection'!Z89)</f>
        <v>12.6</v>
      </c>
      <c r="AF308" s="24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71">
        <f>IFERROR(AVERAGE('Dry_Litterbag Placem_Collection'!N89,'Dry_Litterbag Placem_Collection'!Q89),"")</f>
        <v>24.3</v>
      </c>
      <c r="AJ308" s="270">
        <f>INDEX(Coordinates!$B$2:$B$197,MATCH(G308,Coordinates!$J$2:$J$197,0))</f>
        <v>-3.295904975</v>
      </c>
      <c r="AK308" s="270">
        <f>INDEX(Coordinates!$C$2:$C$197,MATCH(G308,Coordinates!$J$2:$J$197,0))</f>
        <v>34.852136029999997</v>
      </c>
      <c r="AL308" s="270" t="str">
        <f>IF(ISNUMBER(SEARCH("C", 'Dry_Litterbag Placem_Collection'!T89)),"YES","NO")</f>
        <v>NO</v>
      </c>
      <c r="AM308" s="270" t="str">
        <f>IF(ISNUMBER(SEARCH("H", 'Dry_Litterbag Placem_Collection'!T89)),"YES","NO")</f>
        <v>NO</v>
      </c>
      <c r="AN308" s="270" t="str">
        <f>IF(ISNUMBER(SEARCH("R", 'Dry_Litterbag Placem_Collection'!T89)),"YES","NO")</f>
        <v>NO</v>
      </c>
    </row>
    <row r="309" spans="1:40" ht="15" customHeight="1">
      <c r="A309" s="262" t="s">
        <v>2659</v>
      </c>
      <c r="B309" s="263">
        <f>'Dry_Litterbag Placem_Collection'!A90</f>
        <v>88</v>
      </c>
      <c r="C309" s="263" t="str">
        <f>'Dry_Litterbag Placem_Collection'!B90</f>
        <v>Maswa</v>
      </c>
      <c r="D309" s="263" t="s">
        <v>2659</v>
      </c>
      <c r="E309" s="263" t="s">
        <v>2661</v>
      </c>
      <c r="F309" s="263">
        <v>3</v>
      </c>
      <c r="G309" s="264" t="str">
        <f>'Dry_Litterbag Placem_Collection'!C90</f>
        <v>Dry_W3_T8</v>
      </c>
      <c r="H309" s="265" t="s">
        <v>2541</v>
      </c>
      <c r="I309" s="272" t="s">
        <v>298</v>
      </c>
      <c r="J309" s="263" t="str">
        <f>IF(ISBLANK('Dry_Litterbag Placem_Collection'!K90),"","R"&amp;""&amp;'Dry_Litterbag Placem_Collection'!K90)</f>
        <v>R819</v>
      </c>
      <c r="K309" s="267">
        <f>IFERROR(INDEX('Green_rooibos initial weight'!$C$5:$C$1749,MATCH(J309, 'Green_rooibos initial weight'!$A$5:$A$1749,0)),"")</f>
        <v>2.16</v>
      </c>
      <c r="L309" s="267">
        <f>IFERROR(K309-(TBIcalc!$Q$9+TBIcalc!$Q$10),"")</f>
        <v>1.9102000000000001</v>
      </c>
      <c r="M309" s="391">
        <f>AVERAGE(Ashed_controlls!$K$12:$K$14)</f>
        <v>2.2816647271287041</v>
      </c>
      <c r="N309" s="267">
        <f t="shared" si="21"/>
        <v>1.8666156403823877</v>
      </c>
      <c r="O309" s="267">
        <f>IF(IFERROR(INDEX('Both teabags AfterDry'!$D$3:$D$900,MATCH(J309,'Both teabags AfterDry'!$A$3:$A$900,0)),"")="","",(IFERROR(INDEX('Both teabags AfterDry'!$D$3:$D$900,MATCH(J309,'Both teabags AfterDry'!$A$3:$A$900,0)),"")))</f>
        <v>2.8028</v>
      </c>
      <c r="P309" s="267">
        <f>IFERROR(IF(O309&gt;0,O309-(TBIcalc!$Q$9),""),"")</f>
        <v>2.6522000000000001</v>
      </c>
      <c r="Q309" s="278">
        <f>IFERROR(INDEX('Ashed teabags dry'!$K$2:$K$825,MATCH(J309,'Ashed teabags dry'!$A$2:$A$825,0)),"")</f>
        <v>86.93858845096193</v>
      </c>
      <c r="R309" s="278">
        <f t="shared" si="22"/>
        <v>0.3464147571035876</v>
      </c>
      <c r="S309" s="268">
        <f>'Dry_Litterbag Placem_Collection'!E90</f>
        <v>42937</v>
      </c>
      <c r="T309" s="268">
        <f>IF('Dry_Litterbag Placem_Collection'!G90="","",'Dry_Litterbag Placem_Collection'!G90)</f>
        <v>43006</v>
      </c>
      <c r="U309" s="269">
        <f t="shared" si="20"/>
        <v>69</v>
      </c>
      <c r="V309" s="267">
        <f t="shared" si="23"/>
        <v>-0.74199999999999999</v>
      </c>
      <c r="W309" s="267">
        <f t="shared" si="24"/>
        <v>1.5202008832788001</v>
      </c>
      <c r="X309" s="271">
        <f>IFERROR(INDEX(Rainfall_Dry!$O$2:$O$217,MATCH(B309, Rainfall_Dry!$A$2:$A$217,0)),"")</f>
        <v>12.563016860999999</v>
      </c>
      <c r="Y309" s="260">
        <v>38.691629007962128</v>
      </c>
      <c r="Z309" s="260">
        <v>26.81299763288143</v>
      </c>
      <c r="AA309" s="260">
        <v>34.495373359156439</v>
      </c>
      <c r="AB309" s="261" t="s">
        <v>2675</v>
      </c>
      <c r="AC309" s="260">
        <v>9.5483587974371602</v>
      </c>
      <c r="AD309" t="str">
        <f>IF('WetLitterbags placem_collection'!AB90="","",'WetLitterbags placem_collection'!AB90)</f>
        <v/>
      </c>
      <c r="AE309" t="str">
        <f>IF('WetLitterbags placem_collection'!Z90="","",'WetLitterbags placem_collection'!Z90)</f>
        <v/>
      </c>
      <c r="AF309" s="24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71">
        <f>IFERROR(AVERAGE('Dry_Litterbag Placem_Collection'!N90,'Dry_Litterbag Placem_Collection'!Q90),"")</f>
        <v>26.049999999999997</v>
      </c>
      <c r="AJ309" s="270">
        <f>INDEX(Coordinates!$B$2:$B$197,MATCH(G309,Coordinates!$J$2:$J$197,0))</f>
        <v>-3.2959530039999998</v>
      </c>
      <c r="AK309" s="270">
        <f>INDEX(Coordinates!$C$2:$C$197,MATCH(G309,Coordinates!$J$2:$J$197,0))</f>
        <v>34.85242504</v>
      </c>
      <c r="AL309" s="270" t="str">
        <f>IF(ISNUMBER(SEARCH("C", 'Dry_Litterbag Placem_Collection'!T90)),"YES","NO")</f>
        <v>NO</v>
      </c>
      <c r="AM309" s="270" t="str">
        <f>IF(ISNUMBER(SEARCH("H", 'Dry_Litterbag Placem_Collection'!T90)),"YES","NO")</f>
        <v>NO</v>
      </c>
      <c r="AN309" s="270" t="str">
        <f>IF(ISNUMBER(SEARCH("R", 'Dry_Litterbag Placem_Collection'!T90)),"YES","NO")</f>
        <v>NO</v>
      </c>
    </row>
    <row r="310" spans="1:40" ht="15" customHeight="1">
      <c r="A310" s="262" t="s">
        <v>2659</v>
      </c>
      <c r="B310" s="263">
        <f>'Dry_Litterbag Placem_Collection'!A91</f>
        <v>89</v>
      </c>
      <c r="C310" s="263" t="str">
        <f>'Dry_Litterbag Placem_Collection'!B91</f>
        <v>Maswa</v>
      </c>
      <c r="D310" s="263" t="s">
        <v>2659</v>
      </c>
      <c r="E310" s="263" t="s">
        <v>2661</v>
      </c>
      <c r="F310" s="263">
        <v>4</v>
      </c>
      <c r="G310" s="264" t="str">
        <f>'Dry_Litterbag Placem_Collection'!C91</f>
        <v>Dry_W4_T1</v>
      </c>
      <c r="H310" s="265" t="s">
        <v>2541</v>
      </c>
      <c r="I310" s="272" t="s">
        <v>298</v>
      </c>
      <c r="J310" s="263" t="str">
        <f>IF(ISBLANK('Dry_Litterbag Placem_Collection'!K91),"","R"&amp;""&amp;'Dry_Litterbag Placem_Collection'!K91)</f>
        <v>R818</v>
      </c>
      <c r="K310" s="267">
        <f>IFERROR(INDEX('Green_rooibos initial weight'!$C$5:$C$1749,MATCH(J310, 'Green_rooibos initial weight'!$A$5:$A$1749,0)),"")</f>
        <v>2.1680000000000001</v>
      </c>
      <c r="L310" s="267">
        <f>IFERROR(K310-(TBIcalc!$Q$9+TBIcalc!$Q$10),"")</f>
        <v>1.9182000000000001</v>
      </c>
      <c r="M310" s="391">
        <f>AVERAGE(Ashed_controlls!$K$12:$K$14)</f>
        <v>2.2816647271287041</v>
      </c>
      <c r="N310" s="267">
        <f t="shared" si="21"/>
        <v>1.8744331072042173</v>
      </c>
      <c r="O310" s="267">
        <f>IF(IFERROR(INDEX('Both teabags AfterDry'!$D$3:$D$900,MATCH(J310,'Both teabags AfterDry'!$A$3:$A$900,0)),"")="","",(IFERROR(INDEX('Both teabags AfterDry'!$D$3:$D$900,MATCH(J310,'Both teabags AfterDry'!$A$3:$A$900,0)),"")))</f>
        <v>1.9155</v>
      </c>
      <c r="P310" s="267">
        <f>IFERROR(IF(O310&gt;0,O310-(TBIcalc!$Q$9),""),"")</f>
        <v>1.7648999999999999</v>
      </c>
      <c r="Q310" s="278">
        <f>IFERROR(INDEX('Ashed teabags dry'!$K$2:$K$825,MATCH(J310,'Ashed teabags dry'!$A$2:$A$825,0)),"")</f>
        <v>2.8114396509937518</v>
      </c>
      <c r="R310" s="278">
        <f t="shared" si="22"/>
        <v>1.7152809015996111</v>
      </c>
      <c r="S310" s="268">
        <f>'Dry_Litterbag Placem_Collection'!E91</f>
        <v>42937</v>
      </c>
      <c r="T310" s="268">
        <f>IF('Dry_Litterbag Placem_Collection'!G91="","",'Dry_Litterbag Placem_Collection'!G91)</f>
        <v>43006</v>
      </c>
      <c r="U310" s="269">
        <f t="shared" si="20"/>
        <v>69</v>
      </c>
      <c r="V310" s="267">
        <f t="shared" si="23"/>
        <v>0.15330000000000021</v>
      </c>
      <c r="W310" s="267">
        <f t="shared" si="24"/>
        <v>0.15915220560460619</v>
      </c>
      <c r="X310" s="271">
        <f>IFERROR(INDEX(Rainfall_Dry!$O$2:$O$217,MATCH(B310, Rainfall_Dry!$A$2:$A$217,0)),"")</f>
        <v>12.563016860999999</v>
      </c>
      <c r="Y310" s="260">
        <v>28.145762029394</v>
      </c>
      <c r="Z310" s="260">
        <v>25.085564727199518</v>
      </c>
      <c r="AA310" s="260">
        <v>46.768673243406489</v>
      </c>
      <c r="AB310" s="261" t="s">
        <v>2670</v>
      </c>
      <c r="AC310" s="260">
        <v>2.1716214884179394</v>
      </c>
      <c r="AD310">
        <f>IF('WetLitterbags placem_collection'!AB91="","",'WetLitterbags placem_collection'!AB91)</f>
        <v>7.3</v>
      </c>
      <c r="AE310">
        <f>IF('WetLitterbags placem_collection'!Z91="","",'WetLitterbags placem_collection'!Z91)</f>
        <v>35.799999999999997</v>
      </c>
      <c r="AF310" s="24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71">
        <f>IFERROR(AVERAGE('Dry_Litterbag Placem_Collection'!N91,'Dry_Litterbag Placem_Collection'!Q91),"")</f>
        <v>26.6</v>
      </c>
      <c r="AJ310" s="270">
        <f>INDEX(Coordinates!$B$2:$B$197,MATCH(G310,Coordinates!$J$2:$J$197,0))</f>
        <v>-3.2966709980000002</v>
      </c>
      <c r="AK310" s="270">
        <f>INDEX(Coordinates!$C$2:$C$197,MATCH(G310,Coordinates!$J$2:$J$197,0))</f>
        <v>34.854407019999996</v>
      </c>
      <c r="AL310" s="270" t="str">
        <f>IF(ISNUMBER(SEARCH("C", 'Dry_Litterbag Placem_Collection'!T91)),"YES","NO")</f>
        <v>NO</v>
      </c>
      <c r="AM310" s="270" t="str">
        <f>IF(ISNUMBER(SEARCH("H", 'Dry_Litterbag Placem_Collection'!T91)),"YES","NO")</f>
        <v>NO</v>
      </c>
      <c r="AN310" s="270" t="str">
        <f>IF(ISNUMBER(SEARCH("R", 'Dry_Litterbag Placem_Collection'!T91)),"YES","NO")</f>
        <v>NO</v>
      </c>
    </row>
    <row r="311" spans="1:40" ht="15" customHeight="1">
      <c r="A311" s="262" t="s">
        <v>2659</v>
      </c>
      <c r="B311" s="263">
        <f>'Dry_Litterbag Placem_Collection'!A92</f>
        <v>90</v>
      </c>
      <c r="C311" s="263" t="str">
        <f>'Dry_Litterbag Placem_Collection'!B92</f>
        <v>Maswa</v>
      </c>
      <c r="D311" s="263" t="s">
        <v>2659</v>
      </c>
      <c r="E311" s="263" t="s">
        <v>2661</v>
      </c>
      <c r="F311" s="263">
        <v>4</v>
      </c>
      <c r="G311" s="264" t="str">
        <f>'Dry_Litterbag Placem_Collection'!C92</f>
        <v>Dry_W4_T2</v>
      </c>
      <c r="H311" s="265" t="s">
        <v>2541</v>
      </c>
      <c r="I311" s="272" t="s">
        <v>298</v>
      </c>
      <c r="J311" s="263" t="str">
        <f>IF(ISBLANK('Dry_Litterbag Placem_Collection'!K92),"","R"&amp;""&amp;'Dry_Litterbag Placem_Collection'!K92)</f>
        <v>R767</v>
      </c>
      <c r="K311" s="267">
        <f>IFERROR(INDEX('Green_rooibos initial weight'!$C$5:$C$1749,MATCH(J311, 'Green_rooibos initial weight'!$A$5:$A$1749,0)),"")</f>
        <v>2.1890000000000001</v>
      </c>
      <c r="L311" s="267">
        <f>IFERROR(K311-(TBIcalc!$Q$9+TBIcalc!$Q$10),"")</f>
        <v>1.9392</v>
      </c>
      <c r="M311" s="391">
        <f>AVERAGE(Ashed_controlls!$K$12:$K$14)</f>
        <v>2.2816647271287041</v>
      </c>
      <c r="N311" s="267">
        <f t="shared" si="21"/>
        <v>1.8949539576115202</v>
      </c>
      <c r="O311" s="267" t="str">
        <f>IF(IFERROR(INDEX('Both teabags AfterDry'!$D$3:$D$900,MATCH(J311,'Both teabags AfterDry'!$A$3:$A$900,0)),"")="","",(IFERROR(INDEX('Both teabags AfterDry'!$D$3:$D$900,MATCH(J311,'Both teabags AfterDry'!$A$3:$A$900,0)),"")))</f>
        <v/>
      </c>
      <c r="P311" s="267" t="str">
        <f>IFERROR(IF(O311&gt;0,O311-(TBIcalc!$Q$9),""),"")</f>
        <v/>
      </c>
      <c r="Q311" s="278" t="str">
        <f>IFERROR(INDEX('Ashed teabags dry'!$K$2:$K$825,MATCH(J311,'Ashed teabags dry'!$A$2:$A$825,0)),"")</f>
        <v/>
      </c>
      <c r="R311" s="278" t="str">
        <f t="shared" si="22"/>
        <v/>
      </c>
      <c r="S311" s="268">
        <f>'Dry_Litterbag Placem_Collection'!E92</f>
        <v>42937</v>
      </c>
      <c r="T311" s="268">
        <f>IF('Dry_Litterbag Placem_Collection'!G92="","",'Dry_Litterbag Placem_Collection'!G92)</f>
        <v>43006</v>
      </c>
      <c r="U311" s="269">
        <f t="shared" si="20"/>
        <v>69</v>
      </c>
      <c r="V311" s="267" t="str">
        <f t="shared" si="23"/>
        <v/>
      </c>
      <c r="W311" s="267" t="str">
        <f t="shared" si="24"/>
        <v/>
      </c>
      <c r="X311" s="271">
        <f>IFERROR(INDEX(Rainfall_Dry!$O$2:$O$217,MATCH(B311, Rainfall_Dry!$A$2:$A$217,0)),"")</f>
        <v>12.563016860999999</v>
      </c>
      <c r="Y311" s="260">
        <v>28.145762029394</v>
      </c>
      <c r="Z311" s="260">
        <v>25.085564727199518</v>
      </c>
      <c r="AA311" s="260">
        <v>46.768673243406489</v>
      </c>
      <c r="AB311" s="261" t="s">
        <v>2670</v>
      </c>
      <c r="AC311" s="260">
        <v>3.1716214884179399</v>
      </c>
      <c r="AD311">
        <f>IF('WetLitterbags placem_collection'!AB92="","",'WetLitterbags placem_collection'!AB92)</f>
        <v>7.7</v>
      </c>
      <c r="AE311">
        <f>IF('WetLitterbags placem_collection'!Z92="","",'WetLitterbags placem_collection'!Z92)</f>
        <v>30.4</v>
      </c>
      <c r="AF311" s="24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71">
        <f>IFERROR(AVERAGE('Dry_Litterbag Placem_Collection'!N92,'Dry_Litterbag Placem_Collection'!Q92),"")</f>
        <v>26.45</v>
      </c>
      <c r="AJ311" s="270">
        <f>INDEX(Coordinates!$B$2:$B$197,MATCH(G311,Coordinates!$J$2:$J$197,0))</f>
        <v>-3.2966860009999999</v>
      </c>
      <c r="AK311" s="270">
        <f>INDEX(Coordinates!$C$2:$C$197,MATCH(G311,Coordinates!$J$2:$J$197,0))</f>
        <v>34.854371989999997</v>
      </c>
      <c r="AL311" s="270" t="str">
        <f>IF(ISNUMBER(SEARCH("C", 'Dry_Litterbag Placem_Collection'!T92)),"YES","NO")</f>
        <v>NO</v>
      </c>
      <c r="AM311" s="270" t="str">
        <f>IF(ISNUMBER(SEARCH("H", 'Dry_Litterbag Placem_Collection'!T92)),"YES","NO")</f>
        <v>NO</v>
      </c>
      <c r="AN311" s="270" t="str">
        <f>IF(ISNUMBER(SEARCH("R", 'Dry_Litterbag Placem_Collection'!T92)),"YES","NO")</f>
        <v>NO</v>
      </c>
    </row>
    <row r="312" spans="1:40" ht="15" customHeight="1">
      <c r="A312" s="262" t="s">
        <v>2659</v>
      </c>
      <c r="B312" s="263">
        <f>'Dry_Litterbag Placem_Collection'!A93</f>
        <v>91</v>
      </c>
      <c r="C312" s="263" t="str">
        <f>'Dry_Litterbag Placem_Collection'!B93</f>
        <v>Maswa</v>
      </c>
      <c r="D312" s="263" t="s">
        <v>2659</v>
      </c>
      <c r="E312" s="263" t="s">
        <v>2661</v>
      </c>
      <c r="F312" s="263">
        <v>4</v>
      </c>
      <c r="G312" s="264" t="str">
        <f>'Dry_Litterbag Placem_Collection'!C93</f>
        <v>Dry_W4_T3</v>
      </c>
      <c r="H312" s="265" t="s">
        <v>2541</v>
      </c>
      <c r="I312" s="272" t="s">
        <v>298</v>
      </c>
      <c r="J312" s="263" t="str">
        <f>IF(ISBLANK('Dry_Litterbag Placem_Collection'!K93),"","R"&amp;""&amp;'Dry_Litterbag Placem_Collection'!K93)</f>
        <v>R787</v>
      </c>
      <c r="K312" s="267">
        <f>IFERROR(INDEX('Green_rooibos initial weight'!$C$5:$C$1749,MATCH(J312, 'Green_rooibos initial weight'!$A$5:$A$1749,0)),"")</f>
        <v>2.1579999999999999</v>
      </c>
      <c r="L312" s="267">
        <f>IFERROR(K312-(TBIcalc!$Q$9+TBIcalc!$Q$10),"")</f>
        <v>1.9081999999999999</v>
      </c>
      <c r="M312" s="391">
        <f>AVERAGE(Ashed_controlls!$K$12:$K$14)</f>
        <v>2.2816647271287041</v>
      </c>
      <c r="N312" s="267">
        <f t="shared" si="21"/>
        <v>1.8646612736769299</v>
      </c>
      <c r="O312" s="267">
        <f>IF(IFERROR(INDEX('Both teabags AfterDry'!$D$3:$D$900,MATCH(J312,'Both teabags AfterDry'!$A$3:$A$900,0)),"")="","",(IFERROR(INDEX('Both teabags AfterDry'!$D$3:$D$900,MATCH(J312,'Both teabags AfterDry'!$A$3:$A$900,0)),"")))</f>
        <v>1.8551</v>
      </c>
      <c r="P312" s="267">
        <f>IFERROR(IF(O312&gt;0,O312-(TBIcalc!$Q$9),""),"")</f>
        <v>1.7044999999999999</v>
      </c>
      <c r="Q312" s="278">
        <f>IFERROR(INDEX('Ashed teabags dry'!$K$2:$K$825,MATCH(J312,'Ashed teabags dry'!$A$2:$A$825,0)),"")</f>
        <v>3.5746606334838318</v>
      </c>
      <c r="R312" s="278">
        <f t="shared" si="22"/>
        <v>1.643569909502268</v>
      </c>
      <c r="S312" s="268">
        <f>'Dry_Litterbag Placem_Collection'!E93</f>
        <v>42937</v>
      </c>
      <c r="T312" s="268">
        <f>IF('Dry_Litterbag Placem_Collection'!G93="","",'Dry_Litterbag Placem_Collection'!G93)</f>
        <v>43006</v>
      </c>
      <c r="U312" s="269">
        <f t="shared" si="20"/>
        <v>69</v>
      </c>
      <c r="V312" s="267">
        <f t="shared" si="23"/>
        <v>0.20369999999999999</v>
      </c>
      <c r="W312" s="267">
        <f t="shared" si="24"/>
        <v>0.22109136417466191</v>
      </c>
      <c r="X312" s="271">
        <f>IFERROR(INDEX(Rainfall_Dry!$O$2:$O$217,MATCH(B312, Rainfall_Dry!$A$2:$A$217,0)),"")</f>
        <v>12.563016860999999</v>
      </c>
      <c r="Y312" s="260">
        <v>28.145762029394</v>
      </c>
      <c r="Z312" s="260">
        <v>25.085564727199518</v>
      </c>
      <c r="AA312" s="260">
        <v>46.768673243406489</v>
      </c>
      <c r="AB312" s="261" t="s">
        <v>2670</v>
      </c>
      <c r="AC312" s="260">
        <v>4.1716214884179399</v>
      </c>
      <c r="AD312">
        <f>IF('WetLitterbags placem_collection'!AB93="","",'WetLitterbags placem_collection'!AB93)</f>
        <v>6.1</v>
      </c>
      <c r="AE312">
        <f>IF('WetLitterbags placem_collection'!Z93="","",'WetLitterbags placem_collection'!Z93)</f>
        <v>39.4</v>
      </c>
      <c r="AF312" s="24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71">
        <f>IFERROR(AVERAGE('Dry_Litterbag Placem_Collection'!N93,'Dry_Litterbag Placem_Collection'!Q93),"")</f>
        <v>25.95</v>
      </c>
      <c r="AJ312" s="270">
        <f>INDEX(Coordinates!$B$2:$B$197,MATCH(G312,Coordinates!$J$2:$J$197,0))</f>
        <v>-3.2966180239999998</v>
      </c>
      <c r="AK312" s="270">
        <f>INDEX(Coordinates!$C$2:$C$197,MATCH(G312,Coordinates!$J$2:$J$197,0))</f>
        <v>34.854464020000002</v>
      </c>
      <c r="AL312" s="270" t="str">
        <f>IF(ISNUMBER(SEARCH("C", 'Dry_Litterbag Placem_Collection'!T93)),"YES","NO")</f>
        <v>NO</v>
      </c>
      <c r="AM312" s="270" t="str">
        <f>IF(ISNUMBER(SEARCH("H", 'Dry_Litterbag Placem_Collection'!T93)),"YES","NO")</f>
        <v>NO</v>
      </c>
      <c r="AN312" s="270" t="str">
        <f>IF(ISNUMBER(SEARCH("R", 'Dry_Litterbag Placem_Collection'!T93)),"YES","NO")</f>
        <v>NO</v>
      </c>
    </row>
    <row r="313" spans="1:40" ht="15" customHeight="1">
      <c r="A313" s="262" t="s">
        <v>2659</v>
      </c>
      <c r="B313" s="263">
        <f>'Dry_Litterbag Placem_Collection'!A94</f>
        <v>92</v>
      </c>
      <c r="C313" s="263" t="str">
        <f>'Dry_Litterbag Placem_Collection'!B94</f>
        <v>Maswa</v>
      </c>
      <c r="D313" s="263" t="s">
        <v>2659</v>
      </c>
      <c r="E313" s="263" t="s">
        <v>2661</v>
      </c>
      <c r="F313" s="263">
        <v>4</v>
      </c>
      <c r="G313" s="264" t="str">
        <f>'Dry_Litterbag Placem_Collection'!C94</f>
        <v>Dry_W4_T4</v>
      </c>
      <c r="H313" s="265" t="s">
        <v>2541</v>
      </c>
      <c r="I313" s="272" t="s">
        <v>298</v>
      </c>
      <c r="J313" s="263" t="str">
        <f>IF(ISBLANK('Dry_Litterbag Placem_Collection'!K94),"","R"&amp;""&amp;'Dry_Litterbag Placem_Collection'!K94)</f>
        <v>R812</v>
      </c>
      <c r="K313" s="267">
        <f>IFERROR(INDEX('Green_rooibos initial weight'!$C$5:$C$1749,MATCH(J313, 'Green_rooibos initial weight'!$A$5:$A$1749,0)),"")</f>
        <v>2.1819999999999999</v>
      </c>
      <c r="L313" s="267">
        <f>IFERROR(K313-(TBIcalc!$Q$9+TBIcalc!$Q$10),"")</f>
        <v>1.9321999999999999</v>
      </c>
      <c r="M313" s="391">
        <f>AVERAGE(Ashed_controlls!$K$12:$K$14)</f>
        <v>2.2816647271287041</v>
      </c>
      <c r="N313" s="267">
        <f t="shared" si="21"/>
        <v>1.8881136741424192</v>
      </c>
      <c r="O313" s="267">
        <f>IF(IFERROR(INDEX('Both teabags AfterDry'!$D$3:$D$900,MATCH(J313,'Both teabags AfterDry'!$A$3:$A$900,0)),"")="","",(IFERROR(INDEX('Both teabags AfterDry'!$D$3:$D$900,MATCH(J313,'Both teabags AfterDry'!$A$3:$A$900,0)),"")))</f>
        <v>1.8855</v>
      </c>
      <c r="P313" s="267">
        <f>IFERROR(IF(O313&gt;0,O313-(TBIcalc!$Q$9),""),"")</f>
        <v>1.7348999999999999</v>
      </c>
      <c r="Q313" s="278">
        <f>IFERROR(INDEX('Ashed teabags dry'!$K$2:$K$825,MATCH(J313,'Ashed teabags dry'!$A$2:$A$825,0)),"")</f>
        <v>1.8952618453866015</v>
      </c>
      <c r="R313" s="278">
        <f t="shared" si="22"/>
        <v>1.7020191022443878</v>
      </c>
      <c r="S313" s="268">
        <f>'Dry_Litterbag Placem_Collection'!E94</f>
        <v>42937</v>
      </c>
      <c r="T313" s="268">
        <f>IF('Dry_Litterbag Placem_Collection'!G94="","",'Dry_Litterbag Placem_Collection'!G94)</f>
        <v>43006</v>
      </c>
      <c r="U313" s="269">
        <f t="shared" si="20"/>
        <v>69</v>
      </c>
      <c r="V313" s="267">
        <f t="shared" si="23"/>
        <v>0.19730000000000003</v>
      </c>
      <c r="W313" s="267">
        <f t="shared" si="24"/>
        <v>0.18609457189803136</v>
      </c>
      <c r="X313" s="271">
        <f>IFERROR(INDEX(Rainfall_Dry!$O$2:$O$217,MATCH(B313, Rainfall_Dry!$A$2:$A$217,0)),"")</f>
        <v>12.563016860999999</v>
      </c>
      <c r="Y313" s="260">
        <v>28.145762029394</v>
      </c>
      <c r="Z313" s="260">
        <v>25.085564727199518</v>
      </c>
      <c r="AA313" s="260">
        <v>46.768673243406489</v>
      </c>
      <c r="AB313" s="261" t="s">
        <v>2670</v>
      </c>
      <c r="AC313" s="260">
        <v>5.1716214884179399</v>
      </c>
      <c r="AD313">
        <f>IF('WetLitterbags placem_collection'!AB94="","",'WetLitterbags placem_collection'!AB94)</f>
        <v>7.7</v>
      </c>
      <c r="AE313">
        <f>IF('WetLitterbags placem_collection'!Z94="","",'WetLitterbags placem_collection'!Z94)</f>
        <v>24.8</v>
      </c>
      <c r="AF313" s="24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71">
        <f>IFERROR(AVERAGE('Dry_Litterbag Placem_Collection'!N94,'Dry_Litterbag Placem_Collection'!Q94),"")</f>
        <v>26</v>
      </c>
      <c r="AJ313" s="270">
        <f>INDEX(Coordinates!$B$2:$B$197,MATCH(G313,Coordinates!$J$2:$J$197,0))</f>
        <v>-3.2965539860000002</v>
      </c>
      <c r="AK313" s="270">
        <f>INDEX(Coordinates!$C$2:$C$197,MATCH(G313,Coordinates!$J$2:$J$197,0))</f>
        <v>34.854455969999997</v>
      </c>
      <c r="AL313" s="270" t="str">
        <f>IF(ISNUMBER(SEARCH("C", 'Dry_Litterbag Placem_Collection'!T94)),"YES","NO")</f>
        <v>NO</v>
      </c>
      <c r="AM313" s="270" t="str">
        <f>IF(ISNUMBER(SEARCH("H", 'Dry_Litterbag Placem_Collection'!T94)),"YES","NO")</f>
        <v>NO</v>
      </c>
      <c r="AN313" s="270" t="str">
        <f>IF(ISNUMBER(SEARCH("R", 'Dry_Litterbag Placem_Collection'!T94)),"YES","NO")</f>
        <v>NO</v>
      </c>
    </row>
    <row r="314" spans="1:40" ht="15" customHeight="1">
      <c r="A314" s="262" t="s">
        <v>2659</v>
      </c>
      <c r="B314" s="263">
        <f>'Dry_Litterbag Placem_Collection'!A95</f>
        <v>93</v>
      </c>
      <c r="C314" s="263" t="str">
        <f>'Dry_Litterbag Placem_Collection'!B95</f>
        <v>Maswa</v>
      </c>
      <c r="D314" s="263" t="s">
        <v>2659</v>
      </c>
      <c r="E314" s="263" t="s">
        <v>2661</v>
      </c>
      <c r="F314" s="263">
        <v>4</v>
      </c>
      <c r="G314" s="264" t="str">
        <f>'Dry_Litterbag Placem_Collection'!C95</f>
        <v>Dry_W4_T5</v>
      </c>
      <c r="H314" s="265" t="s">
        <v>2541</v>
      </c>
      <c r="I314" s="272" t="s">
        <v>298</v>
      </c>
      <c r="J314" s="263" t="str">
        <f>IF(ISBLANK('Dry_Litterbag Placem_Collection'!K95),"","R"&amp;""&amp;'Dry_Litterbag Placem_Collection'!K95)</f>
        <v>R675</v>
      </c>
      <c r="K314" s="267">
        <f>IFERROR(INDEX('Green_rooibos initial weight'!$C$5:$C$1749,MATCH(J314, 'Green_rooibos initial weight'!$A$5:$A$1749,0)),"")</f>
        <v>2.2069999999999999</v>
      </c>
      <c r="L314" s="267">
        <f>IFERROR(K314-(TBIcalc!$Q$9+TBIcalc!$Q$10),"")</f>
        <v>1.9571999999999998</v>
      </c>
      <c r="M314" s="391">
        <f>AVERAGE(Ashed_controlls!$K$12:$K$14)</f>
        <v>2.2816647271287041</v>
      </c>
      <c r="N314" s="267">
        <f t="shared" si="21"/>
        <v>1.9125432579606367</v>
      </c>
      <c r="O314" s="267">
        <f>IF(IFERROR(INDEX('Both teabags AfterDry'!$D$3:$D$900,MATCH(J314,'Both teabags AfterDry'!$A$3:$A$900,0)),"")="","",(IFERROR(INDEX('Both teabags AfterDry'!$D$3:$D$900,MATCH(J314,'Both teabags AfterDry'!$A$3:$A$900,0)),"")))</f>
        <v>2.0310000000000001</v>
      </c>
      <c r="P314" s="267">
        <f>IFERROR(IF(O314&gt;0,O314-(TBIcalc!$Q$9),""),"")</f>
        <v>1.8804000000000001</v>
      </c>
      <c r="Q314" s="278">
        <f>IFERROR(INDEX('Ashed teabags dry'!$K$2:$K$825,MATCH(J314,'Ashed teabags dry'!$A$2:$A$825,0)),"")</f>
        <v>3.8099506947561541</v>
      </c>
      <c r="R314" s="278">
        <f t="shared" si="22"/>
        <v>1.8087576871358053</v>
      </c>
      <c r="S314" s="268">
        <f>'Dry_Litterbag Placem_Collection'!E95</f>
        <v>42937</v>
      </c>
      <c r="T314" s="268">
        <f>IF('Dry_Litterbag Placem_Collection'!G95="","",'Dry_Litterbag Placem_Collection'!G95)</f>
        <v>43006</v>
      </c>
      <c r="U314" s="269">
        <f t="shared" si="20"/>
        <v>69</v>
      </c>
      <c r="V314" s="267">
        <f t="shared" si="23"/>
        <v>7.6799999999999757E-2</v>
      </c>
      <c r="W314" s="267">
        <f t="shared" si="24"/>
        <v>0.10378557082483142</v>
      </c>
      <c r="X314" s="271">
        <f>IFERROR(INDEX(Rainfall_Dry!$O$2:$O$217,MATCH(B314, Rainfall_Dry!$A$2:$A$217,0)),"")</f>
        <v>12.563016860999999</v>
      </c>
      <c r="Y314" s="260">
        <v>28.145762029394</v>
      </c>
      <c r="Z314" s="260">
        <v>25.085564727199518</v>
      </c>
      <c r="AA314" s="260">
        <v>46.768673243406489</v>
      </c>
      <c r="AB314" s="261" t="s">
        <v>2670</v>
      </c>
      <c r="AC314" s="260">
        <v>6.1716214884179399</v>
      </c>
      <c r="AD314">
        <f>IF('WetLitterbags placem_collection'!AB95="","",'WetLitterbags placem_collection'!AB95)</f>
        <v>6.6</v>
      </c>
      <c r="AE314">
        <f>IF('WetLitterbags placem_collection'!Z95="","",'WetLitterbags placem_collection'!Z95)</f>
        <v>40</v>
      </c>
      <c r="AF314" s="24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71">
        <f>IFERROR(AVERAGE('Dry_Litterbag Placem_Collection'!N95,'Dry_Litterbag Placem_Collection'!Q95),"")</f>
        <v>26.4</v>
      </c>
      <c r="AJ314" s="270">
        <f>INDEX(Coordinates!$B$2:$B$197,MATCH(G314,Coordinates!$J$2:$J$197,0))</f>
        <v>-3.2964789680000002</v>
      </c>
      <c r="AK314" s="270">
        <f>INDEX(Coordinates!$C$2:$C$197,MATCH(G314,Coordinates!$J$2:$J$197,0))</f>
        <v>34.854331000000002</v>
      </c>
      <c r="AL314" s="270" t="str">
        <f>IF(ISNUMBER(SEARCH("C", 'Dry_Litterbag Placem_Collection'!T95)),"YES","NO")</f>
        <v>NO</v>
      </c>
      <c r="AM314" s="270" t="str">
        <f>IF(ISNUMBER(SEARCH("H", 'Dry_Litterbag Placem_Collection'!T95)),"YES","NO")</f>
        <v>YES</v>
      </c>
      <c r="AN314" s="270" t="str">
        <f>IF(ISNUMBER(SEARCH("R", 'Dry_Litterbag Placem_Collection'!T95)),"YES","NO")</f>
        <v>NO</v>
      </c>
    </row>
    <row r="315" spans="1:40" ht="15" customHeight="1">
      <c r="A315" s="262" t="s">
        <v>2659</v>
      </c>
      <c r="B315" s="263">
        <f>'Dry_Litterbag Placem_Collection'!A96</f>
        <v>94</v>
      </c>
      <c r="C315" s="263" t="str">
        <f>'Dry_Litterbag Placem_Collection'!B96</f>
        <v>Maswa</v>
      </c>
      <c r="D315" s="263" t="s">
        <v>2659</v>
      </c>
      <c r="E315" s="263" t="s">
        <v>2661</v>
      </c>
      <c r="F315" s="263">
        <v>4</v>
      </c>
      <c r="G315" s="264" t="str">
        <f>'Dry_Litterbag Placem_Collection'!C96</f>
        <v>Dry_W4_T6</v>
      </c>
      <c r="H315" s="265" t="s">
        <v>2541</v>
      </c>
      <c r="I315" s="272" t="s">
        <v>298</v>
      </c>
      <c r="J315" s="263" t="str">
        <f>IF(ISBLANK('Dry_Litterbag Placem_Collection'!K96),"","R"&amp;""&amp;'Dry_Litterbag Placem_Collection'!K96)</f>
        <v/>
      </c>
      <c r="K315" s="267" t="str">
        <f>IFERROR(INDEX('Green_rooibos initial weight'!$C$5:$C$1749,MATCH(J315, 'Green_rooibos initial weight'!$A$5:$A$1749,0)),"")</f>
        <v/>
      </c>
      <c r="L315" s="267" t="str">
        <f>IFERROR(K315-(TBIcalc!$Q$9+TBIcalc!$Q$10),"")</f>
        <v/>
      </c>
      <c r="M315" s="391">
        <f>AVERAGE(Ashed_controlls!$K$12:$K$14)</f>
        <v>2.2816647271287041</v>
      </c>
      <c r="N315" s="267" t="str">
        <f t="shared" si="21"/>
        <v/>
      </c>
      <c r="O315" s="267" t="str">
        <f>IF(IFERROR(INDEX('Both teabags AfterDry'!$D$3:$D$900,MATCH(J315,'Both teabags AfterDry'!$A$3:$A$900,0)),"")="","",(IFERROR(INDEX('Both teabags AfterDry'!$D$3:$D$900,MATCH(J315,'Both teabags AfterDry'!$A$3:$A$900,0)),"")))</f>
        <v/>
      </c>
      <c r="P315" s="267" t="str">
        <f>IFERROR(IF(O315&gt;0,O315-(TBIcalc!$Q$9),""),"")</f>
        <v/>
      </c>
      <c r="Q315" s="278" t="str">
        <f>IFERROR(INDEX('Ashed teabags dry'!$K$2:$K$825,MATCH(J315,'Ashed teabags dry'!$A$2:$A$825,0)),"")</f>
        <v/>
      </c>
      <c r="R315" s="278" t="str">
        <f t="shared" si="22"/>
        <v/>
      </c>
      <c r="S315" s="268">
        <f>'Dry_Litterbag Placem_Collection'!E96</f>
        <v>0</v>
      </c>
      <c r="T315" s="268" t="str">
        <f>IF('Dry_Litterbag Placem_Collection'!G96="","",'Dry_Litterbag Placem_Collection'!G96)</f>
        <v/>
      </c>
      <c r="U315" s="269" t="str">
        <f t="shared" si="20"/>
        <v/>
      </c>
      <c r="V315" s="267" t="str">
        <f t="shared" si="23"/>
        <v/>
      </c>
      <c r="W315" s="267" t="str">
        <f t="shared" si="24"/>
        <v/>
      </c>
      <c r="X315" s="271" t="str">
        <f>IFERROR(INDEX(Rainfall_Dry!$O$2:$O$217,MATCH(B315, Rainfall_Dry!$A$2:$A$217,0)),"")</f>
        <v/>
      </c>
      <c r="Y315" s="260">
        <v>28.145762029394</v>
      </c>
      <c r="Z315" s="260">
        <v>25.085564727199518</v>
      </c>
      <c r="AA315" s="260">
        <v>46.768673243406489</v>
      </c>
      <c r="AB315" s="261" t="s">
        <v>2670</v>
      </c>
      <c r="AC315" s="260">
        <v>7.1716214884179399</v>
      </c>
      <c r="AD315" t="str">
        <f>IF('WetLitterbags placem_collection'!AB96="","",'WetLitterbags placem_collection'!AB96)</f>
        <v/>
      </c>
      <c r="AE315" t="str">
        <f>IF('WetLitterbags placem_collection'!Z96="","",'WetLitterbags placem_collection'!Z96)</f>
        <v/>
      </c>
      <c r="AF315" s="24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71" t="str">
        <f>IFERROR(AVERAGE('Dry_Litterbag Placem_Collection'!N96,'Dry_Litterbag Placem_Collection'!Q96),"")</f>
        <v/>
      </c>
      <c r="AJ315" s="270">
        <f>INDEX(Coordinates!$B$2:$B$197,MATCH(G315,Coordinates!$J$2:$J$197,0))</f>
        <v>-3.2964649700000002</v>
      </c>
      <c r="AK315" s="270">
        <f>INDEX(Coordinates!$C$2:$C$197,MATCH(G315,Coordinates!$J$2:$J$197,0))</f>
        <v>34.854340970000003</v>
      </c>
      <c r="AL315" s="270" t="str">
        <f>IF(ISNUMBER(SEARCH("C", 'Dry_Litterbag Placem_Collection'!T96)),"YES","NO")</f>
        <v>NO</v>
      </c>
      <c r="AM315" s="270" t="str">
        <f>IF(ISNUMBER(SEARCH("H", 'Dry_Litterbag Placem_Collection'!T96)),"YES","NO")</f>
        <v>NO</v>
      </c>
      <c r="AN315" s="270" t="str">
        <f>IF(ISNUMBER(SEARCH("R", 'Dry_Litterbag Placem_Collection'!T96)),"YES","NO")</f>
        <v>NO</v>
      </c>
    </row>
    <row r="316" spans="1:40" ht="15" customHeight="1">
      <c r="A316" s="262" t="s">
        <v>2659</v>
      </c>
      <c r="B316" s="263">
        <f>'Dry_Litterbag Placem_Collection'!A97</f>
        <v>95</v>
      </c>
      <c r="C316" s="263" t="str">
        <f>'Dry_Litterbag Placem_Collection'!B97</f>
        <v>Maswa</v>
      </c>
      <c r="D316" s="263" t="s">
        <v>2659</v>
      </c>
      <c r="E316" s="263" t="s">
        <v>2661</v>
      </c>
      <c r="F316" s="263">
        <v>4</v>
      </c>
      <c r="G316" s="264" t="str">
        <f>'Dry_Litterbag Placem_Collection'!C97</f>
        <v>Dry_W4_T7</v>
      </c>
      <c r="H316" s="265" t="s">
        <v>2541</v>
      </c>
      <c r="I316" s="272" t="s">
        <v>298</v>
      </c>
      <c r="J316" s="263" t="str">
        <f>IF(ISBLANK('Dry_Litterbag Placem_Collection'!K97),"","R"&amp;""&amp;'Dry_Litterbag Placem_Collection'!K97)</f>
        <v>R794</v>
      </c>
      <c r="K316" s="267">
        <f>IFERROR(INDEX('Green_rooibos initial weight'!$C$5:$C$1749,MATCH(J316, 'Green_rooibos initial weight'!$A$5:$A$1749,0)),"")</f>
        <v>2.2000000000000002</v>
      </c>
      <c r="L316" s="267">
        <f>IFERROR(K316-(TBIcalc!$Q$9+TBIcalc!$Q$10),"")</f>
        <v>1.9502000000000002</v>
      </c>
      <c r="M316" s="391">
        <f>AVERAGE(Ashed_controlls!$K$12:$K$14)</f>
        <v>2.2816647271287041</v>
      </c>
      <c r="N316" s="267">
        <f t="shared" si="21"/>
        <v>1.9057029744915361</v>
      </c>
      <c r="O316" s="267">
        <f>IF(IFERROR(INDEX('Both teabags AfterDry'!$D$3:$D$900,MATCH(J316,'Both teabags AfterDry'!$A$3:$A$900,0)),"")="","",(IFERROR(INDEX('Both teabags AfterDry'!$D$3:$D$900,MATCH(J316,'Both teabags AfterDry'!$A$3:$A$900,0)),"")))</f>
        <v>1.9469000000000001</v>
      </c>
      <c r="P316" s="267">
        <f>IFERROR(IF(O316&gt;0,O316-(TBIcalc!$Q$9),""),"")</f>
        <v>1.7963</v>
      </c>
      <c r="Q316" s="278">
        <f>IFERROR(INDEX('Ashed teabags dry'!$K$2:$K$825,MATCH(J316,'Ashed teabags dry'!$A$2:$A$825,0)),"")</f>
        <v>2.6693030153240724</v>
      </c>
      <c r="R316" s="278">
        <f t="shared" si="22"/>
        <v>1.7483513099357337</v>
      </c>
      <c r="S316" s="268">
        <f>'Dry_Litterbag Placem_Collection'!E97</f>
        <v>42937</v>
      </c>
      <c r="T316" s="268">
        <f>IF('Dry_Litterbag Placem_Collection'!G97="","",'Dry_Litterbag Placem_Collection'!G97)</f>
        <v>43006</v>
      </c>
      <c r="U316" s="269">
        <f t="shared" si="20"/>
        <v>69</v>
      </c>
      <c r="V316" s="267">
        <f t="shared" si="23"/>
        <v>0.15390000000000015</v>
      </c>
      <c r="W316" s="267">
        <f t="shared" si="24"/>
        <v>0.15735166455580241</v>
      </c>
      <c r="X316" s="271">
        <f>IFERROR(INDEX(Rainfall_Dry!$O$2:$O$217,MATCH(B316, Rainfall_Dry!$A$2:$A$217,0)),"")</f>
        <v>12.563016860999999</v>
      </c>
      <c r="Y316" s="260">
        <v>28.145762029394</v>
      </c>
      <c r="Z316" s="260">
        <v>25.085564727199518</v>
      </c>
      <c r="AA316" s="260">
        <v>46.768673243406489</v>
      </c>
      <c r="AB316" s="261" t="s">
        <v>2670</v>
      </c>
      <c r="AC316" s="260">
        <v>8.1716214884179408</v>
      </c>
      <c r="AD316">
        <f>IF('WetLitterbags placem_collection'!AB97="","",'WetLitterbags placem_collection'!AB97)</f>
        <v>5.4</v>
      </c>
      <c r="AE316">
        <f>IF('WetLitterbags placem_collection'!Z97="","",'WetLitterbags placem_collection'!Z97)</f>
        <v>15.2</v>
      </c>
      <c r="AF316" s="24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71">
        <f>IFERROR(AVERAGE('Dry_Litterbag Placem_Collection'!N97,'Dry_Litterbag Placem_Collection'!Q97),"")</f>
        <v>27.35</v>
      </c>
      <c r="AJ316" s="270">
        <f>INDEX(Coordinates!$B$2:$B$197,MATCH(G316,Coordinates!$J$2:$J$197,0))</f>
        <v>-3.296725983</v>
      </c>
      <c r="AK316" s="270">
        <f>INDEX(Coordinates!$C$2:$C$197,MATCH(G316,Coordinates!$J$2:$J$197,0))</f>
        <v>34.854216000000001</v>
      </c>
      <c r="AL316" s="270" t="str">
        <f>IF(ISNUMBER(SEARCH("C", 'Dry_Litterbag Placem_Collection'!T97)),"YES","NO")</f>
        <v>NO</v>
      </c>
      <c r="AM316" s="270" t="str">
        <f>IF(ISNUMBER(SEARCH("H", 'Dry_Litterbag Placem_Collection'!T97)),"YES","NO")</f>
        <v>NO</v>
      </c>
      <c r="AN316" s="270" t="str">
        <f>IF(ISNUMBER(SEARCH("R", 'Dry_Litterbag Placem_Collection'!T97)),"YES","NO")</f>
        <v>NO</v>
      </c>
    </row>
    <row r="317" spans="1:40" ht="15" customHeight="1">
      <c r="A317" s="262" t="s">
        <v>2659</v>
      </c>
      <c r="B317" s="263">
        <f>'Dry_Litterbag Placem_Collection'!A98</f>
        <v>96</v>
      </c>
      <c r="C317" s="263" t="str">
        <f>'Dry_Litterbag Placem_Collection'!B98</f>
        <v>Maswa</v>
      </c>
      <c r="D317" s="263" t="s">
        <v>2659</v>
      </c>
      <c r="E317" s="263" t="s">
        <v>2661</v>
      </c>
      <c r="F317" s="263">
        <v>4</v>
      </c>
      <c r="G317" s="264" t="str">
        <f>'Dry_Litterbag Placem_Collection'!C98</f>
        <v>Dry_W4_T8</v>
      </c>
      <c r="H317" s="265" t="s">
        <v>2541</v>
      </c>
      <c r="I317" s="272" t="s">
        <v>298</v>
      </c>
      <c r="J317" s="263" t="str">
        <f>IF(ISBLANK('Dry_Litterbag Placem_Collection'!K98),"","R"&amp;""&amp;'Dry_Litterbag Placem_Collection'!K98)</f>
        <v>R737</v>
      </c>
      <c r="K317" s="267">
        <f>IFERROR(INDEX('Green_rooibos initial weight'!$C$5:$C$1749,MATCH(J317, 'Green_rooibos initial weight'!$A$5:$A$1749,0)),"")</f>
        <v>2.222</v>
      </c>
      <c r="L317" s="267">
        <f>IFERROR(K317-(TBIcalc!$Q$9+TBIcalc!$Q$10),"")</f>
        <v>1.9722</v>
      </c>
      <c r="M317" s="391">
        <f>AVERAGE(Ashed_controlls!$K$12:$K$14)</f>
        <v>2.2816647271287041</v>
      </c>
      <c r="N317" s="267">
        <f t="shared" si="21"/>
        <v>1.9272010082515676</v>
      </c>
      <c r="O317" s="267">
        <f>IF(IFERROR(INDEX('Both teabags AfterDry'!$D$3:$D$900,MATCH(J317,'Both teabags AfterDry'!$A$3:$A$900,0)),"")="","",(IFERROR(INDEX('Both teabags AfterDry'!$D$3:$D$900,MATCH(J317,'Both teabags AfterDry'!$A$3:$A$900,0)),"")))</f>
        <v>1.9686999999999999</v>
      </c>
      <c r="P317" s="267">
        <f>IFERROR(IF(O317&gt;0,O317-(TBIcalc!$Q$9),""),"")</f>
        <v>1.8180999999999998</v>
      </c>
      <c r="Q317" s="278">
        <f>IFERROR(INDEX('Ashed teabags dry'!$K$2:$K$825,MATCH(J317,'Ashed teabags dry'!$A$2:$A$825,0)),"")</f>
        <v>3.1531531531539305</v>
      </c>
      <c r="R317" s="278">
        <f t="shared" si="22"/>
        <v>1.7607725225225082</v>
      </c>
      <c r="S317" s="268">
        <f>'Dry_Litterbag Placem_Collection'!E98</f>
        <v>42937</v>
      </c>
      <c r="T317" s="268">
        <f>IF('Dry_Litterbag Placem_Collection'!G98="","",'Dry_Litterbag Placem_Collection'!G98)</f>
        <v>43006</v>
      </c>
      <c r="U317" s="269">
        <f t="shared" si="20"/>
        <v>69</v>
      </c>
      <c r="V317" s="267">
        <f t="shared" si="23"/>
        <v>0.15410000000000013</v>
      </c>
      <c r="W317" s="267">
        <f t="shared" si="24"/>
        <v>0.16642848572905944</v>
      </c>
      <c r="X317" s="271">
        <f>IFERROR(INDEX(Rainfall_Dry!$O$2:$O$217,MATCH(B317, Rainfall_Dry!$A$2:$A$217,0)),"")</f>
        <v>12.563016860999999</v>
      </c>
      <c r="Y317" s="260">
        <v>28.145762029394</v>
      </c>
      <c r="Z317" s="260">
        <v>25.085564727199518</v>
      </c>
      <c r="AA317" s="260">
        <v>46.768673243406489</v>
      </c>
      <c r="AB317" s="261" t="s">
        <v>2670</v>
      </c>
      <c r="AC317" s="260">
        <v>9.1716214884179408</v>
      </c>
      <c r="AD317">
        <f>IF('WetLitterbags placem_collection'!AB98="","",'WetLitterbags placem_collection'!AB98)</f>
        <v>4</v>
      </c>
      <c r="AE317">
        <f>IF('WetLitterbags placem_collection'!Z98="","",'WetLitterbags placem_collection'!Z98)</f>
        <v>34.4</v>
      </c>
      <c r="AF317" s="24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71">
        <f>IFERROR(AVERAGE('Dry_Litterbag Placem_Collection'!N98,'Dry_Litterbag Placem_Collection'!Q98),"")</f>
        <v>25.950000000000003</v>
      </c>
      <c r="AJ317" s="270">
        <f>INDEX(Coordinates!$B$2:$B$197,MATCH(G317,Coordinates!$J$2:$J$197,0))</f>
        <v>-3.2968360369999998</v>
      </c>
      <c r="AK317" s="270">
        <f>INDEX(Coordinates!$C$2:$C$197,MATCH(G317,Coordinates!$J$2:$J$197,0))</f>
        <v>34.854462009999999</v>
      </c>
      <c r="AL317" s="270" t="str">
        <f>IF(ISNUMBER(SEARCH("C", 'Dry_Litterbag Placem_Collection'!T98)),"YES","NO")</f>
        <v>NO</v>
      </c>
      <c r="AM317" s="270" t="str">
        <f>IF(ISNUMBER(SEARCH("H", 'Dry_Litterbag Placem_Collection'!T98)),"YES","NO")</f>
        <v>NO</v>
      </c>
      <c r="AN317" s="270" t="str">
        <f>IF(ISNUMBER(SEARCH("R", 'Dry_Litterbag Placem_Collection'!T98)),"YES","NO")</f>
        <v>NO</v>
      </c>
    </row>
    <row r="318" spans="1:40" ht="15" customHeight="1">
      <c r="A318" s="262" t="s">
        <v>2659</v>
      </c>
      <c r="B318" s="263">
        <f>'Dry_Litterbag Placem_Collection'!A99</f>
        <v>97</v>
      </c>
      <c r="C318" s="263" t="str">
        <f>'Dry_Litterbag Placem_Collection'!B99</f>
        <v xml:space="preserve">Mwantimba
</v>
      </c>
      <c r="D318" s="263" t="s">
        <v>2659</v>
      </c>
      <c r="E318" s="263" t="s">
        <v>2660</v>
      </c>
      <c r="F318" s="263">
        <v>1</v>
      </c>
      <c r="G318" s="264" t="str">
        <f>'Dry_Litterbag Placem_Collection'!C99</f>
        <v>Wet_Ag1_T1</v>
      </c>
      <c r="H318" s="265" t="s">
        <v>2541</v>
      </c>
      <c r="I318" s="272" t="s">
        <v>298</v>
      </c>
      <c r="J318" s="263" t="str">
        <f>IF(ISBLANK('Dry_Litterbag Placem_Collection'!K99),"","R"&amp;""&amp;'Dry_Litterbag Placem_Collection'!K99)</f>
        <v>R801</v>
      </c>
      <c r="K318" s="267">
        <f>IFERROR(INDEX('Green_rooibos initial weight'!$C$5:$C$1749,MATCH(J318, 'Green_rooibos initial weight'!$A$5:$A$1749,0)),"")</f>
        <v>2.17</v>
      </c>
      <c r="L318" s="267">
        <f>IFERROR(K318-(TBIcalc!$Q$9+TBIcalc!$Q$10),"")</f>
        <v>1.9201999999999999</v>
      </c>
      <c r="M318" s="391">
        <f>AVERAGE(Ashed_controlls!$K$12:$K$14)</f>
        <v>2.2816647271287041</v>
      </c>
      <c r="N318" s="267">
        <f t="shared" si="21"/>
        <v>1.8763874739096746</v>
      </c>
      <c r="O318" s="267" t="str">
        <f>IF(IFERROR(INDEX('Both teabags AfterDry'!$D$3:$D$900,MATCH(J318,'Both teabags AfterDry'!$A$3:$A$900,0)),"")="","",(IFERROR(INDEX('Both teabags AfterDry'!$D$3:$D$900,MATCH(J318,'Both teabags AfterDry'!$A$3:$A$900,0)),"")))</f>
        <v/>
      </c>
      <c r="P318" s="267" t="str">
        <f>IFERROR(IF(O318&gt;0,O318-(TBIcalc!$Q$9),""),"")</f>
        <v/>
      </c>
      <c r="Q318" s="278" t="str">
        <f>IFERROR(INDEX('Ashed teabags dry'!$K$2:$K$825,MATCH(J318,'Ashed teabags dry'!$A$2:$A$825,0)),"")</f>
        <v/>
      </c>
      <c r="R318" s="278" t="str">
        <f t="shared" si="22"/>
        <v/>
      </c>
      <c r="S318" s="268">
        <f>'Dry_Litterbag Placem_Collection'!E99</f>
        <v>42939</v>
      </c>
      <c r="T318" s="268">
        <f>IF('Dry_Litterbag Placem_Collection'!G99="","",'Dry_Litterbag Placem_Collection'!G99)</f>
        <v>43010</v>
      </c>
      <c r="U318" s="269">
        <f t="shared" si="20"/>
        <v>71</v>
      </c>
      <c r="V318" s="267" t="str">
        <f t="shared" si="23"/>
        <v/>
      </c>
      <c r="W318" s="267" t="str">
        <f t="shared" si="24"/>
        <v/>
      </c>
      <c r="X318" s="271">
        <f>IFERROR(INDEX(Rainfall_Dry!$O$2:$O$217,MATCH(B318, Rainfall_Dry!$A$2:$A$217,0)),"")</f>
        <v>137.19979645800001</v>
      </c>
      <c r="Y318" s="260">
        <v>45.96</v>
      </c>
      <c r="Z318" s="260">
        <v>14.920000000000003</v>
      </c>
      <c r="AA318" s="260">
        <v>39.119999999999997</v>
      </c>
      <c r="AB318" s="261" t="s">
        <v>2673</v>
      </c>
      <c r="AC318" s="260">
        <v>2.0374568753080333</v>
      </c>
      <c r="AD318">
        <f>IF('WetLitterbags placem_collection'!AB99="","",'WetLitterbags placem_collection'!AB99)</f>
        <v>2.4</v>
      </c>
      <c r="AE318">
        <f>IF('WetLitterbags placem_collection'!Z99="","",'WetLitterbags placem_collection'!Z99)</f>
        <v>8.9</v>
      </c>
      <c r="AF318" s="24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71">
        <f>IFERROR(AVERAGE('Dry_Litterbag Placem_Collection'!N99,'Dry_Litterbag Placem_Collection'!Q99),"")</f>
        <v>28.5</v>
      </c>
      <c r="AJ318" s="270">
        <f>INDEX(Coordinates!$B$2:$B$197,MATCH(G318,Coordinates!$J$2:$J$197,0))</f>
        <v>-2.3691620310000001</v>
      </c>
      <c r="AK318" s="270">
        <f>INDEX(Coordinates!$C$2:$C$197,MATCH(G318,Coordinates!$J$2:$J$197,0))</f>
        <v>34.06028104</v>
      </c>
      <c r="AL318" s="270" t="str">
        <f>IF(ISNUMBER(SEARCH("C", 'Dry_Litterbag Placem_Collection'!T99)),"YES","NO")</f>
        <v>YES</v>
      </c>
      <c r="AM318" s="270" t="str">
        <f>IF(ISNUMBER(SEARCH("H", 'Dry_Litterbag Placem_Collection'!T99)),"YES","NO")</f>
        <v>YES</v>
      </c>
      <c r="AN318" s="270" t="str">
        <f>IF(ISNUMBER(SEARCH("R", 'Dry_Litterbag Placem_Collection'!T99)),"YES","NO")</f>
        <v>NO</v>
      </c>
    </row>
    <row r="319" spans="1:40" ht="15" customHeight="1">
      <c r="A319" s="262" t="s">
        <v>2659</v>
      </c>
      <c r="B319" s="263">
        <f>'Dry_Litterbag Placem_Collection'!A100</f>
        <v>98</v>
      </c>
      <c r="C319" s="263" t="str">
        <f>'Dry_Litterbag Placem_Collection'!B100</f>
        <v xml:space="preserve">Mwantimba
</v>
      </c>
      <c r="D319" s="263" t="s">
        <v>2659</v>
      </c>
      <c r="E319" s="263" t="s">
        <v>2660</v>
      </c>
      <c r="F319" s="263">
        <v>1</v>
      </c>
      <c r="G319" s="264" t="str">
        <f>'Dry_Litterbag Placem_Collection'!C100</f>
        <v>Wet_Ag1_T2</v>
      </c>
      <c r="H319" s="265" t="s">
        <v>2541</v>
      </c>
      <c r="I319" s="272" t="s">
        <v>298</v>
      </c>
      <c r="J319" s="263" t="str">
        <f>IF(ISBLANK('Dry_Litterbag Placem_Collection'!K100),"","R"&amp;""&amp;'Dry_Litterbag Placem_Collection'!K100)</f>
        <v>R808</v>
      </c>
      <c r="K319" s="267">
        <f>IFERROR(INDEX('Green_rooibos initial weight'!$C$5:$C$1749,MATCH(J319, 'Green_rooibos initial weight'!$A$5:$A$1749,0)),"")</f>
        <v>2.2309999999999999</v>
      </c>
      <c r="L319" s="267">
        <f>IFERROR(K319-(TBIcalc!$Q$9+TBIcalc!$Q$10),"")</f>
        <v>1.9811999999999999</v>
      </c>
      <c r="M319" s="391">
        <f>AVERAGE(Ashed_controlls!$K$12:$K$14)</f>
        <v>2.2816647271287041</v>
      </c>
      <c r="N319" s="267">
        <f t="shared" si="21"/>
        <v>1.935995658426126</v>
      </c>
      <c r="O319" s="267">
        <f>IF(IFERROR(INDEX('Both teabags AfterDry'!$D$3:$D$900,MATCH(J319,'Both teabags AfterDry'!$A$3:$A$900,0)),"")="","",(IFERROR(INDEX('Both teabags AfterDry'!$D$3:$D$900,MATCH(J319,'Both teabags AfterDry'!$A$3:$A$900,0)),"")))</f>
        <v>0</v>
      </c>
      <c r="P319" s="267" t="str">
        <f>IFERROR(IF(O319&gt;0,O319-(TBIcalc!$Q$9),""),"")</f>
        <v/>
      </c>
      <c r="Q319" s="278" t="str">
        <f>IFERROR(INDEX('Ashed teabags dry'!$K$2:$K$825,MATCH(J319,'Ashed teabags dry'!$A$2:$A$825,0)),"")</f>
        <v/>
      </c>
      <c r="R319" s="278" t="str">
        <f t="shared" si="22"/>
        <v/>
      </c>
      <c r="S319" s="268">
        <f>'Dry_Litterbag Placem_Collection'!E100</f>
        <v>42939</v>
      </c>
      <c r="T319" s="268">
        <f>IF('Dry_Litterbag Placem_Collection'!G100="","",'Dry_Litterbag Placem_Collection'!G100)</f>
        <v>43010</v>
      </c>
      <c r="U319" s="269">
        <f t="shared" si="20"/>
        <v>71</v>
      </c>
      <c r="V319" s="267" t="str">
        <f t="shared" si="23"/>
        <v/>
      </c>
      <c r="W319" s="267" t="str">
        <f t="shared" si="24"/>
        <v/>
      </c>
      <c r="X319" s="271">
        <f>IFERROR(INDEX(Rainfall_Dry!$O$2:$O$217,MATCH(B319, Rainfall_Dry!$A$2:$A$217,0)),"")</f>
        <v>137.19979645800001</v>
      </c>
      <c r="Y319" s="260">
        <v>45.96</v>
      </c>
      <c r="Z319" s="260">
        <v>14.920000000000003</v>
      </c>
      <c r="AA319" s="260">
        <v>39.119999999999997</v>
      </c>
      <c r="AB319" s="261" t="s">
        <v>2673</v>
      </c>
      <c r="AC319" s="260">
        <v>3.0374568753080302</v>
      </c>
      <c r="AD319">
        <f>IF('WetLitterbags placem_collection'!AB100="","",'WetLitterbags placem_collection'!AB100)</f>
        <v>7.8</v>
      </c>
      <c r="AE319">
        <f>IF('WetLitterbags placem_collection'!Z100="","",'WetLitterbags placem_collection'!Z100)</f>
        <v>4.45</v>
      </c>
      <c r="AF319" s="24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71">
        <f>IFERROR(AVERAGE('Dry_Litterbag Placem_Collection'!N100,'Dry_Litterbag Placem_Collection'!Q100),"")</f>
        <v>29.3</v>
      </c>
      <c r="AJ319" s="270">
        <f>INDEX(Coordinates!$B$2:$B$197,MATCH(G319,Coordinates!$J$2:$J$197,0))</f>
        <v>-2.3692249790000002</v>
      </c>
      <c r="AK319" s="270">
        <f>INDEX(Coordinates!$C$2:$C$197,MATCH(G319,Coordinates!$J$2:$J$197,0))</f>
        <v>34.060285989999997</v>
      </c>
      <c r="AL319" s="270" t="str">
        <f>IF(ISNUMBER(SEARCH("C", 'Dry_Litterbag Placem_Collection'!T100)),"YES","NO")</f>
        <v>YES</v>
      </c>
      <c r="AM319" s="270" t="str">
        <f>IF(ISNUMBER(SEARCH("H", 'Dry_Litterbag Placem_Collection'!T100)),"YES","NO")</f>
        <v>YES</v>
      </c>
      <c r="AN319" s="270" t="str">
        <f>IF(ISNUMBER(SEARCH("R", 'Dry_Litterbag Placem_Collection'!T100)),"YES","NO")</f>
        <v>NO</v>
      </c>
    </row>
    <row r="320" spans="1:40" ht="15" customHeight="1">
      <c r="A320" s="262" t="s">
        <v>2659</v>
      </c>
      <c r="B320" s="263">
        <f>'Dry_Litterbag Placem_Collection'!A101</f>
        <v>99</v>
      </c>
      <c r="C320" s="263" t="str">
        <f>'Dry_Litterbag Placem_Collection'!B101</f>
        <v xml:space="preserve">Mwantimba
</v>
      </c>
      <c r="D320" s="263" t="s">
        <v>2659</v>
      </c>
      <c r="E320" s="263" t="s">
        <v>2660</v>
      </c>
      <c r="F320" s="263">
        <v>1</v>
      </c>
      <c r="G320" s="264" t="str">
        <f>'Dry_Litterbag Placem_Collection'!C101</f>
        <v>Wet_Ag1_T3</v>
      </c>
      <c r="H320" s="265" t="s">
        <v>2541</v>
      </c>
      <c r="I320" s="272" t="s">
        <v>298</v>
      </c>
      <c r="J320" s="263" t="str">
        <f>IF(ISBLANK('Dry_Litterbag Placem_Collection'!K101),"","R"&amp;""&amp;'Dry_Litterbag Placem_Collection'!K101)</f>
        <v/>
      </c>
      <c r="K320" s="267" t="str">
        <f>IFERROR(INDEX('Green_rooibos initial weight'!$C$5:$C$1749,MATCH(J320, 'Green_rooibos initial weight'!$A$5:$A$1749,0)),"")</f>
        <v/>
      </c>
      <c r="L320" s="267" t="str">
        <f>IFERROR(K320-(TBIcalc!$Q$9+TBIcalc!$Q$10),"")</f>
        <v/>
      </c>
      <c r="M320" s="391">
        <f>AVERAGE(Ashed_controlls!$K$12:$K$14)</f>
        <v>2.2816647271287041</v>
      </c>
      <c r="N320" s="267" t="str">
        <f t="shared" si="21"/>
        <v/>
      </c>
      <c r="O320" s="267" t="str">
        <f>IF(IFERROR(INDEX('Both teabags AfterDry'!$D$3:$D$900,MATCH(J320,'Both teabags AfterDry'!$A$3:$A$900,0)),"")="","",(IFERROR(INDEX('Both teabags AfterDry'!$D$3:$D$900,MATCH(J320,'Both teabags AfterDry'!$A$3:$A$900,0)),"")))</f>
        <v/>
      </c>
      <c r="P320" s="267" t="str">
        <f>IFERROR(IF(O320&gt;0,O320-(TBIcalc!$Q$9),""),"")</f>
        <v/>
      </c>
      <c r="Q320" s="278" t="str">
        <f>IFERROR(INDEX('Ashed teabags dry'!$K$2:$K$825,MATCH(J320,'Ashed teabags dry'!$A$2:$A$825,0)),"")</f>
        <v/>
      </c>
      <c r="R320" s="278" t="str">
        <f t="shared" si="22"/>
        <v/>
      </c>
      <c r="S320" s="268">
        <f>'Dry_Litterbag Placem_Collection'!E101</f>
        <v>0</v>
      </c>
      <c r="T320" s="268" t="str">
        <f>IF('Dry_Litterbag Placem_Collection'!G101="","",'Dry_Litterbag Placem_Collection'!G101)</f>
        <v/>
      </c>
      <c r="U320" s="269" t="str">
        <f t="shared" si="20"/>
        <v/>
      </c>
      <c r="V320" s="267" t="str">
        <f t="shared" si="23"/>
        <v/>
      </c>
      <c r="W320" s="267" t="str">
        <f t="shared" si="24"/>
        <v/>
      </c>
      <c r="X320" s="271" t="str">
        <f>IFERROR(INDEX(Rainfall_Dry!$O$2:$O$217,MATCH(B320, Rainfall_Dry!$A$2:$A$217,0)),"")</f>
        <v/>
      </c>
      <c r="Y320" s="260">
        <v>45.96</v>
      </c>
      <c r="Z320" s="260">
        <v>14.920000000000003</v>
      </c>
      <c r="AA320" s="260">
        <v>39.119999999999997</v>
      </c>
      <c r="AB320" s="261" t="s">
        <v>2673</v>
      </c>
      <c r="AC320" s="260">
        <v>4.0374568753080302</v>
      </c>
      <c r="AD320">
        <f>IF('WetLitterbags placem_collection'!AB101="","",'WetLitterbags placem_collection'!AB101)</f>
        <v>5.0999999999999996</v>
      </c>
      <c r="AE320">
        <f>IF('WetLitterbags placem_collection'!Z101="","",'WetLitterbags placem_collection'!Z101)</f>
        <v>2.2999999999999998</v>
      </c>
      <c r="AF320" s="24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71" t="str">
        <f>IFERROR(AVERAGE('Dry_Litterbag Placem_Collection'!N101,'Dry_Litterbag Placem_Collection'!Q101),"")</f>
        <v/>
      </c>
      <c r="AJ320" s="270">
        <f>INDEX(Coordinates!$B$2:$B$197,MATCH(G320,Coordinates!$J$2:$J$197,0))</f>
        <v>-2.369284993</v>
      </c>
      <c r="AK320" s="270">
        <f>INDEX(Coordinates!$C$2:$C$197,MATCH(G320,Coordinates!$J$2:$J$197,0))</f>
        <v>34.06028104</v>
      </c>
      <c r="AL320" s="270" t="str">
        <f>IF(ISNUMBER(SEARCH("C", 'Dry_Litterbag Placem_Collection'!T101)),"YES","NO")</f>
        <v>NO</v>
      </c>
      <c r="AM320" s="270" t="str">
        <f>IF(ISNUMBER(SEARCH("H", 'Dry_Litterbag Placem_Collection'!T101)),"YES","NO")</f>
        <v>NO</v>
      </c>
      <c r="AN320" s="270" t="str">
        <f>IF(ISNUMBER(SEARCH("R", 'Dry_Litterbag Placem_Collection'!T101)),"YES","NO")</f>
        <v>NO</v>
      </c>
    </row>
    <row r="321" spans="1:40" ht="15" customHeight="1">
      <c r="A321" s="262" t="s">
        <v>2659</v>
      </c>
      <c r="B321" s="263">
        <f>'Dry_Litterbag Placem_Collection'!A102</f>
        <v>100</v>
      </c>
      <c r="C321" s="263" t="str">
        <f>'Dry_Litterbag Placem_Collection'!B102</f>
        <v xml:space="preserve">Mwantimba
</v>
      </c>
      <c r="D321" s="263" t="s">
        <v>2659</v>
      </c>
      <c r="E321" s="263" t="s">
        <v>2660</v>
      </c>
      <c r="F321" s="263">
        <v>1</v>
      </c>
      <c r="G321" s="264" t="str">
        <f>'Dry_Litterbag Placem_Collection'!C102</f>
        <v>Wet_Ag1_T4</v>
      </c>
      <c r="H321" s="265" t="s">
        <v>2541</v>
      </c>
      <c r="I321" s="272" t="s">
        <v>298</v>
      </c>
      <c r="J321" s="263" t="str">
        <f>IF(ISBLANK('Dry_Litterbag Placem_Collection'!K102),"","R"&amp;""&amp;'Dry_Litterbag Placem_Collection'!K102)</f>
        <v>R276</v>
      </c>
      <c r="K321" s="267">
        <f>IFERROR(INDEX('Green_rooibos initial weight'!$C$5:$C$1749,MATCH(J321, 'Green_rooibos initial weight'!$A$5:$A$1749,0)),"")</f>
        <v>2.1930000000000001</v>
      </c>
      <c r="L321" s="267">
        <f>IFERROR(K321-(TBIcalc!$Q$9+TBIcalc!$Q$10),"")</f>
        <v>1.9432</v>
      </c>
      <c r="M321" s="391">
        <f>AVERAGE(Ashed_controlls!$K$12:$K$14)</f>
        <v>2.2816647271287041</v>
      </c>
      <c r="N321" s="267">
        <f t="shared" si="21"/>
        <v>1.8988626910224351</v>
      </c>
      <c r="O321" s="267">
        <f>IF(IFERROR(INDEX('Both teabags AfterDry'!$D$3:$D$900,MATCH(J321,'Both teabags AfterDry'!$A$3:$A$900,0)),"")="","",(IFERROR(INDEX('Both teabags AfterDry'!$D$3:$D$900,MATCH(J321,'Both teabags AfterDry'!$A$3:$A$900,0)),"")))</f>
        <v>1.4581</v>
      </c>
      <c r="P321" s="267">
        <f>IFERROR(IF(O321&gt;0,O321-(TBIcalc!$Q$9),""),"")</f>
        <v>1.3074999999999999</v>
      </c>
      <c r="Q321" s="278">
        <f>IFERROR(INDEX('Ashed teabags dry'!$K$2:$K$825,MATCH(J321,'Ashed teabags dry'!$A$2:$A$825,0)),"")</f>
        <v>88.392857142857224</v>
      </c>
      <c r="R321" s="278">
        <f t="shared" si="22"/>
        <v>0.1517633928571418</v>
      </c>
      <c r="S321" s="268">
        <f>'Dry_Litterbag Placem_Collection'!E102</f>
        <v>42939</v>
      </c>
      <c r="T321" s="268">
        <f>IF('Dry_Litterbag Placem_Collection'!G102="","",'Dry_Litterbag Placem_Collection'!G102)</f>
        <v>43010</v>
      </c>
      <c r="U321" s="269">
        <f t="shared" si="20"/>
        <v>71</v>
      </c>
      <c r="V321" s="267">
        <f t="shared" si="23"/>
        <v>0.63570000000000015</v>
      </c>
      <c r="W321" s="267">
        <f t="shared" si="24"/>
        <v>1.7470992981652933</v>
      </c>
      <c r="X321" s="271">
        <f>IFERROR(INDEX(Rainfall_Dry!$O$2:$O$217,MATCH(B321, Rainfall_Dry!$A$2:$A$217,0)),"")</f>
        <v>137.19979645800001</v>
      </c>
      <c r="Y321" s="260">
        <v>45.96</v>
      </c>
      <c r="Z321" s="260">
        <v>14.920000000000003</v>
      </c>
      <c r="AA321" s="260">
        <v>39.119999999999997</v>
      </c>
      <c r="AB321" s="261" t="s">
        <v>2673</v>
      </c>
      <c r="AC321" s="260">
        <v>5.0374568753080302</v>
      </c>
      <c r="AD321">
        <f>IF('WetLitterbags placem_collection'!AB102="","",'WetLitterbags placem_collection'!AB102)</f>
        <v>1.6</v>
      </c>
      <c r="AE321">
        <f>IF('WetLitterbags placem_collection'!Z102="","",'WetLitterbags placem_collection'!Z102)</f>
        <v>15</v>
      </c>
      <c r="AF321" s="24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71">
        <f>IFERROR(AVERAGE('Dry_Litterbag Placem_Collection'!N102,'Dry_Litterbag Placem_Collection'!Q102),"")</f>
        <v>29.1</v>
      </c>
      <c r="AJ321" s="270">
        <f>INDEX(Coordinates!$B$2:$B$197,MATCH(G321,Coordinates!$J$2:$J$197,0))</f>
        <v>-2.3691989950000001</v>
      </c>
      <c r="AK321" s="270">
        <f>INDEX(Coordinates!$C$2:$C$197,MATCH(G321,Coordinates!$J$2:$J$197,0))</f>
        <v>34.060208029999998</v>
      </c>
      <c r="AL321" s="270" t="str">
        <f>IF(ISNUMBER(SEARCH("C", 'Dry_Litterbag Placem_Collection'!T102)),"YES","NO")</f>
        <v>YES</v>
      </c>
      <c r="AM321" s="270" t="str">
        <f>IF(ISNUMBER(SEARCH("H", 'Dry_Litterbag Placem_Collection'!T102)),"YES","NO")</f>
        <v>YES</v>
      </c>
      <c r="AN321" s="270" t="str">
        <f>IF(ISNUMBER(SEARCH("R", 'Dry_Litterbag Placem_Collection'!T102)),"YES","NO")</f>
        <v>NO</v>
      </c>
    </row>
    <row r="322" spans="1:40" ht="15" customHeight="1">
      <c r="A322" s="262" t="s">
        <v>2659</v>
      </c>
      <c r="B322" s="263">
        <f>'Dry_Litterbag Placem_Collection'!A103</f>
        <v>101</v>
      </c>
      <c r="C322" s="263" t="str">
        <f>'Dry_Litterbag Placem_Collection'!B103</f>
        <v xml:space="preserve">Mwantimba
</v>
      </c>
      <c r="D322" s="263" t="s">
        <v>2659</v>
      </c>
      <c r="E322" s="263" t="s">
        <v>2660</v>
      </c>
      <c r="F322" s="263">
        <v>1</v>
      </c>
      <c r="G322" s="264" t="str">
        <f>'Dry_Litterbag Placem_Collection'!C103</f>
        <v>Wet_Ag1_T5</v>
      </c>
      <c r="H322" s="265" t="s">
        <v>2541</v>
      </c>
      <c r="I322" s="272" t="s">
        <v>298</v>
      </c>
      <c r="J322" s="263" t="str">
        <f>IF(ISBLANK('Dry_Litterbag Placem_Collection'!K103),"","R"&amp;""&amp;'Dry_Litterbag Placem_Collection'!K103)</f>
        <v>R624</v>
      </c>
      <c r="K322" s="267">
        <f>IFERROR(INDEX('Green_rooibos initial weight'!$C$5:$C$1749,MATCH(J322, 'Green_rooibos initial weight'!$A$5:$A$1749,0)),"")</f>
        <v>2.0739999999999998</v>
      </c>
      <c r="L322" s="267">
        <f>IFERROR(K322-(TBIcalc!$Q$9+TBIcalc!$Q$10),"")</f>
        <v>1.8241999999999998</v>
      </c>
      <c r="M322" s="391">
        <f>AVERAGE(Ashed_controlls!$K$12:$K$14)</f>
        <v>2.2816647271287041</v>
      </c>
      <c r="N322" s="267">
        <f t="shared" si="21"/>
        <v>1.7825778720477179</v>
      </c>
      <c r="O322" s="267" t="str">
        <f>IF(IFERROR(INDEX('Both teabags AfterDry'!$D$3:$D$900,MATCH(J322,'Both teabags AfterDry'!$A$3:$A$900,0)),"")="","",(IFERROR(INDEX('Both teabags AfterDry'!$D$3:$D$900,MATCH(J322,'Both teabags AfterDry'!$A$3:$A$900,0)),"")))</f>
        <v/>
      </c>
      <c r="P322" s="267" t="str">
        <f>IFERROR(IF(O322&gt;0,O322-(TBIcalc!$Q$9),""),"")</f>
        <v/>
      </c>
      <c r="Q322" s="278">
        <f>IFERROR(INDEX('Ashed teabags dry'!$K$2:$K$825,MATCH(J322,'Ashed teabags dry'!$A$2:$A$825,0)),"")</f>
        <v>86.281234688877774</v>
      </c>
      <c r="R322" s="278" t="str">
        <f t="shared" si="22"/>
        <v/>
      </c>
      <c r="S322" s="268">
        <f>'Dry_Litterbag Placem_Collection'!E103</f>
        <v>42939</v>
      </c>
      <c r="T322" s="268">
        <f>IF('Dry_Litterbag Placem_Collection'!G103="","",'Dry_Litterbag Placem_Collection'!G103)</f>
        <v>43010</v>
      </c>
      <c r="U322" s="269">
        <f t="shared" ref="U322:U385" si="25">IFERROR(T322-S322,"")</f>
        <v>71</v>
      </c>
      <c r="V322" s="267" t="str">
        <f t="shared" si="23"/>
        <v/>
      </c>
      <c r="W322" s="267" t="str">
        <f t="shared" si="24"/>
        <v/>
      </c>
      <c r="X322" s="271">
        <f>IFERROR(INDEX(Rainfall_Dry!$O$2:$O$217,MATCH(B322, Rainfall_Dry!$A$2:$A$217,0)),"")</f>
        <v>137.19979645800001</v>
      </c>
      <c r="Y322" s="260">
        <v>45.96</v>
      </c>
      <c r="Z322" s="260">
        <v>14.920000000000003</v>
      </c>
      <c r="AA322" s="260">
        <v>39.119999999999997</v>
      </c>
      <c r="AB322" s="261" t="s">
        <v>2673</v>
      </c>
      <c r="AC322" s="260">
        <v>6.0374568753080302</v>
      </c>
      <c r="AD322">
        <f>IF('WetLitterbags placem_collection'!AB103="","",'WetLitterbags placem_collection'!AB103)</f>
        <v>4.3499999999999996</v>
      </c>
      <c r="AE322">
        <f>IF('WetLitterbags placem_collection'!Z103="","",'WetLitterbags placem_collection'!Z103)</f>
        <v>17</v>
      </c>
      <c r="AF322" s="24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71">
        <f>IFERROR(AVERAGE('Dry_Litterbag Placem_Collection'!N103,'Dry_Litterbag Placem_Collection'!Q103),"")</f>
        <v>29.549999999999997</v>
      </c>
      <c r="AJ322" s="270">
        <f>INDEX(Coordinates!$B$2:$B$197,MATCH(G322,Coordinates!$J$2:$J$197,0))</f>
        <v>-2.3691900260000001</v>
      </c>
      <c r="AK322" s="270">
        <f>INDEX(Coordinates!$C$2:$C$197,MATCH(G322,Coordinates!$J$2:$J$197,0))</f>
        <v>34.060177019999998</v>
      </c>
      <c r="AL322" s="270" t="str">
        <f>IF(ISNUMBER(SEARCH("C", 'Dry_Litterbag Placem_Collection'!T103)),"YES","NO")</f>
        <v>YES</v>
      </c>
      <c r="AM322" s="270" t="str">
        <f>IF(ISNUMBER(SEARCH("H", 'Dry_Litterbag Placem_Collection'!T103)),"YES","NO")</f>
        <v>YES</v>
      </c>
      <c r="AN322" s="270" t="str">
        <f>IF(ISNUMBER(SEARCH("R", 'Dry_Litterbag Placem_Collection'!T103)),"YES","NO")</f>
        <v>NO</v>
      </c>
    </row>
    <row r="323" spans="1:40" ht="15" customHeight="1">
      <c r="A323" s="262" t="s">
        <v>2659</v>
      </c>
      <c r="B323" s="263">
        <f>'Dry_Litterbag Placem_Collection'!A104</f>
        <v>102</v>
      </c>
      <c r="C323" s="263" t="str">
        <f>'Dry_Litterbag Placem_Collection'!B104</f>
        <v xml:space="preserve">Mwantimba
</v>
      </c>
      <c r="D323" s="263" t="s">
        <v>2659</v>
      </c>
      <c r="E323" s="263" t="s">
        <v>2660</v>
      </c>
      <c r="F323" s="263">
        <v>1</v>
      </c>
      <c r="G323" s="264" t="str">
        <f>'Dry_Litterbag Placem_Collection'!C104</f>
        <v>Wet_Ag1_T6</v>
      </c>
      <c r="H323" s="265" t="s">
        <v>2541</v>
      </c>
      <c r="I323" s="272" t="s">
        <v>298</v>
      </c>
      <c r="J323" s="263" t="str">
        <f>IF(ISBLANK('Dry_Litterbag Placem_Collection'!K104),"","R"&amp;""&amp;'Dry_Litterbag Placem_Collection'!K104)</f>
        <v>R781</v>
      </c>
      <c r="K323" s="267">
        <f>IFERROR(INDEX('Green_rooibos initial weight'!$C$5:$C$1749,MATCH(J323, 'Green_rooibos initial weight'!$A$5:$A$1749,0)),"")</f>
        <v>2.194</v>
      </c>
      <c r="L323" s="267">
        <f>IFERROR(K323-(TBIcalc!$Q$9+TBIcalc!$Q$10),"")</f>
        <v>1.9441999999999999</v>
      </c>
      <c r="M323" s="391">
        <f>AVERAGE(Ashed_controlls!$K$12:$K$14)</f>
        <v>2.2816647271287041</v>
      </c>
      <c r="N323" s="267">
        <f t="shared" ref="N323:N386" si="26">IFERROR(L323-(M323/100)*L323,"")</f>
        <v>1.8998398743751637</v>
      </c>
      <c r="O323" s="267">
        <f>IF(IFERROR(INDEX('Both teabags AfterDry'!$D$3:$D$900,MATCH(J323,'Both teabags AfterDry'!$A$3:$A$900,0)),"")="","",(IFERROR(INDEX('Both teabags AfterDry'!$D$3:$D$900,MATCH(J323,'Both teabags AfterDry'!$A$3:$A$900,0)),"")))</f>
        <v>1.8687</v>
      </c>
      <c r="P323" s="267">
        <f>IFERROR(IF(O323&gt;0,O323-(TBIcalc!$Q$9),""),"")</f>
        <v>1.7181</v>
      </c>
      <c r="Q323" s="278">
        <f>IFERROR(INDEX('Ashed teabags dry'!$K$2:$K$825,MATCH(J323,'Ashed teabags dry'!$A$2:$A$825,0)),"")</f>
        <v>3.9305301645336419</v>
      </c>
      <c r="R323" s="278">
        <f t="shared" ref="R323:R386" si="27">IFERROR(P323-(Q323/100)*P323,"")</f>
        <v>1.6505695612431475</v>
      </c>
      <c r="S323" s="268">
        <f>'Dry_Litterbag Placem_Collection'!E104</f>
        <v>42939</v>
      </c>
      <c r="T323" s="268">
        <f>IF('Dry_Litterbag Placem_Collection'!G104="","",'Dry_Litterbag Placem_Collection'!G104)</f>
        <v>43010</v>
      </c>
      <c r="U323" s="269">
        <f t="shared" si="25"/>
        <v>71</v>
      </c>
      <c r="V323" s="267">
        <f t="shared" ref="V323:V386" si="28">IFERROR(L323-P323,"")</f>
        <v>0.22609999999999997</v>
      </c>
      <c r="W323" s="267">
        <f t="shared" ref="W323:W386" si="29">IFERROR(N323-R323,"")</f>
        <v>0.2492703131320162</v>
      </c>
      <c r="X323" s="271">
        <f>IFERROR(INDEX(Rainfall_Dry!$O$2:$O$217,MATCH(B323, Rainfall_Dry!$A$2:$A$217,0)),"")</f>
        <v>137.19979645800001</v>
      </c>
      <c r="Y323" s="260">
        <v>45.96</v>
      </c>
      <c r="Z323" s="260">
        <v>14.920000000000003</v>
      </c>
      <c r="AA323" s="260">
        <v>39.119999999999997</v>
      </c>
      <c r="AB323" s="261" t="s">
        <v>2673</v>
      </c>
      <c r="AC323" s="260">
        <v>7.0374568753080302</v>
      </c>
      <c r="AD323">
        <f>IF('WetLitterbags placem_collection'!AB104="","",'WetLitterbags placem_collection'!AB104)</f>
        <v>7.7</v>
      </c>
      <c r="AE323">
        <f>IF('WetLitterbags placem_collection'!Z104="","",'WetLitterbags placem_collection'!Z104)</f>
        <v>21</v>
      </c>
      <c r="AF323" s="24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71">
        <f>IFERROR(AVERAGE('Dry_Litterbag Placem_Collection'!N104,'Dry_Litterbag Placem_Collection'!Q104),"")</f>
        <v>29.05</v>
      </c>
      <c r="AJ323" s="270">
        <f>INDEX(Coordinates!$B$2:$B$197,MATCH(G323,Coordinates!$J$2:$J$197,0))</f>
        <v>-2.3691350409999998</v>
      </c>
      <c r="AK323" s="270">
        <f>INDEX(Coordinates!$C$2:$C$197,MATCH(G323,Coordinates!$J$2:$J$197,0))</f>
        <v>34.06018297</v>
      </c>
      <c r="AL323" s="270" t="str">
        <f>IF(ISNUMBER(SEARCH("C", 'Dry_Litterbag Placem_Collection'!T104)),"YES","NO")</f>
        <v>YES</v>
      </c>
      <c r="AM323" s="270" t="str">
        <f>IF(ISNUMBER(SEARCH("H", 'Dry_Litterbag Placem_Collection'!T104)),"YES","NO")</f>
        <v>YES</v>
      </c>
      <c r="AN323" s="270" t="str">
        <f>IF(ISNUMBER(SEARCH("R", 'Dry_Litterbag Placem_Collection'!T104)),"YES","NO")</f>
        <v>NO</v>
      </c>
    </row>
    <row r="324" spans="1:40" ht="15" customHeight="1">
      <c r="A324" s="262" t="s">
        <v>2659</v>
      </c>
      <c r="B324" s="263">
        <f>'Dry_Litterbag Placem_Collection'!A105</f>
        <v>103</v>
      </c>
      <c r="C324" s="263" t="str">
        <f>'Dry_Litterbag Placem_Collection'!B105</f>
        <v xml:space="preserve">Mwantimba
</v>
      </c>
      <c r="D324" s="263" t="s">
        <v>2659</v>
      </c>
      <c r="E324" s="263" t="s">
        <v>2660</v>
      </c>
      <c r="F324" s="263">
        <v>1</v>
      </c>
      <c r="G324" s="264" t="str">
        <f>'Dry_Litterbag Placem_Collection'!C105</f>
        <v>Wet_Ag1_T7</v>
      </c>
      <c r="H324" s="265" t="s">
        <v>2541</v>
      </c>
      <c r="I324" s="272" t="s">
        <v>298</v>
      </c>
      <c r="J324" s="263" t="str">
        <f>IF(ISBLANK('Dry_Litterbag Placem_Collection'!K105),"","R"&amp;""&amp;'Dry_Litterbag Placem_Collection'!K105)</f>
        <v>R772</v>
      </c>
      <c r="K324" s="267">
        <f>IFERROR(INDEX('Green_rooibos initial weight'!$C$5:$C$1749,MATCH(J324, 'Green_rooibos initial weight'!$A$5:$A$1749,0)),"")</f>
        <v>2.1909999999999998</v>
      </c>
      <c r="L324" s="267">
        <f>IFERROR(K324-(TBIcalc!$Q$9+TBIcalc!$Q$10),"")</f>
        <v>1.9411999999999998</v>
      </c>
      <c r="M324" s="391">
        <f>AVERAGE(Ashed_controlls!$K$12:$K$14)</f>
        <v>2.2816647271287041</v>
      </c>
      <c r="N324" s="267">
        <f t="shared" si="26"/>
        <v>1.8969083243169773</v>
      </c>
      <c r="O324" s="267">
        <f>IF(IFERROR(INDEX('Both teabags AfterDry'!$D$3:$D$900,MATCH(J324,'Both teabags AfterDry'!$A$3:$A$900,0)),"")="","",(IFERROR(INDEX('Both teabags AfterDry'!$D$3:$D$900,MATCH(J324,'Both teabags AfterDry'!$A$3:$A$900,0)),"")))</f>
        <v>1.5579000000000001</v>
      </c>
      <c r="P324" s="267">
        <f>IFERROR(IF(O324&gt;0,O324-(TBIcalc!$Q$9),""),"")</f>
        <v>1.4073</v>
      </c>
      <c r="Q324" s="278">
        <f>IFERROR(INDEX('Ashed teabags dry'!$K$2:$K$825,MATCH(J324,'Ashed teabags dry'!$A$2:$A$825,0)),"")</f>
        <v>79.426490669094463</v>
      </c>
      <c r="R324" s="278">
        <f t="shared" si="27"/>
        <v>0.28953099681383354</v>
      </c>
      <c r="S324" s="268">
        <f>'Dry_Litterbag Placem_Collection'!E105</f>
        <v>42939</v>
      </c>
      <c r="T324" s="268">
        <f>IF('Dry_Litterbag Placem_Collection'!G105="","",'Dry_Litterbag Placem_Collection'!G105)</f>
        <v>43010</v>
      </c>
      <c r="U324" s="269">
        <f t="shared" si="25"/>
        <v>71</v>
      </c>
      <c r="V324" s="267">
        <f t="shared" si="28"/>
        <v>0.53389999999999982</v>
      </c>
      <c r="W324" s="267">
        <f t="shared" si="29"/>
        <v>1.6073773275031438</v>
      </c>
      <c r="X324" s="271">
        <f>IFERROR(INDEX(Rainfall_Dry!$O$2:$O$217,MATCH(B324, Rainfall_Dry!$A$2:$A$217,0)),"")</f>
        <v>137.19979645800001</v>
      </c>
      <c r="Y324" s="260">
        <v>45.96</v>
      </c>
      <c r="Z324" s="260">
        <v>14.920000000000003</v>
      </c>
      <c r="AA324" s="260">
        <v>39.119999999999997</v>
      </c>
      <c r="AB324" s="261" t="s">
        <v>2673</v>
      </c>
      <c r="AC324" s="260">
        <v>8.0374568753080293</v>
      </c>
      <c r="AD324">
        <f>IF('WetLitterbags placem_collection'!AB105="","",'WetLitterbags placem_collection'!AB105)</f>
        <v>3.25</v>
      </c>
      <c r="AE324">
        <f>IF('WetLitterbags placem_collection'!Z105="","",'WetLitterbags placem_collection'!Z105)</f>
        <v>16</v>
      </c>
      <c r="AF324" s="24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71">
        <f>IFERROR(AVERAGE('Dry_Litterbag Placem_Collection'!N105,'Dry_Litterbag Placem_Collection'!Q105),"")</f>
        <v>28.799999999999997</v>
      </c>
      <c r="AJ324" s="270">
        <f>INDEX(Coordinates!$B$2:$B$197,MATCH(G324,Coordinates!$J$2:$J$197,0))</f>
        <v>-2.3691330289999999</v>
      </c>
      <c r="AK324" s="270">
        <f>INDEX(Coordinates!$C$2:$C$197,MATCH(G324,Coordinates!$J$2:$J$197,0))</f>
        <v>34.060233009999997</v>
      </c>
      <c r="AL324" s="270" t="str">
        <f>IF(ISNUMBER(SEARCH("C", 'Dry_Litterbag Placem_Collection'!T105)),"YES","NO")</f>
        <v>YES</v>
      </c>
      <c r="AM324" s="270" t="str">
        <f>IF(ISNUMBER(SEARCH("H", 'Dry_Litterbag Placem_Collection'!T105)),"YES","NO")</f>
        <v>YES</v>
      </c>
      <c r="AN324" s="270" t="str">
        <f>IF(ISNUMBER(SEARCH("R", 'Dry_Litterbag Placem_Collection'!T105)),"YES","NO")</f>
        <v>NO</v>
      </c>
    </row>
    <row r="325" spans="1:40" ht="15" customHeight="1">
      <c r="A325" s="262" t="s">
        <v>2659</v>
      </c>
      <c r="B325" s="263">
        <f>'Dry_Litterbag Placem_Collection'!A106</f>
        <v>104</v>
      </c>
      <c r="C325" s="263" t="str">
        <f>'Dry_Litterbag Placem_Collection'!B106</f>
        <v xml:space="preserve">Mwantimba
</v>
      </c>
      <c r="D325" s="263" t="s">
        <v>2659</v>
      </c>
      <c r="E325" s="263" t="s">
        <v>2660</v>
      </c>
      <c r="F325" s="263">
        <v>1</v>
      </c>
      <c r="G325" s="264" t="str">
        <f>'Dry_Litterbag Placem_Collection'!C106</f>
        <v>Wet_Ag1_T8</v>
      </c>
      <c r="H325" s="265" t="s">
        <v>2541</v>
      </c>
      <c r="I325" s="272" t="s">
        <v>298</v>
      </c>
      <c r="J325" s="263" t="str">
        <f>IF(ISBLANK('Dry_Litterbag Placem_Collection'!K106),"","R"&amp;""&amp;'Dry_Litterbag Placem_Collection'!K106)</f>
        <v>R744</v>
      </c>
      <c r="K325" s="267">
        <f>IFERROR(INDEX('Green_rooibos initial weight'!$C$5:$C$1749,MATCH(J325, 'Green_rooibos initial weight'!$A$5:$A$1749,0)),"")</f>
        <v>2.2280000000000002</v>
      </c>
      <c r="L325" s="267">
        <f>IFERROR(K325-(TBIcalc!$Q$9+TBIcalc!$Q$10),"")</f>
        <v>1.9782000000000002</v>
      </c>
      <c r="M325" s="391">
        <f>AVERAGE(Ashed_controlls!$K$12:$K$14)</f>
        <v>2.2816647271287041</v>
      </c>
      <c r="N325" s="267">
        <f t="shared" si="26"/>
        <v>1.9330641083679401</v>
      </c>
      <c r="O325" s="267" t="str">
        <f>IF(IFERROR(INDEX('Both teabags AfterDry'!$D$3:$D$900,MATCH(J325,'Both teabags AfterDry'!$A$3:$A$900,0)),"")="","",(IFERROR(INDEX('Both teabags AfterDry'!$D$3:$D$900,MATCH(J325,'Both teabags AfterDry'!$A$3:$A$900,0)),"")))</f>
        <v/>
      </c>
      <c r="P325" s="267" t="str">
        <f>IFERROR(IF(O325&gt;0,O325-(TBIcalc!$Q$9),""),"")</f>
        <v/>
      </c>
      <c r="Q325" s="278">
        <f>IFERROR(INDEX('Ashed teabags dry'!$K$2:$K$825,MATCH(J325,'Ashed teabags dry'!$A$2:$A$825,0)),"")</f>
        <v>84.528487229861895</v>
      </c>
      <c r="R325" s="278" t="str">
        <f t="shared" si="27"/>
        <v/>
      </c>
      <c r="S325" s="268">
        <f>'Dry_Litterbag Placem_Collection'!E106</f>
        <v>42939</v>
      </c>
      <c r="T325" s="268">
        <f>IF('Dry_Litterbag Placem_Collection'!G106="","",'Dry_Litterbag Placem_Collection'!G106)</f>
        <v>43010</v>
      </c>
      <c r="U325" s="269">
        <f t="shared" si="25"/>
        <v>71</v>
      </c>
      <c r="V325" s="267" t="str">
        <f t="shared" si="28"/>
        <v/>
      </c>
      <c r="W325" s="267" t="str">
        <f t="shared" si="29"/>
        <v/>
      </c>
      <c r="X325" s="271">
        <f>IFERROR(INDEX(Rainfall_Dry!$O$2:$O$217,MATCH(B325, Rainfall_Dry!$A$2:$A$217,0)),"")</f>
        <v>137.19979645800001</v>
      </c>
      <c r="Y325" s="260">
        <v>45.96</v>
      </c>
      <c r="Z325" s="260">
        <v>14.920000000000003</v>
      </c>
      <c r="AA325" s="260">
        <v>39.119999999999997</v>
      </c>
      <c r="AB325" s="261" t="s">
        <v>2673</v>
      </c>
      <c r="AC325" s="260">
        <v>9.0374568753080293</v>
      </c>
      <c r="AD325">
        <f>IF('WetLitterbags placem_collection'!AB106="","",'WetLitterbags placem_collection'!AB106)</f>
        <v>10.5</v>
      </c>
      <c r="AE325">
        <f>IF('WetLitterbags placem_collection'!Z106="","",'WetLitterbags placem_collection'!Z106)</f>
        <v>17</v>
      </c>
      <c r="AF325" s="24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71">
        <f>IFERROR(AVERAGE('Dry_Litterbag Placem_Collection'!N106,'Dry_Litterbag Placem_Collection'!Q106),"")</f>
        <v>28.05</v>
      </c>
      <c r="AJ325" s="270">
        <f>INDEX(Coordinates!$B$2:$B$197,MATCH(G325,Coordinates!$J$2:$J$197,0))</f>
        <v>-2.3692910280000001</v>
      </c>
      <c r="AK325" s="270">
        <f>INDEX(Coordinates!$C$2:$C$197,MATCH(G325,Coordinates!$J$2:$J$197,0))</f>
        <v>34.06016202</v>
      </c>
      <c r="AL325" s="270" t="str">
        <f>IF(ISNUMBER(SEARCH("C", 'Dry_Litterbag Placem_Collection'!T106)),"YES","NO")</f>
        <v>YES</v>
      </c>
      <c r="AM325" s="270" t="str">
        <f>IF(ISNUMBER(SEARCH("H", 'Dry_Litterbag Placem_Collection'!T106)),"YES","NO")</f>
        <v>YES</v>
      </c>
      <c r="AN325" s="270" t="str">
        <f>IF(ISNUMBER(SEARCH("R", 'Dry_Litterbag Placem_Collection'!T106)),"YES","NO")</f>
        <v>NO</v>
      </c>
    </row>
    <row r="326" spans="1:40" ht="15" customHeight="1">
      <c r="A326" s="262" t="s">
        <v>2659</v>
      </c>
      <c r="B326" s="263">
        <f>'Dry_Litterbag Placem_Collection'!A107</f>
        <v>105</v>
      </c>
      <c r="C326" s="263" t="str">
        <f>'Dry_Litterbag Placem_Collection'!B107</f>
        <v xml:space="preserve">Mwantimba
</v>
      </c>
      <c r="D326" s="263" t="s">
        <v>2659</v>
      </c>
      <c r="E326" s="263" t="s">
        <v>2660</v>
      </c>
      <c r="F326" s="263">
        <v>2</v>
      </c>
      <c r="G326" s="264" t="str">
        <f>'Dry_Litterbag Placem_Collection'!C107</f>
        <v>Wet_Ag2_T1</v>
      </c>
      <c r="H326" s="265" t="s">
        <v>2541</v>
      </c>
      <c r="I326" s="272" t="s">
        <v>298</v>
      </c>
      <c r="J326" s="263" t="str">
        <f>IF(ISBLANK('Dry_Litterbag Placem_Collection'!K107),"","R"&amp;""&amp;'Dry_Litterbag Placem_Collection'!K107)</f>
        <v>R824</v>
      </c>
      <c r="K326" s="267">
        <f>IFERROR(INDEX('Green_rooibos initial weight'!$C$5:$C$1749,MATCH(J326, 'Green_rooibos initial weight'!$A$5:$A$1749,0)),"")</f>
        <v>2.173</v>
      </c>
      <c r="L326" s="267">
        <f>IFERROR(K326-(TBIcalc!$Q$9+TBIcalc!$Q$10),"")</f>
        <v>1.9232</v>
      </c>
      <c r="M326" s="391">
        <f>AVERAGE(Ashed_controlls!$K$12:$K$14)</f>
        <v>2.2816647271287041</v>
      </c>
      <c r="N326" s="267">
        <f t="shared" si="26"/>
        <v>1.8793190239678608</v>
      </c>
      <c r="O326" s="267">
        <f>IF(IFERROR(INDEX('Both teabags AfterDry'!$D$3:$D$900,MATCH(J326,'Both teabags AfterDry'!$A$3:$A$900,0)),"")="","",(IFERROR(INDEX('Both teabags AfterDry'!$D$3:$D$900,MATCH(J326,'Both teabags AfterDry'!$A$3:$A$900,0)),"")))</f>
        <v>1.7653000000000001</v>
      </c>
      <c r="P326" s="267">
        <f>IFERROR(IF(O326&gt;0,O326-(TBIcalc!$Q$9),""),"")</f>
        <v>1.6147</v>
      </c>
      <c r="Q326" s="278">
        <f>IFERROR(INDEX('Ashed teabags dry'!$K$2:$K$825,MATCH(J326,'Ashed teabags dry'!$A$2:$A$825,0)),"")</f>
        <v>83.348375451263863</v>
      </c>
      <c r="R326" s="278">
        <f t="shared" si="27"/>
        <v>0.26887378158844233</v>
      </c>
      <c r="S326" s="268">
        <f>'Dry_Litterbag Placem_Collection'!E107</f>
        <v>42939</v>
      </c>
      <c r="T326" s="268">
        <f>IF('Dry_Litterbag Placem_Collection'!G107="","",'Dry_Litterbag Placem_Collection'!G107)</f>
        <v>43010</v>
      </c>
      <c r="U326" s="269">
        <f t="shared" si="25"/>
        <v>71</v>
      </c>
      <c r="V326" s="267">
        <f t="shared" si="28"/>
        <v>0.3085</v>
      </c>
      <c r="W326" s="267">
        <f t="shared" si="29"/>
        <v>1.6104452423794184</v>
      </c>
      <c r="X326" s="271">
        <f>IFERROR(INDEX(Rainfall_Dry!$O$2:$O$217,MATCH(B326, Rainfall_Dry!$A$2:$A$217,0)),"")</f>
        <v>137.19979645800001</v>
      </c>
      <c r="Y326" s="260">
        <v>34.344660194174757</v>
      </c>
      <c r="Z326" s="260">
        <v>19.22727272727273</v>
      </c>
      <c r="AA326" s="260">
        <v>46.428067078552509</v>
      </c>
      <c r="AB326" s="261" t="s">
        <v>2670</v>
      </c>
      <c r="AC326" s="260">
        <v>1.7452932479053718</v>
      </c>
      <c r="AD326">
        <f>IF('WetLitterbags placem_collection'!AB107="","",'WetLitterbags placem_collection'!AB107)</f>
        <v>5.5</v>
      </c>
      <c r="AE326">
        <f>IF('WetLitterbags placem_collection'!Z107="","",'WetLitterbags placem_collection'!Z107)</f>
        <v>23.5</v>
      </c>
      <c r="AF326" s="24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71">
        <f>IFERROR(AVERAGE('Dry_Litterbag Placem_Collection'!N107,'Dry_Litterbag Placem_Collection'!Q107),"")</f>
        <v>30.549999999999997</v>
      </c>
      <c r="AJ326" s="270">
        <f>INDEX(Coordinates!$B$2:$B$197,MATCH(G326,Coordinates!$J$2:$J$197,0))</f>
        <v>-2.3698080240000001</v>
      </c>
      <c r="AK326" s="270">
        <f>INDEX(Coordinates!$C$2:$C$197,MATCH(G326,Coordinates!$J$2:$J$197,0))</f>
        <v>34.059671010000002</v>
      </c>
      <c r="AL326" s="270" t="str">
        <f>IF(ISNUMBER(SEARCH("C", 'Dry_Litterbag Placem_Collection'!T107)),"YES","NO")</f>
        <v>YES</v>
      </c>
      <c r="AM326" s="270" t="str">
        <f>IF(ISNUMBER(SEARCH("H", 'Dry_Litterbag Placem_Collection'!T107)),"YES","NO")</f>
        <v>YES</v>
      </c>
      <c r="AN326" s="270" t="str">
        <f>IF(ISNUMBER(SEARCH("R", 'Dry_Litterbag Placem_Collection'!T107)),"YES","NO")</f>
        <v>NO</v>
      </c>
    </row>
    <row r="327" spans="1:40" ht="15" customHeight="1">
      <c r="A327" s="262" t="s">
        <v>2659</v>
      </c>
      <c r="B327" s="263">
        <f>'Dry_Litterbag Placem_Collection'!A108</f>
        <v>106</v>
      </c>
      <c r="C327" s="263" t="str">
        <f>'Dry_Litterbag Placem_Collection'!B108</f>
        <v xml:space="preserve">Mwantimba
</v>
      </c>
      <c r="D327" s="263" t="s">
        <v>2659</v>
      </c>
      <c r="E327" s="263" t="s">
        <v>2660</v>
      </c>
      <c r="F327" s="263">
        <v>2</v>
      </c>
      <c r="G327" s="264" t="str">
        <f>'Dry_Litterbag Placem_Collection'!C108</f>
        <v>Wet_Ag2_T2</v>
      </c>
      <c r="H327" s="265" t="s">
        <v>2541</v>
      </c>
      <c r="I327" s="272" t="s">
        <v>298</v>
      </c>
      <c r="J327" s="263" t="str">
        <f>IF(ISBLANK('Dry_Litterbag Placem_Collection'!K108),"","R"&amp;""&amp;'Dry_Litterbag Placem_Collection'!K108)</f>
        <v>R790</v>
      </c>
      <c r="K327" s="267">
        <f>IFERROR(INDEX('Green_rooibos initial weight'!$C$5:$C$1749,MATCH(J327, 'Green_rooibos initial weight'!$A$5:$A$1749,0)),"")</f>
        <v>2.266</v>
      </c>
      <c r="L327" s="267">
        <f>IFERROR(K327-(TBIcalc!$Q$9+TBIcalc!$Q$10),"")</f>
        <v>2.0162</v>
      </c>
      <c r="M327" s="391">
        <f>AVERAGE(Ashed_controlls!$K$12:$K$14)</f>
        <v>2.2816647271287041</v>
      </c>
      <c r="N327" s="267">
        <f t="shared" si="26"/>
        <v>1.9701970757716312</v>
      </c>
      <c r="O327" s="267">
        <f>IF(IFERROR(INDEX('Both teabags AfterDry'!$D$3:$D$900,MATCH(J327,'Both teabags AfterDry'!$A$3:$A$900,0)),"")="","",(IFERROR(INDEX('Both teabags AfterDry'!$D$3:$D$900,MATCH(J327,'Both teabags AfterDry'!$A$3:$A$900,0)),"")))</f>
        <v>2.2315</v>
      </c>
      <c r="P327" s="267">
        <f>IFERROR(IF(O327&gt;0,O327-(TBIcalc!$Q$9),""),"")</f>
        <v>2.0809000000000002</v>
      </c>
      <c r="Q327" s="278">
        <f>IFERROR(INDEX('Ashed teabags dry'!$K$2:$K$825,MATCH(J327,'Ashed teabags dry'!$A$2:$A$825,0)),"")</f>
        <v>81.485100146555695</v>
      </c>
      <c r="R327" s="278">
        <f t="shared" si="27"/>
        <v>0.38527655105032244</v>
      </c>
      <c r="S327" s="268">
        <f>'Dry_Litterbag Placem_Collection'!E108</f>
        <v>42939</v>
      </c>
      <c r="T327" s="268">
        <f>IF('Dry_Litterbag Placem_Collection'!G108="","",'Dry_Litterbag Placem_Collection'!G108)</f>
        <v>43010</v>
      </c>
      <c r="U327" s="269">
        <f t="shared" si="25"/>
        <v>71</v>
      </c>
      <c r="V327" s="267">
        <f t="shared" si="28"/>
        <v>-6.4700000000000202E-2</v>
      </c>
      <c r="W327" s="267">
        <f t="shared" si="29"/>
        <v>1.5849205247213087</v>
      </c>
      <c r="X327" s="271">
        <f>IFERROR(INDEX(Rainfall_Dry!$O$2:$O$217,MATCH(B327, Rainfall_Dry!$A$2:$A$217,0)),"")</f>
        <v>137.19979645800001</v>
      </c>
      <c r="Y327" s="260">
        <v>34.344660194174757</v>
      </c>
      <c r="Z327" s="260">
        <v>19.22727272727273</v>
      </c>
      <c r="AA327" s="260">
        <v>46.428067078552509</v>
      </c>
      <c r="AB327" s="261" t="s">
        <v>2670</v>
      </c>
      <c r="AC327" s="260">
        <v>2.7452932479053702</v>
      </c>
      <c r="AD327">
        <f>IF('WetLitterbags placem_collection'!AB108="","",'WetLitterbags placem_collection'!AB108)</f>
        <v>8.6</v>
      </c>
      <c r="AE327">
        <f>IF('WetLitterbags placem_collection'!Z108="","",'WetLitterbags placem_collection'!Z108)</f>
        <v>17</v>
      </c>
      <c r="AF327" s="24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71">
        <f>IFERROR(AVERAGE('Dry_Litterbag Placem_Collection'!N108,'Dry_Litterbag Placem_Collection'!Q108),"")</f>
        <v>31.3</v>
      </c>
      <c r="AJ327" s="270">
        <f>INDEX(Coordinates!$B$2:$B$197,MATCH(G327,Coordinates!$J$2:$J$197,0))</f>
        <v>-2.3697620069999998</v>
      </c>
      <c r="AK327" s="270">
        <f>INDEX(Coordinates!$C$2:$C$197,MATCH(G327,Coordinates!$J$2:$J$197,0))</f>
        <v>34.059730010000003</v>
      </c>
      <c r="AL327" s="270" t="str">
        <f>IF(ISNUMBER(SEARCH("C", 'Dry_Litterbag Placem_Collection'!T108)),"YES","NO")</f>
        <v>YES</v>
      </c>
      <c r="AM327" s="270" t="str">
        <f>IF(ISNUMBER(SEARCH("H", 'Dry_Litterbag Placem_Collection'!T108)),"YES","NO")</f>
        <v>YES</v>
      </c>
      <c r="AN327" s="270" t="str">
        <f>IF(ISNUMBER(SEARCH("R", 'Dry_Litterbag Placem_Collection'!T108)),"YES","NO")</f>
        <v>NO</v>
      </c>
    </row>
    <row r="328" spans="1:40" ht="15" customHeight="1">
      <c r="A328" s="262" t="s">
        <v>2659</v>
      </c>
      <c r="B328" s="263">
        <f>'Dry_Litterbag Placem_Collection'!A109</f>
        <v>107</v>
      </c>
      <c r="C328" s="263" t="str">
        <f>'Dry_Litterbag Placem_Collection'!B109</f>
        <v xml:space="preserve">Mwantimba
</v>
      </c>
      <c r="D328" s="263" t="s">
        <v>2659</v>
      </c>
      <c r="E328" s="263" t="s">
        <v>2660</v>
      </c>
      <c r="F328" s="263">
        <v>2</v>
      </c>
      <c r="G328" s="264" t="str">
        <f>'Dry_Litterbag Placem_Collection'!C109</f>
        <v>Wet_Ag2_T3</v>
      </c>
      <c r="H328" s="265" t="s">
        <v>2541</v>
      </c>
      <c r="I328" s="272" t="s">
        <v>298</v>
      </c>
      <c r="J328" s="263" t="str">
        <f>IF(ISBLANK('Dry_Litterbag Placem_Collection'!K109),"","R"&amp;""&amp;'Dry_Litterbag Placem_Collection'!K109)</f>
        <v>R809</v>
      </c>
      <c r="K328" s="267">
        <f>IFERROR(INDEX('Green_rooibos initial weight'!$C$5:$C$1749,MATCH(J328, 'Green_rooibos initial weight'!$A$5:$A$1749,0)),"")</f>
        <v>2.2210000000000001</v>
      </c>
      <c r="L328" s="267">
        <f>IFERROR(K328-(TBIcalc!$Q$9+TBIcalc!$Q$10),"")</f>
        <v>1.9712000000000001</v>
      </c>
      <c r="M328" s="391">
        <f>AVERAGE(Ashed_controlls!$K$12:$K$14)</f>
        <v>2.2816647271287041</v>
      </c>
      <c r="N328" s="267">
        <f t="shared" si="26"/>
        <v>1.926223824898839</v>
      </c>
      <c r="O328" s="267" t="str">
        <f>IF(IFERROR(INDEX('Both teabags AfterDry'!$D$3:$D$900,MATCH(J328,'Both teabags AfterDry'!$A$3:$A$900,0)),"")="","",(IFERROR(INDEX('Both teabags AfterDry'!$D$3:$D$900,MATCH(J328,'Both teabags AfterDry'!$A$3:$A$900,0)),"")))</f>
        <v/>
      </c>
      <c r="P328" s="267" t="str">
        <f>IFERROR(IF(O328&gt;0,O328-(TBIcalc!$Q$9),""),"")</f>
        <v/>
      </c>
      <c r="Q328" s="278">
        <f>IFERROR(INDEX('Ashed teabags dry'!$K$2:$K$825,MATCH(J328,'Ashed teabags dry'!$A$2:$A$825,0)),"")</f>
        <v>0</v>
      </c>
      <c r="R328" s="278" t="str">
        <f t="shared" si="27"/>
        <v/>
      </c>
      <c r="S328" s="268">
        <f>'Dry_Litterbag Placem_Collection'!E109</f>
        <v>42939</v>
      </c>
      <c r="T328" s="268">
        <f>IF('Dry_Litterbag Placem_Collection'!G109="","",'Dry_Litterbag Placem_Collection'!G109)</f>
        <v>43010</v>
      </c>
      <c r="U328" s="269">
        <f t="shared" si="25"/>
        <v>71</v>
      </c>
      <c r="V328" s="267" t="str">
        <f t="shared" si="28"/>
        <v/>
      </c>
      <c r="W328" s="267" t="str">
        <f t="shared" si="29"/>
        <v/>
      </c>
      <c r="X328" s="271">
        <f>IFERROR(INDEX(Rainfall_Dry!$O$2:$O$217,MATCH(B328, Rainfall_Dry!$A$2:$A$217,0)),"")</f>
        <v>137.19979645800001</v>
      </c>
      <c r="Y328" s="260">
        <v>34.344660194174757</v>
      </c>
      <c r="Z328" s="260">
        <v>19.22727272727273</v>
      </c>
      <c r="AA328" s="260">
        <v>46.428067078552509</v>
      </c>
      <c r="AB328" s="261" t="s">
        <v>2670</v>
      </c>
      <c r="AC328" s="260">
        <v>3.7452932479053702</v>
      </c>
      <c r="AD328">
        <f>IF('WetLitterbags placem_collection'!AB109="","",'WetLitterbags placem_collection'!AB109)</f>
        <v>3.85</v>
      </c>
      <c r="AE328">
        <f>IF('WetLitterbags placem_collection'!Z109="","",'WetLitterbags placem_collection'!Z109)</f>
        <v>15.5</v>
      </c>
      <c r="AF328" s="24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71">
        <f>IFERROR(AVERAGE('Dry_Litterbag Placem_Collection'!N109,'Dry_Litterbag Placem_Collection'!Q109),"")</f>
        <v>30.200000000000003</v>
      </c>
      <c r="AJ328" s="270">
        <f>INDEX(Coordinates!$B$2:$B$197,MATCH(G328,Coordinates!$J$2:$J$197,0))</f>
        <v>-2.3698409649999999</v>
      </c>
      <c r="AK328" s="270">
        <f>INDEX(Coordinates!$C$2:$C$197,MATCH(G328,Coordinates!$J$2:$J$197,0))</f>
        <v>34.059814000000003</v>
      </c>
      <c r="AL328" s="270" t="str">
        <f>IF(ISNUMBER(SEARCH("C", 'Dry_Litterbag Placem_Collection'!T109)),"YES","NO")</f>
        <v>YES</v>
      </c>
      <c r="AM328" s="270" t="str">
        <f>IF(ISNUMBER(SEARCH("H", 'Dry_Litterbag Placem_Collection'!T109)),"YES","NO")</f>
        <v>YES</v>
      </c>
      <c r="AN328" s="270" t="str">
        <f>IF(ISNUMBER(SEARCH("R", 'Dry_Litterbag Placem_Collection'!T109)),"YES","NO")</f>
        <v>NO</v>
      </c>
    </row>
    <row r="329" spans="1:40" ht="15" customHeight="1">
      <c r="A329" s="262" t="s">
        <v>2659</v>
      </c>
      <c r="B329" s="263">
        <f>'Dry_Litterbag Placem_Collection'!A110</f>
        <v>108</v>
      </c>
      <c r="C329" s="263" t="str">
        <f>'Dry_Litterbag Placem_Collection'!B110</f>
        <v xml:space="preserve">Mwantimba
</v>
      </c>
      <c r="D329" s="263" t="s">
        <v>2659</v>
      </c>
      <c r="E329" s="263" t="s">
        <v>2660</v>
      </c>
      <c r="F329" s="263">
        <v>2</v>
      </c>
      <c r="G329" s="264" t="str">
        <f>'Dry_Litterbag Placem_Collection'!C110</f>
        <v>Wet_Ag2_T4</v>
      </c>
      <c r="H329" s="265" t="s">
        <v>2541</v>
      </c>
      <c r="I329" s="272" t="s">
        <v>298</v>
      </c>
      <c r="J329" s="263" t="str">
        <f>IF(ISBLANK('Dry_Litterbag Placem_Collection'!K110),"","R"&amp;""&amp;'Dry_Litterbag Placem_Collection'!K110)</f>
        <v>R777</v>
      </c>
      <c r="K329" s="267">
        <f>IFERROR(INDEX('Green_rooibos initial weight'!$C$5:$C$1749,MATCH(J329, 'Green_rooibos initial weight'!$A$5:$A$1749,0)),"")</f>
        <v>2.2549999999999999</v>
      </c>
      <c r="L329" s="267">
        <f>IFERROR(K329-(TBIcalc!$Q$9+TBIcalc!$Q$10),"")</f>
        <v>2.0051999999999999</v>
      </c>
      <c r="M329" s="391">
        <f>AVERAGE(Ashed_controlls!$K$12:$K$14)</f>
        <v>2.2816647271287041</v>
      </c>
      <c r="N329" s="267">
        <f t="shared" si="26"/>
        <v>1.959448058891615</v>
      </c>
      <c r="O329" s="267">
        <f>IF(IFERROR(INDEX('Both teabags AfterDry'!$D$3:$D$900,MATCH(J329,'Both teabags AfterDry'!$A$3:$A$900,0)),"")="","",(IFERROR(INDEX('Both teabags AfterDry'!$D$3:$D$900,MATCH(J329,'Both teabags AfterDry'!$A$3:$A$900,0)),"")))</f>
        <v>1.8240000000000001</v>
      </c>
      <c r="P329" s="267">
        <f>IFERROR(IF(O329&gt;0,O329-(TBIcalc!$Q$9),""),"")</f>
        <v>1.6734</v>
      </c>
      <c r="Q329" s="278">
        <f>IFERROR(INDEX('Ashed teabags dry'!$K$2:$K$825,MATCH(J329,'Ashed teabags dry'!$A$2:$A$825,0)),"")</f>
        <v>4.6835443037977491</v>
      </c>
      <c r="R329" s="278">
        <f t="shared" si="27"/>
        <v>1.5950255696202484</v>
      </c>
      <c r="S329" s="268">
        <f>'Dry_Litterbag Placem_Collection'!E110</f>
        <v>42939</v>
      </c>
      <c r="T329" s="268">
        <f>IF('Dry_Litterbag Placem_Collection'!G110="","",'Dry_Litterbag Placem_Collection'!G110)</f>
        <v>43010</v>
      </c>
      <c r="U329" s="269">
        <f t="shared" si="25"/>
        <v>71</v>
      </c>
      <c r="V329" s="267">
        <f t="shared" si="28"/>
        <v>0.33179999999999987</v>
      </c>
      <c r="W329" s="267">
        <f t="shared" si="29"/>
        <v>0.36442248927136656</v>
      </c>
      <c r="X329" s="271">
        <f>IFERROR(INDEX(Rainfall_Dry!$O$2:$O$217,MATCH(B329, Rainfall_Dry!$A$2:$A$217,0)),"")</f>
        <v>137.19979645800001</v>
      </c>
      <c r="Y329" s="260">
        <v>34.344660194174757</v>
      </c>
      <c r="Z329" s="260">
        <v>19.22727272727273</v>
      </c>
      <c r="AA329" s="260">
        <v>46.428067078552509</v>
      </c>
      <c r="AB329" s="261" t="s">
        <v>2670</v>
      </c>
      <c r="AC329" s="260">
        <v>4.7452932479053702</v>
      </c>
      <c r="AD329">
        <f>IF('WetLitterbags placem_collection'!AB110="","",'WetLitterbags placem_collection'!AB110)</f>
        <v>9.6999999999999993</v>
      </c>
      <c r="AE329">
        <f>IF('WetLitterbags placem_collection'!Z110="","",'WetLitterbags placem_collection'!Z110)</f>
        <v>22.5</v>
      </c>
      <c r="AF329" s="24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71">
        <f>IFERROR(AVERAGE('Dry_Litterbag Placem_Collection'!N110,'Dry_Litterbag Placem_Collection'!Q110),"")</f>
        <v>31.8</v>
      </c>
      <c r="AJ329" s="270">
        <f>INDEX(Coordinates!$B$2:$B$197,MATCH(G329,Coordinates!$J$2:$J$197,0))</f>
        <v>-2.3698620030000002</v>
      </c>
      <c r="AK329" s="270">
        <f>INDEX(Coordinates!$C$2:$C$197,MATCH(G329,Coordinates!$J$2:$J$197,0))</f>
        <v>34.059759020000001</v>
      </c>
      <c r="AL329" s="270" t="str">
        <f>IF(ISNUMBER(SEARCH("C", 'Dry_Litterbag Placem_Collection'!T110)),"YES","NO")</f>
        <v>NO</v>
      </c>
      <c r="AM329" s="270" t="str">
        <f>IF(ISNUMBER(SEARCH("H", 'Dry_Litterbag Placem_Collection'!T110)),"YES","NO")</f>
        <v>NO</v>
      </c>
      <c r="AN329" s="270" t="str">
        <f>IF(ISNUMBER(SEARCH("R", 'Dry_Litterbag Placem_Collection'!T110)),"YES","NO")</f>
        <v>NO</v>
      </c>
    </row>
    <row r="330" spans="1:40" ht="15" customHeight="1">
      <c r="A330" s="262" t="s">
        <v>2659</v>
      </c>
      <c r="B330" s="263">
        <f>'Dry_Litterbag Placem_Collection'!A111</f>
        <v>109</v>
      </c>
      <c r="C330" s="263" t="str">
        <f>'Dry_Litterbag Placem_Collection'!B111</f>
        <v xml:space="preserve">Mwantimba
</v>
      </c>
      <c r="D330" s="263" t="s">
        <v>2659</v>
      </c>
      <c r="E330" s="263" t="s">
        <v>2660</v>
      </c>
      <c r="F330" s="263">
        <v>2</v>
      </c>
      <c r="G330" s="264" t="str">
        <f>'Dry_Litterbag Placem_Collection'!C111</f>
        <v>Wet_Ag2_T5</v>
      </c>
      <c r="H330" s="265" t="s">
        <v>2541</v>
      </c>
      <c r="I330" s="272" t="s">
        <v>298</v>
      </c>
      <c r="J330" s="263" t="str">
        <f>IF(ISBLANK('Dry_Litterbag Placem_Collection'!K111),"","R"&amp;""&amp;'Dry_Litterbag Placem_Collection'!K111)</f>
        <v>R804</v>
      </c>
      <c r="K330" s="267">
        <f>IFERROR(INDEX('Green_rooibos initial weight'!$C$5:$C$1749,MATCH(J330, 'Green_rooibos initial weight'!$A$5:$A$1749,0)),"")</f>
        <v>2.1960000000000002</v>
      </c>
      <c r="L330" s="267">
        <f>IFERROR(K330-(TBIcalc!$Q$9+TBIcalc!$Q$10),"")</f>
        <v>1.9462000000000002</v>
      </c>
      <c r="M330" s="391">
        <f>AVERAGE(Ashed_controlls!$K$12:$K$14)</f>
        <v>2.2816647271287041</v>
      </c>
      <c r="N330" s="267">
        <f t="shared" si="26"/>
        <v>1.9017942410806212</v>
      </c>
      <c r="O330" s="267">
        <f>IF(IFERROR(INDEX('Both teabags AfterDry'!$D$3:$D$900,MATCH(J330,'Both teabags AfterDry'!$A$3:$A$900,0)),"")="","",(IFERROR(INDEX('Both teabags AfterDry'!$D$3:$D$900,MATCH(J330,'Both teabags AfterDry'!$A$3:$A$900,0)),"")))</f>
        <v>1.3936999999999999</v>
      </c>
      <c r="P330" s="267">
        <f>IFERROR(IF(O330&gt;0,O330-(TBIcalc!$Q$9),""),"")</f>
        <v>1.2430999999999999</v>
      </c>
      <c r="Q330" s="278">
        <f>IFERROR(INDEX('Ashed teabags dry'!$K$2:$K$825,MATCH(J330,'Ashed teabags dry'!$A$2:$A$825,0)),"")</f>
        <v>71.520554730063893</v>
      </c>
      <c r="R330" s="278">
        <f t="shared" si="27"/>
        <v>0.35402798415057579</v>
      </c>
      <c r="S330" s="268">
        <f>'Dry_Litterbag Placem_Collection'!E111</f>
        <v>42939</v>
      </c>
      <c r="T330" s="268">
        <f>IF('Dry_Litterbag Placem_Collection'!G111="","",'Dry_Litterbag Placem_Collection'!G111)</f>
        <v>43010</v>
      </c>
      <c r="U330" s="269">
        <f t="shared" si="25"/>
        <v>71</v>
      </c>
      <c r="V330" s="267">
        <f t="shared" si="28"/>
        <v>0.70310000000000028</v>
      </c>
      <c r="W330" s="267">
        <f t="shared" si="29"/>
        <v>1.5477662569300454</v>
      </c>
      <c r="X330" s="271">
        <f>IFERROR(INDEX(Rainfall_Dry!$O$2:$O$217,MATCH(B330, Rainfall_Dry!$A$2:$A$217,0)),"")</f>
        <v>137.19979645800001</v>
      </c>
      <c r="Y330" s="260">
        <v>34.344660194174757</v>
      </c>
      <c r="Z330" s="260">
        <v>19.22727272727273</v>
      </c>
      <c r="AA330" s="260">
        <v>46.428067078552509</v>
      </c>
      <c r="AB330" s="261" t="s">
        <v>2670</v>
      </c>
      <c r="AC330" s="260">
        <v>5.7452932479053702</v>
      </c>
      <c r="AD330">
        <f>IF('WetLitterbags placem_collection'!AB111="","",'WetLitterbags placem_collection'!AB111)</f>
        <v>10.5</v>
      </c>
      <c r="AE330">
        <f>IF('WetLitterbags placem_collection'!Z111="","",'WetLitterbags placem_collection'!Z111)</f>
        <v>22.5</v>
      </c>
      <c r="AF330" s="24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71">
        <f>IFERROR(AVERAGE('Dry_Litterbag Placem_Collection'!N111,'Dry_Litterbag Placem_Collection'!Q111),"")</f>
        <v>30.65</v>
      </c>
      <c r="AJ330" s="270">
        <f>INDEX(Coordinates!$B$2:$B$197,MATCH(G330,Coordinates!$J$2:$J$197,0))</f>
        <v>-2.3698390370000002</v>
      </c>
      <c r="AK330" s="270">
        <f>INDEX(Coordinates!$C$2:$C$197,MATCH(G330,Coordinates!$J$2:$J$197,0))</f>
        <v>34.059714</v>
      </c>
      <c r="AL330" s="270" t="str">
        <f>IF(ISNUMBER(SEARCH("C", 'Dry_Litterbag Placem_Collection'!T111)),"YES","NO")</f>
        <v>YES</v>
      </c>
      <c r="AM330" s="270" t="str">
        <f>IF(ISNUMBER(SEARCH("H", 'Dry_Litterbag Placem_Collection'!T111)),"YES","NO")</f>
        <v>YES</v>
      </c>
      <c r="AN330" s="270" t="str">
        <f>IF(ISNUMBER(SEARCH("R", 'Dry_Litterbag Placem_Collection'!T111)),"YES","NO")</f>
        <v>NO</v>
      </c>
    </row>
    <row r="331" spans="1:40" ht="15" customHeight="1">
      <c r="A331" s="262" t="s">
        <v>2659</v>
      </c>
      <c r="B331" s="263">
        <f>'Dry_Litterbag Placem_Collection'!A112</f>
        <v>110</v>
      </c>
      <c r="C331" s="263" t="str">
        <f>'Dry_Litterbag Placem_Collection'!B112</f>
        <v xml:space="preserve">Mwantimba
</v>
      </c>
      <c r="D331" s="263" t="s">
        <v>2659</v>
      </c>
      <c r="E331" s="263" t="s">
        <v>2660</v>
      </c>
      <c r="F331" s="263">
        <v>2</v>
      </c>
      <c r="G331" s="264" t="str">
        <f>'Dry_Litterbag Placem_Collection'!C112</f>
        <v>Wet_Ag2_T6</v>
      </c>
      <c r="H331" s="265" t="s">
        <v>2541</v>
      </c>
      <c r="I331" s="272" t="s">
        <v>298</v>
      </c>
      <c r="J331" s="263" t="str">
        <f>IF(ISBLANK('Dry_Litterbag Placem_Collection'!K112),"","R"&amp;""&amp;'Dry_Litterbag Placem_Collection'!K112)</f>
        <v>R786</v>
      </c>
      <c r="K331" s="267">
        <f>IFERROR(INDEX('Green_rooibos initial weight'!$C$5:$C$1749,MATCH(J331, 'Green_rooibos initial weight'!$A$5:$A$1749,0)),"")</f>
        <v>2.177</v>
      </c>
      <c r="L331" s="267">
        <f>IFERROR(K331-(TBIcalc!$Q$9+TBIcalc!$Q$10),"")</f>
        <v>1.9272</v>
      </c>
      <c r="M331" s="391">
        <f>AVERAGE(Ashed_controlls!$K$12:$K$14)</f>
        <v>2.2816647271287041</v>
      </c>
      <c r="N331" s="267">
        <f t="shared" si="26"/>
        <v>1.8832277573787757</v>
      </c>
      <c r="O331" s="267">
        <f>IF(IFERROR(INDEX('Both teabags AfterDry'!$D$3:$D$900,MATCH(J331,'Both teabags AfterDry'!$A$3:$A$900,0)),"")="","",(IFERROR(INDEX('Both teabags AfterDry'!$D$3:$D$900,MATCH(J331,'Both teabags AfterDry'!$A$3:$A$900,0)),"")))</f>
        <v>1.7806</v>
      </c>
      <c r="P331" s="267">
        <f>IFERROR(IF(O331&gt;0,O331-(TBIcalc!$Q$9),""),"")</f>
        <v>1.63</v>
      </c>
      <c r="Q331" s="278">
        <f>IFERROR(INDEX('Ashed teabags dry'!$K$2:$K$825,MATCH(J331,'Ashed teabags dry'!$A$2:$A$825,0)),"")</f>
        <v>88.700312639571393</v>
      </c>
      <c r="R331" s="278">
        <f t="shared" si="27"/>
        <v>0.18418490397498632</v>
      </c>
      <c r="S331" s="268">
        <f>'Dry_Litterbag Placem_Collection'!E112</f>
        <v>42939</v>
      </c>
      <c r="T331" s="268">
        <f>IF('Dry_Litterbag Placem_Collection'!G112="","",'Dry_Litterbag Placem_Collection'!G112)</f>
        <v>43010</v>
      </c>
      <c r="U331" s="269">
        <f t="shared" si="25"/>
        <v>71</v>
      </c>
      <c r="V331" s="267">
        <f t="shared" si="28"/>
        <v>0.29720000000000013</v>
      </c>
      <c r="W331" s="267">
        <f t="shared" si="29"/>
        <v>1.6990428534037894</v>
      </c>
      <c r="X331" s="271">
        <f>IFERROR(INDEX(Rainfall_Dry!$O$2:$O$217,MATCH(B331, Rainfall_Dry!$A$2:$A$217,0)),"")</f>
        <v>137.19979645800001</v>
      </c>
      <c r="Y331" s="260">
        <v>34.344660194174757</v>
      </c>
      <c r="Z331" s="260">
        <v>19.22727272727273</v>
      </c>
      <c r="AA331" s="260">
        <v>46.428067078552509</v>
      </c>
      <c r="AB331" s="261" t="s">
        <v>2670</v>
      </c>
      <c r="AC331" s="260">
        <v>6.7452932479053702</v>
      </c>
      <c r="AD331">
        <f>IF('WetLitterbags placem_collection'!AB112="","",'WetLitterbags placem_collection'!AB112)</f>
        <v>5.75</v>
      </c>
      <c r="AE331">
        <f>IF('WetLitterbags placem_collection'!Z112="","",'WetLitterbags placem_collection'!Z112)</f>
        <v>22.5</v>
      </c>
      <c r="AF331" s="24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71">
        <f>IFERROR(AVERAGE('Dry_Litterbag Placem_Collection'!N112,'Dry_Litterbag Placem_Collection'!Q112),"")</f>
        <v>31.150000000000002</v>
      </c>
      <c r="AJ331" s="270">
        <f>INDEX(Coordinates!$B$2:$B$197,MATCH(G331,Coordinates!$J$2:$J$197,0))</f>
        <v>-2.3697549659999999</v>
      </c>
      <c r="AK331" s="270">
        <f>INDEX(Coordinates!$C$2:$C$197,MATCH(G331,Coordinates!$J$2:$J$197,0))</f>
        <v>34.059668989999999</v>
      </c>
      <c r="AL331" s="270" t="str">
        <f>IF(ISNUMBER(SEARCH("C", 'Dry_Litterbag Placem_Collection'!T112)),"YES","NO")</f>
        <v>YES</v>
      </c>
      <c r="AM331" s="270" t="str">
        <f>IF(ISNUMBER(SEARCH("H", 'Dry_Litterbag Placem_Collection'!T112)),"YES","NO")</f>
        <v>YES</v>
      </c>
      <c r="AN331" s="270" t="str">
        <f>IF(ISNUMBER(SEARCH("R", 'Dry_Litterbag Placem_Collection'!T112)),"YES","NO")</f>
        <v>NO</v>
      </c>
    </row>
    <row r="332" spans="1:40" ht="15" customHeight="1">
      <c r="A332" s="262" t="s">
        <v>2659</v>
      </c>
      <c r="B332" s="263">
        <f>'Dry_Litterbag Placem_Collection'!A113</f>
        <v>111</v>
      </c>
      <c r="C332" s="263" t="str">
        <f>'Dry_Litterbag Placem_Collection'!B113</f>
        <v xml:space="preserve">Mwantimba
</v>
      </c>
      <c r="D332" s="263" t="s">
        <v>2659</v>
      </c>
      <c r="E332" s="263" t="s">
        <v>2660</v>
      </c>
      <c r="F332" s="263">
        <v>2</v>
      </c>
      <c r="G332" s="264" t="str">
        <f>'Dry_Litterbag Placem_Collection'!C113</f>
        <v>Wet_Ag2_T7</v>
      </c>
      <c r="H332" s="265" t="s">
        <v>2541</v>
      </c>
      <c r="I332" s="272" t="s">
        <v>298</v>
      </c>
      <c r="J332" s="263" t="str">
        <f>IF(ISBLANK('Dry_Litterbag Placem_Collection'!K113),"","R"&amp;""&amp;'Dry_Litterbag Placem_Collection'!K113)</f>
        <v>R835</v>
      </c>
      <c r="K332" s="267">
        <f>IFERROR(INDEX('Green_rooibos initial weight'!$C$5:$C$1749,MATCH(J332, 'Green_rooibos initial weight'!$A$5:$A$1749,0)),"")</f>
        <v>2.15</v>
      </c>
      <c r="L332" s="267">
        <f>IFERROR(K332-(TBIcalc!$Q$9+TBIcalc!$Q$10),"")</f>
        <v>1.9001999999999999</v>
      </c>
      <c r="M332" s="391">
        <f>AVERAGE(Ashed_controlls!$K$12:$K$14)</f>
        <v>2.2816647271287041</v>
      </c>
      <c r="N332" s="267">
        <f t="shared" si="26"/>
        <v>1.8568438068551003</v>
      </c>
      <c r="O332" s="267">
        <f>IF(IFERROR(INDEX('Both teabags AfterDry'!$D$3:$D$900,MATCH(J332,'Both teabags AfterDry'!$A$3:$A$900,0)),"")="","",(IFERROR(INDEX('Both teabags AfterDry'!$D$3:$D$900,MATCH(J332,'Both teabags AfterDry'!$A$3:$A$900,0)),"")))</f>
        <v>1.7563</v>
      </c>
      <c r="P332" s="267">
        <f>IFERROR(IF(O332&gt;0,O332-(TBIcalc!$Q$9),""),"")</f>
        <v>1.6056999999999999</v>
      </c>
      <c r="Q332" s="278">
        <f>IFERROR(INDEX('Ashed teabags dry'!$K$2:$K$825,MATCH(J332,'Ashed teabags dry'!$A$2:$A$825,0)),"")</f>
        <v>4.065040650406667</v>
      </c>
      <c r="R332" s="278">
        <f t="shared" si="27"/>
        <v>1.54042764227642</v>
      </c>
      <c r="S332" s="268">
        <f>'Dry_Litterbag Placem_Collection'!E113</f>
        <v>42939</v>
      </c>
      <c r="T332" s="268">
        <f>IF('Dry_Litterbag Placem_Collection'!G113="","",'Dry_Litterbag Placem_Collection'!G113)</f>
        <v>43010</v>
      </c>
      <c r="U332" s="269">
        <f t="shared" si="25"/>
        <v>71</v>
      </c>
      <c r="V332" s="267">
        <f t="shared" si="28"/>
        <v>0.29449999999999998</v>
      </c>
      <c r="W332" s="267">
        <f t="shared" si="29"/>
        <v>0.31641616457868027</v>
      </c>
      <c r="X332" s="271">
        <f>IFERROR(INDEX(Rainfall_Dry!$O$2:$O$217,MATCH(B332, Rainfall_Dry!$A$2:$A$217,0)),"")</f>
        <v>137.19979645800001</v>
      </c>
      <c r="Y332" s="260">
        <v>34.344660194174757</v>
      </c>
      <c r="Z332" s="260">
        <v>19.22727272727273</v>
      </c>
      <c r="AA332" s="260">
        <v>46.428067078552509</v>
      </c>
      <c r="AB332" s="261" t="s">
        <v>2670</v>
      </c>
      <c r="AC332" s="260">
        <v>7.7452932479053702</v>
      </c>
      <c r="AD332">
        <f>IF('WetLitterbags placem_collection'!AB113="","",'WetLitterbags placem_collection'!AB113)</f>
        <v>6.1</v>
      </c>
      <c r="AE332">
        <f>IF('WetLitterbags placem_collection'!Z113="","",'WetLitterbags placem_collection'!Z113)</f>
        <v>26</v>
      </c>
      <c r="AF332" s="24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71">
        <f>IFERROR(AVERAGE('Dry_Litterbag Placem_Collection'!N113,'Dry_Litterbag Placem_Collection'!Q113),"")</f>
        <v>29.549999999999997</v>
      </c>
      <c r="AJ332" s="270">
        <f>INDEX(Coordinates!$B$2:$B$197,MATCH(G332,Coordinates!$J$2:$J$197,0))</f>
        <v>-2.3697330060000001</v>
      </c>
      <c r="AK332" s="270">
        <f>INDEX(Coordinates!$C$2:$C$197,MATCH(G332,Coordinates!$J$2:$J$197,0))</f>
        <v>34.059615010000002</v>
      </c>
      <c r="AL332" s="270" t="str">
        <f>IF(ISNUMBER(SEARCH("C", 'Dry_Litterbag Placem_Collection'!T113)),"YES","NO")</f>
        <v>NO</v>
      </c>
      <c r="AM332" s="270" t="str">
        <f>IF(ISNUMBER(SEARCH("H", 'Dry_Litterbag Placem_Collection'!T113)),"YES","NO")</f>
        <v>NO</v>
      </c>
      <c r="AN332" s="270" t="str">
        <f>IF(ISNUMBER(SEARCH("R", 'Dry_Litterbag Placem_Collection'!T113)),"YES","NO")</f>
        <v>NO</v>
      </c>
    </row>
    <row r="333" spans="1:40" ht="15" customHeight="1">
      <c r="A333" s="262" t="s">
        <v>2659</v>
      </c>
      <c r="B333" s="263">
        <f>'Dry_Litterbag Placem_Collection'!A114</f>
        <v>112</v>
      </c>
      <c r="C333" s="263" t="str">
        <f>'Dry_Litterbag Placem_Collection'!B114</f>
        <v xml:space="preserve">Mwantimba
</v>
      </c>
      <c r="D333" s="263" t="s">
        <v>2659</v>
      </c>
      <c r="E333" s="263" t="s">
        <v>2660</v>
      </c>
      <c r="F333" s="263">
        <v>2</v>
      </c>
      <c r="G333" s="264" t="str">
        <f>'Dry_Litterbag Placem_Collection'!C114</f>
        <v>Wet_Ag2_T8</v>
      </c>
      <c r="H333" s="265" t="s">
        <v>2541</v>
      </c>
      <c r="I333" s="272" t="s">
        <v>298</v>
      </c>
      <c r="J333" s="263" t="str">
        <f>IF(ISBLANK('Dry_Litterbag Placem_Collection'!K114),"","R"&amp;""&amp;'Dry_Litterbag Placem_Collection'!K114)</f>
        <v/>
      </c>
      <c r="K333" s="267" t="str">
        <f>IFERROR(INDEX('Green_rooibos initial weight'!$C$5:$C$1749,MATCH(J333, 'Green_rooibos initial weight'!$A$5:$A$1749,0)),"")</f>
        <v/>
      </c>
      <c r="L333" s="267" t="str">
        <f>IFERROR(K333-(TBIcalc!$Q$9+TBIcalc!$Q$10),"")</f>
        <v/>
      </c>
      <c r="M333" s="391">
        <f>AVERAGE(Ashed_controlls!$K$12:$K$14)</f>
        <v>2.2816647271287041</v>
      </c>
      <c r="N333" s="267" t="str">
        <f t="shared" si="26"/>
        <v/>
      </c>
      <c r="O333" s="267" t="str">
        <f>IF(IFERROR(INDEX('Both teabags AfterDry'!$D$3:$D$900,MATCH(J333,'Both teabags AfterDry'!$A$3:$A$900,0)),"")="","",(IFERROR(INDEX('Both teabags AfterDry'!$D$3:$D$900,MATCH(J333,'Both teabags AfterDry'!$A$3:$A$900,0)),"")))</f>
        <v/>
      </c>
      <c r="P333" s="267" t="str">
        <f>IFERROR(IF(O333&gt;0,O333-(TBIcalc!$Q$9),""),"")</f>
        <v/>
      </c>
      <c r="Q333" s="278" t="str">
        <f>IFERROR(INDEX('Ashed teabags dry'!$K$2:$K$825,MATCH(J333,'Ashed teabags dry'!$A$2:$A$825,0)),"")</f>
        <v/>
      </c>
      <c r="R333" s="278" t="str">
        <f t="shared" si="27"/>
        <v/>
      </c>
      <c r="S333" s="268">
        <f>'Dry_Litterbag Placem_Collection'!E114</f>
        <v>0</v>
      </c>
      <c r="T333" s="268" t="str">
        <f>IF('Dry_Litterbag Placem_Collection'!G114="","",'Dry_Litterbag Placem_Collection'!G114)</f>
        <v/>
      </c>
      <c r="U333" s="269" t="str">
        <f t="shared" si="25"/>
        <v/>
      </c>
      <c r="V333" s="267" t="str">
        <f t="shared" si="28"/>
        <v/>
      </c>
      <c r="W333" s="267" t="str">
        <f t="shared" si="29"/>
        <v/>
      </c>
      <c r="X333" s="271" t="str">
        <f>IFERROR(INDEX(Rainfall_Dry!$O$2:$O$217,MATCH(B333, Rainfall_Dry!$A$2:$A$217,0)),"")</f>
        <v/>
      </c>
      <c r="Y333" s="260">
        <v>34.344660194174757</v>
      </c>
      <c r="Z333" s="260">
        <v>19.22727272727273</v>
      </c>
      <c r="AA333" s="260">
        <v>46.428067078552509</v>
      </c>
      <c r="AB333" s="261" t="s">
        <v>2670</v>
      </c>
      <c r="AC333" s="260">
        <v>8.7452932479053693</v>
      </c>
      <c r="AD333">
        <f>IF('WetLitterbags placem_collection'!AB114="","",'WetLitterbags placem_collection'!AB114)</f>
        <v>11.5</v>
      </c>
      <c r="AE333">
        <f>IF('WetLitterbags placem_collection'!Z114="","",'WetLitterbags placem_collection'!Z114)</f>
        <v>15</v>
      </c>
      <c r="AF333" s="24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71" t="str">
        <f>IFERROR(AVERAGE('Dry_Litterbag Placem_Collection'!N114,'Dry_Litterbag Placem_Collection'!Q114),"")</f>
        <v/>
      </c>
      <c r="AJ333" s="270">
        <f>INDEX(Coordinates!$B$2:$B$197,MATCH(G333,Coordinates!$J$2:$J$197,0))</f>
        <v>-2.36967098</v>
      </c>
      <c r="AK333" s="270">
        <f>INDEX(Coordinates!$C$2:$C$197,MATCH(G333,Coordinates!$J$2:$J$197,0))</f>
        <v>34.059735959999998</v>
      </c>
      <c r="AL333" s="270" t="str">
        <f>IF(ISNUMBER(SEARCH("C", 'Dry_Litterbag Placem_Collection'!T114)),"YES","NO")</f>
        <v>NO</v>
      </c>
      <c r="AM333" s="270" t="str">
        <f>IF(ISNUMBER(SEARCH("H", 'Dry_Litterbag Placem_Collection'!T114)),"YES","NO")</f>
        <v>NO</v>
      </c>
      <c r="AN333" s="270" t="str">
        <f>IF(ISNUMBER(SEARCH("R", 'Dry_Litterbag Placem_Collection'!T114)),"YES","NO")</f>
        <v>NO</v>
      </c>
    </row>
    <row r="334" spans="1:40" ht="15" customHeight="1">
      <c r="A334" s="262" t="s">
        <v>2659</v>
      </c>
      <c r="B334" s="263">
        <f>'Dry_Litterbag Placem_Collection'!A115</f>
        <v>113</v>
      </c>
      <c r="C334" s="263" t="str">
        <f>'Dry_Litterbag Placem_Collection'!B115</f>
        <v xml:space="preserve">Mwantimba
</v>
      </c>
      <c r="D334" s="263" t="s">
        <v>2659</v>
      </c>
      <c r="E334" s="263" t="s">
        <v>2660</v>
      </c>
      <c r="F334" s="263">
        <v>3</v>
      </c>
      <c r="G334" s="264" t="str">
        <f>'Dry_Litterbag Placem_Collection'!C115</f>
        <v>Wet_Ag3_T1</v>
      </c>
      <c r="H334" s="265" t="s">
        <v>2541</v>
      </c>
      <c r="I334" s="272" t="s">
        <v>298</v>
      </c>
      <c r="J334" s="263" t="str">
        <f>IF(ISBLANK('Dry_Litterbag Placem_Collection'!K115),"","R"&amp;""&amp;'Dry_Litterbag Placem_Collection'!K115)</f>
        <v>R807</v>
      </c>
      <c r="K334" s="267">
        <f>IFERROR(INDEX('Green_rooibos initial weight'!$C$5:$C$1749,MATCH(J334, 'Green_rooibos initial weight'!$A$5:$A$1749,0)),"")</f>
        <v>2.21</v>
      </c>
      <c r="L334" s="267">
        <f>IFERROR(K334-(TBIcalc!$Q$9+TBIcalc!$Q$10),"")</f>
        <v>1.9601999999999999</v>
      </c>
      <c r="M334" s="391">
        <f>AVERAGE(Ashed_controlls!$K$12:$K$14)</f>
        <v>2.2816647271287041</v>
      </c>
      <c r="N334" s="267">
        <f t="shared" si="26"/>
        <v>1.9154748080188231</v>
      </c>
      <c r="O334" s="267">
        <f>IF(IFERROR(INDEX('Both teabags AfterDry'!$D$3:$D$900,MATCH(J334,'Both teabags AfterDry'!$A$3:$A$900,0)),"")="","",(IFERROR(INDEX('Both teabags AfterDry'!$D$3:$D$900,MATCH(J334,'Both teabags AfterDry'!$A$3:$A$900,0)),"")))</f>
        <v>1.5793999999999999</v>
      </c>
      <c r="P334" s="267">
        <f>IFERROR(IF(O334&gt;0,O334-(TBIcalc!$Q$9),""),"")</f>
        <v>1.4287999999999998</v>
      </c>
      <c r="Q334" s="278">
        <f>IFERROR(INDEX('Ashed teabags dry'!$K$2:$K$825,MATCH(J334,'Ashed teabags dry'!$A$2:$A$825,0)),"")</f>
        <v>9.4054580896693931</v>
      </c>
      <c r="R334" s="278">
        <f t="shared" si="27"/>
        <v>1.2944148148148036</v>
      </c>
      <c r="S334" s="268">
        <f>'Dry_Litterbag Placem_Collection'!E115</f>
        <v>42939</v>
      </c>
      <c r="T334" s="268">
        <f>IF('Dry_Litterbag Placem_Collection'!G115="","",'Dry_Litterbag Placem_Collection'!G115)</f>
        <v>43008</v>
      </c>
      <c r="U334" s="269">
        <f t="shared" si="25"/>
        <v>69</v>
      </c>
      <c r="V334" s="267">
        <f t="shared" si="28"/>
        <v>0.53140000000000009</v>
      </c>
      <c r="W334" s="267">
        <f t="shared" si="29"/>
        <v>0.6210599932040195</v>
      </c>
      <c r="X334" s="271">
        <f>IFERROR(INDEX(Rainfall_Dry!$O$2:$O$217,MATCH(B334, Rainfall_Dry!$A$2:$A$217,0)),"")</f>
        <v>136.27214243</v>
      </c>
      <c r="Y334" s="260">
        <v>27.96</v>
      </c>
      <c r="Z334" s="260">
        <v>4.9200000000000017</v>
      </c>
      <c r="AA334" s="260">
        <v>67.12</v>
      </c>
      <c r="AB334" s="261" t="s">
        <v>2670</v>
      </c>
      <c r="AC334" s="260">
        <v>0.88610152784622953</v>
      </c>
      <c r="AD334">
        <f>IF('WetLitterbags placem_collection'!AB115="","",'WetLitterbags placem_collection'!AB115)</f>
        <v>26</v>
      </c>
      <c r="AE334">
        <f>IF('WetLitterbags placem_collection'!Z115="","",'WetLitterbags placem_collection'!Z115)</f>
        <v>88.5</v>
      </c>
      <c r="AF334" s="24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71">
        <f>IFERROR(AVERAGE('Dry_Litterbag Placem_Collection'!N115,'Dry_Litterbag Placem_Collection'!Q115),"")</f>
        <v>28.9</v>
      </c>
      <c r="AJ334" s="270">
        <f>INDEX(Coordinates!$B$2:$B$197,MATCH(G334,Coordinates!$J$2:$J$197,0))</f>
        <v>-2.3487199940000001</v>
      </c>
      <c r="AK334" s="270">
        <f>INDEX(Coordinates!$C$2:$C$197,MATCH(G334,Coordinates!$J$2:$J$197,0))</f>
        <v>34.051391029999998</v>
      </c>
      <c r="AL334" s="270" t="str">
        <f>IF(ISNUMBER(SEARCH("C", 'Dry_Litterbag Placem_Collection'!T115)),"YES","NO")</f>
        <v>NO</v>
      </c>
      <c r="AM334" s="270" t="str">
        <f>IF(ISNUMBER(SEARCH("H", 'Dry_Litterbag Placem_Collection'!T115)),"YES","NO")</f>
        <v>NO</v>
      </c>
      <c r="AN334" s="270" t="str">
        <f>IF(ISNUMBER(SEARCH("R", 'Dry_Litterbag Placem_Collection'!T115)),"YES","NO")</f>
        <v>NO</v>
      </c>
    </row>
    <row r="335" spans="1:40" ht="15" customHeight="1">
      <c r="A335" s="262" t="s">
        <v>2659</v>
      </c>
      <c r="B335" s="263">
        <f>'Dry_Litterbag Placem_Collection'!A116</f>
        <v>114</v>
      </c>
      <c r="C335" s="263" t="str">
        <f>'Dry_Litterbag Placem_Collection'!B116</f>
        <v xml:space="preserve">Mwantimba
</v>
      </c>
      <c r="D335" s="263" t="s">
        <v>2659</v>
      </c>
      <c r="E335" s="263" t="s">
        <v>2660</v>
      </c>
      <c r="F335" s="263">
        <v>3</v>
      </c>
      <c r="G335" s="264" t="str">
        <f>'Dry_Litterbag Placem_Collection'!C116</f>
        <v>Wet_Ag3_T2</v>
      </c>
      <c r="H335" s="265" t="s">
        <v>2541</v>
      </c>
      <c r="I335" s="272" t="s">
        <v>298</v>
      </c>
      <c r="J335" s="263" t="str">
        <f>IF(ISBLANK('Dry_Litterbag Placem_Collection'!K116),"","R"&amp;""&amp;'Dry_Litterbag Placem_Collection'!K116)</f>
        <v>R829</v>
      </c>
      <c r="K335" s="267">
        <f>IFERROR(INDEX('Green_rooibos initial weight'!$C$5:$C$1749,MATCH(J335, 'Green_rooibos initial weight'!$A$5:$A$1749,0)),"")</f>
        <v>2.1880000000000002</v>
      </c>
      <c r="L335" s="267">
        <f>IFERROR(K335-(TBIcalc!$Q$9+TBIcalc!$Q$10),"")</f>
        <v>1.9382000000000001</v>
      </c>
      <c r="M335" s="391">
        <f>AVERAGE(Ashed_controlls!$K$12:$K$14)</f>
        <v>2.2816647271287041</v>
      </c>
      <c r="N335" s="267">
        <f t="shared" si="26"/>
        <v>1.8939767742587916</v>
      </c>
      <c r="O335" s="267">
        <f>IF(IFERROR(INDEX('Both teabags AfterDry'!$D$3:$D$900,MATCH(J335,'Both teabags AfterDry'!$A$3:$A$900,0)),"")="","",(IFERROR(INDEX('Both teabags AfterDry'!$D$3:$D$900,MATCH(J335,'Both teabags AfterDry'!$A$3:$A$900,0)),"")))</f>
        <v>1.1127</v>
      </c>
      <c r="P335" s="267">
        <f>IFERROR(IF(O335&gt;0,O335-(TBIcalc!$Q$9),""),"")</f>
        <v>0.96209999999999996</v>
      </c>
      <c r="Q335" s="278">
        <f>IFERROR(INDEX('Ashed teabags dry'!$K$2:$K$825,MATCH(J335,'Ashed teabags dry'!$A$2:$A$825,0)),"")</f>
        <v>88.557650153441656</v>
      </c>
      <c r="R335" s="278">
        <f t="shared" si="27"/>
        <v>0.11008684787373779</v>
      </c>
      <c r="S335" s="268">
        <f>'Dry_Litterbag Placem_Collection'!E116</f>
        <v>42939</v>
      </c>
      <c r="T335" s="268">
        <f>IF('Dry_Litterbag Placem_Collection'!G116="","",'Dry_Litterbag Placem_Collection'!G116)</f>
        <v>43008</v>
      </c>
      <c r="U335" s="269">
        <f t="shared" si="25"/>
        <v>69</v>
      </c>
      <c r="V335" s="267">
        <f t="shared" si="28"/>
        <v>0.97610000000000019</v>
      </c>
      <c r="W335" s="267">
        <f t="shared" si="29"/>
        <v>1.7838899263850538</v>
      </c>
      <c r="X335" s="271">
        <f>IFERROR(INDEX(Rainfall_Dry!$O$2:$O$217,MATCH(B335, Rainfall_Dry!$A$2:$A$217,0)),"")</f>
        <v>136.27214243</v>
      </c>
      <c r="Y335" s="260">
        <v>27.96</v>
      </c>
      <c r="Z335" s="260">
        <v>4.9200000000000017</v>
      </c>
      <c r="AA335" s="260">
        <v>67.12</v>
      </c>
      <c r="AB335" s="261" t="s">
        <v>2670</v>
      </c>
      <c r="AC335" s="260">
        <v>1.8861015278462301</v>
      </c>
      <c r="AD335">
        <f>IF('WetLitterbags placem_collection'!AB116="","",'WetLitterbags placem_collection'!AB116)</f>
        <v>16.5</v>
      </c>
      <c r="AE335">
        <f>IF('WetLitterbags placem_collection'!Z116="","",'WetLitterbags placem_collection'!Z116)</f>
        <v>87.5</v>
      </c>
      <c r="AF335" s="24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71">
        <f>IFERROR(AVERAGE('Dry_Litterbag Placem_Collection'!N116,'Dry_Litterbag Placem_Collection'!Q116),"")</f>
        <v>28.1</v>
      </c>
      <c r="AJ335" s="270">
        <f>INDEX(Coordinates!$B$2:$B$197,MATCH(G335,Coordinates!$J$2:$J$197,0))</f>
        <v>-2.348716976</v>
      </c>
      <c r="AK335" s="270">
        <f>INDEX(Coordinates!$C$2:$C$197,MATCH(G335,Coordinates!$J$2:$J$197,0))</f>
        <v>34.051484989999999</v>
      </c>
      <c r="AL335" s="270" t="str">
        <f>IF(ISNUMBER(SEARCH("C", 'Dry_Litterbag Placem_Collection'!T116)),"YES","NO")</f>
        <v>NO</v>
      </c>
      <c r="AM335" s="270" t="str">
        <f>IF(ISNUMBER(SEARCH("H", 'Dry_Litterbag Placem_Collection'!T116)),"YES","NO")</f>
        <v>YES</v>
      </c>
      <c r="AN335" s="270" t="str">
        <f>IF(ISNUMBER(SEARCH("R", 'Dry_Litterbag Placem_Collection'!T116)),"YES","NO")</f>
        <v>NO</v>
      </c>
    </row>
    <row r="336" spans="1:40" ht="15" customHeight="1">
      <c r="A336" s="262" t="s">
        <v>2659</v>
      </c>
      <c r="B336" s="263">
        <f>'Dry_Litterbag Placem_Collection'!A117</f>
        <v>115</v>
      </c>
      <c r="C336" s="263" t="str">
        <f>'Dry_Litterbag Placem_Collection'!B117</f>
        <v xml:space="preserve">Mwantimba
</v>
      </c>
      <c r="D336" s="263" t="s">
        <v>2659</v>
      </c>
      <c r="E336" s="263" t="s">
        <v>2660</v>
      </c>
      <c r="F336" s="263">
        <v>3</v>
      </c>
      <c r="G336" s="264" t="str">
        <f>'Dry_Litterbag Placem_Collection'!C117</f>
        <v>Wet_Ag3_T3</v>
      </c>
      <c r="H336" s="265" t="s">
        <v>2541</v>
      </c>
      <c r="I336" s="272" t="s">
        <v>298</v>
      </c>
      <c r="J336" s="263" t="str">
        <f>IF(ISBLANK('Dry_Litterbag Placem_Collection'!K117),"","R"&amp;""&amp;'Dry_Litterbag Placem_Collection'!K117)</f>
        <v>R766</v>
      </c>
      <c r="K336" s="267">
        <f>IFERROR(INDEX('Green_rooibos initial weight'!$C$5:$C$1749,MATCH(J336, 'Green_rooibos initial weight'!$A$5:$A$1749,0)),"")</f>
        <v>2.21</v>
      </c>
      <c r="L336" s="267">
        <f>IFERROR(K336-(TBIcalc!$Q$9+TBIcalc!$Q$10),"")</f>
        <v>1.9601999999999999</v>
      </c>
      <c r="M336" s="391">
        <f>AVERAGE(Ashed_controlls!$K$12:$K$14)</f>
        <v>2.2816647271287041</v>
      </c>
      <c r="N336" s="267">
        <f t="shared" si="26"/>
        <v>1.9154748080188231</v>
      </c>
      <c r="O336" s="267">
        <f>IF(IFERROR(INDEX('Both teabags AfterDry'!$D$3:$D$900,MATCH(J336,'Both teabags AfterDry'!$A$3:$A$900,0)),"")="","",(IFERROR(INDEX('Both teabags AfterDry'!$D$3:$D$900,MATCH(J336,'Both teabags AfterDry'!$A$3:$A$900,0)),"")))</f>
        <v>1.6694</v>
      </c>
      <c r="P336" s="267">
        <f>IFERROR(IF(O336&gt;0,O336-(TBIcalc!$Q$9),""),"")</f>
        <v>1.5187999999999999</v>
      </c>
      <c r="Q336" s="278">
        <f>IFERROR(INDEX('Ashed teabags dry'!$K$2:$K$825,MATCH(J336,'Ashed teabags dry'!$A$2:$A$825,0)),"")</f>
        <v>23.045267489711783</v>
      </c>
      <c r="R336" s="278">
        <f t="shared" si="27"/>
        <v>1.1687884773662574</v>
      </c>
      <c r="S336" s="268">
        <f>'Dry_Litterbag Placem_Collection'!E117</f>
        <v>42939</v>
      </c>
      <c r="T336" s="268">
        <f>IF('Dry_Litterbag Placem_Collection'!G117="","",'Dry_Litterbag Placem_Collection'!G117)</f>
        <v>43008</v>
      </c>
      <c r="U336" s="269">
        <f t="shared" si="25"/>
        <v>69</v>
      </c>
      <c r="V336" s="267">
        <f t="shared" si="28"/>
        <v>0.44140000000000001</v>
      </c>
      <c r="W336" s="267">
        <f t="shared" si="29"/>
        <v>0.74668633065256573</v>
      </c>
      <c r="X336" s="271">
        <f>IFERROR(INDEX(Rainfall_Dry!$O$2:$O$217,MATCH(B336, Rainfall_Dry!$A$2:$A$217,0)),"")</f>
        <v>136.27214243</v>
      </c>
      <c r="Y336" s="260">
        <v>27.96</v>
      </c>
      <c r="Z336" s="260">
        <v>4.9200000000000017</v>
      </c>
      <c r="AA336" s="260">
        <v>67.12</v>
      </c>
      <c r="AB336" s="261" t="s">
        <v>2670</v>
      </c>
      <c r="AC336" s="260">
        <v>2.8861015278462299</v>
      </c>
      <c r="AD336">
        <f>IF('WetLitterbags placem_collection'!AB117="","",'WetLitterbags placem_collection'!AB117)</f>
        <v>19</v>
      </c>
      <c r="AE336">
        <f>IF('WetLitterbags placem_collection'!Z117="","",'WetLitterbags placem_collection'!Z117)</f>
        <v>79.5</v>
      </c>
      <c r="AF336" s="24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71">
        <f>IFERROR(AVERAGE('Dry_Litterbag Placem_Collection'!N117,'Dry_Litterbag Placem_Collection'!Q117),"")</f>
        <v>28.95</v>
      </c>
      <c r="AJ336" s="270">
        <f>INDEX(Coordinates!$B$2:$B$197,MATCH(G336,Coordinates!$J$2:$J$197,0))</f>
        <v>-2.3487800079999999</v>
      </c>
      <c r="AK336" s="270">
        <f>INDEX(Coordinates!$C$2:$C$197,MATCH(G336,Coordinates!$J$2:$J$197,0))</f>
        <v>34.051495969999998</v>
      </c>
      <c r="AL336" s="270" t="str">
        <f>IF(ISNUMBER(SEARCH("C", 'Dry_Litterbag Placem_Collection'!T117)),"YES","NO")</f>
        <v>NO</v>
      </c>
      <c r="AM336" s="270" t="str">
        <f>IF(ISNUMBER(SEARCH("H", 'Dry_Litterbag Placem_Collection'!T117)),"YES","NO")</f>
        <v>YES</v>
      </c>
      <c r="AN336" s="270" t="str">
        <f>IF(ISNUMBER(SEARCH("R", 'Dry_Litterbag Placem_Collection'!T117)),"YES","NO")</f>
        <v>YES</v>
      </c>
    </row>
    <row r="337" spans="1:40" ht="15" customHeight="1">
      <c r="A337" s="262" t="s">
        <v>2659</v>
      </c>
      <c r="B337" s="263">
        <f>'Dry_Litterbag Placem_Collection'!A118</f>
        <v>116</v>
      </c>
      <c r="C337" s="263" t="str">
        <f>'Dry_Litterbag Placem_Collection'!B118</f>
        <v xml:space="preserve">Mwantimba
</v>
      </c>
      <c r="D337" s="263" t="s">
        <v>2659</v>
      </c>
      <c r="E337" s="263" t="s">
        <v>2660</v>
      </c>
      <c r="F337" s="263">
        <v>3</v>
      </c>
      <c r="G337" s="264" t="str">
        <f>'Dry_Litterbag Placem_Collection'!C118</f>
        <v>Wet_Ag3_T4</v>
      </c>
      <c r="H337" s="265" t="s">
        <v>2541</v>
      </c>
      <c r="I337" s="272" t="s">
        <v>298</v>
      </c>
      <c r="J337" s="263" t="str">
        <f>IF(ISBLANK('Dry_Litterbag Placem_Collection'!K118),"","R"&amp;""&amp;'Dry_Litterbag Placem_Collection'!K118)</f>
        <v>R757</v>
      </c>
      <c r="K337" s="267">
        <f>IFERROR(INDEX('Green_rooibos initial weight'!$C$5:$C$1749,MATCH(J337, 'Green_rooibos initial weight'!$A$5:$A$1749,0)),"")</f>
        <v>2.2050000000000001</v>
      </c>
      <c r="L337" s="267">
        <f>IFERROR(K337-(TBIcalc!$Q$9+TBIcalc!$Q$10),"")</f>
        <v>1.9552</v>
      </c>
      <c r="M337" s="391">
        <f>AVERAGE(Ashed_controlls!$K$12:$K$14)</f>
        <v>2.2816647271287041</v>
      </c>
      <c r="N337" s="267">
        <f t="shared" si="26"/>
        <v>1.9105888912551796</v>
      </c>
      <c r="O337" s="267">
        <f>IF(IFERROR(INDEX('Both teabags AfterDry'!$D$3:$D$900,MATCH(J337,'Both teabags AfterDry'!$A$3:$A$900,0)),"")="","",(IFERROR(INDEX('Both teabags AfterDry'!$D$3:$D$900,MATCH(J337,'Both teabags AfterDry'!$A$3:$A$900,0)),"")))</f>
        <v>1.7337</v>
      </c>
      <c r="P337" s="267">
        <f>IFERROR(IF(O337&gt;0,O337-(TBIcalc!$Q$9),""),"")</f>
        <v>1.5831</v>
      </c>
      <c r="Q337" s="278">
        <f>IFERROR(INDEX('Ashed teabags dry'!$K$2:$K$825,MATCH(J337,'Ashed teabags dry'!$A$2:$A$825,0)),"")</f>
        <v>14.66357308584627</v>
      </c>
      <c r="R337" s="278">
        <f t="shared" si="27"/>
        <v>1.3509609744779676</v>
      </c>
      <c r="S337" s="268">
        <f>'Dry_Litterbag Placem_Collection'!E118</f>
        <v>42939</v>
      </c>
      <c r="T337" s="268">
        <f>IF('Dry_Litterbag Placem_Collection'!G118="","",'Dry_Litterbag Placem_Collection'!G118)</f>
        <v>43008</v>
      </c>
      <c r="U337" s="269">
        <f t="shared" si="25"/>
        <v>69</v>
      </c>
      <c r="V337" s="267">
        <f t="shared" si="28"/>
        <v>0.3721000000000001</v>
      </c>
      <c r="W337" s="267">
        <f t="shared" si="29"/>
        <v>0.55962791677721202</v>
      </c>
      <c r="X337" s="271">
        <f>IFERROR(INDEX(Rainfall_Dry!$O$2:$O$217,MATCH(B337, Rainfall_Dry!$A$2:$A$217,0)),"")</f>
        <v>136.27214243</v>
      </c>
      <c r="Y337" s="260">
        <v>27.96</v>
      </c>
      <c r="Z337" s="260">
        <v>4.9200000000000017</v>
      </c>
      <c r="AA337" s="260">
        <v>67.12</v>
      </c>
      <c r="AB337" s="261" t="s">
        <v>2670</v>
      </c>
      <c r="AC337" s="260">
        <v>3.8861015278462299</v>
      </c>
      <c r="AD337">
        <f>IF('WetLitterbags placem_collection'!AB118="","",'WetLitterbags placem_collection'!AB118)</f>
        <v>22.5</v>
      </c>
      <c r="AE337">
        <f>IF('WetLitterbags placem_collection'!Z118="","",'WetLitterbags placem_collection'!Z118)</f>
        <v>76</v>
      </c>
      <c r="AF337" s="24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71">
        <f>IFERROR(AVERAGE('Dry_Litterbag Placem_Collection'!N118,'Dry_Litterbag Placem_Collection'!Q118),"")</f>
        <v>29.799999999999997</v>
      </c>
      <c r="AJ337" s="270">
        <f>INDEX(Coordinates!$B$2:$B$197,MATCH(G337,Coordinates!$J$2:$J$197,0))</f>
        <v>-2.3488120270000001</v>
      </c>
      <c r="AK337" s="270">
        <f>INDEX(Coordinates!$C$2:$C$197,MATCH(G337,Coordinates!$J$2:$J$197,0))</f>
        <v>34.05146697</v>
      </c>
      <c r="AL337" s="270" t="str">
        <f>IF(ISNUMBER(SEARCH("C", 'Dry_Litterbag Placem_Collection'!T118)),"YES","NO")</f>
        <v>NO</v>
      </c>
      <c r="AM337" s="270" t="str">
        <f>IF(ISNUMBER(SEARCH("H", 'Dry_Litterbag Placem_Collection'!T118)),"YES","NO")</f>
        <v>NO</v>
      </c>
      <c r="AN337" s="270" t="str">
        <f>IF(ISNUMBER(SEARCH("R", 'Dry_Litterbag Placem_Collection'!T118)),"YES","NO")</f>
        <v>NO</v>
      </c>
    </row>
    <row r="338" spans="1:40" ht="15" customHeight="1">
      <c r="A338" s="262" t="s">
        <v>2659</v>
      </c>
      <c r="B338" s="263">
        <f>'Dry_Litterbag Placem_Collection'!A119</f>
        <v>117</v>
      </c>
      <c r="C338" s="263" t="str">
        <f>'Dry_Litterbag Placem_Collection'!B119</f>
        <v xml:space="preserve">Mwantimba
</v>
      </c>
      <c r="D338" s="263" t="s">
        <v>2659</v>
      </c>
      <c r="E338" s="263" t="s">
        <v>2660</v>
      </c>
      <c r="F338" s="263">
        <v>3</v>
      </c>
      <c r="G338" s="264" t="str">
        <f>'Dry_Litterbag Placem_Collection'!C119</f>
        <v>Wet_Ag3_T5</v>
      </c>
      <c r="H338" s="265" t="s">
        <v>2541</v>
      </c>
      <c r="I338" s="272" t="s">
        <v>298</v>
      </c>
      <c r="J338" s="263" t="str">
        <f>IF(ISBLANK('Dry_Litterbag Placem_Collection'!K119),"","R"&amp;""&amp;'Dry_Litterbag Placem_Collection'!K119)</f>
        <v>R745</v>
      </c>
      <c r="K338" s="267">
        <f>IFERROR(INDEX('Green_rooibos initial weight'!$C$5:$C$1749,MATCH(J338, 'Green_rooibos initial weight'!$A$5:$A$1749,0)),"")</f>
        <v>2.2909999999999999</v>
      </c>
      <c r="L338" s="267">
        <f>IFERROR(K338-(TBIcalc!$Q$9+TBIcalc!$Q$10),"")</f>
        <v>2.0411999999999999</v>
      </c>
      <c r="M338" s="391">
        <f>AVERAGE(Ashed_controlls!$K$12:$K$14)</f>
        <v>2.2816647271287041</v>
      </c>
      <c r="N338" s="267">
        <f t="shared" si="26"/>
        <v>1.9946266595898487</v>
      </c>
      <c r="O338" s="267" t="str">
        <f>IF(IFERROR(INDEX('Both teabags AfterDry'!$D$3:$D$900,MATCH(J338,'Both teabags AfterDry'!$A$3:$A$900,0)),"")="","",(IFERROR(INDEX('Both teabags AfterDry'!$D$3:$D$900,MATCH(J338,'Both teabags AfterDry'!$A$3:$A$900,0)),"")))</f>
        <v/>
      </c>
      <c r="P338" s="267" t="str">
        <f>IFERROR(IF(O338&gt;0,O338-(TBIcalc!$Q$9),""),"")</f>
        <v/>
      </c>
      <c r="Q338" s="278" t="str">
        <f>IFERROR(INDEX('Ashed teabags dry'!$K$2:$K$825,MATCH(J338,'Ashed teabags dry'!$A$2:$A$825,0)),"")</f>
        <v/>
      </c>
      <c r="R338" s="278" t="str">
        <f t="shared" si="27"/>
        <v/>
      </c>
      <c r="S338" s="268">
        <f>'Dry_Litterbag Placem_Collection'!E119</f>
        <v>42939</v>
      </c>
      <c r="T338" s="268">
        <f>IF('Dry_Litterbag Placem_Collection'!G119="","",'Dry_Litterbag Placem_Collection'!G119)</f>
        <v>43008</v>
      </c>
      <c r="U338" s="269">
        <f t="shared" si="25"/>
        <v>69</v>
      </c>
      <c r="V338" s="267" t="str">
        <f t="shared" si="28"/>
        <v/>
      </c>
      <c r="W338" s="267" t="str">
        <f t="shared" si="29"/>
        <v/>
      </c>
      <c r="X338" s="271">
        <f>IFERROR(INDEX(Rainfall_Dry!$O$2:$O$217,MATCH(B338, Rainfall_Dry!$A$2:$A$217,0)),"")</f>
        <v>136.27214243</v>
      </c>
      <c r="Y338" s="260">
        <v>27.96</v>
      </c>
      <c r="Z338" s="260">
        <v>4.9200000000000017</v>
      </c>
      <c r="AA338" s="260">
        <v>67.12</v>
      </c>
      <c r="AB338" s="261" t="s">
        <v>2670</v>
      </c>
      <c r="AC338" s="260">
        <v>4.8861015278462299</v>
      </c>
      <c r="AD338">
        <f>IF('WetLitterbags placem_collection'!AB119="","",'WetLitterbags placem_collection'!AB119)</f>
        <v>23.5</v>
      </c>
      <c r="AE338">
        <f>IF('WetLitterbags placem_collection'!Z119="","",'WetLitterbags placem_collection'!Z119)</f>
        <v>76</v>
      </c>
      <c r="AF338" s="24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71">
        <f>IFERROR(AVERAGE('Dry_Litterbag Placem_Collection'!N119,'Dry_Litterbag Placem_Collection'!Q119),"")</f>
        <v>29.05</v>
      </c>
      <c r="AJ338" s="270">
        <f>INDEX(Coordinates!$B$2:$B$197,MATCH(G338,Coordinates!$J$2:$J$197,0))</f>
        <v>-2.348814961</v>
      </c>
      <c r="AK338" s="270">
        <f>INDEX(Coordinates!$C$2:$C$197,MATCH(G338,Coordinates!$J$2:$J$197,0))</f>
        <v>34.051439979999998</v>
      </c>
      <c r="AL338" s="270" t="str">
        <f>IF(ISNUMBER(SEARCH("C", 'Dry_Litterbag Placem_Collection'!T119)),"YES","NO")</f>
        <v>NO</v>
      </c>
      <c r="AM338" s="270" t="str">
        <f>IF(ISNUMBER(SEARCH("H", 'Dry_Litterbag Placem_Collection'!T119)),"YES","NO")</f>
        <v>NO</v>
      </c>
      <c r="AN338" s="270" t="str">
        <f>IF(ISNUMBER(SEARCH("R", 'Dry_Litterbag Placem_Collection'!T119)),"YES","NO")</f>
        <v>NO</v>
      </c>
    </row>
    <row r="339" spans="1:40" ht="15" customHeight="1">
      <c r="A339" s="262" t="s">
        <v>2659</v>
      </c>
      <c r="B339" s="263">
        <f>'Dry_Litterbag Placem_Collection'!A120</f>
        <v>118</v>
      </c>
      <c r="C339" s="263" t="str">
        <f>'Dry_Litterbag Placem_Collection'!B120</f>
        <v xml:space="preserve">Mwantimba
</v>
      </c>
      <c r="D339" s="263" t="s">
        <v>2659</v>
      </c>
      <c r="E339" s="263" t="s">
        <v>2660</v>
      </c>
      <c r="F339" s="263">
        <v>3</v>
      </c>
      <c r="G339" s="264" t="str">
        <f>'Dry_Litterbag Placem_Collection'!C120</f>
        <v>Wet_Ag3_T6</v>
      </c>
      <c r="H339" s="265" t="s">
        <v>2541</v>
      </c>
      <c r="I339" s="272" t="s">
        <v>298</v>
      </c>
      <c r="J339" s="263" t="str">
        <f>IF(ISBLANK('Dry_Litterbag Placem_Collection'!K120),"","R"&amp;""&amp;'Dry_Litterbag Placem_Collection'!K120)</f>
        <v>R791</v>
      </c>
      <c r="K339" s="267">
        <f>IFERROR(INDEX('Green_rooibos initial weight'!$C$5:$C$1749,MATCH(J339, 'Green_rooibos initial weight'!$A$5:$A$1749,0)),"")</f>
        <v>2.1579999999999999</v>
      </c>
      <c r="L339" s="267">
        <f>IFERROR(K339-(TBIcalc!$Q$9+TBIcalc!$Q$10),"")</f>
        <v>1.9081999999999999</v>
      </c>
      <c r="M339" s="391">
        <f>AVERAGE(Ashed_controlls!$K$12:$K$14)</f>
        <v>2.2816647271287041</v>
      </c>
      <c r="N339" s="267">
        <f t="shared" si="26"/>
        <v>1.8646612736769299</v>
      </c>
      <c r="O339" s="267">
        <f>IF(IFERROR(INDEX('Both teabags AfterDry'!$D$3:$D$900,MATCH(J339,'Both teabags AfterDry'!$A$3:$A$900,0)),"")="","",(IFERROR(INDEX('Both teabags AfterDry'!$D$3:$D$900,MATCH(J339,'Both teabags AfterDry'!$A$3:$A$900,0)),"")))</f>
        <v>1.629</v>
      </c>
      <c r="P339" s="267">
        <f>IFERROR(IF(O339&gt;0,O339-(TBIcalc!$Q$9),""),"")</f>
        <v>1.4783999999999999</v>
      </c>
      <c r="Q339" s="278">
        <f>IFERROR(INDEX('Ashed teabags dry'!$K$2:$K$825,MATCH(J339,'Ashed teabags dry'!$A$2:$A$825,0)),"")</f>
        <v>7.1167883211671752</v>
      </c>
      <c r="R339" s="278">
        <f t="shared" si="27"/>
        <v>1.3731854014598643</v>
      </c>
      <c r="S339" s="268">
        <f>'Dry_Litterbag Placem_Collection'!E120</f>
        <v>42939</v>
      </c>
      <c r="T339" s="268">
        <f>IF('Dry_Litterbag Placem_Collection'!G120="","",'Dry_Litterbag Placem_Collection'!G120)</f>
        <v>43008</v>
      </c>
      <c r="U339" s="269">
        <f t="shared" si="25"/>
        <v>69</v>
      </c>
      <c r="V339" s="267">
        <f t="shared" si="28"/>
        <v>0.42979999999999996</v>
      </c>
      <c r="W339" s="267">
        <f t="shared" si="29"/>
        <v>0.49147587221706557</v>
      </c>
      <c r="X339" s="271">
        <f>IFERROR(INDEX(Rainfall_Dry!$O$2:$O$217,MATCH(B339, Rainfall_Dry!$A$2:$A$217,0)),"")</f>
        <v>136.27214243</v>
      </c>
      <c r="Y339" s="260">
        <v>27.96</v>
      </c>
      <c r="Z339" s="260">
        <v>4.9200000000000017</v>
      </c>
      <c r="AA339" s="260">
        <v>67.12</v>
      </c>
      <c r="AB339" s="261" t="s">
        <v>2670</v>
      </c>
      <c r="AC339" s="260">
        <v>5.8861015278462299</v>
      </c>
      <c r="AD339">
        <f>IF('WetLitterbags placem_collection'!AB120="","",'WetLitterbags placem_collection'!AB120)</f>
        <v>17.5</v>
      </c>
      <c r="AE339">
        <f>IF('WetLitterbags placem_collection'!Z120="","",'WetLitterbags placem_collection'!Z120)</f>
        <v>70.5</v>
      </c>
      <c r="AF339" s="24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71">
        <f>IFERROR(AVERAGE('Dry_Litterbag Placem_Collection'!N120,'Dry_Litterbag Placem_Collection'!Q120),"")</f>
        <v>28.25</v>
      </c>
      <c r="AJ339" s="270">
        <f>INDEX(Coordinates!$B$2:$B$197,MATCH(G339,Coordinates!$J$2:$J$197,0))</f>
        <v>-2.3488729629999998</v>
      </c>
      <c r="AK339" s="270">
        <f>INDEX(Coordinates!$C$2:$C$197,MATCH(G339,Coordinates!$J$2:$J$197,0))</f>
        <v>34.051454980000003</v>
      </c>
      <c r="AL339" s="270" t="str">
        <f>IF(ISNUMBER(SEARCH("C", 'Dry_Litterbag Placem_Collection'!T120)),"YES","NO")</f>
        <v>NO</v>
      </c>
      <c r="AM339" s="270" t="str">
        <f>IF(ISNUMBER(SEARCH("H", 'Dry_Litterbag Placem_Collection'!T120)),"YES","NO")</f>
        <v>NO</v>
      </c>
      <c r="AN339" s="270" t="str">
        <f>IF(ISNUMBER(SEARCH("R", 'Dry_Litterbag Placem_Collection'!T120)),"YES","NO")</f>
        <v>NO</v>
      </c>
    </row>
    <row r="340" spans="1:40" ht="15" customHeight="1">
      <c r="A340" s="262" t="s">
        <v>2659</v>
      </c>
      <c r="B340" s="263">
        <f>'Dry_Litterbag Placem_Collection'!A121</f>
        <v>119</v>
      </c>
      <c r="C340" s="263" t="str">
        <f>'Dry_Litterbag Placem_Collection'!B121</f>
        <v xml:space="preserve">Mwantimba
</v>
      </c>
      <c r="D340" s="263" t="s">
        <v>2659</v>
      </c>
      <c r="E340" s="263" t="s">
        <v>2660</v>
      </c>
      <c r="F340" s="263">
        <v>3</v>
      </c>
      <c r="G340" s="264" t="str">
        <f>'Dry_Litterbag Placem_Collection'!C121</f>
        <v>Wet_Ag3_T7</v>
      </c>
      <c r="H340" s="265" t="s">
        <v>2541</v>
      </c>
      <c r="I340" s="272" t="s">
        <v>298</v>
      </c>
      <c r="J340" s="263" t="str">
        <f>IF(ISBLANK('Dry_Litterbag Placem_Collection'!K121),"","R"&amp;""&amp;'Dry_Litterbag Placem_Collection'!K121)</f>
        <v>R802</v>
      </c>
      <c r="K340" s="267">
        <f>IFERROR(INDEX('Green_rooibos initial weight'!$C$5:$C$1749,MATCH(J340, 'Green_rooibos initial weight'!$A$5:$A$1749,0)),"")</f>
        <v>2.25</v>
      </c>
      <c r="L340" s="267">
        <f>IFERROR(K340-(TBIcalc!$Q$9+TBIcalc!$Q$10),"")</f>
        <v>2.0002</v>
      </c>
      <c r="M340" s="391">
        <f>AVERAGE(Ashed_controlls!$K$12:$K$14)</f>
        <v>2.2816647271287041</v>
      </c>
      <c r="N340" s="267">
        <f t="shared" si="26"/>
        <v>1.9545621421279717</v>
      </c>
      <c r="O340" s="267">
        <f>IF(IFERROR(INDEX('Both teabags AfterDry'!$D$3:$D$900,MATCH(J340,'Both teabags AfterDry'!$A$3:$A$900,0)),"")="","",(IFERROR(INDEX('Both teabags AfterDry'!$D$3:$D$900,MATCH(J340,'Both teabags AfterDry'!$A$3:$A$900,0)),"")))</f>
        <v>1.6778</v>
      </c>
      <c r="P340" s="267">
        <f>IFERROR(IF(O340&gt;0,O340-(TBIcalc!$Q$9),""),"")</f>
        <v>1.5271999999999999</v>
      </c>
      <c r="Q340" s="278">
        <f>IFERROR(INDEX('Ashed teabags dry'!$K$2:$K$825,MATCH(J340,'Ashed teabags dry'!$A$2:$A$825,0)),"")</f>
        <v>9.0650213573804805</v>
      </c>
      <c r="R340" s="278">
        <f t="shared" si="27"/>
        <v>1.3887589938300853</v>
      </c>
      <c r="S340" s="268">
        <f>'Dry_Litterbag Placem_Collection'!E121</f>
        <v>42939</v>
      </c>
      <c r="T340" s="268">
        <f>IF('Dry_Litterbag Placem_Collection'!G121="","",'Dry_Litterbag Placem_Collection'!G121)</f>
        <v>43008</v>
      </c>
      <c r="U340" s="269">
        <f t="shared" si="25"/>
        <v>69</v>
      </c>
      <c r="V340" s="267">
        <f t="shared" si="28"/>
        <v>0.47300000000000009</v>
      </c>
      <c r="W340" s="267">
        <f t="shared" si="29"/>
        <v>0.56580314829788647</v>
      </c>
      <c r="X340" s="271">
        <f>IFERROR(INDEX(Rainfall_Dry!$O$2:$O$217,MATCH(B340, Rainfall_Dry!$A$2:$A$217,0)),"")</f>
        <v>136.27214243</v>
      </c>
      <c r="Y340" s="260">
        <v>27.96</v>
      </c>
      <c r="Z340" s="260">
        <v>4.9200000000000017</v>
      </c>
      <c r="AA340" s="260">
        <v>67.12</v>
      </c>
      <c r="AB340" s="261" t="s">
        <v>2670</v>
      </c>
      <c r="AC340" s="260">
        <v>6.8861015278462299</v>
      </c>
      <c r="AD340">
        <f>IF('WetLitterbags placem_collection'!AB121="","",'WetLitterbags placem_collection'!AB121)</f>
        <v>18.5</v>
      </c>
      <c r="AE340">
        <f>IF('WetLitterbags placem_collection'!Z121="","",'WetLitterbags placem_collection'!Z121)</f>
        <v>74.5</v>
      </c>
      <c r="AF340" s="24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71">
        <f>IFERROR(AVERAGE('Dry_Litterbag Placem_Collection'!N121,'Dry_Litterbag Placem_Collection'!Q121),"")</f>
        <v>27.95</v>
      </c>
      <c r="AJ340" s="270">
        <f>INDEX(Coordinates!$B$2:$B$197,MATCH(G340,Coordinates!$J$2:$J$197,0))</f>
        <v>-2.3488589659999999</v>
      </c>
      <c r="AK340" s="270">
        <f>INDEX(Coordinates!$C$2:$C$197,MATCH(G340,Coordinates!$J$2:$J$197,0))</f>
        <v>34.051389010000001</v>
      </c>
      <c r="AL340" s="270" t="str">
        <f>IF(ISNUMBER(SEARCH("C", 'Dry_Litterbag Placem_Collection'!T121)),"YES","NO")</f>
        <v>NO</v>
      </c>
      <c r="AM340" s="270" t="str">
        <f>IF(ISNUMBER(SEARCH("H", 'Dry_Litterbag Placem_Collection'!T121)),"YES","NO")</f>
        <v>NO</v>
      </c>
      <c r="AN340" s="270" t="str">
        <f>IF(ISNUMBER(SEARCH("R", 'Dry_Litterbag Placem_Collection'!T121)),"YES","NO")</f>
        <v>NO</v>
      </c>
    </row>
    <row r="341" spans="1:40" ht="15" customHeight="1">
      <c r="A341" s="262" t="s">
        <v>2659</v>
      </c>
      <c r="B341" s="263">
        <f>'Dry_Litterbag Placem_Collection'!A122</f>
        <v>120</v>
      </c>
      <c r="C341" s="263" t="str">
        <f>'Dry_Litterbag Placem_Collection'!B122</f>
        <v xml:space="preserve">Mwantimba
</v>
      </c>
      <c r="D341" s="263" t="s">
        <v>2659</v>
      </c>
      <c r="E341" s="263" t="s">
        <v>2660</v>
      </c>
      <c r="F341" s="263">
        <v>3</v>
      </c>
      <c r="G341" s="264" t="str">
        <f>'Dry_Litterbag Placem_Collection'!C122</f>
        <v>Wet_Ag3_T8</v>
      </c>
      <c r="H341" s="265" t="s">
        <v>2541</v>
      </c>
      <c r="I341" s="272" t="s">
        <v>298</v>
      </c>
      <c r="J341" s="263" t="str">
        <f>IF(ISBLANK('Dry_Litterbag Placem_Collection'!K122),"","R"&amp;""&amp;'Dry_Litterbag Placem_Collection'!K122)</f>
        <v/>
      </c>
      <c r="K341" s="267" t="str">
        <f>IFERROR(INDEX('Green_rooibos initial weight'!$C$5:$C$1749,MATCH(J341, 'Green_rooibos initial weight'!$A$5:$A$1749,0)),"")</f>
        <v/>
      </c>
      <c r="L341" s="267" t="str">
        <f>IFERROR(K341-(TBIcalc!$Q$9+TBIcalc!$Q$10),"")</f>
        <v/>
      </c>
      <c r="M341" s="391">
        <f>AVERAGE(Ashed_controlls!$K$12:$K$14)</f>
        <v>2.2816647271287041</v>
      </c>
      <c r="N341" s="267" t="str">
        <f t="shared" si="26"/>
        <v/>
      </c>
      <c r="O341" s="267" t="str">
        <f>IF(IFERROR(INDEX('Both teabags AfterDry'!$D$3:$D$900,MATCH(J341,'Both teabags AfterDry'!$A$3:$A$900,0)),"")="","",(IFERROR(INDEX('Both teabags AfterDry'!$D$3:$D$900,MATCH(J341,'Both teabags AfterDry'!$A$3:$A$900,0)),"")))</f>
        <v/>
      </c>
      <c r="P341" s="267" t="str">
        <f>IFERROR(IF(O341&gt;0,O341-(TBIcalc!$Q$9),""),"")</f>
        <v/>
      </c>
      <c r="Q341" s="278" t="str">
        <f>IFERROR(INDEX('Ashed teabags dry'!$K$2:$K$825,MATCH(J341,'Ashed teabags dry'!$A$2:$A$825,0)),"")</f>
        <v/>
      </c>
      <c r="R341" s="278" t="str">
        <f t="shared" si="27"/>
        <v/>
      </c>
      <c r="S341" s="268">
        <f>'Dry_Litterbag Placem_Collection'!E122</f>
        <v>0</v>
      </c>
      <c r="T341" s="268" t="str">
        <f>IF('Dry_Litterbag Placem_Collection'!G122="","",'Dry_Litterbag Placem_Collection'!G122)</f>
        <v/>
      </c>
      <c r="U341" s="269" t="str">
        <f t="shared" si="25"/>
        <v/>
      </c>
      <c r="V341" s="267" t="str">
        <f t="shared" si="28"/>
        <v/>
      </c>
      <c r="W341" s="267" t="str">
        <f t="shared" si="29"/>
        <v/>
      </c>
      <c r="X341" s="271" t="str">
        <f>IFERROR(INDEX(Rainfall_Dry!$O$2:$O$217,MATCH(B341, Rainfall_Dry!$A$2:$A$217,0)),"")</f>
        <v/>
      </c>
      <c r="Y341" s="260">
        <v>27.96</v>
      </c>
      <c r="Z341" s="260">
        <v>4.9200000000000017</v>
      </c>
      <c r="AA341" s="260">
        <v>67.12</v>
      </c>
      <c r="AB341" s="261" t="s">
        <v>2670</v>
      </c>
      <c r="AC341" s="260">
        <v>7.8861015278462299</v>
      </c>
      <c r="AD341">
        <f>IF('WetLitterbags placem_collection'!AB122="","",'WetLitterbags placem_collection'!AB122)</f>
        <v>19</v>
      </c>
      <c r="AE341">
        <f>IF('WetLitterbags placem_collection'!Z122="","",'WetLitterbags placem_collection'!Z122)</f>
        <v>98.5</v>
      </c>
      <c r="AF341" s="24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71" t="str">
        <f>IFERROR(AVERAGE('Dry_Litterbag Placem_Collection'!N122,'Dry_Litterbag Placem_Collection'!Q122),"")</f>
        <v/>
      </c>
      <c r="AJ341" s="270">
        <f>INDEX(Coordinates!$B$2:$B$197,MATCH(G341,Coordinates!$J$2:$J$197,0))</f>
        <v>-2.3486449760000001</v>
      </c>
      <c r="AK341" s="270">
        <f>INDEX(Coordinates!$C$2:$C$197,MATCH(G341,Coordinates!$J$2:$J$197,0))</f>
        <v>34.051495969999998</v>
      </c>
      <c r="AL341" s="270" t="str">
        <f>IF(ISNUMBER(SEARCH("C", 'Dry_Litterbag Placem_Collection'!T122)),"YES","NO")</f>
        <v>NO</v>
      </c>
      <c r="AM341" s="270" t="str">
        <f>IF(ISNUMBER(SEARCH("H", 'Dry_Litterbag Placem_Collection'!T122)),"YES","NO")</f>
        <v>NO</v>
      </c>
      <c r="AN341" s="270" t="str">
        <f>IF(ISNUMBER(SEARCH("R", 'Dry_Litterbag Placem_Collection'!T122)),"YES","NO")</f>
        <v>NO</v>
      </c>
    </row>
    <row r="342" spans="1:40" ht="15" customHeight="1">
      <c r="A342" s="262" t="s">
        <v>2659</v>
      </c>
      <c r="B342" s="263">
        <f>'Dry_Litterbag Placem_Collection'!A123</f>
        <v>121</v>
      </c>
      <c r="C342" s="263" t="str">
        <f>'Dry_Litterbag Placem_Collection'!B123</f>
        <v xml:space="preserve">Mwantimba
</v>
      </c>
      <c r="D342" s="263" t="s">
        <v>2659</v>
      </c>
      <c r="E342" s="263" t="s">
        <v>2660</v>
      </c>
      <c r="F342" s="263">
        <v>4</v>
      </c>
      <c r="G342" s="264" t="str">
        <f>'Dry_Litterbag Placem_Collection'!C123</f>
        <v>Wet_Ag4_T1</v>
      </c>
      <c r="H342" s="265" t="s">
        <v>2541</v>
      </c>
      <c r="I342" s="272" t="s">
        <v>298</v>
      </c>
      <c r="J342" s="263" t="str">
        <f>IF(ISBLANK('Dry_Litterbag Placem_Collection'!K123),"","R"&amp;""&amp;'Dry_Litterbag Placem_Collection'!K123)</f>
        <v>R822</v>
      </c>
      <c r="K342" s="267">
        <f>IFERROR(INDEX('Green_rooibos initial weight'!$C$5:$C$1749,MATCH(J342, 'Green_rooibos initial weight'!$A$5:$A$1749,0)),"")</f>
        <v>2.1880000000000002</v>
      </c>
      <c r="L342" s="267">
        <f>IFERROR(K342-(TBIcalc!$Q$9+TBIcalc!$Q$10),"")</f>
        <v>1.9382000000000001</v>
      </c>
      <c r="M342" s="391">
        <f>AVERAGE(Ashed_controlls!$K$12:$K$14)</f>
        <v>2.2816647271287041</v>
      </c>
      <c r="N342" s="267">
        <f t="shared" si="26"/>
        <v>1.8939767742587916</v>
      </c>
      <c r="O342" s="267" t="str">
        <f>IF(IFERROR(INDEX('Both teabags AfterDry'!$D$3:$D$900,MATCH(J342,'Both teabags AfterDry'!$A$3:$A$900,0)),"")="","",(IFERROR(INDEX('Both teabags AfterDry'!$D$3:$D$900,MATCH(J342,'Both teabags AfterDry'!$A$3:$A$900,0)),"")))</f>
        <v/>
      </c>
      <c r="P342" s="267" t="str">
        <f>IFERROR(IF(O342&gt;0,O342-(TBIcalc!$Q$9),""),"")</f>
        <v/>
      </c>
      <c r="Q342" s="278" t="str">
        <f>IFERROR(INDEX('Ashed teabags dry'!$K$2:$K$825,MATCH(J342,'Ashed teabags dry'!$A$2:$A$825,0)),"")</f>
        <v/>
      </c>
      <c r="R342" s="278" t="str">
        <f t="shared" si="27"/>
        <v/>
      </c>
      <c r="S342" s="268">
        <f>'Dry_Litterbag Placem_Collection'!E123</f>
        <v>42939</v>
      </c>
      <c r="T342" s="268">
        <f>IF('Dry_Litterbag Placem_Collection'!G123="","",'Dry_Litterbag Placem_Collection'!G123)</f>
        <v>43008</v>
      </c>
      <c r="U342" s="269">
        <f t="shared" si="25"/>
        <v>69</v>
      </c>
      <c r="V342" s="267" t="str">
        <f t="shared" si="28"/>
        <v/>
      </c>
      <c r="W342" s="267" t="str">
        <f t="shared" si="29"/>
        <v/>
      </c>
      <c r="X342" s="271">
        <f>IFERROR(INDEX(Rainfall_Dry!$O$2:$O$217,MATCH(B342, Rainfall_Dry!$A$2:$A$217,0)),"")</f>
        <v>136.27214243</v>
      </c>
      <c r="Y342" s="260">
        <v>17.96</v>
      </c>
      <c r="Z342" s="260">
        <v>4.9199999999999982</v>
      </c>
      <c r="AA342" s="260">
        <v>77.12</v>
      </c>
      <c r="AB342" s="261" t="s">
        <v>2671</v>
      </c>
      <c r="AC342" s="260">
        <v>2.0220798422868409</v>
      </c>
      <c r="AD342">
        <f>IF('WetLitterbags placem_collection'!AB123="","",'WetLitterbags placem_collection'!AB123)</f>
        <v>9.65</v>
      </c>
      <c r="AE342">
        <f>IF('WetLitterbags placem_collection'!Z123="","",'WetLitterbags placem_collection'!Z123)</f>
        <v>63</v>
      </c>
      <c r="AF342" s="24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71">
        <f>IFERROR(AVERAGE('Dry_Litterbag Placem_Collection'!N123,'Dry_Litterbag Placem_Collection'!Q123),"")</f>
        <v>29.1</v>
      </c>
      <c r="AJ342" s="270">
        <f>INDEX(Coordinates!$B$2:$B$197,MATCH(G342,Coordinates!$J$2:$J$197,0))</f>
        <v>-2.3492639789999998</v>
      </c>
      <c r="AK342" s="270">
        <f>INDEX(Coordinates!$C$2:$C$197,MATCH(G342,Coordinates!$J$2:$J$197,0))</f>
        <v>34.051464029999998</v>
      </c>
      <c r="AL342" s="270" t="str">
        <f>IF(ISNUMBER(SEARCH("C", 'Dry_Litterbag Placem_Collection'!T123)),"YES","NO")</f>
        <v>NO</v>
      </c>
      <c r="AM342" s="270" t="str">
        <f>IF(ISNUMBER(SEARCH("H", 'Dry_Litterbag Placem_Collection'!T123)),"YES","NO")</f>
        <v>NO</v>
      </c>
      <c r="AN342" s="270" t="str">
        <f>IF(ISNUMBER(SEARCH("R", 'Dry_Litterbag Placem_Collection'!T123)),"YES","NO")</f>
        <v>NO</v>
      </c>
    </row>
    <row r="343" spans="1:40" ht="15" customHeight="1">
      <c r="A343" s="262" t="s">
        <v>2659</v>
      </c>
      <c r="B343" s="263">
        <f>'Dry_Litterbag Placem_Collection'!A124</f>
        <v>122</v>
      </c>
      <c r="C343" s="263" t="str">
        <f>'Dry_Litterbag Placem_Collection'!B124</f>
        <v xml:space="preserve">Mwantimba
</v>
      </c>
      <c r="D343" s="263" t="s">
        <v>2659</v>
      </c>
      <c r="E343" s="263" t="s">
        <v>2660</v>
      </c>
      <c r="F343" s="263">
        <v>4</v>
      </c>
      <c r="G343" s="264" t="str">
        <f>'Dry_Litterbag Placem_Collection'!C124</f>
        <v>Wet_Ag4_T2</v>
      </c>
      <c r="H343" s="265" t="s">
        <v>2541</v>
      </c>
      <c r="I343" s="272" t="s">
        <v>298</v>
      </c>
      <c r="J343" s="263" t="str">
        <f>IF(ISBLANK('Dry_Litterbag Placem_Collection'!K124),"","R"&amp;""&amp;'Dry_Litterbag Placem_Collection'!K124)</f>
        <v>R792</v>
      </c>
      <c r="K343" s="267">
        <f>IFERROR(INDEX('Green_rooibos initial weight'!$C$5:$C$1749,MATCH(J343, 'Green_rooibos initial weight'!$A$5:$A$1749,0)),"")</f>
        <v>2.2389999999999999</v>
      </c>
      <c r="L343" s="267">
        <f>IFERROR(K343-(TBIcalc!$Q$9+TBIcalc!$Q$10),"")</f>
        <v>1.9891999999999999</v>
      </c>
      <c r="M343" s="391">
        <f>AVERAGE(Ashed_controlls!$K$12:$K$14)</f>
        <v>2.2816647271287041</v>
      </c>
      <c r="N343" s="267">
        <f t="shared" si="26"/>
        <v>1.9438131252479556</v>
      </c>
      <c r="O343" s="267" t="str">
        <f>IF(IFERROR(INDEX('Both teabags AfterDry'!$D$3:$D$900,MATCH(J343,'Both teabags AfterDry'!$A$3:$A$900,0)),"")="","",(IFERROR(INDEX('Both teabags AfterDry'!$D$3:$D$900,MATCH(J343,'Both teabags AfterDry'!$A$3:$A$900,0)),"")))</f>
        <v/>
      </c>
      <c r="P343" s="267" t="str">
        <f>IFERROR(IF(O343&gt;0,O343-(TBIcalc!$Q$9),""),"")</f>
        <v/>
      </c>
      <c r="Q343" s="278">
        <f>IFERROR(INDEX('Ashed teabags dry'!$K$2:$K$825,MATCH(J343,'Ashed teabags dry'!$A$2:$A$825,0)),"")</f>
        <v>0</v>
      </c>
      <c r="R343" s="278" t="str">
        <f t="shared" si="27"/>
        <v/>
      </c>
      <c r="S343" s="268">
        <f>'Dry_Litterbag Placem_Collection'!E124</f>
        <v>42939</v>
      </c>
      <c r="T343" s="268">
        <f>IF('Dry_Litterbag Placem_Collection'!G124="","",'Dry_Litterbag Placem_Collection'!G124)</f>
        <v>43008</v>
      </c>
      <c r="U343" s="269">
        <f t="shared" si="25"/>
        <v>69</v>
      </c>
      <c r="V343" s="267" t="str">
        <f t="shared" si="28"/>
        <v/>
      </c>
      <c r="W343" s="267" t="str">
        <f t="shared" si="29"/>
        <v/>
      </c>
      <c r="X343" s="271">
        <f>IFERROR(INDEX(Rainfall_Dry!$O$2:$O$217,MATCH(B343, Rainfall_Dry!$A$2:$A$217,0)),"")</f>
        <v>136.27214243</v>
      </c>
      <c r="Y343" s="260">
        <v>17.96</v>
      </c>
      <c r="Z343" s="260">
        <v>4.9199999999999982</v>
      </c>
      <c r="AA343" s="260">
        <v>77.12</v>
      </c>
      <c r="AB343" s="261" t="s">
        <v>2671</v>
      </c>
      <c r="AC343" s="260">
        <v>3.02207984228684</v>
      </c>
      <c r="AD343">
        <f>IF('WetLitterbags placem_collection'!AB124="","",'WetLitterbags placem_collection'!AB124)</f>
        <v>3.1</v>
      </c>
      <c r="AE343">
        <f>IF('WetLitterbags placem_collection'!Z124="","",'WetLitterbags placem_collection'!Z124)</f>
        <v>53</v>
      </c>
      <c r="AF343" s="24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71">
        <f>IFERROR(AVERAGE('Dry_Litterbag Placem_Collection'!N124,'Dry_Litterbag Placem_Collection'!Q124),"")</f>
        <v>28.55</v>
      </c>
      <c r="AJ343" s="270">
        <f>INDEX(Coordinates!$B$2:$B$197,MATCH(G343,Coordinates!$J$2:$J$197,0))</f>
        <v>-2.34923196</v>
      </c>
      <c r="AK343" s="270">
        <f>INDEX(Coordinates!$C$2:$C$197,MATCH(G343,Coordinates!$J$2:$J$197,0))</f>
        <v>34.051422039999999</v>
      </c>
      <c r="AL343" s="270" t="str">
        <f>IF(ISNUMBER(SEARCH("C", 'Dry_Litterbag Placem_Collection'!T124)),"YES","NO")</f>
        <v>YES</v>
      </c>
      <c r="AM343" s="270" t="str">
        <f>IF(ISNUMBER(SEARCH("H", 'Dry_Litterbag Placem_Collection'!T124)),"YES","NO")</f>
        <v>YES</v>
      </c>
      <c r="AN343" s="270" t="str">
        <f>IF(ISNUMBER(SEARCH("R", 'Dry_Litterbag Placem_Collection'!T124)),"YES","NO")</f>
        <v>NO</v>
      </c>
    </row>
    <row r="344" spans="1:40" ht="15" customHeight="1">
      <c r="A344" s="262" t="s">
        <v>2659</v>
      </c>
      <c r="B344" s="263">
        <f>'Dry_Litterbag Placem_Collection'!A125</f>
        <v>123</v>
      </c>
      <c r="C344" s="263" t="str">
        <f>'Dry_Litterbag Placem_Collection'!B125</f>
        <v xml:space="preserve">Mwantimba
</v>
      </c>
      <c r="D344" s="263" t="s">
        <v>2659</v>
      </c>
      <c r="E344" s="263" t="s">
        <v>2660</v>
      </c>
      <c r="F344" s="263">
        <v>4</v>
      </c>
      <c r="G344" s="264" t="str">
        <f>'Dry_Litterbag Placem_Collection'!C125</f>
        <v>Wet_Ag4_T3</v>
      </c>
      <c r="H344" s="265" t="s">
        <v>2541</v>
      </c>
      <c r="I344" s="272" t="s">
        <v>298</v>
      </c>
      <c r="J344" s="263" t="str">
        <f>IF(ISBLANK('Dry_Litterbag Placem_Collection'!K125),"","R"&amp;""&amp;'Dry_Litterbag Placem_Collection'!K125)</f>
        <v>R740</v>
      </c>
      <c r="K344" s="267">
        <f>IFERROR(INDEX('Green_rooibos initial weight'!$C$5:$C$1749,MATCH(J344, 'Green_rooibos initial weight'!$A$5:$A$1749,0)),"")</f>
        <v>2.161</v>
      </c>
      <c r="L344" s="267">
        <f>IFERROR(K344-(TBIcalc!$Q$9+TBIcalc!$Q$10),"")</f>
        <v>1.9112</v>
      </c>
      <c r="M344" s="391">
        <f>AVERAGE(Ashed_controlls!$K$12:$K$14)</f>
        <v>2.2816647271287041</v>
      </c>
      <c r="N344" s="267">
        <f t="shared" si="26"/>
        <v>1.8675928237351163</v>
      </c>
      <c r="O344" s="267">
        <f>IF(IFERROR(INDEX('Both teabags AfterDry'!$D$3:$D$900,MATCH(J344,'Both teabags AfterDry'!$A$3:$A$900,0)),"")="","",(IFERROR(INDEX('Both teabags AfterDry'!$D$3:$D$900,MATCH(J344,'Both teabags AfterDry'!$A$3:$A$900,0)),"")))</f>
        <v>1.6575</v>
      </c>
      <c r="P344" s="267">
        <f>IFERROR(IF(O344&gt;0,O344-(TBIcalc!$Q$9),""),"")</f>
        <v>1.5068999999999999</v>
      </c>
      <c r="Q344" s="278">
        <f>IFERROR(INDEX('Ashed teabags dry'!$K$2:$K$825,MATCH(J344,'Ashed teabags dry'!$A$2:$A$825,0)),"")</f>
        <v>10.523831996223592</v>
      </c>
      <c r="R344" s="278">
        <f t="shared" si="27"/>
        <v>1.3483163756489067</v>
      </c>
      <c r="S344" s="268">
        <f>'Dry_Litterbag Placem_Collection'!E125</f>
        <v>42939</v>
      </c>
      <c r="T344" s="268">
        <f>IF('Dry_Litterbag Placem_Collection'!G125="","",'Dry_Litterbag Placem_Collection'!G125)</f>
        <v>43008</v>
      </c>
      <c r="U344" s="269">
        <f t="shared" si="25"/>
        <v>69</v>
      </c>
      <c r="V344" s="267">
        <f t="shared" si="28"/>
        <v>0.4043000000000001</v>
      </c>
      <c r="W344" s="267">
        <f t="shared" si="29"/>
        <v>0.51927644808620954</v>
      </c>
      <c r="X344" s="271">
        <f>IFERROR(INDEX(Rainfall_Dry!$O$2:$O$217,MATCH(B344, Rainfall_Dry!$A$2:$A$217,0)),"")</f>
        <v>136.27214243</v>
      </c>
      <c r="Y344" s="260">
        <v>17.96</v>
      </c>
      <c r="Z344" s="260">
        <v>4.9199999999999982</v>
      </c>
      <c r="AA344" s="260">
        <v>77.12</v>
      </c>
      <c r="AB344" s="261" t="s">
        <v>2671</v>
      </c>
      <c r="AC344" s="260">
        <v>4.02207984228684</v>
      </c>
      <c r="AD344">
        <f>IF('WetLitterbags placem_collection'!AB125="","",'WetLitterbags placem_collection'!AB125)</f>
        <v>3.9</v>
      </c>
      <c r="AE344">
        <f>IF('WetLitterbags placem_collection'!Z125="","",'WetLitterbags placem_collection'!Z125)</f>
        <v>51</v>
      </c>
      <c r="AF344" s="24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71">
        <f>IFERROR(AVERAGE('Dry_Litterbag Placem_Collection'!N125,'Dry_Litterbag Placem_Collection'!Q125),"")</f>
        <v>27.1</v>
      </c>
      <c r="AJ344" s="270">
        <f>INDEX(Coordinates!$B$2:$B$197,MATCH(G344,Coordinates!$J$2:$J$197,0))</f>
        <v>-2.3492390009999999</v>
      </c>
      <c r="AK344" s="270">
        <f>INDEX(Coordinates!$C$2:$C$197,MATCH(G344,Coordinates!$J$2:$J$197,0))</f>
        <v>34.051304020000003</v>
      </c>
      <c r="AL344" s="270" t="str">
        <f>IF(ISNUMBER(SEARCH("C", 'Dry_Litterbag Placem_Collection'!T125)),"YES","NO")</f>
        <v>NO</v>
      </c>
      <c r="AM344" s="270" t="str">
        <f>IF(ISNUMBER(SEARCH("H", 'Dry_Litterbag Placem_Collection'!T125)),"YES","NO")</f>
        <v>NO</v>
      </c>
      <c r="AN344" s="270" t="str">
        <f>IF(ISNUMBER(SEARCH("R", 'Dry_Litterbag Placem_Collection'!T125)),"YES","NO")</f>
        <v>NO</v>
      </c>
    </row>
    <row r="345" spans="1:40" ht="15" customHeight="1">
      <c r="A345" s="262" t="s">
        <v>2659</v>
      </c>
      <c r="B345" s="263">
        <f>'Dry_Litterbag Placem_Collection'!A126</f>
        <v>124</v>
      </c>
      <c r="C345" s="263" t="str">
        <f>'Dry_Litterbag Placem_Collection'!B126</f>
        <v xml:space="preserve">Mwantimba
</v>
      </c>
      <c r="D345" s="263" t="s">
        <v>2659</v>
      </c>
      <c r="E345" s="263" t="s">
        <v>2660</v>
      </c>
      <c r="F345" s="263">
        <v>4</v>
      </c>
      <c r="G345" s="264" t="str">
        <f>'Dry_Litterbag Placem_Collection'!C126</f>
        <v>Wet_Ag4_T4</v>
      </c>
      <c r="H345" s="265" t="s">
        <v>2541</v>
      </c>
      <c r="I345" s="272" t="s">
        <v>298</v>
      </c>
      <c r="J345" s="263" t="str">
        <f>IF(ISBLANK('Dry_Litterbag Placem_Collection'!K126),"","R"&amp;""&amp;'Dry_Litterbag Placem_Collection'!K126)</f>
        <v>R797</v>
      </c>
      <c r="K345" s="267">
        <f>IFERROR(INDEX('Green_rooibos initial weight'!$C$5:$C$1749,MATCH(J345, 'Green_rooibos initial weight'!$A$5:$A$1749,0)),"")</f>
        <v>2.2130000000000001</v>
      </c>
      <c r="L345" s="267">
        <f>IFERROR(K345-(TBIcalc!$Q$9+TBIcalc!$Q$10),"")</f>
        <v>1.9632000000000001</v>
      </c>
      <c r="M345" s="391">
        <f>AVERAGE(Ashed_controlls!$K$12:$K$14)</f>
        <v>2.2816647271287041</v>
      </c>
      <c r="N345" s="267">
        <f t="shared" si="26"/>
        <v>1.9184063580770094</v>
      </c>
      <c r="O345" s="267">
        <f>IF(IFERROR(INDEX('Both teabags AfterDry'!$D$3:$D$900,MATCH(J345,'Both teabags AfterDry'!$A$3:$A$900,0)),"")="","",(IFERROR(INDEX('Both teabags AfterDry'!$D$3:$D$900,MATCH(J345,'Both teabags AfterDry'!$A$3:$A$900,0)),"")))</f>
        <v>1.5708</v>
      </c>
      <c r="P345" s="267">
        <f>IFERROR(IF(O345&gt;0,O345-(TBIcalc!$Q$9),""),"")</f>
        <v>1.4201999999999999</v>
      </c>
      <c r="Q345" s="278">
        <f>IFERROR(INDEX('Ashed teabags dry'!$K$2:$K$825,MATCH(J345,'Ashed teabags dry'!$A$2:$A$825,0)),"")</f>
        <v>3.4211742949603519</v>
      </c>
      <c r="R345" s="278">
        <f t="shared" si="27"/>
        <v>1.371612482662973</v>
      </c>
      <c r="S345" s="268">
        <f>'Dry_Litterbag Placem_Collection'!E126</f>
        <v>42939</v>
      </c>
      <c r="T345" s="268">
        <f>IF('Dry_Litterbag Placem_Collection'!G126="","",'Dry_Litterbag Placem_Collection'!G126)</f>
        <v>43008</v>
      </c>
      <c r="U345" s="269">
        <f t="shared" si="25"/>
        <v>69</v>
      </c>
      <c r="V345" s="267">
        <f t="shared" si="28"/>
        <v>0.54300000000000015</v>
      </c>
      <c r="W345" s="267">
        <f t="shared" si="29"/>
        <v>0.54679387541403646</v>
      </c>
      <c r="X345" s="271">
        <f>IFERROR(INDEX(Rainfall_Dry!$O$2:$O$217,MATCH(B345, Rainfall_Dry!$A$2:$A$217,0)),"")</f>
        <v>136.27214243</v>
      </c>
      <c r="Y345" s="260">
        <v>17.96</v>
      </c>
      <c r="Z345" s="260">
        <v>4.9199999999999982</v>
      </c>
      <c r="AA345" s="260">
        <v>77.12</v>
      </c>
      <c r="AB345" s="261" t="s">
        <v>2671</v>
      </c>
      <c r="AC345" s="260">
        <v>5.02207984228684</v>
      </c>
      <c r="AD345">
        <f>IF('WetLitterbags placem_collection'!AB126="","",'WetLitterbags placem_collection'!AB126)</f>
        <v>5.45</v>
      </c>
      <c r="AE345">
        <f>IF('WetLitterbags placem_collection'!Z126="","",'WetLitterbags placem_collection'!Z126)</f>
        <v>47</v>
      </c>
      <c r="AF345" s="24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71">
        <f>IFERROR(AVERAGE('Dry_Litterbag Placem_Collection'!N126,'Dry_Litterbag Placem_Collection'!Q126),"")</f>
        <v>28.05</v>
      </c>
      <c r="AJ345" s="270">
        <f>INDEX(Coordinates!$B$2:$B$197,MATCH(G345,Coordinates!$J$2:$J$197,0))</f>
        <v>-2.3492799889999998</v>
      </c>
      <c r="AK345" s="270">
        <f>INDEX(Coordinates!$C$2:$C$197,MATCH(G345,Coordinates!$J$2:$J$197,0))</f>
        <v>34.051280970000001</v>
      </c>
      <c r="AL345" s="270" t="str">
        <f>IF(ISNUMBER(SEARCH("C", 'Dry_Litterbag Placem_Collection'!T126)),"YES","NO")</f>
        <v>NO</v>
      </c>
      <c r="AM345" s="270" t="str">
        <f>IF(ISNUMBER(SEARCH("H", 'Dry_Litterbag Placem_Collection'!T126)),"YES","NO")</f>
        <v>YES</v>
      </c>
      <c r="AN345" s="270" t="str">
        <f>IF(ISNUMBER(SEARCH("R", 'Dry_Litterbag Placem_Collection'!T126)),"YES","NO")</f>
        <v>YES</v>
      </c>
    </row>
    <row r="346" spans="1:40" ht="15" customHeight="1">
      <c r="A346" s="262" t="s">
        <v>2659</v>
      </c>
      <c r="B346" s="263">
        <f>'Dry_Litterbag Placem_Collection'!A127</f>
        <v>125</v>
      </c>
      <c r="C346" s="263" t="str">
        <f>'Dry_Litterbag Placem_Collection'!B127</f>
        <v xml:space="preserve">Mwantimba
</v>
      </c>
      <c r="D346" s="263" t="s">
        <v>2659</v>
      </c>
      <c r="E346" s="263" t="s">
        <v>2660</v>
      </c>
      <c r="F346" s="263">
        <v>4</v>
      </c>
      <c r="G346" s="264" t="str">
        <f>'Dry_Litterbag Placem_Collection'!C127</f>
        <v>Wet_Ag4_T5</v>
      </c>
      <c r="H346" s="265" t="s">
        <v>2541</v>
      </c>
      <c r="I346" s="272" t="s">
        <v>298</v>
      </c>
      <c r="J346" s="263" t="str">
        <f>IF(ISBLANK('Dry_Litterbag Placem_Collection'!K127),"","R"&amp;""&amp;'Dry_Litterbag Placem_Collection'!K127)</f>
        <v>R795</v>
      </c>
      <c r="K346" s="267">
        <f>IFERROR(INDEX('Green_rooibos initial weight'!$C$5:$C$1749,MATCH(J346, 'Green_rooibos initial weight'!$A$5:$A$1749,0)),"")</f>
        <v>2.2170000000000001</v>
      </c>
      <c r="L346" s="267">
        <f>IFERROR(K346-(TBIcalc!$Q$9+TBIcalc!$Q$10),"")</f>
        <v>1.9672000000000001</v>
      </c>
      <c r="M346" s="391">
        <f>AVERAGE(Ashed_controlls!$K$12:$K$14)</f>
        <v>2.2816647271287041</v>
      </c>
      <c r="N346" s="267">
        <f t="shared" si="26"/>
        <v>1.9223150914879241</v>
      </c>
      <c r="O346" s="267">
        <f>IF(IFERROR(INDEX('Both teabags AfterDry'!$D$3:$D$900,MATCH(J346,'Both teabags AfterDry'!$A$3:$A$900,0)),"")="","",(IFERROR(INDEX('Both teabags AfterDry'!$D$3:$D$900,MATCH(J346,'Both teabags AfterDry'!$A$3:$A$900,0)),"")))</f>
        <v>0.83220000000000005</v>
      </c>
      <c r="P346" s="267">
        <f>IFERROR(IF(O346&gt;0,O346-(TBIcalc!$Q$9),""),"")</f>
        <v>0.68159999999999998</v>
      </c>
      <c r="Q346" s="278">
        <f>IFERROR(INDEX('Ashed teabags dry'!$K$2:$K$825,MATCH(J346,'Ashed teabags dry'!$A$2:$A$825,0)),"")</f>
        <v>91.950000000000998</v>
      </c>
      <c r="R346" s="278">
        <f t="shared" si="27"/>
        <v>5.4868799999993167E-2</v>
      </c>
      <c r="S346" s="268">
        <f>'Dry_Litterbag Placem_Collection'!E127</f>
        <v>42939</v>
      </c>
      <c r="T346" s="268">
        <f>IF('Dry_Litterbag Placem_Collection'!G127="","",'Dry_Litterbag Placem_Collection'!G127)</f>
        <v>43008</v>
      </c>
      <c r="U346" s="269">
        <f t="shared" si="25"/>
        <v>69</v>
      </c>
      <c r="V346" s="267">
        <f t="shared" si="28"/>
        <v>1.2856000000000001</v>
      </c>
      <c r="W346" s="267">
        <f t="shared" si="29"/>
        <v>1.8674462914879308</v>
      </c>
      <c r="X346" s="271">
        <f>IFERROR(INDEX(Rainfall_Dry!$O$2:$O$217,MATCH(B346, Rainfall_Dry!$A$2:$A$217,0)),"")</f>
        <v>136.27214243</v>
      </c>
      <c r="Y346" s="260">
        <v>17.96</v>
      </c>
      <c r="Z346" s="260">
        <v>4.9199999999999982</v>
      </c>
      <c r="AA346" s="260">
        <v>77.12</v>
      </c>
      <c r="AB346" s="261" t="s">
        <v>2671</v>
      </c>
      <c r="AC346" s="260">
        <v>6.02207984228684</v>
      </c>
      <c r="AD346">
        <f>IF('WetLitterbags placem_collection'!AB127="","",'WetLitterbags placem_collection'!AB127)</f>
        <v>9.3000000000000007</v>
      </c>
      <c r="AE346">
        <f>IF('WetLitterbags placem_collection'!Z127="","",'WetLitterbags placem_collection'!Z127)</f>
        <v>43</v>
      </c>
      <c r="AF346" s="24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71">
        <f>IFERROR(AVERAGE('Dry_Litterbag Placem_Collection'!N127,'Dry_Litterbag Placem_Collection'!Q127),"")</f>
        <v>28.05</v>
      </c>
      <c r="AJ346" s="270">
        <f>INDEX(Coordinates!$B$2:$B$197,MATCH(G346,Coordinates!$J$2:$J$197,0))</f>
        <v>-2.3493320400000002</v>
      </c>
      <c r="AK346" s="270">
        <f>INDEX(Coordinates!$C$2:$C$197,MATCH(G346,Coordinates!$J$2:$J$197,0))</f>
        <v>34.051321960000003</v>
      </c>
      <c r="AL346" s="270" t="str">
        <f>IF(ISNUMBER(SEARCH("C", 'Dry_Litterbag Placem_Collection'!T127)),"YES","NO")</f>
        <v>YES</v>
      </c>
      <c r="AM346" s="270" t="str">
        <f>IF(ISNUMBER(SEARCH("H", 'Dry_Litterbag Placem_Collection'!T127)),"YES","NO")</f>
        <v>YES</v>
      </c>
      <c r="AN346" s="270" t="str">
        <f>IF(ISNUMBER(SEARCH("R", 'Dry_Litterbag Placem_Collection'!T127)),"YES","NO")</f>
        <v>NO</v>
      </c>
    </row>
    <row r="347" spans="1:40" ht="15" customHeight="1">
      <c r="A347" s="262" t="s">
        <v>2659</v>
      </c>
      <c r="B347" s="263">
        <f>'Dry_Litterbag Placem_Collection'!A128</f>
        <v>126</v>
      </c>
      <c r="C347" s="263" t="str">
        <f>'Dry_Litterbag Placem_Collection'!B128</f>
        <v xml:space="preserve">Mwantimba
</v>
      </c>
      <c r="D347" s="263" t="s">
        <v>2659</v>
      </c>
      <c r="E347" s="263" t="s">
        <v>2660</v>
      </c>
      <c r="F347" s="263">
        <v>4</v>
      </c>
      <c r="G347" s="264" t="str">
        <f>'Dry_Litterbag Placem_Collection'!C128</f>
        <v>Wet_Ag4_T6</v>
      </c>
      <c r="H347" s="265" t="s">
        <v>2541</v>
      </c>
      <c r="I347" s="272" t="s">
        <v>298</v>
      </c>
      <c r="J347" s="263" t="str">
        <f>IF(ISBLANK('Dry_Litterbag Placem_Collection'!K128),"","R"&amp;""&amp;'Dry_Litterbag Placem_Collection'!K128)</f>
        <v/>
      </c>
      <c r="K347" s="267" t="str">
        <f>IFERROR(INDEX('Green_rooibos initial weight'!$C$5:$C$1749,MATCH(J347, 'Green_rooibos initial weight'!$A$5:$A$1749,0)),"")</f>
        <v/>
      </c>
      <c r="L347" s="267" t="str">
        <f>IFERROR(K347-(TBIcalc!$Q$9+TBIcalc!$Q$10),"")</f>
        <v/>
      </c>
      <c r="M347" s="391">
        <f>AVERAGE(Ashed_controlls!$K$12:$K$14)</f>
        <v>2.2816647271287041</v>
      </c>
      <c r="N347" s="267" t="str">
        <f t="shared" si="26"/>
        <v/>
      </c>
      <c r="O347" s="267" t="str">
        <f>IF(IFERROR(INDEX('Both teabags AfterDry'!$D$3:$D$900,MATCH(J347,'Both teabags AfterDry'!$A$3:$A$900,0)),"")="","",(IFERROR(INDEX('Both teabags AfterDry'!$D$3:$D$900,MATCH(J347,'Both teabags AfterDry'!$A$3:$A$900,0)),"")))</f>
        <v/>
      </c>
      <c r="P347" s="267" t="str">
        <f>IFERROR(IF(O347&gt;0,O347-(TBIcalc!$Q$9),""),"")</f>
        <v/>
      </c>
      <c r="Q347" s="278" t="str">
        <f>IFERROR(INDEX('Ashed teabags dry'!$K$2:$K$825,MATCH(J347,'Ashed teabags dry'!$A$2:$A$825,0)),"")</f>
        <v/>
      </c>
      <c r="R347" s="278" t="str">
        <f t="shared" si="27"/>
        <v/>
      </c>
      <c r="S347" s="268">
        <f>'Dry_Litterbag Placem_Collection'!E128</f>
        <v>0</v>
      </c>
      <c r="T347" s="268" t="str">
        <f>IF('Dry_Litterbag Placem_Collection'!G128="","",'Dry_Litterbag Placem_Collection'!G128)</f>
        <v/>
      </c>
      <c r="U347" s="269" t="str">
        <f t="shared" si="25"/>
        <v/>
      </c>
      <c r="V347" s="267" t="str">
        <f t="shared" si="28"/>
        <v/>
      </c>
      <c r="W347" s="267" t="str">
        <f t="shared" si="29"/>
        <v/>
      </c>
      <c r="X347" s="271" t="str">
        <f>IFERROR(INDEX(Rainfall_Dry!$O$2:$O$217,MATCH(B347, Rainfall_Dry!$A$2:$A$217,0)),"")</f>
        <v/>
      </c>
      <c r="Y347" s="260">
        <v>17.96</v>
      </c>
      <c r="Z347" s="260">
        <v>4.9199999999999982</v>
      </c>
      <c r="AA347" s="260">
        <v>77.12</v>
      </c>
      <c r="AB347" s="261" t="s">
        <v>2671</v>
      </c>
      <c r="AC347" s="260">
        <v>7.02207984228684</v>
      </c>
      <c r="AD347">
        <f>IF('WetLitterbags placem_collection'!AB128="","",'WetLitterbags placem_collection'!AB128)</f>
        <v>10.85</v>
      </c>
      <c r="AE347">
        <f>IF('WetLitterbags placem_collection'!Z128="","",'WetLitterbags placem_collection'!Z128)</f>
        <v>40</v>
      </c>
      <c r="AF347" s="24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71" t="str">
        <f>IFERROR(AVERAGE('Dry_Litterbag Placem_Collection'!N128,'Dry_Litterbag Placem_Collection'!Q128),"")</f>
        <v/>
      </c>
      <c r="AJ347" s="270">
        <f>INDEX(Coordinates!$B$2:$B$197,MATCH(G347,Coordinates!$J$2:$J$197,0))</f>
        <v>-2.3493509829999999</v>
      </c>
      <c r="AK347" s="270">
        <f>INDEX(Coordinates!$C$2:$C$197,MATCH(G347,Coordinates!$J$2:$J$197,0))</f>
        <v>34.051332019999997</v>
      </c>
      <c r="AL347" s="270" t="str">
        <f>IF(ISNUMBER(SEARCH("C", 'Dry_Litterbag Placem_Collection'!T128)),"YES","NO")</f>
        <v>NO</v>
      </c>
      <c r="AM347" s="270" t="str">
        <f>IF(ISNUMBER(SEARCH("H", 'Dry_Litterbag Placem_Collection'!T128)),"YES","NO")</f>
        <v>NO</v>
      </c>
      <c r="AN347" s="270" t="str">
        <f>IF(ISNUMBER(SEARCH("R", 'Dry_Litterbag Placem_Collection'!T128)),"YES","NO")</f>
        <v>NO</v>
      </c>
    </row>
    <row r="348" spans="1:40" ht="15" customHeight="1">
      <c r="A348" s="262" t="s">
        <v>2659</v>
      </c>
      <c r="B348" s="263">
        <f>'Dry_Litterbag Placem_Collection'!A129</f>
        <v>127</v>
      </c>
      <c r="C348" s="263" t="str">
        <f>'Dry_Litterbag Placem_Collection'!B129</f>
        <v xml:space="preserve">Mwantimba
</v>
      </c>
      <c r="D348" s="263" t="s">
        <v>2659</v>
      </c>
      <c r="E348" s="263" t="s">
        <v>2660</v>
      </c>
      <c r="F348" s="263">
        <v>4</v>
      </c>
      <c r="G348" s="264" t="str">
        <f>'Dry_Litterbag Placem_Collection'!C129</f>
        <v>Wet_Ag4_T7</v>
      </c>
      <c r="H348" s="265" t="s">
        <v>2541</v>
      </c>
      <c r="I348" s="272" t="s">
        <v>298</v>
      </c>
      <c r="J348" s="263" t="str">
        <f>IF(ISBLANK('Dry_Litterbag Placem_Collection'!K129),"","R"&amp;""&amp;'Dry_Litterbag Placem_Collection'!K129)</f>
        <v>R751</v>
      </c>
      <c r="K348" s="267">
        <f>IFERROR(INDEX('Green_rooibos initial weight'!$C$5:$C$1749,MATCH(J348, 'Green_rooibos initial weight'!$A$5:$A$1749,0)),"")</f>
        <v>2.262</v>
      </c>
      <c r="L348" s="267">
        <f>IFERROR(K348-(TBIcalc!$Q$9+TBIcalc!$Q$10),"")</f>
        <v>2.0122</v>
      </c>
      <c r="M348" s="391">
        <f>AVERAGE(Ashed_controlls!$K$12:$K$14)</f>
        <v>2.2816647271287041</v>
      </c>
      <c r="N348" s="267">
        <f t="shared" si="26"/>
        <v>1.9662883423607163</v>
      </c>
      <c r="O348" s="267">
        <f>IF(IFERROR(INDEX('Both teabags AfterDry'!$D$3:$D$900,MATCH(J348,'Both teabags AfterDry'!$A$3:$A$900,0)),"")="","",(IFERROR(INDEX('Both teabags AfterDry'!$D$3:$D$900,MATCH(J348,'Both teabags AfterDry'!$A$3:$A$900,0)),"")))</f>
        <v>1.6394</v>
      </c>
      <c r="P348" s="267">
        <f>IFERROR(IF(O348&gt;0,O348-(TBIcalc!$Q$9),""),"")</f>
        <v>1.4887999999999999</v>
      </c>
      <c r="Q348" s="278">
        <f>IFERROR(INDEX('Ashed teabags dry'!$K$2:$K$825,MATCH(J348,'Ashed teabags dry'!$A$2:$A$825,0)),"")</f>
        <v>4.0196078431371527</v>
      </c>
      <c r="R348" s="278">
        <f t="shared" si="27"/>
        <v>1.428956078431374</v>
      </c>
      <c r="S348" s="268">
        <f>'Dry_Litterbag Placem_Collection'!E129</f>
        <v>42939</v>
      </c>
      <c r="T348" s="268">
        <f>IF('Dry_Litterbag Placem_Collection'!G129="","",'Dry_Litterbag Placem_Collection'!G129)</f>
        <v>43008</v>
      </c>
      <c r="U348" s="269">
        <f t="shared" si="25"/>
        <v>69</v>
      </c>
      <c r="V348" s="267">
        <f t="shared" si="28"/>
        <v>0.52340000000000009</v>
      </c>
      <c r="W348" s="267">
        <f t="shared" si="29"/>
        <v>0.5373322639293423</v>
      </c>
      <c r="X348" s="271">
        <f>IFERROR(INDEX(Rainfall_Dry!$O$2:$O$217,MATCH(B348, Rainfall_Dry!$A$2:$A$217,0)),"")</f>
        <v>136.27214243</v>
      </c>
      <c r="Y348" s="260">
        <v>17.96</v>
      </c>
      <c r="Z348" s="260">
        <v>4.9199999999999982</v>
      </c>
      <c r="AA348" s="260">
        <v>77.12</v>
      </c>
      <c r="AB348" s="261" t="s">
        <v>2671</v>
      </c>
      <c r="AC348" s="260">
        <v>8.0220798422868391</v>
      </c>
      <c r="AD348">
        <f>IF('WetLitterbags placem_collection'!AB129="","",'WetLitterbags placem_collection'!AB129)</f>
        <v>5.35</v>
      </c>
      <c r="AE348">
        <f>IF('WetLitterbags placem_collection'!Z129="","",'WetLitterbags placem_collection'!Z129)</f>
        <v>58</v>
      </c>
      <c r="AF348" s="24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71">
        <f>IFERROR(AVERAGE('Dry_Litterbag Placem_Collection'!N129,'Dry_Litterbag Placem_Collection'!Q129),"")</f>
        <v>28.1</v>
      </c>
      <c r="AJ348" s="270">
        <f>INDEX(Coordinates!$B$2:$B$197,MATCH(G348,Coordinates!$J$2:$J$197,0))</f>
        <v>-2.3491850219999999</v>
      </c>
      <c r="AK348" s="270">
        <f>INDEX(Coordinates!$C$2:$C$197,MATCH(G348,Coordinates!$J$2:$J$197,0))</f>
        <v>34.051264959999997</v>
      </c>
      <c r="AL348" s="270" t="str">
        <f>IF(ISNUMBER(SEARCH("C", 'Dry_Litterbag Placem_Collection'!T129)),"YES","NO")</f>
        <v>NO</v>
      </c>
      <c r="AM348" s="270" t="str">
        <f>IF(ISNUMBER(SEARCH("H", 'Dry_Litterbag Placem_Collection'!T129)),"YES","NO")</f>
        <v>NO</v>
      </c>
      <c r="AN348" s="270" t="str">
        <f>IF(ISNUMBER(SEARCH("R", 'Dry_Litterbag Placem_Collection'!T129)),"YES","NO")</f>
        <v>NO</v>
      </c>
    </row>
    <row r="349" spans="1:40" ht="15" customHeight="1">
      <c r="A349" s="262" t="s">
        <v>2659</v>
      </c>
      <c r="B349" s="263">
        <f>'Dry_Litterbag Placem_Collection'!A130</f>
        <v>128</v>
      </c>
      <c r="C349" s="263" t="str">
        <f>'Dry_Litterbag Placem_Collection'!B130</f>
        <v xml:space="preserve">Mwantimba
</v>
      </c>
      <c r="D349" s="263" t="s">
        <v>2659</v>
      </c>
      <c r="E349" s="263" t="s">
        <v>2660</v>
      </c>
      <c r="F349" s="263">
        <v>4</v>
      </c>
      <c r="G349" s="264" t="str">
        <f>'Dry_Litterbag Placem_Collection'!C130</f>
        <v>Wet_Ag4_T8</v>
      </c>
      <c r="H349" s="265" t="s">
        <v>2541</v>
      </c>
      <c r="I349" s="272" t="s">
        <v>298</v>
      </c>
      <c r="J349" s="263" t="str">
        <f>IF(ISBLANK('Dry_Litterbag Placem_Collection'!K130),"","R"&amp;""&amp;'Dry_Litterbag Placem_Collection'!K130)</f>
        <v>R819</v>
      </c>
      <c r="K349" s="267">
        <f>IFERROR(INDEX('Green_rooibos initial weight'!$C$5:$C$1749,MATCH(J349, 'Green_rooibos initial weight'!$A$5:$A$1749,0)),"")</f>
        <v>2.16</v>
      </c>
      <c r="L349" s="267">
        <f>IFERROR(K349-(TBIcalc!$Q$9+TBIcalc!$Q$10),"")</f>
        <v>1.9102000000000001</v>
      </c>
      <c r="M349" s="391">
        <f>AVERAGE(Ashed_controlls!$K$12:$K$14)</f>
        <v>2.2816647271287041</v>
      </c>
      <c r="N349" s="267">
        <f t="shared" si="26"/>
        <v>1.8666156403823877</v>
      </c>
      <c r="O349" s="267">
        <f>IF(IFERROR(INDEX('Both teabags AfterDry'!$D$3:$D$900,MATCH(J349,'Both teabags AfterDry'!$A$3:$A$900,0)),"")="","",(IFERROR(INDEX('Both teabags AfterDry'!$D$3:$D$900,MATCH(J349,'Both teabags AfterDry'!$A$3:$A$900,0)),"")))</f>
        <v>2.8028</v>
      </c>
      <c r="P349" s="267">
        <f>IFERROR(IF(O349&gt;0,O349-(TBIcalc!$Q$9),""),"")</f>
        <v>2.6522000000000001</v>
      </c>
      <c r="Q349" s="278">
        <f>IFERROR(INDEX('Ashed teabags dry'!$K$2:$K$825,MATCH(J349,'Ashed teabags dry'!$A$2:$A$825,0)),"")</f>
        <v>86.93858845096193</v>
      </c>
      <c r="R349" s="278">
        <f t="shared" si="27"/>
        <v>0.3464147571035876</v>
      </c>
      <c r="S349" s="268">
        <f>'Dry_Litterbag Placem_Collection'!E130</f>
        <v>42939</v>
      </c>
      <c r="T349" s="268">
        <f>IF('Dry_Litterbag Placem_Collection'!G130="","",'Dry_Litterbag Placem_Collection'!G130)</f>
        <v>43008</v>
      </c>
      <c r="U349" s="269">
        <f t="shared" si="25"/>
        <v>69</v>
      </c>
      <c r="V349" s="267">
        <f t="shared" si="28"/>
        <v>-0.74199999999999999</v>
      </c>
      <c r="W349" s="267">
        <f t="shared" si="29"/>
        <v>1.5202008832788001</v>
      </c>
      <c r="X349" s="271">
        <f>IFERROR(INDEX(Rainfall_Dry!$O$2:$O$217,MATCH(B349, Rainfall_Dry!$A$2:$A$217,0)),"")</f>
        <v>136.27214243</v>
      </c>
      <c r="Y349" s="260">
        <v>17.96</v>
      </c>
      <c r="Z349" s="260">
        <v>4.9199999999999982</v>
      </c>
      <c r="AA349" s="260">
        <v>77.12</v>
      </c>
      <c r="AB349" s="261" t="s">
        <v>2671</v>
      </c>
      <c r="AC349" s="260">
        <v>9.0220798422868391</v>
      </c>
      <c r="AD349">
        <f>IF('WetLitterbags placem_collection'!AB130="","",'WetLitterbags placem_collection'!AB130)</f>
        <v>10.9</v>
      </c>
      <c r="AE349">
        <f>IF('WetLitterbags placem_collection'!Z130="","",'WetLitterbags placem_collection'!Z130)</f>
        <v>44</v>
      </c>
      <c r="AF349" s="24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71">
        <f>IFERROR(AVERAGE('Dry_Litterbag Placem_Collection'!N130,'Dry_Litterbag Placem_Collection'!Q130),"")</f>
        <v>28.4</v>
      </c>
      <c r="AJ349" s="270">
        <f>INDEX(Coordinates!$B$2:$B$197,MATCH(G349,Coordinates!$J$2:$J$197,0))</f>
        <v>-2.3493099960000001</v>
      </c>
      <c r="AK349" s="270">
        <f>INDEX(Coordinates!$C$2:$C$197,MATCH(G349,Coordinates!$J$2:$J$197,0))</f>
        <v>34.05141802</v>
      </c>
      <c r="AL349" s="270" t="str">
        <f>IF(ISNUMBER(SEARCH("C", 'Dry_Litterbag Placem_Collection'!T130)),"YES","NO")</f>
        <v>YES</v>
      </c>
      <c r="AM349" s="270" t="str">
        <f>IF(ISNUMBER(SEARCH("H", 'Dry_Litterbag Placem_Collection'!T130)),"YES","NO")</f>
        <v>YES</v>
      </c>
      <c r="AN349" s="270" t="str">
        <f>IF(ISNUMBER(SEARCH("R", 'Dry_Litterbag Placem_Collection'!T130)),"YES","NO")</f>
        <v>NO</v>
      </c>
    </row>
    <row r="350" spans="1:40" ht="15" customHeight="1">
      <c r="A350" s="262" t="s">
        <v>2659</v>
      </c>
      <c r="B350" s="263">
        <f>'Dry_Litterbag Placem_Collection'!A131</f>
        <v>129</v>
      </c>
      <c r="C350" s="263" t="str">
        <f>'Dry_Litterbag Placem_Collection'!B131</f>
        <v xml:space="preserve">Mwantimba
</v>
      </c>
      <c r="D350" s="263" t="s">
        <v>2659</v>
      </c>
      <c r="E350" s="263" t="s">
        <v>20</v>
      </c>
      <c r="F350" s="263">
        <v>1</v>
      </c>
      <c r="G350" s="264" t="str">
        <f>'Dry_Litterbag Placem_Collection'!C131</f>
        <v>Wet_P1_T1</v>
      </c>
      <c r="H350" s="265" t="s">
        <v>2541</v>
      </c>
      <c r="I350" s="272" t="s">
        <v>298</v>
      </c>
      <c r="J350" s="263" t="str">
        <f>IF(ISBLANK('Dry_Litterbag Placem_Collection'!K131),"","R"&amp;""&amp;'Dry_Litterbag Placem_Collection'!K131)</f>
        <v>R768</v>
      </c>
      <c r="K350" s="267">
        <f>IFERROR(INDEX('Green_rooibos initial weight'!$C$5:$C$1749,MATCH(J350, 'Green_rooibos initial weight'!$A$5:$A$1749,0)),"")</f>
        <v>2.2120000000000002</v>
      </c>
      <c r="L350" s="267">
        <f>IFERROR(K350-(TBIcalc!$Q$9+TBIcalc!$Q$10),"")</f>
        <v>1.9622000000000002</v>
      </c>
      <c r="M350" s="391">
        <f>AVERAGE(Ashed_controlls!$K$12:$K$14)</f>
        <v>2.2816647271287041</v>
      </c>
      <c r="N350" s="267">
        <f t="shared" si="26"/>
        <v>1.9174291747242806</v>
      </c>
      <c r="O350" s="267">
        <f>IF(IFERROR(INDEX('Both teabags AfterDry'!$D$3:$D$900,MATCH(J350,'Both teabags AfterDry'!$A$3:$A$900,0)),"")="","",(IFERROR(INDEX('Both teabags AfterDry'!$D$3:$D$900,MATCH(J350,'Both teabags AfterDry'!$A$3:$A$900,0)),"")))</f>
        <v>0.67179999999999995</v>
      </c>
      <c r="P350" s="267">
        <f>IFERROR(IF(O350&gt;0,O350-(TBIcalc!$Q$9),""),"")</f>
        <v>0.52119999999999989</v>
      </c>
      <c r="Q350" s="278">
        <f>IFERROR(INDEX('Ashed teabags dry'!$K$2:$K$825,MATCH(J350,'Ashed teabags dry'!$A$2:$A$825,0)),"")</f>
        <v>87.766714082503427</v>
      </c>
      <c r="R350" s="278">
        <f t="shared" si="27"/>
        <v>6.3759886201992133E-2</v>
      </c>
      <c r="S350" s="268">
        <f>'Dry_Litterbag Placem_Collection'!E131</f>
        <v>42939</v>
      </c>
      <c r="T350" s="268">
        <f>IF('Dry_Litterbag Placem_Collection'!G131="","",'Dry_Litterbag Placem_Collection'!G131)</f>
        <v>43008</v>
      </c>
      <c r="U350" s="269">
        <f t="shared" si="25"/>
        <v>69</v>
      </c>
      <c r="V350" s="267">
        <f t="shared" si="28"/>
        <v>1.4410000000000003</v>
      </c>
      <c r="W350" s="267">
        <f t="shared" si="29"/>
        <v>1.8536692885222885</v>
      </c>
      <c r="X350" s="271">
        <f>IFERROR(INDEX(Rainfall_Dry!$O$2:$O$217,MATCH(B350, Rainfall_Dry!$A$2:$A$217,0)),"")</f>
        <v>136.27214243</v>
      </c>
      <c r="Y350" s="260">
        <v>31.214836424255054</v>
      </c>
      <c r="Z350" s="260">
        <v>11.377370285476141</v>
      </c>
      <c r="AA350" s="260">
        <v>57.407793290268799</v>
      </c>
      <c r="AB350" s="261" t="s">
        <v>2670</v>
      </c>
      <c r="AC350" s="260">
        <v>1.7337604731394776</v>
      </c>
      <c r="AD350">
        <f>IF('WetLitterbags placem_collection'!AB131="","",'WetLitterbags placem_collection'!AB131)</f>
        <v>2.4</v>
      </c>
      <c r="AE350">
        <f>IF('WetLitterbags placem_collection'!Z131="","",'WetLitterbags placem_collection'!Z131)</f>
        <v>2.4</v>
      </c>
      <c r="AF350" s="24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71">
        <f>IFERROR(AVERAGE('Dry_Litterbag Placem_Collection'!N131,'Dry_Litterbag Placem_Collection'!Q131),"")</f>
        <v>29.05</v>
      </c>
      <c r="AJ350" s="270">
        <f>INDEX(Coordinates!$B$2:$B$197,MATCH(G350,Coordinates!$J$2:$J$197,0))</f>
        <v>-2.3503360249999998</v>
      </c>
      <c r="AK350" s="270">
        <f>INDEX(Coordinates!$C$2:$C$197,MATCH(G350,Coordinates!$J$2:$J$197,0))</f>
        <v>34.049662009999999</v>
      </c>
      <c r="AL350" s="270" t="str">
        <f>IF(ISNUMBER(SEARCH("C", 'Dry_Litterbag Placem_Collection'!T131)),"YES","NO")</f>
        <v>YES</v>
      </c>
      <c r="AM350" s="270" t="str">
        <f>IF(ISNUMBER(SEARCH("H", 'Dry_Litterbag Placem_Collection'!T131)),"YES","NO")</f>
        <v>YES</v>
      </c>
      <c r="AN350" s="270" t="str">
        <f>IF(ISNUMBER(SEARCH("R", 'Dry_Litterbag Placem_Collection'!T131)),"YES","NO")</f>
        <v>NO</v>
      </c>
    </row>
    <row r="351" spans="1:40" ht="15" customHeight="1">
      <c r="A351" s="262" t="s">
        <v>2659</v>
      </c>
      <c r="B351" s="263">
        <f>'Dry_Litterbag Placem_Collection'!A132</f>
        <v>130</v>
      </c>
      <c r="C351" s="263" t="str">
        <f>'Dry_Litterbag Placem_Collection'!B132</f>
        <v xml:space="preserve">Mwantimba
</v>
      </c>
      <c r="D351" s="263" t="s">
        <v>2659</v>
      </c>
      <c r="E351" s="263" t="s">
        <v>20</v>
      </c>
      <c r="F351" s="263">
        <v>1</v>
      </c>
      <c r="G351" s="264" t="str">
        <f>'Dry_Litterbag Placem_Collection'!C132</f>
        <v>Wet_P1_T2</v>
      </c>
      <c r="H351" s="265" t="s">
        <v>2541</v>
      </c>
      <c r="I351" s="272" t="s">
        <v>298</v>
      </c>
      <c r="J351" s="263" t="str">
        <f>IF(ISBLANK('Dry_Litterbag Placem_Collection'!K132),"","R"&amp;""&amp;'Dry_Litterbag Placem_Collection'!K132)</f>
        <v>R789</v>
      </c>
      <c r="K351" s="267">
        <f>IFERROR(INDEX('Green_rooibos initial weight'!$C$5:$C$1749,MATCH(J351, 'Green_rooibos initial weight'!$A$5:$A$1749,0)),"")</f>
        <v>2.2549999999999999</v>
      </c>
      <c r="L351" s="267">
        <f>IFERROR(K351-(TBIcalc!$Q$9+TBIcalc!$Q$10),"")</f>
        <v>2.0051999999999999</v>
      </c>
      <c r="M351" s="391">
        <f>AVERAGE(Ashed_controlls!$K$12:$K$14)</f>
        <v>2.2816647271287041</v>
      </c>
      <c r="N351" s="267">
        <f t="shared" si="26"/>
        <v>1.959448058891615</v>
      </c>
      <c r="O351" s="267">
        <f>IF(IFERROR(INDEX('Both teabags AfterDry'!$D$3:$D$900,MATCH(J351,'Both teabags AfterDry'!$A$3:$A$900,0)),"")="","",(IFERROR(INDEX('Both teabags AfterDry'!$D$3:$D$900,MATCH(J351,'Both teabags AfterDry'!$A$3:$A$900,0)),"")))</f>
        <v>2.4607999999999999</v>
      </c>
      <c r="P351" s="267">
        <f>IFERROR(IF(O351&gt;0,O351-(TBIcalc!$Q$9),""),"")</f>
        <v>2.3102</v>
      </c>
      <c r="Q351" s="278">
        <f>IFERROR(INDEX('Ashed teabags dry'!$K$2:$K$825,MATCH(J351,'Ashed teabags dry'!$A$2:$A$825,0)),"")</f>
        <v>91.804831833254127</v>
      </c>
      <c r="R351" s="278">
        <f t="shared" si="27"/>
        <v>0.18932477498816302</v>
      </c>
      <c r="S351" s="268">
        <f>'Dry_Litterbag Placem_Collection'!E132</f>
        <v>42939</v>
      </c>
      <c r="T351" s="268">
        <f>IF('Dry_Litterbag Placem_Collection'!G132="","",'Dry_Litterbag Placem_Collection'!G132)</f>
        <v>43008</v>
      </c>
      <c r="U351" s="269">
        <f t="shared" si="25"/>
        <v>69</v>
      </c>
      <c r="V351" s="267">
        <f t="shared" si="28"/>
        <v>-0.30500000000000016</v>
      </c>
      <c r="W351" s="267">
        <f t="shared" si="29"/>
        <v>1.770123283903452</v>
      </c>
      <c r="X351" s="271">
        <f>IFERROR(INDEX(Rainfall_Dry!$O$2:$O$217,MATCH(B351, Rainfall_Dry!$A$2:$A$217,0)),"")</f>
        <v>136.27214243</v>
      </c>
      <c r="Y351" s="260">
        <v>31.214836424255054</v>
      </c>
      <c r="Z351" s="260">
        <v>11.377370285476141</v>
      </c>
      <c r="AA351" s="260">
        <v>57.407793290268799</v>
      </c>
      <c r="AB351" s="261" t="s">
        <v>2670</v>
      </c>
      <c r="AC351" s="260">
        <v>2.7337604731394798</v>
      </c>
      <c r="AD351">
        <f>IF('WetLitterbags placem_collection'!AB132="","",'WetLitterbags placem_collection'!AB132)</f>
        <v>2.1</v>
      </c>
      <c r="AE351">
        <f>IF('WetLitterbags placem_collection'!Z132="","",'WetLitterbags placem_collection'!Z132)</f>
        <v>3.5</v>
      </c>
      <c r="AF351" s="24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71">
        <f>IFERROR(AVERAGE('Dry_Litterbag Placem_Collection'!N132,'Dry_Litterbag Placem_Collection'!Q132),"")</f>
        <v>28.55</v>
      </c>
      <c r="AJ351" s="270">
        <f>INDEX(Coordinates!$B$2:$B$197,MATCH(G351,Coordinates!$J$2:$J$197,0))</f>
        <v>-2.3503729889999998</v>
      </c>
      <c r="AK351" s="270">
        <f>INDEX(Coordinates!$C$2:$C$197,MATCH(G351,Coordinates!$J$2:$J$197,0))</f>
        <v>34.049626969999998</v>
      </c>
      <c r="AL351" s="270" t="str">
        <f>IF(ISNUMBER(SEARCH("C", 'Dry_Litterbag Placem_Collection'!T132)),"YES","NO")</f>
        <v>YES</v>
      </c>
      <c r="AM351" s="270" t="str">
        <f>IF(ISNUMBER(SEARCH("H", 'Dry_Litterbag Placem_Collection'!T132)),"YES","NO")</f>
        <v>YES</v>
      </c>
      <c r="AN351" s="270" t="str">
        <f>IF(ISNUMBER(SEARCH("R", 'Dry_Litterbag Placem_Collection'!T132)),"YES","NO")</f>
        <v>NO</v>
      </c>
    </row>
    <row r="352" spans="1:40" ht="15" customHeight="1">
      <c r="A352" s="262" t="s">
        <v>2659</v>
      </c>
      <c r="B352" s="263">
        <f>'Dry_Litterbag Placem_Collection'!A133</f>
        <v>131</v>
      </c>
      <c r="C352" s="263" t="str">
        <f>'Dry_Litterbag Placem_Collection'!B133</f>
        <v xml:space="preserve">Mwantimba
</v>
      </c>
      <c r="D352" s="263" t="s">
        <v>2659</v>
      </c>
      <c r="E352" s="263" t="s">
        <v>20</v>
      </c>
      <c r="F352" s="263">
        <v>1</v>
      </c>
      <c r="G352" s="264" t="str">
        <f>'Dry_Litterbag Placem_Collection'!C133</f>
        <v>Wet_P1_T3</v>
      </c>
      <c r="H352" s="265" t="s">
        <v>2541</v>
      </c>
      <c r="I352" s="272" t="s">
        <v>298</v>
      </c>
      <c r="J352" s="263" t="str">
        <f>IF(ISBLANK('Dry_Litterbag Placem_Collection'!K133),"","R"&amp;""&amp;'Dry_Litterbag Placem_Collection'!K133)</f>
        <v>R586</v>
      </c>
      <c r="K352" s="267">
        <f>IFERROR(INDEX('Green_rooibos initial weight'!$C$5:$C$1749,MATCH(J352, 'Green_rooibos initial weight'!$A$5:$A$1749,0)),"")</f>
        <v>2.1520000000000001</v>
      </c>
      <c r="L352" s="267">
        <f>IFERROR(K352-(TBIcalc!$Q$9+TBIcalc!$Q$10),"")</f>
        <v>1.9022000000000001</v>
      </c>
      <c r="M352" s="391">
        <f>AVERAGE(Ashed_controlls!$K$12:$K$14)</f>
        <v>2.2816647271287041</v>
      </c>
      <c r="N352" s="267">
        <f t="shared" si="26"/>
        <v>1.8587981735605579</v>
      </c>
      <c r="O352" s="267">
        <f>IF(IFERROR(INDEX('Both teabags AfterDry'!$D$3:$D$900,MATCH(J352,'Both teabags AfterDry'!$A$3:$A$900,0)),"")="","",(IFERROR(INDEX('Both teabags AfterDry'!$D$3:$D$900,MATCH(J352,'Both teabags AfterDry'!$A$3:$A$900,0)),"")))</f>
        <v>2.2069000000000001</v>
      </c>
      <c r="P352" s="267">
        <f>IFERROR(IF(O352&gt;0,O352-(TBIcalc!$Q$9),""),"")</f>
        <v>2.0563000000000002</v>
      </c>
      <c r="Q352" s="278">
        <f>IFERROR(INDEX('Ashed teabags dry'!$K$2:$K$825,MATCH(J352,'Ashed teabags dry'!$A$2:$A$825,0)),"")</f>
        <v>73.946360153256592</v>
      </c>
      <c r="R352" s="278">
        <f t="shared" si="27"/>
        <v>0.53574099616858462</v>
      </c>
      <c r="S352" s="268">
        <f>'Dry_Litterbag Placem_Collection'!E133</f>
        <v>42939</v>
      </c>
      <c r="T352" s="268">
        <f>IF('Dry_Litterbag Placem_Collection'!G133="","",'Dry_Litterbag Placem_Collection'!G133)</f>
        <v>43008</v>
      </c>
      <c r="U352" s="269">
        <f t="shared" si="25"/>
        <v>69</v>
      </c>
      <c r="V352" s="267">
        <f t="shared" si="28"/>
        <v>-0.15410000000000013</v>
      </c>
      <c r="W352" s="267">
        <f t="shared" si="29"/>
        <v>1.3230571773919733</v>
      </c>
      <c r="X352" s="271">
        <f>IFERROR(INDEX(Rainfall_Dry!$O$2:$O$217,MATCH(B352, Rainfall_Dry!$A$2:$A$217,0)),"")</f>
        <v>136.27214243</v>
      </c>
      <c r="Y352" s="260">
        <v>31.214836424255054</v>
      </c>
      <c r="Z352" s="260">
        <v>11.377370285476141</v>
      </c>
      <c r="AA352" s="260">
        <v>57.407793290268799</v>
      </c>
      <c r="AB352" s="261" t="s">
        <v>2670</v>
      </c>
      <c r="AC352" s="260">
        <v>3.7337604731394798</v>
      </c>
      <c r="AD352">
        <f>IF('WetLitterbags placem_collection'!AB133="","",'WetLitterbags placem_collection'!AB133)</f>
        <v>4.5</v>
      </c>
      <c r="AE352">
        <f>IF('WetLitterbags placem_collection'!Z133="","",'WetLitterbags placem_collection'!Z133)</f>
        <v>7.5</v>
      </c>
      <c r="AF352" s="24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71">
        <f>IFERROR(AVERAGE('Dry_Litterbag Placem_Collection'!N133,'Dry_Litterbag Placem_Collection'!Q133),"")</f>
        <v>28.6</v>
      </c>
      <c r="AJ352" s="270">
        <f>INDEX(Coordinates!$B$2:$B$197,MATCH(G352,Coordinates!$J$2:$J$197,0))</f>
        <v>-2.3503259660000002</v>
      </c>
      <c r="AK352" s="270">
        <f>INDEX(Coordinates!$C$2:$C$197,MATCH(G352,Coordinates!$J$2:$J$197,0))</f>
        <v>34.049616999999998</v>
      </c>
      <c r="AL352" s="270" t="str">
        <f>IF(ISNUMBER(SEARCH("C", 'Dry_Litterbag Placem_Collection'!T133)),"YES","NO")</f>
        <v>YES</v>
      </c>
      <c r="AM352" s="270" t="str">
        <f>IF(ISNUMBER(SEARCH("H", 'Dry_Litterbag Placem_Collection'!T133)),"YES","NO")</f>
        <v>YES</v>
      </c>
      <c r="AN352" s="270" t="str">
        <f>IF(ISNUMBER(SEARCH("R", 'Dry_Litterbag Placem_Collection'!T133)),"YES","NO")</f>
        <v>NO</v>
      </c>
    </row>
    <row r="353" spans="1:40" ht="15" customHeight="1">
      <c r="A353" s="262" t="s">
        <v>2659</v>
      </c>
      <c r="B353" s="263">
        <f>'Dry_Litterbag Placem_Collection'!A134</f>
        <v>132</v>
      </c>
      <c r="C353" s="263" t="str">
        <f>'Dry_Litterbag Placem_Collection'!B134</f>
        <v xml:space="preserve">Mwantimba
</v>
      </c>
      <c r="D353" s="263" t="s">
        <v>2659</v>
      </c>
      <c r="E353" s="263" t="s">
        <v>20</v>
      </c>
      <c r="F353" s="263">
        <v>1</v>
      </c>
      <c r="G353" s="264" t="str">
        <f>'Dry_Litterbag Placem_Collection'!C134</f>
        <v>Wet_P1_T4</v>
      </c>
      <c r="H353" s="265" t="s">
        <v>2541</v>
      </c>
      <c r="I353" s="272" t="s">
        <v>298</v>
      </c>
      <c r="J353" s="263" t="str">
        <f>IF(ISBLANK('Dry_Litterbag Placem_Collection'!K134),"","R"&amp;""&amp;'Dry_Litterbag Placem_Collection'!K134)</f>
        <v/>
      </c>
      <c r="K353" s="267" t="str">
        <f>IFERROR(INDEX('Green_rooibos initial weight'!$C$5:$C$1749,MATCH(J353, 'Green_rooibos initial weight'!$A$5:$A$1749,0)),"")</f>
        <v/>
      </c>
      <c r="L353" s="267" t="str">
        <f>IFERROR(K353-(TBIcalc!$Q$9+TBIcalc!$Q$10),"")</f>
        <v/>
      </c>
      <c r="M353" s="391">
        <f>AVERAGE(Ashed_controlls!$K$12:$K$14)</f>
        <v>2.2816647271287041</v>
      </c>
      <c r="N353" s="267" t="str">
        <f t="shared" si="26"/>
        <v/>
      </c>
      <c r="O353" s="267" t="str">
        <f>IF(IFERROR(INDEX('Both teabags AfterDry'!$D$3:$D$900,MATCH(J353,'Both teabags AfterDry'!$A$3:$A$900,0)),"")="","",(IFERROR(INDEX('Both teabags AfterDry'!$D$3:$D$900,MATCH(J353,'Both teabags AfterDry'!$A$3:$A$900,0)),"")))</f>
        <v/>
      </c>
      <c r="P353" s="267" t="str">
        <f>IFERROR(IF(O353&gt;0,O353-(TBIcalc!$Q$9),""),"")</f>
        <v/>
      </c>
      <c r="Q353" s="278" t="str">
        <f>IFERROR(INDEX('Ashed teabags dry'!$K$2:$K$825,MATCH(J353,'Ashed teabags dry'!$A$2:$A$825,0)),"")</f>
        <v/>
      </c>
      <c r="R353" s="278" t="str">
        <f t="shared" si="27"/>
        <v/>
      </c>
      <c r="S353" s="268">
        <f>'Dry_Litterbag Placem_Collection'!E134</f>
        <v>0</v>
      </c>
      <c r="T353" s="268" t="str">
        <f>IF('Dry_Litterbag Placem_Collection'!G134="","",'Dry_Litterbag Placem_Collection'!G134)</f>
        <v/>
      </c>
      <c r="U353" s="269" t="str">
        <f t="shared" si="25"/>
        <v/>
      </c>
      <c r="V353" s="267" t="str">
        <f t="shared" si="28"/>
        <v/>
      </c>
      <c r="W353" s="267" t="str">
        <f t="shared" si="29"/>
        <v/>
      </c>
      <c r="X353" s="271" t="str">
        <f>IFERROR(INDEX(Rainfall_Dry!$O$2:$O$217,MATCH(B353, Rainfall_Dry!$A$2:$A$217,0)),"")</f>
        <v/>
      </c>
      <c r="Y353" s="260">
        <v>31.214836424255054</v>
      </c>
      <c r="Z353" s="260">
        <v>11.377370285476141</v>
      </c>
      <c r="AA353" s="260">
        <v>57.407793290268799</v>
      </c>
      <c r="AB353" s="261" t="s">
        <v>2670</v>
      </c>
      <c r="AC353" s="260">
        <v>4.7337604731394798</v>
      </c>
      <c r="AD353">
        <f>IF('WetLitterbags placem_collection'!AB134="","",'WetLitterbags placem_collection'!AB134)</f>
        <v>0.7</v>
      </c>
      <c r="AE353">
        <f>IF('WetLitterbags placem_collection'!Z134="","",'WetLitterbags placem_collection'!Z134)</f>
        <v>9.8000000000000007</v>
      </c>
      <c r="AF353" s="24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71" t="str">
        <f>IFERROR(AVERAGE('Dry_Litterbag Placem_Collection'!N134,'Dry_Litterbag Placem_Collection'!Q134),"")</f>
        <v/>
      </c>
      <c r="AJ353" s="270">
        <f>INDEX(Coordinates!$B$2:$B$197,MATCH(G353,Coordinates!$J$2:$J$197,0))</f>
        <v>-2.3504800260000001</v>
      </c>
      <c r="AK353" s="270">
        <f>INDEX(Coordinates!$C$2:$C$197,MATCH(G353,Coordinates!$J$2:$J$197,0))</f>
        <v>34.049551030000003</v>
      </c>
      <c r="AL353" s="270" t="str">
        <f>IF(ISNUMBER(SEARCH("C", 'Dry_Litterbag Placem_Collection'!T134)),"YES","NO")</f>
        <v>NO</v>
      </c>
      <c r="AM353" s="270" t="str">
        <f>IF(ISNUMBER(SEARCH("H", 'Dry_Litterbag Placem_Collection'!T134)),"YES","NO")</f>
        <v>NO</v>
      </c>
      <c r="AN353" s="270" t="str">
        <f>IF(ISNUMBER(SEARCH("R", 'Dry_Litterbag Placem_Collection'!T134)),"YES","NO")</f>
        <v>NO</v>
      </c>
    </row>
    <row r="354" spans="1:40" ht="15" customHeight="1">
      <c r="A354" s="262" t="s">
        <v>2659</v>
      </c>
      <c r="B354" s="263">
        <f>'Dry_Litterbag Placem_Collection'!A135</f>
        <v>133</v>
      </c>
      <c r="C354" s="263" t="str">
        <f>'Dry_Litterbag Placem_Collection'!B135</f>
        <v xml:space="preserve">Mwantimba
</v>
      </c>
      <c r="D354" s="263" t="s">
        <v>2659</v>
      </c>
      <c r="E354" s="263" t="s">
        <v>20</v>
      </c>
      <c r="F354" s="263">
        <v>1</v>
      </c>
      <c r="G354" s="264" t="str">
        <f>'Dry_Litterbag Placem_Collection'!C135</f>
        <v>Wet_P1_T5</v>
      </c>
      <c r="H354" s="265" t="s">
        <v>2541</v>
      </c>
      <c r="I354" s="272" t="s">
        <v>298</v>
      </c>
      <c r="J354" s="263" t="str">
        <f>IF(ISBLANK('Dry_Litterbag Placem_Collection'!K135),"","R"&amp;""&amp;'Dry_Litterbag Placem_Collection'!K135)</f>
        <v>R817</v>
      </c>
      <c r="K354" s="267">
        <f>IFERROR(INDEX('Green_rooibos initial weight'!$C$5:$C$1749,MATCH(J354, 'Green_rooibos initial weight'!$A$5:$A$1749,0)),"")</f>
        <v>2.1749999999999998</v>
      </c>
      <c r="L354" s="267">
        <f>IFERROR(K354-(TBIcalc!$Q$9+TBIcalc!$Q$10),"")</f>
        <v>1.9251999999999998</v>
      </c>
      <c r="M354" s="391">
        <f>AVERAGE(Ashed_controlls!$K$12:$K$14)</f>
        <v>2.2816647271287041</v>
      </c>
      <c r="N354" s="267">
        <f t="shared" si="26"/>
        <v>1.8812733906733179</v>
      </c>
      <c r="O354" s="267" t="str">
        <f>IF(IFERROR(INDEX('Both teabags AfterDry'!$D$3:$D$900,MATCH(J354,'Both teabags AfterDry'!$A$3:$A$900,0)),"")="","",(IFERROR(INDEX('Both teabags AfterDry'!$D$3:$D$900,MATCH(J354,'Both teabags AfterDry'!$A$3:$A$900,0)),"")))</f>
        <v/>
      </c>
      <c r="P354" s="267" t="str">
        <f>IFERROR(IF(O354&gt;0,O354-(TBIcalc!$Q$9),""),"")</f>
        <v/>
      </c>
      <c r="Q354" s="278" t="str">
        <f>IFERROR(INDEX('Ashed teabags dry'!$K$2:$K$825,MATCH(J354,'Ashed teabags dry'!$A$2:$A$825,0)),"")</f>
        <v/>
      </c>
      <c r="R354" s="278" t="str">
        <f t="shared" si="27"/>
        <v/>
      </c>
      <c r="S354" s="268">
        <f>'Dry_Litterbag Placem_Collection'!E135</f>
        <v>42939</v>
      </c>
      <c r="T354" s="268">
        <f>IF('Dry_Litterbag Placem_Collection'!G135="","",'Dry_Litterbag Placem_Collection'!G135)</f>
        <v>43008</v>
      </c>
      <c r="U354" s="269">
        <f t="shared" si="25"/>
        <v>69</v>
      </c>
      <c r="V354" s="267" t="str">
        <f t="shared" si="28"/>
        <v/>
      </c>
      <c r="W354" s="267" t="str">
        <f t="shared" si="29"/>
        <v/>
      </c>
      <c r="X354" s="271">
        <f>IFERROR(INDEX(Rainfall_Dry!$O$2:$O$217,MATCH(B354, Rainfall_Dry!$A$2:$A$217,0)),"")</f>
        <v>136.27214243</v>
      </c>
      <c r="Y354" s="260">
        <v>31.214836424255054</v>
      </c>
      <c r="Z354" s="260">
        <v>11.377370285476141</v>
      </c>
      <c r="AA354" s="260">
        <v>57.407793290268799</v>
      </c>
      <c r="AB354" s="261" t="s">
        <v>2670</v>
      </c>
      <c r="AC354" s="260">
        <v>5.7337604731394798</v>
      </c>
      <c r="AD354">
        <f>IF('WetLitterbags placem_collection'!AB135="","",'WetLitterbags placem_collection'!AB135)</f>
        <v>2.2000000000000002</v>
      </c>
      <c r="AE354">
        <f>IF('WetLitterbags placem_collection'!Z135="","",'WetLitterbags placem_collection'!Z135)</f>
        <v>10</v>
      </c>
      <c r="AF354" s="24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71">
        <f>IFERROR(AVERAGE('Dry_Litterbag Placem_Collection'!N135,'Dry_Litterbag Placem_Collection'!Q135),"")</f>
        <v>31.3</v>
      </c>
      <c r="AJ354" s="270">
        <f>INDEX(Coordinates!$B$2:$B$197,MATCH(G354,Coordinates!$J$2:$J$197,0))</f>
        <v>-2.350474996</v>
      </c>
      <c r="AK354" s="270">
        <f>INDEX(Coordinates!$C$2:$C$197,MATCH(G354,Coordinates!$J$2:$J$197,0))</f>
        <v>34.049801979999998</v>
      </c>
      <c r="AL354" s="270" t="str">
        <f>IF(ISNUMBER(SEARCH("C", 'Dry_Litterbag Placem_Collection'!T135)),"YES","NO")</f>
        <v>YES</v>
      </c>
      <c r="AM354" s="270" t="str">
        <f>IF(ISNUMBER(SEARCH("H", 'Dry_Litterbag Placem_Collection'!T135)),"YES","NO")</f>
        <v>NO</v>
      </c>
      <c r="AN354" s="270" t="str">
        <f>IF(ISNUMBER(SEARCH("R", 'Dry_Litterbag Placem_Collection'!T135)),"YES","NO")</f>
        <v>NO</v>
      </c>
    </row>
    <row r="355" spans="1:40" ht="15" customHeight="1">
      <c r="A355" s="262" t="s">
        <v>2659</v>
      </c>
      <c r="B355" s="263">
        <f>'Dry_Litterbag Placem_Collection'!A136</f>
        <v>134</v>
      </c>
      <c r="C355" s="263" t="str">
        <f>'Dry_Litterbag Placem_Collection'!B136</f>
        <v xml:space="preserve">Mwantimba
</v>
      </c>
      <c r="D355" s="263" t="s">
        <v>2659</v>
      </c>
      <c r="E355" s="263" t="s">
        <v>20</v>
      </c>
      <c r="F355" s="263">
        <v>1</v>
      </c>
      <c r="G355" s="264" t="str">
        <f>'Dry_Litterbag Placem_Collection'!C136</f>
        <v>Wet_P1_T6</v>
      </c>
      <c r="H355" s="265" t="s">
        <v>2541</v>
      </c>
      <c r="I355" s="272" t="s">
        <v>298</v>
      </c>
      <c r="J355" s="263" t="str">
        <f>IF(ISBLANK('Dry_Litterbag Placem_Collection'!K136),"","R"&amp;""&amp;'Dry_Litterbag Placem_Collection'!K136)</f>
        <v>R837</v>
      </c>
      <c r="K355" s="267">
        <f>IFERROR(INDEX('Green_rooibos initial weight'!$C$5:$C$1749,MATCH(J355, 'Green_rooibos initial weight'!$A$5:$A$1749,0)),"")</f>
        <v>2.1909999999999998</v>
      </c>
      <c r="L355" s="267">
        <f>IFERROR(K355-(TBIcalc!$Q$9+TBIcalc!$Q$10),"")</f>
        <v>1.9411999999999998</v>
      </c>
      <c r="M355" s="391">
        <f>AVERAGE(Ashed_controlls!$K$12:$K$14)</f>
        <v>2.2816647271287041</v>
      </c>
      <c r="N355" s="267">
        <f t="shared" si="26"/>
        <v>1.8969083243169773</v>
      </c>
      <c r="O355" s="267">
        <f>IF(IFERROR(INDEX('Both teabags AfterDry'!$D$3:$D$900,MATCH(J355,'Both teabags AfterDry'!$A$3:$A$900,0)),"")="","",(IFERROR(INDEX('Both teabags AfterDry'!$D$3:$D$900,MATCH(J355,'Both teabags AfterDry'!$A$3:$A$900,0)),"")))</f>
        <v>1.7436</v>
      </c>
      <c r="P355" s="267">
        <f>IFERROR(IF(O355&gt;0,O355-(TBIcalc!$Q$9),""),"")</f>
        <v>1.593</v>
      </c>
      <c r="Q355" s="278">
        <f>IFERROR(INDEX('Ashed teabags dry'!$K$2:$K$825,MATCH(J355,'Ashed teabags dry'!$A$2:$A$825,0)),"")</f>
        <v>3.5795197100129474</v>
      </c>
      <c r="R355" s="278">
        <f t="shared" si="27"/>
        <v>1.5359782510194937</v>
      </c>
      <c r="S355" s="268">
        <f>'Dry_Litterbag Placem_Collection'!E136</f>
        <v>42939</v>
      </c>
      <c r="T355" s="268">
        <f>IF('Dry_Litterbag Placem_Collection'!G136="","",'Dry_Litterbag Placem_Collection'!G136)</f>
        <v>43008</v>
      </c>
      <c r="U355" s="269">
        <f t="shared" si="25"/>
        <v>69</v>
      </c>
      <c r="V355" s="267">
        <f t="shared" si="28"/>
        <v>0.34819999999999984</v>
      </c>
      <c r="W355" s="267">
        <f t="shared" si="29"/>
        <v>0.36093007329748361</v>
      </c>
      <c r="X355" s="271">
        <f>IFERROR(INDEX(Rainfall_Dry!$O$2:$O$217,MATCH(B355, Rainfall_Dry!$A$2:$A$217,0)),"")</f>
        <v>136.27214243</v>
      </c>
      <c r="Y355" s="260">
        <v>31.214836424255054</v>
      </c>
      <c r="Z355" s="260">
        <v>11.377370285476141</v>
      </c>
      <c r="AA355" s="260">
        <v>57.407793290268799</v>
      </c>
      <c r="AB355" s="261" t="s">
        <v>2670</v>
      </c>
      <c r="AC355" s="260">
        <v>6.7337604731394798</v>
      </c>
      <c r="AD355">
        <f>IF('WetLitterbags placem_collection'!AB136="","",'WetLitterbags placem_collection'!AB136)</f>
        <v>1.1000000000000001</v>
      </c>
      <c r="AE355">
        <f>IF('WetLitterbags placem_collection'!Z136="","",'WetLitterbags placem_collection'!Z136)</f>
        <v>15.4</v>
      </c>
      <c r="AF355" s="24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71">
        <f>IFERROR(AVERAGE('Dry_Litterbag Placem_Collection'!N136,'Dry_Litterbag Placem_Collection'!Q136),"")</f>
        <v>29.200000000000003</v>
      </c>
      <c r="AJ355" s="270">
        <f>INDEX(Coordinates!$B$2:$B$197,MATCH(G355,Coordinates!$J$2:$J$197,0))</f>
        <v>-2.3503559730000001</v>
      </c>
      <c r="AK355" s="270">
        <f>INDEX(Coordinates!$C$2:$C$197,MATCH(G355,Coordinates!$J$2:$J$197,0))</f>
        <v>34.049800980000001</v>
      </c>
      <c r="AL355" s="270" t="str">
        <f>IF(ISNUMBER(SEARCH("C", 'Dry_Litterbag Placem_Collection'!T136)),"YES","NO")</f>
        <v>YES</v>
      </c>
      <c r="AM355" s="270" t="str">
        <f>IF(ISNUMBER(SEARCH("H", 'Dry_Litterbag Placem_Collection'!T136)),"YES","NO")</f>
        <v>NO</v>
      </c>
      <c r="AN355" s="270" t="str">
        <f>IF(ISNUMBER(SEARCH("R", 'Dry_Litterbag Placem_Collection'!T136)),"YES","NO")</f>
        <v>NO</v>
      </c>
    </row>
    <row r="356" spans="1:40" ht="15" customHeight="1">
      <c r="A356" s="262" t="s">
        <v>2659</v>
      </c>
      <c r="B356" s="263">
        <f>'Dry_Litterbag Placem_Collection'!A137</f>
        <v>135</v>
      </c>
      <c r="C356" s="263" t="str">
        <f>'Dry_Litterbag Placem_Collection'!B137</f>
        <v xml:space="preserve">Mwantimba
</v>
      </c>
      <c r="D356" s="263" t="s">
        <v>2659</v>
      </c>
      <c r="E356" s="263" t="s">
        <v>20</v>
      </c>
      <c r="F356" s="263">
        <v>1</v>
      </c>
      <c r="G356" s="264" t="str">
        <f>'Dry_Litterbag Placem_Collection'!C137</f>
        <v>Wet_P1_T7</v>
      </c>
      <c r="H356" s="265" t="s">
        <v>2541</v>
      </c>
      <c r="I356" s="272" t="s">
        <v>298</v>
      </c>
      <c r="J356" s="263" t="str">
        <f>IF(ISBLANK('Dry_Litterbag Placem_Collection'!K137),"","R"&amp;""&amp;'Dry_Litterbag Placem_Collection'!K137)</f>
        <v>R756</v>
      </c>
      <c r="K356" s="267">
        <f>IFERROR(INDEX('Green_rooibos initial weight'!$C$5:$C$1749,MATCH(J356, 'Green_rooibos initial weight'!$A$5:$A$1749,0)),"")</f>
        <v>2.2690000000000001</v>
      </c>
      <c r="L356" s="267">
        <f>IFERROR(K356-(TBIcalc!$Q$9+TBIcalc!$Q$10),"")</f>
        <v>2.0192000000000001</v>
      </c>
      <c r="M356" s="391">
        <f>AVERAGE(Ashed_controlls!$K$12:$K$14)</f>
        <v>2.2816647271287041</v>
      </c>
      <c r="N356" s="267">
        <f t="shared" si="26"/>
        <v>1.9731286258298173</v>
      </c>
      <c r="O356" s="267">
        <f>IF(IFERROR(INDEX('Both teabags AfterDry'!$D$3:$D$900,MATCH(J356,'Both teabags AfterDry'!$A$3:$A$900,0)),"")="","",(IFERROR(INDEX('Both teabags AfterDry'!$D$3:$D$900,MATCH(J356,'Both teabags AfterDry'!$A$3:$A$900,0)),"")))</f>
        <v>2.0406</v>
      </c>
      <c r="P356" s="267">
        <f>IFERROR(IF(O356&gt;0,O356-(TBIcalc!$Q$9),""),"")</f>
        <v>1.89</v>
      </c>
      <c r="Q356" s="278">
        <f>IFERROR(INDEX('Ashed teabags dry'!$K$2:$K$825,MATCH(J356,'Ashed teabags dry'!$A$2:$A$825,0)),"")</f>
        <v>89.95546759030151</v>
      </c>
      <c r="R356" s="278">
        <f t="shared" si="27"/>
        <v>0.18984166254330148</v>
      </c>
      <c r="S356" s="268">
        <f>'Dry_Litterbag Placem_Collection'!E137</f>
        <v>42939</v>
      </c>
      <c r="T356" s="268">
        <f>IF('Dry_Litterbag Placem_Collection'!G137="","",'Dry_Litterbag Placem_Collection'!G137)</f>
        <v>43008</v>
      </c>
      <c r="U356" s="269">
        <f t="shared" si="25"/>
        <v>69</v>
      </c>
      <c r="V356" s="267">
        <f t="shared" si="28"/>
        <v>0.1292000000000002</v>
      </c>
      <c r="W356" s="267">
        <f t="shared" si="29"/>
        <v>1.7832869632865158</v>
      </c>
      <c r="X356" s="271">
        <f>IFERROR(INDEX(Rainfall_Dry!$O$2:$O$217,MATCH(B356, Rainfall_Dry!$A$2:$A$217,0)),"")</f>
        <v>136.27214243</v>
      </c>
      <c r="Y356" s="260">
        <v>31.214836424255054</v>
      </c>
      <c r="Z356" s="260">
        <v>11.377370285476141</v>
      </c>
      <c r="AA356" s="260">
        <v>57.407793290268799</v>
      </c>
      <c r="AB356" s="261" t="s">
        <v>2670</v>
      </c>
      <c r="AC356" s="260">
        <v>7.7337604731394798</v>
      </c>
      <c r="AD356">
        <f>IF('WetLitterbags placem_collection'!AB137="","",'WetLitterbags placem_collection'!AB137)</f>
        <v>2.1</v>
      </c>
      <c r="AE356">
        <f>IF('WetLitterbags placem_collection'!Z137="","",'WetLitterbags placem_collection'!Z137)</f>
        <v>5.6</v>
      </c>
      <c r="AF356" s="24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71">
        <f>IFERROR(AVERAGE('Dry_Litterbag Placem_Collection'!N137,'Dry_Litterbag Placem_Collection'!Q137),"")</f>
        <v>31.35</v>
      </c>
      <c r="AJ356" s="270">
        <f>INDEX(Coordinates!$B$2:$B$197,MATCH(G356,Coordinates!$J$2:$J$197,0))</f>
        <v>-2.3503589909999998</v>
      </c>
      <c r="AK356" s="270">
        <f>INDEX(Coordinates!$C$2:$C$197,MATCH(G356,Coordinates!$J$2:$J$197,0))</f>
        <v>34.049719000000003</v>
      </c>
      <c r="AL356" s="270" t="str">
        <f>IF(ISNUMBER(SEARCH("C", 'Dry_Litterbag Placem_Collection'!T137)),"YES","NO")</f>
        <v>YES</v>
      </c>
      <c r="AM356" s="270" t="str">
        <f>IF(ISNUMBER(SEARCH("H", 'Dry_Litterbag Placem_Collection'!T137)),"YES","NO")</f>
        <v>YES</v>
      </c>
      <c r="AN356" s="270" t="str">
        <f>IF(ISNUMBER(SEARCH("R", 'Dry_Litterbag Placem_Collection'!T137)),"YES","NO")</f>
        <v>NO</v>
      </c>
    </row>
    <row r="357" spans="1:40" ht="15" customHeight="1">
      <c r="A357" s="262" t="s">
        <v>2659</v>
      </c>
      <c r="B357" s="263">
        <f>'Dry_Litterbag Placem_Collection'!A138</f>
        <v>136</v>
      </c>
      <c r="C357" s="263" t="str">
        <f>'Dry_Litterbag Placem_Collection'!B138</f>
        <v xml:space="preserve">Mwantimba
</v>
      </c>
      <c r="D357" s="263" t="s">
        <v>2659</v>
      </c>
      <c r="E357" s="263" t="s">
        <v>20</v>
      </c>
      <c r="F357" s="263">
        <v>1</v>
      </c>
      <c r="G357" s="264" t="str">
        <f>'Dry_Litterbag Placem_Collection'!C138</f>
        <v>Wet_P1_T8</v>
      </c>
      <c r="H357" s="265" t="s">
        <v>2541</v>
      </c>
      <c r="I357" s="272" t="s">
        <v>298</v>
      </c>
      <c r="J357" s="263" t="str">
        <f>IF(ISBLANK('Dry_Litterbag Placem_Collection'!K138),"","R"&amp;""&amp;'Dry_Litterbag Placem_Collection'!K138)</f>
        <v>R184</v>
      </c>
      <c r="K357" s="267">
        <f>IFERROR(INDEX('Green_rooibos initial weight'!$C$5:$C$1749,MATCH(J357, 'Green_rooibos initial weight'!$A$5:$A$1749,0)),"")</f>
        <v>2.202</v>
      </c>
      <c r="L357" s="267">
        <f>IFERROR(K357-(TBIcalc!$Q$9+TBIcalc!$Q$10),"")</f>
        <v>1.9521999999999999</v>
      </c>
      <c r="M357" s="391">
        <f>AVERAGE(Ashed_controlls!$K$12:$K$14)</f>
        <v>2.2816647271287041</v>
      </c>
      <c r="N357" s="267">
        <f t="shared" si="26"/>
        <v>1.9076573411969935</v>
      </c>
      <c r="O357" s="267">
        <f>IF(IFERROR(INDEX('Both teabags AfterDry'!$D$3:$D$900,MATCH(J357,'Both teabags AfterDry'!$A$3:$A$900,0)),"")="","",(IFERROR(INDEX('Both teabags AfterDry'!$D$3:$D$900,MATCH(J357,'Both teabags AfterDry'!$A$3:$A$900,0)),"")))</f>
        <v>1.7850999999999999</v>
      </c>
      <c r="P357" s="267">
        <f>IFERROR(IF(O357&gt;0,O357-(TBIcalc!$Q$9),""),"")</f>
        <v>1.6344999999999998</v>
      </c>
      <c r="Q357" s="278">
        <f>IFERROR(INDEX('Ashed teabags dry'!$K$2:$K$825,MATCH(J357,'Ashed teabags dry'!$A$2:$A$825,0)),"")</f>
        <v>4.4315992292882065</v>
      </c>
      <c r="R357" s="278">
        <f t="shared" si="27"/>
        <v>1.562065510597284</v>
      </c>
      <c r="S357" s="268">
        <f>'Dry_Litterbag Placem_Collection'!E138</f>
        <v>42939</v>
      </c>
      <c r="T357" s="268">
        <f>IF('Dry_Litterbag Placem_Collection'!G138="","",'Dry_Litterbag Placem_Collection'!G138)</f>
        <v>43008</v>
      </c>
      <c r="U357" s="269">
        <f t="shared" si="25"/>
        <v>69</v>
      </c>
      <c r="V357" s="267">
        <f t="shared" si="28"/>
        <v>0.31770000000000009</v>
      </c>
      <c r="W357" s="267">
        <f t="shared" si="29"/>
        <v>0.34559183059970944</v>
      </c>
      <c r="X357" s="271">
        <f>IFERROR(INDEX(Rainfall_Dry!$O$2:$O$217,MATCH(B357, Rainfall_Dry!$A$2:$A$217,0)),"")</f>
        <v>136.27214243</v>
      </c>
      <c r="Y357" s="260">
        <v>31.214836424255054</v>
      </c>
      <c r="Z357" s="260">
        <v>11.377370285476141</v>
      </c>
      <c r="AA357" s="260">
        <v>57.407793290268799</v>
      </c>
      <c r="AB357" s="261" t="s">
        <v>2670</v>
      </c>
      <c r="AC357" s="260">
        <v>8.7337604731394798</v>
      </c>
      <c r="AD357">
        <f>IF('WetLitterbags placem_collection'!AB138="","",'WetLitterbags placem_collection'!AB138)</f>
        <v>2.2999999999999998</v>
      </c>
      <c r="AE357">
        <f>IF('WetLitterbags placem_collection'!Z138="","",'WetLitterbags placem_collection'!Z138)</f>
        <v>16.3</v>
      </c>
      <c r="AF357" s="24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71">
        <f>IFERROR(AVERAGE('Dry_Litterbag Placem_Collection'!N138,'Dry_Litterbag Placem_Collection'!Q138),"")</f>
        <v>29.9</v>
      </c>
      <c r="AJ357" s="270">
        <f>INDEX(Coordinates!$B$2:$B$197,MATCH(G357,Coordinates!$J$2:$J$197,0))</f>
        <v>-2.3502159960000002</v>
      </c>
      <c r="AK357" s="270">
        <f>INDEX(Coordinates!$C$2:$C$197,MATCH(G357,Coordinates!$J$2:$J$197,0))</f>
        <v>34.049822020000001</v>
      </c>
      <c r="AL357" s="270" t="str">
        <f>IF(ISNUMBER(SEARCH("C", 'Dry_Litterbag Placem_Collection'!T138)),"YES","NO")</f>
        <v>NO</v>
      </c>
      <c r="AM357" s="270" t="str">
        <f>IF(ISNUMBER(SEARCH("H", 'Dry_Litterbag Placem_Collection'!T138)),"YES","NO")</f>
        <v>NO</v>
      </c>
      <c r="AN357" s="270" t="str">
        <f>IF(ISNUMBER(SEARCH("R", 'Dry_Litterbag Placem_Collection'!T138)),"YES","NO")</f>
        <v>NO</v>
      </c>
    </row>
    <row r="358" spans="1:40" ht="15" customHeight="1">
      <c r="A358" s="262" t="s">
        <v>2659</v>
      </c>
      <c r="B358" s="263">
        <f>'Dry_Litterbag Placem_Collection'!A139</f>
        <v>137</v>
      </c>
      <c r="C358" s="263" t="str">
        <f>'Dry_Litterbag Placem_Collection'!B139</f>
        <v xml:space="preserve">Mwantimba
</v>
      </c>
      <c r="D358" s="263" t="s">
        <v>2659</v>
      </c>
      <c r="E358" s="263" t="s">
        <v>20</v>
      </c>
      <c r="F358" s="263">
        <v>2</v>
      </c>
      <c r="G358" s="264" t="str">
        <f>'Dry_Litterbag Placem_Collection'!C139</f>
        <v>Wet_P2_T1</v>
      </c>
      <c r="H358" s="265" t="s">
        <v>2541</v>
      </c>
      <c r="I358" s="272" t="s">
        <v>298</v>
      </c>
      <c r="J358" s="263" t="str">
        <f>IF(ISBLANK('Dry_Litterbag Placem_Collection'!K139),"","R"&amp;""&amp;'Dry_Litterbag Placem_Collection'!K139)</f>
        <v>R746</v>
      </c>
      <c r="K358" s="267">
        <f>IFERROR(INDEX('Green_rooibos initial weight'!$C$5:$C$1749,MATCH(J358, 'Green_rooibos initial weight'!$A$5:$A$1749,0)),"")</f>
        <v>2.2290000000000001</v>
      </c>
      <c r="L358" s="267">
        <f>IFERROR(K358-(TBIcalc!$Q$9+TBIcalc!$Q$10),"")</f>
        <v>1.9792000000000001</v>
      </c>
      <c r="M358" s="391">
        <f>AVERAGE(Ashed_controlls!$K$12:$K$14)</f>
        <v>2.2816647271287041</v>
      </c>
      <c r="N358" s="267">
        <f t="shared" si="26"/>
        <v>1.9340412917206689</v>
      </c>
      <c r="O358" s="267">
        <f>IF(IFERROR(INDEX('Both teabags AfterDry'!$D$3:$D$900,MATCH(J358,'Both teabags AfterDry'!$A$3:$A$900,0)),"")="","",(IFERROR(INDEX('Both teabags AfterDry'!$D$3:$D$900,MATCH(J358,'Both teabags AfterDry'!$A$3:$A$900,0)),"")))</f>
        <v>5.0305999999999997</v>
      </c>
      <c r="P358" s="267">
        <f>IFERROR(IF(O358&gt;0,O358-(TBIcalc!$Q$9),""),"")</f>
        <v>4.88</v>
      </c>
      <c r="Q358" s="278">
        <f>IFERROR(INDEX('Ashed teabags dry'!$K$2:$K$825,MATCH(J358,'Ashed teabags dry'!$A$2:$A$825,0)),"")</f>
        <v>91.181818181818144</v>
      </c>
      <c r="R358" s="278">
        <f t="shared" si="27"/>
        <v>0.43032727272727467</v>
      </c>
      <c r="S358" s="268">
        <f>'Dry_Litterbag Placem_Collection'!E139</f>
        <v>42939</v>
      </c>
      <c r="T358" s="268">
        <f>IF('Dry_Litterbag Placem_Collection'!G139="","",'Dry_Litterbag Placem_Collection'!G139)</f>
        <v>43008</v>
      </c>
      <c r="U358" s="269">
        <f t="shared" si="25"/>
        <v>69</v>
      </c>
      <c r="V358" s="267">
        <f t="shared" si="28"/>
        <v>-2.9007999999999998</v>
      </c>
      <c r="W358" s="267">
        <f t="shared" si="29"/>
        <v>1.5037140189933942</v>
      </c>
      <c r="X358" s="271">
        <f>IFERROR(INDEX(Rainfall_Dry!$O$2:$O$217,MATCH(B358, Rainfall_Dry!$A$2:$A$217,0)),"")</f>
        <v>136.27214243</v>
      </c>
      <c r="Y358" s="260">
        <v>33.96</v>
      </c>
      <c r="Z358" s="260">
        <v>8.9200000000000017</v>
      </c>
      <c r="AA358" s="260">
        <v>57.12</v>
      </c>
      <c r="AB358" s="261" t="s">
        <v>2670</v>
      </c>
      <c r="AC358" s="260">
        <v>2.072055199605717</v>
      </c>
      <c r="AD358">
        <f>IF('WetLitterbags placem_collection'!AB139="","",'WetLitterbags placem_collection'!AB139)</f>
        <v>1.2</v>
      </c>
      <c r="AE358">
        <f>IF('WetLitterbags placem_collection'!Z139="","",'WetLitterbags placem_collection'!Z139)</f>
        <v>32.4</v>
      </c>
      <c r="AF358" s="24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71">
        <f>IFERROR(AVERAGE('Dry_Litterbag Placem_Collection'!N139,'Dry_Litterbag Placem_Collection'!Q139),"")</f>
        <v>27.55</v>
      </c>
      <c r="AJ358" s="270">
        <f>INDEX(Coordinates!$B$2:$B$197,MATCH(G358,Coordinates!$J$2:$J$197,0))</f>
        <v>-2.348596025</v>
      </c>
      <c r="AK358" s="270">
        <f>INDEX(Coordinates!$C$2:$C$197,MATCH(G358,Coordinates!$J$2:$J$197,0))</f>
        <v>34.050070959999999</v>
      </c>
      <c r="AL358" s="270" t="str">
        <f>IF(ISNUMBER(SEARCH("C", 'Dry_Litterbag Placem_Collection'!T139)),"YES","NO")</f>
        <v>YES</v>
      </c>
      <c r="AM358" s="270" t="str">
        <f>IF(ISNUMBER(SEARCH("H", 'Dry_Litterbag Placem_Collection'!T139)),"YES","NO")</f>
        <v>YES</v>
      </c>
      <c r="AN358" s="270" t="str">
        <f>IF(ISNUMBER(SEARCH("R", 'Dry_Litterbag Placem_Collection'!T139)),"YES","NO")</f>
        <v>NO</v>
      </c>
    </row>
    <row r="359" spans="1:40" ht="15" customHeight="1">
      <c r="A359" s="262" t="s">
        <v>2659</v>
      </c>
      <c r="B359" s="263">
        <f>'Dry_Litterbag Placem_Collection'!A140</f>
        <v>138</v>
      </c>
      <c r="C359" s="263" t="str">
        <f>'Dry_Litterbag Placem_Collection'!B140</f>
        <v xml:space="preserve">Mwantimba
</v>
      </c>
      <c r="D359" s="263" t="s">
        <v>2659</v>
      </c>
      <c r="E359" s="263" t="s">
        <v>20</v>
      </c>
      <c r="F359" s="263">
        <v>2</v>
      </c>
      <c r="G359" s="264" t="str">
        <f>'Dry_Litterbag Placem_Collection'!C140</f>
        <v>Wet_P2_T2</v>
      </c>
      <c r="H359" s="265" t="s">
        <v>2541</v>
      </c>
      <c r="I359" s="272" t="s">
        <v>298</v>
      </c>
      <c r="J359" s="263" t="str">
        <f>IF(ISBLANK('Dry_Litterbag Placem_Collection'!K140),"","R"&amp;""&amp;'Dry_Litterbag Placem_Collection'!K140)</f>
        <v>R821</v>
      </c>
      <c r="K359" s="267">
        <f>IFERROR(INDEX('Green_rooibos initial weight'!$C$5:$C$1749,MATCH(J359, 'Green_rooibos initial weight'!$A$5:$A$1749,0)),"")</f>
        <v>2.1680000000000001</v>
      </c>
      <c r="L359" s="267">
        <f>IFERROR(K359-(TBIcalc!$Q$9+TBIcalc!$Q$10),"")</f>
        <v>1.9182000000000001</v>
      </c>
      <c r="M359" s="391">
        <f>AVERAGE(Ashed_controlls!$K$12:$K$14)</f>
        <v>2.2816647271287041</v>
      </c>
      <c r="N359" s="267">
        <f t="shared" si="26"/>
        <v>1.8744331072042173</v>
      </c>
      <c r="O359" s="267">
        <f>IF(IFERROR(INDEX('Both teabags AfterDry'!$D$3:$D$900,MATCH(J359,'Both teabags AfterDry'!$A$3:$A$900,0)),"")="","",(IFERROR(INDEX('Both teabags AfterDry'!$D$3:$D$900,MATCH(J359,'Both teabags AfterDry'!$A$3:$A$900,0)),"")))</f>
        <v>0.2059</v>
      </c>
      <c r="P359" s="267">
        <f>IFERROR(IF(O359&gt;0,O359-(TBIcalc!$Q$9),""),"")</f>
        <v>5.5299999999999988E-2</v>
      </c>
      <c r="Q359" s="278">
        <f>IFERROR(INDEX('Ashed teabags dry'!$K$2:$K$825,MATCH(J359,'Ashed teabags dry'!$A$2:$A$825,0)),"")</f>
        <v>0</v>
      </c>
      <c r="R359" s="278">
        <f t="shared" si="27"/>
        <v>5.5299999999999988E-2</v>
      </c>
      <c r="S359" s="268">
        <f>'Dry_Litterbag Placem_Collection'!E140</f>
        <v>42939</v>
      </c>
      <c r="T359" s="268">
        <f>IF('Dry_Litterbag Placem_Collection'!G140="","",'Dry_Litterbag Placem_Collection'!G140)</f>
        <v>43008</v>
      </c>
      <c r="U359" s="269">
        <f t="shared" si="25"/>
        <v>69</v>
      </c>
      <c r="V359" s="267">
        <f t="shared" si="28"/>
        <v>1.8629000000000002</v>
      </c>
      <c r="W359" s="267">
        <f t="shared" si="29"/>
        <v>1.8191331072042174</v>
      </c>
      <c r="X359" s="271">
        <f>IFERROR(INDEX(Rainfall_Dry!$O$2:$O$217,MATCH(B359, Rainfall_Dry!$A$2:$A$217,0)),"")</f>
        <v>136.27214243</v>
      </c>
      <c r="Y359" s="260">
        <v>33.96</v>
      </c>
      <c r="Z359" s="260">
        <v>8.9200000000000017</v>
      </c>
      <c r="AA359" s="260">
        <v>57.12</v>
      </c>
      <c r="AB359" s="261" t="s">
        <v>2670</v>
      </c>
      <c r="AC359" s="260">
        <v>3.0720551996057202</v>
      </c>
      <c r="AD359">
        <f>IF('WetLitterbags placem_collection'!AB140="","",'WetLitterbags placem_collection'!AB140)</f>
        <v>2.8</v>
      </c>
      <c r="AE359">
        <f>IF('WetLitterbags placem_collection'!Z140="","",'WetLitterbags placem_collection'!Z140)</f>
        <v>26.4</v>
      </c>
      <c r="AF359" s="24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71">
        <f>IFERROR(AVERAGE('Dry_Litterbag Placem_Collection'!N140,'Dry_Litterbag Placem_Collection'!Q140),"")</f>
        <v>28.799999999999997</v>
      </c>
      <c r="AJ359" s="270">
        <f>INDEX(Coordinates!$B$2:$B$197,MATCH(G359,Coordinates!$J$2:$J$197,0))</f>
        <v>-2.3485449790000001</v>
      </c>
      <c r="AK359" s="270">
        <f>INDEX(Coordinates!$C$2:$C$197,MATCH(G359,Coordinates!$J$2:$J$197,0))</f>
        <v>34.050146980000001</v>
      </c>
      <c r="AL359" s="270" t="str">
        <f>IF(ISNUMBER(SEARCH("C", 'Dry_Litterbag Placem_Collection'!T140)),"YES","NO")</f>
        <v>YES</v>
      </c>
      <c r="AM359" s="270" t="str">
        <f>IF(ISNUMBER(SEARCH("H", 'Dry_Litterbag Placem_Collection'!T140)),"YES","NO")</f>
        <v>YES</v>
      </c>
      <c r="AN359" s="270" t="str">
        <f>IF(ISNUMBER(SEARCH("R", 'Dry_Litterbag Placem_Collection'!T140)),"YES","NO")</f>
        <v>NO</v>
      </c>
    </row>
    <row r="360" spans="1:40" ht="15" customHeight="1">
      <c r="A360" s="262" t="s">
        <v>2659</v>
      </c>
      <c r="B360" s="263">
        <f>'Dry_Litterbag Placem_Collection'!A141</f>
        <v>139</v>
      </c>
      <c r="C360" s="263" t="str">
        <f>'Dry_Litterbag Placem_Collection'!B141</f>
        <v xml:space="preserve">Mwantimba
</v>
      </c>
      <c r="D360" s="263" t="s">
        <v>2659</v>
      </c>
      <c r="E360" s="263" t="s">
        <v>20</v>
      </c>
      <c r="F360" s="263">
        <v>2</v>
      </c>
      <c r="G360" s="264" t="str">
        <f>'Dry_Litterbag Placem_Collection'!C141</f>
        <v>Wet_P2_T3</v>
      </c>
      <c r="H360" s="265" t="s">
        <v>2541</v>
      </c>
      <c r="I360" s="272" t="s">
        <v>298</v>
      </c>
      <c r="J360" s="263" t="str">
        <f>IF(ISBLANK('Dry_Litterbag Placem_Collection'!K141),"","R"&amp;""&amp;'Dry_Litterbag Placem_Collection'!K141)</f>
        <v>R813</v>
      </c>
      <c r="K360" s="267">
        <f>IFERROR(INDEX('Green_rooibos initial weight'!$C$5:$C$1749,MATCH(J360, 'Green_rooibos initial weight'!$A$5:$A$1749,0)),"")</f>
        <v>2.2309999999999999</v>
      </c>
      <c r="L360" s="267">
        <f>IFERROR(K360-(TBIcalc!$Q$9+TBIcalc!$Q$10),"")</f>
        <v>1.9811999999999999</v>
      </c>
      <c r="M360" s="391">
        <f>AVERAGE(Ashed_controlls!$K$12:$K$14)</f>
        <v>2.2816647271287041</v>
      </c>
      <c r="N360" s="267">
        <f t="shared" si="26"/>
        <v>1.935995658426126</v>
      </c>
      <c r="O360" s="267">
        <f>IF(IFERROR(INDEX('Both teabags AfterDry'!$D$3:$D$900,MATCH(J360,'Both teabags AfterDry'!$A$3:$A$900,0)),"")="","",(IFERROR(INDEX('Both teabags AfterDry'!$D$3:$D$900,MATCH(J360,'Both teabags AfterDry'!$A$3:$A$900,0)),"")))</f>
        <v>2.1772999999999998</v>
      </c>
      <c r="P360" s="267">
        <f>IFERROR(IF(O360&gt;0,O360-(TBIcalc!$Q$9),""),"")</f>
        <v>2.0266999999999999</v>
      </c>
      <c r="Q360" s="278">
        <f>IFERROR(INDEX('Ashed teabags dry'!$K$2:$K$825,MATCH(J360,'Ashed teabags dry'!$A$2:$A$825,0)),"")</f>
        <v>88.823816495851673</v>
      </c>
      <c r="R360" s="278">
        <f t="shared" si="27"/>
        <v>0.22650771107857426</v>
      </c>
      <c r="S360" s="268">
        <f>'Dry_Litterbag Placem_Collection'!E141</f>
        <v>42939</v>
      </c>
      <c r="T360" s="268">
        <f>IF('Dry_Litterbag Placem_Collection'!G141="","",'Dry_Litterbag Placem_Collection'!G141)</f>
        <v>43008</v>
      </c>
      <c r="U360" s="269">
        <f t="shared" si="25"/>
        <v>69</v>
      </c>
      <c r="V360" s="267">
        <f t="shared" si="28"/>
        <v>-4.5500000000000096E-2</v>
      </c>
      <c r="W360" s="267">
        <f t="shared" si="29"/>
        <v>1.7094879473475517</v>
      </c>
      <c r="X360" s="271">
        <f>IFERROR(INDEX(Rainfall_Dry!$O$2:$O$217,MATCH(B360, Rainfall_Dry!$A$2:$A$217,0)),"")</f>
        <v>136.27214243</v>
      </c>
      <c r="Y360" s="260">
        <v>33.96</v>
      </c>
      <c r="Z360" s="260">
        <v>8.9200000000000017</v>
      </c>
      <c r="AA360" s="260">
        <v>57.12</v>
      </c>
      <c r="AB360" s="261" t="s">
        <v>2670</v>
      </c>
      <c r="AC360" s="260">
        <v>4.0720551996057202</v>
      </c>
      <c r="AD360">
        <f>IF('WetLitterbags placem_collection'!AB141="","",'WetLitterbags placem_collection'!AB141)</f>
        <v>5.7</v>
      </c>
      <c r="AE360">
        <f>IF('WetLitterbags placem_collection'!Z141="","",'WetLitterbags placem_collection'!Z141)</f>
        <v>19.399999999999999</v>
      </c>
      <c r="AF360" s="24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71">
        <f>IFERROR(AVERAGE('Dry_Litterbag Placem_Collection'!N141,'Dry_Litterbag Placem_Collection'!Q141),"")</f>
        <v>28.15</v>
      </c>
      <c r="AJ360" s="270">
        <f>INDEX(Coordinates!$B$2:$B$197,MATCH(G360,Coordinates!$J$2:$J$197,0))</f>
        <v>-2.3487209990000002</v>
      </c>
      <c r="AK360" s="270">
        <f>INDEX(Coordinates!$C$2:$C$197,MATCH(G360,Coordinates!$J$2:$J$197,0))</f>
        <v>34.050128039999997</v>
      </c>
      <c r="AL360" s="270" t="str">
        <f>IF(ISNUMBER(SEARCH("C", 'Dry_Litterbag Placem_Collection'!T141)),"YES","NO")</f>
        <v>YES</v>
      </c>
      <c r="AM360" s="270" t="str">
        <f>IF(ISNUMBER(SEARCH("H", 'Dry_Litterbag Placem_Collection'!T141)),"YES","NO")</f>
        <v>YES</v>
      </c>
      <c r="AN360" s="270" t="str">
        <f>IF(ISNUMBER(SEARCH("R", 'Dry_Litterbag Placem_Collection'!T141)),"YES","NO")</f>
        <v>NO</v>
      </c>
    </row>
    <row r="361" spans="1:40" ht="15" customHeight="1">
      <c r="A361" s="262" t="s">
        <v>2659</v>
      </c>
      <c r="B361" s="263">
        <f>'Dry_Litterbag Placem_Collection'!A142</f>
        <v>140</v>
      </c>
      <c r="C361" s="263" t="str">
        <f>'Dry_Litterbag Placem_Collection'!B142</f>
        <v xml:space="preserve">Mwantimba
</v>
      </c>
      <c r="D361" s="263" t="s">
        <v>2659</v>
      </c>
      <c r="E361" s="263" t="s">
        <v>20</v>
      </c>
      <c r="F361" s="263">
        <v>2</v>
      </c>
      <c r="G361" s="264" t="str">
        <f>'Dry_Litterbag Placem_Collection'!C142</f>
        <v>Wet_P2_T4</v>
      </c>
      <c r="H361" s="265" t="s">
        <v>2541</v>
      </c>
      <c r="I361" s="272" t="s">
        <v>298</v>
      </c>
      <c r="J361" s="263" t="str">
        <f>IF(ISBLANK('Dry_Litterbag Placem_Collection'!K142),"","R"&amp;""&amp;'Dry_Litterbag Placem_Collection'!K142)</f>
        <v>R729</v>
      </c>
      <c r="K361" s="267">
        <f>IFERROR(INDEX('Green_rooibos initial weight'!$C$5:$C$1749,MATCH(J361, 'Green_rooibos initial weight'!$A$5:$A$1749,0)),"")</f>
        <v>2.1970000000000001</v>
      </c>
      <c r="L361" s="267">
        <f>IFERROR(K361-(TBIcalc!$Q$9+TBIcalc!$Q$10),"")</f>
        <v>1.9472</v>
      </c>
      <c r="M361" s="391">
        <f>AVERAGE(Ashed_controlls!$K$12:$K$14)</f>
        <v>2.2816647271287041</v>
      </c>
      <c r="N361" s="267">
        <f t="shared" si="26"/>
        <v>1.90277142443335</v>
      </c>
      <c r="O361" s="267">
        <f>IF(IFERROR(INDEX('Both teabags AfterDry'!$D$3:$D$900,MATCH(J361,'Both teabags AfterDry'!$A$3:$A$900,0)),"")="","",(IFERROR(INDEX('Both teabags AfterDry'!$D$3:$D$900,MATCH(J361,'Both teabags AfterDry'!$A$3:$A$900,0)),"")))</f>
        <v>1.7859</v>
      </c>
      <c r="P361" s="267">
        <f>IFERROR(IF(O361&gt;0,O361-(TBIcalc!$Q$9),""),"")</f>
        <v>1.6353</v>
      </c>
      <c r="Q361" s="278">
        <f>IFERROR(INDEX('Ashed teabags dry'!$K$2:$K$825,MATCH(J361,'Ashed teabags dry'!$A$2:$A$825,0)),"")</f>
        <v>7.374631268436298</v>
      </c>
      <c r="R361" s="278">
        <f t="shared" si="27"/>
        <v>1.5147026548672613</v>
      </c>
      <c r="S361" s="268">
        <f>'Dry_Litterbag Placem_Collection'!E142</f>
        <v>42939</v>
      </c>
      <c r="T361" s="268">
        <f>IF('Dry_Litterbag Placem_Collection'!G142="","",'Dry_Litterbag Placem_Collection'!G142)</f>
        <v>43008</v>
      </c>
      <c r="U361" s="269">
        <f t="shared" si="25"/>
        <v>69</v>
      </c>
      <c r="V361" s="267">
        <f t="shared" si="28"/>
        <v>0.31190000000000007</v>
      </c>
      <c r="W361" s="267">
        <f t="shared" si="29"/>
        <v>0.38806876956608871</v>
      </c>
      <c r="X361" s="271">
        <f>IFERROR(INDEX(Rainfall_Dry!$O$2:$O$217,MATCH(B361, Rainfall_Dry!$A$2:$A$217,0)),"")</f>
        <v>136.27214243</v>
      </c>
      <c r="Y361" s="260">
        <v>33.96</v>
      </c>
      <c r="Z361" s="260">
        <v>8.9200000000000017</v>
      </c>
      <c r="AA361" s="260">
        <v>57.12</v>
      </c>
      <c r="AB361" s="261" t="s">
        <v>2670</v>
      </c>
      <c r="AC361" s="260">
        <v>5.0720551996057202</v>
      </c>
      <c r="AD361">
        <f>IF('WetLitterbags placem_collection'!AB142="","",'WetLitterbags placem_collection'!AB142)</f>
        <v>1.4</v>
      </c>
      <c r="AE361">
        <f>IF('WetLitterbags placem_collection'!Z142="","",'WetLitterbags placem_collection'!Z142)</f>
        <v>33.4</v>
      </c>
      <c r="AF361" s="24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71">
        <f>IFERROR(AVERAGE('Dry_Litterbag Placem_Collection'!N142,'Dry_Litterbag Placem_Collection'!Q142),"")</f>
        <v>28</v>
      </c>
      <c r="AJ361" s="270">
        <f>INDEX(Coordinates!$B$2:$B$197,MATCH(G361,Coordinates!$J$2:$J$197,0))</f>
        <v>-2.3486250270000002</v>
      </c>
      <c r="AK361" s="270">
        <f>INDEX(Coordinates!$C$2:$C$197,MATCH(G361,Coordinates!$J$2:$J$197,0))</f>
        <v>34.050070959999999</v>
      </c>
      <c r="AL361" s="270" t="str">
        <f>IF(ISNUMBER(SEARCH("C", 'Dry_Litterbag Placem_Collection'!T142)),"YES","NO")</f>
        <v>YES</v>
      </c>
      <c r="AM361" s="270" t="str">
        <f>IF(ISNUMBER(SEARCH("H", 'Dry_Litterbag Placem_Collection'!T142)),"YES","NO")</f>
        <v>YES</v>
      </c>
      <c r="AN361" s="270" t="str">
        <f>IF(ISNUMBER(SEARCH("R", 'Dry_Litterbag Placem_Collection'!T142)),"YES","NO")</f>
        <v>NO</v>
      </c>
    </row>
    <row r="362" spans="1:40" ht="15" customHeight="1">
      <c r="A362" s="262" t="s">
        <v>2659</v>
      </c>
      <c r="B362" s="263">
        <f>'Dry_Litterbag Placem_Collection'!A143</f>
        <v>141</v>
      </c>
      <c r="C362" s="263" t="str">
        <f>'Dry_Litterbag Placem_Collection'!B143</f>
        <v xml:space="preserve">Mwantimba
</v>
      </c>
      <c r="D362" s="263" t="s">
        <v>2659</v>
      </c>
      <c r="E362" s="263" t="s">
        <v>20</v>
      </c>
      <c r="F362" s="263">
        <v>2</v>
      </c>
      <c r="G362" s="264" t="str">
        <f>'Dry_Litterbag Placem_Collection'!C143</f>
        <v>Wet_P2_T5</v>
      </c>
      <c r="H362" s="265" t="s">
        <v>2541</v>
      </c>
      <c r="I362" s="272" t="s">
        <v>298</v>
      </c>
      <c r="J362" s="263" t="str">
        <f>IF(ISBLANK('Dry_Litterbag Placem_Collection'!K143),"","R"&amp;""&amp;'Dry_Litterbag Placem_Collection'!K143)</f>
        <v/>
      </c>
      <c r="K362" s="267" t="str">
        <f>IFERROR(INDEX('Green_rooibos initial weight'!$C$5:$C$1749,MATCH(J362, 'Green_rooibos initial weight'!$A$5:$A$1749,0)),"")</f>
        <v/>
      </c>
      <c r="L362" s="267" t="str">
        <f>IFERROR(K362-(TBIcalc!$Q$9+TBIcalc!$Q$10),"")</f>
        <v/>
      </c>
      <c r="M362" s="391">
        <f>AVERAGE(Ashed_controlls!$K$12:$K$14)</f>
        <v>2.2816647271287041</v>
      </c>
      <c r="N362" s="267" t="str">
        <f t="shared" si="26"/>
        <v/>
      </c>
      <c r="O362" s="267" t="str">
        <f>IF(IFERROR(INDEX('Both teabags AfterDry'!$D$3:$D$900,MATCH(J362,'Both teabags AfterDry'!$A$3:$A$900,0)),"")="","",(IFERROR(INDEX('Both teabags AfterDry'!$D$3:$D$900,MATCH(J362,'Both teabags AfterDry'!$A$3:$A$900,0)),"")))</f>
        <v/>
      </c>
      <c r="P362" s="267" t="str">
        <f>IFERROR(IF(O362&gt;0,O362-(TBIcalc!$Q$9),""),"")</f>
        <v/>
      </c>
      <c r="Q362" s="278" t="str">
        <f>IFERROR(INDEX('Ashed teabags dry'!$K$2:$K$825,MATCH(J362,'Ashed teabags dry'!$A$2:$A$825,0)),"")</f>
        <v/>
      </c>
      <c r="R362" s="278" t="str">
        <f t="shared" si="27"/>
        <v/>
      </c>
      <c r="S362" s="268">
        <f>'Dry_Litterbag Placem_Collection'!E143</f>
        <v>0</v>
      </c>
      <c r="T362" s="268" t="str">
        <f>IF('Dry_Litterbag Placem_Collection'!G143="","",'Dry_Litterbag Placem_Collection'!G143)</f>
        <v/>
      </c>
      <c r="U362" s="269" t="str">
        <f t="shared" si="25"/>
        <v/>
      </c>
      <c r="V362" s="267" t="str">
        <f t="shared" si="28"/>
        <v/>
      </c>
      <c r="W362" s="267" t="str">
        <f t="shared" si="29"/>
        <v/>
      </c>
      <c r="X362" s="271" t="str">
        <f>IFERROR(INDEX(Rainfall_Dry!$O$2:$O$217,MATCH(B362, Rainfall_Dry!$A$2:$A$217,0)),"")</f>
        <v/>
      </c>
      <c r="Y362" s="260">
        <v>33.96</v>
      </c>
      <c r="Z362" s="260">
        <v>8.9200000000000017</v>
      </c>
      <c r="AA362" s="260">
        <v>57.12</v>
      </c>
      <c r="AB362" s="261" t="s">
        <v>2670</v>
      </c>
      <c r="AC362" s="260">
        <v>6.0720551996057202</v>
      </c>
      <c r="AD362">
        <f>IF('WetLitterbags placem_collection'!AB143="","",'WetLitterbags placem_collection'!AB143)</f>
        <v>1.4</v>
      </c>
      <c r="AE362">
        <f>IF('WetLitterbags placem_collection'!Z143="","",'WetLitterbags placem_collection'!Z143)</f>
        <v>28.4</v>
      </c>
      <c r="AF362" s="24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71" t="str">
        <f>IFERROR(AVERAGE('Dry_Litterbag Placem_Collection'!N143,'Dry_Litterbag Placem_Collection'!Q143),"")</f>
        <v/>
      </c>
      <c r="AJ362" s="270">
        <f>INDEX(Coordinates!$B$2:$B$197,MATCH(G362,Coordinates!$J$2:$J$197,0))</f>
        <v>-2.3486060000000002</v>
      </c>
      <c r="AK362" s="270">
        <f>INDEX(Coordinates!$C$2:$C$197,MATCH(G362,Coordinates!$J$2:$J$197,0))</f>
        <v>34.050010020000002</v>
      </c>
      <c r="AL362" s="270" t="str">
        <f>IF(ISNUMBER(SEARCH("C", 'Dry_Litterbag Placem_Collection'!T143)),"YES","NO")</f>
        <v>NO</v>
      </c>
      <c r="AM362" s="270" t="str">
        <f>IF(ISNUMBER(SEARCH("H", 'Dry_Litterbag Placem_Collection'!T143)),"YES","NO")</f>
        <v>NO</v>
      </c>
      <c r="AN362" s="270" t="str">
        <f>IF(ISNUMBER(SEARCH("R", 'Dry_Litterbag Placem_Collection'!T143)),"YES","NO")</f>
        <v>NO</v>
      </c>
    </row>
    <row r="363" spans="1:40" ht="15" customHeight="1">
      <c r="A363" s="262" t="s">
        <v>2659</v>
      </c>
      <c r="B363" s="263">
        <f>'Dry_Litterbag Placem_Collection'!A144</f>
        <v>142</v>
      </c>
      <c r="C363" s="263" t="str">
        <f>'Dry_Litterbag Placem_Collection'!B144</f>
        <v xml:space="preserve">Mwantimba
</v>
      </c>
      <c r="D363" s="263" t="s">
        <v>2659</v>
      </c>
      <c r="E363" s="263" t="s">
        <v>20</v>
      </c>
      <c r="F363" s="263">
        <v>2</v>
      </c>
      <c r="G363" s="264" t="str">
        <f>'Dry_Litterbag Placem_Collection'!C144</f>
        <v>Wet_P2_T6</v>
      </c>
      <c r="H363" s="265" t="s">
        <v>2541</v>
      </c>
      <c r="I363" s="272" t="s">
        <v>298</v>
      </c>
      <c r="J363" s="263" t="str">
        <f>IF(ISBLANK('Dry_Litterbag Placem_Collection'!K144),"","R"&amp;""&amp;'Dry_Litterbag Placem_Collection'!K144)</f>
        <v>R834</v>
      </c>
      <c r="K363" s="267">
        <f>IFERROR(INDEX('Green_rooibos initial weight'!$C$5:$C$1749,MATCH(J363, 'Green_rooibos initial weight'!$A$5:$A$1749,0)),"")</f>
        <v>2.1840000000000002</v>
      </c>
      <c r="L363" s="267">
        <f>IFERROR(K363-(TBIcalc!$Q$9+TBIcalc!$Q$10),"")</f>
        <v>1.9342000000000001</v>
      </c>
      <c r="M363" s="391">
        <f>AVERAGE(Ashed_controlls!$K$12:$K$14)</f>
        <v>2.2816647271287041</v>
      </c>
      <c r="N363" s="267">
        <f t="shared" si="26"/>
        <v>1.8900680408478767</v>
      </c>
      <c r="O363" s="267" t="str">
        <f>IF(IFERROR(INDEX('Both teabags AfterDry'!$D$3:$D$900,MATCH(J363,'Both teabags AfterDry'!$A$3:$A$900,0)),"")="","",(IFERROR(INDEX('Both teabags AfterDry'!$D$3:$D$900,MATCH(J363,'Both teabags AfterDry'!$A$3:$A$900,0)),"")))</f>
        <v/>
      </c>
      <c r="P363" s="267" t="str">
        <f>IFERROR(IF(O363&gt;0,O363-(TBIcalc!$Q$9),""),"")</f>
        <v/>
      </c>
      <c r="Q363" s="278" t="str">
        <f>IFERROR(INDEX('Ashed teabags dry'!$K$2:$K$825,MATCH(J363,'Ashed teabags dry'!$A$2:$A$825,0)),"")</f>
        <v/>
      </c>
      <c r="R363" s="278" t="str">
        <f t="shared" si="27"/>
        <v/>
      </c>
      <c r="S363" s="268">
        <f>'Dry_Litterbag Placem_Collection'!E144</f>
        <v>42939</v>
      </c>
      <c r="T363" s="268">
        <f>IF('Dry_Litterbag Placem_Collection'!G144="","",'Dry_Litterbag Placem_Collection'!G144)</f>
        <v>43008</v>
      </c>
      <c r="U363" s="269">
        <f t="shared" si="25"/>
        <v>69</v>
      </c>
      <c r="V363" s="267" t="str">
        <f t="shared" si="28"/>
        <v/>
      </c>
      <c r="W363" s="267" t="str">
        <f t="shared" si="29"/>
        <v/>
      </c>
      <c r="X363" s="271">
        <f>IFERROR(INDEX(Rainfall_Dry!$O$2:$O$217,MATCH(B363, Rainfall_Dry!$A$2:$A$217,0)),"")</f>
        <v>136.27214243</v>
      </c>
      <c r="Y363" s="260">
        <v>33.96</v>
      </c>
      <c r="Z363" s="260">
        <v>8.9200000000000017</v>
      </c>
      <c r="AA363" s="260">
        <v>57.12</v>
      </c>
      <c r="AB363" s="261" t="s">
        <v>2670</v>
      </c>
      <c r="AC363" s="260">
        <v>7.0720551996057202</v>
      </c>
      <c r="AD363">
        <f>IF('WetLitterbags placem_collection'!AB144="","",'WetLitterbags placem_collection'!AB144)</f>
        <v>1.7</v>
      </c>
      <c r="AE363">
        <f>IF('WetLitterbags placem_collection'!Z144="","",'WetLitterbags placem_collection'!Z144)</f>
        <v>33.799999999999997</v>
      </c>
      <c r="AF363" s="24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71">
        <f>IFERROR(AVERAGE('Dry_Litterbag Placem_Collection'!N144,'Dry_Litterbag Placem_Collection'!Q144),"")</f>
        <v>28.4</v>
      </c>
      <c r="AJ363" s="270">
        <f>INDEX(Coordinates!$B$2:$B$197,MATCH(G363,Coordinates!$J$2:$J$197,0))</f>
        <v>-2.348618992</v>
      </c>
      <c r="AK363" s="270">
        <f>INDEX(Coordinates!$C$2:$C$197,MATCH(G363,Coordinates!$J$2:$J$197,0))</f>
        <v>34.049996030000003</v>
      </c>
      <c r="AL363" s="270" t="str">
        <f>IF(ISNUMBER(SEARCH("C", 'Dry_Litterbag Placem_Collection'!T144)),"YES","NO")</f>
        <v>NO</v>
      </c>
      <c r="AM363" s="270" t="str">
        <f>IF(ISNUMBER(SEARCH("H", 'Dry_Litterbag Placem_Collection'!T144)),"YES","NO")</f>
        <v>NO</v>
      </c>
      <c r="AN363" s="270" t="str">
        <f>IF(ISNUMBER(SEARCH("R", 'Dry_Litterbag Placem_Collection'!T144)),"YES","NO")</f>
        <v>NO</v>
      </c>
    </row>
    <row r="364" spans="1:40" ht="15" customHeight="1">
      <c r="A364" s="262" t="s">
        <v>2659</v>
      </c>
      <c r="B364" s="263">
        <f>'Dry_Litterbag Placem_Collection'!A145</f>
        <v>143</v>
      </c>
      <c r="C364" s="263" t="str">
        <f>'Dry_Litterbag Placem_Collection'!B145</f>
        <v xml:space="preserve">Mwantimba
</v>
      </c>
      <c r="D364" s="263" t="s">
        <v>2659</v>
      </c>
      <c r="E364" s="263" t="s">
        <v>20</v>
      </c>
      <c r="F364" s="263">
        <v>2</v>
      </c>
      <c r="G364" s="264" t="str">
        <f>'Dry_Litterbag Placem_Collection'!C145</f>
        <v>Wet_P2_T7</v>
      </c>
      <c r="H364" s="265" t="s">
        <v>2541</v>
      </c>
      <c r="I364" s="272" t="s">
        <v>298</v>
      </c>
      <c r="J364" s="263" t="str">
        <f>IF(ISBLANK('Dry_Litterbag Placem_Collection'!K145),"","R"&amp;""&amp;'Dry_Litterbag Placem_Collection'!K145)</f>
        <v>R774</v>
      </c>
      <c r="K364" s="267">
        <f>IFERROR(INDEX('Green_rooibos initial weight'!$C$5:$C$1749,MATCH(J364, 'Green_rooibos initial weight'!$A$5:$A$1749,0)),"")</f>
        <v>2.1629999999999998</v>
      </c>
      <c r="L364" s="267">
        <f>IFERROR(K364-(TBIcalc!$Q$9+TBIcalc!$Q$10),"")</f>
        <v>1.9131999999999998</v>
      </c>
      <c r="M364" s="391">
        <f>AVERAGE(Ashed_controlls!$K$12:$K$14)</f>
        <v>2.2816647271287041</v>
      </c>
      <c r="N364" s="267">
        <f t="shared" si="26"/>
        <v>1.8695471904405734</v>
      </c>
      <c r="O364" s="267">
        <f>IF(IFERROR(INDEX('Both teabags AfterDry'!$D$3:$D$900,MATCH(J364,'Both teabags AfterDry'!$A$3:$A$900,0)),"")="","",(IFERROR(INDEX('Both teabags AfterDry'!$D$3:$D$900,MATCH(J364,'Both teabags AfterDry'!$A$3:$A$900,0)),"")))</f>
        <v>1.5979000000000001</v>
      </c>
      <c r="P364" s="267">
        <f>IFERROR(IF(O364&gt;0,O364-(TBIcalc!$Q$9),""),"")</f>
        <v>1.4473</v>
      </c>
      <c r="Q364" s="278">
        <f>IFERROR(INDEX('Ashed teabags dry'!$K$2:$K$825,MATCH(J364,'Ashed teabags dry'!$A$2:$A$825,0)),"")</f>
        <v>5.2657480314956748</v>
      </c>
      <c r="R364" s="278">
        <f t="shared" si="27"/>
        <v>1.371088828740163</v>
      </c>
      <c r="S364" s="268">
        <f>'Dry_Litterbag Placem_Collection'!E145</f>
        <v>42939</v>
      </c>
      <c r="T364" s="268">
        <f>IF('Dry_Litterbag Placem_Collection'!G145="","",'Dry_Litterbag Placem_Collection'!G145)</f>
        <v>43008</v>
      </c>
      <c r="U364" s="269">
        <f t="shared" si="25"/>
        <v>69</v>
      </c>
      <c r="V364" s="267">
        <f t="shared" si="28"/>
        <v>0.46589999999999976</v>
      </c>
      <c r="W364" s="267">
        <f t="shared" si="29"/>
        <v>0.49845836170041036</v>
      </c>
      <c r="X364" s="271">
        <f>IFERROR(INDEX(Rainfall_Dry!$O$2:$O$217,MATCH(B364, Rainfall_Dry!$A$2:$A$217,0)),"")</f>
        <v>136.27214243</v>
      </c>
      <c r="Y364" s="260">
        <v>33.96</v>
      </c>
      <c r="Z364" s="260">
        <v>8.9200000000000017</v>
      </c>
      <c r="AA364" s="260">
        <v>57.12</v>
      </c>
      <c r="AB364" s="261" t="s">
        <v>2670</v>
      </c>
      <c r="AC364" s="260">
        <v>8.0720551996057193</v>
      </c>
      <c r="AD364">
        <f>IF('WetLitterbags placem_collection'!AB145="","",'WetLitterbags placem_collection'!AB145)</f>
        <v>2</v>
      </c>
      <c r="AE364">
        <f>IF('WetLitterbags placem_collection'!Z145="","",'WetLitterbags placem_collection'!Z145)</f>
        <v>23.4</v>
      </c>
      <c r="AF364" s="24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71">
        <f>IFERROR(AVERAGE('Dry_Litterbag Placem_Collection'!N145,'Dry_Litterbag Placem_Collection'!Q145),"")</f>
        <v>28</v>
      </c>
      <c r="AJ364" s="270">
        <f>INDEX(Coordinates!$B$2:$B$197,MATCH(G364,Coordinates!$J$2:$J$197,0))</f>
        <v>-2.3484970349999998</v>
      </c>
      <c r="AK364" s="270">
        <f>INDEX(Coordinates!$C$2:$C$197,MATCH(G364,Coordinates!$J$2:$J$197,0))</f>
        <v>34.049979010000001</v>
      </c>
      <c r="AL364" s="270" t="str">
        <f>IF(ISNUMBER(SEARCH("C", 'Dry_Litterbag Placem_Collection'!T145)),"YES","NO")</f>
        <v>NO</v>
      </c>
      <c r="AM364" s="270" t="str">
        <f>IF(ISNUMBER(SEARCH("H", 'Dry_Litterbag Placem_Collection'!T145)),"YES","NO")</f>
        <v>NO</v>
      </c>
      <c r="AN364" s="270" t="str">
        <f>IF(ISNUMBER(SEARCH("R", 'Dry_Litterbag Placem_Collection'!T145)),"YES","NO")</f>
        <v>NO</v>
      </c>
    </row>
    <row r="365" spans="1:40" ht="15" customHeight="1">
      <c r="A365" s="262" t="s">
        <v>2659</v>
      </c>
      <c r="B365" s="263">
        <f>'Dry_Litterbag Placem_Collection'!A146</f>
        <v>144</v>
      </c>
      <c r="C365" s="263" t="str">
        <f>'Dry_Litterbag Placem_Collection'!B146</f>
        <v xml:space="preserve">Mwantimba
</v>
      </c>
      <c r="D365" s="263" t="s">
        <v>2659</v>
      </c>
      <c r="E365" s="263" t="s">
        <v>20</v>
      </c>
      <c r="F365" s="263">
        <v>2</v>
      </c>
      <c r="G365" s="264" t="str">
        <f>'Dry_Litterbag Placem_Collection'!C146</f>
        <v>Wet_P2_T8</v>
      </c>
      <c r="H365" s="265" t="s">
        <v>2541</v>
      </c>
      <c r="I365" s="272" t="s">
        <v>298</v>
      </c>
      <c r="J365" s="263" t="str">
        <f>IF(ISBLANK('Dry_Litterbag Placem_Collection'!K146),"","R"&amp;""&amp;'Dry_Litterbag Placem_Collection'!K146)</f>
        <v>R779</v>
      </c>
      <c r="K365" s="267">
        <f>IFERROR(INDEX('Green_rooibos initial weight'!$C$5:$C$1749,MATCH(J365, 'Green_rooibos initial weight'!$A$5:$A$1749,0)),"")</f>
        <v>2.16</v>
      </c>
      <c r="L365" s="267">
        <f>IFERROR(K365-(TBIcalc!$Q$9+TBIcalc!$Q$10),"")</f>
        <v>1.9102000000000001</v>
      </c>
      <c r="M365" s="391">
        <f>AVERAGE(Ashed_controlls!$K$12:$K$14)</f>
        <v>2.2816647271287041</v>
      </c>
      <c r="N365" s="267">
        <f t="shared" si="26"/>
        <v>1.8666156403823877</v>
      </c>
      <c r="O365" s="267">
        <f>IF(IFERROR(INDEX('Both teabags AfterDry'!$D$3:$D$900,MATCH(J365,'Both teabags AfterDry'!$A$3:$A$900,0)),"")="","",(IFERROR(INDEX('Both teabags AfterDry'!$D$3:$D$900,MATCH(J365,'Both teabags AfterDry'!$A$3:$A$900,0)),"")))</f>
        <v>0.17680000000000001</v>
      </c>
      <c r="P365" s="267">
        <f>IFERROR(IF(O365&gt;0,O365-(TBIcalc!$Q$9),""),"")</f>
        <v>2.6200000000000001E-2</v>
      </c>
      <c r="Q365" s="278">
        <f>IFERROR(INDEX('Ashed teabags dry'!$K$2:$K$825,MATCH(J365,'Ashed teabags dry'!$A$2:$A$825,0)),"")</f>
        <v>0</v>
      </c>
      <c r="R365" s="278">
        <f t="shared" si="27"/>
        <v>2.6200000000000001E-2</v>
      </c>
      <c r="S365" s="268">
        <f>'Dry_Litterbag Placem_Collection'!E146</f>
        <v>42939</v>
      </c>
      <c r="T365" s="268">
        <f>IF('Dry_Litterbag Placem_Collection'!G146="","",'Dry_Litterbag Placem_Collection'!G146)</f>
        <v>43008</v>
      </c>
      <c r="U365" s="269">
        <f t="shared" si="25"/>
        <v>69</v>
      </c>
      <c r="V365" s="267">
        <f t="shared" si="28"/>
        <v>1.8840000000000001</v>
      </c>
      <c r="W365" s="267">
        <f t="shared" si="29"/>
        <v>1.8404156403823877</v>
      </c>
      <c r="X365" s="271">
        <f>IFERROR(INDEX(Rainfall_Dry!$O$2:$O$217,MATCH(B365, Rainfall_Dry!$A$2:$A$217,0)),"")</f>
        <v>136.27214243</v>
      </c>
      <c r="Y365" s="260">
        <v>33.96</v>
      </c>
      <c r="Z365" s="260">
        <v>8.9200000000000017</v>
      </c>
      <c r="AA365" s="260">
        <v>57.12</v>
      </c>
      <c r="AB365" s="261" t="s">
        <v>2670</v>
      </c>
      <c r="AC365" s="260">
        <v>9.0720551996057193</v>
      </c>
      <c r="AD365">
        <f>IF('WetLitterbags placem_collection'!AB146="","",'WetLitterbags placem_collection'!AB146)</f>
        <v>2.5</v>
      </c>
      <c r="AE365">
        <f>IF('WetLitterbags placem_collection'!Z146="","",'WetLitterbags placem_collection'!Z146)</f>
        <v>19.8</v>
      </c>
      <c r="AF365" s="24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71">
        <f>IFERROR(AVERAGE('Dry_Litterbag Placem_Collection'!N146,'Dry_Litterbag Placem_Collection'!Q146),"")</f>
        <v>29.15</v>
      </c>
      <c r="AJ365" s="270">
        <f>INDEX(Coordinates!$B$2:$B$197,MATCH(G365,Coordinates!$J$2:$J$197,0))</f>
        <v>-2.3486560399999998</v>
      </c>
      <c r="AK365" s="270">
        <f>INDEX(Coordinates!$C$2:$C$197,MATCH(G365,Coordinates!$J$2:$J$197,0))</f>
        <v>34.049895020000001</v>
      </c>
      <c r="AL365" s="270" t="str">
        <f>IF(ISNUMBER(SEARCH("C", 'Dry_Litterbag Placem_Collection'!T146)),"YES","NO")</f>
        <v>YES</v>
      </c>
      <c r="AM365" s="270" t="str">
        <f>IF(ISNUMBER(SEARCH("H", 'Dry_Litterbag Placem_Collection'!T146)),"YES","NO")</f>
        <v>YES</v>
      </c>
      <c r="AN365" s="270" t="str">
        <f>IF(ISNUMBER(SEARCH("R", 'Dry_Litterbag Placem_Collection'!T146)),"YES","NO")</f>
        <v>NO</v>
      </c>
    </row>
    <row r="366" spans="1:40" ht="15" customHeight="1">
      <c r="A366" s="262" t="s">
        <v>2659</v>
      </c>
      <c r="B366" s="263">
        <f>'Dry_Litterbag Placem_Collection'!A147</f>
        <v>145</v>
      </c>
      <c r="C366" s="263" t="str">
        <f>'Dry_Litterbag Placem_Collection'!B147</f>
        <v xml:space="preserve">Mwantimba
</v>
      </c>
      <c r="D366" s="263" t="s">
        <v>2659</v>
      </c>
      <c r="E366" s="263" t="s">
        <v>20</v>
      </c>
      <c r="F366" s="263">
        <v>3</v>
      </c>
      <c r="G366" s="264" t="str">
        <f>'Dry_Litterbag Placem_Collection'!C147</f>
        <v>Wet_P3_T1</v>
      </c>
      <c r="H366" s="265" t="s">
        <v>2541</v>
      </c>
      <c r="I366" s="272" t="s">
        <v>298</v>
      </c>
      <c r="J366" s="263" t="str">
        <f>IF(ISBLANK('Dry_Litterbag Placem_Collection'!K147),"","R"&amp;""&amp;'Dry_Litterbag Placem_Collection'!K147)</f>
        <v>R728</v>
      </c>
      <c r="K366" s="267">
        <f>IFERROR(INDEX('Green_rooibos initial weight'!$C$5:$C$1749,MATCH(J366, 'Green_rooibos initial weight'!$A$5:$A$1749,0)),"")</f>
        <v>2.2429999999999999</v>
      </c>
      <c r="L366" s="267">
        <f>IFERROR(K366-(TBIcalc!$Q$9+TBIcalc!$Q$10),"")</f>
        <v>1.9931999999999999</v>
      </c>
      <c r="M366" s="391">
        <f>AVERAGE(Ashed_controlls!$K$12:$K$14)</f>
        <v>2.2816647271287041</v>
      </c>
      <c r="N366" s="267">
        <f t="shared" si="26"/>
        <v>1.9477218586588705</v>
      </c>
      <c r="O366" s="267">
        <f>IF(IFERROR(INDEX('Both teabags AfterDry'!$D$3:$D$900,MATCH(J366,'Both teabags AfterDry'!$A$3:$A$900,0)),"")="","",(IFERROR(INDEX('Both teabags AfterDry'!$D$3:$D$900,MATCH(J366,'Both teabags AfterDry'!$A$3:$A$900,0)),"")))</f>
        <v>1.9579</v>
      </c>
      <c r="P366" s="267">
        <f>IFERROR(IF(O366&gt;0,O366-(TBIcalc!$Q$9),""),"")</f>
        <v>1.8072999999999999</v>
      </c>
      <c r="Q366" s="278">
        <f>IFERROR(INDEX('Ashed teabags dry'!$K$2:$K$825,MATCH(J366,'Ashed teabags dry'!$A$2:$A$825,0)),"")</f>
        <v>3.1746031746032655</v>
      </c>
      <c r="R366" s="278">
        <f t="shared" si="27"/>
        <v>1.7499253968253952</v>
      </c>
      <c r="S366" s="268">
        <f>'Dry_Litterbag Placem_Collection'!E147</f>
        <v>42939</v>
      </c>
      <c r="T366" s="268">
        <f>IF('Dry_Litterbag Placem_Collection'!G147="","",'Dry_Litterbag Placem_Collection'!G147)</f>
        <v>43010</v>
      </c>
      <c r="U366" s="269">
        <f t="shared" si="25"/>
        <v>71</v>
      </c>
      <c r="V366" s="267">
        <f t="shared" si="28"/>
        <v>0.18589999999999995</v>
      </c>
      <c r="W366" s="267">
        <f t="shared" si="29"/>
        <v>0.19779646183347532</v>
      </c>
      <c r="X366" s="271">
        <f>IFERROR(INDEX(Rainfall_Dry!$O$2:$O$217,MATCH(B366, Rainfall_Dry!$A$2:$A$217,0)),"")</f>
        <v>137.19979645800001</v>
      </c>
      <c r="Y366" s="260">
        <v>39.96</v>
      </c>
      <c r="Z366" s="260">
        <v>12.920000000000002</v>
      </c>
      <c r="AA366" s="260">
        <v>47.12</v>
      </c>
      <c r="AB366" s="261" t="s">
        <v>2674</v>
      </c>
      <c r="AC366" s="260">
        <v>1.6549531789058647</v>
      </c>
      <c r="AD366">
        <f>IF('WetLitterbags placem_collection'!AB147="","",'WetLitterbags placem_collection'!AB147)</f>
        <v>3.95</v>
      </c>
      <c r="AE366">
        <f>IF('WetLitterbags placem_collection'!Z147="","",'WetLitterbags placem_collection'!Z147)</f>
        <v>13</v>
      </c>
      <c r="AF366" s="24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71">
        <f>IFERROR(AVERAGE('Dry_Litterbag Placem_Collection'!N147,'Dry_Litterbag Placem_Collection'!Q147),"")</f>
        <v>30</v>
      </c>
      <c r="AJ366" s="270">
        <f>INDEX(Coordinates!$B$2:$B$197,MATCH(G366,Coordinates!$J$2:$J$197,0))</f>
        <v>-2.3675269729999999</v>
      </c>
      <c r="AK366" s="270">
        <f>INDEX(Coordinates!$C$2:$C$197,MATCH(G366,Coordinates!$J$2:$J$197,0))</f>
        <v>34.06035799</v>
      </c>
      <c r="AL366" s="270" t="str">
        <f>IF(ISNUMBER(SEARCH("C", 'Dry_Litterbag Placem_Collection'!T147)),"YES","NO")</f>
        <v>NO</v>
      </c>
      <c r="AM366" s="270" t="str">
        <f>IF(ISNUMBER(SEARCH("H", 'Dry_Litterbag Placem_Collection'!T147)),"YES","NO")</f>
        <v>NO</v>
      </c>
      <c r="AN366" s="270" t="str">
        <f>IF(ISNUMBER(SEARCH("R", 'Dry_Litterbag Placem_Collection'!T147)),"YES","NO")</f>
        <v>NO</v>
      </c>
    </row>
    <row r="367" spans="1:40" ht="15" customHeight="1">
      <c r="A367" s="262" t="s">
        <v>2659</v>
      </c>
      <c r="B367" s="263">
        <f>'Dry_Litterbag Placem_Collection'!A148</f>
        <v>146</v>
      </c>
      <c r="C367" s="263" t="str">
        <f>'Dry_Litterbag Placem_Collection'!B148</f>
        <v xml:space="preserve">Mwantimba
</v>
      </c>
      <c r="D367" s="263" t="s">
        <v>2659</v>
      </c>
      <c r="E367" s="263" t="s">
        <v>20</v>
      </c>
      <c r="F367" s="263">
        <v>3</v>
      </c>
      <c r="G367" s="264" t="str">
        <f>'Dry_Litterbag Placem_Collection'!C148</f>
        <v>Wet_P3_T2</v>
      </c>
      <c r="H367" s="265" t="s">
        <v>2541</v>
      </c>
      <c r="I367" s="272" t="s">
        <v>298</v>
      </c>
      <c r="J367" s="263" t="str">
        <f>IF(ISBLANK('Dry_Litterbag Placem_Collection'!K148),"","R"&amp;""&amp;'Dry_Litterbag Placem_Collection'!K148)</f>
        <v>R13</v>
      </c>
      <c r="K367" s="267">
        <f>IFERROR(INDEX('Green_rooibos initial weight'!$C$5:$C$1749,MATCH(J367, 'Green_rooibos initial weight'!$A$5:$A$1749,0)),"")</f>
        <v>2.2490000000000001</v>
      </c>
      <c r="L367" s="267">
        <f>IFERROR(K367-(TBIcalc!$Q$9+TBIcalc!$Q$10),"")</f>
        <v>1.9992000000000001</v>
      </c>
      <c r="M367" s="391">
        <f>AVERAGE(Ashed_controlls!$K$12:$K$14)</f>
        <v>2.2816647271287041</v>
      </c>
      <c r="N367" s="267">
        <f t="shared" si="26"/>
        <v>1.953584958775243</v>
      </c>
      <c r="O367" s="267">
        <f>IF(IFERROR(INDEX('Both teabags AfterDry'!$D$3:$D$900,MATCH(J367,'Both teabags AfterDry'!$A$3:$A$900,0)),"")="","",(IFERROR(INDEX('Both teabags AfterDry'!$D$3:$D$900,MATCH(J367,'Both teabags AfterDry'!$A$3:$A$900,0)),"")))</f>
        <v>0.68400000000000005</v>
      </c>
      <c r="P367" s="267">
        <f>IFERROR(IF(O367&gt;0,O367-(TBIcalc!$Q$9),""),"")</f>
        <v>0.5334000000000001</v>
      </c>
      <c r="Q367" s="278">
        <f>IFERROR(INDEX('Ashed teabags dry'!$K$2:$K$825,MATCH(J367,'Ashed teabags dry'!$A$2:$A$825,0)),"")</f>
        <v>88.478802992518979</v>
      </c>
      <c r="R367" s="278">
        <f t="shared" si="27"/>
        <v>6.1454064837903777E-2</v>
      </c>
      <c r="S367" s="268">
        <f>'Dry_Litterbag Placem_Collection'!E148</f>
        <v>42939</v>
      </c>
      <c r="T367" s="268">
        <f>IF('Dry_Litterbag Placem_Collection'!G148="","",'Dry_Litterbag Placem_Collection'!G148)</f>
        <v>43010</v>
      </c>
      <c r="U367" s="269">
        <f t="shared" si="25"/>
        <v>71</v>
      </c>
      <c r="V367" s="267">
        <f t="shared" si="28"/>
        <v>1.4658</v>
      </c>
      <c r="W367" s="267">
        <f t="shared" si="29"/>
        <v>1.8921308939373391</v>
      </c>
      <c r="X367" s="271">
        <f>IFERROR(INDEX(Rainfall_Dry!$O$2:$O$217,MATCH(B367, Rainfall_Dry!$A$2:$A$217,0)),"")</f>
        <v>137.19979645800001</v>
      </c>
      <c r="Y367" s="260">
        <v>39.96</v>
      </c>
      <c r="Z367" s="260">
        <v>12.920000000000002</v>
      </c>
      <c r="AA367" s="260">
        <v>47.12</v>
      </c>
      <c r="AB367" s="261" t="s">
        <v>2674</v>
      </c>
      <c r="AC367" s="260">
        <v>2.6549531789058598</v>
      </c>
      <c r="AD367">
        <f>IF('WetLitterbags placem_collection'!AB148="","",'WetLitterbags placem_collection'!AB148)</f>
        <v>2.75</v>
      </c>
      <c r="AE367">
        <f>IF('WetLitterbags placem_collection'!Z148="","",'WetLitterbags placem_collection'!Z148)</f>
        <v>17.7</v>
      </c>
      <c r="AF367" s="24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71">
        <f>IFERROR(AVERAGE('Dry_Litterbag Placem_Collection'!N148,'Dry_Litterbag Placem_Collection'!Q148),"")</f>
        <v>31</v>
      </c>
      <c r="AJ367" s="270">
        <f>INDEX(Coordinates!$B$2:$B$197,MATCH(G367,Coordinates!$J$2:$J$197,0))</f>
        <v>-2.3675380370000001</v>
      </c>
      <c r="AK367" s="270">
        <f>INDEX(Coordinates!$C$2:$C$197,MATCH(G367,Coordinates!$J$2:$J$197,0))</f>
        <v>34.060381960000001</v>
      </c>
      <c r="AL367" s="270" t="str">
        <f>IF(ISNUMBER(SEARCH("C", 'Dry_Litterbag Placem_Collection'!T148)),"YES","NO")</f>
        <v>NO</v>
      </c>
      <c r="AM367" s="270" t="str">
        <f>IF(ISNUMBER(SEARCH("H", 'Dry_Litterbag Placem_Collection'!T148)),"YES","NO")</f>
        <v>YES</v>
      </c>
      <c r="AN367" s="270" t="str">
        <f>IF(ISNUMBER(SEARCH("R", 'Dry_Litterbag Placem_Collection'!T148)),"YES","NO")</f>
        <v>NO</v>
      </c>
    </row>
    <row r="368" spans="1:40" ht="15" customHeight="1">
      <c r="A368" s="262" t="s">
        <v>2659</v>
      </c>
      <c r="B368" s="263">
        <f>'Dry_Litterbag Placem_Collection'!A149</f>
        <v>147</v>
      </c>
      <c r="C368" s="263" t="str">
        <f>'Dry_Litterbag Placem_Collection'!B149</f>
        <v xml:space="preserve">Mwantimba
</v>
      </c>
      <c r="D368" s="263" t="s">
        <v>2659</v>
      </c>
      <c r="E368" s="263" t="s">
        <v>20</v>
      </c>
      <c r="F368" s="263">
        <v>3</v>
      </c>
      <c r="G368" s="264" t="str">
        <f>'Dry_Litterbag Placem_Collection'!C149</f>
        <v>Wet_P3_T3</v>
      </c>
      <c r="H368" s="265" t="s">
        <v>2541</v>
      </c>
      <c r="I368" s="272" t="s">
        <v>298</v>
      </c>
      <c r="J368" s="263" t="str">
        <f>IF(ISBLANK('Dry_Litterbag Placem_Collection'!K149),"","R"&amp;""&amp;'Dry_Litterbag Placem_Collection'!K149)</f>
        <v>R832</v>
      </c>
      <c r="K368" s="267">
        <f>IFERROR(INDEX('Green_rooibos initial weight'!$C$5:$C$1749,MATCH(J368, 'Green_rooibos initial weight'!$A$5:$A$1749,0)),"")</f>
        <v>2.2149999999999999</v>
      </c>
      <c r="L368" s="267">
        <f>IFERROR(K368-(TBIcalc!$Q$9+TBIcalc!$Q$10),"")</f>
        <v>1.9651999999999998</v>
      </c>
      <c r="M368" s="391">
        <f>AVERAGE(Ashed_controlls!$K$12:$K$14)</f>
        <v>2.2816647271287041</v>
      </c>
      <c r="N368" s="267">
        <f t="shared" si="26"/>
        <v>1.9203607247824666</v>
      </c>
      <c r="O368" s="267">
        <f>IF(IFERROR(INDEX('Both teabags AfterDry'!$D$3:$D$900,MATCH(J368,'Both teabags AfterDry'!$A$3:$A$900,0)),"")="","",(IFERROR(INDEX('Both teabags AfterDry'!$D$3:$D$900,MATCH(J368,'Both teabags AfterDry'!$A$3:$A$900,0)),"")))</f>
        <v>1.7279</v>
      </c>
      <c r="P368" s="267">
        <f>IFERROR(IF(O368&gt;0,O368-(TBIcalc!$Q$9),""),"")</f>
        <v>1.5772999999999999</v>
      </c>
      <c r="Q368" s="278">
        <f>IFERROR(INDEX('Ashed teabags dry'!$K$2:$K$825,MATCH(J368,'Ashed teabags dry'!$A$2:$A$825,0)),"")</f>
        <v>3.1790556334733524</v>
      </c>
      <c r="R368" s="278">
        <f t="shared" si="27"/>
        <v>1.5271567554932248</v>
      </c>
      <c r="S368" s="268">
        <f>'Dry_Litterbag Placem_Collection'!E149</f>
        <v>42939</v>
      </c>
      <c r="T368" s="268">
        <f>IF('Dry_Litterbag Placem_Collection'!G149="","",'Dry_Litterbag Placem_Collection'!G149)</f>
        <v>43010</v>
      </c>
      <c r="U368" s="269">
        <f t="shared" si="25"/>
        <v>71</v>
      </c>
      <c r="V368" s="267">
        <f t="shared" si="28"/>
        <v>0.38789999999999991</v>
      </c>
      <c r="W368" s="267">
        <f t="shared" si="29"/>
        <v>0.39320396928924173</v>
      </c>
      <c r="X368" s="271">
        <f>IFERROR(INDEX(Rainfall_Dry!$O$2:$O$217,MATCH(B368, Rainfall_Dry!$A$2:$A$217,0)),"")</f>
        <v>137.19979645800001</v>
      </c>
      <c r="Y368" s="260">
        <v>39.96</v>
      </c>
      <c r="Z368" s="260">
        <v>12.920000000000002</v>
      </c>
      <c r="AA368" s="260">
        <v>47.12</v>
      </c>
      <c r="AB368" s="261" t="s">
        <v>2674</v>
      </c>
      <c r="AC368" s="260">
        <v>3.6549531789058598</v>
      </c>
      <c r="AD368">
        <f>IF('WetLitterbags placem_collection'!AB149="","",'WetLitterbags placem_collection'!AB149)</f>
        <v>3.6</v>
      </c>
      <c r="AE368">
        <f>IF('WetLitterbags placem_collection'!Z149="","",'WetLitterbags placem_collection'!Z149)</f>
        <v>19</v>
      </c>
      <c r="AF368" s="24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71">
        <f>IFERROR(AVERAGE('Dry_Litterbag Placem_Collection'!N149,'Dry_Litterbag Placem_Collection'!Q149),"")</f>
        <v>29.900000000000002</v>
      </c>
      <c r="AJ368" s="270">
        <f>INDEX(Coordinates!$B$2:$B$197,MATCH(G368,Coordinates!$J$2:$J$197,0))</f>
        <v>-2.3675780180000001</v>
      </c>
      <c r="AK368" s="270">
        <f>INDEX(Coordinates!$C$2:$C$197,MATCH(G368,Coordinates!$J$2:$J$197,0))</f>
        <v>34.060323029999999</v>
      </c>
      <c r="AL368" s="270" t="str">
        <f>IF(ISNUMBER(SEARCH("C", 'Dry_Litterbag Placem_Collection'!T149)),"YES","NO")</f>
        <v>NO</v>
      </c>
      <c r="AM368" s="270" t="str">
        <f>IF(ISNUMBER(SEARCH("H", 'Dry_Litterbag Placem_Collection'!T149)),"YES","NO")</f>
        <v>YES</v>
      </c>
      <c r="AN368" s="270" t="str">
        <f>IF(ISNUMBER(SEARCH("R", 'Dry_Litterbag Placem_Collection'!T149)),"YES","NO")</f>
        <v>NO</v>
      </c>
    </row>
    <row r="369" spans="1:40" ht="15" customHeight="1">
      <c r="A369" s="262" t="s">
        <v>2659</v>
      </c>
      <c r="B369" s="263">
        <f>'Dry_Litterbag Placem_Collection'!A150</f>
        <v>148</v>
      </c>
      <c r="C369" s="263" t="str">
        <f>'Dry_Litterbag Placem_Collection'!B150</f>
        <v xml:space="preserve">Mwantimba
</v>
      </c>
      <c r="D369" s="263" t="s">
        <v>2659</v>
      </c>
      <c r="E369" s="263" t="s">
        <v>20</v>
      </c>
      <c r="F369" s="263">
        <v>3</v>
      </c>
      <c r="G369" s="264" t="str">
        <f>'Dry_Litterbag Placem_Collection'!C150</f>
        <v>Wet_P3_T4</v>
      </c>
      <c r="H369" s="265" t="s">
        <v>2541</v>
      </c>
      <c r="I369" s="272" t="s">
        <v>298</v>
      </c>
      <c r="J369" s="263" t="str">
        <f>IF(ISBLANK('Dry_Litterbag Placem_Collection'!K150),"","R"&amp;""&amp;'Dry_Litterbag Placem_Collection'!K150)</f>
        <v>R823</v>
      </c>
      <c r="K369" s="267">
        <f>IFERROR(INDEX('Green_rooibos initial weight'!$C$5:$C$1749,MATCH(J369, 'Green_rooibos initial weight'!$A$5:$A$1749,0)),"")</f>
        <v>2.214</v>
      </c>
      <c r="L369" s="267">
        <f>IFERROR(K369-(TBIcalc!$Q$9+TBIcalc!$Q$10),"")</f>
        <v>1.9641999999999999</v>
      </c>
      <c r="M369" s="391">
        <f>AVERAGE(Ashed_controlls!$K$12:$K$14)</f>
        <v>2.2816647271287041</v>
      </c>
      <c r="N369" s="267">
        <f t="shared" si="26"/>
        <v>1.919383541429738</v>
      </c>
      <c r="O369" s="267" t="str">
        <f>IF(IFERROR(INDEX('Both teabags AfterDry'!$D$3:$D$900,MATCH(J369,'Both teabags AfterDry'!$A$3:$A$900,0)),"")="","",(IFERROR(INDEX('Both teabags AfterDry'!$D$3:$D$900,MATCH(J369,'Both teabags AfterDry'!$A$3:$A$900,0)),"")))</f>
        <v/>
      </c>
      <c r="P369" s="267" t="str">
        <f>IFERROR(IF(O369&gt;0,O369-(TBIcalc!$Q$9),""),"")</f>
        <v/>
      </c>
      <c r="Q369" s="278">
        <f>IFERROR(INDEX('Ashed teabags dry'!$K$2:$K$825,MATCH(J369,'Ashed teabags dry'!$A$2:$A$825,0)),"")</f>
        <v>90.2597402597399</v>
      </c>
      <c r="R369" s="278" t="str">
        <f t="shared" si="27"/>
        <v/>
      </c>
      <c r="S369" s="268">
        <f>'Dry_Litterbag Placem_Collection'!E150</f>
        <v>42939</v>
      </c>
      <c r="T369" s="268">
        <f>IF('Dry_Litterbag Placem_Collection'!G150="","",'Dry_Litterbag Placem_Collection'!G150)</f>
        <v>43010</v>
      </c>
      <c r="U369" s="269">
        <f t="shared" si="25"/>
        <v>71</v>
      </c>
      <c r="V369" s="267" t="str">
        <f t="shared" si="28"/>
        <v/>
      </c>
      <c r="W369" s="267" t="str">
        <f t="shared" si="29"/>
        <v/>
      </c>
      <c r="X369" s="271">
        <f>IFERROR(INDEX(Rainfall_Dry!$O$2:$O$217,MATCH(B369, Rainfall_Dry!$A$2:$A$217,0)),"")</f>
        <v>137.19979645800001</v>
      </c>
      <c r="Y369" s="260">
        <v>39.96</v>
      </c>
      <c r="Z369" s="260">
        <v>12.920000000000002</v>
      </c>
      <c r="AA369" s="260">
        <v>47.12</v>
      </c>
      <c r="AB369" s="261" t="s">
        <v>2674</v>
      </c>
      <c r="AC369" s="260">
        <v>4.6549531789058696</v>
      </c>
      <c r="AD369">
        <f>IF('WetLitterbags placem_collection'!AB150="","",'WetLitterbags placem_collection'!AB150)</f>
        <v>4.9000000000000004</v>
      </c>
      <c r="AE369">
        <f>IF('WetLitterbags placem_collection'!Z150="","",'WetLitterbags placem_collection'!Z150)</f>
        <v>17.489999999999998</v>
      </c>
      <c r="AF369" s="24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71">
        <f>IFERROR(AVERAGE('Dry_Litterbag Placem_Collection'!N150,'Dry_Litterbag Placem_Collection'!Q150),"")</f>
        <v>31.6</v>
      </c>
      <c r="AJ369" s="270">
        <f>INDEX(Coordinates!$B$2:$B$197,MATCH(G369,Coordinates!$J$2:$J$197,0))</f>
        <v>-2.3676269689999998</v>
      </c>
      <c r="AK369" s="270">
        <f>INDEX(Coordinates!$C$2:$C$197,MATCH(G369,Coordinates!$J$2:$J$197,0))</f>
        <v>34.060310960000002</v>
      </c>
      <c r="AL369" s="270" t="str">
        <f>IF(ISNUMBER(SEARCH("C", 'Dry_Litterbag Placem_Collection'!T150)),"YES","NO")</f>
        <v>YES</v>
      </c>
      <c r="AM369" s="270" t="str">
        <f>IF(ISNUMBER(SEARCH("H", 'Dry_Litterbag Placem_Collection'!T150)),"YES","NO")</f>
        <v>YES</v>
      </c>
      <c r="AN369" s="270" t="str">
        <f>IF(ISNUMBER(SEARCH("R", 'Dry_Litterbag Placem_Collection'!T150)),"YES","NO")</f>
        <v>NO</v>
      </c>
    </row>
    <row r="370" spans="1:40" ht="15" customHeight="1">
      <c r="A370" s="262" t="s">
        <v>2659</v>
      </c>
      <c r="B370" s="263">
        <f>'Dry_Litterbag Placem_Collection'!A151</f>
        <v>149</v>
      </c>
      <c r="C370" s="263" t="str">
        <f>'Dry_Litterbag Placem_Collection'!B151</f>
        <v xml:space="preserve">Mwantimba
</v>
      </c>
      <c r="D370" s="263" t="s">
        <v>2659</v>
      </c>
      <c r="E370" s="263" t="s">
        <v>20</v>
      </c>
      <c r="F370" s="263">
        <v>3</v>
      </c>
      <c r="G370" s="264" t="str">
        <f>'Dry_Litterbag Placem_Collection'!C151</f>
        <v>Wet_P3_T5</v>
      </c>
      <c r="H370" s="265" t="s">
        <v>2541</v>
      </c>
      <c r="I370" s="272" t="s">
        <v>298</v>
      </c>
      <c r="J370" s="263" t="str">
        <f>IF(ISBLANK('Dry_Litterbag Placem_Collection'!K151),"","R"&amp;""&amp;'Dry_Litterbag Placem_Collection'!K151)</f>
        <v>R703</v>
      </c>
      <c r="K370" s="267">
        <f>IFERROR(INDEX('Green_rooibos initial weight'!$C$5:$C$1749,MATCH(J370, 'Green_rooibos initial weight'!$A$5:$A$1749,0)),"")</f>
        <v>2.1379999999999999</v>
      </c>
      <c r="L370" s="267">
        <f>IFERROR(K370-(TBIcalc!$Q$9+TBIcalc!$Q$10),"")</f>
        <v>1.8881999999999999</v>
      </c>
      <c r="M370" s="391">
        <f>AVERAGE(Ashed_controlls!$K$12:$K$14)</f>
        <v>2.2816647271287041</v>
      </c>
      <c r="N370" s="267">
        <f t="shared" si="26"/>
        <v>1.8451176066223556</v>
      </c>
      <c r="O370" s="267">
        <f>IF(IFERROR(INDEX('Both teabags AfterDry'!$D$3:$D$900,MATCH(J370,'Both teabags AfterDry'!$A$3:$A$900,0)),"")="","",(IFERROR(INDEX('Both teabags AfterDry'!$D$3:$D$900,MATCH(J370,'Both teabags AfterDry'!$A$3:$A$900,0)),"")))</f>
        <v>1.9032</v>
      </c>
      <c r="P370" s="267">
        <f>IFERROR(IF(O370&gt;0,O370-(TBIcalc!$Q$9),""),"")</f>
        <v>1.7525999999999999</v>
      </c>
      <c r="Q370" s="278">
        <f>IFERROR(INDEX('Ashed teabags dry'!$K$2:$K$825,MATCH(J370,'Ashed teabags dry'!$A$2:$A$825,0)),"")</f>
        <v>3.0988686669941248</v>
      </c>
      <c r="R370" s="278">
        <f t="shared" si="27"/>
        <v>1.698289227742261</v>
      </c>
      <c r="S370" s="268">
        <f>'Dry_Litterbag Placem_Collection'!E151</f>
        <v>42939</v>
      </c>
      <c r="T370" s="268">
        <f>IF('Dry_Litterbag Placem_Collection'!G151="","",'Dry_Litterbag Placem_Collection'!G151)</f>
        <v>43010</v>
      </c>
      <c r="U370" s="269">
        <f t="shared" si="25"/>
        <v>71</v>
      </c>
      <c r="V370" s="267">
        <f t="shared" si="28"/>
        <v>0.13559999999999994</v>
      </c>
      <c r="W370" s="267">
        <f t="shared" si="29"/>
        <v>0.14682837888009459</v>
      </c>
      <c r="X370" s="271">
        <f>IFERROR(INDEX(Rainfall_Dry!$O$2:$O$217,MATCH(B370, Rainfall_Dry!$A$2:$A$217,0)),"")</f>
        <v>137.19979645800001</v>
      </c>
      <c r="Y370" s="260">
        <v>39.96</v>
      </c>
      <c r="Z370" s="260">
        <v>12.920000000000002</v>
      </c>
      <c r="AA370" s="260">
        <v>47.12</v>
      </c>
      <c r="AB370" s="261" t="s">
        <v>2674</v>
      </c>
      <c r="AC370" s="260">
        <v>5.6549531789058696</v>
      </c>
      <c r="AD370">
        <f>IF('WetLitterbags placem_collection'!AB151="","",'WetLitterbags placem_collection'!AB151)</f>
        <v>2.8</v>
      </c>
      <c r="AE370">
        <f>IF('WetLitterbags placem_collection'!Z151="","",'WetLitterbags placem_collection'!Z151)</f>
        <v>13</v>
      </c>
      <c r="AF370" s="24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71">
        <f>IFERROR(AVERAGE('Dry_Litterbag Placem_Collection'!N151,'Dry_Litterbag Placem_Collection'!Q151),"")</f>
        <v>31</v>
      </c>
      <c r="AJ370" s="270">
        <f>INDEX(Coordinates!$B$2:$B$197,MATCH(G370,Coordinates!$J$2:$J$197,0))</f>
        <v>-2.3677179960000001</v>
      </c>
      <c r="AK370" s="270">
        <f>INDEX(Coordinates!$C$2:$C$197,MATCH(G370,Coordinates!$J$2:$J$197,0))</f>
        <v>34.060324960000003</v>
      </c>
      <c r="AL370" s="270" t="str">
        <f>IF(ISNUMBER(SEARCH("C", 'Dry_Litterbag Placem_Collection'!T151)),"YES","NO")</f>
        <v>NO</v>
      </c>
      <c r="AM370" s="270" t="str">
        <f>IF(ISNUMBER(SEARCH("H", 'Dry_Litterbag Placem_Collection'!T151)),"YES","NO")</f>
        <v>NO</v>
      </c>
      <c r="AN370" s="270" t="str">
        <f>IF(ISNUMBER(SEARCH("R", 'Dry_Litterbag Placem_Collection'!T151)),"YES","NO")</f>
        <v>NO</v>
      </c>
    </row>
    <row r="371" spans="1:40" ht="15" customHeight="1">
      <c r="A371" s="262" t="s">
        <v>2659</v>
      </c>
      <c r="B371" s="263">
        <f>'Dry_Litterbag Placem_Collection'!A152</f>
        <v>150</v>
      </c>
      <c r="C371" s="263" t="str">
        <f>'Dry_Litterbag Placem_Collection'!B152</f>
        <v xml:space="preserve">Mwantimba
</v>
      </c>
      <c r="D371" s="263" t="s">
        <v>2659</v>
      </c>
      <c r="E371" s="263" t="s">
        <v>20</v>
      </c>
      <c r="F371" s="263">
        <v>3</v>
      </c>
      <c r="G371" s="264" t="str">
        <f>'Dry_Litterbag Placem_Collection'!C152</f>
        <v>Wet_P3_T6</v>
      </c>
      <c r="H371" s="265" t="s">
        <v>2541</v>
      </c>
      <c r="I371" s="272" t="s">
        <v>298</v>
      </c>
      <c r="J371" s="263" t="str">
        <f>IF(ISBLANK('Dry_Litterbag Placem_Collection'!K152),"","R"&amp;""&amp;'Dry_Litterbag Placem_Collection'!K152)</f>
        <v>R668</v>
      </c>
      <c r="K371" s="267">
        <f>IFERROR(INDEX('Green_rooibos initial weight'!$C$5:$C$1749,MATCH(J371, 'Green_rooibos initial weight'!$A$5:$A$1749,0)),"")</f>
        <v>2.1419999999999999</v>
      </c>
      <c r="L371" s="267">
        <f>IFERROR(K371-(TBIcalc!$Q$9+TBIcalc!$Q$10),"")</f>
        <v>1.8921999999999999</v>
      </c>
      <c r="M371" s="391">
        <f>AVERAGE(Ashed_controlls!$K$12:$K$14)</f>
        <v>2.2816647271287041</v>
      </c>
      <c r="N371" s="267">
        <f t="shared" si="26"/>
        <v>1.8490263400332705</v>
      </c>
      <c r="O371" s="267" t="str">
        <f>IF(IFERROR(INDEX('Both teabags AfterDry'!$D$3:$D$900,MATCH(J371,'Both teabags AfterDry'!$A$3:$A$900,0)),"")="","",(IFERROR(INDEX('Both teabags AfterDry'!$D$3:$D$900,MATCH(J371,'Both teabags AfterDry'!$A$3:$A$900,0)),"")))</f>
        <v/>
      </c>
      <c r="P371" s="267" t="str">
        <f>IFERROR(IF(O371&gt;0,O371-(TBIcalc!$Q$9),""),"")</f>
        <v/>
      </c>
      <c r="Q371" s="278" t="str">
        <f>IFERROR(INDEX('Ashed teabags dry'!$K$2:$K$825,MATCH(J371,'Ashed teabags dry'!$A$2:$A$825,0)),"")</f>
        <v/>
      </c>
      <c r="R371" s="278" t="str">
        <f t="shared" si="27"/>
        <v/>
      </c>
      <c r="S371" s="268">
        <f>'Dry_Litterbag Placem_Collection'!E152</f>
        <v>42939</v>
      </c>
      <c r="T371" s="268">
        <f>IF('Dry_Litterbag Placem_Collection'!G152="","",'Dry_Litterbag Placem_Collection'!G152)</f>
        <v>43010</v>
      </c>
      <c r="U371" s="269">
        <f t="shared" si="25"/>
        <v>71</v>
      </c>
      <c r="V371" s="267" t="str">
        <f t="shared" si="28"/>
        <v/>
      </c>
      <c r="W371" s="267" t="str">
        <f t="shared" si="29"/>
        <v/>
      </c>
      <c r="X371" s="271">
        <f>IFERROR(INDEX(Rainfall_Dry!$O$2:$O$217,MATCH(B371, Rainfall_Dry!$A$2:$A$217,0)),"")</f>
        <v>137.19979645800001</v>
      </c>
      <c r="Y371" s="260">
        <v>39.96</v>
      </c>
      <c r="Z371" s="260">
        <v>12.920000000000002</v>
      </c>
      <c r="AA371" s="260">
        <v>47.12</v>
      </c>
      <c r="AB371" s="261" t="s">
        <v>2674</v>
      </c>
      <c r="AC371" s="260">
        <v>6.6549531789058696</v>
      </c>
      <c r="AD371">
        <f>IF('WetLitterbags placem_collection'!AB152="","",'WetLitterbags placem_collection'!AB152)</f>
        <v>2.75</v>
      </c>
      <c r="AE371">
        <f>IF('WetLitterbags placem_collection'!Z152="","",'WetLitterbags placem_collection'!Z152)</f>
        <v>19</v>
      </c>
      <c r="AF371" s="24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71">
        <f>IFERROR(AVERAGE('Dry_Litterbag Placem_Collection'!N152,'Dry_Litterbag Placem_Collection'!Q152),"")</f>
        <v>30.8</v>
      </c>
      <c r="AJ371" s="270">
        <f>INDEX(Coordinates!$B$2:$B$197,MATCH(G371,Coordinates!$J$2:$J$197,0))</f>
        <v>-2.3675230329999999</v>
      </c>
      <c r="AK371" s="270">
        <f>INDEX(Coordinates!$C$2:$C$197,MATCH(G371,Coordinates!$J$2:$J$197,0))</f>
        <v>34.060512969999998</v>
      </c>
      <c r="AL371" s="270" t="str">
        <f>IF(ISNUMBER(SEARCH("C", 'Dry_Litterbag Placem_Collection'!T152)),"YES","NO")</f>
        <v>NO</v>
      </c>
      <c r="AM371" s="270" t="str">
        <f>IF(ISNUMBER(SEARCH("H", 'Dry_Litterbag Placem_Collection'!T152)),"YES","NO")</f>
        <v>YES</v>
      </c>
      <c r="AN371" s="270" t="str">
        <f>IF(ISNUMBER(SEARCH("R", 'Dry_Litterbag Placem_Collection'!T152)),"YES","NO")</f>
        <v>NO</v>
      </c>
    </row>
    <row r="372" spans="1:40" ht="15" customHeight="1">
      <c r="A372" s="262" t="s">
        <v>2659</v>
      </c>
      <c r="B372" s="263">
        <f>'Dry_Litterbag Placem_Collection'!A153</f>
        <v>151</v>
      </c>
      <c r="C372" s="263" t="str">
        <f>'Dry_Litterbag Placem_Collection'!B153</f>
        <v xml:space="preserve">Mwantimba
</v>
      </c>
      <c r="D372" s="263" t="s">
        <v>2659</v>
      </c>
      <c r="E372" s="263" t="s">
        <v>20</v>
      </c>
      <c r="F372" s="263">
        <v>3</v>
      </c>
      <c r="G372" s="264" t="str">
        <f>'Dry_Litterbag Placem_Collection'!C153</f>
        <v>Wet_P3_T7</v>
      </c>
      <c r="H372" s="265" t="s">
        <v>2541</v>
      </c>
      <c r="I372" s="272" t="s">
        <v>298</v>
      </c>
      <c r="J372" s="263" t="str">
        <f>IF(ISBLANK('Dry_Litterbag Placem_Collection'!K153),"","R"&amp;""&amp;'Dry_Litterbag Placem_Collection'!K153)</f>
        <v/>
      </c>
      <c r="K372" s="267" t="str">
        <f>IFERROR(INDEX('Green_rooibos initial weight'!$C$5:$C$1749,MATCH(J372, 'Green_rooibos initial weight'!$A$5:$A$1749,0)),"")</f>
        <v/>
      </c>
      <c r="L372" s="267" t="str">
        <f>IFERROR(K372-(TBIcalc!$Q$9+TBIcalc!$Q$10),"")</f>
        <v/>
      </c>
      <c r="M372" s="391">
        <f>AVERAGE(Ashed_controlls!$K$12:$K$14)</f>
        <v>2.2816647271287041</v>
      </c>
      <c r="N372" s="267" t="str">
        <f t="shared" si="26"/>
        <v/>
      </c>
      <c r="O372" s="267" t="str">
        <f>IF(IFERROR(INDEX('Both teabags AfterDry'!$D$3:$D$900,MATCH(J372,'Both teabags AfterDry'!$A$3:$A$900,0)),"")="","",(IFERROR(INDEX('Both teabags AfterDry'!$D$3:$D$900,MATCH(J372,'Both teabags AfterDry'!$A$3:$A$900,0)),"")))</f>
        <v/>
      </c>
      <c r="P372" s="267" t="str">
        <f>IFERROR(IF(O372&gt;0,O372-(TBIcalc!$Q$9),""),"")</f>
        <v/>
      </c>
      <c r="Q372" s="278" t="str">
        <f>IFERROR(INDEX('Ashed teabags dry'!$K$2:$K$825,MATCH(J372,'Ashed teabags dry'!$A$2:$A$825,0)),"")</f>
        <v/>
      </c>
      <c r="R372" s="278" t="str">
        <f t="shared" si="27"/>
        <v/>
      </c>
      <c r="S372" s="268">
        <f>'Dry_Litterbag Placem_Collection'!E153</f>
        <v>0</v>
      </c>
      <c r="T372" s="268" t="str">
        <f>IF('Dry_Litterbag Placem_Collection'!G153="","",'Dry_Litterbag Placem_Collection'!G153)</f>
        <v/>
      </c>
      <c r="U372" s="269" t="str">
        <f t="shared" si="25"/>
        <v/>
      </c>
      <c r="V372" s="267" t="str">
        <f t="shared" si="28"/>
        <v/>
      </c>
      <c r="W372" s="267" t="str">
        <f t="shared" si="29"/>
        <v/>
      </c>
      <c r="X372" s="271" t="str">
        <f>IFERROR(INDEX(Rainfall_Dry!$O$2:$O$217,MATCH(B372, Rainfall_Dry!$A$2:$A$217,0)),"")</f>
        <v/>
      </c>
      <c r="Y372" s="260">
        <v>39.96</v>
      </c>
      <c r="Z372" s="260">
        <v>12.920000000000002</v>
      </c>
      <c r="AA372" s="260">
        <v>47.12</v>
      </c>
      <c r="AB372" s="261" t="s">
        <v>2674</v>
      </c>
      <c r="AC372" s="260">
        <v>7.6549531789058696</v>
      </c>
      <c r="AD372">
        <f>IF('WetLitterbags placem_collection'!AB153="","",'WetLitterbags placem_collection'!AB153)</f>
        <v>1.4</v>
      </c>
      <c r="AE372">
        <f>IF('WetLitterbags placem_collection'!Z153="","",'WetLitterbags placem_collection'!Z153)</f>
        <v>7.9</v>
      </c>
      <c r="AF372" s="24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71" t="str">
        <f>IFERROR(AVERAGE('Dry_Litterbag Placem_Collection'!N153,'Dry_Litterbag Placem_Collection'!Q153),"")</f>
        <v/>
      </c>
      <c r="AJ372" s="270">
        <f>INDEX(Coordinates!$B$2:$B$197,MATCH(G372,Coordinates!$J$2:$J$197,0))</f>
        <v>-2.3673460070000001</v>
      </c>
      <c r="AK372" s="270">
        <f>INDEX(Coordinates!$C$2:$C$197,MATCH(G372,Coordinates!$J$2:$J$197,0))</f>
        <v>34.060310039999997</v>
      </c>
      <c r="AL372" s="270" t="str">
        <f>IF(ISNUMBER(SEARCH("C", 'Dry_Litterbag Placem_Collection'!T153)),"YES","NO")</f>
        <v>NO</v>
      </c>
      <c r="AM372" s="270" t="str">
        <f>IF(ISNUMBER(SEARCH("H", 'Dry_Litterbag Placem_Collection'!T153)),"YES","NO")</f>
        <v>NO</v>
      </c>
      <c r="AN372" s="270" t="str">
        <f>IF(ISNUMBER(SEARCH("R", 'Dry_Litterbag Placem_Collection'!T153)),"YES","NO")</f>
        <v>NO</v>
      </c>
    </row>
    <row r="373" spans="1:40" ht="15" customHeight="1">
      <c r="A373" s="262" t="s">
        <v>2659</v>
      </c>
      <c r="B373" s="263">
        <f>'Dry_Litterbag Placem_Collection'!A154</f>
        <v>152</v>
      </c>
      <c r="C373" s="263" t="str">
        <f>'Dry_Litterbag Placem_Collection'!B154</f>
        <v xml:space="preserve">Mwantimba
</v>
      </c>
      <c r="D373" s="263" t="s">
        <v>2659</v>
      </c>
      <c r="E373" s="263" t="s">
        <v>20</v>
      </c>
      <c r="F373" s="263">
        <v>3</v>
      </c>
      <c r="G373" s="264" t="str">
        <f>'Dry_Litterbag Placem_Collection'!C154</f>
        <v>Wet_P3_T8</v>
      </c>
      <c r="H373" s="265" t="s">
        <v>2541</v>
      </c>
      <c r="I373" s="272" t="s">
        <v>298</v>
      </c>
      <c r="J373" s="263" t="str">
        <f>IF(ISBLANK('Dry_Litterbag Placem_Collection'!K154),"","R"&amp;""&amp;'Dry_Litterbag Placem_Collection'!K154)</f>
        <v>R788</v>
      </c>
      <c r="K373" s="267">
        <f>IFERROR(INDEX('Green_rooibos initial weight'!$C$5:$C$1749,MATCH(J373, 'Green_rooibos initial weight'!$A$5:$A$1749,0)),"")</f>
        <v>2.1869999999999998</v>
      </c>
      <c r="L373" s="267">
        <f>IFERROR(K373-(TBIcalc!$Q$9+TBIcalc!$Q$10),"")</f>
        <v>1.9371999999999998</v>
      </c>
      <c r="M373" s="391">
        <f>AVERAGE(Ashed_controlls!$K$12:$K$14)</f>
        <v>2.2816647271287041</v>
      </c>
      <c r="N373" s="267">
        <f t="shared" si="26"/>
        <v>1.8929995909060626</v>
      </c>
      <c r="O373" s="267">
        <f>IF(IFERROR(INDEX('Both teabags AfterDry'!$D$3:$D$900,MATCH(J373,'Both teabags AfterDry'!$A$3:$A$900,0)),"")="","",(IFERROR(INDEX('Both teabags AfterDry'!$D$3:$D$900,MATCH(J373,'Both teabags AfterDry'!$A$3:$A$900,0)),"")))</f>
        <v>0.43190000000000001</v>
      </c>
      <c r="P373" s="267">
        <f>IFERROR(IF(O373&gt;0,O373-(TBIcalc!$Q$9),""),"")</f>
        <v>0.28129999999999999</v>
      </c>
      <c r="Q373" s="278">
        <f>IFERROR(INDEX('Ashed teabags dry'!$K$2:$K$825,MATCH(J373,'Ashed teabags dry'!$A$2:$A$825,0)),"")</f>
        <v>89.775910364145446</v>
      </c>
      <c r="R373" s="278">
        <f t="shared" si="27"/>
        <v>2.8760364145658857E-2</v>
      </c>
      <c r="S373" s="268">
        <f>'Dry_Litterbag Placem_Collection'!E154</f>
        <v>42939</v>
      </c>
      <c r="T373" s="268">
        <f>IF('Dry_Litterbag Placem_Collection'!G154="","",'Dry_Litterbag Placem_Collection'!G154)</f>
        <v>43010</v>
      </c>
      <c r="U373" s="269">
        <f t="shared" si="25"/>
        <v>71</v>
      </c>
      <c r="V373" s="267">
        <f t="shared" si="28"/>
        <v>1.6558999999999999</v>
      </c>
      <c r="W373" s="267">
        <f t="shared" si="29"/>
        <v>1.8642392267604038</v>
      </c>
      <c r="X373" s="271">
        <f>IFERROR(INDEX(Rainfall_Dry!$O$2:$O$217,MATCH(B373, Rainfall_Dry!$A$2:$A$217,0)),"")</f>
        <v>137.19979645800001</v>
      </c>
      <c r="Y373" s="260">
        <v>39.96</v>
      </c>
      <c r="Z373" s="260">
        <v>12.920000000000002</v>
      </c>
      <c r="AA373" s="260">
        <v>47.12</v>
      </c>
      <c r="AB373" s="261" t="s">
        <v>2674</v>
      </c>
      <c r="AC373" s="260">
        <v>8.6549531789058705</v>
      </c>
      <c r="AD373">
        <f>IF('WetLitterbags placem_collection'!AB154="","",'WetLitterbags placem_collection'!AB154)</f>
        <v>2.2000000000000002</v>
      </c>
      <c r="AE373">
        <f>IF('WetLitterbags placem_collection'!Z154="","",'WetLitterbags placem_collection'!Z154)</f>
        <v>15</v>
      </c>
      <c r="AF373" s="24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71">
        <f>IFERROR(AVERAGE('Dry_Litterbag Placem_Collection'!N154,'Dry_Litterbag Placem_Collection'!Q154),"")</f>
        <v>28.45</v>
      </c>
      <c r="AJ373" s="270">
        <f>INDEX(Coordinates!$B$2:$B$197,MATCH(G373,Coordinates!$J$2:$J$197,0))</f>
        <v>-2.367543988</v>
      </c>
      <c r="AK373" s="270">
        <f>INDEX(Coordinates!$C$2:$C$197,MATCH(G373,Coordinates!$J$2:$J$197,0))</f>
        <v>34.060168969999999</v>
      </c>
      <c r="AL373" s="270" t="str">
        <f>IF(ISNUMBER(SEARCH("C", 'Dry_Litterbag Placem_Collection'!T154)),"YES","NO")</f>
        <v>NO</v>
      </c>
      <c r="AM373" s="270" t="str">
        <f>IF(ISNUMBER(SEARCH("H", 'Dry_Litterbag Placem_Collection'!T154)),"YES","NO")</f>
        <v>YES</v>
      </c>
      <c r="AN373" s="270" t="str">
        <f>IF(ISNUMBER(SEARCH("R", 'Dry_Litterbag Placem_Collection'!T154)),"YES","NO")</f>
        <v>NO</v>
      </c>
    </row>
    <row r="374" spans="1:40" ht="15" customHeight="1">
      <c r="A374" s="262" t="s">
        <v>2659</v>
      </c>
      <c r="B374" s="263">
        <f>'Dry_Litterbag Placem_Collection'!A155</f>
        <v>153</v>
      </c>
      <c r="C374" s="263" t="str">
        <f>'Dry_Litterbag Placem_Collection'!B155</f>
        <v xml:space="preserve">Mwantimba
</v>
      </c>
      <c r="D374" s="263" t="s">
        <v>2659</v>
      </c>
      <c r="E374" s="263" t="s">
        <v>20</v>
      </c>
      <c r="F374" s="263">
        <v>4</v>
      </c>
      <c r="G374" s="264" t="str">
        <f>'Dry_Litterbag Placem_Collection'!C155</f>
        <v>Wet_P4_T1</v>
      </c>
      <c r="H374" s="265" t="s">
        <v>2541</v>
      </c>
      <c r="I374" s="272" t="s">
        <v>298</v>
      </c>
      <c r="J374" s="263" t="str">
        <f>IF(ISBLANK('Dry_Litterbag Placem_Collection'!K155),"","R"&amp;""&amp;'Dry_Litterbag Placem_Collection'!K155)</f>
        <v>R735</v>
      </c>
      <c r="K374" s="267">
        <f>IFERROR(INDEX('Green_rooibos initial weight'!$C$5:$C$1749,MATCH(J374, 'Green_rooibos initial weight'!$A$5:$A$1749,0)),"")</f>
        <v>2.12</v>
      </c>
      <c r="L374" s="267">
        <f>IFERROR(K374-(TBIcalc!$Q$9+TBIcalc!$Q$10),"")</f>
        <v>1.8702000000000001</v>
      </c>
      <c r="M374" s="391">
        <f>AVERAGE(Ashed_controlls!$K$12:$K$14)</f>
        <v>2.2816647271287041</v>
      </c>
      <c r="N374" s="267">
        <f t="shared" si="26"/>
        <v>1.827528306273239</v>
      </c>
      <c r="O374" s="267">
        <f>IF(IFERROR(INDEX('Both teabags AfterDry'!$D$3:$D$900,MATCH(J374,'Both teabags AfterDry'!$A$3:$A$900,0)),"")="","",(IFERROR(INDEX('Both teabags AfterDry'!$D$3:$D$900,MATCH(J374,'Both teabags AfterDry'!$A$3:$A$900,0)),"")))</f>
        <v>1.0566</v>
      </c>
      <c r="P374" s="267">
        <f>IFERROR(IF(O374&gt;0,O374-(TBIcalc!$Q$9),""),"")</f>
        <v>0.90599999999999992</v>
      </c>
      <c r="Q374" s="278">
        <f>IFERROR(INDEX('Ashed teabags dry'!$K$2:$K$825,MATCH(J374,'Ashed teabags dry'!$A$2:$A$825,0)),"")</f>
        <v>50.895883777238879</v>
      </c>
      <c r="R374" s="278">
        <f t="shared" si="27"/>
        <v>0.44488329297821572</v>
      </c>
      <c r="S374" s="268">
        <f>'Dry_Litterbag Placem_Collection'!E155</f>
        <v>42939</v>
      </c>
      <c r="T374" s="268">
        <f>IF('Dry_Litterbag Placem_Collection'!G155="","",'Dry_Litterbag Placem_Collection'!G155)</f>
        <v>43010</v>
      </c>
      <c r="U374" s="269">
        <f t="shared" si="25"/>
        <v>71</v>
      </c>
      <c r="V374" s="267">
        <f t="shared" si="28"/>
        <v>0.96420000000000017</v>
      </c>
      <c r="W374" s="267">
        <f t="shared" si="29"/>
        <v>1.3826450132950234</v>
      </c>
      <c r="X374" s="271">
        <f>IFERROR(INDEX(Rainfall_Dry!$O$2:$O$217,MATCH(B374, Rainfall_Dry!$A$2:$A$217,0)),"")</f>
        <v>137.19979645800001</v>
      </c>
      <c r="Y374" s="260">
        <v>27.96</v>
      </c>
      <c r="Z374" s="260">
        <v>4.9200000000000017</v>
      </c>
      <c r="AA374" s="260">
        <v>67.12</v>
      </c>
      <c r="AB374" s="261" t="s">
        <v>2670</v>
      </c>
      <c r="AC374" s="260">
        <v>1.0437161163134547</v>
      </c>
      <c r="AD374">
        <f>IF('WetLitterbags placem_collection'!AB155="","",'WetLitterbags placem_collection'!AB155)</f>
        <v>2.1</v>
      </c>
      <c r="AE374">
        <f>IF('WetLitterbags placem_collection'!Z155="","",'WetLitterbags placem_collection'!Z155)</f>
        <v>16.399999999999999</v>
      </c>
      <c r="AF374" s="24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71">
        <f>IFERROR(AVERAGE('Dry_Litterbag Placem_Collection'!N155,'Dry_Litterbag Placem_Collection'!Q155),"")</f>
        <v>31.65</v>
      </c>
      <c r="AJ374" s="270">
        <f>INDEX(Coordinates!$B$2:$B$197,MATCH(G374,Coordinates!$J$2:$J$197,0))</f>
        <v>-2.3676780150000001</v>
      </c>
      <c r="AK374" s="270">
        <f>INDEX(Coordinates!$C$2:$C$197,MATCH(G374,Coordinates!$J$2:$J$197,0))</f>
        <v>34.05937797</v>
      </c>
      <c r="AL374" s="270" t="str">
        <f>IF(ISNUMBER(SEARCH("C", 'Dry_Litterbag Placem_Collection'!T155)),"YES","NO")</f>
        <v>YES</v>
      </c>
      <c r="AM374" s="270" t="str">
        <f>IF(ISNUMBER(SEARCH("H", 'Dry_Litterbag Placem_Collection'!T155)),"YES","NO")</f>
        <v>YES</v>
      </c>
      <c r="AN374" s="270" t="str">
        <f>IF(ISNUMBER(SEARCH("R", 'Dry_Litterbag Placem_Collection'!T155)),"YES","NO")</f>
        <v>NO</v>
      </c>
    </row>
    <row r="375" spans="1:40" ht="15" customHeight="1">
      <c r="A375" s="262" t="s">
        <v>2659</v>
      </c>
      <c r="B375" s="263">
        <f>'Dry_Litterbag Placem_Collection'!A156</f>
        <v>154</v>
      </c>
      <c r="C375" s="263" t="str">
        <f>'Dry_Litterbag Placem_Collection'!B156</f>
        <v xml:space="preserve">Mwantimba
</v>
      </c>
      <c r="D375" s="263" t="s">
        <v>2659</v>
      </c>
      <c r="E375" s="263" t="s">
        <v>20</v>
      </c>
      <c r="F375" s="263">
        <v>4</v>
      </c>
      <c r="G375" s="264" t="str">
        <f>'Dry_Litterbag Placem_Collection'!C156</f>
        <v>Wet_P4_T2</v>
      </c>
      <c r="H375" s="265" t="s">
        <v>2541</v>
      </c>
      <c r="I375" s="272" t="s">
        <v>298</v>
      </c>
      <c r="J375" s="263" t="str">
        <f>IF(ISBLANK('Dry_Litterbag Placem_Collection'!K156),"","R"&amp;""&amp;'Dry_Litterbag Placem_Collection'!K156)</f>
        <v>R836</v>
      </c>
      <c r="K375" s="267">
        <f>IFERROR(INDEX('Green_rooibos initial weight'!$C$5:$C$1749,MATCH(J375, 'Green_rooibos initial weight'!$A$5:$A$1749,0)),"")</f>
        <v>2.2000000000000002</v>
      </c>
      <c r="L375" s="267">
        <f>IFERROR(K375-(TBIcalc!$Q$9+TBIcalc!$Q$10),"")</f>
        <v>1.9502000000000002</v>
      </c>
      <c r="M375" s="391">
        <f>AVERAGE(Ashed_controlls!$K$12:$K$14)</f>
        <v>2.2816647271287041</v>
      </c>
      <c r="N375" s="267">
        <f t="shared" si="26"/>
        <v>1.9057029744915361</v>
      </c>
      <c r="O375" s="267">
        <f>IF(IFERROR(INDEX('Both teabags AfterDry'!$D$3:$D$900,MATCH(J375,'Both teabags AfterDry'!$A$3:$A$900,0)),"")="","",(IFERROR(INDEX('Both teabags AfterDry'!$D$3:$D$900,MATCH(J375,'Both teabags AfterDry'!$A$3:$A$900,0)),"")))</f>
        <v>0.62509999999999999</v>
      </c>
      <c r="P375" s="267">
        <f>IFERROR(IF(O375&gt;0,O375-(TBIcalc!$Q$9),""),"")</f>
        <v>0.47449999999999998</v>
      </c>
      <c r="Q375" s="278">
        <f>IFERROR(INDEX('Ashed teabags dry'!$K$2:$K$825,MATCH(J375,'Ashed teabags dry'!$A$2:$A$825,0)),"")</f>
        <v>87.866927592954596</v>
      </c>
      <c r="R375" s="278">
        <f t="shared" si="27"/>
        <v>5.7571428571430439E-2</v>
      </c>
      <c r="S375" s="268">
        <f>'Dry_Litterbag Placem_Collection'!E156</f>
        <v>42939</v>
      </c>
      <c r="T375" s="268">
        <f>IF('Dry_Litterbag Placem_Collection'!G156="","",'Dry_Litterbag Placem_Collection'!G156)</f>
        <v>43010</v>
      </c>
      <c r="U375" s="269">
        <f t="shared" si="25"/>
        <v>71</v>
      </c>
      <c r="V375" s="267">
        <f t="shared" si="28"/>
        <v>1.4757000000000002</v>
      </c>
      <c r="W375" s="267">
        <f t="shared" si="29"/>
        <v>1.8481315459201058</v>
      </c>
      <c r="X375" s="271">
        <f>IFERROR(INDEX(Rainfall_Dry!$O$2:$O$217,MATCH(B375, Rainfall_Dry!$A$2:$A$217,0)),"")</f>
        <v>137.19979645800001</v>
      </c>
      <c r="Y375" s="260">
        <v>27.96</v>
      </c>
      <c r="Z375" s="260">
        <v>4.9200000000000017</v>
      </c>
      <c r="AA375" s="260">
        <v>67.12</v>
      </c>
      <c r="AB375" s="261" t="s">
        <v>2670</v>
      </c>
      <c r="AC375" s="260">
        <v>2.0437161163134498</v>
      </c>
      <c r="AD375">
        <f>IF('WetLitterbags placem_collection'!AB156="","",'WetLitterbags placem_collection'!AB156)</f>
        <v>2.15</v>
      </c>
      <c r="AE375">
        <f>IF('WetLitterbags placem_collection'!Z156="","",'WetLitterbags placem_collection'!Z156)</f>
        <v>9</v>
      </c>
      <c r="AF375" s="24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71">
        <f>IFERROR(AVERAGE('Dry_Litterbag Placem_Collection'!N156,'Dry_Litterbag Placem_Collection'!Q156),"")</f>
        <v>30.45</v>
      </c>
      <c r="AJ375" s="270">
        <f>INDEX(Coordinates!$B$2:$B$197,MATCH(G375,Coordinates!$J$2:$J$197,0))</f>
        <v>-2.3677299820000002</v>
      </c>
      <c r="AK375" s="270">
        <f>INDEX(Coordinates!$C$2:$C$197,MATCH(G375,Coordinates!$J$2:$J$197,0))</f>
        <v>34.059351990000003</v>
      </c>
      <c r="AL375" s="270" t="str">
        <f>IF(ISNUMBER(SEARCH("C", 'Dry_Litterbag Placem_Collection'!T156)),"YES","NO")</f>
        <v>NO</v>
      </c>
      <c r="AM375" s="270" t="str">
        <f>IF(ISNUMBER(SEARCH("H", 'Dry_Litterbag Placem_Collection'!T156)),"YES","NO")</f>
        <v>YES</v>
      </c>
      <c r="AN375" s="270" t="str">
        <f>IF(ISNUMBER(SEARCH("R", 'Dry_Litterbag Placem_Collection'!T156)),"YES","NO")</f>
        <v>NO</v>
      </c>
    </row>
    <row r="376" spans="1:40" ht="15" customHeight="1">
      <c r="A376" s="262" t="s">
        <v>2659</v>
      </c>
      <c r="B376" s="263">
        <f>'Dry_Litterbag Placem_Collection'!A157</f>
        <v>155</v>
      </c>
      <c r="C376" s="263" t="str">
        <f>'Dry_Litterbag Placem_Collection'!B157</f>
        <v xml:space="preserve">Mwantimba
</v>
      </c>
      <c r="D376" s="263" t="s">
        <v>2659</v>
      </c>
      <c r="E376" s="263" t="s">
        <v>20</v>
      </c>
      <c r="F376" s="263">
        <v>4</v>
      </c>
      <c r="G376" s="264" t="str">
        <f>'Dry_Litterbag Placem_Collection'!C157</f>
        <v>Wet_P4_T3</v>
      </c>
      <c r="H376" s="265" t="s">
        <v>2541</v>
      </c>
      <c r="I376" s="272" t="s">
        <v>298</v>
      </c>
      <c r="J376" s="263" t="str">
        <f>IF(ISBLANK('Dry_Litterbag Placem_Collection'!K157),"","R"&amp;""&amp;'Dry_Litterbag Placem_Collection'!K157)</f>
        <v>R337</v>
      </c>
      <c r="K376" s="267">
        <f>IFERROR(INDEX('Green_rooibos initial weight'!$C$5:$C$1749,MATCH(J376, 'Green_rooibos initial weight'!$A$5:$A$1749,0)),"")</f>
        <v>2.2309999999999999</v>
      </c>
      <c r="L376" s="267">
        <f>IFERROR(K376-(TBIcalc!$Q$9+TBIcalc!$Q$10),"")</f>
        <v>1.9811999999999999</v>
      </c>
      <c r="M376" s="391">
        <f>AVERAGE(Ashed_controlls!$K$12:$K$14)</f>
        <v>2.2816647271287041</v>
      </c>
      <c r="N376" s="267">
        <f t="shared" si="26"/>
        <v>1.935995658426126</v>
      </c>
      <c r="O376" s="267">
        <f>IF(IFERROR(INDEX('Both teabags AfterDry'!$D$3:$D$900,MATCH(J376,'Both teabags AfterDry'!$A$3:$A$900,0)),"")="","",(IFERROR(INDEX('Both teabags AfterDry'!$D$3:$D$900,MATCH(J376,'Both teabags AfterDry'!$A$3:$A$900,0)),"")))</f>
        <v>1.8893</v>
      </c>
      <c r="P376" s="267">
        <f>IFERROR(IF(O376&gt;0,O376-(TBIcalc!$Q$9),""),"")</f>
        <v>1.7386999999999999</v>
      </c>
      <c r="Q376" s="278">
        <f>IFERROR(INDEX('Ashed teabags dry'!$K$2:$K$825,MATCH(J376,'Ashed teabags dry'!$A$2:$A$825,0)),"")</f>
        <v>5.2232142857139205</v>
      </c>
      <c r="R376" s="278">
        <f t="shared" si="27"/>
        <v>1.647883973214292</v>
      </c>
      <c r="S376" s="268">
        <f>'Dry_Litterbag Placem_Collection'!E157</f>
        <v>42939</v>
      </c>
      <c r="T376" s="268">
        <f>IF('Dry_Litterbag Placem_Collection'!G157="","",'Dry_Litterbag Placem_Collection'!G157)</f>
        <v>43010</v>
      </c>
      <c r="U376" s="269">
        <f t="shared" si="25"/>
        <v>71</v>
      </c>
      <c r="V376" s="267">
        <f t="shared" si="28"/>
        <v>0.24249999999999994</v>
      </c>
      <c r="W376" s="267">
        <f t="shared" si="29"/>
        <v>0.28811168521183395</v>
      </c>
      <c r="X376" s="271">
        <f>IFERROR(INDEX(Rainfall_Dry!$O$2:$O$217,MATCH(B376, Rainfall_Dry!$A$2:$A$217,0)),"")</f>
        <v>137.19979645800001</v>
      </c>
      <c r="Y376" s="260">
        <v>27.96</v>
      </c>
      <c r="Z376" s="260">
        <v>4.9200000000000017</v>
      </c>
      <c r="AA376" s="260">
        <v>67.12</v>
      </c>
      <c r="AB376" s="261" t="s">
        <v>2670</v>
      </c>
      <c r="AC376" s="260">
        <v>3.0437161163134498</v>
      </c>
      <c r="AD376">
        <f>IF('WetLitterbags placem_collection'!AB157="","",'WetLitterbags placem_collection'!AB157)</f>
        <v>1.2</v>
      </c>
      <c r="AE376">
        <f>IF('WetLitterbags placem_collection'!Z157="","",'WetLitterbags placem_collection'!Z157)</f>
        <v>11</v>
      </c>
      <c r="AF376" s="24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71">
        <f>IFERROR(AVERAGE('Dry_Litterbag Placem_Collection'!N157,'Dry_Litterbag Placem_Collection'!Q157),"")</f>
        <v>29.4</v>
      </c>
      <c r="AJ376" s="270">
        <f>INDEX(Coordinates!$B$2:$B$197,MATCH(G376,Coordinates!$J$2:$J$197,0))</f>
        <v>-2.3677119609999999</v>
      </c>
      <c r="AK376" s="270">
        <f>INDEX(Coordinates!$C$2:$C$197,MATCH(G376,Coordinates!$J$2:$J$197,0))</f>
        <v>34.059339000000001</v>
      </c>
      <c r="AL376" s="270" t="str">
        <f>IF(ISNUMBER(SEARCH("C", 'Dry_Litterbag Placem_Collection'!T157)),"YES","NO")</f>
        <v>YES</v>
      </c>
      <c r="AM376" s="270" t="str">
        <f>IF(ISNUMBER(SEARCH("H", 'Dry_Litterbag Placem_Collection'!T157)),"YES","NO")</f>
        <v>YES</v>
      </c>
      <c r="AN376" s="270" t="str">
        <f>IF(ISNUMBER(SEARCH("R", 'Dry_Litterbag Placem_Collection'!T157)),"YES","NO")</f>
        <v>NO</v>
      </c>
    </row>
    <row r="377" spans="1:40" ht="15" customHeight="1">
      <c r="A377" s="262" t="s">
        <v>2659</v>
      </c>
      <c r="B377" s="263">
        <f>'Dry_Litterbag Placem_Collection'!A158</f>
        <v>156</v>
      </c>
      <c r="C377" s="263" t="str">
        <f>'Dry_Litterbag Placem_Collection'!B158</f>
        <v xml:space="preserve">Mwantimba
</v>
      </c>
      <c r="D377" s="263" t="s">
        <v>2659</v>
      </c>
      <c r="E377" s="263" t="s">
        <v>20</v>
      </c>
      <c r="F377" s="263">
        <v>4</v>
      </c>
      <c r="G377" s="264" t="str">
        <f>'Dry_Litterbag Placem_Collection'!C158</f>
        <v>Wet_P4_T4</v>
      </c>
      <c r="H377" s="265" t="s">
        <v>2541</v>
      </c>
      <c r="I377" s="272" t="s">
        <v>298</v>
      </c>
      <c r="J377" s="263" t="str">
        <f>IF(ISBLANK('Dry_Litterbag Placem_Collection'!K158),"","R"&amp;""&amp;'Dry_Litterbag Placem_Collection'!K158)</f>
        <v>R118</v>
      </c>
      <c r="K377" s="267">
        <f>IFERROR(INDEX('Green_rooibos initial weight'!$C$5:$C$1749,MATCH(J377, 'Green_rooibos initial weight'!$A$5:$A$1749,0)),"")</f>
        <v>2.3330000000000002</v>
      </c>
      <c r="L377" s="267">
        <f>IFERROR(K377-(TBIcalc!$Q$9+TBIcalc!$Q$10),"")</f>
        <v>2.0832000000000002</v>
      </c>
      <c r="M377" s="391">
        <f>AVERAGE(Ashed_controlls!$K$12:$K$14)</f>
        <v>2.2816647271287041</v>
      </c>
      <c r="N377" s="267">
        <f t="shared" si="26"/>
        <v>2.035668360404455</v>
      </c>
      <c r="O377" s="267">
        <f>IF(IFERROR(INDEX('Both teabags AfterDry'!$D$3:$D$900,MATCH(J377,'Both teabags AfterDry'!$A$3:$A$900,0)),"")="","",(IFERROR(INDEX('Both teabags AfterDry'!$D$3:$D$900,MATCH(J377,'Both teabags AfterDry'!$A$3:$A$900,0)),"")))</f>
        <v>0.79290000000000005</v>
      </c>
      <c r="P377" s="267">
        <f>IFERROR(IF(O377&gt;0,O377-(TBIcalc!$Q$9),""),"")</f>
        <v>0.64230000000000009</v>
      </c>
      <c r="Q377" s="278">
        <f>IFERROR(INDEX('Ashed teabags dry'!$K$2:$K$825,MATCH(J377,'Ashed teabags dry'!$A$2:$A$825,0)),"")</f>
        <v>77.250247279920742</v>
      </c>
      <c r="R377" s="278">
        <f t="shared" si="27"/>
        <v>0.14612166172106905</v>
      </c>
      <c r="S377" s="268">
        <f>'Dry_Litterbag Placem_Collection'!E158</f>
        <v>42939</v>
      </c>
      <c r="T377" s="268">
        <f>IF('Dry_Litterbag Placem_Collection'!G158="","",'Dry_Litterbag Placem_Collection'!G158)</f>
        <v>43010</v>
      </c>
      <c r="U377" s="269">
        <f t="shared" si="25"/>
        <v>71</v>
      </c>
      <c r="V377" s="267">
        <f t="shared" si="28"/>
        <v>1.4409000000000001</v>
      </c>
      <c r="W377" s="267">
        <f t="shared" si="29"/>
        <v>1.889546698683386</v>
      </c>
      <c r="X377" s="271">
        <f>IFERROR(INDEX(Rainfall_Dry!$O$2:$O$217,MATCH(B377, Rainfall_Dry!$A$2:$A$217,0)),"")</f>
        <v>137.19979645800001</v>
      </c>
      <c r="Y377" s="260">
        <v>27.96</v>
      </c>
      <c r="Z377" s="260">
        <v>4.9200000000000017</v>
      </c>
      <c r="AA377" s="260">
        <v>67.12</v>
      </c>
      <c r="AB377" s="261" t="s">
        <v>2670</v>
      </c>
      <c r="AC377" s="260">
        <v>4.0437161163134503</v>
      </c>
      <c r="AD377">
        <f>IF('WetLitterbags placem_collection'!AB158="","",'WetLitterbags placem_collection'!AB158)</f>
        <v>1.55</v>
      </c>
      <c r="AE377">
        <f>IF('WetLitterbags placem_collection'!Z158="","",'WetLitterbags placem_collection'!Z158)</f>
        <v>9.1</v>
      </c>
      <c r="AF377" s="24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71">
        <f>IFERROR(AVERAGE('Dry_Litterbag Placem_Collection'!N158,'Dry_Litterbag Placem_Collection'!Q158),"")</f>
        <v>30.35</v>
      </c>
      <c r="AJ377" s="270">
        <f>INDEX(Coordinates!$B$2:$B$197,MATCH(G377,Coordinates!$J$2:$J$197,0))</f>
        <v>-2.3676950300000001</v>
      </c>
      <c r="AK377" s="270">
        <f>INDEX(Coordinates!$C$2:$C$197,MATCH(G377,Coordinates!$J$2:$J$197,0))</f>
        <v>34.059499010000003</v>
      </c>
      <c r="AL377" s="270" t="str">
        <f>IF(ISNUMBER(SEARCH("C", 'Dry_Litterbag Placem_Collection'!T158)),"YES","NO")</f>
        <v>YES</v>
      </c>
      <c r="AM377" s="270" t="str">
        <f>IF(ISNUMBER(SEARCH("H", 'Dry_Litterbag Placem_Collection'!T158)),"YES","NO")</f>
        <v>YES</v>
      </c>
      <c r="AN377" s="270" t="str">
        <f>IF(ISNUMBER(SEARCH("R", 'Dry_Litterbag Placem_Collection'!T158)),"YES","NO")</f>
        <v>NO</v>
      </c>
    </row>
    <row r="378" spans="1:40" ht="15" customHeight="1">
      <c r="A378" s="262" t="s">
        <v>2659</v>
      </c>
      <c r="B378" s="263">
        <f>'Dry_Litterbag Placem_Collection'!A159</f>
        <v>157</v>
      </c>
      <c r="C378" s="263" t="str">
        <f>'Dry_Litterbag Placem_Collection'!B159</f>
        <v xml:space="preserve">Mwantimba
</v>
      </c>
      <c r="D378" s="263" t="s">
        <v>2659</v>
      </c>
      <c r="E378" s="263" t="s">
        <v>20</v>
      </c>
      <c r="F378" s="263">
        <v>4</v>
      </c>
      <c r="G378" s="264" t="str">
        <f>'Dry_Litterbag Placem_Collection'!C159</f>
        <v>Wet_P4_T5</v>
      </c>
      <c r="H378" s="265" t="s">
        <v>2541</v>
      </c>
      <c r="I378" s="272" t="s">
        <v>298</v>
      </c>
      <c r="J378" s="263" t="str">
        <f>IF(ISBLANK('Dry_Litterbag Placem_Collection'!K159),"","R"&amp;""&amp;'Dry_Litterbag Placem_Collection'!K159)</f>
        <v>R478</v>
      </c>
      <c r="K378" s="267">
        <f>IFERROR(INDEX('Green_rooibos initial weight'!$C$5:$C$1749,MATCH(J378, 'Green_rooibos initial weight'!$A$5:$A$1749,0)),"")</f>
        <v>2.1640000000000001</v>
      </c>
      <c r="L378" s="267">
        <f>IFERROR(K378-(TBIcalc!$Q$9+TBIcalc!$Q$10),"")</f>
        <v>1.9142000000000001</v>
      </c>
      <c r="M378" s="391">
        <f>AVERAGE(Ashed_controlls!$K$12:$K$14)</f>
        <v>2.2816647271287041</v>
      </c>
      <c r="N378" s="267">
        <f t="shared" si="26"/>
        <v>1.8705243737933024</v>
      </c>
      <c r="O378" s="267" t="str">
        <f>IF(IFERROR(INDEX('Both teabags AfterDry'!$D$3:$D$900,MATCH(J378,'Both teabags AfterDry'!$A$3:$A$900,0)),"")="","",(IFERROR(INDEX('Both teabags AfterDry'!$D$3:$D$900,MATCH(J378,'Both teabags AfterDry'!$A$3:$A$900,0)),"")))</f>
        <v/>
      </c>
      <c r="P378" s="267" t="str">
        <f>IFERROR(IF(O378&gt;0,O378-(TBIcalc!$Q$9),""),"")</f>
        <v/>
      </c>
      <c r="Q378" s="278" t="str">
        <f>IFERROR(INDEX('Ashed teabags dry'!$K$2:$K$825,MATCH(J378,'Ashed teabags dry'!$A$2:$A$825,0)),"")</f>
        <v/>
      </c>
      <c r="R378" s="278" t="str">
        <f t="shared" si="27"/>
        <v/>
      </c>
      <c r="S378" s="268">
        <f>'Dry_Litterbag Placem_Collection'!E159</f>
        <v>42939</v>
      </c>
      <c r="T378" s="268">
        <f>IF('Dry_Litterbag Placem_Collection'!G159="","",'Dry_Litterbag Placem_Collection'!G159)</f>
        <v>43010</v>
      </c>
      <c r="U378" s="269">
        <f t="shared" si="25"/>
        <v>71</v>
      </c>
      <c r="V378" s="267" t="str">
        <f t="shared" si="28"/>
        <v/>
      </c>
      <c r="W378" s="267" t="str">
        <f t="shared" si="29"/>
        <v/>
      </c>
      <c r="X378" s="271">
        <f>IFERROR(INDEX(Rainfall_Dry!$O$2:$O$217,MATCH(B378, Rainfall_Dry!$A$2:$A$217,0)),"")</f>
        <v>137.19979645800001</v>
      </c>
      <c r="Y378" s="260">
        <v>27.96</v>
      </c>
      <c r="Z378" s="260">
        <v>4.9200000000000017</v>
      </c>
      <c r="AA378" s="260">
        <v>67.12</v>
      </c>
      <c r="AB378" s="261" t="s">
        <v>2670</v>
      </c>
      <c r="AC378" s="260">
        <v>5.0437161163134503</v>
      </c>
      <c r="AD378">
        <f>IF('WetLitterbags placem_collection'!AB159="","",'WetLitterbags placem_collection'!AB159)</f>
        <v>2.2999999999999998</v>
      </c>
      <c r="AE378">
        <f>IF('WetLitterbags placem_collection'!Z159="","",'WetLitterbags placem_collection'!Z159)</f>
        <v>7.7</v>
      </c>
      <c r="AF378" s="24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71">
        <f>IFERROR(AVERAGE('Dry_Litterbag Placem_Collection'!N159,'Dry_Litterbag Placem_Collection'!Q159),"")</f>
        <v>29.85</v>
      </c>
      <c r="AJ378" s="270">
        <f>INDEX(Coordinates!$B$2:$B$197,MATCH(G378,Coordinates!$J$2:$J$197,0))</f>
        <v>-2.3678019830000001</v>
      </c>
      <c r="AK378" s="270">
        <f>INDEX(Coordinates!$C$2:$C$197,MATCH(G378,Coordinates!$J$2:$J$197,0))</f>
        <v>34.059521969999999</v>
      </c>
      <c r="AL378" s="270" t="str">
        <f>IF(ISNUMBER(SEARCH("C", 'Dry_Litterbag Placem_Collection'!T159)),"YES","NO")</f>
        <v>YES</v>
      </c>
      <c r="AM378" s="270" t="str">
        <f>IF(ISNUMBER(SEARCH("H", 'Dry_Litterbag Placem_Collection'!T159)),"YES","NO")</f>
        <v>NO</v>
      </c>
      <c r="AN378" s="270" t="str">
        <f>IF(ISNUMBER(SEARCH("R", 'Dry_Litterbag Placem_Collection'!T159)),"YES","NO")</f>
        <v>YES</v>
      </c>
    </row>
    <row r="379" spans="1:40" ht="15" customHeight="1">
      <c r="A379" s="262" t="s">
        <v>2659</v>
      </c>
      <c r="B379" s="263">
        <f>'Dry_Litterbag Placem_Collection'!A160</f>
        <v>158</v>
      </c>
      <c r="C379" s="263" t="str">
        <f>'Dry_Litterbag Placem_Collection'!B160</f>
        <v xml:space="preserve">Mwantimba
</v>
      </c>
      <c r="D379" s="263" t="s">
        <v>2659</v>
      </c>
      <c r="E379" s="263" t="s">
        <v>20</v>
      </c>
      <c r="F379" s="263">
        <v>4</v>
      </c>
      <c r="G379" s="264" t="str">
        <f>'Dry_Litterbag Placem_Collection'!C160</f>
        <v>Wet_P4_T6</v>
      </c>
      <c r="H379" s="265" t="s">
        <v>2541</v>
      </c>
      <c r="I379" s="272" t="s">
        <v>298</v>
      </c>
      <c r="J379" s="263" t="str">
        <f>IF(ISBLANK('Dry_Litterbag Placem_Collection'!K160),"","R"&amp;""&amp;'Dry_Litterbag Placem_Collection'!K160)</f>
        <v>R773</v>
      </c>
      <c r="K379" s="267">
        <f>IFERROR(INDEX('Green_rooibos initial weight'!$C$5:$C$1749,MATCH(J379, 'Green_rooibos initial weight'!$A$5:$A$1749,0)),"")</f>
        <v>2.2320000000000002</v>
      </c>
      <c r="L379" s="267">
        <f>IFERROR(K379-(TBIcalc!$Q$9+TBIcalc!$Q$10),"")</f>
        <v>1.9822000000000002</v>
      </c>
      <c r="M379" s="391">
        <f>AVERAGE(Ashed_controlls!$K$12:$K$14)</f>
        <v>2.2816647271287041</v>
      </c>
      <c r="N379" s="267">
        <f t="shared" si="26"/>
        <v>1.936972841778855</v>
      </c>
      <c r="O379" s="267">
        <f>IF(IFERROR(INDEX('Both teabags AfterDry'!$D$3:$D$900,MATCH(J379,'Both teabags AfterDry'!$A$3:$A$900,0)),"")="","",(IFERROR(INDEX('Both teabags AfterDry'!$D$3:$D$900,MATCH(J379,'Both teabags AfterDry'!$A$3:$A$900,0)),"")))</f>
        <v>1.3551</v>
      </c>
      <c r="P379" s="267">
        <f>IFERROR(IF(O379&gt;0,O379-(TBIcalc!$Q$9),""),"")</f>
        <v>1.2044999999999999</v>
      </c>
      <c r="Q379" s="278">
        <f>IFERROR(INDEX('Ashed teabags dry'!$K$2:$K$825,MATCH(J379,'Ashed teabags dry'!$A$2:$A$825,0)),"")</f>
        <v>86.234021632251483</v>
      </c>
      <c r="R379" s="278">
        <f t="shared" si="27"/>
        <v>0.16581120943953098</v>
      </c>
      <c r="S379" s="268">
        <f>'Dry_Litterbag Placem_Collection'!E160</f>
        <v>42939</v>
      </c>
      <c r="T379" s="268">
        <f>IF('Dry_Litterbag Placem_Collection'!G160="","",'Dry_Litterbag Placem_Collection'!G160)</f>
        <v>43010</v>
      </c>
      <c r="U379" s="269">
        <f t="shared" si="25"/>
        <v>71</v>
      </c>
      <c r="V379" s="267">
        <f t="shared" si="28"/>
        <v>0.77770000000000028</v>
      </c>
      <c r="W379" s="267">
        <f t="shared" si="29"/>
        <v>1.771161632339324</v>
      </c>
      <c r="X379" s="271">
        <f>IFERROR(INDEX(Rainfall_Dry!$O$2:$O$217,MATCH(B379, Rainfall_Dry!$A$2:$A$217,0)),"")</f>
        <v>137.19979645800001</v>
      </c>
      <c r="Y379" s="260">
        <v>27.96</v>
      </c>
      <c r="Z379" s="260">
        <v>4.9200000000000017</v>
      </c>
      <c r="AA379" s="260">
        <v>67.12</v>
      </c>
      <c r="AB379" s="261" t="s">
        <v>2670</v>
      </c>
      <c r="AC379" s="260">
        <v>6.0437161163134503</v>
      </c>
      <c r="AD379">
        <f>IF('WetLitterbags placem_collection'!AB160="","",'WetLitterbags placem_collection'!AB160)</f>
        <v>1.9</v>
      </c>
      <c r="AE379">
        <f>IF('WetLitterbags placem_collection'!Z160="","",'WetLitterbags placem_collection'!Z160)</f>
        <v>4.3</v>
      </c>
      <c r="AF379" s="24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71">
        <f>IFERROR(AVERAGE('Dry_Litterbag Placem_Collection'!N160,'Dry_Litterbag Placem_Collection'!Q160),"")</f>
        <v>31.8</v>
      </c>
      <c r="AJ379" s="270">
        <f>INDEX(Coordinates!$B$2:$B$197,MATCH(G379,Coordinates!$J$2:$J$197,0))</f>
        <v>-2.3679270410000002</v>
      </c>
      <c r="AK379" s="270">
        <f>INDEX(Coordinates!$C$2:$C$197,MATCH(G379,Coordinates!$J$2:$J$197,0))</f>
        <v>34.059300020000002</v>
      </c>
      <c r="AL379" s="270" t="str">
        <f>IF(ISNUMBER(SEARCH("C", 'Dry_Litterbag Placem_Collection'!T160)),"YES","NO")</f>
        <v>YES</v>
      </c>
      <c r="AM379" s="270" t="str">
        <f>IF(ISNUMBER(SEARCH("H", 'Dry_Litterbag Placem_Collection'!T160)),"YES","NO")</f>
        <v>YES</v>
      </c>
      <c r="AN379" s="270" t="str">
        <f>IF(ISNUMBER(SEARCH("R", 'Dry_Litterbag Placem_Collection'!T160)),"YES","NO")</f>
        <v>NO</v>
      </c>
    </row>
    <row r="380" spans="1:40" ht="15" customHeight="1">
      <c r="A380" s="262" t="s">
        <v>2659</v>
      </c>
      <c r="B380" s="263">
        <f>'Dry_Litterbag Placem_Collection'!A161</f>
        <v>159</v>
      </c>
      <c r="C380" s="263" t="str">
        <f>'Dry_Litterbag Placem_Collection'!B161</f>
        <v xml:space="preserve">Mwantimba
</v>
      </c>
      <c r="D380" s="263" t="s">
        <v>2659</v>
      </c>
      <c r="E380" s="263" t="s">
        <v>20</v>
      </c>
      <c r="F380" s="263">
        <v>4</v>
      </c>
      <c r="G380" s="264" t="str">
        <f>'Dry_Litterbag Placem_Collection'!C161</f>
        <v>Wet_P4_T7</v>
      </c>
      <c r="H380" s="265" t="s">
        <v>2541</v>
      </c>
      <c r="I380" s="272" t="s">
        <v>298</v>
      </c>
      <c r="J380" s="263" t="str">
        <f>IF(ISBLANK('Dry_Litterbag Placem_Collection'!K161),"","R"&amp;""&amp;'Dry_Litterbag Placem_Collection'!K161)</f>
        <v/>
      </c>
      <c r="K380" s="267" t="str">
        <f>IFERROR(INDEX('Green_rooibos initial weight'!$C$5:$C$1749,MATCH(J380, 'Green_rooibos initial weight'!$A$5:$A$1749,0)),"")</f>
        <v/>
      </c>
      <c r="L380" s="267" t="str">
        <f>IFERROR(K380-(TBIcalc!$Q$9+TBIcalc!$Q$10),"")</f>
        <v/>
      </c>
      <c r="M380" s="391">
        <f>AVERAGE(Ashed_controlls!$K$12:$K$14)</f>
        <v>2.2816647271287041</v>
      </c>
      <c r="N380" s="267" t="str">
        <f t="shared" si="26"/>
        <v/>
      </c>
      <c r="O380" s="267" t="str">
        <f>IF(IFERROR(INDEX('Both teabags AfterDry'!$D$3:$D$900,MATCH(J380,'Both teabags AfterDry'!$A$3:$A$900,0)),"")="","",(IFERROR(INDEX('Both teabags AfterDry'!$D$3:$D$900,MATCH(J380,'Both teabags AfterDry'!$A$3:$A$900,0)),"")))</f>
        <v/>
      </c>
      <c r="P380" s="267" t="str">
        <f>IFERROR(IF(O380&gt;0,O380-(TBIcalc!$Q$9),""),"")</f>
        <v/>
      </c>
      <c r="Q380" s="278" t="str">
        <f>IFERROR(INDEX('Ashed teabags dry'!$K$2:$K$825,MATCH(J380,'Ashed teabags dry'!$A$2:$A$825,0)),"")</f>
        <v/>
      </c>
      <c r="R380" s="278" t="str">
        <f t="shared" si="27"/>
        <v/>
      </c>
      <c r="S380" s="268">
        <f>'Dry_Litterbag Placem_Collection'!E161</f>
        <v>0</v>
      </c>
      <c r="T380" s="268" t="str">
        <f>IF('Dry_Litterbag Placem_Collection'!G161="","",'Dry_Litterbag Placem_Collection'!G161)</f>
        <v/>
      </c>
      <c r="U380" s="269" t="str">
        <f t="shared" si="25"/>
        <v/>
      </c>
      <c r="V380" s="267" t="str">
        <f t="shared" si="28"/>
        <v/>
      </c>
      <c r="W380" s="267" t="str">
        <f t="shared" si="29"/>
        <v/>
      </c>
      <c r="X380" s="271" t="str">
        <f>IFERROR(INDEX(Rainfall_Dry!$O$2:$O$217,MATCH(B380, Rainfall_Dry!$A$2:$A$217,0)),"")</f>
        <v/>
      </c>
      <c r="Y380" s="260">
        <v>27.96</v>
      </c>
      <c r="Z380" s="260">
        <v>4.9200000000000017</v>
      </c>
      <c r="AA380" s="260">
        <v>67.12</v>
      </c>
      <c r="AB380" s="261" t="s">
        <v>2670</v>
      </c>
      <c r="AC380" s="260">
        <v>7.0437161163134503</v>
      </c>
      <c r="AD380">
        <f>IF('WetLitterbags placem_collection'!AB161="","",'WetLitterbags placem_collection'!AB161)</f>
        <v>2.65</v>
      </c>
      <c r="AE380">
        <f>IF('WetLitterbags placem_collection'!Z161="","",'WetLitterbags placem_collection'!Z161)</f>
        <v>0</v>
      </c>
      <c r="AF380" s="24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71" t="str">
        <f>IFERROR(AVERAGE('Dry_Litterbag Placem_Collection'!N161,'Dry_Litterbag Placem_Collection'!Q161),"")</f>
        <v/>
      </c>
      <c r="AJ380" s="270">
        <f>INDEX(Coordinates!$B$2:$B$197,MATCH(G380,Coordinates!$J$2:$J$197,0))</f>
        <v>-2.3676829599999998</v>
      </c>
      <c r="AK380" s="270">
        <f>INDEX(Coordinates!$C$2:$C$197,MATCH(G380,Coordinates!$J$2:$J$197,0))</f>
        <v>34.059236990000002</v>
      </c>
      <c r="AL380" s="270" t="str">
        <f>IF(ISNUMBER(SEARCH("C", 'Dry_Litterbag Placem_Collection'!T161)),"YES","NO")</f>
        <v>NO</v>
      </c>
      <c r="AM380" s="270" t="str">
        <f>IF(ISNUMBER(SEARCH("H", 'Dry_Litterbag Placem_Collection'!T161)),"YES","NO")</f>
        <v>NO</v>
      </c>
      <c r="AN380" s="270" t="str">
        <f>IF(ISNUMBER(SEARCH("R", 'Dry_Litterbag Placem_Collection'!T161)),"YES","NO")</f>
        <v>NO</v>
      </c>
    </row>
    <row r="381" spans="1:40" ht="15" customHeight="1">
      <c r="A381" s="262" t="s">
        <v>2659</v>
      </c>
      <c r="B381" s="263">
        <f>'Dry_Litterbag Placem_Collection'!A162</f>
        <v>160</v>
      </c>
      <c r="C381" s="263" t="str">
        <f>'Dry_Litterbag Placem_Collection'!B162</f>
        <v xml:space="preserve">Mwantimba
</v>
      </c>
      <c r="D381" s="263" t="s">
        <v>2659</v>
      </c>
      <c r="E381" s="263" t="s">
        <v>20</v>
      </c>
      <c r="F381" s="263">
        <v>4</v>
      </c>
      <c r="G381" s="264" t="str">
        <f>'Dry_Litterbag Placem_Collection'!C162</f>
        <v>Wet_P4_T8</v>
      </c>
      <c r="H381" s="265" t="s">
        <v>2541</v>
      </c>
      <c r="I381" s="272" t="s">
        <v>298</v>
      </c>
      <c r="J381" s="263" t="str">
        <f>IF(ISBLANK('Dry_Litterbag Placem_Collection'!K162),"","R"&amp;""&amp;'Dry_Litterbag Placem_Collection'!K162)</f>
        <v>R401</v>
      </c>
      <c r="K381" s="267">
        <f>IFERROR(INDEX('Green_rooibos initial weight'!$C$5:$C$1749,MATCH(J381, 'Green_rooibos initial weight'!$A$5:$A$1749,0)),"")</f>
        <v>2.214</v>
      </c>
      <c r="L381" s="267">
        <f>IFERROR(K381-(TBIcalc!$Q$9+TBIcalc!$Q$10),"")</f>
        <v>1.9641999999999999</v>
      </c>
      <c r="M381" s="391">
        <f>AVERAGE(Ashed_controlls!$K$12:$K$14)</f>
        <v>2.2816647271287041</v>
      </c>
      <c r="N381" s="267">
        <f t="shared" si="26"/>
        <v>1.919383541429738</v>
      </c>
      <c r="O381" s="267">
        <f>IF(IFERROR(INDEX('Both teabags AfterDry'!$D$3:$D$900,MATCH(J381,'Both teabags AfterDry'!$A$3:$A$900,0)),"")="","",(IFERROR(INDEX('Both teabags AfterDry'!$D$3:$D$900,MATCH(J381,'Both teabags AfterDry'!$A$3:$A$900,0)),"")))</f>
        <v>1.7884</v>
      </c>
      <c r="P381" s="267">
        <f>IFERROR(IF(O381&gt;0,O381-(TBIcalc!$Q$9),""),"")</f>
        <v>1.6377999999999999</v>
      </c>
      <c r="Q381" s="278">
        <f>IFERROR(INDEX('Ashed teabags dry'!$K$2:$K$825,MATCH(J381,'Ashed teabags dry'!$A$2:$A$825,0)),"")</f>
        <v>5.077369439072041</v>
      </c>
      <c r="R381" s="278">
        <f t="shared" si="27"/>
        <v>1.554642843326878</v>
      </c>
      <c r="S381" s="268">
        <f>'Dry_Litterbag Placem_Collection'!E162</f>
        <v>42939</v>
      </c>
      <c r="T381" s="268">
        <f>IF('Dry_Litterbag Placem_Collection'!G162="","",'Dry_Litterbag Placem_Collection'!G162)</f>
        <v>43010</v>
      </c>
      <c r="U381" s="269">
        <f t="shared" si="25"/>
        <v>71</v>
      </c>
      <c r="V381" s="267">
        <f t="shared" si="28"/>
        <v>0.32640000000000002</v>
      </c>
      <c r="W381" s="267">
        <f t="shared" si="29"/>
        <v>0.36474069810286003</v>
      </c>
      <c r="X381" s="271">
        <f>IFERROR(INDEX(Rainfall_Dry!$O$2:$O$217,MATCH(B381, Rainfall_Dry!$A$2:$A$217,0)),"")</f>
        <v>137.19979645800001</v>
      </c>
      <c r="Y381" s="260">
        <v>27.96</v>
      </c>
      <c r="Z381" s="260">
        <v>4.9200000000000017</v>
      </c>
      <c r="AA381" s="260">
        <v>67.12</v>
      </c>
      <c r="AB381" s="261" t="s">
        <v>2670</v>
      </c>
      <c r="AC381" s="260">
        <v>8.0437161163134494</v>
      </c>
      <c r="AD381">
        <f>IF('WetLitterbags placem_collection'!AB162="","",'WetLitterbags placem_collection'!AB162)</f>
        <v>0.8</v>
      </c>
      <c r="AE381">
        <f>IF('WetLitterbags placem_collection'!Z162="","",'WetLitterbags placem_collection'!Z162)</f>
        <v>10.8</v>
      </c>
      <c r="AF381" s="24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71">
        <f>IFERROR(AVERAGE('Dry_Litterbag Placem_Collection'!N162,'Dry_Litterbag Placem_Collection'!Q162),"")</f>
        <v>29.200000000000003</v>
      </c>
      <c r="AJ381" s="270">
        <f>INDEX(Coordinates!$B$2:$B$197,MATCH(G381,Coordinates!$J$2:$J$197,0))</f>
        <v>-2.367547005</v>
      </c>
      <c r="AK381" s="270">
        <f>INDEX(Coordinates!$C$2:$C$197,MATCH(G381,Coordinates!$J$2:$J$197,0))</f>
        <v>34.059494989999997</v>
      </c>
      <c r="AL381" s="270" t="str">
        <f>IF(ISNUMBER(SEARCH("C", 'Dry_Litterbag Placem_Collection'!T162)),"YES","NO")</f>
        <v>NO</v>
      </c>
      <c r="AM381" s="270" t="str">
        <f>IF(ISNUMBER(SEARCH("H", 'Dry_Litterbag Placem_Collection'!T162)),"YES","NO")</f>
        <v>YES</v>
      </c>
      <c r="AN381" s="270" t="str">
        <f>IF(ISNUMBER(SEARCH("R", 'Dry_Litterbag Placem_Collection'!T162)),"YES","NO")</f>
        <v>NO</v>
      </c>
    </row>
    <row r="382" spans="1:40" ht="15" customHeight="1">
      <c r="A382" s="262" t="s">
        <v>2659</v>
      </c>
      <c r="B382" s="263">
        <f>'Dry_Litterbag Placem_Collection'!A163</f>
        <v>161</v>
      </c>
      <c r="C382" s="263" t="str">
        <f>'Dry_Litterbag Placem_Collection'!B163</f>
        <v>Handajega</v>
      </c>
      <c r="D382" s="263" t="s">
        <v>2659</v>
      </c>
      <c r="E382" s="263" t="s">
        <v>2661</v>
      </c>
      <c r="F382" s="263">
        <v>1</v>
      </c>
      <c r="G382" s="264" t="str">
        <f>'Dry_Litterbag Placem_Collection'!C163</f>
        <v>Wet_W1_T1</v>
      </c>
      <c r="H382" s="265" t="s">
        <v>2541</v>
      </c>
      <c r="I382" s="272" t="s">
        <v>298</v>
      </c>
      <c r="J382" s="263" t="str">
        <f>IF(ISBLANK('Dry_Litterbag Placem_Collection'!K163),"","R"&amp;""&amp;'Dry_Litterbag Placem_Collection'!K163)</f>
        <v>R673</v>
      </c>
      <c r="K382" s="267">
        <f>IFERROR(INDEX('Green_rooibos initial weight'!$C$5:$C$1749,MATCH(J382, 'Green_rooibos initial weight'!$A$5:$A$1749,0)),"")</f>
        <v>2.121</v>
      </c>
      <c r="L382" s="267">
        <f>IFERROR(K382-(TBIcalc!$Q$9+TBIcalc!$Q$10),"")</f>
        <v>1.8712</v>
      </c>
      <c r="M382" s="391">
        <f>AVERAGE(Ashed_controlls!$K$12:$K$14)</f>
        <v>2.2816647271287041</v>
      </c>
      <c r="N382" s="267">
        <f t="shared" si="26"/>
        <v>1.8285054896259676</v>
      </c>
      <c r="O382" s="267">
        <f>IF(IFERROR(INDEX('Both teabags AfterDry'!$D$3:$D$900,MATCH(J382,'Both teabags AfterDry'!$A$3:$A$900,0)),"")="","",(IFERROR(INDEX('Both teabags AfterDry'!$D$3:$D$900,MATCH(J382,'Both teabags AfterDry'!$A$3:$A$900,0)),"")))</f>
        <v>1.1623000000000001</v>
      </c>
      <c r="P382" s="267">
        <f>IFERROR(IF(O382&gt;0,O382-(TBIcalc!$Q$9),""),"")</f>
        <v>1.0117</v>
      </c>
      <c r="Q382" s="278">
        <f>IFERROR(INDEX('Ashed teabags dry'!$K$2:$K$825,MATCH(J382,'Ashed teabags dry'!$A$2:$A$825,0)),"")</f>
        <v>32.285429141716598</v>
      </c>
      <c r="R382" s="278">
        <f t="shared" si="27"/>
        <v>0.68506831337325313</v>
      </c>
      <c r="S382" s="268">
        <f>'Dry_Litterbag Placem_Collection'!E163</f>
        <v>42940</v>
      </c>
      <c r="T382" s="268">
        <f>IF('Dry_Litterbag Placem_Collection'!G163="","",'Dry_Litterbag Placem_Collection'!G163)</f>
        <v>43009</v>
      </c>
      <c r="U382" s="269">
        <f t="shared" si="25"/>
        <v>69</v>
      </c>
      <c r="V382" s="267">
        <f t="shared" si="28"/>
        <v>0.85949999999999993</v>
      </c>
      <c r="W382" s="267">
        <f t="shared" si="29"/>
        <v>1.1434371762527145</v>
      </c>
      <c r="X382" s="271">
        <f>IFERROR(INDEX(Rainfall_Dry!$O$2:$O$217,MATCH(B382, Rainfall_Dry!$A$2:$A$217,0)),"")</f>
        <v>162.634207253</v>
      </c>
      <c r="Y382" s="260">
        <v>21.96</v>
      </c>
      <c r="Z382" s="260">
        <v>4.9199999999999982</v>
      </c>
      <c r="AA382" s="260">
        <v>73.12</v>
      </c>
      <c r="AB382" s="261" t="s">
        <v>2670</v>
      </c>
      <c r="AC382" s="260">
        <v>1.2416954164613114</v>
      </c>
      <c r="AD382">
        <f>IF('WetLitterbags placem_collection'!AB163="","",'WetLitterbags placem_collection'!AB163)</f>
        <v>7.6</v>
      </c>
      <c r="AE382">
        <f>IF('WetLitterbags placem_collection'!Z163="","",'WetLitterbags placem_collection'!Z163)</f>
        <v>35.799999999999997</v>
      </c>
      <c r="AF382" s="24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71">
        <f>IFERROR(AVERAGE('Dry_Litterbag Placem_Collection'!N163,'Dry_Litterbag Placem_Collection'!Q163),"")</f>
        <v>31.7</v>
      </c>
      <c r="AJ382" s="270">
        <f>INDEX(Coordinates!$B$2:$B$197,MATCH(G382,Coordinates!$J$2:$J$197,0))</f>
        <v>-2.272751033</v>
      </c>
      <c r="AK382" s="270">
        <f>INDEX(Coordinates!$C$2:$C$197,MATCH(G382,Coordinates!$J$2:$J$197,0))</f>
        <v>34.023176030000002</v>
      </c>
      <c r="AL382" s="270" t="str">
        <f>IF(ISNUMBER(SEARCH("C", 'Dry_Litterbag Placem_Collection'!T163)),"YES","NO")</f>
        <v>NO</v>
      </c>
      <c r="AM382" s="270" t="str">
        <f>IF(ISNUMBER(SEARCH("H", 'Dry_Litterbag Placem_Collection'!T163)),"YES","NO")</f>
        <v>YES</v>
      </c>
      <c r="AN382" s="270" t="str">
        <f>IF(ISNUMBER(SEARCH("R", 'Dry_Litterbag Placem_Collection'!T163)),"YES","NO")</f>
        <v>NO</v>
      </c>
    </row>
    <row r="383" spans="1:40" ht="15" customHeight="1">
      <c r="A383" s="262" t="s">
        <v>2659</v>
      </c>
      <c r="B383" s="263">
        <f>'Dry_Litterbag Placem_Collection'!A164</f>
        <v>162</v>
      </c>
      <c r="C383" s="263" t="str">
        <f>'Dry_Litterbag Placem_Collection'!B164</f>
        <v>Handajega</v>
      </c>
      <c r="D383" s="263" t="s">
        <v>2659</v>
      </c>
      <c r="E383" s="263" t="s">
        <v>2661</v>
      </c>
      <c r="F383" s="263">
        <v>1</v>
      </c>
      <c r="G383" s="264" t="str">
        <f>'Dry_Litterbag Placem_Collection'!C164</f>
        <v>Wet_W1_T2</v>
      </c>
      <c r="H383" s="265" t="s">
        <v>2541</v>
      </c>
      <c r="I383" s="272" t="s">
        <v>298</v>
      </c>
      <c r="J383" s="263" t="str">
        <f>IF(ISBLANK('Dry_Litterbag Placem_Collection'!K164),"","R"&amp;""&amp;'Dry_Litterbag Placem_Collection'!K164)</f>
        <v>R814</v>
      </c>
      <c r="K383" s="267">
        <f>IFERROR(INDEX('Green_rooibos initial weight'!$C$5:$C$1749,MATCH(J383, 'Green_rooibos initial weight'!$A$5:$A$1749,0)),"")</f>
        <v>2.2210000000000001</v>
      </c>
      <c r="L383" s="267">
        <f>IFERROR(K383-(TBIcalc!$Q$9+TBIcalc!$Q$10),"")</f>
        <v>1.9712000000000001</v>
      </c>
      <c r="M383" s="391">
        <f>AVERAGE(Ashed_controlls!$K$12:$K$14)</f>
        <v>2.2816647271287041</v>
      </c>
      <c r="N383" s="267">
        <f t="shared" si="26"/>
        <v>1.926223824898839</v>
      </c>
      <c r="O383" s="267">
        <f>IF(IFERROR(INDEX('Both teabags AfterDry'!$D$3:$D$900,MATCH(J383,'Both teabags AfterDry'!$A$3:$A$900,0)),"")="","",(IFERROR(INDEX('Both teabags AfterDry'!$D$3:$D$900,MATCH(J383,'Both teabags AfterDry'!$A$3:$A$900,0)),"")))</f>
        <v>2.4714999999999998</v>
      </c>
      <c r="P383" s="267">
        <f>IFERROR(IF(O383&gt;0,O383-(TBIcalc!$Q$9),""),"")</f>
        <v>2.3209</v>
      </c>
      <c r="Q383" s="278">
        <f>IFERROR(INDEX('Ashed teabags dry'!$K$2:$K$825,MATCH(J383,'Ashed teabags dry'!$A$2:$A$825,0)),"")</f>
        <v>91.237322515213222</v>
      </c>
      <c r="R383" s="278">
        <f t="shared" si="27"/>
        <v>0.20337298174441631</v>
      </c>
      <c r="S383" s="268">
        <f>'Dry_Litterbag Placem_Collection'!E164</f>
        <v>42940</v>
      </c>
      <c r="T383" s="268">
        <f>IF('Dry_Litterbag Placem_Collection'!G164="","",'Dry_Litterbag Placem_Collection'!G164)</f>
        <v>43009</v>
      </c>
      <c r="U383" s="269">
        <f t="shared" si="25"/>
        <v>69</v>
      </c>
      <c r="V383" s="267">
        <f t="shared" si="28"/>
        <v>-0.3496999999999999</v>
      </c>
      <c r="W383" s="267">
        <f t="shared" si="29"/>
        <v>1.7228508431544227</v>
      </c>
      <c r="X383" s="271">
        <f>IFERROR(INDEX(Rainfall_Dry!$O$2:$O$217,MATCH(B383, Rainfall_Dry!$A$2:$A$217,0)),"")</f>
        <v>162.634207253</v>
      </c>
      <c r="Y383" s="260">
        <v>21.96</v>
      </c>
      <c r="Z383" s="260">
        <v>4.9199999999999982</v>
      </c>
      <c r="AA383" s="260">
        <v>73.12</v>
      </c>
      <c r="AB383" s="261" t="s">
        <v>2670</v>
      </c>
      <c r="AC383" s="260">
        <v>2.2416954164613099</v>
      </c>
      <c r="AD383">
        <f>IF('WetLitterbags placem_collection'!AB164="","",'WetLitterbags placem_collection'!AB164)</f>
        <v>4.0999999999999996</v>
      </c>
      <c r="AE383">
        <f>IF('WetLitterbags placem_collection'!Z164="","",'WetLitterbags placem_collection'!Z164)</f>
        <v>31.4</v>
      </c>
      <c r="AF383" s="24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71">
        <f>IFERROR(AVERAGE('Dry_Litterbag Placem_Collection'!N164,'Dry_Litterbag Placem_Collection'!Q164),"")</f>
        <v>31.650000000000002</v>
      </c>
      <c r="AJ383" s="270">
        <f>INDEX(Coordinates!$B$2:$B$197,MATCH(G383,Coordinates!$J$2:$J$197,0))</f>
        <v>-2.2727060219999999</v>
      </c>
      <c r="AK383" s="270">
        <f>INDEX(Coordinates!$C$2:$C$197,MATCH(G383,Coordinates!$J$2:$J$197,0))</f>
        <v>34.023162030000002</v>
      </c>
      <c r="AL383" s="270" t="str">
        <f>IF(ISNUMBER(SEARCH("C", 'Dry_Litterbag Placem_Collection'!T164)),"YES","NO")</f>
        <v>YES</v>
      </c>
      <c r="AM383" s="270" t="str">
        <f>IF(ISNUMBER(SEARCH("H", 'Dry_Litterbag Placem_Collection'!T164)),"YES","NO")</f>
        <v>YES</v>
      </c>
      <c r="AN383" s="270" t="str">
        <f>IF(ISNUMBER(SEARCH("R", 'Dry_Litterbag Placem_Collection'!T164)),"YES","NO")</f>
        <v>NO</v>
      </c>
    </row>
    <row r="384" spans="1:40" ht="15" customHeight="1">
      <c r="A384" s="262" t="s">
        <v>2659</v>
      </c>
      <c r="B384" s="263">
        <f>'Dry_Litterbag Placem_Collection'!A165</f>
        <v>163</v>
      </c>
      <c r="C384" s="263" t="str">
        <f>'Dry_Litterbag Placem_Collection'!B165</f>
        <v>Handajega</v>
      </c>
      <c r="D384" s="263" t="s">
        <v>2659</v>
      </c>
      <c r="E384" s="263" t="s">
        <v>2661</v>
      </c>
      <c r="F384" s="263">
        <v>1</v>
      </c>
      <c r="G384" s="264" t="str">
        <f>'Dry_Litterbag Placem_Collection'!C165</f>
        <v>Wet_W1_T3</v>
      </c>
      <c r="H384" s="265" t="s">
        <v>2541</v>
      </c>
      <c r="I384" s="272" t="s">
        <v>298</v>
      </c>
      <c r="J384" s="263" t="str">
        <f>IF(ISBLANK('Dry_Litterbag Placem_Collection'!K165),"","R"&amp;""&amp;'Dry_Litterbag Placem_Collection'!K165)</f>
        <v>R615</v>
      </c>
      <c r="K384" s="267">
        <f>IFERROR(INDEX('Green_rooibos initial weight'!$C$5:$C$1749,MATCH(J384, 'Green_rooibos initial weight'!$A$5:$A$1749,0)),"")</f>
        <v>2.157</v>
      </c>
      <c r="L384" s="267">
        <f>IFERROR(K384-(TBIcalc!$Q$9+TBIcalc!$Q$10),"")</f>
        <v>1.9072</v>
      </c>
      <c r="M384" s="391">
        <f>AVERAGE(Ashed_controlls!$K$12:$K$14)</f>
        <v>2.2816647271287041</v>
      </c>
      <c r="N384" s="267">
        <f t="shared" si="26"/>
        <v>1.8636840903242013</v>
      </c>
      <c r="O384" s="267">
        <f>IF(IFERROR(INDEX('Both teabags AfterDry'!$D$3:$D$900,MATCH(J384,'Both teabags AfterDry'!$A$3:$A$900,0)),"")="","",(IFERROR(INDEX('Both teabags AfterDry'!$D$3:$D$900,MATCH(J384,'Both teabags AfterDry'!$A$3:$A$900,0)),"")))</f>
        <v>1.4872000000000001</v>
      </c>
      <c r="P384" s="267">
        <f>IFERROR(IF(O384&gt;0,O384-(TBIcalc!$Q$9),""),"")</f>
        <v>1.3366</v>
      </c>
      <c r="Q384" s="278">
        <f>IFERROR(INDEX('Ashed teabags dry'!$K$2:$K$825,MATCH(J384,'Ashed teabags dry'!$A$2:$A$825,0)),"")</f>
        <v>30.154767848227259</v>
      </c>
      <c r="R384" s="278">
        <f t="shared" si="27"/>
        <v>0.93355137294059443</v>
      </c>
      <c r="S384" s="268">
        <f>'Dry_Litterbag Placem_Collection'!E165</f>
        <v>42940</v>
      </c>
      <c r="T384" s="268">
        <f>IF('Dry_Litterbag Placem_Collection'!G165="","",'Dry_Litterbag Placem_Collection'!G165)</f>
        <v>43009</v>
      </c>
      <c r="U384" s="269">
        <f t="shared" si="25"/>
        <v>69</v>
      </c>
      <c r="V384" s="267">
        <f t="shared" si="28"/>
        <v>0.5706</v>
      </c>
      <c r="W384" s="267">
        <f t="shared" si="29"/>
        <v>0.93013271738360692</v>
      </c>
      <c r="X384" s="271">
        <f>IFERROR(INDEX(Rainfall_Dry!$O$2:$O$217,MATCH(B384, Rainfall_Dry!$A$2:$A$217,0)),"")</f>
        <v>162.634207253</v>
      </c>
      <c r="Y384" s="260">
        <v>21.96</v>
      </c>
      <c r="Z384" s="260">
        <v>4.9199999999999982</v>
      </c>
      <c r="AA384" s="260">
        <v>73.12</v>
      </c>
      <c r="AB384" s="261" t="s">
        <v>2670</v>
      </c>
      <c r="AC384" s="260">
        <v>3.2416954164613099</v>
      </c>
      <c r="AD384">
        <f>IF('WetLitterbags placem_collection'!AB165="","",'WetLitterbags placem_collection'!AB165)</f>
        <v>7.8</v>
      </c>
      <c r="AE384">
        <f>IF('WetLitterbags placem_collection'!Z165="","",'WetLitterbags placem_collection'!Z165)</f>
        <v>28.8</v>
      </c>
      <c r="AF384" s="24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71">
        <f>IFERROR(AVERAGE('Dry_Litterbag Placem_Collection'!N165,'Dry_Litterbag Placem_Collection'!Q165),"")</f>
        <v>32.75</v>
      </c>
      <c r="AJ384" s="270">
        <f>INDEX(Coordinates!$B$2:$B$197,MATCH(G384,Coordinates!$J$2:$J$197,0))</f>
        <v>-2.2726719919999998</v>
      </c>
      <c r="AK384" s="270">
        <f>INDEX(Coordinates!$C$2:$C$197,MATCH(G384,Coordinates!$J$2:$J$197,0))</f>
        <v>34.023210980000002</v>
      </c>
      <c r="AL384" s="270" t="str">
        <f>IF(ISNUMBER(SEARCH("C", 'Dry_Litterbag Placem_Collection'!T165)),"YES","NO")</f>
        <v>NO</v>
      </c>
      <c r="AM384" s="270" t="str">
        <f>IF(ISNUMBER(SEARCH("H", 'Dry_Litterbag Placem_Collection'!T165)),"YES","NO")</f>
        <v>YES</v>
      </c>
      <c r="AN384" s="270" t="str">
        <f>IF(ISNUMBER(SEARCH("R", 'Dry_Litterbag Placem_Collection'!T165)),"YES","NO")</f>
        <v>NO</v>
      </c>
    </row>
    <row r="385" spans="1:40" ht="15" customHeight="1">
      <c r="A385" s="262" t="s">
        <v>2659</v>
      </c>
      <c r="B385" s="263">
        <f>'Dry_Litterbag Placem_Collection'!A166</f>
        <v>164</v>
      </c>
      <c r="C385" s="263" t="str">
        <f>'Dry_Litterbag Placem_Collection'!B166</f>
        <v>Handajega</v>
      </c>
      <c r="D385" s="263" t="s">
        <v>2659</v>
      </c>
      <c r="E385" s="263" t="s">
        <v>2661</v>
      </c>
      <c r="F385" s="263">
        <v>1</v>
      </c>
      <c r="G385" s="264" t="str">
        <f>'Dry_Litterbag Placem_Collection'!C166</f>
        <v>Wet_W1_T4</v>
      </c>
      <c r="H385" s="265" t="s">
        <v>2541</v>
      </c>
      <c r="I385" s="272" t="s">
        <v>298</v>
      </c>
      <c r="J385" s="263" t="str">
        <f>IF(ISBLANK('Dry_Litterbag Placem_Collection'!K166),"","R"&amp;""&amp;'Dry_Litterbag Placem_Collection'!K166)</f>
        <v>R514</v>
      </c>
      <c r="K385" s="267">
        <f>IFERROR(INDEX('Green_rooibos initial weight'!$C$5:$C$1749,MATCH(J385, 'Green_rooibos initial weight'!$A$5:$A$1749,0)),"")</f>
        <v>2.1059999999999999</v>
      </c>
      <c r="L385" s="267">
        <f>IFERROR(K385-(TBIcalc!$Q$9+TBIcalc!$Q$10),"")</f>
        <v>1.8561999999999999</v>
      </c>
      <c r="M385" s="391">
        <f>AVERAGE(Ashed_controlls!$K$12:$K$14)</f>
        <v>2.2816647271287041</v>
      </c>
      <c r="N385" s="267">
        <f t="shared" si="26"/>
        <v>1.8138477393350367</v>
      </c>
      <c r="O385" s="267">
        <f>IF(IFERROR(INDEX('Both teabags AfterDry'!$D$3:$D$900,MATCH(J385,'Both teabags AfterDry'!$A$3:$A$900,0)),"")="","",(IFERROR(INDEX('Both teabags AfterDry'!$D$3:$D$900,MATCH(J385,'Both teabags AfterDry'!$A$3:$A$900,0)),"")))</f>
        <v>1.8293999999999999</v>
      </c>
      <c r="P385" s="267">
        <f>IFERROR(IF(O385&gt;0,O385-(TBIcalc!$Q$9),""),"")</f>
        <v>1.6787999999999998</v>
      </c>
      <c r="Q385" s="278">
        <f>IFERROR(INDEX('Ashed teabags dry'!$K$2:$K$825,MATCH(J385,'Ashed teabags dry'!$A$2:$A$825,0)),"")</f>
        <v>11.27856101118171</v>
      </c>
      <c r="R385" s="278">
        <f t="shared" si="27"/>
        <v>1.4894555177442814</v>
      </c>
      <c r="S385" s="268">
        <f>'Dry_Litterbag Placem_Collection'!E166</f>
        <v>42940</v>
      </c>
      <c r="T385" s="268">
        <f>IF('Dry_Litterbag Placem_Collection'!G166="","",'Dry_Litterbag Placem_Collection'!G166)</f>
        <v>43009</v>
      </c>
      <c r="U385" s="269">
        <f t="shared" si="25"/>
        <v>69</v>
      </c>
      <c r="V385" s="267">
        <f t="shared" si="28"/>
        <v>0.1774</v>
      </c>
      <c r="W385" s="267">
        <f t="shared" si="29"/>
        <v>0.32439222159075531</v>
      </c>
      <c r="X385" s="271">
        <f>IFERROR(INDEX(Rainfall_Dry!$O$2:$O$217,MATCH(B385, Rainfall_Dry!$A$2:$A$217,0)),"")</f>
        <v>162.634207253</v>
      </c>
      <c r="Y385" s="260">
        <v>21.96</v>
      </c>
      <c r="Z385" s="260">
        <v>4.9199999999999982</v>
      </c>
      <c r="AA385" s="260">
        <v>73.12</v>
      </c>
      <c r="AB385" s="261" t="s">
        <v>2670</v>
      </c>
      <c r="AC385" s="260">
        <v>4.2416954164613099</v>
      </c>
      <c r="AD385">
        <f>IF('WetLitterbags placem_collection'!AB166="","",'WetLitterbags placem_collection'!AB166)</f>
        <v>9.5</v>
      </c>
      <c r="AE385">
        <f>IF('WetLitterbags placem_collection'!Z166="","",'WetLitterbags placem_collection'!Z166)</f>
        <v>20.8</v>
      </c>
      <c r="AF385" s="24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71">
        <f>IFERROR(AVERAGE('Dry_Litterbag Placem_Collection'!N166,'Dry_Litterbag Placem_Collection'!Q166),"")</f>
        <v>31.3</v>
      </c>
      <c r="AJ385" s="270">
        <f>INDEX(Coordinates!$B$2:$B$197,MATCH(G385,Coordinates!$J$2:$J$197,0))</f>
        <v>-2.2726180130000002</v>
      </c>
      <c r="AK385" s="270">
        <f>INDEX(Coordinates!$C$2:$C$197,MATCH(G385,Coordinates!$J$2:$J$197,0))</f>
        <v>34.023212999999998</v>
      </c>
      <c r="AL385" s="270" t="str">
        <f>IF(ISNUMBER(SEARCH("C", 'Dry_Litterbag Placem_Collection'!T166)),"YES","NO")</f>
        <v>NO</v>
      </c>
      <c r="AM385" s="270" t="str">
        <f>IF(ISNUMBER(SEARCH("H", 'Dry_Litterbag Placem_Collection'!T166)),"YES","NO")</f>
        <v>NO</v>
      </c>
      <c r="AN385" s="270" t="str">
        <f>IF(ISNUMBER(SEARCH("R", 'Dry_Litterbag Placem_Collection'!T166)),"YES","NO")</f>
        <v>NO</v>
      </c>
    </row>
    <row r="386" spans="1:40" ht="15" customHeight="1">
      <c r="A386" s="262" t="s">
        <v>2659</v>
      </c>
      <c r="B386" s="263">
        <f>'Dry_Litterbag Placem_Collection'!A167</f>
        <v>165</v>
      </c>
      <c r="C386" s="263" t="str">
        <f>'Dry_Litterbag Placem_Collection'!B167</f>
        <v>Handajega</v>
      </c>
      <c r="D386" s="263" t="s">
        <v>2659</v>
      </c>
      <c r="E386" s="263" t="s">
        <v>2661</v>
      </c>
      <c r="F386" s="263">
        <v>1</v>
      </c>
      <c r="G386" s="264" t="str">
        <f>'Dry_Litterbag Placem_Collection'!C167</f>
        <v>Wet_W1_T5</v>
      </c>
      <c r="H386" s="265" t="s">
        <v>2541</v>
      </c>
      <c r="I386" s="272" t="s">
        <v>298</v>
      </c>
      <c r="J386" s="263" t="str">
        <f>IF(ISBLANK('Dry_Litterbag Placem_Collection'!K167),"","R"&amp;""&amp;'Dry_Litterbag Placem_Collection'!K167)</f>
        <v>R127</v>
      </c>
      <c r="K386" s="267">
        <f>IFERROR(INDEX('Green_rooibos initial weight'!$C$5:$C$1749,MATCH(J386, 'Green_rooibos initial weight'!$A$5:$A$1749,0)),"")</f>
        <v>2.1869999999999998</v>
      </c>
      <c r="L386" s="267">
        <f>IFERROR(K386-(TBIcalc!$Q$9+TBIcalc!$Q$10),"")</f>
        <v>1.9371999999999998</v>
      </c>
      <c r="M386" s="391">
        <f>AVERAGE(Ashed_controlls!$K$12:$K$14)</f>
        <v>2.2816647271287041</v>
      </c>
      <c r="N386" s="267">
        <f t="shared" si="26"/>
        <v>1.8929995909060626</v>
      </c>
      <c r="O386" s="267">
        <f>IF(IFERROR(INDEX('Both teabags AfterDry'!$D$3:$D$900,MATCH(J386,'Both teabags AfterDry'!$A$3:$A$900,0)),"")="","",(IFERROR(INDEX('Both teabags AfterDry'!$D$3:$D$900,MATCH(J386,'Both teabags AfterDry'!$A$3:$A$900,0)),"")))</f>
        <v>1.7946</v>
      </c>
      <c r="P386" s="267">
        <f>IFERROR(IF(O386&gt;0,O386-(TBIcalc!$Q$9),""),"")</f>
        <v>1.6439999999999999</v>
      </c>
      <c r="Q386" s="278">
        <f>IFERROR(INDEX('Ashed teabags dry'!$K$2:$K$825,MATCH(J386,'Ashed teabags dry'!$A$2:$A$825,0)),"")</f>
        <v>16.392649903288074</v>
      </c>
      <c r="R386" s="278">
        <f t="shared" si="27"/>
        <v>1.3745048355899441</v>
      </c>
      <c r="S386" s="268">
        <f>'Dry_Litterbag Placem_Collection'!E167</f>
        <v>42940</v>
      </c>
      <c r="T386" s="268">
        <f>IF('Dry_Litterbag Placem_Collection'!G167="","",'Dry_Litterbag Placem_Collection'!G167)</f>
        <v>43009</v>
      </c>
      <c r="U386" s="269">
        <f t="shared" ref="U386:U449" si="30">IFERROR(T386-S386,"")</f>
        <v>69</v>
      </c>
      <c r="V386" s="267">
        <f t="shared" si="28"/>
        <v>0.29319999999999991</v>
      </c>
      <c r="W386" s="267">
        <f t="shared" si="29"/>
        <v>0.51849475531611855</v>
      </c>
      <c r="X386" s="271">
        <f>IFERROR(INDEX(Rainfall_Dry!$O$2:$O$217,MATCH(B386, Rainfall_Dry!$A$2:$A$217,0)),"")</f>
        <v>162.634207253</v>
      </c>
      <c r="Y386" s="260">
        <v>21.96</v>
      </c>
      <c r="Z386" s="260">
        <v>4.9199999999999982</v>
      </c>
      <c r="AA386" s="260">
        <v>73.12</v>
      </c>
      <c r="AB386" s="261" t="s">
        <v>2670</v>
      </c>
      <c r="AC386" s="260">
        <v>5.2416954164613099</v>
      </c>
      <c r="AD386">
        <f>IF('WetLitterbags placem_collection'!AB167="","",'WetLitterbags placem_collection'!AB167)</f>
        <v>10.4</v>
      </c>
      <c r="AE386">
        <f>IF('WetLitterbags placem_collection'!Z167="","",'WetLitterbags placem_collection'!Z167)</f>
        <v>13.8</v>
      </c>
      <c r="AF386" s="24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71">
        <f>IFERROR(AVERAGE('Dry_Litterbag Placem_Collection'!N167,'Dry_Litterbag Placem_Collection'!Q167),"")</f>
        <v>32.049999999999997</v>
      </c>
      <c r="AJ386" s="270">
        <f>INDEX(Coordinates!$B$2:$B$197,MATCH(G386,Coordinates!$J$2:$J$197,0))</f>
        <v>-2.2724750170000001</v>
      </c>
      <c r="AK386" s="270">
        <f>INDEX(Coordinates!$C$2:$C$197,MATCH(G386,Coordinates!$J$2:$J$197,0))</f>
        <v>34.02334501</v>
      </c>
      <c r="AL386" s="270" t="str">
        <f>IF(ISNUMBER(SEARCH("C", 'Dry_Litterbag Placem_Collection'!T167)),"YES","NO")</f>
        <v>NO</v>
      </c>
      <c r="AM386" s="270" t="str">
        <f>IF(ISNUMBER(SEARCH("H", 'Dry_Litterbag Placem_Collection'!T167)),"YES","NO")</f>
        <v>NO</v>
      </c>
      <c r="AN386" s="270" t="str">
        <f>IF(ISNUMBER(SEARCH("R", 'Dry_Litterbag Placem_Collection'!T167)),"YES","NO")</f>
        <v>NO</v>
      </c>
    </row>
    <row r="387" spans="1:40" ht="15" customHeight="1">
      <c r="A387" s="262" t="s">
        <v>2659</v>
      </c>
      <c r="B387" s="263">
        <f>'Dry_Litterbag Placem_Collection'!A168</f>
        <v>166</v>
      </c>
      <c r="C387" s="263" t="str">
        <f>'Dry_Litterbag Placem_Collection'!B168</f>
        <v>Handajega</v>
      </c>
      <c r="D387" s="263" t="s">
        <v>2659</v>
      </c>
      <c r="E387" s="263" t="s">
        <v>2661</v>
      </c>
      <c r="F387" s="263">
        <v>1</v>
      </c>
      <c r="G387" s="264" t="str">
        <f>'Dry_Litterbag Placem_Collection'!C168</f>
        <v>Wet_W1_T6</v>
      </c>
      <c r="H387" s="265" t="s">
        <v>2541</v>
      </c>
      <c r="I387" s="272" t="s">
        <v>298</v>
      </c>
      <c r="J387" s="263" t="str">
        <f>IF(ISBLANK('Dry_Litterbag Placem_Collection'!K168),"","R"&amp;""&amp;'Dry_Litterbag Placem_Collection'!K168)</f>
        <v>R752</v>
      </c>
      <c r="K387" s="267">
        <f>IFERROR(INDEX('Green_rooibos initial weight'!$C$5:$C$1749,MATCH(J387, 'Green_rooibos initial weight'!$A$5:$A$1749,0)),"")</f>
        <v>2.1970000000000001</v>
      </c>
      <c r="L387" s="267">
        <f>IFERROR(K387-(TBIcalc!$Q$9+TBIcalc!$Q$10),"")</f>
        <v>1.9472</v>
      </c>
      <c r="M387" s="391">
        <f>AVERAGE(Ashed_controlls!$K$12:$K$14)</f>
        <v>2.2816647271287041</v>
      </c>
      <c r="N387" s="267">
        <f t="shared" ref="N387:N450" si="31">IFERROR(L387-(M387/100)*L387,"")</f>
        <v>1.90277142443335</v>
      </c>
      <c r="O387" s="267">
        <f>IF(IFERROR(INDEX('Both teabags AfterDry'!$D$3:$D$900,MATCH(J387,'Both teabags AfterDry'!$A$3:$A$900,0)),"")="","",(IFERROR(INDEX('Both teabags AfterDry'!$D$3:$D$900,MATCH(J387,'Both teabags AfterDry'!$A$3:$A$900,0)),"")))</f>
        <v>1.6897</v>
      </c>
      <c r="P387" s="267">
        <f>IFERROR(IF(O387&gt;0,O387-(TBIcalc!$Q$9),""),"")</f>
        <v>1.5390999999999999</v>
      </c>
      <c r="Q387" s="278">
        <f>IFERROR(INDEX('Ashed teabags dry'!$K$2:$K$825,MATCH(J387,'Ashed teabags dry'!$A$2:$A$825,0)),"")</f>
        <v>8.4949215143121215</v>
      </c>
      <c r="R387" s="278">
        <f t="shared" ref="R387:R450" si="32">IFERROR(P387-(Q387/100)*P387,"")</f>
        <v>1.408354662973222</v>
      </c>
      <c r="S387" s="268">
        <f>'Dry_Litterbag Placem_Collection'!E168</f>
        <v>42940</v>
      </c>
      <c r="T387" s="268">
        <f>IF('Dry_Litterbag Placem_Collection'!G168="","",'Dry_Litterbag Placem_Collection'!G168)</f>
        <v>43009</v>
      </c>
      <c r="U387" s="269">
        <f t="shared" si="30"/>
        <v>69</v>
      </c>
      <c r="V387" s="267">
        <f t="shared" ref="V387:V450" si="33">IFERROR(L387-P387,"")</f>
        <v>0.40810000000000013</v>
      </c>
      <c r="W387" s="267">
        <f t="shared" ref="W387:W450" si="34">IFERROR(N387-R387,"")</f>
        <v>0.49441676146012803</v>
      </c>
      <c r="X387" s="271">
        <f>IFERROR(INDEX(Rainfall_Dry!$O$2:$O$217,MATCH(B387, Rainfall_Dry!$A$2:$A$217,0)),"")</f>
        <v>162.634207253</v>
      </c>
      <c r="Y387" s="260">
        <v>21.96</v>
      </c>
      <c r="Z387" s="260">
        <v>4.9199999999999982</v>
      </c>
      <c r="AA387" s="260">
        <v>73.12</v>
      </c>
      <c r="AB387" s="261" t="s">
        <v>2670</v>
      </c>
      <c r="AC387" s="260">
        <v>6.2416954164613099</v>
      </c>
      <c r="AD387">
        <f>IF('WetLitterbags placem_collection'!AB168="","",'WetLitterbags placem_collection'!AB168)</f>
        <v>2.1</v>
      </c>
      <c r="AE387">
        <f>IF('WetLitterbags placem_collection'!Z168="","",'WetLitterbags placem_collection'!Z168)</f>
        <v>4.7</v>
      </c>
      <c r="AF387" s="24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71">
        <f>IFERROR(AVERAGE('Dry_Litterbag Placem_Collection'!N168,'Dry_Litterbag Placem_Collection'!Q168),"")</f>
        <v>33.25</v>
      </c>
      <c r="AJ387" s="270">
        <f>INDEX(Coordinates!$B$2:$B$197,MATCH(G387,Coordinates!$J$2:$J$197,0))</f>
        <v>-2.2725490289999999</v>
      </c>
      <c r="AK387" s="270">
        <f>INDEX(Coordinates!$C$2:$C$197,MATCH(G387,Coordinates!$J$2:$J$197,0))</f>
        <v>34.022886020000001</v>
      </c>
      <c r="AL387" s="270" t="str">
        <f>IF(ISNUMBER(SEARCH("C", 'Dry_Litterbag Placem_Collection'!T168)),"YES","NO")</f>
        <v>NO</v>
      </c>
      <c r="AM387" s="270" t="str">
        <f>IF(ISNUMBER(SEARCH("H", 'Dry_Litterbag Placem_Collection'!T168)),"YES","NO")</f>
        <v>NO</v>
      </c>
      <c r="AN387" s="270" t="str">
        <f>IF(ISNUMBER(SEARCH("R", 'Dry_Litterbag Placem_Collection'!T168)),"YES","NO")</f>
        <v>NO</v>
      </c>
    </row>
    <row r="388" spans="1:40" ht="15" customHeight="1">
      <c r="A388" s="262" t="s">
        <v>2659</v>
      </c>
      <c r="B388" s="263">
        <f>'Dry_Litterbag Placem_Collection'!A169</f>
        <v>167</v>
      </c>
      <c r="C388" s="263" t="str">
        <f>'Dry_Litterbag Placem_Collection'!B169</f>
        <v>Handajega</v>
      </c>
      <c r="D388" s="263" t="s">
        <v>2659</v>
      </c>
      <c r="E388" s="263" t="s">
        <v>2661</v>
      </c>
      <c r="F388" s="263">
        <v>1</v>
      </c>
      <c r="G388" s="264" t="str">
        <f>'Dry_Litterbag Placem_Collection'!C169</f>
        <v>Wet_W1_T7</v>
      </c>
      <c r="H388" s="265" t="s">
        <v>2541</v>
      </c>
      <c r="I388" s="272" t="s">
        <v>298</v>
      </c>
      <c r="J388" s="263" t="str">
        <f>IF(ISBLANK('Dry_Litterbag Placem_Collection'!K169),"","R"&amp;""&amp;'Dry_Litterbag Placem_Collection'!K169)</f>
        <v/>
      </c>
      <c r="K388" s="267" t="str">
        <f>IFERROR(INDEX('Green_rooibos initial weight'!$C$5:$C$1749,MATCH(J388, 'Green_rooibos initial weight'!$A$5:$A$1749,0)),"")</f>
        <v/>
      </c>
      <c r="L388" s="267" t="str">
        <f>IFERROR(K388-(TBIcalc!$Q$9+TBIcalc!$Q$10),"")</f>
        <v/>
      </c>
      <c r="M388" s="391">
        <f>AVERAGE(Ashed_controlls!$K$12:$K$14)</f>
        <v>2.2816647271287041</v>
      </c>
      <c r="N388" s="267" t="str">
        <f t="shared" si="31"/>
        <v/>
      </c>
      <c r="O388" s="267" t="str">
        <f>IF(IFERROR(INDEX('Both teabags AfterDry'!$D$3:$D$900,MATCH(J388,'Both teabags AfterDry'!$A$3:$A$900,0)),"")="","",(IFERROR(INDEX('Both teabags AfterDry'!$D$3:$D$900,MATCH(J388,'Both teabags AfterDry'!$A$3:$A$900,0)),"")))</f>
        <v/>
      </c>
      <c r="P388" s="267" t="str">
        <f>IFERROR(IF(O388&gt;0,O388-(TBIcalc!$Q$9),""),"")</f>
        <v/>
      </c>
      <c r="Q388" s="278" t="str">
        <f>IFERROR(INDEX('Ashed teabags dry'!$K$2:$K$825,MATCH(J388,'Ashed teabags dry'!$A$2:$A$825,0)),"")</f>
        <v/>
      </c>
      <c r="R388" s="278" t="str">
        <f t="shared" si="32"/>
        <v/>
      </c>
      <c r="S388" s="268">
        <f>'Dry_Litterbag Placem_Collection'!E169</f>
        <v>0</v>
      </c>
      <c r="T388" s="268" t="str">
        <f>IF('Dry_Litterbag Placem_Collection'!G169="","",'Dry_Litterbag Placem_Collection'!G169)</f>
        <v/>
      </c>
      <c r="U388" s="269" t="str">
        <f t="shared" si="30"/>
        <v/>
      </c>
      <c r="V388" s="267" t="str">
        <f t="shared" si="33"/>
        <v/>
      </c>
      <c r="W388" s="267" t="str">
        <f t="shared" si="34"/>
        <v/>
      </c>
      <c r="X388" s="271" t="str">
        <f>IFERROR(INDEX(Rainfall_Dry!$O$2:$O$217,MATCH(B388, Rainfall_Dry!$A$2:$A$217,0)),"")</f>
        <v/>
      </c>
      <c r="Y388" s="260">
        <v>21.96</v>
      </c>
      <c r="Z388" s="260">
        <v>4.9199999999999982</v>
      </c>
      <c r="AA388" s="260">
        <v>73.12</v>
      </c>
      <c r="AB388" s="261" t="s">
        <v>2670</v>
      </c>
      <c r="AC388" s="260">
        <v>7.2416954164613099</v>
      </c>
      <c r="AD388">
        <f>IF('WetLitterbags placem_collection'!AB169="","",'WetLitterbags placem_collection'!AB169)</f>
        <v>5.6</v>
      </c>
      <c r="AE388">
        <f>IF('WetLitterbags placem_collection'!Z169="","",'WetLitterbags placem_collection'!Z169)</f>
        <v>4.2</v>
      </c>
      <c r="AF388" s="24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71" t="str">
        <f>IFERROR(AVERAGE('Dry_Litterbag Placem_Collection'!N169,'Dry_Litterbag Placem_Collection'!Q169),"")</f>
        <v/>
      </c>
      <c r="AJ388" s="270">
        <f>INDEX(Coordinates!$B$2:$B$197,MATCH(G388,Coordinates!$J$2:$J$197,0))</f>
        <v>-2.2729950310000002</v>
      </c>
      <c r="AK388" s="270">
        <f>INDEX(Coordinates!$C$2:$C$197,MATCH(G388,Coordinates!$J$2:$J$197,0))</f>
        <v>34.022923990000002</v>
      </c>
      <c r="AL388" s="270" t="str">
        <f>IF(ISNUMBER(SEARCH("C", 'Dry_Litterbag Placem_Collection'!T169)),"YES","NO")</f>
        <v>NO</v>
      </c>
      <c r="AM388" s="270" t="str">
        <f>IF(ISNUMBER(SEARCH("H", 'Dry_Litterbag Placem_Collection'!T169)),"YES","NO")</f>
        <v>NO</v>
      </c>
      <c r="AN388" s="270" t="str">
        <f>IF(ISNUMBER(SEARCH("R", 'Dry_Litterbag Placem_Collection'!T169)),"YES","NO")</f>
        <v>NO</v>
      </c>
    </row>
    <row r="389" spans="1:40" ht="15" customHeight="1">
      <c r="A389" s="262" t="s">
        <v>2659</v>
      </c>
      <c r="B389" s="263">
        <f>'Dry_Litterbag Placem_Collection'!A170</f>
        <v>168</v>
      </c>
      <c r="C389" s="263" t="str">
        <f>'Dry_Litterbag Placem_Collection'!B170</f>
        <v>Handajega</v>
      </c>
      <c r="D389" s="263" t="s">
        <v>2659</v>
      </c>
      <c r="E389" s="263" t="s">
        <v>2661</v>
      </c>
      <c r="F389" s="263">
        <v>1</v>
      </c>
      <c r="G389" s="264" t="str">
        <f>'Dry_Litterbag Placem_Collection'!C170</f>
        <v>Wet_W1_T8</v>
      </c>
      <c r="H389" s="265" t="s">
        <v>2541</v>
      </c>
      <c r="I389" s="272" t="s">
        <v>298</v>
      </c>
      <c r="J389" s="263" t="str">
        <f>IF(ISBLANK('Dry_Litterbag Placem_Collection'!K170),"","R"&amp;""&amp;'Dry_Litterbag Placem_Collection'!K170)</f>
        <v>R690</v>
      </c>
      <c r="K389" s="267">
        <f>IFERROR(INDEX('Green_rooibos initial weight'!$C$5:$C$1749,MATCH(J389, 'Green_rooibos initial weight'!$A$5:$A$1749,0)),"")</f>
        <v>2.141</v>
      </c>
      <c r="L389" s="267">
        <f>IFERROR(K389-(TBIcalc!$Q$9+TBIcalc!$Q$10),"")</f>
        <v>1.8912</v>
      </c>
      <c r="M389" s="391">
        <f>AVERAGE(Ashed_controlls!$K$12:$K$14)</f>
        <v>2.2816647271287041</v>
      </c>
      <c r="N389" s="267">
        <f t="shared" si="31"/>
        <v>1.8480491566805419</v>
      </c>
      <c r="O389" s="267" t="str">
        <f>IF(IFERROR(INDEX('Both teabags AfterDry'!$D$3:$D$900,MATCH(J389,'Both teabags AfterDry'!$A$3:$A$900,0)),"")="","",(IFERROR(INDEX('Both teabags AfterDry'!$D$3:$D$900,MATCH(J389,'Both teabags AfterDry'!$A$3:$A$900,0)),"")))</f>
        <v/>
      </c>
      <c r="P389" s="267" t="str">
        <f>IFERROR(IF(O389&gt;0,O389-(TBIcalc!$Q$9),""),"")</f>
        <v/>
      </c>
      <c r="Q389" s="278" t="str">
        <f>IFERROR(INDEX('Ashed teabags dry'!$K$2:$K$825,MATCH(J389,'Ashed teabags dry'!$A$2:$A$825,0)),"")</f>
        <v/>
      </c>
      <c r="R389" s="278" t="str">
        <f t="shared" si="32"/>
        <v/>
      </c>
      <c r="S389" s="268">
        <f>'Dry_Litterbag Placem_Collection'!E170</f>
        <v>42940</v>
      </c>
      <c r="T389" s="268">
        <f>IF('Dry_Litterbag Placem_Collection'!G170="","",'Dry_Litterbag Placem_Collection'!G170)</f>
        <v>43009</v>
      </c>
      <c r="U389" s="269">
        <f t="shared" si="30"/>
        <v>69</v>
      </c>
      <c r="V389" s="267" t="str">
        <f t="shared" si="33"/>
        <v/>
      </c>
      <c r="W389" s="267" t="str">
        <f t="shared" si="34"/>
        <v/>
      </c>
      <c r="X389" s="271">
        <f>IFERROR(INDEX(Rainfall_Dry!$O$2:$O$217,MATCH(B389, Rainfall_Dry!$A$2:$A$217,0)),"")</f>
        <v>162.634207253</v>
      </c>
      <c r="Y389" s="260">
        <v>21.96</v>
      </c>
      <c r="Z389" s="260">
        <v>4.9199999999999982</v>
      </c>
      <c r="AA389" s="260">
        <v>73.12</v>
      </c>
      <c r="AB389" s="261" t="s">
        <v>2670</v>
      </c>
      <c r="AC389" s="260">
        <v>8.2416954164613099</v>
      </c>
      <c r="AD389">
        <f>IF('WetLitterbags placem_collection'!AB170="","",'WetLitterbags placem_collection'!AB170)</f>
        <v>2.4</v>
      </c>
      <c r="AE389">
        <f>IF('WetLitterbags placem_collection'!Z170="","",'WetLitterbags placem_collection'!Z170)</f>
        <v>46</v>
      </c>
      <c r="AF389" s="24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71">
        <f>IFERROR(AVERAGE('Dry_Litterbag Placem_Collection'!N170,'Dry_Litterbag Placem_Collection'!Q170),"")</f>
        <v>30.15</v>
      </c>
      <c r="AJ389" s="270">
        <f>INDEX(Coordinates!$B$2:$B$197,MATCH(G389,Coordinates!$J$2:$J$197,0))</f>
        <v>-2.2729129719999999</v>
      </c>
      <c r="AK389" s="270">
        <f>INDEX(Coordinates!$C$2:$C$197,MATCH(G389,Coordinates!$J$2:$J$197,0))</f>
        <v>34.023350039999997</v>
      </c>
      <c r="AL389" s="270" t="str">
        <f>IF(ISNUMBER(SEARCH("C", 'Dry_Litterbag Placem_Collection'!T170)),"YES","NO")</f>
        <v>NO</v>
      </c>
      <c r="AM389" s="270" t="str">
        <f>IF(ISNUMBER(SEARCH("H", 'Dry_Litterbag Placem_Collection'!T170)),"YES","NO")</f>
        <v>YES</v>
      </c>
      <c r="AN389" s="270" t="str">
        <f>IF(ISNUMBER(SEARCH("R", 'Dry_Litterbag Placem_Collection'!T170)),"YES","NO")</f>
        <v>NO</v>
      </c>
    </row>
    <row r="390" spans="1:40" ht="15" customHeight="1">
      <c r="A390" s="262" t="s">
        <v>2659</v>
      </c>
      <c r="B390" s="263">
        <f>'Dry_Litterbag Placem_Collection'!A171</f>
        <v>169</v>
      </c>
      <c r="C390" s="263" t="str">
        <f>'Dry_Litterbag Placem_Collection'!B171</f>
        <v>Handajega</v>
      </c>
      <c r="D390" s="263" t="s">
        <v>2659</v>
      </c>
      <c r="E390" s="263" t="s">
        <v>2661</v>
      </c>
      <c r="F390" s="263">
        <v>2</v>
      </c>
      <c r="G390" s="264" t="str">
        <f>'Dry_Litterbag Placem_Collection'!C171</f>
        <v>Wet_W2_T1</v>
      </c>
      <c r="H390" s="265" t="s">
        <v>2541</v>
      </c>
      <c r="I390" s="272" t="s">
        <v>298</v>
      </c>
      <c r="J390" s="263" t="str">
        <f>IF(ISBLANK('Dry_Litterbag Placem_Collection'!K171),"","R"&amp;""&amp;'Dry_Litterbag Placem_Collection'!K171)</f>
        <v>R684</v>
      </c>
      <c r="K390" s="267">
        <f>IFERROR(INDEX('Green_rooibos initial weight'!$C$5:$C$1749,MATCH(J390, 'Green_rooibos initial weight'!$A$5:$A$1749,0)),"")</f>
        <v>2.1139999999999999</v>
      </c>
      <c r="L390" s="267">
        <f>IFERROR(K390-(TBIcalc!$Q$9+TBIcalc!$Q$10),"")</f>
        <v>1.8641999999999999</v>
      </c>
      <c r="M390" s="391">
        <f>AVERAGE(Ashed_controlls!$K$12:$K$14)</f>
        <v>2.2816647271287041</v>
      </c>
      <c r="N390" s="267">
        <f t="shared" si="31"/>
        <v>1.8216652061568666</v>
      </c>
      <c r="O390" s="267">
        <f>IF(IFERROR(INDEX('Both teabags AfterDry'!$D$3:$D$900,MATCH(J390,'Both teabags AfterDry'!$A$3:$A$900,0)),"")="","",(IFERROR(INDEX('Both teabags AfterDry'!$D$3:$D$900,MATCH(J390,'Both teabags AfterDry'!$A$3:$A$900,0)),"")))</f>
        <v>1.8154999999999999</v>
      </c>
      <c r="P390" s="267">
        <f>IFERROR(IF(O390&gt;0,O390-(TBIcalc!$Q$9),""),"")</f>
        <v>1.6648999999999998</v>
      </c>
      <c r="Q390" s="278">
        <f>IFERROR(INDEX('Ashed teabags dry'!$K$2:$K$825,MATCH(J390,'Ashed teabags dry'!$A$2:$A$825,0)),"")</f>
        <v>11.642512077294652</v>
      </c>
      <c r="R390" s="278">
        <f t="shared" si="32"/>
        <v>1.4710638164251213</v>
      </c>
      <c r="S390" s="268">
        <f>'Dry_Litterbag Placem_Collection'!E171</f>
        <v>42940</v>
      </c>
      <c r="T390" s="268">
        <f>IF('Dry_Litterbag Placem_Collection'!G171="","",'Dry_Litterbag Placem_Collection'!G171)</f>
        <v>43009</v>
      </c>
      <c r="U390" s="269">
        <f t="shared" si="30"/>
        <v>69</v>
      </c>
      <c r="V390" s="267">
        <f t="shared" si="33"/>
        <v>0.19930000000000003</v>
      </c>
      <c r="W390" s="267">
        <f t="shared" si="34"/>
        <v>0.35060138973174526</v>
      </c>
      <c r="X390" s="271">
        <f>IFERROR(INDEX(Rainfall_Dry!$O$2:$O$217,MATCH(B390, Rainfall_Dry!$A$2:$A$217,0)),"")</f>
        <v>162.634207253</v>
      </c>
      <c r="Y390" s="260">
        <v>23.96</v>
      </c>
      <c r="Z390" s="260">
        <v>4.9199999999999982</v>
      </c>
      <c r="AA390" s="260">
        <v>71.12</v>
      </c>
      <c r="AB390" s="261" t="s">
        <v>2670</v>
      </c>
      <c r="AC390" s="260">
        <v>3.30913750616067</v>
      </c>
      <c r="AD390">
        <f>IF('WetLitterbags placem_collection'!AB171="","",'WetLitterbags placem_collection'!AB171)</f>
        <v>8.1999999999999993</v>
      </c>
      <c r="AE390">
        <f>IF('WetLitterbags placem_collection'!Z171="","",'WetLitterbags placem_collection'!Z171)</f>
        <v>11.4</v>
      </c>
      <c r="AF390" s="24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71">
        <f>IFERROR(AVERAGE('Dry_Litterbag Placem_Collection'!N171,'Dry_Litterbag Placem_Collection'!Q171),"")</f>
        <v>35.049999999999997</v>
      </c>
      <c r="AJ390" s="270">
        <f>INDEX(Coordinates!$B$2:$B$197,MATCH(G390,Coordinates!$J$2:$J$197,0))</f>
        <v>-2.2784290180000002</v>
      </c>
      <c r="AK390" s="270">
        <f>INDEX(Coordinates!$C$2:$C$197,MATCH(G390,Coordinates!$J$2:$J$197,0))</f>
        <v>34.024240030000001</v>
      </c>
      <c r="AL390" s="270" t="str">
        <f>IF(ISNUMBER(SEARCH("C", 'Dry_Litterbag Placem_Collection'!T171)),"YES","NO")</f>
        <v>YES</v>
      </c>
      <c r="AM390" s="270" t="str">
        <f>IF(ISNUMBER(SEARCH("H", 'Dry_Litterbag Placem_Collection'!T171)),"YES","NO")</f>
        <v>NO</v>
      </c>
      <c r="AN390" s="270" t="str">
        <f>IF(ISNUMBER(SEARCH("R", 'Dry_Litterbag Placem_Collection'!T171)),"YES","NO")</f>
        <v>NO</v>
      </c>
    </row>
    <row r="391" spans="1:40" ht="15" customHeight="1">
      <c r="A391" s="262" t="s">
        <v>2659</v>
      </c>
      <c r="B391" s="263">
        <f>'Dry_Litterbag Placem_Collection'!A172</f>
        <v>170</v>
      </c>
      <c r="C391" s="263" t="str">
        <f>'Dry_Litterbag Placem_Collection'!B172</f>
        <v>Handajega</v>
      </c>
      <c r="D391" s="263" t="s">
        <v>2659</v>
      </c>
      <c r="E391" s="263" t="s">
        <v>2661</v>
      </c>
      <c r="F391" s="263">
        <v>2</v>
      </c>
      <c r="G391" s="264" t="str">
        <f>'Dry_Litterbag Placem_Collection'!C172</f>
        <v>Wet_W2_T2</v>
      </c>
      <c r="H391" s="265" t="s">
        <v>2541</v>
      </c>
      <c r="I391" s="272" t="s">
        <v>298</v>
      </c>
      <c r="J391" s="263" t="str">
        <f>IF(ISBLANK('Dry_Litterbag Placem_Collection'!K172),"","R"&amp;""&amp;'Dry_Litterbag Placem_Collection'!K172)</f>
        <v>R694</v>
      </c>
      <c r="K391" s="267">
        <f>IFERROR(INDEX('Green_rooibos initial weight'!$C$5:$C$1749,MATCH(J391, 'Green_rooibos initial weight'!$A$5:$A$1749,0)),"")</f>
        <v>2.23</v>
      </c>
      <c r="L391" s="267">
        <f>IFERROR(K391-(TBIcalc!$Q$9+TBIcalc!$Q$10),"")</f>
        <v>1.9802</v>
      </c>
      <c r="M391" s="391">
        <f>AVERAGE(Ashed_controlls!$K$12:$K$14)</f>
        <v>2.2816647271287041</v>
      </c>
      <c r="N391" s="267">
        <f t="shared" si="31"/>
        <v>1.9350184750733974</v>
      </c>
      <c r="O391" s="267">
        <f>IF(IFERROR(INDEX('Both teabags AfterDry'!$D$3:$D$900,MATCH(J391,'Both teabags AfterDry'!$A$3:$A$900,0)),"")="","",(IFERROR(INDEX('Both teabags AfterDry'!$D$3:$D$900,MATCH(J391,'Both teabags AfterDry'!$A$3:$A$900,0)),"")))</f>
        <v>1.7605</v>
      </c>
      <c r="P391" s="267">
        <f>IFERROR(IF(O391&gt;0,O391-(TBIcalc!$Q$9),""),"")</f>
        <v>1.6098999999999999</v>
      </c>
      <c r="Q391" s="278">
        <f>IFERROR(INDEX('Ashed teabags dry'!$K$2:$K$825,MATCH(J391,'Ashed teabags dry'!$A$2:$A$825,0)),"")</f>
        <v>4.9253731343281189</v>
      </c>
      <c r="R391" s="278">
        <f t="shared" si="32"/>
        <v>1.5306064179104515</v>
      </c>
      <c r="S391" s="268">
        <f>'Dry_Litterbag Placem_Collection'!E172</f>
        <v>42940</v>
      </c>
      <c r="T391" s="268">
        <f>IF('Dry_Litterbag Placem_Collection'!G172="","",'Dry_Litterbag Placem_Collection'!G172)</f>
        <v>43009</v>
      </c>
      <c r="U391" s="269">
        <f t="shared" si="30"/>
        <v>69</v>
      </c>
      <c r="V391" s="267">
        <f t="shared" si="33"/>
        <v>0.37030000000000007</v>
      </c>
      <c r="W391" s="267">
        <f t="shared" si="34"/>
        <v>0.40441205716294593</v>
      </c>
      <c r="X391" s="271">
        <f>IFERROR(INDEX(Rainfall_Dry!$O$2:$O$217,MATCH(B391, Rainfall_Dry!$A$2:$A$217,0)),"")</f>
        <v>162.634207253</v>
      </c>
      <c r="Y391" s="260">
        <v>23.96</v>
      </c>
      <c r="Z391" s="260">
        <v>4.9199999999999982</v>
      </c>
      <c r="AA391" s="260">
        <v>71.12</v>
      </c>
      <c r="AB391" s="261" t="s">
        <v>2670</v>
      </c>
      <c r="AC391" s="260">
        <v>4.3091375061606696</v>
      </c>
      <c r="AD391">
        <f>IF('WetLitterbags placem_collection'!AB172="","",'WetLitterbags placem_collection'!AB172)</f>
        <v>7.7</v>
      </c>
      <c r="AE391">
        <f>IF('WetLitterbags placem_collection'!Z172="","",'WetLitterbags placem_collection'!Z172)</f>
        <v>15.8</v>
      </c>
      <c r="AF391" s="24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71">
        <f>IFERROR(AVERAGE('Dry_Litterbag Placem_Collection'!N172,'Dry_Litterbag Placem_Collection'!Q172),"")</f>
        <v>33.950000000000003</v>
      </c>
      <c r="AJ391" s="270">
        <f>INDEX(Coordinates!$B$2:$B$197,MATCH(G391,Coordinates!$J$2:$J$197,0))</f>
        <v>-2.2784629650000001</v>
      </c>
      <c r="AK391" s="270">
        <f>INDEX(Coordinates!$C$2:$C$197,MATCH(G391,Coordinates!$J$2:$J$197,0))</f>
        <v>34.024177999999999</v>
      </c>
      <c r="AL391" s="270" t="str">
        <f>IF(ISNUMBER(SEARCH("C", 'Dry_Litterbag Placem_Collection'!T172)),"YES","NO")</f>
        <v>NO</v>
      </c>
      <c r="AM391" s="270" t="str">
        <f>IF(ISNUMBER(SEARCH("H", 'Dry_Litterbag Placem_Collection'!T172)),"YES","NO")</f>
        <v>NO</v>
      </c>
      <c r="AN391" s="270" t="str">
        <f>IF(ISNUMBER(SEARCH("R", 'Dry_Litterbag Placem_Collection'!T172)),"YES","NO")</f>
        <v>YES</v>
      </c>
    </row>
    <row r="392" spans="1:40" ht="15" customHeight="1">
      <c r="A392" s="262" t="s">
        <v>2659</v>
      </c>
      <c r="B392" s="263">
        <f>'Dry_Litterbag Placem_Collection'!A173</f>
        <v>171</v>
      </c>
      <c r="C392" s="263" t="str">
        <f>'Dry_Litterbag Placem_Collection'!B173</f>
        <v>Handajega</v>
      </c>
      <c r="D392" s="263" t="s">
        <v>2659</v>
      </c>
      <c r="E392" s="263" t="s">
        <v>2661</v>
      </c>
      <c r="F392" s="263">
        <v>2</v>
      </c>
      <c r="G392" s="264" t="str">
        <f>'Dry_Litterbag Placem_Collection'!C173</f>
        <v>Wet_W2_T3</v>
      </c>
      <c r="H392" s="265" t="s">
        <v>2541</v>
      </c>
      <c r="I392" s="272" t="s">
        <v>298</v>
      </c>
      <c r="J392" s="263" t="str">
        <f>IF(ISBLANK('Dry_Litterbag Placem_Collection'!K173),"","R"&amp;""&amp;'Dry_Litterbag Placem_Collection'!K173)</f>
        <v>R655</v>
      </c>
      <c r="K392" s="267">
        <f>IFERROR(INDEX('Green_rooibos initial weight'!$C$5:$C$1749,MATCH(J392, 'Green_rooibos initial weight'!$A$5:$A$1749,0)),"")</f>
        <v>2.1779999999999999</v>
      </c>
      <c r="L392" s="267">
        <f>IFERROR(K392-(TBIcalc!$Q$9+TBIcalc!$Q$10),"")</f>
        <v>1.9281999999999999</v>
      </c>
      <c r="M392" s="391">
        <f>AVERAGE(Ashed_controlls!$K$12:$K$14)</f>
        <v>2.2816647271287041</v>
      </c>
      <c r="N392" s="267">
        <f t="shared" si="31"/>
        <v>1.8842049407315042</v>
      </c>
      <c r="O392" s="267">
        <f>IF(IFERROR(INDEX('Both teabags AfterDry'!$D$3:$D$900,MATCH(J392,'Both teabags AfterDry'!$A$3:$A$900,0)),"")="","",(IFERROR(INDEX('Both teabags AfterDry'!$D$3:$D$900,MATCH(J392,'Both teabags AfterDry'!$A$3:$A$900,0)),"")))</f>
        <v>3.7545000000000002</v>
      </c>
      <c r="P392" s="267">
        <f>IFERROR(IF(O392&gt;0,O392-(TBIcalc!$Q$9),""),"")</f>
        <v>3.6039000000000003</v>
      </c>
      <c r="Q392" s="278">
        <f>IFERROR(INDEX('Ashed teabags dry'!$K$2:$K$825,MATCH(J392,'Ashed teabags dry'!$A$2:$A$825,0)),"")</f>
        <v>89.436947417404014</v>
      </c>
      <c r="R392" s="278">
        <f t="shared" si="32"/>
        <v>0.38068185202417704</v>
      </c>
      <c r="S392" s="268">
        <f>'Dry_Litterbag Placem_Collection'!E173</f>
        <v>42940</v>
      </c>
      <c r="T392" s="268">
        <f>IF('Dry_Litterbag Placem_Collection'!G173="","",'Dry_Litterbag Placem_Collection'!G173)</f>
        <v>43009</v>
      </c>
      <c r="U392" s="269">
        <f t="shared" si="30"/>
        <v>69</v>
      </c>
      <c r="V392" s="267">
        <f t="shared" si="33"/>
        <v>-1.6757000000000004</v>
      </c>
      <c r="W392" s="267">
        <f t="shared" si="34"/>
        <v>1.5035230887073272</v>
      </c>
      <c r="X392" s="271">
        <f>IFERROR(INDEX(Rainfall_Dry!$O$2:$O$217,MATCH(B392, Rainfall_Dry!$A$2:$A$217,0)),"")</f>
        <v>162.634207253</v>
      </c>
      <c r="Y392" s="260">
        <v>23.96</v>
      </c>
      <c r="Z392" s="260">
        <v>4.9199999999999982</v>
      </c>
      <c r="AA392" s="260">
        <v>71.12</v>
      </c>
      <c r="AB392" s="261" t="s">
        <v>2670</v>
      </c>
      <c r="AC392" s="260">
        <v>5.3091375061606696</v>
      </c>
      <c r="AD392">
        <f>IF('WetLitterbags placem_collection'!AB173="","",'WetLitterbags placem_collection'!AB173)</f>
        <v>13.4</v>
      </c>
      <c r="AE392">
        <f>IF('WetLitterbags placem_collection'!Z173="","",'WetLitterbags placem_collection'!Z173)</f>
        <v>7.6</v>
      </c>
      <c r="AF392" s="24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71">
        <f>IFERROR(AVERAGE('Dry_Litterbag Placem_Collection'!N173,'Dry_Litterbag Placem_Collection'!Q173),"")</f>
        <v>33</v>
      </c>
      <c r="AJ392" s="270">
        <f>INDEX(Coordinates!$B$2:$B$197,MATCH(G392,Coordinates!$J$2:$J$197,0))</f>
        <v>-2.2785389889999998</v>
      </c>
      <c r="AK392" s="270">
        <f>INDEX(Coordinates!$C$2:$C$197,MATCH(G392,Coordinates!$J$2:$J$197,0))</f>
        <v>34.024371039999998</v>
      </c>
      <c r="AL392" s="270" t="str">
        <f>IF(ISNUMBER(SEARCH("C", 'Dry_Litterbag Placem_Collection'!T173)),"YES","NO")</f>
        <v>NO</v>
      </c>
      <c r="AM392" s="270" t="str">
        <f>IF(ISNUMBER(SEARCH("H", 'Dry_Litterbag Placem_Collection'!T173)),"YES","NO")</f>
        <v>YES</v>
      </c>
      <c r="AN392" s="270" t="str">
        <f>IF(ISNUMBER(SEARCH("R", 'Dry_Litterbag Placem_Collection'!T173)),"YES","NO")</f>
        <v>YES</v>
      </c>
    </row>
    <row r="393" spans="1:40" ht="15" customHeight="1">
      <c r="A393" s="262" t="s">
        <v>2659</v>
      </c>
      <c r="B393" s="263">
        <f>'Dry_Litterbag Placem_Collection'!A174</f>
        <v>172</v>
      </c>
      <c r="C393" s="263" t="str">
        <f>'Dry_Litterbag Placem_Collection'!B174</f>
        <v>Handajega</v>
      </c>
      <c r="D393" s="263" t="s">
        <v>2659</v>
      </c>
      <c r="E393" s="263" t="s">
        <v>2661</v>
      </c>
      <c r="F393" s="263">
        <v>2</v>
      </c>
      <c r="G393" s="264" t="str">
        <f>'Dry_Litterbag Placem_Collection'!C174</f>
        <v>Wet_W2_T4</v>
      </c>
      <c r="H393" s="265" t="s">
        <v>2541</v>
      </c>
      <c r="I393" s="272" t="s">
        <v>298</v>
      </c>
      <c r="J393" s="263" t="str">
        <f>IF(ISBLANK('Dry_Litterbag Placem_Collection'!K174),"","R"&amp;""&amp;'Dry_Litterbag Placem_Collection'!K174)</f>
        <v/>
      </c>
      <c r="K393" s="267" t="str">
        <f>IFERROR(INDEX('Green_rooibos initial weight'!$C$5:$C$1749,MATCH(J393, 'Green_rooibos initial weight'!$A$5:$A$1749,0)),"")</f>
        <v/>
      </c>
      <c r="L393" s="267" t="str">
        <f>IFERROR(K393-(TBIcalc!$Q$9+TBIcalc!$Q$10),"")</f>
        <v/>
      </c>
      <c r="M393" s="391">
        <f>AVERAGE(Ashed_controlls!$K$12:$K$14)</f>
        <v>2.2816647271287041</v>
      </c>
      <c r="N393" s="267" t="str">
        <f t="shared" si="31"/>
        <v/>
      </c>
      <c r="O393" s="267" t="str">
        <f>IF(IFERROR(INDEX('Both teabags AfterDry'!$D$3:$D$900,MATCH(J393,'Both teabags AfterDry'!$A$3:$A$900,0)),"")="","",(IFERROR(INDEX('Both teabags AfterDry'!$D$3:$D$900,MATCH(J393,'Both teabags AfterDry'!$A$3:$A$900,0)),"")))</f>
        <v/>
      </c>
      <c r="P393" s="267" t="str">
        <f>IFERROR(IF(O393&gt;0,O393-(TBIcalc!$Q$9),""),"")</f>
        <v/>
      </c>
      <c r="Q393" s="278" t="str">
        <f>IFERROR(INDEX('Ashed teabags dry'!$K$2:$K$825,MATCH(J393,'Ashed teabags dry'!$A$2:$A$825,0)),"")</f>
        <v/>
      </c>
      <c r="R393" s="278" t="str">
        <f t="shared" si="32"/>
        <v/>
      </c>
      <c r="S393" s="268">
        <f>'Dry_Litterbag Placem_Collection'!E174</f>
        <v>0</v>
      </c>
      <c r="T393" s="268" t="str">
        <f>IF('Dry_Litterbag Placem_Collection'!G174="","",'Dry_Litterbag Placem_Collection'!G174)</f>
        <v/>
      </c>
      <c r="U393" s="269" t="str">
        <f t="shared" si="30"/>
        <v/>
      </c>
      <c r="V393" s="267" t="str">
        <f t="shared" si="33"/>
        <v/>
      </c>
      <c r="W393" s="267" t="str">
        <f t="shared" si="34"/>
        <v/>
      </c>
      <c r="X393" s="271" t="str">
        <f>IFERROR(INDEX(Rainfall_Dry!$O$2:$O$217,MATCH(B393, Rainfall_Dry!$A$2:$A$217,0)),"")</f>
        <v/>
      </c>
      <c r="Y393" s="260">
        <v>23.96</v>
      </c>
      <c r="Z393" s="260">
        <v>4.9199999999999982</v>
      </c>
      <c r="AA393" s="260">
        <v>71.12</v>
      </c>
      <c r="AB393" s="261" t="s">
        <v>2670</v>
      </c>
      <c r="AC393" s="260">
        <v>6.3091375061606696</v>
      </c>
      <c r="AD393">
        <f>IF('WetLitterbags placem_collection'!AB174="","",'WetLitterbags placem_collection'!AB174)</f>
        <v>3.3</v>
      </c>
      <c r="AE393">
        <f>IF('WetLitterbags placem_collection'!Z174="","",'WetLitterbags placem_collection'!Z174)</f>
        <v>28.4</v>
      </c>
      <c r="AF393" s="24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71" t="str">
        <f>IFERROR(AVERAGE('Dry_Litterbag Placem_Collection'!N174,'Dry_Litterbag Placem_Collection'!Q174),"")</f>
        <v/>
      </c>
      <c r="AJ393" s="270">
        <f>INDEX(Coordinates!$B$2:$B$197,MATCH(G393,Coordinates!$J$2:$J$197,0))</f>
        <v>-2.2781410160000002</v>
      </c>
      <c r="AK393" s="270">
        <f>INDEX(Coordinates!$C$2:$C$197,MATCH(G393,Coordinates!$J$2:$J$197,0))</f>
        <v>34.024136009999999</v>
      </c>
      <c r="AL393" s="270" t="str">
        <f>IF(ISNUMBER(SEARCH("C", 'Dry_Litterbag Placem_Collection'!T174)),"YES","NO")</f>
        <v>NO</v>
      </c>
      <c r="AM393" s="270" t="str">
        <f>IF(ISNUMBER(SEARCH("H", 'Dry_Litterbag Placem_Collection'!T174)),"YES","NO")</f>
        <v>NO</v>
      </c>
      <c r="AN393" s="270" t="str">
        <f>IF(ISNUMBER(SEARCH("R", 'Dry_Litterbag Placem_Collection'!T174)),"YES","NO")</f>
        <v>NO</v>
      </c>
    </row>
    <row r="394" spans="1:40" ht="15" customHeight="1">
      <c r="A394" s="262" t="s">
        <v>2659</v>
      </c>
      <c r="B394" s="263">
        <f>'Dry_Litterbag Placem_Collection'!A175</f>
        <v>173</v>
      </c>
      <c r="C394" s="263" t="str">
        <f>'Dry_Litterbag Placem_Collection'!B175</f>
        <v>Handajega</v>
      </c>
      <c r="D394" s="263" t="s">
        <v>2659</v>
      </c>
      <c r="E394" s="263" t="s">
        <v>2661</v>
      </c>
      <c r="F394" s="263">
        <v>2</v>
      </c>
      <c r="G394" s="264" t="str">
        <f>'Dry_Litterbag Placem_Collection'!C175</f>
        <v>Wet_W2_T5</v>
      </c>
      <c r="H394" s="265" t="s">
        <v>2541</v>
      </c>
      <c r="I394" s="272" t="s">
        <v>298</v>
      </c>
      <c r="J394" s="263" t="str">
        <f>IF(ISBLANK('Dry_Litterbag Placem_Collection'!K175),"","R"&amp;""&amp;'Dry_Litterbag Placem_Collection'!K175)</f>
        <v>R405</v>
      </c>
      <c r="K394" s="267">
        <f>IFERROR(INDEX('Green_rooibos initial weight'!$C$5:$C$1749,MATCH(J394, 'Green_rooibos initial weight'!$A$5:$A$1749,0)),"")</f>
        <v>2.2400000000000002</v>
      </c>
      <c r="L394" s="267">
        <f>IFERROR(K394-(TBIcalc!$Q$9+TBIcalc!$Q$10),"")</f>
        <v>1.9902000000000002</v>
      </c>
      <c r="M394" s="391">
        <f>AVERAGE(Ashed_controlls!$K$12:$K$14)</f>
        <v>2.2816647271287041</v>
      </c>
      <c r="N394" s="267">
        <f t="shared" si="31"/>
        <v>1.9447903086006848</v>
      </c>
      <c r="O394" s="267" t="str">
        <f>IF(IFERROR(INDEX('Both teabags AfterDry'!$D$3:$D$900,MATCH(J394,'Both teabags AfterDry'!$A$3:$A$900,0)),"")="","",(IFERROR(INDEX('Both teabags AfterDry'!$D$3:$D$900,MATCH(J394,'Both teabags AfterDry'!$A$3:$A$900,0)),"")))</f>
        <v/>
      </c>
      <c r="P394" s="267" t="str">
        <f>IFERROR(IF(O394&gt;0,O394-(TBIcalc!$Q$9),""),"")</f>
        <v/>
      </c>
      <c r="Q394" s="278" t="str">
        <f>IFERROR(INDEX('Ashed teabags dry'!$K$2:$K$825,MATCH(J394,'Ashed teabags dry'!$A$2:$A$825,0)),"")</f>
        <v/>
      </c>
      <c r="R394" s="278" t="str">
        <f t="shared" si="32"/>
        <v/>
      </c>
      <c r="S394" s="268">
        <f>'Dry_Litterbag Placem_Collection'!E175</f>
        <v>42940</v>
      </c>
      <c r="T394" s="268">
        <f>IF('Dry_Litterbag Placem_Collection'!G175="","",'Dry_Litterbag Placem_Collection'!G175)</f>
        <v>43009</v>
      </c>
      <c r="U394" s="269">
        <f t="shared" si="30"/>
        <v>69</v>
      </c>
      <c r="V394" s="267" t="str">
        <f t="shared" si="33"/>
        <v/>
      </c>
      <c r="W394" s="267" t="str">
        <f t="shared" si="34"/>
        <v/>
      </c>
      <c r="X394" s="271">
        <f>IFERROR(INDEX(Rainfall_Dry!$O$2:$O$217,MATCH(B394, Rainfall_Dry!$A$2:$A$217,0)),"")</f>
        <v>162.634207253</v>
      </c>
      <c r="Y394" s="260">
        <v>23.96</v>
      </c>
      <c r="Z394" s="260">
        <v>4.9199999999999982</v>
      </c>
      <c r="AA394" s="260">
        <v>71.12</v>
      </c>
      <c r="AB394" s="261" t="s">
        <v>2670</v>
      </c>
      <c r="AC394" s="260">
        <v>7.3091375061606696</v>
      </c>
      <c r="AD394">
        <f>IF('WetLitterbags placem_collection'!AB175="","",'WetLitterbags placem_collection'!AB175)</f>
        <v>15.4</v>
      </c>
      <c r="AE394">
        <f>IF('WetLitterbags placem_collection'!Z175="","",'WetLitterbags placem_collection'!Z175)</f>
        <v>12.4</v>
      </c>
      <c r="AF394" s="24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71">
        <f>IFERROR(AVERAGE('Dry_Litterbag Placem_Collection'!N175,'Dry_Litterbag Placem_Collection'!Q175),"")</f>
        <v>34.049999999999997</v>
      </c>
      <c r="AJ394" s="270">
        <f>INDEX(Coordinates!$B$2:$B$197,MATCH(G394,Coordinates!$J$2:$J$197,0))</f>
        <v>-2.27856799</v>
      </c>
      <c r="AK394" s="270">
        <f>INDEX(Coordinates!$C$2:$C$197,MATCH(G394,Coordinates!$J$2:$J$197,0))</f>
        <v>34.023969970000003</v>
      </c>
      <c r="AL394" s="270" t="str">
        <f>IF(ISNUMBER(SEARCH("C", 'Dry_Litterbag Placem_Collection'!T175)),"YES","NO")</f>
        <v>NO</v>
      </c>
      <c r="AM394" s="270" t="str">
        <f>IF(ISNUMBER(SEARCH("H", 'Dry_Litterbag Placem_Collection'!T175)),"YES","NO")</f>
        <v>YES</v>
      </c>
      <c r="AN394" s="270" t="str">
        <f>IF(ISNUMBER(SEARCH("R", 'Dry_Litterbag Placem_Collection'!T175)),"YES","NO")</f>
        <v>YES</v>
      </c>
    </row>
    <row r="395" spans="1:40" ht="15" customHeight="1">
      <c r="A395" s="262" t="s">
        <v>2659</v>
      </c>
      <c r="B395" s="263">
        <f>'Dry_Litterbag Placem_Collection'!A176</f>
        <v>174</v>
      </c>
      <c r="C395" s="263" t="str">
        <f>'Dry_Litterbag Placem_Collection'!B176</f>
        <v>Handajega</v>
      </c>
      <c r="D395" s="263" t="s">
        <v>2659</v>
      </c>
      <c r="E395" s="263" t="s">
        <v>2661</v>
      </c>
      <c r="F395" s="263">
        <v>2</v>
      </c>
      <c r="G395" s="264" t="str">
        <f>'Dry_Litterbag Placem_Collection'!C176</f>
        <v>Wet_W2_T6</v>
      </c>
      <c r="H395" s="265" t="s">
        <v>2541</v>
      </c>
      <c r="I395" s="272" t="s">
        <v>298</v>
      </c>
      <c r="J395" s="263" t="str">
        <f>IF(ISBLANK('Dry_Litterbag Placem_Collection'!K176),"","R"&amp;""&amp;'Dry_Litterbag Placem_Collection'!K176)</f>
        <v>R736</v>
      </c>
      <c r="K395" s="267">
        <f>IFERROR(INDEX('Green_rooibos initial weight'!$C$5:$C$1749,MATCH(J395, 'Green_rooibos initial weight'!$A$5:$A$1749,0)),"")</f>
        <v>2.2189999999999999</v>
      </c>
      <c r="L395" s="267">
        <f>IFERROR(K395-(TBIcalc!$Q$9+TBIcalc!$Q$10),"")</f>
        <v>1.9691999999999998</v>
      </c>
      <c r="M395" s="391">
        <f>AVERAGE(Ashed_controlls!$K$12:$K$14)</f>
        <v>2.2816647271287041</v>
      </c>
      <c r="N395" s="267">
        <f t="shared" si="31"/>
        <v>1.9242694581933815</v>
      </c>
      <c r="O395" s="267">
        <f>IF(IFERROR(INDEX('Both teabags AfterDry'!$D$3:$D$900,MATCH(J395,'Both teabags AfterDry'!$A$3:$A$900,0)),"")="","",(IFERROR(INDEX('Both teabags AfterDry'!$D$3:$D$900,MATCH(J395,'Both teabags AfterDry'!$A$3:$A$900,0)),"")))</f>
        <v>1.6238999999999999</v>
      </c>
      <c r="P395" s="267">
        <f>IFERROR(IF(O395&gt;0,O395-(TBIcalc!$Q$9),""),"")</f>
        <v>1.4732999999999998</v>
      </c>
      <c r="Q395" s="278">
        <f>IFERROR(INDEX('Ashed teabags dry'!$K$2:$K$825,MATCH(J395,'Ashed teabags dry'!$A$2:$A$825,0)),"")</f>
        <v>10.510638297872269</v>
      </c>
      <c r="R395" s="278">
        <f t="shared" si="32"/>
        <v>1.3184467659574477</v>
      </c>
      <c r="S395" s="268">
        <f>'Dry_Litterbag Placem_Collection'!E176</f>
        <v>42940</v>
      </c>
      <c r="T395" s="268">
        <f>IF('Dry_Litterbag Placem_Collection'!G176="","",'Dry_Litterbag Placem_Collection'!G176)</f>
        <v>43009</v>
      </c>
      <c r="U395" s="269">
        <f t="shared" si="30"/>
        <v>69</v>
      </c>
      <c r="V395" s="267">
        <f t="shared" si="33"/>
        <v>0.49590000000000001</v>
      </c>
      <c r="W395" s="267">
        <f t="shared" si="34"/>
        <v>0.60582269223593377</v>
      </c>
      <c r="X395" s="271">
        <f>IFERROR(INDEX(Rainfall_Dry!$O$2:$O$217,MATCH(B395, Rainfall_Dry!$A$2:$A$217,0)),"")</f>
        <v>162.634207253</v>
      </c>
      <c r="Y395" s="260">
        <v>23.96</v>
      </c>
      <c r="Z395" s="260">
        <v>4.9199999999999982</v>
      </c>
      <c r="AA395" s="260">
        <v>71.12</v>
      </c>
      <c r="AB395" s="261" t="s">
        <v>2670</v>
      </c>
      <c r="AC395" s="260">
        <v>8.3091375061606705</v>
      </c>
      <c r="AD395">
        <f>IF('WetLitterbags placem_collection'!AB176="","",'WetLitterbags placem_collection'!AB176)</f>
        <v>7.4</v>
      </c>
      <c r="AE395">
        <f>IF('WetLitterbags placem_collection'!Z176="","",'WetLitterbags placem_collection'!Z176)</f>
        <v>7.4</v>
      </c>
      <c r="AF395" s="24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71">
        <f>IFERROR(AVERAGE('Dry_Litterbag Placem_Collection'!N176,'Dry_Litterbag Placem_Collection'!Q176),"")</f>
        <v>33.200000000000003</v>
      </c>
      <c r="AJ395" s="270">
        <f>INDEX(Coordinates!$B$2:$B$197,MATCH(G395,Coordinates!$J$2:$J$197,0))</f>
        <v>-2.2786809780000001</v>
      </c>
      <c r="AK395" s="270">
        <f>INDEX(Coordinates!$C$2:$C$197,MATCH(G395,Coordinates!$J$2:$J$197,0))</f>
        <v>34.02434899</v>
      </c>
      <c r="AL395" s="270" t="str">
        <f>IF(ISNUMBER(SEARCH("C", 'Dry_Litterbag Placem_Collection'!T176)),"YES","NO")</f>
        <v>NO</v>
      </c>
      <c r="AM395" s="270" t="str">
        <f>IF(ISNUMBER(SEARCH("H", 'Dry_Litterbag Placem_Collection'!T176)),"YES","NO")</f>
        <v>NO</v>
      </c>
      <c r="AN395" s="270" t="str">
        <f>IF(ISNUMBER(SEARCH("R", 'Dry_Litterbag Placem_Collection'!T176)),"YES","NO")</f>
        <v>YES</v>
      </c>
    </row>
    <row r="396" spans="1:40" ht="15" customHeight="1">
      <c r="A396" s="262" t="s">
        <v>2659</v>
      </c>
      <c r="B396" s="263">
        <f>'Dry_Litterbag Placem_Collection'!A177</f>
        <v>175</v>
      </c>
      <c r="C396" s="263" t="str">
        <f>'Dry_Litterbag Placem_Collection'!B177</f>
        <v>Handajega</v>
      </c>
      <c r="D396" s="263" t="s">
        <v>2659</v>
      </c>
      <c r="E396" s="263" t="s">
        <v>2661</v>
      </c>
      <c r="F396" s="263">
        <v>2</v>
      </c>
      <c r="G396" s="264" t="str">
        <f>'Dry_Litterbag Placem_Collection'!C177</f>
        <v>Wet_W2_T7</v>
      </c>
      <c r="H396" s="265" t="s">
        <v>2541</v>
      </c>
      <c r="I396" s="272" t="s">
        <v>298</v>
      </c>
      <c r="J396" s="263" t="str">
        <f>IF(ISBLANK('Dry_Litterbag Placem_Collection'!K177),"","R"&amp;""&amp;'Dry_Litterbag Placem_Collection'!K177)</f>
        <v>R338</v>
      </c>
      <c r="K396" s="267">
        <f>IFERROR(INDEX('Green_rooibos initial weight'!$C$5:$C$1749,MATCH(J396, 'Green_rooibos initial weight'!$A$5:$A$1749,0)),"")</f>
        <v>2.1709999999999998</v>
      </c>
      <c r="L396" s="267">
        <f>IFERROR(K396-(TBIcalc!$Q$9+TBIcalc!$Q$10),"")</f>
        <v>1.9211999999999998</v>
      </c>
      <c r="M396" s="391">
        <f>AVERAGE(Ashed_controlls!$K$12:$K$14)</f>
        <v>2.2816647271287041</v>
      </c>
      <c r="N396" s="267">
        <f t="shared" si="31"/>
        <v>1.8773646572624032</v>
      </c>
      <c r="O396" s="267">
        <f>IF(IFERROR(INDEX('Both teabags AfterDry'!$D$3:$D$900,MATCH(J396,'Both teabags AfterDry'!$A$3:$A$900,0)),"")="","",(IFERROR(INDEX('Both teabags AfterDry'!$D$3:$D$900,MATCH(J396,'Both teabags AfterDry'!$A$3:$A$900,0)),"")))</f>
        <v>1.8117000000000001</v>
      </c>
      <c r="P396" s="267">
        <f>IFERROR(IF(O396&gt;0,O396-(TBIcalc!$Q$9),""),"")</f>
        <v>1.6611</v>
      </c>
      <c r="Q396" s="278">
        <f>IFERROR(INDEX('Ashed teabags dry'!$K$2:$K$825,MATCH(J396,'Ashed teabags dry'!$A$2:$A$825,0)),"")</f>
        <v>8.794946550048822</v>
      </c>
      <c r="R396" s="278">
        <f t="shared" si="32"/>
        <v>1.515007142857139</v>
      </c>
      <c r="S396" s="268">
        <f>'Dry_Litterbag Placem_Collection'!E177</f>
        <v>42940</v>
      </c>
      <c r="T396" s="268">
        <f>IF('Dry_Litterbag Placem_Collection'!G177="","",'Dry_Litterbag Placem_Collection'!G177)</f>
        <v>43009</v>
      </c>
      <c r="U396" s="269">
        <f t="shared" si="30"/>
        <v>69</v>
      </c>
      <c r="V396" s="267">
        <f t="shared" si="33"/>
        <v>0.26009999999999978</v>
      </c>
      <c r="W396" s="267">
        <f t="shared" si="34"/>
        <v>0.3623575144052642</v>
      </c>
      <c r="X396" s="271">
        <f>IFERROR(INDEX(Rainfall_Dry!$O$2:$O$217,MATCH(B396, Rainfall_Dry!$A$2:$A$217,0)),"")</f>
        <v>162.634207253</v>
      </c>
      <c r="Y396" s="260">
        <v>23.96</v>
      </c>
      <c r="Z396" s="260">
        <v>4.9199999999999982</v>
      </c>
      <c r="AA396" s="260">
        <v>71.12</v>
      </c>
      <c r="AB396" s="261" t="s">
        <v>2670</v>
      </c>
      <c r="AC396" s="260">
        <v>9.3091375061606705</v>
      </c>
      <c r="AD396">
        <f>IF('WetLitterbags placem_collection'!AB177="","",'WetLitterbags placem_collection'!AB177)</f>
        <v>15.4</v>
      </c>
      <c r="AE396">
        <f>IF('WetLitterbags placem_collection'!Z177="","",'WetLitterbags placem_collection'!Z177)</f>
        <v>9.8000000000000007</v>
      </c>
      <c r="AF396" s="24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71">
        <f>IFERROR(AVERAGE('Dry_Litterbag Placem_Collection'!N177,'Dry_Litterbag Placem_Collection'!Q177),"")</f>
        <v>34.049999999999997</v>
      </c>
      <c r="AJ396" s="270">
        <f>INDEX(Coordinates!$B$2:$B$197,MATCH(G396,Coordinates!$J$2:$J$197,0))</f>
        <v>-2.2784219779999999</v>
      </c>
      <c r="AK396" s="270">
        <f>INDEX(Coordinates!$C$2:$C$197,MATCH(G396,Coordinates!$J$2:$J$197,0))</f>
        <v>34.024374979999997</v>
      </c>
      <c r="AL396" s="270" t="str">
        <f>IF(ISNUMBER(SEARCH("C", 'Dry_Litterbag Placem_Collection'!T177)),"YES","NO")</f>
        <v>NO</v>
      </c>
      <c r="AM396" s="270" t="str">
        <f>IF(ISNUMBER(SEARCH("H", 'Dry_Litterbag Placem_Collection'!T177)),"YES","NO")</f>
        <v>NO</v>
      </c>
      <c r="AN396" s="270" t="str">
        <f>IF(ISNUMBER(SEARCH("R", 'Dry_Litterbag Placem_Collection'!T177)),"YES","NO")</f>
        <v>NO</v>
      </c>
    </row>
    <row r="397" spans="1:40" ht="15" customHeight="1">
      <c r="A397" s="262" t="s">
        <v>2659</v>
      </c>
      <c r="B397" s="263">
        <f>'Dry_Litterbag Placem_Collection'!A178</f>
        <v>176</v>
      </c>
      <c r="C397" s="263" t="str">
        <f>'Dry_Litterbag Placem_Collection'!B178</f>
        <v>Handajega</v>
      </c>
      <c r="D397" s="263" t="s">
        <v>2659</v>
      </c>
      <c r="E397" s="263" t="s">
        <v>2661</v>
      </c>
      <c r="F397" s="263">
        <v>2</v>
      </c>
      <c r="G397" s="264" t="str">
        <f>'Dry_Litterbag Placem_Collection'!C178</f>
        <v>Wet_W2_T8</v>
      </c>
      <c r="H397" s="265" t="s">
        <v>2541</v>
      </c>
      <c r="I397" s="272" t="s">
        <v>298</v>
      </c>
      <c r="J397" s="263" t="str">
        <f>IF(ISBLANK('Dry_Litterbag Placem_Collection'!K178),"","R"&amp;""&amp;'Dry_Litterbag Placem_Collection'!K178)</f>
        <v>R52</v>
      </c>
      <c r="K397" s="267">
        <f>IFERROR(INDEX('Green_rooibos initial weight'!$C$5:$C$1749,MATCH(J397, 'Green_rooibos initial weight'!$A$5:$A$1749,0)),"")</f>
        <v>2.1629999999999998</v>
      </c>
      <c r="L397" s="267">
        <f>IFERROR(K397-(TBIcalc!$Q$9+TBIcalc!$Q$10),"")</f>
        <v>1.9131999999999998</v>
      </c>
      <c r="M397" s="391">
        <f>AVERAGE(Ashed_controlls!$K$12:$K$14)</f>
        <v>2.2816647271287041</v>
      </c>
      <c r="N397" s="267">
        <f t="shared" si="31"/>
        <v>1.8695471904405734</v>
      </c>
      <c r="O397" s="267" t="str">
        <f>IF(IFERROR(INDEX('Both teabags AfterDry'!$D$3:$D$900,MATCH(J397,'Both teabags AfterDry'!$A$3:$A$900,0)),"")="","",(IFERROR(INDEX('Both teabags AfterDry'!$D$3:$D$900,MATCH(J397,'Both teabags AfterDry'!$A$3:$A$900,0)),"")))</f>
        <v/>
      </c>
      <c r="P397" s="267" t="str">
        <f>IFERROR(IF(O397&gt;0,O397-(TBIcalc!$Q$9),""),"")</f>
        <v/>
      </c>
      <c r="Q397" s="278">
        <f>IFERROR(INDEX('Ashed teabags dry'!$K$2:$K$825,MATCH(J397,'Ashed teabags dry'!$A$2:$A$825,0)),"")</f>
        <v>93.555555555555571</v>
      </c>
      <c r="R397" s="278" t="str">
        <f t="shared" si="32"/>
        <v/>
      </c>
      <c r="S397" s="268">
        <f>'Dry_Litterbag Placem_Collection'!E178</f>
        <v>42940</v>
      </c>
      <c r="T397" s="268">
        <f>IF('Dry_Litterbag Placem_Collection'!G178="","",'Dry_Litterbag Placem_Collection'!G178)</f>
        <v>43009</v>
      </c>
      <c r="U397" s="269">
        <f t="shared" si="30"/>
        <v>69</v>
      </c>
      <c r="V397" s="267" t="str">
        <f t="shared" si="33"/>
        <v/>
      </c>
      <c r="W397" s="267" t="str">
        <f t="shared" si="34"/>
        <v/>
      </c>
      <c r="X397" s="271">
        <f>IFERROR(INDEX(Rainfall_Dry!$O$2:$O$217,MATCH(B397, Rainfall_Dry!$A$2:$A$217,0)),"")</f>
        <v>162.634207253</v>
      </c>
      <c r="Y397" s="260">
        <v>23.96</v>
      </c>
      <c r="Z397" s="260">
        <v>4.9199999999999982</v>
      </c>
      <c r="AA397" s="260">
        <v>71.12</v>
      </c>
      <c r="AB397" s="261" t="s">
        <v>2670</v>
      </c>
      <c r="AC397" s="260">
        <v>10.309137506160701</v>
      </c>
      <c r="AD397">
        <f>IF('WetLitterbags placem_collection'!AB178="","",'WetLitterbags placem_collection'!AB178)</f>
        <v>6.8</v>
      </c>
      <c r="AE397">
        <f>IF('WetLitterbags placem_collection'!Z178="","",'WetLitterbags placem_collection'!Z178)</f>
        <v>6.9</v>
      </c>
      <c r="AF397" s="24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71">
        <f>IFERROR(AVERAGE('Dry_Litterbag Placem_Collection'!N178,'Dry_Litterbag Placem_Collection'!Q178),"")</f>
        <v>34.5</v>
      </c>
      <c r="AJ397" s="270">
        <f>INDEX(Coordinates!$B$2:$B$197,MATCH(G397,Coordinates!$J$2:$J$197,0))</f>
        <v>-2.2782909679999999</v>
      </c>
      <c r="AK397" s="270">
        <f>INDEX(Coordinates!$C$2:$C$197,MATCH(G397,Coordinates!$J$2:$J$197,0))</f>
        <v>34.024574970000003</v>
      </c>
      <c r="AL397" s="270" t="str">
        <f>IF(ISNUMBER(SEARCH("C", 'Dry_Litterbag Placem_Collection'!T178)),"YES","NO")</f>
        <v>NO</v>
      </c>
      <c r="AM397" s="270" t="str">
        <f>IF(ISNUMBER(SEARCH("H", 'Dry_Litterbag Placem_Collection'!T178)),"YES","NO")</f>
        <v>YES</v>
      </c>
      <c r="AN397" s="270" t="str">
        <f>IF(ISNUMBER(SEARCH("R", 'Dry_Litterbag Placem_Collection'!T178)),"YES","NO")</f>
        <v>YES</v>
      </c>
    </row>
    <row r="398" spans="1:40" ht="15" customHeight="1">
      <c r="A398" s="262" t="s">
        <v>2659</v>
      </c>
      <c r="B398" s="263">
        <f>'Dry_Litterbag Placem_Collection'!A179</f>
        <v>177</v>
      </c>
      <c r="C398" s="263" t="str">
        <f>'Dry_Litterbag Placem_Collection'!B179</f>
        <v>Handajega</v>
      </c>
      <c r="D398" s="263" t="s">
        <v>2659</v>
      </c>
      <c r="E398" s="263" t="s">
        <v>2661</v>
      </c>
      <c r="F398" s="263">
        <v>3</v>
      </c>
      <c r="G398" s="264" t="str">
        <f>'Dry_Litterbag Placem_Collection'!C179</f>
        <v>Wet_W3_T1</v>
      </c>
      <c r="H398" s="265" t="s">
        <v>2541</v>
      </c>
      <c r="I398" s="272" t="s">
        <v>298</v>
      </c>
      <c r="J398" s="263" t="str">
        <f>IF(ISBLANK('Dry_Litterbag Placem_Collection'!K179),"","R"&amp;""&amp;'Dry_Litterbag Placem_Collection'!K179)</f>
        <v>R750</v>
      </c>
      <c r="K398" s="267">
        <f>IFERROR(INDEX('Green_rooibos initial weight'!$C$5:$C$1749,MATCH(J398, 'Green_rooibos initial weight'!$A$5:$A$1749,0)),"")</f>
        <v>2.2029999999999998</v>
      </c>
      <c r="L398" s="267">
        <f>IFERROR(K398-(TBIcalc!$Q$9+TBIcalc!$Q$10),"")</f>
        <v>1.9531999999999998</v>
      </c>
      <c r="M398" s="391">
        <f>AVERAGE(Ashed_controlls!$K$12:$K$14)</f>
        <v>2.2816647271287041</v>
      </c>
      <c r="N398" s="267">
        <f t="shared" si="31"/>
        <v>1.908634524549722</v>
      </c>
      <c r="O398" s="267" t="str">
        <f>IF(IFERROR(INDEX('Both teabags AfterDry'!$D$3:$D$900,MATCH(J398,'Both teabags AfterDry'!$A$3:$A$900,0)),"")="","",(IFERROR(INDEX('Both teabags AfterDry'!$D$3:$D$900,MATCH(J398,'Both teabags AfterDry'!$A$3:$A$900,0)),"")))</f>
        <v/>
      </c>
      <c r="P398" s="267" t="str">
        <f>IFERROR(IF(O398&gt;0,O398-(TBIcalc!$Q$9),""),"")</f>
        <v/>
      </c>
      <c r="Q398" s="278" t="str">
        <f>IFERROR(INDEX('Ashed teabags dry'!$K$2:$K$825,MATCH(J398,'Ashed teabags dry'!$A$2:$A$825,0)),"")</f>
        <v/>
      </c>
      <c r="R398" s="278" t="str">
        <f t="shared" si="32"/>
        <v/>
      </c>
      <c r="S398" s="268">
        <f>'Dry_Litterbag Placem_Collection'!E179</f>
        <v>42940</v>
      </c>
      <c r="T398" s="268">
        <f>IF('Dry_Litterbag Placem_Collection'!G179="","",'Dry_Litterbag Placem_Collection'!G179)</f>
        <v>43009</v>
      </c>
      <c r="U398" s="269">
        <f t="shared" si="30"/>
        <v>69</v>
      </c>
      <c r="V398" s="267" t="str">
        <f t="shared" si="33"/>
        <v/>
      </c>
      <c r="W398" s="267" t="str">
        <f t="shared" si="34"/>
        <v/>
      </c>
      <c r="X398" s="271">
        <f>IFERROR(INDEX(Rainfall_Dry!$O$2:$O$217,MATCH(B398, Rainfall_Dry!$A$2:$A$217,0)),"")</f>
        <v>162.634207253</v>
      </c>
      <c r="Y398" s="260">
        <v>25.96</v>
      </c>
      <c r="Z398" s="260">
        <v>8.9200000000000017</v>
      </c>
      <c r="AA398" s="260">
        <v>65.12</v>
      </c>
      <c r="AB398" s="261" t="s">
        <v>2670</v>
      </c>
      <c r="AC398" s="260">
        <v>1.614588467225234</v>
      </c>
      <c r="AD398">
        <f>IF('WetLitterbags placem_collection'!AB179="","",'WetLitterbags placem_collection'!AB179)</f>
        <v>17.8</v>
      </c>
      <c r="AE398">
        <f>IF('WetLitterbags placem_collection'!Z179="","",'WetLitterbags placem_collection'!Z179)</f>
        <v>25.8</v>
      </c>
      <c r="AF398" s="24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71">
        <f>IFERROR(AVERAGE('Dry_Litterbag Placem_Collection'!N179,'Dry_Litterbag Placem_Collection'!Q179),"")</f>
        <v>34.150000000000006</v>
      </c>
      <c r="AJ398" s="270">
        <f>INDEX(Coordinates!$B$2:$B$197,MATCH(G398,Coordinates!$J$2:$J$197,0))</f>
        <v>-2.277740026</v>
      </c>
      <c r="AK398" s="270">
        <f>INDEX(Coordinates!$C$2:$C$197,MATCH(G398,Coordinates!$J$2:$J$197,0))</f>
        <v>34.027640990000002</v>
      </c>
      <c r="AL398" s="270" t="str">
        <f>IF(ISNUMBER(SEARCH("C", 'Dry_Litterbag Placem_Collection'!T179)),"YES","NO")</f>
        <v>YES</v>
      </c>
      <c r="AM398" s="270" t="str">
        <f>IF(ISNUMBER(SEARCH("H", 'Dry_Litterbag Placem_Collection'!T179)),"YES","NO")</f>
        <v>YES</v>
      </c>
      <c r="AN398" s="270" t="str">
        <f>IF(ISNUMBER(SEARCH("R", 'Dry_Litterbag Placem_Collection'!T179)),"YES","NO")</f>
        <v>YES</v>
      </c>
    </row>
    <row r="399" spans="1:40" ht="15" customHeight="1">
      <c r="A399" s="262" t="s">
        <v>2659</v>
      </c>
      <c r="B399" s="263">
        <f>'Dry_Litterbag Placem_Collection'!A180</f>
        <v>178</v>
      </c>
      <c r="C399" s="263" t="str">
        <f>'Dry_Litterbag Placem_Collection'!B180</f>
        <v>Handajega</v>
      </c>
      <c r="D399" s="263" t="s">
        <v>2659</v>
      </c>
      <c r="E399" s="263" t="s">
        <v>2661</v>
      </c>
      <c r="F399" s="263">
        <v>3</v>
      </c>
      <c r="G399" s="264" t="str">
        <f>'Dry_Litterbag Placem_Collection'!C180</f>
        <v>Wet_W3_T2</v>
      </c>
      <c r="H399" s="265" t="s">
        <v>2541</v>
      </c>
      <c r="I399" s="272" t="s">
        <v>298</v>
      </c>
      <c r="J399" s="263" t="str">
        <f>IF(ISBLANK('Dry_Litterbag Placem_Collection'!K180),"","R"&amp;""&amp;'Dry_Litterbag Placem_Collection'!K180)</f>
        <v>R612</v>
      </c>
      <c r="K399" s="267">
        <f>IFERROR(INDEX('Green_rooibos initial weight'!$C$5:$C$1749,MATCH(J399, 'Green_rooibos initial weight'!$A$5:$A$1749,0)),"")</f>
        <v>2.11</v>
      </c>
      <c r="L399" s="267">
        <f>IFERROR(K399-(TBIcalc!$Q$9+TBIcalc!$Q$10),"")</f>
        <v>1.8601999999999999</v>
      </c>
      <c r="M399" s="391">
        <f>AVERAGE(Ashed_controlls!$K$12:$K$14)</f>
        <v>2.2816647271287041</v>
      </c>
      <c r="N399" s="267">
        <f t="shared" si="31"/>
        <v>1.8177564727459516</v>
      </c>
      <c r="O399" s="267" t="str">
        <f>IF(IFERROR(INDEX('Both teabags AfterDry'!$D$3:$D$900,MATCH(J399,'Both teabags AfterDry'!$A$3:$A$900,0)),"")="","",(IFERROR(INDEX('Both teabags AfterDry'!$D$3:$D$900,MATCH(J399,'Both teabags AfterDry'!$A$3:$A$900,0)),"")))</f>
        <v/>
      </c>
      <c r="P399" s="267" t="str">
        <f>IFERROR(IF(O399&gt;0,O399-(TBIcalc!$Q$9),""),"")</f>
        <v/>
      </c>
      <c r="Q399" s="278">
        <f>IFERROR(INDEX('Ashed teabags dry'!$K$2:$K$825,MATCH(J399,'Ashed teabags dry'!$A$2:$A$825,0)),"")</f>
        <v>94.417238001958822</v>
      </c>
      <c r="R399" s="278" t="str">
        <f t="shared" si="32"/>
        <v/>
      </c>
      <c r="S399" s="268">
        <f>'Dry_Litterbag Placem_Collection'!E180</f>
        <v>42940</v>
      </c>
      <c r="T399" s="268">
        <f>IF('Dry_Litterbag Placem_Collection'!G180="","",'Dry_Litterbag Placem_Collection'!G180)</f>
        <v>43009</v>
      </c>
      <c r="U399" s="269">
        <f t="shared" si="30"/>
        <v>69</v>
      </c>
      <c r="V399" s="267" t="str">
        <f t="shared" si="33"/>
        <v/>
      </c>
      <c r="W399" s="267" t="str">
        <f t="shared" si="34"/>
        <v/>
      </c>
      <c r="X399" s="271">
        <f>IFERROR(INDEX(Rainfall_Dry!$O$2:$O$217,MATCH(B399, Rainfall_Dry!$A$2:$A$217,0)),"")</f>
        <v>162.634207253</v>
      </c>
      <c r="Y399" s="260">
        <v>25.96</v>
      </c>
      <c r="Z399" s="260">
        <v>8.9200000000000017</v>
      </c>
      <c r="AA399" s="260">
        <v>65.12</v>
      </c>
      <c r="AB399" s="261" t="s">
        <v>2670</v>
      </c>
      <c r="AC399" s="260">
        <v>2.61458846722523</v>
      </c>
      <c r="AD399">
        <f>IF('WetLitterbags placem_collection'!AB180="","",'WetLitterbags placem_collection'!AB180)</f>
        <v>15.4</v>
      </c>
      <c r="AE399">
        <f>IF('WetLitterbags placem_collection'!Z180="","",'WetLitterbags placem_collection'!Z180)</f>
        <v>18.8</v>
      </c>
      <c r="AF399" s="24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71">
        <f>IFERROR(AVERAGE('Dry_Litterbag Placem_Collection'!N180,'Dry_Litterbag Placem_Collection'!Q180),"")</f>
        <v>35.799999999999997</v>
      </c>
      <c r="AJ399" s="270">
        <f>INDEX(Coordinates!$B$2:$B$197,MATCH(G399,Coordinates!$J$2:$J$197,0))</f>
        <v>-2.2777889760000001</v>
      </c>
      <c r="AK399" s="270">
        <f>INDEX(Coordinates!$C$2:$C$197,MATCH(G399,Coordinates!$J$2:$J$197,0))</f>
        <v>34.027664960000003</v>
      </c>
      <c r="AL399" s="270" t="str">
        <f>IF(ISNUMBER(SEARCH("C", 'Dry_Litterbag Placem_Collection'!T180)),"YES","NO")</f>
        <v>YES</v>
      </c>
      <c r="AM399" s="270" t="str">
        <f>IF(ISNUMBER(SEARCH("H", 'Dry_Litterbag Placem_Collection'!T180)),"YES","NO")</f>
        <v>YES</v>
      </c>
      <c r="AN399" s="270" t="str">
        <f>IF(ISNUMBER(SEARCH("R", 'Dry_Litterbag Placem_Collection'!T180)),"YES","NO")</f>
        <v>NO</v>
      </c>
    </row>
    <row r="400" spans="1:40" ht="15" customHeight="1">
      <c r="A400" s="262" t="s">
        <v>2659</v>
      </c>
      <c r="B400" s="263">
        <f>'Dry_Litterbag Placem_Collection'!A181</f>
        <v>179</v>
      </c>
      <c r="C400" s="263" t="str">
        <f>'Dry_Litterbag Placem_Collection'!B181</f>
        <v>Handajega</v>
      </c>
      <c r="D400" s="263" t="s">
        <v>2659</v>
      </c>
      <c r="E400" s="263" t="s">
        <v>2661</v>
      </c>
      <c r="F400" s="263">
        <v>3</v>
      </c>
      <c r="G400" s="264" t="str">
        <f>'Dry_Litterbag Placem_Collection'!C181</f>
        <v>Wet_W3_T3</v>
      </c>
      <c r="H400" s="265" t="s">
        <v>2541</v>
      </c>
      <c r="I400" s="272" t="s">
        <v>298</v>
      </c>
      <c r="J400" s="263" t="str">
        <f>IF(ISBLANK('Dry_Litterbag Placem_Collection'!K181),"","R"&amp;""&amp;'Dry_Litterbag Placem_Collection'!K181)</f>
        <v>R491</v>
      </c>
      <c r="K400" s="267">
        <f>IFERROR(INDEX('Green_rooibos initial weight'!$C$5:$C$1749,MATCH(J400, 'Green_rooibos initial weight'!$A$5:$A$1749,0)),"")</f>
        <v>2.2690000000000001</v>
      </c>
      <c r="L400" s="267">
        <f>IFERROR(K400-(TBIcalc!$Q$9+TBIcalc!$Q$10),"")</f>
        <v>2.0192000000000001</v>
      </c>
      <c r="M400" s="391">
        <f>AVERAGE(Ashed_controlls!$K$12:$K$14)</f>
        <v>2.2816647271287041</v>
      </c>
      <c r="N400" s="267">
        <f t="shared" si="31"/>
        <v>1.9731286258298173</v>
      </c>
      <c r="O400" s="267">
        <f>IF(IFERROR(INDEX('Both teabags AfterDry'!$D$3:$D$900,MATCH(J400,'Both teabags AfterDry'!$A$3:$A$900,0)),"")="","",(IFERROR(INDEX('Both teabags AfterDry'!$D$3:$D$900,MATCH(J400,'Both teabags AfterDry'!$A$3:$A$900,0)),"")))</f>
        <v>2.0198</v>
      </c>
      <c r="P400" s="267">
        <f>IFERROR(IF(O400&gt;0,O400-(TBIcalc!$Q$9),""),"")</f>
        <v>1.8692</v>
      </c>
      <c r="Q400" s="278">
        <f>IFERROR(INDEX('Ashed teabags dry'!$K$2:$K$825,MATCH(J400,'Ashed teabags dry'!$A$2:$A$825,0)),"")</f>
        <v>14.684287812040845</v>
      </c>
      <c r="R400" s="278">
        <f t="shared" si="32"/>
        <v>1.5947212922173324</v>
      </c>
      <c r="S400" s="268">
        <f>'Dry_Litterbag Placem_Collection'!E181</f>
        <v>42940</v>
      </c>
      <c r="T400" s="268">
        <f>IF('Dry_Litterbag Placem_Collection'!G181="","",'Dry_Litterbag Placem_Collection'!G181)</f>
        <v>43009</v>
      </c>
      <c r="U400" s="269">
        <f t="shared" si="30"/>
        <v>69</v>
      </c>
      <c r="V400" s="267">
        <f t="shared" si="33"/>
        <v>0.15000000000000013</v>
      </c>
      <c r="W400" s="267">
        <f t="shared" si="34"/>
        <v>0.37840733361248491</v>
      </c>
      <c r="X400" s="271">
        <f>IFERROR(INDEX(Rainfall_Dry!$O$2:$O$217,MATCH(B400, Rainfall_Dry!$A$2:$A$217,0)),"")</f>
        <v>162.634207253</v>
      </c>
      <c r="Y400" s="260">
        <v>25.96</v>
      </c>
      <c r="Z400" s="260">
        <v>8.9200000000000017</v>
      </c>
      <c r="AA400" s="260">
        <v>65.12</v>
      </c>
      <c r="AB400" s="261" t="s">
        <v>2670</v>
      </c>
      <c r="AC400" s="260">
        <v>3.61458846722523</v>
      </c>
      <c r="AD400">
        <f>IF('WetLitterbags placem_collection'!AB181="","",'WetLitterbags placem_collection'!AB181)</f>
        <v>11.8</v>
      </c>
      <c r="AE400">
        <f>IF('WetLitterbags placem_collection'!Z181="","",'WetLitterbags placem_collection'!Z181)</f>
        <v>15.4</v>
      </c>
      <c r="AF400" s="24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71">
        <f>IFERROR(AVERAGE('Dry_Litterbag Placem_Collection'!N181,'Dry_Litterbag Placem_Collection'!Q181),"")</f>
        <v>34.75</v>
      </c>
      <c r="AJ400" s="270">
        <f>INDEX(Coordinates!$B$2:$B$197,MATCH(G400,Coordinates!$J$2:$J$197,0))</f>
        <v>-2.2778579589999999</v>
      </c>
      <c r="AK400" s="270">
        <f>INDEX(Coordinates!$C$2:$C$197,MATCH(G400,Coordinates!$J$2:$J$197,0))</f>
        <v>34.027682980000002</v>
      </c>
      <c r="AL400" s="270" t="str">
        <f>IF(ISNUMBER(SEARCH("C", 'Dry_Litterbag Placem_Collection'!T181)),"YES","NO")</f>
        <v>NO</v>
      </c>
      <c r="AM400" s="270" t="str">
        <f>IF(ISNUMBER(SEARCH("H", 'Dry_Litterbag Placem_Collection'!T181)),"YES","NO")</f>
        <v>NO</v>
      </c>
      <c r="AN400" s="270" t="str">
        <f>IF(ISNUMBER(SEARCH("R", 'Dry_Litterbag Placem_Collection'!T181)),"YES","NO")</f>
        <v>YES</v>
      </c>
    </row>
    <row r="401" spans="1:40" ht="15" customHeight="1">
      <c r="A401" s="262" t="s">
        <v>2659</v>
      </c>
      <c r="B401" s="263">
        <f>'Dry_Litterbag Placem_Collection'!A182</f>
        <v>180</v>
      </c>
      <c r="C401" s="263" t="str">
        <f>'Dry_Litterbag Placem_Collection'!B182</f>
        <v>Handajega</v>
      </c>
      <c r="D401" s="263" t="s">
        <v>2659</v>
      </c>
      <c r="E401" s="263" t="s">
        <v>2661</v>
      </c>
      <c r="F401" s="263">
        <v>3</v>
      </c>
      <c r="G401" s="264" t="str">
        <f>'Dry_Litterbag Placem_Collection'!C182</f>
        <v>Wet_W3_T4</v>
      </c>
      <c r="H401" s="265" t="s">
        <v>2541</v>
      </c>
      <c r="I401" s="272" t="s">
        <v>298</v>
      </c>
      <c r="J401" s="263" t="str">
        <f>IF(ISBLANK('Dry_Litterbag Placem_Collection'!K182),"","R"&amp;""&amp;'Dry_Litterbag Placem_Collection'!K182)</f>
        <v>R325</v>
      </c>
      <c r="K401" s="267">
        <f>IFERROR(INDEX('Green_rooibos initial weight'!$C$5:$C$1749,MATCH(J401, 'Green_rooibos initial weight'!$A$5:$A$1749,0)),"")</f>
        <v>2.2069999999999999</v>
      </c>
      <c r="L401" s="267">
        <f>IFERROR(K401-(TBIcalc!$Q$9+TBIcalc!$Q$10),"")</f>
        <v>1.9571999999999998</v>
      </c>
      <c r="M401" s="391">
        <f>AVERAGE(Ashed_controlls!$K$12:$K$14)</f>
        <v>2.2816647271287041</v>
      </c>
      <c r="N401" s="267">
        <f t="shared" si="31"/>
        <v>1.9125432579606367</v>
      </c>
      <c r="O401" s="267">
        <f>IF(IFERROR(INDEX('Both teabags AfterDry'!$D$3:$D$900,MATCH(J401,'Both teabags AfterDry'!$A$3:$A$900,0)),"")="","",(IFERROR(INDEX('Both teabags AfterDry'!$D$3:$D$900,MATCH(J401,'Both teabags AfterDry'!$A$3:$A$900,0)),"")))</f>
        <v>1.6720999999999999</v>
      </c>
      <c r="P401" s="267">
        <f>IFERROR(IF(O401&gt;0,O401-(TBIcalc!$Q$9),""),"")</f>
        <v>1.5214999999999999</v>
      </c>
      <c r="Q401" s="278">
        <f>IFERROR(INDEX('Ashed teabags dry'!$K$2:$K$825,MATCH(J401,'Ashed teabags dry'!$A$2:$A$825,0)),"")</f>
        <v>6.4801178203239465</v>
      </c>
      <c r="R401" s="278">
        <f t="shared" si="32"/>
        <v>1.422905007363771</v>
      </c>
      <c r="S401" s="268">
        <f>'Dry_Litterbag Placem_Collection'!E182</f>
        <v>42940</v>
      </c>
      <c r="T401" s="268">
        <f>IF('Dry_Litterbag Placem_Collection'!G182="","",'Dry_Litterbag Placem_Collection'!G182)</f>
        <v>43009</v>
      </c>
      <c r="U401" s="269">
        <f t="shared" si="30"/>
        <v>69</v>
      </c>
      <c r="V401" s="267">
        <f t="shared" si="33"/>
        <v>0.43569999999999998</v>
      </c>
      <c r="W401" s="267">
        <f t="shared" si="34"/>
        <v>0.48963825059686572</v>
      </c>
      <c r="X401" s="271">
        <f>IFERROR(INDEX(Rainfall_Dry!$O$2:$O$217,MATCH(B401, Rainfall_Dry!$A$2:$A$217,0)),"")</f>
        <v>162.634207253</v>
      </c>
      <c r="Y401" s="260">
        <v>25.96</v>
      </c>
      <c r="Z401" s="260">
        <v>8.9200000000000017</v>
      </c>
      <c r="AA401" s="260">
        <v>65.12</v>
      </c>
      <c r="AB401" s="261" t="s">
        <v>2670</v>
      </c>
      <c r="AC401" s="260">
        <v>4.6145884672252304</v>
      </c>
      <c r="AD401">
        <f>IF('WetLitterbags placem_collection'!AB182="","",'WetLitterbags placem_collection'!AB182)</f>
        <v>8.3000000000000007</v>
      </c>
      <c r="AE401">
        <f>IF('WetLitterbags placem_collection'!Z182="","",'WetLitterbags placem_collection'!Z182)</f>
        <v>35</v>
      </c>
      <c r="AF401" s="24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71">
        <f>IFERROR(AVERAGE('Dry_Litterbag Placem_Collection'!N182,'Dry_Litterbag Placem_Collection'!Q182),"")</f>
        <v>31</v>
      </c>
      <c r="AJ401" s="270">
        <f>INDEX(Coordinates!$B$2:$B$197,MATCH(G401,Coordinates!$J$2:$J$197,0))</f>
        <v>-2.2780199809999999</v>
      </c>
      <c r="AK401" s="270">
        <f>INDEX(Coordinates!$C$2:$C$197,MATCH(G401,Coordinates!$J$2:$J$197,0))</f>
        <v>34.027705019999999</v>
      </c>
      <c r="AL401" s="270" t="str">
        <f>IF(ISNUMBER(SEARCH("C", 'Dry_Litterbag Placem_Collection'!T182)),"YES","NO")</f>
        <v>NO</v>
      </c>
      <c r="AM401" s="270" t="str">
        <f>IF(ISNUMBER(SEARCH("H", 'Dry_Litterbag Placem_Collection'!T182)),"YES","NO")</f>
        <v>NO</v>
      </c>
      <c r="AN401" s="270" t="str">
        <f>IF(ISNUMBER(SEARCH("R", 'Dry_Litterbag Placem_Collection'!T182)),"YES","NO")</f>
        <v>NO</v>
      </c>
    </row>
    <row r="402" spans="1:40" ht="15" customHeight="1">
      <c r="A402" s="262" t="s">
        <v>2659</v>
      </c>
      <c r="B402" s="263">
        <f>'Dry_Litterbag Placem_Collection'!A183</f>
        <v>181</v>
      </c>
      <c r="C402" s="263" t="str">
        <f>'Dry_Litterbag Placem_Collection'!B183</f>
        <v>Handajega</v>
      </c>
      <c r="D402" s="263" t="s">
        <v>2659</v>
      </c>
      <c r="E402" s="263" t="s">
        <v>2661</v>
      </c>
      <c r="F402" s="263">
        <v>3</v>
      </c>
      <c r="G402" s="264" t="str">
        <f>'Dry_Litterbag Placem_Collection'!C183</f>
        <v>Wet_W3_T5</v>
      </c>
      <c r="H402" s="265" t="s">
        <v>2541</v>
      </c>
      <c r="I402" s="272" t="s">
        <v>298</v>
      </c>
      <c r="J402" s="263" t="str">
        <f>IF(ISBLANK('Dry_Litterbag Placem_Collection'!K183),"","R"&amp;""&amp;'Dry_Litterbag Placem_Collection'!K183)</f>
        <v>R116</v>
      </c>
      <c r="K402" s="267">
        <f>IFERROR(INDEX('Green_rooibos initial weight'!$C$5:$C$1749,MATCH(J402, 'Green_rooibos initial weight'!$A$5:$A$1749,0)),"")</f>
        <v>2.2909999999999999</v>
      </c>
      <c r="L402" s="267">
        <f>IFERROR(K402-(TBIcalc!$Q$9+TBIcalc!$Q$10),"")</f>
        <v>2.0411999999999999</v>
      </c>
      <c r="M402" s="391">
        <f>AVERAGE(Ashed_controlls!$K$12:$K$14)</f>
        <v>2.2816647271287041</v>
      </c>
      <c r="N402" s="267">
        <f t="shared" si="31"/>
        <v>1.9946266595898487</v>
      </c>
      <c r="O402" s="267">
        <f>IF(IFERROR(INDEX('Both teabags AfterDry'!$D$3:$D$900,MATCH(J402,'Both teabags AfterDry'!$A$3:$A$900,0)),"")="","",(IFERROR(INDEX('Both teabags AfterDry'!$D$3:$D$900,MATCH(J402,'Both teabags AfterDry'!$A$3:$A$900,0)),"")))</f>
        <v>2.0322</v>
      </c>
      <c r="P402" s="267">
        <f>IFERROR(IF(O402&gt;0,O402-(TBIcalc!$Q$9),""),"")</f>
        <v>1.8815999999999999</v>
      </c>
      <c r="Q402" s="278">
        <f>IFERROR(INDEX('Ashed teabags dry'!$K$2:$K$825,MATCH(J402,'Ashed teabags dry'!$A$2:$A$825,0)),"")</f>
        <v>7.2674418604643565</v>
      </c>
      <c r="R402" s="278">
        <f t="shared" si="32"/>
        <v>1.7448558139535026</v>
      </c>
      <c r="S402" s="268">
        <f>'Dry_Litterbag Placem_Collection'!E183</f>
        <v>42940</v>
      </c>
      <c r="T402" s="268">
        <f>IF('Dry_Litterbag Placem_Collection'!G183="","",'Dry_Litterbag Placem_Collection'!G183)</f>
        <v>43009</v>
      </c>
      <c r="U402" s="269">
        <f t="shared" si="30"/>
        <v>69</v>
      </c>
      <c r="V402" s="267">
        <f t="shared" si="33"/>
        <v>0.15959999999999996</v>
      </c>
      <c r="W402" s="267">
        <f t="shared" si="34"/>
        <v>0.24977084563634611</v>
      </c>
      <c r="X402" s="271">
        <f>IFERROR(INDEX(Rainfall_Dry!$O$2:$O$217,MATCH(B402, Rainfall_Dry!$A$2:$A$217,0)),"")</f>
        <v>162.634207253</v>
      </c>
      <c r="Y402" s="260">
        <v>25.96</v>
      </c>
      <c r="Z402" s="260">
        <v>8.9200000000000017</v>
      </c>
      <c r="AA402" s="260">
        <v>65.12</v>
      </c>
      <c r="AB402" s="261" t="s">
        <v>2670</v>
      </c>
      <c r="AC402" s="260">
        <v>5.6145884672252304</v>
      </c>
      <c r="AD402">
        <f>IF('WetLitterbags placem_collection'!AB183="","",'WetLitterbags placem_collection'!AB183)</f>
        <v>11.4</v>
      </c>
      <c r="AE402">
        <f>IF('WetLitterbags placem_collection'!Z183="","",'WetLitterbags placem_collection'!Z183)</f>
        <v>15.8</v>
      </c>
      <c r="AF402" s="24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71">
        <f>IFERROR(AVERAGE('Dry_Litterbag Placem_Collection'!N183,'Dry_Litterbag Placem_Collection'!Q183),"")</f>
        <v>35.099999999999994</v>
      </c>
      <c r="AJ402" s="270">
        <f>INDEX(Coordinates!$B$2:$B$197,MATCH(G402,Coordinates!$J$2:$J$197,0))</f>
        <v>-2.2777329850000001</v>
      </c>
      <c r="AK402" s="270">
        <f>INDEX(Coordinates!$C$2:$C$197,MATCH(G402,Coordinates!$J$2:$J$197,0))</f>
        <v>34.027422970000003</v>
      </c>
      <c r="AL402" s="270" t="str">
        <f>IF(ISNUMBER(SEARCH("C", 'Dry_Litterbag Placem_Collection'!T183)),"YES","NO")</f>
        <v>NO</v>
      </c>
      <c r="AM402" s="270" t="str">
        <f>IF(ISNUMBER(SEARCH("H", 'Dry_Litterbag Placem_Collection'!T183)),"YES","NO")</f>
        <v>NO</v>
      </c>
      <c r="AN402" s="270" t="str">
        <f>IF(ISNUMBER(SEARCH("R", 'Dry_Litterbag Placem_Collection'!T183)),"YES","NO")</f>
        <v>YES</v>
      </c>
    </row>
    <row r="403" spans="1:40" ht="15" customHeight="1">
      <c r="A403" s="262" t="s">
        <v>2659</v>
      </c>
      <c r="B403" s="263">
        <f>'Dry_Litterbag Placem_Collection'!A184</f>
        <v>182</v>
      </c>
      <c r="C403" s="263" t="str">
        <f>'Dry_Litterbag Placem_Collection'!B184</f>
        <v>Handajega</v>
      </c>
      <c r="D403" s="263" t="s">
        <v>2659</v>
      </c>
      <c r="E403" s="263" t="s">
        <v>2661</v>
      </c>
      <c r="F403" s="263">
        <v>3</v>
      </c>
      <c r="G403" s="264" t="str">
        <f>'Dry_Litterbag Placem_Collection'!C184</f>
        <v>Wet_W3_T6</v>
      </c>
      <c r="H403" s="265" t="s">
        <v>2541</v>
      </c>
      <c r="I403" s="272" t="s">
        <v>298</v>
      </c>
      <c r="J403" s="263" t="str">
        <f>IF(ISBLANK('Dry_Litterbag Placem_Collection'!K184),"","R"&amp;""&amp;'Dry_Litterbag Placem_Collection'!K184)</f>
        <v>R613</v>
      </c>
      <c r="K403" s="267">
        <f>IFERROR(INDEX('Green_rooibos initial weight'!$C$5:$C$1749,MATCH(J403, 'Green_rooibos initial weight'!$A$5:$A$1749,0)),"")</f>
        <v>2.1680000000000001</v>
      </c>
      <c r="L403" s="267">
        <f>IFERROR(K403-(TBIcalc!$Q$9+TBIcalc!$Q$10),"")</f>
        <v>1.9182000000000001</v>
      </c>
      <c r="M403" s="391">
        <f>AVERAGE(Ashed_controlls!$K$12:$K$14)</f>
        <v>2.2816647271287041</v>
      </c>
      <c r="N403" s="267">
        <f t="shared" si="31"/>
        <v>1.8744331072042173</v>
      </c>
      <c r="O403" s="267">
        <f>IF(IFERROR(INDEX('Both teabags AfterDry'!$D$3:$D$900,MATCH(J403,'Both teabags AfterDry'!$A$3:$A$900,0)),"")="","",(IFERROR(INDEX('Both teabags AfterDry'!$D$3:$D$900,MATCH(J403,'Both teabags AfterDry'!$A$3:$A$900,0)),"")))</f>
        <v>1.7827</v>
      </c>
      <c r="P403" s="267">
        <f>IFERROR(IF(O403&gt;0,O403-(TBIcalc!$Q$9),""),"")</f>
        <v>1.6320999999999999</v>
      </c>
      <c r="Q403" s="278">
        <f>IFERROR(INDEX('Ashed teabags dry'!$K$2:$K$825,MATCH(J403,'Ashed teabags dry'!$A$2:$A$825,0)),"")</f>
        <v>22.3821339950374</v>
      </c>
      <c r="R403" s="278">
        <f t="shared" si="32"/>
        <v>1.2668011910669945</v>
      </c>
      <c r="S403" s="268">
        <f>'Dry_Litterbag Placem_Collection'!E184</f>
        <v>42940</v>
      </c>
      <c r="T403" s="268">
        <f>IF('Dry_Litterbag Placem_Collection'!G184="","",'Dry_Litterbag Placem_Collection'!G184)</f>
        <v>43009</v>
      </c>
      <c r="U403" s="269">
        <f t="shared" si="30"/>
        <v>69</v>
      </c>
      <c r="V403" s="267">
        <f t="shared" si="33"/>
        <v>0.28610000000000024</v>
      </c>
      <c r="W403" s="267">
        <f t="shared" si="34"/>
        <v>0.60763191613722278</v>
      </c>
      <c r="X403" s="271">
        <f>IFERROR(INDEX(Rainfall_Dry!$O$2:$O$217,MATCH(B403, Rainfall_Dry!$A$2:$A$217,0)),"")</f>
        <v>162.634207253</v>
      </c>
      <c r="Y403" s="260">
        <v>25.96</v>
      </c>
      <c r="Z403" s="260">
        <v>8.9200000000000017</v>
      </c>
      <c r="AA403" s="260">
        <v>65.12</v>
      </c>
      <c r="AB403" s="261" t="s">
        <v>2670</v>
      </c>
      <c r="AC403" s="260">
        <v>6.6145884672252304</v>
      </c>
      <c r="AD403">
        <f>IF('WetLitterbags placem_collection'!AB184="","",'WetLitterbags placem_collection'!AB184)</f>
        <v>8.8000000000000007</v>
      </c>
      <c r="AE403">
        <f>IF('WetLitterbags placem_collection'!Z184="","",'WetLitterbags placem_collection'!Z184)</f>
        <v>15.8</v>
      </c>
      <c r="AF403" s="24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71">
        <f>IFERROR(AVERAGE('Dry_Litterbag Placem_Collection'!N184,'Dry_Litterbag Placem_Collection'!Q184),"")</f>
        <v>36.400000000000006</v>
      </c>
      <c r="AJ403" s="270">
        <f>INDEX(Coordinates!$B$2:$B$197,MATCH(G403,Coordinates!$J$2:$J$197,0))</f>
        <v>-2.2777009659999998</v>
      </c>
      <c r="AK403" s="270">
        <f>INDEX(Coordinates!$C$2:$C$197,MATCH(G403,Coordinates!$J$2:$J$197,0))</f>
        <v>34.027393969999999</v>
      </c>
      <c r="AL403" s="270" t="str">
        <f>IF(ISNUMBER(SEARCH("C", 'Dry_Litterbag Placem_Collection'!T184)),"YES","NO")</f>
        <v>YES</v>
      </c>
      <c r="AM403" s="270" t="str">
        <f>IF(ISNUMBER(SEARCH("H", 'Dry_Litterbag Placem_Collection'!T184)),"YES","NO")</f>
        <v>YES</v>
      </c>
      <c r="AN403" s="270" t="str">
        <f>IF(ISNUMBER(SEARCH("R", 'Dry_Litterbag Placem_Collection'!T184)),"YES","NO")</f>
        <v>YES</v>
      </c>
    </row>
    <row r="404" spans="1:40" ht="15" customHeight="1">
      <c r="A404" s="262" t="s">
        <v>2659</v>
      </c>
      <c r="B404" s="263">
        <f>'Dry_Litterbag Placem_Collection'!A185</f>
        <v>183</v>
      </c>
      <c r="C404" s="263" t="str">
        <f>'Dry_Litterbag Placem_Collection'!B185</f>
        <v>Handajega</v>
      </c>
      <c r="D404" s="263" t="s">
        <v>2659</v>
      </c>
      <c r="E404" s="263" t="s">
        <v>2661</v>
      </c>
      <c r="F404" s="263">
        <v>3</v>
      </c>
      <c r="G404" s="264" t="str">
        <f>'Dry_Litterbag Placem_Collection'!C185</f>
        <v>Wet_W3_T7</v>
      </c>
      <c r="H404" s="265" t="s">
        <v>2541</v>
      </c>
      <c r="I404" s="272" t="s">
        <v>298</v>
      </c>
      <c r="J404" s="263" t="str">
        <f>IF(ISBLANK('Dry_Litterbag Placem_Collection'!K185),"","R"&amp;""&amp;'Dry_Litterbag Placem_Collection'!K185)</f>
        <v/>
      </c>
      <c r="K404" s="267" t="str">
        <f>IFERROR(INDEX('Green_rooibos initial weight'!$C$5:$C$1749,MATCH(J404, 'Green_rooibos initial weight'!$A$5:$A$1749,0)),"")</f>
        <v/>
      </c>
      <c r="L404" s="267" t="str">
        <f>IFERROR(K404-(TBIcalc!$Q$9+TBIcalc!$Q$10),"")</f>
        <v/>
      </c>
      <c r="M404" s="391">
        <f>AVERAGE(Ashed_controlls!$K$12:$K$14)</f>
        <v>2.2816647271287041</v>
      </c>
      <c r="N404" s="267" t="str">
        <f t="shared" si="31"/>
        <v/>
      </c>
      <c r="O404" s="267" t="str">
        <f>IF(IFERROR(INDEX('Both teabags AfterDry'!$D$3:$D$900,MATCH(J404,'Both teabags AfterDry'!$A$3:$A$900,0)),"")="","",(IFERROR(INDEX('Both teabags AfterDry'!$D$3:$D$900,MATCH(J404,'Both teabags AfterDry'!$A$3:$A$900,0)),"")))</f>
        <v/>
      </c>
      <c r="P404" s="267" t="str">
        <f>IFERROR(IF(O404&gt;0,O404-(TBIcalc!$Q$9),""),"")</f>
        <v/>
      </c>
      <c r="Q404" s="278" t="str">
        <f>IFERROR(INDEX('Ashed teabags dry'!$K$2:$K$825,MATCH(J404,'Ashed teabags dry'!$A$2:$A$825,0)),"")</f>
        <v/>
      </c>
      <c r="R404" s="278" t="str">
        <f t="shared" si="32"/>
        <v/>
      </c>
      <c r="S404" s="268">
        <f>'Dry_Litterbag Placem_Collection'!E185</f>
        <v>0</v>
      </c>
      <c r="T404" s="268" t="str">
        <f>IF('Dry_Litterbag Placem_Collection'!G185="","",'Dry_Litterbag Placem_Collection'!G185)</f>
        <v/>
      </c>
      <c r="U404" s="269" t="str">
        <f t="shared" si="30"/>
        <v/>
      </c>
      <c r="V404" s="267" t="str">
        <f t="shared" si="33"/>
        <v/>
      </c>
      <c r="W404" s="267" t="str">
        <f t="shared" si="34"/>
        <v/>
      </c>
      <c r="X404" s="271" t="str">
        <f>IFERROR(INDEX(Rainfall_Dry!$O$2:$O$217,MATCH(B404, Rainfall_Dry!$A$2:$A$217,0)),"")</f>
        <v/>
      </c>
      <c r="Y404" s="260">
        <v>25.96</v>
      </c>
      <c r="Z404" s="260">
        <v>8.9200000000000017</v>
      </c>
      <c r="AA404" s="260">
        <v>65.12</v>
      </c>
      <c r="AB404" s="261" t="s">
        <v>2670</v>
      </c>
      <c r="AC404" s="260">
        <v>7.6145884672252304</v>
      </c>
      <c r="AD404">
        <f>IF('WetLitterbags placem_collection'!AB185="","",'WetLitterbags placem_collection'!AB185)</f>
        <v>11.4</v>
      </c>
      <c r="AE404">
        <f>IF('WetLitterbags placem_collection'!Z185="","",'WetLitterbags placem_collection'!Z185)</f>
        <v>35.799999999999997</v>
      </c>
      <c r="AF404" s="24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71" t="str">
        <f>IFERROR(AVERAGE('Dry_Litterbag Placem_Collection'!N185,'Dry_Litterbag Placem_Collection'!Q185),"")</f>
        <v/>
      </c>
      <c r="AJ404" s="270">
        <f>INDEX(Coordinates!$B$2:$B$197,MATCH(G404,Coordinates!$J$2:$J$197,0))</f>
        <v>-2.2777790019999999</v>
      </c>
      <c r="AK404" s="270">
        <f>INDEX(Coordinates!$C$2:$C$197,MATCH(G404,Coordinates!$J$2:$J$197,0))</f>
        <v>34.028066029999998</v>
      </c>
      <c r="AL404" s="270" t="str">
        <f>IF(ISNUMBER(SEARCH("C", 'Dry_Litterbag Placem_Collection'!T185)),"YES","NO")</f>
        <v>NO</v>
      </c>
      <c r="AM404" s="270" t="str">
        <f>IF(ISNUMBER(SEARCH("H", 'Dry_Litterbag Placem_Collection'!T185)),"YES","NO")</f>
        <v>NO</v>
      </c>
      <c r="AN404" s="270" t="str">
        <f>IF(ISNUMBER(SEARCH("R", 'Dry_Litterbag Placem_Collection'!T185)),"YES","NO")</f>
        <v>NO</v>
      </c>
    </row>
    <row r="405" spans="1:40" ht="15" customHeight="1">
      <c r="A405" s="262" t="s">
        <v>2659</v>
      </c>
      <c r="B405" s="263">
        <f>'Dry_Litterbag Placem_Collection'!A186</f>
        <v>184</v>
      </c>
      <c r="C405" s="263" t="str">
        <f>'Dry_Litterbag Placem_Collection'!B186</f>
        <v>Handajega</v>
      </c>
      <c r="D405" s="263" t="s">
        <v>2659</v>
      </c>
      <c r="E405" s="263" t="s">
        <v>2661</v>
      </c>
      <c r="F405" s="263">
        <v>3</v>
      </c>
      <c r="G405" s="264" t="str">
        <f>'Dry_Litterbag Placem_Collection'!C186</f>
        <v>Wet_W3_T8</v>
      </c>
      <c r="H405" s="265" t="s">
        <v>2541</v>
      </c>
      <c r="I405" s="272" t="s">
        <v>298</v>
      </c>
      <c r="J405" s="263" t="str">
        <f>IF(ISBLANK('Dry_Litterbag Placem_Collection'!K186),"","R"&amp;""&amp;'Dry_Litterbag Placem_Collection'!K186)</f>
        <v>R179</v>
      </c>
      <c r="K405" s="267">
        <f>IFERROR(INDEX('Green_rooibos initial weight'!$C$5:$C$1749,MATCH(J405, 'Green_rooibos initial weight'!$A$5:$A$1749,0)),"")</f>
        <v>2.177</v>
      </c>
      <c r="L405" s="267">
        <f>IFERROR(K405-(TBIcalc!$Q$9+TBIcalc!$Q$10),"")</f>
        <v>1.9272</v>
      </c>
      <c r="M405" s="391">
        <f>AVERAGE(Ashed_controlls!$K$12:$K$14)</f>
        <v>2.2816647271287041</v>
      </c>
      <c r="N405" s="267">
        <f t="shared" si="31"/>
        <v>1.8832277573787757</v>
      </c>
      <c r="O405" s="267">
        <f>IF(IFERROR(INDEX('Both teabags AfterDry'!$D$3:$D$900,MATCH(J405,'Both teabags AfterDry'!$A$3:$A$900,0)),"")="","",(IFERROR(INDEX('Both teabags AfterDry'!$D$3:$D$900,MATCH(J405,'Both teabags AfterDry'!$A$3:$A$900,0)),"")))</f>
        <v>1.7174</v>
      </c>
      <c r="P405" s="267">
        <f>IFERROR(IF(O405&gt;0,O405-(TBIcalc!$Q$9),""),"")</f>
        <v>1.5668</v>
      </c>
      <c r="Q405" s="278">
        <f>IFERROR(INDEX('Ashed teabags dry'!$K$2:$K$825,MATCH(J405,'Ashed teabags dry'!$A$2:$A$825,0)),"")</f>
        <v>5.7032382793619867</v>
      </c>
      <c r="R405" s="278">
        <f t="shared" si="32"/>
        <v>1.4774416626389564</v>
      </c>
      <c r="S405" s="268">
        <f>'Dry_Litterbag Placem_Collection'!E186</f>
        <v>42940</v>
      </c>
      <c r="T405" s="268">
        <f>IF('Dry_Litterbag Placem_Collection'!G186="","",'Dry_Litterbag Placem_Collection'!G186)</f>
        <v>43009</v>
      </c>
      <c r="U405" s="269">
        <f t="shared" si="30"/>
        <v>69</v>
      </c>
      <c r="V405" s="267">
        <f t="shared" si="33"/>
        <v>0.36040000000000005</v>
      </c>
      <c r="W405" s="267">
        <f t="shared" si="34"/>
        <v>0.4057860947398193</v>
      </c>
      <c r="X405" s="271">
        <f>IFERROR(INDEX(Rainfall_Dry!$O$2:$O$217,MATCH(B405, Rainfall_Dry!$A$2:$A$217,0)),"")</f>
        <v>162.634207253</v>
      </c>
      <c r="Y405" s="260">
        <v>25.96</v>
      </c>
      <c r="Z405" s="260">
        <v>8.9200000000000017</v>
      </c>
      <c r="AA405" s="260">
        <v>65.12</v>
      </c>
      <c r="AB405" s="261" t="s">
        <v>2670</v>
      </c>
      <c r="AC405" s="260">
        <v>8.6145884672252304</v>
      </c>
      <c r="AD405">
        <f>IF('WetLitterbags placem_collection'!AB186="","",'WetLitterbags placem_collection'!AB186)</f>
        <v>3.7</v>
      </c>
      <c r="AE405">
        <f>IF('WetLitterbags placem_collection'!Z186="","",'WetLitterbags placem_collection'!Z186)</f>
        <v>16.399999999999999</v>
      </c>
      <c r="AF405" s="24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71">
        <f>IFERROR(AVERAGE('Dry_Litterbag Placem_Collection'!N186,'Dry_Litterbag Placem_Collection'!Q186),"")</f>
        <v>28.05</v>
      </c>
      <c r="AJ405" s="270">
        <f>INDEX(Coordinates!$B$2:$B$197,MATCH(G405,Coordinates!$J$2:$J$197,0))</f>
        <v>-2.2775169829999999</v>
      </c>
      <c r="AK405" s="270">
        <f>INDEX(Coordinates!$C$2:$C$197,MATCH(G405,Coordinates!$J$2:$J$197,0))</f>
        <v>34.027766970000002</v>
      </c>
      <c r="AL405" s="270" t="str">
        <f>IF(ISNUMBER(SEARCH("C", 'Dry_Litterbag Placem_Collection'!T186)),"YES","NO")</f>
        <v>NO</v>
      </c>
      <c r="AM405" s="270" t="str">
        <f>IF(ISNUMBER(SEARCH("H", 'Dry_Litterbag Placem_Collection'!T186)),"YES","NO")</f>
        <v>NO</v>
      </c>
      <c r="AN405" s="270" t="str">
        <f>IF(ISNUMBER(SEARCH("R", 'Dry_Litterbag Placem_Collection'!T186)),"YES","NO")</f>
        <v>YES</v>
      </c>
    </row>
    <row r="406" spans="1:40" ht="15" customHeight="1">
      <c r="A406" s="262" t="s">
        <v>2659</v>
      </c>
      <c r="B406" s="263">
        <f>'Dry_Litterbag Placem_Collection'!A187</f>
        <v>185</v>
      </c>
      <c r="C406" s="263" t="str">
        <f>'Dry_Litterbag Placem_Collection'!B187</f>
        <v>Handajega</v>
      </c>
      <c r="D406" s="263" t="s">
        <v>2659</v>
      </c>
      <c r="E406" s="263" t="s">
        <v>2661</v>
      </c>
      <c r="F406" s="263">
        <v>4</v>
      </c>
      <c r="G406" s="264" t="str">
        <f>'Dry_Litterbag Placem_Collection'!C187</f>
        <v>Wet_W4_T1</v>
      </c>
      <c r="H406" s="265" t="s">
        <v>2541</v>
      </c>
      <c r="I406" s="272" t="s">
        <v>298</v>
      </c>
      <c r="J406" s="263" t="str">
        <f>IF(ISBLANK('Dry_Litterbag Placem_Collection'!K187),"","R"&amp;""&amp;'Dry_Litterbag Placem_Collection'!K187)</f>
        <v>R300</v>
      </c>
      <c r="K406" s="267">
        <f>IFERROR(INDEX('Green_rooibos initial weight'!$C$5:$C$1749,MATCH(J406, 'Green_rooibos initial weight'!$A$5:$A$1749,0)),"")</f>
        <v>2.2330000000000001</v>
      </c>
      <c r="L406" s="267">
        <f>IFERROR(K406-(TBIcalc!$Q$9+TBIcalc!$Q$10),"")</f>
        <v>1.9832000000000001</v>
      </c>
      <c r="M406" s="391">
        <f>AVERAGE(Ashed_controlls!$K$12:$K$14)</f>
        <v>2.2816647271287041</v>
      </c>
      <c r="N406" s="267">
        <f t="shared" si="31"/>
        <v>1.9379500251315835</v>
      </c>
      <c r="O406" s="267" t="str">
        <f>IF(IFERROR(INDEX('Both teabags AfterDry'!$D$3:$D$900,MATCH(J406,'Both teabags AfterDry'!$A$3:$A$900,0)),"")="","",(IFERROR(INDEX('Both teabags AfterDry'!$D$3:$D$900,MATCH(J406,'Both teabags AfterDry'!$A$3:$A$900,0)),"")))</f>
        <v/>
      </c>
      <c r="P406" s="267" t="str">
        <f>IFERROR(IF(O406&gt;0,O406-(TBIcalc!$Q$9),""),"")</f>
        <v/>
      </c>
      <c r="Q406" s="278" t="str">
        <f>IFERROR(INDEX('Ashed teabags dry'!$K$2:$K$825,MATCH(J406,'Ashed teabags dry'!$A$2:$A$825,0)),"")</f>
        <v/>
      </c>
      <c r="R406" s="278" t="str">
        <f t="shared" si="32"/>
        <v/>
      </c>
      <c r="S406" s="268">
        <f>'Dry_Litterbag Placem_Collection'!E187</f>
        <v>42940</v>
      </c>
      <c r="T406" s="268">
        <f>IF('Dry_Litterbag Placem_Collection'!G187="","",'Dry_Litterbag Placem_Collection'!G187)</f>
        <v>43009</v>
      </c>
      <c r="U406" s="269">
        <f t="shared" si="30"/>
        <v>69</v>
      </c>
      <c r="V406" s="267" t="str">
        <f t="shared" si="33"/>
        <v/>
      </c>
      <c r="W406" s="267" t="str">
        <f t="shared" si="34"/>
        <v/>
      </c>
      <c r="X406" s="271">
        <f>IFERROR(INDEX(Rainfall_Dry!$O$2:$O$217,MATCH(B406, Rainfall_Dry!$A$2:$A$217,0)),"")</f>
        <v>162.634207253</v>
      </c>
      <c r="Y406" s="260">
        <v>25.96</v>
      </c>
      <c r="Z406" s="260">
        <v>8.9200000000000017</v>
      </c>
      <c r="AA406" s="260">
        <v>65.12</v>
      </c>
      <c r="AB406" s="261" t="s">
        <v>2670</v>
      </c>
      <c r="AC406" s="260">
        <v>1.6991621488417901</v>
      </c>
      <c r="AD406">
        <f>IF('WetLitterbags placem_collection'!AB187="","",'WetLitterbags placem_collection'!AB187)</f>
        <v>9.8000000000000007</v>
      </c>
      <c r="AE406">
        <f>IF('WetLitterbags placem_collection'!Z187="","",'WetLitterbags placem_collection'!Z187)</f>
        <v>29.4</v>
      </c>
      <c r="AF406" s="24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71">
        <f>IFERROR(AVERAGE('Dry_Litterbag Placem_Collection'!N187,'Dry_Litterbag Placem_Collection'!Q187),"")</f>
        <v>35</v>
      </c>
      <c r="AJ406" s="270">
        <f>INDEX(Coordinates!$B$2:$B$197,MATCH(G406,Coordinates!$J$2:$J$197,0))</f>
        <v>-2.2787330300000002</v>
      </c>
      <c r="AK406" s="270">
        <f>INDEX(Coordinates!$C$2:$C$197,MATCH(G406,Coordinates!$J$2:$J$197,0))</f>
        <v>34.032136029999997</v>
      </c>
      <c r="AL406" s="270" t="str">
        <f>IF(ISNUMBER(SEARCH("C", 'Dry_Litterbag Placem_Collection'!T187)),"YES","NO")</f>
        <v>NO</v>
      </c>
      <c r="AM406" s="270" t="str">
        <f>IF(ISNUMBER(SEARCH("H", 'Dry_Litterbag Placem_Collection'!T187)),"YES","NO")</f>
        <v>YES</v>
      </c>
      <c r="AN406" s="270" t="str">
        <f>IF(ISNUMBER(SEARCH("R", 'Dry_Litterbag Placem_Collection'!T187)),"YES","NO")</f>
        <v>NO</v>
      </c>
    </row>
    <row r="407" spans="1:40" ht="15" customHeight="1">
      <c r="A407" s="262" t="s">
        <v>2659</v>
      </c>
      <c r="B407" s="263">
        <f>'Dry_Litterbag Placem_Collection'!A188</f>
        <v>186</v>
      </c>
      <c r="C407" s="263" t="str">
        <f>'Dry_Litterbag Placem_Collection'!B188</f>
        <v>Handajega</v>
      </c>
      <c r="D407" s="263" t="s">
        <v>2659</v>
      </c>
      <c r="E407" s="263" t="s">
        <v>2661</v>
      </c>
      <c r="F407" s="263">
        <v>4</v>
      </c>
      <c r="G407" s="264" t="str">
        <f>'Dry_Litterbag Placem_Collection'!C188</f>
        <v>Wet_W4_T2</v>
      </c>
      <c r="H407" s="265" t="s">
        <v>2541</v>
      </c>
      <c r="I407" s="272" t="s">
        <v>298</v>
      </c>
      <c r="J407" s="263" t="str">
        <f>IF(ISBLANK('Dry_Litterbag Placem_Collection'!K188),"","R"&amp;""&amp;'Dry_Litterbag Placem_Collection'!K188)</f>
        <v>R717</v>
      </c>
      <c r="K407" s="267">
        <f>IFERROR(INDEX('Green_rooibos initial weight'!$C$5:$C$1749,MATCH(J407, 'Green_rooibos initial weight'!$A$5:$A$1749,0)),"")</f>
        <v>2.1619999999999999</v>
      </c>
      <c r="L407" s="267">
        <f>IFERROR(K407-(TBIcalc!$Q$9+TBIcalc!$Q$10),"")</f>
        <v>1.9121999999999999</v>
      </c>
      <c r="M407" s="391">
        <f>AVERAGE(Ashed_controlls!$K$12:$K$14)</f>
        <v>2.2816647271287041</v>
      </c>
      <c r="N407" s="267">
        <f t="shared" si="31"/>
        <v>1.8685700070878448</v>
      </c>
      <c r="O407" s="267">
        <f>IF(IFERROR(INDEX('Both teabags AfterDry'!$D$3:$D$900,MATCH(J407,'Both teabags AfterDry'!$A$3:$A$900,0)),"")="","",(IFERROR(INDEX('Both teabags AfterDry'!$D$3:$D$900,MATCH(J407,'Both teabags AfterDry'!$A$3:$A$900,0)),"")))</f>
        <v>1.7592000000000001</v>
      </c>
      <c r="P407" s="267">
        <f>IFERROR(IF(O407&gt;0,O407-(TBIcalc!$Q$9),""),"")</f>
        <v>1.6086</v>
      </c>
      <c r="Q407" s="278">
        <f>IFERROR(INDEX('Ashed teabags dry'!$K$2:$K$825,MATCH(J407,'Ashed teabags dry'!$A$2:$A$825,0)),"")</f>
        <v>31.265266243282504</v>
      </c>
      <c r="R407" s="278">
        <f t="shared" si="32"/>
        <v>1.1056669272105577</v>
      </c>
      <c r="S407" s="268">
        <f>'Dry_Litterbag Placem_Collection'!E188</f>
        <v>42940</v>
      </c>
      <c r="T407" s="268">
        <f>IF('Dry_Litterbag Placem_Collection'!G188="","",'Dry_Litterbag Placem_Collection'!G188)</f>
        <v>43009</v>
      </c>
      <c r="U407" s="269">
        <f t="shared" si="30"/>
        <v>69</v>
      </c>
      <c r="V407" s="267">
        <f t="shared" si="33"/>
        <v>0.30359999999999987</v>
      </c>
      <c r="W407" s="267">
        <f t="shared" si="34"/>
        <v>0.76290307987728712</v>
      </c>
      <c r="X407" s="271">
        <f>IFERROR(INDEX(Rainfall_Dry!$O$2:$O$217,MATCH(B407, Rainfall_Dry!$A$2:$A$217,0)),"")</f>
        <v>162.634207253</v>
      </c>
      <c r="Y407" s="260">
        <v>25.96</v>
      </c>
      <c r="Z407" s="260">
        <v>8.9200000000000017</v>
      </c>
      <c r="AA407" s="260">
        <v>65.12</v>
      </c>
      <c r="AB407" s="261" t="s">
        <v>2670</v>
      </c>
      <c r="AC407" s="260">
        <v>2.6991621488417898</v>
      </c>
      <c r="AD407">
        <f>IF('WetLitterbags placem_collection'!AB188="","",'WetLitterbags placem_collection'!AB188)</f>
        <v>11.4</v>
      </c>
      <c r="AE407">
        <f>IF('WetLitterbags placem_collection'!Z188="","",'WetLitterbags placem_collection'!Z188)</f>
        <v>45.4</v>
      </c>
      <c r="AF407" s="24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71">
        <f>IFERROR(AVERAGE('Dry_Litterbag Placem_Collection'!N188,'Dry_Litterbag Placem_Collection'!Q188),"")</f>
        <v>35.299999999999997</v>
      </c>
      <c r="AJ407" s="270">
        <f>INDEX(Coordinates!$B$2:$B$197,MATCH(G407,Coordinates!$J$2:$J$197,0))</f>
        <v>-2.278763037</v>
      </c>
      <c r="AK407" s="270">
        <f>INDEX(Coordinates!$C$2:$C$197,MATCH(G407,Coordinates!$J$2:$J$197,0))</f>
        <v>34.031974009999999</v>
      </c>
      <c r="AL407" s="270" t="str">
        <f>IF(ISNUMBER(SEARCH("C", 'Dry_Litterbag Placem_Collection'!T188)),"YES","NO")</f>
        <v>YES</v>
      </c>
      <c r="AM407" s="270" t="str">
        <f>IF(ISNUMBER(SEARCH("H", 'Dry_Litterbag Placem_Collection'!T188)),"YES","NO")</f>
        <v>YES</v>
      </c>
      <c r="AN407" s="270" t="str">
        <f>IF(ISNUMBER(SEARCH("R", 'Dry_Litterbag Placem_Collection'!T188)),"YES","NO")</f>
        <v>NO</v>
      </c>
    </row>
    <row r="408" spans="1:40" ht="15" customHeight="1">
      <c r="A408" s="262" t="s">
        <v>2659</v>
      </c>
      <c r="B408" s="263">
        <f>'Dry_Litterbag Placem_Collection'!A189</f>
        <v>187</v>
      </c>
      <c r="C408" s="263" t="str">
        <f>'Dry_Litterbag Placem_Collection'!B189</f>
        <v>Handajega</v>
      </c>
      <c r="D408" s="263" t="s">
        <v>2659</v>
      </c>
      <c r="E408" s="263" t="s">
        <v>2661</v>
      </c>
      <c r="F408" s="263">
        <v>4</v>
      </c>
      <c r="G408" s="264" t="str">
        <f>'Dry_Litterbag Placem_Collection'!C189</f>
        <v>Wet_W4_T3</v>
      </c>
      <c r="H408" s="265" t="s">
        <v>2541</v>
      </c>
      <c r="I408" s="272" t="s">
        <v>298</v>
      </c>
      <c r="J408" s="263" t="str">
        <f>IF(ISBLANK('Dry_Litterbag Placem_Collection'!K189),"","R"&amp;""&amp;'Dry_Litterbag Placem_Collection'!K189)</f>
        <v>R759</v>
      </c>
      <c r="K408" s="267">
        <f>IFERROR(INDEX('Green_rooibos initial weight'!$C$5:$C$1749,MATCH(J408, 'Green_rooibos initial weight'!$A$5:$A$1749,0)),"")</f>
        <v>2.2469999999999999</v>
      </c>
      <c r="L408" s="267">
        <f>IFERROR(K408-(TBIcalc!$Q$9+TBIcalc!$Q$10),"")</f>
        <v>1.9971999999999999</v>
      </c>
      <c r="M408" s="391">
        <f>AVERAGE(Ashed_controlls!$K$12:$K$14)</f>
        <v>2.2816647271287041</v>
      </c>
      <c r="N408" s="267">
        <f t="shared" si="31"/>
        <v>1.9516305920697854</v>
      </c>
      <c r="O408" s="267">
        <f>IF(IFERROR(INDEX('Both teabags AfterDry'!$D$3:$D$900,MATCH(J408,'Both teabags AfterDry'!$A$3:$A$900,0)),"")="","",(IFERROR(INDEX('Both teabags AfterDry'!$D$3:$D$900,MATCH(J408,'Both teabags AfterDry'!$A$3:$A$900,0)),"")))</f>
        <v>1.7075</v>
      </c>
      <c r="P408" s="267">
        <f>IFERROR(IF(O408&gt;0,O408-(TBIcalc!$Q$9),""),"")</f>
        <v>1.5569</v>
      </c>
      <c r="Q408" s="278">
        <f>IFERROR(INDEX('Ashed teabags dry'!$K$2:$K$825,MATCH(J408,'Ashed teabags dry'!$A$2:$A$825,0)),"")</f>
        <v>9.3676814988289312</v>
      </c>
      <c r="R408" s="278">
        <f t="shared" si="32"/>
        <v>1.4110545667447323</v>
      </c>
      <c r="S408" s="268">
        <f>'Dry_Litterbag Placem_Collection'!E189</f>
        <v>42940</v>
      </c>
      <c r="T408" s="268">
        <f>IF('Dry_Litterbag Placem_Collection'!G189="","",'Dry_Litterbag Placem_Collection'!G189)</f>
        <v>43009</v>
      </c>
      <c r="U408" s="269">
        <f t="shared" si="30"/>
        <v>69</v>
      </c>
      <c r="V408" s="267">
        <f t="shared" si="33"/>
        <v>0.44029999999999991</v>
      </c>
      <c r="W408" s="267">
        <f t="shared" si="34"/>
        <v>0.54057602532505311</v>
      </c>
      <c r="X408" s="271">
        <f>IFERROR(INDEX(Rainfall_Dry!$O$2:$O$217,MATCH(B408, Rainfall_Dry!$A$2:$A$217,0)),"")</f>
        <v>162.634207253</v>
      </c>
      <c r="Y408" s="260">
        <v>25.96</v>
      </c>
      <c r="Z408" s="260">
        <v>8.9200000000000017</v>
      </c>
      <c r="AA408" s="260">
        <v>65.12</v>
      </c>
      <c r="AB408" s="261" t="s">
        <v>2670</v>
      </c>
      <c r="AC408" s="260">
        <v>3.6991621488417898</v>
      </c>
      <c r="AD408">
        <f>IF('WetLitterbags placem_collection'!AB189="","",'WetLitterbags placem_collection'!AB189)</f>
        <v>0.6</v>
      </c>
      <c r="AE408">
        <f>IF('WetLitterbags placem_collection'!Z189="","",'WetLitterbags placem_collection'!Z189)</f>
        <v>39.4</v>
      </c>
      <c r="AF408" s="24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71">
        <f>IFERROR(AVERAGE('Dry_Litterbag Placem_Collection'!N189,'Dry_Litterbag Placem_Collection'!Q189),"")</f>
        <v>35.150000000000006</v>
      </c>
      <c r="AJ408" s="270">
        <f>INDEX(Coordinates!$B$2:$B$197,MATCH(G408,Coordinates!$J$2:$J$197,0))</f>
        <v>-2.2785890289999999</v>
      </c>
      <c r="AK408" s="270">
        <f>INDEX(Coordinates!$C$2:$C$197,MATCH(G408,Coordinates!$J$2:$J$197,0))</f>
        <v>34.031841999999997</v>
      </c>
      <c r="AL408" s="270" t="str">
        <f>IF(ISNUMBER(SEARCH("C", 'Dry_Litterbag Placem_Collection'!T189)),"YES","NO")</f>
        <v>NO</v>
      </c>
      <c r="AM408" s="270" t="str">
        <f>IF(ISNUMBER(SEARCH("H", 'Dry_Litterbag Placem_Collection'!T189)),"YES","NO")</f>
        <v>NO</v>
      </c>
      <c r="AN408" s="270" t="str">
        <f>IF(ISNUMBER(SEARCH("R", 'Dry_Litterbag Placem_Collection'!T189)),"YES","NO")</f>
        <v>NO</v>
      </c>
    </row>
    <row r="409" spans="1:40" ht="15" customHeight="1">
      <c r="A409" s="262" t="s">
        <v>2659</v>
      </c>
      <c r="B409" s="263">
        <f>'Dry_Litterbag Placem_Collection'!A190</f>
        <v>188</v>
      </c>
      <c r="C409" s="263" t="str">
        <f>'Dry_Litterbag Placem_Collection'!B190</f>
        <v>Handajega</v>
      </c>
      <c r="D409" s="263" t="s">
        <v>2659</v>
      </c>
      <c r="E409" s="263" t="s">
        <v>2661</v>
      </c>
      <c r="F409" s="263">
        <v>4</v>
      </c>
      <c r="G409" s="264" t="str">
        <f>'Dry_Litterbag Placem_Collection'!C190</f>
        <v>Wet_W4_T4</v>
      </c>
      <c r="H409" s="265" t="s">
        <v>2541</v>
      </c>
      <c r="I409" s="272" t="s">
        <v>298</v>
      </c>
      <c r="J409" s="263" t="str">
        <f>IF(ISBLANK('Dry_Litterbag Placem_Collection'!K190),"","R"&amp;""&amp;'Dry_Litterbag Placem_Collection'!K190)</f>
        <v>R357</v>
      </c>
      <c r="K409" s="267">
        <f>IFERROR(INDEX('Green_rooibos initial weight'!$C$5:$C$1749,MATCH(J409, 'Green_rooibos initial weight'!$A$5:$A$1749,0)),"")</f>
        <v>2.2090000000000001</v>
      </c>
      <c r="L409" s="267">
        <f>IFERROR(K409-(TBIcalc!$Q$9+TBIcalc!$Q$10),"")</f>
        <v>1.9592000000000001</v>
      </c>
      <c r="M409" s="391">
        <f>AVERAGE(Ashed_controlls!$K$12:$K$14)</f>
        <v>2.2816647271287041</v>
      </c>
      <c r="N409" s="267">
        <f t="shared" si="31"/>
        <v>1.9144976246660945</v>
      </c>
      <c r="O409" s="267" t="str">
        <f>IF(IFERROR(INDEX('Both teabags AfterDry'!$D$3:$D$900,MATCH(J409,'Both teabags AfterDry'!$A$3:$A$900,0)),"")="","",(IFERROR(INDEX('Both teabags AfterDry'!$D$3:$D$900,MATCH(J409,'Both teabags AfterDry'!$A$3:$A$900,0)),"")))</f>
        <v/>
      </c>
      <c r="P409" s="267" t="str">
        <f>IFERROR(IF(O409&gt;0,O409-(TBIcalc!$Q$9),""),"")</f>
        <v/>
      </c>
      <c r="Q409" s="278">
        <f>IFERROR(INDEX('Ashed teabags dry'!$K$2:$K$825,MATCH(J409,'Ashed teabags dry'!$A$2:$A$825,0)),"")</f>
        <v>0</v>
      </c>
      <c r="R409" s="278" t="str">
        <f t="shared" si="32"/>
        <v/>
      </c>
      <c r="S409" s="268">
        <f>'Dry_Litterbag Placem_Collection'!E190</f>
        <v>42940</v>
      </c>
      <c r="T409" s="268">
        <f>IF('Dry_Litterbag Placem_Collection'!G190="","",'Dry_Litterbag Placem_Collection'!G190)</f>
        <v>43009</v>
      </c>
      <c r="U409" s="269">
        <f t="shared" si="30"/>
        <v>69</v>
      </c>
      <c r="V409" s="267" t="str">
        <f t="shared" si="33"/>
        <v/>
      </c>
      <c r="W409" s="267" t="str">
        <f t="shared" si="34"/>
        <v/>
      </c>
      <c r="X409" s="271">
        <f>IFERROR(INDEX(Rainfall_Dry!$O$2:$O$217,MATCH(B409, Rainfall_Dry!$A$2:$A$217,0)),"")</f>
        <v>162.634207253</v>
      </c>
      <c r="Y409" s="260">
        <v>25.96</v>
      </c>
      <c r="Z409" s="260">
        <v>8.9200000000000017</v>
      </c>
      <c r="AA409" s="260">
        <v>65.12</v>
      </c>
      <c r="AB409" s="261" t="s">
        <v>2670</v>
      </c>
      <c r="AC409" s="260">
        <v>4.6991621488417898</v>
      </c>
      <c r="AD409">
        <f>IF('WetLitterbags placem_collection'!AB190="","",'WetLitterbags placem_collection'!AB190)</f>
        <v>2.2999999999999998</v>
      </c>
      <c r="AE409">
        <f>IF('WetLitterbags placem_collection'!Z190="","",'WetLitterbags placem_collection'!Z190)</f>
        <v>14.4</v>
      </c>
      <c r="AF409" s="24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71">
        <f>IFERROR(AVERAGE('Dry_Litterbag Placem_Collection'!N190,'Dry_Litterbag Placem_Collection'!Q190),"")</f>
        <v>34.150000000000006</v>
      </c>
      <c r="AJ409" s="270">
        <f>INDEX(Coordinates!$B$2:$B$197,MATCH(G409,Coordinates!$J$2:$J$197,0))</f>
        <v>-2.278422983</v>
      </c>
      <c r="AK409" s="270">
        <f>INDEX(Coordinates!$C$2:$C$197,MATCH(G409,Coordinates!$J$2:$J$197,0))</f>
        <v>34.032261009999999</v>
      </c>
      <c r="AL409" s="270" t="str">
        <f>IF(ISNUMBER(SEARCH("C", 'Dry_Litterbag Placem_Collection'!T190)),"YES","NO")</f>
        <v>YES</v>
      </c>
      <c r="AM409" s="270" t="str">
        <f>IF(ISNUMBER(SEARCH("H", 'Dry_Litterbag Placem_Collection'!T190)),"YES","NO")</f>
        <v>YES</v>
      </c>
      <c r="AN409" s="270" t="str">
        <f>IF(ISNUMBER(SEARCH("R", 'Dry_Litterbag Placem_Collection'!T190)),"YES","NO")</f>
        <v>YES</v>
      </c>
    </row>
    <row r="410" spans="1:40" ht="15" customHeight="1">
      <c r="A410" s="262" t="s">
        <v>2659</v>
      </c>
      <c r="B410" s="263">
        <f>'Dry_Litterbag Placem_Collection'!A191</f>
        <v>189</v>
      </c>
      <c r="C410" s="263" t="str">
        <f>'Dry_Litterbag Placem_Collection'!B191</f>
        <v>Handajega</v>
      </c>
      <c r="D410" s="263" t="s">
        <v>2659</v>
      </c>
      <c r="E410" s="263" t="s">
        <v>2661</v>
      </c>
      <c r="F410" s="263">
        <v>4</v>
      </c>
      <c r="G410" s="264" t="str">
        <f>'Dry_Litterbag Placem_Collection'!C191</f>
        <v>Wet_W4_T5</v>
      </c>
      <c r="H410" s="265" t="s">
        <v>2541</v>
      </c>
      <c r="I410" s="272" t="s">
        <v>298</v>
      </c>
      <c r="J410" s="263" t="str">
        <f>IF(ISBLANK('Dry_Litterbag Placem_Collection'!K191),"","R"&amp;""&amp;'Dry_Litterbag Placem_Collection'!K191)</f>
        <v>R18</v>
      </c>
      <c r="K410" s="267">
        <f>IFERROR(INDEX('Green_rooibos initial weight'!$C$5:$C$1749,MATCH(J410, 'Green_rooibos initial weight'!$A$5:$A$1749,0)),"")</f>
        <v>2.2519999999999998</v>
      </c>
      <c r="L410" s="267">
        <f>IFERROR(K410-(TBIcalc!$Q$9+TBIcalc!$Q$10),"")</f>
        <v>2.0021999999999998</v>
      </c>
      <c r="M410" s="391">
        <f>AVERAGE(Ashed_controlls!$K$12:$K$14)</f>
        <v>2.2816647271287041</v>
      </c>
      <c r="N410" s="267">
        <f t="shared" si="31"/>
        <v>1.9565165088334289</v>
      </c>
      <c r="O410" s="267" t="str">
        <f>IF(IFERROR(INDEX('Both teabags AfterDry'!$D$3:$D$900,MATCH(J410,'Both teabags AfterDry'!$A$3:$A$900,0)),"")="","",(IFERROR(INDEX('Both teabags AfterDry'!$D$3:$D$900,MATCH(J410,'Both teabags AfterDry'!$A$3:$A$900,0)),"")))</f>
        <v/>
      </c>
      <c r="P410" s="267" t="str">
        <f>IFERROR(IF(O410&gt;0,O410-(TBIcalc!$Q$9),""),"")</f>
        <v/>
      </c>
      <c r="Q410" s="278">
        <f>IFERROR(INDEX('Ashed teabags dry'!$K$2:$K$825,MATCH(J410,'Ashed teabags dry'!$A$2:$A$825,0)),"")</f>
        <v>91.674047829938516</v>
      </c>
      <c r="R410" s="278" t="str">
        <f t="shared" si="32"/>
        <v/>
      </c>
      <c r="S410" s="268">
        <f>'Dry_Litterbag Placem_Collection'!E191</f>
        <v>42940</v>
      </c>
      <c r="T410" s="268">
        <f>IF('Dry_Litterbag Placem_Collection'!G191="","",'Dry_Litterbag Placem_Collection'!G191)</f>
        <v>43009</v>
      </c>
      <c r="U410" s="269">
        <f t="shared" si="30"/>
        <v>69</v>
      </c>
      <c r="V410" s="267" t="str">
        <f t="shared" si="33"/>
        <v/>
      </c>
      <c r="W410" s="267" t="str">
        <f t="shared" si="34"/>
        <v/>
      </c>
      <c r="X410" s="271">
        <f>IFERROR(INDEX(Rainfall_Dry!$O$2:$O$217,MATCH(B410, Rainfall_Dry!$A$2:$A$217,0)),"")</f>
        <v>162.634207253</v>
      </c>
      <c r="Y410" s="260">
        <v>25.96</v>
      </c>
      <c r="Z410" s="260">
        <v>8.9200000000000017</v>
      </c>
      <c r="AA410" s="260">
        <v>65.12</v>
      </c>
      <c r="AB410" s="261" t="s">
        <v>2670</v>
      </c>
      <c r="AC410" s="260">
        <v>5.6991621488417898</v>
      </c>
      <c r="AD410">
        <f>IF('WetLitterbags placem_collection'!AB191="","",'WetLitterbags placem_collection'!AB191)</f>
        <v>0.6</v>
      </c>
      <c r="AE410">
        <f>IF('WetLitterbags placem_collection'!Z191="","",'WetLitterbags placem_collection'!Z191)</f>
        <v>7</v>
      </c>
      <c r="AF410" s="24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71">
        <f>IFERROR(AVERAGE('Dry_Litterbag Placem_Collection'!N191,'Dry_Litterbag Placem_Collection'!Q191),"")</f>
        <v>33</v>
      </c>
      <c r="AJ410" s="270">
        <f>INDEX(Coordinates!$B$2:$B$197,MATCH(G410,Coordinates!$J$2:$J$197,0))</f>
        <v>-2.2787580080000001</v>
      </c>
      <c r="AK410" s="270">
        <f>INDEX(Coordinates!$C$2:$C$197,MATCH(G410,Coordinates!$J$2:$J$197,0))</f>
        <v>34.032463010000001</v>
      </c>
      <c r="AL410" s="270" t="str">
        <f>IF(ISNUMBER(SEARCH("C", 'Dry_Litterbag Placem_Collection'!T191)),"YES","NO")</f>
        <v>NO</v>
      </c>
      <c r="AM410" s="270" t="str">
        <f>IF(ISNUMBER(SEARCH("H", 'Dry_Litterbag Placem_Collection'!T191)),"YES","NO")</f>
        <v>YES</v>
      </c>
      <c r="AN410" s="270" t="str">
        <f>IF(ISNUMBER(SEARCH("R", 'Dry_Litterbag Placem_Collection'!T191)),"YES","NO")</f>
        <v>YES</v>
      </c>
    </row>
    <row r="411" spans="1:40" ht="15" customHeight="1">
      <c r="A411" s="262" t="s">
        <v>2659</v>
      </c>
      <c r="B411" s="263">
        <f>'Dry_Litterbag Placem_Collection'!A192</f>
        <v>190</v>
      </c>
      <c r="C411" s="263" t="str">
        <f>'Dry_Litterbag Placem_Collection'!B192</f>
        <v>Handajega</v>
      </c>
      <c r="D411" s="263" t="s">
        <v>2659</v>
      </c>
      <c r="E411" s="263" t="s">
        <v>2661</v>
      </c>
      <c r="F411" s="263">
        <v>4</v>
      </c>
      <c r="G411" s="264" t="str">
        <f>'Dry_Litterbag Placem_Collection'!C192</f>
        <v>Wet_W4_T6</v>
      </c>
      <c r="H411" s="265" t="s">
        <v>2541</v>
      </c>
      <c r="I411" s="272" t="s">
        <v>298</v>
      </c>
      <c r="J411" s="263" t="str">
        <f>IF(ISBLANK('Dry_Litterbag Placem_Collection'!K192),"","R"&amp;""&amp;'Dry_Litterbag Placem_Collection'!K192)</f>
        <v>R397</v>
      </c>
      <c r="K411" s="267">
        <f>IFERROR(INDEX('Green_rooibos initial weight'!$C$5:$C$1749,MATCH(J411, 'Green_rooibos initial weight'!$A$5:$A$1749,0)),"")</f>
        <v>2.1970000000000001</v>
      </c>
      <c r="L411" s="267">
        <f>IFERROR(K411-(TBIcalc!$Q$9+TBIcalc!$Q$10),"")</f>
        <v>1.9472</v>
      </c>
      <c r="M411" s="391">
        <f>AVERAGE(Ashed_controlls!$K$12:$K$14)</f>
        <v>2.2816647271287041</v>
      </c>
      <c r="N411" s="267">
        <f t="shared" si="31"/>
        <v>1.90277142443335</v>
      </c>
      <c r="O411" s="267">
        <f>IF(IFERROR(INDEX('Both teabags AfterDry'!$D$3:$D$900,MATCH(J411,'Both teabags AfterDry'!$A$3:$A$900,0)),"")="","",(IFERROR(INDEX('Both teabags AfterDry'!$D$3:$D$900,MATCH(J411,'Both teabags AfterDry'!$A$3:$A$900,0)),"")))</f>
        <v>1.7444999999999999</v>
      </c>
      <c r="P411" s="267">
        <f>IFERROR(IF(O411&gt;0,O411-(TBIcalc!$Q$9),""),"")</f>
        <v>1.5938999999999999</v>
      </c>
      <c r="Q411" s="278">
        <f>IFERROR(INDEX('Ashed teabags dry'!$K$2:$K$825,MATCH(J411,'Ashed teabags dry'!$A$2:$A$825,0)),"")</f>
        <v>11.059262715818997</v>
      </c>
      <c r="R411" s="278">
        <f t="shared" si="32"/>
        <v>1.417626411572561</v>
      </c>
      <c r="S411" s="268">
        <f>'Dry_Litterbag Placem_Collection'!E192</f>
        <v>42940</v>
      </c>
      <c r="T411" s="268">
        <f>IF('Dry_Litterbag Placem_Collection'!G192="","",'Dry_Litterbag Placem_Collection'!G192)</f>
        <v>43009</v>
      </c>
      <c r="U411" s="269">
        <f t="shared" si="30"/>
        <v>69</v>
      </c>
      <c r="V411" s="267">
        <f t="shared" si="33"/>
        <v>0.35330000000000017</v>
      </c>
      <c r="W411" s="267">
        <f t="shared" si="34"/>
        <v>0.48514501286078904</v>
      </c>
      <c r="X411" s="271">
        <f>IFERROR(INDEX(Rainfall_Dry!$O$2:$O$217,MATCH(B411, Rainfall_Dry!$A$2:$A$217,0)),"")</f>
        <v>162.634207253</v>
      </c>
      <c r="Y411" s="260">
        <v>25.96</v>
      </c>
      <c r="Z411" s="260">
        <v>8.9200000000000017</v>
      </c>
      <c r="AA411" s="260">
        <v>65.12</v>
      </c>
      <c r="AB411" s="261" t="s">
        <v>2670</v>
      </c>
      <c r="AC411" s="260">
        <v>6.6991621488417898</v>
      </c>
      <c r="AD411">
        <f>IF('WetLitterbags placem_collection'!AB192="","",'WetLitterbags placem_collection'!AB192)</f>
        <v>9.5</v>
      </c>
      <c r="AE411">
        <f>IF('WetLitterbags placem_collection'!Z192="","",'WetLitterbags placem_collection'!Z192)</f>
        <v>17.399999999999999</v>
      </c>
      <c r="AF411" s="24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71">
        <f>IFERROR(AVERAGE('Dry_Litterbag Placem_Collection'!N192,'Dry_Litterbag Placem_Collection'!Q192),"")</f>
        <v>36.049999999999997</v>
      </c>
      <c r="AJ411" s="270">
        <f>INDEX(Coordinates!$B$2:$B$197,MATCH(G411,Coordinates!$J$2:$J$197,0))</f>
        <v>-2.2787559960000001</v>
      </c>
      <c r="AK411" s="270">
        <f>INDEX(Coordinates!$C$2:$C$197,MATCH(G411,Coordinates!$J$2:$J$197,0))</f>
        <v>34.032268969999997</v>
      </c>
      <c r="AL411" s="270" t="str">
        <f>IF(ISNUMBER(SEARCH("C", 'Dry_Litterbag Placem_Collection'!T192)),"YES","NO")</f>
        <v>NO</v>
      </c>
      <c r="AM411" s="270" t="str">
        <f>IF(ISNUMBER(SEARCH("H", 'Dry_Litterbag Placem_Collection'!T192)),"YES","NO")</f>
        <v>NO</v>
      </c>
      <c r="AN411" s="270" t="str">
        <f>IF(ISNUMBER(SEARCH("R", 'Dry_Litterbag Placem_Collection'!T192)),"YES","NO")</f>
        <v>NO</v>
      </c>
    </row>
    <row r="412" spans="1:40" ht="15" customHeight="1">
      <c r="A412" s="262" t="s">
        <v>2659</v>
      </c>
      <c r="B412" s="263">
        <f>'Dry_Litterbag Placem_Collection'!A193</f>
        <v>191</v>
      </c>
      <c r="C412" s="263" t="str">
        <f>'Dry_Litterbag Placem_Collection'!B193</f>
        <v>Handajega</v>
      </c>
      <c r="D412" s="263" t="s">
        <v>2659</v>
      </c>
      <c r="E412" s="263" t="s">
        <v>2661</v>
      </c>
      <c r="F412" s="263">
        <v>4</v>
      </c>
      <c r="G412" s="264" t="str">
        <f>'Dry_Litterbag Placem_Collection'!C193</f>
        <v>Wet_W4_T7</v>
      </c>
      <c r="H412" s="265" t="s">
        <v>2541</v>
      </c>
      <c r="I412" s="272" t="s">
        <v>298</v>
      </c>
      <c r="J412" s="263" t="str">
        <f>IF(ISBLANK('Dry_Litterbag Placem_Collection'!K193),"","R"&amp;""&amp;'Dry_Litterbag Placem_Collection'!K193)</f>
        <v>R715</v>
      </c>
      <c r="K412" s="267">
        <f>IFERROR(INDEX('Green_rooibos initial weight'!$C$5:$C$1749,MATCH(J412, 'Green_rooibos initial weight'!$A$5:$A$1749,0)),"")</f>
        <v>2.161</v>
      </c>
      <c r="L412" s="267">
        <f>IFERROR(K412-(TBIcalc!$Q$9+TBIcalc!$Q$10),"")</f>
        <v>1.9112</v>
      </c>
      <c r="M412" s="391">
        <f>AVERAGE(Ashed_controlls!$K$12:$K$14)</f>
        <v>2.2816647271287041</v>
      </c>
      <c r="N412" s="267">
        <f t="shared" si="31"/>
        <v>1.8675928237351163</v>
      </c>
      <c r="O412" s="267">
        <f>IF(IFERROR(INDEX('Both teabags AfterDry'!$D$3:$D$900,MATCH(J412,'Both teabags AfterDry'!$A$3:$A$900,0)),"")="","",(IFERROR(INDEX('Both teabags AfterDry'!$D$3:$D$900,MATCH(J412,'Both teabags AfterDry'!$A$3:$A$900,0)),"")))</f>
        <v>1.9014</v>
      </c>
      <c r="P412" s="267">
        <f>IFERROR(IF(O412&gt;0,O412-(TBIcalc!$Q$9),""),"")</f>
        <v>1.7507999999999999</v>
      </c>
      <c r="Q412" s="278">
        <f>IFERROR(INDEX('Ashed teabags dry'!$K$2:$K$825,MATCH(J412,'Ashed teabags dry'!$A$2:$A$825,0)),"")</f>
        <v>5.9051306873185379</v>
      </c>
      <c r="R412" s="278">
        <f t="shared" si="32"/>
        <v>1.647412971926427</v>
      </c>
      <c r="S412" s="268">
        <f>'Dry_Litterbag Placem_Collection'!E193</f>
        <v>42940</v>
      </c>
      <c r="T412" s="268">
        <f>IF('Dry_Litterbag Placem_Collection'!G193="","",'Dry_Litterbag Placem_Collection'!G193)</f>
        <v>43009</v>
      </c>
      <c r="U412" s="269">
        <f t="shared" si="30"/>
        <v>69</v>
      </c>
      <c r="V412" s="267">
        <f t="shared" si="33"/>
        <v>0.1604000000000001</v>
      </c>
      <c r="W412" s="267">
        <f t="shared" si="34"/>
        <v>0.22017985180868926</v>
      </c>
      <c r="X412" s="271">
        <f>IFERROR(INDEX(Rainfall_Dry!$O$2:$O$217,MATCH(B412, Rainfall_Dry!$A$2:$A$217,0)),"")</f>
        <v>162.634207253</v>
      </c>
      <c r="Y412" s="260">
        <v>25.96</v>
      </c>
      <c r="Z412" s="260">
        <v>8.9200000000000017</v>
      </c>
      <c r="AA412" s="260">
        <v>65.12</v>
      </c>
      <c r="AB412" s="261" t="s">
        <v>2670</v>
      </c>
      <c r="AC412" s="260">
        <v>7.6991621488417898</v>
      </c>
      <c r="AD412">
        <f>IF('WetLitterbags placem_collection'!AB193="","",'WetLitterbags placem_collection'!AB193)</f>
        <v>12.4</v>
      </c>
      <c r="AE412">
        <f>IF('WetLitterbags placem_collection'!Z193="","",'WetLitterbags placem_collection'!Z193)</f>
        <v>29.8</v>
      </c>
      <c r="AF412" s="24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71">
        <f>IFERROR(AVERAGE('Dry_Litterbag Placem_Collection'!N193,'Dry_Litterbag Placem_Collection'!Q193),"")</f>
        <v>36.349999999999994</v>
      </c>
      <c r="AJ412" s="270">
        <f>INDEX(Coordinates!$B$2:$B$197,MATCH(G412,Coordinates!$J$2:$J$197,0))</f>
        <v>-2.278704029</v>
      </c>
      <c r="AK412" s="270">
        <f>INDEX(Coordinates!$C$2:$C$197,MATCH(G412,Coordinates!$J$2:$J$197,0))</f>
        <v>34.032182970000001</v>
      </c>
      <c r="AL412" s="270" t="str">
        <f>IF(ISNUMBER(SEARCH("C", 'Dry_Litterbag Placem_Collection'!T193)),"YES","NO")</f>
        <v>NO</v>
      </c>
      <c r="AM412" s="270" t="str">
        <f>IF(ISNUMBER(SEARCH("H", 'Dry_Litterbag Placem_Collection'!T193)),"YES","NO")</f>
        <v>NO</v>
      </c>
      <c r="AN412" s="270" t="str">
        <f>IF(ISNUMBER(SEARCH("R", 'Dry_Litterbag Placem_Collection'!T193)),"YES","NO")</f>
        <v>NO</v>
      </c>
    </row>
    <row r="413" spans="1:40" ht="15" customHeight="1">
      <c r="A413" s="262" t="s">
        <v>2659</v>
      </c>
      <c r="B413" s="263">
        <f>'Dry_Litterbag Placem_Collection'!A194</f>
        <v>192</v>
      </c>
      <c r="C413" s="263" t="str">
        <f>'Dry_Litterbag Placem_Collection'!B194</f>
        <v>Handajega</v>
      </c>
      <c r="D413" s="263" t="s">
        <v>2659</v>
      </c>
      <c r="E413" s="263" t="s">
        <v>2661</v>
      </c>
      <c r="F413" s="263">
        <v>4</v>
      </c>
      <c r="G413" s="264" t="str">
        <f>'Dry_Litterbag Placem_Collection'!C194</f>
        <v>Wet_W4_T8</v>
      </c>
      <c r="H413" s="265" t="s">
        <v>2541</v>
      </c>
      <c r="I413" s="272" t="s">
        <v>298</v>
      </c>
      <c r="J413" s="263" t="str">
        <f>IF(ISBLANK('Dry_Litterbag Placem_Collection'!K194),"","R"&amp;""&amp;'Dry_Litterbag Placem_Collection'!K194)</f>
        <v/>
      </c>
      <c r="K413" s="267" t="str">
        <f>IFERROR(INDEX('Green_rooibos initial weight'!$C$5:$C$1749,MATCH(J413, 'Green_rooibos initial weight'!$A$5:$A$1749,0)),"")</f>
        <v/>
      </c>
      <c r="L413" s="267" t="str">
        <f>IFERROR(K413-(TBIcalc!$Q$9+TBIcalc!$Q$10),"")</f>
        <v/>
      </c>
      <c r="M413" s="391">
        <f>AVERAGE(Ashed_controlls!$K$12:$K$14)</f>
        <v>2.2816647271287041</v>
      </c>
      <c r="N413" s="267" t="str">
        <f t="shared" si="31"/>
        <v/>
      </c>
      <c r="O413" s="267" t="str">
        <f>IF(IFERROR(INDEX('Both teabags AfterDry'!$D$3:$D$900,MATCH(J413,'Both teabags AfterDry'!$A$3:$A$900,0)),"")="","",(IFERROR(INDEX('Both teabags AfterDry'!$D$3:$D$900,MATCH(J413,'Both teabags AfterDry'!$A$3:$A$900,0)),"")))</f>
        <v/>
      </c>
      <c r="P413" s="267" t="str">
        <f>IFERROR(IF(O413&gt;0,O413-(TBIcalc!$Q$9),""),"")</f>
        <v/>
      </c>
      <c r="Q413" s="278" t="str">
        <f>IFERROR(INDEX('Ashed teabags dry'!$K$2:$K$825,MATCH(J413,'Ashed teabags dry'!$A$2:$A$825,0)),"")</f>
        <v/>
      </c>
      <c r="R413" s="278" t="str">
        <f t="shared" si="32"/>
        <v/>
      </c>
      <c r="S413" s="268">
        <f>'Dry_Litterbag Placem_Collection'!E194</f>
        <v>0</v>
      </c>
      <c r="T413" s="268" t="str">
        <f>IF('Dry_Litterbag Placem_Collection'!G194="","",'Dry_Litterbag Placem_Collection'!G194)</f>
        <v/>
      </c>
      <c r="U413" s="269" t="str">
        <f t="shared" si="30"/>
        <v/>
      </c>
      <c r="V413" s="267" t="str">
        <f t="shared" si="33"/>
        <v/>
      </c>
      <c r="W413" s="267" t="str">
        <f t="shared" si="34"/>
        <v/>
      </c>
      <c r="X413" s="271" t="str">
        <f>IFERROR(INDEX(Rainfall_Dry!$O$2:$O$217,MATCH(B413, Rainfall_Dry!$A$2:$A$217,0)),"")</f>
        <v/>
      </c>
      <c r="Y413" s="260">
        <v>25.96</v>
      </c>
      <c r="Z413" s="260">
        <v>8.9200000000000017</v>
      </c>
      <c r="AA413" s="260">
        <v>65.12</v>
      </c>
      <c r="AB413" s="261" t="s">
        <v>2670</v>
      </c>
      <c r="AC413" s="260">
        <v>8.6991621488417898</v>
      </c>
      <c r="AD413">
        <f>IF('WetLitterbags placem_collection'!AB194="","",'WetLitterbags placem_collection'!AB194)</f>
        <v>3.6</v>
      </c>
      <c r="AE413">
        <f>IF('WetLitterbags placem_collection'!Z194="","",'WetLitterbags placem_collection'!Z194)</f>
        <v>37.799999999999997</v>
      </c>
      <c r="AF413" s="24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71" t="str">
        <f>IFERROR(AVERAGE('Dry_Litterbag Placem_Collection'!N194,'Dry_Litterbag Placem_Collection'!Q194),"")</f>
        <v/>
      </c>
      <c r="AJ413" s="270">
        <f>INDEX(Coordinates!$B$2:$B$197,MATCH(G413,Coordinates!$J$2:$J$197,0))</f>
        <v>-2.2789770269999998</v>
      </c>
      <c r="AK413" s="270">
        <f>INDEX(Coordinates!$C$2:$C$197,MATCH(G413,Coordinates!$J$2:$J$197,0))</f>
        <v>34.032051039999999</v>
      </c>
      <c r="AL413" s="270" t="str">
        <f>IF(ISNUMBER(SEARCH("C", 'Dry_Litterbag Placem_Collection'!T194)),"YES","NO")</f>
        <v>NO</v>
      </c>
      <c r="AM413" s="270" t="str">
        <f>IF(ISNUMBER(SEARCH("H", 'Dry_Litterbag Placem_Collection'!T194)),"YES","NO")</f>
        <v>NO</v>
      </c>
      <c r="AN413" s="270" t="str">
        <f>IF(ISNUMBER(SEARCH("R", 'Dry_Litterbag Placem_Collection'!T194)),"YES","NO")</f>
        <v>NO</v>
      </c>
    </row>
    <row r="414" spans="1:40" ht="15" customHeight="1">
      <c r="A414" s="262" t="s">
        <v>2659</v>
      </c>
      <c r="B414" s="263">
        <f>'Dry_Litterbag Placem_Collection'!A195</f>
        <v>193</v>
      </c>
      <c r="C414" s="263" t="str">
        <f>'Dry_Litterbag Placem_Collection'!B195</f>
        <v>Makao</v>
      </c>
      <c r="D414" s="263" t="s">
        <v>2659</v>
      </c>
      <c r="E414" s="263" t="s">
        <v>2526</v>
      </c>
      <c r="F414" s="263">
        <v>4</v>
      </c>
      <c r="G414" s="264" t="str">
        <f>'Dry_Litterbag Placem_Collection'!C195</f>
        <v>Dry_Ag1_CG4</v>
      </c>
      <c r="H414" s="265" t="s">
        <v>2541</v>
      </c>
      <c r="I414" s="272" t="s">
        <v>298</v>
      </c>
      <c r="J414" s="263" t="str">
        <f>IF(ISBLANK('Dry_Litterbag Placem_Collection'!K195),"","R"&amp;""&amp;'Dry_Litterbag Placem_Collection'!K195)</f>
        <v>R695</v>
      </c>
      <c r="K414" s="267">
        <f>IFERROR(INDEX('Green_rooibos initial weight'!$C$5:$C$1749,MATCH(J414, 'Green_rooibos initial weight'!$A$5:$A$1749,0)),"")</f>
        <v>2.1789999999999998</v>
      </c>
      <c r="L414" s="267">
        <f>IFERROR(K414-(TBIcalc!$Q$9+TBIcalc!$Q$10),"")</f>
        <v>1.9291999999999998</v>
      </c>
      <c r="M414" s="391">
        <f>AVERAGE(Ashed_controlls!$K$12:$K$14)</f>
        <v>2.2816647271287041</v>
      </c>
      <c r="N414" s="267">
        <f t="shared" si="31"/>
        <v>1.8851821240842328</v>
      </c>
      <c r="O414" s="267">
        <f>IF(IFERROR(INDEX('Both teabags AfterDry'!$D$3:$D$900,MATCH(J414,'Both teabags AfterDry'!$A$3:$A$900,0)),"")="","",(IFERROR(INDEX('Both teabags AfterDry'!$D$3:$D$900,MATCH(J414,'Both teabags AfterDry'!$A$3:$A$900,0)),"")))</f>
        <v>1.42</v>
      </c>
      <c r="P414" s="267">
        <f>IFERROR(IF(O414&gt;0,O414-(TBIcalc!$Q$9),""),"")</f>
        <v>1.2693999999999999</v>
      </c>
      <c r="Q414" s="278">
        <f>IFERROR(INDEX('Ashed teabags dry'!$K$2:$K$825,MATCH(J414,'Ashed teabags dry'!$A$2:$A$825,0)),"")</f>
        <v>8.5788561525128699</v>
      </c>
      <c r="R414" s="278">
        <f t="shared" si="32"/>
        <v>1.1605000000000014</v>
      </c>
      <c r="S414" s="268">
        <f>'Dry_Litterbag Placem_Collection'!E195</f>
        <v>42942</v>
      </c>
      <c r="T414" s="268">
        <f>IF('Dry_Litterbag Placem_Collection'!G195="","",'Dry_Litterbag Placem_Collection'!G195)</f>
        <v>43004</v>
      </c>
      <c r="U414" s="269">
        <f t="shared" si="30"/>
        <v>62</v>
      </c>
      <c r="V414" s="267">
        <f t="shared" si="33"/>
        <v>0.65979999999999994</v>
      </c>
      <c r="W414" s="267">
        <f t="shared" si="34"/>
        <v>0.72468212408423138</v>
      </c>
      <c r="X414" s="271">
        <f>IFERROR(INDEX(Rainfall_Dry!$O$2:$O$217,MATCH(B414, Rainfall_Dry!$A$2:$A$217,0)),"")</f>
        <v>171.84818423999999</v>
      </c>
      <c r="Y414" s="260">
        <v>12.565665055683967</v>
      </c>
      <c r="Z414" s="260">
        <v>0.9665896196679955</v>
      </c>
      <c r="AA414" s="260">
        <v>86.467745324648035</v>
      </c>
      <c r="AB414" s="261" t="s">
        <v>2672</v>
      </c>
      <c r="AC414" s="260">
        <v>1.0225726959093147</v>
      </c>
      <c r="AD414">
        <f>IF('WetLitterbags placem_collection'!AB195="","",'WetLitterbags placem_collection'!AB195)</f>
        <v>15.2</v>
      </c>
      <c r="AE414">
        <f>IF('WetLitterbags placem_collection'!Z195="","",'WetLitterbags placem_collection'!Z195)</f>
        <v>12.2</v>
      </c>
      <c r="AF414" s="24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71">
        <f>IFERROR(AVERAGE('Dry_Litterbag Placem_Collection'!N195,'Dry_Litterbag Placem_Collection'!Q195),"")</f>
        <v>28.799999999999997</v>
      </c>
      <c r="AJ414">
        <v>-2.4396949910000001</v>
      </c>
      <c r="AK414">
        <v>34.838574029999997</v>
      </c>
      <c r="AL414" s="270" t="str">
        <f>IF(ISNUMBER(SEARCH("C", 'Dry_Litterbag Placem_Collection'!T195)),"YES","NO")</f>
        <v>NO</v>
      </c>
      <c r="AM414" s="270" t="str">
        <f>IF(ISNUMBER(SEARCH("H", 'Dry_Litterbag Placem_Collection'!T195)),"YES","NO")</f>
        <v>NO</v>
      </c>
      <c r="AN414" s="270" t="str">
        <f>IF(ISNUMBER(SEARCH("R", 'Dry_Litterbag Placem_Collection'!T195)),"YES","NO")</f>
        <v>NO</v>
      </c>
    </row>
    <row r="415" spans="1:40" ht="15" customHeight="1">
      <c r="A415" s="262" t="s">
        <v>2659</v>
      </c>
      <c r="B415" s="263">
        <f>'Dry_Litterbag Placem_Collection'!A196</f>
        <v>194</v>
      </c>
      <c r="C415" s="263" t="str">
        <f>'Dry_Litterbag Placem_Collection'!B196</f>
        <v>Makao</v>
      </c>
      <c r="D415" s="263" t="s">
        <v>2659</v>
      </c>
      <c r="E415" s="263" t="s">
        <v>2526</v>
      </c>
      <c r="F415" s="263">
        <v>3</v>
      </c>
      <c r="G415" s="264" t="str">
        <f>'Dry_Litterbag Placem_Collection'!C196</f>
        <v>Dry_Ag2_CG3</v>
      </c>
      <c r="H415" s="265" t="s">
        <v>2541</v>
      </c>
      <c r="I415" s="272" t="s">
        <v>298</v>
      </c>
      <c r="J415" s="263" t="str">
        <f>IF(ISBLANK('Dry_Litterbag Placem_Collection'!K196),"","R"&amp;""&amp;'Dry_Litterbag Placem_Collection'!K196)</f>
        <v>R653</v>
      </c>
      <c r="K415" s="267">
        <f>IFERROR(INDEX('Green_rooibos initial weight'!$C$5:$C$1749,MATCH(J415, 'Green_rooibos initial weight'!$A$5:$A$1749,0)),"")</f>
        <v>2.1989999999999998</v>
      </c>
      <c r="L415" s="267">
        <f>IFERROR(K415-(TBIcalc!$Q$9+TBIcalc!$Q$10),"")</f>
        <v>1.9491999999999998</v>
      </c>
      <c r="M415" s="391">
        <f>AVERAGE(Ashed_controlls!$K$12:$K$14)</f>
        <v>2.2816647271287041</v>
      </c>
      <c r="N415" s="267">
        <f t="shared" si="31"/>
        <v>1.9047257911388071</v>
      </c>
      <c r="O415" s="267">
        <f>IF(IFERROR(INDEX('Both teabags AfterDry'!$D$3:$D$900,MATCH(J415,'Both teabags AfterDry'!$A$3:$A$900,0)),"")="","",(IFERROR(INDEX('Both teabags AfterDry'!$D$3:$D$900,MATCH(J415,'Both teabags AfterDry'!$A$3:$A$900,0)),"")))</f>
        <v>1.613</v>
      </c>
      <c r="P415" s="267">
        <f>IFERROR(IF(O415&gt;0,O415-(TBIcalc!$Q$9),""),"")</f>
        <v>1.4623999999999999</v>
      </c>
      <c r="Q415" s="278">
        <f>IFERROR(INDEX('Ashed teabags dry'!$K$2:$K$825,MATCH(J415,'Ashed teabags dry'!$A$2:$A$825,0)),"")</f>
        <v>6.2529384109078929</v>
      </c>
      <c r="R415" s="278">
        <f t="shared" si="32"/>
        <v>1.3709570286788828</v>
      </c>
      <c r="S415" s="268">
        <f>'Dry_Litterbag Placem_Collection'!E196</f>
        <v>42942</v>
      </c>
      <c r="T415" s="268">
        <f>IF('Dry_Litterbag Placem_Collection'!G196="","",'Dry_Litterbag Placem_Collection'!G196)</f>
        <v>43004</v>
      </c>
      <c r="U415" s="269">
        <f t="shared" si="30"/>
        <v>62</v>
      </c>
      <c r="V415" s="267">
        <f t="shared" si="33"/>
        <v>0.4867999999999999</v>
      </c>
      <c r="W415" s="267">
        <f t="shared" si="34"/>
        <v>0.53376876245992433</v>
      </c>
      <c r="X415" s="271">
        <f>IFERROR(INDEX(Rainfall_Dry!$O$2:$O$217,MATCH(B415, Rainfall_Dry!$A$2:$A$217,0)),"")</f>
        <v>171.84818423999999</v>
      </c>
      <c r="Y415" s="260">
        <v>21.13063730679653</v>
      </c>
      <c r="Z415" s="260">
        <v>3.0912555579081076</v>
      </c>
      <c r="AA415" s="260">
        <v>75.778107135295357</v>
      </c>
      <c r="AB415" s="261" t="s">
        <v>2670</v>
      </c>
      <c r="AC415" s="260">
        <v>0.46131099063578063</v>
      </c>
      <c r="AD415">
        <f>IF('WetLitterbags placem_collection'!AB196="","",'WetLitterbags placem_collection'!AB196)</f>
        <v>7.9</v>
      </c>
      <c r="AE415">
        <f>IF('WetLitterbags placem_collection'!Z196="","",'WetLitterbags placem_collection'!Z196)</f>
        <v>7.9</v>
      </c>
      <c r="AF415" s="24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71">
        <f>IFERROR(AVERAGE('Dry_Litterbag Placem_Collection'!N196,'Dry_Litterbag Placem_Collection'!Q196),"")</f>
        <v>30.849999999999998</v>
      </c>
      <c r="AJ415">
        <v>-2.4395990190000001</v>
      </c>
      <c r="AK415">
        <v>34.838418959999998</v>
      </c>
      <c r="AL415" s="270" t="str">
        <f>IF(ISNUMBER(SEARCH("C", 'Dry_Litterbag Placem_Collection'!T196)),"YES","NO")</f>
        <v>NO</v>
      </c>
      <c r="AM415" s="270" t="str">
        <f>IF(ISNUMBER(SEARCH("H", 'Dry_Litterbag Placem_Collection'!T196)),"YES","NO")</f>
        <v>NO</v>
      </c>
      <c r="AN415" s="270" t="str">
        <f>IF(ISNUMBER(SEARCH("R", 'Dry_Litterbag Placem_Collection'!T196)),"YES","NO")</f>
        <v>YES</v>
      </c>
    </row>
    <row r="416" spans="1:40" ht="15" customHeight="1">
      <c r="A416" s="262" t="s">
        <v>2659</v>
      </c>
      <c r="B416" s="263">
        <f>'Dry_Litterbag Placem_Collection'!A197</f>
        <v>195</v>
      </c>
      <c r="C416" s="263" t="str">
        <f>'Dry_Litterbag Placem_Collection'!B197</f>
        <v>Makao</v>
      </c>
      <c r="D416" s="263" t="s">
        <v>2659</v>
      </c>
      <c r="E416" s="263" t="s">
        <v>2526</v>
      </c>
      <c r="F416" s="263">
        <v>2</v>
      </c>
      <c r="G416" s="264" t="str">
        <f>'Dry_Litterbag Placem_Collection'!C197</f>
        <v>Dry_Ag3_CG2</v>
      </c>
      <c r="H416" s="265" t="s">
        <v>2541</v>
      </c>
      <c r="I416" s="272" t="s">
        <v>298</v>
      </c>
      <c r="J416" s="263" t="str">
        <f>IF(ISBLANK('Dry_Litterbag Placem_Collection'!K197),"","R"&amp;""&amp;'Dry_Litterbag Placem_Collection'!K197)</f>
        <v>R389</v>
      </c>
      <c r="K416" s="267">
        <f>IFERROR(INDEX('Green_rooibos initial weight'!$C$5:$C$1749,MATCH(J416, 'Green_rooibos initial weight'!$A$5:$A$1749,0)),"")</f>
        <v>2.2349999999999999</v>
      </c>
      <c r="L416" s="267">
        <f>IFERROR(K416-(TBIcalc!$Q$9+TBIcalc!$Q$10),"")</f>
        <v>1.9851999999999999</v>
      </c>
      <c r="M416" s="391">
        <f>AVERAGE(Ashed_controlls!$K$12:$K$14)</f>
        <v>2.2816647271287041</v>
      </c>
      <c r="N416" s="267">
        <f t="shared" si="31"/>
        <v>1.9399043918370409</v>
      </c>
      <c r="O416" s="267">
        <f>IF(IFERROR(INDEX('Both teabags AfterDry'!$D$3:$D$900,MATCH(J416,'Both teabags AfterDry'!$A$3:$A$900,0)),"")="","",(IFERROR(INDEX('Both teabags AfterDry'!$D$3:$D$900,MATCH(J416,'Both teabags AfterDry'!$A$3:$A$900,0)),"")))</f>
        <v>0.78200000000000003</v>
      </c>
      <c r="P416" s="267">
        <f>IFERROR(IF(O416&gt;0,O416-(TBIcalc!$Q$9),""),"")</f>
        <v>0.63139999999999996</v>
      </c>
      <c r="Q416" s="278">
        <f>IFERROR(INDEX('Ashed teabags dry'!$K$2:$K$825,MATCH(J416,'Ashed teabags dry'!$A$2:$A$825,0)),"")</f>
        <v>74.075764491100372</v>
      </c>
      <c r="R416" s="278">
        <f t="shared" si="32"/>
        <v>0.16368562300319223</v>
      </c>
      <c r="S416" s="268">
        <f>'Dry_Litterbag Placem_Collection'!E197</f>
        <v>42942</v>
      </c>
      <c r="T416" s="268">
        <f>IF('Dry_Litterbag Placem_Collection'!G197="","",'Dry_Litterbag Placem_Collection'!G197)</f>
        <v>43004</v>
      </c>
      <c r="U416" s="269">
        <f t="shared" si="30"/>
        <v>62</v>
      </c>
      <c r="V416" s="267">
        <f t="shared" si="33"/>
        <v>1.3537999999999999</v>
      </c>
      <c r="W416" s="267">
        <f t="shared" si="34"/>
        <v>1.7762187688338487</v>
      </c>
      <c r="X416" s="271">
        <f>IFERROR(INDEX(Rainfall_Dry!$O$2:$O$217,MATCH(B416, Rainfall_Dry!$A$2:$A$217,0)),"")</f>
        <v>171.84818423999999</v>
      </c>
      <c r="Y416" s="260">
        <v>54.080969906906262</v>
      </c>
      <c r="Z416" s="260">
        <v>21.264484651351896</v>
      </c>
      <c r="AA416" s="260">
        <v>24.654545441741845</v>
      </c>
      <c r="AB416" s="261" t="s">
        <v>2673</v>
      </c>
      <c r="AC416" s="260">
        <v>1.8433218334154755</v>
      </c>
      <c r="AD416">
        <f>IF('WetLitterbags placem_collection'!AB197="","",'WetLitterbags placem_collection'!AB197)</f>
        <v>5.13</v>
      </c>
      <c r="AE416">
        <f>IF('WetLitterbags placem_collection'!Z197="","",'WetLitterbags placem_collection'!Z197)</f>
        <v>5.13</v>
      </c>
      <c r="AF416" s="24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71">
        <f>IFERROR(AVERAGE('Dry_Litterbag Placem_Collection'!N197,'Dry_Litterbag Placem_Collection'!Q197),"")</f>
        <v>28.1</v>
      </c>
      <c r="AJ416">
        <v>-2.4396450349999999</v>
      </c>
      <c r="AK416">
        <v>34.83836599</v>
      </c>
      <c r="AL416" s="270" t="str">
        <f>IF(ISNUMBER(SEARCH("C", 'Dry_Litterbag Placem_Collection'!T197)),"YES","NO")</f>
        <v>NO</v>
      </c>
      <c r="AM416" s="270" t="str">
        <f>IF(ISNUMBER(SEARCH("H", 'Dry_Litterbag Placem_Collection'!T197)),"YES","NO")</f>
        <v>NO</v>
      </c>
      <c r="AN416" s="270" t="str">
        <f>IF(ISNUMBER(SEARCH("R", 'Dry_Litterbag Placem_Collection'!T197)),"YES","NO")</f>
        <v>YES</v>
      </c>
    </row>
    <row r="417" spans="1:40" ht="15" customHeight="1">
      <c r="A417" s="262" t="s">
        <v>2659</v>
      </c>
      <c r="B417" s="263">
        <f>'Dry_Litterbag Placem_Collection'!A198</f>
        <v>196</v>
      </c>
      <c r="C417" s="263" t="str">
        <f>'Dry_Litterbag Placem_Collection'!B198</f>
        <v>Makao</v>
      </c>
      <c r="D417" s="263" t="s">
        <v>2659</v>
      </c>
      <c r="E417" s="263" t="s">
        <v>2526</v>
      </c>
      <c r="F417" s="263">
        <v>1</v>
      </c>
      <c r="G417" s="264" t="str">
        <f>'Dry_Litterbag Placem_Collection'!C198</f>
        <v>Dry_Ag4_CG1</v>
      </c>
      <c r="H417" s="265" t="s">
        <v>2541</v>
      </c>
      <c r="I417" s="272" t="s">
        <v>298</v>
      </c>
      <c r="J417" s="263" t="str">
        <f>IF(ISBLANK('Dry_Litterbag Placem_Collection'!K198),"","R"&amp;""&amp;'Dry_Litterbag Placem_Collection'!K198)</f>
        <v>R455</v>
      </c>
      <c r="K417" s="267">
        <f>IFERROR(INDEX('Green_rooibos initial weight'!$C$5:$C$1749,MATCH(J417, 'Green_rooibos initial weight'!$A$5:$A$1749,0)),"")</f>
        <v>2.1850000000000001</v>
      </c>
      <c r="L417" s="267">
        <f>IFERROR(K417-(TBIcalc!$Q$9+TBIcalc!$Q$10),"")</f>
        <v>1.9352</v>
      </c>
      <c r="M417" s="391">
        <f>AVERAGE(Ashed_controlls!$K$12:$K$14)</f>
        <v>2.2816647271287041</v>
      </c>
      <c r="N417" s="267">
        <f t="shared" si="31"/>
        <v>1.8910452242006053</v>
      </c>
      <c r="O417" s="267">
        <f>IF(IFERROR(INDEX('Both teabags AfterDry'!$D$3:$D$900,MATCH(J417,'Both teabags AfterDry'!$A$3:$A$900,0)),"")="","",(IFERROR(INDEX('Both teabags AfterDry'!$D$3:$D$900,MATCH(J417,'Both teabags AfterDry'!$A$3:$A$900,0)),"")))</f>
        <v>0.19900000000000001</v>
      </c>
      <c r="P417" s="267">
        <f>IFERROR(IF(O417&gt;0,O417-(TBIcalc!$Q$9),""),"")</f>
        <v>4.8399999999999999E-2</v>
      </c>
      <c r="Q417" s="278" t="str">
        <f>IFERROR(INDEX('Ashed teabags dry'!$K$2:$K$825,MATCH(J417,'Ashed teabags dry'!$A$2:$A$825,0)),"")</f>
        <v/>
      </c>
      <c r="R417" s="278" t="str">
        <f t="shared" si="32"/>
        <v/>
      </c>
      <c r="S417" s="268">
        <f>'Dry_Litterbag Placem_Collection'!E198</f>
        <v>42942</v>
      </c>
      <c r="T417" s="268">
        <f>IF('Dry_Litterbag Placem_Collection'!G198="","",'Dry_Litterbag Placem_Collection'!G198)</f>
        <v>43004</v>
      </c>
      <c r="U417" s="269">
        <f t="shared" si="30"/>
        <v>62</v>
      </c>
      <c r="V417" s="267">
        <f t="shared" si="33"/>
        <v>1.8868</v>
      </c>
      <c r="W417" s="267" t="str">
        <f t="shared" si="34"/>
        <v/>
      </c>
      <c r="X417" s="271">
        <f>IFERROR(INDEX(Rainfall_Dry!$O$2:$O$217,MATCH(B417, Rainfall_Dry!$A$2:$A$217,0)),"")</f>
        <v>171.84818423999999</v>
      </c>
      <c r="Y417" s="260">
        <v>51.960000000000008</v>
      </c>
      <c r="Z417" s="260">
        <v>18.919999999999995</v>
      </c>
      <c r="AA417" s="260">
        <v>29.120000000000005</v>
      </c>
      <c r="AB417" s="261" t="s">
        <v>2673</v>
      </c>
      <c r="AC417" s="260">
        <v>1.85293247905372</v>
      </c>
      <c r="AD417">
        <f>IF('WetLitterbags placem_collection'!AB198="","",'WetLitterbags placem_collection'!AB198)</f>
        <v>13.8</v>
      </c>
      <c r="AE417">
        <f>IF('WetLitterbags placem_collection'!Z198="","",'WetLitterbags placem_collection'!Z198)</f>
        <v>17.399999999999999</v>
      </c>
      <c r="AF417" s="24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71">
        <f>IFERROR(AVERAGE('Dry_Litterbag Placem_Collection'!N198,'Dry_Litterbag Placem_Collection'!Q198),"")</f>
        <v>26.65</v>
      </c>
      <c r="AJ417">
        <v>-2.439403972</v>
      </c>
      <c r="AK417">
        <v>34.838404959999998</v>
      </c>
      <c r="AL417" s="270" t="str">
        <f>IF(ISNUMBER(SEARCH("C", 'Dry_Litterbag Placem_Collection'!T198)),"YES","NO")</f>
        <v>NO</v>
      </c>
      <c r="AM417" s="270" t="str">
        <f>IF(ISNUMBER(SEARCH("H", 'Dry_Litterbag Placem_Collection'!T198)),"YES","NO")</f>
        <v>YES</v>
      </c>
      <c r="AN417" s="270" t="str">
        <f>IF(ISNUMBER(SEARCH("R", 'Dry_Litterbag Placem_Collection'!T198)),"YES","NO")</f>
        <v>NO</v>
      </c>
    </row>
    <row r="418" spans="1:40" ht="15" customHeight="1">
      <c r="A418" s="262" t="s">
        <v>2659</v>
      </c>
      <c r="B418" s="263">
        <f>'Dry_Litterbag Placem_Collection'!A199</f>
        <v>197</v>
      </c>
      <c r="C418" s="263" t="str">
        <f>'Dry_Litterbag Placem_Collection'!B199</f>
        <v>Makao</v>
      </c>
      <c r="D418" s="263" t="s">
        <v>2659</v>
      </c>
      <c r="E418" s="263" t="s">
        <v>2526</v>
      </c>
      <c r="F418" s="263">
        <v>2</v>
      </c>
      <c r="G418" s="264" t="str">
        <f>'Dry_Litterbag Placem_Collection'!C199</f>
        <v>Dry_P1_CG2</v>
      </c>
      <c r="H418" s="265" t="s">
        <v>2541</v>
      </c>
      <c r="I418" s="272" t="s">
        <v>298</v>
      </c>
      <c r="J418" s="263" t="str">
        <f>IF(ISBLANK('Dry_Litterbag Placem_Collection'!K199),"","R"&amp;""&amp;'Dry_Litterbag Placem_Collection'!K199)</f>
        <v>R692</v>
      </c>
      <c r="K418" s="267">
        <f>IFERROR(INDEX('Green_rooibos initial weight'!$C$5:$C$1749,MATCH(J418, 'Green_rooibos initial weight'!$A$5:$A$1749,0)),"")</f>
        <v>2.1419999999999999</v>
      </c>
      <c r="L418" s="267">
        <f>IFERROR(K418-(TBIcalc!$Q$9+TBIcalc!$Q$10),"")</f>
        <v>1.8921999999999999</v>
      </c>
      <c r="M418" s="391">
        <f>AVERAGE(Ashed_controlls!$K$12:$K$14)</f>
        <v>2.2816647271287041</v>
      </c>
      <c r="N418" s="267">
        <f t="shared" si="31"/>
        <v>1.8490263400332705</v>
      </c>
      <c r="O418" s="267">
        <f>IF(IFERROR(INDEX('Both teabags AfterDry'!$D$3:$D$900,MATCH(J418,'Both teabags AfterDry'!$A$3:$A$900,0)),"")="","",(IFERROR(INDEX('Both teabags AfterDry'!$D$3:$D$900,MATCH(J418,'Both teabags AfterDry'!$A$3:$A$900,0)),"")))</f>
        <v>1.6160000000000001</v>
      </c>
      <c r="P418" s="267">
        <f>IFERROR(IF(O418&gt;0,O418-(TBIcalc!$Q$9),""),"")</f>
        <v>1.4654</v>
      </c>
      <c r="Q418" s="278">
        <f>IFERROR(INDEX('Ashed teabags dry'!$K$2:$K$825,MATCH(J418,'Ashed teabags dry'!$A$2:$A$825,0)),"")</f>
        <v>6.6166740185264974</v>
      </c>
      <c r="R418" s="278">
        <f t="shared" si="32"/>
        <v>1.3684392589325127</v>
      </c>
      <c r="S418" s="268">
        <f>'Dry_Litterbag Placem_Collection'!E199</f>
        <v>42942</v>
      </c>
      <c r="T418" s="268">
        <f>IF('Dry_Litterbag Placem_Collection'!G199="","",'Dry_Litterbag Placem_Collection'!G199)</f>
        <v>43004</v>
      </c>
      <c r="U418" s="269">
        <f t="shared" si="30"/>
        <v>62</v>
      </c>
      <c r="V418" s="267">
        <f t="shared" si="33"/>
        <v>0.42679999999999985</v>
      </c>
      <c r="W418" s="267">
        <f t="shared" si="34"/>
        <v>0.48058708110075776</v>
      </c>
      <c r="X418" s="271">
        <f>IFERROR(INDEX(Rainfall_Dry!$O$2:$O$217,MATCH(B418, Rainfall_Dry!$A$2:$A$217,0)),"")</f>
        <v>171.84818423999999</v>
      </c>
      <c r="Y418" s="260">
        <v>23.96</v>
      </c>
      <c r="Z418" s="260">
        <v>0.91999999999999804</v>
      </c>
      <c r="AA418" s="260">
        <v>75.12</v>
      </c>
      <c r="AB418" s="261" t="s">
        <v>2670</v>
      </c>
      <c r="AC418" s="260">
        <v>1.2493839329719072</v>
      </c>
      <c r="AD418">
        <f>IF('WetLitterbags placem_collection'!AB199="","",'WetLitterbags placem_collection'!AB199)</f>
        <v>5.13</v>
      </c>
      <c r="AE418">
        <f>IF('WetLitterbags placem_collection'!Z199="","",'WetLitterbags placem_collection'!Z199)</f>
        <v>5.13</v>
      </c>
      <c r="AF418" s="24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71">
        <f>IFERROR(AVERAGE('Dry_Litterbag Placem_Collection'!N199,'Dry_Litterbag Placem_Collection'!Q199),"")</f>
        <v>29.05</v>
      </c>
      <c r="AJ418">
        <v>-2.4396450349999999</v>
      </c>
      <c r="AK418">
        <v>34.83836599</v>
      </c>
      <c r="AL418" s="270" t="str">
        <f>IF(ISNUMBER(SEARCH("C", 'Dry_Litterbag Placem_Collection'!T199)),"YES","NO")</f>
        <v>NO</v>
      </c>
      <c r="AM418" s="270" t="str">
        <f>IF(ISNUMBER(SEARCH("H", 'Dry_Litterbag Placem_Collection'!T199)),"YES","NO")</f>
        <v>NO</v>
      </c>
      <c r="AN418" s="270" t="str">
        <f>IF(ISNUMBER(SEARCH("R", 'Dry_Litterbag Placem_Collection'!T199)),"YES","NO")</f>
        <v>YES</v>
      </c>
    </row>
    <row r="419" spans="1:40" ht="15" customHeight="1">
      <c r="A419" s="262" t="s">
        <v>2659</v>
      </c>
      <c r="B419" s="263">
        <f>'Dry_Litterbag Placem_Collection'!A200</f>
        <v>198</v>
      </c>
      <c r="C419" s="263" t="str">
        <f>'Dry_Litterbag Placem_Collection'!B200</f>
        <v>Makao</v>
      </c>
      <c r="D419" s="263" t="s">
        <v>2659</v>
      </c>
      <c r="E419" s="263" t="s">
        <v>2526</v>
      </c>
      <c r="F419" s="263">
        <v>3</v>
      </c>
      <c r="G419" s="264" t="str">
        <f>'Dry_Litterbag Placem_Collection'!C200</f>
        <v>Dry_P2_CG3</v>
      </c>
      <c r="H419" s="265" t="s">
        <v>2541</v>
      </c>
      <c r="I419" s="272" t="s">
        <v>298</v>
      </c>
      <c r="J419" s="263" t="str">
        <f>IF(ISBLANK('Dry_Litterbag Placem_Collection'!K200),"","R"&amp;""&amp;'Dry_Litterbag Placem_Collection'!K200)</f>
        <v>R352</v>
      </c>
      <c r="K419" s="267">
        <f>IFERROR(INDEX('Green_rooibos initial weight'!$C$5:$C$1749,MATCH(J419, 'Green_rooibos initial weight'!$A$5:$A$1749,0)),"")</f>
        <v>2.2789999999999999</v>
      </c>
      <c r="L419" s="267">
        <f>IFERROR(K419-(TBIcalc!$Q$9+TBIcalc!$Q$10),"")</f>
        <v>2.0291999999999999</v>
      </c>
      <c r="M419" s="391">
        <f>AVERAGE(Ashed_controlls!$K$12:$K$14)</f>
        <v>2.2816647271287041</v>
      </c>
      <c r="N419" s="267">
        <f t="shared" si="31"/>
        <v>1.9829004593571042</v>
      </c>
      <c r="O419" s="267">
        <f>IF(IFERROR(INDEX('Both teabags AfterDry'!$D$3:$D$900,MATCH(J419,'Both teabags AfterDry'!$A$3:$A$900,0)),"")="","",(IFERROR(INDEX('Both teabags AfterDry'!$D$3:$D$900,MATCH(J419,'Both teabags AfterDry'!$A$3:$A$900,0)),"")))</f>
        <v>1.615</v>
      </c>
      <c r="P419" s="267">
        <f>IFERROR(IF(O419&gt;0,O419-(TBIcalc!$Q$9),""),"")</f>
        <v>1.4643999999999999</v>
      </c>
      <c r="Q419" s="278">
        <f>IFERROR(INDEX('Ashed teabags dry'!$K$2:$K$825,MATCH(J419,'Ashed teabags dry'!$A$2:$A$825,0)),"")</f>
        <v>5.1034482758627195</v>
      </c>
      <c r="R419" s="278">
        <f t="shared" si="32"/>
        <v>1.3896651034482663</v>
      </c>
      <c r="S419" s="268">
        <f>'Dry_Litterbag Placem_Collection'!E200</f>
        <v>42942</v>
      </c>
      <c r="T419" s="268">
        <f>IF('Dry_Litterbag Placem_Collection'!G200="","",'Dry_Litterbag Placem_Collection'!G200)</f>
        <v>43004</v>
      </c>
      <c r="U419" s="269">
        <f t="shared" si="30"/>
        <v>62</v>
      </c>
      <c r="V419" s="267">
        <f t="shared" si="33"/>
        <v>0.56479999999999997</v>
      </c>
      <c r="W419" s="267">
        <f t="shared" si="34"/>
        <v>0.59323535590883791</v>
      </c>
      <c r="X419" s="271">
        <f>IFERROR(INDEX(Rainfall_Dry!$O$2:$O$217,MATCH(B419, Rainfall_Dry!$A$2:$A$217,0)),"")</f>
        <v>171.84818423999999</v>
      </c>
      <c r="Y419" s="260">
        <v>19.96</v>
      </c>
      <c r="Z419" s="260">
        <v>4.9199999999999982</v>
      </c>
      <c r="AA419" s="260">
        <v>75.12</v>
      </c>
      <c r="AB419" s="261" t="s">
        <v>2671</v>
      </c>
      <c r="AC419" s="260">
        <v>1.641498275012321</v>
      </c>
      <c r="AD419">
        <f>IF('WetLitterbags placem_collection'!AB200="","",'WetLitterbags placem_collection'!AB200)</f>
        <v>7.9</v>
      </c>
      <c r="AE419">
        <f>IF('WetLitterbags placem_collection'!Z200="","",'WetLitterbags placem_collection'!Z200)</f>
        <v>7.9</v>
      </c>
      <c r="AF419" s="24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71">
        <f>IFERROR(AVERAGE('Dry_Litterbag Placem_Collection'!N200,'Dry_Litterbag Placem_Collection'!Q200),"")</f>
        <v>30.25</v>
      </c>
      <c r="AJ419">
        <v>-2.4395990190000001</v>
      </c>
      <c r="AK419">
        <v>34.838418959999998</v>
      </c>
      <c r="AL419" s="270" t="str">
        <f>IF(ISNUMBER(SEARCH("C", 'Dry_Litterbag Placem_Collection'!T200)),"YES","NO")</f>
        <v>NO</v>
      </c>
      <c r="AM419" s="270" t="str">
        <f>IF(ISNUMBER(SEARCH("H", 'Dry_Litterbag Placem_Collection'!T200)),"YES","NO")</f>
        <v>YES</v>
      </c>
      <c r="AN419" s="270" t="str">
        <f>IF(ISNUMBER(SEARCH("R", 'Dry_Litterbag Placem_Collection'!T200)),"YES","NO")</f>
        <v>YES</v>
      </c>
    </row>
    <row r="420" spans="1:40" ht="15" customHeight="1">
      <c r="A420" s="262" t="s">
        <v>2659</v>
      </c>
      <c r="B420" s="263">
        <f>'Dry_Litterbag Placem_Collection'!A201</f>
        <v>199</v>
      </c>
      <c r="C420" s="263" t="str">
        <f>'Dry_Litterbag Placem_Collection'!B201</f>
        <v>Makao</v>
      </c>
      <c r="D420" s="263" t="s">
        <v>2659</v>
      </c>
      <c r="E420" s="263" t="s">
        <v>2526</v>
      </c>
      <c r="F420" s="263">
        <v>1</v>
      </c>
      <c r="G420" s="264" t="str">
        <f>'Dry_Litterbag Placem_Collection'!C201</f>
        <v>Dry_P3_CG1</v>
      </c>
      <c r="H420" s="265" t="s">
        <v>2541</v>
      </c>
      <c r="I420" s="272" t="s">
        <v>298</v>
      </c>
      <c r="J420" s="263" t="str">
        <f>IF(ISBLANK('Dry_Litterbag Placem_Collection'!K201),"","R"&amp;""&amp;'Dry_Litterbag Placem_Collection'!K201)</f>
        <v>R327</v>
      </c>
      <c r="K420" s="267">
        <f>IFERROR(INDEX('Green_rooibos initial weight'!$C$5:$C$1749,MATCH(J420, 'Green_rooibos initial weight'!$A$5:$A$1749,0)),"")</f>
        <v>2.2229999999999999</v>
      </c>
      <c r="L420" s="267">
        <f>IFERROR(K420-(TBIcalc!$Q$9+TBIcalc!$Q$10),"")</f>
        <v>1.9731999999999998</v>
      </c>
      <c r="M420" s="391">
        <f>AVERAGE(Ashed_controlls!$K$12:$K$14)</f>
        <v>2.2816647271287041</v>
      </c>
      <c r="N420" s="267">
        <f t="shared" si="31"/>
        <v>1.9281781916042962</v>
      </c>
      <c r="O420" s="267">
        <f>IF(IFERROR(INDEX('Both teabags AfterDry'!$D$3:$D$900,MATCH(J420,'Both teabags AfterDry'!$A$3:$A$900,0)),"")="","",(IFERROR(INDEX('Both teabags AfterDry'!$D$3:$D$900,MATCH(J420,'Both teabags AfterDry'!$A$3:$A$900,0)),"")))</f>
        <v>1.5642</v>
      </c>
      <c r="P420" s="267">
        <f>IFERROR(IF(O420&gt;0,O420-(TBIcalc!$Q$9),""),"")</f>
        <v>1.4136</v>
      </c>
      <c r="Q420" s="278">
        <f>IFERROR(INDEX('Ashed teabags dry'!$K$2:$K$825,MATCH(J420,'Ashed teabags dry'!$A$2:$A$825,0)),"")</f>
        <v>3.4327009936770145</v>
      </c>
      <c r="R420" s="278">
        <f t="shared" si="32"/>
        <v>1.3650753387533816</v>
      </c>
      <c r="S420" s="268">
        <f>'Dry_Litterbag Placem_Collection'!E201</f>
        <v>42942</v>
      </c>
      <c r="T420" s="268">
        <f>IF('Dry_Litterbag Placem_Collection'!G201="","",'Dry_Litterbag Placem_Collection'!G201)</f>
        <v>43004</v>
      </c>
      <c r="U420" s="269">
        <f t="shared" si="30"/>
        <v>62</v>
      </c>
      <c r="V420" s="267">
        <f t="shared" si="33"/>
        <v>0.55959999999999988</v>
      </c>
      <c r="W420" s="267">
        <f t="shared" si="34"/>
        <v>0.56310285285091455</v>
      </c>
      <c r="X420" s="271">
        <f>IFERROR(INDEX(Rainfall_Dry!$O$2:$O$217,MATCH(B420, Rainfall_Dry!$A$2:$A$217,0)),"")</f>
        <v>171.84818423999999</v>
      </c>
      <c r="Y420" s="260">
        <v>21.96</v>
      </c>
      <c r="Z420" s="260">
        <v>8.9199999999999982</v>
      </c>
      <c r="AA420" s="260">
        <v>69.12</v>
      </c>
      <c r="AB420" s="261" t="s">
        <v>2670</v>
      </c>
      <c r="AC420" s="260">
        <v>1.7491375061606702</v>
      </c>
      <c r="AD420">
        <f>IF('WetLitterbags placem_collection'!AB201="","",'WetLitterbags placem_collection'!AB201)</f>
        <v>13.8</v>
      </c>
      <c r="AE420">
        <f>IF('WetLitterbags placem_collection'!Z201="","",'WetLitterbags placem_collection'!Z201)</f>
        <v>17.399999999999999</v>
      </c>
      <c r="AF420" s="24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71">
        <f>IFERROR(AVERAGE('Dry_Litterbag Placem_Collection'!N201,'Dry_Litterbag Placem_Collection'!Q201),"")</f>
        <v>27.200000000000003</v>
      </c>
      <c r="AJ420">
        <v>-2.439403972</v>
      </c>
      <c r="AK420">
        <v>34.838404959999998</v>
      </c>
      <c r="AL420" s="270" t="str">
        <f>IF(ISNUMBER(SEARCH("C", 'Dry_Litterbag Placem_Collection'!T201)),"YES","NO")</f>
        <v>NO</v>
      </c>
      <c r="AM420" s="270" t="str">
        <f>IF(ISNUMBER(SEARCH("H", 'Dry_Litterbag Placem_Collection'!T201)),"YES","NO")</f>
        <v>YES</v>
      </c>
      <c r="AN420" s="270" t="str">
        <f>IF(ISNUMBER(SEARCH("R", 'Dry_Litterbag Placem_Collection'!T201)),"YES","NO")</f>
        <v>NO</v>
      </c>
    </row>
    <row r="421" spans="1:40" ht="15" customHeight="1">
      <c r="A421" s="262" t="s">
        <v>2659</v>
      </c>
      <c r="B421" s="263">
        <f>'Dry_Litterbag Placem_Collection'!A202</f>
        <v>200</v>
      </c>
      <c r="C421" s="263" t="str">
        <f>'Dry_Litterbag Placem_Collection'!B202</f>
        <v>Makao</v>
      </c>
      <c r="D421" s="263" t="s">
        <v>2659</v>
      </c>
      <c r="E421" s="263" t="s">
        <v>2526</v>
      </c>
      <c r="F421" s="263">
        <v>4</v>
      </c>
      <c r="G421" s="264" t="str">
        <f>'Dry_Litterbag Placem_Collection'!C202</f>
        <v>Dry_P4_CG4</v>
      </c>
      <c r="H421" s="265" t="s">
        <v>2541</v>
      </c>
      <c r="I421" s="272" t="s">
        <v>298</v>
      </c>
      <c r="J421" s="263" t="str">
        <f>IF(ISBLANK('Dry_Litterbag Placem_Collection'!K202),"","R"&amp;""&amp;'Dry_Litterbag Placem_Collection'!K202)</f>
        <v>R75</v>
      </c>
      <c r="K421" s="267">
        <f>IFERROR(INDEX('Green_rooibos initial weight'!$C$5:$C$1749,MATCH(J421, 'Green_rooibos initial weight'!$A$5:$A$1749,0)),"")</f>
        <v>2.1819999999999999</v>
      </c>
      <c r="L421" s="267">
        <f>IFERROR(K421-(TBIcalc!$Q$9+TBIcalc!$Q$10),"")</f>
        <v>1.9321999999999999</v>
      </c>
      <c r="M421" s="391">
        <f>AVERAGE(Ashed_controlls!$K$12:$K$14)</f>
        <v>2.2816647271287041</v>
      </c>
      <c r="N421" s="267">
        <f t="shared" si="31"/>
        <v>1.8881136741424192</v>
      </c>
      <c r="O421" s="267">
        <f>IF(IFERROR(INDEX('Both teabags AfterDry'!$D$3:$D$900,MATCH(J421,'Both teabags AfterDry'!$A$3:$A$900,0)),"")="","",(IFERROR(INDEX('Both teabags AfterDry'!$D$3:$D$900,MATCH(J421,'Both teabags AfterDry'!$A$3:$A$900,0)),"")))</f>
        <v>0.1565</v>
      </c>
      <c r="P421" s="267">
        <f>IFERROR(IF(O421&gt;0,O421-(TBIcalc!$Q$9),""),"")</f>
        <v>5.8999999999999886E-3</v>
      </c>
      <c r="Q421" s="278">
        <f>IFERROR(INDEX('Ashed teabags dry'!$K$2:$K$825,MATCH(J421,'Ashed teabags dry'!$A$2:$A$825,0)),"")</f>
        <v>0</v>
      </c>
      <c r="R421" s="278">
        <f t="shared" si="32"/>
        <v>5.8999999999999886E-3</v>
      </c>
      <c r="S421" s="268">
        <f>'Dry_Litterbag Placem_Collection'!E202</f>
        <v>42942</v>
      </c>
      <c r="T421" s="268">
        <f>IF('Dry_Litterbag Placem_Collection'!G202="","",'Dry_Litterbag Placem_Collection'!G202)</f>
        <v>43004</v>
      </c>
      <c r="U421" s="269">
        <f t="shared" si="30"/>
        <v>62</v>
      </c>
      <c r="V421" s="267">
        <f t="shared" si="33"/>
        <v>1.9262999999999999</v>
      </c>
      <c r="W421" s="267">
        <f t="shared" si="34"/>
        <v>1.8822136741424191</v>
      </c>
      <c r="X421" s="271">
        <f>IFERROR(INDEX(Rainfall_Dry!$O$2:$O$217,MATCH(B421, Rainfall_Dry!$A$2:$A$217,0)),"")</f>
        <v>171.84818423999999</v>
      </c>
      <c r="Y421" s="260">
        <v>25.96</v>
      </c>
      <c r="Z421" s="260">
        <v>6.9200000000000008</v>
      </c>
      <c r="AA421" s="260">
        <v>67.12</v>
      </c>
      <c r="AB421" s="261" t="s">
        <v>2670</v>
      </c>
      <c r="AC421" s="260">
        <v>1.7568260226712666</v>
      </c>
      <c r="AD421">
        <f>IF('WetLitterbags placem_collection'!AB202="","",'WetLitterbags placem_collection'!AB202)</f>
        <v>15.2</v>
      </c>
      <c r="AE421">
        <f>IF('WetLitterbags placem_collection'!Z202="","",'WetLitterbags placem_collection'!Z202)</f>
        <v>12.2</v>
      </c>
      <c r="AF421" s="24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71">
        <f>IFERROR(AVERAGE('Dry_Litterbag Placem_Collection'!N202,'Dry_Litterbag Placem_Collection'!Q202),"")</f>
        <v>32.9</v>
      </c>
      <c r="AJ421">
        <v>-2.4396949910000001</v>
      </c>
      <c r="AK421">
        <v>34.838574029999997</v>
      </c>
      <c r="AL421" s="270" t="str">
        <f>IF(ISNUMBER(SEARCH("C", 'Dry_Litterbag Placem_Collection'!T202)),"YES","NO")</f>
        <v>NO</v>
      </c>
      <c r="AM421" s="270" t="str">
        <f>IF(ISNUMBER(SEARCH("H", 'Dry_Litterbag Placem_Collection'!T202)),"YES","NO")</f>
        <v>YES</v>
      </c>
      <c r="AN421" s="270" t="str">
        <f>IF(ISNUMBER(SEARCH("R", 'Dry_Litterbag Placem_Collection'!T202)),"YES","NO")</f>
        <v>YES</v>
      </c>
    </row>
    <row r="422" spans="1:40" ht="15" customHeight="1">
      <c r="A422" s="262" t="s">
        <v>2659</v>
      </c>
      <c r="B422" s="263">
        <f>'Dry_Litterbag Placem_Collection'!A203</f>
        <v>201</v>
      </c>
      <c r="C422" s="263" t="str">
        <f>'Dry_Litterbag Placem_Collection'!B203</f>
        <v>Maswa</v>
      </c>
      <c r="D422" s="263" t="s">
        <v>2659</v>
      </c>
      <c r="E422" s="263" t="s">
        <v>2526</v>
      </c>
      <c r="F422" s="263">
        <v>4</v>
      </c>
      <c r="G422" s="264" t="str">
        <f>'Dry_Litterbag Placem_Collection'!C203</f>
        <v>Dry_W3_CG4</v>
      </c>
      <c r="H422" s="265" t="s">
        <v>2541</v>
      </c>
      <c r="I422" s="272" t="s">
        <v>298</v>
      </c>
      <c r="J422" s="263" t="str">
        <f>IF(ISBLANK('Dry_Litterbag Placem_Collection'!K203),"","R"&amp;""&amp;'Dry_Litterbag Placem_Collection'!K203)</f>
        <v>R36</v>
      </c>
      <c r="K422" s="267">
        <f>IFERROR(INDEX('Green_rooibos initial weight'!$C$5:$C$1749,MATCH(J422, 'Green_rooibos initial weight'!$A$5:$A$1749,0)),"")</f>
        <v>2.298</v>
      </c>
      <c r="L422" s="267">
        <f>IFERROR(K422-(TBIcalc!$Q$9+TBIcalc!$Q$10),"")</f>
        <v>2.0482</v>
      </c>
      <c r="M422" s="391">
        <f>AVERAGE(Ashed_controlls!$K$12:$K$14)</f>
        <v>2.2816647271287041</v>
      </c>
      <c r="N422" s="267">
        <f t="shared" si="31"/>
        <v>2.0014669430589498</v>
      </c>
      <c r="O422" s="267">
        <f>IF(IFERROR(INDEX('Both teabags AfterDry'!$D$3:$D$900,MATCH(J422,'Both teabags AfterDry'!$A$3:$A$900,0)),"")="","",(IFERROR(INDEX('Both teabags AfterDry'!$D$3:$D$900,MATCH(J422,'Both teabags AfterDry'!$A$3:$A$900,0)),"")))</f>
        <v>1.968</v>
      </c>
      <c r="P422" s="267">
        <f>IFERROR(IF(O422&gt;0,O422-(TBIcalc!$Q$9),""),"")</f>
        <v>1.8173999999999999</v>
      </c>
      <c r="Q422" s="278">
        <f>IFERROR(INDEX('Ashed teabags dry'!$K$2:$K$825,MATCH(J422,'Ashed teabags dry'!$A$2:$A$825,0)),"")</f>
        <v>10.068426197458811</v>
      </c>
      <c r="R422" s="278">
        <f t="shared" si="32"/>
        <v>1.6344164222873836</v>
      </c>
      <c r="S422" s="268">
        <f>'Dry_Litterbag Placem_Collection'!E203</f>
        <v>42942</v>
      </c>
      <c r="T422" s="268">
        <f>IF('Dry_Litterbag Placem_Collection'!G203="","",'Dry_Litterbag Placem_Collection'!G203)</f>
        <v>43004</v>
      </c>
      <c r="U422" s="269">
        <f t="shared" si="30"/>
        <v>62</v>
      </c>
      <c r="V422" s="267">
        <f t="shared" si="33"/>
        <v>0.23080000000000012</v>
      </c>
      <c r="W422" s="267">
        <f t="shared" si="34"/>
        <v>0.36705052077156619</v>
      </c>
      <c r="X422" s="271">
        <f>IFERROR(INDEX(Rainfall_Dry!$O$2:$O$217,MATCH(B422, Rainfall_Dry!$A$2:$A$217,0)),"")</f>
        <v>171.84818423999999</v>
      </c>
      <c r="Y422" s="260">
        <v>38.691629007962128</v>
      </c>
      <c r="Z422" s="260">
        <v>26.81299763288143</v>
      </c>
      <c r="AA422" s="260">
        <v>34.495373359156439</v>
      </c>
      <c r="AB422" s="261" t="s">
        <v>2675</v>
      </c>
      <c r="AC422" s="260">
        <v>2.5483587974371611</v>
      </c>
      <c r="AD422">
        <f>IF('WetLitterbags placem_collection'!AB203="","",'WetLitterbags placem_collection'!AB203)</f>
        <v>15.2</v>
      </c>
      <c r="AE422">
        <f>IF('WetLitterbags placem_collection'!Z203="","",'WetLitterbags placem_collection'!Z203)</f>
        <v>12.2</v>
      </c>
      <c r="AF422" s="24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71">
        <f>IFERROR(AVERAGE('Dry_Litterbag Placem_Collection'!N203,'Dry_Litterbag Placem_Collection'!Q203),"")</f>
        <v>29.15</v>
      </c>
      <c r="AJ422">
        <v>-2.4396949910000001</v>
      </c>
      <c r="AK422">
        <v>34.838574029999997</v>
      </c>
      <c r="AL422" s="270" t="str">
        <f>IF(ISNUMBER(SEARCH("C", 'Dry_Litterbag Placem_Collection'!T203)),"YES","NO")</f>
        <v>YES</v>
      </c>
      <c r="AM422" s="270" t="str">
        <f>IF(ISNUMBER(SEARCH("H", 'Dry_Litterbag Placem_Collection'!T203)),"YES","NO")</f>
        <v>YES</v>
      </c>
      <c r="AN422" s="270" t="str">
        <f>IF(ISNUMBER(SEARCH("R", 'Dry_Litterbag Placem_Collection'!T203)),"YES","NO")</f>
        <v>YES</v>
      </c>
    </row>
    <row r="423" spans="1:40" ht="15" customHeight="1">
      <c r="A423" s="262" t="s">
        <v>2659</v>
      </c>
      <c r="B423" s="263">
        <f>'Dry_Litterbag Placem_Collection'!A204</f>
        <v>202</v>
      </c>
      <c r="C423" s="263" t="str">
        <f>'Dry_Litterbag Placem_Collection'!B204</f>
        <v>Maswa</v>
      </c>
      <c r="D423" s="263" t="s">
        <v>2659</v>
      </c>
      <c r="E423" s="263" t="s">
        <v>2526</v>
      </c>
      <c r="F423" s="263">
        <v>1</v>
      </c>
      <c r="G423" s="264" t="str">
        <f>'Dry_Litterbag Placem_Collection'!C204</f>
        <v>Dry_W2_CG1</v>
      </c>
      <c r="H423" s="265" t="s">
        <v>2541</v>
      </c>
      <c r="I423" s="272" t="s">
        <v>298</v>
      </c>
      <c r="J423" s="263" t="str">
        <f>IF(ISBLANK('Dry_Litterbag Placem_Collection'!K204),"","R"&amp;""&amp;'Dry_Litterbag Placem_Collection'!K204)</f>
        <v>R676</v>
      </c>
      <c r="K423" s="267">
        <f>IFERROR(INDEX('Green_rooibos initial weight'!$C$5:$C$1749,MATCH(J423, 'Green_rooibos initial weight'!$A$5:$A$1749,0)),"")</f>
        <v>2.1459999999999999</v>
      </c>
      <c r="L423" s="267">
        <f>IFERROR(K423-(TBIcalc!$Q$9+TBIcalc!$Q$10),"")</f>
        <v>1.8961999999999999</v>
      </c>
      <c r="M423" s="391">
        <f>AVERAGE(Ashed_controlls!$K$12:$K$14)</f>
        <v>2.2816647271287041</v>
      </c>
      <c r="N423" s="267">
        <f t="shared" si="31"/>
        <v>1.8529350734441854</v>
      </c>
      <c r="O423" s="267">
        <f>IF(IFERROR(INDEX('Both teabags AfterDry'!$D$3:$D$900,MATCH(J423,'Both teabags AfterDry'!$A$3:$A$900,0)),"")="","",(IFERROR(INDEX('Both teabags AfterDry'!$D$3:$D$900,MATCH(J423,'Both teabags AfterDry'!$A$3:$A$900,0)),"")))</f>
        <v>1.6712</v>
      </c>
      <c r="P423" s="267">
        <f>IFERROR(IF(O423&gt;0,O423-(TBIcalc!$Q$9),""),"")</f>
        <v>1.5206</v>
      </c>
      <c r="Q423" s="278">
        <f>IFERROR(INDEX('Ashed teabags dry'!$K$2:$K$825,MATCH(J423,'Ashed teabags dry'!$A$2:$A$825,0)),"")</f>
        <v>11.369253583786671</v>
      </c>
      <c r="R423" s="278">
        <f t="shared" si="32"/>
        <v>1.3477191300049398</v>
      </c>
      <c r="S423" s="268">
        <f>'Dry_Litterbag Placem_Collection'!E204</f>
        <v>42942</v>
      </c>
      <c r="T423" s="268">
        <f>IF('Dry_Litterbag Placem_Collection'!G204="","",'Dry_Litterbag Placem_Collection'!G204)</f>
        <v>43004</v>
      </c>
      <c r="U423" s="269">
        <f t="shared" si="30"/>
        <v>62</v>
      </c>
      <c r="V423" s="267">
        <f t="shared" si="33"/>
        <v>0.37559999999999993</v>
      </c>
      <c r="W423" s="267">
        <f t="shared" si="34"/>
        <v>0.50521594343924559</v>
      </c>
      <c r="X423" s="271">
        <f>IFERROR(INDEX(Rainfall_Dry!$O$2:$O$217,MATCH(B423, Rainfall_Dry!$A$2:$A$217,0)),"")</f>
        <v>171.84818423999999</v>
      </c>
      <c r="Y423" s="260">
        <v>45.272914521112256</v>
      </c>
      <c r="Z423" s="260">
        <v>23.604531410916575</v>
      </c>
      <c r="AA423" s="260">
        <v>31.122554067971166</v>
      </c>
      <c r="AB423" s="261" t="s">
        <v>2673</v>
      </c>
      <c r="AC423" s="260">
        <v>2.0547560374568752</v>
      </c>
      <c r="AD423">
        <f>IF('WetLitterbags placem_collection'!AB204="","",'WetLitterbags placem_collection'!AB204)</f>
        <v>13.8</v>
      </c>
      <c r="AE423">
        <f>IF('WetLitterbags placem_collection'!Z204="","",'WetLitterbags placem_collection'!Z204)</f>
        <v>17.399999999999999</v>
      </c>
      <c r="AF423" s="24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71">
        <f>IFERROR(AVERAGE('Dry_Litterbag Placem_Collection'!N204,'Dry_Litterbag Placem_Collection'!Q204),"")</f>
        <v>28.85</v>
      </c>
      <c r="AJ423">
        <v>-2.439403972</v>
      </c>
      <c r="AK423">
        <v>34.838404959999998</v>
      </c>
      <c r="AL423" s="270" t="str">
        <f>IF(ISNUMBER(SEARCH("C", 'Dry_Litterbag Placem_Collection'!T204)),"YES","NO")</f>
        <v>NO</v>
      </c>
      <c r="AM423" s="270" t="str">
        <f>IF(ISNUMBER(SEARCH("H", 'Dry_Litterbag Placem_Collection'!T204)),"YES","NO")</f>
        <v>YES</v>
      </c>
      <c r="AN423" s="270" t="str">
        <f>IF(ISNUMBER(SEARCH("R", 'Dry_Litterbag Placem_Collection'!T204)),"YES","NO")</f>
        <v>YES</v>
      </c>
    </row>
    <row r="424" spans="1:40" ht="15" customHeight="1">
      <c r="A424" s="262" t="s">
        <v>2659</v>
      </c>
      <c r="B424" s="263">
        <f>'Dry_Litterbag Placem_Collection'!A205</f>
        <v>203</v>
      </c>
      <c r="C424" s="263" t="str">
        <f>'Dry_Litterbag Placem_Collection'!B205</f>
        <v>Maswa</v>
      </c>
      <c r="D424" s="263" t="s">
        <v>2659</v>
      </c>
      <c r="E424" s="263" t="s">
        <v>2526</v>
      </c>
      <c r="F424" s="263">
        <v>2</v>
      </c>
      <c r="G424" s="264" t="str">
        <f>'Dry_Litterbag Placem_Collection'!C205</f>
        <v>Dry_W1_CG2</v>
      </c>
      <c r="H424" s="265" t="s">
        <v>2541</v>
      </c>
      <c r="I424" s="272" t="s">
        <v>298</v>
      </c>
      <c r="J424" s="263" t="str">
        <f>IF(ISBLANK('Dry_Litterbag Placem_Collection'!K205),"","R"&amp;""&amp;'Dry_Litterbag Placem_Collection'!K205)</f>
        <v>R685</v>
      </c>
      <c r="K424" s="267">
        <f>IFERROR(INDEX('Green_rooibos initial weight'!$C$5:$C$1749,MATCH(J424, 'Green_rooibos initial weight'!$A$5:$A$1749,0)),"")</f>
        <v>2.1629999999999998</v>
      </c>
      <c r="L424" s="267">
        <f>IFERROR(K424-(TBIcalc!$Q$9+TBIcalc!$Q$10),"")</f>
        <v>1.9131999999999998</v>
      </c>
      <c r="M424" s="391">
        <f>AVERAGE(Ashed_controlls!$K$12:$K$14)</f>
        <v>2.2816647271287041</v>
      </c>
      <c r="N424" s="267">
        <f t="shared" si="31"/>
        <v>1.8695471904405734</v>
      </c>
      <c r="O424" s="267">
        <f>IF(IFERROR(INDEX('Both teabags AfterDry'!$D$3:$D$900,MATCH(J424,'Both teabags AfterDry'!$A$3:$A$900,0)),"")="","",(IFERROR(INDEX('Both teabags AfterDry'!$D$3:$D$900,MATCH(J424,'Both teabags AfterDry'!$A$3:$A$900,0)),"")))</f>
        <v>1.7919</v>
      </c>
      <c r="P424" s="267">
        <f>IFERROR(IF(O424&gt;0,O424-(TBIcalc!$Q$9),""),"")</f>
        <v>1.6413</v>
      </c>
      <c r="Q424" s="278">
        <f>IFERROR(INDEX('Ashed teabags dry'!$K$2:$K$825,MATCH(J424,'Ashed teabags dry'!$A$2:$A$825,0)),"")</f>
        <v>7.1924603174607373</v>
      </c>
      <c r="R424" s="278">
        <f t="shared" si="32"/>
        <v>1.5232501488095169</v>
      </c>
      <c r="S424" s="268">
        <f>'Dry_Litterbag Placem_Collection'!E205</f>
        <v>42942</v>
      </c>
      <c r="T424" s="268">
        <f>IF('Dry_Litterbag Placem_Collection'!G205="","",'Dry_Litterbag Placem_Collection'!G205)</f>
        <v>43004</v>
      </c>
      <c r="U424" s="269">
        <f t="shared" si="30"/>
        <v>62</v>
      </c>
      <c r="V424" s="267">
        <f t="shared" si="33"/>
        <v>0.27189999999999981</v>
      </c>
      <c r="W424" s="267">
        <f t="shared" si="34"/>
        <v>0.34629704163105646</v>
      </c>
      <c r="X424" s="271">
        <f>IFERROR(INDEX(Rainfall_Dry!$O$2:$O$217,MATCH(B424, Rainfall_Dry!$A$2:$A$217,0)),"")</f>
        <v>171.84818423999999</v>
      </c>
      <c r="Y424" s="260">
        <v>47.96</v>
      </c>
      <c r="Z424" s="260">
        <v>22.919999999999995</v>
      </c>
      <c r="AA424" s="260">
        <v>29.120000000000012</v>
      </c>
      <c r="AB424" s="261" t="s">
        <v>2673</v>
      </c>
      <c r="AC424" s="260">
        <v>2.8831936914736325</v>
      </c>
      <c r="AD424">
        <f>IF('WetLitterbags placem_collection'!AB205="","",'WetLitterbags placem_collection'!AB205)</f>
        <v>5.13</v>
      </c>
      <c r="AE424">
        <f>IF('WetLitterbags placem_collection'!Z205="","",'WetLitterbags placem_collection'!Z205)</f>
        <v>5.13</v>
      </c>
      <c r="AF424" s="24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71">
        <f>IFERROR(AVERAGE('Dry_Litterbag Placem_Collection'!N205,'Dry_Litterbag Placem_Collection'!Q205),"")</f>
        <v>28.299999999999997</v>
      </c>
      <c r="AJ424">
        <v>-2.4396450349999999</v>
      </c>
      <c r="AK424">
        <v>34.83836599</v>
      </c>
      <c r="AL424" s="270" t="str">
        <f>IF(ISNUMBER(SEARCH("C", 'Dry_Litterbag Placem_Collection'!T205)),"YES","NO")</f>
        <v>NO</v>
      </c>
      <c r="AM424" s="270" t="str">
        <f>IF(ISNUMBER(SEARCH("H", 'Dry_Litterbag Placem_Collection'!T205)),"YES","NO")</f>
        <v>NO</v>
      </c>
      <c r="AN424" s="270" t="str">
        <f>IF(ISNUMBER(SEARCH("R", 'Dry_Litterbag Placem_Collection'!T205)),"YES","NO")</f>
        <v>YES</v>
      </c>
    </row>
    <row r="425" spans="1:40" ht="15" customHeight="1">
      <c r="A425" s="262" t="s">
        <v>2659</v>
      </c>
      <c r="B425" s="263">
        <f>'Dry_Litterbag Placem_Collection'!A206</f>
        <v>204</v>
      </c>
      <c r="C425" s="263" t="str">
        <f>'Dry_Litterbag Placem_Collection'!B206</f>
        <v>Maswa</v>
      </c>
      <c r="D425" s="263" t="s">
        <v>2659</v>
      </c>
      <c r="E425" s="263" t="s">
        <v>2526</v>
      </c>
      <c r="F425" s="263">
        <v>3</v>
      </c>
      <c r="G425" s="264" t="str">
        <f>'Dry_Litterbag Placem_Collection'!C206</f>
        <v>Dry_W4_CG3</v>
      </c>
      <c r="H425" s="265" t="s">
        <v>2541</v>
      </c>
      <c r="I425" s="272" t="s">
        <v>298</v>
      </c>
      <c r="J425" s="263" t="str">
        <f>IF(ISBLANK('Dry_Litterbag Placem_Collection'!K206),"","R"&amp;""&amp;'Dry_Litterbag Placem_Collection'!K206)</f>
        <v>R254</v>
      </c>
      <c r="K425" s="267">
        <f>IFERROR(INDEX('Green_rooibos initial weight'!$C$5:$C$1749,MATCH(J425, 'Green_rooibos initial weight'!$A$5:$A$1749,0)),"")</f>
        <v>2.266</v>
      </c>
      <c r="L425" s="267">
        <f>IFERROR(K425-(TBIcalc!$Q$9+TBIcalc!$Q$10),"")</f>
        <v>2.0162</v>
      </c>
      <c r="M425" s="391">
        <f>AVERAGE(Ashed_controlls!$K$12:$K$14)</f>
        <v>2.2816647271287041</v>
      </c>
      <c r="N425" s="267">
        <f t="shared" si="31"/>
        <v>1.9701970757716312</v>
      </c>
      <c r="O425" s="267">
        <f>IF(IFERROR(INDEX('Both teabags AfterDry'!$D$3:$D$900,MATCH(J425,'Both teabags AfterDry'!$A$3:$A$900,0)),"")="","",(IFERROR(INDEX('Both teabags AfterDry'!$D$3:$D$900,MATCH(J425,'Both teabags AfterDry'!$A$3:$A$900,0)),"")))</f>
        <v>1.8010999999999999</v>
      </c>
      <c r="P425" s="267">
        <f>IFERROR(IF(O425&gt;0,O425-(TBIcalc!$Q$9),""),"")</f>
        <v>1.6504999999999999</v>
      </c>
      <c r="Q425" s="278">
        <f>IFERROR(INDEX('Ashed teabags dry'!$K$2:$K$825,MATCH(J425,'Ashed teabags dry'!$A$2:$A$825,0)),"")</f>
        <v>6.0425953442297144</v>
      </c>
      <c r="R425" s="278">
        <f t="shared" si="32"/>
        <v>1.5507669638434884</v>
      </c>
      <c r="S425" s="268">
        <f>'Dry_Litterbag Placem_Collection'!E206</f>
        <v>42942</v>
      </c>
      <c r="T425" s="268">
        <f>IF('Dry_Litterbag Placem_Collection'!G206="","",'Dry_Litterbag Placem_Collection'!G206)</f>
        <v>43004</v>
      </c>
      <c r="U425" s="269">
        <f t="shared" si="30"/>
        <v>62</v>
      </c>
      <c r="V425" s="267">
        <f t="shared" si="33"/>
        <v>0.36570000000000014</v>
      </c>
      <c r="W425" s="267">
        <f t="shared" si="34"/>
        <v>0.41943011192814272</v>
      </c>
      <c r="X425" s="271">
        <f>IFERROR(INDEX(Rainfall_Dry!$O$2:$O$217,MATCH(B425, Rainfall_Dry!$A$2:$A$217,0)),"")</f>
        <v>171.84818423999999</v>
      </c>
      <c r="Y425" s="260">
        <v>28.145762029394</v>
      </c>
      <c r="Z425" s="260">
        <v>25.085564727199518</v>
      </c>
      <c r="AA425" s="260">
        <v>46.768673243406489</v>
      </c>
      <c r="AB425" s="261" t="s">
        <v>2670</v>
      </c>
      <c r="AC425" s="260">
        <v>2.1716214884179394</v>
      </c>
      <c r="AD425">
        <f>IF('WetLitterbags placem_collection'!AB206="","",'WetLitterbags placem_collection'!AB206)</f>
        <v>7.9</v>
      </c>
      <c r="AE425">
        <f>IF('WetLitterbags placem_collection'!Z206="","",'WetLitterbags placem_collection'!Z206)</f>
        <v>7.9</v>
      </c>
      <c r="AF425" s="24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71">
        <f>IFERROR(AVERAGE('Dry_Litterbag Placem_Collection'!N206,'Dry_Litterbag Placem_Collection'!Q206),"")</f>
        <v>27.299999999999997</v>
      </c>
      <c r="AJ425">
        <v>-2.4395990190000001</v>
      </c>
      <c r="AK425">
        <v>34.838418959999998</v>
      </c>
      <c r="AL425" s="270" t="str">
        <f>IF(ISNUMBER(SEARCH("C", 'Dry_Litterbag Placem_Collection'!T206)),"YES","NO")</f>
        <v>NO</v>
      </c>
      <c r="AM425" s="270" t="str">
        <f>IF(ISNUMBER(SEARCH("H", 'Dry_Litterbag Placem_Collection'!T206)),"YES","NO")</f>
        <v>YES</v>
      </c>
      <c r="AN425" s="270" t="str">
        <f>IF(ISNUMBER(SEARCH("R", 'Dry_Litterbag Placem_Collection'!T206)),"YES","NO")</f>
        <v>YES</v>
      </c>
    </row>
    <row r="426" spans="1:40" ht="15" customHeight="1">
      <c r="A426" s="262" t="s">
        <v>2659</v>
      </c>
      <c r="B426" s="263">
        <f>'Dry_Litterbag Placem_Collection'!A207</f>
        <v>205</v>
      </c>
      <c r="C426" s="263" t="str">
        <f>'Dry_Litterbag Placem_Collection'!B207</f>
        <v xml:space="preserve">Mwantimba
</v>
      </c>
      <c r="D426" s="263" t="s">
        <v>2659</v>
      </c>
      <c r="E426" s="263" t="s">
        <v>2526</v>
      </c>
      <c r="F426" s="263">
        <v>2</v>
      </c>
      <c r="G426" s="264" t="str">
        <f>'Dry_Litterbag Placem_Collection'!C207</f>
        <v>Wet_Ag1_CG2</v>
      </c>
      <c r="H426" s="265" t="s">
        <v>2541</v>
      </c>
      <c r="I426" s="272" t="s">
        <v>298</v>
      </c>
      <c r="J426" s="263" t="str">
        <f>IF(ISBLANK('Dry_Litterbag Placem_Collection'!K207),"","R"&amp;""&amp;'Dry_Litterbag Placem_Collection'!K207)</f>
        <v>R348</v>
      </c>
      <c r="K426" s="267">
        <f>IFERROR(INDEX('Green_rooibos initial weight'!$C$5:$C$1749,MATCH(J426, 'Green_rooibos initial weight'!$A$5:$A$1749,0)),"")</f>
        <v>2.31</v>
      </c>
      <c r="L426" s="267">
        <f>IFERROR(K426-(TBIcalc!$Q$9+TBIcalc!$Q$10),"")</f>
        <v>2.0602</v>
      </c>
      <c r="M426" s="391">
        <f>AVERAGE(Ashed_controlls!$K$12:$K$14)</f>
        <v>2.2816647271287041</v>
      </c>
      <c r="N426" s="267">
        <f t="shared" si="31"/>
        <v>2.0131931432916943</v>
      </c>
      <c r="O426" s="267">
        <f>IF(IFERROR(INDEX('Both teabags AfterDry'!$D$3:$D$900,MATCH(J426,'Both teabags AfterDry'!$A$3:$A$900,0)),"")="","",(IFERROR(INDEX('Both teabags AfterDry'!$D$3:$D$900,MATCH(J426,'Both teabags AfterDry'!$A$3:$A$900,0)),"")))</f>
        <v>1.7168000000000001</v>
      </c>
      <c r="P426" s="267">
        <f>IFERROR(IF(O426&gt;0,O426-(TBIcalc!$Q$9),""),"")</f>
        <v>1.5662</v>
      </c>
      <c r="Q426" s="278">
        <f>IFERROR(INDEX('Ashed teabags dry'!$K$2:$K$825,MATCH(J426,'Ashed teabags dry'!$A$2:$A$825,0)),"")</f>
        <v>5.9891107078038743</v>
      </c>
      <c r="R426" s="278">
        <f t="shared" si="32"/>
        <v>1.4723985480943758</v>
      </c>
      <c r="S426" s="268">
        <f>'Dry_Litterbag Placem_Collection'!E207</f>
        <v>42942</v>
      </c>
      <c r="T426" s="268">
        <f>IF('Dry_Litterbag Placem_Collection'!G207="","",'Dry_Litterbag Placem_Collection'!G207)</f>
        <v>43004</v>
      </c>
      <c r="U426" s="269">
        <f t="shared" si="30"/>
        <v>62</v>
      </c>
      <c r="V426" s="267">
        <f t="shared" si="33"/>
        <v>0.49399999999999999</v>
      </c>
      <c r="W426" s="267">
        <f t="shared" si="34"/>
        <v>0.54079459519731854</v>
      </c>
      <c r="X426" s="271">
        <f>IFERROR(INDEX(Rainfall_Dry!$O$2:$O$217,MATCH(B426, Rainfall_Dry!$A$2:$A$217,0)),"")</f>
        <v>171.84818423999999</v>
      </c>
      <c r="Y426" s="260">
        <v>45.96</v>
      </c>
      <c r="Z426" s="260">
        <v>14.920000000000003</v>
      </c>
      <c r="AA426" s="260">
        <v>39.119999999999997</v>
      </c>
      <c r="AB426" s="261" t="s">
        <v>2673</v>
      </c>
      <c r="AC426" s="260">
        <v>2.0374568753080333</v>
      </c>
      <c r="AD426">
        <f>IF('WetLitterbags placem_collection'!AB207="","",'WetLitterbags placem_collection'!AB207)</f>
        <v>5.13</v>
      </c>
      <c r="AE426">
        <f>IF('WetLitterbags placem_collection'!Z207="","",'WetLitterbags placem_collection'!Z207)</f>
        <v>5.13</v>
      </c>
      <c r="AF426" s="24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71">
        <f>IFERROR(AVERAGE('Dry_Litterbag Placem_Collection'!N207,'Dry_Litterbag Placem_Collection'!Q207),"")</f>
        <v>29.05</v>
      </c>
      <c r="AJ426">
        <v>-2.4396450349999999</v>
      </c>
      <c r="AK426">
        <v>34.83836599</v>
      </c>
      <c r="AL426" s="270" t="str">
        <f>IF(ISNUMBER(SEARCH("C", 'Dry_Litterbag Placem_Collection'!T207)),"YES","NO")</f>
        <v>NO</v>
      </c>
      <c r="AM426" s="270" t="str">
        <f>IF(ISNUMBER(SEARCH("H", 'Dry_Litterbag Placem_Collection'!T207)),"YES","NO")</f>
        <v>YES</v>
      </c>
      <c r="AN426" s="270" t="str">
        <f>IF(ISNUMBER(SEARCH("R", 'Dry_Litterbag Placem_Collection'!T207)),"YES","NO")</f>
        <v>YES</v>
      </c>
    </row>
    <row r="427" spans="1:40" ht="15" customHeight="1">
      <c r="A427" s="262" t="s">
        <v>2659</v>
      </c>
      <c r="B427" s="263">
        <f>'Dry_Litterbag Placem_Collection'!A208</f>
        <v>206</v>
      </c>
      <c r="C427" s="263" t="str">
        <f>'Dry_Litterbag Placem_Collection'!B208</f>
        <v xml:space="preserve">Mwantimba
</v>
      </c>
      <c r="D427" s="263" t="s">
        <v>2659</v>
      </c>
      <c r="E427" s="263" t="s">
        <v>2526</v>
      </c>
      <c r="F427" s="263">
        <v>1</v>
      </c>
      <c r="G427" s="264" t="str">
        <f>'Dry_Litterbag Placem_Collection'!C208</f>
        <v>Wet_Ag2_CG1</v>
      </c>
      <c r="H427" s="265" t="s">
        <v>2541</v>
      </c>
      <c r="I427" s="272" t="s">
        <v>298</v>
      </c>
      <c r="J427" s="263" t="str">
        <f>IF(ISBLANK('Dry_Litterbag Placem_Collection'!K208),"","R"&amp;""&amp;'Dry_Litterbag Placem_Collection'!K208)</f>
        <v>R686</v>
      </c>
      <c r="K427" s="267">
        <f>IFERROR(INDEX('Green_rooibos initial weight'!$C$5:$C$1749,MATCH(J427, 'Green_rooibos initial weight'!$A$5:$A$1749,0)),"")</f>
        <v>2.1890000000000001</v>
      </c>
      <c r="L427" s="267">
        <f>IFERROR(K427-(TBIcalc!$Q$9+TBIcalc!$Q$10),"")</f>
        <v>1.9392</v>
      </c>
      <c r="M427" s="391">
        <f>AVERAGE(Ashed_controlls!$K$12:$K$14)</f>
        <v>2.2816647271287041</v>
      </c>
      <c r="N427" s="267">
        <f t="shared" si="31"/>
        <v>1.8949539576115202</v>
      </c>
      <c r="O427" s="267">
        <f>IF(IFERROR(INDEX('Both teabags AfterDry'!$D$3:$D$900,MATCH(J427,'Both teabags AfterDry'!$A$3:$A$900,0)),"")="","",(IFERROR(INDEX('Both teabags AfterDry'!$D$3:$D$900,MATCH(J427,'Both teabags AfterDry'!$A$3:$A$900,0)),"")))</f>
        <v>3.4599000000000002</v>
      </c>
      <c r="P427" s="267">
        <f>IFERROR(IF(O427&gt;0,O427-(TBIcalc!$Q$9),""),"")</f>
        <v>3.3093000000000004</v>
      </c>
      <c r="Q427" s="278">
        <f>IFERROR(INDEX('Ashed teabags dry'!$K$2:$K$825,MATCH(J427,'Ashed teabags dry'!$A$2:$A$825,0)),"")</f>
        <v>95.258416311047142</v>
      </c>
      <c r="R427" s="278">
        <f t="shared" si="32"/>
        <v>0.1569132290185169</v>
      </c>
      <c r="S427" s="268">
        <f>'Dry_Litterbag Placem_Collection'!E208</f>
        <v>42942</v>
      </c>
      <c r="T427" s="268">
        <f>IF('Dry_Litterbag Placem_Collection'!G208="","",'Dry_Litterbag Placem_Collection'!G208)</f>
        <v>43004</v>
      </c>
      <c r="U427" s="269">
        <f t="shared" si="30"/>
        <v>62</v>
      </c>
      <c r="V427" s="267">
        <f t="shared" si="33"/>
        <v>-1.3701000000000003</v>
      </c>
      <c r="W427" s="267">
        <f t="shared" si="34"/>
        <v>1.7380407285930033</v>
      </c>
      <c r="X427" s="271">
        <f>IFERROR(INDEX(Rainfall_Dry!$O$2:$O$217,MATCH(B427, Rainfall_Dry!$A$2:$A$217,0)),"")</f>
        <v>171.84818423999999</v>
      </c>
      <c r="Y427" s="260">
        <v>34.344660194174757</v>
      </c>
      <c r="Z427" s="260">
        <v>19.22727272727273</v>
      </c>
      <c r="AA427" s="260">
        <v>46.428067078552509</v>
      </c>
      <c r="AB427" s="261" t="s">
        <v>2670</v>
      </c>
      <c r="AC427" s="260">
        <v>1.7452932479053718</v>
      </c>
      <c r="AD427">
        <f>IF('WetLitterbags placem_collection'!AB208="","",'WetLitterbags placem_collection'!AB208)</f>
        <v>13.8</v>
      </c>
      <c r="AE427">
        <f>IF('WetLitterbags placem_collection'!Z208="","",'WetLitterbags placem_collection'!Z208)</f>
        <v>17.399999999999999</v>
      </c>
      <c r="AF427" s="24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71">
        <f>IFERROR(AVERAGE('Dry_Litterbag Placem_Collection'!N208,'Dry_Litterbag Placem_Collection'!Q208),"")</f>
        <v>27.799999999999997</v>
      </c>
      <c r="AJ427">
        <v>-2.439403972</v>
      </c>
      <c r="AK427">
        <v>34.838404959999998</v>
      </c>
      <c r="AL427" s="270" t="str">
        <f>IF(ISNUMBER(SEARCH("C", 'Dry_Litterbag Placem_Collection'!T208)),"YES","NO")</f>
        <v>NO</v>
      </c>
      <c r="AM427" s="270" t="str">
        <f>IF(ISNUMBER(SEARCH("H", 'Dry_Litterbag Placem_Collection'!T208)),"YES","NO")</f>
        <v>YES</v>
      </c>
      <c r="AN427" s="270" t="str">
        <f>IF(ISNUMBER(SEARCH("R", 'Dry_Litterbag Placem_Collection'!T208)),"YES","NO")</f>
        <v>YES</v>
      </c>
    </row>
    <row r="428" spans="1:40" ht="15" customHeight="1">
      <c r="A428" s="262" t="s">
        <v>2659</v>
      </c>
      <c r="B428" s="263">
        <f>'Dry_Litterbag Placem_Collection'!A209</f>
        <v>207</v>
      </c>
      <c r="C428" s="263" t="str">
        <f>'Dry_Litterbag Placem_Collection'!B209</f>
        <v xml:space="preserve">Mwantimba
</v>
      </c>
      <c r="D428" s="263" t="s">
        <v>2659</v>
      </c>
      <c r="E428" s="263" t="s">
        <v>2526</v>
      </c>
      <c r="F428" s="263">
        <v>4</v>
      </c>
      <c r="G428" s="264" t="str">
        <f>'Dry_Litterbag Placem_Collection'!C209</f>
        <v>Wet_Ag3_CG4</v>
      </c>
      <c r="H428" s="265" t="s">
        <v>2541</v>
      </c>
      <c r="I428" s="272" t="s">
        <v>298</v>
      </c>
      <c r="J428" s="263" t="str">
        <f>IF(ISBLANK('Dry_Litterbag Placem_Collection'!K209),"","R"&amp;""&amp;'Dry_Litterbag Placem_Collection'!K209)</f>
        <v>R551</v>
      </c>
      <c r="K428" s="267">
        <f>IFERROR(INDEX('Green_rooibos initial weight'!$C$5:$C$1749,MATCH(J428, 'Green_rooibos initial weight'!$A$5:$A$1749,0)),"")</f>
        <v>2.1739999999999999</v>
      </c>
      <c r="L428" s="267">
        <f>IFERROR(K428-(TBIcalc!$Q$9+TBIcalc!$Q$10),"")</f>
        <v>1.9241999999999999</v>
      </c>
      <c r="M428" s="391">
        <f>AVERAGE(Ashed_controlls!$K$12:$K$14)</f>
        <v>2.2816647271287041</v>
      </c>
      <c r="N428" s="267">
        <f t="shared" si="31"/>
        <v>1.8802962073205893</v>
      </c>
      <c r="O428" s="267">
        <f>IF(IFERROR(INDEX('Both teabags AfterDry'!$D$3:$D$900,MATCH(J428,'Both teabags AfterDry'!$A$3:$A$900,0)),"")="","",(IFERROR(INDEX('Both teabags AfterDry'!$D$3:$D$900,MATCH(J428,'Both teabags AfterDry'!$A$3:$A$900,0)),"")))</f>
        <v>8.3109999999999999</v>
      </c>
      <c r="P428" s="267">
        <f>IFERROR(IF(O428&gt;0,O428-(TBIcalc!$Q$9),""),"")</f>
        <v>8.1603999999999992</v>
      </c>
      <c r="Q428" s="278">
        <f>IFERROR(INDEX('Ashed teabags dry'!$K$2:$K$825,MATCH(J428,'Ashed teabags dry'!$A$2:$A$825,0)),"")</f>
        <v>95.853767275969844</v>
      </c>
      <c r="R428" s="278">
        <f t="shared" si="32"/>
        <v>0.33834917521175623</v>
      </c>
      <c r="S428" s="268">
        <f>'Dry_Litterbag Placem_Collection'!E209</f>
        <v>42942</v>
      </c>
      <c r="T428" s="268">
        <f>IF('Dry_Litterbag Placem_Collection'!G209="","",'Dry_Litterbag Placem_Collection'!G209)</f>
        <v>43004</v>
      </c>
      <c r="U428" s="269">
        <f t="shared" si="30"/>
        <v>62</v>
      </c>
      <c r="V428" s="267">
        <f t="shared" si="33"/>
        <v>-6.2361999999999993</v>
      </c>
      <c r="W428" s="267">
        <f t="shared" si="34"/>
        <v>1.5419470321088331</v>
      </c>
      <c r="X428" s="271">
        <f>IFERROR(INDEX(Rainfall_Dry!$O$2:$O$217,MATCH(B428, Rainfall_Dry!$A$2:$A$217,0)),"")</f>
        <v>171.84818423999999</v>
      </c>
      <c r="Y428" s="260">
        <v>27.96</v>
      </c>
      <c r="Z428" s="260">
        <v>4.9200000000000017</v>
      </c>
      <c r="AA428" s="260">
        <v>67.12</v>
      </c>
      <c r="AB428" s="261" t="s">
        <v>2670</v>
      </c>
      <c r="AC428" s="260">
        <v>0.88610152784622953</v>
      </c>
      <c r="AD428">
        <f>IF('WetLitterbags placem_collection'!AB209="","",'WetLitterbags placem_collection'!AB209)</f>
        <v>15.2</v>
      </c>
      <c r="AE428">
        <f>IF('WetLitterbags placem_collection'!Z209="","",'WetLitterbags placem_collection'!Z209)</f>
        <v>12.2</v>
      </c>
      <c r="AF428" s="24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71">
        <f>IFERROR(AVERAGE('Dry_Litterbag Placem_Collection'!N209,'Dry_Litterbag Placem_Collection'!Q209),"")</f>
        <v>29.6</v>
      </c>
      <c r="AJ428">
        <v>-2.4396949910000001</v>
      </c>
      <c r="AK428">
        <v>34.838574029999997</v>
      </c>
      <c r="AL428" s="270" t="str">
        <f>IF(ISNUMBER(SEARCH("C", 'Dry_Litterbag Placem_Collection'!T209)),"YES","NO")</f>
        <v>NO</v>
      </c>
      <c r="AM428" s="270" t="str">
        <f>IF(ISNUMBER(SEARCH("H", 'Dry_Litterbag Placem_Collection'!T209)),"YES","NO")</f>
        <v>NO</v>
      </c>
      <c r="AN428" s="270" t="str">
        <f>IF(ISNUMBER(SEARCH("R", 'Dry_Litterbag Placem_Collection'!T209)),"YES","NO")</f>
        <v>YES</v>
      </c>
    </row>
    <row r="429" spans="1:40" ht="15" customHeight="1">
      <c r="A429" s="262" t="s">
        <v>2659</v>
      </c>
      <c r="B429" s="263">
        <f>'Dry_Litterbag Placem_Collection'!A210</f>
        <v>208</v>
      </c>
      <c r="C429" s="263" t="str">
        <f>'Dry_Litterbag Placem_Collection'!B210</f>
        <v xml:space="preserve">Mwantimba
</v>
      </c>
      <c r="D429" s="263" t="s">
        <v>2659</v>
      </c>
      <c r="E429" s="263" t="s">
        <v>2526</v>
      </c>
      <c r="F429" s="263">
        <v>3</v>
      </c>
      <c r="G429" s="264" t="str">
        <f>'Dry_Litterbag Placem_Collection'!C210</f>
        <v>Wet_Ag4_CG3</v>
      </c>
      <c r="H429" s="265" t="s">
        <v>2541</v>
      </c>
      <c r="I429" s="272" t="s">
        <v>298</v>
      </c>
      <c r="J429" s="263" t="str">
        <f>IF(ISBLANK('Dry_Litterbag Placem_Collection'!K210),"","R"&amp;""&amp;'Dry_Litterbag Placem_Collection'!K210)</f>
        <v>R516</v>
      </c>
      <c r="K429" s="267">
        <f>IFERROR(INDEX('Green_rooibos initial weight'!$C$5:$C$1749,MATCH(J429, 'Green_rooibos initial weight'!$A$5:$A$1749,0)),"")</f>
        <v>2.141</v>
      </c>
      <c r="L429" s="267">
        <f>IFERROR(K429-(TBIcalc!$Q$9+TBIcalc!$Q$10),"")</f>
        <v>1.8912</v>
      </c>
      <c r="M429" s="391">
        <f>AVERAGE(Ashed_controlls!$K$12:$K$14)</f>
        <v>2.2816647271287041</v>
      </c>
      <c r="N429" s="267">
        <f t="shared" si="31"/>
        <v>1.8480491566805419</v>
      </c>
      <c r="O429" s="267">
        <f>IF(IFERROR(INDEX('Both teabags AfterDry'!$D$3:$D$900,MATCH(J429,'Both teabags AfterDry'!$A$3:$A$900,0)),"")="","",(IFERROR(INDEX('Both teabags AfterDry'!$D$3:$D$900,MATCH(J429,'Both teabags AfterDry'!$A$3:$A$900,0)),"")))</f>
        <v>1.7749999999999999</v>
      </c>
      <c r="P429" s="267">
        <f>IFERROR(IF(O429&gt;0,O429-(TBIcalc!$Q$9),""),"")</f>
        <v>1.6243999999999998</v>
      </c>
      <c r="Q429" s="278">
        <f>IFERROR(INDEX('Ashed teabags dry'!$K$2:$K$825,MATCH(J429,'Ashed teabags dry'!$A$2:$A$825,0)),"")</f>
        <v>78.613771089831701</v>
      </c>
      <c r="R429" s="278">
        <f t="shared" si="32"/>
        <v>0.34739790241677393</v>
      </c>
      <c r="S429" s="268">
        <f>'Dry_Litterbag Placem_Collection'!E210</f>
        <v>42942</v>
      </c>
      <c r="T429" s="268">
        <f>IF('Dry_Litterbag Placem_Collection'!G210="","",'Dry_Litterbag Placem_Collection'!G210)</f>
        <v>43004</v>
      </c>
      <c r="U429" s="269">
        <f t="shared" si="30"/>
        <v>62</v>
      </c>
      <c r="V429" s="267">
        <f t="shared" si="33"/>
        <v>0.26680000000000015</v>
      </c>
      <c r="W429" s="267">
        <f t="shared" si="34"/>
        <v>1.500651254263768</v>
      </c>
      <c r="X429" s="271">
        <f>IFERROR(INDEX(Rainfall_Dry!$O$2:$O$217,MATCH(B429, Rainfall_Dry!$A$2:$A$217,0)),"")</f>
        <v>171.84818423999999</v>
      </c>
      <c r="Y429" s="260">
        <v>17.96</v>
      </c>
      <c r="Z429" s="260">
        <v>4.9199999999999982</v>
      </c>
      <c r="AA429" s="260">
        <v>77.12</v>
      </c>
      <c r="AB429" s="261" t="s">
        <v>2671</v>
      </c>
      <c r="AC429" s="260">
        <v>2.0220798422868409</v>
      </c>
      <c r="AD429">
        <f>IF('WetLitterbags placem_collection'!AB210="","",'WetLitterbags placem_collection'!AB210)</f>
        <v>7.9</v>
      </c>
      <c r="AE429">
        <f>IF('WetLitterbags placem_collection'!Z210="","",'WetLitterbags placem_collection'!Z210)</f>
        <v>7.9</v>
      </c>
      <c r="AF429" s="24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71">
        <f>IFERROR(AVERAGE('Dry_Litterbag Placem_Collection'!N210,'Dry_Litterbag Placem_Collection'!Q210),"")</f>
        <v>29.1</v>
      </c>
      <c r="AJ429">
        <v>-2.4395990190000001</v>
      </c>
      <c r="AK429">
        <v>34.838418959999998</v>
      </c>
      <c r="AL429" s="270" t="str">
        <f>IF(ISNUMBER(SEARCH("C", 'Dry_Litterbag Placem_Collection'!T210)),"YES","NO")</f>
        <v>YES</v>
      </c>
      <c r="AM429" s="270" t="str">
        <f>IF(ISNUMBER(SEARCH("H", 'Dry_Litterbag Placem_Collection'!T210)),"YES","NO")</f>
        <v>NO</v>
      </c>
      <c r="AN429" s="270" t="str">
        <f>IF(ISNUMBER(SEARCH("R", 'Dry_Litterbag Placem_Collection'!T210)),"YES","NO")</f>
        <v>NO</v>
      </c>
    </row>
    <row r="430" spans="1:40" ht="15" customHeight="1">
      <c r="A430" s="262" t="s">
        <v>2659</v>
      </c>
      <c r="B430" s="263">
        <f>'Dry_Litterbag Placem_Collection'!A211</f>
        <v>209</v>
      </c>
      <c r="C430" s="263" t="str">
        <f>'Dry_Litterbag Placem_Collection'!B211</f>
        <v xml:space="preserve">Mwantimba
</v>
      </c>
      <c r="D430" s="263" t="s">
        <v>2659</v>
      </c>
      <c r="E430" s="263" t="s">
        <v>2526</v>
      </c>
      <c r="F430" s="263">
        <v>2</v>
      </c>
      <c r="G430" s="264" t="str">
        <f>'Dry_Litterbag Placem_Collection'!C211</f>
        <v>Wet_P1_CG2</v>
      </c>
      <c r="H430" s="265" t="s">
        <v>2541</v>
      </c>
      <c r="I430" s="272" t="s">
        <v>298</v>
      </c>
      <c r="J430" s="263" t="str">
        <f>IF(ISBLANK('Dry_Litterbag Placem_Collection'!K211),"","R"&amp;""&amp;'Dry_Litterbag Placem_Collection'!K211)</f>
        <v>R678</v>
      </c>
      <c r="K430" s="267">
        <f>IFERROR(INDEX('Green_rooibos initial weight'!$C$5:$C$1749,MATCH(J430, 'Green_rooibos initial weight'!$A$5:$A$1749,0)),"")</f>
        <v>2.1320000000000001</v>
      </c>
      <c r="L430" s="267">
        <f>IFERROR(K430-(TBIcalc!$Q$9+TBIcalc!$Q$10),"")</f>
        <v>1.8822000000000001</v>
      </c>
      <c r="M430" s="391">
        <f>AVERAGE(Ashed_controlls!$K$12:$K$14)</f>
        <v>2.2816647271287041</v>
      </c>
      <c r="N430" s="267">
        <f t="shared" si="31"/>
        <v>1.8392545065059835</v>
      </c>
      <c r="O430" s="267">
        <f>IF(IFERROR(INDEX('Both teabags AfterDry'!$D$3:$D$900,MATCH(J430,'Both teabags AfterDry'!$A$3:$A$900,0)),"")="","",(IFERROR(INDEX('Both teabags AfterDry'!$D$3:$D$900,MATCH(J430,'Both teabags AfterDry'!$A$3:$A$900,0)),"")))</f>
        <v>1.6856</v>
      </c>
      <c r="P430" s="267">
        <f>IFERROR(IF(O430&gt;0,O430-(TBIcalc!$Q$9),""),"")</f>
        <v>1.5349999999999999</v>
      </c>
      <c r="Q430" s="278">
        <f>IFERROR(INDEX('Ashed teabags dry'!$K$2:$K$825,MATCH(J430,'Ashed teabags dry'!$A$2:$A$825,0)),"")</f>
        <v>3.8461538461540399</v>
      </c>
      <c r="R430" s="278">
        <f t="shared" si="32"/>
        <v>1.4759615384615354</v>
      </c>
      <c r="S430" s="268">
        <f>'Dry_Litterbag Placem_Collection'!E211</f>
        <v>42942</v>
      </c>
      <c r="T430" s="268">
        <f>IF('Dry_Litterbag Placem_Collection'!G211="","",'Dry_Litterbag Placem_Collection'!G211)</f>
        <v>43004</v>
      </c>
      <c r="U430" s="269">
        <f t="shared" si="30"/>
        <v>62</v>
      </c>
      <c r="V430" s="267">
        <f t="shared" si="33"/>
        <v>0.34720000000000018</v>
      </c>
      <c r="W430" s="267">
        <f t="shared" si="34"/>
        <v>0.36329296804444811</v>
      </c>
      <c r="X430" s="271">
        <f>IFERROR(INDEX(Rainfall_Dry!$O$2:$O$217,MATCH(B430, Rainfall_Dry!$A$2:$A$217,0)),"")</f>
        <v>171.84818423999999</v>
      </c>
      <c r="Y430" s="260">
        <v>31.214836424255054</v>
      </c>
      <c r="Z430" s="260">
        <v>11.377370285476141</v>
      </c>
      <c r="AA430" s="260">
        <v>57.407793290268799</v>
      </c>
      <c r="AB430" s="261" t="s">
        <v>2670</v>
      </c>
      <c r="AC430" s="260">
        <v>1.7337604731394776</v>
      </c>
      <c r="AD430">
        <f>IF('WetLitterbags placem_collection'!AB211="","",'WetLitterbags placem_collection'!AB211)</f>
        <v>5.13</v>
      </c>
      <c r="AE430">
        <f>IF('WetLitterbags placem_collection'!Z211="","",'WetLitterbags placem_collection'!Z211)</f>
        <v>5.13</v>
      </c>
      <c r="AF430" s="24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71">
        <f>IFERROR(AVERAGE('Dry_Litterbag Placem_Collection'!N211,'Dry_Litterbag Placem_Collection'!Q211),"")</f>
        <v>29.6</v>
      </c>
      <c r="AJ430">
        <v>-2.4396450349999999</v>
      </c>
      <c r="AK430">
        <v>34.83836599</v>
      </c>
      <c r="AL430" s="270" t="str">
        <f>IF(ISNUMBER(SEARCH("C", 'Dry_Litterbag Placem_Collection'!T211)),"YES","NO")</f>
        <v>NO</v>
      </c>
      <c r="AM430" s="270" t="str">
        <f>IF(ISNUMBER(SEARCH("H", 'Dry_Litterbag Placem_Collection'!T211)),"YES","NO")</f>
        <v>NO</v>
      </c>
      <c r="AN430" s="270" t="str">
        <f>IF(ISNUMBER(SEARCH("R", 'Dry_Litterbag Placem_Collection'!T211)),"YES","NO")</f>
        <v>NO</v>
      </c>
    </row>
    <row r="431" spans="1:40" ht="15" customHeight="1">
      <c r="A431" s="262" t="s">
        <v>2659</v>
      </c>
      <c r="B431" s="263">
        <f>'Dry_Litterbag Placem_Collection'!A212</f>
        <v>210</v>
      </c>
      <c r="C431" s="263" t="str">
        <f>'Dry_Litterbag Placem_Collection'!B212</f>
        <v xml:space="preserve">Mwantimba
</v>
      </c>
      <c r="D431" s="263" t="s">
        <v>2659</v>
      </c>
      <c r="E431" s="263" t="s">
        <v>2526</v>
      </c>
      <c r="F431" s="263">
        <v>4</v>
      </c>
      <c r="G431" s="264" t="str">
        <f>'Dry_Litterbag Placem_Collection'!C212</f>
        <v>Wet_P2_CG4</v>
      </c>
      <c r="H431" s="265" t="s">
        <v>2541</v>
      </c>
      <c r="I431" s="272" t="s">
        <v>298</v>
      </c>
      <c r="J431" s="263" t="str">
        <f>IF(ISBLANK('Dry_Litterbag Placem_Collection'!K212),"","R"&amp;""&amp;'Dry_Litterbag Placem_Collection'!K212)</f>
        <v>R335</v>
      </c>
      <c r="K431" s="267">
        <f>IFERROR(INDEX('Green_rooibos initial weight'!$C$5:$C$1749,MATCH(J431, 'Green_rooibos initial weight'!$A$5:$A$1749,0)),"")</f>
        <v>2.1629999999999998</v>
      </c>
      <c r="L431" s="267">
        <f>IFERROR(K431-(TBIcalc!$Q$9+TBIcalc!$Q$10),"")</f>
        <v>1.9131999999999998</v>
      </c>
      <c r="M431" s="391">
        <f>AVERAGE(Ashed_controlls!$K$12:$K$14)</f>
        <v>2.2816647271287041</v>
      </c>
      <c r="N431" s="267">
        <f t="shared" si="31"/>
        <v>1.8695471904405734</v>
      </c>
      <c r="O431" s="267">
        <f>IF(IFERROR(INDEX('Both teabags AfterDry'!$D$3:$D$900,MATCH(J431,'Both teabags AfterDry'!$A$3:$A$900,0)),"")="","",(IFERROR(INDEX('Both teabags AfterDry'!$D$3:$D$900,MATCH(J431,'Both teabags AfterDry'!$A$3:$A$900,0)),"")))</f>
        <v>1.716</v>
      </c>
      <c r="P431" s="267">
        <f>IFERROR(IF(O431&gt;0,O431-(TBIcalc!$Q$9),""),"")</f>
        <v>1.5653999999999999</v>
      </c>
      <c r="Q431" s="278">
        <f>IFERROR(INDEX('Ashed teabags dry'!$K$2:$K$825,MATCH(J431,'Ashed teabags dry'!$A$2:$A$825,0)),"")</f>
        <v>89.116785265801681</v>
      </c>
      <c r="R431" s="278">
        <f t="shared" si="32"/>
        <v>0.17036584344914041</v>
      </c>
      <c r="S431" s="268">
        <f>'Dry_Litterbag Placem_Collection'!E212</f>
        <v>42942</v>
      </c>
      <c r="T431" s="268">
        <f>IF('Dry_Litterbag Placem_Collection'!G212="","",'Dry_Litterbag Placem_Collection'!G212)</f>
        <v>43004</v>
      </c>
      <c r="U431" s="269">
        <f t="shared" si="30"/>
        <v>62</v>
      </c>
      <c r="V431" s="267">
        <f t="shared" si="33"/>
        <v>0.34779999999999989</v>
      </c>
      <c r="W431" s="267">
        <f t="shared" si="34"/>
        <v>1.699181346991433</v>
      </c>
      <c r="X431" s="271">
        <f>IFERROR(INDEX(Rainfall_Dry!$O$2:$O$217,MATCH(B431, Rainfall_Dry!$A$2:$A$217,0)),"")</f>
        <v>171.84818423999999</v>
      </c>
      <c r="Y431" s="260">
        <v>33.96</v>
      </c>
      <c r="Z431" s="260">
        <v>8.9200000000000017</v>
      </c>
      <c r="AA431" s="260">
        <v>57.12</v>
      </c>
      <c r="AB431" s="261" t="s">
        <v>2670</v>
      </c>
      <c r="AC431" s="260">
        <v>2.072055199605717</v>
      </c>
      <c r="AD431">
        <f>IF('WetLitterbags placem_collection'!AB212="","",'WetLitterbags placem_collection'!AB212)</f>
        <v>15.2</v>
      </c>
      <c r="AE431">
        <f>IF('WetLitterbags placem_collection'!Z212="","",'WetLitterbags placem_collection'!Z212)</f>
        <v>12.2</v>
      </c>
      <c r="AF431" s="24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71">
        <f>IFERROR(AVERAGE('Dry_Litterbag Placem_Collection'!N212,'Dry_Litterbag Placem_Collection'!Q212),"")</f>
        <v>27.5</v>
      </c>
      <c r="AJ431">
        <v>-2.4396949910000001</v>
      </c>
      <c r="AK431">
        <v>34.838574029999997</v>
      </c>
      <c r="AL431" s="270" t="str">
        <f>IF(ISNUMBER(SEARCH("C", 'Dry_Litterbag Placem_Collection'!T212)),"YES","NO")</f>
        <v>YES</v>
      </c>
      <c r="AM431" s="270" t="str">
        <f>IF(ISNUMBER(SEARCH("H", 'Dry_Litterbag Placem_Collection'!T212)),"YES","NO")</f>
        <v>YES</v>
      </c>
      <c r="AN431" s="270" t="str">
        <f>IF(ISNUMBER(SEARCH("R", 'Dry_Litterbag Placem_Collection'!T212)),"YES","NO")</f>
        <v>NO</v>
      </c>
    </row>
    <row r="432" spans="1:40" ht="15" customHeight="1">
      <c r="A432" s="262" t="s">
        <v>2659</v>
      </c>
      <c r="B432" s="263">
        <f>'Dry_Litterbag Placem_Collection'!A213</f>
        <v>211</v>
      </c>
      <c r="C432" s="263" t="str">
        <f>'Dry_Litterbag Placem_Collection'!B213</f>
        <v xml:space="preserve">Mwantimba
</v>
      </c>
      <c r="D432" s="263" t="s">
        <v>2659</v>
      </c>
      <c r="E432" s="263" t="s">
        <v>2526</v>
      </c>
      <c r="F432" s="263">
        <v>1</v>
      </c>
      <c r="G432" s="264" t="str">
        <f>'Dry_Litterbag Placem_Collection'!C213</f>
        <v>Wet_P3_CG1</v>
      </c>
      <c r="H432" s="265" t="s">
        <v>2541</v>
      </c>
      <c r="I432" s="272" t="s">
        <v>298</v>
      </c>
      <c r="J432" s="263" t="str">
        <f>IF(ISBLANK('Dry_Litterbag Placem_Collection'!K213),"","R"&amp;""&amp;'Dry_Litterbag Placem_Collection'!K213)</f>
        <v>R249</v>
      </c>
      <c r="K432" s="267">
        <f>IFERROR(INDEX('Green_rooibos initial weight'!$C$5:$C$1749,MATCH(J432, 'Green_rooibos initial weight'!$A$5:$A$1749,0)),"")</f>
        <v>2.294</v>
      </c>
      <c r="L432" s="267">
        <f>IFERROR(K432-(TBIcalc!$Q$9+TBIcalc!$Q$10),"")</f>
        <v>2.0442</v>
      </c>
      <c r="M432" s="391">
        <f>AVERAGE(Ashed_controlls!$K$12:$K$14)</f>
        <v>2.2816647271287041</v>
      </c>
      <c r="N432" s="267">
        <f t="shared" si="31"/>
        <v>1.9975582096480351</v>
      </c>
      <c r="O432" s="267">
        <f>IF(IFERROR(INDEX('Both teabags AfterDry'!$D$3:$D$900,MATCH(J432,'Both teabags AfterDry'!$A$3:$A$900,0)),"")="","",(IFERROR(INDEX('Both teabags AfterDry'!$D$3:$D$900,MATCH(J432,'Both teabags AfterDry'!$A$3:$A$900,0)),"")))</f>
        <v>1.1160000000000001</v>
      </c>
      <c r="P432" s="267">
        <f>IFERROR(IF(O432&gt;0,O432-(TBIcalc!$Q$9),""),"")</f>
        <v>0.96540000000000004</v>
      </c>
      <c r="Q432" s="278">
        <f>IFERROR(INDEX('Ashed teabags dry'!$K$2:$K$825,MATCH(J432,'Ashed teabags dry'!$A$2:$A$825,0)),"")</f>
        <v>35.262904003859205</v>
      </c>
      <c r="R432" s="278">
        <f t="shared" si="32"/>
        <v>0.62497192474674323</v>
      </c>
      <c r="S432" s="268">
        <f>'Dry_Litterbag Placem_Collection'!E213</f>
        <v>42942</v>
      </c>
      <c r="T432" s="268">
        <f>IF('Dry_Litterbag Placem_Collection'!G213="","",'Dry_Litterbag Placem_Collection'!G213)</f>
        <v>43004</v>
      </c>
      <c r="U432" s="269">
        <f t="shared" si="30"/>
        <v>62</v>
      </c>
      <c r="V432" s="267">
        <f t="shared" si="33"/>
        <v>1.0788</v>
      </c>
      <c r="W432" s="267">
        <f t="shared" si="34"/>
        <v>1.372586284901292</v>
      </c>
      <c r="X432" s="271">
        <f>IFERROR(INDEX(Rainfall_Dry!$O$2:$O$217,MATCH(B432, Rainfall_Dry!$A$2:$A$217,0)),"")</f>
        <v>171.84818423999999</v>
      </c>
      <c r="Y432" s="260">
        <v>39.96</v>
      </c>
      <c r="Z432" s="260">
        <v>12.920000000000002</v>
      </c>
      <c r="AA432" s="260">
        <v>47.12</v>
      </c>
      <c r="AB432" s="261" t="s">
        <v>2674</v>
      </c>
      <c r="AC432" s="260">
        <v>1.6549531789058647</v>
      </c>
      <c r="AD432">
        <f>IF('WetLitterbags placem_collection'!AB213="","",'WetLitterbags placem_collection'!AB213)</f>
        <v>13.8</v>
      </c>
      <c r="AE432">
        <f>IF('WetLitterbags placem_collection'!Z213="","",'WetLitterbags placem_collection'!Z213)</f>
        <v>17.399999999999999</v>
      </c>
      <c r="AF432" s="24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71">
        <f>IFERROR(AVERAGE('Dry_Litterbag Placem_Collection'!N213,'Dry_Litterbag Placem_Collection'!Q213),"")</f>
        <v>28</v>
      </c>
      <c r="AJ432">
        <v>-2.439403972</v>
      </c>
      <c r="AK432">
        <v>34.838404959999998</v>
      </c>
      <c r="AL432" s="270" t="str">
        <f>IF(ISNUMBER(SEARCH("C", 'Dry_Litterbag Placem_Collection'!T213)),"YES","NO")</f>
        <v>YES</v>
      </c>
      <c r="AM432" s="270" t="str">
        <f>IF(ISNUMBER(SEARCH("H", 'Dry_Litterbag Placem_Collection'!T213)),"YES","NO")</f>
        <v>YES</v>
      </c>
      <c r="AN432" s="270" t="str">
        <f>IF(ISNUMBER(SEARCH("R", 'Dry_Litterbag Placem_Collection'!T213)),"YES","NO")</f>
        <v>YES</v>
      </c>
    </row>
    <row r="433" spans="1:40" ht="15" customHeight="1">
      <c r="A433" s="262" t="s">
        <v>2659</v>
      </c>
      <c r="B433" s="263">
        <f>'Dry_Litterbag Placem_Collection'!A214</f>
        <v>215</v>
      </c>
      <c r="C433" s="263" t="str">
        <f>'Dry_Litterbag Placem_Collection'!B214</f>
        <v xml:space="preserve">Mwantimba
</v>
      </c>
      <c r="D433" s="263" t="s">
        <v>2659</v>
      </c>
      <c r="E433" s="263" t="s">
        <v>2526</v>
      </c>
      <c r="F433" s="263">
        <v>3</v>
      </c>
      <c r="G433" s="264" t="str">
        <f>'Dry_Litterbag Placem_Collection'!C214</f>
        <v>Wet_W3_CG1</v>
      </c>
      <c r="H433" s="265" t="s">
        <v>2541</v>
      </c>
      <c r="I433" s="272" t="s">
        <v>298</v>
      </c>
      <c r="J433" s="263" t="str">
        <f>IF(ISBLANK('Dry_Litterbag Placem_Collection'!K214),"","R"&amp;""&amp;'Dry_Litterbag Placem_Collection'!K214)</f>
        <v>R627</v>
      </c>
      <c r="K433" s="267">
        <f>IFERROR(INDEX('Green_rooibos initial weight'!$C$5:$C$1749,MATCH(J433, 'Green_rooibos initial weight'!$A$5:$A$1749,0)),"")</f>
        <v>2.1429999999999998</v>
      </c>
      <c r="L433" s="267">
        <f>IFERROR(K433-(TBIcalc!$Q$9+TBIcalc!$Q$10),"")</f>
        <v>1.8931999999999998</v>
      </c>
      <c r="M433" s="391">
        <f>AVERAGE(Ashed_controlls!$K$12:$K$14)</f>
        <v>2.2816647271287041</v>
      </c>
      <c r="N433" s="267">
        <f t="shared" si="31"/>
        <v>1.850003523385999</v>
      </c>
      <c r="O433" s="267">
        <f>IF(IFERROR(INDEX('Both teabags AfterDry'!$D$3:$D$900,MATCH(J433,'Both teabags AfterDry'!$A$3:$A$900,0)),"")="","",(IFERROR(INDEX('Both teabags AfterDry'!$D$3:$D$900,MATCH(J433,'Both teabags AfterDry'!$A$3:$A$900,0)),"")))</f>
        <v>1.7356</v>
      </c>
      <c r="P433" s="267">
        <f>IFERROR(IF(O433&gt;0,O433-(TBIcalc!$Q$9),""),"")</f>
        <v>1.585</v>
      </c>
      <c r="Q433" s="278">
        <f>IFERROR(INDEX('Ashed teabags dry'!$K$2:$K$825,MATCH(J433,'Ashed teabags dry'!$A$2:$A$825,0)),"")</f>
        <v>5.6538839724678436</v>
      </c>
      <c r="R433" s="278">
        <f t="shared" si="32"/>
        <v>1.4953859390363846</v>
      </c>
      <c r="S433" s="268">
        <f>'Dry_Litterbag Placem_Collection'!E214</f>
        <v>42942</v>
      </c>
      <c r="T433" s="268">
        <f>IF('Dry_Litterbag Placem_Collection'!G214="","",'Dry_Litterbag Placem_Collection'!G214)</f>
        <v>43004</v>
      </c>
      <c r="U433" s="269">
        <f t="shared" si="30"/>
        <v>62</v>
      </c>
      <c r="V433" s="267">
        <f t="shared" si="33"/>
        <v>0.30819999999999981</v>
      </c>
      <c r="W433" s="267">
        <f t="shared" si="34"/>
        <v>0.35461758434961443</v>
      </c>
      <c r="X433" s="271" t="str">
        <f>IFERROR(INDEX(Rainfall_Dry!$O$2:$O$217,MATCH(B433, Rainfall_Dry!$A$2:$A$217,0)),"")</f>
        <v/>
      </c>
      <c r="Y433" s="260">
        <v>27.96</v>
      </c>
      <c r="Z433" s="260">
        <v>4.9200000000000017</v>
      </c>
      <c r="AA433" s="260">
        <v>67.12</v>
      </c>
      <c r="AB433" s="261" t="s">
        <v>2670</v>
      </c>
      <c r="AC433" s="260">
        <v>1.0437161163134547</v>
      </c>
      <c r="AD433">
        <f>IF('WetLitterbags placem_collection'!AB214="","",'WetLitterbags placem_collection'!AB214)</f>
        <v>7.9</v>
      </c>
      <c r="AE433">
        <f>IF('WetLitterbags placem_collection'!Z214="","",'WetLitterbags placem_collection'!Z214)</f>
        <v>7.9</v>
      </c>
      <c r="AF433" s="24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71">
        <f>IFERROR(AVERAGE('Dry_Litterbag Placem_Collection'!N214,'Dry_Litterbag Placem_Collection'!Q214),"")</f>
        <v>28.75</v>
      </c>
      <c r="AJ433">
        <v>-2.4395990190000001</v>
      </c>
      <c r="AK433">
        <v>34.838418959999998</v>
      </c>
      <c r="AL433" s="270" t="str">
        <f>IF(ISNUMBER(SEARCH("C", 'Dry_Litterbag Placem_Collection'!T214)),"YES","NO")</f>
        <v>NO</v>
      </c>
      <c r="AM433" s="270" t="str">
        <f>IF(ISNUMBER(SEARCH("H", 'Dry_Litterbag Placem_Collection'!T214)),"YES","NO")</f>
        <v>NO</v>
      </c>
      <c r="AN433" s="270" t="str">
        <f>IF(ISNUMBER(SEARCH("R", 'Dry_Litterbag Placem_Collection'!T214)),"YES","NO")</f>
        <v>YES</v>
      </c>
    </row>
    <row r="434" spans="1:40" ht="15" customHeight="1">
      <c r="A434" s="262" t="s">
        <v>2659</v>
      </c>
      <c r="B434" s="263">
        <f>'Dry_Litterbag Placem_Collection'!A215</f>
        <v>212</v>
      </c>
      <c r="C434" s="263" t="str">
        <f>'Dry_Litterbag Placem_Collection'!B215</f>
        <v xml:space="preserve">Mwantimba
</v>
      </c>
      <c r="D434" s="263" t="s">
        <v>2659</v>
      </c>
      <c r="E434" s="263" t="s">
        <v>2526</v>
      </c>
      <c r="F434" s="263">
        <v>4</v>
      </c>
      <c r="G434" s="264" t="str">
        <f>'Dry_Litterbag Placem_Collection'!C215</f>
        <v>Wet_P4_CG3</v>
      </c>
      <c r="H434" s="265" t="s">
        <v>2541</v>
      </c>
      <c r="I434" s="272" t="s">
        <v>298</v>
      </c>
      <c r="J434" s="263" t="str">
        <f>IF(ISBLANK('Dry_Litterbag Placem_Collection'!K215),"","R"&amp;""&amp;'Dry_Litterbag Placem_Collection'!K215)</f>
        <v>R803</v>
      </c>
      <c r="K434" s="267">
        <f>IFERROR(INDEX('Green_rooibos initial weight'!$C$5:$C$1749,MATCH(J434, 'Green_rooibos initial weight'!$A$5:$A$1749,0)),"")</f>
        <v>2.1930000000000001</v>
      </c>
      <c r="L434" s="267">
        <f>IFERROR(K434-(TBIcalc!$Q$9+TBIcalc!$Q$10),"")</f>
        <v>1.9432</v>
      </c>
      <c r="M434" s="391">
        <f>AVERAGE(Ashed_controlls!$K$12:$K$14)</f>
        <v>2.2816647271287041</v>
      </c>
      <c r="N434" s="267">
        <f t="shared" si="31"/>
        <v>1.8988626910224351</v>
      </c>
      <c r="O434" s="267">
        <f>IF(IFERROR(INDEX('Both teabags AfterDry'!$D$3:$D$900,MATCH(J434,'Both teabags AfterDry'!$A$3:$A$900,0)),"")="","",(IFERROR(INDEX('Both teabags AfterDry'!$D$3:$D$900,MATCH(J434,'Both teabags AfterDry'!$A$3:$A$900,0)),"")))</f>
        <v>0.78500000000000003</v>
      </c>
      <c r="P434" s="267">
        <f>IFERROR(IF(O434&gt;0,O434-(TBIcalc!$Q$9),""),"")</f>
        <v>0.63440000000000007</v>
      </c>
      <c r="Q434" s="278">
        <f>IFERROR(INDEX('Ashed teabags dry'!$K$2:$K$825,MATCH(J434,'Ashed teabags dry'!$A$2:$A$825,0)),"")</f>
        <v>11.856932876041183</v>
      </c>
      <c r="R434" s="278">
        <f t="shared" si="32"/>
        <v>0.55917961783439485</v>
      </c>
      <c r="S434" s="268">
        <f>'Dry_Litterbag Placem_Collection'!E215</f>
        <v>42942</v>
      </c>
      <c r="T434" s="268">
        <f>IF('Dry_Litterbag Placem_Collection'!G215="","",'Dry_Litterbag Placem_Collection'!G215)</f>
        <v>43004</v>
      </c>
      <c r="U434" s="269">
        <f t="shared" si="30"/>
        <v>62</v>
      </c>
      <c r="V434" s="267">
        <f t="shared" si="33"/>
        <v>1.3088</v>
      </c>
      <c r="W434" s="267">
        <f t="shared" si="34"/>
        <v>1.3396830731880403</v>
      </c>
      <c r="X434" s="271">
        <f>IFERROR(INDEX(Rainfall_Dry!$O$2:$O$217,MATCH(B434, Rainfall_Dry!$A$2:$A$217,0)),"")</f>
        <v>171.84818423999999</v>
      </c>
      <c r="Y434" s="260">
        <v>21.96</v>
      </c>
      <c r="Z434" s="260">
        <v>4.9199999999999982</v>
      </c>
      <c r="AA434" s="260">
        <v>73.12</v>
      </c>
      <c r="AB434" s="261" t="s">
        <v>2670</v>
      </c>
      <c r="AC434" s="260">
        <v>1.2416954164613114</v>
      </c>
      <c r="AD434">
        <f>IF('WetLitterbags placem_collection'!AB215="","",'WetLitterbags placem_collection'!AB215)</f>
        <v>15.2</v>
      </c>
      <c r="AE434">
        <f>IF('WetLitterbags placem_collection'!Z215="","",'WetLitterbags placem_collection'!Z215)</f>
        <v>12.2</v>
      </c>
      <c r="AF434" s="24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71">
        <f>IFERROR(AVERAGE('Dry_Litterbag Placem_Collection'!N215,'Dry_Litterbag Placem_Collection'!Q215),"")</f>
        <v>28.25</v>
      </c>
      <c r="AJ434">
        <v>-2.4396949910000001</v>
      </c>
      <c r="AK434">
        <v>34.838574029999997</v>
      </c>
      <c r="AL434" s="270" t="str">
        <f>IF(ISNUMBER(SEARCH("C", 'Dry_Litterbag Placem_Collection'!T215)),"YES","NO")</f>
        <v>NO</v>
      </c>
      <c r="AM434" s="270" t="str">
        <f>IF(ISNUMBER(SEARCH("H", 'Dry_Litterbag Placem_Collection'!T215)),"YES","NO")</f>
        <v>YES</v>
      </c>
      <c r="AN434" s="270" t="str">
        <f>IF(ISNUMBER(SEARCH("R", 'Dry_Litterbag Placem_Collection'!T215)),"YES","NO")</f>
        <v>YES</v>
      </c>
    </row>
    <row r="435" spans="1:40" ht="15" customHeight="1">
      <c r="A435" s="262" t="s">
        <v>2659</v>
      </c>
      <c r="B435" s="263">
        <f>'Dry_Litterbag Placem_Collection'!A216</f>
        <v>213</v>
      </c>
      <c r="C435" s="263" t="str">
        <f>'Dry_Litterbag Placem_Collection'!B216</f>
        <v>Handajega</v>
      </c>
      <c r="D435" s="263" t="s">
        <v>2659</v>
      </c>
      <c r="E435" s="263" t="s">
        <v>2526</v>
      </c>
      <c r="F435" s="263">
        <v>3</v>
      </c>
      <c r="G435" s="264" t="str">
        <f>'Dry_Litterbag Placem_Collection'!C216</f>
        <v>Wet_W1_CG4</v>
      </c>
      <c r="H435" s="265" t="s">
        <v>2541</v>
      </c>
      <c r="I435" s="272" t="s">
        <v>298</v>
      </c>
      <c r="J435" s="263" t="str">
        <f>IF(ISBLANK('Dry_Litterbag Placem_Collection'!K216),"","R"&amp;""&amp;'Dry_Litterbag Placem_Collection'!K216)</f>
        <v>R321</v>
      </c>
      <c r="K435" s="267">
        <f>IFERROR(INDEX('Green_rooibos initial weight'!$C$5:$C$1749,MATCH(J435, 'Green_rooibos initial weight'!$A$5:$A$1749,0)),"")</f>
        <v>2.1859999999999999</v>
      </c>
      <c r="L435" s="267">
        <f>IFERROR(K435-(TBIcalc!$Q$9+TBIcalc!$Q$10),"")</f>
        <v>1.9361999999999999</v>
      </c>
      <c r="M435" s="391">
        <f>AVERAGE(Ashed_controlls!$K$12:$K$14)</f>
        <v>2.2816647271287041</v>
      </c>
      <c r="N435" s="267">
        <f t="shared" si="31"/>
        <v>1.8920224075533341</v>
      </c>
      <c r="O435" s="267">
        <f>IF(IFERROR(INDEX('Both teabags AfterDry'!$D$3:$D$900,MATCH(J435,'Both teabags AfterDry'!$A$3:$A$900,0)),"")="","",(IFERROR(INDEX('Both teabags AfterDry'!$D$3:$D$900,MATCH(J435,'Both teabags AfterDry'!$A$3:$A$900,0)),"")))</f>
        <v>1.6859999999999999</v>
      </c>
      <c r="P435" s="267">
        <f>IFERROR(IF(O435&gt;0,O435-(TBIcalc!$Q$9),""),"")</f>
        <v>1.5353999999999999</v>
      </c>
      <c r="Q435" s="278">
        <f>IFERROR(INDEX('Ashed teabags dry'!$K$2:$K$825,MATCH(J435,'Ashed teabags dry'!$A$2:$A$825,0)),"")</f>
        <v>5.7692307692305311</v>
      </c>
      <c r="R435" s="278">
        <f t="shared" si="32"/>
        <v>1.4468192307692342</v>
      </c>
      <c r="S435" s="268">
        <f>'Dry_Litterbag Placem_Collection'!E216</f>
        <v>42942</v>
      </c>
      <c r="T435" s="268">
        <f>IF('Dry_Litterbag Placem_Collection'!G216="","",'Dry_Litterbag Placem_Collection'!G216)</f>
        <v>43004</v>
      </c>
      <c r="U435" s="269">
        <f t="shared" si="30"/>
        <v>62</v>
      </c>
      <c r="V435" s="267">
        <f t="shared" si="33"/>
        <v>0.40080000000000005</v>
      </c>
      <c r="W435" s="267">
        <f t="shared" si="34"/>
        <v>0.44520317678409982</v>
      </c>
      <c r="X435" s="271">
        <f>IFERROR(INDEX(Rainfall_Dry!$O$2:$O$217,MATCH(B435, Rainfall_Dry!$A$2:$A$217,0)),"")</f>
        <v>171.84818423999999</v>
      </c>
      <c r="Y435" s="260">
        <v>23.96</v>
      </c>
      <c r="Z435" s="260">
        <v>4.9199999999999982</v>
      </c>
      <c r="AA435" s="260">
        <v>71.12</v>
      </c>
      <c r="AB435" s="261" t="s">
        <v>2670</v>
      </c>
      <c r="AC435" s="260">
        <v>3.30913750616067</v>
      </c>
      <c r="AD435">
        <f>IF('WetLitterbags placem_collection'!AB216="","",'WetLitterbags placem_collection'!AB216)</f>
        <v>7.9</v>
      </c>
      <c r="AE435">
        <f>IF('WetLitterbags placem_collection'!Z216="","",'WetLitterbags placem_collection'!Z216)</f>
        <v>7.9</v>
      </c>
      <c r="AF435" s="24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71">
        <f>IFERROR(AVERAGE('Dry_Litterbag Placem_Collection'!N216,'Dry_Litterbag Placem_Collection'!Q216),"")</f>
        <v>29.1</v>
      </c>
      <c r="AJ435">
        <v>-2.4396949910000001</v>
      </c>
      <c r="AK435">
        <v>34.838574029999997</v>
      </c>
      <c r="AL435" s="270" t="str">
        <f>IF(ISNUMBER(SEARCH("C", 'Dry_Litterbag Placem_Collection'!T216)),"YES","NO")</f>
        <v>NO</v>
      </c>
      <c r="AM435" s="270" t="str">
        <f>IF(ISNUMBER(SEARCH("H", 'Dry_Litterbag Placem_Collection'!T216)),"YES","NO")</f>
        <v>NO</v>
      </c>
      <c r="AN435" s="270" t="str">
        <f>IF(ISNUMBER(SEARCH("R", 'Dry_Litterbag Placem_Collection'!T216)),"YES","NO")</f>
        <v>YES</v>
      </c>
    </row>
    <row r="436" spans="1:40" ht="15" customHeight="1">
      <c r="A436" s="262" t="s">
        <v>2659</v>
      </c>
      <c r="B436" s="263">
        <f>'Dry_Litterbag Placem_Collection'!A217</f>
        <v>214</v>
      </c>
      <c r="C436" s="263" t="str">
        <f>'Dry_Litterbag Placem_Collection'!B217</f>
        <v>Handajega</v>
      </c>
      <c r="D436" s="263" t="s">
        <v>2659</v>
      </c>
      <c r="E436" s="263" t="s">
        <v>2526</v>
      </c>
      <c r="F436" s="263">
        <v>1</v>
      </c>
      <c r="G436" s="264" t="str">
        <f>'Dry_Litterbag Placem_Collection'!C217</f>
        <v>Wet_W2_CG3</v>
      </c>
      <c r="H436" s="265" t="s">
        <v>2541</v>
      </c>
      <c r="I436" s="272" t="s">
        <v>298</v>
      </c>
      <c r="J436" s="263" t="str">
        <f>IF(ISBLANK('Dry_Litterbag Placem_Collection'!K217),"","R"&amp;""&amp;'Dry_Litterbag Placem_Collection'!K217)</f>
        <v>R677</v>
      </c>
      <c r="K436" s="267">
        <f>IFERROR(INDEX('Green_rooibos initial weight'!$C$5:$C$1749,MATCH(J436, 'Green_rooibos initial weight'!$A$5:$A$1749,0)),"")</f>
        <v>2.1240000000000001</v>
      </c>
      <c r="L436" s="267">
        <f>IFERROR(K436-(TBIcalc!$Q$9+TBIcalc!$Q$10),"")</f>
        <v>1.8742000000000001</v>
      </c>
      <c r="M436" s="391">
        <f>AVERAGE(Ashed_controlls!$K$12:$K$14)</f>
        <v>2.2816647271287041</v>
      </c>
      <c r="N436" s="267">
        <f t="shared" si="31"/>
        <v>1.8314370396841539</v>
      </c>
      <c r="O436" s="267">
        <f>IF(IFERROR(INDEX('Both teabags AfterDry'!$D$3:$D$900,MATCH(J436,'Both teabags AfterDry'!$A$3:$A$900,0)),"")="","",(IFERROR(INDEX('Both teabags AfterDry'!$D$3:$D$900,MATCH(J436,'Both teabags AfterDry'!$A$3:$A$900,0)),"")))</f>
        <v>1.7569999999999999</v>
      </c>
      <c r="P436" s="267">
        <f>IFERROR(IF(O436&gt;0,O436-(TBIcalc!$Q$9),""),"")</f>
        <v>1.6063999999999998</v>
      </c>
      <c r="Q436" s="278">
        <f>IFERROR(INDEX('Ashed teabags dry'!$K$2:$K$825,MATCH(J436,'Ashed teabags dry'!$A$2:$A$825,0)),"")</f>
        <v>10.652591170825588</v>
      </c>
      <c r="R436" s="278">
        <f t="shared" si="32"/>
        <v>1.4352767754318576</v>
      </c>
      <c r="S436" s="268">
        <f>'Dry_Litterbag Placem_Collection'!E217</f>
        <v>42942</v>
      </c>
      <c r="T436" s="268">
        <f>IF('Dry_Litterbag Placem_Collection'!G217="","",'Dry_Litterbag Placem_Collection'!G217)</f>
        <v>43004</v>
      </c>
      <c r="U436" s="269">
        <f t="shared" si="30"/>
        <v>62</v>
      </c>
      <c r="V436" s="267">
        <f t="shared" si="33"/>
        <v>0.26780000000000026</v>
      </c>
      <c r="W436" s="267">
        <f t="shared" si="34"/>
        <v>0.39616026425229633</v>
      </c>
      <c r="X436" s="271">
        <f>IFERROR(INDEX(Rainfall_Dry!$O$2:$O$217,MATCH(B436, Rainfall_Dry!$A$2:$A$217,0)),"")</f>
        <v>171.84818423999999</v>
      </c>
      <c r="Y436" s="260">
        <v>25.96</v>
      </c>
      <c r="Z436" s="260">
        <v>8.9200000000000017</v>
      </c>
      <c r="AA436" s="260">
        <v>65.12</v>
      </c>
      <c r="AB436" s="261" t="s">
        <v>2670</v>
      </c>
      <c r="AC436" s="260">
        <v>1.614588467225234</v>
      </c>
      <c r="AD436">
        <f>IF('WetLitterbags placem_collection'!AB217="","",'WetLitterbags placem_collection'!AB217)</f>
        <v>13.8</v>
      </c>
      <c r="AE436">
        <f>IF('WetLitterbags placem_collection'!Z217="","",'WetLitterbags placem_collection'!Z217)</f>
        <v>17.399999999999999</v>
      </c>
      <c r="AF436" s="24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71">
        <f>IFERROR(AVERAGE('Dry_Litterbag Placem_Collection'!N217,'Dry_Litterbag Placem_Collection'!Q217),"")</f>
        <v>29.8</v>
      </c>
      <c r="AJ436">
        <v>-2.439403972</v>
      </c>
      <c r="AK436">
        <v>34.838404959999998</v>
      </c>
      <c r="AL436" s="270" t="str">
        <f>IF(ISNUMBER(SEARCH("C", 'Dry_Litterbag Placem_Collection'!T217)),"YES","NO")</f>
        <v>NO</v>
      </c>
      <c r="AM436" s="270" t="str">
        <f>IF(ISNUMBER(SEARCH("H", 'Dry_Litterbag Placem_Collection'!T217)),"YES","NO")</f>
        <v>YES</v>
      </c>
      <c r="AN436" s="270" t="str">
        <f>IF(ISNUMBER(SEARCH("R", 'Dry_Litterbag Placem_Collection'!T217)),"YES","NO")</f>
        <v>YES</v>
      </c>
    </row>
    <row r="437" spans="1:40" ht="15" customHeight="1">
      <c r="A437" s="262" t="s">
        <v>2659</v>
      </c>
      <c r="B437" s="263">
        <f>'Dry_Litterbag Placem_Collection'!A218</f>
        <v>216</v>
      </c>
      <c r="C437" s="263" t="str">
        <f>'Dry_Litterbag Placem_Collection'!B218</f>
        <v>Handajega</v>
      </c>
      <c r="D437" s="263" t="s">
        <v>2659</v>
      </c>
      <c r="E437" s="263" t="s">
        <v>2526</v>
      </c>
      <c r="F437" s="263">
        <v>2</v>
      </c>
      <c r="G437" s="264" t="str">
        <f>'Dry_Litterbag Placem_Collection'!C218</f>
        <v>Wet_W4_CG2</v>
      </c>
      <c r="H437" s="265" t="s">
        <v>2541</v>
      </c>
      <c r="I437" s="272" t="s">
        <v>298</v>
      </c>
      <c r="J437" s="263" t="str">
        <f>IF(ISBLANK('Dry_Litterbag Placem_Collection'!K218),"","R"&amp;""&amp;'Dry_Litterbag Placem_Collection'!K218)</f>
        <v>R379</v>
      </c>
      <c r="K437" s="267">
        <f>IFERROR(INDEX('Green_rooibos initial weight'!$C$5:$C$1749,MATCH(J437, 'Green_rooibos initial weight'!$A$5:$A$1749,0)),"")</f>
        <v>2.246</v>
      </c>
      <c r="L437" s="267">
        <f>IFERROR(K437-(TBIcalc!$Q$9+TBIcalc!$Q$10),"")</f>
        <v>1.9962</v>
      </c>
      <c r="M437" s="391">
        <f>AVERAGE(Ashed_controlls!$K$12:$K$14)</f>
        <v>2.2816647271287041</v>
      </c>
      <c r="N437" s="267">
        <f t="shared" si="31"/>
        <v>1.9506534087170568</v>
      </c>
      <c r="O437" s="267">
        <f>IF(IFERROR(INDEX('Both teabags AfterDry'!$D$3:$D$900,MATCH(J437,'Both teabags AfterDry'!$A$3:$A$900,0)),"")="","",(IFERROR(INDEX('Both teabags AfterDry'!$D$3:$D$900,MATCH(J437,'Both teabags AfterDry'!$A$3:$A$900,0)),"")))</f>
        <v>1.736</v>
      </c>
      <c r="P437" s="267">
        <f>IFERROR(IF(O437&gt;0,O437-(TBIcalc!$Q$9),""),"")</f>
        <v>1.5853999999999999</v>
      </c>
      <c r="Q437" s="278">
        <f>IFERROR(INDEX('Ashed teabags dry'!$K$2:$K$825,MATCH(J437,'Ashed teabags dry'!$A$2:$A$825,0)),"")</f>
        <v>4.8247610377782575</v>
      </c>
      <c r="R437" s="278">
        <f t="shared" si="32"/>
        <v>1.5089082385070633</v>
      </c>
      <c r="S437" s="268">
        <f>'Dry_Litterbag Placem_Collection'!E218</f>
        <v>42942</v>
      </c>
      <c r="T437" s="268">
        <f>IF('Dry_Litterbag Placem_Collection'!G218="","",'Dry_Litterbag Placem_Collection'!G218)</f>
        <v>43004</v>
      </c>
      <c r="U437" s="269">
        <f t="shared" si="30"/>
        <v>62</v>
      </c>
      <c r="V437" s="267">
        <f t="shared" si="33"/>
        <v>0.41080000000000005</v>
      </c>
      <c r="W437" s="267">
        <f t="shared" si="34"/>
        <v>0.44174517020999349</v>
      </c>
      <c r="X437" s="271">
        <f>IFERROR(INDEX(Rainfall_Dry!$O$2:$O$217,MATCH(B437, Rainfall_Dry!$A$2:$A$217,0)),"")</f>
        <v>171.84818423999999</v>
      </c>
      <c r="Y437" s="260">
        <v>25.96</v>
      </c>
      <c r="Z437" s="260">
        <v>8.9200000000000017</v>
      </c>
      <c r="AA437" s="260">
        <v>65.12</v>
      </c>
      <c r="AB437" s="261" t="s">
        <v>2670</v>
      </c>
      <c r="AC437" s="260">
        <v>1.6991621488417901</v>
      </c>
      <c r="AD437">
        <f>IF('WetLitterbags placem_collection'!AB218="","",'WetLitterbags placem_collection'!AB218)</f>
        <v>5.13</v>
      </c>
      <c r="AE437">
        <f>IF('WetLitterbags placem_collection'!Z218="","",'WetLitterbags placem_collection'!Z218)</f>
        <v>5.13</v>
      </c>
      <c r="AF437" s="24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71">
        <f>IFERROR(AVERAGE('Dry_Litterbag Placem_Collection'!N218,'Dry_Litterbag Placem_Collection'!Q218),"")</f>
        <v>29.85</v>
      </c>
      <c r="AJ437">
        <v>-2.4396450349999999</v>
      </c>
      <c r="AK437">
        <v>34.83836599</v>
      </c>
      <c r="AL437" s="270" t="str">
        <f>IF(ISNUMBER(SEARCH("C", 'Dry_Litterbag Placem_Collection'!T218)),"YES","NO")</f>
        <v>NO</v>
      </c>
      <c r="AM437" s="270" t="str">
        <f>IF(ISNUMBER(SEARCH("H", 'Dry_Litterbag Placem_Collection'!T218)),"YES","NO")</f>
        <v>NO</v>
      </c>
      <c r="AN437" s="270" t="str">
        <f>IF(ISNUMBER(SEARCH("R", 'Dry_Litterbag Placem_Collection'!T218)),"YES","NO")</f>
        <v>NO</v>
      </c>
    </row>
    <row r="438" spans="1:40" ht="15" customHeight="1">
      <c r="A438" s="262" t="s">
        <v>2659</v>
      </c>
      <c r="B438" s="263">
        <f>'Dry_Litterbag Placem_Collection'!A219</f>
        <v>217</v>
      </c>
      <c r="C438" s="263" t="str">
        <f>'Dry_Litterbag Placem_Collection'!B219</f>
        <v>Seronera</v>
      </c>
      <c r="D438" s="263" t="s">
        <v>2659</v>
      </c>
      <c r="E438" s="263" t="s">
        <v>2526</v>
      </c>
      <c r="F438" s="263">
        <v>1</v>
      </c>
      <c r="G438" s="264" t="str">
        <f>'Dry_Litterbag Placem_Collection'!C219</f>
        <v>Local1_CG1</v>
      </c>
      <c r="H438" s="265" t="s">
        <v>2541</v>
      </c>
      <c r="I438" s="272" t="s">
        <v>298</v>
      </c>
      <c r="J438" s="263" t="str">
        <f>IF(ISBLANK('Dry_Litterbag Placem_Collection'!K219),"","R"&amp;""&amp;'Dry_Litterbag Placem_Collection'!K219)</f>
        <v>R771</v>
      </c>
      <c r="K438" s="267">
        <f>IFERROR(INDEX('Green_rooibos initial weight'!$C$5:$C$1749,MATCH(J438, 'Green_rooibos initial weight'!$A$5:$A$1749,0)),"")</f>
        <v>2.2309999999999999</v>
      </c>
      <c r="L438" s="267">
        <f>IFERROR(K438-(TBIcalc!$Q$9+TBIcalc!$Q$10),"")</f>
        <v>1.9811999999999999</v>
      </c>
      <c r="M438" s="391">
        <f>AVERAGE(Ashed_controlls!$K$12:$K$14)</f>
        <v>2.2816647271287041</v>
      </c>
      <c r="N438" s="267">
        <f t="shared" si="31"/>
        <v>1.935995658426126</v>
      </c>
      <c r="O438" s="267">
        <f>IF(IFERROR(INDEX('Both teabags AfterDry'!$D$3:$D$900,MATCH(J438,'Both teabags AfterDry'!$A$3:$A$900,0)),"")="","",(IFERROR(INDEX('Both teabags AfterDry'!$D$3:$D$900,MATCH(J438,'Both teabags AfterDry'!$A$3:$A$900,0)),"")))</f>
        <v>1.0895999999999999</v>
      </c>
      <c r="P438" s="267">
        <f>IFERROR(IF(O438&gt;0,O438-(TBIcalc!$Q$9),""),"")</f>
        <v>0.93899999999999983</v>
      </c>
      <c r="Q438" s="278">
        <f>IFERROR(INDEX('Ashed teabags dry'!$K$2:$K$825,MATCH(J438,'Ashed teabags dry'!$A$2:$A$825,0)),"")</f>
        <v>85.664182376150734</v>
      </c>
      <c r="R438" s="278">
        <f t="shared" si="32"/>
        <v>0.13461332748794463</v>
      </c>
      <c r="S438" s="268">
        <f>'Dry_Litterbag Placem_Collection'!E219</f>
        <v>42942</v>
      </c>
      <c r="T438" s="268">
        <f>IF('Dry_Litterbag Placem_Collection'!G219="","",'Dry_Litterbag Placem_Collection'!G219)</f>
        <v>43004</v>
      </c>
      <c r="U438" s="269">
        <f t="shared" si="30"/>
        <v>62</v>
      </c>
      <c r="V438" s="267">
        <f t="shared" si="33"/>
        <v>1.0422</v>
      </c>
      <c r="W438" s="267">
        <f t="shared" si="34"/>
        <v>1.8013823309381813</v>
      </c>
      <c r="X438" s="271">
        <f>IFERROR(INDEX(Rainfall_Dry!$O$2:$O$217,MATCH(B438, Rainfall_Dry!$A$2:$A$217,0)),"")</f>
        <v>171.84818423999999</v>
      </c>
      <c r="Y438" s="260">
        <v>29.076539101497506</v>
      </c>
      <c r="Z438" s="260">
        <v>7.1963394342762079</v>
      </c>
      <c r="AA438" s="260">
        <v>63.727121464226286</v>
      </c>
      <c r="AB438" s="260" t="s">
        <v>2670</v>
      </c>
      <c r="AC438" s="260">
        <v>1.0994578610152781</v>
      </c>
      <c r="AD438">
        <f>IF('WetLitterbags placem_collection'!AB219="","",'WetLitterbags placem_collection'!AB219)</f>
        <v>13.8</v>
      </c>
      <c r="AE438">
        <f>IF('WetLitterbags placem_collection'!Z219="","",'WetLitterbags placem_collection'!Z219)</f>
        <v>17.399999999999999</v>
      </c>
      <c r="AF438" s="24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71">
        <f>IFERROR(AVERAGE('Dry_Litterbag Placem_Collection'!N219,'Dry_Litterbag Placem_Collection'!Q219),"")</f>
        <v>31.25</v>
      </c>
      <c r="AJ438">
        <v>-2.439403972</v>
      </c>
      <c r="AK438">
        <v>34.838404959999998</v>
      </c>
      <c r="AL438" s="270" t="str">
        <f>IF(ISNUMBER(SEARCH("C", 'Dry_Litterbag Placem_Collection'!T219)),"YES","NO")</f>
        <v>NO</v>
      </c>
      <c r="AM438" s="270" t="str">
        <f>IF(ISNUMBER(SEARCH("H", 'Dry_Litterbag Placem_Collection'!T219)),"YES","NO")</f>
        <v>YES</v>
      </c>
      <c r="AN438" s="270" t="str">
        <f>IF(ISNUMBER(SEARCH("R", 'Dry_Litterbag Placem_Collection'!T219)),"YES","NO")</f>
        <v>YES</v>
      </c>
    </row>
    <row r="439" spans="1:40" ht="15" customHeight="1">
      <c r="A439" s="262" t="s">
        <v>2659</v>
      </c>
      <c r="B439" s="263">
        <f>'Dry_Litterbag Placem_Collection'!A220</f>
        <v>218</v>
      </c>
      <c r="C439" s="263" t="str">
        <f>'Dry_Litterbag Placem_Collection'!B220</f>
        <v>Seronera</v>
      </c>
      <c r="D439" s="263" t="s">
        <v>2659</v>
      </c>
      <c r="E439" s="263" t="s">
        <v>2526</v>
      </c>
      <c r="F439" s="263">
        <v>2</v>
      </c>
      <c r="G439" s="264" t="str">
        <f>'Dry_Litterbag Placem_Collection'!C220</f>
        <v>Local2_CG2</v>
      </c>
      <c r="H439" s="265" t="s">
        <v>2541</v>
      </c>
      <c r="I439" s="272" t="s">
        <v>298</v>
      </c>
      <c r="J439" s="263" t="str">
        <f>IF(ISBLANK('Dry_Litterbag Placem_Collection'!K220),"","R"&amp;""&amp;'Dry_Litterbag Placem_Collection'!K220)</f>
        <v>R680</v>
      </c>
      <c r="K439" s="267">
        <f>IFERROR(INDEX('Green_rooibos initial weight'!$C$5:$C$1749,MATCH(J439, 'Green_rooibos initial weight'!$A$5:$A$1749,0)),"")</f>
        <v>2.1080000000000001</v>
      </c>
      <c r="L439" s="267">
        <f>IFERROR(K439-(TBIcalc!$Q$9+TBIcalc!$Q$10),"")</f>
        <v>1.8582000000000001</v>
      </c>
      <c r="M439" s="391">
        <f>AVERAGE(Ashed_controlls!$K$12:$K$14)</f>
        <v>2.2816647271287041</v>
      </c>
      <c r="N439" s="267">
        <f t="shared" si="31"/>
        <v>1.8158021060404945</v>
      </c>
      <c r="O439" s="267">
        <f>IF(IFERROR(INDEX('Both teabags AfterDry'!$D$3:$D$900,MATCH(J439,'Both teabags AfterDry'!$A$3:$A$900,0)),"")="","",(IFERROR(INDEX('Both teabags AfterDry'!$D$3:$D$900,MATCH(J439,'Both teabags AfterDry'!$A$3:$A$900,0)),"")))</f>
        <v>0.17100000000000001</v>
      </c>
      <c r="P439" s="267">
        <f>IFERROR(IF(O439&gt;0,O439-(TBIcalc!$Q$9),""),"")</f>
        <v>2.0400000000000001E-2</v>
      </c>
      <c r="Q439" s="278">
        <f>IFERROR(INDEX('Ashed teabags dry'!$K$2:$K$825,MATCH(J439,'Ashed teabags dry'!$A$2:$A$825,0)),"")</f>
        <v>0</v>
      </c>
      <c r="R439" s="278">
        <f t="shared" si="32"/>
        <v>2.0400000000000001E-2</v>
      </c>
      <c r="S439" s="268">
        <f>'Dry_Litterbag Placem_Collection'!E220</f>
        <v>42942</v>
      </c>
      <c r="T439" s="268">
        <f>IF('Dry_Litterbag Placem_Collection'!G220="","",'Dry_Litterbag Placem_Collection'!G220)</f>
        <v>43004</v>
      </c>
      <c r="U439" s="269">
        <f t="shared" si="30"/>
        <v>62</v>
      </c>
      <c r="V439" s="267">
        <f t="shared" si="33"/>
        <v>1.8378000000000001</v>
      </c>
      <c r="W439" s="267">
        <f t="shared" si="34"/>
        <v>1.7954021060404945</v>
      </c>
      <c r="X439" s="271">
        <f>IFERROR(INDEX(Rainfall_Dry!$O$2:$O$217,MATCH(B439, Rainfall_Dry!$A$2:$A$217,0)),"")</f>
        <v>171.84818423999999</v>
      </c>
      <c r="Y439" s="260">
        <v>21.072635135135137</v>
      </c>
      <c r="Z439" s="260">
        <v>7.3057432432432412</v>
      </c>
      <c r="AA439" s="260">
        <v>71.621621621621614</v>
      </c>
      <c r="AB439" s="260" t="s">
        <v>2670</v>
      </c>
      <c r="AC439" s="260">
        <v>1.4512074913750617</v>
      </c>
      <c r="AD439">
        <f>IF('WetLitterbags placem_collection'!AB220="","",'WetLitterbags placem_collection'!AB220)</f>
        <v>5.13</v>
      </c>
      <c r="AE439">
        <f>IF('WetLitterbags placem_collection'!Z220="","",'WetLitterbags placem_collection'!Z220)</f>
        <v>5.13</v>
      </c>
      <c r="AF439" s="24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71">
        <f>IFERROR(AVERAGE('Dry_Litterbag Placem_Collection'!N220,'Dry_Litterbag Placem_Collection'!Q220),"")</f>
        <v>29.15</v>
      </c>
      <c r="AJ439">
        <v>-2.4396450349999999</v>
      </c>
      <c r="AK439">
        <v>34.83836599</v>
      </c>
      <c r="AL439" s="270" t="str">
        <f>IF(ISNUMBER(SEARCH("C", 'Dry_Litterbag Placem_Collection'!T220)),"YES","NO")</f>
        <v>NO</v>
      </c>
      <c r="AM439" s="270" t="str">
        <f>IF(ISNUMBER(SEARCH("H", 'Dry_Litterbag Placem_Collection'!T220)),"YES","NO")</f>
        <v>YES</v>
      </c>
      <c r="AN439" s="270" t="str">
        <f>IF(ISNUMBER(SEARCH("R", 'Dry_Litterbag Placem_Collection'!T220)),"YES","NO")</f>
        <v>YES</v>
      </c>
    </row>
    <row r="440" spans="1:40" ht="15" customHeight="1">
      <c r="A440" s="262" t="s">
        <v>2659</v>
      </c>
      <c r="B440" s="263">
        <f>'Dry_Litterbag Placem_Collection'!A221</f>
        <v>219</v>
      </c>
      <c r="C440" s="263" t="str">
        <f>'Dry_Litterbag Placem_Collection'!B221</f>
        <v>Seronera</v>
      </c>
      <c r="D440" s="263" t="s">
        <v>2659</v>
      </c>
      <c r="E440" s="263" t="s">
        <v>2526</v>
      </c>
      <c r="F440" s="263">
        <v>3</v>
      </c>
      <c r="G440" s="264" t="str">
        <f>'Dry_Litterbag Placem_Collection'!C221</f>
        <v>Local3_CG3</v>
      </c>
      <c r="H440" s="265" t="s">
        <v>2541</v>
      </c>
      <c r="I440" s="272" t="s">
        <v>298</v>
      </c>
      <c r="J440" s="263" t="str">
        <f>IF(ISBLANK('Dry_Litterbag Placem_Collection'!K221),"","R"&amp;""&amp;'Dry_Litterbag Placem_Collection'!K221)</f>
        <v>R178</v>
      </c>
      <c r="K440" s="267">
        <f>IFERROR(INDEX('Green_rooibos initial weight'!$C$5:$C$1749,MATCH(J440, 'Green_rooibos initial weight'!$A$5:$A$1749,0)),"")</f>
        <v>2.222</v>
      </c>
      <c r="L440" s="267">
        <f>IFERROR(K440-(TBIcalc!$Q$9+TBIcalc!$Q$10),"")</f>
        <v>1.9722</v>
      </c>
      <c r="M440" s="391">
        <f>AVERAGE(Ashed_controlls!$K$12:$K$14)</f>
        <v>2.2816647271287041</v>
      </c>
      <c r="N440" s="267">
        <f t="shared" si="31"/>
        <v>1.9272010082515676</v>
      </c>
      <c r="O440" s="267">
        <f>IF(IFERROR(INDEX('Both teabags AfterDry'!$D$3:$D$900,MATCH(J440,'Both teabags AfterDry'!$A$3:$A$900,0)),"")="","",(IFERROR(INDEX('Both teabags AfterDry'!$D$3:$D$900,MATCH(J440,'Both teabags AfterDry'!$A$3:$A$900,0)),"")))</f>
        <v>1.8229</v>
      </c>
      <c r="P440" s="267">
        <f>IFERROR(IF(O440&gt;0,O440-(TBIcalc!$Q$9),""),"")</f>
        <v>1.6722999999999999</v>
      </c>
      <c r="Q440" s="278">
        <f>IFERROR(INDEX('Ashed teabags dry'!$K$2:$K$825,MATCH(J440,'Ashed teabags dry'!$A$2:$A$825,0)),"")</f>
        <v>19.137332672284675</v>
      </c>
      <c r="R440" s="278">
        <f t="shared" si="32"/>
        <v>1.3522663857213832</v>
      </c>
      <c r="S440" s="268">
        <f>'Dry_Litterbag Placem_Collection'!E221</f>
        <v>42942</v>
      </c>
      <c r="T440" s="268">
        <f>IF('Dry_Litterbag Placem_Collection'!G221="","",'Dry_Litterbag Placem_Collection'!G221)</f>
        <v>43004</v>
      </c>
      <c r="U440" s="269">
        <f t="shared" si="30"/>
        <v>62</v>
      </c>
      <c r="V440" s="267">
        <f t="shared" si="33"/>
        <v>0.29990000000000006</v>
      </c>
      <c r="W440" s="267">
        <f t="shared" si="34"/>
        <v>0.57493462253018435</v>
      </c>
      <c r="X440" s="271">
        <f>IFERROR(INDEX(Rainfall_Dry!$O$2:$O$217,MATCH(B440, Rainfall_Dry!$A$2:$A$217,0)),"")</f>
        <v>171.84818423999999</v>
      </c>
      <c r="Y440" s="260">
        <v>21.96</v>
      </c>
      <c r="Z440" s="260">
        <v>4.9199999999999982</v>
      </c>
      <c r="AA440" s="260">
        <v>73.12</v>
      </c>
      <c r="AB440" s="260" t="s">
        <v>2670</v>
      </c>
      <c r="AC440" s="260">
        <v>1.4012321340561851</v>
      </c>
      <c r="AD440">
        <f>IF('WetLitterbags placem_collection'!AB221="","",'WetLitterbags placem_collection'!AB221)</f>
        <v>7.9</v>
      </c>
      <c r="AE440">
        <f>IF('WetLitterbags placem_collection'!Z221="","",'WetLitterbags placem_collection'!Z221)</f>
        <v>7.9</v>
      </c>
      <c r="AF440" s="24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71">
        <f>IFERROR(AVERAGE('Dry_Litterbag Placem_Collection'!N221,'Dry_Litterbag Placem_Collection'!Q221),"")</f>
        <v>32.75</v>
      </c>
      <c r="AJ440">
        <v>-2.4395990190000001</v>
      </c>
      <c r="AK440">
        <v>34.838418959999998</v>
      </c>
      <c r="AL440" s="270" t="str">
        <f>IF(ISNUMBER(SEARCH("C", 'Dry_Litterbag Placem_Collection'!T221)),"YES","NO")</f>
        <v>NO</v>
      </c>
      <c r="AM440" s="270" t="str">
        <f>IF(ISNUMBER(SEARCH("H", 'Dry_Litterbag Placem_Collection'!T221)),"YES","NO")</f>
        <v>NO</v>
      </c>
      <c r="AN440" s="270" t="str">
        <f>IF(ISNUMBER(SEARCH("R", 'Dry_Litterbag Placem_Collection'!T221)),"YES","NO")</f>
        <v>YES</v>
      </c>
    </row>
    <row r="441" spans="1:40" ht="15" customHeight="1">
      <c r="A441" s="262" t="s">
        <v>2659</v>
      </c>
      <c r="B441" s="263">
        <f>'Dry_Litterbag Placem_Collection'!A222</f>
        <v>220</v>
      </c>
      <c r="C441" s="263" t="str">
        <f>'Dry_Litterbag Placem_Collection'!B222</f>
        <v>Seronera</v>
      </c>
      <c r="D441" s="263" t="s">
        <v>2659</v>
      </c>
      <c r="E441" s="263" t="s">
        <v>2526</v>
      </c>
      <c r="F441" s="263">
        <v>4</v>
      </c>
      <c r="G441" s="264" t="str">
        <f>'Dry_Litterbag Placem_Collection'!C222</f>
        <v>Local4_CG4</v>
      </c>
      <c r="H441" s="265" t="s">
        <v>2541</v>
      </c>
      <c r="I441" s="272" t="s">
        <v>298</v>
      </c>
      <c r="J441" s="263" t="str">
        <f>IF(ISBLANK('Dry_Litterbag Placem_Collection'!K222),"","R"&amp;""&amp;'Dry_Litterbag Placem_Collection'!K222)</f>
        <v>R194</v>
      </c>
      <c r="K441" s="267">
        <f>IFERROR(INDEX('Green_rooibos initial weight'!$C$5:$C$1749,MATCH(J441, 'Green_rooibos initial weight'!$A$5:$A$1749,0)),"")</f>
        <v>2.149</v>
      </c>
      <c r="L441" s="267">
        <f>IFERROR(K441-(TBIcalc!$Q$9+TBIcalc!$Q$10),"")</f>
        <v>1.8992</v>
      </c>
      <c r="M441" s="391">
        <f>AVERAGE(Ashed_controlls!$K$12:$K$14)</f>
        <v>2.2816647271287041</v>
      </c>
      <c r="N441" s="267">
        <f t="shared" si="31"/>
        <v>1.8558666235023717</v>
      </c>
      <c r="O441" s="267" t="str">
        <f>IF(IFERROR(INDEX('Both teabags AfterDry'!$D$3:$D$900,MATCH(J441,'Both teabags AfterDry'!$A$3:$A$900,0)),"")="","",(IFERROR(INDEX('Both teabags AfterDry'!$D$3:$D$900,MATCH(J441,'Both teabags AfterDry'!$A$3:$A$900,0)),"")))</f>
        <v/>
      </c>
      <c r="P441" s="267" t="str">
        <f>IFERROR(IF(O441&gt;0,O441-(TBIcalc!$Q$9),""),"")</f>
        <v/>
      </c>
      <c r="Q441" s="278" t="str">
        <f>IFERROR(INDEX('Ashed teabags dry'!$K$2:$K$825,MATCH(J441,'Ashed teabags dry'!$A$2:$A$825,0)),"")</f>
        <v/>
      </c>
      <c r="R441" s="278" t="str">
        <f t="shared" si="32"/>
        <v/>
      </c>
      <c r="S441" s="268">
        <f>'Dry_Litterbag Placem_Collection'!E222</f>
        <v>42942</v>
      </c>
      <c r="T441" s="268">
        <f>IF('Dry_Litterbag Placem_Collection'!G222="","",'Dry_Litterbag Placem_Collection'!G222)</f>
        <v>43004</v>
      </c>
      <c r="U441" s="269">
        <f t="shared" si="30"/>
        <v>62</v>
      </c>
      <c r="V441" s="267" t="str">
        <f t="shared" si="33"/>
        <v/>
      </c>
      <c r="W441" s="267" t="str">
        <f t="shared" si="34"/>
        <v/>
      </c>
      <c r="X441" s="271">
        <f>IFERROR(INDEX(Rainfall_Dry!$O$2:$O$217,MATCH(B441, Rainfall_Dry!$A$2:$A$217,0)),"")</f>
        <v>171.84818423999999</v>
      </c>
      <c r="Y441" s="260">
        <v>15.960000000000003</v>
      </c>
      <c r="Z441" s="260">
        <v>6.9199999999999982</v>
      </c>
      <c r="AA441" s="260">
        <v>77.11999999999999</v>
      </c>
      <c r="AB441" s="260" t="s">
        <v>2671</v>
      </c>
      <c r="AC441" s="260">
        <v>0.60547067520946207</v>
      </c>
      <c r="AD441">
        <f>IF('WetLitterbags placem_collection'!AB222="","",'WetLitterbags placem_collection'!AB222)</f>
        <v>15.2</v>
      </c>
      <c r="AE441">
        <f>IF('WetLitterbags placem_collection'!Z222="","",'WetLitterbags placem_collection'!Z222)</f>
        <v>12.2</v>
      </c>
      <c r="AF441" s="24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71">
        <f>IFERROR(AVERAGE('Dry_Litterbag Placem_Collection'!N222,'Dry_Litterbag Placem_Collection'!Q222),"")</f>
        <v>33.65</v>
      </c>
      <c r="AJ441">
        <v>-2.4396949910000001</v>
      </c>
      <c r="AK441">
        <v>34.838574029999997</v>
      </c>
      <c r="AL441" s="270" t="str">
        <f>IF(ISNUMBER(SEARCH("C", 'Dry_Litterbag Placem_Collection'!T222)),"YES","NO")</f>
        <v>YES</v>
      </c>
      <c r="AM441" s="270" t="str">
        <f>IF(ISNUMBER(SEARCH("H", 'Dry_Litterbag Placem_Collection'!T222)),"YES","NO")</f>
        <v>YES</v>
      </c>
      <c r="AN441" s="270" t="str">
        <f>IF(ISNUMBER(SEARCH("R", 'Dry_Litterbag Placem_Collection'!T222)),"YES","NO")</f>
        <v>YES</v>
      </c>
    </row>
    <row r="442" spans="1:40" ht="15" customHeight="1">
      <c r="A442" s="262" t="s">
        <v>2659</v>
      </c>
      <c r="B442" s="263">
        <f>'Dry_Litterbag Placem_Collection'!A3</f>
        <v>1</v>
      </c>
      <c r="C442" s="263" t="str">
        <f>'Dry_Litterbag Placem_Collection'!B3</f>
        <v>Makao</v>
      </c>
      <c r="D442" s="263" t="s">
        <v>2659</v>
      </c>
      <c r="E442" s="263" t="s">
        <v>2660</v>
      </c>
      <c r="F442" s="263">
        <v>1</v>
      </c>
      <c r="G442" s="264" t="str">
        <f>'Dry_Litterbag Placem_Collection'!C3</f>
        <v>Dry_Ag1_T1</v>
      </c>
      <c r="H442" s="273" t="s">
        <v>3651</v>
      </c>
      <c r="I442" s="266" t="s">
        <v>1147</v>
      </c>
      <c r="J442" s="263" t="str">
        <f>IF(ISBLANK('Dry_Litterbag Placem_Collection'!L3),"","G"&amp;""&amp;'Dry_Litterbag Placem_Collection'!L3)</f>
        <v>G377</v>
      </c>
      <c r="K442" s="267">
        <f>IFERROR(INDEX('Green_rooibos initial weight'!$C$5:$C$1749,MATCH(J442, 'Green_rooibos initial weight'!$A$5:$A$1749,0)),"")</f>
        <v>2.1030000000000002</v>
      </c>
      <c r="L442" s="267">
        <f>IFERROR(K442-(TBIcalc!$Q$9+TBIcalc!$Q$10),"")</f>
        <v>1.8532000000000002</v>
      </c>
      <c r="M442" s="391">
        <f>AVERAGE(Ashed_controlls!$K$2:$K$11)</f>
        <v>5.5147656768714146</v>
      </c>
      <c r="N442" s="267">
        <f t="shared" si="31"/>
        <v>1.7510003624762192</v>
      </c>
      <c r="O442" s="267">
        <f>IF(IFERROR(INDEX('Both teabags AfterDry'!$D$3:$D$900,MATCH(J442,'Both teabags AfterDry'!$A$3:$A$900,0)),"")="","",(IFERROR(INDEX('Both teabags AfterDry'!$D$3:$D$900,MATCH(J442,'Both teabags AfterDry'!$A$3:$A$900,0)),"")))</f>
        <v>1.3894</v>
      </c>
      <c r="P442" s="267">
        <f>IFERROR(IF(O442&gt;0,O442-(TBIcalc!$Q$9),""),"")</f>
        <v>1.2387999999999999</v>
      </c>
      <c r="Q442" s="278">
        <f>IFERROR(INDEX('Ashed teabags dry'!$K$2:$K$825,MATCH(J442,'Ashed teabags dry'!$A$2:$A$825,0)),"")</f>
        <v>16.862567811935126</v>
      </c>
      <c r="R442" s="278">
        <f t="shared" si="32"/>
        <v>1.0299065099457476</v>
      </c>
      <c r="S442" s="268">
        <f>'Dry_Litterbag Placem_Collection'!E3</f>
        <v>42938</v>
      </c>
      <c r="T442" s="268">
        <f>IF('Dry_Litterbag Placem_Collection'!G3="","",'Dry_Litterbag Placem_Collection'!G3)</f>
        <v>43007</v>
      </c>
      <c r="U442" s="269">
        <f t="shared" si="30"/>
        <v>69</v>
      </c>
      <c r="V442" s="267">
        <f t="shared" si="33"/>
        <v>0.61440000000000028</v>
      </c>
      <c r="W442" s="267">
        <f t="shared" si="34"/>
        <v>0.72109385253047154</v>
      </c>
      <c r="X442" s="271">
        <f>IFERROR(INDEX(Rainfall_Dry!$O$2:$O$217,MATCH(B442, Rainfall_Dry!$A$2:$A$217,0)),"")</f>
        <v>6.900000125</v>
      </c>
      <c r="Y442" s="260">
        <v>12.565665055683967</v>
      </c>
      <c r="Z442" s="260">
        <v>0.9665896196679955</v>
      </c>
      <c r="AA442" s="260">
        <v>86.467745324648035</v>
      </c>
      <c r="AB442" s="261" t="s">
        <v>2672</v>
      </c>
      <c r="AC442" s="260">
        <v>1.0225726959093147</v>
      </c>
      <c r="AD442">
        <f>IF('WetLitterbags placem_collection'!AB3="","",'WetLitterbags placem_collection'!AB3)</f>
        <v>26.4</v>
      </c>
      <c r="AE442">
        <f>IF('WetLitterbags placem_collection'!Z3="","",'WetLitterbags placem_collection'!Z3)</f>
        <v>41</v>
      </c>
      <c r="AF442" s="24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71">
        <f>IFERROR(AVERAGE('Dry_Litterbag Placem_Collection'!N3,'Dry_Litterbag Placem_Collection'!Q3),"")</f>
        <v>26.9</v>
      </c>
      <c r="AJ442" s="270">
        <f>INDEX(Coordinates!$B$2:$B$197,MATCH(G442,Coordinates!$J$2:$J$197,0))</f>
        <v>-3.3978609999999998</v>
      </c>
      <c r="AK442" s="270">
        <f>INDEX(Coordinates!$C$2:$C$197,MATCH(G442,Coordinates!$J$2:$J$197,0))</f>
        <v>34.837608000000003</v>
      </c>
      <c r="AL442" s="270" t="str">
        <f>IF(ISNUMBER(SEARCH("C", 'Dry_Litterbag Placem_Collection'!U3)),"YES","NO")</f>
        <v>NO</v>
      </c>
      <c r="AM442" s="270" t="str">
        <f>IF(ISNUMBER(SEARCH("H", 'Dry_Litterbag Placem_Collection'!U3)),"YES","NO")</f>
        <v>NO</v>
      </c>
      <c r="AN442" s="270" t="str">
        <f>IF(ISNUMBER(SEARCH("R", 'Dry_Litterbag Placem_Collection'!U3)),"YES","NO")</f>
        <v>YES</v>
      </c>
    </row>
    <row r="443" spans="1:40" ht="15" customHeight="1">
      <c r="A443" s="262" t="s">
        <v>2659</v>
      </c>
      <c r="B443" s="263">
        <f>'Dry_Litterbag Placem_Collection'!A4</f>
        <v>2</v>
      </c>
      <c r="C443" s="263" t="str">
        <f>'Dry_Litterbag Placem_Collection'!B4</f>
        <v>Makao</v>
      </c>
      <c r="D443" s="263" t="s">
        <v>2659</v>
      </c>
      <c r="E443" s="263" t="s">
        <v>2660</v>
      </c>
      <c r="F443" s="263">
        <v>1</v>
      </c>
      <c r="G443" s="264" t="str">
        <f>'Dry_Litterbag Placem_Collection'!C4</f>
        <v>Dry_Ag1_T2</v>
      </c>
      <c r="H443" s="273" t="s">
        <v>3651</v>
      </c>
      <c r="I443" s="266" t="s">
        <v>1147</v>
      </c>
      <c r="J443" s="263" t="str">
        <f>IF(ISBLANK('Dry_Litterbag Placem_Collection'!L4),"","G"&amp;""&amp;'Dry_Litterbag Placem_Collection'!L4)</f>
        <v/>
      </c>
      <c r="K443" s="267" t="str">
        <f>IFERROR(INDEX('Green_rooibos initial weight'!$C$5:$C$1749,MATCH(J443, 'Green_rooibos initial weight'!$A$5:$A$1749,0)),"")</f>
        <v/>
      </c>
      <c r="L443" s="267" t="str">
        <f>IFERROR(K443-(TBIcalc!$Q$9+TBIcalc!$Q$10),"")</f>
        <v/>
      </c>
      <c r="M443" s="391">
        <f>AVERAGE(Ashed_controlls!$K$2:$K$11)</f>
        <v>5.5147656768714146</v>
      </c>
      <c r="N443" s="267" t="str">
        <f t="shared" si="31"/>
        <v/>
      </c>
      <c r="O443" s="267" t="str">
        <f>IF(IFERROR(INDEX('Both teabags AfterDry'!$D$3:$D$900,MATCH(J443,'Both teabags AfterDry'!$A$3:$A$900,0)),"")="","",(IFERROR(INDEX('Both teabags AfterDry'!$D$3:$D$900,MATCH(J443,'Both teabags AfterDry'!$A$3:$A$900,0)),"")))</f>
        <v/>
      </c>
      <c r="P443" s="267" t="str">
        <f>IFERROR(IF(O443&gt;0,O443-(TBIcalc!$Q$9),""),"")</f>
        <v/>
      </c>
      <c r="Q443" s="278" t="str">
        <f>IFERROR(INDEX('Ashed teabags dry'!$K$2:$K$825,MATCH(J443,'Ashed teabags dry'!$A$2:$A$825,0)),"")</f>
        <v/>
      </c>
      <c r="R443" s="278" t="str">
        <f t="shared" si="32"/>
        <v/>
      </c>
      <c r="S443" s="268">
        <f>'Dry_Litterbag Placem_Collection'!E4</f>
        <v>0</v>
      </c>
      <c r="T443" s="268" t="str">
        <f>IF('Dry_Litterbag Placem_Collection'!G4="","",'Dry_Litterbag Placem_Collection'!G4)</f>
        <v/>
      </c>
      <c r="U443" s="269" t="str">
        <f t="shared" si="30"/>
        <v/>
      </c>
      <c r="V443" s="267" t="str">
        <f t="shared" si="33"/>
        <v/>
      </c>
      <c r="W443" s="267" t="str">
        <f t="shared" si="34"/>
        <v/>
      </c>
      <c r="X443" s="271" t="str">
        <f>IFERROR(INDEX(Rainfall_Dry!$O$2:$O$217,MATCH(B443, Rainfall_Dry!$A$2:$A$217,0)),"")</f>
        <v/>
      </c>
      <c r="Y443" s="260">
        <v>12.565665055683967</v>
      </c>
      <c r="Z443" s="260">
        <v>0.9665896196679955</v>
      </c>
      <c r="AA443" s="260">
        <v>86.467745324648035</v>
      </c>
      <c r="AB443" s="261" t="s">
        <v>2672</v>
      </c>
      <c r="AC443" s="260">
        <v>2.02257269590931</v>
      </c>
      <c r="AD443">
        <f>IF('WetLitterbags placem_collection'!AB4="","",'WetLitterbags placem_collection'!AB4)</f>
        <v>22.4</v>
      </c>
      <c r="AE443">
        <f>IF('WetLitterbags placem_collection'!Z4="","",'WetLitterbags placem_collection'!Z4)</f>
        <v>39.799999999999997</v>
      </c>
      <c r="AF443" s="24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71" t="str">
        <f>IFERROR(AVERAGE('Dry_Litterbag Placem_Collection'!N4,'Dry_Litterbag Placem_Collection'!Q4),"")</f>
        <v/>
      </c>
      <c r="AJ443" s="270">
        <f>INDEX(Coordinates!$B$2:$B$197,MATCH(G443,Coordinates!$J$2:$J$197,0))</f>
        <v>-3.397879042</v>
      </c>
      <c r="AK443" s="270">
        <f>INDEX(Coordinates!$C$2:$C$197,MATCH(G443,Coordinates!$J$2:$J$197,0))</f>
        <v>34.837536010000001</v>
      </c>
      <c r="AL443" s="270" t="str">
        <f>IF(ISNUMBER(SEARCH("C", 'Dry_Litterbag Placem_Collection'!U4)),"YES","NO")</f>
        <v>NO</v>
      </c>
      <c r="AM443" s="270" t="str">
        <f>IF(ISNUMBER(SEARCH("H", 'Dry_Litterbag Placem_Collection'!U4)),"YES","NO")</f>
        <v>NO</v>
      </c>
      <c r="AN443" s="270" t="str">
        <f>IF(ISNUMBER(SEARCH("R", 'Dry_Litterbag Placem_Collection'!U4)),"YES","NO")</f>
        <v>NO</v>
      </c>
    </row>
    <row r="444" spans="1:40" ht="15" customHeight="1">
      <c r="A444" s="262" t="s">
        <v>2659</v>
      </c>
      <c r="B444" s="263">
        <f>'Dry_Litterbag Placem_Collection'!A5</f>
        <v>3</v>
      </c>
      <c r="C444" s="263" t="str">
        <f>'Dry_Litterbag Placem_Collection'!B5</f>
        <v>Makao</v>
      </c>
      <c r="D444" s="263" t="s">
        <v>2659</v>
      </c>
      <c r="E444" s="263" t="s">
        <v>2660</v>
      </c>
      <c r="F444" s="263">
        <v>1</v>
      </c>
      <c r="G444" s="264" t="str">
        <f>'Dry_Litterbag Placem_Collection'!C5</f>
        <v>Dry_Ag1_T3</v>
      </c>
      <c r="H444" s="273" t="s">
        <v>3651</v>
      </c>
      <c r="I444" s="266" t="s">
        <v>1147</v>
      </c>
      <c r="J444" s="263" t="str">
        <f>IF(ISBLANK('Dry_Litterbag Placem_Collection'!L5),"","G"&amp;""&amp;'Dry_Litterbag Placem_Collection'!L5)</f>
        <v>G44</v>
      </c>
      <c r="K444" s="267">
        <f>IFERROR(INDEX('Green_rooibos initial weight'!$C$5:$C$1749,MATCH(J444, 'Green_rooibos initial weight'!$A$5:$A$1749,0)),"")</f>
        <v>2.0680000000000001</v>
      </c>
      <c r="L444" s="267">
        <f>IFERROR(K444-(TBIcalc!$Q$9+TBIcalc!$Q$10),"")</f>
        <v>1.8182</v>
      </c>
      <c r="M444" s="391">
        <f>AVERAGE(Ashed_controlls!$K$2:$K$11)</f>
        <v>5.5147656768714146</v>
      </c>
      <c r="N444" s="267">
        <f t="shared" si="31"/>
        <v>1.7179305304631241</v>
      </c>
      <c r="O444" s="267">
        <f>IF(IFERROR(INDEX('Both teabags AfterDry'!$D$3:$D$900,MATCH(J444,'Both teabags AfterDry'!$A$3:$A$900,0)),"")="","",(IFERROR(INDEX('Both teabags AfterDry'!$D$3:$D$900,MATCH(J444,'Both teabags AfterDry'!$A$3:$A$900,0)),"")))</f>
        <v>1.5553999999999999</v>
      </c>
      <c r="P444" s="267">
        <f>IFERROR(IF(O444&gt;0,O444-(TBIcalc!$Q$9),""),"")</f>
        <v>1.4047999999999998</v>
      </c>
      <c r="Q444" s="278">
        <f>IFERROR(INDEX('Ashed teabags dry'!$K$2:$K$825,MATCH(J444,'Ashed teabags dry'!$A$2:$A$825,0)),"")</f>
        <v>10.622710622710303</v>
      </c>
      <c r="R444" s="278">
        <f t="shared" si="32"/>
        <v>1.2555721611721655</v>
      </c>
      <c r="S444" s="268">
        <f>'Dry_Litterbag Placem_Collection'!E5</f>
        <v>42938</v>
      </c>
      <c r="T444" s="268">
        <f>IF('Dry_Litterbag Placem_Collection'!G5="","",'Dry_Litterbag Placem_Collection'!G5)</f>
        <v>43007</v>
      </c>
      <c r="U444" s="269">
        <f t="shared" si="30"/>
        <v>69</v>
      </c>
      <c r="V444" s="267">
        <f t="shared" si="33"/>
        <v>0.41340000000000021</v>
      </c>
      <c r="W444" s="267">
        <f t="shared" si="34"/>
        <v>0.46235836929095853</v>
      </c>
      <c r="X444" s="271">
        <f>IFERROR(INDEX(Rainfall_Dry!$O$2:$O$217,MATCH(B444, Rainfall_Dry!$A$2:$A$217,0)),"")</f>
        <v>6.900000125</v>
      </c>
      <c r="Y444" s="260">
        <v>12.565665055683967</v>
      </c>
      <c r="Z444" s="260">
        <v>0.9665896196679955</v>
      </c>
      <c r="AA444" s="260">
        <v>86.467745324648035</v>
      </c>
      <c r="AB444" s="261" t="s">
        <v>2672</v>
      </c>
      <c r="AC444" s="260">
        <v>3.02257269590931</v>
      </c>
      <c r="AD444" t="str">
        <f>IF('WetLitterbags placem_collection'!AB5="","",'WetLitterbags placem_collection'!AB5)</f>
        <v/>
      </c>
      <c r="AE444" t="str">
        <f>IF('WetLitterbags placem_collection'!Z5="","",'WetLitterbags placem_collection'!Z5)</f>
        <v/>
      </c>
      <c r="AF444" s="24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71">
        <f>IFERROR(AVERAGE('Dry_Litterbag Placem_Collection'!N5,'Dry_Litterbag Placem_Collection'!Q5),"")</f>
        <v>25</v>
      </c>
      <c r="AJ444" s="270">
        <f>INDEX(Coordinates!$B$2:$B$197,MATCH(G444,Coordinates!$J$2:$J$197,0))</f>
        <v>-3.3978739999999998</v>
      </c>
      <c r="AK444" s="270">
        <f>INDEX(Coordinates!$C$2:$C$197,MATCH(G444,Coordinates!$J$2:$J$197,0))</f>
        <v>34.837578999999998</v>
      </c>
      <c r="AL444" s="270" t="str">
        <f>IF(ISNUMBER(SEARCH("C", 'Dry_Litterbag Placem_Collection'!U5)),"YES","NO")</f>
        <v>NO</v>
      </c>
      <c r="AM444" s="270" t="str">
        <f>IF(ISNUMBER(SEARCH("H", 'Dry_Litterbag Placem_Collection'!U5)),"YES","NO")</f>
        <v>NO</v>
      </c>
      <c r="AN444" s="270" t="str">
        <f>IF(ISNUMBER(SEARCH("R", 'Dry_Litterbag Placem_Collection'!U5)),"YES","NO")</f>
        <v>YES</v>
      </c>
    </row>
    <row r="445" spans="1:40" ht="15" customHeight="1">
      <c r="A445" s="262" t="s">
        <v>2659</v>
      </c>
      <c r="B445" s="263">
        <f>'Dry_Litterbag Placem_Collection'!A6</f>
        <v>4</v>
      </c>
      <c r="C445" s="263" t="str">
        <f>'Dry_Litterbag Placem_Collection'!B6</f>
        <v>Makao</v>
      </c>
      <c r="D445" s="263" t="s">
        <v>2659</v>
      </c>
      <c r="E445" s="263" t="s">
        <v>2660</v>
      </c>
      <c r="F445" s="263">
        <v>1</v>
      </c>
      <c r="G445" s="264" t="str">
        <f>'Dry_Litterbag Placem_Collection'!C6</f>
        <v>Dry_Ag1_T4</v>
      </c>
      <c r="H445" s="273" t="s">
        <v>3651</v>
      </c>
      <c r="I445" s="266" t="s">
        <v>1147</v>
      </c>
      <c r="J445" s="263" t="str">
        <f>IF(ISBLANK('Dry_Litterbag Placem_Collection'!L6),"","G"&amp;""&amp;'Dry_Litterbag Placem_Collection'!L6)</f>
        <v>G357</v>
      </c>
      <c r="K445" s="267">
        <f>IFERROR(INDEX('Green_rooibos initial weight'!$C$5:$C$1749,MATCH(J445, 'Green_rooibos initial weight'!$A$5:$A$1749,0)),"")</f>
        <v>1.996</v>
      </c>
      <c r="L445" s="267">
        <f>IFERROR(K445-(TBIcalc!$Q$9+TBIcalc!$Q$10),"")</f>
        <v>1.7462</v>
      </c>
      <c r="M445" s="391">
        <f>AVERAGE(Ashed_controlls!$K$2:$K$11)</f>
        <v>5.5147656768714146</v>
      </c>
      <c r="N445" s="267">
        <f t="shared" si="31"/>
        <v>1.6499011617504713</v>
      </c>
      <c r="O445" s="267">
        <f>IF(IFERROR(INDEX('Both teabags AfterDry'!$D$3:$D$900,MATCH(J445,'Both teabags AfterDry'!$A$3:$A$900,0)),"")="","",(IFERROR(INDEX('Both teabags AfterDry'!$D$3:$D$900,MATCH(J445,'Both teabags AfterDry'!$A$3:$A$900,0)),"")))</f>
        <v>1.6417999999999999</v>
      </c>
      <c r="P445" s="267">
        <f>IFERROR(IF(O445&gt;0,O445-(TBIcalc!$Q$9),""),"")</f>
        <v>1.4911999999999999</v>
      </c>
      <c r="Q445" s="278">
        <f>IFERROR(INDEX('Ashed teabags dry'!$K$2:$K$825,MATCH(J445,'Ashed teabags dry'!$A$2:$A$825,0)),"")</f>
        <v>6.3956144358153066</v>
      </c>
      <c r="R445" s="278">
        <f t="shared" si="32"/>
        <v>1.3958285975331219</v>
      </c>
      <c r="S445" s="268">
        <f>'Dry_Litterbag Placem_Collection'!E6</f>
        <v>42938</v>
      </c>
      <c r="T445" s="268">
        <f>IF('Dry_Litterbag Placem_Collection'!G6="","",'Dry_Litterbag Placem_Collection'!G6)</f>
        <v>43007</v>
      </c>
      <c r="U445" s="269">
        <f t="shared" si="30"/>
        <v>69</v>
      </c>
      <c r="V445" s="267">
        <f t="shared" si="33"/>
        <v>0.25500000000000012</v>
      </c>
      <c r="W445" s="267">
        <f t="shared" si="34"/>
        <v>0.25407256421734936</v>
      </c>
      <c r="X445" s="271">
        <f>IFERROR(INDEX(Rainfall_Dry!$O$2:$O$217,MATCH(B445, Rainfall_Dry!$A$2:$A$217,0)),"")</f>
        <v>6.900000125</v>
      </c>
      <c r="Y445" s="260">
        <v>12.565665055683967</v>
      </c>
      <c r="Z445" s="260">
        <v>0.9665896196679955</v>
      </c>
      <c r="AA445" s="260">
        <v>86.467745324648035</v>
      </c>
      <c r="AB445" s="261" t="s">
        <v>2672</v>
      </c>
      <c r="AC445" s="260">
        <v>4.02257269590931</v>
      </c>
      <c r="AD445" t="str">
        <f>IF('WetLitterbags placem_collection'!AB6="","",'WetLitterbags placem_collection'!AB6)</f>
        <v/>
      </c>
      <c r="AE445" t="str">
        <f>IF('WetLitterbags placem_collection'!Z6="","",'WetLitterbags placem_collection'!Z6)</f>
        <v/>
      </c>
      <c r="AF445" s="24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71">
        <f>IFERROR(AVERAGE('Dry_Litterbag Placem_Collection'!N6,'Dry_Litterbag Placem_Collection'!Q6),"")</f>
        <v>27.35</v>
      </c>
      <c r="AJ445" s="270">
        <f>INDEX(Coordinates!$B$2:$B$197,MATCH(G445,Coordinates!$J$2:$J$197,0))</f>
        <v>-3.3977780399999999</v>
      </c>
      <c r="AK445" s="270">
        <f>INDEX(Coordinates!$C$2:$C$197,MATCH(G445,Coordinates!$J$2:$J$197,0))</f>
        <v>34.83751204</v>
      </c>
      <c r="AL445" s="270" t="str">
        <f>IF(ISNUMBER(SEARCH("C", 'Dry_Litterbag Placem_Collection'!U6)),"YES","NO")</f>
        <v>NO</v>
      </c>
      <c r="AM445" s="270" t="str">
        <f>IF(ISNUMBER(SEARCH("H", 'Dry_Litterbag Placem_Collection'!U6)),"YES","NO")</f>
        <v>NO</v>
      </c>
      <c r="AN445" s="270" t="str">
        <f>IF(ISNUMBER(SEARCH("R", 'Dry_Litterbag Placem_Collection'!U6)),"YES","NO")</f>
        <v>NO</v>
      </c>
    </row>
    <row r="446" spans="1:40" ht="15" customHeight="1">
      <c r="A446" s="262" t="s">
        <v>2659</v>
      </c>
      <c r="B446" s="263">
        <f>'Dry_Litterbag Placem_Collection'!A7</f>
        <v>5</v>
      </c>
      <c r="C446" s="263" t="str">
        <f>'Dry_Litterbag Placem_Collection'!B7</f>
        <v>Makao</v>
      </c>
      <c r="D446" s="263" t="s">
        <v>2659</v>
      </c>
      <c r="E446" s="263" t="s">
        <v>2660</v>
      </c>
      <c r="F446" s="263">
        <v>1</v>
      </c>
      <c r="G446" s="264" t="str">
        <f>'Dry_Litterbag Placem_Collection'!C7</f>
        <v>Dry_Ag1_T5</v>
      </c>
      <c r="H446" s="273" t="s">
        <v>3651</v>
      </c>
      <c r="I446" s="266" t="s">
        <v>1147</v>
      </c>
      <c r="J446" s="263" t="str">
        <f>IF(ISBLANK('Dry_Litterbag Placem_Collection'!L7),"","G"&amp;""&amp;'Dry_Litterbag Placem_Collection'!L7)</f>
        <v>G734</v>
      </c>
      <c r="K446" s="267">
        <f>IFERROR(INDEX('Green_rooibos initial weight'!$C$5:$C$1749,MATCH(J446, 'Green_rooibos initial weight'!$A$5:$A$1749,0)),"")</f>
        <v>1.9870000000000001</v>
      </c>
      <c r="L446" s="267">
        <f>IFERROR(K446-(TBIcalc!$Q$9+TBIcalc!$Q$10),"")</f>
        <v>1.7372000000000001</v>
      </c>
      <c r="M446" s="391">
        <f>AVERAGE(Ashed_controlls!$K$2:$K$11)</f>
        <v>5.5147656768714146</v>
      </c>
      <c r="N446" s="267">
        <f t="shared" si="31"/>
        <v>1.64139749066139</v>
      </c>
      <c r="O446" s="267" t="str">
        <f>IF(IFERROR(INDEX('Both teabags AfterDry'!$D$3:$D$900,MATCH(J446,'Both teabags AfterDry'!$A$3:$A$900,0)),"")="","",(IFERROR(INDEX('Both teabags AfterDry'!$D$3:$D$900,MATCH(J446,'Both teabags AfterDry'!$A$3:$A$900,0)),"")))</f>
        <v/>
      </c>
      <c r="P446" s="267" t="str">
        <f>IFERROR(IF(O446&gt;0,O446-(TBIcalc!$Q$9),""),"")</f>
        <v/>
      </c>
      <c r="Q446" s="278" t="str">
        <f>IFERROR(INDEX('Ashed teabags dry'!$K$2:$K$825,MATCH(J446,'Ashed teabags dry'!$A$2:$A$825,0)),"")</f>
        <v/>
      </c>
      <c r="R446" s="278" t="str">
        <f t="shared" si="32"/>
        <v/>
      </c>
      <c r="S446" s="268">
        <f>'Dry_Litterbag Placem_Collection'!E7</f>
        <v>42938</v>
      </c>
      <c r="T446" s="268" t="str">
        <f>IF('Dry_Litterbag Placem_Collection'!G7="","",'Dry_Litterbag Placem_Collection'!G7)</f>
        <v/>
      </c>
      <c r="U446" s="269" t="str">
        <f t="shared" si="30"/>
        <v/>
      </c>
      <c r="V446" s="267" t="str">
        <f t="shared" si="33"/>
        <v/>
      </c>
      <c r="W446" s="267" t="str">
        <f t="shared" si="34"/>
        <v/>
      </c>
      <c r="X446" s="271" t="str">
        <f>IFERROR(INDEX(Rainfall_Dry!$O$2:$O$217,MATCH(B446, Rainfall_Dry!$A$2:$A$217,0)),"")</f>
        <v/>
      </c>
      <c r="Y446" s="260">
        <v>12.565665055683967</v>
      </c>
      <c r="Z446" s="260">
        <v>0.9665896196679955</v>
      </c>
      <c r="AA446" s="260">
        <v>86.467745324648035</v>
      </c>
      <c r="AB446" s="261" t="s">
        <v>2672</v>
      </c>
      <c r="AC446" s="260">
        <v>5.02257269590931</v>
      </c>
      <c r="AD446">
        <f>IF('WetLitterbags placem_collection'!AB7="","",'WetLitterbags placem_collection'!AB7)</f>
        <v>28.4</v>
      </c>
      <c r="AE446">
        <f>IF('WetLitterbags placem_collection'!Z7="","",'WetLitterbags placem_collection'!Z7)</f>
        <v>36.4</v>
      </c>
      <c r="AF446" s="24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71">
        <f>IFERROR(AVERAGE('Dry_Litterbag Placem_Collection'!N7,'Dry_Litterbag Placem_Collection'!Q7),"")</f>
        <v>26.7</v>
      </c>
      <c r="AJ446" s="270">
        <f>INDEX(Coordinates!$B$2:$B$197,MATCH(G446,Coordinates!$J$2:$J$197,0))</f>
        <v>-3.3978020120000001</v>
      </c>
      <c r="AK446" s="270">
        <f>INDEX(Coordinates!$C$2:$C$197,MATCH(G446,Coordinates!$J$2:$J$197,0))</f>
        <v>34.83751204</v>
      </c>
      <c r="AL446" s="270" t="str">
        <f>IF(ISNUMBER(SEARCH("C", 'Dry_Litterbag Placem_Collection'!U7)),"YES","NO")</f>
        <v>NO</v>
      </c>
      <c r="AM446" s="270" t="str">
        <f>IF(ISNUMBER(SEARCH("H", 'Dry_Litterbag Placem_Collection'!U7)),"YES","NO")</f>
        <v>NO</v>
      </c>
      <c r="AN446" s="270" t="str">
        <f>IF(ISNUMBER(SEARCH("R", 'Dry_Litterbag Placem_Collection'!U7)),"YES","NO")</f>
        <v>NO</v>
      </c>
    </row>
    <row r="447" spans="1:40" ht="15" customHeight="1">
      <c r="A447" s="262" t="s">
        <v>2659</v>
      </c>
      <c r="B447" s="263">
        <f>'Dry_Litterbag Placem_Collection'!A8</f>
        <v>6</v>
      </c>
      <c r="C447" s="263" t="str">
        <f>'Dry_Litterbag Placem_Collection'!B8</f>
        <v>Makao</v>
      </c>
      <c r="D447" s="263" t="s">
        <v>2659</v>
      </c>
      <c r="E447" s="263" t="s">
        <v>2660</v>
      </c>
      <c r="F447" s="263">
        <v>1</v>
      </c>
      <c r="G447" s="264" t="str">
        <f>'Dry_Litterbag Placem_Collection'!C8</f>
        <v>Dry_Ag1_T6</v>
      </c>
      <c r="H447" s="273" t="s">
        <v>3651</v>
      </c>
      <c r="I447" s="266" t="s">
        <v>1147</v>
      </c>
      <c r="J447" s="263" t="str">
        <f>IF(ISBLANK('Dry_Litterbag Placem_Collection'!L8),"","G"&amp;""&amp;'Dry_Litterbag Placem_Collection'!L8)</f>
        <v>G164</v>
      </c>
      <c r="K447" s="267">
        <f>IFERROR(INDEX('Green_rooibos initial weight'!$C$5:$C$1749,MATCH(J447, 'Green_rooibos initial weight'!$A$5:$A$1749,0)),"")</f>
        <v>1.994</v>
      </c>
      <c r="L447" s="267">
        <f>IFERROR(K447-(TBIcalc!$Q$9+TBIcalc!$Q$10),"")</f>
        <v>1.7442</v>
      </c>
      <c r="M447" s="391">
        <f>AVERAGE(Ashed_controlls!$K$2:$K$11)</f>
        <v>5.5147656768714146</v>
      </c>
      <c r="N447" s="267">
        <f t="shared" si="31"/>
        <v>1.6480114570640088</v>
      </c>
      <c r="O447" s="267" t="str">
        <f>IF(IFERROR(INDEX('Both teabags AfterDry'!$D$3:$D$900,MATCH(J447,'Both teabags AfterDry'!$A$3:$A$900,0)),"")="","",(IFERROR(INDEX('Both teabags AfterDry'!$D$3:$D$900,MATCH(J447,'Both teabags AfterDry'!$A$3:$A$900,0)),"")))</f>
        <v/>
      </c>
      <c r="P447" s="267" t="str">
        <f>IFERROR(IF(O447&gt;0,O447-(TBIcalc!$Q$9),""),"")</f>
        <v/>
      </c>
      <c r="Q447" s="278" t="str">
        <f>IFERROR(INDEX('Ashed teabags dry'!$K$2:$K$825,MATCH(J447,'Ashed teabags dry'!$A$2:$A$825,0)),"")</f>
        <v/>
      </c>
      <c r="R447" s="278" t="str">
        <f t="shared" si="32"/>
        <v/>
      </c>
      <c r="S447" s="268">
        <f>'Dry_Litterbag Placem_Collection'!E8</f>
        <v>42938</v>
      </c>
      <c r="T447" s="268">
        <f>IF('Dry_Litterbag Placem_Collection'!G8="","",'Dry_Litterbag Placem_Collection'!G8)</f>
        <v>43007</v>
      </c>
      <c r="U447" s="269">
        <f t="shared" si="30"/>
        <v>69</v>
      </c>
      <c r="V447" s="267" t="str">
        <f t="shared" si="33"/>
        <v/>
      </c>
      <c r="W447" s="267" t="str">
        <f t="shared" si="34"/>
        <v/>
      </c>
      <c r="X447" s="271">
        <f>IFERROR(INDEX(Rainfall_Dry!$O$2:$O$217,MATCH(B447, Rainfall_Dry!$A$2:$A$217,0)),"")</f>
        <v>6.900000125</v>
      </c>
      <c r="Y447" s="260">
        <v>12.565665055683967</v>
      </c>
      <c r="Z447" s="260">
        <v>0.9665896196679955</v>
      </c>
      <c r="AA447" s="260">
        <v>86.467745324648035</v>
      </c>
      <c r="AB447" s="261" t="s">
        <v>2672</v>
      </c>
      <c r="AC447" s="260">
        <v>6.02257269590931</v>
      </c>
      <c r="AD447">
        <f>IF('WetLitterbags placem_collection'!AB8="","",'WetLitterbags placem_collection'!AB8)</f>
        <v>32.4</v>
      </c>
      <c r="AE447">
        <f>IF('WetLitterbags placem_collection'!Z8="","",'WetLitterbags placem_collection'!Z8)</f>
        <v>31</v>
      </c>
      <c r="AF447" s="24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71">
        <f>IFERROR(AVERAGE('Dry_Litterbag Placem_Collection'!N8,'Dry_Litterbag Placem_Collection'!Q8),"")</f>
        <v>26.6</v>
      </c>
      <c r="AJ447" s="270">
        <f>INDEX(Coordinates!$B$2:$B$197,MATCH(G447,Coordinates!$J$2:$J$197,0))</f>
        <v>-3.3977389800000002</v>
      </c>
      <c r="AK447" s="270">
        <f>INDEX(Coordinates!$C$2:$C$197,MATCH(G447,Coordinates!$J$2:$J$197,0))</f>
        <v>34.837501979999999</v>
      </c>
      <c r="AL447" s="270" t="str">
        <f>IF(ISNUMBER(SEARCH("C", 'Dry_Litterbag Placem_Collection'!U8)),"YES","NO")</f>
        <v>NO</v>
      </c>
      <c r="AM447" s="270" t="str">
        <f>IF(ISNUMBER(SEARCH("H", 'Dry_Litterbag Placem_Collection'!U8)),"YES","NO")</f>
        <v>NO</v>
      </c>
      <c r="AN447" s="270" t="str">
        <f>IF(ISNUMBER(SEARCH("R", 'Dry_Litterbag Placem_Collection'!U8)),"YES","NO")</f>
        <v>NO</v>
      </c>
    </row>
    <row r="448" spans="1:40" ht="15" customHeight="1">
      <c r="A448" s="262" t="s">
        <v>2659</v>
      </c>
      <c r="B448" s="263">
        <f>'Dry_Litterbag Placem_Collection'!A9</f>
        <v>7</v>
      </c>
      <c r="C448" s="263" t="str">
        <f>'Dry_Litterbag Placem_Collection'!B9</f>
        <v>Makao</v>
      </c>
      <c r="D448" s="263" t="s">
        <v>2659</v>
      </c>
      <c r="E448" s="263" t="s">
        <v>2660</v>
      </c>
      <c r="F448" s="263">
        <v>1</v>
      </c>
      <c r="G448" s="264" t="str">
        <f>'Dry_Litterbag Placem_Collection'!C9</f>
        <v>Dry_Ag1_T7</v>
      </c>
      <c r="H448" s="273" t="s">
        <v>3651</v>
      </c>
      <c r="I448" s="266" t="s">
        <v>1147</v>
      </c>
      <c r="J448" s="263" t="str">
        <f>IF(ISBLANK('Dry_Litterbag Placem_Collection'!L9),"","G"&amp;""&amp;'Dry_Litterbag Placem_Collection'!L9)</f>
        <v>G776</v>
      </c>
      <c r="K448" s="267">
        <f>IFERROR(INDEX('Green_rooibos initial weight'!$C$5:$C$1749,MATCH(J448, 'Green_rooibos initial weight'!$A$5:$A$1749,0)),"")</f>
        <v>1.9790000000000001</v>
      </c>
      <c r="L448" s="267">
        <f>IFERROR(K448-(TBIcalc!$Q$9+TBIcalc!$Q$10),"")</f>
        <v>1.7292000000000001</v>
      </c>
      <c r="M448" s="391">
        <f>AVERAGE(Ashed_controlls!$K$2:$K$11)</f>
        <v>5.5147656768714146</v>
      </c>
      <c r="N448" s="267">
        <f t="shared" si="31"/>
        <v>1.6338386719155396</v>
      </c>
      <c r="O448" s="267">
        <f>IF(IFERROR(INDEX('Both teabags AfterDry'!$D$3:$D$900,MATCH(J448,'Both teabags AfterDry'!$A$3:$A$900,0)),"")="","",(IFERROR(INDEX('Both teabags AfterDry'!$D$3:$D$900,MATCH(J448,'Both teabags AfterDry'!$A$3:$A$900,0)),"")))</f>
        <v>1.8093999999999999</v>
      </c>
      <c r="P448" s="267">
        <f>IFERROR(IF(O448&gt;0,O448-(TBIcalc!$Q$9),""),"")</f>
        <v>1.6587999999999998</v>
      </c>
      <c r="Q448" s="278">
        <f>IFERROR(INDEX('Ashed teabags dry'!$K$2:$K$825,MATCH(J448,'Ashed teabags dry'!$A$2:$A$825,0)),"")</f>
        <v>5.924510272335799</v>
      </c>
      <c r="R448" s="278">
        <f t="shared" si="32"/>
        <v>1.5605242236024937</v>
      </c>
      <c r="S448" s="268">
        <f>'Dry_Litterbag Placem_Collection'!E9</f>
        <v>42938</v>
      </c>
      <c r="T448" s="268">
        <f>IF('Dry_Litterbag Placem_Collection'!G9="","",'Dry_Litterbag Placem_Collection'!G9)</f>
        <v>43007</v>
      </c>
      <c r="U448" s="269">
        <f t="shared" si="30"/>
        <v>69</v>
      </c>
      <c r="V448" s="267">
        <f t="shared" si="33"/>
        <v>7.040000000000024E-2</v>
      </c>
      <c r="W448" s="267">
        <f t="shared" si="34"/>
        <v>7.3314448313045899E-2</v>
      </c>
      <c r="X448" s="271">
        <f>IFERROR(INDEX(Rainfall_Dry!$O$2:$O$217,MATCH(B448, Rainfall_Dry!$A$2:$A$217,0)),"")</f>
        <v>6.900000125</v>
      </c>
      <c r="Y448" s="260">
        <v>12.565665055683967</v>
      </c>
      <c r="Z448" s="260">
        <v>0.9665896196679955</v>
      </c>
      <c r="AA448" s="260">
        <v>86.467745324648035</v>
      </c>
      <c r="AB448" s="261" t="s">
        <v>2672</v>
      </c>
      <c r="AC448" s="260">
        <v>7.02257269590931</v>
      </c>
      <c r="AD448">
        <f>IF('WetLitterbags placem_collection'!AB9="","",'WetLitterbags placem_collection'!AB9)</f>
        <v>36</v>
      </c>
      <c r="AE448">
        <f>IF('WetLitterbags placem_collection'!Z9="","",'WetLitterbags placem_collection'!Z9)</f>
        <v>43.4</v>
      </c>
      <c r="AF448" s="24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71">
        <f>IFERROR(AVERAGE('Dry_Litterbag Placem_Collection'!N9,'Dry_Litterbag Placem_Collection'!Q9),"")</f>
        <v>24.75</v>
      </c>
      <c r="AJ448" s="270">
        <f>INDEX(Coordinates!$B$2:$B$197,MATCH(G448,Coordinates!$J$2:$J$197,0))</f>
        <v>-3.3977630360000002</v>
      </c>
      <c r="AK448" s="270">
        <f>INDEX(Coordinates!$C$2:$C$197,MATCH(G448,Coordinates!$J$2:$J$197,0))</f>
        <v>34.837600969999997</v>
      </c>
      <c r="AL448" s="270" t="str">
        <f>IF(ISNUMBER(SEARCH("C", 'Dry_Litterbag Placem_Collection'!U9)),"YES","NO")</f>
        <v>NO</v>
      </c>
      <c r="AM448" s="270" t="str">
        <f>IF(ISNUMBER(SEARCH("H", 'Dry_Litterbag Placem_Collection'!U9)),"YES","NO")</f>
        <v>NO</v>
      </c>
      <c r="AN448" s="270" t="str">
        <f>IF(ISNUMBER(SEARCH("R", 'Dry_Litterbag Placem_Collection'!U9)),"YES","NO")</f>
        <v>NO</v>
      </c>
    </row>
    <row r="449" spans="1:40" ht="15" customHeight="1">
      <c r="A449" s="262" t="s">
        <v>2659</v>
      </c>
      <c r="B449" s="263">
        <f>'Dry_Litterbag Placem_Collection'!A10</f>
        <v>8</v>
      </c>
      <c r="C449" s="263" t="str">
        <f>'Dry_Litterbag Placem_Collection'!B10</f>
        <v>Makao</v>
      </c>
      <c r="D449" s="263" t="s">
        <v>2659</v>
      </c>
      <c r="E449" s="263" t="s">
        <v>2660</v>
      </c>
      <c r="F449" s="263">
        <v>1</v>
      </c>
      <c r="G449" s="264" t="str">
        <f>'Dry_Litterbag Placem_Collection'!C10</f>
        <v>Dry_Ag1_T8</v>
      </c>
      <c r="H449" s="273" t="s">
        <v>3651</v>
      </c>
      <c r="I449" s="266" t="s">
        <v>1147</v>
      </c>
      <c r="J449" s="263" t="str">
        <f>IF(ISBLANK('Dry_Litterbag Placem_Collection'!L10),"","G"&amp;""&amp;'Dry_Litterbag Placem_Collection'!L10)</f>
        <v>G23</v>
      </c>
      <c r="K449" s="267">
        <f>IFERROR(INDEX('Green_rooibos initial weight'!$C$5:$C$1749,MATCH(J449, 'Green_rooibos initial weight'!$A$5:$A$1749,0)),"")</f>
        <v>2.0750000000000002</v>
      </c>
      <c r="L449" s="267">
        <f>IFERROR(K449-(TBIcalc!$Q$9+TBIcalc!$Q$10),"")</f>
        <v>1.8252000000000002</v>
      </c>
      <c r="M449" s="391">
        <f>AVERAGE(Ashed_controlls!$K$2:$K$11)</f>
        <v>5.5147656768714146</v>
      </c>
      <c r="N449" s="267">
        <f t="shared" si="31"/>
        <v>1.7245444968657431</v>
      </c>
      <c r="O449" s="267">
        <f>IF(IFERROR(INDEX('Both teabags AfterDry'!$D$3:$D$900,MATCH(J449,'Both teabags AfterDry'!$A$3:$A$900,0)),"")="","",(IFERROR(INDEX('Both teabags AfterDry'!$D$3:$D$900,MATCH(J449,'Both teabags AfterDry'!$A$3:$A$900,0)),"")))</f>
        <v>0.94159999999999999</v>
      </c>
      <c r="P449" s="267">
        <f>IFERROR(IF(O449&gt;0,O449-(TBIcalc!$Q$9),""),"")</f>
        <v>0.79099999999999993</v>
      </c>
      <c r="Q449" s="278">
        <f>IFERROR(INDEX('Ashed teabags dry'!$K$2:$K$825,MATCH(J449,'Ashed teabags dry'!$A$2:$A$825,0)),"")</f>
        <v>19.020979020979762</v>
      </c>
      <c r="R449" s="278">
        <f t="shared" si="32"/>
        <v>0.64054405594405006</v>
      </c>
      <c r="S449" s="268">
        <f>'Dry_Litterbag Placem_Collection'!E10</f>
        <v>42938</v>
      </c>
      <c r="T449" s="268">
        <f>IF('Dry_Litterbag Placem_Collection'!G10="","",'Dry_Litterbag Placem_Collection'!G10)</f>
        <v>43007</v>
      </c>
      <c r="U449" s="269">
        <f t="shared" si="30"/>
        <v>69</v>
      </c>
      <c r="V449" s="267">
        <f t="shared" si="33"/>
        <v>1.0342000000000002</v>
      </c>
      <c r="W449" s="267">
        <f t="shared" si="34"/>
        <v>1.084000440921693</v>
      </c>
      <c r="X449" s="271">
        <f>IFERROR(INDEX(Rainfall_Dry!$O$2:$O$217,MATCH(B449, Rainfall_Dry!$A$2:$A$217,0)),"")</f>
        <v>6.900000125</v>
      </c>
      <c r="Y449" s="260">
        <v>12.565665055683967</v>
      </c>
      <c r="Z449" s="260">
        <v>0.9665896196679955</v>
      </c>
      <c r="AA449" s="260">
        <v>86.467745324648035</v>
      </c>
      <c r="AB449" s="261" t="s">
        <v>2672</v>
      </c>
      <c r="AC449" s="260">
        <v>8.0225726959093109</v>
      </c>
      <c r="AD449">
        <f>IF('WetLitterbags placem_collection'!AB10="","",'WetLitterbags placem_collection'!AB10)</f>
        <v>36</v>
      </c>
      <c r="AE449">
        <f>IF('WetLitterbags placem_collection'!Z10="","",'WetLitterbags placem_collection'!Z10)</f>
        <v>38.4</v>
      </c>
      <c r="AF449" s="24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71">
        <f>IFERROR(AVERAGE('Dry_Litterbag Placem_Collection'!N10,'Dry_Litterbag Placem_Collection'!Q10),"")</f>
        <v>26</v>
      </c>
      <c r="AJ449" s="270">
        <f>INDEX(Coordinates!$B$2:$B$197,MATCH(G449,Coordinates!$J$2:$J$197,0))</f>
        <v>-3.3977320230000001</v>
      </c>
      <c r="AK449" s="270">
        <f>INDEX(Coordinates!$C$2:$C$197,MATCH(G449,Coordinates!$J$2:$J$197,0))</f>
        <v>34.837561989999998</v>
      </c>
      <c r="AL449" s="270" t="str">
        <f>IF(ISNUMBER(SEARCH("C", 'Dry_Litterbag Placem_Collection'!U10)),"YES","NO")</f>
        <v>NO</v>
      </c>
      <c r="AM449" s="270" t="str">
        <f>IF(ISNUMBER(SEARCH("H", 'Dry_Litterbag Placem_Collection'!U10)),"YES","NO")</f>
        <v>NO</v>
      </c>
      <c r="AN449" s="270" t="str">
        <f>IF(ISNUMBER(SEARCH("R", 'Dry_Litterbag Placem_Collection'!U10)),"YES","NO")</f>
        <v>YES</v>
      </c>
    </row>
    <row r="450" spans="1:40" ht="15" customHeight="1">
      <c r="A450" s="262" t="s">
        <v>2659</v>
      </c>
      <c r="B450" s="263">
        <f>'Dry_Litterbag Placem_Collection'!A11</f>
        <v>9</v>
      </c>
      <c r="C450" s="263" t="str">
        <f>'Dry_Litterbag Placem_Collection'!B11</f>
        <v>Makao</v>
      </c>
      <c r="D450" s="263" t="s">
        <v>2659</v>
      </c>
      <c r="E450" s="263" t="s">
        <v>2660</v>
      </c>
      <c r="F450" s="263">
        <v>2</v>
      </c>
      <c r="G450" s="264" t="str">
        <f>'Dry_Litterbag Placem_Collection'!C11</f>
        <v>Dry_Ag2_T1</v>
      </c>
      <c r="H450" s="273" t="s">
        <v>3651</v>
      </c>
      <c r="I450" s="266" t="s">
        <v>1147</v>
      </c>
      <c r="J450" s="263" t="str">
        <f>IF(ISBLANK('Dry_Litterbag Placem_Collection'!L11),"","G"&amp;""&amp;'Dry_Litterbag Placem_Collection'!L11)</f>
        <v>G570</v>
      </c>
      <c r="K450" s="267">
        <f>IFERROR(INDEX('Green_rooibos initial weight'!$C$5:$C$1749,MATCH(J450, 'Green_rooibos initial weight'!$A$5:$A$1749,0)),"")</f>
        <v>2.1040000000000001</v>
      </c>
      <c r="L450" s="267">
        <f>IFERROR(K450-(TBIcalc!$Q$9+TBIcalc!$Q$10),"")</f>
        <v>1.8542000000000001</v>
      </c>
      <c r="M450" s="391">
        <f>AVERAGE(Ashed_controlls!$K$2:$K$11)</f>
        <v>5.5147656768714146</v>
      </c>
      <c r="N450" s="267">
        <f t="shared" si="31"/>
        <v>1.7519452148194503</v>
      </c>
      <c r="O450" s="267">
        <f>IF(IFERROR(INDEX('Both teabags AfterDry'!$D$3:$D$900,MATCH(J450,'Both teabags AfterDry'!$A$3:$A$900,0)),"")="","",(IFERROR(INDEX('Both teabags AfterDry'!$D$3:$D$900,MATCH(J450,'Both teabags AfterDry'!$A$3:$A$900,0)),"")))</f>
        <v>1.9100999999999999</v>
      </c>
      <c r="P450" s="267">
        <f>IFERROR(IF(O450&gt;0,O450-(TBIcalc!$Q$9),""),"")</f>
        <v>1.7594999999999998</v>
      </c>
      <c r="Q450" s="278">
        <f>IFERROR(INDEX('Ashed teabags dry'!$K$2:$K$825,MATCH(J450,'Ashed teabags dry'!$A$2:$A$825,0)),"")</f>
        <v>5.923344947734277</v>
      </c>
      <c r="R450" s="278">
        <f t="shared" si="32"/>
        <v>1.6552787456446152</v>
      </c>
      <c r="S450" s="268">
        <f>'Dry_Litterbag Placem_Collection'!E11</f>
        <v>42938</v>
      </c>
      <c r="T450" s="268">
        <f>IF('Dry_Litterbag Placem_Collection'!G11="","",'Dry_Litterbag Placem_Collection'!G11)</f>
        <v>43007</v>
      </c>
      <c r="U450" s="269">
        <f t="shared" ref="U450:U513" si="35">IFERROR(T450-S450,"")</f>
        <v>69</v>
      </c>
      <c r="V450" s="267">
        <f t="shared" si="33"/>
        <v>9.4700000000000228E-2</v>
      </c>
      <c r="W450" s="267">
        <f t="shared" si="34"/>
        <v>9.6666469174835123E-2</v>
      </c>
      <c r="X450" s="271">
        <f>IFERROR(INDEX(Rainfall_Dry!$O$2:$O$217,MATCH(B450, Rainfall_Dry!$A$2:$A$217,0)),"")</f>
        <v>6.900000125</v>
      </c>
      <c r="Y450" s="260">
        <v>21.13063730679653</v>
      </c>
      <c r="Z450" s="260">
        <v>3.0912555579081076</v>
      </c>
      <c r="AA450" s="260">
        <v>75.778107135295357</v>
      </c>
      <c r="AB450" s="261" t="s">
        <v>2670</v>
      </c>
      <c r="AC450" s="260">
        <v>0.46131099063578063</v>
      </c>
      <c r="AD450">
        <f>IF('WetLitterbags placem_collection'!AB11="","",'WetLitterbags placem_collection'!AB11)</f>
        <v>10.8</v>
      </c>
      <c r="AE450">
        <f>IF('WetLitterbags placem_collection'!Z11="","",'WetLitterbags placem_collection'!Z11)</f>
        <v>28.4</v>
      </c>
      <c r="AF450" s="24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71">
        <f>IFERROR(AVERAGE('Dry_Litterbag Placem_Collection'!N11,'Dry_Litterbag Placem_Collection'!Q11),"")</f>
        <v>26.15</v>
      </c>
      <c r="AJ450" s="270">
        <f>INDEX(Coordinates!$B$2:$B$197,MATCH(G450,Coordinates!$J$2:$J$197,0))</f>
        <v>-3.3978290019999999</v>
      </c>
      <c r="AK450" s="270">
        <f>INDEX(Coordinates!$C$2:$C$197,MATCH(G450,Coordinates!$J$2:$J$197,0))</f>
        <v>34.837011969999999</v>
      </c>
      <c r="AL450" s="270" t="str">
        <f>IF(ISNUMBER(SEARCH("C", 'Dry_Litterbag Placem_Collection'!U11)),"YES","NO")</f>
        <v>NO</v>
      </c>
      <c r="AM450" s="270" t="str">
        <f>IF(ISNUMBER(SEARCH("H", 'Dry_Litterbag Placem_Collection'!U11)),"YES","NO")</f>
        <v>NO</v>
      </c>
      <c r="AN450" s="270" t="str">
        <f>IF(ISNUMBER(SEARCH("R", 'Dry_Litterbag Placem_Collection'!U11)),"YES","NO")</f>
        <v>NO</v>
      </c>
    </row>
    <row r="451" spans="1:40" ht="15" customHeight="1">
      <c r="A451" s="262" t="s">
        <v>2659</v>
      </c>
      <c r="B451" s="263">
        <f>'Dry_Litterbag Placem_Collection'!A12</f>
        <v>10</v>
      </c>
      <c r="C451" s="263" t="str">
        <f>'Dry_Litterbag Placem_Collection'!B12</f>
        <v>Makao</v>
      </c>
      <c r="D451" s="263" t="s">
        <v>2659</v>
      </c>
      <c r="E451" s="263" t="s">
        <v>2660</v>
      </c>
      <c r="F451" s="263">
        <v>2</v>
      </c>
      <c r="G451" s="264" t="str">
        <f>'Dry_Litterbag Placem_Collection'!C12</f>
        <v>Dry_Ag2_T2</v>
      </c>
      <c r="H451" s="273" t="s">
        <v>3651</v>
      </c>
      <c r="I451" s="266" t="s">
        <v>1147</v>
      </c>
      <c r="J451" s="263" t="str">
        <f>IF(ISBLANK('Dry_Litterbag Placem_Collection'!L12),"","G"&amp;""&amp;'Dry_Litterbag Placem_Collection'!L12)</f>
        <v>G642</v>
      </c>
      <c r="K451" s="267">
        <f>IFERROR(INDEX('Green_rooibos initial weight'!$C$5:$C$1749,MATCH(J451, 'Green_rooibos initial weight'!$A$5:$A$1749,0)),"")</f>
        <v>2.1269999999999998</v>
      </c>
      <c r="L451" s="267">
        <f>IFERROR(K451-(TBIcalc!$Q$9+TBIcalc!$Q$10),"")</f>
        <v>1.8771999999999998</v>
      </c>
      <c r="M451" s="391">
        <f>AVERAGE(Ashed_controlls!$K$2:$K$11)</f>
        <v>5.5147656768714146</v>
      </c>
      <c r="N451" s="267">
        <f t="shared" ref="N451:N514" si="36">IFERROR(L451-(M451/100)*L451,"")</f>
        <v>1.7736768187137695</v>
      </c>
      <c r="O451" s="267" t="str">
        <f>IF(IFERROR(INDEX('Both teabags AfterDry'!$D$3:$D$900,MATCH(J451,'Both teabags AfterDry'!$A$3:$A$900,0)),"")="","",(IFERROR(INDEX('Both teabags AfterDry'!$D$3:$D$900,MATCH(J451,'Both teabags AfterDry'!$A$3:$A$900,0)),"")))</f>
        <v/>
      </c>
      <c r="P451" s="267" t="str">
        <f>IFERROR(IF(O451&gt;0,O451-(TBIcalc!$Q$9),""),"")</f>
        <v/>
      </c>
      <c r="Q451" s="278" t="str">
        <f>IFERROR(INDEX('Ashed teabags dry'!$K$2:$K$825,MATCH(J451,'Ashed teabags dry'!$A$2:$A$825,0)),"")</f>
        <v/>
      </c>
      <c r="R451" s="278" t="str">
        <f t="shared" ref="R451:R514" si="37">IFERROR(P451-(Q451/100)*P451,"")</f>
        <v/>
      </c>
      <c r="S451" s="268">
        <f>'Dry_Litterbag Placem_Collection'!E12</f>
        <v>42938</v>
      </c>
      <c r="T451" s="268" t="str">
        <f>IF('Dry_Litterbag Placem_Collection'!G12="","",'Dry_Litterbag Placem_Collection'!G12)</f>
        <v/>
      </c>
      <c r="U451" s="269" t="str">
        <f t="shared" si="35"/>
        <v/>
      </c>
      <c r="V451" s="267" t="str">
        <f t="shared" ref="V451:V514" si="38">IFERROR(L451-P451,"")</f>
        <v/>
      </c>
      <c r="W451" s="267" t="str">
        <f t="shared" ref="W451:W514" si="39">IFERROR(N451-R451,"")</f>
        <v/>
      </c>
      <c r="X451" s="271" t="str">
        <f>IFERROR(INDEX(Rainfall_Dry!$O$2:$O$217,MATCH(B451, Rainfall_Dry!$A$2:$A$217,0)),"")</f>
        <v/>
      </c>
      <c r="Y451" s="260">
        <v>21.13063730679653</v>
      </c>
      <c r="Z451" s="260">
        <v>3.0912555579081076</v>
      </c>
      <c r="AA451" s="260">
        <v>75.778107135295357</v>
      </c>
      <c r="AB451" s="261" t="s">
        <v>2670</v>
      </c>
      <c r="AC451" s="260">
        <v>1.46131099063578</v>
      </c>
      <c r="AD451">
        <f>IF('WetLitterbags placem_collection'!AB12="","",'WetLitterbags placem_collection'!AB12)</f>
        <v>16.8</v>
      </c>
      <c r="AE451">
        <f>IF('WetLitterbags placem_collection'!Z12="","",'WetLitterbags placem_collection'!Z12)</f>
        <v>30</v>
      </c>
      <c r="AF451" s="24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71">
        <f>IFERROR(AVERAGE('Dry_Litterbag Placem_Collection'!N12,'Dry_Litterbag Placem_Collection'!Q12),"")</f>
        <v>26.1</v>
      </c>
      <c r="AJ451" s="270">
        <f>INDEX(Coordinates!$B$2:$B$197,MATCH(G451,Coordinates!$J$2:$J$197,0))</f>
        <v>-3.3978119869999999</v>
      </c>
      <c r="AK451" s="270">
        <f>INDEX(Coordinates!$C$2:$C$197,MATCH(G451,Coordinates!$J$2:$J$197,0))</f>
        <v>34.836968980000002</v>
      </c>
      <c r="AL451" s="270" t="str">
        <f>IF(ISNUMBER(SEARCH("C", 'Dry_Litterbag Placem_Collection'!U12)),"YES","NO")</f>
        <v>NO</v>
      </c>
      <c r="AM451" s="270" t="str">
        <f>IF(ISNUMBER(SEARCH("H", 'Dry_Litterbag Placem_Collection'!U12)),"YES","NO")</f>
        <v>NO</v>
      </c>
      <c r="AN451" s="270" t="str">
        <f>IF(ISNUMBER(SEARCH("R", 'Dry_Litterbag Placem_Collection'!U12)),"YES","NO")</f>
        <v>NO</v>
      </c>
    </row>
    <row r="452" spans="1:40" ht="15" customHeight="1">
      <c r="A452" s="262" t="s">
        <v>2659</v>
      </c>
      <c r="B452" s="263">
        <f>'Dry_Litterbag Placem_Collection'!A13</f>
        <v>11</v>
      </c>
      <c r="C452" s="263" t="str">
        <f>'Dry_Litterbag Placem_Collection'!B13</f>
        <v>Makao</v>
      </c>
      <c r="D452" s="263" t="s">
        <v>2659</v>
      </c>
      <c r="E452" s="263" t="s">
        <v>2660</v>
      </c>
      <c r="F452" s="263">
        <v>2</v>
      </c>
      <c r="G452" s="264" t="str">
        <f>'Dry_Litterbag Placem_Collection'!C13</f>
        <v>Dry_Ag2_T3</v>
      </c>
      <c r="H452" s="273" t="s">
        <v>3651</v>
      </c>
      <c r="I452" s="266" t="s">
        <v>1147</v>
      </c>
      <c r="J452" s="263" t="str">
        <f>IF(ISBLANK('Dry_Litterbag Placem_Collection'!L13),"","G"&amp;""&amp;'Dry_Litterbag Placem_Collection'!L13)</f>
        <v>G663</v>
      </c>
      <c r="K452" s="267">
        <f>IFERROR(INDEX('Green_rooibos initial weight'!$C$5:$C$1749,MATCH(J452, 'Green_rooibos initial weight'!$A$5:$A$1749,0)),"")</f>
        <v>2.0760000000000001</v>
      </c>
      <c r="L452" s="267">
        <f>IFERROR(K452-(TBIcalc!$Q$9+TBIcalc!$Q$10),"")</f>
        <v>1.8262</v>
      </c>
      <c r="M452" s="391">
        <f>AVERAGE(Ashed_controlls!$K$2:$K$11)</f>
        <v>5.5147656768714146</v>
      </c>
      <c r="N452" s="267">
        <f t="shared" si="36"/>
        <v>1.7254893492089742</v>
      </c>
      <c r="O452" s="267">
        <f>IF(IFERROR(INDEX('Both teabags AfterDry'!$D$3:$D$900,MATCH(J452,'Both teabags AfterDry'!$A$3:$A$900,0)),"")="","",(IFERROR(INDEX('Both teabags AfterDry'!$D$3:$D$900,MATCH(J452,'Both teabags AfterDry'!$A$3:$A$900,0)),"")))</f>
        <v>1.6718</v>
      </c>
      <c r="P452" s="267">
        <f>IFERROR(IF(O452&gt;0,O452-(TBIcalc!$Q$9),""),"")</f>
        <v>1.5211999999999999</v>
      </c>
      <c r="Q452" s="278">
        <f>IFERROR(INDEX('Ashed teabags dry'!$K$2:$K$825,MATCH(J452,'Ashed teabags dry'!$A$2:$A$825,0)),"")</f>
        <v>7.9058031959628696</v>
      </c>
      <c r="R452" s="278">
        <f t="shared" si="37"/>
        <v>1.4009369217830128</v>
      </c>
      <c r="S452" s="268">
        <f>'Dry_Litterbag Placem_Collection'!E13</f>
        <v>42938</v>
      </c>
      <c r="T452" s="268">
        <f>IF('Dry_Litterbag Placem_Collection'!G13="","",'Dry_Litterbag Placem_Collection'!G13)</f>
        <v>43007</v>
      </c>
      <c r="U452" s="269">
        <f t="shared" si="35"/>
        <v>69</v>
      </c>
      <c r="V452" s="267">
        <f t="shared" si="38"/>
        <v>0.30500000000000016</v>
      </c>
      <c r="W452" s="267">
        <f t="shared" si="39"/>
        <v>0.32455242742596146</v>
      </c>
      <c r="X452" s="271">
        <f>IFERROR(INDEX(Rainfall_Dry!$O$2:$O$217,MATCH(B452, Rainfall_Dry!$A$2:$A$217,0)),"")</f>
        <v>6.900000125</v>
      </c>
      <c r="Y452" s="260">
        <v>21.13063730679653</v>
      </c>
      <c r="Z452" s="260">
        <v>3.0912555579081076</v>
      </c>
      <c r="AA452" s="260">
        <v>75.778107135295357</v>
      </c>
      <c r="AB452" s="261" t="s">
        <v>2670</v>
      </c>
      <c r="AC452" s="260">
        <v>2.4613109906357802</v>
      </c>
      <c r="AD452">
        <f>IF('WetLitterbags placem_collection'!AB13="","",'WetLitterbags placem_collection'!AB13)</f>
        <v>11.4</v>
      </c>
      <c r="AE452">
        <f>IF('WetLitterbags placem_collection'!Z13="","",'WetLitterbags placem_collection'!Z13)</f>
        <v>24.4</v>
      </c>
      <c r="AF452" s="24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71">
        <f>IFERROR(AVERAGE('Dry_Litterbag Placem_Collection'!N13,'Dry_Litterbag Placem_Collection'!Q13),"")</f>
        <v>26.450000000000003</v>
      </c>
      <c r="AJ452" s="270">
        <f>INDEX(Coordinates!$B$2:$B$197,MATCH(G452,Coordinates!$J$2:$J$197,0))</f>
        <v>-3.3977929599999999</v>
      </c>
      <c r="AK452" s="270">
        <f>INDEX(Coordinates!$C$2:$C$197,MATCH(G452,Coordinates!$J$2:$J$197,0))</f>
        <v>34.837102999999999</v>
      </c>
      <c r="AL452" s="270" t="str">
        <f>IF(ISNUMBER(SEARCH("C", 'Dry_Litterbag Placem_Collection'!U13)),"YES","NO")</f>
        <v>NO</v>
      </c>
      <c r="AM452" s="270" t="str">
        <f>IF(ISNUMBER(SEARCH("H", 'Dry_Litterbag Placem_Collection'!U13)),"YES","NO")</f>
        <v>NO</v>
      </c>
      <c r="AN452" s="270" t="str">
        <f>IF(ISNUMBER(SEARCH("R", 'Dry_Litterbag Placem_Collection'!U13)),"YES","NO")</f>
        <v>NO</v>
      </c>
    </row>
    <row r="453" spans="1:40" ht="15" customHeight="1">
      <c r="A453" s="262" t="s">
        <v>2659</v>
      </c>
      <c r="B453" s="263">
        <f>'Dry_Litterbag Placem_Collection'!A14</f>
        <v>12</v>
      </c>
      <c r="C453" s="263" t="str">
        <f>'Dry_Litterbag Placem_Collection'!B14</f>
        <v>Makao</v>
      </c>
      <c r="D453" s="263" t="s">
        <v>2659</v>
      </c>
      <c r="E453" s="263" t="s">
        <v>2660</v>
      </c>
      <c r="F453" s="263">
        <v>2</v>
      </c>
      <c r="G453" s="264" t="str">
        <f>'Dry_Litterbag Placem_Collection'!C14</f>
        <v>Dry_Ag2_T4</v>
      </c>
      <c r="H453" s="273" t="s">
        <v>3651</v>
      </c>
      <c r="I453" s="266" t="s">
        <v>1147</v>
      </c>
      <c r="J453" s="263" t="str">
        <f>IF(ISBLANK('Dry_Litterbag Placem_Collection'!L14),"","G"&amp;""&amp;'Dry_Litterbag Placem_Collection'!L14)</f>
        <v/>
      </c>
      <c r="K453" s="267" t="str">
        <f>IFERROR(INDEX('Green_rooibos initial weight'!$C$5:$C$1749,MATCH(J453, 'Green_rooibos initial weight'!$A$5:$A$1749,0)),"")</f>
        <v/>
      </c>
      <c r="L453" s="267" t="str">
        <f>IFERROR(K453-(TBIcalc!$Q$9+TBIcalc!$Q$10),"")</f>
        <v/>
      </c>
      <c r="M453" s="391">
        <f>AVERAGE(Ashed_controlls!$K$2:$K$11)</f>
        <v>5.5147656768714146</v>
      </c>
      <c r="N453" s="267" t="str">
        <f t="shared" si="36"/>
        <v/>
      </c>
      <c r="O453" s="267" t="str">
        <f>IF(IFERROR(INDEX('Both teabags AfterDry'!$D$3:$D$900,MATCH(J453,'Both teabags AfterDry'!$A$3:$A$900,0)),"")="","",(IFERROR(INDEX('Both teabags AfterDry'!$D$3:$D$900,MATCH(J453,'Both teabags AfterDry'!$A$3:$A$900,0)),"")))</f>
        <v/>
      </c>
      <c r="P453" s="267" t="str">
        <f>IFERROR(IF(O453&gt;0,O453-(TBIcalc!$Q$9),""),"")</f>
        <v/>
      </c>
      <c r="Q453" s="278" t="str">
        <f>IFERROR(INDEX('Ashed teabags dry'!$K$2:$K$825,MATCH(J453,'Ashed teabags dry'!$A$2:$A$825,0)),"")</f>
        <v/>
      </c>
      <c r="R453" s="278" t="str">
        <f t="shared" si="37"/>
        <v/>
      </c>
      <c r="S453" s="268">
        <f>'Dry_Litterbag Placem_Collection'!E14</f>
        <v>0</v>
      </c>
      <c r="T453" s="268" t="str">
        <f>IF('Dry_Litterbag Placem_Collection'!G14="","",'Dry_Litterbag Placem_Collection'!G14)</f>
        <v/>
      </c>
      <c r="U453" s="269" t="str">
        <f t="shared" si="35"/>
        <v/>
      </c>
      <c r="V453" s="267" t="str">
        <f t="shared" si="38"/>
        <v/>
      </c>
      <c r="W453" s="267" t="str">
        <f t="shared" si="39"/>
        <v/>
      </c>
      <c r="X453" s="271" t="str">
        <f>IFERROR(INDEX(Rainfall_Dry!$O$2:$O$217,MATCH(B453, Rainfall_Dry!$A$2:$A$217,0)),"")</f>
        <v/>
      </c>
      <c r="Y453" s="260">
        <v>21.13063730679653</v>
      </c>
      <c r="Z453" s="260">
        <v>3.0912555579081076</v>
      </c>
      <c r="AA453" s="260">
        <v>75.778107135295357</v>
      </c>
      <c r="AB453" s="261" t="s">
        <v>2670</v>
      </c>
      <c r="AC453" s="260">
        <v>3.4613109906357802</v>
      </c>
      <c r="AD453" t="str">
        <f>IF('WetLitterbags placem_collection'!AB14="","",'WetLitterbags placem_collection'!AB14)</f>
        <v/>
      </c>
      <c r="AE453" t="str">
        <f>IF('WetLitterbags placem_collection'!Z14="","",'WetLitterbags placem_collection'!Z14)</f>
        <v/>
      </c>
      <c r="AF453" s="24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71" t="str">
        <f>IFERROR(AVERAGE('Dry_Litterbag Placem_Collection'!N14,'Dry_Litterbag Placem_Collection'!Q14),"")</f>
        <v/>
      </c>
      <c r="AJ453" s="270">
        <f>INDEX(Coordinates!$B$2:$B$197,MATCH(G453,Coordinates!$J$2:$J$197,0))</f>
        <v>-3.3979050260000001</v>
      </c>
      <c r="AK453" s="270">
        <f>INDEX(Coordinates!$C$2:$C$197,MATCH(G453,Coordinates!$J$2:$J$197,0))</f>
        <v>34.837123030000001</v>
      </c>
      <c r="AL453" s="270" t="str">
        <f>IF(ISNUMBER(SEARCH("C", 'Dry_Litterbag Placem_Collection'!U14)),"YES","NO")</f>
        <v>NO</v>
      </c>
      <c r="AM453" s="270" t="str">
        <f>IF(ISNUMBER(SEARCH("H", 'Dry_Litterbag Placem_Collection'!U14)),"YES","NO")</f>
        <v>NO</v>
      </c>
      <c r="AN453" s="270" t="str">
        <f>IF(ISNUMBER(SEARCH("R", 'Dry_Litterbag Placem_Collection'!U14)),"YES","NO")</f>
        <v>NO</v>
      </c>
    </row>
    <row r="454" spans="1:40" ht="15" customHeight="1">
      <c r="A454" s="262" t="s">
        <v>2659</v>
      </c>
      <c r="B454" s="263">
        <f>'Dry_Litterbag Placem_Collection'!A15</f>
        <v>13</v>
      </c>
      <c r="C454" s="263" t="str">
        <f>'Dry_Litterbag Placem_Collection'!B15</f>
        <v>Makao</v>
      </c>
      <c r="D454" s="263" t="s">
        <v>2659</v>
      </c>
      <c r="E454" s="263" t="s">
        <v>2660</v>
      </c>
      <c r="F454" s="263">
        <v>2</v>
      </c>
      <c r="G454" s="264" t="str">
        <f>'Dry_Litterbag Placem_Collection'!C15</f>
        <v>Dry_Ag2_T5</v>
      </c>
      <c r="H454" s="273" t="s">
        <v>3651</v>
      </c>
      <c r="I454" s="266" t="s">
        <v>1147</v>
      </c>
      <c r="J454" s="263" t="str">
        <f>IF(ISBLANK('Dry_Litterbag Placem_Collection'!L15),"","G"&amp;""&amp;'Dry_Litterbag Placem_Collection'!L15)</f>
        <v>G874</v>
      </c>
      <c r="K454" s="267">
        <f>IFERROR(INDEX('Green_rooibos initial weight'!$C$5:$C$1749,MATCH(J454, 'Green_rooibos initial weight'!$A$5:$A$1749,0)),"")</f>
        <v>2.032</v>
      </c>
      <c r="L454" s="267">
        <f>IFERROR(K454-(TBIcalc!$Q$9+TBIcalc!$Q$10),"")</f>
        <v>1.7822</v>
      </c>
      <c r="M454" s="391">
        <f>AVERAGE(Ashed_controlls!$K$2:$K$11)</f>
        <v>5.5147656768714146</v>
      </c>
      <c r="N454" s="267">
        <f t="shared" si="36"/>
        <v>1.6839158461067976</v>
      </c>
      <c r="O454" s="267">
        <f>IF(IFERROR(INDEX('Both teabags AfterDry'!$D$3:$D$900,MATCH(J454,'Both teabags AfterDry'!$A$3:$A$900,0)),"")="","",(IFERROR(INDEX('Both teabags AfterDry'!$D$3:$D$900,MATCH(J454,'Both teabags AfterDry'!$A$3:$A$900,0)),"")))</f>
        <v>1.361</v>
      </c>
      <c r="P454" s="267">
        <f>IFERROR(IF(O454&gt;0,O454-(TBIcalc!$Q$9),""),"")</f>
        <v>1.2103999999999999</v>
      </c>
      <c r="Q454" s="278">
        <f>IFERROR(INDEX('Ashed teabags dry'!$K$2:$K$825,MATCH(J454,'Ashed teabags dry'!$A$2:$A$825,0)),"")</f>
        <v>9.2644320297957403</v>
      </c>
      <c r="R454" s="278">
        <f t="shared" si="37"/>
        <v>1.0982633147113523</v>
      </c>
      <c r="S454" s="268">
        <f>'Dry_Litterbag Placem_Collection'!E15</f>
        <v>42938</v>
      </c>
      <c r="T454" s="268">
        <f>IF('Dry_Litterbag Placem_Collection'!G15="","",'Dry_Litterbag Placem_Collection'!G15)</f>
        <v>43007</v>
      </c>
      <c r="U454" s="269">
        <f t="shared" si="35"/>
        <v>69</v>
      </c>
      <c r="V454" s="267">
        <f t="shared" si="38"/>
        <v>0.57180000000000009</v>
      </c>
      <c r="W454" s="267">
        <f t="shared" si="39"/>
        <v>0.58565253139544526</v>
      </c>
      <c r="X454" s="271">
        <f>IFERROR(INDEX(Rainfall_Dry!$O$2:$O$217,MATCH(B454, Rainfall_Dry!$A$2:$A$217,0)),"")</f>
        <v>6.900000125</v>
      </c>
      <c r="Y454" s="260">
        <v>21.13063730679653</v>
      </c>
      <c r="Z454" s="260">
        <v>3.0912555579081076</v>
      </c>
      <c r="AA454" s="260">
        <v>75.778107135295357</v>
      </c>
      <c r="AB454" s="261" t="s">
        <v>2670</v>
      </c>
      <c r="AC454" s="260">
        <v>4.4613109906357797</v>
      </c>
      <c r="AD454">
        <f>IF('WetLitterbags placem_collection'!AB15="","",'WetLitterbags placem_collection'!AB15)</f>
        <v>11.4</v>
      </c>
      <c r="AE454">
        <f>IF('WetLitterbags placem_collection'!Z15="","",'WetLitterbags placem_collection'!Z15)</f>
        <v>31</v>
      </c>
      <c r="AF454" s="24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71">
        <f>IFERROR(AVERAGE('Dry_Litterbag Placem_Collection'!N15,'Dry_Litterbag Placem_Collection'!Q15),"")</f>
        <v>26.1</v>
      </c>
      <c r="AJ454" s="270">
        <f>INDEX(Coordinates!$B$2:$B$197,MATCH(G454,Coordinates!$J$2:$J$197,0))</f>
        <v>-3.3979040199999999</v>
      </c>
      <c r="AK454" s="270">
        <f>INDEX(Coordinates!$C$2:$C$197,MATCH(G454,Coordinates!$J$2:$J$197,0))</f>
        <v>34.837027980000002</v>
      </c>
      <c r="AL454" s="270" t="str">
        <f>IF(ISNUMBER(SEARCH("C", 'Dry_Litterbag Placem_Collection'!U15)),"YES","NO")</f>
        <v>NO</v>
      </c>
      <c r="AM454" s="270" t="str">
        <f>IF(ISNUMBER(SEARCH("H", 'Dry_Litterbag Placem_Collection'!U15)),"YES","NO")</f>
        <v>NO</v>
      </c>
      <c r="AN454" s="270" t="str">
        <f>IF(ISNUMBER(SEARCH("R", 'Dry_Litterbag Placem_Collection'!U15)),"YES","NO")</f>
        <v>NO</v>
      </c>
    </row>
    <row r="455" spans="1:40" ht="15" customHeight="1">
      <c r="A455" s="262" t="s">
        <v>2659</v>
      </c>
      <c r="B455" s="263">
        <f>'Dry_Litterbag Placem_Collection'!A16</f>
        <v>14</v>
      </c>
      <c r="C455" s="263" t="str">
        <f>'Dry_Litterbag Placem_Collection'!B16</f>
        <v>Makao</v>
      </c>
      <c r="D455" s="263" t="s">
        <v>2659</v>
      </c>
      <c r="E455" s="263" t="s">
        <v>2660</v>
      </c>
      <c r="F455" s="263">
        <v>2</v>
      </c>
      <c r="G455" s="264" t="str">
        <f>'Dry_Litterbag Placem_Collection'!C16</f>
        <v>Dry_Ag2_T6</v>
      </c>
      <c r="H455" s="273" t="s">
        <v>3651</v>
      </c>
      <c r="I455" s="266" t="s">
        <v>1147</v>
      </c>
      <c r="J455" s="263" t="str">
        <f>IF(ISBLANK('Dry_Litterbag Placem_Collection'!L16),"","G"&amp;""&amp;'Dry_Litterbag Placem_Collection'!L16)</f>
        <v>G219</v>
      </c>
      <c r="K455" s="267">
        <f>IFERROR(INDEX('Green_rooibos initial weight'!$C$5:$C$1749,MATCH(J455, 'Green_rooibos initial weight'!$A$5:$A$1749,0)),"")</f>
        <v>2.0110000000000001</v>
      </c>
      <c r="L455" s="267">
        <f>IFERROR(K455-(TBIcalc!$Q$9+TBIcalc!$Q$10),"")</f>
        <v>1.7612000000000001</v>
      </c>
      <c r="M455" s="391">
        <f>AVERAGE(Ashed_controlls!$K$2:$K$11)</f>
        <v>5.5147656768714146</v>
      </c>
      <c r="N455" s="267">
        <f t="shared" si="36"/>
        <v>1.6640739468989407</v>
      </c>
      <c r="O455" s="267">
        <f>IF(IFERROR(INDEX('Both teabags AfterDry'!$D$3:$D$900,MATCH(J455,'Both teabags AfterDry'!$A$3:$A$900,0)),"")="","",(IFERROR(INDEX('Both teabags AfterDry'!$D$3:$D$900,MATCH(J455,'Both teabags AfterDry'!$A$3:$A$900,0)),"")))</f>
        <v>0.76939999999999997</v>
      </c>
      <c r="P455" s="267">
        <f>IFERROR(IF(O455&gt;0,O455-(TBIcalc!$Q$9),""),"")</f>
        <v>0.61880000000000002</v>
      </c>
      <c r="Q455" s="278">
        <f>IFERROR(INDEX('Ashed teabags dry'!$K$2:$K$825,MATCH(J455,'Ashed teabags dry'!$A$2:$A$825,0)),"")</f>
        <v>15.956439393940133</v>
      </c>
      <c r="R455" s="278">
        <f t="shared" si="37"/>
        <v>0.52006155303029844</v>
      </c>
      <c r="S455" s="268">
        <f>'Dry_Litterbag Placem_Collection'!E16</f>
        <v>42938</v>
      </c>
      <c r="T455" s="268">
        <f>IF('Dry_Litterbag Placem_Collection'!G16="","",'Dry_Litterbag Placem_Collection'!G16)</f>
        <v>43007</v>
      </c>
      <c r="U455" s="269">
        <f t="shared" si="35"/>
        <v>69</v>
      </c>
      <c r="V455" s="267">
        <f t="shared" si="38"/>
        <v>1.1424000000000001</v>
      </c>
      <c r="W455" s="267">
        <f t="shared" si="39"/>
        <v>1.1440123938686422</v>
      </c>
      <c r="X455" s="271">
        <f>IFERROR(INDEX(Rainfall_Dry!$O$2:$O$217,MATCH(B455, Rainfall_Dry!$A$2:$A$217,0)),"")</f>
        <v>6.900000125</v>
      </c>
      <c r="Y455" s="260">
        <v>21.13063730679653</v>
      </c>
      <c r="Z455" s="260">
        <v>3.0912555579081076</v>
      </c>
      <c r="AA455" s="260">
        <v>75.778107135295357</v>
      </c>
      <c r="AB455" s="261" t="s">
        <v>2670</v>
      </c>
      <c r="AC455" s="260">
        <v>5.4613109906357797</v>
      </c>
      <c r="AD455">
        <f>IF('WetLitterbags placem_collection'!AB16="","",'WetLitterbags placem_collection'!AB16)</f>
        <v>28.4</v>
      </c>
      <c r="AE455">
        <f>IF('WetLitterbags placem_collection'!Z16="","",'WetLitterbags placem_collection'!Z16)</f>
        <v>42.4</v>
      </c>
      <c r="AF455" s="24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71">
        <f>IFERROR(AVERAGE('Dry_Litterbag Placem_Collection'!N16,'Dry_Litterbag Placem_Collection'!Q16),"")</f>
        <v>25.55</v>
      </c>
      <c r="AJ455" s="270">
        <f>INDEX(Coordinates!$B$2:$B$197,MATCH(G455,Coordinates!$J$2:$J$197,0))</f>
        <v>-3.397854986</v>
      </c>
      <c r="AK455" s="270">
        <f>INDEX(Coordinates!$C$2:$C$197,MATCH(G455,Coordinates!$J$2:$J$197,0))</f>
        <v>34.836874010000002</v>
      </c>
      <c r="AL455" s="270" t="str">
        <f>IF(ISNUMBER(SEARCH("C", 'Dry_Litterbag Placem_Collection'!U16)),"YES","NO")</f>
        <v>NO</v>
      </c>
      <c r="AM455" s="270" t="str">
        <f>IF(ISNUMBER(SEARCH("H", 'Dry_Litterbag Placem_Collection'!U16)),"YES","NO")</f>
        <v>NO</v>
      </c>
      <c r="AN455" s="270" t="str">
        <f>IF(ISNUMBER(SEARCH("R", 'Dry_Litterbag Placem_Collection'!U16)),"YES","NO")</f>
        <v>YES</v>
      </c>
    </row>
    <row r="456" spans="1:40" ht="15" customHeight="1">
      <c r="A456" s="262" t="s">
        <v>2659</v>
      </c>
      <c r="B456" s="263">
        <f>'Dry_Litterbag Placem_Collection'!A17</f>
        <v>15</v>
      </c>
      <c r="C456" s="263" t="str">
        <f>'Dry_Litterbag Placem_Collection'!B17</f>
        <v>Makao</v>
      </c>
      <c r="D456" s="263" t="s">
        <v>2659</v>
      </c>
      <c r="E456" s="263" t="s">
        <v>2660</v>
      </c>
      <c r="F456" s="263">
        <v>2</v>
      </c>
      <c r="G456" s="264" t="str">
        <f>'Dry_Litterbag Placem_Collection'!C17</f>
        <v>Dry_Ag2_T7</v>
      </c>
      <c r="H456" s="273" t="s">
        <v>3651</v>
      </c>
      <c r="I456" s="266" t="s">
        <v>1147</v>
      </c>
      <c r="J456" s="263" t="str">
        <f>IF(ISBLANK('Dry_Litterbag Placem_Collection'!L17),"","G"&amp;""&amp;'Dry_Litterbag Placem_Collection'!L17)</f>
        <v>G630</v>
      </c>
      <c r="K456" s="267">
        <f>IFERROR(INDEX('Green_rooibos initial weight'!$C$5:$C$1749,MATCH(J456, 'Green_rooibos initial weight'!$A$5:$A$1749,0)),"")</f>
        <v>2.12</v>
      </c>
      <c r="L456" s="267">
        <f>IFERROR(K456-(TBIcalc!$Q$9+TBIcalc!$Q$10),"")</f>
        <v>1.8702000000000001</v>
      </c>
      <c r="M456" s="391">
        <f>AVERAGE(Ashed_controlls!$K$2:$K$11)</f>
        <v>5.5147656768714146</v>
      </c>
      <c r="N456" s="267">
        <f t="shared" si="36"/>
        <v>1.7670628523111509</v>
      </c>
      <c r="O456" s="267">
        <f>IF(IFERROR(INDEX('Both teabags AfterDry'!$D$3:$D$900,MATCH(J456,'Both teabags AfterDry'!$A$3:$A$900,0)),"")="","",(IFERROR(INDEX('Both teabags AfterDry'!$D$3:$D$900,MATCH(J456,'Both teabags AfterDry'!$A$3:$A$900,0)),"")))</f>
        <v>1.8631</v>
      </c>
      <c r="P456" s="267">
        <f>IFERROR(IF(O456&gt;0,O456-(TBIcalc!$Q$9),""),"")</f>
        <v>1.7124999999999999</v>
      </c>
      <c r="Q456" s="278">
        <f>IFERROR(INDEX('Ashed teabags dry'!$K$2:$K$825,MATCH(J456,'Ashed teabags dry'!$A$2:$A$825,0)),"")</f>
        <v>6.134371957156727</v>
      </c>
      <c r="R456" s="278">
        <f t="shared" si="37"/>
        <v>1.607448880233691</v>
      </c>
      <c r="S456" s="268">
        <f>'Dry_Litterbag Placem_Collection'!E17</f>
        <v>42938</v>
      </c>
      <c r="T456" s="268">
        <f>IF('Dry_Litterbag Placem_Collection'!G17="","",'Dry_Litterbag Placem_Collection'!G17)</f>
        <v>43007</v>
      </c>
      <c r="U456" s="269">
        <f t="shared" si="35"/>
        <v>69</v>
      </c>
      <c r="V456" s="267">
        <f t="shared" si="38"/>
        <v>0.15770000000000017</v>
      </c>
      <c r="W456" s="267">
        <f t="shared" si="39"/>
        <v>0.15961397207745986</v>
      </c>
      <c r="X456" s="271">
        <f>IFERROR(INDEX(Rainfall_Dry!$O$2:$O$217,MATCH(B456, Rainfall_Dry!$A$2:$A$217,0)),"")</f>
        <v>6.900000125</v>
      </c>
      <c r="Y456" s="260">
        <v>21.13063730679653</v>
      </c>
      <c r="Z456" s="260">
        <v>3.0912555579081076</v>
      </c>
      <c r="AA456" s="260">
        <v>75.778107135295357</v>
      </c>
      <c r="AB456" s="261" t="s">
        <v>2670</v>
      </c>
      <c r="AC456" s="260">
        <v>6.4613109906357797</v>
      </c>
      <c r="AD456">
        <f>IF('WetLitterbags placem_collection'!AB17="","",'WetLitterbags placem_collection'!AB17)</f>
        <v>15.8</v>
      </c>
      <c r="AE456">
        <f>IF('WetLitterbags placem_collection'!Z17="","",'WetLitterbags placem_collection'!Z17)</f>
        <v>30.4</v>
      </c>
      <c r="AF456" s="24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71">
        <f>IFERROR(AVERAGE('Dry_Litterbag Placem_Collection'!N17,'Dry_Litterbag Placem_Collection'!Q17),"")</f>
        <v>28</v>
      </c>
      <c r="AJ456" s="270">
        <f>INDEX(Coordinates!$B$2:$B$197,MATCH(G456,Coordinates!$J$2:$J$197,0))</f>
        <v>-3.3978060349999999</v>
      </c>
      <c r="AK456" s="270">
        <f>INDEX(Coordinates!$C$2:$C$197,MATCH(G456,Coordinates!$J$2:$J$197,0))</f>
        <v>34.837023960000003</v>
      </c>
      <c r="AL456" s="270" t="str">
        <f>IF(ISNUMBER(SEARCH("C", 'Dry_Litterbag Placem_Collection'!U17)),"YES","NO")</f>
        <v>NO</v>
      </c>
      <c r="AM456" s="270" t="str">
        <f>IF(ISNUMBER(SEARCH("H", 'Dry_Litterbag Placem_Collection'!U17)),"YES","NO")</f>
        <v>NO</v>
      </c>
      <c r="AN456" s="270" t="str">
        <f>IF(ISNUMBER(SEARCH("R", 'Dry_Litterbag Placem_Collection'!U17)),"YES","NO")</f>
        <v>NO</v>
      </c>
    </row>
    <row r="457" spans="1:40" ht="15" customHeight="1">
      <c r="A457" s="262" t="s">
        <v>2659</v>
      </c>
      <c r="B457" s="263">
        <f>'Dry_Litterbag Placem_Collection'!A18</f>
        <v>16</v>
      </c>
      <c r="C457" s="263" t="str">
        <f>'Dry_Litterbag Placem_Collection'!B18</f>
        <v>Makao</v>
      </c>
      <c r="D457" s="263" t="s">
        <v>2659</v>
      </c>
      <c r="E457" s="263" t="s">
        <v>2660</v>
      </c>
      <c r="F457" s="263">
        <v>2</v>
      </c>
      <c r="G457" s="264" t="str">
        <f>'Dry_Litterbag Placem_Collection'!C18</f>
        <v>Dry_Ag2_T8</v>
      </c>
      <c r="H457" s="273" t="s">
        <v>3651</v>
      </c>
      <c r="I457" s="266" t="s">
        <v>1147</v>
      </c>
      <c r="J457" s="263" t="str">
        <f>IF(ISBLANK('Dry_Litterbag Placem_Collection'!L18),"","G"&amp;""&amp;'Dry_Litterbag Placem_Collection'!L18)</f>
        <v>G662</v>
      </c>
      <c r="K457" s="267">
        <f>IFERROR(INDEX('Green_rooibos initial weight'!$C$5:$C$1749,MATCH(J457, 'Green_rooibos initial weight'!$A$5:$A$1749,0)),"")</f>
        <v>2.1349999999999998</v>
      </c>
      <c r="L457" s="267">
        <f>IFERROR(K457-(TBIcalc!$Q$9+TBIcalc!$Q$10),"")</f>
        <v>1.8851999999999998</v>
      </c>
      <c r="M457" s="391">
        <f>AVERAGE(Ashed_controlls!$K$2:$K$11)</f>
        <v>5.5147656768714146</v>
      </c>
      <c r="N457" s="267">
        <f t="shared" si="36"/>
        <v>1.7812356374596199</v>
      </c>
      <c r="O457" s="267" t="str">
        <f>IF(IFERROR(INDEX('Both teabags AfterDry'!$D$3:$D$900,MATCH(J457,'Both teabags AfterDry'!$A$3:$A$900,0)),"")="","",(IFERROR(INDEX('Both teabags AfterDry'!$D$3:$D$900,MATCH(J457,'Both teabags AfterDry'!$A$3:$A$900,0)),"")))</f>
        <v/>
      </c>
      <c r="P457" s="267" t="str">
        <f>IFERROR(IF(O457&gt;0,O457-(TBIcalc!$Q$9),""),"")</f>
        <v/>
      </c>
      <c r="Q457" s="278" t="str">
        <f>IFERROR(INDEX('Ashed teabags dry'!$K$2:$K$825,MATCH(J457,'Ashed teabags dry'!$A$2:$A$825,0)),"")</f>
        <v/>
      </c>
      <c r="R457" s="278" t="str">
        <f t="shared" si="37"/>
        <v/>
      </c>
      <c r="S457" s="268">
        <f>'Dry_Litterbag Placem_Collection'!E18</f>
        <v>42938</v>
      </c>
      <c r="T457" s="268">
        <f>IF('Dry_Litterbag Placem_Collection'!G18="","",'Dry_Litterbag Placem_Collection'!G18)</f>
        <v>43007</v>
      </c>
      <c r="U457" s="269">
        <f t="shared" si="35"/>
        <v>69</v>
      </c>
      <c r="V457" s="267" t="str">
        <f t="shared" si="38"/>
        <v/>
      </c>
      <c r="W457" s="267" t="str">
        <f t="shared" si="39"/>
        <v/>
      </c>
      <c r="X457" s="271">
        <f>IFERROR(INDEX(Rainfall_Dry!$O$2:$O$217,MATCH(B457, Rainfall_Dry!$A$2:$A$217,0)),"")</f>
        <v>6.900000125</v>
      </c>
      <c r="Y457" s="260">
        <v>21.13063730679653</v>
      </c>
      <c r="Z457" s="260">
        <v>3.0912555579081076</v>
      </c>
      <c r="AA457" s="260">
        <v>75.778107135295357</v>
      </c>
      <c r="AB457" s="261" t="s">
        <v>2670</v>
      </c>
      <c r="AC457" s="260">
        <v>7.4613109906357797</v>
      </c>
      <c r="AD457">
        <f>IF('WetLitterbags placem_collection'!AB18="","",'WetLitterbags placem_collection'!AB18)</f>
        <v>8</v>
      </c>
      <c r="AE457">
        <f>IF('WetLitterbags placem_collection'!Z18="","",'WetLitterbags placem_collection'!Z18)</f>
        <v>12.4</v>
      </c>
      <c r="AF457" s="24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71">
        <f>IFERROR(AVERAGE('Dry_Litterbag Placem_Collection'!N18,'Dry_Litterbag Placem_Collection'!Q18),"")</f>
        <v>27.049999999999997</v>
      </c>
      <c r="AJ457" s="270">
        <f>INDEX(Coordinates!$B$2:$B$197,MATCH(G457,Coordinates!$J$2:$J$197,0))</f>
        <v>-3.3977669760000002</v>
      </c>
      <c r="AK457" s="270">
        <f>INDEX(Coordinates!$C$2:$C$197,MATCH(G457,Coordinates!$J$2:$J$197,0))</f>
        <v>34.837181039999997</v>
      </c>
      <c r="AL457" s="270" t="str">
        <f>IF(ISNUMBER(SEARCH("C", 'Dry_Litterbag Placem_Collection'!U18)),"YES","NO")</f>
        <v>NO</v>
      </c>
      <c r="AM457" s="270" t="str">
        <f>IF(ISNUMBER(SEARCH("H", 'Dry_Litterbag Placem_Collection'!U18)),"YES","NO")</f>
        <v>NO</v>
      </c>
      <c r="AN457" s="270" t="str">
        <f>IF(ISNUMBER(SEARCH("R", 'Dry_Litterbag Placem_Collection'!U18)),"YES","NO")</f>
        <v>YES</v>
      </c>
    </row>
    <row r="458" spans="1:40" ht="15" customHeight="1">
      <c r="A458" s="262" t="s">
        <v>2659</v>
      </c>
      <c r="B458" s="263">
        <f>'Dry_Litterbag Placem_Collection'!A19</f>
        <v>17</v>
      </c>
      <c r="C458" s="263" t="str">
        <f>'Dry_Litterbag Placem_Collection'!B19</f>
        <v>Makao</v>
      </c>
      <c r="D458" s="263" t="s">
        <v>2659</v>
      </c>
      <c r="E458" s="263" t="s">
        <v>2660</v>
      </c>
      <c r="F458" s="263">
        <v>3</v>
      </c>
      <c r="G458" s="264" t="str">
        <f>'Dry_Litterbag Placem_Collection'!C19</f>
        <v>Dry_Ag3_T1</v>
      </c>
      <c r="H458" s="273" t="s">
        <v>3651</v>
      </c>
      <c r="I458" s="266" t="s">
        <v>1147</v>
      </c>
      <c r="J458" s="263" t="str">
        <f>IF(ISBLANK('Dry_Litterbag Placem_Collection'!L19),"","G"&amp;""&amp;'Dry_Litterbag Placem_Collection'!L19)</f>
        <v>G349</v>
      </c>
      <c r="K458" s="267">
        <f>IFERROR(INDEX('Green_rooibos initial weight'!$C$5:$C$1749,MATCH(J458, 'Green_rooibos initial weight'!$A$5:$A$1749,0)),"")</f>
        <v>1.9450000000000001</v>
      </c>
      <c r="L458" s="267">
        <f>IFERROR(K458-(TBIcalc!$Q$9+TBIcalc!$Q$10),"")</f>
        <v>1.6952</v>
      </c>
      <c r="M458" s="391">
        <f>AVERAGE(Ashed_controlls!$K$2:$K$11)</f>
        <v>5.5147656768714146</v>
      </c>
      <c r="N458" s="267">
        <f t="shared" si="36"/>
        <v>1.6017136922456758</v>
      </c>
      <c r="O458" s="267">
        <f>IF(IFERROR(INDEX('Both teabags AfterDry'!$D$3:$D$900,MATCH(J458,'Both teabags AfterDry'!$A$3:$A$900,0)),"")="","",(IFERROR(INDEX('Both teabags AfterDry'!$D$3:$D$900,MATCH(J458,'Both teabags AfterDry'!$A$3:$A$900,0)),"")))</f>
        <v>1.7968</v>
      </c>
      <c r="P458" s="267">
        <f>IFERROR(IF(O458&gt;0,O458-(TBIcalc!$Q$9),""),"")</f>
        <v>1.6461999999999999</v>
      </c>
      <c r="Q458" s="278">
        <f>IFERROR(INDEX('Ashed teabags dry'!$K$2:$K$825,MATCH(J458,'Ashed teabags dry'!$A$2:$A$825,0)),"")</f>
        <v>5.923344947734277</v>
      </c>
      <c r="R458" s="278">
        <f t="shared" si="37"/>
        <v>1.5486898954703983</v>
      </c>
      <c r="S458" s="268">
        <f>'Dry_Litterbag Placem_Collection'!E19</f>
        <v>42936</v>
      </c>
      <c r="T458" s="268">
        <f>IF('Dry_Litterbag Placem_Collection'!G19="","",'Dry_Litterbag Placem_Collection'!G19)</f>
        <v>43007</v>
      </c>
      <c r="U458" s="269">
        <f t="shared" si="35"/>
        <v>71</v>
      </c>
      <c r="V458" s="267">
        <f t="shared" si="38"/>
        <v>4.9000000000000155E-2</v>
      </c>
      <c r="W458" s="267">
        <f t="shared" si="39"/>
        <v>5.3023796775277576E-2</v>
      </c>
      <c r="X458" s="271">
        <f>IFERROR(INDEX(Rainfall_Dry!$O$2:$O$217,MATCH(B458, Rainfall_Dry!$A$2:$A$217,0)),"")</f>
        <v>6.900000125</v>
      </c>
      <c r="Y458" s="260">
        <v>54.080969906906262</v>
      </c>
      <c r="Z458" s="260">
        <v>21.264484651351896</v>
      </c>
      <c r="AA458" s="260">
        <v>24.654545441741845</v>
      </c>
      <c r="AB458" s="261" t="s">
        <v>2673</v>
      </c>
      <c r="AC458" s="260">
        <v>1.8433218334154755</v>
      </c>
      <c r="AD458" t="str">
        <f>IF('WetLitterbags placem_collection'!AB19="","",'WetLitterbags placem_collection'!AB19)</f>
        <v/>
      </c>
      <c r="AE458" t="str">
        <f>IF('WetLitterbags placem_collection'!Z19="","",'WetLitterbags placem_collection'!Z19)</f>
        <v/>
      </c>
      <c r="AF458" s="24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71">
        <f>IFERROR(AVERAGE('Dry_Litterbag Placem_Collection'!N19,'Dry_Litterbag Placem_Collection'!Q19),"")</f>
        <v>26.2</v>
      </c>
      <c r="AJ458" s="270">
        <f>INDEX(Coordinates!$B$2:$B$197,MATCH(G458,Coordinates!$J$2:$J$197,0))</f>
        <v>-3.3854090330000002</v>
      </c>
      <c r="AK458" s="270">
        <f>INDEX(Coordinates!$C$2:$C$197,MATCH(G458,Coordinates!$J$2:$J$197,0))</f>
        <v>34.818901029999999</v>
      </c>
      <c r="AL458" s="270" t="str">
        <f>IF(ISNUMBER(SEARCH("C", 'Dry_Litterbag Placem_Collection'!U19)),"YES","NO")</f>
        <v>NO</v>
      </c>
      <c r="AM458" s="270" t="str">
        <f>IF(ISNUMBER(SEARCH("H", 'Dry_Litterbag Placem_Collection'!U19)),"YES","NO")</f>
        <v>NO</v>
      </c>
      <c r="AN458" s="270" t="str">
        <f>IF(ISNUMBER(SEARCH("R", 'Dry_Litterbag Placem_Collection'!U19)),"YES","NO")</f>
        <v>NO</v>
      </c>
    </row>
    <row r="459" spans="1:40" ht="15" customHeight="1">
      <c r="A459" s="262" t="s">
        <v>2659</v>
      </c>
      <c r="B459" s="263">
        <f>'Dry_Litterbag Placem_Collection'!A20</f>
        <v>18</v>
      </c>
      <c r="C459" s="263" t="str">
        <f>'Dry_Litterbag Placem_Collection'!B20</f>
        <v>Makao</v>
      </c>
      <c r="D459" s="263" t="s">
        <v>2659</v>
      </c>
      <c r="E459" s="263" t="s">
        <v>2660</v>
      </c>
      <c r="F459" s="263">
        <v>3</v>
      </c>
      <c r="G459" s="264" t="str">
        <f>'Dry_Litterbag Placem_Collection'!C20</f>
        <v>Dry_Ag3_T2</v>
      </c>
      <c r="H459" s="273" t="s">
        <v>3651</v>
      </c>
      <c r="I459" s="266" t="s">
        <v>1147</v>
      </c>
      <c r="J459" s="263" t="str">
        <f>IF(ISBLANK('Dry_Litterbag Placem_Collection'!L20),"","G"&amp;""&amp;'Dry_Litterbag Placem_Collection'!L20)</f>
        <v>G113</v>
      </c>
      <c r="K459" s="267">
        <f>IFERROR(INDEX('Green_rooibos initial weight'!$C$5:$C$1749,MATCH(J459, 'Green_rooibos initial weight'!$A$5:$A$1749,0)),"")</f>
        <v>2.0539999999999998</v>
      </c>
      <c r="L459" s="267">
        <f>IFERROR(K459-(TBIcalc!$Q$9+TBIcalc!$Q$10),"")</f>
        <v>1.8041999999999998</v>
      </c>
      <c r="M459" s="391">
        <f>AVERAGE(Ashed_controlls!$K$2:$K$11)</f>
        <v>5.5147656768714146</v>
      </c>
      <c r="N459" s="267">
        <f t="shared" si="36"/>
        <v>1.7047025976578858</v>
      </c>
      <c r="O459" s="267">
        <f>IF(IFERROR(INDEX('Both teabags AfterDry'!$D$3:$D$900,MATCH(J459,'Both teabags AfterDry'!$A$3:$A$900,0)),"")="","",(IFERROR(INDEX('Both teabags AfterDry'!$D$3:$D$900,MATCH(J459,'Both teabags AfterDry'!$A$3:$A$900,0)),"")))</f>
        <v>1.8204</v>
      </c>
      <c r="P459" s="267">
        <f>IFERROR(IF(O459&gt;0,O459-(TBIcalc!$Q$9),""),"")</f>
        <v>1.6698</v>
      </c>
      <c r="Q459" s="278">
        <f>IFERROR(INDEX('Ashed teabags dry'!$K$2:$K$825,MATCH(J459,'Ashed teabags dry'!$A$2:$A$825,0)),"")</f>
        <v>6.7017711823853698</v>
      </c>
      <c r="R459" s="278">
        <f t="shared" si="37"/>
        <v>1.557893824796529</v>
      </c>
      <c r="S459" s="268">
        <f>'Dry_Litterbag Placem_Collection'!E20</f>
        <v>42936</v>
      </c>
      <c r="T459" s="268">
        <f>IF('Dry_Litterbag Placem_Collection'!G20="","",'Dry_Litterbag Placem_Collection'!G20)</f>
        <v>43007</v>
      </c>
      <c r="U459" s="269">
        <f t="shared" si="35"/>
        <v>71</v>
      </c>
      <c r="V459" s="267">
        <f t="shared" si="38"/>
        <v>0.13439999999999985</v>
      </c>
      <c r="W459" s="267">
        <f t="shared" si="39"/>
        <v>0.14680877286135674</v>
      </c>
      <c r="X459" s="271">
        <f>IFERROR(INDEX(Rainfall_Dry!$O$2:$O$217,MATCH(B459, Rainfall_Dry!$A$2:$A$217,0)),"")</f>
        <v>6.900000125</v>
      </c>
      <c r="Y459" s="260">
        <v>54.080969906906262</v>
      </c>
      <c r="Z459" s="260">
        <v>21.264484651351896</v>
      </c>
      <c r="AA459" s="260">
        <v>24.654545441741845</v>
      </c>
      <c r="AB459" s="261" t="s">
        <v>2673</v>
      </c>
      <c r="AC459" s="260">
        <v>2.8433218334154802</v>
      </c>
      <c r="AD459" t="str">
        <f>IF('WetLitterbags placem_collection'!AB20="","",'WetLitterbags placem_collection'!AB20)</f>
        <v/>
      </c>
      <c r="AE459" t="str">
        <f>IF('WetLitterbags placem_collection'!Z20="","",'WetLitterbags placem_collection'!Z20)</f>
        <v/>
      </c>
      <c r="AF459" s="24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71">
        <f>IFERROR(AVERAGE('Dry_Litterbag Placem_Collection'!N20,'Dry_Litterbag Placem_Collection'!Q20),"")</f>
        <v>26.1</v>
      </c>
      <c r="AJ459" s="270">
        <f>INDEX(Coordinates!$B$2:$B$197,MATCH(G459,Coordinates!$J$2:$J$197,0))</f>
        <v>-3.385375002</v>
      </c>
      <c r="AK459" s="270">
        <f>INDEX(Coordinates!$C$2:$C$197,MATCH(G459,Coordinates!$J$2:$J$197,0))</f>
        <v>34.818939999999998</v>
      </c>
      <c r="AL459" s="270" t="str">
        <f>IF(ISNUMBER(SEARCH("C", 'Dry_Litterbag Placem_Collection'!U20)),"YES","NO")</f>
        <v>NO</v>
      </c>
      <c r="AM459" s="270" t="str">
        <f>IF(ISNUMBER(SEARCH("H", 'Dry_Litterbag Placem_Collection'!U20)),"YES","NO")</f>
        <v>NO</v>
      </c>
      <c r="AN459" s="270" t="str">
        <f>IF(ISNUMBER(SEARCH("R", 'Dry_Litterbag Placem_Collection'!U20)),"YES","NO")</f>
        <v>NO</v>
      </c>
    </row>
    <row r="460" spans="1:40" ht="15" customHeight="1">
      <c r="A460" s="262" t="s">
        <v>2659</v>
      </c>
      <c r="B460" s="263">
        <f>'Dry_Litterbag Placem_Collection'!A21</f>
        <v>19</v>
      </c>
      <c r="C460" s="263" t="str">
        <f>'Dry_Litterbag Placem_Collection'!B21</f>
        <v>Makao</v>
      </c>
      <c r="D460" s="263" t="s">
        <v>2659</v>
      </c>
      <c r="E460" s="263" t="s">
        <v>2660</v>
      </c>
      <c r="F460" s="263">
        <v>3</v>
      </c>
      <c r="G460" s="264" t="str">
        <f>'Dry_Litterbag Placem_Collection'!C21</f>
        <v>Dry_Ag3_T3</v>
      </c>
      <c r="H460" s="273" t="s">
        <v>3651</v>
      </c>
      <c r="I460" s="266" t="s">
        <v>1147</v>
      </c>
      <c r="J460" s="263" t="str">
        <f>IF(ISBLANK('Dry_Litterbag Placem_Collection'!L21),"","G"&amp;""&amp;'Dry_Litterbag Placem_Collection'!L21)</f>
        <v>G394</v>
      </c>
      <c r="K460" s="267">
        <f>IFERROR(INDEX('Green_rooibos initial weight'!$C$5:$C$1749,MATCH(J460, 'Green_rooibos initial weight'!$A$5:$A$1749,0)),"")</f>
        <v>2.056</v>
      </c>
      <c r="L460" s="267">
        <f>IFERROR(K460-(TBIcalc!$Q$9+TBIcalc!$Q$10),"")</f>
        <v>1.8062</v>
      </c>
      <c r="M460" s="391">
        <f>AVERAGE(Ashed_controlls!$K$2:$K$11)</f>
        <v>5.5147656768714146</v>
      </c>
      <c r="N460" s="267">
        <f t="shared" si="36"/>
        <v>1.7065923023443486</v>
      </c>
      <c r="O460" s="267">
        <f>IF(IFERROR(INDEX('Both teabags AfterDry'!$D$3:$D$900,MATCH(J460,'Both teabags AfterDry'!$A$3:$A$900,0)),"")="","",(IFERROR(INDEX('Both teabags AfterDry'!$D$3:$D$900,MATCH(J460,'Both teabags AfterDry'!$A$3:$A$900,0)),"")))</f>
        <v>1.8532999999999999</v>
      </c>
      <c r="P460" s="267">
        <f>IFERROR(IF(O460&gt;0,O460-(TBIcalc!$Q$9),""),"")</f>
        <v>1.7026999999999999</v>
      </c>
      <c r="Q460" s="278">
        <f>IFERROR(INDEX('Ashed teabags dry'!$K$2:$K$825,MATCH(J460,'Ashed teabags dry'!$A$2:$A$825,0)),"")</f>
        <v>6.2286689419790493</v>
      </c>
      <c r="R460" s="278">
        <f t="shared" si="37"/>
        <v>1.5966444539249227</v>
      </c>
      <c r="S460" s="268">
        <f>'Dry_Litterbag Placem_Collection'!E21</f>
        <v>42936</v>
      </c>
      <c r="T460" s="268">
        <f>IF('Dry_Litterbag Placem_Collection'!G21="","",'Dry_Litterbag Placem_Collection'!G21)</f>
        <v>43007</v>
      </c>
      <c r="U460" s="269">
        <f t="shared" si="35"/>
        <v>71</v>
      </c>
      <c r="V460" s="267">
        <f t="shared" si="38"/>
        <v>0.10350000000000015</v>
      </c>
      <c r="W460" s="267">
        <f t="shared" si="39"/>
        <v>0.10994784841942584</v>
      </c>
      <c r="X460" s="271">
        <f>IFERROR(INDEX(Rainfall_Dry!$O$2:$O$217,MATCH(B460, Rainfall_Dry!$A$2:$A$217,0)),"")</f>
        <v>6.900000125</v>
      </c>
      <c r="Y460" s="260">
        <v>54.080969906906262</v>
      </c>
      <c r="Z460" s="260">
        <v>21.264484651351896</v>
      </c>
      <c r="AA460" s="260">
        <v>24.654545441741845</v>
      </c>
      <c r="AB460" s="261" t="s">
        <v>2673</v>
      </c>
      <c r="AC460" s="260">
        <v>3.8433218334154802</v>
      </c>
      <c r="AD460" t="str">
        <f>IF('WetLitterbags placem_collection'!AB21="","",'WetLitterbags placem_collection'!AB21)</f>
        <v/>
      </c>
      <c r="AE460" t="str">
        <f>IF('WetLitterbags placem_collection'!Z21="","",'WetLitterbags placem_collection'!Z21)</f>
        <v/>
      </c>
      <c r="AF460" s="24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71">
        <f>IFERROR(AVERAGE('Dry_Litterbag Placem_Collection'!N21,'Dry_Litterbag Placem_Collection'!Q21),"")</f>
        <v>25.700000000000003</v>
      </c>
      <c r="AJ460" s="270">
        <f>INDEX(Coordinates!$B$2:$B$197,MATCH(G460,Coordinates!$J$2:$J$197,0))</f>
        <v>-3.3853589930000001</v>
      </c>
      <c r="AK460" s="270">
        <f>INDEX(Coordinates!$C$2:$C$197,MATCH(G460,Coordinates!$J$2:$J$197,0))</f>
        <v>34.818991969999999</v>
      </c>
      <c r="AL460" s="270" t="str">
        <f>IF(ISNUMBER(SEARCH("C", 'Dry_Litterbag Placem_Collection'!U21)),"YES","NO")</f>
        <v>NO</v>
      </c>
      <c r="AM460" s="270" t="str">
        <f>IF(ISNUMBER(SEARCH("H", 'Dry_Litterbag Placem_Collection'!U21)),"YES","NO")</f>
        <v>NO</v>
      </c>
      <c r="AN460" s="270" t="str">
        <f>IF(ISNUMBER(SEARCH("R", 'Dry_Litterbag Placem_Collection'!U21)),"YES","NO")</f>
        <v>NO</v>
      </c>
    </row>
    <row r="461" spans="1:40" ht="15" customHeight="1">
      <c r="A461" s="262" t="s">
        <v>2659</v>
      </c>
      <c r="B461" s="263">
        <f>'Dry_Litterbag Placem_Collection'!A22</f>
        <v>20</v>
      </c>
      <c r="C461" s="263" t="str">
        <f>'Dry_Litterbag Placem_Collection'!B22</f>
        <v>Makao</v>
      </c>
      <c r="D461" s="263" t="s">
        <v>2659</v>
      </c>
      <c r="E461" s="263" t="s">
        <v>2660</v>
      </c>
      <c r="F461" s="263">
        <v>3</v>
      </c>
      <c r="G461" s="264" t="str">
        <f>'Dry_Litterbag Placem_Collection'!C22</f>
        <v>Dry_Ag3_T4</v>
      </c>
      <c r="H461" s="273" t="s">
        <v>3651</v>
      </c>
      <c r="I461" s="266" t="s">
        <v>1147</v>
      </c>
      <c r="J461" s="263" t="str">
        <f>IF(ISBLANK('Dry_Litterbag Placem_Collection'!L22),"","G"&amp;""&amp;'Dry_Litterbag Placem_Collection'!L22)</f>
        <v>G79</v>
      </c>
      <c r="K461" s="267">
        <f>IFERROR(INDEX('Green_rooibos initial weight'!$C$5:$C$1749,MATCH(J461, 'Green_rooibos initial weight'!$A$5:$A$1749,0)),"")</f>
        <v>2.1120000000000001</v>
      </c>
      <c r="L461" s="267">
        <f>IFERROR(K461-(TBIcalc!$Q$9+TBIcalc!$Q$10),"")</f>
        <v>1.8622000000000001</v>
      </c>
      <c r="M461" s="391">
        <f>AVERAGE(Ashed_controlls!$K$2:$K$11)</f>
        <v>5.5147656768714146</v>
      </c>
      <c r="N461" s="267">
        <f t="shared" si="36"/>
        <v>1.7595040335653005</v>
      </c>
      <c r="O461" s="267">
        <f>IF(IFERROR(INDEX('Both teabags AfterDry'!$D$3:$D$900,MATCH(J461,'Both teabags AfterDry'!$A$3:$A$900,0)),"")="","",(IFERROR(INDEX('Both teabags AfterDry'!$D$3:$D$900,MATCH(J461,'Both teabags AfterDry'!$A$3:$A$900,0)),"")))</f>
        <v>1.8559000000000001</v>
      </c>
      <c r="P461" s="267">
        <f>IFERROR(IF(O461&gt;0,O461-(TBIcalc!$Q$9),""),"")</f>
        <v>1.7053</v>
      </c>
      <c r="Q461" s="278">
        <f>IFERROR(INDEX('Ashed teabags dry'!$K$2:$K$825,MATCH(J461,'Ashed teabags dry'!$A$2:$A$825,0)),"")</f>
        <v>6.4935064935060867</v>
      </c>
      <c r="R461" s="278">
        <f t="shared" si="37"/>
        <v>1.5945662337662407</v>
      </c>
      <c r="S461" s="268">
        <f>'Dry_Litterbag Placem_Collection'!E22</f>
        <v>42936</v>
      </c>
      <c r="T461" s="268">
        <f>IF('Dry_Litterbag Placem_Collection'!G22="","",'Dry_Litterbag Placem_Collection'!G22)</f>
        <v>43007</v>
      </c>
      <c r="U461" s="269">
        <f t="shared" si="35"/>
        <v>71</v>
      </c>
      <c r="V461" s="267">
        <f t="shared" si="38"/>
        <v>0.15690000000000004</v>
      </c>
      <c r="W461" s="267">
        <f t="shared" si="39"/>
        <v>0.16493779979905976</v>
      </c>
      <c r="X461" s="271">
        <f>IFERROR(INDEX(Rainfall_Dry!$O$2:$O$217,MATCH(B461, Rainfall_Dry!$A$2:$A$217,0)),"")</f>
        <v>6.900000125</v>
      </c>
      <c r="Y461" s="260">
        <v>54.080969906906262</v>
      </c>
      <c r="Z461" s="260">
        <v>21.264484651351896</v>
      </c>
      <c r="AA461" s="260">
        <v>24.654545441741845</v>
      </c>
      <c r="AB461" s="261" t="s">
        <v>2673</v>
      </c>
      <c r="AC461" s="260">
        <v>4.8433218334154802</v>
      </c>
      <c r="AD461" t="str">
        <f>IF('WetLitterbags placem_collection'!AB22="","",'WetLitterbags placem_collection'!AB22)</f>
        <v/>
      </c>
      <c r="AE461" t="str">
        <f>IF('WetLitterbags placem_collection'!Z22="","",'WetLitterbags placem_collection'!Z22)</f>
        <v/>
      </c>
      <c r="AF461" s="24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71">
        <f>IFERROR(AVERAGE('Dry_Litterbag Placem_Collection'!N22,'Dry_Litterbag Placem_Collection'!Q22),"")</f>
        <v>26.3</v>
      </c>
      <c r="AJ461" s="270">
        <f>INDEX(Coordinates!$B$2:$B$197,MATCH(G461,Coordinates!$J$2:$J$197,0))</f>
        <v>-3.3853969629999998</v>
      </c>
      <c r="AK461" s="270">
        <f>INDEX(Coordinates!$C$2:$C$197,MATCH(G461,Coordinates!$J$2:$J$197,0))</f>
        <v>34.818977969999999</v>
      </c>
      <c r="AL461" s="270" t="str">
        <f>IF(ISNUMBER(SEARCH("C", 'Dry_Litterbag Placem_Collection'!U22)),"YES","NO")</f>
        <v>NO</v>
      </c>
      <c r="AM461" s="270" t="str">
        <f>IF(ISNUMBER(SEARCH("H", 'Dry_Litterbag Placem_Collection'!U22)),"YES","NO")</f>
        <v>NO</v>
      </c>
      <c r="AN461" s="270" t="str">
        <f>IF(ISNUMBER(SEARCH("R", 'Dry_Litterbag Placem_Collection'!U22)),"YES","NO")</f>
        <v>NO</v>
      </c>
    </row>
    <row r="462" spans="1:40" ht="15" customHeight="1">
      <c r="A462" s="262" t="s">
        <v>2659</v>
      </c>
      <c r="B462" s="263">
        <f>'Dry_Litterbag Placem_Collection'!A23</f>
        <v>21</v>
      </c>
      <c r="C462" s="263" t="str">
        <f>'Dry_Litterbag Placem_Collection'!B23</f>
        <v>Makao</v>
      </c>
      <c r="D462" s="263" t="s">
        <v>2659</v>
      </c>
      <c r="E462" s="263" t="s">
        <v>2660</v>
      </c>
      <c r="F462" s="263">
        <v>3</v>
      </c>
      <c r="G462" s="264" t="str">
        <f>'Dry_Litterbag Placem_Collection'!C23</f>
        <v>Dry_Ag3_T5</v>
      </c>
      <c r="H462" s="273" t="s">
        <v>3651</v>
      </c>
      <c r="I462" s="266" t="s">
        <v>1147</v>
      </c>
      <c r="J462" s="263" t="str">
        <f>IF(ISBLANK('Dry_Litterbag Placem_Collection'!L23),"","G"&amp;""&amp;'Dry_Litterbag Placem_Collection'!L23)</f>
        <v>G488</v>
      </c>
      <c r="K462" s="267">
        <f>IFERROR(INDEX('Green_rooibos initial weight'!$C$5:$C$1749,MATCH(J462, 'Green_rooibos initial weight'!$A$5:$A$1749,0)),"")</f>
        <v>1.9910000000000001</v>
      </c>
      <c r="L462" s="267">
        <f>IFERROR(K462-(TBIcalc!$Q$9+TBIcalc!$Q$10),"")</f>
        <v>1.7412000000000001</v>
      </c>
      <c r="M462" s="391">
        <f>AVERAGE(Ashed_controlls!$K$2:$K$11)</f>
        <v>5.5147656768714146</v>
      </c>
      <c r="N462" s="267">
        <f t="shared" si="36"/>
        <v>1.645176900034315</v>
      </c>
      <c r="O462" s="267" t="str">
        <f>IF(IFERROR(INDEX('Both teabags AfterDry'!$D$3:$D$900,MATCH(J462,'Both teabags AfterDry'!$A$3:$A$900,0)),"")="","",(IFERROR(INDEX('Both teabags AfterDry'!$D$3:$D$900,MATCH(J462,'Both teabags AfterDry'!$A$3:$A$900,0)),"")))</f>
        <v/>
      </c>
      <c r="P462" s="267" t="str">
        <f>IFERROR(IF(O462&gt;0,O462-(TBIcalc!$Q$9),""),"")</f>
        <v/>
      </c>
      <c r="Q462" s="278" t="str">
        <f>IFERROR(INDEX('Ashed teabags dry'!$K$2:$K$825,MATCH(J462,'Ashed teabags dry'!$A$2:$A$825,0)),"")</f>
        <v/>
      </c>
      <c r="R462" s="278" t="str">
        <f t="shared" si="37"/>
        <v/>
      </c>
      <c r="S462" s="268">
        <f>'Dry_Litterbag Placem_Collection'!E23</f>
        <v>42936</v>
      </c>
      <c r="T462" s="268">
        <f>IF('Dry_Litterbag Placem_Collection'!G23="","",'Dry_Litterbag Placem_Collection'!G23)</f>
        <v>43007</v>
      </c>
      <c r="U462" s="269">
        <f t="shared" si="35"/>
        <v>71</v>
      </c>
      <c r="V462" s="267" t="str">
        <f t="shared" si="38"/>
        <v/>
      </c>
      <c r="W462" s="267" t="str">
        <f t="shared" si="39"/>
        <v/>
      </c>
      <c r="X462" s="271">
        <f>IFERROR(INDEX(Rainfall_Dry!$O$2:$O$217,MATCH(B462, Rainfall_Dry!$A$2:$A$217,0)),"")</f>
        <v>6.900000125</v>
      </c>
      <c r="Y462" s="260">
        <v>54.080969906906262</v>
      </c>
      <c r="Z462" s="260">
        <v>21.264484651351896</v>
      </c>
      <c r="AA462" s="260">
        <v>24.654545441741845</v>
      </c>
      <c r="AB462" s="261" t="s">
        <v>2673</v>
      </c>
      <c r="AC462" s="260">
        <v>5.8433218334154802</v>
      </c>
      <c r="AD462" t="str">
        <f>IF('WetLitterbags placem_collection'!AB23="","",'WetLitterbags placem_collection'!AB23)</f>
        <v/>
      </c>
      <c r="AE462" t="str">
        <f>IF('WetLitterbags placem_collection'!Z23="","",'WetLitterbags placem_collection'!Z23)</f>
        <v/>
      </c>
      <c r="AF462" s="24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71">
        <f>IFERROR(AVERAGE('Dry_Litterbag Placem_Collection'!N23,'Dry_Litterbag Placem_Collection'!Q23),"")</f>
        <v>26.1</v>
      </c>
      <c r="AJ462" s="270">
        <f>INDEX(Coordinates!$B$2:$B$197,MATCH(G462,Coordinates!$J$2:$J$197,0))</f>
        <v>-3.3854019919999998</v>
      </c>
      <c r="AK462" s="270">
        <f>INDEX(Coordinates!$C$2:$C$197,MATCH(G462,Coordinates!$J$2:$J$197,0))</f>
        <v>34.81894604</v>
      </c>
      <c r="AL462" s="270" t="str">
        <f>IF(ISNUMBER(SEARCH("C", 'Dry_Litterbag Placem_Collection'!U23)),"YES","NO")</f>
        <v>NO</v>
      </c>
      <c r="AM462" s="270" t="str">
        <f>IF(ISNUMBER(SEARCH("H", 'Dry_Litterbag Placem_Collection'!U23)),"YES","NO")</f>
        <v>NO</v>
      </c>
      <c r="AN462" s="270" t="str">
        <f>IF(ISNUMBER(SEARCH("R", 'Dry_Litterbag Placem_Collection'!U23)),"YES","NO")</f>
        <v>NO</v>
      </c>
    </row>
    <row r="463" spans="1:40" ht="15" customHeight="1">
      <c r="A463" s="262" t="s">
        <v>2659</v>
      </c>
      <c r="B463" s="263">
        <f>'Dry_Litterbag Placem_Collection'!A24</f>
        <v>22</v>
      </c>
      <c r="C463" s="263" t="str">
        <f>'Dry_Litterbag Placem_Collection'!B24</f>
        <v>Makao</v>
      </c>
      <c r="D463" s="263" t="s">
        <v>2659</v>
      </c>
      <c r="E463" s="263" t="s">
        <v>2660</v>
      </c>
      <c r="F463" s="263">
        <v>3</v>
      </c>
      <c r="G463" s="264" t="str">
        <f>'Dry_Litterbag Placem_Collection'!C24</f>
        <v>Dry_Ag3_T6</v>
      </c>
      <c r="H463" s="273" t="s">
        <v>3651</v>
      </c>
      <c r="I463" s="266" t="s">
        <v>1147</v>
      </c>
      <c r="J463" s="263" t="str">
        <f>IF(ISBLANK('Dry_Litterbag Placem_Collection'!L24),"","G"&amp;""&amp;'Dry_Litterbag Placem_Collection'!L24)</f>
        <v>G750</v>
      </c>
      <c r="K463" s="267">
        <f>IFERROR(INDEX('Green_rooibos initial weight'!$C$5:$C$1749,MATCH(J463, 'Green_rooibos initial weight'!$A$5:$A$1749,0)),"")</f>
        <v>1.966</v>
      </c>
      <c r="L463" s="267">
        <f>IFERROR(K463-(TBIcalc!$Q$9+TBIcalc!$Q$10),"")</f>
        <v>1.7161999999999999</v>
      </c>
      <c r="M463" s="391">
        <f>AVERAGE(Ashed_controlls!$K$2:$K$11)</f>
        <v>5.5147656768714146</v>
      </c>
      <c r="N463" s="267">
        <f t="shared" si="36"/>
        <v>1.6215555914535327</v>
      </c>
      <c r="O463" s="267">
        <f>IF(IFERROR(INDEX('Both teabags AfterDry'!$D$3:$D$900,MATCH(J463,'Both teabags AfterDry'!$A$3:$A$900,0)),"")="","",(IFERROR(INDEX('Both teabags AfterDry'!$D$3:$D$900,MATCH(J463,'Both teabags AfterDry'!$A$3:$A$900,0)),"")))</f>
        <v>1.3833</v>
      </c>
      <c r="P463" s="267">
        <f>IFERROR(IF(O463&gt;0,O463-(TBIcalc!$Q$9),""),"")</f>
        <v>1.2326999999999999</v>
      </c>
      <c r="Q463" s="278">
        <f>IFERROR(INDEX('Ashed teabags dry'!$K$2:$K$825,MATCH(J463,'Ashed teabags dry'!$A$2:$A$825,0)),"")</f>
        <v>8.0118694362018044</v>
      </c>
      <c r="R463" s="278">
        <f t="shared" si="37"/>
        <v>1.1339376854599403</v>
      </c>
      <c r="S463" s="268">
        <f>'Dry_Litterbag Placem_Collection'!E24</f>
        <v>42936</v>
      </c>
      <c r="T463" s="268">
        <f>IF('Dry_Litterbag Placem_Collection'!G24="","",'Dry_Litterbag Placem_Collection'!G24)</f>
        <v>43007</v>
      </c>
      <c r="U463" s="269">
        <f t="shared" si="35"/>
        <v>71</v>
      </c>
      <c r="V463" s="267">
        <f t="shared" si="38"/>
        <v>0.48350000000000004</v>
      </c>
      <c r="W463" s="267">
        <f t="shared" si="39"/>
        <v>0.48761790599359234</v>
      </c>
      <c r="X463" s="271">
        <f>IFERROR(INDEX(Rainfall_Dry!$O$2:$O$217,MATCH(B463, Rainfall_Dry!$A$2:$A$217,0)),"")</f>
        <v>6.900000125</v>
      </c>
      <c r="Y463" s="260">
        <v>54.080969906906262</v>
      </c>
      <c r="Z463" s="260">
        <v>21.264484651351896</v>
      </c>
      <c r="AA463" s="260">
        <v>24.654545441741845</v>
      </c>
      <c r="AB463" s="261" t="s">
        <v>2673</v>
      </c>
      <c r="AC463" s="260">
        <v>6.8433218334154802</v>
      </c>
      <c r="AD463" t="str">
        <f>IF('WetLitterbags placem_collection'!AB24="","",'WetLitterbags placem_collection'!AB24)</f>
        <v/>
      </c>
      <c r="AE463" t="str">
        <f>IF('WetLitterbags placem_collection'!Z24="","",'WetLitterbags placem_collection'!Z24)</f>
        <v/>
      </c>
      <c r="AF463" s="24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71">
        <f>IFERROR(AVERAGE('Dry_Litterbag Placem_Collection'!N24,'Dry_Litterbag Placem_Collection'!Q24),"")</f>
        <v>25.75</v>
      </c>
      <c r="AJ463" s="270">
        <f>INDEX(Coordinates!$B$2:$B$197,MATCH(G463,Coordinates!$J$2:$J$197,0))</f>
        <v>-3.3854470029999999</v>
      </c>
      <c r="AK463" s="270">
        <f>INDEX(Coordinates!$C$2:$C$197,MATCH(G463,Coordinates!$J$2:$J$197,0))</f>
        <v>34.818946959999998</v>
      </c>
      <c r="AL463" s="270" t="str">
        <f>IF(ISNUMBER(SEARCH("C", 'Dry_Litterbag Placem_Collection'!U24)),"YES","NO")</f>
        <v>NO</v>
      </c>
      <c r="AM463" s="270" t="str">
        <f>IF(ISNUMBER(SEARCH("H", 'Dry_Litterbag Placem_Collection'!U24)),"YES","NO")</f>
        <v>NO</v>
      </c>
      <c r="AN463" s="270" t="str">
        <f>IF(ISNUMBER(SEARCH("R", 'Dry_Litterbag Placem_Collection'!U24)),"YES","NO")</f>
        <v>NO</v>
      </c>
    </row>
    <row r="464" spans="1:40" ht="15" customHeight="1">
      <c r="A464" s="262" t="s">
        <v>2659</v>
      </c>
      <c r="B464" s="263">
        <f>'Dry_Litterbag Placem_Collection'!A25</f>
        <v>23</v>
      </c>
      <c r="C464" s="263" t="str">
        <f>'Dry_Litterbag Placem_Collection'!B25</f>
        <v>Makao</v>
      </c>
      <c r="D464" s="263" t="s">
        <v>2659</v>
      </c>
      <c r="E464" s="263" t="s">
        <v>2660</v>
      </c>
      <c r="F464" s="263">
        <v>3</v>
      </c>
      <c r="G464" s="264" t="str">
        <f>'Dry_Litterbag Placem_Collection'!C25</f>
        <v>Dry_Ag3_T7</v>
      </c>
      <c r="H464" s="273" t="s">
        <v>3651</v>
      </c>
      <c r="I464" s="266" t="s">
        <v>1147</v>
      </c>
      <c r="J464" s="263" t="str">
        <f>IF(ISBLANK('Dry_Litterbag Placem_Collection'!L25),"","G"&amp;""&amp;'Dry_Litterbag Placem_Collection'!L25)</f>
        <v/>
      </c>
      <c r="K464" s="267" t="str">
        <f>IFERROR(INDEX('Green_rooibos initial weight'!$C$5:$C$1749,MATCH(J464, 'Green_rooibos initial weight'!$A$5:$A$1749,0)),"")</f>
        <v/>
      </c>
      <c r="L464" s="267" t="str">
        <f>IFERROR(K464-(TBIcalc!$Q$9+TBIcalc!$Q$10),"")</f>
        <v/>
      </c>
      <c r="M464" s="391">
        <f>AVERAGE(Ashed_controlls!$K$2:$K$11)</f>
        <v>5.5147656768714146</v>
      </c>
      <c r="N464" s="267" t="str">
        <f t="shared" si="36"/>
        <v/>
      </c>
      <c r="O464" s="267" t="str">
        <f>IF(IFERROR(INDEX('Both teabags AfterDry'!$D$3:$D$900,MATCH(J464,'Both teabags AfterDry'!$A$3:$A$900,0)),"")="","",(IFERROR(INDEX('Both teabags AfterDry'!$D$3:$D$900,MATCH(J464,'Both teabags AfterDry'!$A$3:$A$900,0)),"")))</f>
        <v/>
      </c>
      <c r="P464" s="267" t="str">
        <f>IFERROR(IF(O464&gt;0,O464-(TBIcalc!$Q$9),""),"")</f>
        <v/>
      </c>
      <c r="Q464" s="278" t="str">
        <f>IFERROR(INDEX('Ashed teabags dry'!$K$2:$K$825,MATCH(J464,'Ashed teabags dry'!$A$2:$A$825,0)),"")</f>
        <v/>
      </c>
      <c r="R464" s="278" t="str">
        <f t="shared" si="37"/>
        <v/>
      </c>
      <c r="S464" s="268">
        <f>'Dry_Litterbag Placem_Collection'!E25</f>
        <v>0</v>
      </c>
      <c r="T464" s="268" t="str">
        <f>IF('Dry_Litterbag Placem_Collection'!G25="","",'Dry_Litterbag Placem_Collection'!G25)</f>
        <v/>
      </c>
      <c r="U464" s="269" t="str">
        <f t="shared" si="35"/>
        <v/>
      </c>
      <c r="V464" s="267" t="str">
        <f t="shared" si="38"/>
        <v/>
      </c>
      <c r="W464" s="267" t="str">
        <f t="shared" si="39"/>
        <v/>
      </c>
      <c r="X464" s="271" t="str">
        <f>IFERROR(INDEX(Rainfall_Dry!$O$2:$O$217,MATCH(B464, Rainfall_Dry!$A$2:$A$217,0)),"")</f>
        <v/>
      </c>
      <c r="Y464" s="260">
        <v>54.080969906906262</v>
      </c>
      <c r="Z464" s="260">
        <v>21.264484651351896</v>
      </c>
      <c r="AA464" s="260">
        <v>24.654545441741845</v>
      </c>
      <c r="AB464" s="261" t="s">
        <v>2673</v>
      </c>
      <c r="AC464" s="260">
        <v>7.8433218334154802</v>
      </c>
      <c r="AD464" t="str">
        <f>IF('WetLitterbags placem_collection'!AB25="","",'WetLitterbags placem_collection'!AB25)</f>
        <v/>
      </c>
      <c r="AE464" t="str">
        <f>IF('WetLitterbags placem_collection'!Z25="","",'WetLitterbags placem_collection'!Z25)</f>
        <v/>
      </c>
      <c r="AF464" s="24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71" t="str">
        <f>IFERROR(AVERAGE('Dry_Litterbag Placem_Collection'!N25,'Dry_Litterbag Placem_Collection'!Q25),"")</f>
        <v/>
      </c>
      <c r="AJ464" s="270">
        <f>INDEX(Coordinates!$B$2:$B$197,MATCH(G464,Coordinates!$J$2:$J$197,0))</f>
        <v>-3.3854200130000001</v>
      </c>
      <c r="AK464" s="270">
        <f>INDEX(Coordinates!$C$2:$C$197,MATCH(G464,Coordinates!$J$2:$J$197,0))</f>
        <v>34.818856019999998</v>
      </c>
      <c r="AL464" s="270" t="str">
        <f>IF(ISNUMBER(SEARCH("C", 'Dry_Litterbag Placem_Collection'!U25)),"YES","NO")</f>
        <v>NO</v>
      </c>
      <c r="AM464" s="270" t="str">
        <f>IF(ISNUMBER(SEARCH("H", 'Dry_Litterbag Placem_Collection'!U25)),"YES","NO")</f>
        <v>NO</v>
      </c>
      <c r="AN464" s="270" t="str">
        <f>IF(ISNUMBER(SEARCH("R", 'Dry_Litterbag Placem_Collection'!U25)),"YES","NO")</f>
        <v>NO</v>
      </c>
    </row>
    <row r="465" spans="1:40" ht="15" customHeight="1">
      <c r="A465" s="262" t="s">
        <v>2659</v>
      </c>
      <c r="B465" s="263">
        <f>'Dry_Litterbag Placem_Collection'!A26</f>
        <v>24</v>
      </c>
      <c r="C465" s="263" t="str">
        <f>'Dry_Litterbag Placem_Collection'!B26</f>
        <v>Makao</v>
      </c>
      <c r="D465" s="263" t="s">
        <v>2659</v>
      </c>
      <c r="E465" s="263" t="s">
        <v>2660</v>
      </c>
      <c r="F465" s="263">
        <v>3</v>
      </c>
      <c r="G465" s="264" t="str">
        <f>'Dry_Litterbag Placem_Collection'!C26</f>
        <v>Dry_Ag3_T8</v>
      </c>
      <c r="H465" s="273" t="s">
        <v>3651</v>
      </c>
      <c r="I465" s="266" t="s">
        <v>1147</v>
      </c>
      <c r="J465" s="263" t="str">
        <f>IF(ISBLANK('Dry_Litterbag Placem_Collection'!L26),"","G"&amp;""&amp;'Dry_Litterbag Placem_Collection'!L26)</f>
        <v>G562</v>
      </c>
      <c r="K465" s="267">
        <f>IFERROR(INDEX('Green_rooibos initial weight'!$C$5:$C$1749,MATCH(J465, 'Green_rooibos initial weight'!$A$5:$A$1749,0)),"")</f>
        <v>2.1419999999999999</v>
      </c>
      <c r="L465" s="267">
        <f>IFERROR(K465-(TBIcalc!$Q$9+TBIcalc!$Q$10),"")</f>
        <v>1.8921999999999999</v>
      </c>
      <c r="M465" s="391">
        <f>AVERAGE(Ashed_controlls!$K$2:$K$11)</f>
        <v>5.5147656768714146</v>
      </c>
      <c r="N465" s="267">
        <f t="shared" si="36"/>
        <v>1.7878496038622389</v>
      </c>
      <c r="O465" s="267">
        <f>IF(IFERROR(INDEX('Both teabags AfterDry'!$D$3:$D$900,MATCH(J465,'Both teabags AfterDry'!$A$3:$A$900,0)),"")="","",(IFERROR(INDEX('Both teabags AfterDry'!$D$3:$D$900,MATCH(J465,'Both teabags AfterDry'!$A$3:$A$900,0)),"")))</f>
        <v>1.8862000000000001</v>
      </c>
      <c r="P465" s="267">
        <f>IFERROR(IF(O465&gt;0,O465-(TBIcalc!$Q$9),""),"")</f>
        <v>1.7356</v>
      </c>
      <c r="Q465" s="278">
        <f>IFERROR(INDEX('Ashed teabags dry'!$K$2:$K$825,MATCH(J465,'Ashed teabags dry'!$A$2:$A$825,0)),"")</f>
        <v>6.1334641805691774</v>
      </c>
      <c r="R465" s="278">
        <f t="shared" si="37"/>
        <v>1.6291475956820414</v>
      </c>
      <c r="S465" s="268">
        <f>'Dry_Litterbag Placem_Collection'!E26</f>
        <v>42936</v>
      </c>
      <c r="T465" s="268">
        <f>IF('Dry_Litterbag Placem_Collection'!G26="","",'Dry_Litterbag Placem_Collection'!G26)</f>
        <v>43007</v>
      </c>
      <c r="U465" s="269">
        <f t="shared" si="35"/>
        <v>71</v>
      </c>
      <c r="V465" s="267">
        <f t="shared" si="38"/>
        <v>0.15659999999999985</v>
      </c>
      <c r="W465" s="267">
        <f t="shared" si="39"/>
        <v>0.15870200818019753</v>
      </c>
      <c r="X465" s="271">
        <f>IFERROR(INDEX(Rainfall_Dry!$O$2:$O$217,MATCH(B465, Rainfall_Dry!$A$2:$A$217,0)),"")</f>
        <v>6.900000125</v>
      </c>
      <c r="Y465" s="260">
        <v>54.080969906906262</v>
      </c>
      <c r="Z465" s="260">
        <v>21.264484651351896</v>
      </c>
      <c r="AA465" s="260">
        <v>24.654545441741845</v>
      </c>
      <c r="AB465" s="261" t="s">
        <v>2673</v>
      </c>
      <c r="AC465" s="260">
        <v>8.8433218334154695</v>
      </c>
      <c r="AD465" t="str">
        <f>IF('WetLitterbags placem_collection'!AB26="","",'WetLitterbags placem_collection'!AB26)</f>
        <v/>
      </c>
      <c r="AE465" t="str">
        <f>IF('WetLitterbags placem_collection'!Z26="","",'WetLitterbags placem_collection'!Z26)</f>
        <v/>
      </c>
      <c r="AF465" s="24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71">
        <f>IFERROR(AVERAGE('Dry_Litterbag Placem_Collection'!N26,'Dry_Litterbag Placem_Collection'!Q26),"")</f>
        <v>25.5</v>
      </c>
      <c r="AJ465" s="270">
        <f>INDEX(Coordinates!$B$2:$B$197,MATCH(G465,Coordinates!$J$2:$J$197,0))</f>
        <v>-3.3853829649999998</v>
      </c>
      <c r="AK465" s="270">
        <f>INDEX(Coordinates!$C$2:$C$197,MATCH(G465,Coordinates!$J$2:$J$197,0))</f>
        <v>34.818877980000003</v>
      </c>
      <c r="AL465" s="270" t="str">
        <f>IF(ISNUMBER(SEARCH("C", 'Dry_Litterbag Placem_Collection'!U26)),"YES","NO")</f>
        <v>NO</v>
      </c>
      <c r="AM465" s="270" t="str">
        <f>IF(ISNUMBER(SEARCH("H", 'Dry_Litterbag Placem_Collection'!U26)),"YES","NO")</f>
        <v>NO</v>
      </c>
      <c r="AN465" s="270" t="str">
        <f>IF(ISNUMBER(SEARCH("R", 'Dry_Litterbag Placem_Collection'!U26)),"YES","NO")</f>
        <v>NO</v>
      </c>
    </row>
    <row r="466" spans="1:40" ht="15" customHeight="1">
      <c r="A466" s="262" t="s">
        <v>2659</v>
      </c>
      <c r="B466" s="263">
        <f>'Dry_Litterbag Placem_Collection'!A27</f>
        <v>25</v>
      </c>
      <c r="C466" s="263" t="str">
        <f>'Dry_Litterbag Placem_Collection'!B27</f>
        <v>Makao</v>
      </c>
      <c r="D466" s="263" t="s">
        <v>2659</v>
      </c>
      <c r="E466" s="263" t="s">
        <v>2660</v>
      </c>
      <c r="F466" s="263">
        <v>4</v>
      </c>
      <c r="G466" s="264" t="str">
        <f>'Dry_Litterbag Placem_Collection'!C27</f>
        <v>Dry_Ag4_T1</v>
      </c>
      <c r="H466" s="273" t="s">
        <v>3651</v>
      </c>
      <c r="I466" s="266" t="s">
        <v>1147</v>
      </c>
      <c r="J466" s="263" t="str">
        <f>IF(ISBLANK('Dry_Litterbag Placem_Collection'!L27),"","G"&amp;""&amp;'Dry_Litterbag Placem_Collection'!L27)</f>
        <v>G156</v>
      </c>
      <c r="K466" s="267">
        <f>IFERROR(INDEX('Green_rooibos initial weight'!$C$5:$C$1749,MATCH(J466, 'Green_rooibos initial weight'!$A$5:$A$1749,0)),"")</f>
        <v>1.944</v>
      </c>
      <c r="L466" s="267">
        <f>IFERROR(K466-(TBIcalc!$Q$9+TBIcalc!$Q$10),"")</f>
        <v>1.6941999999999999</v>
      </c>
      <c r="M466" s="391">
        <f>AVERAGE(Ashed_controlls!$K$2:$K$11)</f>
        <v>5.5147656768714146</v>
      </c>
      <c r="N466" s="267">
        <f t="shared" si="36"/>
        <v>1.6007688399024445</v>
      </c>
      <c r="O466" s="267">
        <f>IF(IFERROR(INDEX('Both teabags AfterDry'!$D$3:$D$900,MATCH(J466,'Both teabags AfterDry'!$A$3:$A$900,0)),"")="","",(IFERROR(INDEX('Both teabags AfterDry'!$D$3:$D$900,MATCH(J466,'Both teabags AfterDry'!$A$3:$A$900,0)),"")))</f>
        <v>1.8079000000000001</v>
      </c>
      <c r="P466" s="267">
        <f>IFERROR(IF(O466&gt;0,O466-(TBIcalc!$Q$9),""),"")</f>
        <v>1.6573</v>
      </c>
      <c r="Q466" s="278">
        <f>IFERROR(INDEX('Ashed teabags dry'!$K$2:$K$825,MATCH(J466,'Ashed teabags dry'!$A$2:$A$825,0)),"")</f>
        <v>5.9562587249876717</v>
      </c>
      <c r="R466" s="278">
        <f t="shared" si="37"/>
        <v>1.5585869241507793</v>
      </c>
      <c r="S466" s="268">
        <f>'Dry_Litterbag Placem_Collection'!E27</f>
        <v>42936</v>
      </c>
      <c r="T466" s="268">
        <f>IF('Dry_Litterbag Placem_Collection'!G27="","",'Dry_Litterbag Placem_Collection'!G27)</f>
        <v>43007</v>
      </c>
      <c r="U466" s="269">
        <f t="shared" si="35"/>
        <v>71</v>
      </c>
      <c r="V466" s="267">
        <f t="shared" si="38"/>
        <v>3.6899999999999933E-2</v>
      </c>
      <c r="W466" s="267">
        <f t="shared" si="39"/>
        <v>4.2181915751665189E-2</v>
      </c>
      <c r="X466" s="271">
        <f>IFERROR(INDEX(Rainfall_Dry!$O$2:$O$217,MATCH(B466, Rainfall_Dry!$A$2:$A$217,0)),"")</f>
        <v>6.900000125</v>
      </c>
      <c r="Y466" s="260">
        <v>51.960000000000008</v>
      </c>
      <c r="Z466" s="260">
        <v>18.919999999999995</v>
      </c>
      <c r="AA466" s="260">
        <v>29.120000000000005</v>
      </c>
      <c r="AB466" s="261" t="s">
        <v>2673</v>
      </c>
      <c r="AC466" s="260">
        <v>1.85293247905372</v>
      </c>
      <c r="AD466" t="str">
        <f>IF('WetLitterbags placem_collection'!AB27="","",'WetLitterbags placem_collection'!AB27)</f>
        <v/>
      </c>
      <c r="AE466" t="str">
        <f>IF('WetLitterbags placem_collection'!Z27="","",'WetLitterbags placem_collection'!Z27)</f>
        <v/>
      </c>
      <c r="AF466" s="24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71">
        <f>IFERROR(AVERAGE('Dry_Litterbag Placem_Collection'!N27,'Dry_Litterbag Placem_Collection'!Q27),"")</f>
        <v>25.4</v>
      </c>
      <c r="AJ466" s="270">
        <f>INDEX(Coordinates!$B$2:$B$197,MATCH(G466,Coordinates!$J$2:$J$197,0))</f>
        <v>-3.3849129919999998</v>
      </c>
      <c r="AK466" s="270">
        <f>INDEX(Coordinates!$C$2:$C$197,MATCH(G466,Coordinates!$J$2:$J$197,0))</f>
        <v>34.818899020000003</v>
      </c>
      <c r="AL466" s="270" t="str">
        <f>IF(ISNUMBER(SEARCH("C", 'Dry_Litterbag Placem_Collection'!U27)),"YES","NO")</f>
        <v>NO</v>
      </c>
      <c r="AM466" s="270" t="str">
        <f>IF(ISNUMBER(SEARCH("H", 'Dry_Litterbag Placem_Collection'!U27)),"YES","NO")</f>
        <v>NO</v>
      </c>
      <c r="AN466" s="270" t="str">
        <f>IF(ISNUMBER(SEARCH("R", 'Dry_Litterbag Placem_Collection'!U27)),"YES","NO")</f>
        <v>NO</v>
      </c>
    </row>
    <row r="467" spans="1:40" ht="15" customHeight="1">
      <c r="A467" s="262" t="s">
        <v>2659</v>
      </c>
      <c r="B467" s="263">
        <f>'Dry_Litterbag Placem_Collection'!A28</f>
        <v>26</v>
      </c>
      <c r="C467" s="263" t="str">
        <f>'Dry_Litterbag Placem_Collection'!B28</f>
        <v>Makao</v>
      </c>
      <c r="D467" s="263" t="s">
        <v>2659</v>
      </c>
      <c r="E467" s="263" t="s">
        <v>2660</v>
      </c>
      <c r="F467" s="263">
        <v>4</v>
      </c>
      <c r="G467" s="264" t="str">
        <f>'Dry_Litterbag Placem_Collection'!C28</f>
        <v>Dry_Ag4_T2</v>
      </c>
      <c r="H467" s="273" t="s">
        <v>3651</v>
      </c>
      <c r="I467" s="266" t="s">
        <v>1147</v>
      </c>
      <c r="J467" s="263" t="str">
        <f>IF(ISBLANK('Dry_Litterbag Placem_Collection'!L28),"","G"&amp;""&amp;'Dry_Litterbag Placem_Collection'!L28)</f>
        <v>G555</v>
      </c>
      <c r="K467" s="267">
        <f>IFERROR(INDEX('Green_rooibos initial weight'!$C$5:$C$1749,MATCH(J467, 'Green_rooibos initial weight'!$A$5:$A$1749,0)),"")</f>
        <v>2.1469999999999998</v>
      </c>
      <c r="L467" s="267">
        <f>IFERROR(K467-(TBIcalc!$Q$9+TBIcalc!$Q$10),"")</f>
        <v>1.8971999999999998</v>
      </c>
      <c r="M467" s="391">
        <f>AVERAGE(Ashed_controlls!$K$2:$K$11)</f>
        <v>5.5147656768714146</v>
      </c>
      <c r="N467" s="267">
        <f t="shared" si="36"/>
        <v>1.7925738655783954</v>
      </c>
      <c r="O467" s="267">
        <f>IF(IFERROR(INDEX('Both teabags AfterDry'!$D$3:$D$900,MATCH(J467,'Both teabags AfterDry'!$A$3:$A$900,0)),"")="","",(IFERROR(INDEX('Both teabags AfterDry'!$D$3:$D$900,MATCH(J467,'Both teabags AfterDry'!$A$3:$A$900,0)),"")))</f>
        <v>2.0030000000000001</v>
      </c>
      <c r="P467" s="267">
        <f>IFERROR(IF(O467&gt;0,O467-(TBIcalc!$Q$9),""),"")</f>
        <v>1.8524</v>
      </c>
      <c r="Q467" s="278">
        <f>IFERROR(INDEX('Ashed teabags dry'!$K$2:$K$825,MATCH(J467,'Ashed teabags dry'!$A$2:$A$825,0)),"")</f>
        <v>6.0509554140126784</v>
      </c>
      <c r="R467" s="278">
        <f t="shared" si="37"/>
        <v>1.7403121019108292</v>
      </c>
      <c r="S467" s="268">
        <f>'Dry_Litterbag Placem_Collection'!E28</f>
        <v>42936</v>
      </c>
      <c r="T467" s="268">
        <f>IF('Dry_Litterbag Placem_Collection'!G28="","",'Dry_Litterbag Placem_Collection'!G28)</f>
        <v>43007</v>
      </c>
      <c r="U467" s="269">
        <f t="shared" si="35"/>
        <v>71</v>
      </c>
      <c r="V467" s="267">
        <f t="shared" si="38"/>
        <v>4.4799999999999729E-2</v>
      </c>
      <c r="W467" s="267">
        <f t="shared" si="39"/>
        <v>5.2261763667566186E-2</v>
      </c>
      <c r="X467" s="271">
        <f>IFERROR(INDEX(Rainfall_Dry!$O$2:$O$217,MATCH(B467, Rainfall_Dry!$A$2:$A$217,0)),"")</f>
        <v>6.900000125</v>
      </c>
      <c r="Y467" s="260">
        <v>51.960000000000008</v>
      </c>
      <c r="Z467" s="260">
        <v>18.919999999999995</v>
      </c>
      <c r="AA467" s="260">
        <v>29.120000000000005</v>
      </c>
      <c r="AB467" s="261" t="s">
        <v>2673</v>
      </c>
      <c r="AC467" s="260">
        <v>2.8529324790537198</v>
      </c>
      <c r="AD467" t="str">
        <f>IF('WetLitterbags placem_collection'!AB28="","",'WetLitterbags placem_collection'!AB28)</f>
        <v/>
      </c>
      <c r="AE467" t="str">
        <f>IF('WetLitterbags placem_collection'!Z28="","",'WetLitterbags placem_collection'!Z28)</f>
        <v/>
      </c>
      <c r="AF467" s="24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71">
        <f>IFERROR(AVERAGE('Dry_Litterbag Placem_Collection'!N28,'Dry_Litterbag Placem_Collection'!Q28),"")</f>
        <v>25.85</v>
      </c>
      <c r="AJ467" s="270">
        <f>INDEX(Coordinates!$B$2:$B$197,MATCH(G467,Coordinates!$J$2:$J$197,0))</f>
        <v>-3.3849689999999999</v>
      </c>
      <c r="AK467" s="270">
        <f>INDEX(Coordinates!$C$2:$C$197,MATCH(G467,Coordinates!$J$2:$J$197,0))</f>
        <v>34.818908</v>
      </c>
      <c r="AL467" s="270" t="str">
        <f>IF(ISNUMBER(SEARCH("C", 'Dry_Litterbag Placem_Collection'!U28)),"YES","NO")</f>
        <v>NO</v>
      </c>
      <c r="AM467" s="270" t="str">
        <f>IF(ISNUMBER(SEARCH("H", 'Dry_Litterbag Placem_Collection'!U28)),"YES","NO")</f>
        <v>NO</v>
      </c>
      <c r="AN467" s="270" t="str">
        <f>IF(ISNUMBER(SEARCH("R", 'Dry_Litterbag Placem_Collection'!U28)),"YES","NO")</f>
        <v>NO</v>
      </c>
    </row>
    <row r="468" spans="1:40" ht="15" customHeight="1">
      <c r="A468" s="262" t="s">
        <v>2659</v>
      </c>
      <c r="B468" s="263">
        <f>'Dry_Litterbag Placem_Collection'!A29</f>
        <v>27</v>
      </c>
      <c r="C468" s="263" t="str">
        <f>'Dry_Litterbag Placem_Collection'!B29</f>
        <v>Makao</v>
      </c>
      <c r="D468" s="263" t="s">
        <v>2659</v>
      </c>
      <c r="E468" s="263" t="s">
        <v>2660</v>
      </c>
      <c r="F468" s="263">
        <v>4</v>
      </c>
      <c r="G468" s="264" t="str">
        <f>'Dry_Litterbag Placem_Collection'!C29</f>
        <v>Dry_Ag4_T3</v>
      </c>
      <c r="H468" s="273" t="s">
        <v>3651</v>
      </c>
      <c r="I468" s="266" t="s">
        <v>1147</v>
      </c>
      <c r="J468" s="263" t="str">
        <f>IF(ISBLANK('Dry_Litterbag Placem_Collection'!L29),"","G"&amp;""&amp;'Dry_Litterbag Placem_Collection'!L29)</f>
        <v>G378</v>
      </c>
      <c r="K468" s="267">
        <f>IFERROR(INDEX('Green_rooibos initial weight'!$C$5:$C$1749,MATCH(J468, 'Green_rooibos initial weight'!$A$5:$A$1749,0)),"")</f>
        <v>2.0830000000000002</v>
      </c>
      <c r="L468" s="267">
        <f>IFERROR(K468-(TBIcalc!$Q$9+TBIcalc!$Q$10),"")</f>
        <v>1.8332000000000002</v>
      </c>
      <c r="M468" s="391">
        <f>AVERAGE(Ashed_controlls!$K$2:$K$11)</f>
        <v>5.5147656768714146</v>
      </c>
      <c r="N468" s="267">
        <f t="shared" si="36"/>
        <v>1.7321033156115935</v>
      </c>
      <c r="O468" s="267" t="str">
        <f>IF(IFERROR(INDEX('Both teabags AfterDry'!$D$3:$D$900,MATCH(J468,'Both teabags AfterDry'!$A$3:$A$900,0)),"")="","",(IFERROR(INDEX('Both teabags AfterDry'!$D$3:$D$900,MATCH(J468,'Both teabags AfterDry'!$A$3:$A$900,0)),"")))</f>
        <v/>
      </c>
      <c r="P468" s="267" t="str">
        <f>IFERROR(IF(O468&gt;0,O468-(TBIcalc!$Q$9),""),"")</f>
        <v/>
      </c>
      <c r="Q468" s="278" t="str">
        <f>IFERROR(INDEX('Ashed teabags dry'!$K$2:$K$825,MATCH(J468,'Ashed teabags dry'!$A$2:$A$825,0)),"")</f>
        <v/>
      </c>
      <c r="R468" s="278" t="str">
        <f t="shared" si="37"/>
        <v/>
      </c>
      <c r="S468" s="268">
        <f>'Dry_Litterbag Placem_Collection'!E29</f>
        <v>42936</v>
      </c>
      <c r="T468" s="268">
        <f>IF('Dry_Litterbag Placem_Collection'!G29="","",'Dry_Litterbag Placem_Collection'!G29)</f>
        <v>43007</v>
      </c>
      <c r="U468" s="269">
        <f t="shared" si="35"/>
        <v>71</v>
      </c>
      <c r="V468" s="267" t="str">
        <f t="shared" si="38"/>
        <v/>
      </c>
      <c r="W468" s="267" t="str">
        <f t="shared" si="39"/>
        <v/>
      </c>
      <c r="X468" s="271">
        <f>IFERROR(INDEX(Rainfall_Dry!$O$2:$O$217,MATCH(B468, Rainfall_Dry!$A$2:$A$217,0)),"")</f>
        <v>6.900000125</v>
      </c>
      <c r="Y468" s="260">
        <v>51.960000000000008</v>
      </c>
      <c r="Z468" s="260">
        <v>18.919999999999995</v>
      </c>
      <c r="AA468" s="260">
        <v>29.120000000000005</v>
      </c>
      <c r="AB468" s="261" t="s">
        <v>2673</v>
      </c>
      <c r="AC468" s="260">
        <v>3.8529324790537198</v>
      </c>
      <c r="AD468" t="str">
        <f>IF('WetLitterbags placem_collection'!AB29="","",'WetLitterbags placem_collection'!AB29)</f>
        <v/>
      </c>
      <c r="AE468" t="str">
        <f>IF('WetLitterbags placem_collection'!Z29="","",'WetLitterbags placem_collection'!Z29)</f>
        <v/>
      </c>
      <c r="AF468" s="24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71">
        <f>IFERROR(AVERAGE('Dry_Litterbag Placem_Collection'!N29,'Dry_Litterbag Placem_Collection'!Q29),"")</f>
        <v>26.15</v>
      </c>
      <c r="AJ468" s="270">
        <f>INDEX(Coordinates!$B$2:$B$197,MATCH(G468,Coordinates!$J$2:$J$197,0))</f>
        <v>-3.3849350359999999</v>
      </c>
      <c r="AK468" s="270">
        <f>INDEX(Coordinates!$C$2:$C$197,MATCH(G468,Coordinates!$J$2:$J$197,0))</f>
        <v>34.818943019999999</v>
      </c>
      <c r="AL468" s="270" t="str">
        <f>IF(ISNUMBER(SEARCH("C", 'Dry_Litterbag Placem_Collection'!U29)),"YES","NO")</f>
        <v>NO</v>
      </c>
      <c r="AM468" s="270" t="str">
        <f>IF(ISNUMBER(SEARCH("H", 'Dry_Litterbag Placem_Collection'!U29)),"YES","NO")</f>
        <v>NO</v>
      </c>
      <c r="AN468" s="270" t="str">
        <f>IF(ISNUMBER(SEARCH("R", 'Dry_Litterbag Placem_Collection'!U29)),"YES","NO")</f>
        <v>NO</v>
      </c>
    </row>
    <row r="469" spans="1:40" ht="15" customHeight="1">
      <c r="A469" s="262" t="s">
        <v>2659</v>
      </c>
      <c r="B469" s="263">
        <f>'Dry_Litterbag Placem_Collection'!A30</f>
        <v>28</v>
      </c>
      <c r="C469" s="263" t="str">
        <f>'Dry_Litterbag Placem_Collection'!B30</f>
        <v>Makao</v>
      </c>
      <c r="D469" s="263" t="s">
        <v>2659</v>
      </c>
      <c r="E469" s="263" t="s">
        <v>2660</v>
      </c>
      <c r="F469" s="263">
        <v>4</v>
      </c>
      <c r="G469" s="264" t="str">
        <f>'Dry_Litterbag Placem_Collection'!C30</f>
        <v>Dry_Ag4_T4</v>
      </c>
      <c r="H469" s="273" t="s">
        <v>3651</v>
      </c>
      <c r="I469" s="266" t="s">
        <v>1147</v>
      </c>
      <c r="J469" s="263" t="str">
        <f>IF(ISBLANK('Dry_Litterbag Placem_Collection'!L30),"","G"&amp;""&amp;'Dry_Litterbag Placem_Collection'!L30)</f>
        <v>G46</v>
      </c>
      <c r="K469" s="267">
        <f>IFERROR(INDEX('Green_rooibos initial weight'!$C$5:$C$1749,MATCH(J469, 'Green_rooibos initial weight'!$A$5:$A$1749,0)),"")</f>
        <v>1.895</v>
      </c>
      <c r="L469" s="267">
        <f>IFERROR(K469-(TBIcalc!$Q$9+TBIcalc!$Q$10),"")</f>
        <v>1.6452</v>
      </c>
      <c r="M469" s="391">
        <f>AVERAGE(Ashed_controlls!$K$2:$K$11)</f>
        <v>5.5147656768714146</v>
      </c>
      <c r="N469" s="267">
        <f t="shared" si="36"/>
        <v>1.5544710750841115</v>
      </c>
      <c r="O469" s="267">
        <f>IF(IFERROR(INDEX('Both teabags AfterDry'!$D$3:$D$900,MATCH(J469,'Both teabags AfterDry'!$A$3:$A$900,0)),"")="","",(IFERROR(INDEX('Both teabags AfterDry'!$D$3:$D$900,MATCH(J469,'Both teabags AfterDry'!$A$3:$A$900,0)),"")))</f>
        <v>1.5884</v>
      </c>
      <c r="P469" s="267">
        <f>IFERROR(IF(O469&gt;0,O469-(TBIcalc!$Q$9),""),"")</f>
        <v>1.4378</v>
      </c>
      <c r="Q469" s="278">
        <f>IFERROR(INDEX('Ashed teabags dry'!$K$2:$K$825,MATCH(J469,'Ashed teabags dry'!$A$2:$A$825,0)),"")</f>
        <v>6.5978456014354894</v>
      </c>
      <c r="R469" s="278">
        <f t="shared" si="37"/>
        <v>1.3429361759425604</v>
      </c>
      <c r="S469" s="268">
        <f>'Dry_Litterbag Placem_Collection'!E30</f>
        <v>42936</v>
      </c>
      <c r="T469" s="268">
        <f>IF('Dry_Litterbag Placem_Collection'!G30="","",'Dry_Litterbag Placem_Collection'!G30)</f>
        <v>43007</v>
      </c>
      <c r="U469" s="269">
        <f t="shared" si="35"/>
        <v>71</v>
      </c>
      <c r="V469" s="267">
        <f t="shared" si="38"/>
        <v>0.20740000000000003</v>
      </c>
      <c r="W469" s="267">
        <f t="shared" si="39"/>
        <v>0.2115348991415511</v>
      </c>
      <c r="X469" s="271">
        <f>IFERROR(INDEX(Rainfall_Dry!$O$2:$O$217,MATCH(B469, Rainfall_Dry!$A$2:$A$217,0)),"")</f>
        <v>6.900000125</v>
      </c>
      <c r="Y469" s="260">
        <v>51.960000000000008</v>
      </c>
      <c r="Z469" s="260">
        <v>18.919999999999995</v>
      </c>
      <c r="AA469" s="260">
        <v>29.120000000000005</v>
      </c>
      <c r="AB469" s="261" t="s">
        <v>2673</v>
      </c>
      <c r="AC469" s="260">
        <v>4.8529324790537203</v>
      </c>
      <c r="AD469" t="str">
        <f>IF('WetLitterbags placem_collection'!AB30="","",'WetLitterbags placem_collection'!AB30)</f>
        <v/>
      </c>
      <c r="AE469" t="str">
        <f>IF('WetLitterbags placem_collection'!Z30="","",'WetLitterbags placem_collection'!Z30)</f>
        <v/>
      </c>
      <c r="AF469" s="24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71">
        <f>IFERROR(AVERAGE('Dry_Litterbag Placem_Collection'!N30,'Dry_Litterbag Placem_Collection'!Q30),"")</f>
        <v>25.700000000000003</v>
      </c>
      <c r="AJ469" s="270">
        <f>INDEX(Coordinates!$B$2:$B$197,MATCH(G469,Coordinates!$J$2:$J$197,0))</f>
        <v>-3.3850070369999998</v>
      </c>
      <c r="AK469" s="270">
        <f>INDEX(Coordinates!$C$2:$C$197,MATCH(G469,Coordinates!$J$2:$J$197,0))</f>
        <v>34.818888960000002</v>
      </c>
      <c r="AL469" s="270" t="str">
        <f>IF(ISNUMBER(SEARCH("C", 'Dry_Litterbag Placem_Collection'!U30)),"YES","NO")</f>
        <v>NO</v>
      </c>
      <c r="AM469" s="270" t="str">
        <f>IF(ISNUMBER(SEARCH("H", 'Dry_Litterbag Placem_Collection'!U30)),"YES","NO")</f>
        <v>NO</v>
      </c>
      <c r="AN469" s="270" t="str">
        <f>IF(ISNUMBER(SEARCH("R", 'Dry_Litterbag Placem_Collection'!U30)),"YES","NO")</f>
        <v>NO</v>
      </c>
    </row>
    <row r="470" spans="1:40" ht="15" customHeight="1">
      <c r="A470" s="262" t="s">
        <v>2659</v>
      </c>
      <c r="B470" s="263">
        <f>'Dry_Litterbag Placem_Collection'!A31</f>
        <v>29</v>
      </c>
      <c r="C470" s="263" t="str">
        <f>'Dry_Litterbag Placem_Collection'!B31</f>
        <v>Makao</v>
      </c>
      <c r="D470" s="263" t="s">
        <v>2659</v>
      </c>
      <c r="E470" s="263" t="s">
        <v>2660</v>
      </c>
      <c r="F470" s="263">
        <v>4</v>
      </c>
      <c r="G470" s="264" t="str">
        <f>'Dry_Litterbag Placem_Collection'!C31</f>
        <v>Dry_Ag4_T5</v>
      </c>
      <c r="H470" s="273" t="s">
        <v>3651</v>
      </c>
      <c r="I470" s="266" t="s">
        <v>1147</v>
      </c>
      <c r="J470" s="263" t="str">
        <f>IF(ISBLANK('Dry_Litterbag Placem_Collection'!L31),"","G"&amp;""&amp;'Dry_Litterbag Placem_Collection'!L31)</f>
        <v>G397</v>
      </c>
      <c r="K470" s="267">
        <f>IFERROR(INDEX('Green_rooibos initial weight'!$C$5:$C$1749,MATCH(J470, 'Green_rooibos initial weight'!$A$5:$A$1749,0)),"")</f>
        <v>1.968</v>
      </c>
      <c r="L470" s="267">
        <f>IFERROR(K470-(TBIcalc!$Q$9+TBIcalc!$Q$10),"")</f>
        <v>1.7181999999999999</v>
      </c>
      <c r="M470" s="391">
        <f>AVERAGE(Ashed_controlls!$K$2:$K$11)</f>
        <v>5.5147656768714146</v>
      </c>
      <c r="N470" s="267">
        <f t="shared" si="36"/>
        <v>1.6234452961399952</v>
      </c>
      <c r="O470" s="267">
        <f>IF(IFERROR(INDEX('Both teabags AfterDry'!$D$3:$D$900,MATCH(J470,'Both teabags AfterDry'!$A$3:$A$900,0)),"")="","",(IFERROR(INDEX('Both teabags AfterDry'!$D$3:$D$900,MATCH(J470,'Both teabags AfterDry'!$A$3:$A$900,0)),"")))</f>
        <v>1.7436</v>
      </c>
      <c r="P470" s="267">
        <f>IFERROR(IF(O470&gt;0,O470-(TBIcalc!$Q$9),""),"")</f>
        <v>1.593</v>
      </c>
      <c r="Q470" s="278">
        <f>IFERROR(INDEX('Ashed teabags dry'!$K$2:$K$825,MATCH(J470,'Ashed teabags dry'!$A$2:$A$825,0)),"")</f>
        <v>6.4090019569471499</v>
      </c>
      <c r="R470" s="278">
        <f t="shared" si="37"/>
        <v>1.4909045988258318</v>
      </c>
      <c r="S470" s="268">
        <f>'Dry_Litterbag Placem_Collection'!E31</f>
        <v>42936</v>
      </c>
      <c r="T470" s="268">
        <f>IF('Dry_Litterbag Placem_Collection'!G31="","",'Dry_Litterbag Placem_Collection'!G31)</f>
        <v>43007</v>
      </c>
      <c r="U470" s="269">
        <f t="shared" si="35"/>
        <v>71</v>
      </c>
      <c r="V470" s="267">
        <f t="shared" si="38"/>
        <v>0.12519999999999998</v>
      </c>
      <c r="W470" s="267">
        <f t="shared" si="39"/>
        <v>0.1325406973141634</v>
      </c>
      <c r="X470" s="271">
        <f>IFERROR(INDEX(Rainfall_Dry!$O$2:$O$217,MATCH(B470, Rainfall_Dry!$A$2:$A$217,0)),"")</f>
        <v>6.900000125</v>
      </c>
      <c r="Y470" s="260">
        <v>51.960000000000008</v>
      </c>
      <c r="Z470" s="260">
        <v>18.919999999999995</v>
      </c>
      <c r="AA470" s="260">
        <v>29.120000000000005</v>
      </c>
      <c r="AB470" s="261" t="s">
        <v>2673</v>
      </c>
      <c r="AC470" s="260">
        <v>5.8529324790537203</v>
      </c>
      <c r="AD470" t="str">
        <f>IF('WetLitterbags placem_collection'!AB31="","",'WetLitterbags placem_collection'!AB31)</f>
        <v/>
      </c>
      <c r="AE470" t="str">
        <f>IF('WetLitterbags placem_collection'!Z31="","",'WetLitterbags placem_collection'!Z31)</f>
        <v/>
      </c>
      <c r="AF470" s="24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71">
        <f>IFERROR(AVERAGE('Dry_Litterbag Placem_Collection'!N31,'Dry_Litterbag Placem_Collection'!Q31),"")</f>
        <v>25.65</v>
      </c>
      <c r="AJ470" s="270">
        <f>INDEX(Coordinates!$B$2:$B$197,MATCH(G470,Coordinates!$J$2:$J$197,0))</f>
        <v>-3.3849480280000002</v>
      </c>
      <c r="AK470" s="270">
        <f>INDEX(Coordinates!$C$2:$C$197,MATCH(G470,Coordinates!$J$2:$J$197,0))</f>
        <v>34.818854010000003</v>
      </c>
      <c r="AL470" s="270" t="str">
        <f>IF(ISNUMBER(SEARCH("C", 'Dry_Litterbag Placem_Collection'!U31)),"YES","NO")</f>
        <v>NO</v>
      </c>
      <c r="AM470" s="270" t="str">
        <f>IF(ISNUMBER(SEARCH("H", 'Dry_Litterbag Placem_Collection'!U31)),"YES","NO")</f>
        <v>NO</v>
      </c>
      <c r="AN470" s="270" t="str">
        <f>IF(ISNUMBER(SEARCH("R", 'Dry_Litterbag Placem_Collection'!U31)),"YES","NO")</f>
        <v>NO</v>
      </c>
    </row>
    <row r="471" spans="1:40" ht="15" customHeight="1">
      <c r="A471" s="262" t="s">
        <v>2659</v>
      </c>
      <c r="B471" s="263">
        <f>'Dry_Litterbag Placem_Collection'!A32</f>
        <v>30</v>
      </c>
      <c r="C471" s="263" t="str">
        <f>'Dry_Litterbag Placem_Collection'!B32</f>
        <v>Makao</v>
      </c>
      <c r="D471" s="263" t="s">
        <v>2659</v>
      </c>
      <c r="E471" s="263" t="s">
        <v>2660</v>
      </c>
      <c r="F471" s="263">
        <v>4</v>
      </c>
      <c r="G471" s="264" t="str">
        <f>'Dry_Litterbag Placem_Collection'!C32</f>
        <v>Dry_Ag4_T6</v>
      </c>
      <c r="H471" s="273" t="s">
        <v>3651</v>
      </c>
      <c r="I471" s="266" t="s">
        <v>1147</v>
      </c>
      <c r="J471" s="263" t="str">
        <f>IF(ISBLANK('Dry_Litterbag Placem_Collection'!L32),"","G"&amp;""&amp;'Dry_Litterbag Placem_Collection'!L32)</f>
        <v>G166</v>
      </c>
      <c r="K471" s="267">
        <f>IFERROR(INDEX('Green_rooibos initial weight'!$C$5:$C$1749,MATCH(J471, 'Green_rooibos initial weight'!$A$5:$A$1749,0)),"")</f>
        <v>2.032</v>
      </c>
      <c r="L471" s="267">
        <f>IFERROR(K471-(TBIcalc!$Q$9+TBIcalc!$Q$10),"")</f>
        <v>1.7822</v>
      </c>
      <c r="M471" s="391">
        <f>AVERAGE(Ashed_controlls!$K$2:$K$11)</f>
        <v>5.5147656768714146</v>
      </c>
      <c r="N471" s="267">
        <f t="shared" si="36"/>
        <v>1.6839158461067976</v>
      </c>
      <c r="O471" s="267">
        <f>IF(IFERROR(INDEX('Both teabags AfterDry'!$D$3:$D$900,MATCH(J471,'Both teabags AfterDry'!$A$3:$A$900,0)),"")="","",(IFERROR(INDEX('Both teabags AfterDry'!$D$3:$D$900,MATCH(J471,'Both teabags AfterDry'!$A$3:$A$900,0)),"")))</f>
        <v>1.8809</v>
      </c>
      <c r="P471" s="267">
        <f>IFERROR(IF(O471&gt;0,O471-(TBIcalc!$Q$9),""),"")</f>
        <v>1.7302999999999999</v>
      </c>
      <c r="Q471" s="278">
        <f>IFERROR(INDEX('Ashed teabags dry'!$K$2:$K$825,MATCH(J471,'Ashed teabags dry'!$A$2:$A$825,0)),"")</f>
        <v>5.730937348227001</v>
      </c>
      <c r="R471" s="278">
        <f t="shared" si="37"/>
        <v>1.6311375910636281</v>
      </c>
      <c r="S471" s="268">
        <f>'Dry_Litterbag Placem_Collection'!E32</f>
        <v>42936</v>
      </c>
      <c r="T471" s="268">
        <f>IF('Dry_Litterbag Placem_Collection'!G32="","",'Dry_Litterbag Placem_Collection'!G32)</f>
        <v>43007</v>
      </c>
      <c r="U471" s="269">
        <f t="shared" si="35"/>
        <v>71</v>
      </c>
      <c r="V471" s="267">
        <f t="shared" si="38"/>
        <v>5.1900000000000057E-2</v>
      </c>
      <c r="W471" s="267">
        <f t="shared" si="39"/>
        <v>5.2778255043169464E-2</v>
      </c>
      <c r="X471" s="271">
        <f>IFERROR(INDEX(Rainfall_Dry!$O$2:$O$217,MATCH(B471, Rainfall_Dry!$A$2:$A$217,0)),"")</f>
        <v>6.900000125</v>
      </c>
      <c r="Y471" s="260">
        <v>51.960000000000008</v>
      </c>
      <c r="Z471" s="260">
        <v>18.919999999999995</v>
      </c>
      <c r="AA471" s="260">
        <v>29.120000000000005</v>
      </c>
      <c r="AB471" s="261" t="s">
        <v>2673</v>
      </c>
      <c r="AC471" s="260">
        <v>6.8529324790537203</v>
      </c>
      <c r="AD471" t="str">
        <f>IF('WetLitterbags placem_collection'!AB32="","",'WetLitterbags placem_collection'!AB32)</f>
        <v/>
      </c>
      <c r="AE471" t="str">
        <f>IF('WetLitterbags placem_collection'!Z32="","",'WetLitterbags placem_collection'!Z32)</f>
        <v/>
      </c>
      <c r="AF471" s="24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71">
        <f>IFERROR(AVERAGE('Dry_Litterbag Placem_Collection'!N32,'Dry_Litterbag Placem_Collection'!Q32),"")</f>
        <v>24</v>
      </c>
      <c r="AJ471" s="270">
        <f>INDEX(Coordinates!$B$2:$B$197,MATCH(G471,Coordinates!$J$2:$J$197,0))</f>
        <v>-3.38496496</v>
      </c>
      <c r="AK471" s="270">
        <f>INDEX(Coordinates!$C$2:$C$197,MATCH(G471,Coordinates!$J$2:$J$197,0))</f>
        <v>34.818790970000002</v>
      </c>
      <c r="AL471" s="270" t="str">
        <f>IF(ISNUMBER(SEARCH("C", 'Dry_Litterbag Placem_Collection'!U32)),"YES","NO")</f>
        <v>NO</v>
      </c>
      <c r="AM471" s="270" t="str">
        <f>IF(ISNUMBER(SEARCH("H", 'Dry_Litterbag Placem_Collection'!U32)),"YES","NO")</f>
        <v>NO</v>
      </c>
      <c r="AN471" s="270" t="str">
        <f>IF(ISNUMBER(SEARCH("R", 'Dry_Litterbag Placem_Collection'!U32)),"YES","NO")</f>
        <v>NO</v>
      </c>
    </row>
    <row r="472" spans="1:40" ht="15" customHeight="1">
      <c r="A472" s="262" t="s">
        <v>2659</v>
      </c>
      <c r="B472" s="263">
        <f>'Dry_Litterbag Placem_Collection'!A33</f>
        <v>31</v>
      </c>
      <c r="C472" s="263" t="str">
        <f>'Dry_Litterbag Placem_Collection'!B33</f>
        <v>Makao</v>
      </c>
      <c r="D472" s="263" t="s">
        <v>2659</v>
      </c>
      <c r="E472" s="263" t="s">
        <v>2660</v>
      </c>
      <c r="F472" s="263">
        <v>4</v>
      </c>
      <c r="G472" s="264" t="str">
        <f>'Dry_Litterbag Placem_Collection'!C33</f>
        <v>Dry_Ag4_T7</v>
      </c>
      <c r="H472" s="273" t="s">
        <v>3651</v>
      </c>
      <c r="I472" s="266" t="s">
        <v>1147</v>
      </c>
      <c r="J472" s="263" t="str">
        <f>IF(ISBLANK('Dry_Litterbag Placem_Collection'!L33),"","G"&amp;""&amp;'Dry_Litterbag Placem_Collection'!L33)</f>
        <v/>
      </c>
      <c r="K472" s="267" t="str">
        <f>IFERROR(INDEX('Green_rooibos initial weight'!$C$5:$C$1749,MATCH(J472, 'Green_rooibos initial weight'!$A$5:$A$1749,0)),"")</f>
        <v/>
      </c>
      <c r="L472" s="267" t="str">
        <f>IFERROR(K472-(TBIcalc!$Q$9+TBIcalc!$Q$10),"")</f>
        <v/>
      </c>
      <c r="M472" s="391">
        <f>AVERAGE(Ashed_controlls!$K$2:$K$11)</f>
        <v>5.5147656768714146</v>
      </c>
      <c r="N472" s="267" t="str">
        <f t="shared" si="36"/>
        <v/>
      </c>
      <c r="O472" s="267" t="str">
        <f>IF(IFERROR(INDEX('Both teabags AfterDry'!$D$3:$D$900,MATCH(J472,'Both teabags AfterDry'!$A$3:$A$900,0)),"")="","",(IFERROR(INDEX('Both teabags AfterDry'!$D$3:$D$900,MATCH(J472,'Both teabags AfterDry'!$A$3:$A$900,0)),"")))</f>
        <v/>
      </c>
      <c r="P472" s="267" t="str">
        <f>IFERROR(IF(O472&gt;0,O472-(TBIcalc!$Q$9),""),"")</f>
        <v/>
      </c>
      <c r="Q472" s="278" t="str">
        <f>IFERROR(INDEX('Ashed teabags dry'!$K$2:$K$825,MATCH(J472,'Ashed teabags dry'!$A$2:$A$825,0)),"")</f>
        <v/>
      </c>
      <c r="R472" s="278" t="str">
        <f t="shared" si="37"/>
        <v/>
      </c>
      <c r="S472" s="268">
        <f>'Dry_Litterbag Placem_Collection'!E33</f>
        <v>0</v>
      </c>
      <c r="T472" s="268" t="str">
        <f>IF('Dry_Litterbag Placem_Collection'!G33="","",'Dry_Litterbag Placem_Collection'!G33)</f>
        <v/>
      </c>
      <c r="U472" s="269" t="str">
        <f t="shared" si="35"/>
        <v/>
      </c>
      <c r="V472" s="267" t="str">
        <f t="shared" si="38"/>
        <v/>
      </c>
      <c r="W472" s="267" t="str">
        <f t="shared" si="39"/>
        <v/>
      </c>
      <c r="X472" s="271" t="str">
        <f>IFERROR(INDEX(Rainfall_Dry!$O$2:$O$217,MATCH(B472, Rainfall_Dry!$A$2:$A$217,0)),"")</f>
        <v/>
      </c>
      <c r="Y472" s="260">
        <v>51.960000000000008</v>
      </c>
      <c r="Z472" s="260">
        <v>18.919999999999995</v>
      </c>
      <c r="AA472" s="260">
        <v>29.120000000000005</v>
      </c>
      <c r="AB472" s="261" t="s">
        <v>2673</v>
      </c>
      <c r="AC472" s="260">
        <v>7.8529324790537203</v>
      </c>
      <c r="AD472" t="str">
        <f>IF('WetLitterbags placem_collection'!AB33="","",'WetLitterbags placem_collection'!AB33)</f>
        <v/>
      </c>
      <c r="AE472" t="str">
        <f>IF('WetLitterbags placem_collection'!Z33="","",'WetLitterbags placem_collection'!Z33)</f>
        <v/>
      </c>
      <c r="AF472" s="24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71" t="str">
        <f>IFERROR(AVERAGE('Dry_Litterbag Placem_Collection'!N33,'Dry_Litterbag Placem_Collection'!Q33),"")</f>
        <v/>
      </c>
      <c r="AJ472" s="270">
        <f>INDEX(Coordinates!$B$2:$B$197,MATCH(G472,Coordinates!$J$2:$J$197,0))</f>
        <v>-3.3848409909999999</v>
      </c>
      <c r="AK472" s="270">
        <f>INDEX(Coordinates!$C$2:$C$197,MATCH(G472,Coordinates!$J$2:$J$197,0))</f>
        <v>34.818838999999997</v>
      </c>
      <c r="AL472" s="270" t="str">
        <f>IF(ISNUMBER(SEARCH("C", 'Dry_Litterbag Placem_Collection'!U33)),"YES","NO")</f>
        <v>NO</v>
      </c>
      <c r="AM472" s="270" t="str">
        <f>IF(ISNUMBER(SEARCH("H", 'Dry_Litterbag Placem_Collection'!U33)),"YES","NO")</f>
        <v>NO</v>
      </c>
      <c r="AN472" s="270" t="str">
        <f>IF(ISNUMBER(SEARCH("R", 'Dry_Litterbag Placem_Collection'!U33)),"YES","NO")</f>
        <v>NO</v>
      </c>
    </row>
    <row r="473" spans="1:40" ht="15" customHeight="1">
      <c r="A473" s="262" t="s">
        <v>2659</v>
      </c>
      <c r="B473" s="263">
        <f>'Dry_Litterbag Placem_Collection'!A34</f>
        <v>32</v>
      </c>
      <c r="C473" s="263" t="str">
        <f>'Dry_Litterbag Placem_Collection'!B34</f>
        <v>Makao</v>
      </c>
      <c r="D473" s="263" t="s">
        <v>2659</v>
      </c>
      <c r="E473" s="263" t="s">
        <v>2660</v>
      </c>
      <c r="F473" s="263">
        <v>4</v>
      </c>
      <c r="G473" s="264" t="str">
        <f>'Dry_Litterbag Placem_Collection'!C34</f>
        <v>Dry_Ag4_T8</v>
      </c>
      <c r="H473" s="273" t="s">
        <v>3651</v>
      </c>
      <c r="I473" s="266" t="s">
        <v>1147</v>
      </c>
      <c r="J473" s="263" t="str">
        <f>IF(ISBLANK('Dry_Litterbag Placem_Collection'!L34),"","G"&amp;""&amp;'Dry_Litterbag Placem_Collection'!L34)</f>
        <v>G293</v>
      </c>
      <c r="K473" s="267">
        <f>IFERROR(INDEX('Green_rooibos initial weight'!$C$5:$C$1749,MATCH(J473, 'Green_rooibos initial weight'!$A$5:$A$1749,0)),"")</f>
        <v>2.0699999999999998</v>
      </c>
      <c r="L473" s="267">
        <f>IFERROR(K473-(TBIcalc!$Q$9+TBIcalc!$Q$10),"")</f>
        <v>1.8201999999999998</v>
      </c>
      <c r="M473" s="391">
        <f>AVERAGE(Ashed_controlls!$K$2:$K$11)</f>
        <v>5.5147656768714146</v>
      </c>
      <c r="N473" s="267">
        <f t="shared" si="36"/>
        <v>1.7198202351495864</v>
      </c>
      <c r="O473" s="267">
        <f>IF(IFERROR(INDEX('Both teabags AfterDry'!$D$3:$D$900,MATCH(J473,'Both teabags AfterDry'!$A$3:$A$900,0)),"")="","",(IFERROR(INDEX('Both teabags AfterDry'!$D$3:$D$900,MATCH(J473,'Both teabags AfterDry'!$A$3:$A$900,0)),"")))</f>
        <v>1.8129</v>
      </c>
      <c r="P473" s="267">
        <f>IFERROR(IF(O473&gt;0,O473-(TBIcalc!$Q$9),""),"")</f>
        <v>1.6622999999999999</v>
      </c>
      <c r="Q473" s="278">
        <f>IFERROR(INDEX('Ashed teabags dry'!$K$2:$K$825,MATCH(J473,'Ashed teabags dry'!$A$2:$A$825,0)),"")</f>
        <v>6.7003792667513089</v>
      </c>
      <c r="R473" s="278">
        <f t="shared" si="37"/>
        <v>1.5509195954487929</v>
      </c>
      <c r="S473" s="268">
        <f>'Dry_Litterbag Placem_Collection'!E34</f>
        <v>42936</v>
      </c>
      <c r="T473" s="268">
        <f>IF('Dry_Litterbag Placem_Collection'!G34="","",'Dry_Litterbag Placem_Collection'!G34)</f>
        <v>43007</v>
      </c>
      <c r="U473" s="269">
        <f t="shared" si="35"/>
        <v>71</v>
      </c>
      <c r="V473" s="267">
        <f t="shared" si="38"/>
        <v>0.15789999999999993</v>
      </c>
      <c r="W473" s="267">
        <f t="shared" si="39"/>
        <v>0.1689006397007935</v>
      </c>
      <c r="X473" s="271">
        <f>IFERROR(INDEX(Rainfall_Dry!$O$2:$O$217,MATCH(B473, Rainfall_Dry!$A$2:$A$217,0)),"")</f>
        <v>6.900000125</v>
      </c>
      <c r="Y473" s="260">
        <v>51.960000000000008</v>
      </c>
      <c r="Z473" s="260">
        <v>18.919999999999995</v>
      </c>
      <c r="AA473" s="260">
        <v>29.120000000000005</v>
      </c>
      <c r="AB473" s="261" t="s">
        <v>2673</v>
      </c>
      <c r="AC473" s="260">
        <v>8.8529324790537203</v>
      </c>
      <c r="AD473" t="str">
        <f>IF('WetLitterbags placem_collection'!AB34="","",'WetLitterbags placem_collection'!AB34)</f>
        <v/>
      </c>
      <c r="AE473" t="str">
        <f>IF('WetLitterbags placem_collection'!Z34="","",'WetLitterbags placem_collection'!Z34)</f>
        <v/>
      </c>
      <c r="AF473" s="24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71">
        <f>IFERROR(AVERAGE('Dry_Litterbag Placem_Collection'!N34,'Dry_Litterbag Placem_Collection'!Q34),"")</f>
        <v>25.45</v>
      </c>
      <c r="AJ473" s="270">
        <f>INDEX(Coordinates!$B$2:$B$197,MATCH(G473,Coordinates!$J$2:$J$197,0))</f>
        <v>-3.3849010060000002</v>
      </c>
      <c r="AK473" s="270">
        <f>INDEX(Coordinates!$C$2:$C$197,MATCH(G473,Coordinates!$J$2:$J$197,0))</f>
        <v>34.818979990000003</v>
      </c>
      <c r="AL473" s="270" t="str">
        <f>IF(ISNUMBER(SEARCH("C", 'Dry_Litterbag Placem_Collection'!U34)),"YES","NO")</f>
        <v>NO</v>
      </c>
      <c r="AM473" s="270" t="str">
        <f>IF(ISNUMBER(SEARCH("H", 'Dry_Litterbag Placem_Collection'!U34)),"YES","NO")</f>
        <v>NO</v>
      </c>
      <c r="AN473" s="270" t="str">
        <f>IF(ISNUMBER(SEARCH("R", 'Dry_Litterbag Placem_Collection'!U34)),"YES","NO")</f>
        <v>NO</v>
      </c>
    </row>
    <row r="474" spans="1:40" ht="15" customHeight="1">
      <c r="A474" s="262" t="s">
        <v>2659</v>
      </c>
      <c r="B474" s="263">
        <f>'Dry_Litterbag Placem_Collection'!A35</f>
        <v>33</v>
      </c>
      <c r="C474" s="263" t="str">
        <f>'Dry_Litterbag Placem_Collection'!B35</f>
        <v>Makao</v>
      </c>
      <c r="D474" s="263" t="s">
        <v>2659</v>
      </c>
      <c r="E474" s="263" t="s">
        <v>20</v>
      </c>
      <c r="F474" s="263">
        <v>1</v>
      </c>
      <c r="G474" s="264" t="str">
        <f>'Dry_Litterbag Placem_Collection'!C35</f>
        <v>Dry_P1_T1</v>
      </c>
      <c r="H474" s="273" t="s">
        <v>3651</v>
      </c>
      <c r="I474" s="266" t="s">
        <v>1147</v>
      </c>
      <c r="J474" s="263" t="str">
        <f>IF(ISBLANK('Dry_Litterbag Placem_Collection'!L35),"","G"&amp;""&amp;'Dry_Litterbag Placem_Collection'!L35)</f>
        <v>G139</v>
      </c>
      <c r="K474" s="267">
        <f>IFERROR(INDEX('Green_rooibos initial weight'!$C$5:$C$1749,MATCH(J474, 'Green_rooibos initial weight'!$A$5:$A$1749,0)),"")</f>
        <v>2.0059999999999998</v>
      </c>
      <c r="L474" s="267">
        <f>IFERROR(K474-(TBIcalc!$Q$9+TBIcalc!$Q$10),"")</f>
        <v>1.7561999999999998</v>
      </c>
      <c r="M474" s="391">
        <f>AVERAGE(Ashed_controlls!$K$2:$K$11)</f>
        <v>5.5147656768714146</v>
      </c>
      <c r="N474" s="267">
        <f t="shared" si="36"/>
        <v>1.659349685182784</v>
      </c>
      <c r="O474" s="267">
        <f>IF(IFERROR(INDEX('Both teabags AfterDry'!$D$3:$D$900,MATCH(J474,'Both teabags AfterDry'!$A$3:$A$900,0)),"")="","",(IFERROR(INDEX('Both teabags AfterDry'!$D$3:$D$900,MATCH(J474,'Both teabags AfterDry'!$A$3:$A$900,0)),"")))</f>
        <v>1.8048</v>
      </c>
      <c r="P474" s="267">
        <f>IFERROR(IF(O474&gt;0,O474-(TBIcalc!$Q$9),""),"")</f>
        <v>1.6541999999999999</v>
      </c>
      <c r="Q474" s="278">
        <f>IFERROR(INDEX('Ashed teabags dry'!$K$2:$K$825,MATCH(J474,'Ashed teabags dry'!$A$2:$A$825,0)),"")</f>
        <v>6.3172671970048668</v>
      </c>
      <c r="R474" s="278">
        <f t="shared" si="37"/>
        <v>1.5496997660271454</v>
      </c>
      <c r="S474" s="268">
        <f>'Dry_Litterbag Placem_Collection'!E35</f>
        <v>42938</v>
      </c>
      <c r="T474" s="268">
        <f>IF('Dry_Litterbag Placem_Collection'!G35="","",'Dry_Litterbag Placem_Collection'!G35)</f>
        <v>43005</v>
      </c>
      <c r="U474" s="269">
        <f t="shared" si="35"/>
        <v>67</v>
      </c>
      <c r="V474" s="267">
        <f t="shared" si="38"/>
        <v>0.10199999999999987</v>
      </c>
      <c r="W474" s="267">
        <f t="shared" si="39"/>
        <v>0.1096499191556386</v>
      </c>
      <c r="X474" s="271">
        <f>IFERROR(INDEX(Rainfall_Dry!$O$2:$O$217,MATCH(B474, Rainfall_Dry!$A$2:$A$217,0)),"")</f>
        <v>6.5250000359999998</v>
      </c>
      <c r="Y474" s="260">
        <v>23.96</v>
      </c>
      <c r="Z474" s="260">
        <v>0.91999999999999804</v>
      </c>
      <c r="AA474" s="260">
        <v>75.12</v>
      </c>
      <c r="AB474" s="261" t="s">
        <v>2670</v>
      </c>
      <c r="AC474" s="260">
        <v>1.2493839329719072</v>
      </c>
      <c r="AD474">
        <f>IF('WetLitterbags placem_collection'!AB35="","",'WetLitterbags placem_collection'!AB35)</f>
        <v>9.5</v>
      </c>
      <c r="AE474">
        <f>IF('WetLitterbags placem_collection'!Z35="","",'WetLitterbags placem_collection'!Z35)</f>
        <v>17.2</v>
      </c>
      <c r="AF474" s="24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71">
        <f>IFERROR(AVERAGE('Dry_Litterbag Placem_Collection'!N35,'Dry_Litterbag Placem_Collection'!Q35),"")</f>
        <v>26.15</v>
      </c>
      <c r="AJ474" s="270">
        <f>INDEX(Coordinates!$B$2:$B$197,MATCH(G474,Coordinates!$J$2:$J$197,0))</f>
        <v>-3.4092039989999998</v>
      </c>
      <c r="AK474" s="270">
        <f>INDEX(Coordinates!$C$2:$C$197,MATCH(G474,Coordinates!$J$2:$J$197,0))</f>
        <v>34.852751009999999</v>
      </c>
      <c r="AL474" s="270" t="str">
        <f>IF(ISNUMBER(SEARCH("C", 'Dry_Litterbag Placem_Collection'!U35)),"YES","NO")</f>
        <v>NO</v>
      </c>
      <c r="AM474" s="270" t="str">
        <f>IF(ISNUMBER(SEARCH("H", 'Dry_Litterbag Placem_Collection'!U35)),"YES","NO")</f>
        <v>NO</v>
      </c>
      <c r="AN474" s="270" t="str">
        <f>IF(ISNUMBER(SEARCH("R", 'Dry_Litterbag Placem_Collection'!U35)),"YES","NO")</f>
        <v>NO</v>
      </c>
    </row>
    <row r="475" spans="1:40" ht="15" customHeight="1">
      <c r="A475" s="262" t="s">
        <v>2659</v>
      </c>
      <c r="B475" s="263">
        <f>'Dry_Litterbag Placem_Collection'!A36</f>
        <v>34</v>
      </c>
      <c r="C475" s="263" t="str">
        <f>'Dry_Litterbag Placem_Collection'!B36</f>
        <v>Makao</v>
      </c>
      <c r="D475" s="263" t="s">
        <v>2659</v>
      </c>
      <c r="E475" s="263" t="s">
        <v>20</v>
      </c>
      <c r="F475" s="263">
        <v>1</v>
      </c>
      <c r="G475" s="264" t="str">
        <f>'Dry_Litterbag Placem_Collection'!C36</f>
        <v>Dry_P1_T2</v>
      </c>
      <c r="H475" s="273" t="s">
        <v>3651</v>
      </c>
      <c r="I475" s="266" t="s">
        <v>1147</v>
      </c>
      <c r="J475" s="263" t="str">
        <f>IF(ISBLANK('Dry_Litterbag Placem_Collection'!L36),"","G"&amp;""&amp;'Dry_Litterbag Placem_Collection'!L36)</f>
        <v>G487</v>
      </c>
      <c r="K475" s="267">
        <f>IFERROR(INDEX('Green_rooibos initial weight'!$C$5:$C$1749,MATCH(J475, 'Green_rooibos initial weight'!$A$5:$A$1749,0)),"")</f>
        <v>1.9259999999999999</v>
      </c>
      <c r="L475" s="267">
        <f>IFERROR(K475-(TBIcalc!$Q$9+TBIcalc!$Q$10),"")</f>
        <v>1.6761999999999999</v>
      </c>
      <c r="M475" s="391">
        <f>AVERAGE(Ashed_controlls!$K$2:$K$11)</f>
        <v>5.5147656768714146</v>
      </c>
      <c r="N475" s="267">
        <f t="shared" si="36"/>
        <v>1.5837614977242813</v>
      </c>
      <c r="O475" s="267" t="str">
        <f>IF(IFERROR(INDEX('Both teabags AfterDry'!$D$3:$D$900,MATCH(J475,'Both teabags AfterDry'!$A$3:$A$900,0)),"")="","",(IFERROR(INDEX('Both teabags AfterDry'!$D$3:$D$900,MATCH(J475,'Both teabags AfterDry'!$A$3:$A$900,0)),"")))</f>
        <v/>
      </c>
      <c r="P475" s="267" t="str">
        <f>IFERROR(IF(O475&gt;0,O475-(TBIcalc!$Q$9),""),"")</f>
        <v/>
      </c>
      <c r="Q475" s="278" t="str">
        <f>IFERROR(INDEX('Ashed teabags dry'!$K$2:$K$825,MATCH(J475,'Ashed teabags dry'!$A$2:$A$825,0)),"")</f>
        <v/>
      </c>
      <c r="R475" s="278" t="str">
        <f t="shared" si="37"/>
        <v/>
      </c>
      <c r="S475" s="268">
        <f>'Dry_Litterbag Placem_Collection'!E36</f>
        <v>42938</v>
      </c>
      <c r="T475" s="268">
        <f>IF('Dry_Litterbag Placem_Collection'!G36="","",'Dry_Litterbag Placem_Collection'!G36)</f>
        <v>43005</v>
      </c>
      <c r="U475" s="269">
        <f t="shared" si="35"/>
        <v>67</v>
      </c>
      <c r="V475" s="267" t="str">
        <f t="shared" si="38"/>
        <v/>
      </c>
      <c r="W475" s="267" t="str">
        <f t="shared" si="39"/>
        <v/>
      </c>
      <c r="X475" s="271">
        <f>IFERROR(INDEX(Rainfall_Dry!$O$2:$O$217,MATCH(B475, Rainfall_Dry!$A$2:$A$217,0)),"")</f>
        <v>6.5250000359999998</v>
      </c>
      <c r="Y475" s="260">
        <v>23.96</v>
      </c>
      <c r="Z475" s="260">
        <v>0.91999999999999804</v>
      </c>
      <c r="AA475" s="260">
        <v>75.12</v>
      </c>
      <c r="AB475" s="261" t="s">
        <v>2670</v>
      </c>
      <c r="AC475" s="260">
        <v>1.2493839329719072</v>
      </c>
      <c r="AD475">
        <f>IF('WetLitterbags placem_collection'!AB36="","",'WetLitterbags placem_collection'!AB36)</f>
        <v>6.5</v>
      </c>
      <c r="AE475">
        <f>IF('WetLitterbags placem_collection'!Z36="","",'WetLitterbags placem_collection'!Z36)</f>
        <v>14.2</v>
      </c>
      <c r="AF475" s="24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71">
        <f>IFERROR(AVERAGE('Dry_Litterbag Placem_Collection'!N36,'Dry_Litterbag Placem_Collection'!Q36),"")</f>
        <v>26.9</v>
      </c>
      <c r="AJ475" s="270">
        <f>INDEX(Coordinates!$B$2:$B$197,MATCH(G475,Coordinates!$J$2:$J$197,0))</f>
        <v>-3.4092350119999999</v>
      </c>
      <c r="AK475" s="270">
        <f>INDEX(Coordinates!$C$2:$C$197,MATCH(G475,Coordinates!$J$2:$J$197,0))</f>
        <v>34.852782019999999</v>
      </c>
      <c r="AL475" s="270" t="str">
        <f>IF(ISNUMBER(SEARCH("C", 'Dry_Litterbag Placem_Collection'!U36)),"YES","NO")</f>
        <v>NO</v>
      </c>
      <c r="AM475" s="270" t="str">
        <f>IF(ISNUMBER(SEARCH("H", 'Dry_Litterbag Placem_Collection'!U36)),"YES","NO")</f>
        <v>NO</v>
      </c>
      <c r="AN475" s="270" t="str">
        <f>IF(ISNUMBER(SEARCH("R", 'Dry_Litterbag Placem_Collection'!U36)),"YES","NO")</f>
        <v>NO</v>
      </c>
    </row>
    <row r="476" spans="1:40" ht="15" customHeight="1">
      <c r="A476" s="262" t="s">
        <v>2659</v>
      </c>
      <c r="B476" s="263">
        <f>'Dry_Litterbag Placem_Collection'!A37</f>
        <v>35</v>
      </c>
      <c r="C476" s="263" t="str">
        <f>'Dry_Litterbag Placem_Collection'!B37</f>
        <v>Makao</v>
      </c>
      <c r="D476" s="263" t="s">
        <v>2659</v>
      </c>
      <c r="E476" s="263" t="s">
        <v>20</v>
      </c>
      <c r="F476" s="263">
        <v>1</v>
      </c>
      <c r="G476" s="264" t="str">
        <f>'Dry_Litterbag Placem_Collection'!C37</f>
        <v>Dry_P1_T3</v>
      </c>
      <c r="H476" s="273" t="s">
        <v>3651</v>
      </c>
      <c r="I476" s="266" t="s">
        <v>1147</v>
      </c>
      <c r="J476" s="263" t="str">
        <f>IF(ISBLANK('Dry_Litterbag Placem_Collection'!L37),"","G"&amp;""&amp;'Dry_Litterbag Placem_Collection'!L37)</f>
        <v>G717</v>
      </c>
      <c r="K476" s="267">
        <f>IFERROR(INDEX('Green_rooibos initial weight'!$C$5:$C$1749,MATCH(J476, 'Green_rooibos initial weight'!$A$5:$A$1749,0)),"")</f>
        <v>1.944</v>
      </c>
      <c r="L476" s="267">
        <f>IFERROR(K476-(TBIcalc!$Q$9+TBIcalc!$Q$10),"")</f>
        <v>1.6941999999999999</v>
      </c>
      <c r="M476" s="391">
        <f>AVERAGE(Ashed_controlls!$K$2:$K$11)</f>
        <v>5.5147656768714146</v>
      </c>
      <c r="N476" s="267">
        <f t="shared" si="36"/>
        <v>1.6007688399024445</v>
      </c>
      <c r="O476" s="267">
        <f>IF(IFERROR(INDEX('Both teabags AfterDry'!$D$3:$D$900,MATCH(J476,'Both teabags AfterDry'!$A$3:$A$900,0)),"")="","",(IFERROR(INDEX('Both teabags AfterDry'!$D$3:$D$900,MATCH(J476,'Both teabags AfterDry'!$A$3:$A$900,0)),"")))</f>
        <v>1.8165</v>
      </c>
      <c r="P476" s="267">
        <f>IFERROR(IF(O476&gt;0,O476-(TBIcalc!$Q$9),""),"")</f>
        <v>1.6658999999999999</v>
      </c>
      <c r="Q476" s="278">
        <f>IFERROR(INDEX('Ashed teabags dry'!$K$2:$K$825,MATCH(J476,'Ashed teabags dry'!$A$2:$A$825,0)),"")</f>
        <v>5.65371024735001</v>
      </c>
      <c r="R476" s="278">
        <f t="shared" si="37"/>
        <v>1.5717148409893962</v>
      </c>
      <c r="S476" s="268">
        <f>'Dry_Litterbag Placem_Collection'!E37</f>
        <v>42938</v>
      </c>
      <c r="T476" s="268">
        <f>IF('Dry_Litterbag Placem_Collection'!G37="","",'Dry_Litterbag Placem_Collection'!G37)</f>
        <v>43005</v>
      </c>
      <c r="U476" s="269">
        <f t="shared" si="35"/>
        <v>67</v>
      </c>
      <c r="V476" s="267">
        <f t="shared" si="38"/>
        <v>2.8299999999999992E-2</v>
      </c>
      <c r="W476" s="267">
        <f t="shared" si="39"/>
        <v>2.9053998913048273E-2</v>
      </c>
      <c r="X476" s="271">
        <f>IFERROR(INDEX(Rainfall_Dry!$O$2:$O$217,MATCH(B476, Rainfall_Dry!$A$2:$A$217,0)),"")</f>
        <v>6.5250000359999998</v>
      </c>
      <c r="Y476" s="260">
        <v>23.96</v>
      </c>
      <c r="Z476" s="260">
        <v>0.91999999999999804</v>
      </c>
      <c r="AA476" s="260">
        <v>75.12</v>
      </c>
      <c r="AB476" s="261" t="s">
        <v>2670</v>
      </c>
      <c r="AC476" s="260">
        <v>1.2493839329719072</v>
      </c>
      <c r="AD476">
        <f>IF('WetLitterbags placem_collection'!AB37="","",'WetLitterbags placem_collection'!AB37)</f>
        <v>0.7</v>
      </c>
      <c r="AE476">
        <f>IF('WetLitterbags placem_collection'!Z37="","",'WetLitterbags placem_collection'!Z37)</f>
        <v>10.6</v>
      </c>
      <c r="AF476" s="24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71">
        <f>IFERROR(AVERAGE('Dry_Litterbag Placem_Collection'!N37,'Dry_Litterbag Placem_Collection'!Q37),"")</f>
        <v>26.95</v>
      </c>
      <c r="AJ476" s="270">
        <f>INDEX(Coordinates!$B$2:$B$197,MATCH(G476,Coordinates!$J$2:$J$197,0))</f>
        <v>-3.409177009</v>
      </c>
      <c r="AK476" s="270">
        <f>INDEX(Coordinates!$C$2:$C$197,MATCH(G476,Coordinates!$J$2:$J$197,0))</f>
        <v>34.852818990000003</v>
      </c>
      <c r="AL476" s="270" t="str">
        <f>IF(ISNUMBER(SEARCH("C", 'Dry_Litterbag Placem_Collection'!U37)),"YES","NO")</f>
        <v>NO</v>
      </c>
      <c r="AM476" s="270" t="str">
        <f>IF(ISNUMBER(SEARCH("H", 'Dry_Litterbag Placem_Collection'!U37)),"YES","NO")</f>
        <v>NO</v>
      </c>
      <c r="AN476" s="270" t="str">
        <f>IF(ISNUMBER(SEARCH("R", 'Dry_Litterbag Placem_Collection'!U37)),"YES","NO")</f>
        <v>NO</v>
      </c>
    </row>
    <row r="477" spans="1:40" ht="15" customHeight="1">
      <c r="A477" s="262" t="s">
        <v>2659</v>
      </c>
      <c r="B477" s="263">
        <f>'Dry_Litterbag Placem_Collection'!A38</f>
        <v>36</v>
      </c>
      <c r="C477" s="263" t="str">
        <f>'Dry_Litterbag Placem_Collection'!B38</f>
        <v>Makao</v>
      </c>
      <c r="D477" s="263" t="s">
        <v>2659</v>
      </c>
      <c r="E477" s="263" t="s">
        <v>20</v>
      </c>
      <c r="F477" s="263">
        <v>1</v>
      </c>
      <c r="G477" s="264" t="str">
        <f>'Dry_Litterbag Placem_Collection'!C38</f>
        <v>Dry_P1_T4</v>
      </c>
      <c r="H477" s="273" t="s">
        <v>3651</v>
      </c>
      <c r="I477" s="266" t="s">
        <v>1147</v>
      </c>
      <c r="J477" s="263" t="str">
        <f>IF(ISBLANK('Dry_Litterbag Placem_Collection'!L38),"","G"&amp;""&amp;'Dry_Litterbag Placem_Collection'!L38)</f>
        <v>G767</v>
      </c>
      <c r="K477" s="267">
        <f>IFERROR(INDEX('Green_rooibos initial weight'!$C$5:$C$1749,MATCH(J477, 'Green_rooibos initial weight'!$A$5:$A$1749,0)),"")</f>
        <v>1.8879999999999999</v>
      </c>
      <c r="L477" s="267">
        <f>IFERROR(K477-(TBIcalc!$Q$9+TBIcalc!$Q$10),"")</f>
        <v>1.6381999999999999</v>
      </c>
      <c r="M477" s="391">
        <f>AVERAGE(Ashed_controlls!$K$2:$K$11)</f>
        <v>5.5147656768714146</v>
      </c>
      <c r="N477" s="267">
        <f t="shared" si="36"/>
        <v>1.5478571086814923</v>
      </c>
      <c r="O477" s="267">
        <f>IF(IFERROR(INDEX('Both teabags AfterDry'!$D$3:$D$900,MATCH(J477,'Both teabags AfterDry'!$A$3:$A$900,0)),"")="","",(IFERROR(INDEX('Both teabags AfterDry'!$D$3:$D$900,MATCH(J477,'Both teabags AfterDry'!$A$3:$A$900,0)),"")))</f>
        <v>1.4665999999999999</v>
      </c>
      <c r="P477" s="267">
        <f>IFERROR(IF(O477&gt;0,O477-(TBIcalc!$Q$9),""),"")</f>
        <v>1.3159999999999998</v>
      </c>
      <c r="Q477" s="278">
        <f>IFERROR(INDEX('Ashed teabags dry'!$K$2:$K$825,MATCH(J477,'Ashed teabags dry'!$A$2:$A$825,0)),"")</f>
        <v>8.3333333333337372</v>
      </c>
      <c r="R477" s="278">
        <f t="shared" si="37"/>
        <v>1.2063333333333279</v>
      </c>
      <c r="S477" s="268">
        <f>'Dry_Litterbag Placem_Collection'!E38</f>
        <v>42938</v>
      </c>
      <c r="T477" s="268">
        <f>IF('Dry_Litterbag Placem_Collection'!G38="","",'Dry_Litterbag Placem_Collection'!G38)</f>
        <v>43005</v>
      </c>
      <c r="U477" s="269">
        <f t="shared" si="35"/>
        <v>67</v>
      </c>
      <c r="V477" s="267">
        <f t="shared" si="38"/>
        <v>0.32220000000000004</v>
      </c>
      <c r="W477" s="267">
        <f t="shared" si="39"/>
        <v>0.34152377534816436</v>
      </c>
      <c r="X477" s="271">
        <f>IFERROR(INDEX(Rainfall_Dry!$O$2:$O$217,MATCH(B477, Rainfall_Dry!$A$2:$A$217,0)),"")</f>
        <v>6.5250000359999998</v>
      </c>
      <c r="Y477" s="260">
        <v>23.96</v>
      </c>
      <c r="Z477" s="260">
        <v>0.91999999999999804</v>
      </c>
      <c r="AA477" s="260">
        <v>75.12</v>
      </c>
      <c r="AB477" s="261" t="s">
        <v>2670</v>
      </c>
      <c r="AC477" s="260">
        <v>1.2493839329719072</v>
      </c>
      <c r="AD477">
        <f>IF('WetLitterbags placem_collection'!AB38="","",'WetLitterbags placem_collection'!AB38)</f>
        <v>3.3</v>
      </c>
      <c r="AE477">
        <f>IF('WetLitterbags placem_collection'!Z38="","",'WetLitterbags placem_collection'!Z38)</f>
        <v>4.9000000000000004</v>
      </c>
      <c r="AF477" s="24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71">
        <f>IFERROR(AVERAGE('Dry_Litterbag Placem_Collection'!N38,'Dry_Litterbag Placem_Collection'!Q38),"")</f>
        <v>25.85</v>
      </c>
      <c r="AJ477" s="270">
        <f>INDEX(Coordinates!$B$2:$B$197,MATCH(G477,Coordinates!$J$2:$J$197,0))</f>
        <v>-3.40917198</v>
      </c>
      <c r="AK477" s="270">
        <f>INDEX(Coordinates!$C$2:$C$197,MATCH(G477,Coordinates!$J$2:$J$197,0))</f>
        <v>34.852960979999999</v>
      </c>
      <c r="AL477" s="270" t="str">
        <f>IF(ISNUMBER(SEARCH("C", 'Dry_Litterbag Placem_Collection'!U38)),"YES","NO")</f>
        <v>NO</v>
      </c>
      <c r="AM477" s="270" t="str">
        <f>IF(ISNUMBER(SEARCH("H", 'Dry_Litterbag Placem_Collection'!U38)),"YES","NO")</f>
        <v>NO</v>
      </c>
      <c r="AN477" s="270" t="str">
        <f>IF(ISNUMBER(SEARCH("R", 'Dry_Litterbag Placem_Collection'!U38)),"YES","NO")</f>
        <v>YES</v>
      </c>
    </row>
    <row r="478" spans="1:40" ht="15" customHeight="1">
      <c r="A478" s="262" t="s">
        <v>2659</v>
      </c>
      <c r="B478" s="263">
        <f>'Dry_Litterbag Placem_Collection'!A39</f>
        <v>37</v>
      </c>
      <c r="C478" s="263" t="str">
        <f>'Dry_Litterbag Placem_Collection'!B39</f>
        <v>Makao</v>
      </c>
      <c r="D478" s="263" t="s">
        <v>2659</v>
      </c>
      <c r="E478" s="263" t="s">
        <v>20</v>
      </c>
      <c r="F478" s="263">
        <v>1</v>
      </c>
      <c r="G478" s="264" t="str">
        <f>'Dry_Litterbag Placem_Collection'!C39</f>
        <v>Dry_P1_T5</v>
      </c>
      <c r="H478" s="273" t="s">
        <v>3651</v>
      </c>
      <c r="I478" s="266" t="s">
        <v>1147</v>
      </c>
      <c r="J478" s="263" t="str">
        <f>IF(ISBLANK('Dry_Litterbag Placem_Collection'!L39),"","G"&amp;""&amp;'Dry_Litterbag Placem_Collection'!L39)</f>
        <v>G473</v>
      </c>
      <c r="K478" s="267">
        <f>IFERROR(INDEX('Green_rooibos initial weight'!$C$5:$C$1749,MATCH(J478, 'Green_rooibos initial weight'!$A$5:$A$1749,0)),"")</f>
        <v>2.077</v>
      </c>
      <c r="L478" s="267">
        <f>IFERROR(K478-(TBIcalc!$Q$9+TBIcalc!$Q$10),"")</f>
        <v>1.8271999999999999</v>
      </c>
      <c r="M478" s="391">
        <f>AVERAGE(Ashed_controlls!$K$2:$K$11)</f>
        <v>5.5147656768714146</v>
      </c>
      <c r="N478" s="267">
        <f t="shared" si="36"/>
        <v>1.7264342015522054</v>
      </c>
      <c r="O478" s="267">
        <f>IF(IFERROR(INDEX('Both teabags AfterDry'!$D$3:$D$900,MATCH(J478,'Both teabags AfterDry'!$A$3:$A$900,0)),"")="","",(IFERROR(INDEX('Both teabags AfterDry'!$D$3:$D$900,MATCH(J478,'Both teabags AfterDry'!$A$3:$A$900,0)),"")))</f>
        <v>1.8992</v>
      </c>
      <c r="P478" s="267">
        <f>IFERROR(IF(O478&gt;0,O478-(TBIcalc!$Q$9),""),"")</f>
        <v>1.7485999999999999</v>
      </c>
      <c r="Q478" s="278">
        <f>IFERROR(INDEX('Ashed teabags dry'!$K$2:$K$825,MATCH(J478,'Ashed teabags dry'!$A$2:$A$825,0)),"")</f>
        <v>6.7924528301884193</v>
      </c>
      <c r="R478" s="278">
        <f t="shared" si="37"/>
        <v>1.6298271698113251</v>
      </c>
      <c r="S478" s="268">
        <f>'Dry_Litterbag Placem_Collection'!E39</f>
        <v>42938</v>
      </c>
      <c r="T478" s="268">
        <f>IF('Dry_Litterbag Placem_Collection'!G39="","",'Dry_Litterbag Placem_Collection'!G39)</f>
        <v>43005</v>
      </c>
      <c r="U478" s="269">
        <f t="shared" si="35"/>
        <v>67</v>
      </c>
      <c r="V478" s="267">
        <f t="shared" si="38"/>
        <v>7.8600000000000003E-2</v>
      </c>
      <c r="W478" s="267">
        <f t="shared" si="39"/>
        <v>9.6607031740880256E-2</v>
      </c>
      <c r="X478" s="271">
        <f>IFERROR(INDEX(Rainfall_Dry!$O$2:$O$217,MATCH(B478, Rainfall_Dry!$A$2:$A$217,0)),"")</f>
        <v>6.5250000359999998</v>
      </c>
      <c r="Y478" s="260">
        <v>23.96</v>
      </c>
      <c r="Z478" s="260">
        <v>0.91999999999999804</v>
      </c>
      <c r="AA478" s="260">
        <v>75.12</v>
      </c>
      <c r="AB478" s="261" t="s">
        <v>2670</v>
      </c>
      <c r="AC478" s="260">
        <v>1.2493839329719072</v>
      </c>
      <c r="AD478">
        <f>IF('WetLitterbags placem_collection'!AB39="","",'WetLitterbags placem_collection'!AB39)</f>
        <v>8.3000000000000007</v>
      </c>
      <c r="AE478">
        <f>IF('WetLitterbags placem_collection'!Z39="","",'WetLitterbags placem_collection'!Z39)</f>
        <v>27.8</v>
      </c>
      <c r="AF478" s="24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71">
        <f>IFERROR(AVERAGE('Dry_Litterbag Placem_Collection'!N39,'Dry_Litterbag Placem_Collection'!Q39),"")</f>
        <v>26.1</v>
      </c>
      <c r="AJ478" s="270">
        <f>INDEX(Coordinates!$B$2:$B$197,MATCH(G478,Coordinates!$J$2:$J$197,0))</f>
        <v>-3.4090709779999999</v>
      </c>
      <c r="AK478" s="270">
        <f>INDEX(Coordinates!$C$2:$C$197,MATCH(G478,Coordinates!$J$2:$J$197,0))</f>
        <v>34.852712029999999</v>
      </c>
      <c r="AL478" s="270" t="str">
        <f>IF(ISNUMBER(SEARCH("C", 'Dry_Litterbag Placem_Collection'!U39)),"YES","NO")</f>
        <v>NO</v>
      </c>
      <c r="AM478" s="270" t="str">
        <f>IF(ISNUMBER(SEARCH("H", 'Dry_Litterbag Placem_Collection'!U39)),"YES","NO")</f>
        <v>NO</v>
      </c>
      <c r="AN478" s="270" t="str">
        <f>IF(ISNUMBER(SEARCH("R", 'Dry_Litterbag Placem_Collection'!U39)),"YES","NO")</f>
        <v>NO</v>
      </c>
    </row>
    <row r="479" spans="1:40" ht="15" customHeight="1">
      <c r="A479" s="262" t="s">
        <v>2659</v>
      </c>
      <c r="B479" s="263">
        <f>'Dry_Litterbag Placem_Collection'!A40</f>
        <v>38</v>
      </c>
      <c r="C479" s="263" t="str">
        <f>'Dry_Litterbag Placem_Collection'!B40</f>
        <v>Makao</v>
      </c>
      <c r="D479" s="263" t="s">
        <v>2659</v>
      </c>
      <c r="E479" s="263" t="s">
        <v>20</v>
      </c>
      <c r="F479" s="263">
        <v>1</v>
      </c>
      <c r="G479" s="264" t="str">
        <f>'Dry_Litterbag Placem_Collection'!C40</f>
        <v>Dry_P1_T6</v>
      </c>
      <c r="H479" s="273" t="s">
        <v>3651</v>
      </c>
      <c r="I479" s="266" t="s">
        <v>1147</v>
      </c>
      <c r="J479" s="263" t="str">
        <f>IF(ISBLANK('Dry_Litterbag Placem_Collection'!L40),"","G"&amp;""&amp;'Dry_Litterbag Placem_Collection'!L40)</f>
        <v>G111</v>
      </c>
      <c r="K479" s="267">
        <f>IFERROR(INDEX('Green_rooibos initial weight'!$C$5:$C$1749,MATCH(J479, 'Green_rooibos initial weight'!$A$5:$A$1749,0)),"")</f>
        <v>2.0750000000000002</v>
      </c>
      <c r="L479" s="267">
        <f>IFERROR(K479-(TBIcalc!$Q$9+TBIcalc!$Q$10),"")</f>
        <v>1.8252000000000002</v>
      </c>
      <c r="M479" s="391">
        <f>AVERAGE(Ashed_controlls!$K$2:$K$11)</f>
        <v>5.5147656768714146</v>
      </c>
      <c r="N479" s="267">
        <f t="shared" si="36"/>
        <v>1.7245444968657431</v>
      </c>
      <c r="O479" s="267">
        <f>IF(IFERROR(INDEX('Both teabags AfterDry'!$D$3:$D$900,MATCH(J479,'Both teabags AfterDry'!$A$3:$A$900,0)),"")="","",(IFERROR(INDEX('Both teabags AfterDry'!$D$3:$D$900,MATCH(J479,'Both teabags AfterDry'!$A$3:$A$900,0)),"")))</f>
        <v>1.8357000000000001</v>
      </c>
      <c r="P479" s="267">
        <f>IFERROR(IF(O479&gt;0,O479-(TBIcalc!$Q$9),""),"")</f>
        <v>1.6851</v>
      </c>
      <c r="Q479" s="278">
        <f>IFERROR(INDEX('Ashed teabags dry'!$K$2:$K$825,MATCH(J479,'Ashed teabags dry'!$A$2:$A$825,0)),"")</f>
        <v>6.2317429406042981</v>
      </c>
      <c r="R479" s="278">
        <f t="shared" si="37"/>
        <v>1.580088899707877</v>
      </c>
      <c r="S479" s="268">
        <f>'Dry_Litterbag Placem_Collection'!E40</f>
        <v>42938</v>
      </c>
      <c r="T479" s="268">
        <f>IF('Dry_Litterbag Placem_Collection'!G40="","",'Dry_Litterbag Placem_Collection'!G40)</f>
        <v>43005</v>
      </c>
      <c r="U479" s="269">
        <f t="shared" si="35"/>
        <v>67</v>
      </c>
      <c r="V479" s="267">
        <f t="shared" si="38"/>
        <v>0.14010000000000011</v>
      </c>
      <c r="W479" s="267">
        <f t="shared" si="39"/>
        <v>0.14445559715786604</v>
      </c>
      <c r="X479" s="271">
        <f>IFERROR(INDEX(Rainfall_Dry!$O$2:$O$217,MATCH(B479, Rainfall_Dry!$A$2:$A$217,0)),"")</f>
        <v>6.5250000359999998</v>
      </c>
      <c r="Y479" s="260">
        <v>23.96</v>
      </c>
      <c r="Z479" s="260">
        <v>0.91999999999999804</v>
      </c>
      <c r="AA479" s="260">
        <v>75.12</v>
      </c>
      <c r="AB479" s="261" t="s">
        <v>2670</v>
      </c>
      <c r="AC479" s="260">
        <v>1.2493839329719072</v>
      </c>
      <c r="AD479">
        <f>IF('WetLitterbags placem_collection'!AB40="","",'WetLitterbags placem_collection'!AB40)</f>
        <v>2</v>
      </c>
      <c r="AE479">
        <f>IF('WetLitterbags placem_collection'!Z40="","",'WetLitterbags placem_collection'!Z40)</f>
        <v>20.399999999999999</v>
      </c>
      <c r="AF479" s="24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71">
        <f>IFERROR(AVERAGE('Dry_Litterbag Placem_Collection'!N40,'Dry_Litterbag Placem_Collection'!Q40),"")</f>
        <v>26.7</v>
      </c>
      <c r="AJ479" s="270">
        <f>INDEX(Coordinates!$B$2:$B$197,MATCH(G479,Coordinates!$J$2:$J$197,0))</f>
        <v>-3.409280023</v>
      </c>
      <c r="AK479" s="270">
        <f>INDEX(Coordinates!$C$2:$C$197,MATCH(G479,Coordinates!$J$2:$J$197,0))</f>
        <v>34.852612960000002</v>
      </c>
      <c r="AL479" s="270" t="str">
        <f>IF(ISNUMBER(SEARCH("C", 'Dry_Litterbag Placem_Collection'!U40)),"YES","NO")</f>
        <v>NO</v>
      </c>
      <c r="AM479" s="270" t="str">
        <f>IF(ISNUMBER(SEARCH("H", 'Dry_Litterbag Placem_Collection'!U40)),"YES","NO")</f>
        <v>NO</v>
      </c>
      <c r="AN479" s="270" t="str">
        <f>IF(ISNUMBER(SEARCH("R", 'Dry_Litterbag Placem_Collection'!U40)),"YES","NO")</f>
        <v>NO</v>
      </c>
    </row>
    <row r="480" spans="1:40" ht="15" customHeight="1">
      <c r="A480" s="262" t="s">
        <v>2659</v>
      </c>
      <c r="B480" s="263">
        <f>'Dry_Litterbag Placem_Collection'!A41</f>
        <v>39</v>
      </c>
      <c r="C480" s="263" t="str">
        <f>'Dry_Litterbag Placem_Collection'!B41</f>
        <v>Makao</v>
      </c>
      <c r="D480" s="263" t="s">
        <v>2659</v>
      </c>
      <c r="E480" s="263" t="s">
        <v>20</v>
      </c>
      <c r="F480" s="263">
        <v>1</v>
      </c>
      <c r="G480" s="264" t="str">
        <f>'Dry_Litterbag Placem_Collection'!C41</f>
        <v>Dry_P1_T7</v>
      </c>
      <c r="H480" s="273" t="s">
        <v>3651</v>
      </c>
      <c r="I480" s="266" t="s">
        <v>1147</v>
      </c>
      <c r="J480" s="263" t="str">
        <f>IF(ISBLANK('Dry_Litterbag Placem_Collection'!L41),"","G"&amp;""&amp;'Dry_Litterbag Placem_Collection'!L41)</f>
        <v/>
      </c>
      <c r="K480" s="267" t="str">
        <f>IFERROR(INDEX('Green_rooibos initial weight'!$C$5:$C$1749,MATCH(J480, 'Green_rooibos initial weight'!$A$5:$A$1749,0)),"")</f>
        <v/>
      </c>
      <c r="L480" s="267" t="str">
        <f>IFERROR(K480-(TBIcalc!$Q$9+TBIcalc!$Q$10),"")</f>
        <v/>
      </c>
      <c r="M480" s="391">
        <f>AVERAGE(Ashed_controlls!$K$2:$K$11)</f>
        <v>5.5147656768714146</v>
      </c>
      <c r="N480" s="267" t="str">
        <f t="shared" si="36"/>
        <v/>
      </c>
      <c r="O480" s="267" t="str">
        <f>IF(IFERROR(INDEX('Both teabags AfterDry'!$D$3:$D$900,MATCH(J480,'Both teabags AfterDry'!$A$3:$A$900,0)),"")="","",(IFERROR(INDEX('Both teabags AfterDry'!$D$3:$D$900,MATCH(J480,'Both teabags AfterDry'!$A$3:$A$900,0)),"")))</f>
        <v/>
      </c>
      <c r="P480" s="267" t="str">
        <f>IFERROR(IF(O480&gt;0,O480-(TBIcalc!$Q$9),""),"")</f>
        <v/>
      </c>
      <c r="Q480" s="278" t="str">
        <f>IFERROR(INDEX('Ashed teabags dry'!$K$2:$K$825,MATCH(J480,'Ashed teabags dry'!$A$2:$A$825,0)),"")</f>
        <v/>
      </c>
      <c r="R480" s="278" t="str">
        <f t="shared" si="37"/>
        <v/>
      </c>
      <c r="S480" s="268">
        <f>'Dry_Litterbag Placem_Collection'!E41</f>
        <v>42938</v>
      </c>
      <c r="T480" s="268" t="str">
        <f>IF('Dry_Litterbag Placem_Collection'!G41="","",'Dry_Litterbag Placem_Collection'!G41)</f>
        <v/>
      </c>
      <c r="U480" s="269" t="str">
        <f t="shared" si="35"/>
        <v/>
      </c>
      <c r="V480" s="267" t="str">
        <f t="shared" si="38"/>
        <v/>
      </c>
      <c r="W480" s="267" t="str">
        <f t="shared" si="39"/>
        <v/>
      </c>
      <c r="X480" s="271" t="str">
        <f>IFERROR(INDEX(Rainfall_Dry!$O$2:$O$217,MATCH(B480, Rainfall_Dry!$A$2:$A$217,0)),"")</f>
        <v/>
      </c>
      <c r="Y480" s="260">
        <v>23.96</v>
      </c>
      <c r="Z480" s="260">
        <v>0.91999999999999804</v>
      </c>
      <c r="AA480" s="260">
        <v>75.12</v>
      </c>
      <c r="AB480" s="261" t="s">
        <v>2670</v>
      </c>
      <c r="AC480" s="260">
        <v>1.2493839329719072</v>
      </c>
      <c r="AD480">
        <f>IF('WetLitterbags placem_collection'!AB41="","",'WetLitterbags placem_collection'!AB41)</f>
        <v>2.4</v>
      </c>
      <c r="AE480">
        <f>IF('WetLitterbags placem_collection'!Z41="","",'WetLitterbags placem_collection'!Z41)</f>
        <v>18</v>
      </c>
      <c r="AF480" s="24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71" t="str">
        <f>IFERROR(AVERAGE('Dry_Litterbag Placem_Collection'!N41,'Dry_Litterbag Placem_Collection'!Q41),"")</f>
        <v/>
      </c>
      <c r="AJ480" s="270">
        <f>INDEX(Coordinates!$B$2:$B$197,MATCH(G480,Coordinates!$J$2:$J$197,0))</f>
        <v>-3.4093859700000002</v>
      </c>
      <c r="AK480" s="270">
        <f>INDEX(Coordinates!$C$2:$C$197,MATCH(G480,Coordinates!$J$2:$J$197,0))</f>
        <v>34.852855030000001</v>
      </c>
      <c r="AL480" s="270" t="str">
        <f>IF(ISNUMBER(SEARCH("C", 'Dry_Litterbag Placem_Collection'!U41)),"YES","NO")</f>
        <v>NO</v>
      </c>
      <c r="AM480" s="270" t="str">
        <f>IF(ISNUMBER(SEARCH("H", 'Dry_Litterbag Placem_Collection'!U41)),"YES","NO")</f>
        <v>NO</v>
      </c>
      <c r="AN480" s="270" t="str">
        <f>IF(ISNUMBER(SEARCH("R", 'Dry_Litterbag Placem_Collection'!U41)),"YES","NO")</f>
        <v>NO</v>
      </c>
    </row>
    <row r="481" spans="1:40" ht="15" customHeight="1">
      <c r="A481" s="262" t="s">
        <v>2659</v>
      </c>
      <c r="B481" s="263">
        <f>'Dry_Litterbag Placem_Collection'!A42</f>
        <v>40</v>
      </c>
      <c r="C481" s="263" t="str">
        <f>'Dry_Litterbag Placem_Collection'!B42</f>
        <v>Makao</v>
      </c>
      <c r="D481" s="263" t="s">
        <v>2659</v>
      </c>
      <c r="E481" s="263" t="s">
        <v>20</v>
      </c>
      <c r="F481" s="263">
        <v>1</v>
      </c>
      <c r="G481" s="264" t="str">
        <f>'Dry_Litterbag Placem_Collection'!C42</f>
        <v>Dry_P1_T8</v>
      </c>
      <c r="H481" s="273" t="s">
        <v>3651</v>
      </c>
      <c r="I481" s="266" t="s">
        <v>1147</v>
      </c>
      <c r="J481" s="263" t="str">
        <f>IF(ISBLANK('Dry_Litterbag Placem_Collection'!L42),"","G"&amp;""&amp;'Dry_Litterbag Placem_Collection'!L42)</f>
        <v>G646</v>
      </c>
      <c r="K481" s="267">
        <f>IFERROR(INDEX('Green_rooibos initial weight'!$C$5:$C$1749,MATCH(J481, 'Green_rooibos initial weight'!$A$5:$A$1749,0)),"")</f>
        <v>2.1629999999999998</v>
      </c>
      <c r="L481" s="267">
        <f>IFERROR(K481-(TBIcalc!$Q$9+TBIcalc!$Q$10),"")</f>
        <v>1.9131999999999998</v>
      </c>
      <c r="M481" s="391">
        <f>AVERAGE(Ashed_controlls!$K$2:$K$11)</f>
        <v>5.5147656768714146</v>
      </c>
      <c r="N481" s="267">
        <f t="shared" si="36"/>
        <v>1.807691503070096</v>
      </c>
      <c r="O481" s="267">
        <f>IF(IFERROR(INDEX('Both teabags AfterDry'!$D$3:$D$900,MATCH(J481,'Both teabags AfterDry'!$A$3:$A$900,0)),"")="","",(IFERROR(INDEX('Both teabags AfterDry'!$D$3:$D$900,MATCH(J481,'Both teabags AfterDry'!$A$3:$A$900,0)),"")))</f>
        <v>1.9007000000000001</v>
      </c>
      <c r="P481" s="267">
        <f>IFERROR(IF(O481&gt;0,O481-(TBIcalc!$Q$9),""),"")</f>
        <v>1.7501</v>
      </c>
      <c r="Q481" s="278">
        <f>IFERROR(INDEX('Ashed teabags dry'!$K$2:$K$825,MATCH(J481,'Ashed teabags dry'!$A$2:$A$825,0)),"")</f>
        <v>6.7672833495611799</v>
      </c>
      <c r="R481" s="278">
        <f t="shared" si="37"/>
        <v>1.6316657740993297</v>
      </c>
      <c r="S481" s="268">
        <f>'Dry_Litterbag Placem_Collection'!E42</f>
        <v>42938</v>
      </c>
      <c r="T481" s="268">
        <f>IF('Dry_Litterbag Placem_Collection'!G42="","",'Dry_Litterbag Placem_Collection'!G42)</f>
        <v>43005</v>
      </c>
      <c r="U481" s="269">
        <f t="shared" si="35"/>
        <v>67</v>
      </c>
      <c r="V481" s="267">
        <f t="shared" si="38"/>
        <v>0.1630999999999998</v>
      </c>
      <c r="W481" s="267">
        <f t="shared" si="39"/>
        <v>0.17602572897076629</v>
      </c>
      <c r="X481" s="271">
        <f>IFERROR(INDEX(Rainfall_Dry!$O$2:$O$217,MATCH(B481, Rainfall_Dry!$A$2:$A$217,0)),"")</f>
        <v>6.5250000359999998</v>
      </c>
      <c r="Y481" s="260">
        <v>23.96</v>
      </c>
      <c r="Z481" s="260">
        <v>0.91999999999999804</v>
      </c>
      <c r="AA481" s="260">
        <v>75.12</v>
      </c>
      <c r="AB481" s="261" t="s">
        <v>2670</v>
      </c>
      <c r="AC481" s="260">
        <v>1.2493839329719072</v>
      </c>
      <c r="AD481">
        <f>IF('WetLitterbags placem_collection'!AB42="","",'WetLitterbags placem_collection'!AB42)</f>
        <v>8.6999999999999993</v>
      </c>
      <c r="AE481">
        <f>IF('WetLitterbags placem_collection'!Z42="","",'WetLitterbags placem_collection'!Z42)</f>
        <v>19.3</v>
      </c>
      <c r="AF481" s="24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71">
        <f>IFERROR(AVERAGE('Dry_Litterbag Placem_Collection'!N42,'Dry_Litterbag Placem_Collection'!Q42),"")</f>
        <v>26.2</v>
      </c>
      <c r="AJ481" s="270">
        <f>INDEX(Coordinates!$B$2:$B$197,MATCH(G481,Coordinates!$J$2:$J$197,0))</f>
        <v>-3.4091539590000002</v>
      </c>
      <c r="AK481" s="270">
        <f>INDEX(Coordinates!$C$2:$C$197,MATCH(G481,Coordinates!$J$2:$J$197,0))</f>
        <v>34.852755029999997</v>
      </c>
      <c r="AL481" s="270" t="str">
        <f>IF(ISNUMBER(SEARCH("C", 'Dry_Litterbag Placem_Collection'!U42)),"YES","NO")</f>
        <v>NO</v>
      </c>
      <c r="AM481" s="270" t="str">
        <f>IF(ISNUMBER(SEARCH("H", 'Dry_Litterbag Placem_Collection'!U42)),"YES","NO")</f>
        <v>NO</v>
      </c>
      <c r="AN481" s="270" t="str">
        <f>IF(ISNUMBER(SEARCH("R", 'Dry_Litterbag Placem_Collection'!U42)),"YES","NO")</f>
        <v>NO</v>
      </c>
    </row>
    <row r="482" spans="1:40" ht="15" customHeight="1">
      <c r="A482" s="262" t="s">
        <v>2659</v>
      </c>
      <c r="B482" s="263">
        <f>'Dry_Litterbag Placem_Collection'!A43</f>
        <v>41</v>
      </c>
      <c r="C482" s="263" t="str">
        <f>'Dry_Litterbag Placem_Collection'!B43</f>
        <v>Makao</v>
      </c>
      <c r="D482" s="263" t="s">
        <v>2659</v>
      </c>
      <c r="E482" s="263" t="s">
        <v>20</v>
      </c>
      <c r="F482" s="263">
        <v>2</v>
      </c>
      <c r="G482" s="264" t="str">
        <f>'Dry_Litterbag Placem_Collection'!C43</f>
        <v>Dry_P2_T1</v>
      </c>
      <c r="H482" s="273" t="s">
        <v>3651</v>
      </c>
      <c r="I482" s="266" t="s">
        <v>1147</v>
      </c>
      <c r="J482" s="263" t="str">
        <f>IF(ISBLANK('Dry_Litterbag Placem_Collection'!L43),"","G"&amp;""&amp;'Dry_Litterbag Placem_Collection'!L43)</f>
        <v>G43</v>
      </c>
      <c r="K482" s="267">
        <f>IFERROR(INDEX('Green_rooibos initial weight'!$C$5:$C$1749,MATCH(J482, 'Green_rooibos initial weight'!$A$5:$A$1749,0)),"")</f>
        <v>1.9650000000000001</v>
      </c>
      <c r="L482" s="267">
        <f>IFERROR(K482-(TBIcalc!$Q$9+TBIcalc!$Q$10),"")</f>
        <v>1.7152000000000001</v>
      </c>
      <c r="M482" s="391">
        <f>AVERAGE(Ashed_controlls!$K$2:$K$11)</f>
        <v>5.5147656768714146</v>
      </c>
      <c r="N482" s="267">
        <f t="shared" si="36"/>
        <v>1.6206107391103015</v>
      </c>
      <c r="O482" s="267">
        <f>IF(IFERROR(INDEX('Both teabags AfterDry'!$D$3:$D$900,MATCH(J482,'Both teabags AfterDry'!$A$3:$A$900,0)),"")="","",(IFERROR(INDEX('Both teabags AfterDry'!$D$3:$D$900,MATCH(J482,'Both teabags AfterDry'!$A$3:$A$900,0)),"")))</f>
        <v>1.7821</v>
      </c>
      <c r="P482" s="267">
        <f>IFERROR(IF(O482&gt;0,O482-(TBIcalc!$Q$9),""),"")</f>
        <v>1.6315</v>
      </c>
      <c r="Q482" s="278">
        <f>IFERROR(INDEX('Ashed teabags dry'!$K$2:$K$825,MATCH(J482,'Ashed teabags dry'!$A$2:$A$825,0)),"")</f>
        <v>4.8097944905995158</v>
      </c>
      <c r="R482" s="278">
        <f t="shared" si="37"/>
        <v>1.5530282028858688</v>
      </c>
      <c r="S482" s="268">
        <f>'Dry_Litterbag Placem_Collection'!E43</f>
        <v>42938</v>
      </c>
      <c r="T482" s="268">
        <f>IF('Dry_Litterbag Placem_Collection'!G43="","",'Dry_Litterbag Placem_Collection'!G43)</f>
        <v>43005</v>
      </c>
      <c r="U482" s="269">
        <f t="shared" si="35"/>
        <v>67</v>
      </c>
      <c r="V482" s="267">
        <f t="shared" si="38"/>
        <v>8.3700000000000108E-2</v>
      </c>
      <c r="W482" s="267">
        <f t="shared" si="39"/>
        <v>6.7582536224432666E-2</v>
      </c>
      <c r="X482" s="271">
        <f>IFERROR(INDEX(Rainfall_Dry!$O$2:$O$217,MATCH(B482, Rainfall_Dry!$A$2:$A$217,0)),"")</f>
        <v>6.5250000359999998</v>
      </c>
      <c r="Y482" s="260">
        <v>19.96</v>
      </c>
      <c r="Z482" s="260">
        <v>4.9199999999999982</v>
      </c>
      <c r="AA482" s="260">
        <v>75.12</v>
      </c>
      <c r="AB482" s="261" t="s">
        <v>2671</v>
      </c>
      <c r="AC482" s="260">
        <v>1.641498275012321</v>
      </c>
      <c r="AD482">
        <f>IF('WetLitterbags placem_collection'!AB43="","",'WetLitterbags placem_collection'!AB43)</f>
        <v>4</v>
      </c>
      <c r="AE482">
        <f>IF('WetLitterbags placem_collection'!Z43="","",'WetLitterbags placem_collection'!Z43)</f>
        <v>19.100000000000001</v>
      </c>
      <c r="AF482" s="24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71">
        <f>IFERROR(AVERAGE('Dry_Litterbag Placem_Collection'!N43,'Dry_Litterbag Placem_Collection'!Q43),"")</f>
        <v>27.85</v>
      </c>
      <c r="AJ482" s="270">
        <f>INDEX(Coordinates!$B$2:$B$197,MATCH(G482,Coordinates!$J$2:$J$197,0))</f>
        <v>-3.4083420040000001</v>
      </c>
      <c r="AK482" s="270">
        <f>INDEX(Coordinates!$C$2:$C$197,MATCH(G482,Coordinates!$J$2:$J$197,0))</f>
        <v>34.850283040000001</v>
      </c>
      <c r="AL482" s="270" t="str">
        <f>IF(ISNUMBER(SEARCH("C", 'Dry_Litterbag Placem_Collection'!U43)),"YES","NO")</f>
        <v>NO</v>
      </c>
      <c r="AM482" s="270" t="str">
        <f>IF(ISNUMBER(SEARCH("H", 'Dry_Litterbag Placem_Collection'!U43)),"YES","NO")</f>
        <v>NO</v>
      </c>
      <c r="AN482" s="270" t="str">
        <f>IF(ISNUMBER(SEARCH("R", 'Dry_Litterbag Placem_Collection'!U43)),"YES","NO")</f>
        <v>NO</v>
      </c>
    </row>
    <row r="483" spans="1:40" ht="15" customHeight="1">
      <c r="A483" s="262" t="s">
        <v>2659</v>
      </c>
      <c r="B483" s="263">
        <f>'Dry_Litterbag Placem_Collection'!A44</f>
        <v>42</v>
      </c>
      <c r="C483" s="263" t="str">
        <f>'Dry_Litterbag Placem_Collection'!B44</f>
        <v>Makao</v>
      </c>
      <c r="D483" s="263" t="s">
        <v>2659</v>
      </c>
      <c r="E483" s="263" t="s">
        <v>20</v>
      </c>
      <c r="F483" s="263">
        <v>2</v>
      </c>
      <c r="G483" s="264" t="str">
        <f>'Dry_Litterbag Placem_Collection'!C44</f>
        <v>Dry_P2_T2</v>
      </c>
      <c r="H483" s="273" t="s">
        <v>3651</v>
      </c>
      <c r="I483" s="266" t="s">
        <v>1147</v>
      </c>
      <c r="J483" s="263" t="str">
        <f>IF(ISBLANK('Dry_Litterbag Placem_Collection'!L44),"","G"&amp;""&amp;'Dry_Litterbag Placem_Collection'!L44)</f>
        <v>G268</v>
      </c>
      <c r="K483" s="267">
        <f>IFERROR(INDEX('Green_rooibos initial weight'!$C$5:$C$1749,MATCH(J483, 'Green_rooibos initial weight'!$A$5:$A$1749,0)),"")</f>
        <v>2.1389999999999998</v>
      </c>
      <c r="L483" s="267">
        <f>IFERROR(K483-(TBIcalc!$Q$9+TBIcalc!$Q$10),"")</f>
        <v>1.8891999999999998</v>
      </c>
      <c r="M483" s="391">
        <f>AVERAGE(Ashed_controlls!$K$2:$K$11)</f>
        <v>5.5147656768714146</v>
      </c>
      <c r="N483" s="267">
        <f t="shared" si="36"/>
        <v>1.785015046832545</v>
      </c>
      <c r="O483" s="267">
        <f>IF(IFERROR(INDEX('Both teabags AfterDry'!$D$3:$D$900,MATCH(J483,'Both teabags AfterDry'!$A$3:$A$900,0)),"")="","",(IFERROR(INDEX('Both teabags AfterDry'!$D$3:$D$900,MATCH(J483,'Both teabags AfterDry'!$A$3:$A$900,0)),"")))</f>
        <v>1.7633000000000001</v>
      </c>
      <c r="P483" s="267">
        <f>IFERROR(IF(O483&gt;0,O483-(TBIcalc!$Q$9),""),"")</f>
        <v>1.6127</v>
      </c>
      <c r="Q483" s="278">
        <f>IFERROR(INDEX('Ashed teabags dry'!$K$2:$K$825,MATCH(J483,'Ashed teabags dry'!$A$2:$A$825,0)),"")</f>
        <v>9.3972472710013903</v>
      </c>
      <c r="R483" s="278">
        <f t="shared" si="37"/>
        <v>1.4611505932605606</v>
      </c>
      <c r="S483" s="268">
        <f>'Dry_Litterbag Placem_Collection'!E44</f>
        <v>42938</v>
      </c>
      <c r="T483" s="268">
        <f>IF('Dry_Litterbag Placem_Collection'!G44="","",'Dry_Litterbag Placem_Collection'!G44)</f>
        <v>43005</v>
      </c>
      <c r="U483" s="269">
        <f t="shared" si="35"/>
        <v>67</v>
      </c>
      <c r="V483" s="267">
        <f t="shared" si="38"/>
        <v>0.27649999999999975</v>
      </c>
      <c r="W483" s="267">
        <f t="shared" si="39"/>
        <v>0.32386445357198435</v>
      </c>
      <c r="X483" s="271">
        <f>IFERROR(INDEX(Rainfall_Dry!$O$2:$O$217,MATCH(B483, Rainfall_Dry!$A$2:$A$217,0)),"")</f>
        <v>6.5250000359999998</v>
      </c>
      <c r="Y483" s="260">
        <v>19.96</v>
      </c>
      <c r="Z483" s="260">
        <v>4.9199999999999982</v>
      </c>
      <c r="AA483" s="260">
        <v>75.12</v>
      </c>
      <c r="AB483" s="261" t="s">
        <v>2671</v>
      </c>
      <c r="AC483" s="260">
        <v>1.641498275012321</v>
      </c>
      <c r="AD483">
        <f>IF('WetLitterbags placem_collection'!AB44="","",'WetLitterbags placem_collection'!AB44)</f>
        <v>5.9</v>
      </c>
      <c r="AE483">
        <f>IF('WetLitterbags placem_collection'!Z44="","",'WetLitterbags placem_collection'!Z44)</f>
        <v>12.7</v>
      </c>
      <c r="AF483" s="24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71">
        <f>IFERROR(AVERAGE('Dry_Litterbag Placem_Collection'!N44,'Dry_Litterbag Placem_Collection'!Q44),"")</f>
        <v>27.15</v>
      </c>
      <c r="AJ483" s="270">
        <f>INDEX(Coordinates!$B$2:$B$197,MATCH(G483,Coordinates!$J$2:$J$197,0))</f>
        <v>-3.4084079690000002</v>
      </c>
      <c r="AK483" s="270">
        <f>INDEX(Coordinates!$C$2:$C$197,MATCH(G483,Coordinates!$J$2:$J$197,0))</f>
        <v>34.850295029999998</v>
      </c>
      <c r="AL483" s="270" t="str">
        <f>IF(ISNUMBER(SEARCH("C", 'Dry_Litterbag Placem_Collection'!U44)),"YES","NO")</f>
        <v>NO</v>
      </c>
      <c r="AM483" s="270" t="str">
        <f>IF(ISNUMBER(SEARCH("H", 'Dry_Litterbag Placem_Collection'!U44)),"YES","NO")</f>
        <v>NO</v>
      </c>
      <c r="AN483" s="270" t="str">
        <f>IF(ISNUMBER(SEARCH("R", 'Dry_Litterbag Placem_Collection'!U44)),"YES","NO")</f>
        <v>YES</v>
      </c>
    </row>
    <row r="484" spans="1:40" ht="15" customHeight="1">
      <c r="A484" s="262" t="s">
        <v>2659</v>
      </c>
      <c r="B484" s="263">
        <f>'Dry_Litterbag Placem_Collection'!A45</f>
        <v>43</v>
      </c>
      <c r="C484" s="263" t="str">
        <f>'Dry_Litterbag Placem_Collection'!B45</f>
        <v>Makao</v>
      </c>
      <c r="D484" s="263" t="s">
        <v>2659</v>
      </c>
      <c r="E484" s="263" t="s">
        <v>20</v>
      </c>
      <c r="F484" s="263">
        <v>2</v>
      </c>
      <c r="G484" s="264" t="str">
        <f>'Dry_Litterbag Placem_Collection'!C45</f>
        <v>Dry_P2_T3</v>
      </c>
      <c r="H484" s="273" t="s">
        <v>3651</v>
      </c>
      <c r="I484" s="266" t="s">
        <v>1147</v>
      </c>
      <c r="J484" s="263" t="str">
        <f>IF(ISBLANK('Dry_Litterbag Placem_Collection'!L45),"","G"&amp;""&amp;'Dry_Litterbag Placem_Collection'!L45)</f>
        <v>G300</v>
      </c>
      <c r="K484" s="267">
        <f>IFERROR(INDEX('Green_rooibos initial weight'!$C$5:$C$1749,MATCH(J484, 'Green_rooibos initial weight'!$A$5:$A$1749,0)),"")</f>
        <v>2.052</v>
      </c>
      <c r="L484" s="267">
        <f>IFERROR(K484-(TBIcalc!$Q$9+TBIcalc!$Q$10),"")</f>
        <v>1.8022</v>
      </c>
      <c r="M484" s="391">
        <f>AVERAGE(Ashed_controlls!$K$2:$K$11)</f>
        <v>5.5147656768714146</v>
      </c>
      <c r="N484" s="267">
        <f t="shared" si="36"/>
        <v>1.7028128929714235</v>
      </c>
      <c r="O484" s="267">
        <f>IF(IFERROR(INDEX('Both teabags AfterDry'!$D$3:$D$900,MATCH(J484,'Both teabags AfterDry'!$A$3:$A$900,0)),"")="","",(IFERROR(INDEX('Both teabags AfterDry'!$D$3:$D$900,MATCH(J484,'Both teabags AfterDry'!$A$3:$A$900,0)),"")))</f>
        <v>1.8340000000000001</v>
      </c>
      <c r="P484" s="267">
        <f>IFERROR(IF(O484&gt;0,O484-(TBIcalc!$Q$9),""),"")</f>
        <v>1.6834</v>
      </c>
      <c r="Q484" s="278">
        <f>IFERROR(INDEX('Ashed teabags dry'!$K$2:$K$825,MATCH(J484,'Ashed teabags dry'!$A$2:$A$825,0)),"")</f>
        <v>6.2999529854254668</v>
      </c>
      <c r="R484" s="278">
        <f t="shared" si="37"/>
        <v>1.5773465914433478</v>
      </c>
      <c r="S484" s="268">
        <f>'Dry_Litterbag Placem_Collection'!E45</f>
        <v>42938</v>
      </c>
      <c r="T484" s="268">
        <f>IF('Dry_Litterbag Placem_Collection'!G45="","",'Dry_Litterbag Placem_Collection'!G45)</f>
        <v>43005</v>
      </c>
      <c r="U484" s="269">
        <f t="shared" si="35"/>
        <v>67</v>
      </c>
      <c r="V484" s="267">
        <f t="shared" si="38"/>
        <v>0.11880000000000002</v>
      </c>
      <c r="W484" s="267">
        <f t="shared" si="39"/>
        <v>0.1254663015280757</v>
      </c>
      <c r="X484" s="271">
        <f>IFERROR(INDEX(Rainfall_Dry!$O$2:$O$217,MATCH(B484, Rainfall_Dry!$A$2:$A$217,0)),"")</f>
        <v>6.5250000359999998</v>
      </c>
      <c r="Y484" s="260">
        <v>19.96</v>
      </c>
      <c r="Z484" s="260">
        <v>4.9199999999999982</v>
      </c>
      <c r="AA484" s="260">
        <v>75.12</v>
      </c>
      <c r="AB484" s="261" t="s">
        <v>2671</v>
      </c>
      <c r="AC484" s="260">
        <v>1.641498275012321</v>
      </c>
      <c r="AD484">
        <f>IF('WetLitterbags placem_collection'!AB45="","",'WetLitterbags placem_collection'!AB45)</f>
        <v>5</v>
      </c>
      <c r="AE484">
        <f>IF('WetLitterbags placem_collection'!Z45="","",'WetLitterbags placem_collection'!Z45)</f>
        <v>26.3</v>
      </c>
      <c r="AF484" s="24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71">
        <f>IFERROR(AVERAGE('Dry_Litterbag Placem_Collection'!N45,'Dry_Litterbag Placem_Collection'!Q45),"")</f>
        <v>26.1</v>
      </c>
      <c r="AJ484" s="270">
        <f>INDEX(Coordinates!$B$2:$B$197,MATCH(G484,Coordinates!$J$2:$J$197,0))</f>
        <v>-3.4082369789999998</v>
      </c>
      <c r="AK484" s="270">
        <f>INDEX(Coordinates!$C$2:$C$197,MATCH(G484,Coordinates!$J$2:$J$197,0))</f>
        <v>34.850189999999998</v>
      </c>
      <c r="AL484" s="270" t="str">
        <f>IF(ISNUMBER(SEARCH("C", 'Dry_Litterbag Placem_Collection'!U45)),"YES","NO")</f>
        <v>NO</v>
      </c>
      <c r="AM484" s="270" t="str">
        <f>IF(ISNUMBER(SEARCH("H", 'Dry_Litterbag Placem_Collection'!U45)),"YES","NO")</f>
        <v>NO</v>
      </c>
      <c r="AN484" s="270" t="str">
        <f>IF(ISNUMBER(SEARCH("R", 'Dry_Litterbag Placem_Collection'!U45)),"YES","NO")</f>
        <v>NO</v>
      </c>
    </row>
    <row r="485" spans="1:40" ht="15" customHeight="1">
      <c r="A485" s="262" t="s">
        <v>2659</v>
      </c>
      <c r="B485" s="263">
        <f>'Dry_Litterbag Placem_Collection'!A46</f>
        <v>44</v>
      </c>
      <c r="C485" s="263" t="str">
        <f>'Dry_Litterbag Placem_Collection'!B46</f>
        <v>Makao</v>
      </c>
      <c r="D485" s="263" t="s">
        <v>2659</v>
      </c>
      <c r="E485" s="263" t="s">
        <v>20</v>
      </c>
      <c r="F485" s="263">
        <v>2</v>
      </c>
      <c r="G485" s="264" t="str">
        <f>'Dry_Litterbag Placem_Collection'!C46</f>
        <v>Dry_P2_T4</v>
      </c>
      <c r="H485" s="273" t="s">
        <v>3651</v>
      </c>
      <c r="I485" s="266" t="s">
        <v>1147</v>
      </c>
      <c r="J485" s="263" t="str">
        <f>IF(ISBLANK('Dry_Litterbag Placem_Collection'!L46),"","G"&amp;""&amp;'Dry_Litterbag Placem_Collection'!L46)</f>
        <v>G823</v>
      </c>
      <c r="K485" s="267">
        <f>IFERROR(INDEX('Green_rooibos initial weight'!$C$5:$C$1749,MATCH(J485, 'Green_rooibos initial weight'!$A$5:$A$1749,0)),"")</f>
        <v>1.9630000000000001</v>
      </c>
      <c r="L485" s="267">
        <f>IFERROR(K485-(TBIcalc!$Q$9+TBIcalc!$Q$10),"")</f>
        <v>1.7132000000000001</v>
      </c>
      <c r="M485" s="391">
        <f>AVERAGE(Ashed_controlls!$K$2:$K$11)</f>
        <v>5.5147656768714146</v>
      </c>
      <c r="N485" s="267">
        <f t="shared" si="36"/>
        <v>1.618721034423839</v>
      </c>
      <c r="O485" s="267">
        <f>IF(IFERROR(INDEX('Both teabags AfterDry'!$D$3:$D$900,MATCH(J485,'Both teabags AfterDry'!$A$3:$A$900,0)),"")="","",(IFERROR(INDEX('Both teabags AfterDry'!$D$3:$D$900,MATCH(J485,'Both teabags AfterDry'!$A$3:$A$900,0)),"")))</f>
        <v>1.8245</v>
      </c>
      <c r="P485" s="267">
        <f>IFERROR(IF(O485&gt;0,O485-(TBIcalc!$Q$9),""),"")</f>
        <v>1.6738999999999999</v>
      </c>
      <c r="Q485" s="278">
        <f>IFERROR(INDEX('Ashed teabags dry'!$K$2:$K$825,MATCH(J485,'Ashed teabags dry'!$A$2:$A$825,0)),"")</f>
        <v>6.7021748779403518</v>
      </c>
      <c r="R485" s="278">
        <f t="shared" si="37"/>
        <v>1.5617122947181563</v>
      </c>
      <c r="S485" s="268">
        <f>'Dry_Litterbag Placem_Collection'!E46</f>
        <v>42938</v>
      </c>
      <c r="T485" s="268">
        <f>IF('Dry_Litterbag Placem_Collection'!G46="","",'Dry_Litterbag Placem_Collection'!G46)</f>
        <v>43005</v>
      </c>
      <c r="U485" s="269">
        <f t="shared" si="35"/>
        <v>67</v>
      </c>
      <c r="V485" s="267">
        <f t="shared" si="38"/>
        <v>3.9300000000000113E-2</v>
      </c>
      <c r="W485" s="267">
        <f t="shared" si="39"/>
        <v>5.7008739705682654E-2</v>
      </c>
      <c r="X485" s="271">
        <f>IFERROR(INDEX(Rainfall_Dry!$O$2:$O$217,MATCH(B485, Rainfall_Dry!$A$2:$A$217,0)),"")</f>
        <v>6.5250000359999998</v>
      </c>
      <c r="Y485" s="260">
        <v>19.96</v>
      </c>
      <c r="Z485" s="260">
        <v>4.9199999999999982</v>
      </c>
      <c r="AA485" s="260">
        <v>75.12</v>
      </c>
      <c r="AB485" s="261" t="s">
        <v>2671</v>
      </c>
      <c r="AC485" s="260">
        <v>1.641498275012321</v>
      </c>
      <c r="AD485">
        <f>IF('WetLitterbags placem_collection'!AB46="","",'WetLitterbags placem_collection'!AB46)</f>
        <v>2.6</v>
      </c>
      <c r="AE485">
        <f>IF('WetLitterbags placem_collection'!Z46="","",'WetLitterbags placem_collection'!Z46)</f>
        <v>39.200000000000003</v>
      </c>
      <c r="AF485" s="24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71">
        <f>IFERROR(AVERAGE('Dry_Litterbag Placem_Collection'!N46,'Dry_Litterbag Placem_Collection'!Q46),"")</f>
        <v>26.5</v>
      </c>
      <c r="AJ485" s="270">
        <f>INDEX(Coordinates!$B$2:$B$197,MATCH(G485,Coordinates!$J$2:$J$197,0))</f>
        <v>-3.4081529920000002</v>
      </c>
      <c r="AK485" s="270">
        <f>INDEX(Coordinates!$C$2:$C$197,MATCH(G485,Coordinates!$J$2:$J$197,0))</f>
        <v>34.850168959999998</v>
      </c>
      <c r="AL485" s="270" t="str">
        <f>IF(ISNUMBER(SEARCH("C", 'Dry_Litterbag Placem_Collection'!U46)),"YES","NO")</f>
        <v>NO</v>
      </c>
      <c r="AM485" s="270" t="str">
        <f>IF(ISNUMBER(SEARCH("H", 'Dry_Litterbag Placem_Collection'!U46)),"YES","NO")</f>
        <v>NO</v>
      </c>
      <c r="AN485" s="270" t="str">
        <f>IF(ISNUMBER(SEARCH("R", 'Dry_Litterbag Placem_Collection'!U46)),"YES","NO")</f>
        <v>NO</v>
      </c>
    </row>
    <row r="486" spans="1:40" ht="15" customHeight="1">
      <c r="A486" s="262" t="s">
        <v>2659</v>
      </c>
      <c r="B486" s="263">
        <f>'Dry_Litterbag Placem_Collection'!A47</f>
        <v>45</v>
      </c>
      <c r="C486" s="263" t="str">
        <f>'Dry_Litterbag Placem_Collection'!B47</f>
        <v>Makao</v>
      </c>
      <c r="D486" s="263" t="s">
        <v>2659</v>
      </c>
      <c r="E486" s="263" t="s">
        <v>20</v>
      </c>
      <c r="F486" s="263">
        <v>2</v>
      </c>
      <c r="G486" s="264" t="str">
        <f>'Dry_Litterbag Placem_Collection'!C47</f>
        <v>Dry_P2_T5</v>
      </c>
      <c r="H486" s="273" t="s">
        <v>3651</v>
      </c>
      <c r="I486" s="266" t="s">
        <v>1147</v>
      </c>
      <c r="J486" s="263" t="str">
        <f>IF(ISBLANK('Dry_Litterbag Placem_Collection'!L47),"","G"&amp;""&amp;'Dry_Litterbag Placem_Collection'!L47)</f>
        <v>G354</v>
      </c>
      <c r="K486" s="267">
        <f>IFERROR(INDEX('Green_rooibos initial weight'!$C$5:$C$1749,MATCH(J486, 'Green_rooibos initial weight'!$A$5:$A$1749,0)),"")</f>
        <v>1.835</v>
      </c>
      <c r="L486" s="267">
        <f>IFERROR(K486-(TBIcalc!$Q$9+TBIcalc!$Q$10),"")</f>
        <v>1.5851999999999999</v>
      </c>
      <c r="M486" s="391">
        <f>AVERAGE(Ashed_controlls!$K$2:$K$11)</f>
        <v>5.5147656768714146</v>
      </c>
      <c r="N486" s="267">
        <f t="shared" si="36"/>
        <v>1.4977799344902343</v>
      </c>
      <c r="O486" s="267" t="str">
        <f>IF(IFERROR(INDEX('Both teabags AfterDry'!$D$3:$D$900,MATCH(J486,'Both teabags AfterDry'!$A$3:$A$900,0)),"")="","",(IFERROR(INDEX('Both teabags AfterDry'!$D$3:$D$900,MATCH(J486,'Both teabags AfterDry'!$A$3:$A$900,0)),"")))</f>
        <v/>
      </c>
      <c r="P486" s="267" t="str">
        <f>IFERROR(IF(O486&gt;0,O486-(TBIcalc!$Q$9),""),"")</f>
        <v/>
      </c>
      <c r="Q486" s="278" t="str">
        <f>IFERROR(INDEX('Ashed teabags dry'!$K$2:$K$825,MATCH(J486,'Ashed teabags dry'!$A$2:$A$825,0)),"")</f>
        <v/>
      </c>
      <c r="R486" s="278" t="str">
        <f t="shared" si="37"/>
        <v/>
      </c>
      <c r="S486" s="268">
        <f>'Dry_Litterbag Placem_Collection'!E47</f>
        <v>42938</v>
      </c>
      <c r="T486" s="268">
        <f>IF('Dry_Litterbag Placem_Collection'!G47="","",'Dry_Litterbag Placem_Collection'!G47)</f>
        <v>43005</v>
      </c>
      <c r="U486" s="269">
        <f t="shared" si="35"/>
        <v>67</v>
      </c>
      <c r="V486" s="267" t="str">
        <f t="shared" si="38"/>
        <v/>
      </c>
      <c r="W486" s="267" t="str">
        <f t="shared" si="39"/>
        <v/>
      </c>
      <c r="X486" s="271">
        <f>IFERROR(INDEX(Rainfall_Dry!$O$2:$O$217,MATCH(B486, Rainfall_Dry!$A$2:$A$217,0)),"")</f>
        <v>6.5250000359999998</v>
      </c>
      <c r="Y486" s="260">
        <v>19.96</v>
      </c>
      <c r="Z486" s="260">
        <v>4.9199999999999982</v>
      </c>
      <c r="AA486" s="260">
        <v>75.12</v>
      </c>
      <c r="AB486" s="261" t="s">
        <v>2671</v>
      </c>
      <c r="AC486" s="260">
        <v>1.641498275012321</v>
      </c>
      <c r="AD486">
        <f>IF('WetLitterbags placem_collection'!AB47="","",'WetLitterbags placem_collection'!AB47)</f>
        <v>2.2999999999999998</v>
      </c>
      <c r="AE486">
        <f>IF('WetLitterbags placem_collection'!Z47="","",'WetLitterbags placem_collection'!Z47)</f>
        <v>9.3000000000000007</v>
      </c>
      <c r="AF486" s="24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71">
        <f>IFERROR(AVERAGE('Dry_Litterbag Placem_Collection'!N47,'Dry_Litterbag Placem_Collection'!Q47),"")</f>
        <v>27.25</v>
      </c>
      <c r="AJ486" s="270">
        <f>INDEX(Coordinates!$B$2:$B$197,MATCH(G486,Coordinates!$J$2:$J$197,0))</f>
        <v>-3.4081789759999999</v>
      </c>
      <c r="AK486" s="270">
        <f>INDEX(Coordinates!$C$2:$C$197,MATCH(G486,Coordinates!$J$2:$J$197,0))</f>
        <v>34.850516980000002</v>
      </c>
      <c r="AL486" s="270" t="str">
        <f>IF(ISNUMBER(SEARCH("C", 'Dry_Litterbag Placem_Collection'!U47)),"YES","NO")</f>
        <v>NO</v>
      </c>
      <c r="AM486" s="270" t="str">
        <f>IF(ISNUMBER(SEARCH("H", 'Dry_Litterbag Placem_Collection'!U47)),"YES","NO")</f>
        <v>NO</v>
      </c>
      <c r="AN486" s="270" t="str">
        <f>IF(ISNUMBER(SEARCH("R", 'Dry_Litterbag Placem_Collection'!U47)),"YES","NO")</f>
        <v>NO</v>
      </c>
    </row>
    <row r="487" spans="1:40" ht="15" customHeight="1">
      <c r="A487" s="262" t="s">
        <v>2659</v>
      </c>
      <c r="B487" s="263">
        <f>'Dry_Litterbag Placem_Collection'!A48</f>
        <v>46</v>
      </c>
      <c r="C487" s="263" t="str">
        <f>'Dry_Litterbag Placem_Collection'!B48</f>
        <v>Makao</v>
      </c>
      <c r="D487" s="263" t="s">
        <v>2659</v>
      </c>
      <c r="E487" s="263" t="s">
        <v>20</v>
      </c>
      <c r="F487" s="263">
        <v>2</v>
      </c>
      <c r="G487" s="264" t="str">
        <f>'Dry_Litterbag Placem_Collection'!C48</f>
        <v>Dry_P2_T6</v>
      </c>
      <c r="H487" s="273" t="s">
        <v>3651</v>
      </c>
      <c r="I487" s="266" t="s">
        <v>1147</v>
      </c>
      <c r="J487" s="263" t="str">
        <f>IF(ISBLANK('Dry_Litterbag Placem_Collection'!L48),"","G"&amp;""&amp;'Dry_Litterbag Placem_Collection'!L48)</f>
        <v/>
      </c>
      <c r="K487" s="267" t="str">
        <f>IFERROR(INDEX('Green_rooibos initial weight'!$C$5:$C$1749,MATCH(J487, 'Green_rooibos initial weight'!$A$5:$A$1749,0)),"")</f>
        <v/>
      </c>
      <c r="L487" s="267" t="str">
        <f>IFERROR(K487-(TBIcalc!$Q$9+TBIcalc!$Q$10),"")</f>
        <v/>
      </c>
      <c r="M487" s="391">
        <f>AVERAGE(Ashed_controlls!$K$2:$K$11)</f>
        <v>5.5147656768714146</v>
      </c>
      <c r="N487" s="267" t="str">
        <f t="shared" si="36"/>
        <v/>
      </c>
      <c r="O487" s="267" t="str">
        <f>IF(IFERROR(INDEX('Both teabags AfterDry'!$D$3:$D$900,MATCH(J487,'Both teabags AfterDry'!$A$3:$A$900,0)),"")="","",(IFERROR(INDEX('Both teabags AfterDry'!$D$3:$D$900,MATCH(J487,'Both teabags AfterDry'!$A$3:$A$900,0)),"")))</f>
        <v/>
      </c>
      <c r="P487" s="267" t="str">
        <f>IFERROR(IF(O487&gt;0,O487-(TBIcalc!$Q$9),""),"")</f>
        <v/>
      </c>
      <c r="Q487" s="278" t="str">
        <f>IFERROR(INDEX('Ashed teabags dry'!$K$2:$K$825,MATCH(J487,'Ashed teabags dry'!$A$2:$A$825,0)),"")</f>
        <v/>
      </c>
      <c r="R487" s="278" t="str">
        <f t="shared" si="37"/>
        <v/>
      </c>
      <c r="S487" s="268">
        <f>'Dry_Litterbag Placem_Collection'!E48</f>
        <v>0</v>
      </c>
      <c r="T487" s="268" t="str">
        <f>IF('Dry_Litterbag Placem_Collection'!G48="","",'Dry_Litterbag Placem_Collection'!G48)</f>
        <v/>
      </c>
      <c r="U487" s="269" t="str">
        <f t="shared" si="35"/>
        <v/>
      </c>
      <c r="V487" s="267" t="str">
        <f t="shared" si="38"/>
        <v/>
      </c>
      <c r="W487" s="267" t="str">
        <f t="shared" si="39"/>
        <v/>
      </c>
      <c r="X487" s="271" t="str">
        <f>IFERROR(INDEX(Rainfall_Dry!$O$2:$O$217,MATCH(B487, Rainfall_Dry!$A$2:$A$217,0)),"")</f>
        <v/>
      </c>
      <c r="Y487" s="260">
        <v>19.96</v>
      </c>
      <c r="Z487" s="260">
        <v>4.9199999999999982</v>
      </c>
      <c r="AA487" s="260">
        <v>75.12</v>
      </c>
      <c r="AB487" s="261" t="s">
        <v>2671</v>
      </c>
      <c r="AC487" s="260">
        <v>1.641498275012321</v>
      </c>
      <c r="AD487" t="str">
        <f>IF('WetLitterbags placem_collection'!AB48="","",'WetLitterbags placem_collection'!AB48)</f>
        <v/>
      </c>
      <c r="AE487" t="str">
        <f>IF('WetLitterbags placem_collection'!Z48="","",'WetLitterbags placem_collection'!Z48)</f>
        <v/>
      </c>
      <c r="AF487" s="24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71" t="str">
        <f>IFERROR(AVERAGE('Dry_Litterbag Placem_Collection'!N48,'Dry_Litterbag Placem_Collection'!Q48),"")</f>
        <v/>
      </c>
      <c r="AJ487" s="270">
        <f>INDEX(Coordinates!$B$2:$B$197,MATCH(G487,Coordinates!$J$2:$J$197,0))</f>
        <v>-3.4084730130000001</v>
      </c>
      <c r="AK487" s="270">
        <f>INDEX(Coordinates!$C$2:$C$197,MATCH(G487,Coordinates!$J$2:$J$197,0))</f>
        <v>34.850401980000001</v>
      </c>
      <c r="AL487" s="270" t="str">
        <f>IF(ISNUMBER(SEARCH("C", 'Dry_Litterbag Placem_Collection'!U48)),"YES","NO")</f>
        <v>NO</v>
      </c>
      <c r="AM487" s="270" t="str">
        <f>IF(ISNUMBER(SEARCH("H", 'Dry_Litterbag Placem_Collection'!U48)),"YES","NO")</f>
        <v>NO</v>
      </c>
      <c r="AN487" s="270" t="str">
        <f>IF(ISNUMBER(SEARCH("R", 'Dry_Litterbag Placem_Collection'!U48)),"YES","NO")</f>
        <v>NO</v>
      </c>
    </row>
    <row r="488" spans="1:40" ht="15" customHeight="1">
      <c r="A488" s="262" t="s">
        <v>2659</v>
      </c>
      <c r="B488" s="263">
        <f>'Dry_Litterbag Placem_Collection'!A49</f>
        <v>47</v>
      </c>
      <c r="C488" s="263" t="str">
        <f>'Dry_Litterbag Placem_Collection'!B49</f>
        <v>Makao</v>
      </c>
      <c r="D488" s="263" t="s">
        <v>2659</v>
      </c>
      <c r="E488" s="263" t="s">
        <v>20</v>
      </c>
      <c r="F488" s="263">
        <v>2</v>
      </c>
      <c r="G488" s="264" t="str">
        <f>'Dry_Litterbag Placem_Collection'!C49</f>
        <v>Dry_P2_T7</v>
      </c>
      <c r="H488" s="273" t="s">
        <v>3651</v>
      </c>
      <c r="I488" s="266" t="s">
        <v>1147</v>
      </c>
      <c r="J488" s="263" t="str">
        <f>IF(ISBLANK('Dry_Litterbag Placem_Collection'!L49),"","G"&amp;""&amp;'Dry_Litterbag Placem_Collection'!L49)</f>
        <v>G659</v>
      </c>
      <c r="K488" s="267">
        <f>IFERROR(INDEX('Green_rooibos initial weight'!$C$5:$C$1749,MATCH(J488, 'Green_rooibos initial weight'!$A$5:$A$1749,0)),"")</f>
        <v>2.0529999999999999</v>
      </c>
      <c r="L488" s="267">
        <f>IFERROR(K488-(TBIcalc!$Q$9+TBIcalc!$Q$10),"")</f>
        <v>1.8031999999999999</v>
      </c>
      <c r="M488" s="391">
        <f>AVERAGE(Ashed_controlls!$K$2:$K$11)</f>
        <v>5.5147656768714146</v>
      </c>
      <c r="N488" s="267">
        <f t="shared" si="36"/>
        <v>1.7037577453146546</v>
      </c>
      <c r="O488" s="267">
        <f>IF(IFERROR(INDEX('Both teabags AfterDry'!$D$3:$D$900,MATCH(J488,'Both teabags AfterDry'!$A$3:$A$900,0)),"")="","",(IFERROR(INDEX('Both teabags AfterDry'!$D$3:$D$900,MATCH(J488,'Both teabags AfterDry'!$A$3:$A$900,0)),"")))</f>
        <v>1.8913</v>
      </c>
      <c r="P488" s="267">
        <f>IFERROR(IF(O488&gt;0,O488-(TBIcalc!$Q$9),""),"")</f>
        <v>1.7406999999999999</v>
      </c>
      <c r="Q488" s="278">
        <f>IFERROR(INDEX('Ashed teabags dry'!$K$2:$K$825,MATCH(J488,'Ashed teabags dry'!$A$2:$A$825,0)),"")</f>
        <v>5.8849557522116545</v>
      </c>
      <c r="R488" s="278">
        <f t="shared" si="37"/>
        <v>1.6382605752212516</v>
      </c>
      <c r="S488" s="268">
        <f>'Dry_Litterbag Placem_Collection'!E49</f>
        <v>42938</v>
      </c>
      <c r="T488" s="268">
        <f>IF('Dry_Litterbag Placem_Collection'!G49="","",'Dry_Litterbag Placem_Collection'!G49)</f>
        <v>43005</v>
      </c>
      <c r="U488" s="269">
        <f t="shared" si="35"/>
        <v>67</v>
      </c>
      <c r="V488" s="267">
        <f t="shared" si="38"/>
        <v>6.25E-2</v>
      </c>
      <c r="W488" s="267">
        <f t="shared" si="39"/>
        <v>6.5497170093403057E-2</v>
      </c>
      <c r="X488" s="271">
        <f>IFERROR(INDEX(Rainfall_Dry!$O$2:$O$217,MATCH(B488, Rainfall_Dry!$A$2:$A$217,0)),"")</f>
        <v>6.5250000359999998</v>
      </c>
      <c r="Y488" s="260">
        <v>19.96</v>
      </c>
      <c r="Z488" s="260">
        <v>4.9199999999999982</v>
      </c>
      <c r="AA488" s="260">
        <v>75.12</v>
      </c>
      <c r="AB488" s="261" t="s">
        <v>2671</v>
      </c>
      <c r="AC488" s="260">
        <v>1.641498275012321</v>
      </c>
      <c r="AD488">
        <f>IF('WetLitterbags placem_collection'!AB49="","",'WetLitterbags placem_collection'!AB49)</f>
        <v>5.2</v>
      </c>
      <c r="AE488">
        <f>IF('WetLitterbags placem_collection'!Z49="","",'WetLitterbags placem_collection'!Z49)</f>
        <v>5.2</v>
      </c>
      <c r="AF488" s="24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71">
        <f>IFERROR(AVERAGE('Dry_Litterbag Placem_Collection'!N49,'Dry_Litterbag Placem_Collection'!Q49),"")</f>
        <v>26.4</v>
      </c>
      <c r="AJ488" s="270">
        <f>INDEX(Coordinates!$B$2:$B$197,MATCH(G488,Coordinates!$J$2:$J$197,0))</f>
        <v>-3.4084819820000001</v>
      </c>
      <c r="AK488" s="270">
        <f>INDEX(Coordinates!$C$2:$C$197,MATCH(G488,Coordinates!$J$2:$J$197,0))</f>
        <v>34.850024040000001</v>
      </c>
      <c r="AL488" s="270" t="str">
        <f>IF(ISNUMBER(SEARCH("C", 'Dry_Litterbag Placem_Collection'!U49)),"YES","NO")</f>
        <v>NO</v>
      </c>
      <c r="AM488" s="270" t="str">
        <f>IF(ISNUMBER(SEARCH("H", 'Dry_Litterbag Placem_Collection'!U49)),"YES","NO")</f>
        <v>NO</v>
      </c>
      <c r="AN488" s="270" t="str">
        <f>IF(ISNUMBER(SEARCH("R", 'Dry_Litterbag Placem_Collection'!U49)),"YES","NO")</f>
        <v>NO</v>
      </c>
    </row>
    <row r="489" spans="1:40" ht="15" customHeight="1">
      <c r="A489" s="262" t="s">
        <v>2659</v>
      </c>
      <c r="B489" s="263">
        <f>'Dry_Litterbag Placem_Collection'!A50</f>
        <v>48</v>
      </c>
      <c r="C489" s="263" t="str">
        <f>'Dry_Litterbag Placem_Collection'!B50</f>
        <v>Makao</v>
      </c>
      <c r="D489" s="263" t="s">
        <v>2659</v>
      </c>
      <c r="E489" s="263" t="s">
        <v>20</v>
      </c>
      <c r="F489" s="263">
        <v>2</v>
      </c>
      <c r="G489" s="264" t="str">
        <f>'Dry_Litterbag Placem_Collection'!C50</f>
        <v>Dry_P2_T8</v>
      </c>
      <c r="H489" s="273" t="s">
        <v>3651</v>
      </c>
      <c r="I489" s="266" t="s">
        <v>1147</v>
      </c>
      <c r="J489" s="263" t="str">
        <f>IF(ISBLANK('Dry_Litterbag Placem_Collection'!L50),"","G"&amp;""&amp;'Dry_Litterbag Placem_Collection'!L50)</f>
        <v>G267</v>
      </c>
      <c r="K489" s="267">
        <f>IFERROR(INDEX('Green_rooibos initial weight'!$C$5:$C$1749,MATCH(J489, 'Green_rooibos initial weight'!$A$5:$A$1749,0)),"")</f>
        <v>2.069</v>
      </c>
      <c r="L489" s="267">
        <f>IFERROR(K489-(TBIcalc!$Q$9+TBIcalc!$Q$10),"")</f>
        <v>1.8191999999999999</v>
      </c>
      <c r="M489" s="391">
        <f>AVERAGE(Ashed_controlls!$K$2:$K$11)</f>
        <v>5.5147656768714146</v>
      </c>
      <c r="N489" s="267">
        <f t="shared" si="36"/>
        <v>1.7188753828063552</v>
      </c>
      <c r="O489" s="267">
        <f>IF(IFERROR(INDEX('Both teabags AfterDry'!$D$3:$D$900,MATCH(J489,'Both teabags AfterDry'!$A$3:$A$900,0)),"")="","",(IFERROR(INDEX('Both teabags AfterDry'!$D$3:$D$900,MATCH(J489,'Both teabags AfterDry'!$A$3:$A$900,0)),"")))</f>
        <v>1.8248</v>
      </c>
      <c r="P489" s="267">
        <f>IFERROR(IF(O489&gt;0,O489-(TBIcalc!$Q$9),""),"")</f>
        <v>1.6741999999999999</v>
      </c>
      <c r="Q489" s="278">
        <f>IFERROR(INDEX('Ashed teabags dry'!$K$2:$K$825,MATCH(J489,'Ashed teabags dry'!$A$2:$A$825,0)),"")</f>
        <v>5.78791719476098</v>
      </c>
      <c r="R489" s="278">
        <f t="shared" si="37"/>
        <v>1.5772986903253117</v>
      </c>
      <c r="S489" s="268">
        <f>'Dry_Litterbag Placem_Collection'!E50</f>
        <v>42938</v>
      </c>
      <c r="T489" s="268">
        <f>IF('Dry_Litterbag Placem_Collection'!G50="","",'Dry_Litterbag Placem_Collection'!G50)</f>
        <v>43005</v>
      </c>
      <c r="U489" s="269">
        <f t="shared" si="35"/>
        <v>67</v>
      </c>
      <c r="V489" s="267">
        <f t="shared" si="38"/>
        <v>0.14500000000000002</v>
      </c>
      <c r="W489" s="267">
        <f t="shared" si="39"/>
        <v>0.14157669248104354</v>
      </c>
      <c r="X489" s="271">
        <f>IFERROR(INDEX(Rainfall_Dry!$O$2:$O$217,MATCH(B489, Rainfall_Dry!$A$2:$A$217,0)),"")</f>
        <v>6.5250000359999998</v>
      </c>
      <c r="Y489" s="260">
        <v>19.96</v>
      </c>
      <c r="Z489" s="260">
        <v>4.9199999999999982</v>
      </c>
      <c r="AA489" s="260">
        <v>75.12</v>
      </c>
      <c r="AB489" s="261" t="s">
        <v>2671</v>
      </c>
      <c r="AC489" s="260">
        <v>1.641498275012321</v>
      </c>
      <c r="AD489">
        <f>IF('WetLitterbags placem_collection'!AB50="","",'WetLitterbags placem_collection'!AB50)</f>
        <v>7.3</v>
      </c>
      <c r="AE489">
        <f>IF('WetLitterbags placem_collection'!Z50="","",'WetLitterbags placem_collection'!Z50)</f>
        <v>27.2</v>
      </c>
      <c r="AF489" s="24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71">
        <f>IFERROR(AVERAGE('Dry_Litterbag Placem_Collection'!N50,'Dry_Litterbag Placem_Collection'!Q50),"")</f>
        <v>25.950000000000003</v>
      </c>
      <c r="AJ489" s="270">
        <f>INDEX(Coordinates!$B$2:$B$197,MATCH(G489,Coordinates!$J$2:$J$197,0))</f>
        <v>-3.4081990090000001</v>
      </c>
      <c r="AK489" s="270">
        <f>INDEX(Coordinates!$C$2:$C$197,MATCH(G489,Coordinates!$J$2:$J$197,0))</f>
        <v>34.850254960000001</v>
      </c>
      <c r="AL489" s="270" t="str">
        <f>IF(ISNUMBER(SEARCH("C", 'Dry_Litterbag Placem_Collection'!U50)),"YES","NO")</f>
        <v>NO</v>
      </c>
      <c r="AM489" s="270" t="str">
        <f>IF(ISNUMBER(SEARCH("H", 'Dry_Litterbag Placem_Collection'!U50)),"YES","NO")</f>
        <v>NO</v>
      </c>
      <c r="AN489" s="270" t="str">
        <f>IF(ISNUMBER(SEARCH("R", 'Dry_Litterbag Placem_Collection'!U50)),"YES","NO")</f>
        <v>NO</v>
      </c>
    </row>
    <row r="490" spans="1:40" ht="15" customHeight="1">
      <c r="A490" s="262" t="s">
        <v>2659</v>
      </c>
      <c r="B490" s="263">
        <f>'Dry_Litterbag Placem_Collection'!A51</f>
        <v>49</v>
      </c>
      <c r="C490" s="263" t="str">
        <f>'Dry_Litterbag Placem_Collection'!B51</f>
        <v>Makao</v>
      </c>
      <c r="D490" s="263" t="s">
        <v>2659</v>
      </c>
      <c r="E490" s="263" t="s">
        <v>20</v>
      </c>
      <c r="F490" s="263">
        <v>3</v>
      </c>
      <c r="G490" s="264" t="str">
        <f>'Dry_Litterbag Placem_Collection'!C51</f>
        <v>Dry_P3_T1</v>
      </c>
      <c r="H490" s="273" t="s">
        <v>3651</v>
      </c>
      <c r="I490" s="266" t="s">
        <v>1147</v>
      </c>
      <c r="J490" s="263" t="str">
        <f>IF(ISBLANK('Dry_Litterbag Placem_Collection'!L51),"","G"&amp;""&amp;'Dry_Litterbag Placem_Collection'!L51)</f>
        <v>G812</v>
      </c>
      <c r="K490" s="267">
        <f>IFERROR(INDEX('Green_rooibos initial weight'!$C$5:$C$1749,MATCH(J490, 'Green_rooibos initial weight'!$A$5:$A$1749,0)),"")</f>
        <v>2.0169999999999999</v>
      </c>
      <c r="L490" s="267">
        <f>IFERROR(K490-(TBIcalc!$Q$9+TBIcalc!$Q$10),"")</f>
        <v>1.7671999999999999</v>
      </c>
      <c r="M490" s="391">
        <f>AVERAGE(Ashed_controlls!$K$2:$K$11)</f>
        <v>5.5147656768714146</v>
      </c>
      <c r="N490" s="267">
        <f t="shared" si="36"/>
        <v>1.6697430609583281</v>
      </c>
      <c r="O490" s="267" t="str">
        <f>IF(IFERROR(INDEX('Both teabags AfterDry'!$D$3:$D$900,MATCH(J490,'Both teabags AfterDry'!$A$3:$A$900,0)),"")="","",(IFERROR(INDEX('Both teabags AfterDry'!$D$3:$D$900,MATCH(J490,'Both teabags AfterDry'!$A$3:$A$900,0)),"")))</f>
        <v/>
      </c>
      <c r="P490" s="267" t="str">
        <f>IFERROR(IF(O490&gt;0,O490-(TBIcalc!$Q$9),""),"")</f>
        <v/>
      </c>
      <c r="Q490" s="278" t="str">
        <f>IFERROR(INDEX('Ashed teabags dry'!$K$2:$K$825,MATCH(J490,'Ashed teabags dry'!$A$2:$A$825,0)),"")</f>
        <v/>
      </c>
      <c r="R490" s="278" t="str">
        <f t="shared" si="37"/>
        <v/>
      </c>
      <c r="S490" s="268">
        <f>'Dry_Litterbag Placem_Collection'!E51</f>
        <v>42938</v>
      </c>
      <c r="T490" s="268">
        <f>IF('Dry_Litterbag Placem_Collection'!G51="","",'Dry_Litterbag Placem_Collection'!G51)</f>
        <v>43005</v>
      </c>
      <c r="U490" s="269">
        <f t="shared" si="35"/>
        <v>67</v>
      </c>
      <c r="V490" s="267" t="str">
        <f t="shared" si="38"/>
        <v/>
      </c>
      <c r="W490" s="267" t="str">
        <f t="shared" si="39"/>
        <v/>
      </c>
      <c r="X490" s="271">
        <f>IFERROR(INDEX(Rainfall_Dry!$O$2:$O$217,MATCH(B490, Rainfall_Dry!$A$2:$A$217,0)),"")</f>
        <v>6.5250000359999998</v>
      </c>
      <c r="Y490" s="260">
        <v>21.96</v>
      </c>
      <c r="Z490" s="260">
        <v>8.9199999999999982</v>
      </c>
      <c r="AA490" s="260">
        <v>69.12</v>
      </c>
      <c r="AB490" s="261" t="s">
        <v>2670</v>
      </c>
      <c r="AC490" s="260">
        <v>1.7491375061606702</v>
      </c>
      <c r="AD490">
        <f>IF('WetLitterbags placem_collection'!AB51="","",'WetLitterbags placem_collection'!AB51)</f>
        <v>10.4</v>
      </c>
      <c r="AE490">
        <f>IF('WetLitterbags placem_collection'!Z51="","",'WetLitterbags placem_collection'!Z51)</f>
        <v>36</v>
      </c>
      <c r="AF490" s="24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71">
        <f>IFERROR(AVERAGE('Dry_Litterbag Placem_Collection'!N51,'Dry_Litterbag Placem_Collection'!Q51),"")</f>
        <v>31.5</v>
      </c>
      <c r="AJ490" s="270">
        <f>INDEX(Coordinates!$B$2:$B$197,MATCH(G490,Coordinates!$J$2:$J$197,0))</f>
        <v>-3.406225992</v>
      </c>
      <c r="AK490" s="270">
        <f>INDEX(Coordinates!$C$2:$C$197,MATCH(G490,Coordinates!$J$2:$J$197,0))</f>
        <v>34.85055998</v>
      </c>
      <c r="AL490" s="270" t="str">
        <f>IF(ISNUMBER(SEARCH("C", 'Dry_Litterbag Placem_Collection'!U51)),"YES","NO")</f>
        <v>NO</v>
      </c>
      <c r="AM490" s="270" t="str">
        <f>IF(ISNUMBER(SEARCH("H", 'Dry_Litterbag Placem_Collection'!U51)),"YES","NO")</f>
        <v>NO</v>
      </c>
      <c r="AN490" s="270" t="str">
        <f>IF(ISNUMBER(SEARCH("R", 'Dry_Litterbag Placem_Collection'!U51)),"YES","NO")</f>
        <v>NO</v>
      </c>
    </row>
    <row r="491" spans="1:40" ht="15" customHeight="1">
      <c r="A491" s="262" t="s">
        <v>2659</v>
      </c>
      <c r="B491" s="263">
        <f>'Dry_Litterbag Placem_Collection'!A52</f>
        <v>50</v>
      </c>
      <c r="C491" s="263" t="str">
        <f>'Dry_Litterbag Placem_Collection'!B52</f>
        <v>Makao</v>
      </c>
      <c r="D491" s="263" t="s">
        <v>2659</v>
      </c>
      <c r="E491" s="263" t="s">
        <v>20</v>
      </c>
      <c r="F491" s="263">
        <v>3</v>
      </c>
      <c r="G491" s="264" t="str">
        <f>'Dry_Litterbag Placem_Collection'!C52</f>
        <v>Dry_P3_T2</v>
      </c>
      <c r="H491" s="273" t="s">
        <v>3651</v>
      </c>
      <c r="I491" s="266" t="s">
        <v>1147</v>
      </c>
      <c r="J491" s="263" t="str">
        <f>IF(ISBLANK('Dry_Litterbag Placem_Collection'!L52),"","G"&amp;""&amp;'Dry_Litterbag Placem_Collection'!L52)</f>
        <v>G212</v>
      </c>
      <c r="K491" s="267">
        <f>IFERROR(INDEX('Green_rooibos initial weight'!$C$5:$C$1749,MATCH(J491, 'Green_rooibos initial weight'!$A$5:$A$1749,0)),"")</f>
        <v>1.9570000000000001</v>
      </c>
      <c r="L491" s="267">
        <f>IFERROR(K491-(TBIcalc!$Q$9+TBIcalc!$Q$10),"")</f>
        <v>1.7072000000000001</v>
      </c>
      <c r="M491" s="391">
        <f>AVERAGE(Ashed_controlls!$K$2:$K$11)</f>
        <v>5.5147656768714146</v>
      </c>
      <c r="N491" s="267">
        <f t="shared" si="36"/>
        <v>1.6130519203644513</v>
      </c>
      <c r="O491" s="267" t="str">
        <f>IF(IFERROR(INDEX('Both teabags AfterDry'!$D$3:$D$900,MATCH(J491,'Both teabags AfterDry'!$A$3:$A$900,0)),"")="","",(IFERROR(INDEX('Both teabags AfterDry'!$D$3:$D$900,MATCH(J491,'Both teabags AfterDry'!$A$3:$A$900,0)),"")))</f>
        <v/>
      </c>
      <c r="P491" s="267" t="str">
        <f>IFERROR(IF(O491&gt;0,O491-(TBIcalc!$Q$9),""),"")</f>
        <v/>
      </c>
      <c r="Q491" s="278" t="str">
        <f>IFERROR(INDEX('Ashed teabags dry'!$K$2:$K$825,MATCH(J491,'Ashed teabags dry'!$A$2:$A$825,0)),"")</f>
        <v/>
      </c>
      <c r="R491" s="278" t="str">
        <f t="shared" si="37"/>
        <v/>
      </c>
      <c r="S491" s="268">
        <f>'Dry_Litterbag Placem_Collection'!E52</f>
        <v>42938</v>
      </c>
      <c r="T491" s="268" t="str">
        <f>IF('Dry_Litterbag Placem_Collection'!G52="","",'Dry_Litterbag Placem_Collection'!G52)</f>
        <v/>
      </c>
      <c r="U491" s="269" t="str">
        <f t="shared" si="35"/>
        <v/>
      </c>
      <c r="V491" s="267" t="str">
        <f t="shared" si="38"/>
        <v/>
      </c>
      <c r="W491" s="267" t="str">
        <f t="shared" si="39"/>
        <v/>
      </c>
      <c r="X491" s="271" t="str">
        <f>IFERROR(INDEX(Rainfall_Dry!$O$2:$O$217,MATCH(B491, Rainfall_Dry!$A$2:$A$217,0)),"")</f>
        <v/>
      </c>
      <c r="Y491" s="260">
        <v>21.96</v>
      </c>
      <c r="Z491" s="260">
        <v>8.9199999999999982</v>
      </c>
      <c r="AA491" s="260">
        <v>69.12</v>
      </c>
      <c r="AB491" s="261" t="s">
        <v>2670</v>
      </c>
      <c r="AC491" s="260">
        <v>1.7491375061606702</v>
      </c>
      <c r="AD491">
        <f>IF('WetLitterbags placem_collection'!AB52="","",'WetLitterbags placem_collection'!AB52)</f>
        <v>10</v>
      </c>
      <c r="AE491">
        <f>IF('WetLitterbags placem_collection'!Z52="","",'WetLitterbags placem_collection'!Z52)</f>
        <v>22.5</v>
      </c>
      <c r="AF491" s="24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71">
        <f>IFERROR(AVERAGE('Dry_Litterbag Placem_Collection'!N52,'Dry_Litterbag Placem_Collection'!Q52),"")</f>
        <v>27.6</v>
      </c>
      <c r="AJ491" s="270">
        <f>INDEX(Coordinates!$B$2:$B$197,MATCH(G491,Coordinates!$J$2:$J$197,0))</f>
        <v>-3.4062630399999998</v>
      </c>
      <c r="AK491" s="270">
        <f>INDEX(Coordinates!$C$2:$C$197,MATCH(G491,Coordinates!$J$2:$J$197,0))</f>
        <v>34.850566010000001</v>
      </c>
      <c r="AL491" s="270" t="str">
        <f>IF(ISNUMBER(SEARCH("C", 'Dry_Litterbag Placem_Collection'!U52)),"YES","NO")</f>
        <v>NO</v>
      </c>
      <c r="AM491" s="270" t="str">
        <f>IF(ISNUMBER(SEARCH("H", 'Dry_Litterbag Placem_Collection'!U52)),"YES","NO")</f>
        <v>NO</v>
      </c>
      <c r="AN491" s="270" t="str">
        <f>IF(ISNUMBER(SEARCH("R", 'Dry_Litterbag Placem_Collection'!U52)),"YES","NO")</f>
        <v>NO</v>
      </c>
    </row>
    <row r="492" spans="1:40" ht="15" customHeight="1">
      <c r="A492" s="262" t="s">
        <v>2659</v>
      </c>
      <c r="B492" s="263">
        <f>'Dry_Litterbag Placem_Collection'!A53</f>
        <v>51</v>
      </c>
      <c r="C492" s="263" t="str">
        <f>'Dry_Litterbag Placem_Collection'!B53</f>
        <v>Makao</v>
      </c>
      <c r="D492" s="263" t="s">
        <v>2659</v>
      </c>
      <c r="E492" s="263" t="s">
        <v>20</v>
      </c>
      <c r="F492" s="263">
        <v>3</v>
      </c>
      <c r="G492" s="264" t="str">
        <f>'Dry_Litterbag Placem_Collection'!C53</f>
        <v>Dry_P3_T3</v>
      </c>
      <c r="H492" s="273" t="s">
        <v>3651</v>
      </c>
      <c r="I492" s="266" t="s">
        <v>1147</v>
      </c>
      <c r="J492" s="263" t="str">
        <f>IF(ISBLANK('Dry_Litterbag Placem_Collection'!L53),"","G"&amp;""&amp;'Dry_Litterbag Placem_Collection'!L53)</f>
        <v>G598</v>
      </c>
      <c r="K492" s="267">
        <f>IFERROR(INDEX('Green_rooibos initial weight'!$C$5:$C$1749,MATCH(J492, 'Green_rooibos initial weight'!$A$5:$A$1749,0)),"")</f>
        <v>2.1680000000000001</v>
      </c>
      <c r="L492" s="267">
        <f>IFERROR(K492-(TBIcalc!$Q$9+TBIcalc!$Q$10),"")</f>
        <v>1.9182000000000001</v>
      </c>
      <c r="M492" s="391">
        <f>AVERAGE(Ashed_controlls!$K$2:$K$11)</f>
        <v>5.5147656768714146</v>
      </c>
      <c r="N492" s="267">
        <f t="shared" si="36"/>
        <v>1.8124157647862527</v>
      </c>
      <c r="O492" s="267">
        <f>IF(IFERROR(INDEX('Both teabags AfterDry'!$D$3:$D$900,MATCH(J492,'Both teabags AfterDry'!$A$3:$A$900,0)),"")="","",(IFERROR(INDEX('Both teabags AfterDry'!$D$3:$D$900,MATCH(J492,'Both teabags AfterDry'!$A$3:$A$900,0)),"")))</f>
        <v>1.9169</v>
      </c>
      <c r="P492" s="267">
        <f>IFERROR(IF(O492&gt;0,O492-(TBIcalc!$Q$9),""),"")</f>
        <v>1.7663</v>
      </c>
      <c r="Q492" s="278">
        <f>IFERROR(INDEX('Ashed teabags dry'!$K$2:$K$825,MATCH(J492,'Ashed teabags dry'!$A$2:$A$825,0)),"")</f>
        <v>6.1355764473040955</v>
      </c>
      <c r="R492" s="278">
        <f t="shared" si="37"/>
        <v>1.6579273132112677</v>
      </c>
      <c r="S492" s="268">
        <f>'Dry_Litterbag Placem_Collection'!E53</f>
        <v>42938</v>
      </c>
      <c r="T492" s="268">
        <f>IF('Dry_Litterbag Placem_Collection'!G53="","",'Dry_Litterbag Placem_Collection'!G53)</f>
        <v>43005</v>
      </c>
      <c r="U492" s="269">
        <f t="shared" si="35"/>
        <v>67</v>
      </c>
      <c r="V492" s="267">
        <f t="shared" si="38"/>
        <v>0.15190000000000015</v>
      </c>
      <c r="W492" s="267">
        <f t="shared" si="39"/>
        <v>0.15448845157498492</v>
      </c>
      <c r="X492" s="271">
        <f>IFERROR(INDEX(Rainfall_Dry!$O$2:$O$217,MATCH(B492, Rainfall_Dry!$A$2:$A$217,0)),"")</f>
        <v>6.5250000359999998</v>
      </c>
      <c r="Y492" s="260">
        <v>21.96</v>
      </c>
      <c r="Z492" s="260">
        <v>8.9199999999999982</v>
      </c>
      <c r="AA492" s="260">
        <v>69.12</v>
      </c>
      <c r="AB492" s="261" t="s">
        <v>2670</v>
      </c>
      <c r="AC492" s="260">
        <v>1.7491375061606702</v>
      </c>
      <c r="AD492">
        <f>IF('WetLitterbags placem_collection'!AB53="","",'WetLitterbags placem_collection'!AB53)</f>
        <v>3</v>
      </c>
      <c r="AE492">
        <f>IF('WetLitterbags placem_collection'!Z53="","",'WetLitterbags placem_collection'!Z53)</f>
        <v>18</v>
      </c>
      <c r="AF492" s="24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71">
        <f>IFERROR(AVERAGE('Dry_Litterbag Placem_Collection'!N53,'Dry_Litterbag Placem_Collection'!Q53),"")</f>
        <v>34.450000000000003</v>
      </c>
      <c r="AJ492" s="270">
        <f>INDEX(Coordinates!$B$2:$B$197,MATCH(G492,Coordinates!$J$2:$J$197,0))</f>
        <v>-3.4063920379999999</v>
      </c>
      <c r="AK492" s="270">
        <f>INDEX(Coordinates!$C$2:$C$197,MATCH(G492,Coordinates!$J$2:$J$197,0))</f>
        <v>34.850696020000001</v>
      </c>
      <c r="AL492" s="270" t="str">
        <f>IF(ISNUMBER(SEARCH("C", 'Dry_Litterbag Placem_Collection'!U53)),"YES","NO")</f>
        <v>NO</v>
      </c>
      <c r="AM492" s="270" t="str">
        <f>IF(ISNUMBER(SEARCH("H", 'Dry_Litterbag Placem_Collection'!U53)),"YES","NO")</f>
        <v>NO</v>
      </c>
      <c r="AN492" s="270" t="str">
        <f>IF(ISNUMBER(SEARCH("R", 'Dry_Litterbag Placem_Collection'!U53)),"YES","NO")</f>
        <v>NO</v>
      </c>
    </row>
    <row r="493" spans="1:40" ht="15" customHeight="1">
      <c r="A493" s="262" t="s">
        <v>2659</v>
      </c>
      <c r="B493" s="263">
        <f>'Dry_Litterbag Placem_Collection'!A54</f>
        <v>52</v>
      </c>
      <c r="C493" s="263" t="str">
        <f>'Dry_Litterbag Placem_Collection'!B54</f>
        <v>Makao</v>
      </c>
      <c r="D493" s="263" t="s">
        <v>2659</v>
      </c>
      <c r="E493" s="263" t="s">
        <v>20</v>
      </c>
      <c r="F493" s="263">
        <v>3</v>
      </c>
      <c r="G493" s="264" t="str">
        <f>'Dry_Litterbag Placem_Collection'!C54</f>
        <v>Dry_P3_T4</v>
      </c>
      <c r="H493" s="273" t="s">
        <v>3651</v>
      </c>
      <c r="I493" s="266" t="s">
        <v>1147</v>
      </c>
      <c r="J493" s="263" t="str">
        <f>IF(ISBLANK('Dry_Litterbag Placem_Collection'!L54),"","G"&amp;""&amp;'Dry_Litterbag Placem_Collection'!L54)</f>
        <v>G848</v>
      </c>
      <c r="K493" s="267">
        <f>IFERROR(INDEX('Green_rooibos initial weight'!$C$5:$C$1749,MATCH(J493, 'Green_rooibos initial weight'!$A$5:$A$1749,0)),"")</f>
        <v>2.0110000000000001</v>
      </c>
      <c r="L493" s="267">
        <f>IFERROR(K493-(TBIcalc!$Q$9+TBIcalc!$Q$10),"")</f>
        <v>1.7612000000000001</v>
      </c>
      <c r="M493" s="391">
        <f>AVERAGE(Ashed_controlls!$K$2:$K$11)</f>
        <v>5.5147656768714146</v>
      </c>
      <c r="N493" s="267">
        <f t="shared" si="36"/>
        <v>1.6640739468989407</v>
      </c>
      <c r="O493" s="267">
        <f>IF(IFERROR(INDEX('Both teabags AfterDry'!$D$3:$D$900,MATCH(J493,'Both teabags AfterDry'!$A$3:$A$900,0)),"")="","",(IFERROR(INDEX('Both teabags AfterDry'!$D$3:$D$900,MATCH(J493,'Both teabags AfterDry'!$A$3:$A$900,0)),"")))</f>
        <v>1.8361000000000001</v>
      </c>
      <c r="P493" s="267">
        <f>IFERROR(IF(O493&gt;0,O493-(TBIcalc!$Q$9),""),"")</f>
        <v>1.6855</v>
      </c>
      <c r="Q493" s="278">
        <f>IFERROR(INDEX('Ashed teabags dry'!$K$2:$K$825,MATCH(J493,'Ashed teabags dry'!$A$2:$A$825,0)),"")</f>
        <v>5.7409879839785489</v>
      </c>
      <c r="R493" s="278">
        <f t="shared" si="37"/>
        <v>1.5887356475300416</v>
      </c>
      <c r="S493" s="268">
        <f>'Dry_Litterbag Placem_Collection'!E54</f>
        <v>42938</v>
      </c>
      <c r="T493" s="268">
        <f>IF('Dry_Litterbag Placem_Collection'!G54="","",'Dry_Litterbag Placem_Collection'!G54)</f>
        <v>43005</v>
      </c>
      <c r="U493" s="269">
        <f t="shared" si="35"/>
        <v>67</v>
      </c>
      <c r="V493" s="267">
        <f t="shared" si="38"/>
        <v>7.5700000000000101E-2</v>
      </c>
      <c r="W493" s="267">
        <f t="shared" si="39"/>
        <v>7.5338299368899131E-2</v>
      </c>
      <c r="X493" s="271">
        <f>IFERROR(INDEX(Rainfall_Dry!$O$2:$O$217,MATCH(B493, Rainfall_Dry!$A$2:$A$217,0)),"")</f>
        <v>6.5250000359999998</v>
      </c>
      <c r="Y493" s="260">
        <v>21.96</v>
      </c>
      <c r="Z493" s="260">
        <v>8.9199999999999982</v>
      </c>
      <c r="AA493" s="260">
        <v>69.12</v>
      </c>
      <c r="AB493" s="261" t="s">
        <v>2670</v>
      </c>
      <c r="AC493" s="260">
        <v>1.7491375061606702</v>
      </c>
      <c r="AD493">
        <f>IF('WetLitterbags placem_collection'!AB54="","",'WetLitterbags placem_collection'!AB54)</f>
        <v>13.4</v>
      </c>
      <c r="AE493">
        <f>IF('WetLitterbags placem_collection'!Z54="","",'WetLitterbags placem_collection'!Z54)</f>
        <v>67</v>
      </c>
      <c r="AF493" s="24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71">
        <f>IFERROR(AVERAGE('Dry_Litterbag Placem_Collection'!N54,'Dry_Litterbag Placem_Collection'!Q54),"")</f>
        <v>30.75</v>
      </c>
      <c r="AJ493" s="270">
        <f>INDEX(Coordinates!$B$2:$B$197,MATCH(G493,Coordinates!$J$2:$J$197,0))</f>
        <v>-3.4061569999999999</v>
      </c>
      <c r="AK493" s="270">
        <f>INDEX(Coordinates!$C$2:$C$197,MATCH(G493,Coordinates!$J$2:$J$197,0))</f>
        <v>34.850738999999997</v>
      </c>
      <c r="AL493" s="270" t="str">
        <f>IF(ISNUMBER(SEARCH("C", 'Dry_Litterbag Placem_Collection'!U54)),"YES","NO")</f>
        <v>NO</v>
      </c>
      <c r="AM493" s="270" t="str">
        <f>IF(ISNUMBER(SEARCH("H", 'Dry_Litterbag Placem_Collection'!U54)),"YES","NO")</f>
        <v>NO</v>
      </c>
      <c r="AN493" s="270" t="str">
        <f>IF(ISNUMBER(SEARCH("R", 'Dry_Litterbag Placem_Collection'!U54)),"YES","NO")</f>
        <v>NO</v>
      </c>
    </row>
    <row r="494" spans="1:40" ht="15" customHeight="1">
      <c r="A494" s="262" t="s">
        <v>2659</v>
      </c>
      <c r="B494" s="263">
        <f>'Dry_Litterbag Placem_Collection'!A55</f>
        <v>53</v>
      </c>
      <c r="C494" s="263" t="str">
        <f>'Dry_Litterbag Placem_Collection'!B55</f>
        <v>Makao</v>
      </c>
      <c r="D494" s="263" t="s">
        <v>2659</v>
      </c>
      <c r="E494" s="263" t="s">
        <v>20</v>
      </c>
      <c r="F494" s="263">
        <v>3</v>
      </c>
      <c r="G494" s="264" t="str">
        <f>'Dry_Litterbag Placem_Collection'!C55</f>
        <v>Dry_P3_T5</v>
      </c>
      <c r="H494" s="273" t="s">
        <v>3651</v>
      </c>
      <c r="I494" s="266" t="s">
        <v>1147</v>
      </c>
      <c r="J494" s="263" t="str">
        <f>IF(ISBLANK('Dry_Litterbag Placem_Collection'!L55),"","G"&amp;""&amp;'Dry_Litterbag Placem_Collection'!L55)</f>
        <v>G759</v>
      </c>
      <c r="K494" s="267">
        <f>IFERROR(INDEX('Green_rooibos initial weight'!$C$5:$C$1749,MATCH(J494, 'Green_rooibos initial weight'!$A$5:$A$1749,0)),"")</f>
        <v>2.0539999999999998</v>
      </c>
      <c r="L494" s="267">
        <f>IFERROR(K494-(TBIcalc!$Q$9+TBIcalc!$Q$10),"")</f>
        <v>1.8041999999999998</v>
      </c>
      <c r="M494" s="391">
        <f>AVERAGE(Ashed_controlls!$K$2:$K$11)</f>
        <v>5.5147656768714146</v>
      </c>
      <c r="N494" s="267">
        <f t="shared" si="36"/>
        <v>1.7047025976578858</v>
      </c>
      <c r="O494" s="267">
        <f>IF(IFERROR(INDEX('Both teabags AfterDry'!$D$3:$D$900,MATCH(J494,'Both teabags AfterDry'!$A$3:$A$900,0)),"")="","",(IFERROR(INDEX('Both teabags AfterDry'!$D$3:$D$900,MATCH(J494,'Both teabags AfterDry'!$A$3:$A$900,0)),"")))</f>
        <v>1.8980999999999999</v>
      </c>
      <c r="P494" s="267">
        <f>IFERROR(IF(O494&gt;0,O494-(TBIcalc!$Q$9),""),"")</f>
        <v>1.7474999999999998</v>
      </c>
      <c r="Q494" s="278">
        <f>IFERROR(INDEX('Ashed teabags dry'!$K$2:$K$825,MATCH(J494,'Ashed teabags dry'!$A$2:$A$825,0)),"")</f>
        <v>5.7571359458148255</v>
      </c>
      <c r="R494" s="278">
        <f t="shared" si="37"/>
        <v>1.6468940493468858</v>
      </c>
      <c r="S494" s="268">
        <f>'Dry_Litterbag Placem_Collection'!E55</f>
        <v>42938</v>
      </c>
      <c r="T494" s="268">
        <f>IF('Dry_Litterbag Placem_Collection'!G55="","",'Dry_Litterbag Placem_Collection'!G55)</f>
        <v>43005</v>
      </c>
      <c r="U494" s="269">
        <f t="shared" si="35"/>
        <v>67</v>
      </c>
      <c r="V494" s="267">
        <f t="shared" si="38"/>
        <v>5.6699999999999973E-2</v>
      </c>
      <c r="W494" s="267">
        <f t="shared" si="39"/>
        <v>5.7808548311000019E-2</v>
      </c>
      <c r="X494" s="271">
        <f>IFERROR(INDEX(Rainfall_Dry!$O$2:$O$217,MATCH(B494, Rainfall_Dry!$A$2:$A$217,0)),"")</f>
        <v>6.5250000359999998</v>
      </c>
      <c r="Y494" s="260">
        <v>21.96</v>
      </c>
      <c r="Z494" s="260">
        <v>8.9199999999999982</v>
      </c>
      <c r="AA494" s="260">
        <v>69.12</v>
      </c>
      <c r="AB494" s="261" t="s">
        <v>2670</v>
      </c>
      <c r="AC494" s="260">
        <v>1.7491375061606702</v>
      </c>
      <c r="AD494" t="str">
        <f>IF('WetLitterbags placem_collection'!AB55="","",'WetLitterbags placem_collection'!AB55)</f>
        <v/>
      </c>
      <c r="AE494" t="str">
        <f>IF('WetLitterbags placem_collection'!Z55="","",'WetLitterbags placem_collection'!Z55)</f>
        <v/>
      </c>
      <c r="AF494" s="24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71">
        <f>IFERROR(AVERAGE('Dry_Litterbag Placem_Collection'!N55,'Dry_Litterbag Placem_Collection'!Q55),"")</f>
        <v>30.4</v>
      </c>
      <c r="AJ494" s="270">
        <f>INDEX(Coordinates!$B$2:$B$197,MATCH(G494,Coordinates!$J$2:$J$197,0))</f>
        <v>-3.4061140000000001</v>
      </c>
      <c r="AK494" s="270">
        <f>INDEX(Coordinates!$C$2:$C$197,MATCH(G494,Coordinates!$J$2:$J$197,0))</f>
        <v>34.850596000000003</v>
      </c>
      <c r="AL494" s="270" t="str">
        <f>IF(ISNUMBER(SEARCH("C", 'Dry_Litterbag Placem_Collection'!U55)),"YES","NO")</f>
        <v>NO</v>
      </c>
      <c r="AM494" s="270" t="str">
        <f>IF(ISNUMBER(SEARCH("H", 'Dry_Litterbag Placem_Collection'!U55)),"YES","NO")</f>
        <v>NO</v>
      </c>
      <c r="AN494" s="270" t="str">
        <f>IF(ISNUMBER(SEARCH("R", 'Dry_Litterbag Placem_Collection'!U55)),"YES","NO")</f>
        <v>NO</v>
      </c>
    </row>
    <row r="495" spans="1:40" ht="15" customHeight="1">
      <c r="A495" s="262" t="s">
        <v>2659</v>
      </c>
      <c r="B495" s="263">
        <f>'Dry_Litterbag Placem_Collection'!A56</f>
        <v>54</v>
      </c>
      <c r="C495" s="263" t="str">
        <f>'Dry_Litterbag Placem_Collection'!B56</f>
        <v>Makao</v>
      </c>
      <c r="D495" s="263" t="s">
        <v>2659</v>
      </c>
      <c r="E495" s="263" t="s">
        <v>20</v>
      </c>
      <c r="F495" s="263">
        <v>3</v>
      </c>
      <c r="G495" s="264" t="str">
        <f>'Dry_Litterbag Placem_Collection'!C56</f>
        <v>Dry_P3_T6</v>
      </c>
      <c r="H495" s="273" t="s">
        <v>3651</v>
      </c>
      <c r="I495" s="266" t="s">
        <v>1147</v>
      </c>
      <c r="J495" s="263" t="str">
        <f>IF(ISBLANK('Dry_Litterbag Placem_Collection'!L56),"","G"&amp;""&amp;'Dry_Litterbag Placem_Collection'!L56)</f>
        <v/>
      </c>
      <c r="K495" s="267" t="str">
        <f>IFERROR(INDEX('Green_rooibos initial weight'!$C$5:$C$1749,MATCH(J495, 'Green_rooibos initial weight'!$A$5:$A$1749,0)),"")</f>
        <v/>
      </c>
      <c r="L495" s="267" t="str">
        <f>IFERROR(K495-(TBIcalc!$Q$9+TBIcalc!$Q$10),"")</f>
        <v/>
      </c>
      <c r="M495" s="391">
        <f>AVERAGE(Ashed_controlls!$K$2:$K$11)</f>
        <v>5.5147656768714146</v>
      </c>
      <c r="N495" s="267" t="str">
        <f t="shared" si="36"/>
        <v/>
      </c>
      <c r="O495" s="267" t="str">
        <f>IF(IFERROR(INDEX('Both teabags AfterDry'!$D$3:$D$900,MATCH(J495,'Both teabags AfterDry'!$A$3:$A$900,0)),"")="","",(IFERROR(INDEX('Both teabags AfterDry'!$D$3:$D$900,MATCH(J495,'Both teabags AfterDry'!$A$3:$A$900,0)),"")))</f>
        <v/>
      </c>
      <c r="P495" s="267" t="str">
        <f>IFERROR(IF(O495&gt;0,O495-(TBIcalc!$Q$9),""),"")</f>
        <v/>
      </c>
      <c r="Q495" s="278" t="str">
        <f>IFERROR(INDEX('Ashed teabags dry'!$K$2:$K$825,MATCH(J495,'Ashed teabags dry'!$A$2:$A$825,0)),"")</f>
        <v/>
      </c>
      <c r="R495" s="278" t="str">
        <f t="shared" si="37"/>
        <v/>
      </c>
      <c r="S495" s="268">
        <f>'Dry_Litterbag Placem_Collection'!E56</f>
        <v>0</v>
      </c>
      <c r="T495" s="268" t="str">
        <f>IF('Dry_Litterbag Placem_Collection'!G56="","",'Dry_Litterbag Placem_Collection'!G56)</f>
        <v/>
      </c>
      <c r="U495" s="269" t="str">
        <f t="shared" si="35"/>
        <v/>
      </c>
      <c r="V495" s="267" t="str">
        <f t="shared" si="38"/>
        <v/>
      </c>
      <c r="W495" s="267" t="str">
        <f t="shared" si="39"/>
        <v/>
      </c>
      <c r="X495" s="271" t="str">
        <f>IFERROR(INDEX(Rainfall_Dry!$O$2:$O$217,MATCH(B495, Rainfall_Dry!$A$2:$A$217,0)),"")</f>
        <v/>
      </c>
      <c r="Y495" s="260">
        <v>21.96</v>
      </c>
      <c r="Z495" s="260">
        <v>8.9199999999999982</v>
      </c>
      <c r="AA495" s="260">
        <v>69.12</v>
      </c>
      <c r="AB495" s="261" t="s">
        <v>2670</v>
      </c>
      <c r="AC495" s="260">
        <v>1.7491375061606702</v>
      </c>
      <c r="AD495" t="str">
        <f>IF('WetLitterbags placem_collection'!AB56="","",'WetLitterbags placem_collection'!AB56)</f>
        <v/>
      </c>
      <c r="AE495" t="str">
        <f>IF('WetLitterbags placem_collection'!Z56="","",'WetLitterbags placem_collection'!Z56)</f>
        <v/>
      </c>
      <c r="AF495" s="24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71" t="str">
        <f>IFERROR(AVERAGE('Dry_Litterbag Placem_Collection'!N56,'Dry_Litterbag Placem_Collection'!Q56),"")</f>
        <v/>
      </c>
      <c r="AJ495" s="270">
        <f>INDEX(Coordinates!$B$2:$B$197,MATCH(G495,Coordinates!$J$2:$J$197,0))</f>
        <v>-3.406058019</v>
      </c>
      <c r="AK495" s="270">
        <f>INDEX(Coordinates!$C$2:$C$197,MATCH(G495,Coordinates!$J$2:$J$197,0))</f>
        <v>34.850466019999999</v>
      </c>
      <c r="AL495" s="270" t="str">
        <f>IF(ISNUMBER(SEARCH("C", 'Dry_Litterbag Placem_Collection'!U56)),"YES","NO")</f>
        <v>NO</v>
      </c>
      <c r="AM495" s="270" t="str">
        <f>IF(ISNUMBER(SEARCH("H", 'Dry_Litterbag Placem_Collection'!U56)),"YES","NO")</f>
        <v>NO</v>
      </c>
      <c r="AN495" s="270" t="str">
        <f>IF(ISNUMBER(SEARCH("R", 'Dry_Litterbag Placem_Collection'!U56)),"YES","NO")</f>
        <v>NO</v>
      </c>
    </row>
    <row r="496" spans="1:40" ht="15" customHeight="1">
      <c r="A496" s="262" t="s">
        <v>2659</v>
      </c>
      <c r="B496" s="263">
        <f>'Dry_Litterbag Placem_Collection'!A57</f>
        <v>55</v>
      </c>
      <c r="C496" s="263" t="str">
        <f>'Dry_Litterbag Placem_Collection'!B57</f>
        <v>Makao</v>
      </c>
      <c r="D496" s="263" t="s">
        <v>2659</v>
      </c>
      <c r="E496" s="263" t="s">
        <v>20</v>
      </c>
      <c r="F496" s="263">
        <v>3</v>
      </c>
      <c r="G496" s="264" t="str">
        <f>'Dry_Litterbag Placem_Collection'!C57</f>
        <v>Dry_P3_T7</v>
      </c>
      <c r="H496" s="273" t="s">
        <v>3651</v>
      </c>
      <c r="I496" s="266" t="s">
        <v>1147</v>
      </c>
      <c r="J496" s="263" t="str">
        <f>IF(ISBLANK('Dry_Litterbag Placem_Collection'!L57),"","G"&amp;""&amp;'Dry_Litterbag Placem_Collection'!L57)</f>
        <v>G260</v>
      </c>
      <c r="K496" s="267">
        <f>IFERROR(INDEX('Green_rooibos initial weight'!$C$5:$C$1749,MATCH(J496, 'Green_rooibos initial weight'!$A$5:$A$1749,0)),"")</f>
        <v>2.1560000000000001</v>
      </c>
      <c r="L496" s="267">
        <f>IFERROR(K496-(TBIcalc!$Q$9+TBIcalc!$Q$10),"")</f>
        <v>1.9062000000000001</v>
      </c>
      <c r="M496" s="391">
        <f>AVERAGE(Ashed_controlls!$K$2:$K$11)</f>
        <v>5.5147656768714146</v>
      </c>
      <c r="N496" s="267">
        <f t="shared" si="36"/>
        <v>1.8010775366674772</v>
      </c>
      <c r="O496" s="267">
        <f>IF(IFERROR(INDEX('Both teabags AfterDry'!$D$3:$D$900,MATCH(J496,'Both teabags AfterDry'!$A$3:$A$900,0)),"")="","",(IFERROR(INDEX('Both teabags AfterDry'!$D$3:$D$900,MATCH(J496,'Both teabags AfterDry'!$A$3:$A$900,0)),"")))</f>
        <v>1.9074</v>
      </c>
      <c r="P496" s="267">
        <f>IFERROR(IF(O496&gt;0,O496-(TBIcalc!$Q$9),""),"")</f>
        <v>1.7567999999999999</v>
      </c>
      <c r="Q496" s="278">
        <f>IFERROR(INDEX('Ashed teabags dry'!$K$2:$K$825,MATCH(J496,'Ashed teabags dry'!$A$2:$A$825,0)),"")</f>
        <v>8.8734232274901057</v>
      </c>
      <c r="R496" s="278">
        <f t="shared" si="37"/>
        <v>1.6009117007394538</v>
      </c>
      <c r="S496" s="268">
        <f>'Dry_Litterbag Placem_Collection'!E57</f>
        <v>42938</v>
      </c>
      <c r="T496" s="268">
        <f>IF('Dry_Litterbag Placem_Collection'!G57="","",'Dry_Litterbag Placem_Collection'!G57)</f>
        <v>43005</v>
      </c>
      <c r="U496" s="269">
        <f t="shared" si="35"/>
        <v>67</v>
      </c>
      <c r="V496" s="267">
        <f t="shared" si="38"/>
        <v>0.1494000000000002</v>
      </c>
      <c r="W496" s="267">
        <f t="shared" si="39"/>
        <v>0.20016583592802339</v>
      </c>
      <c r="X496" s="271">
        <f>IFERROR(INDEX(Rainfall_Dry!$O$2:$O$217,MATCH(B496, Rainfall_Dry!$A$2:$A$217,0)),"")</f>
        <v>6.5250000359999998</v>
      </c>
      <c r="Y496" s="260">
        <v>21.96</v>
      </c>
      <c r="Z496" s="260">
        <v>8.9199999999999982</v>
      </c>
      <c r="AA496" s="260">
        <v>69.12</v>
      </c>
      <c r="AB496" s="261" t="s">
        <v>2670</v>
      </c>
      <c r="AC496" s="260">
        <v>1.7491375061606702</v>
      </c>
      <c r="AD496">
        <f>IF('WetLitterbags placem_collection'!AB57="","",'WetLitterbags placem_collection'!AB57)</f>
        <v>15.8</v>
      </c>
      <c r="AE496">
        <f>IF('WetLitterbags placem_collection'!Z57="","",'WetLitterbags placem_collection'!Z57)</f>
        <v>45</v>
      </c>
      <c r="AF496" s="24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71">
        <f>IFERROR(AVERAGE('Dry_Litterbag Placem_Collection'!N57,'Dry_Litterbag Placem_Collection'!Q57),"")</f>
        <v>31.9</v>
      </c>
      <c r="AJ496" s="270">
        <f>INDEX(Coordinates!$B$2:$B$197,MATCH(G496,Coordinates!$J$2:$J$197,0))</f>
        <v>-3.4061389879999999</v>
      </c>
      <c r="AK496" s="270">
        <f>INDEX(Coordinates!$C$2:$C$197,MATCH(G496,Coordinates!$J$2:$J$197,0))</f>
        <v>34.850574979999998</v>
      </c>
      <c r="AL496" s="270" t="str">
        <f>IF(ISNUMBER(SEARCH("C", 'Dry_Litterbag Placem_Collection'!U57)),"YES","NO")</f>
        <v>NO</v>
      </c>
      <c r="AM496" s="270" t="str">
        <f>IF(ISNUMBER(SEARCH("H", 'Dry_Litterbag Placem_Collection'!U57)),"YES","NO")</f>
        <v>NO</v>
      </c>
      <c r="AN496" s="270" t="str">
        <f>IF(ISNUMBER(SEARCH("R", 'Dry_Litterbag Placem_Collection'!U57)),"YES","NO")</f>
        <v>NO</v>
      </c>
    </row>
    <row r="497" spans="1:40" ht="15" customHeight="1">
      <c r="A497" s="262" t="s">
        <v>2659</v>
      </c>
      <c r="B497" s="263">
        <f>'Dry_Litterbag Placem_Collection'!A58</f>
        <v>56</v>
      </c>
      <c r="C497" s="263" t="str">
        <f>'Dry_Litterbag Placem_Collection'!B58</f>
        <v>Makao</v>
      </c>
      <c r="D497" s="263" t="s">
        <v>2659</v>
      </c>
      <c r="E497" s="263" t="s">
        <v>20</v>
      </c>
      <c r="F497" s="263">
        <v>3</v>
      </c>
      <c r="G497" s="264" t="str">
        <f>'Dry_Litterbag Placem_Collection'!C58</f>
        <v>Dry_P3_T8</v>
      </c>
      <c r="H497" s="273" t="s">
        <v>3651</v>
      </c>
      <c r="I497" s="266" t="s">
        <v>1147</v>
      </c>
      <c r="J497" s="263" t="str">
        <f>IF(ISBLANK('Dry_Litterbag Placem_Collection'!L58),"","G"&amp;""&amp;'Dry_Litterbag Placem_Collection'!L58)</f>
        <v>G493</v>
      </c>
      <c r="K497" s="267">
        <f>IFERROR(INDEX('Green_rooibos initial weight'!$C$5:$C$1749,MATCH(J497, 'Green_rooibos initial weight'!$A$5:$A$1749,0)),"")</f>
        <v>2.0510000000000002</v>
      </c>
      <c r="L497" s="267">
        <f>IFERROR(K497-(TBIcalc!$Q$9+TBIcalc!$Q$10),"")</f>
        <v>1.8012000000000001</v>
      </c>
      <c r="M497" s="391">
        <f>AVERAGE(Ashed_controlls!$K$2:$K$11)</f>
        <v>5.5147656768714146</v>
      </c>
      <c r="N497" s="267">
        <f t="shared" si="36"/>
        <v>1.7018680406281923</v>
      </c>
      <c r="O497" s="267" t="str">
        <f>IF(IFERROR(INDEX('Both teabags AfterDry'!$D$3:$D$900,MATCH(J497,'Both teabags AfterDry'!$A$3:$A$900,0)),"")="","",(IFERROR(INDEX('Both teabags AfterDry'!$D$3:$D$900,MATCH(J497,'Both teabags AfterDry'!$A$3:$A$900,0)),"")))</f>
        <v/>
      </c>
      <c r="P497" s="267" t="str">
        <f>IFERROR(IF(O497&gt;0,O497-(TBIcalc!$Q$9),""),"")</f>
        <v/>
      </c>
      <c r="Q497" s="278">
        <f>IFERROR(INDEX('Ashed teabags dry'!$K$2:$K$825,MATCH(J497,'Ashed teabags dry'!$A$2:$A$825,0)),"")</f>
        <v>6.380316930776055</v>
      </c>
      <c r="R497" s="278" t="str">
        <f t="shared" si="37"/>
        <v/>
      </c>
      <c r="S497" s="268">
        <f>'Dry_Litterbag Placem_Collection'!E58</f>
        <v>42938</v>
      </c>
      <c r="T497" s="268">
        <f>IF('Dry_Litterbag Placem_Collection'!G58="","",'Dry_Litterbag Placem_Collection'!G58)</f>
        <v>43005</v>
      </c>
      <c r="U497" s="269">
        <f t="shared" si="35"/>
        <v>67</v>
      </c>
      <c r="V497" s="267" t="str">
        <f t="shared" si="38"/>
        <v/>
      </c>
      <c r="W497" s="267" t="str">
        <f t="shared" si="39"/>
        <v/>
      </c>
      <c r="X497" s="271">
        <f>IFERROR(INDEX(Rainfall_Dry!$O$2:$O$217,MATCH(B497, Rainfall_Dry!$A$2:$A$217,0)),"")</f>
        <v>6.5250000359999998</v>
      </c>
      <c r="Y497" s="260">
        <v>21.96</v>
      </c>
      <c r="Z497" s="260">
        <v>8.9199999999999982</v>
      </c>
      <c r="AA497" s="260">
        <v>69.12</v>
      </c>
      <c r="AB497" s="261" t="s">
        <v>2670</v>
      </c>
      <c r="AC497" s="260">
        <v>1.7491375061606702</v>
      </c>
      <c r="AD497">
        <f>IF('WetLitterbags placem_collection'!AB58="","",'WetLitterbags placem_collection'!AB58)</f>
        <v>15.4</v>
      </c>
      <c r="AE497">
        <f>IF('WetLitterbags placem_collection'!Z58="","",'WetLitterbags placem_collection'!Z58)</f>
        <v>30.8</v>
      </c>
      <c r="AF497" s="24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71">
        <f>IFERROR(AVERAGE('Dry_Litterbag Placem_Collection'!N58,'Dry_Litterbag Placem_Collection'!Q58),"")</f>
        <v>30.049999999999997</v>
      </c>
      <c r="AJ497" s="270">
        <f>INDEX(Coordinates!$B$2:$B$197,MATCH(G497,Coordinates!$J$2:$J$197,0))</f>
        <v>-3.4062900300000001</v>
      </c>
      <c r="AK497" s="270">
        <f>INDEX(Coordinates!$C$2:$C$197,MATCH(G497,Coordinates!$J$2:$J$197,0))</f>
        <v>34.850441959999998</v>
      </c>
      <c r="AL497" s="270" t="str">
        <f>IF(ISNUMBER(SEARCH("C", 'Dry_Litterbag Placem_Collection'!U58)),"YES","NO")</f>
        <v>NO</v>
      </c>
      <c r="AM497" s="270" t="str">
        <f>IF(ISNUMBER(SEARCH("H", 'Dry_Litterbag Placem_Collection'!U58)),"YES","NO")</f>
        <v>NO</v>
      </c>
      <c r="AN497" s="270" t="str">
        <f>IF(ISNUMBER(SEARCH("R", 'Dry_Litterbag Placem_Collection'!U58)),"YES","NO")</f>
        <v>NO</v>
      </c>
    </row>
    <row r="498" spans="1:40" ht="15" customHeight="1">
      <c r="A498" s="262" t="s">
        <v>2659</v>
      </c>
      <c r="B498" s="263">
        <f>'Dry_Litterbag Placem_Collection'!A59</f>
        <v>57</v>
      </c>
      <c r="C498" s="263" t="str">
        <f>'Dry_Litterbag Placem_Collection'!B59</f>
        <v>Makao</v>
      </c>
      <c r="D498" s="263" t="s">
        <v>2659</v>
      </c>
      <c r="E498" s="263" t="s">
        <v>20</v>
      </c>
      <c r="F498" s="263">
        <v>4</v>
      </c>
      <c r="G498" s="264" t="str">
        <f>'Dry_Litterbag Placem_Collection'!C59</f>
        <v>Dry_P4_T1</v>
      </c>
      <c r="H498" s="273" t="s">
        <v>3651</v>
      </c>
      <c r="I498" s="266" t="s">
        <v>1147</v>
      </c>
      <c r="J498" s="263" t="str">
        <f>IF(ISBLANK('Dry_Litterbag Placem_Collection'!L59),"","G"&amp;""&amp;'Dry_Litterbag Placem_Collection'!L59)</f>
        <v>G342</v>
      </c>
      <c r="K498" s="267">
        <f>IFERROR(INDEX('Green_rooibos initial weight'!$C$5:$C$1749,MATCH(J498, 'Green_rooibos initial weight'!$A$5:$A$1749,0)),"")</f>
        <v>1.9039999999999999</v>
      </c>
      <c r="L498" s="267">
        <f>IFERROR(K498-(TBIcalc!$Q$9+TBIcalc!$Q$10),"")</f>
        <v>1.6541999999999999</v>
      </c>
      <c r="M498" s="391">
        <f>AVERAGE(Ashed_controlls!$K$2:$K$11)</f>
        <v>5.5147656768714146</v>
      </c>
      <c r="N498" s="267">
        <f t="shared" si="36"/>
        <v>1.5629747461731929</v>
      </c>
      <c r="O498" s="267">
        <f>IF(IFERROR(INDEX('Both teabags AfterDry'!$D$3:$D$900,MATCH(J498,'Both teabags AfterDry'!$A$3:$A$900,0)),"")="","",(IFERROR(INDEX('Both teabags AfterDry'!$D$3:$D$900,MATCH(J498,'Both teabags AfterDry'!$A$3:$A$900,0)),"")))</f>
        <v>1.7556</v>
      </c>
      <c r="P498" s="267">
        <f>IFERROR(IF(O498&gt;0,O498-(TBIcalc!$Q$9),""),"")</f>
        <v>1.605</v>
      </c>
      <c r="Q498" s="278">
        <f>IFERROR(INDEX('Ashed teabags dry'!$K$2:$K$825,MATCH(J498,'Ashed teabags dry'!$A$2:$A$825,0)),"")</f>
        <v>5.6726094003237382</v>
      </c>
      <c r="R498" s="278">
        <f t="shared" si="37"/>
        <v>1.5139546191248039</v>
      </c>
      <c r="S498" s="268">
        <f>'Dry_Litterbag Placem_Collection'!E59</f>
        <v>42938</v>
      </c>
      <c r="T498" s="268">
        <f>IF('Dry_Litterbag Placem_Collection'!G59="","",'Dry_Litterbag Placem_Collection'!G59)</f>
        <v>43005</v>
      </c>
      <c r="U498" s="269">
        <f t="shared" si="35"/>
        <v>67</v>
      </c>
      <c r="V498" s="267">
        <f t="shared" si="38"/>
        <v>4.919999999999991E-2</v>
      </c>
      <c r="W498" s="267">
        <f t="shared" si="39"/>
        <v>4.9020127048388984E-2</v>
      </c>
      <c r="X498" s="271">
        <f>IFERROR(INDEX(Rainfall_Dry!$O$2:$O$217,MATCH(B498, Rainfall_Dry!$A$2:$A$217,0)),"")</f>
        <v>6.5250000359999998</v>
      </c>
      <c r="Y498" s="260">
        <v>25.96</v>
      </c>
      <c r="Z498" s="260">
        <v>6.9200000000000008</v>
      </c>
      <c r="AA498" s="260">
        <v>67.12</v>
      </c>
      <c r="AB498" s="261" t="s">
        <v>2670</v>
      </c>
      <c r="AC498" s="260">
        <v>1.7568260226712666</v>
      </c>
      <c r="AD498">
        <f>IF('WetLitterbags placem_collection'!AB59="","",'WetLitterbags placem_collection'!AB59)</f>
        <v>3.3</v>
      </c>
      <c r="AE498">
        <f>IF('WetLitterbags placem_collection'!Z59="","",'WetLitterbags placem_collection'!Z59)</f>
        <v>28.4</v>
      </c>
      <c r="AF498" s="24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71">
        <f>IFERROR(AVERAGE('Dry_Litterbag Placem_Collection'!N59,'Dry_Litterbag Placem_Collection'!Q59),"")</f>
        <v>33.25</v>
      </c>
      <c r="AJ498" s="270">
        <f>INDEX(Coordinates!$B$2:$B$197,MATCH(G498,Coordinates!$J$2:$J$197,0))</f>
        <v>-3.4064239729999999</v>
      </c>
      <c r="AK498" s="270">
        <f>INDEX(Coordinates!$C$2:$C$197,MATCH(G498,Coordinates!$J$2:$J$197,0))</f>
        <v>34.851213010000002</v>
      </c>
      <c r="AL498" s="270" t="str">
        <f>IF(ISNUMBER(SEARCH("C", 'Dry_Litterbag Placem_Collection'!U59)),"YES","NO")</f>
        <v>NO</v>
      </c>
      <c r="AM498" s="270" t="str">
        <f>IF(ISNUMBER(SEARCH("H", 'Dry_Litterbag Placem_Collection'!U59)),"YES","NO")</f>
        <v>NO</v>
      </c>
      <c r="AN498" s="270" t="str">
        <f>IF(ISNUMBER(SEARCH("R", 'Dry_Litterbag Placem_Collection'!U59)),"YES","NO")</f>
        <v>NO</v>
      </c>
    </row>
    <row r="499" spans="1:40" ht="15" customHeight="1">
      <c r="A499" s="262" t="s">
        <v>2659</v>
      </c>
      <c r="B499" s="263">
        <f>'Dry_Litterbag Placem_Collection'!A60</f>
        <v>58</v>
      </c>
      <c r="C499" s="263" t="str">
        <f>'Dry_Litterbag Placem_Collection'!B60</f>
        <v>Makao</v>
      </c>
      <c r="D499" s="263" t="s">
        <v>2659</v>
      </c>
      <c r="E499" s="263" t="s">
        <v>20</v>
      </c>
      <c r="F499" s="263">
        <v>4</v>
      </c>
      <c r="G499" s="264" t="str">
        <f>'Dry_Litterbag Placem_Collection'!C60</f>
        <v>Dry_P4_T2</v>
      </c>
      <c r="H499" s="273" t="s">
        <v>3651</v>
      </c>
      <c r="I499" s="266" t="s">
        <v>1147</v>
      </c>
      <c r="J499" s="263" t="str">
        <f>IF(ISBLANK('Dry_Litterbag Placem_Collection'!L60),"","G"&amp;""&amp;'Dry_Litterbag Placem_Collection'!L60)</f>
        <v>G735</v>
      </c>
      <c r="K499" s="267">
        <f>IFERROR(INDEX('Green_rooibos initial weight'!$C$5:$C$1749,MATCH(J499, 'Green_rooibos initial weight'!$A$5:$A$1749,0)),"")</f>
        <v>2.0950000000000002</v>
      </c>
      <c r="L499" s="267">
        <f>IFERROR(K499-(TBIcalc!$Q$9+TBIcalc!$Q$10),"")</f>
        <v>1.8452000000000002</v>
      </c>
      <c r="M499" s="391">
        <f>AVERAGE(Ashed_controlls!$K$2:$K$11)</f>
        <v>5.5147656768714146</v>
      </c>
      <c r="N499" s="267">
        <f t="shared" si="36"/>
        <v>1.7434415437303687</v>
      </c>
      <c r="O499" s="267">
        <f>IF(IFERROR(INDEX('Both teabags AfterDry'!$D$3:$D$900,MATCH(J499,'Both teabags AfterDry'!$A$3:$A$900,0)),"")="","",(IFERROR(INDEX('Both teabags AfterDry'!$D$3:$D$900,MATCH(J499,'Both teabags AfterDry'!$A$3:$A$900,0)),"")))</f>
        <v>1.9036</v>
      </c>
      <c r="P499" s="267">
        <f>IFERROR(IF(O499&gt;0,O499-(TBIcalc!$Q$9),""),"")</f>
        <v>1.7529999999999999</v>
      </c>
      <c r="Q499" s="278">
        <f>IFERROR(INDEX('Ashed teabags dry'!$K$2:$K$825,MATCH(J499,'Ashed teabags dry'!$A$2:$A$825,0)),"")</f>
        <v>6.5088757396447594</v>
      </c>
      <c r="R499" s="278">
        <f t="shared" si="37"/>
        <v>1.6388994082840274</v>
      </c>
      <c r="S499" s="268">
        <f>'Dry_Litterbag Placem_Collection'!E60</f>
        <v>42938</v>
      </c>
      <c r="T499" s="268">
        <f>IF('Dry_Litterbag Placem_Collection'!G60="","",'Dry_Litterbag Placem_Collection'!G60)</f>
        <v>43005</v>
      </c>
      <c r="U499" s="269">
        <f t="shared" si="35"/>
        <v>67</v>
      </c>
      <c r="V499" s="267">
        <f t="shared" si="38"/>
        <v>9.2200000000000282E-2</v>
      </c>
      <c r="W499" s="267">
        <f t="shared" si="39"/>
        <v>0.10454213544634139</v>
      </c>
      <c r="X499" s="271">
        <f>IFERROR(INDEX(Rainfall_Dry!$O$2:$O$217,MATCH(B499, Rainfall_Dry!$A$2:$A$217,0)),"")</f>
        <v>6.5250000359999998</v>
      </c>
      <c r="Y499" s="260">
        <v>25.96</v>
      </c>
      <c r="Z499" s="260">
        <v>6.9200000000000008</v>
      </c>
      <c r="AA499" s="260">
        <v>67.12</v>
      </c>
      <c r="AB499" s="261" t="s">
        <v>2670</v>
      </c>
      <c r="AC499" s="260">
        <v>1.7568260226712666</v>
      </c>
      <c r="AD499">
        <f>IF('WetLitterbags placem_collection'!AB60="","",'WetLitterbags placem_collection'!AB60)</f>
        <v>1.4</v>
      </c>
      <c r="AE499">
        <f>IF('WetLitterbags placem_collection'!Z60="","",'WetLitterbags placem_collection'!Z60)</f>
        <v>54.4</v>
      </c>
      <c r="AF499" s="24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71">
        <f>IFERROR(AVERAGE('Dry_Litterbag Placem_Collection'!N60,'Dry_Litterbag Placem_Collection'!Q60),"")</f>
        <v>32.35</v>
      </c>
      <c r="AJ499" s="270">
        <f>INDEX(Coordinates!$B$2:$B$197,MATCH(G499,Coordinates!$J$2:$J$197,0))</f>
        <v>-3.4065020079999999</v>
      </c>
      <c r="AK499" s="270">
        <f>INDEX(Coordinates!$C$2:$C$197,MATCH(G499,Coordinates!$J$2:$J$197,0))</f>
        <v>34.851056020000001</v>
      </c>
      <c r="AL499" s="270" t="str">
        <f>IF(ISNUMBER(SEARCH("C", 'Dry_Litterbag Placem_Collection'!U60)),"YES","NO")</f>
        <v>NO</v>
      </c>
      <c r="AM499" s="270" t="str">
        <f>IF(ISNUMBER(SEARCH("H", 'Dry_Litterbag Placem_Collection'!U60)),"YES","NO")</f>
        <v>NO</v>
      </c>
      <c r="AN499" s="270" t="str">
        <f>IF(ISNUMBER(SEARCH("R", 'Dry_Litterbag Placem_Collection'!U60)),"YES","NO")</f>
        <v>NO</v>
      </c>
    </row>
    <row r="500" spans="1:40" ht="15" customHeight="1">
      <c r="A500" s="262" t="s">
        <v>2659</v>
      </c>
      <c r="B500" s="263">
        <f>'Dry_Litterbag Placem_Collection'!A61</f>
        <v>59</v>
      </c>
      <c r="C500" s="263" t="str">
        <f>'Dry_Litterbag Placem_Collection'!B61</f>
        <v>Makao</v>
      </c>
      <c r="D500" s="263" t="s">
        <v>2659</v>
      </c>
      <c r="E500" s="263" t="s">
        <v>20</v>
      </c>
      <c r="F500" s="263">
        <v>4</v>
      </c>
      <c r="G500" s="264" t="str">
        <f>'Dry_Litterbag Placem_Collection'!C61</f>
        <v>Dry_P4_T3</v>
      </c>
      <c r="H500" s="273" t="s">
        <v>3651</v>
      </c>
      <c r="I500" s="266" t="s">
        <v>1147</v>
      </c>
      <c r="J500" s="263" t="str">
        <f>IF(ISBLANK('Dry_Litterbag Placem_Collection'!L61),"","G"&amp;""&amp;'Dry_Litterbag Placem_Collection'!L61)</f>
        <v>G558</v>
      </c>
      <c r="K500" s="267">
        <f>IFERROR(INDEX('Green_rooibos initial weight'!$C$5:$C$1749,MATCH(J500, 'Green_rooibos initial weight'!$A$5:$A$1749,0)),"")</f>
        <v>2.1789999999999998</v>
      </c>
      <c r="L500" s="267">
        <f>IFERROR(K500-(TBIcalc!$Q$9+TBIcalc!$Q$10),"")</f>
        <v>1.9291999999999998</v>
      </c>
      <c r="M500" s="391">
        <f>AVERAGE(Ashed_controlls!$K$2:$K$11)</f>
        <v>5.5147656768714146</v>
      </c>
      <c r="N500" s="267">
        <f t="shared" si="36"/>
        <v>1.8228091405617965</v>
      </c>
      <c r="O500" s="267">
        <f>IF(IFERROR(INDEX('Both teabags AfterDry'!$D$3:$D$900,MATCH(J500,'Both teabags AfterDry'!$A$3:$A$900,0)),"")="","",(IFERROR(INDEX('Both teabags AfterDry'!$D$3:$D$900,MATCH(J500,'Both teabags AfterDry'!$A$3:$A$900,0)),"")))</f>
        <v>1.9415</v>
      </c>
      <c r="P500" s="267">
        <f>IFERROR(IF(O500&gt;0,O500-(TBIcalc!$Q$9),""),"")</f>
        <v>1.7908999999999999</v>
      </c>
      <c r="Q500" s="278">
        <f>IFERROR(INDEX('Ashed teabags dry'!$K$2:$K$825,MATCH(J500,'Ashed teabags dry'!$A$2:$A$825,0)),"")</f>
        <v>5.6511056511055608</v>
      </c>
      <c r="R500" s="278">
        <f t="shared" si="37"/>
        <v>1.6896943488943506</v>
      </c>
      <c r="S500" s="268">
        <f>'Dry_Litterbag Placem_Collection'!E61</f>
        <v>42938</v>
      </c>
      <c r="T500" s="268">
        <f>IF('Dry_Litterbag Placem_Collection'!G61="","",'Dry_Litterbag Placem_Collection'!G61)</f>
        <v>43005</v>
      </c>
      <c r="U500" s="269">
        <f t="shared" si="35"/>
        <v>67</v>
      </c>
      <c r="V500" s="267">
        <f t="shared" si="38"/>
        <v>0.13829999999999987</v>
      </c>
      <c r="W500" s="267">
        <f t="shared" si="39"/>
        <v>0.133114791667446</v>
      </c>
      <c r="X500" s="271">
        <f>IFERROR(INDEX(Rainfall_Dry!$O$2:$O$217,MATCH(B500, Rainfall_Dry!$A$2:$A$217,0)),"")</f>
        <v>6.5250000359999998</v>
      </c>
      <c r="Y500" s="260">
        <v>25.96</v>
      </c>
      <c r="Z500" s="260">
        <v>6.9200000000000008</v>
      </c>
      <c r="AA500" s="260">
        <v>67.12</v>
      </c>
      <c r="AB500" s="261" t="s">
        <v>2670</v>
      </c>
      <c r="AC500" s="260">
        <v>1.7568260226712666</v>
      </c>
      <c r="AD500">
        <f>IF('WetLitterbags placem_collection'!AB61="","",'WetLitterbags placem_collection'!AB61)</f>
        <v>3.3</v>
      </c>
      <c r="AE500">
        <f>IF('WetLitterbags placem_collection'!Z61="","",'WetLitterbags placem_collection'!Z61)</f>
        <v>46</v>
      </c>
      <c r="AF500" s="24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71">
        <f>IFERROR(AVERAGE('Dry_Litterbag Placem_Collection'!N61,'Dry_Litterbag Placem_Collection'!Q61),"")</f>
        <v>31.8</v>
      </c>
      <c r="AJ500" s="270">
        <f>INDEX(Coordinates!$B$2:$B$197,MATCH(G500,Coordinates!$J$2:$J$197,0))</f>
        <v>-3.4062359670000002</v>
      </c>
      <c r="AK500" s="270">
        <f>INDEX(Coordinates!$C$2:$C$197,MATCH(G500,Coordinates!$J$2:$J$197,0))</f>
        <v>34.851107990000003</v>
      </c>
      <c r="AL500" s="270" t="str">
        <f>IF(ISNUMBER(SEARCH("C", 'Dry_Litterbag Placem_Collection'!U61)),"YES","NO")</f>
        <v>NO</v>
      </c>
      <c r="AM500" s="270" t="str">
        <f>IF(ISNUMBER(SEARCH("H", 'Dry_Litterbag Placem_Collection'!U61)),"YES","NO")</f>
        <v>NO</v>
      </c>
      <c r="AN500" s="270" t="str">
        <f>IF(ISNUMBER(SEARCH("R", 'Dry_Litterbag Placem_Collection'!U61)),"YES","NO")</f>
        <v>NO</v>
      </c>
    </row>
    <row r="501" spans="1:40" ht="15" customHeight="1">
      <c r="A501" s="262" t="s">
        <v>2659</v>
      </c>
      <c r="B501" s="263">
        <f>'Dry_Litterbag Placem_Collection'!A62</f>
        <v>60</v>
      </c>
      <c r="C501" s="263" t="str">
        <f>'Dry_Litterbag Placem_Collection'!B62</f>
        <v>Makao</v>
      </c>
      <c r="D501" s="263" t="s">
        <v>2659</v>
      </c>
      <c r="E501" s="263" t="s">
        <v>20</v>
      </c>
      <c r="F501" s="263">
        <v>4</v>
      </c>
      <c r="G501" s="264" t="str">
        <f>'Dry_Litterbag Placem_Collection'!C62</f>
        <v>Dry_P4_T4</v>
      </c>
      <c r="H501" s="273" t="s">
        <v>3651</v>
      </c>
      <c r="I501" s="266" t="s">
        <v>1147</v>
      </c>
      <c r="J501" s="263" t="str">
        <f>IF(ISBLANK('Dry_Litterbag Placem_Collection'!L62),"","G"&amp;""&amp;'Dry_Litterbag Placem_Collection'!L62)</f>
        <v>G751</v>
      </c>
      <c r="K501" s="267">
        <f>IFERROR(INDEX('Green_rooibos initial weight'!$C$5:$C$1749,MATCH(J501, 'Green_rooibos initial weight'!$A$5:$A$1749,0)),"")</f>
        <v>2.0750000000000002</v>
      </c>
      <c r="L501" s="267">
        <f>IFERROR(K501-(TBIcalc!$Q$9+TBIcalc!$Q$10),"")</f>
        <v>1.8252000000000002</v>
      </c>
      <c r="M501" s="391">
        <f>AVERAGE(Ashed_controlls!$K$2:$K$11)</f>
        <v>5.5147656768714146</v>
      </c>
      <c r="N501" s="267">
        <f t="shared" si="36"/>
        <v>1.7245444968657431</v>
      </c>
      <c r="O501" s="267" t="str">
        <f>IF(IFERROR(INDEX('Both teabags AfterDry'!$D$3:$D$900,MATCH(J501,'Both teabags AfterDry'!$A$3:$A$900,0)),"")="","",(IFERROR(INDEX('Both teabags AfterDry'!$D$3:$D$900,MATCH(J501,'Both teabags AfterDry'!$A$3:$A$900,0)),"")))</f>
        <v/>
      </c>
      <c r="P501" s="267" t="str">
        <f>IFERROR(IF(O501&gt;0,O501-(TBIcalc!$Q$9),""),"")</f>
        <v/>
      </c>
      <c r="Q501" s="278" t="str">
        <f>IFERROR(INDEX('Ashed teabags dry'!$K$2:$K$825,MATCH(J501,'Ashed teabags dry'!$A$2:$A$825,0)),"")</f>
        <v/>
      </c>
      <c r="R501" s="278" t="str">
        <f t="shared" si="37"/>
        <v/>
      </c>
      <c r="S501" s="268">
        <f>'Dry_Litterbag Placem_Collection'!E62</f>
        <v>42938</v>
      </c>
      <c r="T501" s="268">
        <f>IF('Dry_Litterbag Placem_Collection'!G62="","",'Dry_Litterbag Placem_Collection'!G62)</f>
        <v>43005</v>
      </c>
      <c r="U501" s="269">
        <f t="shared" si="35"/>
        <v>67</v>
      </c>
      <c r="V501" s="267" t="str">
        <f t="shared" si="38"/>
        <v/>
      </c>
      <c r="W501" s="267" t="str">
        <f t="shared" si="39"/>
        <v/>
      </c>
      <c r="X501" s="271">
        <f>IFERROR(INDEX(Rainfall_Dry!$O$2:$O$217,MATCH(B501, Rainfall_Dry!$A$2:$A$217,0)),"")</f>
        <v>6.5250000359999998</v>
      </c>
      <c r="Y501" s="260">
        <v>25.96</v>
      </c>
      <c r="Z501" s="260">
        <v>6.9200000000000008</v>
      </c>
      <c r="AA501" s="260">
        <v>67.12</v>
      </c>
      <c r="AB501" s="261" t="s">
        <v>2670</v>
      </c>
      <c r="AC501" s="260">
        <v>1.7568260226712666</v>
      </c>
      <c r="AD501">
        <f>IF('WetLitterbags placem_collection'!AB62="","",'WetLitterbags placem_collection'!AB62)</f>
        <v>2.4</v>
      </c>
      <c r="AE501">
        <f>IF('WetLitterbags placem_collection'!Z62="","",'WetLitterbags placem_collection'!Z62)</f>
        <v>10.199999999999999</v>
      </c>
      <c r="AF501" s="24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71">
        <f>IFERROR(AVERAGE('Dry_Litterbag Placem_Collection'!N62,'Dry_Litterbag Placem_Collection'!Q62),"")</f>
        <v>32.650000000000006</v>
      </c>
      <c r="AJ501" s="270">
        <f>INDEX(Coordinates!$B$2:$B$197,MATCH(G501,Coordinates!$J$2:$J$197,0))</f>
        <v>-3.406281983</v>
      </c>
      <c r="AK501" s="270">
        <f>INDEX(Coordinates!$C$2:$C$197,MATCH(G501,Coordinates!$J$2:$J$197,0))</f>
        <v>34.85137898</v>
      </c>
      <c r="AL501" s="270" t="str">
        <f>IF(ISNUMBER(SEARCH("C", 'Dry_Litterbag Placem_Collection'!U62)),"YES","NO")</f>
        <v>NO</v>
      </c>
      <c r="AM501" s="270" t="str">
        <f>IF(ISNUMBER(SEARCH("H", 'Dry_Litterbag Placem_Collection'!U62)),"YES","NO")</f>
        <v>NO</v>
      </c>
      <c r="AN501" s="270" t="str">
        <f>IF(ISNUMBER(SEARCH("R", 'Dry_Litterbag Placem_Collection'!U62)),"YES","NO")</f>
        <v>NO</v>
      </c>
    </row>
    <row r="502" spans="1:40" ht="15" customHeight="1">
      <c r="A502" s="262" t="s">
        <v>2659</v>
      </c>
      <c r="B502" s="263">
        <f>'Dry_Litterbag Placem_Collection'!A63</f>
        <v>61</v>
      </c>
      <c r="C502" s="263" t="str">
        <f>'Dry_Litterbag Placem_Collection'!B63</f>
        <v>Makao</v>
      </c>
      <c r="D502" s="263" t="s">
        <v>2659</v>
      </c>
      <c r="E502" s="263" t="s">
        <v>20</v>
      </c>
      <c r="F502" s="263">
        <v>4</v>
      </c>
      <c r="G502" s="264" t="str">
        <f>'Dry_Litterbag Placem_Collection'!C63</f>
        <v>Dry_P4_T5</v>
      </c>
      <c r="H502" s="273" t="s">
        <v>3651</v>
      </c>
      <c r="I502" s="266" t="s">
        <v>1147</v>
      </c>
      <c r="J502" s="263" t="str">
        <f>IF(ISBLANK('Dry_Litterbag Placem_Collection'!L63),"","G"&amp;""&amp;'Dry_Litterbag Placem_Collection'!L63)</f>
        <v>G748</v>
      </c>
      <c r="K502" s="267">
        <f>IFERROR(INDEX('Green_rooibos initial weight'!$C$5:$C$1749,MATCH(J502, 'Green_rooibos initial weight'!$A$5:$A$1749,0)),"")</f>
        <v>2.081</v>
      </c>
      <c r="L502" s="267">
        <f>IFERROR(K502-(TBIcalc!$Q$9+TBIcalc!$Q$10),"")</f>
        <v>1.8311999999999999</v>
      </c>
      <c r="M502" s="391">
        <f>AVERAGE(Ashed_controlls!$K$2:$K$11)</f>
        <v>5.5147656768714146</v>
      </c>
      <c r="N502" s="267">
        <f t="shared" si="36"/>
        <v>1.7302136109251305</v>
      </c>
      <c r="O502" s="267" t="str">
        <f>IF(IFERROR(INDEX('Both teabags AfterDry'!$D$3:$D$900,MATCH(J502,'Both teabags AfterDry'!$A$3:$A$900,0)),"")="","",(IFERROR(INDEX('Both teabags AfterDry'!$D$3:$D$900,MATCH(J502,'Both teabags AfterDry'!$A$3:$A$900,0)),"")))</f>
        <v/>
      </c>
      <c r="P502" s="267" t="str">
        <f>IFERROR(IF(O502&gt;0,O502-(TBIcalc!$Q$9),""),"")</f>
        <v/>
      </c>
      <c r="Q502" s="278" t="str">
        <f>IFERROR(INDEX('Ashed teabags dry'!$K$2:$K$825,MATCH(J502,'Ashed teabags dry'!$A$2:$A$825,0)),"")</f>
        <v/>
      </c>
      <c r="R502" s="278" t="str">
        <f t="shared" si="37"/>
        <v/>
      </c>
      <c r="S502" s="268">
        <f>'Dry_Litterbag Placem_Collection'!E63</f>
        <v>42938</v>
      </c>
      <c r="T502" s="268">
        <f>IF('Dry_Litterbag Placem_Collection'!G63="","",'Dry_Litterbag Placem_Collection'!G63)</f>
        <v>43005</v>
      </c>
      <c r="U502" s="269">
        <f t="shared" si="35"/>
        <v>67</v>
      </c>
      <c r="V502" s="267" t="str">
        <f t="shared" si="38"/>
        <v/>
      </c>
      <c r="W502" s="267" t="str">
        <f t="shared" si="39"/>
        <v/>
      </c>
      <c r="X502" s="271">
        <f>IFERROR(INDEX(Rainfall_Dry!$O$2:$O$217,MATCH(B502, Rainfall_Dry!$A$2:$A$217,0)),"")</f>
        <v>6.5250000359999998</v>
      </c>
      <c r="Y502" s="260">
        <v>25.96</v>
      </c>
      <c r="Z502" s="260">
        <v>6.9200000000000008</v>
      </c>
      <c r="AA502" s="260">
        <v>67.12</v>
      </c>
      <c r="AB502" s="261" t="s">
        <v>2670</v>
      </c>
      <c r="AC502" s="260">
        <v>1.7568260226712666</v>
      </c>
      <c r="AD502">
        <f>IF('WetLitterbags placem_collection'!AB63="","",'WetLitterbags placem_collection'!AB63)</f>
        <v>5.6</v>
      </c>
      <c r="AE502">
        <f>IF('WetLitterbags placem_collection'!Z63="","",'WetLitterbags placem_collection'!Z63)</f>
        <v>34.200000000000003</v>
      </c>
      <c r="AF502" s="24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71">
        <f>IFERROR(AVERAGE('Dry_Litterbag Placem_Collection'!N63,'Dry_Litterbag Placem_Collection'!Q63),"")</f>
        <v>34</v>
      </c>
      <c r="AJ502" s="270">
        <f>INDEX(Coordinates!$B$2:$B$197,MATCH(G502,Coordinates!$J$2:$J$197,0))</f>
        <v>-3.406569986</v>
      </c>
      <c r="AK502" s="270">
        <f>INDEX(Coordinates!$C$2:$C$197,MATCH(G502,Coordinates!$J$2:$J$197,0))</f>
        <v>34.851323989999997</v>
      </c>
      <c r="AL502" s="270" t="str">
        <f>IF(ISNUMBER(SEARCH("C", 'Dry_Litterbag Placem_Collection'!U63)),"YES","NO")</f>
        <v>NO</v>
      </c>
      <c r="AM502" s="270" t="str">
        <f>IF(ISNUMBER(SEARCH("H", 'Dry_Litterbag Placem_Collection'!U63)),"YES","NO")</f>
        <v>NO</v>
      </c>
      <c r="AN502" s="270" t="str">
        <f>IF(ISNUMBER(SEARCH("R", 'Dry_Litterbag Placem_Collection'!U63)),"YES","NO")</f>
        <v>NO</v>
      </c>
    </row>
    <row r="503" spans="1:40" ht="15" customHeight="1">
      <c r="A503" s="262" t="s">
        <v>2659</v>
      </c>
      <c r="B503" s="263">
        <f>'Dry_Litterbag Placem_Collection'!A64</f>
        <v>62</v>
      </c>
      <c r="C503" s="263" t="str">
        <f>'Dry_Litterbag Placem_Collection'!B64</f>
        <v>Makao</v>
      </c>
      <c r="D503" s="263" t="s">
        <v>2659</v>
      </c>
      <c r="E503" s="263" t="s">
        <v>20</v>
      </c>
      <c r="F503" s="263">
        <v>4</v>
      </c>
      <c r="G503" s="264" t="str">
        <f>'Dry_Litterbag Placem_Collection'!C64</f>
        <v>Dry_P4_T6</v>
      </c>
      <c r="H503" s="273" t="s">
        <v>3651</v>
      </c>
      <c r="I503" s="266" t="s">
        <v>1147</v>
      </c>
      <c r="J503" s="263" t="str">
        <f>IF(ISBLANK('Dry_Litterbag Placem_Collection'!L64),"","G"&amp;""&amp;'Dry_Litterbag Placem_Collection'!L64)</f>
        <v/>
      </c>
      <c r="K503" s="267" t="str">
        <f>IFERROR(INDEX('Green_rooibos initial weight'!$C$5:$C$1749,MATCH(J503, 'Green_rooibos initial weight'!$A$5:$A$1749,0)),"")</f>
        <v/>
      </c>
      <c r="L503" s="267" t="str">
        <f>IFERROR(K503-(TBIcalc!$Q$9+TBIcalc!$Q$10),"")</f>
        <v/>
      </c>
      <c r="M503" s="391">
        <f>AVERAGE(Ashed_controlls!$K$2:$K$11)</f>
        <v>5.5147656768714146</v>
      </c>
      <c r="N503" s="267" t="str">
        <f t="shared" si="36"/>
        <v/>
      </c>
      <c r="O503" s="267" t="str">
        <f>IF(IFERROR(INDEX('Both teabags AfterDry'!$D$3:$D$900,MATCH(J503,'Both teabags AfterDry'!$A$3:$A$900,0)),"")="","",(IFERROR(INDEX('Both teabags AfterDry'!$D$3:$D$900,MATCH(J503,'Both teabags AfterDry'!$A$3:$A$900,0)),"")))</f>
        <v/>
      </c>
      <c r="P503" s="267" t="str">
        <f>IFERROR(IF(O503&gt;0,O503-(TBIcalc!$Q$9),""),"")</f>
        <v/>
      </c>
      <c r="Q503" s="278" t="str">
        <f>IFERROR(INDEX('Ashed teabags dry'!$K$2:$K$825,MATCH(J503,'Ashed teabags dry'!$A$2:$A$825,0)),"")</f>
        <v/>
      </c>
      <c r="R503" s="278" t="str">
        <f t="shared" si="37"/>
        <v/>
      </c>
      <c r="S503" s="268">
        <f>'Dry_Litterbag Placem_Collection'!E64</f>
        <v>0</v>
      </c>
      <c r="T503" s="268" t="str">
        <f>IF('Dry_Litterbag Placem_Collection'!G64="","",'Dry_Litterbag Placem_Collection'!G64)</f>
        <v/>
      </c>
      <c r="U503" s="269" t="str">
        <f t="shared" si="35"/>
        <v/>
      </c>
      <c r="V503" s="267" t="str">
        <f t="shared" si="38"/>
        <v/>
      </c>
      <c r="W503" s="267" t="str">
        <f t="shared" si="39"/>
        <v/>
      </c>
      <c r="X503" s="271" t="str">
        <f>IFERROR(INDEX(Rainfall_Dry!$O$2:$O$217,MATCH(B503, Rainfall_Dry!$A$2:$A$217,0)),"")</f>
        <v/>
      </c>
      <c r="Y503" s="260">
        <v>25.96</v>
      </c>
      <c r="Z503" s="260">
        <v>6.9200000000000008</v>
      </c>
      <c r="AA503" s="260">
        <v>67.12</v>
      </c>
      <c r="AB503" s="261" t="s">
        <v>2670</v>
      </c>
      <c r="AC503" s="260">
        <v>1.7568260226712666</v>
      </c>
      <c r="AD503">
        <f>IF('WetLitterbags placem_collection'!AB64="","",'WetLitterbags placem_collection'!AB64)</f>
        <v>4.2</v>
      </c>
      <c r="AE503">
        <f>IF('WetLitterbags placem_collection'!Z64="","",'WetLitterbags placem_collection'!Z64)</f>
        <v>40.4</v>
      </c>
      <c r="AF503" s="24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71" t="str">
        <f>IFERROR(AVERAGE('Dry_Litterbag Placem_Collection'!N64,'Dry_Litterbag Placem_Collection'!Q64),"")</f>
        <v/>
      </c>
      <c r="AJ503" s="270">
        <f>INDEX(Coordinates!$B$2:$B$197,MATCH(G503,Coordinates!$J$2:$J$197,0))</f>
        <v>-3.4065180179999999</v>
      </c>
      <c r="AK503" s="270">
        <f>INDEX(Coordinates!$C$2:$C$197,MATCH(G503,Coordinates!$J$2:$J$197,0))</f>
        <v>34.85121402</v>
      </c>
      <c r="AL503" s="270" t="str">
        <f>IF(ISNUMBER(SEARCH("C", 'Dry_Litterbag Placem_Collection'!U64)),"YES","NO")</f>
        <v>NO</v>
      </c>
      <c r="AM503" s="270" t="str">
        <f>IF(ISNUMBER(SEARCH("H", 'Dry_Litterbag Placem_Collection'!U64)),"YES","NO")</f>
        <v>NO</v>
      </c>
      <c r="AN503" s="270" t="str">
        <f>IF(ISNUMBER(SEARCH("R", 'Dry_Litterbag Placem_Collection'!U64)),"YES","NO")</f>
        <v>NO</v>
      </c>
    </row>
    <row r="504" spans="1:40" ht="15" customHeight="1">
      <c r="A504" s="262" t="s">
        <v>2659</v>
      </c>
      <c r="B504" s="263">
        <f>'Dry_Litterbag Placem_Collection'!A65</f>
        <v>63</v>
      </c>
      <c r="C504" s="263" t="str">
        <f>'Dry_Litterbag Placem_Collection'!B65</f>
        <v>Makao</v>
      </c>
      <c r="D504" s="263" t="s">
        <v>2659</v>
      </c>
      <c r="E504" s="263" t="s">
        <v>20</v>
      </c>
      <c r="F504" s="263">
        <v>4</v>
      </c>
      <c r="G504" s="264" t="str">
        <f>'Dry_Litterbag Placem_Collection'!C65</f>
        <v>Dry_P4_T7</v>
      </c>
      <c r="H504" s="273" t="s">
        <v>3651</v>
      </c>
      <c r="I504" s="266" t="s">
        <v>1147</v>
      </c>
      <c r="J504" s="263" t="str">
        <f>IF(ISBLANK('Dry_Litterbag Placem_Collection'!L65),"","G"&amp;""&amp;'Dry_Litterbag Placem_Collection'!L65)</f>
        <v>G629</v>
      </c>
      <c r="K504" s="267">
        <f>IFERROR(INDEX('Green_rooibos initial weight'!$C$5:$C$1749,MATCH(J504, 'Green_rooibos initial weight'!$A$5:$A$1749,0)),"")</f>
        <v>1.978</v>
      </c>
      <c r="L504" s="267">
        <f>IFERROR(K504-(TBIcalc!$Q$9+TBIcalc!$Q$10),"")</f>
        <v>1.7282</v>
      </c>
      <c r="M504" s="391">
        <f>AVERAGE(Ashed_controlls!$K$2:$K$11)</f>
        <v>5.5147656768714146</v>
      </c>
      <c r="N504" s="267">
        <f t="shared" si="36"/>
        <v>1.6328938195723082</v>
      </c>
      <c r="O504" s="267">
        <f>IF(IFERROR(INDEX('Both teabags AfterDry'!$D$3:$D$900,MATCH(J504,'Both teabags AfterDry'!$A$3:$A$900,0)),"")="","",(IFERROR(INDEX('Both teabags AfterDry'!$D$3:$D$900,MATCH(J504,'Both teabags AfterDry'!$A$3:$A$900,0)),"")))</f>
        <v>1.8411</v>
      </c>
      <c r="P504" s="267">
        <f>IFERROR(IF(O504&gt;0,O504-(TBIcalc!$Q$9),""),"")</f>
        <v>1.6904999999999999</v>
      </c>
      <c r="Q504" s="278">
        <f>IFERROR(INDEX('Ashed teabags dry'!$K$2:$K$825,MATCH(J504,'Ashed teabags dry'!$A$2:$A$825,0)),"")</f>
        <v>5.6801195814651884</v>
      </c>
      <c r="R504" s="278">
        <f t="shared" si="37"/>
        <v>1.5944775784753309</v>
      </c>
      <c r="S504" s="268">
        <f>'Dry_Litterbag Placem_Collection'!E65</f>
        <v>42938</v>
      </c>
      <c r="T504" s="268">
        <f>IF('Dry_Litterbag Placem_Collection'!G65="","",'Dry_Litterbag Placem_Collection'!G65)</f>
        <v>43005</v>
      </c>
      <c r="U504" s="269">
        <f t="shared" si="35"/>
        <v>67</v>
      </c>
      <c r="V504" s="267">
        <f t="shared" si="38"/>
        <v>3.7700000000000067E-2</v>
      </c>
      <c r="W504" s="267">
        <f t="shared" si="39"/>
        <v>3.8416241096977277E-2</v>
      </c>
      <c r="X504" s="271">
        <f>IFERROR(INDEX(Rainfall_Dry!$O$2:$O$217,MATCH(B504, Rainfall_Dry!$A$2:$A$217,0)),"")</f>
        <v>6.5250000359999998</v>
      </c>
      <c r="Y504" s="260">
        <v>25.96</v>
      </c>
      <c r="Z504" s="260">
        <v>6.9200000000000008</v>
      </c>
      <c r="AA504" s="260">
        <v>67.12</v>
      </c>
      <c r="AB504" s="261" t="s">
        <v>2670</v>
      </c>
      <c r="AC504" s="260">
        <v>1.7568260226712666</v>
      </c>
      <c r="AD504">
        <f>IF('WetLitterbags placem_collection'!AB65="","",'WetLitterbags placem_collection'!AB65)</f>
        <v>4.9000000000000004</v>
      </c>
      <c r="AE504">
        <f>IF('WetLitterbags placem_collection'!Z65="","",'WetLitterbags placem_collection'!Z65)</f>
        <v>45</v>
      </c>
      <c r="AF504" s="24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71">
        <f>IFERROR(AVERAGE('Dry_Litterbag Placem_Collection'!N65,'Dry_Litterbag Placem_Collection'!Q65),"")</f>
        <v>31.3</v>
      </c>
      <c r="AJ504" s="270">
        <f>INDEX(Coordinates!$B$2:$B$197,MATCH(G504,Coordinates!$J$2:$J$197,0))</f>
        <v>-3.406334035</v>
      </c>
      <c r="AK504" s="270">
        <f>INDEX(Coordinates!$C$2:$C$197,MATCH(G504,Coordinates!$J$2:$J$197,0))</f>
        <v>34.851172030000001</v>
      </c>
      <c r="AL504" s="270" t="str">
        <f>IF(ISNUMBER(SEARCH("C", 'Dry_Litterbag Placem_Collection'!U65)),"YES","NO")</f>
        <v>NO</v>
      </c>
      <c r="AM504" s="270" t="str">
        <f>IF(ISNUMBER(SEARCH("H", 'Dry_Litterbag Placem_Collection'!U65)),"YES","NO")</f>
        <v>NO</v>
      </c>
      <c r="AN504" s="270" t="str">
        <f>IF(ISNUMBER(SEARCH("R", 'Dry_Litterbag Placem_Collection'!U65)),"YES","NO")</f>
        <v>NO</v>
      </c>
    </row>
    <row r="505" spans="1:40" ht="15" customHeight="1">
      <c r="A505" s="262" t="s">
        <v>2659</v>
      </c>
      <c r="B505" s="263">
        <f>'Dry_Litterbag Placem_Collection'!A66</f>
        <v>64</v>
      </c>
      <c r="C505" s="263" t="str">
        <f>'Dry_Litterbag Placem_Collection'!B66</f>
        <v>Makao</v>
      </c>
      <c r="D505" s="263" t="s">
        <v>2659</v>
      </c>
      <c r="E505" s="263" t="s">
        <v>20</v>
      </c>
      <c r="F505" s="263">
        <v>4</v>
      </c>
      <c r="G505" s="264" t="str">
        <f>'Dry_Litterbag Placem_Collection'!C66</f>
        <v>Dry_P4_T8</v>
      </c>
      <c r="H505" s="273" t="s">
        <v>3651</v>
      </c>
      <c r="I505" s="266" t="s">
        <v>1147</v>
      </c>
      <c r="J505" s="263" t="str">
        <f>IF(ISBLANK('Dry_Litterbag Placem_Collection'!L66),"","G"&amp;""&amp;'Dry_Litterbag Placem_Collection'!L66)</f>
        <v>G84</v>
      </c>
      <c r="K505" s="267">
        <f>IFERROR(INDEX('Green_rooibos initial weight'!$C$5:$C$1749,MATCH(J505, 'Green_rooibos initial weight'!$A$5:$A$1749,0)),"")</f>
        <v>2.1259999999999999</v>
      </c>
      <c r="L505" s="267">
        <f>IFERROR(K505-(TBIcalc!$Q$9+TBIcalc!$Q$10),"")</f>
        <v>1.8761999999999999</v>
      </c>
      <c r="M505" s="391">
        <f>AVERAGE(Ashed_controlls!$K$2:$K$11)</f>
        <v>5.5147656768714146</v>
      </c>
      <c r="N505" s="267">
        <f t="shared" si="36"/>
        <v>1.7727319663705383</v>
      </c>
      <c r="O505" s="267">
        <f>IF(IFERROR(INDEX('Both teabags AfterDry'!$D$3:$D$900,MATCH(J505,'Both teabags AfterDry'!$A$3:$A$900,0)),"")="","",(IFERROR(INDEX('Both teabags AfterDry'!$D$3:$D$900,MATCH(J505,'Both teabags AfterDry'!$A$3:$A$900,0)),"")))</f>
        <v>1.9314</v>
      </c>
      <c r="P505" s="267">
        <f>IFERROR(IF(O505&gt;0,O505-(TBIcalc!$Q$9),""),"")</f>
        <v>1.7807999999999999</v>
      </c>
      <c r="Q505" s="278">
        <f>IFERROR(INDEX('Ashed teabags dry'!$K$2:$K$825,MATCH(J505,'Ashed teabags dry'!$A$2:$A$825,0)),"")</f>
        <v>5.2683407188580818</v>
      </c>
      <c r="R505" s="278">
        <f t="shared" si="37"/>
        <v>1.6869813884785752</v>
      </c>
      <c r="S505" s="268">
        <f>'Dry_Litterbag Placem_Collection'!E66</f>
        <v>42938</v>
      </c>
      <c r="T505" s="268">
        <f>IF('Dry_Litterbag Placem_Collection'!G66="","",'Dry_Litterbag Placem_Collection'!G66)</f>
        <v>43005</v>
      </c>
      <c r="U505" s="269">
        <f t="shared" si="35"/>
        <v>67</v>
      </c>
      <c r="V505" s="267">
        <f t="shared" si="38"/>
        <v>9.5399999999999929E-2</v>
      </c>
      <c r="W505" s="267">
        <f t="shared" si="39"/>
        <v>8.5750577891963164E-2</v>
      </c>
      <c r="X505" s="271">
        <f>IFERROR(INDEX(Rainfall_Dry!$O$2:$O$217,MATCH(B505, Rainfall_Dry!$A$2:$A$217,0)),"")</f>
        <v>6.5250000359999998</v>
      </c>
      <c r="Y505" s="260">
        <v>25.96</v>
      </c>
      <c r="Z505" s="260">
        <v>6.9200000000000008</v>
      </c>
      <c r="AA505" s="260">
        <v>67.12</v>
      </c>
      <c r="AB505" s="261" t="s">
        <v>2670</v>
      </c>
      <c r="AC505" s="260">
        <v>1.7568260226712666</v>
      </c>
      <c r="AD505">
        <f>IF('WetLitterbags placem_collection'!AB66="","",'WetLitterbags placem_collection'!AB66)</f>
        <v>3</v>
      </c>
      <c r="AE505">
        <f>IF('WetLitterbags placem_collection'!Z66="","",'WetLitterbags placem_collection'!Z66)</f>
        <v>22.8</v>
      </c>
      <c r="AF505" s="24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71">
        <f>IFERROR(AVERAGE('Dry_Litterbag Placem_Collection'!N66,'Dry_Litterbag Placem_Collection'!Q66),"")</f>
        <v>31.5</v>
      </c>
      <c r="AJ505" s="270">
        <f>INDEX(Coordinates!$B$2:$B$197,MATCH(G505,Coordinates!$J$2:$J$197,0))</f>
        <v>-3.4063409920000001</v>
      </c>
      <c r="AK505" s="270">
        <f>INDEX(Coordinates!$C$2:$C$197,MATCH(G505,Coordinates!$J$2:$J$197,0))</f>
        <v>34.85126004</v>
      </c>
      <c r="AL505" s="270" t="str">
        <f>IF(ISNUMBER(SEARCH("C", 'Dry_Litterbag Placem_Collection'!U66)),"YES","NO")</f>
        <v>NO</v>
      </c>
      <c r="AM505" s="270" t="str">
        <f>IF(ISNUMBER(SEARCH("H", 'Dry_Litterbag Placem_Collection'!U66)),"YES","NO")</f>
        <v>NO</v>
      </c>
      <c r="AN505" s="270" t="str">
        <f>IF(ISNUMBER(SEARCH("R", 'Dry_Litterbag Placem_Collection'!U66)),"YES","NO")</f>
        <v>NO</v>
      </c>
    </row>
    <row r="506" spans="1:40" ht="15" customHeight="1">
      <c r="A506" s="262" t="s">
        <v>2659</v>
      </c>
      <c r="B506" s="263">
        <f>'Dry_Litterbag Placem_Collection'!A67</f>
        <v>65</v>
      </c>
      <c r="C506" s="263" t="str">
        <f>'Dry_Litterbag Placem_Collection'!B67</f>
        <v>Maswa</v>
      </c>
      <c r="D506" s="263" t="s">
        <v>2659</v>
      </c>
      <c r="E506" s="263" t="s">
        <v>2661</v>
      </c>
      <c r="F506" s="263">
        <v>1</v>
      </c>
      <c r="G506" s="264" t="str">
        <f>'Dry_Litterbag Placem_Collection'!C67</f>
        <v>Dry_W1_T1</v>
      </c>
      <c r="H506" s="273" t="s">
        <v>3651</v>
      </c>
      <c r="I506" s="266" t="s">
        <v>1147</v>
      </c>
      <c r="J506" s="263" t="str">
        <f>IF(ISBLANK('Dry_Litterbag Placem_Collection'!L67),"","G"&amp;""&amp;'Dry_Litterbag Placem_Collection'!L67)</f>
        <v>G586</v>
      </c>
      <c r="K506" s="267">
        <f>IFERROR(INDEX('Green_rooibos initial weight'!$C$5:$C$1749,MATCH(J506, 'Green_rooibos initial weight'!$A$5:$A$1749,0)),"")</f>
        <v>1.9590000000000001</v>
      </c>
      <c r="L506" s="267">
        <f>IFERROR(K506-(TBIcalc!$Q$9+TBIcalc!$Q$10),"")</f>
        <v>1.7092000000000001</v>
      </c>
      <c r="M506" s="391">
        <f>AVERAGE(Ashed_controlls!$K$2:$K$11)</f>
        <v>5.5147656768714146</v>
      </c>
      <c r="N506" s="267">
        <f t="shared" si="36"/>
        <v>1.6149416250509139</v>
      </c>
      <c r="O506" s="267" t="str">
        <f>IF(IFERROR(INDEX('Both teabags AfterDry'!$D$3:$D$900,MATCH(J506,'Both teabags AfterDry'!$A$3:$A$900,0)),"")="","",(IFERROR(INDEX('Both teabags AfterDry'!$D$3:$D$900,MATCH(J506,'Both teabags AfterDry'!$A$3:$A$900,0)),"")))</f>
        <v/>
      </c>
      <c r="P506" s="267" t="str">
        <f>IFERROR(IF(O506&gt;0,O506-(TBIcalc!$Q$9),""),"")</f>
        <v/>
      </c>
      <c r="Q506" s="278" t="str">
        <f>IFERROR(INDEX('Ashed teabags dry'!$K$2:$K$825,MATCH(J506,'Ashed teabags dry'!$A$2:$A$825,0)),"")</f>
        <v/>
      </c>
      <c r="R506" s="278" t="str">
        <f t="shared" si="37"/>
        <v/>
      </c>
      <c r="S506" s="268">
        <f>'Dry_Litterbag Placem_Collection'!E67</f>
        <v>42937</v>
      </c>
      <c r="T506" s="268">
        <f>IF('Dry_Litterbag Placem_Collection'!G67="","",'Dry_Litterbag Placem_Collection'!G67)</f>
        <v>43005</v>
      </c>
      <c r="U506" s="269">
        <f t="shared" si="35"/>
        <v>68</v>
      </c>
      <c r="V506" s="267" t="str">
        <f t="shared" si="38"/>
        <v/>
      </c>
      <c r="W506" s="267" t="str">
        <f t="shared" si="39"/>
        <v/>
      </c>
      <c r="X506" s="271">
        <f>IFERROR(INDEX(Rainfall_Dry!$O$2:$O$217,MATCH(B506, Rainfall_Dry!$A$2:$A$217,0)),"")</f>
        <v>6.900000125</v>
      </c>
      <c r="Y506" s="260">
        <v>47.96</v>
      </c>
      <c r="Z506" s="260">
        <v>22.919999999999995</v>
      </c>
      <c r="AA506" s="260">
        <v>29.120000000000012</v>
      </c>
      <c r="AB506" s="261" t="s">
        <v>2673</v>
      </c>
      <c r="AC506" s="260">
        <v>2.8831936914736325</v>
      </c>
      <c r="AD506">
        <f>IF('WetLitterbags placem_collection'!AB67="","",'WetLitterbags placem_collection'!AB67)</f>
        <v>13.8</v>
      </c>
      <c r="AE506">
        <f>IF('WetLitterbags placem_collection'!Z67="","",'WetLitterbags placem_collection'!Z67)</f>
        <v>13.8</v>
      </c>
      <c r="AF506" s="24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71">
        <f>IFERROR(AVERAGE('Dry_Litterbag Placem_Collection'!N67,'Dry_Litterbag Placem_Collection'!Q67),"")</f>
        <v>28</v>
      </c>
      <c r="AJ506" s="270">
        <f>INDEX(Coordinates!$B$2:$B$197,MATCH(G506,Coordinates!$J$2:$J$197,0))</f>
        <v>-3.2993960379999998</v>
      </c>
      <c r="AK506" s="270">
        <f>INDEX(Coordinates!$C$2:$C$197,MATCH(G506,Coordinates!$J$2:$J$197,0))</f>
        <v>34.848240959999998</v>
      </c>
      <c r="AL506" s="270" t="str">
        <f>IF(ISNUMBER(SEARCH("C", 'Dry_Litterbag Placem_Collection'!U67)),"YES","NO")</f>
        <v>NO</v>
      </c>
      <c r="AM506" s="270" t="str">
        <f>IF(ISNUMBER(SEARCH("H", 'Dry_Litterbag Placem_Collection'!U67)),"YES","NO")</f>
        <v>NO</v>
      </c>
      <c r="AN506" s="270" t="str">
        <f>IF(ISNUMBER(SEARCH("R", 'Dry_Litterbag Placem_Collection'!U67)),"YES","NO")</f>
        <v>NO</v>
      </c>
    </row>
    <row r="507" spans="1:40" ht="15" customHeight="1">
      <c r="A507" s="262" t="s">
        <v>2659</v>
      </c>
      <c r="B507" s="263">
        <f>'Dry_Litterbag Placem_Collection'!A68</f>
        <v>66</v>
      </c>
      <c r="C507" s="263" t="str">
        <f>'Dry_Litterbag Placem_Collection'!B68</f>
        <v>Maswa</v>
      </c>
      <c r="D507" s="263" t="s">
        <v>2659</v>
      </c>
      <c r="E507" s="263" t="s">
        <v>2661</v>
      </c>
      <c r="F507" s="263">
        <v>1</v>
      </c>
      <c r="G507" s="264" t="str">
        <f>'Dry_Litterbag Placem_Collection'!C68</f>
        <v>Dry_W1_T2</v>
      </c>
      <c r="H507" s="273" t="s">
        <v>3651</v>
      </c>
      <c r="I507" s="266" t="s">
        <v>1147</v>
      </c>
      <c r="J507" s="263" t="str">
        <f>IF(ISBLANK('Dry_Litterbag Placem_Collection'!L68),"","G"&amp;""&amp;'Dry_Litterbag Placem_Collection'!L68)</f>
        <v>G851</v>
      </c>
      <c r="K507" s="267">
        <f>IFERROR(INDEX('Green_rooibos initial weight'!$C$5:$C$1749,MATCH(J507, 'Green_rooibos initial weight'!$A$5:$A$1749,0)),"")</f>
        <v>1.9930000000000001</v>
      </c>
      <c r="L507" s="267">
        <f>IFERROR(K507-(TBIcalc!$Q$9+TBIcalc!$Q$10),"")</f>
        <v>1.7432000000000001</v>
      </c>
      <c r="M507" s="391">
        <f>AVERAGE(Ashed_controlls!$K$2:$K$11)</f>
        <v>5.5147656768714146</v>
      </c>
      <c r="N507" s="267">
        <f t="shared" si="36"/>
        <v>1.6470666047207776</v>
      </c>
      <c r="O507" s="267">
        <f>IF(IFERROR(INDEX('Both teabags AfterDry'!$D$3:$D$900,MATCH(J507,'Both teabags AfterDry'!$A$3:$A$900,0)),"")="","",(IFERROR(INDEX('Both teabags AfterDry'!$D$3:$D$900,MATCH(J507,'Both teabags AfterDry'!$A$3:$A$900,0)),"")))</f>
        <v>1.8367</v>
      </c>
      <c r="P507" s="267">
        <f>IFERROR(IF(O507&gt;0,O507-(TBIcalc!$Q$9),""),"")</f>
        <v>1.6860999999999999</v>
      </c>
      <c r="Q507" s="278">
        <f>IFERROR(INDEX('Ashed teabags dry'!$K$2:$K$825,MATCH(J507,'Ashed teabags dry'!$A$2:$A$825,0)),"")</f>
        <v>6.3484251968505419</v>
      </c>
      <c r="R507" s="278">
        <f t="shared" si="37"/>
        <v>1.5790592027559029</v>
      </c>
      <c r="S507" s="268">
        <f>'Dry_Litterbag Placem_Collection'!E68</f>
        <v>42937</v>
      </c>
      <c r="T507" s="268">
        <f>IF('Dry_Litterbag Placem_Collection'!G68="","",'Dry_Litterbag Placem_Collection'!G68)</f>
        <v>43005</v>
      </c>
      <c r="U507" s="269">
        <f t="shared" si="35"/>
        <v>68</v>
      </c>
      <c r="V507" s="267">
        <f t="shared" si="38"/>
        <v>5.7100000000000151E-2</v>
      </c>
      <c r="W507" s="267">
        <f t="shared" si="39"/>
        <v>6.8007401964874648E-2</v>
      </c>
      <c r="X507" s="271">
        <f>IFERROR(INDEX(Rainfall_Dry!$O$2:$O$217,MATCH(B507, Rainfall_Dry!$A$2:$A$217,0)),"")</f>
        <v>6.900000125</v>
      </c>
      <c r="Y507" s="260">
        <v>47.96</v>
      </c>
      <c r="Z507" s="260">
        <v>22.919999999999995</v>
      </c>
      <c r="AA507" s="260">
        <v>29.120000000000012</v>
      </c>
      <c r="AB507" s="261" t="s">
        <v>2673</v>
      </c>
      <c r="AC507" s="260">
        <v>3.8831936914736298</v>
      </c>
      <c r="AD507">
        <f>IF('WetLitterbags placem_collection'!AB68="","",'WetLitterbags placem_collection'!AB68)</f>
        <v>8</v>
      </c>
      <c r="AE507">
        <f>IF('WetLitterbags placem_collection'!Z68="","",'WetLitterbags placem_collection'!Z68)</f>
        <v>19.8</v>
      </c>
      <c r="AF507" s="24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71">
        <f>IFERROR(AVERAGE('Dry_Litterbag Placem_Collection'!N68,'Dry_Litterbag Placem_Collection'!Q68),"")</f>
        <v>23.6</v>
      </c>
      <c r="AJ507" s="270">
        <f>INDEX(Coordinates!$B$2:$B$197,MATCH(G507,Coordinates!$J$2:$J$197,0))</f>
        <v>-3.2993090340000002</v>
      </c>
      <c r="AK507" s="270">
        <f>INDEX(Coordinates!$C$2:$C$197,MATCH(G507,Coordinates!$J$2:$J$197,0))</f>
        <v>34.848404989999999</v>
      </c>
      <c r="AL507" s="270" t="str">
        <f>IF(ISNUMBER(SEARCH("C", 'Dry_Litterbag Placem_Collection'!U68)),"YES","NO")</f>
        <v>NO</v>
      </c>
      <c r="AM507" s="270" t="str">
        <f>IF(ISNUMBER(SEARCH("H", 'Dry_Litterbag Placem_Collection'!U68)),"YES","NO")</f>
        <v>NO</v>
      </c>
      <c r="AN507" s="270" t="str">
        <f>IF(ISNUMBER(SEARCH("R", 'Dry_Litterbag Placem_Collection'!U68)),"YES","NO")</f>
        <v>NO</v>
      </c>
    </row>
    <row r="508" spans="1:40" ht="15" customHeight="1">
      <c r="A508" s="262" t="s">
        <v>2659</v>
      </c>
      <c r="B508" s="263">
        <f>'Dry_Litterbag Placem_Collection'!A69</f>
        <v>67</v>
      </c>
      <c r="C508" s="263" t="str">
        <f>'Dry_Litterbag Placem_Collection'!B69</f>
        <v>Maswa</v>
      </c>
      <c r="D508" s="263" t="s">
        <v>2659</v>
      </c>
      <c r="E508" s="263" t="s">
        <v>2661</v>
      </c>
      <c r="F508" s="263">
        <v>1</v>
      </c>
      <c r="G508" s="264" t="str">
        <f>'Dry_Litterbag Placem_Collection'!C69</f>
        <v>Dry_W1_T3</v>
      </c>
      <c r="H508" s="273" t="s">
        <v>3651</v>
      </c>
      <c r="I508" s="266" t="s">
        <v>1147</v>
      </c>
      <c r="J508" s="263" t="str">
        <f>IF(ISBLANK('Dry_Litterbag Placem_Collection'!L69),"","G"&amp;""&amp;'Dry_Litterbag Placem_Collection'!L69)</f>
        <v/>
      </c>
      <c r="K508" s="267" t="str">
        <f>IFERROR(INDEX('Green_rooibos initial weight'!$C$5:$C$1749,MATCH(J508, 'Green_rooibos initial weight'!$A$5:$A$1749,0)),"")</f>
        <v/>
      </c>
      <c r="L508" s="267" t="str">
        <f>IFERROR(K508-(TBIcalc!$Q$9+TBIcalc!$Q$10),"")</f>
        <v/>
      </c>
      <c r="M508" s="391">
        <f>AVERAGE(Ashed_controlls!$K$2:$K$11)</f>
        <v>5.5147656768714146</v>
      </c>
      <c r="N508" s="267" t="str">
        <f t="shared" si="36"/>
        <v/>
      </c>
      <c r="O508" s="267" t="str">
        <f>IF(IFERROR(INDEX('Both teabags AfterDry'!$D$3:$D$900,MATCH(J508,'Both teabags AfterDry'!$A$3:$A$900,0)),"")="","",(IFERROR(INDEX('Both teabags AfterDry'!$D$3:$D$900,MATCH(J508,'Both teabags AfterDry'!$A$3:$A$900,0)),"")))</f>
        <v/>
      </c>
      <c r="P508" s="267" t="str">
        <f>IFERROR(IF(O508&gt;0,O508-(TBIcalc!$Q$9),""),"")</f>
        <v/>
      </c>
      <c r="Q508" s="278" t="str">
        <f>IFERROR(INDEX('Ashed teabags dry'!$K$2:$K$825,MATCH(J508,'Ashed teabags dry'!$A$2:$A$825,0)),"")</f>
        <v/>
      </c>
      <c r="R508" s="278" t="str">
        <f t="shared" si="37"/>
        <v/>
      </c>
      <c r="S508" s="268">
        <f>'Dry_Litterbag Placem_Collection'!E69</f>
        <v>0</v>
      </c>
      <c r="T508" s="268" t="str">
        <f>IF('Dry_Litterbag Placem_Collection'!G69="","",'Dry_Litterbag Placem_Collection'!G69)</f>
        <v/>
      </c>
      <c r="U508" s="269" t="str">
        <f t="shared" si="35"/>
        <v/>
      </c>
      <c r="V508" s="267" t="str">
        <f t="shared" si="38"/>
        <v/>
      </c>
      <c r="W508" s="267" t="str">
        <f t="shared" si="39"/>
        <v/>
      </c>
      <c r="X508" s="271" t="str">
        <f>IFERROR(INDEX(Rainfall_Dry!$O$2:$O$217,MATCH(B508, Rainfall_Dry!$A$2:$A$217,0)),"")</f>
        <v/>
      </c>
      <c r="Y508" s="260">
        <v>47.96</v>
      </c>
      <c r="Z508" s="260">
        <v>22.919999999999995</v>
      </c>
      <c r="AA508" s="260">
        <v>29.120000000000012</v>
      </c>
      <c r="AB508" s="261" t="s">
        <v>2673</v>
      </c>
      <c r="AC508" s="260">
        <v>4.8831936914736298</v>
      </c>
      <c r="AD508">
        <f>IF('WetLitterbags placem_collection'!AB69="","",'WetLitterbags placem_collection'!AB69)</f>
        <v>5.5</v>
      </c>
      <c r="AE508">
        <f>IF('WetLitterbags placem_collection'!Z69="","",'WetLitterbags placem_collection'!Z69)</f>
        <v>5.5</v>
      </c>
      <c r="AF508" s="24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71" t="str">
        <f>IFERROR(AVERAGE('Dry_Litterbag Placem_Collection'!N69,'Dry_Litterbag Placem_Collection'!Q69),"")</f>
        <v/>
      </c>
      <c r="AJ508" s="270">
        <f>INDEX(Coordinates!$B$2:$B$197,MATCH(G508,Coordinates!$J$2:$J$197,0))</f>
        <v>-3.299434008</v>
      </c>
      <c r="AK508" s="270">
        <f>INDEX(Coordinates!$C$2:$C$197,MATCH(G508,Coordinates!$J$2:$J$197,0))</f>
        <v>34.848514960000003</v>
      </c>
      <c r="AL508" s="270" t="str">
        <f>IF(ISNUMBER(SEARCH("C", 'Dry_Litterbag Placem_Collection'!U69)),"YES","NO")</f>
        <v>NO</v>
      </c>
      <c r="AM508" s="270" t="str">
        <f>IF(ISNUMBER(SEARCH("H", 'Dry_Litterbag Placem_Collection'!U69)),"YES","NO")</f>
        <v>NO</v>
      </c>
      <c r="AN508" s="270" t="str">
        <f>IF(ISNUMBER(SEARCH("R", 'Dry_Litterbag Placem_Collection'!U69)),"YES","NO")</f>
        <v>NO</v>
      </c>
    </row>
    <row r="509" spans="1:40" ht="15" customHeight="1">
      <c r="A509" s="262" t="s">
        <v>2659</v>
      </c>
      <c r="B509" s="263">
        <f>'Dry_Litterbag Placem_Collection'!A70</f>
        <v>68</v>
      </c>
      <c r="C509" s="263" t="str">
        <f>'Dry_Litterbag Placem_Collection'!B70</f>
        <v>Maswa</v>
      </c>
      <c r="D509" s="263" t="s">
        <v>2659</v>
      </c>
      <c r="E509" s="263" t="s">
        <v>2661</v>
      </c>
      <c r="F509" s="263">
        <v>1</v>
      </c>
      <c r="G509" s="264" t="str">
        <f>'Dry_Litterbag Placem_Collection'!C70</f>
        <v>Dry_W1_T4</v>
      </c>
      <c r="H509" s="273" t="s">
        <v>3651</v>
      </c>
      <c r="I509" s="266" t="s">
        <v>1147</v>
      </c>
      <c r="J509" s="263" t="str">
        <f>IF(ISBLANK('Dry_Litterbag Placem_Collection'!L70),"","G"&amp;""&amp;'Dry_Litterbag Placem_Collection'!L70)</f>
        <v>G467</v>
      </c>
      <c r="K509" s="267">
        <f>IFERROR(INDEX('Green_rooibos initial weight'!$C$5:$C$1749,MATCH(J509, 'Green_rooibos initial weight'!$A$5:$A$1749,0)),"")</f>
        <v>2.0259999999999998</v>
      </c>
      <c r="L509" s="267">
        <f>IFERROR(K509-(TBIcalc!$Q$9+TBIcalc!$Q$10),"")</f>
        <v>1.7761999999999998</v>
      </c>
      <c r="M509" s="391">
        <f>AVERAGE(Ashed_controlls!$K$2:$K$11)</f>
        <v>5.5147656768714146</v>
      </c>
      <c r="N509" s="267">
        <f t="shared" si="36"/>
        <v>1.6782467320474097</v>
      </c>
      <c r="O509" s="267">
        <f>IF(IFERROR(INDEX('Both teabags AfterDry'!$D$3:$D$900,MATCH(J509,'Both teabags AfterDry'!$A$3:$A$900,0)),"")="","",(IFERROR(INDEX('Both teabags AfterDry'!$D$3:$D$900,MATCH(J509,'Both teabags AfterDry'!$A$3:$A$900,0)),"")))</f>
        <v>1.8359000000000001</v>
      </c>
      <c r="P509" s="267">
        <f>IFERROR(IF(O509&gt;0,O509-(TBIcalc!$Q$9),""),"")</f>
        <v>1.6853</v>
      </c>
      <c r="Q509" s="278">
        <f>IFERROR(INDEX('Ashed teabags dry'!$K$2:$K$825,MATCH(J509,'Ashed teabags dry'!$A$2:$A$825,0)),"")</f>
        <v>5.6516237874314612</v>
      </c>
      <c r="R509" s="278">
        <f t="shared" si="37"/>
        <v>1.5900531843104175</v>
      </c>
      <c r="S509" s="268">
        <f>'Dry_Litterbag Placem_Collection'!E70</f>
        <v>42937</v>
      </c>
      <c r="T509" s="268">
        <f>IF('Dry_Litterbag Placem_Collection'!G70="","",'Dry_Litterbag Placem_Collection'!G70)</f>
        <v>43005</v>
      </c>
      <c r="U509" s="269">
        <f t="shared" si="35"/>
        <v>68</v>
      </c>
      <c r="V509" s="267">
        <f t="shared" si="38"/>
        <v>9.0899999999999759E-2</v>
      </c>
      <c r="W509" s="267">
        <f t="shared" si="39"/>
        <v>8.8193547736992173E-2</v>
      </c>
      <c r="X509" s="271">
        <f>IFERROR(INDEX(Rainfall_Dry!$O$2:$O$217,MATCH(B509, Rainfall_Dry!$A$2:$A$217,0)),"")</f>
        <v>6.900000125</v>
      </c>
      <c r="Y509" s="260">
        <v>47.96</v>
      </c>
      <c r="Z509" s="260">
        <v>22.919999999999995</v>
      </c>
      <c r="AA509" s="260">
        <v>29.120000000000012</v>
      </c>
      <c r="AB509" s="261" t="s">
        <v>2673</v>
      </c>
      <c r="AC509" s="260">
        <v>5.8831936914736298</v>
      </c>
      <c r="AD509">
        <f>IF('WetLitterbags placem_collection'!AB70="","",'WetLitterbags placem_collection'!AB70)</f>
        <v>9.6999999999999993</v>
      </c>
      <c r="AE509">
        <f>IF('WetLitterbags placem_collection'!Z70="","",'WetLitterbags placem_collection'!Z70)</f>
        <v>23.4</v>
      </c>
      <c r="AF509" s="24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71">
        <f>IFERROR(AVERAGE('Dry_Litterbag Placem_Collection'!N70,'Dry_Litterbag Placem_Collection'!Q70),"")</f>
        <v>26.85</v>
      </c>
      <c r="AJ509" s="270">
        <f>INDEX(Coordinates!$B$2:$B$197,MATCH(G509,Coordinates!$J$2:$J$197,0))</f>
        <v>-3.2991180099999999</v>
      </c>
      <c r="AK509" s="270">
        <f>INDEX(Coordinates!$C$2:$C$197,MATCH(G509,Coordinates!$J$2:$J$197,0))</f>
        <v>34.84824699</v>
      </c>
      <c r="AL509" s="270" t="str">
        <f>IF(ISNUMBER(SEARCH("C", 'Dry_Litterbag Placem_Collection'!U70)),"YES","NO")</f>
        <v>NO</v>
      </c>
      <c r="AM509" s="270" t="str">
        <f>IF(ISNUMBER(SEARCH("H", 'Dry_Litterbag Placem_Collection'!U70)),"YES","NO")</f>
        <v>NO</v>
      </c>
      <c r="AN509" s="270" t="str">
        <f>IF(ISNUMBER(SEARCH("R", 'Dry_Litterbag Placem_Collection'!U70)),"YES","NO")</f>
        <v>NO</v>
      </c>
    </row>
    <row r="510" spans="1:40" ht="15" customHeight="1">
      <c r="A510" s="262" t="s">
        <v>2659</v>
      </c>
      <c r="B510" s="263">
        <f>'Dry_Litterbag Placem_Collection'!A71</f>
        <v>69</v>
      </c>
      <c r="C510" s="263" t="str">
        <f>'Dry_Litterbag Placem_Collection'!B71</f>
        <v>Maswa</v>
      </c>
      <c r="D510" s="263" t="s">
        <v>2659</v>
      </c>
      <c r="E510" s="263" t="s">
        <v>2661</v>
      </c>
      <c r="F510" s="263">
        <v>1</v>
      </c>
      <c r="G510" s="264" t="str">
        <f>'Dry_Litterbag Placem_Collection'!C71</f>
        <v>Dry_W1_T5</v>
      </c>
      <c r="H510" s="273" t="s">
        <v>3651</v>
      </c>
      <c r="I510" s="266" t="s">
        <v>1147</v>
      </c>
      <c r="J510" s="263" t="str">
        <f>IF(ISBLANK('Dry_Litterbag Placem_Collection'!L71),"","G"&amp;""&amp;'Dry_Litterbag Placem_Collection'!L71)</f>
        <v>G766</v>
      </c>
      <c r="K510" s="267">
        <f>IFERROR(INDEX('Green_rooibos initial weight'!$C$5:$C$1749,MATCH(J510, 'Green_rooibos initial weight'!$A$5:$A$1749,0)),"")</f>
        <v>2.0409999999999999</v>
      </c>
      <c r="L510" s="267">
        <f>IFERROR(K510-(TBIcalc!$Q$9+TBIcalc!$Q$10),"")</f>
        <v>1.7911999999999999</v>
      </c>
      <c r="M510" s="391">
        <f>AVERAGE(Ashed_controlls!$K$2:$K$11)</f>
        <v>5.5147656768714146</v>
      </c>
      <c r="N510" s="267">
        <f t="shared" si="36"/>
        <v>1.6924195171958791</v>
      </c>
      <c r="O510" s="267">
        <f>IF(IFERROR(INDEX('Both teabags AfterDry'!$D$3:$D$900,MATCH(J510,'Both teabags AfterDry'!$A$3:$A$900,0)),"")="","",(IFERROR(INDEX('Both teabags AfterDry'!$D$3:$D$900,MATCH(J510,'Both teabags AfterDry'!$A$3:$A$900,0)),"")))</f>
        <v>1.8654999999999999</v>
      </c>
      <c r="P510" s="267">
        <f>IFERROR(IF(O510&gt;0,O510-(TBIcalc!$Q$9),""),"")</f>
        <v>1.7148999999999999</v>
      </c>
      <c r="Q510" s="278">
        <f>IFERROR(INDEX('Ashed teabags dry'!$K$2:$K$825,MATCH(J510,'Ashed teabags dry'!$A$2:$A$825,0)),"")</f>
        <v>6.0009837678305544</v>
      </c>
      <c r="R510" s="278">
        <f t="shared" si="37"/>
        <v>1.6119891293654738</v>
      </c>
      <c r="S510" s="268">
        <f>'Dry_Litterbag Placem_Collection'!E71</f>
        <v>42937</v>
      </c>
      <c r="T510" s="268">
        <f>IF('Dry_Litterbag Placem_Collection'!G71="","",'Dry_Litterbag Placem_Collection'!G71)</f>
        <v>43006</v>
      </c>
      <c r="U510" s="269">
        <f t="shared" si="35"/>
        <v>69</v>
      </c>
      <c r="V510" s="267">
        <f t="shared" si="38"/>
        <v>7.6300000000000034E-2</v>
      </c>
      <c r="W510" s="267">
        <f t="shared" si="39"/>
        <v>8.0430387830405348E-2</v>
      </c>
      <c r="X510" s="271">
        <f>IFERROR(INDEX(Rainfall_Dry!$O$2:$O$217,MATCH(B510, Rainfall_Dry!$A$2:$A$217,0)),"")</f>
        <v>6.900000125</v>
      </c>
      <c r="Y510" s="260">
        <v>47.96</v>
      </c>
      <c r="Z510" s="260">
        <v>22.919999999999995</v>
      </c>
      <c r="AA510" s="260">
        <v>29.120000000000012</v>
      </c>
      <c r="AB510" s="261" t="s">
        <v>2673</v>
      </c>
      <c r="AC510" s="260">
        <v>6.8831936914736298</v>
      </c>
      <c r="AD510">
        <f>IF('WetLitterbags placem_collection'!AB71="","",'WetLitterbags placem_collection'!AB71)</f>
        <v>14.4</v>
      </c>
      <c r="AE510">
        <f>IF('WetLitterbags placem_collection'!Z71="","",'WetLitterbags placem_collection'!Z71)</f>
        <v>24.4</v>
      </c>
      <c r="AF510" s="24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71">
        <f>IFERROR(AVERAGE('Dry_Litterbag Placem_Collection'!N71,'Dry_Litterbag Placem_Collection'!Q71),"")</f>
        <v>26.55</v>
      </c>
      <c r="AJ510" s="270">
        <f>INDEX(Coordinates!$B$2:$B$197,MATCH(G510,Coordinates!$J$2:$J$197,0))</f>
        <v>-3.2993180030000002</v>
      </c>
      <c r="AK510" s="270">
        <f>INDEX(Coordinates!$C$2:$C$197,MATCH(G510,Coordinates!$J$2:$J$197,0))</f>
        <v>34.848235010000003</v>
      </c>
      <c r="AL510" s="270" t="str">
        <f>IF(ISNUMBER(SEARCH("C", 'Dry_Litterbag Placem_Collection'!U71)),"YES","NO")</f>
        <v>NO</v>
      </c>
      <c r="AM510" s="270" t="str">
        <f>IF(ISNUMBER(SEARCH("H", 'Dry_Litterbag Placem_Collection'!U71)),"YES","NO")</f>
        <v>NO</v>
      </c>
      <c r="AN510" s="270" t="str">
        <f>IF(ISNUMBER(SEARCH("R", 'Dry_Litterbag Placem_Collection'!U71)),"YES","NO")</f>
        <v>NO</v>
      </c>
    </row>
    <row r="511" spans="1:40" ht="15" customHeight="1">
      <c r="A511" s="262" t="s">
        <v>2659</v>
      </c>
      <c r="B511" s="263">
        <f>'Dry_Litterbag Placem_Collection'!A72</f>
        <v>70</v>
      </c>
      <c r="C511" s="263" t="str">
        <f>'Dry_Litterbag Placem_Collection'!B72</f>
        <v>Maswa</v>
      </c>
      <c r="D511" s="263" t="s">
        <v>2659</v>
      </c>
      <c r="E511" s="263" t="s">
        <v>2661</v>
      </c>
      <c r="F511" s="263">
        <v>1</v>
      </c>
      <c r="G511" s="264" t="str">
        <f>'Dry_Litterbag Placem_Collection'!C72</f>
        <v>Dry_W1_T6</v>
      </c>
      <c r="H511" s="273" t="s">
        <v>3651</v>
      </c>
      <c r="I511" s="266" t="s">
        <v>1147</v>
      </c>
      <c r="J511" s="263" t="str">
        <f>IF(ISBLANK('Dry_Litterbag Placem_Collection'!L72),"","G"&amp;""&amp;'Dry_Litterbag Placem_Collection'!L72)</f>
        <v>G430</v>
      </c>
      <c r="K511" s="267">
        <f>IFERROR(INDEX('Green_rooibos initial weight'!$C$5:$C$1749,MATCH(J511, 'Green_rooibos initial weight'!$A$5:$A$1749,0)),"")</f>
        <v>2.09</v>
      </c>
      <c r="L511" s="267">
        <f>IFERROR(K511-(TBIcalc!$Q$9+TBIcalc!$Q$10),"")</f>
        <v>1.8401999999999998</v>
      </c>
      <c r="M511" s="391">
        <f>AVERAGE(Ashed_controlls!$K$2:$K$11)</f>
        <v>5.5147656768714146</v>
      </c>
      <c r="N511" s="267">
        <f t="shared" si="36"/>
        <v>1.7387172820142121</v>
      </c>
      <c r="O511" s="267">
        <f>IF(IFERROR(INDEX('Both teabags AfterDry'!$D$3:$D$900,MATCH(J511,'Both teabags AfterDry'!$A$3:$A$900,0)),"")="","",(IFERROR(INDEX('Both teabags AfterDry'!$D$3:$D$900,MATCH(J511,'Both teabags AfterDry'!$A$3:$A$900,0)),"")))</f>
        <v>1.8875999999999999</v>
      </c>
      <c r="P511" s="267">
        <f>IFERROR(IF(O511&gt;0,O511-(TBIcalc!$Q$9),""),"")</f>
        <v>1.7369999999999999</v>
      </c>
      <c r="Q511" s="278">
        <f>IFERROR(INDEX('Ashed teabags dry'!$K$2:$K$825,MATCH(J511,'Ashed teabags dry'!$A$2:$A$825,0)),"")</f>
        <v>5.6997022543597504</v>
      </c>
      <c r="R511" s="278">
        <f t="shared" si="37"/>
        <v>1.637996171841771</v>
      </c>
      <c r="S511" s="268">
        <f>'Dry_Litterbag Placem_Collection'!E72</f>
        <v>42937</v>
      </c>
      <c r="T511" s="268">
        <f>IF('Dry_Litterbag Placem_Collection'!G72="","",'Dry_Litterbag Placem_Collection'!G72)</f>
        <v>43006</v>
      </c>
      <c r="U511" s="269">
        <f t="shared" si="35"/>
        <v>69</v>
      </c>
      <c r="V511" s="267">
        <f t="shared" si="38"/>
        <v>0.10319999999999996</v>
      </c>
      <c r="W511" s="267">
        <f t="shared" si="39"/>
        <v>0.10072111017244101</v>
      </c>
      <c r="X511" s="271">
        <f>IFERROR(INDEX(Rainfall_Dry!$O$2:$O$217,MATCH(B511, Rainfall_Dry!$A$2:$A$217,0)),"")</f>
        <v>6.900000125</v>
      </c>
      <c r="Y511" s="260">
        <v>47.96</v>
      </c>
      <c r="Z511" s="260">
        <v>22.919999999999995</v>
      </c>
      <c r="AA511" s="260">
        <v>29.120000000000012</v>
      </c>
      <c r="AB511" s="261" t="s">
        <v>2673</v>
      </c>
      <c r="AC511" s="260">
        <v>7.8831936914736298</v>
      </c>
      <c r="AD511">
        <f>IF('WetLitterbags placem_collection'!AB72="","",'WetLitterbags placem_collection'!AB72)</f>
        <v>15</v>
      </c>
      <c r="AE511">
        <f>IF('WetLitterbags placem_collection'!Z72="","",'WetLitterbags placem_collection'!Z72)</f>
        <v>28</v>
      </c>
      <c r="AF511" s="24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71">
        <f>IFERROR(AVERAGE('Dry_Litterbag Placem_Collection'!N72,'Dry_Litterbag Placem_Collection'!Q72),"")</f>
        <v>27.200000000000003</v>
      </c>
      <c r="AJ511" s="270">
        <f>INDEX(Coordinates!$B$2:$B$197,MATCH(G511,Coordinates!$J$2:$J$197,0))</f>
        <v>-3.299381034</v>
      </c>
      <c r="AK511" s="270">
        <f>INDEX(Coordinates!$C$2:$C$197,MATCH(G511,Coordinates!$J$2:$J$197,0))</f>
        <v>34.848312040000003</v>
      </c>
      <c r="AL511" s="270" t="str">
        <f>IF(ISNUMBER(SEARCH("C", 'Dry_Litterbag Placem_Collection'!U72)),"YES","NO")</f>
        <v>NO</v>
      </c>
      <c r="AM511" s="270" t="str">
        <f>IF(ISNUMBER(SEARCH("H", 'Dry_Litterbag Placem_Collection'!U72)),"YES","NO")</f>
        <v>NO</v>
      </c>
      <c r="AN511" s="270" t="str">
        <f>IF(ISNUMBER(SEARCH("R", 'Dry_Litterbag Placem_Collection'!U72)),"YES","NO")</f>
        <v>NO</v>
      </c>
    </row>
    <row r="512" spans="1:40" ht="15" customHeight="1">
      <c r="A512" s="262" t="s">
        <v>2659</v>
      </c>
      <c r="B512" s="263">
        <f>'Dry_Litterbag Placem_Collection'!A73</f>
        <v>71</v>
      </c>
      <c r="C512" s="263" t="str">
        <f>'Dry_Litterbag Placem_Collection'!B73</f>
        <v>Maswa</v>
      </c>
      <c r="D512" s="263" t="s">
        <v>2659</v>
      </c>
      <c r="E512" s="263" t="s">
        <v>2661</v>
      </c>
      <c r="F512" s="263">
        <v>1</v>
      </c>
      <c r="G512" s="264" t="str">
        <f>'Dry_Litterbag Placem_Collection'!C73</f>
        <v>Dry_W1_T7</v>
      </c>
      <c r="H512" s="273" t="s">
        <v>3651</v>
      </c>
      <c r="I512" s="266" t="s">
        <v>1147</v>
      </c>
      <c r="J512" s="263" t="str">
        <f>IF(ISBLANK('Dry_Litterbag Placem_Collection'!L73),"","G"&amp;""&amp;'Dry_Litterbag Placem_Collection'!L73)</f>
        <v>G174</v>
      </c>
      <c r="K512" s="267">
        <f>IFERROR(INDEX('Green_rooibos initial weight'!$C$5:$C$1749,MATCH(J512, 'Green_rooibos initial weight'!$A$5:$A$1749,0)),"")</f>
        <v>2.0649999999999999</v>
      </c>
      <c r="L512" s="267">
        <f>IFERROR(K512-(TBIcalc!$Q$9+TBIcalc!$Q$10),"")</f>
        <v>1.8151999999999999</v>
      </c>
      <c r="M512" s="391">
        <f>AVERAGE(Ashed_controlls!$K$2:$K$11)</f>
        <v>5.5147656768714146</v>
      </c>
      <c r="N512" s="267">
        <f t="shared" si="36"/>
        <v>1.7150959734334301</v>
      </c>
      <c r="O512" s="267">
        <f>IF(IFERROR(INDEX('Both teabags AfterDry'!$D$3:$D$900,MATCH(J512,'Both teabags AfterDry'!$A$3:$A$900,0)),"")="","",(IFERROR(INDEX('Both teabags AfterDry'!$D$3:$D$900,MATCH(J512,'Both teabags AfterDry'!$A$3:$A$900,0)),"")))</f>
        <v>1.8838999999999999</v>
      </c>
      <c r="P512" s="267">
        <f>IFERROR(IF(O512&gt;0,O512-(TBIcalc!$Q$9),""),"")</f>
        <v>1.7332999999999998</v>
      </c>
      <c r="Q512" s="278">
        <f>IFERROR(INDEX('Ashed teabags dry'!$K$2:$K$825,MATCH(J512,'Ashed teabags dry'!$A$2:$A$825,0)),"")</f>
        <v>5.4401582591501034</v>
      </c>
      <c r="R512" s="278">
        <f t="shared" si="37"/>
        <v>1.6390057368941511</v>
      </c>
      <c r="S512" s="268">
        <f>'Dry_Litterbag Placem_Collection'!E73</f>
        <v>42937</v>
      </c>
      <c r="T512" s="268">
        <f>IF('Dry_Litterbag Placem_Collection'!G73="","",'Dry_Litterbag Placem_Collection'!G73)</f>
        <v>43006</v>
      </c>
      <c r="U512" s="269">
        <f t="shared" si="35"/>
        <v>69</v>
      </c>
      <c r="V512" s="267">
        <f t="shared" si="38"/>
        <v>8.1900000000000084E-2</v>
      </c>
      <c r="W512" s="267">
        <f t="shared" si="39"/>
        <v>7.6090236539279044E-2</v>
      </c>
      <c r="X512" s="271">
        <f>IFERROR(INDEX(Rainfall_Dry!$O$2:$O$217,MATCH(B512, Rainfall_Dry!$A$2:$A$217,0)),"")</f>
        <v>6.900000125</v>
      </c>
      <c r="Y512" s="260">
        <v>47.96</v>
      </c>
      <c r="Z512" s="260">
        <v>22.919999999999995</v>
      </c>
      <c r="AA512" s="260">
        <v>29.120000000000012</v>
      </c>
      <c r="AB512" s="261" t="s">
        <v>2673</v>
      </c>
      <c r="AC512" s="260">
        <v>8.8831936914736307</v>
      </c>
      <c r="AD512">
        <f>IF('WetLitterbags placem_collection'!AB73="","",'WetLitterbags placem_collection'!AB73)</f>
        <v>15.5</v>
      </c>
      <c r="AE512">
        <f>IF('WetLitterbags placem_collection'!Z73="","",'WetLitterbags placem_collection'!Z73)</f>
        <v>32</v>
      </c>
      <c r="AF512" s="24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71">
        <f>IFERROR(AVERAGE('Dry_Litterbag Placem_Collection'!N73,'Dry_Litterbag Placem_Collection'!Q73),"")</f>
        <v>27.6</v>
      </c>
      <c r="AJ512" s="270">
        <f>INDEX(Coordinates!$B$2:$B$197,MATCH(G512,Coordinates!$J$2:$J$197,0))</f>
        <v>-3.2992429849999998</v>
      </c>
      <c r="AK512" s="270">
        <f>INDEX(Coordinates!$C$2:$C$197,MATCH(G512,Coordinates!$J$2:$J$197,0))</f>
        <v>34.847900989999999</v>
      </c>
      <c r="AL512" s="270" t="str">
        <f>IF(ISNUMBER(SEARCH("C", 'Dry_Litterbag Placem_Collection'!U73)),"YES","NO")</f>
        <v>NO</v>
      </c>
      <c r="AM512" s="270" t="str">
        <f>IF(ISNUMBER(SEARCH("H", 'Dry_Litterbag Placem_Collection'!U73)),"YES","NO")</f>
        <v>NO</v>
      </c>
      <c r="AN512" s="270" t="str">
        <f>IF(ISNUMBER(SEARCH("R", 'Dry_Litterbag Placem_Collection'!U73)),"YES","NO")</f>
        <v>NO</v>
      </c>
    </row>
    <row r="513" spans="1:40" ht="15" customHeight="1">
      <c r="A513" s="262" t="s">
        <v>2659</v>
      </c>
      <c r="B513" s="263">
        <f>'Dry_Litterbag Placem_Collection'!A74</f>
        <v>72</v>
      </c>
      <c r="C513" s="263" t="str">
        <f>'Dry_Litterbag Placem_Collection'!B74</f>
        <v>Maswa</v>
      </c>
      <c r="D513" s="263" t="s">
        <v>2659</v>
      </c>
      <c r="E513" s="263" t="s">
        <v>2661</v>
      </c>
      <c r="F513" s="263">
        <v>1</v>
      </c>
      <c r="G513" s="264" t="str">
        <f>'Dry_Litterbag Placem_Collection'!C74</f>
        <v>Dry_W1_T8</v>
      </c>
      <c r="H513" s="273" t="s">
        <v>3651</v>
      </c>
      <c r="I513" s="266" t="s">
        <v>1147</v>
      </c>
      <c r="J513" s="263" t="str">
        <f>IF(ISBLANK('Dry_Litterbag Placem_Collection'!L74),"","G"&amp;""&amp;'Dry_Litterbag Placem_Collection'!L74)</f>
        <v>G714</v>
      </c>
      <c r="K513" s="267">
        <f>IFERROR(INDEX('Green_rooibos initial weight'!$C$5:$C$1749,MATCH(J513, 'Green_rooibos initial weight'!$A$5:$A$1749,0)),"")</f>
        <v>2.0459999999999998</v>
      </c>
      <c r="L513" s="267">
        <f>IFERROR(K513-(TBIcalc!$Q$9+TBIcalc!$Q$10),"")</f>
        <v>1.7961999999999998</v>
      </c>
      <c r="M513" s="391">
        <f>AVERAGE(Ashed_controlls!$K$2:$K$11)</f>
        <v>5.5147656768714146</v>
      </c>
      <c r="N513" s="267">
        <f t="shared" si="36"/>
        <v>1.6971437789120354</v>
      </c>
      <c r="O513" s="267">
        <f>IF(IFERROR(INDEX('Both teabags AfterDry'!$D$3:$D$900,MATCH(J513,'Both teabags AfterDry'!$A$3:$A$900,0)),"")="","",(IFERROR(INDEX('Both teabags AfterDry'!$D$3:$D$900,MATCH(J513,'Both teabags AfterDry'!$A$3:$A$900,0)),"")))</f>
        <v>1.8528</v>
      </c>
      <c r="P513" s="267">
        <f>IFERROR(IF(O513&gt;0,O513-(TBIcalc!$Q$9),""),"")</f>
        <v>1.7021999999999999</v>
      </c>
      <c r="Q513" s="278">
        <f>IFERROR(INDEX('Ashed teabags dry'!$K$2:$K$825,MATCH(J513,'Ashed teabags dry'!$A$2:$A$825,0)),"")</f>
        <v>5.4821341164956561</v>
      </c>
      <c r="R513" s="278">
        <f t="shared" si="37"/>
        <v>1.6088831130690109</v>
      </c>
      <c r="S513" s="268">
        <f>'Dry_Litterbag Placem_Collection'!E74</f>
        <v>42937</v>
      </c>
      <c r="T513" s="268">
        <f>IF('Dry_Litterbag Placem_Collection'!G74="","",'Dry_Litterbag Placem_Collection'!G74)</f>
        <v>43006</v>
      </c>
      <c r="U513" s="269">
        <f t="shared" si="35"/>
        <v>69</v>
      </c>
      <c r="V513" s="267">
        <f t="shared" si="38"/>
        <v>9.3999999999999861E-2</v>
      </c>
      <c r="W513" s="267">
        <f t="shared" si="39"/>
        <v>8.8260665843024499E-2</v>
      </c>
      <c r="X513" s="271">
        <f>IFERROR(INDEX(Rainfall_Dry!$O$2:$O$217,MATCH(B513, Rainfall_Dry!$A$2:$A$217,0)),"")</f>
        <v>6.900000125</v>
      </c>
      <c r="Y513" s="260">
        <v>47.96</v>
      </c>
      <c r="Z513" s="260">
        <v>22.919999999999995</v>
      </c>
      <c r="AA513" s="260">
        <v>29.120000000000012</v>
      </c>
      <c r="AB513" s="261" t="s">
        <v>2673</v>
      </c>
      <c r="AC513" s="260">
        <v>9.8831936914736307</v>
      </c>
      <c r="AD513">
        <f>IF('WetLitterbags placem_collection'!AB74="","",'WetLitterbags placem_collection'!AB74)</f>
        <v>2.6</v>
      </c>
      <c r="AE513">
        <f>IF('WetLitterbags placem_collection'!Z74="","",'WetLitterbags placem_collection'!Z74)</f>
        <v>44</v>
      </c>
      <c r="AF513" s="24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71">
        <f>IFERROR(AVERAGE('Dry_Litterbag Placem_Collection'!N74,'Dry_Litterbag Placem_Collection'!Q74),"")</f>
        <v>26.35</v>
      </c>
      <c r="AJ513" s="270">
        <f>INDEX(Coordinates!$B$2:$B$197,MATCH(G513,Coordinates!$J$2:$J$197,0))</f>
        <v>-3.2996540329999999</v>
      </c>
      <c r="AK513" s="270">
        <f>INDEX(Coordinates!$C$2:$C$197,MATCH(G513,Coordinates!$J$2:$J$197,0))</f>
        <v>34.848151020000003</v>
      </c>
      <c r="AL513" s="270" t="str">
        <f>IF(ISNUMBER(SEARCH("C", 'Dry_Litterbag Placem_Collection'!U74)),"YES","NO")</f>
        <v>NO</v>
      </c>
      <c r="AM513" s="270" t="str">
        <f>IF(ISNUMBER(SEARCH("H", 'Dry_Litterbag Placem_Collection'!U74)),"YES","NO")</f>
        <v>NO</v>
      </c>
      <c r="AN513" s="270" t="str">
        <f>IF(ISNUMBER(SEARCH("R", 'Dry_Litterbag Placem_Collection'!U74)),"YES","NO")</f>
        <v>NO</v>
      </c>
    </row>
    <row r="514" spans="1:40" ht="15" customHeight="1">
      <c r="A514" s="262" t="s">
        <v>2659</v>
      </c>
      <c r="B514" s="263">
        <f>'Dry_Litterbag Placem_Collection'!A75</f>
        <v>73</v>
      </c>
      <c r="C514" s="263" t="str">
        <f>'Dry_Litterbag Placem_Collection'!B75</f>
        <v>Maswa</v>
      </c>
      <c r="D514" s="263" t="s">
        <v>2659</v>
      </c>
      <c r="E514" s="263" t="s">
        <v>2661</v>
      </c>
      <c r="F514" s="263">
        <v>2</v>
      </c>
      <c r="G514" s="264" t="str">
        <f>'Dry_Litterbag Placem_Collection'!C75</f>
        <v>Dry_W2_T1</v>
      </c>
      <c r="H514" s="273" t="s">
        <v>3651</v>
      </c>
      <c r="I514" s="266" t="s">
        <v>1147</v>
      </c>
      <c r="J514" s="263" t="str">
        <f>IF(ISBLANK('Dry_Litterbag Placem_Collection'!L75),"","G"&amp;""&amp;'Dry_Litterbag Placem_Collection'!L75)</f>
        <v>G726</v>
      </c>
      <c r="K514" s="267">
        <f>IFERROR(INDEX('Green_rooibos initial weight'!$C$5:$C$1749,MATCH(J514, 'Green_rooibos initial weight'!$A$5:$A$1749,0)),"")</f>
        <v>1.9950000000000001</v>
      </c>
      <c r="L514" s="267">
        <f>IFERROR(K514-(TBIcalc!$Q$9+TBIcalc!$Q$10),"")</f>
        <v>1.7452000000000001</v>
      </c>
      <c r="M514" s="391">
        <f>AVERAGE(Ashed_controlls!$K$2:$K$11)</f>
        <v>5.5147656768714146</v>
      </c>
      <c r="N514" s="267">
        <f t="shared" si="36"/>
        <v>1.6489563094072401</v>
      </c>
      <c r="O514" s="267" t="str">
        <f>IF(IFERROR(INDEX('Both teabags AfterDry'!$D$3:$D$900,MATCH(J514,'Both teabags AfterDry'!$A$3:$A$900,0)),"")="","",(IFERROR(INDEX('Both teabags AfterDry'!$D$3:$D$900,MATCH(J514,'Both teabags AfterDry'!$A$3:$A$900,0)),"")))</f>
        <v/>
      </c>
      <c r="P514" s="267" t="str">
        <f>IFERROR(IF(O514&gt;0,O514-(TBIcalc!$Q$9),""),"")</f>
        <v/>
      </c>
      <c r="Q514" s="278" t="str">
        <f>IFERROR(INDEX('Ashed teabags dry'!$K$2:$K$825,MATCH(J514,'Ashed teabags dry'!$A$2:$A$825,0)),"")</f>
        <v/>
      </c>
      <c r="R514" s="278" t="str">
        <f t="shared" si="37"/>
        <v/>
      </c>
      <c r="S514" s="268">
        <f>'Dry_Litterbag Placem_Collection'!E75</f>
        <v>42937</v>
      </c>
      <c r="T514" s="268">
        <f>IF('Dry_Litterbag Placem_Collection'!G75="","",'Dry_Litterbag Placem_Collection'!G75)</f>
        <v>43006</v>
      </c>
      <c r="U514" s="269">
        <f t="shared" ref="U514:U577" si="40">IFERROR(T514-S514,"")</f>
        <v>69</v>
      </c>
      <c r="V514" s="267" t="str">
        <f t="shared" si="38"/>
        <v/>
      </c>
      <c r="W514" s="267" t="str">
        <f t="shared" si="39"/>
        <v/>
      </c>
      <c r="X514" s="271">
        <f>IFERROR(INDEX(Rainfall_Dry!$O$2:$O$217,MATCH(B514, Rainfall_Dry!$A$2:$A$217,0)),"")</f>
        <v>6.900000125</v>
      </c>
      <c r="Y514" s="260">
        <v>45.272914521112256</v>
      </c>
      <c r="Z514" s="260">
        <v>23.604531410916575</v>
      </c>
      <c r="AA514" s="260">
        <v>31.122554067971166</v>
      </c>
      <c r="AB514" s="261" t="s">
        <v>2673</v>
      </c>
      <c r="AC514" s="260">
        <v>2.0547560374568752</v>
      </c>
      <c r="AD514">
        <f>IF('WetLitterbags placem_collection'!AB75="","",'WetLitterbags placem_collection'!AB75)</f>
        <v>9.1</v>
      </c>
      <c r="AE514">
        <f>IF('WetLitterbags placem_collection'!Z75="","",'WetLitterbags placem_collection'!Z75)</f>
        <v>10</v>
      </c>
      <c r="AF514" s="24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71">
        <f>IFERROR(AVERAGE('Dry_Litterbag Placem_Collection'!N75,'Dry_Litterbag Placem_Collection'!Q75),"")</f>
        <v>28.35</v>
      </c>
      <c r="AJ514" s="270">
        <f>INDEX(Coordinates!$B$2:$B$197,MATCH(G514,Coordinates!$J$2:$J$197,0))</f>
        <v>-3.3025860229999999</v>
      </c>
      <c r="AK514" s="270">
        <f>INDEX(Coordinates!$C$2:$C$197,MATCH(G514,Coordinates!$J$2:$J$197,0))</f>
        <v>34.848048009999999</v>
      </c>
      <c r="AL514" s="270" t="str">
        <f>IF(ISNUMBER(SEARCH("C", 'Dry_Litterbag Placem_Collection'!U75)),"YES","NO")</f>
        <v>NO</v>
      </c>
      <c r="AM514" s="270" t="str">
        <f>IF(ISNUMBER(SEARCH("H", 'Dry_Litterbag Placem_Collection'!U75)),"YES","NO")</f>
        <v>NO</v>
      </c>
      <c r="AN514" s="270" t="str">
        <f>IF(ISNUMBER(SEARCH("R", 'Dry_Litterbag Placem_Collection'!U75)),"YES","NO")</f>
        <v>NO</v>
      </c>
    </row>
    <row r="515" spans="1:40" ht="15" customHeight="1">
      <c r="A515" s="262" t="s">
        <v>2659</v>
      </c>
      <c r="B515" s="263">
        <f>'Dry_Litterbag Placem_Collection'!A76</f>
        <v>74</v>
      </c>
      <c r="C515" s="263" t="str">
        <f>'Dry_Litterbag Placem_Collection'!B76</f>
        <v>Maswa</v>
      </c>
      <c r="D515" s="263" t="s">
        <v>2659</v>
      </c>
      <c r="E515" s="263" t="s">
        <v>2661</v>
      </c>
      <c r="F515" s="263">
        <v>2</v>
      </c>
      <c r="G515" s="264" t="str">
        <f>'Dry_Litterbag Placem_Collection'!C76</f>
        <v>Dry_W2_T2</v>
      </c>
      <c r="H515" s="273" t="s">
        <v>3651</v>
      </c>
      <c r="I515" s="266" t="s">
        <v>1147</v>
      </c>
      <c r="J515" s="263" t="str">
        <f>IF(ISBLANK('Dry_Litterbag Placem_Collection'!L76),"","G"&amp;""&amp;'Dry_Litterbag Placem_Collection'!L76)</f>
        <v>G866</v>
      </c>
      <c r="K515" s="267">
        <f>IFERROR(INDEX('Green_rooibos initial weight'!$C$5:$C$1749,MATCH(J515, 'Green_rooibos initial weight'!$A$5:$A$1749,0)),"")</f>
        <v>2.0310000000000001</v>
      </c>
      <c r="L515" s="267">
        <f>IFERROR(K515-(TBIcalc!$Q$9+TBIcalc!$Q$10),"")</f>
        <v>1.7812000000000001</v>
      </c>
      <c r="M515" s="391">
        <f>AVERAGE(Ashed_controlls!$K$2:$K$11)</f>
        <v>5.5147656768714146</v>
      </c>
      <c r="N515" s="267">
        <f t="shared" ref="N515:N578" si="41">IFERROR(L515-(M515/100)*L515,"")</f>
        <v>1.6829709937635664</v>
      </c>
      <c r="O515" s="267">
        <f>IF(IFERROR(INDEX('Both teabags AfterDry'!$D$3:$D$900,MATCH(J515,'Both teabags AfterDry'!$A$3:$A$900,0)),"")="","",(IFERROR(INDEX('Both teabags AfterDry'!$D$3:$D$900,MATCH(J515,'Both teabags AfterDry'!$A$3:$A$900,0)),"")))</f>
        <v>1.8541000000000001</v>
      </c>
      <c r="P515" s="267">
        <f>IFERROR(IF(O515&gt;0,O515-(TBIcalc!$Q$9),""),"")</f>
        <v>1.7035</v>
      </c>
      <c r="Q515" s="278">
        <f>IFERROR(INDEX('Ashed teabags dry'!$K$2:$K$825,MATCH(J515,'Ashed teabags dry'!$A$2:$A$825,0)),"")</f>
        <v>5.5854973052423755</v>
      </c>
      <c r="R515" s="278">
        <f t="shared" ref="R515:R578" si="42">IFERROR(P515-(Q515/100)*P515,"")</f>
        <v>1.6083510534051961</v>
      </c>
      <c r="S515" s="268">
        <f>'Dry_Litterbag Placem_Collection'!E76</f>
        <v>42937</v>
      </c>
      <c r="T515" s="268">
        <f>IF('Dry_Litterbag Placem_Collection'!G76="","",'Dry_Litterbag Placem_Collection'!G76)</f>
        <v>43006</v>
      </c>
      <c r="U515" s="269">
        <f t="shared" si="40"/>
        <v>69</v>
      </c>
      <c r="V515" s="267">
        <f t="shared" ref="V515:V578" si="43">IFERROR(L515-P515,"")</f>
        <v>7.7700000000000102E-2</v>
      </c>
      <c r="W515" s="267">
        <f t="shared" ref="W515:W578" si="44">IFERROR(N515-R515,"")</f>
        <v>7.4619940358370274E-2</v>
      </c>
      <c r="X515" s="271">
        <f>IFERROR(INDEX(Rainfall_Dry!$O$2:$O$217,MATCH(B515, Rainfall_Dry!$A$2:$A$217,0)),"")</f>
        <v>6.900000125</v>
      </c>
      <c r="Y515" s="260">
        <v>45.272914521112256</v>
      </c>
      <c r="Z515" s="260">
        <v>23.604531410916575</v>
      </c>
      <c r="AA515" s="260">
        <v>31.122554067971166</v>
      </c>
      <c r="AB515" s="261" t="s">
        <v>2673</v>
      </c>
      <c r="AC515" s="260">
        <v>3.0547560374568801</v>
      </c>
      <c r="AD515">
        <f>IF('WetLitterbags placem_collection'!AB76="","",'WetLitterbags placem_collection'!AB76)</f>
        <v>7.7</v>
      </c>
      <c r="AE515">
        <f>IF('WetLitterbags placem_collection'!Z76="","",'WetLitterbags placem_collection'!Z76)</f>
        <v>9.4</v>
      </c>
      <c r="AF515" s="24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71">
        <f>IFERROR(AVERAGE('Dry_Litterbag Placem_Collection'!N76,'Dry_Litterbag Placem_Collection'!Q76),"")</f>
        <v>28.1</v>
      </c>
      <c r="AJ515" s="270">
        <f>INDEX(Coordinates!$B$2:$B$197,MATCH(G515,Coordinates!$J$2:$J$197,0))</f>
        <v>-3.3025779759999998</v>
      </c>
      <c r="AK515" s="270">
        <f>INDEX(Coordinates!$C$2:$C$197,MATCH(G515,Coordinates!$J$2:$J$197,0))</f>
        <v>34.848041969999997</v>
      </c>
      <c r="AL515" s="270" t="str">
        <f>IF(ISNUMBER(SEARCH("C", 'Dry_Litterbag Placem_Collection'!U76)),"YES","NO")</f>
        <v>NO</v>
      </c>
      <c r="AM515" s="270" t="str">
        <f>IF(ISNUMBER(SEARCH("H", 'Dry_Litterbag Placem_Collection'!U76)),"YES","NO")</f>
        <v>NO</v>
      </c>
      <c r="AN515" s="270" t="str">
        <f>IF(ISNUMBER(SEARCH("R", 'Dry_Litterbag Placem_Collection'!U76)),"YES","NO")</f>
        <v>NO</v>
      </c>
    </row>
    <row r="516" spans="1:40" ht="15" customHeight="1">
      <c r="A516" s="262" t="s">
        <v>2659</v>
      </c>
      <c r="B516" s="263">
        <f>'Dry_Litterbag Placem_Collection'!A77</f>
        <v>75</v>
      </c>
      <c r="C516" s="263" t="str">
        <f>'Dry_Litterbag Placem_Collection'!B77</f>
        <v>Maswa</v>
      </c>
      <c r="D516" s="263" t="s">
        <v>2659</v>
      </c>
      <c r="E516" s="263" t="s">
        <v>2661</v>
      </c>
      <c r="F516" s="263">
        <v>2</v>
      </c>
      <c r="G516" s="264" t="str">
        <f>'Dry_Litterbag Placem_Collection'!C77</f>
        <v>Dry_W2_T3</v>
      </c>
      <c r="H516" s="273" t="s">
        <v>3651</v>
      </c>
      <c r="I516" s="266" t="s">
        <v>1147</v>
      </c>
      <c r="J516" s="263" t="str">
        <f>IF(ISBLANK('Dry_Litterbag Placem_Collection'!L77),"","G"&amp;""&amp;'Dry_Litterbag Placem_Collection'!L77)</f>
        <v>G705</v>
      </c>
      <c r="K516" s="267">
        <f>IFERROR(INDEX('Green_rooibos initial weight'!$C$5:$C$1749,MATCH(J516, 'Green_rooibos initial weight'!$A$5:$A$1749,0)),"")</f>
        <v>1.9830000000000001</v>
      </c>
      <c r="L516" s="267">
        <f>IFERROR(K516-(TBIcalc!$Q$9+TBIcalc!$Q$10),"")</f>
        <v>1.7332000000000001</v>
      </c>
      <c r="M516" s="391">
        <f>AVERAGE(Ashed_controlls!$K$2:$K$11)</f>
        <v>5.5147656768714146</v>
      </c>
      <c r="N516" s="267">
        <f t="shared" si="41"/>
        <v>1.6376180812884646</v>
      </c>
      <c r="O516" s="267">
        <f>IF(IFERROR(INDEX('Both teabags AfterDry'!$D$3:$D$900,MATCH(J516,'Both teabags AfterDry'!$A$3:$A$900,0)),"")="","",(IFERROR(INDEX('Both teabags AfterDry'!$D$3:$D$900,MATCH(J516,'Both teabags AfterDry'!$A$3:$A$900,0)),"")))</f>
        <v>1.8152999999999999</v>
      </c>
      <c r="P516" s="267">
        <f>IFERROR(IF(O516&gt;0,O516-(TBIcalc!$Q$9),""),"")</f>
        <v>1.6646999999999998</v>
      </c>
      <c r="Q516" s="278">
        <f>IFERROR(INDEX('Ashed teabags dry'!$K$2:$K$825,MATCH(J516,'Ashed teabags dry'!$A$2:$A$825,0)),"")</f>
        <v>5.8558558558565581</v>
      </c>
      <c r="R516" s="278">
        <f t="shared" si="42"/>
        <v>1.5672175675675557</v>
      </c>
      <c r="S516" s="268">
        <f>'Dry_Litterbag Placem_Collection'!E77</f>
        <v>42937</v>
      </c>
      <c r="T516" s="268">
        <f>IF('Dry_Litterbag Placem_Collection'!G77="","",'Dry_Litterbag Placem_Collection'!G77)</f>
        <v>43006</v>
      </c>
      <c r="U516" s="269">
        <f t="shared" si="40"/>
        <v>69</v>
      </c>
      <c r="V516" s="267">
        <f t="shared" si="43"/>
        <v>6.8500000000000227E-2</v>
      </c>
      <c r="W516" s="267">
        <f t="shared" si="44"/>
        <v>7.0400513720908942E-2</v>
      </c>
      <c r="X516" s="271">
        <f>IFERROR(INDEX(Rainfall_Dry!$O$2:$O$217,MATCH(B516, Rainfall_Dry!$A$2:$A$217,0)),"")</f>
        <v>6.900000125</v>
      </c>
      <c r="Y516" s="260">
        <v>45.272914521112256</v>
      </c>
      <c r="Z516" s="260">
        <v>23.604531410916575</v>
      </c>
      <c r="AA516" s="260">
        <v>31.122554067971166</v>
      </c>
      <c r="AB516" s="261" t="s">
        <v>2673</v>
      </c>
      <c r="AC516" s="260">
        <v>4.0547560374568796</v>
      </c>
      <c r="AD516">
        <f>IF('WetLitterbags placem_collection'!AB77="","",'WetLitterbags placem_collection'!AB77)</f>
        <v>6.1</v>
      </c>
      <c r="AE516">
        <f>IF('WetLitterbags placem_collection'!Z77="","",'WetLitterbags placem_collection'!Z77)</f>
        <v>13.8</v>
      </c>
      <c r="AF516" s="24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71">
        <f>IFERROR(AVERAGE('Dry_Litterbag Placem_Collection'!N77,'Dry_Litterbag Placem_Collection'!Q77),"")</f>
        <v>27.200000000000003</v>
      </c>
      <c r="AJ516" s="270">
        <f>INDEX(Coordinates!$B$2:$B$197,MATCH(G516,Coordinates!$J$2:$J$197,0))</f>
        <v>-3.302687025</v>
      </c>
      <c r="AK516" s="270">
        <f>INDEX(Coordinates!$C$2:$C$197,MATCH(G516,Coordinates!$J$2:$J$197,0))</f>
        <v>34.847926970000003</v>
      </c>
      <c r="AL516" s="270" t="str">
        <f>IF(ISNUMBER(SEARCH("C", 'Dry_Litterbag Placem_Collection'!U77)),"YES","NO")</f>
        <v>NO</v>
      </c>
      <c r="AM516" s="270" t="str">
        <f>IF(ISNUMBER(SEARCH("H", 'Dry_Litterbag Placem_Collection'!U77)),"YES","NO")</f>
        <v>NO</v>
      </c>
      <c r="AN516" s="270" t="str">
        <f>IF(ISNUMBER(SEARCH("R", 'Dry_Litterbag Placem_Collection'!U77)),"YES","NO")</f>
        <v>NO</v>
      </c>
    </row>
    <row r="517" spans="1:40" ht="15" customHeight="1">
      <c r="A517" s="262" t="s">
        <v>2659</v>
      </c>
      <c r="B517" s="263">
        <f>'Dry_Litterbag Placem_Collection'!A78</f>
        <v>76</v>
      </c>
      <c r="C517" s="263" t="str">
        <f>'Dry_Litterbag Placem_Collection'!B78</f>
        <v>Maswa</v>
      </c>
      <c r="D517" s="263" t="s">
        <v>2659</v>
      </c>
      <c r="E517" s="263" t="s">
        <v>2661</v>
      </c>
      <c r="F517" s="263">
        <v>2</v>
      </c>
      <c r="G517" s="264" t="str">
        <f>'Dry_Litterbag Placem_Collection'!C78</f>
        <v>Dry_W2_T4</v>
      </c>
      <c r="H517" s="273" t="s">
        <v>3651</v>
      </c>
      <c r="I517" s="266" t="s">
        <v>1147</v>
      </c>
      <c r="J517" s="263" t="str">
        <f>IF(ISBLANK('Dry_Litterbag Placem_Collection'!L78),"","G"&amp;""&amp;'Dry_Litterbag Placem_Collection'!L78)</f>
        <v>G601</v>
      </c>
      <c r="K517" s="267">
        <f>IFERROR(INDEX('Green_rooibos initial weight'!$C$5:$C$1749,MATCH(J517, 'Green_rooibos initial weight'!$A$5:$A$1749,0)),"")</f>
        <v>2.0099999999999998</v>
      </c>
      <c r="L517" s="267">
        <f>IFERROR(K517-(TBIcalc!$Q$9+TBIcalc!$Q$10),"")</f>
        <v>1.7601999999999998</v>
      </c>
      <c r="M517" s="391">
        <f>AVERAGE(Ashed_controlls!$K$2:$K$11)</f>
        <v>5.5147656768714146</v>
      </c>
      <c r="N517" s="267">
        <f t="shared" si="41"/>
        <v>1.6631290945557091</v>
      </c>
      <c r="O517" s="267">
        <f>IF(IFERROR(INDEX('Both teabags AfterDry'!$D$3:$D$900,MATCH(J517,'Both teabags AfterDry'!$A$3:$A$900,0)),"")="","",(IFERROR(INDEX('Both teabags AfterDry'!$D$3:$D$900,MATCH(J517,'Both teabags AfterDry'!$A$3:$A$900,0)),"")))</f>
        <v>1.8379000000000001</v>
      </c>
      <c r="P517" s="267">
        <f>IFERROR(IF(O517&gt;0,O517-(TBIcalc!$Q$9),""),"")</f>
        <v>1.6873</v>
      </c>
      <c r="Q517" s="278">
        <f>IFERROR(INDEX('Ashed teabags dry'!$K$2:$K$825,MATCH(J517,'Ashed teabags dry'!$A$2:$A$825,0)),"")</f>
        <v>5.9833251593918666</v>
      </c>
      <c r="R517" s="278">
        <f t="shared" si="42"/>
        <v>1.586343354585581</v>
      </c>
      <c r="S517" s="268">
        <f>'Dry_Litterbag Placem_Collection'!E78</f>
        <v>42937</v>
      </c>
      <c r="T517" s="268">
        <f>IF('Dry_Litterbag Placem_Collection'!G78="","",'Dry_Litterbag Placem_Collection'!G78)</f>
        <v>43006</v>
      </c>
      <c r="U517" s="269">
        <f t="shared" si="40"/>
        <v>69</v>
      </c>
      <c r="V517" s="267">
        <f t="shared" si="43"/>
        <v>7.2899999999999743E-2</v>
      </c>
      <c r="W517" s="267">
        <f t="shared" si="44"/>
        <v>7.6785739970128164E-2</v>
      </c>
      <c r="X517" s="271">
        <f>IFERROR(INDEX(Rainfall_Dry!$O$2:$O$217,MATCH(B517, Rainfall_Dry!$A$2:$A$217,0)),"")</f>
        <v>6.900000125</v>
      </c>
      <c r="Y517" s="260">
        <v>45.272914521112256</v>
      </c>
      <c r="Z517" s="260">
        <v>23.604531410916575</v>
      </c>
      <c r="AA517" s="260">
        <v>31.122554067971166</v>
      </c>
      <c r="AB517" s="261" t="s">
        <v>2673</v>
      </c>
      <c r="AC517" s="260">
        <v>5.0547560374568796</v>
      </c>
      <c r="AD517">
        <f>IF('WetLitterbags placem_collection'!AB78="","",'WetLitterbags placem_collection'!AB78)</f>
        <v>6.7</v>
      </c>
      <c r="AE517">
        <f>IF('WetLitterbags placem_collection'!Z78="","",'WetLitterbags placem_collection'!Z78)</f>
        <v>19.3</v>
      </c>
      <c r="AF517" s="24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71">
        <f>IFERROR(AVERAGE('Dry_Litterbag Placem_Collection'!N78,'Dry_Litterbag Placem_Collection'!Q78),"")</f>
        <v>27.75</v>
      </c>
      <c r="AJ517" s="270">
        <f>INDEX(Coordinates!$B$2:$B$197,MATCH(G517,Coordinates!$J$2:$J$197,0))</f>
        <v>-3.3024560190000001</v>
      </c>
      <c r="AK517" s="270">
        <f>INDEX(Coordinates!$C$2:$C$197,MATCH(G517,Coordinates!$J$2:$J$197,0))</f>
        <v>34.847871990000002</v>
      </c>
      <c r="AL517" s="270" t="str">
        <f>IF(ISNUMBER(SEARCH("C", 'Dry_Litterbag Placem_Collection'!U78)),"YES","NO")</f>
        <v>NO</v>
      </c>
      <c r="AM517" s="270" t="str">
        <f>IF(ISNUMBER(SEARCH("H", 'Dry_Litterbag Placem_Collection'!U78)),"YES","NO")</f>
        <v>NO</v>
      </c>
      <c r="AN517" s="270" t="str">
        <f>IF(ISNUMBER(SEARCH("R", 'Dry_Litterbag Placem_Collection'!U78)),"YES","NO")</f>
        <v>NO</v>
      </c>
    </row>
    <row r="518" spans="1:40" ht="15" customHeight="1">
      <c r="A518" s="262" t="s">
        <v>2659</v>
      </c>
      <c r="B518" s="263">
        <f>'Dry_Litterbag Placem_Collection'!A79</f>
        <v>77</v>
      </c>
      <c r="C518" s="263" t="str">
        <f>'Dry_Litterbag Placem_Collection'!B79</f>
        <v>Maswa</v>
      </c>
      <c r="D518" s="263" t="s">
        <v>2659</v>
      </c>
      <c r="E518" s="263" t="s">
        <v>2661</v>
      </c>
      <c r="F518" s="263">
        <v>2</v>
      </c>
      <c r="G518" s="264" t="str">
        <f>'Dry_Litterbag Placem_Collection'!C79</f>
        <v>Dry_W2_T5</v>
      </c>
      <c r="H518" s="273" t="s">
        <v>3651</v>
      </c>
      <c r="I518" s="266" t="s">
        <v>1147</v>
      </c>
      <c r="J518" s="263" t="str">
        <f>IF(ISBLANK('Dry_Litterbag Placem_Collection'!L79),"","G"&amp;""&amp;'Dry_Litterbag Placem_Collection'!L79)</f>
        <v/>
      </c>
      <c r="K518" s="267" t="str">
        <f>IFERROR(INDEX('Green_rooibos initial weight'!$C$5:$C$1749,MATCH(J518, 'Green_rooibos initial weight'!$A$5:$A$1749,0)),"")</f>
        <v/>
      </c>
      <c r="L518" s="267" t="str">
        <f>IFERROR(K518-(TBIcalc!$Q$9+TBIcalc!$Q$10),"")</f>
        <v/>
      </c>
      <c r="M518" s="391">
        <f>AVERAGE(Ashed_controlls!$K$2:$K$11)</f>
        <v>5.5147656768714146</v>
      </c>
      <c r="N518" s="267" t="str">
        <f t="shared" si="41"/>
        <v/>
      </c>
      <c r="O518" s="267" t="str">
        <f>IF(IFERROR(INDEX('Both teabags AfterDry'!$D$3:$D$900,MATCH(J518,'Both teabags AfterDry'!$A$3:$A$900,0)),"")="","",(IFERROR(INDEX('Both teabags AfterDry'!$D$3:$D$900,MATCH(J518,'Both teabags AfterDry'!$A$3:$A$900,0)),"")))</f>
        <v/>
      </c>
      <c r="P518" s="267" t="str">
        <f>IFERROR(IF(O518&gt;0,O518-(TBIcalc!$Q$9),""),"")</f>
        <v/>
      </c>
      <c r="Q518" s="278" t="str">
        <f>IFERROR(INDEX('Ashed teabags dry'!$K$2:$K$825,MATCH(J518,'Ashed teabags dry'!$A$2:$A$825,0)),"")</f>
        <v/>
      </c>
      <c r="R518" s="278" t="str">
        <f t="shared" si="42"/>
        <v/>
      </c>
      <c r="S518" s="268">
        <f>'Dry_Litterbag Placem_Collection'!E79</f>
        <v>0</v>
      </c>
      <c r="T518" s="268" t="str">
        <f>IF('Dry_Litterbag Placem_Collection'!G79="","",'Dry_Litterbag Placem_Collection'!G79)</f>
        <v/>
      </c>
      <c r="U518" s="269" t="str">
        <f t="shared" si="40"/>
        <v/>
      </c>
      <c r="V518" s="267" t="str">
        <f t="shared" si="43"/>
        <v/>
      </c>
      <c r="W518" s="267" t="str">
        <f t="shared" si="44"/>
        <v/>
      </c>
      <c r="X518" s="271" t="str">
        <f>IFERROR(INDEX(Rainfall_Dry!$O$2:$O$217,MATCH(B518, Rainfall_Dry!$A$2:$A$217,0)),"")</f>
        <v/>
      </c>
      <c r="Y518" s="260">
        <v>45.272914521112256</v>
      </c>
      <c r="Z518" s="260">
        <v>23.604531410916575</v>
      </c>
      <c r="AA518" s="260">
        <v>31.122554067971166</v>
      </c>
      <c r="AB518" s="261" t="s">
        <v>2673</v>
      </c>
      <c r="AC518" s="260">
        <v>6.0547560374568796</v>
      </c>
      <c r="AD518">
        <f>IF('WetLitterbags placem_collection'!AB79="","",'WetLitterbags placem_collection'!AB79)</f>
        <v>3.1</v>
      </c>
      <c r="AE518">
        <f>IF('WetLitterbags placem_collection'!Z79="","",'WetLitterbags placem_collection'!Z79)</f>
        <v>9.8000000000000007</v>
      </c>
      <c r="AF518" s="24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71" t="str">
        <f>IFERROR(AVERAGE('Dry_Litterbag Placem_Collection'!N79,'Dry_Litterbag Placem_Collection'!Q79),"")</f>
        <v/>
      </c>
      <c r="AJ518" s="270">
        <f>INDEX(Coordinates!$B$2:$B$197,MATCH(G518,Coordinates!$J$2:$J$197,0))</f>
        <v>-3.3023280279999998</v>
      </c>
      <c r="AK518" s="270">
        <f>INDEX(Coordinates!$C$2:$C$197,MATCH(G518,Coordinates!$J$2:$J$197,0))</f>
        <v>34.848223019999999</v>
      </c>
      <c r="AL518" s="270" t="str">
        <f>IF(ISNUMBER(SEARCH("C", 'Dry_Litterbag Placem_Collection'!U79)),"YES","NO")</f>
        <v>NO</v>
      </c>
      <c r="AM518" s="270" t="str">
        <f>IF(ISNUMBER(SEARCH("H", 'Dry_Litterbag Placem_Collection'!U79)),"YES","NO")</f>
        <v>NO</v>
      </c>
      <c r="AN518" s="270" t="str">
        <f>IF(ISNUMBER(SEARCH("R", 'Dry_Litterbag Placem_Collection'!U79)),"YES","NO")</f>
        <v>NO</v>
      </c>
    </row>
    <row r="519" spans="1:40" ht="15" customHeight="1">
      <c r="A519" s="262" t="s">
        <v>2659</v>
      </c>
      <c r="B519" s="263">
        <f>'Dry_Litterbag Placem_Collection'!A80</f>
        <v>78</v>
      </c>
      <c r="C519" s="263" t="str">
        <f>'Dry_Litterbag Placem_Collection'!B80</f>
        <v>Maswa</v>
      </c>
      <c r="D519" s="263" t="s">
        <v>2659</v>
      </c>
      <c r="E519" s="263" t="s">
        <v>2661</v>
      </c>
      <c r="F519" s="263">
        <v>2</v>
      </c>
      <c r="G519" s="264" t="str">
        <f>'Dry_Litterbag Placem_Collection'!C80</f>
        <v>Dry_W2_T6</v>
      </c>
      <c r="H519" s="273" t="s">
        <v>3651</v>
      </c>
      <c r="I519" s="266" t="s">
        <v>1147</v>
      </c>
      <c r="J519" s="263" t="str">
        <f>IF(ISBLANK('Dry_Litterbag Placem_Collection'!L80),"","G"&amp;""&amp;'Dry_Litterbag Placem_Collection'!L80)</f>
        <v>G157</v>
      </c>
      <c r="K519" s="267">
        <f>IFERROR(INDEX('Green_rooibos initial weight'!$C$5:$C$1749,MATCH(J519, 'Green_rooibos initial weight'!$A$5:$A$1749,0)),"")</f>
        <v>1.994</v>
      </c>
      <c r="L519" s="267">
        <f>IFERROR(K519-(TBIcalc!$Q$9+TBIcalc!$Q$10),"")</f>
        <v>1.7442</v>
      </c>
      <c r="M519" s="391">
        <f>AVERAGE(Ashed_controlls!$K$2:$K$11)</f>
        <v>5.5147656768714146</v>
      </c>
      <c r="N519" s="267">
        <f t="shared" si="41"/>
        <v>1.6480114570640088</v>
      </c>
      <c r="O519" s="267">
        <f>IF(IFERROR(INDEX('Both teabags AfterDry'!$D$3:$D$900,MATCH(J519,'Both teabags AfterDry'!$A$3:$A$900,0)),"")="","",(IFERROR(INDEX('Both teabags AfterDry'!$D$3:$D$900,MATCH(J519,'Both teabags AfterDry'!$A$3:$A$900,0)),"")))</f>
        <v>1.8103</v>
      </c>
      <c r="P519" s="267">
        <f>IFERROR(IF(O519&gt;0,O519-(TBIcalc!$Q$9),""),"")</f>
        <v>1.6597</v>
      </c>
      <c r="Q519" s="278">
        <f>IFERROR(INDEX('Ashed teabags dry'!$K$2:$K$825,MATCH(J519,'Ashed teabags dry'!$A$2:$A$825,0)),"")</f>
        <v>6.3027295285366076</v>
      </c>
      <c r="R519" s="278">
        <f t="shared" si="42"/>
        <v>1.5550935980148779</v>
      </c>
      <c r="S519" s="268">
        <f>'Dry_Litterbag Placem_Collection'!E80</f>
        <v>42937</v>
      </c>
      <c r="T519" s="268">
        <f>IF('Dry_Litterbag Placem_Collection'!G80="","",'Dry_Litterbag Placem_Collection'!G80)</f>
        <v>43006</v>
      </c>
      <c r="U519" s="269">
        <f t="shared" si="40"/>
        <v>69</v>
      </c>
      <c r="V519" s="267">
        <f t="shared" si="43"/>
        <v>8.450000000000002E-2</v>
      </c>
      <c r="W519" s="267">
        <f t="shared" si="44"/>
        <v>9.2917859049130858E-2</v>
      </c>
      <c r="X519" s="271">
        <f>IFERROR(INDEX(Rainfall_Dry!$O$2:$O$217,MATCH(B519, Rainfall_Dry!$A$2:$A$217,0)),"")</f>
        <v>6.900000125</v>
      </c>
      <c r="Y519" s="260">
        <v>45.272914521112256</v>
      </c>
      <c r="Z519" s="260">
        <v>23.604531410916575</v>
      </c>
      <c r="AA519" s="260">
        <v>31.122554067971166</v>
      </c>
      <c r="AB519" s="261" t="s">
        <v>2673</v>
      </c>
      <c r="AC519" s="260">
        <v>7.0547560374568796</v>
      </c>
      <c r="AD519">
        <f>IF('WetLitterbags placem_collection'!AB80="","",'WetLitterbags placem_collection'!AB80)</f>
        <v>10.4</v>
      </c>
      <c r="AE519">
        <f>IF('WetLitterbags placem_collection'!Z80="","",'WetLitterbags placem_collection'!Z80)</f>
        <v>15.4</v>
      </c>
      <c r="AF519" s="24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71">
        <f>IFERROR(AVERAGE('Dry_Litterbag Placem_Collection'!N80,'Dry_Litterbag Placem_Collection'!Q80),"")</f>
        <v>28.35</v>
      </c>
      <c r="AJ519" s="270">
        <f>INDEX(Coordinates!$B$2:$B$197,MATCH(G519,Coordinates!$J$2:$J$197,0))</f>
        <v>-3.3025680020000001</v>
      </c>
      <c r="AK519" s="270">
        <f>INDEX(Coordinates!$C$2:$C$197,MATCH(G519,Coordinates!$J$2:$J$197,0))</f>
        <v>34.848167029999999</v>
      </c>
      <c r="AL519" s="270" t="str">
        <f>IF(ISNUMBER(SEARCH("C", 'Dry_Litterbag Placem_Collection'!U80)),"YES","NO")</f>
        <v>NO</v>
      </c>
      <c r="AM519" s="270" t="str">
        <f>IF(ISNUMBER(SEARCH("H", 'Dry_Litterbag Placem_Collection'!U80)),"YES","NO")</f>
        <v>NO</v>
      </c>
      <c r="AN519" s="270" t="str">
        <f>IF(ISNUMBER(SEARCH("R", 'Dry_Litterbag Placem_Collection'!U80)),"YES","NO")</f>
        <v>NO</v>
      </c>
    </row>
    <row r="520" spans="1:40" ht="15" customHeight="1">
      <c r="A520" s="262" t="s">
        <v>2659</v>
      </c>
      <c r="B520" s="263">
        <f>'Dry_Litterbag Placem_Collection'!A81</f>
        <v>79</v>
      </c>
      <c r="C520" s="263" t="str">
        <f>'Dry_Litterbag Placem_Collection'!B81</f>
        <v>Maswa</v>
      </c>
      <c r="D520" s="263" t="s">
        <v>2659</v>
      </c>
      <c r="E520" s="263" t="s">
        <v>2661</v>
      </c>
      <c r="F520" s="263">
        <v>2</v>
      </c>
      <c r="G520" s="264" t="str">
        <f>'Dry_Litterbag Placem_Collection'!C81</f>
        <v>Dry_W2_T7</v>
      </c>
      <c r="H520" s="273" t="s">
        <v>3651</v>
      </c>
      <c r="I520" s="266" t="s">
        <v>1147</v>
      </c>
      <c r="J520" s="263" t="str">
        <f>IF(ISBLANK('Dry_Litterbag Placem_Collection'!L81),"","G"&amp;""&amp;'Dry_Litterbag Placem_Collection'!L81)</f>
        <v>G226</v>
      </c>
      <c r="K520" s="267">
        <f>IFERROR(INDEX('Green_rooibos initial weight'!$C$5:$C$1749,MATCH(J520, 'Green_rooibos initial weight'!$A$5:$A$1749,0)),"")</f>
        <v>1.929</v>
      </c>
      <c r="L520" s="267">
        <f>IFERROR(K520-(TBIcalc!$Q$9+TBIcalc!$Q$10),"")</f>
        <v>1.6792</v>
      </c>
      <c r="M520" s="391">
        <f>AVERAGE(Ashed_controlls!$K$2:$K$11)</f>
        <v>5.5147656768714146</v>
      </c>
      <c r="N520" s="267">
        <f t="shared" si="41"/>
        <v>1.5865960547539752</v>
      </c>
      <c r="O520" s="267">
        <f>IF(IFERROR(INDEX('Both teabags AfterDry'!$D$3:$D$900,MATCH(J520,'Both teabags AfterDry'!$A$3:$A$900,0)),"")="","",(IFERROR(INDEX('Both teabags AfterDry'!$D$3:$D$900,MATCH(J520,'Both teabags AfterDry'!$A$3:$A$900,0)),"")))</f>
        <v>1.7826</v>
      </c>
      <c r="P520" s="267">
        <f>IFERROR(IF(O520&gt;0,O520-(TBIcalc!$Q$9),""),"")</f>
        <v>1.6319999999999999</v>
      </c>
      <c r="Q520" s="278">
        <f>IFERROR(INDEX('Ashed teabags dry'!$K$2:$K$825,MATCH(J520,'Ashed teabags dry'!$A$2:$A$825,0)),"")</f>
        <v>5.6047197640117146</v>
      </c>
      <c r="R520" s="278">
        <f t="shared" si="42"/>
        <v>1.5405309734513288</v>
      </c>
      <c r="S520" s="268">
        <f>'Dry_Litterbag Placem_Collection'!E81</f>
        <v>42937</v>
      </c>
      <c r="T520" s="268">
        <f>IF('Dry_Litterbag Placem_Collection'!G81="","",'Dry_Litterbag Placem_Collection'!G81)</f>
        <v>43006</v>
      </c>
      <c r="U520" s="269">
        <f t="shared" si="40"/>
        <v>69</v>
      </c>
      <c r="V520" s="267">
        <f t="shared" si="43"/>
        <v>4.7200000000000131E-2</v>
      </c>
      <c r="W520" s="267">
        <f t="shared" si="44"/>
        <v>4.6065081302646416E-2</v>
      </c>
      <c r="X520" s="271">
        <f>IFERROR(INDEX(Rainfall_Dry!$O$2:$O$217,MATCH(B520, Rainfall_Dry!$A$2:$A$217,0)),"")</f>
        <v>6.900000125</v>
      </c>
      <c r="Y520" s="260">
        <v>45.272914521112256</v>
      </c>
      <c r="Z520" s="260">
        <v>23.604531410916575</v>
      </c>
      <c r="AA520" s="260">
        <v>31.122554067971166</v>
      </c>
      <c r="AB520" s="261" t="s">
        <v>2673</v>
      </c>
      <c r="AC520" s="260">
        <v>8.0547560374568796</v>
      </c>
      <c r="AD520">
        <f>IF('WetLitterbags placem_collection'!AB81="","",'WetLitterbags placem_collection'!AB81)</f>
        <v>3</v>
      </c>
      <c r="AE520">
        <f>IF('WetLitterbags placem_collection'!Z81="","",'WetLitterbags placem_collection'!Z81)</f>
        <v>5</v>
      </c>
      <c r="AF520" s="24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71">
        <f>IFERROR(AVERAGE('Dry_Litterbag Placem_Collection'!N81,'Dry_Litterbag Placem_Collection'!Q81),"")</f>
        <v>26.25</v>
      </c>
      <c r="AJ520" s="270">
        <f>INDEX(Coordinates!$B$2:$B$197,MATCH(G520,Coordinates!$J$2:$J$197,0))</f>
        <v>-3.3026270100000001</v>
      </c>
      <c r="AK520" s="270">
        <f>INDEX(Coordinates!$C$2:$C$197,MATCH(G520,Coordinates!$J$2:$J$197,0))</f>
        <v>34.84840801</v>
      </c>
      <c r="AL520" s="270" t="str">
        <f>IF(ISNUMBER(SEARCH("C", 'Dry_Litterbag Placem_Collection'!U81)),"YES","NO")</f>
        <v>NO</v>
      </c>
      <c r="AM520" s="270" t="str">
        <f>IF(ISNUMBER(SEARCH("H", 'Dry_Litterbag Placem_Collection'!U81)),"YES","NO")</f>
        <v>NO</v>
      </c>
      <c r="AN520" s="270" t="str">
        <f>IF(ISNUMBER(SEARCH("R", 'Dry_Litterbag Placem_Collection'!U81)),"YES","NO")</f>
        <v>NO</v>
      </c>
    </row>
    <row r="521" spans="1:40" ht="15" customHeight="1">
      <c r="A521" s="262" t="s">
        <v>2659</v>
      </c>
      <c r="B521" s="263">
        <f>'Dry_Litterbag Placem_Collection'!A82</f>
        <v>80</v>
      </c>
      <c r="C521" s="263" t="str">
        <f>'Dry_Litterbag Placem_Collection'!B82</f>
        <v>Maswa</v>
      </c>
      <c r="D521" s="263" t="s">
        <v>2659</v>
      </c>
      <c r="E521" s="263" t="s">
        <v>2661</v>
      </c>
      <c r="F521" s="263">
        <v>2</v>
      </c>
      <c r="G521" s="264" t="str">
        <f>'Dry_Litterbag Placem_Collection'!C82</f>
        <v>Dry_W2_T8</v>
      </c>
      <c r="H521" s="273" t="s">
        <v>3651</v>
      </c>
      <c r="I521" s="266" t="s">
        <v>1147</v>
      </c>
      <c r="J521" s="263" t="str">
        <f>IF(ISBLANK('Dry_Litterbag Placem_Collection'!L82),"","G"&amp;""&amp;'Dry_Litterbag Placem_Collection'!L82)</f>
        <v>G855</v>
      </c>
      <c r="K521" s="267">
        <f>IFERROR(INDEX('Green_rooibos initial weight'!$C$5:$C$1749,MATCH(J521, 'Green_rooibos initial weight'!$A$5:$A$1749,0)),"")</f>
        <v>1.9570000000000001</v>
      </c>
      <c r="L521" s="267">
        <f>IFERROR(K521-(TBIcalc!$Q$9+TBIcalc!$Q$10),"")</f>
        <v>1.7072000000000001</v>
      </c>
      <c r="M521" s="391">
        <f>AVERAGE(Ashed_controlls!$K$2:$K$11)</f>
        <v>5.5147656768714146</v>
      </c>
      <c r="N521" s="267">
        <f t="shared" si="41"/>
        <v>1.6130519203644513</v>
      </c>
      <c r="O521" s="267">
        <f>IF(IFERROR(INDEX('Both teabags AfterDry'!$D$3:$D$900,MATCH(J521,'Both teabags AfterDry'!$A$3:$A$900,0)),"")="","",(IFERROR(INDEX('Both teabags AfterDry'!$D$3:$D$900,MATCH(J521,'Both teabags AfterDry'!$A$3:$A$900,0)),"")))</f>
        <v>1.7664</v>
      </c>
      <c r="P521" s="267">
        <f>IFERROR(IF(O521&gt;0,O521-(TBIcalc!$Q$9),""),"")</f>
        <v>1.6157999999999999</v>
      </c>
      <c r="Q521" s="278">
        <f>IFERROR(INDEX('Ashed teabags dry'!$K$2:$K$825,MATCH(J521,'Ashed teabags dry'!$A$2:$A$825,0)),"")</f>
        <v>6.0306475531388282</v>
      </c>
      <c r="R521" s="278">
        <f t="shared" si="42"/>
        <v>1.5183567968363827</v>
      </c>
      <c r="S521" s="268">
        <f>'Dry_Litterbag Placem_Collection'!E82</f>
        <v>42937</v>
      </c>
      <c r="T521" s="268">
        <f>IF('Dry_Litterbag Placem_Collection'!G82="","",'Dry_Litterbag Placem_Collection'!G82)</f>
        <v>43006</v>
      </c>
      <c r="U521" s="269">
        <f t="shared" si="40"/>
        <v>69</v>
      </c>
      <c r="V521" s="267">
        <f t="shared" si="43"/>
        <v>9.1400000000000148E-2</v>
      </c>
      <c r="W521" s="267">
        <f t="shared" si="44"/>
        <v>9.4695123528068637E-2</v>
      </c>
      <c r="X521" s="271">
        <f>IFERROR(INDEX(Rainfall_Dry!$O$2:$O$217,MATCH(B521, Rainfall_Dry!$A$2:$A$217,0)),"")</f>
        <v>6.900000125</v>
      </c>
      <c r="Y521" s="260">
        <v>45.272914521112256</v>
      </c>
      <c r="Z521" s="260">
        <v>23.604531410916575</v>
      </c>
      <c r="AA521" s="260">
        <v>31.122554067971166</v>
      </c>
      <c r="AB521" s="261" t="s">
        <v>2673</v>
      </c>
      <c r="AC521" s="260">
        <v>9.0547560374568796</v>
      </c>
      <c r="AD521">
        <f>IF('WetLitterbags placem_collection'!AB82="","",'WetLitterbags placem_collection'!AB82)</f>
        <v>2.7</v>
      </c>
      <c r="AE521">
        <f>IF('WetLitterbags placem_collection'!Z82="","",'WetLitterbags placem_collection'!Z82)</f>
        <v>12.4</v>
      </c>
      <c r="AF521" s="24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71">
        <f>IFERROR(AVERAGE('Dry_Litterbag Placem_Collection'!N82,'Dry_Litterbag Placem_Collection'!Q82),"")</f>
        <v>27.7</v>
      </c>
      <c r="AJ521" s="270">
        <f>INDEX(Coordinates!$B$2:$B$197,MATCH(G521,Coordinates!$J$2:$J$197,0))</f>
        <v>-3.3028539920000002</v>
      </c>
      <c r="AK521" s="270">
        <f>INDEX(Coordinates!$C$2:$C$197,MATCH(G521,Coordinates!$J$2:$J$197,0))</f>
        <v>34.847988999999998</v>
      </c>
      <c r="AL521" s="270" t="str">
        <f>IF(ISNUMBER(SEARCH("C", 'Dry_Litterbag Placem_Collection'!U82)),"YES","NO")</f>
        <v>NO</v>
      </c>
      <c r="AM521" s="270" t="str">
        <f>IF(ISNUMBER(SEARCH("H", 'Dry_Litterbag Placem_Collection'!U82)),"YES","NO")</f>
        <v>NO</v>
      </c>
      <c r="AN521" s="270" t="str">
        <f>IF(ISNUMBER(SEARCH("R", 'Dry_Litterbag Placem_Collection'!U82)),"YES","NO")</f>
        <v>NO</v>
      </c>
    </row>
    <row r="522" spans="1:40" ht="15" customHeight="1">
      <c r="A522" s="262" t="s">
        <v>2659</v>
      </c>
      <c r="B522" s="263">
        <f>'Dry_Litterbag Placem_Collection'!A83</f>
        <v>81</v>
      </c>
      <c r="C522" s="263" t="str">
        <f>'Dry_Litterbag Placem_Collection'!B83</f>
        <v>Maswa</v>
      </c>
      <c r="D522" s="263" t="s">
        <v>2659</v>
      </c>
      <c r="E522" s="263" t="s">
        <v>2661</v>
      </c>
      <c r="F522" s="263">
        <v>3</v>
      </c>
      <c r="G522" s="264" t="str">
        <f>'Dry_Litterbag Placem_Collection'!C83</f>
        <v>Dry_W3_T1</v>
      </c>
      <c r="H522" s="273" t="s">
        <v>3651</v>
      </c>
      <c r="I522" s="266" t="s">
        <v>1147</v>
      </c>
      <c r="J522" s="263" t="str">
        <f>IF(ISBLANK('Dry_Litterbag Placem_Collection'!L83),"","G"&amp;""&amp;'Dry_Litterbag Placem_Collection'!L83)</f>
        <v>G413</v>
      </c>
      <c r="K522" s="267">
        <f>IFERROR(INDEX('Green_rooibos initial weight'!$C$5:$C$1749,MATCH(J522, 'Green_rooibos initial weight'!$A$5:$A$1749,0)),"")</f>
        <v>2.1589999999999998</v>
      </c>
      <c r="L522" s="267">
        <f>IFERROR(K522-(TBIcalc!$Q$9+TBIcalc!$Q$10),"")</f>
        <v>1.9091999999999998</v>
      </c>
      <c r="M522" s="391">
        <f>AVERAGE(Ashed_controlls!$K$2:$K$11)</f>
        <v>5.5147656768714146</v>
      </c>
      <c r="N522" s="267">
        <f t="shared" si="41"/>
        <v>1.8039120936971709</v>
      </c>
      <c r="O522" s="267">
        <f>IF(IFERROR(INDEX('Both teabags AfterDry'!$D$3:$D$900,MATCH(J522,'Both teabags AfterDry'!$A$3:$A$900,0)),"")="","",(IFERROR(INDEX('Both teabags AfterDry'!$D$3:$D$900,MATCH(J522,'Both teabags AfterDry'!$A$3:$A$900,0)),"")))</f>
        <v>1.9466000000000001</v>
      </c>
      <c r="P522" s="267">
        <f>IFERROR(IF(O522&gt;0,O522-(TBIcalc!$Q$9),""),"")</f>
        <v>1.796</v>
      </c>
      <c r="Q522" s="278">
        <f>IFERROR(INDEX('Ashed teabags dry'!$K$2:$K$825,MATCH(J522,'Ashed teabags dry'!$A$2:$A$825,0)),"")</f>
        <v>5.3246753246752787</v>
      </c>
      <c r="R522" s="278">
        <f t="shared" si="42"/>
        <v>1.7003688311688321</v>
      </c>
      <c r="S522" s="268">
        <f>'Dry_Litterbag Placem_Collection'!E83</f>
        <v>42937</v>
      </c>
      <c r="T522" s="268">
        <f>IF('Dry_Litterbag Placem_Collection'!G83="","",'Dry_Litterbag Placem_Collection'!G83)</f>
        <v>43006</v>
      </c>
      <c r="U522" s="269">
        <f t="shared" si="40"/>
        <v>69</v>
      </c>
      <c r="V522" s="267">
        <f t="shared" si="43"/>
        <v>0.11319999999999975</v>
      </c>
      <c r="W522" s="267">
        <f t="shared" si="44"/>
        <v>0.10354326252833879</v>
      </c>
      <c r="X522" s="271">
        <f>IFERROR(INDEX(Rainfall_Dry!$O$2:$O$217,MATCH(B522, Rainfall_Dry!$A$2:$A$217,0)),"")</f>
        <v>12.563016860999999</v>
      </c>
      <c r="Y522" s="260">
        <v>38.691629007962128</v>
      </c>
      <c r="Z522" s="260">
        <v>26.81299763288143</v>
      </c>
      <c r="AA522" s="260">
        <v>34.495373359156439</v>
      </c>
      <c r="AB522" s="261" t="s">
        <v>2675</v>
      </c>
      <c r="AC522" s="260">
        <v>2.5483587974371611</v>
      </c>
      <c r="AD522">
        <f>IF('WetLitterbags placem_collection'!AB83="","",'WetLitterbags placem_collection'!AB83)</f>
        <v>6.2</v>
      </c>
      <c r="AE522">
        <f>IF('WetLitterbags placem_collection'!Z83="","",'WetLitterbags placem_collection'!Z83)</f>
        <v>13.3</v>
      </c>
      <c r="AF522" s="24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71">
        <f>IFERROR(AVERAGE('Dry_Litterbag Placem_Collection'!N83,'Dry_Litterbag Placem_Collection'!Q83),"")</f>
        <v>26.35</v>
      </c>
      <c r="AJ522" s="270">
        <f>INDEX(Coordinates!$B$2:$B$197,MATCH(G522,Coordinates!$J$2:$J$197,0))</f>
        <v>-3.2957159630000001</v>
      </c>
      <c r="AK522" s="270">
        <f>INDEX(Coordinates!$C$2:$C$197,MATCH(G522,Coordinates!$J$2:$J$197,0))</f>
        <v>34.852460999999998</v>
      </c>
      <c r="AL522" s="270" t="str">
        <f>IF(ISNUMBER(SEARCH("C", 'Dry_Litterbag Placem_Collection'!U83)),"YES","NO")</f>
        <v>NO</v>
      </c>
      <c r="AM522" s="270" t="str">
        <f>IF(ISNUMBER(SEARCH("H", 'Dry_Litterbag Placem_Collection'!U83)),"YES","NO")</f>
        <v>NO</v>
      </c>
      <c r="AN522" s="270" t="str">
        <f>IF(ISNUMBER(SEARCH("R", 'Dry_Litterbag Placem_Collection'!U83)),"YES","NO")</f>
        <v>NO</v>
      </c>
    </row>
    <row r="523" spans="1:40" ht="15" customHeight="1">
      <c r="A523" s="262" t="s">
        <v>2659</v>
      </c>
      <c r="B523" s="263">
        <f>'Dry_Litterbag Placem_Collection'!A84</f>
        <v>82</v>
      </c>
      <c r="C523" s="263" t="str">
        <f>'Dry_Litterbag Placem_Collection'!B84</f>
        <v>Maswa</v>
      </c>
      <c r="D523" s="263" t="s">
        <v>2659</v>
      </c>
      <c r="E523" s="263" t="s">
        <v>2661</v>
      </c>
      <c r="F523" s="263">
        <v>3</v>
      </c>
      <c r="G523" s="264" t="str">
        <f>'Dry_Litterbag Placem_Collection'!C84</f>
        <v>Dry_W3_T2</v>
      </c>
      <c r="H523" s="273" t="s">
        <v>3651</v>
      </c>
      <c r="I523" s="266" t="s">
        <v>1147</v>
      </c>
      <c r="J523" s="263" t="str">
        <f>IF(ISBLANK('Dry_Litterbag Placem_Collection'!L84),"","G"&amp;""&amp;'Dry_Litterbag Placem_Collection'!L84)</f>
        <v>G370</v>
      </c>
      <c r="K523" s="267">
        <f>IFERROR(INDEX('Green_rooibos initial weight'!$C$5:$C$1749,MATCH(J523, 'Green_rooibos initial weight'!$A$5:$A$1749,0)),"")</f>
        <v>2.0619999999999998</v>
      </c>
      <c r="L523" s="267">
        <f>IFERROR(K523-(TBIcalc!$Q$9+TBIcalc!$Q$10),"")</f>
        <v>1.8121999999999998</v>
      </c>
      <c r="M523" s="391">
        <f>AVERAGE(Ashed_controlls!$K$2:$K$11)</f>
        <v>5.5147656768714146</v>
      </c>
      <c r="N523" s="267">
        <f t="shared" si="41"/>
        <v>1.712261416403736</v>
      </c>
      <c r="O523" s="267">
        <f>IF(IFERROR(INDEX('Both teabags AfterDry'!$D$3:$D$900,MATCH(J523,'Both teabags AfterDry'!$A$3:$A$900,0)),"")="","",(IFERROR(INDEX('Both teabags AfterDry'!$D$3:$D$900,MATCH(J523,'Both teabags AfterDry'!$A$3:$A$900,0)),"")))</f>
        <v>1.8433999999999999</v>
      </c>
      <c r="P523" s="267">
        <f>IFERROR(IF(O523&gt;0,O523-(TBIcalc!$Q$9),""),"")</f>
        <v>1.6927999999999999</v>
      </c>
      <c r="Q523" s="278">
        <f>IFERROR(INDEX('Ashed teabags dry'!$K$2:$K$825,MATCH(J523,'Ashed teabags dry'!$A$2:$A$825,0)),"")</f>
        <v>5.4829185997469585</v>
      </c>
      <c r="R523" s="278">
        <f t="shared" si="42"/>
        <v>1.5999851539434833</v>
      </c>
      <c r="S523" s="268">
        <f>'Dry_Litterbag Placem_Collection'!E84</f>
        <v>42937</v>
      </c>
      <c r="T523" s="268">
        <f>IF('Dry_Litterbag Placem_Collection'!G84="","",'Dry_Litterbag Placem_Collection'!G84)</f>
        <v>43006</v>
      </c>
      <c r="U523" s="269">
        <f t="shared" si="40"/>
        <v>69</v>
      </c>
      <c r="V523" s="267">
        <f t="shared" si="43"/>
        <v>0.11939999999999995</v>
      </c>
      <c r="W523" s="267">
        <f t="shared" si="44"/>
        <v>0.11227626246025268</v>
      </c>
      <c r="X523" s="271">
        <f>IFERROR(INDEX(Rainfall_Dry!$O$2:$O$217,MATCH(B523, Rainfall_Dry!$A$2:$A$217,0)),"")</f>
        <v>12.563016860999999</v>
      </c>
      <c r="Y523" s="260">
        <v>38.691629007962128</v>
      </c>
      <c r="Z523" s="260">
        <v>26.81299763288143</v>
      </c>
      <c r="AA523" s="260">
        <v>34.495373359156439</v>
      </c>
      <c r="AB523" s="261" t="s">
        <v>2675</v>
      </c>
      <c r="AC523" s="260">
        <v>3.5483587974371602</v>
      </c>
      <c r="AD523">
        <f>IF('WetLitterbags placem_collection'!AB84="","",'WetLitterbags placem_collection'!AB84)</f>
        <v>2.4</v>
      </c>
      <c r="AE523">
        <f>IF('WetLitterbags placem_collection'!Z84="","",'WetLitterbags placem_collection'!Z84)</f>
        <v>16.600000000000001</v>
      </c>
      <c r="AF523" s="24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71">
        <f>IFERROR(AVERAGE('Dry_Litterbag Placem_Collection'!N84,'Dry_Litterbag Placem_Collection'!Q84),"")</f>
        <v>25.5</v>
      </c>
      <c r="AJ523" s="270">
        <f>INDEX(Coordinates!$B$2:$B$197,MATCH(G523,Coordinates!$J$2:$J$197,0))</f>
        <v>-3.2957230040000001</v>
      </c>
      <c r="AK523" s="270">
        <f>INDEX(Coordinates!$C$2:$C$197,MATCH(G523,Coordinates!$J$2:$J$197,0))</f>
        <v>34.852416990000002</v>
      </c>
      <c r="AL523" s="270" t="str">
        <f>IF(ISNUMBER(SEARCH("C", 'Dry_Litterbag Placem_Collection'!U84)),"YES","NO")</f>
        <v>NO</v>
      </c>
      <c r="AM523" s="270" t="str">
        <f>IF(ISNUMBER(SEARCH("H", 'Dry_Litterbag Placem_Collection'!U84)),"YES","NO")</f>
        <v>NO</v>
      </c>
      <c r="AN523" s="270" t="str">
        <f>IF(ISNUMBER(SEARCH("R", 'Dry_Litterbag Placem_Collection'!U84)),"YES","NO")</f>
        <v>NO</v>
      </c>
    </row>
    <row r="524" spans="1:40" ht="15" customHeight="1">
      <c r="A524" s="262" t="s">
        <v>2659</v>
      </c>
      <c r="B524" s="263">
        <f>'Dry_Litterbag Placem_Collection'!A85</f>
        <v>83</v>
      </c>
      <c r="C524" s="263" t="str">
        <f>'Dry_Litterbag Placem_Collection'!B85</f>
        <v>Maswa</v>
      </c>
      <c r="D524" s="263" t="s">
        <v>2659</v>
      </c>
      <c r="E524" s="263" t="s">
        <v>2661</v>
      </c>
      <c r="F524" s="263">
        <v>3</v>
      </c>
      <c r="G524" s="264" t="str">
        <f>'Dry_Litterbag Placem_Collection'!C85</f>
        <v>Dry_W3_T3</v>
      </c>
      <c r="H524" s="273" t="s">
        <v>3651</v>
      </c>
      <c r="I524" s="266" t="s">
        <v>1147</v>
      </c>
      <c r="J524" s="263" t="str">
        <f>IF(ISBLANK('Dry_Litterbag Placem_Collection'!L85),"","G"&amp;""&amp;'Dry_Litterbag Placem_Collection'!L85)</f>
        <v>G879</v>
      </c>
      <c r="K524" s="267">
        <f>IFERROR(INDEX('Green_rooibos initial weight'!$C$5:$C$1749,MATCH(J524, 'Green_rooibos initial weight'!$A$5:$A$1749,0)),"")</f>
        <v>2.09</v>
      </c>
      <c r="L524" s="267">
        <f>IFERROR(K524-(TBIcalc!$Q$9+TBIcalc!$Q$10),"")</f>
        <v>1.8401999999999998</v>
      </c>
      <c r="M524" s="391">
        <f>AVERAGE(Ashed_controlls!$K$2:$K$11)</f>
        <v>5.5147656768714146</v>
      </c>
      <c r="N524" s="267">
        <f t="shared" si="41"/>
        <v>1.7387172820142121</v>
      </c>
      <c r="O524" s="267">
        <f>IF(IFERROR(INDEX('Both teabags AfterDry'!$D$3:$D$900,MATCH(J524,'Both teabags AfterDry'!$A$3:$A$900,0)),"")="","",(IFERROR(INDEX('Both teabags AfterDry'!$D$3:$D$900,MATCH(J524,'Both teabags AfterDry'!$A$3:$A$900,0)),"")))</f>
        <v>1.8814</v>
      </c>
      <c r="P524" s="267">
        <f>IFERROR(IF(O524&gt;0,O524-(TBIcalc!$Q$9),""),"")</f>
        <v>1.7307999999999999</v>
      </c>
      <c r="Q524" s="278">
        <f>IFERROR(INDEX('Ashed teabags dry'!$K$2:$K$825,MATCH(J524,'Ashed teabags dry'!$A$2:$A$825,0)),"")</f>
        <v>6.0018903591673709</v>
      </c>
      <c r="R524" s="278">
        <f t="shared" si="42"/>
        <v>1.6269192816635309</v>
      </c>
      <c r="S524" s="268">
        <f>'Dry_Litterbag Placem_Collection'!E85</f>
        <v>42937</v>
      </c>
      <c r="T524" s="268">
        <f>IF('Dry_Litterbag Placem_Collection'!G85="","",'Dry_Litterbag Placem_Collection'!G85)</f>
        <v>43006</v>
      </c>
      <c r="U524" s="269">
        <f t="shared" si="40"/>
        <v>69</v>
      </c>
      <c r="V524" s="267">
        <f t="shared" si="43"/>
        <v>0.10939999999999994</v>
      </c>
      <c r="W524" s="267">
        <f t="shared" si="44"/>
        <v>0.1117980003506811</v>
      </c>
      <c r="X524" s="271">
        <f>IFERROR(INDEX(Rainfall_Dry!$O$2:$O$217,MATCH(B524, Rainfall_Dry!$A$2:$A$217,0)),"")</f>
        <v>12.563016860999999</v>
      </c>
      <c r="Y524" s="260">
        <v>38.691629007962128</v>
      </c>
      <c r="Z524" s="260">
        <v>26.81299763288143</v>
      </c>
      <c r="AA524" s="260">
        <v>34.495373359156439</v>
      </c>
      <c r="AB524" s="261" t="s">
        <v>2675</v>
      </c>
      <c r="AC524" s="260">
        <v>4.5483587974371602</v>
      </c>
      <c r="AD524">
        <f>IF('WetLitterbags placem_collection'!AB85="","",'WetLitterbags placem_collection'!AB85)</f>
        <v>6.4</v>
      </c>
      <c r="AE524">
        <f>IF('WetLitterbags placem_collection'!Z85="","",'WetLitterbags placem_collection'!Z85)</f>
        <v>42</v>
      </c>
      <c r="AF524" s="24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71">
        <f>IFERROR(AVERAGE('Dry_Litterbag Placem_Collection'!N85,'Dry_Litterbag Placem_Collection'!Q85),"")</f>
        <v>26.05</v>
      </c>
      <c r="AJ524" s="270">
        <f>INDEX(Coordinates!$B$2:$B$197,MATCH(G524,Coordinates!$J$2:$J$197,0))</f>
        <v>-3.2957430369999998</v>
      </c>
      <c r="AK524" s="270">
        <f>INDEX(Coordinates!$C$2:$C$197,MATCH(G524,Coordinates!$J$2:$J$197,0))</f>
        <v>34.852309030000001</v>
      </c>
      <c r="AL524" s="270" t="str">
        <f>IF(ISNUMBER(SEARCH("C", 'Dry_Litterbag Placem_Collection'!U85)),"YES","NO")</f>
        <v>NO</v>
      </c>
      <c r="AM524" s="270" t="str">
        <f>IF(ISNUMBER(SEARCH("H", 'Dry_Litterbag Placem_Collection'!U85)),"YES","NO")</f>
        <v>NO</v>
      </c>
      <c r="AN524" s="270" t="str">
        <f>IF(ISNUMBER(SEARCH("R", 'Dry_Litterbag Placem_Collection'!U85)),"YES","NO")</f>
        <v>NO</v>
      </c>
    </row>
    <row r="525" spans="1:40" ht="15" customHeight="1">
      <c r="A525" s="262" t="s">
        <v>2659</v>
      </c>
      <c r="B525" s="263">
        <f>'Dry_Litterbag Placem_Collection'!A86</f>
        <v>84</v>
      </c>
      <c r="C525" s="263" t="str">
        <f>'Dry_Litterbag Placem_Collection'!B86</f>
        <v>Maswa</v>
      </c>
      <c r="D525" s="263" t="s">
        <v>2659</v>
      </c>
      <c r="E525" s="263" t="s">
        <v>2661</v>
      </c>
      <c r="F525" s="263">
        <v>3</v>
      </c>
      <c r="G525" s="264" t="str">
        <f>'Dry_Litterbag Placem_Collection'!C86</f>
        <v>Dry_W3_T4</v>
      </c>
      <c r="H525" s="273" t="s">
        <v>3651</v>
      </c>
      <c r="I525" s="266" t="s">
        <v>1147</v>
      </c>
      <c r="J525" s="263" t="str">
        <f>IF(ISBLANK('Dry_Litterbag Placem_Collection'!L86),"","G"&amp;""&amp;'Dry_Litterbag Placem_Collection'!L86)</f>
        <v>G854</v>
      </c>
      <c r="K525" s="267">
        <f>IFERROR(INDEX('Green_rooibos initial weight'!$C$5:$C$1749,MATCH(J525, 'Green_rooibos initial weight'!$A$5:$A$1749,0)),"")</f>
        <v>1.998</v>
      </c>
      <c r="L525" s="267">
        <f>IFERROR(K525-(TBIcalc!$Q$9+TBIcalc!$Q$10),"")</f>
        <v>1.7482</v>
      </c>
      <c r="M525" s="391">
        <f>AVERAGE(Ashed_controlls!$K$2:$K$11)</f>
        <v>5.5147656768714146</v>
      </c>
      <c r="N525" s="267">
        <f t="shared" si="41"/>
        <v>1.6517908664369338</v>
      </c>
      <c r="O525" s="267">
        <f>IF(IFERROR(INDEX('Both teabags AfterDry'!$D$3:$D$900,MATCH(J525,'Both teabags AfterDry'!$A$3:$A$900,0)),"")="","",(IFERROR(INDEX('Both teabags AfterDry'!$D$3:$D$900,MATCH(J525,'Both teabags AfterDry'!$A$3:$A$900,0)),"")))</f>
        <v>1.8062</v>
      </c>
      <c r="P525" s="267">
        <f>IFERROR(IF(O525&gt;0,O525-(TBIcalc!$Q$9),""),"")</f>
        <v>1.6556</v>
      </c>
      <c r="Q525" s="278">
        <f>IFERROR(INDEX('Ashed teabags dry'!$K$2:$K$825,MATCH(J525,'Ashed teabags dry'!$A$2:$A$825,0)),"")</f>
        <v>6.7607003891055024</v>
      </c>
      <c r="R525" s="278">
        <f t="shared" si="42"/>
        <v>1.5436698443579693</v>
      </c>
      <c r="S525" s="268">
        <f>'Dry_Litterbag Placem_Collection'!E86</f>
        <v>42937</v>
      </c>
      <c r="T525" s="268">
        <f>IF('Dry_Litterbag Placem_Collection'!G86="","",'Dry_Litterbag Placem_Collection'!G86)</f>
        <v>43006</v>
      </c>
      <c r="U525" s="269">
        <f t="shared" si="40"/>
        <v>69</v>
      </c>
      <c r="V525" s="267">
        <f t="shared" si="43"/>
        <v>9.2600000000000016E-2</v>
      </c>
      <c r="W525" s="267">
        <f t="shared" si="44"/>
        <v>0.10812102207896457</v>
      </c>
      <c r="X525" s="271">
        <f>IFERROR(INDEX(Rainfall_Dry!$O$2:$O$217,MATCH(B525, Rainfall_Dry!$A$2:$A$217,0)),"")</f>
        <v>12.563016860999999</v>
      </c>
      <c r="Y525" s="260">
        <v>38.691629007962128</v>
      </c>
      <c r="Z525" s="260">
        <v>26.81299763288143</v>
      </c>
      <c r="AA525" s="260">
        <v>34.495373359156439</v>
      </c>
      <c r="AB525" s="261" t="s">
        <v>2675</v>
      </c>
      <c r="AC525" s="260">
        <v>5.5483587974371602</v>
      </c>
      <c r="AD525">
        <f>IF('WetLitterbags placem_collection'!AB86="","",'WetLitterbags placem_collection'!AB86)</f>
        <v>5.5</v>
      </c>
      <c r="AE525">
        <f>IF('WetLitterbags placem_collection'!Z86="","",'WetLitterbags placem_collection'!Z86)</f>
        <v>55.8</v>
      </c>
      <c r="AF525" s="24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71">
        <f>IFERROR(AVERAGE('Dry_Litterbag Placem_Collection'!N86,'Dry_Litterbag Placem_Collection'!Q86),"")</f>
        <v>26.549999999999997</v>
      </c>
      <c r="AJ525" s="270">
        <f>INDEX(Coordinates!$B$2:$B$197,MATCH(G525,Coordinates!$J$2:$J$197,0))</f>
        <v>-3.295795005</v>
      </c>
      <c r="AK525" s="270">
        <f>INDEX(Coordinates!$C$2:$C$197,MATCH(G525,Coordinates!$J$2:$J$197,0))</f>
        <v>34.85232001</v>
      </c>
      <c r="AL525" s="270" t="str">
        <f>IF(ISNUMBER(SEARCH("C", 'Dry_Litterbag Placem_Collection'!U86)),"YES","NO")</f>
        <v>NO</v>
      </c>
      <c r="AM525" s="270" t="str">
        <f>IF(ISNUMBER(SEARCH("H", 'Dry_Litterbag Placem_Collection'!U86)),"YES","NO")</f>
        <v>NO</v>
      </c>
      <c r="AN525" s="270" t="str">
        <f>IF(ISNUMBER(SEARCH("R", 'Dry_Litterbag Placem_Collection'!U86)),"YES","NO")</f>
        <v>NO</v>
      </c>
    </row>
    <row r="526" spans="1:40" ht="15" customHeight="1">
      <c r="A526" s="262" t="s">
        <v>2659</v>
      </c>
      <c r="B526" s="263">
        <f>'Dry_Litterbag Placem_Collection'!A87</f>
        <v>85</v>
      </c>
      <c r="C526" s="263" t="str">
        <f>'Dry_Litterbag Placem_Collection'!B87</f>
        <v>Maswa</v>
      </c>
      <c r="D526" s="263" t="s">
        <v>2659</v>
      </c>
      <c r="E526" s="263" t="s">
        <v>2661</v>
      </c>
      <c r="F526" s="263">
        <v>3</v>
      </c>
      <c r="G526" s="264" t="str">
        <f>'Dry_Litterbag Placem_Collection'!C87</f>
        <v>Dry_W3_T5</v>
      </c>
      <c r="H526" s="273" t="s">
        <v>3651</v>
      </c>
      <c r="I526" s="266" t="s">
        <v>1147</v>
      </c>
      <c r="J526" s="263" t="str">
        <f>IF(ISBLANK('Dry_Litterbag Placem_Collection'!L87),"","G"&amp;""&amp;'Dry_Litterbag Placem_Collection'!L87)</f>
        <v/>
      </c>
      <c r="K526" s="267" t="str">
        <f>IFERROR(INDEX('Green_rooibos initial weight'!$C$5:$C$1749,MATCH(J526, 'Green_rooibos initial weight'!$A$5:$A$1749,0)),"")</f>
        <v/>
      </c>
      <c r="L526" s="267" t="str">
        <f>IFERROR(K526-(TBIcalc!$Q$9+TBIcalc!$Q$10),"")</f>
        <v/>
      </c>
      <c r="M526" s="391">
        <f>AVERAGE(Ashed_controlls!$K$2:$K$11)</f>
        <v>5.5147656768714146</v>
      </c>
      <c r="N526" s="267" t="str">
        <f t="shared" si="41"/>
        <v/>
      </c>
      <c r="O526" s="267" t="str">
        <f>IF(IFERROR(INDEX('Both teabags AfterDry'!$D$3:$D$900,MATCH(J526,'Both teabags AfterDry'!$A$3:$A$900,0)),"")="","",(IFERROR(INDEX('Both teabags AfterDry'!$D$3:$D$900,MATCH(J526,'Both teabags AfterDry'!$A$3:$A$900,0)),"")))</f>
        <v/>
      </c>
      <c r="P526" s="267" t="str">
        <f>IFERROR(IF(O526&gt;0,O526-(TBIcalc!$Q$9),""),"")</f>
        <v/>
      </c>
      <c r="Q526" s="278" t="str">
        <f>IFERROR(INDEX('Ashed teabags dry'!$K$2:$K$825,MATCH(J526,'Ashed teabags dry'!$A$2:$A$825,0)),"")</f>
        <v/>
      </c>
      <c r="R526" s="278" t="str">
        <f t="shared" si="42"/>
        <v/>
      </c>
      <c r="S526" s="268">
        <f>'Dry_Litterbag Placem_Collection'!E87</f>
        <v>0</v>
      </c>
      <c r="T526" s="268" t="str">
        <f>IF('Dry_Litterbag Placem_Collection'!G87="","",'Dry_Litterbag Placem_Collection'!G87)</f>
        <v/>
      </c>
      <c r="U526" s="269" t="str">
        <f t="shared" si="40"/>
        <v/>
      </c>
      <c r="V526" s="267" t="str">
        <f t="shared" si="43"/>
        <v/>
      </c>
      <c r="W526" s="267" t="str">
        <f t="shared" si="44"/>
        <v/>
      </c>
      <c r="X526" s="271" t="str">
        <f>IFERROR(INDEX(Rainfall_Dry!$O$2:$O$217,MATCH(B526, Rainfall_Dry!$A$2:$A$217,0)),"")</f>
        <v/>
      </c>
      <c r="Y526" s="260">
        <v>38.691629007962128</v>
      </c>
      <c r="Z526" s="260">
        <v>26.81299763288143</v>
      </c>
      <c r="AA526" s="260">
        <v>34.495373359156439</v>
      </c>
      <c r="AB526" s="261" t="s">
        <v>2675</v>
      </c>
      <c r="AC526" s="260">
        <v>6.5483587974371602</v>
      </c>
      <c r="AD526">
        <f>IF('WetLitterbags placem_collection'!AB87="","",'WetLitterbags placem_collection'!AB87)</f>
        <v>8.6</v>
      </c>
      <c r="AE526">
        <f>IF('WetLitterbags placem_collection'!Z87="","",'WetLitterbags placem_collection'!Z87)</f>
        <v>3.8</v>
      </c>
      <c r="AF526" s="24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71" t="str">
        <f>IFERROR(AVERAGE('Dry_Litterbag Placem_Collection'!N87,'Dry_Litterbag Placem_Collection'!Q87),"")</f>
        <v/>
      </c>
      <c r="AJ526" s="270">
        <f>INDEX(Coordinates!$B$2:$B$197,MATCH(G526,Coordinates!$J$2:$J$197,0))</f>
        <v>-3.2957100119999998</v>
      </c>
      <c r="AK526" s="270">
        <f>INDEX(Coordinates!$C$2:$C$197,MATCH(G526,Coordinates!$J$2:$J$197,0))</f>
        <v>34.852283970000002</v>
      </c>
      <c r="AL526" s="270" t="str">
        <f>IF(ISNUMBER(SEARCH("C", 'Dry_Litterbag Placem_Collection'!U87)),"YES","NO")</f>
        <v>NO</v>
      </c>
      <c r="AM526" s="270" t="str">
        <f>IF(ISNUMBER(SEARCH("H", 'Dry_Litterbag Placem_Collection'!U87)),"YES","NO")</f>
        <v>NO</v>
      </c>
      <c r="AN526" s="270" t="str">
        <f>IF(ISNUMBER(SEARCH("R", 'Dry_Litterbag Placem_Collection'!U87)),"YES","NO")</f>
        <v>NO</v>
      </c>
    </row>
    <row r="527" spans="1:40" ht="15" customHeight="1">
      <c r="A527" s="262" t="s">
        <v>2659</v>
      </c>
      <c r="B527" s="263">
        <f>'Dry_Litterbag Placem_Collection'!A88</f>
        <v>86</v>
      </c>
      <c r="C527" s="263" t="str">
        <f>'Dry_Litterbag Placem_Collection'!B88</f>
        <v>Maswa</v>
      </c>
      <c r="D527" s="263" t="s">
        <v>2659</v>
      </c>
      <c r="E527" s="263" t="s">
        <v>2661</v>
      </c>
      <c r="F527" s="263">
        <v>3</v>
      </c>
      <c r="G527" s="264" t="str">
        <f>'Dry_Litterbag Placem_Collection'!C88</f>
        <v>Dry_W3_T6</v>
      </c>
      <c r="H527" s="273" t="s">
        <v>3651</v>
      </c>
      <c r="I527" s="266" t="s">
        <v>1147</v>
      </c>
      <c r="J527" s="263" t="str">
        <f>IF(ISBLANK('Dry_Litterbag Placem_Collection'!L88),"","G"&amp;""&amp;'Dry_Litterbag Placem_Collection'!L88)</f>
        <v>G788</v>
      </c>
      <c r="K527" s="267">
        <f>IFERROR(INDEX('Green_rooibos initial weight'!$C$5:$C$1749,MATCH(J527, 'Green_rooibos initial weight'!$A$5:$A$1749,0)),"")</f>
        <v>2.0699999999999998</v>
      </c>
      <c r="L527" s="267">
        <f>IFERROR(K527-(TBIcalc!$Q$9+TBIcalc!$Q$10),"")</f>
        <v>1.8201999999999998</v>
      </c>
      <c r="M527" s="391">
        <f>AVERAGE(Ashed_controlls!$K$2:$K$11)</f>
        <v>5.5147656768714146</v>
      </c>
      <c r="N527" s="267">
        <f t="shared" si="41"/>
        <v>1.7198202351495864</v>
      </c>
      <c r="O527" s="267" t="str">
        <f>IF(IFERROR(INDEX('Both teabags AfterDry'!$D$3:$D$900,MATCH(J527,'Both teabags AfterDry'!$A$3:$A$900,0)),"")="","",(IFERROR(INDEX('Both teabags AfterDry'!$D$3:$D$900,MATCH(J527,'Both teabags AfterDry'!$A$3:$A$900,0)),"")))</f>
        <v/>
      </c>
      <c r="P527" s="267" t="str">
        <f>IFERROR(IF(O527&gt;0,O527-(TBIcalc!$Q$9),""),"")</f>
        <v/>
      </c>
      <c r="Q527" s="278" t="str">
        <f>IFERROR(INDEX('Ashed teabags dry'!$K$2:$K$825,MATCH(J527,'Ashed teabags dry'!$A$2:$A$825,0)),"")</f>
        <v/>
      </c>
      <c r="R527" s="278" t="str">
        <f t="shared" si="42"/>
        <v/>
      </c>
      <c r="S527" s="268">
        <f>'Dry_Litterbag Placem_Collection'!E88</f>
        <v>42937</v>
      </c>
      <c r="T527" s="268">
        <f>IF('Dry_Litterbag Placem_Collection'!G88="","",'Dry_Litterbag Placem_Collection'!G88)</f>
        <v>43006</v>
      </c>
      <c r="U527" s="269">
        <f t="shared" si="40"/>
        <v>69</v>
      </c>
      <c r="V527" s="267" t="str">
        <f t="shared" si="43"/>
        <v/>
      </c>
      <c r="W527" s="267" t="str">
        <f t="shared" si="44"/>
        <v/>
      </c>
      <c r="X527" s="271">
        <f>IFERROR(INDEX(Rainfall_Dry!$O$2:$O$217,MATCH(B527, Rainfall_Dry!$A$2:$A$217,0)),"")</f>
        <v>12.563016860999999</v>
      </c>
      <c r="Y527" s="260">
        <v>38.691629007962128</v>
      </c>
      <c r="Z527" s="260">
        <v>26.81299763288143</v>
      </c>
      <c r="AA527" s="260">
        <v>34.495373359156439</v>
      </c>
      <c r="AB527" s="261" t="s">
        <v>2675</v>
      </c>
      <c r="AC527" s="260">
        <v>7.5483587974371602</v>
      </c>
      <c r="AD527">
        <f>IF('WetLitterbags placem_collection'!AB88="","",'WetLitterbags placem_collection'!AB88)</f>
        <v>3.7</v>
      </c>
      <c r="AE527">
        <f>IF('WetLitterbags placem_collection'!Z88="","",'WetLitterbags placem_collection'!Z88)</f>
        <v>7.5</v>
      </c>
      <c r="AF527" s="24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71">
        <f>IFERROR(AVERAGE('Dry_Litterbag Placem_Collection'!N88,'Dry_Litterbag Placem_Collection'!Q88),"")</f>
        <v>26.9</v>
      </c>
      <c r="AJ527" s="270">
        <f>INDEX(Coordinates!$B$2:$B$197,MATCH(G527,Coordinates!$J$2:$J$197,0))</f>
        <v>-3.2956140399999998</v>
      </c>
      <c r="AK527" s="270">
        <f>INDEX(Coordinates!$C$2:$C$197,MATCH(G527,Coordinates!$J$2:$J$197,0))</f>
        <v>34.852137030000002</v>
      </c>
      <c r="AL527" s="270" t="str">
        <f>IF(ISNUMBER(SEARCH("C", 'Dry_Litterbag Placem_Collection'!U88)),"YES","NO")</f>
        <v>NO</v>
      </c>
      <c r="AM527" s="270" t="str">
        <f>IF(ISNUMBER(SEARCH("H", 'Dry_Litterbag Placem_Collection'!U88)),"YES","NO")</f>
        <v>NO</v>
      </c>
      <c r="AN527" s="270" t="str">
        <f>IF(ISNUMBER(SEARCH("R", 'Dry_Litterbag Placem_Collection'!U88)),"YES","NO")</f>
        <v>NO</v>
      </c>
    </row>
    <row r="528" spans="1:40" ht="15" customHeight="1">
      <c r="A528" s="262" t="s">
        <v>2659</v>
      </c>
      <c r="B528" s="263">
        <f>'Dry_Litterbag Placem_Collection'!A89</f>
        <v>87</v>
      </c>
      <c r="C528" s="263" t="str">
        <f>'Dry_Litterbag Placem_Collection'!B89</f>
        <v>Maswa</v>
      </c>
      <c r="D528" s="263" t="s">
        <v>2659</v>
      </c>
      <c r="E528" s="263" t="s">
        <v>2661</v>
      </c>
      <c r="F528" s="263">
        <v>3</v>
      </c>
      <c r="G528" s="264" t="str">
        <f>'Dry_Litterbag Placem_Collection'!C89</f>
        <v>Dry_W3_T7</v>
      </c>
      <c r="H528" s="273" t="s">
        <v>3651</v>
      </c>
      <c r="I528" s="266" t="s">
        <v>1147</v>
      </c>
      <c r="J528" s="263" t="str">
        <f>IF(ISBLANK('Dry_Litterbag Placem_Collection'!L89),"","G"&amp;""&amp;'Dry_Litterbag Placem_Collection'!L89)</f>
        <v>G91</v>
      </c>
      <c r="K528" s="267">
        <f>IFERROR(INDEX('Green_rooibos initial weight'!$C$5:$C$1749,MATCH(J528, 'Green_rooibos initial weight'!$A$5:$A$1749,0)),"")</f>
        <v>2.044</v>
      </c>
      <c r="L528" s="267">
        <f>IFERROR(K528-(TBIcalc!$Q$9+TBIcalc!$Q$10),"")</f>
        <v>1.7942</v>
      </c>
      <c r="M528" s="391">
        <f>AVERAGE(Ashed_controlls!$K$2:$K$11)</f>
        <v>5.5147656768714146</v>
      </c>
      <c r="N528" s="267">
        <f t="shared" si="41"/>
        <v>1.6952540742255731</v>
      </c>
      <c r="O528" s="267">
        <f>IF(IFERROR(INDEX('Both teabags AfterDry'!$D$3:$D$900,MATCH(J528,'Both teabags AfterDry'!$A$3:$A$900,0)),"")="","",(IFERROR(INDEX('Both teabags AfterDry'!$D$3:$D$900,MATCH(J528,'Both teabags AfterDry'!$A$3:$A$900,0)),"")))</f>
        <v>1.8609</v>
      </c>
      <c r="P528" s="267">
        <f>IFERROR(IF(O528&gt;0,O528-(TBIcalc!$Q$9),""),"")</f>
        <v>1.7102999999999999</v>
      </c>
      <c r="Q528" s="278">
        <f>IFERROR(INDEX('Ashed teabags dry'!$K$2:$K$825,MATCH(J528,'Ashed teabags dry'!$A$2:$A$825,0)),"")</f>
        <v>5.6727613689638741</v>
      </c>
      <c r="R528" s="278">
        <f t="shared" si="42"/>
        <v>1.6132787623066107</v>
      </c>
      <c r="S528" s="268">
        <f>'Dry_Litterbag Placem_Collection'!E89</f>
        <v>42937</v>
      </c>
      <c r="T528" s="268">
        <f>IF('Dry_Litterbag Placem_Collection'!G89="","",'Dry_Litterbag Placem_Collection'!G89)</f>
        <v>43006</v>
      </c>
      <c r="U528" s="269">
        <f t="shared" si="40"/>
        <v>69</v>
      </c>
      <c r="V528" s="267">
        <f t="shared" si="43"/>
        <v>8.3900000000000086E-2</v>
      </c>
      <c r="W528" s="267">
        <f t="shared" si="44"/>
        <v>8.1975311918962346E-2</v>
      </c>
      <c r="X528" s="271">
        <f>IFERROR(INDEX(Rainfall_Dry!$O$2:$O$217,MATCH(B528, Rainfall_Dry!$A$2:$A$217,0)),"")</f>
        <v>12.563016860999999</v>
      </c>
      <c r="Y528" s="260">
        <v>38.691629007962128</v>
      </c>
      <c r="Z528" s="260">
        <v>26.81299763288143</v>
      </c>
      <c r="AA528" s="260">
        <v>34.495373359156439</v>
      </c>
      <c r="AB528" s="261" t="s">
        <v>2675</v>
      </c>
      <c r="AC528" s="260">
        <v>8.5483587974371602</v>
      </c>
      <c r="AD528">
        <f>IF('WetLitterbags placem_collection'!AB89="","",'WetLitterbags placem_collection'!AB89)</f>
        <v>7.5</v>
      </c>
      <c r="AE528">
        <f>IF('WetLitterbags placem_collection'!Z89="","",'WetLitterbags placem_collection'!Z89)</f>
        <v>12.6</v>
      </c>
      <c r="AF528" s="24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71">
        <f>IFERROR(AVERAGE('Dry_Litterbag Placem_Collection'!N89,'Dry_Litterbag Placem_Collection'!Q89),"")</f>
        <v>24.3</v>
      </c>
      <c r="AJ528" s="270">
        <f>INDEX(Coordinates!$B$2:$B$197,MATCH(G528,Coordinates!$J$2:$J$197,0))</f>
        <v>-3.295904975</v>
      </c>
      <c r="AK528" s="270">
        <f>INDEX(Coordinates!$C$2:$C$197,MATCH(G528,Coordinates!$J$2:$J$197,0))</f>
        <v>34.852136029999997</v>
      </c>
      <c r="AL528" s="270" t="str">
        <f>IF(ISNUMBER(SEARCH("C", 'Dry_Litterbag Placem_Collection'!U89)),"YES","NO")</f>
        <v>NO</v>
      </c>
      <c r="AM528" s="270" t="str">
        <f>IF(ISNUMBER(SEARCH("H", 'Dry_Litterbag Placem_Collection'!U89)),"YES","NO")</f>
        <v>NO</v>
      </c>
      <c r="AN528" s="270" t="str">
        <f>IF(ISNUMBER(SEARCH("R", 'Dry_Litterbag Placem_Collection'!U89)),"YES","NO")</f>
        <v>NO</v>
      </c>
    </row>
    <row r="529" spans="1:40" ht="15" customHeight="1">
      <c r="A529" s="262" t="s">
        <v>2659</v>
      </c>
      <c r="B529" s="263">
        <f>'Dry_Litterbag Placem_Collection'!A90</f>
        <v>88</v>
      </c>
      <c r="C529" s="263" t="str">
        <f>'Dry_Litterbag Placem_Collection'!B90</f>
        <v>Maswa</v>
      </c>
      <c r="D529" s="263" t="s">
        <v>2659</v>
      </c>
      <c r="E529" s="263" t="s">
        <v>2661</v>
      </c>
      <c r="F529" s="263">
        <v>3</v>
      </c>
      <c r="G529" s="264" t="str">
        <f>'Dry_Litterbag Placem_Collection'!C90</f>
        <v>Dry_W3_T8</v>
      </c>
      <c r="H529" s="273" t="s">
        <v>3651</v>
      </c>
      <c r="I529" s="266" t="s">
        <v>1147</v>
      </c>
      <c r="J529" s="263" t="str">
        <f>IF(ISBLANK('Dry_Litterbag Placem_Collection'!L90),"","G"&amp;""&amp;'Dry_Litterbag Placem_Collection'!L90)</f>
        <v>G364</v>
      </c>
      <c r="K529" s="267">
        <f>IFERROR(INDEX('Green_rooibos initial weight'!$C$5:$C$1749,MATCH(J529, 'Green_rooibos initial weight'!$A$5:$A$1749,0)),"")</f>
        <v>2.0569999999999999</v>
      </c>
      <c r="L529" s="267">
        <f>IFERROR(K529-(TBIcalc!$Q$9+TBIcalc!$Q$10),"")</f>
        <v>1.8071999999999999</v>
      </c>
      <c r="M529" s="391">
        <f>AVERAGE(Ashed_controlls!$K$2:$K$11)</f>
        <v>5.5147656768714146</v>
      </c>
      <c r="N529" s="267">
        <f t="shared" si="41"/>
        <v>1.7075371546875797</v>
      </c>
      <c r="O529" s="267">
        <f>IF(IFERROR(INDEX('Both teabags AfterDry'!$D$3:$D$900,MATCH(J529,'Both teabags AfterDry'!$A$3:$A$900,0)),"")="","",(IFERROR(INDEX('Both teabags AfterDry'!$D$3:$D$900,MATCH(J529,'Both teabags AfterDry'!$A$3:$A$900,0)),"")))</f>
        <v>1.8589</v>
      </c>
      <c r="P529" s="267">
        <f>IFERROR(IF(O529&gt;0,O529-(TBIcalc!$Q$9),""),"")</f>
        <v>1.7082999999999999</v>
      </c>
      <c r="Q529" s="278">
        <f>IFERROR(INDEX('Ashed teabags dry'!$K$2:$K$825,MATCH(J529,'Ashed teabags dry'!$A$2:$A$825,0)),"")</f>
        <v>6.3441350981288833</v>
      </c>
      <c r="R529" s="278">
        <f t="shared" si="42"/>
        <v>1.5999231401186642</v>
      </c>
      <c r="S529" s="268">
        <f>'Dry_Litterbag Placem_Collection'!E90</f>
        <v>42937</v>
      </c>
      <c r="T529" s="268">
        <f>IF('Dry_Litterbag Placem_Collection'!G90="","",'Dry_Litterbag Placem_Collection'!G90)</f>
        <v>43006</v>
      </c>
      <c r="U529" s="269">
        <f t="shared" si="40"/>
        <v>69</v>
      </c>
      <c r="V529" s="267">
        <f t="shared" si="43"/>
        <v>9.8899999999999988E-2</v>
      </c>
      <c r="W529" s="267">
        <f t="shared" si="44"/>
        <v>0.10761401456891551</v>
      </c>
      <c r="X529" s="271">
        <f>IFERROR(INDEX(Rainfall_Dry!$O$2:$O$217,MATCH(B529, Rainfall_Dry!$A$2:$A$217,0)),"")</f>
        <v>12.563016860999999</v>
      </c>
      <c r="Y529" s="260">
        <v>38.691629007962128</v>
      </c>
      <c r="Z529" s="260">
        <v>26.81299763288143</v>
      </c>
      <c r="AA529" s="260">
        <v>34.495373359156439</v>
      </c>
      <c r="AB529" s="261" t="s">
        <v>2675</v>
      </c>
      <c r="AC529" s="260">
        <v>9.5483587974371602</v>
      </c>
      <c r="AD529" t="str">
        <f>IF('WetLitterbags placem_collection'!AB90="","",'WetLitterbags placem_collection'!AB90)</f>
        <v/>
      </c>
      <c r="AE529" t="str">
        <f>IF('WetLitterbags placem_collection'!Z90="","",'WetLitterbags placem_collection'!Z90)</f>
        <v/>
      </c>
      <c r="AF529" s="24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71">
        <f>IFERROR(AVERAGE('Dry_Litterbag Placem_Collection'!N90,'Dry_Litterbag Placem_Collection'!Q90),"")</f>
        <v>26.049999999999997</v>
      </c>
      <c r="AJ529" s="270">
        <f>INDEX(Coordinates!$B$2:$B$197,MATCH(G529,Coordinates!$J$2:$J$197,0))</f>
        <v>-3.2959530039999998</v>
      </c>
      <c r="AK529" s="270">
        <f>INDEX(Coordinates!$C$2:$C$197,MATCH(G529,Coordinates!$J$2:$J$197,0))</f>
        <v>34.85242504</v>
      </c>
      <c r="AL529" s="270" t="str">
        <f>IF(ISNUMBER(SEARCH("C", 'Dry_Litterbag Placem_Collection'!U90)),"YES","NO")</f>
        <v>NO</v>
      </c>
      <c r="AM529" s="270" t="str">
        <f>IF(ISNUMBER(SEARCH("H", 'Dry_Litterbag Placem_Collection'!U90)),"YES","NO")</f>
        <v>NO</v>
      </c>
      <c r="AN529" s="270" t="str">
        <f>IF(ISNUMBER(SEARCH("R", 'Dry_Litterbag Placem_Collection'!U90)),"YES","NO")</f>
        <v>NO</v>
      </c>
    </row>
    <row r="530" spans="1:40" ht="15" customHeight="1">
      <c r="A530" s="262" t="s">
        <v>2659</v>
      </c>
      <c r="B530" s="263">
        <f>'Dry_Litterbag Placem_Collection'!A91</f>
        <v>89</v>
      </c>
      <c r="C530" s="263" t="str">
        <f>'Dry_Litterbag Placem_Collection'!B91</f>
        <v>Maswa</v>
      </c>
      <c r="D530" s="263" t="s">
        <v>2659</v>
      </c>
      <c r="E530" s="263" t="s">
        <v>2661</v>
      </c>
      <c r="F530" s="263">
        <v>4</v>
      </c>
      <c r="G530" s="264" t="str">
        <f>'Dry_Litterbag Placem_Collection'!C91</f>
        <v>Dry_W4_T1</v>
      </c>
      <c r="H530" s="273" t="s">
        <v>3651</v>
      </c>
      <c r="I530" s="266" t="s">
        <v>1147</v>
      </c>
      <c r="J530" s="263" t="str">
        <f>IF(ISBLANK('Dry_Litterbag Placem_Collection'!L91),"","G"&amp;""&amp;'Dry_Litterbag Placem_Collection'!L91)</f>
        <v>G862</v>
      </c>
      <c r="K530" s="267">
        <f>IFERROR(INDEX('Green_rooibos initial weight'!$C$5:$C$1749,MATCH(J530, 'Green_rooibos initial weight'!$A$5:$A$1749,0)),"")</f>
        <v>1.996</v>
      </c>
      <c r="L530" s="267">
        <f>IFERROR(K530-(TBIcalc!$Q$9+TBIcalc!$Q$10),"")</f>
        <v>1.7462</v>
      </c>
      <c r="M530" s="391">
        <f>AVERAGE(Ashed_controlls!$K$2:$K$11)</f>
        <v>5.5147656768714146</v>
      </c>
      <c r="N530" s="267">
        <f t="shared" si="41"/>
        <v>1.6499011617504713</v>
      </c>
      <c r="O530" s="267">
        <f>IF(IFERROR(INDEX('Both teabags AfterDry'!$D$3:$D$900,MATCH(J530,'Both teabags AfterDry'!$A$3:$A$900,0)),"")="","",(IFERROR(INDEX('Both teabags AfterDry'!$D$3:$D$900,MATCH(J530,'Both teabags AfterDry'!$A$3:$A$900,0)),"")))</f>
        <v>1.8160000000000001</v>
      </c>
      <c r="P530" s="267">
        <f>IFERROR(IF(O530&gt;0,O530-(TBIcalc!$Q$9),""),"")</f>
        <v>1.6654</v>
      </c>
      <c r="Q530" s="278">
        <f>IFERROR(INDEX('Ashed teabags dry'!$K$2:$K$825,MATCH(J530,'Ashed teabags dry'!$A$2:$A$825,0)),"")</f>
        <v>6.0205580029367782</v>
      </c>
      <c r="R530" s="278">
        <f t="shared" si="42"/>
        <v>1.565133627019091</v>
      </c>
      <c r="S530" s="268">
        <f>'Dry_Litterbag Placem_Collection'!E91</f>
        <v>42937</v>
      </c>
      <c r="T530" s="268">
        <f>IF('Dry_Litterbag Placem_Collection'!G91="","",'Dry_Litterbag Placem_Collection'!G91)</f>
        <v>43006</v>
      </c>
      <c r="U530" s="269">
        <f t="shared" si="40"/>
        <v>69</v>
      </c>
      <c r="V530" s="267">
        <f t="shared" si="43"/>
        <v>8.0799999999999983E-2</v>
      </c>
      <c r="W530" s="267">
        <f t="shared" si="44"/>
        <v>8.4767534731380323E-2</v>
      </c>
      <c r="X530" s="271">
        <f>IFERROR(INDEX(Rainfall_Dry!$O$2:$O$217,MATCH(B530, Rainfall_Dry!$A$2:$A$217,0)),"")</f>
        <v>12.563016860999999</v>
      </c>
      <c r="Y530" s="260">
        <v>28.145762029394</v>
      </c>
      <c r="Z530" s="260">
        <v>25.085564727199518</v>
      </c>
      <c r="AA530" s="260">
        <v>46.768673243406489</v>
      </c>
      <c r="AB530" s="261" t="s">
        <v>2670</v>
      </c>
      <c r="AC530" s="260">
        <v>2.1716214884179394</v>
      </c>
      <c r="AD530">
        <f>IF('WetLitterbags placem_collection'!AB91="","",'WetLitterbags placem_collection'!AB91)</f>
        <v>7.3</v>
      </c>
      <c r="AE530">
        <f>IF('WetLitterbags placem_collection'!Z91="","",'WetLitterbags placem_collection'!Z91)</f>
        <v>35.799999999999997</v>
      </c>
      <c r="AF530" s="24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71">
        <f>IFERROR(AVERAGE('Dry_Litterbag Placem_Collection'!N91,'Dry_Litterbag Placem_Collection'!Q91),"")</f>
        <v>26.6</v>
      </c>
      <c r="AJ530" s="270">
        <f>INDEX(Coordinates!$B$2:$B$197,MATCH(G530,Coordinates!$J$2:$J$197,0))</f>
        <v>-3.2966709980000002</v>
      </c>
      <c r="AK530" s="270">
        <f>INDEX(Coordinates!$C$2:$C$197,MATCH(G530,Coordinates!$J$2:$J$197,0))</f>
        <v>34.854407019999996</v>
      </c>
      <c r="AL530" s="270" t="str">
        <f>IF(ISNUMBER(SEARCH("C", 'Dry_Litterbag Placem_Collection'!U91)),"YES","NO")</f>
        <v>NO</v>
      </c>
      <c r="AM530" s="270" t="str">
        <f>IF(ISNUMBER(SEARCH("H", 'Dry_Litterbag Placem_Collection'!U91)),"YES","NO")</f>
        <v>NO</v>
      </c>
      <c r="AN530" s="270" t="str">
        <f>IF(ISNUMBER(SEARCH("R", 'Dry_Litterbag Placem_Collection'!U91)),"YES","NO")</f>
        <v>NO</v>
      </c>
    </row>
    <row r="531" spans="1:40" ht="15" customHeight="1">
      <c r="A531" s="262" t="s">
        <v>2659</v>
      </c>
      <c r="B531" s="263">
        <f>'Dry_Litterbag Placem_Collection'!A92</f>
        <v>90</v>
      </c>
      <c r="C531" s="263" t="str">
        <f>'Dry_Litterbag Placem_Collection'!B92</f>
        <v>Maswa</v>
      </c>
      <c r="D531" s="263" t="s">
        <v>2659</v>
      </c>
      <c r="E531" s="263" t="s">
        <v>2661</v>
      </c>
      <c r="F531" s="263">
        <v>4</v>
      </c>
      <c r="G531" s="264" t="str">
        <f>'Dry_Litterbag Placem_Collection'!C92</f>
        <v>Dry_W4_T2</v>
      </c>
      <c r="H531" s="273" t="s">
        <v>3651</v>
      </c>
      <c r="I531" s="266" t="s">
        <v>1147</v>
      </c>
      <c r="J531" s="263" t="str">
        <f>IF(ISBLANK('Dry_Litterbag Placem_Collection'!L92),"","G"&amp;""&amp;'Dry_Litterbag Placem_Collection'!L92)</f>
        <v>G330</v>
      </c>
      <c r="K531" s="267">
        <f>IFERROR(INDEX('Green_rooibos initial weight'!$C$5:$C$1749,MATCH(J531, 'Green_rooibos initial weight'!$A$5:$A$1749,0)),"")</f>
        <v>2.1379999999999999</v>
      </c>
      <c r="L531" s="267">
        <f>IFERROR(K531-(TBIcalc!$Q$9+TBIcalc!$Q$10),"")</f>
        <v>1.8881999999999999</v>
      </c>
      <c r="M531" s="391">
        <f>AVERAGE(Ashed_controlls!$K$2:$K$11)</f>
        <v>5.5147656768714146</v>
      </c>
      <c r="N531" s="267">
        <f t="shared" si="41"/>
        <v>1.7840701944893138</v>
      </c>
      <c r="O531" s="267" t="str">
        <f>IF(IFERROR(INDEX('Both teabags AfterDry'!$D$3:$D$900,MATCH(J531,'Both teabags AfterDry'!$A$3:$A$900,0)),"")="","",(IFERROR(INDEX('Both teabags AfterDry'!$D$3:$D$900,MATCH(J531,'Both teabags AfterDry'!$A$3:$A$900,0)),"")))</f>
        <v/>
      </c>
      <c r="P531" s="267" t="str">
        <f>IFERROR(IF(O531&gt;0,O531-(TBIcalc!$Q$9),""),"")</f>
        <v/>
      </c>
      <c r="Q531" s="278" t="str">
        <f>IFERROR(INDEX('Ashed teabags dry'!$K$2:$K$825,MATCH(J531,'Ashed teabags dry'!$A$2:$A$825,0)),"")</f>
        <v/>
      </c>
      <c r="R531" s="278" t="str">
        <f t="shared" si="42"/>
        <v/>
      </c>
      <c r="S531" s="268">
        <f>'Dry_Litterbag Placem_Collection'!E92</f>
        <v>42937</v>
      </c>
      <c r="T531" s="268">
        <f>IF('Dry_Litterbag Placem_Collection'!G92="","",'Dry_Litterbag Placem_Collection'!G92)</f>
        <v>43006</v>
      </c>
      <c r="U531" s="269">
        <f t="shared" si="40"/>
        <v>69</v>
      </c>
      <c r="V531" s="267" t="str">
        <f t="shared" si="43"/>
        <v/>
      </c>
      <c r="W531" s="267" t="str">
        <f t="shared" si="44"/>
        <v/>
      </c>
      <c r="X531" s="271">
        <f>IFERROR(INDEX(Rainfall_Dry!$O$2:$O$217,MATCH(B531, Rainfall_Dry!$A$2:$A$217,0)),"")</f>
        <v>12.563016860999999</v>
      </c>
      <c r="Y531" s="260">
        <v>28.145762029394</v>
      </c>
      <c r="Z531" s="260">
        <v>25.085564727199518</v>
      </c>
      <c r="AA531" s="260">
        <v>46.768673243406489</v>
      </c>
      <c r="AB531" s="261" t="s">
        <v>2670</v>
      </c>
      <c r="AC531" s="260">
        <v>3.1716214884179399</v>
      </c>
      <c r="AD531">
        <f>IF('WetLitterbags placem_collection'!AB92="","",'WetLitterbags placem_collection'!AB92)</f>
        <v>7.7</v>
      </c>
      <c r="AE531">
        <f>IF('WetLitterbags placem_collection'!Z92="","",'WetLitterbags placem_collection'!Z92)</f>
        <v>30.4</v>
      </c>
      <c r="AF531" s="24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71">
        <f>IFERROR(AVERAGE('Dry_Litterbag Placem_Collection'!N92,'Dry_Litterbag Placem_Collection'!Q92),"")</f>
        <v>26.45</v>
      </c>
      <c r="AJ531" s="270">
        <f>INDEX(Coordinates!$B$2:$B$197,MATCH(G531,Coordinates!$J$2:$J$197,0))</f>
        <v>-3.2966860009999999</v>
      </c>
      <c r="AK531" s="270">
        <f>INDEX(Coordinates!$C$2:$C$197,MATCH(G531,Coordinates!$J$2:$J$197,0))</f>
        <v>34.854371989999997</v>
      </c>
      <c r="AL531" s="270" t="str">
        <f>IF(ISNUMBER(SEARCH("C", 'Dry_Litterbag Placem_Collection'!U92)),"YES","NO")</f>
        <v>NO</v>
      </c>
      <c r="AM531" s="270" t="str">
        <f>IF(ISNUMBER(SEARCH("H", 'Dry_Litterbag Placem_Collection'!U92)),"YES","NO")</f>
        <v>NO</v>
      </c>
      <c r="AN531" s="270" t="str">
        <f>IF(ISNUMBER(SEARCH("R", 'Dry_Litterbag Placem_Collection'!U92)),"YES","NO")</f>
        <v>NO</v>
      </c>
    </row>
    <row r="532" spans="1:40" ht="15" customHeight="1">
      <c r="A532" s="262" t="s">
        <v>2659</v>
      </c>
      <c r="B532" s="263">
        <f>'Dry_Litterbag Placem_Collection'!A93</f>
        <v>91</v>
      </c>
      <c r="C532" s="263" t="str">
        <f>'Dry_Litterbag Placem_Collection'!B93</f>
        <v>Maswa</v>
      </c>
      <c r="D532" s="263" t="s">
        <v>2659</v>
      </c>
      <c r="E532" s="263" t="s">
        <v>2661</v>
      </c>
      <c r="F532" s="263">
        <v>4</v>
      </c>
      <c r="G532" s="264" t="str">
        <f>'Dry_Litterbag Placem_Collection'!C93</f>
        <v>Dry_W4_T3</v>
      </c>
      <c r="H532" s="273" t="s">
        <v>3651</v>
      </c>
      <c r="I532" s="266" t="s">
        <v>1147</v>
      </c>
      <c r="J532" s="263" t="str">
        <f>IF(ISBLANK('Dry_Litterbag Placem_Collection'!L93),"","G"&amp;""&amp;'Dry_Litterbag Placem_Collection'!L93)</f>
        <v>G596</v>
      </c>
      <c r="K532" s="267">
        <f>IFERROR(INDEX('Green_rooibos initial weight'!$C$5:$C$1749,MATCH(J532, 'Green_rooibos initial weight'!$A$5:$A$1749,0)),"")</f>
        <v>2.0179999999999998</v>
      </c>
      <c r="L532" s="267">
        <f>IFERROR(K532-(TBIcalc!$Q$9+TBIcalc!$Q$10),"")</f>
        <v>1.7681999999999998</v>
      </c>
      <c r="M532" s="391">
        <f>AVERAGE(Ashed_controlls!$K$2:$K$11)</f>
        <v>5.5147656768714146</v>
      </c>
      <c r="N532" s="267">
        <f t="shared" si="41"/>
        <v>1.6706879133015595</v>
      </c>
      <c r="O532" s="267">
        <f>IF(IFERROR(INDEX('Both teabags AfterDry'!$D$3:$D$900,MATCH(J532,'Both teabags AfterDry'!$A$3:$A$900,0)),"")="","",(IFERROR(INDEX('Both teabags AfterDry'!$D$3:$D$900,MATCH(J532,'Both teabags AfterDry'!$A$3:$A$900,0)),"")))</f>
        <v>1.8642000000000001</v>
      </c>
      <c r="P532" s="267">
        <f>IFERROR(IF(O532&gt;0,O532-(TBIcalc!$Q$9),""),"")</f>
        <v>1.7136</v>
      </c>
      <c r="Q532" s="278">
        <f>IFERROR(INDEX('Ashed teabags dry'!$K$2:$K$825,MATCH(J532,'Ashed teabags dry'!$A$2:$A$825,0)),"")</f>
        <v>5.1882845188279267</v>
      </c>
      <c r="R532" s="278">
        <f t="shared" si="42"/>
        <v>1.6246935564853646</v>
      </c>
      <c r="S532" s="268">
        <f>'Dry_Litterbag Placem_Collection'!E93</f>
        <v>42937</v>
      </c>
      <c r="T532" s="268">
        <f>IF('Dry_Litterbag Placem_Collection'!G93="","",'Dry_Litterbag Placem_Collection'!G93)</f>
        <v>43006</v>
      </c>
      <c r="U532" s="269">
        <f t="shared" si="40"/>
        <v>69</v>
      </c>
      <c r="V532" s="267">
        <f t="shared" si="43"/>
        <v>5.459999999999976E-2</v>
      </c>
      <c r="W532" s="267">
        <f t="shared" si="44"/>
        <v>4.5994356816194903E-2</v>
      </c>
      <c r="X532" s="271">
        <f>IFERROR(INDEX(Rainfall_Dry!$O$2:$O$217,MATCH(B532, Rainfall_Dry!$A$2:$A$217,0)),"")</f>
        <v>12.563016860999999</v>
      </c>
      <c r="Y532" s="260">
        <v>28.145762029394</v>
      </c>
      <c r="Z532" s="260">
        <v>25.085564727199518</v>
      </c>
      <c r="AA532" s="260">
        <v>46.768673243406489</v>
      </c>
      <c r="AB532" s="261" t="s">
        <v>2670</v>
      </c>
      <c r="AC532" s="260">
        <v>4.1716214884179399</v>
      </c>
      <c r="AD532">
        <f>IF('WetLitterbags placem_collection'!AB93="","",'WetLitterbags placem_collection'!AB93)</f>
        <v>6.1</v>
      </c>
      <c r="AE532">
        <f>IF('WetLitterbags placem_collection'!Z93="","",'WetLitterbags placem_collection'!Z93)</f>
        <v>39.4</v>
      </c>
      <c r="AF532" s="24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71">
        <f>IFERROR(AVERAGE('Dry_Litterbag Placem_Collection'!N93,'Dry_Litterbag Placem_Collection'!Q93),"")</f>
        <v>25.95</v>
      </c>
      <c r="AJ532" s="270">
        <f>INDEX(Coordinates!$B$2:$B$197,MATCH(G532,Coordinates!$J$2:$J$197,0))</f>
        <v>-3.2966180239999998</v>
      </c>
      <c r="AK532" s="270">
        <f>INDEX(Coordinates!$C$2:$C$197,MATCH(G532,Coordinates!$J$2:$J$197,0))</f>
        <v>34.854464020000002</v>
      </c>
      <c r="AL532" s="270" t="str">
        <f>IF(ISNUMBER(SEARCH("C", 'Dry_Litterbag Placem_Collection'!U93)),"YES","NO")</f>
        <v>NO</v>
      </c>
      <c r="AM532" s="270" t="str">
        <f>IF(ISNUMBER(SEARCH("H", 'Dry_Litterbag Placem_Collection'!U93)),"YES","NO")</f>
        <v>NO</v>
      </c>
      <c r="AN532" s="270" t="str">
        <f>IF(ISNUMBER(SEARCH("R", 'Dry_Litterbag Placem_Collection'!U93)),"YES","NO")</f>
        <v>NO</v>
      </c>
    </row>
    <row r="533" spans="1:40" ht="15" customHeight="1">
      <c r="A533" s="262" t="s">
        <v>2659</v>
      </c>
      <c r="B533" s="263">
        <f>'Dry_Litterbag Placem_Collection'!A94</f>
        <v>92</v>
      </c>
      <c r="C533" s="263" t="str">
        <f>'Dry_Litterbag Placem_Collection'!B94</f>
        <v>Maswa</v>
      </c>
      <c r="D533" s="263" t="s">
        <v>2659</v>
      </c>
      <c r="E533" s="263" t="s">
        <v>2661</v>
      </c>
      <c r="F533" s="263">
        <v>4</v>
      </c>
      <c r="G533" s="264" t="str">
        <f>'Dry_Litterbag Placem_Collection'!C94</f>
        <v>Dry_W4_T4</v>
      </c>
      <c r="H533" s="273" t="s">
        <v>3651</v>
      </c>
      <c r="I533" s="266" t="s">
        <v>1147</v>
      </c>
      <c r="J533" s="263" t="str">
        <f>IF(ISBLANK('Dry_Litterbag Placem_Collection'!L94),"","G"&amp;""&amp;'Dry_Litterbag Placem_Collection'!L94)</f>
        <v>G380</v>
      </c>
      <c r="K533" s="267">
        <f>IFERROR(INDEX('Green_rooibos initial weight'!$C$5:$C$1749,MATCH(J533, 'Green_rooibos initial weight'!$A$5:$A$1749,0)),"")</f>
        <v>2.0619999999999998</v>
      </c>
      <c r="L533" s="267">
        <f>IFERROR(K533-(TBIcalc!$Q$9+TBIcalc!$Q$10),"")</f>
        <v>1.8121999999999998</v>
      </c>
      <c r="M533" s="391">
        <f>AVERAGE(Ashed_controlls!$K$2:$K$11)</f>
        <v>5.5147656768714146</v>
      </c>
      <c r="N533" s="267">
        <f t="shared" si="41"/>
        <v>1.712261416403736</v>
      </c>
      <c r="O533" s="267">
        <f>IF(IFERROR(INDEX('Both teabags AfterDry'!$D$3:$D$900,MATCH(J533,'Both teabags AfterDry'!$A$3:$A$900,0)),"")="","",(IFERROR(INDEX('Both teabags AfterDry'!$D$3:$D$900,MATCH(J533,'Both teabags AfterDry'!$A$3:$A$900,0)),"")))</f>
        <v>1.8685</v>
      </c>
      <c r="P533" s="267">
        <f>IFERROR(IF(O533&gt;0,O533-(TBIcalc!$Q$9),""),"")</f>
        <v>1.7179</v>
      </c>
      <c r="Q533" s="278">
        <f>IFERROR(INDEX('Ashed teabags dry'!$K$2:$K$825,MATCH(J533,'Ashed teabags dry'!$A$2:$A$825,0)),"")</f>
        <v>5.9040590405909334</v>
      </c>
      <c r="R533" s="278">
        <f t="shared" si="42"/>
        <v>1.6164741697416884</v>
      </c>
      <c r="S533" s="268">
        <f>'Dry_Litterbag Placem_Collection'!E94</f>
        <v>42937</v>
      </c>
      <c r="T533" s="268">
        <f>IF('Dry_Litterbag Placem_Collection'!G94="","",'Dry_Litterbag Placem_Collection'!G94)</f>
        <v>43006</v>
      </c>
      <c r="U533" s="269">
        <f t="shared" si="40"/>
        <v>69</v>
      </c>
      <c r="V533" s="267">
        <f t="shared" si="43"/>
        <v>9.4299999999999828E-2</v>
      </c>
      <c r="W533" s="267">
        <f t="shared" si="44"/>
        <v>9.578724666204752E-2</v>
      </c>
      <c r="X533" s="271">
        <f>IFERROR(INDEX(Rainfall_Dry!$O$2:$O$217,MATCH(B533, Rainfall_Dry!$A$2:$A$217,0)),"")</f>
        <v>12.563016860999999</v>
      </c>
      <c r="Y533" s="260">
        <v>28.145762029394</v>
      </c>
      <c r="Z533" s="260">
        <v>25.085564727199518</v>
      </c>
      <c r="AA533" s="260">
        <v>46.768673243406489</v>
      </c>
      <c r="AB533" s="261" t="s">
        <v>2670</v>
      </c>
      <c r="AC533" s="260">
        <v>5.1716214884179399</v>
      </c>
      <c r="AD533">
        <f>IF('WetLitterbags placem_collection'!AB94="","",'WetLitterbags placem_collection'!AB94)</f>
        <v>7.7</v>
      </c>
      <c r="AE533">
        <f>IF('WetLitterbags placem_collection'!Z94="","",'WetLitterbags placem_collection'!Z94)</f>
        <v>24.8</v>
      </c>
      <c r="AF533" s="24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71">
        <f>IFERROR(AVERAGE('Dry_Litterbag Placem_Collection'!N94,'Dry_Litterbag Placem_Collection'!Q94),"")</f>
        <v>26</v>
      </c>
      <c r="AJ533" s="270">
        <f>INDEX(Coordinates!$B$2:$B$197,MATCH(G533,Coordinates!$J$2:$J$197,0))</f>
        <v>-3.2965539860000002</v>
      </c>
      <c r="AK533" s="270">
        <f>INDEX(Coordinates!$C$2:$C$197,MATCH(G533,Coordinates!$J$2:$J$197,0))</f>
        <v>34.854455969999997</v>
      </c>
      <c r="AL533" s="270" t="str">
        <f>IF(ISNUMBER(SEARCH("C", 'Dry_Litterbag Placem_Collection'!U94)),"YES","NO")</f>
        <v>NO</v>
      </c>
      <c r="AM533" s="270" t="str">
        <f>IF(ISNUMBER(SEARCH("H", 'Dry_Litterbag Placem_Collection'!U94)),"YES","NO")</f>
        <v>NO</v>
      </c>
      <c r="AN533" s="270" t="str">
        <f>IF(ISNUMBER(SEARCH("R", 'Dry_Litterbag Placem_Collection'!U94)),"YES","NO")</f>
        <v>NO</v>
      </c>
    </row>
    <row r="534" spans="1:40" ht="15" customHeight="1">
      <c r="A534" s="262" t="s">
        <v>2659</v>
      </c>
      <c r="B534" s="263">
        <f>'Dry_Litterbag Placem_Collection'!A95</f>
        <v>93</v>
      </c>
      <c r="C534" s="263" t="str">
        <f>'Dry_Litterbag Placem_Collection'!B95</f>
        <v>Maswa</v>
      </c>
      <c r="D534" s="263" t="s">
        <v>2659</v>
      </c>
      <c r="E534" s="263" t="s">
        <v>2661</v>
      </c>
      <c r="F534" s="263">
        <v>4</v>
      </c>
      <c r="G534" s="264" t="str">
        <f>'Dry_Litterbag Placem_Collection'!C95</f>
        <v>Dry_W4_T5</v>
      </c>
      <c r="H534" s="273" t="s">
        <v>3651</v>
      </c>
      <c r="I534" s="266" t="s">
        <v>1147</v>
      </c>
      <c r="J534" s="263" t="str">
        <f>IF(ISBLANK('Dry_Litterbag Placem_Collection'!L95),"","G"&amp;""&amp;'Dry_Litterbag Placem_Collection'!L95)</f>
        <v>G872</v>
      </c>
      <c r="K534" s="267">
        <f>IFERROR(INDEX('Green_rooibos initial weight'!$C$5:$C$1749,MATCH(J534, 'Green_rooibos initial weight'!$A$5:$A$1749,0)),"")</f>
        <v>2.008</v>
      </c>
      <c r="L534" s="267">
        <f>IFERROR(K534-(TBIcalc!$Q$9+TBIcalc!$Q$10),"")</f>
        <v>1.7582</v>
      </c>
      <c r="M534" s="391">
        <f>AVERAGE(Ashed_controlls!$K$2:$K$11)</f>
        <v>5.5147656768714146</v>
      </c>
      <c r="N534" s="267">
        <f t="shared" si="41"/>
        <v>1.6612393898692468</v>
      </c>
      <c r="O534" s="267">
        <f>IF(IFERROR(INDEX('Both teabags AfterDry'!$D$3:$D$900,MATCH(J534,'Both teabags AfterDry'!$A$3:$A$900,0)),"")="","",(IFERROR(INDEX('Both teabags AfterDry'!$D$3:$D$900,MATCH(J534,'Both teabags AfterDry'!$A$3:$A$900,0)),"")))</f>
        <v>1.8389</v>
      </c>
      <c r="P534" s="267">
        <f>IFERROR(IF(O534&gt;0,O534-(TBIcalc!$Q$9),""),"")</f>
        <v>1.6882999999999999</v>
      </c>
      <c r="Q534" s="278">
        <f>IFERROR(INDEX('Ashed teabags dry'!$K$2:$K$825,MATCH(J534,'Ashed teabags dry'!$A$2:$A$825,0)),"")</f>
        <v>5.7008144020571656</v>
      </c>
      <c r="R534" s="278">
        <f t="shared" si="42"/>
        <v>1.5920531504500688</v>
      </c>
      <c r="S534" s="268">
        <f>'Dry_Litterbag Placem_Collection'!E95</f>
        <v>42937</v>
      </c>
      <c r="T534" s="268">
        <f>IF('Dry_Litterbag Placem_Collection'!G95="","",'Dry_Litterbag Placem_Collection'!G95)</f>
        <v>43006</v>
      </c>
      <c r="U534" s="269">
        <f t="shared" si="40"/>
        <v>69</v>
      </c>
      <c r="V534" s="267">
        <f t="shared" si="43"/>
        <v>6.9900000000000073E-2</v>
      </c>
      <c r="W534" s="267">
        <f t="shared" si="44"/>
        <v>6.9186239419178008E-2</v>
      </c>
      <c r="X534" s="271">
        <f>IFERROR(INDEX(Rainfall_Dry!$O$2:$O$217,MATCH(B534, Rainfall_Dry!$A$2:$A$217,0)),"")</f>
        <v>12.563016860999999</v>
      </c>
      <c r="Y534" s="260">
        <v>28.145762029394</v>
      </c>
      <c r="Z534" s="260">
        <v>25.085564727199518</v>
      </c>
      <c r="AA534" s="260">
        <v>46.768673243406489</v>
      </c>
      <c r="AB534" s="261" t="s">
        <v>2670</v>
      </c>
      <c r="AC534" s="260">
        <v>6.1716214884179399</v>
      </c>
      <c r="AD534">
        <f>IF('WetLitterbags placem_collection'!AB95="","",'WetLitterbags placem_collection'!AB95)</f>
        <v>6.6</v>
      </c>
      <c r="AE534">
        <f>IF('WetLitterbags placem_collection'!Z95="","",'WetLitterbags placem_collection'!Z95)</f>
        <v>40</v>
      </c>
      <c r="AF534" s="24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71">
        <f>IFERROR(AVERAGE('Dry_Litterbag Placem_Collection'!N95,'Dry_Litterbag Placem_Collection'!Q95),"")</f>
        <v>26.4</v>
      </c>
      <c r="AJ534" s="270">
        <f>INDEX(Coordinates!$B$2:$B$197,MATCH(G534,Coordinates!$J$2:$J$197,0))</f>
        <v>-3.2964789680000002</v>
      </c>
      <c r="AK534" s="270">
        <f>INDEX(Coordinates!$C$2:$C$197,MATCH(G534,Coordinates!$J$2:$J$197,0))</f>
        <v>34.854331000000002</v>
      </c>
      <c r="AL534" s="270" t="str">
        <f>IF(ISNUMBER(SEARCH("C", 'Dry_Litterbag Placem_Collection'!U95)),"YES","NO")</f>
        <v>NO</v>
      </c>
      <c r="AM534" s="270" t="str">
        <f>IF(ISNUMBER(SEARCH("H", 'Dry_Litterbag Placem_Collection'!U95)),"YES","NO")</f>
        <v>NO</v>
      </c>
      <c r="AN534" s="270" t="str">
        <f>IF(ISNUMBER(SEARCH("R", 'Dry_Litterbag Placem_Collection'!U95)),"YES","NO")</f>
        <v>NO</v>
      </c>
    </row>
    <row r="535" spans="1:40" ht="15" customHeight="1">
      <c r="A535" s="262" t="s">
        <v>2659</v>
      </c>
      <c r="B535" s="263">
        <f>'Dry_Litterbag Placem_Collection'!A96</f>
        <v>94</v>
      </c>
      <c r="C535" s="263" t="str">
        <f>'Dry_Litterbag Placem_Collection'!B96</f>
        <v>Maswa</v>
      </c>
      <c r="D535" s="263" t="s">
        <v>2659</v>
      </c>
      <c r="E535" s="263" t="s">
        <v>2661</v>
      </c>
      <c r="F535" s="263">
        <v>4</v>
      </c>
      <c r="G535" s="264" t="str">
        <f>'Dry_Litterbag Placem_Collection'!C96</f>
        <v>Dry_W4_T6</v>
      </c>
      <c r="H535" s="273" t="s">
        <v>3651</v>
      </c>
      <c r="I535" s="266" t="s">
        <v>1147</v>
      </c>
      <c r="J535" s="263" t="str">
        <f>IF(ISBLANK('Dry_Litterbag Placem_Collection'!L96),"","G"&amp;""&amp;'Dry_Litterbag Placem_Collection'!L96)</f>
        <v/>
      </c>
      <c r="K535" s="267" t="str">
        <f>IFERROR(INDEX('Green_rooibos initial weight'!$C$5:$C$1749,MATCH(J535, 'Green_rooibos initial weight'!$A$5:$A$1749,0)),"")</f>
        <v/>
      </c>
      <c r="L535" s="267" t="str">
        <f>IFERROR(K535-(TBIcalc!$Q$9+TBIcalc!$Q$10),"")</f>
        <v/>
      </c>
      <c r="M535" s="391">
        <f>AVERAGE(Ashed_controlls!$K$2:$K$11)</f>
        <v>5.5147656768714146</v>
      </c>
      <c r="N535" s="267" t="str">
        <f t="shared" si="41"/>
        <v/>
      </c>
      <c r="O535" s="267" t="str">
        <f>IF(IFERROR(INDEX('Both teabags AfterDry'!$D$3:$D$900,MATCH(J535,'Both teabags AfterDry'!$A$3:$A$900,0)),"")="","",(IFERROR(INDEX('Both teabags AfterDry'!$D$3:$D$900,MATCH(J535,'Both teabags AfterDry'!$A$3:$A$900,0)),"")))</f>
        <v/>
      </c>
      <c r="P535" s="267" t="str">
        <f>IFERROR(IF(O535&gt;0,O535-(TBIcalc!$Q$9),""),"")</f>
        <v/>
      </c>
      <c r="Q535" s="278" t="str">
        <f>IFERROR(INDEX('Ashed teabags dry'!$K$2:$K$825,MATCH(J535,'Ashed teabags dry'!$A$2:$A$825,0)),"")</f>
        <v/>
      </c>
      <c r="R535" s="278" t="str">
        <f t="shared" si="42"/>
        <v/>
      </c>
      <c r="S535" s="268">
        <f>'Dry_Litterbag Placem_Collection'!E96</f>
        <v>0</v>
      </c>
      <c r="T535" s="268" t="str">
        <f>IF('Dry_Litterbag Placem_Collection'!G96="","",'Dry_Litterbag Placem_Collection'!G96)</f>
        <v/>
      </c>
      <c r="U535" s="269" t="str">
        <f t="shared" si="40"/>
        <v/>
      </c>
      <c r="V535" s="267" t="str">
        <f t="shared" si="43"/>
        <v/>
      </c>
      <c r="W535" s="267" t="str">
        <f t="shared" si="44"/>
        <v/>
      </c>
      <c r="X535" s="271" t="str">
        <f>IFERROR(INDEX(Rainfall_Dry!$O$2:$O$217,MATCH(B535, Rainfall_Dry!$A$2:$A$217,0)),"")</f>
        <v/>
      </c>
      <c r="Y535" s="260">
        <v>28.145762029394</v>
      </c>
      <c r="Z535" s="260">
        <v>25.085564727199518</v>
      </c>
      <c r="AA535" s="260">
        <v>46.768673243406489</v>
      </c>
      <c r="AB535" s="261" t="s">
        <v>2670</v>
      </c>
      <c r="AC535" s="260">
        <v>7.1716214884179399</v>
      </c>
      <c r="AD535" t="str">
        <f>IF('WetLitterbags placem_collection'!AB96="","",'WetLitterbags placem_collection'!AB96)</f>
        <v/>
      </c>
      <c r="AE535" t="str">
        <f>IF('WetLitterbags placem_collection'!Z96="","",'WetLitterbags placem_collection'!Z96)</f>
        <v/>
      </c>
      <c r="AF535" s="24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71" t="str">
        <f>IFERROR(AVERAGE('Dry_Litterbag Placem_Collection'!N96,'Dry_Litterbag Placem_Collection'!Q96),"")</f>
        <v/>
      </c>
      <c r="AJ535" s="270">
        <f>INDEX(Coordinates!$B$2:$B$197,MATCH(G535,Coordinates!$J$2:$J$197,0))</f>
        <v>-3.2964649700000002</v>
      </c>
      <c r="AK535" s="270">
        <f>INDEX(Coordinates!$C$2:$C$197,MATCH(G535,Coordinates!$J$2:$J$197,0))</f>
        <v>34.854340970000003</v>
      </c>
      <c r="AL535" s="270" t="str">
        <f>IF(ISNUMBER(SEARCH("C", 'Dry_Litterbag Placem_Collection'!U96)),"YES","NO")</f>
        <v>NO</v>
      </c>
      <c r="AM535" s="270" t="str">
        <f>IF(ISNUMBER(SEARCH("H", 'Dry_Litterbag Placem_Collection'!U96)),"YES","NO")</f>
        <v>NO</v>
      </c>
      <c r="AN535" s="270" t="str">
        <f>IF(ISNUMBER(SEARCH("R", 'Dry_Litterbag Placem_Collection'!U96)),"YES","NO")</f>
        <v>NO</v>
      </c>
    </row>
    <row r="536" spans="1:40" ht="15" customHeight="1">
      <c r="A536" s="262" t="s">
        <v>2659</v>
      </c>
      <c r="B536" s="263">
        <f>'Dry_Litterbag Placem_Collection'!A97</f>
        <v>95</v>
      </c>
      <c r="C536" s="263" t="str">
        <f>'Dry_Litterbag Placem_Collection'!B97</f>
        <v>Maswa</v>
      </c>
      <c r="D536" s="263" t="s">
        <v>2659</v>
      </c>
      <c r="E536" s="263" t="s">
        <v>2661</v>
      </c>
      <c r="F536" s="263">
        <v>4</v>
      </c>
      <c r="G536" s="264" t="str">
        <f>'Dry_Litterbag Placem_Collection'!C97</f>
        <v>Dry_W4_T7</v>
      </c>
      <c r="H536" s="273" t="s">
        <v>3651</v>
      </c>
      <c r="I536" s="266" t="s">
        <v>1147</v>
      </c>
      <c r="J536" s="263" t="str">
        <f>IF(ISBLANK('Dry_Litterbag Placem_Collection'!L97),"","G"&amp;""&amp;'Dry_Litterbag Placem_Collection'!L97)</f>
        <v>G844</v>
      </c>
      <c r="K536" s="267">
        <f>IFERROR(INDEX('Green_rooibos initial weight'!$C$5:$C$1749,MATCH(J536, 'Green_rooibos initial weight'!$A$5:$A$1749,0)),"")</f>
        <v>1.95</v>
      </c>
      <c r="L536" s="267">
        <f>IFERROR(K536-(TBIcalc!$Q$9+TBIcalc!$Q$10),"")</f>
        <v>1.7001999999999999</v>
      </c>
      <c r="M536" s="391">
        <f>AVERAGE(Ashed_controlls!$K$2:$K$11)</f>
        <v>5.5147656768714146</v>
      </c>
      <c r="N536" s="267">
        <f t="shared" si="41"/>
        <v>1.6064379539618321</v>
      </c>
      <c r="O536" s="267">
        <f>IF(IFERROR(INDEX('Both teabags AfterDry'!$D$3:$D$900,MATCH(J536,'Both teabags AfterDry'!$A$3:$A$900,0)),"")="","",(IFERROR(INDEX('Both teabags AfterDry'!$D$3:$D$900,MATCH(J536,'Both teabags AfterDry'!$A$3:$A$900,0)),"")))</f>
        <v>1.7751999999999999</v>
      </c>
      <c r="P536" s="267">
        <f>IFERROR(IF(O536&gt;0,O536-(TBIcalc!$Q$9),""),"")</f>
        <v>1.6245999999999998</v>
      </c>
      <c r="Q536" s="278">
        <f>IFERROR(INDEX('Ashed teabags dry'!$K$2:$K$825,MATCH(J536,'Ashed teabags dry'!$A$2:$A$825,0)),"")</f>
        <v>6.2158130283436162</v>
      </c>
      <c r="R536" s="278">
        <f t="shared" si="42"/>
        <v>1.5236179015415294</v>
      </c>
      <c r="S536" s="268">
        <f>'Dry_Litterbag Placem_Collection'!E97</f>
        <v>42937</v>
      </c>
      <c r="T536" s="268">
        <f>IF('Dry_Litterbag Placem_Collection'!G97="","",'Dry_Litterbag Placem_Collection'!G97)</f>
        <v>43006</v>
      </c>
      <c r="U536" s="269">
        <f t="shared" si="40"/>
        <v>69</v>
      </c>
      <c r="V536" s="267">
        <f t="shared" si="43"/>
        <v>7.5600000000000112E-2</v>
      </c>
      <c r="W536" s="267">
        <f t="shared" si="44"/>
        <v>8.2820052420302659E-2</v>
      </c>
      <c r="X536" s="271">
        <f>IFERROR(INDEX(Rainfall_Dry!$O$2:$O$217,MATCH(B536, Rainfall_Dry!$A$2:$A$217,0)),"")</f>
        <v>12.563016860999999</v>
      </c>
      <c r="Y536" s="260">
        <v>28.145762029394</v>
      </c>
      <c r="Z536" s="260">
        <v>25.085564727199518</v>
      </c>
      <c r="AA536" s="260">
        <v>46.768673243406489</v>
      </c>
      <c r="AB536" s="261" t="s">
        <v>2670</v>
      </c>
      <c r="AC536" s="260">
        <v>8.1716214884179408</v>
      </c>
      <c r="AD536">
        <f>IF('WetLitterbags placem_collection'!AB97="","",'WetLitterbags placem_collection'!AB97)</f>
        <v>5.4</v>
      </c>
      <c r="AE536">
        <f>IF('WetLitterbags placem_collection'!Z97="","",'WetLitterbags placem_collection'!Z97)</f>
        <v>15.2</v>
      </c>
      <c r="AF536" s="24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71">
        <f>IFERROR(AVERAGE('Dry_Litterbag Placem_Collection'!N97,'Dry_Litterbag Placem_Collection'!Q97),"")</f>
        <v>27.35</v>
      </c>
      <c r="AJ536" s="270">
        <f>INDEX(Coordinates!$B$2:$B$197,MATCH(G536,Coordinates!$J$2:$J$197,0))</f>
        <v>-3.296725983</v>
      </c>
      <c r="AK536" s="270">
        <f>INDEX(Coordinates!$C$2:$C$197,MATCH(G536,Coordinates!$J$2:$J$197,0))</f>
        <v>34.854216000000001</v>
      </c>
      <c r="AL536" s="270" t="str">
        <f>IF(ISNUMBER(SEARCH("C", 'Dry_Litterbag Placem_Collection'!U97)),"YES","NO")</f>
        <v>NO</v>
      </c>
      <c r="AM536" s="270" t="str">
        <f>IF(ISNUMBER(SEARCH("H", 'Dry_Litterbag Placem_Collection'!U97)),"YES","NO")</f>
        <v>NO</v>
      </c>
      <c r="AN536" s="270" t="str">
        <f>IF(ISNUMBER(SEARCH("R", 'Dry_Litterbag Placem_Collection'!U97)),"YES","NO")</f>
        <v>NO</v>
      </c>
    </row>
    <row r="537" spans="1:40" ht="15" customHeight="1">
      <c r="A537" s="262" t="s">
        <v>2659</v>
      </c>
      <c r="B537" s="263">
        <f>'Dry_Litterbag Placem_Collection'!A98</f>
        <v>96</v>
      </c>
      <c r="C537" s="263" t="str">
        <f>'Dry_Litterbag Placem_Collection'!B98</f>
        <v>Maswa</v>
      </c>
      <c r="D537" s="263" t="s">
        <v>2659</v>
      </c>
      <c r="E537" s="263" t="s">
        <v>2661</v>
      </c>
      <c r="F537" s="263">
        <v>4</v>
      </c>
      <c r="G537" s="264" t="str">
        <f>'Dry_Litterbag Placem_Collection'!C98</f>
        <v>Dry_W4_T8</v>
      </c>
      <c r="H537" s="273" t="s">
        <v>3651</v>
      </c>
      <c r="I537" s="266" t="s">
        <v>1147</v>
      </c>
      <c r="J537" s="263" t="str">
        <f>IF(ISBLANK('Dry_Litterbag Placem_Collection'!L98),"","G"&amp;""&amp;'Dry_Litterbag Placem_Collection'!L98)</f>
        <v>G372</v>
      </c>
      <c r="K537" s="267">
        <f>IFERROR(INDEX('Green_rooibos initial weight'!$C$5:$C$1749,MATCH(J537, 'Green_rooibos initial weight'!$A$5:$A$1749,0)),"")</f>
        <v>2.1539999999999999</v>
      </c>
      <c r="L537" s="267">
        <f>IFERROR(K537-(TBIcalc!$Q$9+TBIcalc!$Q$10),"")</f>
        <v>1.9041999999999999</v>
      </c>
      <c r="M537" s="391">
        <f>AVERAGE(Ashed_controlls!$K$2:$K$11)</f>
        <v>5.5147656768714146</v>
      </c>
      <c r="N537" s="267">
        <f t="shared" si="41"/>
        <v>1.7991878319810144</v>
      </c>
      <c r="O537" s="267">
        <f>IF(IFERROR(INDEX('Both teabags AfterDry'!$D$3:$D$900,MATCH(J537,'Both teabags AfterDry'!$A$3:$A$900,0)),"")="","",(IFERROR(INDEX('Both teabags AfterDry'!$D$3:$D$900,MATCH(J537,'Both teabags AfterDry'!$A$3:$A$900,0)),"")))</f>
        <v>1.9605999999999999</v>
      </c>
      <c r="P537" s="267">
        <f>IFERROR(IF(O537&gt;0,O537-(TBIcalc!$Q$9),""),"")</f>
        <v>1.8099999999999998</v>
      </c>
      <c r="Q537" s="278">
        <f>IFERROR(INDEX('Ashed teabags dry'!$K$2:$K$825,MATCH(J537,'Ashed teabags dry'!$A$2:$A$825,0)),"")</f>
        <v>5.7128906249998721</v>
      </c>
      <c r="R537" s="278">
        <f t="shared" si="42"/>
        <v>1.7065966796875021</v>
      </c>
      <c r="S537" s="268">
        <f>'Dry_Litterbag Placem_Collection'!E98</f>
        <v>42937</v>
      </c>
      <c r="T537" s="268">
        <f>IF('Dry_Litterbag Placem_Collection'!G98="","",'Dry_Litterbag Placem_Collection'!G98)</f>
        <v>43006</v>
      </c>
      <c r="U537" s="269">
        <f t="shared" si="40"/>
        <v>69</v>
      </c>
      <c r="V537" s="267">
        <f t="shared" si="43"/>
        <v>9.4200000000000061E-2</v>
      </c>
      <c r="W537" s="267">
        <f t="shared" si="44"/>
        <v>9.2591152293512335E-2</v>
      </c>
      <c r="X537" s="271">
        <f>IFERROR(INDEX(Rainfall_Dry!$O$2:$O$217,MATCH(B537, Rainfall_Dry!$A$2:$A$217,0)),"")</f>
        <v>12.563016860999999</v>
      </c>
      <c r="Y537" s="260">
        <v>28.145762029394</v>
      </c>
      <c r="Z537" s="260">
        <v>25.085564727199518</v>
      </c>
      <c r="AA537" s="260">
        <v>46.768673243406489</v>
      </c>
      <c r="AB537" s="261" t="s">
        <v>2670</v>
      </c>
      <c r="AC537" s="260">
        <v>9.1716214884179408</v>
      </c>
      <c r="AD537">
        <f>IF('WetLitterbags placem_collection'!AB98="","",'WetLitterbags placem_collection'!AB98)</f>
        <v>4</v>
      </c>
      <c r="AE537">
        <f>IF('WetLitterbags placem_collection'!Z98="","",'WetLitterbags placem_collection'!Z98)</f>
        <v>34.4</v>
      </c>
      <c r="AF537" s="24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71">
        <f>IFERROR(AVERAGE('Dry_Litterbag Placem_Collection'!N98,'Dry_Litterbag Placem_Collection'!Q98),"")</f>
        <v>25.950000000000003</v>
      </c>
      <c r="AJ537" s="270">
        <f>INDEX(Coordinates!$B$2:$B$197,MATCH(G537,Coordinates!$J$2:$J$197,0))</f>
        <v>-3.2968360369999998</v>
      </c>
      <c r="AK537" s="270">
        <f>INDEX(Coordinates!$C$2:$C$197,MATCH(G537,Coordinates!$J$2:$J$197,0))</f>
        <v>34.854462009999999</v>
      </c>
      <c r="AL537" s="270" t="str">
        <f>IF(ISNUMBER(SEARCH("C", 'Dry_Litterbag Placem_Collection'!U98)),"YES","NO")</f>
        <v>NO</v>
      </c>
      <c r="AM537" s="270" t="str">
        <f>IF(ISNUMBER(SEARCH("H", 'Dry_Litterbag Placem_Collection'!U98)),"YES","NO")</f>
        <v>NO</v>
      </c>
      <c r="AN537" s="270" t="str">
        <f>IF(ISNUMBER(SEARCH("R", 'Dry_Litterbag Placem_Collection'!U98)),"YES","NO")</f>
        <v>NO</v>
      </c>
    </row>
    <row r="538" spans="1:40" ht="15" customHeight="1">
      <c r="A538" s="262" t="s">
        <v>2659</v>
      </c>
      <c r="B538" s="263">
        <f>'Dry_Litterbag Placem_Collection'!A99</f>
        <v>97</v>
      </c>
      <c r="C538" s="263" t="str">
        <f>'Dry_Litterbag Placem_Collection'!B99</f>
        <v xml:space="preserve">Mwantimba
</v>
      </c>
      <c r="D538" s="263" t="s">
        <v>2659</v>
      </c>
      <c r="E538" s="263" t="s">
        <v>2660</v>
      </c>
      <c r="F538" s="263">
        <v>1</v>
      </c>
      <c r="G538" s="264" t="str">
        <f>'Dry_Litterbag Placem_Collection'!C99</f>
        <v>Wet_Ag1_T1</v>
      </c>
      <c r="H538" s="273" t="s">
        <v>3651</v>
      </c>
      <c r="I538" s="266" t="s">
        <v>1147</v>
      </c>
      <c r="J538" s="263" t="str">
        <f>IF(ISBLANK('Dry_Litterbag Placem_Collection'!L99),"","G"&amp;""&amp;'Dry_Litterbag Placem_Collection'!L99)</f>
        <v>G3</v>
      </c>
      <c r="K538" s="267">
        <f>IFERROR(INDEX('Green_rooibos initial weight'!$C$5:$C$1749,MATCH(J538, 'Green_rooibos initial weight'!$A$5:$A$1749,0)),"")</f>
        <v>2.0470000000000002</v>
      </c>
      <c r="L538" s="267">
        <f>IFERROR(K538-(TBIcalc!$Q$9+TBIcalc!$Q$10),"")</f>
        <v>1.7972000000000001</v>
      </c>
      <c r="M538" s="391">
        <f>AVERAGE(Ashed_controlls!$K$2:$K$11)</f>
        <v>5.5147656768714146</v>
      </c>
      <c r="N538" s="267">
        <f t="shared" si="41"/>
        <v>1.698088631255267</v>
      </c>
      <c r="O538" s="267" t="str">
        <f>IF(IFERROR(INDEX('Both teabags AfterDry'!$D$3:$D$900,MATCH(J538,'Both teabags AfterDry'!$A$3:$A$900,0)),"")="","",(IFERROR(INDEX('Both teabags AfterDry'!$D$3:$D$900,MATCH(J538,'Both teabags AfterDry'!$A$3:$A$900,0)),"")))</f>
        <v/>
      </c>
      <c r="P538" s="267" t="str">
        <f>IFERROR(IF(O538&gt;0,O538-(TBIcalc!$Q$9),""),"")</f>
        <v/>
      </c>
      <c r="Q538" s="278" t="str">
        <f>IFERROR(INDEX('Ashed teabags dry'!$K$2:$K$825,MATCH(J538,'Ashed teabags dry'!$A$2:$A$825,0)),"")</f>
        <v/>
      </c>
      <c r="R538" s="278" t="str">
        <f t="shared" si="42"/>
        <v/>
      </c>
      <c r="S538" s="268">
        <f>'Dry_Litterbag Placem_Collection'!E99</f>
        <v>42939</v>
      </c>
      <c r="T538" s="268">
        <f>IF('Dry_Litterbag Placem_Collection'!G99="","",'Dry_Litterbag Placem_Collection'!G99)</f>
        <v>43010</v>
      </c>
      <c r="U538" s="269">
        <f t="shared" si="40"/>
        <v>71</v>
      </c>
      <c r="V538" s="267" t="str">
        <f t="shared" si="43"/>
        <v/>
      </c>
      <c r="W538" s="267" t="str">
        <f t="shared" si="44"/>
        <v/>
      </c>
      <c r="X538" s="271">
        <f>IFERROR(INDEX(Rainfall_Dry!$O$2:$O$217,MATCH(B538, Rainfall_Dry!$A$2:$A$217,0)),"")</f>
        <v>137.19979645800001</v>
      </c>
      <c r="Y538" s="260">
        <v>45.96</v>
      </c>
      <c r="Z538" s="260">
        <v>14.920000000000003</v>
      </c>
      <c r="AA538" s="260">
        <v>39.119999999999997</v>
      </c>
      <c r="AB538" s="261" t="s">
        <v>2673</v>
      </c>
      <c r="AC538" s="260">
        <v>2.0374568753080333</v>
      </c>
      <c r="AD538">
        <f>IF('WetLitterbags placem_collection'!AB99="","",'WetLitterbags placem_collection'!AB99)</f>
        <v>2.4</v>
      </c>
      <c r="AE538">
        <f>IF('WetLitterbags placem_collection'!Z99="","",'WetLitterbags placem_collection'!Z99)</f>
        <v>8.9</v>
      </c>
      <c r="AF538" s="24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71">
        <f>IFERROR(AVERAGE('Dry_Litterbag Placem_Collection'!N99,'Dry_Litterbag Placem_Collection'!Q99),"")</f>
        <v>28.5</v>
      </c>
      <c r="AJ538" s="270">
        <f>INDEX(Coordinates!$B$2:$B$197,MATCH(G538,Coordinates!$J$2:$J$197,0))</f>
        <v>-2.3691620310000001</v>
      </c>
      <c r="AK538" s="270">
        <f>INDEX(Coordinates!$C$2:$C$197,MATCH(G538,Coordinates!$J$2:$J$197,0))</f>
        <v>34.06028104</v>
      </c>
      <c r="AL538" s="270" t="str">
        <f>IF(ISNUMBER(SEARCH("C", 'Dry_Litterbag Placem_Collection'!U99)),"YES","NO")</f>
        <v>NO</v>
      </c>
      <c r="AM538" s="270" t="str">
        <f>IF(ISNUMBER(SEARCH("H", 'Dry_Litterbag Placem_Collection'!U99)),"YES","NO")</f>
        <v>NO</v>
      </c>
      <c r="AN538" s="270" t="str">
        <f>IF(ISNUMBER(SEARCH("R", 'Dry_Litterbag Placem_Collection'!U99)),"YES","NO")</f>
        <v>NO</v>
      </c>
    </row>
    <row r="539" spans="1:40" ht="15" customHeight="1">
      <c r="A539" s="262" t="s">
        <v>2659</v>
      </c>
      <c r="B539" s="263">
        <f>'Dry_Litterbag Placem_Collection'!A100</f>
        <v>98</v>
      </c>
      <c r="C539" s="263" t="str">
        <f>'Dry_Litterbag Placem_Collection'!B100</f>
        <v xml:space="preserve">Mwantimba
</v>
      </c>
      <c r="D539" s="263" t="s">
        <v>2659</v>
      </c>
      <c r="E539" s="263" t="s">
        <v>2660</v>
      </c>
      <c r="F539" s="263">
        <v>1</v>
      </c>
      <c r="G539" s="264" t="str">
        <f>'Dry_Litterbag Placem_Collection'!C100</f>
        <v>Wet_Ag1_T2</v>
      </c>
      <c r="H539" s="273" t="s">
        <v>3651</v>
      </c>
      <c r="I539" s="266" t="s">
        <v>1147</v>
      </c>
      <c r="J539" s="263" t="str">
        <f>IF(ISBLANK('Dry_Litterbag Placem_Collection'!L100),"","G"&amp;""&amp;'Dry_Litterbag Placem_Collection'!L100)</f>
        <v>G25</v>
      </c>
      <c r="K539" s="267">
        <f>IFERROR(INDEX('Green_rooibos initial weight'!$C$5:$C$1749,MATCH(J539, 'Green_rooibos initial weight'!$A$5:$A$1749,0)),"")</f>
        <v>2.0230000000000001</v>
      </c>
      <c r="L539" s="267">
        <f>IFERROR(K539-(TBIcalc!$Q$9+TBIcalc!$Q$10),"")</f>
        <v>1.7732000000000001</v>
      </c>
      <c r="M539" s="391">
        <f>AVERAGE(Ashed_controlls!$K$2:$K$11)</f>
        <v>5.5147656768714146</v>
      </c>
      <c r="N539" s="267">
        <f t="shared" si="41"/>
        <v>1.6754121750177162</v>
      </c>
      <c r="O539" s="267">
        <f>IF(IFERROR(INDEX('Both teabags AfterDry'!$D$3:$D$900,MATCH(J539,'Both teabags AfterDry'!$A$3:$A$900,0)),"")="","",(IFERROR(INDEX('Both teabags AfterDry'!$D$3:$D$900,MATCH(J539,'Both teabags AfterDry'!$A$3:$A$900,0)),"")))</f>
        <v>0.995</v>
      </c>
      <c r="P539" s="267">
        <f>IFERROR(IF(O539&gt;0,O539-(TBIcalc!$Q$9),""),"")</f>
        <v>0.84440000000000004</v>
      </c>
      <c r="Q539" s="278">
        <f>IFERROR(INDEX('Ashed teabags dry'!$K$2:$K$825,MATCH(J539,'Ashed teabags dry'!$A$2:$A$825,0)),"")</f>
        <v>21.132793907663359</v>
      </c>
      <c r="R539" s="278">
        <f t="shared" si="42"/>
        <v>0.66595468824369064</v>
      </c>
      <c r="S539" s="268">
        <f>'Dry_Litterbag Placem_Collection'!E100</f>
        <v>42939</v>
      </c>
      <c r="T539" s="268">
        <f>IF('Dry_Litterbag Placem_Collection'!G100="","",'Dry_Litterbag Placem_Collection'!G100)</f>
        <v>43010</v>
      </c>
      <c r="U539" s="269">
        <f t="shared" si="40"/>
        <v>71</v>
      </c>
      <c r="V539" s="267">
        <f t="shared" si="43"/>
        <v>0.92880000000000007</v>
      </c>
      <c r="W539" s="267">
        <f t="shared" si="44"/>
        <v>1.0094574867740256</v>
      </c>
      <c r="X539" s="271">
        <f>IFERROR(INDEX(Rainfall_Dry!$O$2:$O$217,MATCH(B539, Rainfall_Dry!$A$2:$A$217,0)),"")</f>
        <v>137.19979645800001</v>
      </c>
      <c r="Y539" s="260">
        <v>45.96</v>
      </c>
      <c r="Z539" s="260">
        <v>14.920000000000003</v>
      </c>
      <c r="AA539" s="260">
        <v>39.119999999999997</v>
      </c>
      <c r="AB539" s="261" t="s">
        <v>2673</v>
      </c>
      <c r="AC539" s="260">
        <v>3.0374568753080302</v>
      </c>
      <c r="AD539">
        <f>IF('WetLitterbags placem_collection'!AB100="","",'WetLitterbags placem_collection'!AB100)</f>
        <v>7.8</v>
      </c>
      <c r="AE539">
        <f>IF('WetLitterbags placem_collection'!Z100="","",'WetLitterbags placem_collection'!Z100)</f>
        <v>4.45</v>
      </c>
      <c r="AF539" s="24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71">
        <f>IFERROR(AVERAGE('Dry_Litterbag Placem_Collection'!N100,'Dry_Litterbag Placem_Collection'!Q100),"")</f>
        <v>29.3</v>
      </c>
      <c r="AJ539" s="270">
        <f>INDEX(Coordinates!$B$2:$B$197,MATCH(G539,Coordinates!$J$2:$J$197,0))</f>
        <v>-2.3692249790000002</v>
      </c>
      <c r="AK539" s="270">
        <f>INDEX(Coordinates!$C$2:$C$197,MATCH(G539,Coordinates!$J$2:$J$197,0))</f>
        <v>34.060285989999997</v>
      </c>
      <c r="AL539" s="270" t="str">
        <f>IF(ISNUMBER(SEARCH("C", 'Dry_Litterbag Placem_Collection'!U100)),"YES","NO")</f>
        <v>NO</v>
      </c>
      <c r="AM539" s="270" t="str">
        <f>IF(ISNUMBER(SEARCH("H", 'Dry_Litterbag Placem_Collection'!U100)),"YES","NO")</f>
        <v>NO</v>
      </c>
      <c r="AN539" s="270" t="str">
        <f>IF(ISNUMBER(SEARCH("R", 'Dry_Litterbag Placem_Collection'!U100)),"YES","NO")</f>
        <v>NO</v>
      </c>
    </row>
    <row r="540" spans="1:40" ht="15" customHeight="1">
      <c r="A540" s="262" t="s">
        <v>2659</v>
      </c>
      <c r="B540" s="263">
        <f>'Dry_Litterbag Placem_Collection'!A101</f>
        <v>99</v>
      </c>
      <c r="C540" s="263" t="str">
        <f>'Dry_Litterbag Placem_Collection'!B101</f>
        <v xml:space="preserve">Mwantimba
</v>
      </c>
      <c r="D540" s="263" t="s">
        <v>2659</v>
      </c>
      <c r="E540" s="263" t="s">
        <v>2660</v>
      </c>
      <c r="F540" s="263">
        <v>1</v>
      </c>
      <c r="G540" s="264" t="str">
        <f>'Dry_Litterbag Placem_Collection'!C101</f>
        <v>Wet_Ag1_T3</v>
      </c>
      <c r="H540" s="273" t="s">
        <v>3651</v>
      </c>
      <c r="I540" s="266" t="s">
        <v>1147</v>
      </c>
      <c r="J540" s="263" t="str">
        <f>IF(ISBLANK('Dry_Litterbag Placem_Collection'!L101),"","G"&amp;""&amp;'Dry_Litterbag Placem_Collection'!L101)</f>
        <v/>
      </c>
      <c r="K540" s="267" t="str">
        <f>IFERROR(INDEX('Green_rooibos initial weight'!$C$5:$C$1749,MATCH(J540, 'Green_rooibos initial weight'!$A$5:$A$1749,0)),"")</f>
        <v/>
      </c>
      <c r="L540" s="267" t="str">
        <f>IFERROR(K540-(TBIcalc!$Q$9+TBIcalc!$Q$10),"")</f>
        <v/>
      </c>
      <c r="M540" s="391">
        <f>AVERAGE(Ashed_controlls!$K$2:$K$11)</f>
        <v>5.5147656768714146</v>
      </c>
      <c r="N540" s="267" t="str">
        <f t="shared" si="41"/>
        <v/>
      </c>
      <c r="O540" s="267" t="str">
        <f>IF(IFERROR(INDEX('Both teabags AfterDry'!$D$3:$D$900,MATCH(J540,'Both teabags AfterDry'!$A$3:$A$900,0)),"")="","",(IFERROR(INDEX('Both teabags AfterDry'!$D$3:$D$900,MATCH(J540,'Both teabags AfterDry'!$A$3:$A$900,0)),"")))</f>
        <v/>
      </c>
      <c r="P540" s="267" t="str">
        <f>IFERROR(IF(O540&gt;0,O540-(TBIcalc!$Q$9),""),"")</f>
        <v/>
      </c>
      <c r="Q540" s="278" t="str">
        <f>IFERROR(INDEX('Ashed teabags dry'!$K$2:$K$825,MATCH(J540,'Ashed teabags dry'!$A$2:$A$825,0)),"")</f>
        <v/>
      </c>
      <c r="R540" s="278" t="str">
        <f t="shared" si="42"/>
        <v/>
      </c>
      <c r="S540" s="268">
        <f>'Dry_Litterbag Placem_Collection'!E101</f>
        <v>0</v>
      </c>
      <c r="T540" s="268" t="str">
        <f>IF('Dry_Litterbag Placem_Collection'!G101="","",'Dry_Litterbag Placem_Collection'!G101)</f>
        <v/>
      </c>
      <c r="U540" s="269" t="str">
        <f t="shared" si="40"/>
        <v/>
      </c>
      <c r="V540" s="267" t="str">
        <f t="shared" si="43"/>
        <v/>
      </c>
      <c r="W540" s="267" t="str">
        <f t="shared" si="44"/>
        <v/>
      </c>
      <c r="X540" s="271" t="str">
        <f>IFERROR(INDEX(Rainfall_Dry!$O$2:$O$217,MATCH(B540, Rainfall_Dry!$A$2:$A$217,0)),"")</f>
        <v/>
      </c>
      <c r="Y540" s="260">
        <v>45.96</v>
      </c>
      <c r="Z540" s="260">
        <v>14.920000000000003</v>
      </c>
      <c r="AA540" s="260">
        <v>39.119999999999997</v>
      </c>
      <c r="AB540" s="261" t="s">
        <v>2673</v>
      </c>
      <c r="AC540" s="260">
        <v>4.0374568753080302</v>
      </c>
      <c r="AD540">
        <f>IF('WetLitterbags placem_collection'!AB101="","",'WetLitterbags placem_collection'!AB101)</f>
        <v>5.0999999999999996</v>
      </c>
      <c r="AE540">
        <f>IF('WetLitterbags placem_collection'!Z101="","",'WetLitterbags placem_collection'!Z101)</f>
        <v>2.2999999999999998</v>
      </c>
      <c r="AF540" s="24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71" t="str">
        <f>IFERROR(AVERAGE('Dry_Litterbag Placem_Collection'!N101,'Dry_Litterbag Placem_Collection'!Q101),"")</f>
        <v/>
      </c>
      <c r="AJ540" s="270">
        <f>INDEX(Coordinates!$B$2:$B$197,MATCH(G540,Coordinates!$J$2:$J$197,0))</f>
        <v>-2.369284993</v>
      </c>
      <c r="AK540" s="270">
        <f>INDEX(Coordinates!$C$2:$C$197,MATCH(G540,Coordinates!$J$2:$J$197,0))</f>
        <v>34.06028104</v>
      </c>
      <c r="AL540" s="270" t="str">
        <f>IF(ISNUMBER(SEARCH("C", 'Dry_Litterbag Placem_Collection'!U101)),"YES","NO")</f>
        <v>NO</v>
      </c>
      <c r="AM540" s="270" t="str">
        <f>IF(ISNUMBER(SEARCH("H", 'Dry_Litterbag Placem_Collection'!U101)),"YES","NO")</f>
        <v>NO</v>
      </c>
      <c r="AN540" s="270" t="str">
        <f>IF(ISNUMBER(SEARCH("R", 'Dry_Litterbag Placem_Collection'!U101)),"YES","NO")</f>
        <v>NO</v>
      </c>
    </row>
    <row r="541" spans="1:40" ht="15" customHeight="1">
      <c r="A541" s="262" t="s">
        <v>2659</v>
      </c>
      <c r="B541" s="263">
        <f>'Dry_Litterbag Placem_Collection'!A102</f>
        <v>100</v>
      </c>
      <c r="C541" s="263" t="str">
        <f>'Dry_Litterbag Placem_Collection'!B102</f>
        <v xml:space="preserve">Mwantimba
</v>
      </c>
      <c r="D541" s="263" t="s">
        <v>2659</v>
      </c>
      <c r="E541" s="263" t="s">
        <v>2660</v>
      </c>
      <c r="F541" s="263">
        <v>1</v>
      </c>
      <c r="G541" s="264" t="str">
        <f>'Dry_Litterbag Placem_Collection'!C102</f>
        <v>Wet_Ag1_T4</v>
      </c>
      <c r="H541" s="273" t="s">
        <v>3651</v>
      </c>
      <c r="I541" s="266" t="s">
        <v>1147</v>
      </c>
      <c r="J541" s="263" t="str">
        <f>IF(ISBLANK('Dry_Litterbag Placem_Collection'!L102),"","G"&amp;""&amp;'Dry_Litterbag Placem_Collection'!L102)</f>
        <v>G187</v>
      </c>
      <c r="K541" s="267">
        <f>IFERROR(INDEX('Green_rooibos initial weight'!$C$5:$C$1749,MATCH(J541, 'Green_rooibos initial weight'!$A$5:$A$1749,0)),"")</f>
        <v>1.996</v>
      </c>
      <c r="L541" s="267">
        <f>IFERROR(K541-(TBIcalc!$Q$9+TBIcalc!$Q$10),"")</f>
        <v>1.7462</v>
      </c>
      <c r="M541" s="391">
        <f>AVERAGE(Ashed_controlls!$K$2:$K$11)</f>
        <v>5.5147656768714146</v>
      </c>
      <c r="N541" s="267">
        <f t="shared" si="41"/>
        <v>1.6499011617504713</v>
      </c>
      <c r="O541" s="267">
        <f>IF(IFERROR(INDEX('Both teabags AfterDry'!$D$3:$D$900,MATCH(J541,'Both teabags AfterDry'!$A$3:$A$900,0)),"")="","",(IFERROR(INDEX('Both teabags AfterDry'!$D$3:$D$900,MATCH(J541,'Both teabags AfterDry'!$A$3:$A$900,0)),"")))</f>
        <v>1.1655</v>
      </c>
      <c r="P541" s="267">
        <f>IFERROR(IF(O541&gt;0,O541-(TBIcalc!$Q$9),""),"")</f>
        <v>1.0148999999999999</v>
      </c>
      <c r="Q541" s="278">
        <f>IFERROR(INDEX('Ashed teabags dry'!$K$2:$K$825,MATCH(J541,'Ashed teabags dry'!$A$2:$A$825,0)),"")</f>
        <v>10.999039385206627</v>
      </c>
      <c r="R541" s="278">
        <f t="shared" si="42"/>
        <v>0.90327074927953788</v>
      </c>
      <c r="S541" s="268">
        <f>'Dry_Litterbag Placem_Collection'!E102</f>
        <v>42939</v>
      </c>
      <c r="T541" s="268">
        <f>IF('Dry_Litterbag Placem_Collection'!G102="","",'Dry_Litterbag Placem_Collection'!G102)</f>
        <v>43010</v>
      </c>
      <c r="U541" s="269">
        <f t="shared" si="40"/>
        <v>71</v>
      </c>
      <c r="V541" s="267">
        <f t="shared" si="43"/>
        <v>0.73130000000000006</v>
      </c>
      <c r="W541" s="267">
        <f t="shared" si="44"/>
        <v>0.74663041247093342</v>
      </c>
      <c r="X541" s="271">
        <f>IFERROR(INDEX(Rainfall_Dry!$O$2:$O$217,MATCH(B541, Rainfall_Dry!$A$2:$A$217,0)),"")</f>
        <v>137.19979645800001</v>
      </c>
      <c r="Y541" s="260">
        <v>45.96</v>
      </c>
      <c r="Z541" s="260">
        <v>14.920000000000003</v>
      </c>
      <c r="AA541" s="260">
        <v>39.119999999999997</v>
      </c>
      <c r="AB541" s="261" t="s">
        <v>2673</v>
      </c>
      <c r="AC541" s="260">
        <v>5.0374568753080302</v>
      </c>
      <c r="AD541">
        <f>IF('WetLitterbags placem_collection'!AB102="","",'WetLitterbags placem_collection'!AB102)</f>
        <v>1.6</v>
      </c>
      <c r="AE541">
        <f>IF('WetLitterbags placem_collection'!Z102="","",'WetLitterbags placem_collection'!Z102)</f>
        <v>15</v>
      </c>
      <c r="AF541" s="24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71">
        <f>IFERROR(AVERAGE('Dry_Litterbag Placem_Collection'!N102,'Dry_Litterbag Placem_Collection'!Q102),"")</f>
        <v>29.1</v>
      </c>
      <c r="AJ541" s="270">
        <f>INDEX(Coordinates!$B$2:$B$197,MATCH(G541,Coordinates!$J$2:$J$197,0))</f>
        <v>-2.3691989950000001</v>
      </c>
      <c r="AK541" s="270">
        <f>INDEX(Coordinates!$C$2:$C$197,MATCH(G541,Coordinates!$J$2:$J$197,0))</f>
        <v>34.060208029999998</v>
      </c>
      <c r="AL541" s="270" t="str">
        <f>IF(ISNUMBER(SEARCH("C", 'Dry_Litterbag Placem_Collection'!U102)),"YES","NO")</f>
        <v>NO</v>
      </c>
      <c r="AM541" s="270" t="str">
        <f>IF(ISNUMBER(SEARCH("H", 'Dry_Litterbag Placem_Collection'!U102)),"YES","NO")</f>
        <v>NO</v>
      </c>
      <c r="AN541" s="270" t="str">
        <f>IF(ISNUMBER(SEARCH("R", 'Dry_Litterbag Placem_Collection'!U102)),"YES","NO")</f>
        <v>NO</v>
      </c>
    </row>
    <row r="542" spans="1:40" ht="15" customHeight="1">
      <c r="A542" s="262" t="s">
        <v>2659</v>
      </c>
      <c r="B542" s="263">
        <f>'Dry_Litterbag Placem_Collection'!A103</f>
        <v>101</v>
      </c>
      <c r="C542" s="263" t="str">
        <f>'Dry_Litterbag Placem_Collection'!B103</f>
        <v xml:space="preserve">Mwantimba
</v>
      </c>
      <c r="D542" s="263" t="s">
        <v>2659</v>
      </c>
      <c r="E542" s="263" t="s">
        <v>2660</v>
      </c>
      <c r="F542" s="263">
        <v>1</v>
      </c>
      <c r="G542" s="264" t="str">
        <f>'Dry_Litterbag Placem_Collection'!C103</f>
        <v>Wet_Ag1_T5</v>
      </c>
      <c r="H542" s="273" t="s">
        <v>3651</v>
      </c>
      <c r="I542" s="266" t="s">
        <v>1147</v>
      </c>
      <c r="J542" s="263" t="str">
        <f>IF(ISBLANK('Dry_Litterbag Placem_Collection'!L103),"","G"&amp;""&amp;'Dry_Litterbag Placem_Collection'!L103)</f>
        <v>G398</v>
      </c>
      <c r="K542" s="267">
        <f>IFERROR(INDEX('Green_rooibos initial weight'!$C$5:$C$1749,MATCH(J542, 'Green_rooibos initial weight'!$A$5:$A$1749,0)),"")</f>
        <v>1.9870000000000001</v>
      </c>
      <c r="L542" s="267">
        <f>IFERROR(K542-(TBIcalc!$Q$9+TBIcalc!$Q$10),"")</f>
        <v>1.7372000000000001</v>
      </c>
      <c r="M542" s="391">
        <f>AVERAGE(Ashed_controlls!$K$2:$K$11)</f>
        <v>5.5147656768714146</v>
      </c>
      <c r="N542" s="267">
        <f t="shared" si="41"/>
        <v>1.64139749066139</v>
      </c>
      <c r="O542" s="267">
        <f>IF(IFERROR(INDEX('Both teabags AfterDry'!$D$3:$D$900,MATCH(J542,'Both teabags AfterDry'!$A$3:$A$900,0)),"")="","",(IFERROR(INDEX('Both teabags AfterDry'!$D$3:$D$900,MATCH(J542,'Both teabags AfterDry'!$A$3:$A$900,0)),"")))</f>
        <v>1.0217000000000001</v>
      </c>
      <c r="P542" s="267">
        <f>IFERROR(IF(O542&gt;0,O542-(TBIcalc!$Q$9),""),"")</f>
        <v>0.87109999999999999</v>
      </c>
      <c r="Q542" s="278">
        <f>IFERROR(INDEX('Ashed teabags dry'!$K$2:$K$825,MATCH(J542,'Ashed teabags dry'!$A$2:$A$825,0)),"")</f>
        <v>14.119832791454268</v>
      </c>
      <c r="R542" s="278">
        <f t="shared" si="42"/>
        <v>0.74810213655364188</v>
      </c>
      <c r="S542" s="268">
        <f>'Dry_Litterbag Placem_Collection'!E103</f>
        <v>42939</v>
      </c>
      <c r="T542" s="268">
        <f>IF('Dry_Litterbag Placem_Collection'!G103="","",'Dry_Litterbag Placem_Collection'!G103)</f>
        <v>43010</v>
      </c>
      <c r="U542" s="269">
        <f t="shared" si="40"/>
        <v>71</v>
      </c>
      <c r="V542" s="267">
        <f t="shared" si="43"/>
        <v>0.86610000000000009</v>
      </c>
      <c r="W542" s="267">
        <f t="shared" si="44"/>
        <v>0.89329535410774807</v>
      </c>
      <c r="X542" s="271">
        <f>IFERROR(INDEX(Rainfall_Dry!$O$2:$O$217,MATCH(B542, Rainfall_Dry!$A$2:$A$217,0)),"")</f>
        <v>137.19979645800001</v>
      </c>
      <c r="Y542" s="260">
        <v>45.96</v>
      </c>
      <c r="Z542" s="260">
        <v>14.920000000000003</v>
      </c>
      <c r="AA542" s="260">
        <v>39.119999999999997</v>
      </c>
      <c r="AB542" s="261" t="s">
        <v>2673</v>
      </c>
      <c r="AC542" s="260">
        <v>6.0374568753080302</v>
      </c>
      <c r="AD542">
        <f>IF('WetLitterbags placem_collection'!AB103="","",'WetLitterbags placem_collection'!AB103)</f>
        <v>4.3499999999999996</v>
      </c>
      <c r="AE542">
        <f>IF('WetLitterbags placem_collection'!Z103="","",'WetLitterbags placem_collection'!Z103)</f>
        <v>17</v>
      </c>
      <c r="AF542" s="24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71">
        <f>IFERROR(AVERAGE('Dry_Litterbag Placem_Collection'!N103,'Dry_Litterbag Placem_Collection'!Q103),"")</f>
        <v>29.549999999999997</v>
      </c>
      <c r="AJ542" s="270">
        <f>INDEX(Coordinates!$B$2:$B$197,MATCH(G542,Coordinates!$J$2:$J$197,0))</f>
        <v>-2.3691900260000001</v>
      </c>
      <c r="AK542" s="270">
        <f>INDEX(Coordinates!$C$2:$C$197,MATCH(G542,Coordinates!$J$2:$J$197,0))</f>
        <v>34.060177019999998</v>
      </c>
      <c r="AL542" s="270" t="str">
        <f>IF(ISNUMBER(SEARCH("C", 'Dry_Litterbag Placem_Collection'!U103)),"YES","NO")</f>
        <v>NO</v>
      </c>
      <c r="AM542" s="270" t="str">
        <f>IF(ISNUMBER(SEARCH("H", 'Dry_Litterbag Placem_Collection'!U103)),"YES","NO")</f>
        <v>NO</v>
      </c>
      <c r="AN542" s="270" t="str">
        <f>IF(ISNUMBER(SEARCH("R", 'Dry_Litterbag Placem_Collection'!U103)),"YES","NO")</f>
        <v>NO</v>
      </c>
    </row>
    <row r="543" spans="1:40" ht="15" customHeight="1">
      <c r="A543" s="262" t="s">
        <v>2659</v>
      </c>
      <c r="B543" s="263">
        <f>'Dry_Litterbag Placem_Collection'!A104</f>
        <v>102</v>
      </c>
      <c r="C543" s="263" t="str">
        <f>'Dry_Litterbag Placem_Collection'!B104</f>
        <v xml:space="preserve">Mwantimba
</v>
      </c>
      <c r="D543" s="263" t="s">
        <v>2659</v>
      </c>
      <c r="E543" s="263" t="s">
        <v>2660</v>
      </c>
      <c r="F543" s="263">
        <v>1</v>
      </c>
      <c r="G543" s="264" t="str">
        <f>'Dry_Litterbag Placem_Collection'!C104</f>
        <v>Wet_Ag1_T6</v>
      </c>
      <c r="H543" s="273" t="s">
        <v>3651</v>
      </c>
      <c r="I543" s="266" t="s">
        <v>1147</v>
      </c>
      <c r="J543" s="263" t="str">
        <f>IF(ISBLANK('Dry_Litterbag Placem_Collection'!L104),"","G"&amp;""&amp;'Dry_Litterbag Placem_Collection'!L104)</f>
        <v>G120</v>
      </c>
      <c r="K543" s="267">
        <f>IFERROR(INDEX('Green_rooibos initial weight'!$C$5:$C$1749,MATCH(J543, 'Green_rooibos initial weight'!$A$5:$A$1749,0)),"")</f>
        <v>2.0449999999999999</v>
      </c>
      <c r="L543" s="267">
        <f>IFERROR(K543-(TBIcalc!$Q$9+TBIcalc!$Q$10),"")</f>
        <v>1.7951999999999999</v>
      </c>
      <c r="M543" s="391">
        <f>AVERAGE(Ashed_controlls!$K$2:$K$11)</f>
        <v>5.5147656768714146</v>
      </c>
      <c r="N543" s="267">
        <f t="shared" si="41"/>
        <v>1.6961989265688042</v>
      </c>
      <c r="O543" s="267">
        <f>IF(IFERROR(INDEX('Both teabags AfterDry'!$D$3:$D$900,MATCH(J543,'Both teabags AfterDry'!$A$3:$A$900,0)),"")="","",(IFERROR(INDEX('Both teabags AfterDry'!$D$3:$D$900,MATCH(J543,'Both teabags AfterDry'!$A$3:$A$900,0)),"")))</f>
        <v>1.0569999999999999</v>
      </c>
      <c r="P543" s="267">
        <f>IFERROR(IF(O543&gt;0,O543-(TBIcalc!$Q$9),""),"")</f>
        <v>0.90639999999999987</v>
      </c>
      <c r="Q543" s="278">
        <f>IFERROR(INDEX('Ashed teabags dry'!$K$2:$K$825,MATCH(J543,'Ashed teabags dry'!$A$2:$A$825,0)),"")</f>
        <v>10.580708661416786</v>
      </c>
      <c r="R543" s="278">
        <f t="shared" si="42"/>
        <v>0.81049645669291814</v>
      </c>
      <c r="S543" s="268">
        <f>'Dry_Litterbag Placem_Collection'!E104</f>
        <v>42939</v>
      </c>
      <c r="T543" s="268">
        <f>IF('Dry_Litterbag Placem_Collection'!G104="","",'Dry_Litterbag Placem_Collection'!G104)</f>
        <v>43010</v>
      </c>
      <c r="U543" s="269">
        <f t="shared" si="40"/>
        <v>71</v>
      </c>
      <c r="V543" s="267">
        <f t="shared" si="43"/>
        <v>0.88880000000000003</v>
      </c>
      <c r="W543" s="267">
        <f t="shared" si="44"/>
        <v>0.88570246987588608</v>
      </c>
      <c r="X543" s="271">
        <f>IFERROR(INDEX(Rainfall_Dry!$O$2:$O$217,MATCH(B543, Rainfall_Dry!$A$2:$A$217,0)),"")</f>
        <v>137.19979645800001</v>
      </c>
      <c r="Y543" s="260">
        <v>45.96</v>
      </c>
      <c r="Z543" s="260">
        <v>14.920000000000003</v>
      </c>
      <c r="AA543" s="260">
        <v>39.119999999999997</v>
      </c>
      <c r="AB543" s="261" t="s">
        <v>2673</v>
      </c>
      <c r="AC543" s="260">
        <v>7.0374568753080302</v>
      </c>
      <c r="AD543">
        <f>IF('WetLitterbags placem_collection'!AB104="","",'WetLitterbags placem_collection'!AB104)</f>
        <v>7.7</v>
      </c>
      <c r="AE543">
        <f>IF('WetLitterbags placem_collection'!Z104="","",'WetLitterbags placem_collection'!Z104)</f>
        <v>21</v>
      </c>
      <c r="AF543" s="24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71">
        <f>IFERROR(AVERAGE('Dry_Litterbag Placem_Collection'!N104,'Dry_Litterbag Placem_Collection'!Q104),"")</f>
        <v>29.05</v>
      </c>
      <c r="AJ543" s="270">
        <f>INDEX(Coordinates!$B$2:$B$197,MATCH(G543,Coordinates!$J$2:$J$197,0))</f>
        <v>-2.3691350409999998</v>
      </c>
      <c r="AK543" s="270">
        <f>INDEX(Coordinates!$C$2:$C$197,MATCH(G543,Coordinates!$J$2:$J$197,0))</f>
        <v>34.06018297</v>
      </c>
      <c r="AL543" s="270" t="str">
        <f>IF(ISNUMBER(SEARCH("C", 'Dry_Litterbag Placem_Collection'!U104)),"YES","NO")</f>
        <v>NO</v>
      </c>
      <c r="AM543" s="270" t="str">
        <f>IF(ISNUMBER(SEARCH("H", 'Dry_Litterbag Placem_Collection'!U104)),"YES","NO")</f>
        <v>NO</v>
      </c>
      <c r="AN543" s="270" t="str">
        <f>IF(ISNUMBER(SEARCH("R", 'Dry_Litterbag Placem_Collection'!U104)),"YES","NO")</f>
        <v>NO</v>
      </c>
    </row>
    <row r="544" spans="1:40" ht="15" customHeight="1">
      <c r="A544" s="262" t="s">
        <v>2659</v>
      </c>
      <c r="B544" s="263">
        <f>'Dry_Litterbag Placem_Collection'!A105</f>
        <v>103</v>
      </c>
      <c r="C544" s="263" t="str">
        <f>'Dry_Litterbag Placem_Collection'!B105</f>
        <v xml:space="preserve">Mwantimba
</v>
      </c>
      <c r="D544" s="263" t="s">
        <v>2659</v>
      </c>
      <c r="E544" s="263" t="s">
        <v>2660</v>
      </c>
      <c r="F544" s="263">
        <v>1</v>
      </c>
      <c r="G544" s="264" t="str">
        <f>'Dry_Litterbag Placem_Collection'!C105</f>
        <v>Wet_Ag1_T7</v>
      </c>
      <c r="H544" s="273" t="s">
        <v>3651</v>
      </c>
      <c r="I544" s="266" t="s">
        <v>1147</v>
      </c>
      <c r="J544" s="263" t="str">
        <f>IF(ISBLANK('Dry_Litterbag Placem_Collection'!L105),"","G"&amp;""&amp;'Dry_Litterbag Placem_Collection'!L105)</f>
        <v>G145</v>
      </c>
      <c r="K544" s="267">
        <f>IFERROR(INDEX('Green_rooibos initial weight'!$C$5:$C$1749,MATCH(J544, 'Green_rooibos initial weight'!$A$5:$A$1749,0)),"")</f>
        <v>2.044</v>
      </c>
      <c r="L544" s="267">
        <f>IFERROR(K544-(TBIcalc!$Q$9+TBIcalc!$Q$10),"")</f>
        <v>1.7942</v>
      </c>
      <c r="M544" s="391">
        <f>AVERAGE(Ashed_controlls!$K$2:$K$11)</f>
        <v>5.5147656768714146</v>
      </c>
      <c r="N544" s="267">
        <f t="shared" si="41"/>
        <v>1.6952540742255731</v>
      </c>
      <c r="O544" s="267">
        <f>IF(IFERROR(INDEX('Both teabags AfterDry'!$D$3:$D$900,MATCH(J544,'Both teabags AfterDry'!$A$3:$A$900,0)),"")="","",(IFERROR(INDEX('Both teabags AfterDry'!$D$3:$D$900,MATCH(J544,'Both teabags AfterDry'!$A$3:$A$900,0)),"")))</f>
        <v>1.0654999999999999</v>
      </c>
      <c r="P544" s="267">
        <f>IFERROR(IF(O544&gt;0,O544-(TBIcalc!$Q$9),""),"")</f>
        <v>0.91489999999999982</v>
      </c>
      <c r="Q544" s="278">
        <f>IFERROR(INDEX('Ashed teabags dry'!$K$2:$K$825,MATCH(J544,'Ashed teabags dry'!$A$2:$A$825,0)),"")</f>
        <v>11.406672678088214</v>
      </c>
      <c r="R544" s="278">
        <f t="shared" si="42"/>
        <v>0.81054035166817084</v>
      </c>
      <c r="S544" s="268">
        <f>'Dry_Litterbag Placem_Collection'!E105</f>
        <v>42939</v>
      </c>
      <c r="T544" s="268">
        <f>IF('Dry_Litterbag Placem_Collection'!G105="","",'Dry_Litterbag Placem_Collection'!G105)</f>
        <v>43010</v>
      </c>
      <c r="U544" s="269">
        <f t="shared" si="40"/>
        <v>71</v>
      </c>
      <c r="V544" s="267">
        <f t="shared" si="43"/>
        <v>0.87930000000000019</v>
      </c>
      <c r="W544" s="267">
        <f t="shared" si="44"/>
        <v>0.88471372255740222</v>
      </c>
      <c r="X544" s="271">
        <f>IFERROR(INDEX(Rainfall_Dry!$O$2:$O$217,MATCH(B544, Rainfall_Dry!$A$2:$A$217,0)),"")</f>
        <v>137.19979645800001</v>
      </c>
      <c r="Y544" s="260">
        <v>45.96</v>
      </c>
      <c r="Z544" s="260">
        <v>14.920000000000003</v>
      </c>
      <c r="AA544" s="260">
        <v>39.119999999999997</v>
      </c>
      <c r="AB544" s="261" t="s">
        <v>2673</v>
      </c>
      <c r="AC544" s="260">
        <v>8.0374568753080293</v>
      </c>
      <c r="AD544">
        <f>IF('WetLitterbags placem_collection'!AB105="","",'WetLitterbags placem_collection'!AB105)</f>
        <v>3.25</v>
      </c>
      <c r="AE544">
        <f>IF('WetLitterbags placem_collection'!Z105="","",'WetLitterbags placem_collection'!Z105)</f>
        <v>16</v>
      </c>
      <c r="AF544" s="24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71">
        <f>IFERROR(AVERAGE('Dry_Litterbag Placem_Collection'!N105,'Dry_Litterbag Placem_Collection'!Q105),"")</f>
        <v>28.799999999999997</v>
      </c>
      <c r="AJ544" s="270">
        <f>INDEX(Coordinates!$B$2:$B$197,MATCH(G544,Coordinates!$J$2:$J$197,0))</f>
        <v>-2.3691330289999999</v>
      </c>
      <c r="AK544" s="270">
        <f>INDEX(Coordinates!$C$2:$C$197,MATCH(G544,Coordinates!$J$2:$J$197,0))</f>
        <v>34.060233009999997</v>
      </c>
      <c r="AL544" s="270" t="str">
        <f>IF(ISNUMBER(SEARCH("C", 'Dry_Litterbag Placem_Collection'!U105)),"YES","NO")</f>
        <v>NO</v>
      </c>
      <c r="AM544" s="270" t="str">
        <f>IF(ISNUMBER(SEARCH("H", 'Dry_Litterbag Placem_Collection'!U105)),"YES","NO")</f>
        <v>NO</v>
      </c>
      <c r="AN544" s="270" t="str">
        <f>IF(ISNUMBER(SEARCH("R", 'Dry_Litterbag Placem_Collection'!U105)),"YES","NO")</f>
        <v>NO</v>
      </c>
    </row>
    <row r="545" spans="1:40" ht="15" customHeight="1">
      <c r="A545" s="262" t="s">
        <v>2659</v>
      </c>
      <c r="B545" s="263">
        <f>'Dry_Litterbag Placem_Collection'!A106</f>
        <v>104</v>
      </c>
      <c r="C545" s="263" t="str">
        <f>'Dry_Litterbag Placem_Collection'!B106</f>
        <v xml:space="preserve">Mwantimba
</v>
      </c>
      <c r="D545" s="263" t="s">
        <v>2659</v>
      </c>
      <c r="E545" s="263" t="s">
        <v>2660</v>
      </c>
      <c r="F545" s="263">
        <v>1</v>
      </c>
      <c r="G545" s="264" t="str">
        <f>'Dry_Litterbag Placem_Collection'!C106</f>
        <v>Wet_Ag1_T8</v>
      </c>
      <c r="H545" s="273" t="s">
        <v>3651</v>
      </c>
      <c r="I545" s="266" t="s">
        <v>1147</v>
      </c>
      <c r="J545" s="263" t="str">
        <f>IF(ISBLANK('Dry_Litterbag Placem_Collection'!L106),"","G"&amp;""&amp;'Dry_Litterbag Placem_Collection'!L106)</f>
        <v>G76</v>
      </c>
      <c r="K545" s="267">
        <f>IFERROR(INDEX('Green_rooibos initial weight'!$C$5:$C$1749,MATCH(J545, 'Green_rooibos initial weight'!$A$5:$A$1749,0)),"")</f>
        <v>2.0129999999999999</v>
      </c>
      <c r="L545" s="267">
        <f>IFERROR(K545-(TBIcalc!$Q$9+TBIcalc!$Q$10),"")</f>
        <v>1.7631999999999999</v>
      </c>
      <c r="M545" s="391">
        <f>AVERAGE(Ashed_controlls!$K$2:$K$11)</f>
        <v>5.5147656768714146</v>
      </c>
      <c r="N545" s="267">
        <f t="shared" si="41"/>
        <v>1.665963651585403</v>
      </c>
      <c r="O545" s="267">
        <f>IF(IFERROR(INDEX('Both teabags AfterDry'!$D$3:$D$900,MATCH(J545,'Both teabags AfterDry'!$A$3:$A$900,0)),"")="","",(IFERROR(INDEX('Both teabags AfterDry'!$D$3:$D$900,MATCH(J545,'Both teabags AfterDry'!$A$3:$A$900,0)),"")))</f>
        <v>1.2876000000000001</v>
      </c>
      <c r="P545" s="267">
        <f>IFERROR(IF(O545&gt;0,O545-(TBIcalc!$Q$9),""),"")</f>
        <v>1.137</v>
      </c>
      <c r="Q545" s="278">
        <f>IFERROR(INDEX('Ashed teabags dry'!$K$2:$K$825,MATCH(J545,'Ashed teabags dry'!$A$2:$A$825,0)),"")</f>
        <v>9.59232613908814</v>
      </c>
      <c r="R545" s="278">
        <f t="shared" si="42"/>
        <v>1.0279352517985678</v>
      </c>
      <c r="S545" s="268">
        <f>'Dry_Litterbag Placem_Collection'!E106</f>
        <v>42939</v>
      </c>
      <c r="T545" s="268">
        <f>IF('Dry_Litterbag Placem_Collection'!G106="","",'Dry_Litterbag Placem_Collection'!G106)</f>
        <v>43010</v>
      </c>
      <c r="U545" s="269">
        <f t="shared" si="40"/>
        <v>71</v>
      </c>
      <c r="V545" s="267">
        <f t="shared" si="43"/>
        <v>0.62619999999999987</v>
      </c>
      <c r="W545" s="267">
        <f t="shared" si="44"/>
        <v>0.63802839978683523</v>
      </c>
      <c r="X545" s="271">
        <f>IFERROR(INDEX(Rainfall_Dry!$O$2:$O$217,MATCH(B545, Rainfall_Dry!$A$2:$A$217,0)),"")</f>
        <v>137.19979645800001</v>
      </c>
      <c r="Y545" s="260">
        <v>45.96</v>
      </c>
      <c r="Z545" s="260">
        <v>14.920000000000003</v>
      </c>
      <c r="AA545" s="260">
        <v>39.119999999999997</v>
      </c>
      <c r="AB545" s="261" t="s">
        <v>2673</v>
      </c>
      <c r="AC545" s="260">
        <v>9.0374568753080293</v>
      </c>
      <c r="AD545">
        <f>IF('WetLitterbags placem_collection'!AB106="","",'WetLitterbags placem_collection'!AB106)</f>
        <v>10.5</v>
      </c>
      <c r="AE545">
        <f>IF('WetLitterbags placem_collection'!Z106="","",'WetLitterbags placem_collection'!Z106)</f>
        <v>17</v>
      </c>
      <c r="AF545" s="24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71">
        <f>IFERROR(AVERAGE('Dry_Litterbag Placem_Collection'!N106,'Dry_Litterbag Placem_Collection'!Q106),"")</f>
        <v>28.05</v>
      </c>
      <c r="AJ545" s="270">
        <f>INDEX(Coordinates!$B$2:$B$197,MATCH(G545,Coordinates!$J$2:$J$197,0))</f>
        <v>-2.3692910280000001</v>
      </c>
      <c r="AK545" s="270">
        <f>INDEX(Coordinates!$C$2:$C$197,MATCH(G545,Coordinates!$J$2:$J$197,0))</f>
        <v>34.06016202</v>
      </c>
      <c r="AL545" s="270" t="str">
        <f>IF(ISNUMBER(SEARCH("C", 'Dry_Litterbag Placem_Collection'!U106)),"YES","NO")</f>
        <v>NO</v>
      </c>
      <c r="AM545" s="270" t="str">
        <f>IF(ISNUMBER(SEARCH("H", 'Dry_Litterbag Placem_Collection'!U106)),"YES","NO")</f>
        <v>NO</v>
      </c>
      <c r="AN545" s="270" t="str">
        <f>IF(ISNUMBER(SEARCH("R", 'Dry_Litterbag Placem_Collection'!U106)),"YES","NO")</f>
        <v>NO</v>
      </c>
    </row>
    <row r="546" spans="1:40" ht="15" customHeight="1">
      <c r="A546" s="262" t="s">
        <v>2659</v>
      </c>
      <c r="B546" s="263">
        <f>'Dry_Litterbag Placem_Collection'!A107</f>
        <v>105</v>
      </c>
      <c r="C546" s="263" t="str">
        <f>'Dry_Litterbag Placem_Collection'!B107</f>
        <v xml:space="preserve">Mwantimba
</v>
      </c>
      <c r="D546" s="263" t="s">
        <v>2659</v>
      </c>
      <c r="E546" s="263" t="s">
        <v>2660</v>
      </c>
      <c r="F546" s="263">
        <v>2</v>
      </c>
      <c r="G546" s="264" t="str">
        <f>'Dry_Litterbag Placem_Collection'!C107</f>
        <v>Wet_Ag2_T1</v>
      </c>
      <c r="H546" s="273" t="s">
        <v>3651</v>
      </c>
      <c r="I546" s="266" t="s">
        <v>1147</v>
      </c>
      <c r="J546" s="263" t="str">
        <f>IF(ISBLANK('Dry_Litterbag Placem_Collection'!L107),"","G"&amp;""&amp;'Dry_Litterbag Placem_Collection'!L107)</f>
        <v>G57</v>
      </c>
      <c r="K546" s="267">
        <f>IFERROR(INDEX('Green_rooibos initial weight'!$C$5:$C$1749,MATCH(J546, 'Green_rooibos initial weight'!$A$5:$A$1749,0)),"")</f>
        <v>2.077</v>
      </c>
      <c r="L546" s="267">
        <f>IFERROR(K546-(TBIcalc!$Q$9+TBIcalc!$Q$10),"")</f>
        <v>1.8271999999999999</v>
      </c>
      <c r="M546" s="391">
        <f>AVERAGE(Ashed_controlls!$K$2:$K$11)</f>
        <v>5.5147656768714146</v>
      </c>
      <c r="N546" s="267">
        <f t="shared" si="41"/>
        <v>1.7264342015522054</v>
      </c>
      <c r="O546" s="267">
        <f>IF(IFERROR(INDEX('Both teabags AfterDry'!$D$3:$D$900,MATCH(J546,'Both teabags AfterDry'!$A$3:$A$900,0)),"")="","",(IFERROR(INDEX('Both teabags AfterDry'!$D$3:$D$900,MATCH(J546,'Both teabags AfterDry'!$A$3:$A$900,0)),"")))</f>
        <v>1.0114000000000001</v>
      </c>
      <c r="P546" s="267">
        <f>IFERROR(IF(O546&gt;0,O546-(TBIcalc!$Q$9),""),"")</f>
        <v>0.86080000000000001</v>
      </c>
      <c r="Q546" s="278">
        <f>IFERROR(INDEX('Ashed teabags dry'!$K$2:$K$825,MATCH(J546,'Ashed teabags dry'!$A$2:$A$825,0)),"")</f>
        <v>24.439461883408928</v>
      </c>
      <c r="R546" s="278">
        <f t="shared" si="42"/>
        <v>0.65042511210761589</v>
      </c>
      <c r="S546" s="268">
        <f>'Dry_Litterbag Placem_Collection'!E107</f>
        <v>42939</v>
      </c>
      <c r="T546" s="268">
        <f>IF('Dry_Litterbag Placem_Collection'!G107="","",'Dry_Litterbag Placem_Collection'!G107)</f>
        <v>43010</v>
      </c>
      <c r="U546" s="269">
        <f t="shared" si="40"/>
        <v>71</v>
      </c>
      <c r="V546" s="267">
        <f t="shared" si="43"/>
        <v>0.96639999999999993</v>
      </c>
      <c r="W546" s="267">
        <f t="shared" si="44"/>
        <v>1.0760090894445895</v>
      </c>
      <c r="X546" s="271">
        <f>IFERROR(INDEX(Rainfall_Dry!$O$2:$O$217,MATCH(B546, Rainfall_Dry!$A$2:$A$217,0)),"")</f>
        <v>137.19979645800001</v>
      </c>
      <c r="Y546" s="260">
        <v>34.344660194174757</v>
      </c>
      <c r="Z546" s="260">
        <v>19.22727272727273</v>
      </c>
      <c r="AA546" s="260">
        <v>46.428067078552509</v>
      </c>
      <c r="AB546" s="261" t="s">
        <v>2670</v>
      </c>
      <c r="AC546" s="260">
        <v>1.7452932479053718</v>
      </c>
      <c r="AD546">
        <f>IF('WetLitterbags placem_collection'!AB107="","",'WetLitterbags placem_collection'!AB107)</f>
        <v>5.5</v>
      </c>
      <c r="AE546">
        <f>IF('WetLitterbags placem_collection'!Z107="","",'WetLitterbags placem_collection'!Z107)</f>
        <v>23.5</v>
      </c>
      <c r="AF546" s="24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71">
        <f>IFERROR(AVERAGE('Dry_Litterbag Placem_Collection'!N107,'Dry_Litterbag Placem_Collection'!Q107),"")</f>
        <v>30.549999999999997</v>
      </c>
      <c r="AJ546" s="270">
        <f>INDEX(Coordinates!$B$2:$B$197,MATCH(G546,Coordinates!$J$2:$J$197,0))</f>
        <v>-2.3698080240000001</v>
      </c>
      <c r="AK546" s="270">
        <f>INDEX(Coordinates!$C$2:$C$197,MATCH(G546,Coordinates!$J$2:$J$197,0))</f>
        <v>34.059671010000002</v>
      </c>
      <c r="AL546" s="270" t="str">
        <f>IF(ISNUMBER(SEARCH("C", 'Dry_Litterbag Placem_Collection'!U107)),"YES","NO")</f>
        <v>NO</v>
      </c>
      <c r="AM546" s="270" t="str">
        <f>IF(ISNUMBER(SEARCH("H", 'Dry_Litterbag Placem_Collection'!U107)),"YES","NO")</f>
        <v>NO</v>
      </c>
      <c r="AN546" s="270" t="str">
        <f>IF(ISNUMBER(SEARCH("R", 'Dry_Litterbag Placem_Collection'!U107)),"YES","NO")</f>
        <v>NO</v>
      </c>
    </row>
    <row r="547" spans="1:40" ht="15" customHeight="1">
      <c r="A547" s="262" t="s">
        <v>2659</v>
      </c>
      <c r="B547" s="263">
        <f>'Dry_Litterbag Placem_Collection'!A108</f>
        <v>106</v>
      </c>
      <c r="C547" s="263" t="str">
        <f>'Dry_Litterbag Placem_Collection'!B108</f>
        <v xml:space="preserve">Mwantimba
</v>
      </c>
      <c r="D547" s="263" t="s">
        <v>2659</v>
      </c>
      <c r="E547" s="263" t="s">
        <v>2660</v>
      </c>
      <c r="F547" s="263">
        <v>2</v>
      </c>
      <c r="G547" s="264" t="str">
        <f>'Dry_Litterbag Placem_Collection'!C108</f>
        <v>Wet_Ag2_T2</v>
      </c>
      <c r="H547" s="273" t="s">
        <v>3651</v>
      </c>
      <c r="I547" s="266" t="s">
        <v>1147</v>
      </c>
      <c r="J547" s="263" t="str">
        <f>IF(ISBLANK('Dry_Litterbag Placem_Collection'!L108),"","G"&amp;""&amp;'Dry_Litterbag Placem_Collection'!L108)</f>
        <v>G167</v>
      </c>
      <c r="K547" s="267">
        <f>IFERROR(INDEX('Green_rooibos initial weight'!$C$5:$C$1749,MATCH(J547, 'Green_rooibos initial weight'!$A$5:$A$1749,0)),"")</f>
        <v>1.996</v>
      </c>
      <c r="L547" s="267">
        <f>IFERROR(K547-(TBIcalc!$Q$9+TBIcalc!$Q$10),"")</f>
        <v>1.7462</v>
      </c>
      <c r="M547" s="391">
        <f>AVERAGE(Ashed_controlls!$K$2:$K$11)</f>
        <v>5.5147656768714146</v>
      </c>
      <c r="N547" s="267">
        <f t="shared" si="41"/>
        <v>1.6499011617504713</v>
      </c>
      <c r="O547" s="267">
        <f>IF(IFERROR(INDEX('Both teabags AfterDry'!$D$3:$D$900,MATCH(J547,'Both teabags AfterDry'!$A$3:$A$900,0)),"")="","",(IFERROR(INDEX('Both teabags AfterDry'!$D$3:$D$900,MATCH(J547,'Both teabags AfterDry'!$A$3:$A$900,0)),"")))</f>
        <v>0.98309999999999997</v>
      </c>
      <c r="P547" s="267">
        <f>IFERROR(IF(O547&gt;0,O547-(TBIcalc!$Q$9),""),"")</f>
        <v>0.83250000000000002</v>
      </c>
      <c r="Q547" s="278">
        <f>IFERROR(INDEX('Ashed teabags dry'!$K$2:$K$825,MATCH(J547,'Ashed teabags dry'!$A$2:$A$825,0)),"")</f>
        <v>18.432769367765196</v>
      </c>
      <c r="R547" s="278">
        <f t="shared" si="42"/>
        <v>0.67904719501335475</v>
      </c>
      <c r="S547" s="268">
        <f>'Dry_Litterbag Placem_Collection'!E108</f>
        <v>42939</v>
      </c>
      <c r="T547" s="268">
        <f>IF('Dry_Litterbag Placem_Collection'!G108="","",'Dry_Litterbag Placem_Collection'!G108)</f>
        <v>43010</v>
      </c>
      <c r="U547" s="269">
        <f t="shared" si="40"/>
        <v>71</v>
      </c>
      <c r="V547" s="267">
        <f t="shared" si="43"/>
        <v>0.91369999999999996</v>
      </c>
      <c r="W547" s="267">
        <f t="shared" si="44"/>
        <v>0.97085396673711655</v>
      </c>
      <c r="X547" s="271">
        <f>IFERROR(INDEX(Rainfall_Dry!$O$2:$O$217,MATCH(B547, Rainfall_Dry!$A$2:$A$217,0)),"")</f>
        <v>137.19979645800001</v>
      </c>
      <c r="Y547" s="260">
        <v>34.344660194174757</v>
      </c>
      <c r="Z547" s="260">
        <v>19.22727272727273</v>
      </c>
      <c r="AA547" s="260">
        <v>46.428067078552509</v>
      </c>
      <c r="AB547" s="261" t="s">
        <v>2670</v>
      </c>
      <c r="AC547" s="260">
        <v>2.7452932479053702</v>
      </c>
      <c r="AD547">
        <f>IF('WetLitterbags placem_collection'!AB108="","",'WetLitterbags placem_collection'!AB108)</f>
        <v>8.6</v>
      </c>
      <c r="AE547">
        <f>IF('WetLitterbags placem_collection'!Z108="","",'WetLitterbags placem_collection'!Z108)</f>
        <v>17</v>
      </c>
      <c r="AF547" s="24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71">
        <f>IFERROR(AVERAGE('Dry_Litterbag Placem_Collection'!N108,'Dry_Litterbag Placem_Collection'!Q108),"")</f>
        <v>31.3</v>
      </c>
      <c r="AJ547" s="270">
        <f>INDEX(Coordinates!$B$2:$B$197,MATCH(G547,Coordinates!$J$2:$J$197,0))</f>
        <v>-2.3697620069999998</v>
      </c>
      <c r="AK547" s="270">
        <f>INDEX(Coordinates!$C$2:$C$197,MATCH(G547,Coordinates!$J$2:$J$197,0))</f>
        <v>34.059730010000003</v>
      </c>
      <c r="AL547" s="270" t="str">
        <f>IF(ISNUMBER(SEARCH("C", 'Dry_Litterbag Placem_Collection'!U108)),"YES","NO")</f>
        <v>NO</v>
      </c>
      <c r="AM547" s="270" t="str">
        <f>IF(ISNUMBER(SEARCH("H", 'Dry_Litterbag Placem_Collection'!U108)),"YES","NO")</f>
        <v>NO</v>
      </c>
      <c r="AN547" s="270" t="str">
        <f>IF(ISNUMBER(SEARCH("R", 'Dry_Litterbag Placem_Collection'!U108)),"YES","NO")</f>
        <v>NO</v>
      </c>
    </row>
    <row r="548" spans="1:40" ht="15" customHeight="1">
      <c r="A548" s="262" t="s">
        <v>2659</v>
      </c>
      <c r="B548" s="263">
        <f>'Dry_Litterbag Placem_Collection'!A109</f>
        <v>107</v>
      </c>
      <c r="C548" s="263" t="str">
        <f>'Dry_Litterbag Placem_Collection'!B109</f>
        <v xml:space="preserve">Mwantimba
</v>
      </c>
      <c r="D548" s="263" t="s">
        <v>2659</v>
      </c>
      <c r="E548" s="263" t="s">
        <v>2660</v>
      </c>
      <c r="F548" s="263">
        <v>2</v>
      </c>
      <c r="G548" s="264" t="str">
        <f>'Dry_Litterbag Placem_Collection'!C109</f>
        <v>Wet_Ag2_T3</v>
      </c>
      <c r="H548" s="273" t="s">
        <v>3651</v>
      </c>
      <c r="I548" s="266" t="s">
        <v>1147</v>
      </c>
      <c r="J548" s="263" t="str">
        <f>IF(ISBLANK('Dry_Litterbag Placem_Collection'!L109),"","G"&amp;""&amp;'Dry_Litterbag Placem_Collection'!L109)</f>
        <v>G208</v>
      </c>
      <c r="K548" s="267">
        <f>IFERROR(INDEX('Green_rooibos initial weight'!$C$5:$C$1749,MATCH(J548, 'Green_rooibos initial weight'!$A$5:$A$1749,0)),"")</f>
        <v>2.0019999999999998</v>
      </c>
      <c r="L548" s="267">
        <f>IFERROR(K548-(TBIcalc!$Q$9+TBIcalc!$Q$10),"")</f>
        <v>1.7521999999999998</v>
      </c>
      <c r="M548" s="391">
        <f>AVERAGE(Ashed_controlls!$K$2:$K$11)</f>
        <v>5.5147656768714146</v>
      </c>
      <c r="N548" s="267">
        <f t="shared" si="41"/>
        <v>1.6555702758098589</v>
      </c>
      <c r="O548" s="267" t="str">
        <f>IF(IFERROR(INDEX('Both teabags AfterDry'!$D$3:$D$900,MATCH(J548,'Both teabags AfterDry'!$A$3:$A$900,0)),"")="","",(IFERROR(INDEX('Both teabags AfterDry'!$D$3:$D$900,MATCH(J548,'Both teabags AfterDry'!$A$3:$A$900,0)),"")))</f>
        <v/>
      </c>
      <c r="P548" s="267" t="str">
        <f>IFERROR(IF(O548&gt;0,O548-(TBIcalc!$Q$9),""),"")</f>
        <v/>
      </c>
      <c r="Q548" s="278" t="str">
        <f>IFERROR(INDEX('Ashed teabags dry'!$K$2:$K$825,MATCH(J548,'Ashed teabags dry'!$A$2:$A$825,0)),"")</f>
        <v/>
      </c>
      <c r="R548" s="278" t="str">
        <f t="shared" si="42"/>
        <v/>
      </c>
      <c r="S548" s="268">
        <f>'Dry_Litterbag Placem_Collection'!E109</f>
        <v>42939</v>
      </c>
      <c r="T548" s="268">
        <f>IF('Dry_Litterbag Placem_Collection'!G109="","",'Dry_Litterbag Placem_Collection'!G109)</f>
        <v>43010</v>
      </c>
      <c r="U548" s="269">
        <f t="shared" si="40"/>
        <v>71</v>
      </c>
      <c r="V548" s="267" t="str">
        <f t="shared" si="43"/>
        <v/>
      </c>
      <c r="W548" s="267" t="str">
        <f t="shared" si="44"/>
        <v/>
      </c>
      <c r="X548" s="271">
        <f>IFERROR(INDEX(Rainfall_Dry!$O$2:$O$217,MATCH(B548, Rainfall_Dry!$A$2:$A$217,0)),"")</f>
        <v>137.19979645800001</v>
      </c>
      <c r="Y548" s="260">
        <v>34.344660194174757</v>
      </c>
      <c r="Z548" s="260">
        <v>19.22727272727273</v>
      </c>
      <c r="AA548" s="260">
        <v>46.428067078552509</v>
      </c>
      <c r="AB548" s="261" t="s">
        <v>2670</v>
      </c>
      <c r="AC548" s="260">
        <v>3.7452932479053702</v>
      </c>
      <c r="AD548">
        <f>IF('WetLitterbags placem_collection'!AB109="","",'WetLitterbags placem_collection'!AB109)</f>
        <v>3.85</v>
      </c>
      <c r="AE548">
        <f>IF('WetLitterbags placem_collection'!Z109="","",'WetLitterbags placem_collection'!Z109)</f>
        <v>15.5</v>
      </c>
      <c r="AF548" s="24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71">
        <f>IFERROR(AVERAGE('Dry_Litterbag Placem_Collection'!N109,'Dry_Litterbag Placem_Collection'!Q109),"")</f>
        <v>30.200000000000003</v>
      </c>
      <c r="AJ548" s="270">
        <f>INDEX(Coordinates!$B$2:$B$197,MATCH(G548,Coordinates!$J$2:$J$197,0))</f>
        <v>-2.3698409649999999</v>
      </c>
      <c r="AK548" s="270">
        <f>INDEX(Coordinates!$C$2:$C$197,MATCH(G548,Coordinates!$J$2:$J$197,0))</f>
        <v>34.059814000000003</v>
      </c>
      <c r="AL548" s="270" t="str">
        <f>IF(ISNUMBER(SEARCH("C", 'Dry_Litterbag Placem_Collection'!U109)),"YES","NO")</f>
        <v>NO</v>
      </c>
      <c r="AM548" s="270" t="str">
        <f>IF(ISNUMBER(SEARCH("H", 'Dry_Litterbag Placem_Collection'!U109)),"YES","NO")</f>
        <v>NO</v>
      </c>
      <c r="AN548" s="270" t="str">
        <f>IF(ISNUMBER(SEARCH("R", 'Dry_Litterbag Placem_Collection'!U109)),"YES","NO")</f>
        <v>NO</v>
      </c>
    </row>
    <row r="549" spans="1:40" ht="15" customHeight="1">
      <c r="A549" s="262" t="s">
        <v>2659</v>
      </c>
      <c r="B549" s="263">
        <f>'Dry_Litterbag Placem_Collection'!A110</f>
        <v>108</v>
      </c>
      <c r="C549" s="263" t="str">
        <f>'Dry_Litterbag Placem_Collection'!B110</f>
        <v xml:space="preserve">Mwantimba
</v>
      </c>
      <c r="D549" s="263" t="s">
        <v>2659</v>
      </c>
      <c r="E549" s="263" t="s">
        <v>2660</v>
      </c>
      <c r="F549" s="263">
        <v>2</v>
      </c>
      <c r="G549" s="264" t="str">
        <f>'Dry_Litterbag Placem_Collection'!C110</f>
        <v>Wet_Ag2_T4</v>
      </c>
      <c r="H549" s="273" t="s">
        <v>3651</v>
      </c>
      <c r="I549" s="266" t="s">
        <v>1147</v>
      </c>
      <c r="J549" s="263" t="str">
        <f>IF(ISBLANK('Dry_Litterbag Placem_Collection'!L110),"","G"&amp;""&amp;'Dry_Litterbag Placem_Collection'!L110)</f>
        <v>G62</v>
      </c>
      <c r="K549" s="267">
        <f>IFERROR(INDEX('Green_rooibos initial weight'!$C$5:$C$1749,MATCH(J549, 'Green_rooibos initial weight'!$A$5:$A$1749,0)),"")</f>
        <v>2.0819999999999999</v>
      </c>
      <c r="L549" s="267">
        <f>IFERROR(K549-(TBIcalc!$Q$9+TBIcalc!$Q$10),"")</f>
        <v>1.8321999999999998</v>
      </c>
      <c r="M549" s="391">
        <f>AVERAGE(Ashed_controlls!$K$2:$K$11)</f>
        <v>5.5147656768714146</v>
      </c>
      <c r="N549" s="267">
        <f t="shared" si="41"/>
        <v>1.7311584632683619</v>
      </c>
      <c r="O549" s="267">
        <f>IF(IFERROR(INDEX('Both teabags AfterDry'!$D$3:$D$900,MATCH(J549,'Both teabags AfterDry'!$A$3:$A$900,0)),"")="","",(IFERROR(INDEX('Both teabags AfterDry'!$D$3:$D$900,MATCH(J549,'Both teabags AfterDry'!$A$3:$A$900,0)),"")))</f>
        <v>1.0947</v>
      </c>
      <c r="P549" s="267">
        <f>IFERROR(IF(O549&gt;0,O549-(TBIcalc!$Q$9),""),"")</f>
        <v>0.94409999999999994</v>
      </c>
      <c r="Q549" s="278">
        <f>IFERROR(INDEX('Ashed teabags dry'!$K$2:$K$825,MATCH(J549,'Ashed teabags dry'!$A$2:$A$825,0)),"")</f>
        <v>18.630647414997014</v>
      </c>
      <c r="R549" s="278">
        <f t="shared" si="42"/>
        <v>0.76820805775501311</v>
      </c>
      <c r="S549" s="268">
        <f>'Dry_Litterbag Placem_Collection'!E110</f>
        <v>42939</v>
      </c>
      <c r="T549" s="268">
        <f>IF('Dry_Litterbag Placem_Collection'!G110="","",'Dry_Litterbag Placem_Collection'!G110)</f>
        <v>43010</v>
      </c>
      <c r="U549" s="269">
        <f t="shared" si="40"/>
        <v>71</v>
      </c>
      <c r="V549" s="267">
        <f t="shared" si="43"/>
        <v>0.88809999999999989</v>
      </c>
      <c r="W549" s="267">
        <f t="shared" si="44"/>
        <v>0.96295040551334876</v>
      </c>
      <c r="X549" s="271">
        <f>IFERROR(INDEX(Rainfall_Dry!$O$2:$O$217,MATCH(B549, Rainfall_Dry!$A$2:$A$217,0)),"")</f>
        <v>137.19979645800001</v>
      </c>
      <c r="Y549" s="260">
        <v>34.344660194174757</v>
      </c>
      <c r="Z549" s="260">
        <v>19.22727272727273</v>
      </c>
      <c r="AA549" s="260">
        <v>46.428067078552509</v>
      </c>
      <c r="AB549" s="261" t="s">
        <v>2670</v>
      </c>
      <c r="AC549" s="260">
        <v>4.7452932479053702</v>
      </c>
      <c r="AD549">
        <f>IF('WetLitterbags placem_collection'!AB110="","",'WetLitterbags placem_collection'!AB110)</f>
        <v>9.6999999999999993</v>
      </c>
      <c r="AE549">
        <f>IF('WetLitterbags placem_collection'!Z110="","",'WetLitterbags placem_collection'!Z110)</f>
        <v>22.5</v>
      </c>
      <c r="AF549" s="24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71">
        <f>IFERROR(AVERAGE('Dry_Litterbag Placem_Collection'!N110,'Dry_Litterbag Placem_Collection'!Q110),"")</f>
        <v>31.8</v>
      </c>
      <c r="AJ549" s="270">
        <f>INDEX(Coordinates!$B$2:$B$197,MATCH(G549,Coordinates!$J$2:$J$197,0))</f>
        <v>-2.3698620030000002</v>
      </c>
      <c r="AK549" s="270">
        <f>INDEX(Coordinates!$C$2:$C$197,MATCH(G549,Coordinates!$J$2:$J$197,0))</f>
        <v>34.059759020000001</v>
      </c>
      <c r="AL549" s="270" t="str">
        <f>IF(ISNUMBER(SEARCH("C", 'Dry_Litterbag Placem_Collection'!U110)),"YES","NO")</f>
        <v>NO</v>
      </c>
      <c r="AM549" s="270" t="str">
        <f>IF(ISNUMBER(SEARCH("H", 'Dry_Litterbag Placem_Collection'!U110)),"YES","NO")</f>
        <v>NO</v>
      </c>
      <c r="AN549" s="270" t="str">
        <f>IF(ISNUMBER(SEARCH("R", 'Dry_Litterbag Placem_Collection'!U110)),"YES","NO")</f>
        <v>NO</v>
      </c>
    </row>
    <row r="550" spans="1:40" ht="15" customHeight="1">
      <c r="A550" s="262" t="s">
        <v>2659</v>
      </c>
      <c r="B550" s="263">
        <f>'Dry_Litterbag Placem_Collection'!A111</f>
        <v>109</v>
      </c>
      <c r="C550" s="263" t="str">
        <f>'Dry_Litterbag Placem_Collection'!B111</f>
        <v xml:space="preserve">Mwantimba
</v>
      </c>
      <c r="D550" s="263" t="s">
        <v>2659</v>
      </c>
      <c r="E550" s="263" t="s">
        <v>2660</v>
      </c>
      <c r="F550" s="263">
        <v>2</v>
      </c>
      <c r="G550" s="264" t="str">
        <f>'Dry_Litterbag Placem_Collection'!C111</f>
        <v>Wet_Ag2_T5</v>
      </c>
      <c r="H550" s="273" t="s">
        <v>3651</v>
      </c>
      <c r="I550" s="266" t="s">
        <v>1147</v>
      </c>
      <c r="J550" s="263" t="str">
        <f>IF(ISBLANK('Dry_Litterbag Placem_Collection'!L111),"","G"&amp;""&amp;'Dry_Litterbag Placem_Collection'!L111)</f>
        <v>G102</v>
      </c>
      <c r="K550" s="267">
        <f>IFERROR(INDEX('Green_rooibos initial weight'!$C$5:$C$1749,MATCH(J550, 'Green_rooibos initial weight'!$A$5:$A$1749,0)),"")</f>
        <v>2.0920000000000001</v>
      </c>
      <c r="L550" s="267">
        <f>IFERROR(K550-(TBIcalc!$Q$9+TBIcalc!$Q$10),"")</f>
        <v>1.8422000000000001</v>
      </c>
      <c r="M550" s="391">
        <f>AVERAGE(Ashed_controlls!$K$2:$K$11)</f>
        <v>5.5147656768714146</v>
      </c>
      <c r="N550" s="267">
        <f t="shared" si="41"/>
        <v>1.7406069867006748</v>
      </c>
      <c r="O550" s="267">
        <f>IF(IFERROR(INDEX('Both teabags AfterDry'!$D$3:$D$900,MATCH(J550,'Both teabags AfterDry'!$A$3:$A$900,0)),"")="","",(IFERROR(INDEX('Both teabags AfterDry'!$D$3:$D$900,MATCH(J550,'Both teabags AfterDry'!$A$3:$A$900,0)),"")))</f>
        <v>1.0327999999999999</v>
      </c>
      <c r="P550" s="267">
        <f>IFERROR(IF(O550&gt;0,O550-(TBIcalc!$Q$9),""),"")</f>
        <v>0.88219999999999987</v>
      </c>
      <c r="Q550" s="278">
        <f>IFERROR(INDEX('Ashed teabags dry'!$K$2:$K$825,MATCH(J550,'Ashed teabags dry'!$A$2:$A$825,0)),"")</f>
        <v>18.731117824773449</v>
      </c>
      <c r="R550" s="278">
        <f t="shared" si="42"/>
        <v>0.71695407854984849</v>
      </c>
      <c r="S550" s="268">
        <f>'Dry_Litterbag Placem_Collection'!E111</f>
        <v>42939</v>
      </c>
      <c r="T550" s="268">
        <f>IF('Dry_Litterbag Placem_Collection'!G111="","",'Dry_Litterbag Placem_Collection'!G111)</f>
        <v>43010</v>
      </c>
      <c r="U550" s="269">
        <f t="shared" si="40"/>
        <v>71</v>
      </c>
      <c r="V550" s="267">
        <f t="shared" si="43"/>
        <v>0.96000000000000019</v>
      </c>
      <c r="W550" s="267">
        <f t="shared" si="44"/>
        <v>1.0236529081508263</v>
      </c>
      <c r="X550" s="271">
        <f>IFERROR(INDEX(Rainfall_Dry!$O$2:$O$217,MATCH(B550, Rainfall_Dry!$A$2:$A$217,0)),"")</f>
        <v>137.19979645800001</v>
      </c>
      <c r="Y550" s="260">
        <v>34.344660194174757</v>
      </c>
      <c r="Z550" s="260">
        <v>19.22727272727273</v>
      </c>
      <c r="AA550" s="260">
        <v>46.428067078552509</v>
      </c>
      <c r="AB550" s="261" t="s">
        <v>2670</v>
      </c>
      <c r="AC550" s="260">
        <v>5.7452932479053702</v>
      </c>
      <c r="AD550">
        <f>IF('WetLitterbags placem_collection'!AB111="","",'WetLitterbags placem_collection'!AB111)</f>
        <v>10.5</v>
      </c>
      <c r="AE550">
        <f>IF('WetLitterbags placem_collection'!Z111="","",'WetLitterbags placem_collection'!Z111)</f>
        <v>22.5</v>
      </c>
      <c r="AF550" s="24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71">
        <f>IFERROR(AVERAGE('Dry_Litterbag Placem_Collection'!N111,'Dry_Litterbag Placem_Collection'!Q111),"")</f>
        <v>30.65</v>
      </c>
      <c r="AJ550" s="270">
        <f>INDEX(Coordinates!$B$2:$B$197,MATCH(G550,Coordinates!$J$2:$J$197,0))</f>
        <v>-2.3698390370000002</v>
      </c>
      <c r="AK550" s="270">
        <f>INDEX(Coordinates!$C$2:$C$197,MATCH(G550,Coordinates!$J$2:$J$197,0))</f>
        <v>34.059714</v>
      </c>
      <c r="AL550" s="270" t="str">
        <f>IF(ISNUMBER(SEARCH("C", 'Dry_Litterbag Placem_Collection'!U111)),"YES","NO")</f>
        <v>NO</v>
      </c>
      <c r="AM550" s="270" t="str">
        <f>IF(ISNUMBER(SEARCH("H", 'Dry_Litterbag Placem_Collection'!U111)),"YES","NO")</f>
        <v>NO</v>
      </c>
      <c r="AN550" s="270" t="str">
        <f>IF(ISNUMBER(SEARCH("R", 'Dry_Litterbag Placem_Collection'!U111)),"YES","NO")</f>
        <v>NO</v>
      </c>
    </row>
    <row r="551" spans="1:40" ht="15" customHeight="1">
      <c r="A551" s="262" t="s">
        <v>2659</v>
      </c>
      <c r="B551" s="263">
        <f>'Dry_Litterbag Placem_Collection'!A112</f>
        <v>110</v>
      </c>
      <c r="C551" s="263" t="str">
        <f>'Dry_Litterbag Placem_Collection'!B112</f>
        <v xml:space="preserve">Mwantimba
</v>
      </c>
      <c r="D551" s="263" t="s">
        <v>2659</v>
      </c>
      <c r="E551" s="263" t="s">
        <v>2660</v>
      </c>
      <c r="F551" s="263">
        <v>2</v>
      </c>
      <c r="G551" s="264" t="str">
        <f>'Dry_Litterbag Placem_Collection'!C112</f>
        <v>Wet_Ag2_T6</v>
      </c>
      <c r="H551" s="273" t="s">
        <v>3651</v>
      </c>
      <c r="I551" s="266" t="s">
        <v>1147</v>
      </c>
      <c r="J551" s="263" t="str">
        <f>IF(ISBLANK('Dry_Litterbag Placem_Collection'!L112),"","G"&amp;""&amp;'Dry_Litterbag Placem_Collection'!L112)</f>
        <v>G265</v>
      </c>
      <c r="K551" s="267">
        <f>IFERROR(INDEX('Green_rooibos initial weight'!$C$5:$C$1749,MATCH(J551, 'Green_rooibos initial weight'!$A$5:$A$1749,0)),"")</f>
        <v>1.9790000000000001</v>
      </c>
      <c r="L551" s="267">
        <f>IFERROR(K551-(TBIcalc!$Q$9+TBIcalc!$Q$10),"")</f>
        <v>1.7292000000000001</v>
      </c>
      <c r="M551" s="391">
        <f>AVERAGE(Ashed_controlls!$K$2:$K$11)</f>
        <v>5.5147656768714146</v>
      </c>
      <c r="N551" s="267">
        <f t="shared" si="41"/>
        <v>1.6338386719155396</v>
      </c>
      <c r="O551" s="267">
        <f>IF(IFERROR(INDEX('Both teabags AfterDry'!$D$3:$D$900,MATCH(J551,'Both teabags AfterDry'!$A$3:$A$900,0)),"")="","",(IFERROR(INDEX('Both teabags AfterDry'!$D$3:$D$900,MATCH(J551,'Both teabags AfterDry'!$A$3:$A$900,0)),"")))</f>
        <v>0.93579999999999997</v>
      </c>
      <c r="P551" s="267">
        <f>IFERROR(IF(O551&gt;0,O551-(TBIcalc!$Q$9),""),"")</f>
        <v>0.7851999999999999</v>
      </c>
      <c r="Q551" s="278">
        <f>IFERROR(INDEX('Ashed teabags dry'!$K$2:$K$825,MATCH(J551,'Ashed teabags dry'!$A$2:$A$825,0)),"")</f>
        <v>14.665354330708222</v>
      </c>
      <c r="R551" s="278">
        <f t="shared" si="42"/>
        <v>0.67004763779527898</v>
      </c>
      <c r="S551" s="268">
        <f>'Dry_Litterbag Placem_Collection'!E112</f>
        <v>42939</v>
      </c>
      <c r="T551" s="268">
        <f>IF('Dry_Litterbag Placem_Collection'!G112="","",'Dry_Litterbag Placem_Collection'!G112)</f>
        <v>43010</v>
      </c>
      <c r="U551" s="269">
        <f t="shared" si="40"/>
        <v>71</v>
      </c>
      <c r="V551" s="267">
        <f t="shared" si="43"/>
        <v>0.94400000000000017</v>
      </c>
      <c r="W551" s="267">
        <f t="shared" si="44"/>
        <v>0.96379103412026057</v>
      </c>
      <c r="X551" s="271">
        <f>IFERROR(INDEX(Rainfall_Dry!$O$2:$O$217,MATCH(B551, Rainfall_Dry!$A$2:$A$217,0)),"")</f>
        <v>137.19979645800001</v>
      </c>
      <c r="Y551" s="260">
        <v>34.344660194174757</v>
      </c>
      <c r="Z551" s="260">
        <v>19.22727272727273</v>
      </c>
      <c r="AA551" s="260">
        <v>46.428067078552509</v>
      </c>
      <c r="AB551" s="261" t="s">
        <v>2670</v>
      </c>
      <c r="AC551" s="260">
        <v>6.7452932479053702</v>
      </c>
      <c r="AD551">
        <f>IF('WetLitterbags placem_collection'!AB112="","",'WetLitterbags placem_collection'!AB112)</f>
        <v>5.75</v>
      </c>
      <c r="AE551">
        <f>IF('WetLitterbags placem_collection'!Z112="","",'WetLitterbags placem_collection'!Z112)</f>
        <v>22.5</v>
      </c>
      <c r="AF551" s="24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71">
        <f>IFERROR(AVERAGE('Dry_Litterbag Placem_Collection'!N112,'Dry_Litterbag Placem_Collection'!Q112),"")</f>
        <v>31.150000000000002</v>
      </c>
      <c r="AJ551" s="270">
        <f>INDEX(Coordinates!$B$2:$B$197,MATCH(G551,Coordinates!$J$2:$J$197,0))</f>
        <v>-2.3697549659999999</v>
      </c>
      <c r="AK551" s="270">
        <f>INDEX(Coordinates!$C$2:$C$197,MATCH(G551,Coordinates!$J$2:$J$197,0))</f>
        <v>34.059668989999999</v>
      </c>
      <c r="AL551" s="270" t="str">
        <f>IF(ISNUMBER(SEARCH("C", 'Dry_Litterbag Placem_Collection'!U112)),"YES","NO")</f>
        <v>NO</v>
      </c>
      <c r="AM551" s="270" t="str">
        <f>IF(ISNUMBER(SEARCH("H", 'Dry_Litterbag Placem_Collection'!U112)),"YES","NO")</f>
        <v>NO</v>
      </c>
      <c r="AN551" s="270" t="str">
        <f>IF(ISNUMBER(SEARCH("R", 'Dry_Litterbag Placem_Collection'!U112)),"YES","NO")</f>
        <v>NO</v>
      </c>
    </row>
    <row r="552" spans="1:40" ht="15" customHeight="1">
      <c r="A552" s="262" t="s">
        <v>2659</v>
      </c>
      <c r="B552" s="263">
        <f>'Dry_Litterbag Placem_Collection'!A113</f>
        <v>111</v>
      </c>
      <c r="C552" s="263" t="str">
        <f>'Dry_Litterbag Placem_Collection'!B113</f>
        <v xml:space="preserve">Mwantimba
</v>
      </c>
      <c r="D552" s="263" t="s">
        <v>2659</v>
      </c>
      <c r="E552" s="263" t="s">
        <v>2660</v>
      </c>
      <c r="F552" s="263">
        <v>2</v>
      </c>
      <c r="G552" s="264" t="str">
        <f>'Dry_Litterbag Placem_Collection'!C113</f>
        <v>Wet_Ag2_T7</v>
      </c>
      <c r="H552" s="273" t="s">
        <v>3651</v>
      </c>
      <c r="I552" s="266" t="s">
        <v>1147</v>
      </c>
      <c r="J552" s="263" t="str">
        <f>IF(ISBLANK('Dry_Litterbag Placem_Collection'!L113),"","G"&amp;""&amp;'Dry_Litterbag Placem_Collection'!L113)</f>
        <v>G455</v>
      </c>
      <c r="K552" s="267">
        <f>IFERROR(INDEX('Green_rooibos initial weight'!$C$5:$C$1749,MATCH(J552, 'Green_rooibos initial weight'!$A$5:$A$1749,0)),"")</f>
        <v>2.0299999999999998</v>
      </c>
      <c r="L552" s="267">
        <f>IFERROR(K552-(TBIcalc!$Q$9+TBIcalc!$Q$10),"")</f>
        <v>1.7801999999999998</v>
      </c>
      <c r="M552" s="391">
        <f>AVERAGE(Ashed_controlls!$K$2:$K$11)</f>
        <v>5.5147656768714146</v>
      </c>
      <c r="N552" s="267">
        <f t="shared" si="41"/>
        <v>1.6820261414203348</v>
      </c>
      <c r="O552" s="267">
        <f>IF(IFERROR(INDEX('Both teabags AfterDry'!$D$3:$D$900,MATCH(J552,'Both teabags AfterDry'!$A$3:$A$900,0)),"")="","",(IFERROR(INDEX('Both teabags AfterDry'!$D$3:$D$900,MATCH(J552,'Both teabags AfterDry'!$A$3:$A$900,0)),"")))</f>
        <v>0.92169999999999996</v>
      </c>
      <c r="P552" s="267">
        <f>IFERROR(IF(O552&gt;0,O552-(TBIcalc!$Q$9),""),"")</f>
        <v>0.7710999999999999</v>
      </c>
      <c r="Q552" s="278">
        <f>IFERROR(INDEX('Ashed teabags dry'!$K$2:$K$825,MATCH(J552,'Ashed teabags dry'!$A$2:$A$825,0)),"")</f>
        <v>17.328170377541223</v>
      </c>
      <c r="R552" s="278">
        <f t="shared" si="42"/>
        <v>0.63748247821877957</v>
      </c>
      <c r="S552" s="268">
        <f>'Dry_Litterbag Placem_Collection'!E113</f>
        <v>42939</v>
      </c>
      <c r="T552" s="268">
        <f>IF('Dry_Litterbag Placem_Collection'!G113="","",'Dry_Litterbag Placem_Collection'!G113)</f>
        <v>43010</v>
      </c>
      <c r="U552" s="269">
        <f t="shared" si="40"/>
        <v>71</v>
      </c>
      <c r="V552" s="267">
        <f t="shared" si="43"/>
        <v>1.0090999999999999</v>
      </c>
      <c r="W552" s="267">
        <f t="shared" si="44"/>
        <v>1.0445436632015552</v>
      </c>
      <c r="X552" s="271">
        <f>IFERROR(INDEX(Rainfall_Dry!$O$2:$O$217,MATCH(B552, Rainfall_Dry!$A$2:$A$217,0)),"")</f>
        <v>137.19979645800001</v>
      </c>
      <c r="Y552" s="260">
        <v>34.344660194174757</v>
      </c>
      <c r="Z552" s="260">
        <v>19.22727272727273</v>
      </c>
      <c r="AA552" s="260">
        <v>46.428067078552509</v>
      </c>
      <c r="AB552" s="261" t="s">
        <v>2670</v>
      </c>
      <c r="AC552" s="260">
        <v>7.7452932479053702</v>
      </c>
      <c r="AD552">
        <f>IF('WetLitterbags placem_collection'!AB113="","",'WetLitterbags placem_collection'!AB113)</f>
        <v>6.1</v>
      </c>
      <c r="AE552">
        <f>IF('WetLitterbags placem_collection'!Z113="","",'WetLitterbags placem_collection'!Z113)</f>
        <v>26</v>
      </c>
      <c r="AF552" s="24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71">
        <f>IFERROR(AVERAGE('Dry_Litterbag Placem_Collection'!N113,'Dry_Litterbag Placem_Collection'!Q113),"")</f>
        <v>29.549999999999997</v>
      </c>
      <c r="AJ552" s="270">
        <f>INDEX(Coordinates!$B$2:$B$197,MATCH(G552,Coordinates!$J$2:$J$197,0))</f>
        <v>-2.3697330060000001</v>
      </c>
      <c r="AK552" s="270">
        <f>INDEX(Coordinates!$C$2:$C$197,MATCH(G552,Coordinates!$J$2:$J$197,0))</f>
        <v>34.059615010000002</v>
      </c>
      <c r="AL552" s="270" t="str">
        <f>IF(ISNUMBER(SEARCH("C", 'Dry_Litterbag Placem_Collection'!U113)),"YES","NO")</f>
        <v>NO</v>
      </c>
      <c r="AM552" s="270" t="str">
        <f>IF(ISNUMBER(SEARCH("H", 'Dry_Litterbag Placem_Collection'!U113)),"YES","NO")</f>
        <v>NO</v>
      </c>
      <c r="AN552" s="270" t="str">
        <f>IF(ISNUMBER(SEARCH("R", 'Dry_Litterbag Placem_Collection'!U113)),"YES","NO")</f>
        <v>NO</v>
      </c>
    </row>
    <row r="553" spans="1:40" ht="15" customHeight="1">
      <c r="A553" s="262" t="s">
        <v>2659</v>
      </c>
      <c r="B553" s="263">
        <f>'Dry_Litterbag Placem_Collection'!A114</f>
        <v>112</v>
      </c>
      <c r="C553" s="263" t="str">
        <f>'Dry_Litterbag Placem_Collection'!B114</f>
        <v xml:space="preserve">Mwantimba
</v>
      </c>
      <c r="D553" s="263" t="s">
        <v>2659</v>
      </c>
      <c r="E553" s="263" t="s">
        <v>2660</v>
      </c>
      <c r="F553" s="263">
        <v>2</v>
      </c>
      <c r="G553" s="264" t="str">
        <f>'Dry_Litterbag Placem_Collection'!C114</f>
        <v>Wet_Ag2_T8</v>
      </c>
      <c r="H553" s="273" t="s">
        <v>3651</v>
      </c>
      <c r="I553" s="266" t="s">
        <v>1147</v>
      </c>
      <c r="J553" s="263" t="str">
        <f>IF(ISBLANK('Dry_Litterbag Placem_Collection'!L114),"","G"&amp;""&amp;'Dry_Litterbag Placem_Collection'!L114)</f>
        <v/>
      </c>
      <c r="K553" s="267" t="str">
        <f>IFERROR(INDEX('Green_rooibos initial weight'!$C$5:$C$1749,MATCH(J553, 'Green_rooibos initial weight'!$A$5:$A$1749,0)),"")</f>
        <v/>
      </c>
      <c r="L553" s="267" t="str">
        <f>IFERROR(K553-(TBIcalc!$Q$9+TBIcalc!$Q$10),"")</f>
        <v/>
      </c>
      <c r="M553" s="391">
        <f>AVERAGE(Ashed_controlls!$K$2:$K$11)</f>
        <v>5.5147656768714146</v>
      </c>
      <c r="N553" s="267" t="str">
        <f t="shared" si="41"/>
        <v/>
      </c>
      <c r="O553" s="267" t="str">
        <f>IF(IFERROR(INDEX('Both teabags AfterDry'!$D$3:$D$900,MATCH(J553,'Both teabags AfterDry'!$A$3:$A$900,0)),"")="","",(IFERROR(INDEX('Both teabags AfterDry'!$D$3:$D$900,MATCH(J553,'Both teabags AfterDry'!$A$3:$A$900,0)),"")))</f>
        <v/>
      </c>
      <c r="P553" s="267" t="str">
        <f>IFERROR(IF(O553&gt;0,O553-(TBIcalc!$Q$9),""),"")</f>
        <v/>
      </c>
      <c r="Q553" s="278" t="str">
        <f>IFERROR(INDEX('Ashed teabags dry'!$K$2:$K$825,MATCH(J553,'Ashed teabags dry'!$A$2:$A$825,0)),"")</f>
        <v/>
      </c>
      <c r="R553" s="278" t="str">
        <f t="shared" si="42"/>
        <v/>
      </c>
      <c r="S553" s="268">
        <f>'Dry_Litterbag Placem_Collection'!E114</f>
        <v>0</v>
      </c>
      <c r="T553" s="268" t="str">
        <f>IF('Dry_Litterbag Placem_Collection'!G114="","",'Dry_Litterbag Placem_Collection'!G114)</f>
        <v/>
      </c>
      <c r="U553" s="269" t="str">
        <f t="shared" si="40"/>
        <v/>
      </c>
      <c r="V553" s="267" t="str">
        <f t="shared" si="43"/>
        <v/>
      </c>
      <c r="W553" s="267" t="str">
        <f t="shared" si="44"/>
        <v/>
      </c>
      <c r="X553" s="271" t="str">
        <f>IFERROR(INDEX(Rainfall_Dry!$O$2:$O$217,MATCH(B553, Rainfall_Dry!$A$2:$A$217,0)),"")</f>
        <v/>
      </c>
      <c r="Y553" s="260">
        <v>34.344660194174757</v>
      </c>
      <c r="Z553" s="260">
        <v>19.22727272727273</v>
      </c>
      <c r="AA553" s="260">
        <v>46.428067078552509</v>
      </c>
      <c r="AB553" s="261" t="s">
        <v>2670</v>
      </c>
      <c r="AC553" s="260">
        <v>8.7452932479053693</v>
      </c>
      <c r="AD553">
        <f>IF('WetLitterbags placem_collection'!AB114="","",'WetLitterbags placem_collection'!AB114)</f>
        <v>11.5</v>
      </c>
      <c r="AE553">
        <f>IF('WetLitterbags placem_collection'!Z114="","",'WetLitterbags placem_collection'!Z114)</f>
        <v>15</v>
      </c>
      <c r="AF553" s="24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71" t="str">
        <f>IFERROR(AVERAGE('Dry_Litterbag Placem_Collection'!N114,'Dry_Litterbag Placem_Collection'!Q114),"")</f>
        <v/>
      </c>
      <c r="AJ553" s="270">
        <f>INDEX(Coordinates!$B$2:$B$197,MATCH(G553,Coordinates!$J$2:$J$197,0))</f>
        <v>-2.36967098</v>
      </c>
      <c r="AK553" s="270">
        <f>INDEX(Coordinates!$C$2:$C$197,MATCH(G553,Coordinates!$J$2:$J$197,0))</f>
        <v>34.059735959999998</v>
      </c>
      <c r="AL553" s="270" t="str">
        <f>IF(ISNUMBER(SEARCH("C", 'Dry_Litterbag Placem_Collection'!U114)),"YES","NO")</f>
        <v>NO</v>
      </c>
      <c r="AM553" s="270" t="str">
        <f>IF(ISNUMBER(SEARCH("H", 'Dry_Litterbag Placem_Collection'!U114)),"YES","NO")</f>
        <v>NO</v>
      </c>
      <c r="AN553" s="270" t="str">
        <f>IF(ISNUMBER(SEARCH("R", 'Dry_Litterbag Placem_Collection'!U114)),"YES","NO")</f>
        <v>NO</v>
      </c>
    </row>
    <row r="554" spans="1:40" ht="15" customHeight="1">
      <c r="A554" s="262" t="s">
        <v>2659</v>
      </c>
      <c r="B554" s="263">
        <f>'Dry_Litterbag Placem_Collection'!A115</f>
        <v>113</v>
      </c>
      <c r="C554" s="263" t="str">
        <f>'Dry_Litterbag Placem_Collection'!B115</f>
        <v xml:space="preserve">Mwantimba
</v>
      </c>
      <c r="D554" s="263" t="s">
        <v>2659</v>
      </c>
      <c r="E554" s="263" t="s">
        <v>2660</v>
      </c>
      <c r="F554" s="263">
        <v>3</v>
      </c>
      <c r="G554" s="264" t="str">
        <f>'Dry_Litterbag Placem_Collection'!C115</f>
        <v>Wet_Ag3_T1</v>
      </c>
      <c r="H554" s="273" t="s">
        <v>3651</v>
      </c>
      <c r="I554" s="266" t="s">
        <v>1147</v>
      </c>
      <c r="J554" s="263" t="str">
        <f>IF(ISBLANK('Dry_Litterbag Placem_Collection'!L115),"","G"&amp;""&amp;'Dry_Litterbag Placem_Collection'!L115)</f>
        <v>G490</v>
      </c>
      <c r="K554" s="267">
        <f>IFERROR(INDEX('Green_rooibos initial weight'!$C$5:$C$1749,MATCH(J554, 'Green_rooibos initial weight'!$A$5:$A$1749,0)),"")</f>
        <v>1.881</v>
      </c>
      <c r="L554" s="267">
        <f>IFERROR(K554-(TBIcalc!$Q$9+TBIcalc!$Q$10),"")</f>
        <v>1.6312</v>
      </c>
      <c r="M554" s="391">
        <f>AVERAGE(Ashed_controlls!$K$2:$K$11)</f>
        <v>5.5147656768714146</v>
      </c>
      <c r="N554" s="267">
        <f t="shared" si="41"/>
        <v>1.5412431422788735</v>
      </c>
      <c r="O554" s="267">
        <f>IF(IFERROR(INDEX('Both teabags AfterDry'!$D$3:$D$900,MATCH(J554,'Both teabags AfterDry'!$A$3:$A$900,0)),"")="","",(IFERROR(INDEX('Both teabags AfterDry'!$D$3:$D$900,MATCH(J554,'Both teabags AfterDry'!$A$3:$A$900,0)),"")))</f>
        <v>0.72760000000000002</v>
      </c>
      <c r="P554" s="267">
        <f>IFERROR(IF(O554&gt;0,O554-(TBIcalc!$Q$9),""),"")</f>
        <v>0.57699999999999996</v>
      </c>
      <c r="Q554" s="278">
        <f>IFERROR(INDEX('Ashed teabags dry'!$K$2:$K$825,MATCH(J554,'Ashed teabags dry'!$A$2:$A$825,0)),"")</f>
        <v>23.173681664247997</v>
      </c>
      <c r="R554" s="278">
        <f t="shared" si="42"/>
        <v>0.44328785679728899</v>
      </c>
      <c r="S554" s="268">
        <f>'Dry_Litterbag Placem_Collection'!E115</f>
        <v>42939</v>
      </c>
      <c r="T554" s="268">
        <f>IF('Dry_Litterbag Placem_Collection'!G115="","",'Dry_Litterbag Placem_Collection'!G115)</f>
        <v>43008</v>
      </c>
      <c r="U554" s="269">
        <f t="shared" si="40"/>
        <v>69</v>
      </c>
      <c r="V554" s="267">
        <f t="shared" si="43"/>
        <v>1.0542</v>
      </c>
      <c r="W554" s="267">
        <f t="shared" si="44"/>
        <v>1.0979552854815844</v>
      </c>
      <c r="X554" s="271">
        <f>IFERROR(INDEX(Rainfall_Dry!$O$2:$O$217,MATCH(B554, Rainfall_Dry!$A$2:$A$217,0)),"")</f>
        <v>136.27214243</v>
      </c>
      <c r="Y554" s="260">
        <v>27.96</v>
      </c>
      <c r="Z554" s="260">
        <v>4.9200000000000017</v>
      </c>
      <c r="AA554" s="260">
        <v>67.12</v>
      </c>
      <c r="AB554" s="261" t="s">
        <v>2670</v>
      </c>
      <c r="AC554" s="260">
        <v>0.88610152784622953</v>
      </c>
      <c r="AD554">
        <f>IF('WetLitterbags placem_collection'!AB115="","",'WetLitterbags placem_collection'!AB115)</f>
        <v>26</v>
      </c>
      <c r="AE554">
        <f>IF('WetLitterbags placem_collection'!Z115="","",'WetLitterbags placem_collection'!Z115)</f>
        <v>88.5</v>
      </c>
      <c r="AF554" s="24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71">
        <f>IFERROR(AVERAGE('Dry_Litterbag Placem_Collection'!N115,'Dry_Litterbag Placem_Collection'!Q115),"")</f>
        <v>28.9</v>
      </c>
      <c r="AJ554" s="270">
        <f>INDEX(Coordinates!$B$2:$B$197,MATCH(G554,Coordinates!$J$2:$J$197,0))</f>
        <v>-2.3487199940000001</v>
      </c>
      <c r="AK554" s="270">
        <f>INDEX(Coordinates!$C$2:$C$197,MATCH(G554,Coordinates!$J$2:$J$197,0))</f>
        <v>34.051391029999998</v>
      </c>
      <c r="AL554" s="270" t="str">
        <f>IF(ISNUMBER(SEARCH("C", 'Dry_Litterbag Placem_Collection'!U115)),"YES","NO")</f>
        <v>NO</v>
      </c>
      <c r="AM554" s="270" t="str">
        <f>IF(ISNUMBER(SEARCH("H", 'Dry_Litterbag Placem_Collection'!U115)),"YES","NO")</f>
        <v>NO</v>
      </c>
      <c r="AN554" s="270" t="str">
        <f>IF(ISNUMBER(SEARCH("R", 'Dry_Litterbag Placem_Collection'!U115)),"YES","NO")</f>
        <v>NO</v>
      </c>
    </row>
    <row r="555" spans="1:40" ht="15" customHeight="1">
      <c r="A555" s="262" t="s">
        <v>2659</v>
      </c>
      <c r="B555" s="263">
        <f>'Dry_Litterbag Placem_Collection'!A116</f>
        <v>114</v>
      </c>
      <c r="C555" s="263" t="str">
        <f>'Dry_Litterbag Placem_Collection'!B116</f>
        <v xml:space="preserve">Mwantimba
</v>
      </c>
      <c r="D555" s="263" t="s">
        <v>2659</v>
      </c>
      <c r="E555" s="263" t="s">
        <v>2660</v>
      </c>
      <c r="F555" s="263">
        <v>3</v>
      </c>
      <c r="G555" s="264" t="str">
        <f>'Dry_Litterbag Placem_Collection'!C116</f>
        <v>Wet_Ag3_T2</v>
      </c>
      <c r="H555" s="273" t="s">
        <v>3651</v>
      </c>
      <c r="I555" s="266" t="s">
        <v>1147</v>
      </c>
      <c r="J555" s="263" t="str">
        <f>IF(ISBLANK('Dry_Litterbag Placem_Collection'!L116),"","G"&amp;""&amp;'Dry_Litterbag Placem_Collection'!L116)</f>
        <v>G650</v>
      </c>
      <c r="K555" s="267">
        <f>IFERROR(INDEX('Green_rooibos initial weight'!$C$5:$C$1749,MATCH(J555, 'Green_rooibos initial weight'!$A$5:$A$1749,0)),"")</f>
        <v>2.0270000000000001</v>
      </c>
      <c r="L555" s="267">
        <f>IFERROR(K555-(TBIcalc!$Q$9+TBIcalc!$Q$10),"")</f>
        <v>1.7772000000000001</v>
      </c>
      <c r="M555" s="391">
        <f>AVERAGE(Ashed_controlls!$K$2:$K$11)</f>
        <v>5.5147656768714146</v>
      </c>
      <c r="N555" s="267">
        <f t="shared" si="41"/>
        <v>1.6791915843906413</v>
      </c>
      <c r="O555" s="267">
        <f>IF(IFERROR(INDEX('Both teabags AfterDry'!$D$3:$D$900,MATCH(J555,'Both teabags AfterDry'!$A$3:$A$900,0)),"")="","",(IFERROR(INDEX('Both teabags AfterDry'!$D$3:$D$900,MATCH(J555,'Both teabags AfterDry'!$A$3:$A$900,0)),"")))</f>
        <v>0.86890000000000001</v>
      </c>
      <c r="P555" s="267">
        <f>IFERROR(IF(O555&gt;0,O555-(TBIcalc!$Q$9),""),"")</f>
        <v>0.71829999999999994</v>
      </c>
      <c r="Q555" s="278">
        <f>IFERROR(INDEX('Ashed teabags dry'!$K$2:$K$825,MATCH(J555,'Ashed teabags dry'!$A$2:$A$825,0)),"")</f>
        <v>22.395326192794663</v>
      </c>
      <c r="R555" s="278">
        <f t="shared" si="42"/>
        <v>0.55743437195715595</v>
      </c>
      <c r="S555" s="268">
        <f>'Dry_Litterbag Placem_Collection'!E116</f>
        <v>42939</v>
      </c>
      <c r="T555" s="268">
        <f>IF('Dry_Litterbag Placem_Collection'!G116="","",'Dry_Litterbag Placem_Collection'!G116)</f>
        <v>43008</v>
      </c>
      <c r="U555" s="269">
        <f t="shared" si="40"/>
        <v>69</v>
      </c>
      <c r="V555" s="267">
        <f t="shared" si="43"/>
        <v>1.0589000000000002</v>
      </c>
      <c r="W555" s="267">
        <f t="shared" si="44"/>
        <v>1.1217572124334854</v>
      </c>
      <c r="X555" s="271">
        <f>IFERROR(INDEX(Rainfall_Dry!$O$2:$O$217,MATCH(B555, Rainfall_Dry!$A$2:$A$217,0)),"")</f>
        <v>136.27214243</v>
      </c>
      <c r="Y555" s="260">
        <v>27.96</v>
      </c>
      <c r="Z555" s="260">
        <v>4.9200000000000017</v>
      </c>
      <c r="AA555" s="260">
        <v>67.12</v>
      </c>
      <c r="AB555" s="261" t="s">
        <v>2670</v>
      </c>
      <c r="AC555" s="260">
        <v>1.8861015278462301</v>
      </c>
      <c r="AD555">
        <f>IF('WetLitterbags placem_collection'!AB116="","",'WetLitterbags placem_collection'!AB116)</f>
        <v>16.5</v>
      </c>
      <c r="AE555">
        <f>IF('WetLitterbags placem_collection'!Z116="","",'WetLitterbags placem_collection'!Z116)</f>
        <v>87.5</v>
      </c>
      <c r="AF555" s="24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71">
        <f>IFERROR(AVERAGE('Dry_Litterbag Placem_Collection'!N116,'Dry_Litterbag Placem_Collection'!Q116),"")</f>
        <v>28.1</v>
      </c>
      <c r="AJ555" s="270">
        <f>INDEX(Coordinates!$B$2:$B$197,MATCH(G555,Coordinates!$J$2:$J$197,0))</f>
        <v>-2.348716976</v>
      </c>
      <c r="AK555" s="270">
        <f>INDEX(Coordinates!$C$2:$C$197,MATCH(G555,Coordinates!$J$2:$J$197,0))</f>
        <v>34.051484989999999</v>
      </c>
      <c r="AL555" s="270" t="str">
        <f>IF(ISNUMBER(SEARCH("C", 'Dry_Litterbag Placem_Collection'!U116)),"YES","NO")</f>
        <v>NO</v>
      </c>
      <c r="AM555" s="270" t="str">
        <f>IF(ISNUMBER(SEARCH("H", 'Dry_Litterbag Placem_Collection'!U116)),"YES","NO")</f>
        <v>NO</v>
      </c>
      <c r="AN555" s="270" t="str">
        <f>IF(ISNUMBER(SEARCH("R", 'Dry_Litterbag Placem_Collection'!U116)),"YES","NO")</f>
        <v>NO</v>
      </c>
    </row>
    <row r="556" spans="1:40" ht="15" customHeight="1">
      <c r="A556" s="262" t="s">
        <v>2659</v>
      </c>
      <c r="B556" s="263">
        <f>'Dry_Litterbag Placem_Collection'!A117</f>
        <v>115</v>
      </c>
      <c r="C556" s="263" t="str">
        <f>'Dry_Litterbag Placem_Collection'!B117</f>
        <v xml:space="preserve">Mwantimba
</v>
      </c>
      <c r="D556" s="263" t="s">
        <v>2659</v>
      </c>
      <c r="E556" s="263" t="s">
        <v>2660</v>
      </c>
      <c r="F556" s="263">
        <v>3</v>
      </c>
      <c r="G556" s="264" t="str">
        <f>'Dry_Litterbag Placem_Collection'!C117</f>
        <v>Wet_Ag3_T3</v>
      </c>
      <c r="H556" s="273" t="s">
        <v>3651</v>
      </c>
      <c r="I556" s="266" t="s">
        <v>1147</v>
      </c>
      <c r="J556" s="263" t="str">
        <f>IF(ISBLANK('Dry_Litterbag Placem_Collection'!L117),"","G"&amp;""&amp;'Dry_Litterbag Placem_Collection'!L117)</f>
        <v>G873</v>
      </c>
      <c r="K556" s="267">
        <f>IFERROR(INDEX('Green_rooibos initial weight'!$C$5:$C$1749,MATCH(J556, 'Green_rooibos initial weight'!$A$5:$A$1749,0)),"")</f>
        <v>2.0089999999999999</v>
      </c>
      <c r="L556" s="267">
        <f>IFERROR(K556-(TBIcalc!$Q$9+TBIcalc!$Q$10),"")</f>
        <v>1.7591999999999999</v>
      </c>
      <c r="M556" s="391">
        <f>AVERAGE(Ashed_controlls!$K$2:$K$11)</f>
        <v>5.5147656768714146</v>
      </c>
      <c r="N556" s="267">
        <f t="shared" si="41"/>
        <v>1.662184242212478</v>
      </c>
      <c r="O556" s="267">
        <f>IF(IFERROR(INDEX('Both teabags AfterDry'!$D$3:$D$900,MATCH(J556,'Both teabags AfterDry'!$A$3:$A$900,0)),"")="","",(IFERROR(INDEX('Both teabags AfterDry'!$D$3:$D$900,MATCH(J556,'Both teabags AfterDry'!$A$3:$A$900,0)),"")))</f>
        <v>0.68469999999999998</v>
      </c>
      <c r="P556" s="267">
        <f>IFERROR(IF(O556&gt;0,O556-(TBIcalc!$Q$9),""),"")</f>
        <v>0.53410000000000002</v>
      </c>
      <c r="Q556" s="278">
        <f>IFERROR(INDEX('Ashed teabags dry'!$K$2:$K$825,MATCH(J556,'Ashed teabags dry'!$A$2:$A$825,0)),"")</f>
        <v>14.840499306518451</v>
      </c>
      <c r="R556" s="278">
        <f t="shared" si="42"/>
        <v>0.45483689320388498</v>
      </c>
      <c r="S556" s="268">
        <f>'Dry_Litterbag Placem_Collection'!E117</f>
        <v>42939</v>
      </c>
      <c r="T556" s="268">
        <f>IF('Dry_Litterbag Placem_Collection'!G117="","",'Dry_Litterbag Placem_Collection'!G117)</f>
        <v>43008</v>
      </c>
      <c r="U556" s="269">
        <f t="shared" si="40"/>
        <v>69</v>
      </c>
      <c r="V556" s="267">
        <f t="shared" si="43"/>
        <v>1.2250999999999999</v>
      </c>
      <c r="W556" s="267">
        <f t="shared" si="44"/>
        <v>1.2073473490085931</v>
      </c>
      <c r="X556" s="271">
        <f>IFERROR(INDEX(Rainfall_Dry!$O$2:$O$217,MATCH(B556, Rainfall_Dry!$A$2:$A$217,0)),"")</f>
        <v>136.27214243</v>
      </c>
      <c r="Y556" s="260">
        <v>27.96</v>
      </c>
      <c r="Z556" s="260">
        <v>4.9200000000000017</v>
      </c>
      <c r="AA556" s="260">
        <v>67.12</v>
      </c>
      <c r="AB556" s="261" t="s">
        <v>2670</v>
      </c>
      <c r="AC556" s="260">
        <v>2.8861015278462299</v>
      </c>
      <c r="AD556">
        <f>IF('WetLitterbags placem_collection'!AB117="","",'WetLitterbags placem_collection'!AB117)</f>
        <v>19</v>
      </c>
      <c r="AE556">
        <f>IF('WetLitterbags placem_collection'!Z117="","",'WetLitterbags placem_collection'!Z117)</f>
        <v>79.5</v>
      </c>
      <c r="AF556" s="24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71">
        <f>IFERROR(AVERAGE('Dry_Litterbag Placem_Collection'!N117,'Dry_Litterbag Placem_Collection'!Q117),"")</f>
        <v>28.95</v>
      </c>
      <c r="AJ556" s="270">
        <f>INDEX(Coordinates!$B$2:$B$197,MATCH(G556,Coordinates!$J$2:$J$197,0))</f>
        <v>-2.3487800079999999</v>
      </c>
      <c r="AK556" s="270">
        <f>INDEX(Coordinates!$C$2:$C$197,MATCH(G556,Coordinates!$J$2:$J$197,0))</f>
        <v>34.051495969999998</v>
      </c>
      <c r="AL556" s="270" t="str">
        <f>IF(ISNUMBER(SEARCH("C", 'Dry_Litterbag Placem_Collection'!U117)),"YES","NO")</f>
        <v>NO</v>
      </c>
      <c r="AM556" s="270" t="str">
        <f>IF(ISNUMBER(SEARCH("H", 'Dry_Litterbag Placem_Collection'!U117)),"YES","NO")</f>
        <v>NO</v>
      </c>
      <c r="AN556" s="270" t="str">
        <f>IF(ISNUMBER(SEARCH("R", 'Dry_Litterbag Placem_Collection'!U117)),"YES","NO")</f>
        <v>NO</v>
      </c>
    </row>
    <row r="557" spans="1:40" ht="15" customHeight="1">
      <c r="A557" s="262" t="s">
        <v>2659</v>
      </c>
      <c r="B557" s="263">
        <f>'Dry_Litterbag Placem_Collection'!A118</f>
        <v>116</v>
      </c>
      <c r="C557" s="263" t="str">
        <f>'Dry_Litterbag Placem_Collection'!B118</f>
        <v xml:space="preserve">Mwantimba
</v>
      </c>
      <c r="D557" s="263" t="s">
        <v>2659</v>
      </c>
      <c r="E557" s="263" t="s">
        <v>2660</v>
      </c>
      <c r="F557" s="263">
        <v>3</v>
      </c>
      <c r="G557" s="264" t="str">
        <f>'Dry_Litterbag Placem_Collection'!C118</f>
        <v>Wet_Ag3_T4</v>
      </c>
      <c r="H557" s="273" t="s">
        <v>3651</v>
      </c>
      <c r="I557" s="266" t="s">
        <v>1147</v>
      </c>
      <c r="J557" s="263" t="str">
        <f>IF(ISBLANK('Dry_Litterbag Placem_Collection'!L118),"","G"&amp;""&amp;'Dry_Litterbag Placem_Collection'!L118)</f>
        <v>G206</v>
      </c>
      <c r="K557" s="267">
        <f>IFERROR(INDEX('Green_rooibos initial weight'!$C$5:$C$1749,MATCH(J557, 'Green_rooibos initial weight'!$A$5:$A$1749,0)),"")</f>
        <v>2.0249999999999999</v>
      </c>
      <c r="L557" s="267">
        <f>IFERROR(K557-(TBIcalc!$Q$9+TBIcalc!$Q$10),"")</f>
        <v>1.7751999999999999</v>
      </c>
      <c r="M557" s="391">
        <f>AVERAGE(Ashed_controlls!$K$2:$K$11)</f>
        <v>5.5147656768714146</v>
      </c>
      <c r="N557" s="267">
        <f t="shared" si="41"/>
        <v>1.6773018797041785</v>
      </c>
      <c r="O557" s="267">
        <f>IF(IFERROR(INDEX('Both teabags AfterDry'!$D$3:$D$900,MATCH(J557,'Both teabags AfterDry'!$A$3:$A$900,0)),"")="","",(IFERROR(INDEX('Both teabags AfterDry'!$D$3:$D$900,MATCH(J557,'Both teabags AfterDry'!$A$3:$A$900,0)),"")))</f>
        <v>0.75260000000000005</v>
      </c>
      <c r="P557" s="267">
        <f>IFERROR(IF(O557&gt;0,O557-(TBIcalc!$Q$9),""),"")</f>
        <v>0.60200000000000009</v>
      </c>
      <c r="Q557" s="278">
        <f>IFERROR(INDEX('Ashed teabags dry'!$K$2:$K$825,MATCH(J557,'Ashed teabags dry'!$A$2:$A$825,0)),"")</f>
        <v>20.407259849490842</v>
      </c>
      <c r="R557" s="278">
        <f t="shared" si="42"/>
        <v>0.47914829570606521</v>
      </c>
      <c r="S557" s="268">
        <f>'Dry_Litterbag Placem_Collection'!E118</f>
        <v>42939</v>
      </c>
      <c r="T557" s="268">
        <f>IF('Dry_Litterbag Placem_Collection'!G118="","",'Dry_Litterbag Placem_Collection'!G118)</f>
        <v>43008</v>
      </c>
      <c r="U557" s="269">
        <f t="shared" si="40"/>
        <v>69</v>
      </c>
      <c r="V557" s="267">
        <f t="shared" si="43"/>
        <v>1.1731999999999998</v>
      </c>
      <c r="W557" s="267">
        <f t="shared" si="44"/>
        <v>1.1981535839981134</v>
      </c>
      <c r="X557" s="271">
        <f>IFERROR(INDEX(Rainfall_Dry!$O$2:$O$217,MATCH(B557, Rainfall_Dry!$A$2:$A$217,0)),"")</f>
        <v>136.27214243</v>
      </c>
      <c r="Y557" s="260">
        <v>27.96</v>
      </c>
      <c r="Z557" s="260">
        <v>4.9200000000000017</v>
      </c>
      <c r="AA557" s="260">
        <v>67.12</v>
      </c>
      <c r="AB557" s="261" t="s">
        <v>2670</v>
      </c>
      <c r="AC557" s="260">
        <v>3.8861015278462299</v>
      </c>
      <c r="AD557">
        <f>IF('WetLitterbags placem_collection'!AB118="","",'WetLitterbags placem_collection'!AB118)</f>
        <v>22.5</v>
      </c>
      <c r="AE557">
        <f>IF('WetLitterbags placem_collection'!Z118="","",'WetLitterbags placem_collection'!Z118)</f>
        <v>76</v>
      </c>
      <c r="AF557" s="24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71">
        <f>IFERROR(AVERAGE('Dry_Litterbag Placem_Collection'!N118,'Dry_Litterbag Placem_Collection'!Q118),"")</f>
        <v>29.799999999999997</v>
      </c>
      <c r="AJ557" s="270">
        <f>INDEX(Coordinates!$B$2:$B$197,MATCH(G557,Coordinates!$J$2:$J$197,0))</f>
        <v>-2.3488120270000001</v>
      </c>
      <c r="AK557" s="270">
        <f>INDEX(Coordinates!$C$2:$C$197,MATCH(G557,Coordinates!$J$2:$J$197,0))</f>
        <v>34.05146697</v>
      </c>
      <c r="AL557" s="270" t="str">
        <f>IF(ISNUMBER(SEARCH("C", 'Dry_Litterbag Placem_Collection'!U118)),"YES","NO")</f>
        <v>NO</v>
      </c>
      <c r="AM557" s="270" t="str">
        <f>IF(ISNUMBER(SEARCH("H", 'Dry_Litterbag Placem_Collection'!U118)),"YES","NO")</f>
        <v>NO</v>
      </c>
      <c r="AN557" s="270" t="str">
        <f>IF(ISNUMBER(SEARCH("R", 'Dry_Litterbag Placem_Collection'!U118)),"YES","NO")</f>
        <v>NO</v>
      </c>
    </row>
    <row r="558" spans="1:40" ht="15" customHeight="1">
      <c r="A558" s="262" t="s">
        <v>2659</v>
      </c>
      <c r="B558" s="263">
        <f>'Dry_Litterbag Placem_Collection'!A119</f>
        <v>117</v>
      </c>
      <c r="C558" s="263" t="str">
        <f>'Dry_Litterbag Placem_Collection'!B119</f>
        <v xml:space="preserve">Mwantimba
</v>
      </c>
      <c r="D558" s="263" t="s">
        <v>2659</v>
      </c>
      <c r="E558" s="263" t="s">
        <v>2660</v>
      </c>
      <c r="F558" s="263">
        <v>3</v>
      </c>
      <c r="G558" s="264" t="str">
        <f>'Dry_Litterbag Placem_Collection'!C119</f>
        <v>Wet_Ag3_T5</v>
      </c>
      <c r="H558" s="273" t="s">
        <v>3651</v>
      </c>
      <c r="I558" s="266" t="s">
        <v>1147</v>
      </c>
      <c r="J558" s="263" t="str">
        <f>IF(ISBLANK('Dry_Litterbag Placem_Collection'!L119),"","G"&amp;""&amp;'Dry_Litterbag Placem_Collection'!L119)</f>
        <v>G163</v>
      </c>
      <c r="K558" s="267">
        <f>IFERROR(INDEX('Green_rooibos initial weight'!$C$5:$C$1749,MATCH(J558, 'Green_rooibos initial weight'!$A$5:$A$1749,0)),"")</f>
        <v>2.04</v>
      </c>
      <c r="L558" s="267">
        <f>IFERROR(K558-(TBIcalc!$Q$9+TBIcalc!$Q$10),"")</f>
        <v>1.7902</v>
      </c>
      <c r="M558" s="391">
        <f>AVERAGE(Ashed_controlls!$K$2:$K$11)</f>
        <v>5.5147656768714146</v>
      </c>
      <c r="N558" s="267">
        <f t="shared" si="41"/>
        <v>1.691474664852648</v>
      </c>
      <c r="O558" s="267" t="str">
        <f>IF(IFERROR(INDEX('Both teabags AfterDry'!$D$3:$D$900,MATCH(J558,'Both teabags AfterDry'!$A$3:$A$900,0)),"")="","",(IFERROR(INDEX('Both teabags AfterDry'!$D$3:$D$900,MATCH(J558,'Both teabags AfterDry'!$A$3:$A$900,0)),"")))</f>
        <v/>
      </c>
      <c r="P558" s="267" t="str">
        <f>IFERROR(IF(O558&gt;0,O558-(TBIcalc!$Q$9),""),"")</f>
        <v/>
      </c>
      <c r="Q558" s="278" t="str">
        <f>IFERROR(INDEX('Ashed teabags dry'!$K$2:$K$825,MATCH(J558,'Ashed teabags dry'!$A$2:$A$825,0)),"")</f>
        <v/>
      </c>
      <c r="R558" s="278" t="str">
        <f t="shared" si="42"/>
        <v/>
      </c>
      <c r="S558" s="268">
        <f>'Dry_Litterbag Placem_Collection'!E119</f>
        <v>42939</v>
      </c>
      <c r="T558" s="268">
        <f>IF('Dry_Litterbag Placem_Collection'!G119="","",'Dry_Litterbag Placem_Collection'!G119)</f>
        <v>43008</v>
      </c>
      <c r="U558" s="269">
        <f t="shared" si="40"/>
        <v>69</v>
      </c>
      <c r="V558" s="267" t="str">
        <f t="shared" si="43"/>
        <v/>
      </c>
      <c r="W558" s="267" t="str">
        <f t="shared" si="44"/>
        <v/>
      </c>
      <c r="X558" s="271">
        <f>IFERROR(INDEX(Rainfall_Dry!$O$2:$O$217,MATCH(B558, Rainfall_Dry!$A$2:$A$217,0)),"")</f>
        <v>136.27214243</v>
      </c>
      <c r="Y558" s="260">
        <v>27.96</v>
      </c>
      <c r="Z558" s="260">
        <v>4.9200000000000017</v>
      </c>
      <c r="AA558" s="260">
        <v>67.12</v>
      </c>
      <c r="AB558" s="261" t="s">
        <v>2670</v>
      </c>
      <c r="AC558" s="260">
        <v>4.8861015278462299</v>
      </c>
      <c r="AD558">
        <f>IF('WetLitterbags placem_collection'!AB119="","",'WetLitterbags placem_collection'!AB119)</f>
        <v>23.5</v>
      </c>
      <c r="AE558">
        <f>IF('WetLitterbags placem_collection'!Z119="","",'WetLitterbags placem_collection'!Z119)</f>
        <v>76</v>
      </c>
      <c r="AF558" s="24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71">
        <f>IFERROR(AVERAGE('Dry_Litterbag Placem_Collection'!N119,'Dry_Litterbag Placem_Collection'!Q119),"")</f>
        <v>29.05</v>
      </c>
      <c r="AJ558" s="270">
        <f>INDEX(Coordinates!$B$2:$B$197,MATCH(G558,Coordinates!$J$2:$J$197,0))</f>
        <v>-2.348814961</v>
      </c>
      <c r="AK558" s="270">
        <f>INDEX(Coordinates!$C$2:$C$197,MATCH(G558,Coordinates!$J$2:$J$197,0))</f>
        <v>34.051439979999998</v>
      </c>
      <c r="AL558" s="270" t="str">
        <f>IF(ISNUMBER(SEARCH("C", 'Dry_Litterbag Placem_Collection'!U119)),"YES","NO")</f>
        <v>NO</v>
      </c>
      <c r="AM558" s="270" t="str">
        <f>IF(ISNUMBER(SEARCH("H", 'Dry_Litterbag Placem_Collection'!U119)),"YES","NO")</f>
        <v>NO</v>
      </c>
      <c r="AN558" s="270" t="str">
        <f>IF(ISNUMBER(SEARCH("R", 'Dry_Litterbag Placem_Collection'!U119)),"YES","NO")</f>
        <v>NO</v>
      </c>
    </row>
    <row r="559" spans="1:40" ht="15" customHeight="1">
      <c r="A559" s="262" t="s">
        <v>2659</v>
      </c>
      <c r="B559" s="263">
        <f>'Dry_Litterbag Placem_Collection'!A120</f>
        <v>118</v>
      </c>
      <c r="C559" s="263" t="str">
        <f>'Dry_Litterbag Placem_Collection'!B120</f>
        <v xml:space="preserve">Mwantimba
</v>
      </c>
      <c r="D559" s="263" t="s">
        <v>2659</v>
      </c>
      <c r="E559" s="263" t="s">
        <v>2660</v>
      </c>
      <c r="F559" s="263">
        <v>3</v>
      </c>
      <c r="G559" s="264" t="str">
        <f>'Dry_Litterbag Placem_Collection'!C120</f>
        <v>Wet_Ag3_T6</v>
      </c>
      <c r="H559" s="273" t="s">
        <v>3651</v>
      </c>
      <c r="I559" s="266" t="s">
        <v>1147</v>
      </c>
      <c r="J559" s="263" t="str">
        <f>IF(ISBLANK('Dry_Litterbag Placem_Collection'!L120),"","G"&amp;""&amp;'Dry_Litterbag Placem_Collection'!L120)</f>
        <v>G83</v>
      </c>
      <c r="K559" s="267">
        <f>IFERROR(INDEX('Green_rooibos initial weight'!$C$5:$C$1749,MATCH(J559, 'Green_rooibos initial weight'!$A$5:$A$1749,0)),"")</f>
        <v>2.0209999999999999</v>
      </c>
      <c r="L559" s="267">
        <f>IFERROR(K559-(TBIcalc!$Q$9+TBIcalc!$Q$10),"")</f>
        <v>1.7711999999999999</v>
      </c>
      <c r="M559" s="391">
        <f>AVERAGE(Ashed_controlls!$K$2:$K$11)</f>
        <v>5.5147656768714146</v>
      </c>
      <c r="N559" s="267">
        <f t="shared" si="41"/>
        <v>1.6735224703312535</v>
      </c>
      <c r="O559" s="267">
        <f>IF(IFERROR(INDEX('Both teabags AfterDry'!$D$3:$D$900,MATCH(J559,'Both teabags AfterDry'!$A$3:$A$900,0)),"")="","",(IFERROR(INDEX('Both teabags AfterDry'!$D$3:$D$900,MATCH(J559,'Both teabags AfterDry'!$A$3:$A$900,0)),"")))</f>
        <v>0.81779999999999997</v>
      </c>
      <c r="P559" s="267">
        <f>IFERROR(IF(O559&gt;0,O559-(TBIcalc!$Q$9),""),"")</f>
        <v>0.66720000000000002</v>
      </c>
      <c r="Q559" s="278">
        <f>IFERROR(INDEX('Ashed teabags dry'!$K$2:$K$825,MATCH(J559,'Ashed teabags dry'!$A$2:$A$825,0)),"")</f>
        <v>31.832094446874049</v>
      </c>
      <c r="R559" s="278">
        <f t="shared" si="42"/>
        <v>0.45481626585045637</v>
      </c>
      <c r="S559" s="268">
        <f>'Dry_Litterbag Placem_Collection'!E120</f>
        <v>42939</v>
      </c>
      <c r="T559" s="268">
        <f>IF('Dry_Litterbag Placem_Collection'!G120="","",'Dry_Litterbag Placem_Collection'!G120)</f>
        <v>43008</v>
      </c>
      <c r="U559" s="269">
        <f t="shared" si="40"/>
        <v>69</v>
      </c>
      <c r="V559" s="267">
        <f t="shared" si="43"/>
        <v>1.1039999999999999</v>
      </c>
      <c r="W559" s="267">
        <f t="shared" si="44"/>
        <v>1.218706204480797</v>
      </c>
      <c r="X559" s="271">
        <f>IFERROR(INDEX(Rainfall_Dry!$O$2:$O$217,MATCH(B559, Rainfall_Dry!$A$2:$A$217,0)),"")</f>
        <v>136.27214243</v>
      </c>
      <c r="Y559" s="260">
        <v>27.96</v>
      </c>
      <c r="Z559" s="260">
        <v>4.9200000000000017</v>
      </c>
      <c r="AA559" s="260">
        <v>67.12</v>
      </c>
      <c r="AB559" s="261" t="s">
        <v>2670</v>
      </c>
      <c r="AC559" s="260">
        <v>5.8861015278462299</v>
      </c>
      <c r="AD559">
        <f>IF('WetLitterbags placem_collection'!AB120="","",'WetLitterbags placem_collection'!AB120)</f>
        <v>17.5</v>
      </c>
      <c r="AE559">
        <f>IF('WetLitterbags placem_collection'!Z120="","",'WetLitterbags placem_collection'!Z120)</f>
        <v>70.5</v>
      </c>
      <c r="AF559" s="24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71">
        <f>IFERROR(AVERAGE('Dry_Litterbag Placem_Collection'!N120,'Dry_Litterbag Placem_Collection'!Q120),"")</f>
        <v>28.25</v>
      </c>
      <c r="AJ559" s="270">
        <f>INDEX(Coordinates!$B$2:$B$197,MATCH(G559,Coordinates!$J$2:$J$197,0))</f>
        <v>-2.3488729629999998</v>
      </c>
      <c r="AK559" s="270">
        <f>INDEX(Coordinates!$C$2:$C$197,MATCH(G559,Coordinates!$J$2:$J$197,0))</f>
        <v>34.051454980000003</v>
      </c>
      <c r="AL559" s="270" t="str">
        <f>IF(ISNUMBER(SEARCH("C", 'Dry_Litterbag Placem_Collection'!U120)),"YES","NO")</f>
        <v>NO</v>
      </c>
      <c r="AM559" s="270" t="str">
        <f>IF(ISNUMBER(SEARCH("H", 'Dry_Litterbag Placem_Collection'!U120)),"YES","NO")</f>
        <v>NO</v>
      </c>
      <c r="AN559" s="270" t="str">
        <f>IF(ISNUMBER(SEARCH("R", 'Dry_Litterbag Placem_Collection'!U120)),"YES","NO")</f>
        <v>YES</v>
      </c>
    </row>
    <row r="560" spans="1:40" ht="15" customHeight="1">
      <c r="A560" s="262" t="s">
        <v>2659</v>
      </c>
      <c r="B560" s="263">
        <f>'Dry_Litterbag Placem_Collection'!A121</f>
        <v>119</v>
      </c>
      <c r="C560" s="263" t="str">
        <f>'Dry_Litterbag Placem_Collection'!B121</f>
        <v xml:space="preserve">Mwantimba
</v>
      </c>
      <c r="D560" s="263" t="s">
        <v>2659</v>
      </c>
      <c r="E560" s="263" t="s">
        <v>2660</v>
      </c>
      <c r="F560" s="263">
        <v>3</v>
      </c>
      <c r="G560" s="264" t="str">
        <f>'Dry_Litterbag Placem_Collection'!C121</f>
        <v>Wet_Ag3_T7</v>
      </c>
      <c r="H560" s="273" t="s">
        <v>3651</v>
      </c>
      <c r="I560" s="266" t="s">
        <v>1147</v>
      </c>
      <c r="J560" s="263" t="str">
        <f>IF(ISBLANK('Dry_Litterbag Placem_Collection'!L121),"","G"&amp;""&amp;'Dry_Litterbag Placem_Collection'!L121)</f>
        <v>G159</v>
      </c>
      <c r="K560" s="267">
        <f>IFERROR(INDEX('Green_rooibos initial weight'!$C$5:$C$1749,MATCH(J560, 'Green_rooibos initial weight'!$A$5:$A$1749,0)),"")</f>
        <v>2.1419999999999999</v>
      </c>
      <c r="L560" s="267">
        <f>IFERROR(K560-(TBIcalc!$Q$9+TBIcalc!$Q$10),"")</f>
        <v>1.8921999999999999</v>
      </c>
      <c r="M560" s="391">
        <f>AVERAGE(Ashed_controlls!$K$2:$K$11)</f>
        <v>5.5147656768714146</v>
      </c>
      <c r="N560" s="267">
        <f t="shared" si="41"/>
        <v>1.7878496038622389</v>
      </c>
      <c r="O560" s="267">
        <f>IF(IFERROR(INDEX('Both teabags AfterDry'!$D$3:$D$900,MATCH(J560,'Both teabags AfterDry'!$A$3:$A$900,0)),"")="","",(IFERROR(INDEX('Both teabags AfterDry'!$D$3:$D$900,MATCH(J560,'Both teabags AfterDry'!$A$3:$A$900,0)),"")))</f>
        <v>0.76990000000000003</v>
      </c>
      <c r="P560" s="267">
        <f>IFERROR(IF(O560&gt;0,O560-(TBIcalc!$Q$9),""),"")</f>
        <v>0.61929999999999996</v>
      </c>
      <c r="Q560" s="278">
        <f>IFERROR(INDEX('Ashed teabags dry'!$K$2:$K$825,MATCH(J560,'Ashed teabags dry'!$A$2:$A$825,0)),"")</f>
        <v>17.673992673993002</v>
      </c>
      <c r="R560" s="278">
        <f t="shared" si="42"/>
        <v>0.50984496336996132</v>
      </c>
      <c r="S560" s="268">
        <f>'Dry_Litterbag Placem_Collection'!E121</f>
        <v>42939</v>
      </c>
      <c r="T560" s="268">
        <f>IF('Dry_Litterbag Placem_Collection'!G121="","",'Dry_Litterbag Placem_Collection'!G121)</f>
        <v>43008</v>
      </c>
      <c r="U560" s="269">
        <f t="shared" si="40"/>
        <v>69</v>
      </c>
      <c r="V560" s="267">
        <f t="shared" si="43"/>
        <v>1.2728999999999999</v>
      </c>
      <c r="W560" s="267">
        <f t="shared" si="44"/>
        <v>1.2780046404922776</v>
      </c>
      <c r="X560" s="271">
        <f>IFERROR(INDEX(Rainfall_Dry!$O$2:$O$217,MATCH(B560, Rainfall_Dry!$A$2:$A$217,0)),"")</f>
        <v>136.27214243</v>
      </c>
      <c r="Y560" s="260">
        <v>27.96</v>
      </c>
      <c r="Z560" s="260">
        <v>4.9200000000000017</v>
      </c>
      <c r="AA560" s="260">
        <v>67.12</v>
      </c>
      <c r="AB560" s="261" t="s">
        <v>2670</v>
      </c>
      <c r="AC560" s="260">
        <v>6.8861015278462299</v>
      </c>
      <c r="AD560">
        <f>IF('WetLitterbags placem_collection'!AB121="","",'WetLitterbags placem_collection'!AB121)</f>
        <v>18.5</v>
      </c>
      <c r="AE560">
        <f>IF('WetLitterbags placem_collection'!Z121="","",'WetLitterbags placem_collection'!Z121)</f>
        <v>74.5</v>
      </c>
      <c r="AF560" s="24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71">
        <f>IFERROR(AVERAGE('Dry_Litterbag Placem_Collection'!N121,'Dry_Litterbag Placem_Collection'!Q121),"")</f>
        <v>27.95</v>
      </c>
      <c r="AJ560" s="270">
        <f>INDEX(Coordinates!$B$2:$B$197,MATCH(G560,Coordinates!$J$2:$J$197,0))</f>
        <v>-2.3488589659999999</v>
      </c>
      <c r="AK560" s="270">
        <f>INDEX(Coordinates!$C$2:$C$197,MATCH(G560,Coordinates!$J$2:$J$197,0))</f>
        <v>34.051389010000001</v>
      </c>
      <c r="AL560" s="270" t="str">
        <f>IF(ISNUMBER(SEARCH("C", 'Dry_Litterbag Placem_Collection'!U121)),"YES","NO")</f>
        <v>NO</v>
      </c>
      <c r="AM560" s="270" t="str">
        <f>IF(ISNUMBER(SEARCH("H", 'Dry_Litterbag Placem_Collection'!U121)),"YES","NO")</f>
        <v>NO</v>
      </c>
      <c r="AN560" s="270" t="str">
        <f>IF(ISNUMBER(SEARCH("R", 'Dry_Litterbag Placem_Collection'!U121)),"YES","NO")</f>
        <v>YES</v>
      </c>
    </row>
    <row r="561" spans="1:40" ht="15" customHeight="1">
      <c r="A561" s="262" t="s">
        <v>2659</v>
      </c>
      <c r="B561" s="263">
        <f>'Dry_Litterbag Placem_Collection'!A122</f>
        <v>120</v>
      </c>
      <c r="C561" s="263" t="str">
        <f>'Dry_Litterbag Placem_Collection'!B122</f>
        <v xml:space="preserve">Mwantimba
</v>
      </c>
      <c r="D561" s="263" t="s">
        <v>2659</v>
      </c>
      <c r="E561" s="263" t="s">
        <v>2660</v>
      </c>
      <c r="F561" s="263">
        <v>3</v>
      </c>
      <c r="G561" s="264" t="str">
        <f>'Dry_Litterbag Placem_Collection'!C122</f>
        <v>Wet_Ag3_T8</v>
      </c>
      <c r="H561" s="273" t="s">
        <v>3651</v>
      </c>
      <c r="I561" s="266" t="s">
        <v>1147</v>
      </c>
      <c r="J561" s="263" t="str">
        <f>IF(ISBLANK('Dry_Litterbag Placem_Collection'!L122),"","G"&amp;""&amp;'Dry_Litterbag Placem_Collection'!L122)</f>
        <v/>
      </c>
      <c r="K561" s="267" t="str">
        <f>IFERROR(INDEX('Green_rooibos initial weight'!$C$5:$C$1749,MATCH(J561, 'Green_rooibos initial weight'!$A$5:$A$1749,0)),"")</f>
        <v/>
      </c>
      <c r="L561" s="267" t="str">
        <f>IFERROR(K561-(TBIcalc!$Q$9+TBIcalc!$Q$10),"")</f>
        <v/>
      </c>
      <c r="M561" s="391">
        <f>AVERAGE(Ashed_controlls!$K$2:$K$11)</f>
        <v>5.5147656768714146</v>
      </c>
      <c r="N561" s="267" t="str">
        <f t="shared" si="41"/>
        <v/>
      </c>
      <c r="O561" s="267" t="str">
        <f>IF(IFERROR(INDEX('Both teabags AfterDry'!$D$3:$D$900,MATCH(J561,'Both teabags AfterDry'!$A$3:$A$900,0)),"")="","",(IFERROR(INDEX('Both teabags AfterDry'!$D$3:$D$900,MATCH(J561,'Both teabags AfterDry'!$A$3:$A$900,0)),"")))</f>
        <v/>
      </c>
      <c r="P561" s="267" t="str">
        <f>IFERROR(IF(O561&gt;0,O561-(TBIcalc!$Q$9),""),"")</f>
        <v/>
      </c>
      <c r="Q561" s="278" t="str">
        <f>IFERROR(INDEX('Ashed teabags dry'!$K$2:$K$825,MATCH(J561,'Ashed teabags dry'!$A$2:$A$825,0)),"")</f>
        <v/>
      </c>
      <c r="R561" s="278" t="str">
        <f t="shared" si="42"/>
        <v/>
      </c>
      <c r="S561" s="268">
        <f>'Dry_Litterbag Placem_Collection'!E122</f>
        <v>0</v>
      </c>
      <c r="T561" s="268" t="str">
        <f>IF('Dry_Litterbag Placem_Collection'!G122="","",'Dry_Litterbag Placem_Collection'!G122)</f>
        <v/>
      </c>
      <c r="U561" s="269" t="str">
        <f t="shared" si="40"/>
        <v/>
      </c>
      <c r="V561" s="267" t="str">
        <f t="shared" si="43"/>
        <v/>
      </c>
      <c r="W561" s="267" t="str">
        <f t="shared" si="44"/>
        <v/>
      </c>
      <c r="X561" s="271" t="str">
        <f>IFERROR(INDEX(Rainfall_Dry!$O$2:$O$217,MATCH(B561, Rainfall_Dry!$A$2:$A$217,0)),"")</f>
        <v/>
      </c>
      <c r="Y561" s="260">
        <v>27.96</v>
      </c>
      <c r="Z561" s="260">
        <v>4.9200000000000017</v>
      </c>
      <c r="AA561" s="260">
        <v>67.12</v>
      </c>
      <c r="AB561" s="261" t="s">
        <v>2670</v>
      </c>
      <c r="AC561" s="260">
        <v>7.8861015278462299</v>
      </c>
      <c r="AD561">
        <f>IF('WetLitterbags placem_collection'!AB122="","",'WetLitterbags placem_collection'!AB122)</f>
        <v>19</v>
      </c>
      <c r="AE561">
        <f>IF('WetLitterbags placem_collection'!Z122="","",'WetLitterbags placem_collection'!Z122)</f>
        <v>98.5</v>
      </c>
      <c r="AF561" s="24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71" t="str">
        <f>IFERROR(AVERAGE('Dry_Litterbag Placem_Collection'!N122,'Dry_Litterbag Placem_Collection'!Q122),"")</f>
        <v/>
      </c>
      <c r="AJ561" s="270">
        <f>INDEX(Coordinates!$B$2:$B$197,MATCH(G561,Coordinates!$J$2:$J$197,0))</f>
        <v>-2.3486449760000001</v>
      </c>
      <c r="AK561" s="270">
        <f>INDEX(Coordinates!$C$2:$C$197,MATCH(G561,Coordinates!$J$2:$J$197,0))</f>
        <v>34.051495969999998</v>
      </c>
      <c r="AL561" s="270" t="str">
        <f>IF(ISNUMBER(SEARCH("C", 'Dry_Litterbag Placem_Collection'!U122)),"YES","NO")</f>
        <v>NO</v>
      </c>
      <c r="AM561" s="270" t="str">
        <f>IF(ISNUMBER(SEARCH("H", 'Dry_Litterbag Placem_Collection'!U122)),"YES","NO")</f>
        <v>NO</v>
      </c>
      <c r="AN561" s="270" t="str">
        <f>IF(ISNUMBER(SEARCH("R", 'Dry_Litterbag Placem_Collection'!U122)),"YES","NO")</f>
        <v>NO</v>
      </c>
    </row>
    <row r="562" spans="1:40" ht="15" customHeight="1">
      <c r="A562" s="262" t="s">
        <v>2659</v>
      </c>
      <c r="B562" s="263">
        <f>'Dry_Litterbag Placem_Collection'!A123</f>
        <v>121</v>
      </c>
      <c r="C562" s="263" t="str">
        <f>'Dry_Litterbag Placem_Collection'!B123</f>
        <v xml:space="preserve">Mwantimba
</v>
      </c>
      <c r="D562" s="263" t="s">
        <v>2659</v>
      </c>
      <c r="E562" s="263" t="s">
        <v>2660</v>
      </c>
      <c r="F562" s="263">
        <v>4</v>
      </c>
      <c r="G562" s="264" t="str">
        <f>'Dry_Litterbag Placem_Collection'!C123</f>
        <v>Wet_Ag4_T1</v>
      </c>
      <c r="H562" s="273" t="s">
        <v>3651</v>
      </c>
      <c r="I562" s="266" t="s">
        <v>1147</v>
      </c>
      <c r="J562" s="263" t="str">
        <f>IF(ISBLANK('Dry_Litterbag Placem_Collection'!L123),"","G"&amp;""&amp;'Dry_Litterbag Placem_Collection'!L123)</f>
        <v>G16</v>
      </c>
      <c r="K562" s="267">
        <f>IFERROR(INDEX('Green_rooibos initial weight'!$C$5:$C$1749,MATCH(J562, 'Green_rooibos initial weight'!$A$5:$A$1749,0)),"")</f>
        <v>1.9410000000000001</v>
      </c>
      <c r="L562" s="267">
        <f>IFERROR(K562-(TBIcalc!$Q$9+TBIcalc!$Q$10),"")</f>
        <v>1.6912</v>
      </c>
      <c r="M562" s="391">
        <f>AVERAGE(Ashed_controlls!$K$2:$K$11)</f>
        <v>5.5147656768714146</v>
      </c>
      <c r="N562" s="267">
        <f t="shared" si="41"/>
        <v>1.5979342828727507</v>
      </c>
      <c r="O562" s="267" t="str">
        <f>IF(IFERROR(INDEX('Both teabags AfterDry'!$D$3:$D$900,MATCH(J562,'Both teabags AfterDry'!$A$3:$A$900,0)),"")="","",(IFERROR(INDEX('Both teabags AfterDry'!$D$3:$D$900,MATCH(J562,'Both teabags AfterDry'!$A$3:$A$900,0)),"")))</f>
        <v/>
      </c>
      <c r="P562" s="267" t="str">
        <f>IFERROR(IF(O562&gt;0,O562-(TBIcalc!$Q$9),""),"")</f>
        <v/>
      </c>
      <c r="Q562" s="278">
        <f>IFERROR(INDEX('Ashed teabags dry'!$K$2:$K$825,MATCH(J562,'Ashed teabags dry'!$A$2:$A$825,0)),"")</f>
        <v>12.463485881207744</v>
      </c>
      <c r="R562" s="278" t="str">
        <f t="shared" si="42"/>
        <v/>
      </c>
      <c r="S562" s="268">
        <f>'Dry_Litterbag Placem_Collection'!E123</f>
        <v>42939</v>
      </c>
      <c r="T562" s="268">
        <f>IF('Dry_Litterbag Placem_Collection'!G123="","",'Dry_Litterbag Placem_Collection'!G123)</f>
        <v>43008</v>
      </c>
      <c r="U562" s="269">
        <f t="shared" si="40"/>
        <v>69</v>
      </c>
      <c r="V562" s="267" t="str">
        <f t="shared" si="43"/>
        <v/>
      </c>
      <c r="W562" s="267" t="str">
        <f t="shared" si="44"/>
        <v/>
      </c>
      <c r="X562" s="271">
        <f>IFERROR(INDEX(Rainfall_Dry!$O$2:$O$217,MATCH(B562, Rainfall_Dry!$A$2:$A$217,0)),"")</f>
        <v>136.27214243</v>
      </c>
      <c r="Y562" s="260">
        <v>17.96</v>
      </c>
      <c r="Z562" s="260">
        <v>4.9199999999999982</v>
      </c>
      <c r="AA562" s="260">
        <v>77.12</v>
      </c>
      <c r="AB562" s="261" t="s">
        <v>2671</v>
      </c>
      <c r="AC562" s="260">
        <v>2.0220798422868409</v>
      </c>
      <c r="AD562">
        <f>IF('WetLitterbags placem_collection'!AB123="","",'WetLitterbags placem_collection'!AB123)</f>
        <v>9.65</v>
      </c>
      <c r="AE562">
        <f>IF('WetLitterbags placem_collection'!Z123="","",'WetLitterbags placem_collection'!Z123)</f>
        <v>63</v>
      </c>
      <c r="AF562" s="24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71">
        <f>IFERROR(AVERAGE('Dry_Litterbag Placem_Collection'!N123,'Dry_Litterbag Placem_Collection'!Q123),"")</f>
        <v>29.1</v>
      </c>
      <c r="AJ562" s="270">
        <f>INDEX(Coordinates!$B$2:$B$197,MATCH(G562,Coordinates!$J$2:$J$197,0))</f>
        <v>-2.3492639789999998</v>
      </c>
      <c r="AK562" s="270">
        <f>INDEX(Coordinates!$C$2:$C$197,MATCH(G562,Coordinates!$J$2:$J$197,0))</f>
        <v>34.051464029999998</v>
      </c>
      <c r="AL562" s="270" t="str">
        <f>IF(ISNUMBER(SEARCH("C", 'Dry_Litterbag Placem_Collection'!U123)),"YES","NO")</f>
        <v>NO</v>
      </c>
      <c r="AM562" s="270" t="str">
        <f>IF(ISNUMBER(SEARCH("H", 'Dry_Litterbag Placem_Collection'!U123)),"YES","NO")</f>
        <v>NO</v>
      </c>
      <c r="AN562" s="270" t="str">
        <f>IF(ISNUMBER(SEARCH("R", 'Dry_Litterbag Placem_Collection'!U123)),"YES","NO")</f>
        <v>NO</v>
      </c>
    </row>
    <row r="563" spans="1:40" ht="15" customHeight="1">
      <c r="A563" s="262" t="s">
        <v>2659</v>
      </c>
      <c r="B563" s="263">
        <f>'Dry_Litterbag Placem_Collection'!A124</f>
        <v>122</v>
      </c>
      <c r="C563" s="263" t="str">
        <f>'Dry_Litterbag Placem_Collection'!B124</f>
        <v xml:space="preserve">Mwantimba
</v>
      </c>
      <c r="D563" s="263" t="s">
        <v>2659</v>
      </c>
      <c r="E563" s="263" t="s">
        <v>2660</v>
      </c>
      <c r="F563" s="263">
        <v>4</v>
      </c>
      <c r="G563" s="264" t="str">
        <f>'Dry_Litterbag Placem_Collection'!C124</f>
        <v>Wet_Ag4_T2</v>
      </c>
      <c r="H563" s="273" t="s">
        <v>3651</v>
      </c>
      <c r="I563" s="266" t="s">
        <v>1147</v>
      </c>
      <c r="J563" s="263" t="str">
        <f>IF(ISBLANK('Dry_Litterbag Placem_Collection'!L124),"","G"&amp;""&amp;'Dry_Litterbag Placem_Collection'!L124)</f>
        <v>G109</v>
      </c>
      <c r="K563" s="267">
        <f>IFERROR(INDEX('Green_rooibos initial weight'!$C$5:$C$1749,MATCH(J563, 'Green_rooibos initial weight'!$A$5:$A$1749,0)),"")</f>
        <v>1.992</v>
      </c>
      <c r="L563" s="267">
        <f>IFERROR(K563-(TBIcalc!$Q$9+TBIcalc!$Q$10),"")</f>
        <v>1.7422</v>
      </c>
      <c r="M563" s="391">
        <f>AVERAGE(Ashed_controlls!$K$2:$K$11)</f>
        <v>5.5147656768714146</v>
      </c>
      <c r="N563" s="267">
        <f t="shared" si="41"/>
        <v>1.6461217523775462</v>
      </c>
      <c r="O563" s="267">
        <f>IF(IFERROR(INDEX('Both teabags AfterDry'!$D$3:$D$900,MATCH(J563,'Both teabags AfterDry'!$A$3:$A$900,0)),"")="","",(IFERROR(INDEX('Both teabags AfterDry'!$D$3:$D$900,MATCH(J563,'Both teabags AfterDry'!$A$3:$A$900,0)),"")))</f>
        <v>0.67359999999999998</v>
      </c>
      <c r="P563" s="267">
        <f>IFERROR(IF(O563&gt;0,O563-(TBIcalc!$Q$9),""),"")</f>
        <v>0.52299999999999991</v>
      </c>
      <c r="Q563" s="278">
        <f>IFERROR(INDEX('Ashed teabags dry'!$K$2:$K$825,MATCH(J563,'Ashed teabags dry'!$A$2:$A$825,0)),"")</f>
        <v>17.174515235456546</v>
      </c>
      <c r="R563" s="278">
        <f t="shared" si="42"/>
        <v>0.4331772853185622</v>
      </c>
      <c r="S563" s="268">
        <f>'Dry_Litterbag Placem_Collection'!E124</f>
        <v>42939</v>
      </c>
      <c r="T563" s="268">
        <f>IF('Dry_Litterbag Placem_Collection'!G124="","",'Dry_Litterbag Placem_Collection'!G124)</f>
        <v>43008</v>
      </c>
      <c r="U563" s="269">
        <f t="shared" si="40"/>
        <v>69</v>
      </c>
      <c r="V563" s="267">
        <f t="shared" si="43"/>
        <v>1.2192000000000001</v>
      </c>
      <c r="W563" s="267">
        <f t="shared" si="44"/>
        <v>1.212944467058984</v>
      </c>
      <c r="X563" s="271">
        <f>IFERROR(INDEX(Rainfall_Dry!$O$2:$O$217,MATCH(B563, Rainfall_Dry!$A$2:$A$217,0)),"")</f>
        <v>136.27214243</v>
      </c>
      <c r="Y563" s="260">
        <v>17.96</v>
      </c>
      <c r="Z563" s="260">
        <v>4.9199999999999982</v>
      </c>
      <c r="AA563" s="260">
        <v>77.12</v>
      </c>
      <c r="AB563" s="261" t="s">
        <v>2671</v>
      </c>
      <c r="AC563" s="260">
        <v>3.02207984228684</v>
      </c>
      <c r="AD563">
        <f>IF('WetLitterbags placem_collection'!AB124="","",'WetLitterbags placem_collection'!AB124)</f>
        <v>3.1</v>
      </c>
      <c r="AE563">
        <f>IF('WetLitterbags placem_collection'!Z124="","",'WetLitterbags placem_collection'!Z124)</f>
        <v>53</v>
      </c>
      <c r="AF563" s="24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71">
        <f>IFERROR(AVERAGE('Dry_Litterbag Placem_Collection'!N124,'Dry_Litterbag Placem_Collection'!Q124),"")</f>
        <v>28.55</v>
      </c>
      <c r="AJ563" s="270">
        <f>INDEX(Coordinates!$B$2:$B$197,MATCH(G563,Coordinates!$J$2:$J$197,0))</f>
        <v>-2.34923196</v>
      </c>
      <c r="AK563" s="270">
        <f>INDEX(Coordinates!$C$2:$C$197,MATCH(G563,Coordinates!$J$2:$J$197,0))</f>
        <v>34.051422039999999</v>
      </c>
      <c r="AL563" s="270" t="str">
        <f>IF(ISNUMBER(SEARCH("C", 'Dry_Litterbag Placem_Collection'!U124)),"YES","NO")</f>
        <v>NO</v>
      </c>
      <c r="AM563" s="270" t="str">
        <f>IF(ISNUMBER(SEARCH("H", 'Dry_Litterbag Placem_Collection'!U124)),"YES","NO")</f>
        <v>NO</v>
      </c>
      <c r="AN563" s="270" t="str">
        <f>IF(ISNUMBER(SEARCH("R", 'Dry_Litterbag Placem_Collection'!U124)),"YES","NO")</f>
        <v>NO</v>
      </c>
    </row>
    <row r="564" spans="1:40" ht="15" customHeight="1">
      <c r="A564" s="262" t="s">
        <v>2659</v>
      </c>
      <c r="B564" s="263">
        <f>'Dry_Litterbag Placem_Collection'!A125</f>
        <v>123</v>
      </c>
      <c r="C564" s="263" t="str">
        <f>'Dry_Litterbag Placem_Collection'!B125</f>
        <v xml:space="preserve">Mwantimba
</v>
      </c>
      <c r="D564" s="263" t="s">
        <v>2659</v>
      </c>
      <c r="E564" s="263" t="s">
        <v>2660</v>
      </c>
      <c r="F564" s="263">
        <v>4</v>
      </c>
      <c r="G564" s="264" t="str">
        <f>'Dry_Litterbag Placem_Collection'!C125</f>
        <v>Wet_Ag4_T3</v>
      </c>
      <c r="H564" s="273" t="s">
        <v>3651</v>
      </c>
      <c r="I564" s="266" t="s">
        <v>1147</v>
      </c>
      <c r="J564" s="263" t="str">
        <f>IF(ISBLANK('Dry_Litterbag Placem_Collection'!L125),"","G"&amp;""&amp;'Dry_Litterbag Placem_Collection'!L125)</f>
        <v>G344</v>
      </c>
      <c r="K564" s="267">
        <f>IFERROR(INDEX('Green_rooibos initial weight'!$C$5:$C$1749,MATCH(J564, 'Green_rooibos initial weight'!$A$5:$A$1749,0)),"")</f>
        <v>1.93</v>
      </c>
      <c r="L564" s="267">
        <f>IFERROR(K564-(TBIcalc!$Q$9+TBIcalc!$Q$10),"")</f>
        <v>1.6801999999999999</v>
      </c>
      <c r="M564" s="391">
        <f>AVERAGE(Ashed_controlls!$K$2:$K$11)</f>
        <v>5.5147656768714146</v>
      </c>
      <c r="N564" s="267">
        <f t="shared" si="41"/>
        <v>1.5875409070972064</v>
      </c>
      <c r="O564" s="267">
        <f>IF(IFERROR(INDEX('Both teabags AfterDry'!$D$3:$D$900,MATCH(J564,'Both teabags AfterDry'!$A$3:$A$900,0)),"")="","",(IFERROR(INDEX('Both teabags AfterDry'!$D$3:$D$900,MATCH(J564,'Both teabags AfterDry'!$A$3:$A$900,0)),"")))</f>
        <v>0.78580000000000005</v>
      </c>
      <c r="P564" s="267">
        <f>IFERROR(IF(O564&gt;0,O564-(TBIcalc!$Q$9),""),"")</f>
        <v>0.63519999999999999</v>
      </c>
      <c r="Q564" s="278">
        <f>IFERROR(INDEX('Ashed teabags dry'!$K$2:$K$825,MATCH(J564,'Ashed teabags dry'!$A$2:$A$825,0)),"")</f>
        <v>19.618781961877247</v>
      </c>
      <c r="R564" s="278">
        <f t="shared" si="42"/>
        <v>0.51058149697815569</v>
      </c>
      <c r="S564" s="268">
        <f>'Dry_Litterbag Placem_Collection'!E125</f>
        <v>42939</v>
      </c>
      <c r="T564" s="268">
        <f>IF('Dry_Litterbag Placem_Collection'!G125="","",'Dry_Litterbag Placem_Collection'!G125)</f>
        <v>43008</v>
      </c>
      <c r="U564" s="269">
        <f t="shared" si="40"/>
        <v>69</v>
      </c>
      <c r="V564" s="267">
        <f t="shared" si="43"/>
        <v>1.0449999999999999</v>
      </c>
      <c r="W564" s="267">
        <f t="shared" si="44"/>
        <v>1.0769594101190507</v>
      </c>
      <c r="X564" s="271">
        <f>IFERROR(INDEX(Rainfall_Dry!$O$2:$O$217,MATCH(B564, Rainfall_Dry!$A$2:$A$217,0)),"")</f>
        <v>136.27214243</v>
      </c>
      <c r="Y564" s="260">
        <v>17.96</v>
      </c>
      <c r="Z564" s="260">
        <v>4.9199999999999982</v>
      </c>
      <c r="AA564" s="260">
        <v>77.12</v>
      </c>
      <c r="AB564" s="261" t="s">
        <v>2671</v>
      </c>
      <c r="AC564" s="260">
        <v>4.02207984228684</v>
      </c>
      <c r="AD564">
        <f>IF('WetLitterbags placem_collection'!AB125="","",'WetLitterbags placem_collection'!AB125)</f>
        <v>3.9</v>
      </c>
      <c r="AE564">
        <f>IF('WetLitterbags placem_collection'!Z125="","",'WetLitterbags placem_collection'!Z125)</f>
        <v>51</v>
      </c>
      <c r="AF564" s="24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71">
        <f>IFERROR(AVERAGE('Dry_Litterbag Placem_Collection'!N125,'Dry_Litterbag Placem_Collection'!Q125),"")</f>
        <v>27.1</v>
      </c>
      <c r="AJ564" s="270">
        <f>INDEX(Coordinates!$B$2:$B$197,MATCH(G564,Coordinates!$J$2:$J$197,0))</f>
        <v>-2.3492390009999999</v>
      </c>
      <c r="AK564" s="270">
        <f>INDEX(Coordinates!$C$2:$C$197,MATCH(G564,Coordinates!$J$2:$J$197,0))</f>
        <v>34.051304020000003</v>
      </c>
      <c r="AL564" s="270" t="str">
        <f>IF(ISNUMBER(SEARCH("C", 'Dry_Litterbag Placem_Collection'!U125)),"YES","NO")</f>
        <v>NO</v>
      </c>
      <c r="AM564" s="270" t="str">
        <f>IF(ISNUMBER(SEARCH("H", 'Dry_Litterbag Placem_Collection'!U125)),"YES","NO")</f>
        <v>NO</v>
      </c>
      <c r="AN564" s="270" t="str">
        <f>IF(ISNUMBER(SEARCH("R", 'Dry_Litterbag Placem_Collection'!U125)),"YES","NO")</f>
        <v>NO</v>
      </c>
    </row>
    <row r="565" spans="1:40" ht="15" customHeight="1">
      <c r="A565" s="262" t="s">
        <v>2659</v>
      </c>
      <c r="B565" s="263">
        <f>'Dry_Litterbag Placem_Collection'!A126</f>
        <v>124</v>
      </c>
      <c r="C565" s="263" t="str">
        <f>'Dry_Litterbag Placem_Collection'!B126</f>
        <v xml:space="preserve">Mwantimba
</v>
      </c>
      <c r="D565" s="263" t="s">
        <v>2659</v>
      </c>
      <c r="E565" s="263" t="s">
        <v>2660</v>
      </c>
      <c r="F565" s="263">
        <v>4</v>
      </c>
      <c r="G565" s="264" t="str">
        <f>'Dry_Litterbag Placem_Collection'!C126</f>
        <v>Wet_Ag4_T4</v>
      </c>
      <c r="H565" s="273" t="s">
        <v>3651</v>
      </c>
      <c r="I565" s="266" t="s">
        <v>1147</v>
      </c>
      <c r="J565" s="263" t="str">
        <f>IF(ISBLANK('Dry_Litterbag Placem_Collection'!L126),"","G"&amp;""&amp;'Dry_Litterbag Placem_Collection'!L126)</f>
        <v>G221</v>
      </c>
      <c r="K565" s="267">
        <f>IFERROR(INDEX('Green_rooibos initial weight'!$C$5:$C$1749,MATCH(J565, 'Green_rooibos initial weight'!$A$5:$A$1749,0)),"")</f>
        <v>2.004</v>
      </c>
      <c r="L565" s="267">
        <f>IFERROR(K565-(TBIcalc!$Q$9+TBIcalc!$Q$10),"")</f>
        <v>1.7542</v>
      </c>
      <c r="M565" s="391">
        <f>AVERAGE(Ashed_controlls!$K$2:$K$11)</f>
        <v>5.5147656768714146</v>
      </c>
      <c r="N565" s="267">
        <f t="shared" si="41"/>
        <v>1.6574599804963217</v>
      </c>
      <c r="O565" s="267">
        <f>IF(IFERROR(INDEX('Both teabags AfterDry'!$D$3:$D$900,MATCH(J565,'Both teabags AfterDry'!$A$3:$A$900,0)),"")="","",(IFERROR(INDEX('Both teabags AfterDry'!$D$3:$D$900,MATCH(J565,'Both teabags AfterDry'!$A$3:$A$900,0)),"")))</f>
        <v>0.66700000000000004</v>
      </c>
      <c r="P565" s="267">
        <f>IFERROR(IF(O565&gt;0,O565-(TBIcalc!$Q$9),""),"")</f>
        <v>0.51639999999999997</v>
      </c>
      <c r="Q565" s="278">
        <f>IFERROR(INDEX('Ashed teabags dry'!$K$2:$K$825,MATCH(J565,'Ashed teabags dry'!$A$2:$A$825,0)),"")</f>
        <v>19.375305026842138</v>
      </c>
      <c r="R565" s="278">
        <f t="shared" si="42"/>
        <v>0.41634592484138716</v>
      </c>
      <c r="S565" s="268">
        <f>'Dry_Litterbag Placem_Collection'!E126</f>
        <v>42939</v>
      </c>
      <c r="T565" s="268">
        <f>IF('Dry_Litterbag Placem_Collection'!G126="","",'Dry_Litterbag Placem_Collection'!G126)</f>
        <v>43008</v>
      </c>
      <c r="U565" s="269">
        <f t="shared" si="40"/>
        <v>69</v>
      </c>
      <c r="V565" s="267">
        <f t="shared" si="43"/>
        <v>1.2378</v>
      </c>
      <c r="W565" s="267">
        <f t="shared" si="44"/>
        <v>1.2411140556549345</v>
      </c>
      <c r="X565" s="271">
        <f>IFERROR(INDEX(Rainfall_Dry!$O$2:$O$217,MATCH(B565, Rainfall_Dry!$A$2:$A$217,0)),"")</f>
        <v>136.27214243</v>
      </c>
      <c r="Y565" s="260">
        <v>17.96</v>
      </c>
      <c r="Z565" s="260">
        <v>4.9199999999999982</v>
      </c>
      <c r="AA565" s="260">
        <v>77.12</v>
      </c>
      <c r="AB565" s="261" t="s">
        <v>2671</v>
      </c>
      <c r="AC565" s="260">
        <v>5.02207984228684</v>
      </c>
      <c r="AD565">
        <f>IF('WetLitterbags placem_collection'!AB126="","",'WetLitterbags placem_collection'!AB126)</f>
        <v>5.45</v>
      </c>
      <c r="AE565">
        <f>IF('WetLitterbags placem_collection'!Z126="","",'WetLitterbags placem_collection'!Z126)</f>
        <v>47</v>
      </c>
      <c r="AF565" s="24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71">
        <f>IFERROR(AVERAGE('Dry_Litterbag Placem_Collection'!N126,'Dry_Litterbag Placem_Collection'!Q126),"")</f>
        <v>28.05</v>
      </c>
      <c r="AJ565" s="270">
        <f>INDEX(Coordinates!$B$2:$B$197,MATCH(G565,Coordinates!$J$2:$J$197,0))</f>
        <v>-2.3492799889999998</v>
      </c>
      <c r="AK565" s="270">
        <f>INDEX(Coordinates!$C$2:$C$197,MATCH(G565,Coordinates!$J$2:$J$197,0))</f>
        <v>34.051280970000001</v>
      </c>
      <c r="AL565" s="270" t="str">
        <f>IF(ISNUMBER(SEARCH("C", 'Dry_Litterbag Placem_Collection'!U126)),"YES","NO")</f>
        <v>NO</v>
      </c>
      <c r="AM565" s="270" t="str">
        <f>IF(ISNUMBER(SEARCH("H", 'Dry_Litterbag Placem_Collection'!U126)),"YES","NO")</f>
        <v>NO</v>
      </c>
      <c r="AN565" s="270" t="str">
        <f>IF(ISNUMBER(SEARCH("R", 'Dry_Litterbag Placem_Collection'!U126)),"YES","NO")</f>
        <v>NO</v>
      </c>
    </row>
    <row r="566" spans="1:40" ht="15" customHeight="1">
      <c r="A566" s="262" t="s">
        <v>2659</v>
      </c>
      <c r="B566" s="263">
        <f>'Dry_Litterbag Placem_Collection'!A127</f>
        <v>125</v>
      </c>
      <c r="C566" s="263" t="str">
        <f>'Dry_Litterbag Placem_Collection'!B127</f>
        <v xml:space="preserve">Mwantimba
</v>
      </c>
      <c r="D566" s="263" t="s">
        <v>2659</v>
      </c>
      <c r="E566" s="263" t="s">
        <v>2660</v>
      </c>
      <c r="F566" s="263">
        <v>4</v>
      </c>
      <c r="G566" s="264" t="str">
        <f>'Dry_Litterbag Placem_Collection'!C127</f>
        <v>Wet_Ag4_T5</v>
      </c>
      <c r="H566" s="273" t="s">
        <v>3651</v>
      </c>
      <c r="I566" s="266" t="s">
        <v>1147</v>
      </c>
      <c r="J566" s="263" t="str">
        <f>IF(ISBLANK('Dry_Litterbag Placem_Collection'!L127),"","G"&amp;""&amp;'Dry_Litterbag Placem_Collection'!L127)</f>
        <v>G757</v>
      </c>
      <c r="K566" s="267">
        <f>IFERROR(INDEX('Green_rooibos initial weight'!$C$5:$C$1749,MATCH(J566, 'Green_rooibos initial weight'!$A$5:$A$1749,0)),"")</f>
        <v>2.0670000000000002</v>
      </c>
      <c r="L566" s="267">
        <f>IFERROR(K566-(TBIcalc!$Q$9+TBIcalc!$Q$10),"")</f>
        <v>1.8172000000000001</v>
      </c>
      <c r="M566" s="391">
        <f>AVERAGE(Ashed_controlls!$K$2:$K$11)</f>
        <v>5.5147656768714146</v>
      </c>
      <c r="N566" s="267">
        <f t="shared" si="41"/>
        <v>1.7169856781198929</v>
      </c>
      <c r="O566" s="267">
        <f>IF(IFERROR(INDEX('Both teabags AfterDry'!$D$3:$D$900,MATCH(J566,'Both teabags AfterDry'!$A$3:$A$900,0)),"")="","",(IFERROR(INDEX('Both teabags AfterDry'!$D$3:$D$900,MATCH(J566,'Both teabags AfterDry'!$A$3:$A$900,0)),"")))</f>
        <v>0.92230000000000001</v>
      </c>
      <c r="P566" s="267">
        <f>IFERROR(IF(O566&gt;0,O566-(TBIcalc!$Q$9),""),"")</f>
        <v>0.77170000000000005</v>
      </c>
      <c r="Q566" s="278">
        <f>IFERROR(INDEX('Ashed teabags dry'!$K$2:$K$825,MATCH(J566,'Ashed teabags dry'!$A$2:$A$825,0)),"")</f>
        <v>20.954254795868039</v>
      </c>
      <c r="R566" s="278">
        <f t="shared" si="42"/>
        <v>0.60999601574028639</v>
      </c>
      <c r="S566" s="268">
        <f>'Dry_Litterbag Placem_Collection'!E127</f>
        <v>42939</v>
      </c>
      <c r="T566" s="268">
        <f>IF('Dry_Litterbag Placem_Collection'!G127="","",'Dry_Litterbag Placem_Collection'!G127)</f>
        <v>43008</v>
      </c>
      <c r="U566" s="269">
        <f t="shared" si="40"/>
        <v>69</v>
      </c>
      <c r="V566" s="267">
        <f t="shared" si="43"/>
        <v>1.0455000000000001</v>
      </c>
      <c r="W566" s="267">
        <f t="shared" si="44"/>
        <v>1.1069896623796065</v>
      </c>
      <c r="X566" s="271">
        <f>IFERROR(INDEX(Rainfall_Dry!$O$2:$O$217,MATCH(B566, Rainfall_Dry!$A$2:$A$217,0)),"")</f>
        <v>136.27214243</v>
      </c>
      <c r="Y566" s="260">
        <v>17.96</v>
      </c>
      <c r="Z566" s="260">
        <v>4.9199999999999982</v>
      </c>
      <c r="AA566" s="260">
        <v>77.12</v>
      </c>
      <c r="AB566" s="261" t="s">
        <v>2671</v>
      </c>
      <c r="AC566" s="260">
        <v>6.02207984228684</v>
      </c>
      <c r="AD566">
        <f>IF('WetLitterbags placem_collection'!AB127="","",'WetLitterbags placem_collection'!AB127)</f>
        <v>9.3000000000000007</v>
      </c>
      <c r="AE566">
        <f>IF('WetLitterbags placem_collection'!Z127="","",'WetLitterbags placem_collection'!Z127)</f>
        <v>43</v>
      </c>
      <c r="AF566" s="24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71">
        <f>IFERROR(AVERAGE('Dry_Litterbag Placem_Collection'!N127,'Dry_Litterbag Placem_Collection'!Q127),"")</f>
        <v>28.05</v>
      </c>
      <c r="AJ566" s="270">
        <f>INDEX(Coordinates!$B$2:$B$197,MATCH(G566,Coordinates!$J$2:$J$197,0))</f>
        <v>-2.3493320400000002</v>
      </c>
      <c r="AK566" s="270">
        <f>INDEX(Coordinates!$C$2:$C$197,MATCH(G566,Coordinates!$J$2:$J$197,0))</f>
        <v>34.051321960000003</v>
      </c>
      <c r="AL566" s="270" t="str">
        <f>IF(ISNUMBER(SEARCH("C", 'Dry_Litterbag Placem_Collection'!U127)),"YES","NO")</f>
        <v>NO</v>
      </c>
      <c r="AM566" s="270" t="str">
        <f>IF(ISNUMBER(SEARCH("H", 'Dry_Litterbag Placem_Collection'!U127)),"YES","NO")</f>
        <v>NO</v>
      </c>
      <c r="AN566" s="270" t="str">
        <f>IF(ISNUMBER(SEARCH("R", 'Dry_Litterbag Placem_Collection'!U127)),"YES","NO")</f>
        <v>NO</v>
      </c>
    </row>
    <row r="567" spans="1:40" ht="15" customHeight="1">
      <c r="A567" s="262" t="s">
        <v>2659</v>
      </c>
      <c r="B567" s="263">
        <f>'Dry_Litterbag Placem_Collection'!A128</f>
        <v>126</v>
      </c>
      <c r="C567" s="263" t="str">
        <f>'Dry_Litterbag Placem_Collection'!B128</f>
        <v xml:space="preserve">Mwantimba
</v>
      </c>
      <c r="D567" s="263" t="s">
        <v>2659</v>
      </c>
      <c r="E567" s="263" t="s">
        <v>2660</v>
      </c>
      <c r="F567" s="263">
        <v>4</v>
      </c>
      <c r="G567" s="264" t="str">
        <f>'Dry_Litterbag Placem_Collection'!C128</f>
        <v>Wet_Ag4_T6</v>
      </c>
      <c r="H567" s="273" t="s">
        <v>3651</v>
      </c>
      <c r="I567" s="266" t="s">
        <v>1147</v>
      </c>
      <c r="J567" s="263" t="str">
        <f>IF(ISBLANK('Dry_Litterbag Placem_Collection'!L128),"","G"&amp;""&amp;'Dry_Litterbag Placem_Collection'!L128)</f>
        <v/>
      </c>
      <c r="K567" s="267" t="str">
        <f>IFERROR(INDEX('Green_rooibos initial weight'!$C$5:$C$1749,MATCH(J567, 'Green_rooibos initial weight'!$A$5:$A$1749,0)),"")</f>
        <v/>
      </c>
      <c r="L567" s="267" t="str">
        <f>IFERROR(K567-(TBIcalc!$Q$9+TBIcalc!$Q$10),"")</f>
        <v/>
      </c>
      <c r="M567" s="391">
        <f>AVERAGE(Ashed_controlls!$K$2:$K$11)</f>
        <v>5.5147656768714146</v>
      </c>
      <c r="N567" s="267" t="str">
        <f t="shared" si="41"/>
        <v/>
      </c>
      <c r="O567" s="267" t="str">
        <f>IF(IFERROR(INDEX('Both teabags AfterDry'!$D$3:$D$900,MATCH(J567,'Both teabags AfterDry'!$A$3:$A$900,0)),"")="","",(IFERROR(INDEX('Both teabags AfterDry'!$D$3:$D$900,MATCH(J567,'Both teabags AfterDry'!$A$3:$A$900,0)),"")))</f>
        <v/>
      </c>
      <c r="P567" s="267" t="str">
        <f>IFERROR(IF(O567&gt;0,O567-(TBIcalc!$Q$9),""),"")</f>
        <v/>
      </c>
      <c r="Q567" s="278" t="str">
        <f>IFERROR(INDEX('Ashed teabags dry'!$K$2:$K$825,MATCH(J567,'Ashed teabags dry'!$A$2:$A$825,0)),"")</f>
        <v/>
      </c>
      <c r="R567" s="278" t="str">
        <f t="shared" si="42"/>
        <v/>
      </c>
      <c r="S567" s="268">
        <f>'Dry_Litterbag Placem_Collection'!E128</f>
        <v>0</v>
      </c>
      <c r="T567" s="268" t="str">
        <f>IF('Dry_Litterbag Placem_Collection'!G128="","",'Dry_Litterbag Placem_Collection'!G128)</f>
        <v/>
      </c>
      <c r="U567" s="269" t="str">
        <f t="shared" si="40"/>
        <v/>
      </c>
      <c r="V567" s="267" t="str">
        <f t="shared" si="43"/>
        <v/>
      </c>
      <c r="W567" s="267" t="str">
        <f t="shared" si="44"/>
        <v/>
      </c>
      <c r="X567" s="271" t="str">
        <f>IFERROR(INDEX(Rainfall_Dry!$O$2:$O$217,MATCH(B567, Rainfall_Dry!$A$2:$A$217,0)),"")</f>
        <v/>
      </c>
      <c r="Y567" s="260">
        <v>17.96</v>
      </c>
      <c r="Z567" s="260">
        <v>4.9199999999999982</v>
      </c>
      <c r="AA567" s="260">
        <v>77.12</v>
      </c>
      <c r="AB567" s="261" t="s">
        <v>2671</v>
      </c>
      <c r="AC567" s="260">
        <v>7.02207984228684</v>
      </c>
      <c r="AD567">
        <f>IF('WetLitterbags placem_collection'!AB128="","",'WetLitterbags placem_collection'!AB128)</f>
        <v>10.85</v>
      </c>
      <c r="AE567">
        <f>IF('WetLitterbags placem_collection'!Z128="","",'WetLitterbags placem_collection'!Z128)</f>
        <v>40</v>
      </c>
      <c r="AF567" s="24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71" t="str">
        <f>IFERROR(AVERAGE('Dry_Litterbag Placem_Collection'!N128,'Dry_Litterbag Placem_Collection'!Q128),"")</f>
        <v/>
      </c>
      <c r="AJ567" s="270">
        <f>INDEX(Coordinates!$B$2:$B$197,MATCH(G567,Coordinates!$J$2:$J$197,0))</f>
        <v>-2.3493509829999999</v>
      </c>
      <c r="AK567" s="270">
        <f>INDEX(Coordinates!$C$2:$C$197,MATCH(G567,Coordinates!$J$2:$J$197,0))</f>
        <v>34.051332019999997</v>
      </c>
      <c r="AL567" s="270" t="str">
        <f>IF(ISNUMBER(SEARCH("C", 'Dry_Litterbag Placem_Collection'!U128)),"YES","NO")</f>
        <v>NO</v>
      </c>
      <c r="AM567" s="270" t="str">
        <f>IF(ISNUMBER(SEARCH("H", 'Dry_Litterbag Placem_Collection'!U128)),"YES","NO")</f>
        <v>NO</v>
      </c>
      <c r="AN567" s="270" t="str">
        <f>IF(ISNUMBER(SEARCH("R", 'Dry_Litterbag Placem_Collection'!U128)),"YES","NO")</f>
        <v>NO</v>
      </c>
    </row>
    <row r="568" spans="1:40" ht="15" customHeight="1">
      <c r="A568" s="262" t="s">
        <v>2659</v>
      </c>
      <c r="B568" s="263">
        <f>'Dry_Litterbag Placem_Collection'!A129</f>
        <v>127</v>
      </c>
      <c r="C568" s="263" t="str">
        <f>'Dry_Litterbag Placem_Collection'!B129</f>
        <v xml:space="preserve">Mwantimba
</v>
      </c>
      <c r="D568" s="263" t="s">
        <v>2659</v>
      </c>
      <c r="E568" s="263" t="s">
        <v>2660</v>
      </c>
      <c r="F568" s="263">
        <v>4</v>
      </c>
      <c r="G568" s="264" t="str">
        <f>'Dry_Litterbag Placem_Collection'!C129</f>
        <v>Wet_Ag4_T7</v>
      </c>
      <c r="H568" s="273" t="s">
        <v>3651</v>
      </c>
      <c r="I568" s="266" t="s">
        <v>1147</v>
      </c>
      <c r="J568" s="263" t="str">
        <f>IF(ISBLANK('Dry_Litterbag Placem_Collection'!L129),"","G"&amp;""&amp;'Dry_Litterbag Placem_Collection'!L129)</f>
        <v>G96</v>
      </c>
      <c r="K568" s="267">
        <f>IFERROR(INDEX('Green_rooibos initial weight'!$C$5:$C$1749,MATCH(J568, 'Green_rooibos initial weight'!$A$5:$A$1749,0)),"")</f>
        <v>2.2349999999999999</v>
      </c>
      <c r="L568" s="267">
        <f>IFERROR(K568-(TBIcalc!$Q$9+TBIcalc!$Q$10),"")</f>
        <v>1.9851999999999999</v>
      </c>
      <c r="M568" s="391">
        <f>AVERAGE(Ashed_controlls!$K$2:$K$11)</f>
        <v>5.5147656768714146</v>
      </c>
      <c r="N568" s="267">
        <f t="shared" si="41"/>
        <v>1.8757208717827485</v>
      </c>
      <c r="O568" s="267">
        <f>IF(IFERROR(INDEX('Both teabags AfterDry'!$D$3:$D$900,MATCH(J568,'Both teabags AfterDry'!$A$3:$A$900,0)),"")="","",(IFERROR(INDEX('Both teabags AfterDry'!$D$3:$D$900,MATCH(J568,'Both teabags AfterDry'!$A$3:$A$900,0)),"")))</f>
        <v>0.77790000000000004</v>
      </c>
      <c r="P568" s="267">
        <f>IFERROR(IF(O568&gt;0,O568-(TBIcalc!$Q$9),""),"")</f>
        <v>0.62729999999999997</v>
      </c>
      <c r="Q568" s="278">
        <f>IFERROR(INDEX('Ashed teabags dry'!$K$2:$K$825,MATCH(J568,'Ashed teabags dry'!$A$2:$A$825,0)),"")</f>
        <v>15.120274914089208</v>
      </c>
      <c r="R568" s="278">
        <f t="shared" si="42"/>
        <v>0.53245051546391842</v>
      </c>
      <c r="S568" s="268">
        <f>'Dry_Litterbag Placem_Collection'!E129</f>
        <v>42939</v>
      </c>
      <c r="T568" s="268">
        <f>IF('Dry_Litterbag Placem_Collection'!G129="","",'Dry_Litterbag Placem_Collection'!G129)</f>
        <v>43008</v>
      </c>
      <c r="U568" s="269">
        <f t="shared" si="40"/>
        <v>69</v>
      </c>
      <c r="V568" s="267">
        <f t="shared" si="43"/>
        <v>1.3578999999999999</v>
      </c>
      <c r="W568" s="267">
        <f t="shared" si="44"/>
        <v>1.34327035631883</v>
      </c>
      <c r="X568" s="271">
        <f>IFERROR(INDEX(Rainfall_Dry!$O$2:$O$217,MATCH(B568, Rainfall_Dry!$A$2:$A$217,0)),"")</f>
        <v>136.27214243</v>
      </c>
      <c r="Y568" s="260">
        <v>17.96</v>
      </c>
      <c r="Z568" s="260">
        <v>4.9199999999999982</v>
      </c>
      <c r="AA568" s="260">
        <v>77.12</v>
      </c>
      <c r="AB568" s="261" t="s">
        <v>2671</v>
      </c>
      <c r="AC568" s="260">
        <v>8.0220798422868391</v>
      </c>
      <c r="AD568">
        <f>IF('WetLitterbags placem_collection'!AB129="","",'WetLitterbags placem_collection'!AB129)</f>
        <v>5.35</v>
      </c>
      <c r="AE568">
        <f>IF('WetLitterbags placem_collection'!Z129="","",'WetLitterbags placem_collection'!Z129)</f>
        <v>58</v>
      </c>
      <c r="AF568" s="24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71">
        <f>IFERROR(AVERAGE('Dry_Litterbag Placem_Collection'!N129,'Dry_Litterbag Placem_Collection'!Q129),"")</f>
        <v>28.1</v>
      </c>
      <c r="AJ568" s="270">
        <f>INDEX(Coordinates!$B$2:$B$197,MATCH(G568,Coordinates!$J$2:$J$197,0))</f>
        <v>-2.3491850219999999</v>
      </c>
      <c r="AK568" s="270">
        <f>INDEX(Coordinates!$C$2:$C$197,MATCH(G568,Coordinates!$J$2:$J$197,0))</f>
        <v>34.051264959999997</v>
      </c>
      <c r="AL568" s="270" t="str">
        <f>IF(ISNUMBER(SEARCH("C", 'Dry_Litterbag Placem_Collection'!U129)),"YES","NO")</f>
        <v>NO</v>
      </c>
      <c r="AM568" s="270" t="str">
        <f>IF(ISNUMBER(SEARCH("H", 'Dry_Litterbag Placem_Collection'!U129)),"YES","NO")</f>
        <v>NO</v>
      </c>
      <c r="AN568" s="270" t="str">
        <f>IF(ISNUMBER(SEARCH("R", 'Dry_Litterbag Placem_Collection'!U129)),"YES","NO")</f>
        <v>YES</v>
      </c>
    </row>
    <row r="569" spans="1:40" ht="15" customHeight="1">
      <c r="A569" s="262" t="s">
        <v>2659</v>
      </c>
      <c r="B569" s="263">
        <f>'Dry_Litterbag Placem_Collection'!A130</f>
        <v>128</v>
      </c>
      <c r="C569" s="263" t="str">
        <f>'Dry_Litterbag Placem_Collection'!B130</f>
        <v xml:space="preserve">Mwantimba
</v>
      </c>
      <c r="D569" s="263" t="s">
        <v>2659</v>
      </c>
      <c r="E569" s="263" t="s">
        <v>2660</v>
      </c>
      <c r="F569" s="263">
        <v>4</v>
      </c>
      <c r="G569" s="264" t="str">
        <f>'Dry_Litterbag Placem_Collection'!C130</f>
        <v>Wet_Ag4_T8</v>
      </c>
      <c r="H569" s="273" t="s">
        <v>3651</v>
      </c>
      <c r="I569" s="266" t="s">
        <v>1147</v>
      </c>
      <c r="J569" s="263" t="str">
        <f>IF(ISBLANK('Dry_Litterbag Placem_Collection'!L130),"","G"&amp;""&amp;'Dry_Litterbag Placem_Collection'!L130)</f>
        <v>G134</v>
      </c>
      <c r="K569" s="267">
        <f>IFERROR(INDEX('Green_rooibos initial weight'!$C$5:$C$1749,MATCH(J569, 'Green_rooibos initial weight'!$A$5:$A$1749,0)),"")</f>
        <v>2.0089999999999999</v>
      </c>
      <c r="L569" s="267">
        <f>IFERROR(K569-(TBIcalc!$Q$9+TBIcalc!$Q$10),"")</f>
        <v>1.7591999999999999</v>
      </c>
      <c r="M569" s="391">
        <f>AVERAGE(Ashed_controlls!$K$2:$K$11)</f>
        <v>5.5147656768714146</v>
      </c>
      <c r="N569" s="267">
        <f t="shared" si="41"/>
        <v>1.662184242212478</v>
      </c>
      <c r="O569" s="267">
        <f>IF(IFERROR(INDEX('Both teabags AfterDry'!$D$3:$D$900,MATCH(J569,'Both teabags AfterDry'!$A$3:$A$900,0)),"")="","",(IFERROR(INDEX('Both teabags AfterDry'!$D$3:$D$900,MATCH(J569,'Both teabags AfterDry'!$A$3:$A$900,0)),"")))</f>
        <v>0.82289999999999996</v>
      </c>
      <c r="P569" s="267">
        <f>IFERROR(IF(O569&gt;0,O569-(TBIcalc!$Q$9),""),"")</f>
        <v>0.6722999999999999</v>
      </c>
      <c r="Q569" s="278">
        <f>IFERROR(INDEX('Ashed teabags dry'!$K$2:$K$825,MATCH(J569,'Ashed teabags dry'!$A$2:$A$825,0)),"")</f>
        <v>18.432510885341248</v>
      </c>
      <c r="R569" s="278">
        <f t="shared" si="42"/>
        <v>0.54837822931785074</v>
      </c>
      <c r="S569" s="268">
        <f>'Dry_Litterbag Placem_Collection'!E130</f>
        <v>42939</v>
      </c>
      <c r="T569" s="268">
        <f>IF('Dry_Litterbag Placem_Collection'!G130="","",'Dry_Litterbag Placem_Collection'!G130)</f>
        <v>43008</v>
      </c>
      <c r="U569" s="269">
        <f t="shared" si="40"/>
        <v>69</v>
      </c>
      <c r="V569" s="267">
        <f t="shared" si="43"/>
        <v>1.0869</v>
      </c>
      <c r="W569" s="267">
        <f t="shared" si="44"/>
        <v>1.1138060128946272</v>
      </c>
      <c r="X569" s="271">
        <f>IFERROR(INDEX(Rainfall_Dry!$O$2:$O$217,MATCH(B569, Rainfall_Dry!$A$2:$A$217,0)),"")</f>
        <v>136.27214243</v>
      </c>
      <c r="Y569" s="260">
        <v>17.96</v>
      </c>
      <c r="Z569" s="260">
        <v>4.9199999999999982</v>
      </c>
      <c r="AA569" s="260">
        <v>77.12</v>
      </c>
      <c r="AB569" s="261" t="s">
        <v>2671</v>
      </c>
      <c r="AC569" s="260">
        <v>9.0220798422868391</v>
      </c>
      <c r="AD569">
        <f>IF('WetLitterbags placem_collection'!AB130="","",'WetLitterbags placem_collection'!AB130)</f>
        <v>10.9</v>
      </c>
      <c r="AE569">
        <f>IF('WetLitterbags placem_collection'!Z130="","",'WetLitterbags placem_collection'!Z130)</f>
        <v>44</v>
      </c>
      <c r="AF569" s="24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71">
        <f>IFERROR(AVERAGE('Dry_Litterbag Placem_Collection'!N130,'Dry_Litterbag Placem_Collection'!Q130),"")</f>
        <v>28.4</v>
      </c>
      <c r="AJ569" s="270">
        <f>INDEX(Coordinates!$B$2:$B$197,MATCH(G569,Coordinates!$J$2:$J$197,0))</f>
        <v>-2.3493099960000001</v>
      </c>
      <c r="AK569" s="270">
        <f>INDEX(Coordinates!$C$2:$C$197,MATCH(G569,Coordinates!$J$2:$J$197,0))</f>
        <v>34.05141802</v>
      </c>
      <c r="AL569" s="270" t="str">
        <f>IF(ISNUMBER(SEARCH("C", 'Dry_Litterbag Placem_Collection'!U130)),"YES","NO")</f>
        <v>NO</v>
      </c>
      <c r="AM569" s="270" t="str">
        <f>IF(ISNUMBER(SEARCH("H", 'Dry_Litterbag Placem_Collection'!U130)),"YES","NO")</f>
        <v>NO</v>
      </c>
      <c r="AN569" s="270" t="str">
        <f>IF(ISNUMBER(SEARCH("R", 'Dry_Litterbag Placem_Collection'!U130)),"YES","NO")</f>
        <v>NO</v>
      </c>
    </row>
    <row r="570" spans="1:40" ht="15" customHeight="1">
      <c r="A570" s="262" t="s">
        <v>2659</v>
      </c>
      <c r="B570" s="263">
        <f>'Dry_Litterbag Placem_Collection'!A131</f>
        <v>129</v>
      </c>
      <c r="C570" s="263" t="str">
        <f>'Dry_Litterbag Placem_Collection'!B131</f>
        <v xml:space="preserve">Mwantimba
</v>
      </c>
      <c r="D570" s="263" t="s">
        <v>2659</v>
      </c>
      <c r="E570" s="263" t="s">
        <v>20</v>
      </c>
      <c r="F570" s="263">
        <v>1</v>
      </c>
      <c r="G570" s="264" t="str">
        <f>'Dry_Litterbag Placem_Collection'!C131</f>
        <v>Wet_P1_T1</v>
      </c>
      <c r="H570" s="273" t="s">
        <v>3651</v>
      </c>
      <c r="I570" s="266" t="s">
        <v>1147</v>
      </c>
      <c r="J570" s="263" t="str">
        <f>IF(ISBLANK('Dry_Litterbag Placem_Collection'!L131),"","G"&amp;""&amp;'Dry_Litterbag Placem_Collection'!L131)</f>
        <v>G671</v>
      </c>
      <c r="K570" s="267">
        <f>IFERROR(INDEX('Green_rooibos initial weight'!$C$5:$C$1749,MATCH(J570, 'Green_rooibos initial weight'!$A$5:$A$1749,0)),"")</f>
        <v>2.0510000000000002</v>
      </c>
      <c r="L570" s="267">
        <f>IFERROR(K570-(TBIcalc!$Q$9+TBIcalc!$Q$10),"")</f>
        <v>1.8012000000000001</v>
      </c>
      <c r="M570" s="391">
        <f>AVERAGE(Ashed_controlls!$K$2:$K$11)</f>
        <v>5.5147656768714146</v>
      </c>
      <c r="N570" s="267">
        <f t="shared" si="41"/>
        <v>1.7018680406281923</v>
      </c>
      <c r="O570" s="267">
        <f>IF(IFERROR(INDEX('Both teabags AfterDry'!$D$3:$D$900,MATCH(J570,'Both teabags AfterDry'!$A$3:$A$900,0)),"")="","",(IFERROR(INDEX('Both teabags AfterDry'!$D$3:$D$900,MATCH(J570,'Both teabags AfterDry'!$A$3:$A$900,0)),"")))</f>
        <v>0.68540000000000001</v>
      </c>
      <c r="P570" s="267">
        <f>IFERROR(IF(O570&gt;0,O570-(TBIcalc!$Q$9),""),"")</f>
        <v>0.53479999999999994</v>
      </c>
      <c r="Q570" s="278">
        <f>IFERROR(INDEX('Ashed teabags dry'!$K$2:$K$825,MATCH(J570,'Ashed teabags dry'!$A$2:$A$825,0)),"")</f>
        <v>15.942028985507489</v>
      </c>
      <c r="R570" s="278">
        <f t="shared" si="42"/>
        <v>0.44954202898550588</v>
      </c>
      <c r="S570" s="268">
        <f>'Dry_Litterbag Placem_Collection'!E131</f>
        <v>42939</v>
      </c>
      <c r="T570" s="268">
        <f>IF('Dry_Litterbag Placem_Collection'!G131="","",'Dry_Litterbag Placem_Collection'!G131)</f>
        <v>43008</v>
      </c>
      <c r="U570" s="269">
        <f t="shared" si="40"/>
        <v>69</v>
      </c>
      <c r="V570" s="267">
        <f t="shared" si="43"/>
        <v>1.2664000000000002</v>
      </c>
      <c r="W570" s="267">
        <f t="shared" si="44"/>
        <v>1.2523260116426864</v>
      </c>
      <c r="X570" s="271">
        <f>IFERROR(INDEX(Rainfall_Dry!$O$2:$O$217,MATCH(B570, Rainfall_Dry!$A$2:$A$217,0)),"")</f>
        <v>136.27214243</v>
      </c>
      <c r="Y570" s="260">
        <v>31.214836424255054</v>
      </c>
      <c r="Z570" s="260">
        <v>11.377370285476141</v>
      </c>
      <c r="AA570" s="260">
        <v>57.407793290268799</v>
      </c>
      <c r="AB570" s="261" t="s">
        <v>2670</v>
      </c>
      <c r="AC570" s="260">
        <v>1.7337604731394776</v>
      </c>
      <c r="AD570">
        <f>IF('WetLitterbags placem_collection'!AB131="","",'WetLitterbags placem_collection'!AB131)</f>
        <v>2.4</v>
      </c>
      <c r="AE570">
        <f>IF('WetLitterbags placem_collection'!Z131="","",'WetLitterbags placem_collection'!Z131)</f>
        <v>2.4</v>
      </c>
      <c r="AF570" s="24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71">
        <f>IFERROR(AVERAGE('Dry_Litterbag Placem_Collection'!N131,'Dry_Litterbag Placem_Collection'!Q131),"")</f>
        <v>29.05</v>
      </c>
      <c r="AJ570" s="270">
        <f>INDEX(Coordinates!$B$2:$B$197,MATCH(G570,Coordinates!$J$2:$J$197,0))</f>
        <v>-2.3503360249999998</v>
      </c>
      <c r="AK570" s="270">
        <f>INDEX(Coordinates!$C$2:$C$197,MATCH(G570,Coordinates!$J$2:$J$197,0))</f>
        <v>34.049662009999999</v>
      </c>
      <c r="AL570" s="270" t="str">
        <f>IF(ISNUMBER(SEARCH("C", 'Dry_Litterbag Placem_Collection'!U131)),"YES","NO")</f>
        <v>NO</v>
      </c>
      <c r="AM570" s="270" t="str">
        <f>IF(ISNUMBER(SEARCH("H", 'Dry_Litterbag Placem_Collection'!U131)),"YES","NO")</f>
        <v>NO</v>
      </c>
      <c r="AN570" s="270" t="str">
        <f>IF(ISNUMBER(SEARCH("R", 'Dry_Litterbag Placem_Collection'!U131)),"YES","NO")</f>
        <v>NO</v>
      </c>
    </row>
    <row r="571" spans="1:40" ht="15" customHeight="1">
      <c r="A571" s="262" t="s">
        <v>2659</v>
      </c>
      <c r="B571" s="263">
        <f>'Dry_Litterbag Placem_Collection'!A132</f>
        <v>130</v>
      </c>
      <c r="C571" s="263" t="str">
        <f>'Dry_Litterbag Placem_Collection'!B132</f>
        <v xml:space="preserve">Mwantimba
</v>
      </c>
      <c r="D571" s="263" t="s">
        <v>2659</v>
      </c>
      <c r="E571" s="263" t="s">
        <v>20</v>
      </c>
      <c r="F571" s="263">
        <v>1</v>
      </c>
      <c r="G571" s="264" t="str">
        <f>'Dry_Litterbag Placem_Collection'!C132</f>
        <v>Wet_P1_T2</v>
      </c>
      <c r="H571" s="273" t="s">
        <v>3651</v>
      </c>
      <c r="I571" s="266" t="s">
        <v>1147</v>
      </c>
      <c r="J571" s="263" t="str">
        <f>IF(ISBLANK('Dry_Litterbag Placem_Collection'!L132),"","G"&amp;""&amp;'Dry_Litterbag Placem_Collection'!L132)</f>
        <v>G400</v>
      </c>
      <c r="K571" s="267">
        <f>IFERROR(INDEX('Green_rooibos initial weight'!$C$5:$C$1749,MATCH(J571, 'Green_rooibos initial weight'!$A$5:$A$1749,0)),"")</f>
        <v>2.0089999999999999</v>
      </c>
      <c r="L571" s="267">
        <f>IFERROR(K571-(TBIcalc!$Q$9+TBIcalc!$Q$10),"")</f>
        <v>1.7591999999999999</v>
      </c>
      <c r="M571" s="391">
        <f>AVERAGE(Ashed_controlls!$K$2:$K$11)</f>
        <v>5.5147656768714146</v>
      </c>
      <c r="N571" s="267">
        <f t="shared" si="41"/>
        <v>1.662184242212478</v>
      </c>
      <c r="O571" s="267">
        <f>IF(IFERROR(INDEX('Both teabags AfterDry'!$D$3:$D$900,MATCH(J571,'Both teabags AfterDry'!$A$3:$A$900,0)),"")="","",(IFERROR(INDEX('Both teabags AfterDry'!$D$3:$D$900,MATCH(J571,'Both teabags AfterDry'!$A$3:$A$900,0)),"")))</f>
        <v>0.86</v>
      </c>
      <c r="P571" s="267">
        <f>IFERROR(IF(O571&gt;0,O571-(TBIcalc!$Q$9),""),"")</f>
        <v>0.70940000000000003</v>
      </c>
      <c r="Q571" s="278">
        <f>IFERROR(INDEX('Ashed teabags dry'!$K$2:$K$825,MATCH(J571,'Ashed teabags dry'!$A$2:$A$825,0)),"")</f>
        <v>23.389830508474194</v>
      </c>
      <c r="R571" s="278">
        <f t="shared" si="42"/>
        <v>0.54347254237288412</v>
      </c>
      <c r="S571" s="268">
        <f>'Dry_Litterbag Placem_Collection'!E132</f>
        <v>42939</v>
      </c>
      <c r="T571" s="268">
        <f>IF('Dry_Litterbag Placem_Collection'!G132="","",'Dry_Litterbag Placem_Collection'!G132)</f>
        <v>43008</v>
      </c>
      <c r="U571" s="269">
        <f t="shared" si="40"/>
        <v>69</v>
      </c>
      <c r="V571" s="267">
        <f t="shared" si="43"/>
        <v>1.0497999999999998</v>
      </c>
      <c r="W571" s="267">
        <f t="shared" si="44"/>
        <v>1.1187116998395938</v>
      </c>
      <c r="X571" s="271">
        <f>IFERROR(INDEX(Rainfall_Dry!$O$2:$O$217,MATCH(B571, Rainfall_Dry!$A$2:$A$217,0)),"")</f>
        <v>136.27214243</v>
      </c>
      <c r="Y571" s="260">
        <v>31.214836424255054</v>
      </c>
      <c r="Z571" s="260">
        <v>11.377370285476141</v>
      </c>
      <c r="AA571" s="260">
        <v>57.407793290268799</v>
      </c>
      <c r="AB571" s="261" t="s">
        <v>2670</v>
      </c>
      <c r="AC571" s="260">
        <v>2.7337604731394798</v>
      </c>
      <c r="AD571">
        <f>IF('WetLitterbags placem_collection'!AB132="","",'WetLitterbags placem_collection'!AB132)</f>
        <v>2.1</v>
      </c>
      <c r="AE571">
        <f>IF('WetLitterbags placem_collection'!Z132="","",'WetLitterbags placem_collection'!Z132)</f>
        <v>3.5</v>
      </c>
      <c r="AF571" s="24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71">
        <f>IFERROR(AVERAGE('Dry_Litterbag Placem_Collection'!N132,'Dry_Litterbag Placem_Collection'!Q132),"")</f>
        <v>28.55</v>
      </c>
      <c r="AJ571" s="270">
        <f>INDEX(Coordinates!$B$2:$B$197,MATCH(G571,Coordinates!$J$2:$J$197,0))</f>
        <v>-2.3503729889999998</v>
      </c>
      <c r="AK571" s="270">
        <f>INDEX(Coordinates!$C$2:$C$197,MATCH(G571,Coordinates!$J$2:$J$197,0))</f>
        <v>34.049626969999998</v>
      </c>
      <c r="AL571" s="270" t="str">
        <f>IF(ISNUMBER(SEARCH("C", 'Dry_Litterbag Placem_Collection'!U132)),"YES","NO")</f>
        <v>NO</v>
      </c>
      <c r="AM571" s="270" t="str">
        <f>IF(ISNUMBER(SEARCH("H", 'Dry_Litterbag Placem_Collection'!U132)),"YES","NO")</f>
        <v>NO</v>
      </c>
      <c r="AN571" s="270" t="str">
        <f>IF(ISNUMBER(SEARCH("R", 'Dry_Litterbag Placem_Collection'!U132)),"YES","NO")</f>
        <v>YES</v>
      </c>
    </row>
    <row r="572" spans="1:40" ht="15" customHeight="1">
      <c r="A572" s="262" t="s">
        <v>2659</v>
      </c>
      <c r="B572" s="263">
        <f>'Dry_Litterbag Placem_Collection'!A133</f>
        <v>131</v>
      </c>
      <c r="C572" s="263" t="str">
        <f>'Dry_Litterbag Placem_Collection'!B133</f>
        <v xml:space="preserve">Mwantimba
</v>
      </c>
      <c r="D572" s="263" t="s">
        <v>2659</v>
      </c>
      <c r="E572" s="263" t="s">
        <v>20</v>
      </c>
      <c r="F572" s="263">
        <v>1</v>
      </c>
      <c r="G572" s="264" t="str">
        <f>'Dry_Litterbag Placem_Collection'!C133</f>
        <v>Wet_P1_T3</v>
      </c>
      <c r="H572" s="273" t="s">
        <v>3651</v>
      </c>
      <c r="I572" s="266" t="s">
        <v>1147</v>
      </c>
      <c r="J572" s="263" t="str">
        <f>IF(ISBLANK('Dry_Litterbag Placem_Collection'!L133),"","G"&amp;""&amp;'Dry_Litterbag Placem_Collection'!L133)</f>
        <v>G48</v>
      </c>
      <c r="K572" s="267">
        <f>IFERROR(INDEX('Green_rooibos initial weight'!$C$5:$C$1749,MATCH(J572, 'Green_rooibos initial weight'!$A$5:$A$1749,0)),"")</f>
        <v>2.0590000000000002</v>
      </c>
      <c r="L572" s="267">
        <f>IFERROR(K572-(TBIcalc!$Q$9+TBIcalc!$Q$10),"")</f>
        <v>1.8092000000000001</v>
      </c>
      <c r="M572" s="391">
        <f>AVERAGE(Ashed_controlls!$K$2:$K$11)</f>
        <v>5.5147656768714146</v>
      </c>
      <c r="N572" s="267">
        <f t="shared" si="41"/>
        <v>1.7094268593740425</v>
      </c>
      <c r="O572" s="267">
        <f>IF(IFERROR(INDEX('Both teabags AfterDry'!$D$3:$D$900,MATCH(J572,'Both teabags AfterDry'!$A$3:$A$900,0)),"")="","",(IFERROR(INDEX('Both teabags AfterDry'!$D$3:$D$900,MATCH(J572,'Both teabags AfterDry'!$A$3:$A$900,0)),"")))</f>
        <v>0.84750000000000003</v>
      </c>
      <c r="P572" s="267">
        <f>IFERROR(IF(O572&gt;0,O572-(TBIcalc!$Q$9),""),"")</f>
        <v>0.69690000000000007</v>
      </c>
      <c r="Q572" s="278">
        <f>IFERROR(INDEX('Ashed teabags dry'!$K$2:$K$825,MATCH(J572,'Ashed teabags dry'!$A$2:$A$825,0)),"")</f>
        <v>16.880037932669509</v>
      </c>
      <c r="R572" s="278">
        <f t="shared" si="42"/>
        <v>0.57926301564722626</v>
      </c>
      <c r="S572" s="268">
        <f>'Dry_Litterbag Placem_Collection'!E133</f>
        <v>42939</v>
      </c>
      <c r="T572" s="268">
        <f>IF('Dry_Litterbag Placem_Collection'!G133="","",'Dry_Litterbag Placem_Collection'!G133)</f>
        <v>43008</v>
      </c>
      <c r="U572" s="269">
        <f t="shared" si="40"/>
        <v>69</v>
      </c>
      <c r="V572" s="267">
        <f t="shared" si="43"/>
        <v>1.1123000000000001</v>
      </c>
      <c r="W572" s="267">
        <f t="shared" si="44"/>
        <v>1.1301638437268162</v>
      </c>
      <c r="X572" s="271">
        <f>IFERROR(INDEX(Rainfall_Dry!$O$2:$O$217,MATCH(B572, Rainfall_Dry!$A$2:$A$217,0)),"")</f>
        <v>136.27214243</v>
      </c>
      <c r="Y572" s="260">
        <v>31.214836424255054</v>
      </c>
      <c r="Z572" s="260">
        <v>11.377370285476141</v>
      </c>
      <c r="AA572" s="260">
        <v>57.407793290268799</v>
      </c>
      <c r="AB572" s="261" t="s">
        <v>2670</v>
      </c>
      <c r="AC572" s="260">
        <v>3.7337604731394798</v>
      </c>
      <c r="AD572">
        <f>IF('WetLitterbags placem_collection'!AB133="","",'WetLitterbags placem_collection'!AB133)</f>
        <v>4.5</v>
      </c>
      <c r="AE572">
        <f>IF('WetLitterbags placem_collection'!Z133="","",'WetLitterbags placem_collection'!Z133)</f>
        <v>7.5</v>
      </c>
      <c r="AF572" s="24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71">
        <f>IFERROR(AVERAGE('Dry_Litterbag Placem_Collection'!N133,'Dry_Litterbag Placem_Collection'!Q133),"")</f>
        <v>28.6</v>
      </c>
      <c r="AJ572" s="270">
        <f>INDEX(Coordinates!$B$2:$B$197,MATCH(G572,Coordinates!$J$2:$J$197,0))</f>
        <v>-2.3503259660000002</v>
      </c>
      <c r="AK572" s="270">
        <f>INDEX(Coordinates!$C$2:$C$197,MATCH(G572,Coordinates!$J$2:$J$197,0))</f>
        <v>34.049616999999998</v>
      </c>
      <c r="AL572" s="270" t="str">
        <f>IF(ISNUMBER(SEARCH("C", 'Dry_Litterbag Placem_Collection'!U133)),"YES","NO")</f>
        <v>NO</v>
      </c>
      <c r="AM572" s="270" t="str">
        <f>IF(ISNUMBER(SEARCH("H", 'Dry_Litterbag Placem_Collection'!U133)),"YES","NO")</f>
        <v>NO</v>
      </c>
      <c r="AN572" s="270" t="str">
        <f>IF(ISNUMBER(SEARCH("R", 'Dry_Litterbag Placem_Collection'!U133)),"YES","NO")</f>
        <v>YES</v>
      </c>
    </row>
    <row r="573" spans="1:40" ht="15" customHeight="1">
      <c r="A573" s="262" t="s">
        <v>2659</v>
      </c>
      <c r="B573" s="263">
        <f>'Dry_Litterbag Placem_Collection'!A134</f>
        <v>132</v>
      </c>
      <c r="C573" s="263" t="str">
        <f>'Dry_Litterbag Placem_Collection'!B134</f>
        <v xml:space="preserve">Mwantimba
</v>
      </c>
      <c r="D573" s="263" t="s">
        <v>2659</v>
      </c>
      <c r="E573" s="263" t="s">
        <v>20</v>
      </c>
      <c r="F573" s="263">
        <v>1</v>
      </c>
      <c r="G573" s="264" t="str">
        <f>'Dry_Litterbag Placem_Collection'!C134</f>
        <v>Wet_P1_T4</v>
      </c>
      <c r="H573" s="273" t="s">
        <v>3651</v>
      </c>
      <c r="I573" s="266" t="s">
        <v>1147</v>
      </c>
      <c r="J573" s="263" t="str">
        <f>IF(ISBLANK('Dry_Litterbag Placem_Collection'!L134),"","G"&amp;""&amp;'Dry_Litterbag Placem_Collection'!L134)</f>
        <v/>
      </c>
      <c r="K573" s="267" t="str">
        <f>IFERROR(INDEX('Green_rooibos initial weight'!$C$5:$C$1749,MATCH(J573, 'Green_rooibos initial weight'!$A$5:$A$1749,0)),"")</f>
        <v/>
      </c>
      <c r="L573" s="267" t="str">
        <f>IFERROR(K573-(TBIcalc!$Q$9+TBIcalc!$Q$10),"")</f>
        <v/>
      </c>
      <c r="M573" s="391">
        <f>AVERAGE(Ashed_controlls!$K$2:$K$11)</f>
        <v>5.5147656768714146</v>
      </c>
      <c r="N573" s="267" t="str">
        <f t="shared" si="41"/>
        <v/>
      </c>
      <c r="O573" s="267" t="str">
        <f>IF(IFERROR(INDEX('Both teabags AfterDry'!$D$3:$D$900,MATCH(J573,'Both teabags AfterDry'!$A$3:$A$900,0)),"")="","",(IFERROR(INDEX('Both teabags AfterDry'!$D$3:$D$900,MATCH(J573,'Both teabags AfterDry'!$A$3:$A$900,0)),"")))</f>
        <v/>
      </c>
      <c r="P573" s="267" t="str">
        <f>IFERROR(IF(O573&gt;0,O573-(TBIcalc!$Q$9),""),"")</f>
        <v/>
      </c>
      <c r="Q573" s="278" t="str">
        <f>IFERROR(INDEX('Ashed teabags dry'!$K$2:$K$825,MATCH(J573,'Ashed teabags dry'!$A$2:$A$825,0)),"")</f>
        <v/>
      </c>
      <c r="R573" s="278" t="str">
        <f t="shared" si="42"/>
        <v/>
      </c>
      <c r="S573" s="268">
        <f>'Dry_Litterbag Placem_Collection'!E134</f>
        <v>0</v>
      </c>
      <c r="T573" s="268" t="str">
        <f>IF('Dry_Litterbag Placem_Collection'!G134="","",'Dry_Litterbag Placem_Collection'!G134)</f>
        <v/>
      </c>
      <c r="U573" s="269" t="str">
        <f t="shared" si="40"/>
        <v/>
      </c>
      <c r="V573" s="267" t="str">
        <f t="shared" si="43"/>
        <v/>
      </c>
      <c r="W573" s="267" t="str">
        <f t="shared" si="44"/>
        <v/>
      </c>
      <c r="X573" s="271" t="str">
        <f>IFERROR(INDEX(Rainfall_Dry!$O$2:$O$217,MATCH(B573, Rainfall_Dry!$A$2:$A$217,0)),"")</f>
        <v/>
      </c>
      <c r="Y573" s="260">
        <v>31.214836424255054</v>
      </c>
      <c r="Z573" s="260">
        <v>11.377370285476141</v>
      </c>
      <c r="AA573" s="260">
        <v>57.407793290268799</v>
      </c>
      <c r="AB573" s="261" t="s">
        <v>2670</v>
      </c>
      <c r="AC573" s="260">
        <v>4.7337604731394798</v>
      </c>
      <c r="AD573">
        <f>IF('WetLitterbags placem_collection'!AB134="","",'WetLitterbags placem_collection'!AB134)</f>
        <v>0.7</v>
      </c>
      <c r="AE573">
        <f>IF('WetLitterbags placem_collection'!Z134="","",'WetLitterbags placem_collection'!Z134)</f>
        <v>9.8000000000000007</v>
      </c>
      <c r="AF573" s="24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71" t="str">
        <f>IFERROR(AVERAGE('Dry_Litterbag Placem_Collection'!N134,'Dry_Litterbag Placem_Collection'!Q134),"")</f>
        <v/>
      </c>
      <c r="AJ573" s="270">
        <f>INDEX(Coordinates!$B$2:$B$197,MATCH(G573,Coordinates!$J$2:$J$197,0))</f>
        <v>-2.3504800260000001</v>
      </c>
      <c r="AK573" s="270">
        <f>INDEX(Coordinates!$C$2:$C$197,MATCH(G573,Coordinates!$J$2:$J$197,0))</f>
        <v>34.049551030000003</v>
      </c>
      <c r="AL573" s="270" t="str">
        <f>IF(ISNUMBER(SEARCH("C", 'Dry_Litterbag Placem_Collection'!U134)),"YES","NO")</f>
        <v>NO</v>
      </c>
      <c r="AM573" s="270" t="str">
        <f>IF(ISNUMBER(SEARCH("H", 'Dry_Litterbag Placem_Collection'!U134)),"YES","NO")</f>
        <v>NO</v>
      </c>
      <c r="AN573" s="270" t="str">
        <f>IF(ISNUMBER(SEARCH("R", 'Dry_Litterbag Placem_Collection'!U134)),"YES","NO")</f>
        <v>NO</v>
      </c>
    </row>
    <row r="574" spans="1:40" ht="15" customHeight="1">
      <c r="A574" s="262" t="s">
        <v>2659</v>
      </c>
      <c r="B574" s="263">
        <f>'Dry_Litterbag Placem_Collection'!A135</f>
        <v>133</v>
      </c>
      <c r="C574" s="263" t="str">
        <f>'Dry_Litterbag Placem_Collection'!B135</f>
        <v xml:space="preserve">Mwantimba
</v>
      </c>
      <c r="D574" s="263" t="s">
        <v>2659</v>
      </c>
      <c r="E574" s="263" t="s">
        <v>20</v>
      </c>
      <c r="F574" s="263">
        <v>1</v>
      </c>
      <c r="G574" s="264" t="str">
        <f>'Dry_Litterbag Placem_Collection'!C135</f>
        <v>Wet_P1_T5</v>
      </c>
      <c r="H574" s="273" t="s">
        <v>3651</v>
      </c>
      <c r="I574" s="266" t="s">
        <v>1147</v>
      </c>
      <c r="J574" s="263" t="str">
        <f>IF(ISBLANK('Dry_Litterbag Placem_Collection'!L135),"","G"&amp;""&amp;'Dry_Litterbag Placem_Collection'!L135)</f>
        <v>G210</v>
      </c>
      <c r="K574" s="267">
        <f>IFERROR(INDEX('Green_rooibos initial weight'!$C$5:$C$1749,MATCH(J574, 'Green_rooibos initial weight'!$A$5:$A$1749,0)),"")</f>
        <v>1.923</v>
      </c>
      <c r="L574" s="267">
        <f>IFERROR(K574-(TBIcalc!$Q$9+TBIcalc!$Q$10),"")</f>
        <v>1.6732</v>
      </c>
      <c r="M574" s="391">
        <f>AVERAGE(Ashed_controlls!$K$2:$K$11)</f>
        <v>5.5147656768714146</v>
      </c>
      <c r="N574" s="267">
        <f t="shared" si="41"/>
        <v>1.5809269406945876</v>
      </c>
      <c r="O574" s="267" t="str">
        <f>IF(IFERROR(INDEX('Both teabags AfterDry'!$D$3:$D$900,MATCH(J574,'Both teabags AfterDry'!$A$3:$A$900,0)),"")="","",(IFERROR(INDEX('Both teabags AfterDry'!$D$3:$D$900,MATCH(J574,'Both teabags AfterDry'!$A$3:$A$900,0)),"")))</f>
        <v/>
      </c>
      <c r="P574" s="267" t="str">
        <f>IFERROR(IF(O574&gt;0,O574-(TBIcalc!$Q$9),""),"")</f>
        <v/>
      </c>
      <c r="Q574" s="278" t="str">
        <f>IFERROR(INDEX('Ashed teabags dry'!$K$2:$K$825,MATCH(J574,'Ashed teabags dry'!$A$2:$A$825,0)),"")</f>
        <v/>
      </c>
      <c r="R574" s="278" t="str">
        <f t="shared" si="42"/>
        <v/>
      </c>
      <c r="S574" s="268">
        <f>'Dry_Litterbag Placem_Collection'!E135</f>
        <v>42939</v>
      </c>
      <c r="T574" s="268">
        <f>IF('Dry_Litterbag Placem_Collection'!G135="","",'Dry_Litterbag Placem_Collection'!G135)</f>
        <v>43008</v>
      </c>
      <c r="U574" s="269">
        <f t="shared" si="40"/>
        <v>69</v>
      </c>
      <c r="V574" s="267" t="str">
        <f t="shared" si="43"/>
        <v/>
      </c>
      <c r="W574" s="267" t="str">
        <f t="shared" si="44"/>
        <v/>
      </c>
      <c r="X574" s="271">
        <f>IFERROR(INDEX(Rainfall_Dry!$O$2:$O$217,MATCH(B574, Rainfall_Dry!$A$2:$A$217,0)),"")</f>
        <v>136.27214243</v>
      </c>
      <c r="Y574" s="260">
        <v>31.214836424255054</v>
      </c>
      <c r="Z574" s="260">
        <v>11.377370285476141</v>
      </c>
      <c r="AA574" s="260">
        <v>57.407793290268799</v>
      </c>
      <c r="AB574" s="261" t="s">
        <v>2670</v>
      </c>
      <c r="AC574" s="260">
        <v>5.7337604731394798</v>
      </c>
      <c r="AD574">
        <f>IF('WetLitterbags placem_collection'!AB135="","",'WetLitterbags placem_collection'!AB135)</f>
        <v>2.2000000000000002</v>
      </c>
      <c r="AE574">
        <f>IF('WetLitterbags placem_collection'!Z135="","",'WetLitterbags placem_collection'!Z135)</f>
        <v>10</v>
      </c>
      <c r="AF574" s="24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71">
        <f>IFERROR(AVERAGE('Dry_Litterbag Placem_Collection'!N135,'Dry_Litterbag Placem_Collection'!Q135),"")</f>
        <v>31.3</v>
      </c>
      <c r="AJ574" s="270">
        <f>INDEX(Coordinates!$B$2:$B$197,MATCH(G574,Coordinates!$J$2:$J$197,0))</f>
        <v>-2.350474996</v>
      </c>
      <c r="AK574" s="270">
        <f>INDEX(Coordinates!$C$2:$C$197,MATCH(G574,Coordinates!$J$2:$J$197,0))</f>
        <v>34.049801979999998</v>
      </c>
      <c r="AL574" s="270" t="str">
        <f>IF(ISNUMBER(SEARCH("C", 'Dry_Litterbag Placem_Collection'!U135)),"YES","NO")</f>
        <v>NO</v>
      </c>
      <c r="AM574" s="270" t="str">
        <f>IF(ISNUMBER(SEARCH("H", 'Dry_Litterbag Placem_Collection'!U135)),"YES","NO")</f>
        <v>NO</v>
      </c>
      <c r="AN574" s="270" t="str">
        <f>IF(ISNUMBER(SEARCH("R", 'Dry_Litterbag Placem_Collection'!U135)),"YES","NO")</f>
        <v>YES</v>
      </c>
    </row>
    <row r="575" spans="1:40" ht="15" customHeight="1">
      <c r="A575" s="262" t="s">
        <v>2659</v>
      </c>
      <c r="B575" s="263">
        <f>'Dry_Litterbag Placem_Collection'!A136</f>
        <v>134</v>
      </c>
      <c r="C575" s="263" t="str">
        <f>'Dry_Litterbag Placem_Collection'!B136</f>
        <v xml:space="preserve">Mwantimba
</v>
      </c>
      <c r="D575" s="263" t="s">
        <v>2659</v>
      </c>
      <c r="E575" s="263" t="s">
        <v>20</v>
      </c>
      <c r="F575" s="263">
        <v>1</v>
      </c>
      <c r="G575" s="264" t="str">
        <f>'Dry_Litterbag Placem_Collection'!C136</f>
        <v>Wet_P1_T6</v>
      </c>
      <c r="H575" s="273" t="s">
        <v>3651</v>
      </c>
      <c r="I575" s="266" t="s">
        <v>1147</v>
      </c>
      <c r="J575" s="263" t="str">
        <f>IF(ISBLANK('Dry_Litterbag Placem_Collection'!L136),"","G"&amp;""&amp;'Dry_Litterbag Placem_Collection'!L136)</f>
        <v>G40</v>
      </c>
      <c r="K575" s="267">
        <f>IFERROR(INDEX('Green_rooibos initial weight'!$C$5:$C$1749,MATCH(J575, 'Green_rooibos initial weight'!$A$5:$A$1749,0)),"")</f>
        <v>2.0369999999999999</v>
      </c>
      <c r="L575" s="267">
        <f>IFERROR(K575-(TBIcalc!$Q$9+TBIcalc!$Q$10),"")</f>
        <v>1.7871999999999999</v>
      </c>
      <c r="M575" s="391">
        <f>AVERAGE(Ashed_controlls!$K$2:$K$11)</f>
        <v>5.5147656768714146</v>
      </c>
      <c r="N575" s="267">
        <f t="shared" si="41"/>
        <v>1.688640107822954</v>
      </c>
      <c r="O575" s="267">
        <f>IF(IFERROR(INDEX('Both teabags AfterDry'!$D$3:$D$900,MATCH(J575,'Both teabags AfterDry'!$A$3:$A$900,0)),"")="","",(IFERROR(INDEX('Both teabags AfterDry'!$D$3:$D$900,MATCH(J575,'Both teabags AfterDry'!$A$3:$A$900,0)),"")))</f>
        <v>0.68400000000000005</v>
      </c>
      <c r="P575" s="267">
        <f>IFERROR(IF(O575&gt;0,O575-(TBIcalc!$Q$9),""),"")</f>
        <v>0.5334000000000001</v>
      </c>
      <c r="Q575" s="278">
        <f>IFERROR(INDEX('Ashed teabags dry'!$K$2:$K$825,MATCH(J575,'Ashed teabags dry'!$A$2:$A$825,0)),"")</f>
        <v>16.995073891625683</v>
      </c>
      <c r="R575" s="278">
        <f t="shared" si="42"/>
        <v>0.44274827586206866</v>
      </c>
      <c r="S575" s="268">
        <f>'Dry_Litterbag Placem_Collection'!E136</f>
        <v>42939</v>
      </c>
      <c r="T575" s="268">
        <f>IF('Dry_Litterbag Placem_Collection'!G136="","",'Dry_Litterbag Placem_Collection'!G136)</f>
        <v>43008</v>
      </c>
      <c r="U575" s="269">
        <f t="shared" si="40"/>
        <v>69</v>
      </c>
      <c r="V575" s="267">
        <f t="shared" si="43"/>
        <v>1.2537999999999998</v>
      </c>
      <c r="W575" s="267">
        <f t="shared" si="44"/>
        <v>1.2458918319608854</v>
      </c>
      <c r="X575" s="271">
        <f>IFERROR(INDEX(Rainfall_Dry!$O$2:$O$217,MATCH(B575, Rainfall_Dry!$A$2:$A$217,0)),"")</f>
        <v>136.27214243</v>
      </c>
      <c r="Y575" s="260">
        <v>31.214836424255054</v>
      </c>
      <c r="Z575" s="260">
        <v>11.377370285476141</v>
      </c>
      <c r="AA575" s="260">
        <v>57.407793290268799</v>
      </c>
      <c r="AB575" s="261" t="s">
        <v>2670</v>
      </c>
      <c r="AC575" s="260">
        <v>6.7337604731394798</v>
      </c>
      <c r="AD575">
        <f>IF('WetLitterbags placem_collection'!AB136="","",'WetLitterbags placem_collection'!AB136)</f>
        <v>1.1000000000000001</v>
      </c>
      <c r="AE575">
        <f>IF('WetLitterbags placem_collection'!Z136="","",'WetLitterbags placem_collection'!Z136)</f>
        <v>15.4</v>
      </c>
      <c r="AF575" s="24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71">
        <f>IFERROR(AVERAGE('Dry_Litterbag Placem_Collection'!N136,'Dry_Litterbag Placem_Collection'!Q136),"")</f>
        <v>29.200000000000003</v>
      </c>
      <c r="AJ575" s="270">
        <f>INDEX(Coordinates!$B$2:$B$197,MATCH(G575,Coordinates!$J$2:$J$197,0))</f>
        <v>-2.3503559730000001</v>
      </c>
      <c r="AK575" s="270">
        <f>INDEX(Coordinates!$C$2:$C$197,MATCH(G575,Coordinates!$J$2:$J$197,0))</f>
        <v>34.049800980000001</v>
      </c>
      <c r="AL575" s="270" t="str">
        <f>IF(ISNUMBER(SEARCH("C", 'Dry_Litterbag Placem_Collection'!U136)),"YES","NO")</f>
        <v>NO</v>
      </c>
      <c r="AM575" s="270" t="str">
        <f>IF(ISNUMBER(SEARCH("H", 'Dry_Litterbag Placem_Collection'!U136)),"YES","NO")</f>
        <v>NO</v>
      </c>
      <c r="AN575" s="270" t="str">
        <f>IF(ISNUMBER(SEARCH("R", 'Dry_Litterbag Placem_Collection'!U136)),"YES","NO")</f>
        <v>YES</v>
      </c>
    </row>
    <row r="576" spans="1:40" ht="15" customHeight="1">
      <c r="A576" s="262" t="s">
        <v>2659</v>
      </c>
      <c r="B576" s="263">
        <f>'Dry_Litterbag Placem_Collection'!A137</f>
        <v>135</v>
      </c>
      <c r="C576" s="263" t="str">
        <f>'Dry_Litterbag Placem_Collection'!B137</f>
        <v xml:space="preserve">Mwantimba
</v>
      </c>
      <c r="D576" s="263" t="s">
        <v>2659</v>
      </c>
      <c r="E576" s="263" t="s">
        <v>20</v>
      </c>
      <c r="F576" s="263">
        <v>1</v>
      </c>
      <c r="G576" s="264" t="str">
        <f>'Dry_Litterbag Placem_Collection'!C137</f>
        <v>Wet_P1_T7</v>
      </c>
      <c r="H576" s="273" t="s">
        <v>3651</v>
      </c>
      <c r="I576" s="266" t="s">
        <v>1147</v>
      </c>
      <c r="J576" s="263" t="str">
        <f>IF(ISBLANK('Dry_Litterbag Placem_Collection'!L137),"","G"&amp;""&amp;'Dry_Litterbag Placem_Collection'!L137)</f>
        <v>G517</v>
      </c>
      <c r="K576" s="267">
        <f>IFERROR(INDEX('Green_rooibos initial weight'!$C$5:$C$1749,MATCH(J576, 'Green_rooibos initial weight'!$A$5:$A$1749,0)),"")</f>
        <v>2.069</v>
      </c>
      <c r="L576" s="267">
        <f>IFERROR(K576-(TBIcalc!$Q$9+TBIcalc!$Q$10),"")</f>
        <v>1.8191999999999999</v>
      </c>
      <c r="M576" s="391">
        <f>AVERAGE(Ashed_controlls!$K$2:$K$11)</f>
        <v>5.5147656768714146</v>
      </c>
      <c r="N576" s="267">
        <f t="shared" si="41"/>
        <v>1.7188753828063552</v>
      </c>
      <c r="O576" s="267">
        <f>IF(IFERROR(INDEX('Both teabags AfterDry'!$D$3:$D$900,MATCH(J576,'Both teabags AfterDry'!$A$3:$A$900,0)),"")="","",(IFERROR(INDEX('Both teabags AfterDry'!$D$3:$D$900,MATCH(J576,'Both teabags AfterDry'!$A$3:$A$900,0)),"")))</f>
        <v>0.7097</v>
      </c>
      <c r="P576" s="267">
        <f>IFERROR(IF(O576&gt;0,O576-(TBIcalc!$Q$9),""),"")</f>
        <v>0.55909999999999993</v>
      </c>
      <c r="Q576" s="278">
        <f>IFERROR(INDEX('Ashed teabags dry'!$K$2:$K$825,MATCH(J576,'Ashed teabags dry'!$A$2:$A$825,0)),"")</f>
        <v>18.257464512971215</v>
      </c>
      <c r="R576" s="278">
        <f t="shared" si="42"/>
        <v>0.45702251590797788</v>
      </c>
      <c r="S576" s="268">
        <f>'Dry_Litterbag Placem_Collection'!E137</f>
        <v>42939</v>
      </c>
      <c r="T576" s="268">
        <f>IF('Dry_Litterbag Placem_Collection'!G137="","",'Dry_Litterbag Placem_Collection'!G137)</f>
        <v>43008</v>
      </c>
      <c r="U576" s="269">
        <f t="shared" si="40"/>
        <v>69</v>
      </c>
      <c r="V576" s="267">
        <f t="shared" si="43"/>
        <v>1.2601</v>
      </c>
      <c r="W576" s="267">
        <f t="shared" si="44"/>
        <v>1.2618528668983773</v>
      </c>
      <c r="X576" s="271">
        <f>IFERROR(INDEX(Rainfall_Dry!$O$2:$O$217,MATCH(B576, Rainfall_Dry!$A$2:$A$217,0)),"")</f>
        <v>136.27214243</v>
      </c>
      <c r="Y576" s="260">
        <v>31.214836424255054</v>
      </c>
      <c r="Z576" s="260">
        <v>11.377370285476141</v>
      </c>
      <c r="AA576" s="260">
        <v>57.407793290268799</v>
      </c>
      <c r="AB576" s="261" t="s">
        <v>2670</v>
      </c>
      <c r="AC576" s="260">
        <v>7.7337604731394798</v>
      </c>
      <c r="AD576">
        <f>IF('WetLitterbags placem_collection'!AB137="","",'WetLitterbags placem_collection'!AB137)</f>
        <v>2.1</v>
      </c>
      <c r="AE576">
        <f>IF('WetLitterbags placem_collection'!Z137="","",'WetLitterbags placem_collection'!Z137)</f>
        <v>5.6</v>
      </c>
      <c r="AF576" s="24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71">
        <f>IFERROR(AVERAGE('Dry_Litterbag Placem_Collection'!N137,'Dry_Litterbag Placem_Collection'!Q137),"")</f>
        <v>31.35</v>
      </c>
      <c r="AJ576" s="270">
        <f>INDEX(Coordinates!$B$2:$B$197,MATCH(G576,Coordinates!$J$2:$J$197,0))</f>
        <v>-2.3503589909999998</v>
      </c>
      <c r="AK576" s="270">
        <f>INDEX(Coordinates!$C$2:$C$197,MATCH(G576,Coordinates!$J$2:$J$197,0))</f>
        <v>34.049719000000003</v>
      </c>
      <c r="AL576" s="270" t="str">
        <f>IF(ISNUMBER(SEARCH("C", 'Dry_Litterbag Placem_Collection'!U137)),"YES","NO")</f>
        <v>NO</v>
      </c>
      <c r="AM576" s="270" t="str">
        <f>IF(ISNUMBER(SEARCH("H", 'Dry_Litterbag Placem_Collection'!U137)),"YES","NO")</f>
        <v>NO</v>
      </c>
      <c r="AN576" s="270" t="str">
        <f>IF(ISNUMBER(SEARCH("R", 'Dry_Litterbag Placem_Collection'!U137)),"YES","NO")</f>
        <v>NO</v>
      </c>
    </row>
    <row r="577" spans="1:40" ht="15" customHeight="1">
      <c r="A577" s="262" t="s">
        <v>2659</v>
      </c>
      <c r="B577" s="263">
        <f>'Dry_Litterbag Placem_Collection'!A138</f>
        <v>136</v>
      </c>
      <c r="C577" s="263" t="str">
        <f>'Dry_Litterbag Placem_Collection'!B138</f>
        <v xml:space="preserve">Mwantimba
</v>
      </c>
      <c r="D577" s="263" t="s">
        <v>2659</v>
      </c>
      <c r="E577" s="263" t="s">
        <v>20</v>
      </c>
      <c r="F577" s="263">
        <v>1</v>
      </c>
      <c r="G577" s="264" t="str">
        <f>'Dry_Litterbag Placem_Collection'!C138</f>
        <v>Wet_P1_T8</v>
      </c>
      <c r="H577" s="273" t="s">
        <v>3651</v>
      </c>
      <c r="I577" s="266" t="s">
        <v>1147</v>
      </c>
      <c r="J577" s="263" t="str">
        <f>IF(ISBLANK('Dry_Litterbag Placem_Collection'!L138),"","G"&amp;""&amp;'Dry_Litterbag Placem_Collection'!L138)</f>
        <v>G67</v>
      </c>
      <c r="K577" s="267">
        <f>IFERROR(INDEX('Green_rooibos initial weight'!$C$5:$C$1749,MATCH(J577, 'Green_rooibos initial weight'!$A$5:$A$1749,0)),"")</f>
        <v>1.984</v>
      </c>
      <c r="L577" s="267">
        <f>IFERROR(K577-(TBIcalc!$Q$9+TBIcalc!$Q$10),"")</f>
        <v>1.7342</v>
      </c>
      <c r="M577" s="391">
        <f>AVERAGE(Ashed_controlls!$K$2:$K$11)</f>
        <v>5.5147656768714146</v>
      </c>
      <c r="N577" s="267">
        <f t="shared" si="41"/>
        <v>1.6385629336316958</v>
      </c>
      <c r="O577" s="267">
        <f>IF(IFERROR(INDEX('Both teabags AfterDry'!$D$3:$D$900,MATCH(J577,'Both teabags AfterDry'!$A$3:$A$900,0)),"")="","",(IFERROR(INDEX('Both teabags AfterDry'!$D$3:$D$900,MATCH(J577,'Both teabags AfterDry'!$A$3:$A$900,0)),"")))</f>
        <v>0.77739999999999998</v>
      </c>
      <c r="P577" s="267">
        <f>IFERROR(IF(O577&gt;0,O577-(TBIcalc!$Q$9),""),"")</f>
        <v>0.62680000000000002</v>
      </c>
      <c r="Q577" s="278">
        <f>IFERROR(INDEX('Ashed teabags dry'!$K$2:$K$825,MATCH(J577,'Ashed teabags dry'!$A$2:$A$825,0)),"")</f>
        <v>23.004251299007908</v>
      </c>
      <c r="R577" s="278">
        <f t="shared" si="42"/>
        <v>0.48260935285781847</v>
      </c>
      <c r="S577" s="268">
        <f>'Dry_Litterbag Placem_Collection'!E138</f>
        <v>42939</v>
      </c>
      <c r="T577" s="268">
        <f>IF('Dry_Litterbag Placem_Collection'!G138="","",'Dry_Litterbag Placem_Collection'!G138)</f>
        <v>43008</v>
      </c>
      <c r="U577" s="269">
        <f t="shared" si="40"/>
        <v>69</v>
      </c>
      <c r="V577" s="267">
        <f t="shared" si="43"/>
        <v>1.1073999999999999</v>
      </c>
      <c r="W577" s="267">
        <f t="shared" si="44"/>
        <v>1.1559535807738772</v>
      </c>
      <c r="X577" s="271">
        <f>IFERROR(INDEX(Rainfall_Dry!$O$2:$O$217,MATCH(B577, Rainfall_Dry!$A$2:$A$217,0)),"")</f>
        <v>136.27214243</v>
      </c>
      <c r="Y577" s="260">
        <v>31.214836424255054</v>
      </c>
      <c r="Z577" s="260">
        <v>11.377370285476141</v>
      </c>
      <c r="AA577" s="260">
        <v>57.407793290268799</v>
      </c>
      <c r="AB577" s="261" t="s">
        <v>2670</v>
      </c>
      <c r="AC577" s="260">
        <v>8.7337604731394798</v>
      </c>
      <c r="AD577">
        <f>IF('WetLitterbags placem_collection'!AB138="","",'WetLitterbags placem_collection'!AB138)</f>
        <v>2.2999999999999998</v>
      </c>
      <c r="AE577">
        <f>IF('WetLitterbags placem_collection'!Z138="","",'WetLitterbags placem_collection'!Z138)</f>
        <v>16.3</v>
      </c>
      <c r="AF577" s="24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71">
        <f>IFERROR(AVERAGE('Dry_Litterbag Placem_Collection'!N138,'Dry_Litterbag Placem_Collection'!Q138),"")</f>
        <v>29.9</v>
      </c>
      <c r="AJ577" s="270">
        <f>INDEX(Coordinates!$B$2:$B$197,MATCH(G577,Coordinates!$J$2:$J$197,0))</f>
        <v>-2.3502159960000002</v>
      </c>
      <c r="AK577" s="270">
        <f>INDEX(Coordinates!$C$2:$C$197,MATCH(G577,Coordinates!$J$2:$J$197,0))</f>
        <v>34.049822020000001</v>
      </c>
      <c r="AL577" s="270" t="str">
        <f>IF(ISNUMBER(SEARCH("C", 'Dry_Litterbag Placem_Collection'!U138)),"YES","NO")</f>
        <v>NO</v>
      </c>
      <c r="AM577" s="270" t="str">
        <f>IF(ISNUMBER(SEARCH("H", 'Dry_Litterbag Placem_Collection'!U138)),"YES","NO")</f>
        <v>NO</v>
      </c>
      <c r="AN577" s="270" t="str">
        <f>IF(ISNUMBER(SEARCH("R", 'Dry_Litterbag Placem_Collection'!U138)),"YES","NO")</f>
        <v>YES</v>
      </c>
    </row>
    <row r="578" spans="1:40" ht="15" customHeight="1">
      <c r="A578" s="262" t="s">
        <v>2659</v>
      </c>
      <c r="B578" s="263">
        <f>'Dry_Litterbag Placem_Collection'!A139</f>
        <v>137</v>
      </c>
      <c r="C578" s="263" t="str">
        <f>'Dry_Litterbag Placem_Collection'!B139</f>
        <v xml:space="preserve">Mwantimba
</v>
      </c>
      <c r="D578" s="263" t="s">
        <v>2659</v>
      </c>
      <c r="E578" s="263" t="s">
        <v>20</v>
      </c>
      <c r="F578" s="263">
        <v>2</v>
      </c>
      <c r="G578" s="264" t="str">
        <f>'Dry_Litterbag Placem_Collection'!C139</f>
        <v>Wet_P2_T1</v>
      </c>
      <c r="H578" s="273" t="s">
        <v>3651</v>
      </c>
      <c r="I578" s="266" t="s">
        <v>1147</v>
      </c>
      <c r="J578" s="263" t="str">
        <f>IF(ISBLANK('Dry_Litterbag Placem_Collection'!L139),"","G"&amp;""&amp;'Dry_Litterbag Placem_Collection'!L139)</f>
        <v>G335</v>
      </c>
      <c r="K578" s="267">
        <f>IFERROR(INDEX('Green_rooibos initial weight'!$C$5:$C$1749,MATCH(J578, 'Green_rooibos initial weight'!$A$5:$A$1749,0)),"")</f>
        <v>1.956</v>
      </c>
      <c r="L578" s="267">
        <f>IFERROR(K578-(TBIcalc!$Q$9+TBIcalc!$Q$10),"")</f>
        <v>1.7061999999999999</v>
      </c>
      <c r="M578" s="391">
        <f>AVERAGE(Ashed_controlls!$K$2:$K$11)</f>
        <v>5.5147656768714146</v>
      </c>
      <c r="N578" s="267">
        <f t="shared" si="41"/>
        <v>1.6121070680212199</v>
      </c>
      <c r="O578" s="267">
        <f>IF(IFERROR(INDEX('Both teabags AfterDry'!$D$3:$D$900,MATCH(J578,'Both teabags AfterDry'!$A$3:$A$900,0)),"")="","",(IFERROR(INDEX('Both teabags AfterDry'!$D$3:$D$900,MATCH(J578,'Both teabags AfterDry'!$A$3:$A$900,0)),"")))</f>
        <v>0.85829999999999995</v>
      </c>
      <c r="P578" s="267">
        <f>IFERROR(IF(O578&gt;0,O578-(TBIcalc!$Q$9),""),"")</f>
        <v>0.7077</v>
      </c>
      <c r="Q578" s="278">
        <f>IFERROR(INDEX('Ashed teabags dry'!$K$2:$K$825,MATCH(J578,'Ashed teabags dry'!$A$2:$A$825,0)),"")</f>
        <v>28.521997034107514</v>
      </c>
      <c r="R578" s="278">
        <f t="shared" si="42"/>
        <v>0.50584982698962111</v>
      </c>
      <c r="S578" s="268">
        <f>'Dry_Litterbag Placem_Collection'!E139</f>
        <v>42939</v>
      </c>
      <c r="T578" s="268">
        <f>IF('Dry_Litterbag Placem_Collection'!G139="","",'Dry_Litterbag Placem_Collection'!G139)</f>
        <v>43008</v>
      </c>
      <c r="U578" s="269">
        <f t="shared" ref="U578:U641" si="45">IFERROR(T578-S578,"")</f>
        <v>69</v>
      </c>
      <c r="V578" s="267">
        <f t="shared" si="43"/>
        <v>0.99849999999999994</v>
      </c>
      <c r="W578" s="267">
        <f t="shared" si="44"/>
        <v>1.1062572410315989</v>
      </c>
      <c r="X578" s="271">
        <f>IFERROR(INDEX(Rainfall_Dry!$O$2:$O$217,MATCH(B578, Rainfall_Dry!$A$2:$A$217,0)),"")</f>
        <v>136.27214243</v>
      </c>
      <c r="Y578" s="260">
        <v>33.96</v>
      </c>
      <c r="Z578" s="260">
        <v>8.9200000000000017</v>
      </c>
      <c r="AA578" s="260">
        <v>57.12</v>
      </c>
      <c r="AB578" s="261" t="s">
        <v>2670</v>
      </c>
      <c r="AC578" s="260">
        <v>2.072055199605717</v>
      </c>
      <c r="AD578">
        <f>IF('WetLitterbags placem_collection'!AB139="","",'WetLitterbags placem_collection'!AB139)</f>
        <v>1.2</v>
      </c>
      <c r="AE578">
        <f>IF('WetLitterbags placem_collection'!Z139="","",'WetLitterbags placem_collection'!Z139)</f>
        <v>32.4</v>
      </c>
      <c r="AF578" s="24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71">
        <f>IFERROR(AVERAGE('Dry_Litterbag Placem_Collection'!N139,'Dry_Litterbag Placem_Collection'!Q139),"")</f>
        <v>27.55</v>
      </c>
      <c r="AJ578" s="270">
        <f>INDEX(Coordinates!$B$2:$B$197,MATCH(G578,Coordinates!$J$2:$J$197,0))</f>
        <v>-2.348596025</v>
      </c>
      <c r="AK578" s="270">
        <f>INDEX(Coordinates!$C$2:$C$197,MATCH(G578,Coordinates!$J$2:$J$197,0))</f>
        <v>34.050070959999999</v>
      </c>
      <c r="AL578" s="270" t="str">
        <f>IF(ISNUMBER(SEARCH("C", 'Dry_Litterbag Placem_Collection'!U139)),"YES","NO")</f>
        <v>NO</v>
      </c>
      <c r="AM578" s="270" t="str">
        <f>IF(ISNUMBER(SEARCH("H", 'Dry_Litterbag Placem_Collection'!U139)),"YES","NO")</f>
        <v>NO</v>
      </c>
      <c r="AN578" s="270" t="str">
        <f>IF(ISNUMBER(SEARCH("R", 'Dry_Litterbag Placem_Collection'!U139)),"YES","NO")</f>
        <v>NO</v>
      </c>
    </row>
    <row r="579" spans="1:40" ht="15" customHeight="1">
      <c r="A579" s="262" t="s">
        <v>2659</v>
      </c>
      <c r="B579" s="263">
        <f>'Dry_Litterbag Placem_Collection'!A140</f>
        <v>138</v>
      </c>
      <c r="C579" s="263" t="str">
        <f>'Dry_Litterbag Placem_Collection'!B140</f>
        <v xml:space="preserve">Mwantimba
</v>
      </c>
      <c r="D579" s="263" t="s">
        <v>2659</v>
      </c>
      <c r="E579" s="263" t="s">
        <v>20</v>
      </c>
      <c r="F579" s="263">
        <v>2</v>
      </c>
      <c r="G579" s="264" t="str">
        <f>'Dry_Litterbag Placem_Collection'!C140</f>
        <v>Wet_P2_T2</v>
      </c>
      <c r="H579" s="273" t="s">
        <v>3651</v>
      </c>
      <c r="I579" s="266" t="s">
        <v>1147</v>
      </c>
      <c r="J579" s="263" t="str">
        <f>IF(ISBLANK('Dry_Litterbag Placem_Collection'!L140),"","G"&amp;""&amp;'Dry_Litterbag Placem_Collection'!L140)</f>
        <v>G484</v>
      </c>
      <c r="K579" s="267">
        <f>IFERROR(INDEX('Green_rooibos initial weight'!$C$5:$C$1749,MATCH(J579, 'Green_rooibos initial weight'!$A$5:$A$1749,0)),"")</f>
        <v>2.0009999999999999</v>
      </c>
      <c r="L579" s="267">
        <f>IFERROR(K579-(TBIcalc!$Q$9+TBIcalc!$Q$10),"")</f>
        <v>1.7511999999999999</v>
      </c>
      <c r="M579" s="391">
        <f>AVERAGE(Ashed_controlls!$K$2:$K$11)</f>
        <v>5.5147656768714146</v>
      </c>
      <c r="N579" s="267">
        <f t="shared" ref="N579:N642" si="46">IFERROR(L579-(M579/100)*L579,"")</f>
        <v>1.6546254234666278</v>
      </c>
      <c r="O579" s="267">
        <f>IF(IFERROR(INDEX('Both teabags AfterDry'!$D$3:$D$900,MATCH(J579,'Both teabags AfterDry'!$A$3:$A$900,0)),"")="","",(IFERROR(INDEX('Both teabags AfterDry'!$D$3:$D$900,MATCH(J579,'Both teabags AfterDry'!$A$3:$A$900,0)),"")))</f>
        <v>0.66439999999999999</v>
      </c>
      <c r="P579" s="267">
        <f>IFERROR(IF(O579&gt;0,O579-(TBIcalc!$Q$9),""),"")</f>
        <v>0.51380000000000003</v>
      </c>
      <c r="Q579" s="278">
        <f>IFERROR(INDEX('Ashed teabags dry'!$K$2:$K$825,MATCH(J579,'Ashed teabags dry'!$A$2:$A$825,0)),"")</f>
        <v>17.053529133112047</v>
      </c>
      <c r="R579" s="278">
        <f t="shared" ref="R579:R642" si="47">IFERROR(P579-(Q579/100)*P579,"")</f>
        <v>0.42617896731407034</v>
      </c>
      <c r="S579" s="268">
        <f>'Dry_Litterbag Placem_Collection'!E140</f>
        <v>42939</v>
      </c>
      <c r="T579" s="268">
        <f>IF('Dry_Litterbag Placem_Collection'!G140="","",'Dry_Litterbag Placem_Collection'!G140)</f>
        <v>43008</v>
      </c>
      <c r="U579" s="269">
        <f t="shared" si="45"/>
        <v>69</v>
      </c>
      <c r="V579" s="267">
        <f t="shared" ref="V579:V642" si="48">IFERROR(L579-P579,"")</f>
        <v>1.2373999999999998</v>
      </c>
      <c r="W579" s="267">
        <f t="shared" ref="W579:W642" si="49">IFERROR(N579-R579,"")</f>
        <v>1.2284464561525574</v>
      </c>
      <c r="X579" s="271">
        <f>IFERROR(INDEX(Rainfall_Dry!$O$2:$O$217,MATCH(B579, Rainfall_Dry!$A$2:$A$217,0)),"")</f>
        <v>136.27214243</v>
      </c>
      <c r="Y579" s="260">
        <v>33.96</v>
      </c>
      <c r="Z579" s="260">
        <v>8.9200000000000017</v>
      </c>
      <c r="AA579" s="260">
        <v>57.12</v>
      </c>
      <c r="AB579" s="261" t="s">
        <v>2670</v>
      </c>
      <c r="AC579" s="260">
        <v>3.0720551996057202</v>
      </c>
      <c r="AD579">
        <f>IF('WetLitterbags placem_collection'!AB140="","",'WetLitterbags placem_collection'!AB140)</f>
        <v>2.8</v>
      </c>
      <c r="AE579">
        <f>IF('WetLitterbags placem_collection'!Z140="","",'WetLitterbags placem_collection'!Z140)</f>
        <v>26.4</v>
      </c>
      <c r="AF579" s="24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71">
        <f>IFERROR(AVERAGE('Dry_Litterbag Placem_Collection'!N140,'Dry_Litterbag Placem_Collection'!Q140),"")</f>
        <v>28.799999999999997</v>
      </c>
      <c r="AJ579" s="270">
        <f>INDEX(Coordinates!$B$2:$B$197,MATCH(G579,Coordinates!$J$2:$J$197,0))</f>
        <v>-2.3485449790000001</v>
      </c>
      <c r="AK579" s="270">
        <f>INDEX(Coordinates!$C$2:$C$197,MATCH(G579,Coordinates!$J$2:$J$197,0))</f>
        <v>34.050146980000001</v>
      </c>
      <c r="AL579" s="270" t="str">
        <f>IF(ISNUMBER(SEARCH("C", 'Dry_Litterbag Placem_Collection'!U140)),"YES","NO")</f>
        <v>NO</v>
      </c>
      <c r="AM579" s="270" t="str">
        <f>IF(ISNUMBER(SEARCH("H", 'Dry_Litterbag Placem_Collection'!U140)),"YES","NO")</f>
        <v>NO</v>
      </c>
      <c r="AN579" s="270" t="str">
        <f>IF(ISNUMBER(SEARCH("R", 'Dry_Litterbag Placem_Collection'!U140)),"YES","NO")</f>
        <v>NO</v>
      </c>
    </row>
    <row r="580" spans="1:40" ht="15" customHeight="1">
      <c r="A580" s="262" t="s">
        <v>2659</v>
      </c>
      <c r="B580" s="263">
        <f>'Dry_Litterbag Placem_Collection'!A141</f>
        <v>139</v>
      </c>
      <c r="C580" s="263" t="str">
        <f>'Dry_Litterbag Placem_Collection'!B141</f>
        <v xml:space="preserve">Mwantimba
</v>
      </c>
      <c r="D580" s="263" t="s">
        <v>2659</v>
      </c>
      <c r="E580" s="263" t="s">
        <v>20</v>
      </c>
      <c r="F580" s="263">
        <v>2</v>
      </c>
      <c r="G580" s="264" t="str">
        <f>'Dry_Litterbag Placem_Collection'!C141</f>
        <v>Wet_P2_T3</v>
      </c>
      <c r="H580" s="273" t="s">
        <v>3651</v>
      </c>
      <c r="I580" s="266" t="s">
        <v>1147</v>
      </c>
      <c r="J580" s="263" t="str">
        <f>IF(ISBLANK('Dry_Litterbag Placem_Collection'!L141),"","G"&amp;""&amp;'Dry_Litterbag Placem_Collection'!L141)</f>
        <v>G868</v>
      </c>
      <c r="K580" s="267">
        <f>IFERROR(INDEX('Green_rooibos initial weight'!$C$5:$C$1749,MATCH(J580, 'Green_rooibos initial weight'!$A$5:$A$1749,0)),"")</f>
        <v>1.95</v>
      </c>
      <c r="L580" s="267">
        <f>IFERROR(K580-(TBIcalc!$Q$9+TBIcalc!$Q$10),"")</f>
        <v>1.7001999999999999</v>
      </c>
      <c r="M580" s="391">
        <f>AVERAGE(Ashed_controlls!$K$2:$K$11)</f>
        <v>5.5147656768714146</v>
      </c>
      <c r="N580" s="267">
        <f t="shared" si="46"/>
        <v>1.6064379539618321</v>
      </c>
      <c r="O580" s="267">
        <f>IF(IFERROR(INDEX('Both teabags AfterDry'!$D$3:$D$900,MATCH(J580,'Both teabags AfterDry'!$A$3:$A$900,0)),"")="","",(IFERROR(INDEX('Both teabags AfterDry'!$D$3:$D$900,MATCH(J580,'Both teabags AfterDry'!$A$3:$A$900,0)),"")))</f>
        <v>0.71699999999999997</v>
      </c>
      <c r="P580" s="267">
        <f>IFERROR(IF(O580&gt;0,O580-(TBIcalc!$Q$9),""),"")</f>
        <v>0.56640000000000001</v>
      </c>
      <c r="Q580" s="278">
        <f>IFERROR(INDEX('Ashed teabags dry'!$K$2:$K$825,MATCH(J580,'Ashed teabags dry'!$A$2:$A$825,0)),"")</f>
        <v>21.365853658537009</v>
      </c>
      <c r="R580" s="278">
        <f t="shared" si="47"/>
        <v>0.44538380487804641</v>
      </c>
      <c r="S580" s="268">
        <f>'Dry_Litterbag Placem_Collection'!E141</f>
        <v>42939</v>
      </c>
      <c r="T580" s="268">
        <f>IF('Dry_Litterbag Placem_Collection'!G141="","",'Dry_Litterbag Placem_Collection'!G141)</f>
        <v>43008</v>
      </c>
      <c r="U580" s="269">
        <f t="shared" si="45"/>
        <v>69</v>
      </c>
      <c r="V580" s="267">
        <f t="shared" si="48"/>
        <v>1.1337999999999999</v>
      </c>
      <c r="W580" s="267">
        <f t="shared" si="49"/>
        <v>1.1610541490837858</v>
      </c>
      <c r="X580" s="271">
        <f>IFERROR(INDEX(Rainfall_Dry!$O$2:$O$217,MATCH(B580, Rainfall_Dry!$A$2:$A$217,0)),"")</f>
        <v>136.27214243</v>
      </c>
      <c r="Y580" s="260">
        <v>33.96</v>
      </c>
      <c r="Z580" s="260">
        <v>8.9200000000000017</v>
      </c>
      <c r="AA580" s="260">
        <v>57.12</v>
      </c>
      <c r="AB580" s="261" t="s">
        <v>2670</v>
      </c>
      <c r="AC580" s="260">
        <v>4.0720551996057202</v>
      </c>
      <c r="AD580">
        <f>IF('WetLitterbags placem_collection'!AB141="","",'WetLitterbags placem_collection'!AB141)</f>
        <v>5.7</v>
      </c>
      <c r="AE580">
        <f>IF('WetLitterbags placem_collection'!Z141="","",'WetLitterbags placem_collection'!Z141)</f>
        <v>19.399999999999999</v>
      </c>
      <c r="AF580" s="24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71">
        <f>IFERROR(AVERAGE('Dry_Litterbag Placem_Collection'!N141,'Dry_Litterbag Placem_Collection'!Q141),"")</f>
        <v>28.15</v>
      </c>
      <c r="AJ580" s="270">
        <f>INDEX(Coordinates!$B$2:$B$197,MATCH(G580,Coordinates!$J$2:$J$197,0))</f>
        <v>-2.3487209990000002</v>
      </c>
      <c r="AK580" s="270">
        <f>INDEX(Coordinates!$C$2:$C$197,MATCH(G580,Coordinates!$J$2:$J$197,0))</f>
        <v>34.050128039999997</v>
      </c>
      <c r="AL580" s="270" t="str">
        <f>IF(ISNUMBER(SEARCH("C", 'Dry_Litterbag Placem_Collection'!U141)),"YES","NO")</f>
        <v>NO</v>
      </c>
      <c r="AM580" s="270" t="str">
        <f>IF(ISNUMBER(SEARCH("H", 'Dry_Litterbag Placem_Collection'!U141)),"YES","NO")</f>
        <v>NO</v>
      </c>
      <c r="AN580" s="270" t="str">
        <f>IF(ISNUMBER(SEARCH("R", 'Dry_Litterbag Placem_Collection'!U141)),"YES","NO")</f>
        <v>NO</v>
      </c>
    </row>
    <row r="581" spans="1:40" ht="15" customHeight="1">
      <c r="A581" s="262" t="s">
        <v>2659</v>
      </c>
      <c r="B581" s="263">
        <f>'Dry_Litterbag Placem_Collection'!A142</f>
        <v>140</v>
      </c>
      <c r="C581" s="263" t="str">
        <f>'Dry_Litterbag Placem_Collection'!B142</f>
        <v xml:space="preserve">Mwantimba
</v>
      </c>
      <c r="D581" s="263" t="s">
        <v>2659</v>
      </c>
      <c r="E581" s="263" t="s">
        <v>20</v>
      </c>
      <c r="F581" s="263">
        <v>2</v>
      </c>
      <c r="G581" s="264" t="str">
        <f>'Dry_Litterbag Placem_Collection'!C142</f>
        <v>Wet_P2_T4</v>
      </c>
      <c r="H581" s="273" t="s">
        <v>3651</v>
      </c>
      <c r="I581" s="266" t="s">
        <v>1147</v>
      </c>
      <c r="J581" s="263" t="str">
        <f>IF(ISBLANK('Dry_Litterbag Placem_Collection'!L142),"","G"&amp;""&amp;'Dry_Litterbag Placem_Collection'!L142)</f>
        <v>G792</v>
      </c>
      <c r="K581" s="267">
        <f>IFERROR(INDEX('Green_rooibos initial weight'!$C$5:$C$1749,MATCH(J581, 'Green_rooibos initial weight'!$A$5:$A$1749,0)),"")</f>
        <v>2.0550000000000002</v>
      </c>
      <c r="L581" s="267">
        <f>IFERROR(K581-(TBIcalc!$Q$9+TBIcalc!$Q$10),"")</f>
        <v>1.8052000000000001</v>
      </c>
      <c r="M581" s="391">
        <f>AVERAGE(Ashed_controlls!$K$2:$K$11)</f>
        <v>5.5147656768714146</v>
      </c>
      <c r="N581" s="267">
        <f t="shared" si="46"/>
        <v>1.7056474500011174</v>
      </c>
      <c r="O581" s="267">
        <f>IF(IFERROR(INDEX('Both teabags AfterDry'!$D$3:$D$900,MATCH(J581,'Both teabags AfterDry'!$A$3:$A$900,0)),"")="","",(IFERROR(INDEX('Both teabags AfterDry'!$D$3:$D$900,MATCH(J581,'Both teabags AfterDry'!$A$3:$A$900,0)),"")))</f>
        <v>0.87409999999999999</v>
      </c>
      <c r="P581" s="267">
        <f>IFERROR(IF(O581&gt;0,O581-(TBIcalc!$Q$9),""),"")</f>
        <v>0.72350000000000003</v>
      </c>
      <c r="Q581" s="278">
        <f>IFERROR(INDEX('Ashed teabags dry'!$K$2:$K$825,MATCH(J581,'Ashed teabags dry'!$A$2:$A$825,0)),"")</f>
        <v>15.89673913043449</v>
      </c>
      <c r="R581" s="278">
        <f t="shared" si="47"/>
        <v>0.60848709239130649</v>
      </c>
      <c r="S581" s="268">
        <f>'Dry_Litterbag Placem_Collection'!E142</f>
        <v>42939</v>
      </c>
      <c r="T581" s="268">
        <f>IF('Dry_Litterbag Placem_Collection'!G142="","",'Dry_Litterbag Placem_Collection'!G142)</f>
        <v>43008</v>
      </c>
      <c r="U581" s="269">
        <f t="shared" si="45"/>
        <v>69</v>
      </c>
      <c r="V581" s="267">
        <f t="shared" si="48"/>
        <v>1.0817000000000001</v>
      </c>
      <c r="W581" s="267">
        <f t="shared" si="49"/>
        <v>1.0971603576098108</v>
      </c>
      <c r="X581" s="271">
        <f>IFERROR(INDEX(Rainfall_Dry!$O$2:$O$217,MATCH(B581, Rainfall_Dry!$A$2:$A$217,0)),"")</f>
        <v>136.27214243</v>
      </c>
      <c r="Y581" s="260">
        <v>33.96</v>
      </c>
      <c r="Z581" s="260">
        <v>8.9200000000000017</v>
      </c>
      <c r="AA581" s="260">
        <v>57.12</v>
      </c>
      <c r="AB581" s="261" t="s">
        <v>2670</v>
      </c>
      <c r="AC581" s="260">
        <v>5.0720551996057202</v>
      </c>
      <c r="AD581">
        <f>IF('WetLitterbags placem_collection'!AB142="","",'WetLitterbags placem_collection'!AB142)</f>
        <v>1.4</v>
      </c>
      <c r="AE581">
        <f>IF('WetLitterbags placem_collection'!Z142="","",'WetLitterbags placem_collection'!Z142)</f>
        <v>33.4</v>
      </c>
      <c r="AF581" s="24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71">
        <f>IFERROR(AVERAGE('Dry_Litterbag Placem_Collection'!N142,'Dry_Litterbag Placem_Collection'!Q142),"")</f>
        <v>28</v>
      </c>
      <c r="AJ581" s="270">
        <f>INDEX(Coordinates!$B$2:$B$197,MATCH(G581,Coordinates!$J$2:$J$197,0))</f>
        <v>-2.3486250270000002</v>
      </c>
      <c r="AK581" s="270">
        <f>INDEX(Coordinates!$C$2:$C$197,MATCH(G581,Coordinates!$J$2:$J$197,0))</f>
        <v>34.050070959999999</v>
      </c>
      <c r="AL581" s="270" t="str">
        <f>IF(ISNUMBER(SEARCH("C", 'Dry_Litterbag Placem_Collection'!U142)),"YES","NO")</f>
        <v>NO</v>
      </c>
      <c r="AM581" s="270" t="str">
        <f>IF(ISNUMBER(SEARCH("H", 'Dry_Litterbag Placem_Collection'!U142)),"YES","NO")</f>
        <v>NO</v>
      </c>
      <c r="AN581" s="270" t="str">
        <f>IF(ISNUMBER(SEARCH("R", 'Dry_Litterbag Placem_Collection'!U142)),"YES","NO")</f>
        <v>NO</v>
      </c>
    </row>
    <row r="582" spans="1:40" ht="15" customHeight="1">
      <c r="A582" s="262" t="s">
        <v>2659</v>
      </c>
      <c r="B582" s="263">
        <f>'Dry_Litterbag Placem_Collection'!A143</f>
        <v>141</v>
      </c>
      <c r="C582" s="263" t="str">
        <f>'Dry_Litterbag Placem_Collection'!B143</f>
        <v xml:space="preserve">Mwantimba
</v>
      </c>
      <c r="D582" s="263" t="s">
        <v>2659</v>
      </c>
      <c r="E582" s="263" t="s">
        <v>20</v>
      </c>
      <c r="F582" s="263">
        <v>2</v>
      </c>
      <c r="G582" s="264" t="str">
        <f>'Dry_Litterbag Placem_Collection'!C143</f>
        <v>Wet_P2_T5</v>
      </c>
      <c r="H582" s="273" t="s">
        <v>3651</v>
      </c>
      <c r="I582" s="266" t="s">
        <v>1147</v>
      </c>
      <c r="J582" s="263" t="str">
        <f>IF(ISBLANK('Dry_Litterbag Placem_Collection'!L143),"","G"&amp;""&amp;'Dry_Litterbag Placem_Collection'!L143)</f>
        <v/>
      </c>
      <c r="K582" s="267" t="str">
        <f>IFERROR(INDEX('Green_rooibos initial weight'!$C$5:$C$1749,MATCH(J582, 'Green_rooibos initial weight'!$A$5:$A$1749,0)),"")</f>
        <v/>
      </c>
      <c r="L582" s="267" t="str">
        <f>IFERROR(K582-(TBIcalc!$Q$9+TBIcalc!$Q$10),"")</f>
        <v/>
      </c>
      <c r="M582" s="391">
        <f>AVERAGE(Ashed_controlls!$K$2:$K$11)</f>
        <v>5.5147656768714146</v>
      </c>
      <c r="N582" s="267" t="str">
        <f t="shared" si="46"/>
        <v/>
      </c>
      <c r="O582" s="267" t="str">
        <f>IF(IFERROR(INDEX('Both teabags AfterDry'!$D$3:$D$900,MATCH(J582,'Both teabags AfterDry'!$A$3:$A$900,0)),"")="","",(IFERROR(INDEX('Both teabags AfterDry'!$D$3:$D$900,MATCH(J582,'Both teabags AfterDry'!$A$3:$A$900,0)),"")))</f>
        <v/>
      </c>
      <c r="P582" s="267" t="str">
        <f>IFERROR(IF(O582&gt;0,O582-(TBIcalc!$Q$9),""),"")</f>
        <v/>
      </c>
      <c r="Q582" s="278" t="str">
        <f>IFERROR(INDEX('Ashed teabags dry'!$K$2:$K$825,MATCH(J582,'Ashed teabags dry'!$A$2:$A$825,0)),"")</f>
        <v/>
      </c>
      <c r="R582" s="278" t="str">
        <f t="shared" si="47"/>
        <v/>
      </c>
      <c r="S582" s="268">
        <f>'Dry_Litterbag Placem_Collection'!E143</f>
        <v>0</v>
      </c>
      <c r="T582" s="268" t="str">
        <f>IF('Dry_Litterbag Placem_Collection'!G143="","",'Dry_Litterbag Placem_Collection'!G143)</f>
        <v/>
      </c>
      <c r="U582" s="269" t="str">
        <f t="shared" si="45"/>
        <v/>
      </c>
      <c r="V582" s="267" t="str">
        <f t="shared" si="48"/>
        <v/>
      </c>
      <c r="W582" s="267" t="str">
        <f t="shared" si="49"/>
        <v/>
      </c>
      <c r="X582" s="271" t="str">
        <f>IFERROR(INDEX(Rainfall_Dry!$O$2:$O$217,MATCH(B582, Rainfall_Dry!$A$2:$A$217,0)),"")</f>
        <v/>
      </c>
      <c r="Y582" s="260">
        <v>33.96</v>
      </c>
      <c r="Z582" s="260">
        <v>8.9200000000000017</v>
      </c>
      <c r="AA582" s="260">
        <v>57.12</v>
      </c>
      <c r="AB582" s="261" t="s">
        <v>2670</v>
      </c>
      <c r="AC582" s="260">
        <v>6.0720551996057202</v>
      </c>
      <c r="AD582">
        <f>IF('WetLitterbags placem_collection'!AB143="","",'WetLitterbags placem_collection'!AB143)</f>
        <v>1.4</v>
      </c>
      <c r="AE582">
        <f>IF('WetLitterbags placem_collection'!Z143="","",'WetLitterbags placem_collection'!Z143)</f>
        <v>28.4</v>
      </c>
      <c r="AF582" s="24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71" t="str">
        <f>IFERROR(AVERAGE('Dry_Litterbag Placem_Collection'!N143,'Dry_Litterbag Placem_Collection'!Q143),"")</f>
        <v/>
      </c>
      <c r="AJ582" s="270">
        <f>INDEX(Coordinates!$B$2:$B$197,MATCH(G582,Coordinates!$J$2:$J$197,0))</f>
        <v>-2.3486060000000002</v>
      </c>
      <c r="AK582" s="270">
        <f>INDEX(Coordinates!$C$2:$C$197,MATCH(G582,Coordinates!$J$2:$J$197,0))</f>
        <v>34.050010020000002</v>
      </c>
      <c r="AL582" s="270" t="str">
        <f>IF(ISNUMBER(SEARCH("C", 'Dry_Litterbag Placem_Collection'!U143)),"YES","NO")</f>
        <v>NO</v>
      </c>
      <c r="AM582" s="270" t="str">
        <f>IF(ISNUMBER(SEARCH("H", 'Dry_Litterbag Placem_Collection'!U143)),"YES","NO")</f>
        <v>NO</v>
      </c>
      <c r="AN582" s="270" t="str">
        <f>IF(ISNUMBER(SEARCH("R", 'Dry_Litterbag Placem_Collection'!U143)),"YES","NO")</f>
        <v>NO</v>
      </c>
    </row>
    <row r="583" spans="1:40" ht="15" customHeight="1">
      <c r="A583" s="262" t="s">
        <v>2659</v>
      </c>
      <c r="B583" s="263">
        <f>'Dry_Litterbag Placem_Collection'!A144</f>
        <v>142</v>
      </c>
      <c r="C583" s="263" t="str">
        <f>'Dry_Litterbag Placem_Collection'!B144</f>
        <v xml:space="preserve">Mwantimba
</v>
      </c>
      <c r="D583" s="263" t="s">
        <v>2659</v>
      </c>
      <c r="E583" s="263" t="s">
        <v>20</v>
      </c>
      <c r="F583" s="263">
        <v>2</v>
      </c>
      <c r="G583" s="264" t="str">
        <f>'Dry_Litterbag Placem_Collection'!C144</f>
        <v>Wet_P2_T6</v>
      </c>
      <c r="H583" s="273" t="s">
        <v>3651</v>
      </c>
      <c r="I583" s="266" t="s">
        <v>1147</v>
      </c>
      <c r="J583" s="263" t="str">
        <f>IF(ISBLANK('Dry_Litterbag Placem_Collection'!L144),"","G"&amp;""&amp;'Dry_Litterbag Placem_Collection'!L144)</f>
        <v>G711</v>
      </c>
      <c r="K583" s="267">
        <f>IFERROR(INDEX('Green_rooibos initial weight'!$C$5:$C$1749,MATCH(J583, 'Green_rooibos initial weight'!$A$5:$A$1749,0)),"")</f>
        <v>2.1070000000000002</v>
      </c>
      <c r="L583" s="267">
        <f>IFERROR(K583-(TBIcalc!$Q$9+TBIcalc!$Q$10),"")</f>
        <v>1.8572000000000002</v>
      </c>
      <c r="M583" s="391">
        <f>AVERAGE(Ashed_controlls!$K$2:$K$11)</f>
        <v>5.5147656768714146</v>
      </c>
      <c r="N583" s="267">
        <f t="shared" si="46"/>
        <v>1.7547797718491442</v>
      </c>
      <c r="O583" s="267" t="str">
        <f>IF(IFERROR(INDEX('Both teabags AfterDry'!$D$3:$D$900,MATCH(J583,'Both teabags AfterDry'!$A$3:$A$900,0)),"")="","",(IFERROR(INDEX('Both teabags AfterDry'!$D$3:$D$900,MATCH(J583,'Both teabags AfterDry'!$A$3:$A$900,0)),"")))</f>
        <v/>
      </c>
      <c r="P583" s="267" t="str">
        <f>IFERROR(IF(O583&gt;0,O583-(TBIcalc!$Q$9),""),"")</f>
        <v/>
      </c>
      <c r="Q583" s="278" t="str">
        <f>IFERROR(INDEX('Ashed teabags dry'!$K$2:$K$825,MATCH(J583,'Ashed teabags dry'!$A$2:$A$825,0)),"")</f>
        <v/>
      </c>
      <c r="R583" s="278" t="str">
        <f t="shared" si="47"/>
        <v/>
      </c>
      <c r="S583" s="268">
        <f>'Dry_Litterbag Placem_Collection'!E144</f>
        <v>42939</v>
      </c>
      <c r="T583" s="268">
        <f>IF('Dry_Litterbag Placem_Collection'!G144="","",'Dry_Litterbag Placem_Collection'!G144)</f>
        <v>43008</v>
      </c>
      <c r="U583" s="269">
        <f t="shared" si="45"/>
        <v>69</v>
      </c>
      <c r="V583" s="267" t="str">
        <f t="shared" si="48"/>
        <v/>
      </c>
      <c r="W583" s="267" t="str">
        <f t="shared" si="49"/>
        <v/>
      </c>
      <c r="X583" s="271">
        <f>IFERROR(INDEX(Rainfall_Dry!$O$2:$O$217,MATCH(B583, Rainfall_Dry!$A$2:$A$217,0)),"")</f>
        <v>136.27214243</v>
      </c>
      <c r="Y583" s="260">
        <v>33.96</v>
      </c>
      <c r="Z583" s="260">
        <v>8.9200000000000017</v>
      </c>
      <c r="AA583" s="260">
        <v>57.12</v>
      </c>
      <c r="AB583" s="261" t="s">
        <v>2670</v>
      </c>
      <c r="AC583" s="260">
        <v>7.0720551996057202</v>
      </c>
      <c r="AD583">
        <f>IF('WetLitterbags placem_collection'!AB144="","",'WetLitterbags placem_collection'!AB144)</f>
        <v>1.7</v>
      </c>
      <c r="AE583">
        <f>IF('WetLitterbags placem_collection'!Z144="","",'WetLitterbags placem_collection'!Z144)</f>
        <v>33.799999999999997</v>
      </c>
      <c r="AF583" s="24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71">
        <f>IFERROR(AVERAGE('Dry_Litterbag Placem_Collection'!N144,'Dry_Litterbag Placem_Collection'!Q144),"")</f>
        <v>28.4</v>
      </c>
      <c r="AJ583" s="270">
        <f>INDEX(Coordinates!$B$2:$B$197,MATCH(G583,Coordinates!$J$2:$J$197,0))</f>
        <v>-2.348618992</v>
      </c>
      <c r="AK583" s="270">
        <f>INDEX(Coordinates!$C$2:$C$197,MATCH(G583,Coordinates!$J$2:$J$197,0))</f>
        <v>34.049996030000003</v>
      </c>
      <c r="AL583" s="270" t="str">
        <f>IF(ISNUMBER(SEARCH("C", 'Dry_Litterbag Placem_Collection'!U144)),"YES","NO")</f>
        <v>NO</v>
      </c>
      <c r="AM583" s="270" t="str">
        <f>IF(ISNUMBER(SEARCH("H", 'Dry_Litterbag Placem_Collection'!U144)),"YES","NO")</f>
        <v>NO</v>
      </c>
      <c r="AN583" s="270" t="str">
        <f>IF(ISNUMBER(SEARCH("R", 'Dry_Litterbag Placem_Collection'!U144)),"YES","NO")</f>
        <v>YES</v>
      </c>
    </row>
    <row r="584" spans="1:40" ht="15" customHeight="1">
      <c r="A584" s="262" t="s">
        <v>2659</v>
      </c>
      <c r="B584" s="263">
        <f>'Dry_Litterbag Placem_Collection'!A145</f>
        <v>143</v>
      </c>
      <c r="C584" s="263" t="str">
        <f>'Dry_Litterbag Placem_Collection'!B145</f>
        <v xml:space="preserve">Mwantimba
</v>
      </c>
      <c r="D584" s="263" t="s">
        <v>2659</v>
      </c>
      <c r="E584" s="263" t="s">
        <v>20</v>
      </c>
      <c r="F584" s="263">
        <v>2</v>
      </c>
      <c r="G584" s="264" t="str">
        <f>'Dry_Litterbag Placem_Collection'!C145</f>
        <v>Wet_P2_T7</v>
      </c>
      <c r="H584" s="273" t="s">
        <v>3651</v>
      </c>
      <c r="I584" s="266" t="s">
        <v>1147</v>
      </c>
      <c r="J584" s="263" t="str">
        <f>IF(ISBLANK('Dry_Litterbag Placem_Collection'!L145),"","G"&amp;""&amp;'Dry_Litterbag Placem_Collection'!L145)</f>
        <v>G205</v>
      </c>
      <c r="K584" s="267">
        <f>IFERROR(INDEX('Green_rooibos initial weight'!$C$5:$C$1749,MATCH(J584, 'Green_rooibos initial weight'!$A$5:$A$1749,0)),"")</f>
        <v>2.1240000000000001</v>
      </c>
      <c r="L584" s="267">
        <f>IFERROR(K584-(TBIcalc!$Q$9+TBIcalc!$Q$10),"")</f>
        <v>1.8742000000000001</v>
      </c>
      <c r="M584" s="391">
        <f>AVERAGE(Ashed_controlls!$K$2:$K$11)</f>
        <v>5.5147656768714146</v>
      </c>
      <c r="N584" s="267">
        <f t="shared" si="46"/>
        <v>1.770842261684076</v>
      </c>
      <c r="O584" s="267">
        <f>IF(IFERROR(INDEX('Both teabags AfterDry'!$D$3:$D$900,MATCH(J584,'Both teabags AfterDry'!$A$3:$A$900,0)),"")="","",(IFERROR(INDEX('Both teabags AfterDry'!$D$3:$D$900,MATCH(J584,'Both teabags AfterDry'!$A$3:$A$900,0)),"")))</f>
        <v>0.82040000000000002</v>
      </c>
      <c r="P584" s="267">
        <f>IFERROR(IF(O584&gt;0,O584-(TBIcalc!$Q$9),""),"")</f>
        <v>0.66979999999999995</v>
      </c>
      <c r="Q584" s="278">
        <f>IFERROR(INDEX('Ashed teabags dry'!$K$2:$K$825,MATCH(J584,'Ashed teabags dry'!$A$2:$A$825,0)),"")</f>
        <v>18.392504930966592</v>
      </c>
      <c r="R584" s="278">
        <f t="shared" si="47"/>
        <v>0.54660700197238576</v>
      </c>
      <c r="S584" s="268">
        <f>'Dry_Litterbag Placem_Collection'!E145</f>
        <v>42939</v>
      </c>
      <c r="T584" s="268">
        <f>IF('Dry_Litterbag Placem_Collection'!G145="","",'Dry_Litterbag Placem_Collection'!G145)</f>
        <v>43008</v>
      </c>
      <c r="U584" s="269">
        <f t="shared" si="45"/>
        <v>69</v>
      </c>
      <c r="V584" s="267">
        <f t="shared" si="48"/>
        <v>1.2044000000000001</v>
      </c>
      <c r="W584" s="267">
        <f t="shared" si="49"/>
        <v>1.2242352597116901</v>
      </c>
      <c r="X584" s="271">
        <f>IFERROR(INDEX(Rainfall_Dry!$O$2:$O$217,MATCH(B584, Rainfall_Dry!$A$2:$A$217,0)),"")</f>
        <v>136.27214243</v>
      </c>
      <c r="Y584" s="260">
        <v>33.96</v>
      </c>
      <c r="Z584" s="260">
        <v>8.9200000000000017</v>
      </c>
      <c r="AA584" s="260">
        <v>57.12</v>
      </c>
      <c r="AB584" s="261" t="s">
        <v>2670</v>
      </c>
      <c r="AC584" s="260">
        <v>8.0720551996057193</v>
      </c>
      <c r="AD584">
        <f>IF('WetLitterbags placem_collection'!AB145="","",'WetLitterbags placem_collection'!AB145)</f>
        <v>2</v>
      </c>
      <c r="AE584">
        <f>IF('WetLitterbags placem_collection'!Z145="","",'WetLitterbags placem_collection'!Z145)</f>
        <v>23.4</v>
      </c>
      <c r="AF584" s="24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71">
        <f>IFERROR(AVERAGE('Dry_Litterbag Placem_Collection'!N145,'Dry_Litterbag Placem_Collection'!Q145),"")</f>
        <v>28</v>
      </c>
      <c r="AJ584" s="270">
        <f>INDEX(Coordinates!$B$2:$B$197,MATCH(G584,Coordinates!$J$2:$J$197,0))</f>
        <v>-2.3484970349999998</v>
      </c>
      <c r="AK584" s="270">
        <f>INDEX(Coordinates!$C$2:$C$197,MATCH(G584,Coordinates!$J$2:$J$197,0))</f>
        <v>34.049979010000001</v>
      </c>
      <c r="AL584" s="270" t="str">
        <f>IF(ISNUMBER(SEARCH("C", 'Dry_Litterbag Placem_Collection'!U145)),"YES","NO")</f>
        <v>NO</v>
      </c>
      <c r="AM584" s="270" t="str">
        <f>IF(ISNUMBER(SEARCH("H", 'Dry_Litterbag Placem_Collection'!U145)),"YES","NO")</f>
        <v>NO</v>
      </c>
      <c r="AN584" s="270" t="str">
        <f>IF(ISNUMBER(SEARCH("R", 'Dry_Litterbag Placem_Collection'!U145)),"YES","NO")</f>
        <v>YES</v>
      </c>
    </row>
    <row r="585" spans="1:40" ht="15" customHeight="1">
      <c r="A585" s="262" t="s">
        <v>2659</v>
      </c>
      <c r="B585" s="263">
        <f>'Dry_Litterbag Placem_Collection'!A146</f>
        <v>144</v>
      </c>
      <c r="C585" s="263" t="str">
        <f>'Dry_Litterbag Placem_Collection'!B146</f>
        <v xml:space="preserve">Mwantimba
</v>
      </c>
      <c r="D585" s="263" t="s">
        <v>2659</v>
      </c>
      <c r="E585" s="263" t="s">
        <v>20</v>
      </c>
      <c r="F585" s="263">
        <v>2</v>
      </c>
      <c r="G585" s="264" t="str">
        <f>'Dry_Litterbag Placem_Collection'!C146</f>
        <v>Wet_P2_T8</v>
      </c>
      <c r="H585" s="273" t="s">
        <v>3651</v>
      </c>
      <c r="I585" s="266" t="s">
        <v>1147</v>
      </c>
      <c r="J585" s="263" t="str">
        <f>IF(ISBLANK('Dry_Litterbag Placem_Collection'!L146),"","G"&amp;""&amp;'Dry_Litterbag Placem_Collection'!L146)</f>
        <v>G384</v>
      </c>
      <c r="K585" s="267">
        <f>IFERROR(INDEX('Green_rooibos initial weight'!$C$5:$C$1749,MATCH(J585, 'Green_rooibos initial weight'!$A$5:$A$1749,0)),"")</f>
        <v>2.0499999999999998</v>
      </c>
      <c r="L585" s="267">
        <f>IFERROR(K585-(TBIcalc!$Q$9+TBIcalc!$Q$10),"")</f>
        <v>1.8001999999999998</v>
      </c>
      <c r="M585" s="391">
        <f>AVERAGE(Ashed_controlls!$K$2:$K$11)</f>
        <v>5.5147656768714146</v>
      </c>
      <c r="N585" s="267">
        <f t="shared" si="46"/>
        <v>1.7009231882849607</v>
      </c>
      <c r="O585" s="267">
        <f>IF(IFERROR(INDEX('Both teabags AfterDry'!$D$3:$D$900,MATCH(J585,'Both teabags AfterDry'!$A$3:$A$900,0)),"")="","",(IFERROR(INDEX('Both teabags AfterDry'!$D$3:$D$900,MATCH(J585,'Both teabags AfterDry'!$A$3:$A$900,0)),"")))</f>
        <v>0.73660000000000003</v>
      </c>
      <c r="P585" s="267">
        <f>IFERROR(IF(O585&gt;0,O585-(TBIcalc!$Q$9),""),"")</f>
        <v>0.58600000000000008</v>
      </c>
      <c r="Q585" s="278">
        <f>IFERROR(INDEX('Ashed teabags dry'!$K$2:$K$825,MATCH(J585,'Ashed teabags dry'!$A$2:$A$825,0)),"")</f>
        <v>16.379310344827655</v>
      </c>
      <c r="R585" s="278">
        <f t="shared" si="47"/>
        <v>0.49001724137931002</v>
      </c>
      <c r="S585" s="268">
        <f>'Dry_Litterbag Placem_Collection'!E146</f>
        <v>42939</v>
      </c>
      <c r="T585" s="268">
        <f>IF('Dry_Litterbag Placem_Collection'!G146="","",'Dry_Litterbag Placem_Collection'!G146)</f>
        <v>43008</v>
      </c>
      <c r="U585" s="269">
        <f t="shared" si="45"/>
        <v>69</v>
      </c>
      <c r="V585" s="267">
        <f t="shared" si="48"/>
        <v>1.2141999999999997</v>
      </c>
      <c r="W585" s="267">
        <f t="shared" si="49"/>
        <v>1.2109059469056507</v>
      </c>
      <c r="X585" s="271">
        <f>IFERROR(INDEX(Rainfall_Dry!$O$2:$O$217,MATCH(B585, Rainfall_Dry!$A$2:$A$217,0)),"")</f>
        <v>136.27214243</v>
      </c>
      <c r="Y585" s="260">
        <v>33.96</v>
      </c>
      <c r="Z585" s="260">
        <v>8.9200000000000017</v>
      </c>
      <c r="AA585" s="260">
        <v>57.12</v>
      </c>
      <c r="AB585" s="261" t="s">
        <v>2670</v>
      </c>
      <c r="AC585" s="260">
        <v>9.0720551996057193</v>
      </c>
      <c r="AD585">
        <f>IF('WetLitterbags placem_collection'!AB146="","",'WetLitterbags placem_collection'!AB146)</f>
        <v>2.5</v>
      </c>
      <c r="AE585">
        <f>IF('WetLitterbags placem_collection'!Z146="","",'WetLitterbags placem_collection'!Z146)</f>
        <v>19.8</v>
      </c>
      <c r="AF585" s="24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71">
        <f>IFERROR(AVERAGE('Dry_Litterbag Placem_Collection'!N146,'Dry_Litterbag Placem_Collection'!Q146),"")</f>
        <v>29.15</v>
      </c>
      <c r="AJ585" s="270">
        <f>INDEX(Coordinates!$B$2:$B$197,MATCH(G585,Coordinates!$J$2:$J$197,0))</f>
        <v>-2.3486560399999998</v>
      </c>
      <c r="AK585" s="270">
        <f>INDEX(Coordinates!$C$2:$C$197,MATCH(G585,Coordinates!$J$2:$J$197,0))</f>
        <v>34.049895020000001</v>
      </c>
      <c r="AL585" s="270" t="str">
        <f>IF(ISNUMBER(SEARCH("C", 'Dry_Litterbag Placem_Collection'!U146)),"YES","NO")</f>
        <v>NO</v>
      </c>
      <c r="AM585" s="270" t="str">
        <f>IF(ISNUMBER(SEARCH("H", 'Dry_Litterbag Placem_Collection'!U146)),"YES","NO")</f>
        <v>NO</v>
      </c>
      <c r="AN585" s="270" t="str">
        <f>IF(ISNUMBER(SEARCH("R", 'Dry_Litterbag Placem_Collection'!U146)),"YES","NO")</f>
        <v>NO</v>
      </c>
    </row>
    <row r="586" spans="1:40" ht="15" customHeight="1">
      <c r="A586" s="262" t="s">
        <v>2659</v>
      </c>
      <c r="B586" s="263">
        <f>'Dry_Litterbag Placem_Collection'!A147</f>
        <v>145</v>
      </c>
      <c r="C586" s="263" t="str">
        <f>'Dry_Litterbag Placem_Collection'!B147</f>
        <v xml:space="preserve">Mwantimba
</v>
      </c>
      <c r="D586" s="263" t="s">
        <v>2659</v>
      </c>
      <c r="E586" s="263" t="s">
        <v>20</v>
      </c>
      <c r="F586" s="263">
        <v>3</v>
      </c>
      <c r="G586" s="264" t="str">
        <f>'Dry_Litterbag Placem_Collection'!C147</f>
        <v>Wet_P3_T1</v>
      </c>
      <c r="H586" s="273" t="s">
        <v>3651</v>
      </c>
      <c r="I586" s="266" t="s">
        <v>1147</v>
      </c>
      <c r="J586" s="263" t="str">
        <f>IF(ISBLANK('Dry_Litterbag Placem_Collection'!L147),"","G"&amp;""&amp;'Dry_Litterbag Placem_Collection'!L147)</f>
        <v>G72</v>
      </c>
      <c r="K586" s="267">
        <f>IFERROR(INDEX('Green_rooibos initial weight'!$C$5:$C$1749,MATCH(J586, 'Green_rooibos initial weight'!$A$5:$A$1749,0)),"")</f>
        <v>2.0190000000000001</v>
      </c>
      <c r="L586" s="267">
        <f>IFERROR(K586-(TBIcalc!$Q$9+TBIcalc!$Q$10),"")</f>
        <v>1.7692000000000001</v>
      </c>
      <c r="M586" s="391">
        <f>AVERAGE(Ashed_controlls!$K$2:$K$11)</f>
        <v>5.5147656768714146</v>
      </c>
      <c r="N586" s="267">
        <f t="shared" si="46"/>
        <v>1.6716327656447911</v>
      </c>
      <c r="O586" s="267">
        <f>IF(IFERROR(INDEX('Both teabags AfterDry'!$D$3:$D$900,MATCH(J586,'Both teabags AfterDry'!$A$3:$A$900,0)),"")="","",(IFERROR(INDEX('Both teabags AfterDry'!$D$3:$D$900,MATCH(J586,'Both teabags AfterDry'!$A$3:$A$900,0)),"")))</f>
        <v>1.7161999999999999</v>
      </c>
      <c r="P586" s="267">
        <f>IFERROR(IF(O586&gt;0,O586-(TBIcalc!$Q$9),""),"")</f>
        <v>1.5655999999999999</v>
      </c>
      <c r="Q586" s="278">
        <f>IFERROR(INDEX('Ashed teabags dry'!$K$2:$K$825,MATCH(J586,'Ashed teabags dry'!$A$2:$A$825,0)),"")</f>
        <v>10.842779694431051</v>
      </c>
      <c r="R586" s="278">
        <f t="shared" si="47"/>
        <v>1.3958454411039873</v>
      </c>
      <c r="S586" s="268">
        <f>'Dry_Litterbag Placem_Collection'!E147</f>
        <v>42939</v>
      </c>
      <c r="T586" s="268">
        <f>IF('Dry_Litterbag Placem_Collection'!G147="","",'Dry_Litterbag Placem_Collection'!G147)</f>
        <v>43010</v>
      </c>
      <c r="U586" s="269">
        <f t="shared" si="45"/>
        <v>71</v>
      </c>
      <c r="V586" s="267">
        <f t="shared" si="48"/>
        <v>0.20360000000000023</v>
      </c>
      <c r="W586" s="267">
        <f t="shared" si="49"/>
        <v>0.27578732454080379</v>
      </c>
      <c r="X586" s="271">
        <f>IFERROR(INDEX(Rainfall_Dry!$O$2:$O$217,MATCH(B586, Rainfall_Dry!$A$2:$A$217,0)),"")</f>
        <v>137.19979645800001</v>
      </c>
      <c r="Y586" s="260">
        <v>39.96</v>
      </c>
      <c r="Z586" s="260">
        <v>12.920000000000002</v>
      </c>
      <c r="AA586" s="260">
        <v>47.12</v>
      </c>
      <c r="AB586" s="261" t="s">
        <v>2674</v>
      </c>
      <c r="AC586" s="260">
        <v>1.6549531789058647</v>
      </c>
      <c r="AD586">
        <f>IF('WetLitterbags placem_collection'!AB147="","",'WetLitterbags placem_collection'!AB147)</f>
        <v>3.95</v>
      </c>
      <c r="AE586">
        <f>IF('WetLitterbags placem_collection'!Z147="","",'WetLitterbags placem_collection'!Z147)</f>
        <v>13</v>
      </c>
      <c r="AF586" s="24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71">
        <f>IFERROR(AVERAGE('Dry_Litterbag Placem_Collection'!N147,'Dry_Litterbag Placem_Collection'!Q147),"")</f>
        <v>30</v>
      </c>
      <c r="AJ586" s="270">
        <f>INDEX(Coordinates!$B$2:$B$197,MATCH(G586,Coordinates!$J$2:$J$197,0))</f>
        <v>-2.3675269729999999</v>
      </c>
      <c r="AK586" s="270">
        <f>INDEX(Coordinates!$C$2:$C$197,MATCH(G586,Coordinates!$J$2:$J$197,0))</f>
        <v>34.06035799</v>
      </c>
      <c r="AL586" s="270" t="str">
        <f>IF(ISNUMBER(SEARCH("C", 'Dry_Litterbag Placem_Collection'!U147)),"YES","NO")</f>
        <v>NO</v>
      </c>
      <c r="AM586" s="270" t="str">
        <f>IF(ISNUMBER(SEARCH("H", 'Dry_Litterbag Placem_Collection'!U147)),"YES","NO")</f>
        <v>NO</v>
      </c>
      <c r="AN586" s="270" t="str">
        <f>IF(ISNUMBER(SEARCH("R", 'Dry_Litterbag Placem_Collection'!U147)),"YES","NO")</f>
        <v>NO</v>
      </c>
    </row>
    <row r="587" spans="1:40" ht="15" customHeight="1">
      <c r="A587" s="262" t="s">
        <v>2659</v>
      </c>
      <c r="B587" s="263">
        <f>'Dry_Litterbag Placem_Collection'!A148</f>
        <v>146</v>
      </c>
      <c r="C587" s="263" t="str">
        <f>'Dry_Litterbag Placem_Collection'!B148</f>
        <v xml:space="preserve">Mwantimba
</v>
      </c>
      <c r="D587" s="263" t="s">
        <v>2659</v>
      </c>
      <c r="E587" s="263" t="s">
        <v>20</v>
      </c>
      <c r="F587" s="263">
        <v>3</v>
      </c>
      <c r="G587" s="264" t="str">
        <f>'Dry_Litterbag Placem_Collection'!C148</f>
        <v>Wet_P3_T2</v>
      </c>
      <c r="H587" s="273" t="s">
        <v>3651</v>
      </c>
      <c r="I587" s="266" t="s">
        <v>1147</v>
      </c>
      <c r="J587" s="263" t="str">
        <f>IF(ISBLANK('Dry_Litterbag Placem_Collection'!L148),"","G"&amp;""&amp;'Dry_Litterbag Placem_Collection'!L148)</f>
        <v>G336</v>
      </c>
      <c r="K587" s="267">
        <f>IFERROR(INDEX('Green_rooibos initial weight'!$C$5:$C$1749,MATCH(J587, 'Green_rooibos initial weight'!$A$5:$A$1749,0)),"")</f>
        <v>1.9950000000000001</v>
      </c>
      <c r="L587" s="267">
        <f>IFERROR(K587-(TBIcalc!$Q$9+TBIcalc!$Q$10),"")</f>
        <v>1.7452000000000001</v>
      </c>
      <c r="M587" s="391">
        <f>AVERAGE(Ashed_controlls!$K$2:$K$11)</f>
        <v>5.5147656768714146</v>
      </c>
      <c r="N587" s="267">
        <f t="shared" si="46"/>
        <v>1.6489563094072401</v>
      </c>
      <c r="O587" s="267">
        <f>IF(IFERROR(INDEX('Both teabags AfterDry'!$D$3:$D$900,MATCH(J587,'Both teabags AfterDry'!$A$3:$A$900,0)),"")="","",(IFERROR(INDEX('Both teabags AfterDry'!$D$3:$D$900,MATCH(J587,'Both teabags AfterDry'!$A$3:$A$900,0)),"")))</f>
        <v>1.6466000000000001</v>
      </c>
      <c r="P587" s="267">
        <f>IFERROR(IF(O587&gt;0,O587-(TBIcalc!$Q$9),""),"")</f>
        <v>1.496</v>
      </c>
      <c r="Q587" s="278">
        <f>IFERROR(INDEX('Ashed teabags dry'!$K$2:$K$825,MATCH(J587,'Ashed teabags dry'!$A$2:$A$825,0)),"")</f>
        <v>9.7110374230223258</v>
      </c>
      <c r="R587" s="278">
        <f t="shared" si="47"/>
        <v>1.350722880151586</v>
      </c>
      <c r="S587" s="268">
        <f>'Dry_Litterbag Placem_Collection'!E148</f>
        <v>42939</v>
      </c>
      <c r="T587" s="268">
        <f>IF('Dry_Litterbag Placem_Collection'!G148="","",'Dry_Litterbag Placem_Collection'!G148)</f>
        <v>43010</v>
      </c>
      <c r="U587" s="269">
        <f t="shared" si="45"/>
        <v>71</v>
      </c>
      <c r="V587" s="267">
        <f t="shared" si="48"/>
        <v>0.24920000000000009</v>
      </c>
      <c r="W587" s="267">
        <f t="shared" si="49"/>
        <v>0.2982334292556541</v>
      </c>
      <c r="X587" s="271">
        <f>IFERROR(INDEX(Rainfall_Dry!$O$2:$O$217,MATCH(B587, Rainfall_Dry!$A$2:$A$217,0)),"")</f>
        <v>137.19979645800001</v>
      </c>
      <c r="Y587" s="260">
        <v>39.96</v>
      </c>
      <c r="Z587" s="260">
        <v>12.920000000000002</v>
      </c>
      <c r="AA587" s="260">
        <v>47.12</v>
      </c>
      <c r="AB587" s="261" t="s">
        <v>2674</v>
      </c>
      <c r="AC587" s="260">
        <v>2.6549531789058598</v>
      </c>
      <c r="AD587">
        <f>IF('WetLitterbags placem_collection'!AB148="","",'WetLitterbags placem_collection'!AB148)</f>
        <v>2.75</v>
      </c>
      <c r="AE587">
        <f>IF('WetLitterbags placem_collection'!Z148="","",'WetLitterbags placem_collection'!Z148)</f>
        <v>17.7</v>
      </c>
      <c r="AF587" s="24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71">
        <f>IFERROR(AVERAGE('Dry_Litterbag Placem_Collection'!N148,'Dry_Litterbag Placem_Collection'!Q148),"")</f>
        <v>31</v>
      </c>
      <c r="AJ587" s="270">
        <f>INDEX(Coordinates!$B$2:$B$197,MATCH(G587,Coordinates!$J$2:$J$197,0))</f>
        <v>-2.3675380370000001</v>
      </c>
      <c r="AK587" s="270">
        <f>INDEX(Coordinates!$C$2:$C$197,MATCH(G587,Coordinates!$J$2:$J$197,0))</f>
        <v>34.060381960000001</v>
      </c>
      <c r="AL587" s="270" t="str">
        <f>IF(ISNUMBER(SEARCH("C", 'Dry_Litterbag Placem_Collection'!U148)),"YES","NO")</f>
        <v>NO</v>
      </c>
      <c r="AM587" s="270" t="str">
        <f>IF(ISNUMBER(SEARCH("H", 'Dry_Litterbag Placem_Collection'!U148)),"YES","NO")</f>
        <v>NO</v>
      </c>
      <c r="AN587" s="270" t="str">
        <f>IF(ISNUMBER(SEARCH("R", 'Dry_Litterbag Placem_Collection'!U148)),"YES","NO")</f>
        <v>NO</v>
      </c>
    </row>
    <row r="588" spans="1:40" ht="15" customHeight="1">
      <c r="A588" s="262" t="s">
        <v>2659</v>
      </c>
      <c r="B588" s="263">
        <f>'Dry_Litterbag Placem_Collection'!A149</f>
        <v>147</v>
      </c>
      <c r="C588" s="263" t="str">
        <f>'Dry_Litterbag Placem_Collection'!B149</f>
        <v xml:space="preserve">Mwantimba
</v>
      </c>
      <c r="D588" s="263" t="s">
        <v>2659</v>
      </c>
      <c r="E588" s="263" t="s">
        <v>20</v>
      </c>
      <c r="F588" s="263">
        <v>3</v>
      </c>
      <c r="G588" s="264" t="str">
        <f>'Dry_Litterbag Placem_Collection'!C149</f>
        <v>Wet_P3_T3</v>
      </c>
      <c r="H588" s="273" t="s">
        <v>3651</v>
      </c>
      <c r="I588" s="266" t="s">
        <v>1147</v>
      </c>
      <c r="J588" s="263" t="str">
        <f>IF(ISBLANK('Dry_Litterbag Placem_Collection'!L149),"","G"&amp;""&amp;'Dry_Litterbag Placem_Collection'!L149)</f>
        <v>G303</v>
      </c>
      <c r="K588" s="267">
        <f>IFERROR(INDEX('Green_rooibos initial weight'!$C$5:$C$1749,MATCH(J588, 'Green_rooibos initial weight'!$A$5:$A$1749,0)),"")</f>
        <v>1.9850000000000001</v>
      </c>
      <c r="L588" s="267">
        <f>IFERROR(K588-(TBIcalc!$Q$9+TBIcalc!$Q$10),"")</f>
        <v>1.7352000000000001</v>
      </c>
      <c r="M588" s="391">
        <f>AVERAGE(Ashed_controlls!$K$2:$K$11)</f>
        <v>5.5147656768714146</v>
      </c>
      <c r="N588" s="267">
        <f t="shared" si="46"/>
        <v>1.6395077859749272</v>
      </c>
      <c r="O588" s="267">
        <f>IF(IFERROR(INDEX('Both teabags AfterDry'!$D$3:$D$900,MATCH(J588,'Both teabags AfterDry'!$A$3:$A$900,0)),"")="","",(IFERROR(INDEX('Both teabags AfterDry'!$D$3:$D$900,MATCH(J588,'Both teabags AfterDry'!$A$3:$A$900,0)),"")))</f>
        <v>1.6654</v>
      </c>
      <c r="P588" s="267">
        <f>IFERROR(IF(O588&gt;0,O588-(TBIcalc!$Q$9),""),"")</f>
        <v>1.5147999999999999</v>
      </c>
      <c r="Q588" s="278">
        <f>IFERROR(INDEX('Ashed teabags dry'!$K$2:$K$825,MATCH(J588,'Ashed teabags dry'!$A$2:$A$825,0)),"")</f>
        <v>8.1562036579344408</v>
      </c>
      <c r="R588" s="278">
        <f t="shared" si="47"/>
        <v>1.391249826989609</v>
      </c>
      <c r="S588" s="268">
        <f>'Dry_Litterbag Placem_Collection'!E149</f>
        <v>42939</v>
      </c>
      <c r="T588" s="268">
        <f>IF('Dry_Litterbag Placem_Collection'!G149="","",'Dry_Litterbag Placem_Collection'!G149)</f>
        <v>43010</v>
      </c>
      <c r="U588" s="269">
        <f t="shared" si="45"/>
        <v>71</v>
      </c>
      <c r="V588" s="267">
        <f t="shared" si="48"/>
        <v>0.22040000000000015</v>
      </c>
      <c r="W588" s="267">
        <f t="shared" si="49"/>
        <v>0.24825795898531822</v>
      </c>
      <c r="X588" s="271">
        <f>IFERROR(INDEX(Rainfall_Dry!$O$2:$O$217,MATCH(B588, Rainfall_Dry!$A$2:$A$217,0)),"")</f>
        <v>137.19979645800001</v>
      </c>
      <c r="Y588" s="260">
        <v>39.96</v>
      </c>
      <c r="Z588" s="260">
        <v>12.920000000000002</v>
      </c>
      <c r="AA588" s="260">
        <v>47.12</v>
      </c>
      <c r="AB588" s="261" t="s">
        <v>2674</v>
      </c>
      <c r="AC588" s="260">
        <v>3.6549531789058598</v>
      </c>
      <c r="AD588">
        <f>IF('WetLitterbags placem_collection'!AB149="","",'WetLitterbags placem_collection'!AB149)</f>
        <v>3.6</v>
      </c>
      <c r="AE588">
        <f>IF('WetLitterbags placem_collection'!Z149="","",'WetLitterbags placem_collection'!Z149)</f>
        <v>19</v>
      </c>
      <c r="AF588" s="24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71">
        <f>IFERROR(AVERAGE('Dry_Litterbag Placem_Collection'!N149,'Dry_Litterbag Placem_Collection'!Q149),"")</f>
        <v>29.900000000000002</v>
      </c>
      <c r="AJ588" s="270">
        <f>INDEX(Coordinates!$B$2:$B$197,MATCH(G588,Coordinates!$J$2:$J$197,0))</f>
        <v>-2.3675780180000001</v>
      </c>
      <c r="AK588" s="270">
        <f>INDEX(Coordinates!$C$2:$C$197,MATCH(G588,Coordinates!$J$2:$J$197,0))</f>
        <v>34.060323029999999</v>
      </c>
      <c r="AL588" s="270" t="str">
        <f>IF(ISNUMBER(SEARCH("C", 'Dry_Litterbag Placem_Collection'!U149)),"YES","NO")</f>
        <v>NO</v>
      </c>
      <c r="AM588" s="270" t="str">
        <f>IF(ISNUMBER(SEARCH("H", 'Dry_Litterbag Placem_Collection'!U149)),"YES","NO")</f>
        <v>NO</v>
      </c>
      <c r="AN588" s="270" t="str">
        <f>IF(ISNUMBER(SEARCH("R", 'Dry_Litterbag Placem_Collection'!U149)),"YES","NO")</f>
        <v>NO</v>
      </c>
    </row>
    <row r="589" spans="1:40" ht="15" customHeight="1">
      <c r="A589" s="262" t="s">
        <v>2659</v>
      </c>
      <c r="B589" s="263">
        <f>'Dry_Litterbag Placem_Collection'!A150</f>
        <v>148</v>
      </c>
      <c r="C589" s="263" t="str">
        <f>'Dry_Litterbag Placem_Collection'!B150</f>
        <v xml:space="preserve">Mwantimba
</v>
      </c>
      <c r="D589" s="263" t="s">
        <v>2659</v>
      </c>
      <c r="E589" s="263" t="s">
        <v>20</v>
      </c>
      <c r="F589" s="263">
        <v>3</v>
      </c>
      <c r="G589" s="264" t="str">
        <f>'Dry_Litterbag Placem_Collection'!C150</f>
        <v>Wet_P3_T4</v>
      </c>
      <c r="H589" s="273" t="s">
        <v>3651</v>
      </c>
      <c r="I589" s="266" t="s">
        <v>1147</v>
      </c>
      <c r="J589" s="263" t="str">
        <f>IF(ISBLANK('Dry_Litterbag Placem_Collection'!L150),"","G"&amp;""&amp;'Dry_Litterbag Placem_Collection'!L150)</f>
        <v>G161</v>
      </c>
      <c r="K589" s="267">
        <f>IFERROR(INDEX('Green_rooibos initial weight'!$C$5:$C$1749,MATCH(J589, 'Green_rooibos initial weight'!$A$5:$A$1749,0)),"")</f>
        <v>2.0979999999999999</v>
      </c>
      <c r="L589" s="267">
        <f>IFERROR(K589-(TBIcalc!$Q$9+TBIcalc!$Q$10),"")</f>
        <v>1.8481999999999998</v>
      </c>
      <c r="M589" s="391">
        <f>AVERAGE(Ashed_controlls!$K$2:$K$11)</f>
        <v>5.5147656768714146</v>
      </c>
      <c r="N589" s="267">
        <f t="shared" si="46"/>
        <v>1.7462761007600625</v>
      </c>
      <c r="O589" s="267">
        <f>IF(IFERROR(INDEX('Both teabags AfterDry'!$D$3:$D$900,MATCH(J589,'Both teabags AfterDry'!$A$3:$A$900,0)),"")="","",(IFERROR(INDEX('Both teabags AfterDry'!$D$3:$D$900,MATCH(J589,'Both teabags AfterDry'!$A$3:$A$900,0)),"")))</f>
        <v>1.7174</v>
      </c>
      <c r="P589" s="267">
        <f>IFERROR(IF(O589&gt;0,O589-(TBIcalc!$Q$9),""),"")</f>
        <v>1.5668</v>
      </c>
      <c r="Q589" s="278">
        <f>IFERROR(INDEX('Ashed teabags dry'!$K$2:$K$825,MATCH(J589,'Ashed teabags dry'!$A$2:$A$825,0)),"")</f>
        <v>9.0731707317073607</v>
      </c>
      <c r="R589" s="278">
        <f t="shared" si="47"/>
        <v>1.4246415609756091</v>
      </c>
      <c r="S589" s="268">
        <f>'Dry_Litterbag Placem_Collection'!E150</f>
        <v>42939</v>
      </c>
      <c r="T589" s="268">
        <f>IF('Dry_Litterbag Placem_Collection'!G150="","",'Dry_Litterbag Placem_Collection'!G150)</f>
        <v>43010</v>
      </c>
      <c r="U589" s="269">
        <f t="shared" si="45"/>
        <v>71</v>
      </c>
      <c r="V589" s="267">
        <f t="shared" si="48"/>
        <v>0.28139999999999987</v>
      </c>
      <c r="W589" s="267">
        <f t="shared" si="49"/>
        <v>0.32163453978445333</v>
      </c>
      <c r="X589" s="271">
        <f>IFERROR(INDEX(Rainfall_Dry!$O$2:$O$217,MATCH(B589, Rainfall_Dry!$A$2:$A$217,0)),"")</f>
        <v>137.19979645800001</v>
      </c>
      <c r="Y589" s="260">
        <v>39.96</v>
      </c>
      <c r="Z589" s="260">
        <v>12.920000000000002</v>
      </c>
      <c r="AA589" s="260">
        <v>47.12</v>
      </c>
      <c r="AB589" s="261" t="s">
        <v>2674</v>
      </c>
      <c r="AC589" s="260">
        <v>4.6549531789058696</v>
      </c>
      <c r="AD589">
        <f>IF('WetLitterbags placem_collection'!AB150="","",'WetLitterbags placem_collection'!AB150)</f>
        <v>4.9000000000000004</v>
      </c>
      <c r="AE589">
        <f>IF('WetLitterbags placem_collection'!Z150="","",'WetLitterbags placem_collection'!Z150)</f>
        <v>17.489999999999998</v>
      </c>
      <c r="AF589" s="24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71">
        <f>IFERROR(AVERAGE('Dry_Litterbag Placem_Collection'!N150,'Dry_Litterbag Placem_Collection'!Q150),"")</f>
        <v>31.6</v>
      </c>
      <c r="AJ589" s="270">
        <f>INDEX(Coordinates!$B$2:$B$197,MATCH(G589,Coordinates!$J$2:$J$197,0))</f>
        <v>-2.3676269689999998</v>
      </c>
      <c r="AK589" s="270">
        <f>INDEX(Coordinates!$C$2:$C$197,MATCH(G589,Coordinates!$J$2:$J$197,0))</f>
        <v>34.060310960000002</v>
      </c>
      <c r="AL589" s="270" t="str">
        <f>IF(ISNUMBER(SEARCH("C", 'Dry_Litterbag Placem_Collection'!U150)),"YES","NO")</f>
        <v>YES</v>
      </c>
      <c r="AM589" s="270" t="str">
        <f>IF(ISNUMBER(SEARCH("H", 'Dry_Litterbag Placem_Collection'!U150)),"YES","NO")</f>
        <v>NO</v>
      </c>
      <c r="AN589" s="270" t="str">
        <f>IF(ISNUMBER(SEARCH("R", 'Dry_Litterbag Placem_Collection'!U150)),"YES","NO")</f>
        <v>NO</v>
      </c>
    </row>
    <row r="590" spans="1:40" ht="15" customHeight="1">
      <c r="A590" s="262" t="s">
        <v>2659</v>
      </c>
      <c r="B590" s="263">
        <f>'Dry_Litterbag Placem_Collection'!A151</f>
        <v>149</v>
      </c>
      <c r="C590" s="263" t="str">
        <f>'Dry_Litterbag Placem_Collection'!B151</f>
        <v xml:space="preserve">Mwantimba
</v>
      </c>
      <c r="D590" s="263" t="s">
        <v>2659</v>
      </c>
      <c r="E590" s="263" t="s">
        <v>20</v>
      </c>
      <c r="F590" s="263">
        <v>3</v>
      </c>
      <c r="G590" s="264" t="str">
        <f>'Dry_Litterbag Placem_Collection'!C151</f>
        <v>Wet_P3_T5</v>
      </c>
      <c r="H590" s="273" t="s">
        <v>3651</v>
      </c>
      <c r="I590" s="266" t="s">
        <v>1147</v>
      </c>
      <c r="J590" s="263" t="str">
        <f>IF(ISBLANK('Dry_Litterbag Placem_Collection'!L151),"","G"&amp;""&amp;'Dry_Litterbag Placem_Collection'!L151)</f>
        <v>G464</v>
      </c>
      <c r="K590" s="267">
        <f>IFERROR(INDEX('Green_rooibos initial weight'!$C$5:$C$1749,MATCH(J590, 'Green_rooibos initial weight'!$A$5:$A$1749,0)),"")</f>
        <v>1.964</v>
      </c>
      <c r="L590" s="267">
        <f>IFERROR(K590-(TBIcalc!$Q$9+TBIcalc!$Q$10),"")</f>
        <v>1.7141999999999999</v>
      </c>
      <c r="M590" s="391">
        <f>AVERAGE(Ashed_controlls!$K$2:$K$11)</f>
        <v>5.5147656768714146</v>
      </c>
      <c r="N590" s="267">
        <f t="shared" si="46"/>
        <v>1.6196658867670701</v>
      </c>
      <c r="O590" s="267">
        <f>IF(IFERROR(INDEX('Both teabags AfterDry'!$D$3:$D$900,MATCH(J590,'Both teabags AfterDry'!$A$3:$A$900,0)),"")="","",(IFERROR(INDEX('Both teabags AfterDry'!$D$3:$D$900,MATCH(J590,'Both teabags AfterDry'!$A$3:$A$900,0)),"")))</f>
        <v>1.571</v>
      </c>
      <c r="P590" s="267">
        <f>IFERROR(IF(O590&gt;0,O590-(TBIcalc!$Q$9),""),"")</f>
        <v>1.4203999999999999</v>
      </c>
      <c r="Q590" s="278">
        <f>IFERROR(INDEX('Ashed teabags dry'!$K$2:$K$825,MATCH(J590,'Ashed teabags dry'!$A$2:$A$825,0)),"")</f>
        <v>7.6546506453042547</v>
      </c>
      <c r="R590" s="278">
        <f t="shared" si="47"/>
        <v>1.3116733422340983</v>
      </c>
      <c r="S590" s="268">
        <f>'Dry_Litterbag Placem_Collection'!E151</f>
        <v>42939</v>
      </c>
      <c r="T590" s="268">
        <f>IF('Dry_Litterbag Placem_Collection'!G151="","",'Dry_Litterbag Placem_Collection'!G151)</f>
        <v>43010</v>
      </c>
      <c r="U590" s="269">
        <f t="shared" si="45"/>
        <v>71</v>
      </c>
      <c r="V590" s="267">
        <f t="shared" si="48"/>
        <v>0.29380000000000006</v>
      </c>
      <c r="W590" s="267">
        <f t="shared" si="49"/>
        <v>0.30799254453297187</v>
      </c>
      <c r="X590" s="271">
        <f>IFERROR(INDEX(Rainfall_Dry!$O$2:$O$217,MATCH(B590, Rainfall_Dry!$A$2:$A$217,0)),"")</f>
        <v>137.19979645800001</v>
      </c>
      <c r="Y590" s="260">
        <v>39.96</v>
      </c>
      <c r="Z590" s="260">
        <v>12.920000000000002</v>
      </c>
      <c r="AA590" s="260">
        <v>47.12</v>
      </c>
      <c r="AB590" s="261" t="s">
        <v>2674</v>
      </c>
      <c r="AC590" s="260">
        <v>5.6549531789058696</v>
      </c>
      <c r="AD590">
        <f>IF('WetLitterbags placem_collection'!AB151="","",'WetLitterbags placem_collection'!AB151)</f>
        <v>2.8</v>
      </c>
      <c r="AE590">
        <f>IF('WetLitterbags placem_collection'!Z151="","",'WetLitterbags placem_collection'!Z151)</f>
        <v>13</v>
      </c>
      <c r="AF590" s="24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71">
        <f>IFERROR(AVERAGE('Dry_Litterbag Placem_Collection'!N151,'Dry_Litterbag Placem_Collection'!Q151),"")</f>
        <v>31</v>
      </c>
      <c r="AJ590" s="270">
        <f>INDEX(Coordinates!$B$2:$B$197,MATCH(G590,Coordinates!$J$2:$J$197,0))</f>
        <v>-2.3677179960000001</v>
      </c>
      <c r="AK590" s="270">
        <f>INDEX(Coordinates!$C$2:$C$197,MATCH(G590,Coordinates!$J$2:$J$197,0))</f>
        <v>34.060324960000003</v>
      </c>
      <c r="AL590" s="270" t="str">
        <f>IF(ISNUMBER(SEARCH("C", 'Dry_Litterbag Placem_Collection'!U151)),"YES","NO")</f>
        <v>NO</v>
      </c>
      <c r="AM590" s="270" t="str">
        <f>IF(ISNUMBER(SEARCH("H", 'Dry_Litterbag Placem_Collection'!U151)),"YES","NO")</f>
        <v>NO</v>
      </c>
      <c r="AN590" s="270" t="str">
        <f>IF(ISNUMBER(SEARCH("R", 'Dry_Litterbag Placem_Collection'!U151)),"YES","NO")</f>
        <v>NO</v>
      </c>
    </row>
    <row r="591" spans="1:40" ht="15" customHeight="1">
      <c r="A591" s="262" t="s">
        <v>2659</v>
      </c>
      <c r="B591" s="263">
        <f>'Dry_Litterbag Placem_Collection'!A152</f>
        <v>150</v>
      </c>
      <c r="C591" s="263" t="str">
        <f>'Dry_Litterbag Placem_Collection'!B152</f>
        <v xml:space="preserve">Mwantimba
</v>
      </c>
      <c r="D591" s="263" t="s">
        <v>2659</v>
      </c>
      <c r="E591" s="263" t="s">
        <v>20</v>
      </c>
      <c r="F591" s="263">
        <v>3</v>
      </c>
      <c r="G591" s="264" t="str">
        <f>'Dry_Litterbag Placem_Collection'!C152</f>
        <v>Wet_P3_T6</v>
      </c>
      <c r="H591" s="273" t="s">
        <v>3651</v>
      </c>
      <c r="I591" s="266" t="s">
        <v>1147</v>
      </c>
      <c r="J591" s="263" t="str">
        <f>IF(ISBLANK('Dry_Litterbag Placem_Collection'!L152),"","G"&amp;""&amp;'Dry_Litterbag Placem_Collection'!L152)</f>
        <v>G843</v>
      </c>
      <c r="K591" s="267">
        <f>IFERROR(INDEX('Green_rooibos initial weight'!$C$5:$C$1749,MATCH(J591, 'Green_rooibos initial weight'!$A$5:$A$1749,0)),"")</f>
        <v>1.964</v>
      </c>
      <c r="L591" s="267">
        <f>IFERROR(K591-(TBIcalc!$Q$9+TBIcalc!$Q$10),"")</f>
        <v>1.7141999999999999</v>
      </c>
      <c r="M591" s="391">
        <f>AVERAGE(Ashed_controlls!$K$2:$K$11)</f>
        <v>5.5147656768714146</v>
      </c>
      <c r="N591" s="267">
        <f t="shared" si="46"/>
        <v>1.6196658867670701</v>
      </c>
      <c r="O591" s="267" t="str">
        <f>IF(IFERROR(INDEX('Both teabags AfterDry'!$D$3:$D$900,MATCH(J591,'Both teabags AfterDry'!$A$3:$A$900,0)),"")="","",(IFERROR(INDEX('Both teabags AfterDry'!$D$3:$D$900,MATCH(J591,'Both teabags AfterDry'!$A$3:$A$900,0)),"")))</f>
        <v/>
      </c>
      <c r="P591" s="267" t="str">
        <f>IFERROR(IF(O591&gt;0,O591-(TBIcalc!$Q$9),""),"")</f>
        <v/>
      </c>
      <c r="Q591" s="278" t="str">
        <f>IFERROR(INDEX('Ashed teabags dry'!$K$2:$K$825,MATCH(J591,'Ashed teabags dry'!$A$2:$A$825,0)),"")</f>
        <v/>
      </c>
      <c r="R591" s="278" t="str">
        <f t="shared" si="47"/>
        <v/>
      </c>
      <c r="S591" s="268">
        <f>'Dry_Litterbag Placem_Collection'!E152</f>
        <v>42939</v>
      </c>
      <c r="T591" s="268">
        <f>IF('Dry_Litterbag Placem_Collection'!G152="","",'Dry_Litterbag Placem_Collection'!G152)</f>
        <v>43010</v>
      </c>
      <c r="U591" s="269">
        <f t="shared" si="45"/>
        <v>71</v>
      </c>
      <c r="V591" s="267" t="str">
        <f t="shared" si="48"/>
        <v/>
      </c>
      <c r="W591" s="267" t="str">
        <f t="shared" si="49"/>
        <v/>
      </c>
      <c r="X591" s="271">
        <f>IFERROR(INDEX(Rainfall_Dry!$O$2:$O$217,MATCH(B591, Rainfall_Dry!$A$2:$A$217,0)),"")</f>
        <v>137.19979645800001</v>
      </c>
      <c r="Y591" s="260">
        <v>39.96</v>
      </c>
      <c r="Z591" s="260">
        <v>12.920000000000002</v>
      </c>
      <c r="AA591" s="260">
        <v>47.12</v>
      </c>
      <c r="AB591" s="261" t="s">
        <v>2674</v>
      </c>
      <c r="AC591" s="260">
        <v>6.6549531789058696</v>
      </c>
      <c r="AD591">
        <f>IF('WetLitterbags placem_collection'!AB152="","",'WetLitterbags placem_collection'!AB152)</f>
        <v>2.75</v>
      </c>
      <c r="AE591">
        <f>IF('WetLitterbags placem_collection'!Z152="","",'WetLitterbags placem_collection'!Z152)</f>
        <v>19</v>
      </c>
      <c r="AF591" s="24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71">
        <f>IFERROR(AVERAGE('Dry_Litterbag Placem_Collection'!N152,'Dry_Litterbag Placem_Collection'!Q152),"")</f>
        <v>30.8</v>
      </c>
      <c r="AJ591" s="270">
        <f>INDEX(Coordinates!$B$2:$B$197,MATCH(G591,Coordinates!$J$2:$J$197,0))</f>
        <v>-2.3675230329999999</v>
      </c>
      <c r="AK591" s="270">
        <f>INDEX(Coordinates!$C$2:$C$197,MATCH(G591,Coordinates!$J$2:$J$197,0))</f>
        <v>34.060512969999998</v>
      </c>
      <c r="AL591" s="270" t="str">
        <f>IF(ISNUMBER(SEARCH("C", 'Dry_Litterbag Placem_Collection'!U152)),"YES","NO")</f>
        <v>NO</v>
      </c>
      <c r="AM591" s="270" t="str">
        <f>IF(ISNUMBER(SEARCH("H", 'Dry_Litterbag Placem_Collection'!U152)),"YES","NO")</f>
        <v>NO</v>
      </c>
      <c r="AN591" s="270" t="str">
        <f>IF(ISNUMBER(SEARCH("R", 'Dry_Litterbag Placem_Collection'!U152)),"YES","NO")</f>
        <v>NO</v>
      </c>
    </row>
    <row r="592" spans="1:40" ht="15" customHeight="1">
      <c r="A592" s="262" t="s">
        <v>2659</v>
      </c>
      <c r="B592" s="263">
        <f>'Dry_Litterbag Placem_Collection'!A153</f>
        <v>151</v>
      </c>
      <c r="C592" s="263" t="str">
        <f>'Dry_Litterbag Placem_Collection'!B153</f>
        <v xml:space="preserve">Mwantimba
</v>
      </c>
      <c r="D592" s="263" t="s">
        <v>2659</v>
      </c>
      <c r="E592" s="263" t="s">
        <v>20</v>
      </c>
      <c r="F592" s="263">
        <v>3</v>
      </c>
      <c r="G592" s="264" t="str">
        <f>'Dry_Litterbag Placem_Collection'!C153</f>
        <v>Wet_P3_T7</v>
      </c>
      <c r="H592" s="273" t="s">
        <v>3651</v>
      </c>
      <c r="I592" s="266" t="s">
        <v>1147</v>
      </c>
      <c r="J592" s="263" t="str">
        <f>IF(ISBLANK('Dry_Litterbag Placem_Collection'!L153),"","G"&amp;""&amp;'Dry_Litterbag Placem_Collection'!L153)</f>
        <v/>
      </c>
      <c r="K592" s="267" t="str">
        <f>IFERROR(INDEX('Green_rooibos initial weight'!$C$5:$C$1749,MATCH(J592, 'Green_rooibos initial weight'!$A$5:$A$1749,0)),"")</f>
        <v/>
      </c>
      <c r="L592" s="267" t="str">
        <f>IFERROR(K592-(TBIcalc!$Q$9+TBIcalc!$Q$10),"")</f>
        <v/>
      </c>
      <c r="M592" s="391">
        <f>AVERAGE(Ashed_controlls!$K$2:$K$11)</f>
        <v>5.5147656768714146</v>
      </c>
      <c r="N592" s="267" t="str">
        <f t="shared" si="46"/>
        <v/>
      </c>
      <c r="O592" s="267" t="str">
        <f>IF(IFERROR(INDEX('Both teabags AfterDry'!$D$3:$D$900,MATCH(J592,'Both teabags AfterDry'!$A$3:$A$900,0)),"")="","",(IFERROR(INDEX('Both teabags AfterDry'!$D$3:$D$900,MATCH(J592,'Both teabags AfterDry'!$A$3:$A$900,0)),"")))</f>
        <v/>
      </c>
      <c r="P592" s="267" t="str">
        <f>IFERROR(IF(O592&gt;0,O592-(TBIcalc!$Q$9),""),"")</f>
        <v/>
      </c>
      <c r="Q592" s="278" t="str">
        <f>IFERROR(INDEX('Ashed teabags dry'!$K$2:$K$825,MATCH(J592,'Ashed teabags dry'!$A$2:$A$825,0)),"")</f>
        <v/>
      </c>
      <c r="R592" s="278" t="str">
        <f t="shared" si="47"/>
        <v/>
      </c>
      <c r="S592" s="268">
        <f>'Dry_Litterbag Placem_Collection'!E153</f>
        <v>0</v>
      </c>
      <c r="T592" s="268" t="str">
        <f>IF('Dry_Litterbag Placem_Collection'!G153="","",'Dry_Litterbag Placem_Collection'!G153)</f>
        <v/>
      </c>
      <c r="U592" s="269" t="str">
        <f t="shared" si="45"/>
        <v/>
      </c>
      <c r="V592" s="267" t="str">
        <f t="shared" si="48"/>
        <v/>
      </c>
      <c r="W592" s="267" t="str">
        <f t="shared" si="49"/>
        <v/>
      </c>
      <c r="X592" s="271" t="str">
        <f>IFERROR(INDEX(Rainfall_Dry!$O$2:$O$217,MATCH(B592, Rainfall_Dry!$A$2:$A$217,0)),"")</f>
        <v/>
      </c>
      <c r="Y592" s="260">
        <v>39.96</v>
      </c>
      <c r="Z592" s="260">
        <v>12.920000000000002</v>
      </c>
      <c r="AA592" s="260">
        <v>47.12</v>
      </c>
      <c r="AB592" s="261" t="s">
        <v>2674</v>
      </c>
      <c r="AC592" s="260">
        <v>7.6549531789058696</v>
      </c>
      <c r="AD592">
        <f>IF('WetLitterbags placem_collection'!AB153="","",'WetLitterbags placem_collection'!AB153)</f>
        <v>1.4</v>
      </c>
      <c r="AE592">
        <f>IF('WetLitterbags placem_collection'!Z153="","",'WetLitterbags placem_collection'!Z153)</f>
        <v>7.9</v>
      </c>
      <c r="AF592" s="24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71" t="str">
        <f>IFERROR(AVERAGE('Dry_Litterbag Placem_Collection'!N153,'Dry_Litterbag Placem_Collection'!Q153),"")</f>
        <v/>
      </c>
      <c r="AJ592" s="270">
        <f>INDEX(Coordinates!$B$2:$B$197,MATCH(G592,Coordinates!$J$2:$J$197,0))</f>
        <v>-2.3673460070000001</v>
      </c>
      <c r="AK592" s="270">
        <f>INDEX(Coordinates!$C$2:$C$197,MATCH(G592,Coordinates!$J$2:$J$197,0))</f>
        <v>34.060310039999997</v>
      </c>
      <c r="AL592" s="270" t="str">
        <f>IF(ISNUMBER(SEARCH("C", 'Dry_Litterbag Placem_Collection'!U153)),"YES","NO")</f>
        <v>NO</v>
      </c>
      <c r="AM592" s="270" t="str">
        <f>IF(ISNUMBER(SEARCH("H", 'Dry_Litterbag Placem_Collection'!U153)),"YES","NO")</f>
        <v>NO</v>
      </c>
      <c r="AN592" s="270" t="str">
        <f>IF(ISNUMBER(SEARCH("R", 'Dry_Litterbag Placem_Collection'!U153)),"YES","NO")</f>
        <v>NO</v>
      </c>
    </row>
    <row r="593" spans="1:40" ht="15" customHeight="1">
      <c r="A593" s="262" t="s">
        <v>2659</v>
      </c>
      <c r="B593" s="263">
        <f>'Dry_Litterbag Placem_Collection'!A154</f>
        <v>152</v>
      </c>
      <c r="C593" s="263" t="str">
        <f>'Dry_Litterbag Placem_Collection'!B154</f>
        <v xml:space="preserve">Mwantimba
</v>
      </c>
      <c r="D593" s="263" t="s">
        <v>2659</v>
      </c>
      <c r="E593" s="263" t="s">
        <v>20</v>
      </c>
      <c r="F593" s="263">
        <v>3</v>
      </c>
      <c r="G593" s="264" t="str">
        <f>'Dry_Litterbag Placem_Collection'!C154</f>
        <v>Wet_P3_T8</v>
      </c>
      <c r="H593" s="273" t="s">
        <v>3651</v>
      </c>
      <c r="I593" s="266" t="s">
        <v>1147</v>
      </c>
      <c r="J593" s="263" t="str">
        <f>IF(ISBLANK('Dry_Litterbag Placem_Collection'!L154),"","G"&amp;""&amp;'Dry_Litterbag Placem_Collection'!L154)</f>
        <v>G617</v>
      </c>
      <c r="K593" s="267">
        <f>IFERROR(INDEX('Green_rooibos initial weight'!$C$5:$C$1749,MATCH(J593, 'Green_rooibos initial weight'!$A$5:$A$1749,0)),"")</f>
        <v>2.0880000000000001</v>
      </c>
      <c r="L593" s="267">
        <f>IFERROR(K593-(TBIcalc!$Q$9+TBIcalc!$Q$10),"")</f>
        <v>1.8382000000000001</v>
      </c>
      <c r="M593" s="391">
        <f>AVERAGE(Ashed_controlls!$K$2:$K$11)</f>
        <v>5.5147656768714146</v>
      </c>
      <c r="N593" s="267">
        <f t="shared" si="46"/>
        <v>1.7368275773277497</v>
      </c>
      <c r="O593" s="267">
        <f>IF(IFERROR(INDEX('Both teabags AfterDry'!$D$3:$D$900,MATCH(J593,'Both teabags AfterDry'!$A$3:$A$900,0)),"")="","",(IFERROR(INDEX('Both teabags AfterDry'!$D$3:$D$900,MATCH(J593,'Both teabags AfterDry'!$A$3:$A$900,0)),"")))</f>
        <v>1.3632</v>
      </c>
      <c r="P593" s="267">
        <f>IFERROR(IF(O593&gt;0,O593-(TBIcalc!$Q$9),""),"")</f>
        <v>1.2125999999999999</v>
      </c>
      <c r="Q593" s="278" t="str">
        <f>IFERROR(INDEX('Ashed teabags dry'!$K$2:$K$825,MATCH(J593,'Ashed teabags dry'!$A$2:$A$825,0)),"")</f>
        <v/>
      </c>
      <c r="R593" s="278" t="str">
        <f t="shared" si="47"/>
        <v/>
      </c>
      <c r="S593" s="268">
        <f>'Dry_Litterbag Placem_Collection'!E154</f>
        <v>42939</v>
      </c>
      <c r="T593" s="268">
        <f>IF('Dry_Litterbag Placem_Collection'!G154="","",'Dry_Litterbag Placem_Collection'!G154)</f>
        <v>43010</v>
      </c>
      <c r="U593" s="269">
        <f t="shared" si="45"/>
        <v>71</v>
      </c>
      <c r="V593" s="267">
        <f t="shared" si="48"/>
        <v>0.62560000000000016</v>
      </c>
      <c r="W593" s="267" t="str">
        <f t="shared" si="49"/>
        <v/>
      </c>
      <c r="X593" s="271">
        <f>IFERROR(INDEX(Rainfall_Dry!$O$2:$O$217,MATCH(B593, Rainfall_Dry!$A$2:$A$217,0)),"")</f>
        <v>137.19979645800001</v>
      </c>
      <c r="Y593" s="260">
        <v>39.96</v>
      </c>
      <c r="Z593" s="260">
        <v>12.920000000000002</v>
      </c>
      <c r="AA593" s="260">
        <v>47.12</v>
      </c>
      <c r="AB593" s="261" t="s">
        <v>2674</v>
      </c>
      <c r="AC593" s="260">
        <v>8.6549531789058705</v>
      </c>
      <c r="AD593">
        <f>IF('WetLitterbags placem_collection'!AB154="","",'WetLitterbags placem_collection'!AB154)</f>
        <v>2.2000000000000002</v>
      </c>
      <c r="AE593">
        <f>IF('WetLitterbags placem_collection'!Z154="","",'WetLitterbags placem_collection'!Z154)</f>
        <v>15</v>
      </c>
      <c r="AF593" s="24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71">
        <f>IFERROR(AVERAGE('Dry_Litterbag Placem_Collection'!N154,'Dry_Litterbag Placem_Collection'!Q154),"")</f>
        <v>28.45</v>
      </c>
      <c r="AJ593" s="270">
        <f>INDEX(Coordinates!$B$2:$B$197,MATCH(G593,Coordinates!$J$2:$J$197,0))</f>
        <v>-2.367543988</v>
      </c>
      <c r="AK593" s="270">
        <f>INDEX(Coordinates!$C$2:$C$197,MATCH(G593,Coordinates!$J$2:$J$197,0))</f>
        <v>34.060168969999999</v>
      </c>
      <c r="AL593" s="270" t="str">
        <f>IF(ISNUMBER(SEARCH("C", 'Dry_Litterbag Placem_Collection'!U154)),"YES","NO")</f>
        <v>NO</v>
      </c>
      <c r="AM593" s="270" t="str">
        <f>IF(ISNUMBER(SEARCH("H", 'Dry_Litterbag Placem_Collection'!U154)),"YES","NO")</f>
        <v>NO</v>
      </c>
      <c r="AN593" s="270" t="str">
        <f>IF(ISNUMBER(SEARCH("R", 'Dry_Litterbag Placem_Collection'!U154)),"YES","NO")</f>
        <v>NO</v>
      </c>
    </row>
    <row r="594" spans="1:40" ht="15" customHeight="1">
      <c r="A594" s="262" t="s">
        <v>2659</v>
      </c>
      <c r="B594" s="263">
        <f>'Dry_Litterbag Placem_Collection'!A155</f>
        <v>153</v>
      </c>
      <c r="C594" s="263" t="str">
        <f>'Dry_Litterbag Placem_Collection'!B155</f>
        <v xml:space="preserve">Mwantimba
</v>
      </c>
      <c r="D594" s="263" t="s">
        <v>2659</v>
      </c>
      <c r="E594" s="263" t="s">
        <v>20</v>
      </c>
      <c r="F594" s="263">
        <v>4</v>
      </c>
      <c r="G594" s="264" t="str">
        <f>'Dry_Litterbag Placem_Collection'!C155</f>
        <v>Wet_P4_T1</v>
      </c>
      <c r="H594" s="273" t="s">
        <v>3651</v>
      </c>
      <c r="I594" s="266" t="s">
        <v>1147</v>
      </c>
      <c r="J594" s="263" t="str">
        <f>IF(ISBLANK('Dry_Litterbag Placem_Collection'!L155),"","G"&amp;""&amp;'Dry_Litterbag Placem_Collection'!L155)</f>
        <v>G19</v>
      </c>
      <c r="K594" s="267">
        <f>IFERROR(INDEX('Green_rooibos initial weight'!$C$5:$C$1749,MATCH(J594, 'Green_rooibos initial weight'!$A$5:$A$1749,0)),"")</f>
        <v>2.0659999999999998</v>
      </c>
      <c r="L594" s="267">
        <f>IFERROR(K594-(TBIcalc!$Q$9+TBIcalc!$Q$10),"")</f>
        <v>1.8161999999999998</v>
      </c>
      <c r="M594" s="391">
        <f>AVERAGE(Ashed_controlls!$K$2:$K$11)</f>
        <v>5.5147656768714146</v>
      </c>
      <c r="N594" s="267">
        <f t="shared" si="46"/>
        <v>1.7160408257766613</v>
      </c>
      <c r="O594" s="267">
        <f>IF(IFERROR(INDEX('Both teabags AfterDry'!$D$3:$D$900,MATCH(J594,'Both teabags AfterDry'!$A$3:$A$900,0)),"")="","",(IFERROR(INDEX('Both teabags AfterDry'!$D$3:$D$900,MATCH(J594,'Both teabags AfterDry'!$A$3:$A$900,0)),"")))</f>
        <v>1.0404</v>
      </c>
      <c r="P594" s="267">
        <f>IFERROR(IF(O594&gt;0,O594-(TBIcalc!$Q$9),""),"")</f>
        <v>0.88979999999999992</v>
      </c>
      <c r="Q594" s="278" t="str">
        <f>IFERROR(INDEX('Ashed teabags dry'!$K$2:$K$825,MATCH(J594,'Ashed teabags dry'!$A$2:$A$825,0)),"")</f>
        <v/>
      </c>
      <c r="R594" s="278" t="str">
        <f t="shared" si="47"/>
        <v/>
      </c>
      <c r="S594" s="268">
        <f>'Dry_Litterbag Placem_Collection'!E155</f>
        <v>42939</v>
      </c>
      <c r="T594" s="268">
        <f>IF('Dry_Litterbag Placem_Collection'!G155="","",'Dry_Litterbag Placem_Collection'!G155)</f>
        <v>43010</v>
      </c>
      <c r="U594" s="269">
        <f t="shared" si="45"/>
        <v>71</v>
      </c>
      <c r="V594" s="267">
        <f t="shared" si="48"/>
        <v>0.92639999999999989</v>
      </c>
      <c r="W594" s="267" t="str">
        <f t="shared" si="49"/>
        <v/>
      </c>
      <c r="X594" s="271">
        <f>IFERROR(INDEX(Rainfall_Dry!$O$2:$O$217,MATCH(B594, Rainfall_Dry!$A$2:$A$217,0)),"")</f>
        <v>137.19979645800001</v>
      </c>
      <c r="Y594" s="260">
        <v>27.96</v>
      </c>
      <c r="Z594" s="260">
        <v>4.9200000000000017</v>
      </c>
      <c r="AA594" s="260">
        <v>67.12</v>
      </c>
      <c r="AB594" s="261" t="s">
        <v>2670</v>
      </c>
      <c r="AC594" s="260">
        <v>1.0437161163134547</v>
      </c>
      <c r="AD594">
        <f>IF('WetLitterbags placem_collection'!AB155="","",'WetLitterbags placem_collection'!AB155)</f>
        <v>2.1</v>
      </c>
      <c r="AE594">
        <f>IF('WetLitterbags placem_collection'!Z155="","",'WetLitterbags placem_collection'!Z155)</f>
        <v>16.399999999999999</v>
      </c>
      <c r="AF594" s="24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71">
        <f>IFERROR(AVERAGE('Dry_Litterbag Placem_Collection'!N155,'Dry_Litterbag Placem_Collection'!Q155),"")</f>
        <v>31.65</v>
      </c>
      <c r="AJ594" s="270">
        <f>INDEX(Coordinates!$B$2:$B$197,MATCH(G594,Coordinates!$J$2:$J$197,0))</f>
        <v>-2.3676780150000001</v>
      </c>
      <c r="AK594" s="270">
        <f>INDEX(Coordinates!$C$2:$C$197,MATCH(G594,Coordinates!$J$2:$J$197,0))</f>
        <v>34.05937797</v>
      </c>
      <c r="AL594" s="270" t="str">
        <f>IF(ISNUMBER(SEARCH("C", 'Dry_Litterbag Placem_Collection'!U155)),"YES","NO")</f>
        <v>NO</v>
      </c>
      <c r="AM594" s="270" t="str">
        <f>IF(ISNUMBER(SEARCH("H", 'Dry_Litterbag Placem_Collection'!U155)),"YES","NO")</f>
        <v>NO</v>
      </c>
      <c r="AN594" s="270" t="str">
        <f>IF(ISNUMBER(SEARCH("R", 'Dry_Litterbag Placem_Collection'!U155)),"YES","NO")</f>
        <v>NO</v>
      </c>
    </row>
    <row r="595" spans="1:40" ht="15" customHeight="1">
      <c r="A595" s="262" t="s">
        <v>2659</v>
      </c>
      <c r="B595" s="263">
        <f>'Dry_Litterbag Placem_Collection'!A156</f>
        <v>154</v>
      </c>
      <c r="C595" s="263" t="str">
        <f>'Dry_Litterbag Placem_Collection'!B156</f>
        <v xml:space="preserve">Mwantimba
</v>
      </c>
      <c r="D595" s="263" t="s">
        <v>2659</v>
      </c>
      <c r="E595" s="263" t="s">
        <v>20</v>
      </c>
      <c r="F595" s="263">
        <v>4</v>
      </c>
      <c r="G595" s="264" t="str">
        <f>'Dry_Litterbag Placem_Collection'!C156</f>
        <v>Wet_P4_T2</v>
      </c>
      <c r="H595" s="273" t="s">
        <v>3651</v>
      </c>
      <c r="I595" s="266" t="s">
        <v>1147</v>
      </c>
      <c r="J595" s="263" t="str">
        <f>IF(ISBLANK('Dry_Litterbag Placem_Collection'!L156),"","G"&amp;""&amp;'Dry_Litterbag Placem_Collection'!L156)</f>
        <v>G275</v>
      </c>
      <c r="K595" s="267">
        <f>IFERROR(INDEX('Green_rooibos initial weight'!$C$5:$C$1749,MATCH(J595, 'Green_rooibos initial weight'!$A$5:$A$1749,0)),"")</f>
        <v>2.097</v>
      </c>
      <c r="L595" s="267">
        <f>IFERROR(K595-(TBIcalc!$Q$9+TBIcalc!$Q$10),"")</f>
        <v>1.8472</v>
      </c>
      <c r="M595" s="391">
        <f>AVERAGE(Ashed_controlls!$K$2:$K$11)</f>
        <v>5.5147656768714146</v>
      </c>
      <c r="N595" s="267">
        <f t="shared" si="46"/>
        <v>1.7453312484168313</v>
      </c>
      <c r="O595" s="267">
        <f>IF(IFERROR(INDEX('Both teabags AfterDry'!$D$3:$D$900,MATCH(J595,'Both teabags AfterDry'!$A$3:$A$900,0)),"")="","",(IFERROR(INDEX('Both teabags AfterDry'!$D$3:$D$900,MATCH(J595,'Both teabags AfterDry'!$A$3:$A$900,0)),"")))</f>
        <v>1.2171000000000001</v>
      </c>
      <c r="P595" s="267">
        <f>IFERROR(IF(O595&gt;0,O595-(TBIcalc!$Q$9),""),"")</f>
        <v>1.0665</v>
      </c>
      <c r="Q595" s="278">
        <f>IFERROR(INDEX('Ashed teabags dry'!$K$2:$K$825,MATCH(J595,'Ashed teabags dry'!$A$2:$A$825,0)),"")</f>
        <v>17.669902912621797</v>
      </c>
      <c r="R595" s="278">
        <f t="shared" si="47"/>
        <v>0.87805048543688857</v>
      </c>
      <c r="S595" s="268">
        <f>'Dry_Litterbag Placem_Collection'!E156</f>
        <v>42939</v>
      </c>
      <c r="T595" s="268">
        <f>IF('Dry_Litterbag Placem_Collection'!G156="","",'Dry_Litterbag Placem_Collection'!G156)</f>
        <v>43010</v>
      </c>
      <c r="U595" s="269">
        <f t="shared" si="45"/>
        <v>71</v>
      </c>
      <c r="V595" s="267">
        <f t="shared" si="48"/>
        <v>0.78069999999999995</v>
      </c>
      <c r="W595" s="267">
        <f t="shared" si="49"/>
        <v>0.86728076297994272</v>
      </c>
      <c r="X595" s="271">
        <f>IFERROR(INDEX(Rainfall_Dry!$O$2:$O$217,MATCH(B595, Rainfall_Dry!$A$2:$A$217,0)),"")</f>
        <v>137.19979645800001</v>
      </c>
      <c r="Y595" s="260">
        <v>27.96</v>
      </c>
      <c r="Z595" s="260">
        <v>4.9200000000000017</v>
      </c>
      <c r="AA595" s="260">
        <v>67.12</v>
      </c>
      <c r="AB595" s="261" t="s">
        <v>2670</v>
      </c>
      <c r="AC595" s="260">
        <v>2.0437161163134498</v>
      </c>
      <c r="AD595">
        <f>IF('WetLitterbags placem_collection'!AB156="","",'WetLitterbags placem_collection'!AB156)</f>
        <v>2.15</v>
      </c>
      <c r="AE595">
        <f>IF('WetLitterbags placem_collection'!Z156="","",'WetLitterbags placem_collection'!Z156)</f>
        <v>9</v>
      </c>
      <c r="AF595" s="24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71">
        <f>IFERROR(AVERAGE('Dry_Litterbag Placem_Collection'!N156,'Dry_Litterbag Placem_Collection'!Q156),"")</f>
        <v>30.45</v>
      </c>
      <c r="AJ595" s="270">
        <f>INDEX(Coordinates!$B$2:$B$197,MATCH(G595,Coordinates!$J$2:$J$197,0))</f>
        <v>-2.3677299820000002</v>
      </c>
      <c r="AK595" s="270">
        <f>INDEX(Coordinates!$C$2:$C$197,MATCH(G595,Coordinates!$J$2:$J$197,0))</f>
        <v>34.059351990000003</v>
      </c>
      <c r="AL595" s="270" t="str">
        <f>IF(ISNUMBER(SEARCH("C", 'Dry_Litterbag Placem_Collection'!U156)),"YES","NO")</f>
        <v>NO</v>
      </c>
      <c r="AM595" s="270" t="str">
        <f>IF(ISNUMBER(SEARCH("H", 'Dry_Litterbag Placem_Collection'!U156)),"YES","NO")</f>
        <v>NO</v>
      </c>
      <c r="AN595" s="270" t="str">
        <f>IF(ISNUMBER(SEARCH("R", 'Dry_Litterbag Placem_Collection'!U156)),"YES","NO")</f>
        <v>NO</v>
      </c>
    </row>
    <row r="596" spans="1:40" ht="15" customHeight="1">
      <c r="A596" s="262" t="s">
        <v>2659</v>
      </c>
      <c r="B596" s="263">
        <f>'Dry_Litterbag Placem_Collection'!A157</f>
        <v>155</v>
      </c>
      <c r="C596" s="263" t="str">
        <f>'Dry_Litterbag Placem_Collection'!B157</f>
        <v xml:space="preserve">Mwantimba
</v>
      </c>
      <c r="D596" s="263" t="s">
        <v>2659</v>
      </c>
      <c r="E596" s="263" t="s">
        <v>20</v>
      </c>
      <c r="F596" s="263">
        <v>4</v>
      </c>
      <c r="G596" s="264" t="str">
        <f>'Dry_Litterbag Placem_Collection'!C157</f>
        <v>Wet_P4_T3</v>
      </c>
      <c r="H596" s="273" t="s">
        <v>3651</v>
      </c>
      <c r="I596" s="266" t="s">
        <v>1147</v>
      </c>
      <c r="J596" s="263" t="str">
        <f>IF(ISBLANK('Dry_Litterbag Placem_Collection'!L157),"","G"&amp;""&amp;'Dry_Litterbag Placem_Collection'!L157)</f>
        <v>G289</v>
      </c>
      <c r="K596" s="267">
        <f>IFERROR(INDEX('Green_rooibos initial weight'!$C$5:$C$1749,MATCH(J596, 'Green_rooibos initial weight'!$A$5:$A$1749,0)),"")</f>
        <v>2.093</v>
      </c>
      <c r="L596" s="267">
        <f>IFERROR(K596-(TBIcalc!$Q$9+TBIcalc!$Q$10),"")</f>
        <v>1.8431999999999999</v>
      </c>
      <c r="M596" s="391">
        <f>AVERAGE(Ashed_controlls!$K$2:$K$11)</f>
        <v>5.5147656768714146</v>
      </c>
      <c r="N596" s="267">
        <f t="shared" si="46"/>
        <v>1.741551839043906</v>
      </c>
      <c r="O596" s="267">
        <f>IF(IFERROR(INDEX('Both teabags AfterDry'!$D$3:$D$900,MATCH(J596,'Both teabags AfterDry'!$A$3:$A$900,0)),"")="","",(IFERROR(INDEX('Both teabags AfterDry'!$D$3:$D$900,MATCH(J596,'Both teabags AfterDry'!$A$3:$A$900,0)),"")))</f>
        <v>1.2491000000000001</v>
      </c>
      <c r="P596" s="267">
        <f>IFERROR(IF(O596&gt;0,O596-(TBIcalc!$Q$9),""),"")</f>
        <v>1.0985</v>
      </c>
      <c r="Q596" s="278">
        <f>IFERROR(INDEX('Ashed teabags dry'!$K$2:$K$825,MATCH(J596,'Ashed teabags dry'!$A$2:$A$825,0)),"")</f>
        <v>10.862152946907919</v>
      </c>
      <c r="R596" s="278">
        <f t="shared" si="47"/>
        <v>0.97917924987821658</v>
      </c>
      <c r="S596" s="268">
        <f>'Dry_Litterbag Placem_Collection'!E157</f>
        <v>42939</v>
      </c>
      <c r="T596" s="268">
        <f>IF('Dry_Litterbag Placem_Collection'!G157="","",'Dry_Litterbag Placem_Collection'!G157)</f>
        <v>43010</v>
      </c>
      <c r="U596" s="269">
        <f t="shared" si="45"/>
        <v>71</v>
      </c>
      <c r="V596" s="267">
        <f t="shared" si="48"/>
        <v>0.74469999999999992</v>
      </c>
      <c r="W596" s="267">
        <f t="shared" si="49"/>
        <v>0.7623725891656894</v>
      </c>
      <c r="X596" s="271">
        <f>IFERROR(INDEX(Rainfall_Dry!$O$2:$O$217,MATCH(B596, Rainfall_Dry!$A$2:$A$217,0)),"")</f>
        <v>137.19979645800001</v>
      </c>
      <c r="Y596" s="260">
        <v>27.96</v>
      </c>
      <c r="Z596" s="260">
        <v>4.9200000000000017</v>
      </c>
      <c r="AA596" s="260">
        <v>67.12</v>
      </c>
      <c r="AB596" s="261" t="s">
        <v>2670</v>
      </c>
      <c r="AC596" s="260">
        <v>3.0437161163134498</v>
      </c>
      <c r="AD596">
        <f>IF('WetLitterbags placem_collection'!AB157="","",'WetLitterbags placem_collection'!AB157)</f>
        <v>1.2</v>
      </c>
      <c r="AE596">
        <f>IF('WetLitterbags placem_collection'!Z157="","",'WetLitterbags placem_collection'!Z157)</f>
        <v>11</v>
      </c>
      <c r="AF596" s="24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71">
        <f>IFERROR(AVERAGE('Dry_Litterbag Placem_Collection'!N157,'Dry_Litterbag Placem_Collection'!Q157),"")</f>
        <v>29.4</v>
      </c>
      <c r="AJ596" s="270">
        <f>INDEX(Coordinates!$B$2:$B$197,MATCH(G596,Coordinates!$J$2:$J$197,0))</f>
        <v>-2.3677119609999999</v>
      </c>
      <c r="AK596" s="270">
        <f>INDEX(Coordinates!$C$2:$C$197,MATCH(G596,Coordinates!$J$2:$J$197,0))</f>
        <v>34.059339000000001</v>
      </c>
      <c r="AL596" s="270" t="str">
        <f>IF(ISNUMBER(SEARCH("C", 'Dry_Litterbag Placem_Collection'!U157)),"YES","NO")</f>
        <v>NO</v>
      </c>
      <c r="AM596" s="270" t="str">
        <f>IF(ISNUMBER(SEARCH("H", 'Dry_Litterbag Placem_Collection'!U157)),"YES","NO")</f>
        <v>NO</v>
      </c>
      <c r="AN596" s="270" t="str">
        <f>IF(ISNUMBER(SEARCH("R", 'Dry_Litterbag Placem_Collection'!U157)),"YES","NO")</f>
        <v>NO</v>
      </c>
    </row>
    <row r="597" spans="1:40" ht="15" customHeight="1">
      <c r="A597" s="262" t="s">
        <v>2659</v>
      </c>
      <c r="B597" s="263">
        <f>'Dry_Litterbag Placem_Collection'!A158</f>
        <v>156</v>
      </c>
      <c r="C597" s="263" t="str">
        <f>'Dry_Litterbag Placem_Collection'!B158</f>
        <v xml:space="preserve">Mwantimba
</v>
      </c>
      <c r="D597" s="263" t="s">
        <v>2659</v>
      </c>
      <c r="E597" s="263" t="s">
        <v>20</v>
      </c>
      <c r="F597" s="263">
        <v>4</v>
      </c>
      <c r="G597" s="264" t="str">
        <f>'Dry_Litterbag Placem_Collection'!C158</f>
        <v>Wet_P4_T4</v>
      </c>
      <c r="H597" s="273" t="s">
        <v>3651</v>
      </c>
      <c r="I597" s="266" t="s">
        <v>1147</v>
      </c>
      <c r="J597" s="263" t="str">
        <f>IF(ISBLANK('Dry_Litterbag Placem_Collection'!L158),"","G"&amp;""&amp;'Dry_Litterbag Placem_Collection'!L158)</f>
        <v>G65</v>
      </c>
      <c r="K597" s="267">
        <f>IFERROR(INDEX('Green_rooibos initial weight'!$C$5:$C$1749,MATCH(J597, 'Green_rooibos initial weight'!$A$5:$A$1749,0)),"")</f>
        <v>2.0750000000000002</v>
      </c>
      <c r="L597" s="267">
        <f>IFERROR(K597-(TBIcalc!$Q$9+TBIcalc!$Q$10),"")</f>
        <v>1.8252000000000002</v>
      </c>
      <c r="M597" s="391">
        <f>AVERAGE(Ashed_controlls!$K$2:$K$11)</f>
        <v>5.5147656768714146</v>
      </c>
      <c r="N597" s="267">
        <f t="shared" si="46"/>
        <v>1.7245444968657431</v>
      </c>
      <c r="O597" s="267">
        <f>IF(IFERROR(INDEX('Both teabags AfterDry'!$D$3:$D$900,MATCH(J597,'Both teabags AfterDry'!$A$3:$A$900,0)),"")="","",(IFERROR(INDEX('Both teabags AfterDry'!$D$3:$D$900,MATCH(J597,'Both teabags AfterDry'!$A$3:$A$900,0)),"")))</f>
        <v>1.0561</v>
      </c>
      <c r="P597" s="267">
        <f>IFERROR(IF(O597&gt;0,O597-(TBIcalc!$Q$9),""),"")</f>
        <v>0.90549999999999997</v>
      </c>
      <c r="Q597" s="278">
        <f>IFERROR(INDEX('Ashed teabags dry'!$K$2:$K$825,MATCH(J597,'Ashed teabags dry'!$A$2:$A$825,0)),"")</f>
        <v>16.530514175876895</v>
      </c>
      <c r="R597" s="278">
        <f t="shared" si="47"/>
        <v>0.75581619413743473</v>
      </c>
      <c r="S597" s="268">
        <f>'Dry_Litterbag Placem_Collection'!E158</f>
        <v>42939</v>
      </c>
      <c r="T597" s="268">
        <f>IF('Dry_Litterbag Placem_Collection'!G158="","",'Dry_Litterbag Placem_Collection'!G158)</f>
        <v>43010</v>
      </c>
      <c r="U597" s="269">
        <f t="shared" si="45"/>
        <v>71</v>
      </c>
      <c r="V597" s="267">
        <f t="shared" si="48"/>
        <v>0.91970000000000018</v>
      </c>
      <c r="W597" s="267">
        <f t="shared" si="49"/>
        <v>0.96872830272830834</v>
      </c>
      <c r="X597" s="271">
        <f>IFERROR(INDEX(Rainfall_Dry!$O$2:$O$217,MATCH(B597, Rainfall_Dry!$A$2:$A$217,0)),"")</f>
        <v>137.19979645800001</v>
      </c>
      <c r="Y597" s="260">
        <v>27.96</v>
      </c>
      <c r="Z597" s="260">
        <v>4.9200000000000017</v>
      </c>
      <c r="AA597" s="260">
        <v>67.12</v>
      </c>
      <c r="AB597" s="261" t="s">
        <v>2670</v>
      </c>
      <c r="AC597" s="260">
        <v>4.0437161163134503</v>
      </c>
      <c r="AD597">
        <f>IF('WetLitterbags placem_collection'!AB158="","",'WetLitterbags placem_collection'!AB158)</f>
        <v>1.55</v>
      </c>
      <c r="AE597">
        <f>IF('WetLitterbags placem_collection'!Z158="","",'WetLitterbags placem_collection'!Z158)</f>
        <v>9.1</v>
      </c>
      <c r="AF597" s="24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71">
        <f>IFERROR(AVERAGE('Dry_Litterbag Placem_Collection'!N158,'Dry_Litterbag Placem_Collection'!Q158),"")</f>
        <v>30.35</v>
      </c>
      <c r="AJ597" s="270">
        <f>INDEX(Coordinates!$B$2:$B$197,MATCH(G597,Coordinates!$J$2:$J$197,0))</f>
        <v>-2.3676950300000001</v>
      </c>
      <c r="AK597" s="270">
        <f>INDEX(Coordinates!$C$2:$C$197,MATCH(G597,Coordinates!$J$2:$J$197,0))</f>
        <v>34.059499010000003</v>
      </c>
      <c r="AL597" s="270" t="str">
        <f>IF(ISNUMBER(SEARCH("C", 'Dry_Litterbag Placem_Collection'!U158)),"YES","NO")</f>
        <v>NO</v>
      </c>
      <c r="AM597" s="270" t="str">
        <f>IF(ISNUMBER(SEARCH("H", 'Dry_Litterbag Placem_Collection'!U158)),"YES","NO")</f>
        <v>NO</v>
      </c>
      <c r="AN597" s="270" t="str">
        <f>IF(ISNUMBER(SEARCH("R", 'Dry_Litterbag Placem_Collection'!U158)),"YES","NO")</f>
        <v>NO</v>
      </c>
    </row>
    <row r="598" spans="1:40" ht="15" customHeight="1">
      <c r="A598" s="262" t="s">
        <v>2659</v>
      </c>
      <c r="B598" s="263">
        <f>'Dry_Litterbag Placem_Collection'!A159</f>
        <v>157</v>
      </c>
      <c r="C598" s="263" t="str">
        <f>'Dry_Litterbag Placem_Collection'!B159</f>
        <v xml:space="preserve">Mwantimba
</v>
      </c>
      <c r="D598" s="263" t="s">
        <v>2659</v>
      </c>
      <c r="E598" s="263" t="s">
        <v>20</v>
      </c>
      <c r="F598" s="263">
        <v>4</v>
      </c>
      <c r="G598" s="264" t="str">
        <f>'Dry_Litterbag Placem_Collection'!C159</f>
        <v>Wet_P4_T5</v>
      </c>
      <c r="H598" s="273" t="s">
        <v>3651</v>
      </c>
      <c r="I598" s="266" t="s">
        <v>1147</v>
      </c>
      <c r="J598" s="263" t="str">
        <f>IF(ISBLANK('Dry_Litterbag Placem_Collection'!L159),"","G"&amp;""&amp;'Dry_Litterbag Placem_Collection'!L159)</f>
        <v>G33</v>
      </c>
      <c r="K598" s="267">
        <f>IFERROR(INDEX('Green_rooibos initial weight'!$C$5:$C$1749,MATCH(J598, 'Green_rooibos initial weight'!$A$5:$A$1749,0)),"")</f>
        <v>2.0579999999999998</v>
      </c>
      <c r="L598" s="267">
        <f>IFERROR(K598-(TBIcalc!$Q$9+TBIcalc!$Q$10),"")</f>
        <v>1.8081999999999998</v>
      </c>
      <c r="M598" s="391">
        <f>AVERAGE(Ashed_controlls!$K$2:$K$11)</f>
        <v>5.5147656768714146</v>
      </c>
      <c r="N598" s="267">
        <f t="shared" si="46"/>
        <v>1.7084820070308109</v>
      </c>
      <c r="O598" s="267" t="str">
        <f>IF(IFERROR(INDEX('Both teabags AfterDry'!$D$3:$D$900,MATCH(J598,'Both teabags AfterDry'!$A$3:$A$900,0)),"")="","",(IFERROR(INDEX('Both teabags AfterDry'!$D$3:$D$900,MATCH(J598,'Both teabags AfterDry'!$A$3:$A$900,0)),"")))</f>
        <v/>
      </c>
      <c r="P598" s="267" t="str">
        <f>IFERROR(IF(O598&gt;0,O598-(TBIcalc!$Q$9),""),"")</f>
        <v/>
      </c>
      <c r="Q598" s="278" t="str">
        <f>IFERROR(INDEX('Ashed teabags dry'!$K$2:$K$825,MATCH(J598,'Ashed teabags dry'!$A$2:$A$825,0)),"")</f>
        <v/>
      </c>
      <c r="R598" s="278" t="str">
        <f t="shared" si="47"/>
        <v/>
      </c>
      <c r="S598" s="268">
        <f>'Dry_Litterbag Placem_Collection'!E159</f>
        <v>42939</v>
      </c>
      <c r="T598" s="268">
        <f>IF('Dry_Litterbag Placem_Collection'!G159="","",'Dry_Litterbag Placem_Collection'!G159)</f>
        <v>43010</v>
      </c>
      <c r="U598" s="269">
        <f t="shared" si="45"/>
        <v>71</v>
      </c>
      <c r="V598" s="267" t="str">
        <f t="shared" si="48"/>
        <v/>
      </c>
      <c r="W598" s="267" t="str">
        <f t="shared" si="49"/>
        <v/>
      </c>
      <c r="X598" s="271">
        <f>IFERROR(INDEX(Rainfall_Dry!$O$2:$O$217,MATCH(B598, Rainfall_Dry!$A$2:$A$217,0)),"")</f>
        <v>137.19979645800001</v>
      </c>
      <c r="Y598" s="260">
        <v>27.96</v>
      </c>
      <c r="Z598" s="260">
        <v>4.9200000000000017</v>
      </c>
      <c r="AA598" s="260">
        <v>67.12</v>
      </c>
      <c r="AB598" s="261" t="s">
        <v>2670</v>
      </c>
      <c r="AC598" s="260">
        <v>5.0437161163134503</v>
      </c>
      <c r="AD598">
        <f>IF('WetLitterbags placem_collection'!AB159="","",'WetLitterbags placem_collection'!AB159)</f>
        <v>2.2999999999999998</v>
      </c>
      <c r="AE598">
        <f>IF('WetLitterbags placem_collection'!Z159="","",'WetLitterbags placem_collection'!Z159)</f>
        <v>7.7</v>
      </c>
      <c r="AF598" s="24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71">
        <f>IFERROR(AVERAGE('Dry_Litterbag Placem_Collection'!N159,'Dry_Litterbag Placem_Collection'!Q159),"")</f>
        <v>29.85</v>
      </c>
      <c r="AJ598" s="270">
        <f>INDEX(Coordinates!$B$2:$B$197,MATCH(G598,Coordinates!$J$2:$J$197,0))</f>
        <v>-2.3678019830000001</v>
      </c>
      <c r="AK598" s="270">
        <f>INDEX(Coordinates!$C$2:$C$197,MATCH(G598,Coordinates!$J$2:$J$197,0))</f>
        <v>34.059521969999999</v>
      </c>
      <c r="AL598" s="270" t="str">
        <f>IF(ISNUMBER(SEARCH("C", 'Dry_Litterbag Placem_Collection'!U159)),"YES","NO")</f>
        <v>NO</v>
      </c>
      <c r="AM598" s="270" t="str">
        <f>IF(ISNUMBER(SEARCH("H", 'Dry_Litterbag Placem_Collection'!U159)),"YES","NO")</f>
        <v>NO</v>
      </c>
      <c r="AN598" s="270" t="str">
        <f>IF(ISNUMBER(SEARCH("R", 'Dry_Litterbag Placem_Collection'!U159)),"YES","NO")</f>
        <v>NO</v>
      </c>
    </row>
    <row r="599" spans="1:40" ht="15" customHeight="1">
      <c r="A599" s="262" t="s">
        <v>2659</v>
      </c>
      <c r="B599" s="263">
        <f>'Dry_Litterbag Placem_Collection'!A160</f>
        <v>158</v>
      </c>
      <c r="C599" s="263" t="str">
        <f>'Dry_Litterbag Placem_Collection'!B160</f>
        <v xml:space="preserve">Mwantimba
</v>
      </c>
      <c r="D599" s="263" t="s">
        <v>2659</v>
      </c>
      <c r="E599" s="263" t="s">
        <v>20</v>
      </c>
      <c r="F599" s="263">
        <v>4</v>
      </c>
      <c r="G599" s="264" t="str">
        <f>'Dry_Litterbag Placem_Collection'!C160</f>
        <v>Wet_P4_T6</v>
      </c>
      <c r="H599" s="273" t="s">
        <v>3651</v>
      </c>
      <c r="I599" s="266" t="s">
        <v>1147</v>
      </c>
      <c r="J599" s="263" t="str">
        <f>IF(ISBLANK('Dry_Litterbag Placem_Collection'!L160),"","G"&amp;""&amp;'Dry_Litterbag Placem_Collection'!L160)</f>
        <v>G153</v>
      </c>
      <c r="K599" s="267">
        <f>IFERROR(INDEX('Green_rooibos initial weight'!$C$5:$C$1749,MATCH(J599, 'Green_rooibos initial weight'!$A$5:$A$1749,0)),"")</f>
        <v>2.0529999999999999</v>
      </c>
      <c r="L599" s="267">
        <f>IFERROR(K599-(TBIcalc!$Q$9+TBIcalc!$Q$10),"")</f>
        <v>1.8031999999999999</v>
      </c>
      <c r="M599" s="391">
        <f>AVERAGE(Ashed_controlls!$K$2:$K$11)</f>
        <v>5.5147656768714146</v>
      </c>
      <c r="N599" s="267">
        <f t="shared" si="46"/>
        <v>1.7037577453146546</v>
      </c>
      <c r="O599" s="267">
        <f>IF(IFERROR(INDEX('Both teabags AfterDry'!$D$3:$D$900,MATCH(J599,'Both teabags AfterDry'!$A$3:$A$900,0)),"")="","",(IFERROR(INDEX('Both teabags AfterDry'!$D$3:$D$900,MATCH(J599,'Both teabags AfterDry'!$A$3:$A$900,0)),"")))</f>
        <v>0.87609999999999999</v>
      </c>
      <c r="P599" s="267">
        <f>IFERROR(IF(O599&gt;0,O599-(TBIcalc!$Q$9),""),"")</f>
        <v>0.72550000000000003</v>
      </c>
      <c r="Q599" s="278">
        <f>IFERROR(INDEX('Ashed teabags dry'!$K$2:$K$825,MATCH(J599,'Ashed teabags dry'!$A$2:$A$825,0)),"")</f>
        <v>71.165940977261897</v>
      </c>
      <c r="R599" s="278">
        <f t="shared" si="47"/>
        <v>0.20919109820996495</v>
      </c>
      <c r="S599" s="268">
        <f>'Dry_Litterbag Placem_Collection'!E160</f>
        <v>42939</v>
      </c>
      <c r="T599" s="268">
        <f>IF('Dry_Litterbag Placem_Collection'!G160="","",'Dry_Litterbag Placem_Collection'!G160)</f>
        <v>43010</v>
      </c>
      <c r="U599" s="269">
        <f t="shared" si="45"/>
        <v>71</v>
      </c>
      <c r="V599" s="267">
        <f t="shared" si="48"/>
        <v>1.0776999999999999</v>
      </c>
      <c r="W599" s="267">
        <f t="shared" si="49"/>
        <v>1.4945666471046897</v>
      </c>
      <c r="X599" s="271">
        <f>IFERROR(INDEX(Rainfall_Dry!$O$2:$O$217,MATCH(B599, Rainfall_Dry!$A$2:$A$217,0)),"")</f>
        <v>137.19979645800001</v>
      </c>
      <c r="Y599" s="260">
        <v>27.96</v>
      </c>
      <c r="Z599" s="260">
        <v>4.9200000000000017</v>
      </c>
      <c r="AA599" s="260">
        <v>67.12</v>
      </c>
      <c r="AB599" s="261" t="s">
        <v>2670</v>
      </c>
      <c r="AC599" s="260">
        <v>6.0437161163134503</v>
      </c>
      <c r="AD599">
        <f>IF('WetLitterbags placem_collection'!AB160="","",'WetLitterbags placem_collection'!AB160)</f>
        <v>1.9</v>
      </c>
      <c r="AE599">
        <f>IF('WetLitterbags placem_collection'!Z160="","",'WetLitterbags placem_collection'!Z160)</f>
        <v>4.3</v>
      </c>
      <c r="AF599" s="24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71">
        <f>IFERROR(AVERAGE('Dry_Litterbag Placem_Collection'!N160,'Dry_Litterbag Placem_Collection'!Q160),"")</f>
        <v>31.8</v>
      </c>
      <c r="AJ599" s="270">
        <f>INDEX(Coordinates!$B$2:$B$197,MATCH(G599,Coordinates!$J$2:$J$197,0))</f>
        <v>-2.3679270410000002</v>
      </c>
      <c r="AK599" s="270">
        <f>INDEX(Coordinates!$C$2:$C$197,MATCH(G599,Coordinates!$J$2:$J$197,0))</f>
        <v>34.059300020000002</v>
      </c>
      <c r="AL599" s="270" t="str">
        <f>IF(ISNUMBER(SEARCH("C", 'Dry_Litterbag Placem_Collection'!U160)),"YES","NO")</f>
        <v>NO</v>
      </c>
      <c r="AM599" s="270" t="str">
        <f>IF(ISNUMBER(SEARCH("H", 'Dry_Litterbag Placem_Collection'!U160)),"YES","NO")</f>
        <v>NO</v>
      </c>
      <c r="AN599" s="270" t="str">
        <f>IF(ISNUMBER(SEARCH("R", 'Dry_Litterbag Placem_Collection'!U160)),"YES","NO")</f>
        <v>NO</v>
      </c>
    </row>
    <row r="600" spans="1:40" ht="15" customHeight="1">
      <c r="A600" s="262" t="s">
        <v>2659</v>
      </c>
      <c r="B600" s="263">
        <f>'Dry_Litterbag Placem_Collection'!A161</f>
        <v>159</v>
      </c>
      <c r="C600" s="263" t="str">
        <f>'Dry_Litterbag Placem_Collection'!B161</f>
        <v xml:space="preserve">Mwantimba
</v>
      </c>
      <c r="D600" s="263" t="s">
        <v>2659</v>
      </c>
      <c r="E600" s="263" t="s">
        <v>20</v>
      </c>
      <c r="F600" s="263">
        <v>4</v>
      </c>
      <c r="G600" s="264" t="str">
        <f>'Dry_Litterbag Placem_Collection'!C161</f>
        <v>Wet_P4_T7</v>
      </c>
      <c r="H600" s="273" t="s">
        <v>3651</v>
      </c>
      <c r="I600" s="266" t="s">
        <v>1147</v>
      </c>
      <c r="J600" s="263" t="str">
        <f>IF(ISBLANK('Dry_Litterbag Placem_Collection'!L161),"","G"&amp;""&amp;'Dry_Litterbag Placem_Collection'!L161)</f>
        <v/>
      </c>
      <c r="K600" s="267" t="str">
        <f>IFERROR(INDEX('Green_rooibos initial weight'!$C$5:$C$1749,MATCH(J600, 'Green_rooibos initial weight'!$A$5:$A$1749,0)),"")</f>
        <v/>
      </c>
      <c r="L600" s="267" t="str">
        <f>IFERROR(K600-(TBIcalc!$Q$9+TBIcalc!$Q$10),"")</f>
        <v/>
      </c>
      <c r="M600" s="391">
        <f>AVERAGE(Ashed_controlls!$K$2:$K$11)</f>
        <v>5.5147656768714146</v>
      </c>
      <c r="N600" s="267" t="str">
        <f t="shared" si="46"/>
        <v/>
      </c>
      <c r="O600" s="267" t="str">
        <f>IF(IFERROR(INDEX('Both teabags AfterDry'!$D$3:$D$900,MATCH(J600,'Both teabags AfterDry'!$A$3:$A$900,0)),"")="","",(IFERROR(INDEX('Both teabags AfterDry'!$D$3:$D$900,MATCH(J600,'Both teabags AfterDry'!$A$3:$A$900,0)),"")))</f>
        <v/>
      </c>
      <c r="P600" s="267" t="str">
        <f>IFERROR(IF(O600&gt;0,O600-(TBIcalc!$Q$9),""),"")</f>
        <v/>
      </c>
      <c r="Q600" s="278" t="str">
        <f>IFERROR(INDEX('Ashed teabags dry'!$K$2:$K$825,MATCH(J600,'Ashed teabags dry'!$A$2:$A$825,0)),"")</f>
        <v/>
      </c>
      <c r="R600" s="278" t="str">
        <f t="shared" si="47"/>
        <v/>
      </c>
      <c r="S600" s="268">
        <f>'Dry_Litterbag Placem_Collection'!E161</f>
        <v>0</v>
      </c>
      <c r="T600" s="268" t="str">
        <f>IF('Dry_Litterbag Placem_Collection'!G161="","",'Dry_Litterbag Placem_Collection'!G161)</f>
        <v/>
      </c>
      <c r="U600" s="269" t="str">
        <f t="shared" si="45"/>
        <v/>
      </c>
      <c r="V600" s="267" t="str">
        <f t="shared" si="48"/>
        <v/>
      </c>
      <c r="W600" s="267" t="str">
        <f t="shared" si="49"/>
        <v/>
      </c>
      <c r="X600" s="271" t="str">
        <f>IFERROR(INDEX(Rainfall_Dry!$O$2:$O$217,MATCH(B600, Rainfall_Dry!$A$2:$A$217,0)),"")</f>
        <v/>
      </c>
      <c r="Y600" s="260">
        <v>27.96</v>
      </c>
      <c r="Z600" s="260">
        <v>4.9200000000000017</v>
      </c>
      <c r="AA600" s="260">
        <v>67.12</v>
      </c>
      <c r="AB600" s="261" t="s">
        <v>2670</v>
      </c>
      <c r="AC600" s="260">
        <v>7.0437161163134503</v>
      </c>
      <c r="AD600">
        <f>IF('WetLitterbags placem_collection'!AB161="","",'WetLitterbags placem_collection'!AB161)</f>
        <v>2.65</v>
      </c>
      <c r="AE600">
        <f>IF('WetLitterbags placem_collection'!Z161="","",'WetLitterbags placem_collection'!Z161)</f>
        <v>0</v>
      </c>
      <c r="AF600" s="24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71" t="str">
        <f>IFERROR(AVERAGE('Dry_Litterbag Placem_Collection'!N161,'Dry_Litterbag Placem_Collection'!Q161),"")</f>
        <v/>
      </c>
      <c r="AJ600" s="270">
        <f>INDEX(Coordinates!$B$2:$B$197,MATCH(G600,Coordinates!$J$2:$J$197,0))</f>
        <v>-2.3676829599999998</v>
      </c>
      <c r="AK600" s="270">
        <f>INDEX(Coordinates!$C$2:$C$197,MATCH(G600,Coordinates!$J$2:$J$197,0))</f>
        <v>34.059236990000002</v>
      </c>
      <c r="AL600" s="270" t="str">
        <f>IF(ISNUMBER(SEARCH("C", 'Dry_Litterbag Placem_Collection'!U161)),"YES","NO")</f>
        <v>NO</v>
      </c>
      <c r="AM600" s="270" t="str">
        <f>IF(ISNUMBER(SEARCH("H", 'Dry_Litterbag Placem_Collection'!U161)),"YES","NO")</f>
        <v>NO</v>
      </c>
      <c r="AN600" s="270" t="str">
        <f>IF(ISNUMBER(SEARCH("R", 'Dry_Litterbag Placem_Collection'!U161)),"YES","NO")</f>
        <v>NO</v>
      </c>
    </row>
    <row r="601" spans="1:40" ht="15" customHeight="1">
      <c r="A601" s="262" t="s">
        <v>2659</v>
      </c>
      <c r="B601" s="263">
        <f>'Dry_Litterbag Placem_Collection'!A162</f>
        <v>160</v>
      </c>
      <c r="C601" s="263" t="str">
        <f>'Dry_Litterbag Placem_Collection'!B162</f>
        <v xml:space="preserve">Mwantimba
</v>
      </c>
      <c r="D601" s="263" t="s">
        <v>2659</v>
      </c>
      <c r="E601" s="263" t="s">
        <v>20</v>
      </c>
      <c r="F601" s="263">
        <v>4</v>
      </c>
      <c r="G601" s="264" t="str">
        <f>'Dry_Litterbag Placem_Collection'!C162</f>
        <v>Wet_P4_T8</v>
      </c>
      <c r="H601" s="273" t="s">
        <v>3651</v>
      </c>
      <c r="I601" s="266" t="s">
        <v>1147</v>
      </c>
      <c r="J601" s="263" t="str">
        <f>IF(ISBLANK('Dry_Litterbag Placem_Collection'!L162),"","G"&amp;""&amp;'Dry_Litterbag Placem_Collection'!L162)</f>
        <v>G175</v>
      </c>
      <c r="K601" s="267">
        <f>IFERROR(INDEX('Green_rooibos initial weight'!$C$5:$C$1749,MATCH(J601, 'Green_rooibos initial weight'!$A$5:$A$1749,0)),"")</f>
        <v>1.9930000000000001</v>
      </c>
      <c r="L601" s="267">
        <f>IFERROR(K601-(TBIcalc!$Q$9+TBIcalc!$Q$10),"")</f>
        <v>1.7432000000000001</v>
      </c>
      <c r="M601" s="391">
        <f>AVERAGE(Ashed_controlls!$K$2:$K$11)</f>
        <v>5.5147656768714146</v>
      </c>
      <c r="N601" s="267">
        <f t="shared" si="46"/>
        <v>1.6470666047207776</v>
      </c>
      <c r="O601" s="267">
        <f>IF(IFERROR(INDEX('Both teabags AfterDry'!$D$3:$D$900,MATCH(J601,'Both teabags AfterDry'!$A$3:$A$900,0)),"")="","",(IFERROR(INDEX('Both teabags AfterDry'!$D$3:$D$900,MATCH(J601,'Both teabags AfterDry'!$A$3:$A$900,0)),"")))</f>
        <v>1.2042999999999999</v>
      </c>
      <c r="P601" s="267">
        <f>IFERROR(IF(O601&gt;0,O601-(TBIcalc!$Q$9),""),"")</f>
        <v>1.0536999999999999</v>
      </c>
      <c r="Q601" s="278">
        <f>IFERROR(INDEX('Ashed teabags dry'!$K$2:$K$825,MATCH(J601,'Ashed teabags dry'!$A$2:$A$825,0)),"")</f>
        <v>22.557651991613749</v>
      </c>
      <c r="R601" s="278">
        <f t="shared" si="47"/>
        <v>0.81601002096436581</v>
      </c>
      <c r="S601" s="268">
        <f>'Dry_Litterbag Placem_Collection'!E162</f>
        <v>42939</v>
      </c>
      <c r="T601" s="268">
        <f>IF('Dry_Litterbag Placem_Collection'!G162="","",'Dry_Litterbag Placem_Collection'!G162)</f>
        <v>43010</v>
      </c>
      <c r="U601" s="269">
        <f t="shared" si="45"/>
        <v>71</v>
      </c>
      <c r="V601" s="267">
        <f t="shared" si="48"/>
        <v>0.68950000000000022</v>
      </c>
      <c r="W601" s="267">
        <f t="shared" si="49"/>
        <v>0.83105658375641178</v>
      </c>
      <c r="X601" s="271">
        <f>IFERROR(INDEX(Rainfall_Dry!$O$2:$O$217,MATCH(B601, Rainfall_Dry!$A$2:$A$217,0)),"")</f>
        <v>137.19979645800001</v>
      </c>
      <c r="Y601" s="260">
        <v>27.96</v>
      </c>
      <c r="Z601" s="260">
        <v>4.9200000000000017</v>
      </c>
      <c r="AA601" s="260">
        <v>67.12</v>
      </c>
      <c r="AB601" s="261" t="s">
        <v>2670</v>
      </c>
      <c r="AC601" s="260">
        <v>8.0437161163134494</v>
      </c>
      <c r="AD601">
        <f>IF('WetLitterbags placem_collection'!AB162="","",'WetLitterbags placem_collection'!AB162)</f>
        <v>0.8</v>
      </c>
      <c r="AE601">
        <f>IF('WetLitterbags placem_collection'!Z162="","",'WetLitterbags placem_collection'!Z162)</f>
        <v>10.8</v>
      </c>
      <c r="AF601" s="24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71">
        <f>IFERROR(AVERAGE('Dry_Litterbag Placem_Collection'!N162,'Dry_Litterbag Placem_Collection'!Q162),"")</f>
        <v>29.200000000000003</v>
      </c>
      <c r="AJ601" s="270">
        <f>INDEX(Coordinates!$B$2:$B$197,MATCH(G601,Coordinates!$J$2:$J$197,0))</f>
        <v>-2.367547005</v>
      </c>
      <c r="AK601" s="270">
        <f>INDEX(Coordinates!$C$2:$C$197,MATCH(G601,Coordinates!$J$2:$J$197,0))</f>
        <v>34.059494989999997</v>
      </c>
      <c r="AL601" s="270" t="str">
        <f>IF(ISNUMBER(SEARCH("C", 'Dry_Litterbag Placem_Collection'!U162)),"YES","NO")</f>
        <v>NO</v>
      </c>
      <c r="AM601" s="270" t="str">
        <f>IF(ISNUMBER(SEARCH("H", 'Dry_Litterbag Placem_Collection'!U162)),"YES","NO")</f>
        <v>NO</v>
      </c>
      <c r="AN601" s="270" t="str">
        <f>IF(ISNUMBER(SEARCH("R", 'Dry_Litterbag Placem_Collection'!U162)),"YES","NO")</f>
        <v>NO</v>
      </c>
    </row>
    <row r="602" spans="1:40" ht="15" customHeight="1">
      <c r="A602" s="262" t="s">
        <v>2659</v>
      </c>
      <c r="B602" s="263">
        <f>'Dry_Litterbag Placem_Collection'!A163</f>
        <v>161</v>
      </c>
      <c r="C602" s="263" t="str">
        <f>'Dry_Litterbag Placem_Collection'!B163</f>
        <v>Handajega</v>
      </c>
      <c r="D602" s="263" t="s">
        <v>2659</v>
      </c>
      <c r="E602" s="263" t="s">
        <v>2661</v>
      </c>
      <c r="F602" s="263">
        <v>1</v>
      </c>
      <c r="G602" s="264" t="str">
        <f>'Dry_Litterbag Placem_Collection'!C163</f>
        <v>Wet_W1_T1</v>
      </c>
      <c r="H602" s="273" t="s">
        <v>3651</v>
      </c>
      <c r="I602" s="266" t="s">
        <v>1147</v>
      </c>
      <c r="J602" s="263" t="str">
        <f>IF(ISBLANK('Dry_Litterbag Placem_Collection'!L163),"","G"&amp;""&amp;'Dry_Litterbag Placem_Collection'!L163)</f>
        <v>G207</v>
      </c>
      <c r="K602" s="267">
        <f>IFERROR(INDEX('Green_rooibos initial weight'!$C$5:$C$1749,MATCH(J602, 'Green_rooibos initial weight'!$A$5:$A$1749,0)),"")</f>
        <v>2.1539999999999999</v>
      </c>
      <c r="L602" s="267">
        <f>IFERROR(K602-(TBIcalc!$Q$9+TBIcalc!$Q$10),"")</f>
        <v>1.9041999999999999</v>
      </c>
      <c r="M602" s="391">
        <f>AVERAGE(Ashed_controlls!$K$2:$K$11)</f>
        <v>5.5147656768714146</v>
      </c>
      <c r="N602" s="267">
        <f t="shared" si="46"/>
        <v>1.7991878319810144</v>
      </c>
      <c r="O602" s="267">
        <f>IF(IFERROR(INDEX('Both teabags AfterDry'!$D$3:$D$900,MATCH(J602,'Both teabags AfterDry'!$A$3:$A$900,0)),"")="","",(IFERROR(INDEX('Both teabags AfterDry'!$D$3:$D$900,MATCH(J602,'Both teabags AfterDry'!$A$3:$A$900,0)),"")))</f>
        <v>0.76570000000000005</v>
      </c>
      <c r="P602" s="267">
        <f>IFERROR(IF(O602&gt;0,O602-(TBIcalc!$Q$9),""),"")</f>
        <v>0.61509999999999998</v>
      </c>
      <c r="Q602" s="278">
        <f>IFERROR(INDEX('Ashed teabags dry'!$K$2:$K$825,MATCH(J602,'Ashed teabags dry'!$A$2:$A$825,0)),"")</f>
        <v>21.881091617933993</v>
      </c>
      <c r="R602" s="278">
        <f t="shared" si="47"/>
        <v>0.48050940545808796</v>
      </c>
      <c r="S602" s="268">
        <f>'Dry_Litterbag Placem_Collection'!E163</f>
        <v>42940</v>
      </c>
      <c r="T602" s="268">
        <f>IF('Dry_Litterbag Placem_Collection'!G163="","",'Dry_Litterbag Placem_Collection'!G163)</f>
        <v>43009</v>
      </c>
      <c r="U602" s="269">
        <f t="shared" si="45"/>
        <v>69</v>
      </c>
      <c r="V602" s="267">
        <f t="shared" si="48"/>
        <v>1.2890999999999999</v>
      </c>
      <c r="W602" s="267">
        <f t="shared" si="49"/>
        <v>1.3186784265229266</v>
      </c>
      <c r="X602" s="271">
        <f>IFERROR(INDEX(Rainfall_Dry!$O$2:$O$217,MATCH(B602, Rainfall_Dry!$A$2:$A$217,0)),"")</f>
        <v>162.634207253</v>
      </c>
      <c r="Y602" s="260">
        <v>21.96</v>
      </c>
      <c r="Z602" s="260">
        <v>4.9199999999999982</v>
      </c>
      <c r="AA602" s="260">
        <v>73.12</v>
      </c>
      <c r="AB602" s="261" t="s">
        <v>2670</v>
      </c>
      <c r="AC602" s="260">
        <v>1.2416954164613114</v>
      </c>
      <c r="AD602">
        <f>IF('WetLitterbags placem_collection'!AB163="","",'WetLitterbags placem_collection'!AB163)</f>
        <v>7.6</v>
      </c>
      <c r="AE602">
        <f>IF('WetLitterbags placem_collection'!Z163="","",'WetLitterbags placem_collection'!Z163)</f>
        <v>35.799999999999997</v>
      </c>
      <c r="AF602" s="24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71">
        <f>IFERROR(AVERAGE('Dry_Litterbag Placem_Collection'!N163,'Dry_Litterbag Placem_Collection'!Q163),"")</f>
        <v>31.7</v>
      </c>
      <c r="AJ602" s="270">
        <f>INDEX(Coordinates!$B$2:$B$197,MATCH(G602,Coordinates!$J$2:$J$197,0))</f>
        <v>-2.272751033</v>
      </c>
      <c r="AK602" s="270">
        <f>INDEX(Coordinates!$C$2:$C$197,MATCH(G602,Coordinates!$J$2:$J$197,0))</f>
        <v>34.023176030000002</v>
      </c>
      <c r="AL602" s="270" t="str">
        <f>IF(ISNUMBER(SEARCH("C", 'Dry_Litterbag Placem_Collection'!U163)),"YES","NO")</f>
        <v>NO</v>
      </c>
      <c r="AM602" s="270" t="str">
        <f>IF(ISNUMBER(SEARCH("H", 'Dry_Litterbag Placem_Collection'!U163)),"YES","NO")</f>
        <v>NO</v>
      </c>
      <c r="AN602" s="270" t="str">
        <f>IF(ISNUMBER(SEARCH("R", 'Dry_Litterbag Placem_Collection'!U163)),"YES","NO")</f>
        <v>NO</v>
      </c>
    </row>
    <row r="603" spans="1:40" ht="15" customHeight="1">
      <c r="A603" s="262" t="s">
        <v>2659</v>
      </c>
      <c r="B603" s="263">
        <f>'Dry_Litterbag Placem_Collection'!A164</f>
        <v>162</v>
      </c>
      <c r="C603" s="263" t="str">
        <f>'Dry_Litterbag Placem_Collection'!B164</f>
        <v>Handajega</v>
      </c>
      <c r="D603" s="263" t="s">
        <v>2659</v>
      </c>
      <c r="E603" s="263" t="s">
        <v>2661</v>
      </c>
      <c r="F603" s="263">
        <v>1</v>
      </c>
      <c r="G603" s="264" t="str">
        <f>'Dry_Litterbag Placem_Collection'!C164</f>
        <v>Wet_W1_T2</v>
      </c>
      <c r="H603" s="273" t="s">
        <v>3651</v>
      </c>
      <c r="I603" s="266" t="s">
        <v>1147</v>
      </c>
      <c r="J603" s="263" t="str">
        <f>IF(ISBLANK('Dry_Litterbag Placem_Collection'!L164),"","G"&amp;""&amp;'Dry_Litterbag Placem_Collection'!L164)</f>
        <v>G580</v>
      </c>
      <c r="K603" s="267">
        <f>IFERROR(INDEX('Green_rooibos initial weight'!$C$5:$C$1749,MATCH(J603, 'Green_rooibos initial weight'!$A$5:$A$1749,0)),"")</f>
        <v>2.1440000000000001</v>
      </c>
      <c r="L603" s="267">
        <f>IFERROR(K603-(TBIcalc!$Q$9+TBIcalc!$Q$10),"")</f>
        <v>1.8942000000000001</v>
      </c>
      <c r="M603" s="391">
        <f>AVERAGE(Ashed_controlls!$K$2:$K$11)</f>
        <v>5.5147656768714146</v>
      </c>
      <c r="N603" s="267">
        <f t="shared" si="46"/>
        <v>1.7897393085487017</v>
      </c>
      <c r="O603" s="267">
        <f>IF(IFERROR(INDEX('Both teabags AfterDry'!$D$3:$D$900,MATCH(J603,'Both teabags AfterDry'!$A$3:$A$900,0)),"")="","",(IFERROR(INDEX('Both teabags AfterDry'!$D$3:$D$900,MATCH(J603,'Both teabags AfterDry'!$A$3:$A$900,0)),"")))</f>
        <v>0.84409999999999996</v>
      </c>
      <c r="P603" s="267">
        <f>IFERROR(IF(O603&gt;0,O603-(TBIcalc!$Q$9),""),"")</f>
        <v>0.69350000000000001</v>
      </c>
      <c r="Q603" s="278">
        <f>IFERROR(INDEX('Ashed teabags dry'!$K$2:$K$825,MATCH(J603,'Ashed teabags dry'!$A$2:$A$825,0)),"")</f>
        <v>19.492789656887485</v>
      </c>
      <c r="R603" s="278">
        <f t="shared" si="47"/>
        <v>0.5583175037294853</v>
      </c>
      <c r="S603" s="268">
        <f>'Dry_Litterbag Placem_Collection'!E164</f>
        <v>42940</v>
      </c>
      <c r="T603" s="268">
        <f>IF('Dry_Litterbag Placem_Collection'!G164="","",'Dry_Litterbag Placem_Collection'!G164)</f>
        <v>43009</v>
      </c>
      <c r="U603" s="269">
        <f t="shared" si="45"/>
        <v>69</v>
      </c>
      <c r="V603" s="267">
        <f t="shared" si="48"/>
        <v>1.2007000000000001</v>
      </c>
      <c r="W603" s="267">
        <f t="shared" si="49"/>
        <v>1.2314218048192163</v>
      </c>
      <c r="X603" s="271">
        <f>IFERROR(INDEX(Rainfall_Dry!$O$2:$O$217,MATCH(B603, Rainfall_Dry!$A$2:$A$217,0)),"")</f>
        <v>162.634207253</v>
      </c>
      <c r="Y603" s="260">
        <v>21.96</v>
      </c>
      <c r="Z603" s="260">
        <v>4.9199999999999982</v>
      </c>
      <c r="AA603" s="260">
        <v>73.12</v>
      </c>
      <c r="AB603" s="261" t="s">
        <v>2670</v>
      </c>
      <c r="AC603" s="260">
        <v>2.2416954164613099</v>
      </c>
      <c r="AD603">
        <f>IF('WetLitterbags placem_collection'!AB164="","",'WetLitterbags placem_collection'!AB164)</f>
        <v>4.0999999999999996</v>
      </c>
      <c r="AE603">
        <f>IF('WetLitterbags placem_collection'!Z164="","",'WetLitterbags placem_collection'!Z164)</f>
        <v>31.4</v>
      </c>
      <c r="AF603" s="24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71">
        <f>IFERROR(AVERAGE('Dry_Litterbag Placem_Collection'!N164,'Dry_Litterbag Placem_Collection'!Q164),"")</f>
        <v>31.650000000000002</v>
      </c>
      <c r="AJ603" s="270">
        <f>INDEX(Coordinates!$B$2:$B$197,MATCH(G603,Coordinates!$J$2:$J$197,0))</f>
        <v>-2.2727060219999999</v>
      </c>
      <c r="AK603" s="270">
        <f>INDEX(Coordinates!$C$2:$C$197,MATCH(G603,Coordinates!$J$2:$J$197,0))</f>
        <v>34.023162030000002</v>
      </c>
      <c r="AL603" s="270" t="str">
        <f>IF(ISNUMBER(SEARCH("C", 'Dry_Litterbag Placem_Collection'!U164)),"YES","NO")</f>
        <v>NO</v>
      </c>
      <c r="AM603" s="270" t="str">
        <f>IF(ISNUMBER(SEARCH("H", 'Dry_Litterbag Placem_Collection'!U164)),"YES","NO")</f>
        <v>NO</v>
      </c>
      <c r="AN603" s="270" t="str">
        <f>IF(ISNUMBER(SEARCH("R", 'Dry_Litterbag Placem_Collection'!U164)),"YES","NO")</f>
        <v>NO</v>
      </c>
    </row>
    <row r="604" spans="1:40" ht="15" customHeight="1">
      <c r="A604" s="262" t="s">
        <v>2659</v>
      </c>
      <c r="B604" s="263">
        <f>'Dry_Litterbag Placem_Collection'!A165</f>
        <v>163</v>
      </c>
      <c r="C604" s="263" t="str">
        <f>'Dry_Litterbag Placem_Collection'!B165</f>
        <v>Handajega</v>
      </c>
      <c r="D604" s="263" t="s">
        <v>2659</v>
      </c>
      <c r="E604" s="263" t="s">
        <v>2661</v>
      </c>
      <c r="F604" s="263">
        <v>1</v>
      </c>
      <c r="G604" s="264" t="str">
        <f>'Dry_Litterbag Placem_Collection'!C165</f>
        <v>Wet_W1_T3</v>
      </c>
      <c r="H604" s="273" t="s">
        <v>3651</v>
      </c>
      <c r="I604" s="266" t="s">
        <v>1147</v>
      </c>
      <c r="J604" s="263" t="str">
        <f>IF(ISBLANK('Dry_Litterbag Placem_Collection'!L165),"","G"&amp;""&amp;'Dry_Litterbag Placem_Collection'!L165)</f>
        <v>G722</v>
      </c>
      <c r="K604" s="267">
        <f>IFERROR(INDEX('Green_rooibos initial weight'!$C$5:$C$1749,MATCH(J604, 'Green_rooibos initial weight'!$A$5:$A$1749,0)),"")</f>
        <v>2.0790000000000002</v>
      </c>
      <c r="L604" s="267">
        <f>IFERROR(K604-(TBIcalc!$Q$9+TBIcalc!$Q$10),"")</f>
        <v>1.8292000000000002</v>
      </c>
      <c r="M604" s="391">
        <f>AVERAGE(Ashed_controlls!$K$2:$K$11)</f>
        <v>5.5147656768714146</v>
      </c>
      <c r="N604" s="267">
        <f t="shared" si="46"/>
        <v>1.7283239062386682</v>
      </c>
      <c r="O604" s="267">
        <f>IF(IFERROR(INDEX('Both teabags AfterDry'!$D$3:$D$900,MATCH(J604,'Both teabags AfterDry'!$A$3:$A$900,0)),"")="","",(IFERROR(INDEX('Both teabags AfterDry'!$D$3:$D$900,MATCH(J604,'Both teabags AfterDry'!$A$3:$A$900,0)),"")))</f>
        <v>0.86109999999999998</v>
      </c>
      <c r="P604" s="267">
        <f>IFERROR(IF(O604&gt;0,O604-(TBIcalc!$Q$9),""),"")</f>
        <v>0.71049999999999991</v>
      </c>
      <c r="Q604" s="278">
        <f>IFERROR(INDEX('Ashed teabags dry'!$K$2:$K$825,MATCH(J604,'Ashed teabags dry'!$A$2:$A$825,0)),"")</f>
        <v>29.172785119922423</v>
      </c>
      <c r="R604" s="278">
        <f t="shared" si="47"/>
        <v>0.50322736172295113</v>
      </c>
      <c r="S604" s="268">
        <f>'Dry_Litterbag Placem_Collection'!E165</f>
        <v>42940</v>
      </c>
      <c r="T604" s="268">
        <f>IF('Dry_Litterbag Placem_Collection'!G165="","",'Dry_Litterbag Placem_Collection'!G165)</f>
        <v>43009</v>
      </c>
      <c r="U604" s="269">
        <f t="shared" si="45"/>
        <v>69</v>
      </c>
      <c r="V604" s="267">
        <f t="shared" si="48"/>
        <v>1.1187000000000002</v>
      </c>
      <c r="W604" s="267">
        <f t="shared" si="49"/>
        <v>1.2250965445157171</v>
      </c>
      <c r="X604" s="271">
        <f>IFERROR(INDEX(Rainfall_Dry!$O$2:$O$217,MATCH(B604, Rainfall_Dry!$A$2:$A$217,0)),"")</f>
        <v>162.634207253</v>
      </c>
      <c r="Y604" s="260">
        <v>21.96</v>
      </c>
      <c r="Z604" s="260">
        <v>4.9199999999999982</v>
      </c>
      <c r="AA604" s="260">
        <v>73.12</v>
      </c>
      <c r="AB604" s="261" t="s">
        <v>2670</v>
      </c>
      <c r="AC604" s="260">
        <v>3.2416954164613099</v>
      </c>
      <c r="AD604">
        <f>IF('WetLitterbags placem_collection'!AB165="","",'WetLitterbags placem_collection'!AB165)</f>
        <v>7.8</v>
      </c>
      <c r="AE604">
        <f>IF('WetLitterbags placem_collection'!Z165="","",'WetLitterbags placem_collection'!Z165)</f>
        <v>28.8</v>
      </c>
      <c r="AF604" s="24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71">
        <f>IFERROR(AVERAGE('Dry_Litterbag Placem_Collection'!N165,'Dry_Litterbag Placem_Collection'!Q165),"")</f>
        <v>32.75</v>
      </c>
      <c r="AJ604" s="270">
        <f>INDEX(Coordinates!$B$2:$B$197,MATCH(G604,Coordinates!$J$2:$J$197,0))</f>
        <v>-2.2726719919999998</v>
      </c>
      <c r="AK604" s="270">
        <f>INDEX(Coordinates!$C$2:$C$197,MATCH(G604,Coordinates!$J$2:$J$197,0))</f>
        <v>34.023210980000002</v>
      </c>
      <c r="AL604" s="270" t="str">
        <f>IF(ISNUMBER(SEARCH("C", 'Dry_Litterbag Placem_Collection'!U165)),"YES","NO")</f>
        <v>NO</v>
      </c>
      <c r="AM604" s="270" t="str">
        <f>IF(ISNUMBER(SEARCH("H", 'Dry_Litterbag Placem_Collection'!U165)),"YES","NO")</f>
        <v>NO</v>
      </c>
      <c r="AN604" s="270" t="str">
        <f>IF(ISNUMBER(SEARCH("R", 'Dry_Litterbag Placem_Collection'!U165)),"YES","NO")</f>
        <v>NO</v>
      </c>
    </row>
    <row r="605" spans="1:40" ht="15" customHeight="1">
      <c r="A605" s="262" t="s">
        <v>2659</v>
      </c>
      <c r="B605" s="263">
        <f>'Dry_Litterbag Placem_Collection'!A166</f>
        <v>164</v>
      </c>
      <c r="C605" s="263" t="str">
        <f>'Dry_Litterbag Placem_Collection'!B166</f>
        <v>Handajega</v>
      </c>
      <c r="D605" s="263" t="s">
        <v>2659</v>
      </c>
      <c r="E605" s="263" t="s">
        <v>2661</v>
      </c>
      <c r="F605" s="263">
        <v>1</v>
      </c>
      <c r="G605" s="264" t="str">
        <f>'Dry_Litterbag Placem_Collection'!C166</f>
        <v>Wet_W1_T4</v>
      </c>
      <c r="H605" s="273" t="s">
        <v>3651</v>
      </c>
      <c r="I605" s="266" t="s">
        <v>1147</v>
      </c>
      <c r="J605" s="263" t="str">
        <f>IF(ISBLANK('Dry_Litterbag Placem_Collection'!L166),"","G"&amp;""&amp;'Dry_Litterbag Placem_Collection'!L166)</f>
        <v>G239</v>
      </c>
      <c r="K605" s="267">
        <f>IFERROR(INDEX('Green_rooibos initial weight'!$C$5:$C$1749,MATCH(J605, 'Green_rooibos initial weight'!$A$5:$A$1749,0)),"")</f>
        <v>2.1019999999999999</v>
      </c>
      <c r="L605" s="267">
        <f>IFERROR(K605-(TBIcalc!$Q$9+TBIcalc!$Q$10),"")</f>
        <v>1.8521999999999998</v>
      </c>
      <c r="M605" s="391">
        <f>AVERAGE(Ashed_controlls!$K$2:$K$11)</f>
        <v>5.5147656768714146</v>
      </c>
      <c r="N605" s="267">
        <f t="shared" si="46"/>
        <v>1.7500555101329875</v>
      </c>
      <c r="O605" s="267">
        <f>IF(IFERROR(INDEX('Both teabags AfterDry'!$D$3:$D$900,MATCH(J605,'Both teabags AfterDry'!$A$3:$A$900,0)),"")="","",(IFERROR(INDEX('Both teabags AfterDry'!$D$3:$D$900,MATCH(J605,'Both teabags AfterDry'!$A$3:$A$900,0)),"")))</f>
        <v>0.73950000000000005</v>
      </c>
      <c r="P605" s="267">
        <f>IFERROR(IF(O605&gt;0,O605-(TBIcalc!$Q$9),""),"")</f>
        <v>0.58889999999999998</v>
      </c>
      <c r="Q605" s="278">
        <f>IFERROR(INDEX('Ashed teabags dry'!$K$2:$K$825,MATCH(J605,'Ashed teabags dry'!$A$2:$A$825,0)),"")</f>
        <v>17.516081147946309</v>
      </c>
      <c r="R605" s="278">
        <f t="shared" si="47"/>
        <v>0.48574779811974417</v>
      </c>
      <c r="S605" s="268">
        <f>'Dry_Litterbag Placem_Collection'!E166</f>
        <v>42940</v>
      </c>
      <c r="T605" s="268">
        <f>IF('Dry_Litterbag Placem_Collection'!G166="","",'Dry_Litterbag Placem_Collection'!G166)</f>
        <v>43009</v>
      </c>
      <c r="U605" s="269">
        <f t="shared" si="45"/>
        <v>69</v>
      </c>
      <c r="V605" s="267">
        <f t="shared" si="48"/>
        <v>1.2632999999999999</v>
      </c>
      <c r="W605" s="267">
        <f t="shared" si="49"/>
        <v>1.2643077120132433</v>
      </c>
      <c r="X605" s="271">
        <f>IFERROR(INDEX(Rainfall_Dry!$O$2:$O$217,MATCH(B605, Rainfall_Dry!$A$2:$A$217,0)),"")</f>
        <v>162.634207253</v>
      </c>
      <c r="Y605" s="260">
        <v>21.96</v>
      </c>
      <c r="Z605" s="260">
        <v>4.9199999999999982</v>
      </c>
      <c r="AA605" s="260">
        <v>73.12</v>
      </c>
      <c r="AB605" s="261" t="s">
        <v>2670</v>
      </c>
      <c r="AC605" s="260">
        <v>4.2416954164613099</v>
      </c>
      <c r="AD605">
        <f>IF('WetLitterbags placem_collection'!AB166="","",'WetLitterbags placem_collection'!AB166)</f>
        <v>9.5</v>
      </c>
      <c r="AE605">
        <f>IF('WetLitterbags placem_collection'!Z166="","",'WetLitterbags placem_collection'!Z166)</f>
        <v>20.8</v>
      </c>
      <c r="AF605" s="24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71">
        <f>IFERROR(AVERAGE('Dry_Litterbag Placem_Collection'!N166,'Dry_Litterbag Placem_Collection'!Q166),"")</f>
        <v>31.3</v>
      </c>
      <c r="AJ605" s="270">
        <f>INDEX(Coordinates!$B$2:$B$197,MATCH(G605,Coordinates!$J$2:$J$197,0))</f>
        <v>-2.2726180130000002</v>
      </c>
      <c r="AK605" s="270">
        <f>INDEX(Coordinates!$C$2:$C$197,MATCH(G605,Coordinates!$J$2:$J$197,0))</f>
        <v>34.023212999999998</v>
      </c>
      <c r="AL605" s="270" t="str">
        <f>IF(ISNUMBER(SEARCH("C", 'Dry_Litterbag Placem_Collection'!U166)),"YES","NO")</f>
        <v>NO</v>
      </c>
      <c r="AM605" s="270" t="str">
        <f>IF(ISNUMBER(SEARCH("H", 'Dry_Litterbag Placem_Collection'!U166)),"YES","NO")</f>
        <v>NO</v>
      </c>
      <c r="AN605" s="270" t="str">
        <f>IF(ISNUMBER(SEARCH("R", 'Dry_Litterbag Placem_Collection'!U166)),"YES","NO")</f>
        <v>YES</v>
      </c>
    </row>
    <row r="606" spans="1:40" ht="15" customHeight="1">
      <c r="A606" s="262" t="s">
        <v>2659</v>
      </c>
      <c r="B606" s="263">
        <f>'Dry_Litterbag Placem_Collection'!A167</f>
        <v>165</v>
      </c>
      <c r="C606" s="263" t="str">
        <f>'Dry_Litterbag Placem_Collection'!B167</f>
        <v>Handajega</v>
      </c>
      <c r="D606" s="263" t="s">
        <v>2659</v>
      </c>
      <c r="E606" s="263" t="s">
        <v>2661</v>
      </c>
      <c r="F606" s="263">
        <v>1</v>
      </c>
      <c r="G606" s="264" t="str">
        <f>'Dry_Litterbag Placem_Collection'!C167</f>
        <v>Wet_W1_T5</v>
      </c>
      <c r="H606" s="273" t="s">
        <v>3651</v>
      </c>
      <c r="I606" s="266" t="s">
        <v>1147</v>
      </c>
      <c r="J606" s="263" t="str">
        <f>IF(ISBLANK('Dry_Litterbag Placem_Collection'!L167),"","G"&amp;""&amp;'Dry_Litterbag Placem_Collection'!L167)</f>
        <v>G343</v>
      </c>
      <c r="K606" s="267">
        <f>IFERROR(INDEX('Green_rooibos initial weight'!$C$5:$C$1749,MATCH(J606, 'Green_rooibos initial weight'!$A$5:$A$1749,0)),"")</f>
        <v>1.8340000000000001</v>
      </c>
      <c r="L606" s="267">
        <f>IFERROR(K606-(TBIcalc!$Q$9+TBIcalc!$Q$10),"")</f>
        <v>1.5842000000000001</v>
      </c>
      <c r="M606" s="391">
        <f>AVERAGE(Ashed_controlls!$K$2:$K$11)</f>
        <v>5.5147656768714146</v>
      </c>
      <c r="N606" s="267">
        <f t="shared" si="46"/>
        <v>1.4968350821470031</v>
      </c>
      <c r="O606" s="267">
        <f>IF(IFERROR(INDEX('Both teabags AfterDry'!$D$3:$D$900,MATCH(J606,'Both teabags AfterDry'!$A$3:$A$900,0)),"")="","",(IFERROR(INDEX('Both teabags AfterDry'!$D$3:$D$900,MATCH(J606,'Both teabags AfterDry'!$A$3:$A$900,0)),"")))</f>
        <v>0.68059999999999998</v>
      </c>
      <c r="P606" s="267">
        <f>IFERROR(IF(O606&gt;0,O606-(TBIcalc!$Q$9),""),"")</f>
        <v>0.53</v>
      </c>
      <c r="Q606" s="278">
        <f>IFERROR(INDEX('Ashed teabags dry'!$K$2:$K$825,MATCH(J606,'Ashed teabags dry'!$A$2:$A$825,0)),"")</f>
        <v>16.867469879518342</v>
      </c>
      <c r="R606" s="278">
        <f t="shared" si="47"/>
        <v>0.44060240963855279</v>
      </c>
      <c r="S606" s="268">
        <f>'Dry_Litterbag Placem_Collection'!E167</f>
        <v>42940</v>
      </c>
      <c r="T606" s="268">
        <f>IF('Dry_Litterbag Placem_Collection'!G167="","",'Dry_Litterbag Placem_Collection'!G167)</f>
        <v>43009</v>
      </c>
      <c r="U606" s="269">
        <f t="shared" si="45"/>
        <v>69</v>
      </c>
      <c r="V606" s="267">
        <f t="shared" si="48"/>
        <v>1.0542</v>
      </c>
      <c r="W606" s="267">
        <f t="shared" si="49"/>
        <v>1.0562326725084503</v>
      </c>
      <c r="X606" s="271">
        <f>IFERROR(INDEX(Rainfall_Dry!$O$2:$O$217,MATCH(B606, Rainfall_Dry!$A$2:$A$217,0)),"")</f>
        <v>162.634207253</v>
      </c>
      <c r="Y606" s="260">
        <v>21.96</v>
      </c>
      <c r="Z606" s="260">
        <v>4.9199999999999982</v>
      </c>
      <c r="AA606" s="260">
        <v>73.12</v>
      </c>
      <c r="AB606" s="261" t="s">
        <v>2670</v>
      </c>
      <c r="AC606" s="260">
        <v>5.2416954164613099</v>
      </c>
      <c r="AD606">
        <f>IF('WetLitterbags placem_collection'!AB167="","",'WetLitterbags placem_collection'!AB167)</f>
        <v>10.4</v>
      </c>
      <c r="AE606">
        <f>IF('WetLitterbags placem_collection'!Z167="","",'WetLitterbags placem_collection'!Z167)</f>
        <v>13.8</v>
      </c>
      <c r="AF606" s="24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71">
        <f>IFERROR(AVERAGE('Dry_Litterbag Placem_Collection'!N167,'Dry_Litterbag Placem_Collection'!Q167),"")</f>
        <v>32.049999999999997</v>
      </c>
      <c r="AJ606" s="270">
        <f>INDEX(Coordinates!$B$2:$B$197,MATCH(G606,Coordinates!$J$2:$J$197,0))</f>
        <v>-2.2724750170000001</v>
      </c>
      <c r="AK606" s="270">
        <f>INDEX(Coordinates!$C$2:$C$197,MATCH(G606,Coordinates!$J$2:$J$197,0))</f>
        <v>34.02334501</v>
      </c>
      <c r="AL606" s="270" t="str">
        <f>IF(ISNUMBER(SEARCH("C", 'Dry_Litterbag Placem_Collection'!U167)),"YES","NO")</f>
        <v>NO</v>
      </c>
      <c r="AM606" s="270" t="str">
        <f>IF(ISNUMBER(SEARCH("H", 'Dry_Litterbag Placem_Collection'!U167)),"YES","NO")</f>
        <v>NO</v>
      </c>
      <c r="AN606" s="270" t="str">
        <f>IF(ISNUMBER(SEARCH("R", 'Dry_Litterbag Placem_Collection'!U167)),"YES","NO")</f>
        <v>NO</v>
      </c>
    </row>
    <row r="607" spans="1:40" ht="15" customHeight="1">
      <c r="A607" s="262" t="s">
        <v>2659</v>
      </c>
      <c r="B607" s="263">
        <f>'Dry_Litterbag Placem_Collection'!A168</f>
        <v>166</v>
      </c>
      <c r="C607" s="263" t="str">
        <f>'Dry_Litterbag Placem_Collection'!B168</f>
        <v>Handajega</v>
      </c>
      <c r="D607" s="263" t="s">
        <v>2659</v>
      </c>
      <c r="E607" s="263" t="s">
        <v>2661</v>
      </c>
      <c r="F607" s="263">
        <v>1</v>
      </c>
      <c r="G607" s="264" t="str">
        <f>'Dry_Litterbag Placem_Collection'!C168</f>
        <v>Wet_W1_T6</v>
      </c>
      <c r="H607" s="273" t="s">
        <v>3651</v>
      </c>
      <c r="I607" s="266" t="s">
        <v>1147</v>
      </c>
      <c r="J607" s="263" t="str">
        <f>IF(ISBLANK('Dry_Litterbag Placem_Collection'!L168),"","G"&amp;""&amp;'Dry_Litterbag Placem_Collection'!L168)</f>
        <v>G409</v>
      </c>
      <c r="K607" s="267">
        <f>IFERROR(INDEX('Green_rooibos initial weight'!$C$5:$C$1749,MATCH(J607, 'Green_rooibos initial weight'!$A$5:$A$1749,0)),"")</f>
        <v>1.968</v>
      </c>
      <c r="L607" s="267">
        <f>IFERROR(K607-(TBIcalc!$Q$9+TBIcalc!$Q$10),"")</f>
        <v>1.7181999999999999</v>
      </c>
      <c r="M607" s="391">
        <f>AVERAGE(Ashed_controlls!$K$2:$K$11)</f>
        <v>5.5147656768714146</v>
      </c>
      <c r="N607" s="267">
        <f t="shared" si="46"/>
        <v>1.6234452961399952</v>
      </c>
      <c r="O607" s="267">
        <f>IF(IFERROR(INDEX('Both teabags AfterDry'!$D$3:$D$900,MATCH(J607,'Both teabags AfterDry'!$A$3:$A$900,0)),"")="","",(IFERROR(INDEX('Both teabags AfterDry'!$D$3:$D$900,MATCH(J607,'Both teabags AfterDry'!$A$3:$A$900,0)),"")))</f>
        <v>0.77039999999999997</v>
      </c>
      <c r="P607" s="267">
        <f>IFERROR(IF(O607&gt;0,O607-(TBIcalc!$Q$9),""),"")</f>
        <v>0.61979999999999991</v>
      </c>
      <c r="Q607" s="278">
        <f>IFERROR(INDEX('Ashed teabags dry'!$K$2:$K$825,MATCH(J607,'Ashed teabags dry'!$A$2:$A$825,0)),"")</f>
        <v>23.019571295433156</v>
      </c>
      <c r="R607" s="278">
        <f t="shared" si="47"/>
        <v>0.47712469711090522</v>
      </c>
      <c r="S607" s="268">
        <f>'Dry_Litterbag Placem_Collection'!E168</f>
        <v>42940</v>
      </c>
      <c r="T607" s="268">
        <f>IF('Dry_Litterbag Placem_Collection'!G168="","",'Dry_Litterbag Placem_Collection'!G168)</f>
        <v>43009</v>
      </c>
      <c r="U607" s="269">
        <f t="shared" si="45"/>
        <v>69</v>
      </c>
      <c r="V607" s="267">
        <f t="shared" si="48"/>
        <v>1.0984</v>
      </c>
      <c r="W607" s="267">
        <f t="shared" si="49"/>
        <v>1.1463205990290901</v>
      </c>
      <c r="X607" s="271">
        <f>IFERROR(INDEX(Rainfall_Dry!$O$2:$O$217,MATCH(B607, Rainfall_Dry!$A$2:$A$217,0)),"")</f>
        <v>162.634207253</v>
      </c>
      <c r="Y607" s="260">
        <v>21.96</v>
      </c>
      <c r="Z607" s="260">
        <v>4.9199999999999982</v>
      </c>
      <c r="AA607" s="260">
        <v>73.12</v>
      </c>
      <c r="AB607" s="261" t="s">
        <v>2670</v>
      </c>
      <c r="AC607" s="260">
        <v>6.2416954164613099</v>
      </c>
      <c r="AD607">
        <f>IF('WetLitterbags placem_collection'!AB168="","",'WetLitterbags placem_collection'!AB168)</f>
        <v>2.1</v>
      </c>
      <c r="AE607">
        <f>IF('WetLitterbags placem_collection'!Z168="","",'WetLitterbags placem_collection'!Z168)</f>
        <v>4.7</v>
      </c>
      <c r="AF607" s="24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71">
        <f>IFERROR(AVERAGE('Dry_Litterbag Placem_Collection'!N168,'Dry_Litterbag Placem_Collection'!Q168),"")</f>
        <v>33.25</v>
      </c>
      <c r="AJ607" s="270">
        <f>INDEX(Coordinates!$B$2:$B$197,MATCH(G607,Coordinates!$J$2:$J$197,0))</f>
        <v>-2.2725490289999999</v>
      </c>
      <c r="AK607" s="270">
        <f>INDEX(Coordinates!$C$2:$C$197,MATCH(G607,Coordinates!$J$2:$J$197,0))</f>
        <v>34.022886020000001</v>
      </c>
      <c r="AL607" s="270" t="str">
        <f>IF(ISNUMBER(SEARCH("C", 'Dry_Litterbag Placem_Collection'!U168)),"YES","NO")</f>
        <v>NO</v>
      </c>
      <c r="AM607" s="270" t="str">
        <f>IF(ISNUMBER(SEARCH("H", 'Dry_Litterbag Placem_Collection'!U168)),"YES","NO")</f>
        <v>NO</v>
      </c>
      <c r="AN607" s="270" t="str">
        <f>IF(ISNUMBER(SEARCH("R", 'Dry_Litterbag Placem_Collection'!U168)),"YES","NO")</f>
        <v>NO</v>
      </c>
    </row>
    <row r="608" spans="1:40" ht="15" customHeight="1">
      <c r="A608" s="262" t="s">
        <v>2659</v>
      </c>
      <c r="B608" s="263">
        <f>'Dry_Litterbag Placem_Collection'!A169</f>
        <v>167</v>
      </c>
      <c r="C608" s="263" t="str">
        <f>'Dry_Litterbag Placem_Collection'!B169</f>
        <v>Handajega</v>
      </c>
      <c r="D608" s="263" t="s">
        <v>2659</v>
      </c>
      <c r="E608" s="263" t="s">
        <v>2661</v>
      </c>
      <c r="F608" s="263">
        <v>1</v>
      </c>
      <c r="G608" s="264" t="str">
        <f>'Dry_Litterbag Placem_Collection'!C169</f>
        <v>Wet_W1_T7</v>
      </c>
      <c r="H608" s="273" t="s">
        <v>3651</v>
      </c>
      <c r="I608" s="266" t="s">
        <v>1147</v>
      </c>
      <c r="J608" s="263" t="str">
        <f>IF(ISBLANK('Dry_Litterbag Placem_Collection'!L169),"","G"&amp;""&amp;'Dry_Litterbag Placem_Collection'!L169)</f>
        <v/>
      </c>
      <c r="K608" s="267" t="str">
        <f>IFERROR(INDEX('Green_rooibos initial weight'!$C$5:$C$1749,MATCH(J608, 'Green_rooibos initial weight'!$A$5:$A$1749,0)),"")</f>
        <v/>
      </c>
      <c r="L608" s="267" t="str">
        <f>IFERROR(K608-(TBIcalc!$Q$9+TBIcalc!$Q$10),"")</f>
        <v/>
      </c>
      <c r="M608" s="391">
        <f>AVERAGE(Ashed_controlls!$K$2:$K$11)</f>
        <v>5.5147656768714146</v>
      </c>
      <c r="N608" s="267" t="str">
        <f t="shared" si="46"/>
        <v/>
      </c>
      <c r="O608" s="267" t="str">
        <f>IF(IFERROR(INDEX('Both teabags AfterDry'!$D$3:$D$900,MATCH(J608,'Both teabags AfterDry'!$A$3:$A$900,0)),"")="","",(IFERROR(INDEX('Both teabags AfterDry'!$D$3:$D$900,MATCH(J608,'Both teabags AfterDry'!$A$3:$A$900,0)),"")))</f>
        <v/>
      </c>
      <c r="P608" s="267" t="str">
        <f>IFERROR(IF(O608&gt;0,O608-(TBIcalc!$Q$9),""),"")</f>
        <v/>
      </c>
      <c r="Q608" s="278" t="str">
        <f>IFERROR(INDEX('Ashed teabags dry'!$K$2:$K$825,MATCH(J608,'Ashed teabags dry'!$A$2:$A$825,0)),"")</f>
        <v/>
      </c>
      <c r="R608" s="278" t="str">
        <f t="shared" si="47"/>
        <v/>
      </c>
      <c r="S608" s="268">
        <f>'Dry_Litterbag Placem_Collection'!E169</f>
        <v>0</v>
      </c>
      <c r="T608" s="268" t="str">
        <f>IF('Dry_Litterbag Placem_Collection'!G169="","",'Dry_Litterbag Placem_Collection'!G169)</f>
        <v/>
      </c>
      <c r="U608" s="269" t="str">
        <f t="shared" si="45"/>
        <v/>
      </c>
      <c r="V608" s="267" t="str">
        <f t="shared" si="48"/>
        <v/>
      </c>
      <c r="W608" s="267" t="str">
        <f t="shared" si="49"/>
        <v/>
      </c>
      <c r="X608" s="271" t="str">
        <f>IFERROR(INDEX(Rainfall_Dry!$O$2:$O$217,MATCH(B608, Rainfall_Dry!$A$2:$A$217,0)),"")</f>
        <v/>
      </c>
      <c r="Y608" s="260">
        <v>21.96</v>
      </c>
      <c r="Z608" s="260">
        <v>4.9199999999999982</v>
      </c>
      <c r="AA608" s="260">
        <v>73.12</v>
      </c>
      <c r="AB608" s="261" t="s">
        <v>2670</v>
      </c>
      <c r="AC608" s="260">
        <v>7.2416954164613099</v>
      </c>
      <c r="AD608">
        <f>IF('WetLitterbags placem_collection'!AB169="","",'WetLitterbags placem_collection'!AB169)</f>
        <v>5.6</v>
      </c>
      <c r="AE608">
        <f>IF('WetLitterbags placem_collection'!Z169="","",'WetLitterbags placem_collection'!Z169)</f>
        <v>4.2</v>
      </c>
      <c r="AF608" s="24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71" t="str">
        <f>IFERROR(AVERAGE('Dry_Litterbag Placem_Collection'!N169,'Dry_Litterbag Placem_Collection'!Q169),"")</f>
        <v/>
      </c>
      <c r="AJ608" s="270">
        <f>INDEX(Coordinates!$B$2:$B$197,MATCH(G608,Coordinates!$J$2:$J$197,0))</f>
        <v>-2.2729950310000002</v>
      </c>
      <c r="AK608" s="270">
        <f>INDEX(Coordinates!$C$2:$C$197,MATCH(G608,Coordinates!$J$2:$J$197,0))</f>
        <v>34.022923990000002</v>
      </c>
      <c r="AL608" s="270" t="str">
        <f>IF(ISNUMBER(SEARCH("C", 'Dry_Litterbag Placem_Collection'!U169)),"YES","NO")</f>
        <v>NO</v>
      </c>
      <c r="AM608" s="270" t="str">
        <f>IF(ISNUMBER(SEARCH("H", 'Dry_Litterbag Placem_Collection'!U169)),"YES","NO")</f>
        <v>NO</v>
      </c>
      <c r="AN608" s="270" t="str">
        <f>IF(ISNUMBER(SEARCH("R", 'Dry_Litterbag Placem_Collection'!U169)),"YES","NO")</f>
        <v>NO</v>
      </c>
    </row>
    <row r="609" spans="1:40" ht="15" customHeight="1">
      <c r="A609" s="262" t="s">
        <v>2659</v>
      </c>
      <c r="B609" s="263">
        <f>'Dry_Litterbag Placem_Collection'!A170</f>
        <v>168</v>
      </c>
      <c r="C609" s="263" t="str">
        <f>'Dry_Litterbag Placem_Collection'!B170</f>
        <v>Handajega</v>
      </c>
      <c r="D609" s="263" t="s">
        <v>2659</v>
      </c>
      <c r="E609" s="263" t="s">
        <v>2661</v>
      </c>
      <c r="F609" s="263">
        <v>1</v>
      </c>
      <c r="G609" s="264" t="str">
        <f>'Dry_Litterbag Placem_Collection'!C170</f>
        <v>Wet_W1_T8</v>
      </c>
      <c r="H609" s="273" t="s">
        <v>3651</v>
      </c>
      <c r="I609" s="266" t="s">
        <v>1147</v>
      </c>
      <c r="J609" s="263" t="str">
        <f>IF(ISBLANK('Dry_Litterbag Placem_Collection'!L170),"","G"&amp;""&amp;'Dry_Litterbag Placem_Collection'!L170)</f>
        <v>G304</v>
      </c>
      <c r="K609" s="267">
        <f>IFERROR(INDEX('Green_rooibos initial weight'!$C$5:$C$1749,MATCH(J609, 'Green_rooibos initial weight'!$A$5:$A$1749,0)),"")</f>
        <v>1.9490000000000001</v>
      </c>
      <c r="L609" s="267">
        <f>IFERROR(K609-(TBIcalc!$Q$9+TBIcalc!$Q$10),"")</f>
        <v>1.6992</v>
      </c>
      <c r="M609" s="391">
        <f>AVERAGE(Ashed_controlls!$K$2:$K$11)</f>
        <v>5.5147656768714146</v>
      </c>
      <c r="N609" s="267">
        <f t="shared" si="46"/>
        <v>1.6054931016186009</v>
      </c>
      <c r="O609" s="267" t="str">
        <f>IF(IFERROR(INDEX('Both teabags AfterDry'!$D$3:$D$900,MATCH(J609,'Both teabags AfterDry'!$A$3:$A$900,0)),"")="","",(IFERROR(INDEX('Both teabags AfterDry'!$D$3:$D$900,MATCH(J609,'Both teabags AfterDry'!$A$3:$A$900,0)),"")))</f>
        <v/>
      </c>
      <c r="P609" s="267" t="str">
        <f>IFERROR(IF(O609&gt;0,O609-(TBIcalc!$Q$9),""),"")</f>
        <v/>
      </c>
      <c r="Q609" s="278" t="str">
        <f>IFERROR(INDEX('Ashed teabags dry'!$K$2:$K$825,MATCH(J609,'Ashed teabags dry'!$A$2:$A$825,0)),"")</f>
        <v/>
      </c>
      <c r="R609" s="278" t="str">
        <f t="shared" si="47"/>
        <v/>
      </c>
      <c r="S609" s="268">
        <f>'Dry_Litterbag Placem_Collection'!E170</f>
        <v>42940</v>
      </c>
      <c r="T609" s="268">
        <f>IF('Dry_Litterbag Placem_Collection'!G170="","",'Dry_Litterbag Placem_Collection'!G170)</f>
        <v>43009</v>
      </c>
      <c r="U609" s="269">
        <f t="shared" si="45"/>
        <v>69</v>
      </c>
      <c r="V609" s="267" t="str">
        <f t="shared" si="48"/>
        <v/>
      </c>
      <c r="W609" s="267" t="str">
        <f t="shared" si="49"/>
        <v/>
      </c>
      <c r="X609" s="271">
        <f>IFERROR(INDEX(Rainfall_Dry!$O$2:$O$217,MATCH(B609, Rainfall_Dry!$A$2:$A$217,0)),"")</f>
        <v>162.634207253</v>
      </c>
      <c r="Y609" s="260">
        <v>21.96</v>
      </c>
      <c r="Z609" s="260">
        <v>4.9199999999999982</v>
      </c>
      <c r="AA609" s="260">
        <v>73.12</v>
      </c>
      <c r="AB609" s="261" t="s">
        <v>2670</v>
      </c>
      <c r="AC609" s="260">
        <v>8.2416954164613099</v>
      </c>
      <c r="AD609">
        <f>IF('WetLitterbags placem_collection'!AB170="","",'WetLitterbags placem_collection'!AB170)</f>
        <v>2.4</v>
      </c>
      <c r="AE609">
        <f>IF('WetLitterbags placem_collection'!Z170="","",'WetLitterbags placem_collection'!Z170)</f>
        <v>46</v>
      </c>
      <c r="AF609" s="24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71">
        <f>IFERROR(AVERAGE('Dry_Litterbag Placem_Collection'!N170,'Dry_Litterbag Placem_Collection'!Q170),"")</f>
        <v>30.15</v>
      </c>
      <c r="AJ609" s="270">
        <f>INDEX(Coordinates!$B$2:$B$197,MATCH(G609,Coordinates!$J$2:$J$197,0))</f>
        <v>-2.2729129719999999</v>
      </c>
      <c r="AK609" s="270">
        <f>INDEX(Coordinates!$C$2:$C$197,MATCH(G609,Coordinates!$J$2:$J$197,0))</f>
        <v>34.023350039999997</v>
      </c>
      <c r="AL609" s="270" t="str">
        <f>IF(ISNUMBER(SEARCH("C", 'Dry_Litterbag Placem_Collection'!U170)),"YES","NO")</f>
        <v>NO</v>
      </c>
      <c r="AM609" s="270" t="str">
        <f>IF(ISNUMBER(SEARCH("H", 'Dry_Litterbag Placem_Collection'!U170)),"YES","NO")</f>
        <v>NO</v>
      </c>
      <c r="AN609" s="270" t="str">
        <f>IF(ISNUMBER(SEARCH("R", 'Dry_Litterbag Placem_Collection'!U170)),"YES","NO")</f>
        <v>NO</v>
      </c>
    </row>
    <row r="610" spans="1:40" ht="15" customHeight="1">
      <c r="A610" s="262" t="s">
        <v>2659</v>
      </c>
      <c r="B610" s="263">
        <f>'Dry_Litterbag Placem_Collection'!A171</f>
        <v>169</v>
      </c>
      <c r="C610" s="263" t="str">
        <f>'Dry_Litterbag Placem_Collection'!B171</f>
        <v>Handajega</v>
      </c>
      <c r="D610" s="263" t="s">
        <v>2659</v>
      </c>
      <c r="E610" s="263" t="s">
        <v>2661</v>
      </c>
      <c r="F610" s="263">
        <v>2</v>
      </c>
      <c r="G610" s="264" t="str">
        <f>'Dry_Litterbag Placem_Collection'!C171</f>
        <v>Wet_W2_T1</v>
      </c>
      <c r="H610" s="273" t="s">
        <v>3651</v>
      </c>
      <c r="I610" s="266" t="s">
        <v>1147</v>
      </c>
      <c r="J610" s="263" t="str">
        <f>IF(ISBLANK('Dry_Litterbag Placem_Collection'!L171),"","G"&amp;""&amp;'Dry_Litterbag Placem_Collection'!L171)</f>
        <v>G135</v>
      </c>
      <c r="K610" s="267">
        <f>IFERROR(INDEX('Green_rooibos initial weight'!$C$5:$C$1749,MATCH(J610, 'Green_rooibos initial weight'!$A$5:$A$1749,0)),"")</f>
        <v>2.0049999999999999</v>
      </c>
      <c r="L610" s="267">
        <f>IFERROR(K610-(TBIcalc!$Q$9+TBIcalc!$Q$10),"")</f>
        <v>1.7551999999999999</v>
      </c>
      <c r="M610" s="391">
        <f>AVERAGE(Ashed_controlls!$K$2:$K$11)</f>
        <v>5.5147656768714146</v>
      </c>
      <c r="N610" s="267">
        <f t="shared" si="46"/>
        <v>1.6584048328395529</v>
      </c>
      <c r="O610" s="267">
        <f>IF(IFERROR(INDEX('Both teabags AfterDry'!$D$3:$D$900,MATCH(J610,'Both teabags AfterDry'!$A$3:$A$900,0)),"")="","",(IFERROR(INDEX('Both teabags AfterDry'!$D$3:$D$900,MATCH(J610,'Both teabags AfterDry'!$A$3:$A$900,0)),"")))</f>
        <v>0.78129999999999999</v>
      </c>
      <c r="P610" s="267">
        <f>IFERROR(IF(O610&gt;0,O610-(TBIcalc!$Q$9),""),"")</f>
        <v>0.63070000000000004</v>
      </c>
      <c r="Q610" s="278">
        <f>IFERROR(INDEX('Ashed teabags dry'!$K$2:$K$825,MATCH(J610,'Ashed teabags dry'!$A$2:$A$825,0)),"")</f>
        <v>21.873514027579272</v>
      </c>
      <c r="R610" s="278">
        <f t="shared" si="47"/>
        <v>0.49274374702805757</v>
      </c>
      <c r="S610" s="268">
        <f>'Dry_Litterbag Placem_Collection'!E171</f>
        <v>42940</v>
      </c>
      <c r="T610" s="268">
        <f>IF('Dry_Litterbag Placem_Collection'!G171="","",'Dry_Litterbag Placem_Collection'!G171)</f>
        <v>43009</v>
      </c>
      <c r="U610" s="269">
        <f t="shared" si="45"/>
        <v>69</v>
      </c>
      <c r="V610" s="267">
        <f t="shared" si="48"/>
        <v>1.1244999999999998</v>
      </c>
      <c r="W610" s="267">
        <f t="shared" si="49"/>
        <v>1.1656610858114953</v>
      </c>
      <c r="X610" s="271">
        <f>IFERROR(INDEX(Rainfall_Dry!$O$2:$O$217,MATCH(B610, Rainfall_Dry!$A$2:$A$217,0)),"")</f>
        <v>162.634207253</v>
      </c>
      <c r="Y610" s="260">
        <v>23.96</v>
      </c>
      <c r="Z610" s="260">
        <v>4.9199999999999982</v>
      </c>
      <c r="AA610" s="260">
        <v>71.12</v>
      </c>
      <c r="AB610" s="261" t="s">
        <v>2670</v>
      </c>
      <c r="AC610" s="260">
        <v>3.30913750616067</v>
      </c>
      <c r="AD610">
        <f>IF('WetLitterbags placem_collection'!AB171="","",'WetLitterbags placem_collection'!AB171)</f>
        <v>8.1999999999999993</v>
      </c>
      <c r="AE610">
        <f>IF('WetLitterbags placem_collection'!Z171="","",'WetLitterbags placem_collection'!Z171)</f>
        <v>11.4</v>
      </c>
      <c r="AF610" s="24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71">
        <f>IFERROR(AVERAGE('Dry_Litterbag Placem_Collection'!N171,'Dry_Litterbag Placem_Collection'!Q171),"")</f>
        <v>35.049999999999997</v>
      </c>
      <c r="AJ610" s="270">
        <f>INDEX(Coordinates!$B$2:$B$197,MATCH(G610,Coordinates!$J$2:$J$197,0))</f>
        <v>-2.2784290180000002</v>
      </c>
      <c r="AK610" s="270">
        <f>INDEX(Coordinates!$C$2:$C$197,MATCH(G610,Coordinates!$J$2:$J$197,0))</f>
        <v>34.024240030000001</v>
      </c>
      <c r="AL610" s="270" t="str">
        <f>IF(ISNUMBER(SEARCH("C", 'Dry_Litterbag Placem_Collection'!U171)),"YES","NO")</f>
        <v>NO</v>
      </c>
      <c r="AM610" s="270" t="str">
        <f>IF(ISNUMBER(SEARCH("H", 'Dry_Litterbag Placem_Collection'!U171)),"YES","NO")</f>
        <v>NO</v>
      </c>
      <c r="AN610" s="270" t="str">
        <f>IF(ISNUMBER(SEARCH("R", 'Dry_Litterbag Placem_Collection'!U171)),"YES","NO")</f>
        <v>YES</v>
      </c>
    </row>
    <row r="611" spans="1:40" ht="15" customHeight="1">
      <c r="A611" s="262" t="s">
        <v>2659</v>
      </c>
      <c r="B611" s="263">
        <f>'Dry_Litterbag Placem_Collection'!A172</f>
        <v>170</v>
      </c>
      <c r="C611" s="263" t="str">
        <f>'Dry_Litterbag Placem_Collection'!B172</f>
        <v>Handajega</v>
      </c>
      <c r="D611" s="263" t="s">
        <v>2659</v>
      </c>
      <c r="E611" s="263" t="s">
        <v>2661</v>
      </c>
      <c r="F611" s="263">
        <v>2</v>
      </c>
      <c r="G611" s="264" t="str">
        <f>'Dry_Litterbag Placem_Collection'!C172</f>
        <v>Wet_W2_T2</v>
      </c>
      <c r="H611" s="273" t="s">
        <v>3651</v>
      </c>
      <c r="I611" s="266" t="s">
        <v>1147</v>
      </c>
      <c r="J611" s="263" t="str">
        <f>IF(ISBLANK('Dry_Litterbag Placem_Collection'!L172),"","G"&amp;""&amp;'Dry_Litterbag Placem_Collection'!L172)</f>
        <v>G515</v>
      </c>
      <c r="K611" s="267">
        <f>IFERROR(INDEX('Green_rooibos initial weight'!$C$5:$C$1749,MATCH(J611, 'Green_rooibos initial weight'!$A$5:$A$1749,0)),"")</f>
        <v>1.9890000000000001</v>
      </c>
      <c r="L611" s="267">
        <f>IFERROR(K611-(TBIcalc!$Q$9+TBIcalc!$Q$10),"")</f>
        <v>1.7392000000000001</v>
      </c>
      <c r="M611" s="391">
        <f>AVERAGE(Ashed_controlls!$K$2:$K$11)</f>
        <v>5.5147656768714146</v>
      </c>
      <c r="N611" s="267">
        <f t="shared" si="46"/>
        <v>1.6432871953478525</v>
      </c>
      <c r="O611" s="267">
        <f>IF(IFERROR(INDEX('Both teabags AfterDry'!$D$3:$D$900,MATCH(J611,'Both teabags AfterDry'!$A$3:$A$900,0)),"")="","",(IFERROR(INDEX('Both teabags AfterDry'!$D$3:$D$900,MATCH(J611,'Both teabags AfterDry'!$A$3:$A$900,0)),"")))</f>
        <v>0.77959999999999996</v>
      </c>
      <c r="P611" s="267">
        <f>IFERROR(IF(O611&gt;0,O611-(TBIcalc!$Q$9),""),"")</f>
        <v>0.629</v>
      </c>
      <c r="Q611" s="278">
        <f>IFERROR(INDEX('Ashed teabags dry'!$K$2:$K$825,MATCH(J611,'Ashed teabags dry'!$A$2:$A$825,0)),"")</f>
        <v>24.595469255663417</v>
      </c>
      <c r="R611" s="278">
        <f t="shared" si="47"/>
        <v>0.47429449838187709</v>
      </c>
      <c r="S611" s="268">
        <f>'Dry_Litterbag Placem_Collection'!E172</f>
        <v>42940</v>
      </c>
      <c r="T611" s="268">
        <f>IF('Dry_Litterbag Placem_Collection'!G172="","",'Dry_Litterbag Placem_Collection'!G172)</f>
        <v>43009</v>
      </c>
      <c r="U611" s="269">
        <f t="shared" si="45"/>
        <v>69</v>
      </c>
      <c r="V611" s="267">
        <f t="shared" si="48"/>
        <v>1.1102000000000001</v>
      </c>
      <c r="W611" s="267">
        <f t="shared" si="49"/>
        <v>1.1689926969659754</v>
      </c>
      <c r="X611" s="271">
        <f>IFERROR(INDEX(Rainfall_Dry!$O$2:$O$217,MATCH(B611, Rainfall_Dry!$A$2:$A$217,0)),"")</f>
        <v>162.634207253</v>
      </c>
      <c r="Y611" s="260">
        <v>23.96</v>
      </c>
      <c r="Z611" s="260">
        <v>4.9199999999999982</v>
      </c>
      <c r="AA611" s="260">
        <v>71.12</v>
      </c>
      <c r="AB611" s="261" t="s">
        <v>2670</v>
      </c>
      <c r="AC611" s="260">
        <v>4.3091375061606696</v>
      </c>
      <c r="AD611">
        <f>IF('WetLitterbags placem_collection'!AB172="","",'WetLitterbags placem_collection'!AB172)</f>
        <v>7.7</v>
      </c>
      <c r="AE611">
        <f>IF('WetLitterbags placem_collection'!Z172="","",'WetLitterbags placem_collection'!Z172)</f>
        <v>15.8</v>
      </c>
      <c r="AF611" s="24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71">
        <f>IFERROR(AVERAGE('Dry_Litterbag Placem_Collection'!N172,'Dry_Litterbag Placem_Collection'!Q172),"")</f>
        <v>33.950000000000003</v>
      </c>
      <c r="AJ611" s="270">
        <f>INDEX(Coordinates!$B$2:$B$197,MATCH(G611,Coordinates!$J$2:$J$197,0))</f>
        <v>-2.2784629650000001</v>
      </c>
      <c r="AK611" s="270">
        <f>INDEX(Coordinates!$C$2:$C$197,MATCH(G611,Coordinates!$J$2:$J$197,0))</f>
        <v>34.024177999999999</v>
      </c>
      <c r="AL611" s="270" t="str">
        <f>IF(ISNUMBER(SEARCH("C", 'Dry_Litterbag Placem_Collection'!U172)),"YES","NO")</f>
        <v>NO</v>
      </c>
      <c r="AM611" s="270" t="str">
        <f>IF(ISNUMBER(SEARCH("H", 'Dry_Litterbag Placem_Collection'!U172)),"YES","NO")</f>
        <v>NO</v>
      </c>
      <c r="AN611" s="270" t="str">
        <f>IF(ISNUMBER(SEARCH("R", 'Dry_Litterbag Placem_Collection'!U172)),"YES","NO")</f>
        <v>YES</v>
      </c>
    </row>
    <row r="612" spans="1:40" ht="15" customHeight="1">
      <c r="A612" s="262" t="s">
        <v>2659</v>
      </c>
      <c r="B612" s="263">
        <f>'Dry_Litterbag Placem_Collection'!A173</f>
        <v>171</v>
      </c>
      <c r="C612" s="263" t="str">
        <f>'Dry_Litterbag Placem_Collection'!B173</f>
        <v>Handajega</v>
      </c>
      <c r="D612" s="263" t="s">
        <v>2659</v>
      </c>
      <c r="E612" s="263" t="s">
        <v>2661</v>
      </c>
      <c r="F612" s="263">
        <v>2</v>
      </c>
      <c r="G612" s="264" t="str">
        <f>'Dry_Litterbag Placem_Collection'!C173</f>
        <v>Wet_W2_T3</v>
      </c>
      <c r="H612" s="273" t="s">
        <v>3651</v>
      </c>
      <c r="I612" s="266" t="s">
        <v>1147</v>
      </c>
      <c r="J612" s="263" t="str">
        <f>IF(ISBLANK('Dry_Litterbag Placem_Collection'!L173),"","G"&amp;""&amp;'Dry_Litterbag Placem_Collection'!L173)</f>
        <v>G348</v>
      </c>
      <c r="K612" s="267">
        <f>IFERROR(INDEX('Green_rooibos initial weight'!$C$5:$C$1749,MATCH(J612, 'Green_rooibos initial weight'!$A$5:$A$1749,0)),"")</f>
        <v>2.0139999999999998</v>
      </c>
      <c r="L612" s="267">
        <f>IFERROR(K612-(TBIcalc!$Q$9+TBIcalc!$Q$10),"")</f>
        <v>1.7641999999999998</v>
      </c>
      <c r="M612" s="391">
        <f>AVERAGE(Ashed_controlls!$K$2:$K$11)</f>
        <v>5.5147656768714146</v>
      </c>
      <c r="N612" s="267">
        <f t="shared" si="46"/>
        <v>1.6669085039286342</v>
      </c>
      <c r="O612" s="267">
        <f>IF(IFERROR(INDEX('Both teabags AfterDry'!$D$3:$D$900,MATCH(J612,'Both teabags AfterDry'!$A$3:$A$900,0)),"")="","",(IFERROR(INDEX('Both teabags AfterDry'!$D$3:$D$900,MATCH(J612,'Both teabags AfterDry'!$A$3:$A$900,0)),"")))</f>
        <v>0.69310000000000005</v>
      </c>
      <c r="P612" s="267">
        <f>IFERROR(IF(O612&gt;0,O612-(TBIcalc!$Q$9),""),"")</f>
        <v>0.54249999999999998</v>
      </c>
      <c r="Q612" s="278">
        <f>IFERROR(INDEX('Ashed teabags dry'!$K$2:$K$825,MATCH(J612,'Ashed teabags dry'!$A$2:$A$825,0)),"")</f>
        <v>19.412878787879041</v>
      </c>
      <c r="R612" s="278">
        <f t="shared" si="47"/>
        <v>0.4371851325757562</v>
      </c>
      <c r="S612" s="268">
        <f>'Dry_Litterbag Placem_Collection'!E173</f>
        <v>42940</v>
      </c>
      <c r="T612" s="268">
        <f>IF('Dry_Litterbag Placem_Collection'!G173="","",'Dry_Litterbag Placem_Collection'!G173)</f>
        <v>43009</v>
      </c>
      <c r="U612" s="269">
        <f t="shared" si="45"/>
        <v>69</v>
      </c>
      <c r="V612" s="267">
        <f t="shared" si="48"/>
        <v>1.2216999999999998</v>
      </c>
      <c r="W612" s="267">
        <f t="shared" si="49"/>
        <v>1.2297233713528781</v>
      </c>
      <c r="X612" s="271">
        <f>IFERROR(INDEX(Rainfall_Dry!$O$2:$O$217,MATCH(B612, Rainfall_Dry!$A$2:$A$217,0)),"")</f>
        <v>162.634207253</v>
      </c>
      <c r="Y612" s="260">
        <v>23.96</v>
      </c>
      <c r="Z612" s="260">
        <v>4.9199999999999982</v>
      </c>
      <c r="AA612" s="260">
        <v>71.12</v>
      </c>
      <c r="AB612" s="261" t="s">
        <v>2670</v>
      </c>
      <c r="AC612" s="260">
        <v>5.3091375061606696</v>
      </c>
      <c r="AD612">
        <f>IF('WetLitterbags placem_collection'!AB173="","",'WetLitterbags placem_collection'!AB173)</f>
        <v>13.4</v>
      </c>
      <c r="AE612">
        <f>IF('WetLitterbags placem_collection'!Z173="","",'WetLitterbags placem_collection'!Z173)</f>
        <v>7.6</v>
      </c>
      <c r="AF612" s="24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71">
        <f>IFERROR(AVERAGE('Dry_Litterbag Placem_Collection'!N173,'Dry_Litterbag Placem_Collection'!Q173),"")</f>
        <v>33</v>
      </c>
      <c r="AJ612" s="270">
        <f>INDEX(Coordinates!$B$2:$B$197,MATCH(G612,Coordinates!$J$2:$J$197,0))</f>
        <v>-2.2785389889999998</v>
      </c>
      <c r="AK612" s="270">
        <f>INDEX(Coordinates!$C$2:$C$197,MATCH(G612,Coordinates!$J$2:$J$197,0))</f>
        <v>34.024371039999998</v>
      </c>
      <c r="AL612" s="270" t="str">
        <f>IF(ISNUMBER(SEARCH("C", 'Dry_Litterbag Placem_Collection'!U173)),"YES","NO")</f>
        <v>NO</v>
      </c>
      <c r="AM612" s="270" t="str">
        <f>IF(ISNUMBER(SEARCH("H", 'Dry_Litterbag Placem_Collection'!U173)),"YES","NO")</f>
        <v>NO</v>
      </c>
      <c r="AN612" s="270" t="str">
        <f>IF(ISNUMBER(SEARCH("R", 'Dry_Litterbag Placem_Collection'!U173)),"YES","NO")</f>
        <v>YES</v>
      </c>
    </row>
    <row r="613" spans="1:40" ht="15" customHeight="1">
      <c r="A613" s="262" t="s">
        <v>2659</v>
      </c>
      <c r="B613" s="263">
        <f>'Dry_Litterbag Placem_Collection'!A174</f>
        <v>172</v>
      </c>
      <c r="C613" s="263" t="str">
        <f>'Dry_Litterbag Placem_Collection'!B174</f>
        <v>Handajega</v>
      </c>
      <c r="D613" s="263" t="s">
        <v>2659</v>
      </c>
      <c r="E613" s="263" t="s">
        <v>2661</v>
      </c>
      <c r="F613" s="263">
        <v>2</v>
      </c>
      <c r="G613" s="264" t="str">
        <f>'Dry_Litterbag Placem_Collection'!C174</f>
        <v>Wet_W2_T4</v>
      </c>
      <c r="H613" s="273" t="s">
        <v>3651</v>
      </c>
      <c r="I613" s="266" t="s">
        <v>1147</v>
      </c>
      <c r="J613" s="263" t="str">
        <f>IF(ISBLANK('Dry_Litterbag Placem_Collection'!L174),"","G"&amp;""&amp;'Dry_Litterbag Placem_Collection'!L174)</f>
        <v/>
      </c>
      <c r="K613" s="267" t="str">
        <f>IFERROR(INDEX('Green_rooibos initial weight'!$C$5:$C$1749,MATCH(J613, 'Green_rooibos initial weight'!$A$5:$A$1749,0)),"")</f>
        <v/>
      </c>
      <c r="L613" s="267" t="str">
        <f>IFERROR(K613-(TBIcalc!$Q$9+TBIcalc!$Q$10),"")</f>
        <v/>
      </c>
      <c r="M613" s="391">
        <f>AVERAGE(Ashed_controlls!$K$2:$K$11)</f>
        <v>5.5147656768714146</v>
      </c>
      <c r="N613" s="267" t="str">
        <f t="shared" si="46"/>
        <v/>
      </c>
      <c r="O613" s="267" t="str">
        <f>IF(IFERROR(INDEX('Both teabags AfterDry'!$D$3:$D$900,MATCH(J613,'Both teabags AfterDry'!$A$3:$A$900,0)),"")="","",(IFERROR(INDEX('Both teabags AfterDry'!$D$3:$D$900,MATCH(J613,'Both teabags AfterDry'!$A$3:$A$900,0)),"")))</f>
        <v/>
      </c>
      <c r="P613" s="267" t="str">
        <f>IFERROR(IF(O613&gt;0,O613-(TBIcalc!$Q$9),""),"")</f>
        <v/>
      </c>
      <c r="Q613" s="278" t="str">
        <f>IFERROR(INDEX('Ashed teabags dry'!$K$2:$K$825,MATCH(J613,'Ashed teabags dry'!$A$2:$A$825,0)),"")</f>
        <v/>
      </c>
      <c r="R613" s="278" t="str">
        <f t="shared" si="47"/>
        <v/>
      </c>
      <c r="S613" s="268">
        <f>'Dry_Litterbag Placem_Collection'!E174</f>
        <v>0</v>
      </c>
      <c r="T613" s="268" t="str">
        <f>IF('Dry_Litterbag Placem_Collection'!G174="","",'Dry_Litterbag Placem_Collection'!G174)</f>
        <v/>
      </c>
      <c r="U613" s="269" t="str">
        <f t="shared" si="45"/>
        <v/>
      </c>
      <c r="V613" s="267" t="str">
        <f t="shared" si="48"/>
        <v/>
      </c>
      <c r="W613" s="267" t="str">
        <f t="shared" si="49"/>
        <v/>
      </c>
      <c r="X613" s="271" t="str">
        <f>IFERROR(INDEX(Rainfall_Dry!$O$2:$O$217,MATCH(B613, Rainfall_Dry!$A$2:$A$217,0)),"")</f>
        <v/>
      </c>
      <c r="Y613" s="260">
        <v>23.96</v>
      </c>
      <c r="Z613" s="260">
        <v>4.9199999999999982</v>
      </c>
      <c r="AA613" s="260">
        <v>71.12</v>
      </c>
      <c r="AB613" s="261" t="s">
        <v>2670</v>
      </c>
      <c r="AC613" s="260">
        <v>6.3091375061606696</v>
      </c>
      <c r="AD613">
        <f>IF('WetLitterbags placem_collection'!AB174="","",'WetLitterbags placem_collection'!AB174)</f>
        <v>3.3</v>
      </c>
      <c r="AE613">
        <f>IF('WetLitterbags placem_collection'!Z174="","",'WetLitterbags placem_collection'!Z174)</f>
        <v>28.4</v>
      </c>
      <c r="AF613" s="24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71" t="str">
        <f>IFERROR(AVERAGE('Dry_Litterbag Placem_Collection'!N174,'Dry_Litterbag Placem_Collection'!Q174),"")</f>
        <v/>
      </c>
      <c r="AJ613" s="270">
        <f>INDEX(Coordinates!$B$2:$B$197,MATCH(G613,Coordinates!$J$2:$J$197,0))</f>
        <v>-2.2781410160000002</v>
      </c>
      <c r="AK613" s="270">
        <f>INDEX(Coordinates!$C$2:$C$197,MATCH(G613,Coordinates!$J$2:$J$197,0))</f>
        <v>34.024136009999999</v>
      </c>
      <c r="AL613" s="270" t="str">
        <f>IF(ISNUMBER(SEARCH("C", 'Dry_Litterbag Placem_Collection'!U174)),"YES","NO")</f>
        <v>NO</v>
      </c>
      <c r="AM613" s="270" t="str">
        <f>IF(ISNUMBER(SEARCH("H", 'Dry_Litterbag Placem_Collection'!U174)),"YES","NO")</f>
        <v>NO</v>
      </c>
      <c r="AN613" s="270" t="str">
        <f>IF(ISNUMBER(SEARCH("R", 'Dry_Litterbag Placem_Collection'!U174)),"YES","NO")</f>
        <v>NO</v>
      </c>
    </row>
    <row r="614" spans="1:40" ht="15" customHeight="1">
      <c r="A614" s="262" t="s">
        <v>2659</v>
      </c>
      <c r="B614" s="263">
        <f>'Dry_Litterbag Placem_Collection'!A175</f>
        <v>173</v>
      </c>
      <c r="C614" s="263" t="str">
        <f>'Dry_Litterbag Placem_Collection'!B175</f>
        <v>Handajega</v>
      </c>
      <c r="D614" s="263" t="s">
        <v>2659</v>
      </c>
      <c r="E614" s="263" t="s">
        <v>2661</v>
      </c>
      <c r="F614" s="263">
        <v>2</v>
      </c>
      <c r="G614" s="264" t="str">
        <f>'Dry_Litterbag Placem_Collection'!C175</f>
        <v>Wet_W2_T5</v>
      </c>
      <c r="H614" s="273" t="s">
        <v>3651</v>
      </c>
      <c r="I614" s="266" t="s">
        <v>1147</v>
      </c>
      <c r="J614" s="263" t="str">
        <f>IF(ISBLANK('Dry_Litterbag Placem_Collection'!L175),"","G"&amp;""&amp;'Dry_Litterbag Placem_Collection'!L175)</f>
        <v>G307</v>
      </c>
      <c r="K614" s="267">
        <f>IFERROR(INDEX('Green_rooibos initial weight'!$C$5:$C$1749,MATCH(J614, 'Green_rooibos initial weight'!$A$5:$A$1749,0)),"")</f>
        <v>1.9810000000000001</v>
      </c>
      <c r="L614" s="267">
        <f>IFERROR(K614-(TBIcalc!$Q$9+TBIcalc!$Q$10),"")</f>
        <v>1.7312000000000001</v>
      </c>
      <c r="M614" s="391">
        <f>AVERAGE(Ashed_controlls!$K$2:$K$11)</f>
        <v>5.5147656768714146</v>
      </c>
      <c r="N614" s="267">
        <f t="shared" si="46"/>
        <v>1.6357283766020021</v>
      </c>
      <c r="O614" s="267" t="str">
        <f>IF(IFERROR(INDEX('Both teabags AfterDry'!$D$3:$D$900,MATCH(J614,'Both teabags AfterDry'!$A$3:$A$900,0)),"")="","",(IFERROR(INDEX('Both teabags AfterDry'!$D$3:$D$900,MATCH(J614,'Both teabags AfterDry'!$A$3:$A$900,0)),"")))</f>
        <v/>
      </c>
      <c r="P614" s="267" t="str">
        <f>IFERROR(IF(O614&gt;0,O614-(TBIcalc!$Q$9),""),"")</f>
        <v/>
      </c>
      <c r="Q614" s="278" t="str">
        <f>IFERROR(INDEX('Ashed teabags dry'!$K$2:$K$825,MATCH(J614,'Ashed teabags dry'!$A$2:$A$825,0)),"")</f>
        <v/>
      </c>
      <c r="R614" s="278" t="str">
        <f t="shared" si="47"/>
        <v/>
      </c>
      <c r="S614" s="268">
        <f>'Dry_Litterbag Placem_Collection'!E175</f>
        <v>42940</v>
      </c>
      <c r="T614" s="268">
        <f>IF('Dry_Litterbag Placem_Collection'!G175="","",'Dry_Litterbag Placem_Collection'!G175)</f>
        <v>43009</v>
      </c>
      <c r="U614" s="269">
        <f t="shared" si="45"/>
        <v>69</v>
      </c>
      <c r="V614" s="267" t="str">
        <f t="shared" si="48"/>
        <v/>
      </c>
      <c r="W614" s="267" t="str">
        <f t="shared" si="49"/>
        <v/>
      </c>
      <c r="X614" s="271">
        <f>IFERROR(INDEX(Rainfall_Dry!$O$2:$O$217,MATCH(B614, Rainfall_Dry!$A$2:$A$217,0)),"")</f>
        <v>162.634207253</v>
      </c>
      <c r="Y614" s="260">
        <v>23.96</v>
      </c>
      <c r="Z614" s="260">
        <v>4.9199999999999982</v>
      </c>
      <c r="AA614" s="260">
        <v>71.12</v>
      </c>
      <c r="AB614" s="261" t="s">
        <v>2670</v>
      </c>
      <c r="AC614" s="260">
        <v>7.3091375061606696</v>
      </c>
      <c r="AD614">
        <f>IF('WetLitterbags placem_collection'!AB175="","",'WetLitterbags placem_collection'!AB175)</f>
        <v>15.4</v>
      </c>
      <c r="AE614">
        <f>IF('WetLitterbags placem_collection'!Z175="","",'WetLitterbags placem_collection'!Z175)</f>
        <v>12.4</v>
      </c>
      <c r="AF614" s="24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71">
        <f>IFERROR(AVERAGE('Dry_Litterbag Placem_Collection'!N175,'Dry_Litterbag Placem_Collection'!Q175),"")</f>
        <v>34.049999999999997</v>
      </c>
      <c r="AJ614" s="270">
        <f>INDEX(Coordinates!$B$2:$B$197,MATCH(G614,Coordinates!$J$2:$J$197,0))</f>
        <v>-2.27856799</v>
      </c>
      <c r="AK614" s="270">
        <f>INDEX(Coordinates!$C$2:$C$197,MATCH(G614,Coordinates!$J$2:$J$197,0))</f>
        <v>34.023969970000003</v>
      </c>
      <c r="AL614" s="270" t="str">
        <f>IF(ISNUMBER(SEARCH("C", 'Dry_Litterbag Placem_Collection'!U175)),"YES","NO")</f>
        <v>NO</v>
      </c>
      <c r="AM614" s="270" t="str">
        <f>IF(ISNUMBER(SEARCH("H", 'Dry_Litterbag Placem_Collection'!U175)),"YES","NO")</f>
        <v>NO</v>
      </c>
      <c r="AN614" s="270" t="str">
        <f>IF(ISNUMBER(SEARCH("R", 'Dry_Litterbag Placem_Collection'!U175)),"YES","NO")</f>
        <v>NO</v>
      </c>
    </row>
    <row r="615" spans="1:40" ht="15" customHeight="1">
      <c r="A615" s="262" t="s">
        <v>2659</v>
      </c>
      <c r="B615" s="263">
        <f>'Dry_Litterbag Placem_Collection'!A176</f>
        <v>174</v>
      </c>
      <c r="C615" s="263" t="str">
        <f>'Dry_Litterbag Placem_Collection'!B176</f>
        <v>Handajega</v>
      </c>
      <c r="D615" s="263" t="s">
        <v>2659</v>
      </c>
      <c r="E615" s="263" t="s">
        <v>2661</v>
      </c>
      <c r="F615" s="263">
        <v>2</v>
      </c>
      <c r="G615" s="264" t="str">
        <f>'Dry_Litterbag Placem_Collection'!C176</f>
        <v>Wet_W2_T6</v>
      </c>
      <c r="H615" s="273" t="s">
        <v>3651</v>
      </c>
      <c r="I615" s="266" t="s">
        <v>1147</v>
      </c>
      <c r="J615" s="263" t="str">
        <f>IF(ISBLANK('Dry_Litterbag Placem_Collection'!L176),"","G"&amp;""&amp;'Dry_Litterbag Placem_Collection'!L176)</f>
        <v>G155</v>
      </c>
      <c r="K615" s="267">
        <f>IFERROR(INDEX('Green_rooibos initial weight'!$C$5:$C$1749,MATCH(J615, 'Green_rooibos initial weight'!$A$5:$A$1749,0)),"")</f>
        <v>2.0379999999999998</v>
      </c>
      <c r="L615" s="267">
        <f>IFERROR(K615-(TBIcalc!$Q$9+TBIcalc!$Q$10),"")</f>
        <v>1.7881999999999998</v>
      </c>
      <c r="M615" s="391">
        <f>AVERAGE(Ashed_controlls!$K$2:$K$11)</f>
        <v>5.5147656768714146</v>
      </c>
      <c r="N615" s="267">
        <f t="shared" si="46"/>
        <v>1.6895849601661852</v>
      </c>
      <c r="O615" s="267">
        <f>IF(IFERROR(INDEX('Both teabags AfterDry'!$D$3:$D$900,MATCH(J615,'Both teabags AfterDry'!$A$3:$A$900,0)),"")="","",(IFERROR(INDEX('Both teabags AfterDry'!$D$3:$D$900,MATCH(J615,'Both teabags AfterDry'!$A$3:$A$900,0)),"")))</f>
        <v>0.78239999999999998</v>
      </c>
      <c r="P615" s="267">
        <f>IFERROR(IF(O615&gt;0,O615-(TBIcalc!$Q$9),""),"")</f>
        <v>0.63179999999999992</v>
      </c>
      <c r="Q615" s="278">
        <f>IFERROR(INDEX('Ashed teabags dry'!$K$2:$K$825,MATCH(J615,'Ashed teabags dry'!$A$2:$A$825,0)),"")</f>
        <v>23.40527577937609</v>
      </c>
      <c r="R615" s="278">
        <f t="shared" si="47"/>
        <v>0.48392546762590183</v>
      </c>
      <c r="S615" s="268">
        <f>'Dry_Litterbag Placem_Collection'!E176</f>
        <v>42940</v>
      </c>
      <c r="T615" s="268">
        <f>IF('Dry_Litterbag Placem_Collection'!G176="","",'Dry_Litterbag Placem_Collection'!G176)</f>
        <v>43009</v>
      </c>
      <c r="U615" s="269">
        <f t="shared" si="45"/>
        <v>69</v>
      </c>
      <c r="V615" s="267">
        <f t="shared" si="48"/>
        <v>1.1563999999999999</v>
      </c>
      <c r="W615" s="267">
        <f t="shared" si="49"/>
        <v>1.2056594925402835</v>
      </c>
      <c r="X615" s="271">
        <f>IFERROR(INDEX(Rainfall_Dry!$O$2:$O$217,MATCH(B615, Rainfall_Dry!$A$2:$A$217,0)),"")</f>
        <v>162.634207253</v>
      </c>
      <c r="Y615" s="260">
        <v>23.96</v>
      </c>
      <c r="Z615" s="260">
        <v>4.9199999999999982</v>
      </c>
      <c r="AA615" s="260">
        <v>71.12</v>
      </c>
      <c r="AB615" s="261" t="s">
        <v>2670</v>
      </c>
      <c r="AC615" s="260">
        <v>8.3091375061606705</v>
      </c>
      <c r="AD615">
        <f>IF('WetLitterbags placem_collection'!AB176="","",'WetLitterbags placem_collection'!AB176)</f>
        <v>7.4</v>
      </c>
      <c r="AE615">
        <f>IF('WetLitterbags placem_collection'!Z176="","",'WetLitterbags placem_collection'!Z176)</f>
        <v>7.4</v>
      </c>
      <c r="AF615" s="24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71">
        <f>IFERROR(AVERAGE('Dry_Litterbag Placem_Collection'!N176,'Dry_Litterbag Placem_Collection'!Q176),"")</f>
        <v>33.200000000000003</v>
      </c>
      <c r="AJ615" s="270">
        <f>INDEX(Coordinates!$B$2:$B$197,MATCH(G615,Coordinates!$J$2:$J$197,0))</f>
        <v>-2.2786809780000001</v>
      </c>
      <c r="AK615" s="270">
        <f>INDEX(Coordinates!$C$2:$C$197,MATCH(G615,Coordinates!$J$2:$J$197,0))</f>
        <v>34.02434899</v>
      </c>
      <c r="AL615" s="270" t="str">
        <f>IF(ISNUMBER(SEARCH("C", 'Dry_Litterbag Placem_Collection'!U176)),"YES","NO")</f>
        <v>NO</v>
      </c>
      <c r="AM615" s="270" t="str">
        <f>IF(ISNUMBER(SEARCH("H", 'Dry_Litterbag Placem_Collection'!U176)),"YES","NO")</f>
        <v>NO</v>
      </c>
      <c r="AN615" s="270" t="str">
        <f>IF(ISNUMBER(SEARCH("R", 'Dry_Litterbag Placem_Collection'!U176)),"YES","NO")</f>
        <v>NO</v>
      </c>
    </row>
    <row r="616" spans="1:40" ht="15" customHeight="1">
      <c r="A616" s="262" t="s">
        <v>2659</v>
      </c>
      <c r="B616" s="263">
        <f>'Dry_Litterbag Placem_Collection'!A177</f>
        <v>175</v>
      </c>
      <c r="C616" s="263" t="str">
        <f>'Dry_Litterbag Placem_Collection'!B177</f>
        <v>Handajega</v>
      </c>
      <c r="D616" s="263" t="s">
        <v>2659</v>
      </c>
      <c r="E616" s="263" t="s">
        <v>2661</v>
      </c>
      <c r="F616" s="263">
        <v>2</v>
      </c>
      <c r="G616" s="264" t="str">
        <f>'Dry_Litterbag Placem_Collection'!C177</f>
        <v>Wet_W2_T7</v>
      </c>
      <c r="H616" s="273" t="s">
        <v>3651</v>
      </c>
      <c r="I616" s="266" t="s">
        <v>1147</v>
      </c>
      <c r="J616" s="263" t="str">
        <f>IF(ISBLANK('Dry_Litterbag Placem_Collection'!L177),"","G"&amp;""&amp;'Dry_Litterbag Placem_Collection'!L177)</f>
        <v>G719</v>
      </c>
      <c r="K616" s="267">
        <f>IFERROR(INDEX('Green_rooibos initial weight'!$C$5:$C$1749,MATCH(J616, 'Green_rooibos initial weight'!$A$5:$A$1749,0)),"")</f>
        <v>2.02</v>
      </c>
      <c r="L616" s="267">
        <f>IFERROR(K616-(TBIcalc!$Q$9+TBIcalc!$Q$10),"")</f>
        <v>1.7702</v>
      </c>
      <c r="M616" s="391">
        <f>AVERAGE(Ashed_controlls!$K$2:$K$11)</f>
        <v>5.5147656768714146</v>
      </c>
      <c r="N616" s="267">
        <f t="shared" si="46"/>
        <v>1.6725776179880223</v>
      </c>
      <c r="O616" s="267">
        <f>IF(IFERROR(INDEX('Both teabags AfterDry'!$D$3:$D$900,MATCH(J616,'Both teabags AfterDry'!$A$3:$A$900,0)),"")="","",(IFERROR(INDEX('Both teabags AfterDry'!$D$3:$D$900,MATCH(J616,'Both teabags AfterDry'!$A$3:$A$900,0)),"")))</f>
        <v>0.80269999999999997</v>
      </c>
      <c r="P616" s="267">
        <f>IFERROR(IF(O616&gt;0,O616-(TBIcalc!$Q$9),""),"")</f>
        <v>0.6520999999999999</v>
      </c>
      <c r="Q616" s="278">
        <f>IFERROR(INDEX('Ashed teabags dry'!$K$2:$K$825,MATCH(J616,'Ashed teabags dry'!$A$2:$A$825,0)),"")</f>
        <v>20.371275036638856</v>
      </c>
      <c r="R616" s="278">
        <f t="shared" si="47"/>
        <v>0.51925891548607794</v>
      </c>
      <c r="S616" s="268">
        <f>'Dry_Litterbag Placem_Collection'!E177</f>
        <v>42940</v>
      </c>
      <c r="T616" s="268">
        <f>IF('Dry_Litterbag Placem_Collection'!G177="","",'Dry_Litterbag Placem_Collection'!G177)</f>
        <v>43009</v>
      </c>
      <c r="U616" s="269">
        <f t="shared" si="45"/>
        <v>69</v>
      </c>
      <c r="V616" s="267">
        <f t="shared" si="48"/>
        <v>1.1181000000000001</v>
      </c>
      <c r="W616" s="267">
        <f t="shared" si="49"/>
        <v>1.1533187025019442</v>
      </c>
      <c r="X616" s="271">
        <f>IFERROR(INDEX(Rainfall_Dry!$O$2:$O$217,MATCH(B616, Rainfall_Dry!$A$2:$A$217,0)),"")</f>
        <v>162.634207253</v>
      </c>
      <c r="Y616" s="260">
        <v>23.96</v>
      </c>
      <c r="Z616" s="260">
        <v>4.9199999999999982</v>
      </c>
      <c r="AA616" s="260">
        <v>71.12</v>
      </c>
      <c r="AB616" s="261" t="s">
        <v>2670</v>
      </c>
      <c r="AC616" s="260">
        <v>9.3091375061606705</v>
      </c>
      <c r="AD616">
        <f>IF('WetLitterbags placem_collection'!AB177="","",'WetLitterbags placem_collection'!AB177)</f>
        <v>15.4</v>
      </c>
      <c r="AE616">
        <f>IF('WetLitterbags placem_collection'!Z177="","",'WetLitterbags placem_collection'!Z177)</f>
        <v>9.8000000000000007</v>
      </c>
      <c r="AF616" s="24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71">
        <f>IFERROR(AVERAGE('Dry_Litterbag Placem_Collection'!N177,'Dry_Litterbag Placem_Collection'!Q177),"")</f>
        <v>34.049999999999997</v>
      </c>
      <c r="AJ616" s="270">
        <f>INDEX(Coordinates!$B$2:$B$197,MATCH(G616,Coordinates!$J$2:$J$197,0))</f>
        <v>-2.2784219779999999</v>
      </c>
      <c r="AK616" s="270">
        <f>INDEX(Coordinates!$C$2:$C$197,MATCH(G616,Coordinates!$J$2:$J$197,0))</f>
        <v>34.024374979999997</v>
      </c>
      <c r="AL616" s="270" t="str">
        <f>IF(ISNUMBER(SEARCH("C", 'Dry_Litterbag Placem_Collection'!U177)),"YES","NO")</f>
        <v>NO</v>
      </c>
      <c r="AM616" s="270" t="str">
        <f>IF(ISNUMBER(SEARCH("H", 'Dry_Litterbag Placem_Collection'!U177)),"YES","NO")</f>
        <v>NO</v>
      </c>
      <c r="AN616" s="270" t="str">
        <f>IF(ISNUMBER(SEARCH("R", 'Dry_Litterbag Placem_Collection'!U177)),"YES","NO")</f>
        <v>NO</v>
      </c>
    </row>
    <row r="617" spans="1:40" ht="15" customHeight="1">
      <c r="A617" s="262" t="s">
        <v>2659</v>
      </c>
      <c r="B617" s="263">
        <f>'Dry_Litterbag Placem_Collection'!A178</f>
        <v>176</v>
      </c>
      <c r="C617" s="263" t="str">
        <f>'Dry_Litterbag Placem_Collection'!B178</f>
        <v>Handajega</v>
      </c>
      <c r="D617" s="263" t="s">
        <v>2659</v>
      </c>
      <c r="E617" s="263" t="s">
        <v>2661</v>
      </c>
      <c r="F617" s="263">
        <v>2</v>
      </c>
      <c r="G617" s="264" t="str">
        <f>'Dry_Litterbag Placem_Collection'!C178</f>
        <v>Wet_W2_T8</v>
      </c>
      <c r="H617" s="273" t="s">
        <v>3651</v>
      </c>
      <c r="I617" s="266" t="s">
        <v>1147</v>
      </c>
      <c r="J617" s="263" t="str">
        <f>IF(ISBLANK('Dry_Litterbag Placem_Collection'!L178),"","G"&amp;""&amp;'Dry_Litterbag Placem_Collection'!L178)</f>
        <v>G323</v>
      </c>
      <c r="K617" s="267">
        <f>IFERROR(INDEX('Green_rooibos initial weight'!$C$5:$C$1749,MATCH(J617, 'Green_rooibos initial weight'!$A$5:$A$1749,0)),"")</f>
        <v>1.97</v>
      </c>
      <c r="L617" s="267">
        <f>IFERROR(K617-(TBIcalc!$Q$9+TBIcalc!$Q$10),"")</f>
        <v>1.7202</v>
      </c>
      <c r="M617" s="391">
        <f>AVERAGE(Ashed_controlls!$K$2:$K$11)</f>
        <v>5.5147656768714146</v>
      </c>
      <c r="N617" s="267">
        <f t="shared" si="46"/>
        <v>1.6253350008264578</v>
      </c>
      <c r="O617" s="267">
        <f>IF(IFERROR(INDEX('Both teabags AfterDry'!$D$3:$D$900,MATCH(J617,'Both teabags AfterDry'!$A$3:$A$900,0)),"")="","",(IFERROR(INDEX('Both teabags AfterDry'!$D$3:$D$900,MATCH(J617,'Both teabags AfterDry'!$A$3:$A$900,0)),"")))</f>
        <v>0.74829999999999997</v>
      </c>
      <c r="P617" s="267">
        <f>IFERROR(IF(O617&gt;0,O617-(TBIcalc!$Q$9),""),"")</f>
        <v>0.5976999999999999</v>
      </c>
      <c r="Q617" s="278">
        <f>IFERROR(INDEX('Ashed teabags dry'!$K$2:$K$825,MATCH(J617,'Ashed teabags dry'!$A$2:$A$825,0)),"")</f>
        <v>19.55361475012176</v>
      </c>
      <c r="R617" s="278">
        <f t="shared" si="47"/>
        <v>0.48082804463852213</v>
      </c>
      <c r="S617" s="268">
        <f>'Dry_Litterbag Placem_Collection'!E178</f>
        <v>42940</v>
      </c>
      <c r="T617" s="268">
        <f>IF('Dry_Litterbag Placem_Collection'!G178="","",'Dry_Litterbag Placem_Collection'!G178)</f>
        <v>43009</v>
      </c>
      <c r="U617" s="269">
        <f t="shared" si="45"/>
        <v>69</v>
      </c>
      <c r="V617" s="267">
        <f t="shared" si="48"/>
        <v>1.1225000000000001</v>
      </c>
      <c r="W617" s="267">
        <f t="shared" si="49"/>
        <v>1.1445069561879357</v>
      </c>
      <c r="X617" s="271">
        <f>IFERROR(INDEX(Rainfall_Dry!$O$2:$O$217,MATCH(B617, Rainfall_Dry!$A$2:$A$217,0)),"")</f>
        <v>162.634207253</v>
      </c>
      <c r="Y617" s="260">
        <v>23.96</v>
      </c>
      <c r="Z617" s="260">
        <v>4.9199999999999982</v>
      </c>
      <c r="AA617" s="260">
        <v>71.12</v>
      </c>
      <c r="AB617" s="261" t="s">
        <v>2670</v>
      </c>
      <c r="AC617" s="260">
        <v>10.309137506160701</v>
      </c>
      <c r="AD617">
        <f>IF('WetLitterbags placem_collection'!AB178="","",'WetLitterbags placem_collection'!AB178)</f>
        <v>6.8</v>
      </c>
      <c r="AE617">
        <f>IF('WetLitterbags placem_collection'!Z178="","",'WetLitterbags placem_collection'!Z178)</f>
        <v>6.9</v>
      </c>
      <c r="AF617" s="24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71">
        <f>IFERROR(AVERAGE('Dry_Litterbag Placem_Collection'!N178,'Dry_Litterbag Placem_Collection'!Q178),"")</f>
        <v>34.5</v>
      </c>
      <c r="AJ617" s="270">
        <f>INDEX(Coordinates!$B$2:$B$197,MATCH(G617,Coordinates!$J$2:$J$197,0))</f>
        <v>-2.2782909679999999</v>
      </c>
      <c r="AK617" s="270">
        <f>INDEX(Coordinates!$C$2:$C$197,MATCH(G617,Coordinates!$J$2:$J$197,0))</f>
        <v>34.024574970000003</v>
      </c>
      <c r="AL617" s="270" t="str">
        <f>IF(ISNUMBER(SEARCH("C", 'Dry_Litterbag Placem_Collection'!U178)),"YES","NO")</f>
        <v>NO</v>
      </c>
      <c r="AM617" s="270" t="str">
        <f>IF(ISNUMBER(SEARCH("H", 'Dry_Litterbag Placem_Collection'!U178)),"YES","NO")</f>
        <v>NO</v>
      </c>
      <c r="AN617" s="270" t="str">
        <f>IF(ISNUMBER(SEARCH("R", 'Dry_Litterbag Placem_Collection'!U178)),"YES","NO")</f>
        <v>YES</v>
      </c>
    </row>
    <row r="618" spans="1:40" ht="15" customHeight="1">
      <c r="A618" s="262" t="s">
        <v>2659</v>
      </c>
      <c r="B618" s="263">
        <f>'Dry_Litterbag Placem_Collection'!A179</f>
        <v>177</v>
      </c>
      <c r="C618" s="263" t="str">
        <f>'Dry_Litterbag Placem_Collection'!B179</f>
        <v>Handajega</v>
      </c>
      <c r="D618" s="263" t="s">
        <v>2659</v>
      </c>
      <c r="E618" s="263" t="s">
        <v>2661</v>
      </c>
      <c r="F618" s="263">
        <v>3</v>
      </c>
      <c r="G618" s="264" t="str">
        <f>'Dry_Litterbag Placem_Collection'!C179</f>
        <v>Wet_W3_T1</v>
      </c>
      <c r="H618" s="273" t="s">
        <v>3651</v>
      </c>
      <c r="I618" s="266" t="s">
        <v>1147</v>
      </c>
      <c r="J618" s="263" t="str">
        <f>IF(ISBLANK('Dry_Litterbag Placem_Collection'!L179),"","G"&amp;""&amp;'Dry_Litterbag Placem_Collection'!L179)</f>
        <v>G14</v>
      </c>
      <c r="K618" s="267">
        <f>IFERROR(INDEX('Green_rooibos initial weight'!$C$5:$C$1749,MATCH(J618, 'Green_rooibos initial weight'!$A$5:$A$1749,0)),"")</f>
        <v>2.0750000000000002</v>
      </c>
      <c r="L618" s="267">
        <f>IFERROR(K618-(TBIcalc!$Q$9+TBIcalc!$Q$10),"")</f>
        <v>1.8252000000000002</v>
      </c>
      <c r="M618" s="391">
        <f>AVERAGE(Ashed_controlls!$K$2:$K$11)</f>
        <v>5.5147656768714146</v>
      </c>
      <c r="N618" s="267">
        <f t="shared" si="46"/>
        <v>1.7245444968657431</v>
      </c>
      <c r="O618" s="267" t="str">
        <f>IF(IFERROR(INDEX('Both teabags AfterDry'!$D$3:$D$900,MATCH(J618,'Both teabags AfterDry'!$A$3:$A$900,0)),"")="","",(IFERROR(INDEX('Both teabags AfterDry'!$D$3:$D$900,MATCH(J618,'Both teabags AfterDry'!$A$3:$A$900,0)),"")))</f>
        <v/>
      </c>
      <c r="P618" s="267" t="str">
        <f>IFERROR(IF(O618&gt;0,O618-(TBIcalc!$Q$9),""),"")</f>
        <v/>
      </c>
      <c r="Q618" s="278" t="str">
        <f>IFERROR(INDEX('Ashed teabags dry'!$K$2:$K$825,MATCH(J618,'Ashed teabags dry'!$A$2:$A$825,0)),"")</f>
        <v/>
      </c>
      <c r="R618" s="278" t="str">
        <f t="shared" si="47"/>
        <v/>
      </c>
      <c r="S618" s="268">
        <f>'Dry_Litterbag Placem_Collection'!E179</f>
        <v>42940</v>
      </c>
      <c r="T618" s="268">
        <f>IF('Dry_Litterbag Placem_Collection'!G179="","",'Dry_Litterbag Placem_Collection'!G179)</f>
        <v>43009</v>
      </c>
      <c r="U618" s="269">
        <f t="shared" si="45"/>
        <v>69</v>
      </c>
      <c r="V618" s="267" t="str">
        <f t="shared" si="48"/>
        <v/>
      </c>
      <c r="W618" s="267" t="str">
        <f t="shared" si="49"/>
        <v/>
      </c>
      <c r="X618" s="271">
        <f>IFERROR(INDEX(Rainfall_Dry!$O$2:$O$217,MATCH(B618, Rainfall_Dry!$A$2:$A$217,0)),"")</f>
        <v>162.634207253</v>
      </c>
      <c r="Y618" s="260">
        <v>25.96</v>
      </c>
      <c r="Z618" s="260">
        <v>8.9200000000000017</v>
      </c>
      <c r="AA618" s="260">
        <v>65.12</v>
      </c>
      <c r="AB618" s="261" t="s">
        <v>2670</v>
      </c>
      <c r="AC618" s="260">
        <v>1.614588467225234</v>
      </c>
      <c r="AD618">
        <f>IF('WetLitterbags placem_collection'!AB179="","",'WetLitterbags placem_collection'!AB179)</f>
        <v>17.8</v>
      </c>
      <c r="AE618">
        <f>IF('WetLitterbags placem_collection'!Z179="","",'WetLitterbags placem_collection'!Z179)</f>
        <v>25.8</v>
      </c>
      <c r="AF618" s="24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71">
        <f>IFERROR(AVERAGE('Dry_Litterbag Placem_Collection'!N179,'Dry_Litterbag Placem_Collection'!Q179),"")</f>
        <v>34.150000000000006</v>
      </c>
      <c r="AJ618" s="270">
        <f>INDEX(Coordinates!$B$2:$B$197,MATCH(G618,Coordinates!$J$2:$J$197,0))</f>
        <v>-2.277740026</v>
      </c>
      <c r="AK618" s="270">
        <f>INDEX(Coordinates!$C$2:$C$197,MATCH(G618,Coordinates!$J$2:$J$197,0))</f>
        <v>34.027640990000002</v>
      </c>
      <c r="AL618" s="270" t="str">
        <f>IF(ISNUMBER(SEARCH("C", 'Dry_Litterbag Placem_Collection'!U179)),"YES","NO")</f>
        <v>NO</v>
      </c>
      <c r="AM618" s="270" t="str">
        <f>IF(ISNUMBER(SEARCH("H", 'Dry_Litterbag Placem_Collection'!U179)),"YES","NO")</f>
        <v>NO</v>
      </c>
      <c r="AN618" s="270" t="str">
        <f>IF(ISNUMBER(SEARCH("R", 'Dry_Litterbag Placem_Collection'!U179)),"YES","NO")</f>
        <v>NO</v>
      </c>
    </row>
    <row r="619" spans="1:40" ht="15" customHeight="1">
      <c r="A619" s="262" t="s">
        <v>2659</v>
      </c>
      <c r="B619" s="263">
        <f>'Dry_Litterbag Placem_Collection'!A180</f>
        <v>178</v>
      </c>
      <c r="C619" s="263" t="str">
        <f>'Dry_Litterbag Placem_Collection'!B180</f>
        <v>Handajega</v>
      </c>
      <c r="D619" s="263" t="s">
        <v>2659</v>
      </c>
      <c r="E619" s="263" t="s">
        <v>2661</v>
      </c>
      <c r="F619" s="263">
        <v>3</v>
      </c>
      <c r="G619" s="264" t="str">
        <f>'Dry_Litterbag Placem_Collection'!C180</f>
        <v>Wet_W3_T2</v>
      </c>
      <c r="H619" s="273" t="s">
        <v>3651</v>
      </c>
      <c r="I619" s="266" t="s">
        <v>1147</v>
      </c>
      <c r="J619" s="263" t="str">
        <f>IF(ISBLANK('Dry_Litterbag Placem_Collection'!L180),"","G"&amp;""&amp;'Dry_Litterbag Placem_Collection'!L180)</f>
        <v>G410</v>
      </c>
      <c r="K619" s="267">
        <f>IFERROR(INDEX('Green_rooibos initial weight'!$C$5:$C$1749,MATCH(J619, 'Green_rooibos initial weight'!$A$5:$A$1749,0)),"")</f>
        <v>2.1110000000000002</v>
      </c>
      <c r="L619" s="267">
        <f>IFERROR(K619-(TBIcalc!$Q$9+TBIcalc!$Q$10),"")</f>
        <v>1.8612000000000002</v>
      </c>
      <c r="M619" s="391">
        <f>AVERAGE(Ashed_controlls!$K$2:$K$11)</f>
        <v>5.5147656768714146</v>
      </c>
      <c r="N619" s="267">
        <f t="shared" si="46"/>
        <v>1.7585591812220693</v>
      </c>
      <c r="O619" s="267">
        <f>IF(IFERROR(INDEX('Both teabags AfterDry'!$D$3:$D$900,MATCH(J619,'Both teabags AfterDry'!$A$3:$A$900,0)),"")="","",(IFERROR(INDEX('Both teabags AfterDry'!$D$3:$D$900,MATCH(J619,'Both teabags AfterDry'!$A$3:$A$900,0)),"")))</f>
        <v>0.71050000000000002</v>
      </c>
      <c r="P619" s="267">
        <f>IFERROR(IF(O619&gt;0,O619-(TBIcalc!$Q$9),""),"")</f>
        <v>0.55990000000000006</v>
      </c>
      <c r="Q619" s="278">
        <f>IFERROR(INDEX('Ashed teabags dry'!$K$2:$K$825,MATCH(J619,'Ashed teabags dry'!$A$2:$A$825,0)),"")</f>
        <v>18.892185954499759</v>
      </c>
      <c r="R619" s="278">
        <f t="shared" si="47"/>
        <v>0.45412265084075587</v>
      </c>
      <c r="S619" s="268">
        <f>'Dry_Litterbag Placem_Collection'!E180</f>
        <v>42940</v>
      </c>
      <c r="T619" s="268">
        <f>IF('Dry_Litterbag Placem_Collection'!G180="","",'Dry_Litterbag Placem_Collection'!G180)</f>
        <v>43009</v>
      </c>
      <c r="U619" s="269">
        <f t="shared" si="45"/>
        <v>69</v>
      </c>
      <c r="V619" s="267">
        <f t="shared" si="48"/>
        <v>1.3013000000000001</v>
      </c>
      <c r="W619" s="267">
        <f t="shared" si="49"/>
        <v>1.3044365303813135</v>
      </c>
      <c r="X619" s="271">
        <f>IFERROR(INDEX(Rainfall_Dry!$O$2:$O$217,MATCH(B619, Rainfall_Dry!$A$2:$A$217,0)),"")</f>
        <v>162.634207253</v>
      </c>
      <c r="Y619" s="260">
        <v>25.96</v>
      </c>
      <c r="Z619" s="260">
        <v>8.9200000000000017</v>
      </c>
      <c r="AA619" s="260">
        <v>65.12</v>
      </c>
      <c r="AB619" s="261" t="s">
        <v>2670</v>
      </c>
      <c r="AC619" s="260">
        <v>2.61458846722523</v>
      </c>
      <c r="AD619">
        <f>IF('WetLitterbags placem_collection'!AB180="","",'WetLitterbags placem_collection'!AB180)</f>
        <v>15.4</v>
      </c>
      <c r="AE619">
        <f>IF('WetLitterbags placem_collection'!Z180="","",'WetLitterbags placem_collection'!Z180)</f>
        <v>18.8</v>
      </c>
      <c r="AF619" s="24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71">
        <f>IFERROR(AVERAGE('Dry_Litterbag Placem_Collection'!N180,'Dry_Litterbag Placem_Collection'!Q180),"")</f>
        <v>35.799999999999997</v>
      </c>
      <c r="AJ619" s="270">
        <f>INDEX(Coordinates!$B$2:$B$197,MATCH(G619,Coordinates!$J$2:$J$197,0))</f>
        <v>-2.2777889760000001</v>
      </c>
      <c r="AK619" s="270">
        <f>INDEX(Coordinates!$C$2:$C$197,MATCH(G619,Coordinates!$J$2:$J$197,0))</f>
        <v>34.027664960000003</v>
      </c>
      <c r="AL619" s="270" t="str">
        <f>IF(ISNUMBER(SEARCH("C", 'Dry_Litterbag Placem_Collection'!U180)),"YES","NO")</f>
        <v>NO</v>
      </c>
      <c r="AM619" s="270" t="str">
        <f>IF(ISNUMBER(SEARCH("H", 'Dry_Litterbag Placem_Collection'!U180)),"YES","NO")</f>
        <v>NO</v>
      </c>
      <c r="AN619" s="270" t="str">
        <f>IF(ISNUMBER(SEARCH("R", 'Dry_Litterbag Placem_Collection'!U180)),"YES","NO")</f>
        <v>NO</v>
      </c>
    </row>
    <row r="620" spans="1:40" ht="15" customHeight="1">
      <c r="A620" s="262" t="s">
        <v>2659</v>
      </c>
      <c r="B620" s="263">
        <f>'Dry_Litterbag Placem_Collection'!A181</f>
        <v>179</v>
      </c>
      <c r="C620" s="263" t="str">
        <f>'Dry_Litterbag Placem_Collection'!B181</f>
        <v>Handajega</v>
      </c>
      <c r="D620" s="263" t="s">
        <v>2659</v>
      </c>
      <c r="E620" s="263" t="s">
        <v>2661</v>
      </c>
      <c r="F620" s="263">
        <v>3</v>
      </c>
      <c r="G620" s="264" t="str">
        <f>'Dry_Litterbag Placem_Collection'!C181</f>
        <v>Wet_W3_T3</v>
      </c>
      <c r="H620" s="273" t="s">
        <v>3651</v>
      </c>
      <c r="I620" s="266" t="s">
        <v>1147</v>
      </c>
      <c r="J620" s="263" t="str">
        <f>IF(ISBLANK('Dry_Litterbag Placem_Collection'!L181),"","G"&amp;""&amp;'Dry_Litterbag Placem_Collection'!L181)</f>
        <v>G78</v>
      </c>
      <c r="K620" s="267">
        <f>IFERROR(INDEX('Green_rooibos initial weight'!$C$5:$C$1749,MATCH(J620, 'Green_rooibos initial weight'!$A$5:$A$1749,0)),"")</f>
        <v>2.0379999999999998</v>
      </c>
      <c r="L620" s="267">
        <f>IFERROR(K620-(TBIcalc!$Q$9+TBIcalc!$Q$10),"")</f>
        <v>1.7881999999999998</v>
      </c>
      <c r="M620" s="391">
        <f>AVERAGE(Ashed_controlls!$K$2:$K$11)</f>
        <v>5.5147656768714146</v>
      </c>
      <c r="N620" s="267">
        <f t="shared" si="46"/>
        <v>1.6895849601661852</v>
      </c>
      <c r="O620" s="267">
        <f>IF(IFERROR(INDEX('Both teabags AfterDry'!$D$3:$D$900,MATCH(J620,'Both teabags AfterDry'!$A$3:$A$900,0)),"")="","",(IFERROR(INDEX('Both teabags AfterDry'!$D$3:$D$900,MATCH(J620,'Both teabags AfterDry'!$A$3:$A$900,0)),"")))</f>
        <v>0.871</v>
      </c>
      <c r="P620" s="267">
        <f>IFERROR(IF(O620&gt;0,O620-(TBIcalc!$Q$9),""),"")</f>
        <v>0.72039999999999993</v>
      </c>
      <c r="Q620" s="278">
        <f>IFERROR(INDEX('Ashed teabags dry'!$K$2:$K$825,MATCH(J620,'Ashed teabags dry'!$A$2:$A$825,0)),"")</f>
        <v>31.412103746397996</v>
      </c>
      <c r="R620" s="278">
        <f t="shared" si="47"/>
        <v>0.49410720461094881</v>
      </c>
      <c r="S620" s="268">
        <f>'Dry_Litterbag Placem_Collection'!E181</f>
        <v>42940</v>
      </c>
      <c r="T620" s="268">
        <f>IF('Dry_Litterbag Placem_Collection'!G181="","",'Dry_Litterbag Placem_Collection'!G181)</f>
        <v>43009</v>
      </c>
      <c r="U620" s="269">
        <f t="shared" si="45"/>
        <v>69</v>
      </c>
      <c r="V620" s="267">
        <f t="shared" si="48"/>
        <v>1.0677999999999999</v>
      </c>
      <c r="W620" s="267">
        <f t="shared" si="49"/>
        <v>1.1954777555552365</v>
      </c>
      <c r="X620" s="271">
        <f>IFERROR(INDEX(Rainfall_Dry!$O$2:$O$217,MATCH(B620, Rainfall_Dry!$A$2:$A$217,0)),"")</f>
        <v>162.634207253</v>
      </c>
      <c r="Y620" s="260">
        <v>25.96</v>
      </c>
      <c r="Z620" s="260">
        <v>8.9200000000000017</v>
      </c>
      <c r="AA620" s="260">
        <v>65.12</v>
      </c>
      <c r="AB620" s="261" t="s">
        <v>2670</v>
      </c>
      <c r="AC620" s="260">
        <v>3.61458846722523</v>
      </c>
      <c r="AD620">
        <f>IF('WetLitterbags placem_collection'!AB181="","",'WetLitterbags placem_collection'!AB181)</f>
        <v>11.8</v>
      </c>
      <c r="AE620">
        <f>IF('WetLitterbags placem_collection'!Z181="","",'WetLitterbags placem_collection'!Z181)</f>
        <v>15.4</v>
      </c>
      <c r="AF620" s="24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71">
        <f>IFERROR(AVERAGE('Dry_Litterbag Placem_Collection'!N181,'Dry_Litterbag Placem_Collection'!Q181),"")</f>
        <v>34.75</v>
      </c>
      <c r="AJ620" s="270">
        <f>INDEX(Coordinates!$B$2:$B$197,MATCH(G620,Coordinates!$J$2:$J$197,0))</f>
        <v>-2.2778579589999999</v>
      </c>
      <c r="AK620" s="270">
        <f>INDEX(Coordinates!$C$2:$C$197,MATCH(G620,Coordinates!$J$2:$J$197,0))</f>
        <v>34.027682980000002</v>
      </c>
      <c r="AL620" s="270" t="str">
        <f>IF(ISNUMBER(SEARCH("C", 'Dry_Litterbag Placem_Collection'!U181)),"YES","NO")</f>
        <v>NO</v>
      </c>
      <c r="AM620" s="270" t="str">
        <f>IF(ISNUMBER(SEARCH("H", 'Dry_Litterbag Placem_Collection'!U181)),"YES","NO")</f>
        <v>NO</v>
      </c>
      <c r="AN620" s="270" t="str">
        <f>IF(ISNUMBER(SEARCH("R", 'Dry_Litterbag Placem_Collection'!U181)),"YES","NO")</f>
        <v>YES</v>
      </c>
    </row>
    <row r="621" spans="1:40" ht="15" customHeight="1">
      <c r="A621" s="262" t="s">
        <v>2659</v>
      </c>
      <c r="B621" s="263">
        <f>'Dry_Litterbag Placem_Collection'!A182</f>
        <v>180</v>
      </c>
      <c r="C621" s="263" t="str">
        <f>'Dry_Litterbag Placem_Collection'!B182</f>
        <v>Handajega</v>
      </c>
      <c r="D621" s="263" t="s">
        <v>2659</v>
      </c>
      <c r="E621" s="263" t="s">
        <v>2661</v>
      </c>
      <c r="F621" s="263">
        <v>3</v>
      </c>
      <c r="G621" s="264" t="str">
        <f>'Dry_Litterbag Placem_Collection'!C182</f>
        <v>Wet_W3_T4</v>
      </c>
      <c r="H621" s="273" t="s">
        <v>3651</v>
      </c>
      <c r="I621" s="266" t="s">
        <v>1147</v>
      </c>
      <c r="J621" s="263" t="str">
        <f>IF(ISBLANK('Dry_Litterbag Placem_Collection'!L182),"","G"&amp;""&amp;'Dry_Litterbag Placem_Collection'!L182)</f>
        <v>G422</v>
      </c>
      <c r="K621" s="267">
        <f>IFERROR(INDEX('Green_rooibos initial weight'!$C$5:$C$1749,MATCH(J621, 'Green_rooibos initial weight'!$A$5:$A$1749,0)),"")</f>
        <v>2.0049999999999999</v>
      </c>
      <c r="L621" s="267">
        <f>IFERROR(K621-(TBIcalc!$Q$9+TBIcalc!$Q$10),"")</f>
        <v>1.7551999999999999</v>
      </c>
      <c r="M621" s="391">
        <f>AVERAGE(Ashed_controlls!$K$2:$K$11)</f>
        <v>5.5147656768714146</v>
      </c>
      <c r="N621" s="267">
        <f t="shared" si="46"/>
        <v>1.6584048328395529</v>
      </c>
      <c r="O621" s="267">
        <f>IF(IFERROR(INDEX('Both teabags AfterDry'!$D$3:$D$900,MATCH(J621,'Both teabags AfterDry'!$A$3:$A$900,0)),"")="","",(IFERROR(INDEX('Both teabags AfterDry'!$D$3:$D$900,MATCH(J621,'Both teabags AfterDry'!$A$3:$A$900,0)),"")))</f>
        <v>0.751</v>
      </c>
      <c r="P621" s="267">
        <f>IFERROR(IF(O621&gt;0,O621-(TBIcalc!$Q$9),""),"")</f>
        <v>0.60040000000000004</v>
      </c>
      <c r="Q621" s="278">
        <f>IFERROR(INDEX('Ashed teabags dry'!$K$2:$K$825,MATCH(J621,'Ashed teabags dry'!$A$2:$A$825,0)),"")</f>
        <v>20.896226415094358</v>
      </c>
      <c r="R621" s="278">
        <f t="shared" si="47"/>
        <v>0.4749390566037735</v>
      </c>
      <c r="S621" s="268">
        <f>'Dry_Litterbag Placem_Collection'!E182</f>
        <v>42940</v>
      </c>
      <c r="T621" s="268">
        <f>IF('Dry_Litterbag Placem_Collection'!G182="","",'Dry_Litterbag Placem_Collection'!G182)</f>
        <v>43009</v>
      </c>
      <c r="U621" s="269">
        <f t="shared" si="45"/>
        <v>69</v>
      </c>
      <c r="V621" s="267">
        <f t="shared" si="48"/>
        <v>1.1547999999999998</v>
      </c>
      <c r="W621" s="267">
        <f t="shared" si="49"/>
        <v>1.1834657762357794</v>
      </c>
      <c r="X621" s="271">
        <f>IFERROR(INDEX(Rainfall_Dry!$O$2:$O$217,MATCH(B621, Rainfall_Dry!$A$2:$A$217,0)),"")</f>
        <v>162.634207253</v>
      </c>
      <c r="Y621" s="260">
        <v>25.96</v>
      </c>
      <c r="Z621" s="260">
        <v>8.9200000000000017</v>
      </c>
      <c r="AA621" s="260">
        <v>65.12</v>
      </c>
      <c r="AB621" s="261" t="s">
        <v>2670</v>
      </c>
      <c r="AC621" s="260">
        <v>4.6145884672252304</v>
      </c>
      <c r="AD621">
        <f>IF('WetLitterbags placem_collection'!AB182="","",'WetLitterbags placem_collection'!AB182)</f>
        <v>8.3000000000000007</v>
      </c>
      <c r="AE621">
        <f>IF('WetLitterbags placem_collection'!Z182="","",'WetLitterbags placem_collection'!Z182)</f>
        <v>35</v>
      </c>
      <c r="AF621" s="24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71">
        <f>IFERROR(AVERAGE('Dry_Litterbag Placem_Collection'!N182,'Dry_Litterbag Placem_Collection'!Q182),"")</f>
        <v>31</v>
      </c>
      <c r="AJ621" s="270">
        <f>INDEX(Coordinates!$B$2:$B$197,MATCH(G621,Coordinates!$J$2:$J$197,0))</f>
        <v>-2.2780199809999999</v>
      </c>
      <c r="AK621" s="270">
        <f>INDEX(Coordinates!$C$2:$C$197,MATCH(G621,Coordinates!$J$2:$J$197,0))</f>
        <v>34.027705019999999</v>
      </c>
      <c r="AL621" s="270" t="str">
        <f>IF(ISNUMBER(SEARCH("C", 'Dry_Litterbag Placem_Collection'!U182)),"YES","NO")</f>
        <v>NO</v>
      </c>
      <c r="AM621" s="270" t="str">
        <f>IF(ISNUMBER(SEARCH("H", 'Dry_Litterbag Placem_Collection'!U182)),"YES","NO")</f>
        <v>NO</v>
      </c>
      <c r="AN621" s="270" t="str">
        <f>IF(ISNUMBER(SEARCH("R", 'Dry_Litterbag Placem_Collection'!U182)),"YES","NO")</f>
        <v>YES</v>
      </c>
    </row>
    <row r="622" spans="1:40" ht="15" customHeight="1">
      <c r="A622" s="262" t="s">
        <v>2659</v>
      </c>
      <c r="B622" s="263">
        <f>'Dry_Litterbag Placem_Collection'!A183</f>
        <v>181</v>
      </c>
      <c r="C622" s="263" t="str">
        <f>'Dry_Litterbag Placem_Collection'!B183</f>
        <v>Handajega</v>
      </c>
      <c r="D622" s="263" t="s">
        <v>2659</v>
      </c>
      <c r="E622" s="263" t="s">
        <v>2661</v>
      </c>
      <c r="F622" s="263">
        <v>3</v>
      </c>
      <c r="G622" s="264" t="str">
        <f>'Dry_Litterbag Placem_Collection'!C183</f>
        <v>Wet_W3_T5</v>
      </c>
      <c r="H622" s="273" t="s">
        <v>3651</v>
      </c>
      <c r="I622" s="266" t="s">
        <v>1147</v>
      </c>
      <c r="J622" s="263" t="str">
        <f>IF(ISBLANK('Dry_Litterbag Placem_Collection'!L183),"","G"&amp;""&amp;'Dry_Litterbag Placem_Collection'!L183)</f>
        <v>G870</v>
      </c>
      <c r="K622" s="267">
        <f>IFERROR(INDEX('Green_rooibos initial weight'!$C$5:$C$1749,MATCH(J622, 'Green_rooibos initial weight'!$A$5:$A$1749,0)),"")</f>
        <v>1.972</v>
      </c>
      <c r="L622" s="267">
        <f>IFERROR(K622-(TBIcalc!$Q$9+TBIcalc!$Q$10),"")</f>
        <v>1.7222</v>
      </c>
      <c r="M622" s="391">
        <f>AVERAGE(Ashed_controlls!$K$2:$K$11)</f>
        <v>5.5147656768714146</v>
      </c>
      <c r="N622" s="267">
        <f t="shared" si="46"/>
        <v>1.6272247055129205</v>
      </c>
      <c r="O622" s="267">
        <f>IF(IFERROR(INDEX('Both teabags AfterDry'!$D$3:$D$900,MATCH(J622,'Both teabags AfterDry'!$A$3:$A$900,0)),"")="","",(IFERROR(INDEX('Both teabags AfterDry'!$D$3:$D$900,MATCH(J622,'Both teabags AfterDry'!$A$3:$A$900,0)),"")))</f>
        <v>0.75219999999999998</v>
      </c>
      <c r="P622" s="267">
        <f>IFERROR(IF(O622&gt;0,O622-(TBIcalc!$Q$9),""),"")</f>
        <v>0.60159999999999991</v>
      </c>
      <c r="Q622" s="278">
        <f>IFERROR(INDEX('Ashed teabags dry'!$K$2:$K$825,MATCH(J622,'Ashed teabags dry'!$A$2:$A$825,0)),"")</f>
        <v>17.470472440944899</v>
      </c>
      <c r="R622" s="278">
        <f t="shared" si="47"/>
        <v>0.49649763779527545</v>
      </c>
      <c r="S622" s="268">
        <f>'Dry_Litterbag Placem_Collection'!E183</f>
        <v>42940</v>
      </c>
      <c r="T622" s="268">
        <f>IF('Dry_Litterbag Placem_Collection'!G183="","",'Dry_Litterbag Placem_Collection'!G183)</f>
        <v>43009</v>
      </c>
      <c r="U622" s="269">
        <f t="shared" si="45"/>
        <v>69</v>
      </c>
      <c r="V622" s="267">
        <f t="shared" si="48"/>
        <v>1.1206</v>
      </c>
      <c r="W622" s="267">
        <f t="shared" si="49"/>
        <v>1.1307270677176451</v>
      </c>
      <c r="X622" s="271">
        <f>IFERROR(INDEX(Rainfall_Dry!$O$2:$O$217,MATCH(B622, Rainfall_Dry!$A$2:$A$217,0)),"")</f>
        <v>162.634207253</v>
      </c>
      <c r="Y622" s="260">
        <v>25.96</v>
      </c>
      <c r="Z622" s="260">
        <v>8.9200000000000017</v>
      </c>
      <c r="AA622" s="260">
        <v>65.12</v>
      </c>
      <c r="AB622" s="261" t="s">
        <v>2670</v>
      </c>
      <c r="AC622" s="260">
        <v>5.6145884672252304</v>
      </c>
      <c r="AD622">
        <f>IF('WetLitterbags placem_collection'!AB183="","",'WetLitterbags placem_collection'!AB183)</f>
        <v>11.4</v>
      </c>
      <c r="AE622">
        <f>IF('WetLitterbags placem_collection'!Z183="","",'WetLitterbags placem_collection'!Z183)</f>
        <v>15.8</v>
      </c>
      <c r="AF622" s="24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71">
        <f>IFERROR(AVERAGE('Dry_Litterbag Placem_Collection'!N183,'Dry_Litterbag Placem_Collection'!Q183),"")</f>
        <v>35.099999999999994</v>
      </c>
      <c r="AJ622" s="270">
        <f>INDEX(Coordinates!$B$2:$B$197,MATCH(G622,Coordinates!$J$2:$J$197,0))</f>
        <v>-2.2777329850000001</v>
      </c>
      <c r="AK622" s="270">
        <f>INDEX(Coordinates!$C$2:$C$197,MATCH(G622,Coordinates!$J$2:$J$197,0))</f>
        <v>34.027422970000003</v>
      </c>
      <c r="AL622" s="270" t="str">
        <f>IF(ISNUMBER(SEARCH("C", 'Dry_Litterbag Placem_Collection'!U183)),"YES","NO")</f>
        <v>NO</v>
      </c>
      <c r="AM622" s="270" t="str">
        <f>IF(ISNUMBER(SEARCH("H", 'Dry_Litterbag Placem_Collection'!U183)),"YES","NO")</f>
        <v>NO</v>
      </c>
      <c r="AN622" s="270" t="str">
        <f>IF(ISNUMBER(SEARCH("R", 'Dry_Litterbag Placem_Collection'!U183)),"YES","NO")</f>
        <v>NO</v>
      </c>
    </row>
    <row r="623" spans="1:40" ht="15" customHeight="1">
      <c r="A623" s="262" t="s">
        <v>2659</v>
      </c>
      <c r="B623" s="263">
        <f>'Dry_Litterbag Placem_Collection'!A184</f>
        <v>182</v>
      </c>
      <c r="C623" s="263" t="str">
        <f>'Dry_Litterbag Placem_Collection'!B184</f>
        <v>Handajega</v>
      </c>
      <c r="D623" s="263" t="s">
        <v>2659</v>
      </c>
      <c r="E623" s="263" t="s">
        <v>2661</v>
      </c>
      <c r="F623" s="263">
        <v>3</v>
      </c>
      <c r="G623" s="264" t="str">
        <f>'Dry_Litterbag Placem_Collection'!C184</f>
        <v>Wet_W3_T6</v>
      </c>
      <c r="H623" s="273" t="s">
        <v>3651</v>
      </c>
      <c r="I623" s="266" t="s">
        <v>1147</v>
      </c>
      <c r="J623" s="263" t="str">
        <f>IF(ISBLANK('Dry_Litterbag Placem_Collection'!L184),"","G"&amp;""&amp;'Dry_Litterbag Placem_Collection'!L184)</f>
        <v>G136</v>
      </c>
      <c r="K623" s="267">
        <f>IFERROR(INDEX('Green_rooibos initial weight'!$C$5:$C$1749,MATCH(J623, 'Green_rooibos initial weight'!$A$5:$A$1749,0)),"")</f>
        <v>1.9430000000000001</v>
      </c>
      <c r="L623" s="267">
        <f>IFERROR(K623-(TBIcalc!$Q$9+TBIcalc!$Q$10),"")</f>
        <v>1.6932</v>
      </c>
      <c r="M623" s="391">
        <f>AVERAGE(Ashed_controlls!$K$2:$K$11)</f>
        <v>5.5147656768714146</v>
      </c>
      <c r="N623" s="267">
        <f t="shared" si="46"/>
        <v>1.5998239875592133</v>
      </c>
      <c r="O623" s="267">
        <f>IF(IFERROR(INDEX('Both teabags AfterDry'!$D$3:$D$900,MATCH(J623,'Both teabags AfterDry'!$A$3:$A$900,0)),"")="","",(IFERROR(INDEX('Both teabags AfterDry'!$D$3:$D$900,MATCH(J623,'Both teabags AfterDry'!$A$3:$A$900,0)),"")))</f>
        <v>0.71589999999999998</v>
      </c>
      <c r="P623" s="267">
        <f>IFERROR(IF(O623&gt;0,O623-(TBIcalc!$Q$9),""),"")</f>
        <v>0.56529999999999991</v>
      </c>
      <c r="Q623" s="278">
        <f>IFERROR(INDEX('Ashed teabags dry'!$K$2:$K$825,MATCH(J623,'Ashed teabags dry'!$A$2:$A$825,0)),"")</f>
        <v>14.444983034415532</v>
      </c>
      <c r="R623" s="278">
        <f t="shared" si="47"/>
        <v>0.48364251090644894</v>
      </c>
      <c r="S623" s="268">
        <f>'Dry_Litterbag Placem_Collection'!E184</f>
        <v>42940</v>
      </c>
      <c r="T623" s="268">
        <f>IF('Dry_Litterbag Placem_Collection'!G184="","",'Dry_Litterbag Placem_Collection'!G184)</f>
        <v>43009</v>
      </c>
      <c r="U623" s="269">
        <f t="shared" si="45"/>
        <v>69</v>
      </c>
      <c r="V623" s="267">
        <f t="shared" si="48"/>
        <v>1.1279000000000001</v>
      </c>
      <c r="W623" s="267">
        <f t="shared" si="49"/>
        <v>1.1161814766527645</v>
      </c>
      <c r="X623" s="271">
        <f>IFERROR(INDEX(Rainfall_Dry!$O$2:$O$217,MATCH(B623, Rainfall_Dry!$A$2:$A$217,0)),"")</f>
        <v>162.634207253</v>
      </c>
      <c r="Y623" s="260">
        <v>25.96</v>
      </c>
      <c r="Z623" s="260">
        <v>8.9200000000000017</v>
      </c>
      <c r="AA623" s="260">
        <v>65.12</v>
      </c>
      <c r="AB623" s="261" t="s">
        <v>2670</v>
      </c>
      <c r="AC623" s="260">
        <v>6.6145884672252304</v>
      </c>
      <c r="AD623">
        <f>IF('WetLitterbags placem_collection'!AB184="","",'WetLitterbags placem_collection'!AB184)</f>
        <v>8.8000000000000007</v>
      </c>
      <c r="AE623">
        <f>IF('WetLitterbags placem_collection'!Z184="","",'WetLitterbags placem_collection'!Z184)</f>
        <v>15.8</v>
      </c>
      <c r="AF623" s="24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71">
        <f>IFERROR(AVERAGE('Dry_Litterbag Placem_Collection'!N184,'Dry_Litterbag Placem_Collection'!Q184),"")</f>
        <v>36.400000000000006</v>
      </c>
      <c r="AJ623" s="270">
        <f>INDEX(Coordinates!$B$2:$B$197,MATCH(G623,Coordinates!$J$2:$J$197,0))</f>
        <v>-2.2777009659999998</v>
      </c>
      <c r="AK623" s="270">
        <f>INDEX(Coordinates!$C$2:$C$197,MATCH(G623,Coordinates!$J$2:$J$197,0))</f>
        <v>34.027393969999999</v>
      </c>
      <c r="AL623" s="270" t="str">
        <f>IF(ISNUMBER(SEARCH("C", 'Dry_Litterbag Placem_Collection'!U184)),"YES","NO")</f>
        <v>NO</v>
      </c>
      <c r="AM623" s="270" t="str">
        <f>IF(ISNUMBER(SEARCH("H", 'Dry_Litterbag Placem_Collection'!U184)),"YES","NO")</f>
        <v>NO</v>
      </c>
      <c r="AN623" s="270" t="str">
        <f>IF(ISNUMBER(SEARCH("R", 'Dry_Litterbag Placem_Collection'!U184)),"YES","NO")</f>
        <v>YES</v>
      </c>
    </row>
    <row r="624" spans="1:40" ht="15" customHeight="1">
      <c r="A624" s="262" t="s">
        <v>2659</v>
      </c>
      <c r="B624" s="263">
        <f>'Dry_Litterbag Placem_Collection'!A185</f>
        <v>183</v>
      </c>
      <c r="C624" s="263" t="str">
        <f>'Dry_Litterbag Placem_Collection'!B185</f>
        <v>Handajega</v>
      </c>
      <c r="D624" s="263" t="s">
        <v>2659</v>
      </c>
      <c r="E624" s="263" t="s">
        <v>2661</v>
      </c>
      <c r="F624" s="263">
        <v>3</v>
      </c>
      <c r="G624" s="264" t="str">
        <f>'Dry_Litterbag Placem_Collection'!C185</f>
        <v>Wet_W3_T7</v>
      </c>
      <c r="H624" s="273" t="s">
        <v>3651</v>
      </c>
      <c r="I624" s="266" t="s">
        <v>1147</v>
      </c>
      <c r="J624" s="263" t="str">
        <f>IF(ISBLANK('Dry_Litterbag Placem_Collection'!L185),"","G"&amp;""&amp;'Dry_Litterbag Placem_Collection'!L185)</f>
        <v/>
      </c>
      <c r="K624" s="267" t="str">
        <f>IFERROR(INDEX('Green_rooibos initial weight'!$C$5:$C$1749,MATCH(J624, 'Green_rooibos initial weight'!$A$5:$A$1749,0)),"")</f>
        <v/>
      </c>
      <c r="L624" s="267" t="str">
        <f>IFERROR(K624-(TBIcalc!$Q$9+TBIcalc!$Q$10),"")</f>
        <v/>
      </c>
      <c r="M624" s="391">
        <f>AVERAGE(Ashed_controlls!$K$2:$K$11)</f>
        <v>5.5147656768714146</v>
      </c>
      <c r="N624" s="267" t="str">
        <f t="shared" si="46"/>
        <v/>
      </c>
      <c r="O624" s="267" t="str">
        <f>IF(IFERROR(INDEX('Both teabags AfterDry'!$D$3:$D$900,MATCH(J624,'Both teabags AfterDry'!$A$3:$A$900,0)),"")="","",(IFERROR(INDEX('Both teabags AfterDry'!$D$3:$D$900,MATCH(J624,'Both teabags AfterDry'!$A$3:$A$900,0)),"")))</f>
        <v/>
      </c>
      <c r="P624" s="267" t="str">
        <f>IFERROR(IF(O624&gt;0,O624-(TBIcalc!$Q$9),""),"")</f>
        <v/>
      </c>
      <c r="Q624" s="278" t="str">
        <f>IFERROR(INDEX('Ashed teabags dry'!$K$2:$K$825,MATCH(J624,'Ashed teabags dry'!$A$2:$A$825,0)),"")</f>
        <v/>
      </c>
      <c r="R624" s="278" t="str">
        <f t="shared" si="47"/>
        <v/>
      </c>
      <c r="S624" s="268">
        <f>'Dry_Litterbag Placem_Collection'!E185</f>
        <v>0</v>
      </c>
      <c r="T624" s="268" t="str">
        <f>IF('Dry_Litterbag Placem_Collection'!G185="","",'Dry_Litterbag Placem_Collection'!G185)</f>
        <v/>
      </c>
      <c r="U624" s="269" t="str">
        <f t="shared" si="45"/>
        <v/>
      </c>
      <c r="V624" s="267" t="str">
        <f t="shared" si="48"/>
        <v/>
      </c>
      <c r="W624" s="267" t="str">
        <f t="shared" si="49"/>
        <v/>
      </c>
      <c r="X624" s="271" t="str">
        <f>IFERROR(INDEX(Rainfall_Dry!$O$2:$O$217,MATCH(B624, Rainfall_Dry!$A$2:$A$217,0)),"")</f>
        <v/>
      </c>
      <c r="Y624" s="260">
        <v>25.96</v>
      </c>
      <c r="Z624" s="260">
        <v>8.9200000000000017</v>
      </c>
      <c r="AA624" s="260">
        <v>65.12</v>
      </c>
      <c r="AB624" s="261" t="s">
        <v>2670</v>
      </c>
      <c r="AC624" s="260">
        <v>7.6145884672252304</v>
      </c>
      <c r="AD624">
        <f>IF('WetLitterbags placem_collection'!AB185="","",'WetLitterbags placem_collection'!AB185)</f>
        <v>11.4</v>
      </c>
      <c r="AE624">
        <f>IF('WetLitterbags placem_collection'!Z185="","",'WetLitterbags placem_collection'!Z185)</f>
        <v>35.799999999999997</v>
      </c>
      <c r="AF624" s="24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71" t="str">
        <f>IFERROR(AVERAGE('Dry_Litterbag Placem_Collection'!N185,'Dry_Litterbag Placem_Collection'!Q185),"")</f>
        <v/>
      </c>
      <c r="AJ624" s="270">
        <f>INDEX(Coordinates!$B$2:$B$197,MATCH(G624,Coordinates!$J$2:$J$197,0))</f>
        <v>-2.2777790019999999</v>
      </c>
      <c r="AK624" s="270">
        <f>INDEX(Coordinates!$C$2:$C$197,MATCH(G624,Coordinates!$J$2:$J$197,0))</f>
        <v>34.028066029999998</v>
      </c>
      <c r="AL624" s="270" t="str">
        <f>IF(ISNUMBER(SEARCH("C", 'Dry_Litterbag Placem_Collection'!U185)),"YES","NO")</f>
        <v>NO</v>
      </c>
      <c r="AM624" s="270" t="str">
        <f>IF(ISNUMBER(SEARCH("H", 'Dry_Litterbag Placem_Collection'!U185)),"YES","NO")</f>
        <v>NO</v>
      </c>
      <c r="AN624" s="270" t="str">
        <f>IF(ISNUMBER(SEARCH("R", 'Dry_Litterbag Placem_Collection'!U185)),"YES","NO")</f>
        <v>NO</v>
      </c>
    </row>
    <row r="625" spans="1:40" ht="15" customHeight="1">
      <c r="A625" s="262" t="s">
        <v>2659</v>
      </c>
      <c r="B625" s="263">
        <f>'Dry_Litterbag Placem_Collection'!A186</f>
        <v>184</v>
      </c>
      <c r="C625" s="263" t="str">
        <f>'Dry_Litterbag Placem_Collection'!B186</f>
        <v>Handajega</v>
      </c>
      <c r="D625" s="263" t="s">
        <v>2659</v>
      </c>
      <c r="E625" s="263" t="s">
        <v>2661</v>
      </c>
      <c r="F625" s="263">
        <v>3</v>
      </c>
      <c r="G625" s="264" t="str">
        <f>'Dry_Litterbag Placem_Collection'!C186</f>
        <v>Wet_W3_T8</v>
      </c>
      <c r="H625" s="273" t="s">
        <v>3651</v>
      </c>
      <c r="I625" s="266" t="s">
        <v>1147</v>
      </c>
      <c r="J625" s="263" t="str">
        <f>IF(ISBLANK('Dry_Litterbag Placem_Collection'!L186),"","G"&amp;""&amp;'Dry_Litterbag Placem_Collection'!L186)</f>
        <v>G266</v>
      </c>
      <c r="K625" s="267">
        <f>IFERROR(INDEX('Green_rooibos initial weight'!$C$5:$C$1749,MATCH(J625, 'Green_rooibos initial weight'!$A$5:$A$1749,0)),"")</f>
        <v>1.9570000000000001</v>
      </c>
      <c r="L625" s="267">
        <f>IFERROR(K625-(TBIcalc!$Q$9+TBIcalc!$Q$10),"")</f>
        <v>1.7072000000000001</v>
      </c>
      <c r="M625" s="391">
        <f>AVERAGE(Ashed_controlls!$K$2:$K$11)</f>
        <v>5.5147656768714146</v>
      </c>
      <c r="N625" s="267">
        <f t="shared" si="46"/>
        <v>1.6130519203644513</v>
      </c>
      <c r="O625" s="267">
        <f>IF(IFERROR(INDEX('Both teabags AfterDry'!$D$3:$D$900,MATCH(J625,'Both teabags AfterDry'!$A$3:$A$900,0)),"")="","",(IFERROR(INDEX('Both teabags AfterDry'!$D$3:$D$900,MATCH(J625,'Both teabags AfterDry'!$A$3:$A$900,0)),"")))</f>
        <v>0.69879999999999998</v>
      </c>
      <c r="P625" s="267">
        <f>IFERROR(IF(O625&gt;0,O625-(TBIcalc!$Q$9),""),"")</f>
        <v>0.54820000000000002</v>
      </c>
      <c r="Q625" s="278">
        <f>IFERROR(INDEX('Ashed teabags dry'!$K$2:$K$825,MATCH(J625,'Ashed teabags dry'!$A$2:$A$825,0)),"")</f>
        <v>29.369282619161797</v>
      </c>
      <c r="R625" s="278">
        <f t="shared" si="47"/>
        <v>0.38719759268175502</v>
      </c>
      <c r="S625" s="268">
        <f>'Dry_Litterbag Placem_Collection'!E186</f>
        <v>42940</v>
      </c>
      <c r="T625" s="268">
        <f>IF('Dry_Litterbag Placem_Collection'!G186="","",'Dry_Litterbag Placem_Collection'!G186)</f>
        <v>43009</v>
      </c>
      <c r="U625" s="269">
        <f t="shared" si="45"/>
        <v>69</v>
      </c>
      <c r="V625" s="267">
        <f t="shared" si="48"/>
        <v>1.159</v>
      </c>
      <c r="W625" s="267">
        <f t="shared" si="49"/>
        <v>1.2258543276826963</v>
      </c>
      <c r="X625" s="271">
        <f>IFERROR(INDEX(Rainfall_Dry!$O$2:$O$217,MATCH(B625, Rainfall_Dry!$A$2:$A$217,0)),"")</f>
        <v>162.634207253</v>
      </c>
      <c r="Y625" s="260">
        <v>25.96</v>
      </c>
      <c r="Z625" s="260">
        <v>8.9200000000000017</v>
      </c>
      <c r="AA625" s="260">
        <v>65.12</v>
      </c>
      <c r="AB625" s="261" t="s">
        <v>2670</v>
      </c>
      <c r="AC625" s="260">
        <v>8.6145884672252304</v>
      </c>
      <c r="AD625">
        <f>IF('WetLitterbags placem_collection'!AB186="","",'WetLitterbags placem_collection'!AB186)</f>
        <v>3.7</v>
      </c>
      <c r="AE625">
        <f>IF('WetLitterbags placem_collection'!Z186="","",'WetLitterbags placem_collection'!Z186)</f>
        <v>16.399999999999999</v>
      </c>
      <c r="AF625" s="24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71">
        <f>IFERROR(AVERAGE('Dry_Litterbag Placem_Collection'!N186,'Dry_Litterbag Placem_Collection'!Q186),"")</f>
        <v>28.05</v>
      </c>
      <c r="AJ625" s="270">
        <f>INDEX(Coordinates!$B$2:$B$197,MATCH(G625,Coordinates!$J$2:$J$197,0))</f>
        <v>-2.2775169829999999</v>
      </c>
      <c r="AK625" s="270">
        <f>INDEX(Coordinates!$C$2:$C$197,MATCH(G625,Coordinates!$J$2:$J$197,0))</f>
        <v>34.027766970000002</v>
      </c>
      <c r="AL625" s="270" t="str">
        <f>IF(ISNUMBER(SEARCH("C", 'Dry_Litterbag Placem_Collection'!U186)),"YES","NO")</f>
        <v>NO</v>
      </c>
      <c r="AM625" s="270" t="str">
        <f>IF(ISNUMBER(SEARCH("H", 'Dry_Litterbag Placem_Collection'!U186)),"YES","NO")</f>
        <v>NO</v>
      </c>
      <c r="AN625" s="270" t="str">
        <f>IF(ISNUMBER(SEARCH("R", 'Dry_Litterbag Placem_Collection'!U186)),"YES","NO")</f>
        <v>YES</v>
      </c>
    </row>
    <row r="626" spans="1:40" ht="15" customHeight="1">
      <c r="A626" s="262" t="s">
        <v>2659</v>
      </c>
      <c r="B626" s="263">
        <f>'Dry_Litterbag Placem_Collection'!A187</f>
        <v>185</v>
      </c>
      <c r="C626" s="263" t="str">
        <f>'Dry_Litterbag Placem_Collection'!B187</f>
        <v>Handajega</v>
      </c>
      <c r="D626" s="263" t="s">
        <v>2659</v>
      </c>
      <c r="E626" s="263" t="s">
        <v>2661</v>
      </c>
      <c r="F626" s="263">
        <v>4</v>
      </c>
      <c r="G626" s="264" t="str">
        <f>'Dry_Litterbag Placem_Collection'!C187</f>
        <v>Wet_W4_T1</v>
      </c>
      <c r="H626" s="273" t="s">
        <v>3651</v>
      </c>
      <c r="I626" s="266" t="s">
        <v>1147</v>
      </c>
      <c r="J626" s="263" t="str">
        <f>IF(ISBLANK('Dry_Litterbag Placem_Collection'!L187),"","G"&amp;""&amp;'Dry_Litterbag Placem_Collection'!L187)</f>
        <v>G165</v>
      </c>
      <c r="K626" s="267">
        <f>IFERROR(INDEX('Green_rooibos initial weight'!$C$5:$C$1749,MATCH(J626, 'Green_rooibos initial weight'!$A$5:$A$1749,0)),"")</f>
        <v>2.0089999999999999</v>
      </c>
      <c r="L626" s="267">
        <f>IFERROR(K626-(TBIcalc!$Q$9+TBIcalc!$Q$10),"")</f>
        <v>1.7591999999999999</v>
      </c>
      <c r="M626" s="391">
        <f>AVERAGE(Ashed_controlls!$K$2:$K$11)</f>
        <v>5.5147656768714146</v>
      </c>
      <c r="N626" s="267">
        <f t="shared" si="46"/>
        <v>1.662184242212478</v>
      </c>
      <c r="O626" s="267" t="str">
        <f>IF(IFERROR(INDEX('Both teabags AfterDry'!$D$3:$D$900,MATCH(J626,'Both teabags AfterDry'!$A$3:$A$900,0)),"")="","",(IFERROR(INDEX('Both teabags AfterDry'!$D$3:$D$900,MATCH(J626,'Both teabags AfterDry'!$A$3:$A$900,0)),"")))</f>
        <v/>
      </c>
      <c r="P626" s="267" t="str">
        <f>IFERROR(IF(O626&gt;0,O626-(TBIcalc!$Q$9),""),"")</f>
        <v/>
      </c>
      <c r="Q626" s="278" t="str">
        <f>IFERROR(INDEX('Ashed teabags dry'!$K$2:$K$825,MATCH(J626,'Ashed teabags dry'!$A$2:$A$825,0)),"")</f>
        <v/>
      </c>
      <c r="R626" s="278" t="str">
        <f t="shared" si="47"/>
        <v/>
      </c>
      <c r="S626" s="268">
        <f>'Dry_Litterbag Placem_Collection'!E187</f>
        <v>42940</v>
      </c>
      <c r="T626" s="268">
        <f>IF('Dry_Litterbag Placem_Collection'!G187="","",'Dry_Litterbag Placem_Collection'!G187)</f>
        <v>43009</v>
      </c>
      <c r="U626" s="269">
        <f t="shared" si="45"/>
        <v>69</v>
      </c>
      <c r="V626" s="267" t="str">
        <f t="shared" si="48"/>
        <v/>
      </c>
      <c r="W626" s="267" t="str">
        <f t="shared" si="49"/>
        <v/>
      </c>
      <c r="X626" s="271">
        <f>IFERROR(INDEX(Rainfall_Dry!$O$2:$O$217,MATCH(B626, Rainfall_Dry!$A$2:$A$217,0)),"")</f>
        <v>162.634207253</v>
      </c>
      <c r="Y626" s="260">
        <v>25.96</v>
      </c>
      <c r="Z626" s="260">
        <v>8.9200000000000017</v>
      </c>
      <c r="AA626" s="260">
        <v>65.12</v>
      </c>
      <c r="AB626" s="261" t="s">
        <v>2670</v>
      </c>
      <c r="AC626" s="260">
        <v>1.6991621488417901</v>
      </c>
      <c r="AD626">
        <f>IF('WetLitterbags placem_collection'!AB187="","",'WetLitterbags placem_collection'!AB187)</f>
        <v>9.8000000000000007</v>
      </c>
      <c r="AE626">
        <f>IF('WetLitterbags placem_collection'!Z187="","",'WetLitterbags placem_collection'!Z187)</f>
        <v>29.4</v>
      </c>
      <c r="AF626" s="24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71">
        <f>IFERROR(AVERAGE('Dry_Litterbag Placem_Collection'!N187,'Dry_Litterbag Placem_Collection'!Q187),"")</f>
        <v>35</v>
      </c>
      <c r="AJ626" s="270">
        <f>INDEX(Coordinates!$B$2:$B$197,MATCH(G626,Coordinates!$J$2:$J$197,0))</f>
        <v>-2.2787330300000002</v>
      </c>
      <c r="AK626" s="270">
        <f>INDEX(Coordinates!$C$2:$C$197,MATCH(G626,Coordinates!$J$2:$J$197,0))</f>
        <v>34.032136029999997</v>
      </c>
      <c r="AL626" s="270" t="str">
        <f>IF(ISNUMBER(SEARCH("C", 'Dry_Litterbag Placem_Collection'!U187)),"YES","NO")</f>
        <v>NO</v>
      </c>
      <c r="AM626" s="270" t="str">
        <f>IF(ISNUMBER(SEARCH("H", 'Dry_Litterbag Placem_Collection'!U187)),"YES","NO")</f>
        <v>NO</v>
      </c>
      <c r="AN626" s="270" t="str">
        <f>IF(ISNUMBER(SEARCH("R", 'Dry_Litterbag Placem_Collection'!U187)),"YES","NO")</f>
        <v>YES</v>
      </c>
    </row>
    <row r="627" spans="1:40" ht="15" customHeight="1">
      <c r="A627" s="262" t="s">
        <v>2659</v>
      </c>
      <c r="B627" s="263">
        <f>'Dry_Litterbag Placem_Collection'!A188</f>
        <v>186</v>
      </c>
      <c r="C627" s="263" t="str">
        <f>'Dry_Litterbag Placem_Collection'!B188</f>
        <v>Handajega</v>
      </c>
      <c r="D627" s="263" t="s">
        <v>2659</v>
      </c>
      <c r="E627" s="263" t="s">
        <v>2661</v>
      </c>
      <c r="F627" s="263">
        <v>4</v>
      </c>
      <c r="G627" s="264" t="str">
        <f>'Dry_Litterbag Placem_Collection'!C188</f>
        <v>Wet_W4_T2</v>
      </c>
      <c r="H627" s="273" t="s">
        <v>3651</v>
      </c>
      <c r="I627" s="266" t="s">
        <v>1147</v>
      </c>
      <c r="J627" s="263" t="str">
        <f>IF(ISBLANK('Dry_Litterbag Placem_Collection'!L188),"","G"&amp;""&amp;'Dry_Litterbag Placem_Collection'!L188)</f>
        <v>G22</v>
      </c>
      <c r="K627" s="267">
        <f>IFERROR(INDEX('Green_rooibos initial weight'!$C$5:$C$1749,MATCH(J627, 'Green_rooibos initial weight'!$A$5:$A$1749,0)),"")</f>
        <v>2.1</v>
      </c>
      <c r="L627" s="267">
        <f>IFERROR(K627-(TBIcalc!$Q$9+TBIcalc!$Q$10),"")</f>
        <v>1.8502000000000001</v>
      </c>
      <c r="M627" s="391">
        <f>AVERAGE(Ashed_controlls!$K$2:$K$11)</f>
        <v>5.5147656768714146</v>
      </c>
      <c r="N627" s="267">
        <f t="shared" si="46"/>
        <v>1.7481658054465252</v>
      </c>
      <c r="O627" s="267">
        <f>IF(IFERROR(INDEX('Both teabags AfterDry'!$D$3:$D$900,MATCH(J627,'Both teabags AfterDry'!$A$3:$A$900,0)),"")="","",(IFERROR(INDEX('Both teabags AfterDry'!$D$3:$D$900,MATCH(J627,'Both teabags AfterDry'!$A$3:$A$900,0)),"")))</f>
        <v>0.7238</v>
      </c>
      <c r="P627" s="267">
        <f>IFERROR(IF(O627&gt;0,O627-(TBIcalc!$Q$9),""),"")</f>
        <v>0.57319999999999993</v>
      </c>
      <c r="Q627" s="278">
        <f>IFERROR(INDEX('Ashed teabags dry'!$K$2:$K$825,MATCH(J627,'Ashed teabags dry'!$A$2:$A$825,0)),"")</f>
        <v>19.430172816441186</v>
      </c>
      <c r="R627" s="278">
        <f t="shared" si="47"/>
        <v>0.46182624941615907</v>
      </c>
      <c r="S627" s="268">
        <f>'Dry_Litterbag Placem_Collection'!E188</f>
        <v>42940</v>
      </c>
      <c r="T627" s="268">
        <f>IF('Dry_Litterbag Placem_Collection'!G188="","",'Dry_Litterbag Placem_Collection'!G188)</f>
        <v>43009</v>
      </c>
      <c r="U627" s="269">
        <f t="shared" si="45"/>
        <v>69</v>
      </c>
      <c r="V627" s="267">
        <f t="shared" si="48"/>
        <v>1.2770000000000001</v>
      </c>
      <c r="W627" s="267">
        <f t="shared" si="49"/>
        <v>1.2863395560303661</v>
      </c>
      <c r="X627" s="271">
        <f>IFERROR(INDEX(Rainfall_Dry!$O$2:$O$217,MATCH(B627, Rainfall_Dry!$A$2:$A$217,0)),"")</f>
        <v>162.634207253</v>
      </c>
      <c r="Y627" s="260">
        <v>25.96</v>
      </c>
      <c r="Z627" s="260">
        <v>8.9200000000000017</v>
      </c>
      <c r="AA627" s="260">
        <v>65.12</v>
      </c>
      <c r="AB627" s="261" t="s">
        <v>2670</v>
      </c>
      <c r="AC627" s="260">
        <v>2.6991621488417898</v>
      </c>
      <c r="AD627">
        <f>IF('WetLitterbags placem_collection'!AB188="","",'WetLitterbags placem_collection'!AB188)</f>
        <v>11.4</v>
      </c>
      <c r="AE627">
        <f>IF('WetLitterbags placem_collection'!Z188="","",'WetLitterbags placem_collection'!Z188)</f>
        <v>45.4</v>
      </c>
      <c r="AF627" s="24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71">
        <f>IFERROR(AVERAGE('Dry_Litterbag Placem_Collection'!N188,'Dry_Litterbag Placem_Collection'!Q188),"")</f>
        <v>35.299999999999997</v>
      </c>
      <c r="AJ627" s="270">
        <f>INDEX(Coordinates!$B$2:$B$197,MATCH(G627,Coordinates!$J$2:$J$197,0))</f>
        <v>-2.278763037</v>
      </c>
      <c r="AK627" s="270">
        <f>INDEX(Coordinates!$C$2:$C$197,MATCH(G627,Coordinates!$J$2:$J$197,0))</f>
        <v>34.031974009999999</v>
      </c>
      <c r="AL627" s="270" t="str">
        <f>IF(ISNUMBER(SEARCH("C", 'Dry_Litterbag Placem_Collection'!U188)),"YES","NO")</f>
        <v>NO</v>
      </c>
      <c r="AM627" s="270" t="str">
        <f>IF(ISNUMBER(SEARCH("H", 'Dry_Litterbag Placem_Collection'!U188)),"YES","NO")</f>
        <v>NO</v>
      </c>
      <c r="AN627" s="270" t="str">
        <f>IF(ISNUMBER(SEARCH("R", 'Dry_Litterbag Placem_Collection'!U188)),"YES","NO")</f>
        <v>NO</v>
      </c>
    </row>
    <row r="628" spans="1:40" ht="15" customHeight="1">
      <c r="A628" s="262" t="s">
        <v>2659</v>
      </c>
      <c r="B628" s="263">
        <f>'Dry_Litterbag Placem_Collection'!A189</f>
        <v>187</v>
      </c>
      <c r="C628" s="263" t="str">
        <f>'Dry_Litterbag Placem_Collection'!B189</f>
        <v>Handajega</v>
      </c>
      <c r="D628" s="263" t="s">
        <v>2659</v>
      </c>
      <c r="E628" s="263" t="s">
        <v>2661</v>
      </c>
      <c r="F628" s="263">
        <v>4</v>
      </c>
      <c r="G628" s="264" t="str">
        <f>'Dry_Litterbag Placem_Collection'!C189</f>
        <v>Wet_W4_T3</v>
      </c>
      <c r="H628" s="273" t="s">
        <v>3651</v>
      </c>
      <c r="I628" s="266" t="s">
        <v>1147</v>
      </c>
      <c r="J628" s="263" t="str">
        <f>IF(ISBLANK('Dry_Litterbag Placem_Collection'!L189),"","G"&amp;""&amp;'Dry_Litterbag Placem_Collection'!L189)</f>
        <v>G371</v>
      </c>
      <c r="K628" s="267">
        <f>IFERROR(INDEX('Green_rooibos initial weight'!$C$5:$C$1749,MATCH(J628, 'Green_rooibos initial weight'!$A$5:$A$1749,0)),"")</f>
        <v>2.06</v>
      </c>
      <c r="L628" s="267">
        <f>IFERROR(K628-(TBIcalc!$Q$9+TBIcalc!$Q$10),"")</f>
        <v>1.8102</v>
      </c>
      <c r="M628" s="391">
        <f>AVERAGE(Ashed_controlls!$K$2:$K$11)</f>
        <v>5.5147656768714146</v>
      </c>
      <c r="N628" s="267">
        <f t="shared" si="46"/>
        <v>1.7103717117172736</v>
      </c>
      <c r="O628" s="267">
        <f>IF(IFERROR(INDEX('Both teabags AfterDry'!$D$3:$D$900,MATCH(J628,'Both teabags AfterDry'!$A$3:$A$900,0)),"")="","",(IFERROR(INDEX('Both teabags AfterDry'!$D$3:$D$900,MATCH(J628,'Both teabags AfterDry'!$A$3:$A$900,0)),"")))</f>
        <v>0.81369999999999998</v>
      </c>
      <c r="P628" s="267">
        <f>IFERROR(IF(O628&gt;0,O628-(TBIcalc!$Q$9),""),"")</f>
        <v>0.66310000000000002</v>
      </c>
      <c r="Q628" s="278">
        <f>IFERROR(INDEX('Ashed teabags dry'!$K$2:$K$825,MATCH(J628,'Ashed teabags dry'!$A$2:$A$825,0)),"")</f>
        <v>24.951361867703799</v>
      </c>
      <c r="R628" s="278">
        <f t="shared" si="47"/>
        <v>0.49764751945525609</v>
      </c>
      <c r="S628" s="268">
        <f>'Dry_Litterbag Placem_Collection'!E189</f>
        <v>42940</v>
      </c>
      <c r="T628" s="268">
        <f>IF('Dry_Litterbag Placem_Collection'!G189="","",'Dry_Litterbag Placem_Collection'!G189)</f>
        <v>43009</v>
      </c>
      <c r="U628" s="269">
        <f t="shared" si="45"/>
        <v>69</v>
      </c>
      <c r="V628" s="267">
        <f t="shared" si="48"/>
        <v>1.1471</v>
      </c>
      <c r="W628" s="267">
        <f t="shared" si="49"/>
        <v>1.2127241922620176</v>
      </c>
      <c r="X628" s="271">
        <f>IFERROR(INDEX(Rainfall_Dry!$O$2:$O$217,MATCH(B628, Rainfall_Dry!$A$2:$A$217,0)),"")</f>
        <v>162.634207253</v>
      </c>
      <c r="Y628" s="260">
        <v>25.96</v>
      </c>
      <c r="Z628" s="260">
        <v>8.9200000000000017</v>
      </c>
      <c r="AA628" s="260">
        <v>65.12</v>
      </c>
      <c r="AB628" s="261" t="s">
        <v>2670</v>
      </c>
      <c r="AC628" s="260">
        <v>3.6991621488417898</v>
      </c>
      <c r="AD628">
        <f>IF('WetLitterbags placem_collection'!AB189="","",'WetLitterbags placem_collection'!AB189)</f>
        <v>0.6</v>
      </c>
      <c r="AE628">
        <f>IF('WetLitterbags placem_collection'!Z189="","",'WetLitterbags placem_collection'!Z189)</f>
        <v>39.4</v>
      </c>
      <c r="AF628" s="24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71">
        <f>IFERROR(AVERAGE('Dry_Litterbag Placem_Collection'!N189,'Dry_Litterbag Placem_Collection'!Q189),"")</f>
        <v>35.150000000000006</v>
      </c>
      <c r="AJ628" s="270">
        <f>INDEX(Coordinates!$B$2:$B$197,MATCH(G628,Coordinates!$J$2:$J$197,0))</f>
        <v>-2.2785890289999999</v>
      </c>
      <c r="AK628" s="270">
        <f>INDEX(Coordinates!$C$2:$C$197,MATCH(G628,Coordinates!$J$2:$J$197,0))</f>
        <v>34.031841999999997</v>
      </c>
      <c r="AL628" s="270" t="str">
        <f>IF(ISNUMBER(SEARCH("C", 'Dry_Litterbag Placem_Collection'!U189)),"YES","NO")</f>
        <v>NO</v>
      </c>
      <c r="AM628" s="270" t="str">
        <f>IF(ISNUMBER(SEARCH("H", 'Dry_Litterbag Placem_Collection'!U189)),"YES","NO")</f>
        <v>NO</v>
      </c>
      <c r="AN628" s="270" t="str">
        <f>IF(ISNUMBER(SEARCH("R", 'Dry_Litterbag Placem_Collection'!U189)),"YES","NO")</f>
        <v>NO</v>
      </c>
    </row>
    <row r="629" spans="1:40" ht="15" customHeight="1">
      <c r="A629" s="262" t="s">
        <v>2659</v>
      </c>
      <c r="B629" s="263">
        <f>'Dry_Litterbag Placem_Collection'!A190</f>
        <v>188</v>
      </c>
      <c r="C629" s="263" t="str">
        <f>'Dry_Litterbag Placem_Collection'!B190</f>
        <v>Handajega</v>
      </c>
      <c r="D629" s="263" t="s">
        <v>2659</v>
      </c>
      <c r="E629" s="263" t="s">
        <v>2661</v>
      </c>
      <c r="F629" s="263">
        <v>4</v>
      </c>
      <c r="G629" s="264" t="str">
        <f>'Dry_Litterbag Placem_Collection'!C190</f>
        <v>Wet_W4_T4</v>
      </c>
      <c r="H629" s="273" t="s">
        <v>3651</v>
      </c>
      <c r="I629" s="266" t="s">
        <v>1147</v>
      </c>
      <c r="J629" s="263" t="str">
        <f>IF(ISBLANK('Dry_Litterbag Placem_Collection'!L190),"","G"&amp;""&amp;'Dry_Litterbag Placem_Collection'!L190)</f>
        <v>G185</v>
      </c>
      <c r="K629" s="267">
        <f>IFERROR(INDEX('Green_rooibos initial weight'!$C$5:$C$1749,MATCH(J629, 'Green_rooibos initial weight'!$A$5:$A$1749,0)),"")</f>
        <v>2.13</v>
      </c>
      <c r="L629" s="267">
        <f>IFERROR(K629-(TBIcalc!$Q$9+TBIcalc!$Q$10),"")</f>
        <v>1.8801999999999999</v>
      </c>
      <c r="M629" s="391">
        <f>AVERAGE(Ashed_controlls!$K$2:$K$11)</f>
        <v>5.5147656768714146</v>
      </c>
      <c r="N629" s="267">
        <f t="shared" si="46"/>
        <v>1.7765113757434636</v>
      </c>
      <c r="O629" s="267">
        <f>IF(IFERROR(INDEX('Both teabags AfterDry'!$D$3:$D$900,MATCH(J629,'Both teabags AfterDry'!$A$3:$A$900,0)),"")="","",(IFERROR(INDEX('Both teabags AfterDry'!$D$3:$D$900,MATCH(J629,'Both teabags AfterDry'!$A$3:$A$900,0)),"")))</f>
        <v>0.74670000000000003</v>
      </c>
      <c r="P629" s="267">
        <f>IFERROR(IF(O629&gt;0,O629-(TBIcalc!$Q$9),""),"")</f>
        <v>0.59610000000000007</v>
      </c>
      <c r="Q629" s="278">
        <f>IFERROR(INDEX('Ashed teabags dry'!$K$2:$K$825,MATCH(J629,'Ashed teabags dry'!$A$2:$A$825,0)),"")</f>
        <v>22.108345534406503</v>
      </c>
      <c r="R629" s="278">
        <f t="shared" si="47"/>
        <v>0.46431215226940292</v>
      </c>
      <c r="S629" s="268">
        <f>'Dry_Litterbag Placem_Collection'!E190</f>
        <v>42940</v>
      </c>
      <c r="T629" s="268">
        <f>IF('Dry_Litterbag Placem_Collection'!G190="","",'Dry_Litterbag Placem_Collection'!G190)</f>
        <v>43009</v>
      </c>
      <c r="U629" s="269">
        <f t="shared" si="45"/>
        <v>69</v>
      </c>
      <c r="V629" s="267">
        <f t="shared" si="48"/>
        <v>1.2840999999999998</v>
      </c>
      <c r="W629" s="267">
        <f t="shared" si="49"/>
        <v>1.3121992234740607</v>
      </c>
      <c r="X629" s="271">
        <f>IFERROR(INDEX(Rainfall_Dry!$O$2:$O$217,MATCH(B629, Rainfall_Dry!$A$2:$A$217,0)),"")</f>
        <v>162.634207253</v>
      </c>
      <c r="Y629" s="260">
        <v>25.96</v>
      </c>
      <c r="Z629" s="260">
        <v>8.9200000000000017</v>
      </c>
      <c r="AA629" s="260">
        <v>65.12</v>
      </c>
      <c r="AB629" s="261" t="s">
        <v>2670</v>
      </c>
      <c r="AC629" s="260">
        <v>4.6991621488417898</v>
      </c>
      <c r="AD629">
        <f>IF('WetLitterbags placem_collection'!AB190="","",'WetLitterbags placem_collection'!AB190)</f>
        <v>2.2999999999999998</v>
      </c>
      <c r="AE629">
        <f>IF('WetLitterbags placem_collection'!Z190="","",'WetLitterbags placem_collection'!Z190)</f>
        <v>14.4</v>
      </c>
      <c r="AF629" s="24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71">
        <f>IFERROR(AVERAGE('Dry_Litterbag Placem_Collection'!N190,'Dry_Litterbag Placem_Collection'!Q190),"")</f>
        <v>34.150000000000006</v>
      </c>
      <c r="AJ629" s="270">
        <f>INDEX(Coordinates!$B$2:$B$197,MATCH(G629,Coordinates!$J$2:$J$197,0))</f>
        <v>-2.278422983</v>
      </c>
      <c r="AK629" s="270">
        <f>INDEX(Coordinates!$C$2:$C$197,MATCH(G629,Coordinates!$J$2:$J$197,0))</f>
        <v>34.032261009999999</v>
      </c>
      <c r="AL629" s="270" t="str">
        <f>IF(ISNUMBER(SEARCH("C", 'Dry_Litterbag Placem_Collection'!U190)),"YES","NO")</f>
        <v>NO</v>
      </c>
      <c r="AM629" s="270" t="str">
        <f>IF(ISNUMBER(SEARCH("H", 'Dry_Litterbag Placem_Collection'!U190)),"YES","NO")</f>
        <v>NO</v>
      </c>
      <c r="AN629" s="270" t="str">
        <f>IF(ISNUMBER(SEARCH("R", 'Dry_Litterbag Placem_Collection'!U190)),"YES","NO")</f>
        <v>NO</v>
      </c>
    </row>
    <row r="630" spans="1:40" ht="15" customHeight="1">
      <c r="A630" s="262" t="s">
        <v>2659</v>
      </c>
      <c r="B630" s="263">
        <f>'Dry_Litterbag Placem_Collection'!A191</f>
        <v>189</v>
      </c>
      <c r="C630" s="263" t="str">
        <f>'Dry_Litterbag Placem_Collection'!B191</f>
        <v>Handajega</v>
      </c>
      <c r="D630" s="263" t="s">
        <v>2659</v>
      </c>
      <c r="E630" s="263" t="s">
        <v>2661</v>
      </c>
      <c r="F630" s="263">
        <v>4</v>
      </c>
      <c r="G630" s="264" t="str">
        <f>'Dry_Litterbag Placem_Collection'!C191</f>
        <v>Wet_W4_T5</v>
      </c>
      <c r="H630" s="273" t="s">
        <v>3651</v>
      </c>
      <c r="I630" s="266" t="s">
        <v>1147</v>
      </c>
      <c r="J630" s="263" t="str">
        <f>IF(ISBLANK('Dry_Litterbag Placem_Collection'!L191),"","G"&amp;""&amp;'Dry_Litterbag Placem_Collection'!L191)</f>
        <v>G301</v>
      </c>
      <c r="K630" s="267">
        <f>IFERROR(INDEX('Green_rooibos initial weight'!$C$5:$C$1749,MATCH(J630, 'Green_rooibos initial weight'!$A$5:$A$1749,0)),"")</f>
        <v>1.9379999999999999</v>
      </c>
      <c r="L630" s="267">
        <f>IFERROR(K630-(TBIcalc!$Q$9+TBIcalc!$Q$10),"")</f>
        <v>1.6881999999999999</v>
      </c>
      <c r="M630" s="391">
        <f>AVERAGE(Ashed_controlls!$K$2:$K$11)</f>
        <v>5.5147656768714146</v>
      </c>
      <c r="N630" s="267">
        <f t="shared" si="46"/>
        <v>1.5950997258430566</v>
      </c>
      <c r="O630" s="267">
        <f>IF(IFERROR(INDEX('Both teabags AfterDry'!$D$3:$D$900,MATCH(J630,'Both teabags AfterDry'!$A$3:$A$900,0)),"")="","",(IFERROR(INDEX('Both teabags AfterDry'!$D$3:$D$900,MATCH(J630,'Both teabags AfterDry'!$A$3:$A$900,0)),"")))</f>
        <v>0.66849999999999998</v>
      </c>
      <c r="P630" s="267">
        <f>IFERROR(IF(O630&gt;0,O630-(TBIcalc!$Q$9),""),"")</f>
        <v>0.51790000000000003</v>
      </c>
      <c r="Q630" s="278">
        <f>IFERROR(INDEX('Ashed teabags dry'!$K$2:$K$825,MATCH(J630,'Ashed teabags dry'!$A$2:$A$825,0)),"")</f>
        <v>15.626326963906347</v>
      </c>
      <c r="R630" s="278">
        <f t="shared" si="47"/>
        <v>0.43697125265392905</v>
      </c>
      <c r="S630" s="268">
        <f>'Dry_Litterbag Placem_Collection'!E191</f>
        <v>42940</v>
      </c>
      <c r="T630" s="268">
        <f>IF('Dry_Litterbag Placem_Collection'!G191="","",'Dry_Litterbag Placem_Collection'!G191)</f>
        <v>43009</v>
      </c>
      <c r="U630" s="269">
        <f t="shared" si="45"/>
        <v>69</v>
      </c>
      <c r="V630" s="267">
        <f t="shared" si="48"/>
        <v>1.1702999999999999</v>
      </c>
      <c r="W630" s="267">
        <f t="shared" si="49"/>
        <v>1.1581284731891275</v>
      </c>
      <c r="X630" s="271">
        <f>IFERROR(INDEX(Rainfall_Dry!$O$2:$O$217,MATCH(B630, Rainfall_Dry!$A$2:$A$217,0)),"")</f>
        <v>162.634207253</v>
      </c>
      <c r="Y630" s="260">
        <v>25.96</v>
      </c>
      <c r="Z630" s="260">
        <v>8.9200000000000017</v>
      </c>
      <c r="AA630" s="260">
        <v>65.12</v>
      </c>
      <c r="AB630" s="261" t="s">
        <v>2670</v>
      </c>
      <c r="AC630" s="260">
        <v>5.6991621488417898</v>
      </c>
      <c r="AD630">
        <f>IF('WetLitterbags placem_collection'!AB191="","",'WetLitterbags placem_collection'!AB191)</f>
        <v>0.6</v>
      </c>
      <c r="AE630">
        <f>IF('WetLitterbags placem_collection'!Z191="","",'WetLitterbags placem_collection'!Z191)</f>
        <v>7</v>
      </c>
      <c r="AF630" s="24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71">
        <f>IFERROR(AVERAGE('Dry_Litterbag Placem_Collection'!N191,'Dry_Litterbag Placem_Collection'!Q191),"")</f>
        <v>33</v>
      </c>
      <c r="AJ630" s="270">
        <f>INDEX(Coordinates!$B$2:$B$197,MATCH(G630,Coordinates!$J$2:$J$197,0))</f>
        <v>-2.2787580080000001</v>
      </c>
      <c r="AK630" s="270">
        <f>INDEX(Coordinates!$C$2:$C$197,MATCH(G630,Coordinates!$J$2:$J$197,0))</f>
        <v>34.032463010000001</v>
      </c>
      <c r="AL630" s="270" t="str">
        <f>IF(ISNUMBER(SEARCH("C", 'Dry_Litterbag Placem_Collection'!U191)),"YES","NO")</f>
        <v>NO</v>
      </c>
      <c r="AM630" s="270" t="str">
        <f>IF(ISNUMBER(SEARCH("H", 'Dry_Litterbag Placem_Collection'!U191)),"YES","NO")</f>
        <v>NO</v>
      </c>
      <c r="AN630" s="270" t="str">
        <f>IF(ISNUMBER(SEARCH("R", 'Dry_Litterbag Placem_Collection'!U191)),"YES","NO")</f>
        <v>YES</v>
      </c>
    </row>
    <row r="631" spans="1:40" ht="15" customHeight="1">
      <c r="A631" s="262" t="s">
        <v>2659</v>
      </c>
      <c r="B631" s="263">
        <f>'Dry_Litterbag Placem_Collection'!A192</f>
        <v>190</v>
      </c>
      <c r="C631" s="263" t="str">
        <f>'Dry_Litterbag Placem_Collection'!B192</f>
        <v>Handajega</v>
      </c>
      <c r="D631" s="263" t="s">
        <v>2659</v>
      </c>
      <c r="E631" s="263" t="s">
        <v>2661</v>
      </c>
      <c r="F631" s="263">
        <v>4</v>
      </c>
      <c r="G631" s="264" t="str">
        <f>'Dry_Litterbag Placem_Collection'!C192</f>
        <v>Wet_W4_T6</v>
      </c>
      <c r="H631" s="273" t="s">
        <v>3651</v>
      </c>
      <c r="I631" s="266" t="s">
        <v>1147</v>
      </c>
      <c r="J631" s="263" t="str">
        <f>IF(ISBLANK('Dry_Litterbag Placem_Collection'!L192),"","G"&amp;""&amp;'Dry_Litterbag Placem_Collection'!L192)</f>
        <v>G466</v>
      </c>
      <c r="K631" s="267">
        <f>IFERROR(INDEX('Green_rooibos initial weight'!$C$5:$C$1749,MATCH(J631, 'Green_rooibos initial weight'!$A$5:$A$1749,0)),"")</f>
        <v>1.9319999999999999</v>
      </c>
      <c r="L631" s="267">
        <f>IFERROR(K631-(TBIcalc!$Q$9+TBIcalc!$Q$10),"")</f>
        <v>1.6821999999999999</v>
      </c>
      <c r="M631" s="391">
        <f>AVERAGE(Ashed_controlls!$K$2:$K$11)</f>
        <v>5.5147656768714146</v>
      </c>
      <c r="N631" s="267">
        <f t="shared" si="46"/>
        <v>1.589430611783669</v>
      </c>
      <c r="O631" s="267">
        <f>IF(IFERROR(INDEX('Both teabags AfterDry'!$D$3:$D$900,MATCH(J631,'Both teabags AfterDry'!$A$3:$A$900,0)),"")="","",(IFERROR(INDEX('Both teabags AfterDry'!$D$3:$D$900,MATCH(J631,'Both teabags AfterDry'!$A$3:$A$900,0)),"")))</f>
        <v>0.81599999999999995</v>
      </c>
      <c r="P631" s="267">
        <f>IFERROR(IF(O631&gt;0,O631-(TBIcalc!$Q$9),""),"")</f>
        <v>0.66539999999999999</v>
      </c>
      <c r="Q631" s="278">
        <f>IFERROR(INDEX('Ashed teabags dry'!$K$2:$K$825,MATCH(J631,'Ashed teabags dry'!$A$2:$A$825,0)),"")</f>
        <v>24.385447394296765</v>
      </c>
      <c r="R631" s="278">
        <f t="shared" si="47"/>
        <v>0.50313923303834929</v>
      </c>
      <c r="S631" s="268">
        <f>'Dry_Litterbag Placem_Collection'!E192</f>
        <v>42940</v>
      </c>
      <c r="T631" s="268">
        <f>IF('Dry_Litterbag Placem_Collection'!G192="","",'Dry_Litterbag Placem_Collection'!G192)</f>
        <v>43009</v>
      </c>
      <c r="U631" s="269">
        <f t="shared" si="45"/>
        <v>69</v>
      </c>
      <c r="V631" s="267">
        <f t="shared" si="48"/>
        <v>1.0167999999999999</v>
      </c>
      <c r="W631" s="267">
        <f t="shared" si="49"/>
        <v>1.0862913787453197</v>
      </c>
      <c r="X631" s="271">
        <f>IFERROR(INDEX(Rainfall_Dry!$O$2:$O$217,MATCH(B631, Rainfall_Dry!$A$2:$A$217,0)),"")</f>
        <v>162.634207253</v>
      </c>
      <c r="Y631" s="260">
        <v>25.96</v>
      </c>
      <c r="Z631" s="260">
        <v>8.9200000000000017</v>
      </c>
      <c r="AA631" s="260">
        <v>65.12</v>
      </c>
      <c r="AB631" s="261" t="s">
        <v>2670</v>
      </c>
      <c r="AC631" s="260">
        <v>6.6991621488417898</v>
      </c>
      <c r="AD631">
        <f>IF('WetLitterbags placem_collection'!AB192="","",'WetLitterbags placem_collection'!AB192)</f>
        <v>9.5</v>
      </c>
      <c r="AE631">
        <f>IF('WetLitterbags placem_collection'!Z192="","",'WetLitterbags placem_collection'!Z192)</f>
        <v>17.399999999999999</v>
      </c>
      <c r="AF631" s="24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71">
        <f>IFERROR(AVERAGE('Dry_Litterbag Placem_Collection'!N192,'Dry_Litterbag Placem_Collection'!Q192),"")</f>
        <v>36.049999999999997</v>
      </c>
      <c r="AJ631" s="270">
        <f>INDEX(Coordinates!$B$2:$B$197,MATCH(G631,Coordinates!$J$2:$J$197,0))</f>
        <v>-2.2787559960000001</v>
      </c>
      <c r="AK631" s="270">
        <f>INDEX(Coordinates!$C$2:$C$197,MATCH(G631,Coordinates!$J$2:$J$197,0))</f>
        <v>34.032268969999997</v>
      </c>
      <c r="AL631" s="270" t="str">
        <f>IF(ISNUMBER(SEARCH("C", 'Dry_Litterbag Placem_Collection'!U192)),"YES","NO")</f>
        <v>NO</v>
      </c>
      <c r="AM631" s="270" t="str">
        <f>IF(ISNUMBER(SEARCH("H", 'Dry_Litterbag Placem_Collection'!U192)),"YES","NO")</f>
        <v>NO</v>
      </c>
      <c r="AN631" s="270" t="str">
        <f>IF(ISNUMBER(SEARCH("R", 'Dry_Litterbag Placem_Collection'!U192)),"YES","NO")</f>
        <v>NO</v>
      </c>
    </row>
    <row r="632" spans="1:40" ht="15" customHeight="1">
      <c r="A632" s="262" t="s">
        <v>2659</v>
      </c>
      <c r="B632" s="263">
        <f>'Dry_Litterbag Placem_Collection'!A193</f>
        <v>191</v>
      </c>
      <c r="C632" s="263" t="str">
        <f>'Dry_Litterbag Placem_Collection'!B193</f>
        <v>Handajega</v>
      </c>
      <c r="D632" s="263" t="s">
        <v>2659</v>
      </c>
      <c r="E632" s="263" t="s">
        <v>2661</v>
      </c>
      <c r="F632" s="263">
        <v>4</v>
      </c>
      <c r="G632" s="264" t="str">
        <f>'Dry_Litterbag Placem_Collection'!C193</f>
        <v>Wet_W4_T7</v>
      </c>
      <c r="H632" s="273" t="s">
        <v>3651</v>
      </c>
      <c r="I632" s="266" t="s">
        <v>1147</v>
      </c>
      <c r="J632" s="263" t="str">
        <f>IF(ISBLANK('Dry_Litterbag Placem_Collection'!L193),"","G"&amp;""&amp;'Dry_Litterbag Placem_Collection'!L193)</f>
        <v>G32</v>
      </c>
      <c r="K632" s="267">
        <f>IFERROR(INDEX('Green_rooibos initial weight'!$C$5:$C$1749,MATCH(J632, 'Green_rooibos initial weight'!$A$5:$A$1749,0)),"")</f>
        <v>2.0510000000000002</v>
      </c>
      <c r="L632" s="267">
        <f>IFERROR(K632-(TBIcalc!$Q$9+TBIcalc!$Q$10),"")</f>
        <v>1.8012000000000001</v>
      </c>
      <c r="M632" s="391">
        <f>AVERAGE(Ashed_controlls!$K$2:$K$11)</f>
        <v>5.5147656768714146</v>
      </c>
      <c r="N632" s="267">
        <f t="shared" si="46"/>
        <v>1.7018680406281923</v>
      </c>
      <c r="O632" s="267">
        <f>IF(IFERROR(INDEX('Both teabags AfterDry'!$D$3:$D$900,MATCH(J632,'Both teabags AfterDry'!$A$3:$A$900,0)),"")="","",(IFERROR(INDEX('Both teabags AfterDry'!$D$3:$D$900,MATCH(J632,'Both teabags AfterDry'!$A$3:$A$900,0)),"")))</f>
        <v>0.77580000000000005</v>
      </c>
      <c r="P632" s="267">
        <f>IFERROR(IF(O632&gt;0,O632-(TBIcalc!$Q$9),""),"")</f>
        <v>0.62519999999999998</v>
      </c>
      <c r="Q632" s="278">
        <f>IFERROR(INDEX('Ashed teabags dry'!$K$2:$K$825,MATCH(J632,'Ashed teabags dry'!$A$2:$A$825,0)),"")</f>
        <v>25.871121718377726</v>
      </c>
      <c r="R632" s="278">
        <f t="shared" si="47"/>
        <v>0.46345374701670244</v>
      </c>
      <c r="S632" s="268">
        <f>'Dry_Litterbag Placem_Collection'!E193</f>
        <v>42940</v>
      </c>
      <c r="T632" s="268">
        <f>IF('Dry_Litterbag Placem_Collection'!G193="","",'Dry_Litterbag Placem_Collection'!G193)</f>
        <v>43009</v>
      </c>
      <c r="U632" s="269">
        <f t="shared" si="45"/>
        <v>69</v>
      </c>
      <c r="V632" s="267">
        <f t="shared" si="48"/>
        <v>1.1760000000000002</v>
      </c>
      <c r="W632" s="267">
        <f t="shared" si="49"/>
        <v>1.2384142936114899</v>
      </c>
      <c r="X632" s="271">
        <f>IFERROR(INDEX(Rainfall_Dry!$O$2:$O$217,MATCH(B632, Rainfall_Dry!$A$2:$A$217,0)),"")</f>
        <v>162.634207253</v>
      </c>
      <c r="Y632" s="260">
        <v>25.96</v>
      </c>
      <c r="Z632" s="260">
        <v>8.9200000000000017</v>
      </c>
      <c r="AA632" s="260">
        <v>65.12</v>
      </c>
      <c r="AB632" s="261" t="s">
        <v>2670</v>
      </c>
      <c r="AC632" s="260">
        <v>7.6991621488417898</v>
      </c>
      <c r="AD632">
        <f>IF('WetLitterbags placem_collection'!AB193="","",'WetLitterbags placem_collection'!AB193)</f>
        <v>12.4</v>
      </c>
      <c r="AE632">
        <f>IF('WetLitterbags placem_collection'!Z193="","",'WetLitterbags placem_collection'!Z193)</f>
        <v>29.8</v>
      </c>
      <c r="AF632" s="24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71">
        <f>IFERROR(AVERAGE('Dry_Litterbag Placem_Collection'!N193,'Dry_Litterbag Placem_Collection'!Q193),"")</f>
        <v>36.349999999999994</v>
      </c>
      <c r="AJ632" s="270">
        <f>INDEX(Coordinates!$B$2:$B$197,MATCH(G632,Coordinates!$J$2:$J$197,0))</f>
        <v>-2.278704029</v>
      </c>
      <c r="AK632" s="270">
        <f>INDEX(Coordinates!$C$2:$C$197,MATCH(G632,Coordinates!$J$2:$J$197,0))</f>
        <v>34.032182970000001</v>
      </c>
      <c r="AL632" s="270" t="str">
        <f>IF(ISNUMBER(SEARCH("C", 'Dry_Litterbag Placem_Collection'!U193)),"YES","NO")</f>
        <v>NO</v>
      </c>
      <c r="AM632" s="270" t="str">
        <f>IF(ISNUMBER(SEARCH("H", 'Dry_Litterbag Placem_Collection'!U193)),"YES","NO")</f>
        <v>NO</v>
      </c>
      <c r="AN632" s="270" t="str">
        <f>IF(ISNUMBER(SEARCH("R", 'Dry_Litterbag Placem_Collection'!U193)),"YES","NO")</f>
        <v>NO</v>
      </c>
    </row>
    <row r="633" spans="1:40" ht="15" customHeight="1">
      <c r="A633" s="262" t="s">
        <v>2659</v>
      </c>
      <c r="B633" s="263">
        <f>'Dry_Litterbag Placem_Collection'!A194</f>
        <v>192</v>
      </c>
      <c r="C633" s="263" t="str">
        <f>'Dry_Litterbag Placem_Collection'!B194</f>
        <v>Handajega</v>
      </c>
      <c r="D633" s="263" t="s">
        <v>2659</v>
      </c>
      <c r="E633" s="263" t="s">
        <v>2661</v>
      </c>
      <c r="F633" s="263">
        <v>4</v>
      </c>
      <c r="G633" s="264" t="str">
        <f>'Dry_Litterbag Placem_Collection'!C194</f>
        <v>Wet_W4_T8</v>
      </c>
      <c r="H633" s="273" t="s">
        <v>3651</v>
      </c>
      <c r="I633" s="266" t="s">
        <v>1147</v>
      </c>
      <c r="J633" s="263" t="str">
        <f>IF(ISBLANK('Dry_Litterbag Placem_Collection'!L194),"","G"&amp;""&amp;'Dry_Litterbag Placem_Collection'!L194)</f>
        <v/>
      </c>
      <c r="K633" s="267" t="str">
        <f>IFERROR(INDEX('Green_rooibos initial weight'!$C$5:$C$1749,MATCH(J633, 'Green_rooibos initial weight'!$A$5:$A$1749,0)),"")</f>
        <v/>
      </c>
      <c r="L633" s="267" t="str">
        <f>IFERROR(K633-(TBIcalc!$Q$9+TBIcalc!$Q$10),"")</f>
        <v/>
      </c>
      <c r="M633" s="391">
        <f>AVERAGE(Ashed_controlls!$K$2:$K$11)</f>
        <v>5.5147656768714146</v>
      </c>
      <c r="N633" s="267" t="str">
        <f t="shared" si="46"/>
        <v/>
      </c>
      <c r="O633" s="267" t="str">
        <f>IF(IFERROR(INDEX('Both teabags AfterDry'!$D$3:$D$900,MATCH(J633,'Both teabags AfterDry'!$A$3:$A$900,0)),"")="","",(IFERROR(INDEX('Both teabags AfterDry'!$D$3:$D$900,MATCH(J633,'Both teabags AfterDry'!$A$3:$A$900,0)),"")))</f>
        <v/>
      </c>
      <c r="P633" s="267" t="str">
        <f>IFERROR(IF(O633&gt;0,O633-(TBIcalc!$Q$9),""),"")</f>
        <v/>
      </c>
      <c r="Q633" s="278" t="str">
        <f>IFERROR(INDEX('Ashed teabags dry'!$K$2:$K$825,MATCH(J633,'Ashed teabags dry'!$A$2:$A$825,0)),"")</f>
        <v/>
      </c>
      <c r="R633" s="278" t="str">
        <f t="shared" si="47"/>
        <v/>
      </c>
      <c r="S633" s="268">
        <f>'Dry_Litterbag Placem_Collection'!E194</f>
        <v>0</v>
      </c>
      <c r="T633" s="268" t="str">
        <f>IF('Dry_Litterbag Placem_Collection'!G194="","",'Dry_Litterbag Placem_Collection'!G194)</f>
        <v/>
      </c>
      <c r="U633" s="269" t="str">
        <f t="shared" si="45"/>
        <v/>
      </c>
      <c r="V633" s="267" t="str">
        <f t="shared" si="48"/>
        <v/>
      </c>
      <c r="W633" s="267" t="str">
        <f t="shared" si="49"/>
        <v/>
      </c>
      <c r="X633" s="271" t="str">
        <f>IFERROR(INDEX(Rainfall_Dry!$O$2:$O$217,MATCH(B633, Rainfall_Dry!$A$2:$A$217,0)),"")</f>
        <v/>
      </c>
      <c r="Y633" s="260">
        <v>25.96</v>
      </c>
      <c r="Z633" s="260">
        <v>8.9200000000000017</v>
      </c>
      <c r="AA633" s="260">
        <v>65.12</v>
      </c>
      <c r="AB633" s="261" t="s">
        <v>2670</v>
      </c>
      <c r="AC633" s="260">
        <v>8.6991621488417898</v>
      </c>
      <c r="AD633">
        <f>IF('WetLitterbags placem_collection'!AB194="","",'WetLitterbags placem_collection'!AB194)</f>
        <v>3.6</v>
      </c>
      <c r="AE633">
        <f>IF('WetLitterbags placem_collection'!Z194="","",'WetLitterbags placem_collection'!Z194)</f>
        <v>37.799999999999997</v>
      </c>
      <c r="AF633" s="24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71" t="str">
        <f>IFERROR(AVERAGE('Dry_Litterbag Placem_Collection'!N194,'Dry_Litterbag Placem_Collection'!Q194),"")</f>
        <v/>
      </c>
      <c r="AJ633" s="270">
        <f>INDEX(Coordinates!$B$2:$B$197,MATCH(G633,Coordinates!$J$2:$J$197,0))</f>
        <v>-2.2789770269999998</v>
      </c>
      <c r="AK633" s="270">
        <f>INDEX(Coordinates!$C$2:$C$197,MATCH(G633,Coordinates!$J$2:$J$197,0))</f>
        <v>34.032051039999999</v>
      </c>
      <c r="AL633" s="270" t="str">
        <f>IF(ISNUMBER(SEARCH("C", 'Dry_Litterbag Placem_Collection'!U194)),"YES","NO")</f>
        <v>NO</v>
      </c>
      <c r="AM633" s="270" t="str">
        <f>IF(ISNUMBER(SEARCH("H", 'Dry_Litterbag Placem_Collection'!U194)),"YES","NO")</f>
        <v>NO</v>
      </c>
      <c r="AN633" s="270" t="str">
        <f>IF(ISNUMBER(SEARCH("R", 'Dry_Litterbag Placem_Collection'!U194)),"YES","NO")</f>
        <v>NO</v>
      </c>
    </row>
    <row r="634" spans="1:40" ht="15" customHeight="1">
      <c r="A634" s="262" t="s">
        <v>2659</v>
      </c>
      <c r="B634" s="263">
        <f>'Dry_Litterbag Placem_Collection'!A195</f>
        <v>193</v>
      </c>
      <c r="C634" s="263" t="str">
        <f>'Dry_Litterbag Placem_Collection'!B195</f>
        <v>Makao</v>
      </c>
      <c r="D634" s="263" t="s">
        <v>2659</v>
      </c>
      <c r="E634" s="263" t="s">
        <v>2526</v>
      </c>
      <c r="F634" s="263">
        <v>4</v>
      </c>
      <c r="G634" s="264" t="str">
        <f>'Dry_Litterbag Placem_Collection'!C195</f>
        <v>Dry_Ag1_CG4</v>
      </c>
      <c r="H634" s="273" t="s">
        <v>3651</v>
      </c>
      <c r="I634" s="266" t="s">
        <v>1147</v>
      </c>
      <c r="J634" s="263" t="str">
        <f>IF(ISBLANK('Dry_Litterbag Placem_Collection'!L195),"","G"&amp;""&amp;'Dry_Litterbag Placem_Collection'!L195)</f>
        <v>G45</v>
      </c>
      <c r="K634" s="267">
        <f>IFERROR(INDEX('Green_rooibos initial weight'!$C$5:$C$1749,MATCH(J634, 'Green_rooibos initial weight'!$A$5:$A$1749,0)),"")</f>
        <v>2.0779999999999998</v>
      </c>
      <c r="L634" s="267">
        <f>IFERROR(K634-(TBIcalc!$Q$9+TBIcalc!$Q$10),"")</f>
        <v>1.8281999999999998</v>
      </c>
      <c r="M634" s="391">
        <f>AVERAGE(Ashed_controlls!$K$2:$K$11)</f>
        <v>5.5147656768714146</v>
      </c>
      <c r="N634" s="267">
        <f t="shared" si="46"/>
        <v>1.7273790538954366</v>
      </c>
      <c r="O634" s="267">
        <f>IF(IFERROR(INDEX('Both teabags AfterDry'!$D$3:$D$900,MATCH(J634,'Both teabags AfterDry'!$A$3:$A$900,0)),"")="","",(IFERROR(INDEX('Both teabags AfterDry'!$D$3:$D$900,MATCH(J634,'Both teabags AfterDry'!$A$3:$A$900,0)),"")))</f>
        <v>0.82699999999999996</v>
      </c>
      <c r="P634" s="267">
        <f>IFERROR(IF(O634&gt;0,O634-(TBIcalc!$Q$9),""),"")</f>
        <v>0.67639999999999989</v>
      </c>
      <c r="Q634" s="278">
        <f>IFERROR(INDEX('Ashed teabags dry'!$K$2:$K$825,MATCH(J634,'Ashed teabags dry'!$A$2:$A$825,0)),"")</f>
        <v>13.455953533397516</v>
      </c>
      <c r="R634" s="278">
        <f t="shared" si="47"/>
        <v>0.58538393030009916</v>
      </c>
      <c r="S634" s="268">
        <f>'Dry_Litterbag Placem_Collection'!E195</f>
        <v>42942</v>
      </c>
      <c r="T634" s="268">
        <f>IF('Dry_Litterbag Placem_Collection'!G195="","",'Dry_Litterbag Placem_Collection'!G195)</f>
        <v>43004</v>
      </c>
      <c r="U634" s="269">
        <f t="shared" si="45"/>
        <v>62</v>
      </c>
      <c r="V634" s="267">
        <f t="shared" si="48"/>
        <v>1.1517999999999999</v>
      </c>
      <c r="W634" s="267">
        <f t="shared" si="49"/>
        <v>1.1419951235953374</v>
      </c>
      <c r="X634" s="271">
        <f>IFERROR(INDEX(Rainfall_Dry!$O$2:$O$217,MATCH(B634, Rainfall_Dry!$A$2:$A$217,0)),"")</f>
        <v>171.84818423999999</v>
      </c>
      <c r="Y634" s="260">
        <v>12.565665055683967</v>
      </c>
      <c r="Z634" s="260">
        <v>0.9665896196679955</v>
      </c>
      <c r="AA634" s="260">
        <v>86.467745324648035</v>
      </c>
      <c r="AB634" s="261" t="s">
        <v>2672</v>
      </c>
      <c r="AC634" s="260">
        <v>1.0225726959093147</v>
      </c>
      <c r="AD634">
        <f>IF('WetLitterbags placem_collection'!AB195="","",'WetLitterbags placem_collection'!AB195)</f>
        <v>15.2</v>
      </c>
      <c r="AE634">
        <f>IF('WetLitterbags placem_collection'!Z195="","",'WetLitterbags placem_collection'!Z195)</f>
        <v>12.2</v>
      </c>
      <c r="AF634" s="24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71">
        <f>IFERROR(AVERAGE('Dry_Litterbag Placem_Collection'!N195,'Dry_Litterbag Placem_Collection'!Q195),"")</f>
        <v>28.799999999999997</v>
      </c>
      <c r="AJ634">
        <v>-2.4396949910000001</v>
      </c>
      <c r="AK634">
        <v>34.838574029999997</v>
      </c>
      <c r="AL634" s="270" t="str">
        <f>IF(ISNUMBER(SEARCH("C", 'Dry_Litterbag Placem_Collection'!U195)),"YES","NO")</f>
        <v>NO</v>
      </c>
      <c r="AM634" s="270" t="str">
        <f>IF(ISNUMBER(SEARCH("H", 'Dry_Litterbag Placem_Collection'!U195)),"YES","NO")</f>
        <v>NO</v>
      </c>
      <c r="AN634" s="270" t="str">
        <f>IF(ISNUMBER(SEARCH("R", 'Dry_Litterbag Placem_Collection'!U195)),"YES","NO")</f>
        <v>YES</v>
      </c>
    </row>
    <row r="635" spans="1:40" ht="15" customHeight="1">
      <c r="A635" s="262" t="s">
        <v>2659</v>
      </c>
      <c r="B635" s="263">
        <f>'Dry_Litterbag Placem_Collection'!A196</f>
        <v>194</v>
      </c>
      <c r="C635" s="263" t="str">
        <f>'Dry_Litterbag Placem_Collection'!B196</f>
        <v>Makao</v>
      </c>
      <c r="D635" s="263" t="s">
        <v>2659</v>
      </c>
      <c r="E635" s="263" t="s">
        <v>2526</v>
      </c>
      <c r="F635" s="263">
        <v>3</v>
      </c>
      <c r="G635" s="264" t="str">
        <f>'Dry_Litterbag Placem_Collection'!C196</f>
        <v>Dry_Ag2_CG3</v>
      </c>
      <c r="H635" s="273" t="s">
        <v>3651</v>
      </c>
      <c r="I635" s="266" t="s">
        <v>1147</v>
      </c>
      <c r="J635" s="263" t="str">
        <f>IF(ISBLANK('Dry_Litterbag Placem_Collection'!L196),"","G"&amp;""&amp;'Dry_Litterbag Placem_Collection'!L196)</f>
        <v>G90</v>
      </c>
      <c r="K635" s="267">
        <f>IFERROR(INDEX('Green_rooibos initial weight'!$C$5:$C$1749,MATCH(J635, 'Green_rooibos initial weight'!$A$5:$A$1749,0)),"")</f>
        <v>2.0409999999999999</v>
      </c>
      <c r="L635" s="267">
        <f>IFERROR(K635-(TBIcalc!$Q$9+TBIcalc!$Q$10),"")</f>
        <v>1.7911999999999999</v>
      </c>
      <c r="M635" s="391">
        <f>AVERAGE(Ashed_controlls!$K$2:$K$11)</f>
        <v>5.5147656768714146</v>
      </c>
      <c r="N635" s="267">
        <f t="shared" si="46"/>
        <v>1.6924195171958791</v>
      </c>
      <c r="O635" s="267">
        <f>IF(IFERROR(INDEX('Both teabags AfterDry'!$D$3:$D$900,MATCH(J635,'Both teabags AfterDry'!$A$3:$A$900,0)),"")="","",(IFERROR(INDEX('Both teabags AfterDry'!$D$3:$D$900,MATCH(J635,'Both teabags AfterDry'!$A$3:$A$900,0)),"")))</f>
        <v>0.74199999999999999</v>
      </c>
      <c r="P635" s="267">
        <f>IFERROR(IF(O635&gt;0,O635-(TBIcalc!$Q$9),""),"")</f>
        <v>0.59139999999999993</v>
      </c>
      <c r="Q635" s="278">
        <f>IFERROR(INDEX('Ashed teabags dry'!$K$2:$K$825,MATCH(J635,'Ashed teabags dry'!$A$2:$A$825,0)),"")</f>
        <v>15.52150271873475</v>
      </c>
      <c r="R635" s="278">
        <f t="shared" si="47"/>
        <v>0.49960583292140259</v>
      </c>
      <c r="S635" s="268">
        <f>'Dry_Litterbag Placem_Collection'!E196</f>
        <v>42942</v>
      </c>
      <c r="T635" s="268">
        <f>IF('Dry_Litterbag Placem_Collection'!G196="","",'Dry_Litterbag Placem_Collection'!G196)</f>
        <v>43004</v>
      </c>
      <c r="U635" s="269">
        <f t="shared" si="45"/>
        <v>62</v>
      </c>
      <c r="V635" s="267">
        <f t="shared" si="48"/>
        <v>1.1998</v>
      </c>
      <c r="W635" s="267">
        <f t="shared" si="49"/>
        <v>1.1928136842744765</v>
      </c>
      <c r="X635" s="271">
        <f>IFERROR(INDEX(Rainfall_Dry!$O$2:$O$217,MATCH(B635, Rainfall_Dry!$A$2:$A$217,0)),"")</f>
        <v>171.84818423999999</v>
      </c>
      <c r="Y635" s="260">
        <v>21.13063730679653</v>
      </c>
      <c r="Z635" s="260">
        <v>3.0912555579081076</v>
      </c>
      <c r="AA635" s="260">
        <v>75.778107135295357</v>
      </c>
      <c r="AB635" s="261" t="s">
        <v>2670</v>
      </c>
      <c r="AC635" s="260">
        <v>0.46131099063578063</v>
      </c>
      <c r="AD635">
        <f>IF('WetLitterbags placem_collection'!AB196="","",'WetLitterbags placem_collection'!AB196)</f>
        <v>7.9</v>
      </c>
      <c r="AE635">
        <f>IF('WetLitterbags placem_collection'!Z196="","",'WetLitterbags placem_collection'!Z196)</f>
        <v>7.9</v>
      </c>
      <c r="AF635" s="24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71">
        <f>IFERROR(AVERAGE('Dry_Litterbag Placem_Collection'!N196,'Dry_Litterbag Placem_Collection'!Q196),"")</f>
        <v>30.849999999999998</v>
      </c>
      <c r="AJ635">
        <v>-2.4395990190000001</v>
      </c>
      <c r="AK635">
        <v>34.838418959999998</v>
      </c>
      <c r="AL635" s="270" t="str">
        <f>IF(ISNUMBER(SEARCH("C", 'Dry_Litterbag Placem_Collection'!U196)),"YES","NO")</f>
        <v>NO</v>
      </c>
      <c r="AM635" s="270" t="str">
        <f>IF(ISNUMBER(SEARCH("H", 'Dry_Litterbag Placem_Collection'!U196)),"YES","NO")</f>
        <v>NO</v>
      </c>
      <c r="AN635" s="270" t="str">
        <f>IF(ISNUMBER(SEARCH("R", 'Dry_Litterbag Placem_Collection'!U196)),"YES","NO")</f>
        <v>YES</v>
      </c>
    </row>
    <row r="636" spans="1:40" ht="15" customHeight="1">
      <c r="A636" s="262" t="s">
        <v>2659</v>
      </c>
      <c r="B636" s="263">
        <f>'Dry_Litterbag Placem_Collection'!A197</f>
        <v>195</v>
      </c>
      <c r="C636" s="263" t="str">
        <f>'Dry_Litterbag Placem_Collection'!B197</f>
        <v>Makao</v>
      </c>
      <c r="D636" s="263" t="s">
        <v>2659</v>
      </c>
      <c r="E636" s="263" t="s">
        <v>2526</v>
      </c>
      <c r="F636" s="263">
        <v>2</v>
      </c>
      <c r="G636" s="264" t="str">
        <f>'Dry_Litterbag Placem_Collection'!C197</f>
        <v>Dry_Ag3_CG2</v>
      </c>
      <c r="H636" s="273" t="s">
        <v>3651</v>
      </c>
      <c r="I636" s="266" t="s">
        <v>1147</v>
      </c>
      <c r="J636" s="263" t="str">
        <f>IF(ISBLANK('Dry_Litterbag Placem_Collection'!L197),"","G"&amp;""&amp;'Dry_Litterbag Placem_Collection'!L197)</f>
        <v>G338</v>
      </c>
      <c r="K636" s="267">
        <f>IFERROR(INDEX('Green_rooibos initial weight'!$C$5:$C$1749,MATCH(J636, 'Green_rooibos initial weight'!$A$5:$A$1749,0)),"")</f>
        <v>1.946</v>
      </c>
      <c r="L636" s="267">
        <f>IFERROR(K636-(TBIcalc!$Q$9+TBIcalc!$Q$10),"")</f>
        <v>1.6961999999999999</v>
      </c>
      <c r="M636" s="391">
        <f>AVERAGE(Ashed_controlls!$K$2:$K$11)</f>
        <v>5.5147656768714146</v>
      </c>
      <c r="N636" s="267">
        <f t="shared" si="46"/>
        <v>1.602658544588907</v>
      </c>
      <c r="O636" s="267">
        <f>IF(IFERROR(INDEX('Both teabags AfterDry'!$D$3:$D$900,MATCH(J636,'Both teabags AfterDry'!$A$3:$A$900,0)),"")="","",(IFERROR(INDEX('Both teabags AfterDry'!$D$3:$D$900,MATCH(J636,'Both teabags AfterDry'!$A$3:$A$900,0)),"")))</f>
        <v>0.83299999999999996</v>
      </c>
      <c r="P636" s="267">
        <f>IFERROR(IF(O636&gt;0,O636-(TBIcalc!$Q$9),""),"")</f>
        <v>0.6823999999999999</v>
      </c>
      <c r="Q636" s="278">
        <f>IFERROR(INDEX('Ashed teabags dry'!$K$2:$K$825,MATCH(J636,'Ashed teabags dry'!$A$2:$A$825,0)),"")</f>
        <v>16.185258964144143</v>
      </c>
      <c r="R636" s="278">
        <f t="shared" si="47"/>
        <v>0.57195179282868025</v>
      </c>
      <c r="S636" s="268">
        <f>'Dry_Litterbag Placem_Collection'!E197</f>
        <v>42942</v>
      </c>
      <c r="T636" s="268">
        <f>IF('Dry_Litterbag Placem_Collection'!G197="","",'Dry_Litterbag Placem_Collection'!G197)</f>
        <v>43004</v>
      </c>
      <c r="U636" s="269">
        <f t="shared" si="45"/>
        <v>62</v>
      </c>
      <c r="V636" s="267">
        <f t="shared" si="48"/>
        <v>1.0138</v>
      </c>
      <c r="W636" s="267">
        <f t="shared" si="49"/>
        <v>1.0307067517602269</v>
      </c>
      <c r="X636" s="271">
        <f>IFERROR(INDEX(Rainfall_Dry!$O$2:$O$217,MATCH(B636, Rainfall_Dry!$A$2:$A$217,0)),"")</f>
        <v>171.84818423999999</v>
      </c>
      <c r="Y636" s="260">
        <v>54.080969906906262</v>
      </c>
      <c r="Z636" s="260">
        <v>21.264484651351896</v>
      </c>
      <c r="AA636" s="260">
        <v>24.654545441741845</v>
      </c>
      <c r="AB636" s="261" t="s">
        <v>2673</v>
      </c>
      <c r="AC636" s="260">
        <v>1.8433218334154755</v>
      </c>
      <c r="AD636">
        <f>IF('WetLitterbags placem_collection'!AB197="","",'WetLitterbags placem_collection'!AB197)</f>
        <v>5.13</v>
      </c>
      <c r="AE636">
        <f>IF('WetLitterbags placem_collection'!Z197="","",'WetLitterbags placem_collection'!Z197)</f>
        <v>5.13</v>
      </c>
      <c r="AF636" s="24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71">
        <f>IFERROR(AVERAGE('Dry_Litterbag Placem_Collection'!N197,'Dry_Litterbag Placem_Collection'!Q197),"")</f>
        <v>28.1</v>
      </c>
      <c r="AJ636">
        <v>-2.4396450349999999</v>
      </c>
      <c r="AK636">
        <v>34.83836599</v>
      </c>
      <c r="AL636" s="270" t="str">
        <f>IF(ISNUMBER(SEARCH("C", 'Dry_Litterbag Placem_Collection'!U197)),"YES","NO")</f>
        <v>NO</v>
      </c>
      <c r="AM636" s="270" t="str">
        <f>IF(ISNUMBER(SEARCH("H", 'Dry_Litterbag Placem_Collection'!U197)),"YES","NO")</f>
        <v>NO</v>
      </c>
      <c r="AN636" s="270" t="str">
        <f>IF(ISNUMBER(SEARCH("R", 'Dry_Litterbag Placem_Collection'!U197)),"YES","NO")</f>
        <v>YES</v>
      </c>
    </row>
    <row r="637" spans="1:40" ht="15" customHeight="1">
      <c r="A637" s="262" t="s">
        <v>2659</v>
      </c>
      <c r="B637" s="263">
        <f>'Dry_Litterbag Placem_Collection'!A198</f>
        <v>196</v>
      </c>
      <c r="C637" s="263" t="str">
        <f>'Dry_Litterbag Placem_Collection'!B198</f>
        <v>Makao</v>
      </c>
      <c r="D637" s="263" t="s">
        <v>2659</v>
      </c>
      <c r="E637" s="263" t="s">
        <v>2526</v>
      </c>
      <c r="F637" s="263">
        <v>1</v>
      </c>
      <c r="G637" s="264" t="str">
        <f>'Dry_Litterbag Placem_Collection'!C198</f>
        <v>Dry_Ag4_CG1</v>
      </c>
      <c r="H637" s="273" t="s">
        <v>3651</v>
      </c>
      <c r="I637" s="266" t="s">
        <v>1147</v>
      </c>
      <c r="J637" s="263" t="str">
        <f>IF(ISBLANK('Dry_Litterbag Placem_Collection'!L198),"","G"&amp;""&amp;'Dry_Litterbag Placem_Collection'!L198)</f>
        <v>G243</v>
      </c>
      <c r="K637" s="267">
        <f>IFERROR(INDEX('Green_rooibos initial weight'!$C$5:$C$1749,MATCH(J637, 'Green_rooibos initial weight'!$A$5:$A$1749,0)),"")</f>
        <v>2.13</v>
      </c>
      <c r="L637" s="267">
        <f>IFERROR(K637-(TBIcalc!$Q$9+TBIcalc!$Q$10),"")</f>
        <v>1.8801999999999999</v>
      </c>
      <c r="M637" s="391">
        <f>AVERAGE(Ashed_controlls!$K$2:$K$11)</f>
        <v>5.5147656768714146</v>
      </c>
      <c r="N637" s="267">
        <f t="shared" si="46"/>
        <v>1.7765113757434636</v>
      </c>
      <c r="O637" s="267">
        <f>IF(IFERROR(INDEX('Both teabags AfterDry'!$D$3:$D$900,MATCH(J637,'Both teabags AfterDry'!$A$3:$A$900,0)),"")="","",(IFERROR(INDEX('Both teabags AfterDry'!$D$3:$D$900,MATCH(J637,'Both teabags AfterDry'!$A$3:$A$900,0)),"")))</f>
        <v>1.04</v>
      </c>
      <c r="P637" s="267">
        <f>IFERROR(IF(O637&gt;0,O637-(TBIcalc!$Q$9),""),"")</f>
        <v>0.88939999999999997</v>
      </c>
      <c r="Q637" s="278">
        <f>IFERROR(INDEX('Ashed teabags dry'!$K$2:$K$825,MATCH(J637,'Ashed teabags dry'!$A$2:$A$825,0)),"")</f>
        <v>17.944173681878588</v>
      </c>
      <c r="R637" s="278">
        <f t="shared" si="47"/>
        <v>0.72980451927337175</v>
      </c>
      <c r="S637" s="268">
        <f>'Dry_Litterbag Placem_Collection'!E198</f>
        <v>42942</v>
      </c>
      <c r="T637" s="268">
        <f>IF('Dry_Litterbag Placem_Collection'!G198="","",'Dry_Litterbag Placem_Collection'!G198)</f>
        <v>43004</v>
      </c>
      <c r="U637" s="269">
        <f t="shared" si="45"/>
        <v>62</v>
      </c>
      <c r="V637" s="267">
        <f t="shared" si="48"/>
        <v>0.9907999999999999</v>
      </c>
      <c r="W637" s="267">
        <f t="shared" si="49"/>
        <v>1.0467068564700919</v>
      </c>
      <c r="X637" s="271">
        <f>IFERROR(INDEX(Rainfall_Dry!$O$2:$O$217,MATCH(B637, Rainfall_Dry!$A$2:$A$217,0)),"")</f>
        <v>171.84818423999999</v>
      </c>
      <c r="Y637" s="260">
        <v>51.960000000000008</v>
      </c>
      <c r="Z637" s="260">
        <v>18.919999999999995</v>
      </c>
      <c r="AA637" s="260">
        <v>29.120000000000005</v>
      </c>
      <c r="AB637" s="261" t="s">
        <v>2673</v>
      </c>
      <c r="AC637" s="260">
        <v>1.85293247905372</v>
      </c>
      <c r="AD637">
        <f>IF('WetLitterbags placem_collection'!AB198="","",'WetLitterbags placem_collection'!AB198)</f>
        <v>13.8</v>
      </c>
      <c r="AE637">
        <f>IF('WetLitterbags placem_collection'!Z198="","",'WetLitterbags placem_collection'!Z198)</f>
        <v>17.399999999999999</v>
      </c>
      <c r="AF637" s="24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71">
        <f>IFERROR(AVERAGE('Dry_Litterbag Placem_Collection'!N198,'Dry_Litterbag Placem_Collection'!Q198),"")</f>
        <v>26.65</v>
      </c>
      <c r="AJ637">
        <v>-2.439403972</v>
      </c>
      <c r="AK637">
        <v>34.838404959999998</v>
      </c>
      <c r="AL637" s="270" t="str">
        <f>IF(ISNUMBER(SEARCH("C", 'Dry_Litterbag Placem_Collection'!U198)),"YES","NO")</f>
        <v>NO</v>
      </c>
      <c r="AM637" s="270" t="str">
        <f>IF(ISNUMBER(SEARCH("H", 'Dry_Litterbag Placem_Collection'!U198)),"YES","NO")</f>
        <v>NO</v>
      </c>
      <c r="AN637" s="270" t="str">
        <f>IF(ISNUMBER(SEARCH("R", 'Dry_Litterbag Placem_Collection'!U198)),"YES","NO")</f>
        <v>YES</v>
      </c>
    </row>
    <row r="638" spans="1:40" ht="15" customHeight="1">
      <c r="A638" s="262" t="s">
        <v>2659</v>
      </c>
      <c r="B638" s="263">
        <f>'Dry_Litterbag Placem_Collection'!A199</f>
        <v>197</v>
      </c>
      <c r="C638" s="263" t="str">
        <f>'Dry_Litterbag Placem_Collection'!B199</f>
        <v>Makao</v>
      </c>
      <c r="D638" s="263" t="s">
        <v>2659</v>
      </c>
      <c r="E638" s="263" t="s">
        <v>2526</v>
      </c>
      <c r="F638" s="263">
        <v>2</v>
      </c>
      <c r="G638" s="264" t="str">
        <f>'Dry_Litterbag Placem_Collection'!C199</f>
        <v>Dry_P1_CG2</v>
      </c>
      <c r="H638" s="273" t="s">
        <v>3651</v>
      </c>
      <c r="I638" s="266" t="s">
        <v>1147</v>
      </c>
      <c r="J638" s="263" t="str">
        <f>IF(ISBLANK('Dry_Litterbag Placem_Collection'!L199),"","G"&amp;""&amp;'Dry_Litterbag Placem_Collection'!L199)</f>
        <v>G254</v>
      </c>
      <c r="K638" s="267">
        <f>IFERROR(INDEX('Green_rooibos initial weight'!$C$5:$C$1749,MATCH(J638, 'Green_rooibos initial weight'!$A$5:$A$1749,0)),"")</f>
        <v>1.917</v>
      </c>
      <c r="L638" s="267">
        <f>IFERROR(K638-(TBIcalc!$Q$9+TBIcalc!$Q$10),"")</f>
        <v>1.6672</v>
      </c>
      <c r="M638" s="391">
        <f>AVERAGE(Ashed_controlls!$K$2:$K$11)</f>
        <v>5.5147656768714146</v>
      </c>
      <c r="N638" s="267">
        <f t="shared" si="46"/>
        <v>1.5752578266351998</v>
      </c>
      <c r="O638" s="267">
        <f>IF(IFERROR(INDEX('Both teabags AfterDry'!$D$3:$D$900,MATCH(J638,'Both teabags AfterDry'!$A$3:$A$900,0)),"")="","",(IFERROR(INDEX('Both teabags AfterDry'!$D$3:$D$900,MATCH(J638,'Both teabags AfterDry'!$A$3:$A$900,0)),"")))</f>
        <v>0.82399999999999995</v>
      </c>
      <c r="P638" s="267">
        <f>IFERROR(IF(O638&gt;0,O638-(TBIcalc!$Q$9),""),"")</f>
        <v>0.6734</v>
      </c>
      <c r="Q638" s="278">
        <f>IFERROR(INDEX('Ashed teabags dry'!$K$2:$K$825,MATCH(J638,'Ashed teabags dry'!$A$2:$A$825,0)),"")</f>
        <v>25.135802469135722</v>
      </c>
      <c r="R638" s="278">
        <f t="shared" si="47"/>
        <v>0.50413550617284009</v>
      </c>
      <c r="S638" s="268">
        <f>'Dry_Litterbag Placem_Collection'!E199</f>
        <v>42942</v>
      </c>
      <c r="T638" s="268">
        <f>IF('Dry_Litterbag Placem_Collection'!G199="","",'Dry_Litterbag Placem_Collection'!G199)</f>
        <v>43004</v>
      </c>
      <c r="U638" s="269">
        <f t="shared" si="45"/>
        <v>62</v>
      </c>
      <c r="V638" s="267">
        <f t="shared" si="48"/>
        <v>0.99380000000000002</v>
      </c>
      <c r="W638" s="267">
        <f t="shared" si="49"/>
        <v>1.0711223204623597</v>
      </c>
      <c r="X638" s="271">
        <f>IFERROR(INDEX(Rainfall_Dry!$O$2:$O$217,MATCH(B638, Rainfall_Dry!$A$2:$A$217,0)),"")</f>
        <v>171.84818423999999</v>
      </c>
      <c r="Y638" s="260">
        <v>23.96</v>
      </c>
      <c r="Z638" s="260">
        <v>0.91999999999999804</v>
      </c>
      <c r="AA638" s="260">
        <v>75.12</v>
      </c>
      <c r="AB638" s="261" t="s">
        <v>2670</v>
      </c>
      <c r="AC638" s="260">
        <v>1.2493839329719072</v>
      </c>
      <c r="AD638">
        <f>IF('WetLitterbags placem_collection'!AB199="","",'WetLitterbags placem_collection'!AB199)</f>
        <v>5.13</v>
      </c>
      <c r="AE638">
        <f>IF('WetLitterbags placem_collection'!Z199="","",'WetLitterbags placem_collection'!Z199)</f>
        <v>5.13</v>
      </c>
      <c r="AF638" s="24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71">
        <f>IFERROR(AVERAGE('Dry_Litterbag Placem_Collection'!N199,'Dry_Litterbag Placem_Collection'!Q199),"")</f>
        <v>29.05</v>
      </c>
      <c r="AJ638">
        <v>-2.4396450349999999</v>
      </c>
      <c r="AK638">
        <v>34.83836599</v>
      </c>
      <c r="AL638" s="270" t="str">
        <f>IF(ISNUMBER(SEARCH("C", 'Dry_Litterbag Placem_Collection'!U199)),"YES","NO")</f>
        <v>NO</v>
      </c>
      <c r="AM638" s="270" t="str">
        <f>IF(ISNUMBER(SEARCH("H", 'Dry_Litterbag Placem_Collection'!U199)),"YES","NO")</f>
        <v>NO</v>
      </c>
      <c r="AN638" s="270" t="str">
        <f>IF(ISNUMBER(SEARCH("R", 'Dry_Litterbag Placem_Collection'!U199)),"YES","NO")</f>
        <v>YES</v>
      </c>
    </row>
    <row r="639" spans="1:40" ht="15" customHeight="1">
      <c r="A639" s="262" t="s">
        <v>2659</v>
      </c>
      <c r="B639" s="263">
        <f>'Dry_Litterbag Placem_Collection'!A200</f>
        <v>198</v>
      </c>
      <c r="C639" s="263" t="str">
        <f>'Dry_Litterbag Placem_Collection'!B200</f>
        <v>Makao</v>
      </c>
      <c r="D639" s="263" t="s">
        <v>2659</v>
      </c>
      <c r="E639" s="263" t="s">
        <v>2526</v>
      </c>
      <c r="F639" s="263">
        <v>3</v>
      </c>
      <c r="G639" s="264" t="str">
        <f>'Dry_Litterbag Placem_Collection'!C200</f>
        <v>Dry_P2_CG3</v>
      </c>
      <c r="H639" s="273" t="s">
        <v>3651</v>
      </c>
      <c r="I639" s="266" t="s">
        <v>1147</v>
      </c>
      <c r="J639" s="263" t="str">
        <f>IF(ISBLANK('Dry_Litterbag Placem_Collection'!L200),"","G"&amp;""&amp;'Dry_Litterbag Placem_Collection'!L200)</f>
        <v>G780</v>
      </c>
      <c r="K639" s="267">
        <f>IFERROR(INDEX('Green_rooibos initial weight'!$C$5:$C$1749,MATCH(J639, 'Green_rooibos initial weight'!$A$5:$A$1749,0)),"")</f>
        <v>1.962</v>
      </c>
      <c r="L639" s="267">
        <f>IFERROR(K639-(TBIcalc!$Q$9+TBIcalc!$Q$10),"")</f>
        <v>1.7121999999999999</v>
      </c>
      <c r="M639" s="391">
        <f>AVERAGE(Ashed_controlls!$K$2:$K$11)</f>
        <v>5.5147656768714146</v>
      </c>
      <c r="N639" s="267">
        <f t="shared" si="46"/>
        <v>1.6177761820806076</v>
      </c>
      <c r="O639" s="267">
        <f>IF(IFERROR(INDEX('Both teabags AfterDry'!$D$3:$D$900,MATCH(J639,'Both teabags AfterDry'!$A$3:$A$900,0)),"")="","",(IFERROR(INDEX('Both teabags AfterDry'!$D$3:$D$900,MATCH(J639,'Both teabags AfterDry'!$A$3:$A$900,0)),"")))</f>
        <v>0.69899999999999995</v>
      </c>
      <c r="P639" s="267">
        <f>IFERROR(IF(O639&gt;0,O639-(TBIcalc!$Q$9),""),"")</f>
        <v>0.5484</v>
      </c>
      <c r="Q639" s="278">
        <f>IFERROR(INDEX('Ashed teabags dry'!$K$2:$K$825,MATCH(J639,'Ashed teabags dry'!$A$2:$A$825,0)),"")</f>
        <v>13.974854932302094</v>
      </c>
      <c r="R639" s="278">
        <f t="shared" si="47"/>
        <v>0.47176189555125531</v>
      </c>
      <c r="S639" s="268">
        <f>'Dry_Litterbag Placem_Collection'!E200</f>
        <v>42942</v>
      </c>
      <c r="T639" s="268">
        <f>IF('Dry_Litterbag Placem_Collection'!G200="","",'Dry_Litterbag Placem_Collection'!G200)</f>
        <v>43004</v>
      </c>
      <c r="U639" s="269">
        <f t="shared" si="45"/>
        <v>62</v>
      </c>
      <c r="V639" s="267">
        <f t="shared" si="48"/>
        <v>1.1637999999999999</v>
      </c>
      <c r="W639" s="267">
        <f t="shared" si="49"/>
        <v>1.1460142865293523</v>
      </c>
      <c r="X639" s="271">
        <f>IFERROR(INDEX(Rainfall_Dry!$O$2:$O$217,MATCH(B639, Rainfall_Dry!$A$2:$A$217,0)),"")</f>
        <v>171.84818423999999</v>
      </c>
      <c r="Y639" s="260">
        <v>19.96</v>
      </c>
      <c r="Z639" s="260">
        <v>4.9199999999999982</v>
      </c>
      <c r="AA639" s="260">
        <v>75.12</v>
      </c>
      <c r="AB639" s="261" t="s">
        <v>2671</v>
      </c>
      <c r="AC639" s="260">
        <v>1.641498275012321</v>
      </c>
      <c r="AD639">
        <f>IF('WetLitterbags placem_collection'!AB200="","",'WetLitterbags placem_collection'!AB200)</f>
        <v>7.9</v>
      </c>
      <c r="AE639">
        <f>IF('WetLitterbags placem_collection'!Z200="","",'WetLitterbags placem_collection'!Z200)</f>
        <v>7.9</v>
      </c>
      <c r="AF639" s="24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71">
        <f>IFERROR(AVERAGE('Dry_Litterbag Placem_Collection'!N200,'Dry_Litterbag Placem_Collection'!Q200),"")</f>
        <v>30.25</v>
      </c>
      <c r="AJ639">
        <v>-2.4395990190000001</v>
      </c>
      <c r="AK639">
        <v>34.838418959999998</v>
      </c>
      <c r="AL639" s="270" t="str">
        <f>IF(ISNUMBER(SEARCH("C", 'Dry_Litterbag Placem_Collection'!U200)),"YES","NO")</f>
        <v>NO</v>
      </c>
      <c r="AM639" s="270" t="str">
        <f>IF(ISNUMBER(SEARCH("H", 'Dry_Litterbag Placem_Collection'!U200)),"YES","NO")</f>
        <v>NO</v>
      </c>
      <c r="AN639" s="270" t="str">
        <f>IF(ISNUMBER(SEARCH("R", 'Dry_Litterbag Placem_Collection'!U200)),"YES","NO")</f>
        <v>YES</v>
      </c>
    </row>
    <row r="640" spans="1:40" ht="15" customHeight="1">
      <c r="A640" s="262" t="s">
        <v>2659</v>
      </c>
      <c r="B640" s="263">
        <f>'Dry_Litterbag Placem_Collection'!A201</f>
        <v>199</v>
      </c>
      <c r="C640" s="263" t="str">
        <f>'Dry_Litterbag Placem_Collection'!B201</f>
        <v>Makao</v>
      </c>
      <c r="D640" s="263" t="s">
        <v>2659</v>
      </c>
      <c r="E640" s="263" t="s">
        <v>2526</v>
      </c>
      <c r="F640" s="263">
        <v>1</v>
      </c>
      <c r="G640" s="264" t="str">
        <f>'Dry_Litterbag Placem_Collection'!C201</f>
        <v>Dry_P3_CG1</v>
      </c>
      <c r="H640" s="273" t="s">
        <v>3651</v>
      </c>
      <c r="I640" s="266" t="s">
        <v>1147</v>
      </c>
      <c r="J640" s="263" t="str">
        <f>IF(ISBLANK('Dry_Litterbag Placem_Collection'!L201),"","G"&amp;""&amp;'Dry_Litterbag Placem_Collection'!L201)</f>
        <v>G182</v>
      </c>
      <c r="K640" s="267">
        <f>IFERROR(INDEX('Green_rooibos initial weight'!$C$5:$C$1749,MATCH(J640, 'Green_rooibos initial weight'!$A$5:$A$1749,0)),"")</f>
        <v>1.8919999999999999</v>
      </c>
      <c r="L640" s="267">
        <f>IFERROR(K640-(TBIcalc!$Q$9+TBIcalc!$Q$10),"")</f>
        <v>1.6421999999999999</v>
      </c>
      <c r="M640" s="391">
        <f>AVERAGE(Ashed_controlls!$K$2:$K$11)</f>
        <v>5.5147656768714146</v>
      </c>
      <c r="N640" s="267">
        <f t="shared" si="46"/>
        <v>1.5516365180544176</v>
      </c>
      <c r="O640" s="267">
        <f>IF(IFERROR(INDEX('Both teabags AfterDry'!$D$3:$D$900,MATCH(J640,'Both teabags AfterDry'!$A$3:$A$900,0)),"")="","",(IFERROR(INDEX('Both teabags AfterDry'!$D$3:$D$900,MATCH(J640,'Both teabags AfterDry'!$A$3:$A$900,0)),"")))</f>
        <v>0.62490000000000001</v>
      </c>
      <c r="P640" s="267">
        <f>IFERROR(IF(O640&gt;0,O640-(TBIcalc!$Q$9),""),"")</f>
        <v>0.4743</v>
      </c>
      <c r="Q640" s="278">
        <f>IFERROR(INDEX('Ashed teabags dry'!$K$2:$K$825,MATCH(J640,'Ashed teabags dry'!$A$2:$A$825,0)),"")</f>
        <v>15.096201282683586</v>
      </c>
      <c r="R640" s="278">
        <f t="shared" si="47"/>
        <v>0.40269871731623175</v>
      </c>
      <c r="S640" s="268">
        <f>'Dry_Litterbag Placem_Collection'!E201</f>
        <v>42942</v>
      </c>
      <c r="T640" s="268">
        <f>IF('Dry_Litterbag Placem_Collection'!G201="","",'Dry_Litterbag Placem_Collection'!G201)</f>
        <v>43004</v>
      </c>
      <c r="U640" s="269">
        <f t="shared" si="45"/>
        <v>62</v>
      </c>
      <c r="V640" s="267">
        <f t="shared" si="48"/>
        <v>1.1678999999999999</v>
      </c>
      <c r="W640" s="267">
        <f t="shared" si="49"/>
        <v>1.1489378007381859</v>
      </c>
      <c r="X640" s="271">
        <f>IFERROR(INDEX(Rainfall_Dry!$O$2:$O$217,MATCH(B640, Rainfall_Dry!$A$2:$A$217,0)),"")</f>
        <v>171.84818423999999</v>
      </c>
      <c r="Y640" s="260">
        <v>21.96</v>
      </c>
      <c r="Z640" s="260">
        <v>8.9199999999999982</v>
      </c>
      <c r="AA640" s="260">
        <v>69.12</v>
      </c>
      <c r="AB640" s="261" t="s">
        <v>2670</v>
      </c>
      <c r="AC640" s="260">
        <v>1.7491375061606702</v>
      </c>
      <c r="AD640">
        <f>IF('WetLitterbags placem_collection'!AB201="","",'WetLitterbags placem_collection'!AB201)</f>
        <v>13.8</v>
      </c>
      <c r="AE640">
        <f>IF('WetLitterbags placem_collection'!Z201="","",'WetLitterbags placem_collection'!Z201)</f>
        <v>17.399999999999999</v>
      </c>
      <c r="AF640" s="24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71">
        <f>IFERROR(AVERAGE('Dry_Litterbag Placem_Collection'!N201,'Dry_Litterbag Placem_Collection'!Q201),"")</f>
        <v>27.200000000000003</v>
      </c>
      <c r="AJ640">
        <v>-2.439403972</v>
      </c>
      <c r="AK640">
        <v>34.838404959999998</v>
      </c>
      <c r="AL640" s="270" t="str">
        <f>IF(ISNUMBER(SEARCH("C", 'Dry_Litterbag Placem_Collection'!U201)),"YES","NO")</f>
        <v>NO</v>
      </c>
      <c r="AM640" s="270" t="str">
        <f>IF(ISNUMBER(SEARCH("H", 'Dry_Litterbag Placem_Collection'!U201)),"YES","NO")</f>
        <v>NO</v>
      </c>
      <c r="AN640" s="270" t="str">
        <f>IF(ISNUMBER(SEARCH("R", 'Dry_Litterbag Placem_Collection'!U201)),"YES","NO")</f>
        <v>YES</v>
      </c>
    </row>
    <row r="641" spans="1:40" ht="15" customHeight="1">
      <c r="A641" s="262" t="s">
        <v>2659</v>
      </c>
      <c r="B641" s="263">
        <f>'Dry_Litterbag Placem_Collection'!A202</f>
        <v>200</v>
      </c>
      <c r="C641" s="263" t="str">
        <f>'Dry_Litterbag Placem_Collection'!B202</f>
        <v>Makao</v>
      </c>
      <c r="D641" s="263" t="s">
        <v>2659</v>
      </c>
      <c r="E641" s="263" t="s">
        <v>2526</v>
      </c>
      <c r="F641" s="263">
        <v>4</v>
      </c>
      <c r="G641" s="264" t="str">
        <f>'Dry_Litterbag Placem_Collection'!C202</f>
        <v>Dry_P4_CG4</v>
      </c>
      <c r="H641" s="273" t="s">
        <v>3651</v>
      </c>
      <c r="I641" s="266" t="s">
        <v>1147</v>
      </c>
      <c r="J641" s="263" t="str">
        <f>IF(ISBLANK('Dry_Litterbag Placem_Collection'!L202),"","G"&amp;""&amp;'Dry_Litterbag Placem_Collection'!L202)</f>
        <v>G186</v>
      </c>
      <c r="K641" s="267">
        <f>IFERROR(INDEX('Green_rooibos initial weight'!$C$5:$C$1749,MATCH(J641, 'Green_rooibos initial weight'!$A$5:$A$1749,0)),"")</f>
        <v>2.0419999999999998</v>
      </c>
      <c r="L641" s="267">
        <f>IFERROR(K641-(TBIcalc!$Q$9+TBIcalc!$Q$10),"")</f>
        <v>1.7921999999999998</v>
      </c>
      <c r="M641" s="391">
        <f>AVERAGE(Ashed_controlls!$K$2:$K$11)</f>
        <v>5.5147656768714146</v>
      </c>
      <c r="N641" s="267">
        <f t="shared" si="46"/>
        <v>1.6933643695391103</v>
      </c>
      <c r="O641" s="267">
        <f>IF(IFERROR(INDEX('Both teabags AfterDry'!$D$3:$D$900,MATCH(J641,'Both teabags AfterDry'!$A$3:$A$900,0)),"")="","",(IFERROR(INDEX('Both teabags AfterDry'!$D$3:$D$900,MATCH(J641,'Both teabags AfterDry'!$A$3:$A$900,0)),"")))</f>
        <v>0.6643</v>
      </c>
      <c r="P641" s="267">
        <f>IFERROR(IF(O641&gt;0,O641-(TBIcalc!$Q$9),""),"")</f>
        <v>0.51370000000000005</v>
      </c>
      <c r="Q641" s="278">
        <f>IFERROR(INDEX('Ashed teabags dry'!$K$2:$K$825,MATCH(J641,'Ashed teabags dry'!$A$2:$A$825,0)),"")</f>
        <v>12.606837606837463</v>
      </c>
      <c r="R641" s="278">
        <f t="shared" si="47"/>
        <v>0.44893867521367603</v>
      </c>
      <c r="S641" s="268">
        <f>'Dry_Litterbag Placem_Collection'!E202</f>
        <v>42942</v>
      </c>
      <c r="T641" s="268">
        <f>IF('Dry_Litterbag Placem_Collection'!G202="","",'Dry_Litterbag Placem_Collection'!G202)</f>
        <v>43004</v>
      </c>
      <c r="U641" s="269">
        <f t="shared" si="45"/>
        <v>62</v>
      </c>
      <c r="V641" s="267">
        <f t="shared" si="48"/>
        <v>1.2784999999999997</v>
      </c>
      <c r="W641" s="267">
        <f t="shared" si="49"/>
        <v>1.2444256943254342</v>
      </c>
      <c r="X641" s="271">
        <f>IFERROR(INDEX(Rainfall_Dry!$O$2:$O$217,MATCH(B641, Rainfall_Dry!$A$2:$A$217,0)),"")</f>
        <v>171.84818423999999</v>
      </c>
      <c r="Y641" s="260">
        <v>25.96</v>
      </c>
      <c r="Z641" s="260">
        <v>6.9200000000000008</v>
      </c>
      <c r="AA641" s="260">
        <v>67.12</v>
      </c>
      <c r="AB641" s="261" t="s">
        <v>2670</v>
      </c>
      <c r="AC641" s="260">
        <v>1.7568260226712666</v>
      </c>
      <c r="AD641">
        <f>IF('WetLitterbags placem_collection'!AB202="","",'WetLitterbags placem_collection'!AB202)</f>
        <v>15.2</v>
      </c>
      <c r="AE641">
        <f>IF('WetLitterbags placem_collection'!Z202="","",'WetLitterbags placem_collection'!Z202)</f>
        <v>12.2</v>
      </c>
      <c r="AF641" s="24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71">
        <f>IFERROR(AVERAGE('Dry_Litterbag Placem_Collection'!N202,'Dry_Litterbag Placem_Collection'!Q202),"")</f>
        <v>32.9</v>
      </c>
      <c r="AJ641">
        <v>-2.4396949910000001</v>
      </c>
      <c r="AK641">
        <v>34.838574029999997</v>
      </c>
      <c r="AL641" s="270" t="str">
        <f>IF(ISNUMBER(SEARCH("C", 'Dry_Litterbag Placem_Collection'!U202)),"YES","NO")</f>
        <v>NO</v>
      </c>
      <c r="AM641" s="270" t="str">
        <f>IF(ISNUMBER(SEARCH("H", 'Dry_Litterbag Placem_Collection'!U202)),"YES","NO")</f>
        <v>NO</v>
      </c>
      <c r="AN641" s="270" t="str">
        <f>IF(ISNUMBER(SEARCH("R", 'Dry_Litterbag Placem_Collection'!U202)),"YES","NO")</f>
        <v>YES</v>
      </c>
    </row>
    <row r="642" spans="1:40" ht="15" customHeight="1">
      <c r="A642" s="262" t="s">
        <v>2659</v>
      </c>
      <c r="B642" s="263">
        <f>'Dry_Litterbag Placem_Collection'!A203</f>
        <v>201</v>
      </c>
      <c r="C642" s="263" t="str">
        <f>'Dry_Litterbag Placem_Collection'!B203</f>
        <v>Maswa</v>
      </c>
      <c r="D642" s="263" t="s">
        <v>2659</v>
      </c>
      <c r="E642" s="263" t="s">
        <v>2526</v>
      </c>
      <c r="F642" s="263">
        <v>4</v>
      </c>
      <c r="G642" s="264" t="str">
        <f>'Dry_Litterbag Placem_Collection'!C203</f>
        <v>Dry_W3_CG4</v>
      </c>
      <c r="H642" s="273" t="s">
        <v>3651</v>
      </c>
      <c r="I642" s="266" t="s">
        <v>1147</v>
      </c>
      <c r="J642" s="263" t="str">
        <f>IF(ISBLANK('Dry_Litterbag Placem_Collection'!L203),"","G"&amp;""&amp;'Dry_Litterbag Placem_Collection'!L203)</f>
        <v>G315</v>
      </c>
      <c r="K642" s="267">
        <f>IFERROR(INDEX('Green_rooibos initial weight'!$C$5:$C$1749,MATCH(J642, 'Green_rooibos initial weight'!$A$5:$A$1749,0)),"")</f>
        <v>2.0960000000000001</v>
      </c>
      <c r="L642" s="267">
        <f>IFERROR(K642-(TBIcalc!$Q$9+TBIcalc!$Q$10),"")</f>
        <v>1.8462000000000001</v>
      </c>
      <c r="M642" s="391">
        <f>AVERAGE(Ashed_controlls!$K$2:$K$11)</f>
        <v>5.5147656768714146</v>
      </c>
      <c r="N642" s="267">
        <f t="shared" si="46"/>
        <v>1.7443863960735999</v>
      </c>
      <c r="O642" s="267">
        <f>IF(IFERROR(INDEX('Both teabags AfterDry'!$D$3:$D$900,MATCH(J642,'Both teabags AfterDry'!$A$3:$A$900,0)),"")="","",(IFERROR(INDEX('Both teabags AfterDry'!$D$3:$D$900,MATCH(J642,'Both teabags AfterDry'!$A$3:$A$900,0)),"")))</f>
        <v>0.84</v>
      </c>
      <c r="P642" s="267">
        <f>IFERROR(IF(O642&gt;0,O642-(TBIcalc!$Q$9),""),"")</f>
        <v>0.68940000000000001</v>
      </c>
      <c r="Q642" s="278">
        <f>IFERROR(INDEX('Ashed teabags dry'!$K$2:$K$825,MATCH(J642,'Ashed teabags dry'!$A$2:$A$825,0)),"")</f>
        <v>16.658642272508086</v>
      </c>
      <c r="R642" s="278">
        <f t="shared" si="47"/>
        <v>0.57455532017332922</v>
      </c>
      <c r="S642" s="268">
        <f>'Dry_Litterbag Placem_Collection'!E203</f>
        <v>42942</v>
      </c>
      <c r="T642" s="268">
        <f>IF('Dry_Litterbag Placem_Collection'!G203="","",'Dry_Litterbag Placem_Collection'!G203)</f>
        <v>43004</v>
      </c>
      <c r="U642" s="269">
        <f t="shared" ref="U642:U705" si="50">IFERROR(T642-S642,"")</f>
        <v>62</v>
      </c>
      <c r="V642" s="267">
        <f t="shared" si="48"/>
        <v>1.1568000000000001</v>
      </c>
      <c r="W642" s="267">
        <f t="shared" si="49"/>
        <v>1.1698310759002708</v>
      </c>
      <c r="X642" s="271">
        <f>IFERROR(INDEX(Rainfall_Dry!$O$2:$O$217,MATCH(B642, Rainfall_Dry!$A$2:$A$217,0)),"")</f>
        <v>171.84818423999999</v>
      </c>
      <c r="Y642" s="260">
        <v>38.691629007962128</v>
      </c>
      <c r="Z642" s="260">
        <v>26.81299763288143</v>
      </c>
      <c r="AA642" s="260">
        <v>34.495373359156439</v>
      </c>
      <c r="AB642" s="261" t="s">
        <v>2675</v>
      </c>
      <c r="AC642" s="260">
        <v>2.5483587974371611</v>
      </c>
      <c r="AD642">
        <f>IF('WetLitterbags placem_collection'!AB203="","",'WetLitterbags placem_collection'!AB203)</f>
        <v>15.2</v>
      </c>
      <c r="AE642">
        <f>IF('WetLitterbags placem_collection'!Z203="","",'WetLitterbags placem_collection'!Z203)</f>
        <v>12.2</v>
      </c>
      <c r="AF642" s="24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71">
        <f>IFERROR(AVERAGE('Dry_Litterbag Placem_Collection'!N203,'Dry_Litterbag Placem_Collection'!Q203),"")</f>
        <v>29.15</v>
      </c>
      <c r="AJ642">
        <v>-2.4396949910000001</v>
      </c>
      <c r="AK642">
        <v>34.838574029999997</v>
      </c>
      <c r="AL642" s="270" t="str">
        <f>IF(ISNUMBER(SEARCH("C", 'Dry_Litterbag Placem_Collection'!U203)),"YES","NO")</f>
        <v>NO</v>
      </c>
      <c r="AM642" s="270" t="str">
        <f>IF(ISNUMBER(SEARCH("H", 'Dry_Litterbag Placem_Collection'!U203)),"YES","NO")</f>
        <v>NO</v>
      </c>
      <c r="AN642" s="270" t="str">
        <f>IF(ISNUMBER(SEARCH("R", 'Dry_Litterbag Placem_Collection'!U203)),"YES","NO")</f>
        <v>YES</v>
      </c>
    </row>
    <row r="643" spans="1:40" ht="15" customHeight="1">
      <c r="A643" s="262" t="s">
        <v>2659</v>
      </c>
      <c r="B643" s="263">
        <f>'Dry_Litterbag Placem_Collection'!A204</f>
        <v>202</v>
      </c>
      <c r="C643" s="263" t="str">
        <f>'Dry_Litterbag Placem_Collection'!B204</f>
        <v>Maswa</v>
      </c>
      <c r="D643" s="263" t="s">
        <v>2659</v>
      </c>
      <c r="E643" s="263" t="s">
        <v>2526</v>
      </c>
      <c r="F643" s="263">
        <v>1</v>
      </c>
      <c r="G643" s="264" t="str">
        <f>'Dry_Litterbag Placem_Collection'!C204</f>
        <v>Dry_W2_CG1</v>
      </c>
      <c r="H643" s="273" t="s">
        <v>3651</v>
      </c>
      <c r="I643" s="266" t="s">
        <v>1147</v>
      </c>
      <c r="J643" s="263" t="str">
        <f>IF(ISBLANK('Dry_Litterbag Placem_Collection'!L204),"","G"&amp;""&amp;'Dry_Litterbag Placem_Collection'!L204)</f>
        <v>G147</v>
      </c>
      <c r="K643" s="267">
        <f>IFERROR(INDEX('Green_rooibos initial weight'!$C$5:$C$1749,MATCH(J643, 'Green_rooibos initial weight'!$A$5:$A$1749,0)),"")</f>
        <v>2.0369999999999999</v>
      </c>
      <c r="L643" s="267">
        <f>IFERROR(K643-(TBIcalc!$Q$9+TBIcalc!$Q$10),"")</f>
        <v>1.7871999999999999</v>
      </c>
      <c r="M643" s="391">
        <f>AVERAGE(Ashed_controlls!$K$2:$K$11)</f>
        <v>5.5147656768714146</v>
      </c>
      <c r="N643" s="267">
        <f t="shared" ref="N643:N706" si="51">IFERROR(L643-(M643/100)*L643,"")</f>
        <v>1.688640107822954</v>
      </c>
      <c r="O643" s="267">
        <f>IF(IFERROR(INDEX('Both teabags AfterDry'!$D$3:$D$900,MATCH(J643,'Both teabags AfterDry'!$A$3:$A$900,0)),"")="","",(IFERROR(INDEX('Both teabags AfterDry'!$D$3:$D$900,MATCH(J643,'Both teabags AfterDry'!$A$3:$A$900,0)),"")))</f>
        <v>0.71709999999999996</v>
      </c>
      <c r="P643" s="267">
        <f>IFERROR(IF(O643&gt;0,O643-(TBIcalc!$Q$9),""),"")</f>
        <v>0.5665</v>
      </c>
      <c r="Q643" s="278">
        <f>IFERROR(INDEX('Ashed teabags dry'!$K$2:$K$825,MATCH(J643,'Ashed teabags dry'!$A$2:$A$825,0)),"")</f>
        <v>19.843214110729726</v>
      </c>
      <c r="R643" s="278">
        <f t="shared" ref="R643:R706" si="52">IFERROR(P643-(Q643/100)*P643,"")</f>
        <v>0.45408819206271611</v>
      </c>
      <c r="S643" s="268">
        <f>'Dry_Litterbag Placem_Collection'!E204</f>
        <v>42942</v>
      </c>
      <c r="T643" s="268">
        <f>IF('Dry_Litterbag Placem_Collection'!G204="","",'Dry_Litterbag Placem_Collection'!G204)</f>
        <v>43004</v>
      </c>
      <c r="U643" s="269">
        <f t="shared" si="50"/>
        <v>62</v>
      </c>
      <c r="V643" s="267">
        <f t="shared" ref="V643:V706" si="53">IFERROR(L643-P643,"")</f>
        <v>1.2206999999999999</v>
      </c>
      <c r="W643" s="267">
        <f t="shared" ref="W643:W706" si="54">IFERROR(N643-R643,"")</f>
        <v>1.234551915760238</v>
      </c>
      <c r="X643" s="271">
        <f>IFERROR(INDEX(Rainfall_Dry!$O$2:$O$217,MATCH(B643, Rainfall_Dry!$A$2:$A$217,0)),"")</f>
        <v>171.84818423999999</v>
      </c>
      <c r="Y643" s="260">
        <v>45.272914521112256</v>
      </c>
      <c r="Z643" s="260">
        <v>23.604531410916575</v>
      </c>
      <c r="AA643" s="260">
        <v>31.122554067971166</v>
      </c>
      <c r="AB643" s="261" t="s">
        <v>2673</v>
      </c>
      <c r="AC643" s="260">
        <v>2.0547560374568752</v>
      </c>
      <c r="AD643">
        <f>IF('WetLitterbags placem_collection'!AB204="","",'WetLitterbags placem_collection'!AB204)</f>
        <v>13.8</v>
      </c>
      <c r="AE643">
        <f>IF('WetLitterbags placem_collection'!Z204="","",'WetLitterbags placem_collection'!Z204)</f>
        <v>17.399999999999999</v>
      </c>
      <c r="AF643" s="24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71">
        <f>IFERROR(AVERAGE('Dry_Litterbag Placem_Collection'!N204,'Dry_Litterbag Placem_Collection'!Q204),"")</f>
        <v>28.85</v>
      </c>
      <c r="AJ643">
        <v>-2.439403972</v>
      </c>
      <c r="AK643">
        <v>34.838404959999998</v>
      </c>
      <c r="AL643" s="270" t="str">
        <f>IF(ISNUMBER(SEARCH("C", 'Dry_Litterbag Placem_Collection'!U204)),"YES","NO")</f>
        <v>NO</v>
      </c>
      <c r="AM643" s="270" t="str">
        <f>IF(ISNUMBER(SEARCH("H", 'Dry_Litterbag Placem_Collection'!U204)),"YES","NO")</f>
        <v>NO</v>
      </c>
      <c r="AN643" s="270" t="str">
        <f>IF(ISNUMBER(SEARCH("R", 'Dry_Litterbag Placem_Collection'!U204)),"YES","NO")</f>
        <v>YES</v>
      </c>
    </row>
    <row r="644" spans="1:40" ht="15" customHeight="1">
      <c r="A644" s="262" t="s">
        <v>2659</v>
      </c>
      <c r="B644" s="263">
        <f>'Dry_Litterbag Placem_Collection'!A205</f>
        <v>203</v>
      </c>
      <c r="C644" s="263" t="str">
        <f>'Dry_Litterbag Placem_Collection'!B205</f>
        <v>Maswa</v>
      </c>
      <c r="D644" s="263" t="s">
        <v>2659</v>
      </c>
      <c r="E644" s="263" t="s">
        <v>2526</v>
      </c>
      <c r="F644" s="263">
        <v>2</v>
      </c>
      <c r="G644" s="264" t="str">
        <f>'Dry_Litterbag Placem_Collection'!C205</f>
        <v>Dry_W1_CG2</v>
      </c>
      <c r="H644" s="273" t="s">
        <v>3651</v>
      </c>
      <c r="I644" s="266" t="s">
        <v>1147</v>
      </c>
      <c r="J644" s="263" t="str">
        <f>IF(ISBLANK('Dry_Litterbag Placem_Collection'!L205),"","G"&amp;""&amp;'Dry_Litterbag Placem_Collection'!L205)</f>
        <v>G168</v>
      </c>
      <c r="K644" s="267">
        <f>IFERROR(INDEX('Green_rooibos initial weight'!$C$5:$C$1749,MATCH(J644, 'Green_rooibos initial weight'!$A$5:$A$1749,0)),"")</f>
        <v>2.0499999999999998</v>
      </c>
      <c r="L644" s="267">
        <f>IFERROR(K644-(TBIcalc!$Q$9+TBIcalc!$Q$10),"")</f>
        <v>1.8001999999999998</v>
      </c>
      <c r="M644" s="391">
        <f>AVERAGE(Ashed_controlls!$K$2:$K$11)</f>
        <v>5.5147656768714146</v>
      </c>
      <c r="N644" s="267">
        <f t="shared" si="51"/>
        <v>1.7009231882849607</v>
      </c>
      <c r="O644" s="267">
        <f>IF(IFERROR(INDEX('Both teabags AfterDry'!$D$3:$D$900,MATCH(J644,'Both teabags AfterDry'!$A$3:$A$900,0)),"")="","",(IFERROR(INDEX('Both teabags AfterDry'!$D$3:$D$900,MATCH(J644,'Both teabags AfterDry'!$A$3:$A$900,0)),"")))</f>
        <v>0.72609999999999997</v>
      </c>
      <c r="P644" s="267">
        <f>IFERROR(IF(O644&gt;0,O644-(TBIcalc!$Q$9),""),"")</f>
        <v>0.5754999999999999</v>
      </c>
      <c r="Q644" s="278">
        <f>IFERROR(INDEX('Ashed teabags dry'!$K$2:$K$825,MATCH(J644,'Ashed teabags dry'!$A$2:$A$825,0)),"")</f>
        <v>14.424477901894273</v>
      </c>
      <c r="R644" s="278">
        <f t="shared" si="52"/>
        <v>0.4924871296745984</v>
      </c>
      <c r="S644" s="268">
        <f>'Dry_Litterbag Placem_Collection'!E205</f>
        <v>42942</v>
      </c>
      <c r="T644" s="268">
        <f>IF('Dry_Litterbag Placem_Collection'!G205="","",'Dry_Litterbag Placem_Collection'!G205)</f>
        <v>43004</v>
      </c>
      <c r="U644" s="269">
        <f t="shared" si="50"/>
        <v>62</v>
      </c>
      <c r="V644" s="267">
        <f t="shared" si="53"/>
        <v>1.2246999999999999</v>
      </c>
      <c r="W644" s="267">
        <f t="shared" si="54"/>
        <v>1.2084360586103622</v>
      </c>
      <c r="X644" s="271">
        <f>IFERROR(INDEX(Rainfall_Dry!$O$2:$O$217,MATCH(B644, Rainfall_Dry!$A$2:$A$217,0)),"")</f>
        <v>171.84818423999999</v>
      </c>
      <c r="Y644" s="260">
        <v>47.96</v>
      </c>
      <c r="Z644" s="260">
        <v>22.919999999999995</v>
      </c>
      <c r="AA644" s="260">
        <v>29.120000000000012</v>
      </c>
      <c r="AB644" s="261" t="s">
        <v>2673</v>
      </c>
      <c r="AC644" s="260">
        <v>2.8831936914736325</v>
      </c>
      <c r="AD644">
        <f>IF('WetLitterbags placem_collection'!AB205="","",'WetLitterbags placem_collection'!AB205)</f>
        <v>5.13</v>
      </c>
      <c r="AE644">
        <f>IF('WetLitterbags placem_collection'!Z205="","",'WetLitterbags placem_collection'!Z205)</f>
        <v>5.13</v>
      </c>
      <c r="AF644" s="24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71">
        <f>IFERROR(AVERAGE('Dry_Litterbag Placem_Collection'!N205,'Dry_Litterbag Placem_Collection'!Q205),"")</f>
        <v>28.299999999999997</v>
      </c>
      <c r="AJ644">
        <v>-2.4396450349999999</v>
      </c>
      <c r="AK644">
        <v>34.83836599</v>
      </c>
      <c r="AL644" s="270" t="str">
        <f>IF(ISNUMBER(SEARCH("C", 'Dry_Litterbag Placem_Collection'!U205)),"YES","NO")</f>
        <v>NO</v>
      </c>
      <c r="AM644" s="270" t="str">
        <f>IF(ISNUMBER(SEARCH("H", 'Dry_Litterbag Placem_Collection'!U205)),"YES","NO")</f>
        <v>NO</v>
      </c>
      <c r="AN644" s="270" t="str">
        <f>IF(ISNUMBER(SEARCH("R", 'Dry_Litterbag Placem_Collection'!U205)),"YES","NO")</f>
        <v>YES</v>
      </c>
    </row>
    <row r="645" spans="1:40" ht="15" customHeight="1">
      <c r="A645" s="262" t="s">
        <v>2659</v>
      </c>
      <c r="B645" s="263">
        <f>'Dry_Litterbag Placem_Collection'!A206</f>
        <v>204</v>
      </c>
      <c r="C645" s="263" t="str">
        <f>'Dry_Litterbag Placem_Collection'!B206</f>
        <v>Maswa</v>
      </c>
      <c r="D645" s="263" t="s">
        <v>2659</v>
      </c>
      <c r="E645" s="263" t="s">
        <v>2526</v>
      </c>
      <c r="F645" s="263">
        <v>3</v>
      </c>
      <c r="G645" s="264" t="str">
        <f>'Dry_Litterbag Placem_Collection'!C206</f>
        <v>Dry_W4_CG3</v>
      </c>
      <c r="H645" s="273" t="s">
        <v>3651</v>
      </c>
      <c r="I645" s="266" t="s">
        <v>1147</v>
      </c>
      <c r="J645" s="263" t="str">
        <f>IF(ISBLANK('Dry_Litterbag Placem_Collection'!L206),"","G"&amp;""&amp;'Dry_Litterbag Placem_Collection'!L206)</f>
        <v>G672</v>
      </c>
      <c r="K645" s="267">
        <f>IFERROR(INDEX('Green_rooibos initial weight'!$C$5:$C$1749,MATCH(J645, 'Green_rooibos initial weight'!$A$5:$A$1749,0)),"")</f>
        <v>2.0350000000000001</v>
      </c>
      <c r="L645" s="267">
        <f>IFERROR(K645-(TBIcalc!$Q$9+TBIcalc!$Q$10),"")</f>
        <v>1.7852000000000001</v>
      </c>
      <c r="M645" s="391">
        <f>AVERAGE(Ashed_controlls!$K$2:$K$11)</f>
        <v>5.5147656768714146</v>
      </c>
      <c r="N645" s="267">
        <f t="shared" si="51"/>
        <v>1.6867504031364917</v>
      </c>
      <c r="O645" s="267">
        <f>IF(IFERROR(INDEX('Both teabags AfterDry'!$D$3:$D$900,MATCH(J645,'Both teabags AfterDry'!$A$3:$A$900,0)),"")="","",(IFERROR(INDEX('Both teabags AfterDry'!$D$3:$D$900,MATCH(J645,'Both teabags AfterDry'!$A$3:$A$900,0)),"")))</f>
        <v>0.75690000000000002</v>
      </c>
      <c r="P645" s="267">
        <f>IFERROR(IF(O645&gt;0,O645-(TBIcalc!$Q$9),""),"")</f>
        <v>0.60630000000000006</v>
      </c>
      <c r="Q645" s="278">
        <f>IFERROR(INDEX('Ashed teabags dry'!$K$2:$K$825,MATCH(J645,'Ashed teabags dry'!$A$2:$A$825,0)),"")</f>
        <v>21.599219892735228</v>
      </c>
      <c r="R645" s="278">
        <f t="shared" si="52"/>
        <v>0.47534392979034634</v>
      </c>
      <c r="S645" s="268">
        <f>'Dry_Litterbag Placem_Collection'!E206</f>
        <v>42942</v>
      </c>
      <c r="T645" s="268">
        <f>IF('Dry_Litterbag Placem_Collection'!G206="","",'Dry_Litterbag Placem_Collection'!G206)</f>
        <v>43004</v>
      </c>
      <c r="U645" s="269">
        <f t="shared" si="50"/>
        <v>62</v>
      </c>
      <c r="V645" s="267">
        <f t="shared" si="53"/>
        <v>1.1789000000000001</v>
      </c>
      <c r="W645" s="267">
        <f t="shared" si="54"/>
        <v>1.2114064733461454</v>
      </c>
      <c r="X645" s="271">
        <f>IFERROR(INDEX(Rainfall_Dry!$O$2:$O$217,MATCH(B645, Rainfall_Dry!$A$2:$A$217,0)),"")</f>
        <v>171.84818423999999</v>
      </c>
      <c r="Y645" s="260">
        <v>28.145762029394</v>
      </c>
      <c r="Z645" s="260">
        <v>25.085564727199518</v>
      </c>
      <c r="AA645" s="260">
        <v>46.768673243406489</v>
      </c>
      <c r="AB645" s="261" t="s">
        <v>2670</v>
      </c>
      <c r="AC645" s="260">
        <v>2.1716214884179394</v>
      </c>
      <c r="AD645">
        <f>IF('WetLitterbags placem_collection'!AB206="","",'WetLitterbags placem_collection'!AB206)</f>
        <v>7.9</v>
      </c>
      <c r="AE645">
        <f>IF('WetLitterbags placem_collection'!Z206="","",'WetLitterbags placem_collection'!Z206)</f>
        <v>7.9</v>
      </c>
      <c r="AF645" s="24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71">
        <f>IFERROR(AVERAGE('Dry_Litterbag Placem_Collection'!N206,'Dry_Litterbag Placem_Collection'!Q206),"")</f>
        <v>27.299999999999997</v>
      </c>
      <c r="AJ645">
        <v>-2.4395990190000001</v>
      </c>
      <c r="AK645">
        <v>34.838418959999998</v>
      </c>
      <c r="AL645" s="270" t="str">
        <f>IF(ISNUMBER(SEARCH("C", 'Dry_Litterbag Placem_Collection'!U206)),"YES","NO")</f>
        <v>NO</v>
      </c>
      <c r="AM645" s="270" t="str">
        <f>IF(ISNUMBER(SEARCH("H", 'Dry_Litterbag Placem_Collection'!U206)),"YES","NO")</f>
        <v>NO</v>
      </c>
      <c r="AN645" s="270" t="str">
        <f>IF(ISNUMBER(SEARCH("R", 'Dry_Litterbag Placem_Collection'!U206)),"YES","NO")</f>
        <v>NO</v>
      </c>
    </row>
    <row r="646" spans="1:40" ht="15" customHeight="1">
      <c r="A646" s="262" t="s">
        <v>2659</v>
      </c>
      <c r="B646" s="263">
        <f>'Dry_Litterbag Placem_Collection'!A207</f>
        <v>205</v>
      </c>
      <c r="C646" s="263" t="str">
        <f>'Dry_Litterbag Placem_Collection'!B207</f>
        <v xml:space="preserve">Mwantimba
</v>
      </c>
      <c r="D646" s="263" t="s">
        <v>2659</v>
      </c>
      <c r="E646" s="263" t="s">
        <v>2526</v>
      </c>
      <c r="F646" s="263">
        <v>2</v>
      </c>
      <c r="G646" s="264" t="str">
        <f>'Dry_Litterbag Placem_Collection'!C207</f>
        <v>Wet_Ag1_CG2</v>
      </c>
      <c r="H646" s="273" t="s">
        <v>3651</v>
      </c>
      <c r="I646" s="266" t="s">
        <v>1147</v>
      </c>
      <c r="J646" s="263" t="str">
        <f>IF(ISBLANK('Dry_Litterbag Placem_Collection'!L207),"","G"&amp;""&amp;'Dry_Litterbag Placem_Collection'!L207)</f>
        <v>G173</v>
      </c>
      <c r="K646" s="267">
        <f>IFERROR(INDEX('Green_rooibos initial weight'!$C$5:$C$1749,MATCH(J646, 'Green_rooibos initial weight'!$A$5:$A$1749,0)),"")</f>
        <v>2.1419999999999999</v>
      </c>
      <c r="L646" s="267">
        <f>IFERROR(K646-(TBIcalc!$Q$9+TBIcalc!$Q$10),"")</f>
        <v>1.8921999999999999</v>
      </c>
      <c r="M646" s="391">
        <f>AVERAGE(Ashed_controlls!$K$2:$K$11)</f>
        <v>5.5147656768714146</v>
      </c>
      <c r="N646" s="267">
        <f t="shared" si="51"/>
        <v>1.7878496038622389</v>
      </c>
      <c r="O646" s="267">
        <f>IF(IFERROR(INDEX('Both teabags AfterDry'!$D$3:$D$900,MATCH(J646,'Both teabags AfterDry'!$A$3:$A$900,0)),"")="","",(IFERROR(INDEX('Both teabags AfterDry'!$D$3:$D$900,MATCH(J646,'Both teabags AfterDry'!$A$3:$A$900,0)),"")))</f>
        <v>0.79190000000000005</v>
      </c>
      <c r="P646" s="267">
        <f>IFERROR(IF(O646&gt;0,O646-(TBIcalc!$Q$9),""),"")</f>
        <v>0.64129999999999998</v>
      </c>
      <c r="Q646" s="278">
        <f>IFERROR(INDEX('Ashed teabags dry'!$K$2:$K$825,MATCH(J646,'Ashed teabags dry'!$A$2:$A$825,0)),"")</f>
        <v>18.018433179723015</v>
      </c>
      <c r="R646" s="278">
        <f t="shared" si="52"/>
        <v>0.52574778801843625</v>
      </c>
      <c r="S646" s="268">
        <f>'Dry_Litterbag Placem_Collection'!E207</f>
        <v>42942</v>
      </c>
      <c r="T646" s="268">
        <f>IF('Dry_Litterbag Placem_Collection'!G207="","",'Dry_Litterbag Placem_Collection'!G207)</f>
        <v>43004</v>
      </c>
      <c r="U646" s="269">
        <f t="shared" si="50"/>
        <v>62</v>
      </c>
      <c r="V646" s="267">
        <f t="shared" si="53"/>
        <v>1.2508999999999999</v>
      </c>
      <c r="W646" s="267">
        <f t="shared" si="54"/>
        <v>1.2621018158438027</v>
      </c>
      <c r="X646" s="271">
        <f>IFERROR(INDEX(Rainfall_Dry!$O$2:$O$217,MATCH(B646, Rainfall_Dry!$A$2:$A$217,0)),"")</f>
        <v>171.84818423999999</v>
      </c>
      <c r="Y646" s="260">
        <v>45.96</v>
      </c>
      <c r="Z646" s="260">
        <v>14.920000000000003</v>
      </c>
      <c r="AA646" s="260">
        <v>39.119999999999997</v>
      </c>
      <c r="AB646" s="261" t="s">
        <v>2673</v>
      </c>
      <c r="AC646" s="260">
        <v>2.0374568753080333</v>
      </c>
      <c r="AD646">
        <f>IF('WetLitterbags placem_collection'!AB207="","",'WetLitterbags placem_collection'!AB207)</f>
        <v>5.13</v>
      </c>
      <c r="AE646">
        <f>IF('WetLitterbags placem_collection'!Z207="","",'WetLitterbags placem_collection'!Z207)</f>
        <v>5.13</v>
      </c>
      <c r="AF646" s="24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71">
        <f>IFERROR(AVERAGE('Dry_Litterbag Placem_Collection'!N207,'Dry_Litterbag Placem_Collection'!Q207),"")</f>
        <v>29.05</v>
      </c>
      <c r="AJ646">
        <v>-2.4396450349999999</v>
      </c>
      <c r="AK646">
        <v>34.83836599</v>
      </c>
      <c r="AL646" s="270" t="str">
        <f>IF(ISNUMBER(SEARCH("C", 'Dry_Litterbag Placem_Collection'!U207)),"YES","NO")</f>
        <v>NO</v>
      </c>
      <c r="AM646" s="270" t="str">
        <f>IF(ISNUMBER(SEARCH("H", 'Dry_Litterbag Placem_Collection'!U207)),"YES","NO")</f>
        <v>NO</v>
      </c>
      <c r="AN646" s="270" t="str">
        <f>IF(ISNUMBER(SEARCH("R", 'Dry_Litterbag Placem_Collection'!U207)),"YES","NO")</f>
        <v>YES</v>
      </c>
    </row>
    <row r="647" spans="1:40" ht="15" customHeight="1">
      <c r="A647" s="262" t="s">
        <v>2659</v>
      </c>
      <c r="B647" s="263">
        <f>'Dry_Litterbag Placem_Collection'!A208</f>
        <v>206</v>
      </c>
      <c r="C647" s="263" t="str">
        <f>'Dry_Litterbag Placem_Collection'!B208</f>
        <v xml:space="preserve">Mwantimba
</v>
      </c>
      <c r="D647" s="263" t="s">
        <v>2659</v>
      </c>
      <c r="E647" s="263" t="s">
        <v>2526</v>
      </c>
      <c r="F647" s="263">
        <v>1</v>
      </c>
      <c r="G647" s="264" t="str">
        <f>'Dry_Litterbag Placem_Collection'!C208</f>
        <v>Wet_Ag2_CG1</v>
      </c>
      <c r="H647" s="273" t="s">
        <v>3651</v>
      </c>
      <c r="I647" s="266" t="s">
        <v>1147</v>
      </c>
      <c r="J647" s="263" t="str">
        <f>IF(ISBLANK('Dry_Litterbag Placem_Collection'!L208),"","G"&amp;""&amp;'Dry_Litterbag Placem_Collection'!L208)</f>
        <v>G262</v>
      </c>
      <c r="K647" s="267">
        <f>IFERROR(INDEX('Green_rooibos initial weight'!$C$5:$C$1749,MATCH(J647, 'Green_rooibos initial weight'!$A$5:$A$1749,0)),"")</f>
        <v>2.012</v>
      </c>
      <c r="L647" s="267">
        <f>IFERROR(K647-(TBIcalc!$Q$9+TBIcalc!$Q$10),"")</f>
        <v>1.7622</v>
      </c>
      <c r="M647" s="391">
        <f>AVERAGE(Ashed_controlls!$K$2:$K$11)</f>
        <v>5.5147656768714146</v>
      </c>
      <c r="N647" s="267">
        <f t="shared" si="51"/>
        <v>1.6650187992421719</v>
      </c>
      <c r="O647" s="267">
        <f>IF(IFERROR(INDEX('Both teabags AfterDry'!$D$3:$D$900,MATCH(J647,'Both teabags AfterDry'!$A$3:$A$900,0)),"")="","",(IFERROR(INDEX('Both teabags AfterDry'!$D$3:$D$900,MATCH(J647,'Both teabags AfterDry'!$A$3:$A$900,0)),"")))</f>
        <v>0.59640000000000004</v>
      </c>
      <c r="P647" s="267">
        <f>IFERROR(IF(O647&gt;0,O647-(TBIcalc!$Q$9),""),"")</f>
        <v>0.44580000000000003</v>
      </c>
      <c r="Q647" s="278">
        <f>IFERROR(INDEX('Ashed teabags dry'!$K$2:$K$825,MATCH(J647,'Ashed teabags dry'!$A$2:$A$825,0)),"")</f>
        <v>18.61042183622844</v>
      </c>
      <c r="R647" s="278">
        <f t="shared" si="52"/>
        <v>0.36283473945409361</v>
      </c>
      <c r="S647" s="268">
        <f>'Dry_Litterbag Placem_Collection'!E208</f>
        <v>42942</v>
      </c>
      <c r="T647" s="268">
        <f>IF('Dry_Litterbag Placem_Collection'!G208="","",'Dry_Litterbag Placem_Collection'!G208)</f>
        <v>43004</v>
      </c>
      <c r="U647" s="269">
        <f t="shared" si="50"/>
        <v>62</v>
      </c>
      <c r="V647" s="267">
        <f t="shared" si="53"/>
        <v>1.3164</v>
      </c>
      <c r="W647" s="267">
        <f t="shared" si="54"/>
        <v>1.3021840597880783</v>
      </c>
      <c r="X647" s="271">
        <f>IFERROR(INDEX(Rainfall_Dry!$O$2:$O$217,MATCH(B647, Rainfall_Dry!$A$2:$A$217,0)),"")</f>
        <v>171.84818423999999</v>
      </c>
      <c r="Y647" s="260">
        <v>34.344660194174757</v>
      </c>
      <c r="Z647" s="260">
        <v>19.22727272727273</v>
      </c>
      <c r="AA647" s="260">
        <v>46.428067078552509</v>
      </c>
      <c r="AB647" s="261" t="s">
        <v>2670</v>
      </c>
      <c r="AC647" s="260">
        <v>1.7452932479053718</v>
      </c>
      <c r="AD647">
        <f>IF('WetLitterbags placem_collection'!AB208="","",'WetLitterbags placem_collection'!AB208)</f>
        <v>13.8</v>
      </c>
      <c r="AE647">
        <f>IF('WetLitterbags placem_collection'!Z208="","",'WetLitterbags placem_collection'!Z208)</f>
        <v>17.399999999999999</v>
      </c>
      <c r="AF647" s="24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71">
        <f>IFERROR(AVERAGE('Dry_Litterbag Placem_Collection'!N208,'Dry_Litterbag Placem_Collection'!Q208),"")</f>
        <v>27.799999999999997</v>
      </c>
      <c r="AJ647">
        <v>-2.439403972</v>
      </c>
      <c r="AK647">
        <v>34.838404959999998</v>
      </c>
      <c r="AL647" s="270" t="str">
        <f>IF(ISNUMBER(SEARCH("C", 'Dry_Litterbag Placem_Collection'!U208)),"YES","NO")</f>
        <v>NO</v>
      </c>
      <c r="AM647" s="270" t="str">
        <f>IF(ISNUMBER(SEARCH("H", 'Dry_Litterbag Placem_Collection'!U208)),"YES","NO")</f>
        <v>NO</v>
      </c>
      <c r="AN647" s="270" t="str">
        <f>IF(ISNUMBER(SEARCH("R", 'Dry_Litterbag Placem_Collection'!U208)),"YES","NO")</f>
        <v>YES</v>
      </c>
    </row>
    <row r="648" spans="1:40" ht="15" customHeight="1">
      <c r="A648" s="262" t="s">
        <v>2659</v>
      </c>
      <c r="B648" s="263">
        <f>'Dry_Litterbag Placem_Collection'!A209</f>
        <v>207</v>
      </c>
      <c r="C648" s="263" t="str">
        <f>'Dry_Litterbag Placem_Collection'!B209</f>
        <v xml:space="preserve">Mwantimba
</v>
      </c>
      <c r="D648" s="263" t="s">
        <v>2659</v>
      </c>
      <c r="E648" s="263" t="s">
        <v>2526</v>
      </c>
      <c r="F648" s="263">
        <v>4</v>
      </c>
      <c r="G648" s="264" t="str">
        <f>'Dry_Litterbag Placem_Collection'!C209</f>
        <v>Wet_Ag3_CG4</v>
      </c>
      <c r="H648" s="273" t="s">
        <v>3651</v>
      </c>
      <c r="I648" s="266" t="s">
        <v>1147</v>
      </c>
      <c r="J648" s="263" t="str">
        <f>IF(ISBLANK('Dry_Litterbag Placem_Collection'!L209),"","G"&amp;""&amp;'Dry_Litterbag Placem_Collection'!L209)</f>
        <v>G230</v>
      </c>
      <c r="K648" s="267">
        <f>IFERROR(INDEX('Green_rooibos initial weight'!$C$5:$C$1749,MATCH(J648, 'Green_rooibos initial weight'!$A$5:$A$1749,0)),"")</f>
        <v>2.0030000000000001</v>
      </c>
      <c r="L648" s="267">
        <f>IFERROR(K648-(TBIcalc!$Q$9+TBIcalc!$Q$10),"")</f>
        <v>1.7532000000000001</v>
      </c>
      <c r="M648" s="391">
        <f>AVERAGE(Ashed_controlls!$K$2:$K$11)</f>
        <v>5.5147656768714146</v>
      </c>
      <c r="N648" s="267">
        <f t="shared" si="51"/>
        <v>1.6565151281530905</v>
      </c>
      <c r="O648" s="267">
        <f>IF(IFERROR(INDEX('Both teabags AfterDry'!$D$3:$D$900,MATCH(J648,'Both teabags AfterDry'!$A$3:$A$900,0)),"")="","",(IFERROR(INDEX('Both teabags AfterDry'!$D$3:$D$900,MATCH(J648,'Both teabags AfterDry'!$A$3:$A$900,0)),"")))</f>
        <v>0.73299999999999998</v>
      </c>
      <c r="P648" s="267">
        <f>IFERROR(IF(O648&gt;0,O648-(TBIcalc!$Q$9),""),"")</f>
        <v>0.58240000000000003</v>
      </c>
      <c r="Q648" s="278">
        <f>IFERROR(INDEX('Ashed teabags dry'!$K$2:$K$825,MATCH(J648,'Ashed teabags dry'!$A$2:$A$825,0)),"")</f>
        <v>20.488997555012073</v>
      </c>
      <c r="R648" s="278">
        <f t="shared" si="52"/>
        <v>0.46307207823960972</v>
      </c>
      <c r="S648" s="268">
        <f>'Dry_Litterbag Placem_Collection'!E209</f>
        <v>42942</v>
      </c>
      <c r="T648" s="268">
        <f>IF('Dry_Litterbag Placem_Collection'!G209="","",'Dry_Litterbag Placem_Collection'!G209)</f>
        <v>43004</v>
      </c>
      <c r="U648" s="269">
        <f t="shared" si="50"/>
        <v>62</v>
      </c>
      <c r="V648" s="267">
        <f t="shared" si="53"/>
        <v>1.1708000000000001</v>
      </c>
      <c r="W648" s="267">
        <f t="shared" si="54"/>
        <v>1.1934430499134807</v>
      </c>
      <c r="X648" s="271">
        <f>IFERROR(INDEX(Rainfall_Dry!$O$2:$O$217,MATCH(B648, Rainfall_Dry!$A$2:$A$217,0)),"")</f>
        <v>171.84818423999999</v>
      </c>
      <c r="Y648" s="260">
        <v>27.96</v>
      </c>
      <c r="Z648" s="260">
        <v>4.9200000000000017</v>
      </c>
      <c r="AA648" s="260">
        <v>67.12</v>
      </c>
      <c r="AB648" s="261" t="s">
        <v>2670</v>
      </c>
      <c r="AC648" s="260">
        <v>0.88610152784622953</v>
      </c>
      <c r="AD648">
        <f>IF('WetLitterbags placem_collection'!AB209="","",'WetLitterbags placem_collection'!AB209)</f>
        <v>15.2</v>
      </c>
      <c r="AE648">
        <f>IF('WetLitterbags placem_collection'!Z209="","",'WetLitterbags placem_collection'!Z209)</f>
        <v>12.2</v>
      </c>
      <c r="AF648" s="24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71">
        <f>IFERROR(AVERAGE('Dry_Litterbag Placem_Collection'!N209,'Dry_Litterbag Placem_Collection'!Q209),"")</f>
        <v>29.6</v>
      </c>
      <c r="AJ648">
        <v>-2.4396949910000001</v>
      </c>
      <c r="AK648">
        <v>34.838574029999997</v>
      </c>
      <c r="AL648" s="270" t="str">
        <f>IF(ISNUMBER(SEARCH("C", 'Dry_Litterbag Placem_Collection'!U209)),"YES","NO")</f>
        <v>NO</v>
      </c>
      <c r="AM648" s="270" t="str">
        <f>IF(ISNUMBER(SEARCH("H", 'Dry_Litterbag Placem_Collection'!U209)),"YES","NO")</f>
        <v>NO</v>
      </c>
      <c r="AN648" s="270" t="str">
        <f>IF(ISNUMBER(SEARCH("R", 'Dry_Litterbag Placem_Collection'!U209)),"YES","NO")</f>
        <v>NO</v>
      </c>
    </row>
    <row r="649" spans="1:40" ht="15" customHeight="1">
      <c r="A649" s="262" t="s">
        <v>2659</v>
      </c>
      <c r="B649" s="263">
        <f>'Dry_Litterbag Placem_Collection'!A210</f>
        <v>208</v>
      </c>
      <c r="C649" s="263" t="str">
        <f>'Dry_Litterbag Placem_Collection'!B210</f>
        <v xml:space="preserve">Mwantimba
</v>
      </c>
      <c r="D649" s="263" t="s">
        <v>2659</v>
      </c>
      <c r="E649" s="263" t="s">
        <v>2526</v>
      </c>
      <c r="F649" s="263">
        <v>3</v>
      </c>
      <c r="G649" s="264" t="str">
        <f>'Dry_Litterbag Placem_Collection'!C210</f>
        <v>Wet_Ag4_CG3</v>
      </c>
      <c r="H649" s="273" t="s">
        <v>3651</v>
      </c>
      <c r="I649" s="266" t="s">
        <v>1147</v>
      </c>
      <c r="J649" s="263" t="str">
        <f>IF(ISBLANK('Dry_Litterbag Placem_Collection'!L210),"","G"&amp;""&amp;'Dry_Litterbag Placem_Collection'!L210)</f>
        <v>G140</v>
      </c>
      <c r="K649" s="267">
        <f>IFERROR(INDEX('Green_rooibos initial weight'!$C$5:$C$1749,MATCH(J649, 'Green_rooibos initial weight'!$A$5:$A$1749,0)),"")</f>
        <v>2.0590000000000002</v>
      </c>
      <c r="L649" s="267">
        <f>IFERROR(K649-(TBIcalc!$Q$9+TBIcalc!$Q$10),"")</f>
        <v>1.8092000000000001</v>
      </c>
      <c r="M649" s="391">
        <f>AVERAGE(Ashed_controlls!$K$2:$K$11)</f>
        <v>5.5147656768714146</v>
      </c>
      <c r="N649" s="267">
        <f t="shared" si="51"/>
        <v>1.7094268593740425</v>
      </c>
      <c r="O649" s="267">
        <f>IF(IFERROR(INDEX('Both teabags AfterDry'!$D$3:$D$900,MATCH(J649,'Both teabags AfterDry'!$A$3:$A$900,0)),"")="","",(IFERROR(INDEX('Both teabags AfterDry'!$D$3:$D$900,MATCH(J649,'Both teabags AfterDry'!$A$3:$A$900,0)),"")))</f>
        <v>0.74199999999999999</v>
      </c>
      <c r="P649" s="267">
        <f>IFERROR(IF(O649&gt;0,O649-(TBIcalc!$Q$9),""),"")</f>
        <v>0.59139999999999993</v>
      </c>
      <c r="Q649" s="278">
        <f>IFERROR(INDEX('Ashed teabags dry'!$K$2:$K$825,MATCH(J649,'Ashed teabags dry'!$A$2:$A$825,0)),"")</f>
        <v>20.585365853658182</v>
      </c>
      <c r="R649" s="278">
        <f t="shared" si="52"/>
        <v>0.46965814634146547</v>
      </c>
      <c r="S649" s="268">
        <f>'Dry_Litterbag Placem_Collection'!E210</f>
        <v>42942</v>
      </c>
      <c r="T649" s="268">
        <f>IF('Dry_Litterbag Placem_Collection'!G210="","",'Dry_Litterbag Placem_Collection'!G210)</f>
        <v>43004</v>
      </c>
      <c r="U649" s="269">
        <f t="shared" si="50"/>
        <v>62</v>
      </c>
      <c r="V649" s="267">
        <f t="shared" si="53"/>
        <v>1.2178000000000002</v>
      </c>
      <c r="W649" s="267">
        <f t="shared" si="54"/>
        <v>1.239768713032577</v>
      </c>
      <c r="X649" s="271">
        <f>IFERROR(INDEX(Rainfall_Dry!$O$2:$O$217,MATCH(B649, Rainfall_Dry!$A$2:$A$217,0)),"")</f>
        <v>171.84818423999999</v>
      </c>
      <c r="Y649" s="260">
        <v>17.96</v>
      </c>
      <c r="Z649" s="260">
        <v>4.9199999999999982</v>
      </c>
      <c r="AA649" s="260">
        <v>77.12</v>
      </c>
      <c r="AB649" s="261" t="s">
        <v>2671</v>
      </c>
      <c r="AC649" s="260">
        <v>2.0220798422868409</v>
      </c>
      <c r="AD649">
        <f>IF('WetLitterbags placem_collection'!AB210="","",'WetLitterbags placem_collection'!AB210)</f>
        <v>7.9</v>
      </c>
      <c r="AE649">
        <f>IF('WetLitterbags placem_collection'!Z210="","",'WetLitterbags placem_collection'!Z210)</f>
        <v>7.9</v>
      </c>
      <c r="AF649" s="24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71">
        <f>IFERROR(AVERAGE('Dry_Litterbag Placem_Collection'!N210,'Dry_Litterbag Placem_Collection'!Q210),"")</f>
        <v>29.1</v>
      </c>
      <c r="AJ649">
        <v>-2.4395990190000001</v>
      </c>
      <c r="AK649">
        <v>34.838418959999998</v>
      </c>
      <c r="AL649" s="270" t="str">
        <f>IF(ISNUMBER(SEARCH("C", 'Dry_Litterbag Placem_Collection'!U210)),"YES","NO")</f>
        <v>NO</v>
      </c>
      <c r="AM649" s="270" t="str">
        <f>IF(ISNUMBER(SEARCH("H", 'Dry_Litterbag Placem_Collection'!U210)),"YES","NO")</f>
        <v>NO</v>
      </c>
      <c r="AN649" s="270" t="str">
        <f>IF(ISNUMBER(SEARCH("R", 'Dry_Litterbag Placem_Collection'!U210)),"YES","NO")</f>
        <v>YES</v>
      </c>
    </row>
    <row r="650" spans="1:40" ht="15" customHeight="1">
      <c r="A650" s="262" t="s">
        <v>2659</v>
      </c>
      <c r="B650" s="263">
        <f>'Dry_Litterbag Placem_Collection'!A211</f>
        <v>209</v>
      </c>
      <c r="C650" s="263" t="str">
        <f>'Dry_Litterbag Placem_Collection'!B211</f>
        <v xml:space="preserve">Mwantimba
</v>
      </c>
      <c r="D650" s="263" t="s">
        <v>2659</v>
      </c>
      <c r="E650" s="263" t="s">
        <v>2526</v>
      </c>
      <c r="F650" s="263">
        <v>2</v>
      </c>
      <c r="G650" s="264" t="str">
        <f>'Dry_Litterbag Placem_Collection'!C211</f>
        <v>Wet_P1_CG2</v>
      </c>
      <c r="H650" s="273" t="s">
        <v>3651</v>
      </c>
      <c r="I650" s="266" t="s">
        <v>1147</v>
      </c>
      <c r="J650" s="263" t="str">
        <f>IF(ISBLANK('Dry_Litterbag Placem_Collection'!L211),"","G"&amp;""&amp;'Dry_Litterbag Placem_Collection'!L211)</f>
        <v>G92</v>
      </c>
      <c r="K650" s="267">
        <f>IFERROR(INDEX('Green_rooibos initial weight'!$C$5:$C$1749,MATCH(J650, 'Green_rooibos initial weight'!$A$5:$A$1749,0)),"")</f>
        <v>2.1930000000000001</v>
      </c>
      <c r="L650" s="267">
        <f>IFERROR(K650-(TBIcalc!$Q$9+TBIcalc!$Q$10),"")</f>
        <v>1.9432</v>
      </c>
      <c r="M650" s="391">
        <f>AVERAGE(Ashed_controlls!$K$2:$K$11)</f>
        <v>5.5147656768714146</v>
      </c>
      <c r="N650" s="267">
        <f t="shared" si="51"/>
        <v>1.8360370733670348</v>
      </c>
      <c r="O650" s="267">
        <f>IF(IFERROR(INDEX('Both teabags AfterDry'!$D$3:$D$900,MATCH(J650,'Both teabags AfterDry'!$A$3:$A$900,0)),"")="","",(IFERROR(INDEX('Both teabags AfterDry'!$D$3:$D$900,MATCH(J650,'Both teabags AfterDry'!$A$3:$A$900,0)),"")))</f>
        <v>0.73619999999999997</v>
      </c>
      <c r="P650" s="267">
        <f>IFERROR(IF(O650&gt;0,O650-(TBIcalc!$Q$9),""),"")</f>
        <v>0.5855999999999999</v>
      </c>
      <c r="Q650" s="278">
        <f>IFERROR(INDEX('Ashed teabags dry'!$K$2:$K$825,MATCH(J650,'Ashed teabags dry'!$A$2:$A$825,0)),"")</f>
        <v>17.387081107333806</v>
      </c>
      <c r="R650" s="278">
        <f t="shared" si="52"/>
        <v>0.48378125303545316</v>
      </c>
      <c r="S650" s="268">
        <f>'Dry_Litterbag Placem_Collection'!E211</f>
        <v>42942</v>
      </c>
      <c r="T650" s="268">
        <f>IF('Dry_Litterbag Placem_Collection'!G211="","",'Dry_Litterbag Placem_Collection'!G211)</f>
        <v>43004</v>
      </c>
      <c r="U650" s="269">
        <f t="shared" si="50"/>
        <v>62</v>
      </c>
      <c r="V650" s="267">
        <f t="shared" si="53"/>
        <v>1.3576000000000001</v>
      </c>
      <c r="W650" s="267">
        <f t="shared" si="54"/>
        <v>1.3522558203315818</v>
      </c>
      <c r="X650" s="271">
        <f>IFERROR(INDEX(Rainfall_Dry!$O$2:$O$217,MATCH(B650, Rainfall_Dry!$A$2:$A$217,0)),"")</f>
        <v>171.84818423999999</v>
      </c>
      <c r="Y650" s="260">
        <v>31.214836424255054</v>
      </c>
      <c r="Z650" s="260">
        <v>11.377370285476141</v>
      </c>
      <c r="AA650" s="260">
        <v>57.407793290268799</v>
      </c>
      <c r="AB650" s="261" t="s">
        <v>2670</v>
      </c>
      <c r="AC650" s="260">
        <v>1.7337604731394776</v>
      </c>
      <c r="AD650">
        <f>IF('WetLitterbags placem_collection'!AB211="","",'WetLitterbags placem_collection'!AB211)</f>
        <v>5.13</v>
      </c>
      <c r="AE650">
        <f>IF('WetLitterbags placem_collection'!Z211="","",'WetLitterbags placem_collection'!Z211)</f>
        <v>5.13</v>
      </c>
      <c r="AF650" s="24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71">
        <f>IFERROR(AVERAGE('Dry_Litterbag Placem_Collection'!N211,'Dry_Litterbag Placem_Collection'!Q211),"")</f>
        <v>29.6</v>
      </c>
      <c r="AJ650">
        <v>-2.4396450349999999</v>
      </c>
      <c r="AK650">
        <v>34.83836599</v>
      </c>
      <c r="AL650" s="270" t="str">
        <f>IF(ISNUMBER(SEARCH("C", 'Dry_Litterbag Placem_Collection'!U211)),"YES","NO")</f>
        <v>NO</v>
      </c>
      <c r="AM650" s="270" t="str">
        <f>IF(ISNUMBER(SEARCH("H", 'Dry_Litterbag Placem_Collection'!U211)),"YES","NO")</f>
        <v>NO</v>
      </c>
      <c r="AN650" s="270" t="str">
        <f>IF(ISNUMBER(SEARCH("R", 'Dry_Litterbag Placem_Collection'!U211)),"YES","NO")</f>
        <v>YES</v>
      </c>
    </row>
    <row r="651" spans="1:40" ht="15" customHeight="1">
      <c r="A651" s="262" t="s">
        <v>2659</v>
      </c>
      <c r="B651" s="263">
        <f>'Dry_Litterbag Placem_Collection'!A212</f>
        <v>210</v>
      </c>
      <c r="C651" s="263" t="str">
        <f>'Dry_Litterbag Placem_Collection'!B212</f>
        <v xml:space="preserve">Mwantimba
</v>
      </c>
      <c r="D651" s="263" t="s">
        <v>2659</v>
      </c>
      <c r="E651" s="263" t="s">
        <v>2526</v>
      </c>
      <c r="F651" s="263">
        <v>4</v>
      </c>
      <c r="G651" s="264" t="str">
        <f>'Dry_Litterbag Placem_Collection'!C212</f>
        <v>Wet_P2_CG4</v>
      </c>
      <c r="H651" s="273" t="s">
        <v>3651</v>
      </c>
      <c r="I651" s="266" t="s">
        <v>1147</v>
      </c>
      <c r="J651" s="263" t="str">
        <f>IF(ISBLANK('Dry_Litterbag Placem_Collection'!L212),"","G"&amp;""&amp;'Dry_Litterbag Placem_Collection'!L212)</f>
        <v>G36</v>
      </c>
      <c r="K651" s="267">
        <f>IFERROR(INDEX('Green_rooibos initial weight'!$C$5:$C$1749,MATCH(J651, 'Green_rooibos initial weight'!$A$5:$A$1749,0)),"")</f>
        <v>2.1429999999999998</v>
      </c>
      <c r="L651" s="267">
        <f>IFERROR(K651-(TBIcalc!$Q$9+TBIcalc!$Q$10),"")</f>
        <v>1.8931999999999998</v>
      </c>
      <c r="M651" s="391">
        <f>AVERAGE(Ashed_controlls!$K$2:$K$11)</f>
        <v>5.5147656768714146</v>
      </c>
      <c r="N651" s="267">
        <f t="shared" si="51"/>
        <v>1.7887944562054701</v>
      </c>
      <c r="O651" s="267">
        <f>IF(IFERROR(INDEX('Both teabags AfterDry'!$D$3:$D$900,MATCH(J651,'Both teabags AfterDry'!$A$3:$A$900,0)),"")="","",(IFERROR(INDEX('Both teabags AfterDry'!$D$3:$D$900,MATCH(J651,'Both teabags AfterDry'!$A$3:$A$900,0)),"")))</f>
        <v>0.84599999999999997</v>
      </c>
      <c r="P651" s="267">
        <f>IFERROR(IF(O651&gt;0,O651-(TBIcalc!$Q$9),""),"")</f>
        <v>0.69540000000000002</v>
      </c>
      <c r="Q651" s="278">
        <f>IFERROR(INDEX('Ashed teabags dry'!$K$2:$K$825,MATCH(J651,'Ashed teabags dry'!$A$2:$A$825,0)),"")</f>
        <v>19.173412867490324</v>
      </c>
      <c r="R651" s="278">
        <f t="shared" si="52"/>
        <v>0.5620680869194723</v>
      </c>
      <c r="S651" s="268">
        <f>'Dry_Litterbag Placem_Collection'!E212</f>
        <v>42942</v>
      </c>
      <c r="T651" s="268">
        <f>IF('Dry_Litterbag Placem_Collection'!G212="","",'Dry_Litterbag Placem_Collection'!G212)</f>
        <v>43004</v>
      </c>
      <c r="U651" s="269">
        <f t="shared" si="50"/>
        <v>62</v>
      </c>
      <c r="V651" s="267">
        <f t="shared" si="53"/>
        <v>1.1977999999999998</v>
      </c>
      <c r="W651" s="267">
        <f t="shared" si="54"/>
        <v>1.2267263692859978</v>
      </c>
      <c r="X651" s="271">
        <f>IFERROR(INDEX(Rainfall_Dry!$O$2:$O$217,MATCH(B651, Rainfall_Dry!$A$2:$A$217,0)),"")</f>
        <v>171.84818423999999</v>
      </c>
      <c r="Y651" s="260">
        <v>33.96</v>
      </c>
      <c r="Z651" s="260">
        <v>8.9200000000000017</v>
      </c>
      <c r="AA651" s="260">
        <v>57.12</v>
      </c>
      <c r="AB651" s="261" t="s">
        <v>2670</v>
      </c>
      <c r="AC651" s="260">
        <v>2.072055199605717</v>
      </c>
      <c r="AD651">
        <f>IF('WetLitterbags placem_collection'!AB212="","",'WetLitterbags placem_collection'!AB212)</f>
        <v>15.2</v>
      </c>
      <c r="AE651">
        <f>IF('WetLitterbags placem_collection'!Z212="","",'WetLitterbags placem_collection'!Z212)</f>
        <v>12.2</v>
      </c>
      <c r="AF651" s="24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71">
        <f>IFERROR(AVERAGE('Dry_Litterbag Placem_Collection'!N212,'Dry_Litterbag Placem_Collection'!Q212),"")</f>
        <v>27.5</v>
      </c>
      <c r="AJ651">
        <v>-2.4396949910000001</v>
      </c>
      <c r="AK651">
        <v>34.838574029999997</v>
      </c>
      <c r="AL651" s="270" t="str">
        <f>IF(ISNUMBER(SEARCH("C", 'Dry_Litterbag Placem_Collection'!U212)),"YES","NO")</f>
        <v>NO</v>
      </c>
      <c r="AM651" s="270" t="str">
        <f>IF(ISNUMBER(SEARCH("H", 'Dry_Litterbag Placem_Collection'!U212)),"YES","NO")</f>
        <v>NO</v>
      </c>
      <c r="AN651" s="270" t="str">
        <f>IF(ISNUMBER(SEARCH("R", 'Dry_Litterbag Placem_Collection'!U212)),"YES","NO")</f>
        <v>NO</v>
      </c>
    </row>
    <row r="652" spans="1:40" ht="15" customHeight="1">
      <c r="A652" s="262" t="s">
        <v>2659</v>
      </c>
      <c r="B652" s="263">
        <f>'Dry_Litterbag Placem_Collection'!A213</f>
        <v>211</v>
      </c>
      <c r="C652" s="263" t="str">
        <f>'Dry_Litterbag Placem_Collection'!B213</f>
        <v xml:space="preserve">Mwantimba
</v>
      </c>
      <c r="D652" s="263" t="s">
        <v>2659</v>
      </c>
      <c r="E652" s="263" t="s">
        <v>2526</v>
      </c>
      <c r="F652" s="263">
        <v>1</v>
      </c>
      <c r="G652" s="264" t="str">
        <f>'Dry_Litterbag Placem_Collection'!C213</f>
        <v>Wet_P3_CG1</v>
      </c>
      <c r="H652" s="273" t="s">
        <v>3651</v>
      </c>
      <c r="I652" s="266" t="s">
        <v>1147</v>
      </c>
      <c r="J652" s="263" t="str">
        <f>IF(ISBLANK('Dry_Litterbag Placem_Collection'!L213),"","G"&amp;""&amp;'Dry_Litterbag Placem_Collection'!L213)</f>
        <v>G434</v>
      </c>
      <c r="K652" s="267">
        <f>IFERROR(INDEX('Green_rooibos initial weight'!$C$5:$C$1749,MATCH(J652, 'Green_rooibos initial weight'!$A$5:$A$1749,0)),"")</f>
        <v>2.0339999999999998</v>
      </c>
      <c r="L652" s="267">
        <f>IFERROR(K652-(TBIcalc!$Q$9+TBIcalc!$Q$10),"")</f>
        <v>1.7841999999999998</v>
      </c>
      <c r="M652" s="391">
        <f>AVERAGE(Ashed_controlls!$K$2:$K$11)</f>
        <v>5.5147656768714146</v>
      </c>
      <c r="N652" s="267">
        <f t="shared" si="51"/>
        <v>1.6858055507932601</v>
      </c>
      <c r="O652" s="267">
        <f>IF(IFERROR(INDEX('Both teabags AfterDry'!$D$3:$D$900,MATCH(J652,'Both teabags AfterDry'!$A$3:$A$900,0)),"")="","",(IFERROR(INDEX('Both teabags AfterDry'!$D$3:$D$900,MATCH(J652,'Both teabags AfterDry'!$A$3:$A$900,0)),"")))</f>
        <v>0.74099999999999999</v>
      </c>
      <c r="P652" s="267">
        <f>IFERROR(IF(O652&gt;0,O652-(TBIcalc!$Q$9),""),"")</f>
        <v>0.59040000000000004</v>
      </c>
      <c r="Q652" s="278">
        <f>IFERROR(INDEX('Ashed teabags dry'!$K$2:$K$825,MATCH(J652,'Ashed teabags dry'!$A$2:$A$825,0)),"")</f>
        <v>15.012106537530052</v>
      </c>
      <c r="R652" s="278">
        <f t="shared" si="52"/>
        <v>0.50176852300242258</v>
      </c>
      <c r="S652" s="268">
        <f>'Dry_Litterbag Placem_Collection'!E213</f>
        <v>42942</v>
      </c>
      <c r="T652" s="268">
        <f>IF('Dry_Litterbag Placem_Collection'!G213="","",'Dry_Litterbag Placem_Collection'!G213)</f>
        <v>43004</v>
      </c>
      <c r="U652" s="269">
        <f t="shared" si="50"/>
        <v>62</v>
      </c>
      <c r="V652" s="267">
        <f t="shared" si="53"/>
        <v>1.1937999999999998</v>
      </c>
      <c r="W652" s="267">
        <f t="shared" si="54"/>
        <v>1.1840370277908376</v>
      </c>
      <c r="X652" s="271">
        <f>IFERROR(INDEX(Rainfall_Dry!$O$2:$O$217,MATCH(B652, Rainfall_Dry!$A$2:$A$217,0)),"")</f>
        <v>171.84818423999999</v>
      </c>
      <c r="Y652" s="260">
        <v>39.96</v>
      </c>
      <c r="Z652" s="260">
        <v>12.920000000000002</v>
      </c>
      <c r="AA652" s="260">
        <v>47.12</v>
      </c>
      <c r="AB652" s="261" t="s">
        <v>2674</v>
      </c>
      <c r="AC652" s="260">
        <v>1.6549531789058647</v>
      </c>
      <c r="AD652">
        <f>IF('WetLitterbags placem_collection'!AB213="","",'WetLitterbags placem_collection'!AB213)</f>
        <v>13.8</v>
      </c>
      <c r="AE652">
        <f>IF('WetLitterbags placem_collection'!Z213="","",'WetLitterbags placem_collection'!Z213)</f>
        <v>17.399999999999999</v>
      </c>
      <c r="AF652" s="24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71">
        <f>IFERROR(AVERAGE('Dry_Litterbag Placem_Collection'!N213,'Dry_Litterbag Placem_Collection'!Q213),"")</f>
        <v>28</v>
      </c>
      <c r="AJ652">
        <v>-2.439403972</v>
      </c>
      <c r="AK652">
        <v>34.838404959999998</v>
      </c>
      <c r="AL652" s="270" t="str">
        <f>IF(ISNUMBER(SEARCH("C", 'Dry_Litterbag Placem_Collection'!U213)),"YES","NO")</f>
        <v>NO</v>
      </c>
      <c r="AM652" s="270" t="str">
        <f>IF(ISNUMBER(SEARCH("H", 'Dry_Litterbag Placem_Collection'!U213)),"YES","NO")</f>
        <v>NO</v>
      </c>
      <c r="AN652" s="270" t="str">
        <f>IF(ISNUMBER(SEARCH("R", 'Dry_Litterbag Placem_Collection'!U213)),"YES","NO")</f>
        <v>YES</v>
      </c>
    </row>
    <row r="653" spans="1:40" ht="15" customHeight="1">
      <c r="A653" s="262" t="s">
        <v>2659</v>
      </c>
      <c r="B653" s="263">
        <f>'Dry_Litterbag Placem_Collection'!A214</f>
        <v>215</v>
      </c>
      <c r="C653" s="263" t="str">
        <f>'Dry_Litterbag Placem_Collection'!B214</f>
        <v xml:space="preserve">Mwantimba
</v>
      </c>
      <c r="D653" s="263" t="s">
        <v>2659</v>
      </c>
      <c r="E653" s="263" t="s">
        <v>2526</v>
      </c>
      <c r="F653" s="263">
        <v>3</v>
      </c>
      <c r="G653" s="264" t="str">
        <f>'Dry_Litterbag Placem_Collection'!C214</f>
        <v>Wet_W3_CG1</v>
      </c>
      <c r="H653" s="273" t="s">
        <v>3651</v>
      </c>
      <c r="I653" s="266" t="s">
        <v>1147</v>
      </c>
      <c r="J653" s="263" t="str">
        <f>IF(ISBLANK('Dry_Litterbag Placem_Collection'!L214),"","G"&amp;""&amp;'Dry_Litterbag Placem_Collection'!L214)</f>
        <v>G56</v>
      </c>
      <c r="K653" s="267">
        <f>IFERROR(INDEX('Green_rooibos initial weight'!$C$5:$C$1749,MATCH(J653, 'Green_rooibos initial weight'!$A$5:$A$1749,0)),"")</f>
        <v>2.02</v>
      </c>
      <c r="L653" s="267">
        <f>IFERROR(K653-(TBIcalc!$Q$9+TBIcalc!$Q$10),"")</f>
        <v>1.7702</v>
      </c>
      <c r="M653" s="391">
        <f>AVERAGE(Ashed_controlls!$K$2:$K$11)</f>
        <v>5.5147656768714146</v>
      </c>
      <c r="N653" s="267">
        <f t="shared" si="51"/>
        <v>1.6725776179880223</v>
      </c>
      <c r="O653" s="267">
        <f>IF(IFERROR(INDEX('Both teabags AfterDry'!$D$3:$D$900,MATCH(J653,'Both teabags AfterDry'!$A$3:$A$900,0)),"")="","",(IFERROR(INDEX('Both teabags AfterDry'!$D$3:$D$900,MATCH(J653,'Both teabags AfterDry'!$A$3:$A$900,0)),"")))</f>
        <v>0.7238</v>
      </c>
      <c r="P653" s="267">
        <f>IFERROR(IF(O653&gt;0,O653-(TBIcalc!$Q$9),""),"")</f>
        <v>0.57319999999999993</v>
      </c>
      <c r="Q653" s="278">
        <f>IFERROR(INDEX('Ashed teabags dry'!$K$2:$K$825,MATCH(J653,'Ashed teabags dry'!$A$2:$A$825,0)),"")</f>
        <v>20.311027332705713</v>
      </c>
      <c r="R653" s="278">
        <f t="shared" si="52"/>
        <v>0.4567771913289308</v>
      </c>
      <c r="S653" s="268">
        <f>'Dry_Litterbag Placem_Collection'!E214</f>
        <v>42942</v>
      </c>
      <c r="T653" s="268">
        <f>IF('Dry_Litterbag Placem_Collection'!G214="","",'Dry_Litterbag Placem_Collection'!G214)</f>
        <v>43004</v>
      </c>
      <c r="U653" s="269">
        <f t="shared" si="50"/>
        <v>62</v>
      </c>
      <c r="V653" s="267">
        <f t="shared" si="53"/>
        <v>1.1970000000000001</v>
      </c>
      <c r="W653" s="267">
        <f t="shared" si="54"/>
        <v>1.2158004266590914</v>
      </c>
      <c r="X653" s="271" t="str">
        <f>IFERROR(INDEX(Rainfall_Dry!$O$2:$O$217,MATCH(B653, Rainfall_Dry!$A$2:$A$217,0)),"")</f>
        <v/>
      </c>
      <c r="Y653" s="260">
        <v>27.96</v>
      </c>
      <c r="Z653" s="260">
        <v>4.9200000000000017</v>
      </c>
      <c r="AA653" s="260">
        <v>67.12</v>
      </c>
      <c r="AB653" s="261" t="s">
        <v>2670</v>
      </c>
      <c r="AC653" s="260">
        <v>1.0437161163134547</v>
      </c>
      <c r="AD653">
        <f>IF('WetLitterbags placem_collection'!AB214="","",'WetLitterbags placem_collection'!AB214)</f>
        <v>7.9</v>
      </c>
      <c r="AE653">
        <f>IF('WetLitterbags placem_collection'!Z214="","",'WetLitterbags placem_collection'!Z214)</f>
        <v>7.9</v>
      </c>
      <c r="AF653" s="24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71">
        <f>IFERROR(AVERAGE('Dry_Litterbag Placem_Collection'!N214,'Dry_Litterbag Placem_Collection'!Q214),"")</f>
        <v>28.75</v>
      </c>
      <c r="AJ653">
        <v>-2.4395990190000001</v>
      </c>
      <c r="AK653">
        <v>34.838418959999998</v>
      </c>
      <c r="AL653" s="270" t="str">
        <f>IF(ISNUMBER(SEARCH("C", 'Dry_Litterbag Placem_Collection'!U214)),"YES","NO")</f>
        <v>NO</v>
      </c>
      <c r="AM653" s="270" t="str">
        <f>IF(ISNUMBER(SEARCH("H", 'Dry_Litterbag Placem_Collection'!U214)),"YES","NO")</f>
        <v>NO</v>
      </c>
      <c r="AN653" s="270" t="str">
        <f>IF(ISNUMBER(SEARCH("R", 'Dry_Litterbag Placem_Collection'!U214)),"YES","NO")</f>
        <v>YES</v>
      </c>
    </row>
    <row r="654" spans="1:40" ht="15" customHeight="1">
      <c r="A654" s="262" t="s">
        <v>2659</v>
      </c>
      <c r="B654" s="263">
        <f>'Dry_Litterbag Placem_Collection'!A215</f>
        <v>212</v>
      </c>
      <c r="C654" s="263" t="str">
        <f>'Dry_Litterbag Placem_Collection'!B215</f>
        <v xml:space="preserve">Mwantimba
</v>
      </c>
      <c r="D654" s="263" t="s">
        <v>2659</v>
      </c>
      <c r="E654" s="263" t="s">
        <v>2526</v>
      </c>
      <c r="F654" s="263">
        <v>4</v>
      </c>
      <c r="G654" s="264" t="str">
        <f>'Dry_Litterbag Placem_Collection'!C215</f>
        <v>Wet_P4_CG3</v>
      </c>
      <c r="H654" s="273" t="s">
        <v>3651</v>
      </c>
      <c r="I654" s="266" t="s">
        <v>1147</v>
      </c>
      <c r="J654" s="263" t="str">
        <f>IF(ISBLANK('Dry_Litterbag Placem_Collection'!L215),"","G"&amp;""&amp;'Dry_Litterbag Placem_Collection'!L215)</f>
        <v>G363</v>
      </c>
      <c r="K654" s="267">
        <f>IFERROR(INDEX('Green_rooibos initial weight'!$C$5:$C$1749,MATCH(J654, 'Green_rooibos initial weight'!$A$5:$A$1749,0)),"")</f>
        <v>2.02</v>
      </c>
      <c r="L654" s="267">
        <f>IFERROR(K654-(TBIcalc!$Q$9+TBIcalc!$Q$10),"")</f>
        <v>1.7702</v>
      </c>
      <c r="M654" s="391">
        <f>AVERAGE(Ashed_controlls!$K$2:$K$11)</f>
        <v>5.5147656768714146</v>
      </c>
      <c r="N654" s="267">
        <f t="shared" si="51"/>
        <v>1.6725776179880223</v>
      </c>
      <c r="O654" s="267">
        <f>IF(IFERROR(INDEX('Both teabags AfterDry'!$D$3:$D$900,MATCH(J654,'Both teabags AfterDry'!$A$3:$A$900,0)),"")="","",(IFERROR(INDEX('Both teabags AfterDry'!$D$3:$D$900,MATCH(J654,'Both teabags AfterDry'!$A$3:$A$900,0)),"")))</f>
        <v>0.753</v>
      </c>
      <c r="P654" s="267">
        <f>IFERROR(IF(O654&gt;0,O654-(TBIcalc!$Q$9),""),"")</f>
        <v>0.60240000000000005</v>
      </c>
      <c r="Q654" s="278">
        <f>IFERROR(INDEX('Ashed teabags dry'!$K$2:$K$825,MATCH(J654,'Ashed teabags dry'!$A$2:$A$825,0)),"")</f>
        <v>15.347950428979985</v>
      </c>
      <c r="R654" s="278">
        <f t="shared" si="52"/>
        <v>0.50994394661582465</v>
      </c>
      <c r="S654" s="268">
        <f>'Dry_Litterbag Placem_Collection'!E215</f>
        <v>42942</v>
      </c>
      <c r="T654" s="268">
        <f>IF('Dry_Litterbag Placem_Collection'!G215="","",'Dry_Litterbag Placem_Collection'!G215)</f>
        <v>43004</v>
      </c>
      <c r="U654" s="269">
        <f t="shared" si="50"/>
        <v>62</v>
      </c>
      <c r="V654" s="267">
        <f t="shared" si="53"/>
        <v>1.1677999999999999</v>
      </c>
      <c r="W654" s="267">
        <f t="shared" si="54"/>
        <v>1.1626336713721976</v>
      </c>
      <c r="X654" s="271">
        <f>IFERROR(INDEX(Rainfall_Dry!$O$2:$O$217,MATCH(B654, Rainfall_Dry!$A$2:$A$217,0)),"")</f>
        <v>171.84818423999999</v>
      </c>
      <c r="Y654" s="260">
        <v>21.96</v>
      </c>
      <c r="Z654" s="260">
        <v>4.9199999999999982</v>
      </c>
      <c r="AA654" s="260">
        <v>73.12</v>
      </c>
      <c r="AB654" s="261" t="s">
        <v>2670</v>
      </c>
      <c r="AC654" s="260">
        <v>1.2416954164613114</v>
      </c>
      <c r="AD654">
        <f>IF('WetLitterbags placem_collection'!AB215="","",'WetLitterbags placem_collection'!AB215)</f>
        <v>15.2</v>
      </c>
      <c r="AE654">
        <f>IF('WetLitterbags placem_collection'!Z215="","",'WetLitterbags placem_collection'!Z215)</f>
        <v>12.2</v>
      </c>
      <c r="AF654" s="24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71">
        <f>IFERROR(AVERAGE('Dry_Litterbag Placem_Collection'!N215,'Dry_Litterbag Placem_Collection'!Q215),"")</f>
        <v>28.25</v>
      </c>
      <c r="AJ654">
        <v>-2.4396949910000001</v>
      </c>
      <c r="AK654">
        <v>34.838574029999997</v>
      </c>
      <c r="AL654" s="270" t="str">
        <f>IF(ISNUMBER(SEARCH("C", 'Dry_Litterbag Placem_Collection'!U215)),"YES","NO")</f>
        <v>NO</v>
      </c>
      <c r="AM654" s="270" t="str">
        <f>IF(ISNUMBER(SEARCH("H", 'Dry_Litterbag Placem_Collection'!U215)),"YES","NO")</f>
        <v>NO</v>
      </c>
      <c r="AN654" s="270" t="str">
        <f>IF(ISNUMBER(SEARCH("R", 'Dry_Litterbag Placem_Collection'!U215)),"YES","NO")</f>
        <v>YES</v>
      </c>
    </row>
    <row r="655" spans="1:40" ht="15" customHeight="1">
      <c r="A655" s="262" t="s">
        <v>2659</v>
      </c>
      <c r="B655" s="263">
        <f>'Dry_Litterbag Placem_Collection'!A216</f>
        <v>213</v>
      </c>
      <c r="C655" s="263" t="str">
        <f>'Dry_Litterbag Placem_Collection'!B216</f>
        <v>Handajega</v>
      </c>
      <c r="D655" s="263" t="s">
        <v>2659</v>
      </c>
      <c r="E655" s="263" t="s">
        <v>2526</v>
      </c>
      <c r="F655" s="263">
        <v>3</v>
      </c>
      <c r="G655" s="264" t="str">
        <f>'Dry_Litterbag Placem_Collection'!C216</f>
        <v>Wet_W1_CG4</v>
      </c>
      <c r="H655" s="273" t="s">
        <v>3651</v>
      </c>
      <c r="I655" s="266" t="s">
        <v>1147</v>
      </c>
      <c r="J655" s="263" t="str">
        <f>IF(ISBLANK('Dry_Litterbag Placem_Collection'!L216),"","G"&amp;""&amp;'Dry_Litterbag Placem_Collection'!L216)</f>
        <v>G5</v>
      </c>
      <c r="K655" s="267">
        <f>IFERROR(INDEX('Green_rooibos initial weight'!$C$5:$C$1749,MATCH(J655, 'Green_rooibos initial weight'!$A$5:$A$1749,0)),"")</f>
        <v>2.0139999999999998</v>
      </c>
      <c r="L655" s="267">
        <f>IFERROR(K655-(TBIcalc!$Q$9+TBIcalc!$Q$10),"")</f>
        <v>1.7641999999999998</v>
      </c>
      <c r="M655" s="391">
        <f>AVERAGE(Ashed_controlls!$K$2:$K$11)</f>
        <v>5.5147656768714146</v>
      </c>
      <c r="N655" s="267">
        <f t="shared" si="51"/>
        <v>1.6669085039286342</v>
      </c>
      <c r="O655" s="267">
        <f>IF(IFERROR(INDEX('Both teabags AfterDry'!$D$3:$D$900,MATCH(J655,'Both teabags AfterDry'!$A$3:$A$900,0)),"")="","",(IFERROR(INDEX('Both teabags AfterDry'!$D$3:$D$900,MATCH(J655,'Both teabags AfterDry'!$A$3:$A$900,0)),"")))</f>
        <v>0.67</v>
      </c>
      <c r="P655" s="267">
        <f>IFERROR(IF(O655&gt;0,O655-(TBIcalc!$Q$9),""),"")</f>
        <v>0.51940000000000008</v>
      </c>
      <c r="Q655" s="278">
        <f>IFERROR(INDEX('Ashed teabags dry'!$K$2:$K$825,MATCH(J655,'Ashed teabags dry'!$A$2:$A$825,0)),"")</f>
        <v>14.037698412698299</v>
      </c>
      <c r="R655" s="278">
        <f t="shared" si="52"/>
        <v>0.4464881944444451</v>
      </c>
      <c r="S655" s="268">
        <f>'Dry_Litterbag Placem_Collection'!E216</f>
        <v>42942</v>
      </c>
      <c r="T655" s="268">
        <f>IF('Dry_Litterbag Placem_Collection'!G216="","",'Dry_Litterbag Placem_Collection'!G216)</f>
        <v>43004</v>
      </c>
      <c r="U655" s="269">
        <f t="shared" si="50"/>
        <v>62</v>
      </c>
      <c r="V655" s="267">
        <f t="shared" si="53"/>
        <v>1.2447999999999997</v>
      </c>
      <c r="W655" s="267">
        <f t="shared" si="54"/>
        <v>1.2204203094841892</v>
      </c>
      <c r="X655" s="271">
        <f>IFERROR(INDEX(Rainfall_Dry!$O$2:$O$217,MATCH(B655, Rainfall_Dry!$A$2:$A$217,0)),"")</f>
        <v>171.84818423999999</v>
      </c>
      <c r="Y655" s="260">
        <v>23.96</v>
      </c>
      <c r="Z655" s="260">
        <v>4.9199999999999982</v>
      </c>
      <c r="AA655" s="260">
        <v>71.12</v>
      </c>
      <c r="AB655" s="261" t="s">
        <v>2670</v>
      </c>
      <c r="AC655" s="260">
        <v>3.30913750616067</v>
      </c>
      <c r="AD655">
        <f>IF('WetLitterbags placem_collection'!AB216="","",'WetLitterbags placem_collection'!AB216)</f>
        <v>7.9</v>
      </c>
      <c r="AE655">
        <f>IF('WetLitterbags placem_collection'!Z216="","",'WetLitterbags placem_collection'!Z216)</f>
        <v>7.9</v>
      </c>
      <c r="AF655" s="24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71">
        <f>IFERROR(AVERAGE('Dry_Litterbag Placem_Collection'!N216,'Dry_Litterbag Placem_Collection'!Q216),"")</f>
        <v>29.1</v>
      </c>
      <c r="AJ655">
        <v>-2.4396949910000001</v>
      </c>
      <c r="AK655">
        <v>34.838574029999997</v>
      </c>
      <c r="AL655" s="270" t="str">
        <f>IF(ISNUMBER(SEARCH("C", 'Dry_Litterbag Placem_Collection'!U216)),"YES","NO")</f>
        <v>NO</v>
      </c>
      <c r="AM655" s="270" t="str">
        <f>IF(ISNUMBER(SEARCH("H", 'Dry_Litterbag Placem_Collection'!U216)),"YES","NO")</f>
        <v>NO</v>
      </c>
      <c r="AN655" s="270" t="str">
        <f>IF(ISNUMBER(SEARCH("R", 'Dry_Litterbag Placem_Collection'!U216)),"YES","NO")</f>
        <v>NO</v>
      </c>
    </row>
    <row r="656" spans="1:40" ht="15" customHeight="1">
      <c r="A656" s="262" t="s">
        <v>2659</v>
      </c>
      <c r="B656" s="263">
        <f>'Dry_Litterbag Placem_Collection'!A217</f>
        <v>214</v>
      </c>
      <c r="C656" s="263" t="str">
        <f>'Dry_Litterbag Placem_Collection'!B217</f>
        <v>Handajega</v>
      </c>
      <c r="D656" s="263" t="s">
        <v>2659</v>
      </c>
      <c r="E656" s="263" t="s">
        <v>2526</v>
      </c>
      <c r="F656" s="263">
        <v>1</v>
      </c>
      <c r="G656" s="264" t="str">
        <f>'Dry_Litterbag Placem_Collection'!C217</f>
        <v>Wet_W2_CG3</v>
      </c>
      <c r="H656" s="273" t="s">
        <v>3651</v>
      </c>
      <c r="I656" s="266" t="s">
        <v>1147</v>
      </c>
      <c r="J656" s="263" t="str">
        <f>IF(ISBLANK('Dry_Litterbag Placem_Collection'!L217),"","G"&amp;""&amp;'Dry_Litterbag Placem_Collection'!L217)</f>
        <v>G771</v>
      </c>
      <c r="K656" s="267">
        <f>IFERROR(INDEX('Green_rooibos initial weight'!$C$5:$C$1749,MATCH(J656, 'Green_rooibos initial weight'!$A$5:$A$1749,0)),"")</f>
        <v>1.9910000000000001</v>
      </c>
      <c r="L656" s="267">
        <f>IFERROR(K656-(TBIcalc!$Q$9+TBIcalc!$Q$10),"")</f>
        <v>1.7412000000000001</v>
      </c>
      <c r="M656" s="391">
        <f>AVERAGE(Ashed_controlls!$K$2:$K$11)</f>
        <v>5.5147656768714146</v>
      </c>
      <c r="N656" s="267">
        <f t="shared" si="51"/>
        <v>1.645176900034315</v>
      </c>
      <c r="O656" s="267">
        <f>IF(IFERROR(INDEX('Both teabags AfterDry'!$D$3:$D$900,MATCH(J656,'Both teabags AfterDry'!$A$3:$A$900,0)),"")="","",(IFERROR(INDEX('Both teabags AfterDry'!$D$3:$D$900,MATCH(J656,'Both teabags AfterDry'!$A$3:$A$900,0)),"")))</f>
        <v>0.65300000000000002</v>
      </c>
      <c r="P656" s="267">
        <f>IFERROR(IF(O656&gt;0,O656-(TBIcalc!$Q$9),""),"")</f>
        <v>0.50239999999999996</v>
      </c>
      <c r="Q656" s="278">
        <f>IFERROR(INDEX('Ashed teabags dry'!$K$2:$K$825,MATCH(J656,'Ashed teabags dry'!$A$2:$A$825,0)),"")</f>
        <v>13.496637848223109</v>
      </c>
      <c r="R656" s="278">
        <f t="shared" si="52"/>
        <v>0.43459289145052704</v>
      </c>
      <c r="S656" s="268">
        <f>'Dry_Litterbag Placem_Collection'!E217</f>
        <v>42942</v>
      </c>
      <c r="T656" s="268">
        <f>IF('Dry_Litterbag Placem_Collection'!G217="","",'Dry_Litterbag Placem_Collection'!G217)</f>
        <v>43004</v>
      </c>
      <c r="U656" s="269">
        <f t="shared" si="50"/>
        <v>62</v>
      </c>
      <c r="V656" s="267">
        <f t="shared" si="53"/>
        <v>1.2388000000000001</v>
      </c>
      <c r="W656" s="267">
        <f t="shared" si="54"/>
        <v>1.210584008583788</v>
      </c>
      <c r="X656" s="271">
        <f>IFERROR(INDEX(Rainfall_Dry!$O$2:$O$217,MATCH(B656, Rainfall_Dry!$A$2:$A$217,0)),"")</f>
        <v>171.84818423999999</v>
      </c>
      <c r="Y656" s="260">
        <v>25.96</v>
      </c>
      <c r="Z656" s="260">
        <v>8.9200000000000017</v>
      </c>
      <c r="AA656" s="260">
        <v>65.12</v>
      </c>
      <c r="AB656" s="261" t="s">
        <v>2670</v>
      </c>
      <c r="AC656" s="260">
        <v>1.614588467225234</v>
      </c>
      <c r="AD656">
        <f>IF('WetLitterbags placem_collection'!AB217="","",'WetLitterbags placem_collection'!AB217)</f>
        <v>13.8</v>
      </c>
      <c r="AE656">
        <f>IF('WetLitterbags placem_collection'!Z217="","",'WetLitterbags placem_collection'!Z217)</f>
        <v>17.399999999999999</v>
      </c>
      <c r="AF656" s="24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71">
        <f>IFERROR(AVERAGE('Dry_Litterbag Placem_Collection'!N217,'Dry_Litterbag Placem_Collection'!Q217),"")</f>
        <v>29.8</v>
      </c>
      <c r="AJ656">
        <v>-2.439403972</v>
      </c>
      <c r="AK656">
        <v>34.838404959999998</v>
      </c>
      <c r="AL656" s="270" t="str">
        <f>IF(ISNUMBER(SEARCH("C", 'Dry_Litterbag Placem_Collection'!U217)),"YES","NO")</f>
        <v>NO</v>
      </c>
      <c r="AM656" s="270" t="str">
        <f>IF(ISNUMBER(SEARCH("H", 'Dry_Litterbag Placem_Collection'!U217)),"YES","NO")</f>
        <v>NO</v>
      </c>
      <c r="AN656" s="270" t="str">
        <f>IF(ISNUMBER(SEARCH("R", 'Dry_Litterbag Placem_Collection'!U217)),"YES","NO")</f>
        <v>YES</v>
      </c>
    </row>
    <row r="657" spans="1:40" ht="15" customHeight="1">
      <c r="A657" s="262" t="s">
        <v>2659</v>
      </c>
      <c r="B657" s="263">
        <f>'Dry_Litterbag Placem_Collection'!A218</f>
        <v>216</v>
      </c>
      <c r="C657" s="263" t="str">
        <f>'Dry_Litterbag Placem_Collection'!B218</f>
        <v>Handajega</v>
      </c>
      <c r="D657" s="263" t="s">
        <v>2659</v>
      </c>
      <c r="E657" s="263" t="s">
        <v>2526</v>
      </c>
      <c r="F657" s="263">
        <v>2</v>
      </c>
      <c r="G657" s="264" t="str">
        <f>'Dry_Litterbag Placem_Collection'!C218</f>
        <v>Wet_W4_CG2</v>
      </c>
      <c r="H657" s="273" t="s">
        <v>3651</v>
      </c>
      <c r="I657" s="266" t="s">
        <v>1147</v>
      </c>
      <c r="J657" s="263" t="str">
        <f>IF(ISBLANK('Dry_Litterbag Placem_Collection'!L218),"","G"&amp;""&amp;'Dry_Litterbag Placem_Collection'!L218)</f>
        <v>G361</v>
      </c>
      <c r="K657" s="267">
        <f>IFERROR(INDEX('Green_rooibos initial weight'!$C$5:$C$1749,MATCH(J657, 'Green_rooibos initial weight'!$A$5:$A$1749,0)),"")</f>
        <v>2.0590000000000002</v>
      </c>
      <c r="L657" s="267">
        <f>IFERROR(K657-(TBIcalc!$Q$9+TBIcalc!$Q$10),"")</f>
        <v>1.8092000000000001</v>
      </c>
      <c r="M657" s="391">
        <f>AVERAGE(Ashed_controlls!$K$2:$K$11)</f>
        <v>5.5147656768714146</v>
      </c>
      <c r="N657" s="267">
        <f t="shared" si="51"/>
        <v>1.7094268593740425</v>
      </c>
      <c r="O657" s="267">
        <f>IF(IFERROR(INDEX('Both teabags AfterDry'!$D$3:$D$900,MATCH(J657,'Both teabags AfterDry'!$A$3:$A$900,0)),"")="","",(IFERROR(INDEX('Both teabags AfterDry'!$D$3:$D$900,MATCH(J657,'Both teabags AfterDry'!$A$3:$A$900,0)),"")))</f>
        <v>0.73499999999999999</v>
      </c>
      <c r="P657" s="267">
        <f>IFERROR(IF(O657&gt;0,O657-(TBIcalc!$Q$9),""),"")</f>
        <v>0.58440000000000003</v>
      </c>
      <c r="Q657" s="278">
        <f>IFERROR(INDEX('Ashed teabags dry'!$K$2:$K$825,MATCH(J657,'Ashed teabags dry'!$A$2:$A$825,0)),"")</f>
        <v>12.954939341420824</v>
      </c>
      <c r="R657" s="278">
        <f t="shared" si="52"/>
        <v>0.50869133448873671</v>
      </c>
      <c r="S657" s="268">
        <f>'Dry_Litterbag Placem_Collection'!E218</f>
        <v>42942</v>
      </c>
      <c r="T657" s="268">
        <f>IF('Dry_Litterbag Placem_Collection'!G218="","",'Dry_Litterbag Placem_Collection'!G218)</f>
        <v>43004</v>
      </c>
      <c r="U657" s="269">
        <f t="shared" si="50"/>
        <v>62</v>
      </c>
      <c r="V657" s="267">
        <f t="shared" si="53"/>
        <v>1.2248000000000001</v>
      </c>
      <c r="W657" s="267">
        <f t="shared" si="54"/>
        <v>1.2007355248853058</v>
      </c>
      <c r="X657" s="271">
        <f>IFERROR(INDEX(Rainfall_Dry!$O$2:$O$217,MATCH(B657, Rainfall_Dry!$A$2:$A$217,0)),"")</f>
        <v>171.84818423999999</v>
      </c>
      <c r="Y657" s="260">
        <v>25.96</v>
      </c>
      <c r="Z657" s="260">
        <v>8.9200000000000017</v>
      </c>
      <c r="AA657" s="260">
        <v>65.12</v>
      </c>
      <c r="AB657" s="261" t="s">
        <v>2670</v>
      </c>
      <c r="AC657" s="260">
        <v>1.6991621488417901</v>
      </c>
      <c r="AD657">
        <f>IF('WetLitterbags placem_collection'!AB218="","",'WetLitterbags placem_collection'!AB218)</f>
        <v>5.13</v>
      </c>
      <c r="AE657">
        <f>IF('WetLitterbags placem_collection'!Z218="","",'WetLitterbags placem_collection'!Z218)</f>
        <v>5.13</v>
      </c>
      <c r="AF657" s="24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71">
        <f>IFERROR(AVERAGE('Dry_Litterbag Placem_Collection'!N218,'Dry_Litterbag Placem_Collection'!Q218),"")</f>
        <v>29.85</v>
      </c>
      <c r="AJ657">
        <v>-2.4396450349999999</v>
      </c>
      <c r="AK657">
        <v>34.83836599</v>
      </c>
      <c r="AL657" s="270" t="str">
        <f>IF(ISNUMBER(SEARCH("C", 'Dry_Litterbag Placem_Collection'!U218)),"YES","NO")</f>
        <v>NO</v>
      </c>
      <c r="AM657" s="270" t="str">
        <f>IF(ISNUMBER(SEARCH("H", 'Dry_Litterbag Placem_Collection'!U218)),"YES","NO")</f>
        <v>NO</v>
      </c>
      <c r="AN657" s="270" t="str">
        <f>IF(ISNUMBER(SEARCH("R", 'Dry_Litterbag Placem_Collection'!U218)),"YES","NO")</f>
        <v>NO</v>
      </c>
    </row>
    <row r="658" spans="1:40" ht="15" customHeight="1">
      <c r="A658" s="262" t="s">
        <v>2659</v>
      </c>
      <c r="B658" s="263">
        <f>'Dry_Litterbag Placem_Collection'!A219</f>
        <v>217</v>
      </c>
      <c r="C658" s="263" t="str">
        <f>'Dry_Litterbag Placem_Collection'!B219</f>
        <v>Seronera</v>
      </c>
      <c r="D658" s="263" t="s">
        <v>2659</v>
      </c>
      <c r="E658" s="263" t="s">
        <v>2526</v>
      </c>
      <c r="F658" s="263">
        <v>1</v>
      </c>
      <c r="G658" s="264" t="str">
        <f>'Dry_Litterbag Placem_Collection'!C219</f>
        <v>Local1_CG1</v>
      </c>
      <c r="H658" s="273" t="s">
        <v>3651</v>
      </c>
      <c r="I658" s="266" t="s">
        <v>1147</v>
      </c>
      <c r="J658" s="263" t="str">
        <f>IF(ISBLANK('Dry_Litterbag Placem_Collection'!L219),"","G"&amp;""&amp;'Dry_Litterbag Placem_Collection'!L219)</f>
        <v>G204</v>
      </c>
      <c r="K658" s="267">
        <f>IFERROR(INDEX('Green_rooibos initial weight'!$C$5:$C$1749,MATCH(J658, 'Green_rooibos initial weight'!$A$5:$A$1749,0)),"")</f>
        <v>2.1970000000000001</v>
      </c>
      <c r="L658" s="267">
        <f>IFERROR(K658-(TBIcalc!$Q$9+TBIcalc!$Q$10),"")</f>
        <v>1.9472</v>
      </c>
      <c r="M658" s="391">
        <f>AVERAGE(Ashed_controlls!$K$2:$K$11)</f>
        <v>5.5147656768714146</v>
      </c>
      <c r="N658" s="267">
        <f t="shared" si="51"/>
        <v>1.8398164827399599</v>
      </c>
      <c r="O658" s="267">
        <f>IF(IFERROR(INDEX('Both teabags AfterDry'!$D$3:$D$900,MATCH(J658,'Both teabags AfterDry'!$A$3:$A$900,0)),"")="","",(IFERROR(INDEX('Both teabags AfterDry'!$D$3:$D$900,MATCH(J658,'Both teabags AfterDry'!$A$3:$A$900,0)),"")))</f>
        <v>0.80579999999999996</v>
      </c>
      <c r="P658" s="267">
        <f>IFERROR(IF(O658&gt;0,O658-(TBIcalc!$Q$9),""),"")</f>
        <v>0.6552</v>
      </c>
      <c r="Q658" s="278">
        <f>IFERROR(INDEX('Ashed teabags dry'!$K$2:$K$825,MATCH(J658,'Ashed teabags dry'!$A$2:$A$825,0)),"")</f>
        <v>19.368932038835744</v>
      </c>
      <c r="R658" s="278">
        <f t="shared" si="52"/>
        <v>0.52829475728154818</v>
      </c>
      <c r="S658" s="268">
        <f>'Dry_Litterbag Placem_Collection'!E219</f>
        <v>42942</v>
      </c>
      <c r="T658" s="268">
        <f>IF('Dry_Litterbag Placem_Collection'!G219="","",'Dry_Litterbag Placem_Collection'!G219)</f>
        <v>43004</v>
      </c>
      <c r="U658" s="269">
        <f t="shared" si="50"/>
        <v>62</v>
      </c>
      <c r="V658" s="267">
        <f t="shared" si="53"/>
        <v>1.292</v>
      </c>
      <c r="W658" s="267">
        <f t="shared" si="54"/>
        <v>1.3115217254584117</v>
      </c>
      <c r="X658" s="271">
        <f>IFERROR(INDEX(Rainfall_Dry!$O$2:$O$217,MATCH(B658, Rainfall_Dry!$A$2:$A$217,0)),"")</f>
        <v>171.84818423999999</v>
      </c>
      <c r="Y658" s="260">
        <v>29.076539101497506</v>
      </c>
      <c r="Z658" s="260">
        <v>7.1963394342762079</v>
      </c>
      <c r="AA658" s="260">
        <v>63.727121464226286</v>
      </c>
      <c r="AB658" s="260" t="s">
        <v>2670</v>
      </c>
      <c r="AC658" s="260">
        <v>1.0994578610152781</v>
      </c>
      <c r="AD658">
        <f>IF('WetLitterbags placem_collection'!AB219="","",'WetLitterbags placem_collection'!AB219)</f>
        <v>13.8</v>
      </c>
      <c r="AE658">
        <f>IF('WetLitterbags placem_collection'!Z219="","",'WetLitterbags placem_collection'!Z219)</f>
        <v>17.399999999999999</v>
      </c>
      <c r="AF658" s="24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71">
        <f>IFERROR(AVERAGE('Dry_Litterbag Placem_Collection'!N219,'Dry_Litterbag Placem_Collection'!Q219),"")</f>
        <v>31.25</v>
      </c>
      <c r="AJ658">
        <v>-2.439403972</v>
      </c>
      <c r="AK658">
        <v>34.838404959999998</v>
      </c>
      <c r="AL658" s="270" t="str">
        <f>IF(ISNUMBER(SEARCH("C", 'Dry_Litterbag Placem_Collection'!U219)),"YES","NO")</f>
        <v>NO</v>
      </c>
      <c r="AM658" s="270" t="str">
        <f>IF(ISNUMBER(SEARCH("H", 'Dry_Litterbag Placem_Collection'!U219)),"YES","NO")</f>
        <v>NO</v>
      </c>
      <c r="AN658" s="270" t="str">
        <f>IF(ISNUMBER(SEARCH("R", 'Dry_Litterbag Placem_Collection'!U219)),"YES","NO")</f>
        <v>YES</v>
      </c>
    </row>
    <row r="659" spans="1:40" ht="15" customHeight="1">
      <c r="A659" s="262" t="s">
        <v>2659</v>
      </c>
      <c r="B659" s="263">
        <f>'Dry_Litterbag Placem_Collection'!A220</f>
        <v>218</v>
      </c>
      <c r="C659" s="263" t="str">
        <f>'Dry_Litterbag Placem_Collection'!B220</f>
        <v>Seronera</v>
      </c>
      <c r="D659" s="263" t="s">
        <v>2659</v>
      </c>
      <c r="E659" s="263" t="s">
        <v>2526</v>
      </c>
      <c r="F659" s="263">
        <v>2</v>
      </c>
      <c r="G659" s="264" t="str">
        <f>'Dry_Litterbag Placem_Collection'!C220</f>
        <v>Local2_CG2</v>
      </c>
      <c r="H659" s="273" t="s">
        <v>3651</v>
      </c>
      <c r="I659" s="266" t="s">
        <v>1147</v>
      </c>
      <c r="J659" s="263" t="str">
        <f>IF(ISBLANK('Dry_Litterbag Placem_Collection'!L220),"","G"&amp;""&amp;'Dry_Litterbag Placem_Collection'!L220)</f>
        <v>G170</v>
      </c>
      <c r="K659" s="267">
        <f>IFERROR(INDEX('Green_rooibos initial weight'!$C$5:$C$1749,MATCH(J659, 'Green_rooibos initial weight'!$A$5:$A$1749,0)),"")</f>
        <v>2.0390000000000001</v>
      </c>
      <c r="L659" s="267">
        <f>IFERROR(K659-(TBIcalc!$Q$9+TBIcalc!$Q$10),"")</f>
        <v>1.7892000000000001</v>
      </c>
      <c r="M659" s="391">
        <f>AVERAGE(Ashed_controlls!$K$2:$K$11)</f>
        <v>5.5147656768714146</v>
      </c>
      <c r="N659" s="267">
        <f t="shared" si="51"/>
        <v>1.6905298125094168</v>
      </c>
      <c r="O659" s="267">
        <f>IF(IFERROR(INDEX('Both teabags AfterDry'!$D$3:$D$900,MATCH(J659,'Both teabags AfterDry'!$A$3:$A$900,0)),"")="","",(IFERROR(INDEX('Both teabags AfterDry'!$D$3:$D$900,MATCH(J659,'Both teabags AfterDry'!$A$3:$A$900,0)),"")))</f>
        <v>0.66100000000000003</v>
      </c>
      <c r="P659" s="267">
        <f>IFERROR(IF(O659&gt;0,O659-(TBIcalc!$Q$9),""),"")</f>
        <v>0.51039999999999996</v>
      </c>
      <c r="Q659" s="278">
        <f>IFERROR(INDEX('Ashed teabags dry'!$K$2:$K$825,MATCH(J659,'Ashed teabags dry'!$A$2:$A$825,0)),"")</f>
        <v>23.022929340196391</v>
      </c>
      <c r="R659" s="278">
        <f t="shared" si="52"/>
        <v>0.39289096864763762</v>
      </c>
      <c r="S659" s="268">
        <f>'Dry_Litterbag Placem_Collection'!E220</f>
        <v>42942</v>
      </c>
      <c r="T659" s="268">
        <f>IF('Dry_Litterbag Placem_Collection'!G220="","",'Dry_Litterbag Placem_Collection'!G220)</f>
        <v>43004</v>
      </c>
      <c r="U659" s="269">
        <f t="shared" si="50"/>
        <v>62</v>
      </c>
      <c r="V659" s="267">
        <f t="shared" si="53"/>
        <v>1.2788000000000002</v>
      </c>
      <c r="W659" s="267">
        <f t="shared" si="54"/>
        <v>1.2976388438617792</v>
      </c>
      <c r="X659" s="271">
        <f>IFERROR(INDEX(Rainfall_Dry!$O$2:$O$217,MATCH(B659, Rainfall_Dry!$A$2:$A$217,0)),"")</f>
        <v>171.84818423999999</v>
      </c>
      <c r="Y659" s="260">
        <v>21.072635135135137</v>
      </c>
      <c r="Z659" s="260">
        <v>7.3057432432432412</v>
      </c>
      <c r="AA659" s="260">
        <v>71.621621621621614</v>
      </c>
      <c r="AB659" s="260" t="s">
        <v>2670</v>
      </c>
      <c r="AC659" s="260">
        <v>1.4512074913750617</v>
      </c>
      <c r="AD659">
        <f>IF('WetLitterbags placem_collection'!AB220="","",'WetLitterbags placem_collection'!AB220)</f>
        <v>5.13</v>
      </c>
      <c r="AE659">
        <f>IF('WetLitterbags placem_collection'!Z220="","",'WetLitterbags placem_collection'!Z220)</f>
        <v>5.13</v>
      </c>
      <c r="AF659" s="24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71">
        <f>IFERROR(AVERAGE('Dry_Litterbag Placem_Collection'!N220,'Dry_Litterbag Placem_Collection'!Q220),"")</f>
        <v>29.15</v>
      </c>
      <c r="AJ659">
        <v>-2.4396450349999999</v>
      </c>
      <c r="AK659">
        <v>34.83836599</v>
      </c>
      <c r="AL659" s="270" t="str">
        <f>IF(ISNUMBER(SEARCH("C", 'Dry_Litterbag Placem_Collection'!U220)),"YES","NO")</f>
        <v>NO</v>
      </c>
      <c r="AM659" s="270" t="str">
        <f>IF(ISNUMBER(SEARCH("H", 'Dry_Litterbag Placem_Collection'!U220)),"YES","NO")</f>
        <v>NO</v>
      </c>
      <c r="AN659" s="270" t="str">
        <f>IF(ISNUMBER(SEARCH("R", 'Dry_Litterbag Placem_Collection'!U220)),"YES","NO")</f>
        <v>YES</v>
      </c>
    </row>
    <row r="660" spans="1:40" ht="15" customHeight="1">
      <c r="A660" s="262" t="s">
        <v>2659</v>
      </c>
      <c r="B660" s="263">
        <f>'Dry_Litterbag Placem_Collection'!A221</f>
        <v>219</v>
      </c>
      <c r="C660" s="263" t="str">
        <f>'Dry_Litterbag Placem_Collection'!B221</f>
        <v>Seronera</v>
      </c>
      <c r="D660" s="263" t="s">
        <v>2659</v>
      </c>
      <c r="E660" s="263" t="s">
        <v>2526</v>
      </c>
      <c r="F660" s="263">
        <v>3</v>
      </c>
      <c r="G660" s="264" t="str">
        <f>'Dry_Litterbag Placem_Collection'!C221</f>
        <v>Local3_CG3</v>
      </c>
      <c r="H660" s="273" t="s">
        <v>3651</v>
      </c>
      <c r="I660" s="266" t="s">
        <v>1147</v>
      </c>
      <c r="J660" s="263" t="str">
        <f>IF(ISBLANK('Dry_Litterbag Placem_Collection'!L221),"","G"&amp;""&amp;'Dry_Litterbag Placem_Collection'!L221)</f>
        <v>G123</v>
      </c>
      <c r="K660" s="267">
        <f>IFERROR(INDEX('Green_rooibos initial weight'!$C$5:$C$1749,MATCH(J660, 'Green_rooibos initial weight'!$A$5:$A$1749,0)),"")</f>
        <v>2.133</v>
      </c>
      <c r="L660" s="267">
        <f>IFERROR(K660-(TBIcalc!$Q$9+TBIcalc!$Q$10),"")</f>
        <v>1.8832</v>
      </c>
      <c r="M660" s="391">
        <f>AVERAGE(Ashed_controlls!$K$2:$K$11)</f>
        <v>5.5147656768714146</v>
      </c>
      <c r="N660" s="267">
        <f t="shared" si="51"/>
        <v>1.7793459327731576</v>
      </c>
      <c r="O660" s="267">
        <f>IF(IFERROR(INDEX('Both teabags AfterDry'!$D$3:$D$900,MATCH(J660,'Both teabags AfterDry'!$A$3:$A$900,0)),"")="","",(IFERROR(INDEX('Both teabags AfterDry'!$D$3:$D$900,MATCH(J660,'Both teabags AfterDry'!$A$3:$A$900,0)),"")))</f>
        <v>0.82250000000000001</v>
      </c>
      <c r="P660" s="267">
        <f>IFERROR(IF(O660&gt;0,O660-(TBIcalc!$Q$9),""),"")</f>
        <v>0.67189999999999994</v>
      </c>
      <c r="Q660" s="278">
        <f>IFERROR(INDEX('Ashed teabags dry'!$K$2:$K$825,MATCH(J660,'Ashed teabags dry'!$A$2:$A$825,0)),"")</f>
        <v>24.6799116997799</v>
      </c>
      <c r="R660" s="278">
        <f t="shared" si="52"/>
        <v>0.5060756732891788</v>
      </c>
      <c r="S660" s="268">
        <f>'Dry_Litterbag Placem_Collection'!E221</f>
        <v>42942</v>
      </c>
      <c r="T660" s="268">
        <f>IF('Dry_Litterbag Placem_Collection'!G221="","",'Dry_Litterbag Placem_Collection'!G221)</f>
        <v>43004</v>
      </c>
      <c r="U660" s="269">
        <f t="shared" si="50"/>
        <v>62</v>
      </c>
      <c r="V660" s="267">
        <f t="shared" si="53"/>
        <v>1.2113</v>
      </c>
      <c r="W660" s="267">
        <f t="shared" si="54"/>
        <v>1.2732702594839789</v>
      </c>
      <c r="X660" s="271">
        <f>IFERROR(INDEX(Rainfall_Dry!$O$2:$O$217,MATCH(B660, Rainfall_Dry!$A$2:$A$217,0)),"")</f>
        <v>171.84818423999999</v>
      </c>
      <c r="Y660" s="260">
        <v>21.96</v>
      </c>
      <c r="Z660" s="260">
        <v>4.9199999999999982</v>
      </c>
      <c r="AA660" s="260">
        <v>73.12</v>
      </c>
      <c r="AB660" s="260" t="s">
        <v>2670</v>
      </c>
      <c r="AC660" s="260">
        <v>1.4012321340561851</v>
      </c>
      <c r="AD660">
        <f>IF('WetLitterbags placem_collection'!AB221="","",'WetLitterbags placem_collection'!AB221)</f>
        <v>7.9</v>
      </c>
      <c r="AE660">
        <f>IF('WetLitterbags placem_collection'!Z221="","",'WetLitterbags placem_collection'!Z221)</f>
        <v>7.9</v>
      </c>
      <c r="AF660" s="24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71">
        <f>IFERROR(AVERAGE('Dry_Litterbag Placem_Collection'!N221,'Dry_Litterbag Placem_Collection'!Q221),"")</f>
        <v>32.75</v>
      </c>
      <c r="AJ660">
        <v>-2.4395990190000001</v>
      </c>
      <c r="AK660">
        <v>34.838418959999998</v>
      </c>
      <c r="AL660" s="270" t="str">
        <f>IF(ISNUMBER(SEARCH("C", 'Dry_Litterbag Placem_Collection'!U221)),"YES","NO")</f>
        <v>NO</v>
      </c>
      <c r="AM660" s="270" t="str">
        <f>IF(ISNUMBER(SEARCH("H", 'Dry_Litterbag Placem_Collection'!U221)),"YES","NO")</f>
        <v>NO</v>
      </c>
      <c r="AN660" s="270" t="str">
        <f>IF(ISNUMBER(SEARCH("R", 'Dry_Litterbag Placem_Collection'!U221)),"YES","NO")</f>
        <v>YES</v>
      </c>
    </row>
    <row r="661" spans="1:40" ht="15" customHeight="1">
      <c r="A661" s="262" t="s">
        <v>2659</v>
      </c>
      <c r="B661" s="263">
        <f>'Dry_Litterbag Placem_Collection'!A222</f>
        <v>220</v>
      </c>
      <c r="C661" s="263" t="str">
        <f>'Dry_Litterbag Placem_Collection'!B222</f>
        <v>Seronera</v>
      </c>
      <c r="D661" s="263" t="s">
        <v>2659</v>
      </c>
      <c r="E661" s="263" t="s">
        <v>2526</v>
      </c>
      <c r="F661" s="263">
        <v>4</v>
      </c>
      <c r="G661" s="264" t="str">
        <f>'Dry_Litterbag Placem_Collection'!C222</f>
        <v>Local4_CG4</v>
      </c>
      <c r="H661" s="273" t="s">
        <v>3651</v>
      </c>
      <c r="I661" s="266" t="s">
        <v>1147</v>
      </c>
      <c r="J661" s="263" t="str">
        <f>IF(ISBLANK('Dry_Litterbag Placem_Collection'!L222),"","G"&amp;""&amp;'Dry_Litterbag Placem_Collection'!L222)</f>
        <v>G53</v>
      </c>
      <c r="K661" s="267">
        <f>IFERROR(INDEX('Green_rooibos initial weight'!$C$5:$C$1749,MATCH(J661, 'Green_rooibos initial weight'!$A$5:$A$1749,0)),"")</f>
        <v>1.907</v>
      </c>
      <c r="L661" s="267">
        <f>IFERROR(K661-(TBIcalc!$Q$9+TBIcalc!$Q$10),"")</f>
        <v>1.6572</v>
      </c>
      <c r="M661" s="391">
        <f>AVERAGE(Ashed_controlls!$K$2:$K$11)</f>
        <v>5.5147656768714146</v>
      </c>
      <c r="N661" s="267">
        <f t="shared" si="51"/>
        <v>1.565809303202887</v>
      </c>
      <c r="O661" s="267" t="str">
        <f>IF(IFERROR(INDEX('Both teabags AfterDry'!$D$3:$D$900,MATCH(J661,'Both teabags AfterDry'!$A$3:$A$900,0)),"")="","",(IFERROR(INDEX('Both teabags AfterDry'!$D$3:$D$900,MATCH(J661,'Both teabags AfterDry'!$A$3:$A$900,0)),"")))</f>
        <v/>
      </c>
      <c r="P661" s="267" t="str">
        <f>IFERROR(IF(O661&gt;0,O661-(TBIcalc!$Q$9),""),"")</f>
        <v/>
      </c>
      <c r="Q661" s="278" t="str">
        <f>IFERROR(INDEX('Ashed teabags dry'!$K$2:$K$825,MATCH(J661,'Ashed teabags dry'!$A$2:$A$825,0)),"")</f>
        <v/>
      </c>
      <c r="R661" s="278" t="str">
        <f t="shared" si="52"/>
        <v/>
      </c>
      <c r="S661" s="268">
        <f>'Dry_Litterbag Placem_Collection'!E222</f>
        <v>42942</v>
      </c>
      <c r="T661" s="268">
        <f>IF('Dry_Litterbag Placem_Collection'!G222="","",'Dry_Litterbag Placem_Collection'!G222)</f>
        <v>43004</v>
      </c>
      <c r="U661" s="269">
        <f t="shared" si="50"/>
        <v>62</v>
      </c>
      <c r="V661" s="267" t="str">
        <f t="shared" si="53"/>
        <v/>
      </c>
      <c r="W661" s="267" t="str">
        <f t="shared" si="54"/>
        <v/>
      </c>
      <c r="X661" s="271">
        <f>IFERROR(INDEX(Rainfall_Dry!$O$2:$O$217,MATCH(B661, Rainfall_Dry!$A$2:$A$217,0)),"")</f>
        <v>171.84818423999999</v>
      </c>
      <c r="Y661" s="260">
        <v>15.960000000000003</v>
      </c>
      <c r="Z661" s="260">
        <v>6.9199999999999982</v>
      </c>
      <c r="AA661" s="260">
        <v>77.11999999999999</v>
      </c>
      <c r="AB661" s="260" t="s">
        <v>2671</v>
      </c>
      <c r="AC661" s="260">
        <v>0.60547067520946207</v>
      </c>
      <c r="AD661">
        <f>IF('WetLitterbags placem_collection'!AB222="","",'WetLitterbags placem_collection'!AB222)</f>
        <v>15.2</v>
      </c>
      <c r="AE661">
        <f>IF('WetLitterbags placem_collection'!Z222="","",'WetLitterbags placem_collection'!Z222)</f>
        <v>12.2</v>
      </c>
      <c r="AF661" s="24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71">
        <f>IFERROR(AVERAGE('Dry_Litterbag Placem_Collection'!N222,'Dry_Litterbag Placem_Collection'!Q222),"")</f>
        <v>33.65</v>
      </c>
      <c r="AJ661">
        <v>-2.4396949910000001</v>
      </c>
      <c r="AK661">
        <v>34.838574029999997</v>
      </c>
      <c r="AL661" s="270" t="str">
        <f>IF(ISNUMBER(SEARCH("C", 'Dry_Litterbag Placem_Collection'!U222)),"YES","NO")</f>
        <v>NO</v>
      </c>
      <c r="AM661" s="270" t="str">
        <f>IF(ISNUMBER(SEARCH("H", 'Dry_Litterbag Placem_Collection'!U222)),"YES","NO")</f>
        <v>NO</v>
      </c>
      <c r="AN661" s="270" t="str">
        <f>IF(ISNUMBER(SEARCH("R", 'Dry_Litterbag Placem_Collection'!U222)),"YES","NO")</f>
        <v>YES</v>
      </c>
    </row>
    <row r="662" spans="1:40" ht="15" customHeight="1">
      <c r="A662" s="262" t="s">
        <v>2659</v>
      </c>
      <c r="B662" s="263">
        <f>'Dry_Litterbag Placem_Collection'!A3</f>
        <v>1</v>
      </c>
      <c r="C662" s="263" t="str">
        <f>'Dry_Litterbag Placem_Collection'!B3</f>
        <v>Makao</v>
      </c>
      <c r="D662" s="263" t="s">
        <v>2659</v>
      </c>
      <c r="E662" s="263" t="s">
        <v>2660</v>
      </c>
      <c r="F662" s="263">
        <v>1</v>
      </c>
      <c r="G662" s="264" t="str">
        <f>'Dry_Litterbag Placem_Collection'!C3</f>
        <v>Dry_Ag1_T1</v>
      </c>
      <c r="H662" s="273" t="s">
        <v>3651</v>
      </c>
      <c r="I662" s="274" t="s">
        <v>298</v>
      </c>
      <c r="J662" s="263" t="str">
        <f>IF(ISBLANK('Dry_Litterbag Placem_Collection'!M3),"","R"&amp;""&amp;'Dry_Litterbag Placem_Collection'!M3)</f>
        <v>R204</v>
      </c>
      <c r="K662" s="267">
        <f>IFERROR(INDEX('Green_rooibos initial weight'!$C$5:$C$1749,MATCH(J662, 'Green_rooibos initial weight'!$A$5:$A$1749,0)),"")</f>
        <v>2.2290000000000001</v>
      </c>
      <c r="L662" s="267">
        <f>IFERROR(K662-(TBIcalc!$Q$9+TBIcalc!$Q$10),"")</f>
        <v>1.9792000000000001</v>
      </c>
      <c r="M662" s="391">
        <f>AVERAGE(Ashed_controlls!$K$12:$K$14)</f>
        <v>2.2816647271287041</v>
      </c>
      <c r="N662" s="267">
        <f t="shared" si="51"/>
        <v>1.9340412917206689</v>
      </c>
      <c r="O662" s="267">
        <f>IF(IFERROR(INDEX('Both teabags AfterDry'!$D$3:$D$900,MATCH(J662,'Both teabags AfterDry'!$A$3:$A$900,0)),"")="","",(IFERROR(INDEX('Both teabags AfterDry'!$D$3:$D$900,MATCH(J662,'Both teabags AfterDry'!$A$3:$A$900,0)),"")))</f>
        <v>1.8874</v>
      </c>
      <c r="P662" s="267">
        <f>IFERROR(IF(O662&gt;0,O662-(TBIcalc!$Q$9),""),"")</f>
        <v>1.7367999999999999</v>
      </c>
      <c r="Q662" s="278">
        <f>IFERROR(INDEX('Ashed teabags dry'!$K$2:$K$825,MATCH(J662,'Ashed teabags dry'!$A$2:$A$825,0)),"")</f>
        <v>2.3391812865495751</v>
      </c>
      <c r="R662" s="278">
        <f t="shared" si="52"/>
        <v>1.6961730994152069</v>
      </c>
      <c r="S662" s="268">
        <f>'Dry_Litterbag Placem_Collection'!E3</f>
        <v>42938</v>
      </c>
      <c r="T662" s="268">
        <f>IF('Dry_Litterbag Placem_Collection'!G3="","",'Dry_Litterbag Placem_Collection'!G3)</f>
        <v>43007</v>
      </c>
      <c r="U662" s="269">
        <f t="shared" si="50"/>
        <v>69</v>
      </c>
      <c r="V662" s="267">
        <f t="shared" si="53"/>
        <v>0.24240000000000017</v>
      </c>
      <c r="W662" s="267">
        <f t="shared" si="54"/>
        <v>0.23786819230546197</v>
      </c>
      <c r="X662" s="271">
        <f>IFERROR(INDEX(Rainfall_Dry!$O$2:$O$217,MATCH(B662, Rainfall_Dry!$A$2:$A$217,0)),"")</f>
        <v>6.900000125</v>
      </c>
      <c r="Y662" s="260">
        <v>12.565665055683967</v>
      </c>
      <c r="Z662" s="260">
        <v>0.9665896196679955</v>
      </c>
      <c r="AA662" s="260">
        <v>86.467745324648035</v>
      </c>
      <c r="AB662" s="261" t="s">
        <v>2672</v>
      </c>
      <c r="AC662" s="260">
        <v>1.0225726959093147</v>
      </c>
      <c r="AD662">
        <f>IF('WetLitterbags placem_collection'!AB3="","",'WetLitterbags placem_collection'!AB3)</f>
        <v>26.4</v>
      </c>
      <c r="AE662">
        <f>IF('WetLitterbags placem_collection'!Z3="","",'WetLitterbags placem_collection'!Z3)</f>
        <v>41</v>
      </c>
      <c r="AF662" s="24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71">
        <f>IFERROR(AVERAGE('Dry_Litterbag Placem_Collection'!N3,'Dry_Litterbag Placem_Collection'!Q3),"")</f>
        <v>26.9</v>
      </c>
      <c r="AJ662" s="270">
        <f>INDEX(Coordinates!$B$2:$B$197,MATCH(G662,Coordinates!$J$2:$J$197,0))</f>
        <v>-3.3978609999999998</v>
      </c>
      <c r="AK662" s="270">
        <f>INDEX(Coordinates!$C$2:$C$197,MATCH(G662,Coordinates!$J$2:$J$197,0))</f>
        <v>34.837608000000003</v>
      </c>
      <c r="AL662" s="270" t="str">
        <f>IF(ISNUMBER(SEARCH("C", 'Dry_Litterbag Placem_Collection'!V3)),"YES","NO")</f>
        <v>NO</v>
      </c>
      <c r="AM662" s="270" t="str">
        <f>IF(ISNUMBER(SEARCH("H", 'Dry_Litterbag Placem_Collection'!V3)),"YES","NO")</f>
        <v>NO</v>
      </c>
      <c r="AN662" s="270" t="str">
        <f>IF(ISNUMBER(SEARCH("R", 'Dry_Litterbag Placem_Collection'!V3)),"YES","NO")</f>
        <v>NO</v>
      </c>
    </row>
    <row r="663" spans="1:40" ht="15" customHeight="1">
      <c r="A663" s="262" t="s">
        <v>2659</v>
      </c>
      <c r="B663" s="263">
        <f>'Dry_Litterbag Placem_Collection'!A4</f>
        <v>2</v>
      </c>
      <c r="C663" s="263" t="str">
        <f>'Dry_Litterbag Placem_Collection'!B4</f>
        <v>Makao</v>
      </c>
      <c r="D663" s="263" t="s">
        <v>2659</v>
      </c>
      <c r="E663" s="263" t="s">
        <v>2660</v>
      </c>
      <c r="F663" s="263">
        <v>1</v>
      </c>
      <c r="G663" s="264" t="str">
        <f>'Dry_Litterbag Placem_Collection'!C4</f>
        <v>Dry_Ag1_T2</v>
      </c>
      <c r="H663" s="273" t="s">
        <v>3651</v>
      </c>
      <c r="I663" s="274" t="s">
        <v>298</v>
      </c>
      <c r="J663" s="263" t="str">
        <f>IF(ISBLANK('Dry_Litterbag Placem_Collection'!M4),"","R"&amp;""&amp;'Dry_Litterbag Placem_Collection'!M4)</f>
        <v/>
      </c>
      <c r="K663" s="267" t="str">
        <f>IFERROR(INDEX('Green_rooibos initial weight'!$C$5:$C$1749,MATCH(J663, 'Green_rooibos initial weight'!$A$5:$A$1749,0)),"")</f>
        <v/>
      </c>
      <c r="L663" s="267" t="str">
        <f>IFERROR(K663-(TBIcalc!$Q$9+TBIcalc!$Q$10),"")</f>
        <v/>
      </c>
      <c r="M663" s="391">
        <f>AVERAGE(Ashed_controlls!$K$12:$K$14)</f>
        <v>2.2816647271287041</v>
      </c>
      <c r="N663" s="267" t="str">
        <f t="shared" si="51"/>
        <v/>
      </c>
      <c r="O663" s="267" t="str">
        <f>IF(IFERROR(INDEX('Both teabags AfterDry'!$D$3:$D$900,MATCH(J663,'Both teabags AfterDry'!$A$3:$A$900,0)),"")="","",(IFERROR(INDEX('Both teabags AfterDry'!$D$3:$D$900,MATCH(J663,'Both teabags AfterDry'!$A$3:$A$900,0)),"")))</f>
        <v/>
      </c>
      <c r="P663" s="267" t="str">
        <f>IFERROR(IF(O663&gt;0,O663-(TBIcalc!$Q$9),""),"")</f>
        <v/>
      </c>
      <c r="Q663" s="278" t="str">
        <f>IFERROR(INDEX('Ashed teabags dry'!$K$2:$K$825,MATCH(J663,'Ashed teabags dry'!$A$2:$A$825,0)),"")</f>
        <v/>
      </c>
      <c r="R663" s="278" t="str">
        <f t="shared" si="52"/>
        <v/>
      </c>
      <c r="S663" s="268">
        <f>'Dry_Litterbag Placem_Collection'!E4</f>
        <v>0</v>
      </c>
      <c r="T663" s="268" t="str">
        <f>IF('Dry_Litterbag Placem_Collection'!G4="","",'Dry_Litterbag Placem_Collection'!G4)</f>
        <v/>
      </c>
      <c r="U663" s="269" t="str">
        <f t="shared" si="50"/>
        <v/>
      </c>
      <c r="V663" s="267" t="str">
        <f t="shared" si="53"/>
        <v/>
      </c>
      <c r="W663" s="267" t="str">
        <f t="shared" si="54"/>
        <v/>
      </c>
      <c r="X663" s="271" t="str">
        <f>IFERROR(INDEX(Rainfall_Dry!$O$2:$O$217,MATCH(B663, Rainfall_Dry!$A$2:$A$217,0)),"")</f>
        <v/>
      </c>
      <c r="Y663" s="260">
        <v>12.565665055683967</v>
      </c>
      <c r="Z663" s="260">
        <v>0.9665896196679955</v>
      </c>
      <c r="AA663" s="260">
        <v>86.467745324648035</v>
      </c>
      <c r="AB663" s="261" t="s">
        <v>2672</v>
      </c>
      <c r="AC663" s="260">
        <v>2.02257269590931</v>
      </c>
      <c r="AD663">
        <f>IF('WetLitterbags placem_collection'!AB4="","",'WetLitterbags placem_collection'!AB4)</f>
        <v>22.4</v>
      </c>
      <c r="AE663">
        <f>IF('WetLitterbags placem_collection'!Z4="","",'WetLitterbags placem_collection'!Z4)</f>
        <v>39.799999999999997</v>
      </c>
      <c r="AF663" s="24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71" t="str">
        <f>IFERROR(AVERAGE('Dry_Litterbag Placem_Collection'!N4,'Dry_Litterbag Placem_Collection'!Q4),"")</f>
        <v/>
      </c>
      <c r="AJ663" s="270">
        <f>INDEX(Coordinates!$B$2:$B$197,MATCH(G663,Coordinates!$J$2:$J$197,0))</f>
        <v>-3.397879042</v>
      </c>
      <c r="AK663" s="270">
        <f>INDEX(Coordinates!$C$2:$C$197,MATCH(G663,Coordinates!$J$2:$J$197,0))</f>
        <v>34.837536010000001</v>
      </c>
      <c r="AL663" s="270" t="str">
        <f>IF(ISNUMBER(SEARCH("C", 'Dry_Litterbag Placem_Collection'!V4)),"YES","NO")</f>
        <v>NO</v>
      </c>
      <c r="AM663" s="270" t="str">
        <f>IF(ISNUMBER(SEARCH("H", 'Dry_Litterbag Placem_Collection'!V4)),"YES","NO")</f>
        <v>NO</v>
      </c>
      <c r="AN663" s="270" t="str">
        <f>IF(ISNUMBER(SEARCH("R", 'Dry_Litterbag Placem_Collection'!V4)),"YES","NO")</f>
        <v>NO</v>
      </c>
    </row>
    <row r="664" spans="1:40" ht="15" customHeight="1">
      <c r="A664" s="262" t="s">
        <v>2659</v>
      </c>
      <c r="B664" s="263">
        <f>'Dry_Litterbag Placem_Collection'!A5</f>
        <v>3</v>
      </c>
      <c r="C664" s="263" t="str">
        <f>'Dry_Litterbag Placem_Collection'!B5</f>
        <v>Makao</v>
      </c>
      <c r="D664" s="263" t="s">
        <v>2659</v>
      </c>
      <c r="E664" s="263" t="s">
        <v>2660</v>
      </c>
      <c r="F664" s="263">
        <v>1</v>
      </c>
      <c r="G664" s="264" t="str">
        <f>'Dry_Litterbag Placem_Collection'!C5</f>
        <v>Dry_Ag1_T3</v>
      </c>
      <c r="H664" s="273" t="s">
        <v>3651</v>
      </c>
      <c r="I664" s="274" t="s">
        <v>298</v>
      </c>
      <c r="J664" s="263" t="str">
        <f>IF(ISBLANK('Dry_Litterbag Placem_Collection'!M5),"","R"&amp;""&amp;'Dry_Litterbag Placem_Collection'!M5)</f>
        <v>R283</v>
      </c>
      <c r="K664" s="267">
        <f>IFERROR(INDEX('Green_rooibos initial weight'!$C$5:$C$1749,MATCH(J664, 'Green_rooibos initial weight'!$A$5:$A$1749,0)),"")</f>
        <v>2.21</v>
      </c>
      <c r="L664" s="267">
        <f>IFERROR(K664-(TBIcalc!$Q$9+TBIcalc!$Q$10),"")</f>
        <v>1.9601999999999999</v>
      </c>
      <c r="M664" s="391">
        <f>AVERAGE(Ashed_controlls!$K$12:$K$14)</f>
        <v>2.2816647271287041</v>
      </c>
      <c r="N664" s="267">
        <f t="shared" si="51"/>
        <v>1.9154748080188231</v>
      </c>
      <c r="O664" s="267">
        <f>IF(IFERROR(INDEX('Both teabags AfterDry'!$D$3:$D$900,MATCH(J664,'Both teabags AfterDry'!$A$3:$A$900,0)),"")="","",(IFERROR(INDEX('Both teabags AfterDry'!$D$3:$D$900,MATCH(J664,'Both teabags AfterDry'!$A$3:$A$900,0)),"")))</f>
        <v>1.9180999999999999</v>
      </c>
      <c r="P664" s="267">
        <f>IFERROR(IF(O664&gt;0,O664-(TBIcalc!$Q$9),""),"")</f>
        <v>1.7674999999999998</v>
      </c>
      <c r="Q664" s="278">
        <f>IFERROR(INDEX('Ashed teabags dry'!$K$2:$K$825,MATCH(J664,'Ashed teabags dry'!$A$2:$A$825,0)),"")</f>
        <v>2.5675077467904308</v>
      </c>
      <c r="R664" s="278">
        <f t="shared" si="52"/>
        <v>1.7221193005754789</v>
      </c>
      <c r="S664" s="268">
        <f>'Dry_Litterbag Placem_Collection'!E5</f>
        <v>42938</v>
      </c>
      <c r="T664" s="268">
        <f>IF('Dry_Litterbag Placem_Collection'!G5="","",'Dry_Litterbag Placem_Collection'!G5)</f>
        <v>43007</v>
      </c>
      <c r="U664" s="269">
        <f t="shared" si="50"/>
        <v>69</v>
      </c>
      <c r="V664" s="267">
        <f t="shared" si="53"/>
        <v>0.19270000000000009</v>
      </c>
      <c r="W664" s="267">
        <f t="shared" si="54"/>
        <v>0.19335550744334418</v>
      </c>
      <c r="X664" s="271">
        <f>IFERROR(INDEX(Rainfall_Dry!$O$2:$O$217,MATCH(B664, Rainfall_Dry!$A$2:$A$217,0)),"")</f>
        <v>6.900000125</v>
      </c>
      <c r="Y664" s="260">
        <v>12.565665055683967</v>
      </c>
      <c r="Z664" s="260">
        <v>0.9665896196679955</v>
      </c>
      <c r="AA664" s="260">
        <v>86.467745324648035</v>
      </c>
      <c r="AB664" s="261" t="s">
        <v>2672</v>
      </c>
      <c r="AC664" s="260">
        <v>3.02257269590931</v>
      </c>
      <c r="AD664" t="str">
        <f>IF('WetLitterbags placem_collection'!AB5="","",'WetLitterbags placem_collection'!AB5)</f>
        <v/>
      </c>
      <c r="AE664" t="str">
        <f>IF('WetLitterbags placem_collection'!Z5="","",'WetLitterbags placem_collection'!Z5)</f>
        <v/>
      </c>
      <c r="AF664" s="24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71">
        <f>IFERROR(AVERAGE('Dry_Litterbag Placem_Collection'!N5,'Dry_Litterbag Placem_Collection'!Q5),"")</f>
        <v>25</v>
      </c>
      <c r="AJ664" s="270">
        <f>INDEX(Coordinates!$B$2:$B$197,MATCH(G664,Coordinates!$J$2:$J$197,0))</f>
        <v>-3.3978739999999998</v>
      </c>
      <c r="AK664" s="270">
        <f>INDEX(Coordinates!$C$2:$C$197,MATCH(G664,Coordinates!$J$2:$J$197,0))</f>
        <v>34.837578999999998</v>
      </c>
      <c r="AL664" s="270" t="str">
        <f>IF(ISNUMBER(SEARCH("C", 'Dry_Litterbag Placem_Collection'!V5)),"YES","NO")</f>
        <v>NO</v>
      </c>
      <c r="AM664" s="270" t="str">
        <f>IF(ISNUMBER(SEARCH("H", 'Dry_Litterbag Placem_Collection'!V5)),"YES","NO")</f>
        <v>NO</v>
      </c>
      <c r="AN664" s="270" t="str">
        <f>IF(ISNUMBER(SEARCH("R", 'Dry_Litterbag Placem_Collection'!V5)),"YES","NO")</f>
        <v>NO</v>
      </c>
    </row>
    <row r="665" spans="1:40" ht="15" customHeight="1">
      <c r="A665" s="262" t="s">
        <v>2659</v>
      </c>
      <c r="B665" s="263">
        <f>'Dry_Litterbag Placem_Collection'!A6</f>
        <v>4</v>
      </c>
      <c r="C665" s="263" t="str">
        <f>'Dry_Litterbag Placem_Collection'!B6</f>
        <v>Makao</v>
      </c>
      <c r="D665" s="263" t="s">
        <v>2659</v>
      </c>
      <c r="E665" s="263" t="s">
        <v>2660</v>
      </c>
      <c r="F665" s="263">
        <v>1</v>
      </c>
      <c r="G665" s="264" t="str">
        <f>'Dry_Litterbag Placem_Collection'!C6</f>
        <v>Dry_Ag1_T4</v>
      </c>
      <c r="H665" s="273" t="s">
        <v>3651</v>
      </c>
      <c r="I665" s="274" t="s">
        <v>298</v>
      </c>
      <c r="J665" s="263" t="str">
        <f>IF(ISBLANK('Dry_Litterbag Placem_Collection'!M6),"","R"&amp;""&amp;'Dry_Litterbag Placem_Collection'!M6)</f>
        <v>R298</v>
      </c>
      <c r="K665" s="267">
        <f>IFERROR(INDEX('Green_rooibos initial weight'!$C$5:$C$1749,MATCH(J665, 'Green_rooibos initial weight'!$A$5:$A$1749,0)),"")</f>
        <v>2.2229999999999999</v>
      </c>
      <c r="L665" s="267">
        <f>IFERROR(K665-(TBIcalc!$Q$9+TBIcalc!$Q$10),"")</f>
        <v>1.9731999999999998</v>
      </c>
      <c r="M665" s="391">
        <f>AVERAGE(Ashed_controlls!$K$12:$K$14)</f>
        <v>2.2816647271287041</v>
      </c>
      <c r="N665" s="267">
        <f t="shared" si="51"/>
        <v>1.9281781916042962</v>
      </c>
      <c r="O665" s="267">
        <f>IF(IFERROR(INDEX('Both teabags AfterDry'!$D$3:$D$900,MATCH(J665,'Both teabags AfterDry'!$A$3:$A$900,0)),"")="","",(IFERROR(INDEX('Both teabags AfterDry'!$D$3:$D$900,MATCH(J665,'Both teabags AfterDry'!$A$3:$A$900,0)),"")))</f>
        <v>1.9487000000000001</v>
      </c>
      <c r="P665" s="267">
        <f>IFERROR(IF(O665&gt;0,O665-(TBIcalc!$Q$9),""),"")</f>
        <v>1.7981</v>
      </c>
      <c r="Q665" s="278">
        <f>IFERROR(INDEX('Ashed teabags dry'!$K$2:$K$825,MATCH(J665,'Ashed teabags dry'!$A$2:$A$825,0)),"")</f>
        <v>2.1226415094341604</v>
      </c>
      <c r="R665" s="278">
        <f t="shared" si="52"/>
        <v>1.7599327830188645</v>
      </c>
      <c r="S665" s="268">
        <f>'Dry_Litterbag Placem_Collection'!E6</f>
        <v>42938</v>
      </c>
      <c r="T665" s="268">
        <f>IF('Dry_Litterbag Placem_Collection'!G6="","",'Dry_Litterbag Placem_Collection'!G6)</f>
        <v>43007</v>
      </c>
      <c r="U665" s="269">
        <f t="shared" si="50"/>
        <v>69</v>
      </c>
      <c r="V665" s="267">
        <f t="shared" si="53"/>
        <v>0.17509999999999981</v>
      </c>
      <c r="W665" s="267">
        <f t="shared" si="54"/>
        <v>0.16824540858543169</v>
      </c>
      <c r="X665" s="271">
        <f>IFERROR(INDEX(Rainfall_Dry!$O$2:$O$217,MATCH(B665, Rainfall_Dry!$A$2:$A$217,0)),"")</f>
        <v>6.900000125</v>
      </c>
      <c r="Y665" s="260">
        <v>12.565665055683967</v>
      </c>
      <c r="Z665" s="260">
        <v>0.9665896196679955</v>
      </c>
      <c r="AA665" s="260">
        <v>86.467745324648035</v>
      </c>
      <c r="AB665" s="261" t="s">
        <v>2672</v>
      </c>
      <c r="AC665" s="260">
        <v>4.02257269590931</v>
      </c>
      <c r="AD665" t="str">
        <f>IF('WetLitterbags placem_collection'!AB6="","",'WetLitterbags placem_collection'!AB6)</f>
        <v/>
      </c>
      <c r="AE665" t="str">
        <f>IF('WetLitterbags placem_collection'!Z6="","",'WetLitterbags placem_collection'!Z6)</f>
        <v/>
      </c>
      <c r="AF665" s="24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71">
        <f>IFERROR(AVERAGE('Dry_Litterbag Placem_Collection'!N6,'Dry_Litterbag Placem_Collection'!Q6),"")</f>
        <v>27.35</v>
      </c>
      <c r="AJ665" s="270">
        <f>INDEX(Coordinates!$B$2:$B$197,MATCH(G665,Coordinates!$J$2:$J$197,0))</f>
        <v>-3.3977780399999999</v>
      </c>
      <c r="AK665" s="270">
        <f>INDEX(Coordinates!$C$2:$C$197,MATCH(G665,Coordinates!$J$2:$J$197,0))</f>
        <v>34.83751204</v>
      </c>
      <c r="AL665" s="270" t="str">
        <f>IF(ISNUMBER(SEARCH("C", 'Dry_Litterbag Placem_Collection'!V6)),"YES","NO")</f>
        <v>NO</v>
      </c>
      <c r="AM665" s="270" t="str">
        <f>IF(ISNUMBER(SEARCH("H", 'Dry_Litterbag Placem_Collection'!V6)),"YES","NO")</f>
        <v>NO</v>
      </c>
      <c r="AN665" s="270" t="str">
        <f>IF(ISNUMBER(SEARCH("R", 'Dry_Litterbag Placem_Collection'!V6)),"YES","NO")</f>
        <v>NO</v>
      </c>
    </row>
    <row r="666" spans="1:40" ht="15" customHeight="1">
      <c r="A666" s="262" t="s">
        <v>2659</v>
      </c>
      <c r="B666" s="263">
        <f>'Dry_Litterbag Placem_Collection'!A7</f>
        <v>5</v>
      </c>
      <c r="C666" s="263" t="str">
        <f>'Dry_Litterbag Placem_Collection'!B7</f>
        <v>Makao</v>
      </c>
      <c r="D666" s="263" t="s">
        <v>2659</v>
      </c>
      <c r="E666" s="263" t="s">
        <v>2660</v>
      </c>
      <c r="F666" s="263">
        <v>1</v>
      </c>
      <c r="G666" s="264" t="str">
        <f>'Dry_Litterbag Placem_Collection'!C7</f>
        <v>Dry_Ag1_T5</v>
      </c>
      <c r="H666" s="273" t="s">
        <v>3651</v>
      </c>
      <c r="I666" s="274" t="s">
        <v>298</v>
      </c>
      <c r="J666" s="263" t="str">
        <f>IF(ISBLANK('Dry_Litterbag Placem_Collection'!M7),"","R"&amp;""&amp;'Dry_Litterbag Placem_Collection'!M7)</f>
        <v>R226</v>
      </c>
      <c r="K666" s="267">
        <f>IFERROR(INDEX('Green_rooibos initial weight'!$C$5:$C$1749,MATCH(J666, 'Green_rooibos initial weight'!$A$5:$A$1749,0)),"")</f>
        <v>2.2410000000000001</v>
      </c>
      <c r="L666" s="267">
        <f>IFERROR(K666-(TBIcalc!$Q$9+TBIcalc!$Q$10),"")</f>
        <v>1.9912000000000001</v>
      </c>
      <c r="M666" s="391">
        <f>AVERAGE(Ashed_controlls!$K$12:$K$14)</f>
        <v>2.2816647271287041</v>
      </c>
      <c r="N666" s="267">
        <f t="shared" si="51"/>
        <v>1.9457674919534134</v>
      </c>
      <c r="O666" s="267" t="str">
        <f>IF(IFERROR(INDEX('Both teabags AfterDry'!$D$3:$D$900,MATCH(J666,'Both teabags AfterDry'!$A$3:$A$900,0)),"")="","",(IFERROR(INDEX('Both teabags AfterDry'!$D$3:$D$900,MATCH(J666,'Both teabags AfterDry'!$A$3:$A$900,0)),"")))</f>
        <v/>
      </c>
      <c r="P666" s="267" t="str">
        <f>IFERROR(IF(O666&gt;0,O666-(TBIcalc!$Q$9),""),"")</f>
        <v/>
      </c>
      <c r="Q666" s="278" t="str">
        <f>IFERROR(INDEX('Ashed teabags dry'!$K$2:$K$825,MATCH(J666,'Ashed teabags dry'!$A$2:$A$825,0)),"")</f>
        <v/>
      </c>
      <c r="R666" s="278" t="str">
        <f t="shared" si="52"/>
        <v/>
      </c>
      <c r="S666" s="268">
        <f>'Dry_Litterbag Placem_Collection'!E7</f>
        <v>42938</v>
      </c>
      <c r="T666" s="268" t="str">
        <f>IF('Dry_Litterbag Placem_Collection'!G7="","",'Dry_Litterbag Placem_Collection'!G7)</f>
        <v/>
      </c>
      <c r="U666" s="269" t="str">
        <f t="shared" si="50"/>
        <v/>
      </c>
      <c r="V666" s="267" t="str">
        <f t="shared" si="53"/>
        <v/>
      </c>
      <c r="W666" s="267" t="str">
        <f t="shared" si="54"/>
        <v/>
      </c>
      <c r="X666" s="271" t="str">
        <f>IFERROR(INDEX(Rainfall_Dry!$O$2:$O$217,MATCH(B666, Rainfall_Dry!$A$2:$A$217,0)),"")</f>
        <v/>
      </c>
      <c r="Y666" s="260">
        <v>12.565665055683967</v>
      </c>
      <c r="Z666" s="260">
        <v>0.9665896196679955</v>
      </c>
      <c r="AA666" s="260">
        <v>86.467745324648035</v>
      </c>
      <c r="AB666" s="261" t="s">
        <v>2672</v>
      </c>
      <c r="AC666" s="260">
        <v>5.02257269590931</v>
      </c>
      <c r="AD666">
        <f>IF('WetLitterbags placem_collection'!AB7="","",'WetLitterbags placem_collection'!AB7)</f>
        <v>28.4</v>
      </c>
      <c r="AE666">
        <f>IF('WetLitterbags placem_collection'!Z7="","",'WetLitterbags placem_collection'!Z7)</f>
        <v>36.4</v>
      </c>
      <c r="AF666" s="24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71">
        <f>IFERROR(AVERAGE('Dry_Litterbag Placem_Collection'!N7,'Dry_Litterbag Placem_Collection'!Q7),"")</f>
        <v>26.7</v>
      </c>
      <c r="AJ666" s="270">
        <f>INDEX(Coordinates!$B$2:$B$197,MATCH(G666,Coordinates!$J$2:$J$197,0))</f>
        <v>-3.3978020120000001</v>
      </c>
      <c r="AK666" s="270">
        <f>INDEX(Coordinates!$C$2:$C$197,MATCH(G666,Coordinates!$J$2:$J$197,0))</f>
        <v>34.83751204</v>
      </c>
      <c r="AL666" s="270" t="str">
        <f>IF(ISNUMBER(SEARCH("C", 'Dry_Litterbag Placem_Collection'!V7)),"YES","NO")</f>
        <v>NO</v>
      </c>
      <c r="AM666" s="270" t="str">
        <f>IF(ISNUMBER(SEARCH("H", 'Dry_Litterbag Placem_Collection'!V7)),"YES","NO")</f>
        <v>NO</v>
      </c>
      <c r="AN666" s="270" t="str">
        <f>IF(ISNUMBER(SEARCH("R", 'Dry_Litterbag Placem_Collection'!V7)),"YES","NO")</f>
        <v>NO</v>
      </c>
    </row>
    <row r="667" spans="1:40" ht="15" customHeight="1">
      <c r="A667" s="262" t="s">
        <v>2659</v>
      </c>
      <c r="B667" s="263">
        <f>'Dry_Litterbag Placem_Collection'!A8</f>
        <v>6</v>
      </c>
      <c r="C667" s="263" t="str">
        <f>'Dry_Litterbag Placem_Collection'!B8</f>
        <v>Makao</v>
      </c>
      <c r="D667" s="263" t="s">
        <v>2659</v>
      </c>
      <c r="E667" s="263" t="s">
        <v>2660</v>
      </c>
      <c r="F667" s="263">
        <v>1</v>
      </c>
      <c r="G667" s="264" t="str">
        <f>'Dry_Litterbag Placem_Collection'!C8</f>
        <v>Dry_Ag1_T6</v>
      </c>
      <c r="H667" s="273" t="s">
        <v>3651</v>
      </c>
      <c r="I667" s="274" t="s">
        <v>298</v>
      </c>
      <c r="J667" s="263" t="str">
        <f>IF(ISBLANK('Dry_Litterbag Placem_Collection'!M8),"","R"&amp;""&amp;'Dry_Litterbag Placem_Collection'!M8)</f>
        <v>R286</v>
      </c>
      <c r="K667" s="267">
        <f>IFERROR(INDEX('Green_rooibos initial weight'!$C$5:$C$1749,MATCH(J667, 'Green_rooibos initial weight'!$A$5:$A$1749,0)),"")</f>
        <v>2.2160000000000002</v>
      </c>
      <c r="L667" s="267">
        <f>IFERROR(K667-(TBIcalc!$Q$9+TBIcalc!$Q$10),"")</f>
        <v>1.9662000000000002</v>
      </c>
      <c r="M667" s="391">
        <f>AVERAGE(Ashed_controlls!$K$12:$K$14)</f>
        <v>2.2816647271287041</v>
      </c>
      <c r="N667" s="267">
        <f t="shared" si="51"/>
        <v>1.9213379081351956</v>
      </c>
      <c r="O667" s="267" t="str">
        <f>IF(IFERROR(INDEX('Both teabags AfterDry'!$D$3:$D$900,MATCH(J667,'Both teabags AfterDry'!$A$3:$A$900,0)),"")="","",(IFERROR(INDEX('Both teabags AfterDry'!$D$3:$D$900,MATCH(J667,'Both teabags AfterDry'!$A$3:$A$900,0)),"")))</f>
        <v/>
      </c>
      <c r="P667" s="267" t="str">
        <f>IFERROR(IF(O667&gt;0,O667-(TBIcalc!$Q$9),""),"")</f>
        <v/>
      </c>
      <c r="Q667" s="278" t="str">
        <f>IFERROR(INDEX('Ashed teabags dry'!$K$2:$K$825,MATCH(J667,'Ashed teabags dry'!$A$2:$A$825,0)),"")</f>
        <v/>
      </c>
      <c r="R667" s="278" t="str">
        <f t="shared" si="52"/>
        <v/>
      </c>
      <c r="S667" s="268">
        <f>'Dry_Litterbag Placem_Collection'!E8</f>
        <v>42938</v>
      </c>
      <c r="T667" s="268">
        <f>IF('Dry_Litterbag Placem_Collection'!G8="","",'Dry_Litterbag Placem_Collection'!G8)</f>
        <v>43007</v>
      </c>
      <c r="U667" s="269">
        <f t="shared" si="50"/>
        <v>69</v>
      </c>
      <c r="V667" s="267" t="str">
        <f t="shared" si="53"/>
        <v/>
      </c>
      <c r="W667" s="267" t="str">
        <f t="shared" si="54"/>
        <v/>
      </c>
      <c r="X667" s="271">
        <f>IFERROR(INDEX(Rainfall_Dry!$O$2:$O$217,MATCH(B667, Rainfall_Dry!$A$2:$A$217,0)),"")</f>
        <v>6.900000125</v>
      </c>
      <c r="Y667" s="260">
        <v>12.565665055683967</v>
      </c>
      <c r="Z667" s="260">
        <v>0.9665896196679955</v>
      </c>
      <c r="AA667" s="260">
        <v>86.467745324648035</v>
      </c>
      <c r="AB667" s="261" t="s">
        <v>2672</v>
      </c>
      <c r="AC667" s="260">
        <v>6.02257269590931</v>
      </c>
      <c r="AD667">
        <f>IF('WetLitterbags placem_collection'!AB8="","",'WetLitterbags placem_collection'!AB8)</f>
        <v>32.4</v>
      </c>
      <c r="AE667">
        <f>IF('WetLitterbags placem_collection'!Z8="","",'WetLitterbags placem_collection'!Z8)</f>
        <v>31</v>
      </c>
      <c r="AF667" s="24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71">
        <f>IFERROR(AVERAGE('Dry_Litterbag Placem_Collection'!N8,'Dry_Litterbag Placem_Collection'!Q8),"")</f>
        <v>26.6</v>
      </c>
      <c r="AJ667" s="270">
        <f>INDEX(Coordinates!$B$2:$B$197,MATCH(G667,Coordinates!$J$2:$J$197,0))</f>
        <v>-3.3977389800000002</v>
      </c>
      <c r="AK667" s="270">
        <f>INDEX(Coordinates!$C$2:$C$197,MATCH(G667,Coordinates!$J$2:$J$197,0))</f>
        <v>34.837501979999999</v>
      </c>
      <c r="AL667" s="270" t="str">
        <f>IF(ISNUMBER(SEARCH("C", 'Dry_Litterbag Placem_Collection'!V8)),"YES","NO")</f>
        <v>NO</v>
      </c>
      <c r="AM667" s="270" t="str">
        <f>IF(ISNUMBER(SEARCH("H", 'Dry_Litterbag Placem_Collection'!V8)),"YES","NO")</f>
        <v>NO</v>
      </c>
      <c r="AN667" s="270" t="str">
        <f>IF(ISNUMBER(SEARCH("R", 'Dry_Litterbag Placem_Collection'!V8)),"YES","NO")</f>
        <v>NO</v>
      </c>
    </row>
    <row r="668" spans="1:40" ht="15" customHeight="1">
      <c r="A668" s="262" t="s">
        <v>2659</v>
      </c>
      <c r="B668" s="263">
        <f>'Dry_Litterbag Placem_Collection'!A9</f>
        <v>7</v>
      </c>
      <c r="C668" s="263" t="str">
        <f>'Dry_Litterbag Placem_Collection'!B9</f>
        <v>Makao</v>
      </c>
      <c r="D668" s="263" t="s">
        <v>2659</v>
      </c>
      <c r="E668" s="263" t="s">
        <v>2660</v>
      </c>
      <c r="F668" s="263">
        <v>1</v>
      </c>
      <c r="G668" s="264" t="str">
        <f>'Dry_Litterbag Placem_Collection'!C9</f>
        <v>Dry_Ag1_T7</v>
      </c>
      <c r="H668" s="273" t="s">
        <v>3651</v>
      </c>
      <c r="I668" s="274" t="s">
        <v>298</v>
      </c>
      <c r="J668" s="263" t="str">
        <f>IF(ISBLANK('Dry_Litterbag Placem_Collection'!M9),"","R"&amp;""&amp;'Dry_Litterbag Placem_Collection'!M9)</f>
        <v>R210</v>
      </c>
      <c r="K668" s="267">
        <f>IFERROR(INDEX('Green_rooibos initial weight'!$C$5:$C$1749,MATCH(J668, 'Green_rooibos initial weight'!$A$5:$A$1749,0)),"")</f>
        <v>2.2429999999999999</v>
      </c>
      <c r="L668" s="267">
        <f>IFERROR(K668-(TBIcalc!$Q$9+TBIcalc!$Q$10),"")</f>
        <v>1.9931999999999999</v>
      </c>
      <c r="M668" s="391">
        <f>AVERAGE(Ashed_controlls!$K$12:$K$14)</f>
        <v>2.2816647271287041</v>
      </c>
      <c r="N668" s="267">
        <f t="shared" si="51"/>
        <v>1.9477218586588705</v>
      </c>
      <c r="O668" s="267">
        <f>IF(IFERROR(INDEX('Both teabags AfterDry'!$D$3:$D$900,MATCH(J668,'Both teabags AfterDry'!$A$3:$A$900,0)),"")="","",(IFERROR(INDEX('Both teabags AfterDry'!$D$3:$D$900,MATCH(J668,'Both teabags AfterDry'!$A$3:$A$900,0)),"")))</f>
        <v>2.0261</v>
      </c>
      <c r="P668" s="267">
        <f>IFERROR(IF(O668&gt;0,O668-(TBIcalc!$Q$9),""),"")</f>
        <v>1.8754999999999999</v>
      </c>
      <c r="Q668" s="278">
        <f>IFERROR(INDEX('Ashed teabags dry'!$K$2:$K$825,MATCH(J668,'Ashed teabags dry'!$A$2:$A$825,0)),"")</f>
        <v>3.0331753554506005</v>
      </c>
      <c r="R668" s="278">
        <f t="shared" si="52"/>
        <v>1.8186127962085239</v>
      </c>
      <c r="S668" s="268">
        <f>'Dry_Litterbag Placem_Collection'!E9</f>
        <v>42938</v>
      </c>
      <c r="T668" s="268">
        <f>IF('Dry_Litterbag Placem_Collection'!G9="","",'Dry_Litterbag Placem_Collection'!G9)</f>
        <v>43007</v>
      </c>
      <c r="U668" s="269">
        <f t="shared" si="50"/>
        <v>69</v>
      </c>
      <c r="V668" s="267">
        <f t="shared" si="53"/>
        <v>0.11769999999999992</v>
      </c>
      <c r="W668" s="267">
        <f t="shared" si="54"/>
        <v>0.12910906245034659</v>
      </c>
      <c r="X668" s="271">
        <f>IFERROR(INDEX(Rainfall_Dry!$O$2:$O$217,MATCH(B668, Rainfall_Dry!$A$2:$A$217,0)),"")</f>
        <v>6.900000125</v>
      </c>
      <c r="Y668" s="260">
        <v>12.565665055683967</v>
      </c>
      <c r="Z668" s="260">
        <v>0.9665896196679955</v>
      </c>
      <c r="AA668" s="260">
        <v>86.467745324648035</v>
      </c>
      <c r="AB668" s="261" t="s">
        <v>2672</v>
      </c>
      <c r="AC668" s="260">
        <v>7.02257269590931</v>
      </c>
      <c r="AD668">
        <f>IF('WetLitterbags placem_collection'!AB9="","",'WetLitterbags placem_collection'!AB9)</f>
        <v>36</v>
      </c>
      <c r="AE668">
        <f>IF('WetLitterbags placem_collection'!Z9="","",'WetLitterbags placem_collection'!Z9)</f>
        <v>43.4</v>
      </c>
      <c r="AF668" s="24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71">
        <f>IFERROR(AVERAGE('Dry_Litterbag Placem_Collection'!N9,'Dry_Litterbag Placem_Collection'!Q9),"")</f>
        <v>24.75</v>
      </c>
      <c r="AJ668" s="270">
        <f>INDEX(Coordinates!$B$2:$B$197,MATCH(G668,Coordinates!$J$2:$J$197,0))</f>
        <v>-3.3977630360000002</v>
      </c>
      <c r="AK668" s="270">
        <f>INDEX(Coordinates!$C$2:$C$197,MATCH(G668,Coordinates!$J$2:$J$197,0))</f>
        <v>34.837600969999997</v>
      </c>
      <c r="AL668" s="270" t="str">
        <f>IF(ISNUMBER(SEARCH("C", 'Dry_Litterbag Placem_Collection'!V9)),"YES","NO")</f>
        <v>NO</v>
      </c>
      <c r="AM668" s="270" t="str">
        <f>IF(ISNUMBER(SEARCH("H", 'Dry_Litterbag Placem_Collection'!V9)),"YES","NO")</f>
        <v>NO</v>
      </c>
      <c r="AN668" s="270" t="str">
        <f>IF(ISNUMBER(SEARCH("R", 'Dry_Litterbag Placem_Collection'!V9)),"YES","NO")</f>
        <v>NO</v>
      </c>
    </row>
    <row r="669" spans="1:40" ht="15" customHeight="1">
      <c r="A669" s="262" t="s">
        <v>2659</v>
      </c>
      <c r="B669" s="263">
        <f>'Dry_Litterbag Placem_Collection'!A10</f>
        <v>8</v>
      </c>
      <c r="C669" s="263" t="str">
        <f>'Dry_Litterbag Placem_Collection'!B10</f>
        <v>Makao</v>
      </c>
      <c r="D669" s="263" t="s">
        <v>2659</v>
      </c>
      <c r="E669" s="263" t="s">
        <v>2660</v>
      </c>
      <c r="F669" s="263">
        <v>1</v>
      </c>
      <c r="G669" s="264" t="str">
        <f>'Dry_Litterbag Placem_Collection'!C10</f>
        <v>Dry_Ag1_T8</v>
      </c>
      <c r="H669" s="273" t="s">
        <v>3651</v>
      </c>
      <c r="I669" s="274" t="s">
        <v>298</v>
      </c>
      <c r="J669" s="263" t="str">
        <f>IF(ISBLANK('Dry_Litterbag Placem_Collection'!M10),"","R"&amp;""&amp;'Dry_Litterbag Placem_Collection'!M10)</f>
        <v>R213</v>
      </c>
      <c r="K669" s="267">
        <f>IFERROR(INDEX('Green_rooibos initial weight'!$C$5:$C$1749,MATCH(J669, 'Green_rooibos initial weight'!$A$5:$A$1749,0)),"")</f>
        <v>2.254</v>
      </c>
      <c r="L669" s="267">
        <f>IFERROR(K669-(TBIcalc!$Q$9+TBIcalc!$Q$10),"")</f>
        <v>2.0042</v>
      </c>
      <c r="M669" s="391">
        <f>AVERAGE(Ashed_controlls!$K$12:$K$14)</f>
        <v>2.2816647271287041</v>
      </c>
      <c r="N669" s="267">
        <f t="shared" si="51"/>
        <v>1.9584708755388864</v>
      </c>
      <c r="O669" s="267">
        <f>IF(IFERROR(INDEX('Both teabags AfterDry'!$D$3:$D$900,MATCH(J669,'Both teabags AfterDry'!$A$3:$A$900,0)),"")="","",(IFERROR(INDEX('Both teabags AfterDry'!$D$3:$D$900,MATCH(J669,'Both teabags AfterDry'!$A$3:$A$900,0)),"")))</f>
        <v>1.7698</v>
      </c>
      <c r="P669" s="267">
        <f>IFERROR(IF(O669&gt;0,O669-(TBIcalc!$Q$9),""),"")</f>
        <v>1.6192</v>
      </c>
      <c r="Q669" s="278">
        <f>IFERROR(INDEX('Ashed teabags dry'!$K$2:$K$825,MATCH(J669,'Ashed teabags dry'!$A$2:$A$825,0)),"")</f>
        <v>2.3334747560458351</v>
      </c>
      <c r="R669" s="278">
        <f t="shared" si="52"/>
        <v>1.5814163767501057</v>
      </c>
      <c r="S669" s="268">
        <f>'Dry_Litterbag Placem_Collection'!E10</f>
        <v>42938</v>
      </c>
      <c r="T669" s="268">
        <f>IF('Dry_Litterbag Placem_Collection'!G10="","",'Dry_Litterbag Placem_Collection'!G10)</f>
        <v>43007</v>
      </c>
      <c r="U669" s="269">
        <f t="shared" si="50"/>
        <v>69</v>
      </c>
      <c r="V669" s="267">
        <f t="shared" si="53"/>
        <v>0.38500000000000001</v>
      </c>
      <c r="W669" s="267">
        <f t="shared" si="54"/>
        <v>0.37705449878878072</v>
      </c>
      <c r="X669" s="271">
        <f>IFERROR(INDEX(Rainfall_Dry!$O$2:$O$217,MATCH(B669, Rainfall_Dry!$A$2:$A$217,0)),"")</f>
        <v>6.900000125</v>
      </c>
      <c r="Y669" s="260">
        <v>12.565665055683967</v>
      </c>
      <c r="Z669" s="260">
        <v>0.9665896196679955</v>
      </c>
      <c r="AA669" s="260">
        <v>86.467745324648035</v>
      </c>
      <c r="AB669" s="261" t="s">
        <v>2672</v>
      </c>
      <c r="AC669" s="260">
        <v>8.0225726959093109</v>
      </c>
      <c r="AD669">
        <f>IF('WetLitterbags placem_collection'!AB10="","",'WetLitterbags placem_collection'!AB10)</f>
        <v>36</v>
      </c>
      <c r="AE669">
        <f>IF('WetLitterbags placem_collection'!Z10="","",'WetLitterbags placem_collection'!Z10)</f>
        <v>38.4</v>
      </c>
      <c r="AF669" s="24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71">
        <f>IFERROR(AVERAGE('Dry_Litterbag Placem_Collection'!N10,'Dry_Litterbag Placem_Collection'!Q10),"")</f>
        <v>26</v>
      </c>
      <c r="AJ669" s="270">
        <f>INDEX(Coordinates!$B$2:$B$197,MATCH(G669,Coordinates!$J$2:$J$197,0))</f>
        <v>-3.3977320230000001</v>
      </c>
      <c r="AK669" s="270">
        <f>INDEX(Coordinates!$C$2:$C$197,MATCH(G669,Coordinates!$J$2:$J$197,0))</f>
        <v>34.837561989999998</v>
      </c>
      <c r="AL669" s="270" t="str">
        <f>IF(ISNUMBER(SEARCH("C", 'Dry_Litterbag Placem_Collection'!V10)),"YES","NO")</f>
        <v>NO</v>
      </c>
      <c r="AM669" s="270" t="str">
        <f>IF(ISNUMBER(SEARCH("H", 'Dry_Litterbag Placem_Collection'!V10)),"YES","NO")</f>
        <v>NO</v>
      </c>
      <c r="AN669" s="270" t="str">
        <f>IF(ISNUMBER(SEARCH("R", 'Dry_Litterbag Placem_Collection'!V10)),"YES","NO")</f>
        <v>NO</v>
      </c>
    </row>
    <row r="670" spans="1:40" ht="15" customHeight="1">
      <c r="A670" s="262" t="s">
        <v>2659</v>
      </c>
      <c r="B670" s="263">
        <f>'Dry_Litterbag Placem_Collection'!A11</f>
        <v>9</v>
      </c>
      <c r="C670" s="263" t="str">
        <f>'Dry_Litterbag Placem_Collection'!B11</f>
        <v>Makao</v>
      </c>
      <c r="D670" s="263" t="s">
        <v>2659</v>
      </c>
      <c r="E670" s="263" t="s">
        <v>2660</v>
      </c>
      <c r="F670" s="263">
        <v>2</v>
      </c>
      <c r="G670" s="264" t="str">
        <f>'Dry_Litterbag Placem_Collection'!C11</f>
        <v>Dry_Ag2_T1</v>
      </c>
      <c r="H670" s="273" t="s">
        <v>3651</v>
      </c>
      <c r="I670" s="274" t="s">
        <v>298</v>
      </c>
      <c r="J670" s="263" t="str">
        <f>IF(ISBLANK('Dry_Litterbag Placem_Collection'!M11),"","R"&amp;""&amp;'Dry_Litterbag Placem_Collection'!M11)</f>
        <v>R704</v>
      </c>
      <c r="K670" s="267">
        <f>IFERROR(INDEX('Green_rooibos initial weight'!$C$5:$C$1749,MATCH(J670, 'Green_rooibos initial weight'!$A$5:$A$1749,0)),"")</f>
        <v>2.1480000000000001</v>
      </c>
      <c r="L670" s="267">
        <f>IFERROR(K670-(TBIcalc!$Q$9+TBIcalc!$Q$10),"")</f>
        <v>1.8982000000000001</v>
      </c>
      <c r="M670" s="391">
        <f>AVERAGE(Ashed_controlls!$K$12:$K$14)</f>
        <v>2.2816647271287041</v>
      </c>
      <c r="N670" s="267">
        <f t="shared" si="51"/>
        <v>1.854889440149643</v>
      </c>
      <c r="O670" s="267">
        <f>IF(IFERROR(INDEX('Both teabags AfterDry'!$D$3:$D$900,MATCH(J670,'Both teabags AfterDry'!$A$3:$A$900,0)),"")="","",(IFERROR(INDEX('Both teabags AfterDry'!$D$3:$D$900,MATCH(J670,'Both teabags AfterDry'!$A$3:$A$900,0)),"")))</f>
        <v>1.9311</v>
      </c>
      <c r="P670" s="267">
        <f>IFERROR(IF(O670&gt;0,O670-(TBIcalc!$Q$9),""),"")</f>
        <v>1.7805</v>
      </c>
      <c r="Q670" s="278">
        <f>IFERROR(INDEX('Ashed teabags dry'!$K$2:$K$825,MATCH(J670,'Ashed teabags dry'!$A$2:$A$825,0)),"")</f>
        <v>2.4847632442568237</v>
      </c>
      <c r="R670" s="278">
        <f t="shared" si="52"/>
        <v>1.7362587904360072</v>
      </c>
      <c r="S670" s="268">
        <f>'Dry_Litterbag Placem_Collection'!E11</f>
        <v>42938</v>
      </c>
      <c r="T670" s="268">
        <f>IF('Dry_Litterbag Placem_Collection'!G11="","",'Dry_Litterbag Placem_Collection'!G11)</f>
        <v>43007</v>
      </c>
      <c r="U670" s="269">
        <f t="shared" si="50"/>
        <v>69</v>
      </c>
      <c r="V670" s="267">
        <f t="shared" si="53"/>
        <v>0.11770000000000014</v>
      </c>
      <c r="W670" s="267">
        <f t="shared" si="54"/>
        <v>0.11863064971363579</v>
      </c>
      <c r="X670" s="271">
        <f>IFERROR(INDEX(Rainfall_Dry!$O$2:$O$217,MATCH(B670, Rainfall_Dry!$A$2:$A$217,0)),"")</f>
        <v>6.900000125</v>
      </c>
      <c r="Y670" s="260">
        <v>21.13063730679653</v>
      </c>
      <c r="Z670" s="260">
        <v>3.0912555579081076</v>
      </c>
      <c r="AA670" s="260">
        <v>75.778107135295357</v>
      </c>
      <c r="AB670" s="261" t="s">
        <v>2670</v>
      </c>
      <c r="AC670" s="260">
        <v>0.46131099063578063</v>
      </c>
      <c r="AD670">
        <f>IF('WetLitterbags placem_collection'!AB11="","",'WetLitterbags placem_collection'!AB11)</f>
        <v>10.8</v>
      </c>
      <c r="AE670">
        <f>IF('WetLitterbags placem_collection'!Z11="","",'WetLitterbags placem_collection'!Z11)</f>
        <v>28.4</v>
      </c>
      <c r="AF670" s="24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71">
        <f>IFERROR(AVERAGE('Dry_Litterbag Placem_Collection'!N11,'Dry_Litterbag Placem_Collection'!Q11),"")</f>
        <v>26.15</v>
      </c>
      <c r="AJ670" s="270">
        <f>INDEX(Coordinates!$B$2:$B$197,MATCH(G670,Coordinates!$J$2:$J$197,0))</f>
        <v>-3.3978290019999999</v>
      </c>
      <c r="AK670" s="270">
        <f>INDEX(Coordinates!$C$2:$C$197,MATCH(G670,Coordinates!$J$2:$J$197,0))</f>
        <v>34.837011969999999</v>
      </c>
      <c r="AL670" s="270" t="str">
        <f>IF(ISNUMBER(SEARCH("C", 'Dry_Litterbag Placem_Collection'!V11)),"YES","NO")</f>
        <v>NO</v>
      </c>
      <c r="AM670" s="270" t="str">
        <f>IF(ISNUMBER(SEARCH("H", 'Dry_Litterbag Placem_Collection'!V11)),"YES","NO")</f>
        <v>NO</v>
      </c>
      <c r="AN670" s="270" t="str">
        <f>IF(ISNUMBER(SEARCH("R", 'Dry_Litterbag Placem_Collection'!V11)),"YES","NO")</f>
        <v>NO</v>
      </c>
    </row>
    <row r="671" spans="1:40" ht="15" customHeight="1">
      <c r="A671" s="262" t="s">
        <v>2659</v>
      </c>
      <c r="B671" s="263">
        <f>'Dry_Litterbag Placem_Collection'!A12</f>
        <v>10</v>
      </c>
      <c r="C671" s="263" t="str">
        <f>'Dry_Litterbag Placem_Collection'!B12</f>
        <v>Makao</v>
      </c>
      <c r="D671" s="263" t="s">
        <v>2659</v>
      </c>
      <c r="E671" s="263" t="s">
        <v>2660</v>
      </c>
      <c r="F671" s="263">
        <v>2</v>
      </c>
      <c r="G671" s="264" t="str">
        <f>'Dry_Litterbag Placem_Collection'!C12</f>
        <v>Dry_Ag2_T2</v>
      </c>
      <c r="H671" s="273" t="s">
        <v>3651</v>
      </c>
      <c r="I671" s="274" t="s">
        <v>298</v>
      </c>
      <c r="J671" s="263" t="str">
        <f>IF(ISBLANK('Dry_Litterbag Placem_Collection'!M12),"","R"&amp;""&amp;'Dry_Litterbag Placem_Collection'!M12)</f>
        <v>R355</v>
      </c>
      <c r="K671" s="267">
        <f>IFERROR(INDEX('Green_rooibos initial weight'!$C$5:$C$1749,MATCH(J671, 'Green_rooibos initial weight'!$A$5:$A$1749,0)),"")</f>
        <v>2.1850000000000001</v>
      </c>
      <c r="L671" s="267">
        <f>IFERROR(K671-(TBIcalc!$Q$9+TBIcalc!$Q$10),"")</f>
        <v>1.9352</v>
      </c>
      <c r="M671" s="391">
        <f>AVERAGE(Ashed_controlls!$K$12:$K$14)</f>
        <v>2.2816647271287041</v>
      </c>
      <c r="N671" s="267">
        <f t="shared" si="51"/>
        <v>1.8910452242006053</v>
      </c>
      <c r="O671" s="267" t="str">
        <f>IF(IFERROR(INDEX('Both teabags AfterDry'!$D$3:$D$900,MATCH(J671,'Both teabags AfterDry'!$A$3:$A$900,0)),"")="","",(IFERROR(INDEX('Both teabags AfterDry'!$D$3:$D$900,MATCH(J671,'Both teabags AfterDry'!$A$3:$A$900,0)),"")))</f>
        <v/>
      </c>
      <c r="P671" s="267" t="str">
        <f>IFERROR(IF(O671&gt;0,O671-(TBIcalc!$Q$9),""),"")</f>
        <v/>
      </c>
      <c r="Q671" s="278" t="str">
        <f>IFERROR(INDEX('Ashed teabags dry'!$K$2:$K$825,MATCH(J671,'Ashed teabags dry'!$A$2:$A$825,0)),"")</f>
        <v/>
      </c>
      <c r="R671" s="278" t="str">
        <f t="shared" si="52"/>
        <v/>
      </c>
      <c r="S671" s="268">
        <f>'Dry_Litterbag Placem_Collection'!E12</f>
        <v>42938</v>
      </c>
      <c r="T671" s="268" t="str">
        <f>IF('Dry_Litterbag Placem_Collection'!G12="","",'Dry_Litterbag Placem_Collection'!G12)</f>
        <v/>
      </c>
      <c r="U671" s="269" t="str">
        <f t="shared" si="50"/>
        <v/>
      </c>
      <c r="V671" s="267" t="str">
        <f t="shared" si="53"/>
        <v/>
      </c>
      <c r="W671" s="267" t="str">
        <f t="shared" si="54"/>
        <v/>
      </c>
      <c r="X671" s="271" t="str">
        <f>IFERROR(INDEX(Rainfall_Dry!$O$2:$O$217,MATCH(B671, Rainfall_Dry!$A$2:$A$217,0)),"")</f>
        <v/>
      </c>
      <c r="Y671" s="260">
        <v>21.13063730679653</v>
      </c>
      <c r="Z671" s="260">
        <v>3.0912555579081076</v>
      </c>
      <c r="AA671" s="260">
        <v>75.778107135295357</v>
      </c>
      <c r="AB671" s="261" t="s">
        <v>2670</v>
      </c>
      <c r="AC671" s="260">
        <v>1.46131099063578</v>
      </c>
      <c r="AD671">
        <f>IF('WetLitterbags placem_collection'!AB12="","",'WetLitterbags placem_collection'!AB12)</f>
        <v>16.8</v>
      </c>
      <c r="AE671">
        <f>IF('WetLitterbags placem_collection'!Z12="","",'WetLitterbags placem_collection'!Z12)</f>
        <v>30</v>
      </c>
      <c r="AF671" s="24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71">
        <f>IFERROR(AVERAGE('Dry_Litterbag Placem_Collection'!N12,'Dry_Litterbag Placem_Collection'!Q12),"")</f>
        <v>26.1</v>
      </c>
      <c r="AJ671" s="270">
        <f>INDEX(Coordinates!$B$2:$B$197,MATCH(G671,Coordinates!$J$2:$J$197,0))</f>
        <v>-3.3978119869999999</v>
      </c>
      <c r="AK671" s="270">
        <f>INDEX(Coordinates!$C$2:$C$197,MATCH(G671,Coordinates!$J$2:$J$197,0))</f>
        <v>34.836968980000002</v>
      </c>
      <c r="AL671" s="270" t="str">
        <f>IF(ISNUMBER(SEARCH("C", 'Dry_Litterbag Placem_Collection'!V12)),"YES","NO")</f>
        <v>NO</v>
      </c>
      <c r="AM671" s="270" t="str">
        <f>IF(ISNUMBER(SEARCH("H", 'Dry_Litterbag Placem_Collection'!V12)),"YES","NO")</f>
        <v>NO</v>
      </c>
      <c r="AN671" s="270" t="str">
        <f>IF(ISNUMBER(SEARCH("R", 'Dry_Litterbag Placem_Collection'!V12)),"YES","NO")</f>
        <v>NO</v>
      </c>
    </row>
    <row r="672" spans="1:40" ht="15" customHeight="1">
      <c r="A672" s="262" t="s">
        <v>2659</v>
      </c>
      <c r="B672" s="263">
        <f>'Dry_Litterbag Placem_Collection'!A13</f>
        <v>11</v>
      </c>
      <c r="C672" s="263" t="str">
        <f>'Dry_Litterbag Placem_Collection'!B13</f>
        <v>Makao</v>
      </c>
      <c r="D672" s="263" t="s">
        <v>2659</v>
      </c>
      <c r="E672" s="263" t="s">
        <v>2660</v>
      </c>
      <c r="F672" s="263">
        <v>2</v>
      </c>
      <c r="G672" s="264" t="str">
        <f>'Dry_Litterbag Placem_Collection'!C13</f>
        <v>Dry_Ag2_T3</v>
      </c>
      <c r="H672" s="273" t="s">
        <v>3651</v>
      </c>
      <c r="I672" s="274" t="s">
        <v>298</v>
      </c>
      <c r="J672" s="263" t="str">
        <f>IF(ISBLANK('Dry_Litterbag Placem_Collection'!M13),"","R"&amp;""&amp;'Dry_Litterbag Placem_Collection'!M13)</f>
        <v>R616</v>
      </c>
      <c r="K672" s="267">
        <f>IFERROR(INDEX('Green_rooibos initial weight'!$C$5:$C$1749,MATCH(J672, 'Green_rooibos initial weight'!$A$5:$A$1749,0)),"")</f>
        <v>2.1739999999999999</v>
      </c>
      <c r="L672" s="267">
        <f>IFERROR(K672-(TBIcalc!$Q$9+TBIcalc!$Q$10),"")</f>
        <v>1.9241999999999999</v>
      </c>
      <c r="M672" s="391">
        <f>AVERAGE(Ashed_controlls!$K$12:$K$14)</f>
        <v>2.2816647271287041</v>
      </c>
      <c r="N672" s="267">
        <f t="shared" si="51"/>
        <v>1.8802962073205893</v>
      </c>
      <c r="O672" s="267">
        <f>IF(IFERROR(INDEX('Both teabags AfterDry'!$D$3:$D$900,MATCH(J672,'Both teabags AfterDry'!$A$3:$A$900,0)),"")="","",(IFERROR(INDEX('Both teabags AfterDry'!$D$3:$D$900,MATCH(J672,'Both teabags AfterDry'!$A$3:$A$900,0)),"")))</f>
        <v>1.9423999999999999</v>
      </c>
      <c r="P672" s="267">
        <f>IFERROR(IF(O672&gt;0,O672-(TBIcalc!$Q$9),""),"")</f>
        <v>1.7917999999999998</v>
      </c>
      <c r="Q672" s="278">
        <f>IFERROR(INDEX('Ashed teabags dry'!$K$2:$K$825,MATCH(J672,'Ashed teabags dry'!$A$2:$A$825,0)),"")</f>
        <v>2.5878906250002163</v>
      </c>
      <c r="R672" s="278">
        <f t="shared" si="52"/>
        <v>1.745430175781246</v>
      </c>
      <c r="S672" s="268">
        <f>'Dry_Litterbag Placem_Collection'!E13</f>
        <v>42938</v>
      </c>
      <c r="T672" s="268">
        <f>IF('Dry_Litterbag Placem_Collection'!G13="","",'Dry_Litterbag Placem_Collection'!G13)</f>
        <v>43007</v>
      </c>
      <c r="U672" s="269">
        <f t="shared" si="50"/>
        <v>69</v>
      </c>
      <c r="V672" s="267">
        <f t="shared" si="53"/>
        <v>0.13240000000000007</v>
      </c>
      <c r="W672" s="267">
        <f t="shared" si="54"/>
        <v>0.13486603153934329</v>
      </c>
      <c r="X672" s="271">
        <f>IFERROR(INDEX(Rainfall_Dry!$O$2:$O$217,MATCH(B672, Rainfall_Dry!$A$2:$A$217,0)),"")</f>
        <v>6.900000125</v>
      </c>
      <c r="Y672" s="260">
        <v>21.13063730679653</v>
      </c>
      <c r="Z672" s="260">
        <v>3.0912555579081076</v>
      </c>
      <c r="AA672" s="260">
        <v>75.778107135295357</v>
      </c>
      <c r="AB672" s="261" t="s">
        <v>2670</v>
      </c>
      <c r="AC672" s="260">
        <v>2.4613109906357802</v>
      </c>
      <c r="AD672">
        <f>IF('WetLitterbags placem_collection'!AB13="","",'WetLitterbags placem_collection'!AB13)</f>
        <v>11.4</v>
      </c>
      <c r="AE672">
        <f>IF('WetLitterbags placem_collection'!Z13="","",'WetLitterbags placem_collection'!Z13)</f>
        <v>24.4</v>
      </c>
      <c r="AF672" s="24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71">
        <f>IFERROR(AVERAGE('Dry_Litterbag Placem_Collection'!N13,'Dry_Litterbag Placem_Collection'!Q13),"")</f>
        <v>26.450000000000003</v>
      </c>
      <c r="AJ672" s="270">
        <f>INDEX(Coordinates!$B$2:$B$197,MATCH(G672,Coordinates!$J$2:$J$197,0))</f>
        <v>-3.3977929599999999</v>
      </c>
      <c r="AK672" s="270">
        <f>INDEX(Coordinates!$C$2:$C$197,MATCH(G672,Coordinates!$J$2:$J$197,0))</f>
        <v>34.837102999999999</v>
      </c>
      <c r="AL672" s="270" t="str">
        <f>IF(ISNUMBER(SEARCH("C", 'Dry_Litterbag Placem_Collection'!V13)),"YES","NO")</f>
        <v>NO</v>
      </c>
      <c r="AM672" s="270" t="str">
        <f>IF(ISNUMBER(SEARCH("H", 'Dry_Litterbag Placem_Collection'!V13)),"YES","NO")</f>
        <v>NO</v>
      </c>
      <c r="AN672" s="270" t="str">
        <f>IF(ISNUMBER(SEARCH("R", 'Dry_Litterbag Placem_Collection'!V13)),"YES","NO")</f>
        <v>NO</v>
      </c>
    </row>
    <row r="673" spans="1:40" ht="15" customHeight="1">
      <c r="A673" s="262" t="s">
        <v>2659</v>
      </c>
      <c r="B673" s="263">
        <f>'Dry_Litterbag Placem_Collection'!A14</f>
        <v>12</v>
      </c>
      <c r="C673" s="263" t="str">
        <f>'Dry_Litterbag Placem_Collection'!B14</f>
        <v>Makao</v>
      </c>
      <c r="D673" s="263" t="s">
        <v>2659</v>
      </c>
      <c r="E673" s="263" t="s">
        <v>2660</v>
      </c>
      <c r="F673" s="263">
        <v>2</v>
      </c>
      <c r="G673" s="264" t="str">
        <f>'Dry_Litterbag Placem_Collection'!C14</f>
        <v>Dry_Ag2_T4</v>
      </c>
      <c r="H673" s="273" t="s">
        <v>3651</v>
      </c>
      <c r="I673" s="274" t="s">
        <v>298</v>
      </c>
      <c r="J673" s="263" t="str">
        <f>IF(ISBLANK('Dry_Litterbag Placem_Collection'!M14),"","R"&amp;""&amp;'Dry_Litterbag Placem_Collection'!M14)</f>
        <v/>
      </c>
      <c r="K673" s="267" t="str">
        <f>IFERROR(INDEX('Green_rooibos initial weight'!$C$5:$C$1749,MATCH(J673, 'Green_rooibos initial weight'!$A$5:$A$1749,0)),"")</f>
        <v/>
      </c>
      <c r="L673" s="267" t="str">
        <f>IFERROR(K673-(TBIcalc!$Q$9+TBIcalc!$Q$10),"")</f>
        <v/>
      </c>
      <c r="M673" s="391">
        <f>AVERAGE(Ashed_controlls!$K$12:$K$14)</f>
        <v>2.2816647271287041</v>
      </c>
      <c r="N673" s="267" t="str">
        <f t="shared" si="51"/>
        <v/>
      </c>
      <c r="O673" s="267" t="str">
        <f>IF(IFERROR(INDEX('Both teabags AfterDry'!$D$3:$D$900,MATCH(J673,'Both teabags AfterDry'!$A$3:$A$900,0)),"")="","",(IFERROR(INDEX('Both teabags AfterDry'!$D$3:$D$900,MATCH(J673,'Both teabags AfterDry'!$A$3:$A$900,0)),"")))</f>
        <v/>
      </c>
      <c r="P673" s="267" t="str">
        <f>IFERROR(IF(O673&gt;0,O673-(TBIcalc!$Q$9),""),"")</f>
        <v/>
      </c>
      <c r="Q673" s="278" t="str">
        <f>IFERROR(INDEX('Ashed teabags dry'!$K$2:$K$825,MATCH(J673,'Ashed teabags dry'!$A$2:$A$825,0)),"")</f>
        <v/>
      </c>
      <c r="R673" s="278" t="str">
        <f t="shared" si="52"/>
        <v/>
      </c>
      <c r="S673" s="268">
        <f>'Dry_Litterbag Placem_Collection'!E14</f>
        <v>0</v>
      </c>
      <c r="T673" s="268" t="str">
        <f>IF('Dry_Litterbag Placem_Collection'!G14="","",'Dry_Litterbag Placem_Collection'!G14)</f>
        <v/>
      </c>
      <c r="U673" s="269" t="str">
        <f t="shared" si="50"/>
        <v/>
      </c>
      <c r="V673" s="267" t="str">
        <f t="shared" si="53"/>
        <v/>
      </c>
      <c r="W673" s="267" t="str">
        <f t="shared" si="54"/>
        <v/>
      </c>
      <c r="X673" s="271" t="str">
        <f>IFERROR(INDEX(Rainfall_Dry!$O$2:$O$217,MATCH(B673, Rainfall_Dry!$A$2:$A$217,0)),"")</f>
        <v/>
      </c>
      <c r="Y673" s="260">
        <v>21.13063730679653</v>
      </c>
      <c r="Z673" s="260">
        <v>3.0912555579081076</v>
      </c>
      <c r="AA673" s="260">
        <v>75.778107135295357</v>
      </c>
      <c r="AB673" s="261" t="s">
        <v>2670</v>
      </c>
      <c r="AC673" s="260">
        <v>3.4613109906357802</v>
      </c>
      <c r="AD673" t="str">
        <f>IF('WetLitterbags placem_collection'!AB14="","",'WetLitterbags placem_collection'!AB14)</f>
        <v/>
      </c>
      <c r="AE673" t="str">
        <f>IF('WetLitterbags placem_collection'!Z14="","",'WetLitterbags placem_collection'!Z14)</f>
        <v/>
      </c>
      <c r="AF673" s="24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71" t="str">
        <f>IFERROR(AVERAGE('Dry_Litterbag Placem_Collection'!N14,'Dry_Litterbag Placem_Collection'!Q14),"")</f>
        <v/>
      </c>
      <c r="AJ673" s="270">
        <f>INDEX(Coordinates!$B$2:$B$197,MATCH(G673,Coordinates!$J$2:$J$197,0))</f>
        <v>-3.3979050260000001</v>
      </c>
      <c r="AK673" s="270">
        <f>INDEX(Coordinates!$C$2:$C$197,MATCH(G673,Coordinates!$J$2:$J$197,0))</f>
        <v>34.837123030000001</v>
      </c>
      <c r="AL673" s="270" t="str">
        <f>IF(ISNUMBER(SEARCH("C", 'Dry_Litterbag Placem_Collection'!V14)),"YES","NO")</f>
        <v>NO</v>
      </c>
      <c r="AM673" s="270" t="str">
        <f>IF(ISNUMBER(SEARCH("H", 'Dry_Litterbag Placem_Collection'!V14)),"YES","NO")</f>
        <v>NO</v>
      </c>
      <c r="AN673" s="270" t="str">
        <f>IF(ISNUMBER(SEARCH("R", 'Dry_Litterbag Placem_Collection'!V14)),"YES","NO")</f>
        <v>NO</v>
      </c>
    </row>
    <row r="674" spans="1:40" ht="15" customHeight="1">
      <c r="A674" s="262" t="s">
        <v>2659</v>
      </c>
      <c r="B674" s="263">
        <f>'Dry_Litterbag Placem_Collection'!A15</f>
        <v>13</v>
      </c>
      <c r="C674" s="263" t="str">
        <f>'Dry_Litterbag Placem_Collection'!B15</f>
        <v>Makao</v>
      </c>
      <c r="D674" s="263" t="s">
        <v>2659</v>
      </c>
      <c r="E674" s="263" t="s">
        <v>2660</v>
      </c>
      <c r="F674" s="263">
        <v>2</v>
      </c>
      <c r="G674" s="264" t="str">
        <f>'Dry_Litterbag Placem_Collection'!C15</f>
        <v>Dry_Ag2_T5</v>
      </c>
      <c r="H674" s="273" t="s">
        <v>3651</v>
      </c>
      <c r="I674" s="274" t="s">
        <v>298</v>
      </c>
      <c r="J674" s="263" t="str">
        <f>IF(ISBLANK('Dry_Litterbag Placem_Collection'!M15),"","R"&amp;""&amp;'Dry_Litterbag Placem_Collection'!M15)</f>
        <v>R603</v>
      </c>
      <c r="K674" s="267">
        <f>IFERROR(INDEX('Green_rooibos initial weight'!$C$5:$C$1749,MATCH(J674, 'Green_rooibos initial weight'!$A$5:$A$1749,0)),"")</f>
        <v>2.1440000000000001</v>
      </c>
      <c r="L674" s="267">
        <f>IFERROR(K674-(TBIcalc!$Q$9+TBIcalc!$Q$10),"")</f>
        <v>1.8942000000000001</v>
      </c>
      <c r="M674" s="391">
        <f>AVERAGE(Ashed_controlls!$K$12:$K$14)</f>
        <v>2.2816647271287041</v>
      </c>
      <c r="N674" s="267">
        <f t="shared" si="51"/>
        <v>1.8509807067387283</v>
      </c>
      <c r="O674" s="267">
        <f>IF(IFERROR(INDEX('Both teabags AfterDry'!$D$3:$D$900,MATCH(J674,'Both teabags AfterDry'!$A$3:$A$900,0)),"")="","",(IFERROR(INDEX('Both teabags AfterDry'!$D$3:$D$900,MATCH(J674,'Both teabags AfterDry'!$A$3:$A$900,0)),"")))</f>
        <v>1.9094</v>
      </c>
      <c r="P674" s="267">
        <f>IFERROR(IF(O674&gt;0,O674-(TBIcalc!$Q$9),""),"")</f>
        <v>1.7587999999999999</v>
      </c>
      <c r="Q674" s="278">
        <f>IFERROR(INDEX('Ashed teabags dry'!$K$2:$K$825,MATCH(J674,'Ashed teabags dry'!$A$2:$A$825,0)),"")</f>
        <v>3.2763532763534955</v>
      </c>
      <c r="R674" s="278">
        <f t="shared" si="52"/>
        <v>1.7011754985754945</v>
      </c>
      <c r="S674" s="268">
        <f>'Dry_Litterbag Placem_Collection'!E15</f>
        <v>42938</v>
      </c>
      <c r="T674" s="268">
        <f>IF('Dry_Litterbag Placem_Collection'!G15="","",'Dry_Litterbag Placem_Collection'!G15)</f>
        <v>43007</v>
      </c>
      <c r="U674" s="269">
        <f t="shared" si="50"/>
        <v>69</v>
      </c>
      <c r="V674" s="267">
        <f t="shared" si="53"/>
        <v>0.13540000000000019</v>
      </c>
      <c r="W674" s="267">
        <f t="shared" si="54"/>
        <v>0.14980520816323373</v>
      </c>
      <c r="X674" s="271">
        <f>IFERROR(INDEX(Rainfall_Dry!$O$2:$O$217,MATCH(B674, Rainfall_Dry!$A$2:$A$217,0)),"")</f>
        <v>6.900000125</v>
      </c>
      <c r="Y674" s="260">
        <v>21.13063730679653</v>
      </c>
      <c r="Z674" s="260">
        <v>3.0912555579081076</v>
      </c>
      <c r="AA674" s="260">
        <v>75.778107135295357</v>
      </c>
      <c r="AB674" s="261" t="s">
        <v>2670</v>
      </c>
      <c r="AC674" s="260">
        <v>4.4613109906357797</v>
      </c>
      <c r="AD674">
        <f>IF('WetLitterbags placem_collection'!AB15="","",'WetLitterbags placem_collection'!AB15)</f>
        <v>11.4</v>
      </c>
      <c r="AE674">
        <f>IF('WetLitterbags placem_collection'!Z15="","",'WetLitterbags placem_collection'!Z15)</f>
        <v>31</v>
      </c>
      <c r="AF674" s="24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71">
        <f>IFERROR(AVERAGE('Dry_Litterbag Placem_Collection'!N15,'Dry_Litterbag Placem_Collection'!Q15),"")</f>
        <v>26.1</v>
      </c>
      <c r="AJ674" s="270">
        <f>INDEX(Coordinates!$B$2:$B$197,MATCH(G674,Coordinates!$J$2:$J$197,0))</f>
        <v>-3.3979040199999999</v>
      </c>
      <c r="AK674" s="270">
        <f>INDEX(Coordinates!$C$2:$C$197,MATCH(G674,Coordinates!$J$2:$J$197,0))</f>
        <v>34.837027980000002</v>
      </c>
      <c r="AL674" s="270" t="str">
        <f>IF(ISNUMBER(SEARCH("C", 'Dry_Litterbag Placem_Collection'!V15)),"YES","NO")</f>
        <v>NO</v>
      </c>
      <c r="AM674" s="270" t="str">
        <f>IF(ISNUMBER(SEARCH("H", 'Dry_Litterbag Placem_Collection'!V15)),"YES","NO")</f>
        <v>NO</v>
      </c>
      <c r="AN674" s="270" t="str">
        <f>IF(ISNUMBER(SEARCH("R", 'Dry_Litterbag Placem_Collection'!V15)),"YES","NO")</f>
        <v>NO</v>
      </c>
    </row>
    <row r="675" spans="1:40" ht="15" customHeight="1">
      <c r="A675" s="262" t="s">
        <v>2659</v>
      </c>
      <c r="B675" s="263">
        <f>'Dry_Litterbag Placem_Collection'!A16</f>
        <v>14</v>
      </c>
      <c r="C675" s="263" t="str">
        <f>'Dry_Litterbag Placem_Collection'!B16</f>
        <v>Makao</v>
      </c>
      <c r="D675" s="263" t="s">
        <v>2659</v>
      </c>
      <c r="E675" s="263" t="s">
        <v>2660</v>
      </c>
      <c r="F675" s="263">
        <v>2</v>
      </c>
      <c r="G675" s="264" t="str">
        <f>'Dry_Litterbag Placem_Collection'!C16</f>
        <v>Dry_Ag2_T6</v>
      </c>
      <c r="H675" s="273" t="s">
        <v>3651</v>
      </c>
      <c r="I675" s="274" t="s">
        <v>298</v>
      </c>
      <c r="J675" s="263" t="str">
        <f>IF(ISBLANK('Dry_Litterbag Placem_Collection'!M16),"","R"&amp;""&amp;'Dry_Litterbag Placem_Collection'!M16)</f>
        <v>R652</v>
      </c>
      <c r="K675" s="267">
        <f>IFERROR(INDEX('Green_rooibos initial weight'!$C$5:$C$1749,MATCH(J675, 'Green_rooibos initial weight'!$A$5:$A$1749,0)),"")</f>
        <v>2.2090000000000001</v>
      </c>
      <c r="L675" s="267">
        <f>IFERROR(K675-(TBIcalc!$Q$9+TBIcalc!$Q$10),"")</f>
        <v>1.9592000000000001</v>
      </c>
      <c r="M675" s="391">
        <f>AVERAGE(Ashed_controlls!$K$12:$K$14)</f>
        <v>2.2816647271287041</v>
      </c>
      <c r="N675" s="267">
        <f t="shared" si="51"/>
        <v>1.9144976246660945</v>
      </c>
      <c r="O675" s="267">
        <f>IF(IFERROR(INDEX('Both teabags AfterDry'!$D$3:$D$900,MATCH(J675,'Both teabags AfterDry'!$A$3:$A$900,0)),"")="","",(IFERROR(INDEX('Both teabags AfterDry'!$D$3:$D$900,MATCH(J675,'Both teabags AfterDry'!$A$3:$A$900,0)),"")))</f>
        <v>1.9245000000000001</v>
      </c>
      <c r="P675" s="267">
        <f>IFERROR(IF(O675&gt;0,O675-(TBIcalc!$Q$9),""),"")</f>
        <v>1.7739</v>
      </c>
      <c r="Q675" s="278">
        <f>IFERROR(INDEX('Ashed teabags dry'!$K$2:$K$825,MATCH(J675,'Ashed teabags dry'!$A$2:$A$825,0)),"")</f>
        <v>2.5664115263402163</v>
      </c>
      <c r="R675" s="278">
        <f t="shared" si="52"/>
        <v>1.7283744259342508</v>
      </c>
      <c r="S675" s="268">
        <f>'Dry_Litterbag Placem_Collection'!E16</f>
        <v>42938</v>
      </c>
      <c r="T675" s="268">
        <f>IF('Dry_Litterbag Placem_Collection'!G16="","",'Dry_Litterbag Placem_Collection'!G16)</f>
        <v>43007</v>
      </c>
      <c r="U675" s="269">
        <f t="shared" si="50"/>
        <v>69</v>
      </c>
      <c r="V675" s="267">
        <f t="shared" si="53"/>
        <v>0.18530000000000002</v>
      </c>
      <c r="W675" s="267">
        <f t="shared" si="54"/>
        <v>0.18612319873184369</v>
      </c>
      <c r="X675" s="271">
        <f>IFERROR(INDEX(Rainfall_Dry!$O$2:$O$217,MATCH(B675, Rainfall_Dry!$A$2:$A$217,0)),"")</f>
        <v>6.900000125</v>
      </c>
      <c r="Y675" s="260">
        <v>21.13063730679653</v>
      </c>
      <c r="Z675" s="260">
        <v>3.0912555579081076</v>
      </c>
      <c r="AA675" s="260">
        <v>75.778107135295357</v>
      </c>
      <c r="AB675" s="261" t="s">
        <v>2670</v>
      </c>
      <c r="AC675" s="260">
        <v>5.4613109906357797</v>
      </c>
      <c r="AD675">
        <f>IF('WetLitterbags placem_collection'!AB16="","",'WetLitterbags placem_collection'!AB16)</f>
        <v>28.4</v>
      </c>
      <c r="AE675">
        <f>IF('WetLitterbags placem_collection'!Z16="","",'WetLitterbags placem_collection'!Z16)</f>
        <v>42.4</v>
      </c>
      <c r="AF675" s="24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71">
        <f>IFERROR(AVERAGE('Dry_Litterbag Placem_Collection'!N16,'Dry_Litterbag Placem_Collection'!Q16),"")</f>
        <v>25.55</v>
      </c>
      <c r="AJ675" s="270">
        <f>INDEX(Coordinates!$B$2:$B$197,MATCH(G675,Coordinates!$J$2:$J$197,0))</f>
        <v>-3.397854986</v>
      </c>
      <c r="AK675" s="270">
        <f>INDEX(Coordinates!$C$2:$C$197,MATCH(G675,Coordinates!$J$2:$J$197,0))</f>
        <v>34.836874010000002</v>
      </c>
      <c r="AL675" s="270" t="str">
        <f>IF(ISNUMBER(SEARCH("C", 'Dry_Litterbag Placem_Collection'!V16)),"YES","NO")</f>
        <v>NO</v>
      </c>
      <c r="AM675" s="270" t="str">
        <f>IF(ISNUMBER(SEARCH("H", 'Dry_Litterbag Placem_Collection'!V16)),"YES","NO")</f>
        <v>NO</v>
      </c>
      <c r="AN675" s="270" t="str">
        <f>IF(ISNUMBER(SEARCH("R", 'Dry_Litterbag Placem_Collection'!V16)),"YES","NO")</f>
        <v>NO</v>
      </c>
    </row>
    <row r="676" spans="1:40" ht="15" customHeight="1">
      <c r="A676" s="262" t="s">
        <v>2659</v>
      </c>
      <c r="B676" s="263">
        <f>'Dry_Litterbag Placem_Collection'!A17</f>
        <v>15</v>
      </c>
      <c r="C676" s="263" t="str">
        <f>'Dry_Litterbag Placem_Collection'!B17</f>
        <v>Makao</v>
      </c>
      <c r="D676" s="263" t="s">
        <v>2659</v>
      </c>
      <c r="E676" s="263" t="s">
        <v>2660</v>
      </c>
      <c r="F676" s="263">
        <v>2</v>
      </c>
      <c r="G676" s="264" t="str">
        <f>'Dry_Litterbag Placem_Collection'!C17</f>
        <v>Dry_Ag2_T7</v>
      </c>
      <c r="H676" s="273" t="s">
        <v>3651</v>
      </c>
      <c r="I676" s="274" t="s">
        <v>298</v>
      </c>
      <c r="J676" s="263" t="str">
        <f>IF(ISBLANK('Dry_Litterbag Placem_Collection'!M17),"","R"&amp;""&amp;'Dry_Litterbag Placem_Collection'!M17)</f>
        <v>R304</v>
      </c>
      <c r="K676" s="267">
        <f>IFERROR(INDEX('Green_rooibos initial weight'!$C$5:$C$1749,MATCH(J676, 'Green_rooibos initial weight'!$A$5:$A$1749,0)),"")</f>
        <v>2.1930000000000001</v>
      </c>
      <c r="L676" s="267">
        <f>IFERROR(K676-(TBIcalc!$Q$9+TBIcalc!$Q$10),"")</f>
        <v>1.9432</v>
      </c>
      <c r="M676" s="391">
        <f>AVERAGE(Ashed_controlls!$K$12:$K$14)</f>
        <v>2.2816647271287041</v>
      </c>
      <c r="N676" s="267">
        <f t="shared" si="51"/>
        <v>1.8988626910224351</v>
      </c>
      <c r="O676" s="267">
        <f>IF(IFERROR(INDEX('Both teabags AfterDry'!$D$3:$D$900,MATCH(J676,'Both teabags AfterDry'!$A$3:$A$900,0)),"")="","",(IFERROR(INDEX('Both teabags AfterDry'!$D$3:$D$900,MATCH(J676,'Both teabags AfterDry'!$A$3:$A$900,0)),"")))</f>
        <v>1.8989</v>
      </c>
      <c r="P676" s="267">
        <f>IFERROR(IF(O676&gt;0,O676-(TBIcalc!$Q$9),""),"")</f>
        <v>1.7483</v>
      </c>
      <c r="Q676" s="278">
        <f>IFERROR(INDEX('Ashed teabags dry'!$K$2:$K$825,MATCH(J676,'Ashed teabags dry'!$A$2:$A$825,0)),"")</f>
        <v>3.0414746543770974</v>
      </c>
      <c r="R676" s="278">
        <f t="shared" si="52"/>
        <v>1.6951258986175253</v>
      </c>
      <c r="S676" s="268">
        <f>'Dry_Litterbag Placem_Collection'!E17</f>
        <v>42938</v>
      </c>
      <c r="T676" s="268">
        <f>IF('Dry_Litterbag Placem_Collection'!G17="","",'Dry_Litterbag Placem_Collection'!G17)</f>
        <v>43007</v>
      </c>
      <c r="U676" s="269">
        <f t="shared" si="50"/>
        <v>69</v>
      </c>
      <c r="V676" s="267">
        <f t="shared" si="53"/>
        <v>0.19490000000000007</v>
      </c>
      <c r="W676" s="267">
        <f t="shared" si="54"/>
        <v>0.20373679240490983</v>
      </c>
      <c r="X676" s="271">
        <f>IFERROR(INDEX(Rainfall_Dry!$O$2:$O$217,MATCH(B676, Rainfall_Dry!$A$2:$A$217,0)),"")</f>
        <v>6.900000125</v>
      </c>
      <c r="Y676" s="260">
        <v>21.13063730679653</v>
      </c>
      <c r="Z676" s="260">
        <v>3.0912555579081076</v>
      </c>
      <c r="AA676" s="260">
        <v>75.778107135295357</v>
      </c>
      <c r="AB676" s="261" t="s">
        <v>2670</v>
      </c>
      <c r="AC676" s="260">
        <v>6.4613109906357797</v>
      </c>
      <c r="AD676">
        <f>IF('WetLitterbags placem_collection'!AB17="","",'WetLitterbags placem_collection'!AB17)</f>
        <v>15.8</v>
      </c>
      <c r="AE676">
        <f>IF('WetLitterbags placem_collection'!Z17="","",'WetLitterbags placem_collection'!Z17)</f>
        <v>30.4</v>
      </c>
      <c r="AF676" s="24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71">
        <f>IFERROR(AVERAGE('Dry_Litterbag Placem_Collection'!N17,'Dry_Litterbag Placem_Collection'!Q17),"")</f>
        <v>28</v>
      </c>
      <c r="AJ676" s="270">
        <f>INDEX(Coordinates!$B$2:$B$197,MATCH(G676,Coordinates!$J$2:$J$197,0))</f>
        <v>-3.3978060349999999</v>
      </c>
      <c r="AK676" s="270">
        <f>INDEX(Coordinates!$C$2:$C$197,MATCH(G676,Coordinates!$J$2:$J$197,0))</f>
        <v>34.837023960000003</v>
      </c>
      <c r="AL676" s="270" t="str">
        <f>IF(ISNUMBER(SEARCH("C", 'Dry_Litterbag Placem_Collection'!V17)),"YES","NO")</f>
        <v>NO</v>
      </c>
      <c r="AM676" s="270" t="str">
        <f>IF(ISNUMBER(SEARCH("H", 'Dry_Litterbag Placem_Collection'!V17)),"YES","NO")</f>
        <v>NO</v>
      </c>
      <c r="AN676" s="270" t="str">
        <f>IF(ISNUMBER(SEARCH("R", 'Dry_Litterbag Placem_Collection'!V17)),"YES","NO")</f>
        <v>NO</v>
      </c>
    </row>
    <row r="677" spans="1:40" ht="15" customHeight="1">
      <c r="A677" s="262" t="s">
        <v>2659</v>
      </c>
      <c r="B677" s="263">
        <f>'Dry_Litterbag Placem_Collection'!A18</f>
        <v>16</v>
      </c>
      <c r="C677" s="263" t="str">
        <f>'Dry_Litterbag Placem_Collection'!B18</f>
        <v>Makao</v>
      </c>
      <c r="D677" s="263" t="s">
        <v>2659</v>
      </c>
      <c r="E677" s="263" t="s">
        <v>2660</v>
      </c>
      <c r="F677" s="263">
        <v>2</v>
      </c>
      <c r="G677" s="264" t="str">
        <f>'Dry_Litterbag Placem_Collection'!C18</f>
        <v>Dry_Ag2_T8</v>
      </c>
      <c r="H677" s="273" t="s">
        <v>3651</v>
      </c>
      <c r="I677" s="274" t="s">
        <v>298</v>
      </c>
      <c r="J677" s="263" t="str">
        <f>IF(ISBLANK('Dry_Litterbag Placem_Collection'!M18),"","R"&amp;""&amp;'Dry_Litterbag Placem_Collection'!M18)</f>
        <v>R687</v>
      </c>
      <c r="K677" s="267">
        <f>IFERROR(INDEX('Green_rooibos initial weight'!$C$5:$C$1749,MATCH(J677, 'Green_rooibos initial weight'!$A$5:$A$1749,0)),"")</f>
        <v>2.2029999999999998</v>
      </c>
      <c r="L677" s="267">
        <f>IFERROR(K677-(TBIcalc!$Q$9+TBIcalc!$Q$10),"")</f>
        <v>1.9531999999999998</v>
      </c>
      <c r="M677" s="391">
        <f>AVERAGE(Ashed_controlls!$K$12:$K$14)</f>
        <v>2.2816647271287041</v>
      </c>
      <c r="N677" s="267">
        <f t="shared" si="51"/>
        <v>1.908634524549722</v>
      </c>
      <c r="O677" s="267" t="str">
        <f>IF(IFERROR(INDEX('Both teabags AfterDry'!$D$3:$D$900,MATCH(J677,'Both teabags AfterDry'!$A$3:$A$900,0)),"")="","",(IFERROR(INDEX('Both teabags AfterDry'!$D$3:$D$900,MATCH(J677,'Both teabags AfterDry'!$A$3:$A$900,0)),"")))</f>
        <v/>
      </c>
      <c r="P677" s="267" t="str">
        <f>IFERROR(IF(O677&gt;0,O677-(TBIcalc!$Q$9),""),"")</f>
        <v/>
      </c>
      <c r="Q677" s="278" t="str">
        <f>IFERROR(INDEX('Ashed teabags dry'!$K$2:$K$825,MATCH(J677,'Ashed teabags dry'!$A$2:$A$825,0)),"")</f>
        <v/>
      </c>
      <c r="R677" s="278" t="str">
        <f t="shared" si="52"/>
        <v/>
      </c>
      <c r="S677" s="268">
        <f>'Dry_Litterbag Placem_Collection'!E18</f>
        <v>42938</v>
      </c>
      <c r="T677" s="268">
        <f>IF('Dry_Litterbag Placem_Collection'!G18="","",'Dry_Litterbag Placem_Collection'!G18)</f>
        <v>43007</v>
      </c>
      <c r="U677" s="269">
        <f t="shared" si="50"/>
        <v>69</v>
      </c>
      <c r="V677" s="267" t="str">
        <f t="shared" si="53"/>
        <v/>
      </c>
      <c r="W677" s="267" t="str">
        <f t="shared" si="54"/>
        <v/>
      </c>
      <c r="X677" s="271">
        <f>IFERROR(INDEX(Rainfall_Dry!$O$2:$O$217,MATCH(B677, Rainfall_Dry!$A$2:$A$217,0)),"")</f>
        <v>6.900000125</v>
      </c>
      <c r="Y677" s="260">
        <v>21.13063730679653</v>
      </c>
      <c r="Z677" s="260">
        <v>3.0912555579081076</v>
      </c>
      <c r="AA677" s="260">
        <v>75.778107135295357</v>
      </c>
      <c r="AB677" s="261" t="s">
        <v>2670</v>
      </c>
      <c r="AC677" s="260">
        <v>7.4613109906357797</v>
      </c>
      <c r="AD677">
        <f>IF('WetLitterbags placem_collection'!AB18="","",'WetLitterbags placem_collection'!AB18)</f>
        <v>8</v>
      </c>
      <c r="AE677">
        <f>IF('WetLitterbags placem_collection'!Z18="","",'WetLitterbags placem_collection'!Z18)</f>
        <v>12.4</v>
      </c>
      <c r="AF677" s="24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71">
        <f>IFERROR(AVERAGE('Dry_Litterbag Placem_Collection'!N18,'Dry_Litterbag Placem_Collection'!Q18),"")</f>
        <v>27.049999999999997</v>
      </c>
      <c r="AJ677" s="270">
        <f>INDEX(Coordinates!$B$2:$B$197,MATCH(G677,Coordinates!$J$2:$J$197,0))</f>
        <v>-3.3977669760000002</v>
      </c>
      <c r="AK677" s="270">
        <f>INDEX(Coordinates!$C$2:$C$197,MATCH(G677,Coordinates!$J$2:$J$197,0))</f>
        <v>34.837181039999997</v>
      </c>
      <c r="AL677" s="270" t="str">
        <f>IF(ISNUMBER(SEARCH("C", 'Dry_Litterbag Placem_Collection'!V18)),"YES","NO")</f>
        <v>NO</v>
      </c>
      <c r="AM677" s="270" t="str">
        <f>IF(ISNUMBER(SEARCH("H", 'Dry_Litterbag Placem_Collection'!V18)),"YES","NO")</f>
        <v>NO</v>
      </c>
      <c r="AN677" s="270" t="str">
        <f>IF(ISNUMBER(SEARCH("R", 'Dry_Litterbag Placem_Collection'!V18)),"YES","NO")</f>
        <v>NO</v>
      </c>
    </row>
    <row r="678" spans="1:40" ht="15" customHeight="1">
      <c r="A678" s="262" t="s">
        <v>2659</v>
      </c>
      <c r="B678" s="263">
        <f>'Dry_Litterbag Placem_Collection'!A19</f>
        <v>17</v>
      </c>
      <c r="C678" s="263" t="str">
        <f>'Dry_Litterbag Placem_Collection'!B19</f>
        <v>Makao</v>
      </c>
      <c r="D678" s="263" t="s">
        <v>2659</v>
      </c>
      <c r="E678" s="263" t="s">
        <v>2660</v>
      </c>
      <c r="F678" s="263">
        <v>3</v>
      </c>
      <c r="G678" s="264" t="str">
        <f>'Dry_Litterbag Placem_Collection'!C19</f>
        <v>Dry_Ag3_T1</v>
      </c>
      <c r="H678" s="273" t="s">
        <v>3651</v>
      </c>
      <c r="I678" s="274" t="s">
        <v>298</v>
      </c>
      <c r="J678" s="263" t="str">
        <f>IF(ISBLANK('Dry_Litterbag Placem_Collection'!M19),"","R"&amp;""&amp;'Dry_Litterbag Placem_Collection'!M19)</f>
        <v>R407</v>
      </c>
      <c r="K678" s="267">
        <f>IFERROR(INDEX('Green_rooibos initial weight'!$C$5:$C$1749,MATCH(J678, 'Green_rooibos initial weight'!$A$5:$A$1749,0)),"")</f>
        <v>2.1859999999999999</v>
      </c>
      <c r="L678" s="267">
        <f>IFERROR(K678-(TBIcalc!$Q$9+TBIcalc!$Q$10),"")</f>
        <v>1.9361999999999999</v>
      </c>
      <c r="M678" s="391">
        <f>AVERAGE(Ashed_controlls!$K$12:$K$14)</f>
        <v>2.2816647271287041</v>
      </c>
      <c r="N678" s="267">
        <f t="shared" si="51"/>
        <v>1.8920224075533341</v>
      </c>
      <c r="O678" s="267">
        <f>IF(IFERROR(INDEX('Both teabags AfterDry'!$D$3:$D$900,MATCH(J678,'Both teabags AfterDry'!$A$3:$A$900,0)),"")="","",(IFERROR(INDEX('Both teabags AfterDry'!$D$3:$D$900,MATCH(J678,'Both teabags AfterDry'!$A$3:$A$900,0)),"")))</f>
        <v>2.0062000000000002</v>
      </c>
      <c r="P678" s="267">
        <f>IFERROR(IF(O678&gt;0,O678-(TBIcalc!$Q$9),""),"")</f>
        <v>1.8556000000000001</v>
      </c>
      <c r="Q678" s="278">
        <f>IFERROR(INDEX('Ashed teabags dry'!$K$2:$K$825,MATCH(J678,'Ashed teabags dry'!$A$2:$A$825,0)),"")</f>
        <v>2.9004329004331213</v>
      </c>
      <c r="R678" s="278">
        <f t="shared" si="52"/>
        <v>1.8017795670995631</v>
      </c>
      <c r="S678" s="268">
        <f>'Dry_Litterbag Placem_Collection'!E19</f>
        <v>42936</v>
      </c>
      <c r="T678" s="268">
        <f>IF('Dry_Litterbag Placem_Collection'!G19="","",'Dry_Litterbag Placem_Collection'!G19)</f>
        <v>43007</v>
      </c>
      <c r="U678" s="269">
        <f t="shared" si="50"/>
        <v>71</v>
      </c>
      <c r="V678" s="267">
        <f t="shared" si="53"/>
        <v>8.0599999999999783E-2</v>
      </c>
      <c r="W678" s="267">
        <f t="shared" si="54"/>
        <v>9.0242840453770956E-2</v>
      </c>
      <c r="X678" s="271">
        <f>IFERROR(INDEX(Rainfall_Dry!$O$2:$O$217,MATCH(B678, Rainfall_Dry!$A$2:$A$217,0)),"")</f>
        <v>6.900000125</v>
      </c>
      <c r="Y678" s="260">
        <v>54.080969906906262</v>
      </c>
      <c r="Z678" s="260">
        <v>21.264484651351896</v>
      </c>
      <c r="AA678" s="260">
        <v>24.654545441741845</v>
      </c>
      <c r="AB678" s="261" t="s">
        <v>2673</v>
      </c>
      <c r="AC678" s="260">
        <v>1.8433218334154755</v>
      </c>
      <c r="AD678" t="str">
        <f>IF('WetLitterbags placem_collection'!AB19="","",'WetLitterbags placem_collection'!AB19)</f>
        <v/>
      </c>
      <c r="AE678" t="str">
        <f>IF('WetLitterbags placem_collection'!Z19="","",'WetLitterbags placem_collection'!Z19)</f>
        <v/>
      </c>
      <c r="AF678" s="24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71">
        <f>IFERROR(AVERAGE('Dry_Litterbag Placem_Collection'!N19,'Dry_Litterbag Placem_Collection'!Q19),"")</f>
        <v>26.2</v>
      </c>
      <c r="AJ678" s="270">
        <f>INDEX(Coordinates!$B$2:$B$197,MATCH(G678,Coordinates!$J$2:$J$197,0))</f>
        <v>-3.3854090330000002</v>
      </c>
      <c r="AK678" s="270">
        <f>INDEX(Coordinates!$C$2:$C$197,MATCH(G678,Coordinates!$J$2:$J$197,0))</f>
        <v>34.818901029999999</v>
      </c>
      <c r="AL678" s="270" t="str">
        <f>IF(ISNUMBER(SEARCH("C", 'Dry_Litterbag Placem_Collection'!V19)),"YES","NO")</f>
        <v>NO</v>
      </c>
      <c r="AM678" s="270" t="str">
        <f>IF(ISNUMBER(SEARCH("H", 'Dry_Litterbag Placem_Collection'!V19)),"YES","NO")</f>
        <v>NO</v>
      </c>
      <c r="AN678" s="270" t="str">
        <f>IF(ISNUMBER(SEARCH("R", 'Dry_Litterbag Placem_Collection'!V19)),"YES","NO")</f>
        <v>NO</v>
      </c>
    </row>
    <row r="679" spans="1:40" ht="15" customHeight="1">
      <c r="A679" s="262" t="s">
        <v>2659</v>
      </c>
      <c r="B679" s="263">
        <f>'Dry_Litterbag Placem_Collection'!A20</f>
        <v>18</v>
      </c>
      <c r="C679" s="263" t="str">
        <f>'Dry_Litterbag Placem_Collection'!B20</f>
        <v>Makao</v>
      </c>
      <c r="D679" s="263" t="s">
        <v>2659</v>
      </c>
      <c r="E679" s="263" t="s">
        <v>2660</v>
      </c>
      <c r="F679" s="263">
        <v>3</v>
      </c>
      <c r="G679" s="264" t="str">
        <f>'Dry_Litterbag Placem_Collection'!C20</f>
        <v>Dry_Ag3_T2</v>
      </c>
      <c r="H679" s="273" t="s">
        <v>3651</v>
      </c>
      <c r="I679" s="274" t="s">
        <v>298</v>
      </c>
      <c r="J679" s="263" t="str">
        <f>IF(ISBLANK('Dry_Litterbag Placem_Collection'!M20),"","R"&amp;""&amp;'Dry_Litterbag Placem_Collection'!M20)</f>
        <v>R361</v>
      </c>
      <c r="K679" s="267">
        <f>IFERROR(INDEX('Green_rooibos initial weight'!$C$5:$C$1749,MATCH(J679, 'Green_rooibos initial weight'!$A$5:$A$1749,0)),"")</f>
        <v>2.2210000000000001</v>
      </c>
      <c r="L679" s="267">
        <f>IFERROR(K679-(TBIcalc!$Q$9+TBIcalc!$Q$10),"")</f>
        <v>1.9712000000000001</v>
      </c>
      <c r="M679" s="391">
        <f>AVERAGE(Ashed_controlls!$K$12:$K$14)</f>
        <v>2.2816647271287041</v>
      </c>
      <c r="N679" s="267">
        <f t="shared" si="51"/>
        <v>1.926223824898839</v>
      </c>
      <c r="O679" s="267">
        <f>IF(IFERROR(INDEX('Both teabags AfterDry'!$D$3:$D$900,MATCH(J679,'Both teabags AfterDry'!$A$3:$A$900,0)),"")="","",(IFERROR(INDEX('Both teabags AfterDry'!$D$3:$D$900,MATCH(J679,'Both teabags AfterDry'!$A$3:$A$900,0)),"")))</f>
        <v>2.0156999999999998</v>
      </c>
      <c r="P679" s="267">
        <f>IFERROR(IF(O679&gt;0,O679-(TBIcalc!$Q$9),""),"")</f>
        <v>1.8650999999999998</v>
      </c>
      <c r="Q679" s="278">
        <f>IFERROR(INDEX('Ashed teabags dry'!$K$2:$K$825,MATCH(J679,'Ashed teabags dry'!$A$2:$A$825,0)),"")</f>
        <v>2.3668639053252516</v>
      </c>
      <c r="R679" s="278">
        <f t="shared" si="52"/>
        <v>1.8209556213017786</v>
      </c>
      <c r="S679" s="268">
        <f>'Dry_Litterbag Placem_Collection'!E20</f>
        <v>42936</v>
      </c>
      <c r="T679" s="268">
        <f>IF('Dry_Litterbag Placem_Collection'!G20="","",'Dry_Litterbag Placem_Collection'!G20)</f>
        <v>43007</v>
      </c>
      <c r="U679" s="269">
        <f t="shared" si="50"/>
        <v>71</v>
      </c>
      <c r="V679" s="267">
        <f t="shared" si="53"/>
        <v>0.10610000000000031</v>
      </c>
      <c r="W679" s="267">
        <f t="shared" si="54"/>
        <v>0.10526820359706046</v>
      </c>
      <c r="X679" s="271">
        <f>IFERROR(INDEX(Rainfall_Dry!$O$2:$O$217,MATCH(B679, Rainfall_Dry!$A$2:$A$217,0)),"")</f>
        <v>6.900000125</v>
      </c>
      <c r="Y679" s="260">
        <v>54.080969906906262</v>
      </c>
      <c r="Z679" s="260">
        <v>21.264484651351896</v>
      </c>
      <c r="AA679" s="260">
        <v>24.654545441741845</v>
      </c>
      <c r="AB679" s="261" t="s">
        <v>2673</v>
      </c>
      <c r="AC679" s="260">
        <v>2.8433218334154802</v>
      </c>
      <c r="AD679" t="str">
        <f>IF('WetLitterbags placem_collection'!AB20="","",'WetLitterbags placem_collection'!AB20)</f>
        <v/>
      </c>
      <c r="AE679" t="str">
        <f>IF('WetLitterbags placem_collection'!Z20="","",'WetLitterbags placem_collection'!Z20)</f>
        <v/>
      </c>
      <c r="AF679" s="24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71">
        <f>IFERROR(AVERAGE('Dry_Litterbag Placem_Collection'!N20,'Dry_Litterbag Placem_Collection'!Q20),"")</f>
        <v>26.1</v>
      </c>
      <c r="AJ679" s="270">
        <f>INDEX(Coordinates!$B$2:$B$197,MATCH(G679,Coordinates!$J$2:$J$197,0))</f>
        <v>-3.385375002</v>
      </c>
      <c r="AK679" s="270">
        <f>INDEX(Coordinates!$C$2:$C$197,MATCH(G679,Coordinates!$J$2:$J$197,0))</f>
        <v>34.818939999999998</v>
      </c>
      <c r="AL679" s="270" t="str">
        <f>IF(ISNUMBER(SEARCH("C", 'Dry_Litterbag Placem_Collection'!V20)),"YES","NO")</f>
        <v>NO</v>
      </c>
      <c r="AM679" s="270" t="str">
        <f>IF(ISNUMBER(SEARCH("H", 'Dry_Litterbag Placem_Collection'!V20)),"YES","NO")</f>
        <v>NO</v>
      </c>
      <c r="AN679" s="270" t="str">
        <f>IF(ISNUMBER(SEARCH("R", 'Dry_Litterbag Placem_Collection'!V20)),"YES","NO")</f>
        <v>NO</v>
      </c>
    </row>
    <row r="680" spans="1:40" ht="15" customHeight="1">
      <c r="A680" s="262" t="s">
        <v>2659</v>
      </c>
      <c r="B680" s="263">
        <f>'Dry_Litterbag Placem_Collection'!A21</f>
        <v>19</v>
      </c>
      <c r="C680" s="263" t="str">
        <f>'Dry_Litterbag Placem_Collection'!B21</f>
        <v>Makao</v>
      </c>
      <c r="D680" s="263" t="s">
        <v>2659</v>
      </c>
      <c r="E680" s="263" t="s">
        <v>2660</v>
      </c>
      <c r="F680" s="263">
        <v>3</v>
      </c>
      <c r="G680" s="264" t="str">
        <f>'Dry_Litterbag Placem_Collection'!C21</f>
        <v>Dry_Ag3_T3</v>
      </c>
      <c r="H680" s="273" t="s">
        <v>3651</v>
      </c>
      <c r="I680" s="274" t="s">
        <v>298</v>
      </c>
      <c r="J680" s="263" t="str">
        <f>IF(ISBLANK('Dry_Litterbag Placem_Collection'!M21),"","R"&amp;""&amp;'Dry_Litterbag Placem_Collection'!M21)</f>
        <v>R280</v>
      </c>
      <c r="K680" s="267">
        <f>IFERROR(INDEX('Green_rooibos initial weight'!$C$5:$C$1749,MATCH(J680, 'Green_rooibos initial weight'!$A$5:$A$1749,0)),"")</f>
        <v>2.11</v>
      </c>
      <c r="L680" s="267">
        <f>IFERROR(K680-(TBIcalc!$Q$9+TBIcalc!$Q$10),"")</f>
        <v>1.8601999999999999</v>
      </c>
      <c r="M680" s="391">
        <f>AVERAGE(Ashed_controlls!$K$12:$K$14)</f>
        <v>2.2816647271287041</v>
      </c>
      <c r="N680" s="267">
        <f t="shared" si="51"/>
        <v>1.8177564727459516</v>
      </c>
      <c r="O680" s="267">
        <f>IF(IFERROR(INDEX('Both teabags AfterDry'!$D$3:$D$900,MATCH(J680,'Both teabags AfterDry'!$A$3:$A$900,0)),"")="","",(IFERROR(INDEX('Both teabags AfterDry'!$D$3:$D$900,MATCH(J680,'Both teabags AfterDry'!$A$3:$A$900,0)),"")))</f>
        <v>1.9007000000000001</v>
      </c>
      <c r="P680" s="267">
        <f>IFERROR(IF(O680&gt;0,O680-(TBIcalc!$Q$9),""),"")</f>
        <v>1.7501</v>
      </c>
      <c r="Q680" s="278">
        <f>IFERROR(INDEX('Ashed teabags dry'!$K$2:$K$825,MATCH(J680,'Ashed teabags dry'!$A$2:$A$825,0)),"")</f>
        <v>2.6531596719727872</v>
      </c>
      <c r="R680" s="278">
        <f t="shared" si="52"/>
        <v>1.7036670525808042</v>
      </c>
      <c r="S680" s="268">
        <f>'Dry_Litterbag Placem_Collection'!E21</f>
        <v>42936</v>
      </c>
      <c r="T680" s="268">
        <f>IF('Dry_Litterbag Placem_Collection'!G21="","",'Dry_Litterbag Placem_Collection'!G21)</f>
        <v>43007</v>
      </c>
      <c r="U680" s="269">
        <f t="shared" si="50"/>
        <v>71</v>
      </c>
      <c r="V680" s="267">
        <f t="shared" si="53"/>
        <v>0.11009999999999986</v>
      </c>
      <c r="W680" s="267">
        <f t="shared" si="54"/>
        <v>0.11408942016514745</v>
      </c>
      <c r="X680" s="271">
        <f>IFERROR(INDEX(Rainfall_Dry!$O$2:$O$217,MATCH(B680, Rainfall_Dry!$A$2:$A$217,0)),"")</f>
        <v>6.900000125</v>
      </c>
      <c r="Y680" s="260">
        <v>54.080969906906262</v>
      </c>
      <c r="Z680" s="260">
        <v>21.264484651351896</v>
      </c>
      <c r="AA680" s="260">
        <v>24.654545441741845</v>
      </c>
      <c r="AB680" s="261" t="s">
        <v>2673</v>
      </c>
      <c r="AC680" s="260">
        <v>3.8433218334154802</v>
      </c>
      <c r="AD680" t="str">
        <f>IF('WetLitterbags placem_collection'!AB21="","",'WetLitterbags placem_collection'!AB21)</f>
        <v/>
      </c>
      <c r="AE680" t="str">
        <f>IF('WetLitterbags placem_collection'!Z21="","",'WetLitterbags placem_collection'!Z21)</f>
        <v/>
      </c>
      <c r="AF680" s="24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71">
        <f>IFERROR(AVERAGE('Dry_Litterbag Placem_Collection'!N21,'Dry_Litterbag Placem_Collection'!Q21),"")</f>
        <v>25.700000000000003</v>
      </c>
      <c r="AJ680" s="270">
        <f>INDEX(Coordinates!$B$2:$B$197,MATCH(G680,Coordinates!$J$2:$J$197,0))</f>
        <v>-3.3853589930000001</v>
      </c>
      <c r="AK680" s="270">
        <f>INDEX(Coordinates!$C$2:$C$197,MATCH(G680,Coordinates!$J$2:$J$197,0))</f>
        <v>34.818991969999999</v>
      </c>
      <c r="AL680" s="270" t="str">
        <f>IF(ISNUMBER(SEARCH("C", 'Dry_Litterbag Placem_Collection'!V21)),"YES","NO")</f>
        <v>NO</v>
      </c>
      <c r="AM680" s="270" t="str">
        <f>IF(ISNUMBER(SEARCH("H", 'Dry_Litterbag Placem_Collection'!V21)),"YES","NO")</f>
        <v>NO</v>
      </c>
      <c r="AN680" s="270" t="str">
        <f>IF(ISNUMBER(SEARCH("R", 'Dry_Litterbag Placem_Collection'!V21)),"YES","NO")</f>
        <v>NO</v>
      </c>
    </row>
    <row r="681" spans="1:40" ht="15" customHeight="1">
      <c r="A681" s="262" t="s">
        <v>2659</v>
      </c>
      <c r="B681" s="263">
        <f>'Dry_Litterbag Placem_Collection'!A22</f>
        <v>20</v>
      </c>
      <c r="C681" s="263" t="str">
        <f>'Dry_Litterbag Placem_Collection'!B22</f>
        <v>Makao</v>
      </c>
      <c r="D681" s="263" t="s">
        <v>2659</v>
      </c>
      <c r="E681" s="263" t="s">
        <v>2660</v>
      </c>
      <c r="F681" s="263">
        <v>3</v>
      </c>
      <c r="G681" s="264" t="str">
        <f>'Dry_Litterbag Placem_Collection'!C22</f>
        <v>Dry_Ag3_T4</v>
      </c>
      <c r="H681" s="273" t="s">
        <v>3651</v>
      </c>
      <c r="I681" s="274" t="s">
        <v>298</v>
      </c>
      <c r="J681" s="263" t="str">
        <f>IF(ISBLANK('Dry_Litterbag Placem_Collection'!M22),"","R"&amp;""&amp;'Dry_Litterbag Placem_Collection'!M22)</f>
        <v>R320</v>
      </c>
      <c r="K681" s="267">
        <f>IFERROR(INDEX('Green_rooibos initial weight'!$C$5:$C$1749,MATCH(J681, 'Green_rooibos initial weight'!$A$5:$A$1749,0)),"")</f>
        <v>2.1459999999999999</v>
      </c>
      <c r="L681" s="267">
        <f>IFERROR(K681-(TBIcalc!$Q$9+TBIcalc!$Q$10),"")</f>
        <v>1.8961999999999999</v>
      </c>
      <c r="M681" s="391">
        <f>AVERAGE(Ashed_controlls!$K$12:$K$14)</f>
        <v>2.2816647271287041</v>
      </c>
      <c r="N681" s="267">
        <f t="shared" si="51"/>
        <v>1.8529350734441854</v>
      </c>
      <c r="O681" s="267">
        <f>IF(IFERROR(INDEX('Both teabags AfterDry'!$D$3:$D$900,MATCH(J681,'Both teabags AfterDry'!$A$3:$A$900,0)),"")="","",(IFERROR(INDEX('Both teabags AfterDry'!$D$3:$D$900,MATCH(J681,'Both teabags AfterDry'!$A$3:$A$900,0)),"")))</f>
        <v>1.9332</v>
      </c>
      <c r="P681" s="267">
        <f>IFERROR(IF(O681&gt;0,O681-(TBIcalc!$Q$9),""),"")</f>
        <v>1.7826</v>
      </c>
      <c r="Q681" s="278">
        <f>IFERROR(INDEX('Ashed teabags dry'!$K$2:$K$825,MATCH(J681,'Ashed teabags dry'!$A$2:$A$825,0)),"")</f>
        <v>2.2439024390243194</v>
      </c>
      <c r="R681" s="278">
        <f t="shared" si="52"/>
        <v>1.7426001951219525</v>
      </c>
      <c r="S681" s="268">
        <f>'Dry_Litterbag Placem_Collection'!E22</f>
        <v>42936</v>
      </c>
      <c r="T681" s="268">
        <f>IF('Dry_Litterbag Placem_Collection'!G22="","",'Dry_Litterbag Placem_Collection'!G22)</f>
        <v>43007</v>
      </c>
      <c r="U681" s="269">
        <f t="shared" si="50"/>
        <v>71</v>
      </c>
      <c r="V681" s="267">
        <f t="shared" si="53"/>
        <v>0.11359999999999992</v>
      </c>
      <c r="W681" s="267">
        <f t="shared" si="54"/>
        <v>0.11033487832223288</v>
      </c>
      <c r="X681" s="271">
        <f>IFERROR(INDEX(Rainfall_Dry!$O$2:$O$217,MATCH(B681, Rainfall_Dry!$A$2:$A$217,0)),"")</f>
        <v>6.900000125</v>
      </c>
      <c r="Y681" s="260">
        <v>54.080969906906262</v>
      </c>
      <c r="Z681" s="260">
        <v>21.264484651351896</v>
      </c>
      <c r="AA681" s="260">
        <v>24.654545441741845</v>
      </c>
      <c r="AB681" s="261" t="s">
        <v>2673</v>
      </c>
      <c r="AC681" s="260">
        <v>4.8433218334154802</v>
      </c>
      <c r="AD681" t="str">
        <f>IF('WetLitterbags placem_collection'!AB22="","",'WetLitterbags placem_collection'!AB22)</f>
        <v/>
      </c>
      <c r="AE681" t="str">
        <f>IF('WetLitterbags placem_collection'!Z22="","",'WetLitterbags placem_collection'!Z22)</f>
        <v/>
      </c>
      <c r="AF681" s="24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71">
        <f>IFERROR(AVERAGE('Dry_Litterbag Placem_Collection'!N22,'Dry_Litterbag Placem_Collection'!Q22),"")</f>
        <v>26.3</v>
      </c>
      <c r="AJ681" s="270">
        <f>INDEX(Coordinates!$B$2:$B$197,MATCH(G681,Coordinates!$J$2:$J$197,0))</f>
        <v>-3.3853969629999998</v>
      </c>
      <c r="AK681" s="270">
        <f>INDEX(Coordinates!$C$2:$C$197,MATCH(G681,Coordinates!$J$2:$J$197,0))</f>
        <v>34.818977969999999</v>
      </c>
      <c r="AL681" s="270" t="str">
        <f>IF(ISNUMBER(SEARCH("C", 'Dry_Litterbag Placem_Collection'!V22)),"YES","NO")</f>
        <v>NO</v>
      </c>
      <c r="AM681" s="270" t="str">
        <f>IF(ISNUMBER(SEARCH("H", 'Dry_Litterbag Placem_Collection'!V22)),"YES","NO")</f>
        <v>NO</v>
      </c>
      <c r="AN681" s="270" t="str">
        <f>IF(ISNUMBER(SEARCH("R", 'Dry_Litterbag Placem_Collection'!V22)),"YES","NO")</f>
        <v>NO</v>
      </c>
    </row>
    <row r="682" spans="1:40" ht="15" customHeight="1">
      <c r="A682" s="262" t="s">
        <v>2659</v>
      </c>
      <c r="B682" s="263">
        <f>'Dry_Litterbag Placem_Collection'!A23</f>
        <v>21</v>
      </c>
      <c r="C682" s="263" t="str">
        <f>'Dry_Litterbag Placem_Collection'!B23</f>
        <v>Makao</v>
      </c>
      <c r="D682" s="263" t="s">
        <v>2659</v>
      </c>
      <c r="E682" s="263" t="s">
        <v>2660</v>
      </c>
      <c r="F682" s="263">
        <v>3</v>
      </c>
      <c r="G682" s="264" t="str">
        <f>'Dry_Litterbag Placem_Collection'!C23</f>
        <v>Dry_Ag3_T5</v>
      </c>
      <c r="H682" s="273" t="s">
        <v>3651</v>
      </c>
      <c r="I682" s="274" t="s">
        <v>298</v>
      </c>
      <c r="J682" s="263" t="str">
        <f>IF(ISBLANK('Dry_Litterbag Placem_Collection'!M23),"","R"&amp;""&amp;'Dry_Litterbag Placem_Collection'!M23)</f>
        <v>R209</v>
      </c>
      <c r="K682" s="267">
        <f>IFERROR(INDEX('Green_rooibos initial weight'!$C$5:$C$1749,MATCH(J682, 'Green_rooibos initial weight'!$A$5:$A$1749,0)),"")</f>
        <v>2.2069999999999999</v>
      </c>
      <c r="L682" s="267">
        <f>IFERROR(K682-(TBIcalc!$Q$9+TBIcalc!$Q$10),"")</f>
        <v>1.9571999999999998</v>
      </c>
      <c r="M682" s="391">
        <f>AVERAGE(Ashed_controlls!$K$12:$K$14)</f>
        <v>2.2816647271287041</v>
      </c>
      <c r="N682" s="267">
        <f t="shared" si="51"/>
        <v>1.9125432579606367</v>
      </c>
      <c r="O682" s="267" t="str">
        <f>IF(IFERROR(INDEX('Both teabags AfterDry'!$D$3:$D$900,MATCH(J682,'Both teabags AfterDry'!$A$3:$A$900,0)),"")="","",(IFERROR(INDEX('Both teabags AfterDry'!$D$3:$D$900,MATCH(J682,'Both teabags AfterDry'!$A$3:$A$900,0)),"")))</f>
        <v/>
      </c>
      <c r="P682" s="267" t="str">
        <f>IFERROR(IF(O682&gt;0,O682-(TBIcalc!$Q$9),""),"")</f>
        <v/>
      </c>
      <c r="Q682" s="278" t="str">
        <f>IFERROR(INDEX('Ashed teabags dry'!$K$2:$K$825,MATCH(J682,'Ashed teabags dry'!$A$2:$A$825,0)),"")</f>
        <v/>
      </c>
      <c r="R682" s="278" t="str">
        <f t="shared" si="52"/>
        <v/>
      </c>
      <c r="S682" s="268">
        <f>'Dry_Litterbag Placem_Collection'!E23</f>
        <v>42936</v>
      </c>
      <c r="T682" s="268">
        <f>IF('Dry_Litterbag Placem_Collection'!G23="","",'Dry_Litterbag Placem_Collection'!G23)</f>
        <v>43007</v>
      </c>
      <c r="U682" s="269">
        <f t="shared" si="50"/>
        <v>71</v>
      </c>
      <c r="V682" s="267" t="str">
        <f t="shared" si="53"/>
        <v/>
      </c>
      <c r="W682" s="267" t="str">
        <f t="shared" si="54"/>
        <v/>
      </c>
      <c r="X682" s="271">
        <f>IFERROR(INDEX(Rainfall_Dry!$O$2:$O$217,MATCH(B682, Rainfall_Dry!$A$2:$A$217,0)),"")</f>
        <v>6.900000125</v>
      </c>
      <c r="Y682" s="260">
        <v>54.080969906906262</v>
      </c>
      <c r="Z682" s="260">
        <v>21.264484651351896</v>
      </c>
      <c r="AA682" s="260">
        <v>24.654545441741845</v>
      </c>
      <c r="AB682" s="261" t="s">
        <v>2673</v>
      </c>
      <c r="AC682" s="260">
        <v>5.8433218334154802</v>
      </c>
      <c r="AD682" t="str">
        <f>IF('WetLitterbags placem_collection'!AB23="","",'WetLitterbags placem_collection'!AB23)</f>
        <v/>
      </c>
      <c r="AE682" t="str">
        <f>IF('WetLitterbags placem_collection'!Z23="","",'WetLitterbags placem_collection'!Z23)</f>
        <v/>
      </c>
      <c r="AF682" s="24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71">
        <f>IFERROR(AVERAGE('Dry_Litterbag Placem_Collection'!N23,'Dry_Litterbag Placem_Collection'!Q23),"")</f>
        <v>26.1</v>
      </c>
      <c r="AJ682" s="270">
        <f>INDEX(Coordinates!$B$2:$B$197,MATCH(G682,Coordinates!$J$2:$J$197,0))</f>
        <v>-3.3854019919999998</v>
      </c>
      <c r="AK682" s="270">
        <f>INDEX(Coordinates!$C$2:$C$197,MATCH(G682,Coordinates!$J$2:$J$197,0))</f>
        <v>34.81894604</v>
      </c>
      <c r="AL682" s="270" t="str">
        <f>IF(ISNUMBER(SEARCH("C", 'Dry_Litterbag Placem_Collection'!V23)),"YES","NO")</f>
        <v>NO</v>
      </c>
      <c r="AM682" s="270" t="str">
        <f>IF(ISNUMBER(SEARCH("H", 'Dry_Litterbag Placem_Collection'!V23)),"YES","NO")</f>
        <v>NO</v>
      </c>
      <c r="AN682" s="270" t="str">
        <f>IF(ISNUMBER(SEARCH("R", 'Dry_Litterbag Placem_Collection'!V23)),"YES","NO")</f>
        <v>NO</v>
      </c>
    </row>
    <row r="683" spans="1:40" ht="15" customHeight="1">
      <c r="A683" s="262" t="s">
        <v>2659</v>
      </c>
      <c r="B683" s="263">
        <f>'Dry_Litterbag Placem_Collection'!A24</f>
        <v>22</v>
      </c>
      <c r="C683" s="263" t="str">
        <f>'Dry_Litterbag Placem_Collection'!B24</f>
        <v>Makao</v>
      </c>
      <c r="D683" s="263" t="s">
        <v>2659</v>
      </c>
      <c r="E683" s="263" t="s">
        <v>2660</v>
      </c>
      <c r="F683" s="263">
        <v>3</v>
      </c>
      <c r="G683" s="264" t="str">
        <f>'Dry_Litterbag Placem_Collection'!C24</f>
        <v>Dry_Ag3_T6</v>
      </c>
      <c r="H683" s="273" t="s">
        <v>3651</v>
      </c>
      <c r="I683" s="274" t="s">
        <v>298</v>
      </c>
      <c r="J683" s="263" t="str">
        <f>IF(ISBLANK('Dry_Litterbag Placem_Collection'!M24),"","R"&amp;""&amp;'Dry_Litterbag Placem_Collection'!M24)</f>
        <v>R646</v>
      </c>
      <c r="K683" s="267">
        <f>IFERROR(INDEX('Green_rooibos initial weight'!$C$5:$C$1749,MATCH(J683, 'Green_rooibos initial weight'!$A$5:$A$1749,0)),"")</f>
        <v>2.1480000000000001</v>
      </c>
      <c r="L683" s="267">
        <f>IFERROR(K683-(TBIcalc!$Q$9+TBIcalc!$Q$10),"")</f>
        <v>1.8982000000000001</v>
      </c>
      <c r="M683" s="391">
        <f>AVERAGE(Ashed_controlls!$K$12:$K$14)</f>
        <v>2.2816647271287041</v>
      </c>
      <c r="N683" s="267">
        <f t="shared" si="51"/>
        <v>1.854889440149643</v>
      </c>
      <c r="O683" s="267">
        <f>IF(IFERROR(INDEX('Both teabags AfterDry'!$D$3:$D$900,MATCH(J683,'Both teabags AfterDry'!$A$3:$A$900,0)),"")="","",(IFERROR(INDEX('Both teabags AfterDry'!$D$3:$D$900,MATCH(J683,'Both teabags AfterDry'!$A$3:$A$900,0)),"")))</f>
        <v>1.8704000000000001</v>
      </c>
      <c r="P683" s="267">
        <f>IFERROR(IF(O683&gt;0,O683-(TBIcalc!$Q$9),""),"")</f>
        <v>1.7198</v>
      </c>
      <c r="Q683" s="278">
        <f>IFERROR(INDEX('Ashed teabags dry'!$K$2:$K$825,MATCH(J683,'Ashed teabags dry'!$A$2:$A$825,0)),"")</f>
        <v>2.497502497502583</v>
      </c>
      <c r="R683" s="278">
        <f t="shared" si="52"/>
        <v>1.6768479520479507</v>
      </c>
      <c r="S683" s="268">
        <f>'Dry_Litterbag Placem_Collection'!E24</f>
        <v>42936</v>
      </c>
      <c r="T683" s="268">
        <f>IF('Dry_Litterbag Placem_Collection'!G24="","",'Dry_Litterbag Placem_Collection'!G24)</f>
        <v>43007</v>
      </c>
      <c r="U683" s="269">
        <f t="shared" si="50"/>
        <v>71</v>
      </c>
      <c r="V683" s="267">
        <f t="shared" si="53"/>
        <v>0.17840000000000011</v>
      </c>
      <c r="W683" s="267">
        <f t="shared" si="54"/>
        <v>0.17804148810169229</v>
      </c>
      <c r="X683" s="271">
        <f>IFERROR(INDEX(Rainfall_Dry!$O$2:$O$217,MATCH(B683, Rainfall_Dry!$A$2:$A$217,0)),"")</f>
        <v>6.900000125</v>
      </c>
      <c r="Y683" s="260">
        <v>54.080969906906262</v>
      </c>
      <c r="Z683" s="260">
        <v>21.264484651351896</v>
      </c>
      <c r="AA683" s="260">
        <v>24.654545441741845</v>
      </c>
      <c r="AB683" s="261" t="s">
        <v>2673</v>
      </c>
      <c r="AC683" s="260">
        <v>6.8433218334154802</v>
      </c>
      <c r="AD683" t="str">
        <f>IF('WetLitterbags placem_collection'!AB24="","",'WetLitterbags placem_collection'!AB24)</f>
        <v/>
      </c>
      <c r="AE683" t="str">
        <f>IF('WetLitterbags placem_collection'!Z24="","",'WetLitterbags placem_collection'!Z24)</f>
        <v/>
      </c>
      <c r="AF683" s="24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71">
        <f>IFERROR(AVERAGE('Dry_Litterbag Placem_Collection'!N24,'Dry_Litterbag Placem_Collection'!Q24),"")</f>
        <v>25.75</v>
      </c>
      <c r="AJ683" s="270">
        <f>INDEX(Coordinates!$B$2:$B$197,MATCH(G683,Coordinates!$J$2:$J$197,0))</f>
        <v>-3.3854470029999999</v>
      </c>
      <c r="AK683" s="270">
        <f>INDEX(Coordinates!$C$2:$C$197,MATCH(G683,Coordinates!$J$2:$J$197,0))</f>
        <v>34.818946959999998</v>
      </c>
      <c r="AL683" s="270" t="str">
        <f>IF(ISNUMBER(SEARCH("C", 'Dry_Litterbag Placem_Collection'!V24)),"YES","NO")</f>
        <v>NO</v>
      </c>
      <c r="AM683" s="270" t="str">
        <f>IF(ISNUMBER(SEARCH("H", 'Dry_Litterbag Placem_Collection'!V24)),"YES","NO")</f>
        <v>NO</v>
      </c>
      <c r="AN683" s="270" t="str">
        <f>IF(ISNUMBER(SEARCH("R", 'Dry_Litterbag Placem_Collection'!V24)),"YES","NO")</f>
        <v>NO</v>
      </c>
    </row>
    <row r="684" spans="1:40" ht="15" customHeight="1">
      <c r="A684" s="262" t="s">
        <v>2659</v>
      </c>
      <c r="B684" s="263">
        <f>'Dry_Litterbag Placem_Collection'!A25</f>
        <v>23</v>
      </c>
      <c r="C684" s="263" t="str">
        <f>'Dry_Litterbag Placem_Collection'!B25</f>
        <v>Makao</v>
      </c>
      <c r="D684" s="263" t="s">
        <v>2659</v>
      </c>
      <c r="E684" s="263" t="s">
        <v>2660</v>
      </c>
      <c r="F684" s="263">
        <v>3</v>
      </c>
      <c r="G684" s="264" t="str">
        <f>'Dry_Litterbag Placem_Collection'!C25</f>
        <v>Dry_Ag3_T7</v>
      </c>
      <c r="H684" s="273" t="s">
        <v>3651</v>
      </c>
      <c r="I684" s="274" t="s">
        <v>298</v>
      </c>
      <c r="J684" s="263" t="str">
        <f>IF(ISBLANK('Dry_Litterbag Placem_Collection'!M25),"","R"&amp;""&amp;'Dry_Litterbag Placem_Collection'!M25)</f>
        <v/>
      </c>
      <c r="K684" s="267" t="str">
        <f>IFERROR(INDEX('Green_rooibos initial weight'!$C$5:$C$1749,MATCH(J684, 'Green_rooibos initial weight'!$A$5:$A$1749,0)),"")</f>
        <v/>
      </c>
      <c r="L684" s="267" t="str">
        <f>IFERROR(K684-(TBIcalc!$Q$9+TBIcalc!$Q$10),"")</f>
        <v/>
      </c>
      <c r="M684" s="391">
        <f>AVERAGE(Ashed_controlls!$K$12:$K$14)</f>
        <v>2.2816647271287041</v>
      </c>
      <c r="N684" s="267" t="str">
        <f t="shared" si="51"/>
        <v/>
      </c>
      <c r="O684" s="267" t="str">
        <f>IF(IFERROR(INDEX('Both teabags AfterDry'!$D$3:$D$900,MATCH(J684,'Both teabags AfterDry'!$A$3:$A$900,0)),"")="","",(IFERROR(INDEX('Both teabags AfterDry'!$D$3:$D$900,MATCH(J684,'Both teabags AfterDry'!$A$3:$A$900,0)),"")))</f>
        <v/>
      </c>
      <c r="P684" s="267" t="str">
        <f>IFERROR(IF(O684&gt;0,O684-(TBIcalc!$Q$9),""),"")</f>
        <v/>
      </c>
      <c r="Q684" s="278" t="str">
        <f>IFERROR(INDEX('Ashed teabags dry'!$K$2:$K$825,MATCH(J684,'Ashed teabags dry'!$A$2:$A$825,0)),"")</f>
        <v/>
      </c>
      <c r="R684" s="278" t="str">
        <f t="shared" si="52"/>
        <v/>
      </c>
      <c r="S684" s="268">
        <f>'Dry_Litterbag Placem_Collection'!E25</f>
        <v>0</v>
      </c>
      <c r="T684" s="268" t="str">
        <f>IF('Dry_Litterbag Placem_Collection'!G25="","",'Dry_Litterbag Placem_Collection'!G25)</f>
        <v/>
      </c>
      <c r="U684" s="269" t="str">
        <f t="shared" si="50"/>
        <v/>
      </c>
      <c r="V684" s="267" t="str">
        <f t="shared" si="53"/>
        <v/>
      </c>
      <c r="W684" s="267" t="str">
        <f t="shared" si="54"/>
        <v/>
      </c>
      <c r="X684" s="271" t="str">
        <f>IFERROR(INDEX(Rainfall_Dry!$O$2:$O$217,MATCH(B684, Rainfall_Dry!$A$2:$A$217,0)),"")</f>
        <v/>
      </c>
      <c r="Y684" s="260">
        <v>54.080969906906262</v>
      </c>
      <c r="Z684" s="260">
        <v>21.264484651351896</v>
      </c>
      <c r="AA684" s="260">
        <v>24.654545441741845</v>
      </c>
      <c r="AB684" s="261" t="s">
        <v>2673</v>
      </c>
      <c r="AC684" s="260">
        <v>7.8433218334154802</v>
      </c>
      <c r="AD684" t="str">
        <f>IF('WetLitterbags placem_collection'!AB25="","",'WetLitterbags placem_collection'!AB25)</f>
        <v/>
      </c>
      <c r="AE684" t="str">
        <f>IF('WetLitterbags placem_collection'!Z25="","",'WetLitterbags placem_collection'!Z25)</f>
        <v/>
      </c>
      <c r="AF684" s="24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71" t="str">
        <f>IFERROR(AVERAGE('Dry_Litterbag Placem_Collection'!N25,'Dry_Litterbag Placem_Collection'!Q25),"")</f>
        <v/>
      </c>
      <c r="AJ684" s="270">
        <f>INDEX(Coordinates!$B$2:$B$197,MATCH(G684,Coordinates!$J$2:$J$197,0))</f>
        <v>-3.3854200130000001</v>
      </c>
      <c r="AK684" s="270">
        <f>INDEX(Coordinates!$C$2:$C$197,MATCH(G684,Coordinates!$J$2:$J$197,0))</f>
        <v>34.818856019999998</v>
      </c>
      <c r="AL684" s="270" t="str">
        <f>IF(ISNUMBER(SEARCH("C", 'Dry_Litterbag Placem_Collection'!V25)),"YES","NO")</f>
        <v>NO</v>
      </c>
      <c r="AM684" s="270" t="str">
        <f>IF(ISNUMBER(SEARCH("H", 'Dry_Litterbag Placem_Collection'!V25)),"YES","NO")</f>
        <v>NO</v>
      </c>
      <c r="AN684" s="270" t="str">
        <f>IF(ISNUMBER(SEARCH("R", 'Dry_Litterbag Placem_Collection'!V25)),"YES","NO")</f>
        <v>NO</v>
      </c>
    </row>
    <row r="685" spans="1:40" ht="15" customHeight="1">
      <c r="A685" s="262" t="s">
        <v>2659</v>
      </c>
      <c r="B685" s="263">
        <f>'Dry_Litterbag Placem_Collection'!A26</f>
        <v>24</v>
      </c>
      <c r="C685" s="263" t="str">
        <f>'Dry_Litterbag Placem_Collection'!B26</f>
        <v>Makao</v>
      </c>
      <c r="D685" s="263" t="s">
        <v>2659</v>
      </c>
      <c r="E685" s="263" t="s">
        <v>2660</v>
      </c>
      <c r="F685" s="263">
        <v>3</v>
      </c>
      <c r="G685" s="264" t="str">
        <f>'Dry_Litterbag Placem_Collection'!C26</f>
        <v>Dry_Ag3_T8</v>
      </c>
      <c r="H685" s="273" t="s">
        <v>3651</v>
      </c>
      <c r="I685" s="274" t="s">
        <v>298</v>
      </c>
      <c r="J685" s="263" t="str">
        <f>IF(ISBLANK('Dry_Litterbag Placem_Collection'!M26),"","R"&amp;""&amp;'Dry_Litterbag Placem_Collection'!M26)</f>
        <v>R650</v>
      </c>
      <c r="K685" s="267">
        <f>IFERROR(INDEX('Green_rooibos initial weight'!$C$5:$C$1749,MATCH(J685, 'Green_rooibos initial weight'!$A$5:$A$1749,0)),"")</f>
        <v>2.169</v>
      </c>
      <c r="L685" s="267">
        <f>IFERROR(K685-(TBIcalc!$Q$9+TBIcalc!$Q$10),"")</f>
        <v>1.9192</v>
      </c>
      <c r="M685" s="391">
        <f>AVERAGE(Ashed_controlls!$K$12:$K$14)</f>
        <v>2.2816647271287041</v>
      </c>
      <c r="N685" s="267">
        <f t="shared" si="51"/>
        <v>1.8754102905569459</v>
      </c>
      <c r="O685" s="267">
        <f>IF(IFERROR(INDEX('Both teabags AfterDry'!$D$3:$D$900,MATCH(J685,'Both teabags AfterDry'!$A$3:$A$900,0)),"")="","",(IFERROR(INDEX('Both teabags AfterDry'!$D$3:$D$900,MATCH(J685,'Both teabags AfterDry'!$A$3:$A$900,0)),"")))</f>
        <v>1.9756</v>
      </c>
      <c r="P685" s="267">
        <f>IFERROR(IF(O685&gt;0,O685-(TBIcalc!$Q$9),""),"")</f>
        <v>1.825</v>
      </c>
      <c r="Q685" s="278">
        <f>IFERROR(INDEX('Ashed teabags dry'!$K$2:$K$825,MATCH(J685,'Ashed teabags dry'!$A$2:$A$825,0)),"")</f>
        <v>3.4467713787080392</v>
      </c>
      <c r="R685" s="278">
        <f t="shared" si="52"/>
        <v>1.7620964223385782</v>
      </c>
      <c r="S685" s="268">
        <f>'Dry_Litterbag Placem_Collection'!E26</f>
        <v>42936</v>
      </c>
      <c r="T685" s="268">
        <f>IF('Dry_Litterbag Placem_Collection'!G26="","",'Dry_Litterbag Placem_Collection'!G26)</f>
        <v>43007</v>
      </c>
      <c r="U685" s="269">
        <f t="shared" si="50"/>
        <v>71</v>
      </c>
      <c r="V685" s="267">
        <f t="shared" si="53"/>
        <v>9.4200000000000061E-2</v>
      </c>
      <c r="W685" s="267">
        <f t="shared" si="54"/>
        <v>0.11331386821836764</v>
      </c>
      <c r="X685" s="271">
        <f>IFERROR(INDEX(Rainfall_Dry!$O$2:$O$217,MATCH(B685, Rainfall_Dry!$A$2:$A$217,0)),"")</f>
        <v>6.900000125</v>
      </c>
      <c r="Y685" s="260">
        <v>54.080969906906262</v>
      </c>
      <c r="Z685" s="260">
        <v>21.264484651351896</v>
      </c>
      <c r="AA685" s="260">
        <v>24.654545441741845</v>
      </c>
      <c r="AB685" s="261" t="s">
        <v>2673</v>
      </c>
      <c r="AC685" s="260">
        <v>8.8433218334154695</v>
      </c>
      <c r="AD685" t="str">
        <f>IF('WetLitterbags placem_collection'!AB26="","",'WetLitterbags placem_collection'!AB26)</f>
        <v/>
      </c>
      <c r="AE685" t="str">
        <f>IF('WetLitterbags placem_collection'!Z26="","",'WetLitterbags placem_collection'!Z26)</f>
        <v/>
      </c>
      <c r="AF685" s="24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71">
        <f>IFERROR(AVERAGE('Dry_Litterbag Placem_Collection'!N26,'Dry_Litterbag Placem_Collection'!Q26),"")</f>
        <v>25.5</v>
      </c>
      <c r="AJ685" s="270">
        <f>INDEX(Coordinates!$B$2:$B$197,MATCH(G685,Coordinates!$J$2:$J$197,0))</f>
        <v>-3.3853829649999998</v>
      </c>
      <c r="AK685" s="270">
        <f>INDEX(Coordinates!$C$2:$C$197,MATCH(G685,Coordinates!$J$2:$J$197,0))</f>
        <v>34.818877980000003</v>
      </c>
      <c r="AL685" s="270" t="str">
        <f>IF(ISNUMBER(SEARCH("C", 'Dry_Litterbag Placem_Collection'!V26)),"YES","NO")</f>
        <v>NO</v>
      </c>
      <c r="AM685" s="270" t="str">
        <f>IF(ISNUMBER(SEARCH("H", 'Dry_Litterbag Placem_Collection'!V26)),"YES","NO")</f>
        <v>NO</v>
      </c>
      <c r="AN685" s="270" t="str">
        <f>IF(ISNUMBER(SEARCH("R", 'Dry_Litterbag Placem_Collection'!V26)),"YES","NO")</f>
        <v>NO</v>
      </c>
    </row>
    <row r="686" spans="1:40" ht="15" customHeight="1">
      <c r="A686" s="262" t="s">
        <v>2659</v>
      </c>
      <c r="B686" s="263">
        <f>'Dry_Litterbag Placem_Collection'!A27</f>
        <v>25</v>
      </c>
      <c r="C686" s="263" t="str">
        <f>'Dry_Litterbag Placem_Collection'!B27</f>
        <v>Makao</v>
      </c>
      <c r="D686" s="263" t="s">
        <v>2659</v>
      </c>
      <c r="E686" s="263" t="s">
        <v>2660</v>
      </c>
      <c r="F686" s="263">
        <v>4</v>
      </c>
      <c r="G686" s="264" t="str">
        <f>'Dry_Litterbag Placem_Collection'!C27</f>
        <v>Dry_Ag4_T1</v>
      </c>
      <c r="H686" s="273" t="s">
        <v>3651</v>
      </c>
      <c r="I686" s="274" t="s">
        <v>298</v>
      </c>
      <c r="J686" s="263" t="str">
        <f>IF(ISBLANK('Dry_Litterbag Placem_Collection'!M27),"","R"&amp;""&amp;'Dry_Litterbag Placem_Collection'!M27)</f>
        <v>R230</v>
      </c>
      <c r="K686" s="267">
        <f>IFERROR(INDEX('Green_rooibos initial weight'!$C$5:$C$1749,MATCH(J686, 'Green_rooibos initial weight'!$A$5:$A$1749,0)),"")</f>
        <v>2.2589999999999999</v>
      </c>
      <c r="L686" s="267">
        <f>IFERROR(K686-(TBIcalc!$Q$9+TBIcalc!$Q$10),"")</f>
        <v>2.0091999999999999</v>
      </c>
      <c r="M686" s="391">
        <f>AVERAGE(Ashed_controlls!$K$12:$K$14)</f>
        <v>2.2816647271287041</v>
      </c>
      <c r="N686" s="267">
        <f t="shared" si="51"/>
        <v>1.9633567923025299</v>
      </c>
      <c r="O686" s="267">
        <f>IF(IFERROR(INDEX('Both teabags AfterDry'!$D$3:$D$900,MATCH(J686,'Both teabags AfterDry'!$A$3:$A$900,0)),"")="","",(IFERROR(INDEX('Both teabags AfterDry'!$D$3:$D$900,MATCH(J686,'Both teabags AfterDry'!$A$3:$A$900,0)),"")))</f>
        <v>2.0360999999999998</v>
      </c>
      <c r="P686" s="267">
        <f>IFERROR(IF(O686&gt;0,O686-(TBIcalc!$Q$9),""),"")</f>
        <v>1.8854999999999997</v>
      </c>
      <c r="Q686" s="278">
        <f>IFERROR(INDEX('Ashed teabags dry'!$K$2:$K$825,MATCH(J686,'Ashed teabags dry'!$A$2:$A$825,0)),"")</f>
        <v>3.0508474576268232</v>
      </c>
      <c r="R686" s="278">
        <f t="shared" si="52"/>
        <v>1.827976271186446</v>
      </c>
      <c r="S686" s="268">
        <f>'Dry_Litterbag Placem_Collection'!E27</f>
        <v>42936</v>
      </c>
      <c r="T686" s="268">
        <f>IF('Dry_Litterbag Placem_Collection'!G27="","",'Dry_Litterbag Placem_Collection'!G27)</f>
        <v>43007</v>
      </c>
      <c r="U686" s="269">
        <f t="shared" si="50"/>
        <v>71</v>
      </c>
      <c r="V686" s="267">
        <f t="shared" si="53"/>
        <v>0.12370000000000014</v>
      </c>
      <c r="W686" s="267">
        <f t="shared" si="54"/>
        <v>0.1353805211160839</v>
      </c>
      <c r="X686" s="271">
        <f>IFERROR(INDEX(Rainfall_Dry!$O$2:$O$217,MATCH(B686, Rainfall_Dry!$A$2:$A$217,0)),"")</f>
        <v>6.900000125</v>
      </c>
      <c r="Y686" s="260">
        <v>51.960000000000008</v>
      </c>
      <c r="Z686" s="260">
        <v>18.919999999999995</v>
      </c>
      <c r="AA686" s="260">
        <v>29.120000000000005</v>
      </c>
      <c r="AB686" s="261" t="s">
        <v>2673</v>
      </c>
      <c r="AC686" s="260">
        <v>1.85293247905372</v>
      </c>
      <c r="AD686" t="str">
        <f>IF('WetLitterbags placem_collection'!AB27="","",'WetLitterbags placem_collection'!AB27)</f>
        <v/>
      </c>
      <c r="AE686" t="str">
        <f>IF('WetLitterbags placem_collection'!Z27="","",'WetLitterbags placem_collection'!Z27)</f>
        <v/>
      </c>
      <c r="AF686" s="24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71">
        <f>IFERROR(AVERAGE('Dry_Litterbag Placem_Collection'!N27,'Dry_Litterbag Placem_Collection'!Q27),"")</f>
        <v>25.4</v>
      </c>
      <c r="AJ686" s="270">
        <f>INDEX(Coordinates!$B$2:$B$197,MATCH(G686,Coordinates!$J$2:$J$197,0))</f>
        <v>-3.3849129919999998</v>
      </c>
      <c r="AK686" s="270">
        <f>INDEX(Coordinates!$C$2:$C$197,MATCH(G686,Coordinates!$J$2:$J$197,0))</f>
        <v>34.818899020000003</v>
      </c>
      <c r="AL686" s="270" t="str">
        <f>IF(ISNUMBER(SEARCH("C", 'Dry_Litterbag Placem_Collection'!V27)),"YES","NO")</f>
        <v>NO</v>
      </c>
      <c r="AM686" s="270" t="str">
        <f>IF(ISNUMBER(SEARCH("H", 'Dry_Litterbag Placem_Collection'!V27)),"YES","NO")</f>
        <v>NO</v>
      </c>
      <c r="AN686" s="270" t="str">
        <f>IF(ISNUMBER(SEARCH("R", 'Dry_Litterbag Placem_Collection'!V27)),"YES","NO")</f>
        <v>NO</v>
      </c>
    </row>
    <row r="687" spans="1:40" ht="15" customHeight="1">
      <c r="A687" s="262" t="s">
        <v>2659</v>
      </c>
      <c r="B687" s="263">
        <f>'Dry_Litterbag Placem_Collection'!A28</f>
        <v>26</v>
      </c>
      <c r="C687" s="263" t="str">
        <f>'Dry_Litterbag Placem_Collection'!B28</f>
        <v>Makao</v>
      </c>
      <c r="D687" s="263" t="s">
        <v>2659</v>
      </c>
      <c r="E687" s="263" t="s">
        <v>2660</v>
      </c>
      <c r="F687" s="263">
        <v>4</v>
      </c>
      <c r="G687" s="264" t="str">
        <f>'Dry_Litterbag Placem_Collection'!C28</f>
        <v>Dry_Ag4_T2</v>
      </c>
      <c r="H687" s="273" t="s">
        <v>3651</v>
      </c>
      <c r="I687" s="274" t="s">
        <v>298</v>
      </c>
      <c r="J687" s="263" t="str">
        <f>IF(ISBLANK('Dry_Litterbag Placem_Collection'!M28),"","R"&amp;""&amp;'Dry_Litterbag Placem_Collection'!M28)</f>
        <v>R642</v>
      </c>
      <c r="K687" s="267">
        <f>IFERROR(INDEX('Green_rooibos initial weight'!$C$5:$C$1749,MATCH(J687, 'Green_rooibos initial weight'!$A$5:$A$1749,0)),"")</f>
        <v>2.14</v>
      </c>
      <c r="L687" s="267">
        <f>IFERROR(K687-(TBIcalc!$Q$9+TBIcalc!$Q$10),"")</f>
        <v>1.8902000000000001</v>
      </c>
      <c r="M687" s="391">
        <f>AVERAGE(Ashed_controlls!$K$12:$K$14)</f>
        <v>2.2816647271287041</v>
      </c>
      <c r="N687" s="267">
        <f t="shared" si="51"/>
        <v>1.8470719733278134</v>
      </c>
      <c r="O687" s="267">
        <f>IF(IFERROR(INDEX('Both teabags AfterDry'!$D$3:$D$900,MATCH(J687,'Both teabags AfterDry'!$A$3:$A$900,0)),"")="","",(IFERROR(INDEX('Both teabags AfterDry'!$D$3:$D$900,MATCH(J687,'Both teabags AfterDry'!$A$3:$A$900,0)),"")))</f>
        <v>1.9686999999999999</v>
      </c>
      <c r="P687" s="267">
        <f>IFERROR(IF(O687&gt;0,O687-(TBIcalc!$Q$9),""),"")</f>
        <v>1.8180999999999998</v>
      </c>
      <c r="Q687" s="278">
        <f>IFERROR(INDEX('Ashed teabags dry'!$K$2:$K$825,MATCH(J687,'Ashed teabags dry'!$A$2:$A$825,0)),"")</f>
        <v>2.1136683889149204</v>
      </c>
      <c r="R687" s="278">
        <f t="shared" si="52"/>
        <v>1.7796713950211376</v>
      </c>
      <c r="S687" s="268">
        <f>'Dry_Litterbag Placem_Collection'!E28</f>
        <v>42936</v>
      </c>
      <c r="T687" s="268">
        <f>IF('Dry_Litterbag Placem_Collection'!G28="","",'Dry_Litterbag Placem_Collection'!G28)</f>
        <v>43007</v>
      </c>
      <c r="U687" s="269">
        <f t="shared" si="50"/>
        <v>71</v>
      </c>
      <c r="V687" s="267">
        <f t="shared" si="53"/>
        <v>7.2100000000000275E-2</v>
      </c>
      <c r="W687" s="267">
        <f t="shared" si="54"/>
        <v>6.7400578306675785E-2</v>
      </c>
      <c r="X687" s="271">
        <f>IFERROR(INDEX(Rainfall_Dry!$O$2:$O$217,MATCH(B687, Rainfall_Dry!$A$2:$A$217,0)),"")</f>
        <v>6.900000125</v>
      </c>
      <c r="Y687" s="260">
        <v>51.960000000000008</v>
      </c>
      <c r="Z687" s="260">
        <v>18.919999999999995</v>
      </c>
      <c r="AA687" s="260">
        <v>29.120000000000005</v>
      </c>
      <c r="AB687" s="261" t="s">
        <v>2673</v>
      </c>
      <c r="AC687" s="260">
        <v>2.8529324790537198</v>
      </c>
      <c r="AD687" t="str">
        <f>IF('WetLitterbags placem_collection'!AB28="","",'WetLitterbags placem_collection'!AB28)</f>
        <v/>
      </c>
      <c r="AE687" t="str">
        <f>IF('WetLitterbags placem_collection'!Z28="","",'WetLitterbags placem_collection'!Z28)</f>
        <v/>
      </c>
      <c r="AF687" s="24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71">
        <f>IFERROR(AVERAGE('Dry_Litterbag Placem_Collection'!N28,'Dry_Litterbag Placem_Collection'!Q28),"")</f>
        <v>25.85</v>
      </c>
      <c r="AJ687" s="270">
        <f>INDEX(Coordinates!$B$2:$B$197,MATCH(G687,Coordinates!$J$2:$J$197,0))</f>
        <v>-3.3849689999999999</v>
      </c>
      <c r="AK687" s="270">
        <f>INDEX(Coordinates!$C$2:$C$197,MATCH(G687,Coordinates!$J$2:$J$197,0))</f>
        <v>34.818908</v>
      </c>
      <c r="AL687" s="270" t="str">
        <f>IF(ISNUMBER(SEARCH("C", 'Dry_Litterbag Placem_Collection'!V28)),"YES","NO")</f>
        <v>NO</v>
      </c>
      <c r="AM687" s="270" t="str">
        <f>IF(ISNUMBER(SEARCH("H", 'Dry_Litterbag Placem_Collection'!V28)),"YES","NO")</f>
        <v>NO</v>
      </c>
      <c r="AN687" s="270" t="str">
        <f>IF(ISNUMBER(SEARCH("R", 'Dry_Litterbag Placem_Collection'!V28)),"YES","NO")</f>
        <v>NO</v>
      </c>
    </row>
    <row r="688" spans="1:40" ht="15" customHeight="1">
      <c r="A688" s="262" t="s">
        <v>2659</v>
      </c>
      <c r="B688" s="263">
        <f>'Dry_Litterbag Placem_Collection'!A29</f>
        <v>27</v>
      </c>
      <c r="C688" s="263" t="str">
        <f>'Dry_Litterbag Placem_Collection'!B29</f>
        <v>Makao</v>
      </c>
      <c r="D688" s="263" t="s">
        <v>2659</v>
      </c>
      <c r="E688" s="263" t="s">
        <v>2660</v>
      </c>
      <c r="F688" s="263">
        <v>4</v>
      </c>
      <c r="G688" s="264" t="str">
        <f>'Dry_Litterbag Placem_Collection'!C29</f>
        <v>Dry_Ag4_T3</v>
      </c>
      <c r="H688" s="273" t="s">
        <v>3651</v>
      </c>
      <c r="I688" s="274" t="s">
        <v>298</v>
      </c>
      <c r="J688" s="263" t="str">
        <f>IF(ISBLANK('Dry_Litterbag Placem_Collection'!M29),"","R"&amp;""&amp;'Dry_Litterbag Placem_Collection'!M29)</f>
        <v>R199</v>
      </c>
      <c r="K688" s="267">
        <f>IFERROR(INDEX('Green_rooibos initial weight'!$C$5:$C$1749,MATCH(J688, 'Green_rooibos initial weight'!$A$5:$A$1749,0)),"")</f>
        <v>2.1850000000000001</v>
      </c>
      <c r="L688" s="267">
        <f>IFERROR(K688-(TBIcalc!$Q$9+TBIcalc!$Q$10),"")</f>
        <v>1.9352</v>
      </c>
      <c r="M688" s="391">
        <f>AVERAGE(Ashed_controlls!$K$12:$K$14)</f>
        <v>2.2816647271287041</v>
      </c>
      <c r="N688" s="267">
        <f t="shared" si="51"/>
        <v>1.8910452242006053</v>
      </c>
      <c r="O688" s="267" t="str">
        <f>IF(IFERROR(INDEX('Both teabags AfterDry'!$D$3:$D$900,MATCH(J688,'Both teabags AfterDry'!$A$3:$A$900,0)),"")="","",(IFERROR(INDEX('Both teabags AfterDry'!$D$3:$D$900,MATCH(J688,'Both teabags AfterDry'!$A$3:$A$900,0)),"")))</f>
        <v/>
      </c>
      <c r="P688" s="267" t="str">
        <f>IFERROR(IF(O688&gt;0,O688-(TBIcalc!$Q$9),""),"")</f>
        <v/>
      </c>
      <c r="Q688" s="278" t="str">
        <f>IFERROR(INDEX('Ashed teabags dry'!$K$2:$K$825,MATCH(J688,'Ashed teabags dry'!$A$2:$A$825,0)),"")</f>
        <v/>
      </c>
      <c r="R688" s="278" t="str">
        <f t="shared" si="52"/>
        <v/>
      </c>
      <c r="S688" s="268">
        <f>'Dry_Litterbag Placem_Collection'!E29</f>
        <v>42936</v>
      </c>
      <c r="T688" s="268">
        <f>IF('Dry_Litterbag Placem_Collection'!G29="","",'Dry_Litterbag Placem_Collection'!G29)</f>
        <v>43007</v>
      </c>
      <c r="U688" s="269">
        <f t="shared" si="50"/>
        <v>71</v>
      </c>
      <c r="V688" s="267" t="str">
        <f t="shared" si="53"/>
        <v/>
      </c>
      <c r="W688" s="267" t="str">
        <f t="shared" si="54"/>
        <v/>
      </c>
      <c r="X688" s="271">
        <f>IFERROR(INDEX(Rainfall_Dry!$O$2:$O$217,MATCH(B688, Rainfall_Dry!$A$2:$A$217,0)),"")</f>
        <v>6.900000125</v>
      </c>
      <c r="Y688" s="260">
        <v>51.960000000000008</v>
      </c>
      <c r="Z688" s="260">
        <v>18.919999999999995</v>
      </c>
      <c r="AA688" s="260">
        <v>29.120000000000005</v>
      </c>
      <c r="AB688" s="261" t="s">
        <v>2673</v>
      </c>
      <c r="AC688" s="260">
        <v>3.8529324790537198</v>
      </c>
      <c r="AD688" t="str">
        <f>IF('WetLitterbags placem_collection'!AB29="","",'WetLitterbags placem_collection'!AB29)</f>
        <v/>
      </c>
      <c r="AE688" t="str">
        <f>IF('WetLitterbags placem_collection'!Z29="","",'WetLitterbags placem_collection'!Z29)</f>
        <v/>
      </c>
      <c r="AF688" s="24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71">
        <f>IFERROR(AVERAGE('Dry_Litterbag Placem_Collection'!N29,'Dry_Litterbag Placem_Collection'!Q29),"")</f>
        <v>26.15</v>
      </c>
      <c r="AJ688" s="270">
        <f>INDEX(Coordinates!$B$2:$B$197,MATCH(G688,Coordinates!$J$2:$J$197,0))</f>
        <v>-3.3849350359999999</v>
      </c>
      <c r="AK688" s="270">
        <f>INDEX(Coordinates!$C$2:$C$197,MATCH(G688,Coordinates!$J$2:$J$197,0))</f>
        <v>34.818943019999999</v>
      </c>
      <c r="AL688" s="270" t="str">
        <f>IF(ISNUMBER(SEARCH("C", 'Dry_Litterbag Placem_Collection'!V29)),"YES","NO")</f>
        <v>NO</v>
      </c>
      <c r="AM688" s="270" t="str">
        <f>IF(ISNUMBER(SEARCH("H", 'Dry_Litterbag Placem_Collection'!V29)),"YES","NO")</f>
        <v>NO</v>
      </c>
      <c r="AN688" s="270" t="str">
        <f>IF(ISNUMBER(SEARCH("R", 'Dry_Litterbag Placem_Collection'!V29)),"YES","NO")</f>
        <v>NO</v>
      </c>
    </row>
    <row r="689" spans="1:40" ht="15" customHeight="1">
      <c r="A689" s="262" t="s">
        <v>2659</v>
      </c>
      <c r="B689" s="263">
        <f>'Dry_Litterbag Placem_Collection'!A30</f>
        <v>28</v>
      </c>
      <c r="C689" s="263" t="str">
        <f>'Dry_Litterbag Placem_Collection'!B30</f>
        <v>Makao</v>
      </c>
      <c r="D689" s="263" t="s">
        <v>2659</v>
      </c>
      <c r="E689" s="263" t="s">
        <v>2660</v>
      </c>
      <c r="F689" s="263">
        <v>4</v>
      </c>
      <c r="G689" s="264" t="str">
        <f>'Dry_Litterbag Placem_Collection'!C30</f>
        <v>Dry_Ag4_T4</v>
      </c>
      <c r="H689" s="273" t="s">
        <v>3651</v>
      </c>
      <c r="I689" s="274" t="s">
        <v>298</v>
      </c>
      <c r="J689" s="263" t="str">
        <f>IF(ISBLANK('Dry_Litterbag Placem_Collection'!M30),"","R"&amp;""&amp;'Dry_Litterbag Placem_Collection'!M30)</f>
        <v>R162</v>
      </c>
      <c r="K689" s="267">
        <f>IFERROR(INDEX('Green_rooibos initial weight'!$C$5:$C$1749,MATCH(J689, 'Green_rooibos initial weight'!$A$5:$A$1749,0)),"")</f>
        <v>2.242</v>
      </c>
      <c r="L689" s="267">
        <f>IFERROR(K689-(TBIcalc!$Q$9+TBIcalc!$Q$10),"")</f>
        <v>1.9922</v>
      </c>
      <c r="M689" s="391">
        <f>AVERAGE(Ashed_controlls!$K$12:$K$14)</f>
        <v>2.2816647271287041</v>
      </c>
      <c r="N689" s="267">
        <f t="shared" si="51"/>
        <v>1.9467446753061419</v>
      </c>
      <c r="O689" s="267">
        <f>IF(IFERROR(INDEX('Both teabags AfterDry'!$D$3:$D$900,MATCH(J689,'Both teabags AfterDry'!$A$3:$A$900,0)),"")="","",(IFERROR(INDEX('Both teabags AfterDry'!$D$3:$D$900,MATCH(J689,'Both teabags AfterDry'!$A$3:$A$900,0)),"")))</f>
        <v>1.964</v>
      </c>
      <c r="P689" s="267">
        <f>IFERROR(IF(O689&gt;0,O689-(TBIcalc!$Q$9),""),"")</f>
        <v>1.8133999999999999</v>
      </c>
      <c r="Q689" s="278">
        <f>IFERROR(INDEX('Ashed teabags dry'!$K$2:$K$825,MATCH(J689,'Ashed teabags dry'!$A$2:$A$825,0)),"")</f>
        <v>3.596059113301163</v>
      </c>
      <c r="R689" s="278">
        <f t="shared" si="52"/>
        <v>1.7481890640393967</v>
      </c>
      <c r="S689" s="268">
        <f>'Dry_Litterbag Placem_Collection'!E30</f>
        <v>42936</v>
      </c>
      <c r="T689" s="268">
        <f>IF('Dry_Litterbag Placem_Collection'!G30="","",'Dry_Litterbag Placem_Collection'!G30)</f>
        <v>43007</v>
      </c>
      <c r="U689" s="269">
        <f t="shared" si="50"/>
        <v>71</v>
      </c>
      <c r="V689" s="267">
        <f t="shared" si="53"/>
        <v>0.17880000000000007</v>
      </c>
      <c r="W689" s="267">
        <f t="shared" si="54"/>
        <v>0.19855561126674526</v>
      </c>
      <c r="X689" s="271">
        <f>IFERROR(INDEX(Rainfall_Dry!$O$2:$O$217,MATCH(B689, Rainfall_Dry!$A$2:$A$217,0)),"")</f>
        <v>6.900000125</v>
      </c>
      <c r="Y689" s="260">
        <v>51.960000000000008</v>
      </c>
      <c r="Z689" s="260">
        <v>18.919999999999995</v>
      </c>
      <c r="AA689" s="260">
        <v>29.120000000000005</v>
      </c>
      <c r="AB689" s="261" t="s">
        <v>2673</v>
      </c>
      <c r="AC689" s="260">
        <v>4.8529324790537203</v>
      </c>
      <c r="AD689" t="str">
        <f>IF('WetLitterbags placem_collection'!AB30="","",'WetLitterbags placem_collection'!AB30)</f>
        <v/>
      </c>
      <c r="AE689" t="str">
        <f>IF('WetLitterbags placem_collection'!Z30="","",'WetLitterbags placem_collection'!Z30)</f>
        <v/>
      </c>
      <c r="AF689" s="24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71">
        <f>IFERROR(AVERAGE('Dry_Litterbag Placem_Collection'!N30,'Dry_Litterbag Placem_Collection'!Q30),"")</f>
        <v>25.700000000000003</v>
      </c>
      <c r="AJ689" s="270">
        <f>INDEX(Coordinates!$B$2:$B$197,MATCH(G689,Coordinates!$J$2:$J$197,0))</f>
        <v>-3.3850070369999998</v>
      </c>
      <c r="AK689" s="270">
        <f>INDEX(Coordinates!$C$2:$C$197,MATCH(G689,Coordinates!$J$2:$J$197,0))</f>
        <v>34.818888960000002</v>
      </c>
      <c r="AL689" s="270" t="str">
        <f>IF(ISNUMBER(SEARCH("C", 'Dry_Litterbag Placem_Collection'!V30)),"YES","NO")</f>
        <v>NO</v>
      </c>
      <c r="AM689" s="270" t="str">
        <f>IF(ISNUMBER(SEARCH("H", 'Dry_Litterbag Placem_Collection'!V30)),"YES","NO")</f>
        <v>NO</v>
      </c>
      <c r="AN689" s="270" t="str">
        <f>IF(ISNUMBER(SEARCH("R", 'Dry_Litterbag Placem_Collection'!V30)),"YES","NO")</f>
        <v>NO</v>
      </c>
    </row>
    <row r="690" spans="1:40" ht="15" customHeight="1">
      <c r="A690" s="262" t="s">
        <v>2659</v>
      </c>
      <c r="B690" s="263">
        <f>'Dry_Litterbag Placem_Collection'!A31</f>
        <v>29</v>
      </c>
      <c r="C690" s="263" t="str">
        <f>'Dry_Litterbag Placem_Collection'!B31</f>
        <v>Makao</v>
      </c>
      <c r="D690" s="263" t="s">
        <v>2659</v>
      </c>
      <c r="E690" s="263" t="s">
        <v>2660</v>
      </c>
      <c r="F690" s="263">
        <v>4</v>
      </c>
      <c r="G690" s="264" t="str">
        <f>'Dry_Litterbag Placem_Collection'!C31</f>
        <v>Dry_Ag4_T5</v>
      </c>
      <c r="H690" s="273" t="s">
        <v>3651</v>
      </c>
      <c r="I690" s="274" t="s">
        <v>298</v>
      </c>
      <c r="J690" s="263" t="str">
        <f>IF(ISBLANK('Dry_Litterbag Placem_Collection'!M31),"","R"&amp;""&amp;'Dry_Litterbag Placem_Collection'!M31)</f>
        <v>R163</v>
      </c>
      <c r="K690" s="267">
        <f>IFERROR(INDEX('Green_rooibos initial weight'!$C$5:$C$1749,MATCH(J690, 'Green_rooibos initial weight'!$A$5:$A$1749,0)),"")</f>
        <v>2.23</v>
      </c>
      <c r="L690" s="267">
        <f>IFERROR(K690-(TBIcalc!$Q$9+TBIcalc!$Q$10),"")</f>
        <v>1.9802</v>
      </c>
      <c r="M690" s="391">
        <f>AVERAGE(Ashed_controlls!$K$12:$K$14)</f>
        <v>2.2816647271287041</v>
      </c>
      <c r="N690" s="267">
        <f t="shared" si="51"/>
        <v>1.9350184750733974</v>
      </c>
      <c r="O690" s="267">
        <f>IF(IFERROR(INDEX('Both teabags AfterDry'!$D$3:$D$900,MATCH(J690,'Both teabags AfterDry'!$A$3:$A$900,0)),"")="","",(IFERROR(INDEX('Both teabags AfterDry'!$D$3:$D$900,MATCH(J690,'Both teabags AfterDry'!$A$3:$A$900,0)),"")))</f>
        <v>1.9955000000000001</v>
      </c>
      <c r="P690" s="267">
        <f>IFERROR(IF(O690&gt;0,O690-(TBIcalc!$Q$9),""),"")</f>
        <v>1.8449</v>
      </c>
      <c r="Q690" s="278">
        <f>IFERROR(INDEX('Ashed teabags dry'!$K$2:$K$825,MATCH(J690,'Ashed teabags dry'!$A$2:$A$825,0)),"")</f>
        <v>2.8292682926832247</v>
      </c>
      <c r="R690" s="278">
        <f t="shared" si="52"/>
        <v>1.7927028292682872</v>
      </c>
      <c r="S690" s="268">
        <f>'Dry_Litterbag Placem_Collection'!E31</f>
        <v>42936</v>
      </c>
      <c r="T690" s="268">
        <f>IF('Dry_Litterbag Placem_Collection'!G31="","",'Dry_Litterbag Placem_Collection'!G31)</f>
        <v>43007</v>
      </c>
      <c r="U690" s="269">
        <f t="shared" si="50"/>
        <v>71</v>
      </c>
      <c r="V690" s="267">
        <f t="shared" si="53"/>
        <v>0.13529999999999998</v>
      </c>
      <c r="W690" s="267">
        <f t="shared" si="54"/>
        <v>0.14231564580511025</v>
      </c>
      <c r="X690" s="271">
        <f>IFERROR(INDEX(Rainfall_Dry!$O$2:$O$217,MATCH(B690, Rainfall_Dry!$A$2:$A$217,0)),"")</f>
        <v>6.900000125</v>
      </c>
      <c r="Y690" s="260">
        <v>51.960000000000008</v>
      </c>
      <c r="Z690" s="260">
        <v>18.919999999999995</v>
      </c>
      <c r="AA690" s="260">
        <v>29.120000000000005</v>
      </c>
      <c r="AB690" s="261" t="s">
        <v>2673</v>
      </c>
      <c r="AC690" s="260">
        <v>5.8529324790537203</v>
      </c>
      <c r="AD690" t="str">
        <f>IF('WetLitterbags placem_collection'!AB31="","",'WetLitterbags placem_collection'!AB31)</f>
        <v/>
      </c>
      <c r="AE690" t="str">
        <f>IF('WetLitterbags placem_collection'!Z31="","",'WetLitterbags placem_collection'!Z31)</f>
        <v/>
      </c>
      <c r="AF690" s="24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71">
        <f>IFERROR(AVERAGE('Dry_Litterbag Placem_Collection'!N31,'Dry_Litterbag Placem_Collection'!Q31),"")</f>
        <v>25.65</v>
      </c>
      <c r="AJ690" s="270">
        <f>INDEX(Coordinates!$B$2:$B$197,MATCH(G690,Coordinates!$J$2:$J$197,0))</f>
        <v>-3.3849480280000002</v>
      </c>
      <c r="AK690" s="270">
        <f>INDEX(Coordinates!$C$2:$C$197,MATCH(G690,Coordinates!$J$2:$J$197,0))</f>
        <v>34.818854010000003</v>
      </c>
      <c r="AL690" s="270" t="str">
        <f>IF(ISNUMBER(SEARCH("C", 'Dry_Litterbag Placem_Collection'!V31)),"YES","NO")</f>
        <v>NO</v>
      </c>
      <c r="AM690" s="270" t="str">
        <f>IF(ISNUMBER(SEARCH("H", 'Dry_Litterbag Placem_Collection'!V31)),"YES","NO")</f>
        <v>NO</v>
      </c>
      <c r="AN690" s="270" t="str">
        <f>IF(ISNUMBER(SEARCH("R", 'Dry_Litterbag Placem_Collection'!V31)),"YES","NO")</f>
        <v>NO</v>
      </c>
    </row>
    <row r="691" spans="1:40" ht="15" customHeight="1">
      <c r="A691" s="262" t="s">
        <v>2659</v>
      </c>
      <c r="B691" s="263">
        <f>'Dry_Litterbag Placem_Collection'!A32</f>
        <v>30</v>
      </c>
      <c r="C691" s="263" t="str">
        <f>'Dry_Litterbag Placem_Collection'!B32</f>
        <v>Makao</v>
      </c>
      <c r="D691" s="263" t="s">
        <v>2659</v>
      </c>
      <c r="E691" s="263" t="s">
        <v>2660</v>
      </c>
      <c r="F691" s="263">
        <v>4</v>
      </c>
      <c r="G691" s="264" t="str">
        <f>'Dry_Litterbag Placem_Collection'!C32</f>
        <v>Dry_Ag4_T6</v>
      </c>
      <c r="H691" s="273" t="s">
        <v>3651</v>
      </c>
      <c r="I691" s="274" t="s">
        <v>298</v>
      </c>
      <c r="J691" s="263" t="str">
        <f>IF(ISBLANK('Dry_Litterbag Placem_Collection'!M32),"","R"&amp;""&amp;'Dry_Litterbag Placem_Collection'!M32)</f>
        <v>R345</v>
      </c>
      <c r="K691" s="267">
        <f>IFERROR(INDEX('Green_rooibos initial weight'!$C$5:$C$1749,MATCH(J691, 'Green_rooibos initial weight'!$A$5:$A$1749,0)),"")</f>
        <v>2.2599999999999998</v>
      </c>
      <c r="L691" s="267">
        <f>IFERROR(K691-(TBIcalc!$Q$9+TBIcalc!$Q$10),"")</f>
        <v>2.0101999999999998</v>
      </c>
      <c r="M691" s="391">
        <f>AVERAGE(Ashed_controlls!$K$12:$K$14)</f>
        <v>2.2816647271287041</v>
      </c>
      <c r="N691" s="267">
        <f t="shared" si="51"/>
        <v>1.9643339756552585</v>
      </c>
      <c r="O691" s="267">
        <f>IF(IFERROR(INDEX('Both teabags AfterDry'!$D$3:$D$900,MATCH(J691,'Both teabags AfterDry'!$A$3:$A$900,0)),"")="","",(IFERROR(INDEX('Both teabags AfterDry'!$D$3:$D$900,MATCH(J691,'Both teabags AfterDry'!$A$3:$A$900,0)),"")))</f>
        <v>2.0409000000000002</v>
      </c>
      <c r="P691" s="267">
        <f>IFERROR(IF(O691&gt;0,O691-(TBIcalc!$Q$9),""),"")</f>
        <v>1.8903000000000001</v>
      </c>
      <c r="Q691" s="278">
        <f>IFERROR(INDEX('Ashed teabags dry'!$K$2:$K$825,MATCH(J691,'Ashed teabags dry'!$A$2:$A$825,0)),"")</f>
        <v>2.2449975597850815</v>
      </c>
      <c r="R691" s="278">
        <f t="shared" si="52"/>
        <v>1.8478628111273827</v>
      </c>
      <c r="S691" s="268">
        <f>'Dry_Litterbag Placem_Collection'!E32</f>
        <v>42936</v>
      </c>
      <c r="T691" s="268">
        <f>IF('Dry_Litterbag Placem_Collection'!G32="","",'Dry_Litterbag Placem_Collection'!G32)</f>
        <v>43007</v>
      </c>
      <c r="U691" s="269">
        <f t="shared" si="50"/>
        <v>71</v>
      </c>
      <c r="V691" s="267">
        <f t="shared" si="53"/>
        <v>0.11989999999999967</v>
      </c>
      <c r="W691" s="267">
        <f t="shared" si="54"/>
        <v>0.11647116452787576</v>
      </c>
      <c r="X691" s="271">
        <f>IFERROR(INDEX(Rainfall_Dry!$O$2:$O$217,MATCH(B691, Rainfall_Dry!$A$2:$A$217,0)),"")</f>
        <v>6.900000125</v>
      </c>
      <c r="Y691" s="260">
        <v>51.960000000000008</v>
      </c>
      <c r="Z691" s="260">
        <v>18.919999999999995</v>
      </c>
      <c r="AA691" s="260">
        <v>29.120000000000005</v>
      </c>
      <c r="AB691" s="261" t="s">
        <v>2673</v>
      </c>
      <c r="AC691" s="260">
        <v>6.8529324790537203</v>
      </c>
      <c r="AD691" t="str">
        <f>IF('WetLitterbags placem_collection'!AB32="","",'WetLitterbags placem_collection'!AB32)</f>
        <v/>
      </c>
      <c r="AE691" t="str">
        <f>IF('WetLitterbags placem_collection'!Z32="","",'WetLitterbags placem_collection'!Z32)</f>
        <v/>
      </c>
      <c r="AF691" s="24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71">
        <f>IFERROR(AVERAGE('Dry_Litterbag Placem_Collection'!N32,'Dry_Litterbag Placem_Collection'!Q32),"")</f>
        <v>24</v>
      </c>
      <c r="AJ691" s="270">
        <f>INDEX(Coordinates!$B$2:$B$197,MATCH(G691,Coordinates!$J$2:$J$197,0))</f>
        <v>-3.38496496</v>
      </c>
      <c r="AK691" s="270">
        <f>INDEX(Coordinates!$C$2:$C$197,MATCH(G691,Coordinates!$J$2:$J$197,0))</f>
        <v>34.818790970000002</v>
      </c>
      <c r="AL691" s="270" t="str">
        <f>IF(ISNUMBER(SEARCH("C", 'Dry_Litterbag Placem_Collection'!V32)),"YES","NO")</f>
        <v>NO</v>
      </c>
      <c r="AM691" s="270" t="str">
        <f>IF(ISNUMBER(SEARCH("H", 'Dry_Litterbag Placem_Collection'!V32)),"YES","NO")</f>
        <v>NO</v>
      </c>
      <c r="AN691" s="270" t="str">
        <f>IF(ISNUMBER(SEARCH("R", 'Dry_Litterbag Placem_Collection'!V32)),"YES","NO")</f>
        <v>NO</v>
      </c>
    </row>
    <row r="692" spans="1:40" ht="15" customHeight="1">
      <c r="A692" s="262" t="s">
        <v>2659</v>
      </c>
      <c r="B692" s="263">
        <f>'Dry_Litterbag Placem_Collection'!A33</f>
        <v>31</v>
      </c>
      <c r="C692" s="263" t="str">
        <f>'Dry_Litterbag Placem_Collection'!B33</f>
        <v>Makao</v>
      </c>
      <c r="D692" s="263" t="s">
        <v>2659</v>
      </c>
      <c r="E692" s="263" t="s">
        <v>2660</v>
      </c>
      <c r="F692" s="263">
        <v>4</v>
      </c>
      <c r="G692" s="264" t="str">
        <f>'Dry_Litterbag Placem_Collection'!C33</f>
        <v>Dry_Ag4_T7</v>
      </c>
      <c r="H692" s="273" t="s">
        <v>3651</v>
      </c>
      <c r="I692" s="274" t="s">
        <v>298</v>
      </c>
      <c r="J692" s="263" t="str">
        <f>IF(ISBLANK('Dry_Litterbag Placem_Collection'!M33),"","R"&amp;""&amp;'Dry_Litterbag Placem_Collection'!M33)</f>
        <v/>
      </c>
      <c r="K692" s="267" t="str">
        <f>IFERROR(INDEX('Green_rooibos initial weight'!$C$5:$C$1749,MATCH(J692, 'Green_rooibos initial weight'!$A$5:$A$1749,0)),"")</f>
        <v/>
      </c>
      <c r="L692" s="267" t="str">
        <f>IFERROR(K692-(TBIcalc!$Q$9+TBIcalc!$Q$10),"")</f>
        <v/>
      </c>
      <c r="M692" s="391">
        <f>AVERAGE(Ashed_controlls!$K$12:$K$14)</f>
        <v>2.2816647271287041</v>
      </c>
      <c r="N692" s="267" t="str">
        <f t="shared" si="51"/>
        <v/>
      </c>
      <c r="O692" s="267" t="str">
        <f>IF(IFERROR(INDEX('Both teabags AfterDry'!$D$3:$D$900,MATCH(J692,'Both teabags AfterDry'!$A$3:$A$900,0)),"")="","",(IFERROR(INDEX('Both teabags AfterDry'!$D$3:$D$900,MATCH(J692,'Both teabags AfterDry'!$A$3:$A$900,0)),"")))</f>
        <v/>
      </c>
      <c r="P692" s="267" t="str">
        <f>IFERROR(IF(O692&gt;0,O692-(TBIcalc!$Q$9),""),"")</f>
        <v/>
      </c>
      <c r="Q692" s="278" t="str">
        <f>IFERROR(INDEX('Ashed teabags dry'!$K$2:$K$825,MATCH(J692,'Ashed teabags dry'!$A$2:$A$825,0)),"")</f>
        <v/>
      </c>
      <c r="R692" s="278" t="str">
        <f t="shared" si="52"/>
        <v/>
      </c>
      <c r="S692" s="268">
        <f>'Dry_Litterbag Placem_Collection'!E33</f>
        <v>0</v>
      </c>
      <c r="T692" s="268" t="str">
        <f>IF('Dry_Litterbag Placem_Collection'!G33="","",'Dry_Litterbag Placem_Collection'!G33)</f>
        <v/>
      </c>
      <c r="U692" s="269" t="str">
        <f t="shared" si="50"/>
        <v/>
      </c>
      <c r="V692" s="267" t="str">
        <f t="shared" si="53"/>
        <v/>
      </c>
      <c r="W692" s="267" t="str">
        <f t="shared" si="54"/>
        <v/>
      </c>
      <c r="X692" s="271" t="str">
        <f>IFERROR(INDEX(Rainfall_Dry!$O$2:$O$217,MATCH(B692, Rainfall_Dry!$A$2:$A$217,0)),"")</f>
        <v/>
      </c>
      <c r="Y692" s="260">
        <v>51.960000000000008</v>
      </c>
      <c r="Z692" s="260">
        <v>18.919999999999995</v>
      </c>
      <c r="AA692" s="260">
        <v>29.120000000000005</v>
      </c>
      <c r="AB692" s="261" t="s">
        <v>2673</v>
      </c>
      <c r="AC692" s="260">
        <v>7.8529324790537203</v>
      </c>
      <c r="AD692" t="str">
        <f>IF('WetLitterbags placem_collection'!AB33="","",'WetLitterbags placem_collection'!AB33)</f>
        <v/>
      </c>
      <c r="AE692" t="str">
        <f>IF('WetLitterbags placem_collection'!Z33="","",'WetLitterbags placem_collection'!Z33)</f>
        <v/>
      </c>
      <c r="AF692" s="24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71" t="str">
        <f>IFERROR(AVERAGE('Dry_Litterbag Placem_Collection'!N33,'Dry_Litterbag Placem_Collection'!Q33),"")</f>
        <v/>
      </c>
      <c r="AJ692" s="270">
        <f>INDEX(Coordinates!$B$2:$B$197,MATCH(G692,Coordinates!$J$2:$J$197,0))</f>
        <v>-3.3848409909999999</v>
      </c>
      <c r="AK692" s="270">
        <f>INDEX(Coordinates!$C$2:$C$197,MATCH(G692,Coordinates!$J$2:$J$197,0))</f>
        <v>34.818838999999997</v>
      </c>
      <c r="AL692" s="270" t="str">
        <f>IF(ISNUMBER(SEARCH("C", 'Dry_Litterbag Placem_Collection'!V33)),"YES","NO")</f>
        <v>NO</v>
      </c>
      <c r="AM692" s="270" t="str">
        <f>IF(ISNUMBER(SEARCH("H", 'Dry_Litterbag Placem_Collection'!V33)),"YES","NO")</f>
        <v>NO</v>
      </c>
      <c r="AN692" s="270" t="str">
        <f>IF(ISNUMBER(SEARCH("R", 'Dry_Litterbag Placem_Collection'!V33)),"YES","NO")</f>
        <v>NO</v>
      </c>
    </row>
    <row r="693" spans="1:40" ht="15" customHeight="1">
      <c r="A693" s="262" t="s">
        <v>2659</v>
      </c>
      <c r="B693" s="263">
        <f>'Dry_Litterbag Placem_Collection'!A34</f>
        <v>32</v>
      </c>
      <c r="C693" s="263" t="str">
        <f>'Dry_Litterbag Placem_Collection'!B34</f>
        <v>Makao</v>
      </c>
      <c r="D693" s="263" t="s">
        <v>2659</v>
      </c>
      <c r="E693" s="263" t="s">
        <v>2660</v>
      </c>
      <c r="F693" s="263">
        <v>4</v>
      </c>
      <c r="G693" s="264" t="str">
        <f>'Dry_Litterbag Placem_Collection'!C34</f>
        <v>Dry_Ag4_T8</v>
      </c>
      <c r="H693" s="273" t="s">
        <v>3651</v>
      </c>
      <c r="I693" s="274" t="s">
        <v>298</v>
      </c>
      <c r="J693" s="263" t="str">
        <f>IF(ISBLANK('Dry_Litterbag Placem_Collection'!M34),"","R"&amp;""&amp;'Dry_Litterbag Placem_Collection'!M34)</f>
        <v>R660</v>
      </c>
      <c r="K693" s="267">
        <f>IFERROR(INDEX('Green_rooibos initial weight'!$C$5:$C$1749,MATCH(J693, 'Green_rooibos initial weight'!$A$5:$A$1749,0)),"")</f>
        <v>2.2080000000000002</v>
      </c>
      <c r="L693" s="267">
        <f>IFERROR(K693-(TBIcalc!$Q$9+TBIcalc!$Q$10),"")</f>
        <v>1.9582000000000002</v>
      </c>
      <c r="M693" s="391">
        <f>AVERAGE(Ashed_controlls!$K$12:$K$14)</f>
        <v>2.2816647271287041</v>
      </c>
      <c r="N693" s="267">
        <f t="shared" si="51"/>
        <v>1.913520441313366</v>
      </c>
      <c r="O693" s="267">
        <f>IF(IFERROR(INDEX('Both teabags AfterDry'!$D$3:$D$900,MATCH(J693,'Both teabags AfterDry'!$A$3:$A$900,0)),"")="","",(IFERROR(INDEX('Both teabags AfterDry'!$D$3:$D$900,MATCH(J693,'Both teabags AfterDry'!$A$3:$A$900,0)),"")))</f>
        <v>2.0331000000000001</v>
      </c>
      <c r="P693" s="267">
        <f>IFERROR(IF(O693&gt;0,O693-(TBIcalc!$Q$9),""),"")</f>
        <v>1.8825000000000001</v>
      </c>
      <c r="Q693" s="278">
        <f>IFERROR(INDEX('Ashed teabags dry'!$K$2:$K$825,MATCH(J693,'Ashed teabags dry'!$A$2:$A$825,0)),"")</f>
        <v>2.8682547399117464</v>
      </c>
      <c r="R693" s="278">
        <f t="shared" si="52"/>
        <v>1.8285051045211613</v>
      </c>
      <c r="S693" s="268">
        <f>'Dry_Litterbag Placem_Collection'!E34</f>
        <v>42936</v>
      </c>
      <c r="T693" s="268">
        <f>IF('Dry_Litterbag Placem_Collection'!G34="","",'Dry_Litterbag Placem_Collection'!G34)</f>
        <v>43007</v>
      </c>
      <c r="U693" s="269">
        <f t="shared" si="50"/>
        <v>71</v>
      </c>
      <c r="V693" s="267">
        <f t="shared" si="53"/>
        <v>7.5700000000000101E-2</v>
      </c>
      <c r="W693" s="267">
        <f t="shared" si="54"/>
        <v>8.5015336792204632E-2</v>
      </c>
      <c r="X693" s="271">
        <f>IFERROR(INDEX(Rainfall_Dry!$O$2:$O$217,MATCH(B693, Rainfall_Dry!$A$2:$A$217,0)),"")</f>
        <v>6.900000125</v>
      </c>
      <c r="Y693" s="260">
        <v>51.960000000000008</v>
      </c>
      <c r="Z693" s="260">
        <v>18.919999999999995</v>
      </c>
      <c r="AA693" s="260">
        <v>29.120000000000005</v>
      </c>
      <c r="AB693" s="261" t="s">
        <v>2673</v>
      </c>
      <c r="AC693" s="260">
        <v>8.8529324790537203</v>
      </c>
      <c r="AD693" t="str">
        <f>IF('WetLitterbags placem_collection'!AB34="","",'WetLitterbags placem_collection'!AB34)</f>
        <v/>
      </c>
      <c r="AE693" t="str">
        <f>IF('WetLitterbags placem_collection'!Z34="","",'WetLitterbags placem_collection'!Z34)</f>
        <v/>
      </c>
      <c r="AF693" s="24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71">
        <f>IFERROR(AVERAGE('Dry_Litterbag Placem_Collection'!N34,'Dry_Litterbag Placem_Collection'!Q34),"")</f>
        <v>25.45</v>
      </c>
      <c r="AJ693" s="270">
        <f>INDEX(Coordinates!$B$2:$B$197,MATCH(G693,Coordinates!$J$2:$J$197,0))</f>
        <v>-3.3849010060000002</v>
      </c>
      <c r="AK693" s="270">
        <f>INDEX(Coordinates!$C$2:$C$197,MATCH(G693,Coordinates!$J$2:$J$197,0))</f>
        <v>34.818979990000003</v>
      </c>
      <c r="AL693" s="270" t="str">
        <f>IF(ISNUMBER(SEARCH("C", 'Dry_Litterbag Placem_Collection'!V34)),"YES","NO")</f>
        <v>NO</v>
      </c>
      <c r="AM693" s="270" t="str">
        <f>IF(ISNUMBER(SEARCH("H", 'Dry_Litterbag Placem_Collection'!V34)),"YES","NO")</f>
        <v>NO</v>
      </c>
      <c r="AN693" s="270" t="str">
        <f>IF(ISNUMBER(SEARCH("R", 'Dry_Litterbag Placem_Collection'!V34)),"YES","NO")</f>
        <v>NO</v>
      </c>
    </row>
    <row r="694" spans="1:40" ht="15" customHeight="1">
      <c r="A694" s="262" t="s">
        <v>2659</v>
      </c>
      <c r="B694" s="263">
        <f>'Dry_Litterbag Placem_Collection'!A35</f>
        <v>33</v>
      </c>
      <c r="C694" s="263" t="str">
        <f>'Dry_Litterbag Placem_Collection'!B35</f>
        <v>Makao</v>
      </c>
      <c r="D694" s="263" t="s">
        <v>2659</v>
      </c>
      <c r="E694" s="263" t="s">
        <v>20</v>
      </c>
      <c r="F694" s="263">
        <v>1</v>
      </c>
      <c r="G694" s="264" t="str">
        <f>'Dry_Litterbag Placem_Collection'!C35</f>
        <v>Dry_P1_T1</v>
      </c>
      <c r="H694" s="273" t="s">
        <v>3651</v>
      </c>
      <c r="I694" s="274" t="s">
        <v>298</v>
      </c>
      <c r="J694" s="263" t="str">
        <f>IF(ISBLANK('Dry_Litterbag Placem_Collection'!M35),"","R"&amp;""&amp;'Dry_Litterbag Placem_Collection'!M35)</f>
        <v>R712</v>
      </c>
      <c r="K694" s="267">
        <f>IFERROR(INDEX('Green_rooibos initial weight'!$C$5:$C$1749,MATCH(J694, 'Green_rooibos initial weight'!$A$5:$A$1749,0)),"")</f>
        <v>2.161</v>
      </c>
      <c r="L694" s="267">
        <f>IFERROR(K694-(TBIcalc!$Q$9+TBIcalc!$Q$10),"")</f>
        <v>1.9112</v>
      </c>
      <c r="M694" s="391">
        <f>AVERAGE(Ashed_controlls!$K$12:$K$14)</f>
        <v>2.2816647271287041</v>
      </c>
      <c r="N694" s="267">
        <f t="shared" si="51"/>
        <v>1.8675928237351163</v>
      </c>
      <c r="O694" s="267">
        <f>IF(IFERROR(INDEX('Both teabags AfterDry'!$D$3:$D$900,MATCH(J694,'Both teabags AfterDry'!$A$3:$A$900,0)),"")="","",(IFERROR(INDEX('Both teabags AfterDry'!$D$3:$D$900,MATCH(J694,'Both teabags AfterDry'!$A$3:$A$900,0)),"")))</f>
        <v>1.9524999999999999</v>
      </c>
      <c r="P694" s="267">
        <f>IFERROR(IF(O694&gt;0,O694-(TBIcalc!$Q$9),""),"")</f>
        <v>1.8018999999999998</v>
      </c>
      <c r="Q694" s="278">
        <f>IFERROR(INDEX('Ashed teabags dry'!$K$2:$K$825,MATCH(J694,'Ashed teabags dry'!$A$2:$A$825,0)),"")</f>
        <v>2.162162162162347</v>
      </c>
      <c r="R694" s="278">
        <f t="shared" si="52"/>
        <v>1.7629399999999964</v>
      </c>
      <c r="S694" s="268">
        <f>'Dry_Litterbag Placem_Collection'!E35</f>
        <v>42938</v>
      </c>
      <c r="T694" s="268">
        <f>IF('Dry_Litterbag Placem_Collection'!G35="","",'Dry_Litterbag Placem_Collection'!G35)</f>
        <v>43005</v>
      </c>
      <c r="U694" s="269">
        <f t="shared" si="50"/>
        <v>67</v>
      </c>
      <c r="V694" s="267">
        <f t="shared" si="53"/>
        <v>0.10930000000000017</v>
      </c>
      <c r="W694" s="267">
        <f t="shared" si="54"/>
        <v>0.10465282373511986</v>
      </c>
      <c r="X694" s="271">
        <f>IFERROR(INDEX(Rainfall_Dry!$O$2:$O$217,MATCH(B694, Rainfall_Dry!$A$2:$A$217,0)),"")</f>
        <v>6.5250000359999998</v>
      </c>
      <c r="Y694" s="260">
        <v>23.96</v>
      </c>
      <c r="Z694" s="260">
        <v>0.91999999999999804</v>
      </c>
      <c r="AA694" s="260">
        <v>75.12</v>
      </c>
      <c r="AB694" s="261" t="s">
        <v>2670</v>
      </c>
      <c r="AC694" s="260">
        <v>1.2493839329719072</v>
      </c>
      <c r="AD694">
        <f>IF('WetLitterbags placem_collection'!AB35="","",'WetLitterbags placem_collection'!AB35)</f>
        <v>9.5</v>
      </c>
      <c r="AE694">
        <f>IF('WetLitterbags placem_collection'!Z35="","",'WetLitterbags placem_collection'!Z35)</f>
        <v>17.2</v>
      </c>
      <c r="AF694" s="24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71">
        <f>IFERROR(AVERAGE('Dry_Litterbag Placem_Collection'!N35,'Dry_Litterbag Placem_Collection'!Q35),"")</f>
        <v>26.15</v>
      </c>
      <c r="AJ694" s="270">
        <f>INDEX(Coordinates!$B$2:$B$197,MATCH(G694,Coordinates!$J$2:$J$197,0))</f>
        <v>-3.4092039989999998</v>
      </c>
      <c r="AK694" s="270">
        <f>INDEX(Coordinates!$C$2:$C$197,MATCH(G694,Coordinates!$J$2:$J$197,0))</f>
        <v>34.852751009999999</v>
      </c>
      <c r="AL694" s="270" t="str">
        <f>IF(ISNUMBER(SEARCH("C", 'Dry_Litterbag Placem_Collection'!V35)),"YES","NO")</f>
        <v>NO</v>
      </c>
      <c r="AM694" s="270" t="str">
        <f>IF(ISNUMBER(SEARCH("H", 'Dry_Litterbag Placem_Collection'!V35)),"YES","NO")</f>
        <v>NO</v>
      </c>
      <c r="AN694" s="270" t="str">
        <f>IF(ISNUMBER(SEARCH("R", 'Dry_Litterbag Placem_Collection'!V35)),"YES","NO")</f>
        <v>NO</v>
      </c>
    </row>
    <row r="695" spans="1:40" ht="15" customHeight="1">
      <c r="A695" s="262" t="s">
        <v>2659</v>
      </c>
      <c r="B695" s="263">
        <f>'Dry_Litterbag Placem_Collection'!A36</f>
        <v>34</v>
      </c>
      <c r="C695" s="263" t="str">
        <f>'Dry_Litterbag Placem_Collection'!B36</f>
        <v>Makao</v>
      </c>
      <c r="D695" s="263" t="s">
        <v>2659</v>
      </c>
      <c r="E695" s="263" t="s">
        <v>20</v>
      </c>
      <c r="F695" s="263">
        <v>1</v>
      </c>
      <c r="G695" s="264" t="str">
        <f>'Dry_Litterbag Placem_Collection'!C36</f>
        <v>Dry_P1_T2</v>
      </c>
      <c r="H695" s="273" t="s">
        <v>3651</v>
      </c>
      <c r="I695" s="274" t="s">
        <v>298</v>
      </c>
      <c r="J695" s="263" t="str">
        <f>IF(ISBLANK('Dry_Litterbag Placem_Collection'!M36),"","R"&amp;""&amp;'Dry_Litterbag Placem_Collection'!M36)</f>
        <v>R324</v>
      </c>
      <c r="K695" s="267">
        <f>IFERROR(INDEX('Green_rooibos initial weight'!$C$5:$C$1749,MATCH(J695, 'Green_rooibos initial weight'!$A$5:$A$1749,0)),"")</f>
        <v>2.2410000000000001</v>
      </c>
      <c r="L695" s="267">
        <f>IFERROR(K695-(TBIcalc!$Q$9+TBIcalc!$Q$10),"")</f>
        <v>1.9912000000000001</v>
      </c>
      <c r="M695" s="391">
        <f>AVERAGE(Ashed_controlls!$K$12:$K$14)</f>
        <v>2.2816647271287041</v>
      </c>
      <c r="N695" s="267">
        <f t="shared" si="51"/>
        <v>1.9457674919534134</v>
      </c>
      <c r="O695" s="267" t="str">
        <f>IF(IFERROR(INDEX('Both teabags AfterDry'!$D$3:$D$900,MATCH(J695,'Both teabags AfterDry'!$A$3:$A$900,0)),"")="","",(IFERROR(INDEX('Both teabags AfterDry'!$D$3:$D$900,MATCH(J695,'Both teabags AfterDry'!$A$3:$A$900,0)),"")))</f>
        <v/>
      </c>
      <c r="P695" s="267" t="str">
        <f>IFERROR(IF(O695&gt;0,O695-(TBIcalc!$Q$9),""),"")</f>
        <v/>
      </c>
      <c r="Q695" s="278" t="str">
        <f>IFERROR(INDEX('Ashed teabags dry'!$K$2:$K$825,MATCH(J695,'Ashed teabags dry'!$A$2:$A$825,0)),"")</f>
        <v/>
      </c>
      <c r="R695" s="278" t="str">
        <f t="shared" si="52"/>
        <v/>
      </c>
      <c r="S695" s="268">
        <f>'Dry_Litterbag Placem_Collection'!E36</f>
        <v>42938</v>
      </c>
      <c r="T695" s="268">
        <f>IF('Dry_Litterbag Placem_Collection'!G36="","",'Dry_Litterbag Placem_Collection'!G36)</f>
        <v>43005</v>
      </c>
      <c r="U695" s="269">
        <f t="shared" si="50"/>
        <v>67</v>
      </c>
      <c r="V695" s="267" t="str">
        <f t="shared" si="53"/>
        <v/>
      </c>
      <c r="W695" s="267" t="str">
        <f t="shared" si="54"/>
        <v/>
      </c>
      <c r="X695" s="271">
        <f>IFERROR(INDEX(Rainfall_Dry!$O$2:$O$217,MATCH(B695, Rainfall_Dry!$A$2:$A$217,0)),"")</f>
        <v>6.5250000359999998</v>
      </c>
      <c r="Y695" s="260">
        <v>23.96</v>
      </c>
      <c r="Z695" s="260">
        <v>0.91999999999999804</v>
      </c>
      <c r="AA695" s="260">
        <v>75.12</v>
      </c>
      <c r="AB695" s="261" t="s">
        <v>2670</v>
      </c>
      <c r="AC695" s="260">
        <v>1.2493839329719072</v>
      </c>
      <c r="AD695">
        <f>IF('WetLitterbags placem_collection'!AB36="","",'WetLitterbags placem_collection'!AB36)</f>
        <v>6.5</v>
      </c>
      <c r="AE695">
        <f>IF('WetLitterbags placem_collection'!Z36="","",'WetLitterbags placem_collection'!Z36)</f>
        <v>14.2</v>
      </c>
      <c r="AF695" s="24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71">
        <f>IFERROR(AVERAGE('Dry_Litterbag Placem_Collection'!N36,'Dry_Litterbag Placem_Collection'!Q36),"")</f>
        <v>26.9</v>
      </c>
      <c r="AJ695" s="270">
        <f>INDEX(Coordinates!$B$2:$B$197,MATCH(G695,Coordinates!$J$2:$J$197,0))</f>
        <v>-3.4092350119999999</v>
      </c>
      <c r="AK695" s="270">
        <f>INDEX(Coordinates!$C$2:$C$197,MATCH(G695,Coordinates!$J$2:$J$197,0))</f>
        <v>34.852782019999999</v>
      </c>
      <c r="AL695" s="270" t="str">
        <f>IF(ISNUMBER(SEARCH("C", 'Dry_Litterbag Placem_Collection'!V36)),"YES","NO")</f>
        <v>NO</v>
      </c>
      <c r="AM695" s="270" t="str">
        <f>IF(ISNUMBER(SEARCH("H", 'Dry_Litterbag Placem_Collection'!V36)),"YES","NO")</f>
        <v>NO</v>
      </c>
      <c r="AN695" s="270" t="str">
        <f>IF(ISNUMBER(SEARCH("R", 'Dry_Litterbag Placem_Collection'!V36)),"YES","NO")</f>
        <v>NO</v>
      </c>
    </row>
    <row r="696" spans="1:40" ht="15" customHeight="1">
      <c r="A696" s="262" t="s">
        <v>2659</v>
      </c>
      <c r="B696" s="263">
        <f>'Dry_Litterbag Placem_Collection'!A37</f>
        <v>35</v>
      </c>
      <c r="C696" s="263" t="str">
        <f>'Dry_Litterbag Placem_Collection'!B37</f>
        <v>Makao</v>
      </c>
      <c r="D696" s="263" t="s">
        <v>2659</v>
      </c>
      <c r="E696" s="263" t="s">
        <v>20</v>
      </c>
      <c r="F696" s="263">
        <v>1</v>
      </c>
      <c r="G696" s="264" t="str">
        <f>'Dry_Litterbag Placem_Collection'!C37</f>
        <v>Dry_P1_T3</v>
      </c>
      <c r="H696" s="273" t="s">
        <v>3651</v>
      </c>
      <c r="I696" s="274" t="s">
        <v>298</v>
      </c>
      <c r="J696" s="263" t="str">
        <f>IF(ISBLANK('Dry_Litterbag Placem_Collection'!M37),"","R"&amp;""&amp;'Dry_Litterbag Placem_Collection'!M37)</f>
        <v>R108</v>
      </c>
      <c r="K696" s="267">
        <f>IFERROR(INDEX('Green_rooibos initial weight'!$C$5:$C$1749,MATCH(J696, 'Green_rooibos initial weight'!$A$5:$A$1749,0)),"")</f>
        <v>2.1680000000000001</v>
      </c>
      <c r="L696" s="267">
        <f>IFERROR(K696-(TBIcalc!$Q$9+TBIcalc!$Q$10),"")</f>
        <v>1.9182000000000001</v>
      </c>
      <c r="M696" s="391">
        <f>AVERAGE(Ashed_controlls!$K$12:$K$14)</f>
        <v>2.2816647271287041</v>
      </c>
      <c r="N696" s="267">
        <f t="shared" si="51"/>
        <v>1.8744331072042173</v>
      </c>
      <c r="O696" s="267">
        <f>IF(IFERROR(INDEX('Both teabags AfterDry'!$D$3:$D$900,MATCH(J696,'Both teabags AfterDry'!$A$3:$A$900,0)),"")="","",(IFERROR(INDEX('Both teabags AfterDry'!$D$3:$D$900,MATCH(J696,'Both teabags AfterDry'!$A$3:$A$900,0)),"")))</f>
        <v>1.9638</v>
      </c>
      <c r="P696" s="267">
        <f>IFERROR(IF(O696&gt;0,O696-(TBIcalc!$Q$9),""),"")</f>
        <v>1.8131999999999999</v>
      </c>
      <c r="Q696" s="278">
        <f>IFERROR(INDEX('Ashed teabags dry'!$K$2:$K$825,MATCH(J696,'Ashed teabags dry'!$A$2:$A$825,0)),"")</f>
        <v>2.5853658536585367</v>
      </c>
      <c r="R696" s="278">
        <f t="shared" si="52"/>
        <v>1.7663221463414633</v>
      </c>
      <c r="S696" s="268">
        <f>'Dry_Litterbag Placem_Collection'!E37</f>
        <v>42938</v>
      </c>
      <c r="T696" s="268">
        <f>IF('Dry_Litterbag Placem_Collection'!G37="","",'Dry_Litterbag Placem_Collection'!G37)</f>
        <v>43005</v>
      </c>
      <c r="U696" s="269">
        <f t="shared" si="50"/>
        <v>67</v>
      </c>
      <c r="V696" s="267">
        <f t="shared" si="53"/>
        <v>0.1050000000000002</v>
      </c>
      <c r="W696" s="267">
        <f t="shared" si="54"/>
        <v>0.10811096086275396</v>
      </c>
      <c r="X696" s="271">
        <f>IFERROR(INDEX(Rainfall_Dry!$O$2:$O$217,MATCH(B696, Rainfall_Dry!$A$2:$A$217,0)),"")</f>
        <v>6.5250000359999998</v>
      </c>
      <c r="Y696" s="260">
        <v>23.96</v>
      </c>
      <c r="Z696" s="260">
        <v>0.91999999999999804</v>
      </c>
      <c r="AA696" s="260">
        <v>75.12</v>
      </c>
      <c r="AB696" s="261" t="s">
        <v>2670</v>
      </c>
      <c r="AC696" s="260">
        <v>1.2493839329719072</v>
      </c>
      <c r="AD696">
        <f>IF('WetLitterbags placem_collection'!AB37="","",'WetLitterbags placem_collection'!AB37)</f>
        <v>0.7</v>
      </c>
      <c r="AE696">
        <f>IF('WetLitterbags placem_collection'!Z37="","",'WetLitterbags placem_collection'!Z37)</f>
        <v>10.6</v>
      </c>
      <c r="AF696" s="24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71">
        <f>IFERROR(AVERAGE('Dry_Litterbag Placem_Collection'!N37,'Dry_Litterbag Placem_Collection'!Q37),"")</f>
        <v>26.95</v>
      </c>
      <c r="AJ696" s="270">
        <f>INDEX(Coordinates!$B$2:$B$197,MATCH(G696,Coordinates!$J$2:$J$197,0))</f>
        <v>-3.409177009</v>
      </c>
      <c r="AK696" s="270">
        <f>INDEX(Coordinates!$C$2:$C$197,MATCH(G696,Coordinates!$J$2:$J$197,0))</f>
        <v>34.852818990000003</v>
      </c>
      <c r="AL696" s="270" t="str">
        <f>IF(ISNUMBER(SEARCH("C", 'Dry_Litterbag Placem_Collection'!V37)),"YES","NO")</f>
        <v>NO</v>
      </c>
      <c r="AM696" s="270" t="str">
        <f>IF(ISNUMBER(SEARCH("H", 'Dry_Litterbag Placem_Collection'!V37)),"YES","NO")</f>
        <v>NO</v>
      </c>
      <c r="AN696" s="270" t="str">
        <f>IF(ISNUMBER(SEARCH("R", 'Dry_Litterbag Placem_Collection'!V37)),"YES","NO")</f>
        <v>NO</v>
      </c>
    </row>
    <row r="697" spans="1:40" ht="15" customHeight="1">
      <c r="A697" s="262" t="s">
        <v>2659</v>
      </c>
      <c r="B697" s="263">
        <f>'Dry_Litterbag Placem_Collection'!A38</f>
        <v>36</v>
      </c>
      <c r="C697" s="263" t="str">
        <f>'Dry_Litterbag Placem_Collection'!B38</f>
        <v>Makao</v>
      </c>
      <c r="D697" s="263" t="s">
        <v>2659</v>
      </c>
      <c r="E697" s="263" t="s">
        <v>20</v>
      </c>
      <c r="F697" s="263">
        <v>1</v>
      </c>
      <c r="G697" s="264" t="str">
        <f>'Dry_Litterbag Placem_Collection'!C38</f>
        <v>Dry_P1_T4</v>
      </c>
      <c r="H697" s="273" t="s">
        <v>3651</v>
      </c>
      <c r="I697" s="274" t="s">
        <v>298</v>
      </c>
      <c r="J697" s="263" t="str">
        <f>IF(ISBLANK('Dry_Litterbag Placem_Collection'!M38),"","R"&amp;""&amp;'Dry_Litterbag Placem_Collection'!M38)</f>
        <v>R152</v>
      </c>
      <c r="K697" s="267">
        <f>IFERROR(INDEX('Green_rooibos initial weight'!$C$5:$C$1749,MATCH(J697, 'Green_rooibos initial weight'!$A$5:$A$1749,0)),"")</f>
        <v>2.1800000000000002</v>
      </c>
      <c r="L697" s="267">
        <f>IFERROR(K697-(TBIcalc!$Q$9+TBIcalc!$Q$10),"")</f>
        <v>1.9302000000000001</v>
      </c>
      <c r="M697" s="391">
        <f>AVERAGE(Ashed_controlls!$K$12:$K$14)</f>
        <v>2.2816647271287041</v>
      </c>
      <c r="N697" s="267">
        <f t="shared" si="51"/>
        <v>1.8861593074369618</v>
      </c>
      <c r="O697" s="267" t="str">
        <f>IF(IFERROR(INDEX('Both teabags AfterDry'!$D$3:$D$900,MATCH(J697,'Both teabags AfterDry'!$A$3:$A$900,0)),"")="","",(IFERROR(INDEX('Both teabags AfterDry'!$D$3:$D$900,MATCH(J697,'Both teabags AfterDry'!$A$3:$A$900,0)),"")))</f>
        <v/>
      </c>
      <c r="P697" s="267" t="str">
        <f>IFERROR(IF(O697&gt;0,O697-(TBIcalc!$Q$9),""),"")</f>
        <v/>
      </c>
      <c r="Q697" s="278" t="str">
        <f>IFERROR(INDEX('Ashed teabags dry'!$K$2:$K$825,MATCH(J697,'Ashed teabags dry'!$A$2:$A$825,0)),"")</f>
        <v/>
      </c>
      <c r="R697" s="278" t="str">
        <f t="shared" si="52"/>
        <v/>
      </c>
      <c r="S697" s="268">
        <f>'Dry_Litterbag Placem_Collection'!E38</f>
        <v>42938</v>
      </c>
      <c r="T697" s="268">
        <f>IF('Dry_Litterbag Placem_Collection'!G38="","",'Dry_Litterbag Placem_Collection'!G38)</f>
        <v>43005</v>
      </c>
      <c r="U697" s="269">
        <f t="shared" si="50"/>
        <v>67</v>
      </c>
      <c r="V697" s="267" t="str">
        <f t="shared" si="53"/>
        <v/>
      </c>
      <c r="W697" s="267" t="str">
        <f t="shared" si="54"/>
        <v/>
      </c>
      <c r="X697" s="271">
        <f>IFERROR(INDEX(Rainfall_Dry!$O$2:$O$217,MATCH(B697, Rainfall_Dry!$A$2:$A$217,0)),"")</f>
        <v>6.5250000359999998</v>
      </c>
      <c r="Y697" s="260">
        <v>23.96</v>
      </c>
      <c r="Z697" s="260">
        <v>0.91999999999999804</v>
      </c>
      <c r="AA697" s="260">
        <v>75.12</v>
      </c>
      <c r="AB697" s="261" t="s">
        <v>2670</v>
      </c>
      <c r="AC697" s="260">
        <v>1.2493839329719072</v>
      </c>
      <c r="AD697">
        <f>IF('WetLitterbags placem_collection'!AB38="","",'WetLitterbags placem_collection'!AB38)</f>
        <v>3.3</v>
      </c>
      <c r="AE697">
        <f>IF('WetLitterbags placem_collection'!Z38="","",'WetLitterbags placem_collection'!Z38)</f>
        <v>4.9000000000000004</v>
      </c>
      <c r="AF697" s="24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71">
        <f>IFERROR(AVERAGE('Dry_Litterbag Placem_Collection'!N38,'Dry_Litterbag Placem_Collection'!Q38),"")</f>
        <v>25.85</v>
      </c>
      <c r="AJ697" s="270">
        <f>INDEX(Coordinates!$B$2:$B$197,MATCH(G697,Coordinates!$J$2:$J$197,0))</f>
        <v>-3.40917198</v>
      </c>
      <c r="AK697" s="270">
        <f>INDEX(Coordinates!$C$2:$C$197,MATCH(G697,Coordinates!$J$2:$J$197,0))</f>
        <v>34.852960979999999</v>
      </c>
      <c r="AL697" s="270" t="str">
        <f>IF(ISNUMBER(SEARCH("C", 'Dry_Litterbag Placem_Collection'!V38)),"YES","NO")</f>
        <v>NO</v>
      </c>
      <c r="AM697" s="270" t="str">
        <f>IF(ISNUMBER(SEARCH("H", 'Dry_Litterbag Placem_Collection'!V38)),"YES","NO")</f>
        <v>NO</v>
      </c>
      <c r="AN697" s="270" t="str">
        <f>IF(ISNUMBER(SEARCH("R", 'Dry_Litterbag Placem_Collection'!V38)),"YES","NO")</f>
        <v>NO</v>
      </c>
    </row>
    <row r="698" spans="1:40" ht="15" customHeight="1">
      <c r="A698" s="262" t="s">
        <v>2659</v>
      </c>
      <c r="B698" s="263">
        <f>'Dry_Litterbag Placem_Collection'!A39</f>
        <v>37</v>
      </c>
      <c r="C698" s="263" t="str">
        <f>'Dry_Litterbag Placem_Collection'!B39</f>
        <v>Makao</v>
      </c>
      <c r="D698" s="263" t="s">
        <v>2659</v>
      </c>
      <c r="E698" s="263" t="s">
        <v>20</v>
      </c>
      <c r="F698" s="263">
        <v>1</v>
      </c>
      <c r="G698" s="264" t="str">
        <f>'Dry_Litterbag Placem_Collection'!C39</f>
        <v>Dry_P1_T5</v>
      </c>
      <c r="H698" s="273" t="s">
        <v>3651</v>
      </c>
      <c r="I698" s="274" t="s">
        <v>298</v>
      </c>
      <c r="J698" s="263" t="str">
        <f>IF(ISBLANK('Dry_Litterbag Placem_Collection'!M39),"","R"&amp;""&amp;'Dry_Litterbag Placem_Collection'!M39)</f>
        <v>R681</v>
      </c>
      <c r="K698" s="267">
        <f>IFERROR(INDEX('Green_rooibos initial weight'!$C$5:$C$1749,MATCH(J698, 'Green_rooibos initial weight'!$A$5:$A$1749,0)),"")</f>
        <v>2.1859999999999999</v>
      </c>
      <c r="L698" s="267">
        <f>IFERROR(K698-(TBIcalc!$Q$9+TBIcalc!$Q$10),"")</f>
        <v>1.9361999999999999</v>
      </c>
      <c r="M698" s="391">
        <f>AVERAGE(Ashed_controlls!$K$12:$K$14)</f>
        <v>2.2816647271287041</v>
      </c>
      <c r="N698" s="267">
        <f t="shared" si="51"/>
        <v>1.8920224075533341</v>
      </c>
      <c r="O698" s="267">
        <f>IF(IFERROR(INDEX('Both teabags AfterDry'!$D$3:$D$900,MATCH(J698,'Both teabags AfterDry'!$A$3:$A$900,0)),"")="","",(IFERROR(INDEX('Both teabags AfterDry'!$D$3:$D$900,MATCH(J698,'Both teabags AfterDry'!$A$3:$A$900,0)),"")))</f>
        <v>1.9663999999999999</v>
      </c>
      <c r="P698" s="267">
        <f>IFERROR(IF(O698&gt;0,O698-(TBIcalc!$Q$9),""),"")</f>
        <v>1.8157999999999999</v>
      </c>
      <c r="Q698" s="278">
        <f>IFERROR(INDEX('Ashed teabags dry'!$K$2:$K$825,MATCH(J698,'Ashed teabags dry'!$A$2:$A$825,0)),"")</f>
        <v>4.1249999999999165</v>
      </c>
      <c r="R698" s="278">
        <f t="shared" si="52"/>
        <v>1.7408982500000014</v>
      </c>
      <c r="S698" s="268">
        <f>'Dry_Litterbag Placem_Collection'!E39</f>
        <v>42938</v>
      </c>
      <c r="T698" s="268">
        <f>IF('Dry_Litterbag Placem_Collection'!G39="","",'Dry_Litterbag Placem_Collection'!G39)</f>
        <v>43005</v>
      </c>
      <c r="U698" s="269">
        <f t="shared" si="50"/>
        <v>67</v>
      </c>
      <c r="V698" s="267">
        <f t="shared" si="53"/>
        <v>0.12040000000000006</v>
      </c>
      <c r="W698" s="267">
        <f t="shared" si="54"/>
        <v>0.15112415755333264</v>
      </c>
      <c r="X698" s="271">
        <f>IFERROR(INDEX(Rainfall_Dry!$O$2:$O$217,MATCH(B698, Rainfall_Dry!$A$2:$A$217,0)),"")</f>
        <v>6.5250000359999998</v>
      </c>
      <c r="Y698" s="260">
        <v>23.96</v>
      </c>
      <c r="Z698" s="260">
        <v>0.91999999999999804</v>
      </c>
      <c r="AA698" s="260">
        <v>75.12</v>
      </c>
      <c r="AB698" s="261" t="s">
        <v>2670</v>
      </c>
      <c r="AC698" s="260">
        <v>1.2493839329719072</v>
      </c>
      <c r="AD698">
        <f>IF('WetLitterbags placem_collection'!AB39="","",'WetLitterbags placem_collection'!AB39)</f>
        <v>8.3000000000000007</v>
      </c>
      <c r="AE698">
        <f>IF('WetLitterbags placem_collection'!Z39="","",'WetLitterbags placem_collection'!Z39)</f>
        <v>27.8</v>
      </c>
      <c r="AF698" s="24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71">
        <f>IFERROR(AVERAGE('Dry_Litterbag Placem_Collection'!N39,'Dry_Litterbag Placem_Collection'!Q39),"")</f>
        <v>26.1</v>
      </c>
      <c r="AJ698" s="270">
        <f>INDEX(Coordinates!$B$2:$B$197,MATCH(G698,Coordinates!$J$2:$J$197,0))</f>
        <v>-3.4090709779999999</v>
      </c>
      <c r="AK698" s="270">
        <f>INDEX(Coordinates!$C$2:$C$197,MATCH(G698,Coordinates!$J$2:$J$197,0))</f>
        <v>34.852712029999999</v>
      </c>
      <c r="AL698" s="270" t="str">
        <f>IF(ISNUMBER(SEARCH("C", 'Dry_Litterbag Placem_Collection'!V39)),"YES","NO")</f>
        <v>NO</v>
      </c>
      <c r="AM698" s="270" t="str">
        <f>IF(ISNUMBER(SEARCH("H", 'Dry_Litterbag Placem_Collection'!V39)),"YES","NO")</f>
        <v>NO</v>
      </c>
      <c r="AN698" s="270" t="str">
        <f>IF(ISNUMBER(SEARCH("R", 'Dry_Litterbag Placem_Collection'!V39)),"YES","NO")</f>
        <v>NO</v>
      </c>
    </row>
    <row r="699" spans="1:40" ht="15" customHeight="1">
      <c r="A699" s="262" t="s">
        <v>2659</v>
      </c>
      <c r="B699" s="263">
        <f>'Dry_Litterbag Placem_Collection'!A40</f>
        <v>38</v>
      </c>
      <c r="C699" s="263" t="str">
        <f>'Dry_Litterbag Placem_Collection'!B40</f>
        <v>Makao</v>
      </c>
      <c r="D699" s="263" t="s">
        <v>2659</v>
      </c>
      <c r="E699" s="263" t="s">
        <v>20</v>
      </c>
      <c r="F699" s="263">
        <v>1</v>
      </c>
      <c r="G699" s="264" t="str">
        <f>'Dry_Litterbag Placem_Collection'!C40</f>
        <v>Dry_P1_T6</v>
      </c>
      <c r="H699" s="273" t="s">
        <v>3651</v>
      </c>
      <c r="I699" s="274" t="s">
        <v>298</v>
      </c>
      <c r="J699" s="263" t="str">
        <f>IF(ISBLANK('Dry_Litterbag Placem_Collection'!M40),"","R"&amp;""&amp;'Dry_Litterbag Placem_Collection'!M40)</f>
        <v>R260</v>
      </c>
      <c r="K699" s="267">
        <f>IFERROR(INDEX('Green_rooibos initial weight'!$C$5:$C$1749,MATCH(J699, 'Green_rooibos initial weight'!$A$5:$A$1749,0)),"")</f>
        <v>2.1779999999999999</v>
      </c>
      <c r="L699" s="267">
        <f>IFERROR(K699-(TBIcalc!$Q$9+TBIcalc!$Q$10),"")</f>
        <v>1.9281999999999999</v>
      </c>
      <c r="M699" s="391">
        <f>AVERAGE(Ashed_controlls!$K$12:$K$14)</f>
        <v>2.2816647271287041</v>
      </c>
      <c r="N699" s="267">
        <f t="shared" si="51"/>
        <v>1.8842049407315042</v>
      </c>
      <c r="O699" s="267">
        <f>IF(IFERROR(INDEX('Both teabags AfterDry'!$D$3:$D$900,MATCH(J699,'Both teabags AfterDry'!$A$3:$A$900,0)),"")="","",(IFERROR(INDEX('Both teabags AfterDry'!$D$3:$D$900,MATCH(J699,'Both teabags AfterDry'!$A$3:$A$900,0)),"")))</f>
        <v>1.8734</v>
      </c>
      <c r="P699" s="267">
        <f>IFERROR(IF(O699&gt;0,O699-(TBIcalc!$Q$9),""),"")</f>
        <v>1.7227999999999999</v>
      </c>
      <c r="Q699" s="278">
        <f>IFERROR(INDEX('Ashed teabags dry'!$K$2:$K$825,MATCH(J699,'Ashed teabags dry'!$A$2:$A$825,0)),"")</f>
        <v>3.7144036318613898</v>
      </c>
      <c r="R699" s="278">
        <f t="shared" si="52"/>
        <v>1.6588082542302918</v>
      </c>
      <c r="S699" s="268">
        <f>'Dry_Litterbag Placem_Collection'!E40</f>
        <v>42938</v>
      </c>
      <c r="T699" s="268">
        <f>IF('Dry_Litterbag Placem_Collection'!G40="","",'Dry_Litterbag Placem_Collection'!G40)</f>
        <v>43005</v>
      </c>
      <c r="U699" s="269">
        <f t="shared" si="50"/>
        <v>67</v>
      </c>
      <c r="V699" s="267">
        <f t="shared" si="53"/>
        <v>0.20540000000000003</v>
      </c>
      <c r="W699" s="267">
        <f t="shared" si="54"/>
        <v>0.22539668650121247</v>
      </c>
      <c r="X699" s="271">
        <f>IFERROR(INDEX(Rainfall_Dry!$O$2:$O$217,MATCH(B699, Rainfall_Dry!$A$2:$A$217,0)),"")</f>
        <v>6.5250000359999998</v>
      </c>
      <c r="Y699" s="260">
        <v>23.96</v>
      </c>
      <c r="Z699" s="260">
        <v>0.91999999999999804</v>
      </c>
      <c r="AA699" s="260">
        <v>75.12</v>
      </c>
      <c r="AB699" s="261" t="s">
        <v>2670</v>
      </c>
      <c r="AC699" s="260">
        <v>1.2493839329719072</v>
      </c>
      <c r="AD699">
        <f>IF('WetLitterbags placem_collection'!AB40="","",'WetLitterbags placem_collection'!AB40)</f>
        <v>2</v>
      </c>
      <c r="AE699">
        <f>IF('WetLitterbags placem_collection'!Z40="","",'WetLitterbags placem_collection'!Z40)</f>
        <v>20.399999999999999</v>
      </c>
      <c r="AF699" s="24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71">
        <f>IFERROR(AVERAGE('Dry_Litterbag Placem_Collection'!N40,'Dry_Litterbag Placem_Collection'!Q40),"")</f>
        <v>26.7</v>
      </c>
      <c r="AJ699" s="270">
        <f>INDEX(Coordinates!$B$2:$B$197,MATCH(G699,Coordinates!$J$2:$J$197,0))</f>
        <v>-3.409280023</v>
      </c>
      <c r="AK699" s="270">
        <f>INDEX(Coordinates!$C$2:$C$197,MATCH(G699,Coordinates!$J$2:$J$197,0))</f>
        <v>34.852612960000002</v>
      </c>
      <c r="AL699" s="270" t="str">
        <f>IF(ISNUMBER(SEARCH("C", 'Dry_Litterbag Placem_Collection'!V40)),"YES","NO")</f>
        <v>NO</v>
      </c>
      <c r="AM699" s="270" t="str">
        <f>IF(ISNUMBER(SEARCH("H", 'Dry_Litterbag Placem_Collection'!V40)),"YES","NO")</f>
        <v>NO</v>
      </c>
      <c r="AN699" s="270" t="str">
        <f>IF(ISNUMBER(SEARCH("R", 'Dry_Litterbag Placem_Collection'!V40)),"YES","NO")</f>
        <v>NO</v>
      </c>
    </row>
    <row r="700" spans="1:40" ht="15" customHeight="1">
      <c r="A700" s="262" t="s">
        <v>2659</v>
      </c>
      <c r="B700" s="263">
        <f>'Dry_Litterbag Placem_Collection'!A41</f>
        <v>39</v>
      </c>
      <c r="C700" s="263" t="str">
        <f>'Dry_Litterbag Placem_Collection'!B41</f>
        <v>Makao</v>
      </c>
      <c r="D700" s="263" t="s">
        <v>2659</v>
      </c>
      <c r="E700" s="263" t="s">
        <v>20</v>
      </c>
      <c r="F700" s="263">
        <v>1</v>
      </c>
      <c r="G700" s="264" t="str">
        <f>'Dry_Litterbag Placem_Collection'!C41</f>
        <v>Dry_P1_T7</v>
      </c>
      <c r="H700" s="273" t="s">
        <v>3651</v>
      </c>
      <c r="I700" s="274" t="s">
        <v>298</v>
      </c>
      <c r="J700" s="263" t="str">
        <f>IF(ISBLANK('Dry_Litterbag Placem_Collection'!M41),"","R"&amp;""&amp;'Dry_Litterbag Placem_Collection'!M41)</f>
        <v/>
      </c>
      <c r="K700" s="267" t="str">
        <f>IFERROR(INDEX('Green_rooibos initial weight'!$C$5:$C$1749,MATCH(J700, 'Green_rooibos initial weight'!$A$5:$A$1749,0)),"")</f>
        <v/>
      </c>
      <c r="L700" s="267" t="str">
        <f>IFERROR(K700-(TBIcalc!$Q$9+TBIcalc!$Q$10),"")</f>
        <v/>
      </c>
      <c r="M700" s="391">
        <f>AVERAGE(Ashed_controlls!$K$12:$K$14)</f>
        <v>2.2816647271287041</v>
      </c>
      <c r="N700" s="267" t="str">
        <f t="shared" si="51"/>
        <v/>
      </c>
      <c r="O700" s="267" t="str">
        <f>IF(IFERROR(INDEX('Both teabags AfterDry'!$D$3:$D$900,MATCH(J700,'Both teabags AfterDry'!$A$3:$A$900,0)),"")="","",(IFERROR(INDEX('Both teabags AfterDry'!$D$3:$D$900,MATCH(J700,'Both teabags AfterDry'!$A$3:$A$900,0)),"")))</f>
        <v/>
      </c>
      <c r="P700" s="267" t="str">
        <f>IFERROR(IF(O700&gt;0,O700-(TBIcalc!$Q$9),""),"")</f>
        <v/>
      </c>
      <c r="Q700" s="278" t="str">
        <f>IFERROR(INDEX('Ashed teabags dry'!$K$2:$K$825,MATCH(J700,'Ashed teabags dry'!$A$2:$A$825,0)),"")</f>
        <v/>
      </c>
      <c r="R700" s="278" t="str">
        <f t="shared" si="52"/>
        <v/>
      </c>
      <c r="S700" s="268">
        <f>'Dry_Litterbag Placem_Collection'!E41</f>
        <v>42938</v>
      </c>
      <c r="T700" s="268" t="str">
        <f>IF('Dry_Litterbag Placem_Collection'!G41="","",'Dry_Litterbag Placem_Collection'!G41)</f>
        <v/>
      </c>
      <c r="U700" s="269" t="str">
        <f t="shared" si="50"/>
        <v/>
      </c>
      <c r="V700" s="267" t="str">
        <f t="shared" si="53"/>
        <v/>
      </c>
      <c r="W700" s="267" t="str">
        <f t="shared" si="54"/>
        <v/>
      </c>
      <c r="X700" s="271" t="str">
        <f>IFERROR(INDEX(Rainfall_Dry!$O$2:$O$217,MATCH(B700, Rainfall_Dry!$A$2:$A$217,0)),"")</f>
        <v/>
      </c>
      <c r="Y700" s="260">
        <v>23.96</v>
      </c>
      <c r="Z700" s="260">
        <v>0.91999999999999804</v>
      </c>
      <c r="AA700" s="260">
        <v>75.12</v>
      </c>
      <c r="AB700" s="261" t="s">
        <v>2670</v>
      </c>
      <c r="AC700" s="260">
        <v>1.2493839329719072</v>
      </c>
      <c r="AD700">
        <f>IF('WetLitterbags placem_collection'!AB41="","",'WetLitterbags placem_collection'!AB41)</f>
        <v>2.4</v>
      </c>
      <c r="AE700">
        <f>IF('WetLitterbags placem_collection'!Z41="","",'WetLitterbags placem_collection'!Z41)</f>
        <v>18</v>
      </c>
      <c r="AF700" s="24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71" t="str">
        <f>IFERROR(AVERAGE('Dry_Litterbag Placem_Collection'!N41,'Dry_Litterbag Placem_Collection'!Q41),"")</f>
        <v/>
      </c>
      <c r="AJ700" s="270">
        <f>INDEX(Coordinates!$B$2:$B$197,MATCH(G700,Coordinates!$J$2:$J$197,0))</f>
        <v>-3.4093859700000002</v>
      </c>
      <c r="AK700" s="270">
        <f>INDEX(Coordinates!$C$2:$C$197,MATCH(G700,Coordinates!$J$2:$J$197,0))</f>
        <v>34.852855030000001</v>
      </c>
      <c r="AL700" s="270" t="str">
        <f>IF(ISNUMBER(SEARCH("C", 'Dry_Litterbag Placem_Collection'!V41)),"YES","NO")</f>
        <v>NO</v>
      </c>
      <c r="AM700" s="270" t="str">
        <f>IF(ISNUMBER(SEARCH("H", 'Dry_Litterbag Placem_Collection'!V41)),"YES","NO")</f>
        <v>NO</v>
      </c>
      <c r="AN700" s="270" t="str">
        <f>IF(ISNUMBER(SEARCH("R", 'Dry_Litterbag Placem_Collection'!V41)),"YES","NO")</f>
        <v>NO</v>
      </c>
    </row>
    <row r="701" spans="1:40" ht="15" customHeight="1">
      <c r="A701" s="262" t="s">
        <v>2659</v>
      </c>
      <c r="B701" s="263">
        <f>'Dry_Litterbag Placem_Collection'!A42</f>
        <v>40</v>
      </c>
      <c r="C701" s="263" t="str">
        <f>'Dry_Litterbag Placem_Collection'!B42</f>
        <v>Makao</v>
      </c>
      <c r="D701" s="263" t="s">
        <v>2659</v>
      </c>
      <c r="E701" s="263" t="s">
        <v>20</v>
      </c>
      <c r="F701" s="263">
        <v>1</v>
      </c>
      <c r="G701" s="264" t="str">
        <f>'Dry_Litterbag Placem_Collection'!C42</f>
        <v>Dry_P1_T8</v>
      </c>
      <c r="H701" s="273" t="s">
        <v>3651</v>
      </c>
      <c r="I701" s="274" t="s">
        <v>298</v>
      </c>
      <c r="J701" s="263" t="str">
        <f>IF(ISBLANK('Dry_Litterbag Placem_Collection'!M42),"","R"&amp;""&amp;'Dry_Litterbag Placem_Collection'!M42)</f>
        <v>R402</v>
      </c>
      <c r="K701" s="267">
        <f>IFERROR(INDEX('Green_rooibos initial weight'!$C$5:$C$1749,MATCH(J701, 'Green_rooibos initial weight'!$A$5:$A$1749,0)),"")</f>
        <v>2.1459999999999999</v>
      </c>
      <c r="L701" s="267">
        <f>IFERROR(K701-(TBIcalc!$Q$9+TBIcalc!$Q$10),"")</f>
        <v>1.8961999999999999</v>
      </c>
      <c r="M701" s="391">
        <f>AVERAGE(Ashed_controlls!$K$12:$K$14)</f>
        <v>2.2816647271287041</v>
      </c>
      <c r="N701" s="267">
        <f t="shared" si="51"/>
        <v>1.8529350734441854</v>
      </c>
      <c r="O701" s="267">
        <f>IF(IFERROR(INDEX('Both teabags AfterDry'!$D$3:$D$900,MATCH(J701,'Both teabags AfterDry'!$A$3:$A$900,0)),"")="","",(IFERROR(INDEX('Both teabags AfterDry'!$D$3:$D$900,MATCH(J701,'Both teabags AfterDry'!$A$3:$A$900,0)),"")))</f>
        <v>1.9192</v>
      </c>
      <c r="P701" s="267">
        <f>IFERROR(IF(O701&gt;0,O701-(TBIcalc!$Q$9),""),"")</f>
        <v>1.7685999999999999</v>
      </c>
      <c r="Q701" s="278">
        <f>IFERROR(INDEX('Ashed teabags dry'!$K$2:$K$825,MATCH(J701,'Ashed teabags dry'!$A$2:$A$825,0)),"")</f>
        <v>3.0697674418608112</v>
      </c>
      <c r="R701" s="278">
        <f t="shared" si="52"/>
        <v>1.7143080930232497</v>
      </c>
      <c r="S701" s="268">
        <f>'Dry_Litterbag Placem_Collection'!E42</f>
        <v>42938</v>
      </c>
      <c r="T701" s="268">
        <f>IF('Dry_Litterbag Placem_Collection'!G42="","",'Dry_Litterbag Placem_Collection'!G42)</f>
        <v>43005</v>
      </c>
      <c r="U701" s="269">
        <f t="shared" si="50"/>
        <v>67</v>
      </c>
      <c r="V701" s="267">
        <f t="shared" si="53"/>
        <v>0.12759999999999994</v>
      </c>
      <c r="W701" s="267">
        <f t="shared" si="54"/>
        <v>0.13862698042093569</v>
      </c>
      <c r="X701" s="271">
        <f>IFERROR(INDEX(Rainfall_Dry!$O$2:$O$217,MATCH(B701, Rainfall_Dry!$A$2:$A$217,0)),"")</f>
        <v>6.5250000359999998</v>
      </c>
      <c r="Y701" s="260">
        <v>23.96</v>
      </c>
      <c r="Z701" s="260">
        <v>0.91999999999999804</v>
      </c>
      <c r="AA701" s="260">
        <v>75.12</v>
      </c>
      <c r="AB701" s="261" t="s">
        <v>2670</v>
      </c>
      <c r="AC701" s="260">
        <v>1.2493839329719072</v>
      </c>
      <c r="AD701">
        <f>IF('WetLitterbags placem_collection'!AB42="","",'WetLitterbags placem_collection'!AB42)</f>
        <v>8.6999999999999993</v>
      </c>
      <c r="AE701">
        <f>IF('WetLitterbags placem_collection'!Z42="","",'WetLitterbags placem_collection'!Z42)</f>
        <v>19.3</v>
      </c>
      <c r="AF701" s="24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71">
        <f>IFERROR(AVERAGE('Dry_Litterbag Placem_Collection'!N42,'Dry_Litterbag Placem_Collection'!Q42),"")</f>
        <v>26.2</v>
      </c>
      <c r="AJ701" s="270">
        <f>INDEX(Coordinates!$B$2:$B$197,MATCH(G701,Coordinates!$J$2:$J$197,0))</f>
        <v>-3.4091539590000002</v>
      </c>
      <c r="AK701" s="270">
        <f>INDEX(Coordinates!$C$2:$C$197,MATCH(G701,Coordinates!$J$2:$J$197,0))</f>
        <v>34.852755029999997</v>
      </c>
      <c r="AL701" s="270" t="str">
        <f>IF(ISNUMBER(SEARCH("C", 'Dry_Litterbag Placem_Collection'!V42)),"YES","NO")</f>
        <v>NO</v>
      </c>
      <c r="AM701" s="270" t="str">
        <f>IF(ISNUMBER(SEARCH("H", 'Dry_Litterbag Placem_Collection'!V42)),"YES","NO")</f>
        <v>NO</v>
      </c>
      <c r="AN701" s="270" t="str">
        <f>IF(ISNUMBER(SEARCH("R", 'Dry_Litterbag Placem_Collection'!V42)),"YES","NO")</f>
        <v>NO</v>
      </c>
    </row>
    <row r="702" spans="1:40" ht="15" customHeight="1">
      <c r="A702" s="262" t="s">
        <v>2659</v>
      </c>
      <c r="B702" s="263">
        <f>'Dry_Litterbag Placem_Collection'!A43</f>
        <v>41</v>
      </c>
      <c r="C702" s="263" t="str">
        <f>'Dry_Litterbag Placem_Collection'!B43</f>
        <v>Makao</v>
      </c>
      <c r="D702" s="263" t="s">
        <v>2659</v>
      </c>
      <c r="E702" s="263" t="s">
        <v>20</v>
      </c>
      <c r="F702" s="263">
        <v>2</v>
      </c>
      <c r="G702" s="264" t="str">
        <f>'Dry_Litterbag Placem_Collection'!C43</f>
        <v>Dry_P2_T1</v>
      </c>
      <c r="H702" s="273" t="s">
        <v>3651</v>
      </c>
      <c r="I702" s="274" t="s">
        <v>298</v>
      </c>
      <c r="J702" s="263" t="str">
        <f>IF(ISBLANK('Dry_Litterbag Placem_Collection'!M43),"","R"&amp;""&amp;'Dry_Litterbag Placem_Collection'!M43)</f>
        <v>R648</v>
      </c>
      <c r="K702" s="267">
        <f>IFERROR(INDEX('Green_rooibos initial weight'!$C$5:$C$1749,MATCH(J702, 'Green_rooibos initial weight'!$A$5:$A$1749,0)),"")</f>
        <v>2.1920000000000002</v>
      </c>
      <c r="L702" s="267">
        <f>IFERROR(K702-(TBIcalc!$Q$9+TBIcalc!$Q$10),"")</f>
        <v>1.9422000000000001</v>
      </c>
      <c r="M702" s="391">
        <f>AVERAGE(Ashed_controlls!$K$12:$K$14)</f>
        <v>2.2816647271287041</v>
      </c>
      <c r="N702" s="267">
        <f t="shared" si="51"/>
        <v>1.8978855076697065</v>
      </c>
      <c r="O702" s="267">
        <f>IF(IFERROR(INDEX('Both teabags AfterDry'!$D$3:$D$900,MATCH(J702,'Both teabags AfterDry'!$A$3:$A$900,0)),"")="","",(IFERROR(INDEX('Both teabags AfterDry'!$D$3:$D$900,MATCH(J702,'Both teabags AfterDry'!$A$3:$A$900,0)),"")))</f>
        <v>1.9649000000000001</v>
      </c>
      <c r="P702" s="267">
        <f>IFERROR(IF(O702&gt;0,O702-(TBIcalc!$Q$9),""),"")</f>
        <v>1.8143</v>
      </c>
      <c r="Q702" s="278">
        <f>IFERROR(INDEX('Ashed teabags dry'!$K$2:$K$825,MATCH(J702,'Ashed teabags dry'!$A$2:$A$825,0)),"")</f>
        <v>3.1295137217131312</v>
      </c>
      <c r="R702" s="278">
        <f t="shared" si="52"/>
        <v>1.7575212325469587</v>
      </c>
      <c r="S702" s="268">
        <f>'Dry_Litterbag Placem_Collection'!E43</f>
        <v>42938</v>
      </c>
      <c r="T702" s="268">
        <f>IF('Dry_Litterbag Placem_Collection'!G43="","",'Dry_Litterbag Placem_Collection'!G43)</f>
        <v>43005</v>
      </c>
      <c r="U702" s="269">
        <f t="shared" si="50"/>
        <v>67</v>
      </c>
      <c r="V702" s="267">
        <f t="shared" si="53"/>
        <v>0.12790000000000012</v>
      </c>
      <c r="W702" s="267">
        <f t="shared" si="54"/>
        <v>0.14036427512274785</v>
      </c>
      <c r="X702" s="271">
        <f>IFERROR(INDEX(Rainfall_Dry!$O$2:$O$217,MATCH(B702, Rainfall_Dry!$A$2:$A$217,0)),"")</f>
        <v>6.5250000359999998</v>
      </c>
      <c r="Y702" s="260">
        <v>19.96</v>
      </c>
      <c r="Z702" s="260">
        <v>4.9199999999999982</v>
      </c>
      <c r="AA702" s="260">
        <v>75.12</v>
      </c>
      <c r="AB702" s="261" t="s">
        <v>2671</v>
      </c>
      <c r="AC702" s="260">
        <v>1.641498275012321</v>
      </c>
      <c r="AD702">
        <f>IF('WetLitterbags placem_collection'!AB43="","",'WetLitterbags placem_collection'!AB43)</f>
        <v>4</v>
      </c>
      <c r="AE702">
        <f>IF('WetLitterbags placem_collection'!Z43="","",'WetLitterbags placem_collection'!Z43)</f>
        <v>19.100000000000001</v>
      </c>
      <c r="AF702" s="24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71">
        <f>IFERROR(AVERAGE('Dry_Litterbag Placem_Collection'!N43,'Dry_Litterbag Placem_Collection'!Q43),"")</f>
        <v>27.85</v>
      </c>
      <c r="AJ702" s="270">
        <f>INDEX(Coordinates!$B$2:$B$197,MATCH(G702,Coordinates!$J$2:$J$197,0))</f>
        <v>-3.4083420040000001</v>
      </c>
      <c r="AK702" s="270">
        <f>INDEX(Coordinates!$C$2:$C$197,MATCH(G702,Coordinates!$J$2:$J$197,0))</f>
        <v>34.850283040000001</v>
      </c>
      <c r="AL702" s="270" t="str">
        <f>IF(ISNUMBER(SEARCH("C", 'Dry_Litterbag Placem_Collection'!V43)),"YES","NO")</f>
        <v>NO</v>
      </c>
      <c r="AM702" s="270" t="str">
        <f>IF(ISNUMBER(SEARCH("H", 'Dry_Litterbag Placem_Collection'!V43)),"YES","NO")</f>
        <v>NO</v>
      </c>
      <c r="AN702" s="270" t="str">
        <f>IF(ISNUMBER(SEARCH("R", 'Dry_Litterbag Placem_Collection'!V43)),"YES","NO")</f>
        <v>NO</v>
      </c>
    </row>
    <row r="703" spans="1:40" ht="15" customHeight="1">
      <c r="A703" s="262" t="s">
        <v>2659</v>
      </c>
      <c r="B703" s="263">
        <f>'Dry_Litterbag Placem_Collection'!A44</f>
        <v>42</v>
      </c>
      <c r="C703" s="263" t="str">
        <f>'Dry_Litterbag Placem_Collection'!B44</f>
        <v>Makao</v>
      </c>
      <c r="D703" s="263" t="s">
        <v>2659</v>
      </c>
      <c r="E703" s="263" t="s">
        <v>20</v>
      </c>
      <c r="F703" s="263">
        <v>2</v>
      </c>
      <c r="G703" s="264" t="str">
        <f>'Dry_Litterbag Placem_Collection'!C44</f>
        <v>Dry_P2_T2</v>
      </c>
      <c r="H703" s="273" t="s">
        <v>3651</v>
      </c>
      <c r="I703" s="274" t="s">
        <v>298</v>
      </c>
      <c r="J703" s="263" t="str">
        <f>IF(ISBLANK('Dry_Litterbag Placem_Collection'!M44),"","R"&amp;""&amp;'Dry_Litterbag Placem_Collection'!M44)</f>
        <v>R257</v>
      </c>
      <c r="K703" s="267">
        <f>IFERROR(INDEX('Green_rooibos initial weight'!$C$5:$C$1749,MATCH(J703, 'Green_rooibos initial weight'!$A$5:$A$1749,0)),"")</f>
        <v>2.222</v>
      </c>
      <c r="L703" s="267">
        <f>IFERROR(K703-(TBIcalc!$Q$9+TBIcalc!$Q$10),"")</f>
        <v>1.9722</v>
      </c>
      <c r="M703" s="391">
        <f>AVERAGE(Ashed_controlls!$K$12:$K$14)</f>
        <v>2.2816647271287041</v>
      </c>
      <c r="N703" s="267">
        <f t="shared" si="51"/>
        <v>1.9272010082515676</v>
      </c>
      <c r="O703" s="267">
        <f>IF(IFERROR(INDEX('Both teabags AfterDry'!$D$3:$D$900,MATCH(J703,'Both teabags AfterDry'!$A$3:$A$900,0)),"")="","",(IFERROR(INDEX('Both teabags AfterDry'!$D$3:$D$900,MATCH(J703,'Both teabags AfterDry'!$A$3:$A$900,0)),"")))</f>
        <v>1.956</v>
      </c>
      <c r="P703" s="267">
        <f>IFERROR(IF(O703&gt;0,O703-(TBIcalc!$Q$9),""),"")</f>
        <v>1.8053999999999999</v>
      </c>
      <c r="Q703" s="278">
        <f>IFERROR(INDEX('Ashed teabags dry'!$K$2:$K$825,MATCH(J703,'Ashed teabags dry'!$A$2:$A$825,0)),"")</f>
        <v>2.8571428571426241</v>
      </c>
      <c r="R703" s="278">
        <f t="shared" si="52"/>
        <v>1.753817142857147</v>
      </c>
      <c r="S703" s="268">
        <f>'Dry_Litterbag Placem_Collection'!E44</f>
        <v>42938</v>
      </c>
      <c r="T703" s="268">
        <f>IF('Dry_Litterbag Placem_Collection'!G44="","",'Dry_Litterbag Placem_Collection'!G44)</f>
        <v>43005</v>
      </c>
      <c r="U703" s="269">
        <f t="shared" si="50"/>
        <v>67</v>
      </c>
      <c r="V703" s="267">
        <f t="shared" si="53"/>
        <v>0.16680000000000006</v>
      </c>
      <c r="W703" s="267">
        <f t="shared" si="54"/>
        <v>0.17338386539442063</v>
      </c>
      <c r="X703" s="271">
        <f>IFERROR(INDEX(Rainfall_Dry!$O$2:$O$217,MATCH(B703, Rainfall_Dry!$A$2:$A$217,0)),"")</f>
        <v>6.5250000359999998</v>
      </c>
      <c r="Y703" s="260">
        <v>19.96</v>
      </c>
      <c r="Z703" s="260">
        <v>4.9199999999999982</v>
      </c>
      <c r="AA703" s="260">
        <v>75.12</v>
      </c>
      <c r="AB703" s="261" t="s">
        <v>2671</v>
      </c>
      <c r="AC703" s="260">
        <v>1.641498275012321</v>
      </c>
      <c r="AD703">
        <f>IF('WetLitterbags placem_collection'!AB44="","",'WetLitterbags placem_collection'!AB44)</f>
        <v>5.9</v>
      </c>
      <c r="AE703">
        <f>IF('WetLitterbags placem_collection'!Z44="","",'WetLitterbags placem_collection'!Z44)</f>
        <v>12.7</v>
      </c>
      <c r="AF703" s="24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71">
        <f>IFERROR(AVERAGE('Dry_Litterbag Placem_Collection'!N44,'Dry_Litterbag Placem_Collection'!Q44),"")</f>
        <v>27.15</v>
      </c>
      <c r="AJ703" s="270">
        <f>INDEX(Coordinates!$B$2:$B$197,MATCH(G703,Coordinates!$J$2:$J$197,0))</f>
        <v>-3.4084079690000002</v>
      </c>
      <c r="AK703" s="270">
        <f>INDEX(Coordinates!$C$2:$C$197,MATCH(G703,Coordinates!$J$2:$J$197,0))</f>
        <v>34.850295029999998</v>
      </c>
      <c r="AL703" s="270" t="str">
        <f>IF(ISNUMBER(SEARCH("C", 'Dry_Litterbag Placem_Collection'!V44)),"YES","NO")</f>
        <v>NO</v>
      </c>
      <c r="AM703" s="270" t="str">
        <f>IF(ISNUMBER(SEARCH("H", 'Dry_Litterbag Placem_Collection'!V44)),"YES","NO")</f>
        <v>NO</v>
      </c>
      <c r="AN703" s="270" t="str">
        <f>IF(ISNUMBER(SEARCH("R", 'Dry_Litterbag Placem_Collection'!V44)),"YES","NO")</f>
        <v>NO</v>
      </c>
    </row>
    <row r="704" spans="1:40" ht="15" customHeight="1">
      <c r="A704" s="262" t="s">
        <v>2659</v>
      </c>
      <c r="B704" s="263">
        <f>'Dry_Litterbag Placem_Collection'!A45</f>
        <v>43</v>
      </c>
      <c r="C704" s="263" t="str">
        <f>'Dry_Litterbag Placem_Collection'!B45</f>
        <v>Makao</v>
      </c>
      <c r="D704" s="263" t="s">
        <v>2659</v>
      </c>
      <c r="E704" s="263" t="s">
        <v>20</v>
      </c>
      <c r="F704" s="263">
        <v>2</v>
      </c>
      <c r="G704" s="264" t="str">
        <f>'Dry_Litterbag Placem_Collection'!C45</f>
        <v>Dry_P2_T3</v>
      </c>
      <c r="H704" s="273" t="s">
        <v>3651</v>
      </c>
      <c r="I704" s="274" t="s">
        <v>298</v>
      </c>
      <c r="J704" s="263" t="str">
        <f>IF(ISBLANK('Dry_Litterbag Placem_Collection'!M45),"","R"&amp;""&amp;'Dry_Litterbag Placem_Collection'!M45)</f>
        <v>R691</v>
      </c>
      <c r="K704" s="267">
        <f>IFERROR(INDEX('Green_rooibos initial weight'!$C$5:$C$1749,MATCH(J704, 'Green_rooibos initial weight'!$A$5:$A$1749,0)),"")</f>
        <v>2.1859999999999999</v>
      </c>
      <c r="L704" s="267">
        <f>IFERROR(K704-(TBIcalc!$Q$9+TBIcalc!$Q$10),"")</f>
        <v>1.9361999999999999</v>
      </c>
      <c r="M704" s="391">
        <f>AVERAGE(Ashed_controlls!$K$12:$K$14)</f>
        <v>2.2816647271287041</v>
      </c>
      <c r="N704" s="267">
        <f t="shared" si="51"/>
        <v>1.8920224075533341</v>
      </c>
      <c r="O704" s="267">
        <f>IF(IFERROR(INDEX('Both teabags AfterDry'!$D$3:$D$900,MATCH(J704,'Both teabags AfterDry'!$A$3:$A$900,0)),"")="","",(IFERROR(INDEX('Both teabags AfterDry'!$D$3:$D$900,MATCH(J704,'Both teabags AfterDry'!$A$3:$A$900,0)),"")))</f>
        <v>1.9609000000000001</v>
      </c>
      <c r="P704" s="267">
        <f>IFERROR(IF(O704&gt;0,O704-(TBIcalc!$Q$9),""),"")</f>
        <v>1.8103</v>
      </c>
      <c r="Q704" s="278">
        <f>IFERROR(INDEX('Ashed teabags dry'!$K$2:$K$825,MATCH(J704,'Ashed teabags dry'!$A$2:$A$825,0)),"")</f>
        <v>3.8599640933580917</v>
      </c>
      <c r="R704" s="278">
        <f t="shared" si="52"/>
        <v>1.7404230700179384</v>
      </c>
      <c r="S704" s="268">
        <f>'Dry_Litterbag Placem_Collection'!E45</f>
        <v>42938</v>
      </c>
      <c r="T704" s="268">
        <f>IF('Dry_Litterbag Placem_Collection'!G45="","",'Dry_Litterbag Placem_Collection'!G45)</f>
        <v>43005</v>
      </c>
      <c r="U704" s="269">
        <f t="shared" si="50"/>
        <v>67</v>
      </c>
      <c r="V704" s="267">
        <f t="shared" si="53"/>
        <v>0.1258999999999999</v>
      </c>
      <c r="W704" s="267">
        <f t="shared" si="54"/>
        <v>0.15159933753539567</v>
      </c>
      <c r="X704" s="271">
        <f>IFERROR(INDEX(Rainfall_Dry!$O$2:$O$217,MATCH(B704, Rainfall_Dry!$A$2:$A$217,0)),"")</f>
        <v>6.5250000359999998</v>
      </c>
      <c r="Y704" s="260">
        <v>19.96</v>
      </c>
      <c r="Z704" s="260">
        <v>4.9199999999999982</v>
      </c>
      <c r="AA704" s="260">
        <v>75.12</v>
      </c>
      <c r="AB704" s="261" t="s">
        <v>2671</v>
      </c>
      <c r="AC704" s="260">
        <v>1.641498275012321</v>
      </c>
      <c r="AD704">
        <f>IF('WetLitterbags placem_collection'!AB45="","",'WetLitterbags placem_collection'!AB45)</f>
        <v>5</v>
      </c>
      <c r="AE704">
        <f>IF('WetLitterbags placem_collection'!Z45="","",'WetLitterbags placem_collection'!Z45)</f>
        <v>26.3</v>
      </c>
      <c r="AF704" s="24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71">
        <f>IFERROR(AVERAGE('Dry_Litterbag Placem_Collection'!N45,'Dry_Litterbag Placem_Collection'!Q45),"")</f>
        <v>26.1</v>
      </c>
      <c r="AJ704" s="270">
        <f>INDEX(Coordinates!$B$2:$B$197,MATCH(G704,Coordinates!$J$2:$J$197,0))</f>
        <v>-3.4082369789999998</v>
      </c>
      <c r="AK704" s="270">
        <f>INDEX(Coordinates!$C$2:$C$197,MATCH(G704,Coordinates!$J$2:$J$197,0))</f>
        <v>34.850189999999998</v>
      </c>
      <c r="AL704" s="270" t="str">
        <f>IF(ISNUMBER(SEARCH("C", 'Dry_Litterbag Placem_Collection'!V45)),"YES","NO")</f>
        <v>NO</v>
      </c>
      <c r="AM704" s="270" t="str">
        <f>IF(ISNUMBER(SEARCH("H", 'Dry_Litterbag Placem_Collection'!V45)),"YES","NO")</f>
        <v>NO</v>
      </c>
      <c r="AN704" s="270" t="str">
        <f>IF(ISNUMBER(SEARCH("R", 'Dry_Litterbag Placem_Collection'!V45)),"YES","NO")</f>
        <v>NO</v>
      </c>
    </row>
    <row r="705" spans="1:40" ht="15" customHeight="1">
      <c r="A705" s="262" t="s">
        <v>2659</v>
      </c>
      <c r="B705" s="263">
        <f>'Dry_Litterbag Placem_Collection'!A46</f>
        <v>44</v>
      </c>
      <c r="C705" s="263" t="str">
        <f>'Dry_Litterbag Placem_Collection'!B46</f>
        <v>Makao</v>
      </c>
      <c r="D705" s="263" t="s">
        <v>2659</v>
      </c>
      <c r="E705" s="263" t="s">
        <v>20</v>
      </c>
      <c r="F705" s="263">
        <v>2</v>
      </c>
      <c r="G705" s="264" t="str">
        <f>'Dry_Litterbag Placem_Collection'!C46</f>
        <v>Dry_P2_T4</v>
      </c>
      <c r="H705" s="273" t="s">
        <v>3651</v>
      </c>
      <c r="I705" s="274" t="s">
        <v>298</v>
      </c>
      <c r="J705" s="263" t="str">
        <f>IF(ISBLANK('Dry_Litterbag Placem_Collection'!M46),"","R"&amp;""&amp;'Dry_Litterbag Placem_Collection'!M46)</f>
        <v>R716</v>
      </c>
      <c r="K705" s="267">
        <f>IFERROR(INDEX('Green_rooibos initial weight'!$C$5:$C$1749,MATCH(J705, 'Green_rooibos initial weight'!$A$5:$A$1749,0)),"")</f>
        <v>2.2280000000000002</v>
      </c>
      <c r="L705" s="267">
        <f>IFERROR(K705-(TBIcalc!$Q$9+TBIcalc!$Q$10),"")</f>
        <v>1.9782000000000002</v>
      </c>
      <c r="M705" s="391">
        <f>AVERAGE(Ashed_controlls!$K$12:$K$14)</f>
        <v>2.2816647271287041</v>
      </c>
      <c r="N705" s="267">
        <f t="shared" si="51"/>
        <v>1.9330641083679401</v>
      </c>
      <c r="O705" s="267">
        <f>IF(IFERROR(INDEX('Both teabags AfterDry'!$D$3:$D$900,MATCH(J705,'Both teabags AfterDry'!$A$3:$A$900,0)),"")="","",(IFERROR(INDEX('Both teabags AfterDry'!$D$3:$D$900,MATCH(J705,'Both teabags AfterDry'!$A$3:$A$900,0)),"")))</f>
        <v>1.9879</v>
      </c>
      <c r="P705" s="267">
        <f>IFERROR(IF(O705&gt;0,O705-(TBIcalc!$Q$9),""),"")</f>
        <v>1.8372999999999999</v>
      </c>
      <c r="Q705" s="278">
        <f>IFERROR(INDEX('Ashed teabags dry'!$K$2:$K$825,MATCH(J705,'Ashed teabags dry'!$A$2:$A$825,0)),"")</f>
        <v>2.9353233830845578</v>
      </c>
      <c r="R705" s="278">
        <f t="shared" si="52"/>
        <v>1.7833693034825873</v>
      </c>
      <c r="S705" s="268">
        <f>'Dry_Litterbag Placem_Collection'!E46</f>
        <v>42938</v>
      </c>
      <c r="T705" s="268">
        <f>IF('Dry_Litterbag Placem_Collection'!G46="","",'Dry_Litterbag Placem_Collection'!G46)</f>
        <v>43005</v>
      </c>
      <c r="U705" s="269">
        <f t="shared" si="50"/>
        <v>67</v>
      </c>
      <c r="V705" s="267">
        <f t="shared" si="53"/>
        <v>0.14090000000000025</v>
      </c>
      <c r="W705" s="267">
        <f t="shared" si="54"/>
        <v>0.14969480488535281</v>
      </c>
      <c r="X705" s="271">
        <f>IFERROR(INDEX(Rainfall_Dry!$O$2:$O$217,MATCH(B705, Rainfall_Dry!$A$2:$A$217,0)),"")</f>
        <v>6.5250000359999998</v>
      </c>
      <c r="Y705" s="260">
        <v>19.96</v>
      </c>
      <c r="Z705" s="260">
        <v>4.9199999999999982</v>
      </c>
      <c r="AA705" s="260">
        <v>75.12</v>
      </c>
      <c r="AB705" s="261" t="s">
        <v>2671</v>
      </c>
      <c r="AC705" s="260">
        <v>1.641498275012321</v>
      </c>
      <c r="AD705">
        <f>IF('WetLitterbags placem_collection'!AB46="","",'WetLitterbags placem_collection'!AB46)</f>
        <v>2.6</v>
      </c>
      <c r="AE705">
        <f>IF('WetLitterbags placem_collection'!Z46="","",'WetLitterbags placem_collection'!Z46)</f>
        <v>39.200000000000003</v>
      </c>
      <c r="AF705" s="24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71">
        <f>IFERROR(AVERAGE('Dry_Litterbag Placem_Collection'!N46,'Dry_Litterbag Placem_Collection'!Q46),"")</f>
        <v>26.5</v>
      </c>
      <c r="AJ705" s="270">
        <f>INDEX(Coordinates!$B$2:$B$197,MATCH(G705,Coordinates!$J$2:$J$197,0))</f>
        <v>-3.4081529920000002</v>
      </c>
      <c r="AK705" s="270">
        <f>INDEX(Coordinates!$C$2:$C$197,MATCH(G705,Coordinates!$J$2:$J$197,0))</f>
        <v>34.850168959999998</v>
      </c>
      <c r="AL705" s="270" t="str">
        <f>IF(ISNUMBER(SEARCH("C", 'Dry_Litterbag Placem_Collection'!V46)),"YES","NO")</f>
        <v>NO</v>
      </c>
      <c r="AM705" s="270" t="str">
        <f>IF(ISNUMBER(SEARCH("H", 'Dry_Litterbag Placem_Collection'!V46)),"YES","NO")</f>
        <v>NO</v>
      </c>
      <c r="AN705" s="270" t="str">
        <f>IF(ISNUMBER(SEARCH("R", 'Dry_Litterbag Placem_Collection'!V46)),"YES","NO")</f>
        <v>NO</v>
      </c>
    </row>
    <row r="706" spans="1:40" ht="15" customHeight="1">
      <c r="A706" s="262" t="s">
        <v>2659</v>
      </c>
      <c r="B706" s="263">
        <f>'Dry_Litterbag Placem_Collection'!A47</f>
        <v>45</v>
      </c>
      <c r="C706" s="263" t="str">
        <f>'Dry_Litterbag Placem_Collection'!B47</f>
        <v>Makao</v>
      </c>
      <c r="D706" s="263" t="s">
        <v>2659</v>
      </c>
      <c r="E706" s="263" t="s">
        <v>20</v>
      </c>
      <c r="F706" s="263">
        <v>2</v>
      </c>
      <c r="G706" s="264" t="str">
        <f>'Dry_Litterbag Placem_Collection'!C47</f>
        <v>Dry_P2_T5</v>
      </c>
      <c r="H706" s="273" t="s">
        <v>3651</v>
      </c>
      <c r="I706" s="274" t="s">
        <v>298</v>
      </c>
      <c r="J706" s="263" t="str">
        <f>IF(ISBLANK('Dry_Litterbag Placem_Collection'!M47),"","R"&amp;""&amp;'Dry_Litterbag Placem_Collection'!M47)</f>
        <v>R631</v>
      </c>
      <c r="K706" s="267">
        <f>IFERROR(INDEX('Green_rooibos initial weight'!$C$5:$C$1749,MATCH(J706, 'Green_rooibos initial weight'!$A$5:$A$1749,0)),"")</f>
        <v>2.133</v>
      </c>
      <c r="L706" s="267">
        <f>IFERROR(K706-(TBIcalc!$Q$9+TBIcalc!$Q$10),"")</f>
        <v>1.8832</v>
      </c>
      <c r="M706" s="391">
        <f>AVERAGE(Ashed_controlls!$K$12:$K$14)</f>
        <v>2.2816647271287041</v>
      </c>
      <c r="N706" s="267">
        <f t="shared" si="51"/>
        <v>1.8402316898587123</v>
      </c>
      <c r="O706" s="267" t="str">
        <f>IF(IFERROR(INDEX('Both teabags AfterDry'!$D$3:$D$900,MATCH(J706,'Both teabags AfterDry'!$A$3:$A$900,0)),"")="","",(IFERROR(INDEX('Both teabags AfterDry'!$D$3:$D$900,MATCH(J706,'Both teabags AfterDry'!$A$3:$A$900,0)),"")))</f>
        <v/>
      </c>
      <c r="P706" s="267" t="str">
        <f>IFERROR(IF(O706&gt;0,O706-(TBIcalc!$Q$9),""),"")</f>
        <v/>
      </c>
      <c r="Q706" s="278" t="str">
        <f>IFERROR(INDEX('Ashed teabags dry'!$K$2:$K$825,MATCH(J706,'Ashed teabags dry'!$A$2:$A$825,0)),"")</f>
        <v/>
      </c>
      <c r="R706" s="278" t="str">
        <f t="shared" si="52"/>
        <v/>
      </c>
      <c r="S706" s="268">
        <f>'Dry_Litterbag Placem_Collection'!E47</f>
        <v>42938</v>
      </c>
      <c r="T706" s="268">
        <f>IF('Dry_Litterbag Placem_Collection'!G47="","",'Dry_Litterbag Placem_Collection'!G47)</f>
        <v>43005</v>
      </c>
      <c r="U706" s="269">
        <f t="shared" ref="U706:U769" si="55">IFERROR(T706-S706,"")</f>
        <v>67</v>
      </c>
      <c r="V706" s="267" t="str">
        <f t="shared" si="53"/>
        <v/>
      </c>
      <c r="W706" s="267" t="str">
        <f t="shared" si="54"/>
        <v/>
      </c>
      <c r="X706" s="271">
        <f>IFERROR(INDEX(Rainfall_Dry!$O$2:$O$217,MATCH(B706, Rainfall_Dry!$A$2:$A$217,0)),"")</f>
        <v>6.5250000359999998</v>
      </c>
      <c r="Y706" s="260">
        <v>19.96</v>
      </c>
      <c r="Z706" s="260">
        <v>4.9199999999999982</v>
      </c>
      <c r="AA706" s="260">
        <v>75.12</v>
      </c>
      <c r="AB706" s="261" t="s">
        <v>2671</v>
      </c>
      <c r="AC706" s="260">
        <v>1.641498275012321</v>
      </c>
      <c r="AD706">
        <f>IF('WetLitterbags placem_collection'!AB47="","",'WetLitterbags placem_collection'!AB47)</f>
        <v>2.2999999999999998</v>
      </c>
      <c r="AE706">
        <f>IF('WetLitterbags placem_collection'!Z47="","",'WetLitterbags placem_collection'!Z47)</f>
        <v>9.3000000000000007</v>
      </c>
      <c r="AF706" s="24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71">
        <f>IFERROR(AVERAGE('Dry_Litterbag Placem_Collection'!N47,'Dry_Litterbag Placem_Collection'!Q47),"")</f>
        <v>27.25</v>
      </c>
      <c r="AJ706" s="270">
        <f>INDEX(Coordinates!$B$2:$B$197,MATCH(G706,Coordinates!$J$2:$J$197,0))</f>
        <v>-3.4081789759999999</v>
      </c>
      <c r="AK706" s="270">
        <f>INDEX(Coordinates!$C$2:$C$197,MATCH(G706,Coordinates!$J$2:$J$197,0))</f>
        <v>34.850516980000002</v>
      </c>
      <c r="AL706" s="270" t="str">
        <f>IF(ISNUMBER(SEARCH("C", 'Dry_Litterbag Placem_Collection'!V47)),"YES","NO")</f>
        <v>NO</v>
      </c>
      <c r="AM706" s="270" t="str">
        <f>IF(ISNUMBER(SEARCH("H", 'Dry_Litterbag Placem_Collection'!V47)),"YES","NO")</f>
        <v>NO</v>
      </c>
      <c r="AN706" s="270" t="str">
        <f>IF(ISNUMBER(SEARCH("R", 'Dry_Litterbag Placem_Collection'!V47)),"YES","NO")</f>
        <v>NO</v>
      </c>
    </row>
    <row r="707" spans="1:40" ht="15" customHeight="1">
      <c r="A707" s="262" t="s">
        <v>2659</v>
      </c>
      <c r="B707" s="263">
        <f>'Dry_Litterbag Placem_Collection'!A48</f>
        <v>46</v>
      </c>
      <c r="C707" s="263" t="str">
        <f>'Dry_Litterbag Placem_Collection'!B48</f>
        <v>Makao</v>
      </c>
      <c r="D707" s="263" t="s">
        <v>2659</v>
      </c>
      <c r="E707" s="263" t="s">
        <v>20</v>
      </c>
      <c r="F707" s="263">
        <v>2</v>
      </c>
      <c r="G707" s="264" t="str">
        <f>'Dry_Litterbag Placem_Collection'!C48</f>
        <v>Dry_P2_T6</v>
      </c>
      <c r="H707" s="273" t="s">
        <v>3651</v>
      </c>
      <c r="I707" s="274" t="s">
        <v>298</v>
      </c>
      <c r="J707" s="263" t="str">
        <f>IF(ISBLANK('Dry_Litterbag Placem_Collection'!M48),"","R"&amp;""&amp;'Dry_Litterbag Placem_Collection'!M48)</f>
        <v/>
      </c>
      <c r="K707" s="267" t="str">
        <f>IFERROR(INDEX('Green_rooibos initial weight'!$C$5:$C$1749,MATCH(J707, 'Green_rooibos initial weight'!$A$5:$A$1749,0)),"")</f>
        <v/>
      </c>
      <c r="L707" s="267" t="str">
        <f>IFERROR(K707-(TBIcalc!$Q$9+TBIcalc!$Q$10),"")</f>
        <v/>
      </c>
      <c r="M707" s="391">
        <f>AVERAGE(Ashed_controlls!$K$12:$K$14)</f>
        <v>2.2816647271287041</v>
      </c>
      <c r="N707" s="267" t="str">
        <f t="shared" ref="N707:N770" si="56">IFERROR(L707-(M707/100)*L707,"")</f>
        <v/>
      </c>
      <c r="O707" s="267" t="str">
        <f>IF(IFERROR(INDEX('Both teabags AfterDry'!$D$3:$D$900,MATCH(J707,'Both teabags AfterDry'!$A$3:$A$900,0)),"")="","",(IFERROR(INDEX('Both teabags AfterDry'!$D$3:$D$900,MATCH(J707,'Both teabags AfterDry'!$A$3:$A$900,0)),"")))</f>
        <v/>
      </c>
      <c r="P707" s="267" t="str">
        <f>IFERROR(IF(O707&gt;0,O707-(TBIcalc!$Q$9),""),"")</f>
        <v/>
      </c>
      <c r="Q707" s="278" t="str">
        <f>IFERROR(INDEX('Ashed teabags dry'!$K$2:$K$825,MATCH(J707,'Ashed teabags dry'!$A$2:$A$825,0)),"")</f>
        <v/>
      </c>
      <c r="R707" s="278" t="str">
        <f t="shared" ref="R707:R770" si="57">IFERROR(P707-(Q707/100)*P707,"")</f>
        <v/>
      </c>
      <c r="S707" s="268">
        <f>'Dry_Litterbag Placem_Collection'!E48</f>
        <v>0</v>
      </c>
      <c r="T707" s="268" t="str">
        <f>IF('Dry_Litterbag Placem_Collection'!G48="","",'Dry_Litterbag Placem_Collection'!G48)</f>
        <v/>
      </c>
      <c r="U707" s="269" t="str">
        <f t="shared" si="55"/>
        <v/>
      </c>
      <c r="V707" s="267" t="str">
        <f t="shared" ref="V707:V770" si="58">IFERROR(L707-P707,"")</f>
        <v/>
      </c>
      <c r="W707" s="267" t="str">
        <f t="shared" ref="W707:W770" si="59">IFERROR(N707-R707,"")</f>
        <v/>
      </c>
      <c r="X707" s="271" t="str">
        <f>IFERROR(INDEX(Rainfall_Dry!$O$2:$O$217,MATCH(B707, Rainfall_Dry!$A$2:$A$217,0)),"")</f>
        <v/>
      </c>
      <c r="Y707" s="260">
        <v>19.96</v>
      </c>
      <c r="Z707" s="260">
        <v>4.9199999999999982</v>
      </c>
      <c r="AA707" s="260">
        <v>75.12</v>
      </c>
      <c r="AB707" s="261" t="s">
        <v>2671</v>
      </c>
      <c r="AC707" s="260">
        <v>1.641498275012321</v>
      </c>
      <c r="AD707" t="str">
        <f>IF('WetLitterbags placem_collection'!AB48="","",'WetLitterbags placem_collection'!AB48)</f>
        <v/>
      </c>
      <c r="AE707" t="str">
        <f>IF('WetLitterbags placem_collection'!Z48="","",'WetLitterbags placem_collection'!Z48)</f>
        <v/>
      </c>
      <c r="AF707" s="24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71" t="str">
        <f>IFERROR(AVERAGE('Dry_Litterbag Placem_Collection'!N48,'Dry_Litterbag Placem_Collection'!Q48),"")</f>
        <v/>
      </c>
      <c r="AJ707" s="270">
        <f>INDEX(Coordinates!$B$2:$B$197,MATCH(G707,Coordinates!$J$2:$J$197,0))</f>
        <v>-3.4084730130000001</v>
      </c>
      <c r="AK707" s="270">
        <f>INDEX(Coordinates!$C$2:$C$197,MATCH(G707,Coordinates!$J$2:$J$197,0))</f>
        <v>34.850401980000001</v>
      </c>
      <c r="AL707" s="270" t="str">
        <f>IF(ISNUMBER(SEARCH("C", 'Dry_Litterbag Placem_Collection'!V48)),"YES","NO")</f>
        <v>NO</v>
      </c>
      <c r="AM707" s="270" t="str">
        <f>IF(ISNUMBER(SEARCH("H", 'Dry_Litterbag Placem_Collection'!V48)),"YES","NO")</f>
        <v>NO</v>
      </c>
      <c r="AN707" s="270" t="str">
        <f>IF(ISNUMBER(SEARCH("R", 'Dry_Litterbag Placem_Collection'!V48)),"YES","NO")</f>
        <v>NO</v>
      </c>
    </row>
    <row r="708" spans="1:40" ht="15" customHeight="1">
      <c r="A708" s="262" t="s">
        <v>2659</v>
      </c>
      <c r="B708" s="263">
        <f>'Dry_Litterbag Placem_Collection'!A49</f>
        <v>47</v>
      </c>
      <c r="C708" s="263" t="str">
        <f>'Dry_Litterbag Placem_Collection'!B49</f>
        <v>Makao</v>
      </c>
      <c r="D708" s="263" t="s">
        <v>2659</v>
      </c>
      <c r="E708" s="263" t="s">
        <v>20</v>
      </c>
      <c r="F708" s="263">
        <v>2</v>
      </c>
      <c r="G708" s="264" t="str">
        <f>'Dry_Litterbag Placem_Collection'!C49</f>
        <v>Dry_P2_T7</v>
      </c>
      <c r="H708" s="273" t="s">
        <v>3651</v>
      </c>
      <c r="I708" s="274" t="s">
        <v>298</v>
      </c>
      <c r="J708" s="263" t="str">
        <f>IF(ISBLANK('Dry_Litterbag Placem_Collection'!M49),"","R"&amp;""&amp;'Dry_Litterbag Placem_Collection'!M49)</f>
        <v>R606</v>
      </c>
      <c r="K708" s="267">
        <f>IFERROR(INDEX('Green_rooibos initial weight'!$C$5:$C$1749,MATCH(J708, 'Green_rooibos initial weight'!$A$5:$A$1749,0)),"")</f>
        <v>2.15</v>
      </c>
      <c r="L708" s="267">
        <f>IFERROR(K708-(TBIcalc!$Q$9+TBIcalc!$Q$10),"")</f>
        <v>1.9001999999999999</v>
      </c>
      <c r="M708" s="391">
        <f>AVERAGE(Ashed_controlls!$K$12:$K$14)</f>
        <v>2.2816647271287041</v>
      </c>
      <c r="N708" s="267">
        <f t="shared" si="56"/>
        <v>1.8568438068551003</v>
      </c>
      <c r="O708" s="267">
        <f>IF(IFERROR(INDEX('Both teabags AfterDry'!$D$3:$D$900,MATCH(J708,'Both teabags AfterDry'!$A$3:$A$900,0)),"")="","",(IFERROR(INDEX('Both teabags AfterDry'!$D$3:$D$900,MATCH(J708,'Both teabags AfterDry'!$A$3:$A$900,0)),"")))</f>
        <v>1.9615</v>
      </c>
      <c r="P708" s="267">
        <f>IFERROR(IF(O708&gt;0,O708-(TBIcalc!$Q$9),""),"")</f>
        <v>1.8109</v>
      </c>
      <c r="Q708" s="278">
        <f>IFERROR(INDEX('Ashed teabags dry'!$K$2:$K$825,MATCH(J708,'Ashed teabags dry'!$A$2:$A$825,0)),"")</f>
        <v>1.9589106545621751</v>
      </c>
      <c r="R708" s="278">
        <f t="shared" si="57"/>
        <v>1.7754260869565335</v>
      </c>
      <c r="S708" s="268">
        <f>'Dry_Litterbag Placem_Collection'!E49</f>
        <v>42938</v>
      </c>
      <c r="T708" s="268">
        <f>IF('Dry_Litterbag Placem_Collection'!G49="","",'Dry_Litterbag Placem_Collection'!G49)</f>
        <v>43005</v>
      </c>
      <c r="U708" s="269">
        <f t="shared" si="55"/>
        <v>67</v>
      </c>
      <c r="V708" s="267">
        <f t="shared" si="58"/>
        <v>8.9299999999999935E-2</v>
      </c>
      <c r="W708" s="267">
        <f t="shared" si="59"/>
        <v>8.1417719898566832E-2</v>
      </c>
      <c r="X708" s="271">
        <f>IFERROR(INDEX(Rainfall_Dry!$O$2:$O$217,MATCH(B708, Rainfall_Dry!$A$2:$A$217,0)),"")</f>
        <v>6.5250000359999998</v>
      </c>
      <c r="Y708" s="260">
        <v>19.96</v>
      </c>
      <c r="Z708" s="260">
        <v>4.9199999999999982</v>
      </c>
      <c r="AA708" s="260">
        <v>75.12</v>
      </c>
      <c r="AB708" s="261" t="s">
        <v>2671</v>
      </c>
      <c r="AC708" s="260">
        <v>1.641498275012321</v>
      </c>
      <c r="AD708">
        <f>IF('WetLitterbags placem_collection'!AB49="","",'WetLitterbags placem_collection'!AB49)</f>
        <v>5.2</v>
      </c>
      <c r="AE708">
        <f>IF('WetLitterbags placem_collection'!Z49="","",'WetLitterbags placem_collection'!Z49)</f>
        <v>5.2</v>
      </c>
      <c r="AF708" s="24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71">
        <f>IFERROR(AVERAGE('Dry_Litterbag Placem_Collection'!N49,'Dry_Litterbag Placem_Collection'!Q49),"")</f>
        <v>26.4</v>
      </c>
      <c r="AJ708" s="270">
        <f>INDEX(Coordinates!$B$2:$B$197,MATCH(G708,Coordinates!$J$2:$J$197,0))</f>
        <v>-3.4084819820000001</v>
      </c>
      <c r="AK708" s="270">
        <f>INDEX(Coordinates!$C$2:$C$197,MATCH(G708,Coordinates!$J$2:$J$197,0))</f>
        <v>34.850024040000001</v>
      </c>
      <c r="AL708" s="270" t="str">
        <f>IF(ISNUMBER(SEARCH("C", 'Dry_Litterbag Placem_Collection'!V49)),"YES","NO")</f>
        <v>NO</v>
      </c>
      <c r="AM708" s="270" t="str">
        <f>IF(ISNUMBER(SEARCH("H", 'Dry_Litterbag Placem_Collection'!V49)),"YES","NO")</f>
        <v>NO</v>
      </c>
      <c r="AN708" s="270" t="str">
        <f>IF(ISNUMBER(SEARCH("R", 'Dry_Litterbag Placem_Collection'!V49)),"YES","NO")</f>
        <v>NO</v>
      </c>
    </row>
    <row r="709" spans="1:40" ht="15" customHeight="1">
      <c r="A709" s="262" t="s">
        <v>2659</v>
      </c>
      <c r="B709" s="263">
        <f>'Dry_Litterbag Placem_Collection'!A50</f>
        <v>48</v>
      </c>
      <c r="C709" s="263" t="str">
        <f>'Dry_Litterbag Placem_Collection'!B50</f>
        <v>Makao</v>
      </c>
      <c r="D709" s="263" t="s">
        <v>2659</v>
      </c>
      <c r="E709" s="263" t="s">
        <v>20</v>
      </c>
      <c r="F709" s="263">
        <v>2</v>
      </c>
      <c r="G709" s="264" t="str">
        <f>'Dry_Litterbag Placem_Collection'!C50</f>
        <v>Dry_P2_T8</v>
      </c>
      <c r="H709" s="273" t="s">
        <v>3651</v>
      </c>
      <c r="I709" s="274" t="s">
        <v>298</v>
      </c>
      <c r="J709" s="263" t="str">
        <f>IF(ISBLANK('Dry_Litterbag Placem_Collection'!M50),"","R"&amp;""&amp;'Dry_Litterbag Placem_Collection'!M50)</f>
        <v>R221</v>
      </c>
      <c r="K709" s="267">
        <f>IFERROR(INDEX('Green_rooibos initial weight'!$C$5:$C$1749,MATCH(J709, 'Green_rooibos initial weight'!$A$5:$A$1749,0)),"")</f>
        <v>2.2210000000000001</v>
      </c>
      <c r="L709" s="267">
        <f>IFERROR(K709-(TBIcalc!$Q$9+TBIcalc!$Q$10),"")</f>
        <v>1.9712000000000001</v>
      </c>
      <c r="M709" s="391">
        <f>AVERAGE(Ashed_controlls!$K$12:$K$14)</f>
        <v>2.2816647271287041</v>
      </c>
      <c r="N709" s="267">
        <f t="shared" si="56"/>
        <v>1.926223824898839</v>
      </c>
      <c r="O709" s="267">
        <f>IF(IFERROR(INDEX('Both teabags AfterDry'!$D$3:$D$900,MATCH(J709,'Both teabags AfterDry'!$A$3:$A$900,0)),"")="","",(IFERROR(INDEX('Both teabags AfterDry'!$D$3:$D$900,MATCH(J709,'Both teabags AfterDry'!$A$3:$A$900,0)),"")))</f>
        <v>1.8791</v>
      </c>
      <c r="P709" s="267">
        <f>IFERROR(IF(O709&gt;0,O709-(TBIcalc!$Q$9),""),"")</f>
        <v>1.7284999999999999</v>
      </c>
      <c r="Q709" s="278">
        <f>IFERROR(INDEX('Ashed teabags dry'!$K$2:$K$825,MATCH(J709,'Ashed teabags dry'!$A$2:$A$825,0)),"")</f>
        <v>2.6198934280645174</v>
      </c>
      <c r="R709" s="278">
        <f t="shared" si="57"/>
        <v>1.6832151420959047</v>
      </c>
      <c r="S709" s="268">
        <f>'Dry_Litterbag Placem_Collection'!E50</f>
        <v>42938</v>
      </c>
      <c r="T709" s="268">
        <f>IF('Dry_Litterbag Placem_Collection'!G50="","",'Dry_Litterbag Placem_Collection'!G50)</f>
        <v>43005</v>
      </c>
      <c r="U709" s="269">
        <f t="shared" si="55"/>
        <v>67</v>
      </c>
      <c r="V709" s="267">
        <f t="shared" si="58"/>
        <v>0.24270000000000014</v>
      </c>
      <c r="W709" s="267">
        <f t="shared" si="59"/>
        <v>0.24300868280293431</v>
      </c>
      <c r="X709" s="271">
        <f>IFERROR(INDEX(Rainfall_Dry!$O$2:$O$217,MATCH(B709, Rainfall_Dry!$A$2:$A$217,0)),"")</f>
        <v>6.5250000359999998</v>
      </c>
      <c r="Y709" s="260">
        <v>19.96</v>
      </c>
      <c r="Z709" s="260">
        <v>4.9199999999999982</v>
      </c>
      <c r="AA709" s="260">
        <v>75.12</v>
      </c>
      <c r="AB709" s="261" t="s">
        <v>2671</v>
      </c>
      <c r="AC709" s="260">
        <v>1.641498275012321</v>
      </c>
      <c r="AD709">
        <f>IF('WetLitterbags placem_collection'!AB50="","",'WetLitterbags placem_collection'!AB50)</f>
        <v>7.3</v>
      </c>
      <c r="AE709">
        <f>IF('WetLitterbags placem_collection'!Z50="","",'WetLitterbags placem_collection'!Z50)</f>
        <v>27.2</v>
      </c>
      <c r="AF709" s="24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71">
        <f>IFERROR(AVERAGE('Dry_Litterbag Placem_Collection'!N50,'Dry_Litterbag Placem_Collection'!Q50),"")</f>
        <v>25.950000000000003</v>
      </c>
      <c r="AJ709" s="270">
        <f>INDEX(Coordinates!$B$2:$B$197,MATCH(G709,Coordinates!$J$2:$J$197,0))</f>
        <v>-3.4081990090000001</v>
      </c>
      <c r="AK709" s="270">
        <f>INDEX(Coordinates!$C$2:$C$197,MATCH(G709,Coordinates!$J$2:$J$197,0))</f>
        <v>34.850254960000001</v>
      </c>
      <c r="AL709" s="270" t="str">
        <f>IF(ISNUMBER(SEARCH("C", 'Dry_Litterbag Placem_Collection'!V50)),"YES","NO")</f>
        <v>NO</v>
      </c>
      <c r="AM709" s="270" t="str">
        <f>IF(ISNUMBER(SEARCH("H", 'Dry_Litterbag Placem_Collection'!V50)),"YES","NO")</f>
        <v>NO</v>
      </c>
      <c r="AN709" s="270" t="str">
        <f>IF(ISNUMBER(SEARCH("R", 'Dry_Litterbag Placem_Collection'!V50)),"YES","NO")</f>
        <v>NO</v>
      </c>
    </row>
    <row r="710" spans="1:40" ht="15" customHeight="1">
      <c r="A710" s="262" t="s">
        <v>2659</v>
      </c>
      <c r="B710" s="263">
        <f>'Dry_Litterbag Placem_Collection'!A51</f>
        <v>49</v>
      </c>
      <c r="C710" s="263" t="str">
        <f>'Dry_Litterbag Placem_Collection'!B51</f>
        <v>Makao</v>
      </c>
      <c r="D710" s="263" t="s">
        <v>2659</v>
      </c>
      <c r="E710" s="263" t="s">
        <v>20</v>
      </c>
      <c r="F710" s="263">
        <v>3</v>
      </c>
      <c r="G710" s="264" t="str">
        <f>'Dry_Litterbag Placem_Collection'!C51</f>
        <v>Dry_P3_T1</v>
      </c>
      <c r="H710" s="273" t="s">
        <v>3651</v>
      </c>
      <c r="I710" s="274" t="s">
        <v>298</v>
      </c>
      <c r="J710" s="263" t="str">
        <f>IF(ISBLANK('Dry_Litterbag Placem_Collection'!M51),"","R"&amp;""&amp;'Dry_Litterbag Placem_Collection'!M51)</f>
        <v>R308</v>
      </c>
      <c r="K710" s="267">
        <f>IFERROR(INDEX('Green_rooibos initial weight'!$C$5:$C$1749,MATCH(J710, 'Green_rooibos initial weight'!$A$5:$A$1749,0)),"")</f>
        <v>2.173</v>
      </c>
      <c r="L710" s="267">
        <f>IFERROR(K710-(TBIcalc!$Q$9+TBIcalc!$Q$10),"")</f>
        <v>1.9232</v>
      </c>
      <c r="M710" s="391">
        <f>AVERAGE(Ashed_controlls!$K$12:$K$14)</f>
        <v>2.2816647271287041</v>
      </c>
      <c r="N710" s="267">
        <f t="shared" si="56"/>
        <v>1.8793190239678608</v>
      </c>
      <c r="O710" s="267" t="str">
        <f>IF(IFERROR(INDEX('Both teabags AfterDry'!$D$3:$D$900,MATCH(J710,'Both teabags AfterDry'!$A$3:$A$900,0)),"")="","",(IFERROR(INDEX('Both teabags AfterDry'!$D$3:$D$900,MATCH(J710,'Both teabags AfterDry'!$A$3:$A$900,0)),"")))</f>
        <v/>
      </c>
      <c r="P710" s="267" t="str">
        <f>IFERROR(IF(O710&gt;0,O710-(TBIcalc!$Q$9),""),"")</f>
        <v/>
      </c>
      <c r="Q710" s="278" t="str">
        <f>IFERROR(INDEX('Ashed teabags dry'!$K$2:$K$825,MATCH(J710,'Ashed teabags dry'!$A$2:$A$825,0)),"")</f>
        <v/>
      </c>
      <c r="R710" s="278" t="str">
        <f t="shared" si="57"/>
        <v/>
      </c>
      <c r="S710" s="268">
        <f>'Dry_Litterbag Placem_Collection'!E51</f>
        <v>42938</v>
      </c>
      <c r="T710" s="268">
        <f>IF('Dry_Litterbag Placem_Collection'!G51="","",'Dry_Litterbag Placem_Collection'!G51)</f>
        <v>43005</v>
      </c>
      <c r="U710" s="269">
        <f t="shared" si="55"/>
        <v>67</v>
      </c>
      <c r="V710" s="267" t="str">
        <f t="shared" si="58"/>
        <v/>
      </c>
      <c r="W710" s="267" t="str">
        <f t="shared" si="59"/>
        <v/>
      </c>
      <c r="X710" s="271">
        <f>IFERROR(INDEX(Rainfall_Dry!$O$2:$O$217,MATCH(B710, Rainfall_Dry!$A$2:$A$217,0)),"")</f>
        <v>6.5250000359999998</v>
      </c>
      <c r="Y710" s="260">
        <v>21.96</v>
      </c>
      <c r="Z710" s="260">
        <v>8.9199999999999982</v>
      </c>
      <c r="AA710" s="260">
        <v>69.12</v>
      </c>
      <c r="AB710" s="261" t="s">
        <v>2670</v>
      </c>
      <c r="AC710" s="260">
        <v>1.7491375061606702</v>
      </c>
      <c r="AD710">
        <f>IF('WetLitterbags placem_collection'!AB51="","",'WetLitterbags placem_collection'!AB51)</f>
        <v>10.4</v>
      </c>
      <c r="AE710">
        <f>IF('WetLitterbags placem_collection'!Z51="","",'WetLitterbags placem_collection'!Z51)</f>
        <v>36</v>
      </c>
      <c r="AF710" s="24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71">
        <f>IFERROR(AVERAGE('Dry_Litterbag Placem_Collection'!N51,'Dry_Litterbag Placem_Collection'!Q51),"")</f>
        <v>31.5</v>
      </c>
      <c r="AJ710" s="270">
        <f>INDEX(Coordinates!$B$2:$B$197,MATCH(G710,Coordinates!$J$2:$J$197,0))</f>
        <v>-3.406225992</v>
      </c>
      <c r="AK710" s="270">
        <f>INDEX(Coordinates!$C$2:$C$197,MATCH(G710,Coordinates!$J$2:$J$197,0))</f>
        <v>34.85055998</v>
      </c>
      <c r="AL710" s="270" t="str">
        <f>IF(ISNUMBER(SEARCH("C", 'Dry_Litterbag Placem_Collection'!V51)),"YES","NO")</f>
        <v>NO</v>
      </c>
      <c r="AM710" s="270" t="str">
        <f>IF(ISNUMBER(SEARCH("H", 'Dry_Litterbag Placem_Collection'!V51)),"YES","NO")</f>
        <v>NO</v>
      </c>
      <c r="AN710" s="270" t="str">
        <f>IF(ISNUMBER(SEARCH("R", 'Dry_Litterbag Placem_Collection'!V51)),"YES","NO")</f>
        <v>NO</v>
      </c>
    </row>
    <row r="711" spans="1:40" ht="15" customHeight="1">
      <c r="A711" s="262" t="s">
        <v>2659</v>
      </c>
      <c r="B711" s="263">
        <f>'Dry_Litterbag Placem_Collection'!A52</f>
        <v>50</v>
      </c>
      <c r="C711" s="263" t="str">
        <f>'Dry_Litterbag Placem_Collection'!B52</f>
        <v>Makao</v>
      </c>
      <c r="D711" s="263" t="s">
        <v>2659</v>
      </c>
      <c r="E711" s="263" t="s">
        <v>20</v>
      </c>
      <c r="F711" s="263">
        <v>3</v>
      </c>
      <c r="G711" s="264" t="str">
        <f>'Dry_Litterbag Placem_Collection'!C52</f>
        <v>Dry_P3_T2</v>
      </c>
      <c r="H711" s="273" t="s">
        <v>3651</v>
      </c>
      <c r="I711" s="274" t="s">
        <v>298</v>
      </c>
      <c r="J711" s="263" t="str">
        <f>IF(ISBLANK('Dry_Litterbag Placem_Collection'!M52),"","R"&amp;""&amp;'Dry_Litterbag Placem_Collection'!M52)</f>
        <v>R644</v>
      </c>
      <c r="K711" s="267">
        <f>IFERROR(INDEX('Green_rooibos initial weight'!$C$5:$C$1749,MATCH(J711, 'Green_rooibos initial weight'!$A$5:$A$1749,0)),"")</f>
        <v>2.2240000000000002</v>
      </c>
      <c r="L711" s="267">
        <f>IFERROR(K711-(TBIcalc!$Q$9+TBIcalc!$Q$10),"")</f>
        <v>1.9742000000000002</v>
      </c>
      <c r="M711" s="391">
        <f>AVERAGE(Ashed_controlls!$K$12:$K$14)</f>
        <v>2.2816647271287041</v>
      </c>
      <c r="N711" s="267">
        <f t="shared" si="56"/>
        <v>1.9291553749570254</v>
      </c>
      <c r="O711" s="267" t="str">
        <f>IF(IFERROR(INDEX('Both teabags AfterDry'!$D$3:$D$900,MATCH(J711,'Both teabags AfterDry'!$A$3:$A$900,0)),"")="","",(IFERROR(INDEX('Both teabags AfterDry'!$D$3:$D$900,MATCH(J711,'Both teabags AfterDry'!$A$3:$A$900,0)),"")))</f>
        <v/>
      </c>
      <c r="P711" s="267" t="str">
        <f>IFERROR(IF(O711&gt;0,O711-(TBIcalc!$Q$9),""),"")</f>
        <v/>
      </c>
      <c r="Q711" s="278" t="str">
        <f>IFERROR(INDEX('Ashed teabags dry'!$K$2:$K$825,MATCH(J711,'Ashed teabags dry'!$A$2:$A$825,0)),"")</f>
        <v/>
      </c>
      <c r="R711" s="278" t="str">
        <f t="shared" si="57"/>
        <v/>
      </c>
      <c r="S711" s="268">
        <f>'Dry_Litterbag Placem_Collection'!E52</f>
        <v>42938</v>
      </c>
      <c r="T711" s="268" t="str">
        <f>IF('Dry_Litterbag Placem_Collection'!G52="","",'Dry_Litterbag Placem_Collection'!G52)</f>
        <v/>
      </c>
      <c r="U711" s="269" t="str">
        <f t="shared" si="55"/>
        <v/>
      </c>
      <c r="V711" s="267" t="str">
        <f t="shared" si="58"/>
        <v/>
      </c>
      <c r="W711" s="267" t="str">
        <f t="shared" si="59"/>
        <v/>
      </c>
      <c r="X711" s="271" t="str">
        <f>IFERROR(INDEX(Rainfall_Dry!$O$2:$O$217,MATCH(B711, Rainfall_Dry!$A$2:$A$217,0)),"")</f>
        <v/>
      </c>
      <c r="Y711" s="260">
        <v>21.96</v>
      </c>
      <c r="Z711" s="260">
        <v>8.9199999999999982</v>
      </c>
      <c r="AA711" s="260">
        <v>69.12</v>
      </c>
      <c r="AB711" s="261" t="s">
        <v>2670</v>
      </c>
      <c r="AC711" s="260">
        <v>1.7491375061606702</v>
      </c>
      <c r="AD711">
        <f>IF('WetLitterbags placem_collection'!AB52="","",'WetLitterbags placem_collection'!AB52)</f>
        <v>10</v>
      </c>
      <c r="AE711">
        <f>IF('WetLitterbags placem_collection'!Z52="","",'WetLitterbags placem_collection'!Z52)</f>
        <v>22.5</v>
      </c>
      <c r="AF711" s="24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71">
        <f>IFERROR(AVERAGE('Dry_Litterbag Placem_Collection'!N52,'Dry_Litterbag Placem_Collection'!Q52),"")</f>
        <v>27.6</v>
      </c>
      <c r="AJ711" s="270">
        <f>INDEX(Coordinates!$B$2:$B$197,MATCH(G711,Coordinates!$J$2:$J$197,0))</f>
        <v>-3.4062630399999998</v>
      </c>
      <c r="AK711" s="270">
        <f>INDEX(Coordinates!$C$2:$C$197,MATCH(G711,Coordinates!$J$2:$J$197,0))</f>
        <v>34.850566010000001</v>
      </c>
      <c r="AL711" s="270" t="str">
        <f>IF(ISNUMBER(SEARCH("C", 'Dry_Litterbag Placem_Collection'!V52)),"YES","NO")</f>
        <v>NO</v>
      </c>
      <c r="AM711" s="270" t="str">
        <f>IF(ISNUMBER(SEARCH("H", 'Dry_Litterbag Placem_Collection'!V52)),"YES","NO")</f>
        <v>NO</v>
      </c>
      <c r="AN711" s="270" t="str">
        <f>IF(ISNUMBER(SEARCH("R", 'Dry_Litterbag Placem_Collection'!V52)),"YES","NO")</f>
        <v>NO</v>
      </c>
    </row>
    <row r="712" spans="1:40" ht="15" customHeight="1">
      <c r="A712" s="262" t="s">
        <v>2659</v>
      </c>
      <c r="B712" s="263">
        <f>'Dry_Litterbag Placem_Collection'!A53</f>
        <v>51</v>
      </c>
      <c r="C712" s="263" t="str">
        <f>'Dry_Litterbag Placem_Collection'!B53</f>
        <v>Makao</v>
      </c>
      <c r="D712" s="263" t="s">
        <v>2659</v>
      </c>
      <c r="E712" s="263" t="s">
        <v>20</v>
      </c>
      <c r="F712" s="263">
        <v>3</v>
      </c>
      <c r="G712" s="264" t="str">
        <f>'Dry_Litterbag Placem_Collection'!C53</f>
        <v>Dry_P3_T3</v>
      </c>
      <c r="H712" s="273" t="s">
        <v>3651</v>
      </c>
      <c r="I712" s="274" t="s">
        <v>298</v>
      </c>
      <c r="J712" s="263" t="str">
        <f>IF(ISBLANK('Dry_Litterbag Placem_Collection'!M53),"","R"&amp;""&amp;'Dry_Litterbag Placem_Collection'!M53)</f>
        <v>R242</v>
      </c>
      <c r="K712" s="267">
        <f>IFERROR(INDEX('Green_rooibos initial weight'!$C$5:$C$1749,MATCH(J712, 'Green_rooibos initial weight'!$A$5:$A$1749,0)),"")</f>
        <v>2.194</v>
      </c>
      <c r="L712" s="267">
        <f>IFERROR(K712-(TBIcalc!$Q$9+TBIcalc!$Q$10),"")</f>
        <v>1.9441999999999999</v>
      </c>
      <c r="M712" s="391">
        <f>AVERAGE(Ashed_controlls!$K$12:$K$14)</f>
        <v>2.2816647271287041</v>
      </c>
      <c r="N712" s="267">
        <f t="shared" si="56"/>
        <v>1.8998398743751637</v>
      </c>
      <c r="O712" s="267">
        <f>IF(IFERROR(INDEX('Both teabags AfterDry'!$D$3:$D$900,MATCH(J712,'Both teabags AfterDry'!$A$3:$A$900,0)),"")="","",(IFERROR(INDEX('Both teabags AfterDry'!$D$3:$D$900,MATCH(J712,'Both teabags AfterDry'!$A$3:$A$900,0)),"")))</f>
        <v>1.9262999999999999</v>
      </c>
      <c r="P712" s="267">
        <f>IFERROR(IF(O712&gt;0,O712-(TBIcalc!$Q$9),""),"")</f>
        <v>1.7756999999999998</v>
      </c>
      <c r="Q712" s="278">
        <f>IFERROR(INDEX('Ashed teabags dry'!$K$2:$K$825,MATCH(J712,'Ashed teabags dry'!$A$2:$A$825,0)),"")</f>
        <v>3.7440758293834344</v>
      </c>
      <c r="R712" s="278">
        <f t="shared" si="57"/>
        <v>1.7092164454976382</v>
      </c>
      <c r="S712" s="268">
        <f>'Dry_Litterbag Placem_Collection'!E53</f>
        <v>42938</v>
      </c>
      <c r="T712" s="268">
        <f>IF('Dry_Litterbag Placem_Collection'!G53="","",'Dry_Litterbag Placem_Collection'!G53)</f>
        <v>43005</v>
      </c>
      <c r="U712" s="269">
        <f t="shared" si="55"/>
        <v>67</v>
      </c>
      <c r="V712" s="267">
        <f t="shared" si="58"/>
        <v>0.16850000000000009</v>
      </c>
      <c r="W712" s="267">
        <f t="shared" si="59"/>
        <v>0.19062342887752548</v>
      </c>
      <c r="X712" s="271">
        <f>IFERROR(INDEX(Rainfall_Dry!$O$2:$O$217,MATCH(B712, Rainfall_Dry!$A$2:$A$217,0)),"")</f>
        <v>6.5250000359999998</v>
      </c>
      <c r="Y712" s="260">
        <v>21.96</v>
      </c>
      <c r="Z712" s="260">
        <v>8.9199999999999982</v>
      </c>
      <c r="AA712" s="260">
        <v>69.12</v>
      </c>
      <c r="AB712" s="261" t="s">
        <v>2670</v>
      </c>
      <c r="AC712" s="260">
        <v>1.7491375061606702</v>
      </c>
      <c r="AD712">
        <f>IF('WetLitterbags placem_collection'!AB53="","",'WetLitterbags placem_collection'!AB53)</f>
        <v>3</v>
      </c>
      <c r="AE712">
        <f>IF('WetLitterbags placem_collection'!Z53="","",'WetLitterbags placem_collection'!Z53)</f>
        <v>18</v>
      </c>
      <c r="AF712" s="24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71">
        <f>IFERROR(AVERAGE('Dry_Litterbag Placem_Collection'!N53,'Dry_Litterbag Placem_Collection'!Q53),"")</f>
        <v>34.450000000000003</v>
      </c>
      <c r="AJ712" s="270">
        <f>INDEX(Coordinates!$B$2:$B$197,MATCH(G712,Coordinates!$J$2:$J$197,0))</f>
        <v>-3.4063920379999999</v>
      </c>
      <c r="AK712" s="270">
        <f>INDEX(Coordinates!$C$2:$C$197,MATCH(G712,Coordinates!$J$2:$J$197,0))</f>
        <v>34.850696020000001</v>
      </c>
      <c r="AL712" s="270" t="str">
        <f>IF(ISNUMBER(SEARCH("C", 'Dry_Litterbag Placem_Collection'!V53)),"YES","NO")</f>
        <v>NO</v>
      </c>
      <c r="AM712" s="270" t="str">
        <f>IF(ISNUMBER(SEARCH("H", 'Dry_Litterbag Placem_Collection'!V53)),"YES","NO")</f>
        <v>NO</v>
      </c>
      <c r="AN712" s="270" t="str">
        <f>IF(ISNUMBER(SEARCH("R", 'Dry_Litterbag Placem_Collection'!V53)),"YES","NO")</f>
        <v>NO</v>
      </c>
    </row>
    <row r="713" spans="1:40" ht="15" customHeight="1">
      <c r="A713" s="262" t="s">
        <v>2659</v>
      </c>
      <c r="B713" s="263">
        <f>'Dry_Litterbag Placem_Collection'!A54</f>
        <v>52</v>
      </c>
      <c r="C713" s="263" t="str">
        <f>'Dry_Litterbag Placem_Collection'!B54</f>
        <v>Makao</v>
      </c>
      <c r="D713" s="263" t="s">
        <v>2659</v>
      </c>
      <c r="E713" s="263" t="s">
        <v>20</v>
      </c>
      <c r="F713" s="263">
        <v>3</v>
      </c>
      <c r="G713" s="264" t="str">
        <f>'Dry_Litterbag Placem_Collection'!C54</f>
        <v>Dry_P3_T4</v>
      </c>
      <c r="H713" s="273" t="s">
        <v>3651</v>
      </c>
      <c r="I713" s="274" t="s">
        <v>298</v>
      </c>
      <c r="J713" s="263" t="str">
        <f>IF(ISBLANK('Dry_Litterbag Placem_Collection'!M54),"","R"&amp;""&amp;'Dry_Litterbag Placem_Collection'!M54)</f>
        <v>R648</v>
      </c>
      <c r="K713" s="267">
        <f>IFERROR(INDEX('Green_rooibos initial weight'!$C$5:$C$1749,MATCH(J713, 'Green_rooibos initial weight'!$A$5:$A$1749,0)),"")</f>
        <v>2.1920000000000002</v>
      </c>
      <c r="L713" s="267">
        <f>IFERROR(K713-(TBIcalc!$Q$9+TBIcalc!$Q$10),"")</f>
        <v>1.9422000000000001</v>
      </c>
      <c r="M713" s="391">
        <f>AVERAGE(Ashed_controlls!$K$12:$K$14)</f>
        <v>2.2816647271287041</v>
      </c>
      <c r="N713" s="267">
        <f t="shared" si="56"/>
        <v>1.8978855076697065</v>
      </c>
      <c r="O713" s="267">
        <f>IF(IFERROR(INDEX('Both teabags AfterDry'!$D$3:$D$900,MATCH(J713,'Both teabags AfterDry'!$A$3:$A$900,0)),"")="","",(IFERROR(INDEX('Both teabags AfterDry'!$D$3:$D$900,MATCH(J713,'Both teabags AfterDry'!$A$3:$A$900,0)),"")))</f>
        <v>1.9649000000000001</v>
      </c>
      <c r="P713" s="267">
        <f>IFERROR(IF(O713&gt;0,O713-(TBIcalc!$Q$9),""),"")</f>
        <v>1.8143</v>
      </c>
      <c r="Q713" s="278">
        <f>IFERROR(INDEX('Ashed teabags dry'!$K$2:$K$825,MATCH(J713,'Ashed teabags dry'!$A$2:$A$825,0)),"")</f>
        <v>3.1295137217131312</v>
      </c>
      <c r="R713" s="278">
        <f t="shared" si="57"/>
        <v>1.7575212325469587</v>
      </c>
      <c r="S713" s="268">
        <f>'Dry_Litterbag Placem_Collection'!E54</f>
        <v>42938</v>
      </c>
      <c r="T713" s="268">
        <f>IF('Dry_Litterbag Placem_Collection'!G54="","",'Dry_Litterbag Placem_Collection'!G54)</f>
        <v>43005</v>
      </c>
      <c r="U713" s="269">
        <f t="shared" si="55"/>
        <v>67</v>
      </c>
      <c r="V713" s="267">
        <f t="shared" si="58"/>
        <v>0.12790000000000012</v>
      </c>
      <c r="W713" s="267">
        <f t="shared" si="59"/>
        <v>0.14036427512274785</v>
      </c>
      <c r="X713" s="271">
        <f>IFERROR(INDEX(Rainfall_Dry!$O$2:$O$217,MATCH(B713, Rainfall_Dry!$A$2:$A$217,0)),"")</f>
        <v>6.5250000359999998</v>
      </c>
      <c r="Y713" s="260">
        <v>21.96</v>
      </c>
      <c r="Z713" s="260">
        <v>8.9199999999999982</v>
      </c>
      <c r="AA713" s="260">
        <v>69.12</v>
      </c>
      <c r="AB713" s="261" t="s">
        <v>2670</v>
      </c>
      <c r="AC713" s="260">
        <v>1.7491375061606702</v>
      </c>
      <c r="AD713">
        <f>IF('WetLitterbags placem_collection'!AB54="","",'WetLitterbags placem_collection'!AB54)</f>
        <v>13.4</v>
      </c>
      <c r="AE713">
        <f>IF('WetLitterbags placem_collection'!Z54="","",'WetLitterbags placem_collection'!Z54)</f>
        <v>67</v>
      </c>
      <c r="AF713" s="24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71">
        <f>IFERROR(AVERAGE('Dry_Litterbag Placem_Collection'!N54,'Dry_Litterbag Placem_Collection'!Q54),"")</f>
        <v>30.75</v>
      </c>
      <c r="AJ713" s="270">
        <f>INDEX(Coordinates!$B$2:$B$197,MATCH(G713,Coordinates!$J$2:$J$197,0))</f>
        <v>-3.4061569999999999</v>
      </c>
      <c r="AK713" s="270">
        <f>INDEX(Coordinates!$C$2:$C$197,MATCH(G713,Coordinates!$J$2:$J$197,0))</f>
        <v>34.850738999999997</v>
      </c>
      <c r="AL713" s="270" t="str">
        <f>IF(ISNUMBER(SEARCH("C", 'Dry_Litterbag Placem_Collection'!V54)),"YES","NO")</f>
        <v>NO</v>
      </c>
      <c r="AM713" s="270" t="str">
        <f>IF(ISNUMBER(SEARCH("H", 'Dry_Litterbag Placem_Collection'!V54)),"YES","NO")</f>
        <v>NO</v>
      </c>
      <c r="AN713" s="270" t="str">
        <f>IF(ISNUMBER(SEARCH("R", 'Dry_Litterbag Placem_Collection'!V54)),"YES","NO")</f>
        <v>NO</v>
      </c>
    </row>
    <row r="714" spans="1:40" ht="15" customHeight="1">
      <c r="A714" s="262" t="s">
        <v>2659</v>
      </c>
      <c r="B714" s="263">
        <f>'Dry_Litterbag Placem_Collection'!A55</f>
        <v>53</v>
      </c>
      <c r="C714" s="263" t="str">
        <f>'Dry_Litterbag Placem_Collection'!B55</f>
        <v>Makao</v>
      </c>
      <c r="D714" s="263" t="s">
        <v>2659</v>
      </c>
      <c r="E714" s="263" t="s">
        <v>20</v>
      </c>
      <c r="F714" s="263">
        <v>3</v>
      </c>
      <c r="G714" s="264" t="str">
        <f>'Dry_Litterbag Placem_Collection'!C55</f>
        <v>Dry_P3_T5</v>
      </c>
      <c r="H714" s="273" t="s">
        <v>3651</v>
      </c>
      <c r="I714" s="274" t="s">
        <v>298</v>
      </c>
      <c r="J714" s="263" t="str">
        <f>IF(ISBLANK('Dry_Litterbag Placem_Collection'!M55),"","R"&amp;""&amp;'Dry_Litterbag Placem_Collection'!M55)</f>
        <v>R140</v>
      </c>
      <c r="K714" s="267">
        <f>IFERROR(INDEX('Green_rooibos initial weight'!$C$5:$C$1749,MATCH(J714, 'Green_rooibos initial weight'!$A$5:$A$1749,0)),"")</f>
        <v>2.1930000000000001</v>
      </c>
      <c r="L714" s="267">
        <f>IFERROR(K714-(TBIcalc!$Q$9+TBIcalc!$Q$10),"")</f>
        <v>1.9432</v>
      </c>
      <c r="M714" s="391">
        <f>AVERAGE(Ashed_controlls!$K$12:$K$14)</f>
        <v>2.2816647271287041</v>
      </c>
      <c r="N714" s="267">
        <f t="shared" si="56"/>
        <v>1.8988626910224351</v>
      </c>
      <c r="O714" s="267">
        <f>IF(IFERROR(INDEX('Both teabags AfterDry'!$D$3:$D$900,MATCH(J714,'Both teabags AfterDry'!$A$3:$A$900,0)),"")="","",(IFERROR(INDEX('Both teabags AfterDry'!$D$3:$D$900,MATCH(J714,'Both teabags AfterDry'!$A$3:$A$900,0)),"")))</f>
        <v>1.9561999999999999</v>
      </c>
      <c r="P714" s="267">
        <f>IFERROR(IF(O714&gt;0,O714-(TBIcalc!$Q$9),""),"")</f>
        <v>1.8055999999999999</v>
      </c>
      <c r="Q714" s="278">
        <f>IFERROR(INDEX('Ashed teabags dry'!$K$2:$K$825,MATCH(J714,'Ashed teabags dry'!$A$2:$A$825,0)),"")</f>
        <v>3.1146767343080963</v>
      </c>
      <c r="R714" s="278">
        <f t="shared" si="57"/>
        <v>1.749361396885333</v>
      </c>
      <c r="S714" s="268">
        <f>'Dry_Litterbag Placem_Collection'!E55</f>
        <v>42938</v>
      </c>
      <c r="T714" s="268">
        <f>IF('Dry_Litterbag Placem_Collection'!G55="","",'Dry_Litterbag Placem_Collection'!G55)</f>
        <v>43005</v>
      </c>
      <c r="U714" s="269">
        <f t="shared" si="55"/>
        <v>67</v>
      </c>
      <c r="V714" s="267">
        <f t="shared" si="58"/>
        <v>0.13760000000000017</v>
      </c>
      <c r="W714" s="267">
        <f t="shared" si="59"/>
        <v>0.14950129413710211</v>
      </c>
      <c r="X714" s="271">
        <f>IFERROR(INDEX(Rainfall_Dry!$O$2:$O$217,MATCH(B714, Rainfall_Dry!$A$2:$A$217,0)),"")</f>
        <v>6.5250000359999998</v>
      </c>
      <c r="Y714" s="260">
        <v>21.96</v>
      </c>
      <c r="Z714" s="260">
        <v>8.9199999999999982</v>
      </c>
      <c r="AA714" s="260">
        <v>69.12</v>
      </c>
      <c r="AB714" s="261" t="s">
        <v>2670</v>
      </c>
      <c r="AC714" s="260">
        <v>1.7491375061606702</v>
      </c>
      <c r="AD714" t="str">
        <f>IF('WetLitterbags placem_collection'!AB55="","",'WetLitterbags placem_collection'!AB55)</f>
        <v/>
      </c>
      <c r="AE714" t="str">
        <f>IF('WetLitterbags placem_collection'!Z55="","",'WetLitterbags placem_collection'!Z55)</f>
        <v/>
      </c>
      <c r="AF714" s="24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71">
        <f>IFERROR(AVERAGE('Dry_Litterbag Placem_Collection'!N55,'Dry_Litterbag Placem_Collection'!Q55),"")</f>
        <v>30.4</v>
      </c>
      <c r="AJ714" s="270">
        <f>INDEX(Coordinates!$B$2:$B$197,MATCH(G714,Coordinates!$J$2:$J$197,0))</f>
        <v>-3.4061140000000001</v>
      </c>
      <c r="AK714" s="270">
        <f>INDEX(Coordinates!$C$2:$C$197,MATCH(G714,Coordinates!$J$2:$J$197,0))</f>
        <v>34.850596000000003</v>
      </c>
      <c r="AL714" s="270" t="str">
        <f>IF(ISNUMBER(SEARCH("C", 'Dry_Litterbag Placem_Collection'!V55)),"YES","NO")</f>
        <v>NO</v>
      </c>
      <c r="AM714" s="270" t="str">
        <f>IF(ISNUMBER(SEARCH("H", 'Dry_Litterbag Placem_Collection'!V55)),"YES","NO")</f>
        <v>NO</v>
      </c>
      <c r="AN714" s="270" t="str">
        <f>IF(ISNUMBER(SEARCH("R", 'Dry_Litterbag Placem_Collection'!V55)),"YES","NO")</f>
        <v>NO</v>
      </c>
    </row>
    <row r="715" spans="1:40" ht="15" customHeight="1">
      <c r="A715" s="262" t="s">
        <v>2659</v>
      </c>
      <c r="B715" s="263">
        <f>'Dry_Litterbag Placem_Collection'!A56</f>
        <v>54</v>
      </c>
      <c r="C715" s="263" t="str">
        <f>'Dry_Litterbag Placem_Collection'!B56</f>
        <v>Makao</v>
      </c>
      <c r="D715" s="263" t="s">
        <v>2659</v>
      </c>
      <c r="E715" s="263" t="s">
        <v>20</v>
      </c>
      <c r="F715" s="263">
        <v>3</v>
      </c>
      <c r="G715" s="264" t="str">
        <f>'Dry_Litterbag Placem_Collection'!C56</f>
        <v>Dry_P3_T6</v>
      </c>
      <c r="H715" s="273" t="s">
        <v>3651</v>
      </c>
      <c r="I715" s="274" t="s">
        <v>298</v>
      </c>
      <c r="J715" s="263" t="str">
        <f>IF(ISBLANK('Dry_Litterbag Placem_Collection'!M56),"","R"&amp;""&amp;'Dry_Litterbag Placem_Collection'!M56)</f>
        <v/>
      </c>
      <c r="K715" s="267" t="str">
        <f>IFERROR(INDEX('Green_rooibos initial weight'!$C$5:$C$1749,MATCH(J715, 'Green_rooibos initial weight'!$A$5:$A$1749,0)),"")</f>
        <v/>
      </c>
      <c r="L715" s="267" t="str">
        <f>IFERROR(K715-(TBIcalc!$Q$9+TBIcalc!$Q$10),"")</f>
        <v/>
      </c>
      <c r="M715" s="391">
        <f>AVERAGE(Ashed_controlls!$K$12:$K$14)</f>
        <v>2.2816647271287041</v>
      </c>
      <c r="N715" s="267" t="str">
        <f t="shared" si="56"/>
        <v/>
      </c>
      <c r="O715" s="267" t="str">
        <f>IF(IFERROR(INDEX('Both teabags AfterDry'!$D$3:$D$900,MATCH(J715,'Both teabags AfterDry'!$A$3:$A$900,0)),"")="","",(IFERROR(INDEX('Both teabags AfterDry'!$D$3:$D$900,MATCH(J715,'Both teabags AfterDry'!$A$3:$A$900,0)),"")))</f>
        <v/>
      </c>
      <c r="P715" s="267" t="str">
        <f>IFERROR(IF(O715&gt;0,O715-(TBIcalc!$Q$9),""),"")</f>
        <v/>
      </c>
      <c r="Q715" s="278" t="str">
        <f>IFERROR(INDEX('Ashed teabags dry'!$K$2:$K$825,MATCH(J715,'Ashed teabags dry'!$A$2:$A$825,0)),"")</f>
        <v/>
      </c>
      <c r="R715" s="278" t="str">
        <f t="shared" si="57"/>
        <v/>
      </c>
      <c r="S715" s="268">
        <f>'Dry_Litterbag Placem_Collection'!E56</f>
        <v>0</v>
      </c>
      <c r="T715" s="268" t="str">
        <f>IF('Dry_Litterbag Placem_Collection'!G56="","",'Dry_Litterbag Placem_Collection'!G56)</f>
        <v/>
      </c>
      <c r="U715" s="269" t="str">
        <f t="shared" si="55"/>
        <v/>
      </c>
      <c r="V715" s="267" t="str">
        <f t="shared" si="58"/>
        <v/>
      </c>
      <c r="W715" s="267" t="str">
        <f t="shared" si="59"/>
        <v/>
      </c>
      <c r="X715" s="271" t="str">
        <f>IFERROR(INDEX(Rainfall_Dry!$O$2:$O$217,MATCH(B715, Rainfall_Dry!$A$2:$A$217,0)),"")</f>
        <v/>
      </c>
      <c r="Y715" s="260">
        <v>21.96</v>
      </c>
      <c r="Z715" s="260">
        <v>8.9199999999999982</v>
      </c>
      <c r="AA715" s="260">
        <v>69.12</v>
      </c>
      <c r="AB715" s="261" t="s">
        <v>2670</v>
      </c>
      <c r="AC715" s="260">
        <v>1.7491375061606702</v>
      </c>
      <c r="AD715" t="str">
        <f>IF('WetLitterbags placem_collection'!AB56="","",'WetLitterbags placem_collection'!AB56)</f>
        <v/>
      </c>
      <c r="AE715" t="str">
        <f>IF('WetLitterbags placem_collection'!Z56="","",'WetLitterbags placem_collection'!Z56)</f>
        <v/>
      </c>
      <c r="AF715" s="24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71" t="str">
        <f>IFERROR(AVERAGE('Dry_Litterbag Placem_Collection'!N56,'Dry_Litterbag Placem_Collection'!Q56),"")</f>
        <v/>
      </c>
      <c r="AJ715" s="270">
        <f>INDEX(Coordinates!$B$2:$B$197,MATCH(G715,Coordinates!$J$2:$J$197,0))</f>
        <v>-3.406058019</v>
      </c>
      <c r="AK715" s="270">
        <f>INDEX(Coordinates!$C$2:$C$197,MATCH(G715,Coordinates!$J$2:$J$197,0))</f>
        <v>34.850466019999999</v>
      </c>
      <c r="AL715" s="270" t="str">
        <f>IF(ISNUMBER(SEARCH("C", 'Dry_Litterbag Placem_Collection'!V56)),"YES","NO")</f>
        <v>NO</v>
      </c>
      <c r="AM715" s="270" t="str">
        <f>IF(ISNUMBER(SEARCH("H", 'Dry_Litterbag Placem_Collection'!V56)),"YES","NO")</f>
        <v>NO</v>
      </c>
      <c r="AN715" s="270" t="str">
        <f>IF(ISNUMBER(SEARCH("R", 'Dry_Litterbag Placem_Collection'!V56)),"YES","NO")</f>
        <v>NO</v>
      </c>
    </row>
    <row r="716" spans="1:40" ht="15" customHeight="1">
      <c r="A716" s="262" t="s">
        <v>2659</v>
      </c>
      <c r="B716" s="263">
        <f>'Dry_Litterbag Placem_Collection'!A57</f>
        <v>55</v>
      </c>
      <c r="C716" s="263" t="str">
        <f>'Dry_Litterbag Placem_Collection'!B57</f>
        <v>Makao</v>
      </c>
      <c r="D716" s="263" t="s">
        <v>2659</v>
      </c>
      <c r="E716" s="263" t="s">
        <v>20</v>
      </c>
      <c r="F716" s="263">
        <v>3</v>
      </c>
      <c r="G716" s="264" t="str">
        <f>'Dry_Litterbag Placem_Collection'!C57</f>
        <v>Dry_P3_T7</v>
      </c>
      <c r="H716" s="273" t="s">
        <v>3651</v>
      </c>
      <c r="I716" s="274" t="s">
        <v>298</v>
      </c>
      <c r="J716" s="263" t="str">
        <f>IF(ISBLANK('Dry_Litterbag Placem_Collection'!M57),"","R"&amp;""&amp;'Dry_Litterbag Placem_Collection'!M57)</f>
        <v>R192</v>
      </c>
      <c r="K716" s="267">
        <f>IFERROR(INDEX('Green_rooibos initial weight'!$C$5:$C$1749,MATCH(J716, 'Green_rooibos initial weight'!$A$5:$A$1749,0)),"")</f>
        <v>2.1970000000000001</v>
      </c>
      <c r="L716" s="267">
        <f>IFERROR(K716-(TBIcalc!$Q$9+TBIcalc!$Q$10),"")</f>
        <v>1.9472</v>
      </c>
      <c r="M716" s="391">
        <f>AVERAGE(Ashed_controlls!$K$12:$K$14)</f>
        <v>2.2816647271287041</v>
      </c>
      <c r="N716" s="267">
        <f t="shared" si="56"/>
        <v>1.90277142443335</v>
      </c>
      <c r="O716" s="267">
        <f>IF(IFERROR(INDEX('Both teabags AfterDry'!$D$3:$D$900,MATCH(J716,'Both teabags AfterDry'!$A$3:$A$900,0)),"")="","",(IFERROR(INDEX('Both teabags AfterDry'!$D$3:$D$900,MATCH(J716,'Both teabags AfterDry'!$A$3:$A$900,0)),"")))</f>
        <v>1.9886999999999999</v>
      </c>
      <c r="P716" s="267">
        <f>IFERROR(IF(O716&gt;0,O716-(TBIcalc!$Q$9),""),"")</f>
        <v>1.8380999999999998</v>
      </c>
      <c r="Q716" s="278">
        <f>IFERROR(INDEX('Ashed teabags dry'!$K$2:$K$825,MATCH(J716,'Ashed teabags dry'!$A$2:$A$825,0)),"")</f>
        <v>3.4583536288358885</v>
      </c>
      <c r="R716" s="278">
        <f t="shared" si="57"/>
        <v>1.7745320019483675</v>
      </c>
      <c r="S716" s="268">
        <f>'Dry_Litterbag Placem_Collection'!E57</f>
        <v>42938</v>
      </c>
      <c r="T716" s="268">
        <f>IF('Dry_Litterbag Placem_Collection'!G57="","",'Dry_Litterbag Placem_Collection'!G57)</f>
        <v>43005</v>
      </c>
      <c r="U716" s="269">
        <f t="shared" si="55"/>
        <v>67</v>
      </c>
      <c r="V716" s="267">
        <f t="shared" si="58"/>
        <v>0.1091000000000002</v>
      </c>
      <c r="W716" s="267">
        <f t="shared" si="59"/>
        <v>0.12823942248498255</v>
      </c>
      <c r="X716" s="271">
        <f>IFERROR(INDEX(Rainfall_Dry!$O$2:$O$217,MATCH(B716, Rainfall_Dry!$A$2:$A$217,0)),"")</f>
        <v>6.5250000359999998</v>
      </c>
      <c r="Y716" s="260">
        <v>21.96</v>
      </c>
      <c r="Z716" s="260">
        <v>8.9199999999999982</v>
      </c>
      <c r="AA716" s="260">
        <v>69.12</v>
      </c>
      <c r="AB716" s="261" t="s">
        <v>2670</v>
      </c>
      <c r="AC716" s="260">
        <v>1.7491375061606702</v>
      </c>
      <c r="AD716">
        <f>IF('WetLitterbags placem_collection'!AB57="","",'WetLitterbags placem_collection'!AB57)</f>
        <v>15.8</v>
      </c>
      <c r="AE716">
        <f>IF('WetLitterbags placem_collection'!Z57="","",'WetLitterbags placem_collection'!Z57)</f>
        <v>45</v>
      </c>
      <c r="AF716" s="24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71">
        <f>IFERROR(AVERAGE('Dry_Litterbag Placem_Collection'!N57,'Dry_Litterbag Placem_Collection'!Q57),"")</f>
        <v>31.9</v>
      </c>
      <c r="AJ716" s="270">
        <f>INDEX(Coordinates!$B$2:$B$197,MATCH(G716,Coordinates!$J$2:$J$197,0))</f>
        <v>-3.4061389879999999</v>
      </c>
      <c r="AK716" s="270">
        <f>INDEX(Coordinates!$C$2:$C$197,MATCH(G716,Coordinates!$J$2:$J$197,0))</f>
        <v>34.850574979999998</v>
      </c>
      <c r="AL716" s="270" t="str">
        <f>IF(ISNUMBER(SEARCH("C", 'Dry_Litterbag Placem_Collection'!V57)),"YES","NO")</f>
        <v>NO</v>
      </c>
      <c r="AM716" s="270" t="str">
        <f>IF(ISNUMBER(SEARCH("H", 'Dry_Litterbag Placem_Collection'!V57)),"YES","NO")</f>
        <v>NO</v>
      </c>
      <c r="AN716" s="270" t="str">
        <f>IF(ISNUMBER(SEARCH("R", 'Dry_Litterbag Placem_Collection'!V57)),"YES","NO")</f>
        <v>NO</v>
      </c>
    </row>
    <row r="717" spans="1:40" ht="15" customHeight="1">
      <c r="A717" s="262" t="s">
        <v>2659</v>
      </c>
      <c r="B717" s="263">
        <f>'Dry_Litterbag Placem_Collection'!A58</f>
        <v>56</v>
      </c>
      <c r="C717" s="263" t="str">
        <f>'Dry_Litterbag Placem_Collection'!B58</f>
        <v>Makao</v>
      </c>
      <c r="D717" s="263" t="s">
        <v>2659</v>
      </c>
      <c r="E717" s="263" t="s">
        <v>20</v>
      </c>
      <c r="F717" s="263">
        <v>3</v>
      </c>
      <c r="G717" s="264" t="str">
        <f>'Dry_Litterbag Placem_Collection'!C58</f>
        <v>Dry_P3_T8</v>
      </c>
      <c r="H717" s="273" t="s">
        <v>3651</v>
      </c>
      <c r="I717" s="274" t="s">
        <v>298</v>
      </c>
      <c r="J717" s="263" t="str">
        <f>IF(ISBLANK('Dry_Litterbag Placem_Collection'!M58),"","R"&amp;""&amp;'Dry_Litterbag Placem_Collection'!M58)</f>
        <v>R227</v>
      </c>
      <c r="K717" s="267">
        <f>IFERROR(INDEX('Green_rooibos initial weight'!$C$5:$C$1749,MATCH(J717, 'Green_rooibos initial weight'!$A$5:$A$1749,0)),"")</f>
        <v>2.254</v>
      </c>
      <c r="L717" s="267">
        <f>IFERROR(K717-(TBIcalc!$Q$9+TBIcalc!$Q$10),"")</f>
        <v>2.0042</v>
      </c>
      <c r="M717" s="391">
        <f>AVERAGE(Ashed_controlls!$K$12:$K$14)</f>
        <v>2.2816647271287041</v>
      </c>
      <c r="N717" s="267">
        <f t="shared" si="56"/>
        <v>1.9584708755388864</v>
      </c>
      <c r="O717" s="267">
        <f>IF(IFERROR(INDEX('Both teabags AfterDry'!$D$3:$D$900,MATCH(J717,'Both teabags AfterDry'!$A$3:$A$900,0)),"")="","",(IFERROR(INDEX('Both teabags AfterDry'!$D$3:$D$900,MATCH(J717,'Both teabags AfterDry'!$A$3:$A$900,0)),"")))</f>
        <v>2.0263</v>
      </c>
      <c r="P717" s="267">
        <f>IFERROR(IF(O717&gt;0,O717-(TBIcalc!$Q$9),""),"")</f>
        <v>1.8756999999999999</v>
      </c>
      <c r="Q717" s="278">
        <f>IFERROR(INDEX('Ashed teabags dry'!$K$2:$K$825,MATCH(J717,'Ashed teabags dry'!$A$2:$A$825,0)),"")</f>
        <v>3.7500000000005613</v>
      </c>
      <c r="R717" s="278">
        <f t="shared" si="57"/>
        <v>1.8053612499999894</v>
      </c>
      <c r="S717" s="268">
        <f>'Dry_Litterbag Placem_Collection'!E58</f>
        <v>42938</v>
      </c>
      <c r="T717" s="268">
        <f>IF('Dry_Litterbag Placem_Collection'!G58="","",'Dry_Litterbag Placem_Collection'!G58)</f>
        <v>43005</v>
      </c>
      <c r="U717" s="269">
        <f t="shared" si="55"/>
        <v>67</v>
      </c>
      <c r="V717" s="267">
        <f t="shared" si="58"/>
        <v>0.12850000000000006</v>
      </c>
      <c r="W717" s="267">
        <f t="shared" si="59"/>
        <v>0.15310962553889707</v>
      </c>
      <c r="X717" s="271">
        <f>IFERROR(INDEX(Rainfall_Dry!$O$2:$O$217,MATCH(B717, Rainfall_Dry!$A$2:$A$217,0)),"")</f>
        <v>6.5250000359999998</v>
      </c>
      <c r="Y717" s="260">
        <v>21.96</v>
      </c>
      <c r="Z717" s="260">
        <v>8.9199999999999982</v>
      </c>
      <c r="AA717" s="260">
        <v>69.12</v>
      </c>
      <c r="AB717" s="261" t="s">
        <v>2670</v>
      </c>
      <c r="AC717" s="260">
        <v>1.7491375061606702</v>
      </c>
      <c r="AD717">
        <f>IF('WetLitterbags placem_collection'!AB58="","",'WetLitterbags placem_collection'!AB58)</f>
        <v>15.4</v>
      </c>
      <c r="AE717">
        <f>IF('WetLitterbags placem_collection'!Z58="","",'WetLitterbags placem_collection'!Z58)</f>
        <v>30.8</v>
      </c>
      <c r="AF717" s="24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71">
        <f>IFERROR(AVERAGE('Dry_Litterbag Placem_Collection'!N58,'Dry_Litterbag Placem_Collection'!Q58),"")</f>
        <v>30.049999999999997</v>
      </c>
      <c r="AJ717" s="270">
        <f>INDEX(Coordinates!$B$2:$B$197,MATCH(G717,Coordinates!$J$2:$J$197,0))</f>
        <v>-3.4062900300000001</v>
      </c>
      <c r="AK717" s="270">
        <f>INDEX(Coordinates!$C$2:$C$197,MATCH(G717,Coordinates!$J$2:$J$197,0))</f>
        <v>34.850441959999998</v>
      </c>
      <c r="AL717" s="270" t="str">
        <f>IF(ISNUMBER(SEARCH("C", 'Dry_Litterbag Placem_Collection'!V58)),"YES","NO")</f>
        <v>NO</v>
      </c>
      <c r="AM717" s="270" t="str">
        <f>IF(ISNUMBER(SEARCH("H", 'Dry_Litterbag Placem_Collection'!V58)),"YES","NO")</f>
        <v>NO</v>
      </c>
      <c r="AN717" s="270" t="str">
        <f>IF(ISNUMBER(SEARCH("R", 'Dry_Litterbag Placem_Collection'!V58)),"YES","NO")</f>
        <v>NO</v>
      </c>
    </row>
    <row r="718" spans="1:40" ht="15" customHeight="1">
      <c r="A718" s="262" t="s">
        <v>2659</v>
      </c>
      <c r="B718" s="263">
        <f>'Dry_Litterbag Placem_Collection'!A59</f>
        <v>57</v>
      </c>
      <c r="C718" s="263" t="str">
        <f>'Dry_Litterbag Placem_Collection'!B59</f>
        <v>Makao</v>
      </c>
      <c r="D718" s="263" t="s">
        <v>2659</v>
      </c>
      <c r="E718" s="263" t="s">
        <v>20</v>
      </c>
      <c r="F718" s="263">
        <v>4</v>
      </c>
      <c r="G718" s="264" t="str">
        <f>'Dry_Litterbag Placem_Collection'!C59</f>
        <v>Dry_P4_T1</v>
      </c>
      <c r="H718" s="273" t="s">
        <v>3651</v>
      </c>
      <c r="I718" s="274" t="s">
        <v>298</v>
      </c>
      <c r="J718" s="263" t="str">
        <f>IF(ISBLANK('Dry_Litterbag Placem_Collection'!M59),"","R"&amp;""&amp;'Dry_Litterbag Placem_Collection'!M59)</f>
        <v>R416</v>
      </c>
      <c r="K718" s="267">
        <f>IFERROR(INDEX('Green_rooibos initial weight'!$C$5:$C$1749,MATCH(J718, 'Green_rooibos initial weight'!$A$5:$A$1749,0)),"")</f>
        <v>2.2469999999999999</v>
      </c>
      <c r="L718" s="267">
        <f>IFERROR(K718-(TBIcalc!$Q$9+TBIcalc!$Q$10),"")</f>
        <v>1.9971999999999999</v>
      </c>
      <c r="M718" s="391">
        <f>AVERAGE(Ashed_controlls!$K$12:$K$14)</f>
        <v>2.2816647271287041</v>
      </c>
      <c r="N718" s="267">
        <f t="shared" si="56"/>
        <v>1.9516305920697854</v>
      </c>
      <c r="O718" s="267">
        <f>IF(IFERROR(INDEX('Both teabags AfterDry'!$D$3:$D$900,MATCH(J718,'Both teabags AfterDry'!$A$3:$A$900,0)),"")="","",(IFERROR(INDEX('Both teabags AfterDry'!$D$3:$D$900,MATCH(J718,'Both teabags AfterDry'!$A$3:$A$900,0)),"")))</f>
        <v>2.0192999999999999</v>
      </c>
      <c r="P718" s="267">
        <f>IFERROR(IF(O718&gt;0,O718-(TBIcalc!$Q$9),""),"")</f>
        <v>1.8686999999999998</v>
      </c>
      <c r="Q718" s="278">
        <f>IFERROR(INDEX('Ashed teabags dry'!$K$2:$K$825,MATCH(J718,'Ashed teabags dry'!$A$2:$A$825,0)),"")</f>
        <v>1.8527315914489777</v>
      </c>
      <c r="R718" s="278">
        <f t="shared" si="57"/>
        <v>1.8340780047505927</v>
      </c>
      <c r="S718" s="268">
        <f>'Dry_Litterbag Placem_Collection'!E59</f>
        <v>42938</v>
      </c>
      <c r="T718" s="268">
        <f>IF('Dry_Litterbag Placem_Collection'!G59="","",'Dry_Litterbag Placem_Collection'!G59)</f>
        <v>43005</v>
      </c>
      <c r="U718" s="269">
        <f t="shared" si="55"/>
        <v>67</v>
      </c>
      <c r="V718" s="267">
        <f t="shared" si="58"/>
        <v>0.12850000000000006</v>
      </c>
      <c r="W718" s="267">
        <f t="shared" si="59"/>
        <v>0.11755258731919271</v>
      </c>
      <c r="X718" s="271">
        <f>IFERROR(INDEX(Rainfall_Dry!$O$2:$O$217,MATCH(B718, Rainfall_Dry!$A$2:$A$217,0)),"")</f>
        <v>6.5250000359999998</v>
      </c>
      <c r="Y718" s="260">
        <v>25.96</v>
      </c>
      <c r="Z718" s="260">
        <v>6.9200000000000008</v>
      </c>
      <c r="AA718" s="260">
        <v>67.12</v>
      </c>
      <c r="AB718" s="261" t="s">
        <v>2670</v>
      </c>
      <c r="AC718" s="260">
        <v>1.7568260226712666</v>
      </c>
      <c r="AD718">
        <f>IF('WetLitterbags placem_collection'!AB59="","",'WetLitterbags placem_collection'!AB59)</f>
        <v>3.3</v>
      </c>
      <c r="AE718">
        <f>IF('WetLitterbags placem_collection'!Z59="","",'WetLitterbags placem_collection'!Z59)</f>
        <v>28.4</v>
      </c>
      <c r="AF718" s="24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71">
        <f>IFERROR(AVERAGE('Dry_Litterbag Placem_Collection'!N59,'Dry_Litterbag Placem_Collection'!Q59),"")</f>
        <v>33.25</v>
      </c>
      <c r="AJ718" s="270">
        <f>INDEX(Coordinates!$B$2:$B$197,MATCH(G718,Coordinates!$J$2:$J$197,0))</f>
        <v>-3.4064239729999999</v>
      </c>
      <c r="AK718" s="270">
        <f>INDEX(Coordinates!$C$2:$C$197,MATCH(G718,Coordinates!$J$2:$J$197,0))</f>
        <v>34.851213010000002</v>
      </c>
      <c r="AL718" s="270" t="str">
        <f>IF(ISNUMBER(SEARCH("C", 'Dry_Litterbag Placem_Collection'!V59)),"YES","NO")</f>
        <v>NO</v>
      </c>
      <c r="AM718" s="270" t="str">
        <f>IF(ISNUMBER(SEARCH("H", 'Dry_Litterbag Placem_Collection'!V59)),"YES","NO")</f>
        <v>NO</v>
      </c>
      <c r="AN718" s="270" t="str">
        <f>IF(ISNUMBER(SEARCH("R", 'Dry_Litterbag Placem_Collection'!V59)),"YES","NO")</f>
        <v>NO</v>
      </c>
    </row>
    <row r="719" spans="1:40" ht="15" customHeight="1">
      <c r="A719" s="262" t="s">
        <v>2659</v>
      </c>
      <c r="B719" s="263">
        <f>'Dry_Litterbag Placem_Collection'!A60</f>
        <v>58</v>
      </c>
      <c r="C719" s="263" t="str">
        <f>'Dry_Litterbag Placem_Collection'!B60</f>
        <v>Makao</v>
      </c>
      <c r="D719" s="263" t="s">
        <v>2659</v>
      </c>
      <c r="E719" s="263" t="s">
        <v>20</v>
      </c>
      <c r="F719" s="263">
        <v>4</v>
      </c>
      <c r="G719" s="264" t="str">
        <f>'Dry_Litterbag Placem_Collection'!C60</f>
        <v>Dry_P4_T2</v>
      </c>
      <c r="H719" s="273" t="s">
        <v>3651</v>
      </c>
      <c r="I719" s="274" t="s">
        <v>298</v>
      </c>
      <c r="J719" s="263" t="str">
        <f>IF(ISBLANK('Dry_Litterbag Placem_Collection'!M60),"","R"&amp;""&amp;'Dry_Litterbag Placem_Collection'!M60)</f>
        <v>R689</v>
      </c>
      <c r="K719" s="267">
        <f>IFERROR(INDEX('Green_rooibos initial weight'!$C$5:$C$1749,MATCH(J719, 'Green_rooibos initial weight'!$A$5:$A$1749,0)),"")</f>
        <v>2.11</v>
      </c>
      <c r="L719" s="267">
        <f>IFERROR(K719-(TBIcalc!$Q$9+TBIcalc!$Q$10),"")</f>
        <v>1.8601999999999999</v>
      </c>
      <c r="M719" s="391">
        <f>AVERAGE(Ashed_controlls!$K$12:$K$14)</f>
        <v>2.2816647271287041</v>
      </c>
      <c r="N719" s="267">
        <f t="shared" si="56"/>
        <v>1.8177564727459516</v>
      </c>
      <c r="O719" s="267">
        <f>IF(IFERROR(INDEX('Both teabags AfterDry'!$D$3:$D$900,MATCH(J719,'Both teabags AfterDry'!$A$3:$A$900,0)),"")="","",(IFERROR(INDEX('Both teabags AfterDry'!$D$3:$D$900,MATCH(J719,'Both teabags AfterDry'!$A$3:$A$900,0)),"")))</f>
        <v>1.9226000000000001</v>
      </c>
      <c r="P719" s="267">
        <f>IFERROR(IF(O719&gt;0,O719-(TBIcalc!$Q$9),""),"")</f>
        <v>1.772</v>
      </c>
      <c r="Q719" s="278">
        <f>IFERROR(INDEX('Ashed teabags dry'!$K$2:$K$825,MATCH(J719,'Ashed teabags dry'!$A$2:$A$825,0)),"")</f>
        <v>2.075098814229281</v>
      </c>
      <c r="R719" s="278">
        <f t="shared" si="57"/>
        <v>1.7352292490118573</v>
      </c>
      <c r="S719" s="268">
        <f>'Dry_Litterbag Placem_Collection'!E60</f>
        <v>42938</v>
      </c>
      <c r="T719" s="268">
        <f>IF('Dry_Litterbag Placem_Collection'!G60="","",'Dry_Litterbag Placem_Collection'!G60)</f>
        <v>43005</v>
      </c>
      <c r="U719" s="269">
        <f t="shared" si="55"/>
        <v>67</v>
      </c>
      <c r="V719" s="267">
        <f t="shared" si="58"/>
        <v>8.8199999999999834E-2</v>
      </c>
      <c r="W719" s="267">
        <f t="shared" si="59"/>
        <v>8.2527223734094379E-2</v>
      </c>
      <c r="X719" s="271">
        <f>IFERROR(INDEX(Rainfall_Dry!$O$2:$O$217,MATCH(B719, Rainfall_Dry!$A$2:$A$217,0)),"")</f>
        <v>6.5250000359999998</v>
      </c>
      <c r="Y719" s="260">
        <v>25.96</v>
      </c>
      <c r="Z719" s="260">
        <v>6.9200000000000008</v>
      </c>
      <c r="AA719" s="260">
        <v>67.12</v>
      </c>
      <c r="AB719" s="261" t="s">
        <v>2670</v>
      </c>
      <c r="AC719" s="260">
        <v>1.7568260226712666</v>
      </c>
      <c r="AD719">
        <f>IF('WetLitterbags placem_collection'!AB60="","",'WetLitterbags placem_collection'!AB60)</f>
        <v>1.4</v>
      </c>
      <c r="AE719">
        <f>IF('WetLitterbags placem_collection'!Z60="","",'WetLitterbags placem_collection'!Z60)</f>
        <v>54.4</v>
      </c>
      <c r="AF719" s="24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71">
        <f>IFERROR(AVERAGE('Dry_Litterbag Placem_Collection'!N60,'Dry_Litterbag Placem_Collection'!Q60),"")</f>
        <v>32.35</v>
      </c>
      <c r="AJ719" s="270">
        <f>INDEX(Coordinates!$B$2:$B$197,MATCH(G719,Coordinates!$J$2:$J$197,0))</f>
        <v>-3.4065020079999999</v>
      </c>
      <c r="AK719" s="270">
        <f>INDEX(Coordinates!$C$2:$C$197,MATCH(G719,Coordinates!$J$2:$J$197,0))</f>
        <v>34.851056020000001</v>
      </c>
      <c r="AL719" s="270" t="str">
        <f>IF(ISNUMBER(SEARCH("C", 'Dry_Litterbag Placem_Collection'!V60)),"YES","NO")</f>
        <v>NO</v>
      </c>
      <c r="AM719" s="270" t="str">
        <f>IF(ISNUMBER(SEARCH("H", 'Dry_Litterbag Placem_Collection'!V60)),"YES","NO")</f>
        <v>NO</v>
      </c>
      <c r="AN719" s="270" t="str">
        <f>IF(ISNUMBER(SEARCH("R", 'Dry_Litterbag Placem_Collection'!V60)),"YES","NO")</f>
        <v>NO</v>
      </c>
    </row>
    <row r="720" spans="1:40" ht="15" customHeight="1">
      <c r="A720" s="262" t="s">
        <v>2659</v>
      </c>
      <c r="B720" s="263">
        <f>'Dry_Litterbag Placem_Collection'!A61</f>
        <v>59</v>
      </c>
      <c r="C720" s="263" t="str">
        <f>'Dry_Litterbag Placem_Collection'!B61</f>
        <v>Makao</v>
      </c>
      <c r="D720" s="263" t="s">
        <v>2659</v>
      </c>
      <c r="E720" s="263" t="s">
        <v>20</v>
      </c>
      <c r="F720" s="263">
        <v>4</v>
      </c>
      <c r="G720" s="264" t="str">
        <f>'Dry_Litterbag Placem_Collection'!C61</f>
        <v>Dry_P4_T3</v>
      </c>
      <c r="H720" s="273" t="s">
        <v>3651</v>
      </c>
      <c r="I720" s="274" t="s">
        <v>298</v>
      </c>
      <c r="J720" s="263" t="str">
        <f>IF(ISBLANK('Dry_Litterbag Placem_Collection'!M61),"","R"&amp;""&amp;'Dry_Litterbag Placem_Collection'!M61)</f>
        <v>R231</v>
      </c>
      <c r="K720" s="267">
        <f>IFERROR(INDEX('Green_rooibos initial weight'!$C$5:$C$1749,MATCH(J720, 'Green_rooibos initial weight'!$A$5:$A$1749,0)),"")</f>
        <v>2.1230000000000002</v>
      </c>
      <c r="L720" s="267">
        <f>IFERROR(K720-(TBIcalc!$Q$9+TBIcalc!$Q$10),"")</f>
        <v>1.8732000000000002</v>
      </c>
      <c r="M720" s="391">
        <f>AVERAGE(Ashed_controlls!$K$12:$K$14)</f>
        <v>2.2816647271287041</v>
      </c>
      <c r="N720" s="267">
        <f t="shared" si="56"/>
        <v>1.8304598563314254</v>
      </c>
      <c r="O720" s="267" t="str">
        <f>IF(IFERROR(INDEX('Both teabags AfterDry'!$D$3:$D$900,MATCH(J720,'Both teabags AfterDry'!$A$3:$A$900,0)),"")="","",(IFERROR(INDEX('Both teabags AfterDry'!$D$3:$D$900,MATCH(J720,'Both teabags AfterDry'!$A$3:$A$900,0)),"")))</f>
        <v/>
      </c>
      <c r="P720" s="267" t="str">
        <f>IFERROR(IF(O720&gt;0,O720-(TBIcalc!$Q$9),""),"")</f>
        <v/>
      </c>
      <c r="Q720" s="278">
        <f>IFERROR(INDEX('Ashed teabags dry'!$K$2:$K$825,MATCH(J720,'Ashed teabags dry'!$A$2:$A$825,0)),"")</f>
        <v>2.4205748865354395</v>
      </c>
      <c r="R720" s="278" t="str">
        <f t="shared" si="57"/>
        <v/>
      </c>
      <c r="S720" s="268">
        <f>'Dry_Litterbag Placem_Collection'!E61</f>
        <v>42938</v>
      </c>
      <c r="T720" s="268">
        <f>IF('Dry_Litterbag Placem_Collection'!G61="","",'Dry_Litterbag Placem_Collection'!G61)</f>
        <v>43005</v>
      </c>
      <c r="U720" s="269">
        <f t="shared" si="55"/>
        <v>67</v>
      </c>
      <c r="V720" s="267" t="str">
        <f t="shared" si="58"/>
        <v/>
      </c>
      <c r="W720" s="267" t="str">
        <f t="shared" si="59"/>
        <v/>
      </c>
      <c r="X720" s="271">
        <f>IFERROR(INDEX(Rainfall_Dry!$O$2:$O$217,MATCH(B720, Rainfall_Dry!$A$2:$A$217,0)),"")</f>
        <v>6.5250000359999998</v>
      </c>
      <c r="Y720" s="260">
        <v>25.96</v>
      </c>
      <c r="Z720" s="260">
        <v>6.9200000000000008</v>
      </c>
      <c r="AA720" s="260">
        <v>67.12</v>
      </c>
      <c r="AB720" s="261" t="s">
        <v>2670</v>
      </c>
      <c r="AC720" s="260">
        <v>1.7568260226712666</v>
      </c>
      <c r="AD720">
        <f>IF('WetLitterbags placem_collection'!AB61="","",'WetLitterbags placem_collection'!AB61)</f>
        <v>3.3</v>
      </c>
      <c r="AE720">
        <f>IF('WetLitterbags placem_collection'!Z61="","",'WetLitterbags placem_collection'!Z61)</f>
        <v>46</v>
      </c>
      <c r="AF720" s="24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71">
        <f>IFERROR(AVERAGE('Dry_Litterbag Placem_Collection'!N61,'Dry_Litterbag Placem_Collection'!Q61),"")</f>
        <v>31.8</v>
      </c>
      <c r="AJ720" s="270">
        <f>INDEX(Coordinates!$B$2:$B$197,MATCH(G720,Coordinates!$J$2:$J$197,0))</f>
        <v>-3.4062359670000002</v>
      </c>
      <c r="AK720" s="270">
        <f>INDEX(Coordinates!$C$2:$C$197,MATCH(G720,Coordinates!$J$2:$J$197,0))</f>
        <v>34.851107990000003</v>
      </c>
      <c r="AL720" s="270" t="str">
        <f>IF(ISNUMBER(SEARCH("C", 'Dry_Litterbag Placem_Collection'!V61)),"YES","NO")</f>
        <v>NO</v>
      </c>
      <c r="AM720" s="270" t="str">
        <f>IF(ISNUMBER(SEARCH("H", 'Dry_Litterbag Placem_Collection'!V61)),"YES","NO")</f>
        <v>NO</v>
      </c>
      <c r="AN720" s="270" t="str">
        <f>IF(ISNUMBER(SEARCH("R", 'Dry_Litterbag Placem_Collection'!V61)),"YES","NO")</f>
        <v>NO</v>
      </c>
    </row>
    <row r="721" spans="1:40" ht="15" customHeight="1">
      <c r="A721" s="262" t="s">
        <v>2659</v>
      </c>
      <c r="B721" s="263">
        <f>'Dry_Litterbag Placem_Collection'!A62</f>
        <v>60</v>
      </c>
      <c r="C721" s="263" t="str">
        <f>'Dry_Litterbag Placem_Collection'!B62</f>
        <v>Makao</v>
      </c>
      <c r="D721" s="263" t="s">
        <v>2659</v>
      </c>
      <c r="E721" s="263" t="s">
        <v>20</v>
      </c>
      <c r="F721" s="263">
        <v>4</v>
      </c>
      <c r="G721" s="264" t="str">
        <f>'Dry_Litterbag Placem_Collection'!C62</f>
        <v>Dry_P4_T4</v>
      </c>
      <c r="H721" s="273" t="s">
        <v>3651</v>
      </c>
      <c r="I721" s="274" t="s">
        <v>298</v>
      </c>
      <c r="J721" s="263" t="str">
        <f>IF(ISBLANK('Dry_Litterbag Placem_Collection'!M62),"","R"&amp;""&amp;'Dry_Litterbag Placem_Collection'!M62)</f>
        <v>R297</v>
      </c>
      <c r="K721" s="267">
        <f>IFERROR(INDEX('Green_rooibos initial weight'!$C$5:$C$1749,MATCH(J721, 'Green_rooibos initial weight'!$A$5:$A$1749,0)),"")</f>
        <v>2.1800000000000002</v>
      </c>
      <c r="L721" s="267">
        <f>IFERROR(K721-(TBIcalc!$Q$9+TBIcalc!$Q$10),"")</f>
        <v>1.9302000000000001</v>
      </c>
      <c r="M721" s="391">
        <f>AVERAGE(Ashed_controlls!$K$12:$K$14)</f>
        <v>2.2816647271287041</v>
      </c>
      <c r="N721" s="267">
        <f t="shared" si="56"/>
        <v>1.8861593074369618</v>
      </c>
      <c r="O721" s="267">
        <f>IF(IFERROR(INDEX('Both teabags AfterDry'!$D$3:$D$900,MATCH(J721,'Both teabags AfterDry'!$A$3:$A$900,0)),"")="","",(IFERROR(INDEX('Both teabags AfterDry'!$D$3:$D$900,MATCH(J721,'Both teabags AfterDry'!$A$3:$A$900,0)),"")))</f>
        <v>1.9569000000000001</v>
      </c>
      <c r="P721" s="267">
        <f>IFERROR(IF(O721&gt;0,O721-(TBIcalc!$Q$9),""),"")</f>
        <v>1.8063</v>
      </c>
      <c r="Q721" s="278">
        <f>IFERROR(INDEX('Ashed teabags dry'!$K$2:$K$825,MATCH(J721,'Ashed teabags dry'!$A$2:$A$825,0)),"")</f>
        <v>2.1921641791054141</v>
      </c>
      <c r="R721" s="278">
        <f t="shared" si="57"/>
        <v>1.766702938432819</v>
      </c>
      <c r="S721" s="268">
        <f>'Dry_Litterbag Placem_Collection'!E62</f>
        <v>42938</v>
      </c>
      <c r="T721" s="268">
        <f>IF('Dry_Litterbag Placem_Collection'!G62="","",'Dry_Litterbag Placem_Collection'!G62)</f>
        <v>43005</v>
      </c>
      <c r="U721" s="269">
        <f t="shared" si="55"/>
        <v>67</v>
      </c>
      <c r="V721" s="267">
        <f t="shared" si="58"/>
        <v>0.12390000000000012</v>
      </c>
      <c r="W721" s="267">
        <f t="shared" si="59"/>
        <v>0.1194563690041428</v>
      </c>
      <c r="X721" s="271">
        <f>IFERROR(INDEX(Rainfall_Dry!$O$2:$O$217,MATCH(B721, Rainfall_Dry!$A$2:$A$217,0)),"")</f>
        <v>6.5250000359999998</v>
      </c>
      <c r="Y721" s="260">
        <v>25.96</v>
      </c>
      <c r="Z721" s="260">
        <v>6.9200000000000008</v>
      </c>
      <c r="AA721" s="260">
        <v>67.12</v>
      </c>
      <c r="AB721" s="261" t="s">
        <v>2670</v>
      </c>
      <c r="AC721" s="260">
        <v>1.7568260226712666</v>
      </c>
      <c r="AD721">
        <f>IF('WetLitterbags placem_collection'!AB62="","",'WetLitterbags placem_collection'!AB62)</f>
        <v>2.4</v>
      </c>
      <c r="AE721">
        <f>IF('WetLitterbags placem_collection'!Z62="","",'WetLitterbags placem_collection'!Z62)</f>
        <v>10.199999999999999</v>
      </c>
      <c r="AF721" s="24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71">
        <f>IFERROR(AVERAGE('Dry_Litterbag Placem_Collection'!N62,'Dry_Litterbag Placem_Collection'!Q62),"")</f>
        <v>32.650000000000006</v>
      </c>
      <c r="AJ721" s="270">
        <f>INDEX(Coordinates!$B$2:$B$197,MATCH(G721,Coordinates!$J$2:$J$197,0))</f>
        <v>-3.406281983</v>
      </c>
      <c r="AK721" s="270">
        <f>INDEX(Coordinates!$C$2:$C$197,MATCH(G721,Coordinates!$J$2:$J$197,0))</f>
        <v>34.85137898</v>
      </c>
      <c r="AL721" s="270" t="str">
        <f>IF(ISNUMBER(SEARCH("C", 'Dry_Litterbag Placem_Collection'!V62)),"YES","NO")</f>
        <v>NO</v>
      </c>
      <c r="AM721" s="270" t="str">
        <f>IF(ISNUMBER(SEARCH("H", 'Dry_Litterbag Placem_Collection'!V62)),"YES","NO")</f>
        <v>NO</v>
      </c>
      <c r="AN721" s="270" t="str">
        <f>IF(ISNUMBER(SEARCH("R", 'Dry_Litterbag Placem_Collection'!V62)),"YES","NO")</f>
        <v>NO</v>
      </c>
    </row>
    <row r="722" spans="1:40" ht="15" customHeight="1">
      <c r="A722" s="262" t="s">
        <v>2659</v>
      </c>
      <c r="B722" s="263">
        <f>'Dry_Litterbag Placem_Collection'!A63</f>
        <v>61</v>
      </c>
      <c r="C722" s="263" t="str">
        <f>'Dry_Litterbag Placem_Collection'!B63</f>
        <v>Makao</v>
      </c>
      <c r="D722" s="263" t="s">
        <v>2659</v>
      </c>
      <c r="E722" s="263" t="s">
        <v>20</v>
      </c>
      <c r="F722" s="263">
        <v>4</v>
      </c>
      <c r="G722" s="264" t="str">
        <f>'Dry_Litterbag Placem_Collection'!C63</f>
        <v>Dry_P4_T5</v>
      </c>
      <c r="H722" s="273" t="s">
        <v>3651</v>
      </c>
      <c r="I722" s="274" t="s">
        <v>298</v>
      </c>
      <c r="J722" s="263" t="str">
        <f>IF(ISBLANK('Dry_Litterbag Placem_Collection'!M63),"","R"&amp;""&amp;'Dry_Litterbag Placem_Collection'!M63)</f>
        <v>R200</v>
      </c>
      <c r="K722" s="267">
        <f>IFERROR(INDEX('Green_rooibos initial weight'!$C$5:$C$1749,MATCH(J722, 'Green_rooibos initial weight'!$A$5:$A$1749,0)),"")</f>
        <v>2.242</v>
      </c>
      <c r="L722" s="267">
        <f>IFERROR(K722-(TBIcalc!$Q$9+TBIcalc!$Q$10),"")</f>
        <v>1.9922</v>
      </c>
      <c r="M722" s="391">
        <f>AVERAGE(Ashed_controlls!$K$12:$K$14)</f>
        <v>2.2816647271287041</v>
      </c>
      <c r="N722" s="267">
        <f t="shared" si="56"/>
        <v>1.9467446753061419</v>
      </c>
      <c r="O722" s="267" t="str">
        <f>IF(IFERROR(INDEX('Both teabags AfterDry'!$D$3:$D$900,MATCH(J722,'Both teabags AfterDry'!$A$3:$A$900,0)),"")="","",(IFERROR(INDEX('Both teabags AfterDry'!$D$3:$D$900,MATCH(J722,'Both teabags AfterDry'!$A$3:$A$900,0)),"")))</f>
        <v/>
      </c>
      <c r="P722" s="267" t="str">
        <f>IFERROR(IF(O722&gt;0,O722-(TBIcalc!$Q$9),""),"")</f>
        <v/>
      </c>
      <c r="Q722" s="278" t="str">
        <f>IFERROR(INDEX('Ashed teabags dry'!$K$2:$K$825,MATCH(J722,'Ashed teabags dry'!$A$2:$A$825,0)),"")</f>
        <v/>
      </c>
      <c r="R722" s="278" t="str">
        <f t="shared" si="57"/>
        <v/>
      </c>
      <c r="S722" s="268">
        <f>'Dry_Litterbag Placem_Collection'!E63</f>
        <v>42938</v>
      </c>
      <c r="T722" s="268">
        <f>IF('Dry_Litterbag Placem_Collection'!G63="","",'Dry_Litterbag Placem_Collection'!G63)</f>
        <v>43005</v>
      </c>
      <c r="U722" s="269">
        <f t="shared" si="55"/>
        <v>67</v>
      </c>
      <c r="V722" s="267" t="str">
        <f t="shared" si="58"/>
        <v/>
      </c>
      <c r="W722" s="267" t="str">
        <f t="shared" si="59"/>
        <v/>
      </c>
      <c r="X722" s="271">
        <f>IFERROR(INDEX(Rainfall_Dry!$O$2:$O$217,MATCH(B722, Rainfall_Dry!$A$2:$A$217,0)),"")</f>
        <v>6.5250000359999998</v>
      </c>
      <c r="Y722" s="260">
        <v>25.96</v>
      </c>
      <c r="Z722" s="260">
        <v>6.9200000000000008</v>
      </c>
      <c r="AA722" s="260">
        <v>67.12</v>
      </c>
      <c r="AB722" s="261" t="s">
        <v>2670</v>
      </c>
      <c r="AC722" s="260">
        <v>1.7568260226712666</v>
      </c>
      <c r="AD722">
        <f>IF('WetLitterbags placem_collection'!AB63="","",'WetLitterbags placem_collection'!AB63)</f>
        <v>5.6</v>
      </c>
      <c r="AE722">
        <f>IF('WetLitterbags placem_collection'!Z63="","",'WetLitterbags placem_collection'!Z63)</f>
        <v>34.200000000000003</v>
      </c>
      <c r="AF722" s="24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71">
        <f>IFERROR(AVERAGE('Dry_Litterbag Placem_Collection'!N63,'Dry_Litterbag Placem_Collection'!Q63),"")</f>
        <v>34</v>
      </c>
      <c r="AJ722" s="270">
        <f>INDEX(Coordinates!$B$2:$B$197,MATCH(G722,Coordinates!$J$2:$J$197,0))</f>
        <v>-3.406569986</v>
      </c>
      <c r="AK722" s="270">
        <f>INDEX(Coordinates!$C$2:$C$197,MATCH(G722,Coordinates!$J$2:$J$197,0))</f>
        <v>34.851323989999997</v>
      </c>
      <c r="AL722" s="270" t="str">
        <f>IF(ISNUMBER(SEARCH("C", 'Dry_Litterbag Placem_Collection'!V63)),"YES","NO")</f>
        <v>NO</v>
      </c>
      <c r="AM722" s="270" t="str">
        <f>IF(ISNUMBER(SEARCH("H", 'Dry_Litterbag Placem_Collection'!V63)),"YES","NO")</f>
        <v>NO</v>
      </c>
      <c r="AN722" s="270" t="str">
        <f>IF(ISNUMBER(SEARCH("R", 'Dry_Litterbag Placem_Collection'!V63)),"YES","NO")</f>
        <v>NO</v>
      </c>
    </row>
    <row r="723" spans="1:40" ht="15" customHeight="1">
      <c r="A723" s="262" t="s">
        <v>2659</v>
      </c>
      <c r="B723" s="263">
        <f>'Dry_Litterbag Placem_Collection'!A64</f>
        <v>62</v>
      </c>
      <c r="C723" s="263" t="str">
        <f>'Dry_Litterbag Placem_Collection'!B64</f>
        <v>Makao</v>
      </c>
      <c r="D723" s="263" t="s">
        <v>2659</v>
      </c>
      <c r="E723" s="263" t="s">
        <v>20</v>
      </c>
      <c r="F723" s="263">
        <v>4</v>
      </c>
      <c r="G723" s="264" t="str">
        <f>'Dry_Litterbag Placem_Collection'!C64</f>
        <v>Dry_P4_T6</v>
      </c>
      <c r="H723" s="273" t="s">
        <v>3651</v>
      </c>
      <c r="I723" s="274" t="s">
        <v>298</v>
      </c>
      <c r="J723" s="263" t="str">
        <f>IF(ISBLANK('Dry_Litterbag Placem_Collection'!M64),"","R"&amp;""&amp;'Dry_Litterbag Placem_Collection'!M64)</f>
        <v/>
      </c>
      <c r="K723" s="267" t="str">
        <f>IFERROR(INDEX('Green_rooibos initial weight'!$C$5:$C$1749,MATCH(J723, 'Green_rooibos initial weight'!$A$5:$A$1749,0)),"")</f>
        <v/>
      </c>
      <c r="L723" s="267" t="str">
        <f>IFERROR(K723-(TBIcalc!$Q$9+TBIcalc!$Q$10),"")</f>
        <v/>
      </c>
      <c r="M723" s="391">
        <f>AVERAGE(Ashed_controlls!$K$12:$K$14)</f>
        <v>2.2816647271287041</v>
      </c>
      <c r="N723" s="267" t="str">
        <f t="shared" si="56"/>
        <v/>
      </c>
      <c r="O723" s="267" t="str">
        <f>IF(IFERROR(INDEX('Both teabags AfterDry'!$D$3:$D$900,MATCH(J723,'Both teabags AfterDry'!$A$3:$A$900,0)),"")="","",(IFERROR(INDEX('Both teabags AfterDry'!$D$3:$D$900,MATCH(J723,'Both teabags AfterDry'!$A$3:$A$900,0)),"")))</f>
        <v/>
      </c>
      <c r="P723" s="267" t="str">
        <f>IFERROR(IF(O723&gt;0,O723-(TBIcalc!$Q$9),""),"")</f>
        <v/>
      </c>
      <c r="Q723" s="278" t="str">
        <f>IFERROR(INDEX('Ashed teabags dry'!$K$2:$K$825,MATCH(J723,'Ashed teabags dry'!$A$2:$A$825,0)),"")</f>
        <v/>
      </c>
      <c r="R723" s="278" t="str">
        <f t="shared" si="57"/>
        <v/>
      </c>
      <c r="S723" s="268">
        <f>'Dry_Litterbag Placem_Collection'!E64</f>
        <v>0</v>
      </c>
      <c r="T723" s="268" t="str">
        <f>IF('Dry_Litterbag Placem_Collection'!G64="","",'Dry_Litterbag Placem_Collection'!G64)</f>
        <v/>
      </c>
      <c r="U723" s="269" t="str">
        <f t="shared" si="55"/>
        <v/>
      </c>
      <c r="V723" s="267" t="str">
        <f t="shared" si="58"/>
        <v/>
      </c>
      <c r="W723" s="267" t="str">
        <f t="shared" si="59"/>
        <v/>
      </c>
      <c r="X723" s="271" t="str">
        <f>IFERROR(INDEX(Rainfall_Dry!$O$2:$O$217,MATCH(B723, Rainfall_Dry!$A$2:$A$217,0)),"")</f>
        <v/>
      </c>
      <c r="Y723" s="260">
        <v>25.96</v>
      </c>
      <c r="Z723" s="260">
        <v>6.9200000000000008</v>
      </c>
      <c r="AA723" s="260">
        <v>67.12</v>
      </c>
      <c r="AB723" s="261" t="s">
        <v>2670</v>
      </c>
      <c r="AC723" s="260">
        <v>1.7568260226712666</v>
      </c>
      <c r="AD723">
        <f>IF('WetLitterbags placem_collection'!AB64="","",'WetLitterbags placem_collection'!AB64)</f>
        <v>4.2</v>
      </c>
      <c r="AE723">
        <f>IF('WetLitterbags placem_collection'!Z64="","",'WetLitterbags placem_collection'!Z64)</f>
        <v>40.4</v>
      </c>
      <c r="AF723" s="24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71" t="str">
        <f>IFERROR(AVERAGE('Dry_Litterbag Placem_Collection'!N64,'Dry_Litterbag Placem_Collection'!Q64),"")</f>
        <v/>
      </c>
      <c r="AJ723" s="270">
        <f>INDEX(Coordinates!$B$2:$B$197,MATCH(G723,Coordinates!$J$2:$J$197,0))</f>
        <v>-3.4065180179999999</v>
      </c>
      <c r="AK723" s="270">
        <f>INDEX(Coordinates!$C$2:$C$197,MATCH(G723,Coordinates!$J$2:$J$197,0))</f>
        <v>34.85121402</v>
      </c>
      <c r="AL723" s="270" t="str">
        <f>IF(ISNUMBER(SEARCH("C", 'Dry_Litterbag Placem_Collection'!V64)),"YES","NO")</f>
        <v>NO</v>
      </c>
      <c r="AM723" s="270" t="str">
        <f>IF(ISNUMBER(SEARCH("H", 'Dry_Litterbag Placem_Collection'!V64)),"YES","NO")</f>
        <v>NO</v>
      </c>
      <c r="AN723" s="270" t="str">
        <f>IF(ISNUMBER(SEARCH("R", 'Dry_Litterbag Placem_Collection'!V64)),"YES","NO")</f>
        <v>NO</v>
      </c>
    </row>
    <row r="724" spans="1:40" ht="15" customHeight="1">
      <c r="A724" s="262" t="s">
        <v>2659</v>
      </c>
      <c r="B724" s="263">
        <f>'Dry_Litterbag Placem_Collection'!A65</f>
        <v>63</v>
      </c>
      <c r="C724" s="263" t="str">
        <f>'Dry_Litterbag Placem_Collection'!B65</f>
        <v>Makao</v>
      </c>
      <c r="D724" s="263" t="s">
        <v>2659</v>
      </c>
      <c r="E724" s="263" t="s">
        <v>20</v>
      </c>
      <c r="F724" s="263">
        <v>4</v>
      </c>
      <c r="G724" s="264" t="str">
        <f>'Dry_Litterbag Placem_Collection'!C65</f>
        <v>Dry_P4_T7</v>
      </c>
      <c r="H724" s="273" t="s">
        <v>3651</v>
      </c>
      <c r="I724" s="274" t="s">
        <v>298</v>
      </c>
      <c r="J724" s="263" t="str">
        <f>IF(ISBLANK('Dry_Litterbag Placem_Collection'!M65),"","R"&amp;""&amp;'Dry_Litterbag Placem_Collection'!M65)</f>
        <v>R713</v>
      </c>
      <c r="K724" s="267">
        <f>IFERROR(INDEX('Green_rooibos initial weight'!$C$5:$C$1749,MATCH(J724, 'Green_rooibos initial weight'!$A$5:$A$1749,0)),"")</f>
        <v>2.1619999999999999</v>
      </c>
      <c r="L724" s="267">
        <f>IFERROR(K724-(TBIcalc!$Q$9+TBIcalc!$Q$10),"")</f>
        <v>1.9121999999999999</v>
      </c>
      <c r="M724" s="391">
        <f>AVERAGE(Ashed_controlls!$K$12:$K$14)</f>
        <v>2.2816647271287041</v>
      </c>
      <c r="N724" s="267">
        <f t="shared" si="56"/>
        <v>1.8685700070878448</v>
      </c>
      <c r="O724" s="267">
        <f>IF(IFERROR(INDEX('Both teabags AfterDry'!$D$3:$D$900,MATCH(J724,'Both teabags AfterDry'!$A$3:$A$900,0)),"")="","",(IFERROR(INDEX('Both teabags AfterDry'!$D$3:$D$900,MATCH(J724,'Both teabags AfterDry'!$A$3:$A$900,0)),"")))</f>
        <v>1.9921</v>
      </c>
      <c r="P724" s="267">
        <f>IFERROR(IF(O724&gt;0,O724-(TBIcalc!$Q$9),""),"")</f>
        <v>1.8414999999999999</v>
      </c>
      <c r="Q724" s="278">
        <f>IFERROR(INDEX('Ashed teabags dry'!$K$2:$K$825,MATCH(J724,'Ashed teabags dry'!$A$2:$A$825,0)),"")</f>
        <v>2.4745269286755853</v>
      </c>
      <c r="R724" s="278">
        <f t="shared" si="57"/>
        <v>1.7959315866084391</v>
      </c>
      <c r="S724" s="268">
        <f>'Dry_Litterbag Placem_Collection'!E65</f>
        <v>42938</v>
      </c>
      <c r="T724" s="268">
        <f>IF('Dry_Litterbag Placem_Collection'!G65="","",'Dry_Litterbag Placem_Collection'!G65)</f>
        <v>43005</v>
      </c>
      <c r="U724" s="269">
        <f t="shared" si="55"/>
        <v>67</v>
      </c>
      <c r="V724" s="267">
        <f t="shared" si="58"/>
        <v>7.0699999999999985E-2</v>
      </c>
      <c r="W724" s="267">
        <f t="shared" si="59"/>
        <v>7.2638420479405719E-2</v>
      </c>
      <c r="X724" s="271">
        <f>IFERROR(INDEX(Rainfall_Dry!$O$2:$O$217,MATCH(B724, Rainfall_Dry!$A$2:$A$217,0)),"")</f>
        <v>6.5250000359999998</v>
      </c>
      <c r="Y724" s="260">
        <v>25.96</v>
      </c>
      <c r="Z724" s="260">
        <v>6.9200000000000008</v>
      </c>
      <c r="AA724" s="260">
        <v>67.12</v>
      </c>
      <c r="AB724" s="261" t="s">
        <v>2670</v>
      </c>
      <c r="AC724" s="260">
        <v>1.7568260226712666</v>
      </c>
      <c r="AD724">
        <f>IF('WetLitterbags placem_collection'!AB65="","",'WetLitterbags placem_collection'!AB65)</f>
        <v>4.9000000000000004</v>
      </c>
      <c r="AE724">
        <f>IF('WetLitterbags placem_collection'!Z65="","",'WetLitterbags placem_collection'!Z65)</f>
        <v>45</v>
      </c>
      <c r="AF724" s="24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71">
        <f>IFERROR(AVERAGE('Dry_Litterbag Placem_Collection'!N65,'Dry_Litterbag Placem_Collection'!Q65),"")</f>
        <v>31.3</v>
      </c>
      <c r="AJ724" s="270">
        <f>INDEX(Coordinates!$B$2:$B$197,MATCH(G724,Coordinates!$J$2:$J$197,0))</f>
        <v>-3.406334035</v>
      </c>
      <c r="AK724" s="270">
        <f>INDEX(Coordinates!$C$2:$C$197,MATCH(G724,Coordinates!$J$2:$J$197,0))</f>
        <v>34.851172030000001</v>
      </c>
      <c r="AL724" s="270" t="str">
        <f>IF(ISNUMBER(SEARCH("C", 'Dry_Litterbag Placem_Collection'!V65)),"YES","NO")</f>
        <v>NO</v>
      </c>
      <c r="AM724" s="270" t="str">
        <f>IF(ISNUMBER(SEARCH("H", 'Dry_Litterbag Placem_Collection'!V65)),"YES","NO")</f>
        <v>NO</v>
      </c>
      <c r="AN724" s="270" t="str">
        <f>IF(ISNUMBER(SEARCH("R", 'Dry_Litterbag Placem_Collection'!V65)),"YES","NO")</f>
        <v>NO</v>
      </c>
    </row>
    <row r="725" spans="1:40" ht="15" customHeight="1">
      <c r="A725" s="262" t="s">
        <v>2659</v>
      </c>
      <c r="B725" s="263">
        <f>'Dry_Litterbag Placem_Collection'!A66</f>
        <v>64</v>
      </c>
      <c r="C725" s="263" t="str">
        <f>'Dry_Litterbag Placem_Collection'!B66</f>
        <v>Makao</v>
      </c>
      <c r="D725" s="263" t="s">
        <v>2659</v>
      </c>
      <c r="E725" s="263" t="s">
        <v>20</v>
      </c>
      <c r="F725" s="263">
        <v>4</v>
      </c>
      <c r="G725" s="264" t="str">
        <f>'Dry_Litterbag Placem_Collection'!C66</f>
        <v>Dry_P4_T8</v>
      </c>
      <c r="H725" s="273" t="s">
        <v>3651</v>
      </c>
      <c r="I725" s="274" t="s">
        <v>298</v>
      </c>
      <c r="J725" s="263" t="str">
        <f>IF(ISBLANK('Dry_Litterbag Placem_Collection'!M66),"","R"&amp;""&amp;'Dry_Litterbag Placem_Collection'!M66)</f>
        <v>R237</v>
      </c>
      <c r="K725" s="267">
        <f>IFERROR(INDEX('Green_rooibos initial weight'!$C$5:$C$1749,MATCH(J725, 'Green_rooibos initial weight'!$A$5:$A$1749,0)),"")</f>
        <v>2.1989999999999998</v>
      </c>
      <c r="L725" s="267">
        <f>IFERROR(K725-(TBIcalc!$Q$9+TBIcalc!$Q$10),"")</f>
        <v>1.9491999999999998</v>
      </c>
      <c r="M725" s="391">
        <f>AVERAGE(Ashed_controlls!$K$12:$K$14)</f>
        <v>2.2816647271287041</v>
      </c>
      <c r="N725" s="267">
        <f t="shared" si="56"/>
        <v>1.9047257911388071</v>
      </c>
      <c r="O725" s="267">
        <f>IF(IFERROR(INDEX('Both teabags AfterDry'!$D$3:$D$900,MATCH(J725,'Both teabags AfterDry'!$A$3:$A$900,0)),"")="","",(IFERROR(INDEX('Both teabags AfterDry'!$D$3:$D$900,MATCH(J725,'Both teabags AfterDry'!$A$3:$A$900,0)),"")))</f>
        <v>1.9715</v>
      </c>
      <c r="P725" s="267">
        <f>IFERROR(IF(O725&gt;0,O725-(TBIcalc!$Q$9),""),"")</f>
        <v>1.8209</v>
      </c>
      <c r="Q725" s="278">
        <f>IFERROR(INDEX('Ashed teabags dry'!$K$2:$K$825,MATCH(J725,'Ashed teabags dry'!$A$2:$A$825,0)),"")</f>
        <v>2.2650602409639138</v>
      </c>
      <c r="R725" s="278">
        <f t="shared" si="57"/>
        <v>1.7796555180722882</v>
      </c>
      <c r="S725" s="268">
        <f>'Dry_Litterbag Placem_Collection'!E66</f>
        <v>42938</v>
      </c>
      <c r="T725" s="268">
        <f>IF('Dry_Litterbag Placem_Collection'!G66="","",'Dry_Litterbag Placem_Collection'!G66)</f>
        <v>43005</v>
      </c>
      <c r="U725" s="269">
        <f t="shared" si="55"/>
        <v>67</v>
      </c>
      <c r="V725" s="267">
        <f t="shared" si="58"/>
        <v>0.12829999999999986</v>
      </c>
      <c r="W725" s="267">
        <f t="shared" si="59"/>
        <v>0.12507027306651897</v>
      </c>
      <c r="X725" s="271">
        <f>IFERROR(INDEX(Rainfall_Dry!$O$2:$O$217,MATCH(B725, Rainfall_Dry!$A$2:$A$217,0)),"")</f>
        <v>6.5250000359999998</v>
      </c>
      <c r="Y725" s="260">
        <v>25.96</v>
      </c>
      <c r="Z725" s="260">
        <v>6.9200000000000008</v>
      </c>
      <c r="AA725" s="260">
        <v>67.12</v>
      </c>
      <c r="AB725" s="261" t="s">
        <v>2670</v>
      </c>
      <c r="AC725" s="260">
        <v>1.7568260226712666</v>
      </c>
      <c r="AD725">
        <f>IF('WetLitterbags placem_collection'!AB66="","",'WetLitterbags placem_collection'!AB66)</f>
        <v>3</v>
      </c>
      <c r="AE725">
        <f>IF('WetLitterbags placem_collection'!Z66="","",'WetLitterbags placem_collection'!Z66)</f>
        <v>22.8</v>
      </c>
      <c r="AF725" s="24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71">
        <f>IFERROR(AVERAGE('Dry_Litterbag Placem_Collection'!N66,'Dry_Litterbag Placem_Collection'!Q66),"")</f>
        <v>31.5</v>
      </c>
      <c r="AJ725" s="270">
        <f>INDEX(Coordinates!$B$2:$B$197,MATCH(G725,Coordinates!$J$2:$J$197,0))</f>
        <v>-3.4063409920000001</v>
      </c>
      <c r="AK725" s="270">
        <f>INDEX(Coordinates!$C$2:$C$197,MATCH(G725,Coordinates!$J$2:$J$197,0))</f>
        <v>34.85126004</v>
      </c>
      <c r="AL725" s="270" t="str">
        <f>IF(ISNUMBER(SEARCH("C", 'Dry_Litterbag Placem_Collection'!V66)),"YES","NO")</f>
        <v>NO</v>
      </c>
      <c r="AM725" s="270" t="str">
        <f>IF(ISNUMBER(SEARCH("H", 'Dry_Litterbag Placem_Collection'!V66)),"YES","NO")</f>
        <v>NO</v>
      </c>
      <c r="AN725" s="270" t="str">
        <f>IF(ISNUMBER(SEARCH("R", 'Dry_Litterbag Placem_Collection'!V66)),"YES","NO")</f>
        <v>NO</v>
      </c>
    </row>
    <row r="726" spans="1:40" ht="15" customHeight="1">
      <c r="A726" s="262" t="s">
        <v>2659</v>
      </c>
      <c r="B726" s="263">
        <f>'Dry_Litterbag Placem_Collection'!A67</f>
        <v>65</v>
      </c>
      <c r="C726" s="263" t="str">
        <f>'Dry_Litterbag Placem_Collection'!B67</f>
        <v>Maswa</v>
      </c>
      <c r="D726" s="263" t="s">
        <v>2659</v>
      </c>
      <c r="E726" s="263" t="s">
        <v>2661</v>
      </c>
      <c r="F726" s="263">
        <v>1</v>
      </c>
      <c r="G726" s="264" t="str">
        <f>'Dry_Litterbag Placem_Collection'!C67</f>
        <v>Dry_W1_T1</v>
      </c>
      <c r="H726" s="273" t="s">
        <v>3651</v>
      </c>
      <c r="I726" s="274" t="s">
        <v>298</v>
      </c>
      <c r="J726" s="263" t="str">
        <f>IF(ISBLANK('Dry_Litterbag Placem_Collection'!M67),"","R"&amp;""&amp;'Dry_Litterbag Placem_Collection'!M67)</f>
        <v>R654</v>
      </c>
      <c r="K726" s="267">
        <f>IFERROR(INDEX('Green_rooibos initial weight'!$C$5:$C$1749,MATCH(J726, 'Green_rooibos initial weight'!$A$5:$A$1749,0)),"")</f>
        <v>2.2040000000000002</v>
      </c>
      <c r="L726" s="267">
        <f>IFERROR(K726-(TBIcalc!$Q$9+TBIcalc!$Q$10),"")</f>
        <v>1.9542000000000002</v>
      </c>
      <c r="M726" s="391">
        <f>AVERAGE(Ashed_controlls!$K$12:$K$14)</f>
        <v>2.2816647271287041</v>
      </c>
      <c r="N726" s="267">
        <f t="shared" si="56"/>
        <v>1.909611707902451</v>
      </c>
      <c r="O726" s="267" t="str">
        <f>IF(IFERROR(INDEX('Both teabags AfterDry'!$D$3:$D$900,MATCH(J726,'Both teabags AfterDry'!$A$3:$A$900,0)),"")="","",(IFERROR(INDEX('Both teabags AfterDry'!$D$3:$D$900,MATCH(J726,'Both teabags AfterDry'!$A$3:$A$900,0)),"")))</f>
        <v/>
      </c>
      <c r="P726" s="267" t="str">
        <f>IFERROR(IF(O726&gt;0,O726-(TBIcalc!$Q$9),""),"")</f>
        <v/>
      </c>
      <c r="Q726" s="278" t="str">
        <f>IFERROR(INDEX('Ashed teabags dry'!$K$2:$K$825,MATCH(J726,'Ashed teabags dry'!$A$2:$A$825,0)),"")</f>
        <v/>
      </c>
      <c r="R726" s="278" t="str">
        <f t="shared" si="57"/>
        <v/>
      </c>
      <c r="S726" s="268">
        <f>'Dry_Litterbag Placem_Collection'!E67</f>
        <v>42937</v>
      </c>
      <c r="T726" s="268">
        <f>IF('Dry_Litterbag Placem_Collection'!G67="","",'Dry_Litterbag Placem_Collection'!G67)</f>
        <v>43005</v>
      </c>
      <c r="U726" s="269">
        <f t="shared" si="55"/>
        <v>68</v>
      </c>
      <c r="V726" s="267" t="str">
        <f t="shared" si="58"/>
        <v/>
      </c>
      <c r="W726" s="267" t="str">
        <f t="shared" si="59"/>
        <v/>
      </c>
      <c r="X726" s="271">
        <f>IFERROR(INDEX(Rainfall_Dry!$O$2:$O$217,MATCH(B726, Rainfall_Dry!$A$2:$A$217,0)),"")</f>
        <v>6.900000125</v>
      </c>
      <c r="Y726" s="260">
        <v>47.96</v>
      </c>
      <c r="Z726" s="260">
        <v>22.919999999999995</v>
      </c>
      <c r="AA726" s="260">
        <v>29.120000000000012</v>
      </c>
      <c r="AB726" s="261" t="s">
        <v>2673</v>
      </c>
      <c r="AC726" s="260">
        <v>2.8831936914736325</v>
      </c>
      <c r="AD726">
        <f>IF('WetLitterbags placem_collection'!AB67="","",'WetLitterbags placem_collection'!AB67)</f>
        <v>13.8</v>
      </c>
      <c r="AE726">
        <f>IF('WetLitterbags placem_collection'!Z67="","",'WetLitterbags placem_collection'!Z67)</f>
        <v>13.8</v>
      </c>
      <c r="AF726" s="24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71">
        <f>IFERROR(AVERAGE('Dry_Litterbag Placem_Collection'!N67,'Dry_Litterbag Placem_Collection'!Q67),"")</f>
        <v>28</v>
      </c>
      <c r="AJ726" s="270">
        <f>INDEX(Coordinates!$B$2:$B$197,MATCH(G726,Coordinates!$J$2:$J$197,0))</f>
        <v>-3.2993960379999998</v>
      </c>
      <c r="AK726" s="270">
        <f>INDEX(Coordinates!$C$2:$C$197,MATCH(G726,Coordinates!$J$2:$J$197,0))</f>
        <v>34.848240959999998</v>
      </c>
      <c r="AL726" s="270" t="str">
        <f>IF(ISNUMBER(SEARCH("C", 'Dry_Litterbag Placem_Collection'!V67)),"YES","NO")</f>
        <v>NO</v>
      </c>
      <c r="AM726" s="270" t="str">
        <f>IF(ISNUMBER(SEARCH("H", 'Dry_Litterbag Placem_Collection'!V67)),"YES","NO")</f>
        <v>NO</v>
      </c>
      <c r="AN726" s="270" t="str">
        <f>IF(ISNUMBER(SEARCH("R", 'Dry_Litterbag Placem_Collection'!V67)),"YES","NO")</f>
        <v>NO</v>
      </c>
    </row>
    <row r="727" spans="1:40" ht="15" customHeight="1">
      <c r="A727" s="262" t="s">
        <v>2659</v>
      </c>
      <c r="B727" s="263">
        <f>'Dry_Litterbag Placem_Collection'!A68</f>
        <v>66</v>
      </c>
      <c r="C727" s="263" t="str">
        <f>'Dry_Litterbag Placem_Collection'!B68</f>
        <v>Maswa</v>
      </c>
      <c r="D727" s="263" t="s">
        <v>2659</v>
      </c>
      <c r="E727" s="263" t="s">
        <v>2661</v>
      </c>
      <c r="F727" s="263">
        <v>1</v>
      </c>
      <c r="G727" s="264" t="str">
        <f>'Dry_Litterbag Placem_Collection'!C68</f>
        <v>Dry_W1_T2</v>
      </c>
      <c r="H727" s="273" t="s">
        <v>3651</v>
      </c>
      <c r="I727" s="274" t="s">
        <v>298</v>
      </c>
      <c r="J727" s="263" t="str">
        <f>IF(ISBLANK('Dry_Litterbag Placem_Collection'!M68),"","R"&amp;""&amp;'Dry_Litterbag Placem_Collection'!M68)</f>
        <v>R634</v>
      </c>
      <c r="K727" s="267">
        <f>IFERROR(INDEX('Green_rooibos initial weight'!$C$5:$C$1749,MATCH(J727, 'Green_rooibos initial weight'!$A$5:$A$1749,0)),"")</f>
        <v>2.0979999999999999</v>
      </c>
      <c r="L727" s="267">
        <f>IFERROR(K727-(TBIcalc!$Q$9+TBIcalc!$Q$10),"")</f>
        <v>1.8481999999999998</v>
      </c>
      <c r="M727" s="391">
        <f>AVERAGE(Ashed_controlls!$K$12:$K$14)</f>
        <v>2.2816647271287041</v>
      </c>
      <c r="N727" s="267">
        <f t="shared" si="56"/>
        <v>1.8060302725132071</v>
      </c>
      <c r="O727" s="267">
        <f>IF(IFERROR(INDEX('Both teabags AfterDry'!$D$3:$D$900,MATCH(J727,'Both teabags AfterDry'!$A$3:$A$900,0)),"")="","",(IFERROR(INDEX('Both teabags AfterDry'!$D$3:$D$900,MATCH(J727,'Both teabags AfterDry'!$A$3:$A$900,0)),"")))</f>
        <v>1.9177</v>
      </c>
      <c r="P727" s="267">
        <f>IFERROR(IF(O727&gt;0,O727-(TBIcalc!$Q$9),""),"")</f>
        <v>1.7670999999999999</v>
      </c>
      <c r="Q727" s="278">
        <f>IFERROR(INDEX('Ashed teabags dry'!$K$2:$K$825,MATCH(J727,'Ashed teabags dry'!$A$2:$A$825,0)),"")</f>
        <v>2.2058823529412819</v>
      </c>
      <c r="R727" s="278">
        <f t="shared" si="57"/>
        <v>1.7281198529411745</v>
      </c>
      <c r="S727" s="268">
        <f>'Dry_Litterbag Placem_Collection'!E68</f>
        <v>42937</v>
      </c>
      <c r="T727" s="268">
        <f>IF('Dry_Litterbag Placem_Collection'!G68="","",'Dry_Litterbag Placem_Collection'!G68)</f>
        <v>43005</v>
      </c>
      <c r="U727" s="269">
        <f t="shared" si="55"/>
        <v>68</v>
      </c>
      <c r="V727" s="267">
        <f t="shared" si="58"/>
        <v>8.109999999999995E-2</v>
      </c>
      <c r="W727" s="267">
        <f t="shared" si="59"/>
        <v>7.7910419572032596E-2</v>
      </c>
      <c r="X727" s="271">
        <f>IFERROR(INDEX(Rainfall_Dry!$O$2:$O$217,MATCH(B727, Rainfall_Dry!$A$2:$A$217,0)),"")</f>
        <v>6.900000125</v>
      </c>
      <c r="Y727" s="260">
        <v>47.96</v>
      </c>
      <c r="Z727" s="260">
        <v>22.919999999999995</v>
      </c>
      <c r="AA727" s="260">
        <v>29.120000000000012</v>
      </c>
      <c r="AB727" s="261" t="s">
        <v>2673</v>
      </c>
      <c r="AC727" s="260">
        <v>3.8831936914736298</v>
      </c>
      <c r="AD727">
        <f>IF('WetLitterbags placem_collection'!AB68="","",'WetLitterbags placem_collection'!AB68)</f>
        <v>8</v>
      </c>
      <c r="AE727">
        <f>IF('WetLitterbags placem_collection'!Z68="","",'WetLitterbags placem_collection'!Z68)</f>
        <v>19.8</v>
      </c>
      <c r="AF727" s="24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71">
        <f>IFERROR(AVERAGE('Dry_Litterbag Placem_Collection'!N68,'Dry_Litterbag Placem_Collection'!Q68),"")</f>
        <v>23.6</v>
      </c>
      <c r="AJ727" s="270">
        <f>INDEX(Coordinates!$B$2:$B$197,MATCH(G727,Coordinates!$J$2:$J$197,0))</f>
        <v>-3.2993090340000002</v>
      </c>
      <c r="AK727" s="270">
        <f>INDEX(Coordinates!$C$2:$C$197,MATCH(G727,Coordinates!$J$2:$J$197,0))</f>
        <v>34.848404989999999</v>
      </c>
      <c r="AL727" s="270" t="str">
        <f>IF(ISNUMBER(SEARCH("C", 'Dry_Litterbag Placem_Collection'!V68)),"YES","NO")</f>
        <v>NO</v>
      </c>
      <c r="AM727" s="270" t="str">
        <f>IF(ISNUMBER(SEARCH("H", 'Dry_Litterbag Placem_Collection'!V68)),"YES","NO")</f>
        <v>NO</v>
      </c>
      <c r="AN727" s="270" t="str">
        <f>IF(ISNUMBER(SEARCH("R", 'Dry_Litterbag Placem_Collection'!V68)),"YES","NO")</f>
        <v>NO</v>
      </c>
    </row>
    <row r="728" spans="1:40" ht="15" customHeight="1">
      <c r="A728" s="262" t="s">
        <v>2659</v>
      </c>
      <c r="B728" s="263">
        <f>'Dry_Litterbag Placem_Collection'!A69</f>
        <v>67</v>
      </c>
      <c r="C728" s="263" t="str">
        <f>'Dry_Litterbag Placem_Collection'!B69</f>
        <v>Maswa</v>
      </c>
      <c r="D728" s="263" t="s">
        <v>2659</v>
      </c>
      <c r="E728" s="263" t="s">
        <v>2661</v>
      </c>
      <c r="F728" s="263">
        <v>1</v>
      </c>
      <c r="G728" s="264" t="str">
        <f>'Dry_Litterbag Placem_Collection'!C69</f>
        <v>Dry_W1_T3</v>
      </c>
      <c r="H728" s="273" t="s">
        <v>3651</v>
      </c>
      <c r="I728" s="274" t="s">
        <v>298</v>
      </c>
      <c r="J728" s="263" t="str">
        <f>IF(ISBLANK('Dry_Litterbag Placem_Collection'!M69),"","R"&amp;""&amp;'Dry_Litterbag Placem_Collection'!M69)</f>
        <v/>
      </c>
      <c r="K728" s="267" t="str">
        <f>IFERROR(INDEX('Green_rooibos initial weight'!$C$5:$C$1749,MATCH(J728, 'Green_rooibos initial weight'!$A$5:$A$1749,0)),"")</f>
        <v/>
      </c>
      <c r="L728" s="267" t="str">
        <f>IFERROR(K728-(TBIcalc!$Q$9+TBIcalc!$Q$10),"")</f>
        <v/>
      </c>
      <c r="M728" s="391">
        <f>AVERAGE(Ashed_controlls!$K$12:$K$14)</f>
        <v>2.2816647271287041</v>
      </c>
      <c r="N728" s="267" t="str">
        <f t="shared" si="56"/>
        <v/>
      </c>
      <c r="O728" s="267" t="str">
        <f>IF(IFERROR(INDEX('Both teabags AfterDry'!$D$3:$D$900,MATCH(J728,'Both teabags AfterDry'!$A$3:$A$900,0)),"")="","",(IFERROR(INDEX('Both teabags AfterDry'!$D$3:$D$900,MATCH(J728,'Both teabags AfterDry'!$A$3:$A$900,0)),"")))</f>
        <v/>
      </c>
      <c r="P728" s="267" t="str">
        <f>IFERROR(IF(O728&gt;0,O728-(TBIcalc!$Q$9),""),"")</f>
        <v/>
      </c>
      <c r="Q728" s="278" t="str">
        <f>IFERROR(INDEX('Ashed teabags dry'!$K$2:$K$825,MATCH(J728,'Ashed teabags dry'!$A$2:$A$825,0)),"")</f>
        <v/>
      </c>
      <c r="R728" s="278" t="str">
        <f t="shared" si="57"/>
        <v/>
      </c>
      <c r="S728" s="268">
        <f>'Dry_Litterbag Placem_Collection'!E69</f>
        <v>0</v>
      </c>
      <c r="T728" s="268" t="str">
        <f>IF('Dry_Litterbag Placem_Collection'!G69="","",'Dry_Litterbag Placem_Collection'!G69)</f>
        <v/>
      </c>
      <c r="U728" s="269" t="str">
        <f t="shared" si="55"/>
        <v/>
      </c>
      <c r="V728" s="267" t="str">
        <f t="shared" si="58"/>
        <v/>
      </c>
      <c r="W728" s="267" t="str">
        <f t="shared" si="59"/>
        <v/>
      </c>
      <c r="X728" s="271" t="str">
        <f>IFERROR(INDEX(Rainfall_Dry!$O$2:$O$217,MATCH(B728, Rainfall_Dry!$A$2:$A$217,0)),"")</f>
        <v/>
      </c>
      <c r="Y728" s="260">
        <v>47.96</v>
      </c>
      <c r="Z728" s="260">
        <v>22.919999999999995</v>
      </c>
      <c r="AA728" s="260">
        <v>29.120000000000012</v>
      </c>
      <c r="AB728" s="261" t="s">
        <v>2673</v>
      </c>
      <c r="AC728" s="260">
        <v>4.8831936914736298</v>
      </c>
      <c r="AD728">
        <f>IF('WetLitterbags placem_collection'!AB69="","",'WetLitterbags placem_collection'!AB69)</f>
        <v>5.5</v>
      </c>
      <c r="AE728">
        <f>IF('WetLitterbags placem_collection'!Z69="","",'WetLitterbags placem_collection'!Z69)</f>
        <v>5.5</v>
      </c>
      <c r="AF728" s="24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71" t="str">
        <f>IFERROR(AVERAGE('Dry_Litterbag Placem_Collection'!N69,'Dry_Litterbag Placem_Collection'!Q69),"")</f>
        <v/>
      </c>
      <c r="AJ728" s="270">
        <f>INDEX(Coordinates!$B$2:$B$197,MATCH(G728,Coordinates!$J$2:$J$197,0))</f>
        <v>-3.299434008</v>
      </c>
      <c r="AK728" s="270">
        <f>INDEX(Coordinates!$C$2:$C$197,MATCH(G728,Coordinates!$J$2:$J$197,0))</f>
        <v>34.848514960000003</v>
      </c>
      <c r="AL728" s="270" t="str">
        <f>IF(ISNUMBER(SEARCH("C", 'Dry_Litterbag Placem_Collection'!V69)),"YES","NO")</f>
        <v>NO</v>
      </c>
      <c r="AM728" s="270" t="str">
        <f>IF(ISNUMBER(SEARCH("H", 'Dry_Litterbag Placem_Collection'!V69)),"YES","NO")</f>
        <v>NO</v>
      </c>
      <c r="AN728" s="270" t="str">
        <f>IF(ISNUMBER(SEARCH("R", 'Dry_Litterbag Placem_Collection'!V69)),"YES","NO")</f>
        <v>NO</v>
      </c>
    </row>
    <row r="729" spans="1:40" ht="15" customHeight="1">
      <c r="A729" s="262" t="s">
        <v>2659</v>
      </c>
      <c r="B729" s="263">
        <f>'Dry_Litterbag Placem_Collection'!A70</f>
        <v>68</v>
      </c>
      <c r="C729" s="263" t="str">
        <f>'Dry_Litterbag Placem_Collection'!B70</f>
        <v>Maswa</v>
      </c>
      <c r="D729" s="263" t="s">
        <v>2659</v>
      </c>
      <c r="E729" s="263" t="s">
        <v>2661</v>
      </c>
      <c r="F729" s="263">
        <v>1</v>
      </c>
      <c r="G729" s="264" t="str">
        <f>'Dry_Litterbag Placem_Collection'!C70</f>
        <v>Dry_W1_T4</v>
      </c>
      <c r="H729" s="273" t="s">
        <v>3651</v>
      </c>
      <c r="I729" s="274" t="s">
        <v>298</v>
      </c>
      <c r="J729" s="263" t="str">
        <f>IF(ISBLANK('Dry_Litterbag Placem_Collection'!M70),"","R"&amp;""&amp;'Dry_Litterbag Placem_Collection'!M70)</f>
        <v>R201</v>
      </c>
      <c r="K729" s="267">
        <f>IFERROR(INDEX('Green_rooibos initial weight'!$C$5:$C$1749,MATCH(J729, 'Green_rooibos initial weight'!$A$5:$A$1749,0)),"")</f>
        <v>2.2349999999999999</v>
      </c>
      <c r="L729" s="267">
        <f>IFERROR(K729-(TBIcalc!$Q$9+TBIcalc!$Q$10),"")</f>
        <v>1.9851999999999999</v>
      </c>
      <c r="M729" s="391">
        <f>AVERAGE(Ashed_controlls!$K$12:$K$14)</f>
        <v>2.2816647271287041</v>
      </c>
      <c r="N729" s="267">
        <f t="shared" si="56"/>
        <v>1.9399043918370409</v>
      </c>
      <c r="O729" s="267">
        <f>IF(IFERROR(INDEX('Both teabags AfterDry'!$D$3:$D$900,MATCH(J729,'Both teabags AfterDry'!$A$3:$A$900,0)),"")="","",(IFERROR(INDEX('Both teabags AfterDry'!$D$3:$D$900,MATCH(J729,'Both teabags AfterDry'!$A$3:$A$900,0)),"")))</f>
        <v>2.0015000000000001</v>
      </c>
      <c r="P729" s="267">
        <f>IFERROR(IF(O729&gt;0,O729-(TBIcalc!$Q$9),""),"")</f>
        <v>1.8509</v>
      </c>
      <c r="Q729" s="278">
        <f>IFERROR(INDEX('Ashed teabags dry'!$K$2:$K$825,MATCH(J729,'Ashed teabags dry'!$A$2:$A$825,0)),"")</f>
        <v>3.2690695725061474</v>
      </c>
      <c r="R729" s="278">
        <f t="shared" si="57"/>
        <v>1.7903927912824837</v>
      </c>
      <c r="S729" s="268">
        <f>'Dry_Litterbag Placem_Collection'!E70</f>
        <v>42937</v>
      </c>
      <c r="T729" s="268">
        <f>IF('Dry_Litterbag Placem_Collection'!G70="","",'Dry_Litterbag Placem_Collection'!G70)</f>
        <v>43005</v>
      </c>
      <c r="U729" s="269">
        <f t="shared" si="55"/>
        <v>68</v>
      </c>
      <c r="V729" s="267">
        <f t="shared" si="58"/>
        <v>0.13429999999999986</v>
      </c>
      <c r="W729" s="267">
        <f t="shared" si="59"/>
        <v>0.14951160055455714</v>
      </c>
      <c r="X729" s="271">
        <f>IFERROR(INDEX(Rainfall_Dry!$O$2:$O$217,MATCH(B729, Rainfall_Dry!$A$2:$A$217,0)),"")</f>
        <v>6.900000125</v>
      </c>
      <c r="Y729" s="260">
        <v>47.96</v>
      </c>
      <c r="Z729" s="260">
        <v>22.919999999999995</v>
      </c>
      <c r="AA729" s="260">
        <v>29.120000000000012</v>
      </c>
      <c r="AB729" s="261" t="s">
        <v>2673</v>
      </c>
      <c r="AC729" s="260">
        <v>5.8831936914736298</v>
      </c>
      <c r="AD729">
        <f>IF('WetLitterbags placem_collection'!AB70="","",'WetLitterbags placem_collection'!AB70)</f>
        <v>9.6999999999999993</v>
      </c>
      <c r="AE729">
        <f>IF('WetLitterbags placem_collection'!Z70="","",'WetLitterbags placem_collection'!Z70)</f>
        <v>23.4</v>
      </c>
      <c r="AF729" s="24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71">
        <f>IFERROR(AVERAGE('Dry_Litterbag Placem_Collection'!N70,'Dry_Litterbag Placem_Collection'!Q70),"")</f>
        <v>26.85</v>
      </c>
      <c r="AJ729" s="270">
        <f>INDEX(Coordinates!$B$2:$B$197,MATCH(G729,Coordinates!$J$2:$J$197,0))</f>
        <v>-3.2991180099999999</v>
      </c>
      <c r="AK729" s="270">
        <f>INDEX(Coordinates!$C$2:$C$197,MATCH(G729,Coordinates!$J$2:$J$197,0))</f>
        <v>34.84824699</v>
      </c>
      <c r="AL729" s="270" t="str">
        <f>IF(ISNUMBER(SEARCH("C", 'Dry_Litterbag Placem_Collection'!V70)),"YES","NO")</f>
        <v>NO</v>
      </c>
      <c r="AM729" s="270" t="str">
        <f>IF(ISNUMBER(SEARCH("H", 'Dry_Litterbag Placem_Collection'!V70)),"YES","NO")</f>
        <v>NO</v>
      </c>
      <c r="AN729" s="270" t="str">
        <f>IF(ISNUMBER(SEARCH("R", 'Dry_Litterbag Placem_Collection'!V70)),"YES","NO")</f>
        <v>NO</v>
      </c>
    </row>
    <row r="730" spans="1:40" ht="15" customHeight="1">
      <c r="A730" s="262" t="s">
        <v>2659</v>
      </c>
      <c r="B730" s="263">
        <f>'Dry_Litterbag Placem_Collection'!A71</f>
        <v>69</v>
      </c>
      <c r="C730" s="263" t="str">
        <f>'Dry_Litterbag Placem_Collection'!B71</f>
        <v>Maswa</v>
      </c>
      <c r="D730" s="263" t="s">
        <v>2659</v>
      </c>
      <c r="E730" s="263" t="s">
        <v>2661</v>
      </c>
      <c r="F730" s="263">
        <v>1</v>
      </c>
      <c r="G730" s="264" t="str">
        <f>'Dry_Litterbag Placem_Collection'!C71</f>
        <v>Dry_W1_T5</v>
      </c>
      <c r="H730" s="273" t="s">
        <v>3651</v>
      </c>
      <c r="I730" s="274" t="s">
        <v>298</v>
      </c>
      <c r="J730" s="263" t="str">
        <f>IF(ISBLANK('Dry_Litterbag Placem_Collection'!M71),"","R"&amp;""&amp;'Dry_Litterbag Placem_Collection'!M71)</f>
        <v>R174</v>
      </c>
      <c r="K730" s="267">
        <f>IFERROR(INDEX('Green_rooibos initial weight'!$C$5:$C$1749,MATCH(J730, 'Green_rooibos initial weight'!$A$5:$A$1749,0)),"")</f>
        <v>2.2410000000000001</v>
      </c>
      <c r="L730" s="267">
        <f>IFERROR(K730-(TBIcalc!$Q$9+TBIcalc!$Q$10),"")</f>
        <v>1.9912000000000001</v>
      </c>
      <c r="M730" s="391">
        <f>AVERAGE(Ashed_controlls!$K$12:$K$14)</f>
        <v>2.2816647271287041</v>
      </c>
      <c r="N730" s="267">
        <f t="shared" si="56"/>
        <v>1.9457674919534134</v>
      </c>
      <c r="O730" s="267">
        <f>IF(IFERROR(INDEX('Both teabags AfterDry'!$D$3:$D$900,MATCH(J730,'Both teabags AfterDry'!$A$3:$A$900,0)),"")="","",(IFERROR(INDEX('Both teabags AfterDry'!$D$3:$D$900,MATCH(J730,'Both teabags AfterDry'!$A$3:$A$900,0)),"")))</f>
        <v>1.9946999999999999</v>
      </c>
      <c r="P730" s="267">
        <f>IFERROR(IF(O730&gt;0,O730-(TBIcalc!$Q$9),""),"")</f>
        <v>1.8440999999999999</v>
      </c>
      <c r="Q730" s="278">
        <f>IFERROR(INDEX('Ashed teabags dry'!$K$2:$K$825,MATCH(J730,'Ashed teabags dry'!$A$2:$A$825,0)),"")</f>
        <v>2.7638190954781701</v>
      </c>
      <c r="R730" s="278">
        <f t="shared" si="57"/>
        <v>1.793132412060287</v>
      </c>
      <c r="S730" s="268">
        <f>'Dry_Litterbag Placem_Collection'!E71</f>
        <v>42937</v>
      </c>
      <c r="T730" s="268">
        <f>IF('Dry_Litterbag Placem_Collection'!G71="","",'Dry_Litterbag Placem_Collection'!G71)</f>
        <v>43006</v>
      </c>
      <c r="U730" s="269">
        <f t="shared" si="55"/>
        <v>69</v>
      </c>
      <c r="V730" s="267">
        <f t="shared" si="58"/>
        <v>0.14710000000000023</v>
      </c>
      <c r="W730" s="267">
        <f t="shared" si="59"/>
        <v>0.15263507989312641</v>
      </c>
      <c r="X730" s="271">
        <f>IFERROR(INDEX(Rainfall_Dry!$O$2:$O$217,MATCH(B730, Rainfall_Dry!$A$2:$A$217,0)),"")</f>
        <v>6.900000125</v>
      </c>
      <c r="Y730" s="260">
        <v>47.96</v>
      </c>
      <c r="Z730" s="260">
        <v>22.919999999999995</v>
      </c>
      <c r="AA730" s="260">
        <v>29.120000000000012</v>
      </c>
      <c r="AB730" s="261" t="s">
        <v>2673</v>
      </c>
      <c r="AC730" s="260">
        <v>6.8831936914736298</v>
      </c>
      <c r="AD730">
        <f>IF('WetLitterbags placem_collection'!AB71="","",'WetLitterbags placem_collection'!AB71)</f>
        <v>14.4</v>
      </c>
      <c r="AE730">
        <f>IF('WetLitterbags placem_collection'!Z71="","",'WetLitterbags placem_collection'!Z71)</f>
        <v>24.4</v>
      </c>
      <c r="AF730" s="24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71">
        <f>IFERROR(AVERAGE('Dry_Litterbag Placem_Collection'!N71,'Dry_Litterbag Placem_Collection'!Q71),"")</f>
        <v>26.55</v>
      </c>
      <c r="AJ730" s="270">
        <f>INDEX(Coordinates!$B$2:$B$197,MATCH(G730,Coordinates!$J$2:$J$197,0))</f>
        <v>-3.2993180030000002</v>
      </c>
      <c r="AK730" s="270">
        <f>INDEX(Coordinates!$C$2:$C$197,MATCH(G730,Coordinates!$J$2:$J$197,0))</f>
        <v>34.848235010000003</v>
      </c>
      <c r="AL730" s="270" t="str">
        <f>IF(ISNUMBER(SEARCH("C", 'Dry_Litterbag Placem_Collection'!V71)),"YES","NO")</f>
        <v>NO</v>
      </c>
      <c r="AM730" s="270" t="str">
        <f>IF(ISNUMBER(SEARCH("H", 'Dry_Litterbag Placem_Collection'!V71)),"YES","NO")</f>
        <v>NO</v>
      </c>
      <c r="AN730" s="270" t="str">
        <f>IF(ISNUMBER(SEARCH("R", 'Dry_Litterbag Placem_Collection'!V71)),"YES","NO")</f>
        <v>NO</v>
      </c>
    </row>
    <row r="731" spans="1:40" ht="15" customHeight="1">
      <c r="A731" s="262" t="s">
        <v>2659</v>
      </c>
      <c r="B731" s="263">
        <f>'Dry_Litterbag Placem_Collection'!A72</f>
        <v>70</v>
      </c>
      <c r="C731" s="263" t="str">
        <f>'Dry_Litterbag Placem_Collection'!B72</f>
        <v>Maswa</v>
      </c>
      <c r="D731" s="263" t="s">
        <v>2659</v>
      </c>
      <c r="E731" s="263" t="s">
        <v>2661</v>
      </c>
      <c r="F731" s="263">
        <v>1</v>
      </c>
      <c r="G731" s="264" t="str">
        <f>'Dry_Litterbag Placem_Collection'!C72</f>
        <v>Dry_W1_T6</v>
      </c>
      <c r="H731" s="273" t="s">
        <v>3651</v>
      </c>
      <c r="I731" s="274" t="s">
        <v>298</v>
      </c>
      <c r="J731" s="263" t="str">
        <f>IF(ISBLANK('Dry_Litterbag Placem_Collection'!M72),"","R"&amp;""&amp;'Dry_Litterbag Placem_Collection'!M72)</f>
        <v>R261</v>
      </c>
      <c r="K731" s="267">
        <f>IFERROR(INDEX('Green_rooibos initial weight'!$C$5:$C$1749,MATCH(J731, 'Green_rooibos initial weight'!$A$5:$A$1749,0)),"")</f>
        <v>2.2080000000000002</v>
      </c>
      <c r="L731" s="267">
        <f>IFERROR(K731-(TBIcalc!$Q$9+TBIcalc!$Q$10),"")</f>
        <v>1.9582000000000002</v>
      </c>
      <c r="M731" s="391">
        <f>AVERAGE(Ashed_controlls!$K$12:$K$14)</f>
        <v>2.2816647271287041</v>
      </c>
      <c r="N731" s="267">
        <f t="shared" si="56"/>
        <v>1.913520441313366</v>
      </c>
      <c r="O731" s="267">
        <f>IF(IFERROR(INDEX('Both teabags AfterDry'!$D$3:$D$900,MATCH(J731,'Both teabags AfterDry'!$A$3:$A$900,0)),"")="","",(IFERROR(INDEX('Both teabags AfterDry'!$D$3:$D$900,MATCH(J731,'Both teabags AfterDry'!$A$3:$A$900,0)),"")))</f>
        <v>1.9642999999999999</v>
      </c>
      <c r="P731" s="267">
        <f>IFERROR(IF(O731&gt;0,O731-(TBIcalc!$Q$9),""),"")</f>
        <v>1.8136999999999999</v>
      </c>
      <c r="Q731" s="278">
        <f>IFERROR(INDEX('Ashed teabags dry'!$K$2:$K$825,MATCH(J731,'Ashed teabags dry'!$A$2:$A$825,0)),"")</f>
        <v>3.9428289797936209</v>
      </c>
      <c r="R731" s="278">
        <f t="shared" si="57"/>
        <v>1.7421889107934829</v>
      </c>
      <c r="S731" s="268">
        <f>'Dry_Litterbag Placem_Collection'!E72</f>
        <v>42937</v>
      </c>
      <c r="T731" s="268">
        <f>IF('Dry_Litterbag Placem_Collection'!G72="","",'Dry_Litterbag Placem_Collection'!G72)</f>
        <v>43006</v>
      </c>
      <c r="U731" s="269">
        <f t="shared" si="55"/>
        <v>69</v>
      </c>
      <c r="V731" s="267">
        <f t="shared" si="58"/>
        <v>0.14450000000000029</v>
      </c>
      <c r="W731" s="267">
        <f t="shared" si="59"/>
        <v>0.17133153051988304</v>
      </c>
      <c r="X731" s="271">
        <f>IFERROR(INDEX(Rainfall_Dry!$O$2:$O$217,MATCH(B731, Rainfall_Dry!$A$2:$A$217,0)),"")</f>
        <v>6.900000125</v>
      </c>
      <c r="Y731" s="260">
        <v>47.96</v>
      </c>
      <c r="Z731" s="260">
        <v>22.919999999999995</v>
      </c>
      <c r="AA731" s="260">
        <v>29.120000000000012</v>
      </c>
      <c r="AB731" s="261" t="s">
        <v>2673</v>
      </c>
      <c r="AC731" s="260">
        <v>7.8831936914736298</v>
      </c>
      <c r="AD731">
        <f>IF('WetLitterbags placem_collection'!AB72="","",'WetLitterbags placem_collection'!AB72)</f>
        <v>15</v>
      </c>
      <c r="AE731">
        <f>IF('WetLitterbags placem_collection'!Z72="","",'WetLitterbags placem_collection'!Z72)</f>
        <v>28</v>
      </c>
      <c r="AF731" s="24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71">
        <f>IFERROR(AVERAGE('Dry_Litterbag Placem_Collection'!N72,'Dry_Litterbag Placem_Collection'!Q72),"")</f>
        <v>27.200000000000003</v>
      </c>
      <c r="AJ731" s="270">
        <f>INDEX(Coordinates!$B$2:$B$197,MATCH(G731,Coordinates!$J$2:$J$197,0))</f>
        <v>-3.299381034</v>
      </c>
      <c r="AK731" s="270">
        <f>INDEX(Coordinates!$C$2:$C$197,MATCH(G731,Coordinates!$J$2:$J$197,0))</f>
        <v>34.848312040000003</v>
      </c>
      <c r="AL731" s="270" t="str">
        <f>IF(ISNUMBER(SEARCH("C", 'Dry_Litterbag Placem_Collection'!V72)),"YES","NO")</f>
        <v>NO</v>
      </c>
      <c r="AM731" s="270" t="str">
        <f>IF(ISNUMBER(SEARCH("H", 'Dry_Litterbag Placem_Collection'!V72)),"YES","NO")</f>
        <v>NO</v>
      </c>
      <c r="AN731" s="270" t="str">
        <f>IF(ISNUMBER(SEARCH("R", 'Dry_Litterbag Placem_Collection'!V72)),"YES","NO")</f>
        <v>NO</v>
      </c>
    </row>
    <row r="732" spans="1:40" ht="15" customHeight="1">
      <c r="A732" s="262" t="s">
        <v>2659</v>
      </c>
      <c r="B732" s="263">
        <f>'Dry_Litterbag Placem_Collection'!A73</f>
        <v>71</v>
      </c>
      <c r="C732" s="263" t="str">
        <f>'Dry_Litterbag Placem_Collection'!B73</f>
        <v>Maswa</v>
      </c>
      <c r="D732" s="263" t="s">
        <v>2659</v>
      </c>
      <c r="E732" s="263" t="s">
        <v>2661</v>
      </c>
      <c r="F732" s="263">
        <v>1</v>
      </c>
      <c r="G732" s="264" t="str">
        <f>'Dry_Litterbag Placem_Collection'!C73</f>
        <v>Dry_W1_T7</v>
      </c>
      <c r="H732" s="273" t="s">
        <v>3651</v>
      </c>
      <c r="I732" s="274" t="s">
        <v>298</v>
      </c>
      <c r="J732" s="263" t="str">
        <f>IF(ISBLANK('Dry_Litterbag Placem_Collection'!M73),"","R"&amp;""&amp;'Dry_Litterbag Placem_Collection'!M73)</f>
        <v>R203</v>
      </c>
      <c r="K732" s="267">
        <f>IFERROR(INDEX('Green_rooibos initial weight'!$C$5:$C$1749,MATCH(J732, 'Green_rooibos initial weight'!$A$5:$A$1749,0)),"")</f>
        <v>2.2839999999999998</v>
      </c>
      <c r="L732" s="267">
        <f>IFERROR(K732-(TBIcalc!$Q$9+TBIcalc!$Q$10),"")</f>
        <v>2.0341999999999998</v>
      </c>
      <c r="M732" s="391">
        <f>AVERAGE(Ashed_controlls!$K$12:$K$14)</f>
        <v>2.2816647271287041</v>
      </c>
      <c r="N732" s="267">
        <f t="shared" si="56"/>
        <v>1.9877863761207477</v>
      </c>
      <c r="O732" s="267">
        <f>IF(IFERROR(INDEX('Both teabags AfterDry'!$D$3:$D$900,MATCH(J732,'Both teabags AfterDry'!$A$3:$A$900,0)),"")="","",(IFERROR(INDEX('Both teabags AfterDry'!$D$3:$D$900,MATCH(J732,'Both teabags AfterDry'!$A$3:$A$900,0)),"")))</f>
        <v>2.0466000000000002</v>
      </c>
      <c r="P732" s="267">
        <f>IFERROR(IF(O732&gt;0,O732-(TBIcalc!$Q$9),""),"")</f>
        <v>1.8960000000000001</v>
      </c>
      <c r="Q732" s="278">
        <f>IFERROR(INDEX('Ashed teabags dry'!$K$2:$K$825,MATCH(J732,'Ashed teabags dry'!$A$2:$A$825,0)),"")</f>
        <v>3.3625730994153482</v>
      </c>
      <c r="R732" s="278">
        <f t="shared" si="57"/>
        <v>1.8322456140350851</v>
      </c>
      <c r="S732" s="268">
        <f>'Dry_Litterbag Placem_Collection'!E73</f>
        <v>42937</v>
      </c>
      <c r="T732" s="268">
        <f>IF('Dry_Litterbag Placem_Collection'!G73="","",'Dry_Litterbag Placem_Collection'!G73)</f>
        <v>43006</v>
      </c>
      <c r="U732" s="269">
        <f t="shared" si="55"/>
        <v>69</v>
      </c>
      <c r="V732" s="267">
        <f t="shared" si="58"/>
        <v>0.13819999999999966</v>
      </c>
      <c r="W732" s="267">
        <f t="shared" si="59"/>
        <v>0.15554076208566259</v>
      </c>
      <c r="X732" s="271">
        <f>IFERROR(INDEX(Rainfall_Dry!$O$2:$O$217,MATCH(B732, Rainfall_Dry!$A$2:$A$217,0)),"")</f>
        <v>6.900000125</v>
      </c>
      <c r="Y732" s="260">
        <v>47.96</v>
      </c>
      <c r="Z732" s="260">
        <v>22.919999999999995</v>
      </c>
      <c r="AA732" s="260">
        <v>29.120000000000012</v>
      </c>
      <c r="AB732" s="261" t="s">
        <v>2673</v>
      </c>
      <c r="AC732" s="260">
        <v>8.8831936914736307</v>
      </c>
      <c r="AD732">
        <f>IF('WetLitterbags placem_collection'!AB73="","",'WetLitterbags placem_collection'!AB73)</f>
        <v>15.5</v>
      </c>
      <c r="AE732">
        <f>IF('WetLitterbags placem_collection'!Z73="","",'WetLitterbags placem_collection'!Z73)</f>
        <v>32</v>
      </c>
      <c r="AF732" s="24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71">
        <f>IFERROR(AVERAGE('Dry_Litterbag Placem_Collection'!N73,'Dry_Litterbag Placem_Collection'!Q73),"")</f>
        <v>27.6</v>
      </c>
      <c r="AJ732" s="270">
        <f>INDEX(Coordinates!$B$2:$B$197,MATCH(G732,Coordinates!$J$2:$J$197,0))</f>
        <v>-3.2992429849999998</v>
      </c>
      <c r="AK732" s="270">
        <f>INDEX(Coordinates!$C$2:$C$197,MATCH(G732,Coordinates!$J$2:$J$197,0))</f>
        <v>34.847900989999999</v>
      </c>
      <c r="AL732" s="270" t="str">
        <f>IF(ISNUMBER(SEARCH("C", 'Dry_Litterbag Placem_Collection'!V73)),"YES","NO")</f>
        <v>NO</v>
      </c>
      <c r="AM732" s="270" t="str">
        <f>IF(ISNUMBER(SEARCH("H", 'Dry_Litterbag Placem_Collection'!V73)),"YES","NO")</f>
        <v>NO</v>
      </c>
      <c r="AN732" s="270" t="str">
        <f>IF(ISNUMBER(SEARCH("R", 'Dry_Litterbag Placem_Collection'!V73)),"YES","NO")</f>
        <v>NO</v>
      </c>
    </row>
    <row r="733" spans="1:40" ht="15" customHeight="1">
      <c r="A733" s="262" t="s">
        <v>2659</v>
      </c>
      <c r="B733" s="263">
        <f>'Dry_Litterbag Placem_Collection'!A74</f>
        <v>72</v>
      </c>
      <c r="C733" s="263" t="str">
        <f>'Dry_Litterbag Placem_Collection'!B74</f>
        <v>Maswa</v>
      </c>
      <c r="D733" s="263" t="s">
        <v>2659</v>
      </c>
      <c r="E733" s="263" t="s">
        <v>2661</v>
      </c>
      <c r="F733" s="263">
        <v>1</v>
      </c>
      <c r="G733" s="264" t="str">
        <f>'Dry_Litterbag Placem_Collection'!C74</f>
        <v>Dry_W1_T8</v>
      </c>
      <c r="H733" s="273" t="s">
        <v>3651</v>
      </c>
      <c r="I733" s="274" t="s">
        <v>298</v>
      </c>
      <c r="J733" s="263" t="str">
        <f>IF(ISBLANK('Dry_Litterbag Placem_Collection'!M74),"","R"&amp;""&amp;'Dry_Litterbag Placem_Collection'!M74)</f>
        <v>R191</v>
      </c>
      <c r="K733" s="267">
        <f>IFERROR(INDEX('Green_rooibos initial weight'!$C$5:$C$1749,MATCH(J733, 'Green_rooibos initial weight'!$A$5:$A$1749,0)),"")</f>
        <v>2.1789999999999998</v>
      </c>
      <c r="L733" s="267">
        <f>IFERROR(K733-(TBIcalc!$Q$9+TBIcalc!$Q$10),"")</f>
        <v>1.9291999999999998</v>
      </c>
      <c r="M733" s="391">
        <f>AVERAGE(Ashed_controlls!$K$12:$K$14)</f>
        <v>2.2816647271287041</v>
      </c>
      <c r="N733" s="267">
        <f t="shared" si="56"/>
        <v>1.8851821240842328</v>
      </c>
      <c r="O733" s="267">
        <f>IF(IFERROR(INDEX('Both teabags AfterDry'!$D$3:$D$900,MATCH(J733,'Both teabags AfterDry'!$A$3:$A$900,0)),"")="","",(IFERROR(INDEX('Both teabags AfterDry'!$D$3:$D$900,MATCH(J733,'Both teabags AfterDry'!$A$3:$A$900,0)),"")))</f>
        <v>1.9675</v>
      </c>
      <c r="P733" s="267">
        <f>IFERROR(IF(O733&gt;0,O733-(TBIcalc!$Q$9),""),"")</f>
        <v>1.8169</v>
      </c>
      <c r="Q733" s="278">
        <f>IFERROR(INDEX('Ashed teabags dry'!$K$2:$K$825,MATCH(J733,'Ashed teabags dry'!$A$2:$A$825,0)),"")</f>
        <v>1.8121125417263937</v>
      </c>
      <c r="R733" s="278">
        <f t="shared" si="57"/>
        <v>1.783975727229373</v>
      </c>
      <c r="S733" s="268">
        <f>'Dry_Litterbag Placem_Collection'!E74</f>
        <v>42937</v>
      </c>
      <c r="T733" s="268">
        <f>IF('Dry_Litterbag Placem_Collection'!G74="","",'Dry_Litterbag Placem_Collection'!G74)</f>
        <v>43006</v>
      </c>
      <c r="U733" s="269">
        <f t="shared" si="55"/>
        <v>69</v>
      </c>
      <c r="V733" s="267">
        <f t="shared" si="58"/>
        <v>0.11229999999999984</v>
      </c>
      <c r="W733" s="267">
        <f t="shared" si="59"/>
        <v>0.10120639685485977</v>
      </c>
      <c r="X733" s="271">
        <f>IFERROR(INDEX(Rainfall_Dry!$O$2:$O$217,MATCH(B733, Rainfall_Dry!$A$2:$A$217,0)),"")</f>
        <v>6.900000125</v>
      </c>
      <c r="Y733" s="260">
        <v>47.96</v>
      </c>
      <c r="Z733" s="260">
        <v>22.919999999999995</v>
      </c>
      <c r="AA733" s="260">
        <v>29.120000000000012</v>
      </c>
      <c r="AB733" s="261" t="s">
        <v>2673</v>
      </c>
      <c r="AC733" s="260">
        <v>9.8831936914736307</v>
      </c>
      <c r="AD733">
        <f>IF('WetLitterbags placem_collection'!AB74="","",'WetLitterbags placem_collection'!AB74)</f>
        <v>2.6</v>
      </c>
      <c r="AE733">
        <f>IF('WetLitterbags placem_collection'!Z74="","",'WetLitterbags placem_collection'!Z74)</f>
        <v>44</v>
      </c>
      <c r="AF733" s="24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71">
        <f>IFERROR(AVERAGE('Dry_Litterbag Placem_Collection'!N74,'Dry_Litterbag Placem_Collection'!Q74),"")</f>
        <v>26.35</v>
      </c>
      <c r="AJ733" s="270">
        <f>INDEX(Coordinates!$B$2:$B$197,MATCH(G733,Coordinates!$J$2:$J$197,0))</f>
        <v>-3.2996540329999999</v>
      </c>
      <c r="AK733" s="270">
        <f>INDEX(Coordinates!$C$2:$C$197,MATCH(G733,Coordinates!$J$2:$J$197,0))</f>
        <v>34.848151020000003</v>
      </c>
      <c r="AL733" s="270" t="str">
        <f>IF(ISNUMBER(SEARCH("C", 'Dry_Litterbag Placem_Collection'!V74)),"YES","NO")</f>
        <v>NO</v>
      </c>
      <c r="AM733" s="270" t="str">
        <f>IF(ISNUMBER(SEARCH("H", 'Dry_Litterbag Placem_Collection'!V74)),"YES","NO")</f>
        <v>NO</v>
      </c>
      <c r="AN733" s="270" t="str">
        <f>IF(ISNUMBER(SEARCH("R", 'Dry_Litterbag Placem_Collection'!V74)),"YES","NO")</f>
        <v>NO</v>
      </c>
    </row>
    <row r="734" spans="1:40" ht="15" customHeight="1">
      <c r="A734" s="262" t="s">
        <v>2659</v>
      </c>
      <c r="B734" s="263">
        <f>'Dry_Litterbag Placem_Collection'!A75</f>
        <v>73</v>
      </c>
      <c r="C734" s="263" t="str">
        <f>'Dry_Litterbag Placem_Collection'!B75</f>
        <v>Maswa</v>
      </c>
      <c r="D734" s="263" t="s">
        <v>2659</v>
      </c>
      <c r="E734" s="263" t="s">
        <v>2661</v>
      </c>
      <c r="F734" s="263">
        <v>2</v>
      </c>
      <c r="G734" s="264" t="str">
        <f>'Dry_Litterbag Placem_Collection'!C75</f>
        <v>Dry_W2_T1</v>
      </c>
      <c r="H734" s="273" t="s">
        <v>3651</v>
      </c>
      <c r="I734" s="274" t="s">
        <v>298</v>
      </c>
      <c r="J734" s="263" t="str">
        <f>IF(ISBLANK('Dry_Litterbag Placem_Collection'!M75),"","R"&amp;""&amp;'Dry_Litterbag Placem_Collection'!M75)</f>
        <v>R160</v>
      </c>
      <c r="K734" s="267">
        <f>IFERROR(INDEX('Green_rooibos initial weight'!$C$5:$C$1749,MATCH(J734, 'Green_rooibos initial weight'!$A$5:$A$1749,0)),"")</f>
        <v>2.1880000000000002</v>
      </c>
      <c r="L734" s="267">
        <f>IFERROR(K734-(TBIcalc!$Q$9+TBIcalc!$Q$10),"")</f>
        <v>1.9382000000000001</v>
      </c>
      <c r="M734" s="391">
        <f>AVERAGE(Ashed_controlls!$K$12:$K$14)</f>
        <v>2.2816647271287041</v>
      </c>
      <c r="N734" s="267">
        <f t="shared" si="56"/>
        <v>1.8939767742587916</v>
      </c>
      <c r="O734" s="267" t="str">
        <f>IF(IFERROR(INDEX('Both teabags AfterDry'!$D$3:$D$900,MATCH(J734,'Both teabags AfterDry'!$A$3:$A$900,0)),"")="","",(IFERROR(INDEX('Both teabags AfterDry'!$D$3:$D$900,MATCH(J734,'Both teabags AfterDry'!$A$3:$A$900,0)),"")))</f>
        <v/>
      </c>
      <c r="P734" s="267" t="str">
        <f>IFERROR(IF(O734&gt;0,O734-(TBIcalc!$Q$9),""),"")</f>
        <v/>
      </c>
      <c r="Q734" s="278" t="str">
        <f>IFERROR(INDEX('Ashed teabags dry'!$K$2:$K$825,MATCH(J734,'Ashed teabags dry'!$A$2:$A$825,0)),"")</f>
        <v/>
      </c>
      <c r="R734" s="278" t="str">
        <f t="shared" si="57"/>
        <v/>
      </c>
      <c r="S734" s="268">
        <f>'Dry_Litterbag Placem_Collection'!E75</f>
        <v>42937</v>
      </c>
      <c r="T734" s="268">
        <f>IF('Dry_Litterbag Placem_Collection'!G75="","",'Dry_Litterbag Placem_Collection'!G75)</f>
        <v>43006</v>
      </c>
      <c r="U734" s="269">
        <f t="shared" si="55"/>
        <v>69</v>
      </c>
      <c r="V734" s="267" t="str">
        <f t="shared" si="58"/>
        <v/>
      </c>
      <c r="W734" s="267" t="str">
        <f t="shared" si="59"/>
        <v/>
      </c>
      <c r="X734" s="271">
        <f>IFERROR(INDEX(Rainfall_Dry!$O$2:$O$217,MATCH(B734, Rainfall_Dry!$A$2:$A$217,0)),"")</f>
        <v>6.900000125</v>
      </c>
      <c r="Y734" s="260">
        <v>45.272914521112256</v>
      </c>
      <c r="Z734" s="260">
        <v>23.604531410916575</v>
      </c>
      <c r="AA734" s="260">
        <v>31.122554067971166</v>
      </c>
      <c r="AB734" s="261" t="s">
        <v>2673</v>
      </c>
      <c r="AC734" s="260">
        <v>2.0547560374568752</v>
      </c>
      <c r="AD734">
        <f>IF('WetLitterbags placem_collection'!AB75="","",'WetLitterbags placem_collection'!AB75)</f>
        <v>9.1</v>
      </c>
      <c r="AE734">
        <f>IF('WetLitterbags placem_collection'!Z75="","",'WetLitterbags placem_collection'!Z75)</f>
        <v>10</v>
      </c>
      <c r="AF734" s="24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71">
        <f>IFERROR(AVERAGE('Dry_Litterbag Placem_Collection'!N75,'Dry_Litterbag Placem_Collection'!Q75),"")</f>
        <v>28.35</v>
      </c>
      <c r="AJ734" s="270">
        <f>INDEX(Coordinates!$B$2:$B$197,MATCH(G734,Coordinates!$J$2:$J$197,0))</f>
        <v>-3.3025860229999999</v>
      </c>
      <c r="AK734" s="270">
        <f>INDEX(Coordinates!$C$2:$C$197,MATCH(G734,Coordinates!$J$2:$J$197,0))</f>
        <v>34.848048009999999</v>
      </c>
      <c r="AL734" s="270" t="str">
        <f>IF(ISNUMBER(SEARCH("C", 'Dry_Litterbag Placem_Collection'!V75)),"YES","NO")</f>
        <v>NO</v>
      </c>
      <c r="AM734" s="270" t="str">
        <f>IF(ISNUMBER(SEARCH("H", 'Dry_Litterbag Placem_Collection'!V75)),"YES","NO")</f>
        <v>NO</v>
      </c>
      <c r="AN734" s="270" t="str">
        <f>IF(ISNUMBER(SEARCH("R", 'Dry_Litterbag Placem_Collection'!V75)),"YES","NO")</f>
        <v>NO</v>
      </c>
    </row>
    <row r="735" spans="1:40" ht="15" customHeight="1">
      <c r="A735" s="262" t="s">
        <v>2659</v>
      </c>
      <c r="B735" s="263">
        <f>'Dry_Litterbag Placem_Collection'!A76</f>
        <v>74</v>
      </c>
      <c r="C735" s="263" t="str">
        <f>'Dry_Litterbag Placem_Collection'!B76</f>
        <v>Maswa</v>
      </c>
      <c r="D735" s="263" t="s">
        <v>2659</v>
      </c>
      <c r="E735" s="263" t="s">
        <v>2661</v>
      </c>
      <c r="F735" s="263">
        <v>2</v>
      </c>
      <c r="G735" s="264" t="str">
        <f>'Dry_Litterbag Placem_Collection'!C76</f>
        <v>Dry_W2_T2</v>
      </c>
      <c r="H735" s="273" t="s">
        <v>3651</v>
      </c>
      <c r="I735" s="274" t="s">
        <v>298</v>
      </c>
      <c r="J735" s="263" t="str">
        <f>IF(ISBLANK('Dry_Litterbag Placem_Collection'!M76),"","R"&amp;""&amp;'Dry_Litterbag Placem_Collection'!M76)</f>
        <v>R275</v>
      </c>
      <c r="K735" s="267">
        <f>IFERROR(INDEX('Green_rooibos initial weight'!$C$5:$C$1749,MATCH(J735, 'Green_rooibos initial weight'!$A$5:$A$1749,0)),"")</f>
        <v>0.22900000000000001</v>
      </c>
      <c r="L735" s="267">
        <f>IFERROR(K735-(TBIcalc!$Q$9+TBIcalc!$Q$10),"")</f>
        <v>-2.0800000000000013E-2</v>
      </c>
      <c r="M735" s="391">
        <f>AVERAGE(Ashed_controlls!$K$12:$K$14)</f>
        <v>2.2816647271287041</v>
      </c>
      <c r="N735" s="267">
        <f t="shared" si="56"/>
        <v>-2.0325413736757243E-2</v>
      </c>
      <c r="O735" s="267">
        <f>IF(IFERROR(INDEX('Both teabags AfterDry'!$D$3:$D$900,MATCH(J735,'Both teabags AfterDry'!$A$3:$A$900,0)),"")="","",(IFERROR(INDEX('Both teabags AfterDry'!$D$3:$D$900,MATCH(J735,'Both teabags AfterDry'!$A$3:$A$900,0)),"")))</f>
        <v>1.9981</v>
      </c>
      <c r="P735" s="267">
        <f>IFERROR(IF(O735&gt;0,O735-(TBIcalc!$Q$9),""),"")</f>
        <v>1.8474999999999999</v>
      </c>
      <c r="Q735" s="278">
        <f>IFERROR(INDEX('Ashed teabags dry'!$K$2:$K$825,MATCH(J735,'Ashed teabags dry'!$A$2:$A$825,0)),"")</f>
        <v>2.3587223587229587</v>
      </c>
      <c r="R735" s="278">
        <f t="shared" si="57"/>
        <v>1.8039226044225933</v>
      </c>
      <c r="S735" s="268">
        <f>'Dry_Litterbag Placem_Collection'!E76</f>
        <v>42937</v>
      </c>
      <c r="T735" s="268">
        <f>IF('Dry_Litterbag Placem_Collection'!G76="","",'Dry_Litterbag Placem_Collection'!G76)</f>
        <v>43006</v>
      </c>
      <c r="U735" s="269">
        <f t="shared" si="55"/>
        <v>69</v>
      </c>
      <c r="V735" s="267">
        <f t="shared" si="58"/>
        <v>-1.8682999999999998</v>
      </c>
      <c r="W735" s="267">
        <f t="shared" si="59"/>
        <v>-1.8242480181593506</v>
      </c>
      <c r="X735" s="271">
        <f>IFERROR(INDEX(Rainfall_Dry!$O$2:$O$217,MATCH(B735, Rainfall_Dry!$A$2:$A$217,0)),"")</f>
        <v>6.900000125</v>
      </c>
      <c r="Y735" s="260">
        <v>45.272914521112256</v>
      </c>
      <c r="Z735" s="260">
        <v>23.604531410916575</v>
      </c>
      <c r="AA735" s="260">
        <v>31.122554067971166</v>
      </c>
      <c r="AB735" s="261" t="s">
        <v>2673</v>
      </c>
      <c r="AC735" s="260">
        <v>3.0547560374568801</v>
      </c>
      <c r="AD735">
        <f>IF('WetLitterbags placem_collection'!AB76="","",'WetLitterbags placem_collection'!AB76)</f>
        <v>7.7</v>
      </c>
      <c r="AE735">
        <f>IF('WetLitterbags placem_collection'!Z76="","",'WetLitterbags placem_collection'!Z76)</f>
        <v>9.4</v>
      </c>
      <c r="AF735" s="24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71">
        <f>IFERROR(AVERAGE('Dry_Litterbag Placem_Collection'!N76,'Dry_Litterbag Placem_Collection'!Q76),"")</f>
        <v>28.1</v>
      </c>
      <c r="AJ735" s="270">
        <f>INDEX(Coordinates!$B$2:$B$197,MATCH(G735,Coordinates!$J$2:$J$197,0))</f>
        <v>-3.3025779759999998</v>
      </c>
      <c r="AK735" s="270">
        <f>INDEX(Coordinates!$C$2:$C$197,MATCH(G735,Coordinates!$J$2:$J$197,0))</f>
        <v>34.848041969999997</v>
      </c>
      <c r="AL735" s="270" t="str">
        <f>IF(ISNUMBER(SEARCH("C", 'Dry_Litterbag Placem_Collection'!V76)),"YES","NO")</f>
        <v>NO</v>
      </c>
      <c r="AM735" s="270" t="str">
        <f>IF(ISNUMBER(SEARCH("H", 'Dry_Litterbag Placem_Collection'!V76)),"YES","NO")</f>
        <v>NO</v>
      </c>
      <c r="AN735" s="270" t="str">
        <f>IF(ISNUMBER(SEARCH("R", 'Dry_Litterbag Placem_Collection'!V76)),"YES","NO")</f>
        <v>NO</v>
      </c>
    </row>
    <row r="736" spans="1:40" ht="15" customHeight="1">
      <c r="A736" s="262" t="s">
        <v>2659</v>
      </c>
      <c r="B736" s="263">
        <f>'Dry_Litterbag Placem_Collection'!A77</f>
        <v>75</v>
      </c>
      <c r="C736" s="263" t="str">
        <f>'Dry_Litterbag Placem_Collection'!B77</f>
        <v>Maswa</v>
      </c>
      <c r="D736" s="263" t="s">
        <v>2659</v>
      </c>
      <c r="E736" s="263" t="s">
        <v>2661</v>
      </c>
      <c r="F736" s="263">
        <v>2</v>
      </c>
      <c r="G736" s="264" t="str">
        <f>'Dry_Litterbag Placem_Collection'!C77</f>
        <v>Dry_W2_T3</v>
      </c>
      <c r="H736" s="273" t="s">
        <v>3651</v>
      </c>
      <c r="I736" s="274" t="s">
        <v>298</v>
      </c>
      <c r="J736" s="263" t="str">
        <f>IF(ISBLANK('Dry_Litterbag Placem_Collection'!M77),"","R"&amp;""&amp;'Dry_Litterbag Placem_Collection'!M77)</f>
        <v>R657</v>
      </c>
      <c r="K736" s="267">
        <f>IFERROR(INDEX('Green_rooibos initial weight'!$C$5:$C$1749,MATCH(J736, 'Green_rooibos initial weight'!$A$5:$A$1749,0)),"")</f>
        <v>2.2509999999999999</v>
      </c>
      <c r="L736" s="267">
        <f>IFERROR(K736-(TBIcalc!$Q$9+TBIcalc!$Q$10),"")</f>
        <v>2.0011999999999999</v>
      </c>
      <c r="M736" s="391">
        <f>AVERAGE(Ashed_controlls!$K$12:$K$14)</f>
        <v>2.2816647271287041</v>
      </c>
      <c r="N736" s="267">
        <f t="shared" si="56"/>
        <v>1.9555393254807003</v>
      </c>
      <c r="O736" s="267">
        <f>IF(IFERROR(INDEX('Both teabags AfterDry'!$D$3:$D$900,MATCH(J736,'Both teabags AfterDry'!$A$3:$A$900,0)),"")="","",(IFERROR(INDEX('Both teabags AfterDry'!$D$3:$D$900,MATCH(J736,'Both teabags AfterDry'!$A$3:$A$900,0)),"")))</f>
        <v>2.0581999999999998</v>
      </c>
      <c r="P736" s="267">
        <f>IFERROR(IF(O736&gt;0,O736-(TBIcalc!$Q$9),""),"")</f>
        <v>1.9075999999999997</v>
      </c>
      <c r="Q736" s="278">
        <f>IFERROR(INDEX('Ashed teabags dry'!$K$2:$K$825,MATCH(J736,'Ashed teabags dry'!$A$2:$A$825,0)),"")</f>
        <v>2.5461807289067337</v>
      </c>
      <c r="R736" s="278">
        <f t="shared" si="57"/>
        <v>1.8590290564153749</v>
      </c>
      <c r="S736" s="268">
        <f>'Dry_Litterbag Placem_Collection'!E77</f>
        <v>42937</v>
      </c>
      <c r="T736" s="268">
        <f>IF('Dry_Litterbag Placem_Collection'!G77="","",'Dry_Litterbag Placem_Collection'!G77)</f>
        <v>43006</v>
      </c>
      <c r="U736" s="269">
        <f t="shared" si="55"/>
        <v>69</v>
      </c>
      <c r="V736" s="267">
        <f t="shared" si="58"/>
        <v>9.3600000000000128E-2</v>
      </c>
      <c r="W736" s="267">
        <f t="shared" si="59"/>
        <v>9.6510269065325449E-2</v>
      </c>
      <c r="X736" s="271">
        <f>IFERROR(INDEX(Rainfall_Dry!$O$2:$O$217,MATCH(B736, Rainfall_Dry!$A$2:$A$217,0)),"")</f>
        <v>6.900000125</v>
      </c>
      <c r="Y736" s="260">
        <v>45.272914521112256</v>
      </c>
      <c r="Z736" s="260">
        <v>23.604531410916575</v>
      </c>
      <c r="AA736" s="260">
        <v>31.122554067971166</v>
      </c>
      <c r="AB736" s="261" t="s">
        <v>2673</v>
      </c>
      <c r="AC736" s="260">
        <v>4.0547560374568796</v>
      </c>
      <c r="AD736">
        <f>IF('WetLitterbags placem_collection'!AB77="","",'WetLitterbags placem_collection'!AB77)</f>
        <v>6.1</v>
      </c>
      <c r="AE736">
        <f>IF('WetLitterbags placem_collection'!Z77="","",'WetLitterbags placem_collection'!Z77)</f>
        <v>13.8</v>
      </c>
      <c r="AF736" s="24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71">
        <f>IFERROR(AVERAGE('Dry_Litterbag Placem_Collection'!N77,'Dry_Litterbag Placem_Collection'!Q77),"")</f>
        <v>27.200000000000003</v>
      </c>
      <c r="AJ736" s="270">
        <f>INDEX(Coordinates!$B$2:$B$197,MATCH(G736,Coordinates!$J$2:$J$197,0))</f>
        <v>-3.302687025</v>
      </c>
      <c r="AK736" s="270">
        <f>INDEX(Coordinates!$C$2:$C$197,MATCH(G736,Coordinates!$J$2:$J$197,0))</f>
        <v>34.847926970000003</v>
      </c>
      <c r="AL736" s="270" t="str">
        <f>IF(ISNUMBER(SEARCH("C", 'Dry_Litterbag Placem_Collection'!V77)),"YES","NO")</f>
        <v>NO</v>
      </c>
      <c r="AM736" s="270" t="str">
        <f>IF(ISNUMBER(SEARCH("H", 'Dry_Litterbag Placem_Collection'!V77)),"YES","NO")</f>
        <v>NO</v>
      </c>
      <c r="AN736" s="270" t="str">
        <f>IF(ISNUMBER(SEARCH("R", 'Dry_Litterbag Placem_Collection'!V77)),"YES","NO")</f>
        <v>NO</v>
      </c>
    </row>
    <row r="737" spans="1:40" ht="15" customHeight="1">
      <c r="A737" s="262" t="s">
        <v>2659</v>
      </c>
      <c r="B737" s="263">
        <f>'Dry_Litterbag Placem_Collection'!A78</f>
        <v>76</v>
      </c>
      <c r="C737" s="263" t="str">
        <f>'Dry_Litterbag Placem_Collection'!B78</f>
        <v>Maswa</v>
      </c>
      <c r="D737" s="263" t="s">
        <v>2659</v>
      </c>
      <c r="E737" s="263" t="s">
        <v>2661</v>
      </c>
      <c r="F737" s="263">
        <v>2</v>
      </c>
      <c r="G737" s="264" t="str">
        <f>'Dry_Litterbag Placem_Collection'!C78</f>
        <v>Dry_W2_T4</v>
      </c>
      <c r="H737" s="273" t="s">
        <v>3651</v>
      </c>
      <c r="I737" s="274" t="s">
        <v>298</v>
      </c>
      <c r="J737" s="263" t="str">
        <f>IF(ISBLANK('Dry_Litterbag Placem_Collection'!M78),"","R"&amp;""&amp;'Dry_Litterbag Placem_Collection'!M78)</f>
        <v>R306</v>
      </c>
      <c r="K737" s="267">
        <f>IFERROR(INDEX('Green_rooibos initial weight'!$C$5:$C$1749,MATCH(J737, 'Green_rooibos initial weight'!$A$5:$A$1749,0)),"")</f>
        <v>2.2440000000000002</v>
      </c>
      <c r="L737" s="267">
        <f>IFERROR(K737-(TBIcalc!$Q$9+TBIcalc!$Q$10),"")</f>
        <v>1.9942000000000002</v>
      </c>
      <c r="M737" s="391">
        <f>AVERAGE(Ashed_controlls!$K$12:$K$14)</f>
        <v>2.2816647271287041</v>
      </c>
      <c r="N737" s="267">
        <f t="shared" si="56"/>
        <v>1.9486990420115995</v>
      </c>
      <c r="O737" s="267">
        <f>IF(IFERROR(INDEX('Both teabags AfterDry'!$D$3:$D$900,MATCH(J737,'Both teabags AfterDry'!$A$3:$A$900,0)),"")="","",(IFERROR(INDEX('Both teabags AfterDry'!$D$3:$D$900,MATCH(J737,'Both teabags AfterDry'!$A$3:$A$900,0)),"")))</f>
        <v>2.0337999999999998</v>
      </c>
      <c r="P737" s="267">
        <f>IFERROR(IF(O737&gt;0,O737-(TBIcalc!$Q$9),""),"")</f>
        <v>1.8831999999999998</v>
      </c>
      <c r="Q737" s="278">
        <f>IFERROR(INDEX('Ashed teabags dry'!$K$2:$K$825,MATCH(J737,'Ashed teabags dry'!$A$2:$A$825,0)),"")</f>
        <v>3.2818532818523578</v>
      </c>
      <c r="R737" s="278">
        <f t="shared" si="57"/>
        <v>1.8213961389961562</v>
      </c>
      <c r="S737" s="268">
        <f>'Dry_Litterbag Placem_Collection'!E78</f>
        <v>42937</v>
      </c>
      <c r="T737" s="268">
        <f>IF('Dry_Litterbag Placem_Collection'!G78="","",'Dry_Litterbag Placem_Collection'!G78)</f>
        <v>43006</v>
      </c>
      <c r="U737" s="269">
        <f t="shared" si="55"/>
        <v>69</v>
      </c>
      <c r="V737" s="267">
        <f t="shared" si="58"/>
        <v>0.11100000000000043</v>
      </c>
      <c r="W737" s="267">
        <f t="shared" si="59"/>
        <v>0.12730290301544334</v>
      </c>
      <c r="X737" s="271">
        <f>IFERROR(INDEX(Rainfall_Dry!$O$2:$O$217,MATCH(B737, Rainfall_Dry!$A$2:$A$217,0)),"")</f>
        <v>6.900000125</v>
      </c>
      <c r="Y737" s="260">
        <v>45.272914521112256</v>
      </c>
      <c r="Z737" s="260">
        <v>23.604531410916575</v>
      </c>
      <c r="AA737" s="260">
        <v>31.122554067971166</v>
      </c>
      <c r="AB737" s="261" t="s">
        <v>2673</v>
      </c>
      <c r="AC737" s="260">
        <v>5.0547560374568796</v>
      </c>
      <c r="AD737">
        <f>IF('WetLitterbags placem_collection'!AB78="","",'WetLitterbags placem_collection'!AB78)</f>
        <v>6.7</v>
      </c>
      <c r="AE737">
        <f>IF('WetLitterbags placem_collection'!Z78="","",'WetLitterbags placem_collection'!Z78)</f>
        <v>19.3</v>
      </c>
      <c r="AF737" s="24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71">
        <f>IFERROR(AVERAGE('Dry_Litterbag Placem_Collection'!N78,'Dry_Litterbag Placem_Collection'!Q78),"")</f>
        <v>27.75</v>
      </c>
      <c r="AJ737" s="270">
        <f>INDEX(Coordinates!$B$2:$B$197,MATCH(G737,Coordinates!$J$2:$J$197,0))</f>
        <v>-3.3024560190000001</v>
      </c>
      <c r="AK737" s="270">
        <f>INDEX(Coordinates!$C$2:$C$197,MATCH(G737,Coordinates!$J$2:$J$197,0))</f>
        <v>34.847871990000002</v>
      </c>
      <c r="AL737" s="270" t="str">
        <f>IF(ISNUMBER(SEARCH("C", 'Dry_Litterbag Placem_Collection'!V78)),"YES","NO")</f>
        <v>NO</v>
      </c>
      <c r="AM737" s="270" t="str">
        <f>IF(ISNUMBER(SEARCH("H", 'Dry_Litterbag Placem_Collection'!V78)),"YES","NO")</f>
        <v>NO</v>
      </c>
      <c r="AN737" s="270" t="str">
        <f>IF(ISNUMBER(SEARCH("R", 'Dry_Litterbag Placem_Collection'!V78)),"YES","NO")</f>
        <v>NO</v>
      </c>
    </row>
    <row r="738" spans="1:40" ht="15" customHeight="1">
      <c r="A738" s="262" t="s">
        <v>2659</v>
      </c>
      <c r="B738" s="263">
        <f>'Dry_Litterbag Placem_Collection'!A79</f>
        <v>77</v>
      </c>
      <c r="C738" s="263" t="str">
        <f>'Dry_Litterbag Placem_Collection'!B79</f>
        <v>Maswa</v>
      </c>
      <c r="D738" s="263" t="s">
        <v>2659</v>
      </c>
      <c r="E738" s="263" t="s">
        <v>2661</v>
      </c>
      <c r="F738" s="263">
        <v>2</v>
      </c>
      <c r="G738" s="264" t="str">
        <f>'Dry_Litterbag Placem_Collection'!C79</f>
        <v>Dry_W2_T5</v>
      </c>
      <c r="H738" s="273" t="s">
        <v>3651</v>
      </c>
      <c r="I738" s="274" t="s">
        <v>298</v>
      </c>
      <c r="J738" s="263" t="str">
        <f>IF(ISBLANK('Dry_Litterbag Placem_Collection'!M79),"","R"&amp;""&amp;'Dry_Litterbag Placem_Collection'!M79)</f>
        <v/>
      </c>
      <c r="K738" s="267" t="str">
        <f>IFERROR(INDEX('Green_rooibos initial weight'!$C$5:$C$1749,MATCH(J738, 'Green_rooibos initial weight'!$A$5:$A$1749,0)),"")</f>
        <v/>
      </c>
      <c r="L738" s="267" t="str">
        <f>IFERROR(K738-(TBIcalc!$Q$9+TBIcalc!$Q$10),"")</f>
        <v/>
      </c>
      <c r="M738" s="391">
        <f>AVERAGE(Ashed_controlls!$K$12:$K$14)</f>
        <v>2.2816647271287041</v>
      </c>
      <c r="N738" s="267" t="str">
        <f t="shared" si="56"/>
        <v/>
      </c>
      <c r="O738" s="267" t="str">
        <f>IF(IFERROR(INDEX('Both teabags AfterDry'!$D$3:$D$900,MATCH(J738,'Both teabags AfterDry'!$A$3:$A$900,0)),"")="","",(IFERROR(INDEX('Both teabags AfterDry'!$D$3:$D$900,MATCH(J738,'Both teabags AfterDry'!$A$3:$A$900,0)),"")))</f>
        <v/>
      </c>
      <c r="P738" s="267" t="str">
        <f>IFERROR(IF(O738&gt;0,O738-(TBIcalc!$Q$9),""),"")</f>
        <v/>
      </c>
      <c r="Q738" s="278" t="str">
        <f>IFERROR(INDEX('Ashed teabags dry'!$K$2:$K$825,MATCH(J738,'Ashed teabags dry'!$A$2:$A$825,0)),"")</f>
        <v/>
      </c>
      <c r="R738" s="278" t="str">
        <f t="shared" si="57"/>
        <v/>
      </c>
      <c r="S738" s="268">
        <f>'Dry_Litterbag Placem_Collection'!E79</f>
        <v>0</v>
      </c>
      <c r="T738" s="268" t="str">
        <f>IF('Dry_Litterbag Placem_Collection'!G79="","",'Dry_Litterbag Placem_Collection'!G79)</f>
        <v/>
      </c>
      <c r="U738" s="269" t="str">
        <f t="shared" si="55"/>
        <v/>
      </c>
      <c r="V738" s="267" t="str">
        <f t="shared" si="58"/>
        <v/>
      </c>
      <c r="W738" s="267" t="str">
        <f t="shared" si="59"/>
        <v/>
      </c>
      <c r="X738" s="271" t="str">
        <f>IFERROR(INDEX(Rainfall_Dry!$O$2:$O$217,MATCH(B738, Rainfall_Dry!$A$2:$A$217,0)),"")</f>
        <v/>
      </c>
      <c r="Y738" s="260">
        <v>45.272914521112256</v>
      </c>
      <c r="Z738" s="260">
        <v>23.604531410916575</v>
      </c>
      <c r="AA738" s="260">
        <v>31.122554067971166</v>
      </c>
      <c r="AB738" s="261" t="s">
        <v>2673</v>
      </c>
      <c r="AC738" s="260">
        <v>6.0547560374568796</v>
      </c>
      <c r="AD738">
        <f>IF('WetLitterbags placem_collection'!AB79="","",'WetLitterbags placem_collection'!AB79)</f>
        <v>3.1</v>
      </c>
      <c r="AE738">
        <f>IF('WetLitterbags placem_collection'!Z79="","",'WetLitterbags placem_collection'!Z79)</f>
        <v>9.8000000000000007</v>
      </c>
      <c r="AF738" s="24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71" t="str">
        <f>IFERROR(AVERAGE('Dry_Litterbag Placem_Collection'!N79,'Dry_Litterbag Placem_Collection'!Q79),"")</f>
        <v/>
      </c>
      <c r="AJ738" s="270">
        <f>INDEX(Coordinates!$B$2:$B$197,MATCH(G738,Coordinates!$J$2:$J$197,0))</f>
        <v>-3.3023280279999998</v>
      </c>
      <c r="AK738" s="270">
        <f>INDEX(Coordinates!$C$2:$C$197,MATCH(G738,Coordinates!$J$2:$J$197,0))</f>
        <v>34.848223019999999</v>
      </c>
      <c r="AL738" s="270" t="str">
        <f>IF(ISNUMBER(SEARCH("C", 'Dry_Litterbag Placem_Collection'!V79)),"YES","NO")</f>
        <v>NO</v>
      </c>
      <c r="AM738" s="270" t="str">
        <f>IF(ISNUMBER(SEARCH("H", 'Dry_Litterbag Placem_Collection'!V79)),"YES","NO")</f>
        <v>NO</v>
      </c>
      <c r="AN738" s="270" t="str">
        <f>IF(ISNUMBER(SEARCH("R", 'Dry_Litterbag Placem_Collection'!V79)),"YES","NO")</f>
        <v>NO</v>
      </c>
    </row>
    <row r="739" spans="1:40" ht="15" customHeight="1">
      <c r="A739" s="262" t="s">
        <v>2659</v>
      </c>
      <c r="B739" s="263">
        <f>'Dry_Litterbag Placem_Collection'!A80</f>
        <v>78</v>
      </c>
      <c r="C739" s="263" t="str">
        <f>'Dry_Litterbag Placem_Collection'!B80</f>
        <v>Maswa</v>
      </c>
      <c r="D739" s="263" t="s">
        <v>2659</v>
      </c>
      <c r="E739" s="263" t="s">
        <v>2661</v>
      </c>
      <c r="F739" s="263">
        <v>2</v>
      </c>
      <c r="G739" s="264" t="str">
        <f>'Dry_Litterbag Placem_Collection'!C80</f>
        <v>Dry_W2_T6</v>
      </c>
      <c r="H739" s="273" t="s">
        <v>3651</v>
      </c>
      <c r="I739" s="274" t="s">
        <v>298</v>
      </c>
      <c r="J739" s="263" t="str">
        <f>IF(ISBLANK('Dry_Litterbag Placem_Collection'!M80),"","R"&amp;""&amp;'Dry_Litterbag Placem_Collection'!M80)</f>
        <v>R377</v>
      </c>
      <c r="K739" s="267">
        <f>IFERROR(INDEX('Green_rooibos initial weight'!$C$5:$C$1749,MATCH(J739, 'Green_rooibos initial weight'!$A$5:$A$1749,0)),"")</f>
        <v>2.2309999999999999</v>
      </c>
      <c r="L739" s="267">
        <f>IFERROR(K739-(TBIcalc!$Q$9+TBIcalc!$Q$10),"")</f>
        <v>1.9811999999999999</v>
      </c>
      <c r="M739" s="391">
        <f>AVERAGE(Ashed_controlls!$K$12:$K$14)</f>
        <v>2.2816647271287041</v>
      </c>
      <c r="N739" s="267">
        <f t="shared" si="56"/>
        <v>1.935995658426126</v>
      </c>
      <c r="O739" s="267">
        <f>IF(IFERROR(INDEX('Both teabags AfterDry'!$D$3:$D$900,MATCH(J739,'Both teabags AfterDry'!$A$3:$A$900,0)),"")="","",(IFERROR(INDEX('Both teabags AfterDry'!$D$3:$D$900,MATCH(J739,'Both teabags AfterDry'!$A$3:$A$900,0)),"")))</f>
        <v>1.9925999999999999</v>
      </c>
      <c r="P739" s="267">
        <f>IFERROR(IF(O739&gt;0,O739-(TBIcalc!$Q$9),""),"")</f>
        <v>1.8419999999999999</v>
      </c>
      <c r="Q739" s="278">
        <f>IFERROR(INDEX('Ashed teabags dry'!$K$2:$K$825,MATCH(J739,'Ashed teabags dry'!$A$2:$A$825,0)),"")</f>
        <v>2.2244191794369352</v>
      </c>
      <c r="R739" s="278">
        <f t="shared" si="57"/>
        <v>1.8010261987147715</v>
      </c>
      <c r="S739" s="268">
        <f>'Dry_Litterbag Placem_Collection'!E80</f>
        <v>42937</v>
      </c>
      <c r="T739" s="268">
        <f>IF('Dry_Litterbag Placem_Collection'!G80="","",'Dry_Litterbag Placem_Collection'!G80)</f>
        <v>43006</v>
      </c>
      <c r="U739" s="269">
        <f t="shared" si="55"/>
        <v>69</v>
      </c>
      <c r="V739" s="267">
        <f t="shared" si="58"/>
        <v>0.13919999999999999</v>
      </c>
      <c r="W739" s="267">
        <f t="shared" si="59"/>
        <v>0.13496945971135443</v>
      </c>
      <c r="X739" s="271">
        <f>IFERROR(INDEX(Rainfall_Dry!$O$2:$O$217,MATCH(B739, Rainfall_Dry!$A$2:$A$217,0)),"")</f>
        <v>6.900000125</v>
      </c>
      <c r="Y739" s="260">
        <v>45.272914521112256</v>
      </c>
      <c r="Z739" s="260">
        <v>23.604531410916575</v>
      </c>
      <c r="AA739" s="260">
        <v>31.122554067971166</v>
      </c>
      <c r="AB739" s="261" t="s">
        <v>2673</v>
      </c>
      <c r="AC739" s="260">
        <v>7.0547560374568796</v>
      </c>
      <c r="AD739">
        <f>IF('WetLitterbags placem_collection'!AB80="","",'WetLitterbags placem_collection'!AB80)</f>
        <v>10.4</v>
      </c>
      <c r="AE739">
        <f>IF('WetLitterbags placem_collection'!Z80="","",'WetLitterbags placem_collection'!Z80)</f>
        <v>15.4</v>
      </c>
      <c r="AF739" s="24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71">
        <f>IFERROR(AVERAGE('Dry_Litterbag Placem_Collection'!N80,'Dry_Litterbag Placem_Collection'!Q80),"")</f>
        <v>28.35</v>
      </c>
      <c r="AJ739" s="270">
        <f>INDEX(Coordinates!$B$2:$B$197,MATCH(G739,Coordinates!$J$2:$J$197,0))</f>
        <v>-3.3025680020000001</v>
      </c>
      <c r="AK739" s="270">
        <f>INDEX(Coordinates!$C$2:$C$197,MATCH(G739,Coordinates!$J$2:$J$197,0))</f>
        <v>34.848167029999999</v>
      </c>
      <c r="AL739" s="270" t="str">
        <f>IF(ISNUMBER(SEARCH("C", 'Dry_Litterbag Placem_Collection'!V80)),"YES","NO")</f>
        <v>NO</v>
      </c>
      <c r="AM739" s="270" t="str">
        <f>IF(ISNUMBER(SEARCH("H", 'Dry_Litterbag Placem_Collection'!V80)),"YES","NO")</f>
        <v>NO</v>
      </c>
      <c r="AN739" s="270" t="str">
        <f>IF(ISNUMBER(SEARCH("R", 'Dry_Litterbag Placem_Collection'!V80)),"YES","NO")</f>
        <v>NO</v>
      </c>
    </row>
    <row r="740" spans="1:40" ht="15" customHeight="1">
      <c r="A740" s="262" t="s">
        <v>2659</v>
      </c>
      <c r="B740" s="263">
        <f>'Dry_Litterbag Placem_Collection'!A81</f>
        <v>79</v>
      </c>
      <c r="C740" s="263" t="str">
        <f>'Dry_Litterbag Placem_Collection'!B81</f>
        <v>Maswa</v>
      </c>
      <c r="D740" s="263" t="s">
        <v>2659</v>
      </c>
      <c r="E740" s="263" t="s">
        <v>2661</v>
      </c>
      <c r="F740" s="263">
        <v>2</v>
      </c>
      <c r="G740" s="264" t="str">
        <f>'Dry_Litterbag Placem_Collection'!C81</f>
        <v>Dry_W2_T7</v>
      </c>
      <c r="H740" s="273" t="s">
        <v>3651</v>
      </c>
      <c r="I740" s="274" t="s">
        <v>298</v>
      </c>
      <c r="J740" s="263" t="str">
        <f>IF(ISBLANK('Dry_Litterbag Placem_Collection'!M81),"","R"&amp;""&amp;'Dry_Litterbag Placem_Collection'!M81)</f>
        <v>R61</v>
      </c>
      <c r="K740" s="267">
        <f>IFERROR(INDEX('Green_rooibos initial weight'!$C$5:$C$1749,MATCH(J740, 'Green_rooibos initial weight'!$A$5:$A$1749,0)),"")</f>
        <v>2.2450000000000001</v>
      </c>
      <c r="L740" s="267">
        <f>IFERROR(K740-(TBIcalc!$Q$9+TBIcalc!$Q$10),"")</f>
        <v>1.9952000000000001</v>
      </c>
      <c r="M740" s="391">
        <f>AVERAGE(Ashed_controlls!$K$12:$K$14)</f>
        <v>2.2816647271287041</v>
      </c>
      <c r="N740" s="267">
        <f t="shared" si="56"/>
        <v>1.9496762253643283</v>
      </c>
      <c r="O740" s="267">
        <f>IF(IFERROR(INDEX('Both teabags AfterDry'!$D$3:$D$900,MATCH(J740,'Both teabags AfterDry'!$A$3:$A$900,0)),"")="","",(IFERROR(INDEX('Both teabags AfterDry'!$D$3:$D$900,MATCH(J740,'Both teabags AfterDry'!$A$3:$A$900,0)),"")))</f>
        <v>1.9782999999999999</v>
      </c>
      <c r="P740" s="267">
        <f>IFERROR(IF(O740&gt;0,O740-(TBIcalc!$Q$9),""),"")</f>
        <v>1.8276999999999999</v>
      </c>
      <c r="Q740" s="278">
        <f>IFERROR(INDEX('Ashed teabags dry'!$K$2:$K$825,MATCH(J740,'Ashed teabags dry'!$A$2:$A$825,0)),"")</f>
        <v>2.8766455387618852</v>
      </c>
      <c r="R740" s="278">
        <f t="shared" si="57"/>
        <v>1.7751235494880488</v>
      </c>
      <c r="S740" s="268">
        <f>'Dry_Litterbag Placem_Collection'!E81</f>
        <v>42937</v>
      </c>
      <c r="T740" s="268">
        <f>IF('Dry_Litterbag Placem_Collection'!G81="","",'Dry_Litterbag Placem_Collection'!G81)</f>
        <v>43006</v>
      </c>
      <c r="U740" s="269">
        <f t="shared" si="55"/>
        <v>69</v>
      </c>
      <c r="V740" s="267">
        <f t="shared" si="58"/>
        <v>0.1675000000000002</v>
      </c>
      <c r="W740" s="267">
        <f t="shared" si="59"/>
        <v>0.17455267587627943</v>
      </c>
      <c r="X740" s="271">
        <f>IFERROR(INDEX(Rainfall_Dry!$O$2:$O$217,MATCH(B740, Rainfall_Dry!$A$2:$A$217,0)),"")</f>
        <v>6.900000125</v>
      </c>
      <c r="Y740" s="260">
        <v>45.272914521112256</v>
      </c>
      <c r="Z740" s="260">
        <v>23.604531410916575</v>
      </c>
      <c r="AA740" s="260">
        <v>31.122554067971166</v>
      </c>
      <c r="AB740" s="261" t="s">
        <v>2673</v>
      </c>
      <c r="AC740" s="260">
        <v>8.0547560374568796</v>
      </c>
      <c r="AD740">
        <f>IF('WetLitterbags placem_collection'!AB81="","",'WetLitterbags placem_collection'!AB81)</f>
        <v>3</v>
      </c>
      <c r="AE740">
        <f>IF('WetLitterbags placem_collection'!Z81="","",'WetLitterbags placem_collection'!Z81)</f>
        <v>5</v>
      </c>
      <c r="AF740" s="24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71">
        <f>IFERROR(AVERAGE('Dry_Litterbag Placem_Collection'!N81,'Dry_Litterbag Placem_Collection'!Q81),"")</f>
        <v>26.25</v>
      </c>
      <c r="AJ740" s="270">
        <f>INDEX(Coordinates!$B$2:$B$197,MATCH(G740,Coordinates!$J$2:$J$197,0))</f>
        <v>-3.3026270100000001</v>
      </c>
      <c r="AK740" s="270">
        <f>INDEX(Coordinates!$C$2:$C$197,MATCH(G740,Coordinates!$J$2:$J$197,0))</f>
        <v>34.84840801</v>
      </c>
      <c r="AL740" s="270" t="str">
        <f>IF(ISNUMBER(SEARCH("C", 'Dry_Litterbag Placem_Collection'!V81)),"YES","NO")</f>
        <v>NO</v>
      </c>
      <c r="AM740" s="270" t="str">
        <f>IF(ISNUMBER(SEARCH("H", 'Dry_Litterbag Placem_Collection'!V81)),"YES","NO")</f>
        <v>NO</v>
      </c>
      <c r="AN740" s="270" t="str">
        <f>IF(ISNUMBER(SEARCH("R", 'Dry_Litterbag Placem_Collection'!V81)),"YES","NO")</f>
        <v>NO</v>
      </c>
    </row>
    <row r="741" spans="1:40" ht="15" customHeight="1">
      <c r="A741" s="262" t="s">
        <v>2659</v>
      </c>
      <c r="B741" s="263">
        <f>'Dry_Litterbag Placem_Collection'!A82</f>
        <v>80</v>
      </c>
      <c r="C741" s="263" t="str">
        <f>'Dry_Litterbag Placem_Collection'!B82</f>
        <v>Maswa</v>
      </c>
      <c r="D741" s="263" t="s">
        <v>2659</v>
      </c>
      <c r="E741" s="263" t="s">
        <v>2661</v>
      </c>
      <c r="F741" s="263">
        <v>2</v>
      </c>
      <c r="G741" s="264" t="str">
        <f>'Dry_Litterbag Placem_Collection'!C82</f>
        <v>Dry_W2_T8</v>
      </c>
      <c r="H741" s="273" t="s">
        <v>3651</v>
      </c>
      <c r="I741" s="274" t="s">
        <v>298</v>
      </c>
      <c r="J741" s="263" t="str">
        <f>IF(ISBLANK('Dry_Litterbag Placem_Collection'!M82),"","R"&amp;""&amp;'Dry_Litterbag Placem_Collection'!M82)</f>
        <v>R620</v>
      </c>
      <c r="K741" s="267">
        <f>IFERROR(INDEX('Green_rooibos initial weight'!$C$5:$C$1749,MATCH(J741, 'Green_rooibos initial weight'!$A$5:$A$1749,0)),"")</f>
        <v>2.1800000000000002</v>
      </c>
      <c r="L741" s="267">
        <f>IFERROR(K741-(TBIcalc!$Q$9+TBIcalc!$Q$10),"")</f>
        <v>1.9302000000000001</v>
      </c>
      <c r="M741" s="391">
        <f>AVERAGE(Ashed_controlls!$K$12:$K$14)</f>
        <v>2.2816647271287041</v>
      </c>
      <c r="N741" s="267">
        <f t="shared" si="56"/>
        <v>1.8861593074369618</v>
      </c>
      <c r="O741" s="267">
        <f>IF(IFERROR(INDEX('Both teabags AfterDry'!$D$3:$D$900,MATCH(J741,'Both teabags AfterDry'!$A$3:$A$900,0)),"")="","",(IFERROR(INDEX('Both teabags AfterDry'!$D$3:$D$900,MATCH(J741,'Both teabags AfterDry'!$A$3:$A$900,0)),"")))</f>
        <v>2.0047999999999999</v>
      </c>
      <c r="P741" s="267">
        <f>IFERROR(IF(O741&gt;0,O741-(TBIcalc!$Q$9),""),"")</f>
        <v>1.8541999999999998</v>
      </c>
      <c r="Q741" s="278">
        <f>IFERROR(INDEX('Ashed teabags dry'!$K$2:$K$825,MATCH(J741,'Ashed teabags dry'!$A$2:$A$825,0)),"")</f>
        <v>3.2972440944880175</v>
      </c>
      <c r="R741" s="278">
        <f t="shared" si="57"/>
        <v>1.7930625000000031</v>
      </c>
      <c r="S741" s="268">
        <f>'Dry_Litterbag Placem_Collection'!E82</f>
        <v>42937</v>
      </c>
      <c r="T741" s="268">
        <f>IF('Dry_Litterbag Placem_Collection'!G82="","",'Dry_Litterbag Placem_Collection'!G82)</f>
        <v>43006</v>
      </c>
      <c r="U741" s="269">
        <f t="shared" si="55"/>
        <v>69</v>
      </c>
      <c r="V741" s="267">
        <f t="shared" si="58"/>
        <v>7.600000000000029E-2</v>
      </c>
      <c r="W741" s="267">
        <f t="shared" si="59"/>
        <v>9.3096807436958695E-2</v>
      </c>
      <c r="X741" s="271">
        <f>IFERROR(INDEX(Rainfall_Dry!$O$2:$O$217,MATCH(B741, Rainfall_Dry!$A$2:$A$217,0)),"")</f>
        <v>6.900000125</v>
      </c>
      <c r="Y741" s="260">
        <v>45.272914521112256</v>
      </c>
      <c r="Z741" s="260">
        <v>23.604531410916575</v>
      </c>
      <c r="AA741" s="260">
        <v>31.122554067971166</v>
      </c>
      <c r="AB741" s="261" t="s">
        <v>2673</v>
      </c>
      <c r="AC741" s="260">
        <v>9.0547560374568796</v>
      </c>
      <c r="AD741">
        <f>IF('WetLitterbags placem_collection'!AB82="","",'WetLitterbags placem_collection'!AB82)</f>
        <v>2.7</v>
      </c>
      <c r="AE741">
        <f>IF('WetLitterbags placem_collection'!Z82="","",'WetLitterbags placem_collection'!Z82)</f>
        <v>12.4</v>
      </c>
      <c r="AF741" s="24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71">
        <f>IFERROR(AVERAGE('Dry_Litterbag Placem_Collection'!N82,'Dry_Litterbag Placem_Collection'!Q82),"")</f>
        <v>27.7</v>
      </c>
      <c r="AJ741" s="270">
        <f>INDEX(Coordinates!$B$2:$B$197,MATCH(G741,Coordinates!$J$2:$J$197,0))</f>
        <v>-3.3028539920000002</v>
      </c>
      <c r="AK741" s="270">
        <f>INDEX(Coordinates!$C$2:$C$197,MATCH(G741,Coordinates!$J$2:$J$197,0))</f>
        <v>34.847988999999998</v>
      </c>
      <c r="AL741" s="270" t="str">
        <f>IF(ISNUMBER(SEARCH("C", 'Dry_Litterbag Placem_Collection'!V82)),"YES","NO")</f>
        <v>NO</v>
      </c>
      <c r="AM741" s="270" t="str">
        <f>IF(ISNUMBER(SEARCH("H", 'Dry_Litterbag Placem_Collection'!V82)),"YES","NO")</f>
        <v>NO</v>
      </c>
      <c r="AN741" s="270" t="str">
        <f>IF(ISNUMBER(SEARCH("R", 'Dry_Litterbag Placem_Collection'!V82)),"YES","NO")</f>
        <v>NO</v>
      </c>
    </row>
    <row r="742" spans="1:40" ht="15" customHeight="1">
      <c r="A742" s="262" t="s">
        <v>2659</v>
      </c>
      <c r="B742" s="263">
        <f>'Dry_Litterbag Placem_Collection'!A83</f>
        <v>81</v>
      </c>
      <c r="C742" s="263" t="str">
        <f>'Dry_Litterbag Placem_Collection'!B83</f>
        <v>Maswa</v>
      </c>
      <c r="D742" s="263" t="s">
        <v>2659</v>
      </c>
      <c r="E742" s="263" t="s">
        <v>2661</v>
      </c>
      <c r="F742" s="263">
        <v>3</v>
      </c>
      <c r="G742" s="264" t="str">
        <f>'Dry_Litterbag Placem_Collection'!C83</f>
        <v>Dry_W3_T1</v>
      </c>
      <c r="H742" s="273" t="s">
        <v>3651</v>
      </c>
      <c r="I742" s="274" t="s">
        <v>298</v>
      </c>
      <c r="J742" s="263" t="str">
        <f>IF(ISBLANK('Dry_Litterbag Placem_Collection'!M83),"","R"&amp;""&amp;'Dry_Litterbag Placem_Collection'!M83)</f>
        <v>R366</v>
      </c>
      <c r="K742" s="267">
        <f>IFERROR(INDEX('Green_rooibos initial weight'!$C$5:$C$1749,MATCH(J742, 'Green_rooibos initial weight'!$A$5:$A$1749,0)),"")</f>
        <v>2.2330000000000001</v>
      </c>
      <c r="L742" s="267">
        <f>IFERROR(K742-(TBIcalc!$Q$9+TBIcalc!$Q$10),"")</f>
        <v>1.9832000000000001</v>
      </c>
      <c r="M742" s="391">
        <f>AVERAGE(Ashed_controlls!$K$12:$K$14)</f>
        <v>2.2816647271287041</v>
      </c>
      <c r="N742" s="267">
        <f t="shared" si="56"/>
        <v>1.9379500251315835</v>
      </c>
      <c r="O742" s="267">
        <f>IF(IFERROR(INDEX('Both teabags AfterDry'!$D$3:$D$900,MATCH(J742,'Both teabags AfterDry'!$A$3:$A$900,0)),"")="","",(IFERROR(INDEX('Both teabags AfterDry'!$D$3:$D$900,MATCH(J742,'Both teabags AfterDry'!$A$3:$A$900,0)),"")))</f>
        <v>1.9832000000000001</v>
      </c>
      <c r="P742" s="267">
        <f>IFERROR(IF(O742&gt;0,O742-(TBIcalc!$Q$9),""),"")</f>
        <v>1.8326</v>
      </c>
      <c r="Q742" s="278">
        <f>IFERROR(INDEX('Ashed teabags dry'!$K$2:$K$825,MATCH(J742,'Ashed teabags dry'!$A$2:$A$825,0)),"")</f>
        <v>3.3302497687320054</v>
      </c>
      <c r="R742" s="278">
        <f t="shared" si="57"/>
        <v>1.7715698427382174</v>
      </c>
      <c r="S742" s="268">
        <f>'Dry_Litterbag Placem_Collection'!E83</f>
        <v>42937</v>
      </c>
      <c r="T742" s="268">
        <f>IF('Dry_Litterbag Placem_Collection'!G83="","",'Dry_Litterbag Placem_Collection'!G83)</f>
        <v>43006</v>
      </c>
      <c r="U742" s="269">
        <f t="shared" si="55"/>
        <v>69</v>
      </c>
      <c r="V742" s="267">
        <f t="shared" si="58"/>
        <v>0.15060000000000007</v>
      </c>
      <c r="W742" s="267">
        <f t="shared" si="59"/>
        <v>0.16638018239336616</v>
      </c>
      <c r="X742" s="271">
        <f>IFERROR(INDEX(Rainfall_Dry!$O$2:$O$217,MATCH(B742, Rainfall_Dry!$A$2:$A$217,0)),"")</f>
        <v>12.563016860999999</v>
      </c>
      <c r="Y742" s="260">
        <v>38.691629007962128</v>
      </c>
      <c r="Z742" s="260">
        <v>26.81299763288143</v>
      </c>
      <c r="AA742" s="260">
        <v>34.495373359156439</v>
      </c>
      <c r="AB742" s="261" t="s">
        <v>2675</v>
      </c>
      <c r="AC742" s="260">
        <v>2.5483587974371611</v>
      </c>
      <c r="AD742">
        <f>IF('WetLitterbags placem_collection'!AB83="","",'WetLitterbags placem_collection'!AB83)</f>
        <v>6.2</v>
      </c>
      <c r="AE742">
        <f>IF('WetLitterbags placem_collection'!Z83="","",'WetLitterbags placem_collection'!Z83)</f>
        <v>13.3</v>
      </c>
      <c r="AF742" s="24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71">
        <f>IFERROR(AVERAGE('Dry_Litterbag Placem_Collection'!N83,'Dry_Litterbag Placem_Collection'!Q83),"")</f>
        <v>26.35</v>
      </c>
      <c r="AJ742" s="270">
        <f>INDEX(Coordinates!$B$2:$B$197,MATCH(G742,Coordinates!$J$2:$J$197,0))</f>
        <v>-3.2957159630000001</v>
      </c>
      <c r="AK742" s="270">
        <f>INDEX(Coordinates!$C$2:$C$197,MATCH(G742,Coordinates!$J$2:$J$197,0))</f>
        <v>34.852460999999998</v>
      </c>
      <c r="AL742" s="270" t="str">
        <f>IF(ISNUMBER(SEARCH("C", 'Dry_Litterbag Placem_Collection'!V83)),"YES","NO")</f>
        <v>NO</v>
      </c>
      <c r="AM742" s="270" t="str">
        <f>IF(ISNUMBER(SEARCH("H", 'Dry_Litterbag Placem_Collection'!V83)),"YES","NO")</f>
        <v>NO</v>
      </c>
      <c r="AN742" s="270" t="str">
        <f>IF(ISNUMBER(SEARCH("R", 'Dry_Litterbag Placem_Collection'!V83)),"YES","NO")</f>
        <v>NO</v>
      </c>
    </row>
    <row r="743" spans="1:40" ht="15" customHeight="1">
      <c r="A743" s="262" t="s">
        <v>2659</v>
      </c>
      <c r="B743" s="263">
        <f>'Dry_Litterbag Placem_Collection'!A84</f>
        <v>82</v>
      </c>
      <c r="C743" s="263" t="str">
        <f>'Dry_Litterbag Placem_Collection'!B84</f>
        <v>Maswa</v>
      </c>
      <c r="D743" s="263" t="s">
        <v>2659</v>
      </c>
      <c r="E743" s="263" t="s">
        <v>2661</v>
      </c>
      <c r="F743" s="263">
        <v>3</v>
      </c>
      <c r="G743" s="264" t="str">
        <f>'Dry_Litterbag Placem_Collection'!C84</f>
        <v>Dry_W3_T2</v>
      </c>
      <c r="H743" s="273" t="s">
        <v>3651</v>
      </c>
      <c r="I743" s="274" t="s">
        <v>298</v>
      </c>
      <c r="J743" s="263" t="str">
        <f>IF(ISBLANK('Dry_Litterbag Placem_Collection'!M84),"","R"&amp;""&amp;'Dry_Litterbag Placem_Collection'!M84)</f>
        <v>R610</v>
      </c>
      <c r="K743" s="267">
        <f>IFERROR(INDEX('Green_rooibos initial weight'!$C$5:$C$1749,MATCH(J743, 'Green_rooibos initial weight'!$A$5:$A$1749,0)),"")</f>
        <v>2.1230000000000002</v>
      </c>
      <c r="L743" s="267">
        <f>IFERROR(K743-(TBIcalc!$Q$9+TBIcalc!$Q$10),"")</f>
        <v>1.8732000000000002</v>
      </c>
      <c r="M743" s="391">
        <f>AVERAGE(Ashed_controlls!$K$12:$K$14)</f>
        <v>2.2816647271287041</v>
      </c>
      <c r="N743" s="267">
        <f t="shared" si="56"/>
        <v>1.8304598563314254</v>
      </c>
      <c r="O743" s="267">
        <f>IF(IFERROR(INDEX('Both teabags AfterDry'!$D$3:$D$900,MATCH(J743,'Both teabags AfterDry'!$A$3:$A$900,0)),"")="","",(IFERROR(INDEX('Both teabags AfterDry'!$D$3:$D$900,MATCH(J743,'Both teabags AfterDry'!$A$3:$A$900,0)),"")))</f>
        <v>1.9097999999999999</v>
      </c>
      <c r="P743" s="267">
        <f>IFERROR(IF(O743&gt;0,O743-(TBIcalc!$Q$9),""),"")</f>
        <v>1.7591999999999999</v>
      </c>
      <c r="Q743" s="278">
        <f>IFERROR(INDEX('Ashed teabags dry'!$K$2:$K$825,MATCH(J743,'Ashed teabags dry'!$A$2:$A$825,0)),"")</f>
        <v>2.8992628992631118</v>
      </c>
      <c r="R743" s="278">
        <f t="shared" si="57"/>
        <v>1.7081961670761632</v>
      </c>
      <c r="S743" s="268">
        <f>'Dry_Litterbag Placem_Collection'!E84</f>
        <v>42937</v>
      </c>
      <c r="T743" s="268">
        <f>IF('Dry_Litterbag Placem_Collection'!G84="","",'Dry_Litterbag Placem_Collection'!G84)</f>
        <v>43006</v>
      </c>
      <c r="U743" s="269">
        <f t="shared" si="55"/>
        <v>69</v>
      </c>
      <c r="V743" s="267">
        <f t="shared" si="58"/>
        <v>0.11400000000000032</v>
      </c>
      <c r="W743" s="267">
        <f t="shared" si="59"/>
        <v>0.12226368925526221</v>
      </c>
      <c r="X743" s="271">
        <f>IFERROR(INDEX(Rainfall_Dry!$O$2:$O$217,MATCH(B743, Rainfall_Dry!$A$2:$A$217,0)),"")</f>
        <v>12.563016860999999</v>
      </c>
      <c r="Y743" s="260">
        <v>38.691629007962128</v>
      </c>
      <c r="Z743" s="260">
        <v>26.81299763288143</v>
      </c>
      <c r="AA743" s="260">
        <v>34.495373359156439</v>
      </c>
      <c r="AB743" s="261" t="s">
        <v>2675</v>
      </c>
      <c r="AC743" s="260">
        <v>3.5483587974371602</v>
      </c>
      <c r="AD743">
        <f>IF('WetLitterbags placem_collection'!AB84="","",'WetLitterbags placem_collection'!AB84)</f>
        <v>2.4</v>
      </c>
      <c r="AE743">
        <f>IF('WetLitterbags placem_collection'!Z84="","",'WetLitterbags placem_collection'!Z84)</f>
        <v>16.600000000000001</v>
      </c>
      <c r="AF743" s="24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71">
        <f>IFERROR(AVERAGE('Dry_Litterbag Placem_Collection'!N84,'Dry_Litterbag Placem_Collection'!Q84),"")</f>
        <v>25.5</v>
      </c>
      <c r="AJ743" s="270">
        <f>INDEX(Coordinates!$B$2:$B$197,MATCH(G743,Coordinates!$J$2:$J$197,0))</f>
        <v>-3.2957230040000001</v>
      </c>
      <c r="AK743" s="270">
        <f>INDEX(Coordinates!$C$2:$C$197,MATCH(G743,Coordinates!$J$2:$J$197,0))</f>
        <v>34.852416990000002</v>
      </c>
      <c r="AL743" s="270" t="str">
        <f>IF(ISNUMBER(SEARCH("C", 'Dry_Litterbag Placem_Collection'!V84)),"YES","NO")</f>
        <v>NO</v>
      </c>
      <c r="AM743" s="270" t="str">
        <f>IF(ISNUMBER(SEARCH("H", 'Dry_Litterbag Placem_Collection'!V84)),"YES","NO")</f>
        <v>NO</v>
      </c>
      <c r="AN743" s="270" t="str">
        <f>IF(ISNUMBER(SEARCH("R", 'Dry_Litterbag Placem_Collection'!V84)),"YES","NO")</f>
        <v>NO</v>
      </c>
    </row>
    <row r="744" spans="1:40" ht="15" customHeight="1">
      <c r="A744" s="262" t="s">
        <v>2659</v>
      </c>
      <c r="B744" s="263">
        <f>'Dry_Litterbag Placem_Collection'!A85</f>
        <v>83</v>
      </c>
      <c r="C744" s="263" t="str">
        <f>'Dry_Litterbag Placem_Collection'!B85</f>
        <v>Maswa</v>
      </c>
      <c r="D744" s="263" t="s">
        <v>2659</v>
      </c>
      <c r="E744" s="263" t="s">
        <v>2661</v>
      </c>
      <c r="F744" s="263">
        <v>3</v>
      </c>
      <c r="G744" s="264" t="str">
        <f>'Dry_Litterbag Placem_Collection'!C85</f>
        <v>Dry_W3_T3</v>
      </c>
      <c r="H744" s="273" t="s">
        <v>3651</v>
      </c>
      <c r="I744" s="274" t="s">
        <v>298</v>
      </c>
      <c r="J744" s="263" t="str">
        <f>IF(ISBLANK('Dry_Litterbag Placem_Collection'!M85),"","R"&amp;""&amp;'Dry_Litterbag Placem_Collection'!M85)</f>
        <v>R614</v>
      </c>
      <c r="K744" s="267">
        <f>IFERROR(INDEX('Green_rooibos initial weight'!$C$5:$C$1749,MATCH(J744, 'Green_rooibos initial weight'!$A$5:$A$1749,0)),"")</f>
        <v>2.1459999999999999</v>
      </c>
      <c r="L744" s="267">
        <f>IFERROR(K744-(TBIcalc!$Q$9+TBIcalc!$Q$10),"")</f>
        <v>1.8961999999999999</v>
      </c>
      <c r="M744" s="391">
        <f>AVERAGE(Ashed_controlls!$K$12:$K$14)</f>
        <v>2.2816647271287041</v>
      </c>
      <c r="N744" s="267">
        <f t="shared" si="56"/>
        <v>1.8529350734441854</v>
      </c>
      <c r="O744" s="267">
        <f>IF(IFERROR(INDEX('Both teabags AfterDry'!$D$3:$D$900,MATCH(J744,'Both teabags AfterDry'!$A$3:$A$900,0)),"")="","",(IFERROR(INDEX('Both teabags AfterDry'!$D$3:$D$900,MATCH(J744,'Both teabags AfterDry'!$A$3:$A$900,0)),"")))</f>
        <v>1.9262999999999999</v>
      </c>
      <c r="P744" s="267">
        <f>IFERROR(IF(O744&gt;0,O744-(TBIcalc!$Q$9),""),"")</f>
        <v>1.7756999999999998</v>
      </c>
      <c r="Q744" s="278">
        <f>IFERROR(INDEX('Ashed teabags dry'!$K$2:$K$825,MATCH(J744,'Ashed teabags dry'!$A$2:$A$825,0)),"")</f>
        <v>2.629063097514555</v>
      </c>
      <c r="R744" s="278">
        <f t="shared" si="57"/>
        <v>1.729015726577434</v>
      </c>
      <c r="S744" s="268">
        <f>'Dry_Litterbag Placem_Collection'!E85</f>
        <v>42937</v>
      </c>
      <c r="T744" s="268">
        <f>IF('Dry_Litterbag Placem_Collection'!G85="","",'Dry_Litterbag Placem_Collection'!G85)</f>
        <v>43006</v>
      </c>
      <c r="U744" s="269">
        <f t="shared" si="55"/>
        <v>69</v>
      </c>
      <c r="V744" s="267">
        <f t="shared" si="58"/>
        <v>0.12050000000000005</v>
      </c>
      <c r="W744" s="267">
        <f t="shared" si="59"/>
        <v>0.12391934686675143</v>
      </c>
      <c r="X744" s="271">
        <f>IFERROR(INDEX(Rainfall_Dry!$O$2:$O$217,MATCH(B744, Rainfall_Dry!$A$2:$A$217,0)),"")</f>
        <v>12.563016860999999</v>
      </c>
      <c r="Y744" s="260">
        <v>38.691629007962128</v>
      </c>
      <c r="Z744" s="260">
        <v>26.81299763288143</v>
      </c>
      <c r="AA744" s="260">
        <v>34.495373359156439</v>
      </c>
      <c r="AB744" s="261" t="s">
        <v>2675</v>
      </c>
      <c r="AC744" s="260">
        <v>4.5483587974371602</v>
      </c>
      <c r="AD744">
        <f>IF('WetLitterbags placem_collection'!AB85="","",'WetLitterbags placem_collection'!AB85)</f>
        <v>6.4</v>
      </c>
      <c r="AE744">
        <f>IF('WetLitterbags placem_collection'!Z85="","",'WetLitterbags placem_collection'!Z85)</f>
        <v>42</v>
      </c>
      <c r="AF744" s="24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71">
        <f>IFERROR(AVERAGE('Dry_Litterbag Placem_Collection'!N85,'Dry_Litterbag Placem_Collection'!Q85),"")</f>
        <v>26.05</v>
      </c>
      <c r="AJ744" s="270">
        <f>INDEX(Coordinates!$B$2:$B$197,MATCH(G744,Coordinates!$J$2:$J$197,0))</f>
        <v>-3.2957430369999998</v>
      </c>
      <c r="AK744" s="270">
        <f>INDEX(Coordinates!$C$2:$C$197,MATCH(G744,Coordinates!$J$2:$J$197,0))</f>
        <v>34.852309030000001</v>
      </c>
      <c r="AL744" s="270" t="str">
        <f>IF(ISNUMBER(SEARCH("C", 'Dry_Litterbag Placem_Collection'!V85)),"YES","NO")</f>
        <v>NO</v>
      </c>
      <c r="AM744" s="270" t="str">
        <f>IF(ISNUMBER(SEARCH("H", 'Dry_Litterbag Placem_Collection'!V85)),"YES","NO")</f>
        <v>NO</v>
      </c>
      <c r="AN744" s="270" t="str">
        <f>IF(ISNUMBER(SEARCH("R", 'Dry_Litterbag Placem_Collection'!V85)),"YES","NO")</f>
        <v>NO</v>
      </c>
    </row>
    <row r="745" spans="1:40" ht="15" customHeight="1">
      <c r="A745" s="262" t="s">
        <v>2659</v>
      </c>
      <c r="B745" s="263">
        <f>'Dry_Litterbag Placem_Collection'!A86</f>
        <v>84</v>
      </c>
      <c r="C745" s="263" t="str">
        <f>'Dry_Litterbag Placem_Collection'!B86</f>
        <v>Maswa</v>
      </c>
      <c r="D745" s="263" t="s">
        <v>2659</v>
      </c>
      <c r="E745" s="263" t="s">
        <v>2661</v>
      </c>
      <c r="F745" s="263">
        <v>3</v>
      </c>
      <c r="G745" s="264" t="str">
        <f>'Dry_Litterbag Placem_Collection'!C86</f>
        <v>Dry_W3_T4</v>
      </c>
      <c r="H745" s="273" t="s">
        <v>3651</v>
      </c>
      <c r="I745" s="274" t="s">
        <v>298</v>
      </c>
      <c r="J745" s="263" t="str">
        <f>IF(ISBLANK('Dry_Litterbag Placem_Collection'!M86),"","R"&amp;""&amp;'Dry_Litterbag Placem_Collection'!M86)</f>
        <v>R720</v>
      </c>
      <c r="K745" s="267">
        <f>IFERROR(INDEX('Green_rooibos initial weight'!$C$5:$C$1749,MATCH(J745, 'Green_rooibos initial weight'!$A$5:$A$1749,0)),"")</f>
        <v>2.2080000000000002</v>
      </c>
      <c r="L745" s="267">
        <f>IFERROR(K745-(TBIcalc!$Q$9+TBIcalc!$Q$10),"")</f>
        <v>1.9582000000000002</v>
      </c>
      <c r="M745" s="391">
        <f>AVERAGE(Ashed_controlls!$K$12:$K$14)</f>
        <v>2.2816647271287041</v>
      </c>
      <c r="N745" s="267">
        <f t="shared" si="56"/>
        <v>1.913520441313366</v>
      </c>
      <c r="O745" s="267">
        <f>IF(IFERROR(INDEX('Both teabags AfterDry'!$D$3:$D$900,MATCH(J745,'Both teabags AfterDry'!$A$3:$A$900,0)),"")="","",(IFERROR(INDEX('Both teabags AfterDry'!$D$3:$D$900,MATCH(J745,'Both teabags AfterDry'!$A$3:$A$900,0)),"")))</f>
        <v>1.9978</v>
      </c>
      <c r="P745" s="267">
        <f>IFERROR(IF(O745&gt;0,O745-(TBIcalc!$Q$9),""),"")</f>
        <v>1.8472</v>
      </c>
      <c r="Q745" s="278">
        <f>IFERROR(INDEX('Ashed teabags dry'!$K$2:$K$825,MATCH(J745,'Ashed teabags dry'!$A$2:$A$825,0)),"")</f>
        <v>2.5841053144808623</v>
      </c>
      <c r="R745" s="278">
        <f t="shared" si="57"/>
        <v>1.7994664066309094</v>
      </c>
      <c r="S745" s="268">
        <f>'Dry_Litterbag Placem_Collection'!E86</f>
        <v>42937</v>
      </c>
      <c r="T745" s="268">
        <f>IF('Dry_Litterbag Placem_Collection'!G86="","",'Dry_Litterbag Placem_Collection'!G86)</f>
        <v>43006</v>
      </c>
      <c r="U745" s="269">
        <f t="shared" si="55"/>
        <v>69</v>
      </c>
      <c r="V745" s="267">
        <f t="shared" si="58"/>
        <v>0.11100000000000021</v>
      </c>
      <c r="W745" s="267">
        <f t="shared" si="59"/>
        <v>0.11405403468245656</v>
      </c>
      <c r="X745" s="271">
        <f>IFERROR(INDEX(Rainfall_Dry!$O$2:$O$217,MATCH(B745, Rainfall_Dry!$A$2:$A$217,0)),"")</f>
        <v>12.563016860999999</v>
      </c>
      <c r="Y745" s="260">
        <v>38.691629007962128</v>
      </c>
      <c r="Z745" s="260">
        <v>26.81299763288143</v>
      </c>
      <c r="AA745" s="260">
        <v>34.495373359156439</v>
      </c>
      <c r="AB745" s="261" t="s">
        <v>2675</v>
      </c>
      <c r="AC745" s="260">
        <v>5.5483587974371602</v>
      </c>
      <c r="AD745">
        <f>IF('WetLitterbags placem_collection'!AB86="","",'WetLitterbags placem_collection'!AB86)</f>
        <v>5.5</v>
      </c>
      <c r="AE745">
        <f>IF('WetLitterbags placem_collection'!Z86="","",'WetLitterbags placem_collection'!Z86)</f>
        <v>55.8</v>
      </c>
      <c r="AF745" s="24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71">
        <f>IFERROR(AVERAGE('Dry_Litterbag Placem_Collection'!N86,'Dry_Litterbag Placem_Collection'!Q86),"")</f>
        <v>26.549999999999997</v>
      </c>
      <c r="AJ745" s="270">
        <f>INDEX(Coordinates!$B$2:$B$197,MATCH(G745,Coordinates!$J$2:$J$197,0))</f>
        <v>-3.295795005</v>
      </c>
      <c r="AK745" s="270">
        <f>INDEX(Coordinates!$C$2:$C$197,MATCH(G745,Coordinates!$J$2:$J$197,0))</f>
        <v>34.85232001</v>
      </c>
      <c r="AL745" s="270" t="str">
        <f>IF(ISNUMBER(SEARCH("C", 'Dry_Litterbag Placem_Collection'!V86)),"YES","NO")</f>
        <v>NO</v>
      </c>
      <c r="AM745" s="270" t="str">
        <f>IF(ISNUMBER(SEARCH("H", 'Dry_Litterbag Placem_Collection'!V86)),"YES","NO")</f>
        <v>NO</v>
      </c>
      <c r="AN745" s="270" t="str">
        <f>IF(ISNUMBER(SEARCH("R", 'Dry_Litterbag Placem_Collection'!V86)),"YES","NO")</f>
        <v>NO</v>
      </c>
    </row>
    <row r="746" spans="1:40" ht="15" customHeight="1">
      <c r="A746" s="262" t="s">
        <v>2659</v>
      </c>
      <c r="B746" s="263">
        <f>'Dry_Litterbag Placem_Collection'!A87</f>
        <v>85</v>
      </c>
      <c r="C746" s="263" t="str">
        <f>'Dry_Litterbag Placem_Collection'!B87</f>
        <v>Maswa</v>
      </c>
      <c r="D746" s="263" t="s">
        <v>2659</v>
      </c>
      <c r="E746" s="263" t="s">
        <v>2661</v>
      </c>
      <c r="F746" s="263">
        <v>3</v>
      </c>
      <c r="G746" s="264" t="str">
        <f>'Dry_Litterbag Placem_Collection'!C87</f>
        <v>Dry_W3_T5</v>
      </c>
      <c r="H746" s="273" t="s">
        <v>3651</v>
      </c>
      <c r="I746" s="274" t="s">
        <v>298</v>
      </c>
      <c r="J746" s="263" t="str">
        <f>IF(ISBLANK('Dry_Litterbag Placem_Collection'!M87),"","R"&amp;""&amp;'Dry_Litterbag Placem_Collection'!M87)</f>
        <v/>
      </c>
      <c r="K746" s="267" t="str">
        <f>IFERROR(INDEX('Green_rooibos initial weight'!$C$5:$C$1749,MATCH(J746, 'Green_rooibos initial weight'!$A$5:$A$1749,0)),"")</f>
        <v/>
      </c>
      <c r="L746" s="267" t="str">
        <f>IFERROR(K746-(TBIcalc!$Q$9+TBIcalc!$Q$10),"")</f>
        <v/>
      </c>
      <c r="M746" s="391">
        <f>AVERAGE(Ashed_controlls!$K$12:$K$14)</f>
        <v>2.2816647271287041</v>
      </c>
      <c r="N746" s="267" t="str">
        <f t="shared" si="56"/>
        <v/>
      </c>
      <c r="O746" s="267" t="str">
        <f>IF(IFERROR(INDEX('Both teabags AfterDry'!$D$3:$D$900,MATCH(J746,'Both teabags AfterDry'!$A$3:$A$900,0)),"")="","",(IFERROR(INDEX('Both teabags AfterDry'!$D$3:$D$900,MATCH(J746,'Both teabags AfterDry'!$A$3:$A$900,0)),"")))</f>
        <v/>
      </c>
      <c r="P746" s="267" t="str">
        <f>IFERROR(IF(O746&gt;0,O746-(TBIcalc!$Q$9),""),"")</f>
        <v/>
      </c>
      <c r="Q746" s="278" t="str">
        <f>IFERROR(INDEX('Ashed teabags dry'!$K$2:$K$825,MATCH(J746,'Ashed teabags dry'!$A$2:$A$825,0)),"")</f>
        <v/>
      </c>
      <c r="R746" s="278" t="str">
        <f t="shared" si="57"/>
        <v/>
      </c>
      <c r="S746" s="268">
        <f>'Dry_Litterbag Placem_Collection'!E87</f>
        <v>0</v>
      </c>
      <c r="T746" s="268" t="str">
        <f>IF('Dry_Litterbag Placem_Collection'!G87="","",'Dry_Litterbag Placem_Collection'!G87)</f>
        <v/>
      </c>
      <c r="U746" s="269" t="str">
        <f t="shared" si="55"/>
        <v/>
      </c>
      <c r="V746" s="267" t="str">
        <f t="shared" si="58"/>
        <v/>
      </c>
      <c r="W746" s="267" t="str">
        <f t="shared" si="59"/>
        <v/>
      </c>
      <c r="X746" s="271" t="str">
        <f>IFERROR(INDEX(Rainfall_Dry!$O$2:$O$217,MATCH(B746, Rainfall_Dry!$A$2:$A$217,0)),"")</f>
        <v/>
      </c>
      <c r="Y746" s="260">
        <v>38.691629007962128</v>
      </c>
      <c r="Z746" s="260">
        <v>26.81299763288143</v>
      </c>
      <c r="AA746" s="260">
        <v>34.495373359156439</v>
      </c>
      <c r="AB746" s="261" t="s">
        <v>2675</v>
      </c>
      <c r="AC746" s="260">
        <v>6.5483587974371602</v>
      </c>
      <c r="AD746">
        <f>IF('WetLitterbags placem_collection'!AB87="","",'WetLitterbags placem_collection'!AB87)</f>
        <v>8.6</v>
      </c>
      <c r="AE746">
        <f>IF('WetLitterbags placem_collection'!Z87="","",'WetLitterbags placem_collection'!Z87)</f>
        <v>3.8</v>
      </c>
      <c r="AF746" s="24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71" t="str">
        <f>IFERROR(AVERAGE('Dry_Litterbag Placem_Collection'!N87,'Dry_Litterbag Placem_Collection'!Q87),"")</f>
        <v/>
      </c>
      <c r="AJ746" s="270">
        <f>INDEX(Coordinates!$B$2:$B$197,MATCH(G746,Coordinates!$J$2:$J$197,0))</f>
        <v>-3.2957100119999998</v>
      </c>
      <c r="AK746" s="270">
        <f>INDEX(Coordinates!$C$2:$C$197,MATCH(G746,Coordinates!$J$2:$J$197,0))</f>
        <v>34.852283970000002</v>
      </c>
      <c r="AL746" s="270" t="str">
        <f>IF(ISNUMBER(SEARCH("C", 'Dry_Litterbag Placem_Collection'!V87)),"YES","NO")</f>
        <v>NO</v>
      </c>
      <c r="AM746" s="270" t="str">
        <f>IF(ISNUMBER(SEARCH("H", 'Dry_Litterbag Placem_Collection'!V87)),"YES","NO")</f>
        <v>NO</v>
      </c>
      <c r="AN746" s="270" t="str">
        <f>IF(ISNUMBER(SEARCH("R", 'Dry_Litterbag Placem_Collection'!V87)),"YES","NO")</f>
        <v>NO</v>
      </c>
    </row>
    <row r="747" spans="1:40" ht="15" customHeight="1">
      <c r="A747" s="262" t="s">
        <v>2659</v>
      </c>
      <c r="B747" s="263">
        <f>'Dry_Litterbag Placem_Collection'!A88</f>
        <v>86</v>
      </c>
      <c r="C747" s="263" t="str">
        <f>'Dry_Litterbag Placem_Collection'!B88</f>
        <v>Maswa</v>
      </c>
      <c r="D747" s="263" t="s">
        <v>2659</v>
      </c>
      <c r="E747" s="263" t="s">
        <v>2661</v>
      </c>
      <c r="F747" s="263">
        <v>3</v>
      </c>
      <c r="G747" s="264" t="str">
        <f>'Dry_Litterbag Placem_Collection'!C88</f>
        <v>Dry_W3_T6</v>
      </c>
      <c r="H747" s="273" t="s">
        <v>3651</v>
      </c>
      <c r="I747" s="274" t="s">
        <v>298</v>
      </c>
      <c r="J747" s="263" t="str">
        <f>IF(ISBLANK('Dry_Litterbag Placem_Collection'!M88),"","R"&amp;""&amp;'Dry_Litterbag Placem_Collection'!M88)</f>
        <v>R643</v>
      </c>
      <c r="K747" s="267">
        <f>IFERROR(INDEX('Green_rooibos initial weight'!$C$5:$C$1749,MATCH(J747, 'Green_rooibos initial weight'!$A$5:$A$1749,0)),"")</f>
        <v>2.1930000000000001</v>
      </c>
      <c r="L747" s="267">
        <f>IFERROR(K747-(TBIcalc!$Q$9+TBIcalc!$Q$10),"")</f>
        <v>1.9432</v>
      </c>
      <c r="M747" s="391">
        <f>AVERAGE(Ashed_controlls!$K$12:$K$14)</f>
        <v>2.2816647271287041</v>
      </c>
      <c r="N747" s="267">
        <f t="shared" si="56"/>
        <v>1.8988626910224351</v>
      </c>
      <c r="O747" s="267" t="str">
        <f>IF(IFERROR(INDEX('Both teabags AfterDry'!$D$3:$D$900,MATCH(J747,'Both teabags AfterDry'!$A$3:$A$900,0)),"")="","",(IFERROR(INDEX('Both teabags AfterDry'!$D$3:$D$900,MATCH(J747,'Both teabags AfterDry'!$A$3:$A$900,0)),"")))</f>
        <v/>
      </c>
      <c r="P747" s="267" t="str">
        <f>IFERROR(IF(O747&gt;0,O747-(TBIcalc!$Q$9),""),"")</f>
        <v/>
      </c>
      <c r="Q747" s="278" t="str">
        <f>IFERROR(INDEX('Ashed teabags dry'!$K$2:$K$825,MATCH(J747,'Ashed teabags dry'!$A$2:$A$825,0)),"")</f>
        <v/>
      </c>
      <c r="R747" s="278" t="str">
        <f t="shared" si="57"/>
        <v/>
      </c>
      <c r="S747" s="268">
        <f>'Dry_Litterbag Placem_Collection'!E88</f>
        <v>42937</v>
      </c>
      <c r="T747" s="268">
        <f>IF('Dry_Litterbag Placem_Collection'!G88="","",'Dry_Litterbag Placem_Collection'!G88)</f>
        <v>43006</v>
      </c>
      <c r="U747" s="269">
        <f t="shared" si="55"/>
        <v>69</v>
      </c>
      <c r="V747" s="267" t="str">
        <f t="shared" si="58"/>
        <v/>
      </c>
      <c r="W747" s="267" t="str">
        <f t="shared" si="59"/>
        <v/>
      </c>
      <c r="X747" s="271">
        <f>IFERROR(INDEX(Rainfall_Dry!$O$2:$O$217,MATCH(B747, Rainfall_Dry!$A$2:$A$217,0)),"")</f>
        <v>12.563016860999999</v>
      </c>
      <c r="Y747" s="260">
        <v>38.691629007962128</v>
      </c>
      <c r="Z747" s="260">
        <v>26.81299763288143</v>
      </c>
      <c r="AA747" s="260">
        <v>34.495373359156439</v>
      </c>
      <c r="AB747" s="261" t="s">
        <v>2675</v>
      </c>
      <c r="AC747" s="260">
        <v>7.5483587974371602</v>
      </c>
      <c r="AD747">
        <f>IF('WetLitterbags placem_collection'!AB88="","",'WetLitterbags placem_collection'!AB88)</f>
        <v>3.7</v>
      </c>
      <c r="AE747">
        <f>IF('WetLitterbags placem_collection'!Z88="","",'WetLitterbags placem_collection'!Z88)</f>
        <v>7.5</v>
      </c>
      <c r="AF747" s="24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71">
        <f>IFERROR(AVERAGE('Dry_Litterbag Placem_Collection'!N88,'Dry_Litterbag Placem_Collection'!Q88),"")</f>
        <v>26.9</v>
      </c>
      <c r="AJ747" s="270">
        <f>INDEX(Coordinates!$B$2:$B$197,MATCH(G747,Coordinates!$J$2:$J$197,0))</f>
        <v>-3.2956140399999998</v>
      </c>
      <c r="AK747" s="270">
        <f>INDEX(Coordinates!$C$2:$C$197,MATCH(G747,Coordinates!$J$2:$J$197,0))</f>
        <v>34.852137030000002</v>
      </c>
      <c r="AL747" s="270" t="str">
        <f>IF(ISNUMBER(SEARCH("C", 'Dry_Litterbag Placem_Collection'!V88)),"YES","NO")</f>
        <v>NO</v>
      </c>
      <c r="AM747" s="270" t="str">
        <f>IF(ISNUMBER(SEARCH("H", 'Dry_Litterbag Placem_Collection'!V88)),"YES","NO")</f>
        <v>NO</v>
      </c>
      <c r="AN747" s="270" t="str">
        <f>IF(ISNUMBER(SEARCH("R", 'Dry_Litterbag Placem_Collection'!V88)),"YES","NO")</f>
        <v>NO</v>
      </c>
    </row>
    <row r="748" spans="1:40" ht="15" customHeight="1">
      <c r="A748" s="262" t="s">
        <v>2659</v>
      </c>
      <c r="B748" s="263">
        <f>'Dry_Litterbag Placem_Collection'!A89</f>
        <v>87</v>
      </c>
      <c r="C748" s="263" t="str">
        <f>'Dry_Litterbag Placem_Collection'!B89</f>
        <v>Maswa</v>
      </c>
      <c r="D748" s="263" t="s">
        <v>2659</v>
      </c>
      <c r="E748" s="263" t="s">
        <v>2661</v>
      </c>
      <c r="F748" s="263">
        <v>3</v>
      </c>
      <c r="G748" s="264" t="str">
        <f>'Dry_Litterbag Placem_Collection'!C89</f>
        <v>Dry_W3_T7</v>
      </c>
      <c r="H748" s="273" t="s">
        <v>3651</v>
      </c>
      <c r="I748" s="274" t="s">
        <v>298</v>
      </c>
      <c r="J748" s="263" t="str">
        <f>IF(ISBLANK('Dry_Litterbag Placem_Collection'!M89),"","R"&amp;""&amp;'Dry_Litterbag Placem_Collection'!M89)</f>
        <v>R277</v>
      </c>
      <c r="K748" s="267">
        <f>IFERROR(INDEX('Green_rooibos initial weight'!$C$5:$C$1749,MATCH(J748, 'Green_rooibos initial weight'!$A$5:$A$1749,0)),"")</f>
        <v>2.1949999999999998</v>
      </c>
      <c r="L748" s="267">
        <f>IFERROR(K748-(TBIcalc!$Q$9+TBIcalc!$Q$10),"")</f>
        <v>1.9451999999999998</v>
      </c>
      <c r="M748" s="391">
        <f>AVERAGE(Ashed_controlls!$K$12:$K$14)</f>
        <v>2.2816647271287041</v>
      </c>
      <c r="N748" s="267">
        <f t="shared" si="56"/>
        <v>1.9008170577278922</v>
      </c>
      <c r="O748" s="267">
        <f>IF(IFERROR(INDEX('Both teabags AfterDry'!$D$3:$D$900,MATCH(J748,'Both teabags AfterDry'!$A$3:$A$900,0)),"")="","",(IFERROR(INDEX('Both teabags AfterDry'!$D$3:$D$900,MATCH(J748,'Both teabags AfterDry'!$A$3:$A$900,0)),"")))</f>
        <v>1.9473</v>
      </c>
      <c r="P748" s="267">
        <f>IFERROR(IF(O748&gt;0,O748-(TBIcalc!$Q$9),""),"")</f>
        <v>1.7967</v>
      </c>
      <c r="Q748" s="278">
        <f>IFERROR(INDEX('Ashed teabags dry'!$K$2:$K$825,MATCH(J748,'Ashed teabags dry'!$A$2:$A$825,0)),"")</f>
        <v>2.1385402138541729</v>
      </c>
      <c r="R748" s="278">
        <f t="shared" si="57"/>
        <v>1.758276847977682</v>
      </c>
      <c r="S748" s="268">
        <f>'Dry_Litterbag Placem_Collection'!E89</f>
        <v>42937</v>
      </c>
      <c r="T748" s="268">
        <f>IF('Dry_Litterbag Placem_Collection'!G89="","",'Dry_Litterbag Placem_Collection'!G89)</f>
        <v>43006</v>
      </c>
      <c r="U748" s="269">
        <f t="shared" si="55"/>
        <v>69</v>
      </c>
      <c r="V748" s="267">
        <f t="shared" si="58"/>
        <v>0.14849999999999985</v>
      </c>
      <c r="W748" s="267">
        <f t="shared" si="59"/>
        <v>0.1425402097502102</v>
      </c>
      <c r="X748" s="271">
        <f>IFERROR(INDEX(Rainfall_Dry!$O$2:$O$217,MATCH(B748, Rainfall_Dry!$A$2:$A$217,0)),"")</f>
        <v>12.563016860999999</v>
      </c>
      <c r="Y748" s="260">
        <v>38.691629007962128</v>
      </c>
      <c r="Z748" s="260">
        <v>26.81299763288143</v>
      </c>
      <c r="AA748" s="260">
        <v>34.495373359156439</v>
      </c>
      <c r="AB748" s="261" t="s">
        <v>2675</v>
      </c>
      <c r="AC748" s="260">
        <v>8.5483587974371602</v>
      </c>
      <c r="AD748">
        <f>IF('WetLitterbags placem_collection'!AB89="","",'WetLitterbags placem_collection'!AB89)</f>
        <v>7.5</v>
      </c>
      <c r="AE748">
        <f>IF('WetLitterbags placem_collection'!Z89="","",'WetLitterbags placem_collection'!Z89)</f>
        <v>12.6</v>
      </c>
      <c r="AF748" s="24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71">
        <f>IFERROR(AVERAGE('Dry_Litterbag Placem_Collection'!N89,'Dry_Litterbag Placem_Collection'!Q89),"")</f>
        <v>24.3</v>
      </c>
      <c r="AJ748" s="270">
        <f>INDEX(Coordinates!$B$2:$B$197,MATCH(G748,Coordinates!$J$2:$J$197,0))</f>
        <v>-3.295904975</v>
      </c>
      <c r="AK748" s="270">
        <f>INDEX(Coordinates!$C$2:$C$197,MATCH(G748,Coordinates!$J$2:$J$197,0))</f>
        <v>34.852136029999997</v>
      </c>
      <c r="AL748" s="270" t="str">
        <f>IF(ISNUMBER(SEARCH("C", 'Dry_Litterbag Placem_Collection'!V89)),"YES","NO")</f>
        <v>NO</v>
      </c>
      <c r="AM748" s="270" t="str">
        <f>IF(ISNUMBER(SEARCH("H", 'Dry_Litterbag Placem_Collection'!V89)),"YES","NO")</f>
        <v>NO</v>
      </c>
      <c r="AN748" s="270" t="str">
        <f>IF(ISNUMBER(SEARCH("R", 'Dry_Litterbag Placem_Collection'!V89)),"YES","NO")</f>
        <v>NO</v>
      </c>
    </row>
    <row r="749" spans="1:40" ht="15" customHeight="1">
      <c r="A749" s="262" t="s">
        <v>2659</v>
      </c>
      <c r="B749" s="263">
        <f>'Dry_Litterbag Placem_Collection'!A90</f>
        <v>88</v>
      </c>
      <c r="C749" s="263" t="str">
        <f>'Dry_Litterbag Placem_Collection'!B90</f>
        <v>Maswa</v>
      </c>
      <c r="D749" s="263" t="s">
        <v>2659</v>
      </c>
      <c r="E749" s="263" t="s">
        <v>2661</v>
      </c>
      <c r="F749" s="263">
        <v>3</v>
      </c>
      <c r="G749" s="264" t="str">
        <f>'Dry_Litterbag Placem_Collection'!C90</f>
        <v>Dry_W3_T8</v>
      </c>
      <c r="H749" s="273" t="s">
        <v>3651</v>
      </c>
      <c r="I749" s="274" t="s">
        <v>298</v>
      </c>
      <c r="J749" s="263" t="str">
        <f>IF(ISBLANK('Dry_Litterbag Placem_Collection'!M90),"","R"&amp;""&amp;'Dry_Litterbag Placem_Collection'!M90)</f>
        <v>R197</v>
      </c>
      <c r="K749" s="267">
        <f>IFERROR(INDEX('Green_rooibos initial weight'!$C$5:$C$1749,MATCH(J749, 'Green_rooibos initial weight'!$A$5:$A$1749,0)),"")</f>
        <v>2.2330000000000001</v>
      </c>
      <c r="L749" s="267">
        <f>IFERROR(K749-(TBIcalc!$Q$9+TBIcalc!$Q$10),"")</f>
        <v>1.9832000000000001</v>
      </c>
      <c r="M749" s="391">
        <f>AVERAGE(Ashed_controlls!$K$12:$K$14)</f>
        <v>2.2816647271287041</v>
      </c>
      <c r="N749" s="267">
        <f t="shared" si="56"/>
        <v>1.9379500251315835</v>
      </c>
      <c r="O749" s="267">
        <f>IF(IFERROR(INDEX('Both teabags AfterDry'!$D$3:$D$900,MATCH(J749,'Both teabags AfterDry'!$A$3:$A$900,0)),"")="","",(IFERROR(INDEX('Both teabags AfterDry'!$D$3:$D$900,MATCH(J749,'Both teabags AfterDry'!$A$3:$A$900,0)),"")))</f>
        <v>1.9945999999999999</v>
      </c>
      <c r="P749" s="267">
        <f>IFERROR(IF(O749&gt;0,O749-(TBIcalc!$Q$9),""),"")</f>
        <v>1.8439999999999999</v>
      </c>
      <c r="Q749" s="278">
        <f>IFERROR(INDEX('Ashed teabags dry'!$K$2:$K$825,MATCH(J749,'Ashed teabags dry'!$A$2:$A$825,0)),"")</f>
        <v>1.9186843307443828</v>
      </c>
      <c r="R749" s="278">
        <f t="shared" si="57"/>
        <v>1.8086194609410735</v>
      </c>
      <c r="S749" s="268">
        <f>'Dry_Litterbag Placem_Collection'!E90</f>
        <v>42937</v>
      </c>
      <c r="T749" s="268">
        <f>IF('Dry_Litterbag Placem_Collection'!G90="","",'Dry_Litterbag Placem_Collection'!G90)</f>
        <v>43006</v>
      </c>
      <c r="U749" s="269">
        <f t="shared" si="55"/>
        <v>69</v>
      </c>
      <c r="V749" s="267">
        <f t="shared" si="58"/>
        <v>0.13920000000000021</v>
      </c>
      <c r="W749" s="267">
        <f t="shared" si="59"/>
        <v>0.12933056419051003</v>
      </c>
      <c r="X749" s="271">
        <f>IFERROR(INDEX(Rainfall_Dry!$O$2:$O$217,MATCH(B749, Rainfall_Dry!$A$2:$A$217,0)),"")</f>
        <v>12.563016860999999</v>
      </c>
      <c r="Y749" s="260">
        <v>38.691629007962128</v>
      </c>
      <c r="Z749" s="260">
        <v>26.81299763288143</v>
      </c>
      <c r="AA749" s="260">
        <v>34.495373359156439</v>
      </c>
      <c r="AB749" s="261" t="s">
        <v>2675</v>
      </c>
      <c r="AC749" s="260">
        <v>9.5483587974371602</v>
      </c>
      <c r="AD749" t="str">
        <f>IF('WetLitterbags placem_collection'!AB90="","",'WetLitterbags placem_collection'!AB90)</f>
        <v/>
      </c>
      <c r="AE749" t="str">
        <f>IF('WetLitterbags placem_collection'!Z90="","",'WetLitterbags placem_collection'!Z90)</f>
        <v/>
      </c>
      <c r="AF749" s="24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71">
        <f>IFERROR(AVERAGE('Dry_Litterbag Placem_Collection'!N90,'Dry_Litterbag Placem_Collection'!Q90),"")</f>
        <v>26.049999999999997</v>
      </c>
      <c r="AJ749" s="270">
        <f>INDEX(Coordinates!$B$2:$B$197,MATCH(G749,Coordinates!$J$2:$J$197,0))</f>
        <v>-3.2959530039999998</v>
      </c>
      <c r="AK749" s="270">
        <f>INDEX(Coordinates!$C$2:$C$197,MATCH(G749,Coordinates!$J$2:$J$197,0))</f>
        <v>34.85242504</v>
      </c>
      <c r="AL749" s="270" t="str">
        <f>IF(ISNUMBER(SEARCH("C", 'Dry_Litterbag Placem_Collection'!V90)),"YES","NO")</f>
        <v>NO</v>
      </c>
      <c r="AM749" s="270" t="str">
        <f>IF(ISNUMBER(SEARCH("H", 'Dry_Litterbag Placem_Collection'!V90)),"YES","NO")</f>
        <v>NO</v>
      </c>
      <c r="AN749" s="270" t="str">
        <f>IF(ISNUMBER(SEARCH("R", 'Dry_Litterbag Placem_Collection'!V90)),"YES","NO")</f>
        <v>NO</v>
      </c>
    </row>
    <row r="750" spans="1:40" ht="15" customHeight="1">
      <c r="A750" s="262" t="s">
        <v>2659</v>
      </c>
      <c r="B750" s="263">
        <f>'Dry_Litterbag Placem_Collection'!A91</f>
        <v>89</v>
      </c>
      <c r="C750" s="263" t="str">
        <f>'Dry_Litterbag Placem_Collection'!B91</f>
        <v>Maswa</v>
      </c>
      <c r="D750" s="263" t="s">
        <v>2659</v>
      </c>
      <c r="E750" s="263" t="s">
        <v>2661</v>
      </c>
      <c r="F750" s="263">
        <v>4</v>
      </c>
      <c r="G750" s="264" t="str">
        <f>'Dry_Litterbag Placem_Collection'!C91</f>
        <v>Dry_W4_T1</v>
      </c>
      <c r="H750" s="273" t="s">
        <v>3651</v>
      </c>
      <c r="I750" s="274" t="s">
        <v>298</v>
      </c>
      <c r="J750" s="263" t="str">
        <f>IF(ISBLANK('Dry_Litterbag Placem_Collection'!M91),"","R"&amp;""&amp;'Dry_Litterbag Placem_Collection'!M91)</f>
        <v>R841</v>
      </c>
      <c r="K750" s="267">
        <f>IFERROR(INDEX('Green_rooibos initial weight'!$C$5:$C$1749,MATCH(J750, 'Green_rooibos initial weight'!$A$5:$A$1749,0)),"")</f>
        <v>2.13</v>
      </c>
      <c r="L750" s="267">
        <f>IFERROR(K750-(TBIcalc!$Q$9+TBIcalc!$Q$10),"")</f>
        <v>1.8801999999999999</v>
      </c>
      <c r="M750" s="391">
        <f>AVERAGE(Ashed_controlls!$K$12:$K$14)</f>
        <v>2.2816647271287041</v>
      </c>
      <c r="N750" s="267">
        <f t="shared" si="56"/>
        <v>1.837300139800526</v>
      </c>
      <c r="O750" s="267">
        <f>IF(IFERROR(INDEX('Both teabags AfterDry'!$D$3:$D$900,MATCH(J750,'Both teabags AfterDry'!$A$3:$A$900,0)),"")="","",(IFERROR(INDEX('Both teabags AfterDry'!$D$3:$D$900,MATCH(J750,'Both teabags AfterDry'!$A$3:$A$900,0)),"")))</f>
        <v>1.9592000000000001</v>
      </c>
      <c r="P750" s="267">
        <f>IFERROR(IF(O750&gt;0,O750-(TBIcalc!$Q$9),""),"")</f>
        <v>1.8086</v>
      </c>
      <c r="Q750" s="278" t="str">
        <f>IFERROR(INDEX('Ashed teabags dry'!$K$2:$K$825,MATCH(J750,'Ashed teabags dry'!$A$2:$A$825,0)),"")</f>
        <v/>
      </c>
      <c r="R750" s="278" t="str">
        <f t="shared" si="57"/>
        <v/>
      </c>
      <c r="S750" s="268">
        <f>'Dry_Litterbag Placem_Collection'!E91</f>
        <v>42937</v>
      </c>
      <c r="T750" s="268">
        <f>IF('Dry_Litterbag Placem_Collection'!G91="","",'Dry_Litterbag Placem_Collection'!G91)</f>
        <v>43006</v>
      </c>
      <c r="U750" s="269">
        <f t="shared" si="55"/>
        <v>69</v>
      </c>
      <c r="V750" s="267">
        <f t="shared" si="58"/>
        <v>7.1599999999999886E-2</v>
      </c>
      <c r="W750" s="267" t="str">
        <f t="shared" si="59"/>
        <v/>
      </c>
      <c r="X750" s="271">
        <f>IFERROR(INDEX(Rainfall_Dry!$O$2:$O$217,MATCH(B750, Rainfall_Dry!$A$2:$A$217,0)),"")</f>
        <v>12.563016860999999</v>
      </c>
      <c r="Y750" s="260">
        <v>28.145762029394</v>
      </c>
      <c r="Z750" s="260">
        <v>25.085564727199518</v>
      </c>
      <c r="AA750" s="260">
        <v>46.768673243406489</v>
      </c>
      <c r="AB750" s="261" t="s">
        <v>2670</v>
      </c>
      <c r="AC750" s="260">
        <v>2.1716214884179394</v>
      </c>
      <c r="AD750">
        <f>IF('WetLitterbags placem_collection'!AB91="","",'WetLitterbags placem_collection'!AB91)</f>
        <v>7.3</v>
      </c>
      <c r="AE750">
        <f>IF('WetLitterbags placem_collection'!Z91="","",'WetLitterbags placem_collection'!Z91)</f>
        <v>35.799999999999997</v>
      </c>
      <c r="AF750" s="24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71">
        <f>IFERROR(AVERAGE('Dry_Litterbag Placem_Collection'!N91,'Dry_Litterbag Placem_Collection'!Q91),"")</f>
        <v>26.6</v>
      </c>
      <c r="AJ750" s="270">
        <f>INDEX(Coordinates!$B$2:$B$197,MATCH(G750,Coordinates!$J$2:$J$197,0))</f>
        <v>-3.2966709980000002</v>
      </c>
      <c r="AK750" s="270">
        <f>INDEX(Coordinates!$C$2:$C$197,MATCH(G750,Coordinates!$J$2:$J$197,0))</f>
        <v>34.854407019999996</v>
      </c>
      <c r="AL750" s="270" t="str">
        <f>IF(ISNUMBER(SEARCH("C", 'Dry_Litterbag Placem_Collection'!V91)),"YES","NO")</f>
        <v>NO</v>
      </c>
      <c r="AM750" s="270" t="str">
        <f>IF(ISNUMBER(SEARCH("H", 'Dry_Litterbag Placem_Collection'!V91)),"YES","NO")</f>
        <v>NO</v>
      </c>
      <c r="AN750" s="270" t="str">
        <f>IF(ISNUMBER(SEARCH("R", 'Dry_Litterbag Placem_Collection'!V91)),"YES","NO")</f>
        <v>NO</v>
      </c>
    </row>
    <row r="751" spans="1:40" ht="15" customHeight="1">
      <c r="A751" s="262" t="s">
        <v>2659</v>
      </c>
      <c r="B751" s="263">
        <f>'Dry_Litterbag Placem_Collection'!A92</f>
        <v>90</v>
      </c>
      <c r="C751" s="263" t="str">
        <f>'Dry_Litterbag Placem_Collection'!B92</f>
        <v>Maswa</v>
      </c>
      <c r="D751" s="263" t="s">
        <v>2659</v>
      </c>
      <c r="E751" s="263" t="s">
        <v>2661</v>
      </c>
      <c r="F751" s="263">
        <v>4</v>
      </c>
      <c r="G751" s="264" t="str">
        <f>'Dry_Litterbag Placem_Collection'!C92</f>
        <v>Dry_W4_T2</v>
      </c>
      <c r="H751" s="273" t="s">
        <v>3651</v>
      </c>
      <c r="I751" s="274" t="s">
        <v>298</v>
      </c>
      <c r="J751" s="263" t="str">
        <f>IF(ISBLANK('Dry_Litterbag Placem_Collection'!M92),"","R"&amp;""&amp;'Dry_Litterbag Placem_Collection'!M92)</f>
        <v>R220</v>
      </c>
      <c r="K751" s="267">
        <f>IFERROR(INDEX('Green_rooibos initial weight'!$C$5:$C$1749,MATCH(J751, 'Green_rooibos initial weight'!$A$5:$A$1749,0)),"")</f>
        <v>2.2269999999999999</v>
      </c>
      <c r="L751" s="267">
        <f>IFERROR(K751-(TBIcalc!$Q$9+TBIcalc!$Q$10),"")</f>
        <v>1.9771999999999998</v>
      </c>
      <c r="M751" s="391">
        <f>AVERAGE(Ashed_controlls!$K$12:$K$14)</f>
        <v>2.2816647271287041</v>
      </c>
      <c r="N751" s="267">
        <f t="shared" si="56"/>
        <v>1.9320869250152111</v>
      </c>
      <c r="O751" s="267" t="str">
        <f>IF(IFERROR(INDEX('Both teabags AfterDry'!$D$3:$D$900,MATCH(J751,'Both teabags AfterDry'!$A$3:$A$900,0)),"")="","",(IFERROR(INDEX('Both teabags AfterDry'!$D$3:$D$900,MATCH(J751,'Both teabags AfterDry'!$A$3:$A$900,0)),"")))</f>
        <v/>
      </c>
      <c r="P751" s="267" t="str">
        <f>IFERROR(IF(O751&gt;0,O751-(TBIcalc!$Q$9),""),"")</f>
        <v/>
      </c>
      <c r="Q751" s="278" t="str">
        <f>IFERROR(INDEX('Ashed teabags dry'!$K$2:$K$825,MATCH(J751,'Ashed teabags dry'!$A$2:$A$825,0)),"")</f>
        <v/>
      </c>
      <c r="R751" s="278" t="str">
        <f t="shared" si="57"/>
        <v/>
      </c>
      <c r="S751" s="268">
        <f>'Dry_Litterbag Placem_Collection'!E92</f>
        <v>42937</v>
      </c>
      <c r="T751" s="268">
        <f>IF('Dry_Litterbag Placem_Collection'!G92="","",'Dry_Litterbag Placem_Collection'!G92)</f>
        <v>43006</v>
      </c>
      <c r="U751" s="269">
        <f t="shared" si="55"/>
        <v>69</v>
      </c>
      <c r="V751" s="267" t="str">
        <f t="shared" si="58"/>
        <v/>
      </c>
      <c r="W751" s="267" t="str">
        <f t="shared" si="59"/>
        <v/>
      </c>
      <c r="X751" s="271">
        <f>IFERROR(INDEX(Rainfall_Dry!$O$2:$O$217,MATCH(B751, Rainfall_Dry!$A$2:$A$217,0)),"")</f>
        <v>12.563016860999999</v>
      </c>
      <c r="Y751" s="260">
        <v>28.145762029394</v>
      </c>
      <c r="Z751" s="260">
        <v>25.085564727199518</v>
      </c>
      <c r="AA751" s="260">
        <v>46.768673243406489</v>
      </c>
      <c r="AB751" s="261" t="s">
        <v>2670</v>
      </c>
      <c r="AC751" s="260">
        <v>3.1716214884179399</v>
      </c>
      <c r="AD751">
        <f>IF('WetLitterbags placem_collection'!AB92="","",'WetLitterbags placem_collection'!AB92)</f>
        <v>7.7</v>
      </c>
      <c r="AE751">
        <f>IF('WetLitterbags placem_collection'!Z92="","",'WetLitterbags placem_collection'!Z92)</f>
        <v>30.4</v>
      </c>
      <c r="AF751" s="24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71">
        <f>IFERROR(AVERAGE('Dry_Litterbag Placem_Collection'!N92,'Dry_Litterbag Placem_Collection'!Q92),"")</f>
        <v>26.45</v>
      </c>
      <c r="AJ751" s="270">
        <f>INDEX(Coordinates!$B$2:$B$197,MATCH(G751,Coordinates!$J$2:$J$197,0))</f>
        <v>-3.2966860009999999</v>
      </c>
      <c r="AK751" s="270">
        <f>INDEX(Coordinates!$C$2:$C$197,MATCH(G751,Coordinates!$J$2:$J$197,0))</f>
        <v>34.854371989999997</v>
      </c>
      <c r="AL751" s="270" t="str">
        <f>IF(ISNUMBER(SEARCH("C", 'Dry_Litterbag Placem_Collection'!V92)),"YES","NO")</f>
        <v>NO</v>
      </c>
      <c r="AM751" s="270" t="str">
        <f>IF(ISNUMBER(SEARCH("H", 'Dry_Litterbag Placem_Collection'!V92)),"YES","NO")</f>
        <v>NO</v>
      </c>
      <c r="AN751" s="270" t="str">
        <f>IF(ISNUMBER(SEARCH("R", 'Dry_Litterbag Placem_Collection'!V92)),"YES","NO")</f>
        <v>NO</v>
      </c>
    </row>
    <row r="752" spans="1:40" ht="15" customHeight="1">
      <c r="A752" s="262" t="s">
        <v>2659</v>
      </c>
      <c r="B752" s="263">
        <f>'Dry_Litterbag Placem_Collection'!A93</f>
        <v>91</v>
      </c>
      <c r="C752" s="263" t="str">
        <f>'Dry_Litterbag Placem_Collection'!B93</f>
        <v>Maswa</v>
      </c>
      <c r="D752" s="263" t="s">
        <v>2659</v>
      </c>
      <c r="E752" s="263" t="s">
        <v>2661</v>
      </c>
      <c r="F752" s="263">
        <v>4</v>
      </c>
      <c r="G752" s="264" t="str">
        <f>'Dry_Litterbag Placem_Collection'!C93</f>
        <v>Dry_W4_T3</v>
      </c>
      <c r="H752" s="273" t="s">
        <v>3651</v>
      </c>
      <c r="I752" s="274" t="s">
        <v>298</v>
      </c>
      <c r="J752" s="263" t="str">
        <f>IF(ISBLANK('Dry_Litterbag Placem_Collection'!M93),"","R"&amp;""&amp;'Dry_Litterbag Placem_Collection'!M93)</f>
        <v>R659</v>
      </c>
      <c r="K752" s="267">
        <f>IFERROR(INDEX('Green_rooibos initial weight'!$C$5:$C$1749,MATCH(J752, 'Green_rooibos initial weight'!$A$5:$A$1749,0)),"")</f>
        <v>2.2349999999999999</v>
      </c>
      <c r="L752" s="267">
        <f>IFERROR(K752-(TBIcalc!$Q$9+TBIcalc!$Q$10),"")</f>
        <v>1.9851999999999999</v>
      </c>
      <c r="M752" s="391">
        <f>AVERAGE(Ashed_controlls!$K$12:$K$14)</f>
        <v>2.2816647271287041</v>
      </c>
      <c r="N752" s="267">
        <f t="shared" si="56"/>
        <v>1.9399043918370409</v>
      </c>
      <c r="O752" s="267">
        <f>IF(IFERROR(INDEX('Both teabags AfterDry'!$D$3:$D$900,MATCH(J752,'Both teabags AfterDry'!$A$3:$A$900,0)),"")="","",(IFERROR(INDEX('Both teabags AfterDry'!$D$3:$D$900,MATCH(J752,'Both teabags AfterDry'!$A$3:$A$900,0)),"")))</f>
        <v>2.0495999999999999</v>
      </c>
      <c r="P752" s="267">
        <f>IFERROR(IF(O752&gt;0,O752-(TBIcalc!$Q$9),""),"")</f>
        <v>1.8989999999999998</v>
      </c>
      <c r="Q752" s="278">
        <f>IFERROR(INDEX('Ashed teabags dry'!$K$2:$K$825,MATCH(J752,'Ashed teabags dry'!$A$2:$A$825,0)),"")</f>
        <v>4.1826717883060072</v>
      </c>
      <c r="R752" s="278">
        <f t="shared" si="57"/>
        <v>1.8195710627400687</v>
      </c>
      <c r="S752" s="268">
        <f>'Dry_Litterbag Placem_Collection'!E93</f>
        <v>42937</v>
      </c>
      <c r="T752" s="268">
        <f>IF('Dry_Litterbag Placem_Collection'!G93="","",'Dry_Litterbag Placem_Collection'!G93)</f>
        <v>43006</v>
      </c>
      <c r="U752" s="269">
        <f t="shared" si="55"/>
        <v>69</v>
      </c>
      <c r="V752" s="267">
        <f t="shared" si="58"/>
        <v>8.6200000000000054E-2</v>
      </c>
      <c r="W752" s="267">
        <f t="shared" si="59"/>
        <v>0.12033332909697214</v>
      </c>
      <c r="X752" s="271">
        <f>IFERROR(INDEX(Rainfall_Dry!$O$2:$O$217,MATCH(B752, Rainfall_Dry!$A$2:$A$217,0)),"")</f>
        <v>12.563016860999999</v>
      </c>
      <c r="Y752" s="260">
        <v>28.145762029394</v>
      </c>
      <c r="Z752" s="260">
        <v>25.085564727199518</v>
      </c>
      <c r="AA752" s="260">
        <v>46.768673243406489</v>
      </c>
      <c r="AB752" s="261" t="s">
        <v>2670</v>
      </c>
      <c r="AC752" s="260">
        <v>4.1716214884179399</v>
      </c>
      <c r="AD752">
        <f>IF('WetLitterbags placem_collection'!AB93="","",'WetLitterbags placem_collection'!AB93)</f>
        <v>6.1</v>
      </c>
      <c r="AE752">
        <f>IF('WetLitterbags placem_collection'!Z93="","",'WetLitterbags placem_collection'!Z93)</f>
        <v>39.4</v>
      </c>
      <c r="AF752" s="24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71">
        <f>IFERROR(AVERAGE('Dry_Litterbag Placem_Collection'!N93,'Dry_Litterbag Placem_Collection'!Q93),"")</f>
        <v>25.95</v>
      </c>
      <c r="AJ752" s="270">
        <f>INDEX(Coordinates!$B$2:$B$197,MATCH(G752,Coordinates!$J$2:$J$197,0))</f>
        <v>-3.2966180239999998</v>
      </c>
      <c r="AK752" s="270">
        <f>INDEX(Coordinates!$C$2:$C$197,MATCH(G752,Coordinates!$J$2:$J$197,0))</f>
        <v>34.854464020000002</v>
      </c>
      <c r="AL752" s="270" t="str">
        <f>IF(ISNUMBER(SEARCH("C", 'Dry_Litterbag Placem_Collection'!V93)),"YES","NO")</f>
        <v>NO</v>
      </c>
      <c r="AM752" s="270" t="str">
        <f>IF(ISNUMBER(SEARCH("H", 'Dry_Litterbag Placem_Collection'!V93)),"YES","NO")</f>
        <v>NO</v>
      </c>
      <c r="AN752" s="270" t="str">
        <f>IF(ISNUMBER(SEARCH("R", 'Dry_Litterbag Placem_Collection'!V93)),"YES","NO")</f>
        <v>NO</v>
      </c>
    </row>
    <row r="753" spans="1:40" ht="15" customHeight="1">
      <c r="A753" s="262" t="s">
        <v>2659</v>
      </c>
      <c r="B753" s="263">
        <f>'Dry_Litterbag Placem_Collection'!A94</f>
        <v>92</v>
      </c>
      <c r="C753" s="263" t="str">
        <f>'Dry_Litterbag Placem_Collection'!B94</f>
        <v>Maswa</v>
      </c>
      <c r="D753" s="263" t="s">
        <v>2659</v>
      </c>
      <c r="E753" s="263" t="s">
        <v>2661</v>
      </c>
      <c r="F753" s="263">
        <v>4</v>
      </c>
      <c r="G753" s="264" t="str">
        <f>'Dry_Litterbag Placem_Collection'!C94</f>
        <v>Dry_W4_T4</v>
      </c>
      <c r="H753" s="273" t="s">
        <v>3651</v>
      </c>
      <c r="I753" s="274" t="s">
        <v>298</v>
      </c>
      <c r="J753" s="263" t="str">
        <f>IF(ISBLANK('Dry_Litterbag Placem_Collection'!M94),"","R"&amp;""&amp;'Dry_Litterbag Placem_Collection'!M94)</f>
        <v>R619</v>
      </c>
      <c r="K753" s="267">
        <f>IFERROR(INDEX('Green_rooibos initial weight'!$C$5:$C$1749,MATCH(J753, 'Green_rooibos initial weight'!$A$5:$A$1749,0)),"")</f>
        <v>2.1480000000000001</v>
      </c>
      <c r="L753" s="267">
        <f>IFERROR(K753-(TBIcalc!$Q$9+TBIcalc!$Q$10),"")</f>
        <v>1.8982000000000001</v>
      </c>
      <c r="M753" s="391">
        <f>AVERAGE(Ashed_controlls!$K$12:$K$14)</f>
        <v>2.2816647271287041</v>
      </c>
      <c r="N753" s="267">
        <f t="shared" si="56"/>
        <v>1.854889440149643</v>
      </c>
      <c r="O753" s="267">
        <f>IF(IFERROR(INDEX('Both teabags AfterDry'!$D$3:$D$900,MATCH(J753,'Both teabags AfterDry'!$A$3:$A$900,0)),"")="","",(IFERROR(INDEX('Both teabags AfterDry'!$D$3:$D$900,MATCH(J753,'Both teabags AfterDry'!$A$3:$A$900,0)),"")))</f>
        <v>1.9713000000000001</v>
      </c>
      <c r="P753" s="267">
        <f>IFERROR(IF(O753&gt;0,O753-(TBIcalc!$Q$9),""),"")</f>
        <v>1.8207</v>
      </c>
      <c r="Q753" s="278">
        <f>IFERROR(INDEX('Ashed teabags dry'!$K$2:$K$825,MATCH(J753,'Ashed teabags dry'!$A$2:$A$825,0)),"")</f>
        <v>3.4364261168385459</v>
      </c>
      <c r="R753" s="278">
        <f t="shared" si="57"/>
        <v>1.7581329896907205</v>
      </c>
      <c r="S753" s="268">
        <f>'Dry_Litterbag Placem_Collection'!E94</f>
        <v>42937</v>
      </c>
      <c r="T753" s="268">
        <f>IF('Dry_Litterbag Placem_Collection'!G94="","",'Dry_Litterbag Placem_Collection'!G94)</f>
        <v>43006</v>
      </c>
      <c r="U753" s="269">
        <f t="shared" si="55"/>
        <v>69</v>
      </c>
      <c r="V753" s="267">
        <f t="shared" si="58"/>
        <v>7.7500000000000124E-2</v>
      </c>
      <c r="W753" s="267">
        <f t="shared" si="59"/>
        <v>9.6756450458922449E-2</v>
      </c>
      <c r="X753" s="271">
        <f>IFERROR(INDEX(Rainfall_Dry!$O$2:$O$217,MATCH(B753, Rainfall_Dry!$A$2:$A$217,0)),"")</f>
        <v>12.563016860999999</v>
      </c>
      <c r="Y753" s="260">
        <v>28.145762029394</v>
      </c>
      <c r="Z753" s="260">
        <v>25.085564727199518</v>
      </c>
      <c r="AA753" s="260">
        <v>46.768673243406489</v>
      </c>
      <c r="AB753" s="261" t="s">
        <v>2670</v>
      </c>
      <c r="AC753" s="260">
        <v>5.1716214884179399</v>
      </c>
      <c r="AD753">
        <f>IF('WetLitterbags placem_collection'!AB94="","",'WetLitterbags placem_collection'!AB94)</f>
        <v>7.7</v>
      </c>
      <c r="AE753">
        <f>IF('WetLitterbags placem_collection'!Z94="","",'WetLitterbags placem_collection'!Z94)</f>
        <v>24.8</v>
      </c>
      <c r="AF753" s="24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71">
        <f>IFERROR(AVERAGE('Dry_Litterbag Placem_Collection'!N94,'Dry_Litterbag Placem_Collection'!Q94),"")</f>
        <v>26</v>
      </c>
      <c r="AJ753" s="270">
        <f>INDEX(Coordinates!$B$2:$B$197,MATCH(G753,Coordinates!$J$2:$J$197,0))</f>
        <v>-3.2965539860000002</v>
      </c>
      <c r="AK753" s="270">
        <f>INDEX(Coordinates!$C$2:$C$197,MATCH(G753,Coordinates!$J$2:$J$197,0))</f>
        <v>34.854455969999997</v>
      </c>
      <c r="AL753" s="270" t="str">
        <f>IF(ISNUMBER(SEARCH("C", 'Dry_Litterbag Placem_Collection'!V94)),"YES","NO")</f>
        <v>NO</v>
      </c>
      <c r="AM753" s="270" t="str">
        <f>IF(ISNUMBER(SEARCH("H", 'Dry_Litterbag Placem_Collection'!V94)),"YES","NO")</f>
        <v>NO</v>
      </c>
      <c r="AN753" s="270" t="str">
        <f>IF(ISNUMBER(SEARCH("R", 'Dry_Litterbag Placem_Collection'!V94)),"YES","NO")</f>
        <v>NO</v>
      </c>
    </row>
    <row r="754" spans="1:40" ht="15" customHeight="1">
      <c r="A754" s="262" t="s">
        <v>2659</v>
      </c>
      <c r="B754" s="263">
        <f>'Dry_Litterbag Placem_Collection'!A95</f>
        <v>93</v>
      </c>
      <c r="C754" s="263" t="str">
        <f>'Dry_Litterbag Placem_Collection'!B95</f>
        <v>Maswa</v>
      </c>
      <c r="D754" s="263" t="s">
        <v>2659</v>
      </c>
      <c r="E754" s="263" t="s">
        <v>2661</v>
      </c>
      <c r="F754" s="263">
        <v>4</v>
      </c>
      <c r="G754" s="264" t="str">
        <f>'Dry_Litterbag Placem_Collection'!C95</f>
        <v>Dry_W4_T5</v>
      </c>
      <c r="H754" s="273" t="s">
        <v>3651</v>
      </c>
      <c r="I754" s="274" t="s">
        <v>298</v>
      </c>
      <c r="J754" s="263" t="str">
        <f>IF(ISBLANK('Dry_Litterbag Placem_Collection'!M95),"","R"&amp;""&amp;'Dry_Litterbag Placem_Collection'!M95)</f>
        <v>R106</v>
      </c>
      <c r="K754" s="267">
        <f>IFERROR(INDEX('Green_rooibos initial weight'!$C$5:$C$1749,MATCH(J754, 'Green_rooibos initial weight'!$A$5:$A$1749,0)),"")</f>
        <v>2.2330000000000001</v>
      </c>
      <c r="L754" s="267">
        <f>IFERROR(K754-(TBIcalc!$Q$9+TBIcalc!$Q$10),"")</f>
        <v>1.9832000000000001</v>
      </c>
      <c r="M754" s="391">
        <f>AVERAGE(Ashed_controlls!$K$12:$K$14)</f>
        <v>2.2816647271287041</v>
      </c>
      <c r="N754" s="267">
        <f t="shared" si="56"/>
        <v>1.9379500251315835</v>
      </c>
      <c r="O754" s="267">
        <f>IF(IFERROR(INDEX('Both teabags AfterDry'!$D$3:$D$900,MATCH(J754,'Both teabags AfterDry'!$A$3:$A$900,0)),"")="","",(IFERROR(INDEX('Both teabags AfterDry'!$D$3:$D$900,MATCH(J754,'Both teabags AfterDry'!$A$3:$A$900,0)),"")))</f>
        <v>2.0352999999999999</v>
      </c>
      <c r="P754" s="267">
        <f>IFERROR(IF(O754&gt;0,O754-(TBIcalc!$Q$9),""),"")</f>
        <v>1.8846999999999998</v>
      </c>
      <c r="Q754" s="278">
        <f>IFERROR(INDEX('Ashed teabags dry'!$K$2:$K$825,MATCH(J754,'Ashed teabags dry'!$A$2:$A$825,0)),"")</f>
        <v>2.5896414342635063</v>
      </c>
      <c r="R754" s="278">
        <f t="shared" si="57"/>
        <v>1.8358930278884356</v>
      </c>
      <c r="S754" s="268">
        <f>'Dry_Litterbag Placem_Collection'!E95</f>
        <v>42937</v>
      </c>
      <c r="T754" s="268">
        <f>IF('Dry_Litterbag Placem_Collection'!G95="","",'Dry_Litterbag Placem_Collection'!G95)</f>
        <v>43006</v>
      </c>
      <c r="U754" s="269">
        <f t="shared" si="55"/>
        <v>69</v>
      </c>
      <c r="V754" s="267">
        <f t="shared" si="58"/>
        <v>9.8500000000000254E-2</v>
      </c>
      <c r="W754" s="267">
        <f t="shared" si="59"/>
        <v>0.10205699724314798</v>
      </c>
      <c r="X754" s="271">
        <f>IFERROR(INDEX(Rainfall_Dry!$O$2:$O$217,MATCH(B754, Rainfall_Dry!$A$2:$A$217,0)),"")</f>
        <v>12.563016860999999</v>
      </c>
      <c r="Y754" s="260">
        <v>28.145762029394</v>
      </c>
      <c r="Z754" s="260">
        <v>25.085564727199518</v>
      </c>
      <c r="AA754" s="260">
        <v>46.768673243406489</v>
      </c>
      <c r="AB754" s="261" t="s">
        <v>2670</v>
      </c>
      <c r="AC754" s="260">
        <v>6.1716214884179399</v>
      </c>
      <c r="AD754">
        <f>IF('WetLitterbags placem_collection'!AB95="","",'WetLitterbags placem_collection'!AB95)</f>
        <v>6.6</v>
      </c>
      <c r="AE754">
        <f>IF('WetLitterbags placem_collection'!Z95="","",'WetLitterbags placem_collection'!Z95)</f>
        <v>40</v>
      </c>
      <c r="AF754" s="24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71">
        <f>IFERROR(AVERAGE('Dry_Litterbag Placem_Collection'!N95,'Dry_Litterbag Placem_Collection'!Q95),"")</f>
        <v>26.4</v>
      </c>
      <c r="AJ754" s="270">
        <f>INDEX(Coordinates!$B$2:$B$197,MATCH(G754,Coordinates!$J$2:$J$197,0))</f>
        <v>-3.2964789680000002</v>
      </c>
      <c r="AK754" s="270">
        <f>INDEX(Coordinates!$C$2:$C$197,MATCH(G754,Coordinates!$J$2:$J$197,0))</f>
        <v>34.854331000000002</v>
      </c>
      <c r="AL754" s="270" t="str">
        <f>IF(ISNUMBER(SEARCH("C", 'Dry_Litterbag Placem_Collection'!V95)),"YES","NO")</f>
        <v>NO</v>
      </c>
      <c r="AM754" s="270" t="str">
        <f>IF(ISNUMBER(SEARCH("H", 'Dry_Litterbag Placem_Collection'!V95)),"YES","NO")</f>
        <v>NO</v>
      </c>
      <c r="AN754" s="270" t="str">
        <f>IF(ISNUMBER(SEARCH("R", 'Dry_Litterbag Placem_Collection'!V95)),"YES","NO")</f>
        <v>NO</v>
      </c>
    </row>
    <row r="755" spans="1:40" ht="15" customHeight="1">
      <c r="A755" s="262" t="s">
        <v>2659</v>
      </c>
      <c r="B755" s="263">
        <f>'Dry_Litterbag Placem_Collection'!A96</f>
        <v>94</v>
      </c>
      <c r="C755" s="263" t="str">
        <f>'Dry_Litterbag Placem_Collection'!B96</f>
        <v>Maswa</v>
      </c>
      <c r="D755" s="263" t="s">
        <v>2659</v>
      </c>
      <c r="E755" s="263" t="s">
        <v>2661</v>
      </c>
      <c r="F755" s="263">
        <v>4</v>
      </c>
      <c r="G755" s="264" t="str">
        <f>'Dry_Litterbag Placem_Collection'!C96</f>
        <v>Dry_W4_T6</v>
      </c>
      <c r="H755" s="273" t="s">
        <v>3651</v>
      </c>
      <c r="I755" s="274" t="s">
        <v>298</v>
      </c>
      <c r="J755" s="263" t="str">
        <f>IF(ISBLANK('Dry_Litterbag Placem_Collection'!M96),"","R"&amp;""&amp;'Dry_Litterbag Placem_Collection'!M96)</f>
        <v/>
      </c>
      <c r="K755" s="267" t="str">
        <f>IFERROR(INDEX('Green_rooibos initial weight'!$C$5:$C$1749,MATCH(J755, 'Green_rooibos initial weight'!$A$5:$A$1749,0)),"")</f>
        <v/>
      </c>
      <c r="L755" s="267" t="str">
        <f>IFERROR(K755-(TBIcalc!$Q$9+TBIcalc!$Q$10),"")</f>
        <v/>
      </c>
      <c r="M755" s="391">
        <f>AVERAGE(Ashed_controlls!$K$12:$K$14)</f>
        <v>2.2816647271287041</v>
      </c>
      <c r="N755" s="267" t="str">
        <f t="shared" si="56"/>
        <v/>
      </c>
      <c r="O755" s="267" t="str">
        <f>IF(IFERROR(INDEX('Both teabags AfterDry'!$D$3:$D$900,MATCH(J755,'Both teabags AfterDry'!$A$3:$A$900,0)),"")="","",(IFERROR(INDEX('Both teabags AfterDry'!$D$3:$D$900,MATCH(J755,'Both teabags AfterDry'!$A$3:$A$900,0)),"")))</f>
        <v/>
      </c>
      <c r="P755" s="267" t="str">
        <f>IFERROR(IF(O755&gt;0,O755-(TBIcalc!$Q$9),""),"")</f>
        <v/>
      </c>
      <c r="Q755" s="278" t="str">
        <f>IFERROR(INDEX('Ashed teabags dry'!$K$2:$K$825,MATCH(J755,'Ashed teabags dry'!$A$2:$A$825,0)),"")</f>
        <v/>
      </c>
      <c r="R755" s="278" t="str">
        <f t="shared" si="57"/>
        <v/>
      </c>
      <c r="S755" s="268">
        <f>'Dry_Litterbag Placem_Collection'!E96</f>
        <v>0</v>
      </c>
      <c r="T755" s="268" t="str">
        <f>IF('Dry_Litterbag Placem_Collection'!G96="","",'Dry_Litterbag Placem_Collection'!G96)</f>
        <v/>
      </c>
      <c r="U755" s="269" t="str">
        <f t="shared" si="55"/>
        <v/>
      </c>
      <c r="V755" s="267" t="str">
        <f t="shared" si="58"/>
        <v/>
      </c>
      <c r="W755" s="267" t="str">
        <f t="shared" si="59"/>
        <v/>
      </c>
      <c r="X755" s="271" t="str">
        <f>IFERROR(INDEX(Rainfall_Dry!$O$2:$O$217,MATCH(B755, Rainfall_Dry!$A$2:$A$217,0)),"")</f>
        <v/>
      </c>
      <c r="Y755" s="260">
        <v>28.145762029394</v>
      </c>
      <c r="Z755" s="260">
        <v>25.085564727199518</v>
      </c>
      <c r="AA755" s="260">
        <v>46.768673243406489</v>
      </c>
      <c r="AB755" s="261" t="s">
        <v>2670</v>
      </c>
      <c r="AC755" s="260">
        <v>7.1716214884179399</v>
      </c>
      <c r="AD755" t="str">
        <f>IF('WetLitterbags placem_collection'!AB96="","",'WetLitterbags placem_collection'!AB96)</f>
        <v/>
      </c>
      <c r="AE755" t="str">
        <f>IF('WetLitterbags placem_collection'!Z96="","",'WetLitterbags placem_collection'!Z96)</f>
        <v/>
      </c>
      <c r="AF755" s="24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71" t="str">
        <f>IFERROR(AVERAGE('Dry_Litterbag Placem_Collection'!N96,'Dry_Litterbag Placem_Collection'!Q96),"")</f>
        <v/>
      </c>
      <c r="AJ755" s="270">
        <f>INDEX(Coordinates!$B$2:$B$197,MATCH(G755,Coordinates!$J$2:$J$197,0))</f>
        <v>-3.2964649700000002</v>
      </c>
      <c r="AK755" s="270">
        <f>INDEX(Coordinates!$C$2:$C$197,MATCH(G755,Coordinates!$J$2:$J$197,0))</f>
        <v>34.854340970000003</v>
      </c>
      <c r="AL755" s="270" t="str">
        <f>IF(ISNUMBER(SEARCH("C", 'Dry_Litterbag Placem_Collection'!V96)),"YES","NO")</f>
        <v>NO</v>
      </c>
      <c r="AM755" s="270" t="str">
        <f>IF(ISNUMBER(SEARCH("H", 'Dry_Litterbag Placem_Collection'!V96)),"YES","NO")</f>
        <v>NO</v>
      </c>
      <c r="AN755" s="270" t="str">
        <f>IF(ISNUMBER(SEARCH("R", 'Dry_Litterbag Placem_Collection'!V96)),"YES","NO")</f>
        <v>NO</v>
      </c>
    </row>
    <row r="756" spans="1:40" ht="15" customHeight="1">
      <c r="A756" s="262" t="s">
        <v>2659</v>
      </c>
      <c r="B756" s="263">
        <f>'Dry_Litterbag Placem_Collection'!A97</f>
        <v>95</v>
      </c>
      <c r="C756" s="263" t="str">
        <f>'Dry_Litterbag Placem_Collection'!B97</f>
        <v>Maswa</v>
      </c>
      <c r="D756" s="263" t="s">
        <v>2659</v>
      </c>
      <c r="E756" s="263" t="s">
        <v>2661</v>
      </c>
      <c r="F756" s="263">
        <v>4</v>
      </c>
      <c r="G756" s="264" t="str">
        <f>'Dry_Litterbag Placem_Collection'!C97</f>
        <v>Dry_W4_T7</v>
      </c>
      <c r="H756" s="273" t="s">
        <v>3651</v>
      </c>
      <c r="I756" s="274" t="s">
        <v>298</v>
      </c>
      <c r="J756" s="263" t="str">
        <f>IF(ISBLANK('Dry_Litterbag Placem_Collection'!M97),"","R"&amp;""&amp;'Dry_Litterbag Placem_Collection'!M97)</f>
        <v>R233</v>
      </c>
      <c r="K756" s="267">
        <f>IFERROR(INDEX('Green_rooibos initial weight'!$C$5:$C$1749,MATCH(J756, 'Green_rooibos initial weight'!$A$5:$A$1749,0)),"")</f>
        <v>2.1749999999999998</v>
      </c>
      <c r="L756" s="267">
        <f>IFERROR(K756-(TBIcalc!$Q$9+TBIcalc!$Q$10),"")</f>
        <v>1.9251999999999998</v>
      </c>
      <c r="M756" s="391">
        <f>AVERAGE(Ashed_controlls!$K$12:$K$14)</f>
        <v>2.2816647271287041</v>
      </c>
      <c r="N756" s="267">
        <f t="shared" si="56"/>
        <v>1.8812733906733179</v>
      </c>
      <c r="O756" s="267">
        <f>IF(IFERROR(INDEX('Both teabags AfterDry'!$D$3:$D$900,MATCH(J756,'Both teabags AfterDry'!$A$3:$A$900,0)),"")="","",(IFERROR(INDEX('Both teabags AfterDry'!$D$3:$D$900,MATCH(J756,'Both teabags AfterDry'!$A$3:$A$900,0)),"")))</f>
        <v>1.9479</v>
      </c>
      <c r="P756" s="267">
        <f>IFERROR(IF(O756&gt;0,O756-(TBIcalc!$Q$9),""),"")</f>
        <v>1.7972999999999999</v>
      </c>
      <c r="Q756" s="278">
        <f>IFERROR(INDEX('Ashed teabags dry'!$K$2:$K$825,MATCH(J756,'Ashed teabags dry'!$A$2:$A$825,0)),"")</f>
        <v>2.2635814889335339</v>
      </c>
      <c r="R756" s="278">
        <f t="shared" si="57"/>
        <v>1.7566166498993976</v>
      </c>
      <c r="S756" s="268">
        <f>'Dry_Litterbag Placem_Collection'!E97</f>
        <v>42937</v>
      </c>
      <c r="T756" s="268">
        <f>IF('Dry_Litterbag Placem_Collection'!G97="","",'Dry_Litterbag Placem_Collection'!G97)</f>
        <v>43006</v>
      </c>
      <c r="U756" s="269">
        <f t="shared" si="55"/>
        <v>69</v>
      </c>
      <c r="V756" s="267">
        <f t="shared" si="58"/>
        <v>0.1278999999999999</v>
      </c>
      <c r="W756" s="267">
        <f t="shared" si="59"/>
        <v>0.1246567407739203</v>
      </c>
      <c r="X756" s="271">
        <f>IFERROR(INDEX(Rainfall_Dry!$O$2:$O$217,MATCH(B756, Rainfall_Dry!$A$2:$A$217,0)),"")</f>
        <v>12.563016860999999</v>
      </c>
      <c r="Y756" s="260">
        <v>28.145762029394</v>
      </c>
      <c r="Z756" s="260">
        <v>25.085564727199518</v>
      </c>
      <c r="AA756" s="260">
        <v>46.768673243406489</v>
      </c>
      <c r="AB756" s="261" t="s">
        <v>2670</v>
      </c>
      <c r="AC756" s="260">
        <v>8.1716214884179408</v>
      </c>
      <c r="AD756">
        <f>IF('WetLitterbags placem_collection'!AB97="","",'WetLitterbags placem_collection'!AB97)</f>
        <v>5.4</v>
      </c>
      <c r="AE756">
        <f>IF('WetLitterbags placem_collection'!Z97="","",'WetLitterbags placem_collection'!Z97)</f>
        <v>15.2</v>
      </c>
      <c r="AF756" s="24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71">
        <f>IFERROR(AVERAGE('Dry_Litterbag Placem_Collection'!N97,'Dry_Litterbag Placem_Collection'!Q97),"")</f>
        <v>27.35</v>
      </c>
      <c r="AJ756" s="270">
        <f>INDEX(Coordinates!$B$2:$B$197,MATCH(G756,Coordinates!$J$2:$J$197,0))</f>
        <v>-3.296725983</v>
      </c>
      <c r="AK756" s="270">
        <f>INDEX(Coordinates!$C$2:$C$197,MATCH(G756,Coordinates!$J$2:$J$197,0))</f>
        <v>34.854216000000001</v>
      </c>
      <c r="AL756" s="270" t="str">
        <f>IF(ISNUMBER(SEARCH("C", 'Dry_Litterbag Placem_Collection'!V97)),"YES","NO")</f>
        <v>NO</v>
      </c>
      <c r="AM756" s="270" t="str">
        <f>IF(ISNUMBER(SEARCH("H", 'Dry_Litterbag Placem_Collection'!V97)),"YES","NO")</f>
        <v>NO</v>
      </c>
      <c r="AN756" s="270" t="str">
        <f>IF(ISNUMBER(SEARCH("R", 'Dry_Litterbag Placem_Collection'!V97)),"YES","NO")</f>
        <v>NO</v>
      </c>
    </row>
    <row r="757" spans="1:40" ht="15" customHeight="1">
      <c r="A757" s="262" t="s">
        <v>2659</v>
      </c>
      <c r="B757" s="263">
        <f>'Dry_Litterbag Placem_Collection'!A98</f>
        <v>96</v>
      </c>
      <c r="C757" s="263" t="str">
        <f>'Dry_Litterbag Placem_Collection'!B98</f>
        <v>Maswa</v>
      </c>
      <c r="D757" s="263" t="s">
        <v>2659</v>
      </c>
      <c r="E757" s="263" t="s">
        <v>2661</v>
      </c>
      <c r="F757" s="263">
        <v>4</v>
      </c>
      <c r="G757" s="264" t="str">
        <f>'Dry_Litterbag Placem_Collection'!C98</f>
        <v>Dry_W4_T8</v>
      </c>
      <c r="H757" s="273" t="s">
        <v>3651</v>
      </c>
      <c r="I757" s="274" t="s">
        <v>298</v>
      </c>
      <c r="J757" s="263" t="str">
        <f>IF(ISBLANK('Dry_Litterbag Placem_Collection'!M98),"","R"&amp;""&amp;'Dry_Litterbag Placem_Collection'!M98)</f>
        <v>R698</v>
      </c>
      <c r="K757" s="267">
        <f>IFERROR(INDEX('Green_rooibos initial weight'!$C$5:$C$1749,MATCH(J757, 'Green_rooibos initial weight'!$A$5:$A$1749,0)),"")</f>
        <v>2.1779999999999999</v>
      </c>
      <c r="L757" s="267">
        <f>IFERROR(K757-(TBIcalc!$Q$9+TBIcalc!$Q$10),"")</f>
        <v>1.9281999999999999</v>
      </c>
      <c r="M757" s="391">
        <f>AVERAGE(Ashed_controlls!$K$12:$K$14)</f>
        <v>2.2816647271287041</v>
      </c>
      <c r="N757" s="267">
        <f t="shared" si="56"/>
        <v>1.8842049407315042</v>
      </c>
      <c r="O757" s="267">
        <f>IF(IFERROR(INDEX('Both teabags AfterDry'!$D$3:$D$900,MATCH(J757,'Both teabags AfterDry'!$A$3:$A$900,0)),"")="","",(IFERROR(INDEX('Both teabags AfterDry'!$D$3:$D$900,MATCH(J757,'Both teabags AfterDry'!$A$3:$A$900,0)),"")))</f>
        <v>2.0065</v>
      </c>
      <c r="P757" s="267">
        <f>IFERROR(IF(O757&gt;0,O757-(TBIcalc!$Q$9),""),"")</f>
        <v>1.8558999999999999</v>
      </c>
      <c r="Q757" s="278">
        <f>IFERROR(INDEX('Ashed teabags dry'!$K$2:$K$825,MATCH(J757,'Ashed teabags dry'!$A$2:$A$825,0)),"")</f>
        <v>3.4017008504250739</v>
      </c>
      <c r="R757" s="278">
        <f t="shared" si="57"/>
        <v>1.792767833916961</v>
      </c>
      <c r="S757" s="268">
        <f>'Dry_Litterbag Placem_Collection'!E98</f>
        <v>42937</v>
      </c>
      <c r="T757" s="268">
        <f>IF('Dry_Litterbag Placem_Collection'!G98="","",'Dry_Litterbag Placem_Collection'!G98)</f>
        <v>43006</v>
      </c>
      <c r="U757" s="269">
        <f t="shared" si="55"/>
        <v>69</v>
      </c>
      <c r="V757" s="267">
        <f t="shared" si="58"/>
        <v>7.2300000000000031E-2</v>
      </c>
      <c r="W757" s="267">
        <f t="shared" si="59"/>
        <v>9.1437106814543201E-2</v>
      </c>
      <c r="X757" s="271">
        <f>IFERROR(INDEX(Rainfall_Dry!$O$2:$O$217,MATCH(B757, Rainfall_Dry!$A$2:$A$217,0)),"")</f>
        <v>12.563016860999999</v>
      </c>
      <c r="Y757" s="260">
        <v>28.145762029394</v>
      </c>
      <c r="Z757" s="260">
        <v>25.085564727199518</v>
      </c>
      <c r="AA757" s="260">
        <v>46.768673243406489</v>
      </c>
      <c r="AB757" s="261" t="s">
        <v>2670</v>
      </c>
      <c r="AC757" s="260">
        <v>9.1716214884179408</v>
      </c>
      <c r="AD757">
        <f>IF('WetLitterbags placem_collection'!AB98="","",'WetLitterbags placem_collection'!AB98)</f>
        <v>4</v>
      </c>
      <c r="AE757">
        <f>IF('WetLitterbags placem_collection'!Z98="","",'WetLitterbags placem_collection'!Z98)</f>
        <v>34.4</v>
      </c>
      <c r="AF757" s="24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71">
        <f>IFERROR(AVERAGE('Dry_Litterbag Placem_Collection'!N98,'Dry_Litterbag Placem_Collection'!Q98),"")</f>
        <v>25.950000000000003</v>
      </c>
      <c r="AJ757" s="270">
        <f>INDEX(Coordinates!$B$2:$B$197,MATCH(G757,Coordinates!$J$2:$J$197,0))</f>
        <v>-3.2968360369999998</v>
      </c>
      <c r="AK757" s="270">
        <f>INDEX(Coordinates!$C$2:$C$197,MATCH(G757,Coordinates!$J$2:$J$197,0))</f>
        <v>34.854462009999999</v>
      </c>
      <c r="AL757" s="270" t="str">
        <f>IF(ISNUMBER(SEARCH("C", 'Dry_Litterbag Placem_Collection'!V98)),"YES","NO")</f>
        <v>NO</v>
      </c>
      <c r="AM757" s="270" t="str">
        <f>IF(ISNUMBER(SEARCH("H", 'Dry_Litterbag Placem_Collection'!V98)),"YES","NO")</f>
        <v>NO</v>
      </c>
      <c r="AN757" s="270" t="str">
        <f>IF(ISNUMBER(SEARCH("R", 'Dry_Litterbag Placem_Collection'!V98)),"YES","NO")</f>
        <v>NO</v>
      </c>
    </row>
    <row r="758" spans="1:40" ht="15" customHeight="1">
      <c r="A758" s="262" t="s">
        <v>2659</v>
      </c>
      <c r="B758" s="263">
        <f>'Dry_Litterbag Placem_Collection'!A99</f>
        <v>97</v>
      </c>
      <c r="C758" s="263" t="str">
        <f>'Dry_Litterbag Placem_Collection'!B99</f>
        <v xml:space="preserve">Mwantimba
</v>
      </c>
      <c r="D758" s="263" t="s">
        <v>2659</v>
      </c>
      <c r="E758" s="263" t="s">
        <v>2660</v>
      </c>
      <c r="F758" s="263">
        <v>1</v>
      </c>
      <c r="G758" s="264" t="str">
        <f>'Dry_Litterbag Placem_Collection'!C99</f>
        <v>Wet_Ag1_T1</v>
      </c>
      <c r="H758" s="273" t="s">
        <v>3651</v>
      </c>
      <c r="I758" s="274" t="s">
        <v>298</v>
      </c>
      <c r="J758" s="263" t="str">
        <f>IF(ISBLANK('Dry_Litterbag Placem_Collection'!M99),"","R"&amp;""&amp;'Dry_Litterbag Placem_Collection'!M99)</f>
        <v>R47</v>
      </c>
      <c r="K758" s="267">
        <f>IFERROR(INDEX('Green_rooibos initial weight'!$C$5:$C$1749,MATCH(J758, 'Green_rooibos initial weight'!$A$5:$A$1749,0)),"")</f>
        <v>2.1850000000000001</v>
      </c>
      <c r="L758" s="267">
        <f>IFERROR(K758-(TBIcalc!$Q$9+TBIcalc!$Q$10),"")</f>
        <v>1.9352</v>
      </c>
      <c r="M758" s="391">
        <f>AVERAGE(Ashed_controlls!$K$12:$K$14)</f>
        <v>2.2816647271287041</v>
      </c>
      <c r="N758" s="267">
        <f t="shared" si="56"/>
        <v>1.8910452242006053</v>
      </c>
      <c r="O758" s="267" t="str">
        <f>IF(IFERROR(INDEX('Both teabags AfterDry'!$D$3:$D$900,MATCH(J758,'Both teabags AfterDry'!$A$3:$A$900,0)),"")="","",(IFERROR(INDEX('Both teabags AfterDry'!$D$3:$D$900,MATCH(J758,'Both teabags AfterDry'!$A$3:$A$900,0)),"")))</f>
        <v/>
      </c>
      <c r="P758" s="267" t="str">
        <f>IFERROR(IF(O758&gt;0,O758-(TBIcalc!$Q$9),""),"")</f>
        <v/>
      </c>
      <c r="Q758" s="278" t="str">
        <f>IFERROR(INDEX('Ashed teabags dry'!$K$2:$K$825,MATCH(J758,'Ashed teabags dry'!$A$2:$A$825,0)),"")</f>
        <v/>
      </c>
      <c r="R758" s="278" t="str">
        <f t="shared" si="57"/>
        <v/>
      </c>
      <c r="S758" s="268">
        <f>'Dry_Litterbag Placem_Collection'!E99</f>
        <v>42939</v>
      </c>
      <c r="T758" s="268">
        <f>IF('Dry_Litterbag Placem_Collection'!G99="","",'Dry_Litterbag Placem_Collection'!G99)</f>
        <v>43010</v>
      </c>
      <c r="U758" s="269">
        <f t="shared" si="55"/>
        <v>71</v>
      </c>
      <c r="V758" s="267" t="str">
        <f t="shared" si="58"/>
        <v/>
      </c>
      <c r="W758" s="267" t="str">
        <f t="shared" si="59"/>
        <v/>
      </c>
      <c r="X758" s="271">
        <f>IFERROR(INDEX(Rainfall_Dry!$O$2:$O$217,MATCH(B758, Rainfall_Dry!$A$2:$A$217,0)),"")</f>
        <v>137.19979645800001</v>
      </c>
      <c r="Y758" s="260">
        <v>45.96</v>
      </c>
      <c r="Z758" s="260">
        <v>14.920000000000003</v>
      </c>
      <c r="AA758" s="260">
        <v>39.119999999999997</v>
      </c>
      <c r="AB758" s="261" t="s">
        <v>2673</v>
      </c>
      <c r="AC758" s="260">
        <v>2.0374568753080333</v>
      </c>
      <c r="AD758">
        <f>IF('WetLitterbags placem_collection'!AB99="","",'WetLitterbags placem_collection'!AB99)</f>
        <v>2.4</v>
      </c>
      <c r="AE758">
        <f>IF('WetLitterbags placem_collection'!Z99="","",'WetLitterbags placem_collection'!Z99)</f>
        <v>8.9</v>
      </c>
      <c r="AF758" s="24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71">
        <f>IFERROR(AVERAGE('Dry_Litterbag Placem_Collection'!N99,'Dry_Litterbag Placem_Collection'!Q99),"")</f>
        <v>28.5</v>
      </c>
      <c r="AJ758" s="270">
        <f>INDEX(Coordinates!$B$2:$B$197,MATCH(G758,Coordinates!$J$2:$J$197,0))</f>
        <v>-2.3691620310000001</v>
      </c>
      <c r="AK758" s="270">
        <f>INDEX(Coordinates!$C$2:$C$197,MATCH(G758,Coordinates!$J$2:$J$197,0))</f>
        <v>34.06028104</v>
      </c>
      <c r="AL758" s="270" t="str">
        <f>IF(ISNUMBER(SEARCH("C", 'Dry_Litterbag Placem_Collection'!V99)),"YES","NO")</f>
        <v>NO</v>
      </c>
      <c r="AM758" s="270" t="str">
        <f>IF(ISNUMBER(SEARCH("H", 'Dry_Litterbag Placem_Collection'!V99)),"YES","NO")</f>
        <v>NO</v>
      </c>
      <c r="AN758" s="270" t="str">
        <f>IF(ISNUMBER(SEARCH("R", 'Dry_Litterbag Placem_Collection'!V99)),"YES","NO")</f>
        <v>NO</v>
      </c>
    </row>
    <row r="759" spans="1:40" ht="15" customHeight="1">
      <c r="A759" s="262" t="s">
        <v>2659</v>
      </c>
      <c r="B759" s="263">
        <f>'Dry_Litterbag Placem_Collection'!A100</f>
        <v>98</v>
      </c>
      <c r="C759" s="263" t="str">
        <f>'Dry_Litterbag Placem_Collection'!B100</f>
        <v xml:space="preserve">Mwantimba
</v>
      </c>
      <c r="D759" s="263" t="s">
        <v>2659</v>
      </c>
      <c r="E759" s="263" t="s">
        <v>2660</v>
      </c>
      <c r="F759" s="263">
        <v>1</v>
      </c>
      <c r="G759" s="264" t="str">
        <f>'Dry_Litterbag Placem_Collection'!C100</f>
        <v>Wet_Ag1_T2</v>
      </c>
      <c r="H759" s="273" t="s">
        <v>3651</v>
      </c>
      <c r="I759" s="274" t="s">
        <v>298</v>
      </c>
      <c r="J759" s="263" t="str">
        <f>IF(ISBLANK('Dry_Litterbag Placem_Collection'!M100),"","R"&amp;""&amp;'Dry_Litterbag Placem_Collection'!M100)</f>
        <v>R707</v>
      </c>
      <c r="K759" s="267">
        <f>IFERROR(INDEX('Green_rooibos initial weight'!$C$5:$C$1749,MATCH(J759, 'Green_rooibos initial weight'!$A$5:$A$1749,0)),"")</f>
        <v>2.145</v>
      </c>
      <c r="L759" s="267">
        <f>IFERROR(K759-(TBIcalc!$Q$9+TBIcalc!$Q$10),"")</f>
        <v>1.8952</v>
      </c>
      <c r="M759" s="391">
        <f>AVERAGE(Ashed_controlls!$K$12:$K$14)</f>
        <v>2.2816647271287041</v>
      </c>
      <c r="N759" s="267">
        <f t="shared" si="56"/>
        <v>1.8519578900914568</v>
      </c>
      <c r="O759" s="267">
        <f>IF(IFERROR(INDEX('Both teabags AfterDry'!$D$3:$D$900,MATCH(J759,'Both teabags AfterDry'!$A$3:$A$900,0)),"")="","",(IFERROR(INDEX('Both teabags AfterDry'!$D$3:$D$900,MATCH(J759,'Both teabags AfterDry'!$A$3:$A$900,0)),"")))</f>
        <v>1.8146</v>
      </c>
      <c r="P759" s="267">
        <f>IFERROR(IF(O759&gt;0,O759-(TBIcalc!$Q$9),""),"")</f>
        <v>1.6639999999999999</v>
      </c>
      <c r="Q759" s="278">
        <f>IFERROR(INDEX('Ashed teabags dry'!$K$2:$K$825,MATCH(J759,'Ashed teabags dry'!$A$2:$A$825,0)),"")</f>
        <v>4.2060491493383303</v>
      </c>
      <c r="R759" s="278">
        <f t="shared" si="57"/>
        <v>1.5940113421550102</v>
      </c>
      <c r="S759" s="268">
        <f>'Dry_Litterbag Placem_Collection'!E100</f>
        <v>42939</v>
      </c>
      <c r="T759" s="268">
        <f>IF('Dry_Litterbag Placem_Collection'!G100="","",'Dry_Litterbag Placem_Collection'!G100)</f>
        <v>43010</v>
      </c>
      <c r="U759" s="269">
        <f t="shared" si="55"/>
        <v>71</v>
      </c>
      <c r="V759" s="267">
        <f t="shared" si="58"/>
        <v>0.23120000000000007</v>
      </c>
      <c r="W759" s="267">
        <f t="shared" si="59"/>
        <v>0.25794654793644667</v>
      </c>
      <c r="X759" s="271">
        <f>IFERROR(INDEX(Rainfall_Dry!$O$2:$O$217,MATCH(B759, Rainfall_Dry!$A$2:$A$217,0)),"")</f>
        <v>137.19979645800001</v>
      </c>
      <c r="Y759" s="260">
        <v>45.96</v>
      </c>
      <c r="Z759" s="260">
        <v>14.920000000000003</v>
      </c>
      <c r="AA759" s="260">
        <v>39.119999999999997</v>
      </c>
      <c r="AB759" s="261" t="s">
        <v>2673</v>
      </c>
      <c r="AC759" s="260">
        <v>3.0374568753080302</v>
      </c>
      <c r="AD759">
        <f>IF('WetLitterbags placem_collection'!AB100="","",'WetLitterbags placem_collection'!AB100)</f>
        <v>7.8</v>
      </c>
      <c r="AE759">
        <f>IF('WetLitterbags placem_collection'!Z100="","",'WetLitterbags placem_collection'!Z100)</f>
        <v>4.45</v>
      </c>
      <c r="AF759" s="24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71">
        <f>IFERROR(AVERAGE('Dry_Litterbag Placem_Collection'!N100,'Dry_Litterbag Placem_Collection'!Q100),"")</f>
        <v>29.3</v>
      </c>
      <c r="AJ759" s="270">
        <f>INDEX(Coordinates!$B$2:$B$197,MATCH(G759,Coordinates!$J$2:$J$197,0))</f>
        <v>-2.3692249790000002</v>
      </c>
      <c r="AK759" s="270">
        <f>INDEX(Coordinates!$C$2:$C$197,MATCH(G759,Coordinates!$J$2:$J$197,0))</f>
        <v>34.060285989999997</v>
      </c>
      <c r="AL759" s="270" t="str">
        <f>IF(ISNUMBER(SEARCH("C", 'Dry_Litterbag Placem_Collection'!V100)),"YES","NO")</f>
        <v>NO</v>
      </c>
      <c r="AM759" s="270" t="str">
        <f>IF(ISNUMBER(SEARCH("H", 'Dry_Litterbag Placem_Collection'!V100)),"YES","NO")</f>
        <v>NO</v>
      </c>
      <c r="AN759" s="270" t="str">
        <f>IF(ISNUMBER(SEARCH("R", 'Dry_Litterbag Placem_Collection'!V100)),"YES","NO")</f>
        <v>NO</v>
      </c>
    </row>
    <row r="760" spans="1:40" ht="15" customHeight="1">
      <c r="A760" s="262" t="s">
        <v>2659</v>
      </c>
      <c r="B760" s="263">
        <f>'Dry_Litterbag Placem_Collection'!A101</f>
        <v>99</v>
      </c>
      <c r="C760" s="263" t="str">
        <f>'Dry_Litterbag Placem_Collection'!B101</f>
        <v xml:space="preserve">Mwantimba
</v>
      </c>
      <c r="D760" s="263" t="s">
        <v>2659</v>
      </c>
      <c r="E760" s="263" t="s">
        <v>2660</v>
      </c>
      <c r="F760" s="263">
        <v>1</v>
      </c>
      <c r="G760" s="264" t="str">
        <f>'Dry_Litterbag Placem_Collection'!C101</f>
        <v>Wet_Ag1_T3</v>
      </c>
      <c r="H760" s="273" t="s">
        <v>3651</v>
      </c>
      <c r="I760" s="274" t="s">
        <v>298</v>
      </c>
      <c r="J760" s="263" t="str">
        <f>IF(ISBLANK('Dry_Litterbag Placem_Collection'!M101),"","R"&amp;""&amp;'Dry_Litterbag Placem_Collection'!M101)</f>
        <v/>
      </c>
      <c r="K760" s="267" t="str">
        <f>IFERROR(INDEX('Green_rooibos initial weight'!$C$5:$C$1749,MATCH(J760, 'Green_rooibos initial weight'!$A$5:$A$1749,0)),"")</f>
        <v/>
      </c>
      <c r="L760" s="267" t="str">
        <f>IFERROR(K760-(TBIcalc!$Q$9+TBIcalc!$Q$10),"")</f>
        <v/>
      </c>
      <c r="M760" s="391">
        <f>AVERAGE(Ashed_controlls!$K$12:$K$14)</f>
        <v>2.2816647271287041</v>
      </c>
      <c r="N760" s="267" t="str">
        <f t="shared" si="56"/>
        <v/>
      </c>
      <c r="O760" s="267" t="str">
        <f>IF(IFERROR(INDEX('Both teabags AfterDry'!$D$3:$D$900,MATCH(J760,'Both teabags AfterDry'!$A$3:$A$900,0)),"")="","",(IFERROR(INDEX('Both teabags AfterDry'!$D$3:$D$900,MATCH(J760,'Both teabags AfterDry'!$A$3:$A$900,0)),"")))</f>
        <v/>
      </c>
      <c r="P760" s="267" t="str">
        <f>IFERROR(IF(O760&gt;0,O760-(TBIcalc!$Q$9),""),"")</f>
        <v/>
      </c>
      <c r="Q760" s="278" t="str">
        <f>IFERROR(INDEX('Ashed teabags dry'!$K$2:$K$825,MATCH(J760,'Ashed teabags dry'!$A$2:$A$825,0)),"")</f>
        <v/>
      </c>
      <c r="R760" s="278" t="str">
        <f t="shared" si="57"/>
        <v/>
      </c>
      <c r="S760" s="268">
        <f>'Dry_Litterbag Placem_Collection'!E101</f>
        <v>0</v>
      </c>
      <c r="T760" s="268" t="str">
        <f>IF('Dry_Litterbag Placem_Collection'!G101="","",'Dry_Litterbag Placem_Collection'!G101)</f>
        <v/>
      </c>
      <c r="U760" s="269" t="str">
        <f t="shared" si="55"/>
        <v/>
      </c>
      <c r="V760" s="267" t="str">
        <f t="shared" si="58"/>
        <v/>
      </c>
      <c r="W760" s="267" t="str">
        <f t="shared" si="59"/>
        <v/>
      </c>
      <c r="X760" s="271" t="str">
        <f>IFERROR(INDEX(Rainfall_Dry!$O$2:$O$217,MATCH(B760, Rainfall_Dry!$A$2:$A$217,0)),"")</f>
        <v/>
      </c>
      <c r="Y760" s="260">
        <v>45.96</v>
      </c>
      <c r="Z760" s="260">
        <v>14.920000000000003</v>
      </c>
      <c r="AA760" s="260">
        <v>39.119999999999997</v>
      </c>
      <c r="AB760" s="261" t="s">
        <v>2673</v>
      </c>
      <c r="AC760" s="260">
        <v>4.0374568753080302</v>
      </c>
      <c r="AD760">
        <f>IF('WetLitterbags placem_collection'!AB101="","",'WetLitterbags placem_collection'!AB101)</f>
        <v>5.0999999999999996</v>
      </c>
      <c r="AE760">
        <f>IF('WetLitterbags placem_collection'!Z101="","",'WetLitterbags placem_collection'!Z101)</f>
        <v>2.2999999999999998</v>
      </c>
      <c r="AF760" s="24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71" t="str">
        <f>IFERROR(AVERAGE('Dry_Litterbag Placem_Collection'!N101,'Dry_Litterbag Placem_Collection'!Q101),"")</f>
        <v/>
      </c>
      <c r="AJ760" s="270">
        <f>INDEX(Coordinates!$B$2:$B$197,MATCH(G760,Coordinates!$J$2:$J$197,0))</f>
        <v>-2.369284993</v>
      </c>
      <c r="AK760" s="270">
        <f>INDEX(Coordinates!$C$2:$C$197,MATCH(G760,Coordinates!$J$2:$J$197,0))</f>
        <v>34.06028104</v>
      </c>
      <c r="AL760" s="270" t="str">
        <f>IF(ISNUMBER(SEARCH("C", 'Dry_Litterbag Placem_Collection'!V101)),"YES","NO")</f>
        <v>NO</v>
      </c>
      <c r="AM760" s="270" t="str">
        <f>IF(ISNUMBER(SEARCH("H", 'Dry_Litterbag Placem_Collection'!V101)),"YES","NO")</f>
        <v>NO</v>
      </c>
      <c r="AN760" s="270" t="str">
        <f>IF(ISNUMBER(SEARCH("R", 'Dry_Litterbag Placem_Collection'!V101)),"YES","NO")</f>
        <v>NO</v>
      </c>
    </row>
    <row r="761" spans="1:40" ht="15" customHeight="1">
      <c r="A761" s="262" t="s">
        <v>2659</v>
      </c>
      <c r="B761" s="263">
        <f>'Dry_Litterbag Placem_Collection'!A102</f>
        <v>100</v>
      </c>
      <c r="C761" s="263" t="str">
        <f>'Dry_Litterbag Placem_Collection'!B102</f>
        <v xml:space="preserve">Mwantimba
</v>
      </c>
      <c r="D761" s="263" t="s">
        <v>2659</v>
      </c>
      <c r="E761" s="263" t="s">
        <v>2660</v>
      </c>
      <c r="F761" s="263">
        <v>1</v>
      </c>
      <c r="G761" s="264" t="str">
        <f>'Dry_Litterbag Placem_Collection'!C102</f>
        <v>Wet_Ag1_T4</v>
      </c>
      <c r="H761" s="273" t="s">
        <v>3651</v>
      </c>
      <c r="I761" s="274" t="s">
        <v>298</v>
      </c>
      <c r="J761" s="263" t="str">
        <f>IF(ISBLANK('Dry_Litterbag Placem_Collection'!M102),"","R"&amp;""&amp;'Dry_Litterbag Placem_Collection'!M102)</f>
        <v>R641</v>
      </c>
      <c r="K761" s="267">
        <f>IFERROR(INDEX('Green_rooibos initial weight'!$C$5:$C$1749,MATCH(J761, 'Green_rooibos initial weight'!$A$5:$A$1749,0)),"")</f>
        <v>2.1459999999999999</v>
      </c>
      <c r="L761" s="267">
        <f>IFERROR(K761-(TBIcalc!$Q$9+TBIcalc!$Q$10),"")</f>
        <v>1.8961999999999999</v>
      </c>
      <c r="M761" s="391">
        <f>AVERAGE(Ashed_controlls!$K$12:$K$14)</f>
        <v>2.2816647271287041</v>
      </c>
      <c r="N761" s="267">
        <f t="shared" si="56"/>
        <v>1.8529350734441854</v>
      </c>
      <c r="O761" s="267">
        <f>IF(IFERROR(INDEX('Both teabags AfterDry'!$D$3:$D$900,MATCH(J761,'Both teabags AfterDry'!$A$3:$A$900,0)),"")="","",(IFERROR(INDEX('Both teabags AfterDry'!$D$3:$D$900,MATCH(J761,'Both teabags AfterDry'!$A$3:$A$900,0)),"")))</f>
        <v>1.9777</v>
      </c>
      <c r="P761" s="267">
        <f>IFERROR(IF(O761&gt;0,O761-(TBIcalc!$Q$9),""),"")</f>
        <v>1.8270999999999999</v>
      </c>
      <c r="Q761" s="278">
        <f>IFERROR(INDEX('Ashed teabags dry'!$K$2:$K$825,MATCH(J761,'Ashed teabags dry'!$A$2:$A$825,0)),"")</f>
        <v>3.7708830548921735</v>
      </c>
      <c r="R761" s="278">
        <f t="shared" si="57"/>
        <v>1.758202195704065</v>
      </c>
      <c r="S761" s="268">
        <f>'Dry_Litterbag Placem_Collection'!E102</f>
        <v>42939</v>
      </c>
      <c r="T761" s="268">
        <f>IF('Dry_Litterbag Placem_Collection'!G102="","",'Dry_Litterbag Placem_Collection'!G102)</f>
        <v>43010</v>
      </c>
      <c r="U761" s="269">
        <f t="shared" si="55"/>
        <v>71</v>
      </c>
      <c r="V761" s="267">
        <f t="shared" si="58"/>
        <v>6.9099999999999939E-2</v>
      </c>
      <c r="W761" s="267">
        <f t="shared" si="59"/>
        <v>9.4732877740120403E-2</v>
      </c>
      <c r="X761" s="271">
        <f>IFERROR(INDEX(Rainfall_Dry!$O$2:$O$217,MATCH(B761, Rainfall_Dry!$A$2:$A$217,0)),"")</f>
        <v>137.19979645800001</v>
      </c>
      <c r="Y761" s="260">
        <v>45.96</v>
      </c>
      <c r="Z761" s="260">
        <v>14.920000000000003</v>
      </c>
      <c r="AA761" s="260">
        <v>39.119999999999997</v>
      </c>
      <c r="AB761" s="261" t="s">
        <v>2673</v>
      </c>
      <c r="AC761" s="260">
        <v>5.0374568753080302</v>
      </c>
      <c r="AD761">
        <f>IF('WetLitterbags placem_collection'!AB102="","",'WetLitterbags placem_collection'!AB102)</f>
        <v>1.6</v>
      </c>
      <c r="AE761">
        <f>IF('WetLitterbags placem_collection'!Z102="","",'WetLitterbags placem_collection'!Z102)</f>
        <v>15</v>
      </c>
      <c r="AF761" s="24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71">
        <f>IFERROR(AVERAGE('Dry_Litterbag Placem_Collection'!N102,'Dry_Litterbag Placem_Collection'!Q102),"")</f>
        <v>29.1</v>
      </c>
      <c r="AJ761" s="270">
        <f>INDEX(Coordinates!$B$2:$B$197,MATCH(G761,Coordinates!$J$2:$J$197,0))</f>
        <v>-2.3691989950000001</v>
      </c>
      <c r="AK761" s="270">
        <f>INDEX(Coordinates!$C$2:$C$197,MATCH(G761,Coordinates!$J$2:$J$197,0))</f>
        <v>34.060208029999998</v>
      </c>
      <c r="AL761" s="270" t="str">
        <f>IF(ISNUMBER(SEARCH("C", 'Dry_Litterbag Placem_Collection'!V102)),"YES","NO")</f>
        <v>NO</v>
      </c>
      <c r="AM761" s="270" t="str">
        <f>IF(ISNUMBER(SEARCH("H", 'Dry_Litterbag Placem_Collection'!V102)),"YES","NO")</f>
        <v>NO</v>
      </c>
      <c r="AN761" s="270" t="str">
        <f>IF(ISNUMBER(SEARCH("R", 'Dry_Litterbag Placem_Collection'!V102)),"YES","NO")</f>
        <v>NO</v>
      </c>
    </row>
    <row r="762" spans="1:40" ht="15" customHeight="1">
      <c r="A762" s="262" t="s">
        <v>2659</v>
      </c>
      <c r="B762" s="263">
        <f>'Dry_Litterbag Placem_Collection'!A103</f>
        <v>101</v>
      </c>
      <c r="C762" s="263" t="str">
        <f>'Dry_Litterbag Placem_Collection'!B103</f>
        <v xml:space="preserve">Mwantimba
</v>
      </c>
      <c r="D762" s="263" t="s">
        <v>2659</v>
      </c>
      <c r="E762" s="263" t="s">
        <v>2660</v>
      </c>
      <c r="F762" s="263">
        <v>1</v>
      </c>
      <c r="G762" s="264" t="str">
        <f>'Dry_Litterbag Placem_Collection'!C103</f>
        <v>Wet_Ag1_T5</v>
      </c>
      <c r="H762" s="273" t="s">
        <v>3651</v>
      </c>
      <c r="I762" s="274" t="s">
        <v>298</v>
      </c>
      <c r="J762" s="263" t="str">
        <f>IF(ISBLANK('Dry_Litterbag Placem_Collection'!M103),"","R"&amp;""&amp;'Dry_Litterbag Placem_Collection'!M103)</f>
        <v>R245</v>
      </c>
      <c r="K762" s="267">
        <f>IFERROR(INDEX('Green_rooibos initial weight'!$C$5:$C$1749,MATCH(J762, 'Green_rooibos initial weight'!$A$5:$A$1749,0)),"")</f>
        <v>2.258</v>
      </c>
      <c r="L762" s="267">
        <f>IFERROR(K762-(TBIcalc!$Q$9+TBIcalc!$Q$10),"")</f>
        <v>2.0082</v>
      </c>
      <c r="M762" s="391">
        <f>AVERAGE(Ashed_controlls!$K$12:$K$14)</f>
        <v>2.2816647271287041</v>
      </c>
      <c r="N762" s="267">
        <f t="shared" si="56"/>
        <v>1.9623796089498013</v>
      </c>
      <c r="O762" s="267">
        <f>IF(IFERROR(INDEX('Both teabags AfterDry'!$D$3:$D$900,MATCH(J762,'Both teabags AfterDry'!$A$3:$A$900,0)),"")="","",(IFERROR(INDEX('Both teabags AfterDry'!$D$3:$D$900,MATCH(J762,'Both teabags AfterDry'!$A$3:$A$900,0)),"")))</f>
        <v>1.8418000000000001</v>
      </c>
      <c r="P762" s="267">
        <f>IFERROR(IF(O762&gt;0,O762-(TBIcalc!$Q$9),""),"")</f>
        <v>1.6912</v>
      </c>
      <c r="Q762" s="278">
        <f>IFERROR(INDEX('Ashed teabags dry'!$K$2:$K$825,MATCH(J762,'Ashed teabags dry'!$A$2:$A$825,0)),"")</f>
        <v>3.2786885245898914</v>
      </c>
      <c r="R762" s="278">
        <f t="shared" si="57"/>
        <v>1.6357508196721358</v>
      </c>
      <c r="S762" s="268">
        <f>'Dry_Litterbag Placem_Collection'!E103</f>
        <v>42939</v>
      </c>
      <c r="T762" s="268">
        <f>IF('Dry_Litterbag Placem_Collection'!G103="","",'Dry_Litterbag Placem_Collection'!G103)</f>
        <v>43010</v>
      </c>
      <c r="U762" s="269">
        <f t="shared" si="55"/>
        <v>71</v>
      </c>
      <c r="V762" s="267">
        <f t="shared" si="58"/>
        <v>0.31699999999999995</v>
      </c>
      <c r="W762" s="267">
        <f t="shared" si="59"/>
        <v>0.32662878927766559</v>
      </c>
      <c r="X762" s="271">
        <f>IFERROR(INDEX(Rainfall_Dry!$O$2:$O$217,MATCH(B762, Rainfall_Dry!$A$2:$A$217,0)),"")</f>
        <v>137.19979645800001</v>
      </c>
      <c r="Y762" s="260">
        <v>45.96</v>
      </c>
      <c r="Z762" s="260">
        <v>14.920000000000003</v>
      </c>
      <c r="AA762" s="260">
        <v>39.119999999999997</v>
      </c>
      <c r="AB762" s="261" t="s">
        <v>2673</v>
      </c>
      <c r="AC762" s="260">
        <v>6.0374568753080302</v>
      </c>
      <c r="AD762">
        <f>IF('WetLitterbags placem_collection'!AB103="","",'WetLitterbags placem_collection'!AB103)</f>
        <v>4.3499999999999996</v>
      </c>
      <c r="AE762">
        <f>IF('WetLitterbags placem_collection'!Z103="","",'WetLitterbags placem_collection'!Z103)</f>
        <v>17</v>
      </c>
      <c r="AF762" s="24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71">
        <f>IFERROR(AVERAGE('Dry_Litterbag Placem_Collection'!N103,'Dry_Litterbag Placem_Collection'!Q103),"")</f>
        <v>29.549999999999997</v>
      </c>
      <c r="AJ762" s="270">
        <f>INDEX(Coordinates!$B$2:$B$197,MATCH(G762,Coordinates!$J$2:$J$197,0))</f>
        <v>-2.3691900260000001</v>
      </c>
      <c r="AK762" s="270">
        <f>INDEX(Coordinates!$C$2:$C$197,MATCH(G762,Coordinates!$J$2:$J$197,0))</f>
        <v>34.060177019999998</v>
      </c>
      <c r="AL762" s="270" t="str">
        <f>IF(ISNUMBER(SEARCH("C", 'Dry_Litterbag Placem_Collection'!V103)),"YES","NO")</f>
        <v>NO</v>
      </c>
      <c r="AM762" s="270" t="str">
        <f>IF(ISNUMBER(SEARCH("H", 'Dry_Litterbag Placem_Collection'!V103)),"YES","NO")</f>
        <v>NO</v>
      </c>
      <c r="AN762" s="270" t="str">
        <f>IF(ISNUMBER(SEARCH("R", 'Dry_Litterbag Placem_Collection'!V103)),"YES","NO")</f>
        <v>NO</v>
      </c>
    </row>
    <row r="763" spans="1:40" ht="15" customHeight="1">
      <c r="A763" s="262" t="s">
        <v>2659</v>
      </c>
      <c r="B763" s="263">
        <f>'Dry_Litterbag Placem_Collection'!A104</f>
        <v>102</v>
      </c>
      <c r="C763" s="263" t="str">
        <f>'Dry_Litterbag Placem_Collection'!B104</f>
        <v xml:space="preserve">Mwantimba
</v>
      </c>
      <c r="D763" s="263" t="s">
        <v>2659</v>
      </c>
      <c r="E763" s="263" t="s">
        <v>2660</v>
      </c>
      <c r="F763" s="263">
        <v>1</v>
      </c>
      <c r="G763" s="264" t="str">
        <f>'Dry_Litterbag Placem_Collection'!C104</f>
        <v>Wet_Ag1_T6</v>
      </c>
      <c r="H763" s="273" t="s">
        <v>3651</v>
      </c>
      <c r="I763" s="274" t="s">
        <v>298</v>
      </c>
      <c r="J763" s="263" t="str">
        <f>IF(ISBLANK('Dry_Litterbag Placem_Collection'!M104),"","R"&amp;""&amp;'Dry_Litterbag Placem_Collection'!M104)</f>
        <v>R714</v>
      </c>
      <c r="K763" s="267">
        <f>IFERROR(INDEX('Green_rooibos initial weight'!$C$5:$C$1749,MATCH(J763, 'Green_rooibos initial weight'!$A$5:$A$1749,0)),"")</f>
        <v>2.1560000000000001</v>
      </c>
      <c r="L763" s="267">
        <f>IFERROR(K763-(TBIcalc!$Q$9+TBIcalc!$Q$10),"")</f>
        <v>1.9062000000000001</v>
      </c>
      <c r="M763" s="391">
        <f>AVERAGE(Ashed_controlls!$K$12:$K$14)</f>
        <v>2.2816647271287041</v>
      </c>
      <c r="N763" s="267">
        <f t="shared" si="56"/>
        <v>1.8627069069714728</v>
      </c>
      <c r="O763" s="267">
        <f>IF(IFERROR(INDEX('Both teabags AfterDry'!$D$3:$D$900,MATCH(J763,'Both teabags AfterDry'!$A$3:$A$900,0)),"")="","",(IFERROR(INDEX('Both teabags AfterDry'!$D$3:$D$900,MATCH(J763,'Both teabags AfterDry'!$A$3:$A$900,0)),"")))</f>
        <v>1.8105</v>
      </c>
      <c r="P763" s="267">
        <f>IFERROR(IF(O763&gt;0,O763-(TBIcalc!$Q$9),""),"")</f>
        <v>1.6598999999999999</v>
      </c>
      <c r="Q763" s="278">
        <f>IFERROR(INDEX('Ashed teabags dry'!$K$2:$K$825,MATCH(J763,'Ashed teabags dry'!$A$2:$A$825,0)),"")</f>
        <v>4.3863535666823292</v>
      </c>
      <c r="R763" s="278">
        <f t="shared" si="57"/>
        <v>1.5870909171466399</v>
      </c>
      <c r="S763" s="268">
        <f>'Dry_Litterbag Placem_Collection'!E104</f>
        <v>42939</v>
      </c>
      <c r="T763" s="268">
        <f>IF('Dry_Litterbag Placem_Collection'!G104="","",'Dry_Litterbag Placem_Collection'!G104)</f>
        <v>43010</v>
      </c>
      <c r="U763" s="269">
        <f t="shared" si="55"/>
        <v>71</v>
      </c>
      <c r="V763" s="267">
        <f t="shared" si="58"/>
        <v>0.24630000000000019</v>
      </c>
      <c r="W763" s="267">
        <f t="shared" si="59"/>
        <v>0.27561598982483293</v>
      </c>
      <c r="X763" s="271">
        <f>IFERROR(INDEX(Rainfall_Dry!$O$2:$O$217,MATCH(B763, Rainfall_Dry!$A$2:$A$217,0)),"")</f>
        <v>137.19979645800001</v>
      </c>
      <c r="Y763" s="260">
        <v>45.96</v>
      </c>
      <c r="Z763" s="260">
        <v>14.920000000000003</v>
      </c>
      <c r="AA763" s="260">
        <v>39.119999999999997</v>
      </c>
      <c r="AB763" s="261" t="s">
        <v>2673</v>
      </c>
      <c r="AC763" s="260">
        <v>7.0374568753080302</v>
      </c>
      <c r="AD763">
        <f>IF('WetLitterbags placem_collection'!AB104="","",'WetLitterbags placem_collection'!AB104)</f>
        <v>7.7</v>
      </c>
      <c r="AE763">
        <f>IF('WetLitterbags placem_collection'!Z104="","",'WetLitterbags placem_collection'!Z104)</f>
        <v>21</v>
      </c>
      <c r="AF763" s="24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71">
        <f>IFERROR(AVERAGE('Dry_Litterbag Placem_Collection'!N104,'Dry_Litterbag Placem_Collection'!Q104),"")</f>
        <v>29.05</v>
      </c>
      <c r="AJ763" s="270">
        <f>INDEX(Coordinates!$B$2:$B$197,MATCH(G763,Coordinates!$J$2:$J$197,0))</f>
        <v>-2.3691350409999998</v>
      </c>
      <c r="AK763" s="270">
        <f>INDEX(Coordinates!$C$2:$C$197,MATCH(G763,Coordinates!$J$2:$J$197,0))</f>
        <v>34.06018297</v>
      </c>
      <c r="AL763" s="270" t="str">
        <f>IF(ISNUMBER(SEARCH("C", 'Dry_Litterbag Placem_Collection'!V104)),"YES","NO")</f>
        <v>NO</v>
      </c>
      <c r="AM763" s="270" t="str">
        <f>IF(ISNUMBER(SEARCH("H", 'Dry_Litterbag Placem_Collection'!V104)),"YES","NO")</f>
        <v>NO</v>
      </c>
      <c r="AN763" s="270" t="str">
        <f>IF(ISNUMBER(SEARCH("R", 'Dry_Litterbag Placem_Collection'!V104)),"YES","NO")</f>
        <v>NO</v>
      </c>
    </row>
    <row r="764" spans="1:40" ht="15" customHeight="1">
      <c r="A764" s="262" t="s">
        <v>2659</v>
      </c>
      <c r="B764" s="263">
        <f>'Dry_Litterbag Placem_Collection'!A105</f>
        <v>103</v>
      </c>
      <c r="C764" s="263" t="str">
        <f>'Dry_Litterbag Placem_Collection'!B105</f>
        <v xml:space="preserve">Mwantimba
</v>
      </c>
      <c r="D764" s="263" t="s">
        <v>2659</v>
      </c>
      <c r="E764" s="263" t="s">
        <v>2660</v>
      </c>
      <c r="F764" s="263">
        <v>1</v>
      </c>
      <c r="G764" s="264" t="str">
        <f>'Dry_Litterbag Placem_Collection'!C105</f>
        <v>Wet_Ag1_T7</v>
      </c>
      <c r="H764" s="273" t="s">
        <v>3651</v>
      </c>
      <c r="I764" s="274" t="s">
        <v>298</v>
      </c>
      <c r="J764" s="263" t="str">
        <f>IF(ISBLANK('Dry_Litterbag Placem_Collection'!M105),"","R"&amp;""&amp;'Dry_Litterbag Placem_Collection'!M105)</f>
        <v>R701</v>
      </c>
      <c r="K764" s="267">
        <f>IFERROR(INDEX('Green_rooibos initial weight'!$C$5:$C$1749,MATCH(J764, 'Green_rooibos initial weight'!$A$5:$A$1749,0)),"")</f>
        <v>2.1549999999999998</v>
      </c>
      <c r="L764" s="267">
        <f>IFERROR(K764-(TBIcalc!$Q$9+TBIcalc!$Q$10),"")</f>
        <v>1.9051999999999998</v>
      </c>
      <c r="M764" s="391">
        <f>AVERAGE(Ashed_controlls!$K$12:$K$14)</f>
        <v>2.2816647271287041</v>
      </c>
      <c r="N764" s="267">
        <f t="shared" si="56"/>
        <v>1.8617297236187438</v>
      </c>
      <c r="O764" s="267">
        <f>IF(IFERROR(INDEX('Both teabags AfterDry'!$D$3:$D$900,MATCH(J764,'Both teabags AfterDry'!$A$3:$A$900,0)),"")="","",(IFERROR(INDEX('Both teabags AfterDry'!$D$3:$D$900,MATCH(J764,'Both teabags AfterDry'!$A$3:$A$900,0)),"")))</f>
        <v>1.8272999999999999</v>
      </c>
      <c r="P764" s="267">
        <f>IFERROR(IF(O764&gt;0,O764-(TBIcalc!$Q$9),""),"")</f>
        <v>1.6766999999999999</v>
      </c>
      <c r="Q764" s="278">
        <f>IFERROR(INDEX('Ashed teabags dry'!$K$2:$K$825,MATCH(J764,'Ashed teabags dry'!$A$2:$A$825,0)),"")</f>
        <v>4.2152466367706989</v>
      </c>
      <c r="R764" s="278">
        <f t="shared" si="57"/>
        <v>1.6060229596412656</v>
      </c>
      <c r="S764" s="268">
        <f>'Dry_Litterbag Placem_Collection'!E105</f>
        <v>42939</v>
      </c>
      <c r="T764" s="268">
        <f>IF('Dry_Litterbag Placem_Collection'!G105="","",'Dry_Litterbag Placem_Collection'!G105)</f>
        <v>43010</v>
      </c>
      <c r="U764" s="269">
        <f t="shared" si="55"/>
        <v>71</v>
      </c>
      <c r="V764" s="267">
        <f t="shared" si="58"/>
        <v>0.22849999999999993</v>
      </c>
      <c r="W764" s="267">
        <f t="shared" si="59"/>
        <v>0.25570676397747816</v>
      </c>
      <c r="X764" s="271">
        <f>IFERROR(INDEX(Rainfall_Dry!$O$2:$O$217,MATCH(B764, Rainfall_Dry!$A$2:$A$217,0)),"")</f>
        <v>137.19979645800001</v>
      </c>
      <c r="Y764" s="260">
        <v>45.96</v>
      </c>
      <c r="Z764" s="260">
        <v>14.920000000000003</v>
      </c>
      <c r="AA764" s="260">
        <v>39.119999999999997</v>
      </c>
      <c r="AB764" s="261" t="s">
        <v>2673</v>
      </c>
      <c r="AC764" s="260">
        <v>8.0374568753080293</v>
      </c>
      <c r="AD764">
        <f>IF('WetLitterbags placem_collection'!AB105="","",'WetLitterbags placem_collection'!AB105)</f>
        <v>3.25</v>
      </c>
      <c r="AE764">
        <f>IF('WetLitterbags placem_collection'!Z105="","",'WetLitterbags placem_collection'!Z105)</f>
        <v>16</v>
      </c>
      <c r="AF764" s="24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71">
        <f>IFERROR(AVERAGE('Dry_Litterbag Placem_Collection'!N105,'Dry_Litterbag Placem_Collection'!Q105),"")</f>
        <v>28.799999999999997</v>
      </c>
      <c r="AJ764" s="270">
        <f>INDEX(Coordinates!$B$2:$B$197,MATCH(G764,Coordinates!$J$2:$J$197,0))</f>
        <v>-2.3691330289999999</v>
      </c>
      <c r="AK764" s="270">
        <f>INDEX(Coordinates!$C$2:$C$197,MATCH(G764,Coordinates!$J$2:$J$197,0))</f>
        <v>34.060233009999997</v>
      </c>
      <c r="AL764" s="270" t="str">
        <f>IF(ISNUMBER(SEARCH("C", 'Dry_Litterbag Placem_Collection'!V105)),"YES","NO")</f>
        <v>NO</v>
      </c>
      <c r="AM764" s="270" t="str">
        <f>IF(ISNUMBER(SEARCH("H", 'Dry_Litterbag Placem_Collection'!V105)),"YES","NO")</f>
        <v>NO</v>
      </c>
      <c r="AN764" s="270" t="str">
        <f>IF(ISNUMBER(SEARCH("R", 'Dry_Litterbag Placem_Collection'!V105)),"YES","NO")</f>
        <v>NO</v>
      </c>
    </row>
    <row r="765" spans="1:40" ht="15" customHeight="1">
      <c r="A765" s="262" t="s">
        <v>2659</v>
      </c>
      <c r="B765" s="263">
        <f>'Dry_Litterbag Placem_Collection'!A106</f>
        <v>104</v>
      </c>
      <c r="C765" s="263" t="str">
        <f>'Dry_Litterbag Placem_Collection'!B106</f>
        <v xml:space="preserve">Mwantimba
</v>
      </c>
      <c r="D765" s="263" t="s">
        <v>2659</v>
      </c>
      <c r="E765" s="263" t="s">
        <v>2660</v>
      </c>
      <c r="F765" s="263">
        <v>1</v>
      </c>
      <c r="G765" s="264" t="str">
        <f>'Dry_Litterbag Placem_Collection'!C106</f>
        <v>Wet_Ag1_T8</v>
      </c>
      <c r="H765" s="273" t="s">
        <v>3651</v>
      </c>
      <c r="I765" s="274" t="s">
        <v>298</v>
      </c>
      <c r="J765" s="263" t="str">
        <f>IF(ISBLANK('Dry_Litterbag Placem_Collection'!M106),"","R"&amp;""&amp;'Dry_Litterbag Placem_Collection'!M106)</f>
        <v>R365</v>
      </c>
      <c r="K765" s="267">
        <f>IFERROR(INDEX('Green_rooibos initial weight'!$C$5:$C$1749,MATCH(J765, 'Green_rooibos initial weight'!$A$5:$A$1749,0)),"")</f>
        <v>2.2130000000000001</v>
      </c>
      <c r="L765" s="267">
        <f>IFERROR(K765-(TBIcalc!$Q$9+TBIcalc!$Q$10),"")</f>
        <v>1.9632000000000001</v>
      </c>
      <c r="M765" s="391">
        <f>AVERAGE(Ashed_controlls!$K$12:$K$14)</f>
        <v>2.2816647271287041</v>
      </c>
      <c r="N765" s="267">
        <f t="shared" si="56"/>
        <v>1.9184063580770094</v>
      </c>
      <c r="O765" s="267">
        <f>IF(IFERROR(INDEX('Both teabags AfterDry'!$D$3:$D$900,MATCH(J765,'Both teabags AfterDry'!$A$3:$A$900,0)),"")="","",(IFERROR(INDEX('Both teabags AfterDry'!$D$3:$D$900,MATCH(J765,'Both teabags AfterDry'!$A$3:$A$900,0)),"")))</f>
        <v>1.9468000000000001</v>
      </c>
      <c r="P765" s="267">
        <f>IFERROR(IF(O765&gt;0,O765-(TBIcalc!$Q$9),""),"")</f>
        <v>1.7962</v>
      </c>
      <c r="Q765" s="278">
        <f>IFERROR(INDEX('Ashed teabags dry'!$K$2:$K$825,MATCH(J765,'Ashed teabags dry'!$A$2:$A$825,0)),"")</f>
        <v>3.5681186283600224</v>
      </c>
      <c r="R765" s="278">
        <f t="shared" si="57"/>
        <v>1.7321094531973973</v>
      </c>
      <c r="S765" s="268">
        <f>'Dry_Litterbag Placem_Collection'!E106</f>
        <v>42939</v>
      </c>
      <c r="T765" s="268">
        <f>IF('Dry_Litterbag Placem_Collection'!G106="","",'Dry_Litterbag Placem_Collection'!G106)</f>
        <v>43010</v>
      </c>
      <c r="U765" s="269">
        <f t="shared" si="55"/>
        <v>71</v>
      </c>
      <c r="V765" s="267">
        <f t="shared" si="58"/>
        <v>0.16700000000000004</v>
      </c>
      <c r="W765" s="267">
        <f t="shared" si="59"/>
        <v>0.18629690487961215</v>
      </c>
      <c r="X765" s="271">
        <f>IFERROR(INDEX(Rainfall_Dry!$O$2:$O$217,MATCH(B765, Rainfall_Dry!$A$2:$A$217,0)),"")</f>
        <v>137.19979645800001</v>
      </c>
      <c r="Y765" s="260">
        <v>45.96</v>
      </c>
      <c r="Z765" s="260">
        <v>14.920000000000003</v>
      </c>
      <c r="AA765" s="260">
        <v>39.119999999999997</v>
      </c>
      <c r="AB765" s="261" t="s">
        <v>2673</v>
      </c>
      <c r="AC765" s="260">
        <v>9.0374568753080293</v>
      </c>
      <c r="AD765">
        <f>IF('WetLitterbags placem_collection'!AB106="","",'WetLitterbags placem_collection'!AB106)</f>
        <v>10.5</v>
      </c>
      <c r="AE765">
        <f>IF('WetLitterbags placem_collection'!Z106="","",'WetLitterbags placem_collection'!Z106)</f>
        <v>17</v>
      </c>
      <c r="AF765" s="24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71">
        <f>IFERROR(AVERAGE('Dry_Litterbag Placem_Collection'!N106,'Dry_Litterbag Placem_Collection'!Q106),"")</f>
        <v>28.05</v>
      </c>
      <c r="AJ765" s="270">
        <f>INDEX(Coordinates!$B$2:$B$197,MATCH(G765,Coordinates!$J$2:$J$197,0))</f>
        <v>-2.3692910280000001</v>
      </c>
      <c r="AK765" s="270">
        <f>INDEX(Coordinates!$C$2:$C$197,MATCH(G765,Coordinates!$J$2:$J$197,0))</f>
        <v>34.06016202</v>
      </c>
      <c r="AL765" s="270" t="str">
        <f>IF(ISNUMBER(SEARCH("C", 'Dry_Litterbag Placem_Collection'!V106)),"YES","NO")</f>
        <v>NO</v>
      </c>
      <c r="AM765" s="270" t="str">
        <f>IF(ISNUMBER(SEARCH("H", 'Dry_Litterbag Placem_Collection'!V106)),"YES","NO")</f>
        <v>NO</v>
      </c>
      <c r="AN765" s="270" t="str">
        <f>IF(ISNUMBER(SEARCH("R", 'Dry_Litterbag Placem_Collection'!V106)),"YES","NO")</f>
        <v>NO</v>
      </c>
    </row>
    <row r="766" spans="1:40" ht="15" customHeight="1">
      <c r="A766" s="262" t="s">
        <v>2659</v>
      </c>
      <c r="B766" s="263">
        <f>'Dry_Litterbag Placem_Collection'!A107</f>
        <v>105</v>
      </c>
      <c r="C766" s="263" t="str">
        <f>'Dry_Litterbag Placem_Collection'!B107</f>
        <v xml:space="preserve">Mwantimba
</v>
      </c>
      <c r="D766" s="263" t="s">
        <v>2659</v>
      </c>
      <c r="E766" s="263" t="s">
        <v>2660</v>
      </c>
      <c r="F766" s="263">
        <v>2</v>
      </c>
      <c r="G766" s="264" t="str">
        <f>'Dry_Litterbag Placem_Collection'!C107</f>
        <v>Wet_Ag2_T1</v>
      </c>
      <c r="H766" s="273" t="s">
        <v>3651</v>
      </c>
      <c r="I766" s="274" t="s">
        <v>298</v>
      </c>
      <c r="J766" s="263" t="str">
        <f>IF(ISBLANK('Dry_Litterbag Placem_Collection'!M107),"","R"&amp;""&amp;'Dry_Litterbag Placem_Collection'!M107)</f>
        <v>R212</v>
      </c>
      <c r="K766" s="267">
        <f>IFERROR(INDEX('Green_rooibos initial weight'!$C$5:$C$1749,MATCH(J766, 'Green_rooibos initial weight'!$A$5:$A$1749,0)),"")</f>
        <v>2.2519999999999998</v>
      </c>
      <c r="L766" s="267">
        <f>IFERROR(K766-(TBIcalc!$Q$9+TBIcalc!$Q$10),"")</f>
        <v>2.0021999999999998</v>
      </c>
      <c r="M766" s="391">
        <f>AVERAGE(Ashed_controlls!$K$12:$K$14)</f>
        <v>2.2816647271287041</v>
      </c>
      <c r="N766" s="267">
        <f t="shared" si="56"/>
        <v>1.9565165088334289</v>
      </c>
      <c r="O766" s="267">
        <f>IF(IFERROR(INDEX('Both teabags AfterDry'!$D$3:$D$900,MATCH(J766,'Both teabags AfterDry'!$A$3:$A$900,0)),"")="","",(IFERROR(INDEX('Both teabags AfterDry'!$D$3:$D$900,MATCH(J766,'Both teabags AfterDry'!$A$3:$A$900,0)),"")))</f>
        <v>1.9135</v>
      </c>
      <c r="P766" s="267">
        <f>IFERROR(IF(O766&gt;0,O766-(TBIcalc!$Q$9),""),"")</f>
        <v>1.7628999999999999</v>
      </c>
      <c r="Q766" s="278">
        <f>IFERROR(INDEX('Ashed teabags dry'!$K$2:$K$825,MATCH(J766,'Ashed teabags dry'!$A$2:$A$825,0)),"")</f>
        <v>7.1020019065774402</v>
      </c>
      <c r="R766" s="278">
        <f t="shared" si="57"/>
        <v>1.6376988083889463</v>
      </c>
      <c r="S766" s="268">
        <f>'Dry_Litterbag Placem_Collection'!E107</f>
        <v>42939</v>
      </c>
      <c r="T766" s="268">
        <f>IF('Dry_Litterbag Placem_Collection'!G107="","",'Dry_Litterbag Placem_Collection'!G107)</f>
        <v>43010</v>
      </c>
      <c r="U766" s="269">
        <f t="shared" si="55"/>
        <v>71</v>
      </c>
      <c r="V766" s="267">
        <f t="shared" si="58"/>
        <v>0.23929999999999985</v>
      </c>
      <c r="W766" s="267">
        <f t="shared" si="59"/>
        <v>0.31881770044448254</v>
      </c>
      <c r="X766" s="271">
        <f>IFERROR(INDEX(Rainfall_Dry!$O$2:$O$217,MATCH(B766, Rainfall_Dry!$A$2:$A$217,0)),"")</f>
        <v>137.19979645800001</v>
      </c>
      <c r="Y766" s="260">
        <v>34.344660194174757</v>
      </c>
      <c r="Z766" s="260">
        <v>19.22727272727273</v>
      </c>
      <c r="AA766" s="260">
        <v>46.428067078552509</v>
      </c>
      <c r="AB766" s="261" t="s">
        <v>2670</v>
      </c>
      <c r="AC766" s="260">
        <v>1.7452932479053718</v>
      </c>
      <c r="AD766">
        <f>IF('WetLitterbags placem_collection'!AB107="","",'WetLitterbags placem_collection'!AB107)</f>
        <v>5.5</v>
      </c>
      <c r="AE766">
        <f>IF('WetLitterbags placem_collection'!Z107="","",'WetLitterbags placem_collection'!Z107)</f>
        <v>23.5</v>
      </c>
      <c r="AF766" s="24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71">
        <f>IFERROR(AVERAGE('Dry_Litterbag Placem_Collection'!N107,'Dry_Litterbag Placem_Collection'!Q107),"")</f>
        <v>30.549999999999997</v>
      </c>
      <c r="AJ766" s="270">
        <f>INDEX(Coordinates!$B$2:$B$197,MATCH(G766,Coordinates!$J$2:$J$197,0))</f>
        <v>-2.3698080240000001</v>
      </c>
      <c r="AK766" s="270">
        <f>INDEX(Coordinates!$C$2:$C$197,MATCH(G766,Coordinates!$J$2:$J$197,0))</f>
        <v>34.059671010000002</v>
      </c>
      <c r="AL766" s="270" t="str">
        <f>IF(ISNUMBER(SEARCH("C", 'Dry_Litterbag Placem_Collection'!V107)),"YES","NO")</f>
        <v>NO</v>
      </c>
      <c r="AM766" s="270" t="str">
        <f>IF(ISNUMBER(SEARCH("H", 'Dry_Litterbag Placem_Collection'!V107)),"YES","NO")</f>
        <v>NO</v>
      </c>
      <c r="AN766" s="270" t="str">
        <f>IF(ISNUMBER(SEARCH("R", 'Dry_Litterbag Placem_Collection'!V107)),"YES","NO")</f>
        <v>NO</v>
      </c>
    </row>
    <row r="767" spans="1:40" ht="15" customHeight="1">
      <c r="A767" s="262" t="s">
        <v>2659</v>
      </c>
      <c r="B767" s="263">
        <f>'Dry_Litterbag Placem_Collection'!A108</f>
        <v>106</v>
      </c>
      <c r="C767" s="263" t="str">
        <f>'Dry_Litterbag Placem_Collection'!B108</f>
        <v xml:space="preserve">Mwantimba
</v>
      </c>
      <c r="D767" s="263" t="s">
        <v>2659</v>
      </c>
      <c r="E767" s="263" t="s">
        <v>2660</v>
      </c>
      <c r="F767" s="263">
        <v>2</v>
      </c>
      <c r="G767" s="264" t="str">
        <f>'Dry_Litterbag Placem_Collection'!C108</f>
        <v>Wet_Ag2_T2</v>
      </c>
      <c r="H767" s="273" t="s">
        <v>3651</v>
      </c>
      <c r="I767" s="274" t="s">
        <v>298</v>
      </c>
      <c r="J767" s="263" t="str">
        <f>IF(ISBLANK('Dry_Litterbag Placem_Collection'!M108),"","R"&amp;""&amp;'Dry_Litterbag Placem_Collection'!M108)</f>
        <v>R66</v>
      </c>
      <c r="K767" s="267">
        <f>IFERROR(INDEX('Green_rooibos initial weight'!$C$5:$C$1749,MATCH(J767, 'Green_rooibos initial weight'!$A$5:$A$1749,0)),"")</f>
        <v>2.1120000000000001</v>
      </c>
      <c r="L767" s="267">
        <f>IFERROR(K767-(TBIcalc!$Q$9+TBIcalc!$Q$10),"")</f>
        <v>1.8622000000000001</v>
      </c>
      <c r="M767" s="391">
        <f>AVERAGE(Ashed_controlls!$K$12:$K$14)</f>
        <v>2.2816647271287041</v>
      </c>
      <c r="N767" s="267">
        <f t="shared" si="56"/>
        <v>1.8197108394514094</v>
      </c>
      <c r="O767" s="267">
        <f>IF(IFERROR(INDEX('Both teabags AfterDry'!$D$3:$D$900,MATCH(J767,'Both teabags AfterDry'!$A$3:$A$900,0)),"")="","",(IFERROR(INDEX('Both teabags AfterDry'!$D$3:$D$900,MATCH(J767,'Both teabags AfterDry'!$A$3:$A$900,0)),"")))</f>
        <v>1.7972999999999999</v>
      </c>
      <c r="P767" s="267">
        <f>IFERROR(IF(O767&gt;0,O767-(TBIcalc!$Q$9),""),"")</f>
        <v>1.6466999999999998</v>
      </c>
      <c r="Q767" s="278">
        <f>IFERROR(INDEX('Ashed teabags dry'!$K$2:$K$825,MATCH(J767,'Ashed teabags dry'!$A$2:$A$825,0)),"")</f>
        <v>2.6819923371648411</v>
      </c>
      <c r="R767" s="278">
        <f t="shared" si="57"/>
        <v>1.6025356321839064</v>
      </c>
      <c r="S767" s="268">
        <f>'Dry_Litterbag Placem_Collection'!E108</f>
        <v>42939</v>
      </c>
      <c r="T767" s="268">
        <f>IF('Dry_Litterbag Placem_Collection'!G108="","",'Dry_Litterbag Placem_Collection'!G108)</f>
        <v>43010</v>
      </c>
      <c r="U767" s="269">
        <f t="shared" si="55"/>
        <v>71</v>
      </c>
      <c r="V767" s="267">
        <f t="shared" si="58"/>
        <v>0.21550000000000025</v>
      </c>
      <c r="W767" s="267">
        <f t="shared" si="59"/>
        <v>0.21717520726750306</v>
      </c>
      <c r="X767" s="271">
        <f>IFERROR(INDEX(Rainfall_Dry!$O$2:$O$217,MATCH(B767, Rainfall_Dry!$A$2:$A$217,0)),"")</f>
        <v>137.19979645800001</v>
      </c>
      <c r="Y767" s="260">
        <v>34.344660194174757</v>
      </c>
      <c r="Z767" s="260">
        <v>19.22727272727273</v>
      </c>
      <c r="AA767" s="260">
        <v>46.428067078552509</v>
      </c>
      <c r="AB767" s="261" t="s">
        <v>2670</v>
      </c>
      <c r="AC767" s="260">
        <v>2.7452932479053702</v>
      </c>
      <c r="AD767">
        <f>IF('WetLitterbags placem_collection'!AB108="","",'WetLitterbags placem_collection'!AB108)</f>
        <v>8.6</v>
      </c>
      <c r="AE767">
        <f>IF('WetLitterbags placem_collection'!Z108="","",'WetLitterbags placem_collection'!Z108)</f>
        <v>17</v>
      </c>
      <c r="AF767" s="24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71">
        <f>IFERROR(AVERAGE('Dry_Litterbag Placem_Collection'!N108,'Dry_Litterbag Placem_Collection'!Q108),"")</f>
        <v>31.3</v>
      </c>
      <c r="AJ767" s="270">
        <f>INDEX(Coordinates!$B$2:$B$197,MATCH(G767,Coordinates!$J$2:$J$197,0))</f>
        <v>-2.3697620069999998</v>
      </c>
      <c r="AK767" s="270">
        <f>INDEX(Coordinates!$C$2:$C$197,MATCH(G767,Coordinates!$J$2:$J$197,0))</f>
        <v>34.059730010000003</v>
      </c>
      <c r="AL767" s="270" t="str">
        <f>IF(ISNUMBER(SEARCH("C", 'Dry_Litterbag Placem_Collection'!V108)),"YES","NO")</f>
        <v>NO</v>
      </c>
      <c r="AM767" s="270" t="str">
        <f>IF(ISNUMBER(SEARCH("H", 'Dry_Litterbag Placem_Collection'!V108)),"YES","NO")</f>
        <v>NO</v>
      </c>
      <c r="AN767" s="270" t="str">
        <f>IF(ISNUMBER(SEARCH("R", 'Dry_Litterbag Placem_Collection'!V108)),"YES","NO")</f>
        <v>NO</v>
      </c>
    </row>
    <row r="768" spans="1:40" ht="15" customHeight="1">
      <c r="A768" s="262" t="s">
        <v>2659</v>
      </c>
      <c r="B768" s="263">
        <f>'Dry_Litterbag Placem_Collection'!A109</f>
        <v>107</v>
      </c>
      <c r="C768" s="263" t="str">
        <f>'Dry_Litterbag Placem_Collection'!B109</f>
        <v xml:space="preserve">Mwantimba
</v>
      </c>
      <c r="D768" s="263" t="s">
        <v>2659</v>
      </c>
      <c r="E768" s="263" t="s">
        <v>2660</v>
      </c>
      <c r="F768" s="263">
        <v>2</v>
      </c>
      <c r="G768" s="264" t="str">
        <f>'Dry_Litterbag Placem_Collection'!C109</f>
        <v>Wet_Ag2_T3</v>
      </c>
      <c r="H768" s="273" t="s">
        <v>3651</v>
      </c>
      <c r="I768" s="274" t="s">
        <v>298</v>
      </c>
      <c r="J768" s="263" t="str">
        <f>IF(ISBLANK('Dry_Litterbag Placem_Collection'!M109),"","R"&amp;""&amp;'Dry_Litterbag Placem_Collection'!M109)</f>
        <v>R347</v>
      </c>
      <c r="K768" s="267">
        <f>IFERROR(INDEX('Green_rooibos initial weight'!$C$5:$C$1749,MATCH(J768, 'Green_rooibos initial weight'!$A$5:$A$1749,0)),"")</f>
        <v>2.2400000000000002</v>
      </c>
      <c r="L768" s="267">
        <f>IFERROR(K768-(TBIcalc!$Q$9+TBIcalc!$Q$10),"")</f>
        <v>1.9902000000000002</v>
      </c>
      <c r="M768" s="391">
        <f>AVERAGE(Ashed_controlls!$K$12:$K$14)</f>
        <v>2.2816647271287041</v>
      </c>
      <c r="N768" s="267">
        <f t="shared" si="56"/>
        <v>1.9447903086006848</v>
      </c>
      <c r="O768" s="267" t="str">
        <f>IF(IFERROR(INDEX('Both teabags AfterDry'!$D$3:$D$900,MATCH(J768,'Both teabags AfterDry'!$A$3:$A$900,0)),"")="","",(IFERROR(INDEX('Both teabags AfterDry'!$D$3:$D$900,MATCH(J768,'Both teabags AfterDry'!$A$3:$A$900,0)),"")))</f>
        <v/>
      </c>
      <c r="P768" s="267" t="str">
        <f>IFERROR(IF(O768&gt;0,O768-(TBIcalc!$Q$9),""),"")</f>
        <v/>
      </c>
      <c r="Q768" s="278" t="str">
        <f>IFERROR(INDEX('Ashed teabags dry'!$K$2:$K$825,MATCH(J768,'Ashed teabags dry'!$A$2:$A$825,0)),"")</f>
        <v/>
      </c>
      <c r="R768" s="278" t="str">
        <f t="shared" si="57"/>
        <v/>
      </c>
      <c r="S768" s="268">
        <f>'Dry_Litterbag Placem_Collection'!E109</f>
        <v>42939</v>
      </c>
      <c r="T768" s="268">
        <f>IF('Dry_Litterbag Placem_Collection'!G109="","",'Dry_Litterbag Placem_Collection'!G109)</f>
        <v>43010</v>
      </c>
      <c r="U768" s="269">
        <f t="shared" si="55"/>
        <v>71</v>
      </c>
      <c r="V768" s="267" t="str">
        <f t="shared" si="58"/>
        <v/>
      </c>
      <c r="W768" s="267" t="str">
        <f t="shared" si="59"/>
        <v/>
      </c>
      <c r="X768" s="271">
        <f>IFERROR(INDEX(Rainfall_Dry!$O$2:$O$217,MATCH(B768, Rainfall_Dry!$A$2:$A$217,0)),"")</f>
        <v>137.19979645800001</v>
      </c>
      <c r="Y768" s="260">
        <v>34.344660194174757</v>
      </c>
      <c r="Z768" s="260">
        <v>19.22727272727273</v>
      </c>
      <c r="AA768" s="260">
        <v>46.428067078552509</v>
      </c>
      <c r="AB768" s="261" t="s">
        <v>2670</v>
      </c>
      <c r="AC768" s="260">
        <v>3.7452932479053702</v>
      </c>
      <c r="AD768">
        <f>IF('WetLitterbags placem_collection'!AB109="","",'WetLitterbags placem_collection'!AB109)</f>
        <v>3.85</v>
      </c>
      <c r="AE768">
        <f>IF('WetLitterbags placem_collection'!Z109="","",'WetLitterbags placem_collection'!Z109)</f>
        <v>15.5</v>
      </c>
      <c r="AF768" s="24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71">
        <f>IFERROR(AVERAGE('Dry_Litterbag Placem_Collection'!N109,'Dry_Litterbag Placem_Collection'!Q109),"")</f>
        <v>30.200000000000003</v>
      </c>
      <c r="AJ768" s="270">
        <f>INDEX(Coordinates!$B$2:$B$197,MATCH(G768,Coordinates!$J$2:$J$197,0))</f>
        <v>-2.3698409649999999</v>
      </c>
      <c r="AK768" s="270">
        <f>INDEX(Coordinates!$C$2:$C$197,MATCH(G768,Coordinates!$J$2:$J$197,0))</f>
        <v>34.059814000000003</v>
      </c>
      <c r="AL768" s="270" t="str">
        <f>IF(ISNUMBER(SEARCH("C", 'Dry_Litterbag Placem_Collection'!V109)),"YES","NO")</f>
        <v>NO</v>
      </c>
      <c r="AM768" s="270" t="str">
        <f>IF(ISNUMBER(SEARCH("H", 'Dry_Litterbag Placem_Collection'!V109)),"YES","NO")</f>
        <v>NO</v>
      </c>
      <c r="AN768" s="270" t="str">
        <f>IF(ISNUMBER(SEARCH("R", 'Dry_Litterbag Placem_Collection'!V109)),"YES","NO")</f>
        <v>NO</v>
      </c>
    </row>
    <row r="769" spans="1:40" ht="15" customHeight="1">
      <c r="A769" s="262" t="s">
        <v>2659</v>
      </c>
      <c r="B769" s="263">
        <f>'Dry_Litterbag Placem_Collection'!A110</f>
        <v>108</v>
      </c>
      <c r="C769" s="263" t="str">
        <f>'Dry_Litterbag Placem_Collection'!B110</f>
        <v xml:space="preserve">Mwantimba
</v>
      </c>
      <c r="D769" s="263" t="s">
        <v>2659</v>
      </c>
      <c r="E769" s="263" t="s">
        <v>2660</v>
      </c>
      <c r="F769" s="263">
        <v>2</v>
      </c>
      <c r="G769" s="264" t="str">
        <f>'Dry_Litterbag Placem_Collection'!C110</f>
        <v>Wet_Ag2_T4</v>
      </c>
      <c r="H769" s="273" t="s">
        <v>3651</v>
      </c>
      <c r="I769" s="274" t="s">
        <v>298</v>
      </c>
      <c r="J769" s="263" t="str">
        <f>IF(ISBLANK('Dry_Litterbag Placem_Collection'!M110),"","R"&amp;""&amp;'Dry_Litterbag Placem_Collection'!M110)</f>
        <v>R206</v>
      </c>
      <c r="K769" s="267">
        <f>IFERROR(INDEX('Green_rooibos initial weight'!$C$5:$C$1749,MATCH(J769, 'Green_rooibos initial weight'!$A$5:$A$1749,0)),"")</f>
        <v>2.2549999999999999</v>
      </c>
      <c r="L769" s="267">
        <f>IFERROR(K769-(TBIcalc!$Q$9+TBIcalc!$Q$10),"")</f>
        <v>2.0051999999999999</v>
      </c>
      <c r="M769" s="391">
        <f>AVERAGE(Ashed_controlls!$K$12:$K$14)</f>
        <v>2.2816647271287041</v>
      </c>
      <c r="N769" s="267">
        <f t="shared" si="56"/>
        <v>1.959448058891615</v>
      </c>
      <c r="O769" s="267">
        <f>IF(IFERROR(INDEX('Both teabags AfterDry'!$D$3:$D$900,MATCH(J769,'Both teabags AfterDry'!$A$3:$A$900,0)),"")="","",(IFERROR(INDEX('Both teabags AfterDry'!$D$3:$D$900,MATCH(J769,'Both teabags AfterDry'!$A$3:$A$900,0)),"")))</f>
        <v>1.9655</v>
      </c>
      <c r="P769" s="267">
        <f>IFERROR(IF(O769&gt;0,O769-(TBIcalc!$Q$9),""),"")</f>
        <v>1.8149</v>
      </c>
      <c r="Q769" s="278">
        <f>IFERROR(INDEX('Ashed teabags dry'!$K$2:$K$825,MATCH(J769,'Ashed teabags dry'!$A$2:$A$825,0)),"")</f>
        <v>4.1293532338306944</v>
      </c>
      <c r="R769" s="278">
        <f t="shared" si="57"/>
        <v>1.7399563681592067</v>
      </c>
      <c r="S769" s="268">
        <f>'Dry_Litterbag Placem_Collection'!E110</f>
        <v>42939</v>
      </c>
      <c r="T769" s="268">
        <f>IF('Dry_Litterbag Placem_Collection'!G110="","",'Dry_Litterbag Placem_Collection'!G110)</f>
        <v>43010</v>
      </c>
      <c r="U769" s="269">
        <f t="shared" si="55"/>
        <v>71</v>
      </c>
      <c r="V769" s="267">
        <f t="shared" si="58"/>
        <v>0.19029999999999991</v>
      </c>
      <c r="W769" s="267">
        <f t="shared" si="59"/>
        <v>0.21949169073240826</v>
      </c>
      <c r="X769" s="271">
        <f>IFERROR(INDEX(Rainfall_Dry!$O$2:$O$217,MATCH(B769, Rainfall_Dry!$A$2:$A$217,0)),"")</f>
        <v>137.19979645800001</v>
      </c>
      <c r="Y769" s="260">
        <v>34.344660194174757</v>
      </c>
      <c r="Z769" s="260">
        <v>19.22727272727273</v>
      </c>
      <c r="AA769" s="260">
        <v>46.428067078552509</v>
      </c>
      <c r="AB769" s="261" t="s">
        <v>2670</v>
      </c>
      <c r="AC769" s="260">
        <v>4.7452932479053702</v>
      </c>
      <c r="AD769">
        <f>IF('WetLitterbags placem_collection'!AB110="","",'WetLitterbags placem_collection'!AB110)</f>
        <v>9.6999999999999993</v>
      </c>
      <c r="AE769">
        <f>IF('WetLitterbags placem_collection'!Z110="","",'WetLitterbags placem_collection'!Z110)</f>
        <v>22.5</v>
      </c>
      <c r="AF769" s="24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71">
        <f>IFERROR(AVERAGE('Dry_Litterbag Placem_Collection'!N110,'Dry_Litterbag Placem_Collection'!Q110),"")</f>
        <v>31.8</v>
      </c>
      <c r="AJ769" s="270">
        <f>INDEX(Coordinates!$B$2:$B$197,MATCH(G769,Coordinates!$J$2:$J$197,0))</f>
        <v>-2.3698620030000002</v>
      </c>
      <c r="AK769" s="270">
        <f>INDEX(Coordinates!$C$2:$C$197,MATCH(G769,Coordinates!$J$2:$J$197,0))</f>
        <v>34.059759020000001</v>
      </c>
      <c r="AL769" s="270" t="str">
        <f>IF(ISNUMBER(SEARCH("C", 'Dry_Litterbag Placem_Collection'!V110)),"YES","NO")</f>
        <v>NO</v>
      </c>
      <c r="AM769" s="270" t="str">
        <f>IF(ISNUMBER(SEARCH("H", 'Dry_Litterbag Placem_Collection'!V110)),"YES","NO")</f>
        <v>NO</v>
      </c>
      <c r="AN769" s="270" t="str">
        <f>IF(ISNUMBER(SEARCH("R", 'Dry_Litterbag Placem_Collection'!V110)),"YES","NO")</f>
        <v>NO</v>
      </c>
    </row>
    <row r="770" spans="1:40" ht="15" customHeight="1">
      <c r="A770" s="262" t="s">
        <v>2659</v>
      </c>
      <c r="B770" s="263">
        <f>'Dry_Litterbag Placem_Collection'!A111</f>
        <v>109</v>
      </c>
      <c r="C770" s="263" t="str">
        <f>'Dry_Litterbag Placem_Collection'!B111</f>
        <v xml:space="preserve">Mwantimba
</v>
      </c>
      <c r="D770" s="263" t="s">
        <v>2659</v>
      </c>
      <c r="E770" s="263" t="s">
        <v>2660</v>
      </c>
      <c r="F770" s="263">
        <v>2</v>
      </c>
      <c r="G770" s="264" t="str">
        <f>'Dry_Litterbag Placem_Collection'!C111</f>
        <v>Wet_Ag2_T5</v>
      </c>
      <c r="H770" s="273" t="s">
        <v>3651</v>
      </c>
      <c r="I770" s="274" t="s">
        <v>298</v>
      </c>
      <c r="J770" s="263" t="str">
        <f>IF(ISBLANK('Dry_Litterbag Placem_Collection'!M111),"","R"&amp;""&amp;'Dry_Litterbag Placem_Collection'!M111)</f>
        <v>R299</v>
      </c>
      <c r="K770" s="267">
        <f>IFERROR(INDEX('Green_rooibos initial weight'!$C$5:$C$1749,MATCH(J770, 'Green_rooibos initial weight'!$A$5:$A$1749,0)),"")</f>
        <v>2.2919999999999998</v>
      </c>
      <c r="L770" s="267">
        <f>IFERROR(K770-(TBIcalc!$Q$9+TBIcalc!$Q$10),"")</f>
        <v>2.0421999999999998</v>
      </c>
      <c r="M770" s="391">
        <f>AVERAGE(Ashed_controlls!$K$12:$K$14)</f>
        <v>2.2816647271287041</v>
      </c>
      <c r="N770" s="267">
        <f t="shared" si="56"/>
        <v>1.9956038429425773</v>
      </c>
      <c r="O770" s="267">
        <f>IF(IFERROR(INDEX('Both teabags AfterDry'!$D$3:$D$900,MATCH(J770,'Both teabags AfterDry'!$A$3:$A$900,0)),"")="","",(IFERROR(INDEX('Both teabags AfterDry'!$D$3:$D$900,MATCH(J770,'Both teabags AfterDry'!$A$3:$A$900,0)),"")))</f>
        <v>1.8811</v>
      </c>
      <c r="P770" s="267">
        <f>IFERROR(IF(O770&gt;0,O770-(TBIcalc!$Q$9),""),"")</f>
        <v>1.7304999999999999</v>
      </c>
      <c r="Q770" s="278">
        <f>IFERROR(INDEX('Ashed teabags dry'!$K$2:$K$825,MATCH(J770,'Ashed teabags dry'!$A$2:$A$825,0)),"")</f>
        <v>6.3173359451526663</v>
      </c>
      <c r="R770" s="278">
        <f t="shared" si="57"/>
        <v>1.6211785014691331</v>
      </c>
      <c r="S770" s="268">
        <f>'Dry_Litterbag Placem_Collection'!E111</f>
        <v>42939</v>
      </c>
      <c r="T770" s="268">
        <f>IF('Dry_Litterbag Placem_Collection'!G111="","",'Dry_Litterbag Placem_Collection'!G111)</f>
        <v>43010</v>
      </c>
      <c r="U770" s="269">
        <f t="shared" ref="U770:U833" si="60">IFERROR(T770-S770,"")</f>
        <v>71</v>
      </c>
      <c r="V770" s="267">
        <f t="shared" si="58"/>
        <v>0.31169999999999987</v>
      </c>
      <c r="W770" s="267">
        <f t="shared" si="59"/>
        <v>0.3744253414734442</v>
      </c>
      <c r="X770" s="271">
        <f>IFERROR(INDEX(Rainfall_Dry!$O$2:$O$217,MATCH(B770, Rainfall_Dry!$A$2:$A$217,0)),"")</f>
        <v>137.19979645800001</v>
      </c>
      <c r="Y770" s="260">
        <v>34.344660194174757</v>
      </c>
      <c r="Z770" s="260">
        <v>19.22727272727273</v>
      </c>
      <c r="AA770" s="260">
        <v>46.428067078552509</v>
      </c>
      <c r="AB770" s="261" t="s">
        <v>2670</v>
      </c>
      <c r="AC770" s="260">
        <v>5.7452932479053702</v>
      </c>
      <c r="AD770">
        <f>IF('WetLitterbags placem_collection'!AB111="","",'WetLitterbags placem_collection'!AB111)</f>
        <v>10.5</v>
      </c>
      <c r="AE770">
        <f>IF('WetLitterbags placem_collection'!Z111="","",'WetLitterbags placem_collection'!Z111)</f>
        <v>22.5</v>
      </c>
      <c r="AF770" s="24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71">
        <f>IFERROR(AVERAGE('Dry_Litterbag Placem_Collection'!N111,'Dry_Litterbag Placem_Collection'!Q111),"")</f>
        <v>30.65</v>
      </c>
      <c r="AJ770" s="270">
        <f>INDEX(Coordinates!$B$2:$B$197,MATCH(G770,Coordinates!$J$2:$J$197,0))</f>
        <v>-2.3698390370000002</v>
      </c>
      <c r="AK770" s="270">
        <f>INDEX(Coordinates!$C$2:$C$197,MATCH(G770,Coordinates!$J$2:$J$197,0))</f>
        <v>34.059714</v>
      </c>
      <c r="AL770" s="270" t="str">
        <f>IF(ISNUMBER(SEARCH("C", 'Dry_Litterbag Placem_Collection'!V111)),"YES","NO")</f>
        <v>NO</v>
      </c>
      <c r="AM770" s="270" t="str">
        <f>IF(ISNUMBER(SEARCH("H", 'Dry_Litterbag Placem_Collection'!V111)),"YES","NO")</f>
        <v>NO</v>
      </c>
      <c r="AN770" s="270" t="str">
        <f>IF(ISNUMBER(SEARCH("R", 'Dry_Litterbag Placem_Collection'!V111)),"YES","NO")</f>
        <v>NO</v>
      </c>
    </row>
    <row r="771" spans="1:40" ht="15" customHeight="1">
      <c r="A771" s="262" t="s">
        <v>2659</v>
      </c>
      <c r="B771" s="263">
        <f>'Dry_Litterbag Placem_Collection'!A112</f>
        <v>110</v>
      </c>
      <c r="C771" s="263" t="str">
        <f>'Dry_Litterbag Placem_Collection'!B112</f>
        <v xml:space="preserve">Mwantimba
</v>
      </c>
      <c r="D771" s="263" t="s">
        <v>2659</v>
      </c>
      <c r="E771" s="263" t="s">
        <v>2660</v>
      </c>
      <c r="F771" s="263">
        <v>2</v>
      </c>
      <c r="G771" s="264" t="str">
        <f>'Dry_Litterbag Placem_Collection'!C112</f>
        <v>Wet_Ag2_T6</v>
      </c>
      <c r="H771" s="273" t="s">
        <v>3651</v>
      </c>
      <c r="I771" s="274" t="s">
        <v>298</v>
      </c>
      <c r="J771" s="263" t="str">
        <f>IF(ISBLANK('Dry_Litterbag Placem_Collection'!M112),"","R"&amp;""&amp;'Dry_Litterbag Placem_Collection'!M112)</f>
        <v>R636</v>
      </c>
      <c r="K771" s="267">
        <f>IFERROR(INDEX('Green_rooibos initial weight'!$C$5:$C$1749,MATCH(J771, 'Green_rooibos initial weight'!$A$5:$A$1749,0)),"")</f>
        <v>2.1080000000000001</v>
      </c>
      <c r="L771" s="267">
        <f>IFERROR(K771-(TBIcalc!$Q$9+TBIcalc!$Q$10),"")</f>
        <v>1.8582000000000001</v>
      </c>
      <c r="M771" s="391">
        <f>AVERAGE(Ashed_controlls!$K$12:$K$14)</f>
        <v>2.2816647271287041</v>
      </c>
      <c r="N771" s="267">
        <f t="shared" ref="N771:N834" si="61">IFERROR(L771-(M771/100)*L771,"")</f>
        <v>1.8158021060404945</v>
      </c>
      <c r="O771" s="267">
        <f>IF(IFERROR(INDEX('Both teabags AfterDry'!$D$3:$D$900,MATCH(J771,'Both teabags AfterDry'!$A$3:$A$900,0)),"")="","",(IFERROR(INDEX('Both teabags AfterDry'!$D$3:$D$900,MATCH(J771,'Both teabags AfterDry'!$A$3:$A$900,0)),"")))</f>
        <v>1.8521000000000001</v>
      </c>
      <c r="P771" s="267">
        <f>IFERROR(IF(O771&gt;0,O771-(TBIcalc!$Q$9),""),"")</f>
        <v>1.7015</v>
      </c>
      <c r="Q771" s="278">
        <f>IFERROR(INDEX('Ashed teabags dry'!$K$2:$K$825,MATCH(J771,'Ashed teabags dry'!$A$2:$A$825,0)),"")</f>
        <v>3.9122137404573722</v>
      </c>
      <c r="R771" s="278">
        <f t="shared" ref="R771:R834" si="62">IFERROR(P771-(Q771/100)*P771,"")</f>
        <v>1.6349336832061179</v>
      </c>
      <c r="S771" s="268">
        <f>'Dry_Litterbag Placem_Collection'!E112</f>
        <v>42939</v>
      </c>
      <c r="T771" s="268">
        <f>IF('Dry_Litterbag Placem_Collection'!G112="","",'Dry_Litterbag Placem_Collection'!G112)</f>
        <v>43010</v>
      </c>
      <c r="U771" s="269">
        <f t="shared" si="60"/>
        <v>71</v>
      </c>
      <c r="V771" s="267">
        <f t="shared" ref="V771:V834" si="63">IFERROR(L771-P771,"")</f>
        <v>0.15670000000000006</v>
      </c>
      <c r="W771" s="267">
        <f t="shared" ref="W771:W834" si="64">IFERROR(N771-R771,"")</f>
        <v>0.18086842283437665</v>
      </c>
      <c r="X771" s="271">
        <f>IFERROR(INDEX(Rainfall_Dry!$O$2:$O$217,MATCH(B771, Rainfall_Dry!$A$2:$A$217,0)),"")</f>
        <v>137.19979645800001</v>
      </c>
      <c r="Y771" s="260">
        <v>34.344660194174757</v>
      </c>
      <c r="Z771" s="260">
        <v>19.22727272727273</v>
      </c>
      <c r="AA771" s="260">
        <v>46.428067078552509</v>
      </c>
      <c r="AB771" s="261" t="s">
        <v>2670</v>
      </c>
      <c r="AC771" s="260">
        <v>6.7452932479053702</v>
      </c>
      <c r="AD771">
        <f>IF('WetLitterbags placem_collection'!AB112="","",'WetLitterbags placem_collection'!AB112)</f>
        <v>5.75</v>
      </c>
      <c r="AE771">
        <f>IF('WetLitterbags placem_collection'!Z112="","",'WetLitterbags placem_collection'!Z112)</f>
        <v>22.5</v>
      </c>
      <c r="AF771" s="24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71">
        <f>IFERROR(AVERAGE('Dry_Litterbag Placem_Collection'!N112,'Dry_Litterbag Placem_Collection'!Q112),"")</f>
        <v>31.150000000000002</v>
      </c>
      <c r="AJ771" s="270">
        <f>INDEX(Coordinates!$B$2:$B$197,MATCH(G771,Coordinates!$J$2:$J$197,0))</f>
        <v>-2.3697549659999999</v>
      </c>
      <c r="AK771" s="270">
        <f>INDEX(Coordinates!$C$2:$C$197,MATCH(G771,Coordinates!$J$2:$J$197,0))</f>
        <v>34.059668989999999</v>
      </c>
      <c r="AL771" s="270" t="str">
        <f>IF(ISNUMBER(SEARCH("C", 'Dry_Litterbag Placem_Collection'!V112)),"YES","NO")</f>
        <v>NO</v>
      </c>
      <c r="AM771" s="270" t="str">
        <f>IF(ISNUMBER(SEARCH("H", 'Dry_Litterbag Placem_Collection'!V112)),"YES","NO")</f>
        <v>NO</v>
      </c>
      <c r="AN771" s="270" t="str">
        <f>IF(ISNUMBER(SEARCH("R", 'Dry_Litterbag Placem_Collection'!V112)),"YES","NO")</f>
        <v>NO</v>
      </c>
    </row>
    <row r="772" spans="1:40" ht="15" customHeight="1">
      <c r="A772" s="262" t="s">
        <v>2659</v>
      </c>
      <c r="B772" s="263">
        <f>'Dry_Litterbag Placem_Collection'!A113</f>
        <v>111</v>
      </c>
      <c r="C772" s="263" t="str">
        <f>'Dry_Litterbag Placem_Collection'!B113</f>
        <v xml:space="preserve">Mwantimba
</v>
      </c>
      <c r="D772" s="263" t="s">
        <v>2659</v>
      </c>
      <c r="E772" s="263" t="s">
        <v>2660</v>
      </c>
      <c r="F772" s="263">
        <v>2</v>
      </c>
      <c r="G772" s="264" t="str">
        <f>'Dry_Litterbag Placem_Collection'!C113</f>
        <v>Wet_Ag2_T7</v>
      </c>
      <c r="H772" s="273" t="s">
        <v>3651</v>
      </c>
      <c r="I772" s="274" t="s">
        <v>298</v>
      </c>
      <c r="J772" s="263" t="str">
        <f>IF(ISBLANK('Dry_Litterbag Placem_Collection'!M113),"","R"&amp;""&amp;'Dry_Litterbag Placem_Collection'!M113)</f>
        <v>R239</v>
      </c>
      <c r="K772" s="267">
        <f>IFERROR(INDEX('Green_rooibos initial weight'!$C$5:$C$1749,MATCH(J772, 'Green_rooibos initial weight'!$A$5:$A$1749,0)),"")</f>
        <v>2.2189999999999999</v>
      </c>
      <c r="L772" s="267">
        <f>IFERROR(K772-(TBIcalc!$Q$9+TBIcalc!$Q$10),"")</f>
        <v>1.9691999999999998</v>
      </c>
      <c r="M772" s="391">
        <f>AVERAGE(Ashed_controlls!$K$12:$K$14)</f>
        <v>2.2816647271287041</v>
      </c>
      <c r="N772" s="267">
        <f t="shared" si="61"/>
        <v>1.9242694581933815</v>
      </c>
      <c r="O772" s="267">
        <f>IF(IFERROR(INDEX('Both teabags AfterDry'!$D$3:$D$900,MATCH(J772,'Both teabags AfterDry'!$A$3:$A$900,0)),"")="","",(IFERROR(INDEX('Both teabags AfterDry'!$D$3:$D$900,MATCH(J772,'Both teabags AfterDry'!$A$3:$A$900,0)),"")))</f>
        <v>1.8743000000000001</v>
      </c>
      <c r="P772" s="267">
        <f>IFERROR(IF(O772&gt;0,O772-(TBIcalc!$Q$9),""),"")</f>
        <v>1.7237</v>
      </c>
      <c r="Q772" s="278">
        <f>IFERROR(INDEX('Ashed teabags dry'!$K$2:$K$825,MATCH(J772,'Ashed teabags dry'!$A$2:$A$825,0)),"")</f>
        <v>2.9234338747099509</v>
      </c>
      <c r="R772" s="278">
        <f t="shared" si="62"/>
        <v>1.6733087703016245</v>
      </c>
      <c r="S772" s="268">
        <f>'Dry_Litterbag Placem_Collection'!E113</f>
        <v>42939</v>
      </c>
      <c r="T772" s="268">
        <f>IF('Dry_Litterbag Placem_Collection'!G113="","",'Dry_Litterbag Placem_Collection'!G113)</f>
        <v>43010</v>
      </c>
      <c r="U772" s="269">
        <f t="shared" si="60"/>
        <v>71</v>
      </c>
      <c r="V772" s="267">
        <f t="shared" si="63"/>
        <v>0.24549999999999983</v>
      </c>
      <c r="W772" s="267">
        <f t="shared" si="64"/>
        <v>0.25096068789175696</v>
      </c>
      <c r="X772" s="271">
        <f>IFERROR(INDEX(Rainfall_Dry!$O$2:$O$217,MATCH(B772, Rainfall_Dry!$A$2:$A$217,0)),"")</f>
        <v>137.19979645800001</v>
      </c>
      <c r="Y772" s="260">
        <v>34.344660194174757</v>
      </c>
      <c r="Z772" s="260">
        <v>19.22727272727273</v>
      </c>
      <c r="AA772" s="260">
        <v>46.428067078552509</v>
      </c>
      <c r="AB772" s="261" t="s">
        <v>2670</v>
      </c>
      <c r="AC772" s="260">
        <v>7.7452932479053702</v>
      </c>
      <c r="AD772">
        <f>IF('WetLitterbags placem_collection'!AB113="","",'WetLitterbags placem_collection'!AB113)</f>
        <v>6.1</v>
      </c>
      <c r="AE772">
        <f>IF('WetLitterbags placem_collection'!Z113="","",'WetLitterbags placem_collection'!Z113)</f>
        <v>26</v>
      </c>
      <c r="AF772" s="24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71">
        <f>IFERROR(AVERAGE('Dry_Litterbag Placem_Collection'!N113,'Dry_Litterbag Placem_Collection'!Q113),"")</f>
        <v>29.549999999999997</v>
      </c>
      <c r="AJ772" s="270">
        <f>INDEX(Coordinates!$B$2:$B$197,MATCH(G772,Coordinates!$J$2:$J$197,0))</f>
        <v>-2.3697330060000001</v>
      </c>
      <c r="AK772" s="270">
        <f>INDEX(Coordinates!$C$2:$C$197,MATCH(G772,Coordinates!$J$2:$J$197,0))</f>
        <v>34.059615010000002</v>
      </c>
      <c r="AL772" s="270" t="str">
        <f>IF(ISNUMBER(SEARCH("C", 'Dry_Litterbag Placem_Collection'!V113)),"YES","NO")</f>
        <v>NO</v>
      </c>
      <c r="AM772" s="270" t="str">
        <f>IF(ISNUMBER(SEARCH("H", 'Dry_Litterbag Placem_Collection'!V113)),"YES","NO")</f>
        <v>NO</v>
      </c>
      <c r="AN772" s="270" t="str">
        <f>IF(ISNUMBER(SEARCH("R", 'Dry_Litterbag Placem_Collection'!V113)),"YES","NO")</f>
        <v>NO</v>
      </c>
    </row>
    <row r="773" spans="1:40" ht="15" customHeight="1">
      <c r="A773" s="262" t="s">
        <v>2659</v>
      </c>
      <c r="B773" s="263">
        <f>'Dry_Litterbag Placem_Collection'!A114</f>
        <v>112</v>
      </c>
      <c r="C773" s="263" t="str">
        <f>'Dry_Litterbag Placem_Collection'!B114</f>
        <v xml:space="preserve">Mwantimba
</v>
      </c>
      <c r="D773" s="263" t="s">
        <v>2659</v>
      </c>
      <c r="E773" s="263" t="s">
        <v>2660</v>
      </c>
      <c r="F773" s="263">
        <v>2</v>
      </c>
      <c r="G773" s="264" t="str">
        <f>'Dry_Litterbag Placem_Collection'!C114</f>
        <v>Wet_Ag2_T8</v>
      </c>
      <c r="H773" s="273" t="s">
        <v>3651</v>
      </c>
      <c r="I773" s="274" t="s">
        <v>298</v>
      </c>
      <c r="J773" s="263" t="str">
        <f>IF(ISBLANK('Dry_Litterbag Placem_Collection'!M114),"","R"&amp;""&amp;'Dry_Litterbag Placem_Collection'!M114)</f>
        <v/>
      </c>
      <c r="K773" s="267" t="str">
        <f>IFERROR(INDEX('Green_rooibos initial weight'!$C$5:$C$1749,MATCH(J773, 'Green_rooibos initial weight'!$A$5:$A$1749,0)),"")</f>
        <v/>
      </c>
      <c r="L773" s="267" t="str">
        <f>IFERROR(K773-(TBIcalc!$Q$9+TBIcalc!$Q$10),"")</f>
        <v/>
      </c>
      <c r="M773" s="391">
        <f>AVERAGE(Ashed_controlls!$K$12:$K$14)</f>
        <v>2.2816647271287041</v>
      </c>
      <c r="N773" s="267" t="str">
        <f t="shared" si="61"/>
        <v/>
      </c>
      <c r="O773" s="267" t="str">
        <f>IF(IFERROR(INDEX('Both teabags AfterDry'!$D$3:$D$900,MATCH(J773,'Both teabags AfterDry'!$A$3:$A$900,0)),"")="","",(IFERROR(INDEX('Both teabags AfterDry'!$D$3:$D$900,MATCH(J773,'Both teabags AfterDry'!$A$3:$A$900,0)),"")))</f>
        <v/>
      </c>
      <c r="P773" s="267" t="str">
        <f>IFERROR(IF(O773&gt;0,O773-(TBIcalc!$Q$9),""),"")</f>
        <v/>
      </c>
      <c r="Q773" s="278" t="str">
        <f>IFERROR(INDEX('Ashed teabags dry'!$K$2:$K$825,MATCH(J773,'Ashed teabags dry'!$A$2:$A$825,0)),"")</f>
        <v/>
      </c>
      <c r="R773" s="278" t="str">
        <f t="shared" si="62"/>
        <v/>
      </c>
      <c r="S773" s="268">
        <f>'Dry_Litterbag Placem_Collection'!E114</f>
        <v>0</v>
      </c>
      <c r="T773" s="268" t="str">
        <f>IF('Dry_Litterbag Placem_Collection'!G114="","",'Dry_Litterbag Placem_Collection'!G114)</f>
        <v/>
      </c>
      <c r="U773" s="269" t="str">
        <f t="shared" si="60"/>
        <v/>
      </c>
      <c r="V773" s="267" t="str">
        <f t="shared" si="63"/>
        <v/>
      </c>
      <c r="W773" s="267" t="str">
        <f t="shared" si="64"/>
        <v/>
      </c>
      <c r="X773" s="271" t="str">
        <f>IFERROR(INDEX(Rainfall_Dry!$O$2:$O$217,MATCH(B773, Rainfall_Dry!$A$2:$A$217,0)),"")</f>
        <v/>
      </c>
      <c r="Y773" s="260">
        <v>34.344660194174757</v>
      </c>
      <c r="Z773" s="260">
        <v>19.22727272727273</v>
      </c>
      <c r="AA773" s="260">
        <v>46.428067078552509</v>
      </c>
      <c r="AB773" s="261" t="s">
        <v>2670</v>
      </c>
      <c r="AC773" s="260">
        <v>8.7452932479053693</v>
      </c>
      <c r="AD773">
        <f>IF('WetLitterbags placem_collection'!AB114="","",'WetLitterbags placem_collection'!AB114)</f>
        <v>11.5</v>
      </c>
      <c r="AE773">
        <f>IF('WetLitterbags placem_collection'!Z114="","",'WetLitterbags placem_collection'!Z114)</f>
        <v>15</v>
      </c>
      <c r="AF773" s="24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71" t="str">
        <f>IFERROR(AVERAGE('Dry_Litterbag Placem_Collection'!N114,'Dry_Litterbag Placem_Collection'!Q114),"")</f>
        <v/>
      </c>
      <c r="AJ773" s="270">
        <f>INDEX(Coordinates!$B$2:$B$197,MATCH(G773,Coordinates!$J$2:$J$197,0))</f>
        <v>-2.36967098</v>
      </c>
      <c r="AK773" s="270">
        <f>INDEX(Coordinates!$C$2:$C$197,MATCH(G773,Coordinates!$J$2:$J$197,0))</f>
        <v>34.059735959999998</v>
      </c>
      <c r="AL773" s="270" t="str">
        <f>IF(ISNUMBER(SEARCH("C", 'Dry_Litterbag Placem_Collection'!V114)),"YES","NO")</f>
        <v>NO</v>
      </c>
      <c r="AM773" s="270" t="str">
        <f>IF(ISNUMBER(SEARCH("H", 'Dry_Litterbag Placem_Collection'!V114)),"YES","NO")</f>
        <v>NO</v>
      </c>
      <c r="AN773" s="270" t="str">
        <f>IF(ISNUMBER(SEARCH("R", 'Dry_Litterbag Placem_Collection'!V114)),"YES","NO")</f>
        <v>NO</v>
      </c>
    </row>
    <row r="774" spans="1:40" ht="15" customHeight="1">
      <c r="A774" s="262" t="s">
        <v>2659</v>
      </c>
      <c r="B774" s="263">
        <f>'Dry_Litterbag Placem_Collection'!A115</f>
        <v>113</v>
      </c>
      <c r="C774" s="263" t="str">
        <f>'Dry_Litterbag Placem_Collection'!B115</f>
        <v xml:space="preserve">Mwantimba
</v>
      </c>
      <c r="D774" s="263" t="s">
        <v>2659</v>
      </c>
      <c r="E774" s="263" t="s">
        <v>2660</v>
      </c>
      <c r="F774" s="263">
        <v>3</v>
      </c>
      <c r="G774" s="264" t="str">
        <f>'Dry_Litterbag Placem_Collection'!C115</f>
        <v>Wet_Ag3_T1</v>
      </c>
      <c r="H774" s="273" t="s">
        <v>3651</v>
      </c>
      <c r="I774" s="274" t="s">
        <v>298</v>
      </c>
      <c r="J774" s="263" t="str">
        <f>IF(ISBLANK('Dry_Litterbag Placem_Collection'!M115),"","R"&amp;""&amp;'Dry_Litterbag Placem_Collection'!M115)</f>
        <v>R313</v>
      </c>
      <c r="K774" s="267">
        <f>IFERROR(INDEX('Green_rooibos initial weight'!$C$5:$C$1749,MATCH(J774, 'Green_rooibos initial weight'!$A$5:$A$1749,0)),"")</f>
        <v>2.2450000000000001</v>
      </c>
      <c r="L774" s="267">
        <f>IFERROR(K774-(TBIcalc!$Q$9+TBIcalc!$Q$10),"")</f>
        <v>1.9952000000000001</v>
      </c>
      <c r="M774" s="391">
        <f>AVERAGE(Ashed_controlls!$K$12:$K$14)</f>
        <v>2.2816647271287041</v>
      </c>
      <c r="N774" s="267">
        <f t="shared" si="61"/>
        <v>1.9496762253643283</v>
      </c>
      <c r="O774" s="267">
        <f>IF(IFERROR(INDEX('Both teabags AfterDry'!$D$3:$D$900,MATCH(J774,'Both teabags AfterDry'!$A$3:$A$900,0)),"")="","",(IFERROR(INDEX('Both teabags AfterDry'!$D$3:$D$900,MATCH(J774,'Both teabags AfterDry'!$A$3:$A$900,0)),"")))</f>
        <v>1.6048</v>
      </c>
      <c r="P774" s="267">
        <f>IFERROR(IF(O774&gt;0,O774-(TBIcalc!$Q$9),""),"")</f>
        <v>1.4541999999999999</v>
      </c>
      <c r="Q774" s="278">
        <f>IFERROR(INDEX('Ashed teabags dry'!$K$2:$K$825,MATCH(J774,'Ashed teabags dry'!$A$2:$A$825,0)),"")</f>
        <v>8.9047619047618891</v>
      </c>
      <c r="R774" s="278">
        <f t="shared" si="62"/>
        <v>1.3247069523809525</v>
      </c>
      <c r="S774" s="268">
        <f>'Dry_Litterbag Placem_Collection'!E115</f>
        <v>42939</v>
      </c>
      <c r="T774" s="268">
        <f>IF('Dry_Litterbag Placem_Collection'!G115="","",'Dry_Litterbag Placem_Collection'!G115)</f>
        <v>43008</v>
      </c>
      <c r="U774" s="269">
        <f t="shared" si="60"/>
        <v>69</v>
      </c>
      <c r="V774" s="267">
        <f t="shared" si="63"/>
        <v>0.54100000000000015</v>
      </c>
      <c r="W774" s="267">
        <f t="shared" si="64"/>
        <v>0.62496927298337579</v>
      </c>
      <c r="X774" s="271">
        <f>IFERROR(INDEX(Rainfall_Dry!$O$2:$O$217,MATCH(B774, Rainfall_Dry!$A$2:$A$217,0)),"")</f>
        <v>136.27214243</v>
      </c>
      <c r="Y774" s="260">
        <v>27.96</v>
      </c>
      <c r="Z774" s="260">
        <v>4.9200000000000017</v>
      </c>
      <c r="AA774" s="260">
        <v>67.12</v>
      </c>
      <c r="AB774" s="261" t="s">
        <v>2670</v>
      </c>
      <c r="AC774" s="260">
        <v>0.88610152784622953</v>
      </c>
      <c r="AD774">
        <f>IF('WetLitterbags placem_collection'!AB115="","",'WetLitterbags placem_collection'!AB115)</f>
        <v>26</v>
      </c>
      <c r="AE774">
        <f>IF('WetLitterbags placem_collection'!Z115="","",'WetLitterbags placem_collection'!Z115)</f>
        <v>88.5</v>
      </c>
      <c r="AF774" s="24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71">
        <f>IFERROR(AVERAGE('Dry_Litterbag Placem_Collection'!N115,'Dry_Litterbag Placem_Collection'!Q115),"")</f>
        <v>28.9</v>
      </c>
      <c r="AJ774" s="270">
        <f>INDEX(Coordinates!$B$2:$B$197,MATCH(G774,Coordinates!$J$2:$J$197,0))</f>
        <v>-2.3487199940000001</v>
      </c>
      <c r="AK774" s="270">
        <f>INDEX(Coordinates!$C$2:$C$197,MATCH(G774,Coordinates!$J$2:$J$197,0))</f>
        <v>34.051391029999998</v>
      </c>
      <c r="AL774" s="270" t="str">
        <f>IF(ISNUMBER(SEARCH("C", 'Dry_Litterbag Placem_Collection'!V115)),"YES","NO")</f>
        <v>NO</v>
      </c>
      <c r="AM774" s="270" t="str">
        <f>IF(ISNUMBER(SEARCH("H", 'Dry_Litterbag Placem_Collection'!V115)),"YES","NO")</f>
        <v>NO</v>
      </c>
      <c r="AN774" s="270" t="str">
        <f>IF(ISNUMBER(SEARCH("R", 'Dry_Litterbag Placem_Collection'!V115)),"YES","NO")</f>
        <v>NO</v>
      </c>
    </row>
    <row r="775" spans="1:40" ht="15" customHeight="1">
      <c r="A775" s="262" t="s">
        <v>2659</v>
      </c>
      <c r="B775" s="263">
        <f>'Dry_Litterbag Placem_Collection'!A116</f>
        <v>114</v>
      </c>
      <c r="C775" s="263" t="str">
        <f>'Dry_Litterbag Placem_Collection'!B116</f>
        <v xml:space="preserve">Mwantimba
</v>
      </c>
      <c r="D775" s="263" t="s">
        <v>2659</v>
      </c>
      <c r="E775" s="263" t="s">
        <v>2660</v>
      </c>
      <c r="F775" s="263">
        <v>3</v>
      </c>
      <c r="G775" s="264" t="str">
        <f>'Dry_Litterbag Placem_Collection'!C116</f>
        <v>Wet_Ag3_T2</v>
      </c>
      <c r="H775" s="273" t="s">
        <v>3651</v>
      </c>
      <c r="I775" s="274" t="s">
        <v>298</v>
      </c>
      <c r="J775" s="263" t="str">
        <f>IF(ISBLANK('Dry_Litterbag Placem_Collection'!M116),"","R"&amp;""&amp;'Dry_Litterbag Placem_Collection'!M116)</f>
        <v>R247</v>
      </c>
      <c r="K775" s="267">
        <f>IFERROR(INDEX('Green_rooibos initial weight'!$C$5:$C$1749,MATCH(J775, 'Green_rooibos initial weight'!$A$5:$A$1749,0)),"")</f>
        <v>2.2330000000000001</v>
      </c>
      <c r="L775" s="267">
        <f>IFERROR(K775-(TBIcalc!$Q$9+TBIcalc!$Q$10),"")</f>
        <v>1.9832000000000001</v>
      </c>
      <c r="M775" s="391">
        <f>AVERAGE(Ashed_controlls!$K$12:$K$14)</f>
        <v>2.2816647271287041</v>
      </c>
      <c r="N775" s="267">
        <f t="shared" si="61"/>
        <v>1.9379500251315835</v>
      </c>
      <c r="O775" s="267">
        <f>IF(IFERROR(INDEX('Both teabags AfterDry'!$D$3:$D$900,MATCH(J775,'Both teabags AfterDry'!$A$3:$A$900,0)),"")="","",(IFERROR(INDEX('Both teabags AfterDry'!$D$3:$D$900,MATCH(J775,'Both teabags AfterDry'!$A$3:$A$900,0)),"")))</f>
        <v>1.7551000000000001</v>
      </c>
      <c r="P775" s="267">
        <f>IFERROR(IF(O775&gt;0,O775-(TBIcalc!$Q$9),""),"")</f>
        <v>1.6045</v>
      </c>
      <c r="Q775" s="278">
        <f>IFERROR(INDEX('Ashed teabags dry'!$K$2:$K$825,MATCH(J775,'Ashed teabags dry'!$A$2:$A$825,0)),"")</f>
        <v>8.2853345148423898</v>
      </c>
      <c r="R775" s="278">
        <f t="shared" si="62"/>
        <v>1.471561807709354</v>
      </c>
      <c r="S775" s="268">
        <f>'Dry_Litterbag Placem_Collection'!E116</f>
        <v>42939</v>
      </c>
      <c r="T775" s="268">
        <f>IF('Dry_Litterbag Placem_Collection'!G116="","",'Dry_Litterbag Placem_Collection'!G116)</f>
        <v>43008</v>
      </c>
      <c r="U775" s="269">
        <f t="shared" si="60"/>
        <v>69</v>
      </c>
      <c r="V775" s="267">
        <f t="shared" si="63"/>
        <v>0.37870000000000004</v>
      </c>
      <c r="W775" s="267">
        <f t="shared" si="64"/>
        <v>0.46638821742222958</v>
      </c>
      <c r="X775" s="271">
        <f>IFERROR(INDEX(Rainfall_Dry!$O$2:$O$217,MATCH(B775, Rainfall_Dry!$A$2:$A$217,0)),"")</f>
        <v>136.27214243</v>
      </c>
      <c r="Y775" s="260">
        <v>27.96</v>
      </c>
      <c r="Z775" s="260">
        <v>4.9200000000000017</v>
      </c>
      <c r="AA775" s="260">
        <v>67.12</v>
      </c>
      <c r="AB775" s="261" t="s">
        <v>2670</v>
      </c>
      <c r="AC775" s="260">
        <v>1.8861015278462301</v>
      </c>
      <c r="AD775">
        <f>IF('WetLitterbags placem_collection'!AB116="","",'WetLitterbags placem_collection'!AB116)</f>
        <v>16.5</v>
      </c>
      <c r="AE775">
        <f>IF('WetLitterbags placem_collection'!Z116="","",'WetLitterbags placem_collection'!Z116)</f>
        <v>87.5</v>
      </c>
      <c r="AF775" s="24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71">
        <f>IFERROR(AVERAGE('Dry_Litterbag Placem_Collection'!N116,'Dry_Litterbag Placem_Collection'!Q116),"")</f>
        <v>28.1</v>
      </c>
      <c r="AJ775" s="270">
        <f>INDEX(Coordinates!$B$2:$B$197,MATCH(G775,Coordinates!$J$2:$J$197,0))</f>
        <v>-2.348716976</v>
      </c>
      <c r="AK775" s="270">
        <f>INDEX(Coordinates!$C$2:$C$197,MATCH(G775,Coordinates!$J$2:$J$197,0))</f>
        <v>34.051484989999999</v>
      </c>
      <c r="AL775" s="270" t="str">
        <f>IF(ISNUMBER(SEARCH("C", 'Dry_Litterbag Placem_Collection'!V116)),"YES","NO")</f>
        <v>NO</v>
      </c>
      <c r="AM775" s="270" t="str">
        <f>IF(ISNUMBER(SEARCH("H", 'Dry_Litterbag Placem_Collection'!V116)),"YES","NO")</f>
        <v>NO</v>
      </c>
      <c r="AN775" s="270" t="str">
        <f>IF(ISNUMBER(SEARCH("R", 'Dry_Litterbag Placem_Collection'!V116)),"YES","NO")</f>
        <v>NO</v>
      </c>
    </row>
    <row r="776" spans="1:40" ht="15" customHeight="1">
      <c r="A776" s="262" t="s">
        <v>2659</v>
      </c>
      <c r="B776" s="263">
        <f>'Dry_Litterbag Placem_Collection'!A117</f>
        <v>115</v>
      </c>
      <c r="C776" s="263" t="str">
        <f>'Dry_Litterbag Placem_Collection'!B117</f>
        <v xml:space="preserve">Mwantimba
</v>
      </c>
      <c r="D776" s="263" t="s">
        <v>2659</v>
      </c>
      <c r="E776" s="263" t="s">
        <v>2660</v>
      </c>
      <c r="F776" s="263">
        <v>3</v>
      </c>
      <c r="G776" s="264" t="str">
        <f>'Dry_Litterbag Placem_Collection'!C117</f>
        <v>Wet_Ag3_T3</v>
      </c>
      <c r="H776" s="273" t="s">
        <v>3651</v>
      </c>
      <c r="I776" s="274" t="s">
        <v>298</v>
      </c>
      <c r="J776" s="263" t="str">
        <f>IF(ISBLANK('Dry_Litterbag Placem_Collection'!M117),"","R"&amp;""&amp;'Dry_Litterbag Placem_Collection'!M117)</f>
        <v>R671</v>
      </c>
      <c r="K776" s="267">
        <f>IFERROR(INDEX('Green_rooibos initial weight'!$C$5:$C$1749,MATCH(J776, 'Green_rooibos initial weight'!$A$5:$A$1749,0)),"")</f>
        <v>2.202</v>
      </c>
      <c r="L776" s="267">
        <f>IFERROR(K776-(TBIcalc!$Q$9+TBIcalc!$Q$10),"")</f>
        <v>1.9521999999999999</v>
      </c>
      <c r="M776" s="391">
        <f>AVERAGE(Ashed_controlls!$K$12:$K$14)</f>
        <v>2.2816647271287041</v>
      </c>
      <c r="N776" s="267">
        <f t="shared" si="61"/>
        <v>1.9076573411969935</v>
      </c>
      <c r="O776" s="267">
        <f>IF(IFERROR(INDEX('Both teabags AfterDry'!$D$3:$D$900,MATCH(J776,'Both teabags AfterDry'!$A$3:$A$900,0)),"")="","",(IFERROR(INDEX('Both teabags AfterDry'!$D$3:$D$900,MATCH(J776,'Both teabags AfterDry'!$A$3:$A$900,0)),"")))</f>
        <v>1.6099000000000001</v>
      </c>
      <c r="P776" s="267">
        <f>IFERROR(IF(O776&gt;0,O776-(TBIcalc!$Q$9),""),"")</f>
        <v>1.4593</v>
      </c>
      <c r="Q776" s="278">
        <f>IFERROR(INDEX('Ashed teabags dry'!$K$2:$K$825,MATCH(J776,'Ashed teabags dry'!$A$2:$A$825,0)),"")</f>
        <v>9.1992373689235691</v>
      </c>
      <c r="R776" s="278">
        <f t="shared" si="62"/>
        <v>1.3250555290752983</v>
      </c>
      <c r="S776" s="268">
        <f>'Dry_Litterbag Placem_Collection'!E117</f>
        <v>42939</v>
      </c>
      <c r="T776" s="268">
        <f>IF('Dry_Litterbag Placem_Collection'!G117="","",'Dry_Litterbag Placem_Collection'!G117)</f>
        <v>43008</v>
      </c>
      <c r="U776" s="269">
        <f t="shared" si="60"/>
        <v>69</v>
      </c>
      <c r="V776" s="267">
        <f t="shared" si="63"/>
        <v>0.49289999999999989</v>
      </c>
      <c r="W776" s="267">
        <f t="shared" si="64"/>
        <v>0.58260181212169515</v>
      </c>
      <c r="X776" s="271">
        <f>IFERROR(INDEX(Rainfall_Dry!$O$2:$O$217,MATCH(B776, Rainfall_Dry!$A$2:$A$217,0)),"")</f>
        <v>136.27214243</v>
      </c>
      <c r="Y776" s="260">
        <v>27.96</v>
      </c>
      <c r="Z776" s="260">
        <v>4.9200000000000017</v>
      </c>
      <c r="AA776" s="260">
        <v>67.12</v>
      </c>
      <c r="AB776" s="261" t="s">
        <v>2670</v>
      </c>
      <c r="AC776" s="260">
        <v>2.8861015278462299</v>
      </c>
      <c r="AD776">
        <f>IF('WetLitterbags placem_collection'!AB117="","",'WetLitterbags placem_collection'!AB117)</f>
        <v>19</v>
      </c>
      <c r="AE776">
        <f>IF('WetLitterbags placem_collection'!Z117="","",'WetLitterbags placem_collection'!Z117)</f>
        <v>79.5</v>
      </c>
      <c r="AF776" s="24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71">
        <f>IFERROR(AVERAGE('Dry_Litterbag Placem_Collection'!N117,'Dry_Litterbag Placem_Collection'!Q117),"")</f>
        <v>28.95</v>
      </c>
      <c r="AJ776" s="270">
        <f>INDEX(Coordinates!$B$2:$B$197,MATCH(G776,Coordinates!$J$2:$J$197,0))</f>
        <v>-2.3487800079999999</v>
      </c>
      <c r="AK776" s="270">
        <f>INDEX(Coordinates!$C$2:$C$197,MATCH(G776,Coordinates!$J$2:$J$197,0))</f>
        <v>34.051495969999998</v>
      </c>
      <c r="AL776" s="270" t="str">
        <f>IF(ISNUMBER(SEARCH("C", 'Dry_Litterbag Placem_Collection'!V117)),"YES","NO")</f>
        <v>NO</v>
      </c>
      <c r="AM776" s="270" t="str">
        <f>IF(ISNUMBER(SEARCH("H", 'Dry_Litterbag Placem_Collection'!V117)),"YES","NO")</f>
        <v>NO</v>
      </c>
      <c r="AN776" s="270" t="str">
        <f>IF(ISNUMBER(SEARCH("R", 'Dry_Litterbag Placem_Collection'!V117)),"YES","NO")</f>
        <v>NO</v>
      </c>
    </row>
    <row r="777" spans="1:40" ht="15" customHeight="1">
      <c r="A777" s="262" t="s">
        <v>2659</v>
      </c>
      <c r="B777" s="263">
        <f>'Dry_Litterbag Placem_Collection'!A118</f>
        <v>116</v>
      </c>
      <c r="C777" s="263" t="str">
        <f>'Dry_Litterbag Placem_Collection'!B118</f>
        <v xml:space="preserve">Mwantimba
</v>
      </c>
      <c r="D777" s="263" t="s">
        <v>2659</v>
      </c>
      <c r="E777" s="263" t="s">
        <v>2660</v>
      </c>
      <c r="F777" s="263">
        <v>3</v>
      </c>
      <c r="G777" s="264" t="str">
        <f>'Dry_Litterbag Placem_Collection'!C118</f>
        <v>Wet_Ag3_T4</v>
      </c>
      <c r="H777" s="273" t="s">
        <v>3651</v>
      </c>
      <c r="I777" s="274" t="s">
        <v>298</v>
      </c>
      <c r="J777" s="263" t="str">
        <f>IF(ISBLANK('Dry_Litterbag Placem_Collection'!M118),"","R"&amp;""&amp;'Dry_Litterbag Placem_Collection'!M118)</f>
        <v>R638</v>
      </c>
      <c r="K777" s="267">
        <f>IFERROR(INDEX('Green_rooibos initial weight'!$C$5:$C$1749,MATCH(J777, 'Green_rooibos initial weight'!$A$5:$A$1749,0)),"")</f>
        <v>2.1659999999999999</v>
      </c>
      <c r="L777" s="267">
        <f>IFERROR(K777-(TBIcalc!$Q$9+TBIcalc!$Q$10),"")</f>
        <v>1.9161999999999999</v>
      </c>
      <c r="M777" s="391">
        <f>AVERAGE(Ashed_controlls!$K$12:$K$14)</f>
        <v>2.2816647271287041</v>
      </c>
      <c r="N777" s="267">
        <f t="shared" si="61"/>
        <v>1.8724787404987597</v>
      </c>
      <c r="O777" s="267">
        <f>IF(IFERROR(INDEX('Both teabags AfterDry'!$D$3:$D$900,MATCH(J777,'Both teabags AfterDry'!$A$3:$A$900,0)),"")="","",(IFERROR(INDEX('Both teabags AfterDry'!$D$3:$D$900,MATCH(J777,'Both teabags AfterDry'!$A$3:$A$900,0)),"")))</f>
        <v>1.5814999999999999</v>
      </c>
      <c r="P777" s="267">
        <f>IFERROR(IF(O777&gt;0,O777-(TBIcalc!$Q$9),""),"")</f>
        <v>1.4308999999999998</v>
      </c>
      <c r="Q777" s="278">
        <f>IFERROR(INDEX('Ashed teabags dry'!$K$2:$K$825,MATCH(J777,'Ashed teabags dry'!$A$2:$A$825,0)),"")</f>
        <v>7.3855913004079357</v>
      </c>
      <c r="R777" s="278">
        <f t="shared" si="62"/>
        <v>1.3252195740824626</v>
      </c>
      <c r="S777" s="268">
        <f>'Dry_Litterbag Placem_Collection'!E118</f>
        <v>42939</v>
      </c>
      <c r="T777" s="268">
        <f>IF('Dry_Litterbag Placem_Collection'!G118="","",'Dry_Litterbag Placem_Collection'!G118)</f>
        <v>43008</v>
      </c>
      <c r="U777" s="269">
        <f t="shared" si="60"/>
        <v>69</v>
      </c>
      <c r="V777" s="267">
        <f t="shared" si="63"/>
        <v>0.48530000000000006</v>
      </c>
      <c r="W777" s="267">
        <f t="shared" si="64"/>
        <v>0.54725916641629713</v>
      </c>
      <c r="X777" s="271">
        <f>IFERROR(INDEX(Rainfall_Dry!$O$2:$O$217,MATCH(B777, Rainfall_Dry!$A$2:$A$217,0)),"")</f>
        <v>136.27214243</v>
      </c>
      <c r="Y777" s="260">
        <v>27.96</v>
      </c>
      <c r="Z777" s="260">
        <v>4.9200000000000017</v>
      </c>
      <c r="AA777" s="260">
        <v>67.12</v>
      </c>
      <c r="AB777" s="261" t="s">
        <v>2670</v>
      </c>
      <c r="AC777" s="260">
        <v>3.8861015278462299</v>
      </c>
      <c r="AD777">
        <f>IF('WetLitterbags placem_collection'!AB118="","",'WetLitterbags placem_collection'!AB118)</f>
        <v>22.5</v>
      </c>
      <c r="AE777">
        <f>IF('WetLitterbags placem_collection'!Z118="","",'WetLitterbags placem_collection'!Z118)</f>
        <v>76</v>
      </c>
      <c r="AF777" s="24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71">
        <f>IFERROR(AVERAGE('Dry_Litterbag Placem_Collection'!N118,'Dry_Litterbag Placem_Collection'!Q118),"")</f>
        <v>29.799999999999997</v>
      </c>
      <c r="AJ777" s="270">
        <f>INDEX(Coordinates!$B$2:$B$197,MATCH(G777,Coordinates!$J$2:$J$197,0))</f>
        <v>-2.3488120270000001</v>
      </c>
      <c r="AK777" s="270">
        <f>INDEX(Coordinates!$C$2:$C$197,MATCH(G777,Coordinates!$J$2:$J$197,0))</f>
        <v>34.05146697</v>
      </c>
      <c r="AL777" s="270" t="str">
        <f>IF(ISNUMBER(SEARCH("C", 'Dry_Litterbag Placem_Collection'!V118)),"YES","NO")</f>
        <v>NO</v>
      </c>
      <c r="AM777" s="270" t="str">
        <f>IF(ISNUMBER(SEARCH("H", 'Dry_Litterbag Placem_Collection'!V118)),"YES","NO")</f>
        <v>NO</v>
      </c>
      <c r="AN777" s="270" t="str">
        <f>IF(ISNUMBER(SEARCH("R", 'Dry_Litterbag Placem_Collection'!V118)),"YES","NO")</f>
        <v>NO</v>
      </c>
    </row>
    <row r="778" spans="1:40" ht="15" customHeight="1">
      <c r="A778" s="262" t="s">
        <v>2659</v>
      </c>
      <c r="B778" s="263">
        <f>'Dry_Litterbag Placem_Collection'!A119</f>
        <v>117</v>
      </c>
      <c r="C778" s="263" t="str">
        <f>'Dry_Litterbag Placem_Collection'!B119</f>
        <v xml:space="preserve">Mwantimba
</v>
      </c>
      <c r="D778" s="263" t="s">
        <v>2659</v>
      </c>
      <c r="E778" s="263" t="s">
        <v>2660</v>
      </c>
      <c r="F778" s="263">
        <v>3</v>
      </c>
      <c r="G778" s="264" t="str">
        <f>'Dry_Litterbag Placem_Collection'!C119</f>
        <v>Wet_Ag3_T5</v>
      </c>
      <c r="H778" s="273" t="s">
        <v>3651</v>
      </c>
      <c r="I778" s="274" t="s">
        <v>298</v>
      </c>
      <c r="J778" s="263" t="str">
        <f>IF(ISBLANK('Dry_Litterbag Placem_Collection'!M119),"","R"&amp;""&amp;'Dry_Litterbag Placem_Collection'!M119)</f>
        <v>R719</v>
      </c>
      <c r="K778" s="267">
        <f>IFERROR(INDEX('Green_rooibos initial weight'!$C$5:$C$1749,MATCH(J778, 'Green_rooibos initial weight'!$A$5:$A$1749,0)),"")</f>
        <v>2.2050000000000001</v>
      </c>
      <c r="L778" s="267">
        <f>IFERROR(K778-(TBIcalc!$Q$9+TBIcalc!$Q$10),"")</f>
        <v>1.9552</v>
      </c>
      <c r="M778" s="391">
        <f>AVERAGE(Ashed_controlls!$K$12:$K$14)</f>
        <v>2.2816647271287041</v>
      </c>
      <c r="N778" s="267">
        <f t="shared" si="61"/>
        <v>1.9105888912551796</v>
      </c>
      <c r="O778" s="267" t="str">
        <f>IF(IFERROR(INDEX('Both teabags AfterDry'!$D$3:$D$900,MATCH(J778,'Both teabags AfterDry'!$A$3:$A$900,0)),"")="","",(IFERROR(INDEX('Both teabags AfterDry'!$D$3:$D$900,MATCH(J778,'Both teabags AfterDry'!$A$3:$A$900,0)),"")))</f>
        <v/>
      </c>
      <c r="P778" s="267" t="str">
        <f>IFERROR(IF(O778&gt;0,O778-(TBIcalc!$Q$9),""),"")</f>
        <v/>
      </c>
      <c r="Q778" s="278" t="str">
        <f>IFERROR(INDEX('Ashed teabags dry'!$K$2:$K$825,MATCH(J778,'Ashed teabags dry'!$A$2:$A$825,0)),"")</f>
        <v/>
      </c>
      <c r="R778" s="278" t="str">
        <f t="shared" si="62"/>
        <v/>
      </c>
      <c r="S778" s="268">
        <f>'Dry_Litterbag Placem_Collection'!E119</f>
        <v>42939</v>
      </c>
      <c r="T778" s="268">
        <f>IF('Dry_Litterbag Placem_Collection'!G119="","",'Dry_Litterbag Placem_Collection'!G119)</f>
        <v>43008</v>
      </c>
      <c r="U778" s="269">
        <f t="shared" si="60"/>
        <v>69</v>
      </c>
      <c r="V778" s="267" t="str">
        <f t="shared" si="63"/>
        <v/>
      </c>
      <c r="W778" s="267" t="str">
        <f t="shared" si="64"/>
        <v/>
      </c>
      <c r="X778" s="271">
        <f>IFERROR(INDEX(Rainfall_Dry!$O$2:$O$217,MATCH(B778, Rainfall_Dry!$A$2:$A$217,0)),"")</f>
        <v>136.27214243</v>
      </c>
      <c r="Y778" s="260">
        <v>27.96</v>
      </c>
      <c r="Z778" s="260">
        <v>4.9200000000000017</v>
      </c>
      <c r="AA778" s="260">
        <v>67.12</v>
      </c>
      <c r="AB778" s="261" t="s">
        <v>2670</v>
      </c>
      <c r="AC778" s="260">
        <v>4.8861015278462299</v>
      </c>
      <c r="AD778">
        <f>IF('WetLitterbags placem_collection'!AB119="","",'WetLitterbags placem_collection'!AB119)</f>
        <v>23.5</v>
      </c>
      <c r="AE778">
        <f>IF('WetLitterbags placem_collection'!Z119="","",'WetLitterbags placem_collection'!Z119)</f>
        <v>76</v>
      </c>
      <c r="AF778" s="24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71">
        <f>IFERROR(AVERAGE('Dry_Litterbag Placem_Collection'!N119,'Dry_Litterbag Placem_Collection'!Q119),"")</f>
        <v>29.05</v>
      </c>
      <c r="AJ778" s="270">
        <f>INDEX(Coordinates!$B$2:$B$197,MATCH(G778,Coordinates!$J$2:$J$197,0))</f>
        <v>-2.348814961</v>
      </c>
      <c r="AK778" s="270">
        <f>INDEX(Coordinates!$C$2:$C$197,MATCH(G778,Coordinates!$J$2:$J$197,0))</f>
        <v>34.051439979999998</v>
      </c>
      <c r="AL778" s="270" t="str">
        <f>IF(ISNUMBER(SEARCH("C", 'Dry_Litterbag Placem_Collection'!V119)),"YES","NO")</f>
        <v>NO</v>
      </c>
      <c r="AM778" s="270" t="str">
        <f>IF(ISNUMBER(SEARCH("H", 'Dry_Litterbag Placem_Collection'!V119)),"YES","NO")</f>
        <v>NO</v>
      </c>
      <c r="AN778" s="270" t="str">
        <f>IF(ISNUMBER(SEARCH("R", 'Dry_Litterbag Placem_Collection'!V119)),"YES","NO")</f>
        <v>NO</v>
      </c>
    </row>
    <row r="779" spans="1:40" ht="15" customHeight="1">
      <c r="A779" s="262" t="s">
        <v>2659</v>
      </c>
      <c r="B779" s="263">
        <f>'Dry_Litterbag Placem_Collection'!A120</f>
        <v>118</v>
      </c>
      <c r="C779" s="263" t="str">
        <f>'Dry_Litterbag Placem_Collection'!B120</f>
        <v xml:space="preserve">Mwantimba
</v>
      </c>
      <c r="D779" s="263" t="s">
        <v>2659</v>
      </c>
      <c r="E779" s="263" t="s">
        <v>2660</v>
      </c>
      <c r="F779" s="263">
        <v>3</v>
      </c>
      <c r="G779" s="264" t="str">
        <f>'Dry_Litterbag Placem_Collection'!C120</f>
        <v>Wet_Ag3_T6</v>
      </c>
      <c r="H779" s="273" t="s">
        <v>3651</v>
      </c>
      <c r="I779" s="274" t="s">
        <v>298</v>
      </c>
      <c r="J779" s="263" t="str">
        <f>IF(ISBLANK('Dry_Litterbag Placem_Collection'!M120),"","R"&amp;""&amp;'Dry_Litterbag Placem_Collection'!M120)</f>
        <v>R173</v>
      </c>
      <c r="K779" s="267">
        <f>IFERROR(INDEX('Green_rooibos initial weight'!$C$5:$C$1749,MATCH(J779, 'Green_rooibos initial weight'!$A$5:$A$1749,0)),"")</f>
        <v>2.2040000000000002</v>
      </c>
      <c r="L779" s="267">
        <f>IFERROR(K779-(TBIcalc!$Q$9+TBIcalc!$Q$10),"")</f>
        <v>1.9542000000000002</v>
      </c>
      <c r="M779" s="391">
        <f>AVERAGE(Ashed_controlls!$K$12:$K$14)</f>
        <v>2.2816647271287041</v>
      </c>
      <c r="N779" s="267">
        <f t="shared" si="61"/>
        <v>1.909611707902451</v>
      </c>
      <c r="O779" s="267">
        <f>IF(IFERROR(INDEX('Both teabags AfterDry'!$D$3:$D$900,MATCH(J779,'Both teabags AfterDry'!$A$3:$A$900,0)),"")="","",(IFERROR(INDEX('Both teabags AfterDry'!$D$3:$D$900,MATCH(J779,'Both teabags AfterDry'!$A$3:$A$900,0)),"")))</f>
        <v>1.5261</v>
      </c>
      <c r="P779" s="267">
        <f>IFERROR(IF(O779&gt;0,O779-(TBIcalc!$Q$9),""),"")</f>
        <v>1.3754999999999999</v>
      </c>
      <c r="Q779" s="278">
        <f>IFERROR(INDEX('Ashed teabags dry'!$K$2:$K$825,MATCH(J779,'Ashed teabags dry'!$A$2:$A$825,0)),"")</f>
        <v>8.9977728285078307</v>
      </c>
      <c r="R779" s="278">
        <f t="shared" si="62"/>
        <v>1.2517356347438748</v>
      </c>
      <c r="S779" s="268">
        <f>'Dry_Litterbag Placem_Collection'!E120</f>
        <v>42939</v>
      </c>
      <c r="T779" s="268">
        <f>IF('Dry_Litterbag Placem_Collection'!G120="","",'Dry_Litterbag Placem_Collection'!G120)</f>
        <v>43008</v>
      </c>
      <c r="U779" s="269">
        <f t="shared" si="60"/>
        <v>69</v>
      </c>
      <c r="V779" s="267">
        <f t="shared" si="63"/>
        <v>0.57870000000000021</v>
      </c>
      <c r="W779" s="267">
        <f t="shared" si="64"/>
        <v>0.65787607315857621</v>
      </c>
      <c r="X779" s="271">
        <f>IFERROR(INDEX(Rainfall_Dry!$O$2:$O$217,MATCH(B779, Rainfall_Dry!$A$2:$A$217,0)),"")</f>
        <v>136.27214243</v>
      </c>
      <c r="Y779" s="260">
        <v>27.96</v>
      </c>
      <c r="Z779" s="260">
        <v>4.9200000000000017</v>
      </c>
      <c r="AA779" s="260">
        <v>67.12</v>
      </c>
      <c r="AB779" s="261" t="s">
        <v>2670</v>
      </c>
      <c r="AC779" s="260">
        <v>5.8861015278462299</v>
      </c>
      <c r="AD779">
        <f>IF('WetLitterbags placem_collection'!AB120="","",'WetLitterbags placem_collection'!AB120)</f>
        <v>17.5</v>
      </c>
      <c r="AE779">
        <f>IF('WetLitterbags placem_collection'!Z120="","",'WetLitterbags placem_collection'!Z120)</f>
        <v>70.5</v>
      </c>
      <c r="AF779" s="24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71">
        <f>IFERROR(AVERAGE('Dry_Litterbag Placem_Collection'!N120,'Dry_Litterbag Placem_Collection'!Q120),"")</f>
        <v>28.25</v>
      </c>
      <c r="AJ779" s="270">
        <f>INDEX(Coordinates!$B$2:$B$197,MATCH(G779,Coordinates!$J$2:$J$197,0))</f>
        <v>-2.3488729629999998</v>
      </c>
      <c r="AK779" s="270">
        <f>INDEX(Coordinates!$C$2:$C$197,MATCH(G779,Coordinates!$J$2:$J$197,0))</f>
        <v>34.051454980000003</v>
      </c>
      <c r="AL779" s="270" t="str">
        <f>IF(ISNUMBER(SEARCH("C", 'Dry_Litterbag Placem_Collection'!V120)),"YES","NO")</f>
        <v>NO</v>
      </c>
      <c r="AM779" s="270" t="str">
        <f>IF(ISNUMBER(SEARCH("H", 'Dry_Litterbag Placem_Collection'!V120)),"YES","NO")</f>
        <v>NO</v>
      </c>
      <c r="AN779" s="270" t="str">
        <f>IF(ISNUMBER(SEARCH("R", 'Dry_Litterbag Placem_Collection'!V120)),"YES","NO")</f>
        <v>NO</v>
      </c>
    </row>
    <row r="780" spans="1:40" ht="15" customHeight="1">
      <c r="A780" s="262" t="s">
        <v>2659</v>
      </c>
      <c r="B780" s="263">
        <f>'Dry_Litterbag Placem_Collection'!A121</f>
        <v>119</v>
      </c>
      <c r="C780" s="263" t="str">
        <f>'Dry_Litterbag Placem_Collection'!B121</f>
        <v xml:space="preserve">Mwantimba
</v>
      </c>
      <c r="D780" s="263" t="s">
        <v>2659</v>
      </c>
      <c r="E780" s="263" t="s">
        <v>2660</v>
      </c>
      <c r="F780" s="263">
        <v>3</v>
      </c>
      <c r="G780" s="264" t="str">
        <f>'Dry_Litterbag Placem_Collection'!C121</f>
        <v>Wet_Ag3_T7</v>
      </c>
      <c r="H780" s="273" t="s">
        <v>3651</v>
      </c>
      <c r="I780" s="274" t="s">
        <v>298</v>
      </c>
      <c r="J780" s="263" t="str">
        <f>IF(ISBLANK('Dry_Litterbag Placem_Collection'!M121),"","R"&amp;""&amp;'Dry_Litterbag Placem_Collection'!M121)</f>
        <v>R373</v>
      </c>
      <c r="K780" s="267">
        <f>IFERROR(INDEX('Green_rooibos initial weight'!$C$5:$C$1749,MATCH(J780, 'Green_rooibos initial weight'!$A$5:$A$1749,0)),"")</f>
        <v>2.226</v>
      </c>
      <c r="L780" s="267">
        <f>IFERROR(K780-(TBIcalc!$Q$9+TBIcalc!$Q$10),"")</f>
        <v>1.9762</v>
      </c>
      <c r="M780" s="391">
        <f>AVERAGE(Ashed_controlls!$K$12:$K$14)</f>
        <v>2.2816647271287041</v>
      </c>
      <c r="N780" s="267">
        <f t="shared" si="61"/>
        <v>1.9311097416624825</v>
      </c>
      <c r="O780" s="267">
        <f>IF(IFERROR(INDEX('Both teabags AfterDry'!$D$3:$D$900,MATCH(J780,'Both teabags AfterDry'!$A$3:$A$900,0)),"")="","",(IFERROR(INDEX('Both teabags AfterDry'!$D$3:$D$900,MATCH(J780,'Both teabags AfterDry'!$A$3:$A$900,0)),"")))</f>
        <v>1.5419</v>
      </c>
      <c r="P780" s="267">
        <f>IFERROR(IF(O780&gt;0,O780-(TBIcalc!$Q$9),""),"")</f>
        <v>1.3913</v>
      </c>
      <c r="Q780" s="278">
        <f>IFERROR(INDEX('Ashed teabags dry'!$K$2:$K$825,MATCH(J780,'Ashed teabags dry'!$A$2:$A$825,0)),"")</f>
        <v>6.2859884836854203</v>
      </c>
      <c r="R780" s="278">
        <f t="shared" si="62"/>
        <v>1.3038430422264846</v>
      </c>
      <c r="S780" s="268">
        <f>'Dry_Litterbag Placem_Collection'!E121</f>
        <v>42939</v>
      </c>
      <c r="T780" s="268">
        <f>IF('Dry_Litterbag Placem_Collection'!G121="","",'Dry_Litterbag Placem_Collection'!G121)</f>
        <v>43008</v>
      </c>
      <c r="U780" s="269">
        <f t="shared" si="60"/>
        <v>69</v>
      </c>
      <c r="V780" s="267">
        <f t="shared" si="63"/>
        <v>0.58489999999999998</v>
      </c>
      <c r="W780" s="267">
        <f t="shared" si="64"/>
        <v>0.62726669943599789</v>
      </c>
      <c r="X780" s="271">
        <f>IFERROR(INDEX(Rainfall_Dry!$O$2:$O$217,MATCH(B780, Rainfall_Dry!$A$2:$A$217,0)),"")</f>
        <v>136.27214243</v>
      </c>
      <c r="Y780" s="260">
        <v>27.96</v>
      </c>
      <c r="Z780" s="260">
        <v>4.9200000000000017</v>
      </c>
      <c r="AA780" s="260">
        <v>67.12</v>
      </c>
      <c r="AB780" s="261" t="s">
        <v>2670</v>
      </c>
      <c r="AC780" s="260">
        <v>6.8861015278462299</v>
      </c>
      <c r="AD780">
        <f>IF('WetLitterbags placem_collection'!AB121="","",'WetLitterbags placem_collection'!AB121)</f>
        <v>18.5</v>
      </c>
      <c r="AE780">
        <f>IF('WetLitterbags placem_collection'!Z121="","",'WetLitterbags placem_collection'!Z121)</f>
        <v>74.5</v>
      </c>
      <c r="AF780" s="24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71">
        <f>IFERROR(AVERAGE('Dry_Litterbag Placem_Collection'!N121,'Dry_Litterbag Placem_Collection'!Q121),"")</f>
        <v>27.95</v>
      </c>
      <c r="AJ780" s="270">
        <f>INDEX(Coordinates!$B$2:$B$197,MATCH(G780,Coordinates!$J$2:$J$197,0))</f>
        <v>-2.3488589659999999</v>
      </c>
      <c r="AK780" s="270">
        <f>INDEX(Coordinates!$C$2:$C$197,MATCH(G780,Coordinates!$J$2:$J$197,0))</f>
        <v>34.051389010000001</v>
      </c>
      <c r="AL780" s="270" t="str">
        <f>IF(ISNUMBER(SEARCH("C", 'Dry_Litterbag Placem_Collection'!V121)),"YES","NO")</f>
        <v>NO</v>
      </c>
      <c r="AM780" s="270" t="str">
        <f>IF(ISNUMBER(SEARCH("H", 'Dry_Litterbag Placem_Collection'!V121)),"YES","NO")</f>
        <v>NO</v>
      </c>
      <c r="AN780" s="270" t="str">
        <f>IF(ISNUMBER(SEARCH("R", 'Dry_Litterbag Placem_Collection'!V121)),"YES","NO")</f>
        <v>NO</v>
      </c>
    </row>
    <row r="781" spans="1:40" ht="15" customHeight="1">
      <c r="A781" s="262" t="s">
        <v>2659</v>
      </c>
      <c r="B781" s="263">
        <f>'Dry_Litterbag Placem_Collection'!A122</f>
        <v>120</v>
      </c>
      <c r="C781" s="263" t="str">
        <f>'Dry_Litterbag Placem_Collection'!B122</f>
        <v xml:space="preserve">Mwantimba
</v>
      </c>
      <c r="D781" s="263" t="s">
        <v>2659</v>
      </c>
      <c r="E781" s="263" t="s">
        <v>2660</v>
      </c>
      <c r="F781" s="263">
        <v>3</v>
      </c>
      <c r="G781" s="264" t="str">
        <f>'Dry_Litterbag Placem_Collection'!C122</f>
        <v>Wet_Ag3_T8</v>
      </c>
      <c r="H781" s="273" t="s">
        <v>3651</v>
      </c>
      <c r="I781" s="274" t="s">
        <v>298</v>
      </c>
      <c r="J781" s="263" t="str">
        <f>IF(ISBLANK('Dry_Litterbag Placem_Collection'!M122),"","R"&amp;""&amp;'Dry_Litterbag Placem_Collection'!M122)</f>
        <v/>
      </c>
      <c r="K781" s="267" t="str">
        <f>IFERROR(INDEX('Green_rooibos initial weight'!$C$5:$C$1749,MATCH(J781, 'Green_rooibos initial weight'!$A$5:$A$1749,0)),"")</f>
        <v/>
      </c>
      <c r="L781" s="267" t="str">
        <f>IFERROR(K781-(TBIcalc!$Q$9+TBIcalc!$Q$10),"")</f>
        <v/>
      </c>
      <c r="M781" s="391">
        <f>AVERAGE(Ashed_controlls!$K$12:$K$14)</f>
        <v>2.2816647271287041</v>
      </c>
      <c r="N781" s="267" t="str">
        <f t="shared" si="61"/>
        <v/>
      </c>
      <c r="O781" s="267" t="str">
        <f>IF(IFERROR(INDEX('Both teabags AfterDry'!$D$3:$D$900,MATCH(J781,'Both teabags AfterDry'!$A$3:$A$900,0)),"")="","",(IFERROR(INDEX('Both teabags AfterDry'!$D$3:$D$900,MATCH(J781,'Both teabags AfterDry'!$A$3:$A$900,0)),"")))</f>
        <v/>
      </c>
      <c r="P781" s="267" t="str">
        <f>IFERROR(IF(O781&gt;0,O781-(TBIcalc!$Q$9),""),"")</f>
        <v/>
      </c>
      <c r="Q781" s="278" t="str">
        <f>IFERROR(INDEX('Ashed teabags dry'!$K$2:$K$825,MATCH(J781,'Ashed teabags dry'!$A$2:$A$825,0)),"")</f>
        <v/>
      </c>
      <c r="R781" s="278" t="str">
        <f t="shared" si="62"/>
        <v/>
      </c>
      <c r="S781" s="268">
        <f>'Dry_Litterbag Placem_Collection'!E122</f>
        <v>0</v>
      </c>
      <c r="T781" s="268" t="str">
        <f>IF('Dry_Litterbag Placem_Collection'!G122="","",'Dry_Litterbag Placem_Collection'!G122)</f>
        <v/>
      </c>
      <c r="U781" s="269" t="str">
        <f t="shared" si="60"/>
        <v/>
      </c>
      <c r="V781" s="267" t="str">
        <f t="shared" si="63"/>
        <v/>
      </c>
      <c r="W781" s="267" t="str">
        <f t="shared" si="64"/>
        <v/>
      </c>
      <c r="X781" s="271" t="str">
        <f>IFERROR(INDEX(Rainfall_Dry!$O$2:$O$217,MATCH(B781, Rainfall_Dry!$A$2:$A$217,0)),"")</f>
        <v/>
      </c>
      <c r="Y781" s="260">
        <v>27.96</v>
      </c>
      <c r="Z781" s="260">
        <v>4.9200000000000017</v>
      </c>
      <c r="AA781" s="260">
        <v>67.12</v>
      </c>
      <c r="AB781" s="261" t="s">
        <v>2670</v>
      </c>
      <c r="AC781" s="260">
        <v>7.8861015278462299</v>
      </c>
      <c r="AD781">
        <f>IF('WetLitterbags placem_collection'!AB122="","",'WetLitterbags placem_collection'!AB122)</f>
        <v>19</v>
      </c>
      <c r="AE781">
        <f>IF('WetLitterbags placem_collection'!Z122="","",'WetLitterbags placem_collection'!Z122)</f>
        <v>98.5</v>
      </c>
      <c r="AF781" s="24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71" t="str">
        <f>IFERROR(AVERAGE('Dry_Litterbag Placem_Collection'!N122,'Dry_Litterbag Placem_Collection'!Q122),"")</f>
        <v/>
      </c>
      <c r="AJ781" s="270">
        <f>INDEX(Coordinates!$B$2:$B$197,MATCH(G781,Coordinates!$J$2:$J$197,0))</f>
        <v>-2.3486449760000001</v>
      </c>
      <c r="AK781" s="270">
        <f>INDEX(Coordinates!$C$2:$C$197,MATCH(G781,Coordinates!$J$2:$J$197,0))</f>
        <v>34.051495969999998</v>
      </c>
      <c r="AL781" s="270" t="str">
        <f>IF(ISNUMBER(SEARCH("C", 'Dry_Litterbag Placem_Collection'!V122)),"YES","NO")</f>
        <v>NO</v>
      </c>
      <c r="AM781" s="270" t="str">
        <f>IF(ISNUMBER(SEARCH("H", 'Dry_Litterbag Placem_Collection'!V122)),"YES","NO")</f>
        <v>NO</v>
      </c>
      <c r="AN781" s="270" t="str">
        <f>IF(ISNUMBER(SEARCH("R", 'Dry_Litterbag Placem_Collection'!V122)),"YES","NO")</f>
        <v>NO</v>
      </c>
    </row>
    <row r="782" spans="1:40" ht="15" customHeight="1">
      <c r="A782" s="262" t="s">
        <v>2659</v>
      </c>
      <c r="B782" s="263">
        <f>'Dry_Litterbag Placem_Collection'!A123</f>
        <v>121</v>
      </c>
      <c r="C782" s="263" t="str">
        <f>'Dry_Litterbag Placem_Collection'!B123</f>
        <v xml:space="preserve">Mwantimba
</v>
      </c>
      <c r="D782" s="263" t="s">
        <v>2659</v>
      </c>
      <c r="E782" s="263" t="s">
        <v>2660</v>
      </c>
      <c r="F782" s="263">
        <v>4</v>
      </c>
      <c r="G782" s="264" t="str">
        <f>'Dry_Litterbag Placem_Collection'!C123</f>
        <v>Wet_Ag4_T1</v>
      </c>
      <c r="H782" s="273" t="s">
        <v>3651</v>
      </c>
      <c r="I782" s="274" t="s">
        <v>298</v>
      </c>
      <c r="J782" s="263" t="str">
        <f>IF(ISBLANK('Dry_Litterbag Placem_Collection'!M123),"","R"&amp;""&amp;'Dry_Litterbag Placem_Collection'!M123)</f>
        <v>R374</v>
      </c>
      <c r="K782" s="267">
        <f>IFERROR(INDEX('Green_rooibos initial weight'!$C$5:$C$1749,MATCH(J782, 'Green_rooibos initial weight'!$A$5:$A$1749,0)),"")</f>
        <v>2.2090000000000001</v>
      </c>
      <c r="L782" s="267">
        <f>IFERROR(K782-(TBIcalc!$Q$9+TBIcalc!$Q$10),"")</f>
        <v>1.9592000000000001</v>
      </c>
      <c r="M782" s="391">
        <f>AVERAGE(Ashed_controlls!$K$12:$K$14)</f>
        <v>2.2816647271287041</v>
      </c>
      <c r="N782" s="267">
        <f t="shared" si="61"/>
        <v>1.9144976246660945</v>
      </c>
      <c r="O782" s="267" t="str">
        <f>IF(IFERROR(INDEX('Both teabags AfterDry'!$D$3:$D$900,MATCH(J782,'Both teabags AfterDry'!$A$3:$A$900,0)),"")="","",(IFERROR(INDEX('Both teabags AfterDry'!$D$3:$D$900,MATCH(J782,'Both teabags AfterDry'!$A$3:$A$900,0)),"")))</f>
        <v/>
      </c>
      <c r="P782" s="267" t="str">
        <f>IFERROR(IF(O782&gt;0,O782-(TBIcalc!$Q$9),""),"")</f>
        <v/>
      </c>
      <c r="Q782" s="278" t="str">
        <f>IFERROR(INDEX('Ashed teabags dry'!$K$2:$K$825,MATCH(J782,'Ashed teabags dry'!$A$2:$A$825,0)),"")</f>
        <v/>
      </c>
      <c r="R782" s="278" t="str">
        <f t="shared" si="62"/>
        <v/>
      </c>
      <c r="S782" s="268">
        <f>'Dry_Litterbag Placem_Collection'!E123</f>
        <v>42939</v>
      </c>
      <c r="T782" s="268">
        <f>IF('Dry_Litterbag Placem_Collection'!G123="","",'Dry_Litterbag Placem_Collection'!G123)</f>
        <v>43008</v>
      </c>
      <c r="U782" s="269">
        <f t="shared" si="60"/>
        <v>69</v>
      </c>
      <c r="V782" s="267" t="str">
        <f t="shared" si="63"/>
        <v/>
      </c>
      <c r="W782" s="267" t="str">
        <f t="shared" si="64"/>
        <v/>
      </c>
      <c r="X782" s="271">
        <f>IFERROR(INDEX(Rainfall_Dry!$O$2:$O$217,MATCH(B782, Rainfall_Dry!$A$2:$A$217,0)),"")</f>
        <v>136.27214243</v>
      </c>
      <c r="Y782" s="260">
        <v>17.96</v>
      </c>
      <c r="Z782" s="260">
        <v>4.9199999999999982</v>
      </c>
      <c r="AA782" s="260">
        <v>77.12</v>
      </c>
      <c r="AB782" s="261" t="s">
        <v>2671</v>
      </c>
      <c r="AC782" s="260">
        <v>2.0220798422868409</v>
      </c>
      <c r="AD782">
        <f>IF('WetLitterbags placem_collection'!AB123="","",'WetLitterbags placem_collection'!AB123)</f>
        <v>9.65</v>
      </c>
      <c r="AE782">
        <f>IF('WetLitterbags placem_collection'!Z123="","",'WetLitterbags placem_collection'!Z123)</f>
        <v>63</v>
      </c>
      <c r="AF782" s="24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71">
        <f>IFERROR(AVERAGE('Dry_Litterbag Placem_Collection'!N123,'Dry_Litterbag Placem_Collection'!Q123),"")</f>
        <v>29.1</v>
      </c>
      <c r="AJ782" s="270">
        <f>INDEX(Coordinates!$B$2:$B$197,MATCH(G782,Coordinates!$J$2:$J$197,0))</f>
        <v>-2.3492639789999998</v>
      </c>
      <c r="AK782" s="270">
        <f>INDEX(Coordinates!$C$2:$C$197,MATCH(G782,Coordinates!$J$2:$J$197,0))</f>
        <v>34.051464029999998</v>
      </c>
      <c r="AL782" s="270" t="str">
        <f>IF(ISNUMBER(SEARCH("C", 'Dry_Litterbag Placem_Collection'!V123)),"YES","NO")</f>
        <v>NO</v>
      </c>
      <c r="AM782" s="270" t="str">
        <f>IF(ISNUMBER(SEARCH("H", 'Dry_Litterbag Placem_Collection'!V123)),"YES","NO")</f>
        <v>NO</v>
      </c>
      <c r="AN782" s="270" t="str">
        <f>IF(ISNUMBER(SEARCH("R", 'Dry_Litterbag Placem_Collection'!V123)),"YES","NO")</f>
        <v>NO</v>
      </c>
    </row>
    <row r="783" spans="1:40" ht="15" customHeight="1">
      <c r="A783" s="262" t="s">
        <v>2659</v>
      </c>
      <c r="B783" s="263">
        <f>'Dry_Litterbag Placem_Collection'!A124</f>
        <v>122</v>
      </c>
      <c r="C783" s="263" t="str">
        <f>'Dry_Litterbag Placem_Collection'!B124</f>
        <v xml:space="preserve">Mwantimba
</v>
      </c>
      <c r="D783" s="263" t="s">
        <v>2659</v>
      </c>
      <c r="E783" s="263" t="s">
        <v>2660</v>
      </c>
      <c r="F783" s="263">
        <v>4</v>
      </c>
      <c r="G783" s="264" t="str">
        <f>'Dry_Litterbag Placem_Collection'!C124</f>
        <v>Wet_Ag4_T2</v>
      </c>
      <c r="H783" s="273" t="s">
        <v>3651</v>
      </c>
      <c r="I783" s="274" t="s">
        <v>298</v>
      </c>
      <c r="J783" s="263" t="str">
        <f>IF(ISBLANK('Dry_Litterbag Placem_Collection'!M124),"","R"&amp;""&amp;'Dry_Litterbag Placem_Collection'!M124)</f>
        <v>R388</v>
      </c>
      <c r="K783" s="267">
        <f>IFERROR(INDEX('Green_rooibos initial weight'!$C$5:$C$1749,MATCH(J783, 'Green_rooibos initial weight'!$A$5:$A$1749,0)),"")</f>
        <v>2.2349999999999999</v>
      </c>
      <c r="L783" s="267">
        <f>IFERROR(K783-(TBIcalc!$Q$9+TBIcalc!$Q$10),"")</f>
        <v>1.9851999999999999</v>
      </c>
      <c r="M783" s="391">
        <f>AVERAGE(Ashed_controlls!$K$12:$K$14)</f>
        <v>2.2816647271287041</v>
      </c>
      <c r="N783" s="267">
        <f t="shared" si="61"/>
        <v>1.9399043918370409</v>
      </c>
      <c r="O783" s="267">
        <f>IF(IFERROR(INDEX('Both teabags AfterDry'!$D$3:$D$900,MATCH(J783,'Both teabags AfterDry'!$A$3:$A$900,0)),"")="","",(IFERROR(INDEX('Both teabags AfterDry'!$D$3:$D$900,MATCH(J783,'Both teabags AfterDry'!$A$3:$A$900,0)),"")))</f>
        <v>1.4536</v>
      </c>
      <c r="P783" s="267">
        <f>IFERROR(IF(O783&gt;0,O783-(TBIcalc!$Q$9),""),"")</f>
        <v>1.3029999999999999</v>
      </c>
      <c r="Q783" s="278">
        <f>IFERROR(INDEX('Ashed teabags dry'!$K$2:$K$825,MATCH(J783,'Ashed teabags dry'!$A$2:$A$825,0)),"")</f>
        <v>14.899853444064959</v>
      </c>
      <c r="R783" s="278">
        <f t="shared" si="62"/>
        <v>1.1088549096238336</v>
      </c>
      <c r="S783" s="268">
        <f>'Dry_Litterbag Placem_Collection'!E124</f>
        <v>42939</v>
      </c>
      <c r="T783" s="268">
        <f>IF('Dry_Litterbag Placem_Collection'!G124="","",'Dry_Litterbag Placem_Collection'!G124)</f>
        <v>43008</v>
      </c>
      <c r="U783" s="269">
        <f t="shared" si="60"/>
        <v>69</v>
      </c>
      <c r="V783" s="267">
        <f t="shared" si="63"/>
        <v>0.68219999999999992</v>
      </c>
      <c r="W783" s="267">
        <f t="shared" si="64"/>
        <v>0.83104948221320729</v>
      </c>
      <c r="X783" s="271">
        <f>IFERROR(INDEX(Rainfall_Dry!$O$2:$O$217,MATCH(B783, Rainfall_Dry!$A$2:$A$217,0)),"")</f>
        <v>136.27214243</v>
      </c>
      <c r="Y783" s="260">
        <v>17.96</v>
      </c>
      <c r="Z783" s="260">
        <v>4.9199999999999982</v>
      </c>
      <c r="AA783" s="260">
        <v>77.12</v>
      </c>
      <c r="AB783" s="261" t="s">
        <v>2671</v>
      </c>
      <c r="AC783" s="260">
        <v>3.02207984228684</v>
      </c>
      <c r="AD783">
        <f>IF('WetLitterbags placem_collection'!AB124="","",'WetLitterbags placem_collection'!AB124)</f>
        <v>3.1</v>
      </c>
      <c r="AE783">
        <f>IF('WetLitterbags placem_collection'!Z124="","",'WetLitterbags placem_collection'!Z124)</f>
        <v>53</v>
      </c>
      <c r="AF783" s="24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71">
        <f>IFERROR(AVERAGE('Dry_Litterbag Placem_Collection'!N124,'Dry_Litterbag Placem_Collection'!Q124),"")</f>
        <v>28.55</v>
      </c>
      <c r="AJ783" s="270">
        <f>INDEX(Coordinates!$B$2:$B$197,MATCH(G783,Coordinates!$J$2:$J$197,0))</f>
        <v>-2.34923196</v>
      </c>
      <c r="AK783" s="270">
        <f>INDEX(Coordinates!$C$2:$C$197,MATCH(G783,Coordinates!$J$2:$J$197,0))</f>
        <v>34.051422039999999</v>
      </c>
      <c r="AL783" s="270" t="str">
        <f>IF(ISNUMBER(SEARCH("C", 'Dry_Litterbag Placem_Collection'!V124)),"YES","NO")</f>
        <v>NO</v>
      </c>
      <c r="AM783" s="270" t="str">
        <f>IF(ISNUMBER(SEARCH("H", 'Dry_Litterbag Placem_Collection'!V124)),"YES","NO")</f>
        <v>NO</v>
      </c>
      <c r="AN783" s="270" t="str">
        <f>IF(ISNUMBER(SEARCH("R", 'Dry_Litterbag Placem_Collection'!V124)),"YES","NO")</f>
        <v>NO</v>
      </c>
    </row>
    <row r="784" spans="1:40" ht="15" customHeight="1">
      <c r="A784" s="262" t="s">
        <v>2659</v>
      </c>
      <c r="B784" s="263">
        <f>'Dry_Litterbag Placem_Collection'!A125</f>
        <v>123</v>
      </c>
      <c r="C784" s="263" t="str">
        <f>'Dry_Litterbag Placem_Collection'!B125</f>
        <v xml:space="preserve">Mwantimba
</v>
      </c>
      <c r="D784" s="263" t="s">
        <v>2659</v>
      </c>
      <c r="E784" s="263" t="s">
        <v>2660</v>
      </c>
      <c r="F784" s="263">
        <v>4</v>
      </c>
      <c r="G784" s="264" t="str">
        <f>'Dry_Litterbag Placem_Collection'!C125</f>
        <v>Wet_Ag4_T3</v>
      </c>
      <c r="H784" s="273" t="s">
        <v>3651</v>
      </c>
      <c r="I784" s="274" t="s">
        <v>298</v>
      </c>
      <c r="J784" s="263" t="str">
        <f>IF(ISBLANK('Dry_Litterbag Placem_Collection'!M125),"","R"&amp;""&amp;'Dry_Litterbag Placem_Collection'!M125)</f>
        <v>R281</v>
      </c>
      <c r="K784" s="267">
        <f>IFERROR(INDEX('Green_rooibos initial weight'!$C$5:$C$1749,MATCH(J784, 'Green_rooibos initial weight'!$A$5:$A$1749,0)),"")</f>
        <v>2.17</v>
      </c>
      <c r="L784" s="267">
        <f>IFERROR(K784-(TBIcalc!$Q$9+TBIcalc!$Q$10),"")</f>
        <v>1.9201999999999999</v>
      </c>
      <c r="M784" s="391">
        <f>AVERAGE(Ashed_controlls!$K$12:$K$14)</f>
        <v>2.2816647271287041</v>
      </c>
      <c r="N784" s="267">
        <f t="shared" si="61"/>
        <v>1.8763874739096746</v>
      </c>
      <c r="O784" s="267">
        <f>IF(IFERROR(INDEX('Both teabags AfterDry'!$D$3:$D$900,MATCH(J784,'Both teabags AfterDry'!$A$3:$A$900,0)),"")="","",(IFERROR(INDEX('Both teabags AfterDry'!$D$3:$D$900,MATCH(J784,'Both teabags AfterDry'!$A$3:$A$900,0)),"")))</f>
        <v>1.7361</v>
      </c>
      <c r="P784" s="267">
        <f>IFERROR(IF(O784&gt;0,O784-(TBIcalc!$Q$9),""),"")</f>
        <v>1.5854999999999999</v>
      </c>
      <c r="Q784" s="278">
        <f>IFERROR(INDEX('Ashed teabags dry'!$K$2:$K$825,MATCH(J784,'Ashed teabags dry'!$A$2:$A$825,0)),"")</f>
        <v>4.862385321101006</v>
      </c>
      <c r="R784" s="278">
        <f t="shared" si="62"/>
        <v>1.5084068807339435</v>
      </c>
      <c r="S784" s="268">
        <f>'Dry_Litterbag Placem_Collection'!E125</f>
        <v>42939</v>
      </c>
      <c r="T784" s="268">
        <f>IF('Dry_Litterbag Placem_Collection'!G125="","",'Dry_Litterbag Placem_Collection'!G125)</f>
        <v>43008</v>
      </c>
      <c r="U784" s="269">
        <f t="shared" si="60"/>
        <v>69</v>
      </c>
      <c r="V784" s="267">
        <f t="shared" si="63"/>
        <v>0.3347</v>
      </c>
      <c r="W784" s="267">
        <f t="shared" si="64"/>
        <v>0.36798059317573117</v>
      </c>
      <c r="X784" s="271">
        <f>IFERROR(INDEX(Rainfall_Dry!$O$2:$O$217,MATCH(B784, Rainfall_Dry!$A$2:$A$217,0)),"")</f>
        <v>136.27214243</v>
      </c>
      <c r="Y784" s="260">
        <v>17.96</v>
      </c>
      <c r="Z784" s="260">
        <v>4.9199999999999982</v>
      </c>
      <c r="AA784" s="260">
        <v>77.12</v>
      </c>
      <c r="AB784" s="261" t="s">
        <v>2671</v>
      </c>
      <c r="AC784" s="260">
        <v>4.02207984228684</v>
      </c>
      <c r="AD784">
        <f>IF('WetLitterbags placem_collection'!AB125="","",'WetLitterbags placem_collection'!AB125)</f>
        <v>3.9</v>
      </c>
      <c r="AE784">
        <f>IF('WetLitterbags placem_collection'!Z125="","",'WetLitterbags placem_collection'!Z125)</f>
        <v>51</v>
      </c>
      <c r="AF784" s="24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71">
        <f>IFERROR(AVERAGE('Dry_Litterbag Placem_Collection'!N125,'Dry_Litterbag Placem_Collection'!Q125),"")</f>
        <v>27.1</v>
      </c>
      <c r="AJ784" s="270">
        <f>INDEX(Coordinates!$B$2:$B$197,MATCH(G784,Coordinates!$J$2:$J$197,0))</f>
        <v>-2.3492390009999999</v>
      </c>
      <c r="AK784" s="270">
        <f>INDEX(Coordinates!$C$2:$C$197,MATCH(G784,Coordinates!$J$2:$J$197,0))</f>
        <v>34.051304020000003</v>
      </c>
      <c r="AL784" s="270" t="str">
        <f>IF(ISNUMBER(SEARCH("C", 'Dry_Litterbag Placem_Collection'!V125)),"YES","NO")</f>
        <v>NO</v>
      </c>
      <c r="AM784" s="270" t="str">
        <f>IF(ISNUMBER(SEARCH("H", 'Dry_Litterbag Placem_Collection'!V125)),"YES","NO")</f>
        <v>NO</v>
      </c>
      <c r="AN784" s="270" t="str">
        <f>IF(ISNUMBER(SEARCH("R", 'Dry_Litterbag Placem_Collection'!V125)),"YES","NO")</f>
        <v>NO</v>
      </c>
    </row>
    <row r="785" spans="1:40" ht="15" customHeight="1">
      <c r="A785" s="262" t="s">
        <v>2659</v>
      </c>
      <c r="B785" s="263">
        <f>'Dry_Litterbag Placem_Collection'!A126</f>
        <v>124</v>
      </c>
      <c r="C785" s="263" t="str">
        <f>'Dry_Litterbag Placem_Collection'!B126</f>
        <v xml:space="preserve">Mwantimba
</v>
      </c>
      <c r="D785" s="263" t="s">
        <v>2659</v>
      </c>
      <c r="E785" s="263" t="s">
        <v>2660</v>
      </c>
      <c r="F785" s="263">
        <v>4</v>
      </c>
      <c r="G785" s="264" t="str">
        <f>'Dry_Litterbag Placem_Collection'!C126</f>
        <v>Wet_Ag4_T4</v>
      </c>
      <c r="H785" s="273" t="s">
        <v>3651</v>
      </c>
      <c r="I785" s="274" t="s">
        <v>298</v>
      </c>
      <c r="J785" s="263" t="str">
        <f>IF(ISBLANK('Dry_Litterbag Placem_Collection'!M126),"","R"&amp;""&amp;'Dry_Litterbag Placem_Collection'!M126)</f>
        <v>R443</v>
      </c>
      <c r="K785" s="267">
        <f>IFERROR(INDEX('Green_rooibos initial weight'!$C$5:$C$1749,MATCH(J785, 'Green_rooibos initial weight'!$A$5:$A$1749,0)),"")</f>
        <v>2.2149999999999999</v>
      </c>
      <c r="L785" s="267">
        <f>IFERROR(K785-(TBIcalc!$Q$9+TBIcalc!$Q$10),"")</f>
        <v>1.9651999999999998</v>
      </c>
      <c r="M785" s="391">
        <f>AVERAGE(Ashed_controlls!$K$12:$K$14)</f>
        <v>2.2816647271287041</v>
      </c>
      <c r="N785" s="267">
        <f t="shared" si="61"/>
        <v>1.9203607247824666</v>
      </c>
      <c r="O785" s="267">
        <f>IF(IFERROR(INDEX('Both teabags AfterDry'!$D$3:$D$900,MATCH(J785,'Both teabags AfterDry'!$A$3:$A$900,0)),"")="","",(IFERROR(INDEX('Both teabags AfterDry'!$D$3:$D$900,MATCH(J785,'Both teabags AfterDry'!$A$3:$A$900,0)),"")))</f>
        <v>1.5766</v>
      </c>
      <c r="P785" s="267">
        <f>IFERROR(IF(O785&gt;0,O785-(TBIcalc!$Q$9),""),"")</f>
        <v>1.4259999999999999</v>
      </c>
      <c r="Q785" s="278">
        <f>IFERROR(INDEX('Ashed teabags dry'!$K$2:$K$825,MATCH(J785,'Ashed teabags dry'!$A$2:$A$825,0)),"")</f>
        <v>9.9950024987499955</v>
      </c>
      <c r="R785" s="278">
        <f t="shared" si="62"/>
        <v>1.283471264367825</v>
      </c>
      <c r="S785" s="268">
        <f>'Dry_Litterbag Placem_Collection'!E126</f>
        <v>42939</v>
      </c>
      <c r="T785" s="268">
        <f>IF('Dry_Litterbag Placem_Collection'!G126="","",'Dry_Litterbag Placem_Collection'!G126)</f>
        <v>43008</v>
      </c>
      <c r="U785" s="269">
        <f t="shared" si="60"/>
        <v>69</v>
      </c>
      <c r="V785" s="267">
        <f t="shared" si="63"/>
        <v>0.5391999999999999</v>
      </c>
      <c r="W785" s="267">
        <f t="shared" si="64"/>
        <v>0.63688946041464156</v>
      </c>
      <c r="X785" s="271">
        <f>IFERROR(INDEX(Rainfall_Dry!$O$2:$O$217,MATCH(B785, Rainfall_Dry!$A$2:$A$217,0)),"")</f>
        <v>136.27214243</v>
      </c>
      <c r="Y785" s="260">
        <v>17.96</v>
      </c>
      <c r="Z785" s="260">
        <v>4.9199999999999982</v>
      </c>
      <c r="AA785" s="260">
        <v>77.12</v>
      </c>
      <c r="AB785" s="261" t="s">
        <v>2671</v>
      </c>
      <c r="AC785" s="260">
        <v>5.02207984228684</v>
      </c>
      <c r="AD785">
        <f>IF('WetLitterbags placem_collection'!AB126="","",'WetLitterbags placem_collection'!AB126)</f>
        <v>5.45</v>
      </c>
      <c r="AE785">
        <f>IF('WetLitterbags placem_collection'!Z126="","",'WetLitterbags placem_collection'!Z126)</f>
        <v>47</v>
      </c>
      <c r="AF785" s="24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71">
        <f>IFERROR(AVERAGE('Dry_Litterbag Placem_Collection'!N126,'Dry_Litterbag Placem_Collection'!Q126),"")</f>
        <v>28.05</v>
      </c>
      <c r="AJ785" s="270">
        <f>INDEX(Coordinates!$B$2:$B$197,MATCH(G785,Coordinates!$J$2:$J$197,0))</f>
        <v>-2.3492799889999998</v>
      </c>
      <c r="AK785" s="270">
        <f>INDEX(Coordinates!$C$2:$C$197,MATCH(G785,Coordinates!$J$2:$J$197,0))</f>
        <v>34.051280970000001</v>
      </c>
      <c r="AL785" s="270" t="str">
        <f>IF(ISNUMBER(SEARCH("C", 'Dry_Litterbag Placem_Collection'!V126)),"YES","NO")</f>
        <v>NO</v>
      </c>
      <c r="AM785" s="270" t="str">
        <f>IF(ISNUMBER(SEARCH("H", 'Dry_Litterbag Placem_Collection'!V126)),"YES","NO")</f>
        <v>NO</v>
      </c>
      <c r="AN785" s="270" t="str">
        <f>IF(ISNUMBER(SEARCH("R", 'Dry_Litterbag Placem_Collection'!V126)),"YES","NO")</f>
        <v>NO</v>
      </c>
    </row>
    <row r="786" spans="1:40" ht="15" customHeight="1">
      <c r="A786" s="262" t="s">
        <v>2659</v>
      </c>
      <c r="B786" s="263">
        <f>'Dry_Litterbag Placem_Collection'!A127</f>
        <v>125</v>
      </c>
      <c r="C786" s="263" t="str">
        <f>'Dry_Litterbag Placem_Collection'!B127</f>
        <v xml:space="preserve">Mwantimba
</v>
      </c>
      <c r="D786" s="263" t="s">
        <v>2659</v>
      </c>
      <c r="E786" s="263" t="s">
        <v>2660</v>
      </c>
      <c r="F786" s="263">
        <v>4</v>
      </c>
      <c r="G786" s="264" t="str">
        <f>'Dry_Litterbag Placem_Collection'!C127</f>
        <v>Wet_Ag4_T5</v>
      </c>
      <c r="H786" s="273" t="s">
        <v>3651</v>
      </c>
      <c r="I786" s="274" t="s">
        <v>298</v>
      </c>
      <c r="J786" s="263" t="str">
        <f>IF(ISBLANK('Dry_Litterbag Placem_Collection'!M127),"","R"&amp;""&amp;'Dry_Litterbag Placem_Collection'!M127)</f>
        <v>R180</v>
      </c>
      <c r="K786" s="267">
        <f>IFERROR(INDEX('Green_rooibos initial weight'!$C$5:$C$1749,MATCH(J786, 'Green_rooibos initial weight'!$A$5:$A$1749,0)),"")</f>
        <v>2.2010000000000001</v>
      </c>
      <c r="L786" s="267">
        <f>IFERROR(K786-(TBIcalc!$Q$9+TBIcalc!$Q$10),"")</f>
        <v>1.9512</v>
      </c>
      <c r="M786" s="391">
        <f>AVERAGE(Ashed_controlls!$K$12:$K$14)</f>
        <v>2.2816647271287041</v>
      </c>
      <c r="N786" s="267">
        <f t="shared" si="61"/>
        <v>1.9066801578442647</v>
      </c>
      <c r="O786" s="267">
        <f>IF(IFERROR(INDEX('Both teabags AfterDry'!$D$3:$D$900,MATCH(J786,'Both teabags AfterDry'!$A$3:$A$900,0)),"")="","",(IFERROR(INDEX('Both teabags AfterDry'!$D$3:$D$900,MATCH(J786,'Both teabags AfterDry'!$A$3:$A$900,0)),"")))</f>
        <v>1.595</v>
      </c>
      <c r="P786" s="267">
        <f>IFERROR(IF(O786&gt;0,O786-(TBIcalc!$Q$9),""),"")</f>
        <v>1.4443999999999999</v>
      </c>
      <c r="Q786" s="278">
        <f>IFERROR(INDEX('Ashed teabags dry'!$K$2:$K$825,MATCH(J786,'Ashed teabags dry'!$A$2:$A$825,0)),"")</f>
        <v>2.6202953787519343</v>
      </c>
      <c r="R786" s="278">
        <f t="shared" si="62"/>
        <v>1.406552453549307</v>
      </c>
      <c r="S786" s="268">
        <f>'Dry_Litterbag Placem_Collection'!E127</f>
        <v>42939</v>
      </c>
      <c r="T786" s="268">
        <f>IF('Dry_Litterbag Placem_Collection'!G127="","",'Dry_Litterbag Placem_Collection'!G127)</f>
        <v>43008</v>
      </c>
      <c r="U786" s="269">
        <f t="shared" si="60"/>
        <v>69</v>
      </c>
      <c r="V786" s="267">
        <f t="shared" si="63"/>
        <v>0.50680000000000014</v>
      </c>
      <c r="W786" s="267">
        <f t="shared" si="64"/>
        <v>0.50012770429495768</v>
      </c>
      <c r="X786" s="271">
        <f>IFERROR(INDEX(Rainfall_Dry!$O$2:$O$217,MATCH(B786, Rainfall_Dry!$A$2:$A$217,0)),"")</f>
        <v>136.27214243</v>
      </c>
      <c r="Y786" s="260">
        <v>17.96</v>
      </c>
      <c r="Z786" s="260">
        <v>4.9199999999999982</v>
      </c>
      <c r="AA786" s="260">
        <v>77.12</v>
      </c>
      <c r="AB786" s="261" t="s">
        <v>2671</v>
      </c>
      <c r="AC786" s="260">
        <v>6.02207984228684</v>
      </c>
      <c r="AD786">
        <f>IF('WetLitterbags placem_collection'!AB127="","",'WetLitterbags placem_collection'!AB127)</f>
        <v>9.3000000000000007</v>
      </c>
      <c r="AE786">
        <f>IF('WetLitterbags placem_collection'!Z127="","",'WetLitterbags placem_collection'!Z127)</f>
        <v>43</v>
      </c>
      <c r="AF786" s="24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71">
        <f>IFERROR(AVERAGE('Dry_Litterbag Placem_Collection'!N127,'Dry_Litterbag Placem_Collection'!Q127),"")</f>
        <v>28.05</v>
      </c>
      <c r="AJ786" s="270">
        <f>INDEX(Coordinates!$B$2:$B$197,MATCH(G786,Coordinates!$J$2:$J$197,0))</f>
        <v>-2.3493320400000002</v>
      </c>
      <c r="AK786" s="270">
        <f>INDEX(Coordinates!$C$2:$C$197,MATCH(G786,Coordinates!$J$2:$J$197,0))</f>
        <v>34.051321960000003</v>
      </c>
      <c r="AL786" s="270" t="str">
        <f>IF(ISNUMBER(SEARCH("C", 'Dry_Litterbag Placem_Collection'!V127)),"YES","NO")</f>
        <v>NO</v>
      </c>
      <c r="AM786" s="270" t="str">
        <f>IF(ISNUMBER(SEARCH("H", 'Dry_Litterbag Placem_Collection'!V127)),"YES","NO")</f>
        <v>NO</v>
      </c>
      <c r="AN786" s="270" t="str">
        <f>IF(ISNUMBER(SEARCH("R", 'Dry_Litterbag Placem_Collection'!V127)),"YES","NO")</f>
        <v>NO</v>
      </c>
    </row>
    <row r="787" spans="1:40" ht="15" customHeight="1">
      <c r="A787" s="262" t="s">
        <v>2659</v>
      </c>
      <c r="B787" s="263">
        <f>'Dry_Litterbag Placem_Collection'!A128</f>
        <v>126</v>
      </c>
      <c r="C787" s="263" t="str">
        <f>'Dry_Litterbag Placem_Collection'!B128</f>
        <v xml:space="preserve">Mwantimba
</v>
      </c>
      <c r="D787" s="263" t="s">
        <v>2659</v>
      </c>
      <c r="E787" s="263" t="s">
        <v>2660</v>
      </c>
      <c r="F787" s="263">
        <v>4</v>
      </c>
      <c r="G787" s="264" t="str">
        <f>'Dry_Litterbag Placem_Collection'!C128</f>
        <v>Wet_Ag4_T6</v>
      </c>
      <c r="H787" s="273" t="s">
        <v>3651</v>
      </c>
      <c r="I787" s="274" t="s">
        <v>298</v>
      </c>
      <c r="J787" s="263" t="str">
        <f>IF(ISBLANK('Dry_Litterbag Placem_Collection'!M128),"","R"&amp;""&amp;'Dry_Litterbag Placem_Collection'!M128)</f>
        <v/>
      </c>
      <c r="K787" s="267" t="str">
        <f>IFERROR(INDEX('Green_rooibos initial weight'!$C$5:$C$1749,MATCH(J787, 'Green_rooibos initial weight'!$A$5:$A$1749,0)),"")</f>
        <v/>
      </c>
      <c r="L787" s="267" t="str">
        <f>IFERROR(K787-(TBIcalc!$Q$9+TBIcalc!$Q$10),"")</f>
        <v/>
      </c>
      <c r="M787" s="391">
        <f>AVERAGE(Ashed_controlls!$K$12:$K$14)</f>
        <v>2.2816647271287041</v>
      </c>
      <c r="N787" s="267" t="str">
        <f t="shared" si="61"/>
        <v/>
      </c>
      <c r="O787" s="267" t="str">
        <f>IF(IFERROR(INDEX('Both teabags AfterDry'!$D$3:$D$900,MATCH(J787,'Both teabags AfterDry'!$A$3:$A$900,0)),"")="","",(IFERROR(INDEX('Both teabags AfterDry'!$D$3:$D$900,MATCH(J787,'Both teabags AfterDry'!$A$3:$A$900,0)),"")))</f>
        <v/>
      </c>
      <c r="P787" s="267" t="str">
        <f>IFERROR(IF(O787&gt;0,O787-(TBIcalc!$Q$9),""),"")</f>
        <v/>
      </c>
      <c r="Q787" s="278" t="str">
        <f>IFERROR(INDEX('Ashed teabags dry'!$K$2:$K$825,MATCH(J787,'Ashed teabags dry'!$A$2:$A$825,0)),"")</f>
        <v/>
      </c>
      <c r="R787" s="278" t="str">
        <f t="shared" si="62"/>
        <v/>
      </c>
      <c r="S787" s="268">
        <f>'Dry_Litterbag Placem_Collection'!E128</f>
        <v>0</v>
      </c>
      <c r="T787" s="268" t="str">
        <f>IF('Dry_Litterbag Placem_Collection'!G128="","",'Dry_Litterbag Placem_Collection'!G128)</f>
        <v/>
      </c>
      <c r="U787" s="269" t="str">
        <f t="shared" si="60"/>
        <v/>
      </c>
      <c r="V787" s="267" t="str">
        <f t="shared" si="63"/>
        <v/>
      </c>
      <c r="W787" s="267" t="str">
        <f t="shared" si="64"/>
        <v/>
      </c>
      <c r="X787" s="271" t="str">
        <f>IFERROR(INDEX(Rainfall_Dry!$O$2:$O$217,MATCH(B787, Rainfall_Dry!$A$2:$A$217,0)),"")</f>
        <v/>
      </c>
      <c r="Y787" s="260">
        <v>17.96</v>
      </c>
      <c r="Z787" s="260">
        <v>4.9199999999999982</v>
      </c>
      <c r="AA787" s="260">
        <v>77.12</v>
      </c>
      <c r="AB787" s="261" t="s">
        <v>2671</v>
      </c>
      <c r="AC787" s="260">
        <v>7.02207984228684</v>
      </c>
      <c r="AD787">
        <f>IF('WetLitterbags placem_collection'!AB128="","",'WetLitterbags placem_collection'!AB128)</f>
        <v>10.85</v>
      </c>
      <c r="AE787">
        <f>IF('WetLitterbags placem_collection'!Z128="","",'WetLitterbags placem_collection'!Z128)</f>
        <v>40</v>
      </c>
      <c r="AF787" s="24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71" t="str">
        <f>IFERROR(AVERAGE('Dry_Litterbag Placem_Collection'!N128,'Dry_Litterbag Placem_Collection'!Q128),"")</f>
        <v/>
      </c>
      <c r="AJ787" s="270">
        <f>INDEX(Coordinates!$B$2:$B$197,MATCH(G787,Coordinates!$J$2:$J$197,0))</f>
        <v>-2.3493509829999999</v>
      </c>
      <c r="AK787" s="270">
        <f>INDEX(Coordinates!$C$2:$C$197,MATCH(G787,Coordinates!$J$2:$J$197,0))</f>
        <v>34.051332019999997</v>
      </c>
      <c r="AL787" s="270" t="str">
        <f>IF(ISNUMBER(SEARCH("C", 'Dry_Litterbag Placem_Collection'!V128)),"YES","NO")</f>
        <v>NO</v>
      </c>
      <c r="AM787" s="270" t="str">
        <f>IF(ISNUMBER(SEARCH("H", 'Dry_Litterbag Placem_Collection'!V128)),"YES","NO")</f>
        <v>NO</v>
      </c>
      <c r="AN787" s="270" t="str">
        <f>IF(ISNUMBER(SEARCH("R", 'Dry_Litterbag Placem_Collection'!V128)),"YES","NO")</f>
        <v>NO</v>
      </c>
    </row>
    <row r="788" spans="1:40" ht="15" customHeight="1">
      <c r="A788" s="262" t="s">
        <v>2659</v>
      </c>
      <c r="B788" s="263">
        <f>'Dry_Litterbag Placem_Collection'!A129</f>
        <v>127</v>
      </c>
      <c r="C788" s="263" t="str">
        <f>'Dry_Litterbag Placem_Collection'!B129</f>
        <v xml:space="preserve">Mwantimba
</v>
      </c>
      <c r="D788" s="263" t="s">
        <v>2659</v>
      </c>
      <c r="E788" s="263" t="s">
        <v>2660</v>
      </c>
      <c r="F788" s="263">
        <v>4</v>
      </c>
      <c r="G788" s="264" t="str">
        <f>'Dry_Litterbag Placem_Collection'!C129</f>
        <v>Wet_Ag4_T7</v>
      </c>
      <c r="H788" s="273" t="s">
        <v>3651</v>
      </c>
      <c r="I788" s="274" t="s">
        <v>298</v>
      </c>
      <c r="J788" s="263" t="str">
        <f>IF(ISBLANK('Dry_Litterbag Placem_Collection'!M129),"","R"&amp;""&amp;'Dry_Litterbag Placem_Collection'!M129)</f>
        <v>R229</v>
      </c>
      <c r="K788" s="267">
        <f>IFERROR(INDEX('Green_rooibos initial weight'!$C$5:$C$1749,MATCH(J788, 'Green_rooibos initial weight'!$A$5:$A$1749,0)),"")</f>
        <v>2.2530000000000001</v>
      </c>
      <c r="L788" s="267">
        <f>IFERROR(K788-(TBIcalc!$Q$9+TBIcalc!$Q$10),"")</f>
        <v>2.0032000000000001</v>
      </c>
      <c r="M788" s="391">
        <f>AVERAGE(Ashed_controlls!$K$12:$K$14)</f>
        <v>2.2816647271287041</v>
      </c>
      <c r="N788" s="267">
        <f t="shared" si="61"/>
        <v>1.9574936921861579</v>
      </c>
      <c r="O788" s="267">
        <f>IF(IFERROR(INDEX('Both teabags AfterDry'!$D$3:$D$900,MATCH(J788,'Both teabags AfterDry'!$A$3:$A$900,0)),"")="","",(IFERROR(INDEX('Both teabags AfterDry'!$D$3:$D$900,MATCH(J788,'Both teabags AfterDry'!$A$3:$A$900,0)),"")))</f>
        <v>1.5876999999999999</v>
      </c>
      <c r="P788" s="267">
        <f>IFERROR(IF(O788&gt;0,O788-(TBIcalc!$Q$9),""),"")</f>
        <v>1.4370999999999998</v>
      </c>
      <c r="Q788" s="278">
        <f>IFERROR(INDEX('Ashed teabags dry'!$K$2:$K$825,MATCH(J788,'Ashed teabags dry'!$A$2:$A$825,0)),"")</f>
        <v>6.6340160284944094</v>
      </c>
      <c r="R788" s="278">
        <f t="shared" si="62"/>
        <v>1.3417625556545068</v>
      </c>
      <c r="S788" s="268">
        <f>'Dry_Litterbag Placem_Collection'!E129</f>
        <v>42939</v>
      </c>
      <c r="T788" s="268">
        <f>IF('Dry_Litterbag Placem_Collection'!G129="","",'Dry_Litterbag Placem_Collection'!G129)</f>
        <v>43008</v>
      </c>
      <c r="U788" s="269">
        <f t="shared" si="60"/>
        <v>69</v>
      </c>
      <c r="V788" s="267">
        <f t="shared" si="63"/>
        <v>0.56610000000000027</v>
      </c>
      <c r="W788" s="267">
        <f t="shared" si="64"/>
        <v>0.61573113653165112</v>
      </c>
      <c r="X788" s="271">
        <f>IFERROR(INDEX(Rainfall_Dry!$O$2:$O$217,MATCH(B788, Rainfall_Dry!$A$2:$A$217,0)),"")</f>
        <v>136.27214243</v>
      </c>
      <c r="Y788" s="260">
        <v>17.96</v>
      </c>
      <c r="Z788" s="260">
        <v>4.9199999999999982</v>
      </c>
      <c r="AA788" s="260">
        <v>77.12</v>
      </c>
      <c r="AB788" s="261" t="s">
        <v>2671</v>
      </c>
      <c r="AC788" s="260">
        <v>8.0220798422868391</v>
      </c>
      <c r="AD788">
        <f>IF('WetLitterbags placem_collection'!AB129="","",'WetLitterbags placem_collection'!AB129)</f>
        <v>5.35</v>
      </c>
      <c r="AE788">
        <f>IF('WetLitterbags placem_collection'!Z129="","",'WetLitterbags placem_collection'!Z129)</f>
        <v>58</v>
      </c>
      <c r="AF788" s="24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71">
        <f>IFERROR(AVERAGE('Dry_Litterbag Placem_Collection'!N129,'Dry_Litterbag Placem_Collection'!Q129),"")</f>
        <v>28.1</v>
      </c>
      <c r="AJ788" s="270">
        <f>INDEX(Coordinates!$B$2:$B$197,MATCH(G788,Coordinates!$J$2:$J$197,0))</f>
        <v>-2.3491850219999999</v>
      </c>
      <c r="AK788" s="270">
        <f>INDEX(Coordinates!$C$2:$C$197,MATCH(G788,Coordinates!$J$2:$J$197,0))</f>
        <v>34.051264959999997</v>
      </c>
      <c r="AL788" s="270" t="str">
        <f>IF(ISNUMBER(SEARCH("C", 'Dry_Litterbag Placem_Collection'!V129)),"YES","NO")</f>
        <v>NO</v>
      </c>
      <c r="AM788" s="270" t="str">
        <f>IF(ISNUMBER(SEARCH("H", 'Dry_Litterbag Placem_Collection'!V129)),"YES","NO")</f>
        <v>NO</v>
      </c>
      <c r="AN788" s="270" t="str">
        <f>IF(ISNUMBER(SEARCH("R", 'Dry_Litterbag Placem_Collection'!V129)),"YES","NO")</f>
        <v>NO</v>
      </c>
    </row>
    <row r="789" spans="1:40" ht="15" customHeight="1">
      <c r="A789" s="262" t="s">
        <v>2659</v>
      </c>
      <c r="B789" s="263">
        <f>'Dry_Litterbag Placem_Collection'!A130</f>
        <v>128</v>
      </c>
      <c r="C789" s="263" t="str">
        <f>'Dry_Litterbag Placem_Collection'!B130</f>
        <v xml:space="preserve">Mwantimba
</v>
      </c>
      <c r="D789" s="263" t="s">
        <v>2659</v>
      </c>
      <c r="E789" s="263" t="s">
        <v>2660</v>
      </c>
      <c r="F789" s="263">
        <v>4</v>
      </c>
      <c r="G789" s="264" t="str">
        <f>'Dry_Litterbag Placem_Collection'!C130</f>
        <v>Wet_Ag4_T8</v>
      </c>
      <c r="H789" s="273" t="s">
        <v>3651</v>
      </c>
      <c r="I789" s="274" t="s">
        <v>298</v>
      </c>
      <c r="J789" s="263" t="str">
        <f>IF(ISBLANK('Dry_Litterbag Placem_Collection'!M130),"","R"&amp;""&amp;'Dry_Litterbag Placem_Collection'!M130)</f>
        <v>R272</v>
      </c>
      <c r="K789" s="267">
        <f>IFERROR(INDEX('Green_rooibos initial weight'!$C$5:$C$1749,MATCH(J789, 'Green_rooibos initial weight'!$A$5:$A$1749,0)),"")</f>
        <v>2.2999999999999998</v>
      </c>
      <c r="L789" s="267">
        <f>IFERROR(K789-(TBIcalc!$Q$9+TBIcalc!$Q$10),"")</f>
        <v>2.0501999999999998</v>
      </c>
      <c r="M789" s="391">
        <f>AVERAGE(Ashed_controlls!$K$12:$K$14)</f>
        <v>2.2816647271287041</v>
      </c>
      <c r="N789" s="267">
        <f t="shared" si="61"/>
        <v>2.0034213097644069</v>
      </c>
      <c r="O789" s="267">
        <f>IF(IFERROR(INDEX('Both teabags AfterDry'!$D$3:$D$900,MATCH(J789,'Both teabags AfterDry'!$A$3:$A$900,0)),"")="","",(IFERROR(INDEX('Both teabags AfterDry'!$D$3:$D$900,MATCH(J789,'Both teabags AfterDry'!$A$3:$A$900,0)),"")))</f>
        <v>1.6163000000000001</v>
      </c>
      <c r="P789" s="267">
        <f>IFERROR(IF(O789&gt;0,O789-(TBIcalc!$Q$9),""),"")</f>
        <v>1.4657</v>
      </c>
      <c r="Q789" s="278">
        <f>IFERROR(INDEX('Ashed teabags dry'!$K$2:$K$825,MATCH(J789,'Ashed teabags dry'!$A$2:$A$825,0)),"")</f>
        <v>8.0924855491328049</v>
      </c>
      <c r="R789" s="278">
        <f t="shared" si="62"/>
        <v>1.3470884393063605</v>
      </c>
      <c r="S789" s="268">
        <f>'Dry_Litterbag Placem_Collection'!E130</f>
        <v>42939</v>
      </c>
      <c r="T789" s="268">
        <f>IF('Dry_Litterbag Placem_Collection'!G130="","",'Dry_Litterbag Placem_Collection'!G130)</f>
        <v>43008</v>
      </c>
      <c r="U789" s="269">
        <f t="shared" si="60"/>
        <v>69</v>
      </c>
      <c r="V789" s="267">
        <f t="shared" si="63"/>
        <v>0.5844999999999998</v>
      </c>
      <c r="W789" s="267">
        <f t="shared" si="64"/>
        <v>0.65633287045804645</v>
      </c>
      <c r="X789" s="271">
        <f>IFERROR(INDEX(Rainfall_Dry!$O$2:$O$217,MATCH(B789, Rainfall_Dry!$A$2:$A$217,0)),"")</f>
        <v>136.27214243</v>
      </c>
      <c r="Y789" s="260">
        <v>17.96</v>
      </c>
      <c r="Z789" s="260">
        <v>4.9199999999999982</v>
      </c>
      <c r="AA789" s="260">
        <v>77.12</v>
      </c>
      <c r="AB789" s="261" t="s">
        <v>2671</v>
      </c>
      <c r="AC789" s="260">
        <v>9.0220798422868391</v>
      </c>
      <c r="AD789">
        <f>IF('WetLitterbags placem_collection'!AB130="","",'WetLitterbags placem_collection'!AB130)</f>
        <v>10.9</v>
      </c>
      <c r="AE789">
        <f>IF('WetLitterbags placem_collection'!Z130="","",'WetLitterbags placem_collection'!Z130)</f>
        <v>44</v>
      </c>
      <c r="AF789" s="24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71">
        <f>IFERROR(AVERAGE('Dry_Litterbag Placem_Collection'!N130,'Dry_Litterbag Placem_Collection'!Q130),"")</f>
        <v>28.4</v>
      </c>
      <c r="AJ789" s="270">
        <f>INDEX(Coordinates!$B$2:$B$197,MATCH(G789,Coordinates!$J$2:$J$197,0))</f>
        <v>-2.3493099960000001</v>
      </c>
      <c r="AK789" s="270">
        <f>INDEX(Coordinates!$C$2:$C$197,MATCH(G789,Coordinates!$J$2:$J$197,0))</f>
        <v>34.05141802</v>
      </c>
      <c r="AL789" s="270" t="str">
        <f>IF(ISNUMBER(SEARCH("C", 'Dry_Litterbag Placem_Collection'!V130)),"YES","NO")</f>
        <v>NO</v>
      </c>
      <c r="AM789" s="270" t="str">
        <f>IF(ISNUMBER(SEARCH("H", 'Dry_Litterbag Placem_Collection'!V130)),"YES","NO")</f>
        <v>NO</v>
      </c>
      <c r="AN789" s="270" t="str">
        <f>IF(ISNUMBER(SEARCH("R", 'Dry_Litterbag Placem_Collection'!V130)),"YES","NO")</f>
        <v>NO</v>
      </c>
    </row>
    <row r="790" spans="1:40" ht="15" customHeight="1">
      <c r="A790" s="262" t="s">
        <v>2659</v>
      </c>
      <c r="B790" s="263">
        <f>'Dry_Litterbag Placem_Collection'!A131</f>
        <v>129</v>
      </c>
      <c r="C790" s="263" t="str">
        <f>'Dry_Litterbag Placem_Collection'!B131</f>
        <v xml:space="preserve">Mwantimba
</v>
      </c>
      <c r="D790" s="263" t="s">
        <v>2659</v>
      </c>
      <c r="E790" s="263" t="s">
        <v>20</v>
      </c>
      <c r="F790" s="263">
        <v>1</v>
      </c>
      <c r="G790" s="264" t="str">
        <f>'Dry_Litterbag Placem_Collection'!C131</f>
        <v>Wet_P1_T1</v>
      </c>
      <c r="H790" s="273" t="s">
        <v>3651</v>
      </c>
      <c r="I790" s="274" t="s">
        <v>298</v>
      </c>
      <c r="J790" s="263" t="str">
        <f>IF(ISBLANK('Dry_Litterbag Placem_Collection'!M131),"","R"&amp;""&amp;'Dry_Litterbag Placem_Collection'!M131)</f>
        <v>R207</v>
      </c>
      <c r="K790" s="267">
        <f>IFERROR(INDEX('Green_rooibos initial weight'!$C$5:$C$1749,MATCH(J790, 'Green_rooibos initial weight'!$A$5:$A$1749,0)),"")</f>
        <v>2.1800000000000002</v>
      </c>
      <c r="L790" s="267">
        <f>IFERROR(K790-(TBIcalc!$Q$9+TBIcalc!$Q$10),"")</f>
        <v>1.9302000000000001</v>
      </c>
      <c r="M790" s="391">
        <f>AVERAGE(Ashed_controlls!$K$12:$K$14)</f>
        <v>2.2816647271287041</v>
      </c>
      <c r="N790" s="267">
        <f t="shared" si="61"/>
        <v>1.8861593074369618</v>
      </c>
      <c r="O790" s="267">
        <f>IF(IFERROR(INDEX('Both teabags AfterDry'!$D$3:$D$900,MATCH(J790,'Both teabags AfterDry'!$A$3:$A$900,0)),"")="","",(IFERROR(INDEX('Both teabags AfterDry'!$D$3:$D$900,MATCH(J790,'Both teabags AfterDry'!$A$3:$A$900,0)),"")))</f>
        <v>1.6962999999999999</v>
      </c>
      <c r="P790" s="267">
        <f>IFERROR(IF(O790&gt;0,O790-(TBIcalc!$Q$9),""),"")</f>
        <v>1.5456999999999999</v>
      </c>
      <c r="Q790" s="278">
        <f>IFERROR(INDEX('Ashed teabags dry'!$K$2:$K$825,MATCH(J790,'Ashed teabags dry'!$A$2:$A$825,0)),"")</f>
        <v>6.3134657836639967</v>
      </c>
      <c r="R790" s="278">
        <f t="shared" si="62"/>
        <v>1.4481127593819054</v>
      </c>
      <c r="S790" s="268">
        <f>'Dry_Litterbag Placem_Collection'!E131</f>
        <v>42939</v>
      </c>
      <c r="T790" s="268">
        <f>IF('Dry_Litterbag Placem_Collection'!G131="","",'Dry_Litterbag Placem_Collection'!G131)</f>
        <v>43008</v>
      </c>
      <c r="U790" s="269">
        <f t="shared" si="60"/>
        <v>69</v>
      </c>
      <c r="V790" s="267">
        <f t="shared" si="63"/>
        <v>0.38450000000000029</v>
      </c>
      <c r="W790" s="267">
        <f t="shared" si="64"/>
        <v>0.43804654805505638</v>
      </c>
      <c r="X790" s="271">
        <f>IFERROR(INDEX(Rainfall_Dry!$O$2:$O$217,MATCH(B790, Rainfall_Dry!$A$2:$A$217,0)),"")</f>
        <v>136.27214243</v>
      </c>
      <c r="Y790" s="260">
        <v>31.214836424255054</v>
      </c>
      <c r="Z790" s="260">
        <v>11.377370285476141</v>
      </c>
      <c r="AA790" s="260">
        <v>57.407793290268799</v>
      </c>
      <c r="AB790" s="261" t="s">
        <v>2670</v>
      </c>
      <c r="AC790" s="260">
        <v>1.7337604731394776</v>
      </c>
      <c r="AD790">
        <f>IF('WetLitterbags placem_collection'!AB131="","",'WetLitterbags placem_collection'!AB131)</f>
        <v>2.4</v>
      </c>
      <c r="AE790">
        <f>IF('WetLitterbags placem_collection'!Z131="","",'WetLitterbags placem_collection'!Z131)</f>
        <v>2.4</v>
      </c>
      <c r="AF790" s="24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71">
        <f>IFERROR(AVERAGE('Dry_Litterbag Placem_Collection'!N131,'Dry_Litterbag Placem_Collection'!Q131),"")</f>
        <v>29.05</v>
      </c>
      <c r="AJ790" s="270">
        <f>INDEX(Coordinates!$B$2:$B$197,MATCH(G790,Coordinates!$J$2:$J$197,0))</f>
        <v>-2.3503360249999998</v>
      </c>
      <c r="AK790" s="270">
        <f>INDEX(Coordinates!$C$2:$C$197,MATCH(G790,Coordinates!$J$2:$J$197,0))</f>
        <v>34.049662009999999</v>
      </c>
      <c r="AL790" s="270" t="str">
        <f>IF(ISNUMBER(SEARCH("C", 'Dry_Litterbag Placem_Collection'!V131)),"YES","NO")</f>
        <v>NO</v>
      </c>
      <c r="AM790" s="270" t="str">
        <f>IF(ISNUMBER(SEARCH("H", 'Dry_Litterbag Placem_Collection'!V131)),"YES","NO")</f>
        <v>NO</v>
      </c>
      <c r="AN790" s="270" t="str">
        <f>IF(ISNUMBER(SEARCH("R", 'Dry_Litterbag Placem_Collection'!V131)),"YES","NO")</f>
        <v>NO</v>
      </c>
    </row>
    <row r="791" spans="1:40" ht="15" customHeight="1">
      <c r="A791" s="262" t="s">
        <v>2659</v>
      </c>
      <c r="B791" s="263">
        <f>'Dry_Litterbag Placem_Collection'!A132</f>
        <v>130</v>
      </c>
      <c r="C791" s="263" t="str">
        <f>'Dry_Litterbag Placem_Collection'!B132</f>
        <v xml:space="preserve">Mwantimba
</v>
      </c>
      <c r="D791" s="263" t="s">
        <v>2659</v>
      </c>
      <c r="E791" s="263" t="s">
        <v>20</v>
      </c>
      <c r="F791" s="263">
        <v>1</v>
      </c>
      <c r="G791" s="264" t="str">
        <f>'Dry_Litterbag Placem_Collection'!C132</f>
        <v>Wet_P1_T2</v>
      </c>
      <c r="H791" s="273" t="s">
        <v>3651</v>
      </c>
      <c r="I791" s="274" t="s">
        <v>298</v>
      </c>
      <c r="J791" s="263" t="str">
        <f>IF(ISBLANK('Dry_Litterbag Placem_Collection'!M132),"","R"&amp;""&amp;'Dry_Litterbag Placem_Collection'!M132)</f>
        <v>R193</v>
      </c>
      <c r="K791" s="267">
        <f>IFERROR(INDEX('Green_rooibos initial weight'!$C$5:$C$1749,MATCH(J791, 'Green_rooibos initial weight'!$A$5:$A$1749,0)),"")</f>
        <v>2.198</v>
      </c>
      <c r="L791" s="267">
        <f>IFERROR(K791-(TBIcalc!$Q$9+TBIcalc!$Q$10),"")</f>
        <v>1.9481999999999999</v>
      </c>
      <c r="M791" s="391">
        <f>AVERAGE(Ashed_controlls!$K$12:$K$14)</f>
        <v>2.2816647271287041</v>
      </c>
      <c r="N791" s="267">
        <f t="shared" si="61"/>
        <v>1.9037486077860786</v>
      </c>
      <c r="O791" s="267">
        <f>IF(IFERROR(INDEX('Both teabags AfterDry'!$D$3:$D$900,MATCH(J791,'Both teabags AfterDry'!$A$3:$A$900,0)),"")="","",(IFERROR(INDEX('Both teabags AfterDry'!$D$3:$D$900,MATCH(J791,'Both teabags AfterDry'!$A$3:$A$900,0)),"")))</f>
        <v>1.7978000000000001</v>
      </c>
      <c r="P791" s="267">
        <f>IFERROR(IF(O791&gt;0,O791-(TBIcalc!$Q$9),""),"")</f>
        <v>1.6472</v>
      </c>
      <c r="Q791" s="278">
        <f>IFERROR(INDEX('Ashed teabags dry'!$K$2:$K$825,MATCH(J791,'Ashed teabags dry'!$A$2:$A$825,0)),"")</f>
        <v>7.9980610761027835</v>
      </c>
      <c r="R791" s="278">
        <f t="shared" si="62"/>
        <v>1.515455937954435</v>
      </c>
      <c r="S791" s="268">
        <f>'Dry_Litterbag Placem_Collection'!E132</f>
        <v>42939</v>
      </c>
      <c r="T791" s="268">
        <f>IF('Dry_Litterbag Placem_Collection'!G132="","",'Dry_Litterbag Placem_Collection'!G132)</f>
        <v>43008</v>
      </c>
      <c r="U791" s="269">
        <f t="shared" si="60"/>
        <v>69</v>
      </c>
      <c r="V791" s="267">
        <f t="shared" si="63"/>
        <v>0.30099999999999993</v>
      </c>
      <c r="W791" s="267">
        <f t="shared" si="64"/>
        <v>0.38829266983164357</v>
      </c>
      <c r="X791" s="271">
        <f>IFERROR(INDEX(Rainfall_Dry!$O$2:$O$217,MATCH(B791, Rainfall_Dry!$A$2:$A$217,0)),"")</f>
        <v>136.27214243</v>
      </c>
      <c r="Y791" s="260">
        <v>31.214836424255054</v>
      </c>
      <c r="Z791" s="260">
        <v>11.377370285476141</v>
      </c>
      <c r="AA791" s="260">
        <v>57.407793290268799</v>
      </c>
      <c r="AB791" s="261" t="s">
        <v>2670</v>
      </c>
      <c r="AC791" s="260">
        <v>2.7337604731394798</v>
      </c>
      <c r="AD791">
        <f>IF('WetLitterbags placem_collection'!AB132="","",'WetLitterbags placem_collection'!AB132)</f>
        <v>2.1</v>
      </c>
      <c r="AE791">
        <f>IF('WetLitterbags placem_collection'!Z132="","",'WetLitterbags placem_collection'!Z132)</f>
        <v>3.5</v>
      </c>
      <c r="AF791" s="24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71">
        <f>IFERROR(AVERAGE('Dry_Litterbag Placem_Collection'!N132,'Dry_Litterbag Placem_Collection'!Q132),"")</f>
        <v>28.55</v>
      </c>
      <c r="AJ791" s="270">
        <f>INDEX(Coordinates!$B$2:$B$197,MATCH(G791,Coordinates!$J$2:$J$197,0))</f>
        <v>-2.3503729889999998</v>
      </c>
      <c r="AK791" s="270">
        <f>INDEX(Coordinates!$C$2:$C$197,MATCH(G791,Coordinates!$J$2:$J$197,0))</f>
        <v>34.049626969999998</v>
      </c>
      <c r="AL791" s="270" t="str">
        <f>IF(ISNUMBER(SEARCH("C", 'Dry_Litterbag Placem_Collection'!V132)),"YES","NO")</f>
        <v>NO</v>
      </c>
      <c r="AM791" s="270" t="str">
        <f>IF(ISNUMBER(SEARCH("H", 'Dry_Litterbag Placem_Collection'!V132)),"YES","NO")</f>
        <v>NO</v>
      </c>
      <c r="AN791" s="270" t="str">
        <f>IF(ISNUMBER(SEARCH("R", 'Dry_Litterbag Placem_Collection'!V132)),"YES","NO")</f>
        <v>NO</v>
      </c>
    </row>
    <row r="792" spans="1:40" ht="15" customHeight="1">
      <c r="A792" s="262" t="s">
        <v>2659</v>
      </c>
      <c r="B792" s="263">
        <f>'Dry_Litterbag Placem_Collection'!A133</f>
        <v>131</v>
      </c>
      <c r="C792" s="263" t="str">
        <f>'Dry_Litterbag Placem_Collection'!B133</f>
        <v xml:space="preserve">Mwantimba
</v>
      </c>
      <c r="D792" s="263" t="s">
        <v>2659</v>
      </c>
      <c r="E792" s="263" t="s">
        <v>20</v>
      </c>
      <c r="F792" s="263">
        <v>1</v>
      </c>
      <c r="G792" s="264" t="str">
        <f>'Dry_Litterbag Placem_Collection'!C133</f>
        <v>Wet_P1_T3</v>
      </c>
      <c r="H792" s="273" t="s">
        <v>3651</v>
      </c>
      <c r="I792" s="274" t="s">
        <v>298</v>
      </c>
      <c r="J792" s="263" t="str">
        <f>IF(ISBLANK('Dry_Litterbag Placem_Collection'!M133),"","R"&amp;""&amp;'Dry_Litterbag Placem_Collection'!M133)</f>
        <v>R188</v>
      </c>
      <c r="K792" s="267">
        <f>IFERROR(INDEX('Green_rooibos initial weight'!$C$5:$C$1749,MATCH(J792, 'Green_rooibos initial weight'!$A$5:$A$1749,0)),"")</f>
        <v>2.2440000000000002</v>
      </c>
      <c r="L792" s="267">
        <f>IFERROR(K792-(TBIcalc!$Q$9+TBIcalc!$Q$10),"")</f>
        <v>1.9942000000000002</v>
      </c>
      <c r="M792" s="391">
        <f>AVERAGE(Ashed_controlls!$K$12:$K$14)</f>
        <v>2.2816647271287041</v>
      </c>
      <c r="N792" s="267">
        <f t="shared" si="61"/>
        <v>1.9486990420115995</v>
      </c>
      <c r="O792" s="267">
        <f>IF(IFERROR(INDEX('Both teabags AfterDry'!$D$3:$D$900,MATCH(J792,'Both teabags AfterDry'!$A$3:$A$900,0)),"")="","",(IFERROR(INDEX('Both teabags AfterDry'!$D$3:$D$900,MATCH(J792,'Both teabags AfterDry'!$A$3:$A$900,0)),"")))</f>
        <v>1.7876000000000001</v>
      </c>
      <c r="P792" s="267">
        <f>IFERROR(IF(O792&gt;0,O792-(TBIcalc!$Q$9),""),"")</f>
        <v>1.637</v>
      </c>
      <c r="Q792" s="278">
        <f>IFERROR(INDEX('Ashed teabags dry'!$K$2:$K$825,MATCH(J792,'Ashed teabags dry'!$A$2:$A$825,0)),"")</f>
        <v>4.3834296724473862</v>
      </c>
      <c r="R792" s="278">
        <f t="shared" si="62"/>
        <v>1.5652432562620362</v>
      </c>
      <c r="S792" s="268">
        <f>'Dry_Litterbag Placem_Collection'!E133</f>
        <v>42939</v>
      </c>
      <c r="T792" s="268">
        <f>IF('Dry_Litterbag Placem_Collection'!G133="","",'Dry_Litterbag Placem_Collection'!G133)</f>
        <v>43008</v>
      </c>
      <c r="U792" s="269">
        <f t="shared" si="60"/>
        <v>69</v>
      </c>
      <c r="V792" s="267">
        <f t="shared" si="63"/>
        <v>0.35720000000000018</v>
      </c>
      <c r="W792" s="267">
        <f t="shared" si="64"/>
        <v>0.38345578574956329</v>
      </c>
      <c r="X792" s="271">
        <f>IFERROR(INDEX(Rainfall_Dry!$O$2:$O$217,MATCH(B792, Rainfall_Dry!$A$2:$A$217,0)),"")</f>
        <v>136.27214243</v>
      </c>
      <c r="Y792" s="260">
        <v>31.214836424255054</v>
      </c>
      <c r="Z792" s="260">
        <v>11.377370285476141</v>
      </c>
      <c r="AA792" s="260">
        <v>57.407793290268799</v>
      </c>
      <c r="AB792" s="261" t="s">
        <v>2670</v>
      </c>
      <c r="AC792" s="260">
        <v>3.7337604731394798</v>
      </c>
      <c r="AD792">
        <f>IF('WetLitterbags placem_collection'!AB133="","",'WetLitterbags placem_collection'!AB133)</f>
        <v>4.5</v>
      </c>
      <c r="AE792">
        <f>IF('WetLitterbags placem_collection'!Z133="","",'WetLitterbags placem_collection'!Z133)</f>
        <v>7.5</v>
      </c>
      <c r="AF792" s="24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71">
        <f>IFERROR(AVERAGE('Dry_Litterbag Placem_Collection'!N133,'Dry_Litterbag Placem_Collection'!Q133),"")</f>
        <v>28.6</v>
      </c>
      <c r="AJ792" s="270">
        <f>INDEX(Coordinates!$B$2:$B$197,MATCH(G792,Coordinates!$J$2:$J$197,0))</f>
        <v>-2.3503259660000002</v>
      </c>
      <c r="AK792" s="270">
        <f>INDEX(Coordinates!$C$2:$C$197,MATCH(G792,Coordinates!$J$2:$J$197,0))</f>
        <v>34.049616999999998</v>
      </c>
      <c r="AL792" s="270" t="str">
        <f>IF(ISNUMBER(SEARCH("C", 'Dry_Litterbag Placem_Collection'!V133)),"YES","NO")</f>
        <v>NO</v>
      </c>
      <c r="AM792" s="270" t="str">
        <f>IF(ISNUMBER(SEARCH("H", 'Dry_Litterbag Placem_Collection'!V133)),"YES","NO")</f>
        <v>NO</v>
      </c>
      <c r="AN792" s="270" t="str">
        <f>IF(ISNUMBER(SEARCH("R", 'Dry_Litterbag Placem_Collection'!V133)),"YES","NO")</f>
        <v>YES</v>
      </c>
    </row>
    <row r="793" spans="1:40" ht="15" customHeight="1">
      <c r="A793" s="262" t="s">
        <v>2659</v>
      </c>
      <c r="B793" s="263">
        <f>'Dry_Litterbag Placem_Collection'!A134</f>
        <v>132</v>
      </c>
      <c r="C793" s="263" t="str">
        <f>'Dry_Litterbag Placem_Collection'!B134</f>
        <v xml:space="preserve">Mwantimba
</v>
      </c>
      <c r="D793" s="263" t="s">
        <v>2659</v>
      </c>
      <c r="E793" s="263" t="s">
        <v>20</v>
      </c>
      <c r="F793" s="263">
        <v>1</v>
      </c>
      <c r="G793" s="264" t="str">
        <f>'Dry_Litterbag Placem_Collection'!C134</f>
        <v>Wet_P1_T4</v>
      </c>
      <c r="H793" s="273" t="s">
        <v>3651</v>
      </c>
      <c r="I793" s="274" t="s">
        <v>298</v>
      </c>
      <c r="J793" s="263" t="str">
        <f>IF(ISBLANK('Dry_Litterbag Placem_Collection'!M134),"","R"&amp;""&amp;'Dry_Litterbag Placem_Collection'!M134)</f>
        <v/>
      </c>
      <c r="K793" s="267" t="str">
        <f>IFERROR(INDEX('Green_rooibos initial weight'!$C$5:$C$1749,MATCH(J793, 'Green_rooibos initial weight'!$A$5:$A$1749,0)),"")</f>
        <v/>
      </c>
      <c r="L793" s="267" t="str">
        <f>IFERROR(K793-(TBIcalc!$Q$9+TBIcalc!$Q$10),"")</f>
        <v/>
      </c>
      <c r="M793" s="391">
        <f>AVERAGE(Ashed_controlls!$K$12:$K$14)</f>
        <v>2.2816647271287041</v>
      </c>
      <c r="N793" s="267" t="str">
        <f t="shared" si="61"/>
        <v/>
      </c>
      <c r="O793" s="267" t="str">
        <f>IF(IFERROR(INDEX('Both teabags AfterDry'!$D$3:$D$900,MATCH(J793,'Both teabags AfterDry'!$A$3:$A$900,0)),"")="","",(IFERROR(INDEX('Both teabags AfterDry'!$D$3:$D$900,MATCH(J793,'Both teabags AfterDry'!$A$3:$A$900,0)),"")))</f>
        <v/>
      </c>
      <c r="P793" s="267" t="str">
        <f>IFERROR(IF(O793&gt;0,O793-(TBIcalc!$Q$9),""),"")</f>
        <v/>
      </c>
      <c r="Q793" s="278" t="str">
        <f>IFERROR(INDEX('Ashed teabags dry'!$K$2:$K$825,MATCH(J793,'Ashed teabags dry'!$A$2:$A$825,0)),"")</f>
        <v/>
      </c>
      <c r="R793" s="278" t="str">
        <f t="shared" si="62"/>
        <v/>
      </c>
      <c r="S793" s="268">
        <f>'Dry_Litterbag Placem_Collection'!E134</f>
        <v>0</v>
      </c>
      <c r="T793" s="268" t="str">
        <f>IF('Dry_Litterbag Placem_Collection'!G134="","",'Dry_Litterbag Placem_Collection'!G134)</f>
        <v/>
      </c>
      <c r="U793" s="269" t="str">
        <f t="shared" si="60"/>
        <v/>
      </c>
      <c r="V793" s="267" t="str">
        <f t="shared" si="63"/>
        <v/>
      </c>
      <c r="W793" s="267" t="str">
        <f t="shared" si="64"/>
        <v/>
      </c>
      <c r="X793" s="271" t="str">
        <f>IFERROR(INDEX(Rainfall_Dry!$O$2:$O$217,MATCH(B793, Rainfall_Dry!$A$2:$A$217,0)),"")</f>
        <v/>
      </c>
      <c r="Y793" s="260">
        <v>31.214836424255054</v>
      </c>
      <c r="Z793" s="260">
        <v>11.377370285476141</v>
      </c>
      <c r="AA793" s="260">
        <v>57.407793290268799</v>
      </c>
      <c r="AB793" s="261" t="s">
        <v>2670</v>
      </c>
      <c r="AC793" s="260">
        <v>4.7337604731394798</v>
      </c>
      <c r="AD793">
        <f>IF('WetLitterbags placem_collection'!AB134="","",'WetLitterbags placem_collection'!AB134)</f>
        <v>0.7</v>
      </c>
      <c r="AE793">
        <f>IF('WetLitterbags placem_collection'!Z134="","",'WetLitterbags placem_collection'!Z134)</f>
        <v>9.8000000000000007</v>
      </c>
      <c r="AF793" s="24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71" t="str">
        <f>IFERROR(AVERAGE('Dry_Litterbag Placem_Collection'!N134,'Dry_Litterbag Placem_Collection'!Q134),"")</f>
        <v/>
      </c>
      <c r="AJ793" s="270">
        <f>INDEX(Coordinates!$B$2:$B$197,MATCH(G793,Coordinates!$J$2:$J$197,0))</f>
        <v>-2.3504800260000001</v>
      </c>
      <c r="AK793" s="270">
        <f>INDEX(Coordinates!$C$2:$C$197,MATCH(G793,Coordinates!$J$2:$J$197,0))</f>
        <v>34.049551030000003</v>
      </c>
      <c r="AL793" s="270" t="str">
        <f>IF(ISNUMBER(SEARCH("C", 'Dry_Litterbag Placem_Collection'!V134)),"YES","NO")</f>
        <v>NO</v>
      </c>
      <c r="AM793" s="270" t="str">
        <f>IF(ISNUMBER(SEARCH("H", 'Dry_Litterbag Placem_Collection'!V134)),"YES","NO")</f>
        <v>NO</v>
      </c>
      <c r="AN793" s="270" t="str">
        <f>IF(ISNUMBER(SEARCH("R", 'Dry_Litterbag Placem_Collection'!V134)),"YES","NO")</f>
        <v>NO</v>
      </c>
    </row>
    <row r="794" spans="1:40" ht="15" customHeight="1">
      <c r="A794" s="262" t="s">
        <v>2659</v>
      </c>
      <c r="B794" s="263">
        <f>'Dry_Litterbag Placem_Collection'!A135</f>
        <v>133</v>
      </c>
      <c r="C794" s="263" t="str">
        <f>'Dry_Litterbag Placem_Collection'!B135</f>
        <v xml:space="preserve">Mwantimba
</v>
      </c>
      <c r="D794" s="263" t="s">
        <v>2659</v>
      </c>
      <c r="E794" s="263" t="s">
        <v>20</v>
      </c>
      <c r="F794" s="263">
        <v>1</v>
      </c>
      <c r="G794" s="264" t="str">
        <f>'Dry_Litterbag Placem_Collection'!C135</f>
        <v>Wet_P1_T5</v>
      </c>
      <c r="H794" s="273" t="s">
        <v>3651</v>
      </c>
      <c r="I794" s="274" t="s">
        <v>298</v>
      </c>
      <c r="J794" s="263" t="str">
        <f>IF(ISBLANK('Dry_Litterbag Placem_Collection'!M135),"","R"&amp;""&amp;'Dry_Litterbag Placem_Collection'!M135)</f>
        <v>R683</v>
      </c>
      <c r="K794" s="267">
        <f>IFERROR(INDEX('Green_rooibos initial weight'!$C$5:$C$1749,MATCH(J794, 'Green_rooibos initial weight'!$A$5:$A$1749,0)),"")</f>
        <v>2.141</v>
      </c>
      <c r="L794" s="267">
        <f>IFERROR(K794-(TBIcalc!$Q$9+TBIcalc!$Q$10),"")</f>
        <v>1.8912</v>
      </c>
      <c r="M794" s="391">
        <f>AVERAGE(Ashed_controlls!$K$12:$K$14)</f>
        <v>2.2816647271287041</v>
      </c>
      <c r="N794" s="267">
        <f t="shared" si="61"/>
        <v>1.8480491566805419</v>
      </c>
      <c r="O794" s="267" t="str">
        <f>IF(IFERROR(INDEX('Both teabags AfterDry'!$D$3:$D$900,MATCH(J794,'Both teabags AfterDry'!$A$3:$A$900,0)),"")="","",(IFERROR(INDEX('Both teabags AfterDry'!$D$3:$D$900,MATCH(J794,'Both teabags AfterDry'!$A$3:$A$900,0)),"")))</f>
        <v/>
      </c>
      <c r="P794" s="267" t="str">
        <f>IFERROR(IF(O794&gt;0,O794-(TBIcalc!$Q$9),""),"")</f>
        <v/>
      </c>
      <c r="Q794" s="278" t="str">
        <f>IFERROR(INDEX('Ashed teabags dry'!$K$2:$K$825,MATCH(J794,'Ashed teabags dry'!$A$2:$A$825,0)),"")</f>
        <v/>
      </c>
      <c r="R794" s="278" t="str">
        <f t="shared" si="62"/>
        <v/>
      </c>
      <c r="S794" s="268">
        <f>'Dry_Litterbag Placem_Collection'!E135</f>
        <v>42939</v>
      </c>
      <c r="T794" s="268">
        <f>IF('Dry_Litterbag Placem_Collection'!G135="","",'Dry_Litterbag Placem_Collection'!G135)</f>
        <v>43008</v>
      </c>
      <c r="U794" s="269">
        <f t="shared" si="60"/>
        <v>69</v>
      </c>
      <c r="V794" s="267" t="str">
        <f t="shared" si="63"/>
        <v/>
      </c>
      <c r="W794" s="267" t="str">
        <f t="shared" si="64"/>
        <v/>
      </c>
      <c r="X794" s="271">
        <f>IFERROR(INDEX(Rainfall_Dry!$O$2:$O$217,MATCH(B794, Rainfall_Dry!$A$2:$A$217,0)),"")</f>
        <v>136.27214243</v>
      </c>
      <c r="Y794" s="260">
        <v>31.214836424255054</v>
      </c>
      <c r="Z794" s="260">
        <v>11.377370285476141</v>
      </c>
      <c r="AA794" s="260">
        <v>57.407793290268799</v>
      </c>
      <c r="AB794" s="261" t="s">
        <v>2670</v>
      </c>
      <c r="AC794" s="260">
        <v>5.7337604731394798</v>
      </c>
      <c r="AD794">
        <f>IF('WetLitterbags placem_collection'!AB135="","",'WetLitterbags placem_collection'!AB135)</f>
        <v>2.2000000000000002</v>
      </c>
      <c r="AE794">
        <f>IF('WetLitterbags placem_collection'!Z135="","",'WetLitterbags placem_collection'!Z135)</f>
        <v>10</v>
      </c>
      <c r="AF794" s="24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71">
        <f>IFERROR(AVERAGE('Dry_Litterbag Placem_Collection'!N135,'Dry_Litterbag Placem_Collection'!Q135),"")</f>
        <v>31.3</v>
      </c>
      <c r="AJ794" s="270">
        <f>INDEX(Coordinates!$B$2:$B$197,MATCH(G794,Coordinates!$J$2:$J$197,0))</f>
        <v>-2.350474996</v>
      </c>
      <c r="AK794" s="270">
        <f>INDEX(Coordinates!$C$2:$C$197,MATCH(G794,Coordinates!$J$2:$J$197,0))</f>
        <v>34.049801979999998</v>
      </c>
      <c r="AL794" s="270" t="str">
        <f>IF(ISNUMBER(SEARCH("C", 'Dry_Litterbag Placem_Collection'!V135)),"YES","NO")</f>
        <v>NO</v>
      </c>
      <c r="AM794" s="270" t="str">
        <f>IF(ISNUMBER(SEARCH("H", 'Dry_Litterbag Placem_Collection'!V135)),"YES","NO")</f>
        <v>NO</v>
      </c>
      <c r="AN794" s="270" t="str">
        <f>IF(ISNUMBER(SEARCH("R", 'Dry_Litterbag Placem_Collection'!V135)),"YES","NO")</f>
        <v>NO</v>
      </c>
    </row>
    <row r="795" spans="1:40" ht="15" customHeight="1">
      <c r="A795" s="262" t="s">
        <v>2659</v>
      </c>
      <c r="B795" s="263">
        <f>'Dry_Litterbag Placem_Collection'!A136</f>
        <v>134</v>
      </c>
      <c r="C795" s="263" t="str">
        <f>'Dry_Litterbag Placem_Collection'!B136</f>
        <v xml:space="preserve">Mwantimba
</v>
      </c>
      <c r="D795" s="263" t="s">
        <v>2659</v>
      </c>
      <c r="E795" s="263" t="s">
        <v>20</v>
      </c>
      <c r="F795" s="263">
        <v>1</v>
      </c>
      <c r="G795" s="264" t="str">
        <f>'Dry_Litterbag Placem_Collection'!C136</f>
        <v>Wet_P1_T6</v>
      </c>
      <c r="H795" s="273" t="s">
        <v>3651</v>
      </c>
      <c r="I795" s="274" t="s">
        <v>298</v>
      </c>
      <c r="J795" s="263" t="str">
        <f>IF(ISBLANK('Dry_Litterbag Placem_Collection'!M136),"","R"&amp;""&amp;'Dry_Litterbag Placem_Collection'!M136)</f>
        <v>R649</v>
      </c>
      <c r="K795" s="267">
        <f>IFERROR(INDEX('Green_rooibos initial weight'!$C$5:$C$1749,MATCH(J795, 'Green_rooibos initial weight'!$A$5:$A$1749,0)),"")</f>
        <v>2.161</v>
      </c>
      <c r="L795" s="267">
        <f>IFERROR(K795-(TBIcalc!$Q$9+TBIcalc!$Q$10),"")</f>
        <v>1.9112</v>
      </c>
      <c r="M795" s="391">
        <f>AVERAGE(Ashed_controlls!$K$12:$K$14)</f>
        <v>2.2816647271287041</v>
      </c>
      <c r="N795" s="267">
        <f t="shared" si="61"/>
        <v>1.8675928237351163</v>
      </c>
      <c r="O795" s="267">
        <f>IF(IFERROR(INDEX('Both teabags AfterDry'!$D$3:$D$900,MATCH(J795,'Both teabags AfterDry'!$A$3:$A$900,0)),"")="","",(IFERROR(INDEX('Both teabags AfterDry'!$D$3:$D$900,MATCH(J795,'Both teabags AfterDry'!$A$3:$A$900,0)),"")))</f>
        <v>1.7554000000000001</v>
      </c>
      <c r="P795" s="267">
        <f>IFERROR(IF(O795&gt;0,O795-(TBIcalc!$Q$9),""),"")</f>
        <v>1.6048</v>
      </c>
      <c r="Q795" s="278">
        <f>IFERROR(INDEX('Ashed teabags dry'!$K$2:$K$825,MATCH(J795,'Ashed teabags dry'!$A$2:$A$825,0)),"")</f>
        <v>5.5740828966174707</v>
      </c>
      <c r="R795" s="278">
        <f t="shared" si="62"/>
        <v>1.5153471176750828</v>
      </c>
      <c r="S795" s="268">
        <f>'Dry_Litterbag Placem_Collection'!E136</f>
        <v>42939</v>
      </c>
      <c r="T795" s="268">
        <f>IF('Dry_Litterbag Placem_Collection'!G136="","",'Dry_Litterbag Placem_Collection'!G136)</f>
        <v>43008</v>
      </c>
      <c r="U795" s="269">
        <f t="shared" si="60"/>
        <v>69</v>
      </c>
      <c r="V795" s="267">
        <f t="shared" si="63"/>
        <v>0.30640000000000001</v>
      </c>
      <c r="W795" s="267">
        <f t="shared" si="64"/>
        <v>0.35224570606003347</v>
      </c>
      <c r="X795" s="271">
        <f>IFERROR(INDEX(Rainfall_Dry!$O$2:$O$217,MATCH(B795, Rainfall_Dry!$A$2:$A$217,0)),"")</f>
        <v>136.27214243</v>
      </c>
      <c r="Y795" s="260">
        <v>31.214836424255054</v>
      </c>
      <c r="Z795" s="260">
        <v>11.377370285476141</v>
      </c>
      <c r="AA795" s="260">
        <v>57.407793290268799</v>
      </c>
      <c r="AB795" s="261" t="s">
        <v>2670</v>
      </c>
      <c r="AC795" s="260">
        <v>6.7337604731394798</v>
      </c>
      <c r="AD795">
        <f>IF('WetLitterbags placem_collection'!AB136="","",'WetLitterbags placem_collection'!AB136)</f>
        <v>1.1000000000000001</v>
      </c>
      <c r="AE795">
        <f>IF('WetLitterbags placem_collection'!Z136="","",'WetLitterbags placem_collection'!Z136)</f>
        <v>15.4</v>
      </c>
      <c r="AF795" s="24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71">
        <f>IFERROR(AVERAGE('Dry_Litterbag Placem_Collection'!N136,'Dry_Litterbag Placem_Collection'!Q136),"")</f>
        <v>29.200000000000003</v>
      </c>
      <c r="AJ795" s="270">
        <f>INDEX(Coordinates!$B$2:$B$197,MATCH(G795,Coordinates!$J$2:$J$197,0))</f>
        <v>-2.3503559730000001</v>
      </c>
      <c r="AK795" s="270">
        <f>INDEX(Coordinates!$C$2:$C$197,MATCH(G795,Coordinates!$J$2:$J$197,0))</f>
        <v>34.049800980000001</v>
      </c>
      <c r="AL795" s="270" t="str">
        <f>IF(ISNUMBER(SEARCH("C", 'Dry_Litterbag Placem_Collection'!V136)),"YES","NO")</f>
        <v>NO</v>
      </c>
      <c r="AM795" s="270" t="str">
        <f>IF(ISNUMBER(SEARCH("H", 'Dry_Litterbag Placem_Collection'!V136)),"YES","NO")</f>
        <v>NO</v>
      </c>
      <c r="AN795" s="270" t="str">
        <f>IF(ISNUMBER(SEARCH("R", 'Dry_Litterbag Placem_Collection'!V136)),"YES","NO")</f>
        <v>YES</v>
      </c>
    </row>
    <row r="796" spans="1:40" ht="15" customHeight="1">
      <c r="A796" s="262" t="s">
        <v>2659</v>
      </c>
      <c r="B796" s="263">
        <f>'Dry_Litterbag Placem_Collection'!A137</f>
        <v>135</v>
      </c>
      <c r="C796" s="263" t="str">
        <f>'Dry_Litterbag Placem_Collection'!B137</f>
        <v xml:space="preserve">Mwantimba
</v>
      </c>
      <c r="D796" s="263" t="s">
        <v>2659</v>
      </c>
      <c r="E796" s="263" t="s">
        <v>20</v>
      </c>
      <c r="F796" s="263">
        <v>1</v>
      </c>
      <c r="G796" s="264" t="str">
        <f>'Dry_Litterbag Placem_Collection'!C137</f>
        <v>Wet_P1_T7</v>
      </c>
      <c r="H796" s="273" t="s">
        <v>3651</v>
      </c>
      <c r="I796" s="274" t="s">
        <v>298</v>
      </c>
      <c r="J796" s="263" t="str">
        <f>IF(ISBLANK('Dry_Litterbag Placem_Collection'!M137),"","R"&amp;""&amp;'Dry_Litterbag Placem_Collection'!M137)</f>
        <v>R223</v>
      </c>
      <c r="K796" s="267">
        <f>IFERROR(INDEX('Green_rooibos initial weight'!$C$5:$C$1749,MATCH(J796, 'Green_rooibos initial weight'!$A$5:$A$1749,0)),"")</f>
        <v>2.2170000000000001</v>
      </c>
      <c r="L796" s="267">
        <f>IFERROR(K796-(TBIcalc!$Q$9+TBIcalc!$Q$10),"")</f>
        <v>1.9672000000000001</v>
      </c>
      <c r="M796" s="391">
        <f>AVERAGE(Ashed_controlls!$K$12:$K$14)</f>
        <v>2.2816647271287041</v>
      </c>
      <c r="N796" s="267">
        <f t="shared" si="61"/>
        <v>1.9223150914879241</v>
      </c>
      <c r="O796" s="267">
        <f>IF(IFERROR(INDEX('Both teabags AfterDry'!$D$3:$D$900,MATCH(J796,'Both teabags AfterDry'!$A$3:$A$900,0)),"")="","",(IFERROR(INDEX('Both teabags AfterDry'!$D$3:$D$900,MATCH(J796,'Both teabags AfterDry'!$A$3:$A$900,0)),"")))</f>
        <v>1.7884</v>
      </c>
      <c r="P796" s="267">
        <f>IFERROR(IF(O796&gt;0,O796-(TBIcalc!$Q$9),""),"")</f>
        <v>1.6377999999999999</v>
      </c>
      <c r="Q796" s="278">
        <f>IFERROR(INDEX('Ashed teabags dry'!$K$2:$K$825,MATCH(J796,'Ashed teabags dry'!$A$2:$A$825,0)),"")</f>
        <v>7.1172784243511256</v>
      </c>
      <c r="R796" s="278">
        <f t="shared" si="62"/>
        <v>1.5212332139659772</v>
      </c>
      <c r="S796" s="268">
        <f>'Dry_Litterbag Placem_Collection'!E137</f>
        <v>42939</v>
      </c>
      <c r="T796" s="268">
        <f>IF('Dry_Litterbag Placem_Collection'!G137="","",'Dry_Litterbag Placem_Collection'!G137)</f>
        <v>43008</v>
      </c>
      <c r="U796" s="269">
        <f t="shared" si="60"/>
        <v>69</v>
      </c>
      <c r="V796" s="267">
        <f t="shared" si="63"/>
        <v>0.32940000000000014</v>
      </c>
      <c r="W796" s="267">
        <f t="shared" si="64"/>
        <v>0.40108187752194691</v>
      </c>
      <c r="X796" s="271">
        <f>IFERROR(INDEX(Rainfall_Dry!$O$2:$O$217,MATCH(B796, Rainfall_Dry!$A$2:$A$217,0)),"")</f>
        <v>136.27214243</v>
      </c>
      <c r="Y796" s="260">
        <v>31.214836424255054</v>
      </c>
      <c r="Z796" s="260">
        <v>11.377370285476141</v>
      </c>
      <c r="AA796" s="260">
        <v>57.407793290268799</v>
      </c>
      <c r="AB796" s="261" t="s">
        <v>2670</v>
      </c>
      <c r="AC796" s="260">
        <v>7.7337604731394798</v>
      </c>
      <c r="AD796">
        <f>IF('WetLitterbags placem_collection'!AB137="","",'WetLitterbags placem_collection'!AB137)</f>
        <v>2.1</v>
      </c>
      <c r="AE796">
        <f>IF('WetLitterbags placem_collection'!Z137="","",'WetLitterbags placem_collection'!Z137)</f>
        <v>5.6</v>
      </c>
      <c r="AF796" s="24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71">
        <f>IFERROR(AVERAGE('Dry_Litterbag Placem_Collection'!N137,'Dry_Litterbag Placem_Collection'!Q137),"")</f>
        <v>31.35</v>
      </c>
      <c r="AJ796" s="270">
        <f>INDEX(Coordinates!$B$2:$B$197,MATCH(G796,Coordinates!$J$2:$J$197,0))</f>
        <v>-2.3503589909999998</v>
      </c>
      <c r="AK796" s="270">
        <f>INDEX(Coordinates!$C$2:$C$197,MATCH(G796,Coordinates!$J$2:$J$197,0))</f>
        <v>34.049719000000003</v>
      </c>
      <c r="AL796" s="270" t="str">
        <f>IF(ISNUMBER(SEARCH("C", 'Dry_Litterbag Placem_Collection'!V137)),"YES","NO")</f>
        <v>NO</v>
      </c>
      <c r="AM796" s="270" t="str">
        <f>IF(ISNUMBER(SEARCH("H", 'Dry_Litterbag Placem_Collection'!V137)),"YES","NO")</f>
        <v>NO</v>
      </c>
      <c r="AN796" s="270" t="str">
        <f>IF(ISNUMBER(SEARCH("R", 'Dry_Litterbag Placem_Collection'!V137)),"YES","NO")</f>
        <v>NO</v>
      </c>
    </row>
    <row r="797" spans="1:40" ht="15" customHeight="1">
      <c r="A797" s="262" t="s">
        <v>2659</v>
      </c>
      <c r="B797" s="263">
        <f>'Dry_Litterbag Placem_Collection'!A138</f>
        <v>136</v>
      </c>
      <c r="C797" s="263" t="str">
        <f>'Dry_Litterbag Placem_Collection'!B138</f>
        <v xml:space="preserve">Mwantimba
</v>
      </c>
      <c r="D797" s="263" t="s">
        <v>2659</v>
      </c>
      <c r="E797" s="263" t="s">
        <v>20</v>
      </c>
      <c r="F797" s="263">
        <v>1</v>
      </c>
      <c r="G797" s="264" t="str">
        <f>'Dry_Litterbag Placem_Collection'!C138</f>
        <v>Wet_P1_T8</v>
      </c>
      <c r="H797" s="273" t="s">
        <v>3651</v>
      </c>
      <c r="I797" s="274" t="s">
        <v>298</v>
      </c>
      <c r="J797" s="263" t="str">
        <f>IF(ISBLANK('Dry_Litterbag Placem_Collection'!M138),"","R"&amp;""&amp;'Dry_Litterbag Placem_Collection'!M138)</f>
        <v>R214</v>
      </c>
      <c r="K797" s="267">
        <f>IFERROR(INDEX('Green_rooibos initial weight'!$C$5:$C$1749,MATCH(J797, 'Green_rooibos initial weight'!$A$5:$A$1749,0)),"")</f>
        <v>2.1960000000000002</v>
      </c>
      <c r="L797" s="267">
        <f>IFERROR(K797-(TBIcalc!$Q$9+TBIcalc!$Q$10),"")</f>
        <v>1.9462000000000002</v>
      </c>
      <c r="M797" s="391">
        <f>AVERAGE(Ashed_controlls!$K$12:$K$14)</f>
        <v>2.2816647271287041</v>
      </c>
      <c r="N797" s="267">
        <f t="shared" si="61"/>
        <v>1.9017942410806212</v>
      </c>
      <c r="O797" s="267">
        <f>IF(IFERROR(INDEX('Both teabags AfterDry'!$D$3:$D$900,MATCH(J797,'Both teabags AfterDry'!$A$3:$A$900,0)),"")="","",(IFERROR(INDEX('Both teabags AfterDry'!$D$3:$D$900,MATCH(J797,'Both teabags AfterDry'!$A$3:$A$900,0)),"")))</f>
        <v>1.7265999999999999</v>
      </c>
      <c r="P797" s="267">
        <f>IFERROR(IF(O797&gt;0,O797-(TBIcalc!$Q$9),""),"")</f>
        <v>1.5759999999999998</v>
      </c>
      <c r="Q797" s="278">
        <f>IFERROR(INDEX('Ashed teabags dry'!$K$2:$K$825,MATCH(J797,'Ashed teabags dry'!$A$2:$A$825,0)),"")</f>
        <v>9.4517958412093144</v>
      </c>
      <c r="R797" s="278">
        <f t="shared" si="62"/>
        <v>1.427039697542541</v>
      </c>
      <c r="S797" s="268">
        <f>'Dry_Litterbag Placem_Collection'!E138</f>
        <v>42939</v>
      </c>
      <c r="T797" s="268">
        <f>IF('Dry_Litterbag Placem_Collection'!G138="","",'Dry_Litterbag Placem_Collection'!G138)</f>
        <v>43008</v>
      </c>
      <c r="U797" s="269">
        <f t="shared" si="60"/>
        <v>69</v>
      </c>
      <c r="V797" s="267">
        <f t="shared" si="63"/>
        <v>0.37020000000000031</v>
      </c>
      <c r="W797" s="267">
        <f t="shared" si="64"/>
        <v>0.47475454353808022</v>
      </c>
      <c r="X797" s="271">
        <f>IFERROR(INDEX(Rainfall_Dry!$O$2:$O$217,MATCH(B797, Rainfall_Dry!$A$2:$A$217,0)),"")</f>
        <v>136.27214243</v>
      </c>
      <c r="Y797" s="260">
        <v>31.214836424255054</v>
      </c>
      <c r="Z797" s="260">
        <v>11.377370285476141</v>
      </c>
      <c r="AA797" s="260">
        <v>57.407793290268799</v>
      </c>
      <c r="AB797" s="261" t="s">
        <v>2670</v>
      </c>
      <c r="AC797" s="260">
        <v>8.7337604731394798</v>
      </c>
      <c r="AD797">
        <f>IF('WetLitterbags placem_collection'!AB138="","",'WetLitterbags placem_collection'!AB138)</f>
        <v>2.2999999999999998</v>
      </c>
      <c r="AE797">
        <f>IF('WetLitterbags placem_collection'!Z138="","",'WetLitterbags placem_collection'!Z138)</f>
        <v>16.3</v>
      </c>
      <c r="AF797" s="24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71">
        <f>IFERROR(AVERAGE('Dry_Litterbag Placem_Collection'!N138,'Dry_Litterbag Placem_Collection'!Q138),"")</f>
        <v>29.9</v>
      </c>
      <c r="AJ797" s="270">
        <f>INDEX(Coordinates!$B$2:$B$197,MATCH(G797,Coordinates!$J$2:$J$197,0))</f>
        <v>-2.3502159960000002</v>
      </c>
      <c r="AK797" s="270">
        <f>INDEX(Coordinates!$C$2:$C$197,MATCH(G797,Coordinates!$J$2:$J$197,0))</f>
        <v>34.049822020000001</v>
      </c>
      <c r="AL797" s="270" t="str">
        <f>IF(ISNUMBER(SEARCH("C", 'Dry_Litterbag Placem_Collection'!V138)),"YES","NO")</f>
        <v>NO</v>
      </c>
      <c r="AM797" s="270" t="str">
        <f>IF(ISNUMBER(SEARCH("H", 'Dry_Litterbag Placem_Collection'!V138)),"YES","NO")</f>
        <v>NO</v>
      </c>
      <c r="AN797" s="270" t="str">
        <f>IF(ISNUMBER(SEARCH("R", 'Dry_Litterbag Placem_Collection'!V138)),"YES","NO")</f>
        <v>NO</v>
      </c>
    </row>
    <row r="798" spans="1:40" ht="15" customHeight="1">
      <c r="A798" s="262" t="s">
        <v>2659</v>
      </c>
      <c r="B798" s="263">
        <f>'Dry_Litterbag Placem_Collection'!A139</f>
        <v>137</v>
      </c>
      <c r="C798" s="263" t="str">
        <f>'Dry_Litterbag Placem_Collection'!B139</f>
        <v xml:space="preserve">Mwantimba
</v>
      </c>
      <c r="D798" s="263" t="s">
        <v>2659</v>
      </c>
      <c r="E798" s="263" t="s">
        <v>20</v>
      </c>
      <c r="F798" s="263">
        <v>2</v>
      </c>
      <c r="G798" s="264" t="str">
        <f>'Dry_Litterbag Placem_Collection'!C139</f>
        <v>Wet_P2_T1</v>
      </c>
      <c r="H798" s="273" t="s">
        <v>3651</v>
      </c>
      <c r="I798" s="274" t="s">
        <v>298</v>
      </c>
      <c r="J798" s="263" t="str">
        <f>IF(ISBLANK('Dry_Litterbag Placem_Collection'!M139),"","R"&amp;""&amp;'Dry_Litterbag Placem_Collection'!M139)</f>
        <v>R628</v>
      </c>
      <c r="K798" s="267">
        <f>IFERROR(INDEX('Green_rooibos initial weight'!$C$5:$C$1749,MATCH(J798, 'Green_rooibos initial weight'!$A$5:$A$1749,0)),"")</f>
        <v>2.0110000000000001</v>
      </c>
      <c r="L798" s="267">
        <f>IFERROR(K798-(TBIcalc!$Q$9+TBIcalc!$Q$10),"")</f>
        <v>1.7612000000000001</v>
      </c>
      <c r="M798" s="391">
        <f>AVERAGE(Ashed_controlls!$K$12:$K$14)</f>
        <v>2.2816647271287041</v>
      </c>
      <c r="N798" s="267">
        <f t="shared" si="61"/>
        <v>1.7210153208258094</v>
      </c>
      <c r="O798" s="267">
        <f>IF(IFERROR(INDEX('Both teabags AfterDry'!$D$3:$D$900,MATCH(J798,'Both teabags AfterDry'!$A$3:$A$900,0)),"")="","",(IFERROR(INDEX('Both teabags AfterDry'!$D$3:$D$900,MATCH(J798,'Both teabags AfterDry'!$A$3:$A$900,0)),"")))</f>
        <v>1.7652000000000001</v>
      </c>
      <c r="P798" s="267">
        <f>IFERROR(IF(O798&gt;0,O798-(TBIcalc!$Q$9),""),"")</f>
        <v>1.6146</v>
      </c>
      <c r="Q798" s="278">
        <f>IFERROR(INDEX('Ashed teabags dry'!$K$2:$K$825,MATCH(J798,'Ashed teabags dry'!$A$2:$A$825,0)),"")</f>
        <v>9.0322580645165651</v>
      </c>
      <c r="R798" s="278">
        <f t="shared" si="62"/>
        <v>1.4687651612903156</v>
      </c>
      <c r="S798" s="268">
        <f>'Dry_Litterbag Placem_Collection'!E139</f>
        <v>42939</v>
      </c>
      <c r="T798" s="268">
        <f>IF('Dry_Litterbag Placem_Collection'!G139="","",'Dry_Litterbag Placem_Collection'!G139)</f>
        <v>43008</v>
      </c>
      <c r="U798" s="269">
        <f t="shared" si="60"/>
        <v>69</v>
      </c>
      <c r="V798" s="267">
        <f t="shared" si="63"/>
        <v>0.14660000000000006</v>
      </c>
      <c r="W798" s="267">
        <f t="shared" si="64"/>
        <v>0.25225015953549379</v>
      </c>
      <c r="X798" s="271">
        <f>IFERROR(INDEX(Rainfall_Dry!$O$2:$O$217,MATCH(B798, Rainfall_Dry!$A$2:$A$217,0)),"")</f>
        <v>136.27214243</v>
      </c>
      <c r="Y798" s="260">
        <v>33.96</v>
      </c>
      <c r="Z798" s="260">
        <v>8.9200000000000017</v>
      </c>
      <c r="AA798" s="260">
        <v>57.12</v>
      </c>
      <c r="AB798" s="261" t="s">
        <v>2670</v>
      </c>
      <c r="AC798" s="260">
        <v>2.072055199605717</v>
      </c>
      <c r="AD798">
        <f>IF('WetLitterbags placem_collection'!AB139="","",'WetLitterbags placem_collection'!AB139)</f>
        <v>1.2</v>
      </c>
      <c r="AE798">
        <f>IF('WetLitterbags placem_collection'!Z139="","",'WetLitterbags placem_collection'!Z139)</f>
        <v>32.4</v>
      </c>
      <c r="AF798" s="24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71">
        <f>IFERROR(AVERAGE('Dry_Litterbag Placem_Collection'!N139,'Dry_Litterbag Placem_Collection'!Q139),"")</f>
        <v>27.55</v>
      </c>
      <c r="AJ798" s="270">
        <f>INDEX(Coordinates!$B$2:$B$197,MATCH(G798,Coordinates!$J$2:$J$197,0))</f>
        <v>-2.348596025</v>
      </c>
      <c r="AK798" s="270">
        <f>INDEX(Coordinates!$C$2:$C$197,MATCH(G798,Coordinates!$J$2:$J$197,0))</f>
        <v>34.050070959999999</v>
      </c>
      <c r="AL798" s="270" t="str">
        <f>IF(ISNUMBER(SEARCH("C", 'Dry_Litterbag Placem_Collection'!V139)),"YES","NO")</f>
        <v>NO</v>
      </c>
      <c r="AM798" s="270" t="str">
        <f>IF(ISNUMBER(SEARCH("H", 'Dry_Litterbag Placem_Collection'!V139)),"YES","NO")</f>
        <v>NO</v>
      </c>
      <c r="AN798" s="270" t="str">
        <f>IF(ISNUMBER(SEARCH("R", 'Dry_Litterbag Placem_Collection'!V139)),"YES","NO")</f>
        <v>NO</v>
      </c>
    </row>
    <row r="799" spans="1:40" ht="15" customHeight="1">
      <c r="A799" s="262" t="s">
        <v>2659</v>
      </c>
      <c r="B799" s="263">
        <f>'Dry_Litterbag Placem_Collection'!A140</f>
        <v>138</v>
      </c>
      <c r="C799" s="263" t="str">
        <f>'Dry_Litterbag Placem_Collection'!B140</f>
        <v xml:space="preserve">Mwantimba
</v>
      </c>
      <c r="D799" s="263" t="s">
        <v>2659</v>
      </c>
      <c r="E799" s="263" t="s">
        <v>20</v>
      </c>
      <c r="F799" s="263">
        <v>2</v>
      </c>
      <c r="G799" s="264" t="str">
        <f>'Dry_Litterbag Placem_Collection'!C140</f>
        <v>Wet_P2_T2</v>
      </c>
      <c r="H799" s="273" t="s">
        <v>3651</v>
      </c>
      <c r="I799" s="274" t="s">
        <v>298</v>
      </c>
      <c r="J799" s="263" t="str">
        <f>IF(ISBLANK('Dry_Litterbag Placem_Collection'!M140),"","R"&amp;""&amp;'Dry_Litterbag Placem_Collection'!M140)</f>
        <v>R198</v>
      </c>
      <c r="K799" s="267">
        <f>IFERROR(INDEX('Green_rooibos initial weight'!$C$5:$C$1749,MATCH(J799, 'Green_rooibos initial weight'!$A$5:$A$1749,0)),"")</f>
        <v>2.1970000000000001</v>
      </c>
      <c r="L799" s="267">
        <f>IFERROR(K799-(TBIcalc!$Q$9+TBIcalc!$Q$10),"")</f>
        <v>1.9472</v>
      </c>
      <c r="M799" s="391">
        <f>AVERAGE(Ashed_controlls!$K$12:$K$14)</f>
        <v>2.2816647271287041</v>
      </c>
      <c r="N799" s="267">
        <f t="shared" si="61"/>
        <v>1.90277142443335</v>
      </c>
      <c r="O799" s="267">
        <f>IF(IFERROR(INDEX('Both teabags AfterDry'!$D$3:$D$900,MATCH(J799,'Both teabags AfterDry'!$A$3:$A$900,0)),"")="","",(IFERROR(INDEX('Both teabags AfterDry'!$D$3:$D$900,MATCH(J799,'Both teabags AfterDry'!$A$3:$A$900,0)),"")))</f>
        <v>1.7765</v>
      </c>
      <c r="P799" s="267">
        <f>IFERROR(IF(O799&gt;0,O799-(TBIcalc!$Q$9),""),"")</f>
        <v>1.6258999999999999</v>
      </c>
      <c r="Q799" s="278">
        <f>IFERROR(INDEX('Ashed teabags dry'!$K$2:$K$825,MATCH(J799,'Ashed teabags dry'!$A$2:$A$825,0)),"")</f>
        <v>5.3694581280797298</v>
      </c>
      <c r="R799" s="278">
        <f t="shared" si="62"/>
        <v>1.5385979802955516</v>
      </c>
      <c r="S799" s="268">
        <f>'Dry_Litterbag Placem_Collection'!E140</f>
        <v>42939</v>
      </c>
      <c r="T799" s="268">
        <f>IF('Dry_Litterbag Placem_Collection'!G140="","",'Dry_Litterbag Placem_Collection'!G140)</f>
        <v>43008</v>
      </c>
      <c r="U799" s="269">
        <f t="shared" si="60"/>
        <v>69</v>
      </c>
      <c r="V799" s="267">
        <f t="shared" si="63"/>
        <v>0.32130000000000014</v>
      </c>
      <c r="W799" s="267">
        <f t="shared" si="64"/>
        <v>0.3641734441377984</v>
      </c>
      <c r="X799" s="271">
        <f>IFERROR(INDEX(Rainfall_Dry!$O$2:$O$217,MATCH(B799, Rainfall_Dry!$A$2:$A$217,0)),"")</f>
        <v>136.27214243</v>
      </c>
      <c r="Y799" s="260">
        <v>33.96</v>
      </c>
      <c r="Z799" s="260">
        <v>8.9200000000000017</v>
      </c>
      <c r="AA799" s="260">
        <v>57.12</v>
      </c>
      <c r="AB799" s="261" t="s">
        <v>2670</v>
      </c>
      <c r="AC799" s="260">
        <v>3.0720551996057202</v>
      </c>
      <c r="AD799">
        <f>IF('WetLitterbags placem_collection'!AB140="","",'WetLitterbags placem_collection'!AB140)</f>
        <v>2.8</v>
      </c>
      <c r="AE799">
        <f>IF('WetLitterbags placem_collection'!Z140="","",'WetLitterbags placem_collection'!Z140)</f>
        <v>26.4</v>
      </c>
      <c r="AF799" s="24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71">
        <f>IFERROR(AVERAGE('Dry_Litterbag Placem_Collection'!N140,'Dry_Litterbag Placem_Collection'!Q140),"")</f>
        <v>28.799999999999997</v>
      </c>
      <c r="AJ799" s="270">
        <f>INDEX(Coordinates!$B$2:$B$197,MATCH(G799,Coordinates!$J$2:$J$197,0))</f>
        <v>-2.3485449790000001</v>
      </c>
      <c r="AK799" s="270">
        <f>INDEX(Coordinates!$C$2:$C$197,MATCH(G799,Coordinates!$J$2:$J$197,0))</f>
        <v>34.050146980000001</v>
      </c>
      <c r="AL799" s="270" t="str">
        <f>IF(ISNUMBER(SEARCH("C", 'Dry_Litterbag Placem_Collection'!V140)),"YES","NO")</f>
        <v>NO</v>
      </c>
      <c r="AM799" s="270" t="str">
        <f>IF(ISNUMBER(SEARCH("H", 'Dry_Litterbag Placem_Collection'!V140)),"YES","NO")</f>
        <v>NO</v>
      </c>
      <c r="AN799" s="270" t="str">
        <f>IF(ISNUMBER(SEARCH("R", 'Dry_Litterbag Placem_Collection'!V140)),"YES","NO")</f>
        <v>NO</v>
      </c>
    </row>
    <row r="800" spans="1:40" ht="15" customHeight="1">
      <c r="A800" s="262" t="s">
        <v>2659</v>
      </c>
      <c r="B800" s="263">
        <f>'Dry_Litterbag Placem_Collection'!A141</f>
        <v>139</v>
      </c>
      <c r="C800" s="263" t="str">
        <f>'Dry_Litterbag Placem_Collection'!B141</f>
        <v xml:space="preserve">Mwantimba
</v>
      </c>
      <c r="D800" s="263" t="s">
        <v>2659</v>
      </c>
      <c r="E800" s="263" t="s">
        <v>20</v>
      </c>
      <c r="F800" s="263">
        <v>2</v>
      </c>
      <c r="G800" s="264" t="str">
        <f>'Dry_Litterbag Placem_Collection'!C141</f>
        <v>Wet_P2_T3</v>
      </c>
      <c r="H800" s="273" t="s">
        <v>3651</v>
      </c>
      <c r="I800" s="274" t="s">
        <v>298</v>
      </c>
      <c r="J800" s="263" t="str">
        <f>IF(ISBLANK('Dry_Litterbag Placem_Collection'!M141),"","R"&amp;""&amp;'Dry_Litterbag Placem_Collection'!M141)</f>
        <v>R706</v>
      </c>
      <c r="K800" s="267">
        <f>IFERROR(INDEX('Green_rooibos initial weight'!$C$5:$C$1749,MATCH(J800, 'Green_rooibos initial weight'!$A$5:$A$1749,0)),"")</f>
        <v>2.1480000000000001</v>
      </c>
      <c r="L800" s="267">
        <f>IFERROR(K800-(TBIcalc!$Q$9+TBIcalc!$Q$10),"")</f>
        <v>1.8982000000000001</v>
      </c>
      <c r="M800" s="391">
        <f>AVERAGE(Ashed_controlls!$K$12:$K$14)</f>
        <v>2.2816647271287041</v>
      </c>
      <c r="N800" s="267">
        <f t="shared" si="61"/>
        <v>1.854889440149643</v>
      </c>
      <c r="O800" s="267">
        <f>IF(IFERROR(INDEX('Both teabags AfterDry'!$D$3:$D$900,MATCH(J800,'Both teabags AfterDry'!$A$3:$A$900,0)),"")="","",(IFERROR(INDEX('Both teabags AfterDry'!$D$3:$D$900,MATCH(J800,'Both teabags AfterDry'!$A$3:$A$900,0)),"")))</f>
        <v>1.5846</v>
      </c>
      <c r="P800" s="267">
        <f>IFERROR(IF(O800&gt;0,O800-(TBIcalc!$Q$9),""),"")</f>
        <v>1.4339999999999999</v>
      </c>
      <c r="Q800" s="278">
        <f>IFERROR(INDEX('Ashed teabags dry'!$K$2:$K$825,MATCH(J800,'Ashed teabags dry'!$A$2:$A$825,0)),"")</f>
        <v>7.9318734793180647</v>
      </c>
      <c r="R800" s="278">
        <f t="shared" si="62"/>
        <v>1.3202569343065789</v>
      </c>
      <c r="S800" s="268">
        <f>'Dry_Litterbag Placem_Collection'!E141</f>
        <v>42939</v>
      </c>
      <c r="T800" s="268">
        <f>IF('Dry_Litterbag Placem_Collection'!G141="","",'Dry_Litterbag Placem_Collection'!G141)</f>
        <v>43008</v>
      </c>
      <c r="U800" s="269">
        <f t="shared" si="60"/>
        <v>69</v>
      </c>
      <c r="V800" s="267">
        <f t="shared" si="63"/>
        <v>0.46420000000000017</v>
      </c>
      <c r="W800" s="267">
        <f t="shared" si="64"/>
        <v>0.5346325058430641</v>
      </c>
      <c r="X800" s="271">
        <f>IFERROR(INDEX(Rainfall_Dry!$O$2:$O$217,MATCH(B800, Rainfall_Dry!$A$2:$A$217,0)),"")</f>
        <v>136.27214243</v>
      </c>
      <c r="Y800" s="260">
        <v>33.96</v>
      </c>
      <c r="Z800" s="260">
        <v>8.9200000000000017</v>
      </c>
      <c r="AA800" s="260">
        <v>57.12</v>
      </c>
      <c r="AB800" s="261" t="s">
        <v>2670</v>
      </c>
      <c r="AC800" s="260">
        <v>4.0720551996057202</v>
      </c>
      <c r="AD800">
        <f>IF('WetLitterbags placem_collection'!AB141="","",'WetLitterbags placem_collection'!AB141)</f>
        <v>5.7</v>
      </c>
      <c r="AE800">
        <f>IF('WetLitterbags placem_collection'!Z141="","",'WetLitterbags placem_collection'!Z141)</f>
        <v>19.399999999999999</v>
      </c>
      <c r="AF800" s="24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71">
        <f>IFERROR(AVERAGE('Dry_Litterbag Placem_Collection'!N141,'Dry_Litterbag Placem_Collection'!Q141),"")</f>
        <v>28.15</v>
      </c>
      <c r="AJ800" s="270">
        <f>INDEX(Coordinates!$B$2:$B$197,MATCH(G800,Coordinates!$J$2:$J$197,0))</f>
        <v>-2.3487209990000002</v>
      </c>
      <c r="AK800" s="270">
        <f>INDEX(Coordinates!$C$2:$C$197,MATCH(G800,Coordinates!$J$2:$J$197,0))</f>
        <v>34.050128039999997</v>
      </c>
      <c r="AL800" s="270" t="str">
        <f>IF(ISNUMBER(SEARCH("C", 'Dry_Litterbag Placem_Collection'!V141)),"YES","NO")</f>
        <v>NO</v>
      </c>
      <c r="AM800" s="270" t="str">
        <f>IF(ISNUMBER(SEARCH("H", 'Dry_Litterbag Placem_Collection'!V141)),"YES","NO")</f>
        <v>NO</v>
      </c>
      <c r="AN800" s="270" t="str">
        <f>IF(ISNUMBER(SEARCH("R", 'Dry_Litterbag Placem_Collection'!V141)),"YES","NO")</f>
        <v>NO</v>
      </c>
    </row>
    <row r="801" spans="1:40" ht="15" customHeight="1">
      <c r="A801" s="262" t="s">
        <v>2659</v>
      </c>
      <c r="B801" s="263">
        <f>'Dry_Litterbag Placem_Collection'!A142</f>
        <v>140</v>
      </c>
      <c r="C801" s="263" t="str">
        <f>'Dry_Litterbag Placem_Collection'!B142</f>
        <v xml:space="preserve">Mwantimba
</v>
      </c>
      <c r="D801" s="263" t="s">
        <v>2659</v>
      </c>
      <c r="E801" s="263" t="s">
        <v>20</v>
      </c>
      <c r="F801" s="263">
        <v>2</v>
      </c>
      <c r="G801" s="264" t="str">
        <f>'Dry_Litterbag Placem_Collection'!C142</f>
        <v>Wet_P2_T4</v>
      </c>
      <c r="H801" s="273" t="s">
        <v>3651</v>
      </c>
      <c r="I801" s="274" t="s">
        <v>298</v>
      </c>
      <c r="J801" s="263" t="str">
        <f>IF(ISBLANK('Dry_Litterbag Placem_Collection'!M142),"","R"&amp;""&amp;'Dry_Litterbag Placem_Collection'!M142)</f>
        <v>R710</v>
      </c>
      <c r="K801" s="267">
        <f>IFERROR(INDEX('Green_rooibos initial weight'!$C$5:$C$1749,MATCH(J801, 'Green_rooibos initial weight'!$A$5:$A$1749,0)),"")</f>
        <v>2.1070000000000002</v>
      </c>
      <c r="L801" s="267">
        <f>IFERROR(K801-(TBIcalc!$Q$9+TBIcalc!$Q$10),"")</f>
        <v>1.8572000000000002</v>
      </c>
      <c r="M801" s="391">
        <f>AVERAGE(Ashed_controlls!$K$12:$K$14)</f>
        <v>2.2816647271287041</v>
      </c>
      <c r="N801" s="267">
        <f t="shared" si="61"/>
        <v>1.814824922687766</v>
      </c>
      <c r="O801" s="267">
        <f>IF(IFERROR(INDEX('Both teabags AfterDry'!$D$3:$D$900,MATCH(J801,'Both teabags AfterDry'!$A$3:$A$900,0)),"")="","",(IFERROR(INDEX('Both teabags AfterDry'!$D$3:$D$900,MATCH(J801,'Both teabags AfterDry'!$A$3:$A$900,0)),"")))</f>
        <v>1.7403999999999999</v>
      </c>
      <c r="P801" s="267">
        <f>IFERROR(IF(O801&gt;0,O801-(TBIcalc!$Q$9),""),"")</f>
        <v>1.5897999999999999</v>
      </c>
      <c r="Q801" s="278">
        <f>IFERROR(INDEX('Ashed teabags dry'!$K$2:$K$825,MATCH(J801,'Ashed teabags dry'!$A$2:$A$825,0)),"")</f>
        <v>14.236453201970816</v>
      </c>
      <c r="R801" s="278">
        <f t="shared" si="62"/>
        <v>1.3634688669950679</v>
      </c>
      <c r="S801" s="268">
        <f>'Dry_Litterbag Placem_Collection'!E142</f>
        <v>42939</v>
      </c>
      <c r="T801" s="268">
        <f>IF('Dry_Litterbag Placem_Collection'!G142="","",'Dry_Litterbag Placem_Collection'!G142)</f>
        <v>43008</v>
      </c>
      <c r="U801" s="269">
        <f t="shared" si="60"/>
        <v>69</v>
      </c>
      <c r="V801" s="267">
        <f t="shared" si="63"/>
        <v>0.2674000000000003</v>
      </c>
      <c r="W801" s="267">
        <f t="shared" si="64"/>
        <v>0.4513560556926981</v>
      </c>
      <c r="X801" s="271">
        <f>IFERROR(INDEX(Rainfall_Dry!$O$2:$O$217,MATCH(B801, Rainfall_Dry!$A$2:$A$217,0)),"")</f>
        <v>136.27214243</v>
      </c>
      <c r="Y801" s="260">
        <v>33.96</v>
      </c>
      <c r="Z801" s="260">
        <v>8.9200000000000017</v>
      </c>
      <c r="AA801" s="260">
        <v>57.12</v>
      </c>
      <c r="AB801" s="261" t="s">
        <v>2670</v>
      </c>
      <c r="AC801" s="260">
        <v>5.0720551996057202</v>
      </c>
      <c r="AD801">
        <f>IF('WetLitterbags placem_collection'!AB142="","",'WetLitterbags placem_collection'!AB142)</f>
        <v>1.4</v>
      </c>
      <c r="AE801">
        <f>IF('WetLitterbags placem_collection'!Z142="","",'WetLitterbags placem_collection'!Z142)</f>
        <v>33.4</v>
      </c>
      <c r="AF801" s="24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71">
        <f>IFERROR(AVERAGE('Dry_Litterbag Placem_Collection'!N142,'Dry_Litterbag Placem_Collection'!Q142),"")</f>
        <v>28</v>
      </c>
      <c r="AJ801" s="270">
        <f>INDEX(Coordinates!$B$2:$B$197,MATCH(G801,Coordinates!$J$2:$J$197,0))</f>
        <v>-2.3486250270000002</v>
      </c>
      <c r="AK801" s="270">
        <f>INDEX(Coordinates!$C$2:$C$197,MATCH(G801,Coordinates!$J$2:$J$197,0))</f>
        <v>34.050070959999999</v>
      </c>
      <c r="AL801" s="270" t="str">
        <f>IF(ISNUMBER(SEARCH("C", 'Dry_Litterbag Placem_Collection'!V142)),"YES","NO")</f>
        <v>NO</v>
      </c>
      <c r="AM801" s="270" t="str">
        <f>IF(ISNUMBER(SEARCH("H", 'Dry_Litterbag Placem_Collection'!V142)),"YES","NO")</f>
        <v>NO</v>
      </c>
      <c r="AN801" s="270" t="str">
        <f>IF(ISNUMBER(SEARCH("R", 'Dry_Litterbag Placem_Collection'!V142)),"YES","NO")</f>
        <v>NO</v>
      </c>
    </row>
    <row r="802" spans="1:40" ht="15" customHeight="1">
      <c r="A802" s="262" t="s">
        <v>2659</v>
      </c>
      <c r="B802" s="263">
        <f>'Dry_Litterbag Placem_Collection'!A143</f>
        <v>141</v>
      </c>
      <c r="C802" s="263" t="str">
        <f>'Dry_Litterbag Placem_Collection'!B143</f>
        <v xml:space="preserve">Mwantimba
</v>
      </c>
      <c r="D802" s="263" t="s">
        <v>2659</v>
      </c>
      <c r="E802" s="263" t="s">
        <v>20</v>
      </c>
      <c r="F802" s="263">
        <v>2</v>
      </c>
      <c r="G802" s="264" t="str">
        <f>'Dry_Litterbag Placem_Collection'!C143</f>
        <v>Wet_P2_T5</v>
      </c>
      <c r="H802" s="273" t="s">
        <v>3651</v>
      </c>
      <c r="I802" s="274" t="s">
        <v>298</v>
      </c>
      <c r="J802" s="263" t="str">
        <f>IF(ISBLANK('Dry_Litterbag Placem_Collection'!M143),"","R"&amp;""&amp;'Dry_Litterbag Placem_Collection'!M143)</f>
        <v/>
      </c>
      <c r="K802" s="267" t="str">
        <f>IFERROR(INDEX('Green_rooibos initial weight'!$C$5:$C$1749,MATCH(J802, 'Green_rooibos initial weight'!$A$5:$A$1749,0)),"")</f>
        <v/>
      </c>
      <c r="L802" s="267" t="str">
        <f>IFERROR(K802-(TBIcalc!$Q$9+TBIcalc!$Q$10),"")</f>
        <v/>
      </c>
      <c r="M802" s="391">
        <f>AVERAGE(Ashed_controlls!$K$12:$K$14)</f>
        <v>2.2816647271287041</v>
      </c>
      <c r="N802" s="267" t="str">
        <f t="shared" si="61"/>
        <v/>
      </c>
      <c r="O802" s="267" t="str">
        <f>IF(IFERROR(INDEX('Both teabags AfterDry'!$D$3:$D$900,MATCH(J802,'Both teabags AfterDry'!$A$3:$A$900,0)),"")="","",(IFERROR(INDEX('Both teabags AfterDry'!$D$3:$D$900,MATCH(J802,'Both teabags AfterDry'!$A$3:$A$900,0)),"")))</f>
        <v/>
      </c>
      <c r="P802" s="267" t="str">
        <f>IFERROR(IF(O802&gt;0,O802-(TBIcalc!$Q$9),""),"")</f>
        <v/>
      </c>
      <c r="Q802" s="278" t="str">
        <f>IFERROR(INDEX('Ashed teabags dry'!$K$2:$K$825,MATCH(J802,'Ashed teabags dry'!$A$2:$A$825,0)),"")</f>
        <v/>
      </c>
      <c r="R802" s="278" t="str">
        <f t="shared" si="62"/>
        <v/>
      </c>
      <c r="S802" s="268">
        <f>'Dry_Litterbag Placem_Collection'!E143</f>
        <v>0</v>
      </c>
      <c r="T802" s="268" t="str">
        <f>IF('Dry_Litterbag Placem_Collection'!G143="","",'Dry_Litterbag Placem_Collection'!G143)</f>
        <v/>
      </c>
      <c r="U802" s="269" t="str">
        <f t="shared" si="60"/>
        <v/>
      </c>
      <c r="V802" s="267" t="str">
        <f t="shared" si="63"/>
        <v/>
      </c>
      <c r="W802" s="267" t="str">
        <f t="shared" si="64"/>
        <v/>
      </c>
      <c r="X802" s="271" t="str">
        <f>IFERROR(INDEX(Rainfall_Dry!$O$2:$O$217,MATCH(B802, Rainfall_Dry!$A$2:$A$217,0)),"")</f>
        <v/>
      </c>
      <c r="Y802" s="260">
        <v>33.96</v>
      </c>
      <c r="Z802" s="260">
        <v>8.9200000000000017</v>
      </c>
      <c r="AA802" s="260">
        <v>57.12</v>
      </c>
      <c r="AB802" s="261" t="s">
        <v>2670</v>
      </c>
      <c r="AC802" s="260">
        <v>6.0720551996057202</v>
      </c>
      <c r="AD802">
        <f>IF('WetLitterbags placem_collection'!AB143="","",'WetLitterbags placem_collection'!AB143)</f>
        <v>1.4</v>
      </c>
      <c r="AE802">
        <f>IF('WetLitterbags placem_collection'!Z143="","",'WetLitterbags placem_collection'!Z143)</f>
        <v>28.4</v>
      </c>
      <c r="AF802" s="24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71" t="str">
        <f>IFERROR(AVERAGE('Dry_Litterbag Placem_Collection'!N143,'Dry_Litterbag Placem_Collection'!Q143),"")</f>
        <v/>
      </c>
      <c r="AJ802" s="270">
        <f>INDEX(Coordinates!$B$2:$B$197,MATCH(G802,Coordinates!$J$2:$J$197,0))</f>
        <v>-2.3486060000000002</v>
      </c>
      <c r="AK802" s="270">
        <f>INDEX(Coordinates!$C$2:$C$197,MATCH(G802,Coordinates!$J$2:$J$197,0))</f>
        <v>34.050010020000002</v>
      </c>
      <c r="AL802" s="270" t="str">
        <f>IF(ISNUMBER(SEARCH("C", 'Dry_Litterbag Placem_Collection'!V143)),"YES","NO")</f>
        <v>NO</v>
      </c>
      <c r="AM802" s="270" t="str">
        <f>IF(ISNUMBER(SEARCH("H", 'Dry_Litterbag Placem_Collection'!V143)),"YES","NO")</f>
        <v>NO</v>
      </c>
      <c r="AN802" s="270" t="str">
        <f>IF(ISNUMBER(SEARCH("R", 'Dry_Litterbag Placem_Collection'!V143)),"YES","NO")</f>
        <v>NO</v>
      </c>
    </row>
    <row r="803" spans="1:40" ht="15" customHeight="1">
      <c r="A803" s="262" t="s">
        <v>2659</v>
      </c>
      <c r="B803" s="263">
        <f>'Dry_Litterbag Placem_Collection'!A144</f>
        <v>142</v>
      </c>
      <c r="C803" s="263" t="str">
        <f>'Dry_Litterbag Placem_Collection'!B144</f>
        <v xml:space="preserve">Mwantimba
</v>
      </c>
      <c r="D803" s="263" t="s">
        <v>2659</v>
      </c>
      <c r="E803" s="263" t="s">
        <v>20</v>
      </c>
      <c r="F803" s="263">
        <v>2</v>
      </c>
      <c r="G803" s="264" t="str">
        <f>'Dry_Litterbag Placem_Collection'!C144</f>
        <v>Wet_P2_T6</v>
      </c>
      <c r="H803" s="273" t="s">
        <v>3651</v>
      </c>
      <c r="I803" s="274" t="s">
        <v>298</v>
      </c>
      <c r="J803" s="263" t="str">
        <f>IF(ISBLANK('Dry_Litterbag Placem_Collection'!M144),"","R"&amp;""&amp;'Dry_Litterbag Placem_Collection'!M144)</f>
        <v>R626</v>
      </c>
      <c r="K803" s="267">
        <f>IFERROR(INDEX('Green_rooibos initial weight'!$C$5:$C$1749,MATCH(J803, 'Green_rooibos initial weight'!$A$5:$A$1749,0)),"")</f>
        <v>2.0699999999999998</v>
      </c>
      <c r="L803" s="267">
        <f>IFERROR(K803-(TBIcalc!$Q$9+TBIcalc!$Q$10),"")</f>
        <v>1.8201999999999998</v>
      </c>
      <c r="M803" s="391">
        <f>AVERAGE(Ashed_controlls!$K$12:$K$14)</f>
        <v>2.2816647271287041</v>
      </c>
      <c r="N803" s="267">
        <f t="shared" si="61"/>
        <v>1.7786691386368032</v>
      </c>
      <c r="O803" s="267" t="str">
        <f>IF(IFERROR(INDEX('Both teabags AfterDry'!$D$3:$D$900,MATCH(J803,'Both teabags AfterDry'!$A$3:$A$900,0)),"")="","",(IFERROR(INDEX('Both teabags AfterDry'!$D$3:$D$900,MATCH(J803,'Both teabags AfterDry'!$A$3:$A$900,0)),"")))</f>
        <v/>
      </c>
      <c r="P803" s="267" t="str">
        <f>IFERROR(IF(O803&gt;0,O803-(TBIcalc!$Q$9),""),"")</f>
        <v/>
      </c>
      <c r="Q803" s="278" t="str">
        <f>IFERROR(INDEX('Ashed teabags dry'!$K$2:$K$825,MATCH(J803,'Ashed teabags dry'!$A$2:$A$825,0)),"")</f>
        <v/>
      </c>
      <c r="R803" s="278" t="str">
        <f t="shared" si="62"/>
        <v/>
      </c>
      <c r="S803" s="268">
        <f>'Dry_Litterbag Placem_Collection'!E144</f>
        <v>42939</v>
      </c>
      <c r="T803" s="268">
        <f>IF('Dry_Litterbag Placem_Collection'!G144="","",'Dry_Litterbag Placem_Collection'!G144)</f>
        <v>43008</v>
      </c>
      <c r="U803" s="269">
        <f t="shared" si="60"/>
        <v>69</v>
      </c>
      <c r="V803" s="267" t="str">
        <f t="shared" si="63"/>
        <v/>
      </c>
      <c r="W803" s="267" t="str">
        <f t="shared" si="64"/>
        <v/>
      </c>
      <c r="X803" s="271">
        <f>IFERROR(INDEX(Rainfall_Dry!$O$2:$O$217,MATCH(B803, Rainfall_Dry!$A$2:$A$217,0)),"")</f>
        <v>136.27214243</v>
      </c>
      <c r="Y803" s="260">
        <v>33.96</v>
      </c>
      <c r="Z803" s="260">
        <v>8.9200000000000017</v>
      </c>
      <c r="AA803" s="260">
        <v>57.12</v>
      </c>
      <c r="AB803" s="261" t="s">
        <v>2670</v>
      </c>
      <c r="AC803" s="260">
        <v>7.0720551996057202</v>
      </c>
      <c r="AD803">
        <f>IF('WetLitterbags placem_collection'!AB144="","",'WetLitterbags placem_collection'!AB144)</f>
        <v>1.7</v>
      </c>
      <c r="AE803">
        <f>IF('WetLitterbags placem_collection'!Z144="","",'WetLitterbags placem_collection'!Z144)</f>
        <v>33.799999999999997</v>
      </c>
      <c r="AF803" s="24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71">
        <f>IFERROR(AVERAGE('Dry_Litterbag Placem_Collection'!N144,'Dry_Litterbag Placem_Collection'!Q144),"")</f>
        <v>28.4</v>
      </c>
      <c r="AJ803" s="270">
        <f>INDEX(Coordinates!$B$2:$B$197,MATCH(G803,Coordinates!$J$2:$J$197,0))</f>
        <v>-2.348618992</v>
      </c>
      <c r="AK803" s="270">
        <f>INDEX(Coordinates!$C$2:$C$197,MATCH(G803,Coordinates!$J$2:$J$197,0))</f>
        <v>34.049996030000003</v>
      </c>
      <c r="AL803" s="270" t="str">
        <f>IF(ISNUMBER(SEARCH("C", 'Dry_Litterbag Placem_Collection'!V144)),"YES","NO")</f>
        <v>NO</v>
      </c>
      <c r="AM803" s="270" t="str">
        <f>IF(ISNUMBER(SEARCH("H", 'Dry_Litterbag Placem_Collection'!V144)),"YES","NO")</f>
        <v>NO</v>
      </c>
      <c r="AN803" s="270" t="str">
        <f>IF(ISNUMBER(SEARCH("R", 'Dry_Litterbag Placem_Collection'!V144)),"YES","NO")</f>
        <v>NO</v>
      </c>
    </row>
    <row r="804" spans="1:40" ht="15" customHeight="1">
      <c r="A804" s="262" t="s">
        <v>2659</v>
      </c>
      <c r="B804" s="263">
        <f>'Dry_Litterbag Placem_Collection'!A145</f>
        <v>143</v>
      </c>
      <c r="C804" s="263" t="str">
        <f>'Dry_Litterbag Placem_Collection'!B145</f>
        <v xml:space="preserve">Mwantimba
</v>
      </c>
      <c r="D804" s="263" t="s">
        <v>2659</v>
      </c>
      <c r="E804" s="263" t="s">
        <v>20</v>
      </c>
      <c r="F804" s="263">
        <v>2</v>
      </c>
      <c r="G804" s="264" t="str">
        <f>'Dry_Litterbag Placem_Collection'!C145</f>
        <v>Wet_P2_T7</v>
      </c>
      <c r="H804" s="273" t="s">
        <v>3651</v>
      </c>
      <c r="I804" s="274" t="s">
        <v>298</v>
      </c>
      <c r="J804" s="263" t="str">
        <f>IF(ISBLANK('Dry_Litterbag Placem_Collection'!M145),"","R"&amp;""&amp;'Dry_Litterbag Placem_Collection'!M145)</f>
        <v>R195</v>
      </c>
      <c r="K804" s="267">
        <f>IFERROR(INDEX('Green_rooibos initial weight'!$C$5:$C$1749,MATCH(J804, 'Green_rooibos initial weight'!$A$5:$A$1749,0)),"")</f>
        <v>2.1640000000000001</v>
      </c>
      <c r="L804" s="267">
        <f>IFERROR(K804-(TBIcalc!$Q$9+TBIcalc!$Q$10),"")</f>
        <v>1.9142000000000001</v>
      </c>
      <c r="M804" s="391">
        <f>AVERAGE(Ashed_controlls!$K$12:$K$14)</f>
        <v>2.2816647271287041</v>
      </c>
      <c r="N804" s="267">
        <f t="shared" si="61"/>
        <v>1.8705243737933024</v>
      </c>
      <c r="O804" s="267">
        <f>IF(IFERROR(INDEX('Both teabags AfterDry'!$D$3:$D$900,MATCH(J804,'Both teabags AfterDry'!$A$3:$A$900,0)),"")="","",(IFERROR(INDEX('Both teabags AfterDry'!$D$3:$D$900,MATCH(J804,'Both teabags AfterDry'!$A$3:$A$900,0)),"")))</f>
        <v>1.6592</v>
      </c>
      <c r="P804" s="267">
        <f>IFERROR(IF(O804&gt;0,O804-(TBIcalc!$Q$9),""),"")</f>
        <v>1.5085999999999999</v>
      </c>
      <c r="Q804" s="278">
        <f>IFERROR(INDEX('Ashed teabags dry'!$K$2:$K$825,MATCH(J804,'Ashed teabags dry'!$A$2:$A$825,0)),"")</f>
        <v>10.110294117647566</v>
      </c>
      <c r="R804" s="278">
        <f t="shared" si="62"/>
        <v>1.3560761029411688</v>
      </c>
      <c r="S804" s="268">
        <f>'Dry_Litterbag Placem_Collection'!E145</f>
        <v>42939</v>
      </c>
      <c r="T804" s="268">
        <f>IF('Dry_Litterbag Placem_Collection'!G145="","",'Dry_Litterbag Placem_Collection'!G145)</f>
        <v>43008</v>
      </c>
      <c r="U804" s="269">
        <f t="shared" si="60"/>
        <v>69</v>
      </c>
      <c r="V804" s="267">
        <f t="shared" si="63"/>
        <v>0.40560000000000018</v>
      </c>
      <c r="W804" s="267">
        <f t="shared" si="64"/>
        <v>0.51444827085213363</v>
      </c>
      <c r="X804" s="271">
        <f>IFERROR(INDEX(Rainfall_Dry!$O$2:$O$217,MATCH(B804, Rainfall_Dry!$A$2:$A$217,0)),"")</f>
        <v>136.27214243</v>
      </c>
      <c r="Y804" s="260">
        <v>33.96</v>
      </c>
      <c r="Z804" s="260">
        <v>8.9200000000000017</v>
      </c>
      <c r="AA804" s="260">
        <v>57.12</v>
      </c>
      <c r="AB804" s="261" t="s">
        <v>2670</v>
      </c>
      <c r="AC804" s="260">
        <v>8.0720551996057193</v>
      </c>
      <c r="AD804">
        <f>IF('WetLitterbags placem_collection'!AB145="","",'WetLitterbags placem_collection'!AB145)</f>
        <v>2</v>
      </c>
      <c r="AE804">
        <f>IF('WetLitterbags placem_collection'!Z145="","",'WetLitterbags placem_collection'!Z145)</f>
        <v>23.4</v>
      </c>
      <c r="AF804" s="24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71">
        <f>IFERROR(AVERAGE('Dry_Litterbag Placem_Collection'!N145,'Dry_Litterbag Placem_Collection'!Q145),"")</f>
        <v>28</v>
      </c>
      <c r="AJ804" s="270">
        <f>INDEX(Coordinates!$B$2:$B$197,MATCH(G804,Coordinates!$J$2:$J$197,0))</f>
        <v>-2.3484970349999998</v>
      </c>
      <c r="AK804" s="270">
        <f>INDEX(Coordinates!$C$2:$C$197,MATCH(G804,Coordinates!$J$2:$J$197,0))</f>
        <v>34.049979010000001</v>
      </c>
      <c r="AL804" s="270" t="str">
        <f>IF(ISNUMBER(SEARCH("C", 'Dry_Litterbag Placem_Collection'!V145)),"YES","NO")</f>
        <v>NO</v>
      </c>
      <c r="AM804" s="270" t="str">
        <f>IF(ISNUMBER(SEARCH("H", 'Dry_Litterbag Placem_Collection'!V145)),"YES","NO")</f>
        <v>NO</v>
      </c>
      <c r="AN804" s="270" t="str">
        <f>IF(ISNUMBER(SEARCH("R", 'Dry_Litterbag Placem_Collection'!V145)),"YES","NO")</f>
        <v>NO</v>
      </c>
    </row>
    <row r="805" spans="1:40" ht="15" customHeight="1">
      <c r="A805" s="262" t="s">
        <v>2659</v>
      </c>
      <c r="B805" s="263">
        <f>'Dry_Litterbag Placem_Collection'!A146</f>
        <v>144</v>
      </c>
      <c r="C805" s="263" t="str">
        <f>'Dry_Litterbag Placem_Collection'!B146</f>
        <v xml:space="preserve">Mwantimba
</v>
      </c>
      <c r="D805" s="263" t="s">
        <v>2659</v>
      </c>
      <c r="E805" s="263" t="s">
        <v>20</v>
      </c>
      <c r="F805" s="263">
        <v>2</v>
      </c>
      <c r="G805" s="264" t="str">
        <f>'Dry_Litterbag Placem_Collection'!C146</f>
        <v>Wet_P2_T8</v>
      </c>
      <c r="H805" s="273" t="s">
        <v>3651</v>
      </c>
      <c r="I805" s="274" t="s">
        <v>298</v>
      </c>
      <c r="J805" s="263" t="str">
        <f>IF(ISBLANK('Dry_Litterbag Placem_Collection'!M146),"","R"&amp;""&amp;'Dry_Litterbag Placem_Collection'!M146)</f>
        <v>R295</v>
      </c>
      <c r="K805" s="267">
        <f>IFERROR(INDEX('Green_rooibos initial weight'!$C$5:$C$1749,MATCH(J805, 'Green_rooibos initial weight'!$A$5:$A$1749,0)),"")</f>
        <v>2.194</v>
      </c>
      <c r="L805" s="267">
        <f>IFERROR(K805-(TBIcalc!$Q$9+TBIcalc!$Q$10),"")</f>
        <v>1.9441999999999999</v>
      </c>
      <c r="M805" s="391">
        <f>AVERAGE(Ashed_controlls!$K$12:$K$14)</f>
        <v>2.2816647271287041</v>
      </c>
      <c r="N805" s="267">
        <f t="shared" si="61"/>
        <v>1.8998398743751637</v>
      </c>
      <c r="O805" s="267">
        <f>IF(IFERROR(INDEX('Both teabags AfterDry'!$D$3:$D$900,MATCH(J805,'Both teabags AfterDry'!$A$3:$A$900,0)),"")="","",(IFERROR(INDEX('Both teabags AfterDry'!$D$3:$D$900,MATCH(J805,'Both teabags AfterDry'!$A$3:$A$900,0)),"")))</f>
        <v>1.7096</v>
      </c>
      <c r="P805" s="267">
        <f>IFERROR(IF(O805&gt;0,O805-(TBIcalc!$Q$9),""),"")</f>
        <v>1.5589999999999999</v>
      </c>
      <c r="Q805" s="278">
        <f>IFERROR(INDEX('Ashed teabags dry'!$K$2:$K$825,MATCH(J805,'Ashed teabags dry'!$A$2:$A$825,0)),"")</f>
        <v>6.2071917808215078</v>
      </c>
      <c r="R805" s="278">
        <f t="shared" si="62"/>
        <v>1.4622298801369926</v>
      </c>
      <c r="S805" s="268">
        <f>'Dry_Litterbag Placem_Collection'!E146</f>
        <v>42939</v>
      </c>
      <c r="T805" s="268">
        <f>IF('Dry_Litterbag Placem_Collection'!G146="","",'Dry_Litterbag Placem_Collection'!G146)</f>
        <v>43008</v>
      </c>
      <c r="U805" s="269">
        <f t="shared" si="60"/>
        <v>69</v>
      </c>
      <c r="V805" s="267">
        <f t="shared" si="63"/>
        <v>0.38519999999999999</v>
      </c>
      <c r="W805" s="267">
        <f t="shared" si="64"/>
        <v>0.43760999423817104</v>
      </c>
      <c r="X805" s="271">
        <f>IFERROR(INDEX(Rainfall_Dry!$O$2:$O$217,MATCH(B805, Rainfall_Dry!$A$2:$A$217,0)),"")</f>
        <v>136.27214243</v>
      </c>
      <c r="Y805" s="260">
        <v>33.96</v>
      </c>
      <c r="Z805" s="260">
        <v>8.9200000000000017</v>
      </c>
      <c r="AA805" s="260">
        <v>57.12</v>
      </c>
      <c r="AB805" s="261" t="s">
        <v>2670</v>
      </c>
      <c r="AC805" s="260">
        <v>9.0720551996057193</v>
      </c>
      <c r="AD805">
        <f>IF('WetLitterbags placem_collection'!AB146="","",'WetLitterbags placem_collection'!AB146)</f>
        <v>2.5</v>
      </c>
      <c r="AE805">
        <f>IF('WetLitterbags placem_collection'!Z146="","",'WetLitterbags placem_collection'!Z146)</f>
        <v>19.8</v>
      </c>
      <c r="AF805" s="24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71">
        <f>IFERROR(AVERAGE('Dry_Litterbag Placem_Collection'!N146,'Dry_Litterbag Placem_Collection'!Q146),"")</f>
        <v>29.15</v>
      </c>
      <c r="AJ805" s="270">
        <f>INDEX(Coordinates!$B$2:$B$197,MATCH(G805,Coordinates!$J$2:$J$197,0))</f>
        <v>-2.3486560399999998</v>
      </c>
      <c r="AK805" s="270">
        <f>INDEX(Coordinates!$C$2:$C$197,MATCH(G805,Coordinates!$J$2:$J$197,0))</f>
        <v>34.049895020000001</v>
      </c>
      <c r="AL805" s="270" t="str">
        <f>IF(ISNUMBER(SEARCH("C", 'Dry_Litterbag Placem_Collection'!V146)),"YES","NO")</f>
        <v>NO</v>
      </c>
      <c r="AM805" s="270" t="str">
        <f>IF(ISNUMBER(SEARCH("H", 'Dry_Litterbag Placem_Collection'!V146)),"YES","NO")</f>
        <v>NO</v>
      </c>
      <c r="AN805" s="270" t="str">
        <f>IF(ISNUMBER(SEARCH("R", 'Dry_Litterbag Placem_Collection'!V146)),"YES","NO")</f>
        <v>NO</v>
      </c>
    </row>
    <row r="806" spans="1:40" ht="15" customHeight="1">
      <c r="A806" s="262" t="s">
        <v>2659</v>
      </c>
      <c r="B806" s="263">
        <f>'Dry_Litterbag Placem_Collection'!A147</f>
        <v>145</v>
      </c>
      <c r="C806" s="263" t="str">
        <f>'Dry_Litterbag Placem_Collection'!B147</f>
        <v xml:space="preserve">Mwantimba
</v>
      </c>
      <c r="D806" s="263" t="s">
        <v>2659</v>
      </c>
      <c r="E806" s="263" t="s">
        <v>20</v>
      </c>
      <c r="F806" s="263">
        <v>3</v>
      </c>
      <c r="G806" s="264" t="str">
        <f>'Dry_Litterbag Placem_Collection'!C147</f>
        <v>Wet_P3_T1</v>
      </c>
      <c r="H806" s="273" t="s">
        <v>3651</v>
      </c>
      <c r="I806" s="274" t="s">
        <v>298</v>
      </c>
      <c r="J806" s="263" t="str">
        <f>IF(ISBLANK('Dry_Litterbag Placem_Collection'!M147),"","R"&amp;""&amp;'Dry_Litterbag Placem_Collection'!M147)</f>
        <v>R609</v>
      </c>
      <c r="K806" s="267">
        <f>IFERROR(INDEX('Green_rooibos initial weight'!$C$5:$C$1749,MATCH(J806, 'Green_rooibos initial weight'!$A$5:$A$1749,0)),"")</f>
        <v>2.165</v>
      </c>
      <c r="L806" s="267">
        <f>IFERROR(K806-(TBIcalc!$Q$9+TBIcalc!$Q$10),"")</f>
        <v>1.9152</v>
      </c>
      <c r="M806" s="391">
        <f>AVERAGE(Ashed_controlls!$K$12:$K$14)</f>
        <v>2.2816647271287041</v>
      </c>
      <c r="N806" s="267">
        <f t="shared" si="61"/>
        <v>1.8715015571460312</v>
      </c>
      <c r="O806" s="267">
        <f>IF(IFERROR(INDEX('Both teabags AfterDry'!$D$3:$D$900,MATCH(J806,'Both teabags AfterDry'!$A$3:$A$900,0)),"")="","",(IFERROR(INDEX('Both teabags AfterDry'!$D$3:$D$900,MATCH(J806,'Both teabags AfterDry'!$A$3:$A$900,0)),"")))</f>
        <v>1.9753000000000001</v>
      </c>
      <c r="P806" s="267">
        <f>IFERROR(IF(O806&gt;0,O806-(TBIcalc!$Q$9),""),"")</f>
        <v>1.8247</v>
      </c>
      <c r="Q806" s="278">
        <f>IFERROR(INDEX('Ashed teabags dry'!$K$2:$K$825,MATCH(J806,'Ashed teabags dry'!$A$2:$A$825,0)),"")</f>
        <v>3.7512339585388541</v>
      </c>
      <c r="R806" s="278">
        <f t="shared" si="62"/>
        <v>1.7562512339585414</v>
      </c>
      <c r="S806" s="268">
        <f>'Dry_Litterbag Placem_Collection'!E147</f>
        <v>42939</v>
      </c>
      <c r="T806" s="268">
        <f>IF('Dry_Litterbag Placem_Collection'!G147="","",'Dry_Litterbag Placem_Collection'!G147)</f>
        <v>43010</v>
      </c>
      <c r="U806" s="269">
        <f t="shared" si="60"/>
        <v>71</v>
      </c>
      <c r="V806" s="267">
        <f t="shared" si="63"/>
        <v>9.0500000000000025E-2</v>
      </c>
      <c r="W806" s="267">
        <f t="shared" si="64"/>
        <v>0.11525032318748973</v>
      </c>
      <c r="X806" s="271">
        <f>IFERROR(INDEX(Rainfall_Dry!$O$2:$O$217,MATCH(B806, Rainfall_Dry!$A$2:$A$217,0)),"")</f>
        <v>137.19979645800001</v>
      </c>
      <c r="Y806" s="260">
        <v>39.96</v>
      </c>
      <c r="Z806" s="260">
        <v>12.920000000000002</v>
      </c>
      <c r="AA806" s="260">
        <v>47.12</v>
      </c>
      <c r="AB806" s="261" t="s">
        <v>2674</v>
      </c>
      <c r="AC806" s="260">
        <v>1.6549531789058647</v>
      </c>
      <c r="AD806">
        <f>IF('WetLitterbags placem_collection'!AB147="","",'WetLitterbags placem_collection'!AB147)</f>
        <v>3.95</v>
      </c>
      <c r="AE806">
        <f>IF('WetLitterbags placem_collection'!Z147="","",'WetLitterbags placem_collection'!Z147)</f>
        <v>13</v>
      </c>
      <c r="AF806" s="24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71">
        <f>IFERROR(AVERAGE('Dry_Litterbag Placem_Collection'!N147,'Dry_Litterbag Placem_Collection'!Q147),"")</f>
        <v>30</v>
      </c>
      <c r="AJ806" s="270">
        <f>INDEX(Coordinates!$B$2:$B$197,MATCH(G806,Coordinates!$J$2:$J$197,0))</f>
        <v>-2.3675269729999999</v>
      </c>
      <c r="AK806" s="270">
        <f>INDEX(Coordinates!$C$2:$C$197,MATCH(G806,Coordinates!$J$2:$J$197,0))</f>
        <v>34.06035799</v>
      </c>
      <c r="AL806" s="270" t="str">
        <f>IF(ISNUMBER(SEARCH("C", 'Dry_Litterbag Placem_Collection'!V147)),"YES","NO")</f>
        <v>NO</v>
      </c>
      <c r="AM806" s="270" t="str">
        <f>IF(ISNUMBER(SEARCH("H", 'Dry_Litterbag Placem_Collection'!V147)),"YES","NO")</f>
        <v>NO</v>
      </c>
      <c r="AN806" s="270" t="str">
        <f>IF(ISNUMBER(SEARCH("R", 'Dry_Litterbag Placem_Collection'!V147)),"YES","NO")</f>
        <v>NO</v>
      </c>
    </row>
    <row r="807" spans="1:40" ht="15" customHeight="1">
      <c r="A807" s="262" t="s">
        <v>2659</v>
      </c>
      <c r="B807" s="263">
        <f>'Dry_Litterbag Placem_Collection'!A148</f>
        <v>146</v>
      </c>
      <c r="C807" s="263" t="str">
        <f>'Dry_Litterbag Placem_Collection'!B148</f>
        <v xml:space="preserve">Mwantimba
</v>
      </c>
      <c r="D807" s="263" t="s">
        <v>2659</v>
      </c>
      <c r="E807" s="263" t="s">
        <v>20</v>
      </c>
      <c r="F807" s="263">
        <v>3</v>
      </c>
      <c r="G807" s="264" t="str">
        <f>'Dry_Litterbag Placem_Collection'!C148</f>
        <v>Wet_P3_T2</v>
      </c>
      <c r="H807" s="273" t="s">
        <v>3651</v>
      </c>
      <c r="I807" s="274" t="s">
        <v>298</v>
      </c>
      <c r="J807" s="263" t="str">
        <f>IF(ISBLANK('Dry_Litterbag Placem_Collection'!M148),"","R"&amp;""&amp;'Dry_Litterbag Placem_Collection'!M148)</f>
        <v>R292</v>
      </c>
      <c r="K807" s="267">
        <f>IFERROR(INDEX('Green_rooibos initial weight'!$C$5:$C$1749,MATCH(J807, 'Green_rooibos initial weight'!$A$5:$A$1749,0)),"")</f>
        <v>2.2370000000000001</v>
      </c>
      <c r="L807" s="267">
        <f>IFERROR(K807-(TBIcalc!$Q$9+TBIcalc!$Q$10),"")</f>
        <v>1.9872000000000001</v>
      </c>
      <c r="M807" s="391">
        <f>AVERAGE(Ashed_controlls!$K$12:$K$14)</f>
        <v>2.2816647271287041</v>
      </c>
      <c r="N807" s="267">
        <f t="shared" si="61"/>
        <v>1.9418587585424985</v>
      </c>
      <c r="O807" s="267">
        <f>IF(IFERROR(INDEX('Both teabags AfterDry'!$D$3:$D$900,MATCH(J807,'Both teabags AfterDry'!$A$3:$A$900,0)),"")="","",(IFERROR(INDEX('Both teabags AfterDry'!$D$3:$D$900,MATCH(J807,'Both teabags AfterDry'!$A$3:$A$900,0)),"")))</f>
        <v>2.0505</v>
      </c>
      <c r="P807" s="267">
        <f>IFERROR(IF(O807&gt;0,O807-(TBIcalc!$Q$9),""),"")</f>
        <v>1.8998999999999999</v>
      </c>
      <c r="Q807" s="278">
        <f>IFERROR(INDEX('Ashed teabags dry'!$K$2:$K$825,MATCH(J807,'Ashed teabags dry'!$A$2:$A$825,0)),"")</f>
        <v>2.5435704192176245</v>
      </c>
      <c r="R807" s="278">
        <f t="shared" si="62"/>
        <v>1.8515747056052843</v>
      </c>
      <c r="S807" s="268">
        <f>'Dry_Litterbag Placem_Collection'!E148</f>
        <v>42939</v>
      </c>
      <c r="T807" s="268">
        <f>IF('Dry_Litterbag Placem_Collection'!G148="","",'Dry_Litterbag Placem_Collection'!G148)</f>
        <v>43010</v>
      </c>
      <c r="U807" s="269">
        <f t="shared" si="60"/>
        <v>71</v>
      </c>
      <c r="V807" s="267">
        <f t="shared" si="63"/>
        <v>8.7300000000000155E-2</v>
      </c>
      <c r="W807" s="267">
        <f t="shared" si="64"/>
        <v>9.0284052937214199E-2</v>
      </c>
      <c r="X807" s="271">
        <f>IFERROR(INDEX(Rainfall_Dry!$O$2:$O$217,MATCH(B807, Rainfall_Dry!$A$2:$A$217,0)),"")</f>
        <v>137.19979645800001</v>
      </c>
      <c r="Y807" s="260">
        <v>39.96</v>
      </c>
      <c r="Z807" s="260">
        <v>12.920000000000002</v>
      </c>
      <c r="AA807" s="260">
        <v>47.12</v>
      </c>
      <c r="AB807" s="261" t="s">
        <v>2674</v>
      </c>
      <c r="AC807" s="260">
        <v>2.6549531789058598</v>
      </c>
      <c r="AD807">
        <f>IF('WetLitterbags placem_collection'!AB148="","",'WetLitterbags placem_collection'!AB148)</f>
        <v>2.75</v>
      </c>
      <c r="AE807">
        <f>IF('WetLitterbags placem_collection'!Z148="","",'WetLitterbags placem_collection'!Z148)</f>
        <v>17.7</v>
      </c>
      <c r="AF807" s="24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71">
        <f>IFERROR(AVERAGE('Dry_Litterbag Placem_Collection'!N148,'Dry_Litterbag Placem_Collection'!Q148),"")</f>
        <v>31</v>
      </c>
      <c r="AJ807" s="270">
        <f>INDEX(Coordinates!$B$2:$B$197,MATCH(G807,Coordinates!$J$2:$J$197,0))</f>
        <v>-2.3675380370000001</v>
      </c>
      <c r="AK807" s="270">
        <f>INDEX(Coordinates!$C$2:$C$197,MATCH(G807,Coordinates!$J$2:$J$197,0))</f>
        <v>34.060381960000001</v>
      </c>
      <c r="AL807" s="270" t="str">
        <f>IF(ISNUMBER(SEARCH("C", 'Dry_Litterbag Placem_Collection'!V148)),"YES","NO")</f>
        <v>NO</v>
      </c>
      <c r="AM807" s="270" t="str">
        <f>IF(ISNUMBER(SEARCH("H", 'Dry_Litterbag Placem_Collection'!V148)),"YES","NO")</f>
        <v>NO</v>
      </c>
      <c r="AN807" s="270" t="str">
        <f>IF(ISNUMBER(SEARCH("R", 'Dry_Litterbag Placem_Collection'!V148)),"YES","NO")</f>
        <v>NO</v>
      </c>
    </row>
    <row r="808" spans="1:40" ht="15" customHeight="1">
      <c r="A808" s="262" t="s">
        <v>2659</v>
      </c>
      <c r="B808" s="263">
        <f>'Dry_Litterbag Placem_Collection'!A149</f>
        <v>147</v>
      </c>
      <c r="C808" s="263" t="str">
        <f>'Dry_Litterbag Placem_Collection'!B149</f>
        <v xml:space="preserve">Mwantimba
</v>
      </c>
      <c r="D808" s="263" t="s">
        <v>2659</v>
      </c>
      <c r="E808" s="263" t="s">
        <v>20</v>
      </c>
      <c r="F808" s="263">
        <v>3</v>
      </c>
      <c r="G808" s="264" t="str">
        <f>'Dry_Litterbag Placem_Collection'!C149</f>
        <v>Wet_P3_T3</v>
      </c>
      <c r="H808" s="273" t="s">
        <v>3651</v>
      </c>
      <c r="I808" s="274" t="s">
        <v>298</v>
      </c>
      <c r="J808" s="263" t="str">
        <f>IF(ISBLANK('Dry_Litterbag Placem_Collection'!M149),"","R"&amp;""&amp;'Dry_Litterbag Placem_Collection'!M149)</f>
        <v>R243</v>
      </c>
      <c r="K808" s="267">
        <f>IFERROR(INDEX('Green_rooibos initial weight'!$C$5:$C$1749,MATCH(J808, 'Green_rooibos initial weight'!$A$5:$A$1749,0)),"")</f>
        <v>2.1680000000000001</v>
      </c>
      <c r="L808" s="267">
        <f>IFERROR(K808-(TBIcalc!$Q$9+TBIcalc!$Q$10),"")</f>
        <v>1.9182000000000001</v>
      </c>
      <c r="M808" s="391">
        <f>AVERAGE(Ashed_controlls!$K$12:$K$14)</f>
        <v>2.2816647271287041</v>
      </c>
      <c r="N808" s="267">
        <f t="shared" si="61"/>
        <v>1.8744331072042173</v>
      </c>
      <c r="O808" s="267">
        <f>IF(IFERROR(INDEX('Both teabags AfterDry'!$D$3:$D$900,MATCH(J808,'Both teabags AfterDry'!$A$3:$A$900,0)),"")="","",(IFERROR(INDEX('Both teabags AfterDry'!$D$3:$D$900,MATCH(J808,'Both teabags AfterDry'!$A$3:$A$900,0)),"")))</f>
        <v>1.9182999999999999</v>
      </c>
      <c r="P808" s="267">
        <f>IFERROR(IF(O808&gt;0,O808-(TBIcalc!$Q$9),""),"")</f>
        <v>1.7676999999999998</v>
      </c>
      <c r="Q808" s="278">
        <f>IFERROR(INDEX('Ashed teabags dry'!$K$2:$K$825,MATCH(J808,'Ashed teabags dry'!$A$2:$A$825,0)),"")</f>
        <v>3.2670454545454892</v>
      </c>
      <c r="R808" s="278">
        <f t="shared" si="62"/>
        <v>1.7099484374999991</v>
      </c>
      <c r="S808" s="268">
        <f>'Dry_Litterbag Placem_Collection'!E149</f>
        <v>42939</v>
      </c>
      <c r="T808" s="268">
        <f>IF('Dry_Litterbag Placem_Collection'!G149="","",'Dry_Litterbag Placem_Collection'!G149)</f>
        <v>43010</v>
      </c>
      <c r="U808" s="269">
        <f t="shared" si="60"/>
        <v>71</v>
      </c>
      <c r="V808" s="267">
        <f t="shared" si="63"/>
        <v>0.1505000000000003</v>
      </c>
      <c r="W808" s="267">
        <f t="shared" si="64"/>
        <v>0.16448466970421816</v>
      </c>
      <c r="X808" s="271">
        <f>IFERROR(INDEX(Rainfall_Dry!$O$2:$O$217,MATCH(B808, Rainfall_Dry!$A$2:$A$217,0)),"")</f>
        <v>137.19979645800001</v>
      </c>
      <c r="Y808" s="260">
        <v>39.96</v>
      </c>
      <c r="Z808" s="260">
        <v>12.920000000000002</v>
      </c>
      <c r="AA808" s="260">
        <v>47.12</v>
      </c>
      <c r="AB808" s="261" t="s">
        <v>2674</v>
      </c>
      <c r="AC808" s="260">
        <v>3.6549531789058598</v>
      </c>
      <c r="AD808">
        <f>IF('WetLitterbags placem_collection'!AB149="","",'WetLitterbags placem_collection'!AB149)</f>
        <v>3.6</v>
      </c>
      <c r="AE808">
        <f>IF('WetLitterbags placem_collection'!Z149="","",'WetLitterbags placem_collection'!Z149)</f>
        <v>19</v>
      </c>
      <c r="AF808" s="24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71">
        <f>IFERROR(AVERAGE('Dry_Litterbag Placem_Collection'!N149,'Dry_Litterbag Placem_Collection'!Q149),"")</f>
        <v>29.900000000000002</v>
      </c>
      <c r="AJ808" s="270">
        <f>INDEX(Coordinates!$B$2:$B$197,MATCH(G808,Coordinates!$J$2:$J$197,0))</f>
        <v>-2.3675780180000001</v>
      </c>
      <c r="AK808" s="270">
        <f>INDEX(Coordinates!$C$2:$C$197,MATCH(G808,Coordinates!$J$2:$J$197,0))</f>
        <v>34.060323029999999</v>
      </c>
      <c r="AL808" s="270" t="str">
        <f>IF(ISNUMBER(SEARCH("C", 'Dry_Litterbag Placem_Collection'!V149)),"YES","NO")</f>
        <v>NO</v>
      </c>
      <c r="AM808" s="270" t="str">
        <f>IF(ISNUMBER(SEARCH("H", 'Dry_Litterbag Placem_Collection'!V149)),"YES","NO")</f>
        <v>NO</v>
      </c>
      <c r="AN808" s="270" t="str">
        <f>IF(ISNUMBER(SEARCH("R", 'Dry_Litterbag Placem_Collection'!V149)),"YES","NO")</f>
        <v>NO</v>
      </c>
    </row>
    <row r="809" spans="1:40" ht="15" customHeight="1">
      <c r="A809" s="262" t="s">
        <v>2659</v>
      </c>
      <c r="B809" s="263">
        <f>'Dry_Litterbag Placem_Collection'!A150</f>
        <v>148</v>
      </c>
      <c r="C809" s="263" t="str">
        <f>'Dry_Litterbag Placem_Collection'!B150</f>
        <v xml:space="preserve">Mwantimba
</v>
      </c>
      <c r="D809" s="263" t="s">
        <v>2659</v>
      </c>
      <c r="E809" s="263" t="s">
        <v>20</v>
      </c>
      <c r="F809" s="263">
        <v>3</v>
      </c>
      <c r="G809" s="264" t="str">
        <f>'Dry_Litterbag Placem_Collection'!C150</f>
        <v>Wet_P3_T4</v>
      </c>
      <c r="H809" s="273" t="s">
        <v>3651</v>
      </c>
      <c r="I809" s="274" t="s">
        <v>298</v>
      </c>
      <c r="J809" s="263" t="str">
        <f>IF(ISBLANK('Dry_Litterbag Placem_Collection'!M150),"","R"&amp;""&amp;'Dry_Litterbag Placem_Collection'!M150)</f>
        <v>R422</v>
      </c>
      <c r="K809" s="267">
        <f>IFERROR(INDEX('Green_rooibos initial weight'!$C$5:$C$1749,MATCH(J809, 'Green_rooibos initial weight'!$A$5:$A$1749,0)),"")</f>
        <v>2.1760000000000002</v>
      </c>
      <c r="L809" s="267">
        <f>IFERROR(K809-(TBIcalc!$Q$9+TBIcalc!$Q$10),"")</f>
        <v>1.9262000000000001</v>
      </c>
      <c r="M809" s="391">
        <f>AVERAGE(Ashed_controlls!$K$12:$K$14)</f>
        <v>2.2816647271287041</v>
      </c>
      <c r="N809" s="267">
        <f t="shared" si="61"/>
        <v>1.8822505740260471</v>
      </c>
      <c r="O809" s="267">
        <f>IF(IFERROR(INDEX('Both teabags AfterDry'!$D$3:$D$900,MATCH(J809,'Both teabags AfterDry'!$A$3:$A$900,0)),"")="","",(IFERROR(INDEX('Both teabags AfterDry'!$D$3:$D$900,MATCH(J809,'Both teabags AfterDry'!$A$3:$A$900,0)),"")))</f>
        <v>1.9601999999999999</v>
      </c>
      <c r="P809" s="267">
        <f>IFERROR(IF(O809&gt;0,O809-(TBIcalc!$Q$9),""),"")</f>
        <v>1.8095999999999999</v>
      </c>
      <c r="Q809" s="278">
        <f>IFERROR(INDEX('Ashed teabags dry'!$K$2:$K$825,MATCH(J809,'Ashed teabags dry'!$A$2:$A$825,0)),"")</f>
        <v>4.0076335877862421</v>
      </c>
      <c r="R809" s="278">
        <f t="shared" si="62"/>
        <v>1.73707786259542</v>
      </c>
      <c r="S809" s="268">
        <f>'Dry_Litterbag Placem_Collection'!E150</f>
        <v>42939</v>
      </c>
      <c r="T809" s="268">
        <f>IF('Dry_Litterbag Placem_Collection'!G150="","",'Dry_Litterbag Placem_Collection'!G150)</f>
        <v>43010</v>
      </c>
      <c r="U809" s="269">
        <f t="shared" si="60"/>
        <v>71</v>
      </c>
      <c r="V809" s="267">
        <f t="shared" si="63"/>
        <v>0.11660000000000026</v>
      </c>
      <c r="W809" s="267">
        <f t="shared" si="64"/>
        <v>0.14517271143062715</v>
      </c>
      <c r="X809" s="271">
        <f>IFERROR(INDEX(Rainfall_Dry!$O$2:$O$217,MATCH(B809, Rainfall_Dry!$A$2:$A$217,0)),"")</f>
        <v>137.19979645800001</v>
      </c>
      <c r="Y809" s="260">
        <v>39.96</v>
      </c>
      <c r="Z809" s="260">
        <v>12.920000000000002</v>
      </c>
      <c r="AA809" s="260">
        <v>47.12</v>
      </c>
      <c r="AB809" s="261" t="s">
        <v>2674</v>
      </c>
      <c r="AC809" s="260">
        <v>4.6549531789058696</v>
      </c>
      <c r="AD809">
        <f>IF('WetLitterbags placem_collection'!AB150="","",'WetLitterbags placem_collection'!AB150)</f>
        <v>4.9000000000000004</v>
      </c>
      <c r="AE809">
        <f>IF('WetLitterbags placem_collection'!Z150="","",'WetLitterbags placem_collection'!Z150)</f>
        <v>17.489999999999998</v>
      </c>
      <c r="AF809" s="24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71">
        <f>IFERROR(AVERAGE('Dry_Litterbag Placem_Collection'!N150,'Dry_Litterbag Placem_Collection'!Q150),"")</f>
        <v>31.6</v>
      </c>
      <c r="AJ809" s="270">
        <f>INDEX(Coordinates!$B$2:$B$197,MATCH(G809,Coordinates!$J$2:$J$197,0))</f>
        <v>-2.3676269689999998</v>
      </c>
      <c r="AK809" s="270">
        <f>INDEX(Coordinates!$C$2:$C$197,MATCH(G809,Coordinates!$J$2:$J$197,0))</f>
        <v>34.060310960000002</v>
      </c>
      <c r="AL809" s="270" t="str">
        <f>IF(ISNUMBER(SEARCH("C", 'Dry_Litterbag Placem_Collection'!V150)),"YES","NO")</f>
        <v>NO</v>
      </c>
      <c r="AM809" s="270" t="str">
        <f>IF(ISNUMBER(SEARCH("H", 'Dry_Litterbag Placem_Collection'!V150)),"YES","NO")</f>
        <v>NO</v>
      </c>
      <c r="AN809" s="270" t="str">
        <f>IF(ISNUMBER(SEARCH("R", 'Dry_Litterbag Placem_Collection'!V150)),"YES","NO")</f>
        <v>NO</v>
      </c>
    </row>
    <row r="810" spans="1:40" ht="15" customHeight="1">
      <c r="A810" s="262" t="s">
        <v>2659</v>
      </c>
      <c r="B810" s="263">
        <f>'Dry_Litterbag Placem_Collection'!A151</f>
        <v>149</v>
      </c>
      <c r="C810" s="263" t="str">
        <f>'Dry_Litterbag Placem_Collection'!B151</f>
        <v xml:space="preserve">Mwantimba
</v>
      </c>
      <c r="D810" s="263" t="s">
        <v>2659</v>
      </c>
      <c r="E810" s="263" t="s">
        <v>20</v>
      </c>
      <c r="F810" s="263">
        <v>3</v>
      </c>
      <c r="G810" s="264" t="str">
        <f>'Dry_Litterbag Placem_Collection'!C151</f>
        <v>Wet_P3_T5</v>
      </c>
      <c r="H810" s="273" t="s">
        <v>3651</v>
      </c>
      <c r="I810" s="274" t="s">
        <v>298</v>
      </c>
      <c r="J810" s="263" t="str">
        <f>IF(ISBLANK('Dry_Litterbag Placem_Collection'!M151),"","R"&amp;""&amp;'Dry_Litterbag Placem_Collection'!M151)</f>
        <v>R664</v>
      </c>
      <c r="K810" s="267">
        <f>IFERROR(INDEX('Green_rooibos initial weight'!$C$5:$C$1749,MATCH(J810, 'Green_rooibos initial weight'!$A$5:$A$1749,0)),"")</f>
        <v>2.09</v>
      </c>
      <c r="L810" s="267">
        <f>IFERROR(K810-(TBIcalc!$Q$9+TBIcalc!$Q$10),"")</f>
        <v>1.8401999999999998</v>
      </c>
      <c r="M810" s="391">
        <f>AVERAGE(Ashed_controlls!$K$12:$K$14)</f>
        <v>2.2816647271287041</v>
      </c>
      <c r="N810" s="267">
        <f t="shared" si="61"/>
        <v>1.7982128056913775</v>
      </c>
      <c r="O810" s="267">
        <f>IF(IFERROR(INDEX('Both teabags AfterDry'!$D$3:$D$900,MATCH(J810,'Both teabags AfterDry'!$A$3:$A$900,0)),"")="","",(IFERROR(INDEX('Both teabags AfterDry'!$D$3:$D$900,MATCH(J810,'Both teabags AfterDry'!$A$3:$A$900,0)),"")))</f>
        <v>1.8895999999999999</v>
      </c>
      <c r="P810" s="267">
        <f>IFERROR(IF(O810&gt;0,O810-(TBIcalc!$Q$9),""),"")</f>
        <v>1.7389999999999999</v>
      </c>
      <c r="Q810" s="278">
        <f>IFERROR(INDEX('Ashed teabags dry'!$K$2:$K$825,MATCH(J810,'Ashed teabags dry'!$A$2:$A$825,0)),"")</f>
        <v>3.7617554858933753</v>
      </c>
      <c r="R810" s="278">
        <f t="shared" si="62"/>
        <v>1.673583072100314</v>
      </c>
      <c r="S810" s="268">
        <f>'Dry_Litterbag Placem_Collection'!E151</f>
        <v>42939</v>
      </c>
      <c r="T810" s="268">
        <f>IF('Dry_Litterbag Placem_Collection'!G151="","",'Dry_Litterbag Placem_Collection'!G151)</f>
        <v>43010</v>
      </c>
      <c r="U810" s="269">
        <f t="shared" si="60"/>
        <v>71</v>
      </c>
      <c r="V810" s="267">
        <f t="shared" si="63"/>
        <v>0.10119999999999996</v>
      </c>
      <c r="W810" s="267">
        <f t="shared" si="64"/>
        <v>0.12462973359106355</v>
      </c>
      <c r="X810" s="271">
        <f>IFERROR(INDEX(Rainfall_Dry!$O$2:$O$217,MATCH(B810, Rainfall_Dry!$A$2:$A$217,0)),"")</f>
        <v>137.19979645800001</v>
      </c>
      <c r="Y810" s="260">
        <v>39.96</v>
      </c>
      <c r="Z810" s="260">
        <v>12.920000000000002</v>
      </c>
      <c r="AA810" s="260">
        <v>47.12</v>
      </c>
      <c r="AB810" s="261" t="s">
        <v>2674</v>
      </c>
      <c r="AC810" s="260">
        <v>5.6549531789058696</v>
      </c>
      <c r="AD810">
        <f>IF('WetLitterbags placem_collection'!AB151="","",'WetLitterbags placem_collection'!AB151)</f>
        <v>2.8</v>
      </c>
      <c r="AE810">
        <f>IF('WetLitterbags placem_collection'!Z151="","",'WetLitterbags placem_collection'!Z151)</f>
        <v>13</v>
      </c>
      <c r="AF810" s="24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71">
        <f>IFERROR(AVERAGE('Dry_Litterbag Placem_Collection'!N151,'Dry_Litterbag Placem_Collection'!Q151),"")</f>
        <v>31</v>
      </c>
      <c r="AJ810" s="270">
        <f>INDEX(Coordinates!$B$2:$B$197,MATCH(G810,Coordinates!$J$2:$J$197,0))</f>
        <v>-2.3677179960000001</v>
      </c>
      <c r="AK810" s="270">
        <f>INDEX(Coordinates!$C$2:$C$197,MATCH(G810,Coordinates!$J$2:$J$197,0))</f>
        <v>34.060324960000003</v>
      </c>
      <c r="AL810" s="270" t="str">
        <f>IF(ISNUMBER(SEARCH("C", 'Dry_Litterbag Placem_Collection'!V151)),"YES","NO")</f>
        <v>NO</v>
      </c>
      <c r="AM810" s="270" t="str">
        <f>IF(ISNUMBER(SEARCH("H", 'Dry_Litterbag Placem_Collection'!V151)),"YES","NO")</f>
        <v>NO</v>
      </c>
      <c r="AN810" s="270" t="str">
        <f>IF(ISNUMBER(SEARCH("R", 'Dry_Litterbag Placem_Collection'!V151)),"YES","NO")</f>
        <v>NO</v>
      </c>
    </row>
    <row r="811" spans="1:40" ht="15" customHeight="1">
      <c r="A811" s="262" t="s">
        <v>2659</v>
      </c>
      <c r="B811" s="263">
        <f>'Dry_Litterbag Placem_Collection'!A152</f>
        <v>150</v>
      </c>
      <c r="C811" s="263" t="str">
        <f>'Dry_Litterbag Placem_Collection'!B152</f>
        <v xml:space="preserve">Mwantimba
</v>
      </c>
      <c r="D811" s="263" t="s">
        <v>2659</v>
      </c>
      <c r="E811" s="263" t="s">
        <v>20</v>
      </c>
      <c r="F811" s="263">
        <v>3</v>
      </c>
      <c r="G811" s="264" t="str">
        <f>'Dry_Litterbag Placem_Collection'!C152</f>
        <v>Wet_P3_T6</v>
      </c>
      <c r="H811" s="273" t="s">
        <v>3651</v>
      </c>
      <c r="I811" s="274" t="s">
        <v>298</v>
      </c>
      <c r="J811" s="263" t="str">
        <f>IF(ISBLANK('Dry_Litterbag Placem_Collection'!M152),"","R"&amp;""&amp;'Dry_Litterbag Placem_Collection'!M152)</f>
        <v>R316</v>
      </c>
      <c r="K811" s="267">
        <f>IFERROR(INDEX('Green_rooibos initial weight'!$C$5:$C$1749,MATCH(J811, 'Green_rooibos initial weight'!$A$5:$A$1749,0)),"")</f>
        <v>2.1779999999999999</v>
      </c>
      <c r="L811" s="267">
        <f>IFERROR(K811-(TBIcalc!$Q$9+TBIcalc!$Q$10),"")</f>
        <v>1.9281999999999999</v>
      </c>
      <c r="M811" s="391">
        <f>AVERAGE(Ashed_controlls!$K$12:$K$14)</f>
        <v>2.2816647271287041</v>
      </c>
      <c r="N811" s="267">
        <f t="shared" si="61"/>
        <v>1.8842049407315042</v>
      </c>
      <c r="O811" s="267" t="str">
        <f>IF(IFERROR(INDEX('Both teabags AfterDry'!$D$3:$D$900,MATCH(J811,'Both teabags AfterDry'!$A$3:$A$900,0)),"")="","",(IFERROR(INDEX('Both teabags AfterDry'!$D$3:$D$900,MATCH(J811,'Both teabags AfterDry'!$A$3:$A$900,0)),"")))</f>
        <v/>
      </c>
      <c r="P811" s="267" t="str">
        <f>IFERROR(IF(O811&gt;0,O811-(TBIcalc!$Q$9),""),"")</f>
        <v/>
      </c>
      <c r="Q811" s="278" t="str">
        <f>IFERROR(INDEX('Ashed teabags dry'!$K$2:$K$825,MATCH(J811,'Ashed teabags dry'!$A$2:$A$825,0)),"")</f>
        <v/>
      </c>
      <c r="R811" s="278" t="str">
        <f t="shared" si="62"/>
        <v/>
      </c>
      <c r="S811" s="268">
        <f>'Dry_Litterbag Placem_Collection'!E152</f>
        <v>42939</v>
      </c>
      <c r="T811" s="268">
        <f>IF('Dry_Litterbag Placem_Collection'!G152="","",'Dry_Litterbag Placem_Collection'!G152)</f>
        <v>43010</v>
      </c>
      <c r="U811" s="269">
        <f t="shared" si="60"/>
        <v>71</v>
      </c>
      <c r="V811" s="267" t="str">
        <f t="shared" si="63"/>
        <v/>
      </c>
      <c r="W811" s="267" t="str">
        <f t="shared" si="64"/>
        <v/>
      </c>
      <c r="X811" s="271">
        <f>IFERROR(INDEX(Rainfall_Dry!$O$2:$O$217,MATCH(B811, Rainfall_Dry!$A$2:$A$217,0)),"")</f>
        <v>137.19979645800001</v>
      </c>
      <c r="Y811" s="260">
        <v>39.96</v>
      </c>
      <c r="Z811" s="260">
        <v>12.920000000000002</v>
      </c>
      <c r="AA811" s="260">
        <v>47.12</v>
      </c>
      <c r="AB811" s="261" t="s">
        <v>2674</v>
      </c>
      <c r="AC811" s="260">
        <v>6.6549531789058696</v>
      </c>
      <c r="AD811">
        <f>IF('WetLitterbags placem_collection'!AB152="","",'WetLitterbags placem_collection'!AB152)</f>
        <v>2.75</v>
      </c>
      <c r="AE811">
        <f>IF('WetLitterbags placem_collection'!Z152="","",'WetLitterbags placem_collection'!Z152)</f>
        <v>19</v>
      </c>
      <c r="AF811" s="24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71">
        <f>IFERROR(AVERAGE('Dry_Litterbag Placem_Collection'!N152,'Dry_Litterbag Placem_Collection'!Q152),"")</f>
        <v>30.8</v>
      </c>
      <c r="AJ811" s="270">
        <f>INDEX(Coordinates!$B$2:$B$197,MATCH(G811,Coordinates!$J$2:$J$197,0))</f>
        <v>-2.3675230329999999</v>
      </c>
      <c r="AK811" s="270">
        <f>INDEX(Coordinates!$C$2:$C$197,MATCH(G811,Coordinates!$J$2:$J$197,0))</f>
        <v>34.060512969999998</v>
      </c>
      <c r="AL811" s="270" t="str">
        <f>IF(ISNUMBER(SEARCH("C", 'Dry_Litterbag Placem_Collection'!V152)),"YES","NO")</f>
        <v>NO</v>
      </c>
      <c r="AM811" s="270" t="str">
        <f>IF(ISNUMBER(SEARCH("H", 'Dry_Litterbag Placem_Collection'!V152)),"YES","NO")</f>
        <v>NO</v>
      </c>
      <c r="AN811" s="270" t="str">
        <f>IF(ISNUMBER(SEARCH("R", 'Dry_Litterbag Placem_Collection'!V152)),"YES","NO")</f>
        <v>NO</v>
      </c>
    </row>
    <row r="812" spans="1:40" ht="15" customHeight="1">
      <c r="A812" s="262" t="s">
        <v>2659</v>
      </c>
      <c r="B812" s="263">
        <f>'Dry_Litterbag Placem_Collection'!A153</f>
        <v>151</v>
      </c>
      <c r="C812" s="263" t="str">
        <f>'Dry_Litterbag Placem_Collection'!B153</f>
        <v xml:space="preserve">Mwantimba
</v>
      </c>
      <c r="D812" s="263" t="s">
        <v>2659</v>
      </c>
      <c r="E812" s="263" t="s">
        <v>20</v>
      </c>
      <c r="F812" s="263">
        <v>3</v>
      </c>
      <c r="G812" s="264" t="str">
        <f>'Dry_Litterbag Placem_Collection'!C153</f>
        <v>Wet_P3_T7</v>
      </c>
      <c r="H812" s="273" t="s">
        <v>3651</v>
      </c>
      <c r="I812" s="274" t="s">
        <v>298</v>
      </c>
      <c r="J812" s="263" t="str">
        <f>IF(ISBLANK('Dry_Litterbag Placem_Collection'!M153),"","R"&amp;""&amp;'Dry_Litterbag Placem_Collection'!M153)</f>
        <v/>
      </c>
      <c r="K812" s="267" t="str">
        <f>IFERROR(INDEX('Green_rooibos initial weight'!$C$5:$C$1749,MATCH(J812, 'Green_rooibos initial weight'!$A$5:$A$1749,0)),"")</f>
        <v/>
      </c>
      <c r="L812" s="267" t="str">
        <f>IFERROR(K812-(TBIcalc!$Q$9+TBIcalc!$Q$10),"")</f>
        <v/>
      </c>
      <c r="M812" s="391">
        <f>AVERAGE(Ashed_controlls!$K$12:$K$14)</f>
        <v>2.2816647271287041</v>
      </c>
      <c r="N812" s="267" t="str">
        <f t="shared" si="61"/>
        <v/>
      </c>
      <c r="O812" s="267" t="str">
        <f>IF(IFERROR(INDEX('Both teabags AfterDry'!$D$3:$D$900,MATCH(J812,'Both teabags AfterDry'!$A$3:$A$900,0)),"")="","",(IFERROR(INDEX('Both teabags AfterDry'!$D$3:$D$900,MATCH(J812,'Both teabags AfterDry'!$A$3:$A$900,0)),"")))</f>
        <v/>
      </c>
      <c r="P812" s="267" t="str">
        <f>IFERROR(IF(O812&gt;0,O812-(TBIcalc!$Q$9),""),"")</f>
        <v/>
      </c>
      <c r="Q812" s="278" t="str">
        <f>IFERROR(INDEX('Ashed teabags dry'!$K$2:$K$825,MATCH(J812,'Ashed teabags dry'!$A$2:$A$825,0)),"")</f>
        <v/>
      </c>
      <c r="R812" s="278" t="str">
        <f t="shared" si="62"/>
        <v/>
      </c>
      <c r="S812" s="268">
        <f>'Dry_Litterbag Placem_Collection'!E153</f>
        <v>0</v>
      </c>
      <c r="T812" s="268" t="str">
        <f>IF('Dry_Litterbag Placem_Collection'!G153="","",'Dry_Litterbag Placem_Collection'!G153)</f>
        <v/>
      </c>
      <c r="U812" s="269" t="str">
        <f t="shared" si="60"/>
        <v/>
      </c>
      <c r="V812" s="267" t="str">
        <f t="shared" si="63"/>
        <v/>
      </c>
      <c r="W812" s="267" t="str">
        <f t="shared" si="64"/>
        <v/>
      </c>
      <c r="X812" s="271" t="str">
        <f>IFERROR(INDEX(Rainfall_Dry!$O$2:$O$217,MATCH(B812, Rainfall_Dry!$A$2:$A$217,0)),"")</f>
        <v/>
      </c>
      <c r="Y812" s="260">
        <v>39.96</v>
      </c>
      <c r="Z812" s="260">
        <v>12.920000000000002</v>
      </c>
      <c r="AA812" s="260">
        <v>47.12</v>
      </c>
      <c r="AB812" s="261" t="s">
        <v>2674</v>
      </c>
      <c r="AC812" s="260">
        <v>7.6549531789058696</v>
      </c>
      <c r="AD812">
        <f>IF('WetLitterbags placem_collection'!AB153="","",'WetLitterbags placem_collection'!AB153)</f>
        <v>1.4</v>
      </c>
      <c r="AE812">
        <f>IF('WetLitterbags placem_collection'!Z153="","",'WetLitterbags placem_collection'!Z153)</f>
        <v>7.9</v>
      </c>
      <c r="AF812" s="24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71" t="str">
        <f>IFERROR(AVERAGE('Dry_Litterbag Placem_Collection'!N153,'Dry_Litterbag Placem_Collection'!Q153),"")</f>
        <v/>
      </c>
      <c r="AJ812" s="270">
        <f>INDEX(Coordinates!$B$2:$B$197,MATCH(G812,Coordinates!$J$2:$J$197,0))</f>
        <v>-2.3673460070000001</v>
      </c>
      <c r="AK812" s="270">
        <f>INDEX(Coordinates!$C$2:$C$197,MATCH(G812,Coordinates!$J$2:$J$197,0))</f>
        <v>34.060310039999997</v>
      </c>
      <c r="AL812" s="270" t="str">
        <f>IF(ISNUMBER(SEARCH("C", 'Dry_Litterbag Placem_Collection'!V153)),"YES","NO")</f>
        <v>NO</v>
      </c>
      <c r="AM812" s="270" t="str">
        <f>IF(ISNUMBER(SEARCH("H", 'Dry_Litterbag Placem_Collection'!V153)),"YES","NO")</f>
        <v>NO</v>
      </c>
      <c r="AN812" s="270" t="str">
        <f>IF(ISNUMBER(SEARCH("R", 'Dry_Litterbag Placem_Collection'!V153)),"YES","NO")</f>
        <v>NO</v>
      </c>
    </row>
    <row r="813" spans="1:40" ht="15" customHeight="1">
      <c r="A813" s="262" t="s">
        <v>2659</v>
      </c>
      <c r="B813" s="263">
        <f>'Dry_Litterbag Placem_Collection'!A154</f>
        <v>152</v>
      </c>
      <c r="C813" s="263" t="str">
        <f>'Dry_Litterbag Placem_Collection'!B154</f>
        <v xml:space="preserve">Mwantimba
</v>
      </c>
      <c r="D813" s="263" t="s">
        <v>2659</v>
      </c>
      <c r="E813" s="263" t="s">
        <v>20</v>
      </c>
      <c r="F813" s="263">
        <v>3</v>
      </c>
      <c r="G813" s="264" t="str">
        <f>'Dry_Litterbag Placem_Collection'!C154</f>
        <v>Wet_P3_T8</v>
      </c>
      <c r="H813" s="273" t="s">
        <v>3651</v>
      </c>
      <c r="I813" s="274" t="s">
        <v>298</v>
      </c>
      <c r="J813" s="263" t="str">
        <f>IF(ISBLANK('Dry_Litterbag Placem_Collection'!M154),"","R"&amp;""&amp;'Dry_Litterbag Placem_Collection'!M154)</f>
        <v>R635</v>
      </c>
      <c r="K813" s="267">
        <f>IFERROR(INDEX('Green_rooibos initial weight'!$C$5:$C$1749,MATCH(J813, 'Green_rooibos initial weight'!$A$5:$A$1749,0)),"")</f>
        <v>2.1320000000000001</v>
      </c>
      <c r="L813" s="267">
        <f>IFERROR(K813-(TBIcalc!$Q$9+TBIcalc!$Q$10),"")</f>
        <v>1.8822000000000001</v>
      </c>
      <c r="M813" s="391">
        <f>AVERAGE(Ashed_controlls!$K$12:$K$14)</f>
        <v>2.2816647271287041</v>
      </c>
      <c r="N813" s="267">
        <f t="shared" si="61"/>
        <v>1.8392545065059835</v>
      </c>
      <c r="O813" s="267">
        <f>IF(IFERROR(INDEX('Both teabags AfterDry'!$D$3:$D$900,MATCH(J813,'Both teabags AfterDry'!$A$3:$A$900,0)),"")="","",(IFERROR(INDEX('Both teabags AfterDry'!$D$3:$D$900,MATCH(J813,'Both teabags AfterDry'!$A$3:$A$900,0)),"")))</f>
        <v>1.9524999999999999</v>
      </c>
      <c r="P813" s="267">
        <f>IFERROR(IF(O813&gt;0,O813-(TBIcalc!$Q$9),""),"")</f>
        <v>1.8018999999999998</v>
      </c>
      <c r="Q813" s="278">
        <f>IFERROR(INDEX('Ashed teabags dry'!$K$2:$K$825,MATCH(J813,'Ashed teabags dry'!$A$2:$A$825,0)),"")</f>
        <v>3.6981509245371296</v>
      </c>
      <c r="R813" s="278">
        <f t="shared" si="62"/>
        <v>1.7352630184907654</v>
      </c>
      <c r="S813" s="268">
        <f>'Dry_Litterbag Placem_Collection'!E154</f>
        <v>42939</v>
      </c>
      <c r="T813" s="268">
        <f>IF('Dry_Litterbag Placem_Collection'!G154="","",'Dry_Litterbag Placem_Collection'!G154)</f>
        <v>43010</v>
      </c>
      <c r="U813" s="269">
        <f t="shared" si="60"/>
        <v>71</v>
      </c>
      <c r="V813" s="267">
        <f t="shared" si="63"/>
        <v>8.030000000000026E-2</v>
      </c>
      <c r="W813" s="267">
        <f t="shared" si="64"/>
        <v>0.10399148801521818</v>
      </c>
      <c r="X813" s="271">
        <f>IFERROR(INDEX(Rainfall_Dry!$O$2:$O$217,MATCH(B813, Rainfall_Dry!$A$2:$A$217,0)),"")</f>
        <v>137.19979645800001</v>
      </c>
      <c r="Y813" s="260">
        <v>39.96</v>
      </c>
      <c r="Z813" s="260">
        <v>12.920000000000002</v>
      </c>
      <c r="AA813" s="260">
        <v>47.12</v>
      </c>
      <c r="AB813" s="261" t="s">
        <v>2674</v>
      </c>
      <c r="AC813" s="260">
        <v>8.6549531789058705</v>
      </c>
      <c r="AD813">
        <f>IF('WetLitterbags placem_collection'!AB154="","",'WetLitterbags placem_collection'!AB154)</f>
        <v>2.2000000000000002</v>
      </c>
      <c r="AE813">
        <f>IF('WetLitterbags placem_collection'!Z154="","",'WetLitterbags placem_collection'!Z154)</f>
        <v>15</v>
      </c>
      <c r="AF813" s="24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71">
        <f>IFERROR(AVERAGE('Dry_Litterbag Placem_Collection'!N154,'Dry_Litterbag Placem_Collection'!Q154),"")</f>
        <v>28.45</v>
      </c>
      <c r="AJ813" s="270">
        <f>INDEX(Coordinates!$B$2:$B$197,MATCH(G813,Coordinates!$J$2:$J$197,0))</f>
        <v>-2.367543988</v>
      </c>
      <c r="AK813" s="270">
        <f>INDEX(Coordinates!$C$2:$C$197,MATCH(G813,Coordinates!$J$2:$J$197,0))</f>
        <v>34.060168969999999</v>
      </c>
      <c r="AL813" s="270" t="str">
        <f>IF(ISNUMBER(SEARCH("C", 'Dry_Litterbag Placem_Collection'!V154)),"YES","NO")</f>
        <v>NO</v>
      </c>
      <c r="AM813" s="270" t="str">
        <f>IF(ISNUMBER(SEARCH("H", 'Dry_Litterbag Placem_Collection'!V154)),"YES","NO")</f>
        <v>NO</v>
      </c>
      <c r="AN813" s="270" t="str">
        <f>IF(ISNUMBER(SEARCH("R", 'Dry_Litterbag Placem_Collection'!V154)),"YES","NO")</f>
        <v>NO</v>
      </c>
    </row>
    <row r="814" spans="1:40" ht="15" customHeight="1">
      <c r="A814" s="262" t="s">
        <v>2659</v>
      </c>
      <c r="B814" s="263">
        <f>'Dry_Litterbag Placem_Collection'!A155</f>
        <v>153</v>
      </c>
      <c r="C814" s="263" t="str">
        <f>'Dry_Litterbag Placem_Collection'!B155</f>
        <v xml:space="preserve">Mwantimba
</v>
      </c>
      <c r="D814" s="263" t="s">
        <v>2659</v>
      </c>
      <c r="E814" s="263" t="s">
        <v>20</v>
      </c>
      <c r="F814" s="263">
        <v>4</v>
      </c>
      <c r="G814" s="264" t="str">
        <f>'Dry_Litterbag Placem_Collection'!C155</f>
        <v>Wet_P4_T1</v>
      </c>
      <c r="H814" s="273" t="s">
        <v>3651</v>
      </c>
      <c r="I814" s="274" t="s">
        <v>298</v>
      </c>
      <c r="J814" s="263" t="str">
        <f>IF(ISBLANK('Dry_Litterbag Placem_Collection'!M155),"","R"&amp;""&amp;'Dry_Litterbag Placem_Collection'!M155)</f>
        <v>R651</v>
      </c>
      <c r="K814" s="267">
        <f>IFERROR(INDEX('Green_rooibos initial weight'!$C$5:$C$1749,MATCH(J814, 'Green_rooibos initial weight'!$A$5:$A$1749,0)),"")</f>
        <v>2.2349999999999999</v>
      </c>
      <c r="L814" s="267">
        <f>IFERROR(K814-(TBIcalc!$Q$9+TBIcalc!$Q$10),"")</f>
        <v>1.9851999999999999</v>
      </c>
      <c r="M814" s="391">
        <f>AVERAGE(Ashed_controlls!$K$12:$K$14)</f>
        <v>2.2816647271287041</v>
      </c>
      <c r="N814" s="267">
        <f t="shared" si="61"/>
        <v>1.9399043918370409</v>
      </c>
      <c r="O814" s="267">
        <f>IF(IFERROR(INDEX('Both teabags AfterDry'!$D$3:$D$900,MATCH(J814,'Both teabags AfterDry'!$A$3:$A$900,0)),"")="","",(IFERROR(INDEX('Both teabags AfterDry'!$D$3:$D$900,MATCH(J814,'Both teabags AfterDry'!$A$3:$A$900,0)),"")))</f>
        <v>2.0049000000000001</v>
      </c>
      <c r="P814" s="267">
        <f>IFERROR(IF(O814&gt;0,O814-(TBIcalc!$Q$9),""),"")</f>
        <v>1.8543000000000001</v>
      </c>
      <c r="Q814" s="278">
        <f>IFERROR(INDEX('Ashed teabags dry'!$K$2:$K$825,MATCH(J814,'Ashed teabags dry'!$A$2:$A$825,0)),"")</f>
        <v>4.6750818139321764</v>
      </c>
      <c r="R814" s="278">
        <f t="shared" si="62"/>
        <v>1.7676099579242557</v>
      </c>
      <c r="S814" s="268">
        <f>'Dry_Litterbag Placem_Collection'!E155</f>
        <v>42939</v>
      </c>
      <c r="T814" s="268">
        <f>IF('Dry_Litterbag Placem_Collection'!G155="","",'Dry_Litterbag Placem_Collection'!G155)</f>
        <v>43010</v>
      </c>
      <c r="U814" s="269">
        <f t="shared" si="60"/>
        <v>71</v>
      </c>
      <c r="V814" s="267">
        <f t="shared" si="63"/>
        <v>0.13089999999999979</v>
      </c>
      <c r="W814" s="267">
        <f t="shared" si="64"/>
        <v>0.17229443391278521</v>
      </c>
      <c r="X814" s="271">
        <f>IFERROR(INDEX(Rainfall_Dry!$O$2:$O$217,MATCH(B814, Rainfall_Dry!$A$2:$A$217,0)),"")</f>
        <v>137.19979645800001</v>
      </c>
      <c r="Y814" s="260">
        <v>27.96</v>
      </c>
      <c r="Z814" s="260">
        <v>4.9200000000000017</v>
      </c>
      <c r="AA814" s="260">
        <v>67.12</v>
      </c>
      <c r="AB814" s="261" t="s">
        <v>2670</v>
      </c>
      <c r="AC814" s="260">
        <v>1.0437161163134547</v>
      </c>
      <c r="AD814">
        <f>IF('WetLitterbags placem_collection'!AB155="","",'WetLitterbags placem_collection'!AB155)</f>
        <v>2.1</v>
      </c>
      <c r="AE814">
        <f>IF('WetLitterbags placem_collection'!Z155="","",'WetLitterbags placem_collection'!Z155)</f>
        <v>16.399999999999999</v>
      </c>
      <c r="AF814" s="24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71">
        <f>IFERROR(AVERAGE('Dry_Litterbag Placem_Collection'!N155,'Dry_Litterbag Placem_Collection'!Q155),"")</f>
        <v>31.65</v>
      </c>
      <c r="AJ814" s="270">
        <f>INDEX(Coordinates!$B$2:$B$197,MATCH(G814,Coordinates!$J$2:$J$197,0))</f>
        <v>-2.3676780150000001</v>
      </c>
      <c r="AK814" s="270">
        <f>INDEX(Coordinates!$C$2:$C$197,MATCH(G814,Coordinates!$J$2:$J$197,0))</f>
        <v>34.05937797</v>
      </c>
      <c r="AL814" s="270" t="str">
        <f>IF(ISNUMBER(SEARCH("C", 'Dry_Litterbag Placem_Collection'!V155)),"YES","NO")</f>
        <v>NO</v>
      </c>
      <c r="AM814" s="270" t="str">
        <f>IF(ISNUMBER(SEARCH("H", 'Dry_Litterbag Placem_Collection'!V155)),"YES","NO")</f>
        <v>NO</v>
      </c>
      <c r="AN814" s="270" t="str">
        <f>IF(ISNUMBER(SEARCH("R", 'Dry_Litterbag Placem_Collection'!V155)),"YES","NO")</f>
        <v>NO</v>
      </c>
    </row>
    <row r="815" spans="1:40" ht="15" customHeight="1">
      <c r="A815" s="262" t="s">
        <v>2659</v>
      </c>
      <c r="B815" s="263">
        <f>'Dry_Litterbag Placem_Collection'!A156</f>
        <v>154</v>
      </c>
      <c r="C815" s="263" t="str">
        <f>'Dry_Litterbag Placem_Collection'!B156</f>
        <v xml:space="preserve">Mwantimba
</v>
      </c>
      <c r="D815" s="263" t="s">
        <v>2659</v>
      </c>
      <c r="E815" s="263" t="s">
        <v>20</v>
      </c>
      <c r="F815" s="263">
        <v>4</v>
      </c>
      <c r="G815" s="264" t="str">
        <f>'Dry_Litterbag Placem_Collection'!C156</f>
        <v>Wet_P4_T2</v>
      </c>
      <c r="H815" s="273" t="s">
        <v>3651</v>
      </c>
      <c r="I815" s="274" t="s">
        <v>298</v>
      </c>
      <c r="J815" s="263" t="str">
        <f>IF(ISBLANK('Dry_Litterbag Placem_Collection'!M156),"","R"&amp;""&amp;'Dry_Litterbag Placem_Collection'!M156)</f>
        <v>R367</v>
      </c>
      <c r="K815" s="267">
        <f>IFERROR(INDEX('Green_rooibos initial weight'!$C$5:$C$1749,MATCH(J815, 'Green_rooibos initial weight'!$A$5:$A$1749,0)),"")</f>
        <v>2.165</v>
      </c>
      <c r="L815" s="267">
        <f>IFERROR(K815-(TBIcalc!$Q$9+TBIcalc!$Q$10),"")</f>
        <v>1.9152</v>
      </c>
      <c r="M815" s="391">
        <f>AVERAGE(Ashed_controlls!$K$12:$K$14)</f>
        <v>2.2816647271287041</v>
      </c>
      <c r="N815" s="267">
        <f t="shared" si="61"/>
        <v>1.8715015571460312</v>
      </c>
      <c r="O815" s="267">
        <f>IF(IFERROR(INDEX('Both teabags AfterDry'!$D$3:$D$900,MATCH(J815,'Both teabags AfterDry'!$A$3:$A$900,0)),"")="","",(IFERROR(INDEX('Both teabags AfterDry'!$D$3:$D$900,MATCH(J815,'Both teabags AfterDry'!$A$3:$A$900,0)),"")))</f>
        <v>1.8496999999999999</v>
      </c>
      <c r="P815" s="267">
        <f>IFERROR(IF(O815&gt;0,O815-(TBIcalc!$Q$9),""),"")</f>
        <v>1.6990999999999998</v>
      </c>
      <c r="Q815" s="278">
        <f>IFERROR(INDEX('Ashed teabags dry'!$K$2:$K$825,MATCH(J815,'Ashed teabags dry'!$A$2:$A$825,0)),"")</f>
        <v>2.917264466762604</v>
      </c>
      <c r="R815" s="278">
        <f t="shared" si="62"/>
        <v>1.6495327594452365</v>
      </c>
      <c r="S815" s="268">
        <f>'Dry_Litterbag Placem_Collection'!E156</f>
        <v>42939</v>
      </c>
      <c r="T815" s="268">
        <f>IF('Dry_Litterbag Placem_Collection'!G156="","",'Dry_Litterbag Placem_Collection'!G156)</f>
        <v>43010</v>
      </c>
      <c r="U815" s="269">
        <f t="shared" si="60"/>
        <v>71</v>
      </c>
      <c r="V815" s="267">
        <f t="shared" si="63"/>
        <v>0.21610000000000018</v>
      </c>
      <c r="W815" s="267">
        <f t="shared" si="64"/>
        <v>0.2219687977007947</v>
      </c>
      <c r="X815" s="271">
        <f>IFERROR(INDEX(Rainfall_Dry!$O$2:$O$217,MATCH(B815, Rainfall_Dry!$A$2:$A$217,0)),"")</f>
        <v>137.19979645800001</v>
      </c>
      <c r="Y815" s="260">
        <v>27.96</v>
      </c>
      <c r="Z815" s="260">
        <v>4.9200000000000017</v>
      </c>
      <c r="AA815" s="260">
        <v>67.12</v>
      </c>
      <c r="AB815" s="261" t="s">
        <v>2670</v>
      </c>
      <c r="AC815" s="260">
        <v>2.0437161163134498</v>
      </c>
      <c r="AD815">
        <f>IF('WetLitterbags placem_collection'!AB156="","",'WetLitterbags placem_collection'!AB156)</f>
        <v>2.15</v>
      </c>
      <c r="AE815">
        <f>IF('WetLitterbags placem_collection'!Z156="","",'WetLitterbags placem_collection'!Z156)</f>
        <v>9</v>
      </c>
      <c r="AF815" s="24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71">
        <f>IFERROR(AVERAGE('Dry_Litterbag Placem_Collection'!N156,'Dry_Litterbag Placem_Collection'!Q156),"")</f>
        <v>30.45</v>
      </c>
      <c r="AJ815" s="270">
        <f>INDEX(Coordinates!$B$2:$B$197,MATCH(G815,Coordinates!$J$2:$J$197,0))</f>
        <v>-2.3677299820000002</v>
      </c>
      <c r="AK815" s="270">
        <f>INDEX(Coordinates!$C$2:$C$197,MATCH(G815,Coordinates!$J$2:$J$197,0))</f>
        <v>34.059351990000003</v>
      </c>
      <c r="AL815" s="270" t="str">
        <f>IF(ISNUMBER(SEARCH("C", 'Dry_Litterbag Placem_Collection'!V156)),"YES","NO")</f>
        <v>NO</v>
      </c>
      <c r="AM815" s="270" t="str">
        <f>IF(ISNUMBER(SEARCH("H", 'Dry_Litterbag Placem_Collection'!V156)),"YES","NO")</f>
        <v>NO</v>
      </c>
      <c r="AN815" s="270" t="str">
        <f>IF(ISNUMBER(SEARCH("R", 'Dry_Litterbag Placem_Collection'!V156)),"YES","NO")</f>
        <v>NO</v>
      </c>
    </row>
    <row r="816" spans="1:40" ht="15" customHeight="1">
      <c r="A816" s="262" t="s">
        <v>2659</v>
      </c>
      <c r="B816" s="263">
        <f>'Dry_Litterbag Placem_Collection'!A157</f>
        <v>155</v>
      </c>
      <c r="C816" s="263" t="str">
        <f>'Dry_Litterbag Placem_Collection'!B157</f>
        <v xml:space="preserve">Mwantimba
</v>
      </c>
      <c r="D816" s="263" t="s">
        <v>2659</v>
      </c>
      <c r="E816" s="263" t="s">
        <v>20</v>
      </c>
      <c r="F816" s="263">
        <v>4</v>
      </c>
      <c r="G816" s="264" t="str">
        <f>'Dry_Litterbag Placem_Collection'!C157</f>
        <v>Wet_P4_T3</v>
      </c>
      <c r="H816" s="273" t="s">
        <v>3651</v>
      </c>
      <c r="I816" s="274" t="s">
        <v>298</v>
      </c>
      <c r="J816" s="263" t="str">
        <f>IF(ISBLANK('Dry_Litterbag Placem_Collection'!M157),"","R"&amp;""&amp;'Dry_Litterbag Placem_Collection'!M157)</f>
        <v>R617</v>
      </c>
      <c r="K816" s="267">
        <f>IFERROR(INDEX('Green_rooibos initial weight'!$C$5:$C$1749,MATCH(J816, 'Green_rooibos initial weight'!$A$5:$A$1749,0)),"")</f>
        <v>2.2010000000000001</v>
      </c>
      <c r="L816" s="267">
        <f>IFERROR(K816-(TBIcalc!$Q$9+TBIcalc!$Q$10),"")</f>
        <v>1.9512</v>
      </c>
      <c r="M816" s="391">
        <f>AVERAGE(Ashed_controlls!$K$12:$K$14)</f>
        <v>2.2816647271287041</v>
      </c>
      <c r="N816" s="267">
        <f t="shared" si="61"/>
        <v>1.9066801578442647</v>
      </c>
      <c r="O816" s="267">
        <f>IF(IFERROR(INDEX('Both teabags AfterDry'!$D$3:$D$900,MATCH(J816,'Both teabags AfterDry'!$A$3:$A$900,0)),"")="","",(IFERROR(INDEX('Both teabags AfterDry'!$D$3:$D$900,MATCH(J816,'Both teabags AfterDry'!$A$3:$A$900,0)),"")))</f>
        <v>1.8621000000000001</v>
      </c>
      <c r="P816" s="267">
        <f>IFERROR(IF(O816&gt;0,O816-(TBIcalc!$Q$9),""),"")</f>
        <v>1.7115</v>
      </c>
      <c r="Q816" s="278">
        <f>IFERROR(INDEX('Ashed teabags dry'!$K$2:$K$825,MATCH(J816,'Ashed teabags dry'!$A$2:$A$825,0)),"")</f>
        <v>2.5172754195451326</v>
      </c>
      <c r="R816" s="278">
        <f t="shared" si="62"/>
        <v>1.6684168311944851</v>
      </c>
      <c r="S816" s="268">
        <f>'Dry_Litterbag Placem_Collection'!E157</f>
        <v>42939</v>
      </c>
      <c r="T816" s="268">
        <f>IF('Dry_Litterbag Placem_Collection'!G157="","",'Dry_Litterbag Placem_Collection'!G157)</f>
        <v>43010</v>
      </c>
      <c r="U816" s="269">
        <f t="shared" si="60"/>
        <v>71</v>
      </c>
      <c r="V816" s="267">
        <f t="shared" si="63"/>
        <v>0.23970000000000002</v>
      </c>
      <c r="W816" s="267">
        <f t="shared" si="64"/>
        <v>0.23826332664977956</v>
      </c>
      <c r="X816" s="271">
        <f>IFERROR(INDEX(Rainfall_Dry!$O$2:$O$217,MATCH(B816, Rainfall_Dry!$A$2:$A$217,0)),"")</f>
        <v>137.19979645800001</v>
      </c>
      <c r="Y816" s="260">
        <v>27.96</v>
      </c>
      <c r="Z816" s="260">
        <v>4.9200000000000017</v>
      </c>
      <c r="AA816" s="260">
        <v>67.12</v>
      </c>
      <c r="AB816" s="261" t="s">
        <v>2670</v>
      </c>
      <c r="AC816" s="260">
        <v>3.0437161163134498</v>
      </c>
      <c r="AD816">
        <f>IF('WetLitterbags placem_collection'!AB157="","",'WetLitterbags placem_collection'!AB157)</f>
        <v>1.2</v>
      </c>
      <c r="AE816">
        <f>IF('WetLitterbags placem_collection'!Z157="","",'WetLitterbags placem_collection'!Z157)</f>
        <v>11</v>
      </c>
      <c r="AF816" s="24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71">
        <f>IFERROR(AVERAGE('Dry_Litterbag Placem_Collection'!N157,'Dry_Litterbag Placem_Collection'!Q157),"")</f>
        <v>29.4</v>
      </c>
      <c r="AJ816" s="270">
        <f>INDEX(Coordinates!$B$2:$B$197,MATCH(G816,Coordinates!$J$2:$J$197,0))</f>
        <v>-2.3677119609999999</v>
      </c>
      <c r="AK816" s="270">
        <f>INDEX(Coordinates!$C$2:$C$197,MATCH(G816,Coordinates!$J$2:$J$197,0))</f>
        <v>34.059339000000001</v>
      </c>
      <c r="AL816" s="270" t="str">
        <f>IF(ISNUMBER(SEARCH("C", 'Dry_Litterbag Placem_Collection'!V157)),"YES","NO")</f>
        <v>NO</v>
      </c>
      <c r="AM816" s="270" t="str">
        <f>IF(ISNUMBER(SEARCH("H", 'Dry_Litterbag Placem_Collection'!V157)),"YES","NO")</f>
        <v>NO</v>
      </c>
      <c r="AN816" s="270" t="str">
        <f>IF(ISNUMBER(SEARCH("R", 'Dry_Litterbag Placem_Collection'!V157)),"YES","NO")</f>
        <v>NO</v>
      </c>
    </row>
    <row r="817" spans="1:40" ht="15" customHeight="1">
      <c r="A817" s="262" t="s">
        <v>2659</v>
      </c>
      <c r="B817" s="263">
        <f>'Dry_Litterbag Placem_Collection'!A158</f>
        <v>156</v>
      </c>
      <c r="C817" s="263" t="str">
        <f>'Dry_Litterbag Placem_Collection'!B158</f>
        <v xml:space="preserve">Mwantimba
</v>
      </c>
      <c r="D817" s="263" t="s">
        <v>2659</v>
      </c>
      <c r="E817" s="263" t="s">
        <v>20</v>
      </c>
      <c r="F817" s="263">
        <v>4</v>
      </c>
      <c r="G817" s="264" t="str">
        <f>'Dry_Litterbag Placem_Collection'!C158</f>
        <v>Wet_P4_T4</v>
      </c>
      <c r="H817" s="273" t="s">
        <v>3651</v>
      </c>
      <c r="I817" s="274" t="s">
        <v>298</v>
      </c>
      <c r="J817" s="263" t="str">
        <f>IF(ISBLANK('Dry_Litterbag Placem_Collection'!M158),"","R"&amp;""&amp;'Dry_Litterbag Placem_Collection'!M158)</f>
        <v>R84</v>
      </c>
      <c r="K817" s="267">
        <f>IFERROR(INDEX('Green_rooibos initial weight'!$C$5:$C$1749,MATCH(J817, 'Green_rooibos initial weight'!$A$5:$A$1749,0)),"")</f>
        <v>2.1629999999999998</v>
      </c>
      <c r="L817" s="267">
        <f>IFERROR(K817-(TBIcalc!$Q$9+TBIcalc!$Q$10),"")</f>
        <v>1.9131999999999998</v>
      </c>
      <c r="M817" s="391">
        <f>AVERAGE(Ashed_controlls!$K$12:$K$14)</f>
        <v>2.2816647271287041</v>
      </c>
      <c r="N817" s="267">
        <f t="shared" si="61"/>
        <v>1.8695471904405734</v>
      </c>
      <c r="O817" s="267">
        <f>IF(IFERROR(INDEX('Both teabags AfterDry'!$D$3:$D$900,MATCH(J817,'Both teabags AfterDry'!$A$3:$A$900,0)),"")="","",(IFERROR(INDEX('Both teabags AfterDry'!$D$3:$D$900,MATCH(J817,'Both teabags AfterDry'!$A$3:$A$900,0)),"")))</f>
        <v>1.8827</v>
      </c>
      <c r="P817" s="267">
        <f>IFERROR(IF(O817&gt;0,O817-(TBIcalc!$Q$9),""),"")</f>
        <v>1.7321</v>
      </c>
      <c r="Q817" s="278">
        <f>IFERROR(INDEX('Ashed teabags dry'!$K$2:$K$825,MATCH(J817,'Ashed teabags dry'!$A$2:$A$825,0)),"")</f>
        <v>7.2855953372191182</v>
      </c>
      <c r="R817" s="278">
        <f t="shared" si="62"/>
        <v>1.6059062031640277</v>
      </c>
      <c r="S817" s="268">
        <f>'Dry_Litterbag Placem_Collection'!E158</f>
        <v>42939</v>
      </c>
      <c r="T817" s="268">
        <f>IF('Dry_Litterbag Placem_Collection'!G158="","",'Dry_Litterbag Placem_Collection'!G158)</f>
        <v>43010</v>
      </c>
      <c r="U817" s="269">
        <f t="shared" si="60"/>
        <v>71</v>
      </c>
      <c r="V817" s="267">
        <f t="shared" si="63"/>
        <v>0.18109999999999982</v>
      </c>
      <c r="W817" s="267">
        <f t="shared" si="64"/>
        <v>0.26364098727654572</v>
      </c>
      <c r="X817" s="271">
        <f>IFERROR(INDEX(Rainfall_Dry!$O$2:$O$217,MATCH(B817, Rainfall_Dry!$A$2:$A$217,0)),"")</f>
        <v>137.19979645800001</v>
      </c>
      <c r="Y817" s="260">
        <v>27.96</v>
      </c>
      <c r="Z817" s="260">
        <v>4.9200000000000017</v>
      </c>
      <c r="AA817" s="260">
        <v>67.12</v>
      </c>
      <c r="AB817" s="261" t="s">
        <v>2670</v>
      </c>
      <c r="AC817" s="260">
        <v>4.0437161163134503</v>
      </c>
      <c r="AD817">
        <f>IF('WetLitterbags placem_collection'!AB158="","",'WetLitterbags placem_collection'!AB158)</f>
        <v>1.55</v>
      </c>
      <c r="AE817">
        <f>IF('WetLitterbags placem_collection'!Z158="","",'WetLitterbags placem_collection'!Z158)</f>
        <v>9.1</v>
      </c>
      <c r="AF817" s="24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71">
        <f>IFERROR(AVERAGE('Dry_Litterbag Placem_Collection'!N158,'Dry_Litterbag Placem_Collection'!Q158),"")</f>
        <v>30.35</v>
      </c>
      <c r="AJ817" s="270">
        <f>INDEX(Coordinates!$B$2:$B$197,MATCH(G817,Coordinates!$J$2:$J$197,0))</f>
        <v>-2.3676950300000001</v>
      </c>
      <c r="AK817" s="270">
        <f>INDEX(Coordinates!$C$2:$C$197,MATCH(G817,Coordinates!$J$2:$J$197,0))</f>
        <v>34.059499010000003</v>
      </c>
      <c r="AL817" s="270" t="str">
        <f>IF(ISNUMBER(SEARCH("C", 'Dry_Litterbag Placem_Collection'!V158)),"YES","NO")</f>
        <v>NO</v>
      </c>
      <c r="AM817" s="270" t="str">
        <f>IF(ISNUMBER(SEARCH("H", 'Dry_Litterbag Placem_Collection'!V158)),"YES","NO")</f>
        <v>NO</v>
      </c>
      <c r="AN817" s="270" t="str">
        <f>IF(ISNUMBER(SEARCH("R", 'Dry_Litterbag Placem_Collection'!V158)),"YES","NO")</f>
        <v>NO</v>
      </c>
    </row>
    <row r="818" spans="1:40" ht="15" customHeight="1">
      <c r="A818" s="262" t="s">
        <v>2659</v>
      </c>
      <c r="B818" s="263">
        <f>'Dry_Litterbag Placem_Collection'!A159</f>
        <v>157</v>
      </c>
      <c r="C818" s="263" t="str">
        <f>'Dry_Litterbag Placem_Collection'!B159</f>
        <v xml:space="preserve">Mwantimba
</v>
      </c>
      <c r="D818" s="263" t="s">
        <v>2659</v>
      </c>
      <c r="E818" s="263" t="s">
        <v>20</v>
      </c>
      <c r="F818" s="263">
        <v>4</v>
      </c>
      <c r="G818" s="264" t="str">
        <f>'Dry_Litterbag Placem_Collection'!C159</f>
        <v>Wet_P4_T5</v>
      </c>
      <c r="H818" s="273" t="s">
        <v>3651</v>
      </c>
      <c r="I818" s="274" t="s">
        <v>298</v>
      </c>
      <c r="J818" s="263" t="str">
        <f>IF(ISBLANK('Dry_Litterbag Placem_Collection'!M159),"","R"&amp;""&amp;'Dry_Litterbag Placem_Collection'!M159)</f>
        <v>R248</v>
      </c>
      <c r="K818" s="267">
        <f>IFERROR(INDEX('Green_rooibos initial weight'!$C$5:$C$1749,MATCH(J818, 'Green_rooibos initial weight'!$A$5:$A$1749,0)),"")</f>
        <v>2.1829999999999998</v>
      </c>
      <c r="L818" s="267">
        <f>IFERROR(K818-(TBIcalc!$Q$9+TBIcalc!$Q$10),"")</f>
        <v>1.9331999999999998</v>
      </c>
      <c r="M818" s="391">
        <f>AVERAGE(Ashed_controlls!$K$12:$K$14)</f>
        <v>2.2816647271287041</v>
      </c>
      <c r="N818" s="267">
        <f t="shared" si="61"/>
        <v>1.8890908574951477</v>
      </c>
      <c r="O818" s="267" t="str">
        <f>IF(IFERROR(INDEX('Both teabags AfterDry'!$D$3:$D$900,MATCH(J818,'Both teabags AfterDry'!$A$3:$A$900,0)),"")="","",(IFERROR(INDEX('Both teabags AfterDry'!$D$3:$D$900,MATCH(J818,'Both teabags AfterDry'!$A$3:$A$900,0)),"")))</f>
        <v/>
      </c>
      <c r="P818" s="267" t="str">
        <f>IFERROR(IF(O818&gt;0,O818-(TBIcalc!$Q$9),""),"")</f>
        <v/>
      </c>
      <c r="Q818" s="278" t="str">
        <f>IFERROR(INDEX('Ashed teabags dry'!$K$2:$K$825,MATCH(J818,'Ashed teabags dry'!$A$2:$A$825,0)),"")</f>
        <v/>
      </c>
      <c r="R818" s="278" t="str">
        <f t="shared" si="62"/>
        <v/>
      </c>
      <c r="S818" s="268">
        <f>'Dry_Litterbag Placem_Collection'!E159</f>
        <v>42939</v>
      </c>
      <c r="T818" s="268">
        <f>IF('Dry_Litterbag Placem_Collection'!G159="","",'Dry_Litterbag Placem_Collection'!G159)</f>
        <v>43010</v>
      </c>
      <c r="U818" s="269">
        <f t="shared" si="60"/>
        <v>71</v>
      </c>
      <c r="V818" s="267" t="str">
        <f t="shared" si="63"/>
        <v/>
      </c>
      <c r="W818" s="267" t="str">
        <f t="shared" si="64"/>
        <v/>
      </c>
      <c r="X818" s="271">
        <f>IFERROR(INDEX(Rainfall_Dry!$O$2:$O$217,MATCH(B818, Rainfall_Dry!$A$2:$A$217,0)),"")</f>
        <v>137.19979645800001</v>
      </c>
      <c r="Y818" s="260">
        <v>27.96</v>
      </c>
      <c r="Z818" s="260">
        <v>4.9200000000000017</v>
      </c>
      <c r="AA818" s="260">
        <v>67.12</v>
      </c>
      <c r="AB818" s="261" t="s">
        <v>2670</v>
      </c>
      <c r="AC818" s="260">
        <v>5.0437161163134503</v>
      </c>
      <c r="AD818">
        <f>IF('WetLitterbags placem_collection'!AB159="","",'WetLitterbags placem_collection'!AB159)</f>
        <v>2.2999999999999998</v>
      </c>
      <c r="AE818">
        <f>IF('WetLitterbags placem_collection'!Z159="","",'WetLitterbags placem_collection'!Z159)</f>
        <v>7.7</v>
      </c>
      <c r="AF818" s="24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71">
        <f>IFERROR(AVERAGE('Dry_Litterbag Placem_Collection'!N159,'Dry_Litterbag Placem_Collection'!Q159),"")</f>
        <v>29.85</v>
      </c>
      <c r="AJ818" s="270">
        <f>INDEX(Coordinates!$B$2:$B$197,MATCH(G818,Coordinates!$J$2:$J$197,0))</f>
        <v>-2.3678019830000001</v>
      </c>
      <c r="AK818" s="270">
        <f>INDEX(Coordinates!$C$2:$C$197,MATCH(G818,Coordinates!$J$2:$J$197,0))</f>
        <v>34.059521969999999</v>
      </c>
      <c r="AL818" s="270" t="str">
        <f>IF(ISNUMBER(SEARCH("C", 'Dry_Litterbag Placem_Collection'!V159)),"YES","NO")</f>
        <v>NO</v>
      </c>
      <c r="AM818" s="270" t="str">
        <f>IF(ISNUMBER(SEARCH("H", 'Dry_Litterbag Placem_Collection'!V159)),"YES","NO")</f>
        <v>NO</v>
      </c>
      <c r="AN818" s="270" t="str">
        <f>IF(ISNUMBER(SEARCH("R", 'Dry_Litterbag Placem_Collection'!V159)),"YES","NO")</f>
        <v>NO</v>
      </c>
    </row>
    <row r="819" spans="1:40" ht="15" customHeight="1">
      <c r="A819" s="262" t="s">
        <v>2659</v>
      </c>
      <c r="B819" s="263">
        <f>'Dry_Litterbag Placem_Collection'!A160</f>
        <v>158</v>
      </c>
      <c r="C819" s="263" t="str">
        <f>'Dry_Litterbag Placem_Collection'!B160</f>
        <v xml:space="preserve">Mwantimba
</v>
      </c>
      <c r="D819" s="263" t="s">
        <v>2659</v>
      </c>
      <c r="E819" s="263" t="s">
        <v>20</v>
      </c>
      <c r="F819" s="263">
        <v>4</v>
      </c>
      <c r="G819" s="264" t="str">
        <f>'Dry_Litterbag Placem_Collection'!C160</f>
        <v>Wet_P4_T6</v>
      </c>
      <c r="H819" s="273" t="s">
        <v>3651</v>
      </c>
      <c r="I819" s="274" t="s">
        <v>298</v>
      </c>
      <c r="J819" s="263" t="str">
        <f>IF(ISBLANK('Dry_Litterbag Placem_Collection'!M160),"","R"&amp;""&amp;'Dry_Litterbag Placem_Collection'!M160)</f>
        <v>R238</v>
      </c>
      <c r="K819" s="267">
        <f>IFERROR(INDEX('Green_rooibos initial weight'!$C$5:$C$1749,MATCH(J819, 'Green_rooibos initial weight'!$A$5:$A$1749,0)),"")</f>
        <v>2.2389999999999999</v>
      </c>
      <c r="L819" s="267">
        <f>IFERROR(K819-(TBIcalc!$Q$9+TBIcalc!$Q$10),"")</f>
        <v>1.9891999999999999</v>
      </c>
      <c r="M819" s="391">
        <f>AVERAGE(Ashed_controlls!$K$12:$K$14)</f>
        <v>2.2816647271287041</v>
      </c>
      <c r="N819" s="267">
        <f t="shared" si="61"/>
        <v>1.9438131252479556</v>
      </c>
      <c r="O819" s="267">
        <f>IF(IFERROR(INDEX('Both teabags AfterDry'!$D$3:$D$900,MATCH(J819,'Both teabags AfterDry'!$A$3:$A$900,0)),"")="","",(IFERROR(INDEX('Both teabags AfterDry'!$D$3:$D$900,MATCH(J819,'Both teabags AfterDry'!$A$3:$A$900,0)),"")))</f>
        <v>1.7898000000000001</v>
      </c>
      <c r="P819" s="267">
        <f>IFERROR(IF(O819&gt;0,O819-(TBIcalc!$Q$9),""),"")</f>
        <v>1.6392</v>
      </c>
      <c r="Q819" s="278">
        <f>IFERROR(INDEX('Ashed teabags dry'!$K$2:$K$825,MATCH(J819,'Ashed teabags dry'!$A$2:$A$825,0)),"")</f>
        <v>4.8905449464368154</v>
      </c>
      <c r="R819" s="278">
        <f t="shared" si="62"/>
        <v>1.5590341872380078</v>
      </c>
      <c r="S819" s="268">
        <f>'Dry_Litterbag Placem_Collection'!E160</f>
        <v>42939</v>
      </c>
      <c r="T819" s="268">
        <f>IF('Dry_Litterbag Placem_Collection'!G160="","",'Dry_Litterbag Placem_Collection'!G160)</f>
        <v>43010</v>
      </c>
      <c r="U819" s="269">
        <f t="shared" si="60"/>
        <v>71</v>
      </c>
      <c r="V819" s="267">
        <f t="shared" si="63"/>
        <v>0.34999999999999987</v>
      </c>
      <c r="W819" s="267">
        <f t="shared" si="64"/>
        <v>0.38477893800994778</v>
      </c>
      <c r="X819" s="271">
        <f>IFERROR(INDEX(Rainfall_Dry!$O$2:$O$217,MATCH(B819, Rainfall_Dry!$A$2:$A$217,0)),"")</f>
        <v>137.19979645800001</v>
      </c>
      <c r="Y819" s="260">
        <v>27.96</v>
      </c>
      <c r="Z819" s="260">
        <v>4.9200000000000017</v>
      </c>
      <c r="AA819" s="260">
        <v>67.12</v>
      </c>
      <c r="AB819" s="261" t="s">
        <v>2670</v>
      </c>
      <c r="AC819" s="260">
        <v>6.0437161163134503</v>
      </c>
      <c r="AD819">
        <f>IF('WetLitterbags placem_collection'!AB160="","",'WetLitterbags placem_collection'!AB160)</f>
        <v>1.9</v>
      </c>
      <c r="AE819">
        <f>IF('WetLitterbags placem_collection'!Z160="","",'WetLitterbags placem_collection'!Z160)</f>
        <v>4.3</v>
      </c>
      <c r="AF819" s="24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71">
        <f>IFERROR(AVERAGE('Dry_Litterbag Placem_Collection'!N160,'Dry_Litterbag Placem_Collection'!Q160),"")</f>
        <v>31.8</v>
      </c>
      <c r="AJ819" s="270">
        <f>INDEX(Coordinates!$B$2:$B$197,MATCH(G819,Coordinates!$J$2:$J$197,0))</f>
        <v>-2.3679270410000002</v>
      </c>
      <c r="AK819" s="270">
        <f>INDEX(Coordinates!$C$2:$C$197,MATCH(G819,Coordinates!$J$2:$J$197,0))</f>
        <v>34.059300020000002</v>
      </c>
      <c r="AL819" s="270" t="str">
        <f>IF(ISNUMBER(SEARCH("C", 'Dry_Litterbag Placem_Collection'!V160)),"YES","NO")</f>
        <v>NO</v>
      </c>
      <c r="AM819" s="270" t="str">
        <f>IF(ISNUMBER(SEARCH("H", 'Dry_Litterbag Placem_Collection'!V160)),"YES","NO")</f>
        <v>NO</v>
      </c>
      <c r="AN819" s="270" t="str">
        <f>IF(ISNUMBER(SEARCH("R", 'Dry_Litterbag Placem_Collection'!V160)),"YES","NO")</f>
        <v>NO</v>
      </c>
    </row>
    <row r="820" spans="1:40" ht="15" customHeight="1">
      <c r="A820" s="262" t="s">
        <v>2659</v>
      </c>
      <c r="B820" s="263">
        <f>'Dry_Litterbag Placem_Collection'!A161</f>
        <v>159</v>
      </c>
      <c r="C820" s="263" t="str">
        <f>'Dry_Litterbag Placem_Collection'!B161</f>
        <v xml:space="preserve">Mwantimba
</v>
      </c>
      <c r="D820" s="263" t="s">
        <v>2659</v>
      </c>
      <c r="E820" s="263" t="s">
        <v>20</v>
      </c>
      <c r="F820" s="263">
        <v>4</v>
      </c>
      <c r="G820" s="264" t="str">
        <f>'Dry_Litterbag Placem_Collection'!C161</f>
        <v>Wet_P4_T7</v>
      </c>
      <c r="H820" s="273" t="s">
        <v>3651</v>
      </c>
      <c r="I820" s="274" t="s">
        <v>298</v>
      </c>
      <c r="J820" s="263" t="str">
        <f>IF(ISBLANK('Dry_Litterbag Placem_Collection'!M161),"","R"&amp;""&amp;'Dry_Litterbag Placem_Collection'!M161)</f>
        <v/>
      </c>
      <c r="K820" s="267" t="str">
        <f>IFERROR(INDEX('Green_rooibos initial weight'!$C$5:$C$1749,MATCH(J820, 'Green_rooibos initial weight'!$A$5:$A$1749,0)),"")</f>
        <v/>
      </c>
      <c r="L820" s="267" t="str">
        <f>IFERROR(K820-(TBIcalc!$Q$9+TBIcalc!$Q$10),"")</f>
        <v/>
      </c>
      <c r="M820" s="391">
        <f>AVERAGE(Ashed_controlls!$K$12:$K$14)</f>
        <v>2.2816647271287041</v>
      </c>
      <c r="N820" s="267" t="str">
        <f t="shared" si="61"/>
        <v/>
      </c>
      <c r="O820" s="267" t="str">
        <f>IF(IFERROR(INDEX('Both teabags AfterDry'!$D$3:$D$900,MATCH(J820,'Both teabags AfterDry'!$A$3:$A$900,0)),"")="","",(IFERROR(INDEX('Both teabags AfterDry'!$D$3:$D$900,MATCH(J820,'Both teabags AfterDry'!$A$3:$A$900,0)),"")))</f>
        <v/>
      </c>
      <c r="P820" s="267" t="str">
        <f>IFERROR(IF(O820&gt;0,O820-(TBIcalc!$Q$9),""),"")</f>
        <v/>
      </c>
      <c r="Q820" s="278" t="str">
        <f>IFERROR(INDEX('Ashed teabags dry'!$K$2:$K$825,MATCH(J820,'Ashed teabags dry'!$A$2:$A$825,0)),"")</f>
        <v/>
      </c>
      <c r="R820" s="278" t="str">
        <f t="shared" si="62"/>
        <v/>
      </c>
      <c r="S820" s="268">
        <f>'Dry_Litterbag Placem_Collection'!E161</f>
        <v>0</v>
      </c>
      <c r="T820" s="268" t="str">
        <f>IF('Dry_Litterbag Placem_Collection'!G161="","",'Dry_Litterbag Placem_Collection'!G161)</f>
        <v/>
      </c>
      <c r="U820" s="269" t="str">
        <f t="shared" si="60"/>
        <v/>
      </c>
      <c r="V820" s="267" t="str">
        <f t="shared" si="63"/>
        <v/>
      </c>
      <c r="W820" s="267" t="str">
        <f t="shared" si="64"/>
        <v/>
      </c>
      <c r="X820" s="271" t="str">
        <f>IFERROR(INDEX(Rainfall_Dry!$O$2:$O$217,MATCH(B820, Rainfall_Dry!$A$2:$A$217,0)),"")</f>
        <v/>
      </c>
      <c r="Y820" s="260">
        <v>27.96</v>
      </c>
      <c r="Z820" s="260">
        <v>4.9200000000000017</v>
      </c>
      <c r="AA820" s="260">
        <v>67.12</v>
      </c>
      <c r="AB820" s="261" t="s">
        <v>2670</v>
      </c>
      <c r="AC820" s="260">
        <v>7.0437161163134503</v>
      </c>
      <c r="AD820">
        <f>IF('WetLitterbags placem_collection'!AB161="","",'WetLitterbags placem_collection'!AB161)</f>
        <v>2.65</v>
      </c>
      <c r="AE820">
        <f>IF('WetLitterbags placem_collection'!Z161="","",'WetLitterbags placem_collection'!Z161)</f>
        <v>0</v>
      </c>
      <c r="AF820" s="24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71" t="str">
        <f>IFERROR(AVERAGE('Dry_Litterbag Placem_Collection'!N161,'Dry_Litterbag Placem_Collection'!Q161),"")</f>
        <v/>
      </c>
      <c r="AJ820" s="270">
        <f>INDEX(Coordinates!$B$2:$B$197,MATCH(G820,Coordinates!$J$2:$J$197,0))</f>
        <v>-2.3676829599999998</v>
      </c>
      <c r="AK820" s="270">
        <f>INDEX(Coordinates!$C$2:$C$197,MATCH(G820,Coordinates!$J$2:$J$197,0))</f>
        <v>34.059236990000002</v>
      </c>
      <c r="AL820" s="270" t="str">
        <f>IF(ISNUMBER(SEARCH("C", 'Dry_Litterbag Placem_Collection'!V161)),"YES","NO")</f>
        <v>NO</v>
      </c>
      <c r="AM820" s="270" t="str">
        <f>IF(ISNUMBER(SEARCH("H", 'Dry_Litterbag Placem_Collection'!V161)),"YES","NO")</f>
        <v>NO</v>
      </c>
      <c r="AN820" s="270" t="str">
        <f>IF(ISNUMBER(SEARCH("R", 'Dry_Litterbag Placem_Collection'!V161)),"YES","NO")</f>
        <v>NO</v>
      </c>
    </row>
    <row r="821" spans="1:40" ht="15" customHeight="1">
      <c r="A821" s="262" t="s">
        <v>2659</v>
      </c>
      <c r="B821" s="263">
        <f>'Dry_Litterbag Placem_Collection'!A162</f>
        <v>160</v>
      </c>
      <c r="C821" s="263" t="str">
        <f>'Dry_Litterbag Placem_Collection'!B162</f>
        <v xml:space="preserve">Mwantimba
</v>
      </c>
      <c r="D821" s="263" t="s">
        <v>2659</v>
      </c>
      <c r="E821" s="263" t="s">
        <v>20</v>
      </c>
      <c r="F821" s="263">
        <v>4</v>
      </c>
      <c r="G821" s="264" t="str">
        <f>'Dry_Litterbag Placem_Collection'!C162</f>
        <v>Wet_P4_T8</v>
      </c>
      <c r="H821" s="273" t="s">
        <v>3651</v>
      </c>
      <c r="I821" s="274" t="s">
        <v>298</v>
      </c>
      <c r="J821" s="263" t="str">
        <f>IF(ISBLANK('Dry_Litterbag Placem_Collection'!M162),"","R"&amp;""&amp;'Dry_Litterbag Placem_Collection'!M162)</f>
        <v>R350</v>
      </c>
      <c r="K821" s="267">
        <f>IFERROR(INDEX('Green_rooibos initial weight'!$C$5:$C$1749,MATCH(J821, 'Green_rooibos initial weight'!$A$5:$A$1749,0)),"")</f>
        <v>2.21</v>
      </c>
      <c r="L821" s="267">
        <f>IFERROR(K821-(TBIcalc!$Q$9+TBIcalc!$Q$10),"")</f>
        <v>1.9601999999999999</v>
      </c>
      <c r="M821" s="391">
        <f>AVERAGE(Ashed_controlls!$K$12:$K$14)</f>
        <v>2.2816647271287041</v>
      </c>
      <c r="N821" s="267">
        <f t="shared" si="61"/>
        <v>1.9154748080188231</v>
      </c>
      <c r="O821" s="267">
        <f>IF(IFERROR(INDEX('Both teabags AfterDry'!$D$3:$D$900,MATCH(J821,'Both teabags AfterDry'!$A$3:$A$900,0)),"")="","",(IFERROR(INDEX('Both teabags AfterDry'!$D$3:$D$900,MATCH(J821,'Both teabags AfterDry'!$A$3:$A$900,0)),"")))</f>
        <v>1.9824999999999999</v>
      </c>
      <c r="P821" s="267">
        <f>IFERROR(IF(O821&gt;0,O821-(TBIcalc!$Q$9),""),"")</f>
        <v>1.8318999999999999</v>
      </c>
      <c r="Q821" s="278">
        <f>IFERROR(INDEX('Ashed teabags dry'!$K$2:$K$825,MATCH(J821,'Ashed teabags dry'!$A$2:$A$825,0)),"")</f>
        <v>4.4153323629310188</v>
      </c>
      <c r="R821" s="278">
        <f t="shared" si="62"/>
        <v>1.7510155264434666</v>
      </c>
      <c r="S821" s="268">
        <f>'Dry_Litterbag Placem_Collection'!E162</f>
        <v>42939</v>
      </c>
      <c r="T821" s="268">
        <f>IF('Dry_Litterbag Placem_Collection'!G162="","",'Dry_Litterbag Placem_Collection'!G162)</f>
        <v>43010</v>
      </c>
      <c r="U821" s="269">
        <f t="shared" si="60"/>
        <v>71</v>
      </c>
      <c r="V821" s="267">
        <f t="shared" si="63"/>
        <v>0.12830000000000008</v>
      </c>
      <c r="W821" s="267">
        <f t="shared" si="64"/>
        <v>0.1644592815753565</v>
      </c>
      <c r="X821" s="271">
        <f>IFERROR(INDEX(Rainfall_Dry!$O$2:$O$217,MATCH(B821, Rainfall_Dry!$A$2:$A$217,0)),"")</f>
        <v>137.19979645800001</v>
      </c>
      <c r="Y821" s="260">
        <v>27.96</v>
      </c>
      <c r="Z821" s="260">
        <v>4.9200000000000017</v>
      </c>
      <c r="AA821" s="260">
        <v>67.12</v>
      </c>
      <c r="AB821" s="261" t="s">
        <v>2670</v>
      </c>
      <c r="AC821" s="260">
        <v>8.0437161163134494</v>
      </c>
      <c r="AD821">
        <f>IF('WetLitterbags placem_collection'!AB162="","",'WetLitterbags placem_collection'!AB162)</f>
        <v>0.8</v>
      </c>
      <c r="AE821">
        <f>IF('WetLitterbags placem_collection'!Z162="","",'WetLitterbags placem_collection'!Z162)</f>
        <v>10.8</v>
      </c>
      <c r="AF821" s="24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71">
        <f>IFERROR(AVERAGE('Dry_Litterbag Placem_Collection'!N162,'Dry_Litterbag Placem_Collection'!Q162),"")</f>
        <v>29.200000000000003</v>
      </c>
      <c r="AJ821" s="270">
        <f>INDEX(Coordinates!$B$2:$B$197,MATCH(G821,Coordinates!$J$2:$J$197,0))</f>
        <v>-2.367547005</v>
      </c>
      <c r="AK821" s="270">
        <f>INDEX(Coordinates!$C$2:$C$197,MATCH(G821,Coordinates!$J$2:$J$197,0))</f>
        <v>34.059494989999997</v>
      </c>
      <c r="AL821" s="270" t="str">
        <f>IF(ISNUMBER(SEARCH("C", 'Dry_Litterbag Placem_Collection'!V162)),"YES","NO")</f>
        <v>NO</v>
      </c>
      <c r="AM821" s="270" t="str">
        <f>IF(ISNUMBER(SEARCH("H", 'Dry_Litterbag Placem_Collection'!V162)),"YES","NO")</f>
        <v>NO</v>
      </c>
      <c r="AN821" s="270" t="str">
        <f>IF(ISNUMBER(SEARCH("R", 'Dry_Litterbag Placem_Collection'!V162)),"YES","NO")</f>
        <v>NO</v>
      </c>
    </row>
    <row r="822" spans="1:40" ht="15" customHeight="1">
      <c r="A822" s="262" t="s">
        <v>2659</v>
      </c>
      <c r="B822" s="263">
        <f>'Dry_Litterbag Placem_Collection'!A163</f>
        <v>161</v>
      </c>
      <c r="C822" s="263" t="str">
        <f>'Dry_Litterbag Placem_Collection'!B163</f>
        <v>Handajega</v>
      </c>
      <c r="D822" s="263" t="s">
        <v>2659</v>
      </c>
      <c r="E822" s="263" t="s">
        <v>2661</v>
      </c>
      <c r="F822" s="263">
        <v>1</v>
      </c>
      <c r="G822" s="264" t="str">
        <f>'Dry_Litterbag Placem_Collection'!C163</f>
        <v>Wet_W1_T1</v>
      </c>
      <c r="H822" s="273" t="s">
        <v>3651</v>
      </c>
      <c r="I822" s="274" t="s">
        <v>298</v>
      </c>
      <c r="J822" s="263" t="str">
        <f>IF(ISBLANK('Dry_Litterbag Placem_Collection'!M163),"","R"&amp;""&amp;'Dry_Litterbag Placem_Collection'!M163)</f>
        <v>R314</v>
      </c>
      <c r="K822" s="267">
        <f>IFERROR(INDEX('Green_rooibos initial weight'!$C$5:$C$1749,MATCH(J822, 'Green_rooibos initial weight'!$A$5:$A$1749,0)),"")</f>
        <v>2.17</v>
      </c>
      <c r="L822" s="267">
        <f>IFERROR(K822-(TBIcalc!$Q$9+TBIcalc!$Q$10),"")</f>
        <v>1.9201999999999999</v>
      </c>
      <c r="M822" s="391">
        <f>AVERAGE(Ashed_controlls!$K$12:$K$14)</f>
        <v>2.2816647271287041</v>
      </c>
      <c r="N822" s="267">
        <f t="shared" si="61"/>
        <v>1.8763874739096746</v>
      </c>
      <c r="O822" s="267">
        <f>IF(IFERROR(INDEX('Both teabags AfterDry'!$D$3:$D$900,MATCH(J822,'Both teabags AfterDry'!$A$3:$A$900,0)),"")="","",(IFERROR(INDEX('Both teabags AfterDry'!$D$3:$D$900,MATCH(J822,'Both teabags AfterDry'!$A$3:$A$900,0)),"")))</f>
        <v>1.7397</v>
      </c>
      <c r="P822" s="267">
        <f>IFERROR(IF(O822&gt;0,O822-(TBIcalc!$Q$9),""),"")</f>
        <v>1.5891</v>
      </c>
      <c r="Q822" s="278">
        <f>IFERROR(INDEX('Ashed teabags dry'!$K$2:$K$825,MATCH(J822,'Ashed teabags dry'!$A$2:$A$825,0)),"")</f>
        <v>4.8425011753644043</v>
      </c>
      <c r="R822" s="278">
        <f t="shared" si="62"/>
        <v>1.5121478138222841</v>
      </c>
      <c r="S822" s="268">
        <f>'Dry_Litterbag Placem_Collection'!E163</f>
        <v>42940</v>
      </c>
      <c r="T822" s="268">
        <f>IF('Dry_Litterbag Placem_Collection'!G163="","",'Dry_Litterbag Placem_Collection'!G163)</f>
        <v>43009</v>
      </c>
      <c r="U822" s="269">
        <f t="shared" si="60"/>
        <v>69</v>
      </c>
      <c r="V822" s="267">
        <f t="shared" si="63"/>
        <v>0.33109999999999995</v>
      </c>
      <c r="W822" s="267">
        <f t="shared" si="64"/>
        <v>0.3642396600873905</v>
      </c>
      <c r="X822" s="271">
        <f>IFERROR(INDEX(Rainfall_Dry!$O$2:$O$217,MATCH(B822, Rainfall_Dry!$A$2:$A$217,0)),"")</f>
        <v>162.634207253</v>
      </c>
      <c r="Y822" s="260">
        <v>21.96</v>
      </c>
      <c r="Z822" s="260">
        <v>4.9199999999999982</v>
      </c>
      <c r="AA822" s="260">
        <v>73.12</v>
      </c>
      <c r="AB822" s="261" t="s">
        <v>2670</v>
      </c>
      <c r="AC822" s="260">
        <v>1.2416954164613114</v>
      </c>
      <c r="AD822">
        <f>IF('WetLitterbags placem_collection'!AB163="","",'WetLitterbags placem_collection'!AB163)</f>
        <v>7.6</v>
      </c>
      <c r="AE822">
        <f>IF('WetLitterbags placem_collection'!Z163="","",'WetLitterbags placem_collection'!Z163)</f>
        <v>35.799999999999997</v>
      </c>
      <c r="AF822" s="24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71">
        <f>IFERROR(AVERAGE('Dry_Litterbag Placem_Collection'!N163,'Dry_Litterbag Placem_Collection'!Q163),"")</f>
        <v>31.7</v>
      </c>
      <c r="AJ822" s="270">
        <f>INDEX(Coordinates!$B$2:$B$197,MATCH(G822,Coordinates!$J$2:$J$197,0))</f>
        <v>-2.272751033</v>
      </c>
      <c r="AK822" s="270">
        <f>INDEX(Coordinates!$C$2:$C$197,MATCH(G822,Coordinates!$J$2:$J$197,0))</f>
        <v>34.023176030000002</v>
      </c>
      <c r="AL822" s="270" t="str">
        <f>IF(ISNUMBER(SEARCH("C", 'Dry_Litterbag Placem_Collection'!V163)),"YES","NO")</f>
        <v>NO</v>
      </c>
      <c r="AM822" s="270" t="str">
        <f>IF(ISNUMBER(SEARCH("H", 'Dry_Litterbag Placem_Collection'!V163)),"YES","NO")</f>
        <v>NO</v>
      </c>
      <c r="AN822" s="270" t="str">
        <f>IF(ISNUMBER(SEARCH("R", 'Dry_Litterbag Placem_Collection'!V163)),"YES","NO")</f>
        <v>NO</v>
      </c>
    </row>
    <row r="823" spans="1:40" ht="15" customHeight="1">
      <c r="A823" s="262" t="s">
        <v>2659</v>
      </c>
      <c r="B823" s="263">
        <f>'Dry_Litterbag Placem_Collection'!A164</f>
        <v>162</v>
      </c>
      <c r="C823" s="263" t="str">
        <f>'Dry_Litterbag Placem_Collection'!B164</f>
        <v>Handajega</v>
      </c>
      <c r="D823" s="263" t="s">
        <v>2659</v>
      </c>
      <c r="E823" s="263" t="s">
        <v>2661</v>
      </c>
      <c r="F823" s="263">
        <v>1</v>
      </c>
      <c r="G823" s="264" t="str">
        <f>'Dry_Litterbag Placem_Collection'!C164</f>
        <v>Wet_W1_T2</v>
      </c>
      <c r="H823" s="273" t="s">
        <v>3651</v>
      </c>
      <c r="I823" s="274" t="s">
        <v>298</v>
      </c>
      <c r="J823" s="263" t="str">
        <f>IF(ISBLANK('Dry_Litterbag Placem_Collection'!M164),"","R"&amp;""&amp;'Dry_Litterbag Placem_Collection'!M164)</f>
        <v>R425</v>
      </c>
      <c r="K823" s="267">
        <f>IFERROR(INDEX('Green_rooibos initial weight'!$C$5:$C$1749,MATCH(J823, 'Green_rooibos initial weight'!$A$5:$A$1749,0)),"")</f>
        <v>2.25</v>
      </c>
      <c r="L823" s="267">
        <f>IFERROR(K823-(TBIcalc!$Q$9+TBIcalc!$Q$10),"")</f>
        <v>2.0002</v>
      </c>
      <c r="M823" s="391">
        <f>AVERAGE(Ashed_controlls!$K$12:$K$14)</f>
        <v>2.2816647271287041</v>
      </c>
      <c r="N823" s="267">
        <f t="shared" si="61"/>
        <v>1.9545621421279717</v>
      </c>
      <c r="O823" s="267">
        <f>IF(IFERROR(INDEX('Both teabags AfterDry'!$D$3:$D$900,MATCH(J823,'Both teabags AfterDry'!$A$3:$A$900,0)),"")="","",(IFERROR(INDEX('Both teabags AfterDry'!$D$3:$D$900,MATCH(J823,'Both teabags AfterDry'!$A$3:$A$900,0)),"")))</f>
        <v>1.8856999999999999</v>
      </c>
      <c r="P823" s="267">
        <f>IFERROR(IF(O823&gt;0,O823-(TBIcalc!$Q$9),""),"")</f>
        <v>1.7350999999999999</v>
      </c>
      <c r="Q823" s="278">
        <f>IFERROR(INDEX('Ashed teabags dry'!$K$2:$K$825,MATCH(J823,'Ashed teabags dry'!$A$2:$A$825,0)),"")</f>
        <v>6.8486590038315791</v>
      </c>
      <c r="R823" s="278">
        <f t="shared" si="62"/>
        <v>1.6162689176245182</v>
      </c>
      <c r="S823" s="268">
        <f>'Dry_Litterbag Placem_Collection'!E164</f>
        <v>42940</v>
      </c>
      <c r="T823" s="268">
        <f>IF('Dry_Litterbag Placem_Collection'!G164="","",'Dry_Litterbag Placem_Collection'!G164)</f>
        <v>43009</v>
      </c>
      <c r="U823" s="269">
        <f t="shared" si="60"/>
        <v>69</v>
      </c>
      <c r="V823" s="267">
        <f t="shared" si="63"/>
        <v>0.26510000000000011</v>
      </c>
      <c r="W823" s="267">
        <f t="shared" si="64"/>
        <v>0.33829322450345356</v>
      </c>
      <c r="X823" s="271">
        <f>IFERROR(INDEX(Rainfall_Dry!$O$2:$O$217,MATCH(B823, Rainfall_Dry!$A$2:$A$217,0)),"")</f>
        <v>162.634207253</v>
      </c>
      <c r="Y823" s="260">
        <v>21.96</v>
      </c>
      <c r="Z823" s="260">
        <v>4.9199999999999982</v>
      </c>
      <c r="AA823" s="260">
        <v>73.12</v>
      </c>
      <c r="AB823" s="261" t="s">
        <v>2670</v>
      </c>
      <c r="AC823" s="260">
        <v>2.2416954164613099</v>
      </c>
      <c r="AD823">
        <f>IF('WetLitterbags placem_collection'!AB164="","",'WetLitterbags placem_collection'!AB164)</f>
        <v>4.0999999999999996</v>
      </c>
      <c r="AE823">
        <f>IF('WetLitterbags placem_collection'!Z164="","",'WetLitterbags placem_collection'!Z164)</f>
        <v>31.4</v>
      </c>
      <c r="AF823" s="24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71">
        <f>IFERROR(AVERAGE('Dry_Litterbag Placem_Collection'!N164,'Dry_Litterbag Placem_Collection'!Q164),"")</f>
        <v>31.650000000000002</v>
      </c>
      <c r="AJ823" s="270">
        <f>INDEX(Coordinates!$B$2:$B$197,MATCH(G823,Coordinates!$J$2:$J$197,0))</f>
        <v>-2.2727060219999999</v>
      </c>
      <c r="AK823" s="270">
        <f>INDEX(Coordinates!$C$2:$C$197,MATCH(G823,Coordinates!$J$2:$J$197,0))</f>
        <v>34.023162030000002</v>
      </c>
      <c r="AL823" s="270" t="str">
        <f>IF(ISNUMBER(SEARCH("C", 'Dry_Litterbag Placem_Collection'!V164)),"YES","NO")</f>
        <v>NO</v>
      </c>
      <c r="AM823" s="270" t="str">
        <f>IF(ISNUMBER(SEARCH("H", 'Dry_Litterbag Placem_Collection'!V164)),"YES","NO")</f>
        <v>NO</v>
      </c>
      <c r="AN823" s="270" t="str">
        <f>IF(ISNUMBER(SEARCH("R", 'Dry_Litterbag Placem_Collection'!V164)),"YES","NO")</f>
        <v>NO</v>
      </c>
    </row>
    <row r="824" spans="1:40" ht="15" customHeight="1">
      <c r="A824" s="262" t="s">
        <v>2659</v>
      </c>
      <c r="B824" s="263">
        <f>'Dry_Litterbag Placem_Collection'!A165</f>
        <v>163</v>
      </c>
      <c r="C824" s="263" t="str">
        <f>'Dry_Litterbag Placem_Collection'!B165</f>
        <v>Handajega</v>
      </c>
      <c r="D824" s="263" t="s">
        <v>2659</v>
      </c>
      <c r="E824" s="263" t="s">
        <v>2661</v>
      </c>
      <c r="F824" s="263">
        <v>1</v>
      </c>
      <c r="G824" s="264" t="str">
        <f>'Dry_Litterbag Placem_Collection'!C165</f>
        <v>Wet_W1_T3</v>
      </c>
      <c r="H824" s="273" t="s">
        <v>3651</v>
      </c>
      <c r="I824" s="274" t="s">
        <v>298</v>
      </c>
      <c r="J824" s="263" t="str">
        <f>IF(ISBLANK('Dry_Litterbag Placem_Collection'!M165),"","R"&amp;""&amp;'Dry_Litterbag Placem_Collection'!M165)</f>
        <v>R267</v>
      </c>
      <c r="K824" s="267">
        <f>IFERROR(INDEX('Green_rooibos initial weight'!$C$5:$C$1749,MATCH(J824, 'Green_rooibos initial weight'!$A$5:$A$1749,0)),"")</f>
        <v>2.1930000000000001</v>
      </c>
      <c r="L824" s="267">
        <f>IFERROR(K824-(TBIcalc!$Q$9+TBIcalc!$Q$10),"")</f>
        <v>1.9432</v>
      </c>
      <c r="M824" s="391">
        <f>AVERAGE(Ashed_controlls!$K$12:$K$14)</f>
        <v>2.2816647271287041</v>
      </c>
      <c r="N824" s="267">
        <f t="shared" si="61"/>
        <v>1.8988626910224351</v>
      </c>
      <c r="O824" s="267">
        <f>IF(IFERROR(INDEX('Both teabags AfterDry'!$D$3:$D$900,MATCH(J824,'Both teabags AfterDry'!$A$3:$A$900,0)),"")="","",(IFERROR(INDEX('Both teabags AfterDry'!$D$3:$D$900,MATCH(J824,'Both teabags AfterDry'!$A$3:$A$900,0)),"")))</f>
        <v>1.7754000000000001</v>
      </c>
      <c r="P824" s="267">
        <f>IFERROR(IF(O824&gt;0,O824-(TBIcalc!$Q$9),""),"")</f>
        <v>1.6248</v>
      </c>
      <c r="Q824" s="278">
        <f>IFERROR(INDEX('Ashed teabags dry'!$K$2:$K$825,MATCH(J824,'Ashed teabags dry'!$A$2:$A$825,0)),"")</f>
        <v>9.0049751243772</v>
      </c>
      <c r="R824" s="278">
        <f t="shared" si="62"/>
        <v>1.4784871641791193</v>
      </c>
      <c r="S824" s="268">
        <f>'Dry_Litterbag Placem_Collection'!E165</f>
        <v>42940</v>
      </c>
      <c r="T824" s="268">
        <f>IF('Dry_Litterbag Placem_Collection'!G165="","",'Dry_Litterbag Placem_Collection'!G165)</f>
        <v>43009</v>
      </c>
      <c r="U824" s="269">
        <f t="shared" si="60"/>
        <v>69</v>
      </c>
      <c r="V824" s="267">
        <f t="shared" si="63"/>
        <v>0.31840000000000002</v>
      </c>
      <c r="W824" s="267">
        <f t="shared" si="64"/>
        <v>0.42037552684331581</v>
      </c>
      <c r="X824" s="271">
        <f>IFERROR(INDEX(Rainfall_Dry!$O$2:$O$217,MATCH(B824, Rainfall_Dry!$A$2:$A$217,0)),"")</f>
        <v>162.634207253</v>
      </c>
      <c r="Y824" s="260">
        <v>21.96</v>
      </c>
      <c r="Z824" s="260">
        <v>4.9199999999999982</v>
      </c>
      <c r="AA824" s="260">
        <v>73.12</v>
      </c>
      <c r="AB824" s="261" t="s">
        <v>2670</v>
      </c>
      <c r="AC824" s="260">
        <v>3.2416954164613099</v>
      </c>
      <c r="AD824">
        <f>IF('WetLitterbags placem_collection'!AB165="","",'WetLitterbags placem_collection'!AB165)</f>
        <v>7.8</v>
      </c>
      <c r="AE824">
        <f>IF('WetLitterbags placem_collection'!Z165="","",'WetLitterbags placem_collection'!Z165)</f>
        <v>28.8</v>
      </c>
      <c r="AF824" s="24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71">
        <f>IFERROR(AVERAGE('Dry_Litterbag Placem_Collection'!N165,'Dry_Litterbag Placem_Collection'!Q165),"")</f>
        <v>32.75</v>
      </c>
      <c r="AJ824" s="270">
        <f>INDEX(Coordinates!$B$2:$B$197,MATCH(G824,Coordinates!$J$2:$J$197,0))</f>
        <v>-2.2726719919999998</v>
      </c>
      <c r="AK824" s="270">
        <f>INDEX(Coordinates!$C$2:$C$197,MATCH(G824,Coordinates!$J$2:$J$197,0))</f>
        <v>34.023210980000002</v>
      </c>
      <c r="AL824" s="270" t="str">
        <f>IF(ISNUMBER(SEARCH("C", 'Dry_Litterbag Placem_Collection'!V165)),"YES","NO")</f>
        <v>NO</v>
      </c>
      <c r="AM824" s="270" t="str">
        <f>IF(ISNUMBER(SEARCH("H", 'Dry_Litterbag Placem_Collection'!V165)),"YES","NO")</f>
        <v>NO</v>
      </c>
      <c r="AN824" s="270" t="str">
        <f>IF(ISNUMBER(SEARCH("R", 'Dry_Litterbag Placem_Collection'!V165)),"YES","NO")</f>
        <v>NO</v>
      </c>
    </row>
    <row r="825" spans="1:40" ht="15" customHeight="1">
      <c r="A825" s="262" t="s">
        <v>2659</v>
      </c>
      <c r="B825" s="263">
        <f>'Dry_Litterbag Placem_Collection'!A166</f>
        <v>164</v>
      </c>
      <c r="C825" s="263" t="str">
        <f>'Dry_Litterbag Placem_Collection'!B166</f>
        <v>Handajega</v>
      </c>
      <c r="D825" s="263" t="s">
        <v>2659</v>
      </c>
      <c r="E825" s="263" t="s">
        <v>2661</v>
      </c>
      <c r="F825" s="263">
        <v>1</v>
      </c>
      <c r="G825" s="264" t="str">
        <f>'Dry_Litterbag Placem_Collection'!C166</f>
        <v>Wet_W1_T4</v>
      </c>
      <c r="H825" s="273" t="s">
        <v>3651</v>
      </c>
      <c r="I825" s="274" t="s">
        <v>298</v>
      </c>
      <c r="J825" s="263" t="str">
        <f>IF(ISBLANK('Dry_Litterbag Placem_Collection'!M166),"","R"&amp;""&amp;'Dry_Litterbag Placem_Collection'!M166)</f>
        <v>R211</v>
      </c>
      <c r="K825" s="267">
        <f>IFERROR(INDEX('Green_rooibos initial weight'!$C$5:$C$1749,MATCH(J825, 'Green_rooibos initial weight'!$A$5:$A$1749,0)),"")</f>
        <v>2.2389999999999999</v>
      </c>
      <c r="L825" s="267">
        <f>IFERROR(K825-(TBIcalc!$Q$9+TBIcalc!$Q$10),"")</f>
        <v>1.9891999999999999</v>
      </c>
      <c r="M825" s="391">
        <f>AVERAGE(Ashed_controlls!$K$12:$K$14)</f>
        <v>2.2816647271287041</v>
      </c>
      <c r="N825" s="267">
        <f t="shared" si="61"/>
        <v>1.9438131252479556</v>
      </c>
      <c r="O825" s="267">
        <f>IF(IFERROR(INDEX('Both teabags AfterDry'!$D$3:$D$900,MATCH(J825,'Both teabags AfterDry'!$A$3:$A$900,0)),"")="","",(IFERROR(INDEX('Both teabags AfterDry'!$D$3:$D$900,MATCH(J825,'Both teabags AfterDry'!$A$3:$A$900,0)),"")))</f>
        <v>1.7732000000000001</v>
      </c>
      <c r="P825" s="267">
        <f>IFERROR(IF(O825&gt;0,O825-(TBIcalc!$Q$9),""),"")</f>
        <v>1.6226</v>
      </c>
      <c r="Q825" s="278">
        <f>IFERROR(INDEX('Ashed teabags dry'!$K$2:$K$825,MATCH(J825,'Ashed teabags dry'!$A$2:$A$825,0)),"")</f>
        <v>6.3861386138614789</v>
      </c>
      <c r="R825" s="278">
        <f t="shared" si="62"/>
        <v>1.5189785148514836</v>
      </c>
      <c r="S825" s="268">
        <f>'Dry_Litterbag Placem_Collection'!E166</f>
        <v>42940</v>
      </c>
      <c r="T825" s="268">
        <f>IF('Dry_Litterbag Placem_Collection'!G166="","",'Dry_Litterbag Placem_Collection'!G166)</f>
        <v>43009</v>
      </c>
      <c r="U825" s="269">
        <f t="shared" si="60"/>
        <v>69</v>
      </c>
      <c r="V825" s="267">
        <f t="shared" si="63"/>
        <v>0.36659999999999981</v>
      </c>
      <c r="W825" s="267">
        <f t="shared" si="64"/>
        <v>0.42483461039647197</v>
      </c>
      <c r="X825" s="271">
        <f>IFERROR(INDEX(Rainfall_Dry!$O$2:$O$217,MATCH(B825, Rainfall_Dry!$A$2:$A$217,0)),"")</f>
        <v>162.634207253</v>
      </c>
      <c r="Y825" s="260">
        <v>21.96</v>
      </c>
      <c r="Z825" s="260">
        <v>4.9199999999999982</v>
      </c>
      <c r="AA825" s="260">
        <v>73.12</v>
      </c>
      <c r="AB825" s="261" t="s">
        <v>2670</v>
      </c>
      <c r="AC825" s="260">
        <v>4.2416954164613099</v>
      </c>
      <c r="AD825">
        <f>IF('WetLitterbags placem_collection'!AB166="","",'WetLitterbags placem_collection'!AB166)</f>
        <v>9.5</v>
      </c>
      <c r="AE825">
        <f>IF('WetLitterbags placem_collection'!Z166="","",'WetLitterbags placem_collection'!Z166)</f>
        <v>20.8</v>
      </c>
      <c r="AF825" s="24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71">
        <f>IFERROR(AVERAGE('Dry_Litterbag Placem_Collection'!N166,'Dry_Litterbag Placem_Collection'!Q166),"")</f>
        <v>31.3</v>
      </c>
      <c r="AJ825" s="270">
        <f>INDEX(Coordinates!$B$2:$B$197,MATCH(G825,Coordinates!$J$2:$J$197,0))</f>
        <v>-2.2726180130000002</v>
      </c>
      <c r="AK825" s="270">
        <f>INDEX(Coordinates!$C$2:$C$197,MATCH(G825,Coordinates!$J$2:$J$197,0))</f>
        <v>34.023212999999998</v>
      </c>
      <c r="AL825" s="270" t="str">
        <f>IF(ISNUMBER(SEARCH("C", 'Dry_Litterbag Placem_Collection'!V166)),"YES","NO")</f>
        <v>NO</v>
      </c>
      <c r="AM825" s="270" t="str">
        <f>IF(ISNUMBER(SEARCH("H", 'Dry_Litterbag Placem_Collection'!V166)),"YES","NO")</f>
        <v>NO</v>
      </c>
      <c r="AN825" s="270" t="str">
        <f>IF(ISNUMBER(SEARCH("R", 'Dry_Litterbag Placem_Collection'!V166)),"YES","NO")</f>
        <v>YES</v>
      </c>
    </row>
    <row r="826" spans="1:40" ht="15" customHeight="1">
      <c r="A826" s="262" t="s">
        <v>2659</v>
      </c>
      <c r="B826" s="263">
        <f>'Dry_Litterbag Placem_Collection'!A167</f>
        <v>165</v>
      </c>
      <c r="C826" s="263" t="str">
        <f>'Dry_Litterbag Placem_Collection'!B167</f>
        <v>Handajega</v>
      </c>
      <c r="D826" s="263" t="s">
        <v>2659</v>
      </c>
      <c r="E826" s="263" t="s">
        <v>2661</v>
      </c>
      <c r="F826" s="263">
        <v>1</v>
      </c>
      <c r="G826" s="264" t="str">
        <f>'Dry_Litterbag Placem_Collection'!C167</f>
        <v>Wet_W1_T5</v>
      </c>
      <c r="H826" s="273" t="s">
        <v>3651</v>
      </c>
      <c r="I826" s="274" t="s">
        <v>298</v>
      </c>
      <c r="J826" s="263" t="str">
        <f>IF(ISBLANK('Dry_Litterbag Placem_Collection'!M167),"","R"&amp;""&amp;'Dry_Litterbag Placem_Collection'!M167)</f>
        <v>R310</v>
      </c>
      <c r="K826" s="267">
        <f>IFERROR(INDEX('Green_rooibos initial weight'!$C$5:$C$1749,MATCH(J826, 'Green_rooibos initial weight'!$A$5:$A$1749,0)),"")</f>
        <v>2.2170000000000001</v>
      </c>
      <c r="L826" s="267">
        <f>IFERROR(K826-(TBIcalc!$Q$9+TBIcalc!$Q$10),"")</f>
        <v>1.9672000000000001</v>
      </c>
      <c r="M826" s="391">
        <f>AVERAGE(Ashed_controlls!$K$12:$K$14)</f>
        <v>2.2816647271287041</v>
      </c>
      <c r="N826" s="267">
        <f t="shared" si="61"/>
        <v>1.9223150914879241</v>
      </c>
      <c r="O826" s="267">
        <f>IF(IFERROR(INDEX('Both teabags AfterDry'!$D$3:$D$900,MATCH(J826,'Both teabags AfterDry'!$A$3:$A$900,0)),"")="","",(IFERROR(INDEX('Both teabags AfterDry'!$D$3:$D$900,MATCH(J826,'Both teabags AfterDry'!$A$3:$A$900,0)),"")))</f>
        <v>1.7559</v>
      </c>
      <c r="P826" s="267">
        <f>IFERROR(IF(O826&gt;0,O826-(TBIcalc!$Q$9),""),"")</f>
        <v>1.6052999999999999</v>
      </c>
      <c r="Q826" s="278">
        <f>IFERROR(INDEX('Ashed teabags dry'!$K$2:$K$825,MATCH(J826,'Ashed teabags dry'!$A$2:$A$825,0)),"")</f>
        <v>4.4911610129003776</v>
      </c>
      <c r="R826" s="278">
        <f t="shared" si="62"/>
        <v>1.5332033922599102</v>
      </c>
      <c r="S826" s="268">
        <f>'Dry_Litterbag Placem_Collection'!E167</f>
        <v>42940</v>
      </c>
      <c r="T826" s="268">
        <f>IF('Dry_Litterbag Placem_Collection'!G167="","",'Dry_Litterbag Placem_Collection'!G167)</f>
        <v>43009</v>
      </c>
      <c r="U826" s="269">
        <f t="shared" si="60"/>
        <v>69</v>
      </c>
      <c r="V826" s="267">
        <f t="shared" si="63"/>
        <v>0.36190000000000011</v>
      </c>
      <c r="W826" s="267">
        <f t="shared" si="64"/>
        <v>0.38911169922801392</v>
      </c>
      <c r="X826" s="271">
        <f>IFERROR(INDEX(Rainfall_Dry!$O$2:$O$217,MATCH(B826, Rainfall_Dry!$A$2:$A$217,0)),"")</f>
        <v>162.634207253</v>
      </c>
      <c r="Y826" s="260">
        <v>21.96</v>
      </c>
      <c r="Z826" s="260">
        <v>4.9199999999999982</v>
      </c>
      <c r="AA826" s="260">
        <v>73.12</v>
      </c>
      <c r="AB826" s="261" t="s">
        <v>2670</v>
      </c>
      <c r="AC826" s="260">
        <v>5.2416954164613099</v>
      </c>
      <c r="AD826">
        <f>IF('WetLitterbags placem_collection'!AB167="","",'WetLitterbags placem_collection'!AB167)</f>
        <v>10.4</v>
      </c>
      <c r="AE826">
        <f>IF('WetLitterbags placem_collection'!Z167="","",'WetLitterbags placem_collection'!Z167)</f>
        <v>13.8</v>
      </c>
      <c r="AF826" s="24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71">
        <f>IFERROR(AVERAGE('Dry_Litterbag Placem_Collection'!N167,'Dry_Litterbag Placem_Collection'!Q167),"")</f>
        <v>32.049999999999997</v>
      </c>
      <c r="AJ826" s="270">
        <f>INDEX(Coordinates!$B$2:$B$197,MATCH(G826,Coordinates!$J$2:$J$197,0))</f>
        <v>-2.2724750170000001</v>
      </c>
      <c r="AK826" s="270">
        <f>INDEX(Coordinates!$C$2:$C$197,MATCH(G826,Coordinates!$J$2:$J$197,0))</f>
        <v>34.02334501</v>
      </c>
      <c r="AL826" s="270" t="str">
        <f>IF(ISNUMBER(SEARCH("C", 'Dry_Litterbag Placem_Collection'!V167)),"YES","NO")</f>
        <v>NO</v>
      </c>
      <c r="AM826" s="270" t="str">
        <f>IF(ISNUMBER(SEARCH("H", 'Dry_Litterbag Placem_Collection'!V167)),"YES","NO")</f>
        <v>NO</v>
      </c>
      <c r="AN826" s="270" t="str">
        <f>IF(ISNUMBER(SEARCH("R", 'Dry_Litterbag Placem_Collection'!V167)),"YES","NO")</f>
        <v>NO</v>
      </c>
    </row>
    <row r="827" spans="1:40" ht="15" customHeight="1">
      <c r="A827" s="262" t="s">
        <v>2659</v>
      </c>
      <c r="B827" s="263">
        <f>'Dry_Litterbag Placem_Collection'!A168</f>
        <v>166</v>
      </c>
      <c r="C827" s="263" t="str">
        <f>'Dry_Litterbag Placem_Collection'!B168</f>
        <v>Handajega</v>
      </c>
      <c r="D827" s="263" t="s">
        <v>2659</v>
      </c>
      <c r="E827" s="263" t="s">
        <v>2661</v>
      </c>
      <c r="F827" s="263">
        <v>1</v>
      </c>
      <c r="G827" s="264" t="str">
        <f>'Dry_Litterbag Placem_Collection'!C168</f>
        <v>Wet_W1_T6</v>
      </c>
      <c r="H827" s="273" t="s">
        <v>3651</v>
      </c>
      <c r="I827" s="274" t="s">
        <v>298</v>
      </c>
      <c r="J827" s="263" t="str">
        <f>IF(ISBLANK('Dry_Litterbag Placem_Collection'!M168),"","R"&amp;""&amp;'Dry_Litterbag Placem_Collection'!M168)</f>
        <v>R269</v>
      </c>
      <c r="K827" s="267">
        <f>IFERROR(INDEX('Green_rooibos initial weight'!$C$5:$C$1749,MATCH(J827, 'Green_rooibos initial weight'!$A$5:$A$1749,0)),"")</f>
        <v>2.278</v>
      </c>
      <c r="L827" s="267">
        <f>IFERROR(K827-(TBIcalc!$Q$9+TBIcalc!$Q$10),"")</f>
        <v>2.0282</v>
      </c>
      <c r="M827" s="391">
        <f>AVERAGE(Ashed_controlls!$K$12:$K$14)</f>
        <v>2.2816647271287041</v>
      </c>
      <c r="N827" s="267">
        <f t="shared" si="61"/>
        <v>1.9819232760043757</v>
      </c>
      <c r="O827" s="267">
        <f>IF(IFERROR(INDEX('Both teabags AfterDry'!$D$3:$D$900,MATCH(J827,'Both teabags AfterDry'!$A$3:$A$900,0)),"")="","",(IFERROR(INDEX('Both teabags AfterDry'!$D$3:$D$900,MATCH(J827,'Both teabags AfterDry'!$A$3:$A$900,0)),"")))</f>
        <v>1.8042</v>
      </c>
      <c r="P827" s="267">
        <f>IFERROR(IF(O827&gt;0,O827-(TBIcalc!$Q$9),""),"")</f>
        <v>1.6536</v>
      </c>
      <c r="Q827" s="278">
        <f>IFERROR(INDEX('Ashed teabags dry'!$K$2:$K$825,MATCH(J827,'Ashed teabags dry'!$A$2:$A$825,0)),"")</f>
        <v>8.1481481481479836</v>
      </c>
      <c r="R827" s="278">
        <f t="shared" si="62"/>
        <v>1.518862222222225</v>
      </c>
      <c r="S827" s="268">
        <f>'Dry_Litterbag Placem_Collection'!E168</f>
        <v>42940</v>
      </c>
      <c r="T827" s="268">
        <f>IF('Dry_Litterbag Placem_Collection'!G168="","",'Dry_Litterbag Placem_Collection'!G168)</f>
        <v>43009</v>
      </c>
      <c r="U827" s="269">
        <f t="shared" si="60"/>
        <v>69</v>
      </c>
      <c r="V827" s="267">
        <f t="shared" si="63"/>
        <v>0.37460000000000004</v>
      </c>
      <c r="W827" s="267">
        <f t="shared" si="64"/>
        <v>0.46306105378215068</v>
      </c>
      <c r="X827" s="271">
        <f>IFERROR(INDEX(Rainfall_Dry!$O$2:$O$217,MATCH(B827, Rainfall_Dry!$A$2:$A$217,0)),"")</f>
        <v>162.634207253</v>
      </c>
      <c r="Y827" s="260">
        <v>21.96</v>
      </c>
      <c r="Z827" s="260">
        <v>4.9199999999999982</v>
      </c>
      <c r="AA827" s="260">
        <v>73.12</v>
      </c>
      <c r="AB827" s="261" t="s">
        <v>2670</v>
      </c>
      <c r="AC827" s="260">
        <v>6.2416954164613099</v>
      </c>
      <c r="AD827">
        <f>IF('WetLitterbags placem_collection'!AB168="","",'WetLitterbags placem_collection'!AB168)</f>
        <v>2.1</v>
      </c>
      <c r="AE827">
        <f>IF('WetLitterbags placem_collection'!Z168="","",'WetLitterbags placem_collection'!Z168)</f>
        <v>4.7</v>
      </c>
      <c r="AF827" s="24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71">
        <f>IFERROR(AVERAGE('Dry_Litterbag Placem_Collection'!N168,'Dry_Litterbag Placem_Collection'!Q168),"")</f>
        <v>33.25</v>
      </c>
      <c r="AJ827" s="270">
        <f>INDEX(Coordinates!$B$2:$B$197,MATCH(G827,Coordinates!$J$2:$J$197,0))</f>
        <v>-2.2725490289999999</v>
      </c>
      <c r="AK827" s="270">
        <f>INDEX(Coordinates!$C$2:$C$197,MATCH(G827,Coordinates!$J$2:$J$197,0))</f>
        <v>34.022886020000001</v>
      </c>
      <c r="AL827" s="270" t="str">
        <f>IF(ISNUMBER(SEARCH("C", 'Dry_Litterbag Placem_Collection'!V168)),"YES","NO")</f>
        <v>NO</v>
      </c>
      <c r="AM827" s="270" t="str">
        <f>IF(ISNUMBER(SEARCH("H", 'Dry_Litterbag Placem_Collection'!V168)),"YES","NO")</f>
        <v>NO</v>
      </c>
      <c r="AN827" s="270" t="str">
        <f>IF(ISNUMBER(SEARCH("R", 'Dry_Litterbag Placem_Collection'!V168)),"YES","NO")</f>
        <v>NO</v>
      </c>
    </row>
    <row r="828" spans="1:40" ht="15" customHeight="1">
      <c r="A828" s="262" t="s">
        <v>2659</v>
      </c>
      <c r="B828" s="263">
        <f>'Dry_Litterbag Placem_Collection'!A169</f>
        <v>167</v>
      </c>
      <c r="C828" s="263" t="str">
        <f>'Dry_Litterbag Placem_Collection'!B169</f>
        <v>Handajega</v>
      </c>
      <c r="D828" s="263" t="s">
        <v>2659</v>
      </c>
      <c r="E828" s="263" t="s">
        <v>2661</v>
      </c>
      <c r="F828" s="263">
        <v>1</v>
      </c>
      <c r="G828" s="264" t="str">
        <f>'Dry_Litterbag Placem_Collection'!C169</f>
        <v>Wet_W1_T7</v>
      </c>
      <c r="H828" s="273" t="s">
        <v>3651</v>
      </c>
      <c r="I828" s="274" t="s">
        <v>298</v>
      </c>
      <c r="J828" s="263" t="str">
        <f>IF(ISBLANK('Dry_Litterbag Placem_Collection'!M169),"","R"&amp;""&amp;'Dry_Litterbag Placem_Collection'!M169)</f>
        <v/>
      </c>
      <c r="K828" s="267" t="str">
        <f>IFERROR(INDEX('Green_rooibos initial weight'!$C$5:$C$1749,MATCH(J828, 'Green_rooibos initial weight'!$A$5:$A$1749,0)),"")</f>
        <v/>
      </c>
      <c r="L828" s="267" t="str">
        <f>IFERROR(K828-(TBIcalc!$Q$9+TBIcalc!$Q$10),"")</f>
        <v/>
      </c>
      <c r="M828" s="391">
        <f>AVERAGE(Ashed_controlls!$K$12:$K$14)</f>
        <v>2.2816647271287041</v>
      </c>
      <c r="N828" s="267" t="str">
        <f t="shared" si="61"/>
        <v/>
      </c>
      <c r="O828" s="267" t="str">
        <f>IF(IFERROR(INDEX('Both teabags AfterDry'!$D$3:$D$900,MATCH(J828,'Both teabags AfterDry'!$A$3:$A$900,0)),"")="","",(IFERROR(INDEX('Both teabags AfterDry'!$D$3:$D$900,MATCH(J828,'Both teabags AfterDry'!$A$3:$A$900,0)),"")))</f>
        <v/>
      </c>
      <c r="P828" s="267" t="str">
        <f>IFERROR(IF(O828&gt;0,O828-(TBIcalc!$Q$9),""),"")</f>
        <v/>
      </c>
      <c r="Q828" s="278" t="str">
        <f>IFERROR(INDEX('Ashed teabags dry'!$K$2:$K$825,MATCH(J828,'Ashed teabags dry'!$A$2:$A$825,0)),"")</f>
        <v/>
      </c>
      <c r="R828" s="278" t="str">
        <f t="shared" si="62"/>
        <v/>
      </c>
      <c r="S828" s="268">
        <f>'Dry_Litterbag Placem_Collection'!E169</f>
        <v>0</v>
      </c>
      <c r="T828" s="268" t="str">
        <f>IF('Dry_Litterbag Placem_Collection'!G169="","",'Dry_Litterbag Placem_Collection'!G169)</f>
        <v/>
      </c>
      <c r="U828" s="269" t="str">
        <f t="shared" si="60"/>
        <v/>
      </c>
      <c r="V828" s="267" t="str">
        <f t="shared" si="63"/>
        <v/>
      </c>
      <c r="W828" s="267" t="str">
        <f t="shared" si="64"/>
        <v/>
      </c>
      <c r="X828" s="271" t="str">
        <f>IFERROR(INDEX(Rainfall_Dry!$O$2:$O$217,MATCH(B828, Rainfall_Dry!$A$2:$A$217,0)),"")</f>
        <v/>
      </c>
      <c r="Y828" s="260">
        <v>21.96</v>
      </c>
      <c r="Z828" s="260">
        <v>4.9199999999999982</v>
      </c>
      <c r="AA828" s="260">
        <v>73.12</v>
      </c>
      <c r="AB828" s="261" t="s">
        <v>2670</v>
      </c>
      <c r="AC828" s="260">
        <v>7.2416954164613099</v>
      </c>
      <c r="AD828">
        <f>IF('WetLitterbags placem_collection'!AB169="","",'WetLitterbags placem_collection'!AB169)</f>
        <v>5.6</v>
      </c>
      <c r="AE828">
        <f>IF('WetLitterbags placem_collection'!Z169="","",'WetLitterbags placem_collection'!Z169)</f>
        <v>4.2</v>
      </c>
      <c r="AF828" s="24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71" t="str">
        <f>IFERROR(AVERAGE('Dry_Litterbag Placem_Collection'!N169,'Dry_Litterbag Placem_Collection'!Q169),"")</f>
        <v/>
      </c>
      <c r="AJ828" s="270">
        <f>INDEX(Coordinates!$B$2:$B$197,MATCH(G828,Coordinates!$J$2:$J$197,0))</f>
        <v>-2.2729950310000002</v>
      </c>
      <c r="AK828" s="270">
        <f>INDEX(Coordinates!$C$2:$C$197,MATCH(G828,Coordinates!$J$2:$J$197,0))</f>
        <v>34.022923990000002</v>
      </c>
      <c r="AL828" s="270" t="str">
        <f>IF(ISNUMBER(SEARCH("C", 'Dry_Litterbag Placem_Collection'!V169)),"YES","NO")</f>
        <v>NO</v>
      </c>
      <c r="AM828" s="270" t="str">
        <f>IF(ISNUMBER(SEARCH("H", 'Dry_Litterbag Placem_Collection'!V169)),"YES","NO")</f>
        <v>NO</v>
      </c>
      <c r="AN828" s="270" t="str">
        <f>IF(ISNUMBER(SEARCH("R", 'Dry_Litterbag Placem_Collection'!V169)),"YES","NO")</f>
        <v>NO</v>
      </c>
    </row>
    <row r="829" spans="1:40" ht="15" customHeight="1">
      <c r="A829" s="262" t="s">
        <v>2659</v>
      </c>
      <c r="B829" s="263">
        <f>'Dry_Litterbag Placem_Collection'!A170</f>
        <v>168</v>
      </c>
      <c r="C829" s="263" t="str">
        <f>'Dry_Litterbag Placem_Collection'!B170</f>
        <v>Handajega</v>
      </c>
      <c r="D829" s="263" t="s">
        <v>2659</v>
      </c>
      <c r="E829" s="263" t="s">
        <v>2661</v>
      </c>
      <c r="F829" s="263">
        <v>1</v>
      </c>
      <c r="G829" s="264" t="str">
        <f>'Dry_Litterbag Placem_Collection'!C170</f>
        <v>Wet_W1_T8</v>
      </c>
      <c r="H829" s="273" t="s">
        <v>3651</v>
      </c>
      <c r="I829" s="274" t="s">
        <v>298</v>
      </c>
      <c r="J829" s="263" t="str">
        <f>IF(ISBLANK('Dry_Litterbag Placem_Collection'!M170),"","R"&amp;""&amp;'Dry_Litterbag Placem_Collection'!M170)</f>
        <v>R413</v>
      </c>
      <c r="K829" s="267">
        <f>IFERROR(INDEX('Green_rooibos initial weight'!$C$5:$C$1749,MATCH(J829, 'Green_rooibos initial weight'!$A$5:$A$1749,0)),"")</f>
        <v>2.214</v>
      </c>
      <c r="L829" s="267">
        <f>IFERROR(K829-(TBIcalc!$Q$9+TBIcalc!$Q$10),"")</f>
        <v>1.9641999999999999</v>
      </c>
      <c r="M829" s="391">
        <f>AVERAGE(Ashed_controlls!$K$12:$K$14)</f>
        <v>2.2816647271287041</v>
      </c>
      <c r="N829" s="267">
        <f t="shared" si="61"/>
        <v>1.919383541429738</v>
      </c>
      <c r="O829" s="267" t="str">
        <f>IF(IFERROR(INDEX('Both teabags AfterDry'!$D$3:$D$900,MATCH(J829,'Both teabags AfterDry'!$A$3:$A$900,0)),"")="","",(IFERROR(INDEX('Both teabags AfterDry'!$D$3:$D$900,MATCH(J829,'Both teabags AfterDry'!$A$3:$A$900,0)),"")))</f>
        <v/>
      </c>
      <c r="P829" s="267" t="str">
        <f>IFERROR(IF(O829&gt;0,O829-(TBIcalc!$Q$9),""),"")</f>
        <v/>
      </c>
      <c r="Q829" s="278" t="str">
        <f>IFERROR(INDEX('Ashed teabags dry'!$K$2:$K$825,MATCH(J829,'Ashed teabags dry'!$A$2:$A$825,0)),"")</f>
        <v/>
      </c>
      <c r="R829" s="278" t="str">
        <f t="shared" si="62"/>
        <v/>
      </c>
      <c r="S829" s="268">
        <f>'Dry_Litterbag Placem_Collection'!E170</f>
        <v>42940</v>
      </c>
      <c r="T829" s="268">
        <f>IF('Dry_Litterbag Placem_Collection'!G170="","",'Dry_Litterbag Placem_Collection'!G170)</f>
        <v>43009</v>
      </c>
      <c r="U829" s="269">
        <f t="shared" si="60"/>
        <v>69</v>
      </c>
      <c r="V829" s="267" t="str">
        <f t="shared" si="63"/>
        <v/>
      </c>
      <c r="W829" s="267" t="str">
        <f t="shared" si="64"/>
        <v/>
      </c>
      <c r="X829" s="271">
        <f>IFERROR(INDEX(Rainfall_Dry!$O$2:$O$217,MATCH(B829, Rainfall_Dry!$A$2:$A$217,0)),"")</f>
        <v>162.634207253</v>
      </c>
      <c r="Y829" s="260">
        <v>21.96</v>
      </c>
      <c r="Z829" s="260">
        <v>4.9199999999999982</v>
      </c>
      <c r="AA829" s="260">
        <v>73.12</v>
      </c>
      <c r="AB829" s="261" t="s">
        <v>2670</v>
      </c>
      <c r="AC829" s="260">
        <v>8.2416954164613099</v>
      </c>
      <c r="AD829">
        <f>IF('WetLitterbags placem_collection'!AB170="","",'WetLitterbags placem_collection'!AB170)</f>
        <v>2.4</v>
      </c>
      <c r="AE829">
        <f>IF('WetLitterbags placem_collection'!Z170="","",'WetLitterbags placem_collection'!Z170)</f>
        <v>46</v>
      </c>
      <c r="AF829" s="24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71">
        <f>IFERROR(AVERAGE('Dry_Litterbag Placem_Collection'!N170,'Dry_Litterbag Placem_Collection'!Q170),"")</f>
        <v>30.15</v>
      </c>
      <c r="AJ829" s="270">
        <f>INDEX(Coordinates!$B$2:$B$197,MATCH(G829,Coordinates!$J$2:$J$197,0))</f>
        <v>-2.2729129719999999</v>
      </c>
      <c r="AK829" s="270">
        <f>INDEX(Coordinates!$C$2:$C$197,MATCH(G829,Coordinates!$J$2:$J$197,0))</f>
        <v>34.023350039999997</v>
      </c>
      <c r="AL829" s="270" t="str">
        <f>IF(ISNUMBER(SEARCH("C", 'Dry_Litterbag Placem_Collection'!V170)),"YES","NO")</f>
        <v>NO</v>
      </c>
      <c r="AM829" s="270" t="str">
        <f>IF(ISNUMBER(SEARCH("H", 'Dry_Litterbag Placem_Collection'!V170)),"YES","NO")</f>
        <v>NO</v>
      </c>
      <c r="AN829" s="270" t="str">
        <f>IF(ISNUMBER(SEARCH("R", 'Dry_Litterbag Placem_Collection'!V170)),"YES","NO")</f>
        <v>YES</v>
      </c>
    </row>
    <row r="830" spans="1:40" ht="15" customHeight="1">
      <c r="A830" s="262" t="s">
        <v>2659</v>
      </c>
      <c r="B830" s="263">
        <f>'Dry_Litterbag Placem_Collection'!A171</f>
        <v>169</v>
      </c>
      <c r="C830" s="263" t="str">
        <f>'Dry_Litterbag Placem_Collection'!B171</f>
        <v>Handajega</v>
      </c>
      <c r="D830" s="263" t="s">
        <v>2659</v>
      </c>
      <c r="E830" s="263" t="s">
        <v>2661</v>
      </c>
      <c r="F830" s="263">
        <v>2</v>
      </c>
      <c r="G830" s="264" t="str">
        <f>'Dry_Litterbag Placem_Collection'!C171</f>
        <v>Wet_W2_T1</v>
      </c>
      <c r="H830" s="273" t="s">
        <v>3651</v>
      </c>
      <c r="I830" s="274" t="s">
        <v>298</v>
      </c>
      <c r="J830" s="263" t="str">
        <f>IF(ISBLANK('Dry_Litterbag Placem_Collection'!M171),"","R"&amp;""&amp;'Dry_Litterbag Placem_Collection'!M171)</f>
        <v>R80</v>
      </c>
      <c r="K830" s="267">
        <f>IFERROR(INDEX('Green_rooibos initial weight'!$C$5:$C$1749,MATCH(J830, 'Green_rooibos initial weight'!$A$5:$A$1749,0)),"")</f>
        <v>2.177</v>
      </c>
      <c r="L830" s="267">
        <f>IFERROR(K830-(TBIcalc!$Q$9+TBIcalc!$Q$10),"")</f>
        <v>1.9272</v>
      </c>
      <c r="M830" s="391">
        <f>AVERAGE(Ashed_controlls!$K$12:$K$14)</f>
        <v>2.2816647271287041</v>
      </c>
      <c r="N830" s="267">
        <f t="shared" si="61"/>
        <v>1.8832277573787757</v>
      </c>
      <c r="O830" s="267">
        <f>IF(IFERROR(INDEX('Both teabags AfterDry'!$D$3:$D$900,MATCH(J830,'Both teabags AfterDry'!$A$3:$A$900,0)),"")="","",(IFERROR(INDEX('Both teabags AfterDry'!$D$3:$D$900,MATCH(J830,'Both teabags AfterDry'!$A$3:$A$900,0)),"")))</f>
        <v>1.8815999999999999</v>
      </c>
      <c r="P830" s="267">
        <f>IFERROR(IF(O830&gt;0,O830-(TBIcalc!$Q$9),""),"")</f>
        <v>1.7309999999999999</v>
      </c>
      <c r="Q830" s="278">
        <f>IFERROR(INDEX('Ashed teabags dry'!$K$2:$K$825,MATCH(J830,'Ashed teabags dry'!$A$2:$A$825,0)),"")</f>
        <v>12.458706937234023</v>
      </c>
      <c r="R830" s="278">
        <f t="shared" si="62"/>
        <v>1.515339782916479</v>
      </c>
      <c r="S830" s="268">
        <f>'Dry_Litterbag Placem_Collection'!E171</f>
        <v>42940</v>
      </c>
      <c r="T830" s="268">
        <f>IF('Dry_Litterbag Placem_Collection'!G171="","",'Dry_Litterbag Placem_Collection'!G171)</f>
        <v>43009</v>
      </c>
      <c r="U830" s="269">
        <f t="shared" si="60"/>
        <v>69</v>
      </c>
      <c r="V830" s="267">
        <f t="shared" si="63"/>
        <v>0.19620000000000015</v>
      </c>
      <c r="W830" s="267">
        <f t="shared" si="64"/>
        <v>0.36788797446229671</v>
      </c>
      <c r="X830" s="271">
        <f>IFERROR(INDEX(Rainfall_Dry!$O$2:$O$217,MATCH(B830, Rainfall_Dry!$A$2:$A$217,0)),"")</f>
        <v>162.634207253</v>
      </c>
      <c r="Y830" s="260">
        <v>23.96</v>
      </c>
      <c r="Z830" s="260">
        <v>4.9199999999999982</v>
      </c>
      <c r="AA830" s="260">
        <v>71.12</v>
      </c>
      <c r="AB830" s="261" t="s">
        <v>2670</v>
      </c>
      <c r="AC830" s="260">
        <v>3.30913750616067</v>
      </c>
      <c r="AD830">
        <f>IF('WetLitterbags placem_collection'!AB171="","",'WetLitterbags placem_collection'!AB171)</f>
        <v>8.1999999999999993</v>
      </c>
      <c r="AE830">
        <f>IF('WetLitterbags placem_collection'!Z171="","",'WetLitterbags placem_collection'!Z171)</f>
        <v>11.4</v>
      </c>
      <c r="AF830" s="24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71">
        <f>IFERROR(AVERAGE('Dry_Litterbag Placem_Collection'!N171,'Dry_Litterbag Placem_Collection'!Q171),"")</f>
        <v>35.049999999999997</v>
      </c>
      <c r="AJ830" s="270">
        <f>INDEX(Coordinates!$B$2:$B$197,MATCH(G830,Coordinates!$J$2:$J$197,0))</f>
        <v>-2.2784290180000002</v>
      </c>
      <c r="AK830" s="270">
        <f>INDEX(Coordinates!$C$2:$C$197,MATCH(G830,Coordinates!$J$2:$J$197,0))</f>
        <v>34.024240030000001</v>
      </c>
      <c r="AL830" s="270" t="str">
        <f>IF(ISNUMBER(SEARCH("C", 'Dry_Litterbag Placem_Collection'!V171)),"YES","NO")</f>
        <v>NO</v>
      </c>
      <c r="AM830" s="270" t="str">
        <f>IF(ISNUMBER(SEARCH("H", 'Dry_Litterbag Placem_Collection'!V171)),"YES","NO")</f>
        <v>NO</v>
      </c>
      <c r="AN830" s="270" t="str">
        <f>IF(ISNUMBER(SEARCH("R", 'Dry_Litterbag Placem_Collection'!V171)),"YES","NO")</f>
        <v>YES</v>
      </c>
    </row>
    <row r="831" spans="1:40" ht="15" customHeight="1">
      <c r="A831" s="262" t="s">
        <v>2659</v>
      </c>
      <c r="B831" s="263">
        <f>'Dry_Litterbag Placem_Collection'!A172</f>
        <v>170</v>
      </c>
      <c r="C831" s="263" t="str">
        <f>'Dry_Litterbag Placem_Collection'!B172</f>
        <v>Handajega</v>
      </c>
      <c r="D831" s="263" t="s">
        <v>2659</v>
      </c>
      <c r="E831" s="263" t="s">
        <v>2661</v>
      </c>
      <c r="F831" s="263">
        <v>2</v>
      </c>
      <c r="G831" s="264" t="str">
        <f>'Dry_Litterbag Placem_Collection'!C172</f>
        <v>Wet_W2_T2</v>
      </c>
      <c r="H831" s="273" t="s">
        <v>3651</v>
      </c>
      <c r="I831" s="274" t="s">
        <v>298</v>
      </c>
      <c r="J831" s="263" t="str">
        <f>IF(ISBLANK('Dry_Litterbag Placem_Collection'!M172),"","R"&amp;""&amp;'Dry_Litterbag Placem_Collection'!M172)</f>
        <v>R208</v>
      </c>
      <c r="K831" s="267">
        <f>IFERROR(INDEX('Green_rooibos initial weight'!$C$5:$C$1749,MATCH(J831, 'Green_rooibos initial weight'!$A$5:$A$1749,0)),"")</f>
        <v>2.2250000000000001</v>
      </c>
      <c r="L831" s="267">
        <f>IFERROR(K831-(TBIcalc!$Q$9+TBIcalc!$Q$10),"")</f>
        <v>1.9752000000000001</v>
      </c>
      <c r="M831" s="391">
        <f>AVERAGE(Ashed_controlls!$K$12:$K$14)</f>
        <v>2.2816647271287041</v>
      </c>
      <c r="N831" s="267">
        <f t="shared" si="61"/>
        <v>1.9301325583097539</v>
      </c>
      <c r="O831" s="267">
        <f>IF(IFERROR(INDEX('Both teabags AfterDry'!$D$3:$D$900,MATCH(J831,'Both teabags AfterDry'!$A$3:$A$900,0)),"")="","",(IFERROR(INDEX('Both teabags AfterDry'!$D$3:$D$900,MATCH(J831,'Both teabags AfterDry'!$A$3:$A$900,0)),"")))</f>
        <v>1.8463000000000001</v>
      </c>
      <c r="P831" s="267">
        <f>IFERROR(IF(O831&gt;0,O831-(TBIcalc!$Q$9),""),"")</f>
        <v>1.6957</v>
      </c>
      <c r="Q831" s="278">
        <f>IFERROR(INDEX('Ashed teabags dry'!$K$2:$K$825,MATCH(J831,'Ashed teabags dry'!$A$2:$A$825,0)),"")</f>
        <v>5.3697597739049137</v>
      </c>
      <c r="R831" s="278">
        <f t="shared" si="62"/>
        <v>1.6046449835138943</v>
      </c>
      <c r="S831" s="268">
        <f>'Dry_Litterbag Placem_Collection'!E172</f>
        <v>42940</v>
      </c>
      <c r="T831" s="268">
        <f>IF('Dry_Litterbag Placem_Collection'!G172="","",'Dry_Litterbag Placem_Collection'!G172)</f>
        <v>43009</v>
      </c>
      <c r="U831" s="269">
        <f t="shared" si="60"/>
        <v>69</v>
      </c>
      <c r="V831" s="267">
        <f t="shared" si="63"/>
        <v>0.27950000000000008</v>
      </c>
      <c r="W831" s="267">
        <f t="shared" si="64"/>
        <v>0.32548757479585966</v>
      </c>
      <c r="X831" s="271">
        <f>IFERROR(INDEX(Rainfall_Dry!$O$2:$O$217,MATCH(B831, Rainfall_Dry!$A$2:$A$217,0)),"")</f>
        <v>162.634207253</v>
      </c>
      <c r="Y831" s="260">
        <v>23.96</v>
      </c>
      <c r="Z831" s="260">
        <v>4.9199999999999982</v>
      </c>
      <c r="AA831" s="260">
        <v>71.12</v>
      </c>
      <c r="AB831" s="261" t="s">
        <v>2670</v>
      </c>
      <c r="AC831" s="260">
        <v>4.3091375061606696</v>
      </c>
      <c r="AD831">
        <f>IF('WetLitterbags placem_collection'!AB172="","",'WetLitterbags placem_collection'!AB172)</f>
        <v>7.7</v>
      </c>
      <c r="AE831">
        <f>IF('WetLitterbags placem_collection'!Z172="","",'WetLitterbags placem_collection'!Z172)</f>
        <v>15.8</v>
      </c>
      <c r="AF831" s="24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71">
        <f>IFERROR(AVERAGE('Dry_Litterbag Placem_Collection'!N172,'Dry_Litterbag Placem_Collection'!Q172),"")</f>
        <v>33.950000000000003</v>
      </c>
      <c r="AJ831" s="270">
        <f>INDEX(Coordinates!$B$2:$B$197,MATCH(G831,Coordinates!$J$2:$J$197,0))</f>
        <v>-2.2784629650000001</v>
      </c>
      <c r="AK831" s="270">
        <f>INDEX(Coordinates!$C$2:$C$197,MATCH(G831,Coordinates!$J$2:$J$197,0))</f>
        <v>34.024177999999999</v>
      </c>
      <c r="AL831" s="270" t="str">
        <f>IF(ISNUMBER(SEARCH("C", 'Dry_Litterbag Placem_Collection'!V172)),"YES","NO")</f>
        <v>NO</v>
      </c>
      <c r="AM831" s="270" t="str">
        <f>IF(ISNUMBER(SEARCH("H", 'Dry_Litterbag Placem_Collection'!V172)),"YES","NO")</f>
        <v>NO</v>
      </c>
      <c r="AN831" s="270" t="str">
        <f>IF(ISNUMBER(SEARCH("R", 'Dry_Litterbag Placem_Collection'!V172)),"YES","NO")</f>
        <v>NO</v>
      </c>
    </row>
    <row r="832" spans="1:40" ht="15" customHeight="1">
      <c r="A832" s="262" t="s">
        <v>2659</v>
      </c>
      <c r="B832" s="263">
        <f>'Dry_Litterbag Placem_Collection'!A173</f>
        <v>171</v>
      </c>
      <c r="C832" s="263" t="str">
        <f>'Dry_Litterbag Placem_Collection'!B173</f>
        <v>Handajega</v>
      </c>
      <c r="D832" s="263" t="s">
        <v>2659</v>
      </c>
      <c r="E832" s="263" t="s">
        <v>2661</v>
      </c>
      <c r="F832" s="263">
        <v>2</v>
      </c>
      <c r="G832" s="264" t="str">
        <f>'Dry_Litterbag Placem_Collection'!C173</f>
        <v>Wet_W2_T3</v>
      </c>
      <c r="H832" s="273" t="s">
        <v>3651</v>
      </c>
      <c r="I832" s="274" t="s">
        <v>298</v>
      </c>
      <c r="J832" s="263" t="str">
        <f>IF(ISBLANK('Dry_Litterbag Placem_Collection'!M173),"","R"&amp;""&amp;'Dry_Litterbag Placem_Collection'!M173)</f>
        <v>R633</v>
      </c>
      <c r="K832" s="267">
        <f>IFERROR(INDEX('Green_rooibos initial weight'!$C$5:$C$1749,MATCH(J832, 'Green_rooibos initial weight'!$A$5:$A$1749,0)),"")</f>
        <v>2.0760000000000001</v>
      </c>
      <c r="L832" s="267">
        <f>IFERROR(K832-(TBIcalc!$Q$9+TBIcalc!$Q$10),"")</f>
        <v>1.8262</v>
      </c>
      <c r="M832" s="391">
        <f>AVERAGE(Ashed_controlls!$K$12:$K$14)</f>
        <v>2.2816647271287041</v>
      </c>
      <c r="N832" s="267">
        <f t="shared" si="61"/>
        <v>1.7845322387531757</v>
      </c>
      <c r="O832" s="267">
        <f>IF(IFERROR(INDEX('Both teabags AfterDry'!$D$3:$D$900,MATCH(J832,'Both teabags AfterDry'!$A$3:$A$900,0)),"")="","",(IFERROR(INDEX('Both teabags AfterDry'!$D$3:$D$900,MATCH(J832,'Both teabags AfterDry'!$A$3:$A$900,0)),"")))</f>
        <v>1.6096999999999999</v>
      </c>
      <c r="P832" s="267">
        <f>IFERROR(IF(O832&gt;0,O832-(TBIcalc!$Q$9),""),"")</f>
        <v>1.4590999999999998</v>
      </c>
      <c r="Q832" s="278">
        <f>IFERROR(INDEX('Ashed teabags dry'!$K$2:$K$825,MATCH(J832,'Ashed teabags dry'!$A$2:$A$825,0)),"")</f>
        <v>5.8156727451944334</v>
      </c>
      <c r="R832" s="278">
        <f t="shared" si="62"/>
        <v>1.3742435189748679</v>
      </c>
      <c r="S832" s="268">
        <f>'Dry_Litterbag Placem_Collection'!E173</f>
        <v>42940</v>
      </c>
      <c r="T832" s="268">
        <f>IF('Dry_Litterbag Placem_Collection'!G173="","",'Dry_Litterbag Placem_Collection'!G173)</f>
        <v>43009</v>
      </c>
      <c r="U832" s="269">
        <f t="shared" si="60"/>
        <v>69</v>
      </c>
      <c r="V832" s="267">
        <f t="shared" si="63"/>
        <v>0.3671000000000002</v>
      </c>
      <c r="W832" s="267">
        <f t="shared" si="64"/>
        <v>0.41028871977830783</v>
      </c>
      <c r="X832" s="271">
        <f>IFERROR(INDEX(Rainfall_Dry!$O$2:$O$217,MATCH(B832, Rainfall_Dry!$A$2:$A$217,0)),"")</f>
        <v>162.634207253</v>
      </c>
      <c r="Y832" s="260">
        <v>23.96</v>
      </c>
      <c r="Z832" s="260">
        <v>4.9199999999999982</v>
      </c>
      <c r="AA832" s="260">
        <v>71.12</v>
      </c>
      <c r="AB832" s="261" t="s">
        <v>2670</v>
      </c>
      <c r="AC832" s="260">
        <v>5.3091375061606696</v>
      </c>
      <c r="AD832">
        <f>IF('WetLitterbags placem_collection'!AB173="","",'WetLitterbags placem_collection'!AB173)</f>
        <v>13.4</v>
      </c>
      <c r="AE832">
        <f>IF('WetLitterbags placem_collection'!Z173="","",'WetLitterbags placem_collection'!Z173)</f>
        <v>7.6</v>
      </c>
      <c r="AF832" s="24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71">
        <f>IFERROR(AVERAGE('Dry_Litterbag Placem_Collection'!N173,'Dry_Litterbag Placem_Collection'!Q173),"")</f>
        <v>33</v>
      </c>
      <c r="AJ832" s="270">
        <f>INDEX(Coordinates!$B$2:$B$197,MATCH(G832,Coordinates!$J$2:$J$197,0))</f>
        <v>-2.2785389889999998</v>
      </c>
      <c r="AK832" s="270">
        <f>INDEX(Coordinates!$C$2:$C$197,MATCH(G832,Coordinates!$J$2:$J$197,0))</f>
        <v>34.024371039999998</v>
      </c>
      <c r="AL832" s="270" t="str">
        <f>IF(ISNUMBER(SEARCH("C", 'Dry_Litterbag Placem_Collection'!V173)),"YES","NO")</f>
        <v>NO</v>
      </c>
      <c r="AM832" s="270" t="str">
        <f>IF(ISNUMBER(SEARCH("H", 'Dry_Litterbag Placem_Collection'!V173)),"YES","NO")</f>
        <v>NO</v>
      </c>
      <c r="AN832" s="270" t="str">
        <f>IF(ISNUMBER(SEARCH("R", 'Dry_Litterbag Placem_Collection'!V173)),"YES","NO")</f>
        <v>NO</v>
      </c>
    </row>
    <row r="833" spans="1:40" ht="15" customHeight="1">
      <c r="A833" s="262" t="s">
        <v>2659</v>
      </c>
      <c r="B833" s="263">
        <f>'Dry_Litterbag Placem_Collection'!A174</f>
        <v>172</v>
      </c>
      <c r="C833" s="263" t="str">
        <f>'Dry_Litterbag Placem_Collection'!B174</f>
        <v>Handajega</v>
      </c>
      <c r="D833" s="263" t="s">
        <v>2659</v>
      </c>
      <c r="E833" s="263" t="s">
        <v>2661</v>
      </c>
      <c r="F833" s="263">
        <v>2</v>
      </c>
      <c r="G833" s="264" t="str">
        <f>'Dry_Litterbag Placem_Collection'!C174</f>
        <v>Wet_W2_T4</v>
      </c>
      <c r="H833" s="273" t="s">
        <v>3651</v>
      </c>
      <c r="I833" s="274" t="s">
        <v>298</v>
      </c>
      <c r="J833" s="263" t="str">
        <f>IF(ISBLANK('Dry_Litterbag Placem_Collection'!M174),"","R"&amp;""&amp;'Dry_Litterbag Placem_Collection'!M174)</f>
        <v/>
      </c>
      <c r="K833" s="267" t="str">
        <f>IFERROR(INDEX('Green_rooibos initial weight'!$C$5:$C$1749,MATCH(J833, 'Green_rooibos initial weight'!$A$5:$A$1749,0)),"")</f>
        <v/>
      </c>
      <c r="L833" s="267" t="str">
        <f>IFERROR(K833-(TBIcalc!$Q$9+TBIcalc!$Q$10),"")</f>
        <v/>
      </c>
      <c r="M833" s="391">
        <f>AVERAGE(Ashed_controlls!$K$12:$K$14)</f>
        <v>2.2816647271287041</v>
      </c>
      <c r="N833" s="267" t="str">
        <f t="shared" si="61"/>
        <v/>
      </c>
      <c r="O833" s="267" t="str">
        <f>IF(IFERROR(INDEX('Both teabags AfterDry'!$D$3:$D$900,MATCH(J833,'Both teabags AfterDry'!$A$3:$A$900,0)),"")="","",(IFERROR(INDEX('Both teabags AfterDry'!$D$3:$D$900,MATCH(J833,'Both teabags AfterDry'!$A$3:$A$900,0)),"")))</f>
        <v/>
      </c>
      <c r="P833" s="267" t="str">
        <f>IFERROR(IF(O833&gt;0,O833-(TBIcalc!$Q$9),""),"")</f>
        <v/>
      </c>
      <c r="Q833" s="278" t="str">
        <f>IFERROR(INDEX('Ashed teabags dry'!$K$2:$K$825,MATCH(J833,'Ashed teabags dry'!$A$2:$A$825,0)),"")</f>
        <v/>
      </c>
      <c r="R833" s="278" t="str">
        <f t="shared" si="62"/>
        <v/>
      </c>
      <c r="S833" s="268">
        <f>'Dry_Litterbag Placem_Collection'!E174</f>
        <v>0</v>
      </c>
      <c r="T833" s="268" t="str">
        <f>IF('Dry_Litterbag Placem_Collection'!G174="","",'Dry_Litterbag Placem_Collection'!G174)</f>
        <v/>
      </c>
      <c r="U833" s="269" t="str">
        <f t="shared" si="60"/>
        <v/>
      </c>
      <c r="V833" s="267" t="str">
        <f t="shared" si="63"/>
        <v/>
      </c>
      <c r="W833" s="267" t="str">
        <f t="shared" si="64"/>
        <v/>
      </c>
      <c r="X833" s="271" t="str">
        <f>IFERROR(INDEX(Rainfall_Dry!$O$2:$O$217,MATCH(B833, Rainfall_Dry!$A$2:$A$217,0)),"")</f>
        <v/>
      </c>
      <c r="Y833" s="260">
        <v>23.96</v>
      </c>
      <c r="Z833" s="260">
        <v>4.9199999999999982</v>
      </c>
      <c r="AA833" s="260">
        <v>71.12</v>
      </c>
      <c r="AB833" s="261" t="s">
        <v>2670</v>
      </c>
      <c r="AC833" s="260">
        <v>6.3091375061606696</v>
      </c>
      <c r="AD833">
        <f>IF('WetLitterbags placem_collection'!AB174="","",'WetLitterbags placem_collection'!AB174)</f>
        <v>3.3</v>
      </c>
      <c r="AE833">
        <f>IF('WetLitterbags placem_collection'!Z174="","",'WetLitterbags placem_collection'!Z174)</f>
        <v>28.4</v>
      </c>
      <c r="AF833" s="24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71" t="str">
        <f>IFERROR(AVERAGE('Dry_Litterbag Placem_Collection'!N174,'Dry_Litterbag Placem_Collection'!Q174),"")</f>
        <v/>
      </c>
      <c r="AJ833" s="270">
        <f>INDEX(Coordinates!$B$2:$B$197,MATCH(G833,Coordinates!$J$2:$J$197,0))</f>
        <v>-2.2781410160000002</v>
      </c>
      <c r="AK833" s="270">
        <f>INDEX(Coordinates!$C$2:$C$197,MATCH(G833,Coordinates!$J$2:$J$197,0))</f>
        <v>34.024136009999999</v>
      </c>
      <c r="AL833" s="270" t="str">
        <f>IF(ISNUMBER(SEARCH("C", 'Dry_Litterbag Placem_Collection'!V174)),"YES","NO")</f>
        <v>NO</v>
      </c>
      <c r="AM833" s="270" t="str">
        <f>IF(ISNUMBER(SEARCH("H", 'Dry_Litterbag Placem_Collection'!V174)),"YES","NO")</f>
        <v>NO</v>
      </c>
      <c r="AN833" s="270" t="str">
        <f>IF(ISNUMBER(SEARCH("R", 'Dry_Litterbag Placem_Collection'!V174)),"YES","NO")</f>
        <v>NO</v>
      </c>
    </row>
    <row r="834" spans="1:40" ht="15" customHeight="1">
      <c r="A834" s="262" t="s">
        <v>2659</v>
      </c>
      <c r="B834" s="263">
        <f>'Dry_Litterbag Placem_Collection'!A175</f>
        <v>173</v>
      </c>
      <c r="C834" s="263" t="str">
        <f>'Dry_Litterbag Placem_Collection'!B175</f>
        <v>Handajega</v>
      </c>
      <c r="D834" s="263" t="s">
        <v>2659</v>
      </c>
      <c r="E834" s="263" t="s">
        <v>2661</v>
      </c>
      <c r="F834" s="263">
        <v>2</v>
      </c>
      <c r="G834" s="264" t="str">
        <f>'Dry_Litterbag Placem_Collection'!C175</f>
        <v>Wet_W2_T5</v>
      </c>
      <c r="H834" s="273" t="s">
        <v>3651</v>
      </c>
      <c r="I834" s="274" t="s">
        <v>298</v>
      </c>
      <c r="J834" s="263" t="str">
        <f>IF(ISBLANK('Dry_Litterbag Placem_Collection'!M175),"","R"&amp;""&amp;'Dry_Litterbag Placem_Collection'!M175)</f>
        <v>R473</v>
      </c>
      <c r="K834" s="267">
        <f>IFERROR(INDEX('Green_rooibos initial weight'!$C$5:$C$1749,MATCH(J834, 'Green_rooibos initial weight'!$A$5:$A$1749,0)),"")</f>
        <v>2.302</v>
      </c>
      <c r="L834" s="267">
        <f>IFERROR(K834-(TBIcalc!$Q$9+TBIcalc!$Q$10),"")</f>
        <v>2.0522</v>
      </c>
      <c r="M834" s="391">
        <f>AVERAGE(Ashed_controlls!$K$12:$K$14)</f>
        <v>2.2816647271287041</v>
      </c>
      <c r="N834" s="267">
        <f t="shared" si="61"/>
        <v>2.0053756764698649</v>
      </c>
      <c r="O834" s="267" t="str">
        <f>IF(IFERROR(INDEX('Both teabags AfterDry'!$D$3:$D$900,MATCH(J834,'Both teabags AfterDry'!$A$3:$A$900,0)),"")="","",(IFERROR(INDEX('Both teabags AfterDry'!$D$3:$D$900,MATCH(J834,'Both teabags AfterDry'!$A$3:$A$900,0)),"")))</f>
        <v/>
      </c>
      <c r="P834" s="267" t="str">
        <f>IFERROR(IF(O834&gt;0,O834-(TBIcalc!$Q$9),""),"")</f>
        <v/>
      </c>
      <c r="Q834" s="278" t="str">
        <f>IFERROR(INDEX('Ashed teabags dry'!$K$2:$K$825,MATCH(J834,'Ashed teabags dry'!$A$2:$A$825,0)),"")</f>
        <v/>
      </c>
      <c r="R834" s="278" t="str">
        <f t="shared" si="62"/>
        <v/>
      </c>
      <c r="S834" s="268">
        <f>'Dry_Litterbag Placem_Collection'!E175</f>
        <v>42940</v>
      </c>
      <c r="T834" s="268">
        <f>IF('Dry_Litterbag Placem_Collection'!G175="","",'Dry_Litterbag Placem_Collection'!G175)</f>
        <v>43009</v>
      </c>
      <c r="U834" s="269">
        <f t="shared" ref="U834:U881" si="65">IFERROR(T834-S834,"")</f>
        <v>69</v>
      </c>
      <c r="V834" s="267" t="str">
        <f t="shared" si="63"/>
        <v/>
      </c>
      <c r="W834" s="267" t="str">
        <f t="shared" si="64"/>
        <v/>
      </c>
      <c r="X834" s="271">
        <f>IFERROR(INDEX(Rainfall_Dry!$O$2:$O$217,MATCH(B834, Rainfall_Dry!$A$2:$A$217,0)),"")</f>
        <v>162.634207253</v>
      </c>
      <c r="Y834" s="260">
        <v>23.96</v>
      </c>
      <c r="Z834" s="260">
        <v>4.9199999999999982</v>
      </c>
      <c r="AA834" s="260">
        <v>71.12</v>
      </c>
      <c r="AB834" s="261" t="s">
        <v>2670</v>
      </c>
      <c r="AC834" s="260">
        <v>7.3091375061606696</v>
      </c>
      <c r="AD834">
        <f>IF('WetLitterbags placem_collection'!AB175="","",'WetLitterbags placem_collection'!AB175)</f>
        <v>15.4</v>
      </c>
      <c r="AE834">
        <f>IF('WetLitterbags placem_collection'!Z175="","",'WetLitterbags placem_collection'!Z175)</f>
        <v>12.4</v>
      </c>
      <c r="AF834" s="24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71">
        <f>IFERROR(AVERAGE('Dry_Litterbag Placem_Collection'!N175,'Dry_Litterbag Placem_Collection'!Q175),"")</f>
        <v>34.049999999999997</v>
      </c>
      <c r="AJ834" s="270">
        <f>INDEX(Coordinates!$B$2:$B$197,MATCH(G834,Coordinates!$J$2:$J$197,0))</f>
        <v>-2.27856799</v>
      </c>
      <c r="AK834" s="270">
        <f>INDEX(Coordinates!$C$2:$C$197,MATCH(G834,Coordinates!$J$2:$J$197,0))</f>
        <v>34.023969970000003</v>
      </c>
      <c r="AL834" s="270" t="str">
        <f>IF(ISNUMBER(SEARCH("C", 'Dry_Litterbag Placem_Collection'!V175)),"YES","NO")</f>
        <v>NO</v>
      </c>
      <c r="AM834" s="270" t="str">
        <f>IF(ISNUMBER(SEARCH("H", 'Dry_Litterbag Placem_Collection'!V175)),"YES","NO")</f>
        <v>NO</v>
      </c>
      <c r="AN834" s="270" t="str">
        <f>IF(ISNUMBER(SEARCH("R", 'Dry_Litterbag Placem_Collection'!V175)),"YES","NO")</f>
        <v>NO</v>
      </c>
    </row>
    <row r="835" spans="1:40" ht="15" customHeight="1">
      <c r="A835" s="262" t="s">
        <v>2659</v>
      </c>
      <c r="B835" s="263">
        <f>'Dry_Litterbag Placem_Collection'!A176</f>
        <v>174</v>
      </c>
      <c r="C835" s="263" t="str">
        <f>'Dry_Litterbag Placem_Collection'!B176</f>
        <v>Handajega</v>
      </c>
      <c r="D835" s="263" t="s">
        <v>2659</v>
      </c>
      <c r="E835" s="263" t="s">
        <v>2661</v>
      </c>
      <c r="F835" s="263">
        <v>2</v>
      </c>
      <c r="G835" s="264" t="str">
        <f>'Dry_Litterbag Placem_Collection'!C176</f>
        <v>Wet_W2_T6</v>
      </c>
      <c r="H835" s="273" t="s">
        <v>3651</v>
      </c>
      <c r="I835" s="274" t="s">
        <v>298</v>
      </c>
      <c r="J835" s="263" t="str">
        <f>IF(ISBLANK('Dry_Litterbag Placem_Collection'!M176),"","R"&amp;""&amp;'Dry_Litterbag Placem_Collection'!M176)</f>
        <v>R702</v>
      </c>
      <c r="K835" s="267">
        <f>IFERROR(INDEX('Green_rooibos initial weight'!$C$5:$C$1749,MATCH(J835, 'Green_rooibos initial weight'!$A$5:$A$1749,0)),"")</f>
        <v>2.2010000000000001</v>
      </c>
      <c r="L835" s="267">
        <f>IFERROR(K835-(TBIcalc!$Q$9+TBIcalc!$Q$10),"")</f>
        <v>1.9512</v>
      </c>
      <c r="M835" s="391">
        <f>AVERAGE(Ashed_controlls!$K$12:$K$14)</f>
        <v>2.2816647271287041</v>
      </c>
      <c r="N835" s="267">
        <f t="shared" ref="N835:N881" si="66">IFERROR(L835-(M835/100)*L835,"")</f>
        <v>1.9066801578442647</v>
      </c>
      <c r="O835" s="267">
        <f>IF(IFERROR(INDEX('Both teabags AfterDry'!$D$3:$D$900,MATCH(J835,'Both teabags AfterDry'!$A$3:$A$900,0)),"")="","",(IFERROR(INDEX('Both teabags AfterDry'!$D$3:$D$900,MATCH(J835,'Both teabags AfterDry'!$A$3:$A$900,0)),"")))</f>
        <v>1.7047000000000001</v>
      </c>
      <c r="P835" s="267">
        <f>IFERROR(IF(O835&gt;0,O835-(TBIcalc!$Q$9),""),"")</f>
        <v>1.5541</v>
      </c>
      <c r="Q835" s="278">
        <f>IFERROR(INDEX('Ashed teabags dry'!$K$2:$K$825,MATCH(J835,'Ashed teabags dry'!$A$2:$A$825,0)),"")</f>
        <v>12.547709923664542</v>
      </c>
      <c r="R835" s="278">
        <f t="shared" ref="R835:R881" si="67">IFERROR(P835-(Q835/100)*P835,"")</f>
        <v>1.3590960400763294</v>
      </c>
      <c r="S835" s="268">
        <f>'Dry_Litterbag Placem_Collection'!E176</f>
        <v>42940</v>
      </c>
      <c r="T835" s="268">
        <f>IF('Dry_Litterbag Placem_Collection'!G176="","",'Dry_Litterbag Placem_Collection'!G176)</f>
        <v>43009</v>
      </c>
      <c r="U835" s="269">
        <f t="shared" si="65"/>
        <v>69</v>
      </c>
      <c r="V835" s="267">
        <f t="shared" ref="V835:V881" si="68">IFERROR(L835-P835,"")</f>
        <v>0.39710000000000001</v>
      </c>
      <c r="W835" s="267">
        <f t="shared" ref="W835:W881" si="69">IFERROR(N835-R835,"")</f>
        <v>0.54758411776793525</v>
      </c>
      <c r="X835" s="271">
        <f>IFERROR(INDEX(Rainfall_Dry!$O$2:$O$217,MATCH(B835, Rainfall_Dry!$A$2:$A$217,0)),"")</f>
        <v>162.634207253</v>
      </c>
      <c r="Y835" s="260">
        <v>23.96</v>
      </c>
      <c r="Z835" s="260">
        <v>4.9199999999999982</v>
      </c>
      <c r="AA835" s="260">
        <v>71.12</v>
      </c>
      <c r="AB835" s="261" t="s">
        <v>2670</v>
      </c>
      <c r="AC835" s="260">
        <v>8.3091375061606705</v>
      </c>
      <c r="AD835">
        <f>IF('WetLitterbags placem_collection'!AB176="","",'WetLitterbags placem_collection'!AB176)</f>
        <v>7.4</v>
      </c>
      <c r="AE835">
        <f>IF('WetLitterbags placem_collection'!Z176="","",'WetLitterbags placem_collection'!Z176)</f>
        <v>7.4</v>
      </c>
      <c r="AF835" s="24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71">
        <f>IFERROR(AVERAGE('Dry_Litterbag Placem_Collection'!N176,'Dry_Litterbag Placem_Collection'!Q176),"")</f>
        <v>33.200000000000003</v>
      </c>
      <c r="AJ835" s="270">
        <f>INDEX(Coordinates!$B$2:$B$197,MATCH(G835,Coordinates!$J$2:$J$197,0))</f>
        <v>-2.2786809780000001</v>
      </c>
      <c r="AK835" s="270">
        <f>INDEX(Coordinates!$C$2:$C$197,MATCH(G835,Coordinates!$J$2:$J$197,0))</f>
        <v>34.02434899</v>
      </c>
      <c r="AL835" s="270" t="str">
        <f>IF(ISNUMBER(SEARCH("C", 'Dry_Litterbag Placem_Collection'!V176)),"YES","NO")</f>
        <v>NO</v>
      </c>
      <c r="AM835" s="270" t="str">
        <f>IF(ISNUMBER(SEARCH("H", 'Dry_Litterbag Placem_Collection'!V176)),"YES","NO")</f>
        <v>NO</v>
      </c>
      <c r="AN835" s="270" t="str">
        <f>IF(ISNUMBER(SEARCH("R", 'Dry_Litterbag Placem_Collection'!V176)),"YES","NO")</f>
        <v>NO</v>
      </c>
    </row>
    <row r="836" spans="1:40" ht="15" customHeight="1">
      <c r="A836" s="262" t="s">
        <v>2659</v>
      </c>
      <c r="B836" s="263">
        <f>'Dry_Litterbag Placem_Collection'!A177</f>
        <v>175</v>
      </c>
      <c r="C836" s="263" t="str">
        <f>'Dry_Litterbag Placem_Collection'!B177</f>
        <v>Handajega</v>
      </c>
      <c r="D836" s="263" t="s">
        <v>2659</v>
      </c>
      <c r="E836" s="263" t="s">
        <v>2661</v>
      </c>
      <c r="F836" s="263">
        <v>2</v>
      </c>
      <c r="G836" s="264" t="str">
        <f>'Dry_Litterbag Placem_Collection'!C177</f>
        <v>Wet_W2_T7</v>
      </c>
      <c r="H836" s="273" t="s">
        <v>3651</v>
      </c>
      <c r="I836" s="274" t="s">
        <v>298</v>
      </c>
      <c r="J836" s="263" t="str">
        <f>IF(ISBLANK('Dry_Litterbag Placem_Collection'!M177),"","R"&amp;""&amp;'Dry_Litterbag Placem_Collection'!M177)</f>
        <v>R175</v>
      </c>
      <c r="K836" s="267">
        <f>IFERROR(INDEX('Green_rooibos initial weight'!$C$5:$C$1749,MATCH(J836, 'Green_rooibos initial weight'!$A$5:$A$1749,0)),"")</f>
        <v>2.2330000000000001</v>
      </c>
      <c r="L836" s="267">
        <f>IFERROR(K836-(TBIcalc!$Q$9+TBIcalc!$Q$10),"")</f>
        <v>1.9832000000000001</v>
      </c>
      <c r="M836" s="391">
        <f>AVERAGE(Ashed_controlls!$K$12:$K$14)</f>
        <v>2.2816647271287041</v>
      </c>
      <c r="N836" s="267">
        <f t="shared" si="66"/>
        <v>1.9379500251315835</v>
      </c>
      <c r="O836" s="267">
        <f>IF(IFERROR(INDEX('Both teabags AfterDry'!$D$3:$D$900,MATCH(J836,'Both teabags AfterDry'!$A$3:$A$900,0)),"")="","",(IFERROR(INDEX('Both teabags AfterDry'!$D$3:$D$900,MATCH(J836,'Both teabags AfterDry'!$A$3:$A$900,0)),"")))</f>
        <v>1.8721000000000001</v>
      </c>
      <c r="P836" s="267">
        <f>IFERROR(IF(O836&gt;0,O836-(TBIcalc!$Q$9),""),"")</f>
        <v>1.7215</v>
      </c>
      <c r="Q836" s="278">
        <f>IFERROR(INDEX('Ashed teabags dry'!$K$2:$K$825,MATCH(J836,'Ashed teabags dry'!$A$2:$A$825,0)),"")</f>
        <v>11.577028258888308</v>
      </c>
      <c r="R836" s="278">
        <f t="shared" si="67"/>
        <v>1.5222014585232377</v>
      </c>
      <c r="S836" s="268">
        <f>'Dry_Litterbag Placem_Collection'!E177</f>
        <v>42940</v>
      </c>
      <c r="T836" s="268">
        <f>IF('Dry_Litterbag Placem_Collection'!G177="","",'Dry_Litterbag Placem_Collection'!G177)</f>
        <v>43009</v>
      </c>
      <c r="U836" s="269">
        <f t="shared" si="65"/>
        <v>69</v>
      </c>
      <c r="V836" s="267">
        <f t="shared" si="68"/>
        <v>0.26170000000000004</v>
      </c>
      <c r="W836" s="267">
        <f t="shared" si="69"/>
        <v>0.4157485666083458</v>
      </c>
      <c r="X836" s="271">
        <f>IFERROR(INDEX(Rainfall_Dry!$O$2:$O$217,MATCH(B836, Rainfall_Dry!$A$2:$A$217,0)),"")</f>
        <v>162.634207253</v>
      </c>
      <c r="Y836" s="260">
        <v>23.96</v>
      </c>
      <c r="Z836" s="260">
        <v>4.9199999999999982</v>
      </c>
      <c r="AA836" s="260">
        <v>71.12</v>
      </c>
      <c r="AB836" s="261" t="s">
        <v>2670</v>
      </c>
      <c r="AC836" s="260">
        <v>9.3091375061606705</v>
      </c>
      <c r="AD836">
        <f>IF('WetLitterbags placem_collection'!AB177="","",'WetLitterbags placem_collection'!AB177)</f>
        <v>15.4</v>
      </c>
      <c r="AE836">
        <f>IF('WetLitterbags placem_collection'!Z177="","",'WetLitterbags placem_collection'!Z177)</f>
        <v>9.8000000000000007</v>
      </c>
      <c r="AF836" s="24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71">
        <f>IFERROR(AVERAGE('Dry_Litterbag Placem_Collection'!N177,'Dry_Litterbag Placem_Collection'!Q177),"")</f>
        <v>34.049999999999997</v>
      </c>
      <c r="AJ836" s="270">
        <f>INDEX(Coordinates!$B$2:$B$197,MATCH(G836,Coordinates!$J$2:$J$197,0))</f>
        <v>-2.2784219779999999</v>
      </c>
      <c r="AK836" s="270">
        <f>INDEX(Coordinates!$C$2:$C$197,MATCH(G836,Coordinates!$J$2:$J$197,0))</f>
        <v>34.024374979999997</v>
      </c>
      <c r="AL836" s="270" t="str">
        <f>IF(ISNUMBER(SEARCH("C", 'Dry_Litterbag Placem_Collection'!V177)),"YES","NO")</f>
        <v>NO</v>
      </c>
      <c r="AM836" s="270" t="str">
        <f>IF(ISNUMBER(SEARCH("H", 'Dry_Litterbag Placem_Collection'!V177)),"YES","NO")</f>
        <v>NO</v>
      </c>
      <c r="AN836" s="270" t="str">
        <f>IF(ISNUMBER(SEARCH("R", 'Dry_Litterbag Placem_Collection'!V177)),"YES","NO")</f>
        <v>YES</v>
      </c>
    </row>
    <row r="837" spans="1:40" ht="15" customHeight="1">
      <c r="A837" s="262" t="s">
        <v>2659</v>
      </c>
      <c r="B837" s="263">
        <f>'Dry_Litterbag Placem_Collection'!A178</f>
        <v>176</v>
      </c>
      <c r="C837" s="263" t="str">
        <f>'Dry_Litterbag Placem_Collection'!B178</f>
        <v>Handajega</v>
      </c>
      <c r="D837" s="263" t="s">
        <v>2659</v>
      </c>
      <c r="E837" s="263" t="s">
        <v>2661</v>
      </c>
      <c r="F837" s="263">
        <v>2</v>
      </c>
      <c r="G837" s="264" t="str">
        <f>'Dry_Litterbag Placem_Collection'!C178</f>
        <v>Wet_W2_T8</v>
      </c>
      <c r="H837" s="273" t="s">
        <v>3651</v>
      </c>
      <c r="I837" s="274" t="s">
        <v>298</v>
      </c>
      <c r="J837" s="263" t="str">
        <f>IF(ISBLANK('Dry_Litterbag Placem_Collection'!M178),"","R"&amp;""&amp;'Dry_Litterbag Placem_Collection'!M178)</f>
        <v>R332</v>
      </c>
      <c r="K837" s="267">
        <f>IFERROR(INDEX('Green_rooibos initial weight'!$C$5:$C$1749,MATCH(J837, 'Green_rooibos initial weight'!$A$5:$A$1749,0)),"")</f>
        <v>2.1880000000000002</v>
      </c>
      <c r="L837" s="267">
        <f>IFERROR(K837-(TBIcalc!$Q$9+TBIcalc!$Q$10),"")</f>
        <v>1.9382000000000001</v>
      </c>
      <c r="M837" s="391">
        <f>AVERAGE(Ashed_controlls!$K$12:$K$14)</f>
        <v>2.2816647271287041</v>
      </c>
      <c r="N837" s="267">
        <f t="shared" si="66"/>
        <v>1.8939767742587916</v>
      </c>
      <c r="O837" s="267">
        <f>IF(IFERROR(INDEX('Both teabags AfterDry'!$D$3:$D$900,MATCH(J837,'Both teabags AfterDry'!$A$3:$A$900,0)),"")="","",(IFERROR(INDEX('Both teabags AfterDry'!$D$3:$D$900,MATCH(J837,'Both teabags AfterDry'!$A$3:$A$900,0)),"")))</f>
        <v>1.8720000000000001</v>
      </c>
      <c r="P837" s="267">
        <f>IFERROR(IF(O837&gt;0,O837-(TBIcalc!$Q$9),""),"")</f>
        <v>1.7214</v>
      </c>
      <c r="Q837" s="278">
        <f>IFERROR(INDEX('Ashed teabags dry'!$K$2:$K$825,MATCH(J837,'Ashed teabags dry'!$A$2:$A$825,0)),"")</f>
        <v>6.259314456035395</v>
      </c>
      <c r="R837" s="278">
        <f t="shared" si="67"/>
        <v>1.6136521609538068</v>
      </c>
      <c r="S837" s="268">
        <f>'Dry_Litterbag Placem_Collection'!E178</f>
        <v>42940</v>
      </c>
      <c r="T837" s="268">
        <f>IF('Dry_Litterbag Placem_Collection'!G178="","",'Dry_Litterbag Placem_Collection'!G178)</f>
        <v>43009</v>
      </c>
      <c r="U837" s="269">
        <f t="shared" si="65"/>
        <v>69</v>
      </c>
      <c r="V837" s="267">
        <f t="shared" si="68"/>
        <v>0.2168000000000001</v>
      </c>
      <c r="W837" s="267">
        <f t="shared" si="69"/>
        <v>0.28032461330498482</v>
      </c>
      <c r="X837" s="271">
        <f>IFERROR(INDEX(Rainfall_Dry!$O$2:$O$217,MATCH(B837, Rainfall_Dry!$A$2:$A$217,0)),"")</f>
        <v>162.634207253</v>
      </c>
      <c r="Y837" s="260">
        <v>23.96</v>
      </c>
      <c r="Z837" s="260">
        <v>4.9199999999999982</v>
      </c>
      <c r="AA837" s="260">
        <v>71.12</v>
      </c>
      <c r="AB837" s="261" t="s">
        <v>2670</v>
      </c>
      <c r="AC837" s="260">
        <v>10.309137506160701</v>
      </c>
      <c r="AD837">
        <f>IF('WetLitterbags placem_collection'!AB178="","",'WetLitterbags placem_collection'!AB178)</f>
        <v>6.8</v>
      </c>
      <c r="AE837">
        <f>IF('WetLitterbags placem_collection'!Z178="","",'WetLitterbags placem_collection'!Z178)</f>
        <v>6.9</v>
      </c>
      <c r="AF837" s="24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71">
        <f>IFERROR(AVERAGE('Dry_Litterbag Placem_Collection'!N178,'Dry_Litterbag Placem_Collection'!Q178),"")</f>
        <v>34.5</v>
      </c>
      <c r="AJ837" s="270">
        <f>INDEX(Coordinates!$B$2:$B$197,MATCH(G837,Coordinates!$J$2:$J$197,0))</f>
        <v>-2.2782909679999999</v>
      </c>
      <c r="AK837" s="270">
        <f>INDEX(Coordinates!$C$2:$C$197,MATCH(G837,Coordinates!$J$2:$J$197,0))</f>
        <v>34.024574970000003</v>
      </c>
      <c r="AL837" s="270" t="str">
        <f>IF(ISNUMBER(SEARCH("C", 'Dry_Litterbag Placem_Collection'!V178)),"YES","NO")</f>
        <v>NO</v>
      </c>
      <c r="AM837" s="270" t="str">
        <f>IF(ISNUMBER(SEARCH("H", 'Dry_Litterbag Placem_Collection'!V178)),"YES","NO")</f>
        <v>NO</v>
      </c>
      <c r="AN837" s="270" t="str">
        <f>IF(ISNUMBER(SEARCH("R", 'Dry_Litterbag Placem_Collection'!V178)),"YES","NO")</f>
        <v>YES</v>
      </c>
    </row>
    <row r="838" spans="1:40" ht="15" customHeight="1">
      <c r="A838" s="262" t="s">
        <v>2659</v>
      </c>
      <c r="B838" s="263">
        <f>'Dry_Litterbag Placem_Collection'!A179</f>
        <v>177</v>
      </c>
      <c r="C838" s="263" t="str">
        <f>'Dry_Litterbag Placem_Collection'!B179</f>
        <v>Handajega</v>
      </c>
      <c r="D838" s="263" t="s">
        <v>2659</v>
      </c>
      <c r="E838" s="263" t="s">
        <v>2661</v>
      </c>
      <c r="F838" s="263">
        <v>3</v>
      </c>
      <c r="G838" s="264" t="str">
        <f>'Dry_Litterbag Placem_Collection'!C179</f>
        <v>Wet_W3_T1</v>
      </c>
      <c r="H838" s="273" t="s">
        <v>3651</v>
      </c>
      <c r="I838" s="274" t="s">
        <v>298</v>
      </c>
      <c r="J838" s="263" t="str">
        <f>IF(ISBLANK('Dry_Litterbag Placem_Collection'!M179),"","R"&amp;""&amp;'Dry_Litterbag Placem_Collection'!M179)</f>
        <v>R279</v>
      </c>
      <c r="K838" s="267">
        <f>IFERROR(INDEX('Green_rooibos initial weight'!$C$5:$C$1749,MATCH(J838, 'Green_rooibos initial weight'!$A$5:$A$1749,0)),"")</f>
        <v>2.161</v>
      </c>
      <c r="L838" s="267">
        <f>IFERROR(K838-(TBIcalc!$Q$9+TBIcalc!$Q$10),"")</f>
        <v>1.9112</v>
      </c>
      <c r="M838" s="391">
        <f>AVERAGE(Ashed_controlls!$K$12:$K$14)</f>
        <v>2.2816647271287041</v>
      </c>
      <c r="N838" s="267">
        <f t="shared" si="66"/>
        <v>1.8675928237351163</v>
      </c>
      <c r="O838" s="267" t="str">
        <f>IF(IFERROR(INDEX('Both teabags AfterDry'!$D$3:$D$900,MATCH(J838,'Both teabags AfterDry'!$A$3:$A$900,0)),"")="","",(IFERROR(INDEX('Both teabags AfterDry'!$D$3:$D$900,MATCH(J838,'Both teabags AfterDry'!$A$3:$A$900,0)),"")))</f>
        <v/>
      </c>
      <c r="P838" s="267" t="str">
        <f>IFERROR(IF(O838&gt;0,O838-(TBIcalc!$Q$9),""),"")</f>
        <v/>
      </c>
      <c r="Q838" s="278" t="str">
        <f>IFERROR(INDEX('Ashed teabags dry'!$K$2:$K$825,MATCH(J838,'Ashed teabags dry'!$A$2:$A$825,0)),"")</f>
        <v/>
      </c>
      <c r="R838" s="278" t="str">
        <f t="shared" si="67"/>
        <v/>
      </c>
      <c r="S838" s="268">
        <f>'Dry_Litterbag Placem_Collection'!E179</f>
        <v>42940</v>
      </c>
      <c r="T838" s="268">
        <f>IF('Dry_Litterbag Placem_Collection'!G179="","",'Dry_Litterbag Placem_Collection'!G179)</f>
        <v>43009</v>
      </c>
      <c r="U838" s="269">
        <f t="shared" si="65"/>
        <v>69</v>
      </c>
      <c r="V838" s="267" t="str">
        <f t="shared" si="68"/>
        <v/>
      </c>
      <c r="W838" s="267" t="str">
        <f t="shared" si="69"/>
        <v/>
      </c>
      <c r="X838" s="271">
        <f>IFERROR(INDEX(Rainfall_Dry!$O$2:$O$217,MATCH(B838, Rainfall_Dry!$A$2:$A$217,0)),"")</f>
        <v>162.634207253</v>
      </c>
      <c r="Y838" s="260">
        <v>25.96</v>
      </c>
      <c r="Z838" s="260">
        <v>8.9200000000000017</v>
      </c>
      <c r="AA838" s="260">
        <v>65.12</v>
      </c>
      <c r="AB838" s="261" t="s">
        <v>2670</v>
      </c>
      <c r="AC838" s="260">
        <v>1.614588467225234</v>
      </c>
      <c r="AD838">
        <f>IF('WetLitterbags placem_collection'!AB179="","",'WetLitterbags placem_collection'!AB179)</f>
        <v>17.8</v>
      </c>
      <c r="AE838">
        <f>IF('WetLitterbags placem_collection'!Z179="","",'WetLitterbags placem_collection'!Z179)</f>
        <v>25.8</v>
      </c>
      <c r="AF838" s="24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71">
        <f>IFERROR(AVERAGE('Dry_Litterbag Placem_Collection'!N179,'Dry_Litterbag Placem_Collection'!Q179),"")</f>
        <v>34.150000000000006</v>
      </c>
      <c r="AJ838" s="270">
        <f>INDEX(Coordinates!$B$2:$B$197,MATCH(G838,Coordinates!$J$2:$J$197,0))</f>
        <v>-2.277740026</v>
      </c>
      <c r="AK838" s="270">
        <f>INDEX(Coordinates!$C$2:$C$197,MATCH(G838,Coordinates!$J$2:$J$197,0))</f>
        <v>34.027640990000002</v>
      </c>
      <c r="AL838" s="270" t="str">
        <f>IF(ISNUMBER(SEARCH("C", 'Dry_Litterbag Placem_Collection'!V179)),"YES","NO")</f>
        <v>NO</v>
      </c>
      <c r="AM838" s="270" t="str">
        <f>IF(ISNUMBER(SEARCH("H", 'Dry_Litterbag Placem_Collection'!V179)),"YES","NO")</f>
        <v>NO</v>
      </c>
      <c r="AN838" s="270" t="str">
        <f>IF(ISNUMBER(SEARCH("R", 'Dry_Litterbag Placem_Collection'!V179)),"YES","NO")</f>
        <v>YES</v>
      </c>
    </row>
    <row r="839" spans="1:40" ht="15" customHeight="1">
      <c r="A839" s="262" t="s">
        <v>2659</v>
      </c>
      <c r="B839" s="263">
        <f>'Dry_Litterbag Placem_Collection'!A180</f>
        <v>178</v>
      </c>
      <c r="C839" s="263" t="str">
        <f>'Dry_Litterbag Placem_Collection'!B180</f>
        <v>Handajega</v>
      </c>
      <c r="D839" s="263" t="s">
        <v>2659</v>
      </c>
      <c r="E839" s="263" t="s">
        <v>2661</v>
      </c>
      <c r="F839" s="263">
        <v>3</v>
      </c>
      <c r="G839" s="264" t="str">
        <f>'Dry_Litterbag Placem_Collection'!C180</f>
        <v>Wet_W3_T2</v>
      </c>
      <c r="H839" s="273" t="s">
        <v>3651</v>
      </c>
      <c r="I839" s="274" t="s">
        <v>298</v>
      </c>
      <c r="J839" s="263" t="str">
        <f>IF(ISBLANK('Dry_Litterbag Placem_Collection'!M180),"","R"&amp;""&amp;'Dry_Litterbag Placem_Collection'!M180)</f>
        <v>R718</v>
      </c>
      <c r="K839" s="267">
        <f>IFERROR(INDEX('Green_rooibos initial weight'!$C$5:$C$1749,MATCH(J839, 'Green_rooibos initial weight'!$A$5:$A$1749,0)),"")</f>
        <v>2.2050000000000001</v>
      </c>
      <c r="L839" s="267">
        <f>IFERROR(K839-(TBIcalc!$Q$9+TBIcalc!$Q$10),"")</f>
        <v>1.9552</v>
      </c>
      <c r="M839" s="391">
        <f>AVERAGE(Ashed_controlls!$K$12:$K$14)</f>
        <v>2.2816647271287041</v>
      </c>
      <c r="N839" s="267">
        <f t="shared" si="66"/>
        <v>1.9105888912551796</v>
      </c>
      <c r="O839" s="267">
        <f>IF(IFERROR(INDEX('Both teabags AfterDry'!$D$3:$D$900,MATCH(J839,'Both teabags AfterDry'!$A$3:$A$900,0)),"")="","",(IFERROR(INDEX('Both teabags AfterDry'!$D$3:$D$900,MATCH(J839,'Both teabags AfterDry'!$A$3:$A$900,0)),"")))</f>
        <v>1.8359000000000001</v>
      </c>
      <c r="P839" s="267">
        <f>IFERROR(IF(O839&gt;0,O839-(TBIcalc!$Q$9),""),"")</f>
        <v>1.6853</v>
      </c>
      <c r="Q839" s="278">
        <f>IFERROR(INDEX('Ashed teabags dry'!$K$2:$K$825,MATCH(J839,'Ashed teabags dry'!$A$2:$A$825,0)),"")</f>
        <v>7.0877531340403506</v>
      </c>
      <c r="R839" s="278">
        <f t="shared" si="67"/>
        <v>1.5658500964320179</v>
      </c>
      <c r="S839" s="268">
        <f>'Dry_Litterbag Placem_Collection'!E180</f>
        <v>42940</v>
      </c>
      <c r="T839" s="268">
        <f>IF('Dry_Litterbag Placem_Collection'!G180="","",'Dry_Litterbag Placem_Collection'!G180)</f>
        <v>43009</v>
      </c>
      <c r="U839" s="269">
        <f t="shared" si="65"/>
        <v>69</v>
      </c>
      <c r="V839" s="267">
        <f t="shared" si="68"/>
        <v>0.26990000000000003</v>
      </c>
      <c r="W839" s="267">
        <f t="shared" si="69"/>
        <v>0.34473879482316172</v>
      </c>
      <c r="X839" s="271">
        <f>IFERROR(INDEX(Rainfall_Dry!$O$2:$O$217,MATCH(B839, Rainfall_Dry!$A$2:$A$217,0)),"")</f>
        <v>162.634207253</v>
      </c>
      <c r="Y839" s="260">
        <v>25.96</v>
      </c>
      <c r="Z839" s="260">
        <v>8.9200000000000017</v>
      </c>
      <c r="AA839" s="260">
        <v>65.12</v>
      </c>
      <c r="AB839" s="261" t="s">
        <v>2670</v>
      </c>
      <c r="AC839" s="260">
        <v>2.61458846722523</v>
      </c>
      <c r="AD839">
        <f>IF('WetLitterbags placem_collection'!AB180="","",'WetLitterbags placem_collection'!AB180)</f>
        <v>15.4</v>
      </c>
      <c r="AE839">
        <f>IF('WetLitterbags placem_collection'!Z180="","",'WetLitterbags placem_collection'!Z180)</f>
        <v>18.8</v>
      </c>
      <c r="AF839" s="24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71">
        <f>IFERROR(AVERAGE('Dry_Litterbag Placem_Collection'!N180,'Dry_Litterbag Placem_Collection'!Q180),"")</f>
        <v>35.799999999999997</v>
      </c>
      <c r="AJ839" s="270">
        <f>INDEX(Coordinates!$B$2:$B$197,MATCH(G839,Coordinates!$J$2:$J$197,0))</f>
        <v>-2.2777889760000001</v>
      </c>
      <c r="AK839" s="270">
        <f>INDEX(Coordinates!$C$2:$C$197,MATCH(G839,Coordinates!$J$2:$J$197,0))</f>
        <v>34.027664960000003</v>
      </c>
      <c r="AL839" s="270" t="str">
        <f>IF(ISNUMBER(SEARCH("C", 'Dry_Litterbag Placem_Collection'!V180)),"YES","NO")</f>
        <v>NO</v>
      </c>
      <c r="AM839" s="270" t="str">
        <f>IF(ISNUMBER(SEARCH("H", 'Dry_Litterbag Placem_Collection'!V180)),"YES","NO")</f>
        <v>NO</v>
      </c>
      <c r="AN839" s="270" t="str">
        <f>IF(ISNUMBER(SEARCH("R", 'Dry_Litterbag Placem_Collection'!V180)),"YES","NO")</f>
        <v>NO</v>
      </c>
    </row>
    <row r="840" spans="1:40" ht="15" customHeight="1">
      <c r="A840" s="262" t="s">
        <v>2659</v>
      </c>
      <c r="B840" s="263">
        <f>'Dry_Litterbag Placem_Collection'!A181</f>
        <v>179</v>
      </c>
      <c r="C840" s="263" t="str">
        <f>'Dry_Litterbag Placem_Collection'!B181</f>
        <v>Handajega</v>
      </c>
      <c r="D840" s="263" t="s">
        <v>2659</v>
      </c>
      <c r="E840" s="263" t="s">
        <v>2661</v>
      </c>
      <c r="F840" s="263">
        <v>3</v>
      </c>
      <c r="G840" s="264" t="str">
        <f>'Dry_Litterbag Placem_Collection'!C181</f>
        <v>Wet_W3_T3</v>
      </c>
      <c r="H840" s="273" t="s">
        <v>3651</v>
      </c>
      <c r="I840" s="274" t="s">
        <v>298</v>
      </c>
      <c r="J840" s="263" t="str">
        <f>IF(ISBLANK('Dry_Litterbag Placem_Collection'!M181),"","R"&amp;""&amp;'Dry_Litterbag Placem_Collection'!M181)</f>
        <v>R640</v>
      </c>
      <c r="K840" s="267">
        <f>IFERROR(INDEX('Green_rooibos initial weight'!$C$5:$C$1749,MATCH(J840, 'Green_rooibos initial weight'!$A$5:$A$1749,0)),"")</f>
        <v>2.1019999999999999</v>
      </c>
      <c r="L840" s="267">
        <f>IFERROR(K840-(TBIcalc!$Q$9+TBIcalc!$Q$10),"")</f>
        <v>1.8521999999999998</v>
      </c>
      <c r="M840" s="391">
        <f>AVERAGE(Ashed_controlls!$K$12:$K$14)</f>
        <v>2.2816647271287041</v>
      </c>
      <c r="N840" s="267">
        <f t="shared" si="66"/>
        <v>1.809939005924122</v>
      </c>
      <c r="O840" s="267">
        <f>IF(IFERROR(INDEX('Both teabags AfterDry'!$D$3:$D$900,MATCH(J840,'Both teabags AfterDry'!$A$3:$A$900,0)),"")="","",(IFERROR(INDEX('Both teabags AfterDry'!$D$3:$D$900,MATCH(J840,'Both teabags AfterDry'!$A$3:$A$900,0)),"")))</f>
        <v>1.6580999999999999</v>
      </c>
      <c r="P840" s="267">
        <f>IFERROR(IF(O840&gt;0,O840-(TBIcalc!$Q$9),""),"")</f>
        <v>1.5074999999999998</v>
      </c>
      <c r="Q840" s="278">
        <f>IFERROR(INDEX('Ashed teabags dry'!$K$2:$K$825,MATCH(J840,'Ashed teabags dry'!$A$2:$A$825,0)),"")</f>
        <v>15.844901866922525</v>
      </c>
      <c r="R840" s="278">
        <f t="shared" si="67"/>
        <v>1.2686381043561428</v>
      </c>
      <c r="S840" s="268">
        <f>'Dry_Litterbag Placem_Collection'!E181</f>
        <v>42940</v>
      </c>
      <c r="T840" s="268">
        <f>IF('Dry_Litterbag Placem_Collection'!G181="","",'Dry_Litterbag Placem_Collection'!G181)</f>
        <v>43009</v>
      </c>
      <c r="U840" s="269">
        <f t="shared" si="65"/>
        <v>69</v>
      </c>
      <c r="V840" s="267">
        <f t="shared" si="68"/>
        <v>0.34470000000000001</v>
      </c>
      <c r="W840" s="267">
        <f t="shared" si="69"/>
        <v>0.54130090156797928</v>
      </c>
      <c r="X840" s="271">
        <f>IFERROR(INDEX(Rainfall_Dry!$O$2:$O$217,MATCH(B840, Rainfall_Dry!$A$2:$A$217,0)),"")</f>
        <v>162.634207253</v>
      </c>
      <c r="Y840" s="260">
        <v>25.96</v>
      </c>
      <c r="Z840" s="260">
        <v>8.9200000000000017</v>
      </c>
      <c r="AA840" s="260">
        <v>65.12</v>
      </c>
      <c r="AB840" s="261" t="s">
        <v>2670</v>
      </c>
      <c r="AC840" s="260">
        <v>3.61458846722523</v>
      </c>
      <c r="AD840">
        <f>IF('WetLitterbags placem_collection'!AB181="","",'WetLitterbags placem_collection'!AB181)</f>
        <v>11.8</v>
      </c>
      <c r="AE840">
        <f>IF('WetLitterbags placem_collection'!Z181="","",'WetLitterbags placem_collection'!Z181)</f>
        <v>15.4</v>
      </c>
      <c r="AF840" s="24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71">
        <f>IFERROR(AVERAGE('Dry_Litterbag Placem_Collection'!N181,'Dry_Litterbag Placem_Collection'!Q181),"")</f>
        <v>34.75</v>
      </c>
      <c r="AJ840" s="270">
        <f>INDEX(Coordinates!$B$2:$B$197,MATCH(G840,Coordinates!$J$2:$J$197,0))</f>
        <v>-2.2778579589999999</v>
      </c>
      <c r="AK840" s="270">
        <f>INDEX(Coordinates!$C$2:$C$197,MATCH(G840,Coordinates!$J$2:$J$197,0))</f>
        <v>34.027682980000002</v>
      </c>
      <c r="AL840" s="270" t="str">
        <f>IF(ISNUMBER(SEARCH("C", 'Dry_Litterbag Placem_Collection'!V181)),"YES","NO")</f>
        <v>NO</v>
      </c>
      <c r="AM840" s="270" t="str">
        <f>IF(ISNUMBER(SEARCH("H", 'Dry_Litterbag Placem_Collection'!V181)),"YES","NO")</f>
        <v>NO</v>
      </c>
      <c r="AN840" s="270" t="str">
        <f>IF(ISNUMBER(SEARCH("R", 'Dry_Litterbag Placem_Collection'!V181)),"YES","NO")</f>
        <v>NO</v>
      </c>
    </row>
    <row r="841" spans="1:40" ht="15" customHeight="1">
      <c r="A841" s="262" t="s">
        <v>2659</v>
      </c>
      <c r="B841" s="263">
        <f>'Dry_Litterbag Placem_Collection'!A182</f>
        <v>180</v>
      </c>
      <c r="C841" s="263" t="str">
        <f>'Dry_Litterbag Placem_Collection'!B182</f>
        <v>Handajega</v>
      </c>
      <c r="D841" s="263" t="s">
        <v>2659</v>
      </c>
      <c r="E841" s="263" t="s">
        <v>2661</v>
      </c>
      <c r="F841" s="263">
        <v>3</v>
      </c>
      <c r="G841" s="264" t="str">
        <f>'Dry_Litterbag Placem_Collection'!C182</f>
        <v>Wet_W3_T4</v>
      </c>
      <c r="H841" s="273" t="s">
        <v>3651</v>
      </c>
      <c r="I841" s="274" t="s">
        <v>298</v>
      </c>
      <c r="J841" s="263" t="str">
        <f>IF(ISBLANK('Dry_Litterbag Placem_Collection'!M182),"","R"&amp;""&amp;'Dry_Litterbag Placem_Collection'!M182)</f>
        <v>R669</v>
      </c>
      <c r="K841" s="267">
        <f>IFERROR(INDEX('Green_rooibos initial weight'!$C$5:$C$1749,MATCH(J841, 'Green_rooibos initial weight'!$A$5:$A$1749,0)),"")</f>
        <v>2.1480000000000001</v>
      </c>
      <c r="L841" s="267">
        <f>IFERROR(K841-(TBIcalc!$Q$9+TBIcalc!$Q$10),"")</f>
        <v>1.8982000000000001</v>
      </c>
      <c r="M841" s="391">
        <f>AVERAGE(Ashed_controlls!$K$12:$K$14)</f>
        <v>2.2816647271287041</v>
      </c>
      <c r="N841" s="267">
        <f t="shared" si="66"/>
        <v>1.854889440149643</v>
      </c>
      <c r="O841" s="267">
        <f>IF(IFERROR(INDEX('Both teabags AfterDry'!$D$3:$D$900,MATCH(J841,'Both teabags AfterDry'!$A$3:$A$900,0)),"")="","",(IFERROR(INDEX('Both teabags AfterDry'!$D$3:$D$900,MATCH(J841,'Both teabags AfterDry'!$A$3:$A$900,0)),"")))</f>
        <v>1.6716</v>
      </c>
      <c r="P841" s="267">
        <f>IFERROR(IF(O841&gt;0,O841-(TBIcalc!$Q$9),""),"")</f>
        <v>1.5209999999999999</v>
      </c>
      <c r="Q841" s="278">
        <f>IFERROR(INDEX('Ashed teabags dry'!$K$2:$K$825,MATCH(J841,'Ashed teabags dry'!$A$2:$A$825,0)),"")</f>
        <v>6.0721062618585453</v>
      </c>
      <c r="R841" s="278">
        <f t="shared" si="67"/>
        <v>1.4286432637571314</v>
      </c>
      <c r="S841" s="268">
        <f>'Dry_Litterbag Placem_Collection'!E182</f>
        <v>42940</v>
      </c>
      <c r="T841" s="268">
        <f>IF('Dry_Litterbag Placem_Collection'!G182="","",'Dry_Litterbag Placem_Collection'!G182)</f>
        <v>43009</v>
      </c>
      <c r="U841" s="269">
        <f t="shared" si="65"/>
        <v>69</v>
      </c>
      <c r="V841" s="267">
        <f t="shared" si="68"/>
        <v>0.3772000000000002</v>
      </c>
      <c r="W841" s="267">
        <f t="shared" si="69"/>
        <v>0.42624617639251161</v>
      </c>
      <c r="X841" s="271">
        <f>IFERROR(INDEX(Rainfall_Dry!$O$2:$O$217,MATCH(B841, Rainfall_Dry!$A$2:$A$217,0)),"")</f>
        <v>162.634207253</v>
      </c>
      <c r="Y841" s="260">
        <v>25.96</v>
      </c>
      <c r="Z841" s="260">
        <v>8.9200000000000017</v>
      </c>
      <c r="AA841" s="260">
        <v>65.12</v>
      </c>
      <c r="AB841" s="261" t="s">
        <v>2670</v>
      </c>
      <c r="AC841" s="260">
        <v>4.6145884672252304</v>
      </c>
      <c r="AD841">
        <f>IF('WetLitterbags placem_collection'!AB182="","",'WetLitterbags placem_collection'!AB182)</f>
        <v>8.3000000000000007</v>
      </c>
      <c r="AE841">
        <f>IF('WetLitterbags placem_collection'!Z182="","",'WetLitterbags placem_collection'!Z182)</f>
        <v>35</v>
      </c>
      <c r="AF841" s="24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71">
        <f>IFERROR(AVERAGE('Dry_Litterbag Placem_Collection'!N182,'Dry_Litterbag Placem_Collection'!Q182),"")</f>
        <v>31</v>
      </c>
      <c r="AJ841" s="270">
        <f>INDEX(Coordinates!$B$2:$B$197,MATCH(G841,Coordinates!$J$2:$J$197,0))</f>
        <v>-2.2780199809999999</v>
      </c>
      <c r="AK841" s="270">
        <f>INDEX(Coordinates!$C$2:$C$197,MATCH(G841,Coordinates!$J$2:$J$197,0))</f>
        <v>34.027705019999999</v>
      </c>
      <c r="AL841" s="270" t="str">
        <f>IF(ISNUMBER(SEARCH("C", 'Dry_Litterbag Placem_Collection'!V182)),"YES","NO")</f>
        <v>NO</v>
      </c>
      <c r="AM841" s="270" t="str">
        <f>IF(ISNUMBER(SEARCH("H", 'Dry_Litterbag Placem_Collection'!V182)),"YES","NO")</f>
        <v>NO</v>
      </c>
      <c r="AN841" s="270" t="str">
        <f>IF(ISNUMBER(SEARCH("R", 'Dry_Litterbag Placem_Collection'!V182)),"YES","NO")</f>
        <v>NO</v>
      </c>
    </row>
    <row r="842" spans="1:40" ht="15" customHeight="1">
      <c r="A842" s="262" t="s">
        <v>2659</v>
      </c>
      <c r="B842" s="263">
        <f>'Dry_Litterbag Placem_Collection'!A183</f>
        <v>181</v>
      </c>
      <c r="C842" s="263" t="str">
        <f>'Dry_Litterbag Placem_Collection'!B183</f>
        <v>Handajega</v>
      </c>
      <c r="D842" s="263" t="s">
        <v>2659</v>
      </c>
      <c r="E842" s="263" t="s">
        <v>2661</v>
      </c>
      <c r="F842" s="263">
        <v>3</v>
      </c>
      <c r="G842" s="264" t="str">
        <f>'Dry_Litterbag Placem_Collection'!C183</f>
        <v>Wet_W3_T5</v>
      </c>
      <c r="H842" s="273" t="s">
        <v>3651</v>
      </c>
      <c r="I842" s="274" t="s">
        <v>298</v>
      </c>
      <c r="J842" s="263" t="str">
        <f>IF(ISBLANK('Dry_Litterbag Placem_Collection'!M183),"","R"&amp;""&amp;'Dry_Litterbag Placem_Collection'!M183)</f>
        <v>R170</v>
      </c>
      <c r="K842" s="267">
        <f>IFERROR(INDEX('Green_rooibos initial weight'!$C$5:$C$1749,MATCH(J842, 'Green_rooibos initial weight'!$A$5:$A$1749,0)),"")</f>
        <v>2.1120000000000001</v>
      </c>
      <c r="L842" s="267">
        <f>IFERROR(K842-(TBIcalc!$Q$9+TBIcalc!$Q$10),"")</f>
        <v>1.8622000000000001</v>
      </c>
      <c r="M842" s="391">
        <f>AVERAGE(Ashed_controlls!$K$12:$K$14)</f>
        <v>2.2816647271287041</v>
      </c>
      <c r="N842" s="267">
        <f t="shared" si="66"/>
        <v>1.8197108394514094</v>
      </c>
      <c r="O842" s="267">
        <f>IF(IFERROR(INDEX('Both teabags AfterDry'!$D$3:$D$900,MATCH(J842,'Both teabags AfterDry'!$A$3:$A$900,0)),"")="","",(IFERROR(INDEX('Both teabags AfterDry'!$D$3:$D$900,MATCH(J842,'Both teabags AfterDry'!$A$3:$A$900,0)),"")))</f>
        <v>1.7410000000000001</v>
      </c>
      <c r="P842" s="267">
        <f>IFERROR(IF(O842&gt;0,O842-(TBIcalc!$Q$9),""),"")</f>
        <v>1.5904</v>
      </c>
      <c r="Q842" s="278">
        <f>IFERROR(INDEX('Ashed teabags dry'!$K$2:$K$825,MATCH(J842,'Ashed teabags dry'!$A$2:$A$825,0)),"")</f>
        <v>7.9387186629519642</v>
      </c>
      <c r="R842" s="278">
        <f t="shared" si="67"/>
        <v>1.464142618384412</v>
      </c>
      <c r="S842" s="268">
        <f>'Dry_Litterbag Placem_Collection'!E183</f>
        <v>42940</v>
      </c>
      <c r="T842" s="268">
        <f>IF('Dry_Litterbag Placem_Collection'!G183="","",'Dry_Litterbag Placem_Collection'!G183)</f>
        <v>43009</v>
      </c>
      <c r="U842" s="269">
        <f t="shared" si="65"/>
        <v>69</v>
      </c>
      <c r="V842" s="267">
        <f t="shared" si="68"/>
        <v>0.27180000000000004</v>
      </c>
      <c r="W842" s="267">
        <f t="shared" si="69"/>
        <v>0.35556822106699748</v>
      </c>
      <c r="X842" s="271">
        <f>IFERROR(INDEX(Rainfall_Dry!$O$2:$O$217,MATCH(B842, Rainfall_Dry!$A$2:$A$217,0)),"")</f>
        <v>162.634207253</v>
      </c>
      <c r="Y842" s="260">
        <v>25.96</v>
      </c>
      <c r="Z842" s="260">
        <v>8.9200000000000017</v>
      </c>
      <c r="AA842" s="260">
        <v>65.12</v>
      </c>
      <c r="AB842" s="261" t="s">
        <v>2670</v>
      </c>
      <c r="AC842" s="260">
        <v>5.6145884672252304</v>
      </c>
      <c r="AD842">
        <f>IF('WetLitterbags placem_collection'!AB183="","",'WetLitterbags placem_collection'!AB183)</f>
        <v>11.4</v>
      </c>
      <c r="AE842">
        <f>IF('WetLitterbags placem_collection'!Z183="","",'WetLitterbags placem_collection'!Z183)</f>
        <v>15.8</v>
      </c>
      <c r="AF842" s="24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71">
        <f>IFERROR(AVERAGE('Dry_Litterbag Placem_Collection'!N183,'Dry_Litterbag Placem_Collection'!Q183),"")</f>
        <v>35.099999999999994</v>
      </c>
      <c r="AJ842" s="270">
        <f>INDEX(Coordinates!$B$2:$B$197,MATCH(G842,Coordinates!$J$2:$J$197,0))</f>
        <v>-2.2777329850000001</v>
      </c>
      <c r="AK842" s="270">
        <f>INDEX(Coordinates!$C$2:$C$197,MATCH(G842,Coordinates!$J$2:$J$197,0))</f>
        <v>34.027422970000003</v>
      </c>
      <c r="AL842" s="270" t="str">
        <f>IF(ISNUMBER(SEARCH("C", 'Dry_Litterbag Placem_Collection'!V183)),"YES","NO")</f>
        <v>NO</v>
      </c>
      <c r="AM842" s="270" t="str">
        <f>IF(ISNUMBER(SEARCH("H", 'Dry_Litterbag Placem_Collection'!V183)),"YES","NO")</f>
        <v>NO</v>
      </c>
      <c r="AN842" s="270" t="str">
        <f>IF(ISNUMBER(SEARCH("R", 'Dry_Litterbag Placem_Collection'!V183)),"YES","NO")</f>
        <v>NO</v>
      </c>
    </row>
    <row r="843" spans="1:40" ht="15" customHeight="1">
      <c r="A843" s="262" t="s">
        <v>2659</v>
      </c>
      <c r="B843" s="263">
        <f>'Dry_Litterbag Placem_Collection'!A184</f>
        <v>182</v>
      </c>
      <c r="C843" s="263" t="str">
        <f>'Dry_Litterbag Placem_Collection'!B184</f>
        <v>Handajega</v>
      </c>
      <c r="D843" s="263" t="s">
        <v>2659</v>
      </c>
      <c r="E843" s="263" t="s">
        <v>2661</v>
      </c>
      <c r="F843" s="263">
        <v>3</v>
      </c>
      <c r="G843" s="264" t="str">
        <f>'Dry_Litterbag Placem_Collection'!C184</f>
        <v>Wet_W3_T6</v>
      </c>
      <c r="H843" s="273" t="s">
        <v>3651</v>
      </c>
      <c r="I843" s="274" t="s">
        <v>298</v>
      </c>
      <c r="J843" s="263" t="str">
        <f>IF(ISBLANK('Dry_Litterbag Placem_Collection'!M184),"","R"&amp;""&amp;'Dry_Litterbag Placem_Collection'!M184)</f>
        <v>R697</v>
      </c>
      <c r="K843" s="267">
        <f>IFERROR(INDEX('Green_rooibos initial weight'!$C$5:$C$1749,MATCH(J843, 'Green_rooibos initial weight'!$A$5:$A$1749,0)),"")</f>
        <v>2.133</v>
      </c>
      <c r="L843" s="267">
        <f>IFERROR(K843-(TBIcalc!$Q$9+TBIcalc!$Q$10),"")</f>
        <v>1.8832</v>
      </c>
      <c r="M843" s="391">
        <f>AVERAGE(Ashed_controlls!$K$12:$K$14)</f>
        <v>2.2816647271287041</v>
      </c>
      <c r="N843" s="267">
        <f t="shared" si="66"/>
        <v>1.8402316898587123</v>
      </c>
      <c r="O843" s="267">
        <f>IF(IFERROR(INDEX('Both teabags AfterDry'!$D$3:$D$900,MATCH(J843,'Both teabags AfterDry'!$A$3:$A$900,0)),"")="","",(IFERROR(INDEX('Both teabags AfterDry'!$D$3:$D$900,MATCH(J843,'Both teabags AfterDry'!$A$3:$A$900,0)),"")))</f>
        <v>1.8089</v>
      </c>
      <c r="P843" s="267">
        <f>IFERROR(IF(O843&gt;0,O843-(TBIcalc!$Q$9),""),"")</f>
        <v>1.6582999999999999</v>
      </c>
      <c r="Q843" s="278">
        <f>IFERROR(INDEX('Ashed teabags dry'!$K$2:$K$825,MATCH(J843,'Ashed teabags dry'!$A$2:$A$825,0)),"")</f>
        <v>9.0456806874716023</v>
      </c>
      <c r="R843" s="278">
        <f t="shared" si="67"/>
        <v>1.5082954771596584</v>
      </c>
      <c r="S843" s="268">
        <f>'Dry_Litterbag Placem_Collection'!E184</f>
        <v>42940</v>
      </c>
      <c r="T843" s="268">
        <f>IF('Dry_Litterbag Placem_Collection'!G184="","",'Dry_Litterbag Placem_Collection'!G184)</f>
        <v>43009</v>
      </c>
      <c r="U843" s="269">
        <f t="shared" si="65"/>
        <v>69</v>
      </c>
      <c r="V843" s="267">
        <f t="shared" si="68"/>
        <v>0.2249000000000001</v>
      </c>
      <c r="W843" s="267">
        <f t="shared" si="69"/>
        <v>0.33193621269905393</v>
      </c>
      <c r="X843" s="271">
        <f>IFERROR(INDEX(Rainfall_Dry!$O$2:$O$217,MATCH(B843, Rainfall_Dry!$A$2:$A$217,0)),"")</f>
        <v>162.634207253</v>
      </c>
      <c r="Y843" s="260">
        <v>25.96</v>
      </c>
      <c r="Z843" s="260">
        <v>8.9200000000000017</v>
      </c>
      <c r="AA843" s="260">
        <v>65.12</v>
      </c>
      <c r="AB843" s="261" t="s">
        <v>2670</v>
      </c>
      <c r="AC843" s="260">
        <v>6.6145884672252304</v>
      </c>
      <c r="AD843">
        <f>IF('WetLitterbags placem_collection'!AB184="","",'WetLitterbags placem_collection'!AB184)</f>
        <v>8.8000000000000007</v>
      </c>
      <c r="AE843">
        <f>IF('WetLitterbags placem_collection'!Z184="","",'WetLitterbags placem_collection'!Z184)</f>
        <v>15.8</v>
      </c>
      <c r="AF843" s="24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71">
        <f>IFERROR(AVERAGE('Dry_Litterbag Placem_Collection'!N184,'Dry_Litterbag Placem_Collection'!Q184),"")</f>
        <v>36.400000000000006</v>
      </c>
      <c r="AJ843" s="270">
        <f>INDEX(Coordinates!$B$2:$B$197,MATCH(G843,Coordinates!$J$2:$J$197,0))</f>
        <v>-2.2777009659999998</v>
      </c>
      <c r="AK843" s="270">
        <f>INDEX(Coordinates!$C$2:$C$197,MATCH(G843,Coordinates!$J$2:$J$197,0))</f>
        <v>34.027393969999999</v>
      </c>
      <c r="AL843" s="270" t="str">
        <f>IF(ISNUMBER(SEARCH("C", 'Dry_Litterbag Placem_Collection'!V184)),"YES","NO")</f>
        <v>NO</v>
      </c>
      <c r="AM843" s="270" t="str">
        <f>IF(ISNUMBER(SEARCH("H", 'Dry_Litterbag Placem_Collection'!V184)),"YES","NO")</f>
        <v>NO</v>
      </c>
      <c r="AN843" s="270" t="str">
        <f>IF(ISNUMBER(SEARCH("R", 'Dry_Litterbag Placem_Collection'!V184)),"YES","NO")</f>
        <v>NO</v>
      </c>
    </row>
    <row r="844" spans="1:40" ht="15" customHeight="1">
      <c r="A844" s="262" t="s">
        <v>2659</v>
      </c>
      <c r="B844" s="263">
        <f>'Dry_Litterbag Placem_Collection'!A185</f>
        <v>183</v>
      </c>
      <c r="C844" s="263" t="str">
        <f>'Dry_Litterbag Placem_Collection'!B185</f>
        <v>Handajega</v>
      </c>
      <c r="D844" s="263" t="s">
        <v>2659</v>
      </c>
      <c r="E844" s="263" t="s">
        <v>2661</v>
      </c>
      <c r="F844" s="263">
        <v>3</v>
      </c>
      <c r="G844" s="264" t="str">
        <f>'Dry_Litterbag Placem_Collection'!C185</f>
        <v>Wet_W3_T7</v>
      </c>
      <c r="H844" s="273" t="s">
        <v>3651</v>
      </c>
      <c r="I844" s="274" t="s">
        <v>298</v>
      </c>
      <c r="J844" s="263" t="str">
        <f>IF(ISBLANK('Dry_Litterbag Placem_Collection'!M185),"","R"&amp;""&amp;'Dry_Litterbag Placem_Collection'!M185)</f>
        <v/>
      </c>
      <c r="K844" s="267" t="str">
        <f>IFERROR(INDEX('Green_rooibos initial weight'!$C$5:$C$1749,MATCH(J844, 'Green_rooibos initial weight'!$A$5:$A$1749,0)),"")</f>
        <v/>
      </c>
      <c r="L844" s="267" t="str">
        <f>IFERROR(K844-(TBIcalc!$Q$9+TBIcalc!$Q$10),"")</f>
        <v/>
      </c>
      <c r="M844" s="391">
        <f>AVERAGE(Ashed_controlls!$K$12:$K$14)</f>
        <v>2.2816647271287041</v>
      </c>
      <c r="N844" s="267" t="str">
        <f t="shared" si="66"/>
        <v/>
      </c>
      <c r="O844" s="267" t="str">
        <f>IF(IFERROR(INDEX('Both teabags AfterDry'!$D$3:$D$900,MATCH(J844,'Both teabags AfterDry'!$A$3:$A$900,0)),"")="","",(IFERROR(INDEX('Both teabags AfterDry'!$D$3:$D$900,MATCH(J844,'Both teabags AfterDry'!$A$3:$A$900,0)),"")))</f>
        <v/>
      </c>
      <c r="P844" s="267" t="str">
        <f>IFERROR(IF(O844&gt;0,O844-(TBIcalc!$Q$9),""),"")</f>
        <v/>
      </c>
      <c r="Q844" s="278" t="str">
        <f>IFERROR(INDEX('Ashed teabags dry'!$K$2:$K$825,MATCH(J844,'Ashed teabags dry'!$A$2:$A$825,0)),"")</f>
        <v/>
      </c>
      <c r="R844" s="278" t="str">
        <f t="shared" si="67"/>
        <v/>
      </c>
      <c r="S844" s="268">
        <f>'Dry_Litterbag Placem_Collection'!E185</f>
        <v>0</v>
      </c>
      <c r="T844" s="268" t="str">
        <f>IF('Dry_Litterbag Placem_Collection'!G185="","",'Dry_Litterbag Placem_Collection'!G185)</f>
        <v/>
      </c>
      <c r="U844" s="269" t="str">
        <f t="shared" si="65"/>
        <v/>
      </c>
      <c r="V844" s="267" t="str">
        <f t="shared" si="68"/>
        <v/>
      </c>
      <c r="W844" s="267" t="str">
        <f t="shared" si="69"/>
        <v/>
      </c>
      <c r="X844" s="271" t="str">
        <f>IFERROR(INDEX(Rainfall_Dry!$O$2:$O$217,MATCH(B844, Rainfall_Dry!$A$2:$A$217,0)),"")</f>
        <v/>
      </c>
      <c r="Y844" s="260">
        <v>25.96</v>
      </c>
      <c r="Z844" s="260">
        <v>8.9200000000000017</v>
      </c>
      <c r="AA844" s="260">
        <v>65.12</v>
      </c>
      <c r="AB844" s="261" t="s">
        <v>2670</v>
      </c>
      <c r="AC844" s="260">
        <v>7.6145884672252304</v>
      </c>
      <c r="AD844">
        <f>IF('WetLitterbags placem_collection'!AB185="","",'WetLitterbags placem_collection'!AB185)</f>
        <v>11.4</v>
      </c>
      <c r="AE844">
        <f>IF('WetLitterbags placem_collection'!Z185="","",'WetLitterbags placem_collection'!Z185)</f>
        <v>35.799999999999997</v>
      </c>
      <c r="AF844" s="24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71" t="str">
        <f>IFERROR(AVERAGE('Dry_Litterbag Placem_Collection'!N185,'Dry_Litterbag Placem_Collection'!Q185),"")</f>
        <v/>
      </c>
      <c r="AJ844" s="270">
        <f>INDEX(Coordinates!$B$2:$B$197,MATCH(G844,Coordinates!$J$2:$J$197,0))</f>
        <v>-2.2777790019999999</v>
      </c>
      <c r="AK844" s="270">
        <f>INDEX(Coordinates!$C$2:$C$197,MATCH(G844,Coordinates!$J$2:$J$197,0))</f>
        <v>34.028066029999998</v>
      </c>
      <c r="AL844" s="270" t="str">
        <f>IF(ISNUMBER(SEARCH("C", 'Dry_Litterbag Placem_Collection'!V185)),"YES","NO")</f>
        <v>NO</v>
      </c>
      <c r="AM844" s="270" t="str">
        <f>IF(ISNUMBER(SEARCH("H", 'Dry_Litterbag Placem_Collection'!V185)),"YES","NO")</f>
        <v>NO</v>
      </c>
      <c r="AN844" s="270" t="str">
        <f>IF(ISNUMBER(SEARCH("R", 'Dry_Litterbag Placem_Collection'!V185)),"YES","NO")</f>
        <v>NO</v>
      </c>
    </row>
    <row r="845" spans="1:40" ht="15" customHeight="1">
      <c r="A845" s="262" t="s">
        <v>2659</v>
      </c>
      <c r="B845" s="263">
        <f>'Dry_Litterbag Placem_Collection'!A186</f>
        <v>184</v>
      </c>
      <c r="C845" s="263" t="str">
        <f>'Dry_Litterbag Placem_Collection'!B186</f>
        <v>Handajega</v>
      </c>
      <c r="D845" s="263" t="s">
        <v>2659</v>
      </c>
      <c r="E845" s="263" t="s">
        <v>2661</v>
      </c>
      <c r="F845" s="263">
        <v>3</v>
      </c>
      <c r="G845" s="264" t="str">
        <f>'Dry_Litterbag Placem_Collection'!C186</f>
        <v>Wet_W3_T8</v>
      </c>
      <c r="H845" s="273" t="s">
        <v>3651</v>
      </c>
      <c r="I845" s="274" t="s">
        <v>298</v>
      </c>
      <c r="J845" s="263" t="str">
        <f>IF(ISBLANK('Dry_Litterbag Placem_Collection'!M186),"","R"&amp;""&amp;'Dry_Litterbag Placem_Collection'!M186)</f>
        <v>R674</v>
      </c>
      <c r="K845" s="267">
        <f>IFERROR(INDEX('Green_rooibos initial weight'!$C$5:$C$1749,MATCH(J845, 'Green_rooibos initial weight'!$A$5:$A$1749,0)),"")</f>
        <v>2.1629999999999998</v>
      </c>
      <c r="L845" s="267">
        <f>IFERROR(K845-(TBIcalc!$Q$9+TBIcalc!$Q$10),"")</f>
        <v>1.9131999999999998</v>
      </c>
      <c r="M845" s="391">
        <f>AVERAGE(Ashed_controlls!$K$12:$K$14)</f>
        <v>2.2816647271287041</v>
      </c>
      <c r="N845" s="267">
        <f t="shared" si="66"/>
        <v>1.8695471904405734</v>
      </c>
      <c r="O845" s="267">
        <f>IF(IFERROR(INDEX('Both teabags AfterDry'!$D$3:$D$900,MATCH(J845,'Both teabags AfterDry'!$A$3:$A$900,0)),"")="","",(IFERROR(INDEX('Both teabags AfterDry'!$D$3:$D$900,MATCH(J845,'Both teabags AfterDry'!$A$3:$A$900,0)),"")))</f>
        <v>1.6498999999999999</v>
      </c>
      <c r="P845" s="267">
        <f>IFERROR(IF(O845&gt;0,O845-(TBIcalc!$Q$9),""),"")</f>
        <v>1.4992999999999999</v>
      </c>
      <c r="Q845" s="278">
        <f>IFERROR(INDEX('Ashed teabags dry'!$K$2:$K$825,MATCH(J845,'Ashed teabags dry'!$A$2:$A$825,0)),"")</f>
        <v>8.2802547770705939</v>
      </c>
      <c r="R845" s="278">
        <f t="shared" si="67"/>
        <v>1.3751541401273806</v>
      </c>
      <c r="S845" s="268">
        <f>'Dry_Litterbag Placem_Collection'!E186</f>
        <v>42940</v>
      </c>
      <c r="T845" s="268">
        <f>IF('Dry_Litterbag Placem_Collection'!G186="","",'Dry_Litterbag Placem_Collection'!G186)</f>
        <v>43009</v>
      </c>
      <c r="U845" s="269">
        <f t="shared" si="65"/>
        <v>69</v>
      </c>
      <c r="V845" s="267">
        <f t="shared" si="68"/>
        <v>0.41389999999999993</v>
      </c>
      <c r="W845" s="267">
        <f t="shared" si="69"/>
        <v>0.49439305031319281</v>
      </c>
      <c r="X845" s="271">
        <f>IFERROR(INDEX(Rainfall_Dry!$O$2:$O$217,MATCH(B845, Rainfall_Dry!$A$2:$A$217,0)),"")</f>
        <v>162.634207253</v>
      </c>
      <c r="Y845" s="260">
        <v>25.96</v>
      </c>
      <c r="Z845" s="260">
        <v>8.9200000000000017</v>
      </c>
      <c r="AA845" s="260">
        <v>65.12</v>
      </c>
      <c r="AB845" s="261" t="s">
        <v>2670</v>
      </c>
      <c r="AC845" s="260">
        <v>8.6145884672252304</v>
      </c>
      <c r="AD845">
        <f>IF('WetLitterbags placem_collection'!AB186="","",'WetLitterbags placem_collection'!AB186)</f>
        <v>3.7</v>
      </c>
      <c r="AE845">
        <f>IF('WetLitterbags placem_collection'!Z186="","",'WetLitterbags placem_collection'!Z186)</f>
        <v>16.399999999999999</v>
      </c>
      <c r="AF845" s="24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71">
        <f>IFERROR(AVERAGE('Dry_Litterbag Placem_Collection'!N186,'Dry_Litterbag Placem_Collection'!Q186),"")</f>
        <v>28.05</v>
      </c>
      <c r="AJ845" s="270">
        <f>INDEX(Coordinates!$B$2:$B$197,MATCH(G845,Coordinates!$J$2:$J$197,0))</f>
        <v>-2.2775169829999999</v>
      </c>
      <c r="AK845" s="270">
        <f>INDEX(Coordinates!$C$2:$C$197,MATCH(G845,Coordinates!$J$2:$J$197,0))</f>
        <v>34.027766970000002</v>
      </c>
      <c r="AL845" s="270" t="str">
        <f>IF(ISNUMBER(SEARCH("C", 'Dry_Litterbag Placem_Collection'!V186)),"YES","NO")</f>
        <v>NO</v>
      </c>
      <c r="AM845" s="270" t="str">
        <f>IF(ISNUMBER(SEARCH("H", 'Dry_Litterbag Placem_Collection'!V186)),"YES","NO")</f>
        <v>NO</v>
      </c>
      <c r="AN845" s="270" t="str">
        <f>IF(ISNUMBER(SEARCH("R", 'Dry_Litterbag Placem_Collection'!V186)),"YES","NO")</f>
        <v>NO</v>
      </c>
    </row>
    <row r="846" spans="1:40" ht="15" customHeight="1">
      <c r="A846" s="262" t="s">
        <v>2659</v>
      </c>
      <c r="B846" s="263">
        <f>'Dry_Litterbag Placem_Collection'!A187</f>
        <v>185</v>
      </c>
      <c r="C846" s="263" t="str">
        <f>'Dry_Litterbag Placem_Collection'!B187</f>
        <v>Handajega</v>
      </c>
      <c r="D846" s="263" t="s">
        <v>2659</v>
      </c>
      <c r="E846" s="263" t="s">
        <v>2661</v>
      </c>
      <c r="F846" s="263">
        <v>4</v>
      </c>
      <c r="G846" s="264" t="str">
        <f>'Dry_Litterbag Placem_Collection'!C187</f>
        <v>Wet_W4_T1</v>
      </c>
      <c r="H846" s="273" t="s">
        <v>3651</v>
      </c>
      <c r="I846" s="274" t="s">
        <v>298</v>
      </c>
      <c r="J846" s="263" t="str">
        <f>IF(ISBLANK('Dry_Litterbag Placem_Collection'!M187),"","R"&amp;""&amp;'Dry_Litterbag Placem_Collection'!M187)</f>
        <v>R607</v>
      </c>
      <c r="K846" s="267">
        <f>IFERROR(INDEX('Green_rooibos initial weight'!$C$5:$C$1749,MATCH(J846, 'Green_rooibos initial weight'!$A$5:$A$1749,0)),"")</f>
        <v>2.14</v>
      </c>
      <c r="L846" s="267">
        <f>IFERROR(K846-(TBIcalc!$Q$9+TBIcalc!$Q$10),"")</f>
        <v>1.8902000000000001</v>
      </c>
      <c r="M846" s="391">
        <f>AVERAGE(Ashed_controlls!$K$12:$K$14)</f>
        <v>2.2816647271287041</v>
      </c>
      <c r="N846" s="267">
        <f t="shared" si="66"/>
        <v>1.8470719733278134</v>
      </c>
      <c r="O846" s="267" t="str">
        <f>IF(IFERROR(INDEX('Both teabags AfterDry'!$D$3:$D$900,MATCH(J846,'Both teabags AfterDry'!$A$3:$A$900,0)),"")="","",(IFERROR(INDEX('Both teabags AfterDry'!$D$3:$D$900,MATCH(J846,'Both teabags AfterDry'!$A$3:$A$900,0)),"")))</f>
        <v/>
      </c>
      <c r="P846" s="267" t="str">
        <f>IFERROR(IF(O846&gt;0,O846-(TBIcalc!$Q$9),""),"")</f>
        <v/>
      </c>
      <c r="Q846" s="278" t="str">
        <f>IFERROR(INDEX('Ashed teabags dry'!$K$2:$K$825,MATCH(J846,'Ashed teabags dry'!$A$2:$A$825,0)),"")</f>
        <v/>
      </c>
      <c r="R846" s="278" t="str">
        <f t="shared" si="67"/>
        <v/>
      </c>
      <c r="S846" s="268">
        <f>'Dry_Litterbag Placem_Collection'!E187</f>
        <v>42940</v>
      </c>
      <c r="T846" s="268">
        <f>IF('Dry_Litterbag Placem_Collection'!G187="","",'Dry_Litterbag Placem_Collection'!G187)</f>
        <v>43009</v>
      </c>
      <c r="U846" s="269">
        <f t="shared" si="65"/>
        <v>69</v>
      </c>
      <c r="V846" s="267" t="str">
        <f t="shared" si="68"/>
        <v/>
      </c>
      <c r="W846" s="267" t="str">
        <f t="shared" si="69"/>
        <v/>
      </c>
      <c r="X846" s="271">
        <f>IFERROR(INDEX(Rainfall_Dry!$O$2:$O$217,MATCH(B846, Rainfall_Dry!$A$2:$A$217,0)),"")</f>
        <v>162.634207253</v>
      </c>
      <c r="Y846" s="260">
        <v>25.96</v>
      </c>
      <c r="Z846" s="260">
        <v>8.9200000000000017</v>
      </c>
      <c r="AA846" s="260">
        <v>65.12</v>
      </c>
      <c r="AB846" s="261" t="s">
        <v>2670</v>
      </c>
      <c r="AC846" s="260">
        <v>1.6991621488417901</v>
      </c>
      <c r="AD846">
        <f>IF('WetLitterbags placem_collection'!AB187="","",'WetLitterbags placem_collection'!AB187)</f>
        <v>9.8000000000000007</v>
      </c>
      <c r="AE846">
        <f>IF('WetLitterbags placem_collection'!Z187="","",'WetLitterbags placem_collection'!Z187)</f>
        <v>29.4</v>
      </c>
      <c r="AF846" s="24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71">
        <f>IFERROR(AVERAGE('Dry_Litterbag Placem_Collection'!N187,'Dry_Litterbag Placem_Collection'!Q187),"")</f>
        <v>35</v>
      </c>
      <c r="AJ846" s="270">
        <f>INDEX(Coordinates!$B$2:$B$197,MATCH(G846,Coordinates!$J$2:$J$197,0))</f>
        <v>-2.2787330300000002</v>
      </c>
      <c r="AK846" s="270">
        <f>INDEX(Coordinates!$C$2:$C$197,MATCH(G846,Coordinates!$J$2:$J$197,0))</f>
        <v>34.032136029999997</v>
      </c>
      <c r="AL846" s="270" t="str">
        <f>IF(ISNUMBER(SEARCH("C", 'Dry_Litterbag Placem_Collection'!V187)),"YES","NO")</f>
        <v>NO</v>
      </c>
      <c r="AM846" s="270" t="str">
        <f>IF(ISNUMBER(SEARCH("H", 'Dry_Litterbag Placem_Collection'!V187)),"YES","NO")</f>
        <v>NO</v>
      </c>
      <c r="AN846" s="270" t="str">
        <f>IF(ISNUMBER(SEARCH("R", 'Dry_Litterbag Placem_Collection'!V187)),"YES","NO")</f>
        <v>NO</v>
      </c>
    </row>
    <row r="847" spans="1:40" ht="15" customHeight="1">
      <c r="A847" s="262" t="s">
        <v>2659</v>
      </c>
      <c r="B847" s="263">
        <f>'Dry_Litterbag Placem_Collection'!A188</f>
        <v>186</v>
      </c>
      <c r="C847" s="263" t="str">
        <f>'Dry_Litterbag Placem_Collection'!B188</f>
        <v>Handajega</v>
      </c>
      <c r="D847" s="263" t="s">
        <v>2659</v>
      </c>
      <c r="E847" s="263" t="s">
        <v>2661</v>
      </c>
      <c r="F847" s="263">
        <v>4</v>
      </c>
      <c r="G847" s="264" t="str">
        <f>'Dry_Litterbag Placem_Collection'!C188</f>
        <v>Wet_W4_T2</v>
      </c>
      <c r="H847" s="273" t="s">
        <v>3651</v>
      </c>
      <c r="I847" s="274" t="s">
        <v>298</v>
      </c>
      <c r="J847" s="263" t="str">
        <f>IF(ISBLANK('Dry_Litterbag Placem_Collection'!M188),"","R"&amp;""&amp;'Dry_Litterbag Placem_Collection'!M188)</f>
        <v>R629</v>
      </c>
      <c r="K847" s="267">
        <f>IFERROR(INDEX('Green_rooibos initial weight'!$C$5:$C$1749,MATCH(J847, 'Green_rooibos initial weight'!$A$5:$A$1749,0)),"")</f>
        <v>2.1669999999999998</v>
      </c>
      <c r="L847" s="267">
        <f>IFERROR(K847-(TBIcalc!$Q$9+TBIcalc!$Q$10),"")</f>
        <v>1.9171999999999998</v>
      </c>
      <c r="M847" s="391">
        <f>AVERAGE(Ashed_controlls!$K$12:$K$14)</f>
        <v>2.2816647271287041</v>
      </c>
      <c r="N847" s="267">
        <f t="shared" si="66"/>
        <v>1.8734559238514883</v>
      </c>
      <c r="O847" s="267">
        <f>IF(IFERROR(INDEX('Both teabags AfterDry'!$D$3:$D$900,MATCH(J847,'Both teabags AfterDry'!$A$3:$A$900,0)),"")="","",(IFERROR(INDEX('Both teabags AfterDry'!$D$3:$D$900,MATCH(J847,'Both teabags AfterDry'!$A$3:$A$900,0)),"")))</f>
        <v>1.8498000000000001</v>
      </c>
      <c r="P847" s="267">
        <f>IFERROR(IF(O847&gt;0,O847-(TBIcalc!$Q$9),""),"")</f>
        <v>1.6992</v>
      </c>
      <c r="Q847" s="278">
        <f>IFERROR(INDEX('Ashed teabags dry'!$K$2:$K$825,MATCH(J847,'Ashed teabags dry'!$A$2:$A$825,0)),"")</f>
        <v>8.1542968749998188</v>
      </c>
      <c r="R847" s="278">
        <f t="shared" si="67"/>
        <v>1.5606421875000032</v>
      </c>
      <c r="S847" s="268">
        <f>'Dry_Litterbag Placem_Collection'!E188</f>
        <v>42940</v>
      </c>
      <c r="T847" s="268">
        <f>IF('Dry_Litterbag Placem_Collection'!G188="","",'Dry_Litterbag Placem_Collection'!G188)</f>
        <v>43009</v>
      </c>
      <c r="U847" s="269">
        <f t="shared" si="65"/>
        <v>69</v>
      </c>
      <c r="V847" s="267">
        <f t="shared" si="68"/>
        <v>0.21799999999999975</v>
      </c>
      <c r="W847" s="267">
        <f t="shared" si="69"/>
        <v>0.31281373635148513</v>
      </c>
      <c r="X847" s="271">
        <f>IFERROR(INDEX(Rainfall_Dry!$O$2:$O$217,MATCH(B847, Rainfall_Dry!$A$2:$A$217,0)),"")</f>
        <v>162.634207253</v>
      </c>
      <c r="Y847" s="260">
        <v>25.96</v>
      </c>
      <c r="Z847" s="260">
        <v>8.9200000000000017</v>
      </c>
      <c r="AA847" s="260">
        <v>65.12</v>
      </c>
      <c r="AB847" s="261" t="s">
        <v>2670</v>
      </c>
      <c r="AC847" s="260">
        <v>2.6991621488417898</v>
      </c>
      <c r="AD847">
        <f>IF('WetLitterbags placem_collection'!AB188="","",'WetLitterbags placem_collection'!AB188)</f>
        <v>11.4</v>
      </c>
      <c r="AE847">
        <f>IF('WetLitterbags placem_collection'!Z188="","",'WetLitterbags placem_collection'!Z188)</f>
        <v>45.4</v>
      </c>
      <c r="AF847" s="24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71">
        <f>IFERROR(AVERAGE('Dry_Litterbag Placem_Collection'!N188,'Dry_Litterbag Placem_Collection'!Q188),"")</f>
        <v>35.299999999999997</v>
      </c>
      <c r="AJ847" s="270">
        <f>INDEX(Coordinates!$B$2:$B$197,MATCH(G847,Coordinates!$J$2:$J$197,0))</f>
        <v>-2.278763037</v>
      </c>
      <c r="AK847" s="270">
        <f>INDEX(Coordinates!$C$2:$C$197,MATCH(G847,Coordinates!$J$2:$J$197,0))</f>
        <v>34.031974009999999</v>
      </c>
      <c r="AL847" s="270" t="str">
        <f>IF(ISNUMBER(SEARCH("C", 'Dry_Litterbag Placem_Collection'!V188)),"YES","NO")</f>
        <v>NO</v>
      </c>
      <c r="AM847" s="270" t="str">
        <f>IF(ISNUMBER(SEARCH("H", 'Dry_Litterbag Placem_Collection'!V188)),"YES","NO")</f>
        <v>NO</v>
      </c>
      <c r="AN847" s="270" t="str">
        <f>IF(ISNUMBER(SEARCH("R", 'Dry_Litterbag Placem_Collection'!V188)),"YES","NO")</f>
        <v>NO</v>
      </c>
    </row>
    <row r="848" spans="1:40" ht="15" customHeight="1">
      <c r="A848" s="262" t="s">
        <v>2659</v>
      </c>
      <c r="B848" s="263">
        <f>'Dry_Litterbag Placem_Collection'!A189</f>
        <v>187</v>
      </c>
      <c r="C848" s="263" t="str">
        <f>'Dry_Litterbag Placem_Collection'!B189</f>
        <v>Handajega</v>
      </c>
      <c r="D848" s="263" t="s">
        <v>2659</v>
      </c>
      <c r="E848" s="263" t="s">
        <v>2661</v>
      </c>
      <c r="F848" s="263">
        <v>4</v>
      </c>
      <c r="G848" s="264" t="str">
        <f>'Dry_Litterbag Placem_Collection'!C189</f>
        <v>Wet_W4_T3</v>
      </c>
      <c r="H848" s="273" t="s">
        <v>3651</v>
      </c>
      <c r="I848" s="274" t="s">
        <v>298</v>
      </c>
      <c r="J848" s="263" t="str">
        <f>IF(ISBLANK('Dry_Litterbag Placem_Collection'!M189),"","R"&amp;""&amp;'Dry_Litterbag Placem_Collection'!M189)</f>
        <v>R679</v>
      </c>
      <c r="K848" s="267">
        <f>IFERROR(INDEX('Green_rooibos initial weight'!$C$5:$C$1749,MATCH(J848, 'Green_rooibos initial weight'!$A$5:$A$1749,0)),"")</f>
        <v>2.149</v>
      </c>
      <c r="L848" s="267">
        <f>IFERROR(K848-(TBIcalc!$Q$9+TBIcalc!$Q$10),"")</f>
        <v>1.8992</v>
      </c>
      <c r="M848" s="391">
        <f>AVERAGE(Ashed_controlls!$K$12:$K$14)</f>
        <v>2.2816647271287041</v>
      </c>
      <c r="N848" s="267">
        <f t="shared" si="66"/>
        <v>1.8558666235023717</v>
      </c>
      <c r="O848" s="267">
        <f>IF(IFERROR(INDEX('Both teabags AfterDry'!$D$3:$D$900,MATCH(J848,'Both teabags AfterDry'!$A$3:$A$900,0)),"")="","",(IFERROR(INDEX('Both teabags AfterDry'!$D$3:$D$900,MATCH(J848,'Both teabags AfterDry'!$A$3:$A$900,0)),"")))</f>
        <v>1.7021999999999999</v>
      </c>
      <c r="P848" s="267">
        <f>IFERROR(IF(O848&gt;0,O848-(TBIcalc!$Q$9),""),"")</f>
        <v>1.5515999999999999</v>
      </c>
      <c r="Q848" s="278">
        <f>IFERROR(INDEX('Ashed teabags dry'!$K$2:$K$825,MATCH(J848,'Ashed teabags dry'!$A$2:$A$825,0)),"")</f>
        <v>11.726867887184616</v>
      </c>
      <c r="R848" s="278">
        <f t="shared" si="67"/>
        <v>1.3696459178624434</v>
      </c>
      <c r="S848" s="268">
        <f>'Dry_Litterbag Placem_Collection'!E189</f>
        <v>42940</v>
      </c>
      <c r="T848" s="268">
        <f>IF('Dry_Litterbag Placem_Collection'!G189="","",'Dry_Litterbag Placem_Collection'!G189)</f>
        <v>43009</v>
      </c>
      <c r="U848" s="269">
        <f t="shared" si="65"/>
        <v>69</v>
      </c>
      <c r="V848" s="267">
        <f t="shared" si="68"/>
        <v>0.34760000000000013</v>
      </c>
      <c r="W848" s="267">
        <f t="shared" si="69"/>
        <v>0.48622070563992836</v>
      </c>
      <c r="X848" s="271">
        <f>IFERROR(INDEX(Rainfall_Dry!$O$2:$O$217,MATCH(B848, Rainfall_Dry!$A$2:$A$217,0)),"")</f>
        <v>162.634207253</v>
      </c>
      <c r="Y848" s="260">
        <v>25.96</v>
      </c>
      <c r="Z848" s="260">
        <v>8.9200000000000017</v>
      </c>
      <c r="AA848" s="260">
        <v>65.12</v>
      </c>
      <c r="AB848" s="261" t="s">
        <v>2670</v>
      </c>
      <c r="AC848" s="260">
        <v>3.6991621488417898</v>
      </c>
      <c r="AD848">
        <f>IF('WetLitterbags placem_collection'!AB189="","",'WetLitterbags placem_collection'!AB189)</f>
        <v>0.6</v>
      </c>
      <c r="AE848">
        <f>IF('WetLitterbags placem_collection'!Z189="","",'WetLitterbags placem_collection'!Z189)</f>
        <v>39.4</v>
      </c>
      <c r="AF848" s="24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71">
        <f>IFERROR(AVERAGE('Dry_Litterbag Placem_Collection'!N189,'Dry_Litterbag Placem_Collection'!Q189),"")</f>
        <v>35.150000000000006</v>
      </c>
      <c r="AJ848" s="270">
        <f>INDEX(Coordinates!$B$2:$B$197,MATCH(G848,Coordinates!$J$2:$J$197,0))</f>
        <v>-2.2785890289999999</v>
      </c>
      <c r="AK848" s="270">
        <f>INDEX(Coordinates!$C$2:$C$197,MATCH(G848,Coordinates!$J$2:$J$197,0))</f>
        <v>34.031841999999997</v>
      </c>
      <c r="AL848" s="270" t="str">
        <f>IF(ISNUMBER(SEARCH("C", 'Dry_Litterbag Placem_Collection'!V189)),"YES","NO")</f>
        <v>NO</v>
      </c>
      <c r="AM848" s="270" t="str">
        <f>IF(ISNUMBER(SEARCH("H", 'Dry_Litterbag Placem_Collection'!V189)),"YES","NO")</f>
        <v>NO</v>
      </c>
      <c r="AN848" s="270" t="str">
        <f>IF(ISNUMBER(SEARCH("R", 'Dry_Litterbag Placem_Collection'!V189)),"YES","NO")</f>
        <v>NO</v>
      </c>
    </row>
    <row r="849" spans="1:40" ht="15" customHeight="1">
      <c r="A849" s="262" t="s">
        <v>2659</v>
      </c>
      <c r="B849" s="263">
        <f>'Dry_Litterbag Placem_Collection'!A190</f>
        <v>188</v>
      </c>
      <c r="C849" s="263" t="str">
        <f>'Dry_Litterbag Placem_Collection'!B190</f>
        <v>Handajega</v>
      </c>
      <c r="D849" s="263" t="s">
        <v>2659</v>
      </c>
      <c r="E849" s="263" t="s">
        <v>2661</v>
      </c>
      <c r="F849" s="263">
        <v>4</v>
      </c>
      <c r="G849" s="264" t="str">
        <f>'Dry_Litterbag Placem_Collection'!C190</f>
        <v>Wet_W4_T4</v>
      </c>
      <c r="H849" s="273" t="s">
        <v>3651</v>
      </c>
      <c r="I849" s="274" t="s">
        <v>298</v>
      </c>
      <c r="J849" s="263" t="str">
        <f>IF(ISBLANK('Dry_Litterbag Placem_Collection'!M190),"","R"&amp;""&amp;'Dry_Litterbag Placem_Collection'!M190)</f>
        <v>R682</v>
      </c>
      <c r="K849" s="267">
        <f>IFERROR(INDEX('Green_rooibos initial weight'!$C$5:$C$1749,MATCH(J849, 'Green_rooibos initial weight'!$A$5:$A$1749,0)),"")</f>
        <v>2.1720000000000002</v>
      </c>
      <c r="L849" s="267">
        <f>IFERROR(K849-(TBIcalc!$Q$9+TBIcalc!$Q$10),"")</f>
        <v>1.9222000000000001</v>
      </c>
      <c r="M849" s="391">
        <f>AVERAGE(Ashed_controlls!$K$12:$K$14)</f>
        <v>2.2816647271287041</v>
      </c>
      <c r="N849" s="267">
        <f t="shared" si="66"/>
        <v>1.8783418406151322</v>
      </c>
      <c r="O849" s="267">
        <f>IF(IFERROR(INDEX('Both teabags AfterDry'!$D$3:$D$900,MATCH(J849,'Both teabags AfterDry'!$A$3:$A$900,0)),"")="","",(IFERROR(INDEX('Both teabags AfterDry'!$D$3:$D$900,MATCH(J849,'Both teabags AfterDry'!$A$3:$A$900,0)),"")))</f>
        <v>1.7353000000000001</v>
      </c>
      <c r="P849" s="267">
        <f>IFERROR(IF(O849&gt;0,O849-(TBIcalc!$Q$9),""),"")</f>
        <v>1.5847</v>
      </c>
      <c r="Q849" s="278">
        <f>IFERROR(INDEX('Ashed teabags dry'!$K$2:$K$825,MATCH(J849,'Ashed teabags dry'!$A$2:$A$825,0)),"")</f>
        <v>6.766169154228745</v>
      </c>
      <c r="R849" s="278">
        <f t="shared" si="67"/>
        <v>1.4774765174129372</v>
      </c>
      <c r="S849" s="268">
        <f>'Dry_Litterbag Placem_Collection'!E190</f>
        <v>42940</v>
      </c>
      <c r="T849" s="268">
        <f>IF('Dry_Litterbag Placem_Collection'!G190="","",'Dry_Litterbag Placem_Collection'!G190)</f>
        <v>43009</v>
      </c>
      <c r="U849" s="269">
        <f t="shared" si="65"/>
        <v>69</v>
      </c>
      <c r="V849" s="267">
        <f t="shared" si="68"/>
        <v>0.33750000000000013</v>
      </c>
      <c r="W849" s="267">
        <f t="shared" si="69"/>
        <v>0.40086532320219503</v>
      </c>
      <c r="X849" s="271">
        <f>IFERROR(INDEX(Rainfall_Dry!$O$2:$O$217,MATCH(B849, Rainfall_Dry!$A$2:$A$217,0)),"")</f>
        <v>162.634207253</v>
      </c>
      <c r="Y849" s="260">
        <v>25.96</v>
      </c>
      <c r="Z849" s="260">
        <v>8.9200000000000017</v>
      </c>
      <c r="AA849" s="260">
        <v>65.12</v>
      </c>
      <c r="AB849" s="261" t="s">
        <v>2670</v>
      </c>
      <c r="AC849" s="260">
        <v>4.6991621488417898</v>
      </c>
      <c r="AD849">
        <f>IF('WetLitterbags placem_collection'!AB190="","",'WetLitterbags placem_collection'!AB190)</f>
        <v>2.2999999999999998</v>
      </c>
      <c r="AE849">
        <f>IF('WetLitterbags placem_collection'!Z190="","",'WetLitterbags placem_collection'!Z190)</f>
        <v>14.4</v>
      </c>
      <c r="AF849" s="24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71">
        <f>IFERROR(AVERAGE('Dry_Litterbag Placem_Collection'!N190,'Dry_Litterbag Placem_Collection'!Q190),"")</f>
        <v>34.150000000000006</v>
      </c>
      <c r="AJ849" s="270">
        <f>INDEX(Coordinates!$B$2:$B$197,MATCH(G849,Coordinates!$J$2:$J$197,0))</f>
        <v>-2.278422983</v>
      </c>
      <c r="AK849" s="270">
        <f>INDEX(Coordinates!$C$2:$C$197,MATCH(G849,Coordinates!$J$2:$J$197,0))</f>
        <v>34.032261009999999</v>
      </c>
      <c r="AL849" s="270" t="str">
        <f>IF(ISNUMBER(SEARCH("C", 'Dry_Litterbag Placem_Collection'!V190)),"YES","NO")</f>
        <v>NO</v>
      </c>
      <c r="AM849" s="270" t="str">
        <f>IF(ISNUMBER(SEARCH("H", 'Dry_Litterbag Placem_Collection'!V190)),"YES","NO")</f>
        <v>NO</v>
      </c>
      <c r="AN849" s="270" t="str">
        <f>IF(ISNUMBER(SEARCH("R", 'Dry_Litterbag Placem_Collection'!V190)),"YES","NO")</f>
        <v>NO</v>
      </c>
    </row>
    <row r="850" spans="1:40" ht="15" customHeight="1">
      <c r="A850" s="262" t="s">
        <v>2659</v>
      </c>
      <c r="B850" s="263">
        <f>'Dry_Litterbag Placem_Collection'!A191</f>
        <v>189</v>
      </c>
      <c r="C850" s="263" t="str">
        <f>'Dry_Litterbag Placem_Collection'!B191</f>
        <v>Handajega</v>
      </c>
      <c r="D850" s="263" t="s">
        <v>2659</v>
      </c>
      <c r="E850" s="263" t="s">
        <v>2661</v>
      </c>
      <c r="F850" s="263">
        <v>4</v>
      </c>
      <c r="G850" s="264" t="str">
        <f>'Dry_Litterbag Placem_Collection'!C191</f>
        <v>Wet_W4_T5</v>
      </c>
      <c r="H850" s="273" t="s">
        <v>3651</v>
      </c>
      <c r="I850" s="274" t="s">
        <v>298</v>
      </c>
      <c r="J850" s="263" t="str">
        <f>IF(ISBLANK('Dry_Litterbag Placem_Collection'!M191),"","R"&amp;""&amp;'Dry_Litterbag Placem_Collection'!M191)</f>
        <v>R693</v>
      </c>
      <c r="K850" s="267">
        <f>IFERROR(INDEX('Green_rooibos initial weight'!$C$5:$C$1749,MATCH(J850, 'Green_rooibos initial weight'!$A$5:$A$1749,0)),"")</f>
        <v>2.1789999999999998</v>
      </c>
      <c r="L850" s="267">
        <f>IFERROR(K850-(TBIcalc!$Q$9+TBIcalc!$Q$10),"")</f>
        <v>1.9291999999999998</v>
      </c>
      <c r="M850" s="391">
        <f>AVERAGE(Ashed_controlls!$K$12:$K$14)</f>
        <v>2.2816647271287041</v>
      </c>
      <c r="N850" s="267">
        <f t="shared" si="66"/>
        <v>1.8851821240842328</v>
      </c>
      <c r="O850" s="267">
        <f>IF(IFERROR(INDEX('Both teabags AfterDry'!$D$3:$D$900,MATCH(J850,'Both teabags AfterDry'!$A$3:$A$900,0)),"")="","",(IFERROR(INDEX('Both teabags AfterDry'!$D$3:$D$900,MATCH(J850,'Both teabags AfterDry'!$A$3:$A$900,0)),"")))</f>
        <v>1.919</v>
      </c>
      <c r="P850" s="267">
        <f>IFERROR(IF(O850&gt;0,O850-(TBIcalc!$Q$9),""),"")</f>
        <v>1.7684</v>
      </c>
      <c r="Q850" s="278">
        <f>IFERROR(INDEX('Ashed teabags dry'!$K$2:$K$825,MATCH(J850,'Ashed teabags dry'!$A$2:$A$825,0)),"")</f>
        <v>7.2408897302414861</v>
      </c>
      <c r="R850" s="278">
        <f t="shared" si="67"/>
        <v>1.6403521060104096</v>
      </c>
      <c r="S850" s="268">
        <f>'Dry_Litterbag Placem_Collection'!E191</f>
        <v>42940</v>
      </c>
      <c r="T850" s="268">
        <f>IF('Dry_Litterbag Placem_Collection'!G191="","",'Dry_Litterbag Placem_Collection'!G191)</f>
        <v>43009</v>
      </c>
      <c r="U850" s="269">
        <f t="shared" si="65"/>
        <v>69</v>
      </c>
      <c r="V850" s="267">
        <f t="shared" si="68"/>
        <v>0.16079999999999983</v>
      </c>
      <c r="W850" s="267">
        <f t="shared" si="69"/>
        <v>0.24483001807382321</v>
      </c>
      <c r="X850" s="271">
        <f>IFERROR(INDEX(Rainfall_Dry!$O$2:$O$217,MATCH(B850, Rainfall_Dry!$A$2:$A$217,0)),"")</f>
        <v>162.634207253</v>
      </c>
      <c r="Y850" s="260">
        <v>25.96</v>
      </c>
      <c r="Z850" s="260">
        <v>8.9200000000000017</v>
      </c>
      <c r="AA850" s="260">
        <v>65.12</v>
      </c>
      <c r="AB850" s="261" t="s">
        <v>2670</v>
      </c>
      <c r="AC850" s="260">
        <v>5.6991621488417898</v>
      </c>
      <c r="AD850">
        <f>IF('WetLitterbags placem_collection'!AB191="","",'WetLitterbags placem_collection'!AB191)</f>
        <v>0.6</v>
      </c>
      <c r="AE850">
        <f>IF('WetLitterbags placem_collection'!Z191="","",'WetLitterbags placem_collection'!Z191)</f>
        <v>7</v>
      </c>
      <c r="AF850" s="24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71">
        <f>IFERROR(AVERAGE('Dry_Litterbag Placem_Collection'!N191,'Dry_Litterbag Placem_Collection'!Q191),"")</f>
        <v>33</v>
      </c>
      <c r="AJ850" s="270">
        <f>INDEX(Coordinates!$B$2:$B$197,MATCH(G850,Coordinates!$J$2:$J$197,0))</f>
        <v>-2.2787580080000001</v>
      </c>
      <c r="AK850" s="270">
        <f>INDEX(Coordinates!$C$2:$C$197,MATCH(G850,Coordinates!$J$2:$J$197,0))</f>
        <v>34.032463010000001</v>
      </c>
      <c r="AL850" s="270" t="str">
        <f>IF(ISNUMBER(SEARCH("C", 'Dry_Litterbag Placem_Collection'!V191)),"YES","NO")</f>
        <v>NO</v>
      </c>
      <c r="AM850" s="270" t="str">
        <f>IF(ISNUMBER(SEARCH("H", 'Dry_Litterbag Placem_Collection'!V191)),"YES","NO")</f>
        <v>NO</v>
      </c>
      <c r="AN850" s="270" t="str">
        <f>IF(ISNUMBER(SEARCH("R", 'Dry_Litterbag Placem_Collection'!V191)),"YES","NO")</f>
        <v>NO</v>
      </c>
    </row>
    <row r="851" spans="1:40" ht="15" customHeight="1">
      <c r="A851" s="262" t="s">
        <v>2659</v>
      </c>
      <c r="B851" s="263">
        <f>'Dry_Litterbag Placem_Collection'!A192</f>
        <v>190</v>
      </c>
      <c r="C851" s="263" t="str">
        <f>'Dry_Litterbag Placem_Collection'!B192</f>
        <v>Handajega</v>
      </c>
      <c r="D851" s="263" t="s">
        <v>2659</v>
      </c>
      <c r="E851" s="263" t="s">
        <v>2661</v>
      </c>
      <c r="F851" s="263">
        <v>4</v>
      </c>
      <c r="G851" s="264" t="str">
        <f>'Dry_Litterbag Placem_Collection'!C192</f>
        <v>Wet_W4_T6</v>
      </c>
      <c r="H851" s="273" t="s">
        <v>3651</v>
      </c>
      <c r="I851" s="274" t="s">
        <v>298</v>
      </c>
      <c r="J851" s="263" t="str">
        <f>IF(ISBLANK('Dry_Litterbag Placem_Collection'!M192),"","R"&amp;""&amp;'Dry_Litterbag Placem_Collection'!M192)</f>
        <v>R605</v>
      </c>
      <c r="K851" s="267">
        <f>IFERROR(INDEX('Green_rooibos initial weight'!$C$5:$C$1749,MATCH(J851, 'Green_rooibos initial weight'!$A$5:$A$1749,0)),"")</f>
        <v>2.165</v>
      </c>
      <c r="L851" s="267">
        <f>IFERROR(K851-(TBIcalc!$Q$9+TBIcalc!$Q$10),"")</f>
        <v>1.9152</v>
      </c>
      <c r="M851" s="391">
        <f>AVERAGE(Ashed_controlls!$K$12:$K$14)</f>
        <v>2.2816647271287041</v>
      </c>
      <c r="N851" s="267">
        <f t="shared" si="66"/>
        <v>1.8715015571460312</v>
      </c>
      <c r="O851" s="267">
        <f>IF(IFERROR(INDEX('Both teabags AfterDry'!$D$3:$D$900,MATCH(J851,'Both teabags AfterDry'!$A$3:$A$900,0)),"")="","",(IFERROR(INDEX('Both teabags AfterDry'!$D$3:$D$900,MATCH(J851,'Both teabags AfterDry'!$A$3:$A$900,0)),"")))</f>
        <v>1.8051999999999999</v>
      </c>
      <c r="P851" s="267">
        <f>IFERROR(IF(O851&gt;0,O851-(TBIcalc!$Q$9),""),"")</f>
        <v>1.6545999999999998</v>
      </c>
      <c r="Q851" s="278">
        <f>IFERROR(INDEX('Ashed teabags dry'!$K$2:$K$825,MATCH(J851,'Ashed teabags dry'!$A$2:$A$825,0)),"")</f>
        <v>9.224730127576688</v>
      </c>
      <c r="R851" s="278">
        <f t="shared" si="67"/>
        <v>1.5019676153091159</v>
      </c>
      <c r="S851" s="268">
        <f>'Dry_Litterbag Placem_Collection'!E192</f>
        <v>42940</v>
      </c>
      <c r="T851" s="268">
        <f>IF('Dry_Litterbag Placem_Collection'!G192="","",'Dry_Litterbag Placem_Collection'!G192)</f>
        <v>43009</v>
      </c>
      <c r="U851" s="269">
        <f t="shared" si="65"/>
        <v>69</v>
      </c>
      <c r="V851" s="267">
        <f t="shared" si="68"/>
        <v>0.26060000000000016</v>
      </c>
      <c r="W851" s="267">
        <f t="shared" si="69"/>
        <v>0.36953394183691524</v>
      </c>
      <c r="X851" s="271">
        <f>IFERROR(INDEX(Rainfall_Dry!$O$2:$O$217,MATCH(B851, Rainfall_Dry!$A$2:$A$217,0)),"")</f>
        <v>162.634207253</v>
      </c>
      <c r="Y851" s="260">
        <v>25.96</v>
      </c>
      <c r="Z851" s="260">
        <v>8.9200000000000017</v>
      </c>
      <c r="AA851" s="260">
        <v>65.12</v>
      </c>
      <c r="AB851" s="261" t="s">
        <v>2670</v>
      </c>
      <c r="AC851" s="260">
        <v>6.6991621488417898</v>
      </c>
      <c r="AD851">
        <f>IF('WetLitterbags placem_collection'!AB192="","",'WetLitterbags placem_collection'!AB192)</f>
        <v>9.5</v>
      </c>
      <c r="AE851">
        <f>IF('WetLitterbags placem_collection'!Z192="","",'WetLitterbags placem_collection'!Z192)</f>
        <v>17.399999999999999</v>
      </c>
      <c r="AF851" s="24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71">
        <f>IFERROR(AVERAGE('Dry_Litterbag Placem_Collection'!N192,'Dry_Litterbag Placem_Collection'!Q192),"")</f>
        <v>36.049999999999997</v>
      </c>
      <c r="AJ851" s="270">
        <f>INDEX(Coordinates!$B$2:$B$197,MATCH(G851,Coordinates!$J$2:$J$197,0))</f>
        <v>-2.2787559960000001</v>
      </c>
      <c r="AK851" s="270">
        <f>INDEX(Coordinates!$C$2:$C$197,MATCH(G851,Coordinates!$J$2:$J$197,0))</f>
        <v>34.032268969999997</v>
      </c>
      <c r="AL851" s="270" t="str">
        <f>IF(ISNUMBER(SEARCH("C", 'Dry_Litterbag Placem_Collection'!V192)),"YES","NO")</f>
        <v>NO</v>
      </c>
      <c r="AM851" s="270" t="str">
        <f>IF(ISNUMBER(SEARCH("H", 'Dry_Litterbag Placem_Collection'!V192)),"YES","NO")</f>
        <v>NO</v>
      </c>
      <c r="AN851" s="270" t="str">
        <f>IF(ISNUMBER(SEARCH("R", 'Dry_Litterbag Placem_Collection'!V192)),"YES","NO")</f>
        <v>NO</v>
      </c>
    </row>
    <row r="852" spans="1:40" ht="15" customHeight="1">
      <c r="A852" s="262" t="s">
        <v>2659</v>
      </c>
      <c r="B852" s="263">
        <f>'Dry_Litterbag Placem_Collection'!A193</f>
        <v>191</v>
      </c>
      <c r="C852" s="263" t="str">
        <f>'Dry_Litterbag Placem_Collection'!B193</f>
        <v>Handajega</v>
      </c>
      <c r="D852" s="263" t="s">
        <v>2659</v>
      </c>
      <c r="E852" s="263" t="s">
        <v>2661</v>
      </c>
      <c r="F852" s="263">
        <v>4</v>
      </c>
      <c r="G852" s="264" t="str">
        <f>'Dry_Litterbag Placem_Collection'!C193</f>
        <v>Wet_W4_T7</v>
      </c>
      <c r="H852" s="273" t="s">
        <v>3651</v>
      </c>
      <c r="I852" s="274" t="s">
        <v>298</v>
      </c>
      <c r="J852" s="263" t="str">
        <f>IF(ISBLANK('Dry_Litterbag Placem_Collection'!M193),"","R"&amp;""&amp;'Dry_Litterbag Placem_Collection'!M193)</f>
        <v>R240</v>
      </c>
      <c r="K852" s="267">
        <f>IFERROR(INDEX('Green_rooibos initial weight'!$C$5:$C$1749,MATCH(J852, 'Green_rooibos initial weight'!$A$5:$A$1749,0)),"")</f>
        <v>2.1800000000000002</v>
      </c>
      <c r="L852" s="267">
        <f>IFERROR(K852-(TBIcalc!$Q$9+TBIcalc!$Q$10),"")</f>
        <v>1.9302000000000001</v>
      </c>
      <c r="M852" s="391">
        <f>AVERAGE(Ashed_controlls!$K$12:$K$14)</f>
        <v>2.2816647271287041</v>
      </c>
      <c r="N852" s="267">
        <f t="shared" si="66"/>
        <v>1.8861593074369618</v>
      </c>
      <c r="O852" s="267">
        <f>IF(IFERROR(INDEX('Both teabags AfterDry'!$D$3:$D$900,MATCH(J852,'Both teabags AfterDry'!$A$3:$A$900,0)),"")="","",(IFERROR(INDEX('Both teabags AfterDry'!$D$3:$D$900,MATCH(J852,'Both teabags AfterDry'!$A$3:$A$900,0)),"")))</f>
        <v>1.7597</v>
      </c>
      <c r="P852" s="267">
        <f>IFERROR(IF(O852&gt;0,O852-(TBIcalc!$Q$9),""),"")</f>
        <v>1.6091</v>
      </c>
      <c r="Q852" s="278">
        <f>IFERROR(INDEX('Ashed teabags dry'!$K$2:$K$825,MATCH(J852,'Ashed teabags dry'!$A$2:$A$825,0)),"")</f>
        <v>6.2347783731121424</v>
      </c>
      <c r="R852" s="278">
        <f t="shared" si="67"/>
        <v>1.5087761811982525</v>
      </c>
      <c r="S852" s="268">
        <f>'Dry_Litterbag Placem_Collection'!E193</f>
        <v>42940</v>
      </c>
      <c r="T852" s="268">
        <f>IF('Dry_Litterbag Placem_Collection'!G193="","",'Dry_Litterbag Placem_Collection'!G193)</f>
        <v>43009</v>
      </c>
      <c r="U852" s="269">
        <f t="shared" si="65"/>
        <v>69</v>
      </c>
      <c r="V852" s="267">
        <f t="shared" si="68"/>
        <v>0.32110000000000016</v>
      </c>
      <c r="W852" s="267">
        <f t="shared" si="69"/>
        <v>0.37738312623870929</v>
      </c>
      <c r="X852" s="271">
        <f>IFERROR(INDEX(Rainfall_Dry!$O$2:$O$217,MATCH(B852, Rainfall_Dry!$A$2:$A$217,0)),"")</f>
        <v>162.634207253</v>
      </c>
      <c r="Y852" s="260">
        <v>25.96</v>
      </c>
      <c r="Z852" s="260">
        <v>8.9200000000000017</v>
      </c>
      <c r="AA852" s="260">
        <v>65.12</v>
      </c>
      <c r="AB852" s="261" t="s">
        <v>2670</v>
      </c>
      <c r="AC852" s="260">
        <v>7.6991621488417898</v>
      </c>
      <c r="AD852">
        <f>IF('WetLitterbags placem_collection'!AB193="","",'WetLitterbags placem_collection'!AB193)</f>
        <v>12.4</v>
      </c>
      <c r="AE852">
        <f>IF('WetLitterbags placem_collection'!Z193="","",'WetLitterbags placem_collection'!Z193)</f>
        <v>29.8</v>
      </c>
      <c r="AF852" s="24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71">
        <f>IFERROR(AVERAGE('Dry_Litterbag Placem_Collection'!N193,'Dry_Litterbag Placem_Collection'!Q193),"")</f>
        <v>36.349999999999994</v>
      </c>
      <c r="AJ852" s="270">
        <f>INDEX(Coordinates!$B$2:$B$197,MATCH(G852,Coordinates!$J$2:$J$197,0))</f>
        <v>-2.278704029</v>
      </c>
      <c r="AK852" s="270">
        <f>INDEX(Coordinates!$C$2:$C$197,MATCH(G852,Coordinates!$J$2:$J$197,0))</f>
        <v>34.032182970000001</v>
      </c>
      <c r="AL852" s="270" t="str">
        <f>IF(ISNUMBER(SEARCH("C", 'Dry_Litterbag Placem_Collection'!V193)),"YES","NO")</f>
        <v>NO</v>
      </c>
      <c r="AM852" s="270" t="str">
        <f>IF(ISNUMBER(SEARCH("H", 'Dry_Litterbag Placem_Collection'!V193)),"YES","NO")</f>
        <v>NO</v>
      </c>
      <c r="AN852" s="270" t="str">
        <f>IF(ISNUMBER(SEARCH("R", 'Dry_Litterbag Placem_Collection'!V193)),"YES","NO")</f>
        <v>NO</v>
      </c>
    </row>
    <row r="853" spans="1:40" ht="15" customHeight="1">
      <c r="A853" s="262" t="s">
        <v>2659</v>
      </c>
      <c r="B853" s="263">
        <f>'Dry_Litterbag Placem_Collection'!A194</f>
        <v>192</v>
      </c>
      <c r="C853" s="263" t="str">
        <f>'Dry_Litterbag Placem_Collection'!B194</f>
        <v>Handajega</v>
      </c>
      <c r="D853" s="263" t="s">
        <v>2659</v>
      </c>
      <c r="E853" s="263" t="s">
        <v>2661</v>
      </c>
      <c r="F853" s="263">
        <v>4</v>
      </c>
      <c r="G853" s="264" t="str">
        <f>'Dry_Litterbag Placem_Collection'!C194</f>
        <v>Wet_W4_T8</v>
      </c>
      <c r="H853" s="273" t="s">
        <v>3651</v>
      </c>
      <c r="I853" s="274" t="s">
        <v>298</v>
      </c>
      <c r="J853" s="263" t="str">
        <f>IF(ISBLANK('Dry_Litterbag Placem_Collection'!M194),"","R"&amp;""&amp;'Dry_Litterbag Placem_Collection'!M194)</f>
        <v/>
      </c>
      <c r="K853" s="267" t="str">
        <f>IFERROR(INDEX('Green_rooibos initial weight'!$C$5:$C$1749,MATCH(J853, 'Green_rooibos initial weight'!$A$5:$A$1749,0)),"")</f>
        <v/>
      </c>
      <c r="L853" s="267" t="str">
        <f>IFERROR(K853-(TBIcalc!$Q$9+TBIcalc!$Q$10),"")</f>
        <v/>
      </c>
      <c r="M853" s="391">
        <f>AVERAGE(Ashed_controlls!$K$12:$K$14)</f>
        <v>2.2816647271287041</v>
      </c>
      <c r="N853" s="267" t="str">
        <f t="shared" si="66"/>
        <v/>
      </c>
      <c r="O853" s="267" t="str">
        <f>IF(IFERROR(INDEX('Both teabags AfterDry'!$D$3:$D$900,MATCH(J853,'Both teabags AfterDry'!$A$3:$A$900,0)),"")="","",(IFERROR(INDEX('Both teabags AfterDry'!$D$3:$D$900,MATCH(J853,'Both teabags AfterDry'!$A$3:$A$900,0)),"")))</f>
        <v/>
      </c>
      <c r="P853" s="267" t="str">
        <f>IFERROR(IF(O853&gt;0,O853-(TBIcalc!$Q$9),""),"")</f>
        <v/>
      </c>
      <c r="Q853" s="278" t="str">
        <f>IFERROR(INDEX('Ashed teabags dry'!$K$2:$K$825,MATCH(J853,'Ashed teabags dry'!$A$2:$A$825,0)),"")</f>
        <v/>
      </c>
      <c r="R853" s="278" t="str">
        <f t="shared" si="67"/>
        <v/>
      </c>
      <c r="S853" s="268">
        <f>'Dry_Litterbag Placem_Collection'!E194</f>
        <v>0</v>
      </c>
      <c r="T853" s="268" t="str">
        <f>IF('Dry_Litterbag Placem_Collection'!G194="","",'Dry_Litterbag Placem_Collection'!G194)</f>
        <v/>
      </c>
      <c r="U853" s="269" t="str">
        <f t="shared" si="65"/>
        <v/>
      </c>
      <c r="V853" s="267" t="str">
        <f t="shared" si="68"/>
        <v/>
      </c>
      <c r="W853" s="267" t="str">
        <f t="shared" si="69"/>
        <v/>
      </c>
      <c r="X853" s="271" t="str">
        <f>IFERROR(INDEX(Rainfall_Dry!$O$2:$O$217,MATCH(B853, Rainfall_Dry!$A$2:$A$217,0)),"")</f>
        <v/>
      </c>
      <c r="Y853" s="260">
        <v>25.96</v>
      </c>
      <c r="Z853" s="260">
        <v>8.9200000000000017</v>
      </c>
      <c r="AA853" s="260">
        <v>65.12</v>
      </c>
      <c r="AB853" s="261" t="s">
        <v>2670</v>
      </c>
      <c r="AC853" s="260">
        <v>8.6991621488417898</v>
      </c>
      <c r="AD853">
        <f>IF('WetLitterbags placem_collection'!AB194="","",'WetLitterbags placem_collection'!AB194)</f>
        <v>3.6</v>
      </c>
      <c r="AE853">
        <f>IF('WetLitterbags placem_collection'!Z194="","",'WetLitterbags placem_collection'!Z194)</f>
        <v>37.799999999999997</v>
      </c>
      <c r="AF853" s="24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71" t="str">
        <f>IFERROR(AVERAGE('Dry_Litterbag Placem_Collection'!N194,'Dry_Litterbag Placem_Collection'!Q194),"")</f>
        <v/>
      </c>
      <c r="AJ853" s="270">
        <f>INDEX(Coordinates!$B$2:$B$197,MATCH(G853,Coordinates!$J$2:$J$197,0))</f>
        <v>-2.2789770269999998</v>
      </c>
      <c r="AK853" s="270">
        <f>INDEX(Coordinates!$C$2:$C$197,MATCH(G853,Coordinates!$J$2:$J$197,0))</f>
        <v>34.032051039999999</v>
      </c>
      <c r="AL853" s="270" t="str">
        <f>IF(ISNUMBER(SEARCH("C", 'Dry_Litterbag Placem_Collection'!V194)),"YES","NO")</f>
        <v>NO</v>
      </c>
      <c r="AM853" s="270" t="str">
        <f>IF(ISNUMBER(SEARCH("H", 'Dry_Litterbag Placem_Collection'!V194)),"YES","NO")</f>
        <v>NO</v>
      </c>
      <c r="AN853" s="270" t="str">
        <f>IF(ISNUMBER(SEARCH("R", 'Dry_Litterbag Placem_Collection'!V194)),"YES","NO")</f>
        <v>NO</v>
      </c>
    </row>
    <row r="854" spans="1:40" ht="15" customHeight="1">
      <c r="A854" s="262" t="s">
        <v>2659</v>
      </c>
      <c r="B854" s="263">
        <f>'Dry_Litterbag Placem_Collection'!A195</f>
        <v>193</v>
      </c>
      <c r="C854" s="263" t="str">
        <f>'Dry_Litterbag Placem_Collection'!B195</f>
        <v>Makao</v>
      </c>
      <c r="D854" s="263" t="s">
        <v>2659</v>
      </c>
      <c r="E854" s="263" t="s">
        <v>2526</v>
      </c>
      <c r="F854" s="263">
        <v>4</v>
      </c>
      <c r="G854" s="264" t="str">
        <f>'Dry_Litterbag Placem_Collection'!C195</f>
        <v>Dry_Ag1_CG4</v>
      </c>
      <c r="H854" s="273" t="s">
        <v>3651</v>
      </c>
      <c r="I854" s="274" t="s">
        <v>298</v>
      </c>
      <c r="J854" s="263" t="str">
        <f>IF(ISBLANK('Dry_Litterbag Placem_Collection'!M195),"","R"&amp;""&amp;'Dry_Litterbag Placem_Collection'!M195)</f>
        <v>R623</v>
      </c>
      <c r="K854" s="267">
        <f>IFERROR(INDEX('Green_rooibos initial weight'!$C$5:$C$1749,MATCH(J854, 'Green_rooibos initial weight'!$A$5:$A$1749,0)),"")</f>
        <v>2.056</v>
      </c>
      <c r="L854" s="267">
        <f>IFERROR(K854-(TBIcalc!$Q$9+TBIcalc!$Q$10),"")</f>
        <v>1.8062</v>
      </c>
      <c r="M854" s="391">
        <f>AVERAGE(Ashed_controlls!$K$12:$K$14)</f>
        <v>2.2816647271287041</v>
      </c>
      <c r="N854" s="267">
        <f t="shared" si="66"/>
        <v>1.7649885716986013</v>
      </c>
      <c r="O854" s="267">
        <f>IF(IFERROR(INDEX('Both teabags AfterDry'!$D$3:$D$900,MATCH(J854,'Both teabags AfterDry'!$A$3:$A$900,0)),"")="","",(IFERROR(INDEX('Both teabags AfterDry'!$D$3:$D$900,MATCH(J854,'Both teabags AfterDry'!$A$3:$A$900,0)),"")))</f>
        <v>1.397</v>
      </c>
      <c r="P854" s="267">
        <f>IFERROR(IF(O854&gt;0,O854-(TBIcalc!$Q$9),""),"")</f>
        <v>1.2464</v>
      </c>
      <c r="Q854" s="278">
        <f>IFERROR(INDEX('Ashed teabags dry'!$K$2:$K$825,MATCH(J854,'Ashed teabags dry'!$A$2:$A$825,0)),"")</f>
        <v>6.0918462980318058</v>
      </c>
      <c r="R854" s="278">
        <f t="shared" si="67"/>
        <v>1.1704712277413316</v>
      </c>
      <c r="S854" s="268">
        <f>'Dry_Litterbag Placem_Collection'!E195</f>
        <v>42942</v>
      </c>
      <c r="T854" s="268">
        <f>IF('Dry_Litterbag Placem_Collection'!G195="","",'Dry_Litterbag Placem_Collection'!G195)</f>
        <v>43004</v>
      </c>
      <c r="U854" s="269">
        <f t="shared" si="65"/>
        <v>62</v>
      </c>
      <c r="V854" s="267">
        <f t="shared" si="68"/>
        <v>0.55980000000000008</v>
      </c>
      <c r="W854" s="267">
        <f t="shared" si="69"/>
        <v>0.59451734395726974</v>
      </c>
      <c r="X854" s="271">
        <f>IFERROR(INDEX(Rainfall_Dry!$O$2:$O$217,MATCH(B854, Rainfall_Dry!$A$2:$A$217,0)),"")</f>
        <v>171.84818423999999</v>
      </c>
      <c r="Y854" s="260">
        <v>12.565665055683967</v>
      </c>
      <c r="Z854" s="260">
        <v>0.9665896196679955</v>
      </c>
      <c r="AA854" s="260">
        <v>86.467745324648035</v>
      </c>
      <c r="AB854" s="261" t="s">
        <v>2672</v>
      </c>
      <c r="AC854" s="260">
        <v>1.0225726959093147</v>
      </c>
      <c r="AD854">
        <f>IF('WetLitterbags placem_collection'!AB195="","",'WetLitterbags placem_collection'!AB195)</f>
        <v>15.2</v>
      </c>
      <c r="AE854">
        <f>IF('WetLitterbags placem_collection'!Z195="","",'WetLitterbags placem_collection'!Z195)</f>
        <v>12.2</v>
      </c>
      <c r="AF854" s="24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71">
        <f>IFERROR(AVERAGE('Dry_Litterbag Placem_Collection'!N195,'Dry_Litterbag Placem_Collection'!Q195),"")</f>
        <v>28.799999999999997</v>
      </c>
      <c r="AJ854">
        <v>-2.4396949910000001</v>
      </c>
      <c r="AK854">
        <v>34.838574029999997</v>
      </c>
      <c r="AL854" s="270" t="str">
        <f>IF(ISNUMBER(SEARCH("C", 'Dry_Litterbag Placem_Collection'!V195)),"YES","NO")</f>
        <v>NO</v>
      </c>
      <c r="AM854" s="270" t="str">
        <f>IF(ISNUMBER(SEARCH("H", 'Dry_Litterbag Placem_Collection'!V195)),"YES","NO")</f>
        <v>NO</v>
      </c>
      <c r="AN854" s="270" t="str">
        <f>IF(ISNUMBER(SEARCH("R", 'Dry_Litterbag Placem_Collection'!V195)),"YES","NO")</f>
        <v>NO</v>
      </c>
    </row>
    <row r="855" spans="1:40" ht="15" customHeight="1">
      <c r="A855" s="262" t="s">
        <v>2659</v>
      </c>
      <c r="B855" s="263">
        <f>'Dry_Litterbag Placem_Collection'!A196</f>
        <v>194</v>
      </c>
      <c r="C855" s="263" t="str">
        <f>'Dry_Litterbag Placem_Collection'!B196</f>
        <v>Makao</v>
      </c>
      <c r="D855" s="263" t="s">
        <v>2659</v>
      </c>
      <c r="E855" s="263" t="s">
        <v>2526</v>
      </c>
      <c r="F855" s="263">
        <v>3</v>
      </c>
      <c r="G855" s="264" t="str">
        <f>'Dry_Litterbag Placem_Collection'!C196</f>
        <v>Dry_Ag2_CG3</v>
      </c>
      <c r="H855" s="273" t="s">
        <v>3651</v>
      </c>
      <c r="I855" s="274" t="s">
        <v>298</v>
      </c>
      <c r="J855" s="263" t="str">
        <f>IF(ISBLANK('Dry_Litterbag Placem_Collection'!M196),"","R"&amp;""&amp;'Dry_Litterbag Placem_Collection'!M196)</f>
        <v>R611</v>
      </c>
      <c r="K855" s="267">
        <f>IFERROR(INDEX('Green_rooibos initial weight'!$C$5:$C$1749,MATCH(J855, 'Green_rooibos initial weight'!$A$5:$A$1749,0)),"")</f>
        <v>2.157</v>
      </c>
      <c r="L855" s="267">
        <f>IFERROR(K855-(TBIcalc!$Q$9+TBIcalc!$Q$10),"")</f>
        <v>1.9072</v>
      </c>
      <c r="M855" s="391">
        <f>AVERAGE(Ashed_controlls!$K$12:$K$14)</f>
        <v>2.2816647271287041</v>
      </c>
      <c r="N855" s="267">
        <f t="shared" si="66"/>
        <v>1.8636840903242013</v>
      </c>
      <c r="O855" s="267">
        <f>IF(IFERROR(INDEX('Both teabags AfterDry'!$D$3:$D$900,MATCH(J855,'Both teabags AfterDry'!$A$3:$A$900,0)),"")="","",(IFERROR(INDEX('Both teabags AfterDry'!$D$3:$D$900,MATCH(J855,'Both teabags AfterDry'!$A$3:$A$900,0)),"")))</f>
        <v>1.593</v>
      </c>
      <c r="P855" s="267">
        <f>IFERROR(IF(O855&gt;0,O855-(TBIcalc!$Q$9),""),"")</f>
        <v>1.4423999999999999</v>
      </c>
      <c r="Q855" s="278">
        <f>IFERROR(INDEX('Ashed teabags dry'!$K$2:$K$825,MATCH(J855,'Ashed teabags dry'!$A$2:$A$825,0)),"")</f>
        <v>3.3698399326031812</v>
      </c>
      <c r="R855" s="278">
        <f t="shared" si="67"/>
        <v>1.3937934288121316</v>
      </c>
      <c r="S855" s="268">
        <f>'Dry_Litterbag Placem_Collection'!E196</f>
        <v>42942</v>
      </c>
      <c r="T855" s="268">
        <f>IF('Dry_Litterbag Placem_Collection'!G196="","",'Dry_Litterbag Placem_Collection'!G196)</f>
        <v>43004</v>
      </c>
      <c r="U855" s="269">
        <f t="shared" si="65"/>
        <v>62</v>
      </c>
      <c r="V855" s="267">
        <f t="shared" si="68"/>
        <v>0.4648000000000001</v>
      </c>
      <c r="W855" s="267">
        <f t="shared" si="69"/>
        <v>0.46989066151206971</v>
      </c>
      <c r="X855" s="271">
        <f>IFERROR(INDEX(Rainfall_Dry!$O$2:$O$217,MATCH(B855, Rainfall_Dry!$A$2:$A$217,0)),"")</f>
        <v>171.84818423999999</v>
      </c>
      <c r="Y855" s="260">
        <v>21.13063730679653</v>
      </c>
      <c r="Z855" s="260">
        <v>3.0912555579081076</v>
      </c>
      <c r="AA855" s="260">
        <v>75.778107135295357</v>
      </c>
      <c r="AB855" s="261" t="s">
        <v>2670</v>
      </c>
      <c r="AC855" s="260">
        <v>0.46131099063578063</v>
      </c>
      <c r="AD855">
        <f>IF('WetLitterbags placem_collection'!AB196="","",'WetLitterbags placem_collection'!AB196)</f>
        <v>7.9</v>
      </c>
      <c r="AE855">
        <f>IF('WetLitterbags placem_collection'!Z196="","",'WetLitterbags placem_collection'!Z196)</f>
        <v>7.9</v>
      </c>
      <c r="AF855" s="24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71">
        <f>IFERROR(AVERAGE('Dry_Litterbag Placem_Collection'!N196,'Dry_Litterbag Placem_Collection'!Q196),"")</f>
        <v>30.849999999999998</v>
      </c>
      <c r="AJ855">
        <v>-2.4395990190000001</v>
      </c>
      <c r="AK855">
        <v>34.838418959999998</v>
      </c>
      <c r="AL855" s="270" t="str">
        <f>IF(ISNUMBER(SEARCH("C", 'Dry_Litterbag Placem_Collection'!V196)),"YES","NO")</f>
        <v>NO</v>
      </c>
      <c r="AM855" s="270" t="str">
        <f>IF(ISNUMBER(SEARCH("H", 'Dry_Litterbag Placem_Collection'!V196)),"YES","NO")</f>
        <v>NO</v>
      </c>
      <c r="AN855" s="270" t="str">
        <f>IF(ISNUMBER(SEARCH("R", 'Dry_Litterbag Placem_Collection'!V196)),"YES","NO")</f>
        <v>YES</v>
      </c>
    </row>
    <row r="856" spans="1:40" ht="15" customHeight="1">
      <c r="A856" s="262" t="s">
        <v>2659</v>
      </c>
      <c r="B856" s="263">
        <f>'Dry_Litterbag Placem_Collection'!A197</f>
        <v>195</v>
      </c>
      <c r="C856" s="263" t="str">
        <f>'Dry_Litterbag Placem_Collection'!B197</f>
        <v>Makao</v>
      </c>
      <c r="D856" s="263" t="s">
        <v>2659</v>
      </c>
      <c r="E856" s="263" t="s">
        <v>2526</v>
      </c>
      <c r="F856" s="263">
        <v>2</v>
      </c>
      <c r="G856" s="264" t="str">
        <f>'Dry_Litterbag Placem_Collection'!C197</f>
        <v>Dry_Ag3_CG2</v>
      </c>
      <c r="H856" s="273" t="s">
        <v>3651</v>
      </c>
      <c r="I856" s="274" t="s">
        <v>298</v>
      </c>
      <c r="J856" s="263" t="str">
        <f>IF(ISBLANK('Dry_Litterbag Placem_Collection'!M197),"","R"&amp;""&amp;'Dry_Litterbag Placem_Collection'!M197)</f>
        <v>R645</v>
      </c>
      <c r="K856" s="267">
        <f>IFERROR(INDEX('Green_rooibos initial weight'!$C$5:$C$1749,MATCH(J856, 'Green_rooibos initial weight'!$A$5:$A$1749,0)),"")</f>
        <v>2.2469999999999999</v>
      </c>
      <c r="L856" s="267">
        <f>IFERROR(K856-(TBIcalc!$Q$9+TBIcalc!$Q$10),"")</f>
        <v>1.9971999999999999</v>
      </c>
      <c r="M856" s="391">
        <f>AVERAGE(Ashed_controlls!$K$12:$K$14)</f>
        <v>2.2816647271287041</v>
      </c>
      <c r="N856" s="267">
        <f t="shared" si="66"/>
        <v>1.9516305920697854</v>
      </c>
      <c r="O856" s="267">
        <f>IF(IFERROR(INDEX('Both teabags AfterDry'!$D$3:$D$900,MATCH(J856,'Both teabags AfterDry'!$A$3:$A$900,0)),"")="","",(IFERROR(INDEX('Both teabags AfterDry'!$D$3:$D$900,MATCH(J856,'Both teabags AfterDry'!$A$3:$A$900,0)),"")))</f>
        <v>1.7509999999999999</v>
      </c>
      <c r="P856" s="267">
        <f>IFERROR(IF(O856&gt;0,O856-(TBIcalc!$Q$9),""),"")</f>
        <v>1.6003999999999998</v>
      </c>
      <c r="Q856" s="278">
        <f>IFERROR(INDEX('Ashed teabags dry'!$K$2:$K$825,MATCH(J856,'Ashed teabags dry'!$A$2:$A$825,0)),"")</f>
        <v>3.5648994515537913</v>
      </c>
      <c r="R856" s="278">
        <f t="shared" si="67"/>
        <v>1.5433473491773329</v>
      </c>
      <c r="S856" s="268">
        <f>'Dry_Litterbag Placem_Collection'!E197</f>
        <v>42942</v>
      </c>
      <c r="T856" s="268">
        <f>IF('Dry_Litterbag Placem_Collection'!G197="","",'Dry_Litterbag Placem_Collection'!G197)</f>
        <v>43004</v>
      </c>
      <c r="U856" s="269">
        <f t="shared" si="65"/>
        <v>62</v>
      </c>
      <c r="V856" s="267">
        <f t="shared" si="68"/>
        <v>0.39680000000000004</v>
      </c>
      <c r="W856" s="267">
        <f t="shared" si="69"/>
        <v>0.40828324289245255</v>
      </c>
      <c r="X856" s="271">
        <f>IFERROR(INDEX(Rainfall_Dry!$O$2:$O$217,MATCH(B856, Rainfall_Dry!$A$2:$A$217,0)),"")</f>
        <v>171.84818423999999</v>
      </c>
      <c r="Y856" s="260">
        <v>54.080969906906262</v>
      </c>
      <c r="Z856" s="260">
        <v>21.264484651351896</v>
      </c>
      <c r="AA856" s="260">
        <v>24.654545441741845</v>
      </c>
      <c r="AB856" s="261" t="s">
        <v>2673</v>
      </c>
      <c r="AC856" s="260">
        <v>1.8433218334154755</v>
      </c>
      <c r="AD856">
        <f>IF('WetLitterbags placem_collection'!AB197="","",'WetLitterbags placem_collection'!AB197)</f>
        <v>5.13</v>
      </c>
      <c r="AE856">
        <f>IF('WetLitterbags placem_collection'!Z197="","",'WetLitterbags placem_collection'!Z197)</f>
        <v>5.13</v>
      </c>
      <c r="AF856" s="24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71">
        <f>IFERROR(AVERAGE('Dry_Litterbag Placem_Collection'!N197,'Dry_Litterbag Placem_Collection'!Q197),"")</f>
        <v>28.1</v>
      </c>
      <c r="AJ856">
        <v>-2.4396450349999999</v>
      </c>
      <c r="AK856">
        <v>34.83836599</v>
      </c>
      <c r="AL856" s="270" t="str">
        <f>IF(ISNUMBER(SEARCH("C", 'Dry_Litterbag Placem_Collection'!V197)),"YES","NO")</f>
        <v>NO</v>
      </c>
      <c r="AM856" s="270" t="str">
        <f>IF(ISNUMBER(SEARCH("H", 'Dry_Litterbag Placem_Collection'!V197)),"YES","NO")</f>
        <v>NO</v>
      </c>
      <c r="AN856" s="270" t="str">
        <f>IF(ISNUMBER(SEARCH("R", 'Dry_Litterbag Placem_Collection'!V197)),"YES","NO")</f>
        <v>NO</v>
      </c>
    </row>
    <row r="857" spans="1:40" ht="15" customHeight="1">
      <c r="A857" s="262" t="s">
        <v>2659</v>
      </c>
      <c r="B857" s="263">
        <f>'Dry_Litterbag Placem_Collection'!A198</f>
        <v>196</v>
      </c>
      <c r="C857" s="263" t="str">
        <f>'Dry_Litterbag Placem_Collection'!B198</f>
        <v>Makao</v>
      </c>
      <c r="D857" s="263" t="s">
        <v>2659</v>
      </c>
      <c r="E857" s="263" t="s">
        <v>2526</v>
      </c>
      <c r="F857" s="263">
        <v>1</v>
      </c>
      <c r="G857" s="264" t="str">
        <f>'Dry_Litterbag Placem_Collection'!C198</f>
        <v>Dry_Ag4_CG1</v>
      </c>
      <c r="H857" s="273" t="s">
        <v>3651</v>
      </c>
      <c r="I857" s="274" t="s">
        <v>298</v>
      </c>
      <c r="J857" s="263" t="str">
        <f>IF(ISBLANK('Dry_Litterbag Placem_Collection'!M198),"","R"&amp;""&amp;'Dry_Litterbag Placem_Collection'!M198)</f>
        <v>R709</v>
      </c>
      <c r="K857" s="267">
        <f>IFERROR(INDEX('Green_rooibos initial weight'!$C$5:$C$1749,MATCH(J857, 'Green_rooibos initial weight'!$A$5:$A$1749,0)),"")</f>
        <v>2.157</v>
      </c>
      <c r="L857" s="267">
        <f>IFERROR(K857-(TBIcalc!$Q$9+TBIcalc!$Q$10),"")</f>
        <v>1.9072</v>
      </c>
      <c r="M857" s="391">
        <f>AVERAGE(Ashed_controlls!$K$12:$K$14)</f>
        <v>2.2816647271287041</v>
      </c>
      <c r="N857" s="267">
        <f t="shared" si="66"/>
        <v>1.8636840903242013</v>
      </c>
      <c r="O857" s="267">
        <f>IF(IFERROR(INDEX('Both teabags AfterDry'!$D$3:$D$900,MATCH(J857,'Both teabags AfterDry'!$A$3:$A$900,0)),"")="","",(IFERROR(INDEX('Both teabags AfterDry'!$D$3:$D$900,MATCH(J857,'Both teabags AfterDry'!$A$3:$A$900,0)),"")))</f>
        <v>1.863</v>
      </c>
      <c r="P857" s="267">
        <f>IFERROR(IF(O857&gt;0,O857-(TBIcalc!$Q$9),""),"")</f>
        <v>1.7123999999999999</v>
      </c>
      <c r="Q857" s="278">
        <f>IFERROR(INDEX('Ashed teabags dry'!$K$2:$K$825,MATCH(J857,'Ashed teabags dry'!$A$2:$A$825,0)),"")</f>
        <v>2.5540275049118555</v>
      </c>
      <c r="R857" s="278">
        <f t="shared" si="67"/>
        <v>1.6686648330058893</v>
      </c>
      <c r="S857" s="268">
        <f>'Dry_Litterbag Placem_Collection'!E198</f>
        <v>42942</v>
      </c>
      <c r="T857" s="268">
        <f>IF('Dry_Litterbag Placem_Collection'!G198="","",'Dry_Litterbag Placem_Collection'!G198)</f>
        <v>43004</v>
      </c>
      <c r="U857" s="269">
        <f t="shared" si="65"/>
        <v>62</v>
      </c>
      <c r="V857" s="267">
        <f t="shared" si="68"/>
        <v>0.19480000000000008</v>
      </c>
      <c r="W857" s="267">
        <f t="shared" si="69"/>
        <v>0.19501925731831204</v>
      </c>
      <c r="X857" s="271">
        <f>IFERROR(INDEX(Rainfall_Dry!$O$2:$O$217,MATCH(B857, Rainfall_Dry!$A$2:$A$217,0)),"")</f>
        <v>171.84818423999999</v>
      </c>
      <c r="Y857" s="260">
        <v>51.960000000000008</v>
      </c>
      <c r="Z857" s="260">
        <v>18.919999999999995</v>
      </c>
      <c r="AA857" s="260">
        <v>29.120000000000005</v>
      </c>
      <c r="AB857" s="261" t="s">
        <v>2673</v>
      </c>
      <c r="AC857" s="260">
        <v>1.85293247905372</v>
      </c>
      <c r="AD857">
        <f>IF('WetLitterbags placem_collection'!AB198="","",'WetLitterbags placem_collection'!AB198)</f>
        <v>13.8</v>
      </c>
      <c r="AE857">
        <f>IF('WetLitterbags placem_collection'!Z198="","",'WetLitterbags placem_collection'!Z198)</f>
        <v>17.399999999999999</v>
      </c>
      <c r="AF857" s="24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71">
        <f>IFERROR(AVERAGE('Dry_Litterbag Placem_Collection'!N198,'Dry_Litterbag Placem_Collection'!Q198),"")</f>
        <v>26.65</v>
      </c>
      <c r="AJ857">
        <v>-2.439403972</v>
      </c>
      <c r="AK857">
        <v>34.838404959999998</v>
      </c>
      <c r="AL857" s="270" t="str">
        <f>IF(ISNUMBER(SEARCH("C", 'Dry_Litterbag Placem_Collection'!V198)),"YES","NO")</f>
        <v>NO</v>
      </c>
      <c r="AM857" s="270" t="str">
        <f>IF(ISNUMBER(SEARCH("H", 'Dry_Litterbag Placem_Collection'!V198)),"YES","NO")</f>
        <v>NO</v>
      </c>
      <c r="AN857" s="270" t="str">
        <f>IF(ISNUMBER(SEARCH("R", 'Dry_Litterbag Placem_Collection'!V198)),"YES","NO")</f>
        <v>NO</v>
      </c>
    </row>
    <row r="858" spans="1:40" ht="15" customHeight="1">
      <c r="A858" s="262" t="s">
        <v>2659</v>
      </c>
      <c r="B858" s="263">
        <f>'Dry_Litterbag Placem_Collection'!A199</f>
        <v>197</v>
      </c>
      <c r="C858" s="263" t="str">
        <f>'Dry_Litterbag Placem_Collection'!B199</f>
        <v>Makao</v>
      </c>
      <c r="D858" s="263" t="s">
        <v>2659</v>
      </c>
      <c r="E858" s="263" t="s">
        <v>2526</v>
      </c>
      <c r="F858" s="263">
        <v>2</v>
      </c>
      <c r="G858" s="264" t="str">
        <f>'Dry_Litterbag Placem_Collection'!C199</f>
        <v>Dry_P1_CG2</v>
      </c>
      <c r="H858" s="273" t="s">
        <v>3651</v>
      </c>
      <c r="I858" s="274" t="s">
        <v>298</v>
      </c>
      <c r="J858" s="263" t="str">
        <f>IF(ISBLANK('Dry_Litterbag Placem_Collection'!M199),"","R"&amp;""&amp;'Dry_Litterbag Placem_Collection'!M199)</f>
        <v>R131</v>
      </c>
      <c r="K858" s="267">
        <f>IFERROR(INDEX('Green_rooibos initial weight'!$C$5:$C$1749,MATCH(J858, 'Green_rooibos initial weight'!$A$5:$A$1749,0)),"")</f>
        <v>2.1560000000000001</v>
      </c>
      <c r="L858" s="267">
        <f>IFERROR(K858-(TBIcalc!$Q$9+TBIcalc!$Q$10),"")</f>
        <v>1.9062000000000001</v>
      </c>
      <c r="M858" s="391">
        <f>AVERAGE(Ashed_controlls!$K$12:$K$14)</f>
        <v>2.2816647271287041</v>
      </c>
      <c r="N858" s="267">
        <f t="shared" si="66"/>
        <v>1.8627069069714728</v>
      </c>
      <c r="O858" s="267">
        <f>IF(IFERROR(INDEX('Both teabags AfterDry'!$D$3:$D$900,MATCH(J858,'Both teabags AfterDry'!$A$3:$A$900,0)),"")="","",(IFERROR(INDEX('Both teabags AfterDry'!$D$3:$D$900,MATCH(J858,'Both teabags AfterDry'!$A$3:$A$900,0)),"")))</f>
        <v>1.577</v>
      </c>
      <c r="P858" s="267">
        <f>IFERROR(IF(O858&gt;0,O858-(TBIcalc!$Q$9),""),"")</f>
        <v>1.4263999999999999</v>
      </c>
      <c r="Q858" s="278">
        <f>IFERROR(INDEX('Ashed teabags dry'!$K$2:$K$825,MATCH(J858,'Ashed teabags dry'!$A$2:$A$825,0)),"")</f>
        <v>8.3446712018141849</v>
      </c>
      <c r="R858" s="278">
        <f t="shared" si="67"/>
        <v>1.3073716099773223</v>
      </c>
      <c r="S858" s="268">
        <f>'Dry_Litterbag Placem_Collection'!E199</f>
        <v>42942</v>
      </c>
      <c r="T858" s="268">
        <f>IF('Dry_Litterbag Placem_Collection'!G199="","",'Dry_Litterbag Placem_Collection'!G199)</f>
        <v>43004</v>
      </c>
      <c r="U858" s="269">
        <f t="shared" si="65"/>
        <v>62</v>
      </c>
      <c r="V858" s="267">
        <f t="shared" si="68"/>
        <v>0.47980000000000023</v>
      </c>
      <c r="W858" s="267">
        <f t="shared" si="69"/>
        <v>0.55533529699415052</v>
      </c>
      <c r="X858" s="271">
        <f>IFERROR(INDEX(Rainfall_Dry!$O$2:$O$217,MATCH(B858, Rainfall_Dry!$A$2:$A$217,0)),"")</f>
        <v>171.84818423999999</v>
      </c>
      <c r="Y858" s="260">
        <v>23.96</v>
      </c>
      <c r="Z858" s="260">
        <v>0.91999999999999804</v>
      </c>
      <c r="AA858" s="260">
        <v>75.12</v>
      </c>
      <c r="AB858" s="261" t="s">
        <v>2670</v>
      </c>
      <c r="AC858" s="260">
        <v>1.2493839329719072</v>
      </c>
      <c r="AD858">
        <f>IF('WetLitterbags placem_collection'!AB199="","",'WetLitterbags placem_collection'!AB199)</f>
        <v>5.13</v>
      </c>
      <c r="AE858">
        <f>IF('WetLitterbags placem_collection'!Z199="","",'WetLitterbags placem_collection'!Z199)</f>
        <v>5.13</v>
      </c>
      <c r="AF858" s="24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71">
        <f>IFERROR(AVERAGE('Dry_Litterbag Placem_Collection'!N199,'Dry_Litterbag Placem_Collection'!Q199),"")</f>
        <v>29.05</v>
      </c>
      <c r="AJ858">
        <v>-2.4396450349999999</v>
      </c>
      <c r="AK858">
        <v>34.83836599</v>
      </c>
      <c r="AL858" s="270" t="str">
        <f>IF(ISNUMBER(SEARCH("C", 'Dry_Litterbag Placem_Collection'!V199)),"YES","NO")</f>
        <v>NO</v>
      </c>
      <c r="AM858" s="270" t="str">
        <f>IF(ISNUMBER(SEARCH("H", 'Dry_Litterbag Placem_Collection'!V199)),"YES","NO")</f>
        <v>NO</v>
      </c>
      <c r="AN858" s="270" t="str">
        <f>IF(ISNUMBER(SEARCH("R", 'Dry_Litterbag Placem_Collection'!V199)),"YES","NO")</f>
        <v>YES</v>
      </c>
    </row>
    <row r="859" spans="1:40" ht="15" customHeight="1">
      <c r="A859" s="262" t="s">
        <v>2659</v>
      </c>
      <c r="B859" s="263">
        <f>'Dry_Litterbag Placem_Collection'!A200</f>
        <v>198</v>
      </c>
      <c r="C859" s="263" t="str">
        <f>'Dry_Litterbag Placem_Collection'!B200</f>
        <v>Makao</v>
      </c>
      <c r="D859" s="263" t="s">
        <v>2659</v>
      </c>
      <c r="E859" s="263" t="s">
        <v>2526</v>
      </c>
      <c r="F859" s="263">
        <v>3</v>
      </c>
      <c r="G859" s="264" t="str">
        <f>'Dry_Litterbag Placem_Collection'!C200</f>
        <v>Dry_P2_CG3</v>
      </c>
      <c r="H859" s="273" t="s">
        <v>3651</v>
      </c>
      <c r="I859" s="274" t="s">
        <v>298</v>
      </c>
      <c r="J859" s="263" t="str">
        <f>IF(ISBLANK('Dry_Litterbag Placem_Collection'!M200),"","R"&amp;""&amp;'Dry_Litterbag Placem_Collection'!M200)</f>
        <v>R711</v>
      </c>
      <c r="K859" s="267">
        <f>IFERROR(INDEX('Green_rooibos initial weight'!$C$5:$C$1749,MATCH(J859, 'Green_rooibos initial weight'!$A$5:$A$1749,0)),"")</f>
        <v>2.13</v>
      </c>
      <c r="L859" s="267">
        <f>IFERROR(K859-(TBIcalc!$Q$9+TBIcalc!$Q$10),"")</f>
        <v>1.8801999999999999</v>
      </c>
      <c r="M859" s="391">
        <f>AVERAGE(Ashed_controlls!$K$12:$K$14)</f>
        <v>2.2816647271287041</v>
      </c>
      <c r="N859" s="267">
        <f t="shared" si="66"/>
        <v>1.837300139800526</v>
      </c>
      <c r="O859" s="267">
        <f>IF(IFERROR(INDEX('Both teabags AfterDry'!$D$3:$D$900,MATCH(J859,'Both teabags AfterDry'!$A$3:$A$900,0)),"")="","",(IFERROR(INDEX('Both teabags AfterDry'!$D$3:$D$900,MATCH(J859,'Both teabags AfterDry'!$A$3:$A$900,0)),"")))</f>
        <v>1.7210000000000001</v>
      </c>
      <c r="P859" s="267">
        <f>IFERROR(IF(O859&gt;0,O859-(TBIcalc!$Q$9),""),"")</f>
        <v>1.5704</v>
      </c>
      <c r="Q859" s="278">
        <f>IFERROR(INDEX('Ashed teabags dry'!$K$2:$K$825,MATCH(J859,'Ashed teabags dry'!$A$2:$A$825,0)),"")</f>
        <v>4.205838693715986</v>
      </c>
      <c r="R859" s="278">
        <f t="shared" si="67"/>
        <v>1.5043515091538842</v>
      </c>
      <c r="S859" s="268">
        <f>'Dry_Litterbag Placem_Collection'!E200</f>
        <v>42942</v>
      </c>
      <c r="T859" s="268">
        <f>IF('Dry_Litterbag Placem_Collection'!G200="","",'Dry_Litterbag Placem_Collection'!G200)</f>
        <v>43004</v>
      </c>
      <c r="U859" s="269">
        <f t="shared" si="65"/>
        <v>62</v>
      </c>
      <c r="V859" s="267">
        <f t="shared" si="68"/>
        <v>0.30979999999999985</v>
      </c>
      <c r="W859" s="267">
        <f t="shared" si="69"/>
        <v>0.33294863064664182</v>
      </c>
      <c r="X859" s="271">
        <f>IFERROR(INDEX(Rainfall_Dry!$O$2:$O$217,MATCH(B859, Rainfall_Dry!$A$2:$A$217,0)),"")</f>
        <v>171.84818423999999</v>
      </c>
      <c r="Y859" s="260">
        <v>19.96</v>
      </c>
      <c r="Z859" s="260">
        <v>4.9199999999999982</v>
      </c>
      <c r="AA859" s="260">
        <v>75.12</v>
      </c>
      <c r="AB859" s="261" t="s">
        <v>2671</v>
      </c>
      <c r="AC859" s="260">
        <v>1.641498275012321</v>
      </c>
      <c r="AD859">
        <f>IF('WetLitterbags placem_collection'!AB200="","",'WetLitterbags placem_collection'!AB200)</f>
        <v>7.9</v>
      </c>
      <c r="AE859">
        <f>IF('WetLitterbags placem_collection'!Z200="","",'WetLitterbags placem_collection'!Z200)</f>
        <v>7.9</v>
      </c>
      <c r="AF859" s="24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71">
        <f>IFERROR(AVERAGE('Dry_Litterbag Placem_Collection'!N200,'Dry_Litterbag Placem_Collection'!Q200),"")</f>
        <v>30.25</v>
      </c>
      <c r="AJ859">
        <v>-2.4395990190000001</v>
      </c>
      <c r="AK859">
        <v>34.838418959999998</v>
      </c>
      <c r="AL859" s="270" t="str">
        <f>IF(ISNUMBER(SEARCH("C", 'Dry_Litterbag Placem_Collection'!V200)),"YES","NO")</f>
        <v>NO</v>
      </c>
      <c r="AM859" s="270" t="str">
        <f>IF(ISNUMBER(SEARCH("H", 'Dry_Litterbag Placem_Collection'!V200)),"YES","NO")</f>
        <v>NO</v>
      </c>
      <c r="AN859" s="270" t="str">
        <f>IF(ISNUMBER(SEARCH("R", 'Dry_Litterbag Placem_Collection'!V200)),"YES","NO")</f>
        <v>YES</v>
      </c>
    </row>
    <row r="860" spans="1:40" ht="15" customHeight="1">
      <c r="A860" s="262" t="s">
        <v>2659</v>
      </c>
      <c r="B860" s="263">
        <f>'Dry_Litterbag Placem_Collection'!A201</f>
        <v>199</v>
      </c>
      <c r="C860" s="263" t="str">
        <f>'Dry_Litterbag Placem_Collection'!B201</f>
        <v>Makao</v>
      </c>
      <c r="D860" s="263" t="s">
        <v>2659</v>
      </c>
      <c r="E860" s="263" t="s">
        <v>2526</v>
      </c>
      <c r="F860" s="263">
        <v>1</v>
      </c>
      <c r="G860" s="264" t="str">
        <f>'Dry_Litterbag Placem_Collection'!C201</f>
        <v>Dry_P3_CG1</v>
      </c>
      <c r="H860" s="273" t="s">
        <v>3651</v>
      </c>
      <c r="I860" s="274" t="s">
        <v>298</v>
      </c>
      <c r="J860" s="263" t="str">
        <f>IF(ISBLANK('Dry_Litterbag Placem_Collection'!M201),"","R"&amp;""&amp;'Dry_Litterbag Placem_Collection'!M201)</f>
        <v>R236</v>
      </c>
      <c r="K860" s="267">
        <f>IFERROR(INDEX('Green_rooibos initial weight'!$C$5:$C$1749,MATCH(J860, 'Green_rooibos initial weight'!$A$5:$A$1749,0)),"")</f>
        <v>2.2440000000000002</v>
      </c>
      <c r="L860" s="267">
        <f>IFERROR(K860-(TBIcalc!$Q$9+TBIcalc!$Q$10),"")</f>
        <v>1.9942000000000002</v>
      </c>
      <c r="M860" s="391">
        <f>AVERAGE(Ashed_controlls!$K$12:$K$14)</f>
        <v>2.2816647271287041</v>
      </c>
      <c r="N860" s="267">
        <f t="shared" si="66"/>
        <v>1.9486990420115995</v>
      </c>
      <c r="O860" s="267">
        <f>IF(IFERROR(INDEX('Both teabags AfterDry'!$D$3:$D$900,MATCH(J860,'Both teabags AfterDry'!$A$3:$A$900,0)),"")="","",(IFERROR(INDEX('Both teabags AfterDry'!$D$3:$D$900,MATCH(J860,'Both teabags AfterDry'!$A$3:$A$900,0)),"")))</f>
        <v>1.62</v>
      </c>
      <c r="P860" s="267">
        <f>IFERROR(IF(O860&gt;0,O860-(TBIcalc!$Q$9),""),"")</f>
        <v>1.4694</v>
      </c>
      <c r="Q860" s="278">
        <f>IFERROR(INDEX('Ashed teabags dry'!$K$2:$K$825,MATCH(J860,'Ashed teabags dry'!$A$2:$A$825,0)),"")</f>
        <v>2.5580293699667425</v>
      </c>
      <c r="R860" s="278">
        <f t="shared" si="67"/>
        <v>1.4318123164377088</v>
      </c>
      <c r="S860" s="268">
        <f>'Dry_Litterbag Placem_Collection'!E201</f>
        <v>42942</v>
      </c>
      <c r="T860" s="268">
        <f>IF('Dry_Litterbag Placem_Collection'!G201="","",'Dry_Litterbag Placem_Collection'!G201)</f>
        <v>43004</v>
      </c>
      <c r="U860" s="269">
        <f t="shared" si="65"/>
        <v>62</v>
      </c>
      <c r="V860" s="267">
        <f t="shared" si="68"/>
        <v>0.52480000000000016</v>
      </c>
      <c r="W860" s="267">
        <f t="shared" si="69"/>
        <v>0.5168867255738907</v>
      </c>
      <c r="X860" s="271">
        <f>IFERROR(INDEX(Rainfall_Dry!$O$2:$O$217,MATCH(B860, Rainfall_Dry!$A$2:$A$217,0)),"")</f>
        <v>171.84818423999999</v>
      </c>
      <c r="Y860" s="260">
        <v>21.96</v>
      </c>
      <c r="Z860" s="260">
        <v>8.9199999999999982</v>
      </c>
      <c r="AA860" s="260">
        <v>69.12</v>
      </c>
      <c r="AB860" s="261" t="s">
        <v>2670</v>
      </c>
      <c r="AC860" s="260">
        <v>1.7491375061606702</v>
      </c>
      <c r="AD860">
        <f>IF('WetLitterbags placem_collection'!AB201="","",'WetLitterbags placem_collection'!AB201)</f>
        <v>13.8</v>
      </c>
      <c r="AE860">
        <f>IF('WetLitterbags placem_collection'!Z201="","",'WetLitterbags placem_collection'!Z201)</f>
        <v>17.399999999999999</v>
      </c>
      <c r="AF860" s="24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71">
        <f>IFERROR(AVERAGE('Dry_Litterbag Placem_Collection'!N201,'Dry_Litterbag Placem_Collection'!Q201),"")</f>
        <v>27.200000000000003</v>
      </c>
      <c r="AJ860">
        <v>-2.439403972</v>
      </c>
      <c r="AK860">
        <v>34.838404959999998</v>
      </c>
      <c r="AL860" s="270" t="str">
        <f>IF(ISNUMBER(SEARCH("C", 'Dry_Litterbag Placem_Collection'!V201)),"YES","NO")</f>
        <v>NO</v>
      </c>
      <c r="AM860" s="270" t="str">
        <f>IF(ISNUMBER(SEARCH("H", 'Dry_Litterbag Placem_Collection'!V201)),"YES","NO")</f>
        <v>NO</v>
      </c>
      <c r="AN860" s="270" t="str">
        <f>IF(ISNUMBER(SEARCH("R", 'Dry_Litterbag Placem_Collection'!V201)),"YES","NO")</f>
        <v>YES</v>
      </c>
    </row>
    <row r="861" spans="1:40" ht="15" customHeight="1">
      <c r="A861" s="262" t="s">
        <v>2659</v>
      </c>
      <c r="B861" s="263">
        <f>'Dry_Litterbag Placem_Collection'!A202</f>
        <v>200</v>
      </c>
      <c r="C861" s="263" t="str">
        <f>'Dry_Litterbag Placem_Collection'!B202</f>
        <v>Makao</v>
      </c>
      <c r="D861" s="263" t="s">
        <v>2659</v>
      </c>
      <c r="E861" s="263" t="s">
        <v>2526</v>
      </c>
      <c r="F861" s="263">
        <v>4</v>
      </c>
      <c r="G861" s="264" t="str">
        <f>'Dry_Litterbag Placem_Collection'!C202</f>
        <v>Dry_P4_CG4</v>
      </c>
      <c r="H861" s="273" t="s">
        <v>3651</v>
      </c>
      <c r="I861" s="274" t="s">
        <v>298</v>
      </c>
      <c r="J861" s="263" t="str">
        <f>IF(ISBLANK('Dry_Litterbag Placem_Collection'!M202),"","R"&amp;""&amp;'Dry_Litterbag Placem_Collection'!M202)</f>
        <v>R205</v>
      </c>
      <c r="K861" s="267">
        <f>IFERROR(INDEX('Green_rooibos initial weight'!$C$5:$C$1749,MATCH(J861, 'Green_rooibos initial weight'!$A$5:$A$1749,0)),"")</f>
        <v>2.181</v>
      </c>
      <c r="L861" s="267">
        <f>IFERROR(K861-(TBIcalc!$Q$9+TBIcalc!$Q$10),"")</f>
        <v>1.9312</v>
      </c>
      <c r="M861" s="391">
        <f>AVERAGE(Ashed_controlls!$K$12:$K$14)</f>
        <v>2.2816647271287041</v>
      </c>
      <c r="N861" s="267">
        <f t="shared" si="66"/>
        <v>1.8871364907896906</v>
      </c>
      <c r="O861" s="267">
        <f>IF(IFERROR(INDEX('Both teabags AfterDry'!$D$3:$D$900,MATCH(J861,'Both teabags AfterDry'!$A$3:$A$900,0)),"")="","",(IFERROR(INDEX('Both teabags AfterDry'!$D$3:$D$900,MATCH(J861,'Both teabags AfterDry'!$A$3:$A$900,0)),"")))</f>
        <v>1.6595</v>
      </c>
      <c r="P861" s="267">
        <f>IFERROR(IF(O861&gt;0,O861-(TBIcalc!$Q$9),""),"")</f>
        <v>1.5088999999999999</v>
      </c>
      <c r="Q861" s="278">
        <f>IFERROR(INDEX('Ashed teabags dry'!$K$2:$K$825,MATCH(J861,'Ashed teabags dry'!$A$2:$A$825,0)),"")</f>
        <v>2.2522522522528168</v>
      </c>
      <c r="R861" s="278">
        <f t="shared" si="67"/>
        <v>1.4749157657657572</v>
      </c>
      <c r="S861" s="268">
        <f>'Dry_Litterbag Placem_Collection'!E202</f>
        <v>42942</v>
      </c>
      <c r="T861" s="268">
        <f>IF('Dry_Litterbag Placem_Collection'!G202="","",'Dry_Litterbag Placem_Collection'!G202)</f>
        <v>43004</v>
      </c>
      <c r="U861" s="269">
        <f t="shared" si="65"/>
        <v>62</v>
      </c>
      <c r="V861" s="267">
        <f t="shared" si="68"/>
        <v>0.42230000000000012</v>
      </c>
      <c r="W861" s="267">
        <f t="shared" si="69"/>
        <v>0.41222072502393337</v>
      </c>
      <c r="X861" s="271">
        <f>IFERROR(INDEX(Rainfall_Dry!$O$2:$O$217,MATCH(B861, Rainfall_Dry!$A$2:$A$217,0)),"")</f>
        <v>171.84818423999999</v>
      </c>
      <c r="Y861" s="260">
        <v>25.96</v>
      </c>
      <c r="Z861" s="260">
        <v>6.9200000000000008</v>
      </c>
      <c r="AA861" s="260">
        <v>67.12</v>
      </c>
      <c r="AB861" s="261" t="s">
        <v>2670</v>
      </c>
      <c r="AC861" s="260">
        <v>1.7568260226712666</v>
      </c>
      <c r="AD861">
        <f>IF('WetLitterbags placem_collection'!AB202="","",'WetLitterbags placem_collection'!AB202)</f>
        <v>15.2</v>
      </c>
      <c r="AE861">
        <f>IF('WetLitterbags placem_collection'!Z202="","",'WetLitterbags placem_collection'!Z202)</f>
        <v>12.2</v>
      </c>
      <c r="AF861" s="24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71">
        <f>IFERROR(AVERAGE('Dry_Litterbag Placem_Collection'!N202,'Dry_Litterbag Placem_Collection'!Q202),"")</f>
        <v>32.9</v>
      </c>
      <c r="AJ861">
        <v>-2.4396949910000001</v>
      </c>
      <c r="AK861">
        <v>34.838574029999997</v>
      </c>
      <c r="AL861" s="270" t="str">
        <f>IF(ISNUMBER(SEARCH("C", 'Dry_Litterbag Placem_Collection'!V202)),"YES","NO")</f>
        <v>NO</v>
      </c>
      <c r="AM861" s="270" t="str">
        <f>IF(ISNUMBER(SEARCH("H", 'Dry_Litterbag Placem_Collection'!V202)),"YES","NO")</f>
        <v>NO</v>
      </c>
      <c r="AN861" s="270" t="str">
        <f>IF(ISNUMBER(SEARCH("R", 'Dry_Litterbag Placem_Collection'!V202)),"YES","NO")</f>
        <v>YES</v>
      </c>
    </row>
    <row r="862" spans="1:40" ht="15" customHeight="1">
      <c r="A862" s="262" t="s">
        <v>2659</v>
      </c>
      <c r="B862" s="263">
        <f>'Dry_Litterbag Placem_Collection'!A203</f>
        <v>201</v>
      </c>
      <c r="C862" s="263" t="str">
        <f>'Dry_Litterbag Placem_Collection'!B203</f>
        <v>Maswa</v>
      </c>
      <c r="D862" s="263" t="s">
        <v>2659</v>
      </c>
      <c r="E862" s="263" t="s">
        <v>2526</v>
      </c>
      <c r="F862" s="263">
        <v>4</v>
      </c>
      <c r="G862" s="264" t="str">
        <f>'Dry_Litterbag Placem_Collection'!C203</f>
        <v>Dry_W3_CG4</v>
      </c>
      <c r="H862" s="273" t="s">
        <v>3651</v>
      </c>
      <c r="I862" s="274" t="s">
        <v>298</v>
      </c>
      <c r="J862" s="263" t="str">
        <f>IF(ISBLANK('Dry_Litterbag Placem_Collection'!M203),"","R"&amp;""&amp;'Dry_Litterbag Placem_Collection'!M203)</f>
        <v>R665</v>
      </c>
      <c r="K862" s="267">
        <f>IFERROR(INDEX('Green_rooibos initial weight'!$C$5:$C$1749,MATCH(J862, 'Green_rooibos initial weight'!$A$5:$A$1749,0)),"")</f>
        <v>2.1579999999999999</v>
      </c>
      <c r="L862" s="267">
        <f>IFERROR(K862-(TBIcalc!$Q$9+TBIcalc!$Q$10),"")</f>
        <v>1.9081999999999999</v>
      </c>
      <c r="M862" s="391">
        <f>AVERAGE(Ashed_controlls!$K$12:$K$14)</f>
        <v>2.2816647271287041</v>
      </c>
      <c r="N862" s="267">
        <f t="shared" si="66"/>
        <v>1.8646612736769299</v>
      </c>
      <c r="O862" s="267">
        <f>IF(IFERROR(INDEX('Both teabags AfterDry'!$D$3:$D$900,MATCH(J862,'Both teabags AfterDry'!$A$3:$A$900,0)),"")="","",(IFERROR(INDEX('Both teabags AfterDry'!$D$3:$D$900,MATCH(J862,'Both teabags AfterDry'!$A$3:$A$900,0)),"")))</f>
        <v>1.7869999999999999</v>
      </c>
      <c r="P862" s="267">
        <f>IFERROR(IF(O862&gt;0,O862-(TBIcalc!$Q$9),""),"")</f>
        <v>1.6363999999999999</v>
      </c>
      <c r="Q862" s="278">
        <f>IFERROR(INDEX('Ashed teabags dry'!$K$2:$K$825,MATCH(J862,'Ashed teabags dry'!$A$2:$A$825,0)),"")</f>
        <v>6.3397721644379263</v>
      </c>
      <c r="R862" s="278">
        <f t="shared" si="67"/>
        <v>1.5326559683011376</v>
      </c>
      <c r="S862" s="268">
        <f>'Dry_Litterbag Placem_Collection'!E203</f>
        <v>42942</v>
      </c>
      <c r="T862" s="268">
        <f>IF('Dry_Litterbag Placem_Collection'!G203="","",'Dry_Litterbag Placem_Collection'!G203)</f>
        <v>43004</v>
      </c>
      <c r="U862" s="269">
        <f t="shared" si="65"/>
        <v>62</v>
      </c>
      <c r="V862" s="267">
        <f t="shared" si="68"/>
        <v>0.27180000000000004</v>
      </c>
      <c r="W862" s="267">
        <f t="shared" si="69"/>
        <v>0.33200530537579231</v>
      </c>
      <c r="X862" s="271">
        <f>IFERROR(INDEX(Rainfall_Dry!$O$2:$O$217,MATCH(B862, Rainfall_Dry!$A$2:$A$217,0)),"")</f>
        <v>171.84818423999999</v>
      </c>
      <c r="Y862" s="260">
        <v>38.691629007962128</v>
      </c>
      <c r="Z862" s="260">
        <v>26.81299763288143</v>
      </c>
      <c r="AA862" s="260">
        <v>34.495373359156439</v>
      </c>
      <c r="AB862" s="261" t="s">
        <v>2675</v>
      </c>
      <c r="AC862" s="260">
        <v>2.5483587974371611</v>
      </c>
      <c r="AD862">
        <f>IF('WetLitterbags placem_collection'!AB203="","",'WetLitterbags placem_collection'!AB203)</f>
        <v>15.2</v>
      </c>
      <c r="AE862">
        <f>IF('WetLitterbags placem_collection'!Z203="","",'WetLitterbags placem_collection'!Z203)</f>
        <v>12.2</v>
      </c>
      <c r="AF862" s="24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71">
        <f>IFERROR(AVERAGE('Dry_Litterbag Placem_Collection'!N203,'Dry_Litterbag Placem_Collection'!Q203),"")</f>
        <v>29.15</v>
      </c>
      <c r="AJ862">
        <v>-2.4396949910000001</v>
      </c>
      <c r="AK862">
        <v>34.838574029999997</v>
      </c>
      <c r="AL862" s="270" t="str">
        <f>IF(ISNUMBER(SEARCH("C", 'Dry_Litterbag Placem_Collection'!V203)),"YES","NO")</f>
        <v>NO</v>
      </c>
      <c r="AM862" s="270" t="str">
        <f>IF(ISNUMBER(SEARCH("H", 'Dry_Litterbag Placem_Collection'!V203)),"YES","NO")</f>
        <v>NO</v>
      </c>
      <c r="AN862" s="270" t="str">
        <f>IF(ISNUMBER(SEARCH("R", 'Dry_Litterbag Placem_Collection'!V203)),"YES","NO")</f>
        <v>YES</v>
      </c>
    </row>
    <row r="863" spans="1:40" ht="15" customHeight="1">
      <c r="A863" s="262" t="s">
        <v>2659</v>
      </c>
      <c r="B863" s="263">
        <f>'Dry_Litterbag Placem_Collection'!A204</f>
        <v>202</v>
      </c>
      <c r="C863" s="263" t="str">
        <f>'Dry_Litterbag Placem_Collection'!B204</f>
        <v>Maswa</v>
      </c>
      <c r="D863" s="263" t="s">
        <v>2659</v>
      </c>
      <c r="E863" s="263" t="s">
        <v>2526</v>
      </c>
      <c r="F863" s="263">
        <v>1</v>
      </c>
      <c r="G863" s="264" t="str">
        <f>'Dry_Litterbag Placem_Collection'!C204</f>
        <v>Dry_W2_CG1</v>
      </c>
      <c r="H863" s="273" t="s">
        <v>3651</v>
      </c>
      <c r="I863" s="274" t="s">
        <v>298</v>
      </c>
      <c r="J863" s="263" t="str">
        <f>IF(ISBLANK('Dry_Litterbag Placem_Collection'!M204),"","R"&amp;""&amp;'Dry_Litterbag Placem_Collection'!M204)</f>
        <v>R224</v>
      </c>
      <c r="K863" s="267">
        <f>IFERROR(INDEX('Green_rooibos initial weight'!$C$5:$C$1749,MATCH(J863, 'Green_rooibos initial weight'!$A$5:$A$1749,0)),"")</f>
        <v>2.298</v>
      </c>
      <c r="L863" s="267">
        <f>IFERROR(K863-(TBIcalc!$Q$9+TBIcalc!$Q$10),"")</f>
        <v>2.0482</v>
      </c>
      <c r="M863" s="391">
        <f>AVERAGE(Ashed_controlls!$K$12:$K$14)</f>
        <v>2.2816647271287041</v>
      </c>
      <c r="N863" s="267">
        <f t="shared" si="66"/>
        <v>2.0014669430589498</v>
      </c>
      <c r="O863" s="267">
        <f>IF(IFERROR(INDEX('Both teabags AfterDry'!$D$3:$D$900,MATCH(J863,'Both teabags AfterDry'!$A$3:$A$900,0)),"")="","",(IFERROR(INDEX('Both teabags AfterDry'!$D$3:$D$900,MATCH(J863,'Both teabags AfterDry'!$A$3:$A$900,0)),"")))</f>
        <v>1.8384</v>
      </c>
      <c r="P863" s="267">
        <f>IFERROR(IF(O863&gt;0,O863-(TBIcalc!$Q$9),""),"")</f>
        <v>1.6878</v>
      </c>
      <c r="Q863" s="278">
        <f>IFERROR(INDEX('Ashed teabags dry'!$K$2:$K$825,MATCH(J863,'Ashed teabags dry'!$A$2:$A$825,0)),"")</f>
        <v>11.207685269899079</v>
      </c>
      <c r="R863" s="278">
        <f t="shared" si="67"/>
        <v>1.4986366880146433</v>
      </c>
      <c r="S863" s="268">
        <f>'Dry_Litterbag Placem_Collection'!E204</f>
        <v>42942</v>
      </c>
      <c r="T863" s="268">
        <f>IF('Dry_Litterbag Placem_Collection'!G204="","",'Dry_Litterbag Placem_Collection'!G204)</f>
        <v>43004</v>
      </c>
      <c r="U863" s="269">
        <f t="shared" si="65"/>
        <v>62</v>
      </c>
      <c r="V863" s="267">
        <f t="shared" si="68"/>
        <v>0.36040000000000005</v>
      </c>
      <c r="W863" s="267">
        <f t="shared" si="69"/>
        <v>0.50283025504430645</v>
      </c>
      <c r="X863" s="271">
        <f>IFERROR(INDEX(Rainfall_Dry!$O$2:$O$217,MATCH(B863, Rainfall_Dry!$A$2:$A$217,0)),"")</f>
        <v>171.84818423999999</v>
      </c>
      <c r="Y863" s="260">
        <v>45.272914521112256</v>
      </c>
      <c r="Z863" s="260">
        <v>23.604531410916575</v>
      </c>
      <c r="AA863" s="260">
        <v>31.122554067971166</v>
      </c>
      <c r="AB863" s="261" t="s">
        <v>2673</v>
      </c>
      <c r="AC863" s="260">
        <v>2.0547560374568752</v>
      </c>
      <c r="AD863">
        <f>IF('WetLitterbags placem_collection'!AB204="","",'WetLitterbags placem_collection'!AB204)</f>
        <v>13.8</v>
      </c>
      <c r="AE863">
        <f>IF('WetLitterbags placem_collection'!Z204="","",'WetLitterbags placem_collection'!Z204)</f>
        <v>17.399999999999999</v>
      </c>
      <c r="AF863" s="24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71">
        <f>IFERROR(AVERAGE('Dry_Litterbag Placem_Collection'!N204,'Dry_Litterbag Placem_Collection'!Q204),"")</f>
        <v>28.85</v>
      </c>
      <c r="AJ863">
        <v>-2.439403972</v>
      </c>
      <c r="AK863">
        <v>34.838404959999998</v>
      </c>
      <c r="AL863" s="270" t="str">
        <f>IF(ISNUMBER(SEARCH("C", 'Dry_Litterbag Placem_Collection'!V204)),"YES","NO")</f>
        <v>NO</v>
      </c>
      <c r="AM863" s="270" t="str">
        <f>IF(ISNUMBER(SEARCH("H", 'Dry_Litterbag Placem_Collection'!V204)),"YES","NO")</f>
        <v>NO</v>
      </c>
      <c r="AN863" s="270" t="str">
        <f>IF(ISNUMBER(SEARCH("R", 'Dry_Litterbag Placem_Collection'!V204)),"YES","NO")</f>
        <v>YES</v>
      </c>
    </row>
    <row r="864" spans="1:40" ht="15" customHeight="1">
      <c r="A864" s="262" t="s">
        <v>2659</v>
      </c>
      <c r="B864" s="263">
        <f>'Dry_Litterbag Placem_Collection'!A205</f>
        <v>203</v>
      </c>
      <c r="C864" s="263" t="str">
        <f>'Dry_Litterbag Placem_Collection'!B205</f>
        <v>Maswa</v>
      </c>
      <c r="D864" s="263" t="s">
        <v>2659</v>
      </c>
      <c r="E864" s="263" t="s">
        <v>2526</v>
      </c>
      <c r="F864" s="263">
        <v>2</v>
      </c>
      <c r="G864" s="264" t="str">
        <f>'Dry_Litterbag Placem_Collection'!C205</f>
        <v>Dry_W1_CG2</v>
      </c>
      <c r="H864" s="273" t="s">
        <v>3651</v>
      </c>
      <c r="I864" s="274" t="s">
        <v>298</v>
      </c>
      <c r="J864" s="263" t="str">
        <f>IF(ISBLANK('Dry_Litterbag Placem_Collection'!M205),"","R"&amp;""&amp;'Dry_Litterbag Placem_Collection'!M205)</f>
        <v>R621</v>
      </c>
      <c r="K864" s="267">
        <f>IFERROR(INDEX('Green_rooibos initial weight'!$C$5:$C$1749,MATCH(J864, 'Green_rooibos initial weight'!$A$5:$A$1749,0)),"")</f>
        <v>2.0459999999999998</v>
      </c>
      <c r="L864" s="267">
        <f>IFERROR(K864-(TBIcalc!$Q$9+TBIcalc!$Q$10),"")</f>
        <v>1.7961999999999998</v>
      </c>
      <c r="M864" s="391">
        <f>AVERAGE(Ashed_controlls!$K$12:$K$14)</f>
        <v>2.2816647271287041</v>
      </c>
      <c r="N864" s="267">
        <f t="shared" si="66"/>
        <v>1.755216738171314</v>
      </c>
      <c r="O864" s="267">
        <f>IF(IFERROR(INDEX('Both teabags AfterDry'!$D$3:$D$900,MATCH(J864,'Both teabags AfterDry'!$A$3:$A$900,0)),"")="","",(IFERROR(INDEX('Both teabags AfterDry'!$D$3:$D$900,MATCH(J864,'Both teabags AfterDry'!$A$3:$A$900,0)),"")))</f>
        <v>1.6888000000000001</v>
      </c>
      <c r="P864" s="267">
        <f>IFERROR(IF(O864&gt;0,O864-(TBIcalc!$Q$9),""),"")</f>
        <v>1.5382</v>
      </c>
      <c r="Q864" s="278">
        <f>IFERROR(INDEX('Ashed teabags dry'!$K$2:$K$825,MATCH(J864,'Ashed teabags dry'!$A$2:$A$825,0)),"")</f>
        <v>4.0788883908559299</v>
      </c>
      <c r="R864" s="278">
        <f t="shared" si="67"/>
        <v>1.4754585387718542</v>
      </c>
      <c r="S864" s="268">
        <f>'Dry_Litterbag Placem_Collection'!E205</f>
        <v>42942</v>
      </c>
      <c r="T864" s="268">
        <f>IF('Dry_Litterbag Placem_Collection'!G205="","",'Dry_Litterbag Placem_Collection'!G205)</f>
        <v>43004</v>
      </c>
      <c r="U864" s="269">
        <f t="shared" si="65"/>
        <v>62</v>
      </c>
      <c r="V864" s="267">
        <f t="shared" si="68"/>
        <v>0.25799999999999979</v>
      </c>
      <c r="W864" s="267">
        <f t="shared" si="69"/>
        <v>0.27975819939945978</v>
      </c>
      <c r="X864" s="271">
        <f>IFERROR(INDEX(Rainfall_Dry!$O$2:$O$217,MATCH(B864, Rainfall_Dry!$A$2:$A$217,0)),"")</f>
        <v>171.84818423999999</v>
      </c>
      <c r="Y864" s="260">
        <v>47.96</v>
      </c>
      <c r="Z864" s="260">
        <v>22.919999999999995</v>
      </c>
      <c r="AA864" s="260">
        <v>29.120000000000012</v>
      </c>
      <c r="AB864" s="261" t="s">
        <v>2673</v>
      </c>
      <c r="AC864" s="260">
        <v>2.8831936914736325</v>
      </c>
      <c r="AD864">
        <f>IF('WetLitterbags placem_collection'!AB205="","",'WetLitterbags placem_collection'!AB205)</f>
        <v>5.13</v>
      </c>
      <c r="AE864">
        <f>IF('WetLitterbags placem_collection'!Z205="","",'WetLitterbags placem_collection'!Z205)</f>
        <v>5.13</v>
      </c>
      <c r="AF864" s="24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71">
        <f>IFERROR(AVERAGE('Dry_Litterbag Placem_Collection'!N205,'Dry_Litterbag Placem_Collection'!Q205),"")</f>
        <v>28.299999999999997</v>
      </c>
      <c r="AJ864">
        <v>-2.4396450349999999</v>
      </c>
      <c r="AK864">
        <v>34.83836599</v>
      </c>
      <c r="AL864" s="270" t="str">
        <f>IF(ISNUMBER(SEARCH("C", 'Dry_Litterbag Placem_Collection'!V205)),"YES","NO")</f>
        <v>NO</v>
      </c>
      <c r="AM864" s="270" t="str">
        <f>IF(ISNUMBER(SEARCH("H", 'Dry_Litterbag Placem_Collection'!V205)),"YES","NO")</f>
        <v>NO</v>
      </c>
      <c r="AN864" s="270" t="str">
        <f>IF(ISNUMBER(SEARCH("R", 'Dry_Litterbag Placem_Collection'!V205)),"YES","NO")</f>
        <v>YES</v>
      </c>
    </row>
    <row r="865" spans="1:40" ht="15" customHeight="1">
      <c r="A865" s="262" t="s">
        <v>2659</v>
      </c>
      <c r="B865" s="263">
        <f>'Dry_Litterbag Placem_Collection'!A206</f>
        <v>204</v>
      </c>
      <c r="C865" s="263" t="str">
        <f>'Dry_Litterbag Placem_Collection'!B206</f>
        <v>Maswa</v>
      </c>
      <c r="D865" s="263" t="s">
        <v>2659</v>
      </c>
      <c r="E865" s="263" t="s">
        <v>2526</v>
      </c>
      <c r="F865" s="263">
        <v>3</v>
      </c>
      <c r="G865" s="264" t="str">
        <f>'Dry_Litterbag Placem_Collection'!C206</f>
        <v>Dry_W4_CG3</v>
      </c>
      <c r="H865" s="273" t="s">
        <v>3651</v>
      </c>
      <c r="I865" s="274" t="s">
        <v>298</v>
      </c>
      <c r="J865" s="263" t="str">
        <f>IF(ISBLANK('Dry_Litterbag Placem_Collection'!M206),"","R"&amp;""&amp;'Dry_Litterbag Placem_Collection'!M206)</f>
        <v>R708</v>
      </c>
      <c r="K865" s="267">
        <f>IFERROR(INDEX('Green_rooibos initial weight'!$C$5:$C$1749,MATCH(J865, 'Green_rooibos initial weight'!$A$5:$A$1749,0)),"")</f>
        <v>2.157</v>
      </c>
      <c r="L865" s="267">
        <f>IFERROR(K865-(TBIcalc!$Q$9+TBIcalc!$Q$10),"")</f>
        <v>1.9072</v>
      </c>
      <c r="M865" s="391">
        <f>AVERAGE(Ashed_controlls!$K$12:$K$14)</f>
        <v>2.2816647271287041</v>
      </c>
      <c r="N865" s="267">
        <f t="shared" si="66"/>
        <v>1.8636840903242013</v>
      </c>
      <c r="O865" s="267">
        <f>IF(IFERROR(INDEX('Both teabags AfterDry'!$D$3:$D$900,MATCH(J865,'Both teabags AfterDry'!$A$3:$A$900,0)),"")="","",(IFERROR(INDEX('Both teabags AfterDry'!$D$3:$D$900,MATCH(J865,'Both teabags AfterDry'!$A$3:$A$900,0)),"")))</f>
        <v>1.7259</v>
      </c>
      <c r="P865" s="267">
        <f>IFERROR(IF(O865&gt;0,O865-(TBIcalc!$Q$9),""),"")</f>
        <v>1.5752999999999999</v>
      </c>
      <c r="Q865" s="278">
        <f>IFERROR(INDEX('Ashed teabags dry'!$K$2:$K$825,MATCH(J865,'Ashed teabags dry'!$A$2:$A$825,0)),"")</f>
        <v>5.9528907922913135</v>
      </c>
      <c r="R865" s="278">
        <f t="shared" si="67"/>
        <v>1.4815241113490349</v>
      </c>
      <c r="S865" s="268">
        <f>'Dry_Litterbag Placem_Collection'!E206</f>
        <v>42942</v>
      </c>
      <c r="T865" s="268">
        <f>IF('Dry_Litterbag Placem_Collection'!G206="","",'Dry_Litterbag Placem_Collection'!G206)</f>
        <v>43004</v>
      </c>
      <c r="U865" s="269">
        <f t="shared" si="65"/>
        <v>62</v>
      </c>
      <c r="V865" s="267">
        <f t="shared" si="68"/>
        <v>0.33190000000000008</v>
      </c>
      <c r="W865" s="267">
        <f t="shared" si="69"/>
        <v>0.3821599789751664</v>
      </c>
      <c r="X865" s="271">
        <f>IFERROR(INDEX(Rainfall_Dry!$O$2:$O$217,MATCH(B865, Rainfall_Dry!$A$2:$A$217,0)),"")</f>
        <v>171.84818423999999</v>
      </c>
      <c r="Y865" s="260">
        <v>28.145762029394</v>
      </c>
      <c r="Z865" s="260">
        <v>25.085564727199518</v>
      </c>
      <c r="AA865" s="260">
        <v>46.768673243406489</v>
      </c>
      <c r="AB865" s="261" t="s">
        <v>2670</v>
      </c>
      <c r="AC865" s="260">
        <v>2.1716214884179394</v>
      </c>
      <c r="AD865">
        <f>IF('WetLitterbags placem_collection'!AB206="","",'WetLitterbags placem_collection'!AB206)</f>
        <v>7.9</v>
      </c>
      <c r="AE865">
        <f>IF('WetLitterbags placem_collection'!Z206="","",'WetLitterbags placem_collection'!Z206)</f>
        <v>7.9</v>
      </c>
      <c r="AF865" s="24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71">
        <f>IFERROR(AVERAGE('Dry_Litterbag Placem_Collection'!N206,'Dry_Litterbag Placem_Collection'!Q206),"")</f>
        <v>27.299999999999997</v>
      </c>
      <c r="AJ865">
        <v>-2.4395990190000001</v>
      </c>
      <c r="AK865">
        <v>34.838418959999998</v>
      </c>
      <c r="AL865" s="270" t="str">
        <f>IF(ISNUMBER(SEARCH("C", 'Dry_Litterbag Placem_Collection'!V206)),"YES","NO")</f>
        <v>NO</v>
      </c>
      <c r="AM865" s="270" t="str">
        <f>IF(ISNUMBER(SEARCH("H", 'Dry_Litterbag Placem_Collection'!V206)),"YES","NO")</f>
        <v>NO</v>
      </c>
      <c r="AN865" s="270" t="str">
        <f>IF(ISNUMBER(SEARCH("R", 'Dry_Litterbag Placem_Collection'!V206)),"YES","NO")</f>
        <v>NO</v>
      </c>
    </row>
    <row r="866" spans="1:40" ht="15" customHeight="1">
      <c r="A866" s="262" t="s">
        <v>2659</v>
      </c>
      <c r="B866" s="263">
        <f>'Dry_Litterbag Placem_Collection'!A207</f>
        <v>205</v>
      </c>
      <c r="C866" s="263" t="str">
        <f>'Dry_Litterbag Placem_Collection'!B207</f>
        <v xml:space="preserve">Mwantimba
</v>
      </c>
      <c r="D866" s="263" t="s">
        <v>2659</v>
      </c>
      <c r="E866" s="263" t="s">
        <v>2526</v>
      </c>
      <c r="F866" s="263">
        <v>2</v>
      </c>
      <c r="G866" s="264" t="str">
        <f>'Dry_Litterbag Placem_Collection'!C207</f>
        <v>Wet_Ag1_CG2</v>
      </c>
      <c r="H866" s="273" t="s">
        <v>3651</v>
      </c>
      <c r="I866" s="274" t="s">
        <v>298</v>
      </c>
      <c r="J866" s="263" t="str">
        <f>IF(ISBLANK('Dry_Litterbag Placem_Collection'!M207),"","R"&amp;""&amp;'Dry_Litterbag Placem_Collection'!M207)</f>
        <v>R637</v>
      </c>
      <c r="K866" s="267">
        <f>IFERROR(INDEX('Green_rooibos initial weight'!$C$5:$C$1749,MATCH(J866, 'Green_rooibos initial weight'!$A$5:$A$1749,0)),"")</f>
        <v>2.129</v>
      </c>
      <c r="L866" s="267">
        <f>IFERROR(K866-(TBIcalc!$Q$9+TBIcalc!$Q$10),"")</f>
        <v>1.8792</v>
      </c>
      <c r="M866" s="391">
        <f>AVERAGE(Ashed_controlls!$K$12:$K$14)</f>
        <v>2.2816647271287041</v>
      </c>
      <c r="N866" s="267">
        <f t="shared" si="66"/>
        <v>1.8363229564477974</v>
      </c>
      <c r="O866" s="267">
        <f>IF(IFERROR(INDEX('Both teabags AfterDry'!$D$3:$D$900,MATCH(J866,'Both teabags AfterDry'!$A$3:$A$900,0)),"")="","",(IFERROR(INDEX('Both teabags AfterDry'!$D$3:$D$900,MATCH(J866,'Both teabags AfterDry'!$A$3:$A$900,0)),"")))</f>
        <v>1.6534</v>
      </c>
      <c r="P866" s="267">
        <f>IFERROR(IF(O866&gt;0,O866-(TBIcalc!$Q$9),""),"")</f>
        <v>1.5027999999999999</v>
      </c>
      <c r="Q866" s="278">
        <f>IFERROR(INDEX('Ashed teabags dry'!$K$2:$K$825,MATCH(J866,'Ashed teabags dry'!$A$2:$A$825,0)),"")</f>
        <v>4.9312470365094017</v>
      </c>
      <c r="R866" s="278">
        <f t="shared" si="67"/>
        <v>1.4286932195353366</v>
      </c>
      <c r="S866" s="268">
        <f>'Dry_Litterbag Placem_Collection'!E207</f>
        <v>42942</v>
      </c>
      <c r="T866" s="268">
        <f>IF('Dry_Litterbag Placem_Collection'!G207="","",'Dry_Litterbag Placem_Collection'!G207)</f>
        <v>43004</v>
      </c>
      <c r="U866" s="269">
        <f t="shared" si="65"/>
        <v>62</v>
      </c>
      <c r="V866" s="267">
        <f t="shared" si="68"/>
        <v>0.37640000000000007</v>
      </c>
      <c r="W866" s="267">
        <f t="shared" si="69"/>
        <v>0.40762973691246085</v>
      </c>
      <c r="X866" s="271">
        <f>IFERROR(INDEX(Rainfall_Dry!$O$2:$O$217,MATCH(B866, Rainfall_Dry!$A$2:$A$217,0)),"")</f>
        <v>171.84818423999999</v>
      </c>
      <c r="Y866" s="260">
        <v>45.96</v>
      </c>
      <c r="Z866" s="260">
        <v>14.920000000000003</v>
      </c>
      <c r="AA866" s="260">
        <v>39.119999999999997</v>
      </c>
      <c r="AB866" s="261" t="s">
        <v>2673</v>
      </c>
      <c r="AC866" s="260">
        <v>2.0374568753080333</v>
      </c>
      <c r="AD866">
        <f>IF('WetLitterbags placem_collection'!AB207="","",'WetLitterbags placem_collection'!AB207)</f>
        <v>5.13</v>
      </c>
      <c r="AE866">
        <f>IF('WetLitterbags placem_collection'!Z207="","",'WetLitterbags placem_collection'!Z207)</f>
        <v>5.13</v>
      </c>
      <c r="AF866" s="24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71">
        <f>IFERROR(AVERAGE('Dry_Litterbag Placem_Collection'!N207,'Dry_Litterbag Placem_Collection'!Q207),"")</f>
        <v>29.05</v>
      </c>
      <c r="AJ866">
        <v>-2.4396450349999999</v>
      </c>
      <c r="AK866">
        <v>34.83836599</v>
      </c>
      <c r="AL866" s="270" t="str">
        <f>IF(ISNUMBER(SEARCH("C", 'Dry_Litterbag Placem_Collection'!V207)),"YES","NO")</f>
        <v>NO</v>
      </c>
      <c r="AM866" s="270" t="str">
        <f>IF(ISNUMBER(SEARCH("H", 'Dry_Litterbag Placem_Collection'!V207)),"YES","NO")</f>
        <v>NO</v>
      </c>
      <c r="AN866" s="270" t="str">
        <f>IF(ISNUMBER(SEARCH("R", 'Dry_Litterbag Placem_Collection'!V207)),"YES","NO")</f>
        <v>YES</v>
      </c>
    </row>
    <row r="867" spans="1:40" ht="15" customHeight="1">
      <c r="A867" s="262" t="s">
        <v>2659</v>
      </c>
      <c r="B867" s="263">
        <f>'Dry_Litterbag Placem_Collection'!A208</f>
        <v>206</v>
      </c>
      <c r="C867" s="263" t="str">
        <f>'Dry_Litterbag Placem_Collection'!B208</f>
        <v xml:space="preserve">Mwantimba
</v>
      </c>
      <c r="D867" s="263" t="s">
        <v>2659</v>
      </c>
      <c r="E867" s="263" t="s">
        <v>2526</v>
      </c>
      <c r="F867" s="263">
        <v>1</v>
      </c>
      <c r="G867" s="264" t="str">
        <f>'Dry_Litterbag Placem_Collection'!C208</f>
        <v>Wet_Ag2_CG1</v>
      </c>
      <c r="H867" s="273" t="s">
        <v>3651</v>
      </c>
      <c r="I867" s="274" t="s">
        <v>298</v>
      </c>
      <c r="J867" s="263" t="str">
        <f>IF(ISBLANK('Dry_Litterbag Placem_Collection'!M208),"","R"&amp;""&amp;'Dry_Litterbag Placem_Collection'!M208)</f>
        <v>R284</v>
      </c>
      <c r="K867" s="267">
        <f>IFERROR(INDEX('Green_rooibos initial weight'!$C$5:$C$1749,MATCH(J867, 'Green_rooibos initial weight'!$A$5:$A$1749,0)),"")</f>
        <v>2.2480000000000002</v>
      </c>
      <c r="L867" s="267">
        <f>IFERROR(K867-(TBIcalc!$Q$9+TBIcalc!$Q$10),"")</f>
        <v>1.9982000000000002</v>
      </c>
      <c r="M867" s="391">
        <f>AVERAGE(Ashed_controlls!$K$12:$K$14)</f>
        <v>2.2816647271287041</v>
      </c>
      <c r="N867" s="267">
        <f t="shared" si="66"/>
        <v>1.9526077754225144</v>
      </c>
      <c r="O867" s="267">
        <f>IF(IFERROR(INDEX('Both teabags AfterDry'!$D$3:$D$900,MATCH(J867,'Both teabags AfterDry'!$A$3:$A$900,0)),"")="","",(IFERROR(INDEX('Both teabags AfterDry'!$D$3:$D$900,MATCH(J867,'Both teabags AfterDry'!$A$3:$A$900,0)),"")))</f>
        <v>1.6192</v>
      </c>
      <c r="P867" s="267">
        <f>IFERROR(IF(O867&gt;0,O867-(TBIcalc!$Q$9),""),"")</f>
        <v>1.4685999999999999</v>
      </c>
      <c r="Q867" s="278">
        <f>IFERROR(INDEX('Ashed teabags dry'!$K$2:$K$825,MATCH(J867,'Ashed teabags dry'!$A$2:$A$825,0)),"")</f>
        <v>10.038797284189567</v>
      </c>
      <c r="R867" s="278">
        <f t="shared" si="67"/>
        <v>1.321170223084392</v>
      </c>
      <c r="S867" s="268">
        <f>'Dry_Litterbag Placem_Collection'!E208</f>
        <v>42942</v>
      </c>
      <c r="T867" s="268">
        <f>IF('Dry_Litterbag Placem_Collection'!G208="","",'Dry_Litterbag Placem_Collection'!G208)</f>
        <v>43004</v>
      </c>
      <c r="U867" s="269">
        <f t="shared" si="65"/>
        <v>62</v>
      </c>
      <c r="V867" s="267">
        <f t="shared" si="68"/>
        <v>0.52960000000000029</v>
      </c>
      <c r="W867" s="267">
        <f t="shared" si="69"/>
        <v>0.63143755233812238</v>
      </c>
      <c r="X867" s="271">
        <f>IFERROR(INDEX(Rainfall_Dry!$O$2:$O$217,MATCH(B867, Rainfall_Dry!$A$2:$A$217,0)),"")</f>
        <v>171.84818423999999</v>
      </c>
      <c r="Y867" s="260">
        <v>34.344660194174757</v>
      </c>
      <c r="Z867" s="260">
        <v>19.22727272727273</v>
      </c>
      <c r="AA867" s="260">
        <v>46.428067078552509</v>
      </c>
      <c r="AB867" s="261" t="s">
        <v>2670</v>
      </c>
      <c r="AC867" s="260">
        <v>1.7452932479053718</v>
      </c>
      <c r="AD867">
        <f>IF('WetLitterbags placem_collection'!AB208="","",'WetLitterbags placem_collection'!AB208)</f>
        <v>13.8</v>
      </c>
      <c r="AE867">
        <f>IF('WetLitterbags placem_collection'!Z208="","",'WetLitterbags placem_collection'!Z208)</f>
        <v>17.399999999999999</v>
      </c>
      <c r="AF867" s="24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71">
        <f>IFERROR(AVERAGE('Dry_Litterbag Placem_Collection'!N208,'Dry_Litterbag Placem_Collection'!Q208),"")</f>
        <v>27.799999999999997</v>
      </c>
      <c r="AJ867">
        <v>-2.439403972</v>
      </c>
      <c r="AK867">
        <v>34.838404959999998</v>
      </c>
      <c r="AL867" s="270" t="str">
        <f>IF(ISNUMBER(SEARCH("C", 'Dry_Litterbag Placem_Collection'!V208)),"YES","NO")</f>
        <v>NO</v>
      </c>
      <c r="AM867" s="270" t="str">
        <f>IF(ISNUMBER(SEARCH("H", 'Dry_Litterbag Placem_Collection'!V208)),"YES","NO")</f>
        <v>NO</v>
      </c>
      <c r="AN867" s="270" t="str">
        <f>IF(ISNUMBER(SEARCH("R", 'Dry_Litterbag Placem_Collection'!V208)),"YES","NO")</f>
        <v>YES</v>
      </c>
    </row>
    <row r="868" spans="1:40" ht="15" customHeight="1">
      <c r="A868" s="262" t="s">
        <v>2659</v>
      </c>
      <c r="B868" s="263">
        <f>'Dry_Litterbag Placem_Collection'!A209</f>
        <v>207</v>
      </c>
      <c r="C868" s="263" t="str">
        <f>'Dry_Litterbag Placem_Collection'!B209</f>
        <v xml:space="preserve">Mwantimba
</v>
      </c>
      <c r="D868" s="263" t="s">
        <v>2659</v>
      </c>
      <c r="E868" s="263" t="s">
        <v>2526</v>
      </c>
      <c r="F868" s="263">
        <v>4</v>
      </c>
      <c r="G868" s="264" t="str">
        <f>'Dry_Litterbag Placem_Collection'!C209</f>
        <v>Wet_Ag3_CG4</v>
      </c>
      <c r="H868" s="273" t="s">
        <v>3651</v>
      </c>
      <c r="I868" s="274" t="s">
        <v>298</v>
      </c>
      <c r="J868" s="263" t="str">
        <f>IF(ISBLANK('Dry_Litterbag Placem_Collection'!M209),"","R"&amp;""&amp;'Dry_Litterbag Placem_Collection'!M209)</f>
        <v>R604</v>
      </c>
      <c r="K868" s="267">
        <f>IFERROR(INDEX('Green_rooibos initial weight'!$C$5:$C$1749,MATCH(J868, 'Green_rooibos initial weight'!$A$5:$A$1749,0)),"")</f>
        <v>2.1230000000000002</v>
      </c>
      <c r="L868" s="267">
        <f>IFERROR(K868-(TBIcalc!$Q$9+TBIcalc!$Q$10),"")</f>
        <v>1.8732000000000002</v>
      </c>
      <c r="M868" s="391">
        <f>AVERAGE(Ashed_controlls!$K$12:$K$14)</f>
        <v>2.2816647271287041</v>
      </c>
      <c r="N868" s="267">
        <f t="shared" si="66"/>
        <v>1.8304598563314254</v>
      </c>
      <c r="O868" s="267">
        <f>IF(IFERROR(INDEX('Both teabags AfterDry'!$D$3:$D$900,MATCH(J868,'Both teabags AfterDry'!$A$3:$A$900,0)),"")="","",(IFERROR(INDEX('Both teabags AfterDry'!$D$3:$D$900,MATCH(J868,'Both teabags AfterDry'!$A$3:$A$900,0)),"")))</f>
        <v>1.615</v>
      </c>
      <c r="P868" s="267">
        <f>IFERROR(IF(O868&gt;0,O868-(TBIcalc!$Q$9),""),"")</f>
        <v>1.4643999999999999</v>
      </c>
      <c r="Q868" s="278">
        <f>IFERROR(INDEX('Ashed teabags dry'!$K$2:$K$825,MATCH(J868,'Ashed teabags dry'!$A$2:$A$825,0)),"")</f>
        <v>3.5497431106958826</v>
      </c>
      <c r="R868" s="278">
        <f t="shared" si="67"/>
        <v>1.4124175618869694</v>
      </c>
      <c r="S868" s="268">
        <f>'Dry_Litterbag Placem_Collection'!E209</f>
        <v>42942</v>
      </c>
      <c r="T868" s="268">
        <f>IF('Dry_Litterbag Placem_Collection'!G209="","",'Dry_Litterbag Placem_Collection'!G209)</f>
        <v>43004</v>
      </c>
      <c r="U868" s="269">
        <f t="shared" si="65"/>
        <v>62</v>
      </c>
      <c r="V868" s="267">
        <f t="shared" si="68"/>
        <v>0.40880000000000027</v>
      </c>
      <c r="W868" s="267">
        <f t="shared" si="69"/>
        <v>0.41804229444445595</v>
      </c>
      <c r="X868" s="271">
        <f>IFERROR(INDEX(Rainfall_Dry!$O$2:$O$217,MATCH(B868, Rainfall_Dry!$A$2:$A$217,0)),"")</f>
        <v>171.84818423999999</v>
      </c>
      <c r="Y868" s="260">
        <v>27.96</v>
      </c>
      <c r="Z868" s="260">
        <v>4.9200000000000017</v>
      </c>
      <c r="AA868" s="260">
        <v>67.12</v>
      </c>
      <c r="AB868" s="261" t="s">
        <v>2670</v>
      </c>
      <c r="AC868" s="260">
        <v>0.88610152784622953</v>
      </c>
      <c r="AD868">
        <f>IF('WetLitterbags placem_collection'!AB209="","",'WetLitterbags placem_collection'!AB209)</f>
        <v>15.2</v>
      </c>
      <c r="AE868">
        <f>IF('WetLitterbags placem_collection'!Z209="","",'WetLitterbags placem_collection'!Z209)</f>
        <v>12.2</v>
      </c>
      <c r="AF868" s="24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71">
        <f>IFERROR(AVERAGE('Dry_Litterbag Placem_Collection'!N209,'Dry_Litterbag Placem_Collection'!Q209),"")</f>
        <v>29.6</v>
      </c>
      <c r="AJ868">
        <v>-2.4396949910000001</v>
      </c>
      <c r="AK868">
        <v>34.838574029999997</v>
      </c>
      <c r="AL868" s="270" t="str">
        <f>IF(ISNUMBER(SEARCH("C", 'Dry_Litterbag Placem_Collection'!V209)),"YES","NO")</f>
        <v>NO</v>
      </c>
      <c r="AM868" s="270" t="str">
        <f>IF(ISNUMBER(SEARCH("H", 'Dry_Litterbag Placem_Collection'!V209)),"YES","NO")</f>
        <v>NO</v>
      </c>
      <c r="AN868" s="270" t="str">
        <f>IF(ISNUMBER(SEARCH("R", 'Dry_Litterbag Placem_Collection'!V209)),"YES","NO")</f>
        <v>YES</v>
      </c>
    </row>
    <row r="869" spans="1:40" ht="15" customHeight="1">
      <c r="A869" s="262" t="s">
        <v>2659</v>
      </c>
      <c r="B869" s="263">
        <f>'Dry_Litterbag Placem_Collection'!A210</f>
        <v>208</v>
      </c>
      <c r="C869" s="263" t="str">
        <f>'Dry_Litterbag Placem_Collection'!B210</f>
        <v xml:space="preserve">Mwantimba
</v>
      </c>
      <c r="D869" s="263" t="s">
        <v>2659</v>
      </c>
      <c r="E869" s="263" t="s">
        <v>2526</v>
      </c>
      <c r="F869" s="263">
        <v>3</v>
      </c>
      <c r="G869" s="264" t="str">
        <f>'Dry_Litterbag Placem_Collection'!C210</f>
        <v>Wet_Ag4_CG3</v>
      </c>
      <c r="H869" s="273" t="s">
        <v>3651</v>
      </c>
      <c r="I869" s="274" t="s">
        <v>298</v>
      </c>
      <c r="J869" s="263" t="str">
        <f>IF(ISBLANK('Dry_Litterbag Placem_Collection'!M210),"","R"&amp;""&amp;'Dry_Litterbag Placem_Collection'!M210)</f>
        <v>R625</v>
      </c>
      <c r="K869" s="267">
        <f>IFERROR(INDEX('Green_rooibos initial weight'!$C$5:$C$1749,MATCH(J869, 'Green_rooibos initial weight'!$A$5:$A$1749,0)),"")</f>
        <v>2.1589999999999998</v>
      </c>
      <c r="L869" s="267">
        <f>IFERROR(K869-(TBIcalc!$Q$9+TBIcalc!$Q$10),"")</f>
        <v>1.9091999999999998</v>
      </c>
      <c r="M869" s="391">
        <f>AVERAGE(Ashed_controlls!$K$12:$K$14)</f>
        <v>2.2816647271287041</v>
      </c>
      <c r="N869" s="267">
        <f t="shared" si="66"/>
        <v>1.8656384570296585</v>
      </c>
      <c r="O869" s="267">
        <f>IF(IFERROR(INDEX('Both teabags AfterDry'!$D$3:$D$900,MATCH(J869,'Both teabags AfterDry'!$A$3:$A$900,0)),"")="","",(IFERROR(INDEX('Both teabags AfterDry'!$D$3:$D$900,MATCH(J869,'Both teabags AfterDry'!$A$3:$A$900,0)),"")))</f>
        <v>1.6539999999999999</v>
      </c>
      <c r="P869" s="267">
        <f>IFERROR(IF(O869&gt;0,O869-(TBIcalc!$Q$9),""),"")</f>
        <v>1.5033999999999998</v>
      </c>
      <c r="Q869" s="278">
        <f>IFERROR(INDEX('Ashed teabags dry'!$K$2:$K$825,MATCH(J869,'Ashed teabags dry'!$A$2:$A$825,0)),"")</f>
        <v>7.8721374045796031</v>
      </c>
      <c r="R869" s="278">
        <f t="shared" si="67"/>
        <v>1.3850502862595502</v>
      </c>
      <c r="S869" s="268">
        <f>'Dry_Litterbag Placem_Collection'!E210</f>
        <v>42942</v>
      </c>
      <c r="T869" s="268">
        <f>IF('Dry_Litterbag Placem_Collection'!G210="","",'Dry_Litterbag Placem_Collection'!G210)</f>
        <v>43004</v>
      </c>
      <c r="U869" s="269">
        <f t="shared" si="65"/>
        <v>62</v>
      </c>
      <c r="V869" s="267">
        <f t="shared" si="68"/>
        <v>0.40579999999999994</v>
      </c>
      <c r="W869" s="267">
        <f t="shared" si="69"/>
        <v>0.48058817077010829</v>
      </c>
      <c r="X869" s="271">
        <f>IFERROR(INDEX(Rainfall_Dry!$O$2:$O$217,MATCH(B869, Rainfall_Dry!$A$2:$A$217,0)),"")</f>
        <v>171.84818423999999</v>
      </c>
      <c r="Y869" s="260">
        <v>17.96</v>
      </c>
      <c r="Z869" s="260">
        <v>4.9199999999999982</v>
      </c>
      <c r="AA869" s="260">
        <v>77.12</v>
      </c>
      <c r="AB869" s="261" t="s">
        <v>2671</v>
      </c>
      <c r="AC869" s="260">
        <v>2.0220798422868409</v>
      </c>
      <c r="AD869">
        <f>IF('WetLitterbags placem_collection'!AB210="","",'WetLitterbags placem_collection'!AB210)</f>
        <v>7.9</v>
      </c>
      <c r="AE869">
        <f>IF('WetLitterbags placem_collection'!Z210="","",'WetLitterbags placem_collection'!Z210)</f>
        <v>7.9</v>
      </c>
      <c r="AF869" s="24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71">
        <f>IFERROR(AVERAGE('Dry_Litterbag Placem_Collection'!N210,'Dry_Litterbag Placem_Collection'!Q210),"")</f>
        <v>29.1</v>
      </c>
      <c r="AJ869">
        <v>-2.4395990190000001</v>
      </c>
      <c r="AK869">
        <v>34.838418959999998</v>
      </c>
      <c r="AL869" s="270" t="str">
        <f>IF(ISNUMBER(SEARCH("C", 'Dry_Litterbag Placem_Collection'!V210)),"YES","NO")</f>
        <v>NO</v>
      </c>
      <c r="AM869" s="270" t="str">
        <f>IF(ISNUMBER(SEARCH("H", 'Dry_Litterbag Placem_Collection'!V210)),"YES","NO")</f>
        <v>NO</v>
      </c>
      <c r="AN869" s="270" t="str">
        <f>IF(ISNUMBER(SEARCH("R", 'Dry_Litterbag Placem_Collection'!V210)),"YES","NO")</f>
        <v>YES</v>
      </c>
    </row>
    <row r="870" spans="1:40" ht="15" customHeight="1">
      <c r="A870" s="262" t="s">
        <v>2659</v>
      </c>
      <c r="B870" s="263">
        <f>'Dry_Litterbag Placem_Collection'!A211</f>
        <v>209</v>
      </c>
      <c r="C870" s="263" t="str">
        <f>'Dry_Litterbag Placem_Collection'!B211</f>
        <v xml:space="preserve">Mwantimba
</v>
      </c>
      <c r="D870" s="263" t="s">
        <v>2659</v>
      </c>
      <c r="E870" s="263" t="s">
        <v>2526</v>
      </c>
      <c r="F870" s="263">
        <v>2</v>
      </c>
      <c r="G870" s="264" t="str">
        <f>'Dry_Litterbag Placem_Collection'!C211</f>
        <v>Wet_P1_CG2</v>
      </c>
      <c r="H870" s="273" t="s">
        <v>3651</v>
      </c>
      <c r="I870" s="274" t="s">
        <v>298</v>
      </c>
      <c r="J870" s="263" t="str">
        <f>IF(ISBLANK('Dry_Litterbag Placem_Collection'!M211),"","R"&amp;""&amp;'Dry_Litterbag Placem_Collection'!M211)</f>
        <v>R647</v>
      </c>
      <c r="K870" s="267">
        <f>IFERROR(INDEX('Green_rooibos initial weight'!$C$5:$C$1749,MATCH(J870, 'Green_rooibos initial weight'!$A$5:$A$1749,0)),"")</f>
        <v>2.1640000000000001</v>
      </c>
      <c r="L870" s="267">
        <f>IFERROR(K870-(TBIcalc!$Q$9+TBIcalc!$Q$10),"")</f>
        <v>1.9142000000000001</v>
      </c>
      <c r="M870" s="391">
        <f>AVERAGE(Ashed_controlls!$K$12:$K$14)</f>
        <v>2.2816647271287041</v>
      </c>
      <c r="N870" s="267">
        <f t="shared" si="66"/>
        <v>1.8705243737933024</v>
      </c>
      <c r="O870" s="267">
        <f>IF(IFERROR(INDEX('Both teabags AfterDry'!$D$3:$D$900,MATCH(J870,'Both teabags AfterDry'!$A$3:$A$900,0)),"")="","",(IFERROR(INDEX('Both teabags AfterDry'!$D$3:$D$900,MATCH(J870,'Both teabags AfterDry'!$A$3:$A$900,0)),"")))</f>
        <v>1.6881999999999999</v>
      </c>
      <c r="P870" s="267">
        <f>IFERROR(IF(O870&gt;0,O870-(TBIcalc!$Q$9),""),"")</f>
        <v>1.5375999999999999</v>
      </c>
      <c r="Q870" s="278">
        <f>IFERROR(INDEX('Ashed teabags dry'!$K$2:$K$825,MATCH(J870,'Ashed teabags dry'!$A$2:$A$825,0)),"")</f>
        <v>3.8888888888889466</v>
      </c>
      <c r="R870" s="278">
        <f t="shared" si="67"/>
        <v>1.4778044444444434</v>
      </c>
      <c r="S870" s="268">
        <f>'Dry_Litterbag Placem_Collection'!E211</f>
        <v>42942</v>
      </c>
      <c r="T870" s="268">
        <f>IF('Dry_Litterbag Placem_Collection'!G211="","",'Dry_Litterbag Placem_Collection'!G211)</f>
        <v>43004</v>
      </c>
      <c r="U870" s="269">
        <f t="shared" si="65"/>
        <v>62</v>
      </c>
      <c r="V870" s="267">
        <f t="shared" si="68"/>
        <v>0.37660000000000027</v>
      </c>
      <c r="W870" s="267">
        <f t="shared" si="69"/>
        <v>0.39271992934885902</v>
      </c>
      <c r="X870" s="271">
        <f>IFERROR(INDEX(Rainfall_Dry!$O$2:$O$217,MATCH(B870, Rainfall_Dry!$A$2:$A$217,0)),"")</f>
        <v>171.84818423999999</v>
      </c>
      <c r="Y870" s="260">
        <v>31.214836424255054</v>
      </c>
      <c r="Z870" s="260">
        <v>11.377370285476141</v>
      </c>
      <c r="AA870" s="260">
        <v>57.407793290268799</v>
      </c>
      <c r="AB870" s="261" t="s">
        <v>2670</v>
      </c>
      <c r="AC870" s="260">
        <v>1.7337604731394776</v>
      </c>
      <c r="AD870">
        <f>IF('WetLitterbags placem_collection'!AB211="","",'WetLitterbags placem_collection'!AB211)</f>
        <v>5.13</v>
      </c>
      <c r="AE870">
        <f>IF('WetLitterbags placem_collection'!Z211="","",'WetLitterbags placem_collection'!Z211)</f>
        <v>5.13</v>
      </c>
      <c r="AF870" s="24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71">
        <f>IFERROR(AVERAGE('Dry_Litterbag Placem_Collection'!N211,'Dry_Litterbag Placem_Collection'!Q211),"")</f>
        <v>29.6</v>
      </c>
      <c r="AJ870">
        <v>-2.4396450349999999</v>
      </c>
      <c r="AK870">
        <v>34.83836599</v>
      </c>
      <c r="AL870" s="270" t="str">
        <f>IF(ISNUMBER(SEARCH("C", 'Dry_Litterbag Placem_Collection'!V211)),"YES","NO")</f>
        <v>NO</v>
      </c>
      <c r="AM870" s="270" t="str">
        <f>IF(ISNUMBER(SEARCH("H", 'Dry_Litterbag Placem_Collection'!V211)),"YES","NO")</f>
        <v>NO</v>
      </c>
      <c r="AN870" s="270" t="str">
        <f>IF(ISNUMBER(SEARCH("R", 'Dry_Litterbag Placem_Collection'!V211)),"YES","NO")</f>
        <v>YES</v>
      </c>
    </row>
    <row r="871" spans="1:40" ht="15" customHeight="1">
      <c r="A871" s="262" t="s">
        <v>2659</v>
      </c>
      <c r="B871" s="263">
        <f>'Dry_Litterbag Placem_Collection'!A212</f>
        <v>210</v>
      </c>
      <c r="C871" s="263" t="str">
        <f>'Dry_Litterbag Placem_Collection'!B212</f>
        <v xml:space="preserve">Mwantimba
</v>
      </c>
      <c r="D871" s="263" t="s">
        <v>2659</v>
      </c>
      <c r="E871" s="263" t="s">
        <v>2526</v>
      </c>
      <c r="F871" s="263">
        <v>4</v>
      </c>
      <c r="G871" s="264" t="str">
        <f>'Dry_Litterbag Placem_Collection'!C212</f>
        <v>Wet_P2_CG4</v>
      </c>
      <c r="H871" s="273" t="s">
        <v>3651</v>
      </c>
      <c r="I871" s="274" t="s">
        <v>298</v>
      </c>
      <c r="J871" s="263" t="str">
        <f>IF(ISBLANK('Dry_Litterbag Placem_Collection'!M212),"","R"&amp;""&amp;'Dry_Litterbag Placem_Collection'!M212)</f>
        <v>R599</v>
      </c>
      <c r="K871" s="267">
        <f>IFERROR(INDEX('Green_rooibos initial weight'!$C$5:$C$1749,MATCH(J871, 'Green_rooibos initial weight'!$A$5:$A$1749,0)),"")</f>
        <v>2.1760000000000002</v>
      </c>
      <c r="L871" s="267">
        <f>IFERROR(K871-(TBIcalc!$Q$9+TBIcalc!$Q$10),"")</f>
        <v>1.9262000000000001</v>
      </c>
      <c r="M871" s="391">
        <f>AVERAGE(Ashed_controlls!$K$12:$K$14)</f>
        <v>2.2816647271287041</v>
      </c>
      <c r="N871" s="267">
        <f t="shared" si="66"/>
        <v>1.8822505740260471</v>
      </c>
      <c r="O871" s="267">
        <f>IF(IFERROR(INDEX('Both teabags AfterDry'!$D$3:$D$900,MATCH(J871,'Both teabags AfterDry'!$A$3:$A$900,0)),"")="","",(IFERROR(INDEX('Both teabags AfterDry'!$D$3:$D$900,MATCH(J871,'Both teabags AfterDry'!$A$3:$A$900,0)),"")))</f>
        <v>1.742</v>
      </c>
      <c r="P871" s="267">
        <f>IFERROR(IF(O871&gt;0,O871-(TBIcalc!$Q$9),""),"")</f>
        <v>1.5913999999999999</v>
      </c>
      <c r="Q871" s="278">
        <f>IFERROR(INDEX('Ashed teabags dry'!$K$2:$K$825,MATCH(J871,'Ashed teabags dry'!$A$2:$A$825,0)),"")</f>
        <v>3.5837651122624985</v>
      </c>
      <c r="R871" s="278">
        <f t="shared" si="67"/>
        <v>1.5343679620034545</v>
      </c>
      <c r="S871" s="268">
        <f>'Dry_Litterbag Placem_Collection'!E212</f>
        <v>42942</v>
      </c>
      <c r="T871" s="268">
        <f>IF('Dry_Litterbag Placem_Collection'!G212="","",'Dry_Litterbag Placem_Collection'!G212)</f>
        <v>43004</v>
      </c>
      <c r="U871" s="269">
        <f t="shared" si="65"/>
        <v>62</v>
      </c>
      <c r="V871" s="267">
        <f t="shared" si="68"/>
        <v>0.33480000000000021</v>
      </c>
      <c r="W871" s="267">
        <f t="shared" si="69"/>
        <v>0.34788261202259263</v>
      </c>
      <c r="X871" s="271">
        <f>IFERROR(INDEX(Rainfall_Dry!$O$2:$O$217,MATCH(B871, Rainfall_Dry!$A$2:$A$217,0)),"")</f>
        <v>171.84818423999999</v>
      </c>
      <c r="Y871" s="260">
        <v>33.96</v>
      </c>
      <c r="Z871" s="260">
        <v>8.9200000000000017</v>
      </c>
      <c r="AA871" s="260">
        <v>57.12</v>
      </c>
      <c r="AB871" s="261" t="s">
        <v>2670</v>
      </c>
      <c r="AC871" s="260">
        <v>2.072055199605717</v>
      </c>
      <c r="AD871">
        <f>IF('WetLitterbags placem_collection'!AB212="","",'WetLitterbags placem_collection'!AB212)</f>
        <v>15.2</v>
      </c>
      <c r="AE871">
        <f>IF('WetLitterbags placem_collection'!Z212="","",'WetLitterbags placem_collection'!Z212)</f>
        <v>12.2</v>
      </c>
      <c r="AF871" s="24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71">
        <f>IFERROR(AVERAGE('Dry_Litterbag Placem_Collection'!N212,'Dry_Litterbag Placem_Collection'!Q212),"")</f>
        <v>27.5</v>
      </c>
      <c r="AJ871">
        <v>-2.4396949910000001</v>
      </c>
      <c r="AK871">
        <v>34.838574029999997</v>
      </c>
      <c r="AL871" s="270" t="str">
        <f>IF(ISNUMBER(SEARCH("C", 'Dry_Litterbag Placem_Collection'!V212)),"YES","NO")</f>
        <v>NO</v>
      </c>
      <c r="AM871" s="270" t="str">
        <f>IF(ISNUMBER(SEARCH("H", 'Dry_Litterbag Placem_Collection'!V212)),"YES","NO")</f>
        <v>NO</v>
      </c>
      <c r="AN871" s="270" t="str">
        <f>IF(ISNUMBER(SEARCH("R", 'Dry_Litterbag Placem_Collection'!V212)),"YES","NO")</f>
        <v>NO</v>
      </c>
    </row>
    <row r="872" spans="1:40" ht="15" customHeight="1">
      <c r="A872" s="262" t="s">
        <v>2659</v>
      </c>
      <c r="B872" s="263">
        <f>'Dry_Litterbag Placem_Collection'!A213</f>
        <v>211</v>
      </c>
      <c r="C872" s="263" t="str">
        <f>'Dry_Litterbag Placem_Collection'!B213</f>
        <v xml:space="preserve">Mwantimba
</v>
      </c>
      <c r="D872" s="263" t="s">
        <v>2659</v>
      </c>
      <c r="E872" s="263" t="s">
        <v>2526</v>
      </c>
      <c r="F872" s="263">
        <v>1</v>
      </c>
      <c r="G872" s="264" t="str">
        <f>'Dry_Litterbag Placem_Collection'!C213</f>
        <v>Wet_P3_CG1</v>
      </c>
      <c r="H872" s="273" t="s">
        <v>3651</v>
      </c>
      <c r="I872" s="274" t="s">
        <v>298</v>
      </c>
      <c r="J872" s="263" t="str">
        <f>IF(ISBLANK('Dry_Litterbag Placem_Collection'!M213),"","R"&amp;""&amp;'Dry_Litterbag Placem_Collection'!M213)</f>
        <v>R670</v>
      </c>
      <c r="K872" s="267">
        <f>IFERROR(INDEX('Green_rooibos initial weight'!$C$5:$C$1749,MATCH(J872, 'Green_rooibos initial weight'!$A$5:$A$1749,0)),"")</f>
        <v>2.1059999999999999</v>
      </c>
      <c r="L872" s="267">
        <f>IFERROR(K872-(TBIcalc!$Q$9+TBIcalc!$Q$10),"")</f>
        <v>1.8561999999999999</v>
      </c>
      <c r="M872" s="391">
        <f>AVERAGE(Ashed_controlls!$K$12:$K$14)</f>
        <v>2.2816647271287041</v>
      </c>
      <c r="N872" s="267">
        <f t="shared" si="66"/>
        <v>1.8138477393350367</v>
      </c>
      <c r="O872" s="267">
        <f>IF(IFERROR(INDEX('Both teabags AfterDry'!$D$3:$D$900,MATCH(J872,'Both teabags AfterDry'!$A$3:$A$900,0)),"")="","",(IFERROR(INDEX('Both teabags AfterDry'!$D$3:$D$900,MATCH(J872,'Both teabags AfterDry'!$A$3:$A$900,0)),"")))</f>
        <v>1.4770000000000001</v>
      </c>
      <c r="P872" s="267">
        <f>IFERROR(IF(O872&gt;0,O872-(TBIcalc!$Q$9),""),"")</f>
        <v>1.3264</v>
      </c>
      <c r="Q872" s="278">
        <f>IFERROR(INDEX('Ashed teabags dry'!$K$2:$K$825,MATCH(J872,'Ashed teabags dry'!$A$2:$A$825,0)),"")</f>
        <v>4.1974169741701504</v>
      </c>
      <c r="R872" s="278">
        <f t="shared" si="67"/>
        <v>1.2707254612546071</v>
      </c>
      <c r="S872" s="268">
        <f>'Dry_Litterbag Placem_Collection'!E213</f>
        <v>42942</v>
      </c>
      <c r="T872" s="268">
        <f>IF('Dry_Litterbag Placem_Collection'!G213="","",'Dry_Litterbag Placem_Collection'!G213)</f>
        <v>43004</v>
      </c>
      <c r="U872" s="269">
        <f t="shared" si="65"/>
        <v>62</v>
      </c>
      <c r="V872" s="267">
        <f t="shared" si="68"/>
        <v>0.52979999999999983</v>
      </c>
      <c r="W872" s="267">
        <f t="shared" si="69"/>
        <v>0.54312227808042968</v>
      </c>
      <c r="X872" s="271">
        <f>IFERROR(INDEX(Rainfall_Dry!$O$2:$O$217,MATCH(B872, Rainfall_Dry!$A$2:$A$217,0)),"")</f>
        <v>171.84818423999999</v>
      </c>
      <c r="Y872" s="260">
        <v>39.96</v>
      </c>
      <c r="Z872" s="260">
        <v>12.920000000000002</v>
      </c>
      <c r="AA872" s="260">
        <v>47.12</v>
      </c>
      <c r="AB872" s="261" t="s">
        <v>2674</v>
      </c>
      <c r="AC872" s="260">
        <v>1.6549531789058647</v>
      </c>
      <c r="AD872">
        <f>IF('WetLitterbags placem_collection'!AB213="","",'WetLitterbags placem_collection'!AB213)</f>
        <v>13.8</v>
      </c>
      <c r="AE872">
        <f>IF('WetLitterbags placem_collection'!Z213="","",'WetLitterbags placem_collection'!Z213)</f>
        <v>17.399999999999999</v>
      </c>
      <c r="AF872" s="24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71">
        <f>IFERROR(AVERAGE('Dry_Litterbag Placem_Collection'!N213,'Dry_Litterbag Placem_Collection'!Q213),"")</f>
        <v>28</v>
      </c>
      <c r="AJ872">
        <v>-2.439403972</v>
      </c>
      <c r="AK872">
        <v>34.838404959999998</v>
      </c>
      <c r="AL872" s="270" t="str">
        <f>IF(ISNUMBER(SEARCH("C", 'Dry_Litterbag Placem_Collection'!V213)),"YES","NO")</f>
        <v>NO</v>
      </c>
      <c r="AM872" s="270" t="str">
        <f>IF(ISNUMBER(SEARCH("H", 'Dry_Litterbag Placem_Collection'!V213)),"YES","NO")</f>
        <v>NO</v>
      </c>
      <c r="AN872" s="270" t="str">
        <f>IF(ISNUMBER(SEARCH("R", 'Dry_Litterbag Placem_Collection'!V213)),"YES","NO")</f>
        <v>NO</v>
      </c>
    </row>
    <row r="873" spans="1:40" ht="15" customHeight="1">
      <c r="A873" s="262" t="s">
        <v>2659</v>
      </c>
      <c r="B873" s="263">
        <f>'Dry_Litterbag Placem_Collection'!A214</f>
        <v>215</v>
      </c>
      <c r="C873" s="263" t="str">
        <f>'Dry_Litterbag Placem_Collection'!B214</f>
        <v xml:space="preserve">Mwantimba
</v>
      </c>
      <c r="D873" s="263" t="s">
        <v>2659</v>
      </c>
      <c r="E873" s="263" t="s">
        <v>2526</v>
      </c>
      <c r="F873" s="263">
        <v>3</v>
      </c>
      <c r="G873" s="264" t="str">
        <f>'Dry_Litterbag Placem_Collection'!C214</f>
        <v>Wet_W3_CG1</v>
      </c>
      <c r="H873" s="273" t="s">
        <v>3651</v>
      </c>
      <c r="I873" s="274" t="s">
        <v>298</v>
      </c>
      <c r="J873" s="263" t="str">
        <f>IF(ISBLANK('Dry_Litterbag Placem_Collection'!M214),"","R"&amp;""&amp;'Dry_Litterbag Placem_Collection'!M214)</f>
        <v>R256</v>
      </c>
      <c r="K873" s="267">
        <f>IFERROR(INDEX('Green_rooibos initial weight'!$C$5:$C$1749,MATCH(J873, 'Green_rooibos initial weight'!$A$5:$A$1749,0)),"")</f>
        <v>2.2000000000000002</v>
      </c>
      <c r="L873" s="267">
        <f>IFERROR(K873-(TBIcalc!$Q$9+TBIcalc!$Q$10),"")</f>
        <v>1.9502000000000002</v>
      </c>
      <c r="M873" s="391">
        <f>AVERAGE(Ashed_controlls!$K$12:$K$14)</f>
        <v>2.2816647271287041</v>
      </c>
      <c r="N873" s="267">
        <f t="shared" si="66"/>
        <v>1.9057029744915361</v>
      </c>
      <c r="O873" s="267">
        <f>IF(IFERROR(INDEX('Both teabags AfterDry'!$D$3:$D$900,MATCH(J873,'Both teabags AfterDry'!$A$3:$A$900,0)),"")="","",(IFERROR(INDEX('Both teabags AfterDry'!$D$3:$D$900,MATCH(J873,'Both teabags AfterDry'!$A$3:$A$900,0)),"")))</f>
        <v>1.5882000000000001</v>
      </c>
      <c r="P873" s="267">
        <f>IFERROR(IF(O873&gt;0,O873-(TBIcalc!$Q$9),""),"")</f>
        <v>1.4376</v>
      </c>
      <c r="Q873" s="278">
        <f>IFERROR(INDEX('Ashed teabags dry'!$K$2:$K$825,MATCH(J873,'Ashed teabags dry'!$A$2:$A$825,0)),"")</f>
        <v>7.9981069569333094</v>
      </c>
      <c r="R873" s="278">
        <f t="shared" si="67"/>
        <v>1.3226192143871267</v>
      </c>
      <c r="S873" s="268">
        <f>'Dry_Litterbag Placem_Collection'!E214</f>
        <v>42942</v>
      </c>
      <c r="T873" s="268">
        <f>IF('Dry_Litterbag Placem_Collection'!G214="","",'Dry_Litterbag Placem_Collection'!G214)</f>
        <v>43004</v>
      </c>
      <c r="U873" s="269">
        <f t="shared" si="65"/>
        <v>62</v>
      </c>
      <c r="V873" s="267">
        <f t="shared" si="68"/>
        <v>0.51260000000000017</v>
      </c>
      <c r="W873" s="267">
        <f t="shared" si="69"/>
        <v>0.58308376010440943</v>
      </c>
      <c r="X873" s="271" t="str">
        <f>IFERROR(INDEX(Rainfall_Dry!$O$2:$O$217,MATCH(B873, Rainfall_Dry!$A$2:$A$217,0)),"")</f>
        <v/>
      </c>
      <c r="Y873" s="260">
        <v>27.96</v>
      </c>
      <c r="Z873" s="260">
        <v>4.9200000000000017</v>
      </c>
      <c r="AA873" s="260">
        <v>67.12</v>
      </c>
      <c r="AB873" s="261" t="s">
        <v>2670</v>
      </c>
      <c r="AC873" s="260">
        <v>1.0437161163134547</v>
      </c>
      <c r="AD873">
        <f>IF('WetLitterbags placem_collection'!AB214="","",'WetLitterbags placem_collection'!AB214)</f>
        <v>7.9</v>
      </c>
      <c r="AE873">
        <f>IF('WetLitterbags placem_collection'!Z214="","",'WetLitterbags placem_collection'!Z214)</f>
        <v>7.9</v>
      </c>
      <c r="AF873" s="24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71">
        <f>IFERROR(AVERAGE('Dry_Litterbag Placem_Collection'!N214,'Dry_Litterbag Placem_Collection'!Q214),"")</f>
        <v>28.75</v>
      </c>
      <c r="AJ873">
        <v>-2.4395990190000001</v>
      </c>
      <c r="AK873">
        <v>34.838418959999998</v>
      </c>
      <c r="AL873" s="270" t="str">
        <f>IF(ISNUMBER(SEARCH("C", 'Dry_Litterbag Placem_Collection'!V214)),"YES","NO")</f>
        <v>NO</v>
      </c>
      <c r="AM873" s="270" t="str">
        <f>IF(ISNUMBER(SEARCH("H", 'Dry_Litterbag Placem_Collection'!V214)),"YES","NO")</f>
        <v>NO</v>
      </c>
      <c r="AN873" s="270" t="str">
        <f>IF(ISNUMBER(SEARCH("R", 'Dry_Litterbag Placem_Collection'!V214)),"YES","NO")</f>
        <v>YES</v>
      </c>
    </row>
    <row r="874" spans="1:40" ht="15" customHeight="1">
      <c r="A874" s="262" t="s">
        <v>2659</v>
      </c>
      <c r="B874" s="263">
        <f>'Dry_Litterbag Placem_Collection'!A215</f>
        <v>212</v>
      </c>
      <c r="C874" s="263" t="str">
        <f>'Dry_Litterbag Placem_Collection'!B215</f>
        <v xml:space="preserve">Mwantimba
</v>
      </c>
      <c r="D874" s="263" t="s">
        <v>2659</v>
      </c>
      <c r="E874" s="263" t="s">
        <v>2526</v>
      </c>
      <c r="F874" s="263">
        <v>4</v>
      </c>
      <c r="G874" s="264" t="str">
        <f>'Dry_Litterbag Placem_Collection'!C215</f>
        <v>Wet_P4_CG3</v>
      </c>
      <c r="H874" s="273" t="s">
        <v>3651</v>
      </c>
      <c r="I874" s="274" t="s">
        <v>298</v>
      </c>
      <c r="J874" s="263" t="str">
        <f>IF(ISBLANK('Dry_Litterbag Placem_Collection'!M215),"","R"&amp;""&amp;'Dry_Litterbag Placem_Collection'!M215)</f>
        <v>R658</v>
      </c>
      <c r="K874" s="267">
        <f>IFERROR(INDEX('Green_rooibos initial weight'!$C$5:$C$1749,MATCH(J874, 'Green_rooibos initial weight'!$A$5:$A$1749,0)),"")</f>
        <v>2.2080000000000002</v>
      </c>
      <c r="L874" s="267">
        <f>IFERROR(K874-(TBIcalc!$Q$9+TBIcalc!$Q$10),"")</f>
        <v>1.9582000000000002</v>
      </c>
      <c r="M874" s="391">
        <f>AVERAGE(Ashed_controlls!$K$12:$K$14)</f>
        <v>2.2816647271287041</v>
      </c>
      <c r="N874" s="267">
        <f t="shared" si="66"/>
        <v>1.913520441313366</v>
      </c>
      <c r="O874" s="267">
        <f>IF(IFERROR(INDEX('Both teabags AfterDry'!$D$3:$D$900,MATCH(J874,'Both teabags AfterDry'!$A$3:$A$900,0)),"")="","",(IFERROR(INDEX('Both teabags AfterDry'!$D$3:$D$900,MATCH(J874,'Both teabags AfterDry'!$A$3:$A$900,0)),"")))</f>
        <v>1.655</v>
      </c>
      <c r="P874" s="267">
        <f>IFERROR(IF(O874&gt;0,O874-(TBIcalc!$Q$9),""),"")</f>
        <v>1.5044</v>
      </c>
      <c r="Q874" s="278">
        <f>IFERROR(INDEX('Ashed teabags dry'!$K$2:$K$825,MATCH(J874,'Ashed teabags dry'!$A$2:$A$825,0)),"")</f>
        <v>3.7141513869305309</v>
      </c>
      <c r="R874" s="278">
        <f t="shared" si="67"/>
        <v>1.4485243065350171</v>
      </c>
      <c r="S874" s="268">
        <f>'Dry_Litterbag Placem_Collection'!E215</f>
        <v>42942</v>
      </c>
      <c r="T874" s="268">
        <f>IF('Dry_Litterbag Placem_Collection'!G215="","",'Dry_Litterbag Placem_Collection'!G215)</f>
        <v>43004</v>
      </c>
      <c r="U874" s="269">
        <f t="shared" si="65"/>
        <v>62</v>
      </c>
      <c r="V874" s="267">
        <f t="shared" si="68"/>
        <v>0.4538000000000002</v>
      </c>
      <c r="W874" s="267">
        <f t="shared" si="69"/>
        <v>0.46499613477834889</v>
      </c>
      <c r="X874" s="271">
        <f>IFERROR(INDEX(Rainfall_Dry!$O$2:$O$217,MATCH(B874, Rainfall_Dry!$A$2:$A$217,0)),"")</f>
        <v>171.84818423999999</v>
      </c>
      <c r="Y874" s="260">
        <v>21.96</v>
      </c>
      <c r="Z874" s="260">
        <v>4.9199999999999982</v>
      </c>
      <c r="AA874" s="260">
        <v>73.12</v>
      </c>
      <c r="AB874" s="261" t="s">
        <v>2670</v>
      </c>
      <c r="AC874" s="260">
        <v>1.2416954164613114</v>
      </c>
      <c r="AD874">
        <f>IF('WetLitterbags placem_collection'!AB215="","",'WetLitterbags placem_collection'!AB215)</f>
        <v>15.2</v>
      </c>
      <c r="AE874">
        <f>IF('WetLitterbags placem_collection'!Z215="","",'WetLitterbags placem_collection'!Z215)</f>
        <v>12.2</v>
      </c>
      <c r="AF874" s="24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71">
        <f>IFERROR(AVERAGE('Dry_Litterbag Placem_Collection'!N215,'Dry_Litterbag Placem_Collection'!Q215),"")</f>
        <v>28.25</v>
      </c>
      <c r="AJ874">
        <v>-2.4396949910000001</v>
      </c>
      <c r="AK874">
        <v>34.838574029999997</v>
      </c>
      <c r="AL874" s="270" t="str">
        <f>IF(ISNUMBER(SEARCH("C", 'Dry_Litterbag Placem_Collection'!V215)),"YES","NO")</f>
        <v>NO</v>
      </c>
      <c r="AM874" s="270" t="str">
        <f>IF(ISNUMBER(SEARCH("H", 'Dry_Litterbag Placem_Collection'!V215)),"YES","NO")</f>
        <v>NO</v>
      </c>
      <c r="AN874" s="270" t="str">
        <f>IF(ISNUMBER(SEARCH("R", 'Dry_Litterbag Placem_Collection'!V215)),"YES","NO")</f>
        <v>YES</v>
      </c>
    </row>
    <row r="875" spans="1:40" ht="15" customHeight="1">
      <c r="A875" s="262" t="s">
        <v>2659</v>
      </c>
      <c r="B875" s="263">
        <f>'Dry_Litterbag Placem_Collection'!A216</f>
        <v>213</v>
      </c>
      <c r="C875" s="263" t="str">
        <f>'Dry_Litterbag Placem_Collection'!B216</f>
        <v>Handajega</v>
      </c>
      <c r="D875" s="263" t="s">
        <v>2659</v>
      </c>
      <c r="E875" s="263" t="s">
        <v>2526</v>
      </c>
      <c r="F875" s="263">
        <v>3</v>
      </c>
      <c r="G875" s="264" t="str">
        <f>'Dry_Litterbag Placem_Collection'!C216</f>
        <v>Wet_W1_CG4</v>
      </c>
      <c r="H875" s="273" t="s">
        <v>3651</v>
      </c>
      <c r="I875" s="274" t="s">
        <v>298</v>
      </c>
      <c r="J875" s="263" t="str">
        <f>IF(ISBLANK('Dry_Litterbag Placem_Collection'!M216),"","R"&amp;""&amp;'Dry_Litterbag Placem_Collection'!M216)</f>
        <v>R699</v>
      </c>
      <c r="K875" s="267">
        <f>IFERROR(INDEX('Green_rooibos initial weight'!$C$5:$C$1749,MATCH(J875, 'Green_rooibos initial weight'!$A$5:$A$1749,0)),"")</f>
        <v>2.157</v>
      </c>
      <c r="L875" s="267">
        <f>IFERROR(K875-(TBIcalc!$Q$9+TBIcalc!$Q$10),"")</f>
        <v>1.9072</v>
      </c>
      <c r="M875" s="391">
        <f>AVERAGE(Ashed_controlls!$K$12:$K$14)</f>
        <v>2.2816647271287041</v>
      </c>
      <c r="N875" s="267">
        <f t="shared" si="66"/>
        <v>1.8636840903242013</v>
      </c>
      <c r="O875" s="267">
        <f>IF(IFERROR(INDEX('Both teabags AfterDry'!$D$3:$D$900,MATCH(J875,'Both teabags AfterDry'!$A$3:$A$900,0)),"")="","",(IFERROR(INDEX('Both teabags AfterDry'!$D$3:$D$900,MATCH(J875,'Both teabags AfterDry'!$A$3:$A$900,0)),"")))</f>
        <v>1.748</v>
      </c>
      <c r="P875" s="267">
        <f>IFERROR(IF(O875&gt;0,O875-(TBIcalc!$Q$9),""),"")</f>
        <v>1.5973999999999999</v>
      </c>
      <c r="Q875" s="278">
        <f>IFERROR(INDEX('Ashed teabags dry'!$K$2:$K$825,MATCH(J875,'Ashed teabags dry'!$A$2:$A$825,0)),"")</f>
        <v>5.3180914512921857</v>
      </c>
      <c r="R875" s="278">
        <f t="shared" si="67"/>
        <v>1.5124488071570585</v>
      </c>
      <c r="S875" s="268">
        <f>'Dry_Litterbag Placem_Collection'!E216</f>
        <v>42942</v>
      </c>
      <c r="T875" s="268">
        <f>IF('Dry_Litterbag Placem_Collection'!G216="","",'Dry_Litterbag Placem_Collection'!G216)</f>
        <v>43004</v>
      </c>
      <c r="U875" s="269">
        <f t="shared" si="65"/>
        <v>62</v>
      </c>
      <c r="V875" s="267">
        <f t="shared" si="68"/>
        <v>0.30980000000000008</v>
      </c>
      <c r="W875" s="267">
        <f t="shared" si="69"/>
        <v>0.35123528316714281</v>
      </c>
      <c r="X875" s="271">
        <f>IFERROR(INDEX(Rainfall_Dry!$O$2:$O$217,MATCH(B875, Rainfall_Dry!$A$2:$A$217,0)),"")</f>
        <v>171.84818423999999</v>
      </c>
      <c r="Y875" s="260">
        <v>23.96</v>
      </c>
      <c r="Z875" s="260">
        <v>4.9199999999999982</v>
      </c>
      <c r="AA875" s="260">
        <v>71.12</v>
      </c>
      <c r="AB875" s="261" t="s">
        <v>2670</v>
      </c>
      <c r="AC875" s="260">
        <v>3.30913750616067</v>
      </c>
      <c r="AD875">
        <f>IF('WetLitterbags placem_collection'!AB216="","",'WetLitterbags placem_collection'!AB216)</f>
        <v>7.9</v>
      </c>
      <c r="AE875">
        <f>IF('WetLitterbags placem_collection'!Z216="","",'WetLitterbags placem_collection'!Z216)</f>
        <v>7.9</v>
      </c>
      <c r="AF875" s="24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71">
        <f>IFERROR(AVERAGE('Dry_Litterbag Placem_Collection'!N216,'Dry_Litterbag Placem_Collection'!Q216),"")</f>
        <v>29.1</v>
      </c>
      <c r="AJ875">
        <v>-2.4396949910000001</v>
      </c>
      <c r="AK875">
        <v>34.838574029999997</v>
      </c>
      <c r="AL875" s="270" t="str">
        <f>IF(ISNUMBER(SEARCH("C", 'Dry_Litterbag Placem_Collection'!V216)),"YES","NO")</f>
        <v>NO</v>
      </c>
      <c r="AM875" s="270" t="str">
        <f>IF(ISNUMBER(SEARCH("H", 'Dry_Litterbag Placem_Collection'!V216)),"YES","NO")</f>
        <v>NO</v>
      </c>
      <c r="AN875" s="270" t="str">
        <f>IF(ISNUMBER(SEARCH("R", 'Dry_Litterbag Placem_Collection'!V216)),"YES","NO")</f>
        <v>NO</v>
      </c>
    </row>
    <row r="876" spans="1:40" ht="15" customHeight="1">
      <c r="A876" s="262" t="s">
        <v>2659</v>
      </c>
      <c r="B876" s="263">
        <f>'Dry_Litterbag Placem_Collection'!A217</f>
        <v>214</v>
      </c>
      <c r="C876" s="263" t="str">
        <f>'Dry_Litterbag Placem_Collection'!B217</f>
        <v>Handajega</v>
      </c>
      <c r="D876" s="263" t="s">
        <v>2659</v>
      </c>
      <c r="E876" s="263" t="s">
        <v>2526</v>
      </c>
      <c r="F876" s="263">
        <v>1</v>
      </c>
      <c r="G876" s="264" t="str">
        <f>'Dry_Litterbag Placem_Collection'!C217</f>
        <v>Wet_W2_CG3</v>
      </c>
      <c r="H876" s="273" t="s">
        <v>3651</v>
      </c>
      <c r="I876" s="274" t="s">
        <v>298</v>
      </c>
      <c r="J876" s="263" t="str">
        <f>IF(ISBLANK('Dry_Litterbag Placem_Collection'!M217),"","R"&amp;""&amp;'Dry_Litterbag Placem_Collection'!M217)</f>
        <v>R663</v>
      </c>
      <c r="K876" s="267">
        <f>IFERROR(INDEX('Green_rooibos initial weight'!$C$5:$C$1749,MATCH(J876, 'Green_rooibos initial weight'!$A$5:$A$1749,0)),"")</f>
        <v>2.105</v>
      </c>
      <c r="L876" s="267">
        <f>IFERROR(K876-(TBIcalc!$Q$9+TBIcalc!$Q$10),"")</f>
        <v>1.8552</v>
      </c>
      <c r="M876" s="391">
        <f>AVERAGE(Ashed_controlls!$K$12:$K$14)</f>
        <v>2.2816647271287041</v>
      </c>
      <c r="N876" s="267">
        <f t="shared" si="66"/>
        <v>1.8128705559823082</v>
      </c>
      <c r="O876" s="267">
        <f>IF(IFERROR(INDEX('Both teabags AfterDry'!$D$3:$D$900,MATCH(J876,'Both teabags AfterDry'!$A$3:$A$900,0)),"")="","",(IFERROR(INDEX('Both teabags AfterDry'!$D$3:$D$900,MATCH(J876,'Both teabags AfterDry'!$A$3:$A$900,0)),"")))</f>
        <v>1.6679999999999999</v>
      </c>
      <c r="P876" s="267">
        <f>IFERROR(IF(O876&gt;0,O876-(TBIcalc!$Q$9),""),"")</f>
        <v>1.5173999999999999</v>
      </c>
      <c r="Q876" s="278">
        <f>IFERROR(INDEX('Ashed teabags dry'!$K$2:$K$825,MATCH(J876,'Ashed teabags dry'!$A$2:$A$825,0)),"")</f>
        <v>3.297724105899698</v>
      </c>
      <c r="R876" s="278">
        <f t="shared" si="67"/>
        <v>1.4673603344170778</v>
      </c>
      <c r="S876" s="268">
        <f>'Dry_Litterbag Placem_Collection'!E217</f>
        <v>42942</v>
      </c>
      <c r="T876" s="268">
        <f>IF('Dry_Litterbag Placem_Collection'!G217="","",'Dry_Litterbag Placem_Collection'!G217)</f>
        <v>43004</v>
      </c>
      <c r="U876" s="269">
        <f t="shared" si="65"/>
        <v>62</v>
      </c>
      <c r="V876" s="267">
        <f t="shared" si="68"/>
        <v>0.3378000000000001</v>
      </c>
      <c r="W876" s="267">
        <f t="shared" si="69"/>
        <v>0.34551022156523037</v>
      </c>
      <c r="X876" s="271">
        <f>IFERROR(INDEX(Rainfall_Dry!$O$2:$O$217,MATCH(B876, Rainfall_Dry!$A$2:$A$217,0)),"")</f>
        <v>171.84818423999999</v>
      </c>
      <c r="Y876" s="260">
        <v>25.96</v>
      </c>
      <c r="Z876" s="260">
        <v>8.9200000000000017</v>
      </c>
      <c r="AA876" s="260">
        <v>65.12</v>
      </c>
      <c r="AB876" s="261" t="s">
        <v>2670</v>
      </c>
      <c r="AC876" s="260">
        <v>1.614588467225234</v>
      </c>
      <c r="AD876">
        <f>IF('WetLitterbags placem_collection'!AB217="","",'WetLitterbags placem_collection'!AB217)</f>
        <v>13.8</v>
      </c>
      <c r="AE876">
        <f>IF('WetLitterbags placem_collection'!Z217="","",'WetLitterbags placem_collection'!Z217)</f>
        <v>17.399999999999999</v>
      </c>
      <c r="AF876" s="24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71">
        <f>IFERROR(AVERAGE('Dry_Litterbag Placem_Collection'!N217,'Dry_Litterbag Placem_Collection'!Q217),"")</f>
        <v>29.8</v>
      </c>
      <c r="AJ876">
        <v>-2.439403972</v>
      </c>
      <c r="AK876">
        <v>34.838404959999998</v>
      </c>
      <c r="AL876" s="270" t="str">
        <f>IF(ISNUMBER(SEARCH("C", 'Dry_Litterbag Placem_Collection'!V217)),"YES","NO")</f>
        <v>NO</v>
      </c>
      <c r="AM876" s="270" t="str">
        <f>IF(ISNUMBER(SEARCH("H", 'Dry_Litterbag Placem_Collection'!V217)),"YES","NO")</f>
        <v>NO</v>
      </c>
      <c r="AN876" s="270" t="str">
        <f>IF(ISNUMBER(SEARCH("R", 'Dry_Litterbag Placem_Collection'!V217)),"YES","NO")</f>
        <v>NO</v>
      </c>
    </row>
    <row r="877" spans="1:40" ht="15" customHeight="1">
      <c r="A877" s="262" t="s">
        <v>2659</v>
      </c>
      <c r="B877" s="263">
        <f>'Dry_Litterbag Placem_Collection'!A218</f>
        <v>216</v>
      </c>
      <c r="C877" s="263" t="str">
        <f>'Dry_Litterbag Placem_Collection'!B218</f>
        <v>Handajega</v>
      </c>
      <c r="D877" s="263" t="s">
        <v>2659</v>
      </c>
      <c r="E877" s="263" t="s">
        <v>2526</v>
      </c>
      <c r="F877" s="263">
        <v>2</v>
      </c>
      <c r="G877" s="264" t="str">
        <f>'Dry_Litterbag Placem_Collection'!C218</f>
        <v>Wet_W4_CG2</v>
      </c>
      <c r="H877" s="273" t="s">
        <v>3651</v>
      </c>
      <c r="I877" s="274" t="s">
        <v>298</v>
      </c>
      <c r="J877" s="263" t="str">
        <f>IF(ISBLANK('Dry_Litterbag Placem_Collection'!M218),"","R"&amp;""&amp;'Dry_Litterbag Placem_Collection'!M218)</f>
        <v>R622</v>
      </c>
      <c r="K877" s="267">
        <f>IFERROR(INDEX('Green_rooibos initial weight'!$C$5:$C$1749,MATCH(J877, 'Green_rooibos initial weight'!$A$5:$A$1749,0)),"")</f>
        <v>2.1640000000000001</v>
      </c>
      <c r="L877" s="267">
        <f>IFERROR(K877-(TBIcalc!$Q$9+TBIcalc!$Q$10),"")</f>
        <v>1.9142000000000001</v>
      </c>
      <c r="M877" s="391">
        <f>AVERAGE(Ashed_controlls!$K$12:$K$14)</f>
        <v>2.2816647271287041</v>
      </c>
      <c r="N877" s="267">
        <f t="shared" si="66"/>
        <v>1.8705243737933024</v>
      </c>
      <c r="O877" s="267">
        <f>IF(IFERROR(INDEX('Both teabags AfterDry'!$D$3:$D$900,MATCH(J877,'Both teabags AfterDry'!$A$3:$A$900,0)),"")="","",(IFERROR(INDEX('Both teabags AfterDry'!$D$3:$D$900,MATCH(J877,'Both teabags AfterDry'!$A$3:$A$900,0)),"")))</f>
        <v>1.6419999999999999</v>
      </c>
      <c r="P877" s="267">
        <f>IFERROR(IF(O877&gt;0,O877-(TBIcalc!$Q$9),""),"")</f>
        <v>1.4913999999999998</v>
      </c>
      <c r="Q877" s="278">
        <f>IFERROR(INDEX('Ashed teabags dry'!$K$2:$K$825,MATCH(J877,'Ashed teabags dry'!$A$2:$A$825,0)),"")</f>
        <v>4.6979865771810632</v>
      </c>
      <c r="R877" s="278">
        <f t="shared" si="67"/>
        <v>1.4213342281879215</v>
      </c>
      <c r="S877" s="268">
        <f>'Dry_Litterbag Placem_Collection'!E218</f>
        <v>42942</v>
      </c>
      <c r="T877" s="268">
        <f>IF('Dry_Litterbag Placem_Collection'!G218="","",'Dry_Litterbag Placem_Collection'!G218)</f>
        <v>43004</v>
      </c>
      <c r="U877" s="269">
        <f t="shared" si="65"/>
        <v>62</v>
      </c>
      <c r="V877" s="267">
        <f t="shared" si="68"/>
        <v>0.42280000000000029</v>
      </c>
      <c r="W877" s="267">
        <f t="shared" si="69"/>
        <v>0.44919014560538084</v>
      </c>
      <c r="X877" s="271">
        <f>IFERROR(INDEX(Rainfall_Dry!$O$2:$O$217,MATCH(B877, Rainfall_Dry!$A$2:$A$217,0)),"")</f>
        <v>171.84818423999999</v>
      </c>
      <c r="Y877" s="260">
        <v>25.96</v>
      </c>
      <c r="Z877" s="260">
        <v>8.9200000000000017</v>
      </c>
      <c r="AA877" s="260">
        <v>65.12</v>
      </c>
      <c r="AB877" s="261" t="s">
        <v>2670</v>
      </c>
      <c r="AC877" s="260">
        <v>1.6991621488417901</v>
      </c>
      <c r="AD877">
        <f>IF('WetLitterbags placem_collection'!AB218="","",'WetLitterbags placem_collection'!AB218)</f>
        <v>5.13</v>
      </c>
      <c r="AE877">
        <f>IF('WetLitterbags placem_collection'!Z218="","",'WetLitterbags placem_collection'!Z218)</f>
        <v>5.13</v>
      </c>
      <c r="AF877" s="24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71">
        <f>IFERROR(AVERAGE('Dry_Litterbag Placem_Collection'!N218,'Dry_Litterbag Placem_Collection'!Q218),"")</f>
        <v>29.85</v>
      </c>
      <c r="AJ877">
        <v>-2.4396450349999999</v>
      </c>
      <c r="AK877">
        <v>34.83836599</v>
      </c>
      <c r="AL877" s="270" t="str">
        <f>IF(ISNUMBER(SEARCH("C", 'Dry_Litterbag Placem_Collection'!V218)),"YES","NO")</f>
        <v>NO</v>
      </c>
      <c r="AM877" s="270" t="str">
        <f>IF(ISNUMBER(SEARCH("H", 'Dry_Litterbag Placem_Collection'!V218)),"YES","NO")</f>
        <v>NO</v>
      </c>
      <c r="AN877" s="270" t="str">
        <f>IF(ISNUMBER(SEARCH("R", 'Dry_Litterbag Placem_Collection'!V218)),"YES","NO")</f>
        <v>NO</v>
      </c>
    </row>
    <row r="878" spans="1:40" ht="15" customHeight="1">
      <c r="A878" s="262" t="s">
        <v>2659</v>
      </c>
      <c r="B878" s="263">
        <f>'Dry_Litterbag Placem_Collection'!A219</f>
        <v>217</v>
      </c>
      <c r="C878" s="263" t="str">
        <f>'Dry_Litterbag Placem_Collection'!B219</f>
        <v>Seronera</v>
      </c>
      <c r="D878" s="263" t="s">
        <v>2659</v>
      </c>
      <c r="E878" s="263" t="s">
        <v>2526</v>
      </c>
      <c r="F878" s="263">
        <v>1</v>
      </c>
      <c r="G878" s="264" t="str">
        <f>'Dry_Litterbag Placem_Collection'!C219</f>
        <v>Local1_CG1</v>
      </c>
      <c r="H878" s="273" t="s">
        <v>3651</v>
      </c>
      <c r="I878" s="274" t="s">
        <v>298</v>
      </c>
      <c r="J878" s="263" t="str">
        <f>IF(ISBLANK('Dry_Litterbag Placem_Collection'!M219),"","R"&amp;""&amp;'Dry_Litterbag Placem_Collection'!M219)</f>
        <v>R608</v>
      </c>
      <c r="K878" s="267">
        <f>IFERROR(INDEX('Green_rooibos initial weight'!$C$5:$C$1749,MATCH(J878, 'Green_rooibos initial weight'!$A$5:$A$1749,0)),"")</f>
        <v>2.1440000000000001</v>
      </c>
      <c r="L878" s="267">
        <f>IFERROR(K878-(TBIcalc!$Q$9+TBIcalc!$Q$10),"")</f>
        <v>1.8942000000000001</v>
      </c>
      <c r="M878" s="391">
        <f>AVERAGE(Ashed_controlls!$K$12:$K$14)</f>
        <v>2.2816647271287041</v>
      </c>
      <c r="N878" s="267">
        <f t="shared" si="66"/>
        <v>1.8509807067387283</v>
      </c>
      <c r="O878" s="267">
        <f>IF(IFERROR(INDEX('Both teabags AfterDry'!$D$3:$D$900,MATCH(J878,'Both teabags AfterDry'!$A$3:$A$900,0)),"")="","",(IFERROR(INDEX('Both teabags AfterDry'!$D$3:$D$900,MATCH(J878,'Both teabags AfterDry'!$A$3:$A$900,0)),"")))</f>
        <v>1.6455</v>
      </c>
      <c r="P878" s="267">
        <f>IFERROR(IF(O878&gt;0,O878-(TBIcalc!$Q$9),""),"")</f>
        <v>1.4948999999999999</v>
      </c>
      <c r="Q878" s="278">
        <f>IFERROR(INDEX('Ashed teabags dry'!$K$2:$K$825,MATCH(J878,'Ashed teabags dry'!$A$2:$A$825,0)),"")</f>
        <v>3.468950749465225</v>
      </c>
      <c r="R878" s="278">
        <f t="shared" si="67"/>
        <v>1.4430426552462443</v>
      </c>
      <c r="S878" s="268">
        <f>'Dry_Litterbag Placem_Collection'!E219</f>
        <v>42942</v>
      </c>
      <c r="T878" s="268">
        <f>IF('Dry_Litterbag Placem_Collection'!G219="","",'Dry_Litterbag Placem_Collection'!G219)</f>
        <v>43004</v>
      </c>
      <c r="U878" s="269">
        <f t="shared" si="65"/>
        <v>62</v>
      </c>
      <c r="V878" s="267">
        <f t="shared" si="68"/>
        <v>0.39930000000000021</v>
      </c>
      <c r="W878" s="267">
        <f t="shared" si="69"/>
        <v>0.40793805149248397</v>
      </c>
      <c r="X878" s="271">
        <f>IFERROR(INDEX(Rainfall_Dry!$O$2:$O$217,MATCH(B878, Rainfall_Dry!$A$2:$A$217,0)),"")</f>
        <v>171.84818423999999</v>
      </c>
      <c r="Y878" s="260">
        <v>29.076539101497506</v>
      </c>
      <c r="Z878" s="260">
        <v>7.1963394342762079</v>
      </c>
      <c r="AA878" s="260">
        <v>63.727121464226286</v>
      </c>
      <c r="AB878" s="260" t="s">
        <v>2670</v>
      </c>
      <c r="AC878" s="260">
        <v>1.0994578610152781</v>
      </c>
      <c r="AD878">
        <f>IF('WetLitterbags placem_collection'!AB219="","",'WetLitterbags placem_collection'!AB219)</f>
        <v>13.8</v>
      </c>
      <c r="AE878">
        <f>IF('WetLitterbags placem_collection'!Z219="","",'WetLitterbags placem_collection'!Z219)</f>
        <v>17.399999999999999</v>
      </c>
      <c r="AF878" s="24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71">
        <f>IFERROR(AVERAGE('Dry_Litterbag Placem_Collection'!N219,'Dry_Litterbag Placem_Collection'!Q219),"")</f>
        <v>31.25</v>
      </c>
      <c r="AJ878">
        <v>-2.439403972</v>
      </c>
      <c r="AK878">
        <v>34.838404959999998</v>
      </c>
      <c r="AL878" s="270" t="str">
        <f>IF(ISNUMBER(SEARCH("C", 'Dry_Litterbag Placem_Collection'!V219)),"YES","NO")</f>
        <v>NO</v>
      </c>
      <c r="AM878" s="270" t="str">
        <f>IF(ISNUMBER(SEARCH("H", 'Dry_Litterbag Placem_Collection'!V219)),"YES","NO")</f>
        <v>NO</v>
      </c>
      <c r="AN878" s="270" t="str">
        <f>IF(ISNUMBER(SEARCH("R", 'Dry_Litterbag Placem_Collection'!V219)),"YES","NO")</f>
        <v>NO</v>
      </c>
    </row>
    <row r="879" spans="1:40" ht="15" customHeight="1">
      <c r="A879" s="262" t="s">
        <v>2659</v>
      </c>
      <c r="B879" s="263">
        <f>'Dry_Litterbag Placem_Collection'!A220</f>
        <v>218</v>
      </c>
      <c r="C879" s="263" t="str">
        <f>'Dry_Litterbag Placem_Collection'!B220</f>
        <v>Seronera</v>
      </c>
      <c r="D879" s="263" t="s">
        <v>2659</v>
      </c>
      <c r="E879" s="263" t="s">
        <v>2526</v>
      </c>
      <c r="F879" s="263">
        <v>2</v>
      </c>
      <c r="G879" s="264" t="str">
        <f>'Dry_Litterbag Placem_Collection'!C220</f>
        <v>Local2_CG2</v>
      </c>
      <c r="H879" s="273" t="s">
        <v>3651</v>
      </c>
      <c r="I879" s="274" t="s">
        <v>298</v>
      </c>
      <c r="J879" s="263" t="str">
        <f>IF(ISBLANK('Dry_Litterbag Placem_Collection'!M220),"","R"&amp;""&amp;'Dry_Litterbag Placem_Collection'!M220)</f>
        <v>R639</v>
      </c>
      <c r="K879" s="267">
        <f>IFERROR(INDEX('Green_rooibos initial weight'!$C$5:$C$1749,MATCH(J879, 'Green_rooibos initial weight'!$A$5:$A$1749,0)),"")</f>
        <v>2.0840000000000001</v>
      </c>
      <c r="L879" s="267">
        <f>IFERROR(K879-(TBIcalc!$Q$9+TBIcalc!$Q$10),"")</f>
        <v>1.8342000000000001</v>
      </c>
      <c r="M879" s="391">
        <f>AVERAGE(Ashed_controlls!$K$12:$K$14)</f>
        <v>2.2816647271287041</v>
      </c>
      <c r="N879" s="267">
        <f t="shared" si="66"/>
        <v>1.7923497055750053</v>
      </c>
      <c r="O879" s="267">
        <f>IF(IFERROR(INDEX('Both teabags AfterDry'!$D$3:$D$900,MATCH(J879,'Both teabags AfterDry'!$A$3:$A$900,0)),"")="","",(IFERROR(INDEX('Both teabags AfterDry'!$D$3:$D$900,MATCH(J879,'Both teabags AfterDry'!$A$3:$A$900,0)),"")))</f>
        <v>1.6519999999999999</v>
      </c>
      <c r="P879" s="267">
        <f>IFERROR(IF(O879&gt;0,O879-(TBIcalc!$Q$9),""),"")</f>
        <v>1.5013999999999998</v>
      </c>
      <c r="Q879" s="278">
        <f>IFERROR(INDEX('Ashed teabags dry'!$K$2:$K$825,MATCH(J879,'Ashed teabags dry'!$A$2:$A$825,0)),"")</f>
        <v>4.9473202015572753</v>
      </c>
      <c r="R879" s="278">
        <f t="shared" si="67"/>
        <v>1.4271209344938189</v>
      </c>
      <c r="S879" s="268">
        <f>'Dry_Litterbag Placem_Collection'!E220</f>
        <v>42942</v>
      </c>
      <c r="T879" s="268">
        <f>IF('Dry_Litterbag Placem_Collection'!G220="","",'Dry_Litterbag Placem_Collection'!G220)</f>
        <v>43004</v>
      </c>
      <c r="U879" s="269">
        <f t="shared" si="65"/>
        <v>62</v>
      </c>
      <c r="V879" s="267">
        <f t="shared" si="68"/>
        <v>0.33280000000000021</v>
      </c>
      <c r="W879" s="267">
        <f t="shared" si="69"/>
        <v>0.36522877108118634</v>
      </c>
      <c r="X879" s="271">
        <f>IFERROR(INDEX(Rainfall_Dry!$O$2:$O$217,MATCH(B879, Rainfall_Dry!$A$2:$A$217,0)),"")</f>
        <v>171.84818423999999</v>
      </c>
      <c r="Y879" s="260">
        <v>21.072635135135137</v>
      </c>
      <c r="Z879" s="260">
        <v>7.3057432432432412</v>
      </c>
      <c r="AA879" s="260">
        <v>71.621621621621614</v>
      </c>
      <c r="AB879" s="260" t="s">
        <v>2670</v>
      </c>
      <c r="AC879" s="260">
        <v>1.4512074913750617</v>
      </c>
      <c r="AD879">
        <f>IF('WetLitterbags placem_collection'!AB220="","",'WetLitterbags placem_collection'!AB220)</f>
        <v>5.13</v>
      </c>
      <c r="AE879">
        <f>IF('WetLitterbags placem_collection'!Z220="","",'WetLitterbags placem_collection'!Z220)</f>
        <v>5.13</v>
      </c>
      <c r="AF879" s="24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71">
        <f>IFERROR(AVERAGE('Dry_Litterbag Placem_Collection'!N220,'Dry_Litterbag Placem_Collection'!Q220),"")</f>
        <v>29.15</v>
      </c>
      <c r="AJ879">
        <v>-2.4396450349999999</v>
      </c>
      <c r="AK879">
        <v>34.83836599</v>
      </c>
      <c r="AL879" s="270" t="str">
        <f>IF(ISNUMBER(SEARCH("C", 'Dry_Litterbag Placem_Collection'!V220)),"YES","NO")</f>
        <v>NO</v>
      </c>
      <c r="AM879" s="270" t="str">
        <f>IF(ISNUMBER(SEARCH("H", 'Dry_Litterbag Placem_Collection'!V220)),"YES","NO")</f>
        <v>NO</v>
      </c>
      <c r="AN879" s="270" t="str">
        <f>IF(ISNUMBER(SEARCH("R", 'Dry_Litterbag Placem_Collection'!V220)),"YES","NO")</f>
        <v>YES</v>
      </c>
    </row>
    <row r="880" spans="1:40" ht="15" customHeight="1">
      <c r="A880" s="262" t="s">
        <v>2659</v>
      </c>
      <c r="B880" s="263">
        <f>'Dry_Litterbag Placem_Collection'!A221</f>
        <v>219</v>
      </c>
      <c r="C880" s="263" t="str">
        <f>'Dry_Litterbag Placem_Collection'!B221</f>
        <v>Seronera</v>
      </c>
      <c r="D880" s="263" t="s">
        <v>2659</v>
      </c>
      <c r="E880" s="263" t="s">
        <v>2526</v>
      </c>
      <c r="F880" s="263">
        <v>3</v>
      </c>
      <c r="G880" s="264" t="str">
        <f>'Dry_Litterbag Placem_Collection'!C221</f>
        <v>Local3_CG3</v>
      </c>
      <c r="H880" s="273" t="s">
        <v>3651</v>
      </c>
      <c r="I880" s="274" t="s">
        <v>298</v>
      </c>
      <c r="J880" s="263" t="str">
        <f>IF(ISBLANK('Dry_Litterbag Placem_Collection'!M221),"","R"&amp;""&amp;'Dry_Litterbag Placem_Collection'!M221)</f>
        <v>R246</v>
      </c>
      <c r="K880" s="267">
        <f>IFERROR(INDEX('Green_rooibos initial weight'!$C$5:$C$1749,MATCH(J880, 'Green_rooibos initial weight'!$A$5:$A$1749,0)),"")</f>
        <v>2.2170000000000001</v>
      </c>
      <c r="L880" s="267">
        <f>IFERROR(K880-(TBIcalc!$Q$9+TBIcalc!$Q$10),"")</f>
        <v>1.9672000000000001</v>
      </c>
      <c r="M880" s="391">
        <f>AVERAGE(Ashed_controlls!$K$12:$K$14)</f>
        <v>2.2816647271287041</v>
      </c>
      <c r="N880" s="267">
        <f t="shared" si="66"/>
        <v>1.9223150914879241</v>
      </c>
      <c r="O880" s="267">
        <f>IF(IFERROR(INDEX('Both teabags AfterDry'!$D$3:$D$900,MATCH(J880,'Both teabags AfterDry'!$A$3:$A$900,0)),"")="","",(IFERROR(INDEX('Both teabags AfterDry'!$D$3:$D$900,MATCH(J880,'Both teabags AfterDry'!$A$3:$A$900,0)),"")))</f>
        <v>1.639</v>
      </c>
      <c r="P880" s="267">
        <f>IFERROR(IF(O880&gt;0,O880-(TBIcalc!$Q$9),""),"")</f>
        <v>1.4883999999999999</v>
      </c>
      <c r="Q880" s="278">
        <f>IFERROR(INDEX('Ashed teabags dry'!$K$2:$K$825,MATCH(J880,'Ashed teabags dry'!$A$2:$A$825,0)),"")</f>
        <v>7.5489727663639679</v>
      </c>
      <c r="R880" s="278">
        <f t="shared" si="67"/>
        <v>1.3760410893454387</v>
      </c>
      <c r="S880" s="268">
        <f>'Dry_Litterbag Placem_Collection'!E221</f>
        <v>42942</v>
      </c>
      <c r="T880" s="268">
        <f>IF('Dry_Litterbag Placem_Collection'!G221="","",'Dry_Litterbag Placem_Collection'!G221)</f>
        <v>43004</v>
      </c>
      <c r="U880" s="269">
        <f t="shared" si="65"/>
        <v>62</v>
      </c>
      <c r="V880" s="267">
        <f t="shared" si="68"/>
        <v>0.47880000000000011</v>
      </c>
      <c r="W880" s="267">
        <f t="shared" si="69"/>
        <v>0.54627400214248545</v>
      </c>
      <c r="X880" s="271">
        <f>IFERROR(INDEX(Rainfall_Dry!$O$2:$O$217,MATCH(B880, Rainfall_Dry!$A$2:$A$217,0)),"")</f>
        <v>171.84818423999999</v>
      </c>
      <c r="Y880" s="260">
        <v>21.96</v>
      </c>
      <c r="Z880" s="260">
        <v>4.9199999999999982</v>
      </c>
      <c r="AA880" s="260">
        <v>73.12</v>
      </c>
      <c r="AB880" s="260" t="s">
        <v>2670</v>
      </c>
      <c r="AC880" s="260">
        <v>1.4012321340561851</v>
      </c>
      <c r="AD880">
        <f>IF('WetLitterbags placem_collection'!AB221="","",'WetLitterbags placem_collection'!AB221)</f>
        <v>7.9</v>
      </c>
      <c r="AE880">
        <f>IF('WetLitterbags placem_collection'!Z221="","",'WetLitterbags placem_collection'!Z221)</f>
        <v>7.9</v>
      </c>
      <c r="AF880" s="24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71">
        <f>IFERROR(AVERAGE('Dry_Litterbag Placem_Collection'!N221,'Dry_Litterbag Placem_Collection'!Q221),"")</f>
        <v>32.75</v>
      </c>
      <c r="AJ880">
        <v>-2.4395990190000001</v>
      </c>
      <c r="AK880">
        <v>34.838418959999998</v>
      </c>
      <c r="AL880" s="270" t="str">
        <f>IF(ISNUMBER(SEARCH("C", 'Dry_Litterbag Placem_Collection'!V221)),"YES","NO")</f>
        <v>NO</v>
      </c>
      <c r="AM880" s="270" t="str">
        <f>IF(ISNUMBER(SEARCH("H", 'Dry_Litterbag Placem_Collection'!V221)),"YES","NO")</f>
        <v>NO</v>
      </c>
      <c r="AN880" s="270" t="str">
        <f>IF(ISNUMBER(SEARCH("R", 'Dry_Litterbag Placem_Collection'!V221)),"YES","NO")</f>
        <v>NO</v>
      </c>
    </row>
    <row r="881" spans="1:40" ht="15" customHeight="1">
      <c r="A881" s="262" t="s">
        <v>2659</v>
      </c>
      <c r="B881" s="263">
        <f>'Dry_Litterbag Placem_Collection'!A222</f>
        <v>220</v>
      </c>
      <c r="C881" s="263" t="str">
        <f>'Dry_Litterbag Placem_Collection'!B222</f>
        <v>Seronera</v>
      </c>
      <c r="D881" s="263" t="s">
        <v>2659</v>
      </c>
      <c r="E881" s="263" t="s">
        <v>2526</v>
      </c>
      <c r="F881" s="263">
        <v>4</v>
      </c>
      <c r="G881" s="264" t="str">
        <f>'Dry_Litterbag Placem_Collection'!C222</f>
        <v>Local4_CG4</v>
      </c>
      <c r="H881" s="273" t="s">
        <v>3651</v>
      </c>
      <c r="I881" s="274" t="s">
        <v>298</v>
      </c>
      <c r="J881" s="263" t="str">
        <f>IF(ISBLANK('Dry_Litterbag Placem_Collection'!M222),"","R"&amp;""&amp;'Dry_Litterbag Placem_Collection'!M222)</f>
        <v>R672</v>
      </c>
      <c r="K881" s="267">
        <f>IFERROR(INDEX('Green_rooibos initial weight'!$C$5:$C$1749,MATCH(J881, 'Green_rooibos initial weight'!$A$5:$A$1749,0)),"")</f>
        <v>2.161</v>
      </c>
      <c r="L881" s="267">
        <f>IFERROR(K881-(TBIcalc!$Q$9+TBIcalc!$Q$10),"")</f>
        <v>1.9112</v>
      </c>
      <c r="M881" s="391">
        <f>AVERAGE(Ashed_controlls!$K$12:$K$14)</f>
        <v>2.2816647271287041</v>
      </c>
      <c r="N881" s="267">
        <f t="shared" si="66"/>
        <v>1.8675928237351163</v>
      </c>
      <c r="O881" s="267" t="str">
        <f>IF(IFERROR(INDEX('Both teabags AfterDry'!$D$3:$D$900,MATCH(J881,'Both teabags AfterDry'!$A$3:$A$900,0)),"")="","",(IFERROR(INDEX('Both teabags AfterDry'!$D$3:$D$900,MATCH(J881,'Both teabags AfterDry'!$A$3:$A$900,0)),"")))</f>
        <v/>
      </c>
      <c r="P881" s="267" t="str">
        <f>IFERROR(IF(O881&gt;0,O881-(TBIcalc!$Q$9),""),"")</f>
        <v/>
      </c>
      <c r="Q881" s="278" t="str">
        <f>IFERROR(INDEX('Ashed teabags dry'!$K$2:$K$825,MATCH(J881,'Ashed teabags dry'!$A$2:$A$825,0)),"")</f>
        <v/>
      </c>
      <c r="R881" s="278" t="str">
        <f t="shared" si="67"/>
        <v/>
      </c>
      <c r="S881" s="268">
        <f>'Dry_Litterbag Placem_Collection'!E222</f>
        <v>42942</v>
      </c>
      <c r="T881" s="268">
        <f>IF('Dry_Litterbag Placem_Collection'!G222="","",'Dry_Litterbag Placem_Collection'!G222)</f>
        <v>43004</v>
      </c>
      <c r="U881" s="269">
        <f t="shared" si="65"/>
        <v>62</v>
      </c>
      <c r="V881" s="267" t="str">
        <f t="shared" si="68"/>
        <v/>
      </c>
      <c r="W881" s="267" t="str">
        <f t="shared" si="69"/>
        <v/>
      </c>
      <c r="X881" s="271">
        <f>IFERROR(INDEX(Rainfall_Dry!$O$2:$O$217,MATCH(B881, Rainfall_Dry!$A$2:$A$217,0)),"")</f>
        <v>171.84818423999999</v>
      </c>
      <c r="Y881" s="260">
        <v>15.960000000000003</v>
      </c>
      <c r="Z881" s="260">
        <v>6.9199999999999982</v>
      </c>
      <c r="AA881" s="260">
        <v>77.11999999999999</v>
      </c>
      <c r="AB881" s="260" t="s">
        <v>2671</v>
      </c>
      <c r="AC881" s="260">
        <v>0.60547067520946207</v>
      </c>
      <c r="AD881">
        <f>IF('WetLitterbags placem_collection'!AB222="","",'WetLitterbags placem_collection'!AB222)</f>
        <v>15.2</v>
      </c>
      <c r="AE881">
        <f>IF('WetLitterbags placem_collection'!Z222="","",'WetLitterbags placem_collection'!Z222)</f>
        <v>12.2</v>
      </c>
      <c r="AF881" s="24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71">
        <f>IFERROR(AVERAGE('Dry_Litterbag Placem_Collection'!N222,'Dry_Litterbag Placem_Collection'!Q222),"")</f>
        <v>33.65</v>
      </c>
      <c r="AJ881">
        <v>-2.4396949910000001</v>
      </c>
      <c r="AK881">
        <v>34.838574029999997</v>
      </c>
      <c r="AL881" s="270" t="str">
        <f>IF(ISNUMBER(SEARCH("C", 'Dry_Litterbag Placem_Collection'!V222)),"YES","NO")</f>
        <v>NO</v>
      </c>
      <c r="AM881" s="270" t="str">
        <f>IF(ISNUMBER(SEARCH("H", 'Dry_Litterbag Placem_Collection'!V222)),"YES","NO")</f>
        <v>NO</v>
      </c>
      <c r="AN881" s="270" t="str">
        <f>IF(ISNUMBER(SEARCH("R", 'Dry_Litterbag Placem_Collection'!V222)),"YES","NO")</f>
        <v>NO</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B105" activePane="bottomRight" state="frozen"/>
      <selection pane="topRight" activeCell="B1" sqref="B1"/>
      <selection pane="bottomLeft" activeCell="A3" sqref="A3"/>
      <selection pane="bottomRight" activeCell="M116" sqref="M116"/>
    </sheetView>
  </sheetViews>
  <sheetFormatPr baseColWidth="10" defaultColWidth="11.44140625" defaultRowHeight="14.4"/>
  <cols>
    <col min="1" max="1" width="4.5546875" customWidth="1"/>
    <col min="16" max="16" width="25.88671875" customWidth="1"/>
    <col min="23" max="23" width="24" customWidth="1"/>
  </cols>
  <sheetData>
    <row r="1" spans="1:23">
      <c r="A1" s="404" t="s">
        <v>2154</v>
      </c>
      <c r="B1" s="408"/>
      <c r="C1" s="408"/>
      <c r="D1" s="405"/>
      <c r="E1" s="404" t="s">
        <v>2155</v>
      </c>
      <c r="F1" s="405"/>
      <c r="G1" s="404" t="s">
        <v>2156</v>
      </c>
      <c r="H1" s="405"/>
      <c r="I1" s="117" t="s">
        <v>2157</v>
      </c>
      <c r="J1" s="404" t="s">
        <v>2158</v>
      </c>
      <c r="K1" s="408"/>
      <c r="L1" s="408"/>
      <c r="M1" s="405"/>
      <c r="N1" s="404" t="s">
        <v>2459</v>
      </c>
      <c r="O1" s="405"/>
      <c r="P1" s="406" t="s">
        <v>2527</v>
      </c>
      <c r="Q1" s="404" t="s">
        <v>2458</v>
      </c>
      <c r="R1" s="405"/>
      <c r="S1" s="409" t="s">
        <v>3522</v>
      </c>
      <c r="T1" s="410"/>
      <c r="U1" s="410"/>
      <c r="V1" s="411"/>
      <c r="W1" s="406" t="s">
        <v>2528</v>
      </c>
    </row>
    <row r="2" spans="1:23">
      <c r="A2" s="118" t="s">
        <v>2164</v>
      </c>
      <c r="B2" s="119" t="s">
        <v>2165</v>
      </c>
      <c r="C2" s="119" t="s">
        <v>2166</v>
      </c>
      <c r="D2" s="119" t="s">
        <v>2167</v>
      </c>
      <c r="E2" s="117" t="s">
        <v>1141</v>
      </c>
      <c r="F2" s="117" t="s">
        <v>2168</v>
      </c>
      <c r="G2" s="117" t="s">
        <v>1141</v>
      </c>
      <c r="H2" s="117" t="s">
        <v>2168</v>
      </c>
      <c r="I2" s="117" t="s">
        <v>2169</v>
      </c>
      <c r="J2" s="117" t="s">
        <v>1147</v>
      </c>
      <c r="K2" s="117" t="s">
        <v>298</v>
      </c>
      <c r="L2" s="117" t="s">
        <v>2170</v>
      </c>
      <c r="M2" s="117" t="s">
        <v>2171</v>
      </c>
      <c r="N2" s="118" t="s">
        <v>2172</v>
      </c>
      <c r="O2" s="118" t="s">
        <v>2173</v>
      </c>
      <c r="P2" s="407"/>
      <c r="Q2" s="118" t="s">
        <v>2172</v>
      </c>
      <c r="R2" s="118" t="s">
        <v>2173</v>
      </c>
      <c r="S2" s="253" t="s">
        <v>1147</v>
      </c>
      <c r="T2" s="253" t="s">
        <v>298</v>
      </c>
      <c r="U2" s="253" t="s">
        <v>2174</v>
      </c>
      <c r="V2" s="253" t="s">
        <v>2171</v>
      </c>
      <c r="W2" s="407"/>
    </row>
    <row r="3" spans="1:23">
      <c r="A3" s="121">
        <v>1</v>
      </c>
      <c r="B3" s="185" t="s">
        <v>2176</v>
      </c>
      <c r="C3" s="185" t="s">
        <v>2177</v>
      </c>
      <c r="D3" s="122" t="s">
        <v>2178</v>
      </c>
      <c r="E3" s="124">
        <v>42938</v>
      </c>
      <c r="F3" s="125"/>
      <c r="G3" s="124">
        <v>43007</v>
      </c>
      <c r="H3" s="125">
        <v>0.35694444444444445</v>
      </c>
      <c r="I3" s="121">
        <v>1250</v>
      </c>
      <c r="J3" s="123">
        <v>407</v>
      </c>
      <c r="K3" s="123">
        <v>811</v>
      </c>
      <c r="L3" s="123">
        <v>377</v>
      </c>
      <c r="M3" s="123">
        <v>204</v>
      </c>
      <c r="N3" s="123">
        <v>26.4</v>
      </c>
      <c r="O3" s="123">
        <v>4</v>
      </c>
      <c r="P3" s="123" t="s">
        <v>2512</v>
      </c>
      <c r="Q3" s="252">
        <v>27.4</v>
      </c>
      <c r="R3" s="127">
        <v>3.6</v>
      </c>
      <c r="S3" s="127" t="s">
        <v>2179</v>
      </c>
      <c r="T3" s="127" t="s">
        <v>2179</v>
      </c>
      <c r="U3" s="127" t="s">
        <v>2187</v>
      </c>
      <c r="V3" s="127"/>
      <c r="W3" s="123"/>
    </row>
    <row r="4" spans="1:23">
      <c r="A4" s="121">
        <v>2</v>
      </c>
      <c r="B4" s="185" t="s">
        <v>2176</v>
      </c>
      <c r="C4" s="185" t="s">
        <v>2183</v>
      </c>
      <c r="D4" s="122" t="s">
        <v>2178</v>
      </c>
      <c r="E4" s="123"/>
      <c r="F4" s="123"/>
      <c r="G4" s="125"/>
      <c r="H4" s="125"/>
      <c r="I4" s="123">
        <v>855</v>
      </c>
      <c r="J4" s="123"/>
      <c r="K4" s="123"/>
      <c r="L4" s="123"/>
      <c r="M4" s="123"/>
      <c r="N4" s="123"/>
      <c r="O4" s="123"/>
      <c r="P4" s="123"/>
      <c r="Q4" s="123"/>
      <c r="R4" s="123"/>
      <c r="S4" s="123"/>
      <c r="T4" s="123"/>
      <c r="U4" s="123"/>
      <c r="V4" s="123"/>
      <c r="W4" s="123"/>
    </row>
    <row r="5" spans="1:23">
      <c r="A5" s="121">
        <v>3</v>
      </c>
      <c r="B5" s="185" t="s">
        <v>2176</v>
      </c>
      <c r="C5" s="185" t="s">
        <v>2184</v>
      </c>
      <c r="D5" s="122" t="s">
        <v>2178</v>
      </c>
      <c r="E5" s="124">
        <v>42938</v>
      </c>
      <c r="F5" s="125">
        <v>0.3125</v>
      </c>
      <c r="G5" s="124">
        <v>43007</v>
      </c>
      <c r="H5" s="125" t="s">
        <v>3531</v>
      </c>
      <c r="I5" s="132">
        <v>1249</v>
      </c>
      <c r="J5" s="123">
        <v>259</v>
      </c>
      <c r="K5" s="123">
        <v>742</v>
      </c>
      <c r="L5" s="123">
        <v>44</v>
      </c>
      <c r="M5" s="123">
        <v>283</v>
      </c>
      <c r="N5" s="127">
        <v>23.9</v>
      </c>
      <c r="O5" s="123">
        <v>2.9</v>
      </c>
      <c r="P5" s="123" t="s">
        <v>2512</v>
      </c>
      <c r="Q5" s="123">
        <v>26.1</v>
      </c>
      <c r="R5" s="123">
        <v>3.7</v>
      </c>
      <c r="S5" s="123" t="s">
        <v>2195</v>
      </c>
      <c r="T5" s="123" t="s">
        <v>2195</v>
      </c>
      <c r="U5" s="123" t="s">
        <v>2187</v>
      </c>
      <c r="V5" s="123"/>
      <c r="W5" s="123"/>
    </row>
    <row r="6" spans="1:23">
      <c r="A6" s="121">
        <v>4</v>
      </c>
      <c r="B6" s="185" t="s">
        <v>2176</v>
      </c>
      <c r="C6" s="185" t="s">
        <v>2186</v>
      </c>
      <c r="D6" s="122" t="s">
        <v>2178</v>
      </c>
      <c r="E6" s="124">
        <v>42938</v>
      </c>
      <c r="F6" s="125">
        <v>0.30902777777777779</v>
      </c>
      <c r="G6" s="124">
        <v>43007</v>
      </c>
      <c r="H6" s="125">
        <v>0.35138888888888892</v>
      </c>
      <c r="I6" s="123">
        <v>857</v>
      </c>
      <c r="J6" s="123">
        <v>255</v>
      </c>
      <c r="K6" s="123">
        <v>661</v>
      </c>
      <c r="L6" s="123">
        <v>357</v>
      </c>
      <c r="M6" s="123">
        <v>298</v>
      </c>
      <c r="N6" s="127">
        <v>26.8</v>
      </c>
      <c r="O6" s="123">
        <v>1.3</v>
      </c>
      <c r="P6" s="123" t="s">
        <v>2512</v>
      </c>
      <c r="Q6" s="123">
        <v>27.9</v>
      </c>
      <c r="R6" s="123">
        <v>3.2</v>
      </c>
      <c r="S6" s="123"/>
      <c r="T6" s="123" t="s">
        <v>2179</v>
      </c>
      <c r="U6" s="123"/>
      <c r="V6" s="123"/>
      <c r="W6" s="123"/>
    </row>
    <row r="7" spans="1:23">
      <c r="A7" s="121">
        <v>5</v>
      </c>
      <c r="B7" s="185" t="s">
        <v>2176</v>
      </c>
      <c r="C7" s="185" t="s">
        <v>2189</v>
      </c>
      <c r="D7" s="122" t="s">
        <v>2178</v>
      </c>
      <c r="E7" s="124">
        <v>42938</v>
      </c>
      <c r="F7" s="125">
        <v>0.3125</v>
      </c>
      <c r="G7" s="123"/>
      <c r="H7" s="123"/>
      <c r="I7" s="123">
        <v>858</v>
      </c>
      <c r="J7" s="123">
        <v>122</v>
      </c>
      <c r="K7" s="123">
        <v>724</v>
      </c>
      <c r="L7" s="164">
        <v>734</v>
      </c>
      <c r="M7" s="123">
        <v>226</v>
      </c>
      <c r="N7" s="123">
        <v>26.7</v>
      </c>
      <c r="O7" s="127">
        <v>3.2</v>
      </c>
      <c r="P7" s="123" t="s">
        <v>2512</v>
      </c>
      <c r="Q7" s="123"/>
      <c r="R7" s="123"/>
      <c r="S7" s="123"/>
      <c r="T7" s="123"/>
      <c r="U7" s="123"/>
      <c r="V7" s="123"/>
      <c r="W7" s="123" t="s">
        <v>3524</v>
      </c>
    </row>
    <row r="8" spans="1:23">
      <c r="A8" s="121">
        <v>6</v>
      </c>
      <c r="B8" s="185" t="s">
        <v>2176</v>
      </c>
      <c r="C8" s="185" t="s">
        <v>2190</v>
      </c>
      <c r="D8" s="122" t="s">
        <v>2178</v>
      </c>
      <c r="E8" s="124">
        <v>42938</v>
      </c>
      <c r="F8" s="125">
        <v>0.30555555555555552</v>
      </c>
      <c r="G8" s="124">
        <v>43007</v>
      </c>
      <c r="H8" s="125">
        <v>0.34791666666666665</v>
      </c>
      <c r="I8" s="123">
        <v>859</v>
      </c>
      <c r="J8" s="123">
        <v>478</v>
      </c>
      <c r="K8" s="123">
        <v>688</v>
      </c>
      <c r="L8" s="123">
        <v>164</v>
      </c>
      <c r="M8" s="123">
        <v>286</v>
      </c>
      <c r="N8" s="123">
        <v>26.6</v>
      </c>
      <c r="O8" s="123">
        <v>6.5</v>
      </c>
      <c r="P8" s="123" t="s">
        <v>2512</v>
      </c>
      <c r="Q8" s="123">
        <v>26.6</v>
      </c>
      <c r="R8" s="123">
        <v>4.2</v>
      </c>
      <c r="S8" s="123"/>
      <c r="T8" s="123"/>
      <c r="U8" s="123"/>
      <c r="V8" s="123"/>
      <c r="W8" s="123" t="s">
        <v>3525</v>
      </c>
    </row>
    <row r="9" spans="1:23">
      <c r="A9" s="121">
        <v>7</v>
      </c>
      <c r="B9" s="185" t="s">
        <v>2176</v>
      </c>
      <c r="C9" s="185" t="s">
        <v>2191</v>
      </c>
      <c r="D9" s="122" t="s">
        <v>2178</v>
      </c>
      <c r="E9" s="124">
        <v>42938</v>
      </c>
      <c r="F9" s="125">
        <v>0.30208333333333331</v>
      </c>
      <c r="G9" s="124">
        <v>43007</v>
      </c>
      <c r="H9" s="125">
        <v>0.35833333333333334</v>
      </c>
      <c r="I9" s="164">
        <v>860</v>
      </c>
      <c r="J9" s="123">
        <v>106</v>
      </c>
      <c r="K9" s="123">
        <v>762</v>
      </c>
      <c r="L9" s="123">
        <v>776</v>
      </c>
      <c r="M9" s="123">
        <v>210</v>
      </c>
      <c r="N9" s="123">
        <v>23.3</v>
      </c>
      <c r="O9" s="123">
        <v>2.2000000000000002</v>
      </c>
      <c r="P9" s="123" t="s">
        <v>2512</v>
      </c>
      <c r="Q9" s="123">
        <v>26.2</v>
      </c>
      <c r="R9" s="123">
        <v>3.7</v>
      </c>
      <c r="S9" s="192" t="s">
        <v>2179</v>
      </c>
      <c r="T9" s="123" t="s">
        <v>3523</v>
      </c>
      <c r="U9" s="123"/>
      <c r="V9" s="123"/>
      <c r="W9" s="123"/>
    </row>
    <row r="10" spans="1:23">
      <c r="A10" s="121">
        <v>8</v>
      </c>
      <c r="B10" s="185" t="s">
        <v>2176</v>
      </c>
      <c r="C10" s="185" t="s">
        <v>2192</v>
      </c>
      <c r="D10" s="122" t="s">
        <v>2178</v>
      </c>
      <c r="E10" s="124">
        <v>42938</v>
      </c>
      <c r="F10" s="125">
        <v>0.30555555555555552</v>
      </c>
      <c r="G10" s="124">
        <v>43007</v>
      </c>
      <c r="H10" s="125">
        <v>0.36041666666666666</v>
      </c>
      <c r="I10" s="123">
        <v>861</v>
      </c>
      <c r="J10" s="123">
        <v>228</v>
      </c>
      <c r="K10" s="123">
        <v>727</v>
      </c>
      <c r="L10" s="123">
        <v>23</v>
      </c>
      <c r="M10" s="123">
        <v>213</v>
      </c>
      <c r="N10" s="123">
        <v>25.6</v>
      </c>
      <c r="O10" s="123">
        <v>2.4</v>
      </c>
      <c r="P10" s="123" t="s">
        <v>2512</v>
      </c>
      <c r="Q10" s="123">
        <v>26.4</v>
      </c>
      <c r="R10" s="123">
        <v>2.8</v>
      </c>
      <c r="S10" s="123" t="s">
        <v>2187</v>
      </c>
      <c r="T10" s="123"/>
      <c r="U10" s="123" t="s">
        <v>2187</v>
      </c>
      <c r="V10" s="123"/>
      <c r="W10" s="123"/>
    </row>
    <row r="11" spans="1:23">
      <c r="A11" s="121">
        <v>9</v>
      </c>
      <c r="B11" s="185" t="s">
        <v>2176</v>
      </c>
      <c r="C11" s="185" t="s">
        <v>2193</v>
      </c>
      <c r="D11" s="122" t="s">
        <v>2194</v>
      </c>
      <c r="E11" s="124">
        <v>42938</v>
      </c>
      <c r="F11" s="125">
        <v>0.33333333333333331</v>
      </c>
      <c r="G11" s="124">
        <v>43007</v>
      </c>
      <c r="H11" s="125">
        <v>0.37361111111111112</v>
      </c>
      <c r="I11" s="123">
        <v>862</v>
      </c>
      <c r="J11" s="123">
        <v>277</v>
      </c>
      <c r="K11" s="123">
        <v>785</v>
      </c>
      <c r="L11" s="123">
        <v>570</v>
      </c>
      <c r="M11" s="123">
        <v>704</v>
      </c>
      <c r="N11" s="123">
        <v>25.6</v>
      </c>
      <c r="O11" s="123">
        <v>3.5</v>
      </c>
      <c r="P11" s="123" t="s">
        <v>2512</v>
      </c>
      <c r="Q11" s="123">
        <v>26.7</v>
      </c>
      <c r="R11" s="123">
        <v>3.1</v>
      </c>
      <c r="S11" s="123" t="s">
        <v>2195</v>
      </c>
      <c r="T11" s="123" t="s">
        <v>2319</v>
      </c>
      <c r="U11" s="123"/>
      <c r="V11" s="123"/>
      <c r="W11" s="123" t="s">
        <v>3526</v>
      </c>
    </row>
    <row r="12" spans="1:23">
      <c r="A12" s="121">
        <v>10</v>
      </c>
      <c r="B12" s="185" t="s">
        <v>2176</v>
      </c>
      <c r="C12" s="185" t="s">
        <v>2196</v>
      </c>
      <c r="D12" s="122" t="s">
        <v>2194</v>
      </c>
      <c r="E12" s="124">
        <v>42938</v>
      </c>
      <c r="F12" s="125">
        <v>0.3298611111111111</v>
      </c>
      <c r="G12" s="124"/>
      <c r="H12" s="125"/>
      <c r="I12" s="123">
        <v>863</v>
      </c>
      <c r="J12" s="123">
        <v>310</v>
      </c>
      <c r="K12" s="123">
        <v>747</v>
      </c>
      <c r="L12" s="123">
        <v>642</v>
      </c>
      <c r="M12" s="123">
        <v>355</v>
      </c>
      <c r="N12" s="123">
        <v>26.1</v>
      </c>
      <c r="O12" s="123">
        <v>1.5</v>
      </c>
      <c r="P12" s="123" t="s">
        <v>2512</v>
      </c>
      <c r="Q12" s="123"/>
      <c r="R12" s="92"/>
      <c r="S12" s="92"/>
      <c r="T12" s="92"/>
      <c r="U12" s="92"/>
      <c r="V12" s="92"/>
      <c r="W12" s="123" t="s">
        <v>3527</v>
      </c>
    </row>
    <row r="13" spans="1:23">
      <c r="A13" s="121">
        <v>11</v>
      </c>
      <c r="B13" s="185" t="s">
        <v>2176</v>
      </c>
      <c r="C13" s="185" t="s">
        <v>2197</v>
      </c>
      <c r="D13" s="122" t="s">
        <v>2194</v>
      </c>
      <c r="E13" s="124">
        <v>42938</v>
      </c>
      <c r="F13" s="125">
        <v>0.3263888888888889</v>
      </c>
      <c r="G13" s="124">
        <v>43007</v>
      </c>
      <c r="H13" s="125">
        <v>0.36805555555555558</v>
      </c>
      <c r="I13" s="123">
        <v>864</v>
      </c>
      <c r="J13" s="123">
        <v>435</v>
      </c>
      <c r="K13" s="129">
        <v>748</v>
      </c>
      <c r="L13" s="123">
        <v>663</v>
      </c>
      <c r="M13" s="123">
        <v>616</v>
      </c>
      <c r="N13" s="123">
        <v>26.1</v>
      </c>
      <c r="O13" s="123">
        <v>6</v>
      </c>
      <c r="P13" s="123" t="s">
        <v>2512</v>
      </c>
      <c r="Q13" s="123">
        <v>26.8</v>
      </c>
      <c r="R13" s="123">
        <v>4.5999999999999996</v>
      </c>
      <c r="S13" s="123" t="s">
        <v>2195</v>
      </c>
      <c r="T13" s="123" t="s">
        <v>2195</v>
      </c>
      <c r="U13" s="123"/>
      <c r="V13" s="123"/>
      <c r="W13" s="123"/>
    </row>
    <row r="14" spans="1:23">
      <c r="A14" s="121">
        <v>12</v>
      </c>
      <c r="B14" s="185" t="s">
        <v>2176</v>
      </c>
      <c r="C14" s="185" t="s">
        <v>2198</v>
      </c>
      <c r="D14" s="122" t="s">
        <v>2194</v>
      </c>
      <c r="E14" s="124"/>
      <c r="F14" s="123"/>
      <c r="G14" s="124"/>
      <c r="H14" s="125"/>
      <c r="I14" s="186">
        <v>865</v>
      </c>
      <c r="J14" s="123"/>
      <c r="K14" s="123"/>
      <c r="L14" s="123"/>
      <c r="M14" s="123"/>
      <c r="N14" s="123"/>
      <c r="O14" s="123"/>
      <c r="P14" s="123"/>
      <c r="Q14" s="123"/>
      <c r="W14" s="123"/>
    </row>
    <row r="15" spans="1:23">
      <c r="A15" s="121">
        <v>13</v>
      </c>
      <c r="B15" s="185" t="s">
        <v>2176</v>
      </c>
      <c r="C15" s="185" t="s">
        <v>2199</v>
      </c>
      <c r="D15" s="122" t="s">
        <v>2194</v>
      </c>
      <c r="E15" s="124">
        <v>42938</v>
      </c>
      <c r="F15" s="125">
        <v>0.33680555555555558</v>
      </c>
      <c r="G15" s="124">
        <v>43007</v>
      </c>
      <c r="H15" s="125">
        <v>0.3756944444444445</v>
      </c>
      <c r="I15" s="123">
        <v>866</v>
      </c>
      <c r="J15" s="123">
        <v>2</v>
      </c>
      <c r="K15" s="123">
        <v>784</v>
      </c>
      <c r="L15" s="123">
        <v>874</v>
      </c>
      <c r="M15" s="123">
        <v>603</v>
      </c>
      <c r="N15" s="123">
        <v>25.7</v>
      </c>
      <c r="O15" s="123">
        <v>5.8</v>
      </c>
      <c r="P15" s="123" t="s">
        <v>2513</v>
      </c>
      <c r="Q15" s="123">
        <v>26.5</v>
      </c>
      <c r="R15" s="123">
        <v>3.8</v>
      </c>
      <c r="S15" s="123" t="s">
        <v>2319</v>
      </c>
      <c r="T15" s="123" t="s">
        <v>2238</v>
      </c>
      <c r="U15" s="123"/>
      <c r="V15" s="123"/>
      <c r="W15" s="123"/>
    </row>
    <row r="16" spans="1:23">
      <c r="A16" s="121">
        <v>14</v>
      </c>
      <c r="B16" s="185" t="s">
        <v>2176</v>
      </c>
      <c r="C16" s="185" t="s">
        <v>2201</v>
      </c>
      <c r="D16" s="122" t="s">
        <v>2194</v>
      </c>
      <c r="E16" s="124">
        <v>42938</v>
      </c>
      <c r="F16" s="125">
        <v>0.33333333333333331</v>
      </c>
      <c r="G16" s="124">
        <v>43007</v>
      </c>
      <c r="H16" s="125">
        <v>0.37847222222222227</v>
      </c>
      <c r="I16" s="123">
        <v>867</v>
      </c>
      <c r="J16" s="123">
        <v>225</v>
      </c>
      <c r="K16" s="123">
        <v>838</v>
      </c>
      <c r="L16" s="129">
        <v>219</v>
      </c>
      <c r="M16" s="123">
        <v>652</v>
      </c>
      <c r="N16" s="123">
        <v>25.3</v>
      </c>
      <c r="O16" s="123">
        <v>3.9</v>
      </c>
      <c r="P16" s="123" t="s">
        <v>2512</v>
      </c>
      <c r="Q16" s="123">
        <v>25.8</v>
      </c>
      <c r="R16" s="123">
        <v>2.9</v>
      </c>
      <c r="S16" s="123" t="s">
        <v>2179</v>
      </c>
      <c r="T16" s="123" t="s">
        <v>2238</v>
      </c>
      <c r="U16" s="123" t="s">
        <v>2187</v>
      </c>
      <c r="V16" s="123"/>
      <c r="W16" s="123"/>
    </row>
    <row r="17" spans="1:23">
      <c r="A17" s="121">
        <v>15</v>
      </c>
      <c r="B17" s="185" t="s">
        <v>2176</v>
      </c>
      <c r="C17" s="185" t="s">
        <v>2202</v>
      </c>
      <c r="D17" s="122" t="s">
        <v>2194</v>
      </c>
      <c r="E17" s="124">
        <v>42938</v>
      </c>
      <c r="F17" s="125">
        <v>0.3298611111111111</v>
      </c>
      <c r="G17" s="124">
        <v>43007</v>
      </c>
      <c r="H17" s="125">
        <v>0.37083333333333335</v>
      </c>
      <c r="I17" s="123">
        <v>868</v>
      </c>
      <c r="J17" s="123">
        <v>444</v>
      </c>
      <c r="K17" s="123">
        <v>793</v>
      </c>
      <c r="L17" s="123">
        <v>630</v>
      </c>
      <c r="M17" s="123">
        <v>304</v>
      </c>
      <c r="N17" s="123"/>
      <c r="O17" s="123">
        <v>3.3</v>
      </c>
      <c r="P17" s="123" t="s">
        <v>2512</v>
      </c>
      <c r="Q17" s="123">
        <v>28</v>
      </c>
      <c r="R17" s="123">
        <v>2.9</v>
      </c>
      <c r="S17" s="123" t="s">
        <v>2195</v>
      </c>
      <c r="T17" s="123" t="s">
        <v>2195</v>
      </c>
      <c r="U17" s="123"/>
      <c r="V17" s="123"/>
      <c r="W17" s="123"/>
    </row>
    <row r="18" spans="1:23">
      <c r="A18" s="121">
        <v>16</v>
      </c>
      <c r="B18" s="185" t="s">
        <v>2176</v>
      </c>
      <c r="C18" s="185" t="s">
        <v>2205</v>
      </c>
      <c r="D18" s="122" t="s">
        <v>2194</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2512</v>
      </c>
      <c r="Q18" s="123">
        <v>27.2</v>
      </c>
      <c r="R18" s="123">
        <v>8.6</v>
      </c>
      <c r="S18" s="123" t="s">
        <v>2195</v>
      </c>
      <c r="T18" s="123" t="s">
        <v>2195</v>
      </c>
      <c r="U18" s="123" t="s">
        <v>2187</v>
      </c>
      <c r="V18" s="123"/>
      <c r="W18" s="123" t="s">
        <v>3528</v>
      </c>
    </row>
    <row r="19" spans="1:23">
      <c r="A19" s="121">
        <v>17</v>
      </c>
      <c r="B19" s="185" t="s">
        <v>2176</v>
      </c>
      <c r="C19" s="185" t="s">
        <v>2207</v>
      </c>
      <c r="D19" s="122" t="s">
        <v>2208</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2514</v>
      </c>
      <c r="Q19" s="123">
        <v>26.5</v>
      </c>
      <c r="R19" s="123">
        <v>7.7</v>
      </c>
      <c r="S19" s="123"/>
      <c r="T19" s="123"/>
      <c r="U19" s="123"/>
      <c r="V19" s="123"/>
      <c r="W19" s="123"/>
    </row>
    <row r="20" spans="1:23">
      <c r="A20" s="121">
        <v>18</v>
      </c>
      <c r="B20" s="185" t="s">
        <v>2176</v>
      </c>
      <c r="C20" s="185" t="s">
        <v>2210</v>
      </c>
      <c r="D20" s="122" t="s">
        <v>2208</v>
      </c>
      <c r="E20" s="124">
        <v>42936</v>
      </c>
      <c r="F20" s="125">
        <v>0.75</v>
      </c>
      <c r="G20" s="124">
        <v>43007</v>
      </c>
      <c r="H20" s="125">
        <v>0.44791666666666669</v>
      </c>
      <c r="I20" s="123">
        <v>871</v>
      </c>
      <c r="J20" s="123">
        <v>10</v>
      </c>
      <c r="K20" s="123">
        <v>732</v>
      </c>
      <c r="L20" s="123">
        <v>113</v>
      </c>
      <c r="M20" s="123">
        <v>361</v>
      </c>
      <c r="N20" s="123">
        <v>25.7</v>
      </c>
      <c r="O20" s="123">
        <v>11.8</v>
      </c>
      <c r="P20" s="123" t="s">
        <v>2515</v>
      </c>
      <c r="Q20" s="123">
        <v>26.5</v>
      </c>
      <c r="R20" s="123">
        <v>10.5</v>
      </c>
      <c r="S20" s="123"/>
      <c r="T20" s="123" t="s">
        <v>2179</v>
      </c>
      <c r="U20" s="123"/>
      <c r="V20" s="123"/>
      <c r="W20" s="123"/>
    </row>
    <row r="21" spans="1:23">
      <c r="A21" s="121">
        <v>19</v>
      </c>
      <c r="B21" s="185" t="s">
        <v>2176</v>
      </c>
      <c r="C21" s="185" t="s">
        <v>2211</v>
      </c>
      <c r="D21" s="122" t="s">
        <v>2208</v>
      </c>
      <c r="E21" s="124">
        <v>42936</v>
      </c>
      <c r="F21" s="125">
        <v>0.75</v>
      </c>
      <c r="G21" s="124">
        <v>43007</v>
      </c>
      <c r="H21" s="125">
        <v>0.45069444444444445</v>
      </c>
      <c r="I21" s="123">
        <v>872</v>
      </c>
      <c r="J21" s="123">
        <v>190</v>
      </c>
      <c r="K21" s="123">
        <v>749</v>
      </c>
      <c r="L21" s="123">
        <v>394</v>
      </c>
      <c r="M21" s="123">
        <v>280</v>
      </c>
      <c r="N21" s="123">
        <v>25.6</v>
      </c>
      <c r="O21" s="123">
        <v>19.399999999999999</v>
      </c>
      <c r="P21" s="123" t="s">
        <v>2515</v>
      </c>
      <c r="Q21" s="123">
        <v>25.8</v>
      </c>
      <c r="R21" s="123">
        <v>12.1</v>
      </c>
      <c r="S21" s="123" t="s">
        <v>2179</v>
      </c>
      <c r="T21" s="123"/>
      <c r="U21" s="123"/>
      <c r="V21" s="123"/>
      <c r="W21" s="123"/>
    </row>
    <row r="22" spans="1:23">
      <c r="A22" s="121">
        <v>20</v>
      </c>
      <c r="B22" s="185" t="s">
        <v>2176</v>
      </c>
      <c r="C22" s="185" t="s">
        <v>2212</v>
      </c>
      <c r="D22" s="122" t="s">
        <v>2208</v>
      </c>
      <c r="E22" s="124">
        <v>42936</v>
      </c>
      <c r="F22" s="125">
        <v>0.74305555555555547</v>
      </c>
      <c r="G22" s="124">
        <v>43007</v>
      </c>
      <c r="H22" s="125">
        <v>0.44930555555555557</v>
      </c>
      <c r="I22" s="123">
        <v>873</v>
      </c>
      <c r="J22" s="123">
        <v>38</v>
      </c>
      <c r="K22" s="123">
        <v>632</v>
      </c>
      <c r="L22" s="123">
        <v>79</v>
      </c>
      <c r="M22" s="123">
        <v>320</v>
      </c>
      <c r="N22" s="123">
        <v>26</v>
      </c>
      <c r="O22" s="123">
        <v>20.3</v>
      </c>
      <c r="P22" s="123" t="s">
        <v>2515</v>
      </c>
      <c r="Q22" s="123">
        <v>26.6</v>
      </c>
      <c r="R22" s="123">
        <v>11.7</v>
      </c>
      <c r="S22" s="123" t="s">
        <v>2179</v>
      </c>
      <c r="T22" s="123"/>
      <c r="U22" s="123"/>
      <c r="V22" s="123"/>
      <c r="W22" s="123"/>
    </row>
    <row r="23" spans="1:23">
      <c r="A23" s="121">
        <v>21</v>
      </c>
      <c r="B23" s="185" t="s">
        <v>2176</v>
      </c>
      <c r="C23" s="185" t="s">
        <v>2213</v>
      </c>
      <c r="D23" s="122" t="s">
        <v>2208</v>
      </c>
      <c r="E23" s="124">
        <v>42936</v>
      </c>
      <c r="F23" s="125">
        <v>0.74652777777777779</v>
      </c>
      <c r="G23" s="124">
        <v>43007</v>
      </c>
      <c r="H23" s="125">
        <v>0.4458333333333333</v>
      </c>
      <c r="I23" s="123">
        <v>874</v>
      </c>
      <c r="J23" s="123">
        <v>468</v>
      </c>
      <c r="K23" s="123">
        <v>630</v>
      </c>
      <c r="L23" s="123">
        <v>488</v>
      </c>
      <c r="M23" s="123">
        <v>209</v>
      </c>
      <c r="N23" s="123">
        <v>26.2</v>
      </c>
      <c r="O23" s="123">
        <v>15</v>
      </c>
      <c r="P23" s="123" t="s">
        <v>2515</v>
      </c>
      <c r="Q23" s="123">
        <v>26</v>
      </c>
      <c r="R23" s="123">
        <v>11.4</v>
      </c>
      <c r="S23" s="123"/>
      <c r="T23" s="123"/>
      <c r="U23" s="123"/>
      <c r="V23" s="123"/>
      <c r="W23" s="123" t="s">
        <v>3529</v>
      </c>
    </row>
    <row r="24" spans="1:23">
      <c r="A24" s="121">
        <v>22</v>
      </c>
      <c r="B24" s="185" t="s">
        <v>2176</v>
      </c>
      <c r="C24" s="185" t="s">
        <v>2214</v>
      </c>
      <c r="D24" s="122" t="s">
        <v>2208</v>
      </c>
      <c r="E24" s="124">
        <v>42936</v>
      </c>
      <c r="F24" s="125">
        <v>0.72916666666666663</v>
      </c>
      <c r="G24" s="124">
        <v>43007</v>
      </c>
      <c r="H24" s="125">
        <v>0.4548611111111111</v>
      </c>
      <c r="I24" s="123">
        <v>876</v>
      </c>
      <c r="J24" s="123">
        <v>8</v>
      </c>
      <c r="K24" s="123">
        <v>723</v>
      </c>
      <c r="L24" s="123">
        <v>750</v>
      </c>
      <c r="M24" s="123">
        <v>646</v>
      </c>
      <c r="N24" s="123">
        <v>25</v>
      </c>
      <c r="O24" s="123">
        <v>25.2</v>
      </c>
      <c r="P24" s="123" t="s">
        <v>2515</v>
      </c>
      <c r="Q24" s="123">
        <v>26.5</v>
      </c>
      <c r="R24" s="123">
        <v>12.9</v>
      </c>
      <c r="S24" s="123"/>
      <c r="T24" s="123" t="s">
        <v>2179</v>
      </c>
      <c r="U24" s="123"/>
      <c r="V24" s="123"/>
      <c r="W24" s="123"/>
    </row>
    <row r="25" spans="1:23">
      <c r="A25" s="121">
        <v>23</v>
      </c>
      <c r="B25" s="185" t="s">
        <v>2176</v>
      </c>
      <c r="C25" s="185" t="s">
        <v>2215</v>
      </c>
      <c r="D25" s="122" t="s">
        <v>2208</v>
      </c>
      <c r="E25" s="125"/>
      <c r="F25" s="125"/>
      <c r="G25" s="125"/>
      <c r="H25" s="125"/>
      <c r="I25" s="123">
        <v>875</v>
      </c>
      <c r="J25" s="125"/>
      <c r="K25" s="125"/>
      <c r="L25" s="125"/>
      <c r="M25" s="125"/>
      <c r="N25" s="125"/>
      <c r="O25" s="125"/>
      <c r="P25" s="125"/>
      <c r="Q25" s="123"/>
      <c r="R25" s="92"/>
      <c r="S25" s="92"/>
      <c r="T25" s="92"/>
      <c r="U25" s="92"/>
      <c r="V25" s="92"/>
      <c r="W25" s="123"/>
    </row>
    <row r="26" spans="1:23">
      <c r="A26" s="121">
        <v>24</v>
      </c>
      <c r="B26" s="185" t="s">
        <v>2176</v>
      </c>
      <c r="C26" s="185" t="s">
        <v>2216</v>
      </c>
      <c r="D26" s="122" t="s">
        <v>2208</v>
      </c>
      <c r="E26" s="124">
        <v>42936</v>
      </c>
      <c r="F26" s="125">
        <v>0.75347222222222221</v>
      </c>
      <c r="G26" s="124">
        <v>43007</v>
      </c>
      <c r="H26" s="125">
        <v>0.45763888888888887</v>
      </c>
      <c r="I26" s="123">
        <v>877</v>
      </c>
      <c r="J26" s="123">
        <v>320</v>
      </c>
      <c r="K26" s="123">
        <v>225</v>
      </c>
      <c r="L26" s="123">
        <v>562</v>
      </c>
      <c r="M26" s="123">
        <v>650</v>
      </c>
      <c r="N26" s="123">
        <v>25.5</v>
      </c>
      <c r="O26" s="123">
        <v>23.9</v>
      </c>
      <c r="P26" s="123" t="s">
        <v>2515</v>
      </c>
      <c r="Q26" s="123">
        <v>25.5</v>
      </c>
      <c r="R26" s="123">
        <v>7.3</v>
      </c>
      <c r="S26" s="123"/>
      <c r="T26" s="123"/>
      <c r="U26" s="123"/>
      <c r="V26" s="123"/>
      <c r="W26" s="123"/>
    </row>
    <row r="27" spans="1:23">
      <c r="A27" s="121">
        <v>25</v>
      </c>
      <c r="B27" s="185" t="s">
        <v>2176</v>
      </c>
      <c r="C27" s="185" t="s">
        <v>2217</v>
      </c>
      <c r="D27" s="122" t="s">
        <v>2218</v>
      </c>
      <c r="E27" s="124">
        <v>42936</v>
      </c>
      <c r="F27" s="125">
        <v>0.77083333333333337</v>
      </c>
      <c r="G27" s="124">
        <v>43007</v>
      </c>
      <c r="H27" s="125">
        <v>0.47083333333333338</v>
      </c>
      <c r="I27" s="164">
        <v>878</v>
      </c>
      <c r="J27" s="123">
        <v>322</v>
      </c>
      <c r="K27" s="123">
        <v>43</v>
      </c>
      <c r="L27" s="123">
        <v>156</v>
      </c>
      <c r="M27" s="123">
        <v>230</v>
      </c>
      <c r="N27" s="123">
        <v>25.6</v>
      </c>
      <c r="O27" s="123">
        <v>15.8</v>
      </c>
      <c r="P27" s="123" t="s">
        <v>2515</v>
      </c>
      <c r="Q27" s="123">
        <v>25.2</v>
      </c>
      <c r="R27" s="123">
        <v>3.9</v>
      </c>
      <c r="S27" s="123"/>
      <c r="T27" s="123"/>
      <c r="U27" s="123"/>
      <c r="V27" s="123"/>
      <c r="W27" s="123" t="s">
        <v>3530</v>
      </c>
    </row>
    <row r="28" spans="1:23">
      <c r="A28" s="121">
        <v>26</v>
      </c>
      <c r="B28" s="185" t="s">
        <v>2176</v>
      </c>
      <c r="C28" s="185" t="s">
        <v>2219</v>
      </c>
      <c r="D28" s="122" t="s">
        <v>2218</v>
      </c>
      <c r="E28" s="124">
        <v>42936</v>
      </c>
      <c r="F28" s="125">
        <v>0.76388888888888884</v>
      </c>
      <c r="G28" s="124">
        <v>43007</v>
      </c>
      <c r="H28" s="125">
        <v>0.4694444444444445</v>
      </c>
      <c r="I28" s="121">
        <v>1245</v>
      </c>
      <c r="J28" s="123">
        <v>58</v>
      </c>
      <c r="K28" s="123">
        <v>602</v>
      </c>
      <c r="L28" s="123">
        <v>555</v>
      </c>
      <c r="M28" s="123">
        <v>642</v>
      </c>
      <c r="N28" s="123">
        <v>25.5</v>
      </c>
      <c r="O28" s="123">
        <v>10.4</v>
      </c>
      <c r="P28" s="123" t="s">
        <v>2515</v>
      </c>
      <c r="Q28" s="123">
        <v>26.2</v>
      </c>
      <c r="R28" s="123">
        <v>5.8</v>
      </c>
      <c r="S28" s="123"/>
      <c r="T28" s="123"/>
      <c r="U28" s="123"/>
      <c r="V28" s="123"/>
      <c r="W28" s="123"/>
    </row>
    <row r="29" spans="1:23">
      <c r="A29" s="121">
        <v>27</v>
      </c>
      <c r="B29" s="185" t="s">
        <v>2176</v>
      </c>
      <c r="C29" s="185" t="s">
        <v>2220</v>
      </c>
      <c r="D29" s="122" t="s">
        <v>2218</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2515</v>
      </c>
      <c r="Q29" s="123">
        <v>26.4</v>
      </c>
      <c r="R29" s="123">
        <v>10.3</v>
      </c>
      <c r="S29" s="123"/>
      <c r="T29" s="123"/>
      <c r="U29" s="123"/>
      <c r="V29" s="123"/>
      <c r="W29" s="123" t="s">
        <v>3525</v>
      </c>
    </row>
    <row r="30" spans="1:23">
      <c r="A30" s="121">
        <v>28</v>
      </c>
      <c r="B30" s="185" t="s">
        <v>2176</v>
      </c>
      <c r="C30" s="185" t="s">
        <v>2221</v>
      </c>
      <c r="D30" s="122" t="s">
        <v>2218</v>
      </c>
      <c r="E30" s="124">
        <v>42936</v>
      </c>
      <c r="F30" s="125">
        <v>0.76388888888888884</v>
      </c>
      <c r="G30" s="124">
        <v>43007</v>
      </c>
      <c r="H30" s="125">
        <v>0.46875</v>
      </c>
      <c r="I30" s="123">
        <v>881</v>
      </c>
      <c r="J30" s="123">
        <v>61</v>
      </c>
      <c r="K30" s="123">
        <v>705</v>
      </c>
      <c r="L30" s="123">
        <v>46</v>
      </c>
      <c r="M30" s="123">
        <v>162</v>
      </c>
      <c r="N30" s="123">
        <v>25.1</v>
      </c>
      <c r="O30" s="123">
        <v>11.8</v>
      </c>
      <c r="P30" s="123" t="s">
        <v>2515</v>
      </c>
      <c r="Q30" s="123">
        <v>26.3</v>
      </c>
      <c r="R30" s="123">
        <v>6.4</v>
      </c>
      <c r="S30" s="123"/>
      <c r="T30" s="123"/>
      <c r="U30" s="123"/>
      <c r="V30" s="123"/>
      <c r="W30" s="123"/>
    </row>
    <row r="31" spans="1:23">
      <c r="A31" s="121">
        <v>29</v>
      </c>
      <c r="B31" s="185" t="s">
        <v>2176</v>
      </c>
      <c r="C31" s="185" t="s">
        <v>2222</v>
      </c>
      <c r="D31" s="122" t="s">
        <v>2218</v>
      </c>
      <c r="E31" s="124">
        <v>42936</v>
      </c>
      <c r="F31" s="125">
        <v>0.76041666666666663</v>
      </c>
      <c r="G31" s="124">
        <v>43007</v>
      </c>
      <c r="H31" s="125">
        <v>0.46597222222222223</v>
      </c>
      <c r="I31" s="123">
        <v>882</v>
      </c>
      <c r="J31" s="123">
        <v>319</v>
      </c>
      <c r="K31" s="123">
        <v>305</v>
      </c>
      <c r="L31" s="123">
        <v>397</v>
      </c>
      <c r="M31" s="123">
        <v>163</v>
      </c>
      <c r="N31" s="123">
        <v>25.3</v>
      </c>
      <c r="O31" s="123">
        <v>21</v>
      </c>
      <c r="P31" s="123" t="s">
        <v>2515</v>
      </c>
      <c r="Q31" s="123">
        <v>26</v>
      </c>
      <c r="R31" s="123">
        <v>9.3000000000000007</v>
      </c>
      <c r="S31" s="123"/>
      <c r="T31" s="123"/>
      <c r="U31" s="123"/>
      <c r="V31" s="123"/>
      <c r="W31" s="123"/>
    </row>
    <row r="32" spans="1:23">
      <c r="A32" s="121">
        <v>30</v>
      </c>
      <c r="B32" s="185" t="s">
        <v>2176</v>
      </c>
      <c r="C32" s="185" t="s">
        <v>2223</v>
      </c>
      <c r="D32" s="122" t="s">
        <v>2218</v>
      </c>
      <c r="E32" s="124">
        <v>42936</v>
      </c>
      <c r="F32" s="125">
        <v>0.76041666666666663</v>
      </c>
      <c r="G32" s="124">
        <v>43007</v>
      </c>
      <c r="H32" s="125">
        <v>0.46736111111111112</v>
      </c>
      <c r="I32" s="123">
        <v>883</v>
      </c>
      <c r="J32" s="123">
        <v>273</v>
      </c>
      <c r="K32" s="123">
        <v>667</v>
      </c>
      <c r="L32" s="123">
        <v>166</v>
      </c>
      <c r="M32" s="123">
        <v>345</v>
      </c>
      <c r="N32" s="123">
        <v>24.6</v>
      </c>
      <c r="O32" s="123">
        <v>11.8</v>
      </c>
      <c r="P32" s="123" t="s">
        <v>2515</v>
      </c>
      <c r="Q32" s="123">
        <v>23.4</v>
      </c>
      <c r="R32" s="123">
        <v>6.8</v>
      </c>
      <c r="S32" s="123"/>
      <c r="T32" s="123"/>
      <c r="U32" s="123"/>
      <c r="V32" s="123"/>
      <c r="W32" s="123"/>
    </row>
    <row r="33" spans="1:23">
      <c r="A33" s="121">
        <v>31</v>
      </c>
      <c r="B33" s="185" t="s">
        <v>2176</v>
      </c>
      <c r="C33" s="185" t="s">
        <v>2224</v>
      </c>
      <c r="D33" s="122" t="s">
        <v>2218</v>
      </c>
      <c r="E33" s="125"/>
      <c r="F33" s="125"/>
      <c r="G33" s="125"/>
      <c r="H33" s="125"/>
      <c r="I33" s="123">
        <v>884</v>
      </c>
      <c r="J33" s="125"/>
      <c r="K33" s="125"/>
      <c r="L33" s="125"/>
      <c r="M33" s="125"/>
      <c r="N33" s="125"/>
      <c r="O33" s="125"/>
      <c r="P33" s="125"/>
      <c r="Q33" s="123"/>
      <c r="R33" s="123"/>
      <c r="S33" s="123"/>
      <c r="T33" s="123"/>
      <c r="U33" s="123"/>
      <c r="V33" s="123"/>
      <c r="W33" s="123"/>
    </row>
    <row r="34" spans="1:23">
      <c r="A34" s="121">
        <v>32</v>
      </c>
      <c r="B34" s="185" t="s">
        <v>2176</v>
      </c>
      <c r="C34" s="185" t="s">
        <v>2225</v>
      </c>
      <c r="D34" s="122" t="s">
        <v>2218</v>
      </c>
      <c r="E34" s="124">
        <v>42936</v>
      </c>
      <c r="F34" s="125">
        <v>0.76388888888888884</v>
      </c>
      <c r="G34" s="124">
        <v>43007</v>
      </c>
      <c r="H34" s="125">
        <v>0.47222222222222227</v>
      </c>
      <c r="I34" s="123">
        <v>885</v>
      </c>
      <c r="J34" s="123">
        <v>193</v>
      </c>
      <c r="K34" s="123">
        <v>743</v>
      </c>
      <c r="L34" s="123">
        <v>293</v>
      </c>
      <c r="M34" s="123">
        <v>660</v>
      </c>
      <c r="N34" s="123">
        <v>24.9</v>
      </c>
      <c r="O34" s="123">
        <v>14.9</v>
      </c>
      <c r="P34" s="123" t="s">
        <v>2515</v>
      </c>
      <c r="Q34" s="123">
        <v>26</v>
      </c>
      <c r="R34" s="123">
        <v>8.8000000000000007</v>
      </c>
      <c r="S34" s="123"/>
      <c r="T34" s="123"/>
      <c r="U34" s="123"/>
      <c r="V34" s="123"/>
      <c r="W34" s="123"/>
    </row>
    <row r="35" spans="1:23">
      <c r="A35" s="121">
        <v>33</v>
      </c>
      <c r="B35" s="185" t="s">
        <v>2176</v>
      </c>
      <c r="C35" s="185" t="s">
        <v>2226</v>
      </c>
      <c r="D35" s="122" t="s">
        <v>2227</v>
      </c>
      <c r="E35" s="124">
        <v>42938</v>
      </c>
      <c r="F35" s="125">
        <v>0.37152777777777773</v>
      </c>
      <c r="G35" s="124">
        <v>43005</v>
      </c>
      <c r="H35" s="125">
        <v>0.39583333333333331</v>
      </c>
      <c r="I35" s="164">
        <v>813</v>
      </c>
      <c r="J35" s="123">
        <v>218</v>
      </c>
      <c r="K35" s="123">
        <v>769</v>
      </c>
      <c r="L35" s="123">
        <v>139</v>
      </c>
      <c r="M35" s="123">
        <v>712</v>
      </c>
      <c r="N35" s="123">
        <v>24.6</v>
      </c>
      <c r="O35" s="123">
        <v>1.9</v>
      </c>
      <c r="P35" s="123"/>
      <c r="Q35" s="123">
        <v>27.7</v>
      </c>
      <c r="R35" s="123">
        <v>1.4</v>
      </c>
      <c r="S35" s="123"/>
      <c r="T35" s="123"/>
      <c r="U35" s="123"/>
      <c r="V35" s="123"/>
      <c r="W35" s="123"/>
    </row>
    <row r="36" spans="1:23">
      <c r="A36" s="121">
        <v>34</v>
      </c>
      <c r="B36" s="185" t="s">
        <v>2176</v>
      </c>
      <c r="C36" s="185" t="s">
        <v>2229</v>
      </c>
      <c r="D36" s="122" t="s">
        <v>2227</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2179</v>
      </c>
      <c r="T36" s="123"/>
      <c r="U36" s="123"/>
      <c r="V36" s="123"/>
      <c r="W36" s="123" t="s">
        <v>3533</v>
      </c>
    </row>
    <row r="37" spans="1:23">
      <c r="A37" s="121">
        <v>35</v>
      </c>
      <c r="B37" s="185" t="s">
        <v>2176</v>
      </c>
      <c r="C37" s="185" t="s">
        <v>2232</v>
      </c>
      <c r="D37" s="122" t="s">
        <v>2227</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121">
        <v>36</v>
      </c>
      <c r="B38" s="185" t="s">
        <v>2176</v>
      </c>
      <c r="C38" s="185" t="s">
        <v>2233</v>
      </c>
      <c r="D38" s="122" t="s">
        <v>2227</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2238</v>
      </c>
      <c r="U38" s="123" t="s">
        <v>2187</v>
      </c>
      <c r="V38" s="123"/>
      <c r="W38" s="123" t="s">
        <v>3534</v>
      </c>
    </row>
    <row r="39" spans="1:23">
      <c r="A39" s="121">
        <v>37</v>
      </c>
      <c r="B39" s="185" t="s">
        <v>2176</v>
      </c>
      <c r="C39" s="185" t="s">
        <v>2235</v>
      </c>
      <c r="D39" s="122" t="s">
        <v>2227</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2516</v>
      </c>
      <c r="Q39" s="123">
        <v>28.4</v>
      </c>
      <c r="R39" s="123">
        <v>4.0999999999999996</v>
      </c>
      <c r="S39" s="123" t="s">
        <v>2238</v>
      </c>
      <c r="T39" s="123" t="s">
        <v>2238</v>
      </c>
      <c r="U39" s="123"/>
      <c r="V39" s="123"/>
      <c r="W39" s="123" t="s">
        <v>3535</v>
      </c>
    </row>
    <row r="40" spans="1:23">
      <c r="A40" s="121">
        <v>38</v>
      </c>
      <c r="B40" s="185" t="s">
        <v>2176</v>
      </c>
      <c r="C40" s="185" t="s">
        <v>2237</v>
      </c>
      <c r="D40" s="122" t="s">
        <v>2227</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2195</v>
      </c>
      <c r="T40" s="123"/>
      <c r="U40" s="123"/>
      <c r="V40" s="123"/>
      <c r="W40" s="123"/>
    </row>
    <row r="41" spans="1:23">
      <c r="A41" s="121">
        <v>39</v>
      </c>
      <c r="B41" s="185" t="s">
        <v>2176</v>
      </c>
      <c r="C41" s="185" t="s">
        <v>2239</v>
      </c>
      <c r="D41" s="122" t="s">
        <v>2227</v>
      </c>
      <c r="E41" s="124">
        <v>42938</v>
      </c>
      <c r="F41" s="125"/>
      <c r="G41" s="123"/>
      <c r="H41" s="123"/>
      <c r="I41" s="123">
        <v>827</v>
      </c>
      <c r="J41" s="125"/>
      <c r="K41" s="125"/>
      <c r="L41" s="125"/>
      <c r="M41" s="125"/>
      <c r="N41" s="125"/>
      <c r="O41" s="125"/>
      <c r="P41" s="125"/>
      <c r="Q41" s="123"/>
      <c r="R41" s="123"/>
      <c r="S41" s="123"/>
      <c r="T41" s="123"/>
      <c r="U41" s="123"/>
      <c r="V41" s="123"/>
      <c r="W41" s="123" t="s">
        <v>3536</v>
      </c>
    </row>
    <row r="42" spans="1:23">
      <c r="A42" s="121">
        <v>40</v>
      </c>
      <c r="B42" s="185" t="s">
        <v>2176</v>
      </c>
      <c r="C42" s="185" t="s">
        <v>2241</v>
      </c>
      <c r="D42" s="122" t="s">
        <v>2227</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2238</v>
      </c>
      <c r="T42" s="123"/>
      <c r="U42" s="123"/>
      <c r="V42" s="123"/>
      <c r="W42" s="123"/>
    </row>
    <row r="43" spans="1:23">
      <c r="A43" s="121">
        <v>41</v>
      </c>
      <c r="B43" s="185" t="s">
        <v>2176</v>
      </c>
      <c r="C43" s="185" t="s">
        <v>2243</v>
      </c>
      <c r="D43" s="122" t="s">
        <v>2244</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2179</v>
      </c>
      <c r="T43" s="123" t="s">
        <v>2179</v>
      </c>
      <c r="U43" s="123"/>
      <c r="V43" s="123"/>
      <c r="W43" s="123"/>
    </row>
    <row r="44" spans="1:23">
      <c r="A44" s="121">
        <v>42</v>
      </c>
      <c r="B44" s="185" t="s">
        <v>2176</v>
      </c>
      <c r="C44" s="185" t="s">
        <v>2245</v>
      </c>
      <c r="D44" s="122" t="s">
        <v>2244</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2195</v>
      </c>
      <c r="T44" s="123" t="s">
        <v>2195</v>
      </c>
      <c r="U44" s="123" t="s">
        <v>2187</v>
      </c>
      <c r="V44" s="123"/>
      <c r="W44" s="123"/>
    </row>
    <row r="45" spans="1:23">
      <c r="A45" s="121">
        <v>43</v>
      </c>
      <c r="B45" s="185" t="s">
        <v>2176</v>
      </c>
      <c r="C45" s="185" t="s">
        <v>2247</v>
      </c>
      <c r="D45" s="122" t="s">
        <v>2244</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2195</v>
      </c>
      <c r="T45" s="123" t="s">
        <v>2195</v>
      </c>
      <c r="U45" s="123"/>
      <c r="V45" s="123"/>
      <c r="W45" s="123"/>
    </row>
    <row r="46" spans="1:23">
      <c r="A46" s="121">
        <v>44</v>
      </c>
      <c r="B46" s="185" t="s">
        <v>2176</v>
      </c>
      <c r="C46" s="185" t="s">
        <v>2248</v>
      </c>
      <c r="D46" s="122" t="s">
        <v>2244</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121">
        <v>45</v>
      </c>
      <c r="B47" s="185" t="s">
        <v>2176</v>
      </c>
      <c r="C47" s="185" t="s">
        <v>2249</v>
      </c>
      <c r="D47" s="122" t="s">
        <v>2244</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2238</v>
      </c>
      <c r="T47" s="123" t="s">
        <v>2238</v>
      </c>
      <c r="U47" s="123"/>
      <c r="V47" s="123"/>
      <c r="W47" s="123" t="s">
        <v>3537</v>
      </c>
    </row>
    <row r="48" spans="1:23">
      <c r="A48" s="121">
        <v>46</v>
      </c>
      <c r="B48" s="185" t="s">
        <v>2176</v>
      </c>
      <c r="C48" s="185" t="s">
        <v>2251</v>
      </c>
      <c r="D48" s="122" t="s">
        <v>2244</v>
      </c>
      <c r="E48" s="123"/>
      <c r="F48" s="123"/>
      <c r="G48" s="124"/>
      <c r="H48" s="125"/>
      <c r="I48" s="123">
        <v>835</v>
      </c>
      <c r="J48" s="123"/>
      <c r="K48" s="123"/>
      <c r="L48" s="123"/>
      <c r="M48" s="123"/>
      <c r="N48" s="123"/>
      <c r="O48" s="123"/>
      <c r="P48" s="123"/>
      <c r="Q48" s="123"/>
      <c r="R48" s="123"/>
      <c r="S48" s="123"/>
      <c r="T48" s="123"/>
      <c r="U48" s="123"/>
      <c r="V48" s="123"/>
      <c r="W48" s="123"/>
    </row>
    <row r="49" spans="1:23">
      <c r="A49" s="121">
        <v>47</v>
      </c>
      <c r="B49" s="185" t="s">
        <v>2176</v>
      </c>
      <c r="C49" s="185" t="s">
        <v>2252</v>
      </c>
      <c r="D49" s="122" t="s">
        <v>2244</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2179</v>
      </c>
      <c r="U49" s="123"/>
      <c r="V49" s="123"/>
      <c r="W49" s="123"/>
    </row>
    <row r="50" spans="1:23">
      <c r="A50" s="121">
        <v>48</v>
      </c>
      <c r="B50" s="185" t="s">
        <v>2176</v>
      </c>
      <c r="C50" s="185" t="s">
        <v>2254</v>
      </c>
      <c r="D50" s="122" t="s">
        <v>2244</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121">
        <v>49</v>
      </c>
      <c r="B51" s="185" t="s">
        <v>2176</v>
      </c>
      <c r="C51" s="185" t="s">
        <v>2255</v>
      </c>
      <c r="D51" s="122" t="s">
        <v>2256</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row>
    <row r="52" spans="1:23">
      <c r="A52" s="121">
        <v>50</v>
      </c>
      <c r="B52" s="185" t="s">
        <v>2176</v>
      </c>
      <c r="C52" s="185" t="s">
        <v>2257</v>
      </c>
      <c r="D52" s="122" t="s">
        <v>2256</v>
      </c>
      <c r="E52" s="124">
        <v>42938</v>
      </c>
      <c r="F52" s="125">
        <v>0.51041666666666663</v>
      </c>
      <c r="G52" s="124"/>
      <c r="H52" s="125"/>
      <c r="I52" s="123">
        <v>839</v>
      </c>
      <c r="J52" s="123">
        <v>276</v>
      </c>
      <c r="K52" s="123">
        <v>754</v>
      </c>
      <c r="L52" s="123">
        <v>212</v>
      </c>
      <c r="M52" s="123">
        <v>644</v>
      </c>
      <c r="N52" s="123">
        <v>27.6</v>
      </c>
      <c r="O52" s="123">
        <v>6.4</v>
      </c>
      <c r="P52" s="123" t="s">
        <v>2517</v>
      </c>
      <c r="Q52" s="123"/>
      <c r="R52" s="123"/>
      <c r="S52" s="123"/>
      <c r="T52" s="123"/>
      <c r="U52" s="123"/>
      <c r="V52" s="123"/>
      <c r="W52" s="123" t="s">
        <v>3538</v>
      </c>
    </row>
    <row r="53" spans="1:23">
      <c r="A53" s="121">
        <v>51</v>
      </c>
      <c r="B53" s="185" t="s">
        <v>2176</v>
      </c>
      <c r="C53" s="185" t="s">
        <v>2258</v>
      </c>
      <c r="D53" s="122" t="s">
        <v>2256</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121">
        <v>52</v>
      </c>
      <c r="B54" s="185" t="s">
        <v>2176</v>
      </c>
      <c r="C54" s="185" t="s">
        <v>2259</v>
      </c>
      <c r="D54" s="122" t="s">
        <v>2256</v>
      </c>
      <c r="E54" s="124">
        <v>42938</v>
      </c>
      <c r="F54" s="125">
        <v>0.51388888888888895</v>
      </c>
      <c r="G54" s="124">
        <v>43005</v>
      </c>
      <c r="H54" s="125">
        <v>0.70416666666666661</v>
      </c>
      <c r="I54" s="121">
        <v>1253</v>
      </c>
      <c r="J54" s="123">
        <v>237</v>
      </c>
      <c r="K54" s="123">
        <v>833</v>
      </c>
      <c r="L54" s="123">
        <v>848</v>
      </c>
      <c r="M54" s="123">
        <v>648</v>
      </c>
      <c r="N54" s="123">
        <v>28.2</v>
      </c>
      <c r="O54" s="123">
        <v>8.6</v>
      </c>
      <c r="P54" s="123"/>
      <c r="Q54" s="123">
        <v>33.299999999999997</v>
      </c>
      <c r="R54" s="123">
        <v>2.9</v>
      </c>
      <c r="S54" s="123"/>
      <c r="T54" s="123"/>
      <c r="U54" s="123"/>
      <c r="V54" s="123"/>
      <c r="W54" s="123"/>
    </row>
    <row r="55" spans="1:23">
      <c r="A55" s="121">
        <v>53</v>
      </c>
      <c r="B55" s="185" t="s">
        <v>2176</v>
      </c>
      <c r="C55" s="185" t="s">
        <v>2260</v>
      </c>
      <c r="D55" s="122" t="s">
        <v>2256</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121">
        <v>54</v>
      </c>
      <c r="B56" s="185" t="s">
        <v>2176</v>
      </c>
      <c r="C56" s="185" t="s">
        <v>2261</v>
      </c>
      <c r="D56" s="122" t="s">
        <v>2256</v>
      </c>
      <c r="E56" s="123"/>
      <c r="F56" s="123"/>
      <c r="G56" s="123"/>
      <c r="H56" s="123"/>
      <c r="I56" s="186">
        <v>843</v>
      </c>
      <c r="J56" s="123"/>
      <c r="K56" s="123"/>
      <c r="L56" s="123"/>
      <c r="M56" s="123"/>
      <c r="N56" s="123"/>
      <c r="O56" s="123"/>
      <c r="P56" s="123"/>
      <c r="Q56" s="123"/>
      <c r="R56" s="123"/>
      <c r="S56" s="123"/>
      <c r="T56" s="123"/>
      <c r="U56" s="123"/>
      <c r="V56" s="123"/>
      <c r="W56" s="123"/>
    </row>
    <row r="57" spans="1:23">
      <c r="A57" s="121">
        <v>55</v>
      </c>
      <c r="B57" s="185" t="s">
        <v>2176</v>
      </c>
      <c r="C57" s="185" t="s">
        <v>2262</v>
      </c>
      <c r="D57" s="122" t="s">
        <v>2256</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2518</v>
      </c>
      <c r="Q57" s="123">
        <v>35.5</v>
      </c>
      <c r="R57" s="123">
        <v>5</v>
      </c>
      <c r="S57" s="123" t="s">
        <v>2238</v>
      </c>
      <c r="T57" s="123" t="s">
        <v>2238</v>
      </c>
      <c r="U57" s="123"/>
      <c r="V57" s="123"/>
      <c r="W57" s="123"/>
    </row>
    <row r="58" spans="1:23">
      <c r="A58" s="121">
        <v>56</v>
      </c>
      <c r="B58" s="185" t="s">
        <v>2176</v>
      </c>
      <c r="C58" s="185" t="s">
        <v>2263</v>
      </c>
      <c r="D58" s="122" t="s">
        <v>2256</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121">
        <v>57</v>
      </c>
      <c r="B59" s="185" t="s">
        <v>2176</v>
      </c>
      <c r="C59" s="187" t="s">
        <v>2264</v>
      </c>
      <c r="D59" s="122" t="s">
        <v>2265</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121">
        <v>58</v>
      </c>
      <c r="B60" s="185" t="s">
        <v>2176</v>
      </c>
      <c r="C60" s="187" t="s">
        <v>2267</v>
      </c>
      <c r="D60" s="122" t="s">
        <v>2265</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2179</v>
      </c>
      <c r="T60" s="123" t="s">
        <v>2179</v>
      </c>
      <c r="U60" s="123"/>
      <c r="V60" s="123"/>
      <c r="W60" s="123"/>
    </row>
    <row r="61" spans="1:23">
      <c r="A61" s="121">
        <v>59</v>
      </c>
      <c r="B61" s="185" t="s">
        <v>2176</v>
      </c>
      <c r="C61" s="187" t="s">
        <v>2268</v>
      </c>
      <c r="D61" s="122" t="s">
        <v>2265</v>
      </c>
      <c r="E61" s="124">
        <v>42938</v>
      </c>
      <c r="F61" s="125">
        <v>0.55208333333333337</v>
      </c>
      <c r="G61" s="124">
        <v>43005</v>
      </c>
      <c r="H61" s="125">
        <v>0.66666666666666663</v>
      </c>
      <c r="I61" s="123">
        <v>848</v>
      </c>
      <c r="J61" s="123">
        <v>261</v>
      </c>
      <c r="K61" s="123">
        <v>721</v>
      </c>
      <c r="L61" s="123">
        <v>558</v>
      </c>
      <c r="M61" s="165">
        <v>231</v>
      </c>
      <c r="N61" s="123">
        <v>31.6</v>
      </c>
      <c r="O61" s="123">
        <v>7.6</v>
      </c>
      <c r="P61" s="123"/>
      <c r="Q61" s="123">
        <v>32</v>
      </c>
      <c r="R61" s="123">
        <v>7.8</v>
      </c>
      <c r="S61" s="123"/>
      <c r="T61" s="123"/>
      <c r="U61" s="123"/>
      <c r="V61" s="123"/>
      <c r="W61" s="123"/>
    </row>
    <row r="62" spans="1:23">
      <c r="A62" s="121">
        <v>60</v>
      </c>
      <c r="B62" s="185" t="s">
        <v>2176</v>
      </c>
      <c r="C62" s="187" t="s">
        <v>2269</v>
      </c>
      <c r="D62" s="122" t="s">
        <v>2265</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3532</v>
      </c>
    </row>
    <row r="63" spans="1:23">
      <c r="A63" s="121">
        <v>61</v>
      </c>
      <c r="B63" s="185" t="s">
        <v>2176</v>
      </c>
      <c r="C63" s="187" t="s">
        <v>2271</v>
      </c>
      <c r="D63" s="122" t="s">
        <v>2265</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4">
        <v>4.0999999999999996</v>
      </c>
      <c r="S63" s="123"/>
      <c r="T63" s="123"/>
      <c r="U63" s="123"/>
      <c r="V63" s="123"/>
      <c r="W63" s="123"/>
    </row>
    <row r="64" spans="1:23">
      <c r="A64" s="121">
        <v>62</v>
      </c>
      <c r="B64" s="185" t="s">
        <v>2176</v>
      </c>
      <c r="C64" s="187" t="s">
        <v>2272</v>
      </c>
      <c r="D64" s="122" t="s">
        <v>2265</v>
      </c>
      <c r="E64" s="125"/>
      <c r="F64" s="125"/>
      <c r="G64" s="124"/>
      <c r="H64" s="125"/>
      <c r="I64" s="123">
        <v>1151</v>
      </c>
      <c r="J64" s="125"/>
      <c r="K64" s="125"/>
      <c r="L64" s="125"/>
      <c r="M64" s="125"/>
      <c r="N64" s="125"/>
      <c r="O64" s="125"/>
      <c r="P64" s="125"/>
      <c r="Q64" s="123"/>
      <c r="R64" s="123"/>
      <c r="S64" s="123"/>
      <c r="T64" s="123"/>
      <c r="U64" s="123"/>
      <c r="V64" s="123"/>
      <c r="W64" s="123"/>
    </row>
    <row r="65" spans="1:23">
      <c r="A65" s="121">
        <v>63</v>
      </c>
      <c r="B65" s="185" t="s">
        <v>2176</v>
      </c>
      <c r="C65" s="187" t="s">
        <v>2274</v>
      </c>
      <c r="D65" s="122" t="s">
        <v>2265</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121">
        <v>64</v>
      </c>
      <c r="B66" s="185" t="s">
        <v>2176</v>
      </c>
      <c r="C66" s="187" t="s">
        <v>2275</v>
      </c>
      <c r="D66" s="122" t="s">
        <v>2265</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121">
        <v>65</v>
      </c>
      <c r="B67" s="185" t="s">
        <v>2276</v>
      </c>
      <c r="C67" s="185" t="s">
        <v>2277</v>
      </c>
      <c r="D67" s="122" t="s">
        <v>2278</v>
      </c>
      <c r="E67" s="124">
        <v>42937</v>
      </c>
      <c r="F67" s="125">
        <v>0.50347222222222221</v>
      </c>
      <c r="G67" s="124">
        <v>43005</v>
      </c>
      <c r="H67" s="125">
        <v>0.58472222222222225</v>
      </c>
      <c r="I67" s="123">
        <v>906</v>
      </c>
      <c r="J67" s="123">
        <v>495</v>
      </c>
      <c r="K67" s="123">
        <v>731</v>
      </c>
      <c r="L67" s="164">
        <v>586</v>
      </c>
      <c r="M67" s="164">
        <v>654</v>
      </c>
      <c r="N67" s="123">
        <v>27.1</v>
      </c>
      <c r="O67" s="123">
        <v>11.5</v>
      </c>
      <c r="P67" s="123"/>
      <c r="Q67" s="123">
        <v>28.9</v>
      </c>
      <c r="R67" s="123">
        <v>9.8000000000000007</v>
      </c>
      <c r="S67" s="123"/>
      <c r="T67" s="123"/>
      <c r="U67" s="123"/>
      <c r="V67" s="123"/>
      <c r="W67" s="123" t="s">
        <v>3539</v>
      </c>
    </row>
    <row r="68" spans="1:23">
      <c r="A68" s="121">
        <v>66</v>
      </c>
      <c r="B68" s="185" t="s">
        <v>2276</v>
      </c>
      <c r="C68" s="185" t="s">
        <v>2279</v>
      </c>
      <c r="D68" s="122" t="s">
        <v>2278</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2195</v>
      </c>
      <c r="T68" s="123"/>
      <c r="U68" s="123"/>
      <c r="V68" s="123"/>
      <c r="W68" s="123"/>
    </row>
    <row r="69" spans="1:23">
      <c r="A69" s="121">
        <v>67</v>
      </c>
      <c r="B69" s="185" t="s">
        <v>2276</v>
      </c>
      <c r="C69" s="185" t="s">
        <v>2280</v>
      </c>
      <c r="D69" s="122" t="s">
        <v>2278</v>
      </c>
      <c r="E69" s="125"/>
      <c r="F69" s="125"/>
      <c r="G69" s="124"/>
      <c r="H69" s="125"/>
      <c r="I69" s="123">
        <v>908</v>
      </c>
      <c r="J69" s="125"/>
      <c r="K69" s="125"/>
      <c r="L69" s="125"/>
      <c r="M69" s="125"/>
      <c r="N69" s="125"/>
      <c r="O69" s="125"/>
      <c r="P69" s="125"/>
      <c r="Q69" s="123"/>
      <c r="R69" s="123"/>
      <c r="S69" s="123"/>
      <c r="T69" s="123"/>
      <c r="U69" s="123"/>
      <c r="V69" s="123"/>
      <c r="W69" s="123"/>
    </row>
    <row r="70" spans="1:23">
      <c r="A70" s="121">
        <v>68</v>
      </c>
      <c r="B70" s="185" t="s">
        <v>2276</v>
      </c>
      <c r="C70" s="185" t="s">
        <v>2281</v>
      </c>
      <c r="D70" s="122" t="s">
        <v>2278</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121">
        <v>69</v>
      </c>
      <c r="B71" s="185" t="s">
        <v>2276</v>
      </c>
      <c r="C71" s="185" t="s">
        <v>2282</v>
      </c>
      <c r="D71" s="122" t="s">
        <v>2278</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2319</v>
      </c>
      <c r="U71" s="123"/>
      <c r="V71" s="123"/>
      <c r="W71" s="123"/>
    </row>
    <row r="72" spans="1:23">
      <c r="A72" s="121">
        <v>70</v>
      </c>
      <c r="B72" s="185" t="s">
        <v>2276</v>
      </c>
      <c r="C72" s="185" t="s">
        <v>2283</v>
      </c>
      <c r="D72" s="122" t="s">
        <v>2278</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2195</v>
      </c>
      <c r="U72" s="123"/>
      <c r="V72" s="123"/>
      <c r="W72" s="123"/>
    </row>
    <row r="73" spans="1:23">
      <c r="A73" s="121">
        <v>71</v>
      </c>
      <c r="B73" s="185" t="s">
        <v>2276</v>
      </c>
      <c r="C73" s="185" t="s">
        <v>2284</v>
      </c>
      <c r="D73" s="122" t="s">
        <v>2278</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121">
        <v>72</v>
      </c>
      <c r="B74" s="185" t="s">
        <v>2276</v>
      </c>
      <c r="C74" s="185" t="s">
        <v>2285</v>
      </c>
      <c r="D74" s="122" t="s">
        <v>2278</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121">
        <v>73</v>
      </c>
      <c r="B75" s="185" t="s">
        <v>2276</v>
      </c>
      <c r="C75" s="185" t="s">
        <v>2286</v>
      </c>
      <c r="D75" s="122" t="s">
        <v>2287</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3539</v>
      </c>
    </row>
    <row r="76" spans="1:23">
      <c r="A76" s="121">
        <v>74</v>
      </c>
      <c r="B76" s="185" t="s">
        <v>2276</v>
      </c>
      <c r="C76" s="185" t="s">
        <v>2288</v>
      </c>
      <c r="D76" s="122" t="s">
        <v>2287</v>
      </c>
      <c r="E76" s="124">
        <v>42937</v>
      </c>
      <c r="F76" s="125">
        <v>0.65972222222222221</v>
      </c>
      <c r="G76" s="124">
        <v>43006</v>
      </c>
      <c r="H76" s="125">
        <v>0.6430555555555556</v>
      </c>
      <c r="I76" s="123">
        <v>1129</v>
      </c>
      <c r="J76" s="123">
        <v>329</v>
      </c>
      <c r="K76" s="123">
        <v>825</v>
      </c>
      <c r="L76" s="123">
        <v>866</v>
      </c>
      <c r="M76" s="123">
        <v>275</v>
      </c>
      <c r="N76" s="123">
        <v>27.3</v>
      </c>
      <c r="O76" s="123">
        <v>10.8</v>
      </c>
      <c r="P76" s="123" t="s">
        <v>2520</v>
      </c>
      <c r="Q76" s="123">
        <v>28.9</v>
      </c>
      <c r="R76" s="123">
        <v>10.8</v>
      </c>
      <c r="S76" s="123"/>
      <c r="T76" s="123"/>
      <c r="U76" s="123"/>
      <c r="V76" s="123"/>
      <c r="W76" s="123"/>
    </row>
    <row r="77" spans="1:23">
      <c r="A77" s="121">
        <v>75</v>
      </c>
      <c r="B77" s="185" t="s">
        <v>2276</v>
      </c>
      <c r="C77" s="185" t="s">
        <v>2289</v>
      </c>
      <c r="D77" s="122" t="s">
        <v>2287</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2179</v>
      </c>
      <c r="T77" s="123"/>
      <c r="U77" s="123"/>
      <c r="V77" s="123"/>
      <c r="W77" s="123"/>
    </row>
    <row r="78" spans="1:23">
      <c r="A78" s="121">
        <v>76</v>
      </c>
      <c r="B78" s="185" t="s">
        <v>2276</v>
      </c>
      <c r="C78" s="185" t="s">
        <v>2290</v>
      </c>
      <c r="D78" s="122" t="s">
        <v>2287</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121">
        <v>77</v>
      </c>
      <c r="B79" s="185" t="s">
        <v>2276</v>
      </c>
      <c r="C79" s="185" t="s">
        <v>2291</v>
      </c>
      <c r="D79" s="122" t="s">
        <v>2287</v>
      </c>
      <c r="E79" s="123"/>
      <c r="F79" s="123"/>
      <c r="G79" s="123"/>
      <c r="H79" s="125"/>
      <c r="I79" s="123">
        <v>1134</v>
      </c>
      <c r="J79" s="123"/>
      <c r="K79" s="123"/>
      <c r="L79" s="123"/>
      <c r="M79" s="123"/>
      <c r="N79" s="123"/>
      <c r="O79" s="123"/>
      <c r="P79" s="123"/>
      <c r="Q79" s="123"/>
      <c r="R79" s="123"/>
      <c r="S79" s="123"/>
      <c r="T79" s="123"/>
      <c r="U79" s="123"/>
      <c r="V79" s="123"/>
      <c r="W79" s="123"/>
    </row>
    <row r="80" spans="1:23">
      <c r="A80" s="121">
        <v>78</v>
      </c>
      <c r="B80" s="185" t="s">
        <v>2276</v>
      </c>
      <c r="C80" s="185" t="s">
        <v>2292</v>
      </c>
      <c r="D80" s="122" t="s">
        <v>2287</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2179</v>
      </c>
      <c r="T80" s="123" t="s">
        <v>2179</v>
      </c>
      <c r="U80" s="123"/>
      <c r="V80" s="123"/>
      <c r="W80" s="123"/>
    </row>
    <row r="81" spans="1:23">
      <c r="A81" s="121">
        <v>79</v>
      </c>
      <c r="B81" s="185" t="s">
        <v>2276</v>
      </c>
      <c r="C81" s="185" t="s">
        <v>2293</v>
      </c>
      <c r="D81" s="122" t="s">
        <v>2287</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121">
        <v>80</v>
      </c>
      <c r="B82" s="185" t="s">
        <v>2276</v>
      </c>
      <c r="C82" s="185" t="s">
        <v>2294</v>
      </c>
      <c r="D82" s="122" t="s">
        <v>2287</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121">
        <v>81</v>
      </c>
      <c r="B83" s="185" t="s">
        <v>2276</v>
      </c>
      <c r="C83" s="185" t="s">
        <v>2295</v>
      </c>
      <c r="D83" s="122" t="s">
        <v>2296</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121">
        <v>82</v>
      </c>
      <c r="B84" s="185" t="s">
        <v>2276</v>
      </c>
      <c r="C84" s="185" t="s">
        <v>2298</v>
      </c>
      <c r="D84" s="122" t="s">
        <v>2296</v>
      </c>
      <c r="E84" s="124">
        <v>42937</v>
      </c>
      <c r="F84" s="125">
        <v>0.31944444444444448</v>
      </c>
      <c r="G84" s="124">
        <v>43006</v>
      </c>
      <c r="H84" s="125">
        <v>0.49374999999999997</v>
      </c>
      <c r="I84" s="188">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121">
        <v>83</v>
      </c>
      <c r="B85" s="185" t="s">
        <v>2276</v>
      </c>
      <c r="C85" s="185" t="s">
        <v>2299</v>
      </c>
      <c r="D85" s="122" t="s">
        <v>2296</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2179</v>
      </c>
      <c r="T85" s="123"/>
      <c r="U85" s="123"/>
      <c r="V85" s="123"/>
      <c r="W85" s="123"/>
    </row>
    <row r="86" spans="1:23">
      <c r="A86" s="121">
        <v>84</v>
      </c>
      <c r="B86" s="185" t="s">
        <v>2276</v>
      </c>
      <c r="C86" s="185" t="s">
        <v>2300</v>
      </c>
      <c r="D86" s="122" t="s">
        <v>2296</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2179</v>
      </c>
      <c r="T86" s="123"/>
      <c r="U86" s="123"/>
      <c r="V86" s="123"/>
      <c r="W86" s="123"/>
    </row>
    <row r="87" spans="1:23">
      <c r="A87" s="121">
        <v>85</v>
      </c>
      <c r="B87" s="185" t="s">
        <v>2276</v>
      </c>
      <c r="C87" s="185" t="s">
        <v>2301</v>
      </c>
      <c r="D87" s="122" t="s">
        <v>2296</v>
      </c>
      <c r="E87" s="123"/>
      <c r="F87" s="123"/>
      <c r="G87" s="123"/>
      <c r="H87" s="123"/>
      <c r="I87" s="123">
        <v>888</v>
      </c>
      <c r="J87" s="123"/>
      <c r="K87" s="123"/>
      <c r="L87" s="123"/>
      <c r="M87" s="123"/>
      <c r="N87" s="123"/>
      <c r="O87" s="123"/>
      <c r="P87" s="123"/>
      <c r="Q87" s="123"/>
      <c r="R87" s="123"/>
      <c r="S87" s="123"/>
      <c r="T87" s="123"/>
      <c r="U87" s="123"/>
      <c r="V87" s="123"/>
      <c r="W87" s="123"/>
    </row>
    <row r="88" spans="1:23">
      <c r="A88" s="121">
        <v>86</v>
      </c>
      <c r="B88" s="185" t="s">
        <v>2276</v>
      </c>
      <c r="C88" s="185" t="s">
        <v>2302</v>
      </c>
      <c r="D88" s="122" t="s">
        <v>2296</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2179</v>
      </c>
      <c r="T88" s="123"/>
      <c r="U88" s="123"/>
      <c r="V88" s="123"/>
      <c r="W88" s="123" t="s">
        <v>3539</v>
      </c>
    </row>
    <row r="89" spans="1:23">
      <c r="A89" s="121">
        <v>87</v>
      </c>
      <c r="B89" s="185" t="s">
        <v>2276</v>
      </c>
      <c r="C89" s="185" t="s">
        <v>2303</v>
      </c>
      <c r="D89" s="122" t="s">
        <v>2296</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121">
        <v>88</v>
      </c>
      <c r="B90" s="185" t="s">
        <v>2276</v>
      </c>
      <c r="C90" s="185" t="s">
        <v>2304</v>
      </c>
      <c r="D90" s="122" t="s">
        <v>2296</v>
      </c>
      <c r="E90" s="124">
        <v>42937</v>
      </c>
      <c r="F90" s="125">
        <v>0.32291666666666669</v>
      </c>
      <c r="G90" s="124">
        <v>43006</v>
      </c>
      <c r="H90" s="125">
        <v>0.49722222222222223</v>
      </c>
      <c r="I90" s="129">
        <v>891</v>
      </c>
      <c r="J90" s="123">
        <v>531</v>
      </c>
      <c r="K90" s="123">
        <v>819</v>
      </c>
      <c r="L90" s="123">
        <v>364</v>
      </c>
      <c r="M90" s="123">
        <v>197</v>
      </c>
      <c r="N90" s="123">
        <v>24.7</v>
      </c>
      <c r="O90" s="123">
        <v>11.1</v>
      </c>
      <c r="P90" s="123"/>
      <c r="Q90" s="123">
        <v>27.4</v>
      </c>
      <c r="R90" s="123">
        <v>12.3</v>
      </c>
      <c r="S90" s="123"/>
      <c r="T90" s="123"/>
      <c r="U90" s="123"/>
      <c r="V90" s="123"/>
      <c r="W90" s="123"/>
    </row>
    <row r="91" spans="1:23">
      <c r="A91" s="121">
        <v>89</v>
      </c>
      <c r="B91" s="185" t="s">
        <v>2276</v>
      </c>
      <c r="C91" s="185" t="s">
        <v>2305</v>
      </c>
      <c r="D91" s="122" t="s">
        <v>2306</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121">
        <v>90</v>
      </c>
      <c r="B92" s="185" t="s">
        <v>2276</v>
      </c>
      <c r="C92" s="185" t="s">
        <v>2307</v>
      </c>
      <c r="D92" s="122" t="s">
        <v>2306</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3539</v>
      </c>
    </row>
    <row r="93" spans="1:23">
      <c r="A93" s="121">
        <v>91</v>
      </c>
      <c r="B93" s="185" t="s">
        <v>2276</v>
      </c>
      <c r="C93" s="185" t="s">
        <v>2308</v>
      </c>
      <c r="D93" s="122" t="s">
        <v>2306</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121">
        <v>92</v>
      </c>
      <c r="B94" s="185" t="s">
        <v>2276</v>
      </c>
      <c r="C94" s="185" t="s">
        <v>2309</v>
      </c>
      <c r="D94" s="122" t="s">
        <v>2306</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2179</v>
      </c>
      <c r="T94" s="123"/>
      <c r="U94" s="123"/>
      <c r="V94" s="123"/>
      <c r="W94" s="123"/>
    </row>
    <row r="95" spans="1:23">
      <c r="A95" s="121">
        <v>93</v>
      </c>
      <c r="B95" s="185" t="s">
        <v>2276</v>
      </c>
      <c r="C95" s="185" t="s">
        <v>2310</v>
      </c>
      <c r="D95" s="122" t="s">
        <v>2306</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2179</v>
      </c>
      <c r="T95" s="123" t="s">
        <v>2179</v>
      </c>
      <c r="U95" s="123"/>
      <c r="V95" s="123"/>
      <c r="W95" s="123"/>
    </row>
    <row r="96" spans="1:23">
      <c r="A96" s="121">
        <v>94</v>
      </c>
      <c r="B96" s="185" t="s">
        <v>2276</v>
      </c>
      <c r="C96" s="185" t="s">
        <v>2311</v>
      </c>
      <c r="D96" s="122" t="s">
        <v>2306</v>
      </c>
      <c r="E96" s="123"/>
      <c r="F96" s="123"/>
      <c r="G96" s="123"/>
      <c r="H96" s="123"/>
      <c r="I96" s="123">
        <v>903</v>
      </c>
      <c r="J96" s="123"/>
      <c r="K96" s="123"/>
      <c r="L96" s="123"/>
      <c r="M96" s="123"/>
      <c r="N96" s="123"/>
      <c r="O96" s="123"/>
      <c r="P96" s="123"/>
      <c r="Q96" s="123"/>
      <c r="R96" s="123"/>
      <c r="S96" s="123"/>
      <c r="T96" s="123"/>
      <c r="U96" s="123"/>
      <c r="V96" s="123"/>
      <c r="W96" s="123"/>
    </row>
    <row r="97" spans="1:23">
      <c r="A97" s="121">
        <v>95</v>
      </c>
      <c r="B97" s="185" t="s">
        <v>2276</v>
      </c>
      <c r="C97" s="185" t="s">
        <v>2312</v>
      </c>
      <c r="D97" s="122" t="s">
        <v>2306</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121">
        <v>96</v>
      </c>
      <c r="B98" s="185" t="s">
        <v>2276</v>
      </c>
      <c r="C98" s="185" t="s">
        <v>2313</v>
      </c>
      <c r="D98" s="122" t="s">
        <v>2306</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121">
        <v>97</v>
      </c>
      <c r="B99" s="185" t="s">
        <v>2314</v>
      </c>
      <c r="C99" s="185" t="s">
        <v>2315</v>
      </c>
      <c r="D99" s="122" t="s">
        <v>2178</v>
      </c>
      <c r="E99" s="124">
        <v>42939</v>
      </c>
      <c r="F99" s="125">
        <v>0.57291666666666663</v>
      </c>
      <c r="G99" s="124">
        <v>43010</v>
      </c>
      <c r="H99" s="125">
        <v>0.44791666666666669</v>
      </c>
      <c r="I99" s="123">
        <v>718</v>
      </c>
      <c r="J99" s="123">
        <v>432</v>
      </c>
      <c r="K99" s="123">
        <v>801</v>
      </c>
      <c r="L99" s="123">
        <v>3</v>
      </c>
      <c r="M99" s="123">
        <v>47</v>
      </c>
      <c r="N99" s="123">
        <v>29.1</v>
      </c>
      <c r="O99" s="123">
        <v>5.6</v>
      </c>
      <c r="P99" s="123" t="s">
        <v>2521</v>
      </c>
      <c r="Q99" s="123">
        <v>27.9</v>
      </c>
      <c r="R99" s="123">
        <v>7.6</v>
      </c>
      <c r="S99" s="123" t="s">
        <v>2238</v>
      </c>
      <c r="T99" s="123" t="s">
        <v>2238</v>
      </c>
      <c r="U99" s="123"/>
      <c r="V99" s="123"/>
      <c r="W99" s="123" t="s">
        <v>3541</v>
      </c>
    </row>
    <row r="100" spans="1:23">
      <c r="A100" s="121">
        <v>98</v>
      </c>
      <c r="B100" s="185" t="s">
        <v>2314</v>
      </c>
      <c r="C100" s="185" t="s">
        <v>2316</v>
      </c>
      <c r="D100" s="122" t="s">
        <v>2178</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2521</v>
      </c>
      <c r="Q100" s="123">
        <v>28.5</v>
      </c>
      <c r="R100" s="123">
        <v>9.1</v>
      </c>
      <c r="S100" s="123" t="s">
        <v>2238</v>
      </c>
      <c r="T100" s="123" t="s">
        <v>2238</v>
      </c>
      <c r="U100" s="123"/>
      <c r="V100" s="123"/>
      <c r="W100" s="123" t="s">
        <v>3542</v>
      </c>
    </row>
    <row r="101" spans="1:23">
      <c r="A101" s="121">
        <v>99</v>
      </c>
      <c r="B101" s="185" t="s">
        <v>2314</v>
      </c>
      <c r="C101" s="185" t="s">
        <v>2317</v>
      </c>
      <c r="D101" s="122" t="s">
        <v>2178</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121">
        <v>100</v>
      </c>
      <c r="B102" s="185" t="s">
        <v>2314</v>
      </c>
      <c r="C102" s="185" t="s">
        <v>2318</v>
      </c>
      <c r="D102" s="122" t="s">
        <v>2178</v>
      </c>
      <c r="E102" s="124">
        <v>42939</v>
      </c>
      <c r="F102" s="125">
        <v>0.57638888888888895</v>
      </c>
      <c r="G102" s="124">
        <v>43010</v>
      </c>
      <c r="H102" s="123" t="s">
        <v>3540</v>
      </c>
      <c r="I102" s="123">
        <v>721</v>
      </c>
      <c r="J102" s="123">
        <v>176</v>
      </c>
      <c r="K102" s="123">
        <v>276</v>
      </c>
      <c r="L102" s="123">
        <v>187</v>
      </c>
      <c r="M102" s="123">
        <v>641</v>
      </c>
      <c r="N102" s="123">
        <v>31.3</v>
      </c>
      <c r="O102" s="123">
        <v>5.5</v>
      </c>
      <c r="P102" s="123" t="s">
        <v>2521</v>
      </c>
      <c r="Q102" s="123">
        <v>26.9</v>
      </c>
      <c r="R102" s="123">
        <v>8</v>
      </c>
      <c r="S102" s="123" t="s">
        <v>2238</v>
      </c>
      <c r="T102" s="123" t="s">
        <v>2238</v>
      </c>
      <c r="U102" s="123"/>
      <c r="V102" s="123"/>
      <c r="W102" s="123"/>
    </row>
    <row r="103" spans="1:23">
      <c r="A103" s="121">
        <v>101</v>
      </c>
      <c r="B103" s="185" t="s">
        <v>2314</v>
      </c>
      <c r="C103" s="185" t="s">
        <v>2320</v>
      </c>
      <c r="D103" s="122" t="s">
        <v>2178</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2521</v>
      </c>
      <c r="Q103" s="123">
        <v>27.9</v>
      </c>
      <c r="R103" s="123">
        <v>9.5</v>
      </c>
      <c r="S103" s="123" t="s">
        <v>2319</v>
      </c>
      <c r="T103" s="123" t="s">
        <v>2238</v>
      </c>
      <c r="U103" s="123"/>
      <c r="V103" s="123"/>
      <c r="W103" s="123"/>
    </row>
    <row r="104" spans="1:23">
      <c r="A104" s="121">
        <v>102</v>
      </c>
      <c r="B104" s="185" t="s">
        <v>2314</v>
      </c>
      <c r="C104" s="185" t="s">
        <v>2321</v>
      </c>
      <c r="D104" s="122" t="s">
        <v>2178</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2521</v>
      </c>
      <c r="Q104" s="123">
        <v>28</v>
      </c>
      <c r="R104" s="123">
        <v>8.8000000000000007</v>
      </c>
      <c r="S104" s="123" t="s">
        <v>2195</v>
      </c>
      <c r="T104" s="123" t="s">
        <v>2195</v>
      </c>
      <c r="U104" s="123"/>
      <c r="V104" s="123"/>
      <c r="W104" s="123"/>
    </row>
    <row r="105" spans="1:23">
      <c r="A105" s="121">
        <v>103</v>
      </c>
      <c r="B105" s="185" t="s">
        <v>2314</v>
      </c>
      <c r="C105" s="185" t="s">
        <v>2322</v>
      </c>
      <c r="D105" s="122" t="s">
        <v>2178</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2521</v>
      </c>
      <c r="Q105" s="123">
        <v>27.4</v>
      </c>
      <c r="R105" s="123">
        <v>9.8000000000000007</v>
      </c>
      <c r="S105" s="123" t="s">
        <v>2195</v>
      </c>
      <c r="T105" s="123" t="s">
        <v>2195</v>
      </c>
      <c r="U105" s="123"/>
      <c r="V105" s="123"/>
      <c r="W105" s="123" t="s">
        <v>3543</v>
      </c>
    </row>
    <row r="106" spans="1:23">
      <c r="A106" s="121">
        <v>104</v>
      </c>
      <c r="B106" s="185" t="s">
        <v>2314</v>
      </c>
      <c r="C106" s="185" t="s">
        <v>2323</v>
      </c>
      <c r="D106" s="122" t="s">
        <v>2178</v>
      </c>
      <c r="E106" s="124">
        <v>42939</v>
      </c>
      <c r="F106" s="125">
        <v>0.57638888888888895</v>
      </c>
      <c r="G106" s="124">
        <v>43010</v>
      </c>
      <c r="H106" s="125">
        <v>0.46458333333333335</v>
      </c>
      <c r="I106" s="123">
        <v>725</v>
      </c>
      <c r="J106" s="123">
        <v>162</v>
      </c>
      <c r="K106" s="123">
        <v>744</v>
      </c>
      <c r="L106" s="123">
        <v>76</v>
      </c>
      <c r="M106" s="164">
        <v>365</v>
      </c>
      <c r="N106" s="123">
        <v>28.6</v>
      </c>
      <c r="O106" s="123">
        <v>7.6</v>
      </c>
      <c r="P106" s="123" t="s">
        <v>2521</v>
      </c>
      <c r="Q106" s="123">
        <v>27.5</v>
      </c>
      <c r="R106" s="123">
        <v>11</v>
      </c>
      <c r="S106" s="123" t="s">
        <v>2319</v>
      </c>
      <c r="T106" s="123" t="s">
        <v>2195</v>
      </c>
      <c r="U106" s="123"/>
      <c r="V106" s="123"/>
      <c r="W106" s="123"/>
    </row>
    <row r="107" spans="1:23">
      <c r="A107" s="121">
        <v>105</v>
      </c>
      <c r="B107" s="185" t="s">
        <v>2314</v>
      </c>
      <c r="C107" s="185" t="s">
        <v>2324</v>
      </c>
      <c r="D107" s="122" t="s">
        <v>2194</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2521</v>
      </c>
      <c r="Q107" s="123">
        <v>28.3</v>
      </c>
      <c r="R107" s="123">
        <v>9.4</v>
      </c>
      <c r="S107" s="123"/>
      <c r="T107" s="123" t="s">
        <v>2195</v>
      </c>
      <c r="U107" s="123"/>
      <c r="V107" s="123"/>
      <c r="W107" s="123" t="s">
        <v>3525</v>
      </c>
    </row>
    <row r="108" spans="1:23">
      <c r="A108" s="121">
        <v>106</v>
      </c>
      <c r="B108" s="185" t="s">
        <v>2314</v>
      </c>
      <c r="C108" s="185" t="s">
        <v>2325</v>
      </c>
      <c r="D108" s="122" t="s">
        <v>2194</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2521</v>
      </c>
      <c r="Q108" s="123">
        <v>31.5</v>
      </c>
      <c r="R108" s="123">
        <v>6.5</v>
      </c>
      <c r="S108" s="123" t="s">
        <v>2179</v>
      </c>
      <c r="T108" s="123" t="s">
        <v>2195</v>
      </c>
      <c r="U108" s="123"/>
      <c r="V108" s="123"/>
      <c r="W108" s="123"/>
    </row>
    <row r="109" spans="1:23">
      <c r="A109" s="121">
        <v>107</v>
      </c>
      <c r="B109" s="185" t="s">
        <v>2314</v>
      </c>
      <c r="C109" s="185" t="s">
        <v>2326</v>
      </c>
      <c r="D109" s="122" t="s">
        <v>2194</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2521</v>
      </c>
      <c r="Q109" s="123">
        <v>29.1</v>
      </c>
      <c r="R109" s="123">
        <v>5</v>
      </c>
      <c r="S109" s="123" t="s">
        <v>2238</v>
      </c>
      <c r="T109" s="123" t="s">
        <v>2238</v>
      </c>
      <c r="U109" s="123"/>
      <c r="V109" s="123"/>
      <c r="W109" s="123" t="s">
        <v>3544</v>
      </c>
    </row>
    <row r="110" spans="1:23">
      <c r="A110" s="121">
        <v>108</v>
      </c>
      <c r="B110" s="185" t="s">
        <v>2314</v>
      </c>
      <c r="C110" s="185" t="s">
        <v>2327</v>
      </c>
      <c r="D110" s="122" t="s">
        <v>2194</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2521</v>
      </c>
      <c r="Q110" s="123">
        <v>29.9</v>
      </c>
      <c r="R110" s="123">
        <v>9.8000000000000007</v>
      </c>
      <c r="S110" s="123" t="s">
        <v>2319</v>
      </c>
      <c r="T110" s="123"/>
      <c r="U110" s="123"/>
      <c r="V110" s="123"/>
      <c r="W110" s="123"/>
    </row>
    <row r="111" spans="1:23">
      <c r="A111" s="121">
        <v>109</v>
      </c>
      <c r="B111" s="185" t="s">
        <v>2314</v>
      </c>
      <c r="C111" s="185" t="s">
        <v>2329</v>
      </c>
      <c r="D111" s="122" t="s">
        <v>2194</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2521</v>
      </c>
      <c r="Q111" s="123">
        <v>28.9</v>
      </c>
      <c r="R111" s="123">
        <v>9.9</v>
      </c>
      <c r="S111" s="123"/>
      <c r="T111" s="123" t="s">
        <v>2195</v>
      </c>
      <c r="U111" s="123"/>
      <c r="V111" s="123"/>
      <c r="W111" s="123"/>
    </row>
    <row r="112" spans="1:23">
      <c r="A112" s="121">
        <v>110</v>
      </c>
      <c r="B112" s="185" t="s">
        <v>2314</v>
      </c>
      <c r="C112" s="185" t="s">
        <v>2330</v>
      </c>
      <c r="D112" s="122" t="s">
        <v>2194</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2521</v>
      </c>
      <c r="Q112" s="123">
        <v>29.6</v>
      </c>
      <c r="R112" s="123">
        <v>8.8000000000000007</v>
      </c>
      <c r="S112" s="123" t="s">
        <v>2238</v>
      </c>
      <c r="T112" s="123" t="s">
        <v>2238</v>
      </c>
      <c r="U112" s="123"/>
      <c r="V112" s="123"/>
      <c r="W112" s="123"/>
    </row>
    <row r="113" spans="1:23">
      <c r="A113" s="121">
        <v>111</v>
      </c>
      <c r="B113" s="185" t="s">
        <v>2314</v>
      </c>
      <c r="C113" s="185" t="s">
        <v>2331</v>
      </c>
      <c r="D113" s="122" t="s">
        <v>2194</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2522</v>
      </c>
      <c r="Q113" s="123">
        <v>27.9</v>
      </c>
      <c r="R113" s="123">
        <v>9.5</v>
      </c>
      <c r="S113" s="123" t="s">
        <v>2319</v>
      </c>
      <c r="T113" s="123"/>
      <c r="U113" s="123"/>
      <c r="V113" s="123"/>
      <c r="W113" s="123"/>
    </row>
    <row r="114" spans="1:23">
      <c r="A114" s="121">
        <v>112</v>
      </c>
      <c r="B114" s="185" t="s">
        <v>2314</v>
      </c>
      <c r="C114" s="185" t="s">
        <v>2332</v>
      </c>
      <c r="D114" s="122" t="s">
        <v>2194</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121">
        <v>113</v>
      </c>
      <c r="B115" s="185" t="s">
        <v>2314</v>
      </c>
      <c r="C115" s="185" t="s">
        <v>2333</v>
      </c>
      <c r="D115" s="122" t="s">
        <v>2208</v>
      </c>
      <c r="E115" s="124">
        <v>42939</v>
      </c>
      <c r="F115" s="123"/>
      <c r="G115" s="124">
        <v>43008</v>
      </c>
      <c r="H115" s="125">
        <v>0.56736111111111109</v>
      </c>
      <c r="I115" s="123">
        <v>739</v>
      </c>
      <c r="J115" s="123">
        <v>314</v>
      </c>
      <c r="K115" s="123">
        <v>807</v>
      </c>
      <c r="L115" s="123">
        <v>490</v>
      </c>
      <c r="M115" s="123">
        <v>313</v>
      </c>
      <c r="N115" s="123">
        <v>26.8</v>
      </c>
      <c r="O115" s="123">
        <v>5.8</v>
      </c>
      <c r="P115" s="123" t="s">
        <v>2521</v>
      </c>
      <c r="Q115" s="123">
        <v>31</v>
      </c>
      <c r="R115" s="123">
        <v>6.9</v>
      </c>
      <c r="S115" s="123" t="s">
        <v>2187</v>
      </c>
      <c r="T115" s="123"/>
      <c r="U115" s="123"/>
      <c r="V115" s="123"/>
      <c r="W115" s="123"/>
    </row>
    <row r="116" spans="1:23">
      <c r="A116" s="121">
        <v>114</v>
      </c>
      <c r="B116" s="185" t="s">
        <v>2314</v>
      </c>
      <c r="C116" s="185" t="s">
        <v>2334</v>
      </c>
      <c r="D116" s="122" t="s">
        <v>2208</v>
      </c>
      <c r="E116" s="124">
        <v>42939</v>
      </c>
      <c r="F116" s="123"/>
      <c r="G116" s="124">
        <v>43008</v>
      </c>
      <c r="H116" s="125">
        <v>0.56874999999999998</v>
      </c>
      <c r="I116" s="123">
        <v>740</v>
      </c>
      <c r="J116" s="123">
        <v>263</v>
      </c>
      <c r="K116" s="123">
        <v>829</v>
      </c>
      <c r="L116" s="123">
        <v>650</v>
      </c>
      <c r="M116" s="123">
        <v>247</v>
      </c>
      <c r="N116" s="123">
        <v>26.6</v>
      </c>
      <c r="O116" s="123">
        <v>7.2</v>
      </c>
      <c r="P116" s="123" t="s">
        <v>2521</v>
      </c>
      <c r="Q116" s="123">
        <v>29.6</v>
      </c>
      <c r="R116" s="123">
        <v>17</v>
      </c>
      <c r="S116" s="123"/>
      <c r="T116" s="123" t="s">
        <v>2179</v>
      </c>
      <c r="U116" s="123"/>
      <c r="V116" s="123"/>
      <c r="W116" s="123"/>
    </row>
    <row r="117" spans="1:23">
      <c r="A117" s="121">
        <v>115</v>
      </c>
      <c r="B117" s="185" t="s">
        <v>2314</v>
      </c>
      <c r="C117" s="185" t="s">
        <v>2335</v>
      </c>
      <c r="D117" s="122" t="s">
        <v>2208</v>
      </c>
      <c r="E117" s="124">
        <v>42939</v>
      </c>
      <c r="F117" s="123"/>
      <c r="G117" s="124">
        <v>43008</v>
      </c>
      <c r="H117" s="125">
        <v>0.57013888888888886</v>
      </c>
      <c r="I117" s="123">
        <v>741</v>
      </c>
      <c r="J117" s="123">
        <v>125</v>
      </c>
      <c r="K117" s="123">
        <v>766</v>
      </c>
      <c r="L117" s="123">
        <v>873</v>
      </c>
      <c r="M117" s="123">
        <v>671</v>
      </c>
      <c r="N117" s="123">
        <v>27</v>
      </c>
      <c r="O117" s="123">
        <v>4</v>
      </c>
      <c r="P117" s="123" t="s">
        <v>2521</v>
      </c>
      <c r="Q117" s="123">
        <v>30.9</v>
      </c>
      <c r="R117" s="123">
        <v>9.8000000000000007</v>
      </c>
      <c r="S117" s="123" t="s">
        <v>2187</v>
      </c>
      <c r="T117" s="123" t="s">
        <v>2206</v>
      </c>
      <c r="U117" s="123"/>
      <c r="V117" s="123"/>
      <c r="W117" s="123"/>
    </row>
    <row r="118" spans="1:23">
      <c r="A118" s="121">
        <v>116</v>
      </c>
      <c r="B118" s="185" t="s">
        <v>2314</v>
      </c>
      <c r="C118" s="185" t="s">
        <v>2336</v>
      </c>
      <c r="D118" s="122" t="s">
        <v>2208</v>
      </c>
      <c r="E118" s="124">
        <v>42939</v>
      </c>
      <c r="F118" s="123"/>
      <c r="G118" s="124">
        <v>43008</v>
      </c>
      <c r="H118" s="125">
        <v>0.5625</v>
      </c>
      <c r="I118" s="123">
        <v>742</v>
      </c>
      <c r="J118" s="123">
        <v>189</v>
      </c>
      <c r="K118" s="123">
        <v>757</v>
      </c>
      <c r="L118" s="123">
        <v>206</v>
      </c>
      <c r="M118" s="123">
        <v>638</v>
      </c>
      <c r="N118" s="123">
        <v>28.7</v>
      </c>
      <c r="O118" s="123">
        <v>5.8</v>
      </c>
      <c r="P118" s="123" t="s">
        <v>2521</v>
      </c>
      <c r="Q118" s="123">
        <v>30.9</v>
      </c>
      <c r="R118" s="123">
        <v>11.5</v>
      </c>
      <c r="S118" s="123" t="s">
        <v>2187</v>
      </c>
      <c r="T118" s="123"/>
      <c r="U118" s="123"/>
      <c r="V118" s="123"/>
      <c r="W118" s="123"/>
    </row>
    <row r="119" spans="1:23">
      <c r="A119" s="121">
        <v>117</v>
      </c>
      <c r="B119" s="185" t="s">
        <v>2314</v>
      </c>
      <c r="C119" s="185" t="s">
        <v>2337</v>
      </c>
      <c r="D119" s="122" t="s">
        <v>2208</v>
      </c>
      <c r="E119" s="124">
        <v>42939</v>
      </c>
      <c r="F119" s="123"/>
      <c r="G119" s="124">
        <v>43008</v>
      </c>
      <c r="H119" s="125">
        <v>0.55763888888888891</v>
      </c>
      <c r="I119" s="123">
        <v>743</v>
      </c>
      <c r="J119" s="123">
        <v>533</v>
      </c>
      <c r="K119" s="123">
        <v>745</v>
      </c>
      <c r="L119" s="123">
        <v>163</v>
      </c>
      <c r="M119" s="123">
        <v>719</v>
      </c>
      <c r="N119" s="123">
        <v>27.6</v>
      </c>
      <c r="O119" s="123">
        <v>5.6</v>
      </c>
      <c r="P119" s="123" t="s">
        <v>2521</v>
      </c>
      <c r="Q119" s="123">
        <v>30.5</v>
      </c>
      <c r="R119" s="123">
        <v>14.7</v>
      </c>
      <c r="S119" s="123" t="s">
        <v>2187</v>
      </c>
      <c r="T119" s="123"/>
      <c r="U119" s="123"/>
      <c r="V119" s="123"/>
      <c r="W119" s="123" t="s">
        <v>3539</v>
      </c>
    </row>
    <row r="120" spans="1:23">
      <c r="A120" s="121">
        <v>118</v>
      </c>
      <c r="B120" s="185" t="s">
        <v>2314</v>
      </c>
      <c r="C120" s="185" t="s">
        <v>2338</v>
      </c>
      <c r="D120" s="122" t="s">
        <v>2208</v>
      </c>
      <c r="E120" s="124">
        <v>42939</v>
      </c>
      <c r="F120" s="123"/>
      <c r="G120" s="124">
        <v>43008</v>
      </c>
      <c r="H120" s="125">
        <v>0.56388888888888888</v>
      </c>
      <c r="I120" s="123">
        <v>744</v>
      </c>
      <c r="J120" s="123">
        <v>200</v>
      </c>
      <c r="K120" s="123">
        <v>791</v>
      </c>
      <c r="L120" s="123">
        <v>83</v>
      </c>
      <c r="M120" s="123">
        <v>173</v>
      </c>
      <c r="N120" s="123">
        <v>26.8</v>
      </c>
      <c r="O120" s="123">
        <v>5.3</v>
      </c>
      <c r="P120" s="123" t="s">
        <v>2521</v>
      </c>
      <c r="Q120" s="123">
        <v>29.7</v>
      </c>
      <c r="R120" s="123">
        <v>10.3</v>
      </c>
      <c r="S120" s="123" t="s">
        <v>2206</v>
      </c>
      <c r="T120" s="123"/>
      <c r="U120" s="123" t="s">
        <v>2187</v>
      </c>
      <c r="V120" s="123"/>
      <c r="W120" s="123"/>
    </row>
    <row r="121" spans="1:23">
      <c r="A121" s="121">
        <v>119</v>
      </c>
      <c r="B121" s="185" t="s">
        <v>2314</v>
      </c>
      <c r="C121" s="185" t="s">
        <v>2339</v>
      </c>
      <c r="D121" s="122" t="s">
        <v>2208</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2521</v>
      </c>
      <c r="Q121" s="123">
        <v>29.5</v>
      </c>
      <c r="R121" s="123">
        <v>11</v>
      </c>
      <c r="S121" s="123" t="s">
        <v>2179</v>
      </c>
      <c r="T121" s="123"/>
      <c r="U121" s="123" t="s">
        <v>2187</v>
      </c>
      <c r="V121" s="123"/>
      <c r="W121" s="123"/>
    </row>
    <row r="122" spans="1:23">
      <c r="A122" s="121">
        <v>120</v>
      </c>
      <c r="B122" s="185" t="s">
        <v>2314</v>
      </c>
      <c r="C122" s="185" t="s">
        <v>2340</v>
      </c>
      <c r="D122" s="122" t="s">
        <v>2208</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121">
        <v>121</v>
      </c>
      <c r="B123" s="185" t="s">
        <v>2314</v>
      </c>
      <c r="C123" s="185" t="s">
        <v>2341</v>
      </c>
      <c r="D123" s="122" t="s">
        <v>2218</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2521</v>
      </c>
      <c r="Q123" s="123">
        <v>31.5</v>
      </c>
      <c r="R123" s="123">
        <v>7.3</v>
      </c>
      <c r="S123" s="123"/>
      <c r="T123" s="123"/>
      <c r="U123" s="123"/>
      <c r="V123" s="123"/>
      <c r="W123" s="123" t="s">
        <v>3525</v>
      </c>
    </row>
    <row r="124" spans="1:23">
      <c r="A124" s="121">
        <v>122</v>
      </c>
      <c r="B124" s="185" t="s">
        <v>2314</v>
      </c>
      <c r="C124" s="185" t="s">
        <v>2342</v>
      </c>
      <c r="D124" s="122" t="s">
        <v>2218</v>
      </c>
      <c r="E124" s="124">
        <v>42939</v>
      </c>
      <c r="F124" s="123"/>
      <c r="G124" s="124">
        <v>43008</v>
      </c>
      <c r="H124" s="125">
        <v>0.54375000000000007</v>
      </c>
      <c r="I124" s="123">
        <v>749</v>
      </c>
      <c r="J124" s="165">
        <v>231</v>
      </c>
      <c r="K124" s="123">
        <v>792</v>
      </c>
      <c r="L124" s="123">
        <v>109</v>
      </c>
      <c r="M124" s="123">
        <v>388</v>
      </c>
      <c r="N124" s="123">
        <v>26.8</v>
      </c>
      <c r="O124" s="123">
        <v>3.8</v>
      </c>
      <c r="P124" s="123" t="s">
        <v>2521</v>
      </c>
      <c r="Q124" s="123">
        <v>30.3</v>
      </c>
      <c r="R124" s="123">
        <v>14.3</v>
      </c>
      <c r="S124" s="123" t="s">
        <v>2179</v>
      </c>
      <c r="T124" s="123" t="s">
        <v>2195</v>
      </c>
      <c r="U124" s="123"/>
      <c r="V124" s="123"/>
      <c r="W124" s="123"/>
    </row>
    <row r="125" spans="1:23">
      <c r="A125" s="121">
        <v>123</v>
      </c>
      <c r="B125" s="185" t="s">
        <v>2314</v>
      </c>
      <c r="C125" s="185" t="s">
        <v>2343</v>
      </c>
      <c r="D125" s="122" t="s">
        <v>2218</v>
      </c>
      <c r="E125" s="124">
        <v>42939</v>
      </c>
      <c r="F125" s="123"/>
      <c r="G125" s="124">
        <v>43008</v>
      </c>
      <c r="H125" s="125">
        <v>0.55138888888888882</v>
      </c>
      <c r="I125" s="123">
        <v>751</v>
      </c>
      <c r="J125" s="123">
        <v>292</v>
      </c>
      <c r="K125" s="129">
        <v>740</v>
      </c>
      <c r="L125" s="123">
        <v>344</v>
      </c>
      <c r="M125" s="123">
        <v>281</v>
      </c>
      <c r="N125" s="123">
        <v>25.9</v>
      </c>
      <c r="O125" s="123">
        <v>7.8</v>
      </c>
      <c r="P125" s="123" t="s">
        <v>2521</v>
      </c>
      <c r="Q125" s="123">
        <v>28.3</v>
      </c>
      <c r="R125" s="123">
        <v>13.6</v>
      </c>
      <c r="S125" s="123" t="s">
        <v>2187</v>
      </c>
      <c r="T125" s="123"/>
      <c r="U125" s="123"/>
      <c r="V125" s="123"/>
      <c r="W125" s="123"/>
    </row>
    <row r="126" spans="1:23">
      <c r="A126" s="121">
        <v>124</v>
      </c>
      <c r="B126" s="185" t="s">
        <v>2314</v>
      </c>
      <c r="C126" s="185" t="s">
        <v>2345</v>
      </c>
      <c r="D126" s="122" t="s">
        <v>2218</v>
      </c>
      <c r="E126" s="124">
        <v>42939</v>
      </c>
      <c r="F126" s="123"/>
      <c r="G126" s="124">
        <v>43008</v>
      </c>
      <c r="H126" s="125">
        <v>0.5493055555555556</v>
      </c>
      <c r="I126" s="123">
        <v>750</v>
      </c>
      <c r="J126" s="123">
        <v>116</v>
      </c>
      <c r="K126" s="123">
        <v>797</v>
      </c>
      <c r="L126" s="123">
        <v>221</v>
      </c>
      <c r="M126" s="123">
        <v>443</v>
      </c>
      <c r="N126" s="123">
        <v>28.1</v>
      </c>
      <c r="O126" s="123">
        <v>6.7</v>
      </c>
      <c r="P126" s="123" t="s">
        <v>2521</v>
      </c>
      <c r="Q126" s="123">
        <v>28</v>
      </c>
      <c r="R126" s="123">
        <v>11.6</v>
      </c>
      <c r="S126" s="123" t="s">
        <v>2206</v>
      </c>
      <c r="T126" s="123" t="s">
        <v>2206</v>
      </c>
      <c r="U126" s="123"/>
      <c r="V126" s="123"/>
      <c r="W126" s="123"/>
    </row>
    <row r="127" spans="1:23">
      <c r="A127" s="121">
        <v>125</v>
      </c>
      <c r="B127" s="185" t="s">
        <v>2314</v>
      </c>
      <c r="C127" s="185" t="s">
        <v>2346</v>
      </c>
      <c r="D127" s="122" t="s">
        <v>2218</v>
      </c>
      <c r="E127" s="124">
        <v>42939</v>
      </c>
      <c r="F127" s="123"/>
      <c r="G127" s="124">
        <v>43008</v>
      </c>
      <c r="H127" s="125">
        <v>0.54791666666666672</v>
      </c>
      <c r="I127" s="123">
        <v>752</v>
      </c>
      <c r="J127" s="123">
        <v>50</v>
      </c>
      <c r="K127" s="123">
        <v>795</v>
      </c>
      <c r="L127" s="123">
        <v>757</v>
      </c>
      <c r="M127" s="123">
        <v>180</v>
      </c>
      <c r="N127" s="123">
        <v>27.5</v>
      </c>
      <c r="O127" s="123">
        <v>4.2</v>
      </c>
      <c r="P127" s="123" t="s">
        <v>2521</v>
      </c>
      <c r="Q127" s="123">
        <v>28.6</v>
      </c>
      <c r="R127" s="123">
        <v>17.5</v>
      </c>
      <c r="S127" s="123"/>
      <c r="T127" s="123" t="s">
        <v>2238</v>
      </c>
      <c r="U127" s="123"/>
      <c r="V127" s="123"/>
      <c r="W127" s="123"/>
    </row>
    <row r="128" spans="1:23">
      <c r="A128" s="121">
        <v>126</v>
      </c>
      <c r="B128" s="185" t="s">
        <v>2314</v>
      </c>
      <c r="C128" s="185" t="s">
        <v>2347</v>
      </c>
      <c r="D128" s="122" t="s">
        <v>2218</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121">
        <v>127</v>
      </c>
      <c r="B129" s="185" t="s">
        <v>2314</v>
      </c>
      <c r="C129" s="185" t="s">
        <v>2348</v>
      </c>
      <c r="D129" s="122" t="s">
        <v>2218</v>
      </c>
      <c r="E129" s="124">
        <v>42939</v>
      </c>
      <c r="F129" s="123"/>
      <c r="G129" s="124">
        <v>43008</v>
      </c>
      <c r="H129" s="125">
        <v>0.55277777777777781</v>
      </c>
      <c r="I129" s="123">
        <v>754</v>
      </c>
      <c r="J129" s="123">
        <v>318</v>
      </c>
      <c r="K129" s="123">
        <v>751</v>
      </c>
      <c r="L129" s="123">
        <v>96</v>
      </c>
      <c r="M129" s="123">
        <v>229</v>
      </c>
      <c r="N129" s="123">
        <v>27.5</v>
      </c>
      <c r="O129" s="123">
        <v>5.8</v>
      </c>
      <c r="P129" s="123" t="s">
        <v>2521</v>
      </c>
      <c r="Q129" s="123">
        <v>28.7</v>
      </c>
      <c r="R129" s="123">
        <v>13.6</v>
      </c>
      <c r="S129" s="123" t="s">
        <v>2187</v>
      </c>
      <c r="T129" s="123"/>
      <c r="U129" s="123" t="s">
        <v>2187</v>
      </c>
      <c r="V129" s="123"/>
      <c r="W129" s="123"/>
    </row>
    <row r="130" spans="1:23">
      <c r="A130" s="121">
        <v>128</v>
      </c>
      <c r="B130" s="185" t="s">
        <v>2314</v>
      </c>
      <c r="C130" s="185" t="s">
        <v>2349</v>
      </c>
      <c r="D130" s="122" t="s">
        <v>2218</v>
      </c>
      <c r="E130" s="124">
        <v>42939</v>
      </c>
      <c r="F130" s="123"/>
      <c r="G130" s="124">
        <v>43008</v>
      </c>
      <c r="H130" s="125">
        <v>0.54513888888888895</v>
      </c>
      <c r="I130" s="123">
        <v>755</v>
      </c>
      <c r="J130" s="123">
        <v>34</v>
      </c>
      <c r="K130" s="123">
        <v>819</v>
      </c>
      <c r="L130" s="123">
        <v>134</v>
      </c>
      <c r="M130" s="123">
        <v>272</v>
      </c>
      <c r="N130" s="123">
        <v>26.3</v>
      </c>
      <c r="O130" s="123">
        <v>3</v>
      </c>
      <c r="P130" s="123" t="s">
        <v>2521</v>
      </c>
      <c r="Q130" s="123">
        <v>30.5</v>
      </c>
      <c r="R130" s="123">
        <v>13.9</v>
      </c>
      <c r="S130" s="123"/>
      <c r="T130" s="123" t="s">
        <v>2238</v>
      </c>
      <c r="U130" s="123"/>
      <c r="V130" s="123"/>
      <c r="W130" s="123"/>
    </row>
    <row r="131" spans="1:23">
      <c r="A131" s="121">
        <v>129</v>
      </c>
      <c r="B131" s="185" t="s">
        <v>2314</v>
      </c>
      <c r="C131" s="185" t="s">
        <v>2350</v>
      </c>
      <c r="D131" s="122" t="s">
        <v>2227</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2521</v>
      </c>
      <c r="Q131" s="123">
        <v>27.6</v>
      </c>
      <c r="R131" s="123">
        <v>17.5</v>
      </c>
      <c r="S131" s="123" t="s">
        <v>2195</v>
      </c>
      <c r="T131" s="123" t="s">
        <v>2195</v>
      </c>
      <c r="U131" s="123"/>
      <c r="V131" s="123"/>
      <c r="W131" s="123"/>
    </row>
    <row r="132" spans="1:23">
      <c r="A132" s="121">
        <v>130</v>
      </c>
      <c r="B132" s="185" t="s">
        <v>2314</v>
      </c>
      <c r="C132" s="185" t="s">
        <v>2351</v>
      </c>
      <c r="D132" s="122" t="s">
        <v>2227</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2521</v>
      </c>
      <c r="Q132" s="123">
        <v>27.3</v>
      </c>
      <c r="R132" s="123">
        <v>12.4</v>
      </c>
      <c r="S132" s="123" t="s">
        <v>2319</v>
      </c>
      <c r="T132" s="123" t="s">
        <v>2195</v>
      </c>
      <c r="U132" s="123" t="s">
        <v>2187</v>
      </c>
      <c r="V132" s="123"/>
      <c r="W132" s="123"/>
    </row>
    <row r="133" spans="1:23">
      <c r="A133" s="121">
        <v>131</v>
      </c>
      <c r="B133" s="185" t="s">
        <v>2314</v>
      </c>
      <c r="C133" s="185" t="s">
        <v>2352</v>
      </c>
      <c r="D133" s="122" t="s">
        <v>2227</v>
      </c>
      <c r="E133" s="124">
        <v>42939</v>
      </c>
      <c r="F133" s="125">
        <v>0.46180555555555558</v>
      </c>
      <c r="G133" s="124">
        <v>43008</v>
      </c>
      <c r="H133" s="125">
        <v>0.4375</v>
      </c>
      <c r="I133" s="123">
        <v>672</v>
      </c>
      <c r="J133" s="123">
        <v>118</v>
      </c>
      <c r="K133" s="123">
        <v>586</v>
      </c>
      <c r="L133" s="123">
        <v>48</v>
      </c>
      <c r="M133" s="123">
        <v>188</v>
      </c>
      <c r="N133" s="123">
        <v>29</v>
      </c>
      <c r="O133" s="123">
        <v>5.5</v>
      </c>
      <c r="P133" s="123" t="s">
        <v>2521</v>
      </c>
      <c r="Q133" s="123">
        <v>28.2</v>
      </c>
      <c r="R133" s="123">
        <v>12.4</v>
      </c>
      <c r="S133" s="123" t="s">
        <v>2319</v>
      </c>
      <c r="T133" s="123" t="s">
        <v>2238</v>
      </c>
      <c r="U133" s="123" t="s">
        <v>2187</v>
      </c>
      <c r="V133" s="123" t="s">
        <v>2187</v>
      </c>
      <c r="W133" s="123"/>
    </row>
    <row r="134" spans="1:23">
      <c r="A134" s="121">
        <v>132</v>
      </c>
      <c r="B134" s="185" t="s">
        <v>2314</v>
      </c>
      <c r="C134" s="185" t="s">
        <v>2353</v>
      </c>
      <c r="D134" s="122" t="s">
        <v>2227</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121">
        <v>133</v>
      </c>
      <c r="B135" s="185" t="s">
        <v>2314</v>
      </c>
      <c r="C135" s="185" t="s">
        <v>2354</v>
      </c>
      <c r="D135" s="122" t="s">
        <v>2227</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2521</v>
      </c>
      <c r="Q135" s="123">
        <v>28.9</v>
      </c>
      <c r="R135" s="123">
        <v>11.6</v>
      </c>
      <c r="S135" s="123" t="s">
        <v>2319</v>
      </c>
      <c r="T135" s="123" t="s">
        <v>2319</v>
      </c>
      <c r="U135" s="123" t="s">
        <v>2187</v>
      </c>
      <c r="V135" s="123"/>
      <c r="W135" s="123" t="s">
        <v>3539</v>
      </c>
    </row>
    <row r="136" spans="1:23">
      <c r="A136" s="121">
        <v>134</v>
      </c>
      <c r="B136" s="185" t="s">
        <v>2314</v>
      </c>
      <c r="C136" s="185" t="s">
        <v>2355</v>
      </c>
      <c r="D136" s="122" t="s">
        <v>2227</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2521</v>
      </c>
      <c r="Q136" s="123">
        <v>28.6</v>
      </c>
      <c r="R136" s="123">
        <v>7.8</v>
      </c>
      <c r="S136" s="123" t="s">
        <v>2187</v>
      </c>
      <c r="T136" s="123" t="s">
        <v>2319</v>
      </c>
      <c r="U136" s="123" t="s">
        <v>2187</v>
      </c>
      <c r="V136" s="123" t="s">
        <v>2187</v>
      </c>
      <c r="W136" s="123"/>
    </row>
    <row r="137" spans="1:23">
      <c r="A137" s="121">
        <v>135</v>
      </c>
      <c r="B137" s="185" t="s">
        <v>2314</v>
      </c>
      <c r="C137" s="185" t="s">
        <v>2356</v>
      </c>
      <c r="D137" s="122" t="s">
        <v>2227</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2521</v>
      </c>
      <c r="Q137" s="123">
        <v>28.3</v>
      </c>
      <c r="R137" s="123">
        <v>11.8</v>
      </c>
      <c r="S137" s="123" t="s">
        <v>2195</v>
      </c>
      <c r="T137" s="123" t="s">
        <v>2195</v>
      </c>
      <c r="U137" s="123"/>
      <c r="V137" s="123"/>
      <c r="W137" s="123"/>
    </row>
    <row r="138" spans="1:23">
      <c r="A138" s="121">
        <v>136</v>
      </c>
      <c r="B138" s="185" t="s">
        <v>2314</v>
      </c>
      <c r="C138" s="185" t="s">
        <v>2357</v>
      </c>
      <c r="D138" s="122" t="s">
        <v>2227</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2521</v>
      </c>
      <c r="Q138" s="123">
        <v>29.1</v>
      </c>
      <c r="R138" s="123">
        <v>6.5</v>
      </c>
      <c r="S138" s="123" t="s">
        <v>2319</v>
      </c>
      <c r="T138" s="123"/>
      <c r="U138" s="123" t="s">
        <v>2187</v>
      </c>
      <c r="V138" s="123"/>
      <c r="W138" s="123"/>
    </row>
    <row r="139" spans="1:23">
      <c r="A139" s="121">
        <v>137</v>
      </c>
      <c r="B139" s="185" t="s">
        <v>2314</v>
      </c>
      <c r="C139" s="185" t="s">
        <v>2358</v>
      </c>
      <c r="D139" s="122" t="s">
        <v>2244</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2521</v>
      </c>
      <c r="Q139" s="123">
        <v>28.6</v>
      </c>
      <c r="R139" s="123">
        <v>12.1</v>
      </c>
      <c r="S139" s="123" t="s">
        <v>2179</v>
      </c>
      <c r="T139" s="123" t="s">
        <v>2195</v>
      </c>
      <c r="U139" s="123"/>
      <c r="V139" s="123"/>
      <c r="W139" s="123"/>
    </row>
    <row r="140" spans="1:23">
      <c r="A140" s="121">
        <v>138</v>
      </c>
      <c r="B140" s="185" t="s">
        <v>2314</v>
      </c>
      <c r="C140" s="185" t="s">
        <v>2359</v>
      </c>
      <c r="D140" s="122" t="s">
        <v>2244</v>
      </c>
      <c r="E140" s="124">
        <v>42939</v>
      </c>
      <c r="F140" s="125">
        <v>0.3611111111111111</v>
      </c>
      <c r="G140" s="124">
        <v>43008</v>
      </c>
      <c r="H140" s="125">
        <v>0.5</v>
      </c>
      <c r="I140" s="123">
        <v>682</v>
      </c>
      <c r="J140" s="123">
        <v>213</v>
      </c>
      <c r="K140" s="123">
        <v>821</v>
      </c>
      <c r="L140" s="123">
        <v>484</v>
      </c>
      <c r="M140" s="123">
        <v>198</v>
      </c>
      <c r="N140" s="123">
        <v>28.7</v>
      </c>
      <c r="O140" s="123">
        <v>5</v>
      </c>
      <c r="P140" s="123" t="s">
        <v>2521</v>
      </c>
      <c r="Q140" s="123">
        <v>28.9</v>
      </c>
      <c r="R140" s="123">
        <v>9.1</v>
      </c>
      <c r="S140" s="123" t="s">
        <v>2195</v>
      </c>
      <c r="T140" s="123" t="s">
        <v>2195</v>
      </c>
      <c r="U140" s="123"/>
      <c r="V140" s="123"/>
      <c r="W140" s="123"/>
    </row>
    <row r="141" spans="1:23">
      <c r="A141" s="121">
        <v>139</v>
      </c>
      <c r="B141" s="185" t="s">
        <v>2314</v>
      </c>
      <c r="C141" s="185" t="s">
        <v>2360</v>
      </c>
      <c r="D141" s="122" t="s">
        <v>2244</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2521</v>
      </c>
      <c r="Q141" s="123">
        <v>29</v>
      </c>
      <c r="R141" s="123">
        <v>17.100000000000001</v>
      </c>
      <c r="S141" s="123" t="s">
        <v>2195</v>
      </c>
      <c r="T141" s="123" t="s">
        <v>2195</v>
      </c>
      <c r="U141" s="123"/>
      <c r="V141" s="123"/>
      <c r="W141" s="123"/>
    </row>
    <row r="142" spans="1:23">
      <c r="A142" s="121">
        <v>140</v>
      </c>
      <c r="B142" s="185" t="s">
        <v>2314</v>
      </c>
      <c r="C142" s="185" t="s">
        <v>2362</v>
      </c>
      <c r="D142" s="122" t="s">
        <v>2244</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2521</v>
      </c>
      <c r="Q142" s="123">
        <v>30.6</v>
      </c>
      <c r="R142" s="123">
        <v>9.3000000000000007</v>
      </c>
      <c r="S142" s="123" t="s">
        <v>2187</v>
      </c>
      <c r="T142" s="123" t="s">
        <v>2195</v>
      </c>
      <c r="U142" s="123"/>
      <c r="V142" s="123"/>
      <c r="W142" s="123" t="s">
        <v>3545</v>
      </c>
    </row>
    <row r="143" spans="1:23">
      <c r="A143" s="121">
        <v>141</v>
      </c>
      <c r="B143" s="185" t="s">
        <v>2314</v>
      </c>
      <c r="C143" s="185" t="s">
        <v>2363</v>
      </c>
      <c r="D143" s="122" t="s">
        <v>2244</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121">
        <v>142</v>
      </c>
      <c r="B144" s="185" t="s">
        <v>2314</v>
      </c>
      <c r="C144" s="185" t="s">
        <v>2364</v>
      </c>
      <c r="D144" s="122" t="s">
        <v>2244</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2521</v>
      </c>
      <c r="Q144" s="123">
        <v>29.8</v>
      </c>
      <c r="R144" s="123">
        <v>10.7</v>
      </c>
      <c r="S144" s="123" t="s">
        <v>3546</v>
      </c>
      <c r="T144" s="123"/>
      <c r="U144" s="123" t="s">
        <v>2187</v>
      </c>
      <c r="V144" s="123"/>
      <c r="W144" s="123" t="s">
        <v>3539</v>
      </c>
    </row>
    <row r="145" spans="1:23">
      <c r="A145" s="121">
        <v>143</v>
      </c>
      <c r="B145" s="185" t="s">
        <v>2314</v>
      </c>
      <c r="C145" s="185" t="s">
        <v>2365</v>
      </c>
      <c r="D145" s="122" t="s">
        <v>2244</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2521</v>
      </c>
      <c r="Q145" s="123">
        <v>28.8</v>
      </c>
      <c r="R145" s="123">
        <v>18.7</v>
      </c>
      <c r="S145" s="123"/>
      <c r="T145" s="123"/>
      <c r="U145" s="123" t="s">
        <v>2187</v>
      </c>
      <c r="V145" s="123"/>
      <c r="W145" s="123"/>
    </row>
    <row r="146" spans="1:23">
      <c r="A146" s="121">
        <v>144</v>
      </c>
      <c r="B146" s="185" t="s">
        <v>2314</v>
      </c>
      <c r="C146" s="185" t="s">
        <v>2366</v>
      </c>
      <c r="D146" s="122" t="s">
        <v>2244</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2521</v>
      </c>
      <c r="Q146" s="123">
        <v>30.5</v>
      </c>
      <c r="R146" s="123">
        <v>16</v>
      </c>
      <c r="S146" s="123" t="s">
        <v>2179</v>
      </c>
      <c r="T146" s="123" t="s">
        <v>2195</v>
      </c>
      <c r="U146" s="123"/>
      <c r="V146" s="123"/>
      <c r="W146" s="123" t="s">
        <v>3548</v>
      </c>
    </row>
    <row r="147" spans="1:23">
      <c r="A147" s="121">
        <v>145</v>
      </c>
      <c r="B147" s="185" t="s">
        <v>2314</v>
      </c>
      <c r="C147" s="185" t="s">
        <v>2367</v>
      </c>
      <c r="D147" s="122" t="s">
        <v>2256</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2521</v>
      </c>
      <c r="Q147" s="123">
        <v>28.8</v>
      </c>
      <c r="R147" s="123">
        <v>7.1</v>
      </c>
      <c r="S147" s="123"/>
      <c r="T147" s="123"/>
      <c r="U147" s="123"/>
      <c r="V147" s="123"/>
      <c r="W147" s="123"/>
    </row>
    <row r="148" spans="1:23">
      <c r="A148" s="121">
        <v>146</v>
      </c>
      <c r="B148" s="185" t="s">
        <v>2314</v>
      </c>
      <c r="C148" s="185" t="s">
        <v>2368</v>
      </c>
      <c r="D148" s="122" t="s">
        <v>2256</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2521</v>
      </c>
      <c r="Q148" s="123">
        <v>27.9</v>
      </c>
      <c r="R148" s="123">
        <v>9.6</v>
      </c>
      <c r="S148" s="123"/>
      <c r="T148" s="123" t="s">
        <v>2179</v>
      </c>
      <c r="U148" s="123"/>
      <c r="V148" s="123"/>
      <c r="W148" s="123" t="s">
        <v>3549</v>
      </c>
    </row>
    <row r="149" spans="1:23">
      <c r="A149" s="121">
        <v>147</v>
      </c>
      <c r="B149" s="185" t="s">
        <v>2314</v>
      </c>
      <c r="C149" s="185" t="s">
        <v>2369</v>
      </c>
      <c r="D149" s="122" t="s">
        <v>2256</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2521</v>
      </c>
      <c r="Q149" s="123">
        <v>27.6</v>
      </c>
      <c r="R149" s="123">
        <v>6.2</v>
      </c>
      <c r="S149" s="123"/>
      <c r="T149" s="123" t="s">
        <v>2179</v>
      </c>
      <c r="U149" s="123"/>
      <c r="V149" s="123"/>
      <c r="W149" s="123"/>
    </row>
    <row r="150" spans="1:23">
      <c r="A150" s="121">
        <v>148</v>
      </c>
      <c r="B150" s="185" t="s">
        <v>2314</v>
      </c>
      <c r="C150" s="185" t="s">
        <v>2370</v>
      </c>
      <c r="D150" s="122" t="s">
        <v>2256</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2521</v>
      </c>
      <c r="Q150" s="123">
        <v>29</v>
      </c>
      <c r="R150" s="123">
        <v>8.4</v>
      </c>
      <c r="S150" s="123"/>
      <c r="T150" s="123" t="s">
        <v>2195</v>
      </c>
      <c r="U150" s="123" t="s">
        <v>2319</v>
      </c>
      <c r="V150" s="123"/>
      <c r="W150" s="123"/>
    </row>
    <row r="151" spans="1:23">
      <c r="A151" s="121">
        <v>149</v>
      </c>
      <c r="B151" s="185" t="s">
        <v>2314</v>
      </c>
      <c r="C151" s="185" t="s">
        <v>2371</v>
      </c>
      <c r="D151" s="122" t="s">
        <v>2256</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2521</v>
      </c>
      <c r="Q151" s="123">
        <v>27.7</v>
      </c>
      <c r="R151" s="123">
        <v>7.4</v>
      </c>
      <c r="S151" s="123"/>
      <c r="T151" s="123"/>
      <c r="U151" s="123"/>
      <c r="V151" s="123"/>
      <c r="W151" s="123"/>
    </row>
    <row r="152" spans="1:23">
      <c r="A152" s="121">
        <v>150</v>
      </c>
      <c r="B152" s="185" t="s">
        <v>2314</v>
      </c>
      <c r="C152" s="185" t="s">
        <v>2372</v>
      </c>
      <c r="D152" s="122" t="s">
        <v>2256</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2521</v>
      </c>
      <c r="Q152" s="123">
        <v>27.5</v>
      </c>
      <c r="R152" s="123">
        <v>8.1</v>
      </c>
      <c r="S152" s="123" t="s">
        <v>2179</v>
      </c>
      <c r="T152" s="123" t="s">
        <v>2179</v>
      </c>
      <c r="U152" s="123"/>
      <c r="V152" s="123"/>
      <c r="W152" s="123" t="s">
        <v>3539</v>
      </c>
    </row>
    <row r="153" spans="1:23">
      <c r="A153" s="121">
        <v>151</v>
      </c>
      <c r="B153" s="185" t="s">
        <v>2314</v>
      </c>
      <c r="C153" s="185" t="s">
        <v>2373</v>
      </c>
      <c r="D153" s="122" t="s">
        <v>2256</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121">
        <v>152</v>
      </c>
      <c r="B154" s="185" t="s">
        <v>2314</v>
      </c>
      <c r="C154" s="185" t="s">
        <v>2374</v>
      </c>
      <c r="D154" s="122" t="s">
        <v>2256</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2521</v>
      </c>
      <c r="Q154" s="123">
        <v>26</v>
      </c>
      <c r="R154" s="123">
        <v>6.4</v>
      </c>
      <c r="S154" s="123" t="s">
        <v>2195</v>
      </c>
      <c r="T154" s="123" t="s">
        <v>2179</v>
      </c>
      <c r="U154" s="123"/>
      <c r="V154" s="123"/>
      <c r="W154" s="123" t="s">
        <v>3550</v>
      </c>
    </row>
    <row r="155" spans="1:23">
      <c r="A155" s="121">
        <v>153</v>
      </c>
      <c r="B155" s="185" t="s">
        <v>2314</v>
      </c>
      <c r="C155" s="185" t="s">
        <v>2376</v>
      </c>
      <c r="D155" s="122" t="s">
        <v>2265</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2521</v>
      </c>
      <c r="Q155" s="123">
        <v>27.8</v>
      </c>
      <c r="R155" s="123">
        <v>6.4</v>
      </c>
      <c r="S155" s="123" t="s">
        <v>2195</v>
      </c>
      <c r="T155" s="123" t="s">
        <v>2195</v>
      </c>
      <c r="U155" s="123"/>
      <c r="V155" s="123"/>
      <c r="W155" s="123"/>
    </row>
    <row r="156" spans="1:23">
      <c r="A156" s="121">
        <v>154</v>
      </c>
      <c r="B156" s="185" t="s">
        <v>2314</v>
      </c>
      <c r="C156" s="185" t="s">
        <v>2377</v>
      </c>
      <c r="D156" s="122" t="s">
        <v>2265</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2521</v>
      </c>
      <c r="Q156" s="123">
        <v>28</v>
      </c>
      <c r="R156" s="123">
        <v>4.3</v>
      </c>
      <c r="S156" s="123" t="s">
        <v>2238</v>
      </c>
      <c r="T156" s="123" t="s">
        <v>2179</v>
      </c>
      <c r="U156" s="123"/>
      <c r="V156" s="123"/>
      <c r="W156" s="123"/>
    </row>
    <row r="157" spans="1:23">
      <c r="A157" s="121">
        <v>155</v>
      </c>
      <c r="B157" s="185" t="s">
        <v>2314</v>
      </c>
      <c r="C157" s="185" t="s">
        <v>2378</v>
      </c>
      <c r="D157" s="122" t="s">
        <v>2265</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2521</v>
      </c>
      <c r="Q157" s="123">
        <v>27.6</v>
      </c>
      <c r="R157" s="123">
        <v>5.3</v>
      </c>
      <c r="S157" s="123" t="s">
        <v>2179</v>
      </c>
      <c r="T157" s="123" t="s">
        <v>2238</v>
      </c>
      <c r="U157" s="123"/>
      <c r="V157" s="123"/>
      <c r="W157" s="123"/>
    </row>
    <row r="158" spans="1:23">
      <c r="A158" s="121">
        <v>156</v>
      </c>
      <c r="B158" s="185" t="s">
        <v>2314</v>
      </c>
      <c r="C158" s="185" t="s">
        <v>2379</v>
      </c>
      <c r="D158" s="122" t="s">
        <v>2265</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2521</v>
      </c>
      <c r="Q158" s="123">
        <v>28.5</v>
      </c>
      <c r="R158" s="123">
        <v>4.3</v>
      </c>
      <c r="S158" s="123" t="s">
        <v>2200</v>
      </c>
      <c r="T158" s="123" t="s">
        <v>2195</v>
      </c>
      <c r="U158" s="123"/>
      <c r="V158" s="123"/>
      <c r="W158" s="123" t="s">
        <v>3551</v>
      </c>
    </row>
    <row r="159" spans="1:23">
      <c r="A159" s="121">
        <v>157</v>
      </c>
      <c r="B159" s="185" t="s">
        <v>2314</v>
      </c>
      <c r="C159" s="185" t="s">
        <v>2381</v>
      </c>
      <c r="D159" s="122" t="s">
        <v>2265</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2521</v>
      </c>
      <c r="Q159" s="123">
        <v>28.4</v>
      </c>
      <c r="R159" s="123">
        <v>5.7</v>
      </c>
      <c r="S159" s="123" t="s">
        <v>3547</v>
      </c>
      <c r="T159" s="123" t="s">
        <v>3546</v>
      </c>
      <c r="U159" s="123"/>
      <c r="V159" s="123"/>
      <c r="W159" s="123" t="s">
        <v>3539</v>
      </c>
    </row>
    <row r="160" spans="1:23">
      <c r="A160" s="121">
        <v>158</v>
      </c>
      <c r="B160" s="185" t="s">
        <v>2314</v>
      </c>
      <c r="C160" s="185" t="s">
        <v>2382</v>
      </c>
      <c r="D160" s="122" t="s">
        <v>2265</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2521</v>
      </c>
      <c r="Q160" s="123">
        <v>27.9</v>
      </c>
      <c r="R160" s="123">
        <v>5</v>
      </c>
      <c r="S160" s="123" t="s">
        <v>2195</v>
      </c>
      <c r="T160" s="123" t="s">
        <v>2238</v>
      </c>
      <c r="U160" s="123"/>
      <c r="V160" s="123"/>
      <c r="W160" s="123" t="s">
        <v>3552</v>
      </c>
    </row>
    <row r="161" spans="1:23">
      <c r="A161" s="121">
        <v>159</v>
      </c>
      <c r="B161" s="185" t="s">
        <v>2314</v>
      </c>
      <c r="C161" s="185" t="s">
        <v>2383</v>
      </c>
      <c r="D161" s="122" t="s">
        <v>2265</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121">
        <v>160</v>
      </c>
      <c r="B162" s="185" t="s">
        <v>2314</v>
      </c>
      <c r="C162" s="185" t="s">
        <v>2384</v>
      </c>
      <c r="D162" s="122" t="s">
        <v>2265</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2521</v>
      </c>
      <c r="Q162" s="123">
        <v>28.6</v>
      </c>
      <c r="R162" s="123">
        <v>6.4</v>
      </c>
      <c r="S162" s="123" t="s">
        <v>2195</v>
      </c>
      <c r="T162" s="123" t="s">
        <v>2179</v>
      </c>
      <c r="U162" s="123"/>
      <c r="V162" s="123"/>
      <c r="W162" s="123"/>
    </row>
    <row r="163" spans="1:23">
      <c r="A163" s="121">
        <v>161</v>
      </c>
      <c r="B163" s="185" t="s">
        <v>2385</v>
      </c>
      <c r="C163" s="185" t="s">
        <v>2386</v>
      </c>
      <c r="D163" s="122" t="s">
        <v>2278</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2523</v>
      </c>
      <c r="Q163" s="123">
        <v>30.1</v>
      </c>
      <c r="R163" s="123">
        <v>7.7</v>
      </c>
      <c r="S163" s="123" t="s">
        <v>2206</v>
      </c>
      <c r="T163" s="123" t="s">
        <v>2179</v>
      </c>
      <c r="U163" s="123"/>
      <c r="V163" s="123"/>
      <c r="W163" s="123"/>
    </row>
    <row r="164" spans="1:23">
      <c r="A164" s="121">
        <v>162</v>
      </c>
      <c r="B164" s="185" t="s">
        <v>2385</v>
      </c>
      <c r="C164" s="185" t="s">
        <v>2387</v>
      </c>
      <c r="D164" s="122" t="s">
        <v>2278</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2523</v>
      </c>
      <c r="Q164" s="123">
        <v>30.1</v>
      </c>
      <c r="R164" s="123">
        <v>4.3</v>
      </c>
      <c r="S164" s="123" t="s">
        <v>2187</v>
      </c>
      <c r="T164" s="123" t="s">
        <v>2195</v>
      </c>
      <c r="U164" s="123"/>
      <c r="V164" s="123"/>
      <c r="W164" s="123"/>
    </row>
    <row r="165" spans="1:23">
      <c r="A165" s="121">
        <v>163</v>
      </c>
      <c r="B165" s="185" t="s">
        <v>2385</v>
      </c>
      <c r="C165" s="185" t="s">
        <v>2388</v>
      </c>
      <c r="D165" s="122" t="s">
        <v>2278</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2523</v>
      </c>
      <c r="Q165" s="123">
        <v>30.1</v>
      </c>
      <c r="R165" s="123">
        <v>4.9000000000000004</v>
      </c>
      <c r="S165" s="123" t="s">
        <v>2187</v>
      </c>
      <c r="T165" s="123" t="s">
        <v>2179</v>
      </c>
      <c r="U165" s="123"/>
      <c r="V165" s="123"/>
      <c r="W165" s="123"/>
    </row>
    <row r="166" spans="1:23">
      <c r="A166" s="121">
        <v>164</v>
      </c>
      <c r="B166" s="185" t="s">
        <v>2385</v>
      </c>
      <c r="C166" s="185" t="s">
        <v>2389</v>
      </c>
      <c r="D166" s="122" t="s">
        <v>2278</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2523</v>
      </c>
      <c r="Q166" s="123">
        <v>29.5</v>
      </c>
      <c r="R166" s="123">
        <v>6.9</v>
      </c>
      <c r="S166" s="123" t="s">
        <v>2187</v>
      </c>
      <c r="T166" s="123"/>
      <c r="U166" s="123" t="s">
        <v>2187</v>
      </c>
      <c r="V166" s="123" t="s">
        <v>2187</v>
      </c>
      <c r="W166" s="123"/>
    </row>
    <row r="167" spans="1:23">
      <c r="A167" s="121">
        <v>165</v>
      </c>
      <c r="B167" s="185" t="s">
        <v>2385</v>
      </c>
      <c r="C167" s="185" t="s">
        <v>2390</v>
      </c>
      <c r="D167" s="122" t="s">
        <v>2278</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2523</v>
      </c>
      <c r="Q167" s="123">
        <v>30.5</v>
      </c>
      <c r="R167" s="123">
        <v>6.9</v>
      </c>
      <c r="S167" s="123"/>
      <c r="T167" s="123"/>
      <c r="U167" s="123"/>
      <c r="V167" s="123"/>
      <c r="W167" s="123" t="s">
        <v>3553</v>
      </c>
    </row>
    <row r="168" spans="1:23">
      <c r="A168" s="121">
        <v>166</v>
      </c>
      <c r="B168" s="185" t="s">
        <v>2385</v>
      </c>
      <c r="C168" s="185" t="s">
        <v>2391</v>
      </c>
      <c r="D168" s="122" t="s">
        <v>2278</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2523</v>
      </c>
      <c r="Q168" s="123">
        <v>27.8</v>
      </c>
      <c r="R168" s="123">
        <v>5.2</v>
      </c>
      <c r="S168" s="123" t="s">
        <v>2187</v>
      </c>
      <c r="T168" s="123"/>
      <c r="U168" s="123"/>
      <c r="V168" s="123"/>
      <c r="W168" s="123"/>
    </row>
    <row r="169" spans="1:23">
      <c r="A169" s="121">
        <v>167</v>
      </c>
      <c r="B169" s="185" t="s">
        <v>2385</v>
      </c>
      <c r="C169" s="185" t="s">
        <v>2393</v>
      </c>
      <c r="D169" s="122" t="s">
        <v>2278</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121">
        <v>168</v>
      </c>
      <c r="B170" s="185" t="s">
        <v>2385</v>
      </c>
      <c r="C170" s="185" t="s">
        <v>2394</v>
      </c>
      <c r="D170" s="122" t="s">
        <v>2278</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2523</v>
      </c>
      <c r="Q170" s="123">
        <v>28.3</v>
      </c>
      <c r="R170" s="123">
        <v>3.2</v>
      </c>
      <c r="S170" s="123" t="s">
        <v>2187</v>
      </c>
      <c r="T170" s="123" t="s">
        <v>2179</v>
      </c>
      <c r="U170" s="123"/>
      <c r="V170" s="123" t="s">
        <v>2187</v>
      </c>
      <c r="W170" s="123"/>
    </row>
    <row r="171" spans="1:23">
      <c r="A171" s="121">
        <v>169</v>
      </c>
      <c r="B171" s="185" t="s">
        <v>2385</v>
      </c>
      <c r="C171" s="185" t="s">
        <v>2395</v>
      </c>
      <c r="D171" s="122" t="s">
        <v>2287</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2523</v>
      </c>
      <c r="Q171" s="123">
        <v>31.5</v>
      </c>
      <c r="R171" s="123">
        <v>7.7</v>
      </c>
      <c r="S171" s="123" t="s">
        <v>2187</v>
      </c>
      <c r="T171" s="123" t="s">
        <v>2319</v>
      </c>
      <c r="U171" s="123" t="s">
        <v>2187</v>
      </c>
      <c r="V171" s="123" t="s">
        <v>2187</v>
      </c>
      <c r="W171" s="123"/>
    </row>
    <row r="172" spans="1:23">
      <c r="A172" s="121">
        <v>170</v>
      </c>
      <c r="B172" s="185" t="s">
        <v>2385</v>
      </c>
      <c r="C172" s="185" t="s">
        <v>2396</v>
      </c>
      <c r="D172" s="122" t="s">
        <v>2287</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2523</v>
      </c>
      <c r="Q172" s="123">
        <v>30.9</v>
      </c>
      <c r="R172" s="123">
        <v>7.2</v>
      </c>
      <c r="S172" s="123" t="s">
        <v>2206</v>
      </c>
      <c r="T172" s="123" t="s">
        <v>2187</v>
      </c>
      <c r="U172" s="123" t="s">
        <v>2187</v>
      </c>
      <c r="V172" s="123"/>
      <c r="W172" s="123"/>
    </row>
    <row r="173" spans="1:23">
      <c r="A173" s="121">
        <v>171</v>
      </c>
      <c r="B173" s="185" t="s">
        <v>2385</v>
      </c>
      <c r="C173" s="185" t="s">
        <v>2397</v>
      </c>
      <c r="D173" s="122" t="s">
        <v>2287</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2523</v>
      </c>
      <c r="Q173" s="123">
        <v>30.9</v>
      </c>
      <c r="R173" s="123">
        <v>6.7</v>
      </c>
      <c r="S173" s="123" t="s">
        <v>2187</v>
      </c>
      <c r="T173" s="123" t="s">
        <v>2206</v>
      </c>
      <c r="U173" s="123" t="s">
        <v>2187</v>
      </c>
      <c r="V173" s="123"/>
      <c r="W173" s="123"/>
    </row>
    <row r="174" spans="1:23">
      <c r="A174" s="121">
        <v>172</v>
      </c>
      <c r="B174" s="185" t="s">
        <v>2385</v>
      </c>
      <c r="C174" s="185" t="s">
        <v>2398</v>
      </c>
      <c r="D174" s="122" t="s">
        <v>2287</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121">
        <v>173</v>
      </c>
      <c r="B175" s="185" t="s">
        <v>2385</v>
      </c>
      <c r="C175" s="185" t="s">
        <v>2399</v>
      </c>
      <c r="D175" s="122" t="s">
        <v>2287</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2523</v>
      </c>
      <c r="Q175" s="123">
        <v>30.9</v>
      </c>
      <c r="R175" s="123">
        <v>8.1</v>
      </c>
      <c r="S175" s="123" t="s">
        <v>2206</v>
      </c>
      <c r="T175" s="123" t="s">
        <v>2200</v>
      </c>
      <c r="U175" s="123"/>
      <c r="V175" s="123"/>
      <c r="W175" s="123"/>
    </row>
    <row r="176" spans="1:23">
      <c r="A176" s="121">
        <v>174</v>
      </c>
      <c r="B176" s="185" t="s">
        <v>2385</v>
      </c>
      <c r="C176" s="185" t="s">
        <v>2400</v>
      </c>
      <c r="D176" s="122" t="s">
        <v>2287</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2523</v>
      </c>
      <c r="Q176" s="123">
        <v>29.4</v>
      </c>
      <c r="R176" s="123">
        <v>7.2</v>
      </c>
      <c r="S176" s="123" t="s">
        <v>2206</v>
      </c>
      <c r="T176" s="123" t="s">
        <v>2187</v>
      </c>
      <c r="U176" s="123"/>
      <c r="V176" s="123"/>
      <c r="W176" s="123"/>
    </row>
    <row r="177" spans="1:23">
      <c r="A177" s="121">
        <v>175</v>
      </c>
      <c r="B177" s="185" t="s">
        <v>2385</v>
      </c>
      <c r="C177" s="185" t="s">
        <v>2401</v>
      </c>
      <c r="D177" s="122" t="s">
        <v>2287</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2523</v>
      </c>
      <c r="Q177" s="123">
        <v>31</v>
      </c>
      <c r="R177" s="123">
        <v>7.8</v>
      </c>
      <c r="S177" s="123" t="s">
        <v>2206</v>
      </c>
      <c r="T177" s="123"/>
      <c r="U177" s="123"/>
      <c r="V177" s="123" t="s">
        <v>2187</v>
      </c>
      <c r="W177" s="123"/>
    </row>
    <row r="178" spans="1:23">
      <c r="A178" s="121">
        <v>176</v>
      </c>
      <c r="B178" s="185" t="s">
        <v>2385</v>
      </c>
      <c r="C178" s="185" t="s">
        <v>2402</v>
      </c>
      <c r="D178" s="122" t="s">
        <v>2287</v>
      </c>
      <c r="E178" s="124">
        <v>42940</v>
      </c>
      <c r="F178" s="125">
        <v>0.5625</v>
      </c>
      <c r="G178" s="124">
        <v>43009</v>
      </c>
      <c r="H178" s="125">
        <v>0.5083333333333333</v>
      </c>
      <c r="I178" s="123">
        <v>793</v>
      </c>
      <c r="J178" s="123">
        <v>183</v>
      </c>
      <c r="K178" s="123">
        <v>52</v>
      </c>
      <c r="L178" s="123">
        <v>323</v>
      </c>
      <c r="M178" s="123">
        <v>332</v>
      </c>
      <c r="N178" s="123">
        <v>37.4</v>
      </c>
      <c r="O178" s="123">
        <v>3.7</v>
      </c>
      <c r="P178" s="123" t="s">
        <v>2523</v>
      </c>
      <c r="Q178" s="123">
        <v>31.6</v>
      </c>
      <c r="R178" s="123">
        <v>5.5</v>
      </c>
      <c r="S178" s="123" t="s">
        <v>2206</v>
      </c>
      <c r="T178" s="123" t="s">
        <v>2206</v>
      </c>
      <c r="U178" s="123" t="s">
        <v>2187</v>
      </c>
      <c r="V178" s="123" t="s">
        <v>2187</v>
      </c>
      <c r="W178" s="123"/>
    </row>
    <row r="179" spans="1:23">
      <c r="A179" s="121">
        <v>177</v>
      </c>
      <c r="B179" s="185" t="s">
        <v>2385</v>
      </c>
      <c r="C179" s="185" t="s">
        <v>2403</v>
      </c>
      <c r="D179" s="122" t="s">
        <v>2296</v>
      </c>
      <c r="E179" s="124">
        <v>42940</v>
      </c>
      <c r="F179" s="125">
        <v>0.64583333333333337</v>
      </c>
      <c r="G179" s="124">
        <v>43009</v>
      </c>
      <c r="H179" s="125">
        <v>0.62986111111111109</v>
      </c>
      <c r="I179" s="123">
        <v>794</v>
      </c>
      <c r="J179" s="123">
        <v>98</v>
      </c>
      <c r="K179" s="123">
        <v>750</v>
      </c>
      <c r="L179" s="123">
        <v>14</v>
      </c>
      <c r="M179" s="123">
        <v>279</v>
      </c>
      <c r="N179" s="123">
        <v>36.1</v>
      </c>
      <c r="O179" s="123">
        <v>3.8</v>
      </c>
      <c r="P179" s="123" t="s">
        <v>2524</v>
      </c>
      <c r="Q179" s="123">
        <v>32.200000000000003</v>
      </c>
      <c r="R179" s="123">
        <v>5.6</v>
      </c>
      <c r="S179" s="123" t="s">
        <v>2200</v>
      </c>
      <c r="T179" s="123" t="s">
        <v>3547</v>
      </c>
      <c r="U179" s="123"/>
      <c r="V179" s="123" t="s">
        <v>2187</v>
      </c>
      <c r="W179" s="123"/>
    </row>
    <row r="180" spans="1:23">
      <c r="A180" s="121">
        <v>178</v>
      </c>
      <c r="B180" s="185" t="s">
        <v>2385</v>
      </c>
      <c r="C180" s="185" t="s">
        <v>2404</v>
      </c>
      <c r="D180" s="122" t="s">
        <v>2296</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2524</v>
      </c>
      <c r="Q180" s="123">
        <v>33.700000000000003</v>
      </c>
      <c r="R180" s="123">
        <v>2.8</v>
      </c>
      <c r="S180" s="123" t="s">
        <v>2187</v>
      </c>
      <c r="T180" s="123" t="s">
        <v>2238</v>
      </c>
      <c r="U180" s="123"/>
      <c r="V180" s="123"/>
      <c r="W180" s="123"/>
    </row>
    <row r="181" spans="1:23">
      <c r="A181" s="121">
        <v>179</v>
      </c>
      <c r="B181" s="185" t="s">
        <v>2385</v>
      </c>
      <c r="C181" s="185" t="s">
        <v>2405</v>
      </c>
      <c r="D181" s="122" t="s">
        <v>2296</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2524</v>
      </c>
      <c r="Q181" s="123">
        <v>33.6</v>
      </c>
      <c r="R181" s="123">
        <v>3</v>
      </c>
      <c r="S181" s="123" t="s">
        <v>2187</v>
      </c>
      <c r="T181" s="123" t="s">
        <v>2187</v>
      </c>
      <c r="U181" s="123" t="s">
        <v>2187</v>
      </c>
      <c r="V181" s="123"/>
      <c r="W181" s="123"/>
    </row>
    <row r="182" spans="1:23">
      <c r="A182" s="121">
        <v>180</v>
      </c>
      <c r="B182" s="185" t="s">
        <v>2385</v>
      </c>
      <c r="C182" s="185" t="s">
        <v>2406</v>
      </c>
      <c r="D182" s="122" t="s">
        <v>2296</v>
      </c>
      <c r="E182" s="124">
        <v>42940</v>
      </c>
      <c r="F182" s="125">
        <v>0.63888888888888895</v>
      </c>
      <c r="G182" s="124">
        <v>43009</v>
      </c>
      <c r="H182" s="125">
        <v>0.64444444444444449</v>
      </c>
      <c r="I182" s="164">
        <v>797</v>
      </c>
      <c r="J182" s="123">
        <v>245</v>
      </c>
      <c r="K182" s="123">
        <v>325</v>
      </c>
      <c r="L182" s="123">
        <v>422</v>
      </c>
      <c r="M182" s="123">
        <v>669</v>
      </c>
      <c r="N182" s="123">
        <v>28.4</v>
      </c>
      <c r="O182" s="123">
        <v>2.9</v>
      </c>
      <c r="P182" s="123" t="s">
        <v>2524</v>
      </c>
      <c r="Q182" s="123">
        <v>33.6</v>
      </c>
      <c r="R182" s="123">
        <v>7.7</v>
      </c>
      <c r="S182" s="123" t="s">
        <v>2187</v>
      </c>
      <c r="T182" s="123"/>
      <c r="U182" s="123" t="s">
        <v>2187</v>
      </c>
      <c r="V182" s="123"/>
      <c r="W182" s="123"/>
    </row>
    <row r="183" spans="1:23">
      <c r="A183" s="121">
        <v>181</v>
      </c>
      <c r="B183" s="185" t="s">
        <v>2385</v>
      </c>
      <c r="C183" s="185" t="s">
        <v>2407</v>
      </c>
      <c r="D183" s="122" t="s">
        <v>2296</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2524</v>
      </c>
      <c r="Q183" s="123">
        <v>33.4</v>
      </c>
      <c r="R183" s="123">
        <v>4.4000000000000004</v>
      </c>
      <c r="S183" s="123" t="s">
        <v>2187</v>
      </c>
      <c r="T183" s="123" t="s">
        <v>2187</v>
      </c>
      <c r="U183" s="123"/>
      <c r="V183" s="123"/>
      <c r="W183" s="123"/>
    </row>
    <row r="184" spans="1:23">
      <c r="A184" s="121">
        <v>182</v>
      </c>
      <c r="B184" s="185" t="s">
        <v>2385</v>
      </c>
      <c r="C184" s="185" t="s">
        <v>2408</v>
      </c>
      <c r="D184" s="122" t="s">
        <v>2296</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2524</v>
      </c>
      <c r="Q184" s="123">
        <v>34.700000000000003</v>
      </c>
      <c r="R184" s="123">
        <v>7.6</v>
      </c>
      <c r="S184" s="123"/>
      <c r="T184" s="123" t="s">
        <v>2203</v>
      </c>
      <c r="U184" s="123" t="s">
        <v>2187</v>
      </c>
      <c r="V184" s="123"/>
      <c r="W184" s="123"/>
    </row>
    <row r="185" spans="1:23">
      <c r="A185" s="121">
        <v>183</v>
      </c>
      <c r="B185" s="185" t="s">
        <v>2385</v>
      </c>
      <c r="C185" s="185" t="s">
        <v>2409</v>
      </c>
      <c r="D185" s="122" t="s">
        <v>2296</v>
      </c>
      <c r="E185" s="124"/>
      <c r="F185" s="124"/>
      <c r="G185" s="124"/>
      <c r="H185" s="123"/>
      <c r="I185" s="123">
        <v>800</v>
      </c>
      <c r="J185" s="124"/>
      <c r="K185" s="124"/>
      <c r="L185" s="124"/>
      <c r="M185" s="124"/>
      <c r="N185" s="124"/>
      <c r="O185" s="124"/>
      <c r="P185" s="123" t="s">
        <v>2524</v>
      </c>
      <c r="Q185" s="123"/>
      <c r="R185" s="123"/>
      <c r="S185" s="123"/>
      <c r="T185" s="123"/>
      <c r="U185" s="123"/>
      <c r="V185" s="123"/>
      <c r="W185" s="123"/>
    </row>
    <row r="186" spans="1:23">
      <c r="A186" s="121">
        <v>184</v>
      </c>
      <c r="B186" s="185" t="s">
        <v>2385</v>
      </c>
      <c r="C186" s="185" t="s">
        <v>2410</v>
      </c>
      <c r="D186" s="122" t="s">
        <v>2296</v>
      </c>
      <c r="E186" s="124">
        <v>42940</v>
      </c>
      <c r="F186" s="123"/>
      <c r="G186" s="124">
        <v>43009</v>
      </c>
      <c r="H186" s="125">
        <v>0.63958333333333328</v>
      </c>
      <c r="I186" s="123">
        <v>801</v>
      </c>
      <c r="J186" s="123">
        <v>235</v>
      </c>
      <c r="K186" s="129">
        <v>179</v>
      </c>
      <c r="L186" s="123">
        <v>266</v>
      </c>
      <c r="M186" s="123">
        <v>674</v>
      </c>
      <c r="N186" s="123">
        <v>28.3</v>
      </c>
      <c r="O186" s="123">
        <v>4.3</v>
      </c>
      <c r="P186" s="123" t="s">
        <v>2525</v>
      </c>
      <c r="Q186" s="123">
        <v>27.8</v>
      </c>
      <c r="R186" s="123">
        <v>4.3</v>
      </c>
      <c r="S186" s="123" t="s">
        <v>2187</v>
      </c>
      <c r="T186" s="123" t="s">
        <v>2187</v>
      </c>
      <c r="U186" s="123" t="s">
        <v>2187</v>
      </c>
      <c r="V186" s="123"/>
      <c r="W186" s="123"/>
    </row>
    <row r="187" spans="1:23">
      <c r="A187" s="121">
        <v>185</v>
      </c>
      <c r="B187" s="185" t="s">
        <v>2385</v>
      </c>
      <c r="C187" s="185" t="s">
        <v>2412</v>
      </c>
      <c r="D187" s="122" t="s">
        <v>2306</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2523</v>
      </c>
      <c r="Q187" s="123">
        <v>34</v>
      </c>
      <c r="R187" s="123">
        <v>5.4</v>
      </c>
      <c r="S187" s="123"/>
      <c r="T187" s="123" t="s">
        <v>2179</v>
      </c>
      <c r="U187" s="123" t="s">
        <v>2187</v>
      </c>
      <c r="V187" s="123"/>
      <c r="W187" s="123"/>
    </row>
    <row r="188" spans="1:23">
      <c r="A188" s="121">
        <v>186</v>
      </c>
      <c r="B188" s="185" t="s">
        <v>2385</v>
      </c>
      <c r="C188" s="185" t="s">
        <v>2413</v>
      </c>
      <c r="D188" s="122" t="s">
        <v>2306</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2523</v>
      </c>
      <c r="Q188" s="123">
        <v>33.700000000000003</v>
      </c>
      <c r="R188" s="123">
        <v>10.7</v>
      </c>
      <c r="S188" s="123" t="s">
        <v>2206</v>
      </c>
      <c r="T188" s="123" t="s">
        <v>2238</v>
      </c>
      <c r="U188" s="123"/>
      <c r="V188" s="123"/>
      <c r="W188" s="123"/>
    </row>
    <row r="189" spans="1:23">
      <c r="A189" s="121">
        <v>187</v>
      </c>
      <c r="B189" s="185" t="s">
        <v>2385</v>
      </c>
      <c r="C189" s="185" t="s">
        <v>2414</v>
      </c>
      <c r="D189" s="122" t="s">
        <v>2306</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2523</v>
      </c>
      <c r="Q189" s="123">
        <v>35.200000000000003</v>
      </c>
      <c r="R189" s="123">
        <v>6.6</v>
      </c>
      <c r="S189" s="123" t="s">
        <v>2187</v>
      </c>
      <c r="T189" s="123"/>
      <c r="U189" s="123"/>
      <c r="V189" s="123"/>
      <c r="W189" s="123"/>
    </row>
    <row r="190" spans="1:23">
      <c r="A190" s="121">
        <v>188</v>
      </c>
      <c r="B190" s="185" t="s">
        <v>2385</v>
      </c>
      <c r="C190" s="185" t="s">
        <v>2415</v>
      </c>
      <c r="D190" s="122" t="s">
        <v>2306</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2523</v>
      </c>
      <c r="Q190" s="123">
        <v>33.200000000000003</v>
      </c>
      <c r="R190" s="123">
        <v>8.4</v>
      </c>
      <c r="S190" s="123" t="s">
        <v>2206</v>
      </c>
      <c r="T190" s="123" t="s">
        <v>2230</v>
      </c>
      <c r="U190" s="123"/>
      <c r="V190" s="123"/>
      <c r="W190" s="123"/>
    </row>
    <row r="191" spans="1:23">
      <c r="A191" s="121">
        <v>189</v>
      </c>
      <c r="B191" s="185" t="s">
        <v>2385</v>
      </c>
      <c r="C191" s="185" t="s">
        <v>2417</v>
      </c>
      <c r="D191" s="122" t="s">
        <v>2306</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2523</v>
      </c>
      <c r="Q191" s="123">
        <v>30.9</v>
      </c>
      <c r="R191" s="123">
        <v>5.2</v>
      </c>
      <c r="S191" s="123" t="s">
        <v>2187</v>
      </c>
      <c r="T191" s="123" t="s">
        <v>2206</v>
      </c>
      <c r="U191" s="123" t="s">
        <v>2187</v>
      </c>
      <c r="V191" s="123"/>
      <c r="W191" s="123"/>
    </row>
    <row r="192" spans="1:23">
      <c r="A192" s="121">
        <v>190</v>
      </c>
      <c r="B192" s="185" t="s">
        <v>2385</v>
      </c>
      <c r="C192" s="185" t="s">
        <v>2418</v>
      </c>
      <c r="D192" s="122" t="s">
        <v>2306</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2523</v>
      </c>
      <c r="Q192" s="123">
        <v>36.299999999999997</v>
      </c>
      <c r="R192" s="123">
        <v>4.4000000000000004</v>
      </c>
      <c r="S192" s="123"/>
      <c r="T192" s="123"/>
      <c r="U192" s="123"/>
      <c r="V192" s="123"/>
      <c r="W192" s="123"/>
    </row>
    <row r="193" spans="1:23">
      <c r="A193" s="121">
        <v>191</v>
      </c>
      <c r="B193" s="185" t="s">
        <v>2385</v>
      </c>
      <c r="C193" s="185" t="s">
        <v>2419</v>
      </c>
      <c r="D193" s="122" t="s">
        <v>2306</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2523</v>
      </c>
      <c r="Q193" s="123">
        <v>35.799999999999997</v>
      </c>
      <c r="R193" s="123">
        <v>7.5</v>
      </c>
      <c r="S193" s="123"/>
      <c r="T193" s="123"/>
      <c r="U193" s="123"/>
      <c r="V193" s="123"/>
      <c r="W193" s="123"/>
    </row>
    <row r="194" spans="1:23">
      <c r="A194" s="121">
        <v>192</v>
      </c>
      <c r="B194" s="185" t="s">
        <v>2385</v>
      </c>
      <c r="C194" s="185" t="s">
        <v>2420</v>
      </c>
      <c r="D194" s="122" t="s">
        <v>2306</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189">
        <v>193</v>
      </c>
      <c r="B195" s="190" t="s">
        <v>2176</v>
      </c>
      <c r="C195" s="190" t="s">
        <v>2445</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2187</v>
      </c>
      <c r="T195" s="123"/>
      <c r="U195" s="123" t="s">
        <v>2187</v>
      </c>
      <c r="V195" s="123"/>
      <c r="W195" s="123"/>
    </row>
    <row r="196" spans="1:23">
      <c r="A196" s="189">
        <v>194</v>
      </c>
      <c r="B196" s="190" t="s">
        <v>2176</v>
      </c>
      <c r="C196" s="190" t="s">
        <v>2438</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2200</v>
      </c>
      <c r="T196" s="123" t="s">
        <v>2187</v>
      </c>
      <c r="U196" s="123" t="s">
        <v>2187</v>
      </c>
      <c r="V196" s="123" t="s">
        <v>2187</v>
      </c>
      <c r="W196" s="123"/>
    </row>
    <row r="197" spans="1:23">
      <c r="A197" s="189">
        <v>195</v>
      </c>
      <c r="B197" s="190" t="s">
        <v>2176</v>
      </c>
      <c r="C197" s="190" t="s">
        <v>2430</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2206</v>
      </c>
      <c r="T197" s="123" t="s">
        <v>2187</v>
      </c>
      <c r="U197" s="123" t="s">
        <v>2187</v>
      </c>
      <c r="V197" s="123"/>
      <c r="W197" s="123" t="s">
        <v>3554</v>
      </c>
    </row>
    <row r="198" spans="1:23">
      <c r="A198" s="189">
        <v>196</v>
      </c>
      <c r="B198" s="190" t="s">
        <v>2176</v>
      </c>
      <c r="C198" s="185" t="s">
        <v>2421</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2179</v>
      </c>
      <c r="T198" s="123" t="s">
        <v>2179</v>
      </c>
      <c r="U198" s="123" t="s">
        <v>2187</v>
      </c>
      <c r="V198" s="123"/>
      <c r="W198" s="123" t="s">
        <v>3555</v>
      </c>
    </row>
    <row r="199" spans="1:23">
      <c r="A199" s="189">
        <v>197</v>
      </c>
      <c r="B199" s="190" t="s">
        <v>2176</v>
      </c>
      <c r="C199" s="190" t="s">
        <v>2431</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2187</v>
      </c>
      <c r="T199" s="123" t="s">
        <v>2187</v>
      </c>
      <c r="U199" s="123" t="s">
        <v>2187</v>
      </c>
      <c r="V199" s="123" t="s">
        <v>2187</v>
      </c>
      <c r="W199" s="123"/>
    </row>
    <row r="200" spans="1:23">
      <c r="A200" s="189">
        <v>198</v>
      </c>
      <c r="B200" s="190" t="s">
        <v>2176</v>
      </c>
      <c r="C200" s="190" t="s">
        <v>2439</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2187</v>
      </c>
      <c r="T200" s="123" t="s">
        <v>2206</v>
      </c>
      <c r="U200" s="123" t="s">
        <v>2187</v>
      </c>
      <c r="V200" s="123" t="s">
        <v>2187</v>
      </c>
      <c r="W200" s="123"/>
    </row>
    <row r="201" spans="1:23">
      <c r="A201" s="189">
        <v>199</v>
      </c>
      <c r="B201" s="190" t="s">
        <v>2176</v>
      </c>
      <c r="C201" s="190" t="s">
        <v>2423</v>
      </c>
      <c r="D201" s="191">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2179</v>
      </c>
      <c r="T201" s="123" t="s">
        <v>2179</v>
      </c>
      <c r="U201" s="123" t="s">
        <v>2187</v>
      </c>
      <c r="V201" s="123" t="s">
        <v>2187</v>
      </c>
      <c r="W201" s="123"/>
    </row>
    <row r="202" spans="1:23">
      <c r="A202" s="189">
        <v>200</v>
      </c>
      <c r="B202" s="190" t="s">
        <v>2176</v>
      </c>
      <c r="C202" s="190" t="s">
        <v>2446</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2187</v>
      </c>
      <c r="T202" s="123" t="s">
        <v>2200</v>
      </c>
      <c r="U202" s="123" t="s">
        <v>2187</v>
      </c>
      <c r="V202" s="123" t="s">
        <v>2187</v>
      </c>
      <c r="W202" s="123" t="s">
        <v>3556</v>
      </c>
    </row>
    <row r="203" spans="1:23">
      <c r="A203" s="189">
        <v>201</v>
      </c>
      <c r="B203" s="190" t="s">
        <v>2276</v>
      </c>
      <c r="C203" s="190" t="s">
        <v>2447</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2200</v>
      </c>
      <c r="T203" s="123" t="s">
        <v>2230</v>
      </c>
      <c r="U203" s="123" t="s">
        <v>2187</v>
      </c>
      <c r="V203" s="123" t="s">
        <v>2187</v>
      </c>
      <c r="W203" s="123" t="s">
        <v>3557</v>
      </c>
    </row>
    <row r="204" spans="1:23">
      <c r="A204" s="189">
        <v>202</v>
      </c>
      <c r="B204" s="190" t="s">
        <v>2276</v>
      </c>
      <c r="C204" s="190" t="s">
        <v>2424</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2187</v>
      </c>
      <c r="T204" s="123" t="s">
        <v>2200</v>
      </c>
      <c r="U204" s="123" t="s">
        <v>2187</v>
      </c>
      <c r="V204" s="123" t="s">
        <v>2187</v>
      </c>
      <c r="W204" s="123" t="s">
        <v>3558</v>
      </c>
    </row>
    <row r="205" spans="1:23">
      <c r="A205" s="189">
        <v>203</v>
      </c>
      <c r="B205" s="190" t="s">
        <v>2276</v>
      </c>
      <c r="C205" s="190" t="s">
        <v>2433</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2200</v>
      </c>
      <c r="T205" s="123" t="s">
        <v>2187</v>
      </c>
      <c r="U205" s="123" t="s">
        <v>2187</v>
      </c>
      <c r="V205" s="123" t="s">
        <v>2187</v>
      </c>
      <c r="W205" s="123" t="s">
        <v>3557</v>
      </c>
    </row>
    <row r="206" spans="1:23">
      <c r="A206" s="189">
        <v>204</v>
      </c>
      <c r="B206" s="190" t="s">
        <v>2276</v>
      </c>
      <c r="C206" s="190" t="s">
        <v>2440</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2206</v>
      </c>
      <c r="T206" s="123" t="s">
        <v>2206</v>
      </c>
      <c r="U206" s="123"/>
      <c r="V206" s="123"/>
      <c r="W206" s="123"/>
    </row>
    <row r="207" spans="1:23">
      <c r="A207" s="189">
        <v>205</v>
      </c>
      <c r="B207" s="190" t="s">
        <v>2314</v>
      </c>
      <c r="C207" s="190" t="s">
        <v>2434</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2206</v>
      </c>
      <c r="T207" s="123" t="s">
        <v>2206</v>
      </c>
      <c r="U207" s="123" t="s">
        <v>2187</v>
      </c>
      <c r="V207" s="123" t="s">
        <v>2187</v>
      </c>
      <c r="W207" s="123" t="s">
        <v>3559</v>
      </c>
    </row>
    <row r="208" spans="1:23">
      <c r="A208" s="189">
        <v>206</v>
      </c>
      <c r="B208" s="190" t="s">
        <v>2314</v>
      </c>
      <c r="C208" s="190" t="s">
        <v>2425</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2187</v>
      </c>
      <c r="T208" s="123" t="s">
        <v>2206</v>
      </c>
      <c r="U208" s="123" t="s">
        <v>2187</v>
      </c>
      <c r="V208" s="123" t="s">
        <v>2187</v>
      </c>
      <c r="W208" s="123" t="s">
        <v>3560</v>
      </c>
    </row>
    <row r="209" spans="1:24">
      <c r="A209" s="189">
        <v>207</v>
      </c>
      <c r="B209" s="190" t="s">
        <v>2314</v>
      </c>
      <c r="C209" s="190" t="s">
        <v>2448</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2187</v>
      </c>
      <c r="T209" s="123" t="s">
        <v>2187</v>
      </c>
      <c r="U209" s="123"/>
      <c r="V209" s="123" t="s">
        <v>2187</v>
      </c>
      <c r="W209" s="123"/>
    </row>
    <row r="210" spans="1:24">
      <c r="A210" s="189">
        <v>208</v>
      </c>
      <c r="B210" s="190" t="s">
        <v>2314</v>
      </c>
      <c r="C210" s="190" t="s">
        <v>2441</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2200</v>
      </c>
      <c r="T210" s="123" t="s">
        <v>2319</v>
      </c>
      <c r="U210" s="123" t="s">
        <v>2187</v>
      </c>
      <c r="V210" s="123" t="s">
        <v>2187</v>
      </c>
      <c r="W210" s="123" t="s">
        <v>3561</v>
      </c>
    </row>
    <row r="211" spans="1:24">
      <c r="A211" s="189">
        <v>209</v>
      </c>
      <c r="B211" s="190" t="s">
        <v>2314</v>
      </c>
      <c r="C211" s="190" t="s">
        <v>2435</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2187</v>
      </c>
      <c r="T211" s="123"/>
      <c r="U211" s="123" t="s">
        <v>2187</v>
      </c>
      <c r="V211" s="123" t="s">
        <v>2187</v>
      </c>
      <c r="W211" s="123"/>
    </row>
    <row r="212" spans="1:24">
      <c r="A212" s="189">
        <v>210</v>
      </c>
      <c r="B212" s="190" t="s">
        <v>2314</v>
      </c>
      <c r="C212" s="190" t="s">
        <v>2449</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2234</v>
      </c>
      <c r="T212" s="123" t="s">
        <v>2195</v>
      </c>
      <c r="U212" s="123"/>
      <c r="V212" s="123"/>
      <c r="W212" s="123" t="s">
        <v>3562</v>
      </c>
      <c r="X212" s="164"/>
    </row>
    <row r="213" spans="1:24">
      <c r="A213" s="189">
        <v>211</v>
      </c>
      <c r="B213" s="190" t="s">
        <v>2314</v>
      </c>
      <c r="C213" s="190" t="s">
        <v>2426</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2179</v>
      </c>
      <c r="T213" s="123" t="s">
        <v>2236</v>
      </c>
      <c r="U213" s="123" t="s">
        <v>2187</v>
      </c>
      <c r="V213" s="123"/>
      <c r="W213" s="123"/>
    </row>
    <row r="214" spans="1:24">
      <c r="A214" s="189">
        <v>215</v>
      </c>
      <c r="B214" s="190" t="s">
        <v>2314</v>
      </c>
      <c r="C214" s="190" t="s">
        <v>2427</v>
      </c>
      <c r="D214" s="133">
        <v>7</v>
      </c>
      <c r="E214" s="124">
        <v>42942</v>
      </c>
      <c r="F214" s="125">
        <v>0.63194444444444442</v>
      </c>
      <c r="G214" s="124">
        <v>43004</v>
      </c>
      <c r="H214" s="125">
        <v>0.41875000000000001</v>
      </c>
      <c r="I214" s="123">
        <v>934</v>
      </c>
      <c r="J214" s="123">
        <v>169</v>
      </c>
      <c r="K214" s="123">
        <v>627</v>
      </c>
      <c r="L214" s="192">
        <v>56</v>
      </c>
      <c r="M214" s="123">
        <v>256</v>
      </c>
      <c r="N214" s="123">
        <v>30.2</v>
      </c>
      <c r="O214" s="123">
        <v>4.3</v>
      </c>
      <c r="P214" s="123"/>
      <c r="Q214" s="123">
        <v>27.3</v>
      </c>
      <c r="R214" s="123">
        <v>4.3</v>
      </c>
      <c r="S214" s="123"/>
      <c r="T214" s="123" t="s">
        <v>2187</v>
      </c>
      <c r="U214" s="123" t="s">
        <v>2187</v>
      </c>
      <c r="V214" s="123" t="s">
        <v>2187</v>
      </c>
      <c r="W214" s="123"/>
    </row>
    <row r="215" spans="1:24">
      <c r="A215" s="189">
        <v>212</v>
      </c>
      <c r="B215" s="190" t="s">
        <v>2314</v>
      </c>
      <c r="C215" s="190" t="s">
        <v>2442</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2206</v>
      </c>
      <c r="T215" s="123" t="s">
        <v>2206</v>
      </c>
      <c r="U215" s="123" t="s">
        <v>2187</v>
      </c>
      <c r="V215" s="123" t="s">
        <v>2187</v>
      </c>
      <c r="W215" s="123" t="s">
        <v>3563</v>
      </c>
    </row>
    <row r="216" spans="1:24">
      <c r="A216" s="189">
        <v>213</v>
      </c>
      <c r="B216" s="190" t="s">
        <v>2385</v>
      </c>
      <c r="C216" s="190" t="s">
        <v>2450</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2187</v>
      </c>
      <c r="T216" s="123" t="s">
        <v>2187</v>
      </c>
      <c r="U216" s="123"/>
      <c r="V216" s="123"/>
      <c r="W216" s="123"/>
    </row>
    <row r="217" spans="1:24">
      <c r="A217" s="189">
        <v>214</v>
      </c>
      <c r="B217" s="190" t="s">
        <v>2385</v>
      </c>
      <c r="C217" s="190" t="s">
        <v>2443</v>
      </c>
      <c r="D217" s="133">
        <v>7</v>
      </c>
      <c r="E217" s="124">
        <v>42942</v>
      </c>
      <c r="F217" s="125">
        <v>0.64583333333333337</v>
      </c>
      <c r="G217" s="124">
        <v>43004</v>
      </c>
      <c r="H217" s="125">
        <v>0.45555555555555555</v>
      </c>
      <c r="I217" s="123">
        <v>929</v>
      </c>
      <c r="J217" s="123">
        <v>128</v>
      </c>
      <c r="K217" s="123">
        <v>677</v>
      </c>
      <c r="L217" s="164">
        <v>771</v>
      </c>
      <c r="M217" s="123">
        <v>663</v>
      </c>
      <c r="N217" s="123">
        <v>31.3</v>
      </c>
      <c r="O217" s="123">
        <v>4.8</v>
      </c>
      <c r="P217" s="123"/>
      <c r="Q217" s="123">
        <v>28.3</v>
      </c>
      <c r="R217" s="123">
        <v>7.8</v>
      </c>
      <c r="S217" s="123" t="s">
        <v>2179</v>
      </c>
      <c r="T217" s="123" t="s">
        <v>2206</v>
      </c>
      <c r="U217" s="123" t="s">
        <v>2187</v>
      </c>
      <c r="V217" s="123"/>
      <c r="W217" s="123"/>
    </row>
    <row r="218" spans="1:24">
      <c r="A218" s="189">
        <v>216</v>
      </c>
      <c r="B218" s="190" t="s">
        <v>2385</v>
      </c>
      <c r="C218" s="190" t="s">
        <v>2436</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189">
        <v>217</v>
      </c>
      <c r="B219" s="190" t="s">
        <v>2428</v>
      </c>
      <c r="C219" s="190" t="s">
        <v>2429</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2206</v>
      </c>
      <c r="T219" s="123" t="s">
        <v>2206</v>
      </c>
      <c r="U219" s="123" t="s">
        <v>2187</v>
      </c>
      <c r="V219" s="123"/>
      <c r="W219" s="123"/>
    </row>
    <row r="220" spans="1:24">
      <c r="A220" s="189">
        <v>218</v>
      </c>
      <c r="B220" s="190" t="s">
        <v>2428</v>
      </c>
      <c r="C220" s="190" t="s">
        <v>2437</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2187</v>
      </c>
      <c r="T220" s="123" t="s">
        <v>2206</v>
      </c>
      <c r="U220" s="123" t="s">
        <v>2187</v>
      </c>
      <c r="V220" s="123" t="s">
        <v>2187</v>
      </c>
      <c r="W220" s="123" t="s">
        <v>3564</v>
      </c>
    </row>
    <row r="221" spans="1:24">
      <c r="A221" s="189">
        <v>219</v>
      </c>
      <c r="B221" s="190" t="s">
        <v>2428</v>
      </c>
      <c r="C221" s="190" t="s">
        <v>2444</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2206</v>
      </c>
      <c r="T221" s="123" t="s">
        <v>2187</v>
      </c>
      <c r="U221" s="123" t="s">
        <v>2187</v>
      </c>
      <c r="V221" s="123"/>
      <c r="W221" s="123"/>
    </row>
    <row r="222" spans="1:24">
      <c r="A222" s="189">
        <v>220</v>
      </c>
      <c r="B222" s="190" t="s">
        <v>2428</v>
      </c>
      <c r="C222" s="190" t="s">
        <v>2451</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2187</v>
      </c>
      <c r="T222" s="123" t="s">
        <v>3547</v>
      </c>
      <c r="U222" s="123" t="s">
        <v>2187</v>
      </c>
      <c r="V222" s="123"/>
      <c r="W222" s="123" t="s">
        <v>3539</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3517</v>
      </c>
      <c r="I4" t="s">
        <v>3518</v>
      </c>
      <c r="Q4" t="s">
        <v>3517</v>
      </c>
      <c r="R4" t="s">
        <v>3518</v>
      </c>
    </row>
    <row r="5" spans="2:18">
      <c r="B5" s="196" t="s">
        <v>2539</v>
      </c>
      <c r="C5" s="180"/>
      <c r="D5" s="180"/>
      <c r="E5" s="180"/>
      <c r="F5" s="180"/>
      <c r="G5" s="180"/>
      <c r="H5" s="180">
        <v>0.84199999999999997</v>
      </c>
      <c r="I5">
        <v>0.93300000000000005</v>
      </c>
      <c r="K5" s="196" t="s">
        <v>2539</v>
      </c>
      <c r="L5" s="180"/>
      <c r="M5" s="180"/>
      <c r="N5" s="180"/>
      <c r="O5" s="180"/>
      <c r="P5" s="180"/>
      <c r="Q5" s="180">
        <v>0.84199999999999997</v>
      </c>
      <c r="R5">
        <v>0.93300000000000005</v>
      </c>
    </row>
    <row r="6" spans="2:18">
      <c r="B6" s="196" t="s">
        <v>2540</v>
      </c>
      <c r="C6" s="180"/>
      <c r="D6" s="180"/>
      <c r="E6" s="180"/>
      <c r="F6" s="180"/>
      <c r="G6" s="180"/>
      <c r="H6" s="180">
        <v>0.55200000000000005</v>
      </c>
      <c r="I6">
        <v>0.67600000000000005</v>
      </c>
      <c r="K6" s="196" t="s">
        <v>2540</v>
      </c>
      <c r="L6" s="180"/>
      <c r="M6" s="180"/>
      <c r="N6" s="180"/>
      <c r="O6" s="180"/>
      <c r="P6" s="180"/>
      <c r="Q6" s="180">
        <v>0.55200000000000005</v>
      </c>
      <c r="R6">
        <v>0.67600000000000005</v>
      </c>
    </row>
    <row r="7" spans="2:18">
      <c r="B7" s="196" t="s">
        <v>10</v>
      </c>
      <c r="C7" s="180"/>
      <c r="D7" s="180"/>
      <c r="E7" s="180"/>
      <c r="F7" s="180"/>
      <c r="G7" s="180"/>
      <c r="H7" s="180">
        <v>0.12180000000000001</v>
      </c>
      <c r="K7" s="196" t="s">
        <v>10</v>
      </c>
      <c r="L7" s="180"/>
      <c r="M7" s="180"/>
      <c r="N7" s="180"/>
      <c r="O7" s="180"/>
      <c r="P7" s="180"/>
      <c r="Q7" s="180">
        <v>0.12180000000000001</v>
      </c>
    </row>
    <row r="8" spans="2:18">
      <c r="B8" s="196" t="s">
        <v>11</v>
      </c>
      <c r="C8" s="180"/>
      <c r="D8" s="180"/>
      <c r="E8" s="180"/>
      <c r="F8" s="180"/>
      <c r="G8" s="180"/>
      <c r="H8" s="180">
        <v>2.8799999999999999E-2</v>
      </c>
      <c r="K8" s="196" t="s">
        <v>11</v>
      </c>
      <c r="L8" s="180"/>
      <c r="M8" s="180"/>
      <c r="N8" s="180"/>
      <c r="O8" s="180"/>
      <c r="P8" s="180"/>
      <c r="Q8" s="180">
        <v>2.8799999999999999E-2</v>
      </c>
    </row>
    <row r="9" spans="2:18">
      <c r="B9" s="196" t="s">
        <v>12</v>
      </c>
      <c r="C9" s="180"/>
      <c r="D9" s="180"/>
      <c r="E9" s="180"/>
      <c r="F9" s="180"/>
      <c r="G9" s="180"/>
      <c r="H9" s="180">
        <f>H7+H8</f>
        <v>0.15060000000000001</v>
      </c>
      <c r="K9" s="196" t="s">
        <v>12</v>
      </c>
      <c r="L9" s="180"/>
      <c r="M9" s="180"/>
      <c r="N9" s="180"/>
      <c r="O9" s="180"/>
      <c r="P9" s="180"/>
      <c r="Q9" s="180">
        <f>Q7+Q8</f>
        <v>0.15060000000000001</v>
      </c>
    </row>
    <row r="10" spans="2:18">
      <c r="B10" s="196" t="s">
        <v>13</v>
      </c>
      <c r="C10" s="180"/>
      <c r="D10" s="180"/>
      <c r="E10" s="180"/>
      <c r="F10" s="180"/>
      <c r="G10" s="180"/>
      <c r="H10" s="180">
        <v>9.9199999999999997E-2</v>
      </c>
      <c r="K10" s="196" t="s">
        <v>13</v>
      </c>
      <c r="L10" s="180"/>
      <c r="M10" s="180"/>
      <c r="N10" s="180"/>
      <c r="O10" s="180"/>
      <c r="P10" s="180"/>
      <c r="Q10" s="180">
        <v>9.9199999999999997E-2</v>
      </c>
    </row>
    <row r="11" spans="2:18">
      <c r="B11" s="196" t="s">
        <v>14</v>
      </c>
      <c r="C11" s="180"/>
      <c r="D11" s="180"/>
      <c r="E11" s="180"/>
      <c r="F11" s="180"/>
      <c r="G11" s="180"/>
      <c r="H11" s="180">
        <v>1</v>
      </c>
      <c r="K11" s="196" t="s">
        <v>14</v>
      </c>
      <c r="L11" s="180"/>
      <c r="M11" s="180"/>
      <c r="N11" s="180"/>
      <c r="O11" s="180"/>
      <c r="P11" s="180"/>
      <c r="Q11" s="180">
        <v>1</v>
      </c>
    </row>
    <row r="12" spans="2:18">
      <c r="B12" s="196" t="s">
        <v>15</v>
      </c>
      <c r="C12" s="180"/>
      <c r="D12" s="180"/>
      <c r="E12" s="180"/>
      <c r="F12" s="180"/>
      <c r="G12" s="180"/>
      <c r="H12" s="180">
        <v>1</v>
      </c>
      <c r="K12" s="196" t="s">
        <v>15</v>
      </c>
      <c r="L12" s="180"/>
      <c r="M12" s="180"/>
      <c r="N12" s="180"/>
      <c r="O12" s="180"/>
      <c r="P12" s="180"/>
      <c r="Q12" s="18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42" t="s">
        <v>2665</v>
      </c>
      <c r="B1" s="242" t="s">
        <v>2648</v>
      </c>
      <c r="C1" s="242" t="s">
        <v>2643</v>
      </c>
      <c r="D1" s="243" t="s">
        <v>3377</v>
      </c>
      <c r="E1" s="243" t="s">
        <v>3378</v>
      </c>
      <c r="F1" s="242" t="s">
        <v>3379</v>
      </c>
      <c r="G1" s="244" t="s">
        <v>2147</v>
      </c>
      <c r="I1" s="412" t="s">
        <v>3161</v>
      </c>
      <c r="J1" s="413"/>
      <c r="K1" s="413"/>
      <c r="L1" s="413"/>
      <c r="M1" s="414"/>
      <c r="N1" t="s">
        <v>2147</v>
      </c>
    </row>
    <row r="2" spans="1:14">
      <c r="A2" t="s">
        <v>2428</v>
      </c>
      <c r="B2" t="s">
        <v>3380</v>
      </c>
      <c r="C2" t="s">
        <v>2504</v>
      </c>
      <c r="D2" t="s">
        <v>2250</v>
      </c>
      <c r="E2">
        <v>0.2</v>
      </c>
      <c r="F2">
        <v>3</v>
      </c>
      <c r="I2" s="243" t="s">
        <v>2665</v>
      </c>
      <c r="J2" s="243" t="s">
        <v>2648</v>
      </c>
      <c r="K2" s="243" t="s">
        <v>2643</v>
      </c>
      <c r="L2" s="243" t="s">
        <v>2169</v>
      </c>
      <c r="M2" s="243" t="s">
        <v>3377</v>
      </c>
    </row>
    <row r="3" spans="1:14">
      <c r="A3" t="s">
        <v>2428</v>
      </c>
      <c r="B3" t="s">
        <v>3380</v>
      </c>
      <c r="C3" t="s">
        <v>2504</v>
      </c>
      <c r="D3" t="s">
        <v>2250</v>
      </c>
      <c r="E3">
        <v>0.1</v>
      </c>
      <c r="F3">
        <v>5.6</v>
      </c>
      <c r="I3" t="s">
        <v>3381</v>
      </c>
      <c r="J3" t="s">
        <v>3380</v>
      </c>
      <c r="K3" t="s">
        <v>2278</v>
      </c>
      <c r="L3">
        <v>1044</v>
      </c>
      <c r="M3" t="s">
        <v>2228</v>
      </c>
    </row>
    <row r="4" spans="1:14">
      <c r="A4" t="s">
        <v>2428</v>
      </c>
      <c r="B4" t="s">
        <v>3380</v>
      </c>
      <c r="C4" t="s">
        <v>2504</v>
      </c>
      <c r="D4" t="s">
        <v>2250</v>
      </c>
      <c r="E4">
        <v>0.2</v>
      </c>
      <c r="F4">
        <v>2.5</v>
      </c>
      <c r="I4" t="s">
        <v>3381</v>
      </c>
      <c r="J4" t="s">
        <v>3380</v>
      </c>
      <c r="K4" t="s">
        <v>2278</v>
      </c>
      <c r="L4">
        <v>1045</v>
      </c>
      <c r="M4" t="s">
        <v>2250</v>
      </c>
    </row>
    <row r="5" spans="1:14">
      <c r="A5" t="s">
        <v>3381</v>
      </c>
      <c r="B5" t="s">
        <v>3380</v>
      </c>
      <c r="C5" t="s">
        <v>2278</v>
      </c>
      <c r="D5" t="s">
        <v>2180</v>
      </c>
      <c r="E5">
        <v>1.4</v>
      </c>
      <c r="F5">
        <v>4.8</v>
      </c>
      <c r="G5" t="s">
        <v>3382</v>
      </c>
      <c r="I5" t="s">
        <v>3381</v>
      </c>
      <c r="J5" t="s">
        <v>3380</v>
      </c>
      <c r="K5" t="s">
        <v>2278</v>
      </c>
      <c r="L5">
        <v>1046</v>
      </c>
      <c r="M5" t="s">
        <v>2180</v>
      </c>
    </row>
    <row r="6" spans="1:14">
      <c r="A6" t="s">
        <v>3381</v>
      </c>
      <c r="B6" t="s">
        <v>3380</v>
      </c>
      <c r="C6" t="s">
        <v>2287</v>
      </c>
      <c r="D6" t="s">
        <v>2250</v>
      </c>
      <c r="E6">
        <v>2.2000000000000002</v>
      </c>
      <c r="F6">
        <v>0.2</v>
      </c>
      <c r="G6" t="s">
        <v>3383</v>
      </c>
      <c r="I6" t="s">
        <v>3381</v>
      </c>
      <c r="J6" t="s">
        <v>3380</v>
      </c>
      <c r="K6" t="s">
        <v>2278</v>
      </c>
      <c r="L6">
        <v>1047</v>
      </c>
      <c r="M6" t="s">
        <v>2180</v>
      </c>
    </row>
    <row r="7" spans="1:14">
      <c r="A7" t="s">
        <v>3381</v>
      </c>
      <c r="B7" t="s">
        <v>3380</v>
      </c>
      <c r="C7" t="s">
        <v>2287</v>
      </c>
      <c r="D7" t="s">
        <v>2250</v>
      </c>
      <c r="E7">
        <v>2.5499999999999998</v>
      </c>
      <c r="F7">
        <v>0.1</v>
      </c>
      <c r="G7" t="s">
        <v>3383</v>
      </c>
      <c r="I7" t="s">
        <v>3381</v>
      </c>
      <c r="J7" t="s">
        <v>3380</v>
      </c>
      <c r="K7" t="s">
        <v>2278</v>
      </c>
      <c r="L7">
        <v>1048</v>
      </c>
      <c r="M7" t="s">
        <v>2250</v>
      </c>
    </row>
    <row r="8" spans="1:14">
      <c r="A8" t="s">
        <v>3381</v>
      </c>
      <c r="B8" t="s">
        <v>3380</v>
      </c>
      <c r="C8" t="s">
        <v>2287</v>
      </c>
      <c r="D8" t="s">
        <v>2250</v>
      </c>
      <c r="E8">
        <v>1.8</v>
      </c>
      <c r="F8">
        <v>0.1</v>
      </c>
      <c r="G8" t="s">
        <v>3383</v>
      </c>
      <c r="I8" t="s">
        <v>3381</v>
      </c>
      <c r="J8" t="s">
        <v>3380</v>
      </c>
      <c r="K8" t="s">
        <v>2278</v>
      </c>
      <c r="L8">
        <v>1049</v>
      </c>
      <c r="M8" t="s">
        <v>2180</v>
      </c>
    </row>
    <row r="9" spans="1:14">
      <c r="A9" t="s">
        <v>3381</v>
      </c>
      <c r="B9" t="s">
        <v>3380</v>
      </c>
      <c r="C9" t="s">
        <v>2287</v>
      </c>
      <c r="D9" t="s">
        <v>2250</v>
      </c>
      <c r="E9">
        <v>1.55</v>
      </c>
      <c r="F9">
        <v>0.15</v>
      </c>
      <c r="G9" t="s">
        <v>3383</v>
      </c>
      <c r="I9" t="s">
        <v>3381</v>
      </c>
      <c r="J9" t="s">
        <v>3380</v>
      </c>
      <c r="K9" t="s">
        <v>2287</v>
      </c>
      <c r="L9">
        <v>1050</v>
      </c>
      <c r="M9" t="s">
        <v>2228</v>
      </c>
    </row>
    <row r="10" spans="1:14">
      <c r="A10" t="s">
        <v>3381</v>
      </c>
      <c r="B10" t="s">
        <v>3380</v>
      </c>
      <c r="C10" t="s">
        <v>2287</v>
      </c>
      <c r="D10" t="s">
        <v>2250</v>
      </c>
      <c r="E10">
        <v>2.25</v>
      </c>
      <c r="F10">
        <v>0.2</v>
      </c>
      <c r="G10" t="s">
        <v>3383</v>
      </c>
      <c r="I10" t="s">
        <v>3381</v>
      </c>
      <c r="J10" t="s">
        <v>3380</v>
      </c>
      <c r="K10" t="s">
        <v>2287</v>
      </c>
      <c r="L10">
        <v>1051</v>
      </c>
      <c r="M10" t="s">
        <v>2180</v>
      </c>
    </row>
    <row r="11" spans="1:14">
      <c r="A11" t="s">
        <v>3381</v>
      </c>
      <c r="B11" t="s">
        <v>3380</v>
      </c>
      <c r="C11" t="s">
        <v>2296</v>
      </c>
      <c r="D11" t="s">
        <v>2250</v>
      </c>
      <c r="E11">
        <v>0.2</v>
      </c>
      <c r="F11">
        <v>5.2</v>
      </c>
      <c r="I11" t="s">
        <v>3381</v>
      </c>
      <c r="J11" t="s">
        <v>3380</v>
      </c>
      <c r="K11" t="s">
        <v>2287</v>
      </c>
      <c r="L11">
        <v>1052</v>
      </c>
      <c r="M11" t="s">
        <v>2250</v>
      </c>
    </row>
    <row r="12" spans="1:14">
      <c r="A12" t="s">
        <v>3381</v>
      </c>
      <c r="B12" t="s">
        <v>3380</v>
      </c>
      <c r="C12" t="s">
        <v>2306</v>
      </c>
      <c r="D12" t="s">
        <v>2250</v>
      </c>
      <c r="E12">
        <v>0.4</v>
      </c>
      <c r="F12">
        <v>10.95</v>
      </c>
      <c r="I12" t="s">
        <v>3381</v>
      </c>
      <c r="J12" t="s">
        <v>3380</v>
      </c>
      <c r="K12" t="s">
        <v>2287</v>
      </c>
      <c r="L12">
        <v>1053</v>
      </c>
      <c r="M12" t="s">
        <v>2250</v>
      </c>
    </row>
    <row r="13" spans="1:14">
      <c r="A13" t="s">
        <v>2666</v>
      </c>
      <c r="B13" t="s">
        <v>20</v>
      </c>
      <c r="C13" t="s">
        <v>2227</v>
      </c>
      <c r="D13" t="s">
        <v>2250</v>
      </c>
      <c r="E13">
        <v>7.0000000000000007E-2</v>
      </c>
      <c r="F13">
        <v>2.2200000000000002</v>
      </c>
      <c r="I13" t="s">
        <v>3381</v>
      </c>
      <c r="J13" t="s">
        <v>3380</v>
      </c>
      <c r="K13" t="s">
        <v>2287</v>
      </c>
      <c r="L13">
        <v>1054</v>
      </c>
      <c r="M13" t="s">
        <v>2228</v>
      </c>
    </row>
    <row r="14" spans="1:14">
      <c r="A14" t="s">
        <v>2666</v>
      </c>
      <c r="B14" t="s">
        <v>20</v>
      </c>
      <c r="C14" t="s">
        <v>2227</v>
      </c>
      <c r="D14" t="s">
        <v>2250</v>
      </c>
      <c r="E14">
        <v>0</v>
      </c>
      <c r="F14">
        <v>4.4000000000000004</v>
      </c>
      <c r="I14" t="s">
        <v>3381</v>
      </c>
      <c r="J14" t="s">
        <v>3380</v>
      </c>
      <c r="K14" t="s">
        <v>2287</v>
      </c>
      <c r="L14">
        <v>1055</v>
      </c>
      <c r="M14" t="s">
        <v>2250</v>
      </c>
    </row>
    <row r="15" spans="1:14">
      <c r="A15" t="s">
        <v>2666</v>
      </c>
      <c r="B15" t="s">
        <v>20</v>
      </c>
      <c r="C15" t="s">
        <v>2227</v>
      </c>
      <c r="D15" t="s">
        <v>2228</v>
      </c>
      <c r="E15">
        <v>0.3</v>
      </c>
      <c r="F15">
        <v>4.0999999999999996</v>
      </c>
      <c r="I15" t="s">
        <v>3381</v>
      </c>
      <c r="J15" t="s">
        <v>3380</v>
      </c>
      <c r="K15" t="s">
        <v>2287</v>
      </c>
      <c r="L15">
        <v>1056</v>
      </c>
      <c r="M15" t="s">
        <v>2250</v>
      </c>
    </row>
    <row r="16" spans="1:14">
      <c r="A16" t="s">
        <v>2666</v>
      </c>
      <c r="B16" t="s">
        <v>20</v>
      </c>
      <c r="C16" t="s">
        <v>2227</v>
      </c>
      <c r="D16" t="s">
        <v>2250</v>
      </c>
      <c r="E16">
        <v>0.08</v>
      </c>
      <c r="F16">
        <v>0.38</v>
      </c>
      <c r="I16" t="s">
        <v>3381</v>
      </c>
      <c r="J16" t="s">
        <v>3380</v>
      </c>
      <c r="K16" t="s">
        <v>2287</v>
      </c>
      <c r="L16">
        <v>1057</v>
      </c>
      <c r="M16" t="s">
        <v>2250</v>
      </c>
    </row>
    <row r="17" spans="1:13">
      <c r="A17" t="s">
        <v>2666</v>
      </c>
      <c r="B17" t="s">
        <v>20</v>
      </c>
      <c r="C17" t="s">
        <v>2244</v>
      </c>
      <c r="D17" t="s">
        <v>2228</v>
      </c>
      <c r="E17">
        <v>0.31</v>
      </c>
      <c r="F17">
        <v>4.3</v>
      </c>
      <c r="I17" t="s">
        <v>3381</v>
      </c>
      <c r="J17" t="s">
        <v>3380</v>
      </c>
      <c r="K17" t="s">
        <v>2296</v>
      </c>
      <c r="L17">
        <v>1030</v>
      </c>
      <c r="M17" t="s">
        <v>2250</v>
      </c>
    </row>
    <row r="18" spans="1:13">
      <c r="A18" t="s">
        <v>2666</v>
      </c>
      <c r="B18" t="s">
        <v>20</v>
      </c>
      <c r="C18" t="s">
        <v>2256</v>
      </c>
      <c r="D18" t="s">
        <v>2250</v>
      </c>
      <c r="E18">
        <v>1.35</v>
      </c>
      <c r="F18">
        <v>0.2</v>
      </c>
      <c r="I18" t="s">
        <v>3381</v>
      </c>
      <c r="J18" t="s">
        <v>3380</v>
      </c>
      <c r="K18" t="s">
        <v>2296</v>
      </c>
      <c r="L18">
        <v>1031</v>
      </c>
      <c r="M18" t="s">
        <v>2228</v>
      </c>
    </row>
    <row r="19" spans="1:13">
      <c r="A19" t="s">
        <v>2666</v>
      </c>
      <c r="B19" t="s">
        <v>20</v>
      </c>
      <c r="C19" t="s">
        <v>2256</v>
      </c>
      <c r="D19" t="s">
        <v>2180</v>
      </c>
      <c r="E19">
        <v>6.6</v>
      </c>
      <c r="F19">
        <v>0.9</v>
      </c>
      <c r="I19" t="s">
        <v>3381</v>
      </c>
      <c r="J19" t="s">
        <v>3380</v>
      </c>
      <c r="K19" t="s">
        <v>2296</v>
      </c>
      <c r="L19">
        <v>1032</v>
      </c>
      <c r="M19" t="s">
        <v>2250</v>
      </c>
    </row>
    <row r="20" spans="1:13">
      <c r="A20" t="s">
        <v>2666</v>
      </c>
      <c r="B20" t="s">
        <v>20</v>
      </c>
      <c r="C20" t="s">
        <v>2256</v>
      </c>
      <c r="D20" t="s">
        <v>2250</v>
      </c>
      <c r="E20">
        <v>4.3499999999999996</v>
      </c>
      <c r="F20">
        <v>0.2</v>
      </c>
      <c r="I20" t="s">
        <v>3381</v>
      </c>
      <c r="J20" t="s">
        <v>3380</v>
      </c>
      <c r="K20" t="s">
        <v>2296</v>
      </c>
      <c r="L20">
        <v>1033</v>
      </c>
      <c r="M20" t="s">
        <v>2228</v>
      </c>
    </row>
    <row r="21" spans="1:13">
      <c r="A21" t="s">
        <v>2666</v>
      </c>
      <c r="B21" t="s">
        <v>20</v>
      </c>
      <c r="C21" t="s">
        <v>2265</v>
      </c>
      <c r="D21" t="s">
        <v>2250</v>
      </c>
      <c r="E21">
        <v>2.4</v>
      </c>
      <c r="F21">
        <v>0.05</v>
      </c>
      <c r="I21" t="s">
        <v>3381</v>
      </c>
      <c r="J21" t="s">
        <v>3380</v>
      </c>
      <c r="K21" t="s">
        <v>2296</v>
      </c>
      <c r="L21">
        <v>1034</v>
      </c>
      <c r="M21" t="s">
        <v>2250</v>
      </c>
    </row>
    <row r="22" spans="1:13">
      <c r="A22" t="s">
        <v>2666</v>
      </c>
      <c r="B22" t="s">
        <v>20</v>
      </c>
      <c r="C22" t="s">
        <v>2265</v>
      </c>
      <c r="D22" t="s">
        <v>2250</v>
      </c>
      <c r="E22">
        <v>2.4500000000000002</v>
      </c>
      <c r="F22">
        <v>0.15</v>
      </c>
      <c r="I22" t="s">
        <v>3381</v>
      </c>
      <c r="J22" t="s">
        <v>3380</v>
      </c>
      <c r="K22" t="s">
        <v>2296</v>
      </c>
      <c r="L22">
        <v>1035</v>
      </c>
      <c r="M22" t="s">
        <v>2228</v>
      </c>
    </row>
    <row r="23" spans="1:13">
      <c r="A23" t="s">
        <v>2666</v>
      </c>
      <c r="B23" t="s">
        <v>20</v>
      </c>
      <c r="C23" t="s">
        <v>2265</v>
      </c>
      <c r="D23" t="s">
        <v>2250</v>
      </c>
      <c r="E23">
        <v>4.7</v>
      </c>
      <c r="F23">
        <v>0.4</v>
      </c>
      <c r="I23" t="s">
        <v>3381</v>
      </c>
      <c r="J23" t="s">
        <v>3380</v>
      </c>
      <c r="K23" t="s">
        <v>2296</v>
      </c>
      <c r="L23">
        <v>1036</v>
      </c>
      <c r="M23" t="s">
        <v>2180</v>
      </c>
    </row>
    <row r="24" spans="1:13">
      <c r="A24" t="s">
        <v>2666</v>
      </c>
      <c r="B24" t="s">
        <v>20</v>
      </c>
      <c r="C24" t="s">
        <v>2265</v>
      </c>
      <c r="D24" t="s">
        <v>2250</v>
      </c>
      <c r="E24">
        <v>3.3</v>
      </c>
      <c r="F24">
        <v>0.4</v>
      </c>
      <c r="I24" t="s">
        <v>3381</v>
      </c>
      <c r="J24" t="s">
        <v>3380</v>
      </c>
      <c r="K24" t="s">
        <v>2296</v>
      </c>
      <c r="L24">
        <v>1037</v>
      </c>
      <c r="M24" t="s">
        <v>2180</v>
      </c>
    </row>
    <row r="25" spans="1:13">
      <c r="A25" t="s">
        <v>2666</v>
      </c>
      <c r="B25" t="s">
        <v>20</v>
      </c>
      <c r="C25" t="s">
        <v>2265</v>
      </c>
      <c r="D25" t="s">
        <v>2180</v>
      </c>
      <c r="E25">
        <v>9.6</v>
      </c>
      <c r="F25">
        <v>0.55000000000000004</v>
      </c>
      <c r="I25" t="s">
        <v>3381</v>
      </c>
      <c r="J25" t="s">
        <v>3380</v>
      </c>
      <c r="K25" t="s">
        <v>2306</v>
      </c>
      <c r="L25">
        <v>1038</v>
      </c>
      <c r="M25" t="s">
        <v>2228</v>
      </c>
    </row>
    <row r="26" spans="1:13">
      <c r="A26" t="s">
        <v>2666</v>
      </c>
      <c r="B26" t="s">
        <v>2660</v>
      </c>
      <c r="C26" t="s">
        <v>2178</v>
      </c>
      <c r="D26" t="s">
        <v>2228</v>
      </c>
      <c r="E26">
        <v>6.35</v>
      </c>
      <c r="F26">
        <v>0.45</v>
      </c>
      <c r="I26" t="s">
        <v>3381</v>
      </c>
      <c r="J26" t="s">
        <v>3380</v>
      </c>
      <c r="K26" t="s">
        <v>2306</v>
      </c>
      <c r="L26">
        <v>1039</v>
      </c>
      <c r="M26" t="s">
        <v>2180</v>
      </c>
    </row>
    <row r="27" spans="1:13">
      <c r="A27" t="s">
        <v>2666</v>
      </c>
      <c r="B27" t="s">
        <v>2660</v>
      </c>
      <c r="C27" t="s">
        <v>2178</v>
      </c>
      <c r="D27" t="s">
        <v>2228</v>
      </c>
      <c r="E27">
        <v>7.2</v>
      </c>
      <c r="F27">
        <v>0.95</v>
      </c>
      <c r="I27" t="s">
        <v>3381</v>
      </c>
      <c r="J27" t="s">
        <v>3380</v>
      </c>
      <c r="K27" t="s">
        <v>2306</v>
      </c>
      <c r="L27">
        <v>1040</v>
      </c>
      <c r="M27" t="s">
        <v>2250</v>
      </c>
    </row>
    <row r="28" spans="1:13">
      <c r="A28" t="s">
        <v>2666</v>
      </c>
      <c r="B28" t="s">
        <v>2660</v>
      </c>
      <c r="C28" t="s">
        <v>2194</v>
      </c>
      <c r="D28" t="s">
        <v>2180</v>
      </c>
      <c r="E28">
        <v>6.65</v>
      </c>
      <c r="F28">
        <v>0.85</v>
      </c>
      <c r="I28" t="s">
        <v>3381</v>
      </c>
      <c r="J28" t="s">
        <v>3380</v>
      </c>
      <c r="K28" t="s">
        <v>2306</v>
      </c>
      <c r="L28">
        <v>1041</v>
      </c>
      <c r="M28" t="s">
        <v>2250</v>
      </c>
    </row>
    <row r="29" spans="1:13">
      <c r="A29" t="s">
        <v>2666</v>
      </c>
      <c r="B29" t="s">
        <v>2660</v>
      </c>
      <c r="C29" t="s">
        <v>2208</v>
      </c>
      <c r="G29" t="s">
        <v>3384</v>
      </c>
      <c r="I29" t="s">
        <v>3381</v>
      </c>
      <c r="J29" t="s">
        <v>3380</v>
      </c>
      <c r="K29" t="s">
        <v>2306</v>
      </c>
      <c r="L29">
        <v>1042</v>
      </c>
      <c r="M29" t="s">
        <v>2250</v>
      </c>
    </row>
    <row r="30" spans="1:13">
      <c r="A30" t="s">
        <v>2666</v>
      </c>
      <c r="B30" t="s">
        <v>2660</v>
      </c>
      <c r="C30" t="s">
        <v>2218</v>
      </c>
      <c r="G30" t="s">
        <v>3384</v>
      </c>
      <c r="I30" t="s">
        <v>3381</v>
      </c>
      <c r="J30" t="s">
        <v>3380</v>
      </c>
      <c r="K30" t="s">
        <v>2306</v>
      </c>
      <c r="L30">
        <v>1043</v>
      </c>
      <c r="M30" t="s">
        <v>2250</v>
      </c>
    </row>
    <row r="31" spans="1:13">
      <c r="A31" t="s">
        <v>2276</v>
      </c>
      <c r="B31" t="s">
        <v>3380</v>
      </c>
      <c r="C31" t="s">
        <v>2278</v>
      </c>
      <c r="D31" t="s">
        <v>2250</v>
      </c>
      <c r="E31">
        <v>0.15</v>
      </c>
      <c r="F31">
        <v>1.4</v>
      </c>
      <c r="I31" t="s">
        <v>2666</v>
      </c>
      <c r="J31" t="s">
        <v>20</v>
      </c>
      <c r="K31" t="s">
        <v>2227</v>
      </c>
      <c r="L31">
        <v>1078</v>
      </c>
      <c r="M31" t="s">
        <v>2250</v>
      </c>
    </row>
    <row r="32" spans="1:13">
      <c r="A32" t="s">
        <v>2276</v>
      </c>
      <c r="B32" t="s">
        <v>3380</v>
      </c>
      <c r="C32" t="s">
        <v>2278</v>
      </c>
      <c r="D32" t="s">
        <v>2250</v>
      </c>
      <c r="E32">
        <v>0</v>
      </c>
      <c r="F32">
        <v>3.1</v>
      </c>
      <c r="I32" t="s">
        <v>2666</v>
      </c>
      <c r="J32" t="s">
        <v>20</v>
      </c>
      <c r="K32" t="s">
        <v>2227</v>
      </c>
      <c r="L32">
        <v>1079</v>
      </c>
      <c r="M32" t="s">
        <v>2250</v>
      </c>
    </row>
    <row r="33" spans="1:13">
      <c r="A33" t="s">
        <v>2276</v>
      </c>
      <c r="B33" t="s">
        <v>3380</v>
      </c>
      <c r="C33" t="s">
        <v>2287</v>
      </c>
      <c r="D33" t="s">
        <v>2250</v>
      </c>
      <c r="E33">
        <v>0.1</v>
      </c>
      <c r="F33">
        <v>1.4</v>
      </c>
      <c r="I33" t="s">
        <v>2666</v>
      </c>
      <c r="J33" t="s">
        <v>20</v>
      </c>
      <c r="K33" t="s">
        <v>2227</v>
      </c>
      <c r="L33">
        <v>1080</v>
      </c>
      <c r="M33" t="s">
        <v>2250</v>
      </c>
    </row>
    <row r="34" spans="1:13">
      <c r="A34" t="s">
        <v>2276</v>
      </c>
      <c r="B34" t="s">
        <v>3380</v>
      </c>
      <c r="C34" t="s">
        <v>2287</v>
      </c>
      <c r="D34" t="s">
        <v>2250</v>
      </c>
      <c r="E34">
        <v>0.15</v>
      </c>
      <c r="F34">
        <v>1.6</v>
      </c>
      <c r="I34" t="s">
        <v>2666</v>
      </c>
      <c r="J34" t="s">
        <v>20</v>
      </c>
      <c r="K34" t="s">
        <v>2227</v>
      </c>
      <c r="L34">
        <v>1081</v>
      </c>
      <c r="M34" t="s">
        <v>2250</v>
      </c>
    </row>
    <row r="35" spans="1:13">
      <c r="A35" t="s">
        <v>2276</v>
      </c>
      <c r="B35" t="s">
        <v>3380</v>
      </c>
      <c r="C35" t="s">
        <v>2287</v>
      </c>
      <c r="D35" t="s">
        <v>2250</v>
      </c>
      <c r="E35">
        <v>0.15</v>
      </c>
      <c r="F35">
        <v>1.9</v>
      </c>
      <c r="I35" t="s">
        <v>2666</v>
      </c>
      <c r="J35" t="s">
        <v>20</v>
      </c>
      <c r="K35" t="s">
        <v>2227</v>
      </c>
      <c r="L35">
        <v>1082</v>
      </c>
      <c r="M35" t="s">
        <v>2250</v>
      </c>
    </row>
    <row r="36" spans="1:13">
      <c r="A36" t="s">
        <v>2276</v>
      </c>
      <c r="B36" t="s">
        <v>3380</v>
      </c>
      <c r="C36" t="s">
        <v>2296</v>
      </c>
      <c r="D36" t="s">
        <v>2180</v>
      </c>
      <c r="E36">
        <v>0.14000000000000001</v>
      </c>
      <c r="F36">
        <v>1.1000000000000001</v>
      </c>
      <c r="I36" t="s">
        <v>2666</v>
      </c>
      <c r="J36" t="s">
        <v>20</v>
      </c>
      <c r="K36" t="s">
        <v>2244</v>
      </c>
      <c r="L36">
        <v>1083</v>
      </c>
      <c r="M36" t="s">
        <v>2250</v>
      </c>
    </row>
    <row r="37" spans="1:13">
      <c r="A37" t="s">
        <v>2276</v>
      </c>
      <c r="B37" t="s">
        <v>3380</v>
      </c>
      <c r="C37" t="s">
        <v>2306</v>
      </c>
      <c r="D37" t="s">
        <v>2250</v>
      </c>
      <c r="E37">
        <v>0.23</v>
      </c>
      <c r="F37">
        <v>2.6</v>
      </c>
      <c r="I37" t="s">
        <v>2666</v>
      </c>
      <c r="J37" t="s">
        <v>20</v>
      </c>
      <c r="K37" t="s">
        <v>2244</v>
      </c>
      <c r="L37">
        <v>1084</v>
      </c>
      <c r="M37" t="s">
        <v>2250</v>
      </c>
    </row>
    <row r="38" spans="1:13">
      <c r="A38" t="s">
        <v>2276</v>
      </c>
      <c r="B38" t="s">
        <v>3380</v>
      </c>
      <c r="C38" t="s">
        <v>2306</v>
      </c>
      <c r="D38" t="s">
        <v>2250</v>
      </c>
      <c r="E38">
        <v>0.2</v>
      </c>
      <c r="F38">
        <v>3.2</v>
      </c>
      <c r="I38" t="s">
        <v>2666</v>
      </c>
      <c r="J38" t="s">
        <v>20</v>
      </c>
      <c r="K38" t="s">
        <v>2244</v>
      </c>
      <c r="L38">
        <v>1085</v>
      </c>
      <c r="M38" t="s">
        <v>2250</v>
      </c>
    </row>
    <row r="39" spans="1:13">
      <c r="A39" t="s">
        <v>2176</v>
      </c>
      <c r="B39" t="s">
        <v>20</v>
      </c>
      <c r="C39" t="s">
        <v>2227</v>
      </c>
      <c r="D39" t="s">
        <v>2250</v>
      </c>
      <c r="E39">
        <v>0.17</v>
      </c>
      <c r="F39">
        <v>1.9</v>
      </c>
      <c r="I39" t="s">
        <v>2666</v>
      </c>
      <c r="J39" t="s">
        <v>20</v>
      </c>
      <c r="K39" t="s">
        <v>2256</v>
      </c>
      <c r="L39">
        <v>1058</v>
      </c>
      <c r="M39" t="s">
        <v>2180</v>
      </c>
    </row>
    <row r="40" spans="1:13">
      <c r="A40" t="s">
        <v>2176</v>
      </c>
      <c r="B40" t="s">
        <v>20</v>
      </c>
      <c r="C40" t="s">
        <v>2227</v>
      </c>
      <c r="D40" t="s">
        <v>2228</v>
      </c>
      <c r="E40">
        <v>1.8</v>
      </c>
      <c r="F40">
        <v>8.4</v>
      </c>
      <c r="I40" t="s">
        <v>2666</v>
      </c>
      <c r="J40" t="s">
        <v>20</v>
      </c>
      <c r="K40" t="s">
        <v>2256</v>
      </c>
      <c r="L40">
        <v>1059</v>
      </c>
      <c r="M40" t="s">
        <v>2180</v>
      </c>
    </row>
    <row r="41" spans="1:13">
      <c r="A41" t="s">
        <v>2176</v>
      </c>
      <c r="B41" t="s">
        <v>20</v>
      </c>
      <c r="C41" t="s">
        <v>2227</v>
      </c>
      <c r="D41" t="s">
        <v>2250</v>
      </c>
      <c r="E41">
        <v>0.32</v>
      </c>
      <c r="F41">
        <v>5.9</v>
      </c>
      <c r="I41" t="s">
        <v>2666</v>
      </c>
      <c r="J41" t="s">
        <v>20</v>
      </c>
      <c r="K41" t="s">
        <v>2256</v>
      </c>
      <c r="L41">
        <v>1060</v>
      </c>
      <c r="M41" t="s">
        <v>2250</v>
      </c>
    </row>
    <row r="42" spans="1:13">
      <c r="A42" t="s">
        <v>2176</v>
      </c>
      <c r="B42" t="s">
        <v>20</v>
      </c>
      <c r="C42" t="s">
        <v>2227</v>
      </c>
      <c r="D42" t="s">
        <v>2250</v>
      </c>
      <c r="E42">
        <v>0.1</v>
      </c>
      <c r="F42">
        <v>1.65</v>
      </c>
      <c r="I42" t="s">
        <v>2666</v>
      </c>
      <c r="J42" t="s">
        <v>20</v>
      </c>
      <c r="K42" t="s">
        <v>2256</v>
      </c>
      <c r="L42">
        <v>1061</v>
      </c>
      <c r="M42" t="s">
        <v>2250</v>
      </c>
    </row>
    <row r="43" spans="1:13">
      <c r="A43" t="s">
        <v>2176</v>
      </c>
      <c r="B43" t="s">
        <v>20</v>
      </c>
      <c r="C43" t="s">
        <v>2244</v>
      </c>
      <c r="D43" t="s">
        <v>2228</v>
      </c>
      <c r="E43">
        <v>0.56999999999999995</v>
      </c>
      <c r="F43">
        <v>3.2</v>
      </c>
      <c r="I43" t="s">
        <v>2666</v>
      </c>
      <c r="J43" t="s">
        <v>20</v>
      </c>
      <c r="K43" t="s">
        <v>2256</v>
      </c>
      <c r="L43">
        <v>1062</v>
      </c>
      <c r="M43" t="s">
        <v>2250</v>
      </c>
    </row>
    <row r="44" spans="1:13">
      <c r="A44" t="s">
        <v>2176</v>
      </c>
      <c r="B44" t="s">
        <v>20</v>
      </c>
      <c r="C44" t="s">
        <v>2244</v>
      </c>
      <c r="D44" t="s">
        <v>2228</v>
      </c>
      <c r="E44">
        <v>0.78</v>
      </c>
      <c r="F44">
        <v>3.95</v>
      </c>
      <c r="I44" t="s">
        <v>2666</v>
      </c>
      <c r="J44" t="s">
        <v>20</v>
      </c>
      <c r="K44" t="s">
        <v>2256</v>
      </c>
      <c r="L44">
        <v>1063</v>
      </c>
      <c r="M44" t="s">
        <v>2250</v>
      </c>
    </row>
    <row r="45" spans="1:13">
      <c r="A45" t="s">
        <v>2176</v>
      </c>
      <c r="B45" t="s">
        <v>20</v>
      </c>
      <c r="C45" t="s">
        <v>2244</v>
      </c>
      <c r="D45" t="s">
        <v>2250</v>
      </c>
      <c r="E45">
        <v>0.2</v>
      </c>
      <c r="F45">
        <v>2.0499999999999998</v>
      </c>
      <c r="I45" t="s">
        <v>2666</v>
      </c>
      <c r="J45" t="s">
        <v>20</v>
      </c>
      <c r="K45" t="s">
        <v>2256</v>
      </c>
      <c r="L45">
        <v>1064</v>
      </c>
      <c r="M45" t="s">
        <v>2250</v>
      </c>
    </row>
    <row r="46" spans="1:13">
      <c r="A46" t="s">
        <v>2176</v>
      </c>
      <c r="B46" t="s">
        <v>20</v>
      </c>
      <c r="C46" t="s">
        <v>2244</v>
      </c>
      <c r="D46" t="s">
        <v>2250</v>
      </c>
      <c r="E46">
        <v>0.15</v>
      </c>
      <c r="F46">
        <v>4.7</v>
      </c>
      <c r="I46" t="s">
        <v>2666</v>
      </c>
      <c r="J46" t="s">
        <v>20</v>
      </c>
      <c r="K46" t="s">
        <v>2265</v>
      </c>
      <c r="L46">
        <v>1065</v>
      </c>
      <c r="M46" t="s">
        <v>2228</v>
      </c>
    </row>
    <row r="47" spans="1:13">
      <c r="A47" t="s">
        <v>2176</v>
      </c>
      <c r="B47" t="s">
        <v>20</v>
      </c>
      <c r="C47" t="s">
        <v>2256</v>
      </c>
      <c r="D47" t="s">
        <v>2250</v>
      </c>
      <c r="E47">
        <v>0.08</v>
      </c>
      <c r="F47">
        <v>0.3</v>
      </c>
      <c r="I47" t="s">
        <v>2666</v>
      </c>
      <c r="J47" t="s">
        <v>20</v>
      </c>
      <c r="K47" t="s">
        <v>2265</v>
      </c>
      <c r="L47">
        <v>1068</v>
      </c>
      <c r="M47" t="s">
        <v>2250</v>
      </c>
    </row>
    <row r="48" spans="1:13">
      <c r="A48" t="s">
        <v>2176</v>
      </c>
      <c r="B48" t="s">
        <v>20</v>
      </c>
      <c r="C48" t="s">
        <v>2256</v>
      </c>
      <c r="D48" t="s">
        <v>2250</v>
      </c>
      <c r="E48">
        <v>0.05</v>
      </c>
      <c r="F48">
        <v>0.45</v>
      </c>
      <c r="I48" t="s">
        <v>2666</v>
      </c>
      <c r="J48" t="s">
        <v>20</v>
      </c>
      <c r="K48" t="s">
        <v>2265</v>
      </c>
      <c r="L48">
        <v>1069</v>
      </c>
      <c r="M48" t="s">
        <v>2250</v>
      </c>
    </row>
    <row r="49" spans="1:13">
      <c r="A49" t="s">
        <v>2176</v>
      </c>
      <c r="B49" t="s">
        <v>20</v>
      </c>
      <c r="C49" t="s">
        <v>2265</v>
      </c>
      <c r="D49" t="s">
        <v>2180</v>
      </c>
      <c r="E49">
        <v>0.36</v>
      </c>
      <c r="F49">
        <v>1.6</v>
      </c>
      <c r="G49" t="s">
        <v>3385</v>
      </c>
      <c r="I49" t="s">
        <v>2666</v>
      </c>
      <c r="J49" t="s">
        <v>20</v>
      </c>
      <c r="K49" t="s">
        <v>2265</v>
      </c>
      <c r="L49">
        <v>1070</v>
      </c>
      <c r="M49" t="s">
        <v>2250</v>
      </c>
    </row>
    <row r="50" spans="1:13">
      <c r="A50" t="s">
        <v>2176</v>
      </c>
      <c r="B50" t="s">
        <v>2660</v>
      </c>
      <c r="C50" t="s">
        <v>3386</v>
      </c>
      <c r="D50" t="s">
        <v>2180</v>
      </c>
      <c r="E50">
        <v>2.2999999999999998</v>
      </c>
      <c r="F50">
        <v>4.2</v>
      </c>
      <c r="G50" t="s">
        <v>3387</v>
      </c>
      <c r="I50" t="s">
        <v>2666</v>
      </c>
      <c r="J50" t="s">
        <v>20</v>
      </c>
      <c r="K50" t="s">
        <v>2265</v>
      </c>
      <c r="L50">
        <v>1071</v>
      </c>
      <c r="M50" t="s">
        <v>2180</v>
      </c>
    </row>
    <row r="51" spans="1:13">
      <c r="A51" t="s">
        <v>2176</v>
      </c>
      <c r="B51" t="s">
        <v>2660</v>
      </c>
      <c r="C51" t="s">
        <v>3388</v>
      </c>
      <c r="G51" t="s">
        <v>3384</v>
      </c>
      <c r="I51" t="s">
        <v>2666</v>
      </c>
      <c r="J51" t="s">
        <v>20</v>
      </c>
      <c r="K51" t="s">
        <v>2265</v>
      </c>
      <c r="L51">
        <v>1072</v>
      </c>
      <c r="M51" t="s">
        <v>2250</v>
      </c>
    </row>
    <row r="52" spans="1:13">
      <c r="I52" t="s">
        <v>2666</v>
      </c>
      <c r="J52" t="s">
        <v>20</v>
      </c>
      <c r="K52" t="s">
        <v>2265</v>
      </c>
      <c r="L52">
        <v>1073</v>
      </c>
      <c r="M52" t="s">
        <v>2228</v>
      </c>
    </row>
    <row r="53" spans="1:13">
      <c r="I53" t="s">
        <v>2666</v>
      </c>
      <c r="J53" t="s">
        <v>2660</v>
      </c>
      <c r="K53" t="s">
        <v>2178</v>
      </c>
      <c r="L53">
        <v>1074</v>
      </c>
      <c r="M53" t="s">
        <v>2228</v>
      </c>
    </row>
    <row r="54" spans="1:13">
      <c r="I54" t="s">
        <v>2666</v>
      </c>
      <c r="J54" t="s">
        <v>2660</v>
      </c>
      <c r="K54" t="s">
        <v>2178</v>
      </c>
      <c r="L54">
        <v>1075</v>
      </c>
      <c r="M54" t="s">
        <v>2180</v>
      </c>
    </row>
    <row r="55" spans="1:13">
      <c r="I55" t="s">
        <v>2666</v>
      </c>
      <c r="J55" t="s">
        <v>2660</v>
      </c>
      <c r="K55" t="s">
        <v>2194</v>
      </c>
      <c r="L55">
        <v>1076</v>
      </c>
      <c r="M55" t="s">
        <v>2180</v>
      </c>
    </row>
    <row r="56" spans="1:13">
      <c r="I56" t="s">
        <v>2666</v>
      </c>
      <c r="J56" t="s">
        <v>2660</v>
      </c>
      <c r="K56" t="s">
        <v>3388</v>
      </c>
      <c r="L56">
        <v>1086</v>
      </c>
      <c r="M56" t="s">
        <v>2250</v>
      </c>
    </row>
    <row r="57" spans="1:13">
      <c r="I57" t="s">
        <v>2276</v>
      </c>
      <c r="J57" t="s">
        <v>3380</v>
      </c>
      <c r="K57" t="s">
        <v>2278</v>
      </c>
      <c r="L57">
        <v>1097</v>
      </c>
      <c r="M57" t="s">
        <v>2250</v>
      </c>
    </row>
    <row r="58" spans="1:13">
      <c r="I58" t="s">
        <v>2276</v>
      </c>
      <c r="J58" t="s">
        <v>3380</v>
      </c>
      <c r="K58" t="s">
        <v>2278</v>
      </c>
      <c r="L58">
        <v>1098</v>
      </c>
      <c r="M58" t="s">
        <v>2250</v>
      </c>
    </row>
    <row r="59" spans="1:13">
      <c r="I59" t="s">
        <v>2276</v>
      </c>
      <c r="J59" t="s">
        <v>3380</v>
      </c>
      <c r="K59" t="s">
        <v>2278</v>
      </c>
      <c r="L59">
        <v>1099</v>
      </c>
      <c r="M59" t="s">
        <v>2250</v>
      </c>
    </row>
    <row r="60" spans="1:13">
      <c r="I60" t="s">
        <v>2276</v>
      </c>
      <c r="J60" t="s">
        <v>3380</v>
      </c>
      <c r="K60" t="s">
        <v>2278</v>
      </c>
      <c r="L60">
        <v>1100</v>
      </c>
      <c r="M60" t="s">
        <v>2250</v>
      </c>
    </row>
    <row r="61" spans="1:13">
      <c r="I61" t="s">
        <v>2276</v>
      </c>
      <c r="J61" t="s">
        <v>3380</v>
      </c>
      <c r="K61" t="s">
        <v>2278</v>
      </c>
      <c r="L61">
        <v>1101</v>
      </c>
      <c r="M61" t="s">
        <v>2250</v>
      </c>
    </row>
    <row r="62" spans="1:13">
      <c r="I62" t="s">
        <v>2276</v>
      </c>
      <c r="J62" t="s">
        <v>3380</v>
      </c>
      <c r="K62" t="s">
        <v>2287</v>
      </c>
      <c r="L62">
        <v>1112</v>
      </c>
      <c r="M62" t="s">
        <v>2250</v>
      </c>
    </row>
    <row r="63" spans="1:13">
      <c r="I63" t="s">
        <v>2276</v>
      </c>
      <c r="J63" t="s">
        <v>3380</v>
      </c>
      <c r="K63" t="s">
        <v>2287</v>
      </c>
      <c r="L63">
        <v>1113</v>
      </c>
      <c r="M63" t="s">
        <v>2250</v>
      </c>
    </row>
    <row r="64" spans="1:13">
      <c r="I64" t="s">
        <v>2276</v>
      </c>
      <c r="J64" t="s">
        <v>3380</v>
      </c>
      <c r="K64" t="s">
        <v>2287</v>
      </c>
      <c r="L64">
        <v>1114</v>
      </c>
      <c r="M64" t="s">
        <v>2228</v>
      </c>
    </row>
    <row r="65" spans="9:13">
      <c r="I65" t="s">
        <v>2276</v>
      </c>
      <c r="J65" t="s">
        <v>3380</v>
      </c>
      <c r="K65" t="s">
        <v>2287</v>
      </c>
      <c r="L65">
        <v>1115</v>
      </c>
      <c r="M65" t="s">
        <v>2250</v>
      </c>
    </row>
    <row r="66" spans="9:13">
      <c r="I66" t="s">
        <v>2276</v>
      </c>
      <c r="J66" t="s">
        <v>3380</v>
      </c>
      <c r="K66" t="s">
        <v>2287</v>
      </c>
      <c r="L66">
        <v>1116</v>
      </c>
      <c r="M66" t="s">
        <v>2250</v>
      </c>
    </row>
    <row r="67" spans="9:13">
      <c r="I67" t="s">
        <v>2276</v>
      </c>
      <c r="J67" t="s">
        <v>3380</v>
      </c>
      <c r="K67" t="s">
        <v>2287</v>
      </c>
      <c r="L67">
        <v>1117</v>
      </c>
      <c r="M67" t="s">
        <v>2250</v>
      </c>
    </row>
    <row r="68" spans="9:13">
      <c r="I68" t="s">
        <v>2276</v>
      </c>
      <c r="J68" t="s">
        <v>3380</v>
      </c>
      <c r="K68" t="s">
        <v>2287</v>
      </c>
      <c r="L68">
        <v>1118</v>
      </c>
      <c r="M68" t="s">
        <v>2180</v>
      </c>
    </row>
    <row r="69" spans="9:13">
      <c r="I69" t="s">
        <v>2276</v>
      </c>
      <c r="J69" t="s">
        <v>3380</v>
      </c>
      <c r="K69" t="s">
        <v>2296</v>
      </c>
      <c r="L69">
        <v>1119</v>
      </c>
      <c r="M69" t="s">
        <v>2250</v>
      </c>
    </row>
    <row r="70" spans="9:13">
      <c r="I70" t="s">
        <v>2276</v>
      </c>
      <c r="J70" t="s">
        <v>3380</v>
      </c>
      <c r="K70" t="s">
        <v>2296</v>
      </c>
      <c r="L70">
        <v>1120</v>
      </c>
      <c r="M70" t="s">
        <v>2250</v>
      </c>
    </row>
    <row r="71" spans="9:13">
      <c r="I71" t="s">
        <v>2276</v>
      </c>
      <c r="J71" t="s">
        <v>3380</v>
      </c>
      <c r="K71" t="s">
        <v>2296</v>
      </c>
      <c r="L71">
        <v>1121</v>
      </c>
      <c r="M71" t="s">
        <v>2250</v>
      </c>
    </row>
    <row r="72" spans="9:13">
      <c r="I72" t="s">
        <v>2276</v>
      </c>
      <c r="J72" t="s">
        <v>3380</v>
      </c>
      <c r="K72" t="s">
        <v>2296</v>
      </c>
      <c r="L72">
        <v>1122</v>
      </c>
      <c r="M72" t="s">
        <v>2250</v>
      </c>
    </row>
    <row r="73" spans="9:13">
      <c r="I73" t="s">
        <v>2276</v>
      </c>
      <c r="J73" t="s">
        <v>3380</v>
      </c>
      <c r="K73" t="s">
        <v>2306</v>
      </c>
      <c r="L73">
        <v>1123</v>
      </c>
      <c r="M73" t="s">
        <v>2250</v>
      </c>
    </row>
    <row r="74" spans="9:13">
      <c r="I74" t="s">
        <v>2276</v>
      </c>
      <c r="J74" t="s">
        <v>3380</v>
      </c>
      <c r="K74" t="s">
        <v>2306</v>
      </c>
      <c r="L74">
        <v>1124</v>
      </c>
      <c r="M74" t="s">
        <v>2250</v>
      </c>
    </row>
    <row r="75" spans="9:13">
      <c r="I75" t="s">
        <v>2276</v>
      </c>
      <c r="J75" t="s">
        <v>3380</v>
      </c>
      <c r="K75" t="s">
        <v>2306</v>
      </c>
      <c r="L75">
        <v>1125</v>
      </c>
      <c r="M75" t="s">
        <v>2250</v>
      </c>
    </row>
    <row r="76" spans="9:13">
      <c r="I76" t="s">
        <v>2276</v>
      </c>
      <c r="J76" t="s">
        <v>3380</v>
      </c>
      <c r="K76" t="s">
        <v>2306</v>
      </c>
      <c r="L76">
        <v>1126</v>
      </c>
      <c r="M76" t="s">
        <v>2228</v>
      </c>
    </row>
    <row r="77" spans="9:13">
      <c r="I77" t="s">
        <v>2276</v>
      </c>
      <c r="J77" t="s">
        <v>3380</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2660</v>
      </c>
      <c r="K90" t="s">
        <v>3386</v>
      </c>
      <c r="L90">
        <v>1155</v>
      </c>
      <c r="M90" t="s">
        <v>2180</v>
      </c>
    </row>
    <row r="91" spans="9:14">
      <c r="I91" t="s">
        <v>2176</v>
      </c>
      <c r="J91" t="s">
        <v>2660</v>
      </c>
      <c r="K91" t="s">
        <v>3388</v>
      </c>
      <c r="N91" t="s">
        <v>3389</v>
      </c>
    </row>
  </sheetData>
  <mergeCells count="1">
    <mergeCell ref="I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3164</v>
      </c>
      <c r="B1" t="s">
        <v>3165</v>
      </c>
      <c r="C1" t="s">
        <v>3166</v>
      </c>
      <c r="D1" t="s">
        <v>3167</v>
      </c>
      <c r="E1" t="s">
        <v>3168</v>
      </c>
      <c r="F1" t="s">
        <v>2169</v>
      </c>
      <c r="G1" t="s">
        <v>3169</v>
      </c>
      <c r="H1" t="s">
        <v>3170</v>
      </c>
      <c r="I1" t="s">
        <v>2643</v>
      </c>
      <c r="J1" t="s">
        <v>2166</v>
      </c>
    </row>
    <row r="2" spans="1:10">
      <c r="A2">
        <v>1</v>
      </c>
      <c r="B2">
        <v>-3.3978609999999998</v>
      </c>
      <c r="C2">
        <v>34.837608000000003</v>
      </c>
      <c r="D2">
        <v>1626.5</v>
      </c>
      <c r="E2" t="s">
        <v>3171</v>
      </c>
      <c r="F2">
        <v>1250</v>
      </c>
      <c r="G2" t="s">
        <v>3172</v>
      </c>
      <c r="H2" t="s">
        <v>3173</v>
      </c>
      <c r="I2" t="s">
        <v>2178</v>
      </c>
      <c r="J2" t="s">
        <v>2177</v>
      </c>
    </row>
    <row r="3" spans="1:10">
      <c r="A3">
        <v>2</v>
      </c>
      <c r="B3">
        <v>-3.397879042</v>
      </c>
      <c r="C3">
        <v>34.837536010000001</v>
      </c>
      <c r="D3">
        <v>1638.11</v>
      </c>
      <c r="E3" t="s">
        <v>3174</v>
      </c>
      <c r="F3">
        <v>855</v>
      </c>
      <c r="G3" t="s">
        <v>3172</v>
      </c>
      <c r="H3" t="s">
        <v>3173</v>
      </c>
      <c r="I3" t="s">
        <v>2178</v>
      </c>
      <c r="J3" t="s">
        <v>2183</v>
      </c>
    </row>
    <row r="4" spans="1:10">
      <c r="A4">
        <v>3</v>
      </c>
      <c r="B4">
        <v>-3.3978739999999998</v>
      </c>
      <c r="C4">
        <v>34.837578999999998</v>
      </c>
      <c r="D4">
        <v>1626.3</v>
      </c>
      <c r="E4" t="s">
        <v>3171</v>
      </c>
      <c r="F4">
        <v>1249</v>
      </c>
      <c r="G4" t="s">
        <v>3172</v>
      </c>
      <c r="H4" t="s">
        <v>3173</v>
      </c>
      <c r="I4" t="s">
        <v>2178</v>
      </c>
      <c r="J4" t="s">
        <v>2184</v>
      </c>
    </row>
    <row r="5" spans="1:10">
      <c r="A5">
        <v>4</v>
      </c>
      <c r="B5">
        <v>-3.3977780399999999</v>
      </c>
      <c r="C5">
        <v>34.83751204</v>
      </c>
      <c r="D5">
        <v>1637.87</v>
      </c>
      <c r="E5" t="s">
        <v>3175</v>
      </c>
      <c r="F5">
        <v>857</v>
      </c>
      <c r="G5" t="s">
        <v>3172</v>
      </c>
      <c r="H5" t="s">
        <v>3173</v>
      </c>
      <c r="I5" t="s">
        <v>2178</v>
      </c>
      <c r="J5" t="s">
        <v>2186</v>
      </c>
    </row>
    <row r="6" spans="1:10">
      <c r="A6">
        <v>5</v>
      </c>
      <c r="B6">
        <v>-3.3978020120000001</v>
      </c>
      <c r="C6">
        <v>34.83751204</v>
      </c>
      <c r="D6">
        <v>1635.96</v>
      </c>
      <c r="E6" t="s">
        <v>3176</v>
      </c>
      <c r="F6">
        <v>858</v>
      </c>
      <c r="G6" t="s">
        <v>3172</v>
      </c>
      <c r="H6" t="s">
        <v>3173</v>
      </c>
      <c r="I6" t="s">
        <v>2178</v>
      </c>
      <c r="J6" t="s">
        <v>2189</v>
      </c>
    </row>
    <row r="7" spans="1:10">
      <c r="A7">
        <v>6</v>
      </c>
      <c r="B7">
        <v>-3.3977389800000002</v>
      </c>
      <c r="C7">
        <v>34.837501979999999</v>
      </c>
      <c r="D7">
        <v>1635.68</v>
      </c>
      <c r="E7" t="s">
        <v>3177</v>
      </c>
      <c r="F7">
        <v>859</v>
      </c>
      <c r="G7" t="s">
        <v>3172</v>
      </c>
      <c r="H7" t="s">
        <v>3173</v>
      </c>
      <c r="I7" t="s">
        <v>2178</v>
      </c>
      <c r="J7" t="s">
        <v>2190</v>
      </c>
    </row>
    <row r="8" spans="1:10">
      <c r="A8">
        <v>7</v>
      </c>
      <c r="B8">
        <v>-3.3977630360000002</v>
      </c>
      <c r="C8">
        <v>34.837600969999997</v>
      </c>
      <c r="D8">
        <v>1636.76</v>
      </c>
      <c r="E8" t="s">
        <v>3178</v>
      </c>
      <c r="F8">
        <v>860</v>
      </c>
      <c r="G8" t="s">
        <v>3172</v>
      </c>
      <c r="H8" t="s">
        <v>3173</v>
      </c>
      <c r="I8" t="s">
        <v>2178</v>
      </c>
      <c r="J8" t="s">
        <v>2191</v>
      </c>
    </row>
    <row r="9" spans="1:10">
      <c r="A9">
        <v>8</v>
      </c>
      <c r="B9">
        <v>-3.3977320230000001</v>
      </c>
      <c r="C9">
        <v>34.837561989999998</v>
      </c>
      <c r="D9">
        <v>1636.67</v>
      </c>
      <c r="E9" t="s">
        <v>3179</v>
      </c>
      <c r="F9">
        <v>861</v>
      </c>
      <c r="G9" t="s">
        <v>3172</v>
      </c>
      <c r="H9" t="s">
        <v>3173</v>
      </c>
      <c r="I9" t="s">
        <v>2178</v>
      </c>
      <c r="J9" t="s">
        <v>2192</v>
      </c>
    </row>
    <row r="10" spans="1:10">
      <c r="A10">
        <v>9</v>
      </c>
      <c r="B10">
        <v>-3.3978290019999999</v>
      </c>
      <c r="C10">
        <v>34.837011969999999</v>
      </c>
      <c r="D10">
        <v>1638.05</v>
      </c>
      <c r="E10" t="s">
        <v>3180</v>
      </c>
      <c r="F10">
        <v>862</v>
      </c>
      <c r="G10" t="s">
        <v>3172</v>
      </c>
      <c r="H10" t="s">
        <v>3173</v>
      </c>
      <c r="I10" t="s">
        <v>2194</v>
      </c>
      <c r="J10" t="s">
        <v>2193</v>
      </c>
    </row>
    <row r="11" spans="1:10">
      <c r="A11">
        <v>10</v>
      </c>
      <c r="B11">
        <v>-3.3978119869999999</v>
      </c>
      <c r="C11">
        <v>34.836968980000002</v>
      </c>
      <c r="D11">
        <v>1638.32</v>
      </c>
      <c r="E11" t="s">
        <v>3181</v>
      </c>
      <c r="F11">
        <v>863</v>
      </c>
      <c r="G11" t="s">
        <v>3172</v>
      </c>
      <c r="H11" t="s">
        <v>3173</v>
      </c>
      <c r="I11" t="s">
        <v>2194</v>
      </c>
      <c r="J11" t="s">
        <v>2196</v>
      </c>
    </row>
    <row r="12" spans="1:10">
      <c r="A12">
        <v>11</v>
      </c>
      <c r="B12">
        <v>-3.3977929599999999</v>
      </c>
      <c r="C12">
        <v>34.837102999999999</v>
      </c>
      <c r="D12">
        <v>1638.24</v>
      </c>
      <c r="E12" t="s">
        <v>3182</v>
      </c>
      <c r="F12">
        <v>864</v>
      </c>
      <c r="G12" t="s">
        <v>3172</v>
      </c>
      <c r="H12" t="s">
        <v>3173</v>
      </c>
      <c r="I12" t="s">
        <v>2194</v>
      </c>
      <c r="J12" t="s">
        <v>2197</v>
      </c>
    </row>
    <row r="13" spans="1:10">
      <c r="A13">
        <v>12</v>
      </c>
      <c r="B13">
        <v>-3.3979050260000001</v>
      </c>
      <c r="C13">
        <v>34.837123030000001</v>
      </c>
      <c r="D13">
        <v>1638.19</v>
      </c>
      <c r="E13" t="s">
        <v>3183</v>
      </c>
      <c r="F13">
        <v>865</v>
      </c>
      <c r="G13" t="s">
        <v>3172</v>
      </c>
      <c r="H13" t="s">
        <v>3173</v>
      </c>
      <c r="I13" t="s">
        <v>2194</v>
      </c>
      <c r="J13" t="s">
        <v>2198</v>
      </c>
    </row>
    <row r="14" spans="1:10">
      <c r="A14">
        <v>13</v>
      </c>
      <c r="B14">
        <v>-3.3979040199999999</v>
      </c>
      <c r="C14">
        <v>34.837027980000002</v>
      </c>
      <c r="D14">
        <v>1638.19</v>
      </c>
      <c r="E14" t="s">
        <v>3184</v>
      </c>
      <c r="F14">
        <v>866</v>
      </c>
      <c r="G14" t="s">
        <v>3172</v>
      </c>
      <c r="H14" t="s">
        <v>3173</v>
      </c>
      <c r="I14" t="s">
        <v>2194</v>
      </c>
      <c r="J14" t="s">
        <v>2199</v>
      </c>
    </row>
    <row r="15" spans="1:10">
      <c r="A15">
        <v>14</v>
      </c>
      <c r="B15">
        <v>-3.397854986</v>
      </c>
      <c r="C15">
        <v>34.836874010000002</v>
      </c>
      <c r="D15">
        <v>1638.2</v>
      </c>
      <c r="E15" t="s">
        <v>3185</v>
      </c>
      <c r="F15">
        <v>867</v>
      </c>
      <c r="G15" t="s">
        <v>3172</v>
      </c>
      <c r="H15" t="s">
        <v>3173</v>
      </c>
      <c r="I15" t="s">
        <v>2194</v>
      </c>
      <c r="J15" t="s">
        <v>2201</v>
      </c>
    </row>
    <row r="16" spans="1:10">
      <c r="A16">
        <v>15</v>
      </c>
      <c r="B16">
        <v>-3.3978060349999999</v>
      </c>
      <c r="C16">
        <v>34.837023960000003</v>
      </c>
      <c r="D16">
        <v>1638.44</v>
      </c>
      <c r="E16" t="s">
        <v>3186</v>
      </c>
      <c r="F16">
        <v>868</v>
      </c>
      <c r="G16" t="s">
        <v>3172</v>
      </c>
      <c r="H16" t="s">
        <v>3173</v>
      </c>
      <c r="I16" t="s">
        <v>2194</v>
      </c>
      <c r="J16" t="s">
        <v>2202</v>
      </c>
    </row>
    <row r="17" spans="1:10">
      <c r="A17">
        <v>16</v>
      </c>
      <c r="B17">
        <v>-3.3977669760000002</v>
      </c>
      <c r="C17">
        <v>34.837181039999997</v>
      </c>
      <c r="D17">
        <v>1638.45</v>
      </c>
      <c r="E17" t="s">
        <v>3187</v>
      </c>
      <c r="F17">
        <v>869</v>
      </c>
      <c r="G17" t="s">
        <v>3172</v>
      </c>
      <c r="H17" t="s">
        <v>3173</v>
      </c>
      <c r="I17" t="s">
        <v>2194</v>
      </c>
      <c r="J17" t="s">
        <v>2205</v>
      </c>
    </row>
    <row r="18" spans="1:10">
      <c r="A18">
        <v>17</v>
      </c>
      <c r="B18">
        <v>-3.3854090330000002</v>
      </c>
      <c r="C18">
        <v>34.818901029999999</v>
      </c>
      <c r="D18">
        <v>1589.9</v>
      </c>
      <c r="E18" t="s">
        <v>3188</v>
      </c>
      <c r="F18">
        <v>870</v>
      </c>
      <c r="G18" t="s">
        <v>3172</v>
      </c>
      <c r="H18" t="s">
        <v>3173</v>
      </c>
      <c r="I18" t="s">
        <v>2208</v>
      </c>
      <c r="J18" t="s">
        <v>2207</v>
      </c>
    </row>
    <row r="19" spans="1:10">
      <c r="A19">
        <v>18</v>
      </c>
      <c r="B19">
        <v>-3.385375002</v>
      </c>
      <c r="C19">
        <v>34.818939999999998</v>
      </c>
      <c r="D19">
        <v>1611.98</v>
      </c>
      <c r="E19" t="s">
        <v>3189</v>
      </c>
      <c r="F19">
        <v>871</v>
      </c>
      <c r="G19" t="s">
        <v>3172</v>
      </c>
      <c r="H19" t="s">
        <v>3173</v>
      </c>
      <c r="I19" t="s">
        <v>2208</v>
      </c>
      <c r="J19" t="s">
        <v>2210</v>
      </c>
    </row>
    <row r="20" spans="1:10">
      <c r="A20">
        <v>19</v>
      </c>
      <c r="B20">
        <v>-3.3853589930000001</v>
      </c>
      <c r="C20">
        <v>34.818991969999999</v>
      </c>
      <c r="D20">
        <v>1611.72</v>
      </c>
      <c r="E20" t="s">
        <v>3190</v>
      </c>
      <c r="F20">
        <v>872</v>
      </c>
      <c r="G20" t="s">
        <v>3172</v>
      </c>
      <c r="H20" t="s">
        <v>3173</v>
      </c>
      <c r="I20" t="s">
        <v>2208</v>
      </c>
      <c r="J20" t="s">
        <v>2211</v>
      </c>
    </row>
    <row r="21" spans="1:10">
      <c r="A21">
        <v>20</v>
      </c>
      <c r="B21">
        <v>-3.3853969629999998</v>
      </c>
      <c r="C21">
        <v>34.818977969999999</v>
      </c>
      <c r="D21">
        <v>1610.33</v>
      </c>
      <c r="E21" t="s">
        <v>3191</v>
      </c>
      <c r="F21">
        <v>873</v>
      </c>
      <c r="G21" t="s">
        <v>3172</v>
      </c>
      <c r="H21" t="s">
        <v>3173</v>
      </c>
      <c r="I21" t="s">
        <v>2208</v>
      </c>
      <c r="J21" t="s">
        <v>2212</v>
      </c>
    </row>
    <row r="22" spans="1:10">
      <c r="A22">
        <v>21</v>
      </c>
      <c r="B22">
        <v>-3.3854019919999998</v>
      </c>
      <c r="C22">
        <v>34.81894604</v>
      </c>
      <c r="D22">
        <v>1610.22</v>
      </c>
      <c r="E22" t="s">
        <v>3192</v>
      </c>
      <c r="F22">
        <v>874</v>
      </c>
      <c r="G22" t="s">
        <v>3172</v>
      </c>
      <c r="H22" t="s">
        <v>3173</v>
      </c>
      <c r="I22" t="s">
        <v>2208</v>
      </c>
      <c r="J22" t="s">
        <v>2213</v>
      </c>
    </row>
    <row r="23" spans="1:10">
      <c r="A23">
        <v>22</v>
      </c>
      <c r="B23">
        <v>-3.3854470029999999</v>
      </c>
      <c r="C23">
        <v>34.818946959999998</v>
      </c>
      <c r="D23">
        <v>1609.96</v>
      </c>
      <c r="E23" t="s">
        <v>3193</v>
      </c>
      <c r="F23">
        <v>876</v>
      </c>
      <c r="G23" t="s">
        <v>3172</v>
      </c>
      <c r="H23" t="s">
        <v>3173</v>
      </c>
      <c r="I23" t="s">
        <v>2208</v>
      </c>
      <c r="J23" t="s">
        <v>2214</v>
      </c>
    </row>
    <row r="24" spans="1:10">
      <c r="A24">
        <v>23</v>
      </c>
      <c r="B24">
        <v>-3.3854200130000001</v>
      </c>
      <c r="C24">
        <v>34.818856019999998</v>
      </c>
      <c r="D24">
        <v>1609.88</v>
      </c>
      <c r="E24" t="s">
        <v>3194</v>
      </c>
      <c r="F24">
        <v>875</v>
      </c>
      <c r="G24" t="s">
        <v>3172</v>
      </c>
      <c r="H24" t="s">
        <v>3173</v>
      </c>
      <c r="I24" t="s">
        <v>2208</v>
      </c>
      <c r="J24" t="s">
        <v>2215</v>
      </c>
    </row>
    <row r="25" spans="1:10">
      <c r="A25">
        <v>24</v>
      </c>
      <c r="B25">
        <v>-3.3853829649999998</v>
      </c>
      <c r="C25">
        <v>34.818877980000003</v>
      </c>
      <c r="D25">
        <v>1609.79</v>
      </c>
      <c r="E25" t="s">
        <v>3195</v>
      </c>
      <c r="F25">
        <v>877</v>
      </c>
      <c r="G25" t="s">
        <v>3172</v>
      </c>
      <c r="H25" t="s">
        <v>3173</v>
      </c>
      <c r="I25" t="s">
        <v>2208</v>
      </c>
      <c r="J25" t="s">
        <v>2216</v>
      </c>
    </row>
    <row r="26" spans="1:10">
      <c r="A26">
        <v>25</v>
      </c>
      <c r="B26">
        <v>-3.3849129919999998</v>
      </c>
      <c r="C26">
        <v>34.818899020000003</v>
      </c>
      <c r="D26">
        <v>1611.41</v>
      </c>
      <c r="E26" t="s">
        <v>3196</v>
      </c>
      <c r="F26">
        <v>878</v>
      </c>
      <c r="G26" t="s">
        <v>3172</v>
      </c>
      <c r="H26" t="s">
        <v>3173</v>
      </c>
      <c r="I26" t="s">
        <v>2218</v>
      </c>
      <c r="J26" t="s">
        <v>2217</v>
      </c>
    </row>
    <row r="27" spans="1:10">
      <c r="A27">
        <v>26</v>
      </c>
      <c r="B27">
        <v>-3.3849689999999999</v>
      </c>
      <c r="C27">
        <v>34.818908</v>
      </c>
      <c r="D27">
        <v>1612.4</v>
      </c>
      <c r="E27" t="s">
        <v>3171</v>
      </c>
      <c r="F27">
        <v>1245</v>
      </c>
      <c r="G27" t="s">
        <v>3172</v>
      </c>
      <c r="H27" t="s">
        <v>3173</v>
      </c>
      <c r="I27" t="s">
        <v>2218</v>
      </c>
      <c r="J27" t="s">
        <v>2219</v>
      </c>
    </row>
    <row r="28" spans="1:10">
      <c r="A28">
        <v>27</v>
      </c>
      <c r="B28">
        <v>-3.3849350359999999</v>
      </c>
      <c r="C28">
        <v>34.818943019999999</v>
      </c>
      <c r="D28">
        <v>1612.2</v>
      </c>
      <c r="E28" t="s">
        <v>3197</v>
      </c>
      <c r="F28">
        <v>879</v>
      </c>
      <c r="G28" t="s">
        <v>3172</v>
      </c>
      <c r="H28" t="s">
        <v>3173</v>
      </c>
      <c r="I28" t="s">
        <v>2218</v>
      </c>
      <c r="J28" t="s">
        <v>2220</v>
      </c>
    </row>
    <row r="29" spans="1:10">
      <c r="A29">
        <v>28</v>
      </c>
      <c r="B29">
        <v>-3.3850070369999998</v>
      </c>
      <c r="C29">
        <v>34.818888960000002</v>
      </c>
      <c r="D29">
        <v>1611.07</v>
      </c>
      <c r="E29" t="s">
        <v>3198</v>
      </c>
      <c r="F29">
        <v>881</v>
      </c>
      <c r="G29" t="s">
        <v>3172</v>
      </c>
      <c r="H29" t="s">
        <v>3173</v>
      </c>
      <c r="I29" t="s">
        <v>2218</v>
      </c>
      <c r="J29" t="s">
        <v>2221</v>
      </c>
    </row>
    <row r="30" spans="1:10">
      <c r="A30">
        <v>29</v>
      </c>
      <c r="B30">
        <v>-3.3849480280000002</v>
      </c>
      <c r="C30">
        <v>34.818854010000003</v>
      </c>
      <c r="D30">
        <v>1612.5</v>
      </c>
      <c r="E30" t="s">
        <v>3199</v>
      </c>
      <c r="F30">
        <v>882</v>
      </c>
      <c r="G30" t="s">
        <v>3172</v>
      </c>
      <c r="H30" t="s">
        <v>3173</v>
      </c>
      <c r="I30" t="s">
        <v>2218</v>
      </c>
      <c r="J30" t="s">
        <v>2222</v>
      </c>
    </row>
    <row r="31" spans="1:10">
      <c r="A31">
        <v>30</v>
      </c>
      <c r="B31">
        <v>-3.38496496</v>
      </c>
      <c r="C31">
        <v>34.818790970000002</v>
      </c>
      <c r="D31">
        <v>1611.46</v>
      </c>
      <c r="E31" t="s">
        <v>3200</v>
      </c>
      <c r="F31">
        <v>883</v>
      </c>
      <c r="G31" t="s">
        <v>3172</v>
      </c>
      <c r="H31" t="s">
        <v>3173</v>
      </c>
      <c r="I31" t="s">
        <v>2218</v>
      </c>
      <c r="J31" t="s">
        <v>2223</v>
      </c>
    </row>
    <row r="32" spans="1:10">
      <c r="A32">
        <v>31</v>
      </c>
      <c r="B32">
        <v>-3.3848409909999999</v>
      </c>
      <c r="C32">
        <v>34.818838999999997</v>
      </c>
      <c r="D32">
        <v>1611.01</v>
      </c>
      <c r="E32" t="s">
        <v>3201</v>
      </c>
      <c r="F32">
        <v>884</v>
      </c>
      <c r="G32" t="s">
        <v>3172</v>
      </c>
      <c r="H32" t="s">
        <v>3173</v>
      </c>
      <c r="I32" t="s">
        <v>2218</v>
      </c>
      <c r="J32" t="s">
        <v>2224</v>
      </c>
    </row>
    <row r="33" spans="1:10">
      <c r="A33">
        <v>32</v>
      </c>
      <c r="B33">
        <v>-3.3849010060000002</v>
      </c>
      <c r="C33">
        <v>34.818979990000003</v>
      </c>
      <c r="D33">
        <v>1611.09</v>
      </c>
      <c r="E33" t="s">
        <v>3202</v>
      </c>
      <c r="F33">
        <v>885</v>
      </c>
      <c r="G33" t="s">
        <v>3172</v>
      </c>
      <c r="H33" t="s">
        <v>3173</v>
      </c>
      <c r="I33" t="s">
        <v>2218</v>
      </c>
      <c r="J33" t="s">
        <v>2225</v>
      </c>
    </row>
    <row r="34" spans="1:10">
      <c r="A34">
        <v>33</v>
      </c>
      <c r="B34">
        <v>-3.4092039989999998</v>
      </c>
      <c r="C34">
        <v>34.852751009999999</v>
      </c>
      <c r="D34">
        <v>1661.99</v>
      </c>
      <c r="E34" t="s">
        <v>3203</v>
      </c>
      <c r="F34">
        <v>813</v>
      </c>
      <c r="G34" t="s">
        <v>3172</v>
      </c>
      <c r="H34" t="s">
        <v>3204</v>
      </c>
      <c r="I34" t="s">
        <v>2227</v>
      </c>
      <c r="J34" t="s">
        <v>2226</v>
      </c>
    </row>
    <row r="35" spans="1:10">
      <c r="A35">
        <v>34</v>
      </c>
      <c r="B35">
        <v>-3.4092350119999999</v>
      </c>
      <c r="C35">
        <v>34.852782019999999</v>
      </c>
      <c r="D35">
        <v>1662.86</v>
      </c>
      <c r="E35" t="s">
        <v>3205</v>
      </c>
      <c r="F35">
        <v>822</v>
      </c>
      <c r="G35" t="s">
        <v>3172</v>
      </c>
      <c r="H35" t="s">
        <v>3204</v>
      </c>
      <c r="I35" t="s">
        <v>2227</v>
      </c>
      <c r="J35" t="s">
        <v>2229</v>
      </c>
    </row>
    <row r="36" spans="1:10">
      <c r="A36">
        <v>35</v>
      </c>
      <c r="B36">
        <v>-3.409177009</v>
      </c>
      <c r="C36">
        <v>34.852818990000003</v>
      </c>
      <c r="D36">
        <v>1662.85</v>
      </c>
      <c r="E36" t="s">
        <v>3206</v>
      </c>
      <c r="F36">
        <v>823</v>
      </c>
      <c r="G36" t="s">
        <v>3172</v>
      </c>
      <c r="H36" t="s">
        <v>3204</v>
      </c>
      <c r="I36" t="s">
        <v>2227</v>
      </c>
      <c r="J36" t="s">
        <v>2232</v>
      </c>
    </row>
    <row r="37" spans="1:10">
      <c r="A37">
        <v>36</v>
      </c>
      <c r="B37">
        <v>-3.40917198</v>
      </c>
      <c r="C37">
        <v>34.852960979999999</v>
      </c>
      <c r="D37">
        <v>1663.9</v>
      </c>
      <c r="E37" t="s">
        <v>3207</v>
      </c>
      <c r="F37">
        <v>824</v>
      </c>
      <c r="G37" t="s">
        <v>3172</v>
      </c>
      <c r="H37" t="s">
        <v>3204</v>
      </c>
      <c r="I37" t="s">
        <v>2227</v>
      </c>
      <c r="J37" t="s">
        <v>2233</v>
      </c>
    </row>
    <row r="38" spans="1:10">
      <c r="A38">
        <v>37</v>
      </c>
      <c r="B38">
        <v>-3.4090709779999999</v>
      </c>
      <c r="C38">
        <v>34.852712029999999</v>
      </c>
      <c r="D38">
        <v>1665.85</v>
      </c>
      <c r="E38" t="s">
        <v>3208</v>
      </c>
      <c r="F38">
        <v>825</v>
      </c>
      <c r="G38" t="s">
        <v>3172</v>
      </c>
      <c r="H38" t="s">
        <v>3204</v>
      </c>
      <c r="I38" t="s">
        <v>2227</v>
      </c>
      <c r="J38" t="s">
        <v>2235</v>
      </c>
    </row>
    <row r="39" spans="1:10">
      <c r="A39">
        <v>38</v>
      </c>
      <c r="B39">
        <v>-3.409280023</v>
      </c>
      <c r="C39">
        <v>34.852612960000002</v>
      </c>
      <c r="D39">
        <v>1664.07</v>
      </c>
      <c r="E39" t="s">
        <v>3209</v>
      </c>
      <c r="F39">
        <v>826</v>
      </c>
      <c r="G39" t="s">
        <v>3172</v>
      </c>
      <c r="H39" t="s">
        <v>3204</v>
      </c>
      <c r="I39" t="s">
        <v>2227</v>
      </c>
      <c r="J39" t="s">
        <v>2237</v>
      </c>
    </row>
    <row r="40" spans="1:10">
      <c r="A40">
        <v>39</v>
      </c>
      <c r="B40">
        <v>-3.4093859700000002</v>
      </c>
      <c r="C40">
        <v>34.852855030000001</v>
      </c>
      <c r="D40">
        <v>1665.7</v>
      </c>
      <c r="E40" t="s">
        <v>3210</v>
      </c>
      <c r="F40">
        <v>827</v>
      </c>
      <c r="G40" t="s">
        <v>3172</v>
      </c>
      <c r="H40" t="s">
        <v>3204</v>
      </c>
      <c r="I40" t="s">
        <v>2227</v>
      </c>
      <c r="J40" t="s">
        <v>2239</v>
      </c>
    </row>
    <row r="41" spans="1:10">
      <c r="A41">
        <v>40</v>
      </c>
      <c r="B41">
        <v>-3.4091539590000002</v>
      </c>
      <c r="C41">
        <v>34.852755029999997</v>
      </c>
      <c r="D41">
        <v>1665.99</v>
      </c>
      <c r="E41" t="s">
        <v>3211</v>
      </c>
      <c r="F41">
        <v>828</v>
      </c>
      <c r="G41" t="s">
        <v>3172</v>
      </c>
      <c r="H41" t="s">
        <v>3204</v>
      </c>
      <c r="I41" t="s">
        <v>2227</v>
      </c>
      <c r="J41" t="s">
        <v>2241</v>
      </c>
    </row>
    <row r="42" spans="1:10">
      <c r="A42">
        <v>41</v>
      </c>
      <c r="B42">
        <v>-3.4083420040000001</v>
      </c>
      <c r="C42">
        <v>34.850283040000001</v>
      </c>
      <c r="D42">
        <v>1626.73</v>
      </c>
      <c r="E42" t="s">
        <v>3212</v>
      </c>
      <c r="F42">
        <v>830</v>
      </c>
      <c r="G42" t="s">
        <v>3172</v>
      </c>
      <c r="H42" t="s">
        <v>3204</v>
      </c>
      <c r="I42" t="s">
        <v>2244</v>
      </c>
      <c r="J42" t="s">
        <v>2243</v>
      </c>
    </row>
    <row r="43" spans="1:10">
      <c r="A43">
        <v>42</v>
      </c>
      <c r="B43">
        <v>-3.4084079690000002</v>
      </c>
      <c r="C43">
        <v>34.850295029999998</v>
      </c>
      <c r="D43">
        <v>1661.14</v>
      </c>
      <c r="E43" t="s">
        <v>3213</v>
      </c>
      <c r="F43">
        <v>831</v>
      </c>
      <c r="G43" t="s">
        <v>3172</v>
      </c>
      <c r="H43" t="s">
        <v>3204</v>
      </c>
      <c r="I43" t="s">
        <v>2244</v>
      </c>
      <c r="J43" t="s">
        <v>2245</v>
      </c>
    </row>
    <row r="44" spans="1:10">
      <c r="A44">
        <v>43</v>
      </c>
      <c r="B44">
        <v>-3.4082369789999998</v>
      </c>
      <c r="C44">
        <v>34.850189999999998</v>
      </c>
      <c r="D44">
        <v>1659.49</v>
      </c>
      <c r="E44" t="s">
        <v>3214</v>
      </c>
      <c r="F44">
        <v>832</v>
      </c>
      <c r="G44" t="s">
        <v>3172</v>
      </c>
      <c r="H44" t="s">
        <v>3204</v>
      </c>
      <c r="I44" t="s">
        <v>2244</v>
      </c>
      <c r="J44" t="s">
        <v>2247</v>
      </c>
    </row>
    <row r="45" spans="1:10">
      <c r="A45">
        <v>44</v>
      </c>
      <c r="B45">
        <v>-3.4081529920000002</v>
      </c>
      <c r="C45">
        <v>34.850168959999998</v>
      </c>
      <c r="D45">
        <v>1667.31</v>
      </c>
      <c r="E45" t="s">
        <v>3215</v>
      </c>
      <c r="F45">
        <v>1142</v>
      </c>
      <c r="G45" t="s">
        <v>3172</v>
      </c>
      <c r="H45" t="s">
        <v>3204</v>
      </c>
      <c r="I45" t="s">
        <v>2244</v>
      </c>
      <c r="J45" t="s">
        <v>2248</v>
      </c>
    </row>
    <row r="46" spans="1:10">
      <c r="A46">
        <v>45</v>
      </c>
      <c r="B46">
        <v>-3.4081789759999999</v>
      </c>
      <c r="C46">
        <v>34.850516980000002</v>
      </c>
      <c r="D46">
        <v>1669.01</v>
      </c>
      <c r="E46" t="s">
        <v>3216</v>
      </c>
      <c r="F46">
        <v>1147</v>
      </c>
      <c r="G46" t="s">
        <v>3172</v>
      </c>
      <c r="H46" t="s">
        <v>3204</v>
      </c>
      <c r="I46" t="s">
        <v>2244</v>
      </c>
      <c r="J46" t="s">
        <v>2249</v>
      </c>
    </row>
    <row r="47" spans="1:10">
      <c r="A47">
        <v>46</v>
      </c>
      <c r="B47">
        <v>-3.4084730130000001</v>
      </c>
      <c r="C47">
        <v>34.850401980000001</v>
      </c>
      <c r="D47">
        <v>1654.19</v>
      </c>
      <c r="E47" t="s">
        <v>3217</v>
      </c>
      <c r="F47">
        <v>835</v>
      </c>
      <c r="G47" t="s">
        <v>3172</v>
      </c>
      <c r="H47" t="s">
        <v>3204</v>
      </c>
      <c r="I47" t="s">
        <v>2244</v>
      </c>
      <c r="J47" t="s">
        <v>2251</v>
      </c>
    </row>
    <row r="48" spans="1:10">
      <c r="A48">
        <v>47</v>
      </c>
      <c r="B48">
        <v>-3.4084819820000001</v>
      </c>
      <c r="C48">
        <v>34.850024040000001</v>
      </c>
      <c r="D48">
        <v>1654.51</v>
      </c>
      <c r="E48" t="s">
        <v>3218</v>
      </c>
      <c r="F48">
        <v>836</v>
      </c>
      <c r="G48" t="s">
        <v>3172</v>
      </c>
      <c r="H48" t="s">
        <v>3204</v>
      </c>
      <c r="I48" t="s">
        <v>2244</v>
      </c>
      <c r="J48" t="s">
        <v>2252</v>
      </c>
    </row>
    <row r="49" spans="1:10">
      <c r="A49">
        <v>48</v>
      </c>
      <c r="B49">
        <v>-3.4081990090000001</v>
      </c>
      <c r="C49">
        <v>34.850254960000001</v>
      </c>
      <c r="D49">
        <v>1655.71</v>
      </c>
      <c r="E49" t="s">
        <v>3219</v>
      </c>
      <c r="F49">
        <v>837</v>
      </c>
      <c r="G49" t="s">
        <v>3172</v>
      </c>
      <c r="H49" t="s">
        <v>3204</v>
      </c>
      <c r="I49" t="s">
        <v>2244</v>
      </c>
      <c r="J49" t="s">
        <v>2254</v>
      </c>
    </row>
    <row r="50" spans="1:10">
      <c r="A50">
        <v>49</v>
      </c>
      <c r="B50">
        <v>-3.406225992</v>
      </c>
      <c r="C50">
        <v>34.85055998</v>
      </c>
      <c r="D50">
        <v>1649.84</v>
      </c>
      <c r="E50" t="s">
        <v>3220</v>
      </c>
      <c r="F50">
        <v>838</v>
      </c>
      <c r="G50" t="s">
        <v>3172</v>
      </c>
      <c r="H50" t="s">
        <v>3204</v>
      </c>
      <c r="I50" t="s">
        <v>2256</v>
      </c>
      <c r="J50" t="s">
        <v>2255</v>
      </c>
    </row>
    <row r="51" spans="1:10">
      <c r="A51">
        <v>50</v>
      </c>
      <c r="B51">
        <v>-3.4062630399999998</v>
      </c>
      <c r="C51">
        <v>34.850566010000001</v>
      </c>
      <c r="D51">
        <v>1650.69</v>
      </c>
      <c r="E51" t="s">
        <v>3221</v>
      </c>
      <c r="F51">
        <v>839</v>
      </c>
      <c r="G51" t="s">
        <v>3172</v>
      </c>
      <c r="H51" t="s">
        <v>3204</v>
      </c>
      <c r="I51" t="s">
        <v>2256</v>
      </c>
      <c r="J51" t="s">
        <v>2257</v>
      </c>
    </row>
    <row r="52" spans="1:10">
      <c r="A52">
        <v>51</v>
      </c>
      <c r="B52">
        <v>-3.4063920379999999</v>
      </c>
      <c r="C52">
        <v>34.850696020000001</v>
      </c>
      <c r="D52">
        <v>1652.46</v>
      </c>
      <c r="E52" t="s">
        <v>3222</v>
      </c>
      <c r="F52">
        <v>840</v>
      </c>
      <c r="G52" t="s">
        <v>3172</v>
      </c>
      <c r="H52" t="s">
        <v>3204</v>
      </c>
      <c r="I52" t="s">
        <v>2256</v>
      </c>
      <c r="J52" t="s">
        <v>2258</v>
      </c>
    </row>
    <row r="53" spans="1:10">
      <c r="A53">
        <v>52</v>
      </c>
      <c r="B53">
        <v>-3.4061569999999999</v>
      </c>
      <c r="C53">
        <v>34.850738999999997</v>
      </c>
      <c r="D53">
        <v>1657.3</v>
      </c>
      <c r="E53" t="s">
        <v>3171</v>
      </c>
      <c r="F53">
        <v>1253</v>
      </c>
      <c r="G53" t="s">
        <v>3172</v>
      </c>
      <c r="H53" t="s">
        <v>3204</v>
      </c>
      <c r="I53" t="s">
        <v>2256</v>
      </c>
      <c r="J53" t="s">
        <v>2259</v>
      </c>
    </row>
    <row r="54" spans="1:10">
      <c r="A54">
        <v>53</v>
      </c>
      <c r="B54">
        <v>-3.4061140000000001</v>
      </c>
      <c r="C54">
        <v>34.850596000000003</v>
      </c>
      <c r="D54">
        <v>1658.1</v>
      </c>
      <c r="E54" t="s">
        <v>3171</v>
      </c>
      <c r="F54">
        <v>1252</v>
      </c>
      <c r="G54" t="s">
        <v>3172</v>
      </c>
      <c r="H54" t="s">
        <v>3204</v>
      </c>
      <c r="I54" t="s">
        <v>2256</v>
      </c>
      <c r="J54" t="s">
        <v>2260</v>
      </c>
    </row>
    <row r="55" spans="1:10">
      <c r="A55">
        <v>54</v>
      </c>
      <c r="B55">
        <v>-3.406058019</v>
      </c>
      <c r="C55">
        <v>34.850466019999999</v>
      </c>
      <c r="D55">
        <v>1649.22</v>
      </c>
      <c r="E55" t="s">
        <v>3223</v>
      </c>
      <c r="F55">
        <v>843</v>
      </c>
      <c r="G55" t="s">
        <v>3172</v>
      </c>
      <c r="H55" t="s">
        <v>3204</v>
      </c>
      <c r="I55" t="s">
        <v>2256</v>
      </c>
      <c r="J55" t="s">
        <v>2261</v>
      </c>
    </row>
    <row r="56" spans="1:10">
      <c r="A56">
        <v>55</v>
      </c>
      <c r="B56">
        <v>-3.4061389879999999</v>
      </c>
      <c r="C56">
        <v>34.850574979999998</v>
      </c>
      <c r="D56">
        <v>1650.63</v>
      </c>
      <c r="E56" t="s">
        <v>3224</v>
      </c>
      <c r="F56">
        <v>844</v>
      </c>
      <c r="G56" t="s">
        <v>3172</v>
      </c>
      <c r="H56" t="s">
        <v>3204</v>
      </c>
      <c r="I56" t="s">
        <v>2256</v>
      </c>
      <c r="J56" t="s">
        <v>2262</v>
      </c>
    </row>
    <row r="57" spans="1:10">
      <c r="A57">
        <v>56</v>
      </c>
      <c r="B57">
        <v>-3.4062900300000001</v>
      </c>
      <c r="C57">
        <v>34.850441959999998</v>
      </c>
      <c r="D57">
        <v>1651.54</v>
      </c>
      <c r="E57" t="s">
        <v>3225</v>
      </c>
      <c r="F57">
        <v>845</v>
      </c>
      <c r="G57" t="s">
        <v>3172</v>
      </c>
      <c r="H57" t="s">
        <v>3204</v>
      </c>
      <c r="I57" t="s">
        <v>2256</v>
      </c>
      <c r="J57" t="s">
        <v>2263</v>
      </c>
    </row>
    <row r="58" spans="1:10">
      <c r="A58">
        <v>57</v>
      </c>
      <c r="B58">
        <v>-3.4064239729999999</v>
      </c>
      <c r="C58">
        <v>34.851213010000002</v>
      </c>
      <c r="D58">
        <v>1655.81</v>
      </c>
      <c r="E58" t="s">
        <v>3226</v>
      </c>
      <c r="F58">
        <v>1150</v>
      </c>
      <c r="G58" t="s">
        <v>3172</v>
      </c>
      <c r="H58" t="s">
        <v>3204</v>
      </c>
      <c r="I58" t="s">
        <v>2265</v>
      </c>
      <c r="J58" t="s">
        <v>2264</v>
      </c>
    </row>
    <row r="59" spans="1:10">
      <c r="A59">
        <v>58</v>
      </c>
      <c r="B59">
        <v>-3.4065020079999999</v>
      </c>
      <c r="C59">
        <v>34.851056020000001</v>
      </c>
      <c r="D59">
        <v>1659.01</v>
      </c>
      <c r="E59" t="s">
        <v>3227</v>
      </c>
      <c r="F59">
        <v>1148</v>
      </c>
      <c r="G59" t="s">
        <v>3172</v>
      </c>
      <c r="H59" t="s">
        <v>3204</v>
      </c>
      <c r="I59" t="s">
        <v>2265</v>
      </c>
      <c r="J59" t="s">
        <v>2267</v>
      </c>
    </row>
    <row r="60" spans="1:10">
      <c r="A60">
        <v>59</v>
      </c>
      <c r="B60">
        <v>-3.4062359670000002</v>
      </c>
      <c r="C60">
        <v>34.851107990000003</v>
      </c>
      <c r="D60">
        <v>1653.58</v>
      </c>
      <c r="E60" t="s">
        <v>3228</v>
      </c>
      <c r="F60">
        <v>848</v>
      </c>
      <c r="G60" t="s">
        <v>3172</v>
      </c>
      <c r="H60" t="s">
        <v>3204</v>
      </c>
      <c r="I60" t="s">
        <v>2265</v>
      </c>
      <c r="J60" t="s">
        <v>2268</v>
      </c>
    </row>
    <row r="61" spans="1:10">
      <c r="A61">
        <v>60</v>
      </c>
      <c r="B61">
        <v>-3.406281983</v>
      </c>
      <c r="C61">
        <v>34.85137898</v>
      </c>
      <c r="D61">
        <v>1656.04</v>
      </c>
      <c r="E61" t="s">
        <v>3229</v>
      </c>
      <c r="F61">
        <v>849</v>
      </c>
      <c r="G61" t="s">
        <v>3172</v>
      </c>
      <c r="H61" t="s">
        <v>3204</v>
      </c>
      <c r="I61" t="s">
        <v>2265</v>
      </c>
      <c r="J61" t="s">
        <v>2269</v>
      </c>
    </row>
    <row r="62" spans="1:10">
      <c r="A62">
        <v>61</v>
      </c>
      <c r="B62">
        <v>-3.406569986</v>
      </c>
      <c r="C62">
        <v>34.851323989999997</v>
      </c>
      <c r="D62">
        <v>1658.2</v>
      </c>
      <c r="E62" t="s">
        <v>3230</v>
      </c>
      <c r="F62">
        <v>1149</v>
      </c>
      <c r="G62" t="s">
        <v>3172</v>
      </c>
      <c r="H62" t="s">
        <v>3204</v>
      </c>
      <c r="I62" t="s">
        <v>2265</v>
      </c>
      <c r="J62" t="s">
        <v>2271</v>
      </c>
    </row>
    <row r="63" spans="1:10">
      <c r="A63">
        <v>62</v>
      </c>
      <c r="B63">
        <v>-3.4065180179999999</v>
      </c>
      <c r="C63">
        <v>34.85121402</v>
      </c>
      <c r="D63">
        <v>1657.06</v>
      </c>
      <c r="E63" t="s">
        <v>3231</v>
      </c>
      <c r="F63">
        <v>1151</v>
      </c>
      <c r="G63" t="s">
        <v>3172</v>
      </c>
      <c r="H63" t="s">
        <v>3204</v>
      </c>
      <c r="I63" t="s">
        <v>2265</v>
      </c>
      <c r="J63" t="s">
        <v>2272</v>
      </c>
    </row>
    <row r="64" spans="1:10">
      <c r="A64">
        <v>63</v>
      </c>
      <c r="B64">
        <v>-3.406334035</v>
      </c>
      <c r="C64">
        <v>34.851172030000001</v>
      </c>
      <c r="D64">
        <v>1655.65</v>
      </c>
      <c r="E64" t="s">
        <v>3232</v>
      </c>
      <c r="F64">
        <v>852</v>
      </c>
      <c r="G64" t="s">
        <v>3172</v>
      </c>
      <c r="H64" t="s">
        <v>3204</v>
      </c>
      <c r="I64" t="s">
        <v>2265</v>
      </c>
      <c r="J64" t="s">
        <v>2274</v>
      </c>
    </row>
    <row r="65" spans="1:10">
      <c r="A65">
        <v>64</v>
      </c>
      <c r="B65">
        <v>-3.4063409920000001</v>
      </c>
      <c r="C65">
        <v>34.85126004</v>
      </c>
      <c r="D65">
        <v>1655.4</v>
      </c>
      <c r="E65" t="s">
        <v>3233</v>
      </c>
      <c r="F65">
        <v>853</v>
      </c>
      <c r="G65" t="s">
        <v>3172</v>
      </c>
      <c r="H65" t="s">
        <v>3204</v>
      </c>
      <c r="I65" t="s">
        <v>2265</v>
      </c>
      <c r="J65" t="s">
        <v>2275</v>
      </c>
    </row>
    <row r="66" spans="1:10">
      <c r="A66">
        <v>65</v>
      </c>
      <c r="B66">
        <v>-3.2993960379999998</v>
      </c>
      <c r="C66">
        <v>34.848240959999998</v>
      </c>
      <c r="D66">
        <v>1653.93</v>
      </c>
      <c r="E66" t="s">
        <v>3234</v>
      </c>
      <c r="F66">
        <v>906</v>
      </c>
      <c r="G66" t="s">
        <v>3235</v>
      </c>
      <c r="H66" t="s">
        <v>3236</v>
      </c>
      <c r="I66" t="s">
        <v>2278</v>
      </c>
      <c r="J66" t="s">
        <v>2277</v>
      </c>
    </row>
    <row r="67" spans="1:10">
      <c r="A67">
        <v>66</v>
      </c>
      <c r="B67">
        <v>-3.2993090340000002</v>
      </c>
      <c r="C67">
        <v>34.848404989999999</v>
      </c>
      <c r="D67">
        <v>1670.19</v>
      </c>
      <c r="E67" t="s">
        <v>3237</v>
      </c>
      <c r="F67">
        <v>1096</v>
      </c>
      <c r="G67" t="s">
        <v>3235</v>
      </c>
      <c r="H67" t="s">
        <v>3236</v>
      </c>
      <c r="I67" t="s">
        <v>2278</v>
      </c>
      <c r="J67" t="s">
        <v>2279</v>
      </c>
    </row>
    <row r="68" spans="1:10">
      <c r="A68">
        <v>67</v>
      </c>
      <c r="B68">
        <v>-3.299434008</v>
      </c>
      <c r="C68">
        <v>34.848514960000003</v>
      </c>
      <c r="D68">
        <v>1655.33</v>
      </c>
      <c r="E68" t="s">
        <v>3238</v>
      </c>
      <c r="F68">
        <v>908</v>
      </c>
      <c r="G68" t="s">
        <v>3235</v>
      </c>
      <c r="H68" t="s">
        <v>3236</v>
      </c>
      <c r="I68" t="s">
        <v>2278</v>
      </c>
      <c r="J68" t="s">
        <v>2280</v>
      </c>
    </row>
    <row r="69" spans="1:10">
      <c r="A69">
        <v>68</v>
      </c>
      <c r="B69">
        <v>-3.2991180099999999</v>
      </c>
      <c r="C69">
        <v>34.84824699</v>
      </c>
      <c r="D69">
        <v>1669.78</v>
      </c>
      <c r="E69" t="s">
        <v>3239</v>
      </c>
      <c r="F69">
        <v>1102</v>
      </c>
      <c r="G69" t="s">
        <v>3235</v>
      </c>
      <c r="H69" t="s">
        <v>3236</v>
      </c>
      <c r="I69" t="s">
        <v>2278</v>
      </c>
      <c r="J69" t="s">
        <v>2281</v>
      </c>
    </row>
    <row r="70" spans="1:10">
      <c r="A70">
        <v>69</v>
      </c>
      <c r="B70">
        <v>-3.2993180030000002</v>
      </c>
      <c r="C70">
        <v>34.848235010000003</v>
      </c>
      <c r="D70">
        <v>1659.08</v>
      </c>
      <c r="E70" t="s">
        <v>3240</v>
      </c>
      <c r="F70">
        <v>910</v>
      </c>
      <c r="G70" t="s">
        <v>3235</v>
      </c>
      <c r="H70" t="s">
        <v>3236</v>
      </c>
      <c r="I70" t="s">
        <v>2278</v>
      </c>
      <c r="J70" t="s">
        <v>2282</v>
      </c>
    </row>
    <row r="71" spans="1:10">
      <c r="A71">
        <v>70</v>
      </c>
      <c r="B71">
        <v>-3.299381034</v>
      </c>
      <c r="C71">
        <v>34.848312040000003</v>
      </c>
      <c r="D71">
        <v>1660.64</v>
      </c>
      <c r="E71" t="s">
        <v>3241</v>
      </c>
      <c r="F71">
        <v>911</v>
      </c>
      <c r="G71" t="s">
        <v>3235</v>
      </c>
      <c r="H71" t="s">
        <v>3236</v>
      </c>
      <c r="I71" t="s">
        <v>2278</v>
      </c>
      <c r="J71" t="s">
        <v>2283</v>
      </c>
    </row>
    <row r="72" spans="1:10">
      <c r="A72">
        <v>71</v>
      </c>
      <c r="B72">
        <v>-3.2992429849999998</v>
      </c>
      <c r="C72">
        <v>34.847900989999999</v>
      </c>
      <c r="D72">
        <v>1662.28</v>
      </c>
      <c r="E72" t="s">
        <v>3242</v>
      </c>
      <c r="F72">
        <v>912</v>
      </c>
      <c r="G72" t="s">
        <v>3235</v>
      </c>
      <c r="H72" t="s">
        <v>3236</v>
      </c>
      <c r="I72" t="s">
        <v>2278</v>
      </c>
      <c r="J72" t="s">
        <v>2284</v>
      </c>
    </row>
    <row r="73" spans="1:10">
      <c r="A73">
        <v>72</v>
      </c>
      <c r="B73">
        <v>-3.2996540329999999</v>
      </c>
      <c r="C73">
        <v>34.848151020000003</v>
      </c>
      <c r="D73">
        <v>1663.24</v>
      </c>
      <c r="E73" t="s">
        <v>3243</v>
      </c>
      <c r="F73">
        <v>913</v>
      </c>
      <c r="G73" t="s">
        <v>3235</v>
      </c>
      <c r="H73" t="s">
        <v>3236</v>
      </c>
      <c r="I73" t="s">
        <v>2278</v>
      </c>
      <c r="J73" t="s">
        <v>2285</v>
      </c>
    </row>
    <row r="74" spans="1:10">
      <c r="A74">
        <v>73</v>
      </c>
      <c r="B74">
        <v>-3.3025860229999999</v>
      </c>
      <c r="C74">
        <v>34.848048009999999</v>
      </c>
      <c r="D74">
        <v>1674.07</v>
      </c>
      <c r="E74" t="s">
        <v>3244</v>
      </c>
      <c r="F74">
        <v>1132</v>
      </c>
      <c r="G74" t="s">
        <v>3235</v>
      </c>
      <c r="H74" t="s">
        <v>3236</v>
      </c>
      <c r="I74" t="s">
        <v>2287</v>
      </c>
      <c r="J74" t="s">
        <v>2286</v>
      </c>
    </row>
    <row r="75" spans="1:10">
      <c r="A75">
        <v>74</v>
      </c>
      <c r="B75">
        <v>-3.3025779759999998</v>
      </c>
      <c r="C75">
        <v>34.848041969999997</v>
      </c>
      <c r="D75">
        <v>1674.36</v>
      </c>
      <c r="E75" t="s">
        <v>3245</v>
      </c>
      <c r="F75">
        <v>1129</v>
      </c>
      <c r="G75" t="s">
        <v>3235</v>
      </c>
      <c r="H75" t="s">
        <v>3236</v>
      </c>
      <c r="I75" t="s">
        <v>2287</v>
      </c>
      <c r="J75" t="s">
        <v>2288</v>
      </c>
    </row>
    <row r="76" spans="1:10">
      <c r="A76">
        <v>75</v>
      </c>
      <c r="B76">
        <v>-3.302687025</v>
      </c>
      <c r="C76">
        <v>34.847926970000003</v>
      </c>
      <c r="D76">
        <v>1672.79</v>
      </c>
      <c r="E76" t="s">
        <v>3246</v>
      </c>
      <c r="F76">
        <v>1133</v>
      </c>
      <c r="G76" t="s">
        <v>3235</v>
      </c>
      <c r="H76" t="s">
        <v>3236</v>
      </c>
      <c r="I76" t="s">
        <v>2287</v>
      </c>
      <c r="J76" t="s">
        <v>2289</v>
      </c>
    </row>
    <row r="77" spans="1:10">
      <c r="A77">
        <v>76</v>
      </c>
      <c r="B77">
        <v>-3.3024560190000001</v>
      </c>
      <c r="C77">
        <v>34.847871990000002</v>
      </c>
      <c r="D77">
        <v>1668.49</v>
      </c>
      <c r="E77" t="s">
        <v>3247</v>
      </c>
      <c r="F77">
        <v>917</v>
      </c>
      <c r="G77" t="s">
        <v>3235</v>
      </c>
      <c r="H77" t="s">
        <v>3236</v>
      </c>
      <c r="I77" t="s">
        <v>2287</v>
      </c>
      <c r="J77" t="s">
        <v>2290</v>
      </c>
    </row>
    <row r="78" spans="1:10">
      <c r="A78">
        <v>77</v>
      </c>
      <c r="B78">
        <v>-3.3023280279999998</v>
      </c>
      <c r="C78">
        <v>34.848223019999999</v>
      </c>
      <c r="D78">
        <v>1673.13</v>
      </c>
      <c r="E78" t="s">
        <v>3248</v>
      </c>
      <c r="F78">
        <v>1134</v>
      </c>
      <c r="G78" t="s">
        <v>3235</v>
      </c>
      <c r="H78" t="s">
        <v>3236</v>
      </c>
      <c r="I78" t="s">
        <v>2287</v>
      </c>
      <c r="J78" t="s">
        <v>2291</v>
      </c>
    </row>
    <row r="79" spans="1:10">
      <c r="A79">
        <v>78</v>
      </c>
      <c r="B79">
        <v>-3.3025680020000001</v>
      </c>
      <c r="C79">
        <v>34.848167029999999</v>
      </c>
      <c r="D79">
        <v>1673.4</v>
      </c>
      <c r="E79" t="s">
        <v>3249</v>
      </c>
      <c r="F79">
        <v>1135</v>
      </c>
      <c r="G79" t="s">
        <v>3235</v>
      </c>
      <c r="H79" t="s">
        <v>3236</v>
      </c>
      <c r="I79" t="s">
        <v>2287</v>
      </c>
      <c r="J79" t="s">
        <v>2292</v>
      </c>
    </row>
    <row r="80" spans="1:10">
      <c r="A80">
        <v>79</v>
      </c>
      <c r="B80">
        <v>-3.3026270100000001</v>
      </c>
      <c r="C80">
        <v>34.84840801</v>
      </c>
      <c r="D80">
        <v>1672.01</v>
      </c>
      <c r="E80" t="s">
        <v>3250</v>
      </c>
      <c r="F80">
        <v>920</v>
      </c>
      <c r="G80" t="s">
        <v>3235</v>
      </c>
      <c r="H80" t="s">
        <v>3236</v>
      </c>
      <c r="I80" t="s">
        <v>2287</v>
      </c>
      <c r="J80" t="s">
        <v>2293</v>
      </c>
    </row>
    <row r="81" spans="1:10">
      <c r="A81">
        <v>80</v>
      </c>
      <c r="B81">
        <v>-3.3028539920000002</v>
      </c>
      <c r="C81">
        <v>34.847988999999998</v>
      </c>
      <c r="D81">
        <v>1672.7</v>
      </c>
      <c r="E81" t="s">
        <v>3251</v>
      </c>
      <c r="F81">
        <v>1103</v>
      </c>
      <c r="G81" t="s">
        <v>3235</v>
      </c>
      <c r="H81" t="s">
        <v>3236</v>
      </c>
      <c r="I81" t="s">
        <v>2287</v>
      </c>
      <c r="J81" t="s">
        <v>2294</v>
      </c>
    </row>
    <row r="82" spans="1:10">
      <c r="A82">
        <v>81</v>
      </c>
      <c r="B82">
        <v>-3.2957159630000001</v>
      </c>
      <c r="C82">
        <v>34.852460999999998</v>
      </c>
      <c r="D82">
        <v>1673.49</v>
      </c>
      <c r="E82" t="s">
        <v>3252</v>
      </c>
      <c r="F82">
        <v>892</v>
      </c>
      <c r="G82" t="s">
        <v>3235</v>
      </c>
      <c r="H82" t="s">
        <v>3236</v>
      </c>
      <c r="I82" t="s">
        <v>2296</v>
      </c>
      <c r="J82" t="s">
        <v>2295</v>
      </c>
    </row>
    <row r="83" spans="1:10">
      <c r="A83">
        <v>82</v>
      </c>
      <c r="B83">
        <v>-3.2957230040000001</v>
      </c>
      <c r="C83">
        <v>34.852416990000002</v>
      </c>
      <c r="D83">
        <v>1674.08728</v>
      </c>
      <c r="E83" t="s">
        <v>3253</v>
      </c>
      <c r="F83">
        <v>1128</v>
      </c>
      <c r="G83" t="s">
        <v>3235</v>
      </c>
      <c r="H83" t="s">
        <v>3236</v>
      </c>
      <c r="I83" t="s">
        <v>2296</v>
      </c>
      <c r="J83" t="s">
        <v>2298</v>
      </c>
    </row>
    <row r="84" spans="1:10">
      <c r="A84">
        <v>83</v>
      </c>
      <c r="B84">
        <v>-3.2957430369999998</v>
      </c>
      <c r="C84">
        <v>34.852309030000001</v>
      </c>
      <c r="D84">
        <v>1670.24</v>
      </c>
      <c r="E84" t="s">
        <v>3254</v>
      </c>
      <c r="F84">
        <v>886</v>
      </c>
      <c r="G84" t="s">
        <v>3235</v>
      </c>
      <c r="H84" t="s">
        <v>3236</v>
      </c>
      <c r="I84" t="s">
        <v>2296</v>
      </c>
      <c r="J84" t="s">
        <v>2299</v>
      </c>
    </row>
    <row r="85" spans="1:10">
      <c r="A85">
        <v>84</v>
      </c>
      <c r="B85">
        <v>-3.295795005</v>
      </c>
      <c r="C85">
        <v>34.85232001</v>
      </c>
      <c r="D85">
        <v>1674.73</v>
      </c>
      <c r="E85" t="s">
        <v>3255</v>
      </c>
      <c r="F85">
        <v>887</v>
      </c>
      <c r="G85" t="s">
        <v>3235</v>
      </c>
      <c r="H85" t="s">
        <v>3236</v>
      </c>
      <c r="I85" t="s">
        <v>2296</v>
      </c>
      <c r="J85" t="s">
        <v>2300</v>
      </c>
    </row>
    <row r="86" spans="1:10">
      <c r="A86">
        <v>85</v>
      </c>
      <c r="B86">
        <v>-3.2957100119999998</v>
      </c>
      <c r="C86">
        <v>34.852283970000002</v>
      </c>
      <c r="D86">
        <v>1673.21</v>
      </c>
      <c r="E86" t="s">
        <v>3256</v>
      </c>
      <c r="F86">
        <v>888</v>
      </c>
      <c r="G86" t="s">
        <v>3235</v>
      </c>
      <c r="H86" t="s">
        <v>3236</v>
      </c>
      <c r="I86" t="s">
        <v>2296</v>
      </c>
      <c r="J86" t="s">
        <v>2301</v>
      </c>
    </row>
    <row r="87" spans="1:10">
      <c r="A87">
        <v>86</v>
      </c>
      <c r="B87">
        <v>-3.2956140399999998</v>
      </c>
      <c r="C87">
        <v>34.852137030000002</v>
      </c>
      <c r="D87">
        <v>1674.28</v>
      </c>
      <c r="E87" t="s">
        <v>3257</v>
      </c>
      <c r="F87">
        <v>889</v>
      </c>
      <c r="G87" t="s">
        <v>3235</v>
      </c>
      <c r="H87" t="s">
        <v>3236</v>
      </c>
      <c r="I87" t="s">
        <v>2296</v>
      </c>
      <c r="J87" t="s">
        <v>2302</v>
      </c>
    </row>
    <row r="88" spans="1:10">
      <c r="A88">
        <v>87</v>
      </c>
      <c r="B88">
        <v>-3.295904975</v>
      </c>
      <c r="C88">
        <v>34.852136029999997</v>
      </c>
      <c r="D88">
        <v>1673.57</v>
      </c>
      <c r="E88" t="s">
        <v>3258</v>
      </c>
      <c r="F88">
        <v>890</v>
      </c>
      <c r="G88" t="s">
        <v>3235</v>
      </c>
      <c r="H88" t="s">
        <v>3236</v>
      </c>
      <c r="I88" t="s">
        <v>2296</v>
      </c>
      <c r="J88" t="s">
        <v>2303</v>
      </c>
    </row>
    <row r="89" spans="1:10">
      <c r="A89">
        <v>88</v>
      </c>
      <c r="B89">
        <v>-3.2959530039999998</v>
      </c>
      <c r="C89">
        <v>34.85242504</v>
      </c>
      <c r="D89">
        <v>1673.36</v>
      </c>
      <c r="E89" t="s">
        <v>3259</v>
      </c>
      <c r="F89">
        <v>891</v>
      </c>
      <c r="G89" t="s">
        <v>3235</v>
      </c>
      <c r="H89" t="s">
        <v>3236</v>
      </c>
      <c r="I89" t="s">
        <v>2296</v>
      </c>
      <c r="J89" t="s">
        <v>2304</v>
      </c>
    </row>
    <row r="90" spans="1:10">
      <c r="A90">
        <v>89</v>
      </c>
      <c r="B90">
        <v>-3.2966709980000002</v>
      </c>
      <c r="C90">
        <v>34.854407019999996</v>
      </c>
      <c r="D90">
        <v>1667.48</v>
      </c>
      <c r="E90" t="s">
        <v>3260</v>
      </c>
      <c r="F90">
        <v>898</v>
      </c>
      <c r="G90" t="s">
        <v>3235</v>
      </c>
      <c r="H90" t="s">
        <v>3236</v>
      </c>
      <c r="I90" t="s">
        <v>2306</v>
      </c>
      <c r="J90" t="s">
        <v>2305</v>
      </c>
    </row>
    <row r="91" spans="1:10">
      <c r="A91">
        <v>90</v>
      </c>
      <c r="B91">
        <v>-3.2966860009999999</v>
      </c>
      <c r="C91">
        <v>34.854371989999997</v>
      </c>
      <c r="D91">
        <v>1667.49</v>
      </c>
      <c r="E91" t="s">
        <v>3261</v>
      </c>
      <c r="F91">
        <v>899</v>
      </c>
      <c r="G91" t="s">
        <v>3235</v>
      </c>
      <c r="H91" t="s">
        <v>3236</v>
      </c>
      <c r="I91" t="s">
        <v>2306</v>
      </c>
      <c r="J91" t="s">
        <v>2307</v>
      </c>
    </row>
    <row r="92" spans="1:10">
      <c r="A92">
        <v>91</v>
      </c>
      <c r="B92">
        <v>-3.2966180239999998</v>
      </c>
      <c r="C92">
        <v>34.854464020000002</v>
      </c>
      <c r="D92">
        <v>1667.74</v>
      </c>
      <c r="E92" t="s">
        <v>3262</v>
      </c>
      <c r="F92">
        <v>900</v>
      </c>
      <c r="G92" t="s">
        <v>3235</v>
      </c>
      <c r="H92" t="s">
        <v>3236</v>
      </c>
      <c r="I92" t="s">
        <v>2306</v>
      </c>
      <c r="J92" t="s">
        <v>2308</v>
      </c>
    </row>
    <row r="93" spans="1:10">
      <c r="A93">
        <v>92</v>
      </c>
      <c r="B93">
        <v>-3.2965539860000002</v>
      </c>
      <c r="C93">
        <v>34.854455969999997</v>
      </c>
      <c r="D93">
        <v>1667.34</v>
      </c>
      <c r="E93" t="s">
        <v>3263</v>
      </c>
      <c r="F93">
        <v>901</v>
      </c>
      <c r="G93" t="s">
        <v>3235</v>
      </c>
      <c r="H93" t="s">
        <v>3236</v>
      </c>
      <c r="I93" t="s">
        <v>2306</v>
      </c>
      <c r="J93" t="s">
        <v>2309</v>
      </c>
    </row>
    <row r="94" spans="1:10">
      <c r="A94">
        <v>93</v>
      </c>
      <c r="B94">
        <v>-3.2964789680000002</v>
      </c>
      <c r="C94">
        <v>34.854331000000002</v>
      </c>
      <c r="D94">
        <v>1669.28</v>
      </c>
      <c r="E94" t="s">
        <v>3264</v>
      </c>
      <c r="F94">
        <v>902</v>
      </c>
      <c r="G94" t="s">
        <v>3235</v>
      </c>
      <c r="H94" t="s">
        <v>3236</v>
      </c>
      <c r="I94" t="s">
        <v>2306</v>
      </c>
      <c r="J94" t="s">
        <v>2310</v>
      </c>
    </row>
    <row r="95" spans="1:10">
      <c r="A95">
        <v>94</v>
      </c>
      <c r="B95">
        <v>-3.2964649700000002</v>
      </c>
      <c r="C95">
        <v>34.854340970000003</v>
      </c>
      <c r="D95">
        <v>1666.49</v>
      </c>
      <c r="E95" t="s">
        <v>3265</v>
      </c>
      <c r="F95">
        <v>903</v>
      </c>
      <c r="G95" t="s">
        <v>3235</v>
      </c>
      <c r="H95" t="s">
        <v>3236</v>
      </c>
      <c r="I95" t="s">
        <v>2306</v>
      </c>
      <c r="J95" t="s">
        <v>2311</v>
      </c>
    </row>
    <row r="96" spans="1:10">
      <c r="A96">
        <v>95</v>
      </c>
      <c r="B96">
        <v>-3.296725983</v>
      </c>
      <c r="C96">
        <v>34.854216000000001</v>
      </c>
      <c r="D96">
        <v>1664.61</v>
      </c>
      <c r="E96" t="s">
        <v>3266</v>
      </c>
      <c r="F96">
        <v>904</v>
      </c>
      <c r="G96" t="s">
        <v>3235</v>
      </c>
      <c r="H96" t="s">
        <v>3236</v>
      </c>
      <c r="I96" t="s">
        <v>2306</v>
      </c>
      <c r="J96" t="s">
        <v>2312</v>
      </c>
    </row>
    <row r="97" spans="1:10">
      <c r="A97">
        <v>96</v>
      </c>
      <c r="B97">
        <v>-3.2968360369999998</v>
      </c>
      <c r="C97">
        <v>34.854462009999999</v>
      </c>
      <c r="D97">
        <v>1654.53</v>
      </c>
      <c r="E97" t="s">
        <v>3267</v>
      </c>
      <c r="F97">
        <v>905</v>
      </c>
      <c r="G97" t="s">
        <v>3235</v>
      </c>
      <c r="H97" t="s">
        <v>3236</v>
      </c>
      <c r="I97" t="s">
        <v>2306</v>
      </c>
      <c r="J97" t="s">
        <v>2313</v>
      </c>
    </row>
    <row r="98" spans="1:10">
      <c r="A98">
        <v>97</v>
      </c>
      <c r="B98">
        <v>-2.3691620310000001</v>
      </c>
      <c r="C98">
        <v>34.06028104</v>
      </c>
      <c r="D98">
        <v>1277.3699999999999</v>
      </c>
      <c r="E98" t="s">
        <v>3268</v>
      </c>
      <c r="F98">
        <v>718</v>
      </c>
      <c r="G98" t="s">
        <v>3269</v>
      </c>
      <c r="H98" t="s">
        <v>3173</v>
      </c>
      <c r="I98" t="s">
        <v>2178</v>
      </c>
      <c r="J98" t="s">
        <v>2315</v>
      </c>
    </row>
    <row r="99" spans="1:10">
      <c r="A99">
        <v>98</v>
      </c>
      <c r="B99">
        <v>-2.3692249790000002</v>
      </c>
      <c r="C99">
        <v>34.060285989999997</v>
      </c>
      <c r="D99">
        <v>1278.72</v>
      </c>
      <c r="E99" t="s">
        <v>3270</v>
      </c>
      <c r="F99">
        <v>719</v>
      </c>
      <c r="G99" t="s">
        <v>3269</v>
      </c>
      <c r="H99" t="s">
        <v>3173</v>
      </c>
      <c r="I99" t="s">
        <v>2178</v>
      </c>
      <c r="J99" t="s">
        <v>2316</v>
      </c>
    </row>
    <row r="100" spans="1:10">
      <c r="A100">
        <v>99</v>
      </c>
      <c r="B100">
        <v>-2.369284993</v>
      </c>
      <c r="C100">
        <v>34.06028104</v>
      </c>
      <c r="D100">
        <v>1279.1199999999999</v>
      </c>
      <c r="E100" t="s">
        <v>3271</v>
      </c>
      <c r="F100">
        <v>720</v>
      </c>
      <c r="G100" t="s">
        <v>3269</v>
      </c>
      <c r="H100" t="s">
        <v>3173</v>
      </c>
      <c r="I100" t="s">
        <v>2178</v>
      </c>
      <c r="J100" t="s">
        <v>2317</v>
      </c>
    </row>
    <row r="101" spans="1:10">
      <c r="A101">
        <v>100</v>
      </c>
      <c r="B101">
        <v>-2.3691989950000001</v>
      </c>
      <c r="C101">
        <v>34.060208029999998</v>
      </c>
      <c r="D101">
        <v>1279.1199999999999</v>
      </c>
      <c r="E101" t="s">
        <v>3272</v>
      </c>
      <c r="F101">
        <v>721</v>
      </c>
      <c r="G101" t="s">
        <v>3269</v>
      </c>
      <c r="H101" t="s">
        <v>3173</v>
      </c>
      <c r="I101" t="s">
        <v>2178</v>
      </c>
      <c r="J101" t="s">
        <v>2318</v>
      </c>
    </row>
    <row r="102" spans="1:10">
      <c r="A102">
        <v>101</v>
      </c>
      <c r="B102">
        <v>-2.3691900260000001</v>
      </c>
      <c r="C102">
        <v>34.060177019999998</v>
      </c>
      <c r="D102">
        <v>1278.82</v>
      </c>
      <c r="E102" t="s">
        <v>3273</v>
      </c>
      <c r="F102">
        <v>722</v>
      </c>
      <c r="G102" t="s">
        <v>3269</v>
      </c>
      <c r="H102" t="s">
        <v>3173</v>
      </c>
      <c r="I102" t="s">
        <v>2178</v>
      </c>
      <c r="J102" t="s">
        <v>2320</v>
      </c>
    </row>
    <row r="103" spans="1:10">
      <c r="A103">
        <v>102</v>
      </c>
      <c r="B103">
        <v>-2.3691350409999998</v>
      </c>
      <c r="C103">
        <v>34.06018297</v>
      </c>
      <c r="D103">
        <v>1279.57</v>
      </c>
      <c r="E103" t="s">
        <v>3274</v>
      </c>
      <c r="F103">
        <v>723</v>
      </c>
      <c r="G103" t="s">
        <v>3269</v>
      </c>
      <c r="H103" t="s">
        <v>3173</v>
      </c>
      <c r="I103" t="s">
        <v>2178</v>
      </c>
      <c r="J103" t="s">
        <v>2321</v>
      </c>
    </row>
    <row r="104" spans="1:10">
      <c r="A104">
        <v>103</v>
      </c>
      <c r="B104">
        <v>-2.3691330289999999</v>
      </c>
      <c r="C104">
        <v>34.060233009999997</v>
      </c>
      <c r="D104">
        <v>1279.73</v>
      </c>
      <c r="E104" t="s">
        <v>3275</v>
      </c>
      <c r="F104">
        <v>724</v>
      </c>
      <c r="G104" t="s">
        <v>3269</v>
      </c>
      <c r="H104" t="s">
        <v>3173</v>
      </c>
      <c r="I104" t="s">
        <v>2178</v>
      </c>
      <c r="J104" t="s">
        <v>2322</v>
      </c>
    </row>
    <row r="105" spans="1:10">
      <c r="A105">
        <v>104</v>
      </c>
      <c r="B105">
        <v>-2.3692910280000001</v>
      </c>
      <c r="C105">
        <v>34.06016202</v>
      </c>
      <c r="D105">
        <v>1278.55</v>
      </c>
      <c r="E105" t="s">
        <v>3276</v>
      </c>
      <c r="F105">
        <v>725</v>
      </c>
      <c r="G105" t="s">
        <v>3269</v>
      </c>
      <c r="H105" t="s">
        <v>3173</v>
      </c>
      <c r="I105" t="s">
        <v>2178</v>
      </c>
      <c r="J105" t="s">
        <v>2323</v>
      </c>
    </row>
    <row r="106" spans="1:10">
      <c r="A106">
        <v>105</v>
      </c>
      <c r="B106">
        <v>-2.3698080240000001</v>
      </c>
      <c r="C106">
        <v>34.059671010000002</v>
      </c>
      <c r="D106">
        <v>1278.47</v>
      </c>
      <c r="E106" t="s">
        <v>3277</v>
      </c>
      <c r="F106">
        <v>726</v>
      </c>
      <c r="G106" t="s">
        <v>3269</v>
      </c>
      <c r="H106" t="s">
        <v>3173</v>
      </c>
      <c r="I106" t="s">
        <v>2194</v>
      </c>
      <c r="J106" t="s">
        <v>2324</v>
      </c>
    </row>
    <row r="107" spans="1:10">
      <c r="A107">
        <v>106</v>
      </c>
      <c r="B107">
        <v>-2.3697620069999998</v>
      </c>
      <c r="C107">
        <v>34.059730010000003</v>
      </c>
      <c r="D107">
        <v>1276.99</v>
      </c>
      <c r="E107" t="s">
        <v>3278</v>
      </c>
      <c r="F107">
        <v>727</v>
      </c>
      <c r="G107" t="s">
        <v>3269</v>
      </c>
      <c r="H107" t="s">
        <v>3173</v>
      </c>
      <c r="I107" t="s">
        <v>2194</v>
      </c>
      <c r="J107" t="s">
        <v>2325</v>
      </c>
    </row>
    <row r="108" spans="1:10">
      <c r="A108">
        <v>107</v>
      </c>
      <c r="B108">
        <v>-2.3698409649999999</v>
      </c>
      <c r="C108">
        <v>34.059814000000003</v>
      </c>
      <c r="D108">
        <v>1277.92</v>
      </c>
      <c r="E108" t="s">
        <v>3279</v>
      </c>
      <c r="F108">
        <v>728</v>
      </c>
      <c r="G108" t="s">
        <v>3269</v>
      </c>
      <c r="H108" t="s">
        <v>3173</v>
      </c>
      <c r="I108" t="s">
        <v>2194</v>
      </c>
      <c r="J108" t="s">
        <v>2326</v>
      </c>
    </row>
    <row r="109" spans="1:10">
      <c r="A109">
        <v>108</v>
      </c>
      <c r="B109">
        <v>-2.3698620030000002</v>
      </c>
      <c r="C109">
        <v>34.059759020000001</v>
      </c>
      <c r="D109">
        <v>1277.75</v>
      </c>
      <c r="E109" t="s">
        <v>3280</v>
      </c>
      <c r="F109">
        <v>729</v>
      </c>
      <c r="G109" t="s">
        <v>3269</v>
      </c>
      <c r="H109" t="s">
        <v>3173</v>
      </c>
      <c r="I109" t="s">
        <v>2194</v>
      </c>
      <c r="J109" t="s">
        <v>2327</v>
      </c>
    </row>
    <row r="110" spans="1:10">
      <c r="A110">
        <v>109</v>
      </c>
      <c r="B110">
        <v>-2.3698390370000002</v>
      </c>
      <c r="C110">
        <v>34.059714</v>
      </c>
      <c r="D110">
        <v>1277.48</v>
      </c>
      <c r="E110" t="s">
        <v>3281</v>
      </c>
      <c r="F110">
        <v>730</v>
      </c>
      <c r="G110" t="s">
        <v>3269</v>
      </c>
      <c r="H110" t="s">
        <v>3173</v>
      </c>
      <c r="I110" t="s">
        <v>2194</v>
      </c>
      <c r="J110" t="s">
        <v>2329</v>
      </c>
    </row>
    <row r="111" spans="1:10">
      <c r="A111">
        <v>110</v>
      </c>
      <c r="B111">
        <v>-2.3697549659999999</v>
      </c>
      <c r="C111">
        <v>34.059668989999999</v>
      </c>
      <c r="D111">
        <v>1277.67</v>
      </c>
      <c r="E111" t="s">
        <v>3282</v>
      </c>
      <c r="F111">
        <v>731</v>
      </c>
      <c r="G111" t="s">
        <v>3269</v>
      </c>
      <c r="H111" t="s">
        <v>3173</v>
      </c>
      <c r="I111" t="s">
        <v>2194</v>
      </c>
      <c r="J111" t="s">
        <v>2330</v>
      </c>
    </row>
    <row r="112" spans="1:10">
      <c r="A112">
        <v>111</v>
      </c>
      <c r="B112">
        <v>-2.3697330060000001</v>
      </c>
      <c r="C112">
        <v>34.059615010000002</v>
      </c>
      <c r="D112">
        <v>1277.25</v>
      </c>
      <c r="E112" t="s">
        <v>3283</v>
      </c>
      <c r="F112">
        <v>732</v>
      </c>
      <c r="G112" t="s">
        <v>3269</v>
      </c>
      <c r="H112" t="s">
        <v>3173</v>
      </c>
      <c r="I112" t="s">
        <v>2194</v>
      </c>
      <c r="J112" t="s">
        <v>2331</v>
      </c>
    </row>
    <row r="113" spans="1:10">
      <c r="A113">
        <v>112</v>
      </c>
      <c r="B113">
        <v>-2.36967098</v>
      </c>
      <c r="C113">
        <v>34.059735959999998</v>
      </c>
      <c r="D113">
        <v>1277.5899999999999</v>
      </c>
      <c r="E113" t="s">
        <v>3284</v>
      </c>
      <c r="F113">
        <v>733</v>
      </c>
      <c r="G113" t="s">
        <v>3269</v>
      </c>
      <c r="H113" t="s">
        <v>3173</v>
      </c>
      <c r="I113" t="s">
        <v>2194</v>
      </c>
      <c r="J113" t="s">
        <v>2332</v>
      </c>
    </row>
    <row r="114" spans="1:10">
      <c r="A114">
        <v>113</v>
      </c>
      <c r="B114">
        <v>-2.3487199940000001</v>
      </c>
      <c r="C114">
        <v>34.051391029999998</v>
      </c>
      <c r="D114">
        <v>1253.76</v>
      </c>
      <c r="E114" t="s">
        <v>3285</v>
      </c>
      <c r="F114">
        <v>739</v>
      </c>
      <c r="G114" t="s">
        <v>3269</v>
      </c>
      <c r="H114" t="s">
        <v>3173</v>
      </c>
      <c r="I114" t="s">
        <v>2208</v>
      </c>
      <c r="J114" t="s">
        <v>2333</v>
      </c>
    </row>
    <row r="115" spans="1:10">
      <c r="A115">
        <v>114</v>
      </c>
      <c r="B115">
        <v>-2.348716976</v>
      </c>
      <c r="C115">
        <v>34.051484989999999</v>
      </c>
      <c r="D115">
        <v>1247.5999999999999</v>
      </c>
      <c r="E115" t="s">
        <v>3286</v>
      </c>
      <c r="F115">
        <v>740</v>
      </c>
      <c r="G115" t="s">
        <v>3269</v>
      </c>
      <c r="H115" t="s">
        <v>3173</v>
      </c>
      <c r="I115" t="s">
        <v>2208</v>
      </c>
      <c r="J115" t="s">
        <v>2334</v>
      </c>
    </row>
    <row r="116" spans="1:10">
      <c r="A116">
        <v>115</v>
      </c>
      <c r="B116">
        <v>-2.3487800079999999</v>
      </c>
      <c r="C116">
        <v>34.051495969999998</v>
      </c>
      <c r="D116">
        <v>1246.7</v>
      </c>
      <c r="E116" t="s">
        <v>3287</v>
      </c>
      <c r="F116">
        <v>741</v>
      </c>
      <c r="G116" t="s">
        <v>3269</v>
      </c>
      <c r="H116" t="s">
        <v>3173</v>
      </c>
      <c r="I116" t="s">
        <v>2208</v>
      </c>
      <c r="J116" t="s">
        <v>2335</v>
      </c>
    </row>
    <row r="117" spans="1:10">
      <c r="A117">
        <v>116</v>
      </c>
      <c r="B117">
        <v>-2.3488120270000001</v>
      </c>
      <c r="C117">
        <v>34.05146697</v>
      </c>
      <c r="D117">
        <v>1246.3399999999999</v>
      </c>
      <c r="E117" t="s">
        <v>3288</v>
      </c>
      <c r="F117">
        <v>742</v>
      </c>
      <c r="G117" t="s">
        <v>3269</v>
      </c>
      <c r="H117" t="s">
        <v>3173</v>
      </c>
      <c r="I117" t="s">
        <v>2208</v>
      </c>
      <c r="J117" t="s">
        <v>2336</v>
      </c>
    </row>
    <row r="118" spans="1:10">
      <c r="A118">
        <v>117</v>
      </c>
      <c r="B118">
        <v>-2.348814961</v>
      </c>
      <c r="C118">
        <v>34.051439979999998</v>
      </c>
      <c r="D118">
        <v>1246.28</v>
      </c>
      <c r="E118" t="s">
        <v>3289</v>
      </c>
      <c r="F118">
        <v>743</v>
      </c>
      <c r="G118" t="s">
        <v>3269</v>
      </c>
      <c r="H118" t="s">
        <v>3173</v>
      </c>
      <c r="I118" t="s">
        <v>2208</v>
      </c>
      <c r="J118" t="s">
        <v>2337</v>
      </c>
    </row>
    <row r="119" spans="1:10">
      <c r="A119">
        <v>118</v>
      </c>
      <c r="B119">
        <v>-2.3488729629999998</v>
      </c>
      <c r="C119">
        <v>34.051454980000003</v>
      </c>
      <c r="D119">
        <v>1246.69</v>
      </c>
      <c r="E119" t="s">
        <v>3290</v>
      </c>
      <c r="F119">
        <v>744</v>
      </c>
      <c r="G119" t="s">
        <v>3269</v>
      </c>
      <c r="H119" t="s">
        <v>3173</v>
      </c>
      <c r="I119" t="s">
        <v>2208</v>
      </c>
      <c r="J119" t="s">
        <v>2338</v>
      </c>
    </row>
    <row r="120" spans="1:10">
      <c r="A120">
        <v>119</v>
      </c>
      <c r="B120">
        <v>-2.3488589659999999</v>
      </c>
      <c r="C120">
        <v>34.051389010000001</v>
      </c>
      <c r="D120">
        <v>1248.27</v>
      </c>
      <c r="E120" t="s">
        <v>3291</v>
      </c>
      <c r="F120">
        <v>745</v>
      </c>
      <c r="G120" t="s">
        <v>3269</v>
      </c>
      <c r="H120" t="s">
        <v>3173</v>
      </c>
      <c r="I120" t="s">
        <v>2208</v>
      </c>
      <c r="J120" t="s">
        <v>2339</v>
      </c>
    </row>
    <row r="121" spans="1:10">
      <c r="A121">
        <v>120</v>
      </c>
      <c r="B121">
        <v>-2.3486449760000001</v>
      </c>
      <c r="C121">
        <v>34.051495969999998</v>
      </c>
      <c r="D121">
        <v>1245.54</v>
      </c>
      <c r="E121" t="s">
        <v>3292</v>
      </c>
      <c r="F121">
        <v>746</v>
      </c>
      <c r="G121" t="s">
        <v>3269</v>
      </c>
      <c r="H121" t="s">
        <v>3173</v>
      </c>
      <c r="I121" t="s">
        <v>2208</v>
      </c>
      <c r="J121" t="s">
        <v>2340</v>
      </c>
    </row>
    <row r="122" spans="1:10">
      <c r="A122">
        <v>121</v>
      </c>
      <c r="B122">
        <v>-2.3492639789999998</v>
      </c>
      <c r="C122">
        <v>34.051464029999998</v>
      </c>
      <c r="D122">
        <v>1244.43</v>
      </c>
      <c r="E122" t="s">
        <v>3293</v>
      </c>
      <c r="F122">
        <v>748</v>
      </c>
      <c r="G122" t="s">
        <v>3269</v>
      </c>
      <c r="H122" t="s">
        <v>3173</v>
      </c>
      <c r="I122" t="s">
        <v>2218</v>
      </c>
      <c r="J122" t="s">
        <v>2341</v>
      </c>
    </row>
    <row r="123" spans="1:10">
      <c r="A123">
        <v>122</v>
      </c>
      <c r="B123">
        <v>-2.34923196</v>
      </c>
      <c r="C123">
        <v>34.051422039999999</v>
      </c>
      <c r="D123">
        <v>1247.1500000000001</v>
      </c>
      <c r="E123" t="s">
        <v>3294</v>
      </c>
      <c r="F123">
        <v>749</v>
      </c>
      <c r="G123" t="s">
        <v>3269</v>
      </c>
      <c r="H123" t="s">
        <v>3173</v>
      </c>
      <c r="I123" t="s">
        <v>2218</v>
      </c>
      <c r="J123" t="s">
        <v>2342</v>
      </c>
    </row>
    <row r="124" spans="1:10">
      <c r="A124">
        <v>123</v>
      </c>
      <c r="B124">
        <v>-2.3492390009999999</v>
      </c>
      <c r="C124">
        <v>34.051304020000003</v>
      </c>
      <c r="D124">
        <v>1246.24</v>
      </c>
      <c r="E124" t="s">
        <v>3295</v>
      </c>
      <c r="F124">
        <v>751</v>
      </c>
      <c r="G124" t="s">
        <v>3269</v>
      </c>
      <c r="H124" t="s">
        <v>3173</v>
      </c>
      <c r="I124" t="s">
        <v>2218</v>
      </c>
      <c r="J124" t="s">
        <v>2343</v>
      </c>
    </row>
    <row r="125" spans="1:10">
      <c r="A125">
        <v>124</v>
      </c>
      <c r="B125">
        <v>-2.3492799889999998</v>
      </c>
      <c r="C125">
        <v>34.051280970000001</v>
      </c>
      <c r="D125">
        <v>1245.77</v>
      </c>
      <c r="E125" t="s">
        <v>3296</v>
      </c>
      <c r="F125">
        <v>750</v>
      </c>
      <c r="G125" t="s">
        <v>3269</v>
      </c>
      <c r="H125" t="s">
        <v>3173</v>
      </c>
      <c r="I125" t="s">
        <v>2218</v>
      </c>
      <c r="J125" t="s">
        <v>2345</v>
      </c>
    </row>
    <row r="126" spans="1:10">
      <c r="A126">
        <v>125</v>
      </c>
      <c r="B126">
        <v>-2.3493320400000002</v>
      </c>
      <c r="C126">
        <v>34.051321960000003</v>
      </c>
      <c r="D126">
        <v>1245.83</v>
      </c>
      <c r="E126" t="s">
        <v>3297</v>
      </c>
      <c r="F126">
        <v>752</v>
      </c>
      <c r="G126" t="s">
        <v>3269</v>
      </c>
      <c r="H126" t="s">
        <v>3173</v>
      </c>
      <c r="I126" t="s">
        <v>2218</v>
      </c>
      <c r="J126" t="s">
        <v>2346</v>
      </c>
    </row>
    <row r="127" spans="1:10">
      <c r="A127">
        <v>126</v>
      </c>
      <c r="B127">
        <v>-2.3493509829999999</v>
      </c>
      <c r="C127">
        <v>34.051332019999997</v>
      </c>
      <c r="D127">
        <v>1246.07</v>
      </c>
      <c r="E127" t="s">
        <v>3298</v>
      </c>
      <c r="F127">
        <v>753</v>
      </c>
      <c r="G127" t="s">
        <v>3269</v>
      </c>
      <c r="H127" t="s">
        <v>3173</v>
      </c>
      <c r="I127" t="s">
        <v>2218</v>
      </c>
      <c r="J127" t="s">
        <v>2347</v>
      </c>
    </row>
    <row r="128" spans="1:10">
      <c r="A128">
        <v>127</v>
      </c>
      <c r="B128">
        <v>-2.3491850219999999</v>
      </c>
      <c r="C128">
        <v>34.051264959999997</v>
      </c>
      <c r="D128">
        <v>1247.25</v>
      </c>
      <c r="E128" t="s">
        <v>3299</v>
      </c>
      <c r="F128">
        <v>754</v>
      </c>
      <c r="G128" t="s">
        <v>3269</v>
      </c>
      <c r="H128" t="s">
        <v>3173</v>
      </c>
      <c r="I128" t="s">
        <v>2218</v>
      </c>
      <c r="J128" t="s">
        <v>2348</v>
      </c>
    </row>
    <row r="129" spans="1:10">
      <c r="A129">
        <v>128</v>
      </c>
      <c r="B129">
        <v>-2.3493099960000001</v>
      </c>
      <c r="C129">
        <v>34.05141802</v>
      </c>
      <c r="D129">
        <v>1246.8499999999999</v>
      </c>
      <c r="E129" t="s">
        <v>3300</v>
      </c>
      <c r="F129">
        <v>755</v>
      </c>
      <c r="G129" t="s">
        <v>3269</v>
      </c>
      <c r="H129" t="s">
        <v>3173</v>
      </c>
      <c r="I129" t="s">
        <v>2218</v>
      </c>
      <c r="J129" t="s">
        <v>2349</v>
      </c>
    </row>
    <row r="130" spans="1:10">
      <c r="A130">
        <v>129</v>
      </c>
      <c r="B130">
        <v>-2.3503360249999998</v>
      </c>
      <c r="C130">
        <v>34.049662009999999</v>
      </c>
      <c r="D130">
        <v>1248.6199999999999</v>
      </c>
      <c r="E130" t="s">
        <v>3301</v>
      </c>
      <c r="F130">
        <v>669</v>
      </c>
      <c r="G130" t="s">
        <v>3269</v>
      </c>
      <c r="H130" t="s">
        <v>3204</v>
      </c>
      <c r="I130" t="s">
        <v>2227</v>
      </c>
      <c r="J130" t="s">
        <v>2350</v>
      </c>
    </row>
    <row r="131" spans="1:10">
      <c r="A131">
        <v>130</v>
      </c>
      <c r="B131">
        <v>-2.3503729889999998</v>
      </c>
      <c r="C131">
        <v>34.049626969999998</v>
      </c>
      <c r="D131">
        <v>1248.69</v>
      </c>
      <c r="E131" t="s">
        <v>3302</v>
      </c>
      <c r="F131">
        <v>670</v>
      </c>
      <c r="G131" t="s">
        <v>3269</v>
      </c>
      <c r="H131" t="s">
        <v>3204</v>
      </c>
      <c r="I131" t="s">
        <v>2227</v>
      </c>
      <c r="J131" t="s">
        <v>2351</v>
      </c>
    </row>
    <row r="132" spans="1:10">
      <c r="A132">
        <v>131</v>
      </c>
      <c r="B132">
        <v>-2.3503259660000002</v>
      </c>
      <c r="C132">
        <v>34.049616999999998</v>
      </c>
      <c r="D132">
        <v>1248.3499999999999</v>
      </c>
      <c r="E132" t="s">
        <v>3303</v>
      </c>
      <c r="F132">
        <v>672</v>
      </c>
      <c r="G132" t="s">
        <v>3269</v>
      </c>
      <c r="H132" t="s">
        <v>3204</v>
      </c>
      <c r="I132" t="s">
        <v>2227</v>
      </c>
      <c r="J132" t="s">
        <v>2352</v>
      </c>
    </row>
    <row r="133" spans="1:10">
      <c r="A133">
        <v>132</v>
      </c>
      <c r="B133">
        <v>-2.3504800260000001</v>
      </c>
      <c r="C133">
        <v>34.049551030000003</v>
      </c>
      <c r="D133">
        <v>1258.0899999999999</v>
      </c>
      <c r="E133" t="s">
        <v>3304</v>
      </c>
      <c r="F133">
        <v>1077</v>
      </c>
      <c r="G133" t="s">
        <v>3269</v>
      </c>
      <c r="H133" t="s">
        <v>3204</v>
      </c>
      <c r="I133" t="s">
        <v>2227</v>
      </c>
      <c r="J133" t="s">
        <v>2353</v>
      </c>
    </row>
    <row r="134" spans="1:10">
      <c r="A134">
        <v>133</v>
      </c>
      <c r="B134">
        <v>-2.350474996</v>
      </c>
      <c r="C134">
        <v>34.049801979999998</v>
      </c>
      <c r="D134">
        <v>1249.95</v>
      </c>
      <c r="E134" t="s">
        <v>3305</v>
      </c>
      <c r="F134">
        <v>674</v>
      </c>
      <c r="G134" t="s">
        <v>3269</v>
      </c>
      <c r="H134" t="s">
        <v>3204</v>
      </c>
      <c r="I134" t="s">
        <v>2227</v>
      </c>
      <c r="J134" t="s">
        <v>2354</v>
      </c>
    </row>
    <row r="135" spans="1:10">
      <c r="A135">
        <v>134</v>
      </c>
      <c r="B135">
        <v>-2.3503559730000001</v>
      </c>
      <c r="C135">
        <v>34.049800980000001</v>
      </c>
      <c r="D135">
        <v>1249.25</v>
      </c>
      <c r="E135" t="s">
        <v>3306</v>
      </c>
      <c r="F135">
        <v>675</v>
      </c>
      <c r="G135" t="s">
        <v>3269</v>
      </c>
      <c r="H135" t="s">
        <v>3204</v>
      </c>
      <c r="I135" t="s">
        <v>2227</v>
      </c>
      <c r="J135" t="s">
        <v>2355</v>
      </c>
    </row>
    <row r="136" spans="1:10">
      <c r="A136">
        <v>135</v>
      </c>
      <c r="B136">
        <v>-2.3503589909999998</v>
      </c>
      <c r="C136">
        <v>34.049719000000003</v>
      </c>
      <c r="D136">
        <v>1251.26</v>
      </c>
      <c r="E136" t="s">
        <v>3307</v>
      </c>
      <c r="F136">
        <v>677</v>
      </c>
      <c r="G136" t="s">
        <v>3269</v>
      </c>
      <c r="H136" t="s">
        <v>3204</v>
      </c>
      <c r="I136" t="s">
        <v>2227</v>
      </c>
      <c r="J136" t="s">
        <v>2356</v>
      </c>
    </row>
    <row r="137" spans="1:10">
      <c r="A137">
        <v>136</v>
      </c>
      <c r="B137">
        <v>-2.3502159960000002</v>
      </c>
      <c r="C137">
        <v>34.049822020000001</v>
      </c>
      <c r="D137">
        <v>1249.77</v>
      </c>
      <c r="E137" t="s">
        <v>3308</v>
      </c>
      <c r="F137">
        <v>678</v>
      </c>
      <c r="G137" t="s">
        <v>3269</v>
      </c>
      <c r="H137" t="s">
        <v>3204</v>
      </c>
      <c r="I137" t="s">
        <v>2227</v>
      </c>
      <c r="J137" t="s">
        <v>2357</v>
      </c>
    </row>
    <row r="138" spans="1:10">
      <c r="A138">
        <v>137</v>
      </c>
      <c r="B138">
        <v>-2.348596025</v>
      </c>
      <c r="C138">
        <v>34.050070959999999</v>
      </c>
      <c r="D138">
        <v>1250.98</v>
      </c>
      <c r="E138" t="s">
        <v>3309</v>
      </c>
      <c r="F138">
        <v>681</v>
      </c>
      <c r="G138" t="s">
        <v>3269</v>
      </c>
      <c r="H138" t="s">
        <v>3204</v>
      </c>
      <c r="I138" t="s">
        <v>2244</v>
      </c>
      <c r="J138" t="s">
        <v>2358</v>
      </c>
    </row>
    <row r="139" spans="1:10">
      <c r="A139">
        <v>138</v>
      </c>
      <c r="B139">
        <v>-2.3485449790000001</v>
      </c>
      <c r="C139">
        <v>34.050146980000001</v>
      </c>
      <c r="D139">
        <v>1250.04</v>
      </c>
      <c r="E139" t="s">
        <v>3310</v>
      </c>
      <c r="F139">
        <v>682</v>
      </c>
      <c r="G139" t="s">
        <v>3269</v>
      </c>
      <c r="H139" t="s">
        <v>3204</v>
      </c>
      <c r="I139" t="s">
        <v>2244</v>
      </c>
      <c r="J139" t="s">
        <v>2359</v>
      </c>
    </row>
    <row r="140" spans="1:10">
      <c r="A140">
        <v>139</v>
      </c>
      <c r="B140">
        <v>-2.3487209990000002</v>
      </c>
      <c r="C140">
        <v>34.050128039999997</v>
      </c>
      <c r="D140">
        <v>1250.67</v>
      </c>
      <c r="E140" t="s">
        <v>3311</v>
      </c>
      <c r="F140">
        <v>683</v>
      </c>
      <c r="G140" t="s">
        <v>3269</v>
      </c>
      <c r="H140" t="s">
        <v>3204</v>
      </c>
      <c r="I140" t="s">
        <v>2244</v>
      </c>
      <c r="J140" t="s">
        <v>2360</v>
      </c>
    </row>
    <row r="141" spans="1:10">
      <c r="A141">
        <v>140</v>
      </c>
      <c r="B141">
        <v>-2.3486250270000002</v>
      </c>
      <c r="C141">
        <v>34.050070959999999</v>
      </c>
      <c r="D141">
        <v>1248.49</v>
      </c>
      <c r="E141" t="s">
        <v>3312</v>
      </c>
      <c r="F141">
        <v>684</v>
      </c>
      <c r="G141" t="s">
        <v>3269</v>
      </c>
      <c r="H141" t="s">
        <v>3204</v>
      </c>
      <c r="I141" t="s">
        <v>2244</v>
      </c>
      <c r="J141" t="s">
        <v>2362</v>
      </c>
    </row>
    <row r="142" spans="1:10">
      <c r="A142">
        <v>141</v>
      </c>
      <c r="B142">
        <v>-2.3486060000000002</v>
      </c>
      <c r="C142">
        <v>34.050010020000002</v>
      </c>
      <c r="D142">
        <v>1248.22</v>
      </c>
      <c r="E142" t="s">
        <v>3313</v>
      </c>
      <c r="F142">
        <v>685</v>
      </c>
      <c r="G142" t="s">
        <v>3269</v>
      </c>
      <c r="H142" t="s">
        <v>3204</v>
      </c>
      <c r="I142" t="s">
        <v>2244</v>
      </c>
      <c r="J142" t="s">
        <v>2363</v>
      </c>
    </row>
    <row r="143" spans="1:10">
      <c r="A143">
        <v>142</v>
      </c>
      <c r="B143">
        <v>-2.348618992</v>
      </c>
      <c r="C143">
        <v>34.049996030000003</v>
      </c>
      <c r="D143">
        <v>1253.69</v>
      </c>
      <c r="E143" t="s">
        <v>3314</v>
      </c>
      <c r="F143">
        <v>686</v>
      </c>
      <c r="G143" t="s">
        <v>3269</v>
      </c>
      <c r="H143" t="s">
        <v>3204</v>
      </c>
      <c r="I143" t="s">
        <v>2244</v>
      </c>
      <c r="J143" t="s">
        <v>2364</v>
      </c>
    </row>
    <row r="144" spans="1:10">
      <c r="A144">
        <v>143</v>
      </c>
      <c r="B144">
        <v>-2.3484970349999998</v>
      </c>
      <c r="C144">
        <v>34.049979010000001</v>
      </c>
      <c r="D144">
        <v>1251.22</v>
      </c>
      <c r="E144" t="s">
        <v>3315</v>
      </c>
      <c r="F144">
        <v>687</v>
      </c>
      <c r="G144" t="s">
        <v>3269</v>
      </c>
      <c r="H144" t="s">
        <v>3204</v>
      </c>
      <c r="I144" t="s">
        <v>2244</v>
      </c>
      <c r="J144" t="s">
        <v>2365</v>
      </c>
    </row>
    <row r="145" spans="1:10">
      <c r="A145">
        <v>144</v>
      </c>
      <c r="B145">
        <v>-2.3486560399999998</v>
      </c>
      <c r="C145">
        <v>34.049895020000001</v>
      </c>
      <c r="D145">
        <v>1250.1199999999999</v>
      </c>
      <c r="E145" t="s">
        <v>3316</v>
      </c>
      <c r="F145">
        <v>688</v>
      </c>
      <c r="G145" t="s">
        <v>3269</v>
      </c>
      <c r="H145" t="s">
        <v>3204</v>
      </c>
      <c r="I145" t="s">
        <v>2244</v>
      </c>
      <c r="J145" t="s">
        <v>2366</v>
      </c>
    </row>
    <row r="146" spans="1:10">
      <c r="A146">
        <v>145</v>
      </c>
      <c r="B146">
        <v>-2.3675269729999999</v>
      </c>
      <c r="C146">
        <v>34.06035799</v>
      </c>
      <c r="D146">
        <v>1270.83</v>
      </c>
      <c r="E146" t="s">
        <v>3317</v>
      </c>
      <c r="F146">
        <v>698</v>
      </c>
      <c r="G146" t="s">
        <v>3269</v>
      </c>
      <c r="H146" t="s">
        <v>3204</v>
      </c>
      <c r="I146" t="s">
        <v>2256</v>
      </c>
      <c r="J146" t="s">
        <v>2367</v>
      </c>
    </row>
    <row r="147" spans="1:10">
      <c r="A147">
        <v>146</v>
      </c>
      <c r="B147">
        <v>-2.3675380370000001</v>
      </c>
      <c r="C147">
        <v>34.060381960000001</v>
      </c>
      <c r="D147">
        <v>1270.51</v>
      </c>
      <c r="E147" t="s">
        <v>3318</v>
      </c>
      <c r="F147">
        <v>699</v>
      </c>
      <c r="G147" t="s">
        <v>3269</v>
      </c>
      <c r="H147" t="s">
        <v>3204</v>
      </c>
      <c r="I147" t="s">
        <v>2256</v>
      </c>
      <c r="J147" t="s">
        <v>2368</v>
      </c>
    </row>
    <row r="148" spans="1:10">
      <c r="A148">
        <v>147</v>
      </c>
      <c r="B148">
        <v>-2.3675780180000001</v>
      </c>
      <c r="C148">
        <v>34.060323029999999</v>
      </c>
      <c r="D148">
        <v>1271.56</v>
      </c>
      <c r="E148" t="s">
        <v>3319</v>
      </c>
      <c r="F148">
        <v>700</v>
      </c>
      <c r="G148" t="s">
        <v>3269</v>
      </c>
      <c r="H148" t="s">
        <v>3204</v>
      </c>
      <c r="I148" t="s">
        <v>2256</v>
      </c>
      <c r="J148" t="s">
        <v>2369</v>
      </c>
    </row>
    <row r="149" spans="1:10">
      <c r="A149">
        <v>148</v>
      </c>
      <c r="B149">
        <v>-2.3676269689999998</v>
      </c>
      <c r="C149">
        <v>34.060310960000002</v>
      </c>
      <c r="D149">
        <v>1272.3699999999999</v>
      </c>
      <c r="E149" t="s">
        <v>3320</v>
      </c>
      <c r="F149">
        <v>701</v>
      </c>
      <c r="G149" t="s">
        <v>3269</v>
      </c>
      <c r="H149" t="s">
        <v>3204</v>
      </c>
      <c r="I149" t="s">
        <v>2256</v>
      </c>
      <c r="J149" t="s">
        <v>2370</v>
      </c>
    </row>
    <row r="150" spans="1:10">
      <c r="A150">
        <v>149</v>
      </c>
      <c r="B150">
        <v>-2.3677179960000001</v>
      </c>
      <c r="C150">
        <v>34.060324960000003</v>
      </c>
      <c r="D150">
        <v>1273.93</v>
      </c>
      <c r="E150" t="s">
        <v>3321</v>
      </c>
      <c r="F150">
        <v>702</v>
      </c>
      <c r="G150" t="s">
        <v>3269</v>
      </c>
      <c r="H150" t="s">
        <v>3204</v>
      </c>
      <c r="I150" t="s">
        <v>2256</v>
      </c>
      <c r="J150" t="s">
        <v>2371</v>
      </c>
    </row>
    <row r="151" spans="1:10">
      <c r="A151">
        <v>150</v>
      </c>
      <c r="B151">
        <v>-2.3675230329999999</v>
      </c>
      <c r="C151">
        <v>34.060512969999998</v>
      </c>
      <c r="D151">
        <v>1273.8599999999999</v>
      </c>
      <c r="E151" t="s">
        <v>3322</v>
      </c>
      <c r="F151">
        <v>703</v>
      </c>
      <c r="G151" t="s">
        <v>3269</v>
      </c>
      <c r="H151" t="s">
        <v>3204</v>
      </c>
      <c r="I151" t="s">
        <v>2256</v>
      </c>
      <c r="J151" t="s">
        <v>2372</v>
      </c>
    </row>
    <row r="152" spans="1:10">
      <c r="A152">
        <v>151</v>
      </c>
      <c r="B152">
        <v>-2.3673460070000001</v>
      </c>
      <c r="C152">
        <v>34.060310039999997</v>
      </c>
      <c r="D152">
        <v>1273.53</v>
      </c>
      <c r="E152" t="s">
        <v>3323</v>
      </c>
      <c r="F152">
        <v>704</v>
      </c>
      <c r="G152" t="s">
        <v>3269</v>
      </c>
      <c r="H152" t="s">
        <v>3204</v>
      </c>
      <c r="I152" t="s">
        <v>2256</v>
      </c>
      <c r="J152" t="s">
        <v>2373</v>
      </c>
    </row>
    <row r="153" spans="1:10">
      <c r="A153">
        <v>152</v>
      </c>
      <c r="B153">
        <v>-2.367543988</v>
      </c>
      <c r="C153">
        <v>34.060168969999999</v>
      </c>
      <c r="D153">
        <v>1274.44</v>
      </c>
      <c r="E153" t="s">
        <v>3324</v>
      </c>
      <c r="F153">
        <v>705</v>
      </c>
      <c r="G153" t="s">
        <v>3269</v>
      </c>
      <c r="H153" t="s">
        <v>3204</v>
      </c>
      <c r="I153" t="s">
        <v>2256</v>
      </c>
      <c r="J153" t="s">
        <v>2374</v>
      </c>
    </row>
    <row r="154" spans="1:10">
      <c r="A154">
        <v>153</v>
      </c>
      <c r="B154">
        <v>-2.3676780150000001</v>
      </c>
      <c r="C154">
        <v>34.05937797</v>
      </c>
      <c r="D154">
        <v>1276.1400000000001</v>
      </c>
      <c r="E154" t="s">
        <v>3325</v>
      </c>
      <c r="F154">
        <v>710</v>
      </c>
      <c r="G154" t="s">
        <v>3269</v>
      </c>
      <c r="H154" t="s">
        <v>3204</v>
      </c>
      <c r="I154" t="s">
        <v>2265</v>
      </c>
      <c r="J154" t="s">
        <v>2376</v>
      </c>
    </row>
    <row r="155" spans="1:10">
      <c r="A155">
        <v>154</v>
      </c>
      <c r="B155">
        <v>-2.3677299820000002</v>
      </c>
      <c r="C155">
        <v>34.059351990000003</v>
      </c>
      <c r="D155">
        <v>1276.32</v>
      </c>
      <c r="E155" t="s">
        <v>3326</v>
      </c>
      <c r="F155">
        <v>711</v>
      </c>
      <c r="G155" t="s">
        <v>3269</v>
      </c>
      <c r="H155" t="s">
        <v>3204</v>
      </c>
      <c r="I155" t="s">
        <v>2265</v>
      </c>
      <c r="J155" t="s">
        <v>2377</v>
      </c>
    </row>
    <row r="156" spans="1:10">
      <c r="A156">
        <v>155</v>
      </c>
      <c r="B156">
        <v>-2.3677119609999999</v>
      </c>
      <c r="C156">
        <v>34.059339000000001</v>
      </c>
      <c r="D156">
        <v>1275.6300000000001</v>
      </c>
      <c r="E156" t="s">
        <v>3327</v>
      </c>
      <c r="F156">
        <v>712</v>
      </c>
      <c r="G156" t="s">
        <v>3269</v>
      </c>
      <c r="H156" t="s">
        <v>3204</v>
      </c>
      <c r="I156" t="s">
        <v>2265</v>
      </c>
      <c r="J156" t="s">
        <v>2378</v>
      </c>
    </row>
    <row r="157" spans="1:10">
      <c r="A157">
        <v>156</v>
      </c>
      <c r="B157">
        <v>-2.3676950300000001</v>
      </c>
      <c r="C157">
        <v>34.059499010000003</v>
      </c>
      <c r="D157">
        <v>1276.29</v>
      </c>
      <c r="E157" t="s">
        <v>3328</v>
      </c>
      <c r="F157">
        <v>713</v>
      </c>
      <c r="G157" t="s">
        <v>3269</v>
      </c>
      <c r="H157" t="s">
        <v>3204</v>
      </c>
      <c r="I157" t="s">
        <v>2265</v>
      </c>
      <c r="J157" t="s">
        <v>2379</v>
      </c>
    </row>
    <row r="158" spans="1:10">
      <c r="A158">
        <v>157</v>
      </c>
      <c r="B158">
        <v>-2.3678019830000001</v>
      </c>
      <c r="C158">
        <v>34.059521969999999</v>
      </c>
      <c r="D158">
        <v>1276</v>
      </c>
      <c r="E158" t="s">
        <v>3329</v>
      </c>
      <c r="F158">
        <v>714</v>
      </c>
      <c r="G158" t="s">
        <v>3269</v>
      </c>
      <c r="H158" t="s">
        <v>3204</v>
      </c>
      <c r="I158" t="s">
        <v>2265</v>
      </c>
      <c r="J158" t="s">
        <v>2381</v>
      </c>
    </row>
    <row r="159" spans="1:10">
      <c r="A159">
        <v>158</v>
      </c>
      <c r="B159">
        <v>-2.3679270410000002</v>
      </c>
      <c r="C159">
        <v>34.059300020000002</v>
      </c>
      <c r="D159">
        <v>1276.23</v>
      </c>
      <c r="E159" t="s">
        <v>3330</v>
      </c>
      <c r="F159">
        <v>715</v>
      </c>
      <c r="G159" t="s">
        <v>3269</v>
      </c>
      <c r="H159" t="s">
        <v>3204</v>
      </c>
      <c r="I159" t="s">
        <v>2265</v>
      </c>
      <c r="J159" t="s">
        <v>2382</v>
      </c>
    </row>
    <row r="160" spans="1:10">
      <c r="A160">
        <v>159</v>
      </c>
      <c r="B160">
        <v>-2.3676829599999998</v>
      </c>
      <c r="C160">
        <v>34.059236990000002</v>
      </c>
      <c r="D160">
        <v>1276.3399999999999</v>
      </c>
      <c r="E160" t="s">
        <v>3331</v>
      </c>
      <c r="F160">
        <v>716</v>
      </c>
      <c r="G160" t="s">
        <v>3269</v>
      </c>
      <c r="H160" t="s">
        <v>3204</v>
      </c>
      <c r="I160" t="s">
        <v>2265</v>
      </c>
      <c r="J160" t="s">
        <v>2383</v>
      </c>
    </row>
    <row r="161" spans="1:10">
      <c r="A161">
        <v>160</v>
      </c>
      <c r="B161">
        <v>-2.367547005</v>
      </c>
      <c r="C161">
        <v>34.059494989999997</v>
      </c>
      <c r="D161">
        <v>1276.02</v>
      </c>
      <c r="E161" t="s">
        <v>3332</v>
      </c>
      <c r="F161">
        <v>717</v>
      </c>
      <c r="G161" t="s">
        <v>3269</v>
      </c>
      <c r="H161" t="s">
        <v>3204</v>
      </c>
      <c r="I161" t="s">
        <v>2265</v>
      </c>
      <c r="J161" t="s">
        <v>2384</v>
      </c>
    </row>
    <row r="162" spans="1:10">
      <c r="A162">
        <v>161</v>
      </c>
      <c r="B162">
        <v>-2.272751033</v>
      </c>
      <c r="C162">
        <v>34.023176030000002</v>
      </c>
      <c r="D162">
        <v>1200.48</v>
      </c>
      <c r="E162" t="s">
        <v>3333</v>
      </c>
      <c r="F162">
        <v>756</v>
      </c>
      <c r="G162" t="s">
        <v>3334</v>
      </c>
      <c r="H162" t="s">
        <v>3236</v>
      </c>
      <c r="I162" t="s">
        <v>2278</v>
      </c>
      <c r="J162" t="s">
        <v>2386</v>
      </c>
    </row>
    <row r="163" spans="1:10">
      <c r="A163">
        <v>162</v>
      </c>
      <c r="B163">
        <v>-2.2727060219999999</v>
      </c>
      <c r="C163">
        <v>34.023162030000002</v>
      </c>
      <c r="D163">
        <v>1199.6099999999999</v>
      </c>
      <c r="E163" t="s">
        <v>3335</v>
      </c>
      <c r="F163">
        <v>757</v>
      </c>
      <c r="G163" t="s">
        <v>3334</v>
      </c>
      <c r="H163" t="s">
        <v>3236</v>
      </c>
      <c r="I163" t="s">
        <v>2278</v>
      </c>
      <c r="J163" t="s">
        <v>2387</v>
      </c>
    </row>
    <row r="164" spans="1:10">
      <c r="A164">
        <v>163</v>
      </c>
      <c r="B164">
        <v>-2.2726719919999998</v>
      </c>
      <c r="C164">
        <v>34.023210980000002</v>
      </c>
      <c r="D164">
        <v>1201.3499999999999</v>
      </c>
      <c r="E164" t="s">
        <v>3336</v>
      </c>
      <c r="F164">
        <v>758</v>
      </c>
      <c r="G164" t="s">
        <v>3334</v>
      </c>
      <c r="H164" t="s">
        <v>3236</v>
      </c>
      <c r="I164" t="s">
        <v>2278</v>
      </c>
      <c r="J164" t="s">
        <v>2388</v>
      </c>
    </row>
    <row r="165" spans="1:10">
      <c r="A165">
        <v>164</v>
      </c>
      <c r="B165">
        <v>-2.2726180130000002</v>
      </c>
      <c r="C165">
        <v>34.023212999999998</v>
      </c>
      <c r="D165">
        <v>1201.78</v>
      </c>
      <c r="E165" t="s">
        <v>3337</v>
      </c>
      <c r="F165">
        <v>759</v>
      </c>
      <c r="G165" t="s">
        <v>3334</v>
      </c>
      <c r="H165" t="s">
        <v>3236</v>
      </c>
      <c r="I165" t="s">
        <v>2278</v>
      </c>
      <c r="J165" t="s">
        <v>2389</v>
      </c>
    </row>
    <row r="166" spans="1:10">
      <c r="A166">
        <v>165</v>
      </c>
      <c r="B166">
        <v>-2.2724750170000001</v>
      </c>
      <c r="C166">
        <v>34.02334501</v>
      </c>
      <c r="D166">
        <v>1201.1099999999999</v>
      </c>
      <c r="E166" t="s">
        <v>3338</v>
      </c>
      <c r="F166">
        <v>760</v>
      </c>
      <c r="G166" t="s">
        <v>3334</v>
      </c>
      <c r="H166" t="s">
        <v>3236</v>
      </c>
      <c r="I166" t="s">
        <v>2278</v>
      </c>
      <c r="J166" t="s">
        <v>2390</v>
      </c>
    </row>
    <row r="167" spans="1:10">
      <c r="A167">
        <v>166</v>
      </c>
      <c r="B167">
        <v>-2.2725490289999999</v>
      </c>
      <c r="C167">
        <v>34.022886020000001</v>
      </c>
      <c r="D167">
        <v>1201.5999999999999</v>
      </c>
      <c r="E167" t="s">
        <v>3339</v>
      </c>
      <c r="F167">
        <v>761</v>
      </c>
      <c r="G167" t="s">
        <v>3334</v>
      </c>
      <c r="H167" t="s">
        <v>3236</v>
      </c>
      <c r="I167" t="s">
        <v>2278</v>
      </c>
      <c r="J167" t="s">
        <v>2391</v>
      </c>
    </row>
    <row r="168" spans="1:10">
      <c r="A168">
        <v>167</v>
      </c>
      <c r="B168">
        <v>-2.2729950310000002</v>
      </c>
      <c r="C168">
        <v>34.022923990000002</v>
      </c>
      <c r="D168">
        <v>1202.05</v>
      </c>
      <c r="E168" t="s">
        <v>3340</v>
      </c>
      <c r="F168">
        <v>762</v>
      </c>
      <c r="G168" t="s">
        <v>3334</v>
      </c>
      <c r="H168" t="s">
        <v>3236</v>
      </c>
      <c r="I168" t="s">
        <v>2278</v>
      </c>
      <c r="J168" t="s">
        <v>2393</v>
      </c>
    </row>
    <row r="169" spans="1:10">
      <c r="A169">
        <v>168</v>
      </c>
      <c r="B169">
        <v>-2.2729129719999999</v>
      </c>
      <c r="C169">
        <v>34.023350039999997</v>
      </c>
      <c r="D169">
        <v>1202.24</v>
      </c>
      <c r="E169" t="s">
        <v>3341</v>
      </c>
      <c r="F169">
        <v>763</v>
      </c>
      <c r="G169" t="s">
        <v>3334</v>
      </c>
      <c r="H169" t="s">
        <v>3236</v>
      </c>
      <c r="I169" t="s">
        <v>2278</v>
      </c>
      <c r="J169" t="s">
        <v>2394</v>
      </c>
    </row>
    <row r="170" spans="1:10">
      <c r="A170">
        <v>169</v>
      </c>
      <c r="B170">
        <v>-2.2784290180000002</v>
      </c>
      <c r="C170">
        <v>34.024240030000001</v>
      </c>
      <c r="D170">
        <v>1203.58</v>
      </c>
      <c r="E170" t="s">
        <v>3342</v>
      </c>
      <c r="F170">
        <v>782</v>
      </c>
      <c r="G170" t="s">
        <v>3334</v>
      </c>
      <c r="H170" t="s">
        <v>3236</v>
      </c>
      <c r="I170" t="s">
        <v>2287</v>
      </c>
      <c r="J170" t="s">
        <v>2395</v>
      </c>
    </row>
    <row r="171" spans="1:10">
      <c r="A171">
        <v>170</v>
      </c>
      <c r="B171">
        <v>-2.2784629650000001</v>
      </c>
      <c r="C171">
        <v>34.024177999999999</v>
      </c>
      <c r="D171">
        <v>1203.0899999999999</v>
      </c>
      <c r="E171" t="s">
        <v>3343</v>
      </c>
      <c r="F171">
        <v>783</v>
      </c>
      <c r="G171" t="s">
        <v>3334</v>
      </c>
      <c r="H171" t="s">
        <v>3236</v>
      </c>
      <c r="I171" t="s">
        <v>2287</v>
      </c>
      <c r="J171" t="s">
        <v>2396</v>
      </c>
    </row>
    <row r="172" spans="1:10">
      <c r="A172">
        <v>171</v>
      </c>
      <c r="B172">
        <v>-2.2785389889999998</v>
      </c>
      <c r="C172">
        <v>34.024371039999998</v>
      </c>
      <c r="D172">
        <v>1201.67</v>
      </c>
      <c r="E172" t="s">
        <v>3344</v>
      </c>
      <c r="F172">
        <v>784</v>
      </c>
      <c r="G172" t="s">
        <v>3334</v>
      </c>
      <c r="H172" t="s">
        <v>3236</v>
      </c>
      <c r="I172" t="s">
        <v>2287</v>
      </c>
      <c r="J172" t="s">
        <v>2397</v>
      </c>
    </row>
    <row r="173" spans="1:10">
      <c r="A173">
        <v>172</v>
      </c>
      <c r="B173">
        <v>-2.2781410160000002</v>
      </c>
      <c r="C173">
        <v>34.024136009999999</v>
      </c>
      <c r="D173">
        <v>1203.08</v>
      </c>
      <c r="E173" t="s">
        <v>3345</v>
      </c>
      <c r="F173">
        <v>789</v>
      </c>
      <c r="G173" t="s">
        <v>3334</v>
      </c>
      <c r="H173" t="s">
        <v>3236</v>
      </c>
      <c r="I173" t="s">
        <v>2287</v>
      </c>
      <c r="J173" t="s">
        <v>2398</v>
      </c>
    </row>
    <row r="174" spans="1:10">
      <c r="A174">
        <v>173</v>
      </c>
      <c r="B174">
        <v>-2.27856799</v>
      </c>
      <c r="C174">
        <v>34.023969970000003</v>
      </c>
      <c r="D174">
        <v>1203.17</v>
      </c>
      <c r="E174" t="s">
        <v>3346</v>
      </c>
      <c r="F174">
        <v>790</v>
      </c>
      <c r="G174" t="s">
        <v>3334</v>
      </c>
      <c r="H174" t="s">
        <v>3236</v>
      </c>
      <c r="I174" t="s">
        <v>2287</v>
      </c>
      <c r="J174" t="s">
        <v>2399</v>
      </c>
    </row>
    <row r="175" spans="1:10">
      <c r="A175">
        <v>174</v>
      </c>
      <c r="B175">
        <v>-2.2786809780000001</v>
      </c>
      <c r="C175">
        <v>34.02434899</v>
      </c>
      <c r="D175">
        <v>1202.44</v>
      </c>
      <c r="E175" t="s">
        <v>3347</v>
      </c>
      <c r="F175">
        <v>791</v>
      </c>
      <c r="G175" t="s">
        <v>3334</v>
      </c>
      <c r="H175" t="s">
        <v>3236</v>
      </c>
      <c r="I175" t="s">
        <v>2287</v>
      </c>
      <c r="J175" t="s">
        <v>2400</v>
      </c>
    </row>
    <row r="176" spans="1:10">
      <c r="A176">
        <v>175</v>
      </c>
      <c r="B176">
        <v>-2.2784219779999999</v>
      </c>
      <c r="C176">
        <v>34.024374979999997</v>
      </c>
      <c r="D176">
        <v>1202.94</v>
      </c>
      <c r="E176" t="s">
        <v>3348</v>
      </c>
      <c r="F176">
        <v>792</v>
      </c>
      <c r="G176" t="s">
        <v>3334</v>
      </c>
      <c r="H176" t="s">
        <v>3236</v>
      </c>
      <c r="I176" t="s">
        <v>2287</v>
      </c>
      <c r="J176" t="s">
        <v>2401</v>
      </c>
    </row>
    <row r="177" spans="1:10">
      <c r="A177">
        <v>176</v>
      </c>
      <c r="B177">
        <v>-2.2782909679999999</v>
      </c>
      <c r="C177">
        <v>34.024574970000003</v>
      </c>
      <c r="D177">
        <v>1202.8900000000001</v>
      </c>
      <c r="E177" t="s">
        <v>3349</v>
      </c>
      <c r="F177">
        <v>793</v>
      </c>
      <c r="G177" t="s">
        <v>3334</v>
      </c>
      <c r="H177" t="s">
        <v>3236</v>
      </c>
      <c r="I177" t="s">
        <v>2287</v>
      </c>
      <c r="J177" t="s">
        <v>2402</v>
      </c>
    </row>
    <row r="178" spans="1:10">
      <c r="A178">
        <v>177</v>
      </c>
      <c r="B178">
        <v>-2.277740026</v>
      </c>
      <c r="C178">
        <v>34.027640990000002</v>
      </c>
      <c r="D178">
        <v>1206.94</v>
      </c>
      <c r="E178" t="s">
        <v>3350</v>
      </c>
      <c r="F178">
        <v>794</v>
      </c>
      <c r="G178" t="s">
        <v>3334</v>
      </c>
      <c r="H178" t="s">
        <v>3236</v>
      </c>
      <c r="I178" t="s">
        <v>2296</v>
      </c>
      <c r="J178" t="s">
        <v>2403</v>
      </c>
    </row>
    <row r="179" spans="1:10">
      <c r="A179">
        <v>178</v>
      </c>
      <c r="B179">
        <v>-2.2777889760000001</v>
      </c>
      <c r="C179">
        <v>34.027664960000003</v>
      </c>
      <c r="D179">
        <v>1207.06</v>
      </c>
      <c r="E179" t="s">
        <v>3351</v>
      </c>
      <c r="F179">
        <v>795</v>
      </c>
      <c r="G179" t="s">
        <v>3334</v>
      </c>
      <c r="H179" t="s">
        <v>3236</v>
      </c>
      <c r="I179" t="s">
        <v>2296</v>
      </c>
      <c r="J179" t="s">
        <v>2404</v>
      </c>
    </row>
    <row r="180" spans="1:10">
      <c r="A180">
        <v>179</v>
      </c>
      <c r="B180">
        <v>-2.2778579589999999</v>
      </c>
      <c r="C180">
        <v>34.027682980000002</v>
      </c>
      <c r="D180">
        <v>1206.43</v>
      </c>
      <c r="E180" t="s">
        <v>3352</v>
      </c>
      <c r="F180">
        <v>796</v>
      </c>
      <c r="G180" t="s">
        <v>3334</v>
      </c>
      <c r="H180" t="s">
        <v>3236</v>
      </c>
      <c r="I180" t="s">
        <v>2296</v>
      </c>
      <c r="J180" t="s">
        <v>2405</v>
      </c>
    </row>
    <row r="181" spans="1:10">
      <c r="A181">
        <v>180</v>
      </c>
      <c r="B181">
        <v>-2.2780199809999999</v>
      </c>
      <c r="C181">
        <v>34.027705019999999</v>
      </c>
      <c r="D181">
        <v>1206.06</v>
      </c>
      <c r="E181" t="s">
        <v>3353</v>
      </c>
      <c r="F181">
        <v>797</v>
      </c>
      <c r="G181" t="s">
        <v>3334</v>
      </c>
      <c r="H181" t="s">
        <v>3236</v>
      </c>
      <c r="I181" t="s">
        <v>2296</v>
      </c>
      <c r="J181" t="s">
        <v>2406</v>
      </c>
    </row>
    <row r="182" spans="1:10">
      <c r="A182">
        <v>181</v>
      </c>
      <c r="B182">
        <v>-2.2777329850000001</v>
      </c>
      <c r="C182">
        <v>34.027422970000003</v>
      </c>
      <c r="D182">
        <v>1207.9000000000001</v>
      </c>
      <c r="E182" t="s">
        <v>3354</v>
      </c>
      <c r="F182">
        <v>798</v>
      </c>
      <c r="G182" t="s">
        <v>3334</v>
      </c>
      <c r="H182" t="s">
        <v>3236</v>
      </c>
      <c r="I182" t="s">
        <v>2296</v>
      </c>
      <c r="J182" t="s">
        <v>2407</v>
      </c>
    </row>
    <row r="183" spans="1:10">
      <c r="A183">
        <v>182</v>
      </c>
      <c r="B183">
        <v>-2.2777009659999998</v>
      </c>
      <c r="C183">
        <v>34.027393969999999</v>
      </c>
      <c r="D183">
        <v>1209.23</v>
      </c>
      <c r="E183" t="s">
        <v>3355</v>
      </c>
      <c r="F183">
        <v>799</v>
      </c>
      <c r="G183" t="s">
        <v>3334</v>
      </c>
      <c r="H183" t="s">
        <v>3236</v>
      </c>
      <c r="I183" t="s">
        <v>2296</v>
      </c>
      <c r="J183" t="s">
        <v>2408</v>
      </c>
    </row>
    <row r="184" spans="1:10">
      <c r="A184">
        <v>183</v>
      </c>
      <c r="B184">
        <v>-2.2777790019999999</v>
      </c>
      <c r="C184">
        <v>34.028066029999998</v>
      </c>
      <c r="D184">
        <v>1207.52</v>
      </c>
      <c r="E184" t="s">
        <v>3356</v>
      </c>
      <c r="F184">
        <v>800</v>
      </c>
      <c r="G184" t="s">
        <v>3334</v>
      </c>
      <c r="H184" t="s">
        <v>3236</v>
      </c>
      <c r="I184" t="s">
        <v>2296</v>
      </c>
      <c r="J184" t="s">
        <v>2409</v>
      </c>
    </row>
    <row r="185" spans="1:10">
      <c r="A185">
        <v>184</v>
      </c>
      <c r="B185">
        <v>-2.2775169829999999</v>
      </c>
      <c r="C185">
        <v>34.027766970000002</v>
      </c>
      <c r="D185">
        <v>1206.52</v>
      </c>
      <c r="E185" t="s">
        <v>3357</v>
      </c>
      <c r="F185">
        <v>801</v>
      </c>
      <c r="G185" t="s">
        <v>3334</v>
      </c>
      <c r="H185" t="s">
        <v>3236</v>
      </c>
      <c r="I185" t="s">
        <v>2296</v>
      </c>
      <c r="J185" t="s">
        <v>2410</v>
      </c>
    </row>
    <row r="186" spans="1:10">
      <c r="A186">
        <v>185</v>
      </c>
      <c r="B186">
        <v>-2.2787330300000002</v>
      </c>
      <c r="C186">
        <v>34.032136029999997</v>
      </c>
      <c r="D186">
        <v>1205.32</v>
      </c>
      <c r="E186" t="s">
        <v>3358</v>
      </c>
      <c r="F186">
        <v>802</v>
      </c>
      <c r="G186" t="s">
        <v>3334</v>
      </c>
      <c r="H186" t="s">
        <v>3236</v>
      </c>
      <c r="I186" t="s">
        <v>2306</v>
      </c>
      <c r="J186" t="s">
        <v>2412</v>
      </c>
    </row>
    <row r="187" spans="1:10">
      <c r="A187">
        <v>186</v>
      </c>
      <c r="B187">
        <v>-2.278763037</v>
      </c>
      <c r="C187">
        <v>34.031974009999999</v>
      </c>
      <c r="D187">
        <v>1203.8599999999999</v>
      </c>
      <c r="E187" t="s">
        <v>3359</v>
      </c>
      <c r="F187">
        <v>803</v>
      </c>
      <c r="G187" t="s">
        <v>3334</v>
      </c>
      <c r="H187" t="s">
        <v>3236</v>
      </c>
      <c r="I187" t="s">
        <v>2306</v>
      </c>
      <c r="J187" t="s">
        <v>2413</v>
      </c>
    </row>
    <row r="188" spans="1:10">
      <c r="A188">
        <v>187</v>
      </c>
      <c r="B188">
        <v>-2.2785890289999999</v>
      </c>
      <c r="C188">
        <v>34.031841999999997</v>
      </c>
      <c r="D188">
        <v>1202.97</v>
      </c>
      <c r="E188" t="s">
        <v>3360</v>
      </c>
      <c r="F188">
        <v>804</v>
      </c>
      <c r="G188" t="s">
        <v>3334</v>
      </c>
      <c r="H188" t="s">
        <v>3236</v>
      </c>
      <c r="I188" t="s">
        <v>2306</v>
      </c>
      <c r="J188" t="s">
        <v>2414</v>
      </c>
    </row>
    <row r="189" spans="1:10">
      <c r="A189">
        <v>188</v>
      </c>
      <c r="B189">
        <v>-2.278422983</v>
      </c>
      <c r="C189">
        <v>34.032261009999999</v>
      </c>
      <c r="D189">
        <v>1201.18</v>
      </c>
      <c r="E189" t="s">
        <v>3361</v>
      </c>
      <c r="F189">
        <v>805</v>
      </c>
      <c r="G189" t="s">
        <v>3334</v>
      </c>
      <c r="H189" t="s">
        <v>3236</v>
      </c>
      <c r="I189" t="s">
        <v>2306</v>
      </c>
      <c r="J189" t="s">
        <v>2415</v>
      </c>
    </row>
    <row r="190" spans="1:10">
      <c r="A190">
        <v>189</v>
      </c>
      <c r="B190">
        <v>-2.2787580080000001</v>
      </c>
      <c r="C190">
        <v>34.032463010000001</v>
      </c>
      <c r="D190">
        <v>1200.18</v>
      </c>
      <c r="E190" t="s">
        <v>3362</v>
      </c>
      <c r="F190">
        <v>806</v>
      </c>
      <c r="G190" t="s">
        <v>3334</v>
      </c>
      <c r="H190" t="s">
        <v>3236</v>
      </c>
      <c r="I190" t="s">
        <v>2306</v>
      </c>
      <c r="J190" t="s">
        <v>2417</v>
      </c>
    </row>
    <row r="191" spans="1:10">
      <c r="A191">
        <v>190</v>
      </c>
      <c r="B191">
        <v>-2.2787559960000001</v>
      </c>
      <c r="C191">
        <v>34.032268969999997</v>
      </c>
      <c r="D191">
        <v>1200.21</v>
      </c>
      <c r="E191" t="s">
        <v>3363</v>
      </c>
      <c r="F191">
        <v>807</v>
      </c>
      <c r="G191" t="s">
        <v>3334</v>
      </c>
      <c r="H191" t="s">
        <v>3236</v>
      </c>
      <c r="I191" t="s">
        <v>2306</v>
      </c>
      <c r="J191" t="s">
        <v>2418</v>
      </c>
    </row>
    <row r="192" spans="1:10">
      <c r="A192">
        <v>191</v>
      </c>
      <c r="B192">
        <v>-2.278704029</v>
      </c>
      <c r="C192">
        <v>34.032182970000001</v>
      </c>
      <c r="D192">
        <v>1198.98</v>
      </c>
      <c r="E192" t="s">
        <v>3364</v>
      </c>
      <c r="F192">
        <v>808</v>
      </c>
      <c r="G192" t="s">
        <v>3334</v>
      </c>
      <c r="H192" t="s">
        <v>3236</v>
      </c>
      <c r="I192" t="s">
        <v>2306</v>
      </c>
      <c r="J192" t="s">
        <v>2419</v>
      </c>
    </row>
    <row r="193" spans="1:10">
      <c r="A193">
        <v>192</v>
      </c>
      <c r="B193">
        <v>-2.2789770269999998</v>
      </c>
      <c r="C193">
        <v>34.032051039999999</v>
      </c>
      <c r="D193">
        <v>1199.46</v>
      </c>
      <c r="E193" t="s">
        <v>3365</v>
      </c>
      <c r="F193">
        <v>809</v>
      </c>
      <c r="G193" t="s">
        <v>3334</v>
      </c>
      <c r="H193" t="s">
        <v>3236</v>
      </c>
      <c r="I193" t="s">
        <v>2306</v>
      </c>
      <c r="J193" t="s">
        <v>2420</v>
      </c>
    </row>
    <row r="194" spans="1:10">
      <c r="A194">
        <v>193</v>
      </c>
      <c r="B194">
        <v>-2.4396949910000001</v>
      </c>
      <c r="C194">
        <v>34.838574029999997</v>
      </c>
      <c r="D194">
        <v>1522.43</v>
      </c>
      <c r="E194" t="s">
        <v>3366</v>
      </c>
      <c r="F194">
        <v>933</v>
      </c>
      <c r="G194" t="s">
        <v>3367</v>
      </c>
      <c r="H194" t="s">
        <v>3368</v>
      </c>
      <c r="I194" t="s">
        <v>2504</v>
      </c>
      <c r="J194" t="s">
        <v>3369</v>
      </c>
    </row>
    <row r="195" spans="1:10">
      <c r="A195">
        <v>194</v>
      </c>
      <c r="B195">
        <v>-2.4395990190000001</v>
      </c>
      <c r="C195">
        <v>34.838418959999998</v>
      </c>
      <c r="D195">
        <v>1526.04</v>
      </c>
      <c r="E195" t="s">
        <v>3370</v>
      </c>
      <c r="F195">
        <v>929</v>
      </c>
      <c r="G195" t="s">
        <v>3367</v>
      </c>
      <c r="H195" t="s">
        <v>3368</v>
      </c>
      <c r="I195" t="s">
        <v>2504</v>
      </c>
      <c r="J195" t="s">
        <v>3371</v>
      </c>
    </row>
    <row r="196" spans="1:10">
      <c r="A196">
        <v>195</v>
      </c>
      <c r="B196">
        <v>-2.439403972</v>
      </c>
      <c r="C196">
        <v>34.838404959999998</v>
      </c>
      <c r="D196">
        <v>1521.01</v>
      </c>
      <c r="E196" t="s">
        <v>3372</v>
      </c>
      <c r="F196">
        <v>934</v>
      </c>
      <c r="G196" t="s">
        <v>3367</v>
      </c>
      <c r="H196" t="s">
        <v>3368</v>
      </c>
      <c r="I196" t="s">
        <v>2504</v>
      </c>
      <c r="J196" t="s">
        <v>3373</v>
      </c>
    </row>
    <row r="197" spans="1:10">
      <c r="A197">
        <v>196</v>
      </c>
      <c r="B197">
        <v>-2.4396450349999999</v>
      </c>
      <c r="C197">
        <v>34.83836599</v>
      </c>
      <c r="D197">
        <v>1519.4</v>
      </c>
      <c r="E197" t="s">
        <v>3374</v>
      </c>
      <c r="F197">
        <v>935</v>
      </c>
      <c r="G197" t="s">
        <v>3367</v>
      </c>
      <c r="H197" t="s">
        <v>3368</v>
      </c>
      <c r="I197" t="s">
        <v>2504</v>
      </c>
      <c r="J197" t="s">
        <v>3375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33" t="s">
        <v>2643</v>
      </c>
      <c r="B1" s="233" t="s">
        <v>2665</v>
      </c>
      <c r="C1" s="233" t="s">
        <v>2648</v>
      </c>
      <c r="D1" s="233" t="s">
        <v>2676</v>
      </c>
      <c r="E1" s="233" t="s">
        <v>2641</v>
      </c>
      <c r="F1" s="233" t="s">
        <v>2668</v>
      </c>
      <c r="G1" s="234" t="s">
        <v>2677</v>
      </c>
      <c r="H1" s="234" t="s">
        <v>2678</v>
      </c>
      <c r="I1" s="234" t="s">
        <v>2679</v>
      </c>
      <c r="J1" s="233" t="s">
        <v>2669</v>
      </c>
      <c r="K1" s="233" t="s">
        <v>2680</v>
      </c>
      <c r="L1" s="229"/>
    </row>
    <row r="2" spans="1:13">
      <c r="A2" s="233" t="s">
        <v>2176</v>
      </c>
      <c r="B2" s="233" t="s">
        <v>2659</v>
      </c>
      <c r="C2" s="233" t="s">
        <v>20</v>
      </c>
      <c r="D2" s="233">
        <v>2</v>
      </c>
      <c r="E2" s="233">
        <v>1</v>
      </c>
      <c r="F2" s="230">
        <v>678</v>
      </c>
      <c r="G2" s="231">
        <v>23.96</v>
      </c>
      <c r="H2" s="231">
        <v>0.91999999999999804</v>
      </c>
      <c r="I2" s="231">
        <v>75.12</v>
      </c>
      <c r="J2" s="232" t="s">
        <v>2670</v>
      </c>
      <c r="K2" s="231">
        <v>1.2493839329719072</v>
      </c>
      <c r="L2" s="231"/>
      <c r="M2" s="231"/>
    </row>
    <row r="3" spans="1:13">
      <c r="A3" s="233" t="s">
        <v>2176</v>
      </c>
      <c r="B3" s="233" t="s">
        <v>2659</v>
      </c>
      <c r="C3" s="233" t="s">
        <v>20</v>
      </c>
      <c r="D3" s="233">
        <v>3</v>
      </c>
      <c r="E3" s="233">
        <v>2</v>
      </c>
      <c r="F3" s="230">
        <v>679</v>
      </c>
      <c r="G3" s="231">
        <v>19.96</v>
      </c>
      <c r="H3" s="231">
        <v>4.9199999999999982</v>
      </c>
      <c r="I3" s="231">
        <v>75.12</v>
      </c>
      <c r="J3" s="232" t="s">
        <v>2671</v>
      </c>
      <c r="K3" s="231">
        <v>1.641498275012321</v>
      </c>
      <c r="L3" s="231"/>
      <c r="M3" s="231"/>
    </row>
    <row r="4" spans="1:13">
      <c r="A4" s="233" t="s">
        <v>2176</v>
      </c>
      <c r="B4" s="233" t="s">
        <v>2659</v>
      </c>
      <c r="C4" s="233" t="s">
        <v>20</v>
      </c>
      <c r="D4" s="233">
        <v>1</v>
      </c>
      <c r="E4" s="233">
        <v>3</v>
      </c>
      <c r="F4" s="230">
        <v>680</v>
      </c>
      <c r="G4" s="231">
        <v>21.96</v>
      </c>
      <c r="H4" s="231">
        <v>8.9199999999999982</v>
      </c>
      <c r="I4" s="231">
        <v>69.12</v>
      </c>
      <c r="J4" s="232" t="s">
        <v>2670</v>
      </c>
      <c r="K4" s="231">
        <v>1.7491375061606702</v>
      </c>
      <c r="L4" s="231"/>
      <c r="M4" s="231"/>
    </row>
    <row r="5" spans="1:13">
      <c r="A5" s="233" t="s">
        <v>2176</v>
      </c>
      <c r="B5" s="233" t="s">
        <v>2659</v>
      </c>
      <c r="C5" s="233" t="s">
        <v>20</v>
      </c>
      <c r="D5" s="233">
        <v>4</v>
      </c>
      <c r="E5" s="233">
        <v>4</v>
      </c>
      <c r="F5" s="230">
        <v>681</v>
      </c>
      <c r="G5" s="231">
        <v>25.96</v>
      </c>
      <c r="H5" s="231">
        <v>6.9200000000000008</v>
      </c>
      <c r="I5" s="231">
        <v>67.12</v>
      </c>
      <c r="J5" s="232" t="s">
        <v>2670</v>
      </c>
      <c r="K5" s="231">
        <v>1.7568260226712666</v>
      </c>
      <c r="L5" s="231"/>
      <c r="M5" s="231"/>
    </row>
    <row r="6" spans="1:13">
      <c r="A6" s="233" t="s">
        <v>2176</v>
      </c>
      <c r="B6" s="233" t="s">
        <v>2659</v>
      </c>
      <c r="C6" s="233" t="s">
        <v>2660</v>
      </c>
      <c r="D6" s="233">
        <v>1</v>
      </c>
      <c r="E6" s="233">
        <v>1</v>
      </c>
      <c r="F6" s="230">
        <v>682</v>
      </c>
      <c r="G6" s="231">
        <v>12.565665055683967</v>
      </c>
      <c r="H6" s="231">
        <v>0.9665896196679955</v>
      </c>
      <c r="I6" s="231">
        <v>86.467745324648035</v>
      </c>
      <c r="J6" s="232" t="s">
        <v>2672</v>
      </c>
      <c r="K6" s="231">
        <v>1.0225726959093147</v>
      </c>
      <c r="L6" s="231"/>
      <c r="M6" s="231"/>
    </row>
    <row r="7" spans="1:13">
      <c r="A7" s="233" t="s">
        <v>2176</v>
      </c>
      <c r="B7" s="233" t="s">
        <v>2659</v>
      </c>
      <c r="C7" s="233" t="s">
        <v>2660</v>
      </c>
      <c r="D7" s="233">
        <v>2</v>
      </c>
      <c r="E7" s="233">
        <v>2</v>
      </c>
      <c r="F7" s="230">
        <v>683</v>
      </c>
      <c r="G7" s="231">
        <v>21.13063730679653</v>
      </c>
      <c r="H7" s="231">
        <v>3.0912555579081076</v>
      </c>
      <c r="I7" s="231">
        <v>75.778107135295357</v>
      </c>
      <c r="J7" s="232" t="s">
        <v>2670</v>
      </c>
      <c r="K7" s="231">
        <v>0.46131099063578063</v>
      </c>
      <c r="L7" s="231"/>
      <c r="M7" s="231"/>
    </row>
    <row r="8" spans="1:13">
      <c r="A8" s="233" t="s">
        <v>2176</v>
      </c>
      <c r="B8" s="233" t="s">
        <v>2659</v>
      </c>
      <c r="C8" s="233" t="s">
        <v>2660</v>
      </c>
      <c r="D8" s="233">
        <v>3</v>
      </c>
      <c r="E8" s="233">
        <v>3</v>
      </c>
      <c r="F8" s="230">
        <v>684</v>
      </c>
      <c r="G8" s="231">
        <v>54.080969906906262</v>
      </c>
      <c r="H8" s="231">
        <v>21.264484651351896</v>
      </c>
      <c r="I8" s="231">
        <v>24.654545441741845</v>
      </c>
      <c r="J8" s="232" t="s">
        <v>2673</v>
      </c>
      <c r="K8" s="231">
        <v>1.8433218334154755</v>
      </c>
      <c r="L8" s="231"/>
      <c r="M8" s="231"/>
    </row>
    <row r="9" spans="1:13">
      <c r="A9" s="233" t="s">
        <v>2176</v>
      </c>
      <c r="B9" s="233" t="s">
        <v>2659</v>
      </c>
      <c r="C9" s="233" t="s">
        <v>2660</v>
      </c>
      <c r="D9" s="233">
        <v>4</v>
      </c>
      <c r="E9" s="233">
        <v>4</v>
      </c>
      <c r="F9" s="230">
        <v>685</v>
      </c>
      <c r="G9" s="231">
        <v>51.960000000000008</v>
      </c>
      <c r="H9" s="231">
        <v>18.919999999999995</v>
      </c>
      <c r="I9" s="231">
        <v>29.120000000000005</v>
      </c>
      <c r="J9" s="232" t="s">
        <v>2673</v>
      </c>
      <c r="K9" s="231">
        <v>1.85293247905372</v>
      </c>
      <c r="L9" s="231"/>
      <c r="M9" s="231"/>
    </row>
    <row r="10" spans="1:13">
      <c r="A10" s="233" t="s">
        <v>2276</v>
      </c>
      <c r="B10" s="233" t="s">
        <v>2659</v>
      </c>
      <c r="C10" s="233" t="s">
        <v>2661</v>
      </c>
      <c r="D10" s="233">
        <v>3</v>
      </c>
      <c r="E10" s="233">
        <v>1</v>
      </c>
      <c r="F10" s="230">
        <v>686</v>
      </c>
      <c r="G10" s="231">
        <v>47.96</v>
      </c>
      <c r="H10" s="231">
        <v>22.919999999999995</v>
      </c>
      <c r="I10" s="231">
        <v>29.120000000000012</v>
      </c>
      <c r="J10" s="232" t="s">
        <v>2673</v>
      </c>
      <c r="K10" s="231">
        <v>2.8831936914736325</v>
      </c>
      <c r="L10" s="231"/>
      <c r="M10" s="231"/>
    </row>
    <row r="11" spans="1:13">
      <c r="A11" s="233" t="s">
        <v>2276</v>
      </c>
      <c r="B11" s="233" t="s">
        <v>2659</v>
      </c>
      <c r="C11" s="233" t="s">
        <v>2661</v>
      </c>
      <c r="D11" s="233">
        <v>4</v>
      </c>
      <c r="E11" s="233">
        <v>2</v>
      </c>
      <c r="F11" s="230">
        <v>687</v>
      </c>
      <c r="G11" s="231">
        <v>45.272914521112256</v>
      </c>
      <c r="H11" s="231">
        <v>23.604531410916575</v>
      </c>
      <c r="I11" s="231">
        <v>31.122554067971166</v>
      </c>
      <c r="J11" s="232" t="s">
        <v>2673</v>
      </c>
      <c r="K11" s="231">
        <v>2.0547560374568752</v>
      </c>
      <c r="L11" s="231"/>
      <c r="M11" s="231"/>
    </row>
    <row r="12" spans="1:13">
      <c r="A12" s="233" t="s">
        <v>2276</v>
      </c>
      <c r="B12" s="233" t="s">
        <v>2659</v>
      </c>
      <c r="C12" s="233" t="s">
        <v>2661</v>
      </c>
      <c r="D12" s="233">
        <v>1</v>
      </c>
      <c r="E12" s="233">
        <v>3</v>
      </c>
      <c r="F12" s="230">
        <v>688</v>
      </c>
      <c r="G12" s="231">
        <v>38.691629007962128</v>
      </c>
      <c r="H12" s="231">
        <v>26.81299763288143</v>
      </c>
      <c r="I12" s="231">
        <v>34.495373359156439</v>
      </c>
      <c r="J12" s="232" t="s">
        <v>2675</v>
      </c>
      <c r="K12" s="231">
        <v>2.5483587974371611</v>
      </c>
      <c r="L12" s="231"/>
      <c r="M12" s="231"/>
    </row>
    <row r="13" spans="1:13">
      <c r="A13" s="233" t="s">
        <v>2276</v>
      </c>
      <c r="B13" s="233" t="s">
        <v>2659</v>
      </c>
      <c r="C13" s="233" t="s">
        <v>2661</v>
      </c>
      <c r="D13" s="233">
        <v>2</v>
      </c>
      <c r="E13" s="233">
        <v>4</v>
      </c>
      <c r="F13" s="230">
        <v>689</v>
      </c>
      <c r="G13" s="231">
        <v>28.145762029394</v>
      </c>
      <c r="H13" s="231">
        <v>25.085564727199518</v>
      </c>
      <c r="I13" s="231">
        <v>46.768673243406489</v>
      </c>
      <c r="J13" s="232" t="s">
        <v>2670</v>
      </c>
      <c r="K13" s="231">
        <v>2.1716214884179394</v>
      </c>
      <c r="L13" s="231"/>
      <c r="M13" s="231"/>
    </row>
    <row r="14" spans="1:13">
      <c r="A14" s="233" t="s">
        <v>2666</v>
      </c>
      <c r="B14" s="233" t="s">
        <v>2460</v>
      </c>
      <c r="C14" s="233" t="s">
        <v>20</v>
      </c>
      <c r="D14" s="233">
        <v>1</v>
      </c>
      <c r="E14" s="233">
        <v>1</v>
      </c>
      <c r="F14" s="230">
        <v>694</v>
      </c>
      <c r="G14" s="231">
        <v>31.214836424255054</v>
      </c>
      <c r="H14" s="231">
        <v>11.377370285476141</v>
      </c>
      <c r="I14" s="231">
        <v>57.407793290268799</v>
      </c>
      <c r="J14" s="232" t="s">
        <v>2670</v>
      </c>
      <c r="K14" s="231">
        <v>1.7337604731394776</v>
      </c>
      <c r="L14" s="231"/>
      <c r="M14" s="231"/>
    </row>
    <row r="15" spans="1:13">
      <c r="A15" s="233" t="s">
        <v>2666</v>
      </c>
      <c r="B15" s="233" t="s">
        <v>2460</v>
      </c>
      <c r="C15" s="233" t="s">
        <v>20</v>
      </c>
      <c r="D15" s="233">
        <v>4</v>
      </c>
      <c r="E15" s="233">
        <v>2</v>
      </c>
      <c r="F15" s="230">
        <v>695</v>
      </c>
      <c r="G15" s="231">
        <v>33.96</v>
      </c>
      <c r="H15" s="231">
        <v>8.9200000000000017</v>
      </c>
      <c r="I15" s="231">
        <v>57.12</v>
      </c>
      <c r="J15" s="232" t="s">
        <v>2670</v>
      </c>
      <c r="K15" s="231">
        <v>2.072055199605717</v>
      </c>
      <c r="L15" s="231"/>
      <c r="M15" s="231"/>
    </row>
    <row r="16" spans="1:13">
      <c r="A16" s="233" t="s">
        <v>2666</v>
      </c>
      <c r="B16" s="233" t="s">
        <v>2460</v>
      </c>
      <c r="C16" s="233" t="s">
        <v>20</v>
      </c>
      <c r="D16" s="233">
        <v>2</v>
      </c>
      <c r="E16" s="233">
        <v>3</v>
      </c>
      <c r="F16" s="230">
        <v>696</v>
      </c>
      <c r="G16" s="231">
        <v>39.96</v>
      </c>
      <c r="H16" s="231">
        <v>12.920000000000002</v>
      </c>
      <c r="I16" s="231">
        <v>47.12</v>
      </c>
      <c r="J16" s="232" t="s">
        <v>2674</v>
      </c>
      <c r="K16" s="231">
        <v>1.6549531789058647</v>
      </c>
      <c r="L16" s="231"/>
      <c r="M16" s="231"/>
    </row>
    <row r="17" spans="1:13">
      <c r="A17" s="233" t="s">
        <v>2666</v>
      </c>
      <c r="B17" s="233" t="s">
        <v>2460</v>
      </c>
      <c r="C17" s="233" t="s">
        <v>20</v>
      </c>
      <c r="D17" s="233">
        <v>3</v>
      </c>
      <c r="E17" s="233">
        <v>4</v>
      </c>
      <c r="F17" s="230">
        <v>697</v>
      </c>
      <c r="G17" s="231">
        <v>27.96</v>
      </c>
      <c r="H17" s="231">
        <v>4.9200000000000017</v>
      </c>
      <c r="I17" s="231">
        <v>67.12</v>
      </c>
      <c r="J17" s="232" t="s">
        <v>2670</v>
      </c>
      <c r="K17" s="231">
        <v>1.0437161163134547</v>
      </c>
      <c r="L17" s="231"/>
      <c r="M17" s="231"/>
    </row>
    <row r="18" spans="1:13">
      <c r="A18" s="233" t="s">
        <v>2666</v>
      </c>
      <c r="B18" s="233" t="s">
        <v>2460</v>
      </c>
      <c r="C18" s="233" t="s">
        <v>2660</v>
      </c>
      <c r="D18" s="233">
        <v>1</v>
      </c>
      <c r="E18" s="233">
        <v>1</v>
      </c>
      <c r="F18" s="230">
        <v>698</v>
      </c>
      <c r="G18" s="231">
        <v>45.96</v>
      </c>
      <c r="H18" s="231">
        <v>14.920000000000003</v>
      </c>
      <c r="I18" s="231">
        <v>39.119999999999997</v>
      </c>
      <c r="J18" s="232" t="s">
        <v>2673</v>
      </c>
      <c r="K18" s="231">
        <v>2.0374568753080333</v>
      </c>
      <c r="L18" s="231"/>
      <c r="M18" s="231"/>
    </row>
    <row r="19" spans="1:13">
      <c r="A19" s="233" t="s">
        <v>2666</v>
      </c>
      <c r="B19" s="233" t="s">
        <v>2460</v>
      </c>
      <c r="C19" s="233" t="s">
        <v>2660</v>
      </c>
      <c r="D19" s="233">
        <v>2</v>
      </c>
      <c r="E19" s="233">
        <v>2</v>
      </c>
      <c r="F19" s="230">
        <v>699</v>
      </c>
      <c r="G19" s="231">
        <v>34.344660194174757</v>
      </c>
      <c r="H19" s="231">
        <v>19.22727272727273</v>
      </c>
      <c r="I19" s="231">
        <v>46.428067078552509</v>
      </c>
      <c r="J19" s="232" t="s">
        <v>2670</v>
      </c>
      <c r="K19" s="231">
        <v>1.7452932479053718</v>
      </c>
      <c r="L19" s="231"/>
      <c r="M19" s="231"/>
    </row>
    <row r="20" spans="1:13">
      <c r="A20" s="233" t="s">
        <v>2666</v>
      </c>
      <c r="B20" s="233" t="s">
        <v>2460</v>
      </c>
      <c r="C20" s="233" t="s">
        <v>2660</v>
      </c>
      <c r="D20" s="233">
        <v>3</v>
      </c>
      <c r="E20" s="233">
        <v>3</v>
      </c>
      <c r="F20" s="230">
        <v>700</v>
      </c>
      <c r="G20" s="231">
        <v>27.96</v>
      </c>
      <c r="H20" s="231">
        <v>4.9200000000000017</v>
      </c>
      <c r="I20" s="231">
        <v>67.12</v>
      </c>
      <c r="J20" s="232" t="s">
        <v>2670</v>
      </c>
      <c r="K20" s="231">
        <v>0.88610152784622953</v>
      </c>
      <c r="L20" s="231"/>
      <c r="M20" s="231"/>
    </row>
    <row r="21" spans="1:13">
      <c r="A21" s="233" t="s">
        <v>2666</v>
      </c>
      <c r="B21" s="233" t="s">
        <v>2460</v>
      </c>
      <c r="C21" s="233" t="s">
        <v>2660</v>
      </c>
      <c r="D21" s="233">
        <v>4</v>
      </c>
      <c r="E21" s="233">
        <v>4</v>
      </c>
      <c r="F21" s="230">
        <v>701</v>
      </c>
      <c r="G21" s="231">
        <v>17.96</v>
      </c>
      <c r="H21" s="231">
        <v>4.9199999999999982</v>
      </c>
      <c r="I21" s="231">
        <v>77.12</v>
      </c>
      <c r="J21" s="232" t="s">
        <v>2671</v>
      </c>
      <c r="K21" s="231">
        <v>2.0220798422868409</v>
      </c>
      <c r="L21" s="231"/>
      <c r="M21" s="231"/>
    </row>
    <row r="22" spans="1:13">
      <c r="A22" s="233" t="s">
        <v>2385</v>
      </c>
      <c r="B22" s="233" t="s">
        <v>2460</v>
      </c>
      <c r="C22" s="233" t="s">
        <v>2661</v>
      </c>
      <c r="D22" s="233">
        <v>3</v>
      </c>
      <c r="E22" s="233">
        <v>1</v>
      </c>
      <c r="F22" s="230">
        <v>702</v>
      </c>
      <c r="G22" s="231">
        <v>21.96</v>
      </c>
      <c r="H22" s="231">
        <v>4.9199999999999982</v>
      </c>
      <c r="I22" s="231">
        <v>73.12</v>
      </c>
      <c r="J22" s="232" t="s">
        <v>2670</v>
      </c>
      <c r="K22" s="231">
        <v>1.2416954164613114</v>
      </c>
      <c r="L22" s="231"/>
      <c r="M22" s="231"/>
    </row>
    <row r="23" spans="1:13">
      <c r="A23" s="233" t="s">
        <v>2385</v>
      </c>
      <c r="B23" s="233" t="s">
        <v>2460</v>
      </c>
      <c r="C23" s="233" t="s">
        <v>2661</v>
      </c>
      <c r="D23" s="233">
        <v>4</v>
      </c>
      <c r="E23" s="233">
        <v>2</v>
      </c>
      <c r="F23" s="230">
        <v>703</v>
      </c>
      <c r="G23" s="231">
        <v>23.96</v>
      </c>
      <c r="H23" s="231">
        <v>4.9199999999999982</v>
      </c>
      <c r="I23" s="231">
        <v>71.12</v>
      </c>
      <c r="J23" s="232" t="s">
        <v>2670</v>
      </c>
      <c r="K23" s="231">
        <v>3.30913750616067</v>
      </c>
      <c r="L23" s="231"/>
      <c r="M23" s="231"/>
    </row>
    <row r="24" spans="1:13">
      <c r="A24" s="233" t="s">
        <v>2385</v>
      </c>
      <c r="B24" s="233" t="s">
        <v>2460</v>
      </c>
      <c r="C24" s="233" t="s">
        <v>2661</v>
      </c>
      <c r="D24" s="233">
        <v>1</v>
      </c>
      <c r="E24" s="233">
        <v>3</v>
      </c>
      <c r="F24" s="230">
        <v>704</v>
      </c>
      <c r="G24" s="231">
        <v>25.96</v>
      </c>
      <c r="H24" s="231">
        <v>8.9200000000000017</v>
      </c>
      <c r="I24" s="231">
        <v>65.12</v>
      </c>
      <c r="J24" s="232" t="s">
        <v>2670</v>
      </c>
      <c r="K24" s="231">
        <v>1.614588467225234</v>
      </c>
      <c r="L24" s="231"/>
      <c r="M24" s="231"/>
    </row>
    <row r="25" spans="1:13">
      <c r="A25" s="233" t="s">
        <v>2385</v>
      </c>
      <c r="B25" s="233" t="s">
        <v>2460</v>
      </c>
      <c r="C25" s="233" t="s">
        <v>2661</v>
      </c>
      <c r="D25" s="233">
        <v>2</v>
      </c>
      <c r="E25" s="233">
        <v>4</v>
      </c>
      <c r="F25" s="230">
        <v>705</v>
      </c>
      <c r="G25" s="231">
        <v>25.96</v>
      </c>
      <c r="H25" s="231">
        <v>8.9200000000000017</v>
      </c>
      <c r="I25" s="231">
        <v>65.12</v>
      </c>
      <c r="J25" s="232" t="s">
        <v>2670</v>
      </c>
      <c r="K25" s="231">
        <v>1.6991621488417901</v>
      </c>
      <c r="L25" s="231"/>
      <c r="M25" s="231"/>
    </row>
    <row r="26" spans="1:13">
      <c r="A26" s="233" t="s">
        <v>2428</v>
      </c>
      <c r="B26" s="233" t="s">
        <v>2662</v>
      </c>
      <c r="C26" s="233" t="s">
        <v>2526</v>
      </c>
      <c r="D26" s="233">
        <v>1</v>
      </c>
      <c r="E26" s="233">
        <v>1</v>
      </c>
      <c r="F26" s="233">
        <v>690</v>
      </c>
      <c r="G26" s="231">
        <v>29.076539101497506</v>
      </c>
      <c r="H26" s="231">
        <v>7.1963394342762079</v>
      </c>
      <c r="I26" s="231">
        <v>63.727121464226286</v>
      </c>
      <c r="J26" s="231" t="s">
        <v>2670</v>
      </c>
      <c r="K26" s="231">
        <v>1.0994578610152781</v>
      </c>
    </row>
    <row r="27" spans="1:13">
      <c r="A27" s="233" t="s">
        <v>2428</v>
      </c>
      <c r="B27" s="233" t="s">
        <v>2662</v>
      </c>
      <c r="C27" s="233" t="s">
        <v>2526</v>
      </c>
      <c r="D27" s="233">
        <v>2</v>
      </c>
      <c r="E27" s="233">
        <v>2</v>
      </c>
      <c r="F27" s="233">
        <v>691</v>
      </c>
      <c r="G27" s="231">
        <v>21.072635135135137</v>
      </c>
      <c r="H27" s="231">
        <v>7.3057432432432412</v>
      </c>
      <c r="I27" s="231">
        <v>71.621621621621614</v>
      </c>
      <c r="J27" s="231" t="s">
        <v>2670</v>
      </c>
      <c r="K27" s="231">
        <v>1.4512074913750617</v>
      </c>
    </row>
    <row r="28" spans="1:13">
      <c r="A28" s="233" t="s">
        <v>2428</v>
      </c>
      <c r="B28" s="233" t="s">
        <v>2662</v>
      </c>
      <c r="C28" s="233" t="s">
        <v>2526</v>
      </c>
      <c r="D28" s="233">
        <v>3</v>
      </c>
      <c r="E28" s="233">
        <v>3</v>
      </c>
      <c r="F28" s="233">
        <v>692</v>
      </c>
      <c r="G28" s="231">
        <v>21.96</v>
      </c>
      <c r="H28" s="231">
        <v>4.9199999999999982</v>
      </c>
      <c r="I28" s="231">
        <v>73.12</v>
      </c>
      <c r="J28" s="231" t="s">
        <v>2670</v>
      </c>
      <c r="K28" s="231">
        <v>1.4012321340561851</v>
      </c>
    </row>
    <row r="29" spans="1:13">
      <c r="A29" s="233" t="s">
        <v>2428</v>
      </c>
      <c r="B29" s="233" t="s">
        <v>2662</v>
      </c>
      <c r="C29" s="233" t="s">
        <v>2526</v>
      </c>
      <c r="D29" s="233">
        <v>4</v>
      </c>
      <c r="E29" s="233">
        <v>4</v>
      </c>
      <c r="F29" s="233">
        <v>693</v>
      </c>
      <c r="G29" s="231">
        <v>15.960000000000003</v>
      </c>
      <c r="H29" s="231">
        <v>6.9199999999999982</v>
      </c>
      <c r="I29" s="231">
        <v>77.11999999999999</v>
      </c>
      <c r="J29" s="231" t="s">
        <v>2671</v>
      </c>
      <c r="K29" s="231">
        <v>0.60547067520946207</v>
      </c>
    </row>
    <row r="30" spans="1:13">
      <c r="A30" s="233" t="s">
        <v>3657</v>
      </c>
      <c r="B30" s="233"/>
      <c r="C30" s="233"/>
      <c r="D30" s="233"/>
      <c r="E30" s="233"/>
      <c r="F30" s="230"/>
      <c r="G30" s="231">
        <f>AVERAGE(G26:G29)</f>
        <v>22.017293559158162</v>
      </c>
      <c r="H30" s="231">
        <f t="shared" ref="H30:I30" si="0">AVERAGE(H26:H29)</f>
        <v>6.5855206693798616</v>
      </c>
      <c r="I30" s="231">
        <f t="shared" si="0"/>
        <v>71.397185771461977</v>
      </c>
      <c r="J30" s="231" t="s">
        <v>2670</v>
      </c>
      <c r="K30" s="240">
        <f>AVERAGE(K26:K29)</f>
        <v>1.1393420404139967</v>
      </c>
    </row>
    <row r="31" spans="1:13">
      <c r="A31" s="233"/>
      <c r="B31" s="233"/>
      <c r="C31" s="233"/>
      <c r="D31" s="233"/>
      <c r="E31" s="233"/>
      <c r="F31" s="230"/>
      <c r="G31" s="231"/>
      <c r="H31" s="231"/>
      <c r="I31" s="231"/>
      <c r="J31" s="232"/>
    </row>
  </sheetData>
  <sortState ref="A1:K31">
    <sortCondition ref="E22:E2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2682</v>
      </c>
      <c r="B1" t="s">
        <v>2683</v>
      </c>
      <c r="C1" t="s">
        <v>2684</v>
      </c>
      <c r="D1" t="s">
        <v>2685</v>
      </c>
      <c r="E1" t="s">
        <v>2686</v>
      </c>
      <c r="F1" t="s">
        <v>2687</v>
      </c>
      <c r="G1" t="s">
        <v>2688</v>
      </c>
      <c r="H1" t="s">
        <v>2689</v>
      </c>
      <c r="I1" t="s">
        <v>2690</v>
      </c>
      <c r="J1" t="s">
        <v>2691</v>
      </c>
      <c r="K1" t="s">
        <v>2692</v>
      </c>
      <c r="L1" t="s">
        <v>2693</v>
      </c>
      <c r="M1" t="s">
        <v>2694</v>
      </c>
      <c r="N1" t="s">
        <v>2695</v>
      </c>
      <c r="O1" t="s">
        <v>2681</v>
      </c>
    </row>
    <row r="2" spans="1:15">
      <c r="A2">
        <v>193</v>
      </c>
      <c r="B2" t="s">
        <v>2428</v>
      </c>
      <c r="C2" t="s">
        <v>2445</v>
      </c>
      <c r="D2" t="s">
        <v>2659</v>
      </c>
      <c r="E2" t="s">
        <v>2460</v>
      </c>
      <c r="F2" t="s">
        <v>2504</v>
      </c>
      <c r="G2" t="s">
        <v>2916</v>
      </c>
      <c r="H2" t="s">
        <v>2917</v>
      </c>
      <c r="I2">
        <v>863</v>
      </c>
      <c r="J2">
        <v>125</v>
      </c>
      <c r="K2">
        <v>584</v>
      </c>
      <c r="L2" t="s">
        <v>2918</v>
      </c>
      <c r="M2">
        <v>44</v>
      </c>
      <c r="N2" t="s">
        <v>2919</v>
      </c>
      <c r="O2">
        <v>175.054685654</v>
      </c>
    </row>
    <row r="3" spans="1:15">
      <c r="A3">
        <v>194</v>
      </c>
      <c r="B3" t="s">
        <v>2428</v>
      </c>
      <c r="C3" t="s">
        <v>2438</v>
      </c>
      <c r="D3" t="s">
        <v>2659</v>
      </c>
      <c r="E3" t="s">
        <v>2460</v>
      </c>
      <c r="F3" t="s">
        <v>2504</v>
      </c>
      <c r="G3" t="s">
        <v>2916</v>
      </c>
      <c r="H3" t="s">
        <v>2917</v>
      </c>
      <c r="I3">
        <v>615</v>
      </c>
      <c r="J3">
        <v>289</v>
      </c>
      <c r="K3">
        <v>713</v>
      </c>
      <c r="L3" t="s">
        <v>2920</v>
      </c>
      <c r="M3">
        <v>44</v>
      </c>
      <c r="N3" t="s">
        <v>2919</v>
      </c>
      <c r="O3">
        <v>175.054685654</v>
      </c>
    </row>
    <row r="4" spans="1:15">
      <c r="A4">
        <v>198</v>
      </c>
      <c r="B4" t="s">
        <v>2428</v>
      </c>
      <c r="C4" t="s">
        <v>2439</v>
      </c>
      <c r="D4" t="s">
        <v>2659</v>
      </c>
      <c r="E4" t="s">
        <v>2460</v>
      </c>
      <c r="F4" t="s">
        <v>2504</v>
      </c>
      <c r="G4" t="s">
        <v>2916</v>
      </c>
      <c r="H4" t="s">
        <v>2917</v>
      </c>
      <c r="I4">
        <v>785</v>
      </c>
      <c r="J4">
        <v>463</v>
      </c>
      <c r="K4">
        <v>462</v>
      </c>
      <c r="L4" t="s">
        <v>2924</v>
      </c>
      <c r="M4">
        <v>44</v>
      </c>
      <c r="N4" t="s">
        <v>2919</v>
      </c>
      <c r="O4">
        <v>175.054685654</v>
      </c>
    </row>
    <row r="5" spans="1:15">
      <c r="A5">
        <v>200</v>
      </c>
      <c r="B5" t="s">
        <v>2428</v>
      </c>
      <c r="C5" t="s">
        <v>2446</v>
      </c>
      <c r="D5" t="s">
        <v>2659</v>
      </c>
      <c r="E5" t="s">
        <v>2460</v>
      </c>
      <c r="F5" t="s">
        <v>2504</v>
      </c>
      <c r="G5" t="s">
        <v>2916</v>
      </c>
      <c r="H5" t="s">
        <v>2917</v>
      </c>
      <c r="I5">
        <v>816</v>
      </c>
      <c r="J5">
        <v>303</v>
      </c>
      <c r="K5">
        <v>709</v>
      </c>
      <c r="L5" t="s">
        <v>2926</v>
      </c>
      <c r="M5">
        <v>44</v>
      </c>
      <c r="N5" t="s">
        <v>2919</v>
      </c>
      <c r="O5">
        <v>175.054685654</v>
      </c>
    </row>
    <row r="6" spans="1:15">
      <c r="A6">
        <v>201</v>
      </c>
      <c r="B6" t="s">
        <v>2428</v>
      </c>
      <c r="C6" t="s">
        <v>2447</v>
      </c>
      <c r="D6" t="s">
        <v>2659</v>
      </c>
      <c r="E6" t="s">
        <v>2460</v>
      </c>
      <c r="F6" t="s">
        <v>2504</v>
      </c>
      <c r="G6" t="s">
        <v>2916</v>
      </c>
      <c r="H6" t="s">
        <v>2917</v>
      </c>
      <c r="I6">
        <v>811</v>
      </c>
      <c r="J6">
        <v>218</v>
      </c>
      <c r="K6">
        <v>707</v>
      </c>
      <c r="L6" t="s">
        <v>2927</v>
      </c>
      <c r="M6">
        <v>44</v>
      </c>
      <c r="N6" t="s">
        <v>2919</v>
      </c>
      <c r="O6">
        <v>175.054685654</v>
      </c>
    </row>
    <row r="7" spans="1:15">
      <c r="A7">
        <v>204</v>
      </c>
      <c r="B7" t="s">
        <v>2428</v>
      </c>
      <c r="C7" t="s">
        <v>2440</v>
      </c>
      <c r="D7" t="s">
        <v>2659</v>
      </c>
      <c r="E7" t="s">
        <v>2460</v>
      </c>
      <c r="F7" t="s">
        <v>2504</v>
      </c>
      <c r="G7" t="s">
        <v>2916</v>
      </c>
      <c r="H7" t="s">
        <v>2917</v>
      </c>
      <c r="I7">
        <v>814</v>
      </c>
      <c r="J7">
        <v>334</v>
      </c>
      <c r="K7">
        <v>640</v>
      </c>
      <c r="L7" t="s">
        <v>2930</v>
      </c>
      <c r="M7">
        <v>44</v>
      </c>
      <c r="N7" t="s">
        <v>2919</v>
      </c>
      <c r="O7">
        <v>175.054685654</v>
      </c>
    </row>
    <row r="8" spans="1:15">
      <c r="A8">
        <v>207</v>
      </c>
      <c r="B8" t="s">
        <v>2428</v>
      </c>
      <c r="C8" t="s">
        <v>2448</v>
      </c>
      <c r="D8" t="s">
        <v>2460</v>
      </c>
      <c r="E8" t="s">
        <v>2460</v>
      </c>
      <c r="F8" t="s">
        <v>2504</v>
      </c>
      <c r="G8" t="s">
        <v>2916</v>
      </c>
      <c r="H8" t="s">
        <v>2917</v>
      </c>
      <c r="I8">
        <v>574</v>
      </c>
      <c r="J8">
        <v>258</v>
      </c>
      <c r="K8">
        <v>540</v>
      </c>
      <c r="L8" t="s">
        <v>2933</v>
      </c>
      <c r="M8">
        <v>44</v>
      </c>
      <c r="N8" t="s">
        <v>2919</v>
      </c>
      <c r="O8">
        <v>175.054685654</v>
      </c>
    </row>
    <row r="9" spans="1:15">
      <c r="A9">
        <v>208</v>
      </c>
      <c r="B9" t="s">
        <v>2428</v>
      </c>
      <c r="C9" t="s">
        <v>2441</v>
      </c>
      <c r="D9" t="s">
        <v>2460</v>
      </c>
      <c r="E9" t="s">
        <v>2460</v>
      </c>
      <c r="F9" t="s">
        <v>2504</v>
      </c>
      <c r="G9" t="s">
        <v>2916</v>
      </c>
      <c r="H9" t="s">
        <v>2917</v>
      </c>
      <c r="I9">
        <v>710</v>
      </c>
      <c r="J9">
        <v>344</v>
      </c>
      <c r="K9">
        <v>508</v>
      </c>
      <c r="L9" t="s">
        <v>2934</v>
      </c>
      <c r="M9">
        <v>44</v>
      </c>
      <c r="N9" t="s">
        <v>2919</v>
      </c>
      <c r="O9">
        <v>175.054685654</v>
      </c>
    </row>
    <row r="10" spans="1:15">
      <c r="A10">
        <v>210</v>
      </c>
      <c r="B10" t="s">
        <v>2428</v>
      </c>
      <c r="C10" t="s">
        <v>2449</v>
      </c>
      <c r="D10" t="s">
        <v>2460</v>
      </c>
      <c r="E10" t="s">
        <v>2460</v>
      </c>
      <c r="F10" t="s">
        <v>2504</v>
      </c>
      <c r="G10" t="s">
        <v>2916</v>
      </c>
      <c r="H10" t="s">
        <v>2917</v>
      </c>
      <c r="I10">
        <v>871</v>
      </c>
      <c r="J10">
        <v>340</v>
      </c>
      <c r="K10">
        <v>720</v>
      </c>
      <c r="L10" t="s">
        <v>2936</v>
      </c>
      <c r="M10">
        <v>44</v>
      </c>
      <c r="N10" t="s">
        <v>2919</v>
      </c>
      <c r="O10">
        <v>175.054685654</v>
      </c>
    </row>
    <row r="11" spans="1:15">
      <c r="A11">
        <v>212</v>
      </c>
      <c r="B11" t="s">
        <v>2428</v>
      </c>
      <c r="C11" t="s">
        <v>2442</v>
      </c>
      <c r="D11" t="s">
        <v>2460</v>
      </c>
      <c r="E11" t="s">
        <v>2460</v>
      </c>
      <c r="F11" t="s">
        <v>2504</v>
      </c>
      <c r="G11" t="s">
        <v>2916</v>
      </c>
      <c r="H11" t="s">
        <v>2917</v>
      </c>
      <c r="I11">
        <v>786</v>
      </c>
      <c r="J11">
        <v>93</v>
      </c>
      <c r="K11">
        <v>560</v>
      </c>
      <c r="L11" t="s">
        <v>2938</v>
      </c>
      <c r="M11">
        <v>44</v>
      </c>
      <c r="N11" t="s">
        <v>2919</v>
      </c>
      <c r="O11">
        <v>175.054685654</v>
      </c>
    </row>
    <row r="12" spans="1:15">
      <c r="A12">
        <v>213</v>
      </c>
      <c r="B12" t="s">
        <v>2428</v>
      </c>
      <c r="C12" t="s">
        <v>2450</v>
      </c>
      <c r="D12" t="s">
        <v>2460</v>
      </c>
      <c r="E12" t="s">
        <v>2460</v>
      </c>
      <c r="F12" t="s">
        <v>2504</v>
      </c>
      <c r="G12" t="s">
        <v>2916</v>
      </c>
      <c r="H12" t="s">
        <v>2917</v>
      </c>
      <c r="I12">
        <v>572</v>
      </c>
      <c r="J12">
        <v>88</v>
      </c>
      <c r="K12">
        <v>716</v>
      </c>
      <c r="L12" t="s">
        <v>2939</v>
      </c>
      <c r="M12">
        <v>44</v>
      </c>
      <c r="N12" t="s">
        <v>2919</v>
      </c>
      <c r="O12">
        <v>175.054685654</v>
      </c>
    </row>
    <row r="13" spans="1:15">
      <c r="A13">
        <v>214</v>
      </c>
      <c r="B13" t="s">
        <v>2428</v>
      </c>
      <c r="C13" t="s">
        <v>2443</v>
      </c>
      <c r="D13" t="s">
        <v>2460</v>
      </c>
      <c r="E13" t="s">
        <v>2460</v>
      </c>
      <c r="F13" t="s">
        <v>2504</v>
      </c>
      <c r="G13" t="s">
        <v>2916</v>
      </c>
      <c r="H13" t="s">
        <v>2917</v>
      </c>
      <c r="I13">
        <v>761</v>
      </c>
      <c r="J13">
        <v>383</v>
      </c>
      <c r="K13">
        <v>581</v>
      </c>
      <c r="L13" t="s">
        <v>2940</v>
      </c>
      <c r="M13">
        <v>44</v>
      </c>
      <c r="N13" t="s">
        <v>2919</v>
      </c>
      <c r="O13">
        <v>175.054685654</v>
      </c>
    </row>
    <row r="14" spans="1:15">
      <c r="A14">
        <v>219</v>
      </c>
      <c r="B14" t="s">
        <v>2428</v>
      </c>
      <c r="C14" t="s">
        <v>2444</v>
      </c>
      <c r="D14" t="s">
        <v>2943</v>
      </c>
      <c r="E14" t="s">
        <v>2460</v>
      </c>
      <c r="F14" t="s">
        <v>2504</v>
      </c>
      <c r="G14" t="s">
        <v>2916</v>
      </c>
      <c r="H14" t="s">
        <v>2917</v>
      </c>
      <c r="I14">
        <v>727</v>
      </c>
      <c r="J14">
        <v>176</v>
      </c>
      <c r="K14">
        <v>491</v>
      </c>
      <c r="L14" t="s">
        <v>2946</v>
      </c>
      <c r="M14">
        <v>44</v>
      </c>
      <c r="N14" t="s">
        <v>2919</v>
      </c>
      <c r="O14">
        <v>175.054685654</v>
      </c>
    </row>
    <row r="15" spans="1:15">
      <c r="A15">
        <v>220</v>
      </c>
      <c r="B15" t="s">
        <v>2428</v>
      </c>
      <c r="C15" t="s">
        <v>2451</v>
      </c>
      <c r="D15" t="s">
        <v>2943</v>
      </c>
      <c r="E15" t="s">
        <v>2460</v>
      </c>
      <c r="F15" t="s">
        <v>2504</v>
      </c>
      <c r="G15" t="s">
        <v>2916</v>
      </c>
      <c r="H15" t="s">
        <v>2917</v>
      </c>
      <c r="I15">
        <v>782</v>
      </c>
      <c r="J15">
        <v>250</v>
      </c>
      <c r="K15">
        <v>849</v>
      </c>
      <c r="L15" t="s">
        <v>2947</v>
      </c>
      <c r="M15">
        <v>44</v>
      </c>
      <c r="N15" t="s">
        <v>2919</v>
      </c>
      <c r="O15">
        <v>175.054685654</v>
      </c>
    </row>
    <row r="16" spans="1:15">
      <c r="A16">
        <v>195</v>
      </c>
      <c r="B16" t="s">
        <v>2428</v>
      </c>
      <c r="C16" t="s">
        <v>2430</v>
      </c>
      <c r="D16" t="s">
        <v>2659</v>
      </c>
      <c r="E16" t="s">
        <v>2460</v>
      </c>
      <c r="F16" t="s">
        <v>2504</v>
      </c>
      <c r="G16" t="s">
        <v>2916</v>
      </c>
      <c r="H16" t="s">
        <v>2879</v>
      </c>
      <c r="I16">
        <v>821</v>
      </c>
      <c r="J16">
        <v>378</v>
      </c>
      <c r="K16">
        <v>525</v>
      </c>
      <c r="L16" t="s">
        <v>2921</v>
      </c>
      <c r="M16">
        <v>45</v>
      </c>
      <c r="N16" t="s">
        <v>2919</v>
      </c>
      <c r="O16">
        <v>175.377105089</v>
      </c>
    </row>
    <row r="17" spans="1:15">
      <c r="A17">
        <v>196</v>
      </c>
      <c r="B17" t="s">
        <v>2428</v>
      </c>
      <c r="C17" t="s">
        <v>2421</v>
      </c>
      <c r="D17" t="s">
        <v>2659</v>
      </c>
      <c r="E17" t="s">
        <v>2460</v>
      </c>
      <c r="F17" t="s">
        <v>2504</v>
      </c>
      <c r="G17" t="s">
        <v>2916</v>
      </c>
      <c r="H17" t="s">
        <v>2879</v>
      </c>
      <c r="I17">
        <v>754</v>
      </c>
      <c r="J17">
        <v>375</v>
      </c>
      <c r="K17">
        <v>886</v>
      </c>
      <c r="L17" t="s">
        <v>2922</v>
      </c>
      <c r="M17">
        <v>45</v>
      </c>
      <c r="N17" t="s">
        <v>2919</v>
      </c>
      <c r="O17">
        <v>175.377105089</v>
      </c>
    </row>
    <row r="18" spans="1:15">
      <c r="A18">
        <v>197</v>
      </c>
      <c r="B18" t="s">
        <v>2428</v>
      </c>
      <c r="C18" t="s">
        <v>2431</v>
      </c>
      <c r="D18" t="s">
        <v>2659</v>
      </c>
      <c r="E18" t="s">
        <v>2460</v>
      </c>
      <c r="F18" t="s">
        <v>2504</v>
      </c>
      <c r="G18" t="s">
        <v>2916</v>
      </c>
      <c r="H18" t="s">
        <v>2879</v>
      </c>
      <c r="I18">
        <v>715</v>
      </c>
      <c r="J18">
        <v>219</v>
      </c>
      <c r="K18">
        <v>388</v>
      </c>
      <c r="L18" t="s">
        <v>2923</v>
      </c>
      <c r="M18">
        <v>45</v>
      </c>
      <c r="N18" t="s">
        <v>2919</v>
      </c>
      <c r="O18">
        <v>175.377105089</v>
      </c>
    </row>
    <row r="19" spans="1:15">
      <c r="A19">
        <v>199</v>
      </c>
      <c r="B19" t="s">
        <v>2428</v>
      </c>
      <c r="C19" t="s">
        <v>2423</v>
      </c>
      <c r="D19" t="s">
        <v>2659</v>
      </c>
      <c r="E19" t="s">
        <v>2460</v>
      </c>
      <c r="F19" t="s">
        <v>2504</v>
      </c>
      <c r="G19" t="s">
        <v>2916</v>
      </c>
      <c r="H19" t="s">
        <v>2879</v>
      </c>
      <c r="I19">
        <v>877</v>
      </c>
      <c r="J19">
        <v>339</v>
      </c>
      <c r="K19">
        <v>712</v>
      </c>
      <c r="L19" t="s">
        <v>2925</v>
      </c>
      <c r="M19">
        <v>45</v>
      </c>
      <c r="N19" t="s">
        <v>2919</v>
      </c>
      <c r="O19">
        <v>175.377105089</v>
      </c>
    </row>
    <row r="20" spans="1:15">
      <c r="A20">
        <v>202</v>
      </c>
      <c r="B20" t="s">
        <v>2428</v>
      </c>
      <c r="C20" t="s">
        <v>2424</v>
      </c>
      <c r="D20" t="s">
        <v>2659</v>
      </c>
      <c r="E20" t="s">
        <v>2460</v>
      </c>
      <c r="F20" t="s">
        <v>2504</v>
      </c>
      <c r="G20" t="s">
        <v>2916</v>
      </c>
      <c r="H20" t="s">
        <v>2879</v>
      </c>
      <c r="I20">
        <v>773</v>
      </c>
      <c r="J20">
        <v>135</v>
      </c>
      <c r="K20">
        <v>770</v>
      </c>
      <c r="L20" t="s">
        <v>2928</v>
      </c>
      <c r="M20">
        <v>45</v>
      </c>
      <c r="N20" t="s">
        <v>2919</v>
      </c>
      <c r="O20">
        <v>175.377105089</v>
      </c>
    </row>
    <row r="21" spans="1:15">
      <c r="A21">
        <v>203</v>
      </c>
      <c r="B21" t="s">
        <v>2428</v>
      </c>
      <c r="C21" t="s">
        <v>2433</v>
      </c>
      <c r="D21" t="s">
        <v>2659</v>
      </c>
      <c r="E21" t="s">
        <v>2460</v>
      </c>
      <c r="F21" t="s">
        <v>2504</v>
      </c>
      <c r="G21" t="s">
        <v>2916</v>
      </c>
      <c r="H21" t="s">
        <v>2879</v>
      </c>
      <c r="I21">
        <v>645</v>
      </c>
      <c r="J21">
        <v>372</v>
      </c>
      <c r="K21">
        <v>753</v>
      </c>
      <c r="L21" t="s">
        <v>2929</v>
      </c>
      <c r="M21">
        <v>45</v>
      </c>
      <c r="N21" t="s">
        <v>2919</v>
      </c>
      <c r="O21">
        <v>175.377105089</v>
      </c>
    </row>
    <row r="22" spans="1:15">
      <c r="A22">
        <v>205</v>
      </c>
      <c r="B22" t="s">
        <v>2428</v>
      </c>
      <c r="C22" t="s">
        <v>2434</v>
      </c>
      <c r="D22" t="s">
        <v>2460</v>
      </c>
      <c r="E22" t="s">
        <v>2460</v>
      </c>
      <c r="F22" t="s">
        <v>2504</v>
      </c>
      <c r="G22" t="s">
        <v>2916</v>
      </c>
      <c r="H22" t="s">
        <v>2879</v>
      </c>
      <c r="I22">
        <v>621</v>
      </c>
      <c r="J22">
        <v>265</v>
      </c>
      <c r="K22">
        <v>668</v>
      </c>
      <c r="L22" t="s">
        <v>2931</v>
      </c>
      <c r="M22">
        <v>45</v>
      </c>
      <c r="N22" t="s">
        <v>2919</v>
      </c>
      <c r="O22">
        <v>175.377105089</v>
      </c>
    </row>
    <row r="23" spans="1:15">
      <c r="A23">
        <v>206</v>
      </c>
      <c r="B23" t="s">
        <v>2428</v>
      </c>
      <c r="C23" t="s">
        <v>2425</v>
      </c>
      <c r="D23" t="s">
        <v>2460</v>
      </c>
      <c r="E23" t="s">
        <v>2460</v>
      </c>
      <c r="F23" t="s">
        <v>2504</v>
      </c>
      <c r="G23" t="s">
        <v>2916</v>
      </c>
      <c r="H23" t="s">
        <v>2879</v>
      </c>
      <c r="I23">
        <v>677</v>
      </c>
      <c r="J23">
        <v>234</v>
      </c>
      <c r="K23">
        <v>891</v>
      </c>
      <c r="L23" t="s">
        <v>2932</v>
      </c>
      <c r="M23">
        <v>45</v>
      </c>
      <c r="N23" t="s">
        <v>2919</v>
      </c>
      <c r="O23">
        <v>175.377105089</v>
      </c>
    </row>
    <row r="24" spans="1:15">
      <c r="A24">
        <v>209</v>
      </c>
      <c r="B24" t="s">
        <v>2428</v>
      </c>
      <c r="C24" t="s">
        <v>2435</v>
      </c>
      <c r="D24" t="s">
        <v>2460</v>
      </c>
      <c r="E24" t="s">
        <v>2460</v>
      </c>
      <c r="F24" t="s">
        <v>2504</v>
      </c>
      <c r="G24" t="s">
        <v>2916</v>
      </c>
      <c r="H24" t="s">
        <v>2879</v>
      </c>
      <c r="I24">
        <v>604</v>
      </c>
      <c r="J24">
        <v>271</v>
      </c>
      <c r="K24">
        <v>637</v>
      </c>
      <c r="L24" t="s">
        <v>2935</v>
      </c>
      <c r="M24">
        <v>45</v>
      </c>
      <c r="N24" t="s">
        <v>2919</v>
      </c>
      <c r="O24">
        <v>175.377105089</v>
      </c>
    </row>
    <row r="25" spans="1:15">
      <c r="A25">
        <v>211</v>
      </c>
      <c r="B25" t="s">
        <v>2428</v>
      </c>
      <c r="C25" t="s">
        <v>2426</v>
      </c>
      <c r="D25" t="s">
        <v>2460</v>
      </c>
      <c r="E25" t="s">
        <v>2460</v>
      </c>
      <c r="F25" t="s">
        <v>2504</v>
      </c>
      <c r="G25" t="s">
        <v>2916</v>
      </c>
      <c r="H25" t="s">
        <v>2879</v>
      </c>
      <c r="I25">
        <v>822</v>
      </c>
      <c r="J25">
        <v>381</v>
      </c>
      <c r="K25">
        <v>796</v>
      </c>
      <c r="L25" t="s">
        <v>2937</v>
      </c>
      <c r="M25">
        <v>45</v>
      </c>
      <c r="N25" t="s">
        <v>2919</v>
      </c>
      <c r="O25">
        <v>175.377105089</v>
      </c>
    </row>
    <row r="26" spans="1:15">
      <c r="A26">
        <v>215</v>
      </c>
      <c r="B26" t="s">
        <v>2428</v>
      </c>
      <c r="C26" t="s">
        <v>2427</v>
      </c>
      <c r="D26" t="s">
        <v>2460</v>
      </c>
      <c r="E26" t="s">
        <v>2460</v>
      </c>
      <c r="F26" t="s">
        <v>2504</v>
      </c>
      <c r="G26" t="s">
        <v>2916</v>
      </c>
      <c r="H26" t="s">
        <v>2879</v>
      </c>
      <c r="I26">
        <v>858</v>
      </c>
      <c r="J26">
        <v>145</v>
      </c>
      <c r="K26">
        <v>718</v>
      </c>
      <c r="L26" t="s">
        <v>2941</v>
      </c>
      <c r="M26">
        <v>45</v>
      </c>
      <c r="N26" t="s">
        <v>2919</v>
      </c>
      <c r="O26">
        <v>175.377105089</v>
      </c>
    </row>
    <row r="27" spans="1:15">
      <c r="A27">
        <v>216</v>
      </c>
      <c r="B27" t="s">
        <v>2428</v>
      </c>
      <c r="C27" t="s">
        <v>2436</v>
      </c>
      <c r="D27" t="s">
        <v>2460</v>
      </c>
      <c r="E27" t="s">
        <v>2460</v>
      </c>
      <c r="F27" t="s">
        <v>2504</v>
      </c>
      <c r="G27" t="s">
        <v>2916</v>
      </c>
      <c r="H27" t="s">
        <v>2879</v>
      </c>
      <c r="I27">
        <v>755</v>
      </c>
      <c r="J27">
        <v>241</v>
      </c>
      <c r="K27">
        <v>613</v>
      </c>
      <c r="L27" t="s">
        <v>2942</v>
      </c>
      <c r="M27">
        <v>45</v>
      </c>
      <c r="N27" t="s">
        <v>2919</v>
      </c>
      <c r="O27">
        <v>175.377105089</v>
      </c>
    </row>
    <row r="28" spans="1:15">
      <c r="A28">
        <v>217</v>
      </c>
      <c r="B28" t="s">
        <v>2428</v>
      </c>
      <c r="C28" t="s">
        <v>2429</v>
      </c>
      <c r="D28" t="s">
        <v>2943</v>
      </c>
      <c r="E28" t="s">
        <v>2460</v>
      </c>
      <c r="F28" t="s">
        <v>2504</v>
      </c>
      <c r="G28" t="s">
        <v>2916</v>
      </c>
      <c r="H28" t="s">
        <v>2879</v>
      </c>
      <c r="I28">
        <v>795</v>
      </c>
      <c r="J28">
        <v>302</v>
      </c>
      <c r="K28">
        <v>804</v>
      </c>
      <c r="L28" t="s">
        <v>2944</v>
      </c>
      <c r="M28">
        <v>45</v>
      </c>
      <c r="N28" t="s">
        <v>2919</v>
      </c>
      <c r="O28">
        <v>175.377105089</v>
      </c>
    </row>
    <row r="29" spans="1:15">
      <c r="A29">
        <v>218</v>
      </c>
      <c r="B29" t="s">
        <v>2428</v>
      </c>
      <c r="C29" t="s">
        <v>2437</v>
      </c>
      <c r="D29" t="s">
        <v>2943</v>
      </c>
      <c r="E29" t="s">
        <v>2460</v>
      </c>
      <c r="F29" t="s">
        <v>2504</v>
      </c>
      <c r="G29" t="s">
        <v>2916</v>
      </c>
      <c r="H29" t="s">
        <v>2879</v>
      </c>
      <c r="I29">
        <v>251</v>
      </c>
      <c r="J29">
        <v>442</v>
      </c>
      <c r="K29">
        <v>587</v>
      </c>
      <c r="L29" t="s">
        <v>2945</v>
      </c>
      <c r="M29">
        <v>45</v>
      </c>
      <c r="N29" t="s">
        <v>2919</v>
      </c>
      <c r="O29">
        <v>175.377105089</v>
      </c>
    </row>
    <row r="30" spans="1:15">
      <c r="A30">
        <v>161</v>
      </c>
      <c r="B30" t="s">
        <v>2385</v>
      </c>
      <c r="C30" t="s">
        <v>2386</v>
      </c>
      <c r="D30" t="s">
        <v>2460</v>
      </c>
      <c r="E30" t="s">
        <v>2460</v>
      </c>
      <c r="F30" t="s">
        <v>2278</v>
      </c>
      <c r="G30" t="s">
        <v>2878</v>
      </c>
      <c r="H30" t="s">
        <v>2879</v>
      </c>
      <c r="I30">
        <v>252</v>
      </c>
      <c r="J30">
        <v>124</v>
      </c>
      <c r="K30">
        <v>351</v>
      </c>
      <c r="L30" t="s">
        <v>2880</v>
      </c>
      <c r="M30">
        <v>51</v>
      </c>
      <c r="N30" t="s">
        <v>2881</v>
      </c>
      <c r="O30">
        <v>181.383442621</v>
      </c>
    </row>
    <row r="31" spans="1:15">
      <c r="A31">
        <v>162</v>
      </c>
      <c r="B31" t="s">
        <v>2385</v>
      </c>
      <c r="C31" t="s">
        <v>2387</v>
      </c>
      <c r="D31" t="s">
        <v>2460</v>
      </c>
      <c r="E31" t="s">
        <v>2460</v>
      </c>
      <c r="F31" t="s">
        <v>2278</v>
      </c>
      <c r="G31" t="s">
        <v>2878</v>
      </c>
      <c r="H31" t="s">
        <v>2879</v>
      </c>
      <c r="I31">
        <v>385</v>
      </c>
      <c r="J31">
        <v>202</v>
      </c>
      <c r="K31">
        <v>442</v>
      </c>
      <c r="L31" t="s">
        <v>2882</v>
      </c>
      <c r="M31">
        <v>51</v>
      </c>
      <c r="N31" t="s">
        <v>2881</v>
      </c>
      <c r="O31">
        <v>181.383442621</v>
      </c>
    </row>
    <row r="32" spans="1:15">
      <c r="A32">
        <v>163</v>
      </c>
      <c r="B32" t="s">
        <v>2385</v>
      </c>
      <c r="C32" t="s">
        <v>2388</v>
      </c>
      <c r="D32" t="s">
        <v>2460</v>
      </c>
      <c r="E32" t="s">
        <v>2460</v>
      </c>
      <c r="F32" t="s">
        <v>2278</v>
      </c>
      <c r="G32" t="s">
        <v>2878</v>
      </c>
      <c r="H32" t="s">
        <v>2879</v>
      </c>
      <c r="I32">
        <v>202</v>
      </c>
      <c r="J32">
        <v>96</v>
      </c>
      <c r="K32">
        <v>743</v>
      </c>
      <c r="L32" t="s">
        <v>2883</v>
      </c>
      <c r="M32">
        <v>51</v>
      </c>
      <c r="N32" t="s">
        <v>2881</v>
      </c>
      <c r="O32">
        <v>181.383442621</v>
      </c>
    </row>
    <row r="33" spans="1:15">
      <c r="A33">
        <v>164</v>
      </c>
      <c r="B33" t="s">
        <v>2385</v>
      </c>
      <c r="C33" t="s">
        <v>2389</v>
      </c>
      <c r="D33" t="s">
        <v>2460</v>
      </c>
      <c r="E33" t="s">
        <v>2460</v>
      </c>
      <c r="F33" t="s">
        <v>2278</v>
      </c>
      <c r="G33" t="s">
        <v>2878</v>
      </c>
      <c r="H33" t="s">
        <v>2879</v>
      </c>
      <c r="I33">
        <v>686</v>
      </c>
      <c r="J33">
        <v>317</v>
      </c>
      <c r="K33">
        <v>390</v>
      </c>
      <c r="L33" t="s">
        <v>2884</v>
      </c>
      <c r="M33">
        <v>51</v>
      </c>
      <c r="N33" t="s">
        <v>2881</v>
      </c>
      <c r="O33">
        <v>181.383442621</v>
      </c>
    </row>
    <row r="34" spans="1:15">
      <c r="A34">
        <v>165</v>
      </c>
      <c r="B34" t="s">
        <v>2385</v>
      </c>
      <c r="C34" t="s">
        <v>2390</v>
      </c>
      <c r="D34" t="s">
        <v>2460</v>
      </c>
      <c r="E34" t="s">
        <v>2460</v>
      </c>
      <c r="F34" t="s">
        <v>2278</v>
      </c>
      <c r="G34" t="s">
        <v>2878</v>
      </c>
      <c r="H34" t="s">
        <v>2879</v>
      </c>
      <c r="I34">
        <v>368</v>
      </c>
      <c r="J34">
        <v>331</v>
      </c>
      <c r="K34">
        <v>810</v>
      </c>
      <c r="L34" t="s">
        <v>2885</v>
      </c>
      <c r="M34">
        <v>51</v>
      </c>
      <c r="N34" t="s">
        <v>2881</v>
      </c>
      <c r="O34">
        <v>181.383442621</v>
      </c>
    </row>
    <row r="35" spans="1:15">
      <c r="A35">
        <v>166</v>
      </c>
      <c r="B35" t="s">
        <v>2385</v>
      </c>
      <c r="C35" t="s">
        <v>2391</v>
      </c>
      <c r="D35" t="s">
        <v>2460</v>
      </c>
      <c r="E35" t="s">
        <v>2460</v>
      </c>
      <c r="F35" t="s">
        <v>2278</v>
      </c>
      <c r="G35" t="s">
        <v>2878</v>
      </c>
      <c r="H35" t="s">
        <v>2879</v>
      </c>
      <c r="I35">
        <v>334</v>
      </c>
      <c r="J35">
        <v>287</v>
      </c>
      <c r="K35">
        <v>287</v>
      </c>
      <c r="L35" t="s">
        <v>2886</v>
      </c>
      <c r="M35">
        <v>51</v>
      </c>
      <c r="N35" t="s">
        <v>2881</v>
      </c>
      <c r="O35">
        <v>181.383442621</v>
      </c>
    </row>
    <row r="36" spans="1:15">
      <c r="A36">
        <v>167</v>
      </c>
      <c r="B36" t="s">
        <v>2385</v>
      </c>
      <c r="C36" t="s">
        <v>2393</v>
      </c>
      <c r="D36" t="s">
        <v>2460</v>
      </c>
      <c r="E36" t="s">
        <v>2460</v>
      </c>
      <c r="F36" t="s">
        <v>2278</v>
      </c>
      <c r="G36" t="s">
        <v>2878</v>
      </c>
      <c r="H36" t="s">
        <v>2879</v>
      </c>
      <c r="I36">
        <v>429</v>
      </c>
      <c r="J36">
        <v>255</v>
      </c>
      <c r="K36">
        <v>443</v>
      </c>
      <c r="L36" t="s">
        <v>2887</v>
      </c>
      <c r="M36">
        <v>51</v>
      </c>
      <c r="N36" t="s">
        <v>2881</v>
      </c>
      <c r="O36">
        <v>181.383442621</v>
      </c>
    </row>
    <row r="37" spans="1:15">
      <c r="A37">
        <v>168</v>
      </c>
      <c r="B37" t="s">
        <v>2385</v>
      </c>
      <c r="C37" t="s">
        <v>2394</v>
      </c>
      <c r="D37" t="s">
        <v>2460</v>
      </c>
      <c r="E37" t="s">
        <v>2460</v>
      </c>
      <c r="F37" t="s">
        <v>2278</v>
      </c>
      <c r="G37" t="s">
        <v>2878</v>
      </c>
      <c r="H37" t="s">
        <v>2879</v>
      </c>
      <c r="I37">
        <v>461</v>
      </c>
      <c r="J37">
        <v>534</v>
      </c>
      <c r="K37">
        <v>680</v>
      </c>
      <c r="L37" t="s">
        <v>2888</v>
      </c>
      <c r="M37">
        <v>51</v>
      </c>
      <c r="N37" t="s">
        <v>2881</v>
      </c>
      <c r="O37">
        <v>181.383442621</v>
      </c>
    </row>
    <row r="38" spans="1:15">
      <c r="A38">
        <v>169</v>
      </c>
      <c r="B38" t="s">
        <v>2385</v>
      </c>
      <c r="C38" t="s">
        <v>2395</v>
      </c>
      <c r="D38" t="s">
        <v>2460</v>
      </c>
      <c r="E38" t="s">
        <v>2460</v>
      </c>
      <c r="F38" t="s">
        <v>2287</v>
      </c>
      <c r="G38" t="s">
        <v>2878</v>
      </c>
      <c r="H38" t="s">
        <v>2879</v>
      </c>
      <c r="I38">
        <v>425</v>
      </c>
      <c r="J38">
        <v>453</v>
      </c>
      <c r="K38">
        <v>496</v>
      </c>
      <c r="L38" t="s">
        <v>2889</v>
      </c>
      <c r="M38">
        <v>51</v>
      </c>
      <c r="N38" t="s">
        <v>2890</v>
      </c>
      <c r="O38">
        <v>181.383442621</v>
      </c>
    </row>
    <row r="39" spans="1:15">
      <c r="A39">
        <v>170</v>
      </c>
      <c r="B39" t="s">
        <v>2385</v>
      </c>
      <c r="C39" t="s">
        <v>2396</v>
      </c>
      <c r="D39" t="s">
        <v>2460</v>
      </c>
      <c r="E39" t="s">
        <v>2460</v>
      </c>
      <c r="F39" t="s">
        <v>2287</v>
      </c>
      <c r="G39" t="s">
        <v>2878</v>
      </c>
      <c r="H39" t="s">
        <v>2879</v>
      </c>
      <c r="I39">
        <v>433</v>
      </c>
      <c r="J39">
        <v>330</v>
      </c>
      <c r="K39">
        <v>674</v>
      </c>
      <c r="L39" t="s">
        <v>2891</v>
      </c>
      <c r="M39">
        <v>51</v>
      </c>
      <c r="N39" t="s">
        <v>2890</v>
      </c>
      <c r="O39">
        <v>181.383442621</v>
      </c>
    </row>
    <row r="40" spans="1:15">
      <c r="A40">
        <v>171</v>
      </c>
      <c r="B40" t="s">
        <v>2385</v>
      </c>
      <c r="C40" t="s">
        <v>2397</v>
      </c>
      <c r="D40" t="s">
        <v>2460</v>
      </c>
      <c r="E40" t="s">
        <v>2460</v>
      </c>
      <c r="F40" t="s">
        <v>2287</v>
      </c>
      <c r="G40" t="s">
        <v>2878</v>
      </c>
      <c r="H40" t="s">
        <v>2879</v>
      </c>
      <c r="I40">
        <v>656</v>
      </c>
      <c r="J40">
        <v>558</v>
      </c>
      <c r="K40">
        <v>504</v>
      </c>
      <c r="L40" t="s">
        <v>2892</v>
      </c>
      <c r="M40">
        <v>51</v>
      </c>
      <c r="N40" t="s">
        <v>2890</v>
      </c>
      <c r="O40">
        <v>181.383442621</v>
      </c>
    </row>
    <row r="41" spans="1:15">
      <c r="A41">
        <v>172</v>
      </c>
      <c r="B41" t="s">
        <v>2385</v>
      </c>
      <c r="C41" t="s">
        <v>2398</v>
      </c>
      <c r="D41" t="s">
        <v>2460</v>
      </c>
      <c r="E41" t="s">
        <v>2460</v>
      </c>
      <c r="F41" t="s">
        <v>2287</v>
      </c>
      <c r="G41" t="s">
        <v>2878</v>
      </c>
      <c r="H41" t="s">
        <v>2879</v>
      </c>
      <c r="I41">
        <v>281</v>
      </c>
      <c r="J41">
        <v>157</v>
      </c>
      <c r="K41">
        <v>439</v>
      </c>
      <c r="L41" t="s">
        <v>2893</v>
      </c>
      <c r="M41">
        <v>51</v>
      </c>
      <c r="N41" t="s">
        <v>2890</v>
      </c>
      <c r="O41">
        <v>181.383442621</v>
      </c>
    </row>
    <row r="42" spans="1:15">
      <c r="A42">
        <v>173</v>
      </c>
      <c r="B42" t="s">
        <v>2385</v>
      </c>
      <c r="C42" t="s">
        <v>2399</v>
      </c>
      <c r="D42" t="s">
        <v>2460</v>
      </c>
      <c r="E42" t="s">
        <v>2460</v>
      </c>
      <c r="F42" t="s">
        <v>2287</v>
      </c>
      <c r="G42" t="s">
        <v>2878</v>
      </c>
      <c r="H42" t="s">
        <v>2879</v>
      </c>
      <c r="I42">
        <v>216</v>
      </c>
      <c r="J42">
        <v>57</v>
      </c>
      <c r="K42">
        <v>865</v>
      </c>
      <c r="L42" t="s">
        <v>2894</v>
      </c>
      <c r="M42">
        <v>51</v>
      </c>
      <c r="N42" t="s">
        <v>2890</v>
      </c>
      <c r="O42">
        <v>181.383442621</v>
      </c>
    </row>
    <row r="43" spans="1:15">
      <c r="A43">
        <v>174</v>
      </c>
      <c r="B43" t="s">
        <v>2385</v>
      </c>
      <c r="C43" t="s">
        <v>2400</v>
      </c>
      <c r="D43" t="s">
        <v>2460</v>
      </c>
      <c r="E43" t="s">
        <v>2460</v>
      </c>
      <c r="F43" t="s">
        <v>2287</v>
      </c>
      <c r="G43" t="s">
        <v>2878</v>
      </c>
      <c r="H43" t="s">
        <v>2879</v>
      </c>
      <c r="I43">
        <v>655</v>
      </c>
      <c r="J43">
        <v>307</v>
      </c>
      <c r="K43">
        <v>736</v>
      </c>
      <c r="L43" t="s">
        <v>2895</v>
      </c>
      <c r="M43">
        <v>51</v>
      </c>
      <c r="N43" t="s">
        <v>2890</v>
      </c>
      <c r="O43">
        <v>181.383442621</v>
      </c>
    </row>
    <row r="44" spans="1:15">
      <c r="A44">
        <v>175</v>
      </c>
      <c r="B44" t="s">
        <v>2385</v>
      </c>
      <c r="C44" t="s">
        <v>2401</v>
      </c>
      <c r="D44" t="s">
        <v>2460</v>
      </c>
      <c r="E44" t="s">
        <v>2460</v>
      </c>
      <c r="F44" t="s">
        <v>2287</v>
      </c>
      <c r="G44" t="s">
        <v>2878</v>
      </c>
      <c r="H44" t="s">
        <v>2879</v>
      </c>
      <c r="I44">
        <v>457</v>
      </c>
      <c r="J44">
        <v>458</v>
      </c>
      <c r="K44">
        <v>792</v>
      </c>
      <c r="L44" t="s">
        <v>2896</v>
      </c>
      <c r="M44">
        <v>51</v>
      </c>
      <c r="N44" t="s">
        <v>2890</v>
      </c>
      <c r="O44">
        <v>181.383442621</v>
      </c>
    </row>
    <row r="45" spans="1:15">
      <c r="A45">
        <v>176</v>
      </c>
      <c r="B45" t="s">
        <v>2385</v>
      </c>
      <c r="C45" t="s">
        <v>2402</v>
      </c>
      <c r="D45" t="s">
        <v>2460</v>
      </c>
      <c r="E45" t="s">
        <v>2460</v>
      </c>
      <c r="F45" t="s">
        <v>2287</v>
      </c>
      <c r="G45" t="s">
        <v>2878</v>
      </c>
      <c r="H45" t="s">
        <v>2879</v>
      </c>
      <c r="I45">
        <v>454</v>
      </c>
      <c r="J45">
        <v>326</v>
      </c>
      <c r="K45">
        <v>470</v>
      </c>
      <c r="L45" t="s">
        <v>2897</v>
      </c>
      <c r="M45">
        <v>51</v>
      </c>
      <c r="N45" t="s">
        <v>2890</v>
      </c>
      <c r="O45">
        <v>181.383442621</v>
      </c>
    </row>
    <row r="46" spans="1:15">
      <c r="A46">
        <v>81</v>
      </c>
      <c r="B46" t="s">
        <v>2276</v>
      </c>
      <c r="C46" t="s">
        <v>2295</v>
      </c>
      <c r="D46" t="s">
        <v>2659</v>
      </c>
      <c r="E46" t="s">
        <v>2460</v>
      </c>
      <c r="F46" t="s">
        <v>2296</v>
      </c>
      <c r="G46" t="s">
        <v>2714</v>
      </c>
      <c r="H46" t="s">
        <v>2697</v>
      </c>
      <c r="I46">
        <v>542</v>
      </c>
      <c r="J46">
        <v>187</v>
      </c>
      <c r="K46">
        <v>475</v>
      </c>
      <c r="L46" t="s">
        <v>2787</v>
      </c>
      <c r="M46">
        <v>51</v>
      </c>
      <c r="N46" t="s">
        <v>2788</v>
      </c>
      <c r="O46">
        <v>185.01185076100001</v>
      </c>
    </row>
    <row r="47" spans="1:15">
      <c r="A47">
        <v>17</v>
      </c>
      <c r="B47" t="s">
        <v>2176</v>
      </c>
      <c r="C47" t="s">
        <v>2207</v>
      </c>
      <c r="D47" t="s">
        <v>2659</v>
      </c>
      <c r="E47" t="s">
        <v>2460</v>
      </c>
      <c r="F47" t="s">
        <v>2208</v>
      </c>
      <c r="G47" t="s">
        <v>2714</v>
      </c>
      <c r="H47" t="s">
        <v>2697</v>
      </c>
      <c r="I47">
        <v>571</v>
      </c>
      <c r="J47">
        <v>542</v>
      </c>
      <c r="K47">
        <v>648</v>
      </c>
      <c r="L47" t="s">
        <v>2715</v>
      </c>
      <c r="M47">
        <v>51</v>
      </c>
      <c r="N47" t="s">
        <v>2716</v>
      </c>
      <c r="O47">
        <v>185.630065823</v>
      </c>
    </row>
    <row r="48" spans="1:15">
      <c r="A48">
        <v>18</v>
      </c>
      <c r="B48" t="s">
        <v>2176</v>
      </c>
      <c r="C48" t="s">
        <v>2210</v>
      </c>
      <c r="D48" t="s">
        <v>2659</v>
      </c>
      <c r="E48" t="s">
        <v>2460</v>
      </c>
      <c r="F48" t="s">
        <v>2208</v>
      </c>
      <c r="G48" t="s">
        <v>2714</v>
      </c>
      <c r="H48" t="s">
        <v>2697</v>
      </c>
      <c r="I48">
        <v>419</v>
      </c>
      <c r="J48">
        <v>128</v>
      </c>
      <c r="K48">
        <v>573</v>
      </c>
      <c r="L48" t="s">
        <v>2717</v>
      </c>
      <c r="M48">
        <v>51</v>
      </c>
      <c r="N48" t="s">
        <v>2716</v>
      </c>
      <c r="O48">
        <v>185.630065823</v>
      </c>
    </row>
    <row r="49" spans="1:15">
      <c r="A49">
        <v>19</v>
      </c>
      <c r="B49" t="s">
        <v>2176</v>
      </c>
      <c r="C49" t="s">
        <v>2211</v>
      </c>
      <c r="D49" t="s">
        <v>2659</v>
      </c>
      <c r="E49" t="s">
        <v>2460</v>
      </c>
      <c r="F49" t="s">
        <v>2208</v>
      </c>
      <c r="G49" t="s">
        <v>2714</v>
      </c>
      <c r="H49" t="s">
        <v>2697</v>
      </c>
      <c r="I49">
        <v>240</v>
      </c>
      <c r="J49">
        <v>82</v>
      </c>
      <c r="K49">
        <v>639</v>
      </c>
      <c r="L49" t="s">
        <v>2718</v>
      </c>
      <c r="M49">
        <v>51</v>
      </c>
      <c r="N49" t="s">
        <v>2716</v>
      </c>
      <c r="O49">
        <v>185.630065823</v>
      </c>
    </row>
    <row r="50" spans="1:15">
      <c r="A50">
        <v>20</v>
      </c>
      <c r="B50" t="s">
        <v>2176</v>
      </c>
      <c r="C50" t="s">
        <v>2212</v>
      </c>
      <c r="D50" t="s">
        <v>2659</v>
      </c>
      <c r="E50" t="s">
        <v>2460</v>
      </c>
      <c r="F50" t="s">
        <v>2208</v>
      </c>
      <c r="G50" t="s">
        <v>2714</v>
      </c>
      <c r="H50" t="s">
        <v>2697</v>
      </c>
      <c r="I50">
        <v>524</v>
      </c>
      <c r="J50">
        <v>50</v>
      </c>
      <c r="K50">
        <v>505</v>
      </c>
      <c r="L50" t="s">
        <v>2719</v>
      </c>
      <c r="M50">
        <v>51</v>
      </c>
      <c r="N50" t="s">
        <v>2716</v>
      </c>
      <c r="O50">
        <v>185.630065823</v>
      </c>
    </row>
    <row r="51" spans="1:15">
      <c r="A51">
        <v>21</v>
      </c>
      <c r="B51" t="s">
        <v>2176</v>
      </c>
      <c r="C51" t="s">
        <v>2213</v>
      </c>
      <c r="D51" t="s">
        <v>2659</v>
      </c>
      <c r="E51" t="s">
        <v>2460</v>
      </c>
      <c r="F51" t="s">
        <v>2208</v>
      </c>
      <c r="G51" t="s">
        <v>2714</v>
      </c>
      <c r="H51" t="s">
        <v>2697</v>
      </c>
      <c r="I51">
        <v>699</v>
      </c>
      <c r="J51">
        <v>529</v>
      </c>
      <c r="K51">
        <v>721</v>
      </c>
      <c r="L51" t="s">
        <v>2499</v>
      </c>
      <c r="M51">
        <v>51</v>
      </c>
      <c r="N51" t="s">
        <v>2716</v>
      </c>
      <c r="O51">
        <v>185.630065823</v>
      </c>
    </row>
    <row r="52" spans="1:15">
      <c r="A52">
        <v>22</v>
      </c>
      <c r="B52" t="s">
        <v>2176</v>
      </c>
      <c r="C52" t="s">
        <v>2214</v>
      </c>
      <c r="D52" t="s">
        <v>2659</v>
      </c>
      <c r="E52" t="s">
        <v>2460</v>
      </c>
      <c r="F52" t="s">
        <v>2208</v>
      </c>
      <c r="G52" t="s">
        <v>2714</v>
      </c>
      <c r="H52" t="s">
        <v>2697</v>
      </c>
      <c r="I52">
        <v>575</v>
      </c>
      <c r="J52">
        <v>363</v>
      </c>
      <c r="K52">
        <v>552</v>
      </c>
      <c r="L52" t="s">
        <v>2720</v>
      </c>
      <c r="M52">
        <v>51</v>
      </c>
      <c r="N52" t="s">
        <v>2716</v>
      </c>
      <c r="O52">
        <v>185.630065823</v>
      </c>
    </row>
    <row r="53" spans="1:15">
      <c r="A53">
        <v>23</v>
      </c>
      <c r="B53" t="s">
        <v>2176</v>
      </c>
      <c r="C53" t="s">
        <v>2215</v>
      </c>
      <c r="D53" t="s">
        <v>2659</v>
      </c>
      <c r="E53" t="s">
        <v>2460</v>
      </c>
      <c r="F53" t="s">
        <v>2208</v>
      </c>
      <c r="G53" t="s">
        <v>2714</v>
      </c>
      <c r="H53" t="s">
        <v>2697</v>
      </c>
      <c r="I53">
        <v>492</v>
      </c>
      <c r="J53">
        <v>190</v>
      </c>
      <c r="K53">
        <v>456</v>
      </c>
      <c r="L53" t="s">
        <v>2721</v>
      </c>
      <c r="M53">
        <v>51</v>
      </c>
      <c r="N53" t="s">
        <v>2716</v>
      </c>
      <c r="O53">
        <v>185.630065823</v>
      </c>
    </row>
    <row r="54" spans="1:15">
      <c r="A54">
        <v>24</v>
      </c>
      <c r="B54" t="s">
        <v>2176</v>
      </c>
      <c r="C54" t="s">
        <v>2216</v>
      </c>
      <c r="D54" t="s">
        <v>2659</v>
      </c>
      <c r="E54" t="s">
        <v>2460</v>
      </c>
      <c r="F54" t="s">
        <v>2208</v>
      </c>
      <c r="G54" t="s">
        <v>2714</v>
      </c>
      <c r="H54" t="s">
        <v>2697</v>
      </c>
      <c r="I54">
        <v>813</v>
      </c>
      <c r="J54">
        <v>144</v>
      </c>
      <c r="K54">
        <v>421</v>
      </c>
      <c r="L54" t="s">
        <v>2722</v>
      </c>
      <c r="M54">
        <v>51</v>
      </c>
      <c r="N54" t="s">
        <v>2716</v>
      </c>
      <c r="O54">
        <v>185.630065823</v>
      </c>
    </row>
    <row r="55" spans="1:15">
      <c r="A55">
        <v>25</v>
      </c>
      <c r="B55" t="s">
        <v>2176</v>
      </c>
      <c r="C55" t="s">
        <v>2217</v>
      </c>
      <c r="D55" t="s">
        <v>2659</v>
      </c>
      <c r="E55" t="s">
        <v>2460</v>
      </c>
      <c r="F55" t="s">
        <v>2218</v>
      </c>
      <c r="G55" t="s">
        <v>2714</v>
      </c>
      <c r="H55" t="s">
        <v>2697</v>
      </c>
      <c r="I55">
        <v>406</v>
      </c>
      <c r="J55">
        <v>279</v>
      </c>
      <c r="K55">
        <v>864</v>
      </c>
      <c r="L55" t="s">
        <v>2723</v>
      </c>
      <c r="M55">
        <v>51</v>
      </c>
      <c r="N55" t="s">
        <v>2724</v>
      </c>
      <c r="O55">
        <v>185.630065823</v>
      </c>
    </row>
    <row r="56" spans="1:15">
      <c r="A56">
        <v>26</v>
      </c>
      <c r="B56" t="s">
        <v>2176</v>
      </c>
      <c r="C56" t="s">
        <v>2219</v>
      </c>
      <c r="D56" t="s">
        <v>2659</v>
      </c>
      <c r="E56" t="s">
        <v>2460</v>
      </c>
      <c r="F56" t="s">
        <v>2218</v>
      </c>
      <c r="G56" t="s">
        <v>2714</v>
      </c>
      <c r="H56" t="s">
        <v>2697</v>
      </c>
      <c r="I56">
        <v>651</v>
      </c>
      <c r="J56">
        <v>148</v>
      </c>
      <c r="K56">
        <v>506</v>
      </c>
      <c r="L56" t="s">
        <v>2725</v>
      </c>
      <c r="M56">
        <v>51</v>
      </c>
      <c r="N56" t="s">
        <v>2724</v>
      </c>
      <c r="O56">
        <v>185.630065823</v>
      </c>
    </row>
    <row r="57" spans="1:15">
      <c r="A57">
        <v>27</v>
      </c>
      <c r="B57" t="s">
        <v>2176</v>
      </c>
      <c r="C57" t="s">
        <v>2220</v>
      </c>
      <c r="D57" t="s">
        <v>2659</v>
      </c>
      <c r="E57" t="s">
        <v>2460</v>
      </c>
      <c r="F57" t="s">
        <v>2218</v>
      </c>
      <c r="G57" t="s">
        <v>2714</v>
      </c>
      <c r="H57" t="s">
        <v>2697</v>
      </c>
      <c r="I57">
        <v>583</v>
      </c>
      <c r="J57">
        <v>112</v>
      </c>
      <c r="K57">
        <v>449</v>
      </c>
      <c r="L57" t="s">
        <v>2726</v>
      </c>
      <c r="M57">
        <v>51</v>
      </c>
      <c r="N57" t="s">
        <v>2724</v>
      </c>
      <c r="O57">
        <v>185.630065823</v>
      </c>
    </row>
    <row r="58" spans="1:15">
      <c r="A58">
        <v>28</v>
      </c>
      <c r="B58" t="s">
        <v>2176</v>
      </c>
      <c r="C58" t="s">
        <v>2221</v>
      </c>
      <c r="D58" t="s">
        <v>2659</v>
      </c>
      <c r="E58" t="s">
        <v>2460</v>
      </c>
      <c r="F58" t="s">
        <v>2218</v>
      </c>
      <c r="G58" t="s">
        <v>2714</v>
      </c>
      <c r="H58" t="s">
        <v>2697</v>
      </c>
      <c r="I58">
        <v>702</v>
      </c>
      <c r="J58">
        <v>436</v>
      </c>
      <c r="K58">
        <v>502</v>
      </c>
      <c r="L58" t="s">
        <v>2727</v>
      </c>
      <c r="M58">
        <v>51</v>
      </c>
      <c r="N58" t="s">
        <v>2724</v>
      </c>
      <c r="O58">
        <v>185.630065823</v>
      </c>
    </row>
    <row r="59" spans="1:15">
      <c r="A59">
        <v>29</v>
      </c>
      <c r="B59" t="s">
        <v>2176</v>
      </c>
      <c r="C59" t="s">
        <v>2222</v>
      </c>
      <c r="D59" t="s">
        <v>2659</v>
      </c>
      <c r="E59" t="s">
        <v>2460</v>
      </c>
      <c r="F59" t="s">
        <v>2218</v>
      </c>
      <c r="G59" t="s">
        <v>2714</v>
      </c>
      <c r="H59" t="s">
        <v>2697</v>
      </c>
      <c r="I59">
        <v>838</v>
      </c>
      <c r="J59">
        <v>386</v>
      </c>
      <c r="K59">
        <v>345</v>
      </c>
      <c r="L59" t="s">
        <v>2728</v>
      </c>
      <c r="M59">
        <v>51</v>
      </c>
      <c r="N59" t="s">
        <v>2724</v>
      </c>
      <c r="O59">
        <v>185.630065823</v>
      </c>
    </row>
    <row r="60" spans="1:15">
      <c r="A60">
        <v>30</v>
      </c>
      <c r="B60" t="s">
        <v>2176</v>
      </c>
      <c r="C60" t="s">
        <v>2223</v>
      </c>
      <c r="D60" t="s">
        <v>2659</v>
      </c>
      <c r="E60" t="s">
        <v>2460</v>
      </c>
      <c r="F60" t="s">
        <v>2218</v>
      </c>
      <c r="G60" t="s">
        <v>2714</v>
      </c>
      <c r="H60" t="s">
        <v>2697</v>
      </c>
      <c r="I60">
        <v>518</v>
      </c>
      <c r="J60">
        <v>507</v>
      </c>
      <c r="K60">
        <v>500</v>
      </c>
      <c r="L60" t="s">
        <v>2729</v>
      </c>
      <c r="M60">
        <v>51</v>
      </c>
      <c r="N60" t="s">
        <v>2724</v>
      </c>
      <c r="O60">
        <v>185.630065823</v>
      </c>
    </row>
    <row r="61" spans="1:15">
      <c r="A61">
        <v>31</v>
      </c>
      <c r="B61" t="s">
        <v>2176</v>
      </c>
      <c r="C61" t="s">
        <v>2224</v>
      </c>
      <c r="D61" t="s">
        <v>2659</v>
      </c>
      <c r="E61" t="s">
        <v>2460</v>
      </c>
      <c r="F61" t="s">
        <v>2218</v>
      </c>
      <c r="G61" t="s">
        <v>2714</v>
      </c>
      <c r="H61" t="s">
        <v>2697</v>
      </c>
      <c r="I61">
        <v>404</v>
      </c>
      <c r="J61">
        <v>141</v>
      </c>
      <c r="K61">
        <v>521</v>
      </c>
      <c r="L61" t="s">
        <v>2730</v>
      </c>
      <c r="M61">
        <v>51</v>
      </c>
      <c r="N61" t="s">
        <v>2724</v>
      </c>
      <c r="O61">
        <v>185.630065823</v>
      </c>
    </row>
    <row r="62" spans="1:15">
      <c r="A62">
        <v>32</v>
      </c>
      <c r="B62" t="s">
        <v>2176</v>
      </c>
      <c r="C62" t="s">
        <v>2225</v>
      </c>
      <c r="D62" t="s">
        <v>2659</v>
      </c>
      <c r="E62" t="s">
        <v>2460</v>
      </c>
      <c r="F62" t="s">
        <v>2218</v>
      </c>
      <c r="G62" t="s">
        <v>2714</v>
      </c>
      <c r="H62" t="s">
        <v>2697</v>
      </c>
      <c r="I62">
        <v>527</v>
      </c>
      <c r="J62">
        <v>396</v>
      </c>
      <c r="K62">
        <v>201</v>
      </c>
      <c r="L62" t="s">
        <v>2731</v>
      </c>
      <c r="M62">
        <v>51</v>
      </c>
      <c r="N62" t="s">
        <v>2724</v>
      </c>
      <c r="O62">
        <v>185.630065823</v>
      </c>
    </row>
    <row r="63" spans="1:15">
      <c r="A63">
        <v>65</v>
      </c>
      <c r="B63" t="s">
        <v>2276</v>
      </c>
      <c r="C63" t="s">
        <v>2277</v>
      </c>
      <c r="D63" t="s">
        <v>2659</v>
      </c>
      <c r="E63" t="s">
        <v>2460</v>
      </c>
      <c r="F63" t="s">
        <v>2278</v>
      </c>
      <c r="G63" t="s">
        <v>2714</v>
      </c>
      <c r="H63" t="s">
        <v>2697</v>
      </c>
      <c r="I63">
        <v>614</v>
      </c>
      <c r="J63">
        <v>525</v>
      </c>
      <c r="K63">
        <v>700</v>
      </c>
      <c r="L63" t="s">
        <v>2769</v>
      </c>
      <c r="M63">
        <v>51</v>
      </c>
      <c r="N63" t="s">
        <v>2770</v>
      </c>
      <c r="O63">
        <v>185.630065823</v>
      </c>
    </row>
    <row r="64" spans="1:15">
      <c r="A64">
        <v>66</v>
      </c>
      <c r="B64" t="s">
        <v>2276</v>
      </c>
      <c r="C64" t="s">
        <v>2279</v>
      </c>
      <c r="D64" t="s">
        <v>2659</v>
      </c>
      <c r="E64" t="s">
        <v>2460</v>
      </c>
      <c r="F64" t="s">
        <v>2278</v>
      </c>
      <c r="G64" t="s">
        <v>2714</v>
      </c>
      <c r="H64" t="s">
        <v>2697</v>
      </c>
      <c r="I64">
        <v>282</v>
      </c>
      <c r="J64">
        <v>150</v>
      </c>
      <c r="K64">
        <v>760</v>
      </c>
      <c r="L64" t="s">
        <v>2771</v>
      </c>
      <c r="M64">
        <v>51</v>
      </c>
      <c r="N64" t="s">
        <v>2770</v>
      </c>
      <c r="O64">
        <v>185.630065823</v>
      </c>
    </row>
    <row r="65" spans="1:15">
      <c r="A65">
        <v>67</v>
      </c>
      <c r="B65" t="s">
        <v>2276</v>
      </c>
      <c r="C65" t="s">
        <v>2280</v>
      </c>
      <c r="D65" t="s">
        <v>2659</v>
      </c>
      <c r="E65" t="s">
        <v>2460</v>
      </c>
      <c r="F65" t="s">
        <v>2278</v>
      </c>
      <c r="G65" t="s">
        <v>2714</v>
      </c>
      <c r="H65" t="s">
        <v>2697</v>
      </c>
      <c r="I65">
        <v>450</v>
      </c>
      <c r="J65">
        <v>165</v>
      </c>
      <c r="K65">
        <v>660</v>
      </c>
      <c r="L65" t="s">
        <v>2772</v>
      </c>
      <c r="M65">
        <v>51</v>
      </c>
      <c r="N65" t="s">
        <v>2770</v>
      </c>
      <c r="O65">
        <v>185.630065823</v>
      </c>
    </row>
    <row r="66" spans="1:15">
      <c r="A66">
        <v>68</v>
      </c>
      <c r="B66" t="s">
        <v>2276</v>
      </c>
      <c r="C66" t="s">
        <v>2281</v>
      </c>
      <c r="D66" t="s">
        <v>2659</v>
      </c>
      <c r="E66" t="s">
        <v>2460</v>
      </c>
      <c r="F66" t="s">
        <v>2278</v>
      </c>
      <c r="G66" t="s">
        <v>2714</v>
      </c>
      <c r="H66" t="s">
        <v>2697</v>
      </c>
      <c r="I66">
        <v>269</v>
      </c>
      <c r="J66">
        <v>129</v>
      </c>
      <c r="K66">
        <v>477</v>
      </c>
      <c r="L66" t="s">
        <v>2773</v>
      </c>
      <c r="M66">
        <v>51</v>
      </c>
      <c r="N66" t="s">
        <v>2770</v>
      </c>
      <c r="O66">
        <v>185.630065823</v>
      </c>
    </row>
    <row r="67" spans="1:15">
      <c r="A67">
        <v>69</v>
      </c>
      <c r="B67" t="s">
        <v>2276</v>
      </c>
      <c r="C67" t="s">
        <v>2282</v>
      </c>
      <c r="D67" t="s">
        <v>2659</v>
      </c>
      <c r="E67" t="s">
        <v>2460</v>
      </c>
      <c r="F67" t="s">
        <v>2278</v>
      </c>
      <c r="G67" t="s">
        <v>2714</v>
      </c>
      <c r="H67" t="s">
        <v>2697</v>
      </c>
      <c r="I67">
        <v>448</v>
      </c>
      <c r="J67">
        <v>414</v>
      </c>
      <c r="K67">
        <v>386</v>
      </c>
      <c r="L67" t="s">
        <v>2774</v>
      </c>
      <c r="M67">
        <v>51</v>
      </c>
      <c r="N67" t="s">
        <v>2770</v>
      </c>
      <c r="O67">
        <v>185.630065823</v>
      </c>
    </row>
    <row r="68" spans="1:15">
      <c r="A68">
        <v>70</v>
      </c>
      <c r="B68" t="s">
        <v>2276</v>
      </c>
      <c r="C68" t="s">
        <v>2283</v>
      </c>
      <c r="D68" t="s">
        <v>2659</v>
      </c>
      <c r="E68" t="s">
        <v>2460</v>
      </c>
      <c r="F68" t="s">
        <v>2278</v>
      </c>
      <c r="G68" t="s">
        <v>2714</v>
      </c>
      <c r="H68" t="s">
        <v>2697</v>
      </c>
      <c r="I68">
        <v>358</v>
      </c>
      <c r="J68">
        <v>151</v>
      </c>
      <c r="K68">
        <v>414</v>
      </c>
      <c r="L68" t="s">
        <v>2775</v>
      </c>
      <c r="M68">
        <v>51</v>
      </c>
      <c r="N68" t="s">
        <v>2770</v>
      </c>
      <c r="O68">
        <v>185.630065823</v>
      </c>
    </row>
    <row r="69" spans="1:15">
      <c r="A69">
        <v>71</v>
      </c>
      <c r="B69" t="s">
        <v>2276</v>
      </c>
      <c r="C69" t="s">
        <v>2284</v>
      </c>
      <c r="D69" t="s">
        <v>2659</v>
      </c>
      <c r="E69" t="s">
        <v>2460</v>
      </c>
      <c r="F69" t="s">
        <v>2278</v>
      </c>
      <c r="G69" t="s">
        <v>2714</v>
      </c>
      <c r="H69" t="s">
        <v>2697</v>
      </c>
      <c r="I69">
        <v>511</v>
      </c>
      <c r="J69">
        <v>95</v>
      </c>
      <c r="K69">
        <v>459</v>
      </c>
      <c r="L69" t="s">
        <v>2776</v>
      </c>
      <c r="M69">
        <v>51</v>
      </c>
      <c r="N69" t="s">
        <v>2770</v>
      </c>
      <c r="O69">
        <v>185.630065823</v>
      </c>
    </row>
    <row r="70" spans="1:15">
      <c r="A70">
        <v>72</v>
      </c>
      <c r="B70" t="s">
        <v>2276</v>
      </c>
      <c r="C70" t="s">
        <v>2285</v>
      </c>
      <c r="D70" t="s">
        <v>2659</v>
      </c>
      <c r="E70" t="s">
        <v>2460</v>
      </c>
      <c r="F70" t="s">
        <v>2278</v>
      </c>
      <c r="G70" t="s">
        <v>2714</v>
      </c>
      <c r="H70" t="s">
        <v>2697</v>
      </c>
      <c r="I70">
        <v>383</v>
      </c>
      <c r="J70">
        <v>546</v>
      </c>
      <c r="K70">
        <v>627</v>
      </c>
      <c r="L70" t="s">
        <v>2777</v>
      </c>
      <c r="M70">
        <v>51</v>
      </c>
      <c r="N70" t="s">
        <v>2770</v>
      </c>
      <c r="O70">
        <v>185.630065823</v>
      </c>
    </row>
    <row r="71" spans="1:15">
      <c r="A71">
        <v>73</v>
      </c>
      <c r="B71" t="s">
        <v>2276</v>
      </c>
      <c r="C71" t="s">
        <v>2286</v>
      </c>
      <c r="D71" t="s">
        <v>2659</v>
      </c>
      <c r="E71" t="s">
        <v>2460</v>
      </c>
      <c r="F71" t="s">
        <v>2287</v>
      </c>
      <c r="G71" t="s">
        <v>2714</v>
      </c>
      <c r="H71" t="s">
        <v>2697</v>
      </c>
      <c r="I71">
        <v>549</v>
      </c>
      <c r="J71">
        <v>438</v>
      </c>
      <c r="K71">
        <v>498</v>
      </c>
      <c r="L71" t="s">
        <v>2778</v>
      </c>
      <c r="M71">
        <v>51</v>
      </c>
      <c r="N71" t="s">
        <v>2779</v>
      </c>
      <c r="O71">
        <v>185.630065823</v>
      </c>
    </row>
    <row r="72" spans="1:15">
      <c r="A72">
        <v>74</v>
      </c>
      <c r="B72" t="s">
        <v>2276</v>
      </c>
      <c r="C72" t="s">
        <v>2288</v>
      </c>
      <c r="D72" t="s">
        <v>2659</v>
      </c>
      <c r="E72" t="s">
        <v>2460</v>
      </c>
      <c r="F72" t="s">
        <v>2287</v>
      </c>
      <c r="G72" t="s">
        <v>2714</v>
      </c>
      <c r="H72" t="s">
        <v>2697</v>
      </c>
      <c r="I72">
        <v>605</v>
      </c>
      <c r="J72">
        <v>122</v>
      </c>
      <c r="K72">
        <v>579</v>
      </c>
      <c r="L72" t="s">
        <v>2780</v>
      </c>
      <c r="M72">
        <v>51</v>
      </c>
      <c r="N72" t="s">
        <v>2779</v>
      </c>
      <c r="O72">
        <v>185.630065823</v>
      </c>
    </row>
    <row r="73" spans="1:15">
      <c r="A73">
        <v>75</v>
      </c>
      <c r="B73" t="s">
        <v>2276</v>
      </c>
      <c r="C73" t="s">
        <v>2289</v>
      </c>
      <c r="D73" t="s">
        <v>2659</v>
      </c>
      <c r="E73" t="s">
        <v>2460</v>
      </c>
      <c r="F73" t="s">
        <v>2287</v>
      </c>
      <c r="G73" t="s">
        <v>2714</v>
      </c>
      <c r="H73" t="s">
        <v>2697</v>
      </c>
      <c r="I73">
        <v>408</v>
      </c>
      <c r="J73">
        <v>404</v>
      </c>
      <c r="K73">
        <v>373</v>
      </c>
      <c r="L73" t="s">
        <v>2781</v>
      </c>
      <c r="M73">
        <v>51</v>
      </c>
      <c r="N73" t="s">
        <v>2779</v>
      </c>
      <c r="O73">
        <v>185.630065823</v>
      </c>
    </row>
    <row r="74" spans="1:15">
      <c r="A74">
        <v>76</v>
      </c>
      <c r="B74" t="s">
        <v>2276</v>
      </c>
      <c r="C74" t="s">
        <v>2290</v>
      </c>
      <c r="D74" t="s">
        <v>2659</v>
      </c>
      <c r="E74" t="s">
        <v>2460</v>
      </c>
      <c r="F74" t="s">
        <v>2287</v>
      </c>
      <c r="G74" t="s">
        <v>2714</v>
      </c>
      <c r="H74" t="s">
        <v>2697</v>
      </c>
      <c r="I74">
        <v>416</v>
      </c>
      <c r="J74">
        <v>501</v>
      </c>
      <c r="K74">
        <v>603</v>
      </c>
      <c r="L74" t="s">
        <v>2782</v>
      </c>
      <c r="M74">
        <v>51</v>
      </c>
      <c r="N74" t="s">
        <v>2779</v>
      </c>
      <c r="O74">
        <v>185.630065823</v>
      </c>
    </row>
    <row r="75" spans="1:15">
      <c r="A75">
        <v>77</v>
      </c>
      <c r="B75" t="s">
        <v>2276</v>
      </c>
      <c r="C75" t="s">
        <v>2291</v>
      </c>
      <c r="D75" t="s">
        <v>2659</v>
      </c>
      <c r="E75" t="s">
        <v>2460</v>
      </c>
      <c r="F75" t="s">
        <v>2287</v>
      </c>
      <c r="G75" t="s">
        <v>2714</v>
      </c>
      <c r="H75" t="s">
        <v>2697</v>
      </c>
      <c r="I75">
        <v>594</v>
      </c>
      <c r="J75">
        <v>137</v>
      </c>
      <c r="K75">
        <v>509</v>
      </c>
      <c r="L75" t="s">
        <v>2783</v>
      </c>
      <c r="M75">
        <v>51</v>
      </c>
      <c r="N75" t="s">
        <v>2779</v>
      </c>
      <c r="O75">
        <v>185.630065823</v>
      </c>
    </row>
    <row r="76" spans="1:15">
      <c r="A76">
        <v>78</v>
      </c>
      <c r="B76" t="s">
        <v>2276</v>
      </c>
      <c r="C76" t="s">
        <v>2292</v>
      </c>
      <c r="D76" t="s">
        <v>2659</v>
      </c>
      <c r="E76" t="s">
        <v>2460</v>
      </c>
      <c r="F76" t="s">
        <v>2287</v>
      </c>
      <c r="G76" t="s">
        <v>2714</v>
      </c>
      <c r="H76" t="s">
        <v>2697</v>
      </c>
      <c r="I76">
        <v>460</v>
      </c>
      <c r="J76">
        <v>278</v>
      </c>
      <c r="K76">
        <v>446</v>
      </c>
      <c r="L76" t="s">
        <v>2784</v>
      </c>
      <c r="M76">
        <v>51</v>
      </c>
      <c r="N76" t="s">
        <v>2779</v>
      </c>
      <c r="O76">
        <v>185.630065823</v>
      </c>
    </row>
    <row r="77" spans="1:15">
      <c r="A77">
        <v>79</v>
      </c>
      <c r="B77" t="s">
        <v>2276</v>
      </c>
      <c r="C77" t="s">
        <v>2293</v>
      </c>
      <c r="D77" t="s">
        <v>2659</v>
      </c>
      <c r="E77" t="s">
        <v>2460</v>
      </c>
      <c r="F77" t="s">
        <v>2287</v>
      </c>
      <c r="G77" t="s">
        <v>2714</v>
      </c>
      <c r="H77" t="s">
        <v>2697</v>
      </c>
      <c r="I77">
        <v>217</v>
      </c>
      <c r="J77">
        <v>235</v>
      </c>
      <c r="K77">
        <v>249</v>
      </c>
      <c r="L77" t="s">
        <v>2785</v>
      </c>
      <c r="M77">
        <v>51</v>
      </c>
      <c r="N77" t="s">
        <v>2779</v>
      </c>
      <c r="O77">
        <v>185.630065823</v>
      </c>
    </row>
    <row r="78" spans="1:15">
      <c r="A78">
        <v>80</v>
      </c>
      <c r="B78" t="s">
        <v>2276</v>
      </c>
      <c r="C78" t="s">
        <v>2294</v>
      </c>
      <c r="D78" t="s">
        <v>2659</v>
      </c>
      <c r="E78" t="s">
        <v>2460</v>
      </c>
      <c r="F78" t="s">
        <v>2287</v>
      </c>
      <c r="G78" t="s">
        <v>2714</v>
      </c>
      <c r="H78" t="s">
        <v>2697</v>
      </c>
      <c r="I78">
        <v>607</v>
      </c>
      <c r="J78">
        <v>181</v>
      </c>
      <c r="K78">
        <v>474</v>
      </c>
      <c r="L78" t="s">
        <v>2786</v>
      </c>
      <c r="M78">
        <v>51</v>
      </c>
      <c r="N78" t="s">
        <v>2779</v>
      </c>
      <c r="O78">
        <v>185.630065823</v>
      </c>
    </row>
    <row r="79" spans="1:15">
      <c r="A79">
        <v>177</v>
      </c>
      <c r="B79" t="s">
        <v>2385</v>
      </c>
      <c r="C79" t="s">
        <v>2403</v>
      </c>
      <c r="D79" t="s">
        <v>2460</v>
      </c>
      <c r="E79" t="s">
        <v>2460</v>
      </c>
      <c r="F79" t="s">
        <v>2296</v>
      </c>
      <c r="G79" t="s">
        <v>2878</v>
      </c>
      <c r="H79" t="s">
        <v>2859</v>
      </c>
      <c r="I79">
        <v>362</v>
      </c>
      <c r="J79">
        <v>262</v>
      </c>
      <c r="K79">
        <v>483</v>
      </c>
      <c r="L79" t="s">
        <v>2898</v>
      </c>
      <c r="M79">
        <v>52</v>
      </c>
      <c r="N79" t="s">
        <v>2899</v>
      </c>
      <c r="O79">
        <v>188.24043152799999</v>
      </c>
    </row>
    <row r="80" spans="1:15">
      <c r="A80">
        <v>178</v>
      </c>
      <c r="B80" t="s">
        <v>2385</v>
      </c>
      <c r="C80" t="s">
        <v>2404</v>
      </c>
      <c r="D80" t="s">
        <v>2460</v>
      </c>
      <c r="E80" t="s">
        <v>2460</v>
      </c>
      <c r="F80" t="s">
        <v>2296</v>
      </c>
      <c r="G80" t="s">
        <v>2878</v>
      </c>
      <c r="H80" t="s">
        <v>2859</v>
      </c>
      <c r="I80">
        <v>781</v>
      </c>
      <c r="J80">
        <v>309</v>
      </c>
      <c r="K80">
        <v>893</v>
      </c>
      <c r="L80" t="s">
        <v>2900</v>
      </c>
      <c r="M80">
        <v>52</v>
      </c>
      <c r="N80" t="s">
        <v>2899</v>
      </c>
      <c r="O80">
        <v>188.24043152799999</v>
      </c>
    </row>
    <row r="81" spans="1:15">
      <c r="A81">
        <v>179</v>
      </c>
      <c r="B81" t="s">
        <v>2385</v>
      </c>
      <c r="C81" t="s">
        <v>2405</v>
      </c>
      <c r="D81" t="s">
        <v>2460</v>
      </c>
      <c r="E81" t="s">
        <v>2460</v>
      </c>
      <c r="F81" t="s">
        <v>2296</v>
      </c>
      <c r="G81" t="s">
        <v>2878</v>
      </c>
      <c r="H81" t="s">
        <v>2859</v>
      </c>
      <c r="I81">
        <v>451</v>
      </c>
      <c r="J81">
        <v>32</v>
      </c>
      <c r="K81">
        <v>826</v>
      </c>
      <c r="L81" t="s">
        <v>2901</v>
      </c>
      <c r="M81">
        <v>52</v>
      </c>
      <c r="N81" t="s">
        <v>2899</v>
      </c>
      <c r="O81">
        <v>188.24043152799999</v>
      </c>
    </row>
    <row r="82" spans="1:15">
      <c r="A82">
        <v>180</v>
      </c>
      <c r="B82" t="s">
        <v>2385</v>
      </c>
      <c r="C82" t="s">
        <v>2406</v>
      </c>
      <c r="D82" t="s">
        <v>2460</v>
      </c>
      <c r="E82" t="s">
        <v>2460</v>
      </c>
      <c r="F82" t="s">
        <v>2296</v>
      </c>
      <c r="G82" t="s">
        <v>2878</v>
      </c>
      <c r="H82" t="s">
        <v>2859</v>
      </c>
      <c r="I82">
        <v>360</v>
      </c>
      <c r="J82">
        <v>268</v>
      </c>
      <c r="K82">
        <v>783</v>
      </c>
      <c r="L82" t="s">
        <v>2902</v>
      </c>
      <c r="M82">
        <v>52</v>
      </c>
      <c r="N82" t="s">
        <v>2899</v>
      </c>
      <c r="O82">
        <v>188.24043152799999</v>
      </c>
    </row>
    <row r="83" spans="1:15">
      <c r="A83">
        <v>181</v>
      </c>
      <c r="B83" t="s">
        <v>2385</v>
      </c>
      <c r="C83" t="s">
        <v>2407</v>
      </c>
      <c r="D83" t="s">
        <v>2460</v>
      </c>
      <c r="E83" t="s">
        <v>2460</v>
      </c>
      <c r="F83" t="s">
        <v>2296</v>
      </c>
      <c r="G83" t="s">
        <v>2878</v>
      </c>
      <c r="H83" t="s">
        <v>2859</v>
      </c>
      <c r="I83">
        <v>458</v>
      </c>
      <c r="J83">
        <v>587</v>
      </c>
      <c r="K83">
        <v>551</v>
      </c>
      <c r="L83" t="s">
        <v>2903</v>
      </c>
      <c r="M83">
        <v>52</v>
      </c>
      <c r="N83" t="s">
        <v>2899</v>
      </c>
      <c r="O83">
        <v>188.24043152799999</v>
      </c>
    </row>
    <row r="84" spans="1:15">
      <c r="A84">
        <v>182</v>
      </c>
      <c r="B84" t="s">
        <v>2385</v>
      </c>
      <c r="C84" t="s">
        <v>2408</v>
      </c>
      <c r="D84" t="s">
        <v>2460</v>
      </c>
      <c r="E84" t="s">
        <v>2460</v>
      </c>
      <c r="F84" t="s">
        <v>2296</v>
      </c>
      <c r="G84" t="s">
        <v>2878</v>
      </c>
      <c r="H84" t="s">
        <v>2859</v>
      </c>
      <c r="I84">
        <v>403</v>
      </c>
      <c r="J84">
        <v>444</v>
      </c>
      <c r="K84">
        <v>818</v>
      </c>
      <c r="L84" t="s">
        <v>2904</v>
      </c>
      <c r="M84">
        <v>52</v>
      </c>
      <c r="N84" t="s">
        <v>2899</v>
      </c>
      <c r="O84">
        <v>188.24043152799999</v>
      </c>
    </row>
    <row r="85" spans="1:15">
      <c r="A85">
        <v>183</v>
      </c>
      <c r="B85" t="s">
        <v>2385</v>
      </c>
      <c r="C85" t="s">
        <v>2409</v>
      </c>
      <c r="D85" t="s">
        <v>2460</v>
      </c>
      <c r="E85" t="s">
        <v>2460</v>
      </c>
      <c r="F85" t="s">
        <v>2296</v>
      </c>
      <c r="G85" t="s">
        <v>2878</v>
      </c>
      <c r="H85" t="s">
        <v>2859</v>
      </c>
      <c r="I85">
        <v>585</v>
      </c>
      <c r="J85">
        <v>568</v>
      </c>
      <c r="K85">
        <v>896</v>
      </c>
      <c r="L85" t="s">
        <v>2905</v>
      </c>
      <c r="M85">
        <v>52</v>
      </c>
      <c r="N85" t="s">
        <v>2899</v>
      </c>
      <c r="O85">
        <v>188.24043152799999</v>
      </c>
    </row>
    <row r="86" spans="1:15">
      <c r="A86">
        <v>184</v>
      </c>
      <c r="B86" t="s">
        <v>2385</v>
      </c>
      <c r="C86" t="s">
        <v>2410</v>
      </c>
      <c r="D86" t="s">
        <v>2460</v>
      </c>
      <c r="E86" t="s">
        <v>2460</v>
      </c>
      <c r="F86" t="s">
        <v>2296</v>
      </c>
      <c r="G86" t="s">
        <v>2878</v>
      </c>
      <c r="H86" t="s">
        <v>2859</v>
      </c>
      <c r="I86">
        <v>669</v>
      </c>
      <c r="J86">
        <v>541</v>
      </c>
      <c r="K86">
        <v>337</v>
      </c>
      <c r="L86" t="s">
        <v>2906</v>
      </c>
      <c r="M86">
        <v>52</v>
      </c>
      <c r="N86" t="s">
        <v>2899</v>
      </c>
      <c r="O86">
        <v>188.24043152799999</v>
      </c>
    </row>
    <row r="87" spans="1:15">
      <c r="A87">
        <v>185</v>
      </c>
      <c r="B87" t="s">
        <v>2385</v>
      </c>
      <c r="C87" t="s">
        <v>2412</v>
      </c>
      <c r="D87" t="s">
        <v>2460</v>
      </c>
      <c r="E87" t="s">
        <v>2460</v>
      </c>
      <c r="F87" t="s">
        <v>2306</v>
      </c>
      <c r="G87" t="s">
        <v>2878</v>
      </c>
      <c r="H87" t="s">
        <v>2859</v>
      </c>
      <c r="I87">
        <v>423</v>
      </c>
      <c r="J87">
        <v>51</v>
      </c>
      <c r="K87">
        <v>564</v>
      </c>
      <c r="L87" t="s">
        <v>2907</v>
      </c>
      <c r="M87">
        <v>52</v>
      </c>
      <c r="N87" t="s">
        <v>2908</v>
      </c>
      <c r="O87">
        <v>188.24043152799999</v>
      </c>
    </row>
    <row r="88" spans="1:15">
      <c r="A88">
        <v>186</v>
      </c>
      <c r="B88" t="s">
        <v>2385</v>
      </c>
      <c r="C88" t="s">
        <v>2413</v>
      </c>
      <c r="D88" t="s">
        <v>2460</v>
      </c>
      <c r="E88" t="s">
        <v>2460</v>
      </c>
      <c r="F88" t="s">
        <v>2306</v>
      </c>
      <c r="G88" t="s">
        <v>2878</v>
      </c>
      <c r="H88" t="s">
        <v>2859</v>
      </c>
      <c r="I88">
        <v>544</v>
      </c>
      <c r="J88">
        <v>557</v>
      </c>
      <c r="K88">
        <v>608</v>
      </c>
      <c r="L88" t="s">
        <v>2909</v>
      </c>
      <c r="M88">
        <v>52</v>
      </c>
      <c r="N88" t="s">
        <v>2908</v>
      </c>
      <c r="O88">
        <v>188.24043152799999</v>
      </c>
    </row>
    <row r="89" spans="1:15">
      <c r="A89">
        <v>187</v>
      </c>
      <c r="B89" t="s">
        <v>2385</v>
      </c>
      <c r="C89" t="s">
        <v>2414</v>
      </c>
      <c r="D89" t="s">
        <v>2460</v>
      </c>
      <c r="E89" t="s">
        <v>2460</v>
      </c>
      <c r="F89" t="s">
        <v>2306</v>
      </c>
      <c r="G89" t="s">
        <v>2878</v>
      </c>
      <c r="H89" t="s">
        <v>2859</v>
      </c>
      <c r="I89">
        <v>620</v>
      </c>
      <c r="J89">
        <v>427</v>
      </c>
      <c r="K89">
        <v>365</v>
      </c>
      <c r="L89" t="s">
        <v>2910</v>
      </c>
      <c r="M89">
        <v>52</v>
      </c>
      <c r="N89" t="s">
        <v>2908</v>
      </c>
      <c r="O89">
        <v>188.24043152799999</v>
      </c>
    </row>
    <row r="90" spans="1:15">
      <c r="A90">
        <v>188</v>
      </c>
      <c r="B90" t="s">
        <v>2385</v>
      </c>
      <c r="C90" t="s">
        <v>2415</v>
      </c>
      <c r="D90" t="s">
        <v>2460</v>
      </c>
      <c r="E90" t="s">
        <v>2460</v>
      </c>
      <c r="F90" t="s">
        <v>2306</v>
      </c>
      <c r="G90" t="s">
        <v>2878</v>
      </c>
      <c r="H90" t="s">
        <v>2859</v>
      </c>
      <c r="I90">
        <v>420</v>
      </c>
      <c r="J90">
        <v>223</v>
      </c>
      <c r="K90">
        <v>375</v>
      </c>
      <c r="L90" t="s">
        <v>2911</v>
      </c>
      <c r="M90">
        <v>52</v>
      </c>
      <c r="N90" t="s">
        <v>2908</v>
      </c>
      <c r="O90">
        <v>188.24043152799999</v>
      </c>
    </row>
    <row r="91" spans="1:15">
      <c r="A91">
        <v>189</v>
      </c>
      <c r="B91" t="s">
        <v>2385</v>
      </c>
      <c r="C91" t="s">
        <v>2417</v>
      </c>
      <c r="D91" t="s">
        <v>2460</v>
      </c>
      <c r="E91" t="s">
        <v>2460</v>
      </c>
      <c r="F91" t="s">
        <v>2306</v>
      </c>
      <c r="G91" t="s">
        <v>2878</v>
      </c>
      <c r="H91" t="s">
        <v>2859</v>
      </c>
      <c r="I91">
        <v>367</v>
      </c>
      <c r="J91">
        <v>354</v>
      </c>
      <c r="K91">
        <v>537</v>
      </c>
      <c r="L91" t="s">
        <v>2912</v>
      </c>
      <c r="M91">
        <v>52</v>
      </c>
      <c r="N91" t="s">
        <v>2908</v>
      </c>
      <c r="O91">
        <v>188.24043152799999</v>
      </c>
    </row>
    <row r="92" spans="1:15">
      <c r="A92">
        <v>190</v>
      </c>
      <c r="B92" t="s">
        <v>2385</v>
      </c>
      <c r="C92" t="s">
        <v>2418</v>
      </c>
      <c r="D92" t="s">
        <v>2460</v>
      </c>
      <c r="E92" t="s">
        <v>2460</v>
      </c>
      <c r="F92" t="s">
        <v>2306</v>
      </c>
      <c r="G92" t="s">
        <v>2878</v>
      </c>
      <c r="H92" t="s">
        <v>2859</v>
      </c>
      <c r="I92">
        <v>526</v>
      </c>
      <c r="J92">
        <v>164</v>
      </c>
      <c r="K92">
        <v>393</v>
      </c>
      <c r="L92" t="s">
        <v>2913</v>
      </c>
      <c r="M92">
        <v>52</v>
      </c>
      <c r="N92" t="s">
        <v>2908</v>
      </c>
      <c r="O92">
        <v>188.24043152799999</v>
      </c>
    </row>
    <row r="93" spans="1:15">
      <c r="A93">
        <v>191</v>
      </c>
      <c r="B93" t="s">
        <v>2385</v>
      </c>
      <c r="C93" t="s">
        <v>2419</v>
      </c>
      <c r="D93" t="s">
        <v>2460</v>
      </c>
      <c r="E93" t="s">
        <v>2460</v>
      </c>
      <c r="F93" t="s">
        <v>2306</v>
      </c>
      <c r="G93" t="s">
        <v>2878</v>
      </c>
      <c r="H93" t="s">
        <v>2859</v>
      </c>
      <c r="I93">
        <v>522</v>
      </c>
      <c r="J93">
        <v>336</v>
      </c>
      <c r="K93">
        <v>417</v>
      </c>
      <c r="L93" t="s">
        <v>2914</v>
      </c>
      <c r="M93">
        <v>52</v>
      </c>
      <c r="N93" t="s">
        <v>2908</v>
      </c>
      <c r="O93">
        <v>188.24043152799999</v>
      </c>
    </row>
    <row r="94" spans="1:15">
      <c r="A94">
        <v>192</v>
      </c>
      <c r="B94" t="s">
        <v>2385</v>
      </c>
      <c r="C94" t="s">
        <v>2420</v>
      </c>
      <c r="D94" t="s">
        <v>2460</v>
      </c>
      <c r="E94" t="s">
        <v>2460</v>
      </c>
      <c r="F94" t="s">
        <v>2306</v>
      </c>
      <c r="G94" t="s">
        <v>2878</v>
      </c>
      <c r="H94" t="s">
        <v>2859</v>
      </c>
      <c r="I94">
        <v>591</v>
      </c>
      <c r="J94">
        <v>263</v>
      </c>
      <c r="K94">
        <v>297</v>
      </c>
      <c r="L94" t="s">
        <v>2915</v>
      </c>
      <c r="M94">
        <v>52</v>
      </c>
      <c r="N94" t="s">
        <v>2908</v>
      </c>
      <c r="O94">
        <v>188.24043152799999</v>
      </c>
    </row>
    <row r="95" spans="1:15">
      <c r="A95">
        <v>1</v>
      </c>
      <c r="B95" t="s">
        <v>2176</v>
      </c>
      <c r="C95" t="s">
        <v>2177</v>
      </c>
      <c r="D95" t="s">
        <v>2659</v>
      </c>
      <c r="E95" t="s">
        <v>2460</v>
      </c>
      <c r="F95" t="s">
        <v>2178</v>
      </c>
      <c r="G95" t="s">
        <v>2696</v>
      </c>
      <c r="H95" t="s">
        <v>2697</v>
      </c>
      <c r="I95">
        <v>436</v>
      </c>
      <c r="J95">
        <v>17</v>
      </c>
      <c r="K95">
        <v>752</v>
      </c>
      <c r="L95" t="s">
        <v>2698</v>
      </c>
      <c r="M95">
        <v>52</v>
      </c>
      <c r="N95" t="s">
        <v>2699</v>
      </c>
      <c r="O95">
        <v>194.43839254400001</v>
      </c>
    </row>
    <row r="96" spans="1:15">
      <c r="A96">
        <v>2</v>
      </c>
      <c r="B96" t="s">
        <v>2176</v>
      </c>
      <c r="C96" t="s">
        <v>2183</v>
      </c>
      <c r="D96" t="s">
        <v>2659</v>
      </c>
      <c r="E96" t="s">
        <v>2460</v>
      </c>
      <c r="F96" t="s">
        <v>2178</v>
      </c>
      <c r="G96" t="s">
        <v>2696</v>
      </c>
      <c r="H96" t="s">
        <v>2697</v>
      </c>
      <c r="I96">
        <v>568</v>
      </c>
      <c r="J96">
        <v>121</v>
      </c>
      <c r="K96">
        <v>737</v>
      </c>
      <c r="L96" t="s">
        <v>2700</v>
      </c>
      <c r="M96">
        <v>52</v>
      </c>
      <c r="N96" t="s">
        <v>2699</v>
      </c>
      <c r="O96">
        <v>194.43839254400001</v>
      </c>
    </row>
    <row r="97" spans="1:15">
      <c r="A97">
        <v>4</v>
      </c>
      <c r="B97" t="s">
        <v>2176</v>
      </c>
      <c r="C97" t="s">
        <v>2186</v>
      </c>
      <c r="D97" t="s">
        <v>2659</v>
      </c>
      <c r="E97" t="s">
        <v>2460</v>
      </c>
      <c r="F97" t="s">
        <v>2178</v>
      </c>
      <c r="G97" t="s">
        <v>2696</v>
      </c>
      <c r="H97" t="s">
        <v>2697</v>
      </c>
      <c r="I97">
        <v>652</v>
      </c>
      <c r="J97">
        <v>115</v>
      </c>
      <c r="K97">
        <v>532</v>
      </c>
      <c r="L97" t="s">
        <v>2701</v>
      </c>
      <c r="M97">
        <v>52</v>
      </c>
      <c r="N97" t="s">
        <v>2699</v>
      </c>
      <c r="O97">
        <v>194.43839254400001</v>
      </c>
    </row>
    <row r="98" spans="1:15">
      <c r="A98">
        <v>5</v>
      </c>
      <c r="B98" t="s">
        <v>2176</v>
      </c>
      <c r="C98" t="s">
        <v>2189</v>
      </c>
      <c r="D98" t="s">
        <v>2659</v>
      </c>
      <c r="E98" t="s">
        <v>2460</v>
      </c>
      <c r="F98" t="s">
        <v>2178</v>
      </c>
      <c r="G98" t="s">
        <v>2696</v>
      </c>
      <c r="H98" t="s">
        <v>2697</v>
      </c>
      <c r="I98">
        <v>497</v>
      </c>
      <c r="J98">
        <v>502</v>
      </c>
      <c r="K98">
        <v>577</v>
      </c>
      <c r="L98" t="s">
        <v>2702</v>
      </c>
      <c r="M98">
        <v>52</v>
      </c>
      <c r="N98" t="s">
        <v>2699</v>
      </c>
      <c r="O98">
        <v>194.43839254400001</v>
      </c>
    </row>
    <row r="99" spans="1:15">
      <c r="A99">
        <v>6</v>
      </c>
      <c r="B99" t="s">
        <v>2176</v>
      </c>
      <c r="C99" t="s">
        <v>2190</v>
      </c>
      <c r="D99" t="s">
        <v>2659</v>
      </c>
      <c r="E99" t="s">
        <v>2460</v>
      </c>
      <c r="F99" t="s">
        <v>2178</v>
      </c>
      <c r="G99" t="s">
        <v>2696</v>
      </c>
      <c r="H99" t="s">
        <v>2697</v>
      </c>
      <c r="I99">
        <v>447</v>
      </c>
      <c r="J99">
        <v>177</v>
      </c>
      <c r="K99">
        <v>634</v>
      </c>
      <c r="L99" t="s">
        <v>2703</v>
      </c>
      <c r="M99">
        <v>52</v>
      </c>
      <c r="N99" t="s">
        <v>2699</v>
      </c>
      <c r="O99">
        <v>194.43839254400001</v>
      </c>
    </row>
    <row r="100" spans="1:15">
      <c r="A100">
        <v>7</v>
      </c>
      <c r="B100" t="s">
        <v>2176</v>
      </c>
      <c r="C100" t="s">
        <v>2191</v>
      </c>
      <c r="D100" t="s">
        <v>2659</v>
      </c>
      <c r="E100" t="s">
        <v>2460</v>
      </c>
      <c r="F100" t="s">
        <v>2178</v>
      </c>
      <c r="G100" t="s">
        <v>2696</v>
      </c>
      <c r="H100" t="s">
        <v>2697</v>
      </c>
      <c r="I100">
        <v>452</v>
      </c>
      <c r="J100">
        <v>531</v>
      </c>
      <c r="K100">
        <v>665</v>
      </c>
      <c r="L100" t="s">
        <v>2704</v>
      </c>
      <c r="M100">
        <v>52</v>
      </c>
      <c r="N100" t="s">
        <v>2699</v>
      </c>
      <c r="O100">
        <v>194.43839254400001</v>
      </c>
    </row>
    <row r="101" spans="1:15">
      <c r="A101">
        <v>8</v>
      </c>
      <c r="B101" t="s">
        <v>2176</v>
      </c>
      <c r="C101" t="s">
        <v>2192</v>
      </c>
      <c r="D101" t="s">
        <v>2659</v>
      </c>
      <c r="E101" t="s">
        <v>2460</v>
      </c>
      <c r="F101" t="s">
        <v>2178</v>
      </c>
      <c r="G101" t="s">
        <v>2696</v>
      </c>
      <c r="H101" t="s">
        <v>2697</v>
      </c>
      <c r="I101">
        <v>389</v>
      </c>
      <c r="J101">
        <v>406</v>
      </c>
      <c r="K101">
        <v>701</v>
      </c>
      <c r="L101" t="s">
        <v>2705</v>
      </c>
      <c r="M101">
        <v>52</v>
      </c>
      <c r="N101" t="s">
        <v>2699</v>
      </c>
      <c r="O101">
        <v>194.43839254400001</v>
      </c>
    </row>
    <row r="102" spans="1:15">
      <c r="A102">
        <v>9</v>
      </c>
      <c r="B102" t="s">
        <v>2176</v>
      </c>
      <c r="C102" t="s">
        <v>2193</v>
      </c>
      <c r="D102" t="s">
        <v>2659</v>
      </c>
      <c r="E102" t="s">
        <v>2460</v>
      </c>
      <c r="F102" t="s">
        <v>2194</v>
      </c>
      <c r="G102" t="s">
        <v>2696</v>
      </c>
      <c r="H102" t="s">
        <v>2697</v>
      </c>
      <c r="I102">
        <v>514</v>
      </c>
      <c r="J102">
        <v>169</v>
      </c>
      <c r="K102">
        <v>476</v>
      </c>
      <c r="L102" t="s">
        <v>2706</v>
      </c>
      <c r="M102">
        <v>52</v>
      </c>
      <c r="N102" t="s">
        <v>2707</v>
      </c>
      <c r="O102">
        <v>194.43839254400001</v>
      </c>
    </row>
    <row r="103" spans="1:15">
      <c r="A103">
        <v>10</v>
      </c>
      <c r="B103" t="s">
        <v>2176</v>
      </c>
      <c r="C103" t="s">
        <v>2196</v>
      </c>
      <c r="D103" t="s">
        <v>2659</v>
      </c>
      <c r="E103" t="s">
        <v>2460</v>
      </c>
      <c r="F103" t="s">
        <v>2194</v>
      </c>
      <c r="G103" t="s">
        <v>2696</v>
      </c>
      <c r="H103" t="s">
        <v>2697</v>
      </c>
      <c r="I103">
        <v>286</v>
      </c>
      <c r="J103">
        <v>91</v>
      </c>
      <c r="K103">
        <v>606</v>
      </c>
      <c r="L103" t="s">
        <v>2708</v>
      </c>
      <c r="M103">
        <v>52</v>
      </c>
      <c r="N103" t="s">
        <v>2707</v>
      </c>
      <c r="O103">
        <v>194.43839254400001</v>
      </c>
    </row>
    <row r="104" spans="1:15">
      <c r="A104">
        <v>11</v>
      </c>
      <c r="B104" t="s">
        <v>2176</v>
      </c>
      <c r="C104" t="s">
        <v>2197</v>
      </c>
      <c r="D104" t="s">
        <v>2659</v>
      </c>
      <c r="E104" t="s">
        <v>2460</v>
      </c>
      <c r="F104" t="s">
        <v>2194</v>
      </c>
      <c r="G104" t="s">
        <v>2696</v>
      </c>
      <c r="H104" t="s">
        <v>2697</v>
      </c>
      <c r="I104">
        <v>543</v>
      </c>
      <c r="J104">
        <v>446</v>
      </c>
      <c r="K104">
        <v>523</v>
      </c>
      <c r="L104" t="s">
        <v>2709</v>
      </c>
      <c r="M104">
        <v>52</v>
      </c>
      <c r="N104" t="s">
        <v>2707</v>
      </c>
      <c r="O104">
        <v>194.43839254400001</v>
      </c>
    </row>
    <row r="105" spans="1:15">
      <c r="A105">
        <v>13</v>
      </c>
      <c r="B105" t="s">
        <v>2176</v>
      </c>
      <c r="C105" t="s">
        <v>2199</v>
      </c>
      <c r="D105" t="s">
        <v>2659</v>
      </c>
      <c r="E105" t="s">
        <v>2460</v>
      </c>
      <c r="F105" t="s">
        <v>2194</v>
      </c>
      <c r="G105" t="s">
        <v>2696</v>
      </c>
      <c r="H105" t="s">
        <v>2697</v>
      </c>
      <c r="I105">
        <v>595</v>
      </c>
      <c r="J105">
        <v>450</v>
      </c>
      <c r="K105">
        <v>241</v>
      </c>
      <c r="L105" t="s">
        <v>2710</v>
      </c>
      <c r="M105">
        <v>52</v>
      </c>
      <c r="N105" t="s">
        <v>2707</v>
      </c>
      <c r="O105">
        <v>194.43839254400001</v>
      </c>
    </row>
    <row r="106" spans="1:15">
      <c r="A106">
        <v>14</v>
      </c>
      <c r="B106" t="s">
        <v>2176</v>
      </c>
      <c r="C106" t="s">
        <v>2201</v>
      </c>
      <c r="D106" t="s">
        <v>2659</v>
      </c>
      <c r="E106" t="s">
        <v>2460</v>
      </c>
      <c r="F106" t="s">
        <v>2194</v>
      </c>
      <c r="G106" t="s">
        <v>2696</v>
      </c>
      <c r="H106" t="s">
        <v>2697</v>
      </c>
      <c r="I106">
        <v>609</v>
      </c>
      <c r="J106">
        <v>382</v>
      </c>
      <c r="K106">
        <v>503</v>
      </c>
      <c r="L106" t="s">
        <v>2711</v>
      </c>
      <c r="M106">
        <v>52</v>
      </c>
      <c r="N106" t="s">
        <v>2707</v>
      </c>
      <c r="O106">
        <v>194.43839254400001</v>
      </c>
    </row>
    <row r="107" spans="1:15">
      <c r="A107">
        <v>15</v>
      </c>
      <c r="B107" t="s">
        <v>2176</v>
      </c>
      <c r="C107" t="s">
        <v>2202</v>
      </c>
      <c r="D107" t="s">
        <v>2659</v>
      </c>
      <c r="E107" t="s">
        <v>2460</v>
      </c>
      <c r="F107" t="s">
        <v>2194</v>
      </c>
      <c r="G107" t="s">
        <v>2696</v>
      </c>
      <c r="H107" t="s">
        <v>2697</v>
      </c>
      <c r="I107">
        <v>222</v>
      </c>
      <c r="J107">
        <v>415</v>
      </c>
      <c r="K107">
        <v>685</v>
      </c>
      <c r="L107" t="s">
        <v>2712</v>
      </c>
      <c r="M107">
        <v>52</v>
      </c>
      <c r="N107" t="s">
        <v>2707</v>
      </c>
      <c r="O107">
        <v>194.43839254400001</v>
      </c>
    </row>
    <row r="108" spans="1:15">
      <c r="A108">
        <v>16</v>
      </c>
      <c r="B108" t="s">
        <v>2176</v>
      </c>
      <c r="C108" t="s">
        <v>2205</v>
      </c>
      <c r="D108" t="s">
        <v>2659</v>
      </c>
      <c r="E108" t="s">
        <v>2460</v>
      </c>
      <c r="F108" t="s">
        <v>2194</v>
      </c>
      <c r="G108" t="s">
        <v>2696</v>
      </c>
      <c r="H108" t="s">
        <v>2697</v>
      </c>
      <c r="I108">
        <v>405</v>
      </c>
      <c r="J108">
        <v>519</v>
      </c>
      <c r="K108">
        <v>644</v>
      </c>
      <c r="L108" t="s">
        <v>2713</v>
      </c>
      <c r="M108">
        <v>52</v>
      </c>
      <c r="N108" t="s">
        <v>2707</v>
      </c>
      <c r="O108">
        <v>194.43839254400001</v>
      </c>
    </row>
    <row r="109" spans="1:15">
      <c r="A109">
        <v>82</v>
      </c>
      <c r="B109" t="s">
        <v>2276</v>
      </c>
      <c r="C109" t="s">
        <v>2298</v>
      </c>
      <c r="D109" t="s">
        <v>2659</v>
      </c>
      <c r="E109" t="s">
        <v>2460</v>
      </c>
      <c r="F109" t="s">
        <v>2296</v>
      </c>
      <c r="G109" t="s">
        <v>2714</v>
      </c>
      <c r="H109" t="s">
        <v>2789</v>
      </c>
      <c r="I109">
        <v>536</v>
      </c>
      <c r="J109">
        <v>83</v>
      </c>
      <c r="K109">
        <v>840</v>
      </c>
      <c r="L109" t="s">
        <v>2790</v>
      </c>
      <c r="M109">
        <v>52</v>
      </c>
      <c r="N109" t="s">
        <v>2788</v>
      </c>
      <c r="O109">
        <v>194.93009798400001</v>
      </c>
    </row>
    <row r="110" spans="1:15">
      <c r="A110">
        <v>83</v>
      </c>
      <c r="B110" t="s">
        <v>2276</v>
      </c>
      <c r="C110" t="s">
        <v>2299</v>
      </c>
      <c r="D110" t="s">
        <v>2659</v>
      </c>
      <c r="E110" t="s">
        <v>2460</v>
      </c>
      <c r="F110" t="s">
        <v>2296</v>
      </c>
      <c r="G110" t="s">
        <v>2714</v>
      </c>
      <c r="H110" t="s">
        <v>2789</v>
      </c>
      <c r="I110">
        <v>494</v>
      </c>
      <c r="J110">
        <v>134</v>
      </c>
      <c r="K110">
        <v>298</v>
      </c>
      <c r="L110" t="s">
        <v>2791</v>
      </c>
      <c r="M110">
        <v>52</v>
      </c>
      <c r="N110" t="s">
        <v>2788</v>
      </c>
      <c r="O110">
        <v>194.93009798400001</v>
      </c>
    </row>
    <row r="111" spans="1:15">
      <c r="A111">
        <v>84</v>
      </c>
      <c r="B111" t="s">
        <v>2276</v>
      </c>
      <c r="C111" t="s">
        <v>2300</v>
      </c>
      <c r="D111" t="s">
        <v>2659</v>
      </c>
      <c r="E111" t="s">
        <v>2460</v>
      </c>
      <c r="F111" t="s">
        <v>2296</v>
      </c>
      <c r="G111" t="s">
        <v>2714</v>
      </c>
      <c r="H111" t="s">
        <v>2789</v>
      </c>
      <c r="I111">
        <v>291</v>
      </c>
      <c r="J111">
        <v>49</v>
      </c>
      <c r="K111">
        <v>520</v>
      </c>
      <c r="L111" t="s">
        <v>2792</v>
      </c>
      <c r="M111">
        <v>52</v>
      </c>
      <c r="N111" t="s">
        <v>2788</v>
      </c>
      <c r="O111">
        <v>194.93009798400001</v>
      </c>
    </row>
    <row r="112" spans="1:15">
      <c r="A112">
        <v>85</v>
      </c>
      <c r="B112" t="s">
        <v>2276</v>
      </c>
      <c r="C112" t="s">
        <v>2301</v>
      </c>
      <c r="D112" t="s">
        <v>2659</v>
      </c>
      <c r="E112" t="s">
        <v>2460</v>
      </c>
      <c r="F112" t="s">
        <v>2296</v>
      </c>
      <c r="G112" t="s">
        <v>2714</v>
      </c>
      <c r="H112" t="s">
        <v>2789</v>
      </c>
      <c r="I112">
        <v>308</v>
      </c>
      <c r="J112">
        <v>315</v>
      </c>
      <c r="K112">
        <v>441</v>
      </c>
      <c r="L112" t="s">
        <v>2793</v>
      </c>
      <c r="M112">
        <v>52</v>
      </c>
      <c r="N112" t="s">
        <v>2788</v>
      </c>
      <c r="O112">
        <v>194.93009798400001</v>
      </c>
    </row>
    <row r="113" spans="1:15">
      <c r="A113">
        <v>86</v>
      </c>
      <c r="B113" t="s">
        <v>2276</v>
      </c>
      <c r="C113" t="s">
        <v>2302</v>
      </c>
      <c r="D113" t="s">
        <v>2659</v>
      </c>
      <c r="E113" t="s">
        <v>2460</v>
      </c>
      <c r="F113" t="s">
        <v>2296</v>
      </c>
      <c r="G113" t="s">
        <v>2714</v>
      </c>
      <c r="H113" t="s">
        <v>2789</v>
      </c>
      <c r="I113">
        <v>723</v>
      </c>
      <c r="J113">
        <v>1</v>
      </c>
      <c r="K113">
        <v>561</v>
      </c>
      <c r="L113" t="s">
        <v>2794</v>
      </c>
      <c r="M113">
        <v>52</v>
      </c>
      <c r="N113" t="s">
        <v>2788</v>
      </c>
      <c r="O113">
        <v>194.93009798400001</v>
      </c>
    </row>
    <row r="114" spans="1:15">
      <c r="A114">
        <v>87</v>
      </c>
      <c r="B114" t="s">
        <v>2276</v>
      </c>
      <c r="C114" t="s">
        <v>2303</v>
      </c>
      <c r="D114" t="s">
        <v>2659</v>
      </c>
      <c r="E114" t="s">
        <v>2460</v>
      </c>
      <c r="F114" t="s">
        <v>2296</v>
      </c>
      <c r="G114" t="s">
        <v>2714</v>
      </c>
      <c r="H114" t="s">
        <v>2789</v>
      </c>
      <c r="I114">
        <v>628</v>
      </c>
      <c r="J114">
        <v>408</v>
      </c>
      <c r="K114">
        <v>632</v>
      </c>
      <c r="L114" t="s">
        <v>2795</v>
      </c>
      <c r="M114">
        <v>52</v>
      </c>
      <c r="N114" t="s">
        <v>2788</v>
      </c>
      <c r="O114">
        <v>194.93009798400001</v>
      </c>
    </row>
    <row r="115" spans="1:15">
      <c r="A115">
        <v>89</v>
      </c>
      <c r="B115" t="s">
        <v>2276</v>
      </c>
      <c r="C115" t="s">
        <v>2305</v>
      </c>
      <c r="D115" t="s">
        <v>2659</v>
      </c>
      <c r="E115" t="s">
        <v>2460</v>
      </c>
      <c r="F115" t="s">
        <v>2306</v>
      </c>
      <c r="G115" t="s">
        <v>2714</v>
      </c>
      <c r="H115" t="s">
        <v>2789</v>
      </c>
      <c r="I115">
        <v>339</v>
      </c>
      <c r="J115">
        <v>196</v>
      </c>
      <c r="K115">
        <v>469</v>
      </c>
      <c r="L115" t="s">
        <v>2796</v>
      </c>
      <c r="M115">
        <v>52</v>
      </c>
      <c r="N115" t="s">
        <v>2797</v>
      </c>
      <c r="O115">
        <v>194.93009798400001</v>
      </c>
    </row>
    <row r="116" spans="1:15">
      <c r="A116">
        <v>90</v>
      </c>
      <c r="B116" t="s">
        <v>2276</v>
      </c>
      <c r="C116" t="s">
        <v>2307</v>
      </c>
      <c r="D116" t="s">
        <v>2659</v>
      </c>
      <c r="E116" t="s">
        <v>2460</v>
      </c>
      <c r="F116" t="s">
        <v>2306</v>
      </c>
      <c r="G116" t="s">
        <v>2714</v>
      </c>
      <c r="H116" t="s">
        <v>2789</v>
      </c>
      <c r="I116">
        <v>592</v>
      </c>
      <c r="J116">
        <v>94</v>
      </c>
      <c r="K116">
        <v>355</v>
      </c>
      <c r="L116" t="s">
        <v>2798</v>
      </c>
      <c r="M116">
        <v>52</v>
      </c>
      <c r="N116" t="s">
        <v>2797</v>
      </c>
      <c r="O116">
        <v>194.93009798400001</v>
      </c>
    </row>
    <row r="117" spans="1:15">
      <c r="A117">
        <v>91</v>
      </c>
      <c r="B117" t="s">
        <v>2276</v>
      </c>
      <c r="C117" t="s">
        <v>2308</v>
      </c>
      <c r="D117" t="s">
        <v>2659</v>
      </c>
      <c r="E117" t="s">
        <v>2460</v>
      </c>
      <c r="F117" t="s">
        <v>2306</v>
      </c>
      <c r="G117" t="s">
        <v>2714</v>
      </c>
      <c r="H117" t="s">
        <v>2789</v>
      </c>
      <c r="I117">
        <v>472</v>
      </c>
      <c r="J117">
        <v>343</v>
      </c>
      <c r="K117">
        <v>547</v>
      </c>
      <c r="L117" t="s">
        <v>2799</v>
      </c>
      <c r="M117">
        <v>52</v>
      </c>
      <c r="N117" t="s">
        <v>2797</v>
      </c>
      <c r="O117">
        <v>194.93009798400001</v>
      </c>
    </row>
    <row r="118" spans="1:15">
      <c r="A118">
        <v>92</v>
      </c>
      <c r="B118" t="s">
        <v>2276</v>
      </c>
      <c r="C118" t="s">
        <v>2309</v>
      </c>
      <c r="D118" t="s">
        <v>2659</v>
      </c>
      <c r="E118" t="s">
        <v>2460</v>
      </c>
      <c r="F118" t="s">
        <v>2306</v>
      </c>
      <c r="G118" t="s">
        <v>2714</v>
      </c>
      <c r="H118" t="s">
        <v>2789</v>
      </c>
      <c r="I118">
        <v>529</v>
      </c>
      <c r="J118">
        <v>445</v>
      </c>
      <c r="K118">
        <v>763</v>
      </c>
      <c r="L118" t="s">
        <v>2800</v>
      </c>
      <c r="M118">
        <v>52</v>
      </c>
      <c r="N118" t="s">
        <v>2797</v>
      </c>
      <c r="O118">
        <v>194.93009798400001</v>
      </c>
    </row>
    <row r="119" spans="1:15">
      <c r="A119">
        <v>93</v>
      </c>
      <c r="B119" t="s">
        <v>2276</v>
      </c>
      <c r="C119" t="s">
        <v>2310</v>
      </c>
      <c r="D119" t="s">
        <v>2659</v>
      </c>
      <c r="E119" t="s">
        <v>2460</v>
      </c>
      <c r="F119" t="s">
        <v>2306</v>
      </c>
      <c r="G119" t="s">
        <v>2714</v>
      </c>
      <c r="H119" t="s">
        <v>2789</v>
      </c>
      <c r="I119">
        <v>636</v>
      </c>
      <c r="J119">
        <v>12</v>
      </c>
      <c r="K119">
        <v>424</v>
      </c>
      <c r="L119" t="s">
        <v>2801</v>
      </c>
      <c r="M119">
        <v>52</v>
      </c>
      <c r="N119" t="s">
        <v>2797</v>
      </c>
      <c r="O119">
        <v>194.93009798400001</v>
      </c>
    </row>
    <row r="120" spans="1:15">
      <c r="A120">
        <v>95</v>
      </c>
      <c r="B120" t="s">
        <v>2276</v>
      </c>
      <c r="C120" t="s">
        <v>2312</v>
      </c>
      <c r="D120" t="s">
        <v>2659</v>
      </c>
      <c r="E120" t="s">
        <v>2460</v>
      </c>
      <c r="F120" t="s">
        <v>2306</v>
      </c>
      <c r="G120" t="s">
        <v>2714</v>
      </c>
      <c r="H120" t="s">
        <v>2789</v>
      </c>
      <c r="I120">
        <v>641</v>
      </c>
      <c r="J120">
        <v>360</v>
      </c>
      <c r="K120">
        <v>486</v>
      </c>
      <c r="L120" t="s">
        <v>2802</v>
      </c>
      <c r="M120">
        <v>52</v>
      </c>
      <c r="N120" t="s">
        <v>2797</v>
      </c>
      <c r="O120">
        <v>194.93009798400001</v>
      </c>
    </row>
    <row r="121" spans="1:15">
      <c r="A121">
        <v>96</v>
      </c>
      <c r="B121" t="s">
        <v>2276</v>
      </c>
      <c r="C121" t="s">
        <v>2313</v>
      </c>
      <c r="D121" t="s">
        <v>2659</v>
      </c>
      <c r="E121" t="s">
        <v>2460</v>
      </c>
      <c r="F121" t="s">
        <v>2306</v>
      </c>
      <c r="G121" t="s">
        <v>2714</v>
      </c>
      <c r="H121" t="s">
        <v>2789</v>
      </c>
      <c r="I121">
        <v>479</v>
      </c>
      <c r="J121">
        <v>318</v>
      </c>
      <c r="K121">
        <v>545</v>
      </c>
      <c r="L121" t="s">
        <v>2803</v>
      </c>
      <c r="M121">
        <v>52</v>
      </c>
      <c r="N121" t="s">
        <v>2797</v>
      </c>
      <c r="O121">
        <v>194.93009798400001</v>
      </c>
    </row>
    <row r="122" spans="1:15">
      <c r="A122">
        <v>145</v>
      </c>
      <c r="B122" t="s">
        <v>2666</v>
      </c>
      <c r="C122" t="s">
        <v>2367</v>
      </c>
      <c r="D122" t="s">
        <v>2460</v>
      </c>
      <c r="E122" t="s">
        <v>2460</v>
      </c>
      <c r="F122" t="s">
        <v>2256</v>
      </c>
      <c r="G122" t="s">
        <v>2804</v>
      </c>
      <c r="H122" t="s">
        <v>2859</v>
      </c>
      <c r="I122">
        <v>902</v>
      </c>
      <c r="J122">
        <v>27</v>
      </c>
      <c r="K122">
        <v>653</v>
      </c>
      <c r="L122" t="s">
        <v>2860</v>
      </c>
      <c r="M122">
        <v>53</v>
      </c>
      <c r="N122" t="s">
        <v>2861</v>
      </c>
      <c r="O122">
        <v>205.76139209600001</v>
      </c>
    </row>
    <row r="123" spans="1:15">
      <c r="A123">
        <v>146</v>
      </c>
      <c r="B123" t="s">
        <v>2666</v>
      </c>
      <c r="C123" t="s">
        <v>2368</v>
      </c>
      <c r="D123" t="s">
        <v>2460</v>
      </c>
      <c r="E123" t="s">
        <v>2460</v>
      </c>
      <c r="F123" t="s">
        <v>2256</v>
      </c>
      <c r="G123" t="s">
        <v>2804</v>
      </c>
      <c r="H123" t="s">
        <v>2859</v>
      </c>
      <c r="I123">
        <v>689</v>
      </c>
      <c r="J123">
        <v>492</v>
      </c>
      <c r="K123">
        <v>762</v>
      </c>
      <c r="L123" t="s">
        <v>2862</v>
      </c>
      <c r="M123">
        <v>53</v>
      </c>
      <c r="N123" t="s">
        <v>2861</v>
      </c>
      <c r="O123">
        <v>205.76139209600001</v>
      </c>
    </row>
    <row r="124" spans="1:15">
      <c r="A124">
        <v>97</v>
      </c>
      <c r="B124" t="s">
        <v>2666</v>
      </c>
      <c r="C124" t="s">
        <v>2315</v>
      </c>
      <c r="D124" t="s">
        <v>2460</v>
      </c>
      <c r="E124" t="s">
        <v>2460</v>
      </c>
      <c r="F124" t="s">
        <v>2178</v>
      </c>
      <c r="G124" t="s">
        <v>2804</v>
      </c>
      <c r="H124" t="s">
        <v>2805</v>
      </c>
      <c r="I124">
        <v>741</v>
      </c>
      <c r="J124">
        <v>518</v>
      </c>
      <c r="K124">
        <v>847</v>
      </c>
      <c r="L124" t="s">
        <v>2806</v>
      </c>
      <c r="M124">
        <v>54</v>
      </c>
      <c r="N124" t="s">
        <v>2807</v>
      </c>
      <c r="O124">
        <v>206.85140822299999</v>
      </c>
    </row>
    <row r="125" spans="1:15">
      <c r="A125">
        <v>98</v>
      </c>
      <c r="B125" t="s">
        <v>2666</v>
      </c>
      <c r="C125" t="s">
        <v>2316</v>
      </c>
      <c r="D125" t="s">
        <v>2460</v>
      </c>
      <c r="E125" t="s">
        <v>2460</v>
      </c>
      <c r="F125" t="s">
        <v>2178</v>
      </c>
      <c r="G125" t="s">
        <v>2804</v>
      </c>
      <c r="H125" t="s">
        <v>2805</v>
      </c>
      <c r="I125">
        <v>610</v>
      </c>
      <c r="J125">
        <v>489</v>
      </c>
      <c r="K125">
        <v>730</v>
      </c>
      <c r="L125" t="s">
        <v>2808</v>
      </c>
      <c r="M125">
        <v>54</v>
      </c>
      <c r="N125" t="s">
        <v>2807</v>
      </c>
      <c r="O125">
        <v>206.85140822299999</v>
      </c>
    </row>
    <row r="126" spans="1:15">
      <c r="A126">
        <v>99</v>
      </c>
      <c r="B126" t="s">
        <v>2666</v>
      </c>
      <c r="C126" t="s">
        <v>2317</v>
      </c>
      <c r="D126" t="s">
        <v>2460</v>
      </c>
      <c r="E126" t="s">
        <v>2460</v>
      </c>
      <c r="F126" t="s">
        <v>2178</v>
      </c>
      <c r="G126" t="s">
        <v>2804</v>
      </c>
      <c r="H126" t="s">
        <v>2805</v>
      </c>
      <c r="I126">
        <v>765</v>
      </c>
      <c r="J126">
        <v>549</v>
      </c>
      <c r="K126">
        <v>691</v>
      </c>
      <c r="L126" t="s">
        <v>2809</v>
      </c>
      <c r="M126">
        <v>54</v>
      </c>
      <c r="N126" t="s">
        <v>2807</v>
      </c>
      <c r="O126">
        <v>206.85140822299999</v>
      </c>
    </row>
    <row r="127" spans="1:15">
      <c r="A127">
        <v>100</v>
      </c>
      <c r="B127" t="s">
        <v>2666</v>
      </c>
      <c r="C127" t="s">
        <v>2318</v>
      </c>
      <c r="D127" t="s">
        <v>2460</v>
      </c>
      <c r="E127" t="s">
        <v>2460</v>
      </c>
      <c r="F127" t="s">
        <v>2178</v>
      </c>
      <c r="G127" t="s">
        <v>2804</v>
      </c>
      <c r="H127" t="s">
        <v>2805</v>
      </c>
      <c r="I127">
        <v>728</v>
      </c>
      <c r="J127">
        <v>500</v>
      </c>
      <c r="K127">
        <v>828</v>
      </c>
      <c r="L127" t="s">
        <v>2810</v>
      </c>
      <c r="M127">
        <v>54</v>
      </c>
      <c r="N127" t="s">
        <v>2807</v>
      </c>
      <c r="O127">
        <v>206.85140822299999</v>
      </c>
    </row>
    <row r="128" spans="1:15">
      <c r="A128">
        <v>101</v>
      </c>
      <c r="B128" t="s">
        <v>2666</v>
      </c>
      <c r="C128" t="s">
        <v>2320</v>
      </c>
      <c r="D128" t="s">
        <v>2460</v>
      </c>
      <c r="E128" t="s">
        <v>2460</v>
      </c>
      <c r="F128" t="s">
        <v>2178</v>
      </c>
      <c r="G128" t="s">
        <v>2804</v>
      </c>
      <c r="H128" t="s">
        <v>2805</v>
      </c>
      <c r="I128">
        <v>808</v>
      </c>
      <c r="J128">
        <v>482</v>
      </c>
      <c r="K128">
        <v>875</v>
      </c>
      <c r="L128" t="s">
        <v>2811</v>
      </c>
      <c r="M128">
        <v>54</v>
      </c>
      <c r="N128" t="s">
        <v>2807</v>
      </c>
      <c r="O128">
        <v>206.85140822299999</v>
      </c>
    </row>
    <row r="129" spans="1:15">
      <c r="A129">
        <v>102</v>
      </c>
      <c r="B129" t="s">
        <v>2666</v>
      </c>
      <c r="C129" t="s">
        <v>2321</v>
      </c>
      <c r="D129" t="s">
        <v>2460</v>
      </c>
      <c r="E129" t="s">
        <v>2460</v>
      </c>
      <c r="F129" t="s">
        <v>2178</v>
      </c>
      <c r="G129" t="s">
        <v>2804</v>
      </c>
      <c r="H129" t="s">
        <v>2805</v>
      </c>
      <c r="I129">
        <v>892</v>
      </c>
      <c r="J129">
        <v>569</v>
      </c>
      <c r="K129">
        <v>824</v>
      </c>
      <c r="L129" t="s">
        <v>2812</v>
      </c>
      <c r="M129">
        <v>54</v>
      </c>
      <c r="N129" t="s">
        <v>2807</v>
      </c>
      <c r="O129">
        <v>206.85140822299999</v>
      </c>
    </row>
    <row r="130" spans="1:15">
      <c r="A130">
        <v>103</v>
      </c>
      <c r="B130" t="s">
        <v>2666</v>
      </c>
      <c r="C130" t="s">
        <v>2322</v>
      </c>
      <c r="D130" t="s">
        <v>2460</v>
      </c>
      <c r="E130" t="s">
        <v>2460</v>
      </c>
      <c r="F130" t="s">
        <v>2178</v>
      </c>
      <c r="G130" t="s">
        <v>2804</v>
      </c>
      <c r="H130" t="s">
        <v>2805</v>
      </c>
      <c r="I130">
        <v>869</v>
      </c>
      <c r="J130">
        <v>430</v>
      </c>
      <c r="K130">
        <v>692</v>
      </c>
      <c r="L130" t="s">
        <v>2813</v>
      </c>
      <c r="M130">
        <v>54</v>
      </c>
      <c r="N130" t="s">
        <v>2807</v>
      </c>
      <c r="O130">
        <v>206.85140822299999</v>
      </c>
    </row>
    <row r="131" spans="1:15">
      <c r="A131">
        <v>104</v>
      </c>
      <c r="B131" t="s">
        <v>2666</v>
      </c>
      <c r="C131" t="s">
        <v>2323</v>
      </c>
      <c r="D131" t="s">
        <v>2460</v>
      </c>
      <c r="E131" t="s">
        <v>2460</v>
      </c>
      <c r="F131" t="s">
        <v>2178</v>
      </c>
      <c r="G131" t="s">
        <v>2804</v>
      </c>
      <c r="H131" t="s">
        <v>2805</v>
      </c>
      <c r="I131">
        <v>881</v>
      </c>
      <c r="J131">
        <v>577</v>
      </c>
      <c r="K131">
        <v>806</v>
      </c>
      <c r="L131" t="s">
        <v>2814</v>
      </c>
      <c r="M131">
        <v>54</v>
      </c>
      <c r="N131" t="s">
        <v>2807</v>
      </c>
      <c r="O131">
        <v>206.85140822299999</v>
      </c>
    </row>
    <row r="132" spans="1:15">
      <c r="A132">
        <v>105</v>
      </c>
      <c r="B132" t="s">
        <v>2666</v>
      </c>
      <c r="C132" t="s">
        <v>2324</v>
      </c>
      <c r="D132" t="s">
        <v>2460</v>
      </c>
      <c r="E132" t="s">
        <v>2460</v>
      </c>
      <c r="F132" t="s">
        <v>2194</v>
      </c>
      <c r="G132" t="s">
        <v>2804</v>
      </c>
      <c r="H132" t="s">
        <v>2805</v>
      </c>
      <c r="I132">
        <v>729</v>
      </c>
      <c r="J132">
        <v>548</v>
      </c>
      <c r="K132">
        <v>861</v>
      </c>
      <c r="L132" t="s">
        <v>2815</v>
      </c>
      <c r="M132">
        <v>54</v>
      </c>
      <c r="N132" t="s">
        <v>2816</v>
      </c>
      <c r="O132">
        <v>206.85140822299999</v>
      </c>
    </row>
    <row r="133" spans="1:15">
      <c r="A133">
        <v>106</v>
      </c>
      <c r="B133" t="s">
        <v>2666</v>
      </c>
      <c r="C133" t="s">
        <v>2325</v>
      </c>
      <c r="D133" t="s">
        <v>2460</v>
      </c>
      <c r="E133" t="s">
        <v>2460</v>
      </c>
      <c r="F133" t="s">
        <v>2194</v>
      </c>
      <c r="G133" t="s">
        <v>2804</v>
      </c>
      <c r="H133" t="s">
        <v>2805</v>
      </c>
      <c r="I133">
        <v>837</v>
      </c>
      <c r="J133">
        <v>590</v>
      </c>
      <c r="K133">
        <v>738</v>
      </c>
      <c r="L133" t="s">
        <v>2817</v>
      </c>
      <c r="M133">
        <v>54</v>
      </c>
      <c r="N133" t="s">
        <v>2816</v>
      </c>
      <c r="O133">
        <v>206.85140822299999</v>
      </c>
    </row>
    <row r="134" spans="1:15">
      <c r="A134">
        <v>107</v>
      </c>
      <c r="B134" t="s">
        <v>2666</v>
      </c>
      <c r="C134" t="s">
        <v>2326</v>
      </c>
      <c r="D134" t="s">
        <v>2460</v>
      </c>
      <c r="E134" t="s">
        <v>2460</v>
      </c>
      <c r="F134" t="s">
        <v>2194</v>
      </c>
      <c r="G134" t="s">
        <v>2804</v>
      </c>
      <c r="H134" t="s">
        <v>2805</v>
      </c>
      <c r="I134">
        <v>688</v>
      </c>
      <c r="J134">
        <v>574</v>
      </c>
      <c r="K134">
        <v>676</v>
      </c>
      <c r="L134" t="s">
        <v>2818</v>
      </c>
      <c r="M134">
        <v>54</v>
      </c>
      <c r="N134" t="s">
        <v>2816</v>
      </c>
      <c r="O134">
        <v>206.85140822299999</v>
      </c>
    </row>
    <row r="135" spans="1:15">
      <c r="A135">
        <v>108</v>
      </c>
      <c r="B135" t="s">
        <v>2666</v>
      </c>
      <c r="C135" t="s">
        <v>2327</v>
      </c>
      <c r="D135" t="s">
        <v>2460</v>
      </c>
      <c r="E135" t="s">
        <v>2460</v>
      </c>
      <c r="F135" t="s">
        <v>2194</v>
      </c>
      <c r="G135" t="s">
        <v>2804</v>
      </c>
      <c r="H135" t="s">
        <v>2805</v>
      </c>
      <c r="I135">
        <v>883</v>
      </c>
      <c r="J135">
        <v>8</v>
      </c>
      <c r="K135">
        <v>845</v>
      </c>
      <c r="L135" t="s">
        <v>2819</v>
      </c>
      <c r="M135">
        <v>54</v>
      </c>
      <c r="N135" t="s">
        <v>2816</v>
      </c>
      <c r="O135">
        <v>206.85140822299999</v>
      </c>
    </row>
    <row r="136" spans="1:15">
      <c r="A136">
        <v>109</v>
      </c>
      <c r="B136" t="s">
        <v>2666</v>
      </c>
      <c r="C136" t="s">
        <v>2329</v>
      </c>
      <c r="D136" t="s">
        <v>2460</v>
      </c>
      <c r="E136" t="s">
        <v>2460</v>
      </c>
      <c r="F136" t="s">
        <v>2194</v>
      </c>
      <c r="G136" t="s">
        <v>2804</v>
      </c>
      <c r="H136" t="s">
        <v>2805</v>
      </c>
      <c r="I136">
        <v>704</v>
      </c>
      <c r="J136">
        <v>552</v>
      </c>
      <c r="K136">
        <v>887</v>
      </c>
      <c r="L136" t="s">
        <v>2820</v>
      </c>
      <c r="M136">
        <v>54</v>
      </c>
      <c r="N136" t="s">
        <v>2816</v>
      </c>
      <c r="O136">
        <v>206.85140822299999</v>
      </c>
    </row>
    <row r="137" spans="1:15">
      <c r="A137">
        <v>110</v>
      </c>
      <c r="B137" t="s">
        <v>2666</v>
      </c>
      <c r="C137" t="s">
        <v>2330</v>
      </c>
      <c r="D137" t="s">
        <v>2460</v>
      </c>
      <c r="E137" t="s">
        <v>2460</v>
      </c>
      <c r="F137" t="s">
        <v>2194</v>
      </c>
      <c r="G137" t="s">
        <v>2804</v>
      </c>
      <c r="H137" t="s">
        <v>2805</v>
      </c>
      <c r="I137">
        <v>742</v>
      </c>
      <c r="J137">
        <v>462</v>
      </c>
      <c r="K137">
        <v>882</v>
      </c>
      <c r="L137" t="s">
        <v>2497</v>
      </c>
      <c r="M137">
        <v>54</v>
      </c>
      <c r="N137" t="s">
        <v>2816</v>
      </c>
      <c r="O137">
        <v>206.85140822299999</v>
      </c>
    </row>
    <row r="138" spans="1:15">
      <c r="A138">
        <v>111</v>
      </c>
      <c r="B138" t="s">
        <v>2666</v>
      </c>
      <c r="C138" t="s">
        <v>2331</v>
      </c>
      <c r="D138" t="s">
        <v>2460</v>
      </c>
      <c r="E138" t="s">
        <v>2460</v>
      </c>
      <c r="F138" t="s">
        <v>2194</v>
      </c>
      <c r="G138" t="s">
        <v>2804</v>
      </c>
      <c r="H138" t="s">
        <v>2805</v>
      </c>
      <c r="I138">
        <v>831</v>
      </c>
      <c r="J138">
        <v>505</v>
      </c>
      <c r="K138">
        <v>695</v>
      </c>
      <c r="L138" t="s">
        <v>2821</v>
      </c>
      <c r="M138">
        <v>54</v>
      </c>
      <c r="N138" t="s">
        <v>2816</v>
      </c>
      <c r="O138">
        <v>206.85140822299999</v>
      </c>
    </row>
    <row r="139" spans="1:15">
      <c r="A139">
        <v>112</v>
      </c>
      <c r="B139" t="s">
        <v>2666</v>
      </c>
      <c r="C139" t="s">
        <v>2332</v>
      </c>
      <c r="D139" t="s">
        <v>2460</v>
      </c>
      <c r="E139" t="s">
        <v>2460</v>
      </c>
      <c r="F139" t="s">
        <v>2194</v>
      </c>
      <c r="G139" t="s">
        <v>2804</v>
      </c>
      <c r="H139" t="s">
        <v>2805</v>
      </c>
      <c r="I139">
        <v>899</v>
      </c>
      <c r="J139">
        <v>41</v>
      </c>
      <c r="K139">
        <v>852</v>
      </c>
      <c r="L139" t="s">
        <v>2822</v>
      </c>
      <c r="M139">
        <v>54</v>
      </c>
      <c r="N139" t="s">
        <v>2816</v>
      </c>
      <c r="O139">
        <v>206.85140822299999</v>
      </c>
    </row>
    <row r="140" spans="1:15">
      <c r="A140">
        <v>113</v>
      </c>
      <c r="B140" t="s">
        <v>2666</v>
      </c>
      <c r="C140" t="s">
        <v>2333</v>
      </c>
      <c r="D140" t="s">
        <v>2460</v>
      </c>
      <c r="E140" t="s">
        <v>2460</v>
      </c>
      <c r="F140" t="s">
        <v>2208</v>
      </c>
      <c r="G140" t="s">
        <v>2804</v>
      </c>
      <c r="H140" t="s">
        <v>2805</v>
      </c>
      <c r="I140">
        <v>724</v>
      </c>
      <c r="J140">
        <v>428</v>
      </c>
      <c r="K140">
        <v>769</v>
      </c>
      <c r="L140" t="s">
        <v>2823</v>
      </c>
      <c r="M140">
        <v>54</v>
      </c>
      <c r="N140" t="s">
        <v>2824</v>
      </c>
      <c r="O140">
        <v>206.85140822299999</v>
      </c>
    </row>
    <row r="141" spans="1:15">
      <c r="A141">
        <v>114</v>
      </c>
      <c r="B141" t="s">
        <v>2666</v>
      </c>
      <c r="C141" t="s">
        <v>2334</v>
      </c>
      <c r="D141" t="s">
        <v>2460</v>
      </c>
      <c r="E141" t="s">
        <v>2460</v>
      </c>
      <c r="F141" t="s">
        <v>2208</v>
      </c>
      <c r="G141" t="s">
        <v>2804</v>
      </c>
      <c r="H141" t="s">
        <v>2805</v>
      </c>
      <c r="I141">
        <v>803</v>
      </c>
      <c r="J141">
        <v>601</v>
      </c>
      <c r="K141">
        <v>889</v>
      </c>
      <c r="L141" t="s">
        <v>2825</v>
      </c>
      <c r="M141">
        <v>54</v>
      </c>
      <c r="N141" t="s">
        <v>2824</v>
      </c>
      <c r="O141">
        <v>206.85140822299999</v>
      </c>
    </row>
    <row r="142" spans="1:15">
      <c r="A142">
        <v>115</v>
      </c>
      <c r="B142" t="s">
        <v>2666</v>
      </c>
      <c r="C142" t="s">
        <v>2335</v>
      </c>
      <c r="D142" t="s">
        <v>2460</v>
      </c>
      <c r="E142" t="s">
        <v>2460</v>
      </c>
      <c r="F142" t="s">
        <v>2208</v>
      </c>
      <c r="G142" t="s">
        <v>2804</v>
      </c>
      <c r="H142" t="s">
        <v>2805</v>
      </c>
      <c r="I142">
        <v>693</v>
      </c>
      <c r="J142">
        <v>553</v>
      </c>
      <c r="K142">
        <v>778</v>
      </c>
      <c r="L142" t="s">
        <v>2826</v>
      </c>
      <c r="M142">
        <v>54</v>
      </c>
      <c r="N142" t="s">
        <v>2824</v>
      </c>
      <c r="O142">
        <v>206.85140822299999</v>
      </c>
    </row>
    <row r="143" spans="1:15">
      <c r="A143">
        <v>116</v>
      </c>
      <c r="B143" t="s">
        <v>2666</v>
      </c>
      <c r="C143" t="s">
        <v>2336</v>
      </c>
      <c r="D143" t="s">
        <v>2460</v>
      </c>
      <c r="E143" t="s">
        <v>2460</v>
      </c>
      <c r="F143" t="s">
        <v>2208</v>
      </c>
      <c r="G143" t="s">
        <v>2804</v>
      </c>
      <c r="H143" t="s">
        <v>2805</v>
      </c>
      <c r="I143">
        <v>897</v>
      </c>
      <c r="J143">
        <v>459</v>
      </c>
      <c r="K143">
        <v>563</v>
      </c>
      <c r="L143" t="s">
        <v>2827</v>
      </c>
      <c r="M143">
        <v>54</v>
      </c>
      <c r="N143" t="s">
        <v>2824</v>
      </c>
      <c r="O143">
        <v>206.85140822299999</v>
      </c>
    </row>
    <row r="144" spans="1:15">
      <c r="A144">
        <v>117</v>
      </c>
      <c r="B144" t="s">
        <v>2666</v>
      </c>
      <c r="C144" t="s">
        <v>2337</v>
      </c>
      <c r="D144" t="s">
        <v>2460</v>
      </c>
      <c r="E144" t="s">
        <v>2460</v>
      </c>
      <c r="F144" t="s">
        <v>2208</v>
      </c>
      <c r="G144" t="s">
        <v>2804</v>
      </c>
      <c r="H144" t="s">
        <v>2805</v>
      </c>
      <c r="I144">
        <v>789</v>
      </c>
      <c r="J144">
        <v>511</v>
      </c>
      <c r="K144">
        <v>901</v>
      </c>
      <c r="L144" t="s">
        <v>2828</v>
      </c>
      <c r="M144">
        <v>54</v>
      </c>
      <c r="N144" t="s">
        <v>2824</v>
      </c>
      <c r="O144">
        <v>206.85140822299999</v>
      </c>
    </row>
    <row r="145" spans="1:15">
      <c r="A145">
        <v>118</v>
      </c>
      <c r="B145" t="s">
        <v>2666</v>
      </c>
      <c r="C145" t="s">
        <v>2338</v>
      </c>
      <c r="D145" t="s">
        <v>2460</v>
      </c>
      <c r="E145" t="s">
        <v>2460</v>
      </c>
      <c r="F145" t="s">
        <v>2208</v>
      </c>
      <c r="G145" t="s">
        <v>2804</v>
      </c>
      <c r="H145" t="s">
        <v>2805</v>
      </c>
      <c r="I145">
        <v>681</v>
      </c>
      <c r="J145">
        <v>495</v>
      </c>
      <c r="K145">
        <v>791</v>
      </c>
      <c r="L145" t="s">
        <v>2829</v>
      </c>
      <c r="M145">
        <v>54</v>
      </c>
      <c r="N145" t="s">
        <v>2824</v>
      </c>
      <c r="O145">
        <v>206.85140822299999</v>
      </c>
    </row>
    <row r="146" spans="1:15">
      <c r="A146">
        <v>119</v>
      </c>
      <c r="B146" t="s">
        <v>2666</v>
      </c>
      <c r="C146" t="s">
        <v>2339</v>
      </c>
      <c r="D146" t="s">
        <v>2460</v>
      </c>
      <c r="E146" t="s">
        <v>2460</v>
      </c>
      <c r="F146" t="s">
        <v>2208</v>
      </c>
      <c r="G146" t="s">
        <v>2804</v>
      </c>
      <c r="H146" t="s">
        <v>2805</v>
      </c>
      <c r="I146">
        <v>657</v>
      </c>
      <c r="J146">
        <v>584</v>
      </c>
      <c r="K146">
        <v>802</v>
      </c>
      <c r="L146" t="s">
        <v>2830</v>
      </c>
      <c r="M146">
        <v>54</v>
      </c>
      <c r="N146" t="s">
        <v>2824</v>
      </c>
      <c r="O146">
        <v>206.85140822299999</v>
      </c>
    </row>
    <row r="147" spans="1:15">
      <c r="A147">
        <v>120</v>
      </c>
      <c r="B147" t="s">
        <v>2666</v>
      </c>
      <c r="C147" t="s">
        <v>2340</v>
      </c>
      <c r="D147" t="s">
        <v>2460</v>
      </c>
      <c r="E147" t="s">
        <v>2460</v>
      </c>
      <c r="F147" t="s">
        <v>2208</v>
      </c>
      <c r="G147" t="s">
        <v>2804</v>
      </c>
      <c r="H147" t="s">
        <v>2805</v>
      </c>
      <c r="I147">
        <v>758</v>
      </c>
      <c r="J147">
        <v>454</v>
      </c>
      <c r="K147">
        <v>698</v>
      </c>
      <c r="L147" t="s">
        <v>2831</v>
      </c>
      <c r="M147">
        <v>54</v>
      </c>
      <c r="N147" t="s">
        <v>2824</v>
      </c>
      <c r="O147">
        <v>206.85140822299999</v>
      </c>
    </row>
    <row r="148" spans="1:15">
      <c r="A148">
        <v>121</v>
      </c>
      <c r="B148" t="s">
        <v>2666</v>
      </c>
      <c r="C148" t="s">
        <v>2341</v>
      </c>
      <c r="D148" t="s">
        <v>2460</v>
      </c>
      <c r="E148" t="s">
        <v>2460</v>
      </c>
      <c r="F148" t="s">
        <v>2218</v>
      </c>
      <c r="G148" t="s">
        <v>2804</v>
      </c>
      <c r="H148" t="s">
        <v>2805</v>
      </c>
      <c r="I148">
        <v>666</v>
      </c>
      <c r="J148">
        <v>532</v>
      </c>
      <c r="K148">
        <v>825</v>
      </c>
      <c r="L148" t="s">
        <v>2832</v>
      </c>
      <c r="M148">
        <v>54</v>
      </c>
      <c r="N148" t="s">
        <v>2833</v>
      </c>
      <c r="O148">
        <v>206.85140822299999</v>
      </c>
    </row>
    <row r="149" spans="1:15">
      <c r="A149">
        <v>122</v>
      </c>
      <c r="B149" t="s">
        <v>2666</v>
      </c>
      <c r="C149" t="s">
        <v>2342</v>
      </c>
      <c r="D149" t="s">
        <v>2460</v>
      </c>
      <c r="E149" t="s">
        <v>2460</v>
      </c>
      <c r="F149" t="s">
        <v>2218</v>
      </c>
      <c r="G149" t="s">
        <v>2804</v>
      </c>
      <c r="H149" t="s">
        <v>2805</v>
      </c>
      <c r="I149">
        <v>860</v>
      </c>
      <c r="J149">
        <v>11</v>
      </c>
      <c r="K149">
        <v>839</v>
      </c>
      <c r="L149" t="s">
        <v>2834</v>
      </c>
      <c r="M149">
        <v>54</v>
      </c>
      <c r="N149" t="s">
        <v>2833</v>
      </c>
      <c r="O149">
        <v>206.85140822299999</v>
      </c>
    </row>
    <row r="150" spans="1:15">
      <c r="A150">
        <v>123</v>
      </c>
      <c r="B150" t="s">
        <v>2666</v>
      </c>
      <c r="C150" t="s">
        <v>2343</v>
      </c>
      <c r="D150" t="s">
        <v>2460</v>
      </c>
      <c r="E150" t="s">
        <v>2460</v>
      </c>
      <c r="F150" t="s">
        <v>2218</v>
      </c>
      <c r="G150" t="s">
        <v>2804</v>
      </c>
      <c r="H150" t="s">
        <v>2805</v>
      </c>
      <c r="I150">
        <v>694</v>
      </c>
      <c r="J150">
        <v>575</v>
      </c>
      <c r="K150">
        <v>895</v>
      </c>
      <c r="L150" t="s">
        <v>2835</v>
      </c>
      <c r="M150">
        <v>54</v>
      </c>
      <c r="N150" t="s">
        <v>2833</v>
      </c>
      <c r="O150">
        <v>206.85140822299999</v>
      </c>
    </row>
    <row r="151" spans="1:15">
      <c r="A151">
        <v>124</v>
      </c>
      <c r="B151" t="s">
        <v>2666</v>
      </c>
      <c r="C151" t="s">
        <v>2345</v>
      </c>
      <c r="D151" t="s">
        <v>2460</v>
      </c>
      <c r="E151" t="s">
        <v>2460</v>
      </c>
      <c r="F151" t="s">
        <v>2218</v>
      </c>
      <c r="G151" t="s">
        <v>2804</v>
      </c>
      <c r="H151" t="s">
        <v>2805</v>
      </c>
      <c r="I151">
        <v>867</v>
      </c>
      <c r="J151">
        <v>39</v>
      </c>
      <c r="K151">
        <v>682</v>
      </c>
      <c r="L151" t="s">
        <v>2836</v>
      </c>
      <c r="M151">
        <v>54</v>
      </c>
      <c r="N151" t="s">
        <v>2833</v>
      </c>
      <c r="O151">
        <v>206.85140822299999</v>
      </c>
    </row>
    <row r="152" spans="1:15">
      <c r="A152">
        <v>125</v>
      </c>
      <c r="B152" t="s">
        <v>2666</v>
      </c>
      <c r="C152" t="s">
        <v>2346</v>
      </c>
      <c r="D152" t="s">
        <v>2460</v>
      </c>
      <c r="E152" t="s">
        <v>2460</v>
      </c>
      <c r="F152" t="s">
        <v>2218</v>
      </c>
      <c r="G152" t="s">
        <v>2804</v>
      </c>
      <c r="H152" t="s">
        <v>2805</v>
      </c>
      <c r="I152">
        <v>793</v>
      </c>
      <c r="J152">
        <v>560</v>
      </c>
      <c r="K152">
        <v>740</v>
      </c>
      <c r="L152" t="s">
        <v>2837</v>
      </c>
      <c r="M152">
        <v>54</v>
      </c>
      <c r="N152" t="s">
        <v>2833</v>
      </c>
      <c r="O152">
        <v>206.85140822299999</v>
      </c>
    </row>
    <row r="153" spans="1:15">
      <c r="A153">
        <v>126</v>
      </c>
      <c r="B153" t="s">
        <v>2666</v>
      </c>
      <c r="C153" t="s">
        <v>2347</v>
      </c>
      <c r="D153" t="s">
        <v>2460</v>
      </c>
      <c r="E153" t="s">
        <v>2460</v>
      </c>
      <c r="F153" t="s">
        <v>2218</v>
      </c>
      <c r="G153" t="s">
        <v>2804</v>
      </c>
      <c r="H153" t="s">
        <v>2805</v>
      </c>
      <c r="I153">
        <v>749</v>
      </c>
      <c r="J153">
        <v>562</v>
      </c>
      <c r="K153">
        <v>841</v>
      </c>
      <c r="L153" t="s">
        <v>2838</v>
      </c>
      <c r="M153">
        <v>54</v>
      </c>
      <c r="N153" t="s">
        <v>2833</v>
      </c>
      <c r="O153">
        <v>206.85140822299999</v>
      </c>
    </row>
    <row r="154" spans="1:15">
      <c r="A154">
        <v>127</v>
      </c>
      <c r="B154" t="s">
        <v>2666</v>
      </c>
      <c r="C154" t="s">
        <v>2348</v>
      </c>
      <c r="D154" t="s">
        <v>2460</v>
      </c>
      <c r="E154" t="s">
        <v>2460</v>
      </c>
      <c r="F154" t="s">
        <v>2218</v>
      </c>
      <c r="G154" t="s">
        <v>2804</v>
      </c>
      <c r="H154" t="s">
        <v>2805</v>
      </c>
      <c r="I154">
        <v>898</v>
      </c>
      <c r="J154">
        <v>506</v>
      </c>
      <c r="K154">
        <v>687</v>
      </c>
      <c r="L154" t="s">
        <v>2839</v>
      </c>
      <c r="M154">
        <v>54</v>
      </c>
      <c r="N154" t="s">
        <v>2833</v>
      </c>
      <c r="O154">
        <v>206.85140822299999</v>
      </c>
    </row>
    <row r="155" spans="1:15">
      <c r="A155">
        <v>128</v>
      </c>
      <c r="B155" t="s">
        <v>2666</v>
      </c>
      <c r="C155" t="s">
        <v>2349</v>
      </c>
      <c r="D155" t="s">
        <v>2460</v>
      </c>
      <c r="E155" t="s">
        <v>2460</v>
      </c>
      <c r="F155" t="s">
        <v>2218</v>
      </c>
      <c r="G155" t="s">
        <v>2804</v>
      </c>
      <c r="H155" t="s">
        <v>2805</v>
      </c>
      <c r="I155">
        <v>834</v>
      </c>
      <c r="J155">
        <v>554</v>
      </c>
      <c r="K155">
        <v>833</v>
      </c>
      <c r="L155" t="s">
        <v>2840</v>
      </c>
      <c r="M155">
        <v>54</v>
      </c>
      <c r="N155" t="s">
        <v>2833</v>
      </c>
      <c r="O155">
        <v>206.85140822299999</v>
      </c>
    </row>
    <row r="156" spans="1:15">
      <c r="A156">
        <v>129</v>
      </c>
      <c r="B156" t="s">
        <v>2666</v>
      </c>
      <c r="C156" t="s">
        <v>2350</v>
      </c>
      <c r="D156" t="s">
        <v>2460</v>
      </c>
      <c r="E156" t="s">
        <v>2460</v>
      </c>
      <c r="F156" t="s">
        <v>2227</v>
      </c>
      <c r="G156" t="s">
        <v>2804</v>
      </c>
      <c r="H156" t="s">
        <v>2805</v>
      </c>
      <c r="I156">
        <v>819</v>
      </c>
      <c r="J156">
        <v>46</v>
      </c>
      <c r="K156">
        <v>888</v>
      </c>
      <c r="L156" t="s">
        <v>2841</v>
      </c>
      <c r="M156">
        <v>54</v>
      </c>
      <c r="N156" t="s">
        <v>2842</v>
      </c>
      <c r="O156">
        <v>206.85140822299999</v>
      </c>
    </row>
    <row r="157" spans="1:15">
      <c r="A157">
        <v>130</v>
      </c>
      <c r="B157" t="s">
        <v>2666</v>
      </c>
      <c r="C157" t="s">
        <v>2351</v>
      </c>
      <c r="D157" t="s">
        <v>2460</v>
      </c>
      <c r="E157" t="s">
        <v>2460</v>
      </c>
      <c r="F157" t="s">
        <v>2227</v>
      </c>
      <c r="G157" t="s">
        <v>2804</v>
      </c>
      <c r="H157" t="s">
        <v>2805</v>
      </c>
      <c r="I157">
        <v>830</v>
      </c>
      <c r="J157">
        <v>585</v>
      </c>
      <c r="K157">
        <v>708</v>
      </c>
      <c r="L157" t="s">
        <v>2843</v>
      </c>
      <c r="M157">
        <v>54</v>
      </c>
      <c r="N157" t="s">
        <v>2842</v>
      </c>
      <c r="O157">
        <v>206.85140822299999</v>
      </c>
    </row>
    <row r="158" spans="1:15">
      <c r="A158">
        <v>131</v>
      </c>
      <c r="B158" t="s">
        <v>2666</v>
      </c>
      <c r="C158" t="s">
        <v>2352</v>
      </c>
      <c r="D158" t="s">
        <v>2460</v>
      </c>
      <c r="E158" t="s">
        <v>2460</v>
      </c>
      <c r="F158" t="s">
        <v>2227</v>
      </c>
      <c r="G158" t="s">
        <v>2804</v>
      </c>
      <c r="H158" t="s">
        <v>2805</v>
      </c>
      <c r="I158">
        <v>746</v>
      </c>
      <c r="J158">
        <v>476</v>
      </c>
      <c r="K158">
        <v>768</v>
      </c>
      <c r="L158" t="s">
        <v>2844</v>
      </c>
      <c r="M158">
        <v>54</v>
      </c>
      <c r="N158" t="s">
        <v>2842</v>
      </c>
      <c r="O158">
        <v>206.85140822299999</v>
      </c>
    </row>
    <row r="159" spans="1:15">
      <c r="A159">
        <v>132</v>
      </c>
      <c r="B159" t="s">
        <v>2666</v>
      </c>
      <c r="C159" t="s">
        <v>2353</v>
      </c>
      <c r="D159" t="s">
        <v>2460</v>
      </c>
      <c r="E159" t="s">
        <v>2460</v>
      </c>
      <c r="F159" t="s">
        <v>2227</v>
      </c>
      <c r="G159" t="s">
        <v>2804</v>
      </c>
      <c r="H159" t="s">
        <v>2805</v>
      </c>
      <c r="I159">
        <v>725</v>
      </c>
      <c r="J159">
        <v>536</v>
      </c>
      <c r="K159">
        <v>779</v>
      </c>
      <c r="L159" t="s">
        <v>2845</v>
      </c>
      <c r="M159">
        <v>54</v>
      </c>
      <c r="N159" t="s">
        <v>2842</v>
      </c>
      <c r="O159">
        <v>206.85140822299999</v>
      </c>
    </row>
    <row r="160" spans="1:15">
      <c r="A160">
        <v>133</v>
      </c>
      <c r="B160" t="s">
        <v>2666</v>
      </c>
      <c r="C160" t="s">
        <v>2354</v>
      </c>
      <c r="D160" t="s">
        <v>2460</v>
      </c>
      <c r="E160" t="s">
        <v>2460</v>
      </c>
      <c r="F160" t="s">
        <v>2227</v>
      </c>
      <c r="G160" t="s">
        <v>2804</v>
      </c>
      <c r="H160" t="s">
        <v>2805</v>
      </c>
      <c r="I160">
        <v>846</v>
      </c>
      <c r="J160">
        <v>524</v>
      </c>
      <c r="K160">
        <v>799</v>
      </c>
      <c r="L160" t="s">
        <v>2846</v>
      </c>
      <c r="M160">
        <v>54</v>
      </c>
      <c r="N160" t="s">
        <v>2842</v>
      </c>
      <c r="O160">
        <v>206.85140822299999</v>
      </c>
    </row>
    <row r="161" spans="1:15">
      <c r="A161">
        <v>134</v>
      </c>
      <c r="B161" t="s">
        <v>2666</v>
      </c>
      <c r="C161" t="s">
        <v>2355</v>
      </c>
      <c r="D161" t="s">
        <v>2460</v>
      </c>
      <c r="E161" t="s">
        <v>2460</v>
      </c>
      <c r="F161" t="s">
        <v>2227</v>
      </c>
      <c r="G161" t="s">
        <v>2804</v>
      </c>
      <c r="H161" t="s">
        <v>2805</v>
      </c>
      <c r="I161">
        <v>756</v>
      </c>
      <c r="J161">
        <v>600</v>
      </c>
      <c r="K161">
        <v>820</v>
      </c>
      <c r="L161" t="s">
        <v>2847</v>
      </c>
      <c r="M161">
        <v>54</v>
      </c>
      <c r="N161" t="s">
        <v>2842</v>
      </c>
      <c r="O161">
        <v>206.85140822299999</v>
      </c>
    </row>
    <row r="162" spans="1:15">
      <c r="A162">
        <v>135</v>
      </c>
      <c r="B162" t="s">
        <v>2666</v>
      </c>
      <c r="C162" t="s">
        <v>2356</v>
      </c>
      <c r="D162" t="s">
        <v>2460</v>
      </c>
      <c r="E162" t="s">
        <v>2460</v>
      </c>
      <c r="F162" t="s">
        <v>2227</v>
      </c>
      <c r="G162" t="s">
        <v>2804</v>
      </c>
      <c r="H162" t="s">
        <v>2805</v>
      </c>
      <c r="I162">
        <v>745</v>
      </c>
      <c r="J162">
        <v>432</v>
      </c>
      <c r="K162">
        <v>842</v>
      </c>
      <c r="L162" t="s">
        <v>2848</v>
      </c>
      <c r="M162">
        <v>54</v>
      </c>
      <c r="N162" t="s">
        <v>2842</v>
      </c>
      <c r="O162">
        <v>206.85140822299999</v>
      </c>
    </row>
    <row r="163" spans="1:15">
      <c r="A163">
        <v>136</v>
      </c>
      <c r="B163" t="s">
        <v>2666</v>
      </c>
      <c r="C163" t="s">
        <v>2357</v>
      </c>
      <c r="D163" t="s">
        <v>2460</v>
      </c>
      <c r="E163" t="s">
        <v>2460</v>
      </c>
      <c r="F163" t="s">
        <v>2227</v>
      </c>
      <c r="G163" t="s">
        <v>2804</v>
      </c>
      <c r="H163" t="s">
        <v>2805</v>
      </c>
      <c r="I163">
        <v>832</v>
      </c>
      <c r="J163">
        <v>474</v>
      </c>
      <c r="K163">
        <v>747</v>
      </c>
      <c r="L163" t="s">
        <v>2849</v>
      </c>
      <c r="M163">
        <v>54</v>
      </c>
      <c r="N163" t="s">
        <v>2842</v>
      </c>
      <c r="O163">
        <v>206.85140822299999</v>
      </c>
    </row>
    <row r="164" spans="1:15">
      <c r="A164">
        <v>137</v>
      </c>
      <c r="B164" t="s">
        <v>2666</v>
      </c>
      <c r="C164" t="s">
        <v>2358</v>
      </c>
      <c r="D164" t="s">
        <v>2460</v>
      </c>
      <c r="E164" t="s">
        <v>2460</v>
      </c>
      <c r="F164" t="s">
        <v>2244</v>
      </c>
      <c r="G164" t="s">
        <v>2804</v>
      </c>
      <c r="H164" t="s">
        <v>2805</v>
      </c>
      <c r="I164">
        <v>805</v>
      </c>
      <c r="J164">
        <v>34</v>
      </c>
      <c r="K164">
        <v>857</v>
      </c>
      <c r="L164" t="s">
        <v>2850</v>
      </c>
      <c r="M164">
        <v>54</v>
      </c>
      <c r="N164" t="s">
        <v>2851</v>
      </c>
      <c r="O164">
        <v>206.85140822299999</v>
      </c>
    </row>
    <row r="165" spans="1:15">
      <c r="A165">
        <v>138</v>
      </c>
      <c r="B165" t="s">
        <v>2666</v>
      </c>
      <c r="C165" t="s">
        <v>2359</v>
      </c>
      <c r="D165" t="s">
        <v>2460</v>
      </c>
      <c r="E165" t="s">
        <v>2460</v>
      </c>
      <c r="F165" t="s">
        <v>2244</v>
      </c>
      <c r="G165" t="s">
        <v>2804</v>
      </c>
      <c r="H165" t="s">
        <v>2805</v>
      </c>
      <c r="I165">
        <v>815</v>
      </c>
      <c r="J165">
        <v>426</v>
      </c>
      <c r="K165">
        <v>623</v>
      </c>
      <c r="L165" t="s">
        <v>2852</v>
      </c>
      <c r="M165">
        <v>54</v>
      </c>
      <c r="N165" t="s">
        <v>2851</v>
      </c>
      <c r="O165">
        <v>206.85140822299999</v>
      </c>
    </row>
    <row r="166" spans="1:15">
      <c r="A166">
        <v>139</v>
      </c>
      <c r="B166" t="s">
        <v>2666</v>
      </c>
      <c r="C166" t="s">
        <v>2360</v>
      </c>
      <c r="D166" t="s">
        <v>2460</v>
      </c>
      <c r="E166" t="s">
        <v>2460</v>
      </c>
      <c r="F166" t="s">
        <v>2244</v>
      </c>
      <c r="G166" t="s">
        <v>2804</v>
      </c>
      <c r="H166" t="s">
        <v>2805</v>
      </c>
      <c r="I166">
        <v>798</v>
      </c>
      <c r="J166">
        <v>563</v>
      </c>
      <c r="K166">
        <v>880</v>
      </c>
      <c r="L166" t="s">
        <v>2853</v>
      </c>
      <c r="M166">
        <v>54</v>
      </c>
      <c r="N166" t="s">
        <v>2851</v>
      </c>
      <c r="O166">
        <v>206.85140822299999</v>
      </c>
    </row>
    <row r="167" spans="1:15">
      <c r="A167">
        <v>140</v>
      </c>
      <c r="B167" t="s">
        <v>2666</v>
      </c>
      <c r="C167" t="s">
        <v>2362</v>
      </c>
      <c r="D167" t="s">
        <v>2460</v>
      </c>
      <c r="E167" t="s">
        <v>2460</v>
      </c>
      <c r="F167" t="s">
        <v>2244</v>
      </c>
      <c r="G167" t="s">
        <v>2804</v>
      </c>
      <c r="H167" t="s">
        <v>2805</v>
      </c>
      <c r="I167">
        <v>787</v>
      </c>
      <c r="J167">
        <v>535</v>
      </c>
      <c r="K167">
        <v>706</v>
      </c>
      <c r="L167" t="s">
        <v>2854</v>
      </c>
      <c r="M167">
        <v>54</v>
      </c>
      <c r="N167" t="s">
        <v>2851</v>
      </c>
      <c r="O167">
        <v>206.85140822299999</v>
      </c>
    </row>
    <row r="168" spans="1:15">
      <c r="A168">
        <v>141</v>
      </c>
      <c r="B168" t="s">
        <v>2666</v>
      </c>
      <c r="C168" t="s">
        <v>2363</v>
      </c>
      <c r="D168" t="s">
        <v>2460</v>
      </c>
      <c r="E168" t="s">
        <v>2460</v>
      </c>
      <c r="F168" t="s">
        <v>2244</v>
      </c>
      <c r="G168" t="s">
        <v>2804</v>
      </c>
      <c r="H168" t="s">
        <v>2805</v>
      </c>
      <c r="I168">
        <v>900</v>
      </c>
      <c r="J168">
        <v>581</v>
      </c>
      <c r="K168">
        <v>775</v>
      </c>
      <c r="L168" t="s">
        <v>2855</v>
      </c>
      <c r="M168">
        <v>54</v>
      </c>
      <c r="N168" t="s">
        <v>2851</v>
      </c>
      <c r="O168">
        <v>206.85140822299999</v>
      </c>
    </row>
    <row r="169" spans="1:15">
      <c r="A169">
        <v>142</v>
      </c>
      <c r="B169" t="s">
        <v>2666</v>
      </c>
      <c r="C169" t="s">
        <v>2364</v>
      </c>
      <c r="D169" t="s">
        <v>2460</v>
      </c>
      <c r="E169" t="s">
        <v>2460</v>
      </c>
      <c r="F169" t="s">
        <v>2244</v>
      </c>
      <c r="G169" t="s">
        <v>2804</v>
      </c>
      <c r="H169" t="s">
        <v>2805</v>
      </c>
      <c r="I169">
        <v>817</v>
      </c>
      <c r="J169">
        <v>460</v>
      </c>
      <c r="K169">
        <v>850</v>
      </c>
      <c r="L169" t="s">
        <v>2856</v>
      </c>
      <c r="M169">
        <v>54</v>
      </c>
      <c r="N169" t="s">
        <v>2851</v>
      </c>
      <c r="O169">
        <v>206.85140822299999</v>
      </c>
    </row>
    <row r="170" spans="1:15">
      <c r="A170">
        <v>143</v>
      </c>
      <c r="B170" t="s">
        <v>2666</v>
      </c>
      <c r="C170" t="s">
        <v>2365</v>
      </c>
      <c r="D170" t="s">
        <v>2460</v>
      </c>
      <c r="E170" t="s">
        <v>2460</v>
      </c>
      <c r="F170" t="s">
        <v>2244</v>
      </c>
      <c r="G170" t="s">
        <v>2804</v>
      </c>
      <c r="H170" t="s">
        <v>2805</v>
      </c>
      <c r="I170">
        <v>836</v>
      </c>
      <c r="J170">
        <v>456</v>
      </c>
      <c r="K170">
        <v>697</v>
      </c>
      <c r="L170" t="s">
        <v>2857</v>
      </c>
      <c r="M170">
        <v>54</v>
      </c>
      <c r="N170" t="s">
        <v>2851</v>
      </c>
      <c r="O170">
        <v>206.85140822299999</v>
      </c>
    </row>
    <row r="171" spans="1:15">
      <c r="A171">
        <v>144</v>
      </c>
      <c r="B171" t="s">
        <v>2666</v>
      </c>
      <c r="C171" t="s">
        <v>2366</v>
      </c>
      <c r="D171" t="s">
        <v>2460</v>
      </c>
      <c r="E171" t="s">
        <v>2460</v>
      </c>
      <c r="F171" t="s">
        <v>2244</v>
      </c>
      <c r="G171" t="s">
        <v>2804</v>
      </c>
      <c r="H171" t="s">
        <v>2805</v>
      </c>
      <c r="I171">
        <v>784</v>
      </c>
      <c r="J171">
        <v>571</v>
      </c>
      <c r="K171">
        <v>894</v>
      </c>
      <c r="L171" t="s">
        <v>2858</v>
      </c>
      <c r="M171">
        <v>54</v>
      </c>
      <c r="N171" t="s">
        <v>2851</v>
      </c>
      <c r="O171">
        <v>206.85140822299999</v>
      </c>
    </row>
    <row r="172" spans="1:15">
      <c r="A172">
        <v>147</v>
      </c>
      <c r="B172" t="s">
        <v>2666</v>
      </c>
      <c r="C172" t="s">
        <v>2369</v>
      </c>
      <c r="D172" t="s">
        <v>2460</v>
      </c>
      <c r="E172" t="s">
        <v>2460</v>
      </c>
      <c r="F172" t="s">
        <v>2256</v>
      </c>
      <c r="G172" t="s">
        <v>2804</v>
      </c>
      <c r="H172" t="s">
        <v>2805</v>
      </c>
      <c r="I172">
        <v>678</v>
      </c>
      <c r="J172">
        <v>573</v>
      </c>
      <c r="K172">
        <v>878</v>
      </c>
      <c r="L172" t="s">
        <v>2863</v>
      </c>
      <c r="M172">
        <v>54</v>
      </c>
      <c r="N172" t="s">
        <v>2861</v>
      </c>
      <c r="O172">
        <v>206.85140822299999</v>
      </c>
    </row>
    <row r="173" spans="1:15">
      <c r="A173">
        <v>148</v>
      </c>
      <c r="B173" t="s">
        <v>2666</v>
      </c>
      <c r="C173" t="s">
        <v>2370</v>
      </c>
      <c r="D173" t="s">
        <v>2460</v>
      </c>
      <c r="E173" t="s">
        <v>2460</v>
      </c>
      <c r="F173" t="s">
        <v>2256</v>
      </c>
      <c r="G173" t="s">
        <v>2804</v>
      </c>
      <c r="H173" t="s">
        <v>2805</v>
      </c>
      <c r="I173">
        <v>835</v>
      </c>
      <c r="J173">
        <v>472</v>
      </c>
      <c r="K173">
        <v>807</v>
      </c>
      <c r="L173" t="s">
        <v>2864</v>
      </c>
      <c r="M173">
        <v>54</v>
      </c>
      <c r="N173" t="s">
        <v>2861</v>
      </c>
      <c r="O173">
        <v>206.85140822299999</v>
      </c>
    </row>
    <row r="174" spans="1:15">
      <c r="A174">
        <v>149</v>
      </c>
      <c r="B174" t="s">
        <v>2666</v>
      </c>
      <c r="C174" t="s">
        <v>2371</v>
      </c>
      <c r="D174" t="s">
        <v>2460</v>
      </c>
      <c r="E174" t="s">
        <v>2460</v>
      </c>
      <c r="F174" t="s">
        <v>2256</v>
      </c>
      <c r="G174" t="s">
        <v>2804</v>
      </c>
      <c r="H174" t="s">
        <v>2805</v>
      </c>
      <c r="I174">
        <v>733</v>
      </c>
      <c r="J174">
        <v>545</v>
      </c>
      <c r="K174">
        <v>696</v>
      </c>
      <c r="L174" t="s">
        <v>2865</v>
      </c>
      <c r="M174">
        <v>54</v>
      </c>
      <c r="N174" t="s">
        <v>2861</v>
      </c>
      <c r="O174">
        <v>206.85140822299999</v>
      </c>
    </row>
    <row r="175" spans="1:15">
      <c r="A175">
        <v>150</v>
      </c>
      <c r="B175" t="s">
        <v>2666</v>
      </c>
      <c r="C175" t="s">
        <v>2372</v>
      </c>
      <c r="D175" t="s">
        <v>2460</v>
      </c>
      <c r="E175" t="s">
        <v>2460</v>
      </c>
      <c r="F175" t="s">
        <v>2256</v>
      </c>
      <c r="G175" t="s">
        <v>2804</v>
      </c>
      <c r="H175" t="s">
        <v>2805</v>
      </c>
      <c r="I175">
        <v>658</v>
      </c>
      <c r="J175">
        <v>7</v>
      </c>
      <c r="K175">
        <v>801</v>
      </c>
      <c r="L175" t="s">
        <v>2866</v>
      </c>
      <c r="M175">
        <v>54</v>
      </c>
      <c r="N175" t="s">
        <v>2861</v>
      </c>
      <c r="O175">
        <v>206.85140822299999</v>
      </c>
    </row>
    <row r="176" spans="1:15">
      <c r="A176">
        <v>151</v>
      </c>
      <c r="B176" t="s">
        <v>2666</v>
      </c>
      <c r="C176" t="s">
        <v>2373</v>
      </c>
      <c r="D176" t="s">
        <v>2460</v>
      </c>
      <c r="E176" t="s">
        <v>2460</v>
      </c>
      <c r="F176" t="s">
        <v>2256</v>
      </c>
      <c r="G176" t="s">
        <v>2804</v>
      </c>
      <c r="H176" t="s">
        <v>2805</v>
      </c>
      <c r="I176">
        <v>567</v>
      </c>
      <c r="J176">
        <v>447</v>
      </c>
      <c r="K176">
        <v>647</v>
      </c>
      <c r="L176" t="s">
        <v>2867</v>
      </c>
      <c r="M176">
        <v>54</v>
      </c>
      <c r="N176" t="s">
        <v>2861</v>
      </c>
      <c r="O176">
        <v>206.85140822299999</v>
      </c>
    </row>
    <row r="177" spans="1:15">
      <c r="A177">
        <v>152</v>
      </c>
      <c r="B177" t="s">
        <v>2666</v>
      </c>
      <c r="C177" t="s">
        <v>2374</v>
      </c>
      <c r="D177" t="s">
        <v>2460</v>
      </c>
      <c r="E177" t="s">
        <v>2460</v>
      </c>
      <c r="F177" t="s">
        <v>2256</v>
      </c>
      <c r="G177" t="s">
        <v>2804</v>
      </c>
      <c r="H177" t="s">
        <v>2805</v>
      </c>
      <c r="I177">
        <v>853</v>
      </c>
      <c r="J177">
        <v>591</v>
      </c>
      <c r="K177">
        <v>744</v>
      </c>
      <c r="L177" t="s">
        <v>2868</v>
      </c>
      <c r="M177">
        <v>54</v>
      </c>
      <c r="N177" t="s">
        <v>2861</v>
      </c>
      <c r="O177">
        <v>206.85140822299999</v>
      </c>
    </row>
    <row r="178" spans="1:15">
      <c r="A178">
        <v>153</v>
      </c>
      <c r="B178" t="s">
        <v>2666</v>
      </c>
      <c r="C178" t="s">
        <v>2376</v>
      </c>
      <c r="D178" t="s">
        <v>2460</v>
      </c>
      <c r="E178" t="s">
        <v>2460</v>
      </c>
      <c r="F178" t="s">
        <v>2265</v>
      </c>
      <c r="G178" t="s">
        <v>2804</v>
      </c>
      <c r="H178" t="s">
        <v>2805</v>
      </c>
      <c r="I178">
        <v>800</v>
      </c>
      <c r="J178">
        <v>479</v>
      </c>
      <c r="K178">
        <v>885</v>
      </c>
      <c r="L178" t="s">
        <v>2869</v>
      </c>
      <c r="M178">
        <v>54</v>
      </c>
      <c r="N178" t="s">
        <v>2870</v>
      </c>
      <c r="O178">
        <v>206.85140822299999</v>
      </c>
    </row>
    <row r="179" spans="1:15">
      <c r="A179">
        <v>154</v>
      </c>
      <c r="B179" t="s">
        <v>2666</v>
      </c>
      <c r="C179" t="s">
        <v>2377</v>
      </c>
      <c r="D179" t="s">
        <v>2460</v>
      </c>
      <c r="E179" t="s">
        <v>2460</v>
      </c>
      <c r="F179" t="s">
        <v>2265</v>
      </c>
      <c r="G179" t="s">
        <v>2804</v>
      </c>
      <c r="H179" t="s">
        <v>2805</v>
      </c>
      <c r="I179">
        <v>675</v>
      </c>
      <c r="J179">
        <v>493</v>
      </c>
      <c r="K179">
        <v>684</v>
      </c>
      <c r="L179" t="s">
        <v>2871</v>
      </c>
      <c r="M179">
        <v>54</v>
      </c>
      <c r="N179" t="s">
        <v>2870</v>
      </c>
      <c r="O179">
        <v>206.85140822299999</v>
      </c>
    </row>
    <row r="180" spans="1:15">
      <c r="A180">
        <v>155</v>
      </c>
      <c r="B180" t="s">
        <v>2666</v>
      </c>
      <c r="C180" t="s">
        <v>2378</v>
      </c>
      <c r="D180" t="s">
        <v>2460</v>
      </c>
      <c r="E180" t="s">
        <v>2460</v>
      </c>
      <c r="F180" t="s">
        <v>2265</v>
      </c>
      <c r="G180" t="s">
        <v>2804</v>
      </c>
      <c r="H180" t="s">
        <v>2805</v>
      </c>
      <c r="I180">
        <v>859</v>
      </c>
      <c r="J180">
        <v>484</v>
      </c>
      <c r="K180">
        <v>827</v>
      </c>
      <c r="L180" t="s">
        <v>2872</v>
      </c>
      <c r="M180">
        <v>54</v>
      </c>
      <c r="N180" t="s">
        <v>2870</v>
      </c>
      <c r="O180">
        <v>206.85140822299999</v>
      </c>
    </row>
    <row r="181" spans="1:15">
      <c r="A181">
        <v>156</v>
      </c>
      <c r="B181" t="s">
        <v>2666</v>
      </c>
      <c r="C181" t="s">
        <v>2379</v>
      </c>
      <c r="D181" t="s">
        <v>2460</v>
      </c>
      <c r="E181" t="s">
        <v>2460</v>
      </c>
      <c r="F181" t="s">
        <v>2265</v>
      </c>
      <c r="G181" t="s">
        <v>2804</v>
      </c>
      <c r="H181" t="s">
        <v>2805</v>
      </c>
      <c r="I181">
        <v>654</v>
      </c>
      <c r="J181">
        <v>598</v>
      </c>
      <c r="K181">
        <v>667</v>
      </c>
      <c r="L181" t="s">
        <v>2873</v>
      </c>
      <c r="M181">
        <v>54</v>
      </c>
      <c r="N181" t="s">
        <v>2870</v>
      </c>
      <c r="O181">
        <v>206.85140822299999</v>
      </c>
    </row>
    <row r="182" spans="1:15">
      <c r="A182">
        <v>157</v>
      </c>
      <c r="B182" t="s">
        <v>2666</v>
      </c>
      <c r="C182" t="s">
        <v>2381</v>
      </c>
      <c r="D182" t="s">
        <v>2460</v>
      </c>
      <c r="E182" t="s">
        <v>2460</v>
      </c>
      <c r="F182" t="s">
        <v>2265</v>
      </c>
      <c r="G182" t="s">
        <v>2804</v>
      </c>
      <c r="H182" t="s">
        <v>2805</v>
      </c>
      <c r="I182">
        <v>890</v>
      </c>
      <c r="J182">
        <v>30</v>
      </c>
      <c r="K182">
        <v>777</v>
      </c>
      <c r="L182" t="s">
        <v>2874</v>
      </c>
      <c r="M182">
        <v>54</v>
      </c>
      <c r="N182" t="s">
        <v>2870</v>
      </c>
      <c r="O182">
        <v>206.85140822299999</v>
      </c>
    </row>
    <row r="183" spans="1:15">
      <c r="A183">
        <v>158</v>
      </c>
      <c r="B183" t="s">
        <v>2666</v>
      </c>
      <c r="C183" t="s">
        <v>2382</v>
      </c>
      <c r="D183" t="s">
        <v>2460</v>
      </c>
      <c r="E183" t="s">
        <v>2460</v>
      </c>
      <c r="F183" t="s">
        <v>2265</v>
      </c>
      <c r="G183" t="s">
        <v>2804</v>
      </c>
      <c r="H183" t="s">
        <v>2805</v>
      </c>
      <c r="I183">
        <v>576</v>
      </c>
      <c r="J183">
        <v>16</v>
      </c>
      <c r="K183">
        <v>884</v>
      </c>
      <c r="L183" t="s">
        <v>2875</v>
      </c>
      <c r="M183">
        <v>54</v>
      </c>
      <c r="N183" t="s">
        <v>2870</v>
      </c>
      <c r="O183">
        <v>206.85140822299999</v>
      </c>
    </row>
    <row r="184" spans="1:15">
      <c r="A184">
        <v>159</v>
      </c>
      <c r="B184" t="s">
        <v>2666</v>
      </c>
      <c r="C184" t="s">
        <v>2383</v>
      </c>
      <c r="D184" t="s">
        <v>2460</v>
      </c>
      <c r="E184" t="s">
        <v>2460</v>
      </c>
      <c r="F184" t="s">
        <v>2265</v>
      </c>
      <c r="G184" t="s">
        <v>2804</v>
      </c>
      <c r="H184" t="s">
        <v>2805</v>
      </c>
      <c r="I184">
        <v>829</v>
      </c>
      <c r="J184">
        <v>499</v>
      </c>
      <c r="K184">
        <v>731</v>
      </c>
      <c r="L184" t="s">
        <v>2876</v>
      </c>
      <c r="M184">
        <v>54</v>
      </c>
      <c r="N184" t="s">
        <v>2870</v>
      </c>
      <c r="O184">
        <v>206.85140822299999</v>
      </c>
    </row>
    <row r="185" spans="1:15">
      <c r="A185">
        <v>160</v>
      </c>
      <c r="B185" t="s">
        <v>2666</v>
      </c>
      <c r="C185" t="s">
        <v>2384</v>
      </c>
      <c r="D185" t="s">
        <v>2460</v>
      </c>
      <c r="E185" t="s">
        <v>2460</v>
      </c>
      <c r="F185" t="s">
        <v>2265</v>
      </c>
      <c r="G185" t="s">
        <v>2804</v>
      </c>
      <c r="H185" t="s">
        <v>2805</v>
      </c>
      <c r="I185">
        <v>809</v>
      </c>
      <c r="J185">
        <v>421</v>
      </c>
      <c r="K185">
        <v>876</v>
      </c>
      <c r="L185" t="s">
        <v>2877</v>
      </c>
      <c r="M185">
        <v>54</v>
      </c>
      <c r="N185" t="s">
        <v>2870</v>
      </c>
      <c r="O185">
        <v>206.85140822299999</v>
      </c>
    </row>
    <row r="186" spans="1:15">
      <c r="A186">
        <v>41</v>
      </c>
      <c r="B186" t="s">
        <v>2176</v>
      </c>
      <c r="C186" t="s">
        <v>2243</v>
      </c>
      <c r="D186" t="s">
        <v>2659</v>
      </c>
      <c r="E186" t="s">
        <v>2460</v>
      </c>
      <c r="F186" t="s">
        <v>2244</v>
      </c>
      <c r="G186" t="s">
        <v>2696</v>
      </c>
      <c r="H186" t="s">
        <v>2733</v>
      </c>
      <c r="I186">
        <v>453</v>
      </c>
      <c r="J186">
        <v>521</v>
      </c>
      <c r="K186">
        <v>626</v>
      </c>
      <c r="L186" t="s">
        <v>2743</v>
      </c>
      <c r="M186">
        <v>54</v>
      </c>
      <c r="N186" t="s">
        <v>2744</v>
      </c>
      <c r="O186">
        <v>214.262898705</v>
      </c>
    </row>
    <row r="187" spans="1:15">
      <c r="A187">
        <v>42</v>
      </c>
      <c r="B187" t="s">
        <v>2176</v>
      </c>
      <c r="C187" t="s">
        <v>2245</v>
      </c>
      <c r="D187" t="s">
        <v>2659</v>
      </c>
      <c r="E187" t="s">
        <v>2460</v>
      </c>
      <c r="F187" t="s">
        <v>2244</v>
      </c>
      <c r="G187" t="s">
        <v>2696</v>
      </c>
      <c r="H187" t="s">
        <v>2733</v>
      </c>
      <c r="I187">
        <v>764</v>
      </c>
      <c r="J187">
        <v>371</v>
      </c>
      <c r="K187">
        <v>437</v>
      </c>
      <c r="L187" t="s">
        <v>2745</v>
      </c>
      <c r="M187">
        <v>54</v>
      </c>
      <c r="N187" t="s">
        <v>2744</v>
      </c>
      <c r="O187">
        <v>214.262898705</v>
      </c>
    </row>
    <row r="188" spans="1:15">
      <c r="A188">
        <v>43</v>
      </c>
      <c r="B188" t="s">
        <v>2176</v>
      </c>
      <c r="C188" t="s">
        <v>2247</v>
      </c>
      <c r="D188" t="s">
        <v>2659</v>
      </c>
      <c r="E188" t="s">
        <v>2460</v>
      </c>
      <c r="F188" t="s">
        <v>2244</v>
      </c>
      <c r="G188" t="s">
        <v>2696</v>
      </c>
      <c r="H188" t="s">
        <v>2733</v>
      </c>
      <c r="I188">
        <v>690</v>
      </c>
      <c r="J188">
        <v>376</v>
      </c>
      <c r="K188">
        <v>643</v>
      </c>
      <c r="L188" t="s">
        <v>2746</v>
      </c>
      <c r="M188">
        <v>54</v>
      </c>
      <c r="N188" t="s">
        <v>2744</v>
      </c>
      <c r="O188">
        <v>214.262898705</v>
      </c>
    </row>
    <row r="189" spans="1:15">
      <c r="A189">
        <v>44</v>
      </c>
      <c r="B189" t="s">
        <v>2176</v>
      </c>
      <c r="C189" t="s">
        <v>2248</v>
      </c>
      <c r="D189" t="s">
        <v>2659</v>
      </c>
      <c r="E189" t="s">
        <v>2460</v>
      </c>
      <c r="F189" t="s">
        <v>2244</v>
      </c>
      <c r="G189" t="s">
        <v>2696</v>
      </c>
      <c r="H189" t="s">
        <v>2733</v>
      </c>
      <c r="I189">
        <v>774</v>
      </c>
      <c r="J189">
        <v>166</v>
      </c>
      <c r="K189">
        <v>283</v>
      </c>
      <c r="L189" t="s">
        <v>2747</v>
      </c>
      <c r="M189">
        <v>54</v>
      </c>
      <c r="N189" t="s">
        <v>2744</v>
      </c>
      <c r="O189">
        <v>214.262898705</v>
      </c>
    </row>
    <row r="190" spans="1:15">
      <c r="A190">
        <v>45</v>
      </c>
      <c r="B190" t="s">
        <v>2176</v>
      </c>
      <c r="C190" t="s">
        <v>2249</v>
      </c>
      <c r="D190" t="s">
        <v>2659</v>
      </c>
      <c r="E190" t="s">
        <v>2460</v>
      </c>
      <c r="F190" t="s">
        <v>2244</v>
      </c>
      <c r="G190" t="s">
        <v>2696</v>
      </c>
      <c r="H190" t="s">
        <v>2733</v>
      </c>
      <c r="I190">
        <v>519</v>
      </c>
      <c r="J190">
        <v>469</v>
      </c>
      <c r="K190">
        <v>602</v>
      </c>
      <c r="L190" t="s">
        <v>2748</v>
      </c>
      <c r="M190">
        <v>54</v>
      </c>
      <c r="N190" t="s">
        <v>2744</v>
      </c>
      <c r="O190">
        <v>214.262898705</v>
      </c>
    </row>
    <row r="191" spans="1:15">
      <c r="A191">
        <v>46</v>
      </c>
      <c r="B191" t="s">
        <v>2176</v>
      </c>
      <c r="C191" t="s">
        <v>2251</v>
      </c>
      <c r="D191" t="s">
        <v>2659</v>
      </c>
      <c r="E191" t="s">
        <v>2460</v>
      </c>
      <c r="F191" t="s">
        <v>2244</v>
      </c>
      <c r="G191" t="s">
        <v>2696</v>
      </c>
      <c r="H191" t="s">
        <v>2733</v>
      </c>
      <c r="I191">
        <v>635</v>
      </c>
      <c r="J191">
        <v>86</v>
      </c>
      <c r="K191">
        <v>427</v>
      </c>
      <c r="L191" t="s">
        <v>2749</v>
      </c>
      <c r="M191">
        <v>54</v>
      </c>
      <c r="N191" t="s">
        <v>2744</v>
      </c>
      <c r="O191">
        <v>214.262898705</v>
      </c>
    </row>
    <row r="192" spans="1:15">
      <c r="A192">
        <v>47</v>
      </c>
      <c r="B192" t="s">
        <v>2176</v>
      </c>
      <c r="C192" t="s">
        <v>2252</v>
      </c>
      <c r="D192" t="s">
        <v>2659</v>
      </c>
      <c r="E192" t="s">
        <v>2460</v>
      </c>
      <c r="F192" t="s">
        <v>2244</v>
      </c>
      <c r="G192" t="s">
        <v>2696</v>
      </c>
      <c r="H192" t="s">
        <v>2733</v>
      </c>
      <c r="I192">
        <v>539</v>
      </c>
      <c r="J192">
        <v>146</v>
      </c>
      <c r="K192">
        <v>512</v>
      </c>
      <c r="L192" t="s">
        <v>2750</v>
      </c>
      <c r="M192">
        <v>54</v>
      </c>
      <c r="N192" t="s">
        <v>2744</v>
      </c>
      <c r="O192">
        <v>214.262898705</v>
      </c>
    </row>
    <row r="193" spans="1:15">
      <c r="A193">
        <v>48</v>
      </c>
      <c r="B193" t="s">
        <v>2176</v>
      </c>
      <c r="C193" t="s">
        <v>2254</v>
      </c>
      <c r="D193" t="s">
        <v>2659</v>
      </c>
      <c r="E193" t="s">
        <v>2460</v>
      </c>
      <c r="F193" t="s">
        <v>2244</v>
      </c>
      <c r="G193" t="s">
        <v>2696</v>
      </c>
      <c r="H193" t="s">
        <v>2733</v>
      </c>
      <c r="I193">
        <v>679</v>
      </c>
      <c r="J193">
        <v>72</v>
      </c>
      <c r="K193">
        <v>299</v>
      </c>
      <c r="L193" t="s">
        <v>2751</v>
      </c>
      <c r="M193">
        <v>54</v>
      </c>
      <c r="N193" t="s">
        <v>2744</v>
      </c>
      <c r="O193">
        <v>214.262898705</v>
      </c>
    </row>
    <row r="194" spans="1:15">
      <c r="A194">
        <v>49</v>
      </c>
      <c r="B194" t="s">
        <v>2176</v>
      </c>
      <c r="C194" t="s">
        <v>2255</v>
      </c>
      <c r="D194" t="s">
        <v>2659</v>
      </c>
      <c r="E194" t="s">
        <v>2460</v>
      </c>
      <c r="F194" t="s">
        <v>2256</v>
      </c>
      <c r="G194" t="s">
        <v>2696</v>
      </c>
      <c r="H194" t="s">
        <v>2733</v>
      </c>
      <c r="I194">
        <v>346</v>
      </c>
      <c r="J194">
        <v>28</v>
      </c>
      <c r="K194">
        <v>739</v>
      </c>
      <c r="L194" t="s">
        <v>2752</v>
      </c>
      <c r="M194">
        <v>54</v>
      </c>
      <c r="N194" t="s">
        <v>2753</v>
      </c>
      <c r="O194">
        <v>214.262898705</v>
      </c>
    </row>
    <row r="195" spans="1:15">
      <c r="A195">
        <v>50</v>
      </c>
      <c r="B195" t="s">
        <v>2176</v>
      </c>
      <c r="C195" t="s">
        <v>2257</v>
      </c>
      <c r="D195" t="s">
        <v>2659</v>
      </c>
      <c r="E195" t="s">
        <v>2460</v>
      </c>
      <c r="F195" t="s">
        <v>2256</v>
      </c>
      <c r="G195" t="s">
        <v>2696</v>
      </c>
      <c r="H195" t="s">
        <v>2733</v>
      </c>
      <c r="I195">
        <v>418</v>
      </c>
      <c r="J195">
        <v>5</v>
      </c>
      <c r="K195">
        <v>559</v>
      </c>
      <c r="L195" t="s">
        <v>2754</v>
      </c>
      <c r="M195">
        <v>54</v>
      </c>
      <c r="N195" t="s">
        <v>2753</v>
      </c>
      <c r="O195">
        <v>214.262898705</v>
      </c>
    </row>
    <row r="196" spans="1:15">
      <c r="A196">
        <v>51</v>
      </c>
      <c r="B196" t="s">
        <v>2176</v>
      </c>
      <c r="C196" t="s">
        <v>2258</v>
      </c>
      <c r="D196" t="s">
        <v>2659</v>
      </c>
      <c r="E196" t="s">
        <v>2460</v>
      </c>
      <c r="F196" t="s">
        <v>2256</v>
      </c>
      <c r="G196" t="s">
        <v>2696</v>
      </c>
      <c r="H196" t="s">
        <v>2733</v>
      </c>
      <c r="I196">
        <v>548</v>
      </c>
      <c r="J196">
        <v>85</v>
      </c>
      <c r="K196">
        <v>856</v>
      </c>
      <c r="L196" t="s">
        <v>2755</v>
      </c>
      <c r="M196">
        <v>54</v>
      </c>
      <c r="N196" t="s">
        <v>2753</v>
      </c>
      <c r="O196">
        <v>214.262898705</v>
      </c>
    </row>
    <row r="197" spans="1:15">
      <c r="A197">
        <v>52</v>
      </c>
      <c r="B197" t="s">
        <v>2176</v>
      </c>
      <c r="C197" t="s">
        <v>2259</v>
      </c>
      <c r="D197" t="s">
        <v>2659</v>
      </c>
      <c r="E197" t="s">
        <v>2460</v>
      </c>
      <c r="F197" t="s">
        <v>2256</v>
      </c>
      <c r="G197" t="s">
        <v>2696</v>
      </c>
      <c r="H197" t="s">
        <v>2733</v>
      </c>
      <c r="I197">
        <v>638</v>
      </c>
      <c r="J197">
        <v>513</v>
      </c>
      <c r="K197">
        <v>599</v>
      </c>
      <c r="L197" t="s">
        <v>2756</v>
      </c>
      <c r="M197">
        <v>54</v>
      </c>
      <c r="N197" t="s">
        <v>2753</v>
      </c>
      <c r="O197">
        <v>214.262898705</v>
      </c>
    </row>
    <row r="198" spans="1:15">
      <c r="A198">
        <v>53</v>
      </c>
      <c r="B198" t="s">
        <v>2176</v>
      </c>
      <c r="C198" t="s">
        <v>2260</v>
      </c>
      <c r="D198" t="s">
        <v>2659</v>
      </c>
      <c r="E198" t="s">
        <v>2460</v>
      </c>
      <c r="F198" t="s">
        <v>2256</v>
      </c>
      <c r="G198" t="s">
        <v>2696</v>
      </c>
      <c r="H198" t="s">
        <v>2733</v>
      </c>
      <c r="I198">
        <v>426</v>
      </c>
      <c r="J198">
        <v>399</v>
      </c>
      <c r="K198">
        <v>683</v>
      </c>
      <c r="L198" t="s">
        <v>2757</v>
      </c>
      <c r="M198">
        <v>54</v>
      </c>
      <c r="N198" t="s">
        <v>2753</v>
      </c>
      <c r="O198">
        <v>214.262898705</v>
      </c>
    </row>
    <row r="199" spans="1:15">
      <c r="A199">
        <v>54</v>
      </c>
      <c r="B199" t="s">
        <v>2176</v>
      </c>
      <c r="C199" t="s">
        <v>2261</v>
      </c>
      <c r="D199" t="s">
        <v>2659</v>
      </c>
      <c r="E199" t="s">
        <v>2460</v>
      </c>
      <c r="F199" t="s">
        <v>2256</v>
      </c>
      <c r="G199" t="s">
        <v>2696</v>
      </c>
      <c r="H199" t="s">
        <v>2733</v>
      </c>
      <c r="I199">
        <v>589</v>
      </c>
      <c r="J199">
        <v>400</v>
      </c>
      <c r="K199">
        <v>288</v>
      </c>
      <c r="L199" t="s">
        <v>2758</v>
      </c>
      <c r="M199">
        <v>54</v>
      </c>
      <c r="N199" t="s">
        <v>2753</v>
      </c>
      <c r="O199">
        <v>214.262898705</v>
      </c>
    </row>
    <row r="200" spans="1:15">
      <c r="A200">
        <v>55</v>
      </c>
      <c r="B200" t="s">
        <v>2176</v>
      </c>
      <c r="C200" t="s">
        <v>2262</v>
      </c>
      <c r="D200" t="s">
        <v>2659</v>
      </c>
      <c r="E200" t="s">
        <v>2460</v>
      </c>
      <c r="F200" t="s">
        <v>2256</v>
      </c>
      <c r="G200" t="s">
        <v>2696</v>
      </c>
      <c r="H200" t="s">
        <v>2733</v>
      </c>
      <c r="I200">
        <v>622</v>
      </c>
      <c r="J200">
        <v>19</v>
      </c>
      <c r="K200">
        <v>616</v>
      </c>
      <c r="L200" t="s">
        <v>2498</v>
      </c>
      <c r="M200">
        <v>54</v>
      </c>
      <c r="N200" t="s">
        <v>2753</v>
      </c>
      <c r="O200">
        <v>214.262898705</v>
      </c>
    </row>
    <row r="201" spans="1:15">
      <c r="A201">
        <v>56</v>
      </c>
      <c r="B201" t="s">
        <v>2176</v>
      </c>
      <c r="C201" t="s">
        <v>2263</v>
      </c>
      <c r="D201" t="s">
        <v>2659</v>
      </c>
      <c r="E201" t="s">
        <v>2460</v>
      </c>
      <c r="F201" t="s">
        <v>2256</v>
      </c>
      <c r="G201" t="s">
        <v>2696</v>
      </c>
      <c r="H201" t="s">
        <v>2733</v>
      </c>
      <c r="I201">
        <v>538</v>
      </c>
      <c r="J201">
        <v>60</v>
      </c>
      <c r="K201">
        <v>557</v>
      </c>
      <c r="L201" t="s">
        <v>2759</v>
      </c>
      <c r="M201">
        <v>54</v>
      </c>
      <c r="N201" t="s">
        <v>2753</v>
      </c>
      <c r="O201">
        <v>214.262898705</v>
      </c>
    </row>
    <row r="202" spans="1:15">
      <c r="A202">
        <v>57</v>
      </c>
      <c r="B202" t="s">
        <v>2176</v>
      </c>
      <c r="C202" t="s">
        <v>2264</v>
      </c>
      <c r="D202" t="s">
        <v>2659</v>
      </c>
      <c r="E202" t="s">
        <v>2460</v>
      </c>
      <c r="F202" t="s">
        <v>2265</v>
      </c>
      <c r="G202" t="s">
        <v>2696</v>
      </c>
      <c r="H202" t="s">
        <v>2733</v>
      </c>
      <c r="I202">
        <v>540</v>
      </c>
      <c r="J202">
        <v>161</v>
      </c>
      <c r="K202">
        <v>618</v>
      </c>
      <c r="L202" t="s">
        <v>2760</v>
      </c>
      <c r="M202">
        <v>54</v>
      </c>
      <c r="N202" t="s">
        <v>2761</v>
      </c>
      <c r="O202">
        <v>214.262898705</v>
      </c>
    </row>
    <row r="203" spans="1:15">
      <c r="A203">
        <v>58</v>
      </c>
      <c r="B203" t="s">
        <v>2176</v>
      </c>
      <c r="C203" t="s">
        <v>2267</v>
      </c>
      <c r="D203" t="s">
        <v>2659</v>
      </c>
      <c r="E203" t="s">
        <v>2460</v>
      </c>
      <c r="F203" t="s">
        <v>2265</v>
      </c>
      <c r="G203" t="s">
        <v>2696</v>
      </c>
      <c r="H203" t="s">
        <v>2733</v>
      </c>
      <c r="I203">
        <v>513</v>
      </c>
      <c r="J203">
        <v>48</v>
      </c>
      <c r="K203">
        <v>593</v>
      </c>
      <c r="L203" t="s">
        <v>2762</v>
      </c>
      <c r="M203">
        <v>54</v>
      </c>
      <c r="N203" t="s">
        <v>2761</v>
      </c>
      <c r="O203">
        <v>214.262898705</v>
      </c>
    </row>
    <row r="204" spans="1:15">
      <c r="A204">
        <v>59</v>
      </c>
      <c r="B204" t="s">
        <v>2176</v>
      </c>
      <c r="C204" t="s">
        <v>2268</v>
      </c>
      <c r="D204" t="s">
        <v>2659</v>
      </c>
      <c r="E204" t="s">
        <v>2460</v>
      </c>
      <c r="F204" t="s">
        <v>2265</v>
      </c>
      <c r="G204" t="s">
        <v>2696</v>
      </c>
      <c r="H204" t="s">
        <v>2733</v>
      </c>
      <c r="I204">
        <v>489</v>
      </c>
      <c r="J204">
        <v>23</v>
      </c>
      <c r="K204">
        <v>600</v>
      </c>
      <c r="L204" t="s">
        <v>2763</v>
      </c>
      <c r="M204">
        <v>54</v>
      </c>
      <c r="N204" t="s">
        <v>2761</v>
      </c>
      <c r="O204">
        <v>214.262898705</v>
      </c>
    </row>
    <row r="205" spans="1:15">
      <c r="A205">
        <v>60</v>
      </c>
      <c r="B205" t="s">
        <v>2176</v>
      </c>
      <c r="C205" t="s">
        <v>2269</v>
      </c>
      <c r="D205" t="s">
        <v>2659</v>
      </c>
      <c r="E205" t="s">
        <v>2460</v>
      </c>
      <c r="F205" t="s">
        <v>2265</v>
      </c>
      <c r="G205" t="s">
        <v>2696</v>
      </c>
      <c r="H205" t="s">
        <v>2733</v>
      </c>
      <c r="I205">
        <v>633</v>
      </c>
      <c r="J205">
        <v>78</v>
      </c>
      <c r="K205">
        <v>535</v>
      </c>
      <c r="L205" t="s">
        <v>2764</v>
      </c>
      <c r="M205">
        <v>54</v>
      </c>
      <c r="N205" t="s">
        <v>2761</v>
      </c>
      <c r="O205">
        <v>214.262898705</v>
      </c>
    </row>
    <row r="206" spans="1:15">
      <c r="A206">
        <v>61</v>
      </c>
      <c r="B206" t="s">
        <v>2176</v>
      </c>
      <c r="C206" t="s">
        <v>2271</v>
      </c>
      <c r="D206" t="s">
        <v>2659</v>
      </c>
      <c r="E206" t="s">
        <v>2460</v>
      </c>
      <c r="F206" t="s">
        <v>2265</v>
      </c>
      <c r="G206" t="s">
        <v>2696</v>
      </c>
      <c r="H206" t="s">
        <v>2733</v>
      </c>
      <c r="I206">
        <v>541</v>
      </c>
      <c r="J206">
        <v>42</v>
      </c>
      <c r="K206">
        <v>391</v>
      </c>
      <c r="L206" t="s">
        <v>2765</v>
      </c>
      <c r="M206">
        <v>54</v>
      </c>
      <c r="N206" t="s">
        <v>2761</v>
      </c>
      <c r="O206">
        <v>214.262898705</v>
      </c>
    </row>
    <row r="207" spans="1:15">
      <c r="A207">
        <v>62</v>
      </c>
      <c r="B207" t="s">
        <v>2176</v>
      </c>
      <c r="C207" t="s">
        <v>2272</v>
      </c>
      <c r="D207" t="s">
        <v>2659</v>
      </c>
      <c r="E207" t="s">
        <v>2460</v>
      </c>
      <c r="F207" t="s">
        <v>2265</v>
      </c>
      <c r="G207" t="s">
        <v>2696</v>
      </c>
      <c r="H207" t="s">
        <v>2733</v>
      </c>
      <c r="I207">
        <v>565</v>
      </c>
      <c r="J207">
        <v>119</v>
      </c>
      <c r="K207">
        <v>445</v>
      </c>
      <c r="L207" t="s">
        <v>2766</v>
      </c>
      <c r="M207">
        <v>54</v>
      </c>
      <c r="N207" t="s">
        <v>2761</v>
      </c>
      <c r="O207">
        <v>214.262898705</v>
      </c>
    </row>
    <row r="208" spans="1:15">
      <c r="A208">
        <v>63</v>
      </c>
      <c r="B208" t="s">
        <v>2176</v>
      </c>
      <c r="C208" t="s">
        <v>2274</v>
      </c>
      <c r="D208" t="s">
        <v>2659</v>
      </c>
      <c r="E208" t="s">
        <v>2460</v>
      </c>
      <c r="F208" t="s">
        <v>2265</v>
      </c>
      <c r="G208" t="s">
        <v>2696</v>
      </c>
      <c r="H208" t="s">
        <v>2733</v>
      </c>
      <c r="I208">
        <v>387</v>
      </c>
      <c r="J208">
        <v>185</v>
      </c>
      <c r="K208">
        <v>440</v>
      </c>
      <c r="L208" t="s">
        <v>2767</v>
      </c>
      <c r="M208">
        <v>54</v>
      </c>
      <c r="N208" t="s">
        <v>2761</v>
      </c>
      <c r="O208">
        <v>214.262898705</v>
      </c>
    </row>
    <row r="209" spans="1:15">
      <c r="A209">
        <v>64</v>
      </c>
      <c r="B209" t="s">
        <v>2176</v>
      </c>
      <c r="C209" t="s">
        <v>2275</v>
      </c>
      <c r="D209" t="s">
        <v>2659</v>
      </c>
      <c r="E209" t="s">
        <v>2460</v>
      </c>
      <c r="F209" t="s">
        <v>2265</v>
      </c>
      <c r="G209" t="s">
        <v>2696</v>
      </c>
      <c r="H209" t="s">
        <v>2733</v>
      </c>
      <c r="I209">
        <v>554</v>
      </c>
      <c r="J209">
        <v>159</v>
      </c>
      <c r="K209">
        <v>673</v>
      </c>
      <c r="L209" t="s">
        <v>2768</v>
      </c>
      <c r="M209">
        <v>54</v>
      </c>
      <c r="N209" t="s">
        <v>2761</v>
      </c>
      <c r="O209">
        <v>214.262898705</v>
      </c>
    </row>
    <row r="210" spans="1:15">
      <c r="A210">
        <v>33</v>
      </c>
      <c r="B210" t="s">
        <v>2176</v>
      </c>
      <c r="C210" t="s">
        <v>2226</v>
      </c>
      <c r="D210" t="s">
        <v>2659</v>
      </c>
      <c r="E210" t="s">
        <v>2460</v>
      </c>
      <c r="F210" t="s">
        <v>2227</v>
      </c>
      <c r="G210" t="s">
        <v>2732</v>
      </c>
      <c r="H210" t="s">
        <v>2733</v>
      </c>
      <c r="I210">
        <v>366</v>
      </c>
      <c r="J210">
        <v>109</v>
      </c>
      <c r="K210">
        <v>556</v>
      </c>
      <c r="L210" t="s">
        <v>2734</v>
      </c>
      <c r="M210">
        <v>55</v>
      </c>
      <c r="N210" t="s">
        <v>2735</v>
      </c>
      <c r="O210">
        <v>228.324359195</v>
      </c>
    </row>
    <row r="211" spans="1:15">
      <c r="A211">
        <v>34</v>
      </c>
      <c r="B211" t="s">
        <v>2176</v>
      </c>
      <c r="C211" t="s">
        <v>2229</v>
      </c>
      <c r="D211" t="s">
        <v>2659</v>
      </c>
      <c r="E211" t="s">
        <v>2460</v>
      </c>
      <c r="F211" t="s">
        <v>2227</v>
      </c>
      <c r="G211" t="s">
        <v>2732</v>
      </c>
      <c r="H211" t="s">
        <v>2733</v>
      </c>
      <c r="I211">
        <v>516</v>
      </c>
      <c r="J211">
        <v>153</v>
      </c>
      <c r="K211">
        <v>649</v>
      </c>
      <c r="L211" t="s">
        <v>2736</v>
      </c>
      <c r="M211">
        <v>55</v>
      </c>
      <c r="N211" t="s">
        <v>2735</v>
      </c>
      <c r="O211">
        <v>228.324359195</v>
      </c>
    </row>
    <row r="212" spans="1:15">
      <c r="A212">
        <v>35</v>
      </c>
      <c r="B212" t="s">
        <v>2176</v>
      </c>
      <c r="C212" t="s">
        <v>2232</v>
      </c>
      <c r="D212" t="s">
        <v>2659</v>
      </c>
      <c r="E212" t="s">
        <v>2460</v>
      </c>
      <c r="F212" t="s">
        <v>2227</v>
      </c>
      <c r="G212" t="s">
        <v>2732</v>
      </c>
      <c r="H212" t="s">
        <v>2733</v>
      </c>
      <c r="I212">
        <v>670</v>
      </c>
      <c r="J212">
        <v>64</v>
      </c>
      <c r="K212">
        <v>732</v>
      </c>
      <c r="L212" t="s">
        <v>2737</v>
      </c>
      <c r="M212">
        <v>55</v>
      </c>
      <c r="N212" t="s">
        <v>2735</v>
      </c>
      <c r="O212">
        <v>228.324359195</v>
      </c>
    </row>
    <row r="213" spans="1:15">
      <c r="A213">
        <v>36</v>
      </c>
      <c r="B213" t="s">
        <v>2176</v>
      </c>
      <c r="C213" t="s">
        <v>2233</v>
      </c>
      <c r="D213" t="s">
        <v>2659</v>
      </c>
      <c r="E213" t="s">
        <v>2460</v>
      </c>
      <c r="F213" t="s">
        <v>2227</v>
      </c>
      <c r="G213" t="s">
        <v>2732</v>
      </c>
      <c r="H213" t="s">
        <v>2733</v>
      </c>
      <c r="I213">
        <v>507</v>
      </c>
      <c r="J213">
        <v>126</v>
      </c>
      <c r="K213">
        <v>550</v>
      </c>
      <c r="L213" t="s">
        <v>2738</v>
      </c>
      <c r="M213">
        <v>55</v>
      </c>
      <c r="N213" t="s">
        <v>2735</v>
      </c>
      <c r="O213">
        <v>228.324359195</v>
      </c>
    </row>
    <row r="214" spans="1:15">
      <c r="A214">
        <v>37</v>
      </c>
      <c r="B214" t="s">
        <v>2176</v>
      </c>
      <c r="C214" t="s">
        <v>2235</v>
      </c>
      <c r="D214" t="s">
        <v>2659</v>
      </c>
      <c r="E214" t="s">
        <v>2460</v>
      </c>
      <c r="F214" t="s">
        <v>2227</v>
      </c>
      <c r="G214" t="s">
        <v>2732</v>
      </c>
      <c r="H214" t="s">
        <v>2733</v>
      </c>
      <c r="I214">
        <v>359</v>
      </c>
      <c r="J214">
        <v>63</v>
      </c>
      <c r="K214">
        <v>528</v>
      </c>
      <c r="L214" t="s">
        <v>2739</v>
      </c>
      <c r="M214">
        <v>55</v>
      </c>
      <c r="N214" t="s">
        <v>2735</v>
      </c>
      <c r="O214">
        <v>228.324359195</v>
      </c>
    </row>
    <row r="215" spans="1:15">
      <c r="A215">
        <v>38</v>
      </c>
      <c r="B215" t="s">
        <v>2176</v>
      </c>
      <c r="C215" t="s">
        <v>2237</v>
      </c>
      <c r="D215" t="s">
        <v>2659</v>
      </c>
      <c r="E215" t="s">
        <v>2460</v>
      </c>
      <c r="F215" t="s">
        <v>2227</v>
      </c>
      <c r="G215" t="s">
        <v>2732</v>
      </c>
      <c r="H215" t="s">
        <v>2733</v>
      </c>
      <c r="I215">
        <v>499</v>
      </c>
      <c r="J215">
        <v>87</v>
      </c>
      <c r="K215">
        <v>703</v>
      </c>
      <c r="L215" t="s">
        <v>2740</v>
      </c>
      <c r="M215">
        <v>55</v>
      </c>
      <c r="N215" t="s">
        <v>2735</v>
      </c>
      <c r="O215">
        <v>228.324359195</v>
      </c>
    </row>
    <row r="216" spans="1:15">
      <c r="A216">
        <v>39</v>
      </c>
      <c r="B216" t="s">
        <v>2176</v>
      </c>
      <c r="C216" t="s">
        <v>2239</v>
      </c>
      <c r="D216" t="s">
        <v>2659</v>
      </c>
      <c r="E216" t="s">
        <v>2460</v>
      </c>
      <c r="F216" t="s">
        <v>2227</v>
      </c>
      <c r="G216" t="s">
        <v>2732</v>
      </c>
      <c r="H216" t="s">
        <v>2733</v>
      </c>
      <c r="I216">
        <v>214</v>
      </c>
      <c r="J216">
        <v>437</v>
      </c>
      <c r="K216">
        <v>566</v>
      </c>
      <c r="L216" t="s">
        <v>2741</v>
      </c>
      <c r="M216">
        <v>55</v>
      </c>
      <c r="N216" t="s">
        <v>2735</v>
      </c>
      <c r="O216">
        <v>228.324359195</v>
      </c>
    </row>
    <row r="217" spans="1:15">
      <c r="A217">
        <v>40</v>
      </c>
      <c r="B217" t="s">
        <v>2176</v>
      </c>
      <c r="C217" t="s">
        <v>2241</v>
      </c>
      <c r="D217" t="s">
        <v>2659</v>
      </c>
      <c r="E217" t="s">
        <v>2460</v>
      </c>
      <c r="F217" t="s">
        <v>2227</v>
      </c>
      <c r="G217" t="s">
        <v>2732</v>
      </c>
      <c r="H217" t="s">
        <v>2733</v>
      </c>
      <c r="I217">
        <v>582</v>
      </c>
      <c r="J217">
        <v>114</v>
      </c>
      <c r="K217">
        <v>619</v>
      </c>
      <c r="L217" t="s">
        <v>2742</v>
      </c>
      <c r="M217">
        <v>55</v>
      </c>
      <c r="N217" t="s">
        <v>2735</v>
      </c>
      <c r="O217">
        <v>228.324359195</v>
      </c>
    </row>
  </sheetData>
  <sortState ref="A2:O217">
    <sortCondition ref="O1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7"/>
    <col min="9" max="9" width="23.33203125" style="197" customWidth="1"/>
    <col min="10" max="16384" width="11.44140625" style="197"/>
  </cols>
  <sheetData>
    <row r="1" spans="1:7">
      <c r="A1" s="200" t="s">
        <v>2485</v>
      </c>
      <c r="B1" s="197" t="s">
        <v>2491</v>
      </c>
      <c r="C1" s="197" t="s">
        <v>2492</v>
      </c>
      <c r="D1" s="197" t="s">
        <v>2493</v>
      </c>
      <c r="E1" s="197" t="s">
        <v>2494</v>
      </c>
      <c r="F1" s="197" t="s">
        <v>2486</v>
      </c>
      <c r="G1" s="197" t="s">
        <v>2147</v>
      </c>
    </row>
    <row r="2" spans="1:7">
      <c r="A2" s="198">
        <v>1</v>
      </c>
      <c r="B2" s="197" t="s">
        <v>1008</v>
      </c>
      <c r="C2" s="197" t="s">
        <v>1124</v>
      </c>
      <c r="D2" s="197" t="s">
        <v>1298</v>
      </c>
      <c r="E2" s="197" t="s">
        <v>1614</v>
      </c>
      <c r="F2" s="197" t="s">
        <v>2177</v>
      </c>
    </row>
    <row r="3" spans="1:7">
      <c r="A3" s="198">
        <v>2</v>
      </c>
      <c r="B3" s="197" t="s">
        <v>614</v>
      </c>
      <c r="C3" s="197" t="s">
        <v>1020</v>
      </c>
      <c r="D3" s="197" t="s">
        <v>1313</v>
      </c>
      <c r="E3" s="197" t="s">
        <v>1482</v>
      </c>
      <c r="F3" s="197" t="s">
        <v>2183</v>
      </c>
    </row>
    <row r="4" spans="1:7">
      <c r="A4" s="198">
        <v>3</v>
      </c>
      <c r="B4" s="197" t="s">
        <v>643</v>
      </c>
      <c r="C4" s="197" t="s">
        <v>983</v>
      </c>
      <c r="D4" s="197" t="s">
        <v>1389</v>
      </c>
      <c r="E4" s="197" t="s">
        <v>1419</v>
      </c>
      <c r="F4" s="197" t="s">
        <v>2184</v>
      </c>
      <c r="G4" s="197" t="s">
        <v>2487</v>
      </c>
    </row>
    <row r="5" spans="1:7">
      <c r="A5" s="198">
        <v>4</v>
      </c>
      <c r="B5" s="197" t="s">
        <v>633</v>
      </c>
      <c r="C5" s="197" t="s">
        <v>1026</v>
      </c>
      <c r="D5" s="197" t="s">
        <v>1518</v>
      </c>
      <c r="E5" s="197" t="s">
        <v>1398</v>
      </c>
      <c r="F5" s="197" t="s">
        <v>2186</v>
      </c>
    </row>
    <row r="6" spans="1:7">
      <c r="A6" s="198">
        <v>5</v>
      </c>
      <c r="B6" s="197" t="s">
        <v>1103</v>
      </c>
      <c r="C6" s="197" t="s">
        <v>639</v>
      </c>
      <c r="D6" s="197" t="s">
        <v>1473</v>
      </c>
      <c r="E6" s="197" t="s">
        <v>1553</v>
      </c>
      <c r="F6" s="197" t="s">
        <v>2189</v>
      </c>
    </row>
    <row r="7" spans="1:7">
      <c r="A7" s="198">
        <v>6</v>
      </c>
      <c r="B7" s="197" t="s">
        <v>1082</v>
      </c>
      <c r="C7" s="197" t="s">
        <v>964</v>
      </c>
      <c r="D7" s="197" t="s">
        <v>1416</v>
      </c>
      <c r="E7" s="197" t="s">
        <v>1603</v>
      </c>
      <c r="F7" s="197" t="s">
        <v>2190</v>
      </c>
    </row>
    <row r="8" spans="1:7">
      <c r="A8" s="198">
        <v>7</v>
      </c>
      <c r="B8" s="197" t="s">
        <v>743</v>
      </c>
      <c r="C8" s="197" t="s">
        <v>610</v>
      </c>
      <c r="D8" s="197" t="s">
        <v>1385</v>
      </c>
      <c r="E8" s="197" t="s">
        <v>1598</v>
      </c>
      <c r="F8" s="197" t="s">
        <v>2191</v>
      </c>
    </row>
    <row r="9" spans="1:7">
      <c r="A9" s="198">
        <v>8</v>
      </c>
      <c r="B9" s="197" t="s">
        <v>629</v>
      </c>
      <c r="C9" s="197" t="s">
        <v>735</v>
      </c>
      <c r="D9" s="197" t="s">
        <v>1349</v>
      </c>
      <c r="E9" s="197" t="s">
        <v>1661</v>
      </c>
      <c r="F9" s="197" t="s">
        <v>2192</v>
      </c>
    </row>
    <row r="10" spans="1:7">
      <c r="A10" s="198">
        <v>9</v>
      </c>
      <c r="B10" s="197" t="s">
        <v>1040</v>
      </c>
      <c r="C10" s="197" t="s">
        <v>972</v>
      </c>
      <c r="D10" s="197" t="s">
        <v>1574</v>
      </c>
      <c r="E10" s="197" t="s">
        <v>1536</v>
      </c>
      <c r="F10" s="197" t="s">
        <v>2193</v>
      </c>
    </row>
    <row r="11" spans="1:7">
      <c r="A11" s="198">
        <v>10</v>
      </c>
      <c r="B11" s="197" t="s">
        <v>626</v>
      </c>
      <c r="C11" s="197" t="s">
        <v>1050</v>
      </c>
      <c r="D11" s="197" t="s">
        <v>1444</v>
      </c>
      <c r="E11" s="197" t="s">
        <v>1764</v>
      </c>
      <c r="F11" s="197" t="s">
        <v>2196</v>
      </c>
    </row>
    <row r="12" spans="1:7">
      <c r="A12" s="198">
        <v>11</v>
      </c>
      <c r="B12" s="197" t="s">
        <v>1139</v>
      </c>
      <c r="C12" s="197" t="s">
        <v>695</v>
      </c>
      <c r="D12" s="197" t="s">
        <v>1527</v>
      </c>
      <c r="E12" s="197" t="s">
        <v>1507</v>
      </c>
      <c r="F12" s="197" t="s">
        <v>2197</v>
      </c>
    </row>
    <row r="13" spans="1:7">
      <c r="A13" s="198">
        <v>12</v>
      </c>
      <c r="B13" s="197" t="s">
        <v>1018</v>
      </c>
      <c r="C13" s="197" t="s">
        <v>732</v>
      </c>
      <c r="D13" s="197" t="s">
        <v>1560</v>
      </c>
      <c r="E13" s="197" t="s">
        <v>1460</v>
      </c>
      <c r="F13" s="197" t="s">
        <v>2198</v>
      </c>
      <c r="G13" s="197" t="s">
        <v>2487</v>
      </c>
    </row>
    <row r="14" spans="1:7">
      <c r="A14" s="198">
        <v>13</v>
      </c>
      <c r="B14" s="197" t="s">
        <v>1138</v>
      </c>
      <c r="C14" s="197" t="s">
        <v>691</v>
      </c>
      <c r="D14" s="197" t="s">
        <v>1809</v>
      </c>
      <c r="E14" s="197" t="s">
        <v>1455</v>
      </c>
      <c r="F14" s="197" t="s">
        <v>2199</v>
      </c>
    </row>
    <row r="15" spans="1:7">
      <c r="A15" s="198">
        <v>14</v>
      </c>
      <c r="B15" s="197" t="s">
        <v>859</v>
      </c>
      <c r="C15" s="197" t="s">
        <v>759</v>
      </c>
      <c r="D15" s="197" t="s">
        <v>1547</v>
      </c>
      <c r="E15" s="197" t="s">
        <v>1441</v>
      </c>
      <c r="F15" s="197" t="s">
        <v>2201</v>
      </c>
    </row>
    <row r="16" spans="1:7">
      <c r="A16" s="198">
        <v>15</v>
      </c>
      <c r="B16" s="197" t="s">
        <v>1042</v>
      </c>
      <c r="C16" s="197" t="s">
        <v>726</v>
      </c>
      <c r="D16" s="197" t="s">
        <v>1365</v>
      </c>
      <c r="E16" s="197" t="s">
        <v>1828</v>
      </c>
      <c r="F16" s="197" t="s">
        <v>2202</v>
      </c>
    </row>
    <row r="17" spans="1:7">
      <c r="A17" s="198">
        <v>16</v>
      </c>
      <c r="B17" s="197" t="s">
        <v>987</v>
      </c>
      <c r="C17" s="197" t="s">
        <v>622</v>
      </c>
      <c r="D17" s="197" t="s">
        <v>1406</v>
      </c>
      <c r="E17" s="197" t="s">
        <v>1645</v>
      </c>
      <c r="F17" s="197" t="s">
        <v>2205</v>
      </c>
    </row>
    <row r="18" spans="1:7">
      <c r="A18" s="198">
        <v>17</v>
      </c>
      <c r="B18" s="197" t="s">
        <v>761</v>
      </c>
      <c r="C18" s="197" t="s">
        <v>599</v>
      </c>
      <c r="D18" s="197" t="s">
        <v>1402</v>
      </c>
      <c r="E18" s="197" t="s">
        <v>1479</v>
      </c>
      <c r="F18" s="197" t="s">
        <v>2207</v>
      </c>
    </row>
    <row r="19" spans="1:7">
      <c r="A19" s="198">
        <v>18</v>
      </c>
      <c r="B19" s="197" t="s">
        <v>867</v>
      </c>
      <c r="C19" s="197" t="s">
        <v>1013</v>
      </c>
      <c r="D19" s="197" t="s">
        <v>1477</v>
      </c>
      <c r="E19" s="197" t="s">
        <v>1631</v>
      </c>
      <c r="F19" s="197" t="s">
        <v>2210</v>
      </c>
    </row>
    <row r="20" spans="1:7">
      <c r="A20" s="198">
        <v>19</v>
      </c>
      <c r="B20" s="197" t="s">
        <v>575</v>
      </c>
      <c r="C20" s="197" t="s">
        <v>1059</v>
      </c>
      <c r="D20" s="197" t="s">
        <v>1411</v>
      </c>
      <c r="E20" s="197" t="s">
        <v>1810</v>
      </c>
      <c r="F20" s="197" t="s">
        <v>2211</v>
      </c>
    </row>
    <row r="21" spans="1:7">
      <c r="A21" s="198">
        <v>20</v>
      </c>
      <c r="B21" s="197" t="s">
        <v>1031</v>
      </c>
      <c r="C21" s="197" t="s">
        <v>1091</v>
      </c>
      <c r="D21" s="197" t="s">
        <v>1545</v>
      </c>
      <c r="E21" s="197" t="s">
        <v>1526</v>
      </c>
      <c r="F21" s="197" t="s">
        <v>2212</v>
      </c>
    </row>
    <row r="22" spans="1:7">
      <c r="A22" s="198">
        <v>21</v>
      </c>
      <c r="B22" s="197" t="s">
        <v>2500</v>
      </c>
      <c r="C22" s="197" t="s">
        <v>612</v>
      </c>
      <c r="D22" s="197" t="s">
        <v>1329</v>
      </c>
      <c r="E22" s="197" t="s">
        <v>1351</v>
      </c>
      <c r="F22" s="197" t="s">
        <v>2213</v>
      </c>
      <c r="G22" s="197" t="s">
        <v>2488</v>
      </c>
    </row>
    <row r="23" spans="1:7">
      <c r="A23" s="198">
        <v>22</v>
      </c>
      <c r="B23" s="197" t="s">
        <v>1096</v>
      </c>
      <c r="C23" s="197" t="s">
        <v>778</v>
      </c>
      <c r="D23" s="197" t="s">
        <v>1498</v>
      </c>
      <c r="E23" s="197" t="s">
        <v>1475</v>
      </c>
      <c r="F23" s="197" t="s">
        <v>2214</v>
      </c>
    </row>
    <row r="24" spans="1:7">
      <c r="A24" s="198">
        <v>23</v>
      </c>
      <c r="B24" s="197" t="s">
        <v>1009</v>
      </c>
      <c r="C24" s="197" t="s">
        <v>951</v>
      </c>
      <c r="D24" s="197" t="s">
        <v>1594</v>
      </c>
      <c r="E24" s="197" t="s">
        <v>1558</v>
      </c>
      <c r="F24" s="197" t="s">
        <v>2215</v>
      </c>
    </row>
    <row r="25" spans="1:7">
      <c r="A25" s="198">
        <v>24</v>
      </c>
      <c r="B25" s="197" t="s">
        <v>1070</v>
      </c>
      <c r="C25" s="197" t="s">
        <v>997</v>
      </c>
      <c r="D25" s="197" t="s">
        <v>1629</v>
      </c>
      <c r="E25" s="197" t="s">
        <v>1237</v>
      </c>
      <c r="F25" s="197" t="s">
        <v>2216</v>
      </c>
    </row>
    <row r="26" spans="1:7">
      <c r="A26" s="198">
        <v>25</v>
      </c>
      <c r="B26" s="197" t="s">
        <v>1037</v>
      </c>
      <c r="C26" s="197" t="s">
        <v>862</v>
      </c>
      <c r="D26" s="197" t="s">
        <v>1186</v>
      </c>
      <c r="E26" s="197" t="s">
        <v>1644</v>
      </c>
      <c r="F26" s="197" t="s">
        <v>2217</v>
      </c>
    </row>
    <row r="27" spans="1:7">
      <c r="A27" s="198">
        <v>26</v>
      </c>
      <c r="B27" s="197" t="s">
        <v>952</v>
      </c>
      <c r="C27" s="197" t="s">
        <v>993</v>
      </c>
      <c r="D27" s="197" t="s">
        <v>1544</v>
      </c>
      <c r="E27" s="197" t="s">
        <v>1399</v>
      </c>
      <c r="F27" s="197" t="s">
        <v>2219</v>
      </c>
    </row>
    <row r="28" spans="1:7">
      <c r="A28" s="198">
        <v>27</v>
      </c>
      <c r="B28" s="197" t="s">
        <v>924</v>
      </c>
      <c r="C28" s="197" t="s">
        <v>1029</v>
      </c>
      <c r="D28" s="197" t="s">
        <v>1601</v>
      </c>
      <c r="E28" s="197" t="s">
        <v>1467</v>
      </c>
      <c r="F28" s="197" t="s">
        <v>2220</v>
      </c>
    </row>
    <row r="29" spans="1:7">
      <c r="A29" s="198">
        <v>28</v>
      </c>
      <c r="B29" s="197" t="s">
        <v>969</v>
      </c>
      <c r="C29" s="197" t="s">
        <v>705</v>
      </c>
      <c r="D29" s="197" t="s">
        <v>1548</v>
      </c>
      <c r="E29" s="197" t="s">
        <v>1348</v>
      </c>
      <c r="F29" s="197" t="s">
        <v>2221</v>
      </c>
    </row>
    <row r="30" spans="1:7">
      <c r="A30" s="198">
        <v>29</v>
      </c>
      <c r="B30" s="197" t="s">
        <v>792</v>
      </c>
      <c r="C30" s="197" t="s">
        <v>755</v>
      </c>
      <c r="D30" s="197" t="s">
        <v>1705</v>
      </c>
      <c r="E30" s="197" t="s">
        <v>1212</v>
      </c>
      <c r="F30" s="197" t="s">
        <v>2222</v>
      </c>
    </row>
    <row r="31" spans="1:7">
      <c r="A31" s="198">
        <v>30</v>
      </c>
      <c r="B31" s="197" t="s">
        <v>845</v>
      </c>
      <c r="C31" s="197" t="s">
        <v>634</v>
      </c>
      <c r="D31" s="197" t="s">
        <v>1550</v>
      </c>
      <c r="E31" s="197" t="s">
        <v>1532</v>
      </c>
      <c r="F31" s="197" t="s">
        <v>2223</v>
      </c>
    </row>
    <row r="32" spans="1:7">
      <c r="A32" s="198">
        <v>31</v>
      </c>
      <c r="B32" s="197" t="s">
        <v>818</v>
      </c>
      <c r="C32" s="197" t="s">
        <v>1000</v>
      </c>
      <c r="D32" s="197" t="s">
        <v>1529</v>
      </c>
      <c r="E32" s="197" t="s">
        <v>1646</v>
      </c>
      <c r="F32" s="197" t="s">
        <v>2224</v>
      </c>
    </row>
    <row r="33" spans="1:7">
      <c r="A33" s="198">
        <v>32</v>
      </c>
      <c r="B33" s="197" t="s">
        <v>985</v>
      </c>
      <c r="C33" s="197" t="s">
        <v>745</v>
      </c>
      <c r="D33" s="197" t="s">
        <v>1849</v>
      </c>
      <c r="E33" s="197" t="s">
        <v>1523</v>
      </c>
      <c r="F33" s="197" t="s">
        <v>2225</v>
      </c>
    </row>
    <row r="34" spans="1:7">
      <c r="A34" s="198">
        <v>33</v>
      </c>
      <c r="B34" s="197" t="s">
        <v>689</v>
      </c>
      <c r="C34" s="197" t="s">
        <v>1032</v>
      </c>
      <c r="D34" s="197" t="s">
        <v>1494</v>
      </c>
      <c r="E34" s="197" t="s">
        <v>1684</v>
      </c>
      <c r="F34" s="197" t="s">
        <v>2226</v>
      </c>
    </row>
    <row r="35" spans="1:7">
      <c r="A35" s="198">
        <v>34</v>
      </c>
      <c r="B35" s="197" t="s">
        <v>1117</v>
      </c>
      <c r="C35" s="197" t="s">
        <v>988</v>
      </c>
      <c r="D35" s="197" t="s">
        <v>1401</v>
      </c>
      <c r="E35" s="197" t="s">
        <v>1534</v>
      </c>
      <c r="F35" s="197" t="s">
        <v>2229</v>
      </c>
    </row>
    <row r="36" spans="1:7">
      <c r="A36" s="198">
        <v>35</v>
      </c>
      <c r="B36" s="197" t="s">
        <v>1072</v>
      </c>
      <c r="C36" s="197" t="s">
        <v>1077</v>
      </c>
      <c r="D36" s="197" t="s">
        <v>1318</v>
      </c>
      <c r="E36" s="197" t="s">
        <v>1380</v>
      </c>
      <c r="F36" s="197" t="s">
        <v>2232</v>
      </c>
    </row>
    <row r="37" spans="1:7">
      <c r="A37" s="198">
        <v>36</v>
      </c>
      <c r="B37" s="197" t="s">
        <v>1044</v>
      </c>
      <c r="C37" s="197" t="s">
        <v>1015</v>
      </c>
      <c r="D37" s="197" t="s">
        <v>1500</v>
      </c>
      <c r="E37" s="197" t="s">
        <v>1543</v>
      </c>
      <c r="F37" s="197" t="s">
        <v>2233</v>
      </c>
    </row>
    <row r="38" spans="1:7">
      <c r="A38" s="198">
        <v>37</v>
      </c>
      <c r="B38" s="197" t="s">
        <v>1052</v>
      </c>
      <c r="C38" s="197" t="s">
        <v>1078</v>
      </c>
      <c r="D38" s="197" t="s">
        <v>1522</v>
      </c>
      <c r="E38" s="197" t="s">
        <v>1691</v>
      </c>
      <c r="F38" s="197" t="s">
        <v>2235</v>
      </c>
    </row>
    <row r="39" spans="1:7">
      <c r="A39" s="198">
        <v>38</v>
      </c>
      <c r="B39" s="197" t="s">
        <v>994</v>
      </c>
      <c r="C39" s="197" t="s">
        <v>1054</v>
      </c>
      <c r="D39" s="197" t="s">
        <v>1347</v>
      </c>
      <c r="E39" s="197" t="s">
        <v>1551</v>
      </c>
      <c r="F39" s="197" t="s">
        <v>2237</v>
      </c>
    </row>
    <row r="40" spans="1:7">
      <c r="A40" s="198">
        <v>39</v>
      </c>
      <c r="B40" s="197" t="s">
        <v>1076</v>
      </c>
      <c r="C40" s="197" t="s">
        <v>704</v>
      </c>
      <c r="D40" s="197" t="s">
        <v>1484</v>
      </c>
      <c r="E40" s="197" t="s">
        <v>1836</v>
      </c>
      <c r="F40" s="197" t="s">
        <v>2239</v>
      </c>
    </row>
    <row r="41" spans="1:7">
      <c r="A41" s="198">
        <v>40</v>
      </c>
      <c r="B41" s="197" t="s">
        <v>721</v>
      </c>
      <c r="C41" s="197" t="s">
        <v>1027</v>
      </c>
      <c r="D41" s="197" t="s">
        <v>1431</v>
      </c>
      <c r="E41" s="197" t="s">
        <v>1468</v>
      </c>
      <c r="F41" s="197" t="s">
        <v>2241</v>
      </c>
    </row>
    <row r="42" spans="1:7">
      <c r="A42" s="198">
        <v>41</v>
      </c>
      <c r="B42" s="197" t="s">
        <v>1064</v>
      </c>
      <c r="C42" s="197" t="s">
        <v>620</v>
      </c>
      <c r="D42" s="197" t="s">
        <v>1424</v>
      </c>
      <c r="E42" s="197" t="s">
        <v>1597</v>
      </c>
      <c r="F42" s="197" t="s">
        <v>2243</v>
      </c>
    </row>
    <row r="43" spans="1:7">
      <c r="A43" s="198">
        <v>42</v>
      </c>
      <c r="B43" s="197" t="s">
        <v>1060</v>
      </c>
      <c r="C43" s="197" t="s">
        <v>770</v>
      </c>
      <c r="D43" s="197" t="s">
        <v>1613</v>
      </c>
      <c r="E43" s="197" t="s">
        <v>1286</v>
      </c>
      <c r="F43" s="197" t="s">
        <v>2245</v>
      </c>
    </row>
    <row r="44" spans="1:7">
      <c r="A44" s="198">
        <v>43</v>
      </c>
      <c r="B44" s="197" t="s">
        <v>1024</v>
      </c>
      <c r="C44" s="197" t="s">
        <v>765</v>
      </c>
      <c r="D44" s="197" t="s">
        <v>1407</v>
      </c>
      <c r="E44" s="197" t="s">
        <v>1360</v>
      </c>
      <c r="F44" s="197" t="s">
        <v>2247</v>
      </c>
    </row>
    <row r="45" spans="1:7">
      <c r="A45" s="198">
        <v>44</v>
      </c>
      <c r="B45" s="197" t="s">
        <v>1135</v>
      </c>
      <c r="C45" s="197" t="s">
        <v>975</v>
      </c>
      <c r="D45" s="197" t="s">
        <v>1767</v>
      </c>
      <c r="E45" s="197" t="s">
        <v>1276</v>
      </c>
      <c r="F45" s="197" t="s">
        <v>2248</v>
      </c>
    </row>
    <row r="46" spans="1:7">
      <c r="A46" s="198">
        <v>45</v>
      </c>
      <c r="B46" s="197" t="s">
        <v>1067</v>
      </c>
      <c r="C46" s="197" t="s">
        <v>672</v>
      </c>
      <c r="D46" s="197" t="s">
        <v>1448</v>
      </c>
      <c r="E46" s="197" t="s">
        <v>1531</v>
      </c>
      <c r="F46" s="197" t="s">
        <v>2249</v>
      </c>
    </row>
    <row r="47" spans="1:7">
      <c r="A47" s="198">
        <v>46</v>
      </c>
      <c r="B47" s="197" t="s">
        <v>1039</v>
      </c>
      <c r="C47" s="197" t="s">
        <v>1055</v>
      </c>
      <c r="D47" s="197" t="s">
        <v>1623</v>
      </c>
      <c r="E47" s="197" t="s">
        <v>1415</v>
      </c>
      <c r="F47" s="197" t="s">
        <v>2251</v>
      </c>
      <c r="G47" s="197" t="s">
        <v>2487</v>
      </c>
    </row>
    <row r="48" spans="1:7">
      <c r="A48" s="198">
        <v>47</v>
      </c>
      <c r="B48" s="197" t="s">
        <v>1065</v>
      </c>
      <c r="C48" s="197" t="s">
        <v>995</v>
      </c>
      <c r="D48" s="197" t="s">
        <v>1538</v>
      </c>
      <c r="E48" s="197" t="s">
        <v>1511</v>
      </c>
      <c r="F48" s="197" t="s">
        <v>2252</v>
      </c>
    </row>
    <row r="49" spans="1:7">
      <c r="A49" s="198">
        <v>48</v>
      </c>
      <c r="B49" s="197" t="s">
        <v>1034</v>
      </c>
      <c r="C49" s="197" t="s">
        <v>1069</v>
      </c>
      <c r="D49" s="197" t="s">
        <v>1751</v>
      </c>
      <c r="E49" s="197" t="s">
        <v>1371</v>
      </c>
      <c r="F49" s="197" t="s">
        <v>2254</v>
      </c>
    </row>
    <row r="50" spans="1:7">
      <c r="A50" s="198">
        <v>49</v>
      </c>
      <c r="B50" s="197" t="s">
        <v>986</v>
      </c>
      <c r="C50" s="197" t="s">
        <v>1113</v>
      </c>
      <c r="D50" s="197" t="s">
        <v>1311</v>
      </c>
      <c r="E50" s="197" t="s">
        <v>1704</v>
      </c>
      <c r="F50" s="197" t="s">
        <v>2255</v>
      </c>
    </row>
    <row r="51" spans="1:7">
      <c r="A51" s="198">
        <v>50</v>
      </c>
      <c r="B51" s="197" t="s">
        <v>1043</v>
      </c>
      <c r="C51" s="197" t="s">
        <v>1136</v>
      </c>
      <c r="D51" s="197" t="s">
        <v>1491</v>
      </c>
      <c r="E51" s="197" t="s">
        <v>1632</v>
      </c>
      <c r="F51" s="197" t="s">
        <v>2257</v>
      </c>
    </row>
    <row r="52" spans="1:7">
      <c r="A52" s="198">
        <v>51</v>
      </c>
      <c r="B52" s="197" t="s">
        <v>1112</v>
      </c>
      <c r="C52" s="197" t="s">
        <v>1056</v>
      </c>
      <c r="D52" s="197" t="s">
        <v>1194</v>
      </c>
      <c r="E52" s="197" t="s">
        <v>1502</v>
      </c>
      <c r="F52" s="197" t="s">
        <v>2258</v>
      </c>
    </row>
    <row r="53" spans="1:7">
      <c r="A53" s="198">
        <v>52</v>
      </c>
      <c r="B53" s="197" t="s">
        <v>829</v>
      </c>
      <c r="C53" s="197" t="s">
        <v>628</v>
      </c>
      <c r="D53" s="197" t="s">
        <v>1451</v>
      </c>
      <c r="E53" s="197" t="s">
        <v>1412</v>
      </c>
      <c r="F53" s="197" t="s">
        <v>2259</v>
      </c>
    </row>
    <row r="54" spans="1:7">
      <c r="A54" s="198">
        <v>53</v>
      </c>
      <c r="B54" s="197" t="s">
        <v>1028</v>
      </c>
      <c r="C54" s="197" t="s">
        <v>742</v>
      </c>
      <c r="D54" s="197" t="s">
        <v>1367</v>
      </c>
      <c r="E54" s="197" t="s">
        <v>1624</v>
      </c>
      <c r="F54" s="197" t="s">
        <v>2260</v>
      </c>
      <c r="G54" s="197" t="s">
        <v>2487</v>
      </c>
    </row>
    <row r="55" spans="1:7">
      <c r="A55" s="198">
        <v>54</v>
      </c>
      <c r="B55" s="197" t="s">
        <v>700</v>
      </c>
      <c r="C55" s="197" t="s">
        <v>741</v>
      </c>
      <c r="D55" s="197" t="s">
        <v>1762</v>
      </c>
      <c r="E55" s="197" t="s">
        <v>1461</v>
      </c>
      <c r="F55" s="197" t="s">
        <v>2261</v>
      </c>
      <c r="G55" s="197" t="s">
        <v>2487</v>
      </c>
    </row>
    <row r="56" spans="1:7">
      <c r="A56" s="198">
        <v>55</v>
      </c>
      <c r="B56" s="113" t="s">
        <v>2496</v>
      </c>
      <c r="C56" s="113" t="s">
        <v>1122</v>
      </c>
      <c r="D56" s="197" t="s">
        <v>1434</v>
      </c>
      <c r="E56" s="197" t="s">
        <v>1428</v>
      </c>
      <c r="F56" s="197" t="s">
        <v>2262</v>
      </c>
      <c r="G56" s="197" t="s">
        <v>2501</v>
      </c>
    </row>
    <row r="57" spans="1:7">
      <c r="A57" s="198">
        <v>56</v>
      </c>
      <c r="B57" s="197" t="s">
        <v>1083</v>
      </c>
      <c r="C57" s="197" t="s">
        <v>1081</v>
      </c>
      <c r="D57" s="197" t="s">
        <v>1493</v>
      </c>
      <c r="E57" s="197" t="s">
        <v>1512</v>
      </c>
      <c r="F57" s="197" t="s">
        <v>2263</v>
      </c>
    </row>
    <row r="58" spans="1:7">
      <c r="A58" s="198">
        <v>57</v>
      </c>
      <c r="B58" s="197" t="s">
        <v>706</v>
      </c>
      <c r="C58" s="197" t="s">
        <v>980</v>
      </c>
      <c r="D58" s="197" t="s">
        <v>1432</v>
      </c>
      <c r="E58" s="197" t="s">
        <v>1510</v>
      </c>
      <c r="F58" s="197" t="s">
        <v>2264</v>
      </c>
    </row>
    <row r="59" spans="1:7">
      <c r="A59" s="198">
        <v>58</v>
      </c>
      <c r="B59" s="197" t="s">
        <v>1110</v>
      </c>
      <c r="C59" s="197" t="s">
        <v>1093</v>
      </c>
      <c r="D59" s="197" t="s">
        <v>1457</v>
      </c>
      <c r="E59" s="197" t="s">
        <v>1537</v>
      </c>
      <c r="F59" s="197" t="s">
        <v>2267</v>
      </c>
    </row>
    <row r="60" spans="1:7">
      <c r="A60" s="198">
        <v>59</v>
      </c>
      <c r="B60" s="197" t="s">
        <v>1021</v>
      </c>
      <c r="C60" s="197" t="s">
        <v>1118</v>
      </c>
      <c r="D60" s="197" t="s">
        <v>1450</v>
      </c>
      <c r="E60" s="197" t="s">
        <v>1561</v>
      </c>
      <c r="F60" s="197" t="s">
        <v>2268</v>
      </c>
    </row>
    <row r="61" spans="1:7">
      <c r="A61" s="198">
        <v>60</v>
      </c>
      <c r="B61" s="197" t="s">
        <v>751</v>
      </c>
      <c r="C61" s="197" t="s">
        <v>1063</v>
      </c>
      <c r="D61" s="197" t="s">
        <v>1515</v>
      </c>
      <c r="E61" s="197" t="s">
        <v>1417</v>
      </c>
      <c r="F61" s="197" t="s">
        <v>2269</v>
      </c>
    </row>
    <row r="62" spans="1:7">
      <c r="A62" s="198">
        <v>61</v>
      </c>
      <c r="B62" s="197" t="s">
        <v>998</v>
      </c>
      <c r="C62" s="197" t="s">
        <v>1099</v>
      </c>
      <c r="D62" s="197" t="s">
        <v>1659</v>
      </c>
      <c r="E62" s="197" t="s">
        <v>1509</v>
      </c>
      <c r="F62" s="197" t="s">
        <v>2271</v>
      </c>
    </row>
    <row r="63" spans="1:7">
      <c r="A63" s="198">
        <v>62</v>
      </c>
      <c r="B63" s="197" t="s">
        <v>693</v>
      </c>
      <c r="C63" s="197" t="s">
        <v>1022</v>
      </c>
      <c r="D63" s="197" t="s">
        <v>1605</v>
      </c>
      <c r="E63" s="197" t="s">
        <v>1485</v>
      </c>
      <c r="F63" s="197" t="s">
        <v>2272</v>
      </c>
    </row>
    <row r="64" spans="1:7">
      <c r="A64" s="198">
        <v>63</v>
      </c>
      <c r="B64" s="197" t="s">
        <v>718</v>
      </c>
      <c r="C64" s="197" t="s">
        <v>956</v>
      </c>
      <c r="D64" s="197" t="s">
        <v>1610</v>
      </c>
      <c r="E64" s="197" t="s">
        <v>1663</v>
      </c>
      <c r="F64" s="197" t="s">
        <v>2274</v>
      </c>
    </row>
    <row r="65" spans="1:7">
      <c r="A65" s="198">
        <v>64</v>
      </c>
      <c r="B65" s="197" t="s">
        <v>591</v>
      </c>
      <c r="C65" s="197" t="s">
        <v>982</v>
      </c>
      <c r="D65" s="197" t="s">
        <v>1377</v>
      </c>
      <c r="E65" s="197" t="s">
        <v>1496</v>
      </c>
      <c r="F65" s="197" t="s">
        <v>2275</v>
      </c>
    </row>
    <row r="66" spans="1:7">
      <c r="A66" s="198">
        <v>65</v>
      </c>
      <c r="B66" s="197" t="s">
        <v>808</v>
      </c>
      <c r="C66" s="197" t="s">
        <v>616</v>
      </c>
      <c r="D66" s="197" t="s">
        <v>1350</v>
      </c>
      <c r="E66" s="197" t="s">
        <v>1436</v>
      </c>
      <c r="F66" s="197" t="s">
        <v>2277</v>
      </c>
    </row>
    <row r="67" spans="1:7">
      <c r="A67" s="198">
        <v>66</v>
      </c>
      <c r="B67" s="197" t="s">
        <v>889</v>
      </c>
      <c r="C67" s="197" t="s">
        <v>991</v>
      </c>
      <c r="D67" s="197" t="s">
        <v>1290</v>
      </c>
      <c r="E67" s="197" t="s">
        <v>1768</v>
      </c>
      <c r="F67" s="197" t="s">
        <v>2279</v>
      </c>
    </row>
    <row r="68" spans="1:7">
      <c r="A68" s="198">
        <v>67</v>
      </c>
      <c r="B68" s="197" t="s">
        <v>1097</v>
      </c>
      <c r="C68" s="197" t="s">
        <v>976</v>
      </c>
      <c r="D68" s="197" t="s">
        <v>1390</v>
      </c>
      <c r="E68" s="197" t="s">
        <v>1600</v>
      </c>
      <c r="F68" s="197" t="s">
        <v>2280</v>
      </c>
    </row>
    <row r="69" spans="1:7">
      <c r="A69" s="198">
        <v>68</v>
      </c>
      <c r="B69" s="197" t="s">
        <v>1132</v>
      </c>
      <c r="C69" s="197" t="s">
        <v>1012</v>
      </c>
      <c r="D69" s="197" t="s">
        <v>1573</v>
      </c>
      <c r="E69" s="197" t="s">
        <v>1781</v>
      </c>
      <c r="F69" s="197" t="s">
        <v>2281</v>
      </c>
    </row>
    <row r="70" spans="1:7">
      <c r="A70" s="198">
        <v>69</v>
      </c>
      <c r="B70" s="197" t="s">
        <v>890</v>
      </c>
      <c r="C70" s="197" t="s">
        <v>727</v>
      </c>
      <c r="D70" s="197" t="s">
        <v>1664</v>
      </c>
      <c r="E70" s="197" t="s">
        <v>1602</v>
      </c>
      <c r="F70" s="197" t="s">
        <v>2282</v>
      </c>
      <c r="G70" s="197" t="s">
        <v>2489</v>
      </c>
    </row>
    <row r="71" spans="1:7">
      <c r="A71" s="198">
        <v>70</v>
      </c>
      <c r="B71" s="197" t="s">
        <v>875</v>
      </c>
      <c r="C71" s="197" t="s">
        <v>990</v>
      </c>
      <c r="D71" s="197" t="s">
        <v>1636</v>
      </c>
      <c r="E71" s="197" t="s">
        <v>1692</v>
      </c>
      <c r="F71" s="197" t="s">
        <v>2283</v>
      </c>
    </row>
    <row r="72" spans="1:7">
      <c r="A72" s="198">
        <v>71</v>
      </c>
      <c r="B72" s="197" t="s">
        <v>613</v>
      </c>
      <c r="C72" s="197" t="s">
        <v>1046</v>
      </c>
      <c r="D72" s="197" t="s">
        <v>1591</v>
      </c>
      <c r="E72" s="197" t="s">
        <v>1539</v>
      </c>
      <c r="F72" s="197" t="s">
        <v>2284</v>
      </c>
    </row>
    <row r="73" spans="1:7">
      <c r="A73" s="198">
        <v>72</v>
      </c>
      <c r="B73" s="197" t="s">
        <v>1127</v>
      </c>
      <c r="C73" s="197" t="s">
        <v>595</v>
      </c>
      <c r="D73" s="197" t="s">
        <v>1423</v>
      </c>
      <c r="E73" s="197" t="s">
        <v>1667</v>
      </c>
      <c r="F73" s="197" t="s">
        <v>2285</v>
      </c>
    </row>
    <row r="74" spans="1:7">
      <c r="A74" s="198">
        <v>73</v>
      </c>
      <c r="B74" s="197" t="s">
        <v>748</v>
      </c>
      <c r="C74" s="197" t="s">
        <v>703</v>
      </c>
      <c r="D74" s="197" t="s">
        <v>1552</v>
      </c>
      <c r="E74" s="197" t="s">
        <v>1501</v>
      </c>
      <c r="F74" s="197" t="s">
        <v>2286</v>
      </c>
    </row>
    <row r="75" spans="1:7">
      <c r="A75" s="198">
        <v>74</v>
      </c>
      <c r="B75" s="197" t="s">
        <v>1003</v>
      </c>
      <c r="C75" s="197" t="s">
        <v>1019</v>
      </c>
      <c r="D75" s="197" t="s">
        <v>1471</v>
      </c>
      <c r="E75" s="197" t="s">
        <v>1445</v>
      </c>
      <c r="F75" s="197" t="s">
        <v>2288</v>
      </c>
    </row>
    <row r="76" spans="1:7">
      <c r="A76" s="198">
        <v>75</v>
      </c>
      <c r="B76" s="197" t="s">
        <v>830</v>
      </c>
      <c r="C76" s="197" t="s">
        <v>737</v>
      </c>
      <c r="D76" s="197" t="s">
        <v>1677</v>
      </c>
      <c r="E76" s="197" t="s">
        <v>1642</v>
      </c>
      <c r="F76" s="197" t="s">
        <v>2289</v>
      </c>
    </row>
    <row r="77" spans="1:7">
      <c r="A77" s="198">
        <v>76</v>
      </c>
      <c r="B77" s="197" t="s">
        <v>958</v>
      </c>
      <c r="C77" s="197" t="s">
        <v>640</v>
      </c>
      <c r="D77" s="197" t="s">
        <v>1447</v>
      </c>
      <c r="E77" s="197" t="s">
        <v>1634</v>
      </c>
      <c r="F77" s="197" t="s">
        <v>2290</v>
      </c>
    </row>
    <row r="78" spans="1:7">
      <c r="A78" s="198">
        <v>77</v>
      </c>
      <c r="B78" s="197" t="s">
        <v>913</v>
      </c>
      <c r="C78" s="197" t="s">
        <v>1004</v>
      </c>
      <c r="D78" s="197" t="s">
        <v>1541</v>
      </c>
      <c r="E78" s="197" t="s">
        <v>1456</v>
      </c>
      <c r="F78" s="197" t="s">
        <v>2291</v>
      </c>
    </row>
    <row r="79" spans="1:7">
      <c r="A79" s="198">
        <v>78</v>
      </c>
      <c r="B79" s="197" t="s">
        <v>1041</v>
      </c>
      <c r="C79" s="197" t="s">
        <v>863</v>
      </c>
      <c r="D79" s="197" t="s">
        <v>1604</v>
      </c>
      <c r="E79" s="197" t="s">
        <v>1590</v>
      </c>
      <c r="F79" s="197" t="s">
        <v>2292</v>
      </c>
    </row>
    <row r="80" spans="1:7">
      <c r="A80" s="198">
        <v>79</v>
      </c>
      <c r="B80" s="197" t="s">
        <v>1085</v>
      </c>
      <c r="C80" s="197" t="s">
        <v>906</v>
      </c>
      <c r="D80" s="197" t="s">
        <v>1801</v>
      </c>
      <c r="E80" s="197" t="s">
        <v>1833</v>
      </c>
      <c r="F80" s="197" t="s">
        <v>2293</v>
      </c>
    </row>
    <row r="81" spans="1:7">
      <c r="A81" s="198">
        <v>80</v>
      </c>
      <c r="B81" s="197" t="s">
        <v>1073</v>
      </c>
      <c r="C81" s="197" t="s">
        <v>960</v>
      </c>
      <c r="D81" s="197" t="s">
        <v>1576</v>
      </c>
      <c r="E81" s="197" t="s">
        <v>1443</v>
      </c>
      <c r="F81" s="197" t="s">
        <v>2294</v>
      </c>
    </row>
    <row r="82" spans="1:7">
      <c r="A82" s="198">
        <v>81</v>
      </c>
      <c r="B82" s="197" t="s">
        <v>848</v>
      </c>
      <c r="C82" s="197" t="s">
        <v>954</v>
      </c>
      <c r="D82" s="197" t="s">
        <v>1575</v>
      </c>
      <c r="E82" s="197" t="s">
        <v>1508</v>
      </c>
      <c r="F82" s="197" t="s">
        <v>2295</v>
      </c>
    </row>
    <row r="83" spans="1:7">
      <c r="A83" s="198">
        <v>82</v>
      </c>
      <c r="B83" s="197" t="s">
        <v>773</v>
      </c>
      <c r="C83" s="197" t="s">
        <v>1058</v>
      </c>
      <c r="D83" s="197" t="s">
        <v>1210</v>
      </c>
      <c r="E83" s="197" t="s">
        <v>1514</v>
      </c>
      <c r="F83" s="197" t="s">
        <v>2298</v>
      </c>
    </row>
    <row r="84" spans="1:7">
      <c r="A84" s="198">
        <v>83</v>
      </c>
      <c r="B84" s="197" t="s">
        <v>1119</v>
      </c>
      <c r="C84" s="197" t="s">
        <v>1007</v>
      </c>
      <c r="D84" s="197" t="s">
        <v>1752</v>
      </c>
      <c r="E84" s="197" t="s">
        <v>1556</v>
      </c>
      <c r="F84" s="197" t="s">
        <v>2299</v>
      </c>
    </row>
    <row r="85" spans="1:7">
      <c r="A85" s="198">
        <v>84</v>
      </c>
      <c r="B85" s="197" t="s">
        <v>724</v>
      </c>
      <c r="C85" s="197" t="s">
        <v>1092</v>
      </c>
      <c r="D85" s="197" t="s">
        <v>1530</v>
      </c>
      <c r="E85" s="197" t="s">
        <v>1759</v>
      </c>
      <c r="F85" s="197" t="s">
        <v>2300</v>
      </c>
    </row>
    <row r="86" spans="1:7">
      <c r="A86" s="198">
        <v>85</v>
      </c>
      <c r="B86" s="197" t="s">
        <v>750</v>
      </c>
      <c r="C86" s="197" t="s">
        <v>826</v>
      </c>
      <c r="D86" s="197" t="s">
        <v>1609</v>
      </c>
      <c r="E86" s="197" t="s">
        <v>1742</v>
      </c>
      <c r="F86" s="197" t="s">
        <v>2301</v>
      </c>
    </row>
    <row r="87" spans="1:7">
      <c r="A87" s="198">
        <v>86</v>
      </c>
      <c r="B87" s="197" t="s">
        <v>1079</v>
      </c>
      <c r="C87" s="197" t="s">
        <v>1140</v>
      </c>
      <c r="D87" s="197" t="s">
        <v>1489</v>
      </c>
      <c r="E87" s="197" t="s">
        <v>1327</v>
      </c>
      <c r="F87" s="197" t="s">
        <v>2302</v>
      </c>
    </row>
    <row r="88" spans="1:7">
      <c r="A88" s="198">
        <v>87</v>
      </c>
      <c r="B88" s="197" t="s">
        <v>812</v>
      </c>
      <c r="C88" s="197" t="s">
        <v>733</v>
      </c>
      <c r="D88" s="197" t="s">
        <v>1418</v>
      </c>
      <c r="E88" s="197" t="s">
        <v>1422</v>
      </c>
      <c r="F88" s="197" t="s">
        <v>2303</v>
      </c>
    </row>
    <row r="89" spans="1:7">
      <c r="A89" s="198">
        <v>88</v>
      </c>
      <c r="B89" s="197" t="s">
        <v>853</v>
      </c>
      <c r="C89" s="197" t="s">
        <v>756</v>
      </c>
      <c r="D89" s="197" t="s">
        <v>1439</v>
      </c>
      <c r="E89" s="197" t="s">
        <v>1481</v>
      </c>
      <c r="F89" s="197" t="s">
        <v>2304</v>
      </c>
      <c r="G89" s="197" t="s">
        <v>2487</v>
      </c>
    </row>
    <row r="90" spans="1:7">
      <c r="A90" s="198">
        <v>89</v>
      </c>
      <c r="B90" s="197" t="s">
        <v>970</v>
      </c>
      <c r="C90" s="197" t="s">
        <v>945</v>
      </c>
      <c r="D90" s="197" t="s">
        <v>1581</v>
      </c>
      <c r="E90" s="197" t="s">
        <v>1711</v>
      </c>
      <c r="F90" s="197" t="s">
        <v>2305</v>
      </c>
      <c r="G90" s="197" t="s">
        <v>2490</v>
      </c>
    </row>
    <row r="91" spans="1:7">
      <c r="A91" s="198">
        <v>90</v>
      </c>
      <c r="B91" s="197" t="s">
        <v>624</v>
      </c>
      <c r="C91" s="197" t="s">
        <v>1047</v>
      </c>
      <c r="D91" s="197" t="s">
        <v>1695</v>
      </c>
      <c r="E91" s="197" t="s">
        <v>1458</v>
      </c>
      <c r="F91" s="197" t="s">
        <v>2307</v>
      </c>
    </row>
    <row r="92" spans="1:7">
      <c r="A92" s="198">
        <v>91</v>
      </c>
      <c r="B92" s="197" t="s">
        <v>1068</v>
      </c>
      <c r="C92" s="197" t="s">
        <v>798</v>
      </c>
      <c r="D92" s="197" t="s">
        <v>1503</v>
      </c>
      <c r="E92" s="197" t="s">
        <v>1578</v>
      </c>
      <c r="F92" s="197" t="s">
        <v>2308</v>
      </c>
    </row>
    <row r="93" spans="1:7">
      <c r="A93" s="198">
        <v>92</v>
      </c>
      <c r="B93" s="197" t="s">
        <v>1137</v>
      </c>
      <c r="C93" s="197" t="s">
        <v>696</v>
      </c>
      <c r="D93" s="197" t="s">
        <v>1287</v>
      </c>
      <c r="E93" s="197" t="s">
        <v>1521</v>
      </c>
      <c r="F93" s="197" t="s">
        <v>2309</v>
      </c>
    </row>
    <row r="94" spans="1:7">
      <c r="A94" s="198">
        <v>93</v>
      </c>
      <c r="B94" s="197" t="s">
        <v>1005</v>
      </c>
      <c r="C94" s="197" t="s">
        <v>1129</v>
      </c>
      <c r="D94" s="197" t="s">
        <v>1626</v>
      </c>
      <c r="E94" s="197" t="s">
        <v>1414</v>
      </c>
      <c r="F94" s="197" t="s">
        <v>2310</v>
      </c>
    </row>
    <row r="95" spans="1:7">
      <c r="A95" s="198">
        <v>94</v>
      </c>
      <c r="B95" s="197" t="s">
        <v>783</v>
      </c>
      <c r="C95" s="197" t="s">
        <v>897</v>
      </c>
      <c r="D95" s="197" t="s">
        <v>1462</v>
      </c>
      <c r="E95" s="197" t="s">
        <v>1516</v>
      </c>
      <c r="F95" s="197" t="s">
        <v>2311</v>
      </c>
      <c r="G95" s="197" t="s">
        <v>2487</v>
      </c>
    </row>
    <row r="96" spans="1:7">
      <c r="A96" s="198">
        <v>95</v>
      </c>
      <c r="B96" s="197" t="s">
        <v>594</v>
      </c>
      <c r="C96" s="197" t="s">
        <v>781</v>
      </c>
      <c r="D96" s="197" t="s">
        <v>1564</v>
      </c>
      <c r="E96" s="197" t="s">
        <v>1409</v>
      </c>
      <c r="F96" s="197" t="s">
        <v>2312</v>
      </c>
    </row>
    <row r="97" spans="1:7">
      <c r="A97" s="198">
        <v>96</v>
      </c>
      <c r="B97" s="197" t="s">
        <v>553</v>
      </c>
      <c r="C97" s="197" t="s">
        <v>823</v>
      </c>
      <c r="D97" s="197" t="s">
        <v>1505</v>
      </c>
      <c r="E97" s="197" t="s">
        <v>1571</v>
      </c>
      <c r="F97" s="197" t="s">
        <v>2313</v>
      </c>
    </row>
    <row r="98" spans="1:7">
      <c r="A98" s="198">
        <v>97</v>
      </c>
      <c r="B98" s="197" t="s">
        <v>565</v>
      </c>
      <c r="C98" s="197" t="s">
        <v>623</v>
      </c>
      <c r="D98" s="197" t="s">
        <v>1203</v>
      </c>
      <c r="E98" s="197" t="s">
        <v>1309</v>
      </c>
      <c r="F98" s="197" t="s">
        <v>2315</v>
      </c>
    </row>
    <row r="99" spans="1:7">
      <c r="A99" s="198">
        <v>98</v>
      </c>
      <c r="B99" s="197" t="s">
        <v>580</v>
      </c>
      <c r="C99" s="197" t="s">
        <v>652</v>
      </c>
      <c r="D99" s="197" t="s">
        <v>1320</v>
      </c>
      <c r="E99" s="197" t="s">
        <v>1440</v>
      </c>
      <c r="F99" s="197" t="s">
        <v>2316</v>
      </c>
    </row>
    <row r="100" spans="1:7">
      <c r="A100" s="198">
        <v>99</v>
      </c>
      <c r="B100" s="197" t="s">
        <v>645</v>
      </c>
      <c r="C100" s="197" t="s">
        <v>592</v>
      </c>
      <c r="D100" s="197" t="s">
        <v>1359</v>
      </c>
      <c r="E100" s="197" t="s">
        <v>1285</v>
      </c>
      <c r="F100" s="197" t="s">
        <v>2317</v>
      </c>
    </row>
    <row r="101" spans="1:7">
      <c r="A101" s="198">
        <v>100</v>
      </c>
      <c r="B101" s="197" t="s">
        <v>644</v>
      </c>
      <c r="C101" s="197" t="s">
        <v>641</v>
      </c>
      <c r="D101" s="197" t="s">
        <v>1222</v>
      </c>
      <c r="E101" s="197" t="s">
        <v>1322</v>
      </c>
      <c r="F101" s="197" t="s">
        <v>2318</v>
      </c>
    </row>
    <row r="102" spans="1:7">
      <c r="A102" s="198">
        <v>101</v>
      </c>
      <c r="B102" s="197" t="s">
        <v>1131</v>
      </c>
      <c r="C102" s="197" t="s">
        <v>659</v>
      </c>
      <c r="D102" s="197" t="s">
        <v>1175</v>
      </c>
      <c r="E102" s="197" t="s">
        <v>1242</v>
      </c>
      <c r="F102" s="197" t="s">
        <v>2320</v>
      </c>
    </row>
    <row r="103" spans="1:7">
      <c r="A103" s="198">
        <v>102</v>
      </c>
      <c r="B103" s="197" t="s">
        <v>1115</v>
      </c>
      <c r="C103" s="197" t="s">
        <v>572</v>
      </c>
      <c r="D103" s="197" t="s">
        <v>1226</v>
      </c>
      <c r="E103" s="197" t="s">
        <v>1158</v>
      </c>
      <c r="F103" s="197" t="s">
        <v>2321</v>
      </c>
    </row>
    <row r="104" spans="1:7">
      <c r="A104" s="198">
        <v>103</v>
      </c>
      <c r="B104" s="197" t="s">
        <v>647</v>
      </c>
      <c r="C104" s="197" t="s">
        <v>711</v>
      </c>
      <c r="D104" s="197" t="s">
        <v>1358</v>
      </c>
      <c r="E104" s="197" t="s">
        <v>1181</v>
      </c>
      <c r="F104" s="197" t="s">
        <v>2322</v>
      </c>
    </row>
    <row r="105" spans="1:7">
      <c r="A105" s="198">
        <v>104</v>
      </c>
      <c r="B105" s="197" t="s">
        <v>666</v>
      </c>
      <c r="C105" s="197" t="s">
        <v>564</v>
      </c>
      <c r="D105" s="197" t="s">
        <v>1244</v>
      </c>
      <c r="E105" s="197" t="s">
        <v>1169</v>
      </c>
      <c r="F105" s="197" t="s">
        <v>2323</v>
      </c>
    </row>
    <row r="106" spans="1:7">
      <c r="A106" s="198">
        <v>105</v>
      </c>
      <c r="B106" s="197" t="s">
        <v>601</v>
      </c>
      <c r="C106" s="197" t="s">
        <v>593</v>
      </c>
      <c r="D106" s="197" t="s">
        <v>1189</v>
      </c>
      <c r="E106" s="197" t="s">
        <v>1321</v>
      </c>
      <c r="F106" s="197" t="s">
        <v>2324</v>
      </c>
    </row>
    <row r="107" spans="1:7">
      <c r="A107" s="198">
        <v>106</v>
      </c>
      <c r="B107" s="197" t="s">
        <v>548</v>
      </c>
      <c r="C107" s="197" t="s">
        <v>551</v>
      </c>
      <c r="D107" s="197" t="s">
        <v>1312</v>
      </c>
      <c r="E107" s="197" t="s">
        <v>1213</v>
      </c>
      <c r="F107" s="197" t="s">
        <v>2325</v>
      </c>
    </row>
    <row r="108" spans="1:7">
      <c r="A108" s="198">
        <v>107</v>
      </c>
      <c r="B108" s="197" t="s">
        <v>631</v>
      </c>
      <c r="C108" s="197" t="s">
        <v>567</v>
      </c>
      <c r="D108" s="197" t="s">
        <v>1374</v>
      </c>
      <c r="E108" s="197" t="s">
        <v>1362</v>
      </c>
      <c r="F108" s="197" t="s">
        <v>2326</v>
      </c>
    </row>
    <row r="109" spans="1:7">
      <c r="A109" s="198">
        <v>108</v>
      </c>
      <c r="B109" s="197" t="s">
        <v>632</v>
      </c>
      <c r="C109" s="197" t="s">
        <v>1133</v>
      </c>
      <c r="D109" s="197" t="s">
        <v>1205</v>
      </c>
      <c r="E109" s="197" t="s">
        <v>1167</v>
      </c>
      <c r="F109" s="197" t="s">
        <v>2327</v>
      </c>
    </row>
    <row r="110" spans="1:7">
      <c r="A110" s="198">
        <v>109</v>
      </c>
      <c r="B110" s="113" t="s">
        <v>1108</v>
      </c>
      <c r="C110" s="113" t="s">
        <v>589</v>
      </c>
      <c r="D110" s="113" t="s">
        <v>1163</v>
      </c>
      <c r="E110" s="113" t="s">
        <v>1346</v>
      </c>
      <c r="F110" s="197" t="s">
        <v>2329</v>
      </c>
      <c r="G110" s="197" t="s">
        <v>2544</v>
      </c>
    </row>
    <row r="111" spans="1:7">
      <c r="A111" s="198">
        <v>110</v>
      </c>
      <c r="B111" s="113" t="s">
        <v>2495</v>
      </c>
      <c r="C111" s="197" t="s">
        <v>679</v>
      </c>
      <c r="D111" s="197" t="s">
        <v>1168</v>
      </c>
      <c r="E111" s="197" t="s">
        <v>1308</v>
      </c>
      <c r="F111" s="197" t="s">
        <v>2330</v>
      </c>
    </row>
    <row r="112" spans="1:7">
      <c r="A112" s="198">
        <v>111</v>
      </c>
      <c r="B112" s="197" t="s">
        <v>654</v>
      </c>
      <c r="C112" s="197" t="s">
        <v>636</v>
      </c>
      <c r="D112" s="197" t="s">
        <v>1355</v>
      </c>
      <c r="E112" s="197" t="s">
        <v>1219</v>
      </c>
      <c r="F112" s="197" t="s">
        <v>2331</v>
      </c>
    </row>
    <row r="113" spans="1:7">
      <c r="A113" s="198">
        <v>112</v>
      </c>
      <c r="B113" s="197" t="s">
        <v>611</v>
      </c>
      <c r="C113" s="197" t="s">
        <v>1100</v>
      </c>
      <c r="D113" s="197" t="s">
        <v>1198</v>
      </c>
      <c r="E113" s="197" t="s">
        <v>1151</v>
      </c>
      <c r="F113" s="197" t="s">
        <v>2332</v>
      </c>
    </row>
    <row r="114" spans="1:7">
      <c r="A114" s="198">
        <v>113</v>
      </c>
      <c r="B114" s="197" t="s">
        <v>563</v>
      </c>
      <c r="C114" s="197" t="s">
        <v>713</v>
      </c>
      <c r="D114" s="197" t="s">
        <v>1281</v>
      </c>
      <c r="E114" s="197" t="s">
        <v>1326</v>
      </c>
      <c r="F114" s="197" t="s">
        <v>2333</v>
      </c>
    </row>
    <row r="115" spans="1:7">
      <c r="A115" s="198">
        <v>114</v>
      </c>
      <c r="B115" s="197" t="s">
        <v>1104</v>
      </c>
      <c r="C115" s="197" t="s">
        <v>539</v>
      </c>
      <c r="D115" s="197" t="s">
        <v>1161</v>
      </c>
      <c r="E115" s="197" t="s">
        <v>1247</v>
      </c>
      <c r="F115" s="197" t="s">
        <v>2334</v>
      </c>
    </row>
    <row r="116" spans="1:7">
      <c r="A116" s="198">
        <v>115</v>
      </c>
      <c r="B116" s="197" t="s">
        <v>619</v>
      </c>
      <c r="C116" s="197" t="s">
        <v>588</v>
      </c>
      <c r="D116" s="197" t="s">
        <v>1272</v>
      </c>
      <c r="E116" s="197" t="s">
        <v>1357</v>
      </c>
      <c r="F116" s="197" t="s">
        <v>2335</v>
      </c>
    </row>
    <row r="117" spans="1:7">
      <c r="A117" s="198">
        <v>116</v>
      </c>
      <c r="B117" s="197" t="s">
        <v>661</v>
      </c>
      <c r="C117" s="197" t="s">
        <v>682</v>
      </c>
      <c r="D117" s="197" t="s">
        <v>1487</v>
      </c>
      <c r="E117" s="197" t="s">
        <v>1153</v>
      </c>
      <c r="F117" s="197" t="s">
        <v>2336</v>
      </c>
    </row>
    <row r="118" spans="1:7">
      <c r="A118" s="198">
        <v>117</v>
      </c>
      <c r="B118" s="197" t="s">
        <v>576</v>
      </c>
      <c r="C118" s="197" t="s">
        <v>630</v>
      </c>
      <c r="D118" s="197" t="s">
        <v>1149</v>
      </c>
      <c r="E118" s="197" t="s">
        <v>1261</v>
      </c>
      <c r="F118" s="197" t="s">
        <v>2337</v>
      </c>
    </row>
    <row r="119" spans="1:7">
      <c r="A119" s="198">
        <v>118</v>
      </c>
      <c r="B119" s="197" t="s">
        <v>597</v>
      </c>
      <c r="C119" s="197" t="s">
        <v>646</v>
      </c>
      <c r="D119" s="197" t="s">
        <v>1259</v>
      </c>
      <c r="E119" s="197" t="s">
        <v>1369</v>
      </c>
      <c r="F119" s="197" t="s">
        <v>2338</v>
      </c>
    </row>
    <row r="120" spans="1:7">
      <c r="A120" s="198">
        <v>119</v>
      </c>
      <c r="B120" s="197" t="s">
        <v>615</v>
      </c>
      <c r="C120" s="197" t="s">
        <v>557</v>
      </c>
      <c r="D120" s="197" t="s">
        <v>1248</v>
      </c>
      <c r="E120" s="197" t="s">
        <v>1393</v>
      </c>
      <c r="F120" s="197" t="s">
        <v>2339</v>
      </c>
    </row>
    <row r="121" spans="1:7">
      <c r="A121" s="198">
        <v>120</v>
      </c>
      <c r="B121" s="197" t="s">
        <v>547</v>
      </c>
      <c r="C121" s="197" t="s">
        <v>687</v>
      </c>
      <c r="D121" s="197" t="s">
        <v>1352</v>
      </c>
      <c r="E121" s="197" t="s">
        <v>1292</v>
      </c>
      <c r="F121" s="197" t="s">
        <v>2340</v>
      </c>
    </row>
    <row r="122" spans="1:7">
      <c r="A122" s="198">
        <v>121</v>
      </c>
      <c r="B122" s="197" t="s">
        <v>577</v>
      </c>
      <c r="C122" s="197" t="s">
        <v>609</v>
      </c>
      <c r="D122" s="197" t="s">
        <v>1225</v>
      </c>
      <c r="E122" s="197" t="s">
        <v>1384</v>
      </c>
      <c r="F122" s="197" t="s">
        <v>2341</v>
      </c>
    </row>
    <row r="123" spans="1:7">
      <c r="A123" s="198">
        <v>122</v>
      </c>
      <c r="B123" s="197" t="s">
        <v>712</v>
      </c>
      <c r="C123" s="197" t="s">
        <v>1130</v>
      </c>
      <c r="D123" s="197" t="s">
        <v>1211</v>
      </c>
      <c r="E123" s="197" t="s">
        <v>1190</v>
      </c>
      <c r="F123" s="197" t="s">
        <v>2342</v>
      </c>
    </row>
    <row r="124" spans="1:7">
      <c r="A124" s="198">
        <v>123</v>
      </c>
      <c r="B124" s="197" t="s">
        <v>675</v>
      </c>
      <c r="C124" s="197" t="s">
        <v>566</v>
      </c>
      <c r="D124" s="197" t="s">
        <v>1155</v>
      </c>
      <c r="E124" s="197" t="s">
        <v>1356</v>
      </c>
      <c r="F124" s="197" t="s">
        <v>2343</v>
      </c>
    </row>
    <row r="125" spans="1:7">
      <c r="A125" s="198">
        <v>124</v>
      </c>
      <c r="B125" s="197" t="s">
        <v>670</v>
      </c>
      <c r="C125" s="197" t="s">
        <v>1102</v>
      </c>
      <c r="D125" s="197" t="s">
        <v>1368</v>
      </c>
      <c r="E125" s="197" t="s">
        <v>1183</v>
      </c>
      <c r="F125" s="197" t="s">
        <v>2345</v>
      </c>
    </row>
    <row r="126" spans="1:7">
      <c r="A126" s="198">
        <v>125</v>
      </c>
      <c r="B126" s="197" t="s">
        <v>655</v>
      </c>
      <c r="C126" s="197" t="s">
        <v>581</v>
      </c>
      <c r="D126" s="197" t="s">
        <v>1310</v>
      </c>
      <c r="E126" s="197" t="s">
        <v>1257</v>
      </c>
      <c r="F126" s="197" t="s">
        <v>2346</v>
      </c>
    </row>
    <row r="127" spans="1:7">
      <c r="A127" s="198">
        <v>126</v>
      </c>
      <c r="B127" s="197" t="s">
        <v>1086</v>
      </c>
      <c r="C127" s="197" t="s">
        <v>579</v>
      </c>
      <c r="D127" s="197" t="s">
        <v>1209</v>
      </c>
      <c r="E127" s="197" t="s">
        <v>1301</v>
      </c>
      <c r="F127" s="197" t="s">
        <v>2347</v>
      </c>
      <c r="G127" s="197" t="s">
        <v>2502</v>
      </c>
    </row>
    <row r="128" spans="1:7">
      <c r="A128" s="198">
        <v>127</v>
      </c>
      <c r="B128" s="197" t="s">
        <v>717</v>
      </c>
      <c r="C128" s="197" t="s">
        <v>635</v>
      </c>
      <c r="D128" s="197" t="s">
        <v>1363</v>
      </c>
      <c r="E128" s="197" t="s">
        <v>1152</v>
      </c>
      <c r="F128" s="197" t="s">
        <v>2348</v>
      </c>
    </row>
    <row r="129" spans="1:7">
      <c r="A129" s="198">
        <v>128</v>
      </c>
      <c r="B129" s="197" t="s">
        <v>723</v>
      </c>
      <c r="C129" s="197" t="s">
        <v>587</v>
      </c>
      <c r="D129" s="197" t="s">
        <v>1217</v>
      </c>
      <c r="E129" s="197" t="s">
        <v>1216</v>
      </c>
      <c r="F129" s="197" t="s">
        <v>2349</v>
      </c>
    </row>
    <row r="130" spans="1:7">
      <c r="A130" s="198">
        <v>129</v>
      </c>
      <c r="B130" s="197" t="s">
        <v>621</v>
      </c>
      <c r="C130" s="197" t="s">
        <v>1095</v>
      </c>
      <c r="D130" s="197" t="s">
        <v>1162</v>
      </c>
      <c r="E130" s="197" t="s">
        <v>1231</v>
      </c>
      <c r="F130" s="197" t="s">
        <v>2350</v>
      </c>
    </row>
    <row r="131" spans="1:7">
      <c r="A131" s="198">
        <v>130</v>
      </c>
      <c r="B131" s="197" t="s">
        <v>708</v>
      </c>
      <c r="C131" s="197" t="s">
        <v>556</v>
      </c>
      <c r="D131" s="197" t="s">
        <v>1342</v>
      </c>
      <c r="E131" s="197" t="s">
        <v>1220</v>
      </c>
      <c r="F131" s="197" t="s">
        <v>2351</v>
      </c>
    </row>
    <row r="132" spans="1:7">
      <c r="A132" s="198">
        <v>131</v>
      </c>
      <c r="B132" s="197" t="s">
        <v>549</v>
      </c>
      <c r="C132" s="197" t="s">
        <v>665</v>
      </c>
      <c r="D132" s="197" t="s">
        <v>1282</v>
      </c>
      <c r="E132" s="197" t="s">
        <v>1304</v>
      </c>
      <c r="F132" s="197" t="s">
        <v>2352</v>
      </c>
    </row>
    <row r="133" spans="1:7">
      <c r="A133" s="198">
        <v>132</v>
      </c>
      <c r="B133" s="197" t="s">
        <v>664</v>
      </c>
      <c r="C133" s="197" t="s">
        <v>605</v>
      </c>
      <c r="D133" s="197" t="s">
        <v>1271</v>
      </c>
      <c r="E133" s="197" t="s">
        <v>1325</v>
      </c>
      <c r="F133" s="197" t="s">
        <v>2353</v>
      </c>
    </row>
    <row r="134" spans="1:7">
      <c r="A134" s="198">
        <v>133</v>
      </c>
      <c r="B134" s="197" t="s">
        <v>544</v>
      </c>
      <c r="C134" s="197" t="s">
        <v>617</v>
      </c>
      <c r="D134" s="197" t="s">
        <v>1251</v>
      </c>
      <c r="E134" s="197" t="s">
        <v>1204</v>
      </c>
      <c r="F134" s="197" t="s">
        <v>2354</v>
      </c>
    </row>
    <row r="135" spans="1:7">
      <c r="A135" s="198">
        <v>134</v>
      </c>
      <c r="B135" s="197" t="s">
        <v>674</v>
      </c>
      <c r="C135" s="197" t="s">
        <v>541</v>
      </c>
      <c r="D135" s="197" t="s">
        <v>1230</v>
      </c>
      <c r="E135" s="197" t="s">
        <v>1294</v>
      </c>
      <c r="F135" s="197" t="s">
        <v>2355</v>
      </c>
    </row>
    <row r="136" spans="1:7">
      <c r="A136" s="198">
        <v>135</v>
      </c>
      <c r="B136" s="197" t="s">
        <v>545</v>
      </c>
      <c r="C136" s="197" t="s">
        <v>709</v>
      </c>
      <c r="D136" s="197" t="s">
        <v>1208</v>
      </c>
      <c r="E136" s="197" t="s">
        <v>1305</v>
      </c>
      <c r="F136" s="197" t="s">
        <v>2356</v>
      </c>
    </row>
    <row r="137" spans="1:7">
      <c r="A137" s="198">
        <v>136</v>
      </c>
      <c r="B137" s="197" t="s">
        <v>598</v>
      </c>
      <c r="C137" s="197" t="s">
        <v>667</v>
      </c>
      <c r="D137" s="197" t="s">
        <v>1303</v>
      </c>
      <c r="E137" s="197" t="s">
        <v>1218</v>
      </c>
      <c r="F137" s="197" t="s">
        <v>2357</v>
      </c>
    </row>
    <row r="138" spans="1:7">
      <c r="A138" s="198">
        <v>137</v>
      </c>
      <c r="B138" s="197" t="s">
        <v>658</v>
      </c>
      <c r="C138" s="197" t="s">
        <v>1107</v>
      </c>
      <c r="D138" s="197" t="s">
        <v>1193</v>
      </c>
      <c r="E138" s="197" t="s">
        <v>1245</v>
      </c>
      <c r="F138" s="197" t="s">
        <v>2358</v>
      </c>
    </row>
    <row r="139" spans="1:7">
      <c r="A139" s="198">
        <v>138</v>
      </c>
      <c r="B139" s="197" t="s">
        <v>1120</v>
      </c>
      <c r="C139" s="197" t="s">
        <v>715</v>
      </c>
      <c r="D139" s="197" t="s">
        <v>1427</v>
      </c>
      <c r="E139" s="197" t="s">
        <v>1235</v>
      </c>
      <c r="F139" s="197" t="s">
        <v>2359</v>
      </c>
    </row>
    <row r="140" spans="1:7">
      <c r="A140" s="198">
        <v>139</v>
      </c>
      <c r="B140" s="197" t="s">
        <v>603</v>
      </c>
      <c r="C140" s="197" t="s">
        <v>578</v>
      </c>
      <c r="D140" s="197" t="s">
        <v>1170</v>
      </c>
      <c r="E140" s="197" t="s">
        <v>1252</v>
      </c>
      <c r="F140" s="197" t="s">
        <v>2360</v>
      </c>
    </row>
    <row r="141" spans="1:7">
      <c r="A141" s="198">
        <v>140</v>
      </c>
      <c r="B141" s="197" t="s">
        <v>582</v>
      </c>
      <c r="C141" s="197" t="s">
        <v>606</v>
      </c>
      <c r="D141" s="197" t="s">
        <v>1344</v>
      </c>
      <c r="E141" s="197" t="s">
        <v>1263</v>
      </c>
      <c r="F141" s="197" t="s">
        <v>2362</v>
      </c>
    </row>
    <row r="142" spans="1:7">
      <c r="A142" s="198">
        <v>141</v>
      </c>
      <c r="B142" s="197" t="s">
        <v>676</v>
      </c>
      <c r="C142" s="197" t="s">
        <v>560</v>
      </c>
      <c r="D142" s="197" t="s">
        <v>1275</v>
      </c>
      <c r="E142" s="197" t="s">
        <v>1150</v>
      </c>
      <c r="F142" s="197" t="s">
        <v>2363</v>
      </c>
    </row>
    <row r="143" spans="1:7">
      <c r="A143" s="198">
        <v>142</v>
      </c>
      <c r="B143" s="197" t="s">
        <v>638</v>
      </c>
      <c r="C143" s="197" t="s">
        <v>681</v>
      </c>
      <c r="D143" s="197" t="s">
        <v>1200</v>
      </c>
      <c r="E143" s="197" t="s">
        <v>1233</v>
      </c>
      <c r="F143" s="197" t="s">
        <v>2364</v>
      </c>
      <c r="G143" s="197" t="s">
        <v>2543</v>
      </c>
    </row>
    <row r="144" spans="1:7">
      <c r="A144" s="198">
        <v>143</v>
      </c>
      <c r="B144" s="197" t="s">
        <v>574</v>
      </c>
      <c r="C144" s="197" t="s">
        <v>685</v>
      </c>
      <c r="D144" s="197" t="s">
        <v>1353</v>
      </c>
      <c r="E144" s="197" t="s">
        <v>1214</v>
      </c>
      <c r="F144" s="197" t="s">
        <v>2365</v>
      </c>
    </row>
    <row r="145" spans="1:7">
      <c r="A145" s="198">
        <v>144</v>
      </c>
      <c r="B145" s="197" t="s">
        <v>1126</v>
      </c>
      <c r="C145" s="197" t="s">
        <v>570</v>
      </c>
      <c r="D145" s="197" t="s">
        <v>1156</v>
      </c>
      <c r="E145" s="197" t="s">
        <v>1266</v>
      </c>
      <c r="F145" s="197" t="s">
        <v>2366</v>
      </c>
    </row>
    <row r="146" spans="1:7">
      <c r="A146" s="198">
        <v>145</v>
      </c>
      <c r="B146" s="197" t="s">
        <v>1101</v>
      </c>
      <c r="C146" s="197" t="s">
        <v>1114</v>
      </c>
      <c r="D146" s="197" t="s">
        <v>1397</v>
      </c>
      <c r="E146" s="197" t="s">
        <v>1148</v>
      </c>
      <c r="F146" s="197" t="s">
        <v>2367</v>
      </c>
    </row>
    <row r="147" spans="1:7">
      <c r="A147" s="198">
        <v>146</v>
      </c>
      <c r="B147" s="197" t="s">
        <v>673</v>
      </c>
      <c r="C147" s="197" t="s">
        <v>649</v>
      </c>
      <c r="D147" s="197" t="s">
        <v>1288</v>
      </c>
      <c r="E147" s="197" t="s">
        <v>1361</v>
      </c>
      <c r="F147" s="197" t="s">
        <v>2368</v>
      </c>
    </row>
    <row r="148" spans="1:7">
      <c r="A148" s="198">
        <v>147</v>
      </c>
      <c r="B148" s="197" t="s">
        <v>559</v>
      </c>
      <c r="C148" s="197" t="s">
        <v>568</v>
      </c>
      <c r="D148" s="197" t="s">
        <v>1172</v>
      </c>
      <c r="E148" s="197" t="s">
        <v>1372</v>
      </c>
      <c r="F148" s="197" t="s">
        <v>2369</v>
      </c>
    </row>
    <row r="149" spans="1:7">
      <c r="A149" s="198">
        <v>148</v>
      </c>
      <c r="B149" s="197" t="s">
        <v>1121</v>
      </c>
      <c r="C149" s="197" t="s">
        <v>669</v>
      </c>
      <c r="D149" s="197" t="s">
        <v>1243</v>
      </c>
      <c r="E149" s="197" t="s">
        <v>1215</v>
      </c>
      <c r="F149" s="197" t="s">
        <v>2370</v>
      </c>
    </row>
    <row r="150" spans="1:7">
      <c r="A150" s="198">
        <v>149</v>
      </c>
      <c r="B150" s="197" t="s">
        <v>608</v>
      </c>
      <c r="C150" s="197" t="s">
        <v>596</v>
      </c>
      <c r="D150" s="197" t="s">
        <v>1354</v>
      </c>
      <c r="E150" s="197" t="s">
        <v>1317</v>
      </c>
      <c r="F150" s="197" t="s">
        <v>2371</v>
      </c>
    </row>
    <row r="151" spans="1:7">
      <c r="A151" s="198">
        <v>150</v>
      </c>
      <c r="B151" s="197" t="s">
        <v>569</v>
      </c>
      <c r="C151" s="197" t="s">
        <v>1134</v>
      </c>
      <c r="D151" s="197" t="s">
        <v>1249</v>
      </c>
      <c r="E151" s="197" t="s">
        <v>1392</v>
      </c>
      <c r="F151" s="197" t="s">
        <v>2372</v>
      </c>
    </row>
    <row r="152" spans="1:7">
      <c r="A152" s="198">
        <v>151</v>
      </c>
      <c r="B152" s="197" t="s">
        <v>637</v>
      </c>
      <c r="C152" s="197" t="s">
        <v>694</v>
      </c>
      <c r="D152" s="197" t="s">
        <v>1403</v>
      </c>
      <c r="E152" s="197" t="s">
        <v>1483</v>
      </c>
      <c r="F152" s="197" t="s">
        <v>2373</v>
      </c>
    </row>
    <row r="153" spans="1:7">
      <c r="A153" s="198">
        <v>152</v>
      </c>
      <c r="B153" s="197" t="s">
        <v>562</v>
      </c>
      <c r="C153" s="197" t="s">
        <v>550</v>
      </c>
      <c r="D153" s="197" t="s">
        <v>1306</v>
      </c>
      <c r="E153" s="197" t="s">
        <v>1197</v>
      </c>
      <c r="F153" s="197" t="s">
        <v>2374</v>
      </c>
    </row>
    <row r="154" spans="1:7">
      <c r="A154" s="198">
        <v>153</v>
      </c>
      <c r="B154" s="197" t="s">
        <v>701</v>
      </c>
      <c r="C154" s="197" t="s">
        <v>662</v>
      </c>
      <c r="D154" s="197" t="s">
        <v>1165</v>
      </c>
      <c r="E154" s="197" t="s">
        <v>1250</v>
      </c>
      <c r="F154" s="197" t="s">
        <v>2376</v>
      </c>
    </row>
    <row r="155" spans="1:7">
      <c r="A155" s="198">
        <v>154</v>
      </c>
      <c r="B155" s="197" t="s">
        <v>656</v>
      </c>
      <c r="C155" s="197" t="s">
        <v>648</v>
      </c>
      <c r="D155" s="197" t="s">
        <v>1366</v>
      </c>
      <c r="E155" s="197" t="s">
        <v>1375</v>
      </c>
      <c r="F155" s="197" t="s">
        <v>2377</v>
      </c>
    </row>
    <row r="156" spans="1:7">
      <c r="A156" s="198">
        <v>155</v>
      </c>
      <c r="B156" s="197" t="s">
        <v>585</v>
      </c>
      <c r="C156" s="197" t="s">
        <v>657</v>
      </c>
      <c r="D156" s="197" t="s">
        <v>1223</v>
      </c>
      <c r="E156" s="197" t="s">
        <v>1191</v>
      </c>
      <c r="F156" s="197" t="s">
        <v>2378</v>
      </c>
    </row>
    <row r="157" spans="1:7">
      <c r="A157" s="198">
        <v>156</v>
      </c>
      <c r="B157" s="197" t="s">
        <v>677</v>
      </c>
      <c r="C157" s="197" t="s">
        <v>543</v>
      </c>
      <c r="D157" s="197" t="s">
        <v>1383</v>
      </c>
      <c r="E157" s="197" t="s">
        <v>1396</v>
      </c>
      <c r="F157" s="197" t="s">
        <v>2379</v>
      </c>
    </row>
    <row r="158" spans="1:7">
      <c r="A158" s="198">
        <v>157</v>
      </c>
      <c r="B158" s="197" t="s">
        <v>1106</v>
      </c>
      <c r="C158" s="197" t="s">
        <v>1111</v>
      </c>
      <c r="D158" s="197" t="s">
        <v>1273</v>
      </c>
      <c r="E158" s="197" t="s">
        <v>1160</v>
      </c>
      <c r="F158" s="197" t="s">
        <v>2381</v>
      </c>
    </row>
    <row r="159" spans="1:7">
      <c r="A159" s="198">
        <v>158</v>
      </c>
      <c r="B159" s="197" t="s">
        <v>571</v>
      </c>
      <c r="C159" s="197" t="s">
        <v>1125</v>
      </c>
      <c r="D159" s="197" t="s">
        <v>1166</v>
      </c>
      <c r="E159" s="197" t="s">
        <v>1474</v>
      </c>
      <c r="F159" s="197" t="s">
        <v>2382</v>
      </c>
    </row>
    <row r="160" spans="1:7">
      <c r="A160" s="198">
        <v>159</v>
      </c>
      <c r="B160" s="197" t="s">
        <v>702</v>
      </c>
      <c r="C160" s="197" t="s">
        <v>642</v>
      </c>
      <c r="D160" s="197" t="s">
        <v>1319</v>
      </c>
      <c r="E160" s="197" t="s">
        <v>1221</v>
      </c>
      <c r="F160" s="197" t="s">
        <v>2383</v>
      </c>
      <c r="G160" s="197" t="s">
        <v>2487</v>
      </c>
    </row>
    <row r="161" spans="1:7">
      <c r="A161" s="198">
        <v>160</v>
      </c>
      <c r="B161" s="197" t="s">
        <v>680</v>
      </c>
      <c r="C161" s="197" t="s">
        <v>720</v>
      </c>
      <c r="D161" s="197" t="s">
        <v>1174</v>
      </c>
      <c r="E161" s="197" t="s">
        <v>1241</v>
      </c>
      <c r="F161" s="197" t="s">
        <v>2384</v>
      </c>
    </row>
    <row r="162" spans="1:7">
      <c r="A162" s="198">
        <v>161</v>
      </c>
      <c r="B162" s="197" t="s">
        <v>888</v>
      </c>
      <c r="C162" s="197" t="s">
        <v>1017</v>
      </c>
      <c r="D162" s="197" t="s">
        <v>1699</v>
      </c>
      <c r="E162" s="197" t="s">
        <v>1798</v>
      </c>
      <c r="F162" s="197" t="s">
        <v>2386</v>
      </c>
      <c r="G162" s="197" t="s">
        <v>2542</v>
      </c>
    </row>
    <row r="163" spans="1:7">
      <c r="A163" s="198">
        <v>162</v>
      </c>
      <c r="B163" s="197" t="s">
        <v>856</v>
      </c>
      <c r="C163" s="197" t="s">
        <v>939</v>
      </c>
      <c r="D163" s="197" t="s">
        <v>1608</v>
      </c>
      <c r="E163" s="199" t="s">
        <v>1665</v>
      </c>
      <c r="F163" s="197" t="s">
        <v>2387</v>
      </c>
    </row>
    <row r="164" spans="1:7">
      <c r="A164" s="198">
        <v>163</v>
      </c>
      <c r="B164" s="197" t="s">
        <v>800</v>
      </c>
      <c r="C164" s="197" t="s">
        <v>1045</v>
      </c>
      <c r="D164" s="197" t="s">
        <v>1307</v>
      </c>
      <c r="E164" s="197" t="s">
        <v>1848</v>
      </c>
      <c r="F164" s="197" t="s">
        <v>2388</v>
      </c>
    </row>
    <row r="165" spans="1:7">
      <c r="A165" s="198">
        <v>164</v>
      </c>
      <c r="B165" s="197" t="s">
        <v>877</v>
      </c>
      <c r="C165" s="197" t="s">
        <v>824</v>
      </c>
      <c r="D165" s="197" t="s">
        <v>1660</v>
      </c>
      <c r="E165" s="197" t="s">
        <v>1364</v>
      </c>
      <c r="F165" s="197" t="s">
        <v>2389</v>
      </c>
    </row>
    <row r="166" spans="1:7">
      <c r="A166" s="198">
        <v>165</v>
      </c>
      <c r="B166" s="197" t="s">
        <v>730</v>
      </c>
      <c r="C166" s="197" t="s">
        <v>810</v>
      </c>
      <c r="D166" s="197" t="s">
        <v>1240</v>
      </c>
      <c r="E166" s="197" t="s">
        <v>1682</v>
      </c>
      <c r="F166" s="197" t="s">
        <v>2390</v>
      </c>
    </row>
    <row r="167" spans="1:7">
      <c r="A167" s="198">
        <v>166</v>
      </c>
      <c r="B167" s="197" t="s">
        <v>882</v>
      </c>
      <c r="C167" s="197" t="s">
        <v>854</v>
      </c>
      <c r="D167" s="197" t="s">
        <v>1763</v>
      </c>
      <c r="E167" s="197" t="s">
        <v>1716</v>
      </c>
      <c r="F167" s="197" t="s">
        <v>2391</v>
      </c>
    </row>
    <row r="168" spans="1:7">
      <c r="A168" s="198">
        <v>167</v>
      </c>
      <c r="B168" s="197" t="s">
        <v>926</v>
      </c>
      <c r="C168" s="197" t="s">
        <v>886</v>
      </c>
      <c r="D168" s="197" t="s">
        <v>1607</v>
      </c>
      <c r="E168" s="197" t="s">
        <v>1621</v>
      </c>
      <c r="F168" s="197" t="s">
        <v>2393</v>
      </c>
    </row>
    <row r="169" spans="1:7">
      <c r="A169" s="198">
        <v>168</v>
      </c>
      <c r="B169" s="197" t="s">
        <v>819</v>
      </c>
      <c r="C169" s="197" t="s">
        <v>607</v>
      </c>
      <c r="D169" s="197" t="s">
        <v>1370</v>
      </c>
      <c r="E169" s="197" t="s">
        <v>1589</v>
      </c>
      <c r="F169" s="197" t="s">
        <v>2394</v>
      </c>
    </row>
    <row r="170" spans="1:7">
      <c r="A170" s="198">
        <v>169</v>
      </c>
      <c r="B170" s="197" t="s">
        <v>738</v>
      </c>
      <c r="C170" s="197" t="s">
        <v>688</v>
      </c>
      <c r="D170" s="197" t="s">
        <v>1554</v>
      </c>
      <c r="E170" s="197" t="s">
        <v>1625</v>
      </c>
      <c r="F170" s="197" t="s">
        <v>2395</v>
      </c>
    </row>
    <row r="171" spans="1:7">
      <c r="A171" s="198">
        <v>170</v>
      </c>
      <c r="B171" s="197" t="s">
        <v>558</v>
      </c>
      <c r="C171" s="197" t="s">
        <v>811</v>
      </c>
      <c r="D171" s="197" t="s">
        <v>1376</v>
      </c>
      <c r="E171" s="197" t="s">
        <v>1617</v>
      </c>
      <c r="F171" s="197" t="s">
        <v>2396</v>
      </c>
    </row>
    <row r="172" spans="1:7">
      <c r="A172" s="198">
        <v>171</v>
      </c>
      <c r="B172" s="197" t="s">
        <v>690</v>
      </c>
      <c r="C172" s="197" t="s">
        <v>583</v>
      </c>
      <c r="D172" s="197" t="s">
        <v>1546</v>
      </c>
      <c r="E172" s="197" t="s">
        <v>1394</v>
      </c>
      <c r="F172" s="197" t="s">
        <v>2397</v>
      </c>
    </row>
    <row r="173" spans="1:7">
      <c r="A173" s="198">
        <v>172</v>
      </c>
      <c r="B173" s="197" t="s">
        <v>788</v>
      </c>
      <c r="C173" s="197" t="s">
        <v>984</v>
      </c>
      <c r="D173" s="197" t="s">
        <v>1611</v>
      </c>
      <c r="E173" s="197" t="s">
        <v>1769</v>
      </c>
      <c r="F173" s="197" t="s">
        <v>2398</v>
      </c>
    </row>
    <row r="174" spans="1:7">
      <c r="A174" s="198">
        <v>173</v>
      </c>
      <c r="B174" s="197" t="s">
        <v>1036</v>
      </c>
      <c r="C174" s="197" t="s">
        <v>1084</v>
      </c>
      <c r="D174" s="197" t="s">
        <v>1185</v>
      </c>
      <c r="E174" s="197" t="s">
        <v>1834</v>
      </c>
      <c r="F174" s="197" t="s">
        <v>2399</v>
      </c>
    </row>
    <row r="175" spans="1:7">
      <c r="A175" s="198">
        <v>174</v>
      </c>
      <c r="B175" s="197" t="s">
        <v>757</v>
      </c>
      <c r="C175" s="197" t="s">
        <v>834</v>
      </c>
      <c r="D175" s="197" t="s">
        <v>1314</v>
      </c>
      <c r="E175" s="197" t="s">
        <v>1395</v>
      </c>
      <c r="F175" s="197" t="s">
        <v>2400</v>
      </c>
    </row>
    <row r="176" spans="1:7">
      <c r="A176" s="198">
        <v>175</v>
      </c>
      <c r="B176" s="197" t="s">
        <v>660</v>
      </c>
      <c r="C176" s="197" t="s">
        <v>683</v>
      </c>
      <c r="D176" s="197" t="s">
        <v>1258</v>
      </c>
      <c r="E176" s="197" t="s">
        <v>1593</v>
      </c>
      <c r="F176" s="197" t="s">
        <v>2401</v>
      </c>
    </row>
    <row r="177" spans="1:6">
      <c r="A177" s="198">
        <v>176</v>
      </c>
      <c r="B177" s="197" t="s">
        <v>651</v>
      </c>
      <c r="C177" s="197" t="s">
        <v>815</v>
      </c>
      <c r="D177" s="197" t="s">
        <v>1580</v>
      </c>
      <c r="E177" s="197" t="s">
        <v>1596</v>
      </c>
      <c r="F177" s="197" t="s">
        <v>2402</v>
      </c>
    </row>
    <row r="178" spans="1:6">
      <c r="A178" s="198">
        <v>177</v>
      </c>
      <c r="B178" s="197" t="s">
        <v>671</v>
      </c>
      <c r="C178" s="197" t="s">
        <v>879</v>
      </c>
      <c r="D178" s="197" t="s">
        <v>1567</v>
      </c>
      <c r="E178" s="197" t="s">
        <v>1688</v>
      </c>
      <c r="F178" s="197" t="s">
        <v>2403</v>
      </c>
    </row>
    <row r="179" spans="1:6">
      <c r="A179" s="198">
        <v>178</v>
      </c>
      <c r="B179" s="197" t="s">
        <v>653</v>
      </c>
      <c r="C179" s="197" t="s">
        <v>832</v>
      </c>
      <c r="D179" s="197" t="s">
        <v>1157</v>
      </c>
      <c r="E179" s="197" t="s">
        <v>1269</v>
      </c>
      <c r="F179" s="197" t="s">
        <v>2404</v>
      </c>
    </row>
    <row r="180" spans="1:6">
      <c r="A180" s="198">
        <v>179</v>
      </c>
      <c r="B180" s="197" t="s">
        <v>868</v>
      </c>
      <c r="C180" s="197" t="s">
        <v>1109</v>
      </c>
      <c r="D180" s="197" t="s">
        <v>1224</v>
      </c>
      <c r="E180" s="197" t="s">
        <v>1599</v>
      </c>
      <c r="F180" s="197" t="s">
        <v>2405</v>
      </c>
    </row>
    <row r="181" spans="1:6">
      <c r="A181" s="198">
        <v>180</v>
      </c>
      <c r="B181" s="197" t="s">
        <v>840</v>
      </c>
      <c r="C181" s="197" t="s">
        <v>873</v>
      </c>
      <c r="D181" s="197" t="s">
        <v>1267</v>
      </c>
      <c r="E181" s="197" t="s">
        <v>1690</v>
      </c>
      <c r="F181" s="197" t="s">
        <v>2406</v>
      </c>
    </row>
    <row r="182" spans="1:6">
      <c r="A182" s="198">
        <v>181</v>
      </c>
      <c r="B182" s="197" t="s">
        <v>850</v>
      </c>
      <c r="C182" s="197" t="s">
        <v>554</v>
      </c>
      <c r="D182" s="197" t="s">
        <v>1499</v>
      </c>
      <c r="E182" s="197" t="s">
        <v>1592</v>
      </c>
      <c r="F182" s="197" t="s">
        <v>2407</v>
      </c>
    </row>
    <row r="183" spans="1:6">
      <c r="A183" s="198">
        <v>182</v>
      </c>
      <c r="B183" s="197" t="s">
        <v>604</v>
      </c>
      <c r="C183" s="197" t="s">
        <v>697</v>
      </c>
      <c r="D183" s="197" t="s">
        <v>1232</v>
      </c>
      <c r="E183" s="197" t="s">
        <v>1647</v>
      </c>
      <c r="F183" s="197" t="s">
        <v>2408</v>
      </c>
    </row>
    <row r="184" spans="1:6">
      <c r="A184" s="198">
        <v>183</v>
      </c>
      <c r="B184" s="197" t="s">
        <v>851</v>
      </c>
      <c r="C184" s="197" t="s">
        <v>573</v>
      </c>
      <c r="D184" s="197" t="s">
        <v>1154</v>
      </c>
      <c r="E184" s="197" t="s">
        <v>1465</v>
      </c>
      <c r="F184" s="197" t="s">
        <v>2409</v>
      </c>
    </row>
    <row r="185" spans="1:6">
      <c r="A185" s="198">
        <v>184</v>
      </c>
      <c r="B185" s="197" t="s">
        <v>586</v>
      </c>
      <c r="C185" s="197" t="s">
        <v>600</v>
      </c>
      <c r="D185" s="197" t="s">
        <v>1713</v>
      </c>
      <c r="E185" s="197" t="s">
        <v>1381</v>
      </c>
      <c r="F185" s="197" t="s">
        <v>2410</v>
      </c>
    </row>
    <row r="186" spans="1:6">
      <c r="A186" s="198">
        <v>185</v>
      </c>
      <c r="B186" s="197" t="s">
        <v>602</v>
      </c>
      <c r="C186" s="197" t="s">
        <v>1090</v>
      </c>
      <c r="D186" s="197" t="s">
        <v>1486</v>
      </c>
      <c r="E186" s="197" t="s">
        <v>1627</v>
      </c>
      <c r="F186" s="197" t="s">
        <v>2412</v>
      </c>
    </row>
    <row r="187" spans="1:6">
      <c r="A187" s="198">
        <v>186</v>
      </c>
      <c r="B187" s="113" t="s">
        <v>961</v>
      </c>
      <c r="C187" s="197" t="s">
        <v>584</v>
      </c>
      <c r="D187" s="197" t="s">
        <v>1442</v>
      </c>
      <c r="E187" s="197" t="s">
        <v>1506</v>
      </c>
      <c r="F187" s="197" t="s">
        <v>2413</v>
      </c>
    </row>
    <row r="188" spans="1:6">
      <c r="A188" s="198">
        <v>187</v>
      </c>
      <c r="B188" s="197" t="s">
        <v>561</v>
      </c>
      <c r="C188" s="197" t="s">
        <v>714</v>
      </c>
      <c r="D188" s="197" t="s">
        <v>1685</v>
      </c>
      <c r="E188" s="197" t="s">
        <v>1430</v>
      </c>
      <c r="F188" s="197" t="s">
        <v>2414</v>
      </c>
    </row>
    <row r="189" spans="1:6">
      <c r="A189" s="198">
        <v>188</v>
      </c>
      <c r="B189" s="197" t="s">
        <v>919</v>
      </c>
      <c r="C189" s="197" t="s">
        <v>918</v>
      </c>
      <c r="D189" s="197" t="s">
        <v>1675</v>
      </c>
      <c r="E189" s="197" t="s">
        <v>1630</v>
      </c>
      <c r="F189" s="197" t="s">
        <v>2415</v>
      </c>
    </row>
    <row r="190" spans="1:6">
      <c r="A190" s="198">
        <v>189</v>
      </c>
      <c r="B190" s="197" t="s">
        <v>925</v>
      </c>
      <c r="C190" s="197" t="s">
        <v>787</v>
      </c>
      <c r="D190" s="197" t="s">
        <v>1513</v>
      </c>
      <c r="E190" s="197" t="s">
        <v>1683</v>
      </c>
      <c r="F190" s="197" t="s">
        <v>2417</v>
      </c>
    </row>
    <row r="191" spans="1:6">
      <c r="A191" s="198">
        <v>190</v>
      </c>
      <c r="B191" s="197" t="s">
        <v>909</v>
      </c>
      <c r="C191" s="197" t="s">
        <v>977</v>
      </c>
      <c r="D191" s="197" t="s">
        <v>1657</v>
      </c>
      <c r="E191" s="197" t="s">
        <v>1524</v>
      </c>
      <c r="F191" s="197" t="s">
        <v>2418</v>
      </c>
    </row>
    <row r="192" spans="1:6">
      <c r="A192" s="198">
        <v>191</v>
      </c>
      <c r="B192" s="197" t="s">
        <v>754</v>
      </c>
      <c r="C192" s="197" t="s">
        <v>805</v>
      </c>
      <c r="D192" s="197" t="s">
        <v>1633</v>
      </c>
      <c r="E192" s="197" t="s">
        <v>1528</v>
      </c>
      <c r="F192" s="197" t="s">
        <v>2419</v>
      </c>
    </row>
    <row r="193" spans="1:6">
      <c r="A193" s="198">
        <v>192</v>
      </c>
      <c r="B193" s="197" t="s">
        <v>795</v>
      </c>
      <c r="C193" s="197" t="s">
        <v>878</v>
      </c>
      <c r="D193" s="197" t="s">
        <v>1753</v>
      </c>
      <c r="E193" s="197" t="s">
        <v>1459</v>
      </c>
      <c r="F193" s="197" t="s">
        <v>2420</v>
      </c>
    </row>
    <row r="194" spans="1:6">
      <c r="A194" s="198">
        <v>193</v>
      </c>
      <c r="B194" s="197" t="s">
        <v>777</v>
      </c>
      <c r="C194" s="197" t="s">
        <v>1016</v>
      </c>
      <c r="D194" s="197" t="s">
        <v>1466</v>
      </c>
      <c r="E194" s="197" t="s">
        <v>1187</v>
      </c>
      <c r="F194" s="197" t="s">
        <v>2445</v>
      </c>
    </row>
    <row r="195" spans="1:6">
      <c r="A195" s="198">
        <v>194</v>
      </c>
      <c r="B195" s="197" t="s">
        <v>974</v>
      </c>
      <c r="C195" s="197" t="s">
        <v>852</v>
      </c>
      <c r="D195" s="197" t="s">
        <v>1337</v>
      </c>
      <c r="E195" s="197" t="s">
        <v>1435</v>
      </c>
      <c r="F195" s="197" t="s">
        <v>2438</v>
      </c>
    </row>
    <row r="196" spans="1:6">
      <c r="A196" s="198">
        <v>195</v>
      </c>
      <c r="B196" s="197" t="s">
        <v>1116</v>
      </c>
      <c r="C196" s="197" t="s">
        <v>763</v>
      </c>
      <c r="D196" s="197" t="s">
        <v>1525</v>
      </c>
      <c r="E196" s="197" t="s">
        <v>1229</v>
      </c>
      <c r="F196" s="197" t="s">
        <v>2430</v>
      </c>
    </row>
    <row r="197" spans="1:6">
      <c r="A197" s="198">
        <v>196</v>
      </c>
      <c r="B197" s="197" t="s">
        <v>779</v>
      </c>
      <c r="C197" s="197" t="s">
        <v>766</v>
      </c>
      <c r="D197" s="197" t="s">
        <v>1164</v>
      </c>
      <c r="E197" s="197" t="s">
        <v>1296</v>
      </c>
      <c r="F197" s="197" t="s">
        <v>2421</v>
      </c>
    </row>
    <row r="198" spans="1:6">
      <c r="A198" s="198">
        <v>197</v>
      </c>
      <c r="B198" s="197" t="s">
        <v>771</v>
      </c>
      <c r="C198" s="197" t="s">
        <v>922</v>
      </c>
      <c r="D198" s="197" t="s">
        <v>1662</v>
      </c>
      <c r="E198" s="197" t="s">
        <v>1335</v>
      </c>
      <c r="F198" s="197" t="s">
        <v>2431</v>
      </c>
    </row>
    <row r="199" spans="1:6">
      <c r="A199" s="198">
        <v>198</v>
      </c>
      <c r="B199" s="197" t="s">
        <v>973</v>
      </c>
      <c r="C199" s="197" t="s">
        <v>678</v>
      </c>
      <c r="D199" s="197" t="s">
        <v>1588</v>
      </c>
      <c r="E199" s="197" t="s">
        <v>1265</v>
      </c>
      <c r="F199" s="197" t="s">
        <v>2439</v>
      </c>
    </row>
    <row r="200" spans="1:6">
      <c r="A200" s="198">
        <v>199</v>
      </c>
      <c r="B200" s="197" t="s">
        <v>872</v>
      </c>
      <c r="C200" s="197" t="s">
        <v>802</v>
      </c>
      <c r="D200" s="197" t="s">
        <v>1338</v>
      </c>
      <c r="E200" s="197" t="s">
        <v>1173</v>
      </c>
      <c r="F200" s="197" t="s">
        <v>2423</v>
      </c>
    </row>
    <row r="201" spans="1:6">
      <c r="A201" s="198">
        <v>200</v>
      </c>
      <c r="B201" s="197" t="s">
        <v>782</v>
      </c>
      <c r="C201" s="197" t="s">
        <v>838</v>
      </c>
      <c r="D201" s="197" t="s">
        <v>1341</v>
      </c>
      <c r="E201" s="197" t="s">
        <v>1234</v>
      </c>
      <c r="F201" s="197" t="s">
        <v>2446</v>
      </c>
    </row>
    <row r="202" spans="1:6">
      <c r="A202" s="198">
        <v>201</v>
      </c>
      <c r="B202" s="197" t="s">
        <v>746</v>
      </c>
      <c r="C202" s="197" t="s">
        <v>923</v>
      </c>
      <c r="D202" s="197" t="s">
        <v>1343</v>
      </c>
      <c r="E202" s="197" t="s">
        <v>1239</v>
      </c>
      <c r="F202" s="197" t="s">
        <v>2447</v>
      </c>
    </row>
    <row r="203" spans="1:6">
      <c r="A203" s="198">
        <v>202</v>
      </c>
      <c r="B203" s="197" t="s">
        <v>959</v>
      </c>
      <c r="C203" s="197" t="s">
        <v>1006</v>
      </c>
      <c r="D203" s="197" t="s">
        <v>1280</v>
      </c>
      <c r="E203" s="197" t="s">
        <v>1277</v>
      </c>
      <c r="F203" s="197" t="s">
        <v>2424</v>
      </c>
    </row>
    <row r="204" spans="1:6">
      <c r="A204" s="198">
        <v>203</v>
      </c>
      <c r="B204" s="197" t="s">
        <v>799</v>
      </c>
      <c r="C204" s="197" t="s">
        <v>769</v>
      </c>
      <c r="D204" s="197" t="s">
        <v>1297</v>
      </c>
      <c r="E204" s="197" t="s">
        <v>1405</v>
      </c>
      <c r="F204" s="197" t="s">
        <v>2433</v>
      </c>
    </row>
    <row r="205" spans="1:6">
      <c r="A205" s="198">
        <v>204</v>
      </c>
      <c r="B205" s="197" t="s">
        <v>1002</v>
      </c>
      <c r="C205" s="197" t="s">
        <v>807</v>
      </c>
      <c r="D205" s="197" t="s">
        <v>1410</v>
      </c>
      <c r="E205" s="197" t="s">
        <v>1236</v>
      </c>
      <c r="F205" s="197" t="s">
        <v>2440</v>
      </c>
    </row>
    <row r="206" spans="1:6">
      <c r="A206" s="198">
        <v>205</v>
      </c>
      <c r="B206" s="197" t="s">
        <v>1049</v>
      </c>
      <c r="C206" s="197" t="s">
        <v>876</v>
      </c>
      <c r="D206" s="197" t="s">
        <v>1382</v>
      </c>
      <c r="E206" s="197" t="s">
        <v>1429</v>
      </c>
      <c r="F206" s="197" t="s">
        <v>2434</v>
      </c>
    </row>
    <row r="207" spans="1:6">
      <c r="A207" s="198">
        <v>206</v>
      </c>
      <c r="B207" s="197" t="s">
        <v>813</v>
      </c>
      <c r="C207" s="197" t="s">
        <v>907</v>
      </c>
      <c r="D207" s="197" t="s">
        <v>1159</v>
      </c>
      <c r="E207" s="197" t="s">
        <v>1373</v>
      </c>
      <c r="F207" s="197" t="s">
        <v>2425</v>
      </c>
    </row>
    <row r="208" spans="1:6">
      <c r="A208" s="198">
        <v>207</v>
      </c>
      <c r="B208" s="197" t="s">
        <v>992</v>
      </c>
      <c r="C208" s="197" t="s">
        <v>883</v>
      </c>
      <c r="D208" s="197" t="s">
        <v>1510</v>
      </c>
      <c r="E208" s="197" t="s">
        <v>1476</v>
      </c>
      <c r="F208" s="197" t="s">
        <v>2448</v>
      </c>
    </row>
    <row r="209" spans="1:6">
      <c r="A209" s="198">
        <v>208</v>
      </c>
      <c r="B209" s="197" t="s">
        <v>692</v>
      </c>
      <c r="C209" s="197" t="s">
        <v>797</v>
      </c>
      <c r="D209" s="197" t="s">
        <v>1542</v>
      </c>
      <c r="E209" s="197" t="s">
        <v>1340</v>
      </c>
      <c r="F209" s="197" t="s">
        <v>2441</v>
      </c>
    </row>
    <row r="210" spans="1:6">
      <c r="A210" s="198">
        <v>209</v>
      </c>
      <c r="B210" s="197" t="s">
        <v>999</v>
      </c>
      <c r="C210" s="197" t="s">
        <v>870</v>
      </c>
      <c r="D210" s="197" t="s">
        <v>1413</v>
      </c>
      <c r="E210" s="197" t="s">
        <v>1446</v>
      </c>
      <c r="F210" s="197" t="s">
        <v>2435</v>
      </c>
    </row>
    <row r="211" spans="1:6">
      <c r="A211" s="198">
        <v>210</v>
      </c>
      <c r="B211" s="197" t="s">
        <v>749</v>
      </c>
      <c r="C211" s="197" t="s">
        <v>801</v>
      </c>
      <c r="D211" s="197" t="s">
        <v>1330</v>
      </c>
      <c r="E211" s="197" t="s">
        <v>1179</v>
      </c>
      <c r="F211" s="197" t="s">
        <v>2449</v>
      </c>
    </row>
    <row r="212" spans="1:6">
      <c r="A212" s="198">
        <v>211</v>
      </c>
      <c r="B212" s="197" t="s">
        <v>552</v>
      </c>
      <c r="C212" s="197" t="s">
        <v>760</v>
      </c>
      <c r="D212" s="197" t="s">
        <v>1254</v>
      </c>
      <c r="E212" s="197" t="s">
        <v>1228</v>
      </c>
      <c r="F212" s="197" t="s">
        <v>2426</v>
      </c>
    </row>
    <row r="213" spans="1:6">
      <c r="A213" s="198">
        <v>212</v>
      </c>
      <c r="B213" s="197" t="s">
        <v>1011</v>
      </c>
      <c r="C213" s="197" t="s">
        <v>1048</v>
      </c>
      <c r="D213" s="197" t="s">
        <v>1490</v>
      </c>
      <c r="E213" s="197" t="s">
        <v>1264</v>
      </c>
      <c r="F213" s="197" t="s">
        <v>2442</v>
      </c>
    </row>
    <row r="214" spans="1:6">
      <c r="A214" s="198">
        <v>213</v>
      </c>
      <c r="B214" s="197" t="s">
        <v>1030</v>
      </c>
      <c r="C214" s="197" t="s">
        <v>1053</v>
      </c>
      <c r="D214" s="197" t="s">
        <v>1334</v>
      </c>
      <c r="E214" s="197" t="s">
        <v>1478</v>
      </c>
      <c r="F214" s="197" t="s">
        <v>2450</v>
      </c>
    </row>
    <row r="215" spans="1:6">
      <c r="A215" s="198">
        <v>214</v>
      </c>
      <c r="B215" s="197" t="s">
        <v>729</v>
      </c>
      <c r="C215" s="197" t="s">
        <v>758</v>
      </c>
      <c r="D215" s="197" t="s">
        <v>1469</v>
      </c>
      <c r="E215" s="197" t="s">
        <v>1289</v>
      </c>
      <c r="F215" s="197" t="s">
        <v>2443</v>
      </c>
    </row>
    <row r="216" spans="1:6">
      <c r="A216" s="198">
        <v>215</v>
      </c>
      <c r="B216" s="197" t="s">
        <v>707</v>
      </c>
      <c r="C216" s="197" t="s">
        <v>996</v>
      </c>
      <c r="D216" s="197" t="s">
        <v>1332</v>
      </c>
      <c r="E216" s="197" t="s">
        <v>1192</v>
      </c>
      <c r="F216" s="197" t="s">
        <v>2427</v>
      </c>
    </row>
    <row r="217" spans="1:6">
      <c r="A217" s="198">
        <v>216</v>
      </c>
      <c r="B217" s="197" t="s">
        <v>684</v>
      </c>
      <c r="C217" s="197" t="s">
        <v>900</v>
      </c>
      <c r="D217" s="197" t="s">
        <v>1437</v>
      </c>
      <c r="E217" s="197" t="s">
        <v>1295</v>
      </c>
      <c r="F217" s="197" t="s">
        <v>2436</v>
      </c>
    </row>
    <row r="218" spans="1:6">
      <c r="A218" s="198">
        <v>217</v>
      </c>
      <c r="B218" s="197" t="s">
        <v>731</v>
      </c>
      <c r="C218" s="197" t="s">
        <v>839</v>
      </c>
      <c r="D218" s="197" t="s">
        <v>1246</v>
      </c>
      <c r="E218" s="197" t="s">
        <v>1255</v>
      </c>
      <c r="F218" s="197" t="s">
        <v>2429</v>
      </c>
    </row>
    <row r="219" spans="1:6">
      <c r="A219" s="198">
        <v>218</v>
      </c>
      <c r="B219" s="197" t="s">
        <v>1038</v>
      </c>
      <c r="C219" s="197" t="s">
        <v>699</v>
      </c>
      <c r="D219" s="197" t="s">
        <v>1463</v>
      </c>
      <c r="E219" s="197" t="s">
        <v>1799</v>
      </c>
      <c r="F219" s="197" t="s">
        <v>2437</v>
      </c>
    </row>
    <row r="220" spans="1:6">
      <c r="A220" s="198">
        <v>219</v>
      </c>
      <c r="B220" s="197" t="s">
        <v>785</v>
      </c>
      <c r="C220" s="197" t="s">
        <v>965</v>
      </c>
      <c r="D220" s="197" t="s">
        <v>1559</v>
      </c>
      <c r="E220" s="197" t="s">
        <v>1323</v>
      </c>
      <c r="F220" s="197" t="s">
        <v>2444</v>
      </c>
    </row>
    <row r="221" spans="1:6">
      <c r="A221" s="198">
        <v>220</v>
      </c>
      <c r="B221" s="197" t="s">
        <v>822</v>
      </c>
      <c r="C221" s="197" t="s">
        <v>891</v>
      </c>
      <c r="D221" s="197" t="s">
        <v>1201</v>
      </c>
      <c r="E221" s="197" t="s">
        <v>1268</v>
      </c>
      <c r="F221" s="197" t="s">
        <v>2451</v>
      </c>
    </row>
  </sheetData>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1" t="s">
        <v>2609</v>
      </c>
      <c r="B1" s="166" t="s">
        <v>2485</v>
      </c>
      <c r="C1" s="211" t="s">
        <v>2610</v>
      </c>
      <c r="D1" s="211" t="s">
        <v>2589</v>
      </c>
      <c r="E1" s="211" t="s">
        <v>2608</v>
      </c>
      <c r="F1" s="211" t="s">
        <v>2607</v>
      </c>
      <c r="G1" s="211" t="s">
        <v>2606</v>
      </c>
      <c r="H1" s="211" t="s">
        <v>2605</v>
      </c>
      <c r="I1" s="210" t="s">
        <v>2644</v>
      </c>
      <c r="J1" s="210" t="s">
        <v>2645</v>
      </c>
      <c r="K1" s="210" t="s">
        <v>2646</v>
      </c>
      <c r="L1" s="210" t="s">
        <v>2604</v>
      </c>
      <c r="M1" s="210" t="s">
        <v>2603</v>
      </c>
      <c r="N1" s="210" t="s">
        <v>2602</v>
      </c>
      <c r="O1" s="210" t="s">
        <v>2601</v>
      </c>
      <c r="P1" s="210" t="s">
        <v>2147</v>
      </c>
    </row>
    <row r="2" spans="1:16">
      <c r="A2" s="201" t="s">
        <v>2482</v>
      </c>
      <c r="C2" s="201" t="s">
        <v>2532</v>
      </c>
      <c r="D2" s="201">
        <v>1.7141999999999999</v>
      </c>
      <c r="E2" s="202">
        <v>10.565200000000001</v>
      </c>
      <c r="F2" s="202">
        <v>0.20119999999999999</v>
      </c>
      <c r="G2" s="201">
        <f t="shared" ref="G2:G8" si="0">E2+F2</f>
        <v>10.766400000000001</v>
      </c>
      <c r="H2" s="201">
        <v>10.575100000000001</v>
      </c>
      <c r="I2" s="201">
        <f t="shared" ref="I2:I8" si="1">(G2-H2)</f>
        <v>0.19130000000000003</v>
      </c>
      <c r="J2" s="201">
        <f t="shared" ref="J2:J14" si="2">F2-I2</f>
        <v>9.8999999999999644E-3</v>
      </c>
      <c r="K2" s="280">
        <f t="shared" ref="K2:K14" si="3">(J2/F2)*100</f>
        <v>4.9204771371769205</v>
      </c>
      <c r="L2" s="201">
        <v>1</v>
      </c>
      <c r="M2" s="203">
        <v>43178.395833333336</v>
      </c>
      <c r="N2" s="203">
        <v>43178.5625</v>
      </c>
      <c r="O2" s="197" t="s">
        <v>2550</v>
      </c>
      <c r="P2" s="201" t="s">
        <v>2551</v>
      </c>
    </row>
    <row r="3" spans="1:16">
      <c r="A3" s="201" t="s">
        <v>1969</v>
      </c>
      <c r="C3" s="201" t="s">
        <v>2532</v>
      </c>
      <c r="D3" s="202">
        <v>1.7512000000000001</v>
      </c>
      <c r="E3" s="202">
        <v>9.6748999999999992</v>
      </c>
      <c r="F3" s="202">
        <v>0.20449999999999999</v>
      </c>
      <c r="G3" s="201">
        <f t="shared" si="0"/>
        <v>9.8793999999999986</v>
      </c>
      <c r="H3" s="201">
        <v>9.6892999999999994</v>
      </c>
      <c r="I3" s="201">
        <f t="shared" si="1"/>
        <v>0.19009999999999927</v>
      </c>
      <c r="J3" s="201">
        <f t="shared" si="2"/>
        <v>1.4400000000000718E-2</v>
      </c>
      <c r="K3" s="280">
        <f t="shared" si="3"/>
        <v>7.0415647921763895</v>
      </c>
      <c r="L3" s="201">
        <v>6</v>
      </c>
      <c r="M3" s="203">
        <v>43178.395833333336</v>
      </c>
      <c r="N3" s="203">
        <v>43178.5625</v>
      </c>
      <c r="O3" s="197" t="s">
        <v>2550</v>
      </c>
      <c r="P3" s="201"/>
    </row>
    <row r="4" spans="1:16">
      <c r="A4" s="201" t="s">
        <v>2484</v>
      </c>
      <c r="C4" s="201" t="s">
        <v>2532</v>
      </c>
      <c r="D4" s="202">
        <v>1.8006</v>
      </c>
      <c r="E4" s="202">
        <v>9.1958000000000002</v>
      </c>
      <c r="F4" s="202">
        <v>0.20749999999999999</v>
      </c>
      <c r="G4" s="201">
        <f t="shared" si="0"/>
        <v>9.4032999999999998</v>
      </c>
      <c r="H4" s="201">
        <v>9.2073</v>
      </c>
      <c r="I4" s="201">
        <f t="shared" si="1"/>
        <v>0.19599999999999973</v>
      </c>
      <c r="J4" s="201">
        <f t="shared" si="2"/>
        <v>1.150000000000026E-2</v>
      </c>
      <c r="K4" s="280">
        <f t="shared" si="3"/>
        <v>5.5421686746989201</v>
      </c>
      <c r="L4" s="201">
        <v>7</v>
      </c>
      <c r="M4" s="203">
        <v>43178.395833333336</v>
      </c>
      <c r="N4" s="203">
        <v>43178.5625</v>
      </c>
      <c r="O4" s="197" t="s">
        <v>2550</v>
      </c>
      <c r="P4" s="201"/>
    </row>
    <row r="5" spans="1:16">
      <c r="A5" s="201" t="s">
        <v>1938</v>
      </c>
      <c r="C5" s="201" t="s">
        <v>2532</v>
      </c>
      <c r="D5" s="201">
        <v>1.7291000000000001</v>
      </c>
      <c r="E5" s="202">
        <v>7.0926999999999998</v>
      </c>
      <c r="F5" s="202">
        <v>0.20349999999999999</v>
      </c>
      <c r="G5" s="201">
        <f t="shared" si="0"/>
        <v>7.2961999999999998</v>
      </c>
      <c r="H5" s="201">
        <v>7.1036000000000001</v>
      </c>
      <c r="I5" s="201">
        <f t="shared" si="1"/>
        <v>0.19259999999999966</v>
      </c>
      <c r="J5" s="201">
        <f t="shared" si="2"/>
        <v>1.0900000000000326E-2</v>
      </c>
      <c r="K5" s="280">
        <f t="shared" si="3"/>
        <v>5.3562653562655171</v>
      </c>
      <c r="L5" s="201">
        <v>8</v>
      </c>
      <c r="M5" s="203">
        <v>43178.395833333336</v>
      </c>
      <c r="N5" s="203">
        <v>43178.5625</v>
      </c>
      <c r="O5" s="197" t="s">
        <v>2550</v>
      </c>
      <c r="P5" s="201"/>
    </row>
    <row r="6" spans="1:16">
      <c r="A6" s="201" t="s">
        <v>1977</v>
      </c>
      <c r="C6" s="201" t="s">
        <v>2532</v>
      </c>
      <c r="D6" s="201">
        <v>1.7074</v>
      </c>
      <c r="E6" s="202">
        <v>8.0459999999999994</v>
      </c>
      <c r="F6" s="202">
        <v>0.20069999999999999</v>
      </c>
      <c r="G6" s="201">
        <f t="shared" si="0"/>
        <v>8.2466999999999988</v>
      </c>
      <c r="H6" s="201">
        <v>8.0563000000000002</v>
      </c>
      <c r="I6" s="201">
        <f t="shared" si="1"/>
        <v>0.19039999999999857</v>
      </c>
      <c r="J6" s="201">
        <f t="shared" si="2"/>
        <v>1.0300000000001419E-2</v>
      </c>
      <c r="K6" s="280">
        <f t="shared" si="3"/>
        <v>5.1320378674645841</v>
      </c>
      <c r="L6" s="201">
        <v>9</v>
      </c>
      <c r="M6" s="203">
        <v>43178.395833333336</v>
      </c>
      <c r="N6" s="203">
        <v>43178.5625</v>
      </c>
      <c r="O6" s="197" t="s">
        <v>2550</v>
      </c>
      <c r="P6" s="201"/>
    </row>
    <row r="7" spans="1:16">
      <c r="A7" s="197" t="s">
        <v>2533</v>
      </c>
      <c r="C7" s="201" t="s">
        <v>2532</v>
      </c>
      <c r="D7" s="197">
        <v>1.7144999999999999</v>
      </c>
      <c r="E7" s="197">
        <v>9.1545000000000005</v>
      </c>
      <c r="F7" s="197">
        <v>0.20910000000000001</v>
      </c>
      <c r="G7" s="201">
        <f t="shared" si="0"/>
        <v>9.3635999999999999</v>
      </c>
      <c r="H7" s="201">
        <v>9.1666000000000007</v>
      </c>
      <c r="I7" s="201">
        <f t="shared" si="1"/>
        <v>0.19699999999999918</v>
      </c>
      <c r="J7" s="201">
        <f t="shared" si="2"/>
        <v>1.2100000000000832E-2</v>
      </c>
      <c r="K7" s="280">
        <f t="shared" si="3"/>
        <v>5.7867049258731855</v>
      </c>
      <c r="L7" s="201">
        <v>22</v>
      </c>
      <c r="M7" s="197"/>
      <c r="N7" s="197"/>
      <c r="O7" s="197"/>
      <c r="P7" s="197" t="s">
        <v>2549</v>
      </c>
    </row>
    <row r="8" spans="1:16">
      <c r="A8" s="197" t="s">
        <v>2534</v>
      </c>
      <c r="C8" s="197" t="s">
        <v>2532</v>
      </c>
      <c r="D8" s="197">
        <v>1.7393000000000001</v>
      </c>
      <c r="E8" s="197">
        <v>10.1534</v>
      </c>
      <c r="F8" s="197">
        <v>0.20530000000000001</v>
      </c>
      <c r="G8" s="201">
        <f t="shared" si="0"/>
        <v>10.358699999999999</v>
      </c>
      <c r="H8" s="201">
        <v>10.1647</v>
      </c>
      <c r="I8" s="201">
        <f t="shared" si="1"/>
        <v>0.19399999999999906</v>
      </c>
      <c r="J8" s="201">
        <f t="shared" si="2"/>
        <v>1.1300000000000948E-2</v>
      </c>
      <c r="K8" s="280">
        <f t="shared" si="3"/>
        <v>5.5041402825138563</v>
      </c>
      <c r="L8" s="201">
        <v>23</v>
      </c>
      <c r="M8" s="197"/>
      <c r="N8" s="197"/>
      <c r="O8" s="197"/>
      <c r="P8" s="197" t="s">
        <v>2548</v>
      </c>
    </row>
    <row r="9" spans="1:16">
      <c r="A9" t="s">
        <v>2535</v>
      </c>
      <c r="C9" t="s">
        <v>2532</v>
      </c>
      <c r="D9">
        <v>1.7766</v>
      </c>
      <c r="E9">
        <v>10.1249</v>
      </c>
      <c r="F9">
        <v>0.22650000000000001</v>
      </c>
      <c r="G9">
        <v>10.3514</v>
      </c>
      <c r="H9">
        <v>10.137499999999999</v>
      </c>
      <c r="I9">
        <v>0.21390000000000065</v>
      </c>
      <c r="J9">
        <f t="shared" si="2"/>
        <v>1.2599999999999362E-2</v>
      </c>
      <c r="K9" s="280">
        <f t="shared" si="3"/>
        <v>5.5629139072844866</v>
      </c>
      <c r="L9">
        <v>24</v>
      </c>
      <c r="M9" s="197"/>
      <c r="N9" s="197"/>
      <c r="O9" s="197"/>
      <c r="P9" s="197" t="s">
        <v>2547</v>
      </c>
    </row>
    <row r="10" spans="1:16">
      <c r="A10" s="197" t="s">
        <v>2536</v>
      </c>
      <c r="C10" s="201" t="s">
        <v>2532</v>
      </c>
      <c r="D10" s="197">
        <v>1.7238</v>
      </c>
      <c r="E10" s="197">
        <v>9.3217999999999996</v>
      </c>
      <c r="F10" s="197">
        <v>0.20369999999999999</v>
      </c>
      <c r="G10" s="201">
        <f>E10+F10</f>
        <v>9.5254999999999992</v>
      </c>
      <c r="H10" s="201">
        <v>9.3321000000000005</v>
      </c>
      <c r="I10" s="201">
        <f>(G10-H10)</f>
        <v>0.19339999999999868</v>
      </c>
      <c r="J10" s="201">
        <f t="shared" si="2"/>
        <v>1.0300000000001308E-2</v>
      </c>
      <c r="K10" s="280">
        <f t="shared" si="3"/>
        <v>5.0564555719201323</v>
      </c>
      <c r="L10" s="201">
        <v>25</v>
      </c>
      <c r="M10" s="197"/>
      <c r="N10" s="197"/>
      <c r="O10" s="197"/>
      <c r="P10" s="197" t="s">
        <v>2546</v>
      </c>
    </row>
    <row r="11" spans="1:16">
      <c r="A11" s="197" t="s">
        <v>2537</v>
      </c>
      <c r="C11" s="201" t="s">
        <v>2532</v>
      </c>
      <c r="D11" s="197">
        <v>1.7256</v>
      </c>
      <c r="E11" s="197">
        <v>11.8629</v>
      </c>
      <c r="F11" s="197">
        <v>0.2021</v>
      </c>
      <c r="G11" s="201">
        <f>E11+F11</f>
        <v>12.065</v>
      </c>
      <c r="H11" s="201">
        <v>11.8735</v>
      </c>
      <c r="I11" s="201">
        <f>(G11-H11)</f>
        <v>0.19149999999999956</v>
      </c>
      <c r="J11" s="201">
        <f t="shared" si="2"/>
        <v>1.0600000000000442E-2</v>
      </c>
      <c r="K11" s="280">
        <f t="shared" si="3"/>
        <v>5.2449282533401496</v>
      </c>
      <c r="L11" s="201">
        <v>26</v>
      </c>
      <c r="M11" s="197"/>
      <c r="N11" s="197"/>
      <c r="O11" s="197"/>
      <c r="P11" s="197" t="s">
        <v>2545</v>
      </c>
    </row>
    <row r="12" spans="1:16">
      <c r="A12" s="201" t="s">
        <v>477</v>
      </c>
      <c r="C12" s="201" t="s">
        <v>2532</v>
      </c>
      <c r="D12" s="201">
        <v>1.7670999999999999</v>
      </c>
      <c r="E12" s="202">
        <v>10.502700000000001</v>
      </c>
      <c r="F12" s="202">
        <v>0.20019999999999999</v>
      </c>
      <c r="G12" s="201">
        <f>E12+F12</f>
        <v>10.702900000000001</v>
      </c>
      <c r="H12" s="201">
        <v>10.507400000000001</v>
      </c>
      <c r="I12" s="201">
        <f>(G12-H12)</f>
        <v>0.1955000000000009</v>
      </c>
      <c r="J12" s="201">
        <f t="shared" si="2"/>
        <v>4.6999999999990938E-3</v>
      </c>
      <c r="K12" s="280">
        <f t="shared" si="3"/>
        <v>2.3476523476518953</v>
      </c>
      <c r="L12" s="201">
        <v>10</v>
      </c>
      <c r="M12" s="203">
        <v>43178.395833333336</v>
      </c>
      <c r="N12" s="203">
        <v>43178.5625</v>
      </c>
      <c r="O12" s="197" t="s">
        <v>2550</v>
      </c>
      <c r="P12" s="201"/>
    </row>
    <row r="13" spans="1:16">
      <c r="A13" s="201" t="s">
        <v>483</v>
      </c>
      <c r="C13" s="201" t="s">
        <v>2532</v>
      </c>
      <c r="D13" s="201">
        <v>1.8496999999999999</v>
      </c>
      <c r="E13" s="202">
        <v>7.4794999999999998</v>
      </c>
      <c r="F13" s="202">
        <v>0.20230000000000001</v>
      </c>
      <c r="G13" s="201">
        <f>E13+F13</f>
        <v>7.6818</v>
      </c>
      <c r="H13" s="201">
        <v>7.4847999999999999</v>
      </c>
      <c r="I13" s="201">
        <f>(G13-H13)</f>
        <v>0.19700000000000006</v>
      </c>
      <c r="J13" s="201">
        <f t="shared" si="2"/>
        <v>5.2999999999999436E-3</v>
      </c>
      <c r="K13" s="280">
        <f t="shared" si="3"/>
        <v>2.619871478002938</v>
      </c>
      <c r="L13" s="201">
        <v>11</v>
      </c>
      <c r="M13" s="203">
        <v>43178.395833333336</v>
      </c>
      <c r="N13" s="203">
        <v>43178.5625</v>
      </c>
      <c r="O13" s="197" t="s">
        <v>2550</v>
      </c>
      <c r="P13" s="201"/>
    </row>
    <row r="14" spans="1:16">
      <c r="A14" s="201" t="s">
        <v>439</v>
      </c>
      <c r="C14" s="201" t="s">
        <v>2532</v>
      </c>
      <c r="D14" s="201">
        <v>1.8443000000000001</v>
      </c>
      <c r="E14" s="202">
        <v>7.3543000000000003</v>
      </c>
      <c r="F14" s="202">
        <v>0.2024</v>
      </c>
      <c r="G14" s="201">
        <f>E14+F14</f>
        <v>7.5567000000000002</v>
      </c>
      <c r="H14" s="201">
        <v>7.3581000000000003</v>
      </c>
      <c r="I14" s="201">
        <f>(G14-H14)</f>
        <v>0.19859999999999989</v>
      </c>
      <c r="J14" s="201">
        <f t="shared" si="2"/>
        <v>3.8000000000001088E-3</v>
      </c>
      <c r="K14" s="280">
        <f t="shared" si="3"/>
        <v>1.8774703557312791</v>
      </c>
      <c r="L14" s="201">
        <v>12</v>
      </c>
      <c r="M14" s="203">
        <v>43178.395833333336</v>
      </c>
      <c r="N14" s="203">
        <v>43178.5625</v>
      </c>
      <c r="O14" s="197" t="s">
        <v>2550</v>
      </c>
      <c r="P14" s="20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BU907"/>
  <sheetViews>
    <sheetView tabSelected="1" topLeftCell="BJ1" workbookViewId="0">
      <pane ySplit="1" topLeftCell="A376" activePane="bottomLeft" state="frozen"/>
      <selection activeCell="AS1" sqref="AS1"/>
      <selection pane="bottomLeft" activeCell="BO391" sqref="BO391"/>
    </sheetView>
  </sheetViews>
  <sheetFormatPr baseColWidth="10" defaultRowHeight="12" customHeight="1"/>
  <cols>
    <col min="1" max="1" width="5.21875" style="393" customWidth="1"/>
    <col min="6" max="6" width="5.21875" style="393" customWidth="1"/>
    <col min="10" max="10" width="21.77734375" customWidth="1"/>
    <col min="11" max="11" width="5.21875" style="393" customWidth="1"/>
    <col min="15" max="17" width="21" customWidth="1"/>
    <col min="18" max="18" width="5.21875" style="393" customWidth="1"/>
    <col min="19" max="20" width="21" customWidth="1"/>
    <col min="21" max="21" width="5.21875" style="393" customWidth="1"/>
    <col min="25" max="25" width="21.21875" customWidth="1"/>
    <col min="26" max="26" width="5.21875" style="393" customWidth="1"/>
    <col min="32" max="32" width="5.21875" style="393" customWidth="1"/>
    <col min="39" max="39" width="5.21875" style="393" customWidth="1"/>
    <col min="45" max="45" width="5.21875" style="393" customWidth="1"/>
    <col min="51" max="51" width="5.21875" style="393" customWidth="1"/>
    <col min="52" max="53" width="21" customWidth="1"/>
    <col min="54" max="54" width="5.21875" style="393" customWidth="1"/>
    <col min="65" max="65" width="5.21875" style="393" customWidth="1"/>
  </cols>
  <sheetData>
    <row r="1" spans="2:73" ht="12" customHeight="1">
      <c r="B1" s="416" t="s">
        <v>3894</v>
      </c>
      <c r="C1" s="416"/>
      <c r="D1" s="166" t="s">
        <v>3907</v>
      </c>
      <c r="E1" s="166" t="s">
        <v>3900</v>
      </c>
      <c r="G1" s="415" t="s">
        <v>3893</v>
      </c>
      <c r="H1" s="415"/>
      <c r="I1" s="166" t="s">
        <v>3903</v>
      </c>
      <c r="J1" s="166" t="s">
        <v>3900</v>
      </c>
      <c r="L1" s="166" t="s">
        <v>3895</v>
      </c>
      <c r="N1" s="166" t="s">
        <v>3902</v>
      </c>
      <c r="O1" s="166" t="s">
        <v>3900</v>
      </c>
      <c r="P1" s="166"/>
      <c r="Q1" s="166"/>
      <c r="S1" s="166" t="s">
        <v>3931</v>
      </c>
      <c r="T1" s="166"/>
      <c r="V1" s="166" t="s">
        <v>3896</v>
      </c>
      <c r="X1" s="166" t="s">
        <v>3901</v>
      </c>
      <c r="Y1" s="166" t="s">
        <v>3900</v>
      </c>
      <c r="AA1" s="166" t="s">
        <v>3897</v>
      </c>
      <c r="AD1" s="166" t="s">
        <v>3899</v>
      </c>
      <c r="AE1" s="166" t="s">
        <v>3900</v>
      </c>
      <c r="AG1" s="166" t="s">
        <v>3905</v>
      </c>
      <c r="AJ1" s="166" t="s">
        <v>3903</v>
      </c>
      <c r="AK1" s="166" t="s">
        <v>3900</v>
      </c>
      <c r="AL1" s="166"/>
      <c r="AN1" s="166" t="s">
        <v>3906</v>
      </c>
      <c r="AQ1" s="166" t="s">
        <v>3907</v>
      </c>
      <c r="AR1" s="166" t="s">
        <v>3900</v>
      </c>
      <c r="AT1" s="166" t="s">
        <v>3908</v>
      </c>
      <c r="AW1" s="166" t="s">
        <v>3910</v>
      </c>
      <c r="AX1" s="166" t="s">
        <v>3900</v>
      </c>
      <c r="AZ1" s="166" t="s">
        <v>3931</v>
      </c>
      <c r="BA1" s="166"/>
      <c r="BC1" s="166" t="s">
        <v>3909</v>
      </c>
      <c r="BF1" s="166" t="s">
        <v>3904</v>
      </c>
      <c r="BG1" s="166"/>
      <c r="BH1" s="166"/>
      <c r="BI1" s="166" t="s">
        <v>3900</v>
      </c>
      <c r="BJ1" s="166"/>
      <c r="BK1" s="166"/>
      <c r="BN1" s="166" t="s">
        <v>3914</v>
      </c>
    </row>
    <row r="2" spans="2:73" ht="12" customHeight="1">
      <c r="B2" s="166" t="s">
        <v>2163</v>
      </c>
      <c r="D2" s="392" t="s">
        <v>3892</v>
      </c>
      <c r="E2" s="392" t="s">
        <v>3889</v>
      </c>
      <c r="G2" s="166" t="s">
        <v>2163</v>
      </c>
      <c r="I2" s="392" t="s">
        <v>3892</v>
      </c>
      <c r="J2" s="392" t="s">
        <v>3889</v>
      </c>
      <c r="L2" s="166" t="s">
        <v>2163</v>
      </c>
      <c r="N2" s="392" t="s">
        <v>3892</v>
      </c>
      <c r="O2" s="392" t="s">
        <v>3889</v>
      </c>
      <c r="P2" s="392" t="s">
        <v>2149</v>
      </c>
      <c r="Q2" s="392"/>
      <c r="S2" s="392" t="s">
        <v>1147</v>
      </c>
      <c r="T2" s="392" t="s">
        <v>3891</v>
      </c>
      <c r="V2" s="166" t="s">
        <v>2163</v>
      </c>
      <c r="X2" s="392" t="s">
        <v>3892</v>
      </c>
      <c r="Y2" s="392" t="s">
        <v>3889</v>
      </c>
      <c r="AA2" s="166" t="s">
        <v>2163</v>
      </c>
      <c r="AC2" s="392" t="s">
        <v>3892</v>
      </c>
      <c r="AD2" s="392" t="s">
        <v>3889</v>
      </c>
      <c r="AG2" s="166" t="s">
        <v>2163</v>
      </c>
      <c r="AI2" s="392" t="s">
        <v>3892</v>
      </c>
      <c r="AJ2" s="392" t="s">
        <v>3889</v>
      </c>
      <c r="AK2" s="392" t="s">
        <v>2149</v>
      </c>
      <c r="AN2" s="166" t="s">
        <v>2163</v>
      </c>
      <c r="AP2" s="392" t="s">
        <v>3892</v>
      </c>
      <c r="AQ2" s="392" t="s">
        <v>3889</v>
      </c>
      <c r="AT2" s="166" t="s">
        <v>2163</v>
      </c>
      <c r="AV2" s="392" t="s">
        <v>3892</v>
      </c>
      <c r="AW2" s="392" t="s">
        <v>3889</v>
      </c>
      <c r="AZ2" s="392" t="s">
        <v>1147</v>
      </c>
      <c r="BA2" s="392" t="s">
        <v>3891</v>
      </c>
      <c r="BC2" s="166" t="s">
        <v>2163</v>
      </c>
      <c r="BE2" s="392" t="s">
        <v>3892</v>
      </c>
      <c r="BF2" s="392" t="s">
        <v>3889</v>
      </c>
      <c r="BG2" s="392"/>
      <c r="BH2" s="392"/>
      <c r="BI2" s="392" t="s">
        <v>3930</v>
      </c>
      <c r="BJ2" s="392"/>
      <c r="BK2" s="392"/>
      <c r="BN2" s="166" t="s">
        <v>3913</v>
      </c>
      <c r="BP2" t="s">
        <v>3917</v>
      </c>
    </row>
    <row r="3" spans="2:73" ht="12" customHeight="1">
      <c r="B3" s="166" t="s">
        <v>3890</v>
      </c>
      <c r="C3" s="166" t="s">
        <v>3891</v>
      </c>
      <c r="D3" s="392" t="s">
        <v>3890</v>
      </c>
      <c r="E3" s="166" t="s">
        <v>3891</v>
      </c>
      <c r="G3" s="166" t="s">
        <v>3890</v>
      </c>
      <c r="H3" s="166" t="s">
        <v>3891</v>
      </c>
      <c r="I3" s="392" t="s">
        <v>3890</v>
      </c>
      <c r="J3" s="166" t="s">
        <v>3891</v>
      </c>
      <c r="L3" s="166" t="s">
        <v>3890</v>
      </c>
      <c r="M3" s="166" t="s">
        <v>3891</v>
      </c>
      <c r="N3" s="392" t="s">
        <v>3890</v>
      </c>
      <c r="O3" s="166" t="s">
        <v>3891</v>
      </c>
      <c r="P3" s="392" t="s">
        <v>3890</v>
      </c>
      <c r="Q3" s="166" t="s">
        <v>3891</v>
      </c>
      <c r="V3" s="166" t="s">
        <v>3890</v>
      </c>
      <c r="W3" s="166" t="s">
        <v>3891</v>
      </c>
      <c r="X3" s="392" t="s">
        <v>3890</v>
      </c>
      <c r="Y3" s="166" t="s">
        <v>3891</v>
      </c>
      <c r="AA3" s="166" t="s">
        <v>3890</v>
      </c>
      <c r="AB3" s="166" t="s">
        <v>3891</v>
      </c>
      <c r="AC3" s="392" t="s">
        <v>3890</v>
      </c>
      <c r="AD3" s="166" t="s">
        <v>3891</v>
      </c>
      <c r="AG3" s="166" t="s">
        <v>3890</v>
      </c>
      <c r="AH3" s="166" t="s">
        <v>3891</v>
      </c>
      <c r="AI3" s="392" t="s">
        <v>3890</v>
      </c>
      <c r="AJ3" s="166" t="s">
        <v>3891</v>
      </c>
      <c r="AK3" s="392" t="s">
        <v>3890</v>
      </c>
      <c r="AL3" s="166" t="s">
        <v>3891</v>
      </c>
      <c r="AN3" s="166" t="s">
        <v>3890</v>
      </c>
      <c r="AO3" s="166" t="s">
        <v>3891</v>
      </c>
      <c r="AP3" s="392" t="s">
        <v>3890</v>
      </c>
      <c r="AQ3" s="166" t="s">
        <v>3891</v>
      </c>
      <c r="AT3" s="166" t="s">
        <v>3890</v>
      </c>
      <c r="AU3" s="166" t="s">
        <v>3891</v>
      </c>
      <c r="AV3" s="392" t="s">
        <v>3890</v>
      </c>
      <c r="AW3" s="166" t="s">
        <v>3891</v>
      </c>
      <c r="BC3" s="166" t="s">
        <v>3890</v>
      </c>
      <c r="BD3" s="166" t="s">
        <v>3891</v>
      </c>
      <c r="BE3" s="392" t="s">
        <v>3890</v>
      </c>
      <c r="BF3" s="166" t="s">
        <v>3891</v>
      </c>
      <c r="BG3" s="166" t="s">
        <v>3928</v>
      </c>
      <c r="BH3" s="166" t="s">
        <v>3929</v>
      </c>
      <c r="BI3" s="166" t="s">
        <v>3924</v>
      </c>
      <c r="BJ3" s="166" t="s">
        <v>3926</v>
      </c>
      <c r="BK3" s="166" t="s">
        <v>3925</v>
      </c>
      <c r="BL3" s="166" t="s">
        <v>3927</v>
      </c>
      <c r="BN3" s="166" t="s">
        <v>2163</v>
      </c>
      <c r="BR3" s="392" t="s">
        <v>3892</v>
      </c>
      <c r="BS3" s="392" t="s">
        <v>3889</v>
      </c>
    </row>
    <row r="4" spans="2:73"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AfterWet'!A3</f>
        <v>G154</v>
      </c>
      <c r="M4" t="str">
        <f>'Both teabags AfterWet'!A421</f>
        <v>R1</v>
      </c>
      <c r="N4" t="b">
        <f>COUNTIF($L$4:$L$2000, L4)&gt;1</f>
        <v>0</v>
      </c>
      <c r="O4" t="b">
        <f>COUNTIF($M$4:$M$2000, M4)&gt;1</f>
        <v>0</v>
      </c>
      <c r="P4" t="str">
        <f>IFERROR('Both teabags AfterWet'!B3,"")</f>
        <v>n.a</v>
      </c>
      <c r="Q4">
        <f>'Both teabags AfterWet'!B421</f>
        <v>86</v>
      </c>
      <c r="S4" s="401" t="b">
        <f>COUNTIF($V$4:$V$2000, L4)=1</f>
        <v>0</v>
      </c>
      <c r="T4" s="401" t="b">
        <f>COUNTIF($W$4:$W$2000, M4)=1</f>
        <v>0</v>
      </c>
      <c r="V4" t="str">
        <f>'Both teabags AfterDry'!A3</f>
        <v>G1</v>
      </c>
      <c r="W4" t="str">
        <f>'Both teabags AfterDry'!A340</f>
        <v>R106</v>
      </c>
      <c r="X4" t="b">
        <f>COUNTIF($V$4:$V$2000, V4)&gt;1</f>
        <v>0</v>
      </c>
      <c r="Y4" t="b">
        <f>COUNTIF($W$4:$W$2000, W4)&gt;1</f>
        <v>0</v>
      </c>
      <c r="AA4" t="str">
        <f>'Green_rooibos initial weight'!A5</f>
        <v>G1</v>
      </c>
      <c r="AB4" t="str">
        <f>'Green_rooibos initial weight'!A909</f>
        <v>R1</v>
      </c>
      <c r="AC4" t="b">
        <f>COUNTIF($AA$4:$AA$2000, AA4)&gt;1</f>
        <v>0</v>
      </c>
      <c r="AD4" t="b">
        <f>COUNTIF($AB$4:$AB$2000, AB4)&gt;1</f>
        <v>0</v>
      </c>
      <c r="AG4" t="str">
        <f>'WetLitterbags placem_collection'!K3</f>
        <v>G436</v>
      </c>
      <c r="AH4" t="str">
        <f>'WetLitterbags placem_collection'!M3</f>
        <v>R17</v>
      </c>
      <c r="AI4" t="b">
        <f>COUNTIF($AG$4:$AG$2000, AG4)&gt;1</f>
        <v>0</v>
      </c>
      <c r="AJ4" t="b">
        <f>COUNTIF($AH$4:$AH$2000, AH4)&gt;1</f>
        <v>0</v>
      </c>
      <c r="AK4">
        <f>'WetLitterbags placem_collection'!A3</f>
        <v>1</v>
      </c>
      <c r="AL4">
        <f>'WetLitterbags placem_collection'!A3</f>
        <v>1</v>
      </c>
      <c r="AN4">
        <f>IF('Dry_Litterbag Placem_Collection'!J3=0,"",'Dry_Litterbag Placem_Collection'!J3)</f>
        <v>407</v>
      </c>
      <c r="AO4">
        <f>IF('Dry_Litterbag Placem_Collection'!K3=0,"",'Dry_Litterbag Placem_Collection'!K3)</f>
        <v>811</v>
      </c>
      <c r="AP4" t="b">
        <f>COUNTIF($AN$4:$AN$2000, AN4)&gt;1</f>
        <v>0</v>
      </c>
      <c r="AQ4" t="b">
        <f>COUNTIF($AO$4:$AO$2000, AO4)&gt;1</f>
        <v>0</v>
      </c>
      <c r="AT4" t="str">
        <f>'Ashed teabags dry'!A2</f>
        <v>G1</v>
      </c>
      <c r="AU4" t="str">
        <f>'Ashed teabags dry'!A339</f>
        <v>R106</v>
      </c>
      <c r="AV4" t="b">
        <f>COUNTIF($AT$4:$AT$2000, AT4)&gt;1</f>
        <v>0</v>
      </c>
      <c r="AW4" t="b">
        <f>COUNTIF($AU$4:$AU$2000, AU4)&gt;1</f>
        <v>0</v>
      </c>
      <c r="AZ4" s="401" t="b">
        <f>COUNTIF($BC$4:$BC$2000, AT4)=1</f>
        <v>0</v>
      </c>
      <c r="BA4" s="401" t="b">
        <f>COUNTIF($BD$4:$BD$2000, AU4)=1</f>
        <v>0</v>
      </c>
      <c r="BC4" t="str">
        <f>'Ashed teabags wet'!A2</f>
        <v>G201</v>
      </c>
      <c r="BD4" t="str">
        <f>'Ashed teabags wet'!A419</f>
        <v>R10</v>
      </c>
      <c r="BE4" t="b">
        <f>COUNTIF($BC$4:$BC$2000, BC4)&gt;1</f>
        <v>0</v>
      </c>
      <c r="BF4" t="b">
        <f>COUNTIF($BD$4:$BD$2000, BD4)&gt;1</f>
        <v>0</v>
      </c>
      <c r="BG4">
        <f>IFERROR('Ashed teabags wet'!C2,"")</f>
        <v>32</v>
      </c>
      <c r="BH4">
        <f>IFERROR('Ashed teabags wet'!C419,"")</f>
        <v>101</v>
      </c>
      <c r="BI4" t="str">
        <f>'Ashed teabags wet'!AB2</f>
        <v/>
      </c>
      <c r="BJ4" t="str">
        <f>'Ashed teabags wet'!AC2</f>
        <v/>
      </c>
      <c r="BK4" t="str">
        <f>'Ashed teabags wet'!AD419</f>
        <v/>
      </c>
      <c r="BL4">
        <f>'Ashed teabags wet'!AE419</f>
        <v>100</v>
      </c>
      <c r="BN4" s="166" t="s">
        <v>3890</v>
      </c>
      <c r="BQ4" s="166" t="s">
        <v>3891</v>
      </c>
      <c r="BR4" s="392" t="s">
        <v>3890</v>
      </c>
      <c r="BT4" t="s">
        <v>3915</v>
      </c>
      <c r="BU4" s="166" t="s">
        <v>3891</v>
      </c>
    </row>
    <row r="5" spans="2:73" ht="12" customHeight="1">
      <c r="B5" t="str">
        <f>TBIDry!H77</f>
        <v/>
      </c>
      <c r="C5" t="str">
        <f>TBIDry!I77</f>
        <v/>
      </c>
      <c r="D5" t="b">
        <f t="shared" ref="D5:D68" si="0">COUNTIF($B$4:$B$2000, B5)&gt;1</f>
        <v>1</v>
      </c>
      <c r="E5" t="b">
        <f t="shared" ref="E5:E68" si="1">COUNTIF($C$4:$C$2000, C5)&gt;1</f>
        <v>1</v>
      </c>
      <c r="G5" t="str">
        <f>TBIWet!H77</f>
        <v>G568</v>
      </c>
      <c r="H5" t="str">
        <f>TBIWet!I77</f>
        <v>R121</v>
      </c>
      <c r="I5" t="b">
        <f t="shared" ref="I5:I68" si="2">COUNTIF($G$4:$G$2000, G5)&gt;1</f>
        <v>0</v>
      </c>
      <c r="J5" t="b">
        <f>COUNTIF($H$4:$H$2000, H5)&gt;1</f>
        <v>0</v>
      </c>
      <c r="L5" t="str">
        <f>'Both teabags AfterWet'!A4</f>
        <v>G201</v>
      </c>
      <c r="M5" t="str">
        <f>'Both teabags AfterWet'!A422</f>
        <v>R10</v>
      </c>
      <c r="N5" t="b">
        <f t="shared" ref="N5:N68" si="3">COUNTIF($L$4:$L$2000, L5)&gt;1</f>
        <v>0</v>
      </c>
      <c r="O5" t="b">
        <f t="shared" ref="O5:O68" si="4">COUNTIF($M$4:$M$2000, M5)&gt;1</f>
        <v>0</v>
      </c>
      <c r="P5" t="str">
        <f>IFERROR('Both teabags AfterWet'!B4,"")</f>
        <v>n.a</v>
      </c>
      <c r="Q5" t="str">
        <f>'Both teabags AfterWet'!B422</f>
        <v>n.a</v>
      </c>
      <c r="S5" s="401" t="b">
        <f t="shared" ref="S5:S68" si="5">COUNTIF($V$4:$V$2000, L5)=1</f>
        <v>0</v>
      </c>
      <c r="T5" s="401" t="b">
        <f t="shared" ref="T5:T68" si="6">COUNTIF($W$4:$W$2000, M5)=1</f>
        <v>0</v>
      </c>
      <c r="V5" t="str">
        <f>'Both teabags AfterDry'!A4</f>
        <v>G10</v>
      </c>
      <c r="W5" t="str">
        <f>'Both teabags AfterDry'!A341</f>
        <v>R108</v>
      </c>
      <c r="X5" t="b">
        <f t="shared" ref="X5:X68" si="7">COUNTIF($V$4:$V$2000, V5)&gt;1</f>
        <v>0</v>
      </c>
      <c r="Y5" t="b">
        <f t="shared" ref="Y5:Y68" si="8">COUNTIF($W$4:$W$2000, W5)&gt;1</f>
        <v>0</v>
      </c>
      <c r="AA5" t="str">
        <f>'Green_rooibos initial weight'!A6</f>
        <v>G2</v>
      </c>
      <c r="AB5" t="str">
        <f>'Green_rooibos initial weight'!A910</f>
        <v>R2</v>
      </c>
      <c r="AC5" t="b">
        <f t="shared" ref="AC5:AC68" si="9">COUNTIF($AA$4:$AA$2000, AA5)&gt;1</f>
        <v>0</v>
      </c>
      <c r="AD5" t="b">
        <f t="shared" ref="AD5:AD68" si="10">COUNTIF($AB$4:$AB$2000, AB5)&gt;1</f>
        <v>0</v>
      </c>
      <c r="AG5" t="str">
        <f>'WetLitterbags placem_collection'!K4</f>
        <v>G568</v>
      </c>
      <c r="AH5" t="str">
        <f>'WetLitterbags placem_collection'!M4</f>
        <v>R121</v>
      </c>
      <c r="AI5" t="b">
        <f t="shared" ref="AI5:AI68" si="11">COUNTIF($AG$4:$AG$2000, AG5)&gt;1</f>
        <v>0</v>
      </c>
      <c r="AJ5" t="b">
        <f t="shared" ref="AJ5:AJ68" si="12">COUNTIF($AH$4:$AH$2000, AH5)&gt;1</f>
        <v>0</v>
      </c>
      <c r="AK5">
        <f>'WetLitterbags placem_collection'!A4</f>
        <v>2</v>
      </c>
      <c r="AL5">
        <f>'WetLitterbags placem_collection'!A4</f>
        <v>2</v>
      </c>
      <c r="AN5" t="str">
        <f>IF('Dry_Litterbag Placem_Collection'!J4=0,"",'Dry_Litterbag Placem_Collection'!J4)</f>
        <v/>
      </c>
      <c r="AO5" t="str">
        <f>IF('Dry_Litterbag Placem_Collection'!K4=0,"",'Dry_Litterbag Placem_Collection'!K4)</f>
        <v/>
      </c>
      <c r="AP5" t="b">
        <f t="shared" ref="AP5:AP68" si="13">COUNTIF($AN$4:$AN$2000, AN5)&gt;1</f>
        <v>1</v>
      </c>
      <c r="AQ5" t="b">
        <f t="shared" ref="AQ5:AQ68" si="14">COUNTIF($AO$4:$AO$2000, AO5)&gt;1</f>
        <v>1</v>
      </c>
      <c r="AT5" t="str">
        <f>'Ashed teabags dry'!A3</f>
        <v>G10</v>
      </c>
      <c r="AU5" t="str">
        <f>'Ashed teabags dry'!A340</f>
        <v>R108</v>
      </c>
      <c r="AV5" t="b">
        <f t="shared" ref="AV5:AV68" si="15">COUNTIF($AT$4:$AT$2000, AT5)&gt;1</f>
        <v>0</v>
      </c>
      <c r="AW5" t="b">
        <f t="shared" ref="AW5:AW68" si="16">COUNTIF($AU$4:$AU$2000, AU5)&gt;1</f>
        <v>0</v>
      </c>
      <c r="AZ5" s="401" t="b">
        <f t="shared" ref="AZ5:AZ68" si="17">COUNTIF($BC$4:$BC$2000, AT5)=1</f>
        <v>0</v>
      </c>
      <c r="BA5" s="401" t="b">
        <f t="shared" ref="BA5:BA68" si="18">COUNTIF($BD$4:$BD$2000, AU5)=1</f>
        <v>0</v>
      </c>
      <c r="BC5" t="str">
        <f>'Ashed teabags wet'!A3</f>
        <v>G202</v>
      </c>
      <c r="BD5" t="str">
        <f>'Ashed teabags wet'!A420</f>
        <v>R100</v>
      </c>
      <c r="BE5" t="b">
        <f t="shared" ref="BE5:BE68" si="19">COUNTIF($BC$4:$BC$2000, BC5)&gt;1</f>
        <v>0</v>
      </c>
      <c r="BF5" t="b">
        <f t="shared" ref="BF5:BF68" si="20">COUNTIF($BD$4:$BD$2000, BD5)&gt;1</f>
        <v>0</v>
      </c>
      <c r="BG5">
        <f>IFERROR('Ashed teabags wet'!C3,"")</f>
        <v>163</v>
      </c>
      <c r="BH5">
        <f>IFERROR('Ashed teabags wet'!C420,"")</f>
        <v>78</v>
      </c>
      <c r="BI5">
        <f>'Ashed teabags wet'!AB3</f>
        <v>162</v>
      </c>
      <c r="BJ5" t="str">
        <f>'Ashed teabags wet'!AC3</f>
        <v/>
      </c>
      <c r="BK5" t="str">
        <f>'Ashed teabags wet'!AD420</f>
        <v/>
      </c>
      <c r="BL5">
        <f>'Ashed teabags wet'!AE420</f>
        <v>77</v>
      </c>
      <c r="BN5" t="str">
        <f t="shared" ref="BN5:BN68" si="21">BC4</f>
        <v>G201</v>
      </c>
      <c r="BO5" t="b">
        <f>COUNTIF($BN$5:$BN$2000, BN5)&gt;1</f>
        <v>1</v>
      </c>
      <c r="BP5" s="402"/>
    </row>
    <row r="6" spans="2:73" ht="12" customHeight="1">
      <c r="B6" t="str">
        <f>TBIDry!H78</f>
        <v>G259</v>
      </c>
      <c r="C6" t="str">
        <f>TBIDry!I78</f>
        <v>R742</v>
      </c>
      <c r="D6" t="b">
        <f t="shared" si="0"/>
        <v>0</v>
      </c>
      <c r="E6" t="b">
        <f t="shared" si="1"/>
        <v>0</v>
      </c>
      <c r="G6" t="str">
        <f>TBIWet!H78</f>
        <v>G631</v>
      </c>
      <c r="H6" t="str">
        <f>TBIWet!I78</f>
        <v>R158</v>
      </c>
      <c r="I6" t="b">
        <f t="shared" si="2"/>
        <v>0</v>
      </c>
      <c r="J6" t="b">
        <f t="shared" ref="J6:J68" si="22">COUNTIF($H$4:$H$2000, H6)&gt;1</f>
        <v>0</v>
      </c>
      <c r="L6" t="str">
        <f>'Both teabags AfterWet'!A5</f>
        <v>G202</v>
      </c>
      <c r="M6" t="str">
        <f>'Both teabags AfterWet'!A423</f>
        <v>R100</v>
      </c>
      <c r="N6" t="b">
        <f t="shared" si="3"/>
        <v>0</v>
      </c>
      <c r="O6" t="b">
        <f t="shared" si="4"/>
        <v>0</v>
      </c>
      <c r="P6">
        <f>IFERROR('Both teabags AfterWet'!B5,"")</f>
        <v>163</v>
      </c>
      <c r="Q6" t="str">
        <f>'Both teabags AfterWet'!B423</f>
        <v>n.a</v>
      </c>
      <c r="S6" s="401" t="b">
        <f t="shared" si="5"/>
        <v>0</v>
      </c>
      <c r="T6" s="401" t="b">
        <f t="shared" si="6"/>
        <v>0</v>
      </c>
      <c r="V6" t="str">
        <f>'Both teabags AfterDry'!A5</f>
        <v>G101</v>
      </c>
      <c r="W6" t="str">
        <f>'Both teabags AfterDry'!A342</f>
        <v>R116</v>
      </c>
      <c r="X6" t="b">
        <f t="shared" si="7"/>
        <v>0</v>
      </c>
      <c r="Y6" t="b">
        <f t="shared" si="8"/>
        <v>0</v>
      </c>
      <c r="AA6" t="str">
        <f>'Green_rooibos initial weight'!A7</f>
        <v>G3</v>
      </c>
      <c r="AB6" t="str">
        <f>'Green_rooibos initial weight'!A911</f>
        <v>R3</v>
      </c>
      <c r="AC6" t="b">
        <f t="shared" si="9"/>
        <v>0</v>
      </c>
      <c r="AD6" t="b">
        <f t="shared" si="10"/>
        <v>0</v>
      </c>
      <c r="AG6" t="str">
        <f>'WetLitterbags placem_collection'!K5</f>
        <v>G631</v>
      </c>
      <c r="AH6" t="str">
        <f>'WetLitterbags placem_collection'!M5</f>
        <v>R158</v>
      </c>
      <c r="AI6" t="b">
        <f t="shared" si="11"/>
        <v>0</v>
      </c>
      <c r="AJ6" t="b">
        <f t="shared" si="12"/>
        <v>0</v>
      </c>
      <c r="AK6">
        <f>'WetLitterbags placem_collection'!A5</f>
        <v>3</v>
      </c>
      <c r="AL6">
        <f>'WetLitterbags placem_collection'!A5</f>
        <v>3</v>
      </c>
      <c r="AN6">
        <f>IF('Dry_Litterbag Placem_Collection'!J5=0,"",'Dry_Litterbag Placem_Collection'!J5)</f>
        <v>259</v>
      </c>
      <c r="AO6">
        <f>IF('Dry_Litterbag Placem_Collection'!K5=0,"",'Dry_Litterbag Placem_Collection'!K5)</f>
        <v>742</v>
      </c>
      <c r="AP6" t="b">
        <f t="shared" si="13"/>
        <v>0</v>
      </c>
      <c r="AQ6" t="b">
        <f t="shared" si="14"/>
        <v>0</v>
      </c>
      <c r="AT6" t="str">
        <f>'Ashed teabags dry'!A4</f>
        <v>G101</v>
      </c>
      <c r="AU6" t="str">
        <f>'Ashed teabags dry'!A341</f>
        <v>R116</v>
      </c>
      <c r="AV6" t="b">
        <f t="shared" si="15"/>
        <v>0</v>
      </c>
      <c r="AW6" t="b">
        <f t="shared" si="16"/>
        <v>0</v>
      </c>
      <c r="AZ6" s="401" t="b">
        <f t="shared" si="17"/>
        <v>0</v>
      </c>
      <c r="BA6" s="401" t="b">
        <f t="shared" si="18"/>
        <v>0</v>
      </c>
      <c r="BC6" t="str">
        <f>'Ashed teabags wet'!A4</f>
        <v>G214</v>
      </c>
      <c r="BD6" t="str">
        <f>'Ashed teabags wet'!A421</f>
        <v>R101</v>
      </c>
      <c r="BE6" t="b">
        <f t="shared" si="19"/>
        <v>0</v>
      </c>
      <c r="BF6" t="b">
        <f t="shared" si="20"/>
        <v>0</v>
      </c>
      <c r="BG6">
        <f>IFERROR('Ashed teabags wet'!C4,"")</f>
        <v>39</v>
      </c>
      <c r="BH6">
        <f>IFERROR('Ashed teabags wet'!C421,"")</f>
        <v>9</v>
      </c>
      <c r="BI6">
        <f>'Ashed teabags wet'!AB4</f>
        <v>38</v>
      </c>
      <c r="BJ6" t="str">
        <f>'Ashed teabags wet'!AC4</f>
        <v/>
      </c>
      <c r="BK6" t="str">
        <f>'Ashed teabags wet'!AD421</f>
        <v/>
      </c>
      <c r="BL6">
        <f>'Ashed teabags wet'!AE421</f>
        <v>8</v>
      </c>
      <c r="BN6" t="str">
        <f t="shared" si="21"/>
        <v>G202</v>
      </c>
      <c r="BO6" t="b">
        <f t="shared" ref="BO6:BO69" si="23">COUNTIF($BN$5:$BN$2000, BN6)&gt;1</f>
        <v>1</v>
      </c>
    </row>
    <row r="7" spans="2:73" ht="12" customHeight="1">
      <c r="B7" t="str">
        <f>TBIDry!H79</f>
        <v>G255</v>
      </c>
      <c r="C7" t="str">
        <f>TBIDry!I79</f>
        <v>R661</v>
      </c>
      <c r="D7" t="b">
        <f t="shared" si="0"/>
        <v>0</v>
      </c>
      <c r="E7" t="b">
        <f t="shared" si="1"/>
        <v>0</v>
      </c>
      <c r="G7" t="str">
        <f>TBIWet!H79</f>
        <v>G652</v>
      </c>
      <c r="H7" t="str">
        <f>TBIWet!I79</f>
        <v>R115</v>
      </c>
      <c r="I7" t="b">
        <f t="shared" si="2"/>
        <v>0</v>
      </c>
      <c r="J7" t="b">
        <f t="shared" si="22"/>
        <v>0</v>
      </c>
      <c r="L7" t="str">
        <f>'Both teabags AfterWet'!A6</f>
        <v>G214</v>
      </c>
      <c r="M7" t="str">
        <f>'Both teabags AfterWet'!A424</f>
        <v>R101</v>
      </c>
      <c r="N7" t="b">
        <f t="shared" si="3"/>
        <v>0</v>
      </c>
      <c r="O7" t="b">
        <f t="shared" si="4"/>
        <v>0</v>
      </c>
      <c r="P7">
        <f>IFERROR('Both teabags AfterWet'!B6,"")</f>
        <v>39</v>
      </c>
      <c r="Q7" t="str">
        <f>'Both teabags AfterWet'!B424</f>
        <v>n.a</v>
      </c>
      <c r="S7" s="401" t="b">
        <f t="shared" si="5"/>
        <v>0</v>
      </c>
      <c r="T7" s="401" t="b">
        <f t="shared" si="6"/>
        <v>0</v>
      </c>
      <c r="V7" t="str">
        <f>'Both teabags AfterDry'!A6</f>
        <v>G102</v>
      </c>
      <c r="W7" t="str">
        <f>'Both teabags AfterDry'!A343</f>
        <v>R118</v>
      </c>
      <c r="X7" t="b">
        <f t="shared" si="7"/>
        <v>0</v>
      </c>
      <c r="Y7" t="b">
        <f t="shared" si="8"/>
        <v>0</v>
      </c>
      <c r="AA7" t="str">
        <f>'Green_rooibos initial weight'!A8</f>
        <v>G4</v>
      </c>
      <c r="AB7" t="str">
        <f>'Green_rooibos initial weight'!A912</f>
        <v>R4</v>
      </c>
      <c r="AC7" t="b">
        <f t="shared" si="9"/>
        <v>0</v>
      </c>
      <c r="AD7" t="b">
        <f t="shared" si="10"/>
        <v>0</v>
      </c>
      <c r="AG7" t="str">
        <f>'WetLitterbags placem_collection'!K6</f>
        <v>G652</v>
      </c>
      <c r="AH7" t="str">
        <f>'WetLitterbags placem_collection'!M6</f>
        <v>R115</v>
      </c>
      <c r="AI7" t="b">
        <f t="shared" si="11"/>
        <v>0</v>
      </c>
      <c r="AJ7" t="b">
        <f t="shared" si="12"/>
        <v>0</v>
      </c>
      <c r="AK7">
        <f>'WetLitterbags placem_collection'!A6</f>
        <v>4</v>
      </c>
      <c r="AL7">
        <f>'WetLitterbags placem_collection'!A6</f>
        <v>4</v>
      </c>
      <c r="AN7">
        <f>IF('Dry_Litterbag Placem_Collection'!J6=0,"",'Dry_Litterbag Placem_Collection'!J6)</f>
        <v>255</v>
      </c>
      <c r="AO7">
        <f>IF('Dry_Litterbag Placem_Collection'!K6=0,"",'Dry_Litterbag Placem_Collection'!K6)</f>
        <v>661</v>
      </c>
      <c r="AP7" t="b">
        <f t="shared" si="13"/>
        <v>0</v>
      </c>
      <c r="AQ7" t="b">
        <f t="shared" si="14"/>
        <v>0</v>
      </c>
      <c r="AT7" t="str">
        <f>'Ashed teabags dry'!A5</f>
        <v>G102</v>
      </c>
      <c r="AU7" t="str">
        <f>'Ashed teabags dry'!A342</f>
        <v>R118</v>
      </c>
      <c r="AV7" t="b">
        <f t="shared" si="15"/>
        <v>0</v>
      </c>
      <c r="AW7" t="b">
        <f t="shared" si="16"/>
        <v>0</v>
      </c>
      <c r="AZ7" s="401" t="b">
        <f t="shared" si="17"/>
        <v>0</v>
      </c>
      <c r="BA7" s="401" t="b">
        <f t="shared" si="18"/>
        <v>0</v>
      </c>
      <c r="BC7" t="str">
        <f>'Ashed teabags wet'!A5</f>
        <v>G216</v>
      </c>
      <c r="BD7" t="str">
        <f>'Ashed teabags wet'!A422</f>
        <v>R103</v>
      </c>
      <c r="BE7" t="b">
        <f t="shared" si="19"/>
        <v>0</v>
      </c>
      <c r="BF7" t="b">
        <f t="shared" si="20"/>
        <v>0</v>
      </c>
      <c r="BG7">
        <f>IFERROR('Ashed teabags wet'!C5,"")</f>
        <v>173</v>
      </c>
      <c r="BH7">
        <f>IFERROR('Ashed teabags wet'!C422,"")</f>
        <v>218</v>
      </c>
      <c r="BI7">
        <f>'Ashed teabags wet'!AB5</f>
        <v>172</v>
      </c>
      <c r="BJ7" t="str">
        <f>'Ashed teabags wet'!AC5</f>
        <v/>
      </c>
      <c r="BK7" t="str">
        <f>'Ashed teabags wet'!AD422</f>
        <v/>
      </c>
      <c r="BL7">
        <f>'Ashed teabags wet'!AE422</f>
        <v>217</v>
      </c>
      <c r="BN7" t="str">
        <f t="shared" si="21"/>
        <v>G214</v>
      </c>
      <c r="BO7" t="b">
        <f t="shared" si="23"/>
        <v>1</v>
      </c>
    </row>
    <row r="8" spans="2:73" ht="12" customHeight="1">
      <c r="B8" t="str">
        <f>TBIDry!H80</f>
        <v>G122</v>
      </c>
      <c r="C8" t="str">
        <f>TBIDry!I80</f>
        <v>R724</v>
      </c>
      <c r="D8" t="b">
        <f t="shared" si="0"/>
        <v>0</v>
      </c>
      <c r="E8" t="b">
        <f t="shared" si="1"/>
        <v>0</v>
      </c>
      <c r="G8" t="str">
        <f>TBIWet!H80</f>
        <v>G497</v>
      </c>
      <c r="H8" t="str">
        <f>TBIWet!I80</f>
        <v>R502</v>
      </c>
      <c r="I8" t="b">
        <f t="shared" si="2"/>
        <v>0</v>
      </c>
      <c r="J8" t="b">
        <f t="shared" si="22"/>
        <v>0</v>
      </c>
      <c r="L8" t="str">
        <f>'Both teabags AfterWet'!A7</f>
        <v>G216</v>
      </c>
      <c r="M8" t="str">
        <f>'Both teabags AfterWet'!A425</f>
        <v>R103</v>
      </c>
      <c r="N8" t="b">
        <f t="shared" si="3"/>
        <v>0</v>
      </c>
      <c r="O8" t="b">
        <f t="shared" si="4"/>
        <v>0</v>
      </c>
      <c r="P8">
        <f>IFERROR('Both teabags AfterWet'!B7,"")</f>
        <v>173</v>
      </c>
      <c r="Q8" t="str">
        <f>'Both teabags AfterWet'!B425</f>
        <v>n.a</v>
      </c>
      <c r="S8" s="401" t="b">
        <f t="shared" si="5"/>
        <v>0</v>
      </c>
      <c r="T8" s="401" t="b">
        <f t="shared" si="6"/>
        <v>0</v>
      </c>
      <c r="V8" t="str">
        <f>'Both teabags AfterDry'!A7</f>
        <v>G105</v>
      </c>
      <c r="W8" t="str">
        <f>'Both teabags AfterDry'!A344</f>
        <v>R127</v>
      </c>
      <c r="X8" t="b">
        <f t="shared" si="7"/>
        <v>0</v>
      </c>
      <c r="Y8" t="b">
        <f t="shared" si="8"/>
        <v>0</v>
      </c>
      <c r="AA8" t="str">
        <f>'Green_rooibos initial weight'!A9</f>
        <v>G5</v>
      </c>
      <c r="AB8" t="str">
        <f>'Green_rooibos initial weight'!A913</f>
        <v>R5</v>
      </c>
      <c r="AC8" t="b">
        <f t="shared" si="9"/>
        <v>0</v>
      </c>
      <c r="AD8" t="b">
        <f t="shared" si="10"/>
        <v>0</v>
      </c>
      <c r="AG8" t="str">
        <f>'WetLitterbags placem_collection'!K7</f>
        <v>G497</v>
      </c>
      <c r="AH8" t="str">
        <f>'WetLitterbags placem_collection'!M7</f>
        <v>R502</v>
      </c>
      <c r="AI8" t="b">
        <f t="shared" si="11"/>
        <v>0</v>
      </c>
      <c r="AJ8" t="b">
        <f t="shared" si="12"/>
        <v>0</v>
      </c>
      <c r="AK8">
        <f>'WetLitterbags placem_collection'!A7</f>
        <v>5</v>
      </c>
      <c r="AL8">
        <f>'WetLitterbags placem_collection'!A7</f>
        <v>5</v>
      </c>
      <c r="AN8">
        <f>IF('Dry_Litterbag Placem_Collection'!J7=0,"",'Dry_Litterbag Placem_Collection'!J7)</f>
        <v>122</v>
      </c>
      <c r="AO8">
        <f>IF('Dry_Litterbag Placem_Collection'!K7=0,"",'Dry_Litterbag Placem_Collection'!K7)</f>
        <v>724</v>
      </c>
      <c r="AP8" t="b">
        <f t="shared" si="13"/>
        <v>0</v>
      </c>
      <c r="AQ8" t="b">
        <f t="shared" si="14"/>
        <v>0</v>
      </c>
      <c r="AT8" t="str">
        <f>'Ashed teabags dry'!A6</f>
        <v>G105</v>
      </c>
      <c r="AU8" t="str">
        <f>'Ashed teabags dry'!A343</f>
        <v>R127</v>
      </c>
      <c r="AV8" t="b">
        <f t="shared" si="15"/>
        <v>0</v>
      </c>
      <c r="AW8" t="b">
        <f t="shared" si="16"/>
        <v>0</v>
      </c>
      <c r="AZ8" s="401" t="b">
        <f t="shared" si="17"/>
        <v>0</v>
      </c>
      <c r="BA8" s="401" t="b">
        <f t="shared" si="18"/>
        <v>0</v>
      </c>
      <c r="BC8" t="str">
        <f>'Ashed teabags wet'!A6</f>
        <v>G217</v>
      </c>
      <c r="BD8" t="str">
        <f>'Ashed teabags wet'!A423</f>
        <v>R104</v>
      </c>
      <c r="BE8" t="b">
        <f t="shared" si="19"/>
        <v>0</v>
      </c>
      <c r="BF8" t="b">
        <f t="shared" si="20"/>
        <v>0</v>
      </c>
      <c r="BG8">
        <f>IFERROR('Ashed teabags wet'!C6,"")</f>
        <v>79</v>
      </c>
      <c r="BH8">
        <f>IFERROR('Ashed teabags wet'!C423,"")</f>
        <v>25</v>
      </c>
      <c r="BI8">
        <f>'Ashed teabags wet'!AB6</f>
        <v>78</v>
      </c>
      <c r="BJ8" t="str">
        <f>'Ashed teabags wet'!AC6</f>
        <v/>
      </c>
      <c r="BK8" t="str">
        <f>'Ashed teabags wet'!AD423</f>
        <v/>
      </c>
      <c r="BL8">
        <f>'Ashed teabags wet'!AE423</f>
        <v>24</v>
      </c>
      <c r="BN8" t="str">
        <f t="shared" si="21"/>
        <v>G216</v>
      </c>
      <c r="BO8" t="b">
        <f t="shared" si="23"/>
        <v>1</v>
      </c>
    </row>
    <row r="9" spans="2:73" ht="12" customHeight="1">
      <c r="B9" t="str">
        <f>TBIDry!H81</f>
        <v>G478</v>
      </c>
      <c r="C9" t="str">
        <f>TBIDry!I81</f>
        <v>R688</v>
      </c>
      <c r="D9" t="b">
        <f t="shared" si="0"/>
        <v>0</v>
      </c>
      <c r="E9" t="b">
        <f t="shared" si="1"/>
        <v>0</v>
      </c>
      <c r="G9" t="str">
        <f>TBIWet!H81</f>
        <v>G447</v>
      </c>
      <c r="H9" t="str">
        <f>TBIWet!I81</f>
        <v>R177</v>
      </c>
      <c r="I9" t="b">
        <f t="shared" si="2"/>
        <v>0</v>
      </c>
      <c r="J9" t="b">
        <f t="shared" si="22"/>
        <v>0</v>
      </c>
      <c r="L9" t="str">
        <f>'Both teabags AfterWet'!A8</f>
        <v>G217</v>
      </c>
      <c r="M9" t="str">
        <f>'Both teabags AfterWet'!A426</f>
        <v>R104</v>
      </c>
      <c r="N9" t="b">
        <f t="shared" si="3"/>
        <v>0</v>
      </c>
      <c r="O9" t="b">
        <f t="shared" si="4"/>
        <v>0</v>
      </c>
      <c r="P9">
        <f>IFERROR('Both teabags AfterWet'!B8,"")</f>
        <v>79</v>
      </c>
      <c r="Q9" t="str">
        <f>'Both teabags AfterWet'!B426</f>
        <v>n.a</v>
      </c>
      <c r="S9" s="401" t="b">
        <f t="shared" si="5"/>
        <v>0</v>
      </c>
      <c r="T9" s="401" t="b">
        <f t="shared" si="6"/>
        <v>0</v>
      </c>
      <c r="V9" t="str">
        <f>'Both teabags AfterDry'!A8</f>
        <v>G106</v>
      </c>
      <c r="W9" t="str">
        <f>'Both teabags AfterDry'!A345</f>
        <v>R13</v>
      </c>
      <c r="X9" t="b">
        <f t="shared" si="7"/>
        <v>0</v>
      </c>
      <c r="Y9" t="b">
        <f t="shared" si="8"/>
        <v>0</v>
      </c>
      <c r="AA9" t="str">
        <f>'Green_rooibos initial weight'!A10</f>
        <v>G6</v>
      </c>
      <c r="AB9" t="str">
        <f>'Green_rooibos initial weight'!A914</f>
        <v>R6</v>
      </c>
      <c r="AC9" t="b">
        <f t="shared" si="9"/>
        <v>0</v>
      </c>
      <c r="AD9" t="b">
        <f t="shared" si="10"/>
        <v>0</v>
      </c>
      <c r="AG9" t="str">
        <f>'WetLitterbags placem_collection'!K8</f>
        <v>G447</v>
      </c>
      <c r="AH9" t="str">
        <f>'WetLitterbags placem_collection'!M8</f>
        <v>R177</v>
      </c>
      <c r="AI9" t="b">
        <f t="shared" si="11"/>
        <v>0</v>
      </c>
      <c r="AJ9" t="b">
        <f t="shared" si="12"/>
        <v>0</v>
      </c>
      <c r="AK9">
        <f>'WetLitterbags placem_collection'!A8</f>
        <v>6</v>
      </c>
      <c r="AL9">
        <f>'WetLitterbags placem_collection'!A8</f>
        <v>6</v>
      </c>
      <c r="AN9">
        <f>IF('Dry_Litterbag Placem_Collection'!J8=0,"",'Dry_Litterbag Placem_Collection'!J8)</f>
        <v>478</v>
      </c>
      <c r="AO9">
        <f>IF('Dry_Litterbag Placem_Collection'!K8=0,"",'Dry_Litterbag Placem_Collection'!K8)</f>
        <v>688</v>
      </c>
      <c r="AP9" t="b">
        <f t="shared" si="13"/>
        <v>0</v>
      </c>
      <c r="AQ9" t="b">
        <f t="shared" si="14"/>
        <v>0</v>
      </c>
      <c r="AT9" t="str">
        <f>'Ashed teabags dry'!A7</f>
        <v>G106</v>
      </c>
      <c r="AU9" t="str">
        <f>'Ashed teabags dry'!A344</f>
        <v>R13</v>
      </c>
      <c r="AV9" t="b">
        <f t="shared" si="15"/>
        <v>0</v>
      </c>
      <c r="AW9" t="b">
        <f t="shared" si="16"/>
        <v>0</v>
      </c>
      <c r="AZ9" s="401" t="b">
        <f t="shared" si="17"/>
        <v>0</v>
      </c>
      <c r="BA9" s="401" t="b">
        <f t="shared" si="18"/>
        <v>0</v>
      </c>
      <c r="BC9" t="str">
        <f>'Ashed teabags wet'!A7</f>
        <v>G222</v>
      </c>
      <c r="BD9" t="str">
        <f>'Ashed teabags wet'!A424</f>
        <v>R105</v>
      </c>
      <c r="BE9" t="b">
        <f t="shared" si="19"/>
        <v>0</v>
      </c>
      <c r="BF9" t="b">
        <f t="shared" si="20"/>
        <v>0</v>
      </c>
      <c r="BG9">
        <f>IFERROR('Ashed teabags wet'!C7,"")</f>
        <v>15</v>
      </c>
      <c r="BH9">
        <f>IFERROR('Ashed teabags wet'!C424,"")</f>
        <v>173</v>
      </c>
      <c r="BI9">
        <f>'Ashed teabags wet'!AB7</f>
        <v>14</v>
      </c>
      <c r="BJ9" t="str">
        <f>'Ashed teabags wet'!AC7</f>
        <v/>
      </c>
      <c r="BK9" t="str">
        <f>'Ashed teabags wet'!AD424</f>
        <v/>
      </c>
      <c r="BL9">
        <f>'Ashed teabags wet'!AE424</f>
        <v>172</v>
      </c>
      <c r="BN9" t="str">
        <f t="shared" si="21"/>
        <v>G217</v>
      </c>
      <c r="BO9" t="b">
        <f t="shared" si="23"/>
        <v>1</v>
      </c>
    </row>
    <row r="10" spans="2:73" ht="12" customHeight="1">
      <c r="B10" t="str">
        <f>TBIDry!H82</f>
        <v>G106</v>
      </c>
      <c r="C10" t="str">
        <f>TBIDry!I82</f>
        <v>R762</v>
      </c>
      <c r="D10" t="b">
        <f t="shared" si="0"/>
        <v>0</v>
      </c>
      <c r="E10" t="b">
        <f t="shared" si="1"/>
        <v>0</v>
      </c>
      <c r="G10" t="str">
        <f>TBIWet!H82</f>
        <v>G452</v>
      </c>
      <c r="H10" t="str">
        <f>TBIWet!I82</f>
        <v>R531</v>
      </c>
      <c r="I10" t="b">
        <f t="shared" si="2"/>
        <v>0</v>
      </c>
      <c r="J10" t="b">
        <f t="shared" si="22"/>
        <v>0</v>
      </c>
      <c r="L10" t="str">
        <f>'Both teabags AfterWet'!A9</f>
        <v>G222</v>
      </c>
      <c r="M10" t="str">
        <f>'Both teabags AfterWet'!A427</f>
        <v>R105</v>
      </c>
      <c r="N10" t="b">
        <f t="shared" si="3"/>
        <v>0</v>
      </c>
      <c r="O10" t="b">
        <f t="shared" si="4"/>
        <v>0</v>
      </c>
      <c r="P10">
        <f>IFERROR('Both teabags AfterWet'!B9,"")</f>
        <v>15</v>
      </c>
      <c r="Q10">
        <f>'Both teabags AfterWet'!B427</f>
        <v>173</v>
      </c>
      <c r="S10" s="401" t="b">
        <f t="shared" si="5"/>
        <v>0</v>
      </c>
      <c r="T10" s="401" t="b">
        <f t="shared" si="6"/>
        <v>0</v>
      </c>
      <c r="V10" t="str">
        <f>'Both teabags AfterDry'!A9</f>
        <v>G107</v>
      </c>
      <c r="W10" t="str">
        <f>'Both teabags AfterDry'!A346</f>
        <v>R131</v>
      </c>
      <c r="X10" t="b">
        <f t="shared" si="7"/>
        <v>0</v>
      </c>
      <c r="Y10" t="b">
        <f t="shared" si="8"/>
        <v>0</v>
      </c>
      <c r="AA10" t="str">
        <f>'Green_rooibos initial weight'!A11</f>
        <v>G7</v>
      </c>
      <c r="AB10" t="str">
        <f>'Green_rooibos initial weight'!A915</f>
        <v>R7</v>
      </c>
      <c r="AC10" t="b">
        <f t="shared" si="9"/>
        <v>0</v>
      </c>
      <c r="AD10" t="b">
        <f t="shared" si="10"/>
        <v>0</v>
      </c>
      <c r="AG10" t="str">
        <f>'WetLitterbags placem_collection'!K9</f>
        <v>G452</v>
      </c>
      <c r="AH10" t="str">
        <f>'WetLitterbags placem_collection'!M9</f>
        <v>R531</v>
      </c>
      <c r="AI10" t="b">
        <f t="shared" si="11"/>
        <v>0</v>
      </c>
      <c r="AJ10" t="b">
        <f t="shared" si="12"/>
        <v>0</v>
      </c>
      <c r="AK10">
        <f>'WetLitterbags placem_collection'!A9</f>
        <v>7</v>
      </c>
      <c r="AL10">
        <f>'WetLitterbags placem_collection'!A9</f>
        <v>7</v>
      </c>
      <c r="AN10">
        <f>IF('Dry_Litterbag Placem_Collection'!J9=0,"",'Dry_Litterbag Placem_Collection'!J9)</f>
        <v>106</v>
      </c>
      <c r="AO10">
        <f>IF('Dry_Litterbag Placem_Collection'!K9=0,"",'Dry_Litterbag Placem_Collection'!K9)</f>
        <v>762</v>
      </c>
      <c r="AP10" t="b">
        <f t="shared" si="13"/>
        <v>0</v>
      </c>
      <c r="AQ10" t="b">
        <f t="shared" si="14"/>
        <v>0</v>
      </c>
      <c r="AT10" t="str">
        <f>'Ashed teabags dry'!A8</f>
        <v>G107</v>
      </c>
      <c r="AU10" t="str">
        <f>'Ashed teabags dry'!A345</f>
        <v>R131</v>
      </c>
      <c r="AV10" t="b">
        <f t="shared" si="15"/>
        <v>0</v>
      </c>
      <c r="AW10" t="b">
        <f t="shared" si="16"/>
        <v>0</v>
      </c>
      <c r="AZ10" s="401" t="b">
        <f t="shared" si="17"/>
        <v>0</v>
      </c>
      <c r="BA10" s="401" t="b">
        <f t="shared" si="18"/>
        <v>0</v>
      </c>
      <c r="BC10" t="str">
        <f>'Ashed teabags wet'!A8</f>
        <v>G240</v>
      </c>
      <c r="BD10" t="str">
        <f>'Ashed teabags wet'!A425</f>
        <v>R107</v>
      </c>
      <c r="BE10" t="b">
        <f t="shared" si="19"/>
        <v>0</v>
      </c>
      <c r="BF10" t="b">
        <f t="shared" si="20"/>
        <v>0</v>
      </c>
      <c r="BG10">
        <f>IFERROR('Ashed teabags wet'!C8,"")</f>
        <v>19</v>
      </c>
      <c r="BH10">
        <f>IFERROR('Ashed teabags wet'!C425,"")</f>
        <v>48</v>
      </c>
      <c r="BI10">
        <f>'Ashed teabags wet'!AB8</f>
        <v>18</v>
      </c>
      <c r="BJ10" t="str">
        <f>'Ashed teabags wet'!AC8</f>
        <v/>
      </c>
      <c r="BK10" t="str">
        <f>'Ashed teabags wet'!AD425</f>
        <v/>
      </c>
      <c r="BL10">
        <f>'Ashed teabags wet'!AE425</f>
        <v>47</v>
      </c>
      <c r="BN10" t="str">
        <f t="shared" si="21"/>
        <v>G222</v>
      </c>
      <c r="BO10" t="b">
        <f t="shared" si="23"/>
        <v>1</v>
      </c>
    </row>
    <row r="11" spans="2:73" ht="12" customHeight="1">
      <c r="B11" t="str">
        <f>TBIDry!H83</f>
        <v>G228</v>
      </c>
      <c r="C11" t="str">
        <f>TBIDry!I83</f>
        <v>R727</v>
      </c>
      <c r="D11" t="b">
        <f t="shared" si="0"/>
        <v>0</v>
      </c>
      <c r="E11" t="b">
        <f t="shared" si="1"/>
        <v>0</v>
      </c>
      <c r="G11" t="str">
        <f>TBIWet!H83</f>
        <v>G389</v>
      </c>
      <c r="H11" t="str">
        <f>TBIWet!I83</f>
        <v>R406</v>
      </c>
      <c r="I11" t="b">
        <f t="shared" si="2"/>
        <v>0</v>
      </c>
      <c r="J11" t="b">
        <f t="shared" si="22"/>
        <v>0</v>
      </c>
      <c r="L11" t="str">
        <f>'Both teabags AfterWet'!A10</f>
        <v>G240</v>
      </c>
      <c r="M11" t="str">
        <f>'Both teabags AfterWet'!A428</f>
        <v>R107</v>
      </c>
      <c r="N11" t="b">
        <f t="shared" si="3"/>
        <v>0</v>
      </c>
      <c r="O11" t="b">
        <f t="shared" si="4"/>
        <v>0</v>
      </c>
      <c r="P11" t="str">
        <f>IFERROR('Both teabags AfterWet'!B10,"")</f>
        <v>n.a</v>
      </c>
      <c r="Q11">
        <f>'Both teabags AfterWet'!B428</f>
        <v>46</v>
      </c>
      <c r="S11" s="401" t="b">
        <f t="shared" si="5"/>
        <v>0</v>
      </c>
      <c r="T11" s="401" t="b">
        <f t="shared" si="6"/>
        <v>0</v>
      </c>
      <c r="V11" t="str">
        <f>'Both teabags AfterDry'!A10</f>
        <v>G109</v>
      </c>
      <c r="W11" t="str">
        <f>'Both teabags AfterDry'!A347</f>
        <v>R140</v>
      </c>
      <c r="X11" t="b">
        <f t="shared" si="7"/>
        <v>0</v>
      </c>
      <c r="Y11" t="b">
        <f t="shared" si="8"/>
        <v>0</v>
      </c>
      <c r="AA11" t="str">
        <f>'Green_rooibos initial weight'!A12</f>
        <v>G8</v>
      </c>
      <c r="AB11" t="str">
        <f>'Green_rooibos initial weight'!A916</f>
        <v>R8</v>
      </c>
      <c r="AC11" t="b">
        <f t="shared" si="9"/>
        <v>0</v>
      </c>
      <c r="AD11" t="b">
        <f t="shared" si="10"/>
        <v>0</v>
      </c>
      <c r="AG11" t="str">
        <f>'WetLitterbags placem_collection'!K10</f>
        <v>G389</v>
      </c>
      <c r="AH11" t="str">
        <f>'WetLitterbags placem_collection'!M10</f>
        <v>R406</v>
      </c>
      <c r="AI11" t="b">
        <f t="shared" si="11"/>
        <v>0</v>
      </c>
      <c r="AJ11" t="b">
        <f t="shared" si="12"/>
        <v>0</v>
      </c>
      <c r="AK11">
        <f>'WetLitterbags placem_collection'!A10</f>
        <v>8</v>
      </c>
      <c r="AL11">
        <f>'WetLitterbags placem_collection'!A10</f>
        <v>8</v>
      </c>
      <c r="AN11">
        <f>IF('Dry_Litterbag Placem_Collection'!J10=0,"",'Dry_Litterbag Placem_Collection'!J10)</f>
        <v>228</v>
      </c>
      <c r="AO11">
        <f>IF('Dry_Litterbag Placem_Collection'!K10=0,"",'Dry_Litterbag Placem_Collection'!K10)</f>
        <v>727</v>
      </c>
      <c r="AP11" t="b">
        <f t="shared" si="13"/>
        <v>0</v>
      </c>
      <c r="AQ11" t="b">
        <f t="shared" si="14"/>
        <v>0</v>
      </c>
      <c r="AT11" t="str">
        <f>'Ashed teabags dry'!A9</f>
        <v>G109</v>
      </c>
      <c r="AU11" t="str">
        <f>'Ashed teabags dry'!A346</f>
        <v>R140</v>
      </c>
      <c r="AV11" t="b">
        <f t="shared" si="15"/>
        <v>0</v>
      </c>
      <c r="AW11" t="b">
        <f t="shared" si="16"/>
        <v>0</v>
      </c>
      <c r="AZ11" s="401" t="b">
        <f t="shared" si="17"/>
        <v>0</v>
      </c>
      <c r="BA11" s="401" t="b">
        <f t="shared" si="18"/>
        <v>0</v>
      </c>
      <c r="BC11" t="str">
        <f>'Ashed teabags wet'!A9</f>
        <v>G241</v>
      </c>
      <c r="BD11" t="str">
        <f>'Ashed teabags wet'!A426</f>
        <v>R11</v>
      </c>
      <c r="BE11" t="b">
        <f t="shared" si="19"/>
        <v>0</v>
      </c>
      <c r="BF11" t="b">
        <f t="shared" si="20"/>
        <v>0</v>
      </c>
      <c r="BG11">
        <f>IFERROR('Ashed teabags wet'!C9,"")</f>
        <v>13</v>
      </c>
      <c r="BH11">
        <f>IFERROR('Ashed teabags wet'!C426,"")</f>
        <v>122</v>
      </c>
      <c r="BI11" t="str">
        <f>'Ashed teabags wet'!AB9</f>
        <v/>
      </c>
      <c r="BJ11">
        <f>'Ashed teabags wet'!AC9</f>
        <v>12</v>
      </c>
      <c r="BK11">
        <f>'Ashed teabags wet'!AD426</f>
        <v>121</v>
      </c>
      <c r="BL11" t="str">
        <f>'Ashed teabags wet'!AE426</f>
        <v/>
      </c>
      <c r="BN11" t="str">
        <f t="shared" si="21"/>
        <v>G240</v>
      </c>
      <c r="BO11" t="b">
        <f t="shared" si="23"/>
        <v>1</v>
      </c>
    </row>
    <row r="12" spans="2:73" ht="12" customHeight="1">
      <c r="B12" t="str">
        <f>TBIDry!H84</f>
        <v>G277</v>
      </c>
      <c r="C12" t="str">
        <f>TBIDry!I84</f>
        <v>R785</v>
      </c>
      <c r="D12" t="b">
        <f t="shared" si="0"/>
        <v>0</v>
      </c>
      <c r="E12" t="b">
        <f t="shared" si="1"/>
        <v>0</v>
      </c>
      <c r="G12" t="str">
        <f>TBIWet!H84</f>
        <v>G514</v>
      </c>
      <c r="H12" t="str">
        <f>TBIWet!I84</f>
        <v>R169</v>
      </c>
      <c r="I12" t="b">
        <f t="shared" si="2"/>
        <v>0</v>
      </c>
      <c r="J12" t="b">
        <f t="shared" si="22"/>
        <v>0</v>
      </c>
      <c r="L12" t="str">
        <f>'Both teabags AfterWet'!A11</f>
        <v>G241</v>
      </c>
      <c r="M12" t="str">
        <f>'Both teabags AfterWet'!A429</f>
        <v>R109</v>
      </c>
      <c r="N12" t="b">
        <f t="shared" si="3"/>
        <v>0</v>
      </c>
      <c r="O12" t="b">
        <f t="shared" si="4"/>
        <v>0</v>
      </c>
      <c r="P12" t="str">
        <f>IFERROR('Both teabags AfterWet'!B11,"")</f>
        <v>n.a</v>
      </c>
      <c r="Q12">
        <f>'Both teabags AfterWet'!B429</f>
        <v>33</v>
      </c>
      <c r="S12" s="401" t="b">
        <f t="shared" si="5"/>
        <v>0</v>
      </c>
      <c r="T12" s="401" t="b">
        <f t="shared" si="6"/>
        <v>0</v>
      </c>
      <c r="V12" t="str">
        <f>'Both teabags AfterDry'!A11</f>
        <v>G11</v>
      </c>
      <c r="W12" t="str">
        <f>'Both teabags AfterDry'!A348</f>
        <v>R162</v>
      </c>
      <c r="X12" t="b">
        <f t="shared" si="7"/>
        <v>0</v>
      </c>
      <c r="Y12" t="b">
        <f t="shared" si="8"/>
        <v>0</v>
      </c>
      <c r="AA12" t="str">
        <f>'Green_rooibos initial weight'!A13</f>
        <v>G9</v>
      </c>
      <c r="AB12" t="str">
        <f>'Green_rooibos initial weight'!A917</f>
        <v>R9</v>
      </c>
      <c r="AC12" t="b">
        <f t="shared" si="9"/>
        <v>0</v>
      </c>
      <c r="AD12" t="b">
        <f t="shared" si="10"/>
        <v>0</v>
      </c>
      <c r="AG12" t="str">
        <f>'WetLitterbags placem_collection'!K11</f>
        <v>G514</v>
      </c>
      <c r="AH12" t="str">
        <f>'WetLitterbags placem_collection'!M11</f>
        <v>R169</v>
      </c>
      <c r="AI12" t="b">
        <f t="shared" si="11"/>
        <v>0</v>
      </c>
      <c r="AJ12" t="b">
        <f t="shared" si="12"/>
        <v>0</v>
      </c>
      <c r="AK12">
        <f>'WetLitterbags placem_collection'!A11</f>
        <v>9</v>
      </c>
      <c r="AL12">
        <f>'WetLitterbags placem_collection'!A11</f>
        <v>9</v>
      </c>
      <c r="AN12">
        <f>IF('Dry_Litterbag Placem_Collection'!J11=0,"",'Dry_Litterbag Placem_Collection'!J11)</f>
        <v>277</v>
      </c>
      <c r="AO12">
        <f>IF('Dry_Litterbag Placem_Collection'!K11=0,"",'Dry_Litterbag Placem_Collection'!K11)</f>
        <v>785</v>
      </c>
      <c r="AP12" t="b">
        <f t="shared" si="13"/>
        <v>0</v>
      </c>
      <c r="AQ12" t="b">
        <f t="shared" si="14"/>
        <v>0</v>
      </c>
      <c r="AT12" t="str">
        <f>'Ashed teabags dry'!A10</f>
        <v>G11</v>
      </c>
      <c r="AU12" t="str">
        <f>'Ashed teabags dry'!A347</f>
        <v>R162</v>
      </c>
      <c r="AV12" t="b">
        <f t="shared" si="15"/>
        <v>0</v>
      </c>
      <c r="AW12" t="b">
        <f t="shared" si="16"/>
        <v>0</v>
      </c>
      <c r="AZ12" s="401" t="b">
        <f t="shared" si="17"/>
        <v>0</v>
      </c>
      <c r="BA12" s="401" t="b">
        <f t="shared" si="18"/>
        <v>0</v>
      </c>
      <c r="BC12" t="str">
        <f>'Ashed teabags wet'!A10</f>
        <v>G249</v>
      </c>
      <c r="BD12" t="str">
        <f>'Ashed teabags wet'!A427</f>
        <v>R110</v>
      </c>
      <c r="BE12" t="b">
        <f t="shared" si="19"/>
        <v>0</v>
      </c>
      <c r="BF12" t="b">
        <f t="shared" si="20"/>
        <v>0</v>
      </c>
      <c r="BG12">
        <f>IFERROR('Ashed teabags wet'!C10,"")</f>
        <v>79</v>
      </c>
      <c r="BH12">
        <f>IFERROR('Ashed teabags wet'!C427,"")</f>
        <v>20</v>
      </c>
      <c r="BI12" t="str">
        <f>'Ashed teabags wet'!AB10</f>
        <v/>
      </c>
      <c r="BJ12">
        <f>'Ashed teabags wet'!AC10</f>
        <v>78</v>
      </c>
      <c r="BK12" t="str">
        <f>'Ashed teabags wet'!AD427</f>
        <v/>
      </c>
      <c r="BL12">
        <f>'Ashed teabags wet'!AE427</f>
        <v>19</v>
      </c>
      <c r="BN12" t="str">
        <f t="shared" si="21"/>
        <v>G241</v>
      </c>
      <c r="BO12" t="b">
        <f t="shared" si="23"/>
        <v>1</v>
      </c>
    </row>
    <row r="13" spans="2:73" ht="12" customHeight="1">
      <c r="B13" t="str">
        <f>TBIDry!H85</f>
        <v>G310</v>
      </c>
      <c r="C13" t="str">
        <f>TBIDry!I85</f>
        <v>R747</v>
      </c>
      <c r="D13" t="b">
        <f t="shared" si="0"/>
        <v>0</v>
      </c>
      <c r="E13" t="b">
        <f t="shared" si="1"/>
        <v>0</v>
      </c>
      <c r="G13" t="str">
        <f>TBIWet!H85</f>
        <v>G286</v>
      </c>
      <c r="H13" t="str">
        <f>TBIWet!I85</f>
        <v>R91</v>
      </c>
      <c r="I13" t="b">
        <f t="shared" si="2"/>
        <v>0</v>
      </c>
      <c r="J13" t="b">
        <f t="shared" si="22"/>
        <v>0</v>
      </c>
      <c r="L13" t="str">
        <f>'Both teabags AfterWet'!A12</f>
        <v>G249</v>
      </c>
      <c r="M13" t="str">
        <f>'Both teabags AfterWet'!A430</f>
        <v>R11</v>
      </c>
      <c r="N13" t="b">
        <f t="shared" si="3"/>
        <v>0</v>
      </c>
      <c r="O13" t="b">
        <f t="shared" si="4"/>
        <v>0</v>
      </c>
      <c r="P13">
        <f>IFERROR('Both teabags AfterWet'!B12,"")</f>
        <v>79</v>
      </c>
      <c r="Q13">
        <f>'Both teabags AfterWet'!B430</f>
        <v>122</v>
      </c>
      <c r="S13" s="401" t="b">
        <f t="shared" si="5"/>
        <v>0</v>
      </c>
      <c r="T13" s="401" t="b">
        <f t="shared" si="6"/>
        <v>0</v>
      </c>
      <c r="V13" t="str">
        <f>'Both teabags AfterDry'!A12</f>
        <v>G110</v>
      </c>
      <c r="W13" t="str">
        <f>'Both teabags AfterDry'!A349</f>
        <v>R163</v>
      </c>
      <c r="X13" t="b">
        <f t="shared" si="7"/>
        <v>0</v>
      </c>
      <c r="Y13" t="b">
        <f t="shared" si="8"/>
        <v>0</v>
      </c>
      <c r="AA13" t="str">
        <f>'Green_rooibos initial weight'!A14</f>
        <v>G10</v>
      </c>
      <c r="AB13" t="str">
        <f>'Green_rooibos initial weight'!A918</f>
        <v>R10</v>
      </c>
      <c r="AC13" t="b">
        <f t="shared" si="9"/>
        <v>0</v>
      </c>
      <c r="AD13" t="b">
        <f t="shared" si="10"/>
        <v>0</v>
      </c>
      <c r="AG13" t="str">
        <f>'WetLitterbags placem_collection'!K12</f>
        <v>G286</v>
      </c>
      <c r="AH13" t="str">
        <f>'WetLitterbags placem_collection'!M12</f>
        <v>R91</v>
      </c>
      <c r="AI13" t="b">
        <f t="shared" si="11"/>
        <v>0</v>
      </c>
      <c r="AJ13" t="b">
        <f t="shared" si="12"/>
        <v>0</v>
      </c>
      <c r="AK13">
        <f>'WetLitterbags placem_collection'!A12</f>
        <v>10</v>
      </c>
      <c r="AL13">
        <f>'WetLitterbags placem_collection'!A12</f>
        <v>10</v>
      </c>
      <c r="AN13">
        <f>IF('Dry_Litterbag Placem_Collection'!J12=0,"",'Dry_Litterbag Placem_Collection'!J12)</f>
        <v>310</v>
      </c>
      <c r="AO13">
        <f>IF('Dry_Litterbag Placem_Collection'!K12=0,"",'Dry_Litterbag Placem_Collection'!K12)</f>
        <v>747</v>
      </c>
      <c r="AP13" t="b">
        <f t="shared" si="13"/>
        <v>0</v>
      </c>
      <c r="AQ13" t="b">
        <f t="shared" si="14"/>
        <v>0</v>
      </c>
      <c r="AT13" t="str">
        <f>'Ashed teabags dry'!A11</f>
        <v>G110</v>
      </c>
      <c r="AU13" t="str">
        <f>'Ashed teabags dry'!A348</f>
        <v>R163</v>
      </c>
      <c r="AV13" t="b">
        <f t="shared" si="15"/>
        <v>0</v>
      </c>
      <c r="AW13" t="b">
        <f t="shared" si="16"/>
        <v>0</v>
      </c>
      <c r="AZ13" s="401" t="b">
        <f t="shared" si="17"/>
        <v>0</v>
      </c>
      <c r="BA13" s="401" t="b">
        <f t="shared" si="18"/>
        <v>0</v>
      </c>
      <c r="BC13" t="str">
        <f>'Ashed teabags wet'!A11</f>
        <v>G251</v>
      </c>
      <c r="BD13" t="str">
        <f>'Ashed teabags wet'!A428</f>
        <v>R111</v>
      </c>
      <c r="BE13" t="b">
        <f t="shared" si="19"/>
        <v>0</v>
      </c>
      <c r="BF13" t="b">
        <f t="shared" si="20"/>
        <v>0</v>
      </c>
      <c r="BG13">
        <f>IFERROR('Ashed teabags wet'!C11,"")</f>
        <v>218</v>
      </c>
      <c r="BH13">
        <f>IFERROR('Ashed teabags wet'!C428,"")</f>
        <v>213</v>
      </c>
      <c r="BI13">
        <f>'Ashed teabags wet'!AB11</f>
        <v>217</v>
      </c>
      <c r="BJ13" t="str">
        <f>'Ashed teabags wet'!AC11</f>
        <v/>
      </c>
      <c r="BK13" t="str">
        <f>'Ashed teabags wet'!AD428</f>
        <v/>
      </c>
      <c r="BL13">
        <f>'Ashed teabags wet'!AE428</f>
        <v>212</v>
      </c>
      <c r="BN13" t="str">
        <f t="shared" si="21"/>
        <v>G249</v>
      </c>
      <c r="BO13" t="b">
        <f t="shared" si="23"/>
        <v>1</v>
      </c>
    </row>
    <row r="14" spans="2:73" ht="12" customHeight="1">
      <c r="B14" t="str">
        <f>TBIDry!H86</f>
        <v>G435</v>
      </c>
      <c r="C14" t="str">
        <f>TBIDry!I86</f>
        <v>R748</v>
      </c>
      <c r="D14" t="b">
        <f t="shared" si="0"/>
        <v>0</v>
      </c>
      <c r="E14" t="b">
        <f t="shared" si="1"/>
        <v>0</v>
      </c>
      <c r="G14" t="str">
        <f>TBIWet!H86</f>
        <v>G543</v>
      </c>
      <c r="H14" t="str">
        <f>TBIWet!I86</f>
        <v>R446</v>
      </c>
      <c r="I14" t="b">
        <f t="shared" si="2"/>
        <v>0</v>
      </c>
      <c r="J14" t="b">
        <f t="shared" si="22"/>
        <v>0</v>
      </c>
      <c r="L14" t="str">
        <f>'Both teabags AfterWet'!A13</f>
        <v>G251</v>
      </c>
      <c r="M14" t="str">
        <f>'Both teabags AfterWet'!A431</f>
        <v>R110</v>
      </c>
      <c r="N14" t="b">
        <f t="shared" si="3"/>
        <v>0</v>
      </c>
      <c r="O14" t="b">
        <f t="shared" si="4"/>
        <v>0</v>
      </c>
      <c r="P14" t="str">
        <f>IFERROR('Both teabags AfterWet'!B13,"")</f>
        <v>n.a</v>
      </c>
      <c r="Q14">
        <f>'Both teabags AfterWet'!B431</f>
        <v>20</v>
      </c>
      <c r="S14" s="401" t="b">
        <f t="shared" si="5"/>
        <v>0</v>
      </c>
      <c r="T14" s="401" t="b">
        <f t="shared" si="6"/>
        <v>0</v>
      </c>
      <c r="V14" t="str">
        <f>'Both teabags AfterDry'!A13</f>
        <v>G111</v>
      </c>
      <c r="W14" t="str">
        <f>'Both teabags AfterDry'!A350</f>
        <v>R170</v>
      </c>
      <c r="X14" t="b">
        <f t="shared" si="7"/>
        <v>0</v>
      </c>
      <c r="Y14" t="b">
        <f t="shared" si="8"/>
        <v>0</v>
      </c>
      <c r="AA14" t="str">
        <f>'Green_rooibos initial weight'!A15</f>
        <v>G11</v>
      </c>
      <c r="AB14" t="str">
        <f>'Green_rooibos initial weight'!A919</f>
        <v>R11</v>
      </c>
      <c r="AC14" t="b">
        <f t="shared" si="9"/>
        <v>0</v>
      </c>
      <c r="AD14" t="b">
        <f t="shared" si="10"/>
        <v>0</v>
      </c>
      <c r="AG14" t="str">
        <f>'WetLitterbags placem_collection'!K13</f>
        <v>G543</v>
      </c>
      <c r="AH14" t="str">
        <f>'WetLitterbags placem_collection'!M13</f>
        <v>R446</v>
      </c>
      <c r="AI14" t="b">
        <f t="shared" si="11"/>
        <v>0</v>
      </c>
      <c r="AJ14" t="b">
        <f t="shared" si="12"/>
        <v>0</v>
      </c>
      <c r="AK14">
        <f>'WetLitterbags placem_collection'!A13</f>
        <v>11</v>
      </c>
      <c r="AL14">
        <f>'WetLitterbags placem_collection'!A13</f>
        <v>11</v>
      </c>
      <c r="AN14">
        <f>IF('Dry_Litterbag Placem_Collection'!J13=0,"",'Dry_Litterbag Placem_Collection'!J13)</f>
        <v>435</v>
      </c>
      <c r="AO14">
        <f>IF('Dry_Litterbag Placem_Collection'!K13=0,"",'Dry_Litterbag Placem_Collection'!K13)</f>
        <v>748</v>
      </c>
      <c r="AP14" t="b">
        <f t="shared" si="13"/>
        <v>0</v>
      </c>
      <c r="AQ14" t="b">
        <f t="shared" si="14"/>
        <v>0</v>
      </c>
      <c r="AT14" t="str">
        <f>'Ashed teabags dry'!A12</f>
        <v>G111</v>
      </c>
      <c r="AU14" t="str">
        <f>'Ashed teabags dry'!A349</f>
        <v>R170</v>
      </c>
      <c r="AV14" t="b">
        <f t="shared" si="15"/>
        <v>0</v>
      </c>
      <c r="AW14" t="b">
        <f t="shared" si="16"/>
        <v>0</v>
      </c>
      <c r="AZ14" s="401" t="b">
        <f t="shared" si="17"/>
        <v>0</v>
      </c>
      <c r="BA14" s="401" t="b">
        <f t="shared" si="18"/>
        <v>0</v>
      </c>
      <c r="BC14" t="str">
        <f>'Ashed teabags wet'!A12</f>
        <v>G269</v>
      </c>
      <c r="BD14" t="str">
        <f>'Ashed teabags wet'!A429</f>
        <v>R112</v>
      </c>
      <c r="BE14" t="b">
        <f t="shared" si="19"/>
        <v>0</v>
      </c>
      <c r="BF14" t="b">
        <f t="shared" si="20"/>
        <v>0</v>
      </c>
      <c r="BG14">
        <f>IFERROR('Ashed teabags wet'!C12,"")</f>
        <v>68</v>
      </c>
      <c r="BH14">
        <f>IFERROR('Ashed teabags wet'!C429,"")</f>
        <v>27</v>
      </c>
      <c r="BI14">
        <f>'Ashed teabags wet'!AB12</f>
        <v>67</v>
      </c>
      <c r="BJ14" t="str">
        <f>'Ashed teabags wet'!AC12</f>
        <v/>
      </c>
      <c r="BK14">
        <f>'Ashed teabags wet'!AD429</f>
        <v>26</v>
      </c>
      <c r="BL14" t="str">
        <f>'Ashed teabags wet'!AE429</f>
        <v/>
      </c>
      <c r="BN14" t="str">
        <f t="shared" si="21"/>
        <v>G251</v>
      </c>
      <c r="BO14" t="b">
        <f t="shared" si="23"/>
        <v>1</v>
      </c>
    </row>
    <row r="15" spans="2:73" ht="12" customHeight="1">
      <c r="B15" t="str">
        <f>TBIDry!H87</f>
        <v/>
      </c>
      <c r="C15" t="str">
        <f>TBIDry!I87</f>
        <v/>
      </c>
      <c r="D15" t="b">
        <f t="shared" si="0"/>
        <v>1</v>
      </c>
      <c r="E15" t="b">
        <f t="shared" si="1"/>
        <v>1</v>
      </c>
      <c r="G15" t="str">
        <f>TBIWet!H87</f>
        <v>G590</v>
      </c>
      <c r="H15" t="str">
        <f>TBIWet!I87</f>
        <v>R409</v>
      </c>
      <c r="I15" t="b">
        <f t="shared" si="2"/>
        <v>0</v>
      </c>
      <c r="J15" t="b">
        <f t="shared" si="22"/>
        <v>0</v>
      </c>
      <c r="L15" t="str">
        <f>'Both teabags AfterWet'!A14</f>
        <v>G269</v>
      </c>
      <c r="M15" t="str">
        <f>'Both teabags AfterWet'!A432</f>
        <v>R111</v>
      </c>
      <c r="N15" t="b">
        <f t="shared" si="3"/>
        <v>0</v>
      </c>
      <c r="O15" t="b">
        <f t="shared" si="4"/>
        <v>0</v>
      </c>
      <c r="P15">
        <f>IFERROR('Both teabags AfterWet'!B14,"")</f>
        <v>68</v>
      </c>
      <c r="Q15">
        <f>'Both teabags AfterWet'!B432</f>
        <v>213</v>
      </c>
      <c r="S15" s="401" t="b">
        <f t="shared" si="5"/>
        <v>0</v>
      </c>
      <c r="T15" s="401" t="b">
        <f t="shared" si="6"/>
        <v>0</v>
      </c>
      <c r="V15" t="str">
        <f>'Both teabags AfterDry'!A14</f>
        <v>G112</v>
      </c>
      <c r="W15" t="str">
        <f>'Both teabags AfterDry'!A351</f>
        <v>R173</v>
      </c>
      <c r="X15" t="b">
        <f t="shared" si="7"/>
        <v>0</v>
      </c>
      <c r="Y15" t="b">
        <f t="shared" si="8"/>
        <v>0</v>
      </c>
      <c r="AA15" t="str">
        <f>'Green_rooibos initial weight'!A16</f>
        <v>G12</v>
      </c>
      <c r="AB15" t="str">
        <f>'Green_rooibos initial weight'!A920</f>
        <v>R12</v>
      </c>
      <c r="AC15" t="b">
        <f t="shared" si="9"/>
        <v>0</v>
      </c>
      <c r="AD15" t="b">
        <f t="shared" si="10"/>
        <v>0</v>
      </c>
      <c r="AG15" t="str">
        <f>'WetLitterbags placem_collection'!K14</f>
        <v>G590</v>
      </c>
      <c r="AH15" t="str">
        <f>'WetLitterbags placem_collection'!M14</f>
        <v>R409</v>
      </c>
      <c r="AI15" t="b">
        <f t="shared" si="11"/>
        <v>0</v>
      </c>
      <c r="AJ15" t="b">
        <f t="shared" si="12"/>
        <v>0</v>
      </c>
      <c r="AK15">
        <f>'WetLitterbags placem_collection'!A14</f>
        <v>12</v>
      </c>
      <c r="AL15">
        <f>'WetLitterbags placem_collection'!A14</f>
        <v>12</v>
      </c>
      <c r="AN15" t="str">
        <f>IF('Dry_Litterbag Placem_Collection'!J14=0,"",'Dry_Litterbag Placem_Collection'!J14)</f>
        <v/>
      </c>
      <c r="AO15" t="str">
        <f>IF('Dry_Litterbag Placem_Collection'!K14=0,"",'Dry_Litterbag Placem_Collection'!K14)</f>
        <v/>
      </c>
      <c r="AP15" t="b">
        <f t="shared" si="13"/>
        <v>1</v>
      </c>
      <c r="AQ15" t="b">
        <f t="shared" si="14"/>
        <v>1</v>
      </c>
      <c r="AT15" t="str">
        <f>'Ashed teabags dry'!A13</f>
        <v>G113</v>
      </c>
      <c r="AU15" t="str">
        <f>'Ashed teabags dry'!A350</f>
        <v>R173</v>
      </c>
      <c r="AV15" t="b">
        <f t="shared" si="15"/>
        <v>0</v>
      </c>
      <c r="AW15" t="b">
        <f t="shared" si="16"/>
        <v>0</v>
      </c>
      <c r="AZ15" s="401" t="b">
        <f t="shared" si="17"/>
        <v>0</v>
      </c>
      <c r="BA15" s="401" t="b">
        <f t="shared" si="18"/>
        <v>0</v>
      </c>
      <c r="BC15" t="str">
        <f>'Ashed teabags wet'!A13</f>
        <v>G281</v>
      </c>
      <c r="BD15" t="str">
        <f>'Ashed teabags wet'!A430</f>
        <v>R114</v>
      </c>
      <c r="BE15" t="b">
        <f t="shared" si="19"/>
        <v>0</v>
      </c>
      <c r="BF15" t="b">
        <f t="shared" si="20"/>
        <v>0</v>
      </c>
      <c r="BG15">
        <f>IFERROR('Ashed teabags wet'!C13,"")</f>
        <v>172</v>
      </c>
      <c r="BH15">
        <f>IFERROR('Ashed teabags wet'!C430,"")</f>
        <v>40</v>
      </c>
      <c r="BI15">
        <f>'Ashed teabags wet'!AB13</f>
        <v>171</v>
      </c>
      <c r="BJ15" t="str">
        <f>'Ashed teabags wet'!AC13</f>
        <v/>
      </c>
      <c r="BK15">
        <f>'Ashed teabags wet'!AD430</f>
        <v>39</v>
      </c>
      <c r="BL15" t="str">
        <f>'Ashed teabags wet'!AE430</f>
        <v/>
      </c>
      <c r="BN15" t="str">
        <f t="shared" si="21"/>
        <v>G269</v>
      </c>
      <c r="BO15" t="b">
        <f t="shared" si="23"/>
        <v>1</v>
      </c>
    </row>
    <row r="16" spans="2:73" ht="12" customHeight="1">
      <c r="B16" t="str">
        <f>TBIDry!H88</f>
        <v>G2</v>
      </c>
      <c r="C16" t="str">
        <f>TBIDry!I88</f>
        <v>R784</v>
      </c>
      <c r="D16" t="b">
        <f t="shared" si="0"/>
        <v>0</v>
      </c>
      <c r="E16" t="b">
        <f t="shared" si="1"/>
        <v>0</v>
      </c>
      <c r="G16" t="str">
        <f>TBIWet!H88</f>
        <v>G595</v>
      </c>
      <c r="H16" t="str">
        <f>TBIWet!I88</f>
        <v>R450</v>
      </c>
      <c r="I16" t="b">
        <f t="shared" si="2"/>
        <v>0</v>
      </c>
      <c r="J16" t="b">
        <f t="shared" si="22"/>
        <v>0</v>
      </c>
      <c r="L16" t="str">
        <f>'Both teabags AfterWet'!A15</f>
        <v>G281</v>
      </c>
      <c r="M16" t="str">
        <f>'Both teabags AfterWet'!A433</f>
        <v>R112</v>
      </c>
      <c r="N16" t="b">
        <f t="shared" si="3"/>
        <v>0</v>
      </c>
      <c r="O16" t="b">
        <f t="shared" si="4"/>
        <v>0</v>
      </c>
      <c r="P16">
        <f>IFERROR('Both teabags AfterWet'!B15,"")</f>
        <v>172</v>
      </c>
      <c r="Q16" t="str">
        <f>'Both teabags AfterWet'!B433</f>
        <v>n.a</v>
      </c>
      <c r="S16" s="401" t="b">
        <f t="shared" si="5"/>
        <v>0</v>
      </c>
      <c r="T16" s="401" t="b">
        <f t="shared" si="6"/>
        <v>0</v>
      </c>
      <c r="V16" t="str">
        <f>'Both teabags AfterDry'!A15</f>
        <v>G113</v>
      </c>
      <c r="W16" t="str">
        <f>'Both teabags AfterDry'!A352</f>
        <v>R174</v>
      </c>
      <c r="X16" t="b">
        <f t="shared" si="7"/>
        <v>0</v>
      </c>
      <c r="Y16" t="b">
        <f t="shared" si="8"/>
        <v>0</v>
      </c>
      <c r="AA16" t="str">
        <f>'Green_rooibos initial weight'!A17</f>
        <v>G13</v>
      </c>
      <c r="AB16" t="str">
        <f>'Green_rooibos initial weight'!A921</f>
        <v>R13</v>
      </c>
      <c r="AC16" t="b">
        <f t="shared" si="9"/>
        <v>0</v>
      </c>
      <c r="AD16" t="b">
        <f t="shared" si="10"/>
        <v>0</v>
      </c>
      <c r="AG16" t="str">
        <f>'WetLitterbags placem_collection'!K15</f>
        <v>G595</v>
      </c>
      <c r="AH16" t="str">
        <f>'WetLitterbags placem_collection'!M15</f>
        <v>R450</v>
      </c>
      <c r="AI16" t="b">
        <f t="shared" si="11"/>
        <v>0</v>
      </c>
      <c r="AJ16" t="b">
        <f t="shared" si="12"/>
        <v>0</v>
      </c>
      <c r="AK16">
        <f>'WetLitterbags placem_collection'!A15</f>
        <v>13</v>
      </c>
      <c r="AL16">
        <f>'WetLitterbags placem_collection'!A15</f>
        <v>13</v>
      </c>
      <c r="AN16">
        <f>IF('Dry_Litterbag Placem_Collection'!J15=0,"",'Dry_Litterbag Placem_Collection'!J15)</f>
        <v>2</v>
      </c>
      <c r="AO16">
        <f>IF('Dry_Litterbag Placem_Collection'!K15=0,"",'Dry_Litterbag Placem_Collection'!K15)</f>
        <v>784</v>
      </c>
      <c r="AP16" t="b">
        <f t="shared" si="13"/>
        <v>0</v>
      </c>
      <c r="AQ16" t="b">
        <f t="shared" si="14"/>
        <v>0</v>
      </c>
      <c r="AT16" t="str">
        <f>'Ashed teabags dry'!A14</f>
        <v>G115</v>
      </c>
      <c r="AU16" t="str">
        <f>'Ashed teabags dry'!A351</f>
        <v>R174</v>
      </c>
      <c r="AV16" t="b">
        <f t="shared" si="15"/>
        <v>0</v>
      </c>
      <c r="AW16" t="b">
        <f t="shared" si="16"/>
        <v>0</v>
      </c>
      <c r="AZ16" s="401" t="b">
        <f t="shared" si="17"/>
        <v>0</v>
      </c>
      <c r="BA16" s="401" t="b">
        <f t="shared" si="18"/>
        <v>0</v>
      </c>
      <c r="BC16" t="str">
        <f>'Ashed teabags wet'!A14</f>
        <v>G282</v>
      </c>
      <c r="BD16" t="str">
        <f>'Ashed teabags wet'!A431</f>
        <v>R115</v>
      </c>
      <c r="BE16" t="b">
        <f t="shared" si="19"/>
        <v>0</v>
      </c>
      <c r="BF16" t="b">
        <f t="shared" si="20"/>
        <v>0</v>
      </c>
      <c r="BG16">
        <f>IFERROR('Ashed teabags wet'!C14,"")</f>
        <v>66</v>
      </c>
      <c r="BH16">
        <f>IFERROR('Ashed teabags wet'!C431,"")</f>
        <v>4</v>
      </c>
      <c r="BI16">
        <f>'Ashed teabags wet'!AB14</f>
        <v>65</v>
      </c>
      <c r="BJ16" t="str">
        <f>'Ashed teabags wet'!AC14</f>
        <v/>
      </c>
      <c r="BK16">
        <f>'Ashed teabags wet'!AD431</f>
        <v>3</v>
      </c>
      <c r="BL16" t="str">
        <f>'Ashed teabags wet'!AE431</f>
        <v/>
      </c>
      <c r="BN16" t="str">
        <f t="shared" si="21"/>
        <v>G281</v>
      </c>
      <c r="BO16" t="b">
        <f t="shared" si="23"/>
        <v>1</v>
      </c>
    </row>
    <row r="17" spans="2:68" ht="12" customHeight="1">
      <c r="B17" t="str">
        <f>TBIDry!H89</f>
        <v>G225</v>
      </c>
      <c r="C17" t="str">
        <f>TBIDry!I89</f>
        <v>R838</v>
      </c>
      <c r="D17" t="b">
        <f t="shared" si="0"/>
        <v>0</v>
      </c>
      <c r="E17" t="b">
        <f t="shared" si="1"/>
        <v>0</v>
      </c>
      <c r="G17" t="str">
        <f>TBIWet!H89</f>
        <v>G609</v>
      </c>
      <c r="H17" t="str">
        <f>TBIWet!I89</f>
        <v>R382</v>
      </c>
      <c r="I17" t="b">
        <f t="shared" si="2"/>
        <v>0</v>
      </c>
      <c r="J17" t="b">
        <f t="shared" si="22"/>
        <v>0</v>
      </c>
      <c r="L17" t="str">
        <f>'Both teabags AfterWet'!A16</f>
        <v>G282</v>
      </c>
      <c r="M17" t="str">
        <f>'Both teabags AfterWet'!A434</f>
        <v>R114</v>
      </c>
      <c r="N17" t="b">
        <f t="shared" si="3"/>
        <v>0</v>
      </c>
      <c r="O17" t="b">
        <f t="shared" si="4"/>
        <v>0</v>
      </c>
      <c r="P17" t="str">
        <f>IFERROR('Both teabags AfterWet'!B16,"")</f>
        <v>n.a</v>
      </c>
      <c r="Q17">
        <f>'Both teabags AfterWet'!B434</f>
        <v>40</v>
      </c>
      <c r="S17" s="401" t="b">
        <f t="shared" si="5"/>
        <v>0</v>
      </c>
      <c r="T17" s="401" t="b">
        <f t="shared" si="6"/>
        <v>0</v>
      </c>
      <c r="V17" t="str">
        <f>'Both teabags AfterDry'!A16</f>
        <v>G115</v>
      </c>
      <c r="W17" t="str">
        <f>'Both teabags AfterDry'!A353</f>
        <v>R175</v>
      </c>
      <c r="X17" t="b">
        <f t="shared" si="7"/>
        <v>0</v>
      </c>
      <c r="Y17" t="b">
        <f t="shared" si="8"/>
        <v>0</v>
      </c>
      <c r="AA17" t="str">
        <f>'Green_rooibos initial weight'!A18</f>
        <v>G14</v>
      </c>
      <c r="AB17" t="str">
        <f>'Green_rooibos initial weight'!A922</f>
        <v>R14</v>
      </c>
      <c r="AC17" t="b">
        <f t="shared" si="9"/>
        <v>0</v>
      </c>
      <c r="AD17" t="b">
        <f t="shared" si="10"/>
        <v>0</v>
      </c>
      <c r="AG17" t="str">
        <f>'WetLitterbags placem_collection'!K16</f>
        <v>G609</v>
      </c>
      <c r="AH17" t="str">
        <f>'WetLitterbags placem_collection'!M16</f>
        <v>R382</v>
      </c>
      <c r="AI17" t="b">
        <f t="shared" si="11"/>
        <v>0</v>
      </c>
      <c r="AJ17" t="b">
        <f t="shared" si="12"/>
        <v>0</v>
      </c>
      <c r="AK17">
        <f>'WetLitterbags placem_collection'!A16</f>
        <v>14</v>
      </c>
      <c r="AL17">
        <f>'WetLitterbags placem_collection'!A16</f>
        <v>14</v>
      </c>
      <c r="AN17">
        <f>IF('Dry_Litterbag Placem_Collection'!J16=0,"",'Dry_Litterbag Placem_Collection'!J16)</f>
        <v>225</v>
      </c>
      <c r="AO17">
        <f>IF('Dry_Litterbag Placem_Collection'!K16=0,"",'Dry_Litterbag Placem_Collection'!K16)</f>
        <v>838</v>
      </c>
      <c r="AP17" t="b">
        <f t="shared" si="13"/>
        <v>0</v>
      </c>
      <c r="AQ17" t="b">
        <f t="shared" si="14"/>
        <v>0</v>
      </c>
      <c r="AT17" t="str">
        <f>'Ashed teabags dry'!A15</f>
        <v>G116</v>
      </c>
      <c r="AU17" t="str">
        <f>'Ashed teabags dry'!A352</f>
        <v>R175</v>
      </c>
      <c r="AV17" t="b">
        <f t="shared" si="15"/>
        <v>0</v>
      </c>
      <c r="AW17" t="b">
        <f t="shared" si="16"/>
        <v>0</v>
      </c>
      <c r="AZ17" s="401" t="b">
        <f t="shared" si="17"/>
        <v>0</v>
      </c>
      <c r="BA17" s="401" t="b">
        <f t="shared" si="18"/>
        <v>0</v>
      </c>
      <c r="BC17" t="str">
        <f>'Ashed teabags wet'!A15</f>
        <v>G283</v>
      </c>
      <c r="BD17" t="str">
        <f>'Ashed teabags wet'!A432</f>
        <v>R117</v>
      </c>
      <c r="BE17" t="b">
        <f t="shared" si="19"/>
        <v>0</v>
      </c>
      <c r="BF17" t="b">
        <f t="shared" si="20"/>
        <v>0</v>
      </c>
      <c r="BG17">
        <f>IFERROR('Ashed teabags wet'!C15,"")</f>
        <v>44</v>
      </c>
      <c r="BH17">
        <f>IFERROR('Ashed teabags wet'!C432,"")</f>
        <v>43</v>
      </c>
      <c r="BI17" t="str">
        <f>'Ashed teabags wet'!AB15</f>
        <v/>
      </c>
      <c r="BJ17">
        <f>'Ashed teabags wet'!AC15</f>
        <v>43</v>
      </c>
      <c r="BK17" t="str">
        <f>'Ashed teabags wet'!AD432</f>
        <v/>
      </c>
      <c r="BL17">
        <f>'Ashed teabags wet'!AE432</f>
        <v>42</v>
      </c>
      <c r="BN17" t="str">
        <f t="shared" si="21"/>
        <v>G282</v>
      </c>
      <c r="BO17" t="b">
        <f t="shared" si="23"/>
        <v>1</v>
      </c>
    </row>
    <row r="18" spans="2:68" ht="12" customHeight="1">
      <c r="B18" t="str">
        <f>TBIDry!H90</f>
        <v>G444</v>
      </c>
      <c r="C18" t="str">
        <f>TBIDry!I90</f>
        <v>R793</v>
      </c>
      <c r="D18" t="b">
        <f t="shared" si="0"/>
        <v>0</v>
      </c>
      <c r="E18" t="b">
        <f t="shared" si="1"/>
        <v>0</v>
      </c>
      <c r="G18" t="str">
        <f>TBIWet!H90</f>
        <v>G222</v>
      </c>
      <c r="H18" t="str">
        <f>TBIWet!I90</f>
        <v>R415</v>
      </c>
      <c r="I18" t="b">
        <f t="shared" si="2"/>
        <v>0</v>
      </c>
      <c r="J18" t="b">
        <f t="shared" si="22"/>
        <v>0</v>
      </c>
      <c r="L18" t="str">
        <f>'Both teabags AfterWet'!A17</f>
        <v>G283</v>
      </c>
      <c r="M18" t="str">
        <f>'Both teabags AfterWet'!A435</f>
        <v>R115</v>
      </c>
      <c r="N18" t="b">
        <f t="shared" si="3"/>
        <v>0</v>
      </c>
      <c r="O18" t="b">
        <f t="shared" si="4"/>
        <v>0</v>
      </c>
      <c r="P18">
        <f>IFERROR('Both teabags AfterWet'!B17,"")</f>
        <v>44</v>
      </c>
      <c r="Q18" t="str">
        <f>'Both teabags AfterWet'!B435</f>
        <v>n.a</v>
      </c>
      <c r="S18" s="401" t="b">
        <f t="shared" si="5"/>
        <v>0</v>
      </c>
      <c r="T18" s="401" t="b">
        <f t="shared" si="6"/>
        <v>0</v>
      </c>
      <c r="V18" t="str">
        <f>'Both teabags AfterDry'!A17</f>
        <v>G116</v>
      </c>
      <c r="W18" t="str">
        <f>'Both teabags AfterDry'!A354</f>
        <v>R178</v>
      </c>
      <c r="X18" t="b">
        <f t="shared" si="7"/>
        <v>0</v>
      </c>
      <c r="Y18" t="b">
        <f t="shared" si="8"/>
        <v>0</v>
      </c>
      <c r="AA18" t="str">
        <f>'Green_rooibos initial weight'!A19</f>
        <v>G15</v>
      </c>
      <c r="AB18" t="str">
        <f>'Green_rooibos initial weight'!A923</f>
        <v>R15</v>
      </c>
      <c r="AC18" t="b">
        <f t="shared" si="9"/>
        <v>0</v>
      </c>
      <c r="AD18" t="b">
        <f t="shared" si="10"/>
        <v>0</v>
      </c>
      <c r="AG18" t="str">
        <f>'WetLitterbags placem_collection'!K17</f>
        <v>G222</v>
      </c>
      <c r="AH18" t="str">
        <f>'WetLitterbags placem_collection'!M17</f>
        <v>R415</v>
      </c>
      <c r="AI18" t="b">
        <f t="shared" si="11"/>
        <v>0</v>
      </c>
      <c r="AJ18" t="b">
        <f t="shared" si="12"/>
        <v>0</v>
      </c>
      <c r="AK18">
        <f>'WetLitterbags placem_collection'!A17</f>
        <v>15</v>
      </c>
      <c r="AL18">
        <f>'WetLitterbags placem_collection'!A17</f>
        <v>15</v>
      </c>
      <c r="AN18">
        <f>IF('Dry_Litterbag Placem_Collection'!J17=0,"",'Dry_Litterbag Placem_Collection'!J17)</f>
        <v>444</v>
      </c>
      <c r="AO18">
        <f>IF('Dry_Litterbag Placem_Collection'!K17=0,"",'Dry_Litterbag Placem_Collection'!K17)</f>
        <v>793</v>
      </c>
      <c r="AP18" t="b">
        <f t="shared" si="13"/>
        <v>0</v>
      </c>
      <c r="AQ18" t="b">
        <f t="shared" si="14"/>
        <v>0</v>
      </c>
      <c r="AT18" t="str">
        <f>'Ashed teabags dry'!A16</f>
        <v>G118</v>
      </c>
      <c r="AU18" t="str">
        <f>'Ashed teabags dry'!A353</f>
        <v>R178</v>
      </c>
      <c r="AV18" t="b">
        <f t="shared" si="15"/>
        <v>0</v>
      </c>
      <c r="AW18" t="b">
        <f t="shared" si="16"/>
        <v>0</v>
      </c>
      <c r="AZ18" s="401" t="b">
        <f t="shared" si="17"/>
        <v>0</v>
      </c>
      <c r="BA18" s="401" t="b">
        <f t="shared" si="18"/>
        <v>0</v>
      </c>
      <c r="BC18" t="str">
        <f>'Ashed teabags wet'!A16</f>
        <v>G286</v>
      </c>
      <c r="BD18" t="str">
        <f>'Ashed teabags wet'!A433</f>
        <v>R119</v>
      </c>
      <c r="BE18" t="b">
        <f t="shared" si="19"/>
        <v>0</v>
      </c>
      <c r="BF18" t="b">
        <f t="shared" si="20"/>
        <v>0</v>
      </c>
      <c r="BG18">
        <f>IFERROR('Ashed teabags wet'!C16,"")</f>
        <v>10</v>
      </c>
      <c r="BH18">
        <f>IFERROR('Ashed teabags wet'!C433,"")</f>
        <v>62</v>
      </c>
      <c r="BI18">
        <f>'Ashed teabags wet'!AB16</f>
        <v>9</v>
      </c>
      <c r="BJ18" t="str">
        <f>'Ashed teabags wet'!AC16</f>
        <v/>
      </c>
      <c r="BK18">
        <f>'Ashed teabags wet'!AD433</f>
        <v>61</v>
      </c>
      <c r="BL18" t="str">
        <f>'Ashed teabags wet'!AE433</f>
        <v/>
      </c>
      <c r="BN18" t="str">
        <f t="shared" si="21"/>
        <v>G283</v>
      </c>
      <c r="BO18" t="b">
        <f t="shared" si="23"/>
        <v>1</v>
      </c>
    </row>
    <row r="19" spans="2:68" ht="12" customHeight="1">
      <c r="B19" t="str">
        <f>TBIDry!H91</f>
        <v>G376</v>
      </c>
      <c r="C19" t="str">
        <f>TBIDry!I91</f>
        <v>R755</v>
      </c>
      <c r="D19" t="b">
        <f t="shared" si="0"/>
        <v>0</v>
      </c>
      <c r="E19" t="b">
        <f t="shared" si="1"/>
        <v>0</v>
      </c>
      <c r="G19" t="str">
        <f>TBIWet!H91</f>
        <v>G405</v>
      </c>
      <c r="H19" t="str">
        <f>TBIWet!I91</f>
        <v>R519</v>
      </c>
      <c r="I19" t="b">
        <f t="shared" si="2"/>
        <v>0</v>
      </c>
      <c r="J19" t="b">
        <f t="shared" si="22"/>
        <v>0</v>
      </c>
      <c r="L19" t="str">
        <f>'Both teabags AfterWet'!A18</f>
        <v>G286</v>
      </c>
      <c r="M19" t="str">
        <f>'Both teabags AfterWet'!A436</f>
        <v>R117</v>
      </c>
      <c r="N19" t="b">
        <f t="shared" si="3"/>
        <v>0</v>
      </c>
      <c r="O19" t="b">
        <f t="shared" si="4"/>
        <v>0</v>
      </c>
      <c r="P19" t="str">
        <f>IFERROR('Both teabags AfterWet'!B18,"")</f>
        <v>n.a</v>
      </c>
      <c r="Q19">
        <f>'Both teabags AfterWet'!B436</f>
        <v>43</v>
      </c>
      <c r="S19" s="401" t="b">
        <f t="shared" si="5"/>
        <v>0</v>
      </c>
      <c r="T19" s="401" t="b">
        <f t="shared" si="6"/>
        <v>0</v>
      </c>
      <c r="V19" t="str">
        <f>'Both teabags AfterDry'!A18</f>
        <v>G118</v>
      </c>
      <c r="W19" t="str">
        <f>'Both teabags AfterDry'!A355</f>
        <v>R179</v>
      </c>
      <c r="X19" t="b">
        <f t="shared" si="7"/>
        <v>0</v>
      </c>
      <c r="Y19" t="b">
        <f t="shared" si="8"/>
        <v>0</v>
      </c>
      <c r="AA19" t="str">
        <f>'Green_rooibos initial weight'!A20</f>
        <v>G16</v>
      </c>
      <c r="AB19" t="str">
        <f>'Green_rooibos initial weight'!A924</f>
        <v>R16</v>
      </c>
      <c r="AC19" t="b">
        <f t="shared" si="9"/>
        <v>0</v>
      </c>
      <c r="AD19" t="b">
        <f t="shared" si="10"/>
        <v>0</v>
      </c>
      <c r="AG19" t="str">
        <f>'WetLitterbags placem_collection'!K18</f>
        <v>G405</v>
      </c>
      <c r="AH19" t="str">
        <f>'WetLitterbags placem_collection'!M18</f>
        <v>R519</v>
      </c>
      <c r="AI19" t="b">
        <f t="shared" si="11"/>
        <v>0</v>
      </c>
      <c r="AJ19" t="b">
        <f t="shared" si="12"/>
        <v>0</v>
      </c>
      <c r="AK19">
        <f>'WetLitterbags placem_collection'!A18</f>
        <v>16</v>
      </c>
      <c r="AL19">
        <f>'WetLitterbags placem_collection'!A18</f>
        <v>16</v>
      </c>
      <c r="AN19">
        <f>IF('Dry_Litterbag Placem_Collection'!J18=0,"",'Dry_Litterbag Placem_Collection'!J18)</f>
        <v>376</v>
      </c>
      <c r="AO19">
        <f>IF('Dry_Litterbag Placem_Collection'!K18=0,"",'Dry_Litterbag Placem_Collection'!K18)</f>
        <v>755</v>
      </c>
      <c r="AP19" t="b">
        <f t="shared" si="13"/>
        <v>0</v>
      </c>
      <c r="AQ19" t="b">
        <f t="shared" si="14"/>
        <v>0</v>
      </c>
      <c r="AT19" t="str">
        <f>'Ashed teabags dry'!A17</f>
        <v>G12</v>
      </c>
      <c r="AU19" t="str">
        <f>'Ashed teabags dry'!A354</f>
        <v>R179</v>
      </c>
      <c r="AV19" t="b">
        <f t="shared" si="15"/>
        <v>0</v>
      </c>
      <c r="AW19" t="b">
        <f t="shared" si="16"/>
        <v>0</v>
      </c>
      <c r="AZ19" s="401" t="b">
        <f t="shared" si="17"/>
        <v>0</v>
      </c>
      <c r="BA19" s="401" t="b">
        <f t="shared" si="18"/>
        <v>0</v>
      </c>
      <c r="BC19" t="str">
        <f>'Ashed teabags wet'!A17</f>
        <v>G287</v>
      </c>
      <c r="BD19" t="str">
        <f>'Ashed teabags wet'!A434</f>
        <v>R120</v>
      </c>
      <c r="BE19" t="b">
        <f t="shared" si="19"/>
        <v>0</v>
      </c>
      <c r="BF19" t="b">
        <f t="shared" si="20"/>
        <v>0</v>
      </c>
      <c r="BG19">
        <f>IFERROR('Ashed teabags wet'!C17,"")</f>
        <v>166</v>
      </c>
      <c r="BH19">
        <f>IFERROR('Ashed teabags wet'!C434,"")</f>
        <v>59</v>
      </c>
      <c r="BI19" t="str">
        <f>'Ashed teabags wet'!AB17</f>
        <v/>
      </c>
      <c r="BJ19">
        <f>'Ashed teabags wet'!AC17</f>
        <v>165</v>
      </c>
      <c r="BK19" t="str">
        <f>'Ashed teabags wet'!AD434</f>
        <v/>
      </c>
      <c r="BL19">
        <f>'Ashed teabags wet'!AE434</f>
        <v>58</v>
      </c>
      <c r="BN19" t="str">
        <f t="shared" si="21"/>
        <v>G286</v>
      </c>
      <c r="BO19" t="b">
        <f t="shared" si="23"/>
        <v>1</v>
      </c>
    </row>
    <row r="20" spans="2:68" ht="12" customHeight="1">
      <c r="B20" t="str">
        <f>TBIDry!H92</f>
        <v>G209</v>
      </c>
      <c r="C20" t="str">
        <f>TBIDry!I92</f>
        <v>R826</v>
      </c>
      <c r="D20" t="b">
        <f t="shared" si="0"/>
        <v>0</v>
      </c>
      <c r="E20" t="b">
        <f t="shared" si="1"/>
        <v>0</v>
      </c>
      <c r="G20" t="str">
        <f>TBIWet!H92</f>
        <v>G571</v>
      </c>
      <c r="H20" t="str">
        <f>TBIWet!I92</f>
        <v>R542</v>
      </c>
      <c r="I20" t="b">
        <f t="shared" si="2"/>
        <v>0</v>
      </c>
      <c r="J20" t="b">
        <f t="shared" si="22"/>
        <v>0</v>
      </c>
      <c r="L20" t="str">
        <f>'Both teabags AfterWet'!A19</f>
        <v>G287</v>
      </c>
      <c r="M20" t="str">
        <f>'Both teabags AfterWet'!A437</f>
        <v>R119</v>
      </c>
      <c r="N20" t="b">
        <f t="shared" si="3"/>
        <v>0</v>
      </c>
      <c r="O20" t="b">
        <f t="shared" si="4"/>
        <v>0</v>
      </c>
      <c r="P20" t="str">
        <f>IFERROR('Both teabags AfterWet'!B19,"")</f>
        <v>n.a</v>
      </c>
      <c r="Q20">
        <f>'Both teabags AfterWet'!B437</f>
        <v>62</v>
      </c>
      <c r="S20" s="401" t="b">
        <f t="shared" si="5"/>
        <v>0</v>
      </c>
      <c r="T20" s="401" t="b">
        <f t="shared" si="6"/>
        <v>0</v>
      </c>
      <c r="V20" t="str">
        <f>'Both teabags AfterDry'!A19</f>
        <v>G12</v>
      </c>
      <c r="W20" t="str">
        <f>'Both teabags AfterDry'!A356</f>
        <v>R18</v>
      </c>
      <c r="X20" t="b">
        <f t="shared" si="7"/>
        <v>0</v>
      </c>
      <c r="Y20" t="b">
        <f t="shared" si="8"/>
        <v>0</v>
      </c>
      <c r="AA20" t="str">
        <f>'Green_rooibos initial weight'!A21</f>
        <v>G17</v>
      </c>
      <c r="AB20" t="str">
        <f>'Green_rooibos initial weight'!A925</f>
        <v>R17</v>
      </c>
      <c r="AC20" t="b">
        <f t="shared" si="9"/>
        <v>0</v>
      </c>
      <c r="AD20" t="b">
        <f t="shared" si="10"/>
        <v>0</v>
      </c>
      <c r="AG20" t="str">
        <f>'WetLitterbags placem_collection'!K19</f>
        <v>G571</v>
      </c>
      <c r="AH20" t="str">
        <f>'WetLitterbags placem_collection'!M19</f>
        <v>R542</v>
      </c>
      <c r="AI20" t="b">
        <f t="shared" si="11"/>
        <v>0</v>
      </c>
      <c r="AJ20" t="b">
        <f t="shared" si="12"/>
        <v>0</v>
      </c>
      <c r="AK20">
        <f>'WetLitterbags placem_collection'!A19</f>
        <v>17</v>
      </c>
      <c r="AL20">
        <f>'WetLitterbags placem_collection'!A19</f>
        <v>17</v>
      </c>
      <c r="AN20">
        <f>IF('Dry_Litterbag Placem_Collection'!J19=0,"",'Dry_Litterbag Placem_Collection'!J19)</f>
        <v>209</v>
      </c>
      <c r="AO20">
        <f>IF('Dry_Litterbag Placem_Collection'!K19=0,"",'Dry_Litterbag Placem_Collection'!K19)</f>
        <v>826</v>
      </c>
      <c r="AP20" t="b">
        <f t="shared" si="13"/>
        <v>0</v>
      </c>
      <c r="AQ20" t="b">
        <f t="shared" si="14"/>
        <v>0</v>
      </c>
      <c r="AT20" t="str">
        <f>'Ashed teabags dry'!A18</f>
        <v>G120</v>
      </c>
      <c r="AU20" t="str">
        <f>'Ashed teabags dry'!A355</f>
        <v>R18</v>
      </c>
      <c r="AV20" t="b">
        <f t="shared" si="15"/>
        <v>0</v>
      </c>
      <c r="AW20" t="b">
        <f t="shared" si="16"/>
        <v>0</v>
      </c>
      <c r="AZ20" s="401" t="b">
        <f t="shared" si="17"/>
        <v>0</v>
      </c>
      <c r="BA20" s="401" t="b">
        <f t="shared" si="18"/>
        <v>0</v>
      </c>
      <c r="BC20" t="str">
        <f>'Ashed teabags wet'!A18</f>
        <v>G291</v>
      </c>
      <c r="BD20" t="str">
        <f>'Ashed teabags wet'!A435</f>
        <v>R121</v>
      </c>
      <c r="BE20" t="b">
        <f t="shared" si="19"/>
        <v>0</v>
      </c>
      <c r="BF20" t="b">
        <f t="shared" si="20"/>
        <v>0</v>
      </c>
      <c r="BG20">
        <f>IFERROR('Ashed teabags wet'!C18,"")</f>
        <v>84</v>
      </c>
      <c r="BH20">
        <f>IFERROR('Ashed teabags wet'!C435,"")</f>
        <v>2</v>
      </c>
      <c r="BI20">
        <f>'Ashed teabags wet'!AB18</f>
        <v>83</v>
      </c>
      <c r="BJ20" t="str">
        <f>'Ashed teabags wet'!AC18</f>
        <v/>
      </c>
      <c r="BK20">
        <f>'Ashed teabags wet'!AD435</f>
        <v>1</v>
      </c>
      <c r="BL20" t="str">
        <f>'Ashed teabags wet'!AE435</f>
        <v/>
      </c>
      <c r="BN20" t="str">
        <f t="shared" si="21"/>
        <v>G287</v>
      </c>
      <c r="BO20" t="b">
        <f t="shared" si="23"/>
        <v>1</v>
      </c>
    </row>
    <row r="21" spans="2:68" ht="12" customHeight="1">
      <c r="B21" t="str">
        <f>TBIDry!H93</f>
        <v>G10</v>
      </c>
      <c r="C21" t="str">
        <f>TBIDry!I93</f>
        <v>R732</v>
      </c>
      <c r="D21" t="b">
        <f t="shared" si="0"/>
        <v>0</v>
      </c>
      <c r="E21" t="b">
        <f t="shared" si="1"/>
        <v>0</v>
      </c>
      <c r="G21" t="str">
        <f>TBIWet!H93</f>
        <v>G419</v>
      </c>
      <c r="H21" t="str">
        <f>TBIWet!I93</f>
        <v>R128</v>
      </c>
      <c r="I21" t="b">
        <f t="shared" si="2"/>
        <v>0</v>
      </c>
      <c r="J21" t="b">
        <f t="shared" si="22"/>
        <v>0</v>
      </c>
      <c r="L21" t="str">
        <f>'Both teabags AfterWet'!A20</f>
        <v>G291</v>
      </c>
      <c r="M21" t="str">
        <f>'Both teabags AfterWet'!A438</f>
        <v>R12</v>
      </c>
      <c r="N21" t="b">
        <f t="shared" si="3"/>
        <v>0</v>
      </c>
      <c r="O21" t="b">
        <f t="shared" si="4"/>
        <v>0</v>
      </c>
      <c r="P21">
        <f>IFERROR('Both teabags AfterWet'!B20,"")</f>
        <v>84</v>
      </c>
      <c r="Q21" t="str">
        <f>'Both teabags AfterWet'!B438</f>
        <v>n.a</v>
      </c>
      <c r="S21" s="401" t="b">
        <f t="shared" si="5"/>
        <v>0</v>
      </c>
      <c r="T21" s="401" t="b">
        <f t="shared" si="6"/>
        <v>0</v>
      </c>
      <c r="V21" t="str">
        <f>'Both teabags AfterDry'!A20</f>
        <v>G120</v>
      </c>
      <c r="W21" t="str">
        <f>'Both teabags AfterDry'!A357</f>
        <v>R180</v>
      </c>
      <c r="X21" t="b">
        <f t="shared" si="7"/>
        <v>0</v>
      </c>
      <c r="Y21" t="b">
        <f t="shared" si="8"/>
        <v>0</v>
      </c>
      <c r="AA21" t="str">
        <f>'Green_rooibos initial weight'!A22</f>
        <v>G18</v>
      </c>
      <c r="AB21" t="str">
        <f>'Green_rooibos initial weight'!A926</f>
        <v>R18</v>
      </c>
      <c r="AC21" t="b">
        <f t="shared" si="9"/>
        <v>0</v>
      </c>
      <c r="AD21" t="b">
        <f t="shared" si="10"/>
        <v>0</v>
      </c>
      <c r="AG21" t="str">
        <f>'WetLitterbags placem_collection'!K20</f>
        <v>G419</v>
      </c>
      <c r="AH21" t="str">
        <f>'WetLitterbags placem_collection'!M20</f>
        <v>R128</v>
      </c>
      <c r="AI21" t="b">
        <f t="shared" si="11"/>
        <v>0</v>
      </c>
      <c r="AJ21" t="b">
        <f t="shared" si="12"/>
        <v>0</v>
      </c>
      <c r="AK21">
        <f>'WetLitterbags placem_collection'!A20</f>
        <v>18</v>
      </c>
      <c r="AL21">
        <f>'WetLitterbags placem_collection'!A20</f>
        <v>18</v>
      </c>
      <c r="AN21">
        <f>IF('Dry_Litterbag Placem_Collection'!J20=0,"",'Dry_Litterbag Placem_Collection'!J20)</f>
        <v>10</v>
      </c>
      <c r="AO21">
        <f>IF('Dry_Litterbag Placem_Collection'!K20=0,"",'Dry_Litterbag Placem_Collection'!K20)</f>
        <v>732</v>
      </c>
      <c r="AP21" t="b">
        <f t="shared" si="13"/>
        <v>0</v>
      </c>
      <c r="AQ21" t="b">
        <f t="shared" si="14"/>
        <v>0</v>
      </c>
      <c r="AT21" t="str">
        <f>'Ashed teabags dry'!A19</f>
        <v>G123</v>
      </c>
      <c r="AU21" t="str">
        <f>'Ashed teabags dry'!A356</f>
        <v>R180</v>
      </c>
      <c r="AV21" t="b">
        <f t="shared" si="15"/>
        <v>0</v>
      </c>
      <c r="AW21" s="113" t="b">
        <f t="shared" si="16"/>
        <v>1</v>
      </c>
      <c r="AZ21" s="401" t="b">
        <f t="shared" si="17"/>
        <v>0</v>
      </c>
      <c r="BA21" s="401" t="b">
        <f t="shared" si="18"/>
        <v>0</v>
      </c>
      <c r="BC21" t="str">
        <f>'Ashed teabags wet'!A19</f>
        <v>G297</v>
      </c>
      <c r="BD21" t="str">
        <f>'Ashed teabags wet'!A436</f>
        <v>R124</v>
      </c>
      <c r="BE21" t="b">
        <f t="shared" si="19"/>
        <v>0</v>
      </c>
      <c r="BF21" t="b">
        <f t="shared" si="20"/>
        <v>0</v>
      </c>
      <c r="BG21">
        <f>IFERROR('Ashed teabags wet'!C19,"")</f>
        <v>192</v>
      </c>
      <c r="BH21">
        <f>IFERROR('Ashed teabags wet'!C436,"")</f>
        <v>161</v>
      </c>
      <c r="BI21" t="str">
        <f>'Ashed teabags wet'!AB19</f>
        <v/>
      </c>
      <c r="BJ21">
        <f>'Ashed teabags wet'!AC19</f>
        <v>191</v>
      </c>
      <c r="BK21">
        <f>'Ashed teabags wet'!AD436</f>
        <v>160</v>
      </c>
      <c r="BL21" t="str">
        <f>'Ashed teabags wet'!AE436</f>
        <v/>
      </c>
      <c r="BN21" t="str">
        <f t="shared" si="21"/>
        <v>G291</v>
      </c>
      <c r="BO21" t="b">
        <f t="shared" si="23"/>
        <v>1</v>
      </c>
    </row>
    <row r="22" spans="2:68" ht="12" customHeight="1">
      <c r="B22" t="str">
        <f>TBIDry!H94</f>
        <v>G190</v>
      </c>
      <c r="C22" t="str">
        <f>TBIDry!I94</f>
        <v>R749</v>
      </c>
      <c r="D22" t="b">
        <f t="shared" si="0"/>
        <v>0</v>
      </c>
      <c r="E22" t="b">
        <f t="shared" si="1"/>
        <v>0</v>
      </c>
      <c r="G22" t="str">
        <f>TBIWet!H94</f>
        <v>G240</v>
      </c>
      <c r="H22" t="str">
        <f>TBIWet!I94</f>
        <v>R82</v>
      </c>
      <c r="I22" t="b">
        <f t="shared" si="2"/>
        <v>0</v>
      </c>
      <c r="J22" t="b">
        <f t="shared" si="22"/>
        <v>0</v>
      </c>
      <c r="L22" t="str">
        <f>'Both teabags AfterWet'!A21</f>
        <v>G297</v>
      </c>
      <c r="M22" t="str">
        <f>'Both teabags AfterWet'!A439</f>
        <v>R120</v>
      </c>
      <c r="N22" t="b">
        <f t="shared" si="3"/>
        <v>0</v>
      </c>
      <c r="O22" t="b">
        <f t="shared" si="4"/>
        <v>0</v>
      </c>
      <c r="P22">
        <f>IFERROR('Both teabags AfterWet'!B21,"")</f>
        <v>192</v>
      </c>
      <c r="Q22">
        <f>'Both teabags AfterWet'!B439</f>
        <v>59</v>
      </c>
      <c r="S22" s="401" t="b">
        <f t="shared" si="5"/>
        <v>0</v>
      </c>
      <c r="T22" s="401" t="b">
        <f t="shared" si="6"/>
        <v>0</v>
      </c>
      <c r="V22" t="str">
        <f>'Both teabags AfterDry'!A21</f>
        <v>G123</v>
      </c>
      <c r="W22" t="str">
        <f>'Both teabags AfterDry'!A358</f>
        <v>R184</v>
      </c>
      <c r="X22" t="b">
        <f t="shared" si="7"/>
        <v>0</v>
      </c>
      <c r="Y22" t="b">
        <f t="shared" si="8"/>
        <v>0</v>
      </c>
      <c r="AA22" t="str">
        <f>'Green_rooibos initial weight'!A23</f>
        <v>G19</v>
      </c>
      <c r="AB22" t="str">
        <f>'Green_rooibos initial weight'!A927</f>
        <v>R19</v>
      </c>
      <c r="AC22" t="b">
        <f t="shared" si="9"/>
        <v>0</v>
      </c>
      <c r="AD22" t="b">
        <f t="shared" si="10"/>
        <v>0</v>
      </c>
      <c r="AG22" t="str">
        <f>'WetLitterbags placem_collection'!K21</f>
        <v>G240</v>
      </c>
      <c r="AH22" t="str">
        <f>'WetLitterbags placem_collection'!M21</f>
        <v>R82</v>
      </c>
      <c r="AI22" t="b">
        <f t="shared" si="11"/>
        <v>0</v>
      </c>
      <c r="AJ22" t="b">
        <f t="shared" si="12"/>
        <v>0</v>
      </c>
      <c r="AK22">
        <f>'WetLitterbags placem_collection'!A21</f>
        <v>19</v>
      </c>
      <c r="AL22">
        <f>'WetLitterbags placem_collection'!A21</f>
        <v>19</v>
      </c>
      <c r="AN22">
        <f>IF('Dry_Litterbag Placem_Collection'!J21=0,"",'Dry_Litterbag Placem_Collection'!J21)</f>
        <v>190</v>
      </c>
      <c r="AO22">
        <f>IF('Dry_Litterbag Placem_Collection'!K21=0,"",'Dry_Litterbag Placem_Collection'!K21)</f>
        <v>749</v>
      </c>
      <c r="AP22" t="b">
        <f t="shared" si="13"/>
        <v>0</v>
      </c>
      <c r="AQ22" t="b">
        <f t="shared" si="14"/>
        <v>0</v>
      </c>
      <c r="AT22" t="str">
        <f>'Ashed teabags dry'!A20</f>
        <v>G124</v>
      </c>
      <c r="AU22" t="str">
        <f>'Ashed teabags dry'!A357</f>
        <v>R180</v>
      </c>
      <c r="AV22" t="b">
        <f t="shared" si="15"/>
        <v>0</v>
      </c>
      <c r="AW22" s="113" t="b">
        <f t="shared" si="16"/>
        <v>1</v>
      </c>
      <c r="AZ22" s="401" t="b">
        <f t="shared" si="17"/>
        <v>0</v>
      </c>
      <c r="BA22" s="401" t="b">
        <f t="shared" si="18"/>
        <v>0</v>
      </c>
      <c r="BC22" t="str">
        <f>'Ashed teabags wet'!A20</f>
        <v>G298</v>
      </c>
      <c r="BD22" t="str">
        <f>'Ashed teabags wet'!A437</f>
        <v>R125</v>
      </c>
      <c r="BE22" t="b">
        <f t="shared" si="19"/>
        <v>0</v>
      </c>
      <c r="BF22" t="b">
        <f t="shared" si="20"/>
        <v>0</v>
      </c>
      <c r="BG22">
        <f>IFERROR('Ashed teabags wet'!C20,"")</f>
        <v>83</v>
      </c>
      <c r="BH22">
        <f>IFERROR('Ashed teabags wet'!C437,"")</f>
        <v>193</v>
      </c>
      <c r="BI22" t="str">
        <f>'Ashed teabags wet'!AB20</f>
        <v/>
      </c>
      <c r="BJ22">
        <f>'Ashed teabags wet'!AC20</f>
        <v>82</v>
      </c>
      <c r="BK22">
        <f>'Ashed teabags wet'!AD437</f>
        <v>192</v>
      </c>
      <c r="BL22" t="str">
        <f>'Ashed teabags wet'!AE437</f>
        <v/>
      </c>
      <c r="BN22" t="str">
        <f t="shared" si="21"/>
        <v>G297</v>
      </c>
      <c r="BO22" t="b">
        <f t="shared" si="23"/>
        <v>1</v>
      </c>
    </row>
    <row r="23" spans="2:68" ht="12" customHeight="1">
      <c r="B23" t="str">
        <f>TBIDry!H95</f>
        <v>G38</v>
      </c>
      <c r="C23" t="str">
        <f>TBIDry!I95</f>
        <v>R632</v>
      </c>
      <c r="D23" t="b">
        <f t="shared" si="0"/>
        <v>0</v>
      </c>
      <c r="E23" t="b">
        <f t="shared" si="1"/>
        <v>0</v>
      </c>
      <c r="G23" t="str">
        <f>TBIWet!H95</f>
        <v>G524</v>
      </c>
      <c r="H23" t="str">
        <f>TBIWet!I95</f>
        <v>R50</v>
      </c>
      <c r="I23" t="b">
        <f t="shared" si="2"/>
        <v>0</v>
      </c>
      <c r="J23" t="b">
        <f t="shared" si="22"/>
        <v>0</v>
      </c>
      <c r="L23" t="str">
        <f>'Both teabags AfterWet'!A22</f>
        <v>G298</v>
      </c>
      <c r="M23" t="str">
        <f>'Both teabags AfterWet'!A440</f>
        <v>R121</v>
      </c>
      <c r="N23" t="b">
        <f t="shared" si="3"/>
        <v>0</v>
      </c>
      <c r="O23" t="b">
        <f t="shared" si="4"/>
        <v>0</v>
      </c>
      <c r="P23">
        <f>IFERROR('Both teabags AfterWet'!B22,"")</f>
        <v>83</v>
      </c>
      <c r="Q23" t="str">
        <f>'Both teabags AfterWet'!B440</f>
        <v>n.a</v>
      </c>
      <c r="S23" s="401" t="b">
        <f t="shared" si="5"/>
        <v>0</v>
      </c>
      <c r="T23" s="401" t="b">
        <f t="shared" si="6"/>
        <v>0</v>
      </c>
      <c r="V23" t="str">
        <f>'Both teabags AfterDry'!A22</f>
        <v>G124</v>
      </c>
      <c r="W23" t="str">
        <f>'Both teabags AfterDry'!A359</f>
        <v>R188</v>
      </c>
      <c r="X23" t="b">
        <f t="shared" si="7"/>
        <v>0</v>
      </c>
      <c r="Y23" t="b">
        <f t="shared" si="8"/>
        <v>0</v>
      </c>
      <c r="AA23" t="str">
        <f>'Green_rooibos initial weight'!A24</f>
        <v>G20</v>
      </c>
      <c r="AB23" t="str">
        <f>'Green_rooibos initial weight'!A928</f>
        <v>R20</v>
      </c>
      <c r="AC23" t="b">
        <f t="shared" si="9"/>
        <v>0</v>
      </c>
      <c r="AD23" t="b">
        <f t="shared" si="10"/>
        <v>0</v>
      </c>
      <c r="AG23" t="str">
        <f>'WetLitterbags placem_collection'!K22</f>
        <v>G524</v>
      </c>
      <c r="AH23" t="str">
        <f>'WetLitterbags placem_collection'!M22</f>
        <v>R50</v>
      </c>
      <c r="AI23" t="b">
        <f t="shared" si="11"/>
        <v>0</v>
      </c>
      <c r="AJ23" t="b">
        <f t="shared" si="12"/>
        <v>0</v>
      </c>
      <c r="AK23">
        <f>'WetLitterbags placem_collection'!A22</f>
        <v>20</v>
      </c>
      <c r="AL23">
        <f>'WetLitterbags placem_collection'!A22</f>
        <v>20</v>
      </c>
      <c r="AN23">
        <f>IF('Dry_Litterbag Placem_Collection'!J22=0,"",'Dry_Litterbag Placem_Collection'!J22)</f>
        <v>38</v>
      </c>
      <c r="AO23">
        <f>IF('Dry_Litterbag Placem_Collection'!K22=0,"",'Dry_Litterbag Placem_Collection'!K22)</f>
        <v>632</v>
      </c>
      <c r="AP23" t="b">
        <f t="shared" si="13"/>
        <v>0</v>
      </c>
      <c r="AQ23" t="b">
        <f t="shared" si="14"/>
        <v>0</v>
      </c>
      <c r="AT23" t="str">
        <f>'Ashed teabags dry'!A21</f>
        <v>G125</v>
      </c>
      <c r="AU23" t="str">
        <f>'Ashed teabags dry'!A358</f>
        <v>R184</v>
      </c>
      <c r="AV23" t="b">
        <f t="shared" si="15"/>
        <v>0</v>
      </c>
      <c r="AW23" t="b">
        <f t="shared" si="16"/>
        <v>0</v>
      </c>
      <c r="AZ23" s="401" t="b">
        <f t="shared" si="17"/>
        <v>0</v>
      </c>
      <c r="BA23" s="401" t="b">
        <f t="shared" si="18"/>
        <v>0</v>
      </c>
      <c r="BC23" t="str">
        <f>'Ashed teabags wet'!A21</f>
        <v>G299</v>
      </c>
      <c r="BD23" t="str">
        <f>'Ashed teabags wet'!A438</f>
        <v>R126</v>
      </c>
      <c r="BE23" t="b">
        <f t="shared" si="19"/>
        <v>0</v>
      </c>
      <c r="BF23" t="b">
        <f t="shared" si="20"/>
        <v>0</v>
      </c>
      <c r="BG23">
        <f>IFERROR('Ashed teabags wet'!C21,"")</f>
        <v>48</v>
      </c>
      <c r="BH23">
        <f>IFERROR('Ashed teabags wet'!C438,"")</f>
        <v>36</v>
      </c>
      <c r="BI23" t="str">
        <f>'Ashed teabags wet'!AB21</f>
        <v/>
      </c>
      <c r="BJ23">
        <f>'Ashed teabags wet'!AC21</f>
        <v>47</v>
      </c>
      <c r="BK23">
        <f>'Ashed teabags wet'!AD438</f>
        <v>35</v>
      </c>
      <c r="BL23" t="str">
        <f>'Ashed teabags wet'!AE438</f>
        <v/>
      </c>
      <c r="BN23" t="str">
        <f t="shared" si="21"/>
        <v>G298</v>
      </c>
      <c r="BO23" t="b">
        <f t="shared" si="23"/>
        <v>1</v>
      </c>
    </row>
    <row r="24" spans="2:68" ht="12" customHeight="1">
      <c r="B24" t="str">
        <f>TBIDry!H96</f>
        <v>G468</v>
      </c>
      <c r="C24" t="str">
        <f>TBIDry!I96</f>
        <v>R630</v>
      </c>
      <c r="D24" t="b">
        <f t="shared" si="0"/>
        <v>0</v>
      </c>
      <c r="E24" t="b">
        <f t="shared" si="1"/>
        <v>0</v>
      </c>
      <c r="G24" t="str">
        <f>TBIWet!H96</f>
        <v>G699</v>
      </c>
      <c r="H24" t="str">
        <f>TBIWet!I96</f>
        <v>R529</v>
      </c>
      <c r="I24" t="b">
        <f t="shared" si="2"/>
        <v>0</v>
      </c>
      <c r="J24" t="b">
        <f t="shared" si="22"/>
        <v>0</v>
      </c>
      <c r="L24" t="str">
        <f>'Both teabags AfterWet'!A23</f>
        <v>G299</v>
      </c>
      <c r="M24" t="str">
        <f>'Both teabags AfterWet'!A441</f>
        <v>R122</v>
      </c>
      <c r="N24" t="b">
        <f t="shared" si="3"/>
        <v>0</v>
      </c>
      <c r="O24" t="b">
        <f t="shared" si="4"/>
        <v>0</v>
      </c>
      <c r="P24">
        <f>IFERROR('Both teabags AfterWet'!B23,"")</f>
        <v>46</v>
      </c>
      <c r="Q24">
        <f>'Both teabags AfterWet'!B441</f>
        <v>74</v>
      </c>
      <c r="S24" s="401" t="b">
        <f t="shared" si="5"/>
        <v>0</v>
      </c>
      <c r="T24" s="401" t="b">
        <f t="shared" si="6"/>
        <v>0</v>
      </c>
      <c r="V24" t="str">
        <f>'Both teabags AfterDry'!A23</f>
        <v>G125</v>
      </c>
      <c r="W24" t="str">
        <f>'Both teabags AfterDry'!A360</f>
        <v>R191</v>
      </c>
      <c r="X24" t="b">
        <f t="shared" si="7"/>
        <v>0</v>
      </c>
      <c r="Y24" t="b">
        <f t="shared" si="8"/>
        <v>0</v>
      </c>
      <c r="AA24" t="str">
        <f>'Green_rooibos initial weight'!A25</f>
        <v>G21</v>
      </c>
      <c r="AB24" t="str">
        <f>'Green_rooibos initial weight'!A929</f>
        <v>R21</v>
      </c>
      <c r="AC24" t="b">
        <f t="shared" si="9"/>
        <v>0</v>
      </c>
      <c r="AD24" t="b">
        <f t="shared" si="10"/>
        <v>0</v>
      </c>
      <c r="AG24" t="str">
        <f>'WetLitterbags placem_collection'!K23</f>
        <v>G699</v>
      </c>
      <c r="AH24" t="str">
        <f>'WetLitterbags placem_collection'!M23</f>
        <v>R529</v>
      </c>
      <c r="AI24" t="b">
        <f t="shared" si="11"/>
        <v>0</v>
      </c>
      <c r="AJ24" t="b">
        <f t="shared" si="12"/>
        <v>0</v>
      </c>
      <c r="AK24">
        <f>'WetLitterbags placem_collection'!A23</f>
        <v>21</v>
      </c>
      <c r="AL24">
        <f>'WetLitterbags placem_collection'!A23</f>
        <v>21</v>
      </c>
      <c r="AN24">
        <f>IF('Dry_Litterbag Placem_Collection'!J23=0,"",'Dry_Litterbag Placem_Collection'!J23)</f>
        <v>468</v>
      </c>
      <c r="AO24">
        <f>IF('Dry_Litterbag Placem_Collection'!K23=0,"",'Dry_Litterbag Placem_Collection'!K23)</f>
        <v>630</v>
      </c>
      <c r="AP24" t="b">
        <f t="shared" si="13"/>
        <v>0</v>
      </c>
      <c r="AQ24" t="b">
        <f t="shared" si="14"/>
        <v>0</v>
      </c>
      <c r="AT24" t="str">
        <f>'Ashed teabags dry'!A22</f>
        <v>G126</v>
      </c>
      <c r="AU24" t="str">
        <f>'Ashed teabags dry'!A359</f>
        <v>R188</v>
      </c>
      <c r="AV24" t="b">
        <f t="shared" si="15"/>
        <v>0</v>
      </c>
      <c r="AW24" t="b">
        <f t="shared" si="16"/>
        <v>0</v>
      </c>
      <c r="AZ24" s="401" t="b">
        <f t="shared" si="17"/>
        <v>0</v>
      </c>
      <c r="BA24" s="401" t="b">
        <f t="shared" si="18"/>
        <v>0</v>
      </c>
      <c r="BC24" t="str">
        <f>'Ashed teabags wet'!A22</f>
        <v>G308</v>
      </c>
      <c r="BD24" t="str">
        <f>'Ashed teabags wet'!A439</f>
        <v>R128</v>
      </c>
      <c r="BE24" t="b">
        <f t="shared" si="19"/>
        <v>0</v>
      </c>
      <c r="BF24" t="b">
        <f t="shared" si="20"/>
        <v>0</v>
      </c>
      <c r="BG24">
        <f>IFERROR('Ashed teabags wet'!C22,"")</f>
        <v>85</v>
      </c>
      <c r="BH24">
        <f>IFERROR('Ashed teabags wet'!C439,"")</f>
        <v>18</v>
      </c>
      <c r="BI24">
        <f>'Ashed teabags wet'!AB22</f>
        <v>84</v>
      </c>
      <c r="BJ24" t="str">
        <f>'Ashed teabags wet'!AC22</f>
        <v/>
      </c>
      <c r="BK24">
        <f>'Ashed teabags wet'!AD439</f>
        <v>17</v>
      </c>
      <c r="BL24" t="str">
        <f>'Ashed teabags wet'!AE439</f>
        <v/>
      </c>
      <c r="BN24" t="str">
        <f t="shared" si="21"/>
        <v>G299</v>
      </c>
      <c r="BO24" t="b">
        <f t="shared" si="23"/>
        <v>1</v>
      </c>
    </row>
    <row r="25" spans="2:68" ht="12" customHeight="1">
      <c r="B25" t="str">
        <f>TBIDry!H97</f>
        <v>G8</v>
      </c>
      <c r="C25" t="str">
        <f>TBIDry!I97</f>
        <v>R723</v>
      </c>
      <c r="D25" t="b">
        <f t="shared" si="0"/>
        <v>0</v>
      </c>
      <c r="E25" t="b">
        <f t="shared" si="1"/>
        <v>0</v>
      </c>
      <c r="G25" t="str">
        <f>TBIWet!H97</f>
        <v>G575</v>
      </c>
      <c r="H25" t="str">
        <f>TBIWet!I97</f>
        <v>R363</v>
      </c>
      <c r="I25" t="b">
        <f t="shared" si="2"/>
        <v>0</v>
      </c>
      <c r="J25" t="b">
        <f t="shared" si="22"/>
        <v>0</v>
      </c>
      <c r="L25" t="str">
        <f>'Both teabags AfterWet'!A24</f>
        <v>G308</v>
      </c>
      <c r="M25" t="str">
        <f>'Both teabags AfterWet'!A442</f>
        <v>R124</v>
      </c>
      <c r="N25" t="b">
        <f t="shared" si="3"/>
        <v>0</v>
      </c>
      <c r="O25" t="b">
        <f t="shared" si="4"/>
        <v>0</v>
      </c>
      <c r="P25">
        <f>IFERROR('Both teabags AfterWet'!B24,"")</f>
        <v>85</v>
      </c>
      <c r="Q25">
        <f>'Both teabags AfterWet'!B442</f>
        <v>161</v>
      </c>
      <c r="S25" s="401" t="b">
        <f t="shared" si="5"/>
        <v>0</v>
      </c>
      <c r="T25" s="401" t="b">
        <f t="shared" si="6"/>
        <v>0</v>
      </c>
      <c r="V25" t="str">
        <f>'Both teabags AfterDry'!A24</f>
        <v>G126</v>
      </c>
      <c r="W25" t="str">
        <f>'Both teabags AfterDry'!A361</f>
        <v>R192</v>
      </c>
      <c r="X25" t="b">
        <f t="shared" si="7"/>
        <v>0</v>
      </c>
      <c r="Y25" t="b">
        <f t="shared" si="8"/>
        <v>0</v>
      </c>
      <c r="AA25" t="str">
        <f>'Green_rooibos initial weight'!A26</f>
        <v>G22</v>
      </c>
      <c r="AB25" t="str">
        <f>'Green_rooibos initial weight'!A930</f>
        <v>R22</v>
      </c>
      <c r="AC25" t="b">
        <f t="shared" si="9"/>
        <v>0</v>
      </c>
      <c r="AD25" t="b">
        <f t="shared" si="10"/>
        <v>0</v>
      </c>
      <c r="AG25" t="str">
        <f>'WetLitterbags placem_collection'!K24</f>
        <v>G575</v>
      </c>
      <c r="AH25" t="str">
        <f>'WetLitterbags placem_collection'!M24</f>
        <v>R363</v>
      </c>
      <c r="AI25" t="b">
        <f t="shared" si="11"/>
        <v>0</v>
      </c>
      <c r="AJ25" t="b">
        <f t="shared" si="12"/>
        <v>0</v>
      </c>
      <c r="AK25">
        <f>'WetLitterbags placem_collection'!A24</f>
        <v>22</v>
      </c>
      <c r="AL25">
        <f>'WetLitterbags placem_collection'!A24</f>
        <v>22</v>
      </c>
      <c r="AN25">
        <f>IF('Dry_Litterbag Placem_Collection'!J24=0,"",'Dry_Litterbag Placem_Collection'!J24)</f>
        <v>8</v>
      </c>
      <c r="AO25">
        <f>IF('Dry_Litterbag Placem_Collection'!K24=0,"",'Dry_Litterbag Placem_Collection'!K24)</f>
        <v>723</v>
      </c>
      <c r="AP25" t="b">
        <f t="shared" si="13"/>
        <v>0</v>
      </c>
      <c r="AQ25" t="b">
        <f t="shared" si="14"/>
        <v>0</v>
      </c>
      <c r="AT25" t="str">
        <f>'Ashed teabags dry'!A23</f>
        <v>G127</v>
      </c>
      <c r="AU25" t="str">
        <f>'Ashed teabags dry'!A360</f>
        <v>R191</v>
      </c>
      <c r="AV25" t="b">
        <f t="shared" si="15"/>
        <v>0</v>
      </c>
      <c r="AW25" t="b">
        <f t="shared" si="16"/>
        <v>0</v>
      </c>
      <c r="AZ25" s="401" t="b">
        <f t="shared" si="17"/>
        <v>0</v>
      </c>
      <c r="BA25" s="401" t="b">
        <f t="shared" si="18"/>
        <v>0</v>
      </c>
      <c r="BC25" t="str">
        <f>'Ashed teabags wet'!A23</f>
        <v>G334</v>
      </c>
      <c r="BD25" t="str">
        <f>'Ashed teabags wet'!A440</f>
        <v>R129</v>
      </c>
      <c r="BE25" t="b">
        <f t="shared" si="19"/>
        <v>0</v>
      </c>
      <c r="BF25" t="b">
        <f t="shared" si="20"/>
        <v>0</v>
      </c>
      <c r="BG25">
        <f>IFERROR('Ashed teabags wet'!C23,"")</f>
        <v>166</v>
      </c>
      <c r="BH25">
        <f>IFERROR('Ashed teabags wet'!C440,"")</f>
        <v>68</v>
      </c>
      <c r="BI25">
        <f>'Ashed teabags wet'!AB23</f>
        <v>165</v>
      </c>
      <c r="BJ25" t="str">
        <f>'Ashed teabags wet'!AC23</f>
        <v/>
      </c>
      <c r="BK25">
        <f>'Ashed teabags wet'!AD440</f>
        <v>67</v>
      </c>
      <c r="BL25" t="str">
        <f>'Ashed teabags wet'!AE440</f>
        <v/>
      </c>
      <c r="BN25" t="str">
        <f t="shared" si="21"/>
        <v>G308</v>
      </c>
      <c r="BO25" t="b">
        <f t="shared" si="23"/>
        <v>1</v>
      </c>
      <c r="BP25" s="180" t="s">
        <v>3916</v>
      </c>
    </row>
    <row r="26" spans="2:68" ht="12" customHeight="1">
      <c r="B26" t="str">
        <f>TBIDry!H98</f>
        <v/>
      </c>
      <c r="C26" t="str">
        <f>TBIDry!I98</f>
        <v/>
      </c>
      <c r="D26" t="b">
        <f t="shared" si="0"/>
        <v>1</v>
      </c>
      <c r="E26" t="b">
        <f t="shared" si="1"/>
        <v>1</v>
      </c>
      <c r="G26" t="str">
        <f>TBIWet!H98</f>
        <v>G492</v>
      </c>
      <c r="H26" t="str">
        <f>TBIWet!I98</f>
        <v>R190</v>
      </c>
      <c r="I26" t="b">
        <f t="shared" si="2"/>
        <v>0</v>
      </c>
      <c r="J26" t="b">
        <f t="shared" si="22"/>
        <v>0</v>
      </c>
      <c r="L26" t="str">
        <f>'Both teabags AfterWet'!A25</f>
        <v>G334</v>
      </c>
      <c r="M26" t="str">
        <f>'Both teabags AfterWet'!A443</f>
        <v>R125</v>
      </c>
      <c r="N26" t="b">
        <f t="shared" si="3"/>
        <v>0</v>
      </c>
      <c r="O26" t="b">
        <f t="shared" si="4"/>
        <v>0</v>
      </c>
      <c r="P26" t="str">
        <f>IFERROR('Both teabags AfterWet'!B25,"")</f>
        <v>na</v>
      </c>
      <c r="Q26" t="str">
        <f>'Both teabags AfterWet'!B443</f>
        <v>n.a</v>
      </c>
      <c r="S26" s="401" t="b">
        <f t="shared" si="5"/>
        <v>0</v>
      </c>
      <c r="T26" s="401" t="b">
        <f t="shared" si="6"/>
        <v>0</v>
      </c>
      <c r="V26" t="str">
        <f>'Both teabags AfterDry'!A25</f>
        <v>G127</v>
      </c>
      <c r="W26" t="str">
        <f>'Both teabags AfterDry'!A362</f>
        <v>R193</v>
      </c>
      <c r="X26" t="b">
        <f t="shared" si="7"/>
        <v>0</v>
      </c>
      <c r="Y26" t="b">
        <f t="shared" si="8"/>
        <v>0</v>
      </c>
      <c r="AA26" t="str">
        <f>'Green_rooibos initial weight'!A27</f>
        <v>G23</v>
      </c>
      <c r="AB26" t="str">
        <f>'Green_rooibos initial weight'!A931</f>
        <v>R23</v>
      </c>
      <c r="AC26" t="b">
        <f t="shared" si="9"/>
        <v>0</v>
      </c>
      <c r="AD26" t="b">
        <f t="shared" si="10"/>
        <v>0</v>
      </c>
      <c r="AG26" t="str">
        <f>'WetLitterbags placem_collection'!K25</f>
        <v>G492</v>
      </c>
      <c r="AH26" t="str">
        <f>'WetLitterbags placem_collection'!M25</f>
        <v>R190</v>
      </c>
      <c r="AI26" t="b">
        <f t="shared" si="11"/>
        <v>0</v>
      </c>
      <c r="AJ26" t="b">
        <f t="shared" si="12"/>
        <v>0</v>
      </c>
      <c r="AK26">
        <f>'WetLitterbags placem_collection'!A25</f>
        <v>23</v>
      </c>
      <c r="AL26">
        <f>'WetLitterbags placem_collection'!A25</f>
        <v>23</v>
      </c>
      <c r="AN26" t="str">
        <f>IF('Dry_Litterbag Placem_Collection'!J25=0,"",'Dry_Litterbag Placem_Collection'!J25)</f>
        <v/>
      </c>
      <c r="AO26" t="str">
        <f>IF('Dry_Litterbag Placem_Collection'!K25=0,"",'Dry_Litterbag Placem_Collection'!K25)</f>
        <v/>
      </c>
      <c r="AP26" t="b">
        <f t="shared" si="13"/>
        <v>1</v>
      </c>
      <c r="AQ26" t="b">
        <f t="shared" si="14"/>
        <v>1</v>
      </c>
      <c r="AT26" t="str">
        <f>'Ashed teabags dry'!A24</f>
        <v>G128</v>
      </c>
      <c r="AU26" t="str">
        <f>'Ashed teabags dry'!A361</f>
        <v>R192</v>
      </c>
      <c r="AV26" t="b">
        <f t="shared" si="15"/>
        <v>0</v>
      </c>
      <c r="AW26" t="b">
        <f t="shared" si="16"/>
        <v>0</v>
      </c>
      <c r="AZ26" s="401" t="b">
        <f t="shared" si="17"/>
        <v>0</v>
      </c>
      <c r="BA26" s="401" t="b">
        <f t="shared" si="18"/>
        <v>0</v>
      </c>
      <c r="BC26" t="str">
        <f>'Ashed teabags wet'!A24</f>
        <v>G337</v>
      </c>
      <c r="BD26" t="str">
        <f>'Ashed teabags wet'!A441</f>
        <v>R130</v>
      </c>
      <c r="BE26" t="b">
        <f t="shared" si="19"/>
        <v>0</v>
      </c>
      <c r="BF26" t="b">
        <f t="shared" si="20"/>
        <v>0</v>
      </c>
      <c r="BG26">
        <f>IFERROR('Ashed teabags wet'!C24,"")</f>
        <v>184</v>
      </c>
      <c r="BH26">
        <f>IFERROR('Ashed teabags wet'!C441,"")</f>
        <v>212</v>
      </c>
      <c r="BI26" t="str">
        <f>'Ashed teabags wet'!AB24</f>
        <v/>
      </c>
      <c r="BJ26">
        <f>'Ashed teabags wet'!AC24</f>
        <v>183</v>
      </c>
      <c r="BK26" t="str">
        <f>'Ashed teabags wet'!AD441</f>
        <v/>
      </c>
      <c r="BL26">
        <f>'Ashed teabags wet'!AE441</f>
        <v>211</v>
      </c>
      <c r="BN26" t="str">
        <f t="shared" si="21"/>
        <v>G334</v>
      </c>
      <c r="BO26" t="b">
        <f t="shared" si="23"/>
        <v>1</v>
      </c>
      <c r="BP26" s="402"/>
    </row>
    <row r="27" spans="2:68" ht="12" customHeight="1">
      <c r="B27" t="str">
        <f>TBIDry!H99</f>
        <v>G320</v>
      </c>
      <c r="C27" t="str">
        <f>TBIDry!I99</f>
        <v>R225</v>
      </c>
      <c r="D27" t="b">
        <f t="shared" si="0"/>
        <v>0</v>
      </c>
      <c r="E27" t="b">
        <f t="shared" si="1"/>
        <v>0</v>
      </c>
      <c r="G27" t="str">
        <f>TBIWet!H99</f>
        <v>G813</v>
      </c>
      <c r="H27" t="str">
        <f>TBIWet!I99</f>
        <v>R144</v>
      </c>
      <c r="I27" t="b">
        <f t="shared" si="2"/>
        <v>0</v>
      </c>
      <c r="J27" t="b">
        <f t="shared" si="22"/>
        <v>0</v>
      </c>
      <c r="L27" t="str">
        <f>'Both teabags AfterWet'!A26</f>
        <v>G337</v>
      </c>
      <c r="M27" t="str">
        <f>'Both teabags AfterWet'!A444</f>
        <v>R126</v>
      </c>
      <c r="N27" t="b">
        <f t="shared" si="3"/>
        <v>0</v>
      </c>
      <c r="O27" t="b">
        <f t="shared" si="4"/>
        <v>0</v>
      </c>
      <c r="P27" t="str">
        <f>IFERROR('Both teabags AfterWet'!B26,"")</f>
        <v>na</v>
      </c>
      <c r="Q27" t="str">
        <f>'Both teabags AfterWet'!B444</f>
        <v>N.A</v>
      </c>
      <c r="S27" s="401" t="b">
        <f t="shared" si="5"/>
        <v>0</v>
      </c>
      <c r="T27" s="401" t="b">
        <f t="shared" si="6"/>
        <v>0</v>
      </c>
      <c r="V27" t="str">
        <f>'Both teabags AfterDry'!A26</f>
        <v>G128</v>
      </c>
      <c r="W27" t="str">
        <f>'Both teabags AfterDry'!A363</f>
        <v>R195</v>
      </c>
      <c r="X27" t="b">
        <f t="shared" si="7"/>
        <v>0</v>
      </c>
      <c r="Y27" t="b">
        <f t="shared" si="8"/>
        <v>0</v>
      </c>
      <c r="AA27" t="str">
        <f>'Green_rooibos initial weight'!A28</f>
        <v>G24</v>
      </c>
      <c r="AB27" t="str">
        <f>'Green_rooibos initial weight'!A932</f>
        <v>R24</v>
      </c>
      <c r="AC27" t="b">
        <f t="shared" si="9"/>
        <v>0</v>
      </c>
      <c r="AD27" t="b">
        <f t="shared" si="10"/>
        <v>0</v>
      </c>
      <c r="AG27" t="str">
        <f>'WetLitterbags placem_collection'!K26</f>
        <v>G813</v>
      </c>
      <c r="AH27" t="str">
        <f>'WetLitterbags placem_collection'!M26</f>
        <v>R144</v>
      </c>
      <c r="AI27" t="b">
        <f t="shared" si="11"/>
        <v>0</v>
      </c>
      <c r="AJ27" t="b">
        <f t="shared" si="12"/>
        <v>0</v>
      </c>
      <c r="AK27">
        <f>'WetLitterbags placem_collection'!A26</f>
        <v>24</v>
      </c>
      <c r="AL27">
        <f>'WetLitterbags placem_collection'!A26</f>
        <v>24</v>
      </c>
      <c r="AN27">
        <f>IF('Dry_Litterbag Placem_Collection'!J26=0,"",'Dry_Litterbag Placem_Collection'!J26)</f>
        <v>320</v>
      </c>
      <c r="AO27">
        <f>IF('Dry_Litterbag Placem_Collection'!K26=0,"",'Dry_Litterbag Placem_Collection'!K26)</f>
        <v>225</v>
      </c>
      <c r="AP27" t="b">
        <f t="shared" si="13"/>
        <v>0</v>
      </c>
      <c r="AQ27" t="b">
        <f t="shared" si="14"/>
        <v>0</v>
      </c>
      <c r="AT27" t="str">
        <f>'Ashed teabags dry'!A25</f>
        <v>G13</v>
      </c>
      <c r="AU27" t="str">
        <f>'Ashed teabags dry'!A362</f>
        <v>R193</v>
      </c>
      <c r="AV27" t="b">
        <f t="shared" si="15"/>
        <v>0</v>
      </c>
      <c r="AW27" t="b">
        <f t="shared" si="16"/>
        <v>0</v>
      </c>
      <c r="AZ27" s="401" t="b">
        <f t="shared" si="17"/>
        <v>0</v>
      </c>
      <c r="BA27" s="401" t="b">
        <f t="shared" si="18"/>
        <v>0</v>
      </c>
      <c r="BC27" t="str">
        <f>'Ashed teabags wet'!A25</f>
        <v>G345</v>
      </c>
      <c r="BD27" t="str">
        <f>'Ashed teabags wet'!A442</f>
        <v>R132</v>
      </c>
      <c r="BE27" t="b">
        <f t="shared" si="19"/>
        <v>0</v>
      </c>
      <c r="BF27" t="b">
        <f t="shared" si="20"/>
        <v>0</v>
      </c>
      <c r="BG27">
        <f>IFERROR('Ashed teabags wet'!C25,"")</f>
        <v>29</v>
      </c>
      <c r="BH27">
        <f>IFERROR('Ashed teabags wet'!C442,"")</f>
        <v>23</v>
      </c>
      <c r="BI27" t="str">
        <f>'Ashed teabags wet'!AB25</f>
        <v/>
      </c>
      <c r="BJ27">
        <f>'Ashed teabags wet'!AC25</f>
        <v>28</v>
      </c>
      <c r="BK27" t="str">
        <f>'Ashed teabags wet'!AD442</f>
        <v/>
      </c>
      <c r="BL27">
        <f>'Ashed teabags wet'!AE442</f>
        <v>22</v>
      </c>
      <c r="BN27" t="str">
        <f t="shared" si="21"/>
        <v>G337</v>
      </c>
      <c r="BO27" t="b">
        <f t="shared" si="23"/>
        <v>1</v>
      </c>
    </row>
    <row r="28" spans="2:68" ht="12" customHeight="1">
      <c r="B28" t="str">
        <f>TBIDry!H100</f>
        <v>G322</v>
      </c>
      <c r="C28" t="str">
        <f>TBIDry!I100</f>
        <v>R43</v>
      </c>
      <c r="D28" t="b">
        <f t="shared" si="0"/>
        <v>0</v>
      </c>
      <c r="E28" t="b">
        <f t="shared" si="1"/>
        <v>0</v>
      </c>
      <c r="G28" t="str">
        <f>TBIWet!H100</f>
        <v>G406</v>
      </c>
      <c r="H28" t="str">
        <f>TBIWet!I100</f>
        <v>R279</v>
      </c>
      <c r="I28" t="b">
        <f t="shared" si="2"/>
        <v>0</v>
      </c>
      <c r="J28" t="b">
        <f t="shared" si="22"/>
        <v>0</v>
      </c>
      <c r="L28" t="str">
        <f>'Both teabags AfterWet'!A27</f>
        <v>G345</v>
      </c>
      <c r="M28" t="str">
        <f>'Both teabags AfterWet'!A445</f>
        <v>R128</v>
      </c>
      <c r="N28" t="b">
        <f t="shared" si="3"/>
        <v>0</v>
      </c>
      <c r="O28" t="b">
        <f t="shared" si="4"/>
        <v>0</v>
      </c>
      <c r="P28" t="str">
        <f>IFERROR('Both teabags AfterWet'!B27,"")</f>
        <v>n.a</v>
      </c>
      <c r="Q28">
        <f>'Both teabags AfterWet'!B445</f>
        <v>18</v>
      </c>
      <c r="S28" s="401" t="b">
        <f t="shared" si="5"/>
        <v>0</v>
      </c>
      <c r="T28" s="401" t="b">
        <f t="shared" si="6"/>
        <v>0</v>
      </c>
      <c r="V28" t="str">
        <f>'Both teabags AfterDry'!A27</f>
        <v>G13</v>
      </c>
      <c r="W28" t="str">
        <f>'Both teabags AfterDry'!A364</f>
        <v>R197</v>
      </c>
      <c r="X28" t="b">
        <f t="shared" si="7"/>
        <v>0</v>
      </c>
      <c r="Y28" t="b">
        <f t="shared" si="8"/>
        <v>0</v>
      </c>
      <c r="AA28" t="str">
        <f>'Green_rooibos initial weight'!A29</f>
        <v>G25</v>
      </c>
      <c r="AB28" t="str">
        <f>'Green_rooibos initial weight'!A933</f>
        <v>R25</v>
      </c>
      <c r="AC28" t="b">
        <f t="shared" si="9"/>
        <v>0</v>
      </c>
      <c r="AD28" t="b">
        <f t="shared" si="10"/>
        <v>0</v>
      </c>
      <c r="AG28" t="str">
        <f>'WetLitterbags placem_collection'!K27</f>
        <v>G406</v>
      </c>
      <c r="AH28" t="str">
        <f>'WetLitterbags placem_collection'!M27</f>
        <v>R279</v>
      </c>
      <c r="AI28" t="b">
        <f t="shared" si="11"/>
        <v>0</v>
      </c>
      <c r="AJ28" t="b">
        <f t="shared" si="12"/>
        <v>0</v>
      </c>
      <c r="AK28">
        <f>'WetLitterbags placem_collection'!A27</f>
        <v>25</v>
      </c>
      <c r="AL28">
        <f>'WetLitterbags placem_collection'!A27</f>
        <v>25</v>
      </c>
      <c r="AN28">
        <f>IF('Dry_Litterbag Placem_Collection'!J27=0,"",'Dry_Litterbag Placem_Collection'!J27)</f>
        <v>322</v>
      </c>
      <c r="AO28">
        <f>IF('Dry_Litterbag Placem_Collection'!K27=0,"",'Dry_Litterbag Placem_Collection'!K27)</f>
        <v>43</v>
      </c>
      <c r="AP28" t="b">
        <f t="shared" si="13"/>
        <v>0</v>
      </c>
      <c r="AQ28" t="b">
        <f t="shared" si="14"/>
        <v>0</v>
      </c>
      <c r="AT28" t="str">
        <f>'Ashed teabags dry'!A26</f>
        <v>G130</v>
      </c>
      <c r="AU28" t="str">
        <f>'Ashed teabags dry'!A363</f>
        <v>R195</v>
      </c>
      <c r="AV28" t="b">
        <f t="shared" si="15"/>
        <v>0</v>
      </c>
      <c r="AW28" t="b">
        <f t="shared" si="16"/>
        <v>0</v>
      </c>
      <c r="AZ28" s="401" t="b">
        <f t="shared" si="17"/>
        <v>0</v>
      </c>
      <c r="BA28" s="401" t="b">
        <f t="shared" si="18"/>
        <v>0</v>
      </c>
      <c r="BC28" t="str">
        <f>'Ashed teabags wet'!A26</f>
        <v>G346</v>
      </c>
      <c r="BD28" t="str">
        <f>'Ashed teabags wet'!A443</f>
        <v>R134</v>
      </c>
      <c r="BE28" t="b">
        <f t="shared" si="19"/>
        <v>0</v>
      </c>
      <c r="BF28" t="b">
        <f t="shared" si="20"/>
        <v>0</v>
      </c>
      <c r="BG28">
        <f>IFERROR('Ashed teabags wet'!C26,"")</f>
        <v>49</v>
      </c>
      <c r="BH28">
        <f>IFERROR('Ashed teabags wet'!C443,"")</f>
        <v>83</v>
      </c>
      <c r="BI28">
        <f>'Ashed teabags wet'!AB26</f>
        <v>48</v>
      </c>
      <c r="BJ28" t="str">
        <f>'Ashed teabags wet'!AC26</f>
        <v/>
      </c>
      <c r="BK28">
        <f>'Ashed teabags wet'!AD443</f>
        <v>82</v>
      </c>
      <c r="BL28" t="str">
        <f>'Ashed teabags wet'!AE443</f>
        <v/>
      </c>
      <c r="BN28" t="str">
        <f t="shared" si="21"/>
        <v>G345</v>
      </c>
      <c r="BO28" t="b">
        <f t="shared" si="23"/>
        <v>1</v>
      </c>
    </row>
    <row r="29" spans="2:68" ht="12" customHeight="1">
      <c r="B29" t="str">
        <f>TBIDry!H101</f>
        <v>G58</v>
      </c>
      <c r="C29" t="str">
        <f>TBIDry!I101</f>
        <v>R602</v>
      </c>
      <c r="D29" t="b">
        <f t="shared" si="0"/>
        <v>0</v>
      </c>
      <c r="E29" t="b">
        <f t="shared" si="1"/>
        <v>0</v>
      </c>
      <c r="G29" t="str">
        <f>TBIWet!H101</f>
        <v>G651</v>
      </c>
      <c r="H29" t="str">
        <f>TBIWet!I101</f>
        <v>R148</v>
      </c>
      <c r="I29" t="b">
        <f t="shared" si="2"/>
        <v>0</v>
      </c>
      <c r="J29" t="b">
        <f t="shared" si="22"/>
        <v>0</v>
      </c>
      <c r="L29" t="str">
        <f>'Both teabags AfterWet'!A28</f>
        <v>G346</v>
      </c>
      <c r="M29" t="str">
        <f>'Both teabags AfterWet'!A446</f>
        <v>R129</v>
      </c>
      <c r="N29" t="b">
        <f t="shared" si="3"/>
        <v>0</v>
      </c>
      <c r="O29" t="b">
        <f t="shared" si="4"/>
        <v>0</v>
      </c>
      <c r="P29" t="str">
        <f>IFERROR('Both teabags AfterWet'!B28,"")</f>
        <v>n.a</v>
      </c>
      <c r="Q29">
        <f>'Both teabags AfterWet'!B446</f>
        <v>68</v>
      </c>
      <c r="S29" s="401" t="b">
        <f t="shared" si="5"/>
        <v>0</v>
      </c>
      <c r="T29" s="401" t="b">
        <f t="shared" si="6"/>
        <v>0</v>
      </c>
      <c r="V29" t="str">
        <f>'Both teabags AfterDry'!A28</f>
        <v>G130</v>
      </c>
      <c r="W29" t="str">
        <f>'Both teabags AfterDry'!A365</f>
        <v>R198</v>
      </c>
      <c r="X29" t="b">
        <f t="shared" si="7"/>
        <v>0</v>
      </c>
      <c r="Y29" t="b">
        <f t="shared" si="8"/>
        <v>0</v>
      </c>
      <c r="AA29" t="str">
        <f>'Green_rooibos initial weight'!A30</f>
        <v>G26</v>
      </c>
      <c r="AB29" t="str">
        <f>'Green_rooibos initial weight'!A934</f>
        <v>R26</v>
      </c>
      <c r="AC29" t="b">
        <f t="shared" si="9"/>
        <v>0</v>
      </c>
      <c r="AD29" t="b">
        <f t="shared" si="10"/>
        <v>0</v>
      </c>
      <c r="AG29" t="str">
        <f>'WetLitterbags placem_collection'!K28</f>
        <v>G651</v>
      </c>
      <c r="AH29" t="str">
        <f>'WetLitterbags placem_collection'!M28</f>
        <v>R148</v>
      </c>
      <c r="AI29" t="b">
        <f t="shared" si="11"/>
        <v>0</v>
      </c>
      <c r="AJ29" t="b">
        <f t="shared" si="12"/>
        <v>0</v>
      </c>
      <c r="AK29">
        <f>'WetLitterbags placem_collection'!A28</f>
        <v>26</v>
      </c>
      <c r="AL29">
        <f>'WetLitterbags placem_collection'!A28</f>
        <v>26</v>
      </c>
      <c r="AN29">
        <f>IF('Dry_Litterbag Placem_Collection'!J28=0,"",'Dry_Litterbag Placem_Collection'!J28)</f>
        <v>58</v>
      </c>
      <c r="AO29">
        <f>IF('Dry_Litterbag Placem_Collection'!K28=0,"",'Dry_Litterbag Placem_Collection'!K28)</f>
        <v>602</v>
      </c>
      <c r="AP29" t="b">
        <f t="shared" si="13"/>
        <v>0</v>
      </c>
      <c r="AQ29" t="b">
        <f t="shared" si="14"/>
        <v>0</v>
      </c>
      <c r="AT29" t="str">
        <f>'Ashed teabags dry'!A27</f>
        <v>G131</v>
      </c>
      <c r="AU29" t="str">
        <f>'Ashed teabags dry'!A364</f>
        <v>R197</v>
      </c>
      <c r="AV29" t="b">
        <f t="shared" si="15"/>
        <v>0</v>
      </c>
      <c r="AW29" t="b">
        <f t="shared" si="16"/>
        <v>0</v>
      </c>
      <c r="AZ29" s="401" t="b">
        <f t="shared" si="17"/>
        <v>0</v>
      </c>
      <c r="BA29" s="401" t="b">
        <f t="shared" si="18"/>
        <v>0</v>
      </c>
      <c r="BC29" t="str">
        <f>'Ashed teabags wet'!A27</f>
        <v>G351</v>
      </c>
      <c r="BD29" t="str">
        <f>'Ashed teabags wet'!A444</f>
        <v>R135</v>
      </c>
      <c r="BE29" t="b">
        <f t="shared" si="19"/>
        <v>0</v>
      </c>
      <c r="BF29" t="b">
        <f t="shared" si="20"/>
        <v>0</v>
      </c>
      <c r="BG29">
        <f>IFERROR('Ashed teabags wet'!C27,"")</f>
        <v>161</v>
      </c>
      <c r="BH29">
        <f>IFERROR('Ashed teabags wet'!C444,"")</f>
        <v>202</v>
      </c>
      <c r="BI29" t="str">
        <f>'Ashed teabags wet'!AB27</f>
        <v/>
      </c>
      <c r="BJ29">
        <f>'Ashed teabags wet'!AC27</f>
        <v>160</v>
      </c>
      <c r="BK29">
        <f>'Ashed teabags wet'!AD444</f>
        <v>201</v>
      </c>
      <c r="BL29" t="str">
        <f>'Ashed teabags wet'!AE444</f>
        <v/>
      </c>
      <c r="BN29" t="str">
        <f t="shared" si="21"/>
        <v>G346</v>
      </c>
      <c r="BO29" t="b">
        <f t="shared" si="23"/>
        <v>1</v>
      </c>
    </row>
    <row r="30" spans="2:68" ht="12" customHeight="1">
      <c r="B30" t="str">
        <f>TBIDry!H102</f>
        <v>G340</v>
      </c>
      <c r="C30" t="str">
        <f>TBIDry!I102</f>
        <v>R666</v>
      </c>
      <c r="D30" t="b">
        <f t="shared" si="0"/>
        <v>0</v>
      </c>
      <c r="E30" t="b">
        <f t="shared" si="1"/>
        <v>0</v>
      </c>
      <c r="G30" t="str">
        <f>TBIWet!H102</f>
        <v>G583</v>
      </c>
      <c r="H30" t="str">
        <f>TBIWet!I102</f>
        <v>R112</v>
      </c>
      <c r="I30" t="b">
        <f t="shared" si="2"/>
        <v>0</v>
      </c>
      <c r="J30" t="b">
        <f t="shared" si="22"/>
        <v>0</v>
      </c>
      <c r="L30" t="str">
        <f>'Both teabags AfterWet'!A29</f>
        <v>G499</v>
      </c>
      <c r="M30" t="str">
        <f>'Both teabags AfterWet'!A447</f>
        <v>R130</v>
      </c>
      <c r="N30" t="b">
        <f t="shared" si="3"/>
        <v>0</v>
      </c>
      <c r="O30" t="b">
        <f t="shared" si="4"/>
        <v>0</v>
      </c>
      <c r="P30">
        <f>IFERROR('Both teabags AfterWet'!B29,"")</f>
        <v>38</v>
      </c>
      <c r="Q30">
        <f>'Both teabags AfterWet'!B447</f>
        <v>212</v>
      </c>
      <c r="S30" s="401" t="b">
        <f t="shared" si="5"/>
        <v>0</v>
      </c>
      <c r="T30" s="401" t="b">
        <f t="shared" si="6"/>
        <v>0</v>
      </c>
      <c r="V30" t="str">
        <f>'Both teabags AfterDry'!A29</f>
        <v>G131</v>
      </c>
      <c r="W30" t="str">
        <f>'Both teabags AfterDry'!A366</f>
        <v>R201</v>
      </c>
      <c r="X30" t="b">
        <f t="shared" si="7"/>
        <v>0</v>
      </c>
      <c r="Y30" t="b">
        <f t="shared" si="8"/>
        <v>0</v>
      </c>
      <c r="AA30" t="str">
        <f>'Green_rooibos initial weight'!A31</f>
        <v>G27</v>
      </c>
      <c r="AB30" t="str">
        <f>'Green_rooibos initial weight'!A935</f>
        <v>R27</v>
      </c>
      <c r="AC30" t="b">
        <f t="shared" si="9"/>
        <v>0</v>
      </c>
      <c r="AD30" t="b">
        <f t="shared" si="10"/>
        <v>0</v>
      </c>
      <c r="AG30" t="str">
        <f>'WetLitterbags placem_collection'!K29</f>
        <v>G583</v>
      </c>
      <c r="AH30" t="str">
        <f>'WetLitterbags placem_collection'!M29</f>
        <v>R112</v>
      </c>
      <c r="AI30" t="b">
        <f t="shared" si="11"/>
        <v>0</v>
      </c>
      <c r="AJ30" t="b">
        <f t="shared" si="12"/>
        <v>0</v>
      </c>
      <c r="AK30">
        <f>'WetLitterbags placem_collection'!A29</f>
        <v>27</v>
      </c>
      <c r="AL30">
        <f>'WetLitterbags placem_collection'!A29</f>
        <v>27</v>
      </c>
      <c r="AN30">
        <f>IF('Dry_Litterbag Placem_Collection'!J29=0,"",'Dry_Litterbag Placem_Collection'!J29)</f>
        <v>340</v>
      </c>
      <c r="AO30">
        <f>IF('Dry_Litterbag Placem_Collection'!K29=0,"",'Dry_Litterbag Placem_Collection'!K29)</f>
        <v>666</v>
      </c>
      <c r="AP30" t="b">
        <f t="shared" si="13"/>
        <v>0</v>
      </c>
      <c r="AQ30" t="b">
        <f t="shared" si="14"/>
        <v>0</v>
      </c>
      <c r="AT30" t="str">
        <f>'Ashed teabags dry'!A28</f>
        <v>G134</v>
      </c>
      <c r="AU30" t="str">
        <f>'Ashed teabags dry'!A365</f>
        <v>R198</v>
      </c>
      <c r="AV30" t="b">
        <f t="shared" si="15"/>
        <v>0</v>
      </c>
      <c r="AW30" t="b">
        <f t="shared" si="16"/>
        <v>0</v>
      </c>
      <c r="AZ30" s="401" t="b">
        <f t="shared" si="17"/>
        <v>0</v>
      </c>
      <c r="BA30" s="401" t="b">
        <f t="shared" si="18"/>
        <v>0</v>
      </c>
      <c r="BC30" t="str">
        <f>'Ashed teabags wet'!A28</f>
        <v>G352</v>
      </c>
      <c r="BD30" t="str">
        <f>'Ashed teabags wet'!A445</f>
        <v>R136</v>
      </c>
      <c r="BE30" t="b">
        <f t="shared" si="19"/>
        <v>0</v>
      </c>
      <c r="BF30" t="b">
        <f t="shared" si="20"/>
        <v>0</v>
      </c>
      <c r="BG30">
        <f>IFERROR('Ashed teabags wet'!C28,"")</f>
        <v>161</v>
      </c>
      <c r="BH30">
        <f>IFERROR('Ashed teabags wet'!C445,"")</f>
        <v>93</v>
      </c>
      <c r="BI30" t="str">
        <f>'Ashed teabags wet'!AB28</f>
        <v/>
      </c>
      <c r="BJ30" t="str">
        <f>'Ashed teabags wet'!AC28</f>
        <v/>
      </c>
      <c r="BK30" t="str">
        <f>'Ashed teabags wet'!AD445</f>
        <v/>
      </c>
      <c r="BL30">
        <f>'Ashed teabags wet'!AE445</f>
        <v>92</v>
      </c>
      <c r="BN30" t="str">
        <f t="shared" si="21"/>
        <v>G351</v>
      </c>
      <c r="BO30" t="b">
        <f t="shared" si="23"/>
        <v>1</v>
      </c>
    </row>
    <row r="31" spans="2:68" ht="12" customHeight="1">
      <c r="B31" t="str">
        <f>TBIDry!H103</f>
        <v>G61</v>
      </c>
      <c r="C31" t="str">
        <f>TBIDry!I103</f>
        <v>R705</v>
      </c>
      <c r="D31" t="b">
        <f t="shared" si="0"/>
        <v>0</v>
      </c>
      <c r="E31" t="b">
        <f t="shared" si="1"/>
        <v>0</v>
      </c>
      <c r="G31" t="str">
        <f>TBIWet!H103</f>
        <v>G702</v>
      </c>
      <c r="H31" t="str">
        <f>TBIWet!I103</f>
        <v>R436</v>
      </c>
      <c r="I31" t="b">
        <f t="shared" si="2"/>
        <v>0</v>
      </c>
      <c r="J31" t="b">
        <f t="shared" si="22"/>
        <v>0</v>
      </c>
      <c r="L31" t="str">
        <f>'Both teabags AfterWet'!A30</f>
        <v>G351</v>
      </c>
      <c r="M31" t="str">
        <f>'Both teabags AfterWet'!A448</f>
        <v>R132</v>
      </c>
      <c r="N31" t="b">
        <f t="shared" si="3"/>
        <v>0</v>
      </c>
      <c r="O31" t="b">
        <f t="shared" si="4"/>
        <v>0</v>
      </c>
      <c r="P31">
        <f>IFERROR('Both teabags AfterWet'!B30,"")</f>
        <v>161</v>
      </c>
      <c r="Q31">
        <f>'Both teabags AfterWet'!B448</f>
        <v>23</v>
      </c>
      <c r="S31" s="401" t="b">
        <f t="shared" si="5"/>
        <v>0</v>
      </c>
      <c r="T31" s="401" t="b">
        <f t="shared" si="6"/>
        <v>0</v>
      </c>
      <c r="V31" t="str">
        <f>'Both teabags AfterDry'!A30</f>
        <v>G134</v>
      </c>
      <c r="W31" t="str">
        <f>'Both teabags AfterDry'!A367</f>
        <v>R203</v>
      </c>
      <c r="X31" t="b">
        <f t="shared" si="7"/>
        <v>0</v>
      </c>
      <c r="Y31" t="b">
        <f t="shared" si="8"/>
        <v>0</v>
      </c>
      <c r="AA31" t="str">
        <f>'Green_rooibos initial weight'!A32</f>
        <v>G28</v>
      </c>
      <c r="AB31" t="str">
        <f>'Green_rooibos initial weight'!A936</f>
        <v>R28</v>
      </c>
      <c r="AC31" t="b">
        <f t="shared" si="9"/>
        <v>0</v>
      </c>
      <c r="AD31" t="b">
        <f t="shared" si="10"/>
        <v>0</v>
      </c>
      <c r="AG31" t="str">
        <f>'WetLitterbags placem_collection'!K30</f>
        <v>G702</v>
      </c>
      <c r="AH31" t="str">
        <f>'WetLitterbags placem_collection'!M30</f>
        <v>R436</v>
      </c>
      <c r="AI31" t="b">
        <f t="shared" si="11"/>
        <v>0</v>
      </c>
      <c r="AJ31" t="b">
        <f t="shared" si="12"/>
        <v>0</v>
      </c>
      <c r="AK31">
        <f>'WetLitterbags placem_collection'!A30</f>
        <v>28</v>
      </c>
      <c r="AL31">
        <f>'WetLitterbags placem_collection'!A30</f>
        <v>28</v>
      </c>
      <c r="AN31">
        <f>IF('Dry_Litterbag Placem_Collection'!J30=0,"",'Dry_Litterbag Placem_Collection'!J30)</f>
        <v>61</v>
      </c>
      <c r="AO31">
        <f>IF('Dry_Litterbag Placem_Collection'!K30=0,"",'Dry_Litterbag Placem_Collection'!K30)</f>
        <v>705</v>
      </c>
      <c r="AP31" t="b">
        <f t="shared" si="13"/>
        <v>0</v>
      </c>
      <c r="AQ31" t="b">
        <f t="shared" si="14"/>
        <v>0</v>
      </c>
      <c r="AT31" t="str">
        <f>'Ashed teabags dry'!A29</f>
        <v>G135</v>
      </c>
      <c r="AU31" t="str">
        <f>'Ashed teabags dry'!A366</f>
        <v>R201</v>
      </c>
      <c r="AV31" t="b">
        <f t="shared" si="15"/>
        <v>0</v>
      </c>
      <c r="AW31" t="b">
        <f t="shared" si="16"/>
        <v>0</v>
      </c>
      <c r="AZ31" s="401" t="b">
        <f t="shared" si="17"/>
        <v>0</v>
      </c>
      <c r="BA31" s="401" t="b">
        <f t="shared" si="18"/>
        <v>0</v>
      </c>
      <c r="BC31" t="str">
        <f>'Ashed teabags wet'!A29</f>
        <v>G355</v>
      </c>
      <c r="BD31" t="str">
        <f>'Ashed teabags wet'!A446</f>
        <v>R137</v>
      </c>
      <c r="BE31" t="b">
        <f t="shared" si="19"/>
        <v>0</v>
      </c>
      <c r="BF31" t="b">
        <f t="shared" si="20"/>
        <v>0</v>
      </c>
      <c r="BG31">
        <f>IFERROR('Ashed teabags wet'!C29,"")</f>
        <v>90</v>
      </c>
      <c r="BH31">
        <f>IFERROR('Ashed teabags wet'!C446,"")</f>
        <v>77</v>
      </c>
      <c r="BI31" t="str">
        <f>'Ashed teabags wet'!AB29</f>
        <v/>
      </c>
      <c r="BJ31">
        <f>'Ashed teabags wet'!AC29</f>
        <v>89</v>
      </c>
      <c r="BK31">
        <f>'Ashed teabags wet'!AD446</f>
        <v>76</v>
      </c>
      <c r="BL31" t="str">
        <f>'Ashed teabags wet'!AE446</f>
        <v/>
      </c>
      <c r="BN31" t="str">
        <f t="shared" si="21"/>
        <v>G352</v>
      </c>
      <c r="BO31" t="b">
        <f t="shared" si="23"/>
        <v>1</v>
      </c>
      <c r="BP31" s="402"/>
    </row>
    <row r="32" spans="2:68" ht="12" customHeight="1">
      <c r="B32" t="str">
        <f>TBIDry!H104</f>
        <v>G319</v>
      </c>
      <c r="C32" t="str">
        <f>TBIDry!I104</f>
        <v>R305</v>
      </c>
      <c r="D32" t="b">
        <f t="shared" si="0"/>
        <v>0</v>
      </c>
      <c r="E32" t="b">
        <f t="shared" si="1"/>
        <v>0</v>
      </c>
      <c r="G32" t="str">
        <f>TBIWet!H104</f>
        <v>G838</v>
      </c>
      <c r="H32" t="str">
        <f>TBIWet!I104</f>
        <v>R386</v>
      </c>
      <c r="I32" t="b">
        <f t="shared" si="2"/>
        <v>0</v>
      </c>
      <c r="J32" t="b">
        <f t="shared" si="22"/>
        <v>0</v>
      </c>
      <c r="L32" t="str">
        <f>'Both teabags AfterWet'!A31</f>
        <v>G352</v>
      </c>
      <c r="M32" t="str">
        <f>'Both teabags AfterWet'!A449</f>
        <v>R133</v>
      </c>
      <c r="N32" t="b">
        <f t="shared" si="3"/>
        <v>0</v>
      </c>
      <c r="O32" t="b">
        <f t="shared" si="4"/>
        <v>0</v>
      </c>
      <c r="P32">
        <f>IFERROR('Both teabags AfterWet'!B31,"")</f>
        <v>161</v>
      </c>
      <c r="Q32" t="str">
        <f>'Both teabags AfterWet'!B449</f>
        <v>n.a</v>
      </c>
      <c r="S32" s="401" t="b">
        <f t="shared" si="5"/>
        <v>0</v>
      </c>
      <c r="T32" s="401" t="b">
        <f t="shared" si="6"/>
        <v>0</v>
      </c>
      <c r="V32" t="str">
        <f>'Both teabags AfterDry'!A31</f>
        <v>G135</v>
      </c>
      <c r="W32" t="str">
        <f>'Both teabags AfterDry'!A368</f>
        <v>R204</v>
      </c>
      <c r="X32" t="b">
        <f t="shared" si="7"/>
        <v>0</v>
      </c>
      <c r="Y32" t="b">
        <f t="shared" si="8"/>
        <v>0</v>
      </c>
      <c r="AA32" t="str">
        <f>'Green_rooibos initial weight'!A33</f>
        <v>G29</v>
      </c>
      <c r="AB32" t="str">
        <f>'Green_rooibos initial weight'!A937</f>
        <v>R29</v>
      </c>
      <c r="AC32" t="b">
        <f t="shared" si="9"/>
        <v>0</v>
      </c>
      <c r="AD32" t="b">
        <f t="shared" si="10"/>
        <v>0</v>
      </c>
      <c r="AG32" t="str">
        <f>'WetLitterbags placem_collection'!K31</f>
        <v>G838</v>
      </c>
      <c r="AH32" t="str">
        <f>'WetLitterbags placem_collection'!M31</f>
        <v>R386</v>
      </c>
      <c r="AI32" t="b">
        <f t="shared" si="11"/>
        <v>0</v>
      </c>
      <c r="AJ32" t="b">
        <f t="shared" si="12"/>
        <v>0</v>
      </c>
      <c r="AK32">
        <f>'WetLitterbags placem_collection'!A31</f>
        <v>29</v>
      </c>
      <c r="AL32">
        <f>'WetLitterbags placem_collection'!A31</f>
        <v>29</v>
      </c>
      <c r="AN32">
        <f>IF('Dry_Litterbag Placem_Collection'!J31=0,"",'Dry_Litterbag Placem_Collection'!J31)</f>
        <v>319</v>
      </c>
      <c r="AO32">
        <f>IF('Dry_Litterbag Placem_Collection'!K31=0,"",'Dry_Litterbag Placem_Collection'!K31)</f>
        <v>305</v>
      </c>
      <c r="AP32" t="b">
        <f t="shared" si="13"/>
        <v>0</v>
      </c>
      <c r="AQ32" t="b">
        <f t="shared" si="14"/>
        <v>0</v>
      </c>
      <c r="AT32" t="str">
        <f>'Ashed teabags dry'!A30</f>
        <v>G136</v>
      </c>
      <c r="AU32" t="str">
        <f>'Ashed teabags dry'!A367</f>
        <v>R203</v>
      </c>
      <c r="AV32" s="113" t="b">
        <f t="shared" si="15"/>
        <v>1</v>
      </c>
      <c r="AW32" t="b">
        <f t="shared" si="16"/>
        <v>0</v>
      </c>
      <c r="AZ32" s="401" t="b">
        <f t="shared" si="17"/>
        <v>0</v>
      </c>
      <c r="BA32" s="401" t="b">
        <f t="shared" si="18"/>
        <v>0</v>
      </c>
      <c r="BC32" t="str">
        <f>'Ashed teabags wet'!A30</f>
        <v>G358</v>
      </c>
      <c r="BD32" t="str">
        <f>'Ashed teabags wet'!A447</f>
        <v>R138</v>
      </c>
      <c r="BE32" t="b">
        <f t="shared" si="19"/>
        <v>0</v>
      </c>
      <c r="BF32" t="b">
        <f t="shared" si="20"/>
        <v>0</v>
      </c>
      <c r="BG32">
        <f>IFERROR('Ashed teabags wet'!C30,"")</f>
        <v>70</v>
      </c>
      <c r="BH32">
        <f>IFERROR('Ashed teabags wet'!C447,"")</f>
        <v>74</v>
      </c>
      <c r="BI32">
        <f>'Ashed teabags wet'!AB30</f>
        <v>69</v>
      </c>
      <c r="BJ32" t="str">
        <f>'Ashed teabags wet'!AC30</f>
        <v/>
      </c>
      <c r="BK32" t="str">
        <f>'Ashed teabags wet'!AD447</f>
        <v/>
      </c>
      <c r="BL32">
        <f>'Ashed teabags wet'!AE447</f>
        <v>73</v>
      </c>
      <c r="BN32" t="str">
        <f t="shared" si="21"/>
        <v>G355</v>
      </c>
      <c r="BO32" t="b">
        <f t="shared" si="23"/>
        <v>1</v>
      </c>
    </row>
    <row r="33" spans="2:68" ht="12" customHeight="1">
      <c r="B33" t="str">
        <f>TBIDry!H105</f>
        <v>G273</v>
      </c>
      <c r="C33" t="str">
        <f>TBIDry!I105</f>
        <v>R667</v>
      </c>
      <c r="D33" t="b">
        <f t="shared" si="0"/>
        <v>0</v>
      </c>
      <c r="E33" t="b">
        <f t="shared" si="1"/>
        <v>0</v>
      </c>
      <c r="G33" t="str">
        <f>TBIWet!H105</f>
        <v>G518</v>
      </c>
      <c r="H33" t="str">
        <f>TBIWet!I105</f>
        <v>R507</v>
      </c>
      <c r="I33" t="b">
        <f t="shared" si="2"/>
        <v>0</v>
      </c>
      <c r="J33" t="b">
        <f t="shared" si="22"/>
        <v>0</v>
      </c>
      <c r="L33" t="str">
        <f>'Both teabags AfterWet'!A32</f>
        <v>G355</v>
      </c>
      <c r="M33" t="str">
        <f>'Both teabags AfterWet'!A450</f>
        <v>R134</v>
      </c>
      <c r="N33" t="b">
        <f t="shared" si="3"/>
        <v>0</v>
      </c>
      <c r="O33" t="b">
        <f t="shared" si="4"/>
        <v>0</v>
      </c>
      <c r="P33">
        <f>IFERROR('Both teabags AfterWet'!B32,"")</f>
        <v>90</v>
      </c>
      <c r="Q33">
        <f>'Both teabags AfterWet'!B450</f>
        <v>83</v>
      </c>
      <c r="S33" s="401" t="b">
        <f t="shared" si="5"/>
        <v>0</v>
      </c>
      <c r="T33" s="401" t="b">
        <f t="shared" si="6"/>
        <v>0</v>
      </c>
      <c r="V33" t="str">
        <f>'Both teabags AfterDry'!A32</f>
        <v>G136</v>
      </c>
      <c r="W33" t="str">
        <f>'Both teabags AfterDry'!A369</f>
        <v>R205</v>
      </c>
      <c r="X33" t="b">
        <f t="shared" si="7"/>
        <v>0</v>
      </c>
      <c r="Y33" t="b">
        <f t="shared" si="8"/>
        <v>0</v>
      </c>
      <c r="AA33" t="str">
        <f>'Green_rooibos initial weight'!A34</f>
        <v>G30</v>
      </c>
      <c r="AB33" t="str">
        <f>'Green_rooibos initial weight'!A938</f>
        <v>R30</v>
      </c>
      <c r="AC33" t="b">
        <f t="shared" si="9"/>
        <v>0</v>
      </c>
      <c r="AD33" t="b">
        <f t="shared" si="10"/>
        <v>0</v>
      </c>
      <c r="AG33" t="str">
        <f>'WetLitterbags placem_collection'!K32</f>
        <v>G518</v>
      </c>
      <c r="AH33" t="str">
        <f>'WetLitterbags placem_collection'!M32</f>
        <v>R507</v>
      </c>
      <c r="AI33" t="b">
        <f t="shared" si="11"/>
        <v>0</v>
      </c>
      <c r="AJ33" t="b">
        <f t="shared" si="12"/>
        <v>0</v>
      </c>
      <c r="AK33">
        <f>'WetLitterbags placem_collection'!A32</f>
        <v>30</v>
      </c>
      <c r="AL33">
        <f>'WetLitterbags placem_collection'!A32</f>
        <v>30</v>
      </c>
      <c r="AN33">
        <f>IF('Dry_Litterbag Placem_Collection'!J32=0,"",'Dry_Litterbag Placem_Collection'!J32)</f>
        <v>273</v>
      </c>
      <c r="AO33">
        <f>IF('Dry_Litterbag Placem_Collection'!K32=0,"",'Dry_Litterbag Placem_Collection'!K32)</f>
        <v>667</v>
      </c>
      <c r="AP33" t="b">
        <f t="shared" si="13"/>
        <v>0</v>
      </c>
      <c r="AQ33" t="b">
        <f t="shared" si="14"/>
        <v>0</v>
      </c>
      <c r="AT33" t="str">
        <f>'Ashed teabags dry'!A31</f>
        <v>G136</v>
      </c>
      <c r="AU33" t="str">
        <f>'Ashed teabags dry'!A368</f>
        <v>R204</v>
      </c>
      <c r="AV33" s="113" t="b">
        <f t="shared" si="15"/>
        <v>1</v>
      </c>
      <c r="AW33" t="b">
        <f t="shared" si="16"/>
        <v>0</v>
      </c>
      <c r="AZ33" s="401" t="b">
        <f t="shared" si="17"/>
        <v>0</v>
      </c>
      <c r="BA33" s="401" t="b">
        <f t="shared" si="18"/>
        <v>0</v>
      </c>
      <c r="BC33" t="str">
        <f>'Ashed teabags wet'!A31</f>
        <v>G359</v>
      </c>
      <c r="BD33" t="str">
        <f>'Ashed teabags wet'!A448</f>
        <v>R139</v>
      </c>
      <c r="BE33" t="b">
        <f t="shared" si="19"/>
        <v>0</v>
      </c>
      <c r="BF33" t="b">
        <f t="shared" si="20"/>
        <v>0</v>
      </c>
      <c r="BG33">
        <f>IFERROR('Ashed teabags wet'!C31,"")</f>
        <v>37</v>
      </c>
      <c r="BH33">
        <f>IFERROR('Ashed teabags wet'!C448,"")</f>
        <v>204</v>
      </c>
      <c r="BI33">
        <f>'Ashed teabags wet'!AB31</f>
        <v>36</v>
      </c>
      <c r="BJ33" t="str">
        <f>'Ashed teabags wet'!AC31</f>
        <v/>
      </c>
      <c r="BK33" t="str">
        <f>'Ashed teabags wet'!AD448</f>
        <v/>
      </c>
      <c r="BL33">
        <f>'Ashed teabags wet'!AE448</f>
        <v>203</v>
      </c>
      <c r="BN33" t="str">
        <f t="shared" si="21"/>
        <v>G358</v>
      </c>
      <c r="BO33" t="b">
        <f t="shared" si="23"/>
        <v>1</v>
      </c>
    </row>
    <row r="34" spans="2:68" ht="12" customHeight="1">
      <c r="B34" t="str">
        <f>TBIDry!H106</f>
        <v/>
      </c>
      <c r="C34" t="str">
        <f>TBIDry!I106</f>
        <v/>
      </c>
      <c r="D34" t="b">
        <f t="shared" si="0"/>
        <v>1</v>
      </c>
      <c r="E34" t="b">
        <f t="shared" si="1"/>
        <v>1</v>
      </c>
      <c r="G34" t="str">
        <f>TBIWet!H106</f>
        <v>G404</v>
      </c>
      <c r="H34" t="str">
        <f>TBIWet!I106</f>
        <v>R141</v>
      </c>
      <c r="I34" t="b">
        <f t="shared" si="2"/>
        <v>0</v>
      </c>
      <c r="J34" t="b">
        <f t="shared" si="22"/>
        <v>0</v>
      </c>
      <c r="L34" t="str">
        <f>'Both teabags AfterWet'!A33</f>
        <v>G556</v>
      </c>
      <c r="M34" t="str">
        <f>'Both teabags AfterWet'!A451</f>
        <v>R135</v>
      </c>
      <c r="N34" t="b">
        <f t="shared" si="3"/>
        <v>0</v>
      </c>
      <c r="O34" t="b">
        <f t="shared" si="4"/>
        <v>0</v>
      </c>
      <c r="P34">
        <f>IFERROR('Both teabags AfterWet'!B33,"")</f>
        <v>33</v>
      </c>
      <c r="Q34">
        <f>'Both teabags AfterWet'!B451</f>
        <v>202</v>
      </c>
      <c r="S34" s="401" t="b">
        <f t="shared" si="5"/>
        <v>0</v>
      </c>
      <c r="T34" s="401" t="b">
        <f t="shared" si="6"/>
        <v>0</v>
      </c>
      <c r="V34" t="str">
        <f>'Both teabags AfterDry'!A33</f>
        <v>G138</v>
      </c>
      <c r="W34" t="str">
        <f>'Both teabags AfterDry'!A370</f>
        <v>R206</v>
      </c>
      <c r="X34" t="b">
        <f t="shared" si="7"/>
        <v>0</v>
      </c>
      <c r="Y34" t="b">
        <f t="shared" si="8"/>
        <v>0</v>
      </c>
      <c r="AA34" t="str">
        <f>'Green_rooibos initial weight'!A35</f>
        <v>G31</v>
      </c>
      <c r="AB34" t="str">
        <f>'Green_rooibos initial weight'!A939</f>
        <v>R31</v>
      </c>
      <c r="AC34" t="b">
        <f t="shared" si="9"/>
        <v>0</v>
      </c>
      <c r="AD34" t="b">
        <f t="shared" si="10"/>
        <v>0</v>
      </c>
      <c r="AG34" t="str">
        <f>'WetLitterbags placem_collection'!K33</f>
        <v>G404</v>
      </c>
      <c r="AH34" t="str">
        <f>'WetLitterbags placem_collection'!M33</f>
        <v>R141</v>
      </c>
      <c r="AI34" t="b">
        <f t="shared" si="11"/>
        <v>0</v>
      </c>
      <c r="AJ34" t="b">
        <f t="shared" si="12"/>
        <v>0</v>
      </c>
      <c r="AK34">
        <f>'WetLitterbags placem_collection'!A33</f>
        <v>31</v>
      </c>
      <c r="AL34">
        <f>'WetLitterbags placem_collection'!A33</f>
        <v>31</v>
      </c>
      <c r="AN34" t="str">
        <f>IF('Dry_Litterbag Placem_Collection'!J33=0,"",'Dry_Litterbag Placem_Collection'!J33)</f>
        <v/>
      </c>
      <c r="AO34" t="str">
        <f>IF('Dry_Litterbag Placem_Collection'!K33=0,"",'Dry_Litterbag Placem_Collection'!K33)</f>
        <v/>
      </c>
      <c r="AP34" t="b">
        <f t="shared" si="13"/>
        <v>1</v>
      </c>
      <c r="AQ34" t="b">
        <f t="shared" si="14"/>
        <v>1</v>
      </c>
      <c r="AT34" t="str">
        <f>'Ashed teabags dry'!A32</f>
        <v>G138</v>
      </c>
      <c r="AU34" t="str">
        <f>'Ashed teabags dry'!A369</f>
        <v>R205</v>
      </c>
      <c r="AV34" t="b">
        <f t="shared" si="15"/>
        <v>0</v>
      </c>
      <c r="AW34" t="b">
        <f t="shared" si="16"/>
        <v>0</v>
      </c>
      <c r="AZ34" s="401" t="b">
        <f t="shared" si="17"/>
        <v>0</v>
      </c>
      <c r="BA34" s="401" t="b">
        <f t="shared" si="18"/>
        <v>0</v>
      </c>
      <c r="BC34" t="str">
        <f>'Ashed teabags wet'!A32</f>
        <v>G360</v>
      </c>
      <c r="BD34" t="str">
        <f>'Ashed teabags wet'!A449</f>
        <v>R14</v>
      </c>
      <c r="BE34" t="b">
        <f t="shared" si="19"/>
        <v>0</v>
      </c>
      <c r="BF34" t="b">
        <f t="shared" si="20"/>
        <v>0</v>
      </c>
      <c r="BG34">
        <f>IFERROR('Ashed teabags wet'!C32,"")</f>
        <v>180</v>
      </c>
      <c r="BH34">
        <f>IFERROR('Ashed teabags wet'!C449,"")</f>
        <v>72</v>
      </c>
      <c r="BI34">
        <f>'Ashed teabags wet'!AB32</f>
        <v>179</v>
      </c>
      <c r="BJ34" t="str">
        <f>'Ashed teabags wet'!AC32</f>
        <v/>
      </c>
      <c r="BK34" t="str">
        <f>'Ashed teabags wet'!AD449</f>
        <v/>
      </c>
      <c r="BL34">
        <f>'Ashed teabags wet'!AE449</f>
        <v>71</v>
      </c>
      <c r="BN34" t="str">
        <f t="shared" si="21"/>
        <v>G359</v>
      </c>
      <c r="BO34" t="b">
        <f t="shared" si="23"/>
        <v>1</v>
      </c>
    </row>
    <row r="35" spans="2:68" ht="12" customHeight="1">
      <c r="B35" t="str">
        <f>TBIDry!H107</f>
        <v>G193</v>
      </c>
      <c r="C35" t="str">
        <f>TBIDry!I107</f>
        <v>R743</v>
      </c>
      <c r="D35" t="b">
        <f t="shared" si="0"/>
        <v>0</v>
      </c>
      <c r="E35" t="b">
        <f t="shared" si="1"/>
        <v>0</v>
      </c>
      <c r="G35" t="str">
        <f>TBIWet!H107</f>
        <v>G527</v>
      </c>
      <c r="H35" t="str">
        <f>TBIWet!I107</f>
        <v>R396</v>
      </c>
      <c r="I35" t="b">
        <f t="shared" si="2"/>
        <v>0</v>
      </c>
      <c r="J35" t="b">
        <f t="shared" si="22"/>
        <v>0</v>
      </c>
      <c r="L35" t="str">
        <f>'Both teabags AfterWet'!A34</f>
        <v>G358</v>
      </c>
      <c r="M35" t="str">
        <f>'Both teabags AfterWet'!A452</f>
        <v>R136</v>
      </c>
      <c r="N35" t="b">
        <f t="shared" si="3"/>
        <v>0</v>
      </c>
      <c r="O35" t="b">
        <f t="shared" si="4"/>
        <v>0</v>
      </c>
      <c r="P35">
        <f>IFERROR('Both teabags AfterWet'!B34,"")</f>
        <v>70</v>
      </c>
      <c r="Q35" t="str">
        <f>'Both teabags AfterWet'!B452</f>
        <v>n.a</v>
      </c>
      <c r="S35" s="401" t="b">
        <f t="shared" si="5"/>
        <v>0</v>
      </c>
      <c r="T35" s="401" t="b">
        <f t="shared" si="6"/>
        <v>0</v>
      </c>
      <c r="V35" t="str">
        <f>'Both teabags AfterDry'!A34</f>
        <v>G139</v>
      </c>
      <c r="W35" t="str">
        <f>'Both teabags AfterDry'!A371</f>
        <v>R207</v>
      </c>
      <c r="X35" t="b">
        <f t="shared" si="7"/>
        <v>0</v>
      </c>
      <c r="Y35" t="b">
        <f t="shared" si="8"/>
        <v>0</v>
      </c>
      <c r="AA35" t="str">
        <f>'Green_rooibos initial weight'!A36</f>
        <v>G32</v>
      </c>
      <c r="AB35" t="str">
        <f>'Green_rooibos initial weight'!A940</f>
        <v>R32</v>
      </c>
      <c r="AC35" t="b">
        <f t="shared" si="9"/>
        <v>0</v>
      </c>
      <c r="AD35" t="b">
        <f t="shared" si="10"/>
        <v>0</v>
      </c>
      <c r="AG35" t="str">
        <f>'WetLitterbags placem_collection'!K34</f>
        <v>G527</v>
      </c>
      <c r="AH35" t="str">
        <f>'WetLitterbags placem_collection'!M34</f>
        <v>R396</v>
      </c>
      <c r="AI35" t="b">
        <f t="shared" si="11"/>
        <v>0</v>
      </c>
      <c r="AJ35" t="b">
        <f t="shared" si="12"/>
        <v>0</v>
      </c>
      <c r="AK35">
        <f>'WetLitterbags placem_collection'!A34</f>
        <v>32</v>
      </c>
      <c r="AL35">
        <f>'WetLitterbags placem_collection'!A34</f>
        <v>32</v>
      </c>
      <c r="AN35">
        <f>IF('Dry_Litterbag Placem_Collection'!J34=0,"",'Dry_Litterbag Placem_Collection'!J34)</f>
        <v>193</v>
      </c>
      <c r="AO35">
        <f>IF('Dry_Litterbag Placem_Collection'!K34=0,"",'Dry_Litterbag Placem_Collection'!K34)</f>
        <v>743</v>
      </c>
      <c r="AP35" t="b">
        <f t="shared" si="13"/>
        <v>0</v>
      </c>
      <c r="AQ35" t="b">
        <f t="shared" si="14"/>
        <v>0</v>
      </c>
      <c r="AT35" t="str">
        <f>'Ashed teabags dry'!A33</f>
        <v>G139</v>
      </c>
      <c r="AU35" t="str">
        <f>'Ashed teabags dry'!A370</f>
        <v>R206</v>
      </c>
      <c r="AV35" s="113" t="b">
        <f t="shared" si="15"/>
        <v>1</v>
      </c>
      <c r="AW35" t="b">
        <f t="shared" si="16"/>
        <v>0</v>
      </c>
      <c r="AZ35" s="401" t="b">
        <f t="shared" si="17"/>
        <v>0</v>
      </c>
      <c r="BA35" s="401" t="b">
        <f t="shared" si="18"/>
        <v>0</v>
      </c>
      <c r="BC35" t="str">
        <f>'Ashed teabags wet'!A33</f>
        <v>G362</v>
      </c>
      <c r="BD35" t="str">
        <f>'Ashed teabags wet'!A450</f>
        <v>R141</v>
      </c>
      <c r="BE35" t="b">
        <f t="shared" si="19"/>
        <v>0</v>
      </c>
      <c r="BF35" t="b">
        <f t="shared" si="20"/>
        <v>0</v>
      </c>
      <c r="BG35">
        <f>IFERROR('Ashed teabags wet'!C33,"")</f>
        <v>177</v>
      </c>
      <c r="BH35">
        <f>IFERROR('Ashed teabags wet'!C450,"")</f>
        <v>31</v>
      </c>
      <c r="BI35">
        <f>'Ashed teabags wet'!AB33</f>
        <v>176</v>
      </c>
      <c r="BJ35" t="str">
        <f>'Ashed teabags wet'!AC33</f>
        <v/>
      </c>
      <c r="BK35">
        <f>'Ashed teabags wet'!AD450</f>
        <v>30</v>
      </c>
      <c r="BL35" t="str">
        <f>'Ashed teabags wet'!AE450</f>
        <v/>
      </c>
      <c r="BN35" t="str">
        <f t="shared" si="21"/>
        <v>G360</v>
      </c>
      <c r="BO35" t="b">
        <f t="shared" si="23"/>
        <v>1</v>
      </c>
      <c r="BP35" s="402"/>
    </row>
    <row r="36" spans="2:68" ht="12" customHeight="1">
      <c r="B36" t="str">
        <f>TBIDry!H108</f>
        <v>G218</v>
      </c>
      <c r="C36" t="str">
        <f>TBIDry!I108</f>
        <v>R769</v>
      </c>
      <c r="D36" t="b">
        <f t="shared" si="0"/>
        <v>0</v>
      </c>
      <c r="E36" t="b">
        <f t="shared" si="1"/>
        <v>0</v>
      </c>
      <c r="G36" t="str">
        <f>TBIWet!H108</f>
        <v>G366</v>
      </c>
      <c r="H36" t="str">
        <f>TBIWet!I108</f>
        <v>R109</v>
      </c>
      <c r="I36" t="b">
        <f t="shared" si="2"/>
        <v>0</v>
      </c>
      <c r="J36" t="b">
        <f t="shared" si="22"/>
        <v>0</v>
      </c>
      <c r="L36" t="str">
        <f>'Both teabags AfterWet'!A35</f>
        <v>G359</v>
      </c>
      <c r="M36" t="str">
        <f>'Both teabags AfterWet'!A453</f>
        <v>R137</v>
      </c>
      <c r="N36" t="b">
        <f t="shared" si="3"/>
        <v>0</v>
      </c>
      <c r="O36" t="b">
        <f t="shared" si="4"/>
        <v>0</v>
      </c>
      <c r="P36">
        <f>IFERROR('Both teabags AfterWet'!B35,"")</f>
        <v>37</v>
      </c>
      <c r="Q36">
        <f>'Both teabags AfterWet'!B453</f>
        <v>77</v>
      </c>
      <c r="S36" s="401" t="b">
        <f t="shared" si="5"/>
        <v>0</v>
      </c>
      <c r="T36" s="401" t="b">
        <f t="shared" si="6"/>
        <v>0</v>
      </c>
      <c r="V36" t="str">
        <f>'Both teabags AfterDry'!A35</f>
        <v>G140</v>
      </c>
      <c r="W36" t="str">
        <f>'Both teabags AfterDry'!A372</f>
        <v>R208</v>
      </c>
      <c r="X36" t="b">
        <f t="shared" si="7"/>
        <v>0</v>
      </c>
      <c r="Y36" t="b">
        <f t="shared" si="8"/>
        <v>0</v>
      </c>
      <c r="AA36" t="str">
        <f>'Green_rooibos initial weight'!A37</f>
        <v>G33</v>
      </c>
      <c r="AB36" t="str">
        <f>'Green_rooibos initial weight'!A941</f>
        <v>R33</v>
      </c>
      <c r="AC36" t="b">
        <f t="shared" si="9"/>
        <v>0</v>
      </c>
      <c r="AD36" t="b">
        <f t="shared" si="10"/>
        <v>0</v>
      </c>
      <c r="AG36" t="str">
        <f>'WetLitterbags placem_collection'!K35</f>
        <v>G366</v>
      </c>
      <c r="AH36" t="str">
        <f>'WetLitterbags placem_collection'!M35</f>
        <v>R109</v>
      </c>
      <c r="AI36" t="b">
        <f t="shared" si="11"/>
        <v>0</v>
      </c>
      <c r="AJ36" t="b">
        <f t="shared" si="12"/>
        <v>0</v>
      </c>
      <c r="AK36">
        <f>'WetLitterbags placem_collection'!A35</f>
        <v>33</v>
      </c>
      <c r="AL36">
        <f>'WetLitterbags placem_collection'!A35</f>
        <v>33</v>
      </c>
      <c r="AN36">
        <f>IF('Dry_Litterbag Placem_Collection'!J35=0,"",'Dry_Litterbag Placem_Collection'!J35)</f>
        <v>218</v>
      </c>
      <c r="AO36">
        <f>IF('Dry_Litterbag Placem_Collection'!K35=0,"",'Dry_Litterbag Placem_Collection'!K35)</f>
        <v>769</v>
      </c>
      <c r="AP36" t="b">
        <f t="shared" si="13"/>
        <v>0</v>
      </c>
      <c r="AQ36" t="b">
        <f t="shared" si="14"/>
        <v>0</v>
      </c>
      <c r="AT36" t="str">
        <f>'Ashed teabags dry'!A34</f>
        <v>G139</v>
      </c>
      <c r="AU36" t="str">
        <f>'Ashed teabags dry'!A371</f>
        <v>R207</v>
      </c>
      <c r="AV36" s="113" t="b">
        <f t="shared" si="15"/>
        <v>1</v>
      </c>
      <c r="AW36" t="b">
        <f t="shared" si="16"/>
        <v>0</v>
      </c>
      <c r="AZ36" s="401" t="b">
        <f t="shared" si="17"/>
        <v>0</v>
      </c>
      <c r="BA36" s="401" t="b">
        <f t="shared" si="18"/>
        <v>0</v>
      </c>
      <c r="BC36" t="str">
        <f>'Ashed teabags wet'!A34</f>
        <v>G365</v>
      </c>
      <c r="BD36" t="str">
        <f>'Ashed teabags wet'!A451</f>
        <v>R142</v>
      </c>
      <c r="BE36" t="b">
        <f t="shared" si="19"/>
        <v>0</v>
      </c>
      <c r="BF36" t="b">
        <f t="shared" si="20"/>
        <v>0</v>
      </c>
      <c r="BG36">
        <f>IFERROR('Ashed teabags wet'!C34,"")</f>
        <v>187</v>
      </c>
      <c r="BH36">
        <f>IFERROR('Ashed teabags wet'!C451,"")</f>
        <v>209</v>
      </c>
      <c r="BI36" t="str">
        <f>'Ashed teabags wet'!AB34</f>
        <v/>
      </c>
      <c r="BJ36">
        <f>'Ashed teabags wet'!AC34</f>
        <v>186</v>
      </c>
      <c r="BK36" t="str">
        <f>'Ashed teabags wet'!AD451</f>
        <v/>
      </c>
      <c r="BL36">
        <f>'Ashed teabags wet'!AE451</f>
        <v>208</v>
      </c>
      <c r="BN36" t="str">
        <f t="shared" si="21"/>
        <v>G362</v>
      </c>
      <c r="BO36" t="b">
        <f t="shared" si="23"/>
        <v>1</v>
      </c>
    </row>
    <row r="37" spans="2:68" ht="12" customHeight="1">
      <c r="B37" t="str">
        <f>TBIDry!H109</f>
        <v>G104</v>
      </c>
      <c r="C37" t="str">
        <f>TBIDry!I109</f>
        <v>R753</v>
      </c>
      <c r="D37" t="b">
        <f t="shared" si="0"/>
        <v>0</v>
      </c>
      <c r="E37" t="b">
        <f t="shared" si="1"/>
        <v>0</v>
      </c>
      <c r="G37" t="str">
        <f>TBIWet!H109</f>
        <v>G516</v>
      </c>
      <c r="H37" t="str">
        <f>TBIWet!I109</f>
        <v>R153</v>
      </c>
      <c r="I37" t="b">
        <f t="shared" si="2"/>
        <v>0</v>
      </c>
      <c r="J37" t="b">
        <f t="shared" si="22"/>
        <v>0</v>
      </c>
      <c r="L37" t="str">
        <f>'Both teabags AfterWet'!A36</f>
        <v>G360</v>
      </c>
      <c r="M37" t="str">
        <f>'Both teabags AfterWet'!A454</f>
        <v>R138</v>
      </c>
      <c r="N37" t="b">
        <f t="shared" si="3"/>
        <v>0</v>
      </c>
      <c r="O37" t="b">
        <f t="shared" si="4"/>
        <v>0</v>
      </c>
      <c r="P37">
        <f>IFERROR('Both teabags AfterWet'!B36,"")</f>
        <v>180</v>
      </c>
      <c r="Q37">
        <f>'Both teabags AfterWet'!B454</f>
        <v>74</v>
      </c>
      <c r="S37" s="401" t="b">
        <f t="shared" si="5"/>
        <v>0</v>
      </c>
      <c r="T37" s="401" t="b">
        <f t="shared" si="6"/>
        <v>0</v>
      </c>
      <c r="V37" t="str">
        <f>'Both teabags AfterDry'!A36</f>
        <v>G141</v>
      </c>
      <c r="W37" t="str">
        <f>'Both teabags AfterDry'!A373</f>
        <v>R210</v>
      </c>
      <c r="X37" t="b">
        <f t="shared" si="7"/>
        <v>0</v>
      </c>
      <c r="Y37" t="b">
        <f t="shared" si="8"/>
        <v>0</v>
      </c>
      <c r="AA37" t="str">
        <f>'Green_rooibos initial weight'!A38</f>
        <v>G34</v>
      </c>
      <c r="AB37" t="str">
        <f>'Green_rooibos initial weight'!A942</f>
        <v>R34</v>
      </c>
      <c r="AC37" t="b">
        <f t="shared" si="9"/>
        <v>0</v>
      </c>
      <c r="AD37" t="b">
        <f t="shared" si="10"/>
        <v>0</v>
      </c>
      <c r="AG37" t="str">
        <f>'WetLitterbags placem_collection'!K36</f>
        <v>G516</v>
      </c>
      <c r="AH37" t="str">
        <f>'WetLitterbags placem_collection'!M36</f>
        <v>R153</v>
      </c>
      <c r="AI37" t="b">
        <f t="shared" si="11"/>
        <v>0</v>
      </c>
      <c r="AJ37" t="b">
        <f t="shared" si="12"/>
        <v>0</v>
      </c>
      <c r="AK37">
        <f>'WetLitterbags placem_collection'!A36</f>
        <v>34</v>
      </c>
      <c r="AL37">
        <f>'WetLitterbags placem_collection'!A36</f>
        <v>34</v>
      </c>
      <c r="AN37">
        <f>IF('Dry_Litterbag Placem_Collection'!J36=0,"",'Dry_Litterbag Placem_Collection'!J36)</f>
        <v>104</v>
      </c>
      <c r="AO37">
        <f>IF('Dry_Litterbag Placem_Collection'!K36=0,"",'Dry_Litterbag Placem_Collection'!K36)</f>
        <v>753</v>
      </c>
      <c r="AP37" t="b">
        <f t="shared" si="13"/>
        <v>0</v>
      </c>
      <c r="AQ37" t="b">
        <f t="shared" si="14"/>
        <v>0</v>
      </c>
      <c r="AT37" t="str">
        <f>'Ashed teabags dry'!A35</f>
        <v>G140</v>
      </c>
      <c r="AU37" t="str">
        <f>'Ashed teabags dry'!A372</f>
        <v>R208</v>
      </c>
      <c r="AV37" t="b">
        <f t="shared" si="15"/>
        <v>0</v>
      </c>
      <c r="AW37" t="b">
        <f t="shared" si="16"/>
        <v>0</v>
      </c>
      <c r="AZ37" s="401" t="b">
        <f t="shared" si="17"/>
        <v>0</v>
      </c>
      <c r="BA37" s="401" t="b">
        <f t="shared" si="18"/>
        <v>0</v>
      </c>
      <c r="BC37" t="str">
        <f>'Ashed teabags wet'!A35</f>
        <v>G366</v>
      </c>
      <c r="BD37" t="str">
        <f>'Ashed teabags wet'!A452</f>
        <v>R143</v>
      </c>
      <c r="BE37" t="b">
        <f t="shared" si="19"/>
        <v>0</v>
      </c>
      <c r="BF37" t="b">
        <f t="shared" si="20"/>
        <v>0</v>
      </c>
      <c r="BG37">
        <f>IFERROR('Ashed teabags wet'!C35,"")</f>
        <v>33</v>
      </c>
      <c r="BH37">
        <f>IFERROR('Ashed teabags wet'!C452,"")</f>
        <v>61</v>
      </c>
      <c r="BI37">
        <f>'Ashed teabags wet'!AB35</f>
        <v>32</v>
      </c>
      <c r="BJ37" t="str">
        <f>'Ashed teabags wet'!AC35</f>
        <v/>
      </c>
      <c r="BK37" t="str">
        <f>'Ashed teabags wet'!AD452</f>
        <v/>
      </c>
      <c r="BL37">
        <f>'Ashed teabags wet'!AE452</f>
        <v>60</v>
      </c>
      <c r="BN37" t="str">
        <f t="shared" si="21"/>
        <v>G365</v>
      </c>
      <c r="BO37" t="b">
        <f t="shared" si="23"/>
        <v>1</v>
      </c>
    </row>
    <row r="38" spans="2:68" ht="12" customHeight="1">
      <c r="B38" t="str">
        <f>TBIDry!H110</f>
        <v>G188</v>
      </c>
      <c r="C38" t="str">
        <f>TBIDry!I110</f>
        <v>R776</v>
      </c>
      <c r="D38" t="b">
        <f t="shared" si="0"/>
        <v>0</v>
      </c>
      <c r="E38" t="b">
        <f t="shared" si="1"/>
        <v>0</v>
      </c>
      <c r="G38" t="str">
        <f>TBIWet!H110</f>
        <v>G670</v>
      </c>
      <c r="H38" t="str">
        <f>TBIWet!I110</f>
        <v>R64</v>
      </c>
      <c r="I38" t="b">
        <f t="shared" si="2"/>
        <v>0</v>
      </c>
      <c r="J38" t="b">
        <f t="shared" si="22"/>
        <v>0</v>
      </c>
      <c r="L38" t="str">
        <f>'Both teabags AfterWet'!A37</f>
        <v>G365</v>
      </c>
      <c r="M38" t="str">
        <f>'Both teabags AfterWet'!A455</f>
        <v>R139</v>
      </c>
      <c r="N38" t="b">
        <f t="shared" si="3"/>
        <v>0</v>
      </c>
      <c r="O38" t="b">
        <f t="shared" si="4"/>
        <v>0</v>
      </c>
      <c r="P38" t="str">
        <f>IFERROR('Both teabags AfterWet'!B37,"")</f>
        <v>n.a</v>
      </c>
      <c r="Q38" t="str">
        <f>'Both teabags AfterWet'!B455</f>
        <v>n.a</v>
      </c>
      <c r="S38" s="401" t="b">
        <f t="shared" si="5"/>
        <v>0</v>
      </c>
      <c r="T38" s="401" t="b">
        <f t="shared" si="6"/>
        <v>0</v>
      </c>
      <c r="V38" t="str">
        <f>'Both teabags AfterDry'!A37</f>
        <v>G143</v>
      </c>
      <c r="W38" t="str">
        <f>'Both teabags AfterDry'!A374</f>
        <v>R211</v>
      </c>
      <c r="X38" t="b">
        <f t="shared" si="7"/>
        <v>0</v>
      </c>
      <c r="Y38" t="b">
        <f t="shared" si="8"/>
        <v>0</v>
      </c>
      <c r="AA38" t="str">
        <f>'Green_rooibos initial weight'!A39</f>
        <v>G35</v>
      </c>
      <c r="AB38" t="str">
        <f>'Green_rooibos initial weight'!A943</f>
        <v>R35</v>
      </c>
      <c r="AC38" t="b">
        <f t="shared" si="9"/>
        <v>0</v>
      </c>
      <c r="AD38" t="b">
        <f t="shared" si="10"/>
        <v>0</v>
      </c>
      <c r="AG38" t="str">
        <f>'WetLitterbags placem_collection'!K37</f>
        <v>G670</v>
      </c>
      <c r="AH38" t="str">
        <f>'WetLitterbags placem_collection'!M37</f>
        <v>R64</v>
      </c>
      <c r="AI38" t="b">
        <f t="shared" si="11"/>
        <v>0</v>
      </c>
      <c r="AJ38" t="b">
        <f t="shared" si="12"/>
        <v>0</v>
      </c>
      <c r="AK38">
        <f>'WetLitterbags placem_collection'!A37</f>
        <v>35</v>
      </c>
      <c r="AL38">
        <f>'WetLitterbags placem_collection'!A37</f>
        <v>35</v>
      </c>
      <c r="AN38">
        <f>IF('Dry_Litterbag Placem_Collection'!J37=0,"",'Dry_Litterbag Placem_Collection'!J37)</f>
        <v>188</v>
      </c>
      <c r="AO38">
        <f>IF('Dry_Litterbag Placem_Collection'!K37=0,"",'Dry_Litterbag Placem_Collection'!K37)</f>
        <v>776</v>
      </c>
      <c r="AP38" t="b">
        <f t="shared" si="13"/>
        <v>0</v>
      </c>
      <c r="AQ38" t="b">
        <f t="shared" si="14"/>
        <v>0</v>
      </c>
      <c r="AT38" t="str">
        <f>'Ashed teabags dry'!A36</f>
        <v>G141</v>
      </c>
      <c r="AU38" t="str">
        <f>'Ashed teabags dry'!A373</f>
        <v>R210</v>
      </c>
      <c r="AV38" t="b">
        <f t="shared" si="15"/>
        <v>0</v>
      </c>
      <c r="AW38" t="b">
        <f t="shared" si="16"/>
        <v>0</v>
      </c>
      <c r="AZ38" s="401" t="b">
        <f t="shared" si="17"/>
        <v>0</v>
      </c>
      <c r="BA38" s="401" t="b">
        <f t="shared" si="18"/>
        <v>0</v>
      </c>
      <c r="BC38" t="str">
        <f>'Ashed teabags wet'!A36</f>
        <v>G367</v>
      </c>
      <c r="BD38" t="str">
        <f>'Ashed teabags wet'!A453</f>
        <v>R144</v>
      </c>
      <c r="BE38" t="b">
        <f t="shared" si="19"/>
        <v>0</v>
      </c>
      <c r="BF38" t="b">
        <f t="shared" si="20"/>
        <v>0</v>
      </c>
      <c r="BG38">
        <f>IFERROR('Ashed teabags wet'!C36,"")</f>
        <v>189</v>
      </c>
      <c r="BH38">
        <f>IFERROR('Ashed teabags wet'!C453,"")</f>
        <v>24</v>
      </c>
      <c r="BI38">
        <f>'Ashed teabags wet'!AB36</f>
        <v>188</v>
      </c>
      <c r="BJ38" t="str">
        <f>'Ashed teabags wet'!AC36</f>
        <v/>
      </c>
      <c r="BK38">
        <f>'Ashed teabags wet'!AD453</f>
        <v>23</v>
      </c>
      <c r="BL38" t="str">
        <f>'Ashed teabags wet'!AE453</f>
        <v/>
      </c>
      <c r="BN38" t="str">
        <f t="shared" si="21"/>
        <v>G366</v>
      </c>
      <c r="BO38" t="b">
        <f t="shared" si="23"/>
        <v>1</v>
      </c>
    </row>
    <row r="39" spans="2:68" ht="12" customHeight="1">
      <c r="B39" t="str">
        <f>TBIDry!H111</f>
        <v>G379</v>
      </c>
      <c r="C39" t="str">
        <f>TBIDry!I111</f>
        <v>R799</v>
      </c>
      <c r="D39" t="b">
        <f t="shared" si="0"/>
        <v>0</v>
      </c>
      <c r="E39" t="b">
        <f t="shared" si="1"/>
        <v>0</v>
      </c>
      <c r="G39" t="str">
        <f>TBIWet!H111</f>
        <v>G507</v>
      </c>
      <c r="H39" t="str">
        <f>TBIWet!I111</f>
        <v>R126</v>
      </c>
      <c r="I39" t="b">
        <f t="shared" si="2"/>
        <v>0</v>
      </c>
      <c r="J39" t="b">
        <f t="shared" si="22"/>
        <v>0</v>
      </c>
      <c r="L39" t="str">
        <f>'Both teabags AfterWet'!A38</f>
        <v>G366</v>
      </c>
      <c r="M39" t="str">
        <f>'Both teabags AfterWet'!A456</f>
        <v>R14</v>
      </c>
      <c r="N39" t="b">
        <f t="shared" si="3"/>
        <v>0</v>
      </c>
      <c r="O39" t="b">
        <f t="shared" si="4"/>
        <v>0</v>
      </c>
      <c r="P39">
        <f>IFERROR('Both teabags AfterWet'!B38,"")</f>
        <v>33</v>
      </c>
      <c r="Q39" t="str">
        <f>'Both teabags AfterWet'!B456</f>
        <v>n.a</v>
      </c>
      <c r="S39" s="401" t="b">
        <f t="shared" si="5"/>
        <v>0</v>
      </c>
      <c r="T39" s="401" t="b">
        <f t="shared" si="6"/>
        <v>0</v>
      </c>
      <c r="V39" t="str">
        <f>'Both teabags AfterDry'!A38</f>
        <v>G144</v>
      </c>
      <c r="W39" t="str">
        <f>'Both teabags AfterDry'!A375</f>
        <v>R212</v>
      </c>
      <c r="X39" t="b">
        <f t="shared" si="7"/>
        <v>0</v>
      </c>
      <c r="Y39" t="b">
        <f t="shared" si="8"/>
        <v>0</v>
      </c>
      <c r="AA39" t="str">
        <f>'Green_rooibos initial weight'!A40</f>
        <v>G36</v>
      </c>
      <c r="AB39" t="str">
        <f>'Green_rooibos initial weight'!A944</f>
        <v>R36</v>
      </c>
      <c r="AC39" t="b">
        <f t="shared" si="9"/>
        <v>0</v>
      </c>
      <c r="AD39" t="b">
        <f t="shared" si="10"/>
        <v>0</v>
      </c>
      <c r="AG39" t="str">
        <f>'WetLitterbags placem_collection'!K38</f>
        <v>G507</v>
      </c>
      <c r="AH39" t="str">
        <f>'WetLitterbags placem_collection'!M38</f>
        <v>R126</v>
      </c>
      <c r="AI39" t="b">
        <f t="shared" si="11"/>
        <v>0</v>
      </c>
      <c r="AJ39" t="b">
        <f t="shared" si="12"/>
        <v>0</v>
      </c>
      <c r="AK39">
        <f>'WetLitterbags placem_collection'!A38</f>
        <v>36</v>
      </c>
      <c r="AL39">
        <f>'WetLitterbags placem_collection'!A38</f>
        <v>36</v>
      </c>
      <c r="AN39">
        <f>IF('Dry_Litterbag Placem_Collection'!J38=0,"",'Dry_Litterbag Placem_Collection'!J38)</f>
        <v>379</v>
      </c>
      <c r="AO39">
        <f>IF('Dry_Litterbag Placem_Collection'!K38=0,"",'Dry_Litterbag Placem_Collection'!K38)</f>
        <v>799</v>
      </c>
      <c r="AP39" t="b">
        <f t="shared" si="13"/>
        <v>0</v>
      </c>
      <c r="AQ39" t="b">
        <f t="shared" si="14"/>
        <v>0</v>
      </c>
      <c r="AT39" t="str">
        <f>'Ashed teabags dry'!A37</f>
        <v>G143</v>
      </c>
      <c r="AU39" t="str">
        <f>'Ashed teabags dry'!A374</f>
        <v>R211</v>
      </c>
      <c r="AV39" t="b">
        <f t="shared" si="15"/>
        <v>0</v>
      </c>
      <c r="AW39" t="b">
        <f t="shared" si="16"/>
        <v>0</v>
      </c>
      <c r="AZ39" s="401" t="b">
        <f t="shared" si="17"/>
        <v>0</v>
      </c>
      <c r="BA39" s="401" t="b">
        <f t="shared" si="18"/>
        <v>0</v>
      </c>
      <c r="BC39" t="str">
        <f>'Ashed teabags wet'!A37</f>
        <v>G368</v>
      </c>
      <c r="BD39" t="str">
        <f>'Ashed teabags wet'!A454</f>
        <v>R145</v>
      </c>
      <c r="BE39" t="b">
        <f t="shared" si="19"/>
        <v>0</v>
      </c>
      <c r="BF39" t="b">
        <f t="shared" si="20"/>
        <v>0</v>
      </c>
      <c r="BG39">
        <f>IFERROR('Ashed teabags wet'!C37,"")</f>
        <v>165</v>
      </c>
      <c r="BH39">
        <f>IFERROR('Ashed teabags wet'!C454,"")</f>
        <v>215</v>
      </c>
      <c r="BI39">
        <f>'Ashed teabags wet'!AB37</f>
        <v>164</v>
      </c>
      <c r="BJ39" t="str">
        <f>'Ashed teabags wet'!AC37</f>
        <v/>
      </c>
      <c r="BK39">
        <f>'Ashed teabags wet'!AD454</f>
        <v>214</v>
      </c>
      <c r="BL39" t="str">
        <f>'Ashed teabags wet'!AE454</f>
        <v/>
      </c>
      <c r="BN39" t="str">
        <f t="shared" si="21"/>
        <v>G367</v>
      </c>
      <c r="BO39" t="b">
        <f t="shared" si="23"/>
        <v>1</v>
      </c>
    </row>
    <row r="40" spans="2:68" ht="12" customHeight="1">
      <c r="B40" t="str">
        <f>TBIDry!H112</f>
        <v>G66</v>
      </c>
      <c r="C40" t="str">
        <f>TBIDry!I112</f>
        <v>R722</v>
      </c>
      <c r="D40" t="b">
        <f t="shared" si="0"/>
        <v>0</v>
      </c>
      <c r="E40" t="b">
        <f t="shared" si="1"/>
        <v>0</v>
      </c>
      <c r="G40" t="str">
        <f>TBIWet!H112</f>
        <v>G359</v>
      </c>
      <c r="H40" t="str">
        <f>TBIWet!I112</f>
        <v>R63</v>
      </c>
      <c r="I40" t="b">
        <f t="shared" si="2"/>
        <v>0</v>
      </c>
      <c r="J40" t="b">
        <f t="shared" si="22"/>
        <v>0</v>
      </c>
      <c r="L40" t="str">
        <f>'Both teabags AfterWet'!A39</f>
        <v>G367</v>
      </c>
      <c r="M40" t="str">
        <f>'Both teabags AfterWet'!A457</f>
        <v>R141</v>
      </c>
      <c r="N40" t="b">
        <f t="shared" si="3"/>
        <v>0</v>
      </c>
      <c r="O40" t="b">
        <f t="shared" si="4"/>
        <v>0</v>
      </c>
      <c r="P40">
        <f>IFERROR('Both teabags AfterWet'!B39,"")</f>
        <v>189</v>
      </c>
      <c r="Q40" t="str">
        <f>'Both teabags AfterWet'!B457</f>
        <v>n.a</v>
      </c>
      <c r="S40" s="401" t="b">
        <f t="shared" si="5"/>
        <v>0</v>
      </c>
      <c r="T40" s="401" t="b">
        <f t="shared" si="6"/>
        <v>0</v>
      </c>
      <c r="V40" t="str">
        <f>'Both teabags AfterDry'!A39</f>
        <v>G145</v>
      </c>
      <c r="W40" t="str">
        <f>'Both teabags AfterDry'!A376</f>
        <v>R213</v>
      </c>
      <c r="X40" t="b">
        <f t="shared" si="7"/>
        <v>0</v>
      </c>
      <c r="Y40" t="b">
        <f t="shared" si="8"/>
        <v>0</v>
      </c>
      <c r="AA40" t="str">
        <f>'Green_rooibos initial weight'!A41</f>
        <v>G37</v>
      </c>
      <c r="AB40" t="str">
        <f>'Green_rooibos initial weight'!A945</f>
        <v>R37</v>
      </c>
      <c r="AC40" t="b">
        <f t="shared" si="9"/>
        <v>0</v>
      </c>
      <c r="AD40" t="b">
        <f t="shared" si="10"/>
        <v>0</v>
      </c>
      <c r="AG40" t="str">
        <f>'WetLitterbags placem_collection'!K39</f>
        <v>G359</v>
      </c>
      <c r="AH40" t="str">
        <f>'WetLitterbags placem_collection'!M39</f>
        <v>R63</v>
      </c>
      <c r="AI40" t="b">
        <f t="shared" si="11"/>
        <v>0</v>
      </c>
      <c r="AJ40" t="b">
        <f t="shared" si="12"/>
        <v>0</v>
      </c>
      <c r="AK40">
        <f>'WetLitterbags placem_collection'!A39</f>
        <v>37</v>
      </c>
      <c r="AL40">
        <f>'WetLitterbags placem_collection'!A39</f>
        <v>37</v>
      </c>
      <c r="AN40">
        <f>IF('Dry_Litterbag Placem_Collection'!J39=0,"",'Dry_Litterbag Placem_Collection'!J39)</f>
        <v>66</v>
      </c>
      <c r="AO40">
        <f>IF('Dry_Litterbag Placem_Collection'!K39=0,"",'Dry_Litterbag Placem_Collection'!K39)</f>
        <v>722</v>
      </c>
      <c r="AP40" t="b">
        <f t="shared" si="13"/>
        <v>0</v>
      </c>
      <c r="AQ40" t="b">
        <f t="shared" si="14"/>
        <v>0</v>
      </c>
      <c r="AT40" t="str">
        <f>'Ashed teabags dry'!A38</f>
        <v>G144</v>
      </c>
      <c r="AU40" t="str">
        <f>'Ashed teabags dry'!A375</f>
        <v>R212</v>
      </c>
      <c r="AV40" t="b">
        <f t="shared" si="15"/>
        <v>0</v>
      </c>
      <c r="AW40" t="b">
        <f t="shared" si="16"/>
        <v>0</v>
      </c>
      <c r="AZ40" s="401" t="b">
        <f t="shared" si="17"/>
        <v>0</v>
      </c>
      <c r="BA40" s="401" t="b">
        <f t="shared" si="18"/>
        <v>0</v>
      </c>
      <c r="BC40" t="str">
        <f>'Ashed teabags wet'!A38</f>
        <v>G373</v>
      </c>
      <c r="BD40" t="str">
        <f>'Ashed teabags wet'!A455</f>
        <v>R146</v>
      </c>
      <c r="BE40" t="b">
        <f t="shared" si="19"/>
        <v>0</v>
      </c>
      <c r="BF40" t="b">
        <f t="shared" si="20"/>
        <v>0</v>
      </c>
      <c r="BG40">
        <f>IFERROR('Ashed teabags wet'!C38,"")</f>
        <v>75</v>
      </c>
      <c r="BH40">
        <f>IFERROR('Ashed teabags wet'!C455,"")</f>
        <v>47</v>
      </c>
      <c r="BI40" t="str">
        <f>'Ashed teabags wet'!AB38</f>
        <v/>
      </c>
      <c r="BJ40">
        <f>'Ashed teabags wet'!AC38</f>
        <v>74</v>
      </c>
      <c r="BK40">
        <f>'Ashed teabags wet'!AD455</f>
        <v>46</v>
      </c>
      <c r="BL40" t="str">
        <f>'Ashed teabags wet'!AE455</f>
        <v/>
      </c>
      <c r="BN40" t="str">
        <f t="shared" si="21"/>
        <v>G368</v>
      </c>
      <c r="BO40" t="b">
        <f t="shared" si="23"/>
        <v>1</v>
      </c>
    </row>
    <row r="41" spans="2:68" ht="12" customHeight="1">
      <c r="B41" t="str">
        <f>TBIDry!H113</f>
        <v>G625</v>
      </c>
      <c r="C41" t="str">
        <f>TBIDry!I113</f>
        <v>R796</v>
      </c>
      <c r="D41" t="b">
        <f t="shared" si="0"/>
        <v>0</v>
      </c>
      <c r="E41" t="b">
        <f t="shared" si="1"/>
        <v>0</v>
      </c>
      <c r="G41" t="str">
        <f>TBIWet!H113</f>
        <v>G499</v>
      </c>
      <c r="H41" t="str">
        <f>TBIWet!I113</f>
        <v>R87</v>
      </c>
      <c r="I41" t="b">
        <f t="shared" si="2"/>
        <v>0</v>
      </c>
      <c r="J41" t="b">
        <f t="shared" si="22"/>
        <v>0</v>
      </c>
      <c r="L41" t="str">
        <f>'Both teabags AfterWet'!A40</f>
        <v>G368</v>
      </c>
      <c r="M41" t="str">
        <f>'Both teabags AfterWet'!A458</f>
        <v>R142</v>
      </c>
      <c r="N41" t="b">
        <f t="shared" si="3"/>
        <v>0</v>
      </c>
      <c r="O41" t="b">
        <f t="shared" si="4"/>
        <v>0</v>
      </c>
      <c r="P41">
        <f>IFERROR('Both teabags AfterWet'!B40,"")</f>
        <v>165</v>
      </c>
      <c r="Q41">
        <f>'Both teabags AfterWet'!B458</f>
        <v>209</v>
      </c>
      <c r="S41" s="401" t="b">
        <f t="shared" si="5"/>
        <v>0</v>
      </c>
      <c r="T41" s="401" t="b">
        <f t="shared" si="6"/>
        <v>0</v>
      </c>
      <c r="V41" t="str">
        <f>'Both teabags AfterDry'!A40</f>
        <v>G146</v>
      </c>
      <c r="W41" t="str">
        <f>'Both teabags AfterDry'!A377</f>
        <v>R214</v>
      </c>
      <c r="X41" t="b">
        <f t="shared" si="7"/>
        <v>0</v>
      </c>
      <c r="Y41" t="b">
        <f t="shared" si="8"/>
        <v>0</v>
      </c>
      <c r="AA41" t="str">
        <f>'Green_rooibos initial weight'!A42</f>
        <v>G38</v>
      </c>
      <c r="AB41" t="str">
        <f>'Green_rooibos initial weight'!A946</f>
        <v>R38</v>
      </c>
      <c r="AC41" t="b">
        <f t="shared" si="9"/>
        <v>0</v>
      </c>
      <c r="AD41" t="b">
        <f t="shared" si="10"/>
        <v>0</v>
      </c>
      <c r="AG41" t="str">
        <f>'WetLitterbags placem_collection'!K40</f>
        <v>G499</v>
      </c>
      <c r="AH41" t="str">
        <f>'WetLitterbags placem_collection'!M40</f>
        <v>R87</v>
      </c>
      <c r="AI41" t="b">
        <f t="shared" si="11"/>
        <v>0</v>
      </c>
      <c r="AJ41" t="b">
        <f t="shared" si="12"/>
        <v>0</v>
      </c>
      <c r="AK41">
        <f>'WetLitterbags placem_collection'!A40</f>
        <v>38</v>
      </c>
      <c r="AL41">
        <f>'WetLitterbags placem_collection'!A40</f>
        <v>38</v>
      </c>
      <c r="AN41">
        <f>IF('Dry_Litterbag Placem_Collection'!J40=0,"",'Dry_Litterbag Placem_Collection'!J40)</f>
        <v>625</v>
      </c>
      <c r="AO41">
        <f>IF('Dry_Litterbag Placem_Collection'!K40=0,"",'Dry_Litterbag Placem_Collection'!K40)</f>
        <v>796</v>
      </c>
      <c r="AP41" t="b">
        <f t="shared" si="13"/>
        <v>0</v>
      </c>
      <c r="AQ41" t="b">
        <f t="shared" si="14"/>
        <v>0</v>
      </c>
      <c r="AT41" t="str">
        <f>'Ashed teabags dry'!A39</f>
        <v>G145</v>
      </c>
      <c r="AU41" t="str">
        <f>'Ashed teabags dry'!A376</f>
        <v>R213</v>
      </c>
      <c r="AV41" t="b">
        <f t="shared" si="15"/>
        <v>0</v>
      </c>
      <c r="AW41" t="b">
        <f t="shared" si="16"/>
        <v>0</v>
      </c>
      <c r="AZ41" s="401" t="b">
        <f t="shared" si="17"/>
        <v>0</v>
      </c>
      <c r="BA41" s="401" t="b">
        <f t="shared" si="18"/>
        <v>0</v>
      </c>
      <c r="BC41" t="str">
        <f>'Ashed teabags wet'!A39</f>
        <v>G375</v>
      </c>
      <c r="BD41" t="str">
        <f>'Ashed teabags wet'!A456</f>
        <v>R147</v>
      </c>
      <c r="BE41" t="b">
        <f t="shared" si="19"/>
        <v>0</v>
      </c>
      <c r="BF41" t="b">
        <f t="shared" si="20"/>
        <v>0</v>
      </c>
      <c r="BG41">
        <f>IFERROR('Ashed teabags wet'!C39,"")</f>
        <v>188</v>
      </c>
      <c r="BH41">
        <f>IFERROR('Ashed teabags wet'!C456,"")</f>
        <v>38</v>
      </c>
      <c r="BI41" t="str">
        <f>'Ashed teabags wet'!AB39</f>
        <v/>
      </c>
      <c r="BJ41">
        <f>'Ashed teabags wet'!AC39</f>
        <v>187</v>
      </c>
      <c r="BK41" t="str">
        <f>'Ashed teabags wet'!AD456</f>
        <v/>
      </c>
      <c r="BL41">
        <f>'Ashed teabags wet'!AE456</f>
        <v>37</v>
      </c>
      <c r="BN41" t="str">
        <f t="shared" si="21"/>
        <v>G373</v>
      </c>
      <c r="BO41" t="b">
        <f t="shared" si="23"/>
        <v>1</v>
      </c>
    </row>
    <row r="42" spans="2:68" ht="12" customHeight="1">
      <c r="B42" t="str">
        <f>TBIDry!H114</f>
        <v/>
      </c>
      <c r="C42" t="str">
        <f>TBIDry!I114</f>
        <v/>
      </c>
      <c r="D42" t="b">
        <f t="shared" si="0"/>
        <v>1</v>
      </c>
      <c r="E42" t="b">
        <f t="shared" si="1"/>
        <v>1</v>
      </c>
      <c r="G42" t="str">
        <f>TBIWet!H114</f>
        <v>G214</v>
      </c>
      <c r="H42" t="str">
        <f>TBIWet!I114</f>
        <v>R437</v>
      </c>
      <c r="I42" t="b">
        <f t="shared" si="2"/>
        <v>0</v>
      </c>
      <c r="J42" t="b">
        <f t="shared" si="22"/>
        <v>0</v>
      </c>
      <c r="L42" t="str">
        <f>'Both teabags AfterWet'!A41</f>
        <v>G373</v>
      </c>
      <c r="M42" t="str">
        <f>'Both teabags AfterWet'!A459</f>
        <v>R143</v>
      </c>
      <c r="N42" t="b">
        <f t="shared" si="3"/>
        <v>0</v>
      </c>
      <c r="O42" t="b">
        <f t="shared" si="4"/>
        <v>0</v>
      </c>
      <c r="P42" t="str">
        <f>IFERROR('Both teabags AfterWet'!B41,"")</f>
        <v>n.a</v>
      </c>
      <c r="Q42">
        <f>'Both teabags AfterWet'!B459</f>
        <v>61</v>
      </c>
      <c r="S42" s="401" t="b">
        <f t="shared" si="5"/>
        <v>0</v>
      </c>
      <c r="T42" s="401" t="b">
        <f t="shared" si="6"/>
        <v>0</v>
      </c>
      <c r="V42" t="str">
        <f>'Both teabags AfterDry'!A41</f>
        <v>G147</v>
      </c>
      <c r="W42" t="str">
        <f>'Both teabags AfterDry'!A378</f>
        <v>R221</v>
      </c>
      <c r="X42" t="b">
        <f t="shared" si="7"/>
        <v>0</v>
      </c>
      <c r="Y42" t="b">
        <f t="shared" si="8"/>
        <v>0</v>
      </c>
      <c r="AA42" t="str">
        <f>'Green_rooibos initial weight'!A43</f>
        <v>G39</v>
      </c>
      <c r="AB42" t="str">
        <f>'Green_rooibos initial weight'!A947</f>
        <v>R39</v>
      </c>
      <c r="AC42" t="b">
        <f t="shared" si="9"/>
        <v>0</v>
      </c>
      <c r="AD42" t="b">
        <f t="shared" si="10"/>
        <v>0</v>
      </c>
      <c r="AG42" t="str">
        <f>'WetLitterbags placem_collection'!K41</f>
        <v>G214</v>
      </c>
      <c r="AH42" t="str">
        <f>'WetLitterbags placem_collection'!M41</f>
        <v>R437</v>
      </c>
      <c r="AI42" t="b">
        <f t="shared" si="11"/>
        <v>0</v>
      </c>
      <c r="AJ42" t="b">
        <f t="shared" si="12"/>
        <v>0</v>
      </c>
      <c r="AK42">
        <f>'WetLitterbags placem_collection'!A41</f>
        <v>39</v>
      </c>
      <c r="AL42">
        <f>'WetLitterbags placem_collection'!A41</f>
        <v>39</v>
      </c>
      <c r="AN42" t="str">
        <f>IF('Dry_Litterbag Placem_Collection'!J41=0,"",'Dry_Litterbag Placem_Collection'!J41)</f>
        <v/>
      </c>
      <c r="AO42" t="str">
        <f>IF('Dry_Litterbag Placem_Collection'!K41=0,"",'Dry_Litterbag Placem_Collection'!K41)</f>
        <v/>
      </c>
      <c r="AP42" t="b">
        <f t="shared" si="13"/>
        <v>1</v>
      </c>
      <c r="AQ42" t="b">
        <f t="shared" si="14"/>
        <v>1</v>
      </c>
      <c r="AT42" t="str">
        <f>'Ashed teabags dry'!A40</f>
        <v>G146</v>
      </c>
      <c r="AU42" t="str">
        <f>'Ashed teabags dry'!A377</f>
        <v>R214</v>
      </c>
      <c r="AV42" t="b">
        <f t="shared" si="15"/>
        <v>0</v>
      </c>
      <c r="AW42" t="b">
        <f t="shared" si="16"/>
        <v>0</v>
      </c>
      <c r="AZ42" s="401" t="b">
        <f t="shared" si="17"/>
        <v>0</v>
      </c>
      <c r="BA42" s="401" t="b">
        <f t="shared" si="18"/>
        <v>0</v>
      </c>
      <c r="BC42" t="str">
        <f>'Ashed teabags wet'!A40</f>
        <v>G383</v>
      </c>
      <c r="BD42" t="str">
        <f>'Ashed teabags wet'!A457</f>
        <v>R148</v>
      </c>
      <c r="BE42" t="b">
        <f t="shared" si="19"/>
        <v>0</v>
      </c>
      <c r="BF42" t="b">
        <f t="shared" si="20"/>
        <v>0</v>
      </c>
      <c r="BG42">
        <f>IFERROR('Ashed teabags wet'!C40,"")</f>
        <v>72</v>
      </c>
      <c r="BH42">
        <f>IFERROR('Ashed teabags wet'!C457,"")</f>
        <v>26</v>
      </c>
      <c r="BI42">
        <f>'Ashed teabags wet'!AB40</f>
        <v>71</v>
      </c>
      <c r="BJ42" t="str">
        <f>'Ashed teabags wet'!AC40</f>
        <v/>
      </c>
      <c r="BK42">
        <f>'Ashed teabags wet'!AD457</f>
        <v>25</v>
      </c>
      <c r="BL42" t="str">
        <f>'Ashed teabags wet'!AE457</f>
        <v/>
      </c>
      <c r="BN42" t="str">
        <f t="shared" si="21"/>
        <v>G375</v>
      </c>
      <c r="BO42" t="b">
        <f t="shared" si="23"/>
        <v>1</v>
      </c>
    </row>
    <row r="43" spans="2:68" ht="12" customHeight="1">
      <c r="B43" t="str">
        <f>TBIDry!H115</f>
        <v>G88</v>
      </c>
      <c r="C43" t="str">
        <f>TBIDry!I115</f>
        <v>R782</v>
      </c>
      <c r="D43" t="b">
        <f t="shared" si="0"/>
        <v>0</v>
      </c>
      <c r="E43" t="b">
        <f t="shared" si="1"/>
        <v>0</v>
      </c>
      <c r="G43" t="str">
        <f>TBIWet!H115</f>
        <v>G582</v>
      </c>
      <c r="H43" t="str">
        <f>TBIWet!I115</f>
        <v>R114</v>
      </c>
      <c r="I43" t="b">
        <f t="shared" si="2"/>
        <v>0</v>
      </c>
      <c r="J43" t="b">
        <f t="shared" si="22"/>
        <v>0</v>
      </c>
      <c r="L43" t="str">
        <f>'Both teabags AfterWet'!A42</f>
        <v>G375</v>
      </c>
      <c r="M43" t="str">
        <f>'Both teabags AfterWet'!A460</f>
        <v>R144</v>
      </c>
      <c r="N43" t="b">
        <f t="shared" si="3"/>
        <v>0</v>
      </c>
      <c r="O43" t="b">
        <f t="shared" si="4"/>
        <v>0</v>
      </c>
      <c r="P43" t="str">
        <f>IFERROR('Both teabags AfterWet'!B42,"")</f>
        <v>n.a</v>
      </c>
      <c r="Q43">
        <f>'Both teabags AfterWet'!B460</f>
        <v>24</v>
      </c>
      <c r="S43" s="401" t="b">
        <f t="shared" si="5"/>
        <v>0</v>
      </c>
      <c r="T43" s="401" t="b">
        <f t="shared" si="6"/>
        <v>0</v>
      </c>
      <c r="V43" t="str">
        <f>'Both teabags AfterDry'!A42</f>
        <v>G148</v>
      </c>
      <c r="W43" t="str">
        <f>'Both teabags AfterDry'!A379</f>
        <v>R223</v>
      </c>
      <c r="X43" t="b">
        <f t="shared" si="7"/>
        <v>0</v>
      </c>
      <c r="Y43" t="b">
        <f t="shared" si="8"/>
        <v>0</v>
      </c>
      <c r="AA43" t="str">
        <f>'Green_rooibos initial weight'!A44</f>
        <v>G40</v>
      </c>
      <c r="AB43" t="str">
        <f>'Green_rooibos initial weight'!A948</f>
        <v>R40</v>
      </c>
      <c r="AC43" t="b">
        <f t="shared" si="9"/>
        <v>0</v>
      </c>
      <c r="AD43" t="b">
        <f t="shared" si="10"/>
        <v>0</v>
      </c>
      <c r="AG43" t="str">
        <f>'WetLitterbags placem_collection'!K42</f>
        <v>G582</v>
      </c>
      <c r="AH43" t="str">
        <f>'WetLitterbags placem_collection'!M42</f>
        <v>R114</v>
      </c>
      <c r="AI43" t="b">
        <f t="shared" si="11"/>
        <v>0</v>
      </c>
      <c r="AJ43" t="b">
        <f t="shared" si="12"/>
        <v>0</v>
      </c>
      <c r="AK43">
        <f>'WetLitterbags placem_collection'!A42</f>
        <v>40</v>
      </c>
      <c r="AL43">
        <f>'WetLitterbags placem_collection'!A42</f>
        <v>40</v>
      </c>
      <c r="AN43">
        <f>IF('Dry_Litterbag Placem_Collection'!J42=0,"",'Dry_Litterbag Placem_Collection'!J42)</f>
        <v>88</v>
      </c>
      <c r="AO43">
        <f>IF('Dry_Litterbag Placem_Collection'!K42=0,"",'Dry_Litterbag Placem_Collection'!K42)</f>
        <v>782</v>
      </c>
      <c r="AP43" t="b">
        <f t="shared" si="13"/>
        <v>0</v>
      </c>
      <c r="AQ43" t="b">
        <f t="shared" si="14"/>
        <v>0</v>
      </c>
      <c r="AT43" t="str">
        <f>'Ashed teabags dry'!A41</f>
        <v>G147</v>
      </c>
      <c r="AU43" t="str">
        <f>'Ashed teabags dry'!A378</f>
        <v>R221</v>
      </c>
      <c r="AV43" t="b">
        <f t="shared" si="15"/>
        <v>0</v>
      </c>
      <c r="AW43" t="b">
        <f t="shared" si="16"/>
        <v>0</v>
      </c>
      <c r="AZ43" s="401" t="b">
        <f t="shared" si="17"/>
        <v>0</v>
      </c>
      <c r="BA43" s="401" t="b">
        <f t="shared" si="18"/>
        <v>0</v>
      </c>
      <c r="BC43" t="str">
        <f>'Ashed teabags wet'!A41</f>
        <v>G385</v>
      </c>
      <c r="BD43" t="str">
        <f>'Ashed teabags wet'!A458</f>
        <v>R149</v>
      </c>
      <c r="BE43" t="b">
        <f t="shared" si="19"/>
        <v>0</v>
      </c>
      <c r="BF43" t="b">
        <f t="shared" si="20"/>
        <v>0</v>
      </c>
      <c r="BG43">
        <f>IFERROR('Ashed teabags wet'!C41,"")</f>
        <v>162</v>
      </c>
      <c r="BH43">
        <f>IFERROR('Ashed teabags wet'!C458,"")</f>
        <v>207</v>
      </c>
      <c r="BI43">
        <f>'Ashed teabags wet'!AB41</f>
        <v>161</v>
      </c>
      <c r="BJ43" t="str">
        <f>'Ashed teabags wet'!AC41</f>
        <v/>
      </c>
      <c r="BK43" t="str">
        <f>'Ashed teabags wet'!AD458</f>
        <v/>
      </c>
      <c r="BL43">
        <f>'Ashed teabags wet'!AE458</f>
        <v>206</v>
      </c>
      <c r="BN43" t="str">
        <f t="shared" si="21"/>
        <v>G383</v>
      </c>
      <c r="BO43" t="b">
        <f t="shared" si="23"/>
        <v>1</v>
      </c>
    </row>
    <row r="44" spans="2:68" ht="12" customHeight="1">
      <c r="B44" t="str">
        <f>TBIDry!H116</f>
        <v>G256</v>
      </c>
      <c r="C44" t="str">
        <f>TBIDry!I116</f>
        <v>R820</v>
      </c>
      <c r="D44" t="b">
        <f t="shared" si="0"/>
        <v>0</v>
      </c>
      <c r="E44" t="b">
        <f t="shared" si="1"/>
        <v>0</v>
      </c>
      <c r="G44" t="str">
        <f>TBIWet!H116</f>
        <v>G453</v>
      </c>
      <c r="H44" t="str">
        <f>TBIWet!I116</f>
        <v>R521</v>
      </c>
      <c r="I44" t="b">
        <f t="shared" si="2"/>
        <v>0</v>
      </c>
      <c r="J44" t="b">
        <f t="shared" si="22"/>
        <v>0</v>
      </c>
      <c r="L44" t="str">
        <f>'Both teabags AfterWet'!A43</f>
        <v>G831</v>
      </c>
      <c r="M44" t="str">
        <f>'Both teabags AfterWet'!A461</f>
        <v>R145</v>
      </c>
      <c r="N44" t="b">
        <f t="shared" si="3"/>
        <v>0</v>
      </c>
      <c r="O44" t="b">
        <f t="shared" si="4"/>
        <v>0</v>
      </c>
      <c r="P44">
        <f>IFERROR('Both teabags AfterWet'!B43,"")</f>
        <v>111</v>
      </c>
      <c r="Q44" t="str">
        <f>'Both teabags AfterWet'!B461</f>
        <v>n.a</v>
      </c>
      <c r="S44" s="401" t="b">
        <f t="shared" si="5"/>
        <v>0</v>
      </c>
      <c r="T44" s="401" t="b">
        <f t="shared" si="6"/>
        <v>0</v>
      </c>
      <c r="V44" t="str">
        <f>'Both teabags AfterDry'!A43</f>
        <v>G149</v>
      </c>
      <c r="W44" t="str">
        <f>'Both teabags AfterDry'!A380</f>
        <v>R224</v>
      </c>
      <c r="X44" t="b">
        <f t="shared" si="7"/>
        <v>0</v>
      </c>
      <c r="Y44" t="b">
        <f t="shared" si="8"/>
        <v>0</v>
      </c>
      <c r="AA44" t="str">
        <f>'Green_rooibos initial weight'!A45</f>
        <v>G41</v>
      </c>
      <c r="AB44" t="str">
        <f>'Green_rooibos initial weight'!A949</f>
        <v>R41</v>
      </c>
      <c r="AC44" t="b">
        <f t="shared" si="9"/>
        <v>0</v>
      </c>
      <c r="AD44" t="b">
        <f t="shared" si="10"/>
        <v>0</v>
      </c>
      <c r="AG44" t="str">
        <f>'WetLitterbags placem_collection'!K43</f>
        <v>G453</v>
      </c>
      <c r="AH44" t="str">
        <f>'WetLitterbags placem_collection'!M43</f>
        <v>R521</v>
      </c>
      <c r="AI44" t="b">
        <f t="shared" si="11"/>
        <v>0</v>
      </c>
      <c r="AJ44" t="b">
        <f t="shared" si="12"/>
        <v>0</v>
      </c>
      <c r="AK44">
        <f>'WetLitterbags placem_collection'!A43</f>
        <v>41</v>
      </c>
      <c r="AL44">
        <f>'WetLitterbags placem_collection'!A43</f>
        <v>41</v>
      </c>
      <c r="AN44">
        <f>IF('Dry_Litterbag Placem_Collection'!J43=0,"",'Dry_Litterbag Placem_Collection'!J43)</f>
        <v>256</v>
      </c>
      <c r="AO44">
        <f>IF('Dry_Litterbag Placem_Collection'!K43=0,"",'Dry_Litterbag Placem_Collection'!K43)</f>
        <v>820</v>
      </c>
      <c r="AP44" t="b">
        <f t="shared" si="13"/>
        <v>0</v>
      </c>
      <c r="AQ44" t="b">
        <f t="shared" si="14"/>
        <v>0</v>
      </c>
      <c r="AT44" t="str">
        <f>'Ashed teabags dry'!A42</f>
        <v>G148</v>
      </c>
      <c r="AU44" t="str">
        <f>'Ashed teabags dry'!A379</f>
        <v>R223</v>
      </c>
      <c r="AV44" t="b">
        <f t="shared" si="15"/>
        <v>0</v>
      </c>
      <c r="AW44" t="b">
        <f t="shared" si="16"/>
        <v>0</v>
      </c>
      <c r="AZ44" s="401" t="b">
        <f t="shared" si="17"/>
        <v>0</v>
      </c>
      <c r="BA44" s="401" t="b">
        <f t="shared" si="18"/>
        <v>0</v>
      </c>
      <c r="BC44" t="str">
        <f>'Ashed teabags wet'!A42</f>
        <v>G386</v>
      </c>
      <c r="BD44" t="str">
        <f>'Ashed teabags wet'!A459</f>
        <v>R15</v>
      </c>
      <c r="BE44" t="b">
        <f t="shared" si="19"/>
        <v>0</v>
      </c>
      <c r="BF44" t="b">
        <f t="shared" si="20"/>
        <v>0</v>
      </c>
      <c r="BG44">
        <f>IFERROR('Ashed teabags wet'!C42,"")</f>
        <v>69</v>
      </c>
      <c r="BH44">
        <f>IFERROR('Ashed teabags wet'!C459,"")</f>
        <v>144</v>
      </c>
      <c r="BI44" t="str">
        <f>'Ashed teabags wet'!AB42</f>
        <v/>
      </c>
      <c r="BJ44">
        <f>'Ashed teabags wet'!AC42</f>
        <v>68</v>
      </c>
      <c r="BK44" t="str">
        <f>'Ashed teabags wet'!AD459</f>
        <v/>
      </c>
      <c r="BL44">
        <f>'Ashed teabags wet'!AE459</f>
        <v>143</v>
      </c>
      <c r="BN44" t="str">
        <f t="shared" si="21"/>
        <v>G385</v>
      </c>
      <c r="BO44" t="b">
        <f t="shared" si="23"/>
        <v>1</v>
      </c>
    </row>
    <row r="45" spans="2:68" ht="12" customHeight="1">
      <c r="B45" t="str">
        <f>TBIDry!H117</f>
        <v>G341</v>
      </c>
      <c r="C45" t="str">
        <f>TBIDry!I117</f>
        <v>R806</v>
      </c>
      <c r="D45" t="b">
        <f t="shared" si="0"/>
        <v>0</v>
      </c>
      <c r="E45" t="b">
        <f t="shared" si="1"/>
        <v>0</v>
      </c>
      <c r="G45" t="str">
        <f>TBIWet!H117</f>
        <v>G764</v>
      </c>
      <c r="H45" t="str">
        <f>TBIWet!I117</f>
        <v>R371</v>
      </c>
      <c r="I45" t="b">
        <f t="shared" si="2"/>
        <v>0</v>
      </c>
      <c r="J45" t="b">
        <f t="shared" si="22"/>
        <v>0</v>
      </c>
      <c r="L45" t="str">
        <f>'Both teabags AfterWet'!A44</f>
        <v>G383</v>
      </c>
      <c r="M45" t="str">
        <f>'Both teabags AfterWet'!A462</f>
        <v>R146</v>
      </c>
      <c r="N45" t="b">
        <f t="shared" si="3"/>
        <v>0</v>
      </c>
      <c r="O45" t="b">
        <f t="shared" si="4"/>
        <v>0</v>
      </c>
      <c r="P45" t="str">
        <f>IFERROR('Both teabags AfterWet'!B44,"")</f>
        <v>n.a</v>
      </c>
      <c r="Q45" t="str">
        <f>'Both teabags AfterWet'!B462</f>
        <v>N.A</v>
      </c>
      <c r="S45" s="401" t="b">
        <f t="shared" si="5"/>
        <v>0</v>
      </c>
      <c r="T45" s="401" t="b">
        <f t="shared" si="6"/>
        <v>0</v>
      </c>
      <c r="V45" t="str">
        <f>'Both teabags AfterDry'!A44</f>
        <v>G15</v>
      </c>
      <c r="W45" t="str">
        <f>'Both teabags AfterDry'!A381</f>
        <v>R225</v>
      </c>
      <c r="X45" t="b">
        <f t="shared" si="7"/>
        <v>0</v>
      </c>
      <c r="Y45" t="b">
        <f t="shared" si="8"/>
        <v>0</v>
      </c>
      <c r="AA45" t="str">
        <f>'Green_rooibos initial weight'!A46</f>
        <v>G42</v>
      </c>
      <c r="AB45" t="str">
        <f>'Green_rooibos initial weight'!A950</f>
        <v>R42</v>
      </c>
      <c r="AC45" t="b">
        <f t="shared" si="9"/>
        <v>0</v>
      </c>
      <c r="AD45" t="b">
        <f t="shared" si="10"/>
        <v>0</v>
      </c>
      <c r="AG45" t="str">
        <f>'WetLitterbags placem_collection'!K44</f>
        <v>G764</v>
      </c>
      <c r="AH45" t="str">
        <f>'WetLitterbags placem_collection'!M44</f>
        <v>R371</v>
      </c>
      <c r="AI45" t="b">
        <f t="shared" si="11"/>
        <v>0</v>
      </c>
      <c r="AJ45" t="b">
        <f t="shared" si="12"/>
        <v>0</v>
      </c>
      <c r="AK45">
        <f>'WetLitterbags placem_collection'!A44</f>
        <v>42</v>
      </c>
      <c r="AL45">
        <f>'WetLitterbags placem_collection'!A44</f>
        <v>42</v>
      </c>
      <c r="AN45">
        <f>IF('Dry_Litterbag Placem_Collection'!J44=0,"",'Dry_Litterbag Placem_Collection'!J44)</f>
        <v>341</v>
      </c>
      <c r="AO45">
        <f>IF('Dry_Litterbag Placem_Collection'!K44=0,"",'Dry_Litterbag Placem_Collection'!K44)</f>
        <v>806</v>
      </c>
      <c r="AP45" t="b">
        <f t="shared" si="13"/>
        <v>0</v>
      </c>
      <c r="AQ45" t="b">
        <f t="shared" si="14"/>
        <v>0</v>
      </c>
      <c r="AT45" t="str">
        <f>'Ashed teabags dry'!A43</f>
        <v>G149</v>
      </c>
      <c r="AU45" t="str">
        <f>'Ashed teabags dry'!A380</f>
        <v>R224</v>
      </c>
      <c r="AV45" t="b">
        <f t="shared" si="15"/>
        <v>0</v>
      </c>
      <c r="AW45" t="b">
        <f t="shared" si="16"/>
        <v>0</v>
      </c>
      <c r="AZ45" s="401" t="b">
        <f t="shared" si="17"/>
        <v>0</v>
      </c>
      <c r="BA45" s="401" t="b">
        <f t="shared" si="18"/>
        <v>0</v>
      </c>
      <c r="BC45" t="str">
        <f>'Ashed teabags wet'!A43</f>
        <v>G387</v>
      </c>
      <c r="BD45" t="str">
        <f>'Ashed teabags wet'!A460</f>
        <v>R150</v>
      </c>
      <c r="BE45" t="b">
        <f t="shared" si="19"/>
        <v>0</v>
      </c>
      <c r="BF45" t="b">
        <f t="shared" si="20"/>
        <v>0</v>
      </c>
      <c r="BG45">
        <f>IFERROR('Ashed teabags wet'!C43,"")</f>
        <v>63</v>
      </c>
      <c r="BH45">
        <f>IFERROR('Ashed teabags wet'!C460,"")</f>
        <v>66</v>
      </c>
      <c r="BI45">
        <f>'Ashed teabags wet'!AB43</f>
        <v>62</v>
      </c>
      <c r="BJ45" t="str">
        <f>'Ashed teabags wet'!AC43</f>
        <v/>
      </c>
      <c r="BK45">
        <f>'Ashed teabags wet'!AD460</f>
        <v>65</v>
      </c>
      <c r="BL45" t="str">
        <f>'Ashed teabags wet'!AE460</f>
        <v/>
      </c>
      <c r="BN45" t="str">
        <f t="shared" si="21"/>
        <v>G386</v>
      </c>
      <c r="BO45" t="b">
        <f t="shared" si="23"/>
        <v>1</v>
      </c>
      <c r="BP45" s="402"/>
    </row>
    <row r="46" spans="2:68" ht="12" customHeight="1">
      <c r="B46" t="str">
        <f>TBIDry!H118</f>
        <v>G246</v>
      </c>
      <c r="C46" t="str">
        <f>TBIDry!I118</f>
        <v>R758</v>
      </c>
      <c r="D46" t="b">
        <f t="shared" si="0"/>
        <v>0</v>
      </c>
      <c r="E46" t="b">
        <f t="shared" si="1"/>
        <v>0</v>
      </c>
      <c r="G46" t="str">
        <f>TBIWet!H118</f>
        <v>G690</v>
      </c>
      <c r="H46" t="str">
        <f>TBIWet!I118</f>
        <v>R376</v>
      </c>
      <c r="I46" t="b">
        <f t="shared" si="2"/>
        <v>0</v>
      </c>
      <c r="J46" t="b">
        <f t="shared" si="22"/>
        <v>0</v>
      </c>
      <c r="L46" t="str">
        <f>'Both teabags AfterWet'!A45</f>
        <v>G385</v>
      </c>
      <c r="M46" t="str">
        <f>'Both teabags AfterWet'!A463</f>
        <v>R147</v>
      </c>
      <c r="N46" t="b">
        <f t="shared" si="3"/>
        <v>0</v>
      </c>
      <c r="O46" t="b">
        <f t="shared" si="4"/>
        <v>0</v>
      </c>
      <c r="P46" t="str">
        <f>IFERROR('Both teabags AfterWet'!B45,"")</f>
        <v>n.a</v>
      </c>
      <c r="Q46">
        <f>'Both teabags AfterWet'!B463</f>
        <v>38</v>
      </c>
      <c r="S46" s="401" t="b">
        <f t="shared" si="5"/>
        <v>0</v>
      </c>
      <c r="T46" s="401" t="b">
        <f t="shared" si="6"/>
        <v>0</v>
      </c>
      <c r="V46" t="str">
        <f>'Both teabags AfterDry'!A45</f>
        <v>G152</v>
      </c>
      <c r="W46" t="str">
        <f>'Both teabags AfterDry'!A382</f>
        <v>R227</v>
      </c>
      <c r="X46" t="b">
        <f t="shared" si="7"/>
        <v>0</v>
      </c>
      <c r="Y46" t="b">
        <f t="shared" si="8"/>
        <v>0</v>
      </c>
      <c r="AA46" t="str">
        <f>'Green_rooibos initial weight'!A47</f>
        <v>G43</v>
      </c>
      <c r="AB46" t="str">
        <f>'Green_rooibos initial weight'!A951</f>
        <v>R43</v>
      </c>
      <c r="AC46" t="b">
        <f t="shared" si="9"/>
        <v>0</v>
      </c>
      <c r="AD46" t="b">
        <f t="shared" si="10"/>
        <v>0</v>
      </c>
      <c r="AG46" t="str">
        <f>'WetLitterbags placem_collection'!K45</f>
        <v>G690</v>
      </c>
      <c r="AH46" t="str">
        <f>'WetLitterbags placem_collection'!M45</f>
        <v>R376</v>
      </c>
      <c r="AI46" t="b">
        <f t="shared" si="11"/>
        <v>0</v>
      </c>
      <c r="AJ46" t="b">
        <f t="shared" si="12"/>
        <v>0</v>
      </c>
      <c r="AK46">
        <f>'WetLitterbags placem_collection'!A45</f>
        <v>43</v>
      </c>
      <c r="AL46">
        <f>'WetLitterbags placem_collection'!A45</f>
        <v>43</v>
      </c>
      <c r="AN46">
        <f>IF('Dry_Litterbag Placem_Collection'!J45=0,"",'Dry_Litterbag Placem_Collection'!J45)</f>
        <v>246</v>
      </c>
      <c r="AO46">
        <f>IF('Dry_Litterbag Placem_Collection'!K45=0,"",'Dry_Litterbag Placem_Collection'!K45)</f>
        <v>758</v>
      </c>
      <c r="AP46" t="b">
        <f t="shared" si="13"/>
        <v>0</v>
      </c>
      <c r="AQ46" t="b">
        <f t="shared" si="14"/>
        <v>0</v>
      </c>
      <c r="AT46" t="str">
        <f>'Ashed teabags dry'!A44</f>
        <v>G15</v>
      </c>
      <c r="AU46" t="str">
        <f>'Ashed teabags dry'!A381</f>
        <v>R225</v>
      </c>
      <c r="AV46" t="b">
        <f t="shared" si="15"/>
        <v>0</v>
      </c>
      <c r="AW46" t="b">
        <f t="shared" si="16"/>
        <v>0</v>
      </c>
      <c r="AZ46" s="401" t="b">
        <f t="shared" si="17"/>
        <v>0</v>
      </c>
      <c r="BA46" s="401" t="b">
        <f t="shared" si="18"/>
        <v>0</v>
      </c>
      <c r="BC46" t="str">
        <f>'Ashed teabags wet'!A44</f>
        <v>G388</v>
      </c>
      <c r="BD46" t="str">
        <f>'Ashed teabags wet'!A461</f>
        <v>R151</v>
      </c>
      <c r="BE46" t="b">
        <f t="shared" si="19"/>
        <v>0</v>
      </c>
      <c r="BF46" t="b">
        <f t="shared" si="20"/>
        <v>0</v>
      </c>
      <c r="BG46">
        <f>IFERROR('Ashed teabags wet'!C44,"")</f>
        <v>197</v>
      </c>
      <c r="BH46">
        <f>IFERROR('Ashed teabags wet'!C461,"")</f>
        <v>70</v>
      </c>
      <c r="BI46" t="str">
        <f>'Ashed teabags wet'!AB44</f>
        <v/>
      </c>
      <c r="BJ46">
        <f>'Ashed teabags wet'!AC44</f>
        <v>196</v>
      </c>
      <c r="BK46">
        <f>'Ashed teabags wet'!AD461</f>
        <v>69</v>
      </c>
      <c r="BL46" t="str">
        <f>'Ashed teabags wet'!AE461</f>
        <v/>
      </c>
      <c r="BN46" t="str">
        <f t="shared" si="21"/>
        <v>G387</v>
      </c>
      <c r="BO46" t="b">
        <f t="shared" si="23"/>
        <v>1</v>
      </c>
    </row>
    <row r="47" spans="2:68" ht="12" customHeight="1">
      <c r="B47" t="str">
        <f>TBIDry!H119</f>
        <v>G115</v>
      </c>
      <c r="C47" t="str">
        <f>TBIDry!I119</f>
        <v>R783</v>
      </c>
      <c r="D47" t="b">
        <f t="shared" si="0"/>
        <v>0</v>
      </c>
      <c r="E47" t="b">
        <f t="shared" si="1"/>
        <v>0</v>
      </c>
      <c r="G47" t="str">
        <f>TBIWet!H119</f>
        <v>G774</v>
      </c>
      <c r="H47" t="str">
        <f>TBIWet!I119</f>
        <v>R166</v>
      </c>
      <c r="I47" t="b">
        <f t="shared" si="2"/>
        <v>0</v>
      </c>
      <c r="J47" t="b">
        <f t="shared" si="22"/>
        <v>0</v>
      </c>
      <c r="L47" t="str">
        <f>'Both teabags AfterWet'!A46</f>
        <v>G386</v>
      </c>
      <c r="M47" t="str">
        <f>'Both teabags AfterWet'!A464</f>
        <v>R148</v>
      </c>
      <c r="N47" t="b">
        <f t="shared" si="3"/>
        <v>0</v>
      </c>
      <c r="O47" t="b">
        <f t="shared" si="4"/>
        <v>0</v>
      </c>
      <c r="P47">
        <f>IFERROR('Both teabags AfterWet'!B46,"")</f>
        <v>69</v>
      </c>
      <c r="Q47" t="str">
        <f>'Both teabags AfterWet'!B464</f>
        <v>n.a</v>
      </c>
      <c r="S47" s="401" t="b">
        <f t="shared" si="5"/>
        <v>0</v>
      </c>
      <c r="T47" s="401" t="b">
        <f t="shared" si="6"/>
        <v>0</v>
      </c>
      <c r="V47" t="str">
        <f>'Both teabags AfterDry'!A46</f>
        <v>G153</v>
      </c>
      <c r="W47" t="str">
        <f>'Both teabags AfterDry'!A383</f>
        <v>R229</v>
      </c>
      <c r="X47" t="b">
        <f t="shared" si="7"/>
        <v>0</v>
      </c>
      <c r="Y47" t="b">
        <f t="shared" si="8"/>
        <v>0</v>
      </c>
      <c r="AA47" t="str">
        <f>'Green_rooibos initial weight'!A48</f>
        <v>G44</v>
      </c>
      <c r="AB47" t="str">
        <f>'Green_rooibos initial weight'!A952</f>
        <v>R44</v>
      </c>
      <c r="AC47" t="b">
        <f t="shared" si="9"/>
        <v>0</v>
      </c>
      <c r="AD47" t="b">
        <f t="shared" si="10"/>
        <v>0</v>
      </c>
      <c r="AG47" t="str">
        <f>'WetLitterbags placem_collection'!K46</f>
        <v>G774</v>
      </c>
      <c r="AH47" t="str">
        <f>'WetLitterbags placem_collection'!M46</f>
        <v>R166</v>
      </c>
      <c r="AI47" t="b">
        <f t="shared" si="11"/>
        <v>0</v>
      </c>
      <c r="AJ47" t="b">
        <f t="shared" si="12"/>
        <v>0</v>
      </c>
      <c r="AK47">
        <f>'WetLitterbags placem_collection'!A46</f>
        <v>44</v>
      </c>
      <c r="AL47">
        <f>'WetLitterbags placem_collection'!A46</f>
        <v>44</v>
      </c>
      <c r="AN47">
        <f>IF('Dry_Litterbag Placem_Collection'!J46=0,"",'Dry_Litterbag Placem_Collection'!J46)</f>
        <v>115</v>
      </c>
      <c r="AO47">
        <f>IF('Dry_Litterbag Placem_Collection'!K46=0,"",'Dry_Litterbag Placem_Collection'!K46)</f>
        <v>783</v>
      </c>
      <c r="AP47" t="b">
        <f t="shared" si="13"/>
        <v>0</v>
      </c>
      <c r="AQ47" t="b">
        <f t="shared" si="14"/>
        <v>0</v>
      </c>
      <c r="AT47" t="str">
        <f>'Ashed teabags dry'!A45</f>
        <v>G152</v>
      </c>
      <c r="AU47" t="str">
        <f>'Ashed teabags dry'!A382</f>
        <v>R227</v>
      </c>
      <c r="AV47" t="b">
        <f t="shared" si="15"/>
        <v>0</v>
      </c>
      <c r="AW47" t="b">
        <f t="shared" si="16"/>
        <v>0</v>
      </c>
      <c r="AZ47" s="401" t="b">
        <f t="shared" si="17"/>
        <v>0</v>
      </c>
      <c r="BA47" s="401" t="b">
        <f t="shared" si="18"/>
        <v>0</v>
      </c>
      <c r="BC47" t="str">
        <f>'Ashed teabags wet'!A45</f>
        <v>G389</v>
      </c>
      <c r="BD47" t="str">
        <f>'Ashed teabags wet'!A462</f>
        <v>R154</v>
      </c>
      <c r="BE47" t="b">
        <f t="shared" si="19"/>
        <v>0</v>
      </c>
      <c r="BF47" t="b">
        <f t="shared" si="20"/>
        <v>0</v>
      </c>
      <c r="BG47">
        <f>IFERROR('Ashed teabags wet'!C45,"")</f>
        <v>8</v>
      </c>
      <c r="BH47">
        <f>IFERROR('Ashed teabags wet'!C462,"")</f>
        <v>16</v>
      </c>
      <c r="BI47">
        <f>'Ashed teabags wet'!AB45</f>
        <v>7</v>
      </c>
      <c r="BJ47" t="str">
        <f>'Ashed teabags wet'!AC45</f>
        <v/>
      </c>
      <c r="BK47" t="str">
        <f>'Ashed teabags wet'!AD462</f>
        <v/>
      </c>
      <c r="BL47">
        <f>'Ashed teabags wet'!AE462</f>
        <v>15</v>
      </c>
      <c r="BN47" t="str">
        <f t="shared" si="21"/>
        <v>G388</v>
      </c>
      <c r="BO47" t="b">
        <f t="shared" si="23"/>
        <v>1</v>
      </c>
    </row>
    <row r="48" spans="2:68" ht="12" customHeight="1">
      <c r="B48" t="str">
        <f>TBIDry!H120</f>
        <v>G480</v>
      </c>
      <c r="C48" t="str">
        <f>TBIDry!I120</f>
        <v>R827</v>
      </c>
      <c r="D48" t="b">
        <f t="shared" si="0"/>
        <v>0</v>
      </c>
      <c r="E48" t="b">
        <f t="shared" si="1"/>
        <v>0</v>
      </c>
      <c r="G48" t="str">
        <f>TBIWet!H120</f>
        <v>G519</v>
      </c>
      <c r="H48" t="str">
        <f>TBIWet!I120</f>
        <v>R469</v>
      </c>
      <c r="I48" t="b">
        <f t="shared" si="2"/>
        <v>0</v>
      </c>
      <c r="J48" t="b">
        <f t="shared" si="22"/>
        <v>0</v>
      </c>
      <c r="L48" t="str">
        <f>'Both teabags AfterWet'!A47</f>
        <v>G387</v>
      </c>
      <c r="M48" t="str">
        <f>'Both teabags AfterWet'!A465</f>
        <v>R149</v>
      </c>
      <c r="N48" t="b">
        <f t="shared" si="3"/>
        <v>0</v>
      </c>
      <c r="O48" t="b">
        <f t="shared" si="4"/>
        <v>0</v>
      </c>
      <c r="P48">
        <f>IFERROR('Both teabags AfterWet'!B47,"")</f>
        <v>63</v>
      </c>
      <c r="Q48">
        <f>'Both teabags AfterWet'!B465</f>
        <v>206</v>
      </c>
      <c r="S48" s="401" t="b">
        <f t="shared" si="5"/>
        <v>0</v>
      </c>
      <c r="T48" s="401" t="b">
        <f t="shared" si="6"/>
        <v>0</v>
      </c>
      <c r="V48" t="str">
        <f>'Both teabags AfterDry'!A47</f>
        <v>G155</v>
      </c>
      <c r="W48" t="str">
        <f>'Both teabags AfterDry'!A384</f>
        <v>R230</v>
      </c>
      <c r="X48" t="b">
        <f t="shared" si="7"/>
        <v>0</v>
      </c>
      <c r="Y48" t="b">
        <f t="shared" si="8"/>
        <v>0</v>
      </c>
      <c r="AA48" t="str">
        <f>'Green_rooibos initial weight'!A49</f>
        <v>G45</v>
      </c>
      <c r="AB48" t="str">
        <f>'Green_rooibos initial weight'!A953</f>
        <v>R45</v>
      </c>
      <c r="AC48" t="b">
        <f t="shared" si="9"/>
        <v>0</v>
      </c>
      <c r="AD48" t="b">
        <f t="shared" si="10"/>
        <v>0</v>
      </c>
      <c r="AG48" t="str">
        <f>'WetLitterbags placem_collection'!K47</f>
        <v>G519</v>
      </c>
      <c r="AH48" t="str">
        <f>'WetLitterbags placem_collection'!M47</f>
        <v>R469</v>
      </c>
      <c r="AI48" t="b">
        <f t="shared" si="11"/>
        <v>0</v>
      </c>
      <c r="AJ48" t="b">
        <f t="shared" si="12"/>
        <v>0</v>
      </c>
      <c r="AK48">
        <f>'WetLitterbags placem_collection'!A47</f>
        <v>45</v>
      </c>
      <c r="AL48">
        <f>'WetLitterbags placem_collection'!A47</f>
        <v>45</v>
      </c>
      <c r="AN48">
        <f>IF('Dry_Litterbag Placem_Collection'!J47=0,"",'Dry_Litterbag Placem_Collection'!J47)</f>
        <v>480</v>
      </c>
      <c r="AO48">
        <f>IF('Dry_Litterbag Placem_Collection'!K47=0,"",'Dry_Litterbag Placem_Collection'!K47)</f>
        <v>827</v>
      </c>
      <c r="AP48" t="b">
        <f t="shared" si="13"/>
        <v>0</v>
      </c>
      <c r="AQ48" t="b">
        <f t="shared" si="14"/>
        <v>0</v>
      </c>
      <c r="AT48" t="str">
        <f>'Ashed teabags dry'!A46</f>
        <v>G153</v>
      </c>
      <c r="AU48" t="str">
        <f>'Ashed teabags dry'!A383</f>
        <v>R229</v>
      </c>
      <c r="AV48" t="b">
        <f t="shared" si="15"/>
        <v>0</v>
      </c>
      <c r="AW48" t="b">
        <f t="shared" si="16"/>
        <v>0</v>
      </c>
      <c r="AZ48" s="401" t="b">
        <f t="shared" si="17"/>
        <v>0</v>
      </c>
      <c r="BA48" s="401" t="b">
        <f t="shared" si="18"/>
        <v>0</v>
      </c>
      <c r="BC48" t="str">
        <f>'Ashed teabags wet'!A46</f>
        <v>G390</v>
      </c>
      <c r="BD48" t="str">
        <f>'Ashed teabags wet'!A463</f>
        <v>R155</v>
      </c>
      <c r="BE48" t="b">
        <f t="shared" si="19"/>
        <v>0</v>
      </c>
      <c r="BF48" t="b">
        <f t="shared" si="20"/>
        <v>0</v>
      </c>
      <c r="BG48">
        <f>IFERROR('Ashed teabags wet'!C46,"")</f>
        <v>164</v>
      </c>
      <c r="BH48">
        <f>IFERROR('Ashed teabags wet'!C463,"")</f>
        <v>49</v>
      </c>
      <c r="BI48" t="str">
        <f>'Ashed teabags wet'!AB46</f>
        <v/>
      </c>
      <c r="BJ48">
        <f>'Ashed teabags wet'!AC46</f>
        <v>163</v>
      </c>
      <c r="BK48" t="str">
        <f>'Ashed teabags wet'!AD463</f>
        <v/>
      </c>
      <c r="BL48">
        <f>'Ashed teabags wet'!AE463</f>
        <v>48</v>
      </c>
      <c r="BN48" t="str">
        <f t="shared" si="21"/>
        <v>G389</v>
      </c>
      <c r="BO48" t="b">
        <f t="shared" si="23"/>
        <v>1</v>
      </c>
    </row>
    <row r="49" spans="2:67" ht="12" customHeight="1">
      <c r="B49" t="str">
        <f>TBIDry!H121</f>
        <v/>
      </c>
      <c r="C49" t="str">
        <f>TBIDry!I121</f>
        <v/>
      </c>
      <c r="D49" t="b">
        <f t="shared" si="0"/>
        <v>1</v>
      </c>
      <c r="E49" t="b">
        <f t="shared" si="1"/>
        <v>1</v>
      </c>
      <c r="G49" t="str">
        <f>TBIWet!H121</f>
        <v>G635</v>
      </c>
      <c r="H49" t="str">
        <f>TBIWet!I121</f>
        <v>R86</v>
      </c>
      <c r="I49" t="b">
        <f t="shared" si="2"/>
        <v>0</v>
      </c>
      <c r="J49" t="b">
        <f t="shared" si="22"/>
        <v>0</v>
      </c>
      <c r="L49" t="str">
        <f>'Both teabags AfterWet'!A48</f>
        <v>G388</v>
      </c>
      <c r="M49" t="str">
        <f>'Both teabags AfterWet'!A466</f>
        <v>R15</v>
      </c>
      <c r="N49" t="b">
        <f t="shared" si="3"/>
        <v>0</v>
      </c>
      <c r="O49" t="b">
        <f t="shared" si="4"/>
        <v>0</v>
      </c>
      <c r="P49" t="str">
        <f>IFERROR('Both teabags AfterWet'!B48,"")</f>
        <v>n.a</v>
      </c>
      <c r="Q49">
        <f>'Both teabags AfterWet'!B466</f>
        <v>144</v>
      </c>
      <c r="S49" s="401" t="b">
        <f t="shared" si="5"/>
        <v>0</v>
      </c>
      <c r="T49" s="401" t="b">
        <f t="shared" si="6"/>
        <v>0</v>
      </c>
      <c r="V49" t="str">
        <f>'Both teabags AfterDry'!A48</f>
        <v>G156</v>
      </c>
      <c r="W49" t="str">
        <f>'Both teabags AfterDry'!A385</f>
        <v>R233</v>
      </c>
      <c r="X49" t="b">
        <f t="shared" si="7"/>
        <v>0</v>
      </c>
      <c r="Y49" t="b">
        <f t="shared" si="8"/>
        <v>0</v>
      </c>
      <c r="AA49" t="str">
        <f>'Green_rooibos initial weight'!A50</f>
        <v>G46</v>
      </c>
      <c r="AB49" t="str">
        <f>'Green_rooibos initial weight'!A954</f>
        <v>R46</v>
      </c>
      <c r="AC49" t="b">
        <f t="shared" si="9"/>
        <v>0</v>
      </c>
      <c r="AD49" t="b">
        <f t="shared" si="10"/>
        <v>0</v>
      </c>
      <c r="AG49" t="str">
        <f>'WetLitterbags placem_collection'!K48</f>
        <v>G635</v>
      </c>
      <c r="AH49" t="str">
        <f>'WetLitterbags placem_collection'!M48</f>
        <v>R86</v>
      </c>
      <c r="AI49" t="b">
        <f t="shared" si="11"/>
        <v>0</v>
      </c>
      <c r="AJ49" t="b">
        <f t="shared" si="12"/>
        <v>0</v>
      </c>
      <c r="AK49">
        <f>'WetLitterbags placem_collection'!A48</f>
        <v>46</v>
      </c>
      <c r="AL49">
        <f>'WetLitterbags placem_collection'!A48</f>
        <v>46</v>
      </c>
      <c r="AN49" t="str">
        <f>IF('Dry_Litterbag Placem_Collection'!J48=0,"",'Dry_Litterbag Placem_Collection'!J48)</f>
        <v/>
      </c>
      <c r="AO49" t="str">
        <f>IF('Dry_Litterbag Placem_Collection'!K48=0,"",'Dry_Litterbag Placem_Collection'!K48)</f>
        <v/>
      </c>
      <c r="AP49" t="b">
        <f t="shared" si="13"/>
        <v>1</v>
      </c>
      <c r="AQ49" t="b">
        <f t="shared" si="14"/>
        <v>1</v>
      </c>
      <c r="AT49" t="str">
        <f>'Ashed teabags dry'!A47</f>
        <v>G155</v>
      </c>
      <c r="AU49" t="str">
        <f>'Ashed teabags dry'!A384</f>
        <v>R230</v>
      </c>
      <c r="AV49" t="b">
        <f t="shared" si="15"/>
        <v>0</v>
      </c>
      <c r="AW49" t="b">
        <f t="shared" si="16"/>
        <v>0</v>
      </c>
      <c r="AZ49" s="401" t="b">
        <f t="shared" si="17"/>
        <v>0</v>
      </c>
      <c r="BA49" s="401" t="b">
        <f t="shared" si="18"/>
        <v>0</v>
      </c>
      <c r="BC49" t="str">
        <f>'Ashed teabags wet'!A47</f>
        <v>G391</v>
      </c>
      <c r="BD49" t="str">
        <f>'Ashed teabags wet'!A464</f>
        <v>R156</v>
      </c>
      <c r="BE49" t="b">
        <f t="shared" si="19"/>
        <v>0</v>
      </c>
      <c r="BF49" t="b">
        <f t="shared" si="20"/>
        <v>0</v>
      </c>
      <c r="BG49">
        <f>IFERROR('Ashed teabags wet'!C47,"")</f>
        <v>61</v>
      </c>
      <c r="BH49">
        <f>IFERROR('Ashed teabags wet'!C464,"")</f>
        <v>32</v>
      </c>
      <c r="BI49" t="str">
        <f>'Ashed teabags wet'!AB47</f>
        <v/>
      </c>
      <c r="BJ49">
        <f>'Ashed teabags wet'!AC47</f>
        <v>60</v>
      </c>
      <c r="BK49" t="str">
        <f>'Ashed teabags wet'!AD464</f>
        <v/>
      </c>
      <c r="BL49">
        <f>'Ashed teabags wet'!AE464</f>
        <v>31</v>
      </c>
      <c r="BN49" t="str">
        <f t="shared" si="21"/>
        <v>G390</v>
      </c>
      <c r="BO49" t="b">
        <f t="shared" si="23"/>
        <v>1</v>
      </c>
    </row>
    <row r="50" spans="2:67" ht="12" customHeight="1">
      <c r="B50" t="str">
        <f>TBIDry!H122</f>
        <v>G110</v>
      </c>
      <c r="C50" t="str">
        <f>TBIDry!I122</f>
        <v>R831</v>
      </c>
      <c r="D50" t="b">
        <f t="shared" si="0"/>
        <v>0</v>
      </c>
      <c r="E50" t="b">
        <f t="shared" si="1"/>
        <v>0</v>
      </c>
      <c r="G50" t="str">
        <f>TBIWet!H122</f>
        <v>G539</v>
      </c>
      <c r="H50" t="str">
        <f>TBIWet!I122</f>
        <v>R146</v>
      </c>
      <c r="I50" t="b">
        <f t="shared" si="2"/>
        <v>0</v>
      </c>
      <c r="J50" t="b">
        <f t="shared" si="22"/>
        <v>0</v>
      </c>
      <c r="L50" t="str">
        <f>'Both teabags AfterWet'!A49</f>
        <v>G389</v>
      </c>
      <c r="M50" t="str">
        <f>'Both teabags AfterWet'!A467</f>
        <v>R150</v>
      </c>
      <c r="N50" t="b">
        <f t="shared" si="3"/>
        <v>0</v>
      </c>
      <c r="O50" t="b">
        <f t="shared" si="4"/>
        <v>0</v>
      </c>
      <c r="P50" t="str">
        <f>IFERROR('Both teabags AfterWet'!B49,"")</f>
        <v>n.a</v>
      </c>
      <c r="Q50" t="str">
        <f>'Both teabags AfterWet'!B467</f>
        <v>n.a</v>
      </c>
      <c r="S50" s="401" t="b">
        <f t="shared" si="5"/>
        <v>0</v>
      </c>
      <c r="T50" s="401" t="b">
        <f t="shared" si="6"/>
        <v>0</v>
      </c>
      <c r="V50" t="str">
        <f>'Both teabags AfterDry'!A49</f>
        <v>G157</v>
      </c>
      <c r="W50" t="str">
        <f>'Both teabags AfterDry'!A386</f>
        <v>R236</v>
      </c>
      <c r="X50" t="b">
        <f t="shared" si="7"/>
        <v>0</v>
      </c>
      <c r="Y50" t="b">
        <f t="shared" si="8"/>
        <v>0</v>
      </c>
      <c r="AA50" t="str">
        <f>'Green_rooibos initial weight'!A51</f>
        <v>G47</v>
      </c>
      <c r="AB50" t="str">
        <f>'Green_rooibos initial weight'!A955</f>
        <v>R47</v>
      </c>
      <c r="AC50" t="b">
        <f t="shared" si="9"/>
        <v>0</v>
      </c>
      <c r="AD50" t="b">
        <f t="shared" si="10"/>
        <v>0</v>
      </c>
      <c r="AG50" t="str">
        <f>'WetLitterbags placem_collection'!K49</f>
        <v>G539</v>
      </c>
      <c r="AH50" t="str">
        <f>'WetLitterbags placem_collection'!M49</f>
        <v>R146</v>
      </c>
      <c r="AI50" t="b">
        <f t="shared" si="11"/>
        <v>0</v>
      </c>
      <c r="AJ50" t="b">
        <f t="shared" si="12"/>
        <v>0</v>
      </c>
      <c r="AK50">
        <f>'WetLitterbags placem_collection'!A49</f>
        <v>47</v>
      </c>
      <c r="AL50">
        <f>'WetLitterbags placem_collection'!A49</f>
        <v>47</v>
      </c>
      <c r="AN50">
        <f>IF('Dry_Litterbag Placem_Collection'!J49=0,"",'Dry_Litterbag Placem_Collection'!J49)</f>
        <v>110</v>
      </c>
      <c r="AO50">
        <f>IF('Dry_Litterbag Placem_Collection'!K49=0,"",'Dry_Litterbag Placem_Collection'!K49)</f>
        <v>831</v>
      </c>
      <c r="AP50" t="b">
        <f t="shared" si="13"/>
        <v>0</v>
      </c>
      <c r="AQ50" t="b">
        <f t="shared" si="14"/>
        <v>0</v>
      </c>
      <c r="AT50" t="str">
        <f>'Ashed teabags dry'!A48</f>
        <v>G156</v>
      </c>
      <c r="AU50" t="str">
        <f>'Ashed teabags dry'!A385</f>
        <v>R231</v>
      </c>
      <c r="AV50" t="b">
        <f t="shared" si="15"/>
        <v>0</v>
      </c>
      <c r="AW50" t="b">
        <f t="shared" si="16"/>
        <v>0</v>
      </c>
      <c r="AZ50" s="401" t="b">
        <f t="shared" si="17"/>
        <v>0</v>
      </c>
      <c r="BA50" s="401" t="b">
        <f t="shared" si="18"/>
        <v>0</v>
      </c>
      <c r="BC50" t="str">
        <f>'Ashed teabags wet'!A48</f>
        <v>G393</v>
      </c>
      <c r="BD50" t="str">
        <f>'Ashed teabags wet'!A465</f>
        <v>R157</v>
      </c>
      <c r="BE50" t="b">
        <f t="shared" si="19"/>
        <v>0</v>
      </c>
      <c r="BF50" t="b">
        <f t="shared" si="20"/>
        <v>0</v>
      </c>
      <c r="BG50">
        <f>IFERROR('Ashed teabags wet'!C48,"")</f>
        <v>190</v>
      </c>
      <c r="BH50">
        <f>IFERROR('Ashed teabags wet'!C465,"")</f>
        <v>172</v>
      </c>
      <c r="BI50" t="str">
        <f>'Ashed teabags wet'!AB48</f>
        <v/>
      </c>
      <c r="BJ50">
        <f>'Ashed teabags wet'!AC48</f>
        <v>189</v>
      </c>
      <c r="BK50">
        <f>'Ashed teabags wet'!AD465</f>
        <v>171</v>
      </c>
      <c r="BL50" t="str">
        <f>'Ashed teabags wet'!AE465</f>
        <v/>
      </c>
      <c r="BN50" t="str">
        <f t="shared" si="21"/>
        <v>G391</v>
      </c>
      <c r="BO50" t="b">
        <f t="shared" si="23"/>
        <v>1</v>
      </c>
    </row>
    <row r="51" spans="2:67" ht="12" customHeight="1">
      <c r="B51" t="str">
        <f>TBIDry!H123</f>
        <v>G233</v>
      </c>
      <c r="C51" t="str">
        <f>TBIDry!I123</f>
        <v>R828</v>
      </c>
      <c r="D51" t="b">
        <f t="shared" si="0"/>
        <v>0</v>
      </c>
      <c r="E51" t="b">
        <f t="shared" si="1"/>
        <v>0</v>
      </c>
      <c r="G51" t="str">
        <f>TBIWet!H123</f>
        <v>G679</v>
      </c>
      <c r="H51" t="str">
        <f>TBIWet!I123</f>
        <v>R72</v>
      </c>
      <c r="I51" t="b">
        <f t="shared" si="2"/>
        <v>0</v>
      </c>
      <c r="J51" t="b">
        <f t="shared" si="22"/>
        <v>0</v>
      </c>
      <c r="L51" t="str">
        <f>'Both teabags AfterWet'!A50</f>
        <v>G390</v>
      </c>
      <c r="M51" t="str">
        <f>'Both teabags AfterWet'!A468</f>
        <v>R151</v>
      </c>
      <c r="N51" t="b">
        <f t="shared" si="3"/>
        <v>0</v>
      </c>
      <c r="O51" t="b">
        <f t="shared" si="4"/>
        <v>0</v>
      </c>
      <c r="P51">
        <f>IFERROR('Both teabags AfterWet'!B50,"")</f>
        <v>64</v>
      </c>
      <c r="Q51">
        <f>'Both teabags AfterWet'!B468</f>
        <v>70</v>
      </c>
      <c r="S51" s="401" t="b">
        <f t="shared" si="5"/>
        <v>0</v>
      </c>
      <c r="T51" s="401" t="b">
        <f t="shared" si="6"/>
        <v>0</v>
      </c>
      <c r="V51" t="str">
        <f>'Both teabags AfterDry'!A50</f>
        <v>G158</v>
      </c>
      <c r="W51" t="str">
        <f>'Both teabags AfterDry'!A387</f>
        <v>R237</v>
      </c>
      <c r="X51" t="b">
        <f t="shared" si="7"/>
        <v>0</v>
      </c>
      <c r="Y51" t="b">
        <f t="shared" si="8"/>
        <v>0</v>
      </c>
      <c r="AA51" t="str">
        <f>'Green_rooibos initial weight'!A52</f>
        <v>G48</v>
      </c>
      <c r="AB51" t="str">
        <f>'Green_rooibos initial weight'!A956</f>
        <v>R48</v>
      </c>
      <c r="AC51" t="b">
        <f t="shared" si="9"/>
        <v>0</v>
      </c>
      <c r="AD51" t="b">
        <f t="shared" si="10"/>
        <v>0</v>
      </c>
      <c r="AG51" t="str">
        <f>'WetLitterbags placem_collection'!K50</f>
        <v>G679</v>
      </c>
      <c r="AH51" t="str">
        <f>'WetLitterbags placem_collection'!M50</f>
        <v>R72</v>
      </c>
      <c r="AI51" t="b">
        <f t="shared" si="11"/>
        <v>0</v>
      </c>
      <c r="AJ51" t="b">
        <f t="shared" si="12"/>
        <v>0</v>
      </c>
      <c r="AK51">
        <f>'WetLitterbags placem_collection'!A50</f>
        <v>48</v>
      </c>
      <c r="AL51">
        <f>'WetLitterbags placem_collection'!A50</f>
        <v>48</v>
      </c>
      <c r="AN51">
        <f>IF('Dry_Litterbag Placem_Collection'!J50=0,"",'Dry_Litterbag Placem_Collection'!J50)</f>
        <v>233</v>
      </c>
      <c r="AO51">
        <f>IF('Dry_Litterbag Placem_Collection'!K50=0,"",'Dry_Litterbag Placem_Collection'!K50)</f>
        <v>828</v>
      </c>
      <c r="AP51" t="b">
        <f t="shared" si="13"/>
        <v>0</v>
      </c>
      <c r="AQ51" t="b">
        <f t="shared" si="14"/>
        <v>0</v>
      </c>
      <c r="AT51" t="str">
        <f>'Ashed teabags dry'!A49</f>
        <v>G157</v>
      </c>
      <c r="AU51" t="str">
        <f>'Ashed teabags dry'!A386</f>
        <v>R233</v>
      </c>
      <c r="AV51" t="b">
        <f t="shared" si="15"/>
        <v>0</v>
      </c>
      <c r="AW51" t="b">
        <f t="shared" si="16"/>
        <v>0</v>
      </c>
      <c r="AZ51" s="401" t="b">
        <f t="shared" si="17"/>
        <v>0</v>
      </c>
      <c r="BA51" s="401" t="b">
        <f t="shared" si="18"/>
        <v>0</v>
      </c>
      <c r="BC51" t="str">
        <f>'Ashed teabags wet'!A49</f>
        <v>G403</v>
      </c>
      <c r="BD51" t="str">
        <f>'Ashed teabags wet'!A466</f>
        <v>R159</v>
      </c>
      <c r="BE51" t="b">
        <f t="shared" si="19"/>
        <v>0</v>
      </c>
      <c r="BF51" t="b">
        <f t="shared" si="20"/>
        <v>0</v>
      </c>
      <c r="BG51">
        <f>IFERROR('Ashed teabags wet'!C49,"")</f>
        <v>182</v>
      </c>
      <c r="BH51">
        <f>IFERROR('Ashed teabags wet'!C466,"")</f>
        <v>64</v>
      </c>
      <c r="BI51">
        <f>'Ashed teabags wet'!AB49</f>
        <v>181</v>
      </c>
      <c r="BJ51" t="str">
        <f>'Ashed teabags wet'!AC49</f>
        <v/>
      </c>
      <c r="BK51">
        <f>'Ashed teabags wet'!AD466</f>
        <v>63</v>
      </c>
      <c r="BL51" t="str">
        <f>'Ashed teabags wet'!AE466</f>
        <v/>
      </c>
      <c r="BN51" t="str">
        <f t="shared" si="21"/>
        <v>G393</v>
      </c>
      <c r="BO51" t="b">
        <f t="shared" si="23"/>
        <v>1</v>
      </c>
    </row>
    <row r="52" spans="2:67" ht="12" customHeight="1">
      <c r="B52" t="str">
        <f>TBIDry!H124</f>
        <v>G54</v>
      </c>
      <c r="C52" t="str">
        <f>TBIDry!I124</f>
        <v>R805</v>
      </c>
      <c r="D52" t="b">
        <f t="shared" si="0"/>
        <v>0</v>
      </c>
      <c r="E52" t="b">
        <f t="shared" si="1"/>
        <v>0</v>
      </c>
      <c r="G52" t="str">
        <f>TBIWet!H124</f>
        <v>G346</v>
      </c>
      <c r="H52" t="str">
        <f>TBIWet!I124</f>
        <v>R28</v>
      </c>
      <c r="I52" t="b">
        <f t="shared" si="2"/>
        <v>0</v>
      </c>
      <c r="J52" t="b">
        <f t="shared" si="22"/>
        <v>0</v>
      </c>
      <c r="L52" t="str">
        <f>'Both teabags AfterWet'!A51</f>
        <v>G391</v>
      </c>
      <c r="M52" t="str">
        <f>'Both teabags AfterWet'!A469</f>
        <v>R153</v>
      </c>
      <c r="N52" t="b">
        <f t="shared" si="3"/>
        <v>0</v>
      </c>
      <c r="O52" t="b">
        <f t="shared" si="4"/>
        <v>0</v>
      </c>
      <c r="P52">
        <f>IFERROR('Both teabags AfterWet'!B51,"")</f>
        <v>61</v>
      </c>
      <c r="Q52">
        <f>'Both teabags AfterWet'!B469</f>
        <v>34</v>
      </c>
      <c r="S52" s="401" t="b">
        <f t="shared" si="5"/>
        <v>0</v>
      </c>
      <c r="T52" s="401" t="b">
        <f t="shared" si="6"/>
        <v>0</v>
      </c>
      <c r="V52" t="str">
        <f>'Both teabags AfterDry'!A51</f>
        <v>G159</v>
      </c>
      <c r="W52" t="str">
        <f>'Both teabags AfterDry'!A388</f>
        <v>R238</v>
      </c>
      <c r="X52" t="b">
        <f t="shared" si="7"/>
        <v>0</v>
      </c>
      <c r="Y52" t="b">
        <f t="shared" si="8"/>
        <v>0</v>
      </c>
      <c r="AA52" t="str">
        <f>'Green_rooibos initial weight'!A53</f>
        <v>G49</v>
      </c>
      <c r="AB52" t="str">
        <f>'Green_rooibos initial weight'!A957</f>
        <v>R49</v>
      </c>
      <c r="AC52" t="b">
        <f t="shared" si="9"/>
        <v>0</v>
      </c>
      <c r="AD52" t="b">
        <f t="shared" si="10"/>
        <v>0</v>
      </c>
      <c r="AG52" t="str">
        <f>'WetLitterbags placem_collection'!K51</f>
        <v>G346</v>
      </c>
      <c r="AH52" t="str">
        <f>'WetLitterbags placem_collection'!M51</f>
        <v>R28</v>
      </c>
      <c r="AI52" t="b">
        <f t="shared" si="11"/>
        <v>0</v>
      </c>
      <c r="AJ52" t="b">
        <f t="shared" si="12"/>
        <v>0</v>
      </c>
      <c r="AK52">
        <f>'WetLitterbags placem_collection'!A51</f>
        <v>49</v>
      </c>
      <c r="AL52">
        <f>'WetLitterbags placem_collection'!A51</f>
        <v>49</v>
      </c>
      <c r="AN52">
        <f>IF('Dry_Litterbag Placem_Collection'!J51=0,"",'Dry_Litterbag Placem_Collection'!J51)</f>
        <v>54</v>
      </c>
      <c r="AO52">
        <f>IF('Dry_Litterbag Placem_Collection'!K51=0,"",'Dry_Litterbag Placem_Collection'!K51)</f>
        <v>805</v>
      </c>
      <c r="AP52" t="b">
        <f t="shared" si="13"/>
        <v>0</v>
      </c>
      <c r="AQ52" t="b">
        <f t="shared" si="14"/>
        <v>0</v>
      </c>
      <c r="AT52" t="str">
        <f>'Ashed teabags dry'!A50</f>
        <v>G158</v>
      </c>
      <c r="AU52" t="str">
        <f>'Ashed teabags dry'!A387</f>
        <v>R236</v>
      </c>
      <c r="AV52" t="b">
        <f t="shared" si="15"/>
        <v>0</v>
      </c>
      <c r="AW52" t="b">
        <f t="shared" si="16"/>
        <v>0</v>
      </c>
      <c r="AZ52" s="401" t="b">
        <f t="shared" si="17"/>
        <v>0</v>
      </c>
      <c r="BA52" s="401" t="b">
        <f t="shared" si="18"/>
        <v>0</v>
      </c>
      <c r="BC52" t="str">
        <f>'Ashed teabags wet'!A50</f>
        <v>G404</v>
      </c>
      <c r="BD52" t="str">
        <f>'Ashed teabags wet'!A467</f>
        <v>R16</v>
      </c>
      <c r="BE52" t="b">
        <f t="shared" si="19"/>
        <v>0</v>
      </c>
      <c r="BF52" t="b">
        <f t="shared" si="20"/>
        <v>0</v>
      </c>
      <c r="BG52">
        <f>IFERROR('Ashed teabags wet'!C50,"")</f>
        <v>31</v>
      </c>
      <c r="BH52">
        <f>IFERROR('Ashed teabags wet'!C467,"")</f>
        <v>158</v>
      </c>
      <c r="BI52">
        <f>'Ashed teabags wet'!AB50</f>
        <v>30</v>
      </c>
      <c r="BJ52" t="str">
        <f>'Ashed teabags wet'!AC50</f>
        <v/>
      </c>
      <c r="BK52">
        <f>'Ashed teabags wet'!AD467</f>
        <v>157</v>
      </c>
      <c r="BL52" t="str">
        <f>'Ashed teabags wet'!AE467</f>
        <v/>
      </c>
      <c r="BN52" t="str">
        <f t="shared" si="21"/>
        <v>G403</v>
      </c>
      <c r="BO52" t="b">
        <f t="shared" si="23"/>
        <v>1</v>
      </c>
    </row>
    <row r="53" spans="2:67" ht="12" customHeight="1">
      <c r="B53" t="str">
        <f>TBIDry!H125</f>
        <v>G276</v>
      </c>
      <c r="C53" t="str">
        <f>TBIDry!I125</f>
        <v>R754</v>
      </c>
      <c r="D53" t="b">
        <f t="shared" si="0"/>
        <v>0</v>
      </c>
      <c r="E53" t="b">
        <f t="shared" si="1"/>
        <v>0</v>
      </c>
      <c r="G53" t="str">
        <f>TBIWet!H125</f>
        <v>G418</v>
      </c>
      <c r="H53" t="str">
        <f>TBIWet!I125</f>
        <v>R5</v>
      </c>
      <c r="I53" t="b">
        <f t="shared" si="2"/>
        <v>0</v>
      </c>
      <c r="J53" t="b">
        <f t="shared" si="22"/>
        <v>0</v>
      </c>
      <c r="L53" t="str">
        <f>'Both teabags AfterWet'!A52</f>
        <v>G393</v>
      </c>
      <c r="M53" t="str">
        <f>'Both teabags AfterWet'!A470</f>
        <v>R154</v>
      </c>
      <c r="N53" t="b">
        <f t="shared" si="3"/>
        <v>0</v>
      </c>
      <c r="O53" t="b">
        <f t="shared" si="4"/>
        <v>0</v>
      </c>
      <c r="P53" t="str">
        <f>IFERROR('Both teabags AfterWet'!B52,"")</f>
        <v>n.a</v>
      </c>
      <c r="Q53" t="str">
        <f>'Both teabags AfterWet'!B470</f>
        <v>n.a</v>
      </c>
      <c r="S53" s="401" t="b">
        <f t="shared" si="5"/>
        <v>0</v>
      </c>
      <c r="T53" s="401" t="b">
        <f t="shared" si="6"/>
        <v>0</v>
      </c>
      <c r="V53" t="str">
        <f>'Both teabags AfterDry'!A52</f>
        <v>G161</v>
      </c>
      <c r="W53" t="str">
        <f>'Both teabags AfterDry'!A389</f>
        <v>R239</v>
      </c>
      <c r="X53" t="b">
        <f t="shared" si="7"/>
        <v>0</v>
      </c>
      <c r="Y53" t="b">
        <f t="shared" si="8"/>
        <v>0</v>
      </c>
      <c r="AA53" t="str">
        <f>'Green_rooibos initial weight'!A54</f>
        <v>G50</v>
      </c>
      <c r="AB53" t="str">
        <f>'Green_rooibos initial weight'!A958</f>
        <v>R50</v>
      </c>
      <c r="AC53" t="b">
        <f t="shared" si="9"/>
        <v>0</v>
      </c>
      <c r="AD53" t="b">
        <f t="shared" si="10"/>
        <v>0</v>
      </c>
      <c r="AG53" t="str">
        <f>'WetLitterbags placem_collection'!K52</f>
        <v>G418</v>
      </c>
      <c r="AH53" t="str">
        <f>'WetLitterbags placem_collection'!M52</f>
        <v>R5</v>
      </c>
      <c r="AI53" t="b">
        <f t="shared" si="11"/>
        <v>0</v>
      </c>
      <c r="AJ53" t="b">
        <f t="shared" si="12"/>
        <v>0</v>
      </c>
      <c r="AK53">
        <f>'WetLitterbags placem_collection'!A52</f>
        <v>50</v>
      </c>
      <c r="AL53">
        <f>'WetLitterbags placem_collection'!A52</f>
        <v>50</v>
      </c>
      <c r="AN53">
        <f>IF('Dry_Litterbag Placem_Collection'!J52=0,"",'Dry_Litterbag Placem_Collection'!J52)</f>
        <v>276</v>
      </c>
      <c r="AO53">
        <f>IF('Dry_Litterbag Placem_Collection'!K52=0,"",'Dry_Litterbag Placem_Collection'!K52)</f>
        <v>754</v>
      </c>
      <c r="AP53" t="b">
        <f t="shared" si="13"/>
        <v>0</v>
      </c>
      <c r="AQ53" t="b">
        <f t="shared" si="14"/>
        <v>0</v>
      </c>
      <c r="AT53" t="str">
        <f>'Ashed teabags dry'!A51</f>
        <v>G159</v>
      </c>
      <c r="AU53" t="str">
        <f>'Ashed teabags dry'!A388</f>
        <v>R237</v>
      </c>
      <c r="AV53" t="b">
        <f t="shared" si="15"/>
        <v>0</v>
      </c>
      <c r="AW53" t="b">
        <f t="shared" si="16"/>
        <v>0</v>
      </c>
      <c r="AZ53" s="401" t="b">
        <f t="shared" si="17"/>
        <v>0</v>
      </c>
      <c r="BA53" s="401" t="b">
        <f t="shared" si="18"/>
        <v>0</v>
      </c>
      <c r="BC53" t="str">
        <f>'Ashed teabags wet'!A51</f>
        <v>G405</v>
      </c>
      <c r="BD53" t="str">
        <f>'Ashed teabags wet'!A468</f>
        <v>R161</v>
      </c>
      <c r="BE53" t="b">
        <f t="shared" si="19"/>
        <v>0</v>
      </c>
      <c r="BF53" t="b">
        <f t="shared" si="20"/>
        <v>0</v>
      </c>
      <c r="BG53">
        <f>IFERROR('Ashed teabags wet'!C51,"")</f>
        <v>16</v>
      </c>
      <c r="BH53">
        <f>IFERROR('Ashed teabags wet'!C468,"")</f>
        <v>57</v>
      </c>
      <c r="BI53">
        <f>'Ashed teabags wet'!AB51</f>
        <v>15</v>
      </c>
      <c r="BJ53" t="str">
        <f>'Ashed teabags wet'!AC51</f>
        <v/>
      </c>
      <c r="BK53">
        <f>'Ashed teabags wet'!AD468</f>
        <v>56</v>
      </c>
      <c r="BL53" t="str">
        <f>'Ashed teabags wet'!AE468</f>
        <v/>
      </c>
      <c r="BN53" t="str">
        <f t="shared" si="21"/>
        <v>G404</v>
      </c>
      <c r="BO53" t="b">
        <f t="shared" si="23"/>
        <v>1</v>
      </c>
    </row>
    <row r="54" spans="2:67" ht="12" customHeight="1">
      <c r="B54" t="str">
        <f>TBIDry!H126</f>
        <v>G227</v>
      </c>
      <c r="C54" t="str">
        <f>TBIDry!I126</f>
        <v>R798</v>
      </c>
      <c r="D54" t="b">
        <f t="shared" si="0"/>
        <v>0</v>
      </c>
      <c r="E54" t="b">
        <f t="shared" si="1"/>
        <v>0</v>
      </c>
      <c r="G54" t="str">
        <f>TBIWet!H126</f>
        <v>G548</v>
      </c>
      <c r="H54" t="str">
        <f>TBIWet!I126</f>
        <v>R85</v>
      </c>
      <c r="I54" t="b">
        <f t="shared" si="2"/>
        <v>0</v>
      </c>
      <c r="J54" t="b">
        <f t="shared" si="22"/>
        <v>0</v>
      </c>
      <c r="L54" t="str">
        <f>'Both teabags AfterWet'!A53</f>
        <v>G403</v>
      </c>
      <c r="M54" t="str">
        <f>'Both teabags AfterWet'!A471</f>
        <v>R155</v>
      </c>
      <c r="N54" t="b">
        <f t="shared" si="3"/>
        <v>0</v>
      </c>
      <c r="O54" t="b">
        <f t="shared" si="4"/>
        <v>0</v>
      </c>
      <c r="P54" t="str">
        <f>IFERROR('Both teabags AfterWet'!B53,"")</f>
        <v>n.a</v>
      </c>
      <c r="Q54" t="str">
        <f>'Both teabags AfterWet'!B471</f>
        <v>n.a</v>
      </c>
      <c r="S54" s="401" t="b">
        <f t="shared" si="5"/>
        <v>0</v>
      </c>
      <c r="T54" s="401" t="b">
        <f t="shared" si="6"/>
        <v>0</v>
      </c>
      <c r="V54" t="str">
        <f>'Both teabags AfterDry'!A53</f>
        <v>G162</v>
      </c>
      <c r="W54" t="str">
        <f>'Both teabags AfterDry'!A390</f>
        <v>R240</v>
      </c>
      <c r="X54" t="b">
        <f t="shared" si="7"/>
        <v>0</v>
      </c>
      <c r="Y54" t="b">
        <f t="shared" si="8"/>
        <v>0</v>
      </c>
      <c r="AA54" t="str">
        <f>'Green_rooibos initial weight'!A55</f>
        <v>G51</v>
      </c>
      <c r="AB54" t="str">
        <f>'Green_rooibos initial weight'!A959</f>
        <v>R51</v>
      </c>
      <c r="AC54" t="b">
        <f t="shared" si="9"/>
        <v>0</v>
      </c>
      <c r="AD54" t="b">
        <f t="shared" si="10"/>
        <v>0</v>
      </c>
      <c r="AG54" t="str">
        <f>'WetLitterbags placem_collection'!K53</f>
        <v>G548</v>
      </c>
      <c r="AH54" t="str">
        <f>'WetLitterbags placem_collection'!M53</f>
        <v>R85</v>
      </c>
      <c r="AI54" t="b">
        <f t="shared" si="11"/>
        <v>0</v>
      </c>
      <c r="AJ54" t="b">
        <f t="shared" si="12"/>
        <v>0</v>
      </c>
      <c r="AK54">
        <f>'WetLitterbags placem_collection'!A53</f>
        <v>51</v>
      </c>
      <c r="AL54">
        <f>'WetLitterbags placem_collection'!A53</f>
        <v>51</v>
      </c>
      <c r="AN54">
        <f>IF('Dry_Litterbag Placem_Collection'!J53=0,"",'Dry_Litterbag Placem_Collection'!J53)</f>
        <v>227</v>
      </c>
      <c r="AO54">
        <f>IF('Dry_Litterbag Placem_Collection'!K53=0,"",'Dry_Litterbag Placem_Collection'!K53)</f>
        <v>798</v>
      </c>
      <c r="AP54" t="b">
        <f t="shared" si="13"/>
        <v>0</v>
      </c>
      <c r="AQ54" t="b">
        <f t="shared" si="14"/>
        <v>0</v>
      </c>
      <c r="AT54" t="str">
        <f>'Ashed teabags dry'!A52</f>
        <v>G16</v>
      </c>
      <c r="AU54" t="str">
        <f>'Ashed teabags dry'!A389</f>
        <v>R238</v>
      </c>
      <c r="AV54" t="b">
        <f t="shared" si="15"/>
        <v>0</v>
      </c>
      <c r="AW54" t="b">
        <f t="shared" si="16"/>
        <v>0</v>
      </c>
      <c r="AZ54" s="401" t="b">
        <f t="shared" si="17"/>
        <v>0</v>
      </c>
      <c r="BA54" s="401" t="b">
        <f t="shared" si="18"/>
        <v>0</v>
      </c>
      <c r="BC54" t="str">
        <f>'Ashed teabags wet'!A52</f>
        <v>G406</v>
      </c>
      <c r="BD54" t="str">
        <f>'Ashed teabags wet'!A469</f>
        <v>R164</v>
      </c>
      <c r="BE54" t="b">
        <f t="shared" si="19"/>
        <v>0</v>
      </c>
      <c r="BF54" t="b">
        <f t="shared" si="20"/>
        <v>0</v>
      </c>
      <c r="BG54">
        <f>IFERROR('Ashed teabags wet'!C52,"")</f>
        <v>25</v>
      </c>
      <c r="BH54">
        <f>IFERROR('Ashed teabags wet'!C469,"")</f>
        <v>190</v>
      </c>
      <c r="BI54">
        <f>'Ashed teabags wet'!AB52</f>
        <v>24</v>
      </c>
      <c r="BJ54" t="str">
        <f>'Ashed teabags wet'!AC52</f>
        <v/>
      </c>
      <c r="BK54">
        <f>'Ashed teabags wet'!AD469</f>
        <v>189</v>
      </c>
      <c r="BL54" t="str">
        <f>'Ashed teabags wet'!AE469</f>
        <v/>
      </c>
      <c r="BN54" t="str">
        <f t="shared" si="21"/>
        <v>G405</v>
      </c>
      <c r="BO54" t="b">
        <f t="shared" si="23"/>
        <v>1</v>
      </c>
    </row>
    <row r="55" spans="2:67" ht="12" customHeight="1">
      <c r="B55" t="str">
        <f>TBIDry!H127</f>
        <v>G237</v>
      </c>
      <c r="C55" t="str">
        <f>TBIDry!I127</f>
        <v>R833</v>
      </c>
      <c r="D55" t="b">
        <f t="shared" si="0"/>
        <v>0</v>
      </c>
      <c r="E55" t="b">
        <f t="shared" si="1"/>
        <v>0</v>
      </c>
      <c r="G55" t="str">
        <f>TBIWet!H127</f>
        <v>G638</v>
      </c>
      <c r="H55" t="str">
        <f>TBIWet!I127</f>
        <v>R513</v>
      </c>
      <c r="I55" t="b">
        <f t="shared" si="2"/>
        <v>0</v>
      </c>
      <c r="J55" t="b">
        <f t="shared" si="22"/>
        <v>0</v>
      </c>
      <c r="L55" t="str">
        <f>'Both teabags AfterWet'!A54</f>
        <v>G404</v>
      </c>
      <c r="M55" t="str">
        <f>'Both teabags AfterWet'!A472</f>
        <v>R156</v>
      </c>
      <c r="N55" t="b">
        <f t="shared" si="3"/>
        <v>0</v>
      </c>
      <c r="O55" t="b">
        <f t="shared" si="4"/>
        <v>0</v>
      </c>
      <c r="P55" t="str">
        <f>IFERROR('Both teabags AfterWet'!B54,"")</f>
        <v>n.a</v>
      </c>
      <c r="Q55" t="str">
        <f>'Both teabags AfterWet'!B472</f>
        <v>n.a</v>
      </c>
      <c r="S55" s="401" t="b">
        <f t="shared" si="5"/>
        <v>0</v>
      </c>
      <c r="T55" s="401" t="b">
        <f t="shared" si="6"/>
        <v>0</v>
      </c>
      <c r="V55" t="str">
        <f>'Both teabags AfterDry'!A54</f>
        <v>G166</v>
      </c>
      <c r="W55" t="str">
        <f>'Both teabags AfterDry'!A391</f>
        <v>R242</v>
      </c>
      <c r="X55" t="b">
        <f t="shared" si="7"/>
        <v>0</v>
      </c>
      <c r="Y55" t="b">
        <f t="shared" si="8"/>
        <v>0</v>
      </c>
      <c r="AA55" t="str">
        <f>'Green_rooibos initial weight'!A56</f>
        <v>G52</v>
      </c>
      <c r="AB55" t="str">
        <f>'Green_rooibos initial weight'!A960</f>
        <v>R52</v>
      </c>
      <c r="AC55" t="b">
        <f t="shared" si="9"/>
        <v>0</v>
      </c>
      <c r="AD55" t="b">
        <f t="shared" si="10"/>
        <v>0</v>
      </c>
      <c r="AG55" t="str">
        <f>'WetLitterbags placem_collection'!K54</f>
        <v>G638</v>
      </c>
      <c r="AH55" t="str">
        <f>'WetLitterbags placem_collection'!M54</f>
        <v>R513</v>
      </c>
      <c r="AI55" t="b">
        <f t="shared" si="11"/>
        <v>0</v>
      </c>
      <c r="AJ55" t="b">
        <f t="shared" si="12"/>
        <v>0</v>
      </c>
      <c r="AK55">
        <f>'WetLitterbags placem_collection'!A54</f>
        <v>52</v>
      </c>
      <c r="AL55">
        <f>'WetLitterbags placem_collection'!A54</f>
        <v>52</v>
      </c>
      <c r="AN55">
        <f>IF('Dry_Litterbag Placem_Collection'!J54=0,"",'Dry_Litterbag Placem_Collection'!J54)</f>
        <v>237</v>
      </c>
      <c r="AO55">
        <f>IF('Dry_Litterbag Placem_Collection'!K54=0,"",'Dry_Litterbag Placem_Collection'!K54)</f>
        <v>833</v>
      </c>
      <c r="AP55" t="b">
        <f t="shared" si="13"/>
        <v>0</v>
      </c>
      <c r="AQ55" t="b">
        <f t="shared" si="14"/>
        <v>0</v>
      </c>
      <c r="AT55" t="str">
        <f>'Ashed teabags dry'!A53</f>
        <v>G161</v>
      </c>
      <c r="AU55" t="str">
        <f>'Ashed teabags dry'!A390</f>
        <v>R239</v>
      </c>
      <c r="AV55" t="b">
        <f t="shared" si="15"/>
        <v>0</v>
      </c>
      <c r="AW55" t="b">
        <f t="shared" si="16"/>
        <v>0</v>
      </c>
      <c r="AZ55" s="401" t="b">
        <f t="shared" si="17"/>
        <v>0</v>
      </c>
      <c r="BA55" s="401" t="b">
        <f t="shared" si="18"/>
        <v>0</v>
      </c>
      <c r="BC55" t="str">
        <f>'Ashed teabags wet'!A53</f>
        <v>G408</v>
      </c>
      <c r="BD55" t="str">
        <f>'Ashed teabags wet'!A470</f>
        <v>R165</v>
      </c>
      <c r="BE55" t="b">
        <f t="shared" si="19"/>
        <v>0</v>
      </c>
      <c r="BF55" t="b">
        <f t="shared" si="20"/>
        <v>0</v>
      </c>
      <c r="BG55">
        <f>IFERROR('Ashed teabags wet'!C53,"")</f>
        <v>75</v>
      </c>
      <c r="BH55">
        <f>IFERROR('Ashed teabags wet'!C470,"")</f>
        <v>67</v>
      </c>
      <c r="BI55">
        <f>'Ashed teabags wet'!AB53</f>
        <v>74</v>
      </c>
      <c r="BJ55" t="str">
        <f>'Ashed teabags wet'!AC53</f>
        <v/>
      </c>
      <c r="BK55">
        <f>'Ashed teabags wet'!AD470</f>
        <v>66</v>
      </c>
      <c r="BL55" t="str">
        <f>'Ashed teabags wet'!AE470</f>
        <v/>
      </c>
      <c r="BN55" t="str">
        <f t="shared" si="21"/>
        <v>G406</v>
      </c>
      <c r="BO55" t="b">
        <f t="shared" si="23"/>
        <v>1</v>
      </c>
    </row>
    <row r="56" spans="2:67" ht="12" customHeight="1">
      <c r="B56" t="str">
        <f>TBIDry!H128</f>
        <v>G172</v>
      </c>
      <c r="C56" t="str">
        <f>TBIDry!I128</f>
        <v>R734</v>
      </c>
      <c r="D56" t="b">
        <f t="shared" si="0"/>
        <v>0</v>
      </c>
      <c r="E56" t="b">
        <f t="shared" si="1"/>
        <v>0</v>
      </c>
      <c r="G56" t="str">
        <f>TBIWet!H128</f>
        <v>G426</v>
      </c>
      <c r="H56" t="str">
        <f>TBIWet!I128</f>
        <v>R399</v>
      </c>
      <c r="I56" t="b">
        <f t="shared" si="2"/>
        <v>0</v>
      </c>
      <c r="J56" t="b">
        <f t="shared" si="22"/>
        <v>0</v>
      </c>
      <c r="L56" t="str">
        <f>'Both teabags AfterWet'!A55</f>
        <v>G405</v>
      </c>
      <c r="M56" t="str">
        <f>'Both teabags AfterWet'!A473</f>
        <v>R157</v>
      </c>
      <c r="N56" t="b">
        <f t="shared" si="3"/>
        <v>0</v>
      </c>
      <c r="O56" t="b">
        <f t="shared" si="4"/>
        <v>0</v>
      </c>
      <c r="P56" t="str">
        <f>IFERROR('Both teabags AfterWet'!B55,"")</f>
        <v>na</v>
      </c>
      <c r="Q56">
        <f>'Both teabags AfterWet'!B473</f>
        <v>172</v>
      </c>
      <c r="S56" s="401" t="b">
        <f t="shared" si="5"/>
        <v>0</v>
      </c>
      <c r="T56" s="401" t="b">
        <f t="shared" si="6"/>
        <v>0</v>
      </c>
      <c r="V56" t="str">
        <f>'Both teabags AfterDry'!A55</f>
        <v>G167</v>
      </c>
      <c r="W56" t="str">
        <f>'Both teabags AfterDry'!A392</f>
        <v>R243</v>
      </c>
      <c r="X56" t="b">
        <f t="shared" si="7"/>
        <v>0</v>
      </c>
      <c r="Y56" t="b">
        <f t="shared" si="8"/>
        <v>0</v>
      </c>
      <c r="AA56" t="str">
        <f>'Green_rooibos initial weight'!A57</f>
        <v>G53</v>
      </c>
      <c r="AB56" t="str">
        <f>'Green_rooibos initial weight'!A961</f>
        <v>R53</v>
      </c>
      <c r="AC56" t="b">
        <f t="shared" si="9"/>
        <v>0</v>
      </c>
      <c r="AD56" t="b">
        <f t="shared" si="10"/>
        <v>0</v>
      </c>
      <c r="AG56" t="str">
        <f>'WetLitterbags placem_collection'!K55</f>
        <v>G426</v>
      </c>
      <c r="AH56" t="str">
        <f>'WetLitterbags placem_collection'!M55</f>
        <v>R399</v>
      </c>
      <c r="AI56" t="b">
        <f t="shared" si="11"/>
        <v>0</v>
      </c>
      <c r="AJ56" t="b">
        <f t="shared" si="12"/>
        <v>0</v>
      </c>
      <c r="AK56">
        <f>'WetLitterbags placem_collection'!A55</f>
        <v>53</v>
      </c>
      <c r="AL56">
        <f>'WetLitterbags placem_collection'!A55</f>
        <v>53</v>
      </c>
      <c r="AN56">
        <f>IF('Dry_Litterbag Placem_Collection'!J55=0,"",'Dry_Litterbag Placem_Collection'!J55)</f>
        <v>172</v>
      </c>
      <c r="AO56">
        <f>IF('Dry_Litterbag Placem_Collection'!K55=0,"",'Dry_Litterbag Placem_Collection'!K55)</f>
        <v>734</v>
      </c>
      <c r="AP56" t="b">
        <f t="shared" si="13"/>
        <v>0</v>
      </c>
      <c r="AQ56" t="b">
        <f t="shared" si="14"/>
        <v>0</v>
      </c>
      <c r="AT56" t="str">
        <f>'Ashed teabags dry'!A54</f>
        <v>G166</v>
      </c>
      <c r="AU56" t="str">
        <f>'Ashed teabags dry'!A391</f>
        <v>R240</v>
      </c>
      <c r="AV56" t="b">
        <f t="shared" si="15"/>
        <v>0</v>
      </c>
      <c r="AW56" t="b">
        <f t="shared" si="16"/>
        <v>0</v>
      </c>
      <c r="AZ56" s="401" t="b">
        <f t="shared" si="17"/>
        <v>0</v>
      </c>
      <c r="BA56" s="401" t="b">
        <f t="shared" si="18"/>
        <v>0</v>
      </c>
      <c r="BC56" t="str">
        <f>'Ashed teabags wet'!A54</f>
        <v>G414</v>
      </c>
      <c r="BD56" t="str">
        <f>'Ashed teabags wet'!A471</f>
        <v>R166</v>
      </c>
      <c r="BE56" t="b">
        <f t="shared" si="19"/>
        <v>0</v>
      </c>
      <c r="BF56" t="b">
        <f t="shared" si="20"/>
        <v>0</v>
      </c>
      <c r="BG56">
        <f>IFERROR('Ashed teabags wet'!C54,"")</f>
        <v>70</v>
      </c>
      <c r="BH56">
        <f>IFERROR('Ashed teabags wet'!C471,"")</f>
        <v>44</v>
      </c>
      <c r="BI56" t="str">
        <f>'Ashed teabags wet'!AB54</f>
        <v/>
      </c>
      <c r="BJ56">
        <f>'Ashed teabags wet'!AC54</f>
        <v>69</v>
      </c>
      <c r="BK56">
        <f>'Ashed teabags wet'!AD471</f>
        <v>43</v>
      </c>
      <c r="BL56" t="str">
        <f>'Ashed teabags wet'!AE471</f>
        <v/>
      </c>
      <c r="BN56" t="str">
        <f t="shared" si="21"/>
        <v>G408</v>
      </c>
      <c r="BO56" t="b">
        <f t="shared" si="23"/>
        <v>1</v>
      </c>
    </row>
    <row r="57" spans="2:67" ht="12" customHeight="1">
      <c r="B57" t="str">
        <f>TBIDry!H129</f>
        <v/>
      </c>
      <c r="C57" t="str">
        <f>TBIDry!I129</f>
        <v/>
      </c>
      <c r="D57" t="b">
        <f t="shared" si="0"/>
        <v>1</v>
      </c>
      <c r="E57" t="b">
        <f t="shared" si="1"/>
        <v>1</v>
      </c>
      <c r="G57" t="str">
        <f>TBIWet!H129</f>
        <v>G589</v>
      </c>
      <c r="H57" t="str">
        <f>TBIWet!I129</f>
        <v>R400</v>
      </c>
      <c r="I57" t="b">
        <f t="shared" si="2"/>
        <v>0</v>
      </c>
      <c r="J57" t="b">
        <f t="shared" si="22"/>
        <v>0</v>
      </c>
      <c r="L57" t="str">
        <f>'Both teabags AfterWet'!A56</f>
        <v>G406</v>
      </c>
      <c r="M57" t="str">
        <f>'Both teabags AfterWet'!A474</f>
        <v>R159</v>
      </c>
      <c r="N57" t="b">
        <f t="shared" si="3"/>
        <v>0</v>
      </c>
      <c r="O57" t="b">
        <f t="shared" si="4"/>
        <v>0</v>
      </c>
      <c r="P57" t="str">
        <f>IFERROR('Both teabags AfterWet'!B56,"")</f>
        <v>n.a</v>
      </c>
      <c r="Q57">
        <f>'Both teabags AfterWet'!B474</f>
        <v>64</v>
      </c>
      <c r="S57" s="401" t="b">
        <f t="shared" si="5"/>
        <v>0</v>
      </c>
      <c r="T57" s="401" t="b">
        <f t="shared" si="6"/>
        <v>0</v>
      </c>
      <c r="V57" t="str">
        <f>'Both teabags AfterDry'!A56</f>
        <v>G168</v>
      </c>
      <c r="W57" t="str">
        <f>'Both teabags AfterDry'!A393</f>
        <v>R245</v>
      </c>
      <c r="X57" t="b">
        <f t="shared" si="7"/>
        <v>0</v>
      </c>
      <c r="Y57" t="b">
        <f t="shared" si="8"/>
        <v>0</v>
      </c>
      <c r="AA57" t="str">
        <f>'Green_rooibos initial weight'!A58</f>
        <v>G54</v>
      </c>
      <c r="AB57" t="str">
        <f>'Green_rooibos initial weight'!A962</f>
        <v>R54</v>
      </c>
      <c r="AC57" t="b">
        <f t="shared" si="9"/>
        <v>0</v>
      </c>
      <c r="AD57" t="b">
        <f t="shared" si="10"/>
        <v>0</v>
      </c>
      <c r="AG57" t="str">
        <f>'WetLitterbags placem_collection'!K56</f>
        <v>G589</v>
      </c>
      <c r="AH57" t="str">
        <f>'WetLitterbags placem_collection'!M56</f>
        <v>R400</v>
      </c>
      <c r="AI57" t="b">
        <f t="shared" si="11"/>
        <v>0</v>
      </c>
      <c r="AJ57" t="b">
        <f t="shared" si="12"/>
        <v>0</v>
      </c>
      <c r="AK57">
        <f>'WetLitterbags placem_collection'!A56</f>
        <v>54</v>
      </c>
      <c r="AL57">
        <f>'WetLitterbags placem_collection'!A56</f>
        <v>54</v>
      </c>
      <c r="AN57" t="str">
        <f>IF('Dry_Litterbag Placem_Collection'!J56=0,"",'Dry_Litterbag Placem_Collection'!J56)</f>
        <v/>
      </c>
      <c r="AO57" t="str">
        <f>IF('Dry_Litterbag Placem_Collection'!K56=0,"",'Dry_Litterbag Placem_Collection'!K56)</f>
        <v/>
      </c>
      <c r="AP57" t="b">
        <f t="shared" si="13"/>
        <v>1</v>
      </c>
      <c r="AQ57" t="b">
        <f t="shared" si="14"/>
        <v>1</v>
      </c>
      <c r="AT57" t="str">
        <f>'Ashed teabags dry'!A55</f>
        <v>G167</v>
      </c>
      <c r="AU57" t="str">
        <f>'Ashed teabags dry'!A392</f>
        <v>R242</v>
      </c>
      <c r="AV57" t="b">
        <f t="shared" si="15"/>
        <v>0</v>
      </c>
      <c r="AW57" t="b">
        <f t="shared" si="16"/>
        <v>0</v>
      </c>
      <c r="AZ57" s="401" t="b">
        <f t="shared" si="17"/>
        <v>0</v>
      </c>
      <c r="BA57" s="401" t="b">
        <f t="shared" si="18"/>
        <v>0</v>
      </c>
      <c r="BC57" t="str">
        <f>'Ashed teabags wet'!A55</f>
        <v>G416</v>
      </c>
      <c r="BD57" t="str">
        <f>'Ashed teabags wet'!A472</f>
        <v>R167</v>
      </c>
      <c r="BE57" t="b">
        <f t="shared" si="19"/>
        <v>0</v>
      </c>
      <c r="BF57" t="b">
        <f t="shared" si="20"/>
        <v>0</v>
      </c>
      <c r="BG57">
        <f>IFERROR('Ashed teabags wet'!C55,"")</f>
        <v>75</v>
      </c>
      <c r="BH57">
        <f>IFERROR('Ashed teabags wet'!C472,"")</f>
        <v>194</v>
      </c>
      <c r="BI57">
        <f>'Ashed teabags wet'!AB55</f>
        <v>75</v>
      </c>
      <c r="BJ57" t="str">
        <f>'Ashed teabags wet'!AC55</f>
        <v/>
      </c>
      <c r="BK57" t="str">
        <f>'Ashed teabags wet'!AD472</f>
        <v/>
      </c>
      <c r="BL57">
        <f>'Ashed teabags wet'!AE472</f>
        <v>193</v>
      </c>
      <c r="BN57" t="str">
        <f t="shared" si="21"/>
        <v>G414</v>
      </c>
      <c r="BO57" t="b">
        <f t="shared" si="23"/>
        <v>1</v>
      </c>
    </row>
    <row r="58" spans="2:67" ht="12" customHeight="1">
      <c r="B58" t="str">
        <f>TBIDry!H130</f>
        <v>G86</v>
      </c>
      <c r="C58" t="str">
        <f>TBIDry!I130</f>
        <v>R839</v>
      </c>
      <c r="D58" t="b">
        <f t="shared" si="0"/>
        <v>0</v>
      </c>
      <c r="E58" t="b">
        <f t="shared" si="1"/>
        <v>0</v>
      </c>
      <c r="G58" t="str">
        <f>TBIWet!H130</f>
        <v>G622</v>
      </c>
      <c r="H58" t="str">
        <f>TBIWet!I130</f>
        <v>R19</v>
      </c>
      <c r="I58" t="b">
        <f t="shared" si="2"/>
        <v>0</v>
      </c>
      <c r="J58" t="b">
        <f t="shared" si="22"/>
        <v>0</v>
      </c>
      <c r="L58" t="str">
        <f>'Both teabags AfterWet'!A57</f>
        <v>G408</v>
      </c>
      <c r="M58" t="str">
        <f>'Both teabags AfterWet'!A475</f>
        <v>R16</v>
      </c>
      <c r="N58" t="b">
        <f t="shared" si="3"/>
        <v>0</v>
      </c>
      <c r="O58" t="b">
        <f t="shared" si="4"/>
        <v>0</v>
      </c>
      <c r="P58" t="str">
        <f>IFERROR('Both teabags AfterWet'!B57,"")</f>
        <v>na</v>
      </c>
      <c r="Q58">
        <f>'Both teabags AfterWet'!B475</f>
        <v>158</v>
      </c>
      <c r="S58" s="401" t="b">
        <f t="shared" si="5"/>
        <v>0</v>
      </c>
      <c r="T58" s="401" t="b">
        <f t="shared" si="6"/>
        <v>0</v>
      </c>
      <c r="V58" t="str">
        <f>'Both teabags AfterDry'!A57</f>
        <v>G169</v>
      </c>
      <c r="W58" t="str">
        <f>'Both teabags AfterDry'!A394</f>
        <v>R246</v>
      </c>
      <c r="X58" t="b">
        <f t="shared" si="7"/>
        <v>0</v>
      </c>
      <c r="Y58" t="b">
        <f t="shared" si="8"/>
        <v>0</v>
      </c>
      <c r="AA58" t="str">
        <f>'Green_rooibos initial weight'!A59</f>
        <v>G55</v>
      </c>
      <c r="AB58" t="str">
        <f>'Green_rooibos initial weight'!A963</f>
        <v>R55</v>
      </c>
      <c r="AC58" t="b">
        <f t="shared" si="9"/>
        <v>0</v>
      </c>
      <c r="AD58" t="b">
        <f t="shared" si="10"/>
        <v>0</v>
      </c>
      <c r="AG58" t="str">
        <f>'WetLitterbags placem_collection'!K57</f>
        <v>G622</v>
      </c>
      <c r="AH58" t="str">
        <f>'WetLitterbags placem_collection'!M57</f>
        <v>R19</v>
      </c>
      <c r="AI58" t="b">
        <f t="shared" si="11"/>
        <v>0</v>
      </c>
      <c r="AJ58" t="b">
        <f t="shared" si="12"/>
        <v>0</v>
      </c>
      <c r="AK58">
        <f>'WetLitterbags placem_collection'!A57</f>
        <v>55</v>
      </c>
      <c r="AL58">
        <f>'WetLitterbags placem_collection'!A57</f>
        <v>55</v>
      </c>
      <c r="AN58">
        <f>IF('Dry_Litterbag Placem_Collection'!J57=0,"",'Dry_Litterbag Placem_Collection'!J57)</f>
        <v>86</v>
      </c>
      <c r="AO58">
        <f>IF('Dry_Litterbag Placem_Collection'!K57=0,"",'Dry_Litterbag Placem_Collection'!K57)</f>
        <v>839</v>
      </c>
      <c r="AP58" t="b">
        <f t="shared" si="13"/>
        <v>0</v>
      </c>
      <c r="AQ58" t="b">
        <f t="shared" si="14"/>
        <v>0</v>
      </c>
      <c r="AT58" t="str">
        <f>'Ashed teabags dry'!A56</f>
        <v>G168</v>
      </c>
      <c r="AU58" t="str">
        <f>'Ashed teabags dry'!A393</f>
        <v>R243</v>
      </c>
      <c r="AV58" t="b">
        <f t="shared" si="15"/>
        <v>0</v>
      </c>
      <c r="AW58" t="b">
        <f t="shared" si="16"/>
        <v>0</v>
      </c>
      <c r="AZ58" s="401" t="b">
        <f t="shared" si="17"/>
        <v>0</v>
      </c>
      <c r="BA58" s="401" t="b">
        <f t="shared" si="18"/>
        <v>0</v>
      </c>
      <c r="BC58" t="str">
        <f>'Ashed teabags wet'!A56</f>
        <v>G417</v>
      </c>
      <c r="BD58" t="str">
        <f>'Ashed teabags wet'!A473</f>
        <v>R168</v>
      </c>
      <c r="BE58" t="b">
        <f t="shared" si="19"/>
        <v>0</v>
      </c>
      <c r="BF58" t="b">
        <f t="shared" si="20"/>
        <v>0</v>
      </c>
      <c r="BG58">
        <f>IFERROR('Ashed teabags wet'!C56,"")</f>
        <v>191</v>
      </c>
      <c r="BH58">
        <f>IFERROR('Ashed teabags wet'!C473,"")</f>
        <v>198</v>
      </c>
      <c r="BI58" t="str">
        <f>'Ashed teabags wet'!AB56</f>
        <v/>
      </c>
      <c r="BJ58">
        <f>'Ashed teabags wet'!AC56</f>
        <v>190</v>
      </c>
      <c r="BK58" t="str">
        <f>'Ashed teabags wet'!AD473</f>
        <v/>
      </c>
      <c r="BL58">
        <f>'Ashed teabags wet'!AE473</f>
        <v>197</v>
      </c>
      <c r="BN58" t="str">
        <f t="shared" si="21"/>
        <v>G416</v>
      </c>
      <c r="BO58" t="b">
        <f t="shared" si="23"/>
        <v>1</v>
      </c>
    </row>
    <row r="59" spans="2:67" ht="12" customHeight="1">
      <c r="B59" t="str">
        <f>TBIDry!H131</f>
        <v>G107</v>
      </c>
      <c r="C59" t="str">
        <f>TBIDry!I131</f>
        <v>R760</v>
      </c>
      <c r="D59" t="b">
        <f t="shared" si="0"/>
        <v>0</v>
      </c>
      <c r="E59" t="b">
        <f t="shared" si="1"/>
        <v>0</v>
      </c>
      <c r="G59" t="str">
        <f>TBIWet!H131</f>
        <v>G538</v>
      </c>
      <c r="H59" t="str">
        <f>TBIWet!I131</f>
        <v>R60</v>
      </c>
      <c r="I59" t="b">
        <f t="shared" si="2"/>
        <v>0</v>
      </c>
      <c r="J59" t="b">
        <f t="shared" si="22"/>
        <v>0</v>
      </c>
      <c r="L59" t="str">
        <f>'Both teabags AfterWet'!A58</f>
        <v>G414</v>
      </c>
      <c r="M59" t="str">
        <f>'Both teabags AfterWet'!A476</f>
        <v>R161</v>
      </c>
      <c r="N59" t="b">
        <f t="shared" si="3"/>
        <v>0</v>
      </c>
      <c r="O59" t="b">
        <f t="shared" si="4"/>
        <v>0</v>
      </c>
      <c r="P59">
        <f>IFERROR('Both teabags AfterWet'!B58,"")</f>
        <v>70</v>
      </c>
      <c r="Q59">
        <f>'Both teabags AfterWet'!B476</f>
        <v>57</v>
      </c>
      <c r="S59" s="401" t="b">
        <f t="shared" si="5"/>
        <v>0</v>
      </c>
      <c r="T59" s="401" t="b">
        <f t="shared" si="6"/>
        <v>0</v>
      </c>
      <c r="V59" t="str">
        <f>'Both teabags AfterDry'!A58</f>
        <v>G17</v>
      </c>
      <c r="W59" t="str">
        <f>'Both teabags AfterDry'!A395</f>
        <v>R247</v>
      </c>
      <c r="X59" t="b">
        <f t="shared" si="7"/>
        <v>0</v>
      </c>
      <c r="Y59" t="b">
        <f t="shared" si="8"/>
        <v>0</v>
      </c>
      <c r="AA59" t="str">
        <f>'Green_rooibos initial weight'!A60</f>
        <v>G56</v>
      </c>
      <c r="AB59" t="str">
        <f>'Green_rooibos initial weight'!A964</f>
        <v>R56</v>
      </c>
      <c r="AC59" t="b">
        <f t="shared" si="9"/>
        <v>0</v>
      </c>
      <c r="AD59" t="b">
        <f t="shared" si="10"/>
        <v>0</v>
      </c>
      <c r="AG59" t="str">
        <f>'WetLitterbags placem_collection'!K58</f>
        <v>G538</v>
      </c>
      <c r="AH59" t="str">
        <f>'WetLitterbags placem_collection'!M58</f>
        <v>R60</v>
      </c>
      <c r="AI59" t="b">
        <f t="shared" si="11"/>
        <v>0</v>
      </c>
      <c r="AJ59" t="b">
        <f t="shared" si="12"/>
        <v>0</v>
      </c>
      <c r="AK59">
        <f>'WetLitterbags placem_collection'!A58</f>
        <v>56</v>
      </c>
      <c r="AL59">
        <f>'WetLitterbags placem_collection'!A58</f>
        <v>56</v>
      </c>
      <c r="AN59">
        <f>IF('Dry_Litterbag Placem_Collection'!J58=0,"",'Dry_Litterbag Placem_Collection'!J58)</f>
        <v>107</v>
      </c>
      <c r="AO59">
        <f>IF('Dry_Litterbag Placem_Collection'!K58=0,"",'Dry_Litterbag Placem_Collection'!K58)</f>
        <v>760</v>
      </c>
      <c r="AP59" t="b">
        <f t="shared" si="13"/>
        <v>0</v>
      </c>
      <c r="AQ59" t="b">
        <f t="shared" si="14"/>
        <v>0</v>
      </c>
      <c r="AT59" t="str">
        <f>'Ashed teabags dry'!A57</f>
        <v>G169</v>
      </c>
      <c r="AU59" t="str">
        <f>'Ashed teabags dry'!A394</f>
        <v>R245</v>
      </c>
      <c r="AV59" s="113" t="b">
        <f t="shared" si="15"/>
        <v>1</v>
      </c>
      <c r="AW59" t="b">
        <f t="shared" si="16"/>
        <v>0</v>
      </c>
      <c r="AZ59" s="401" t="b">
        <f t="shared" si="17"/>
        <v>0</v>
      </c>
      <c r="BA59" s="401" t="b">
        <f t="shared" si="18"/>
        <v>0</v>
      </c>
      <c r="BC59" t="str">
        <f>'Ashed teabags wet'!A57</f>
        <v>G419</v>
      </c>
      <c r="BD59" t="str">
        <f>'Ashed teabags wet'!A474</f>
        <v>R169</v>
      </c>
      <c r="BE59" t="b">
        <f t="shared" si="19"/>
        <v>0</v>
      </c>
      <c r="BF59" t="b">
        <f t="shared" si="20"/>
        <v>0</v>
      </c>
      <c r="BG59">
        <f>IFERROR('Ashed teabags wet'!C57,"")</f>
        <v>18</v>
      </c>
      <c r="BH59">
        <f>IFERROR('Ashed teabags wet'!C474,"")</f>
        <v>9</v>
      </c>
      <c r="BI59">
        <f>'Ashed teabags wet'!AB57</f>
        <v>17</v>
      </c>
      <c r="BJ59" t="str">
        <f>'Ashed teabags wet'!AC57</f>
        <v/>
      </c>
      <c r="BK59">
        <f>'Ashed teabags wet'!AD474</f>
        <v>8</v>
      </c>
      <c r="BL59" t="str">
        <f>'Ashed teabags wet'!AE474</f>
        <v/>
      </c>
      <c r="BN59" t="str">
        <f t="shared" si="21"/>
        <v>G417</v>
      </c>
      <c r="BO59" t="b">
        <f t="shared" si="23"/>
        <v>1</v>
      </c>
    </row>
    <row r="60" spans="2:67" ht="12" customHeight="1">
      <c r="B60" t="str">
        <f>TBIDry!H132</f>
        <v>G41</v>
      </c>
      <c r="C60" t="str">
        <f>TBIDry!I132</f>
        <v>R830</v>
      </c>
      <c r="D60" t="b">
        <f t="shared" si="0"/>
        <v>0</v>
      </c>
      <c r="E60" t="b">
        <f t="shared" si="1"/>
        <v>0</v>
      </c>
      <c r="G60" t="str">
        <f>TBIWet!H132</f>
        <v>G546</v>
      </c>
      <c r="H60" t="str">
        <f>TBIWet!I132</f>
        <v>R161</v>
      </c>
      <c r="I60" s="113" t="b">
        <f t="shared" si="2"/>
        <v>0</v>
      </c>
      <c r="J60" t="b">
        <f t="shared" si="22"/>
        <v>0</v>
      </c>
      <c r="L60" t="str">
        <f>'Both teabags AfterWet'!A59</f>
        <v>G416</v>
      </c>
      <c r="M60" t="str">
        <f>'Both teabags AfterWet'!A477</f>
        <v>R164</v>
      </c>
      <c r="N60" t="b">
        <f t="shared" si="3"/>
        <v>0</v>
      </c>
      <c r="O60" t="b">
        <f t="shared" si="4"/>
        <v>0</v>
      </c>
      <c r="P60">
        <f>IFERROR('Both teabags AfterWet'!B59,"")</f>
        <v>75</v>
      </c>
      <c r="Q60" t="str">
        <f>'Both teabags AfterWet'!B477</f>
        <v>n.a</v>
      </c>
      <c r="S60" s="401" t="b">
        <f t="shared" si="5"/>
        <v>0</v>
      </c>
      <c r="T60" s="401" t="b">
        <f t="shared" si="6"/>
        <v>0</v>
      </c>
      <c r="V60" t="str">
        <f>'Both teabags AfterDry'!A59</f>
        <v>G170</v>
      </c>
      <c r="W60" t="str">
        <f>'Both teabags AfterDry'!A396</f>
        <v>R249</v>
      </c>
      <c r="X60" t="b">
        <f t="shared" si="7"/>
        <v>0</v>
      </c>
      <c r="Y60" t="b">
        <f t="shared" si="8"/>
        <v>0</v>
      </c>
      <c r="AA60" t="str">
        <f>'Green_rooibos initial weight'!A61</f>
        <v>G57</v>
      </c>
      <c r="AB60" t="str">
        <f>'Green_rooibos initial weight'!A965</f>
        <v>R57</v>
      </c>
      <c r="AC60" t="b">
        <f t="shared" si="9"/>
        <v>0</v>
      </c>
      <c r="AD60" t="b">
        <f t="shared" si="10"/>
        <v>0</v>
      </c>
      <c r="AG60" t="str">
        <f>'WetLitterbags placem_collection'!K59</f>
        <v>G546</v>
      </c>
      <c r="AH60" t="str">
        <f>'WetLitterbags placem_collection'!M59</f>
        <v>R161</v>
      </c>
      <c r="AI60" s="113" t="b">
        <f t="shared" si="11"/>
        <v>0</v>
      </c>
      <c r="AJ60" t="b">
        <f t="shared" si="12"/>
        <v>0</v>
      </c>
      <c r="AK60">
        <f>'WetLitterbags placem_collection'!A59</f>
        <v>57</v>
      </c>
      <c r="AL60">
        <f>'WetLitterbags placem_collection'!A59</f>
        <v>57</v>
      </c>
      <c r="AN60">
        <f>IF('Dry_Litterbag Placem_Collection'!J59=0,"",'Dry_Litterbag Placem_Collection'!J59)</f>
        <v>41</v>
      </c>
      <c r="AO60">
        <f>IF('Dry_Litterbag Placem_Collection'!K59=0,"",'Dry_Litterbag Placem_Collection'!K59)</f>
        <v>830</v>
      </c>
      <c r="AP60" t="b">
        <f t="shared" si="13"/>
        <v>0</v>
      </c>
      <c r="AQ60" t="b">
        <f t="shared" si="14"/>
        <v>0</v>
      </c>
      <c r="AT60" t="str">
        <f>'Ashed teabags dry'!A58</f>
        <v>G169</v>
      </c>
      <c r="AU60" t="str">
        <f>'Ashed teabags dry'!A395</f>
        <v>R246</v>
      </c>
      <c r="AV60" s="113" t="b">
        <f t="shared" si="15"/>
        <v>1</v>
      </c>
      <c r="AW60" t="b">
        <f t="shared" si="16"/>
        <v>0</v>
      </c>
      <c r="AZ60" s="401" t="b">
        <f t="shared" si="17"/>
        <v>0</v>
      </c>
      <c r="BA60" s="401" t="b">
        <f t="shared" si="18"/>
        <v>0</v>
      </c>
      <c r="BC60" t="str">
        <f>'Ashed teabags wet'!A58</f>
        <v>G420</v>
      </c>
      <c r="BD60" t="str">
        <f>'Ashed teabags wet'!A475</f>
        <v>R17</v>
      </c>
      <c r="BE60" t="b">
        <f t="shared" si="19"/>
        <v>0</v>
      </c>
      <c r="BF60" t="b">
        <f t="shared" si="20"/>
        <v>0</v>
      </c>
      <c r="BG60">
        <f>IFERROR('Ashed teabags wet'!C58,"")</f>
        <v>188</v>
      </c>
      <c r="BH60">
        <f>IFERROR('Ashed teabags wet'!C475,"")</f>
        <v>1</v>
      </c>
      <c r="BI60">
        <f>'Ashed teabags wet'!AB58</f>
        <v>187</v>
      </c>
      <c r="BJ60" t="str">
        <f>'Ashed teabags wet'!AC58</f>
        <v/>
      </c>
      <c r="BK60" t="str">
        <f>'Ashed teabags wet'!AD475</f>
        <v/>
      </c>
      <c r="BL60" t="str">
        <f>'Ashed teabags wet'!AE475</f>
        <v/>
      </c>
      <c r="BN60" t="str">
        <f t="shared" si="21"/>
        <v>G419</v>
      </c>
      <c r="BO60" t="b">
        <f t="shared" si="23"/>
        <v>1</v>
      </c>
    </row>
    <row r="61" spans="2:67" ht="12" customHeight="1">
      <c r="B61" t="str">
        <f>TBIDry!H133</f>
        <v>G481</v>
      </c>
      <c r="C61" t="str">
        <f>TBIDry!I133</f>
        <v>R725</v>
      </c>
      <c r="D61" t="b">
        <f t="shared" si="0"/>
        <v>0</v>
      </c>
      <c r="E61" t="b">
        <f t="shared" si="1"/>
        <v>0</v>
      </c>
      <c r="G61" t="str">
        <f>TBIWet!H133</f>
        <v>G513</v>
      </c>
      <c r="H61" t="str">
        <f>TBIWet!I133</f>
        <v>R48</v>
      </c>
      <c r="I61" t="b">
        <f t="shared" si="2"/>
        <v>0</v>
      </c>
      <c r="J61" t="b">
        <f t="shared" si="22"/>
        <v>0</v>
      </c>
      <c r="L61" t="str">
        <f>'Both teabags AfterWet'!A60</f>
        <v>G417</v>
      </c>
      <c r="M61" t="str">
        <f>'Both teabags AfterWet'!A478</f>
        <v>R165</v>
      </c>
      <c r="N61" t="b">
        <f t="shared" si="3"/>
        <v>0</v>
      </c>
      <c r="O61" t="b">
        <f t="shared" si="4"/>
        <v>0</v>
      </c>
      <c r="P61" t="str">
        <f>IFERROR('Both teabags AfterWet'!B60,"")</f>
        <v>n.a</v>
      </c>
      <c r="Q61">
        <f>'Both teabags AfterWet'!B478</f>
        <v>67</v>
      </c>
      <c r="S61" s="401" t="b">
        <f t="shared" si="5"/>
        <v>0</v>
      </c>
      <c r="T61" s="401" t="b">
        <f t="shared" si="6"/>
        <v>0</v>
      </c>
      <c r="V61" t="str">
        <f>'Both teabags AfterDry'!A60</f>
        <v>G171</v>
      </c>
      <c r="W61" t="str">
        <f>'Both teabags AfterDry'!A397</f>
        <v>R254</v>
      </c>
      <c r="X61" t="b">
        <f t="shared" si="7"/>
        <v>0</v>
      </c>
      <c r="Y61" t="b">
        <f t="shared" si="8"/>
        <v>0</v>
      </c>
      <c r="AA61" t="str">
        <f>'Green_rooibos initial weight'!A62</f>
        <v>G58</v>
      </c>
      <c r="AB61" t="str">
        <f>'Green_rooibos initial weight'!A966</f>
        <v>R58</v>
      </c>
      <c r="AC61" t="b">
        <f t="shared" si="9"/>
        <v>0</v>
      </c>
      <c r="AD61" t="b">
        <f t="shared" si="10"/>
        <v>0</v>
      </c>
      <c r="AG61" t="str">
        <f>'WetLitterbags placem_collection'!K60</f>
        <v>G513</v>
      </c>
      <c r="AH61" t="str">
        <f>'WetLitterbags placem_collection'!M60</f>
        <v>R48</v>
      </c>
      <c r="AI61" t="b">
        <f t="shared" si="11"/>
        <v>0</v>
      </c>
      <c r="AJ61" t="b">
        <f t="shared" si="12"/>
        <v>0</v>
      </c>
      <c r="AK61">
        <f>'WetLitterbags placem_collection'!A60</f>
        <v>58</v>
      </c>
      <c r="AL61">
        <f>'WetLitterbags placem_collection'!A60</f>
        <v>58</v>
      </c>
      <c r="AN61">
        <f>IF('Dry_Litterbag Placem_Collection'!J60=0,"",'Dry_Litterbag Placem_Collection'!J60)</f>
        <v>481</v>
      </c>
      <c r="AO61">
        <f>IF('Dry_Litterbag Placem_Collection'!K60=0,"",'Dry_Litterbag Placem_Collection'!K60)</f>
        <v>725</v>
      </c>
      <c r="AP61" t="b">
        <f t="shared" si="13"/>
        <v>0</v>
      </c>
      <c r="AQ61" t="b">
        <f t="shared" si="14"/>
        <v>0</v>
      </c>
      <c r="AT61" t="str">
        <f>'Ashed teabags dry'!A59</f>
        <v>G17</v>
      </c>
      <c r="AU61" t="str">
        <f>'Ashed teabags dry'!A396</f>
        <v>R247</v>
      </c>
      <c r="AV61" t="b">
        <f t="shared" si="15"/>
        <v>0</v>
      </c>
      <c r="AW61" t="b">
        <f t="shared" si="16"/>
        <v>0</v>
      </c>
      <c r="AZ61" s="401" t="b">
        <f t="shared" si="17"/>
        <v>0</v>
      </c>
      <c r="BA61" s="401" t="b">
        <f t="shared" si="18"/>
        <v>0</v>
      </c>
      <c r="BC61" t="str">
        <f>'Ashed teabags wet'!A59</f>
        <v>G421</v>
      </c>
      <c r="BD61" t="str">
        <f>'Ashed teabags wet'!A476</f>
        <v>R171</v>
      </c>
      <c r="BE61" t="b">
        <f t="shared" si="19"/>
        <v>0</v>
      </c>
      <c r="BF61" t="b">
        <f t="shared" si="20"/>
        <v>0</v>
      </c>
      <c r="BG61">
        <f>IFERROR('Ashed teabags wet'!C59,"")</f>
        <v>24</v>
      </c>
      <c r="BH61">
        <f>IFERROR('Ashed teabags wet'!C476,"")</f>
        <v>89</v>
      </c>
      <c r="BI61" t="str">
        <f>'Ashed teabags wet'!AB59</f>
        <v/>
      </c>
      <c r="BJ61">
        <f>'Ashed teabags wet'!AC59</f>
        <v>23</v>
      </c>
      <c r="BK61" t="str">
        <f>'Ashed teabags wet'!AD476</f>
        <v/>
      </c>
      <c r="BL61">
        <f>'Ashed teabags wet'!AE476</f>
        <v>88</v>
      </c>
      <c r="BN61" t="str">
        <f t="shared" si="21"/>
        <v>G420</v>
      </c>
      <c r="BO61" t="b">
        <f t="shared" si="23"/>
        <v>1</v>
      </c>
    </row>
    <row r="62" spans="2:67" ht="12" customHeight="1">
      <c r="B62" t="str">
        <f>TBIDry!H134</f>
        <v>G261</v>
      </c>
      <c r="C62" t="str">
        <f>TBIDry!I134</f>
        <v>R721</v>
      </c>
      <c r="D62" t="b">
        <f t="shared" si="0"/>
        <v>0</v>
      </c>
      <c r="E62" t="b">
        <f t="shared" si="1"/>
        <v>0</v>
      </c>
      <c r="G62" t="str">
        <f>TBIWet!H134</f>
        <v>G489</v>
      </c>
      <c r="H62" t="str">
        <f>TBIWet!I134</f>
        <v>R23</v>
      </c>
      <c r="I62" t="b">
        <f t="shared" si="2"/>
        <v>0</v>
      </c>
      <c r="J62" t="b">
        <f t="shared" si="22"/>
        <v>0</v>
      </c>
      <c r="L62" t="str">
        <f>'Both teabags AfterWet'!A61</f>
        <v>G419</v>
      </c>
      <c r="M62" t="str">
        <f>'Both teabags AfterWet'!A479</f>
        <v>R166</v>
      </c>
      <c r="N62" t="b">
        <f t="shared" si="3"/>
        <v>0</v>
      </c>
      <c r="O62" t="b">
        <f t="shared" si="4"/>
        <v>0</v>
      </c>
      <c r="P62">
        <f>IFERROR('Both teabags AfterWet'!B61,"")</f>
        <v>18</v>
      </c>
      <c r="Q62">
        <f>'Both teabags AfterWet'!B479</f>
        <v>44</v>
      </c>
      <c r="S62" s="401" t="b">
        <f t="shared" si="5"/>
        <v>0</v>
      </c>
      <c r="T62" s="401" t="b">
        <f t="shared" si="6"/>
        <v>0</v>
      </c>
      <c r="V62" t="str">
        <f>'Both teabags AfterDry'!A61</f>
        <v>G172</v>
      </c>
      <c r="W62" t="str">
        <f>'Both teabags AfterDry'!A398</f>
        <v>R256</v>
      </c>
      <c r="X62" t="b">
        <f t="shared" si="7"/>
        <v>0</v>
      </c>
      <c r="Y62" t="b">
        <f t="shared" si="8"/>
        <v>0</v>
      </c>
      <c r="AA62" t="str">
        <f>'Green_rooibos initial weight'!A63</f>
        <v>G59</v>
      </c>
      <c r="AB62" t="str">
        <f>'Green_rooibos initial weight'!A967</f>
        <v>R59</v>
      </c>
      <c r="AC62" t="b">
        <f t="shared" si="9"/>
        <v>0</v>
      </c>
      <c r="AD62" t="b">
        <f t="shared" si="10"/>
        <v>0</v>
      </c>
      <c r="AG62" t="str">
        <f>'WetLitterbags placem_collection'!K61</f>
        <v>G489</v>
      </c>
      <c r="AH62" t="str">
        <f>'WetLitterbags placem_collection'!M61</f>
        <v>R23</v>
      </c>
      <c r="AI62" t="b">
        <f t="shared" si="11"/>
        <v>0</v>
      </c>
      <c r="AJ62" t="b">
        <f t="shared" si="12"/>
        <v>0</v>
      </c>
      <c r="AK62">
        <f>'WetLitterbags placem_collection'!A61</f>
        <v>59</v>
      </c>
      <c r="AL62">
        <f>'WetLitterbags placem_collection'!A61</f>
        <v>59</v>
      </c>
      <c r="AN62">
        <f>IF('Dry_Litterbag Placem_Collection'!J61=0,"",'Dry_Litterbag Placem_Collection'!J61)</f>
        <v>261</v>
      </c>
      <c r="AO62">
        <f>IF('Dry_Litterbag Placem_Collection'!K61=0,"",'Dry_Litterbag Placem_Collection'!K61)</f>
        <v>721</v>
      </c>
      <c r="AP62" t="b">
        <f t="shared" si="13"/>
        <v>0</v>
      </c>
      <c r="AQ62" t="b">
        <f t="shared" si="14"/>
        <v>0</v>
      </c>
      <c r="AT62" t="str">
        <f>'Ashed teabags dry'!A60</f>
        <v>G170</v>
      </c>
      <c r="AU62" t="str">
        <f>'Ashed teabags dry'!A397</f>
        <v>R249</v>
      </c>
      <c r="AV62" t="b">
        <f t="shared" si="15"/>
        <v>0</v>
      </c>
      <c r="AW62" t="b">
        <f t="shared" si="16"/>
        <v>0</v>
      </c>
      <c r="AZ62" s="401" t="b">
        <f t="shared" si="17"/>
        <v>0</v>
      </c>
      <c r="BA62" s="401" t="b">
        <f t="shared" si="18"/>
        <v>0</v>
      </c>
      <c r="BC62" t="str">
        <f>'Ashed teabags wet'!A60</f>
        <v>G423</v>
      </c>
      <c r="BD62" t="str">
        <f>'Ashed teabags wet'!A477</f>
        <v>R172</v>
      </c>
      <c r="BE62" t="b">
        <f t="shared" si="19"/>
        <v>0</v>
      </c>
      <c r="BF62" t="b">
        <f t="shared" si="20"/>
        <v>0</v>
      </c>
      <c r="BG62">
        <f>IFERROR('Ashed teabags wet'!C60,"")</f>
        <v>185</v>
      </c>
      <c r="BH62">
        <f>IFERROR('Ashed teabags wet'!C477,"")</f>
        <v>28</v>
      </c>
      <c r="BI62">
        <f>'Ashed teabags wet'!AB60</f>
        <v>184</v>
      </c>
      <c r="BJ62" t="str">
        <f>'Ashed teabags wet'!AC60</f>
        <v/>
      </c>
      <c r="BK62" t="str">
        <f>'Ashed teabags wet'!AD477</f>
        <v/>
      </c>
      <c r="BL62">
        <f>'Ashed teabags wet'!AE477</f>
        <v>27</v>
      </c>
      <c r="BN62" t="str">
        <f t="shared" si="21"/>
        <v>G421</v>
      </c>
      <c r="BO62" t="b">
        <f t="shared" si="23"/>
        <v>1</v>
      </c>
    </row>
    <row r="63" spans="2:67" ht="12" customHeight="1">
      <c r="B63" t="str">
        <f>TBIDry!H135</f>
        <v>G152</v>
      </c>
      <c r="C63" t="str">
        <f>TBIDry!I135</f>
        <v>R763</v>
      </c>
      <c r="D63" t="b">
        <f t="shared" si="0"/>
        <v>0</v>
      </c>
      <c r="E63" t="b">
        <f t="shared" si="1"/>
        <v>0</v>
      </c>
      <c r="G63" t="str">
        <f>TBIWet!H135</f>
        <v>G633</v>
      </c>
      <c r="H63" t="str">
        <f>TBIWet!I135</f>
        <v>R78</v>
      </c>
      <c r="I63" t="b">
        <f t="shared" si="2"/>
        <v>0</v>
      </c>
      <c r="J63" t="b">
        <f t="shared" si="22"/>
        <v>0</v>
      </c>
      <c r="L63" t="str">
        <f>'Both teabags AfterWet'!A62</f>
        <v>G420</v>
      </c>
      <c r="M63" t="str">
        <f>'Both teabags AfterWet'!A480</f>
        <v>R167</v>
      </c>
      <c r="N63" t="b">
        <f t="shared" si="3"/>
        <v>0</v>
      </c>
      <c r="O63" t="b">
        <f t="shared" si="4"/>
        <v>0</v>
      </c>
      <c r="P63" t="str">
        <f>IFERROR('Both teabags AfterWet'!B62,"")</f>
        <v>na</v>
      </c>
      <c r="Q63">
        <f>'Both teabags AfterWet'!B480</f>
        <v>104</v>
      </c>
      <c r="S63" s="401" t="b">
        <f t="shared" si="5"/>
        <v>0</v>
      </c>
      <c r="T63" s="401" t="b">
        <f t="shared" si="6"/>
        <v>0</v>
      </c>
      <c r="V63" t="str">
        <f>'Both teabags AfterDry'!A62</f>
        <v>G173</v>
      </c>
      <c r="W63" t="str">
        <f>'Both teabags AfterDry'!A399</f>
        <v>R257</v>
      </c>
      <c r="X63" t="b">
        <f t="shared" si="7"/>
        <v>0</v>
      </c>
      <c r="Y63" t="b">
        <f t="shared" si="8"/>
        <v>0</v>
      </c>
      <c r="AA63" t="str">
        <f>'Green_rooibos initial weight'!A64</f>
        <v>G60</v>
      </c>
      <c r="AB63" t="str">
        <f>'Green_rooibos initial weight'!A968</f>
        <v>R60</v>
      </c>
      <c r="AC63" t="b">
        <f t="shared" si="9"/>
        <v>0</v>
      </c>
      <c r="AD63" t="b">
        <f t="shared" si="10"/>
        <v>0</v>
      </c>
      <c r="AG63" t="str">
        <f>'WetLitterbags placem_collection'!K62</f>
        <v>G633</v>
      </c>
      <c r="AH63" t="str">
        <f>'WetLitterbags placem_collection'!M62</f>
        <v>R78</v>
      </c>
      <c r="AI63" t="b">
        <f t="shared" si="11"/>
        <v>0</v>
      </c>
      <c r="AJ63" t="b">
        <f t="shared" si="12"/>
        <v>0</v>
      </c>
      <c r="AK63">
        <f>'WetLitterbags placem_collection'!A62</f>
        <v>60</v>
      </c>
      <c r="AL63">
        <f>'WetLitterbags placem_collection'!A62</f>
        <v>60</v>
      </c>
      <c r="AN63">
        <f>IF('Dry_Litterbag Placem_Collection'!J62=0,"",'Dry_Litterbag Placem_Collection'!J62)</f>
        <v>152</v>
      </c>
      <c r="AO63">
        <f>IF('Dry_Litterbag Placem_Collection'!K62=0,"",'Dry_Litterbag Placem_Collection'!K62)</f>
        <v>763</v>
      </c>
      <c r="AP63" t="b">
        <f t="shared" si="13"/>
        <v>0</v>
      </c>
      <c r="AQ63" t="b">
        <f t="shared" si="14"/>
        <v>0</v>
      </c>
      <c r="AT63" t="str">
        <f>'Ashed teabags dry'!A61</f>
        <v>G171</v>
      </c>
      <c r="AU63" t="str">
        <f>'Ashed teabags dry'!A398</f>
        <v>R254</v>
      </c>
      <c r="AV63" t="b">
        <f t="shared" si="15"/>
        <v>0</v>
      </c>
      <c r="AW63" t="b">
        <f t="shared" si="16"/>
        <v>0</v>
      </c>
      <c r="AZ63" s="401" t="b">
        <f t="shared" si="17"/>
        <v>0</v>
      </c>
      <c r="BA63" s="401" t="b">
        <f t="shared" si="18"/>
        <v>0</v>
      </c>
      <c r="BC63" t="str">
        <f>'Ashed teabags wet'!A61</f>
        <v>G424</v>
      </c>
      <c r="BD63" t="str">
        <f>'Ashed teabags wet'!A478</f>
        <v>R176</v>
      </c>
      <c r="BE63" t="b">
        <f t="shared" si="19"/>
        <v>0</v>
      </c>
      <c r="BF63" t="b">
        <f t="shared" si="20"/>
        <v>0</v>
      </c>
      <c r="BG63">
        <f>IFERROR('Ashed teabags wet'!C61,"")</f>
        <v>93</v>
      </c>
      <c r="BH63">
        <f>IFERROR('Ashed teabags wet'!C478,"")</f>
        <v>219</v>
      </c>
      <c r="BI63" t="str">
        <f>'Ashed teabags wet'!AB61</f>
        <v/>
      </c>
      <c r="BJ63">
        <f>'Ashed teabags wet'!AC61</f>
        <v>92</v>
      </c>
      <c r="BK63">
        <f>'Ashed teabags wet'!AD478</f>
        <v>218</v>
      </c>
      <c r="BL63" t="str">
        <f>'Ashed teabags wet'!AE478</f>
        <v/>
      </c>
      <c r="BN63" t="str">
        <f t="shared" si="21"/>
        <v>G423</v>
      </c>
      <c r="BO63" t="b">
        <f t="shared" si="23"/>
        <v>1</v>
      </c>
    </row>
    <row r="64" spans="2:67" ht="12" customHeight="1">
      <c r="B64" t="str">
        <f>TBIDry!H136</f>
        <v>G191</v>
      </c>
      <c r="C64" t="str">
        <f>TBIDry!I136</f>
        <v>R775</v>
      </c>
      <c r="D64" t="b">
        <f t="shared" si="0"/>
        <v>0</v>
      </c>
      <c r="E64" t="b">
        <f t="shared" si="1"/>
        <v>0</v>
      </c>
      <c r="G64" t="str">
        <f>TBIWet!H136</f>
        <v>G541</v>
      </c>
      <c r="H64" t="str">
        <f>TBIWet!I136</f>
        <v>R42</v>
      </c>
      <c r="I64" t="b">
        <f t="shared" si="2"/>
        <v>0</v>
      </c>
      <c r="J64" t="b">
        <f t="shared" si="22"/>
        <v>0</v>
      </c>
      <c r="L64" t="str">
        <f>'Both teabags AfterWet'!A63</f>
        <v>G421</v>
      </c>
      <c r="M64" t="str">
        <f>'Both teabags AfterWet'!A481</f>
        <v>R168</v>
      </c>
      <c r="N64" t="b">
        <f t="shared" si="3"/>
        <v>0</v>
      </c>
      <c r="O64" t="b">
        <f t="shared" si="4"/>
        <v>0</v>
      </c>
      <c r="P64">
        <f>IFERROR('Both teabags AfterWet'!B63,"")</f>
        <v>24</v>
      </c>
      <c r="Q64">
        <f>'Both teabags AfterWet'!B481</f>
        <v>198</v>
      </c>
      <c r="S64" s="401" t="b">
        <f t="shared" si="5"/>
        <v>0</v>
      </c>
      <c r="T64" s="401" t="b">
        <f t="shared" si="6"/>
        <v>0</v>
      </c>
      <c r="V64" t="str">
        <f>'Both teabags AfterDry'!A63</f>
        <v>G174</v>
      </c>
      <c r="W64" t="str">
        <f>'Both teabags AfterDry'!A400</f>
        <v>R260</v>
      </c>
      <c r="X64" t="b">
        <f t="shared" si="7"/>
        <v>0</v>
      </c>
      <c r="Y64" t="b">
        <f t="shared" si="8"/>
        <v>0</v>
      </c>
      <c r="AA64" t="str">
        <f>'Green_rooibos initial weight'!A65</f>
        <v>G61</v>
      </c>
      <c r="AB64" t="str">
        <f>'Green_rooibos initial weight'!A969</f>
        <v>R61</v>
      </c>
      <c r="AC64" t="b">
        <f t="shared" si="9"/>
        <v>0</v>
      </c>
      <c r="AD64" t="b">
        <f t="shared" si="10"/>
        <v>0</v>
      </c>
      <c r="AG64" t="str">
        <f>'WetLitterbags placem_collection'!K63</f>
        <v>G541</v>
      </c>
      <c r="AH64" t="str">
        <f>'WetLitterbags placem_collection'!M63</f>
        <v>R42</v>
      </c>
      <c r="AI64" t="b">
        <f t="shared" si="11"/>
        <v>0</v>
      </c>
      <c r="AJ64" t="b">
        <f t="shared" si="12"/>
        <v>0</v>
      </c>
      <c r="AK64">
        <f>'WetLitterbags placem_collection'!A63</f>
        <v>61</v>
      </c>
      <c r="AL64">
        <f>'WetLitterbags placem_collection'!A63</f>
        <v>61</v>
      </c>
      <c r="AN64">
        <f>IF('Dry_Litterbag Placem_Collection'!J63=0,"",'Dry_Litterbag Placem_Collection'!J63)</f>
        <v>191</v>
      </c>
      <c r="AO64">
        <f>IF('Dry_Litterbag Placem_Collection'!K63=0,"",'Dry_Litterbag Placem_Collection'!K63)</f>
        <v>775</v>
      </c>
      <c r="AP64" t="b">
        <f t="shared" si="13"/>
        <v>0</v>
      </c>
      <c r="AQ64" t="b">
        <f t="shared" si="14"/>
        <v>0</v>
      </c>
      <c r="AT64" t="str">
        <f>'Ashed teabags dry'!A62</f>
        <v>G172</v>
      </c>
      <c r="AU64" t="str">
        <f>'Ashed teabags dry'!A399</f>
        <v>R256</v>
      </c>
      <c r="AV64" t="b">
        <f t="shared" si="15"/>
        <v>0</v>
      </c>
      <c r="AW64" t="b">
        <f t="shared" si="16"/>
        <v>0</v>
      </c>
      <c r="AZ64" s="401" t="b">
        <f t="shared" si="17"/>
        <v>0</v>
      </c>
      <c r="BA64" s="401" t="b">
        <f t="shared" si="18"/>
        <v>0</v>
      </c>
      <c r="BC64" t="str">
        <f>'Ashed teabags wet'!A62</f>
        <v>G425</v>
      </c>
      <c r="BD64" t="str">
        <f>'Ashed teabags wet'!A479</f>
        <v>R177</v>
      </c>
      <c r="BE64" t="b">
        <f t="shared" si="19"/>
        <v>0</v>
      </c>
      <c r="BF64" t="b">
        <f t="shared" si="20"/>
        <v>0</v>
      </c>
      <c r="BG64">
        <f>IFERROR('Ashed teabags wet'!C62,"")</f>
        <v>169</v>
      </c>
      <c r="BH64">
        <f>IFERROR('Ashed teabags wet'!C479,"")</f>
        <v>6</v>
      </c>
      <c r="BI64">
        <f>'Ashed teabags wet'!AB62</f>
        <v>168</v>
      </c>
      <c r="BJ64" t="str">
        <f>'Ashed teabags wet'!AC62</f>
        <v/>
      </c>
      <c r="BK64">
        <f>'Ashed teabags wet'!AD479</f>
        <v>5</v>
      </c>
      <c r="BL64" t="str">
        <f>'Ashed teabags wet'!AE479</f>
        <v/>
      </c>
      <c r="BN64" t="str">
        <f t="shared" si="21"/>
        <v>G424</v>
      </c>
      <c r="BO64" t="b">
        <f t="shared" si="23"/>
        <v>1</v>
      </c>
    </row>
    <row r="65" spans="2:67" ht="12" customHeight="1">
      <c r="B65" t="str">
        <f>TBIDry!H137</f>
        <v/>
      </c>
      <c r="C65" t="str">
        <f>TBIDry!I137</f>
        <v/>
      </c>
      <c r="D65" t="b">
        <f t="shared" si="0"/>
        <v>1</v>
      </c>
      <c r="E65" t="b">
        <f t="shared" si="1"/>
        <v>1</v>
      </c>
      <c r="G65" t="str">
        <f>TBIWet!H137</f>
        <v>G565</v>
      </c>
      <c r="H65" t="str">
        <f>TBIWet!I137</f>
        <v>R119</v>
      </c>
      <c r="I65" t="b">
        <f t="shared" si="2"/>
        <v>0</v>
      </c>
      <c r="J65" t="b">
        <f t="shared" si="22"/>
        <v>0</v>
      </c>
      <c r="L65" t="str">
        <f>'Both teabags AfterWet'!A64</f>
        <v>G423</v>
      </c>
      <c r="M65" t="str">
        <f>'Both teabags AfterWet'!A482</f>
        <v>R169</v>
      </c>
      <c r="N65" t="b">
        <f t="shared" si="3"/>
        <v>0</v>
      </c>
      <c r="O65" t="b">
        <f t="shared" si="4"/>
        <v>0</v>
      </c>
      <c r="P65" t="str">
        <f>IFERROR('Both teabags AfterWet'!B64,"")</f>
        <v>n.a</v>
      </c>
      <c r="Q65" t="str">
        <f>'Both teabags AfterWet'!B482</f>
        <v>na</v>
      </c>
      <c r="S65" s="401" t="b">
        <f t="shared" si="5"/>
        <v>0</v>
      </c>
      <c r="T65" s="401" t="b">
        <f t="shared" si="6"/>
        <v>0</v>
      </c>
      <c r="V65" t="str">
        <f>'Both teabags AfterDry'!A64</f>
        <v>G175</v>
      </c>
      <c r="W65" t="str">
        <f>'Both teabags AfterDry'!A401</f>
        <v>R261</v>
      </c>
      <c r="X65" t="b">
        <f t="shared" si="7"/>
        <v>0</v>
      </c>
      <c r="Y65" t="b">
        <f t="shared" si="8"/>
        <v>0</v>
      </c>
      <c r="AA65" t="str">
        <f>'Green_rooibos initial weight'!A66</f>
        <v>G62</v>
      </c>
      <c r="AB65" t="str">
        <f>'Green_rooibos initial weight'!A970</f>
        <v>R62</v>
      </c>
      <c r="AC65" t="b">
        <f t="shared" si="9"/>
        <v>0</v>
      </c>
      <c r="AD65" t="b">
        <f t="shared" si="10"/>
        <v>0</v>
      </c>
      <c r="AG65" t="str">
        <f>'WetLitterbags placem_collection'!K64</f>
        <v>G565</v>
      </c>
      <c r="AH65" t="str">
        <f>'WetLitterbags placem_collection'!M64</f>
        <v>R119</v>
      </c>
      <c r="AI65" t="b">
        <f t="shared" si="11"/>
        <v>0</v>
      </c>
      <c r="AJ65" t="b">
        <f t="shared" si="12"/>
        <v>0</v>
      </c>
      <c r="AK65">
        <f>'WetLitterbags placem_collection'!A64</f>
        <v>62</v>
      </c>
      <c r="AL65">
        <f>'WetLitterbags placem_collection'!A64</f>
        <v>62</v>
      </c>
      <c r="AN65" t="str">
        <f>IF('Dry_Litterbag Placem_Collection'!J64=0,"",'Dry_Litterbag Placem_Collection'!J64)</f>
        <v/>
      </c>
      <c r="AO65" t="str">
        <f>IF('Dry_Litterbag Placem_Collection'!K64=0,"",'Dry_Litterbag Placem_Collection'!K64)</f>
        <v/>
      </c>
      <c r="AP65" t="b">
        <f t="shared" si="13"/>
        <v>1</v>
      </c>
      <c r="AQ65" t="b">
        <f t="shared" si="14"/>
        <v>1</v>
      </c>
      <c r="AT65" t="str">
        <f>'Ashed teabags dry'!A63</f>
        <v>G173</v>
      </c>
      <c r="AU65" t="str">
        <f>'Ashed teabags dry'!A400</f>
        <v>R257</v>
      </c>
      <c r="AV65" t="b">
        <f t="shared" si="15"/>
        <v>0</v>
      </c>
      <c r="AW65" t="b">
        <f t="shared" si="16"/>
        <v>0</v>
      </c>
      <c r="AZ65" s="401" t="b">
        <f t="shared" si="17"/>
        <v>0</v>
      </c>
      <c r="BA65" s="401" t="b">
        <f t="shared" si="18"/>
        <v>0</v>
      </c>
      <c r="BC65" t="str">
        <f>'Ashed teabags wet'!A63</f>
        <v>G429</v>
      </c>
      <c r="BD65" t="str">
        <f>'Ashed teabags wet'!A480</f>
        <v>R182</v>
      </c>
      <c r="BE65" t="b">
        <f t="shared" si="19"/>
        <v>0</v>
      </c>
      <c r="BF65" t="b">
        <f t="shared" si="20"/>
        <v>0</v>
      </c>
      <c r="BG65">
        <f>IFERROR('Ashed teabags wet'!C63,"")</f>
        <v>167</v>
      </c>
      <c r="BH65">
        <f>IFERROR('Ashed teabags wet'!C480,"")</f>
        <v>202</v>
      </c>
      <c r="BI65">
        <f>'Ashed teabags wet'!AB63</f>
        <v>166</v>
      </c>
      <c r="BJ65" t="str">
        <f>'Ashed teabags wet'!AC63</f>
        <v/>
      </c>
      <c r="BK65" t="str">
        <f>'Ashed teabags wet'!AD480</f>
        <v/>
      </c>
      <c r="BL65">
        <f>'Ashed teabags wet'!AE480</f>
        <v>201</v>
      </c>
      <c r="BN65" t="str">
        <f t="shared" si="21"/>
        <v>G425</v>
      </c>
      <c r="BO65" t="b">
        <f t="shared" si="23"/>
        <v>1</v>
      </c>
    </row>
    <row r="66" spans="2:67" ht="12" customHeight="1">
      <c r="B66" t="str">
        <f>TBIDry!H138</f>
        <v>G49</v>
      </c>
      <c r="C66" t="str">
        <f>TBIDry!I138</f>
        <v>R733</v>
      </c>
      <c r="D66" t="b">
        <f t="shared" si="0"/>
        <v>0</v>
      </c>
      <c r="E66" t="b">
        <f t="shared" si="1"/>
        <v>0</v>
      </c>
      <c r="G66" t="str">
        <f>TBIWet!H138</f>
        <v>G387</v>
      </c>
      <c r="H66" t="str">
        <f>TBIWet!I138</f>
        <v>R185</v>
      </c>
      <c r="I66" t="b">
        <f t="shared" si="2"/>
        <v>0</v>
      </c>
      <c r="J66" t="b">
        <f t="shared" si="22"/>
        <v>0</v>
      </c>
      <c r="L66" t="str">
        <f>'Both teabags AfterWet'!A65</f>
        <v>G424</v>
      </c>
      <c r="M66" t="str">
        <f>'Both teabags AfterWet'!A483</f>
        <v>R17</v>
      </c>
      <c r="N66" t="b">
        <f t="shared" si="3"/>
        <v>0</v>
      </c>
      <c r="O66" t="b">
        <f t="shared" si="4"/>
        <v>0</v>
      </c>
      <c r="P66" t="str">
        <f>IFERROR('Both teabags AfterWet'!B65,"")</f>
        <v>n.a</v>
      </c>
      <c r="Q66" t="str">
        <f>'Both teabags AfterWet'!B483</f>
        <v>na</v>
      </c>
      <c r="S66" s="401" t="b">
        <f t="shared" si="5"/>
        <v>0</v>
      </c>
      <c r="T66" s="401" t="b">
        <f t="shared" si="6"/>
        <v>0</v>
      </c>
      <c r="V66" t="str">
        <f>'Both teabags AfterDry'!A65</f>
        <v>G176</v>
      </c>
      <c r="W66" t="str">
        <f>'Both teabags AfterDry'!A402</f>
        <v>R267</v>
      </c>
      <c r="X66" t="b">
        <f t="shared" si="7"/>
        <v>0</v>
      </c>
      <c r="Y66" t="b">
        <f t="shared" si="8"/>
        <v>0</v>
      </c>
      <c r="AA66" t="str">
        <f>'Green_rooibos initial weight'!A67</f>
        <v>G63</v>
      </c>
      <c r="AB66" t="str">
        <f>'Green_rooibos initial weight'!A971</f>
        <v>R63</v>
      </c>
      <c r="AC66" t="b">
        <f t="shared" si="9"/>
        <v>0</v>
      </c>
      <c r="AD66" t="b">
        <f t="shared" si="10"/>
        <v>0</v>
      </c>
      <c r="AG66" t="str">
        <f>'WetLitterbags placem_collection'!K65</f>
        <v>G387</v>
      </c>
      <c r="AH66" t="str">
        <f>'WetLitterbags placem_collection'!M65</f>
        <v>R185</v>
      </c>
      <c r="AI66" t="b">
        <f t="shared" si="11"/>
        <v>0</v>
      </c>
      <c r="AJ66" t="b">
        <f t="shared" si="12"/>
        <v>0</v>
      </c>
      <c r="AK66">
        <f>'WetLitterbags placem_collection'!A65</f>
        <v>63</v>
      </c>
      <c r="AL66">
        <f>'WetLitterbags placem_collection'!A65</f>
        <v>63</v>
      </c>
      <c r="AN66">
        <f>IF('Dry_Litterbag Placem_Collection'!J65=0,"",'Dry_Litterbag Placem_Collection'!J65)</f>
        <v>49</v>
      </c>
      <c r="AO66">
        <f>IF('Dry_Litterbag Placem_Collection'!K65=0,"",'Dry_Litterbag Placem_Collection'!K65)</f>
        <v>733</v>
      </c>
      <c r="AP66" t="b">
        <f t="shared" si="13"/>
        <v>0</v>
      </c>
      <c r="AQ66" t="b">
        <f t="shared" si="14"/>
        <v>0</v>
      </c>
      <c r="AT66" t="str">
        <f>'Ashed teabags dry'!A64</f>
        <v>G174</v>
      </c>
      <c r="AU66" t="str">
        <f>'Ashed teabags dry'!A401</f>
        <v>R260</v>
      </c>
      <c r="AV66" t="b">
        <f t="shared" si="15"/>
        <v>0</v>
      </c>
      <c r="AW66" t="b">
        <f t="shared" si="16"/>
        <v>0</v>
      </c>
      <c r="AZ66" s="401" t="b">
        <f t="shared" si="17"/>
        <v>0</v>
      </c>
      <c r="BA66" s="401" t="b">
        <f t="shared" si="18"/>
        <v>0</v>
      </c>
      <c r="BC66" t="str">
        <f>'Ashed teabags wet'!A64</f>
        <v>G433</v>
      </c>
      <c r="BD66" t="str">
        <f>'Ashed teabags wet'!A481</f>
        <v>R183</v>
      </c>
      <c r="BE66" t="b">
        <f t="shared" si="19"/>
        <v>0</v>
      </c>
      <c r="BF66" t="b">
        <f t="shared" si="20"/>
        <v>0</v>
      </c>
      <c r="BG66">
        <f>IFERROR('Ashed teabags wet'!C64,"")</f>
        <v>170</v>
      </c>
      <c r="BH66">
        <f>IFERROR('Ashed teabags wet'!C481,"")</f>
        <v>75</v>
      </c>
      <c r="BI66">
        <f>'Ashed teabags wet'!AB64</f>
        <v>169</v>
      </c>
      <c r="BJ66" t="str">
        <f>'Ashed teabags wet'!AC64</f>
        <v/>
      </c>
      <c r="BK66" t="str">
        <f>'Ashed teabags wet'!AD481</f>
        <v/>
      </c>
      <c r="BL66">
        <f>'Ashed teabags wet'!AE481</f>
        <v>75</v>
      </c>
      <c r="BN66" t="str">
        <f t="shared" si="21"/>
        <v>G429</v>
      </c>
      <c r="BO66" t="b">
        <f t="shared" si="23"/>
        <v>1</v>
      </c>
    </row>
    <row r="67" spans="2:67" ht="12" customHeight="1">
      <c r="B67" t="str">
        <f>TBIDry!H139</f>
        <v>G347</v>
      </c>
      <c r="C67" t="str">
        <f>TBIDry!I139</f>
        <v>R765</v>
      </c>
      <c r="D67" t="b">
        <f t="shared" si="0"/>
        <v>0</v>
      </c>
      <c r="E67" t="b">
        <f t="shared" si="1"/>
        <v>0</v>
      </c>
      <c r="G67" t="str">
        <f>TBIWet!H139</f>
        <v>G554</v>
      </c>
      <c r="H67" t="str">
        <f>TBIWet!I139</f>
        <v>R159</v>
      </c>
      <c r="I67" t="b">
        <f t="shared" si="2"/>
        <v>0</v>
      </c>
      <c r="J67" t="b">
        <f t="shared" si="22"/>
        <v>0</v>
      </c>
      <c r="L67" t="str">
        <f>'Both teabags AfterWet'!A66</f>
        <v>G425</v>
      </c>
      <c r="M67" t="str">
        <f>'Both teabags AfterWet'!A484</f>
        <v>R171</v>
      </c>
      <c r="N67" t="b">
        <f t="shared" si="3"/>
        <v>0</v>
      </c>
      <c r="O67" t="b">
        <f t="shared" si="4"/>
        <v>0</v>
      </c>
      <c r="P67">
        <f>IFERROR('Both teabags AfterWet'!B66,"")</f>
        <v>169</v>
      </c>
      <c r="Q67">
        <f>'Both teabags AfterWet'!B484</f>
        <v>89</v>
      </c>
      <c r="S67" s="401" t="b">
        <f t="shared" si="5"/>
        <v>0</v>
      </c>
      <c r="T67" s="401" t="b">
        <f t="shared" si="6"/>
        <v>0</v>
      </c>
      <c r="V67" t="str">
        <f>'Both teabags AfterDry'!A66</f>
        <v>G179</v>
      </c>
      <c r="W67" t="str">
        <f>'Both teabags AfterDry'!A403</f>
        <v>R269</v>
      </c>
      <c r="X67" t="b">
        <f t="shared" si="7"/>
        <v>0</v>
      </c>
      <c r="Y67" t="b">
        <f t="shared" si="8"/>
        <v>0</v>
      </c>
      <c r="AA67" t="str">
        <f>'Green_rooibos initial weight'!A68</f>
        <v>G64</v>
      </c>
      <c r="AB67" t="str">
        <f>'Green_rooibos initial weight'!A972</f>
        <v>R64</v>
      </c>
      <c r="AC67" t="b">
        <f t="shared" si="9"/>
        <v>0</v>
      </c>
      <c r="AD67" t="b">
        <f t="shared" si="10"/>
        <v>0</v>
      </c>
      <c r="AG67" t="str">
        <f>'WetLitterbags placem_collection'!K66</f>
        <v>G554</v>
      </c>
      <c r="AH67" t="str">
        <f>'WetLitterbags placem_collection'!M66</f>
        <v>R159</v>
      </c>
      <c r="AI67" t="b">
        <f t="shared" si="11"/>
        <v>0</v>
      </c>
      <c r="AJ67" t="b">
        <f t="shared" si="12"/>
        <v>0</v>
      </c>
      <c r="AK67">
        <f>'WetLitterbags placem_collection'!A66</f>
        <v>64</v>
      </c>
      <c r="AL67">
        <f>'WetLitterbags placem_collection'!A66</f>
        <v>64</v>
      </c>
      <c r="AN67">
        <f>IF('Dry_Litterbag Placem_Collection'!J66=0,"",'Dry_Litterbag Placem_Collection'!J66)</f>
        <v>347</v>
      </c>
      <c r="AO67">
        <f>IF('Dry_Litterbag Placem_Collection'!K66=0,"",'Dry_Litterbag Placem_Collection'!K66)</f>
        <v>765</v>
      </c>
      <c r="AP67" t="b">
        <f t="shared" si="13"/>
        <v>0</v>
      </c>
      <c r="AQ67" t="b">
        <f t="shared" si="14"/>
        <v>0</v>
      </c>
      <c r="AT67" t="str">
        <f>'Ashed teabags dry'!A65</f>
        <v>G175</v>
      </c>
      <c r="AU67" t="str">
        <f>'Ashed teabags dry'!A402</f>
        <v>R261</v>
      </c>
      <c r="AV67" t="b">
        <f t="shared" si="15"/>
        <v>0</v>
      </c>
      <c r="AW67" t="b">
        <f t="shared" si="16"/>
        <v>0</v>
      </c>
      <c r="AZ67" s="401" t="b">
        <f t="shared" si="17"/>
        <v>0</v>
      </c>
      <c r="BA67" s="401" t="b">
        <f t="shared" si="18"/>
        <v>0</v>
      </c>
      <c r="BC67" t="str">
        <f>'Ashed teabags wet'!A65</f>
        <v>G436</v>
      </c>
      <c r="BD67" t="str">
        <f>'Ashed teabags wet'!A482</f>
        <v>R185</v>
      </c>
      <c r="BE67" t="b">
        <f t="shared" si="19"/>
        <v>0</v>
      </c>
      <c r="BF67" t="b">
        <f t="shared" si="20"/>
        <v>0</v>
      </c>
      <c r="BG67">
        <f>IFERROR('Ashed teabags wet'!C65,"")</f>
        <v>1</v>
      </c>
      <c r="BH67">
        <f>IFERROR('Ashed teabags wet'!C482,"")</f>
        <v>63</v>
      </c>
      <c r="BI67" t="str">
        <f>'Ashed teabags wet'!AB65</f>
        <v/>
      </c>
      <c r="BJ67" t="str">
        <f>'Ashed teabags wet'!AC65</f>
        <v/>
      </c>
      <c r="BK67">
        <f>'Ashed teabags wet'!AD482</f>
        <v>62</v>
      </c>
      <c r="BL67" t="str">
        <f>'Ashed teabags wet'!AE482</f>
        <v/>
      </c>
      <c r="BN67" t="str">
        <f t="shared" si="21"/>
        <v>G433</v>
      </c>
      <c r="BO67" t="b">
        <f t="shared" si="23"/>
        <v>1</v>
      </c>
    </row>
    <row r="68" spans="2:67" ht="12" customHeight="1">
      <c r="B68" t="str">
        <f>TBIDry!H140</f>
        <v>G495</v>
      </c>
      <c r="C68" t="str">
        <f>TBIDry!I140</f>
        <v>R731</v>
      </c>
      <c r="D68" t="b">
        <f t="shared" si="0"/>
        <v>0</v>
      </c>
      <c r="E68" t="b">
        <f t="shared" si="1"/>
        <v>0</v>
      </c>
      <c r="G68" t="str">
        <f>TBIWet!H140</f>
        <v>G614</v>
      </c>
      <c r="H68" t="str">
        <f>TBIWet!I140</f>
        <v>R525</v>
      </c>
      <c r="I68" t="b">
        <f t="shared" si="2"/>
        <v>0</v>
      </c>
      <c r="J68" t="b">
        <f t="shared" si="22"/>
        <v>0</v>
      </c>
      <c r="L68" t="str">
        <f>'Both teabags AfterWet'!A67</f>
        <v>G429</v>
      </c>
      <c r="M68" t="str">
        <f>'Both teabags AfterWet'!A485</f>
        <v>R172</v>
      </c>
      <c r="N68" t="b">
        <f t="shared" si="3"/>
        <v>0</v>
      </c>
      <c r="O68" t="b">
        <f t="shared" si="4"/>
        <v>0</v>
      </c>
      <c r="P68">
        <f>IFERROR('Both teabags AfterWet'!B67,"")</f>
        <v>167</v>
      </c>
      <c r="Q68" t="str">
        <f>'Both teabags AfterWet'!B485</f>
        <v>n.a</v>
      </c>
      <c r="S68" s="401" t="b">
        <f t="shared" si="5"/>
        <v>0</v>
      </c>
      <c r="T68" s="401" t="b">
        <f t="shared" si="6"/>
        <v>0</v>
      </c>
      <c r="V68" t="str">
        <f>'Both teabags AfterDry'!A67</f>
        <v>G181</v>
      </c>
      <c r="W68" t="str">
        <f>'Both teabags AfterDry'!A404</f>
        <v>R270</v>
      </c>
      <c r="X68" t="b">
        <f t="shared" si="7"/>
        <v>0</v>
      </c>
      <c r="Y68" t="b">
        <f t="shared" si="8"/>
        <v>0</v>
      </c>
      <c r="AA68" t="str">
        <f>'Green_rooibos initial weight'!A69</f>
        <v>G65</v>
      </c>
      <c r="AB68" t="str">
        <f>'Green_rooibos initial weight'!A973</f>
        <v>R65</v>
      </c>
      <c r="AC68" t="b">
        <f t="shared" si="9"/>
        <v>0</v>
      </c>
      <c r="AD68" t="b">
        <f t="shared" si="10"/>
        <v>0</v>
      </c>
      <c r="AG68" t="str">
        <f>'WetLitterbags placem_collection'!K67</f>
        <v>G614</v>
      </c>
      <c r="AH68" t="str">
        <f>'WetLitterbags placem_collection'!M67</f>
        <v>R525</v>
      </c>
      <c r="AI68" t="b">
        <f t="shared" si="11"/>
        <v>0</v>
      </c>
      <c r="AJ68" t="b">
        <f t="shared" si="12"/>
        <v>0</v>
      </c>
      <c r="AK68">
        <f>'WetLitterbags placem_collection'!A67</f>
        <v>65</v>
      </c>
      <c r="AL68">
        <f>'WetLitterbags placem_collection'!A67</f>
        <v>65</v>
      </c>
      <c r="AN68">
        <f>IF('Dry_Litterbag Placem_Collection'!J67=0,"",'Dry_Litterbag Placem_Collection'!J67)</f>
        <v>495</v>
      </c>
      <c r="AO68">
        <f>IF('Dry_Litterbag Placem_Collection'!K67=0,"",'Dry_Litterbag Placem_Collection'!K67)</f>
        <v>731</v>
      </c>
      <c r="AP68" t="b">
        <f t="shared" si="13"/>
        <v>0</v>
      </c>
      <c r="AQ68" t="b">
        <f t="shared" si="14"/>
        <v>0</v>
      </c>
      <c r="AT68" t="str">
        <f>'Ashed teabags dry'!A66</f>
        <v>G176</v>
      </c>
      <c r="AU68" t="str">
        <f>'Ashed teabags dry'!A403</f>
        <v>R267</v>
      </c>
      <c r="AV68" t="b">
        <f t="shared" si="15"/>
        <v>0</v>
      </c>
      <c r="AW68" t="b">
        <f t="shared" si="16"/>
        <v>0</v>
      </c>
      <c r="AZ68" s="401" t="b">
        <f t="shared" si="17"/>
        <v>0</v>
      </c>
      <c r="BA68" s="401" t="b">
        <f t="shared" si="18"/>
        <v>0</v>
      </c>
      <c r="BC68" t="str">
        <f>'Ashed teabags wet'!A66</f>
        <v>G437</v>
      </c>
      <c r="BD68" t="str">
        <f>'Ashed teabags wet'!A483</f>
        <v>R186</v>
      </c>
      <c r="BE68" t="b">
        <f t="shared" si="19"/>
        <v>0</v>
      </c>
      <c r="BF68" t="b">
        <f t="shared" si="20"/>
        <v>0</v>
      </c>
      <c r="BG68">
        <f>IFERROR('Ashed teabags wet'!C66,"")</f>
        <v>42</v>
      </c>
      <c r="BH68">
        <f>IFERROR('Ashed teabags wet'!C483,"")</f>
        <v>186</v>
      </c>
      <c r="BI68" t="str">
        <f>'Ashed teabags wet'!AB66</f>
        <v/>
      </c>
      <c r="BJ68">
        <f>'Ashed teabags wet'!AC66</f>
        <v>41</v>
      </c>
      <c r="BK68" t="str">
        <f>'Ashed teabags wet'!AD483</f>
        <v/>
      </c>
      <c r="BL68">
        <f>'Ashed teabags wet'!AE483</f>
        <v>185</v>
      </c>
      <c r="BN68" t="str">
        <f t="shared" si="21"/>
        <v>G436</v>
      </c>
      <c r="BO68" t="b">
        <f t="shared" si="23"/>
        <v>1</v>
      </c>
    </row>
    <row r="69" spans="2:67" ht="12" customHeight="1">
      <c r="B69" t="str">
        <f>TBIDry!H141</f>
        <v>G247</v>
      </c>
      <c r="C69" t="str">
        <f>TBIDry!I141</f>
        <v>R816</v>
      </c>
      <c r="D69" t="b">
        <f t="shared" ref="D69:D132" si="24">COUNTIF($B$4:$B$2000, B69)&gt;1</f>
        <v>0</v>
      </c>
      <c r="E69" t="b">
        <f t="shared" ref="E69:E132" si="25">COUNTIF($C$4:$C$2000, C69)&gt;1</f>
        <v>0</v>
      </c>
      <c r="G69" t="str">
        <f>TBIWet!H141</f>
        <v>G282</v>
      </c>
      <c r="H69" t="str">
        <f>TBIWet!I141</f>
        <v>R150</v>
      </c>
      <c r="I69" t="b">
        <f t="shared" ref="I69:I132" si="26">COUNTIF($G$4:$G$2000, G69)&gt;1</f>
        <v>0</v>
      </c>
      <c r="J69" t="b">
        <f t="shared" ref="J69:J132" si="27">COUNTIF($H$4:$H$2000, H69)&gt;1</f>
        <v>0</v>
      </c>
      <c r="L69" t="str">
        <f>'Both teabags AfterWet'!A68</f>
        <v>G433</v>
      </c>
      <c r="M69" t="str">
        <f>'Both teabags AfterWet'!A486</f>
        <v>R176</v>
      </c>
      <c r="N69" t="b">
        <f t="shared" ref="N69:N132" si="28">COUNTIF($L$4:$L$2000, L69)&gt;1</f>
        <v>0</v>
      </c>
      <c r="O69" t="b">
        <f t="shared" ref="O69:O132" si="29">COUNTIF($M$4:$M$2000, M69)&gt;1</f>
        <v>0</v>
      </c>
      <c r="P69">
        <f>IFERROR('Both teabags AfterWet'!B68,"")</f>
        <v>170</v>
      </c>
      <c r="Q69">
        <f>'Both teabags AfterWet'!B486</f>
        <v>219</v>
      </c>
      <c r="S69" s="401" t="b">
        <f t="shared" ref="S69:S132" si="30">COUNTIF($V$4:$V$2000, L69)=1</f>
        <v>0</v>
      </c>
      <c r="T69" s="401" t="b">
        <f t="shared" ref="T69:T132" si="31">COUNTIF($W$4:$W$2000, M69)=1</f>
        <v>0</v>
      </c>
      <c r="V69" t="str">
        <f>'Both teabags AfterDry'!A68</f>
        <v>G182</v>
      </c>
      <c r="W69" t="str">
        <f>'Both teabags AfterDry'!A405</f>
        <v>R272</v>
      </c>
      <c r="X69" t="b">
        <f t="shared" ref="X69:X132" si="32">COUNTIF($V$4:$V$2000, V69)&gt;1</f>
        <v>0</v>
      </c>
      <c r="Y69" t="b">
        <f t="shared" ref="Y69:Y132" si="33">COUNTIF($W$4:$W$2000, W69)&gt;1</f>
        <v>0</v>
      </c>
      <c r="AA69" t="str">
        <f>'Green_rooibos initial weight'!A70</f>
        <v>G66</v>
      </c>
      <c r="AB69" t="str">
        <f>'Green_rooibos initial weight'!A974</f>
        <v>R66</v>
      </c>
      <c r="AC69" t="b">
        <f t="shared" ref="AC69:AC132" si="34">COUNTIF($AA$4:$AA$2000, AA69)&gt;1</f>
        <v>0</v>
      </c>
      <c r="AD69" t="b">
        <f t="shared" ref="AD69:AD132" si="35">COUNTIF($AB$4:$AB$2000, AB69)&gt;1</f>
        <v>0</v>
      </c>
      <c r="AG69" t="str">
        <f>'WetLitterbags placem_collection'!K68</f>
        <v>G282</v>
      </c>
      <c r="AH69" t="str">
        <f>'WetLitterbags placem_collection'!M68</f>
        <v>R150</v>
      </c>
      <c r="AI69" t="b">
        <f t="shared" ref="AI69:AI132" si="36">COUNTIF($AG$4:$AG$2000, AG69)&gt;1</f>
        <v>0</v>
      </c>
      <c r="AJ69" t="b">
        <f t="shared" ref="AJ69:AJ132" si="37">COUNTIF($AH$4:$AH$2000, AH69)&gt;1</f>
        <v>0</v>
      </c>
      <c r="AK69">
        <f>'WetLitterbags placem_collection'!A68</f>
        <v>66</v>
      </c>
      <c r="AL69">
        <f>'WetLitterbags placem_collection'!A68</f>
        <v>66</v>
      </c>
      <c r="AN69">
        <f>IF('Dry_Litterbag Placem_Collection'!J68=0,"",'Dry_Litterbag Placem_Collection'!J68)</f>
        <v>247</v>
      </c>
      <c r="AO69">
        <f>IF('Dry_Litterbag Placem_Collection'!K68=0,"",'Dry_Litterbag Placem_Collection'!K68)</f>
        <v>816</v>
      </c>
      <c r="AP69" t="b">
        <f t="shared" ref="AP69:AP132" si="38">COUNTIF($AN$4:$AN$2000, AN69)&gt;1</f>
        <v>0</v>
      </c>
      <c r="AQ69" t="b">
        <f t="shared" ref="AQ69:AQ132" si="39">COUNTIF($AO$4:$AO$2000, AO69)&gt;1</f>
        <v>0</v>
      </c>
      <c r="AT69" t="str">
        <f>'Ashed teabags dry'!A67</f>
        <v>G179</v>
      </c>
      <c r="AU69" t="str">
        <f>'Ashed teabags dry'!A404</f>
        <v>R269</v>
      </c>
      <c r="AV69" t="b">
        <f t="shared" ref="AV69:AV132" si="40">COUNTIF($AT$4:$AT$2000, AT69)&gt;1</f>
        <v>0</v>
      </c>
      <c r="AW69" t="b">
        <f t="shared" ref="AW69:AW132" si="41">COUNTIF($AU$4:$AU$2000, AU69)&gt;1</f>
        <v>0</v>
      </c>
      <c r="AZ69" s="401" t="b">
        <f t="shared" ref="AZ69:AZ132" si="42">COUNTIF($BC$4:$BC$2000, AT69)=1</f>
        <v>0</v>
      </c>
      <c r="BA69" s="401" t="b">
        <f t="shared" ref="BA69:BA132" si="43">COUNTIF($BD$4:$BD$2000, AU69)=1</f>
        <v>0</v>
      </c>
      <c r="BC69" t="str">
        <f>'Ashed teabags wet'!A67</f>
        <v>G439</v>
      </c>
      <c r="BD69" t="str">
        <f>'Ashed teabags wet'!A484</f>
        <v>R187</v>
      </c>
      <c r="BE69" t="b">
        <f t="shared" ref="BE69:BE132" si="44">COUNTIF($BC$4:$BC$2000, BC69)&gt;1</f>
        <v>0</v>
      </c>
      <c r="BF69" t="b">
        <f t="shared" ref="BF69:BF132" si="45">COUNTIF($BD$4:$BD$2000, BD69)&gt;1</f>
        <v>0</v>
      </c>
      <c r="BG69">
        <f>IFERROR('Ashed teabags wet'!C67,"")</f>
        <v>172</v>
      </c>
      <c r="BH69">
        <f>IFERROR('Ashed teabags wet'!C484,"")</f>
        <v>81</v>
      </c>
      <c r="BI69" t="str">
        <f>'Ashed teabags wet'!AB67</f>
        <v/>
      </c>
      <c r="BJ69">
        <f>'Ashed teabags wet'!AC67</f>
        <v>171</v>
      </c>
      <c r="BK69">
        <f>'Ashed teabags wet'!AD484</f>
        <v>80</v>
      </c>
      <c r="BL69" t="str">
        <f>'Ashed teabags wet'!AE484</f>
        <v/>
      </c>
      <c r="BN69" t="str">
        <f t="shared" ref="BN69:BN132" si="46">BC68</f>
        <v>G437</v>
      </c>
      <c r="BO69" t="b">
        <f t="shared" si="23"/>
        <v>1</v>
      </c>
    </row>
    <row r="70" spans="2:67" ht="12" customHeight="1">
      <c r="B70" t="str">
        <f>TBIDry!H142</f>
        <v/>
      </c>
      <c r="C70" t="str">
        <f>TBIDry!I142</f>
        <v/>
      </c>
      <c r="D70" t="b">
        <f t="shared" si="24"/>
        <v>1</v>
      </c>
      <c r="E70" t="b">
        <f t="shared" si="25"/>
        <v>1</v>
      </c>
      <c r="G70" t="str">
        <f>TBIWet!H142</f>
        <v>G450</v>
      </c>
      <c r="H70" t="str">
        <f>TBIWet!I142</f>
        <v>R165</v>
      </c>
      <c r="I70" t="b">
        <f t="shared" si="26"/>
        <v>0</v>
      </c>
      <c r="J70" t="b">
        <f t="shared" si="27"/>
        <v>0</v>
      </c>
      <c r="L70" t="str">
        <f>'Both teabags AfterWet'!A69</f>
        <v>G436</v>
      </c>
      <c r="M70" t="str">
        <f>'Both teabags AfterWet'!A487</f>
        <v>R177</v>
      </c>
      <c r="N70" t="b">
        <f t="shared" si="28"/>
        <v>0</v>
      </c>
      <c r="O70" t="b">
        <f t="shared" si="29"/>
        <v>0</v>
      </c>
      <c r="P70" t="str">
        <f>IFERROR('Both teabags AfterWet'!B69,"")</f>
        <v>na</v>
      </c>
      <c r="Q70" t="str">
        <f>'Both teabags AfterWet'!B487</f>
        <v>n.a</v>
      </c>
      <c r="S70" s="401" t="b">
        <f t="shared" si="30"/>
        <v>0</v>
      </c>
      <c r="T70" s="401" t="b">
        <f t="shared" si="31"/>
        <v>0</v>
      </c>
      <c r="V70" t="str">
        <f>'Both teabags AfterDry'!A69</f>
        <v>G183</v>
      </c>
      <c r="W70" t="str">
        <f>'Both teabags AfterDry'!A406</f>
        <v>R275</v>
      </c>
      <c r="X70" t="b">
        <f t="shared" si="32"/>
        <v>0</v>
      </c>
      <c r="Y70" t="b">
        <f t="shared" si="33"/>
        <v>0</v>
      </c>
      <c r="AA70" t="str">
        <f>'Green_rooibos initial weight'!A71</f>
        <v>G67</v>
      </c>
      <c r="AB70" t="str">
        <f>'Green_rooibos initial weight'!A975</f>
        <v>R67</v>
      </c>
      <c r="AC70" t="b">
        <f t="shared" si="34"/>
        <v>0</v>
      </c>
      <c r="AD70" t="b">
        <f t="shared" si="35"/>
        <v>0</v>
      </c>
      <c r="AG70" t="str">
        <f>'WetLitterbags placem_collection'!K69</f>
        <v>G450</v>
      </c>
      <c r="AH70" t="str">
        <f>'WetLitterbags placem_collection'!M69</f>
        <v>R165</v>
      </c>
      <c r="AI70" t="b">
        <f t="shared" si="36"/>
        <v>0</v>
      </c>
      <c r="AJ70" t="b">
        <f t="shared" si="37"/>
        <v>0</v>
      </c>
      <c r="AK70">
        <f>'WetLitterbags placem_collection'!A69</f>
        <v>67</v>
      </c>
      <c r="AL70">
        <f>'WetLitterbags placem_collection'!A69</f>
        <v>67</v>
      </c>
      <c r="AN70" t="str">
        <f>IF('Dry_Litterbag Placem_Collection'!J69=0,"",'Dry_Litterbag Placem_Collection'!J69)</f>
        <v/>
      </c>
      <c r="AO70" t="str">
        <f>IF('Dry_Litterbag Placem_Collection'!K69=0,"",'Dry_Litterbag Placem_Collection'!K69)</f>
        <v/>
      </c>
      <c r="AP70" t="b">
        <f t="shared" si="38"/>
        <v>1</v>
      </c>
      <c r="AQ70" t="b">
        <f t="shared" si="39"/>
        <v>1</v>
      </c>
      <c r="AT70" t="str">
        <f>'Ashed teabags dry'!A68</f>
        <v>G181</v>
      </c>
      <c r="AU70" t="str">
        <f>'Ashed teabags dry'!A405</f>
        <v>R270</v>
      </c>
      <c r="AV70" t="b">
        <f t="shared" si="40"/>
        <v>0</v>
      </c>
      <c r="AW70" t="b">
        <f t="shared" si="41"/>
        <v>0</v>
      </c>
      <c r="AZ70" s="401" t="b">
        <f t="shared" si="42"/>
        <v>0</v>
      </c>
      <c r="BA70" s="401" t="b">
        <f t="shared" si="43"/>
        <v>0</v>
      </c>
      <c r="BC70" t="str">
        <f>'Ashed teabags wet'!A68</f>
        <v>G440</v>
      </c>
      <c r="BD70" t="str">
        <f>'Ashed teabags wet'!A485</f>
        <v>R189</v>
      </c>
      <c r="BE70" t="b">
        <f t="shared" si="44"/>
        <v>0</v>
      </c>
      <c r="BF70" t="b">
        <f t="shared" si="45"/>
        <v>0</v>
      </c>
      <c r="BG70">
        <f>IFERROR('Ashed teabags wet'!C68,"")</f>
        <v>63</v>
      </c>
      <c r="BH70">
        <f>IFERROR('Ashed teabags wet'!C485,"")</f>
        <v>26</v>
      </c>
      <c r="BI70" t="str">
        <f>'Ashed teabags wet'!AB68</f>
        <v/>
      </c>
      <c r="BJ70">
        <f>'Ashed teabags wet'!AC68</f>
        <v>62</v>
      </c>
      <c r="BK70" t="str">
        <f>'Ashed teabags wet'!AD485</f>
        <v/>
      </c>
      <c r="BL70">
        <f>'Ashed teabags wet'!AE485</f>
        <v>25</v>
      </c>
      <c r="BN70" t="str">
        <f t="shared" si="46"/>
        <v>G439</v>
      </c>
      <c r="BO70" t="b">
        <f t="shared" ref="BO70:BO133" si="47">COUNTIF($BN$5:$BN$2000, BN70)&gt;1</f>
        <v>1</v>
      </c>
    </row>
    <row r="71" spans="2:67" ht="12" customHeight="1">
      <c r="B71" t="str">
        <f>TBIDry!H143</f>
        <v>G63</v>
      </c>
      <c r="C71" t="str">
        <f>TBIDry!I143</f>
        <v>R815</v>
      </c>
      <c r="D71" t="b">
        <f t="shared" si="24"/>
        <v>0</v>
      </c>
      <c r="E71" t="b">
        <f t="shared" si="25"/>
        <v>0</v>
      </c>
      <c r="G71" t="str">
        <f>TBIWet!H143</f>
        <v>G269</v>
      </c>
      <c r="H71" t="str">
        <f>TBIWet!I143</f>
        <v>R129</v>
      </c>
      <c r="I71" t="b">
        <f t="shared" si="26"/>
        <v>0</v>
      </c>
      <c r="J71" t="b">
        <f t="shared" si="27"/>
        <v>0</v>
      </c>
      <c r="L71" t="str">
        <f>'Both teabags AfterWet'!A70</f>
        <v>G437</v>
      </c>
      <c r="M71" t="str">
        <f>'Both teabags AfterWet'!A488</f>
        <v>R181</v>
      </c>
      <c r="N71" t="b">
        <f t="shared" si="28"/>
        <v>0</v>
      </c>
      <c r="O71" t="b">
        <f t="shared" si="29"/>
        <v>0</v>
      </c>
      <c r="P71">
        <f>IFERROR('Both teabags AfterWet'!B70,"")</f>
        <v>42</v>
      </c>
      <c r="Q71">
        <f>'Both teabags AfterWet'!B488</f>
        <v>80</v>
      </c>
      <c r="S71" s="401" t="b">
        <f t="shared" si="30"/>
        <v>0</v>
      </c>
      <c r="T71" s="401" t="b">
        <f t="shared" si="31"/>
        <v>0</v>
      </c>
      <c r="V71" t="str">
        <f>'Both teabags AfterDry'!A70</f>
        <v>G184</v>
      </c>
      <c r="W71" t="str">
        <f>'Both teabags AfterDry'!A407</f>
        <v>R276</v>
      </c>
      <c r="X71" t="b">
        <f t="shared" si="32"/>
        <v>0</v>
      </c>
      <c r="Y71" t="b">
        <f t="shared" si="33"/>
        <v>0</v>
      </c>
      <c r="AA71" t="str">
        <f>'Green_rooibos initial weight'!A72</f>
        <v>G68</v>
      </c>
      <c r="AB71" t="str">
        <f>'Green_rooibos initial weight'!A976</f>
        <v>R68</v>
      </c>
      <c r="AC71" t="b">
        <f t="shared" si="34"/>
        <v>0</v>
      </c>
      <c r="AD71" t="b">
        <f t="shared" si="35"/>
        <v>0</v>
      </c>
      <c r="AG71" t="str">
        <f>'WetLitterbags placem_collection'!K70</f>
        <v>G269</v>
      </c>
      <c r="AH71" t="str">
        <f>'WetLitterbags placem_collection'!M70</f>
        <v>R129</v>
      </c>
      <c r="AI71" t="b">
        <f t="shared" si="36"/>
        <v>0</v>
      </c>
      <c r="AJ71" t="b">
        <f t="shared" si="37"/>
        <v>0</v>
      </c>
      <c r="AK71">
        <f>'WetLitterbags placem_collection'!A70</f>
        <v>68</v>
      </c>
      <c r="AL71">
        <f>'WetLitterbags placem_collection'!A70</f>
        <v>68</v>
      </c>
      <c r="AN71">
        <f>IF('Dry_Litterbag Placem_Collection'!J70=0,"",'Dry_Litterbag Placem_Collection'!J70)</f>
        <v>63</v>
      </c>
      <c r="AO71">
        <f>IF('Dry_Litterbag Placem_Collection'!K70=0,"",'Dry_Litterbag Placem_Collection'!K70)</f>
        <v>815</v>
      </c>
      <c r="AP71" t="b">
        <f t="shared" si="38"/>
        <v>0</v>
      </c>
      <c r="AQ71" t="b">
        <f t="shared" si="39"/>
        <v>0</v>
      </c>
      <c r="AT71" t="str">
        <f>'Ashed teabags dry'!A69</f>
        <v>G182</v>
      </c>
      <c r="AU71" t="str">
        <f>'Ashed teabags dry'!A406</f>
        <v>R272</v>
      </c>
      <c r="AV71" t="b">
        <f t="shared" si="40"/>
        <v>0</v>
      </c>
      <c r="AW71" t="b">
        <f t="shared" si="41"/>
        <v>0</v>
      </c>
      <c r="AZ71" s="401" t="b">
        <f t="shared" si="42"/>
        <v>0</v>
      </c>
      <c r="BA71" s="401" t="b">
        <f t="shared" si="43"/>
        <v>0</v>
      </c>
      <c r="BC71" t="str">
        <f>'Ashed teabags wet'!A69</f>
        <v>G441</v>
      </c>
      <c r="BD71" t="str">
        <f>'Ashed teabags wet'!A486</f>
        <v>R190</v>
      </c>
      <c r="BE71" t="b">
        <f t="shared" si="44"/>
        <v>0</v>
      </c>
      <c r="BF71" t="b">
        <f t="shared" si="45"/>
        <v>0</v>
      </c>
      <c r="BG71">
        <f>IFERROR('Ashed teabags wet'!C69,"")</f>
        <v>85</v>
      </c>
      <c r="BH71">
        <f>IFERROR('Ashed teabags wet'!C486,"")</f>
        <v>23</v>
      </c>
      <c r="BI71" t="str">
        <f>'Ashed teabags wet'!AB69</f>
        <v/>
      </c>
      <c r="BJ71">
        <f>'Ashed teabags wet'!AC69</f>
        <v>84</v>
      </c>
      <c r="BK71">
        <f>'Ashed teabags wet'!AD486</f>
        <v>22</v>
      </c>
      <c r="BL71" t="str">
        <f>'Ashed teabags wet'!AE486</f>
        <v/>
      </c>
      <c r="BN71" t="str">
        <f t="shared" si="46"/>
        <v>G440</v>
      </c>
      <c r="BO71" t="b">
        <f t="shared" si="47"/>
        <v>1</v>
      </c>
    </row>
    <row r="72" spans="2:67" ht="12" customHeight="1">
      <c r="B72" t="str">
        <f>TBIDry!H144</f>
        <v>G382</v>
      </c>
      <c r="C72" t="str">
        <f>TBIDry!I144</f>
        <v>R741</v>
      </c>
      <c r="D72" t="b">
        <f t="shared" si="24"/>
        <v>0</v>
      </c>
      <c r="E72" t="b">
        <f t="shared" si="25"/>
        <v>0</v>
      </c>
      <c r="G72" t="str">
        <f>TBIWet!H144</f>
        <v>G448</v>
      </c>
      <c r="H72" t="str">
        <f>TBIWet!I144</f>
        <v>R414</v>
      </c>
      <c r="I72" t="b">
        <f t="shared" si="26"/>
        <v>0</v>
      </c>
      <c r="J72" t="b">
        <f t="shared" si="27"/>
        <v>0</v>
      </c>
      <c r="L72" t="str">
        <f>'Both teabags AfterWet'!A71</f>
        <v>G439</v>
      </c>
      <c r="M72" t="str">
        <f>'Both teabags AfterWet'!A489</f>
        <v>R182</v>
      </c>
      <c r="N72" t="b">
        <f t="shared" si="28"/>
        <v>0</v>
      </c>
      <c r="O72" t="b">
        <f t="shared" si="29"/>
        <v>0</v>
      </c>
      <c r="P72">
        <f>IFERROR('Both teabags AfterWet'!B71,"")</f>
        <v>172</v>
      </c>
      <c r="Q72">
        <f>'Both teabags AfterWet'!B489</f>
        <v>202</v>
      </c>
      <c r="S72" s="401" t="b">
        <f t="shared" si="30"/>
        <v>0</v>
      </c>
      <c r="T72" s="401" t="b">
        <f t="shared" si="31"/>
        <v>0</v>
      </c>
      <c r="V72" t="str">
        <f>'Both teabags AfterDry'!A71</f>
        <v>G185</v>
      </c>
      <c r="W72" t="str">
        <f>'Both teabags AfterDry'!A408</f>
        <v>R277</v>
      </c>
      <c r="X72" t="b">
        <f t="shared" si="32"/>
        <v>0</v>
      </c>
      <c r="Y72" t="b">
        <f t="shared" si="33"/>
        <v>0</v>
      </c>
      <c r="AA72" t="str">
        <f>'Green_rooibos initial weight'!A73</f>
        <v>G69</v>
      </c>
      <c r="AB72" t="str">
        <f>'Green_rooibos initial weight'!A977</f>
        <v>R69</v>
      </c>
      <c r="AC72" t="b">
        <f t="shared" si="34"/>
        <v>0</v>
      </c>
      <c r="AD72" t="b">
        <f t="shared" si="35"/>
        <v>0</v>
      </c>
      <c r="AG72" t="str">
        <f>'WetLitterbags placem_collection'!K71</f>
        <v>G448</v>
      </c>
      <c r="AH72" t="str">
        <f>'WetLitterbags placem_collection'!M71</f>
        <v>R414</v>
      </c>
      <c r="AI72" t="b">
        <f t="shared" si="36"/>
        <v>0</v>
      </c>
      <c r="AJ72" t="b">
        <f t="shared" si="37"/>
        <v>0</v>
      </c>
      <c r="AK72">
        <f>'WetLitterbags placem_collection'!A71</f>
        <v>69</v>
      </c>
      <c r="AL72">
        <f>'WetLitterbags placem_collection'!A71</f>
        <v>69</v>
      </c>
      <c r="AN72">
        <f>IF('Dry_Litterbag Placem_Collection'!J71=0,"",'Dry_Litterbag Placem_Collection'!J71)</f>
        <v>382</v>
      </c>
      <c r="AO72">
        <f>IF('Dry_Litterbag Placem_Collection'!K71=0,"",'Dry_Litterbag Placem_Collection'!K71)</f>
        <v>741</v>
      </c>
      <c r="AP72" t="b">
        <f t="shared" si="38"/>
        <v>0</v>
      </c>
      <c r="AQ72" t="b">
        <f t="shared" si="39"/>
        <v>0</v>
      </c>
      <c r="AT72" t="str">
        <f>'Ashed teabags dry'!A70</f>
        <v>G183</v>
      </c>
      <c r="AU72" t="str">
        <f>'Ashed teabags dry'!A407</f>
        <v>R275</v>
      </c>
      <c r="AV72" t="b">
        <f t="shared" si="40"/>
        <v>0</v>
      </c>
      <c r="AW72" t="b">
        <f t="shared" si="41"/>
        <v>0</v>
      </c>
      <c r="AZ72" s="401" t="b">
        <f t="shared" si="42"/>
        <v>0</v>
      </c>
      <c r="BA72" s="401" t="b">
        <f t="shared" si="43"/>
        <v>0</v>
      </c>
      <c r="BC72" t="str">
        <f>'Ashed teabags wet'!A70</f>
        <v>G442</v>
      </c>
      <c r="BD72" t="str">
        <f>'Ashed teabags wet'!A487</f>
        <v>R2</v>
      </c>
      <c r="BE72" t="b">
        <f t="shared" si="44"/>
        <v>0</v>
      </c>
      <c r="BF72" t="b">
        <f t="shared" si="45"/>
        <v>0</v>
      </c>
      <c r="BG72">
        <f>IFERROR('Ashed teabags wet'!C70,"")</f>
        <v>162</v>
      </c>
      <c r="BH72">
        <f>IFERROR('Ashed teabags wet'!C487,"")</f>
        <v>11</v>
      </c>
      <c r="BI72" t="str">
        <f>'Ashed teabags wet'!AB70</f>
        <v/>
      </c>
      <c r="BJ72">
        <f>'Ashed teabags wet'!AC70</f>
        <v>161</v>
      </c>
      <c r="BK72" t="str">
        <f>'Ashed teabags wet'!AD487</f>
        <v/>
      </c>
      <c r="BL72">
        <f>'Ashed teabags wet'!AE487</f>
        <v>10</v>
      </c>
      <c r="BN72" t="str">
        <f t="shared" si="46"/>
        <v>G441</v>
      </c>
      <c r="BO72" t="b">
        <f t="shared" si="47"/>
        <v>1</v>
      </c>
    </row>
    <row r="73" spans="2:67" ht="12" customHeight="1">
      <c r="B73" t="str">
        <f>TBIDry!H145</f>
        <v>G278</v>
      </c>
      <c r="C73" t="str">
        <f>TBIDry!I145</f>
        <v>R294</v>
      </c>
      <c r="D73" t="b">
        <f t="shared" si="24"/>
        <v>0</v>
      </c>
      <c r="E73" t="b">
        <f t="shared" si="25"/>
        <v>0</v>
      </c>
      <c r="G73" t="str">
        <f>TBIWet!H145</f>
        <v>G358</v>
      </c>
      <c r="H73" t="str">
        <f>TBIWet!I145</f>
        <v>R151</v>
      </c>
      <c r="I73" t="b">
        <f t="shared" si="26"/>
        <v>0</v>
      </c>
      <c r="J73" t="b">
        <f t="shared" si="27"/>
        <v>0</v>
      </c>
      <c r="L73" t="str">
        <f>'Both teabags AfterWet'!A72</f>
        <v>G440</v>
      </c>
      <c r="M73" t="str">
        <f>'Both teabags AfterWet'!A490</f>
        <v>R183</v>
      </c>
      <c r="N73" t="b">
        <f t="shared" si="28"/>
        <v>0</v>
      </c>
      <c r="O73" t="b">
        <f t="shared" si="29"/>
        <v>0</v>
      </c>
      <c r="P73">
        <f>IFERROR('Both teabags AfterWet'!B72,"")</f>
        <v>63</v>
      </c>
      <c r="Q73">
        <f>'Both teabags AfterWet'!B490</f>
        <v>75</v>
      </c>
      <c r="S73" s="401" t="b">
        <f t="shared" si="30"/>
        <v>0</v>
      </c>
      <c r="T73" s="401" t="b">
        <f t="shared" si="31"/>
        <v>0</v>
      </c>
      <c r="V73" t="str">
        <f>'Both teabags AfterDry'!A72</f>
        <v>G186</v>
      </c>
      <c r="W73" t="str">
        <f>'Both teabags AfterDry'!A409</f>
        <v>R280</v>
      </c>
      <c r="X73" t="b">
        <f t="shared" si="32"/>
        <v>0</v>
      </c>
      <c r="Y73" t="b">
        <f t="shared" si="33"/>
        <v>0</v>
      </c>
      <c r="AA73" t="str">
        <f>'Green_rooibos initial weight'!A74</f>
        <v>G70</v>
      </c>
      <c r="AB73" t="str">
        <f>'Green_rooibos initial weight'!A978</f>
        <v>R70</v>
      </c>
      <c r="AC73" t="b">
        <f t="shared" si="34"/>
        <v>0</v>
      </c>
      <c r="AD73" t="b">
        <f t="shared" si="35"/>
        <v>0</v>
      </c>
      <c r="AG73" t="str">
        <f>'WetLitterbags placem_collection'!K72</f>
        <v>G358</v>
      </c>
      <c r="AH73" t="str">
        <f>'WetLitterbags placem_collection'!M72</f>
        <v>R151</v>
      </c>
      <c r="AI73" t="b">
        <f t="shared" si="36"/>
        <v>0</v>
      </c>
      <c r="AJ73" t="b">
        <f t="shared" si="37"/>
        <v>0</v>
      </c>
      <c r="AK73">
        <f>'WetLitterbags placem_collection'!A72</f>
        <v>70</v>
      </c>
      <c r="AL73">
        <f>'WetLitterbags placem_collection'!A72</f>
        <v>70</v>
      </c>
      <c r="AN73">
        <f>IF('Dry_Litterbag Placem_Collection'!J72=0,"",'Dry_Litterbag Placem_Collection'!J72)</f>
        <v>278</v>
      </c>
      <c r="AO73">
        <f>IF('Dry_Litterbag Placem_Collection'!K72=0,"",'Dry_Litterbag Placem_Collection'!K72)</f>
        <v>294</v>
      </c>
      <c r="AP73" t="b">
        <f t="shared" si="38"/>
        <v>0</v>
      </c>
      <c r="AQ73" t="b">
        <f t="shared" si="39"/>
        <v>0</v>
      </c>
      <c r="AT73" t="str">
        <f>'Ashed teabags dry'!A71</f>
        <v>G184</v>
      </c>
      <c r="AU73" t="str">
        <f>'Ashed teabags dry'!A408</f>
        <v>R276</v>
      </c>
      <c r="AV73" t="b">
        <f t="shared" si="40"/>
        <v>0</v>
      </c>
      <c r="AW73" t="b">
        <f t="shared" si="41"/>
        <v>0</v>
      </c>
      <c r="AZ73" s="401" t="b">
        <f t="shared" si="42"/>
        <v>0</v>
      </c>
      <c r="BA73" s="401" t="b">
        <f t="shared" si="43"/>
        <v>0</v>
      </c>
      <c r="BC73" t="str">
        <f>'Ashed teabags wet'!A71</f>
        <v>G443</v>
      </c>
      <c r="BD73" t="str">
        <f>'Ashed teabags wet'!A488</f>
        <v>R20</v>
      </c>
      <c r="BE73" t="b">
        <f t="shared" si="44"/>
        <v>0</v>
      </c>
      <c r="BF73" t="b">
        <f t="shared" si="45"/>
        <v>0</v>
      </c>
      <c r="BG73">
        <f>IFERROR('Ashed teabags wet'!C71,"")</f>
        <v>167</v>
      </c>
      <c r="BH73">
        <f>IFERROR('Ashed teabags wet'!C488,"")</f>
        <v>148</v>
      </c>
      <c r="BI73" t="str">
        <f>'Ashed teabags wet'!AB71</f>
        <v/>
      </c>
      <c r="BJ73">
        <f>'Ashed teabags wet'!AC71</f>
        <v>166</v>
      </c>
      <c r="BK73" t="str">
        <f>'Ashed teabags wet'!AD488</f>
        <v/>
      </c>
      <c r="BL73">
        <f>'Ashed teabags wet'!AE488</f>
        <v>147</v>
      </c>
      <c r="BN73" t="str">
        <f t="shared" si="46"/>
        <v>G442</v>
      </c>
      <c r="BO73" t="b">
        <f t="shared" si="47"/>
        <v>1</v>
      </c>
    </row>
    <row r="74" spans="2:67" ht="12" customHeight="1">
      <c r="B74" t="str">
        <f>TBIDry!H146</f>
        <v>G138</v>
      </c>
      <c r="C74" t="str">
        <f>TBIDry!I146</f>
        <v>R761</v>
      </c>
      <c r="D74" t="b">
        <f t="shared" si="24"/>
        <v>0</v>
      </c>
      <c r="E74" t="b">
        <f t="shared" si="25"/>
        <v>0</v>
      </c>
      <c r="G74" t="str">
        <f>TBIWet!H146</f>
        <v>G511</v>
      </c>
      <c r="H74" t="str">
        <f>TBIWet!I146</f>
        <v>R95</v>
      </c>
      <c r="I74" t="b">
        <f t="shared" si="26"/>
        <v>0</v>
      </c>
      <c r="J74" t="b">
        <f t="shared" si="27"/>
        <v>0</v>
      </c>
      <c r="L74" t="str">
        <f>'Both teabags AfterWet'!A73</f>
        <v>G441</v>
      </c>
      <c r="M74" t="str">
        <f>'Both teabags AfterWet'!A491</f>
        <v>R185</v>
      </c>
      <c r="N74" t="b">
        <f t="shared" si="28"/>
        <v>0</v>
      </c>
      <c r="O74" t="b">
        <f t="shared" si="29"/>
        <v>0</v>
      </c>
      <c r="P74">
        <f>IFERROR('Both teabags AfterWet'!B73,"")</f>
        <v>85</v>
      </c>
      <c r="Q74">
        <f>'Both teabags AfterWet'!B491</f>
        <v>63</v>
      </c>
      <c r="S74" s="401" t="b">
        <f t="shared" si="30"/>
        <v>0</v>
      </c>
      <c r="T74" s="401" t="b">
        <f t="shared" si="31"/>
        <v>0</v>
      </c>
      <c r="V74" t="str">
        <f>'Both teabags AfterDry'!A73</f>
        <v>G187</v>
      </c>
      <c r="W74" t="str">
        <f>'Both teabags AfterDry'!A410</f>
        <v>R281</v>
      </c>
      <c r="X74" t="b">
        <f t="shared" si="32"/>
        <v>0</v>
      </c>
      <c r="Y74" t="b">
        <f t="shared" si="33"/>
        <v>0</v>
      </c>
      <c r="AA74" t="str">
        <f>'Green_rooibos initial weight'!A75</f>
        <v>G71</v>
      </c>
      <c r="AB74" t="str">
        <f>'Green_rooibos initial weight'!A979</f>
        <v>R71</v>
      </c>
      <c r="AC74" t="b">
        <f t="shared" si="34"/>
        <v>0</v>
      </c>
      <c r="AD74" t="b">
        <f t="shared" si="35"/>
        <v>0</v>
      </c>
      <c r="AG74" t="str">
        <f>'WetLitterbags placem_collection'!K73</f>
        <v>G511</v>
      </c>
      <c r="AH74" t="str">
        <f>'WetLitterbags placem_collection'!M73</f>
        <v>R95</v>
      </c>
      <c r="AI74" t="b">
        <f t="shared" si="36"/>
        <v>0</v>
      </c>
      <c r="AJ74" t="b">
        <f t="shared" si="37"/>
        <v>0</v>
      </c>
      <c r="AK74">
        <f>'WetLitterbags placem_collection'!A73</f>
        <v>71</v>
      </c>
      <c r="AL74">
        <f>'WetLitterbags placem_collection'!A73</f>
        <v>71</v>
      </c>
      <c r="AN74">
        <f>IF('Dry_Litterbag Placem_Collection'!J73=0,"",'Dry_Litterbag Placem_Collection'!J73)</f>
        <v>138</v>
      </c>
      <c r="AO74">
        <f>IF('Dry_Litterbag Placem_Collection'!K73=0,"",'Dry_Litterbag Placem_Collection'!K73)</f>
        <v>761</v>
      </c>
      <c r="AP74" t="b">
        <f t="shared" si="38"/>
        <v>0</v>
      </c>
      <c r="AQ74" t="b">
        <f t="shared" si="39"/>
        <v>0</v>
      </c>
      <c r="AT74" t="str">
        <f>'Ashed teabags dry'!A72</f>
        <v>G185</v>
      </c>
      <c r="AU74" t="str">
        <f>'Ashed teabags dry'!A409</f>
        <v>R277</v>
      </c>
      <c r="AV74" t="b">
        <f t="shared" si="40"/>
        <v>0</v>
      </c>
      <c r="AW74" t="b">
        <f t="shared" si="41"/>
        <v>0</v>
      </c>
      <c r="AZ74" s="401" t="b">
        <f t="shared" si="42"/>
        <v>0</v>
      </c>
      <c r="BA74" s="401" t="b">
        <f t="shared" si="43"/>
        <v>0</v>
      </c>
      <c r="BC74" t="str">
        <f>'Ashed teabags wet'!A72</f>
        <v>G445</v>
      </c>
      <c r="BD74" t="str">
        <f>'Ashed teabags wet'!A489</f>
        <v>R202</v>
      </c>
      <c r="BE74" t="b">
        <f t="shared" si="44"/>
        <v>0</v>
      </c>
      <c r="BF74" t="b">
        <f t="shared" si="45"/>
        <v>0</v>
      </c>
      <c r="BG74">
        <f>IFERROR('Ashed teabags wet'!C72,"")</f>
        <v>62</v>
      </c>
      <c r="BH74">
        <f>IFERROR('Ashed teabags wet'!C489,"")</f>
        <v>162</v>
      </c>
      <c r="BI74" t="str">
        <f>'Ashed teabags wet'!AB72</f>
        <v/>
      </c>
      <c r="BJ74">
        <f>'Ashed teabags wet'!AC72</f>
        <v>61</v>
      </c>
      <c r="BK74">
        <f>'Ashed teabags wet'!AD489</f>
        <v>161</v>
      </c>
      <c r="BL74" t="str">
        <f>'Ashed teabags wet'!AE489</f>
        <v/>
      </c>
      <c r="BN74" t="str">
        <f t="shared" si="46"/>
        <v>G443</v>
      </c>
      <c r="BO74" t="b">
        <f t="shared" si="47"/>
        <v>1</v>
      </c>
    </row>
    <row r="75" spans="2:67" ht="12" customHeight="1">
      <c r="B75" t="str">
        <f>TBIDry!H147</f>
        <v>G431</v>
      </c>
      <c r="C75" t="str">
        <f>TBIDry!I147</f>
        <v>R780</v>
      </c>
      <c r="D75" t="b">
        <f t="shared" si="24"/>
        <v>0</v>
      </c>
      <c r="E75" t="b">
        <f t="shared" si="25"/>
        <v>0</v>
      </c>
      <c r="G75" t="str">
        <f>TBIWet!H147</f>
        <v>G383</v>
      </c>
      <c r="H75" t="str">
        <f>TBIWet!I147</f>
        <v>R546</v>
      </c>
      <c r="I75" t="b">
        <f t="shared" si="26"/>
        <v>0</v>
      </c>
      <c r="J75" t="b">
        <f t="shared" si="27"/>
        <v>0</v>
      </c>
      <c r="L75" t="str">
        <f>'Both teabags AfterWet'!A74</f>
        <v>G442</v>
      </c>
      <c r="M75" t="str">
        <f>'Both teabags AfterWet'!A492</f>
        <v>R186</v>
      </c>
      <c r="N75" t="b">
        <f t="shared" si="28"/>
        <v>0</v>
      </c>
      <c r="O75" t="b">
        <f t="shared" si="29"/>
        <v>0</v>
      </c>
      <c r="P75" t="str">
        <f>IFERROR('Both teabags AfterWet'!B74,"")</f>
        <v>n.a</v>
      </c>
      <c r="Q75">
        <f>'Both teabags AfterWet'!B492</f>
        <v>186</v>
      </c>
      <c r="S75" s="401" t="b">
        <f t="shared" si="30"/>
        <v>0</v>
      </c>
      <c r="T75" s="401" t="b">
        <f t="shared" si="31"/>
        <v>0</v>
      </c>
      <c r="V75" t="str">
        <f>'Both teabags AfterDry'!A74</f>
        <v>G188</v>
      </c>
      <c r="W75" t="str">
        <f>'Both teabags AfterDry'!A411</f>
        <v>R283</v>
      </c>
      <c r="X75" t="b">
        <f t="shared" si="32"/>
        <v>0</v>
      </c>
      <c r="Y75" t="b">
        <f t="shared" si="33"/>
        <v>0</v>
      </c>
      <c r="AA75" t="str">
        <f>'Green_rooibos initial weight'!A76</f>
        <v>G72</v>
      </c>
      <c r="AB75" t="str">
        <f>'Green_rooibos initial weight'!A980</f>
        <v>R72</v>
      </c>
      <c r="AC75" t="b">
        <f t="shared" si="34"/>
        <v>0</v>
      </c>
      <c r="AD75" t="b">
        <f t="shared" si="35"/>
        <v>0</v>
      </c>
      <c r="AG75" t="str">
        <f>'WetLitterbags placem_collection'!K74</f>
        <v>G383</v>
      </c>
      <c r="AH75" t="str">
        <f>'WetLitterbags placem_collection'!M74</f>
        <v>R546</v>
      </c>
      <c r="AI75" t="b">
        <f t="shared" si="36"/>
        <v>0</v>
      </c>
      <c r="AJ75" t="b">
        <f t="shared" si="37"/>
        <v>0</v>
      </c>
      <c r="AK75">
        <f>'WetLitterbags placem_collection'!A74</f>
        <v>72</v>
      </c>
      <c r="AL75">
        <f>'WetLitterbags placem_collection'!A74</f>
        <v>72</v>
      </c>
      <c r="AN75">
        <f>IF('Dry_Litterbag Placem_Collection'!J74=0,"",'Dry_Litterbag Placem_Collection'!J74)</f>
        <v>431</v>
      </c>
      <c r="AO75">
        <f>IF('Dry_Litterbag Placem_Collection'!K74=0,"",'Dry_Litterbag Placem_Collection'!K74)</f>
        <v>780</v>
      </c>
      <c r="AP75" t="b">
        <f t="shared" si="38"/>
        <v>0</v>
      </c>
      <c r="AQ75" t="b">
        <f t="shared" si="39"/>
        <v>0</v>
      </c>
      <c r="AT75" t="str">
        <f>'Ashed teabags dry'!A73</f>
        <v>G186</v>
      </c>
      <c r="AU75" t="str">
        <f>'Ashed teabags dry'!A410</f>
        <v>R280</v>
      </c>
      <c r="AV75" t="b">
        <f t="shared" si="40"/>
        <v>0</v>
      </c>
      <c r="AW75" t="b">
        <f t="shared" si="41"/>
        <v>0</v>
      </c>
      <c r="AZ75" s="401" t="b">
        <f t="shared" si="42"/>
        <v>0</v>
      </c>
      <c r="BA75" s="401" t="b">
        <f t="shared" si="43"/>
        <v>0</v>
      </c>
      <c r="BC75" t="str">
        <f>'Ashed teabags wet'!A73</f>
        <v>G446</v>
      </c>
      <c r="BD75" t="str">
        <f>'Ashed teabags wet'!A490</f>
        <v>R21</v>
      </c>
      <c r="BE75" t="b">
        <f t="shared" si="44"/>
        <v>0</v>
      </c>
      <c r="BF75" t="b">
        <f t="shared" si="45"/>
        <v>0</v>
      </c>
      <c r="BG75">
        <f>IFERROR('Ashed teabags wet'!C73,"")</f>
        <v>78</v>
      </c>
      <c r="BH75">
        <f>IFERROR('Ashed teabags wet'!C490,"")</f>
        <v>138</v>
      </c>
      <c r="BI75" t="str">
        <f>'Ashed teabags wet'!AB73</f>
        <v/>
      </c>
      <c r="BJ75">
        <f>'Ashed teabags wet'!AC73</f>
        <v>77</v>
      </c>
      <c r="BK75" t="str">
        <f>'Ashed teabags wet'!AD490</f>
        <v/>
      </c>
      <c r="BL75">
        <f>'Ashed teabags wet'!AE490</f>
        <v>137</v>
      </c>
      <c r="BN75" t="str">
        <f t="shared" si="46"/>
        <v>G445</v>
      </c>
      <c r="BO75" t="b">
        <f t="shared" si="47"/>
        <v>1</v>
      </c>
    </row>
    <row r="76" spans="2:67" ht="12" customHeight="1">
      <c r="B76" t="str">
        <f>TBIDry!H148</f>
        <v>G321</v>
      </c>
      <c r="C76" t="str">
        <f>TBIDry!I148</f>
        <v>R730</v>
      </c>
      <c r="D76" t="b">
        <f t="shared" si="24"/>
        <v>0</v>
      </c>
      <c r="E76" t="b">
        <f t="shared" si="25"/>
        <v>0</v>
      </c>
      <c r="G76" t="str">
        <f>TBIWet!H148</f>
        <v>G549</v>
      </c>
      <c r="H76" t="str">
        <f>TBIWet!I148</f>
        <v>R438</v>
      </c>
      <c r="I76" t="b">
        <f t="shared" si="26"/>
        <v>0</v>
      </c>
      <c r="J76" t="b">
        <f t="shared" si="27"/>
        <v>0</v>
      </c>
      <c r="L76" t="str">
        <f>'Both teabags AfterWet'!A75</f>
        <v>G443</v>
      </c>
      <c r="M76" t="str">
        <f>'Both teabags AfterWet'!A493</f>
        <v>R187</v>
      </c>
      <c r="N76" t="b">
        <f t="shared" si="28"/>
        <v>0</v>
      </c>
      <c r="O76" t="b">
        <f t="shared" si="29"/>
        <v>0</v>
      </c>
      <c r="P76" t="str">
        <f>IFERROR('Both teabags AfterWet'!B75,"")</f>
        <v>n.a</v>
      </c>
      <c r="Q76">
        <f>'Both teabags AfterWet'!B493</f>
        <v>81</v>
      </c>
      <c r="S76" s="401" t="b">
        <f t="shared" si="30"/>
        <v>0</v>
      </c>
      <c r="T76" s="401" t="b">
        <f t="shared" si="31"/>
        <v>0</v>
      </c>
      <c r="V76" t="str">
        <f>'Both teabags AfterDry'!A75</f>
        <v>G189</v>
      </c>
      <c r="W76" t="str">
        <f>'Both teabags AfterDry'!A412</f>
        <v>R284</v>
      </c>
      <c r="X76" t="b">
        <f t="shared" si="32"/>
        <v>0</v>
      </c>
      <c r="Y76" t="b">
        <f t="shared" si="33"/>
        <v>0</v>
      </c>
      <c r="AA76" t="str">
        <f>'Green_rooibos initial weight'!A77</f>
        <v>G73</v>
      </c>
      <c r="AB76" t="str">
        <f>'Green_rooibos initial weight'!A981</f>
        <v>R73</v>
      </c>
      <c r="AC76" t="b">
        <f t="shared" si="34"/>
        <v>0</v>
      </c>
      <c r="AD76" t="b">
        <f t="shared" si="35"/>
        <v>0</v>
      </c>
      <c r="AG76" t="str">
        <f>'WetLitterbags placem_collection'!K75</f>
        <v>G549</v>
      </c>
      <c r="AH76" t="str">
        <f>'WetLitterbags placem_collection'!M75</f>
        <v>R438</v>
      </c>
      <c r="AI76" t="b">
        <f t="shared" si="36"/>
        <v>0</v>
      </c>
      <c r="AJ76" t="b">
        <f t="shared" si="37"/>
        <v>0</v>
      </c>
      <c r="AK76">
        <f>'WetLitterbags placem_collection'!A75</f>
        <v>73</v>
      </c>
      <c r="AL76">
        <f>'WetLitterbags placem_collection'!A75</f>
        <v>73</v>
      </c>
      <c r="AN76">
        <f>IF('Dry_Litterbag Placem_Collection'!J75=0,"",'Dry_Litterbag Placem_Collection'!J75)</f>
        <v>321</v>
      </c>
      <c r="AO76">
        <f>IF('Dry_Litterbag Placem_Collection'!K75=0,"",'Dry_Litterbag Placem_Collection'!K75)</f>
        <v>730</v>
      </c>
      <c r="AP76" t="b">
        <f t="shared" si="38"/>
        <v>0</v>
      </c>
      <c r="AQ76" t="b">
        <f t="shared" si="39"/>
        <v>0</v>
      </c>
      <c r="AT76" t="str">
        <f>'Ashed teabags dry'!A74</f>
        <v>G187</v>
      </c>
      <c r="AU76" t="str">
        <f>'Ashed teabags dry'!A411</f>
        <v>R281</v>
      </c>
      <c r="AV76" t="b">
        <f t="shared" si="40"/>
        <v>0</v>
      </c>
      <c r="AW76" t="b">
        <f t="shared" si="41"/>
        <v>0</v>
      </c>
      <c r="AZ76" s="401" t="b">
        <f t="shared" si="42"/>
        <v>0</v>
      </c>
      <c r="BA76" s="401" t="b">
        <f t="shared" si="43"/>
        <v>0</v>
      </c>
      <c r="BC76" t="str">
        <f>'Ashed teabags wet'!A74</f>
        <v>G447</v>
      </c>
      <c r="BD76" t="str">
        <f>'Ashed teabags wet'!A491</f>
        <v>R215</v>
      </c>
      <c r="BE76" t="b">
        <f t="shared" si="44"/>
        <v>0</v>
      </c>
      <c r="BF76" t="b">
        <f t="shared" si="45"/>
        <v>0</v>
      </c>
      <c r="BG76">
        <f>IFERROR('Ashed teabags wet'!C74,"")</f>
        <v>6</v>
      </c>
      <c r="BH76">
        <f>IFERROR('Ashed teabags wet'!C491,"")</f>
        <v>167</v>
      </c>
      <c r="BI76">
        <f>'Ashed teabags wet'!AB74</f>
        <v>5</v>
      </c>
      <c r="BJ76" t="str">
        <f>'Ashed teabags wet'!AC74</f>
        <v/>
      </c>
      <c r="BK76" t="str">
        <f>'Ashed teabags wet'!AD491</f>
        <v/>
      </c>
      <c r="BL76">
        <f>'Ashed teabags wet'!AE491</f>
        <v>166</v>
      </c>
      <c r="BN76" t="str">
        <f t="shared" si="46"/>
        <v>G446</v>
      </c>
      <c r="BO76" t="b">
        <f t="shared" si="47"/>
        <v>1</v>
      </c>
    </row>
    <row r="77" spans="2:67" ht="12" customHeight="1">
      <c r="B77" t="str">
        <f>TBIDry!H149</f>
        <v>G329</v>
      </c>
      <c r="C77" t="str">
        <f>TBIDry!I149</f>
        <v>R825</v>
      </c>
      <c r="D77" t="b">
        <f t="shared" si="24"/>
        <v>0</v>
      </c>
      <c r="E77" t="b">
        <f t="shared" si="25"/>
        <v>0</v>
      </c>
      <c r="G77" t="str">
        <f>TBIWet!H149</f>
        <v>G605</v>
      </c>
      <c r="H77" t="str">
        <f>TBIWet!I149</f>
        <v>R122</v>
      </c>
      <c r="I77" t="b">
        <f t="shared" si="26"/>
        <v>0</v>
      </c>
      <c r="J77" t="b">
        <f t="shared" si="27"/>
        <v>0</v>
      </c>
      <c r="L77" t="str">
        <f>'Both teabags AfterWet'!A76</f>
        <v>G445</v>
      </c>
      <c r="M77" t="str">
        <f>'Both teabags AfterWet'!A494</f>
        <v>R189</v>
      </c>
      <c r="N77" t="b">
        <f t="shared" si="28"/>
        <v>0</v>
      </c>
      <c r="O77" t="b">
        <f t="shared" si="29"/>
        <v>0</v>
      </c>
      <c r="P77">
        <f>IFERROR('Both teabags AfterWet'!B76,"")</f>
        <v>62</v>
      </c>
      <c r="Q77" t="str">
        <f>'Both teabags AfterWet'!B494</f>
        <v>n.a</v>
      </c>
      <c r="S77" s="401" t="b">
        <f t="shared" si="30"/>
        <v>0</v>
      </c>
      <c r="T77" s="401" t="b">
        <f t="shared" si="31"/>
        <v>0</v>
      </c>
      <c r="V77" t="str">
        <f>'Both teabags AfterDry'!A76</f>
        <v>G19</v>
      </c>
      <c r="W77" t="str">
        <f>'Both teabags AfterDry'!A413</f>
        <v>R288</v>
      </c>
      <c r="X77" t="b">
        <f t="shared" si="32"/>
        <v>0</v>
      </c>
      <c r="Y77" t="b">
        <f t="shared" si="33"/>
        <v>0</v>
      </c>
      <c r="AA77" t="str">
        <f>'Green_rooibos initial weight'!A78</f>
        <v>G74</v>
      </c>
      <c r="AB77" t="str">
        <f>'Green_rooibos initial weight'!A982</f>
        <v>R74</v>
      </c>
      <c r="AC77" t="b">
        <f t="shared" si="34"/>
        <v>0</v>
      </c>
      <c r="AD77" t="b">
        <f t="shared" si="35"/>
        <v>0</v>
      </c>
      <c r="AG77" t="str">
        <f>'WetLitterbags placem_collection'!K76</f>
        <v>G605</v>
      </c>
      <c r="AH77" t="str">
        <f>'WetLitterbags placem_collection'!M76</f>
        <v>R122</v>
      </c>
      <c r="AI77" t="b">
        <f t="shared" si="36"/>
        <v>0</v>
      </c>
      <c r="AJ77" t="b">
        <f t="shared" si="37"/>
        <v>0</v>
      </c>
      <c r="AK77">
        <f>'WetLitterbags placem_collection'!A76</f>
        <v>74</v>
      </c>
      <c r="AL77">
        <f>'WetLitterbags placem_collection'!A76</f>
        <v>74</v>
      </c>
      <c r="AN77">
        <f>IF('Dry_Litterbag Placem_Collection'!J76=0,"",'Dry_Litterbag Placem_Collection'!J76)</f>
        <v>329</v>
      </c>
      <c r="AO77">
        <f>IF('Dry_Litterbag Placem_Collection'!K76=0,"",'Dry_Litterbag Placem_Collection'!K76)</f>
        <v>825</v>
      </c>
      <c r="AP77" t="b">
        <f t="shared" si="38"/>
        <v>0</v>
      </c>
      <c r="AQ77" t="b">
        <f t="shared" si="39"/>
        <v>0</v>
      </c>
      <c r="AT77" t="str">
        <f>'Ashed teabags dry'!A75</f>
        <v>G188</v>
      </c>
      <c r="AU77" t="str">
        <f>'Ashed teabags dry'!A412</f>
        <v>R283</v>
      </c>
      <c r="AV77" t="b">
        <f t="shared" si="40"/>
        <v>0</v>
      </c>
      <c r="AW77" t="b">
        <f t="shared" si="41"/>
        <v>0</v>
      </c>
      <c r="AZ77" s="401" t="b">
        <f t="shared" si="42"/>
        <v>0</v>
      </c>
      <c r="BA77" s="401" t="b">
        <f t="shared" si="43"/>
        <v>0</v>
      </c>
      <c r="BC77" t="str">
        <f>'Ashed teabags wet'!A75</f>
        <v>G449</v>
      </c>
      <c r="BD77" t="str">
        <f>'Ashed teabags wet'!A492</f>
        <v>R216</v>
      </c>
      <c r="BE77" t="b">
        <f t="shared" si="44"/>
        <v>0</v>
      </c>
      <c r="BF77" t="b">
        <f t="shared" si="45"/>
        <v>0</v>
      </c>
      <c r="BG77">
        <f>IFERROR('Ashed teabags wet'!C75,"")</f>
        <v>27</v>
      </c>
      <c r="BH77">
        <f>IFERROR('Ashed teabags wet'!C492,"")</f>
        <v>189</v>
      </c>
      <c r="BI77" t="str">
        <f>'Ashed teabags wet'!AB75</f>
        <v/>
      </c>
      <c r="BJ77">
        <f>'Ashed teabags wet'!AC75</f>
        <v>26</v>
      </c>
      <c r="BK77" t="str">
        <f>'Ashed teabags wet'!AD492</f>
        <v/>
      </c>
      <c r="BL77">
        <f>'Ashed teabags wet'!AE492</f>
        <v>188</v>
      </c>
      <c r="BN77" t="str">
        <f t="shared" si="46"/>
        <v>G447</v>
      </c>
      <c r="BO77" t="b">
        <f t="shared" si="47"/>
        <v>1</v>
      </c>
    </row>
    <row r="78" spans="2:67" ht="12" customHeight="1">
      <c r="B78" t="str">
        <f>TBIDry!H150</f>
        <v>G215</v>
      </c>
      <c r="C78" t="str">
        <f>TBIDry!I150</f>
        <v>R840</v>
      </c>
      <c r="D78" t="b">
        <f t="shared" si="24"/>
        <v>0</v>
      </c>
      <c r="E78" t="b">
        <f t="shared" si="25"/>
        <v>0</v>
      </c>
      <c r="G78" t="str">
        <f>TBIWet!H150</f>
        <v>G408</v>
      </c>
      <c r="H78" t="str">
        <f>TBIWet!I150</f>
        <v>R404</v>
      </c>
      <c r="I78" t="b">
        <f t="shared" si="26"/>
        <v>0</v>
      </c>
      <c r="J78" t="b">
        <f t="shared" si="27"/>
        <v>0</v>
      </c>
      <c r="L78" t="str">
        <f>'Both teabags AfterWet'!A77</f>
        <v>G446</v>
      </c>
      <c r="M78" t="str">
        <f>'Both teabags AfterWet'!A495</f>
        <v>R19</v>
      </c>
      <c r="N78" t="b">
        <f t="shared" si="28"/>
        <v>0</v>
      </c>
      <c r="O78" t="b">
        <f t="shared" si="29"/>
        <v>0</v>
      </c>
      <c r="P78" t="str">
        <f>IFERROR('Both teabags AfterWet'!B77,"")</f>
        <v>n.a</v>
      </c>
      <c r="Q78">
        <f>'Both teabags AfterWet'!B495</f>
        <v>55</v>
      </c>
      <c r="S78" s="401" t="b">
        <f t="shared" si="30"/>
        <v>0</v>
      </c>
      <c r="T78" s="401" t="b">
        <f t="shared" si="31"/>
        <v>0</v>
      </c>
      <c r="V78" t="str">
        <f>'Both teabags AfterDry'!A77</f>
        <v>G190</v>
      </c>
      <c r="W78" t="str">
        <f>'Both teabags AfterDry'!A414</f>
        <v>R292</v>
      </c>
      <c r="X78" t="b">
        <f t="shared" si="32"/>
        <v>0</v>
      </c>
      <c r="Y78" t="b">
        <f t="shared" si="33"/>
        <v>0</v>
      </c>
      <c r="AA78" t="str">
        <f>'Green_rooibos initial weight'!A79</f>
        <v>G75</v>
      </c>
      <c r="AB78" t="str">
        <f>'Green_rooibos initial weight'!A983</f>
        <v>R75</v>
      </c>
      <c r="AC78" t="b">
        <f t="shared" si="34"/>
        <v>0</v>
      </c>
      <c r="AD78" t="b">
        <f t="shared" si="35"/>
        <v>0</v>
      </c>
      <c r="AG78" t="str">
        <f>'WetLitterbags placem_collection'!K77</f>
        <v>G408</v>
      </c>
      <c r="AH78" t="str">
        <f>'WetLitterbags placem_collection'!M77</f>
        <v>R404</v>
      </c>
      <c r="AI78" t="b">
        <f t="shared" si="36"/>
        <v>0</v>
      </c>
      <c r="AJ78" t="b">
        <f t="shared" si="37"/>
        <v>0</v>
      </c>
      <c r="AK78">
        <f>'WetLitterbags placem_collection'!A77</f>
        <v>75</v>
      </c>
      <c r="AL78">
        <f>'WetLitterbags placem_collection'!A77</f>
        <v>75</v>
      </c>
      <c r="AN78">
        <f>IF('Dry_Litterbag Placem_Collection'!J77=0,"",'Dry_Litterbag Placem_Collection'!J77)</f>
        <v>215</v>
      </c>
      <c r="AO78">
        <f>IF('Dry_Litterbag Placem_Collection'!K77=0,"",'Dry_Litterbag Placem_Collection'!K77)</f>
        <v>840</v>
      </c>
      <c r="AP78" t="b">
        <f t="shared" si="38"/>
        <v>0</v>
      </c>
      <c r="AQ78" t="b">
        <f t="shared" si="39"/>
        <v>0</v>
      </c>
      <c r="AT78" t="str">
        <f>'Ashed teabags dry'!A76</f>
        <v>G189</v>
      </c>
      <c r="AU78" t="str">
        <f>'Ashed teabags dry'!A413</f>
        <v>R284</v>
      </c>
      <c r="AV78" t="b">
        <f t="shared" si="40"/>
        <v>0</v>
      </c>
      <c r="AW78" t="b">
        <f t="shared" si="41"/>
        <v>0</v>
      </c>
      <c r="AZ78" s="401" t="b">
        <f t="shared" si="42"/>
        <v>0</v>
      </c>
      <c r="BA78" s="401" t="b">
        <f t="shared" si="43"/>
        <v>0</v>
      </c>
      <c r="BC78" t="str">
        <f>'Ashed teabags wet'!A76</f>
        <v>G450</v>
      </c>
      <c r="BD78" t="str">
        <f>'Ashed teabags wet'!A493</f>
        <v>R217</v>
      </c>
      <c r="BE78" t="b">
        <f t="shared" si="44"/>
        <v>0</v>
      </c>
      <c r="BF78" t="b">
        <f t="shared" si="45"/>
        <v>0</v>
      </c>
      <c r="BG78">
        <f>IFERROR('Ashed teabags wet'!C76,"")</f>
        <v>67</v>
      </c>
      <c r="BH78">
        <f>IFERROR('Ashed teabags wet'!C493,"")</f>
        <v>27</v>
      </c>
      <c r="BI78">
        <f>'Ashed teabags wet'!AB76</f>
        <v>66</v>
      </c>
      <c r="BJ78" t="str">
        <f>'Ashed teabags wet'!AC76</f>
        <v/>
      </c>
      <c r="BK78" t="str">
        <f>'Ashed teabags wet'!AD493</f>
        <v/>
      </c>
      <c r="BL78">
        <f>'Ashed teabags wet'!AE493</f>
        <v>26</v>
      </c>
      <c r="BN78" t="str">
        <f t="shared" si="46"/>
        <v>G449</v>
      </c>
      <c r="BO78" t="b">
        <f t="shared" si="47"/>
        <v>1</v>
      </c>
    </row>
    <row r="79" spans="2:67" ht="12" customHeight="1">
      <c r="B79" t="str">
        <f>TBIDry!H151</f>
        <v>G60</v>
      </c>
      <c r="C79" t="str">
        <f>TBIDry!I151</f>
        <v>R770</v>
      </c>
      <c r="D79" t="b">
        <f t="shared" si="24"/>
        <v>0</v>
      </c>
      <c r="E79" t="b">
        <f t="shared" si="25"/>
        <v>0</v>
      </c>
      <c r="G79" t="str">
        <f>TBIWet!H151</f>
        <v>G416</v>
      </c>
      <c r="H79" t="str">
        <f>TBIWet!I151</f>
        <v>R501</v>
      </c>
      <c r="I79" t="b">
        <f t="shared" si="26"/>
        <v>0</v>
      </c>
      <c r="J79" t="b">
        <f t="shared" si="27"/>
        <v>0</v>
      </c>
      <c r="L79" t="str">
        <f>'Both teabags AfterWet'!A78</f>
        <v>G447</v>
      </c>
      <c r="M79" t="str">
        <f>'Both teabags AfterWet'!A496</f>
        <v>R190</v>
      </c>
      <c r="N79" t="b">
        <f t="shared" si="28"/>
        <v>0</v>
      </c>
      <c r="O79" t="b">
        <f t="shared" si="29"/>
        <v>0</v>
      </c>
      <c r="P79" t="str">
        <f>IFERROR('Both teabags AfterWet'!B78,"")</f>
        <v>n.a</v>
      </c>
      <c r="Q79">
        <f>'Both teabags AfterWet'!B496</f>
        <v>23</v>
      </c>
      <c r="S79" s="401" t="b">
        <f t="shared" si="30"/>
        <v>0</v>
      </c>
      <c r="T79" s="401" t="b">
        <f t="shared" si="31"/>
        <v>0</v>
      </c>
      <c r="V79" t="str">
        <f>'Both teabags AfterDry'!A78</f>
        <v>G193</v>
      </c>
      <c r="W79" t="str">
        <f>'Both teabags AfterDry'!A415</f>
        <v>R294</v>
      </c>
      <c r="X79" t="b">
        <f t="shared" si="32"/>
        <v>0</v>
      </c>
      <c r="Y79" t="b">
        <f t="shared" si="33"/>
        <v>0</v>
      </c>
      <c r="AA79" t="str">
        <f>'Green_rooibos initial weight'!A80</f>
        <v>G76</v>
      </c>
      <c r="AB79" t="str">
        <f>'Green_rooibos initial weight'!A984</f>
        <v>R76</v>
      </c>
      <c r="AC79" t="b">
        <f t="shared" si="34"/>
        <v>0</v>
      </c>
      <c r="AD79" t="b">
        <f t="shared" si="35"/>
        <v>0</v>
      </c>
      <c r="AG79" t="str">
        <f>'WetLitterbags placem_collection'!K78</f>
        <v>G416</v>
      </c>
      <c r="AH79" t="str">
        <f>'WetLitterbags placem_collection'!M78</f>
        <v>R501</v>
      </c>
      <c r="AI79" t="b">
        <f t="shared" si="36"/>
        <v>0</v>
      </c>
      <c r="AJ79" t="b">
        <f t="shared" si="37"/>
        <v>0</v>
      </c>
      <c r="AK79">
        <f>'WetLitterbags placem_collection'!A78</f>
        <v>76</v>
      </c>
      <c r="AL79">
        <f>'WetLitterbags placem_collection'!A78</f>
        <v>76</v>
      </c>
      <c r="AN79">
        <f>IF('Dry_Litterbag Placem_Collection'!J78=0,"",'Dry_Litterbag Placem_Collection'!J78)</f>
        <v>60</v>
      </c>
      <c r="AO79">
        <f>IF('Dry_Litterbag Placem_Collection'!K78=0,"",'Dry_Litterbag Placem_Collection'!K78)</f>
        <v>770</v>
      </c>
      <c r="AP79" t="b">
        <f t="shared" si="38"/>
        <v>0</v>
      </c>
      <c r="AQ79" t="b">
        <f t="shared" si="39"/>
        <v>0</v>
      </c>
      <c r="AT79" t="str">
        <f>'Ashed teabags dry'!A77</f>
        <v>G190</v>
      </c>
      <c r="AU79" t="str">
        <f>'Ashed teabags dry'!A414</f>
        <v>R288</v>
      </c>
      <c r="AV79" t="b">
        <f t="shared" si="40"/>
        <v>0</v>
      </c>
      <c r="AW79" t="b">
        <f t="shared" si="41"/>
        <v>0</v>
      </c>
      <c r="AZ79" s="401" t="b">
        <f t="shared" si="42"/>
        <v>0</v>
      </c>
      <c r="BA79" s="401" t="b">
        <f t="shared" si="43"/>
        <v>0</v>
      </c>
      <c r="BC79" t="str">
        <f>'Ashed teabags wet'!A77</f>
        <v>G451</v>
      </c>
      <c r="BD79" t="str">
        <f>'Ashed teabags wet'!A494</f>
        <v>R218</v>
      </c>
      <c r="BE79" t="b">
        <f t="shared" si="44"/>
        <v>0</v>
      </c>
      <c r="BF79" t="b">
        <f t="shared" si="45"/>
        <v>0</v>
      </c>
      <c r="BG79">
        <f>IFERROR('Ashed teabags wet'!C77,"")</f>
        <v>179</v>
      </c>
      <c r="BH79">
        <f>IFERROR('Ashed teabags wet'!C494,"")</f>
        <v>201</v>
      </c>
      <c r="BI79">
        <f>'Ashed teabags wet'!AB77</f>
        <v>178</v>
      </c>
      <c r="BJ79" t="str">
        <f>'Ashed teabags wet'!AC77</f>
        <v/>
      </c>
      <c r="BK79">
        <f>'Ashed teabags wet'!AD494</f>
        <v>200</v>
      </c>
      <c r="BL79" t="str">
        <f>'Ashed teabags wet'!AE494</f>
        <v/>
      </c>
      <c r="BN79" t="str">
        <f t="shared" si="46"/>
        <v>G450</v>
      </c>
      <c r="BO79" t="b">
        <f t="shared" si="47"/>
        <v>1</v>
      </c>
    </row>
    <row r="80" spans="2:67" ht="12" customHeight="1">
      <c r="B80" t="str">
        <f>TBIDry!H152</f>
        <v/>
      </c>
      <c r="C80" t="str">
        <f>TBIDry!I152</f>
        <v/>
      </c>
      <c r="D80" t="b">
        <f t="shared" si="24"/>
        <v>1</v>
      </c>
      <c r="E80" t="b">
        <f t="shared" si="25"/>
        <v>1</v>
      </c>
      <c r="G80" t="str">
        <f>TBIWet!H152</f>
        <v>G594</v>
      </c>
      <c r="H80" t="str">
        <f>TBIWet!I152</f>
        <v>R137</v>
      </c>
      <c r="I80" t="b">
        <f t="shared" si="26"/>
        <v>0</v>
      </c>
      <c r="J80" t="b">
        <f t="shared" si="27"/>
        <v>0</v>
      </c>
      <c r="L80" t="str">
        <f>'Both teabags AfterWet'!A79</f>
        <v>G448</v>
      </c>
      <c r="M80" t="str">
        <f>'Both teabags AfterWet'!A497</f>
        <v>R196</v>
      </c>
      <c r="N80" t="b">
        <f t="shared" si="28"/>
        <v>0</v>
      </c>
      <c r="O80" t="b">
        <f t="shared" si="29"/>
        <v>0</v>
      </c>
      <c r="P80">
        <f>IFERROR('Both teabags AfterWet'!B79,"")</f>
        <v>69</v>
      </c>
      <c r="Q80">
        <f>'Both teabags AfterWet'!B497</f>
        <v>89</v>
      </c>
      <c r="S80" s="401" t="b">
        <f t="shared" si="30"/>
        <v>0</v>
      </c>
      <c r="T80" s="401" t="b">
        <f t="shared" si="31"/>
        <v>0</v>
      </c>
      <c r="V80" t="str">
        <f>'Both teabags AfterDry'!A79</f>
        <v>G194</v>
      </c>
      <c r="W80" t="str">
        <f>'Both teabags AfterDry'!A416</f>
        <v>R295</v>
      </c>
      <c r="X80" t="b">
        <f t="shared" si="32"/>
        <v>0</v>
      </c>
      <c r="Y80" t="b">
        <f t="shared" si="33"/>
        <v>0</v>
      </c>
      <c r="AA80" t="str">
        <f>'Green_rooibos initial weight'!A81</f>
        <v>G77</v>
      </c>
      <c r="AB80" t="str">
        <f>'Green_rooibos initial weight'!A985</f>
        <v>R77</v>
      </c>
      <c r="AC80" t="b">
        <f t="shared" si="34"/>
        <v>0</v>
      </c>
      <c r="AD80" t="b">
        <f t="shared" si="35"/>
        <v>0</v>
      </c>
      <c r="AG80" t="str">
        <f>'WetLitterbags placem_collection'!K79</f>
        <v>G594</v>
      </c>
      <c r="AH80" t="str">
        <f>'WetLitterbags placem_collection'!M79</f>
        <v>R137</v>
      </c>
      <c r="AI80" t="b">
        <f t="shared" si="36"/>
        <v>0</v>
      </c>
      <c r="AJ80" t="b">
        <f t="shared" si="37"/>
        <v>0</v>
      </c>
      <c r="AK80">
        <f>'WetLitterbags placem_collection'!A79</f>
        <v>77</v>
      </c>
      <c r="AL80">
        <f>'WetLitterbags placem_collection'!A79</f>
        <v>77</v>
      </c>
      <c r="AN80" t="str">
        <f>IF('Dry_Litterbag Placem_Collection'!J79=0,"",'Dry_Litterbag Placem_Collection'!J79)</f>
        <v/>
      </c>
      <c r="AO80" t="str">
        <f>IF('Dry_Litterbag Placem_Collection'!K79=0,"",'Dry_Litterbag Placem_Collection'!K79)</f>
        <v/>
      </c>
      <c r="AP80" t="b">
        <f t="shared" si="38"/>
        <v>1</v>
      </c>
      <c r="AQ80" t="b">
        <f t="shared" si="39"/>
        <v>1</v>
      </c>
      <c r="AT80" t="str">
        <f>'Ashed teabags dry'!A78</f>
        <v>G193</v>
      </c>
      <c r="AU80" t="str">
        <f>'Ashed teabags dry'!A415</f>
        <v>R292</v>
      </c>
      <c r="AV80" t="b">
        <f t="shared" si="40"/>
        <v>0</v>
      </c>
      <c r="AW80" t="b">
        <f t="shared" si="41"/>
        <v>0</v>
      </c>
      <c r="AZ80" s="401" t="b">
        <f t="shared" si="42"/>
        <v>0</v>
      </c>
      <c r="BA80" s="401" t="b">
        <f t="shared" si="43"/>
        <v>0</v>
      </c>
      <c r="BC80" t="str">
        <f>'Ashed teabags wet'!A78</f>
        <v>G452</v>
      </c>
      <c r="BD80" t="str">
        <f>'Ashed teabags wet'!A495</f>
        <v>R219</v>
      </c>
      <c r="BE80" t="b">
        <f t="shared" si="44"/>
        <v>0</v>
      </c>
      <c r="BF80" t="b">
        <f t="shared" si="45"/>
        <v>0</v>
      </c>
      <c r="BG80">
        <f>IFERROR('Ashed teabags wet'!C78,"")</f>
        <v>7</v>
      </c>
      <c r="BH80">
        <f>IFERROR('Ashed teabags wet'!C495,"")</f>
        <v>197</v>
      </c>
      <c r="BI80">
        <f>'Ashed teabags wet'!AB78</f>
        <v>6</v>
      </c>
      <c r="BJ80" t="str">
        <f>'Ashed teabags wet'!AC78</f>
        <v/>
      </c>
      <c r="BK80">
        <f>'Ashed teabags wet'!AD495</f>
        <v>196</v>
      </c>
      <c r="BL80" t="str">
        <f>'Ashed teabags wet'!AE495</f>
        <v/>
      </c>
      <c r="BN80" t="str">
        <f t="shared" si="46"/>
        <v>G451</v>
      </c>
      <c r="BO80" t="b">
        <f t="shared" si="47"/>
        <v>1</v>
      </c>
    </row>
    <row r="81" spans="2:68" ht="12" customHeight="1">
      <c r="B81" t="str">
        <f>TBIDry!H153</f>
        <v>G97</v>
      </c>
      <c r="C81" t="str">
        <f>TBIDry!I153</f>
        <v>R696</v>
      </c>
      <c r="D81" t="b">
        <f t="shared" si="24"/>
        <v>0</v>
      </c>
      <c r="E81" t="b">
        <f t="shared" si="25"/>
        <v>0</v>
      </c>
      <c r="G81" t="str">
        <f>TBIWet!H153</f>
        <v>G460</v>
      </c>
      <c r="H81" t="str">
        <f>TBIWet!I153</f>
        <v>R278</v>
      </c>
      <c r="I81" t="b">
        <f t="shared" si="26"/>
        <v>0</v>
      </c>
      <c r="J81" t="b">
        <f t="shared" si="27"/>
        <v>0</v>
      </c>
      <c r="L81" t="str">
        <f>'Both teabags AfterWet'!A80</f>
        <v>G449</v>
      </c>
      <c r="M81" t="str">
        <f>'Both teabags AfterWet'!A498</f>
        <v>R2</v>
      </c>
      <c r="N81" t="b">
        <f t="shared" si="28"/>
        <v>0</v>
      </c>
      <c r="O81" t="b">
        <f t="shared" si="29"/>
        <v>0</v>
      </c>
      <c r="P81">
        <f>IFERROR('Both teabags AfterWet'!B80,"")</f>
        <v>27</v>
      </c>
      <c r="Q81" t="str">
        <f>'Both teabags AfterWet'!B498</f>
        <v>n.a</v>
      </c>
      <c r="S81" s="401" t="b">
        <f t="shared" si="30"/>
        <v>0</v>
      </c>
      <c r="T81" s="401" t="b">
        <f t="shared" si="31"/>
        <v>0</v>
      </c>
      <c r="V81" t="str">
        <f>'Both teabags AfterDry'!A80</f>
        <v>G196</v>
      </c>
      <c r="W81" t="str">
        <f>'Both teabags AfterDry'!A417</f>
        <v>R297</v>
      </c>
      <c r="X81" t="b">
        <f t="shared" si="32"/>
        <v>0</v>
      </c>
      <c r="Y81" t="b">
        <f t="shared" si="33"/>
        <v>0</v>
      </c>
      <c r="AA81" t="str">
        <f>'Green_rooibos initial weight'!A82</f>
        <v>G78</v>
      </c>
      <c r="AB81" t="str">
        <f>'Green_rooibos initial weight'!A986</f>
        <v>R78</v>
      </c>
      <c r="AC81" t="b">
        <f t="shared" si="34"/>
        <v>0</v>
      </c>
      <c r="AD81" t="b">
        <f t="shared" si="35"/>
        <v>0</v>
      </c>
      <c r="AG81" t="str">
        <f>'WetLitterbags placem_collection'!K80</f>
        <v>G460</v>
      </c>
      <c r="AH81" t="str">
        <f>'WetLitterbags placem_collection'!M80</f>
        <v>R278</v>
      </c>
      <c r="AI81" t="b">
        <f t="shared" si="36"/>
        <v>0</v>
      </c>
      <c r="AJ81" t="b">
        <f t="shared" si="37"/>
        <v>0</v>
      </c>
      <c r="AK81">
        <f>'WetLitterbags placem_collection'!A80</f>
        <v>78</v>
      </c>
      <c r="AL81">
        <f>'WetLitterbags placem_collection'!A80</f>
        <v>78</v>
      </c>
      <c r="AN81">
        <f>IF('Dry_Litterbag Placem_Collection'!J80=0,"",'Dry_Litterbag Placem_Collection'!J80)</f>
        <v>97</v>
      </c>
      <c r="AO81">
        <f>IF('Dry_Litterbag Placem_Collection'!K80=0,"",'Dry_Litterbag Placem_Collection'!K80)</f>
        <v>696</v>
      </c>
      <c r="AP81" t="b">
        <f t="shared" si="38"/>
        <v>0</v>
      </c>
      <c r="AQ81" t="b">
        <f t="shared" si="39"/>
        <v>0</v>
      </c>
      <c r="AT81" t="str">
        <f>'Ashed teabags dry'!A79</f>
        <v>G194</v>
      </c>
      <c r="AU81" t="str">
        <f>'Ashed teabags dry'!A416</f>
        <v>R294</v>
      </c>
      <c r="AV81" t="b">
        <f t="shared" si="40"/>
        <v>0</v>
      </c>
      <c r="AW81" t="b">
        <f t="shared" si="41"/>
        <v>0</v>
      </c>
      <c r="AZ81" s="401" t="b">
        <f t="shared" si="42"/>
        <v>0</v>
      </c>
      <c r="BA81" s="401" t="b">
        <f t="shared" si="43"/>
        <v>0</v>
      </c>
      <c r="BC81" t="str">
        <f>'Ashed teabags wet'!A79</f>
        <v>G453</v>
      </c>
      <c r="BD81" t="str">
        <f>'Ashed teabags wet'!A496</f>
        <v>R22</v>
      </c>
      <c r="BE81" t="b">
        <f t="shared" si="44"/>
        <v>0</v>
      </c>
      <c r="BF81" t="b">
        <f t="shared" si="45"/>
        <v>0</v>
      </c>
      <c r="BG81">
        <f>IFERROR('Ashed teabags wet'!C79,"")</f>
        <v>41</v>
      </c>
      <c r="BH81">
        <f>IFERROR('Ashed teabags wet'!C496,"")</f>
        <v>83</v>
      </c>
      <c r="BI81">
        <f>'Ashed teabags wet'!AB79</f>
        <v>40</v>
      </c>
      <c r="BJ81" t="str">
        <f>'Ashed teabags wet'!AC79</f>
        <v/>
      </c>
      <c r="BK81" t="str">
        <f>'Ashed teabags wet'!AD496</f>
        <v/>
      </c>
      <c r="BL81">
        <f>'Ashed teabags wet'!AE496</f>
        <v>82</v>
      </c>
      <c r="BN81" t="str">
        <f t="shared" si="46"/>
        <v>G452</v>
      </c>
      <c r="BO81" t="b">
        <f t="shared" si="47"/>
        <v>1</v>
      </c>
      <c r="BP81" s="402"/>
    </row>
    <row r="82" spans="2:68" ht="12" customHeight="1">
      <c r="B82" t="str">
        <f>TBIDry!H154</f>
        <v>G130</v>
      </c>
      <c r="C82" t="str">
        <f>TBIDry!I154</f>
        <v>R270</v>
      </c>
      <c r="D82" s="113" t="b">
        <f t="shared" si="24"/>
        <v>0</v>
      </c>
      <c r="E82" t="b">
        <f t="shared" si="25"/>
        <v>0</v>
      </c>
      <c r="G82" t="str">
        <f>TBIWet!H154</f>
        <v>G217</v>
      </c>
      <c r="H82" t="str">
        <f>TBIWet!I154</f>
        <v>R235</v>
      </c>
      <c r="I82" t="b">
        <f t="shared" si="26"/>
        <v>0</v>
      </c>
      <c r="J82" t="b">
        <f t="shared" si="27"/>
        <v>0</v>
      </c>
      <c r="L82" t="str">
        <f>'Both teabags AfterWet'!A81</f>
        <v>G450</v>
      </c>
      <c r="M82" t="str">
        <f>'Both teabags AfterWet'!A499</f>
        <v>R20</v>
      </c>
      <c r="N82" t="b">
        <f t="shared" si="28"/>
        <v>0</v>
      </c>
      <c r="O82" t="b">
        <f t="shared" si="29"/>
        <v>0</v>
      </c>
      <c r="P82">
        <f>IFERROR('Both teabags AfterWet'!B81,"")</f>
        <v>67</v>
      </c>
      <c r="Q82" t="str">
        <f>'Both teabags AfterWet'!B499</f>
        <v>n.a</v>
      </c>
      <c r="S82" s="401" t="b">
        <f t="shared" si="30"/>
        <v>0</v>
      </c>
      <c r="T82" s="401" t="b">
        <f t="shared" si="31"/>
        <v>0</v>
      </c>
      <c r="V82" t="str">
        <f>'Both teabags AfterDry'!A81</f>
        <v>G197</v>
      </c>
      <c r="W82" t="str">
        <f>'Both teabags AfterDry'!A418</f>
        <v>R298</v>
      </c>
      <c r="X82" t="b">
        <f t="shared" si="32"/>
        <v>0</v>
      </c>
      <c r="Y82" t="b">
        <f t="shared" si="33"/>
        <v>0</v>
      </c>
      <c r="AA82" t="str">
        <f>'Green_rooibos initial weight'!A83</f>
        <v>G79</v>
      </c>
      <c r="AB82" t="str">
        <f>'Green_rooibos initial weight'!A987</f>
        <v>R79</v>
      </c>
      <c r="AC82" t="b">
        <f t="shared" si="34"/>
        <v>0</v>
      </c>
      <c r="AD82" t="b">
        <f t="shared" si="35"/>
        <v>0</v>
      </c>
      <c r="AG82" t="str">
        <f>'WetLitterbags placem_collection'!K81</f>
        <v>G217</v>
      </c>
      <c r="AH82" t="str">
        <f>'WetLitterbags placem_collection'!M81</f>
        <v>R235</v>
      </c>
      <c r="AI82" t="b">
        <f t="shared" si="36"/>
        <v>0</v>
      </c>
      <c r="AJ82" t="b">
        <f t="shared" si="37"/>
        <v>0</v>
      </c>
      <c r="AK82">
        <f>'WetLitterbags placem_collection'!A81</f>
        <v>79</v>
      </c>
      <c r="AL82">
        <f>'WetLitterbags placem_collection'!A81</f>
        <v>79</v>
      </c>
      <c r="AN82">
        <f>IF('Dry_Litterbag Placem_Collection'!J81=0,"",'Dry_Litterbag Placem_Collection'!J81)</f>
        <v>130</v>
      </c>
      <c r="AO82">
        <f>IF('Dry_Litterbag Placem_Collection'!K81=0,"",'Dry_Litterbag Placem_Collection'!K81)</f>
        <v>270</v>
      </c>
      <c r="AP82" t="b">
        <f t="shared" si="38"/>
        <v>0</v>
      </c>
      <c r="AQ82" t="b">
        <f t="shared" si="39"/>
        <v>0</v>
      </c>
      <c r="AT82" t="str">
        <f>'Ashed teabags dry'!A80</f>
        <v>G196</v>
      </c>
      <c r="AU82" t="str">
        <f>'Ashed teabags dry'!A417</f>
        <v>R295</v>
      </c>
      <c r="AV82" t="b">
        <f t="shared" si="40"/>
        <v>0</v>
      </c>
      <c r="AW82" t="b">
        <f t="shared" si="41"/>
        <v>0</v>
      </c>
      <c r="AZ82" s="401" t="b">
        <f t="shared" si="42"/>
        <v>0</v>
      </c>
      <c r="BA82" s="401" t="b">
        <f t="shared" si="43"/>
        <v>0</v>
      </c>
      <c r="BC82" t="str">
        <f>'Ashed teabags wet'!A80</f>
        <v>G454</v>
      </c>
      <c r="BD82" t="str">
        <f>'Ashed teabags wet'!A497</f>
        <v>R222</v>
      </c>
      <c r="BE82" t="b">
        <f t="shared" si="44"/>
        <v>0</v>
      </c>
      <c r="BF82" t="b">
        <f t="shared" si="45"/>
        <v>0</v>
      </c>
      <c r="BG82">
        <f>IFERROR('Ashed teabags wet'!C80,"")</f>
        <v>176</v>
      </c>
      <c r="BH82">
        <f>IFERROR('Ashed teabags wet'!C497,"")</f>
        <v>188</v>
      </c>
      <c r="BI82">
        <f>'Ashed teabags wet'!AB80</f>
        <v>175</v>
      </c>
      <c r="BJ82" t="str">
        <f>'Ashed teabags wet'!AC80</f>
        <v/>
      </c>
      <c r="BK82" t="str">
        <f>'Ashed teabags wet'!AD497</f>
        <v/>
      </c>
      <c r="BL82">
        <f>'Ashed teabags wet'!AE497</f>
        <v>187</v>
      </c>
      <c r="BN82" t="str">
        <f t="shared" si="46"/>
        <v>G453</v>
      </c>
      <c r="BO82" t="b">
        <f t="shared" si="47"/>
        <v>1</v>
      </c>
    </row>
    <row r="83" spans="2:68" ht="12" customHeight="1">
      <c r="B83" t="str">
        <f>TBIDry!H155</f>
        <v>G24</v>
      </c>
      <c r="C83" t="str">
        <f>TBIDry!I155</f>
        <v>R726</v>
      </c>
      <c r="D83" t="b">
        <f t="shared" si="24"/>
        <v>0</v>
      </c>
      <c r="E83" t="b">
        <f t="shared" si="25"/>
        <v>0</v>
      </c>
      <c r="G83" t="str">
        <f>TBIWet!H155</f>
        <v>G607</v>
      </c>
      <c r="H83" t="str">
        <f>TBIWet!I155</f>
        <v>R181</v>
      </c>
      <c r="I83" t="b">
        <f t="shared" si="26"/>
        <v>0</v>
      </c>
      <c r="J83" t="b">
        <f t="shared" si="27"/>
        <v>0</v>
      </c>
      <c r="L83" t="str">
        <f>'Both teabags AfterWet'!A82</f>
        <v>G451</v>
      </c>
      <c r="M83" t="str">
        <f>'Both teabags AfterWet'!A500</f>
        <v>R202</v>
      </c>
      <c r="N83" t="b">
        <f t="shared" si="28"/>
        <v>0</v>
      </c>
      <c r="O83" t="b">
        <f t="shared" si="29"/>
        <v>0</v>
      </c>
      <c r="P83" t="str">
        <f>IFERROR('Both teabags AfterWet'!B82,"")</f>
        <v>n.a</v>
      </c>
      <c r="Q83" t="str">
        <f>'Both teabags AfterWet'!B500</f>
        <v>na</v>
      </c>
      <c r="S83" s="401" t="b">
        <f t="shared" si="30"/>
        <v>0</v>
      </c>
      <c r="T83" s="401" t="b">
        <f t="shared" si="31"/>
        <v>0</v>
      </c>
      <c r="V83" t="str">
        <f>'Both teabags AfterDry'!A82</f>
        <v>G198</v>
      </c>
      <c r="W83" t="str">
        <f>'Both teabags AfterDry'!A419</f>
        <v>R299</v>
      </c>
      <c r="X83" t="b">
        <f t="shared" si="32"/>
        <v>0</v>
      </c>
      <c r="Y83" t="b">
        <f t="shared" si="33"/>
        <v>0</v>
      </c>
      <c r="AA83" t="str">
        <f>'Green_rooibos initial weight'!A84</f>
        <v>G80</v>
      </c>
      <c r="AB83" t="str">
        <f>'Green_rooibos initial weight'!A988</f>
        <v>R80</v>
      </c>
      <c r="AC83" t="b">
        <f t="shared" si="34"/>
        <v>0</v>
      </c>
      <c r="AD83" t="b">
        <f t="shared" si="35"/>
        <v>0</v>
      </c>
      <c r="AG83" t="str">
        <f>'WetLitterbags placem_collection'!K82</f>
        <v>G607</v>
      </c>
      <c r="AH83" t="str">
        <f>'WetLitterbags placem_collection'!M82</f>
        <v>R181</v>
      </c>
      <c r="AI83" t="b">
        <f t="shared" si="36"/>
        <v>0</v>
      </c>
      <c r="AJ83" t="b">
        <f t="shared" si="37"/>
        <v>0</v>
      </c>
      <c r="AK83">
        <f>'WetLitterbags placem_collection'!A82</f>
        <v>80</v>
      </c>
      <c r="AL83">
        <f>'WetLitterbags placem_collection'!A82</f>
        <v>80</v>
      </c>
      <c r="AN83">
        <f>IF('Dry_Litterbag Placem_Collection'!J82=0,"",'Dry_Litterbag Placem_Collection'!J82)</f>
        <v>24</v>
      </c>
      <c r="AO83">
        <f>IF('Dry_Litterbag Placem_Collection'!K82=0,"",'Dry_Litterbag Placem_Collection'!K82)</f>
        <v>726</v>
      </c>
      <c r="AP83" t="b">
        <f t="shared" si="38"/>
        <v>0</v>
      </c>
      <c r="AQ83" t="b">
        <f t="shared" si="39"/>
        <v>0</v>
      </c>
      <c r="AT83" t="str">
        <f>'Ashed teabags dry'!A81</f>
        <v>G197</v>
      </c>
      <c r="AU83" t="str">
        <f>'Ashed teabags dry'!A418</f>
        <v>R297</v>
      </c>
      <c r="AV83" t="b">
        <f t="shared" si="40"/>
        <v>0</v>
      </c>
      <c r="AW83" t="b">
        <f t="shared" si="41"/>
        <v>0</v>
      </c>
      <c r="AZ83" s="401" t="b">
        <f t="shared" si="42"/>
        <v>0</v>
      </c>
      <c r="BA83" s="401" t="b">
        <f t="shared" si="43"/>
        <v>0</v>
      </c>
      <c r="BC83" t="str">
        <f>'Ashed teabags wet'!A81</f>
        <v>G456</v>
      </c>
      <c r="BD83" t="str">
        <f>'Ashed teabags wet'!A498</f>
        <v>R228</v>
      </c>
      <c r="BE83" t="b">
        <f t="shared" si="44"/>
        <v>0</v>
      </c>
      <c r="BF83" t="b">
        <f t="shared" si="45"/>
        <v>0</v>
      </c>
      <c r="BG83">
        <f>IFERROR('Ashed teabags wet'!C81,"")</f>
        <v>23</v>
      </c>
      <c r="BH83">
        <f>IFERROR('Ashed teabags wet'!C498,"")</f>
        <v>77</v>
      </c>
      <c r="BI83" t="str">
        <f>'Ashed teabags wet'!AB81</f>
        <v/>
      </c>
      <c r="BJ83">
        <f>'Ashed teabags wet'!AC81</f>
        <v>22</v>
      </c>
      <c r="BK83" t="str">
        <f>'Ashed teabags wet'!AD498</f>
        <v/>
      </c>
      <c r="BL83">
        <f>'Ashed teabags wet'!AE498</f>
        <v>76</v>
      </c>
      <c r="BN83" t="str">
        <f t="shared" si="46"/>
        <v>G454</v>
      </c>
      <c r="BO83" t="b">
        <f t="shared" si="47"/>
        <v>1</v>
      </c>
    </row>
    <row r="84" spans="2:68" ht="12" customHeight="1">
      <c r="B84" t="str">
        <f>TBIDry!H156</f>
        <v>G312</v>
      </c>
      <c r="C84" t="str">
        <f>TBIDry!I156</f>
        <v>R739</v>
      </c>
      <c r="D84" t="b">
        <f t="shared" si="24"/>
        <v>0</v>
      </c>
      <c r="E84" t="b">
        <f t="shared" si="25"/>
        <v>0</v>
      </c>
      <c r="G84" t="str">
        <f>TBIWet!H156</f>
        <v>G542</v>
      </c>
      <c r="H84" t="str">
        <f>TBIWet!I156</f>
        <v>R187</v>
      </c>
      <c r="I84" t="b">
        <f t="shared" si="26"/>
        <v>0</v>
      </c>
      <c r="J84" t="b">
        <f t="shared" si="27"/>
        <v>0</v>
      </c>
      <c r="L84" t="str">
        <f>'Both teabags AfterWet'!A83</f>
        <v>G452</v>
      </c>
      <c r="M84" t="str">
        <f>'Both teabags AfterWet'!A501</f>
        <v>R21</v>
      </c>
      <c r="N84" t="b">
        <f t="shared" si="28"/>
        <v>0</v>
      </c>
      <c r="O84" t="b">
        <f t="shared" si="29"/>
        <v>0</v>
      </c>
      <c r="P84">
        <f>IFERROR('Both teabags AfterWet'!B83,"")</f>
        <v>7</v>
      </c>
      <c r="Q84">
        <f>'Both teabags AfterWet'!B501</f>
        <v>138</v>
      </c>
      <c r="S84" s="401" t="b">
        <f t="shared" si="30"/>
        <v>0</v>
      </c>
      <c r="T84" s="401" t="b">
        <f t="shared" si="31"/>
        <v>0</v>
      </c>
      <c r="V84" t="str">
        <f>'Both teabags AfterDry'!A83</f>
        <v>G2</v>
      </c>
      <c r="W84" t="str">
        <f>'Both teabags AfterDry'!A420</f>
        <v>R304</v>
      </c>
      <c r="X84" t="b">
        <f t="shared" si="32"/>
        <v>0</v>
      </c>
      <c r="Y84" t="b">
        <f t="shared" si="33"/>
        <v>0</v>
      </c>
      <c r="AA84" t="str">
        <f>'Green_rooibos initial weight'!A85</f>
        <v>G81</v>
      </c>
      <c r="AB84" t="str">
        <f>'Green_rooibos initial weight'!A989</f>
        <v>R81</v>
      </c>
      <c r="AC84" t="b">
        <f t="shared" si="34"/>
        <v>0</v>
      </c>
      <c r="AD84" t="b">
        <f t="shared" si="35"/>
        <v>0</v>
      </c>
      <c r="AG84" t="str">
        <f>'WetLitterbags placem_collection'!K83</f>
        <v>G542</v>
      </c>
      <c r="AH84" t="str">
        <f>'WetLitterbags placem_collection'!M83</f>
        <v>R187</v>
      </c>
      <c r="AI84" t="b">
        <f t="shared" si="36"/>
        <v>0</v>
      </c>
      <c r="AJ84" t="b">
        <f t="shared" si="37"/>
        <v>0</v>
      </c>
      <c r="AK84">
        <f>'WetLitterbags placem_collection'!A83</f>
        <v>81</v>
      </c>
      <c r="AL84">
        <f>'WetLitterbags placem_collection'!A83</f>
        <v>81</v>
      </c>
      <c r="AN84">
        <f>IF('Dry_Litterbag Placem_Collection'!J83=0,"",'Dry_Litterbag Placem_Collection'!J83)</f>
        <v>312</v>
      </c>
      <c r="AO84">
        <f>IF('Dry_Litterbag Placem_Collection'!K83=0,"",'Dry_Litterbag Placem_Collection'!K83)</f>
        <v>739</v>
      </c>
      <c r="AP84" t="b">
        <f t="shared" si="38"/>
        <v>0</v>
      </c>
      <c r="AQ84" t="b">
        <f t="shared" si="39"/>
        <v>0</v>
      </c>
      <c r="AT84" t="str">
        <f>'Ashed teabags dry'!A82</f>
        <v>G198</v>
      </c>
      <c r="AU84" t="str">
        <f>'Ashed teabags dry'!A419</f>
        <v>R298</v>
      </c>
      <c r="AV84" t="b">
        <f t="shared" si="40"/>
        <v>0</v>
      </c>
      <c r="AW84" t="b">
        <f t="shared" si="41"/>
        <v>0</v>
      </c>
      <c r="AZ84" s="401" t="b">
        <f t="shared" si="42"/>
        <v>0</v>
      </c>
      <c r="BA84" s="401" t="b">
        <f t="shared" si="43"/>
        <v>0</v>
      </c>
      <c r="BC84" t="str">
        <f>'Ashed teabags wet'!A82</f>
        <v>G457</v>
      </c>
      <c r="BD84" t="str">
        <f>'Ashed teabags wet'!A499</f>
        <v>R23</v>
      </c>
      <c r="BE84" t="b">
        <f t="shared" si="44"/>
        <v>0</v>
      </c>
      <c r="BF84" t="b">
        <f t="shared" si="45"/>
        <v>0</v>
      </c>
      <c r="BG84">
        <f>IFERROR('Ashed teabags wet'!C82,"")</f>
        <v>175</v>
      </c>
      <c r="BH84">
        <f>IFERROR('Ashed teabags wet'!C499,"")</f>
        <v>59</v>
      </c>
      <c r="BI84">
        <f>'Ashed teabags wet'!AB82</f>
        <v>174</v>
      </c>
      <c r="BJ84" t="str">
        <f>'Ashed teabags wet'!AC82</f>
        <v/>
      </c>
      <c r="BK84">
        <f>'Ashed teabags wet'!AD499</f>
        <v>58</v>
      </c>
      <c r="BL84" t="str">
        <f>'Ashed teabags wet'!AE499</f>
        <v/>
      </c>
      <c r="BN84" t="str">
        <f t="shared" si="46"/>
        <v>G456</v>
      </c>
      <c r="BO84" t="b">
        <f t="shared" si="47"/>
        <v>1</v>
      </c>
    </row>
    <row r="85" spans="2:68" ht="12" customHeight="1">
      <c r="B85" t="str">
        <f>TBIDry!H157</f>
        <v>G356</v>
      </c>
      <c r="C85" t="str">
        <f>TBIDry!I157</f>
        <v>R800</v>
      </c>
      <c r="D85" t="b">
        <f t="shared" si="24"/>
        <v>0</v>
      </c>
      <c r="E85" t="b">
        <f t="shared" si="25"/>
        <v>0</v>
      </c>
      <c r="G85" t="str">
        <f>TBIWet!H157</f>
        <v>G536</v>
      </c>
      <c r="H85" t="str">
        <f>TBIWet!I157</f>
        <v>R83</v>
      </c>
      <c r="I85" t="b">
        <f t="shared" si="26"/>
        <v>0</v>
      </c>
      <c r="J85" t="b">
        <f t="shared" si="27"/>
        <v>0</v>
      </c>
      <c r="L85" t="str">
        <f>'Both teabags AfterWet'!A84</f>
        <v>G453</v>
      </c>
      <c r="M85" t="str">
        <f>'Both teabags AfterWet'!A502</f>
        <v>R215</v>
      </c>
      <c r="N85" t="b">
        <f t="shared" si="28"/>
        <v>0</v>
      </c>
      <c r="O85" t="b">
        <f t="shared" si="29"/>
        <v>0</v>
      </c>
      <c r="P85">
        <f>IFERROR('Both teabags AfterWet'!B84,"")</f>
        <v>41</v>
      </c>
      <c r="Q85" t="str">
        <f>'Both teabags AfterWet'!B502</f>
        <v>n.a</v>
      </c>
      <c r="S85" s="401" t="b">
        <f t="shared" si="30"/>
        <v>0</v>
      </c>
      <c r="T85" s="401" t="b">
        <f t="shared" si="31"/>
        <v>0</v>
      </c>
      <c r="V85" t="str">
        <f>'Both teabags AfterDry'!A84</f>
        <v>G20</v>
      </c>
      <c r="W85" t="str">
        <f>'Both teabags AfterDry'!A421</f>
        <v>R305</v>
      </c>
      <c r="X85" t="b">
        <f t="shared" si="32"/>
        <v>0</v>
      </c>
      <c r="Y85" t="b">
        <f t="shared" si="33"/>
        <v>0</v>
      </c>
      <c r="AA85" t="str">
        <f>'Green_rooibos initial weight'!A86</f>
        <v>G82</v>
      </c>
      <c r="AB85" t="str">
        <f>'Green_rooibos initial weight'!A990</f>
        <v>R82</v>
      </c>
      <c r="AC85" t="b">
        <f t="shared" si="34"/>
        <v>0</v>
      </c>
      <c r="AD85" t="b">
        <f t="shared" si="35"/>
        <v>0</v>
      </c>
      <c r="AG85" t="str">
        <f>'WetLitterbags placem_collection'!K84</f>
        <v>G536</v>
      </c>
      <c r="AH85" t="str">
        <f>'WetLitterbags placem_collection'!M84</f>
        <v>R83</v>
      </c>
      <c r="AI85" t="b">
        <f t="shared" si="36"/>
        <v>0</v>
      </c>
      <c r="AJ85" t="b">
        <f t="shared" si="37"/>
        <v>0</v>
      </c>
      <c r="AK85">
        <f>'WetLitterbags placem_collection'!A84</f>
        <v>82</v>
      </c>
      <c r="AL85">
        <f>'WetLitterbags placem_collection'!A84</f>
        <v>82</v>
      </c>
      <c r="AN85">
        <f>IF('Dry_Litterbag Placem_Collection'!J84=0,"",'Dry_Litterbag Placem_Collection'!J84)</f>
        <v>356</v>
      </c>
      <c r="AO85">
        <f>IF('Dry_Litterbag Placem_Collection'!K84=0,"",'Dry_Litterbag Placem_Collection'!K84)</f>
        <v>800</v>
      </c>
      <c r="AP85" t="b">
        <f t="shared" si="38"/>
        <v>0</v>
      </c>
      <c r="AQ85" t="b">
        <f t="shared" si="39"/>
        <v>0</v>
      </c>
      <c r="AT85" t="str">
        <f>'Ashed teabags dry'!A83</f>
        <v>G2</v>
      </c>
      <c r="AU85" t="str">
        <f>'Ashed teabags dry'!A420</f>
        <v>R299</v>
      </c>
      <c r="AV85" t="b">
        <f t="shared" si="40"/>
        <v>0</v>
      </c>
      <c r="AW85" t="b">
        <f t="shared" si="41"/>
        <v>0</v>
      </c>
      <c r="AZ85" s="401" t="b">
        <f t="shared" si="42"/>
        <v>0</v>
      </c>
      <c r="BA85" s="401" t="b">
        <f t="shared" si="43"/>
        <v>0</v>
      </c>
      <c r="BC85" t="str">
        <f>'Ashed teabags wet'!A83</f>
        <v>G458</v>
      </c>
      <c r="BD85" t="str">
        <f>'Ashed teabags wet'!A500</f>
        <v>R232</v>
      </c>
      <c r="BE85" t="b">
        <f t="shared" si="44"/>
        <v>0</v>
      </c>
      <c r="BF85" t="b">
        <f t="shared" si="45"/>
        <v>0</v>
      </c>
      <c r="BG85">
        <f>IFERROR('Ashed teabags wet'!C83,"")</f>
        <v>181</v>
      </c>
      <c r="BH85">
        <f>IFERROR('Ashed teabags wet'!C500,"")</f>
        <v>190</v>
      </c>
      <c r="BI85">
        <f>'Ashed teabags wet'!AB83</f>
        <v>180</v>
      </c>
      <c r="BJ85" t="str">
        <f>'Ashed teabags wet'!AC83</f>
        <v/>
      </c>
      <c r="BK85" t="str">
        <f>'Ashed teabags wet'!AD500</f>
        <v/>
      </c>
      <c r="BL85">
        <f>'Ashed teabags wet'!AE500</f>
        <v>189</v>
      </c>
      <c r="BN85" t="str">
        <f t="shared" si="46"/>
        <v>G457</v>
      </c>
      <c r="BO85" t="b">
        <f t="shared" si="47"/>
        <v>1</v>
      </c>
    </row>
    <row r="86" spans="2:68" ht="12" customHeight="1">
      <c r="B86" t="str">
        <f>TBIDry!H158</f>
        <v>G331</v>
      </c>
      <c r="C86" t="str">
        <f>TBIDry!I158</f>
        <v>R764</v>
      </c>
      <c r="D86" t="b">
        <f t="shared" si="24"/>
        <v>0</v>
      </c>
      <c r="E86" t="b">
        <f t="shared" si="25"/>
        <v>0</v>
      </c>
      <c r="G86" t="str">
        <f>TBIWet!H158</f>
        <v>G494</v>
      </c>
      <c r="H86" t="str">
        <f>TBIWet!I158</f>
        <v>R134</v>
      </c>
      <c r="I86" t="b">
        <f t="shared" si="26"/>
        <v>0</v>
      </c>
      <c r="J86" t="b">
        <f t="shared" si="27"/>
        <v>0</v>
      </c>
      <c r="L86" t="str">
        <f>'Both teabags AfterWet'!A85</f>
        <v>G454</v>
      </c>
      <c r="M86" t="str">
        <f>'Both teabags AfterWet'!A503</f>
        <v>R216</v>
      </c>
      <c r="N86" t="b">
        <f t="shared" si="28"/>
        <v>0</v>
      </c>
      <c r="O86" t="b">
        <f t="shared" si="29"/>
        <v>0</v>
      </c>
      <c r="P86">
        <f>IFERROR('Both teabags AfterWet'!B85,"")</f>
        <v>176</v>
      </c>
      <c r="Q86">
        <f>'Both teabags AfterWet'!B503</f>
        <v>189</v>
      </c>
      <c r="S86" s="401" t="b">
        <f t="shared" si="30"/>
        <v>0</v>
      </c>
      <c r="T86" s="401" t="b">
        <f t="shared" si="31"/>
        <v>0</v>
      </c>
      <c r="V86" t="str">
        <f>'Both teabags AfterDry'!A85</f>
        <v>G200</v>
      </c>
      <c r="W86" t="str">
        <f>'Both teabags AfterDry'!A422</f>
        <v>R306</v>
      </c>
      <c r="X86" t="b">
        <f t="shared" si="32"/>
        <v>0</v>
      </c>
      <c r="Y86" t="b">
        <f t="shared" si="33"/>
        <v>0</v>
      </c>
      <c r="AA86" t="str">
        <f>'Green_rooibos initial weight'!A87</f>
        <v>G83</v>
      </c>
      <c r="AB86" t="str">
        <f>'Green_rooibos initial weight'!A991</f>
        <v>R83</v>
      </c>
      <c r="AC86" t="b">
        <f t="shared" si="34"/>
        <v>0</v>
      </c>
      <c r="AD86" t="b">
        <f t="shared" si="35"/>
        <v>0</v>
      </c>
      <c r="AG86" t="str">
        <f>'WetLitterbags placem_collection'!K85</f>
        <v>G494</v>
      </c>
      <c r="AH86" t="str">
        <f>'WetLitterbags placem_collection'!M85</f>
        <v>R134</v>
      </c>
      <c r="AI86" t="b">
        <f t="shared" si="36"/>
        <v>0</v>
      </c>
      <c r="AJ86" t="b">
        <f t="shared" si="37"/>
        <v>0</v>
      </c>
      <c r="AK86">
        <f>'WetLitterbags placem_collection'!A85</f>
        <v>83</v>
      </c>
      <c r="AL86">
        <f>'WetLitterbags placem_collection'!A85</f>
        <v>83</v>
      </c>
      <c r="AN86">
        <f>IF('Dry_Litterbag Placem_Collection'!J85=0,"",'Dry_Litterbag Placem_Collection'!J85)</f>
        <v>331</v>
      </c>
      <c r="AO86">
        <f>IF('Dry_Litterbag Placem_Collection'!K85=0,"",'Dry_Litterbag Placem_Collection'!K85)</f>
        <v>764</v>
      </c>
      <c r="AP86" t="b">
        <f t="shared" si="38"/>
        <v>0</v>
      </c>
      <c r="AQ86" t="b">
        <f t="shared" si="39"/>
        <v>0</v>
      </c>
      <c r="AT86" t="str">
        <f>'Ashed teabags dry'!A84</f>
        <v>G20</v>
      </c>
      <c r="AU86" t="str">
        <f>'Ashed teabags dry'!A421</f>
        <v>R304</v>
      </c>
      <c r="AV86" t="b">
        <f t="shared" si="40"/>
        <v>0</v>
      </c>
      <c r="AW86" t="b">
        <f t="shared" si="41"/>
        <v>0</v>
      </c>
      <c r="AZ86" s="401" t="b">
        <f t="shared" si="42"/>
        <v>0</v>
      </c>
      <c r="BA86" s="401" t="b">
        <f t="shared" si="43"/>
        <v>0</v>
      </c>
      <c r="BC86" t="str">
        <f>'Ashed teabags wet'!A84</f>
        <v>G459</v>
      </c>
      <c r="BD86" t="str">
        <f>'Ashed teabags wet'!A501</f>
        <v>R234</v>
      </c>
      <c r="BE86" t="b">
        <f t="shared" si="44"/>
        <v>0</v>
      </c>
      <c r="BF86" t="b">
        <f t="shared" si="45"/>
        <v>0</v>
      </c>
      <c r="BG86">
        <f>IFERROR('Ashed teabags wet'!C84,"")</f>
        <v>71</v>
      </c>
      <c r="BH86">
        <f>IFERROR('Ashed teabags wet'!C501,"")</f>
        <v>206</v>
      </c>
      <c r="BI86" t="str">
        <f>'Ashed teabags wet'!AB84</f>
        <v/>
      </c>
      <c r="BJ86">
        <f>'Ashed teabags wet'!AC84</f>
        <v>70</v>
      </c>
      <c r="BK86">
        <f>'Ashed teabags wet'!AD501</f>
        <v>205</v>
      </c>
      <c r="BL86" t="str">
        <f>'Ashed teabags wet'!AE501</f>
        <v/>
      </c>
      <c r="BN86" t="str">
        <f t="shared" si="46"/>
        <v>G458</v>
      </c>
      <c r="BO86" t="b">
        <f t="shared" si="47"/>
        <v>1</v>
      </c>
    </row>
    <row r="87" spans="2:68" ht="12" customHeight="1">
      <c r="B87" t="str">
        <f>TBIDry!H159</f>
        <v>G101</v>
      </c>
      <c r="C87" t="str">
        <f>TBIDry!I159</f>
        <v>R778</v>
      </c>
      <c r="D87" t="b">
        <f t="shared" si="24"/>
        <v>0</v>
      </c>
      <c r="E87" t="b">
        <f t="shared" si="25"/>
        <v>0</v>
      </c>
      <c r="G87" t="str">
        <f>TBIWet!H159</f>
        <v>G291</v>
      </c>
      <c r="H87" t="str">
        <f>TBIWet!I159</f>
        <v>R49</v>
      </c>
      <c r="I87" t="b">
        <f t="shared" si="26"/>
        <v>0</v>
      </c>
      <c r="J87" t="b">
        <f t="shared" si="27"/>
        <v>0</v>
      </c>
      <c r="L87" t="str">
        <f>'Both teabags AfterWet'!A86</f>
        <v>G456</v>
      </c>
      <c r="M87" t="str">
        <f>'Both teabags AfterWet'!A504</f>
        <v>R217</v>
      </c>
      <c r="N87" t="b">
        <f t="shared" si="28"/>
        <v>0</v>
      </c>
      <c r="O87" t="b">
        <f t="shared" si="29"/>
        <v>0</v>
      </c>
      <c r="P87">
        <f>IFERROR('Both teabags AfterWet'!B86,"")</f>
        <v>23</v>
      </c>
      <c r="Q87" t="str">
        <f>'Both teabags AfterWet'!B504</f>
        <v>n.a</v>
      </c>
      <c r="S87" s="401" t="b">
        <f t="shared" si="30"/>
        <v>0</v>
      </c>
      <c r="T87" s="401" t="b">
        <f t="shared" si="31"/>
        <v>0</v>
      </c>
      <c r="V87" t="str">
        <f>'Both teabags AfterDry'!A86</f>
        <v>G204</v>
      </c>
      <c r="W87" t="str">
        <f>'Both teabags AfterDry'!A423</f>
        <v>R310</v>
      </c>
      <c r="X87" t="b">
        <f t="shared" si="32"/>
        <v>0</v>
      </c>
      <c r="Y87" t="b">
        <f t="shared" si="33"/>
        <v>0</v>
      </c>
      <c r="AA87" t="str">
        <f>'Green_rooibos initial weight'!A88</f>
        <v>G84</v>
      </c>
      <c r="AB87" t="str">
        <f>'Green_rooibos initial weight'!A992</f>
        <v>R84</v>
      </c>
      <c r="AC87" t="b">
        <f t="shared" si="34"/>
        <v>0</v>
      </c>
      <c r="AD87" t="b">
        <f t="shared" si="35"/>
        <v>0</v>
      </c>
      <c r="AG87" t="str">
        <f>'WetLitterbags placem_collection'!K86</f>
        <v>G291</v>
      </c>
      <c r="AH87" t="str">
        <f>'WetLitterbags placem_collection'!M86</f>
        <v>R49</v>
      </c>
      <c r="AI87" t="b">
        <f t="shared" si="36"/>
        <v>0</v>
      </c>
      <c r="AJ87" t="b">
        <f t="shared" si="37"/>
        <v>0</v>
      </c>
      <c r="AK87">
        <f>'WetLitterbags placem_collection'!A86</f>
        <v>84</v>
      </c>
      <c r="AL87">
        <f>'WetLitterbags placem_collection'!A86</f>
        <v>84</v>
      </c>
      <c r="AN87">
        <f>IF('Dry_Litterbag Placem_Collection'!J86=0,"",'Dry_Litterbag Placem_Collection'!J86)</f>
        <v>101</v>
      </c>
      <c r="AO87">
        <f>IF('Dry_Litterbag Placem_Collection'!K86=0,"",'Dry_Litterbag Placem_Collection'!K86)</f>
        <v>778</v>
      </c>
      <c r="AP87" t="b">
        <f t="shared" si="38"/>
        <v>0</v>
      </c>
      <c r="AQ87" t="b">
        <f t="shared" si="39"/>
        <v>0</v>
      </c>
      <c r="AT87" t="str">
        <f>'Ashed teabags dry'!A85</f>
        <v>G200</v>
      </c>
      <c r="AU87" t="str">
        <f>'Ashed teabags dry'!A422</f>
        <v>R305</v>
      </c>
      <c r="AV87" t="b">
        <f t="shared" si="40"/>
        <v>0</v>
      </c>
      <c r="AW87" t="b">
        <f t="shared" si="41"/>
        <v>0</v>
      </c>
      <c r="AZ87" s="401" t="b">
        <f t="shared" si="42"/>
        <v>0</v>
      </c>
      <c r="BA87" s="401" t="b">
        <f t="shared" si="43"/>
        <v>0</v>
      </c>
      <c r="BC87" t="str">
        <f>'Ashed teabags wet'!A85</f>
        <v>G460</v>
      </c>
      <c r="BD87" t="str">
        <f>'Ashed teabags wet'!A502</f>
        <v>R235</v>
      </c>
      <c r="BE87" t="b">
        <f t="shared" si="44"/>
        <v>0</v>
      </c>
      <c r="BF87" t="b">
        <f t="shared" si="45"/>
        <v>0</v>
      </c>
      <c r="BG87">
        <f>IFERROR('Ashed teabags wet'!C85,"")</f>
        <v>78</v>
      </c>
      <c r="BH87">
        <f>IFERROR('Ashed teabags wet'!C502,"")</f>
        <v>79</v>
      </c>
      <c r="BI87">
        <f>'Ashed teabags wet'!AB85</f>
        <v>77</v>
      </c>
      <c r="BJ87" t="str">
        <f>'Ashed teabags wet'!AC85</f>
        <v/>
      </c>
      <c r="BK87">
        <f>'Ashed teabags wet'!AD502</f>
        <v>78</v>
      </c>
      <c r="BL87" t="str">
        <f>'Ashed teabags wet'!AE502</f>
        <v/>
      </c>
      <c r="BN87" t="str">
        <f t="shared" si="46"/>
        <v>G459</v>
      </c>
      <c r="BO87" t="b">
        <f t="shared" si="47"/>
        <v>1</v>
      </c>
    </row>
    <row r="88" spans="2:68" ht="12" customHeight="1">
      <c r="B88" t="str">
        <f>TBIDry!H160</f>
        <v/>
      </c>
      <c r="C88" t="str">
        <f>TBIDry!I160</f>
        <v/>
      </c>
      <c r="D88" t="b">
        <f t="shared" si="24"/>
        <v>1</v>
      </c>
      <c r="E88" t="b">
        <f t="shared" si="25"/>
        <v>1</v>
      </c>
      <c r="G88" t="str">
        <f>TBIWet!H160</f>
        <v>G308</v>
      </c>
      <c r="H88" t="str">
        <f>TBIWet!I160</f>
        <v>R315</v>
      </c>
      <c r="I88" t="b">
        <f t="shared" si="26"/>
        <v>0</v>
      </c>
      <c r="J88" t="b">
        <f t="shared" si="27"/>
        <v>0</v>
      </c>
      <c r="L88" t="str">
        <f>'Both teabags AfterWet'!A87</f>
        <v>G457</v>
      </c>
      <c r="M88" t="str">
        <f>'Both teabags AfterWet'!A505</f>
        <v>R218</v>
      </c>
      <c r="N88" t="b">
        <f t="shared" si="28"/>
        <v>0</v>
      </c>
      <c r="O88" t="b">
        <f t="shared" si="29"/>
        <v>0</v>
      </c>
      <c r="P88">
        <f>IFERROR('Both teabags AfterWet'!B87,"")</f>
        <v>175</v>
      </c>
      <c r="Q88">
        <f>'Both teabags AfterWet'!B505</f>
        <v>201</v>
      </c>
      <c r="S88" s="401" t="b">
        <f t="shared" si="30"/>
        <v>0</v>
      </c>
      <c r="T88" s="401" t="b">
        <f t="shared" si="31"/>
        <v>0</v>
      </c>
      <c r="V88" t="str">
        <f>'Both teabags AfterDry'!A87</f>
        <v>G205</v>
      </c>
      <c r="W88" t="str">
        <f>'Both teabags AfterDry'!A424</f>
        <v>R313</v>
      </c>
      <c r="X88" t="b">
        <f t="shared" si="32"/>
        <v>0</v>
      </c>
      <c r="Y88" t="b">
        <f t="shared" si="33"/>
        <v>0</v>
      </c>
      <c r="AA88" t="str">
        <f>'Green_rooibos initial weight'!A89</f>
        <v>G85</v>
      </c>
      <c r="AB88" t="str">
        <f>'Green_rooibos initial weight'!A993</f>
        <v>R85</v>
      </c>
      <c r="AC88" t="b">
        <f t="shared" si="34"/>
        <v>0</v>
      </c>
      <c r="AD88" t="b">
        <f t="shared" si="35"/>
        <v>0</v>
      </c>
      <c r="AG88" t="str">
        <f>'WetLitterbags placem_collection'!K87</f>
        <v>G308</v>
      </c>
      <c r="AH88" t="str">
        <f>'WetLitterbags placem_collection'!M87</f>
        <v>R315</v>
      </c>
      <c r="AI88" t="b">
        <f t="shared" si="36"/>
        <v>0</v>
      </c>
      <c r="AJ88" t="b">
        <f t="shared" si="37"/>
        <v>0</v>
      </c>
      <c r="AK88">
        <f>'WetLitterbags placem_collection'!A87</f>
        <v>85</v>
      </c>
      <c r="AL88">
        <f>'WetLitterbags placem_collection'!A87</f>
        <v>85</v>
      </c>
      <c r="AN88" t="str">
        <f>IF('Dry_Litterbag Placem_Collection'!J87=0,"",'Dry_Litterbag Placem_Collection'!J87)</f>
        <v/>
      </c>
      <c r="AO88" t="str">
        <f>IF('Dry_Litterbag Placem_Collection'!K87=0,"",'Dry_Litterbag Placem_Collection'!K87)</f>
        <v/>
      </c>
      <c r="AP88" t="b">
        <f t="shared" si="38"/>
        <v>1</v>
      </c>
      <c r="AQ88" t="b">
        <f t="shared" si="39"/>
        <v>1</v>
      </c>
      <c r="AT88" t="str">
        <f>'Ashed teabags dry'!A86</f>
        <v>G204</v>
      </c>
      <c r="AU88" t="str">
        <f>'Ashed teabags dry'!A423</f>
        <v>R306</v>
      </c>
      <c r="AV88" t="b">
        <f t="shared" si="40"/>
        <v>0</v>
      </c>
      <c r="AW88" t="b">
        <f t="shared" si="41"/>
        <v>0</v>
      </c>
      <c r="AZ88" s="401" t="b">
        <f t="shared" si="42"/>
        <v>0</v>
      </c>
      <c r="BA88" s="401" t="b">
        <f t="shared" si="43"/>
        <v>0</v>
      </c>
      <c r="BC88" t="str">
        <f>'Ashed teabags wet'!A86</f>
        <v>G461</v>
      </c>
      <c r="BD88" t="str">
        <f>'Ashed teabags wet'!A503</f>
        <v>R24</v>
      </c>
      <c r="BE88" t="b">
        <f t="shared" si="44"/>
        <v>0</v>
      </c>
      <c r="BF88" t="b">
        <f t="shared" si="45"/>
        <v>0</v>
      </c>
      <c r="BG88">
        <f>IFERROR('Ashed teabags wet'!C86,"")</f>
        <v>168</v>
      </c>
      <c r="BH88">
        <f>IFERROR('Ashed teabags wet'!C503,"")</f>
        <v>34</v>
      </c>
      <c r="BI88">
        <f>'Ashed teabags wet'!AB86</f>
        <v>167</v>
      </c>
      <c r="BJ88" t="str">
        <f>'Ashed teabags wet'!AC86</f>
        <v/>
      </c>
      <c r="BK88" t="str">
        <f>'Ashed teabags wet'!AD503</f>
        <v/>
      </c>
      <c r="BL88">
        <f>'Ashed teabags wet'!AE503</f>
        <v>33</v>
      </c>
      <c r="BN88" t="str">
        <f t="shared" si="46"/>
        <v>G460</v>
      </c>
      <c r="BO88" t="b">
        <f t="shared" si="47"/>
        <v>1</v>
      </c>
    </row>
    <row r="89" spans="2:68" ht="12" customHeight="1">
      <c r="B89" t="str">
        <f>TBIDry!H161</f>
        <v>G31</v>
      </c>
      <c r="C89" t="str">
        <f>TBIDry!I161</f>
        <v>R738</v>
      </c>
      <c r="D89" t="b">
        <f t="shared" si="24"/>
        <v>0</v>
      </c>
      <c r="E89" t="b">
        <f t="shared" si="25"/>
        <v>0</v>
      </c>
      <c r="G89" t="str">
        <f>TBIWet!H161</f>
        <v>G723</v>
      </c>
      <c r="H89" t="str">
        <f>TBIWet!I161</f>
        <v>R1</v>
      </c>
      <c r="I89" t="b">
        <f t="shared" si="26"/>
        <v>0</v>
      </c>
      <c r="J89" t="b">
        <f t="shared" si="27"/>
        <v>0</v>
      </c>
      <c r="L89" t="str">
        <f>'Both teabags AfterWet'!A88</f>
        <v>G458</v>
      </c>
      <c r="M89" t="str">
        <f>'Both teabags AfterWet'!A506</f>
        <v>R219</v>
      </c>
      <c r="N89" t="b">
        <f t="shared" si="28"/>
        <v>0</v>
      </c>
      <c r="O89" t="b">
        <f t="shared" si="29"/>
        <v>0</v>
      </c>
      <c r="P89" t="str">
        <f>IFERROR('Both teabags AfterWet'!B88,"")</f>
        <v>na</v>
      </c>
      <c r="Q89" t="str">
        <f>'Both teabags AfterWet'!B506</f>
        <v>na</v>
      </c>
      <c r="S89" s="401" t="b">
        <f t="shared" si="30"/>
        <v>0</v>
      </c>
      <c r="T89" s="401" t="b">
        <f t="shared" si="31"/>
        <v>0</v>
      </c>
      <c r="V89" t="str">
        <f>'Both teabags AfterDry'!A88</f>
        <v>G206</v>
      </c>
      <c r="W89" t="str">
        <f>'Both teabags AfterDry'!A425</f>
        <v>R314</v>
      </c>
      <c r="X89" t="b">
        <f t="shared" si="32"/>
        <v>0</v>
      </c>
      <c r="Y89" t="b">
        <f t="shared" si="33"/>
        <v>0</v>
      </c>
      <c r="AA89" t="str">
        <f>'Green_rooibos initial weight'!A90</f>
        <v>G86</v>
      </c>
      <c r="AB89" t="str">
        <f>'Green_rooibos initial weight'!A994</f>
        <v>R86</v>
      </c>
      <c r="AC89" t="b">
        <f t="shared" si="34"/>
        <v>0</v>
      </c>
      <c r="AD89" t="b">
        <f t="shared" si="35"/>
        <v>0</v>
      </c>
      <c r="AG89" t="str">
        <f>'WetLitterbags placem_collection'!K88</f>
        <v>G723</v>
      </c>
      <c r="AH89" t="str">
        <f>'WetLitterbags placem_collection'!M88</f>
        <v>R1</v>
      </c>
      <c r="AI89" t="b">
        <f t="shared" si="36"/>
        <v>0</v>
      </c>
      <c r="AJ89" t="b">
        <f t="shared" si="37"/>
        <v>0</v>
      </c>
      <c r="AK89">
        <f>'WetLitterbags placem_collection'!A88</f>
        <v>86</v>
      </c>
      <c r="AL89">
        <f>'WetLitterbags placem_collection'!A88</f>
        <v>86</v>
      </c>
      <c r="AN89">
        <f>IF('Dry_Litterbag Placem_Collection'!J88=0,"",'Dry_Litterbag Placem_Collection'!J88)</f>
        <v>31</v>
      </c>
      <c r="AO89">
        <f>IF('Dry_Litterbag Placem_Collection'!K88=0,"",'Dry_Litterbag Placem_Collection'!K88)</f>
        <v>738</v>
      </c>
      <c r="AP89" t="b">
        <f t="shared" si="38"/>
        <v>0</v>
      </c>
      <c r="AQ89" t="b">
        <f t="shared" si="39"/>
        <v>0</v>
      </c>
      <c r="AT89" t="str">
        <f>'Ashed teabags dry'!A87</f>
        <v>G205</v>
      </c>
      <c r="AU89" t="str">
        <f>'Ashed teabags dry'!A424</f>
        <v>R310</v>
      </c>
      <c r="AV89" t="b">
        <f t="shared" si="40"/>
        <v>0</v>
      </c>
      <c r="AW89" t="b">
        <f t="shared" si="41"/>
        <v>0</v>
      </c>
      <c r="AZ89" s="401" t="b">
        <f t="shared" si="42"/>
        <v>0</v>
      </c>
      <c r="BA89" s="401" t="b">
        <f t="shared" si="43"/>
        <v>0</v>
      </c>
      <c r="BC89" t="str">
        <f>'Ashed teabags wet'!A87</f>
        <v>G462</v>
      </c>
      <c r="BD89" t="str">
        <f>'Ashed teabags wet'!A504</f>
        <v>R241</v>
      </c>
      <c r="BE89" t="b">
        <f t="shared" si="44"/>
        <v>0</v>
      </c>
      <c r="BF89" t="b">
        <f t="shared" si="45"/>
        <v>0</v>
      </c>
      <c r="BG89">
        <f>IFERROR('Ashed teabags wet'!C87,"")</f>
        <v>198</v>
      </c>
      <c r="BH89">
        <f>IFERROR('Ashed teabags wet'!C504,"")</f>
        <v>216</v>
      </c>
      <c r="BI89" t="str">
        <f>'Ashed teabags wet'!AB87</f>
        <v/>
      </c>
      <c r="BJ89">
        <f>'Ashed teabags wet'!AC87</f>
        <v>197</v>
      </c>
      <c r="BK89">
        <f>'Ashed teabags wet'!AD504</f>
        <v>215</v>
      </c>
      <c r="BL89" t="str">
        <f>'Ashed teabags wet'!AE504</f>
        <v/>
      </c>
      <c r="BN89" t="str">
        <f t="shared" si="46"/>
        <v>G461</v>
      </c>
      <c r="BO89" t="b">
        <f t="shared" si="47"/>
        <v>1</v>
      </c>
    </row>
    <row r="90" spans="2:68" ht="12" customHeight="1">
      <c r="B90" t="str">
        <f>TBIDry!H162</f>
        <v>G220</v>
      </c>
      <c r="C90" t="str">
        <f>TBIDry!I162</f>
        <v>R394</v>
      </c>
      <c r="D90" t="b">
        <f t="shared" si="24"/>
        <v>0</v>
      </c>
      <c r="E90" t="b">
        <f t="shared" si="25"/>
        <v>0</v>
      </c>
      <c r="G90" t="str">
        <f>TBIWet!H162</f>
        <v>G628</v>
      </c>
      <c r="H90" t="str">
        <f>TBIWet!I162</f>
        <v>R408</v>
      </c>
      <c r="I90" t="b">
        <f t="shared" si="26"/>
        <v>0</v>
      </c>
      <c r="J90" t="b">
        <f t="shared" si="27"/>
        <v>0</v>
      </c>
      <c r="L90" t="str">
        <f>'Both teabags AfterWet'!A89</f>
        <v>G459</v>
      </c>
      <c r="M90" t="str">
        <f>'Both teabags AfterWet'!A507</f>
        <v>R22</v>
      </c>
      <c r="N90" t="b">
        <f t="shared" si="28"/>
        <v>0</v>
      </c>
      <c r="O90" t="b">
        <f t="shared" si="29"/>
        <v>0</v>
      </c>
      <c r="P90" t="str">
        <f>IFERROR('Both teabags AfterWet'!B89,"")</f>
        <v>n.a</v>
      </c>
      <c r="Q90">
        <f>'Both teabags AfterWet'!B507</f>
        <v>83</v>
      </c>
      <c r="S90" s="401" t="b">
        <f t="shared" si="30"/>
        <v>0</v>
      </c>
      <c r="T90" s="401" t="b">
        <f t="shared" si="31"/>
        <v>0</v>
      </c>
      <c r="V90" t="str">
        <f>'Both teabags AfterDry'!A89</f>
        <v>G207</v>
      </c>
      <c r="W90" t="str">
        <f>'Both teabags AfterDry'!A426</f>
        <v>R320</v>
      </c>
      <c r="X90" t="b">
        <f t="shared" si="32"/>
        <v>0</v>
      </c>
      <c r="Y90" t="b">
        <f t="shared" si="33"/>
        <v>0</v>
      </c>
      <c r="AA90" t="str">
        <f>'Green_rooibos initial weight'!A91</f>
        <v>G87</v>
      </c>
      <c r="AB90" t="str">
        <f>'Green_rooibos initial weight'!A995</f>
        <v>R87</v>
      </c>
      <c r="AC90" t="b">
        <f t="shared" si="34"/>
        <v>0</v>
      </c>
      <c r="AD90" t="b">
        <f t="shared" si="35"/>
        <v>0</v>
      </c>
      <c r="AG90" t="str">
        <f>'WetLitterbags placem_collection'!K89</f>
        <v>G628</v>
      </c>
      <c r="AH90" t="str">
        <f>'WetLitterbags placem_collection'!M89</f>
        <v>R408</v>
      </c>
      <c r="AI90" t="b">
        <f t="shared" si="36"/>
        <v>0</v>
      </c>
      <c r="AJ90" t="b">
        <f t="shared" si="37"/>
        <v>0</v>
      </c>
      <c r="AK90">
        <f>'WetLitterbags placem_collection'!A89</f>
        <v>87</v>
      </c>
      <c r="AL90">
        <f>'WetLitterbags placem_collection'!A89</f>
        <v>87</v>
      </c>
      <c r="AN90">
        <f>IF('Dry_Litterbag Placem_Collection'!J89=0,"",'Dry_Litterbag Placem_Collection'!J89)</f>
        <v>220</v>
      </c>
      <c r="AO90">
        <f>IF('Dry_Litterbag Placem_Collection'!K89=0,"",'Dry_Litterbag Placem_Collection'!K89)</f>
        <v>394</v>
      </c>
      <c r="AP90" t="b">
        <f t="shared" si="38"/>
        <v>0</v>
      </c>
      <c r="AQ90" t="b">
        <f t="shared" si="39"/>
        <v>0</v>
      </c>
      <c r="AT90" t="str">
        <f>'Ashed teabags dry'!A88</f>
        <v>G206</v>
      </c>
      <c r="AU90" t="str">
        <f>'Ashed teabags dry'!A425</f>
        <v>R313</v>
      </c>
      <c r="AV90" t="b">
        <f t="shared" si="40"/>
        <v>0</v>
      </c>
      <c r="AW90" t="b">
        <f t="shared" si="41"/>
        <v>0</v>
      </c>
      <c r="AZ90" s="401" t="b">
        <f t="shared" si="42"/>
        <v>0</v>
      </c>
      <c r="BA90" s="401" t="b">
        <f t="shared" si="43"/>
        <v>0</v>
      </c>
      <c r="BC90" t="str">
        <f>'Ashed teabags wet'!A88</f>
        <v>G469</v>
      </c>
      <c r="BD90" t="str">
        <f>'Ashed teabags wet'!A505</f>
        <v>R25</v>
      </c>
      <c r="BE90" t="b">
        <f t="shared" si="44"/>
        <v>0</v>
      </c>
      <c r="BF90" s="113" t="b">
        <f t="shared" si="45"/>
        <v>1</v>
      </c>
      <c r="BG90">
        <f>IFERROR('Ashed teabags wet'!C88,"")</f>
        <v>89</v>
      </c>
      <c r="BH90">
        <f>IFERROR('Ashed teabags wet'!C505,"")</f>
        <v>195</v>
      </c>
      <c r="BI90" t="str">
        <f>'Ashed teabags wet'!AB88</f>
        <v/>
      </c>
      <c r="BJ90">
        <f>'Ashed teabags wet'!AC88</f>
        <v>88</v>
      </c>
      <c r="BK90" t="str">
        <f>'Ashed teabags wet'!AD505</f>
        <v/>
      </c>
      <c r="BL90">
        <f>'Ashed teabags wet'!AE505</f>
        <v>194</v>
      </c>
      <c r="BN90" t="str">
        <f t="shared" si="46"/>
        <v>G462</v>
      </c>
      <c r="BO90" t="b">
        <f t="shared" si="47"/>
        <v>1</v>
      </c>
    </row>
    <row r="91" spans="2:68" ht="12" customHeight="1">
      <c r="B91" t="str">
        <f>TBIDry!H163</f>
        <v>G531</v>
      </c>
      <c r="C91" t="str">
        <f>TBIDry!I163</f>
        <v>R819</v>
      </c>
      <c r="D91" t="b">
        <f t="shared" si="24"/>
        <v>0</v>
      </c>
      <c r="E91" s="113" t="b">
        <f t="shared" si="25"/>
        <v>1</v>
      </c>
      <c r="G91" t="str">
        <f>TBIWet!H163</f>
        <v>G569</v>
      </c>
      <c r="H91" t="str">
        <f>TBIWet!I163</f>
        <v>R385</v>
      </c>
      <c r="I91" t="b">
        <f t="shared" si="26"/>
        <v>0</v>
      </c>
      <c r="J91" t="b">
        <f t="shared" si="27"/>
        <v>0</v>
      </c>
      <c r="L91" t="str">
        <f>'Both teabags AfterWet'!A90</f>
        <v>G460</v>
      </c>
      <c r="M91" t="str">
        <f>'Both teabags AfterWet'!A508</f>
        <v>R222</v>
      </c>
      <c r="N91" t="b">
        <f t="shared" si="28"/>
        <v>0</v>
      </c>
      <c r="O91" t="b">
        <f t="shared" si="29"/>
        <v>0</v>
      </c>
      <c r="P91" t="str">
        <f>IFERROR('Both teabags AfterWet'!B90,"")</f>
        <v>n.a</v>
      </c>
      <c r="Q91" t="str">
        <f>'Both teabags AfterWet'!B508</f>
        <v>n.a</v>
      </c>
      <c r="S91" s="401" t="b">
        <f t="shared" si="30"/>
        <v>0</v>
      </c>
      <c r="T91" s="401" t="b">
        <f t="shared" si="31"/>
        <v>0</v>
      </c>
      <c r="V91" t="str">
        <f>'Both teabags AfterDry'!A90</f>
        <v>G209</v>
      </c>
      <c r="W91" t="str">
        <f>'Both teabags AfterDry'!A427</f>
        <v>R321</v>
      </c>
      <c r="X91" t="b">
        <f t="shared" si="32"/>
        <v>0</v>
      </c>
      <c r="Y91" t="b">
        <f t="shared" si="33"/>
        <v>0</v>
      </c>
      <c r="AA91" t="str">
        <f>'Green_rooibos initial weight'!A92</f>
        <v>G88</v>
      </c>
      <c r="AB91" t="str">
        <f>'Green_rooibos initial weight'!A996</f>
        <v>R88</v>
      </c>
      <c r="AC91" t="b">
        <f t="shared" si="34"/>
        <v>0</v>
      </c>
      <c r="AD91" t="b">
        <f t="shared" si="35"/>
        <v>0</v>
      </c>
      <c r="AG91" t="str">
        <f>'WetLitterbags placem_collection'!K90</f>
        <v>G569</v>
      </c>
      <c r="AH91" t="str">
        <f>'WetLitterbags placem_collection'!M90</f>
        <v>R385</v>
      </c>
      <c r="AI91" t="b">
        <f t="shared" si="36"/>
        <v>0</v>
      </c>
      <c r="AJ91" t="b">
        <f t="shared" si="37"/>
        <v>0</v>
      </c>
      <c r="AK91">
        <f>'WetLitterbags placem_collection'!A90</f>
        <v>88</v>
      </c>
      <c r="AL91">
        <f>'WetLitterbags placem_collection'!A90</f>
        <v>88</v>
      </c>
      <c r="AN91">
        <f>IF('Dry_Litterbag Placem_Collection'!J90=0,"",'Dry_Litterbag Placem_Collection'!J90)</f>
        <v>531</v>
      </c>
      <c r="AO91">
        <f>IF('Dry_Litterbag Placem_Collection'!K90=0,"",'Dry_Litterbag Placem_Collection'!K90)</f>
        <v>819</v>
      </c>
      <c r="AP91" t="b">
        <f t="shared" si="38"/>
        <v>0</v>
      </c>
      <c r="AQ91" t="b">
        <f t="shared" si="39"/>
        <v>1</v>
      </c>
      <c r="AT91" t="str">
        <f>'Ashed teabags dry'!A89</f>
        <v>G207</v>
      </c>
      <c r="AU91" t="str">
        <f>'Ashed teabags dry'!A426</f>
        <v>R314</v>
      </c>
      <c r="AV91" t="b">
        <f t="shared" si="40"/>
        <v>0</v>
      </c>
      <c r="AW91" t="b">
        <f t="shared" si="41"/>
        <v>0</v>
      </c>
      <c r="AZ91" s="401" t="b">
        <f t="shared" si="42"/>
        <v>0</v>
      </c>
      <c r="BA91" s="401" t="b">
        <f t="shared" si="43"/>
        <v>0</v>
      </c>
      <c r="BC91" t="str">
        <f>'Ashed teabags wet'!A89</f>
        <v>G470</v>
      </c>
      <c r="BD91" t="str">
        <f>'Ashed teabags wet'!A506</f>
        <v>R25</v>
      </c>
      <c r="BE91" t="b">
        <f t="shared" si="44"/>
        <v>0</v>
      </c>
      <c r="BF91" s="113" t="b">
        <f t="shared" si="45"/>
        <v>1</v>
      </c>
      <c r="BG91">
        <f>IFERROR('Ashed teabags wet'!C89,"")</f>
        <v>176</v>
      </c>
      <c r="BH91">
        <f>IFERROR('Ashed teabags wet'!C506,"")</f>
        <v>195</v>
      </c>
      <c r="BI91" t="str">
        <f>'Ashed teabags wet'!AB89</f>
        <v/>
      </c>
      <c r="BJ91">
        <f>'Ashed teabags wet'!AC89</f>
        <v>175</v>
      </c>
      <c r="BK91" t="str">
        <f>'Ashed teabags wet'!AD506</f>
        <v/>
      </c>
      <c r="BL91">
        <f>'Ashed teabags wet'!AE506</f>
        <v>194</v>
      </c>
      <c r="BN91" t="str">
        <f t="shared" si="46"/>
        <v>G469</v>
      </c>
      <c r="BO91" t="b">
        <f t="shared" si="47"/>
        <v>1</v>
      </c>
    </row>
    <row r="92" spans="2:68" ht="12" customHeight="1">
      <c r="B92" t="str">
        <f>TBIDry!H164</f>
        <v>G35</v>
      </c>
      <c r="C92" t="str">
        <f>TBIDry!I164</f>
        <v>R818</v>
      </c>
      <c r="D92" t="b">
        <f t="shared" si="24"/>
        <v>0</v>
      </c>
      <c r="E92" t="b">
        <f t="shared" si="25"/>
        <v>0</v>
      </c>
      <c r="G92" t="str">
        <f>TBIWet!H164</f>
        <v>G339</v>
      </c>
      <c r="H92" t="str">
        <f>TBIWet!I164</f>
        <v>R196</v>
      </c>
      <c r="I92" t="b">
        <f t="shared" si="26"/>
        <v>0</v>
      </c>
      <c r="J92" t="b">
        <f t="shared" si="27"/>
        <v>0</v>
      </c>
      <c r="L92" t="str">
        <f>'Both teabags AfterWet'!A91</f>
        <v>G461</v>
      </c>
      <c r="M92" t="str">
        <f>'Both teabags AfterWet'!A509</f>
        <v>R228</v>
      </c>
      <c r="N92" t="b">
        <f t="shared" si="28"/>
        <v>0</v>
      </c>
      <c r="O92" t="b">
        <f t="shared" si="29"/>
        <v>0</v>
      </c>
      <c r="P92">
        <f>IFERROR('Both teabags AfterWet'!B91,"")</f>
        <v>168</v>
      </c>
      <c r="Q92">
        <f>'Both teabags AfterWet'!B509</f>
        <v>77</v>
      </c>
      <c r="S92" s="401" t="b">
        <f t="shared" si="30"/>
        <v>0</v>
      </c>
      <c r="T92" s="401" t="b">
        <f t="shared" si="31"/>
        <v>0</v>
      </c>
      <c r="V92" t="str">
        <f>'Both teabags AfterDry'!A91</f>
        <v>G21</v>
      </c>
      <c r="W92" t="str">
        <f>'Both teabags AfterDry'!A428</f>
        <v>R325</v>
      </c>
      <c r="X92" t="b">
        <f t="shared" si="32"/>
        <v>0</v>
      </c>
      <c r="Y92" t="b">
        <f t="shared" si="33"/>
        <v>0</v>
      </c>
      <c r="AA92" t="str">
        <f>'Green_rooibos initial weight'!A93</f>
        <v>G89</v>
      </c>
      <c r="AB92" t="str">
        <f>'Green_rooibos initial weight'!A997</f>
        <v>R89</v>
      </c>
      <c r="AC92" t="b">
        <f t="shared" si="34"/>
        <v>0</v>
      </c>
      <c r="AD92" t="b">
        <f t="shared" si="35"/>
        <v>0</v>
      </c>
      <c r="AG92" t="str">
        <f>'WetLitterbags placem_collection'!K91</f>
        <v>G339</v>
      </c>
      <c r="AH92" t="str">
        <f>'WetLitterbags placem_collection'!M91</f>
        <v>R196</v>
      </c>
      <c r="AI92" t="b">
        <f t="shared" si="36"/>
        <v>0</v>
      </c>
      <c r="AJ92" t="b">
        <f t="shared" si="37"/>
        <v>0</v>
      </c>
      <c r="AK92">
        <f>'WetLitterbags placem_collection'!A91</f>
        <v>89</v>
      </c>
      <c r="AL92">
        <f>'WetLitterbags placem_collection'!A91</f>
        <v>89</v>
      </c>
      <c r="AN92">
        <f>IF('Dry_Litterbag Placem_Collection'!J91=0,"",'Dry_Litterbag Placem_Collection'!J91)</f>
        <v>35</v>
      </c>
      <c r="AO92">
        <f>IF('Dry_Litterbag Placem_Collection'!K91=0,"",'Dry_Litterbag Placem_Collection'!K91)</f>
        <v>818</v>
      </c>
      <c r="AP92" t="b">
        <f t="shared" si="38"/>
        <v>0</v>
      </c>
      <c r="AQ92" t="b">
        <f t="shared" si="39"/>
        <v>0</v>
      </c>
      <c r="AT92" t="str">
        <f>'Ashed teabags dry'!A90</f>
        <v>G209</v>
      </c>
      <c r="AU92" t="str">
        <f>'Ashed teabags dry'!A427</f>
        <v>R320</v>
      </c>
      <c r="AV92" t="b">
        <f t="shared" si="40"/>
        <v>0</v>
      </c>
      <c r="AW92" t="b">
        <f t="shared" si="41"/>
        <v>0</v>
      </c>
      <c r="AZ92" s="401" t="b">
        <f t="shared" si="42"/>
        <v>0</v>
      </c>
      <c r="BA92" s="401" t="b">
        <f t="shared" si="43"/>
        <v>0</v>
      </c>
      <c r="BC92" t="str">
        <f>'Ashed teabags wet'!A90</f>
        <v>G472</v>
      </c>
      <c r="BD92" t="str">
        <f>'Ashed teabags wet'!A507</f>
        <v>R250</v>
      </c>
      <c r="BE92" t="b">
        <f t="shared" si="44"/>
        <v>0</v>
      </c>
      <c r="BF92" t="b">
        <f t="shared" si="45"/>
        <v>0</v>
      </c>
      <c r="BG92">
        <f>IFERROR('Ashed teabags wet'!C90,"")</f>
        <v>91</v>
      </c>
      <c r="BH92">
        <f>IFERROR('Ashed teabags wet'!C507,"")</f>
        <v>220</v>
      </c>
      <c r="BI92">
        <f>'Ashed teabags wet'!AB90</f>
        <v>90</v>
      </c>
      <c r="BJ92" t="str">
        <f>'Ashed teabags wet'!AC90</f>
        <v/>
      </c>
      <c r="BK92">
        <f>'Ashed teabags wet'!AD507</f>
        <v>219</v>
      </c>
      <c r="BL92" t="str">
        <f>'Ashed teabags wet'!AE507</f>
        <v/>
      </c>
      <c r="BN92" t="str">
        <f t="shared" si="46"/>
        <v>G470</v>
      </c>
      <c r="BO92" t="b">
        <f t="shared" si="47"/>
        <v>1</v>
      </c>
    </row>
    <row r="93" spans="2:68" ht="12" customHeight="1">
      <c r="B93" t="str">
        <f>TBIDry!H165</f>
        <v>G264</v>
      </c>
      <c r="C93" t="str">
        <f>TBIDry!I165</f>
        <v>R767</v>
      </c>
      <c r="D93" t="b">
        <f t="shared" si="24"/>
        <v>0</v>
      </c>
      <c r="E93" t="b">
        <f t="shared" si="25"/>
        <v>0</v>
      </c>
      <c r="G93" t="str">
        <f>TBIWet!H165</f>
        <v>G592</v>
      </c>
      <c r="H93" t="str">
        <f>TBIWet!I165</f>
        <v>R94</v>
      </c>
      <c r="I93" t="b">
        <f t="shared" si="26"/>
        <v>0</v>
      </c>
      <c r="J93" t="b">
        <f t="shared" si="27"/>
        <v>0</v>
      </c>
      <c r="L93" t="str">
        <f>'Both teabags AfterWet'!A92</f>
        <v>G462</v>
      </c>
      <c r="M93" t="str">
        <f>'Both teabags AfterWet'!A510</f>
        <v>R23</v>
      </c>
      <c r="N93" t="b">
        <f t="shared" si="28"/>
        <v>0</v>
      </c>
      <c r="O93" t="b">
        <f t="shared" si="29"/>
        <v>0</v>
      </c>
      <c r="P93">
        <f>IFERROR('Both teabags AfterWet'!B92,"")</f>
        <v>198</v>
      </c>
      <c r="Q93">
        <f>'Both teabags AfterWet'!B510</f>
        <v>59</v>
      </c>
      <c r="S93" s="401" t="b">
        <f t="shared" si="30"/>
        <v>0</v>
      </c>
      <c r="T93" s="401" t="b">
        <f t="shared" si="31"/>
        <v>0</v>
      </c>
      <c r="V93" t="str">
        <f>'Both teabags AfterDry'!A92</f>
        <v>G211</v>
      </c>
      <c r="W93" t="str">
        <f>'Both teabags AfterDry'!A429</f>
        <v>R327</v>
      </c>
      <c r="X93" t="b">
        <f t="shared" si="32"/>
        <v>0</v>
      </c>
      <c r="Y93" t="b">
        <f t="shared" si="33"/>
        <v>0</v>
      </c>
      <c r="AA93" t="str">
        <f>'Green_rooibos initial weight'!A94</f>
        <v>G90</v>
      </c>
      <c r="AB93" t="str">
        <f>'Green_rooibos initial weight'!A998</f>
        <v>R90</v>
      </c>
      <c r="AC93" t="b">
        <f t="shared" si="34"/>
        <v>0</v>
      </c>
      <c r="AD93" t="b">
        <f t="shared" si="35"/>
        <v>0</v>
      </c>
      <c r="AG93" t="str">
        <f>'WetLitterbags placem_collection'!K92</f>
        <v>G592</v>
      </c>
      <c r="AH93" t="str">
        <f>'WetLitterbags placem_collection'!M92</f>
        <v>R94</v>
      </c>
      <c r="AI93" t="b">
        <f t="shared" si="36"/>
        <v>0</v>
      </c>
      <c r="AJ93" t="b">
        <f t="shared" si="37"/>
        <v>0</v>
      </c>
      <c r="AK93">
        <f>'WetLitterbags placem_collection'!A92</f>
        <v>90</v>
      </c>
      <c r="AL93">
        <f>'WetLitterbags placem_collection'!A92</f>
        <v>90</v>
      </c>
      <c r="AN93">
        <f>IF('Dry_Litterbag Placem_Collection'!J92=0,"",'Dry_Litterbag Placem_Collection'!J92)</f>
        <v>264</v>
      </c>
      <c r="AO93">
        <f>IF('Dry_Litterbag Placem_Collection'!K92=0,"",'Dry_Litterbag Placem_Collection'!K92)</f>
        <v>767</v>
      </c>
      <c r="AP93" t="b">
        <f t="shared" si="38"/>
        <v>0</v>
      </c>
      <c r="AQ93" t="b">
        <f t="shared" si="39"/>
        <v>0</v>
      </c>
      <c r="AT93" t="str">
        <f>'Ashed teabags dry'!A91</f>
        <v>G21</v>
      </c>
      <c r="AU93" t="str">
        <f>'Ashed teabags dry'!A428</f>
        <v>R321</v>
      </c>
      <c r="AV93" t="b">
        <f t="shared" si="40"/>
        <v>0</v>
      </c>
      <c r="AW93" t="b">
        <f t="shared" si="41"/>
        <v>0</v>
      </c>
      <c r="AZ93" s="401" t="b">
        <f t="shared" si="42"/>
        <v>0</v>
      </c>
      <c r="BA93" s="401" t="b">
        <f t="shared" si="43"/>
        <v>0</v>
      </c>
      <c r="BC93" t="str">
        <f>'Ashed teabags wet'!A91</f>
        <v>G474</v>
      </c>
      <c r="BD93" t="str">
        <f>'Ashed teabags wet'!A508</f>
        <v>R251</v>
      </c>
      <c r="BE93" t="b">
        <f t="shared" si="44"/>
        <v>0</v>
      </c>
      <c r="BF93" t="b">
        <f t="shared" si="45"/>
        <v>0</v>
      </c>
      <c r="BG93">
        <f>IFERROR('Ashed teabags wet'!C91,"")</f>
        <v>80</v>
      </c>
      <c r="BH93">
        <f>IFERROR('Ashed teabags wet'!C508,"")</f>
        <v>69</v>
      </c>
      <c r="BI93" t="str">
        <f>'Ashed teabags wet'!AB91</f>
        <v/>
      </c>
      <c r="BJ93">
        <f>'Ashed teabags wet'!AC91</f>
        <v>79</v>
      </c>
      <c r="BK93" t="str">
        <f>'Ashed teabags wet'!AD508</f>
        <v/>
      </c>
      <c r="BL93">
        <f>'Ashed teabags wet'!AE508</f>
        <v>68</v>
      </c>
      <c r="BN93" t="str">
        <f t="shared" si="46"/>
        <v>G472</v>
      </c>
      <c r="BO93" t="b">
        <f t="shared" si="47"/>
        <v>1</v>
      </c>
    </row>
    <row r="94" spans="2:68" ht="12" customHeight="1">
      <c r="B94" t="str">
        <f>TBIDry!H166</f>
        <v>G13</v>
      </c>
      <c r="C94" t="str">
        <f>TBIDry!I166</f>
        <v>R787</v>
      </c>
      <c r="D94" t="b">
        <f t="shared" si="24"/>
        <v>0</v>
      </c>
      <c r="E94" t="b">
        <f t="shared" si="25"/>
        <v>0</v>
      </c>
      <c r="G94" t="str">
        <f>TBIWet!H166</f>
        <v>G472</v>
      </c>
      <c r="H94" t="str">
        <f>TBIWet!I166</f>
        <v>R343</v>
      </c>
      <c r="I94" t="b">
        <f t="shared" si="26"/>
        <v>0</v>
      </c>
      <c r="J94" t="b">
        <f t="shared" si="27"/>
        <v>0</v>
      </c>
      <c r="L94" t="str">
        <f>'Both teabags AfterWet'!A93</f>
        <v>G469</v>
      </c>
      <c r="M94" t="str">
        <f>'Both teabags AfterWet'!A511</f>
        <v>R232</v>
      </c>
      <c r="N94" t="b">
        <f t="shared" si="28"/>
        <v>0</v>
      </c>
      <c r="O94" t="b">
        <f t="shared" si="29"/>
        <v>0</v>
      </c>
      <c r="P94">
        <f>IFERROR('Both teabags AfterWet'!B93,"")</f>
        <v>89</v>
      </c>
      <c r="Q94" t="str">
        <f>'Both teabags AfterWet'!B511</f>
        <v>n.a</v>
      </c>
      <c r="S94" s="401" t="b">
        <f t="shared" si="30"/>
        <v>0</v>
      </c>
      <c r="T94" s="401" t="b">
        <f t="shared" si="31"/>
        <v>0</v>
      </c>
      <c r="V94" t="str">
        <f>'Both teabags AfterDry'!A93</f>
        <v>G213</v>
      </c>
      <c r="W94" t="str">
        <f>'Both teabags AfterDry'!A430</f>
        <v>R332</v>
      </c>
      <c r="X94" t="b">
        <f t="shared" si="32"/>
        <v>0</v>
      </c>
      <c r="Y94" t="b">
        <f t="shared" si="33"/>
        <v>0</v>
      </c>
      <c r="AA94" t="str">
        <f>'Green_rooibos initial weight'!A95</f>
        <v>G91</v>
      </c>
      <c r="AB94" t="str">
        <f>'Green_rooibos initial weight'!A999</f>
        <v>R91</v>
      </c>
      <c r="AC94" t="b">
        <f t="shared" si="34"/>
        <v>0</v>
      </c>
      <c r="AD94" t="b">
        <f t="shared" si="35"/>
        <v>0</v>
      </c>
      <c r="AG94" t="str">
        <f>'WetLitterbags placem_collection'!K93</f>
        <v>G472</v>
      </c>
      <c r="AH94" t="str">
        <f>'WetLitterbags placem_collection'!M93</f>
        <v>R343</v>
      </c>
      <c r="AI94" t="b">
        <f t="shared" si="36"/>
        <v>0</v>
      </c>
      <c r="AJ94" t="b">
        <f t="shared" si="37"/>
        <v>0</v>
      </c>
      <c r="AK94">
        <f>'WetLitterbags placem_collection'!A93</f>
        <v>91</v>
      </c>
      <c r="AL94">
        <f>'WetLitterbags placem_collection'!A93</f>
        <v>91</v>
      </c>
      <c r="AN94">
        <f>IF('Dry_Litterbag Placem_Collection'!J93=0,"",'Dry_Litterbag Placem_Collection'!J93)</f>
        <v>13</v>
      </c>
      <c r="AO94">
        <f>IF('Dry_Litterbag Placem_Collection'!K93=0,"",'Dry_Litterbag Placem_Collection'!K93)</f>
        <v>787</v>
      </c>
      <c r="AP94" t="b">
        <f t="shared" si="38"/>
        <v>0</v>
      </c>
      <c r="AQ94" t="b">
        <f t="shared" si="39"/>
        <v>0</v>
      </c>
      <c r="AT94" t="str">
        <f>'Ashed teabags dry'!A92</f>
        <v>G211</v>
      </c>
      <c r="AU94" t="str">
        <f>'Ashed teabags dry'!A429</f>
        <v>R325</v>
      </c>
      <c r="AV94" t="b">
        <f t="shared" si="40"/>
        <v>0</v>
      </c>
      <c r="AW94" t="b">
        <f t="shared" si="41"/>
        <v>0</v>
      </c>
      <c r="AZ94" s="401" t="b">
        <f t="shared" si="42"/>
        <v>0</v>
      </c>
      <c r="BA94" s="401" t="b">
        <f t="shared" si="43"/>
        <v>0</v>
      </c>
      <c r="BC94" t="str">
        <f>'Ashed teabags wet'!A92</f>
        <v>G475</v>
      </c>
      <c r="BD94" t="str">
        <f>'Ashed teabags wet'!A509</f>
        <v>R253</v>
      </c>
      <c r="BE94" t="b">
        <f t="shared" si="44"/>
        <v>0</v>
      </c>
      <c r="BF94" t="b">
        <f t="shared" si="45"/>
        <v>0</v>
      </c>
      <c r="BG94">
        <f>IFERROR('Ashed teabags wet'!C92,"")</f>
        <v>81</v>
      </c>
      <c r="BH94">
        <f>IFERROR('Ashed teabags wet'!C509,"")</f>
        <v>161</v>
      </c>
      <c r="BI94" t="str">
        <f>'Ashed teabags wet'!AB92</f>
        <v/>
      </c>
      <c r="BJ94">
        <f>'Ashed teabags wet'!AC92</f>
        <v>80</v>
      </c>
      <c r="BK94" t="str">
        <f>'Ashed teabags wet'!AD509</f>
        <v/>
      </c>
      <c r="BL94">
        <f>'Ashed teabags wet'!AE509</f>
        <v>160</v>
      </c>
      <c r="BN94" t="str">
        <f t="shared" si="46"/>
        <v>G474</v>
      </c>
      <c r="BO94" t="b">
        <f t="shared" si="47"/>
        <v>1</v>
      </c>
    </row>
    <row r="95" spans="2:68" ht="12" customHeight="1">
      <c r="B95" t="str">
        <f>TBIDry!H167</f>
        <v>G324</v>
      </c>
      <c r="C95" t="str">
        <f>TBIDry!I167</f>
        <v>R812</v>
      </c>
      <c r="D95" t="b">
        <f t="shared" si="24"/>
        <v>0</v>
      </c>
      <c r="E95" t="b">
        <f t="shared" si="25"/>
        <v>0</v>
      </c>
      <c r="G95" t="str">
        <f>TBIWet!H167</f>
        <v>G529</v>
      </c>
      <c r="H95" t="str">
        <f>TBIWet!I167</f>
        <v>R445</v>
      </c>
      <c r="I95" t="b">
        <f t="shared" si="26"/>
        <v>0</v>
      </c>
      <c r="J95" t="b">
        <f t="shared" si="27"/>
        <v>0</v>
      </c>
      <c r="L95" t="str">
        <f>'Both teabags AfterWet'!A94</f>
        <v>G470</v>
      </c>
      <c r="M95" t="str">
        <f>'Both teabags AfterWet'!A512</f>
        <v>R234</v>
      </c>
      <c r="N95" t="b">
        <f t="shared" si="28"/>
        <v>0</v>
      </c>
      <c r="O95" t="b">
        <f t="shared" si="29"/>
        <v>0</v>
      </c>
      <c r="P95">
        <f>IFERROR('Both teabags AfterWet'!B94,"")</f>
        <v>176</v>
      </c>
      <c r="Q95">
        <f>'Both teabags AfterWet'!B512</f>
        <v>207</v>
      </c>
      <c r="S95" s="401" t="b">
        <f t="shared" si="30"/>
        <v>0</v>
      </c>
      <c r="T95" s="401" t="b">
        <f t="shared" si="31"/>
        <v>0</v>
      </c>
      <c r="V95" t="str">
        <f>'Both teabags AfterDry'!A94</f>
        <v>G215</v>
      </c>
      <c r="W95" t="str">
        <f>'Both teabags AfterDry'!A431</f>
        <v>R335</v>
      </c>
      <c r="X95" t="b">
        <f t="shared" si="32"/>
        <v>0</v>
      </c>
      <c r="Y95" t="b">
        <f t="shared" si="33"/>
        <v>0</v>
      </c>
      <c r="AA95" t="str">
        <f>'Green_rooibos initial weight'!A96</f>
        <v>G92</v>
      </c>
      <c r="AB95" t="str">
        <f>'Green_rooibos initial weight'!A1000</f>
        <v>R92</v>
      </c>
      <c r="AC95" t="b">
        <f t="shared" si="34"/>
        <v>0</v>
      </c>
      <c r="AD95" t="b">
        <f t="shared" si="35"/>
        <v>0</v>
      </c>
      <c r="AG95" t="str">
        <f>'WetLitterbags placem_collection'!K94</f>
        <v>G529</v>
      </c>
      <c r="AH95" t="str">
        <f>'WetLitterbags placem_collection'!M94</f>
        <v>R445</v>
      </c>
      <c r="AI95" t="b">
        <f t="shared" si="36"/>
        <v>0</v>
      </c>
      <c r="AJ95" t="b">
        <f t="shared" si="37"/>
        <v>0</v>
      </c>
      <c r="AK95">
        <f>'WetLitterbags placem_collection'!A94</f>
        <v>92</v>
      </c>
      <c r="AL95">
        <f>'WetLitterbags placem_collection'!A94</f>
        <v>92</v>
      </c>
      <c r="AN95">
        <f>IF('Dry_Litterbag Placem_Collection'!J94=0,"",'Dry_Litterbag Placem_Collection'!J94)</f>
        <v>324</v>
      </c>
      <c r="AO95">
        <f>IF('Dry_Litterbag Placem_Collection'!K94=0,"",'Dry_Litterbag Placem_Collection'!K94)</f>
        <v>812</v>
      </c>
      <c r="AP95" t="b">
        <f t="shared" si="38"/>
        <v>0</v>
      </c>
      <c r="AQ95" t="b">
        <f t="shared" si="39"/>
        <v>0</v>
      </c>
      <c r="AT95" t="str">
        <f>'Ashed teabags dry'!A93</f>
        <v>G213</v>
      </c>
      <c r="AU95" t="str">
        <f>'Ashed teabags dry'!A430</f>
        <v>R327</v>
      </c>
      <c r="AV95" t="b">
        <f t="shared" si="40"/>
        <v>0</v>
      </c>
      <c r="AW95" t="b">
        <f t="shared" si="41"/>
        <v>0</v>
      </c>
      <c r="AZ95" s="401" t="b">
        <f t="shared" si="42"/>
        <v>0</v>
      </c>
      <c r="BA95" s="401" t="b">
        <f t="shared" si="43"/>
        <v>0</v>
      </c>
      <c r="BC95" t="str">
        <f>'Ashed teabags wet'!A93</f>
        <v>G476</v>
      </c>
      <c r="BD95" t="str">
        <f>'Ashed teabags wet'!A510</f>
        <v>R255</v>
      </c>
      <c r="BE95" t="b">
        <f t="shared" si="44"/>
        <v>0</v>
      </c>
      <c r="BF95" t="b">
        <f t="shared" si="45"/>
        <v>0</v>
      </c>
      <c r="BG95">
        <f>IFERROR('Ashed teabags wet'!C93,"")</f>
        <v>9</v>
      </c>
      <c r="BH95">
        <f>IFERROR('Ashed teabags wet'!C510,"")</f>
        <v>167</v>
      </c>
      <c r="BI95" t="str">
        <f>'Ashed teabags wet'!AB93</f>
        <v/>
      </c>
      <c r="BJ95">
        <f>'Ashed teabags wet'!AC93</f>
        <v>8</v>
      </c>
      <c r="BK95">
        <f>'Ashed teabags wet'!AD510</f>
        <v>166</v>
      </c>
      <c r="BL95" t="str">
        <f>'Ashed teabags wet'!AE510</f>
        <v/>
      </c>
      <c r="BN95" t="str">
        <f t="shared" si="46"/>
        <v>G475</v>
      </c>
      <c r="BO95" t="b">
        <f t="shared" si="47"/>
        <v>1</v>
      </c>
    </row>
    <row r="96" spans="2:68" ht="12" customHeight="1">
      <c r="B96" t="str">
        <f>TBIDry!H168</f>
        <v>G99</v>
      </c>
      <c r="C96" t="str">
        <f>TBIDry!I168</f>
        <v>R675</v>
      </c>
      <c r="D96" t="b">
        <f t="shared" si="24"/>
        <v>0</v>
      </c>
      <c r="E96" t="b">
        <f t="shared" si="25"/>
        <v>0</v>
      </c>
      <c r="G96" t="str">
        <f>TBIWet!H168</f>
        <v>G636</v>
      </c>
      <c r="H96" t="str">
        <f>TBIWet!I168</f>
        <v>R12</v>
      </c>
      <c r="I96" t="b">
        <f t="shared" si="26"/>
        <v>0</v>
      </c>
      <c r="J96" t="b">
        <f t="shared" si="27"/>
        <v>0</v>
      </c>
      <c r="L96" t="str">
        <f>'Both teabags AfterWet'!A95</f>
        <v>G472</v>
      </c>
      <c r="M96" t="str">
        <f>'Both teabags AfterWet'!A513</f>
        <v>R235</v>
      </c>
      <c r="N96" t="b">
        <f t="shared" si="28"/>
        <v>0</v>
      </c>
      <c r="O96" t="b">
        <f t="shared" si="29"/>
        <v>0</v>
      </c>
      <c r="P96">
        <f>IFERROR('Both teabags AfterWet'!B95,"")</f>
        <v>91</v>
      </c>
      <c r="Q96">
        <f>'Both teabags AfterWet'!B513</f>
        <v>79</v>
      </c>
      <c r="S96" s="401" t="b">
        <f t="shared" si="30"/>
        <v>0</v>
      </c>
      <c r="T96" s="401" t="b">
        <f t="shared" si="31"/>
        <v>0</v>
      </c>
      <c r="V96" t="str">
        <f>'Both teabags AfterDry'!A95</f>
        <v>G218</v>
      </c>
      <c r="W96" t="str">
        <f>'Both teabags AfterDry'!A432</f>
        <v>R337</v>
      </c>
      <c r="X96" t="b">
        <f t="shared" si="32"/>
        <v>0</v>
      </c>
      <c r="Y96" t="b">
        <f t="shared" si="33"/>
        <v>0</v>
      </c>
      <c r="AA96" t="str">
        <f>'Green_rooibos initial weight'!A97</f>
        <v>G93</v>
      </c>
      <c r="AB96" t="str">
        <f>'Green_rooibos initial weight'!A1001</f>
        <v>R93</v>
      </c>
      <c r="AC96" t="b">
        <f t="shared" si="34"/>
        <v>0</v>
      </c>
      <c r="AD96" t="b">
        <f t="shared" si="35"/>
        <v>0</v>
      </c>
      <c r="AG96" t="str">
        <f>'WetLitterbags placem_collection'!K95</f>
        <v>G636</v>
      </c>
      <c r="AH96" t="str">
        <f>'WetLitterbags placem_collection'!M95</f>
        <v>R12</v>
      </c>
      <c r="AI96" t="b">
        <f t="shared" si="36"/>
        <v>0</v>
      </c>
      <c r="AJ96" t="b">
        <f t="shared" si="37"/>
        <v>0</v>
      </c>
      <c r="AK96">
        <f>'WetLitterbags placem_collection'!A95</f>
        <v>93</v>
      </c>
      <c r="AL96">
        <f>'WetLitterbags placem_collection'!A95</f>
        <v>93</v>
      </c>
      <c r="AN96">
        <f>IF('Dry_Litterbag Placem_Collection'!J95=0,"",'Dry_Litterbag Placem_Collection'!J95)</f>
        <v>99</v>
      </c>
      <c r="AO96">
        <f>IF('Dry_Litterbag Placem_Collection'!K95=0,"",'Dry_Litterbag Placem_Collection'!K95)</f>
        <v>675</v>
      </c>
      <c r="AP96" t="b">
        <f t="shared" si="38"/>
        <v>0</v>
      </c>
      <c r="AQ96" t="b">
        <f t="shared" si="39"/>
        <v>0</v>
      </c>
      <c r="AT96" t="str">
        <f>'Ashed teabags dry'!A94</f>
        <v>G215</v>
      </c>
      <c r="AU96" t="str">
        <f>'Ashed teabags dry'!A431</f>
        <v>R332</v>
      </c>
      <c r="AV96" t="b">
        <f t="shared" si="40"/>
        <v>0</v>
      </c>
      <c r="AW96" t="b">
        <f t="shared" si="41"/>
        <v>0</v>
      </c>
      <c r="AZ96" s="401" t="b">
        <f t="shared" si="42"/>
        <v>0</v>
      </c>
      <c r="BA96" s="401" t="b">
        <f t="shared" si="43"/>
        <v>0</v>
      </c>
      <c r="BC96" t="str">
        <f>'Ashed teabags wet'!A94</f>
        <v>G477</v>
      </c>
      <c r="BD96" t="str">
        <f>'Ashed teabags wet'!A511</f>
        <v>R258</v>
      </c>
      <c r="BE96" t="b">
        <f t="shared" si="44"/>
        <v>0</v>
      </c>
      <c r="BF96" t="b">
        <f t="shared" si="45"/>
        <v>0</v>
      </c>
      <c r="BG96">
        <f>IFERROR('Ashed teabags wet'!C94,"")</f>
        <v>68</v>
      </c>
      <c r="BH96">
        <f>IFERROR('Ashed teabags wet'!C511,"")</f>
        <v>207</v>
      </c>
      <c r="BI96" t="str">
        <f>'Ashed teabags wet'!AB94</f>
        <v/>
      </c>
      <c r="BJ96">
        <f>'Ashed teabags wet'!AC94</f>
        <v>67</v>
      </c>
      <c r="BK96">
        <f>'Ashed teabags wet'!AD511</f>
        <v>206</v>
      </c>
      <c r="BL96" t="str">
        <f>'Ashed teabags wet'!AE511</f>
        <v/>
      </c>
      <c r="BN96" t="str">
        <f t="shared" si="46"/>
        <v>G476</v>
      </c>
      <c r="BO96" t="b">
        <f t="shared" si="47"/>
        <v>1</v>
      </c>
    </row>
    <row r="97" spans="2:68" ht="12" customHeight="1">
      <c r="B97" t="str">
        <f>TBIDry!H169</f>
        <v/>
      </c>
      <c r="C97" t="str">
        <f>TBIDry!I169</f>
        <v/>
      </c>
      <c r="D97" t="b">
        <f t="shared" si="24"/>
        <v>1</v>
      </c>
      <c r="E97" t="b">
        <f t="shared" si="25"/>
        <v>1</v>
      </c>
      <c r="G97" t="str">
        <f>TBIWet!H169</f>
        <v>G534</v>
      </c>
      <c r="H97" t="str">
        <f>TBIWet!I169</f>
        <v>R244</v>
      </c>
      <c r="I97" t="b">
        <f t="shared" si="26"/>
        <v>0</v>
      </c>
      <c r="J97" t="b">
        <f t="shared" si="27"/>
        <v>0</v>
      </c>
      <c r="L97" t="str">
        <f>'Both teabags AfterWet'!A96</f>
        <v>G474</v>
      </c>
      <c r="M97" t="str">
        <f>'Both teabags AfterWet'!A514</f>
        <v>R24</v>
      </c>
      <c r="N97" t="b">
        <f t="shared" si="28"/>
        <v>0</v>
      </c>
      <c r="O97" t="b">
        <f t="shared" si="29"/>
        <v>0</v>
      </c>
      <c r="P97">
        <f>IFERROR('Both teabags AfterWet'!B96,"")</f>
        <v>80</v>
      </c>
      <c r="Q97">
        <f>'Both teabags AfterWet'!B514</f>
        <v>34</v>
      </c>
      <c r="S97" s="401" t="b">
        <f t="shared" si="30"/>
        <v>0</v>
      </c>
      <c r="T97" s="401" t="b">
        <f t="shared" si="31"/>
        <v>0</v>
      </c>
      <c r="V97" t="str">
        <f>'Both teabags AfterDry'!A96</f>
        <v>G219</v>
      </c>
      <c r="W97" t="str">
        <f>'Both teabags AfterDry'!A433</f>
        <v>R338</v>
      </c>
      <c r="X97" t="b">
        <f t="shared" si="32"/>
        <v>0</v>
      </c>
      <c r="Y97" t="b">
        <f t="shared" si="33"/>
        <v>0</v>
      </c>
      <c r="AA97" t="str">
        <f>'Green_rooibos initial weight'!A98</f>
        <v>G94</v>
      </c>
      <c r="AB97" t="str">
        <f>'Green_rooibos initial weight'!A1002</f>
        <v>R94</v>
      </c>
      <c r="AC97" t="b">
        <f t="shared" si="34"/>
        <v>0</v>
      </c>
      <c r="AD97" t="b">
        <f t="shared" si="35"/>
        <v>0</v>
      </c>
      <c r="AG97" t="str">
        <f>'WetLitterbags placem_collection'!K96</f>
        <v>G534</v>
      </c>
      <c r="AH97" t="str">
        <f>'WetLitterbags placem_collection'!M96</f>
        <v>R244</v>
      </c>
      <c r="AI97" t="b">
        <f t="shared" si="36"/>
        <v>0</v>
      </c>
      <c r="AJ97" t="b">
        <f t="shared" si="37"/>
        <v>0</v>
      </c>
      <c r="AK97">
        <f>'WetLitterbags placem_collection'!A96</f>
        <v>94</v>
      </c>
      <c r="AL97">
        <f>'WetLitterbags placem_collection'!A96</f>
        <v>94</v>
      </c>
      <c r="AN97" t="str">
        <f>IF('Dry_Litterbag Placem_Collection'!J96=0,"",'Dry_Litterbag Placem_Collection'!J96)</f>
        <v/>
      </c>
      <c r="AO97" t="str">
        <f>IF('Dry_Litterbag Placem_Collection'!K96=0,"",'Dry_Litterbag Placem_Collection'!K96)</f>
        <v/>
      </c>
      <c r="AP97" t="b">
        <f t="shared" si="38"/>
        <v>1</v>
      </c>
      <c r="AQ97" t="b">
        <f t="shared" si="39"/>
        <v>1</v>
      </c>
      <c r="AT97" t="str">
        <f>'Ashed teabags dry'!A95</f>
        <v>G218</v>
      </c>
      <c r="AU97" t="str">
        <f>'Ashed teabags dry'!A432</f>
        <v>R335</v>
      </c>
      <c r="AV97" t="b">
        <f t="shared" si="40"/>
        <v>0</v>
      </c>
      <c r="AW97" t="b">
        <f t="shared" si="41"/>
        <v>0</v>
      </c>
      <c r="AZ97" s="401" t="b">
        <f t="shared" si="42"/>
        <v>0</v>
      </c>
      <c r="BA97" s="401" t="b">
        <f t="shared" si="43"/>
        <v>0</v>
      </c>
      <c r="BC97" t="str">
        <f>'Ashed teabags wet'!A95</f>
        <v>G479</v>
      </c>
      <c r="BD97" t="str">
        <f>'Ashed teabags wet'!A512</f>
        <v>R259</v>
      </c>
      <c r="BE97" t="b">
        <f t="shared" si="44"/>
        <v>0</v>
      </c>
      <c r="BF97" t="b">
        <f t="shared" si="45"/>
        <v>0</v>
      </c>
      <c r="BG97">
        <f>IFERROR('Ashed teabags wet'!C95,"")</f>
        <v>96</v>
      </c>
      <c r="BH97">
        <f>IFERROR('Ashed teabags wet'!C512,"")</f>
        <v>166</v>
      </c>
      <c r="BI97">
        <f>'Ashed teabags wet'!AB95</f>
        <v>95</v>
      </c>
      <c r="BJ97" t="str">
        <f>'Ashed teabags wet'!AC95</f>
        <v/>
      </c>
      <c r="BK97" t="str">
        <f>'Ashed teabags wet'!AD512</f>
        <v/>
      </c>
      <c r="BL97">
        <f>'Ashed teabags wet'!AE512</f>
        <v>165</v>
      </c>
      <c r="BN97" t="str">
        <f t="shared" si="46"/>
        <v>G477</v>
      </c>
      <c r="BO97" t="b">
        <f t="shared" si="47"/>
        <v>1</v>
      </c>
    </row>
    <row r="98" spans="2:68" ht="12" customHeight="1">
      <c r="B98" t="str">
        <f>TBIDry!H170</f>
        <v>G126</v>
      </c>
      <c r="C98" t="str">
        <f>TBIDry!I170</f>
        <v>R794</v>
      </c>
      <c r="D98" t="b">
        <f t="shared" si="24"/>
        <v>0</v>
      </c>
      <c r="E98" t="b">
        <f t="shared" si="25"/>
        <v>0</v>
      </c>
      <c r="G98" t="str">
        <f>TBIWet!H170</f>
        <v>G641</v>
      </c>
      <c r="H98" t="str">
        <f>TBIWet!I170</f>
        <v>R360</v>
      </c>
      <c r="I98" t="b">
        <f t="shared" si="26"/>
        <v>0</v>
      </c>
      <c r="J98" t="b">
        <f t="shared" si="27"/>
        <v>0</v>
      </c>
      <c r="L98" t="str">
        <f>'Both teabags AfterWet'!A97</f>
        <v>G475</v>
      </c>
      <c r="M98" t="str">
        <f>'Both teabags AfterWet'!A515</f>
        <v>R241</v>
      </c>
      <c r="N98" t="b">
        <f t="shared" si="28"/>
        <v>0</v>
      </c>
      <c r="O98" t="b">
        <f t="shared" si="29"/>
        <v>0</v>
      </c>
      <c r="P98">
        <f>IFERROR('Both teabags AfterWet'!B97,"")</f>
        <v>81</v>
      </c>
      <c r="Q98">
        <f>'Both teabags AfterWet'!B515</f>
        <v>216</v>
      </c>
      <c r="S98" s="401" t="b">
        <f t="shared" si="30"/>
        <v>0</v>
      </c>
      <c r="T98" s="401" t="b">
        <f t="shared" si="31"/>
        <v>0</v>
      </c>
      <c r="V98" t="str">
        <f>'Both teabags AfterDry'!A97</f>
        <v>G22</v>
      </c>
      <c r="W98" t="str">
        <f>'Both teabags AfterDry'!A434</f>
        <v>R345</v>
      </c>
      <c r="X98" t="b">
        <f t="shared" si="32"/>
        <v>0</v>
      </c>
      <c r="Y98" t="b">
        <f t="shared" si="33"/>
        <v>0</v>
      </c>
      <c r="AA98" t="str">
        <f>'Green_rooibos initial weight'!A99</f>
        <v>G95</v>
      </c>
      <c r="AB98" t="str">
        <f>'Green_rooibos initial weight'!A1003</f>
        <v>R95</v>
      </c>
      <c r="AC98" t="b">
        <f t="shared" si="34"/>
        <v>0</v>
      </c>
      <c r="AD98" t="b">
        <f t="shared" si="35"/>
        <v>0</v>
      </c>
      <c r="AG98" t="str">
        <f>'WetLitterbags placem_collection'!K97</f>
        <v>G641</v>
      </c>
      <c r="AH98" t="str">
        <f>'WetLitterbags placem_collection'!M97</f>
        <v>R360</v>
      </c>
      <c r="AI98" t="b">
        <f t="shared" si="36"/>
        <v>0</v>
      </c>
      <c r="AJ98" t="b">
        <f t="shared" si="37"/>
        <v>0</v>
      </c>
      <c r="AK98">
        <f>'WetLitterbags placem_collection'!A97</f>
        <v>95</v>
      </c>
      <c r="AL98">
        <f>'WetLitterbags placem_collection'!A97</f>
        <v>95</v>
      </c>
      <c r="AN98">
        <f>IF('Dry_Litterbag Placem_Collection'!J97=0,"",'Dry_Litterbag Placem_Collection'!J97)</f>
        <v>126</v>
      </c>
      <c r="AO98">
        <f>IF('Dry_Litterbag Placem_Collection'!K97=0,"",'Dry_Litterbag Placem_Collection'!K97)</f>
        <v>794</v>
      </c>
      <c r="AP98" t="b">
        <f t="shared" si="38"/>
        <v>0</v>
      </c>
      <c r="AQ98" t="b">
        <f t="shared" si="39"/>
        <v>0</v>
      </c>
      <c r="AT98" t="str">
        <f>'Ashed teabags dry'!A96</f>
        <v>G219</v>
      </c>
      <c r="AU98" t="str">
        <f>'Ashed teabags dry'!A433</f>
        <v>R337</v>
      </c>
      <c r="AV98" t="b">
        <f t="shared" si="40"/>
        <v>0</v>
      </c>
      <c r="AW98" t="b">
        <f t="shared" si="41"/>
        <v>0</v>
      </c>
      <c r="AZ98" s="401" t="b">
        <f t="shared" si="42"/>
        <v>0</v>
      </c>
      <c r="BA98" s="401" t="b">
        <f t="shared" si="43"/>
        <v>0</v>
      </c>
      <c r="BC98" t="str">
        <f>'Ashed teabags wet'!A96</f>
        <v>G483</v>
      </c>
      <c r="BD98" t="str">
        <f>'Ashed teabags wet'!A513</f>
        <v>R26</v>
      </c>
      <c r="BE98" t="b">
        <f t="shared" si="44"/>
        <v>0</v>
      </c>
      <c r="BF98" t="b">
        <f t="shared" si="45"/>
        <v>0</v>
      </c>
      <c r="BG98">
        <f>IFERROR('Ashed teabags wet'!C96,"")</f>
        <v>177</v>
      </c>
      <c r="BH98">
        <f>IFERROR('Ashed teabags wet'!C513,"")</f>
        <v>102</v>
      </c>
      <c r="BI98" t="str">
        <f>'Ashed teabags wet'!AB96</f>
        <v/>
      </c>
      <c r="BJ98">
        <f>'Ashed teabags wet'!AC96</f>
        <v>176</v>
      </c>
      <c r="BK98" t="str">
        <f>'Ashed teabags wet'!AD513</f>
        <v/>
      </c>
      <c r="BL98">
        <f>'Ashed teabags wet'!AE513</f>
        <v>101</v>
      </c>
      <c r="BN98" t="str">
        <f t="shared" si="46"/>
        <v>G479</v>
      </c>
      <c r="BO98" t="b">
        <f t="shared" si="47"/>
        <v>1</v>
      </c>
    </row>
    <row r="99" spans="2:68" ht="12" customHeight="1">
      <c r="B99" t="str">
        <f>TBIDry!H171</f>
        <v>G244</v>
      </c>
      <c r="C99" t="str">
        <f>TBIDry!I171</f>
        <v>R737</v>
      </c>
      <c r="D99" t="b">
        <f t="shared" si="24"/>
        <v>0</v>
      </c>
      <c r="E99" t="b">
        <f t="shared" si="25"/>
        <v>0</v>
      </c>
      <c r="G99" t="str">
        <f>TBIWet!H171</f>
        <v>G479</v>
      </c>
      <c r="H99" t="str">
        <f>TBIWet!I171</f>
        <v>R318</v>
      </c>
      <c r="I99" t="b">
        <f t="shared" si="26"/>
        <v>0</v>
      </c>
      <c r="J99" t="b">
        <f t="shared" si="27"/>
        <v>0</v>
      </c>
      <c r="L99" t="str">
        <f>'Both teabags AfterWet'!A98</f>
        <v>G476</v>
      </c>
      <c r="M99" t="str">
        <f>'Both teabags AfterWet'!A516</f>
        <v>R25</v>
      </c>
      <c r="N99" t="b">
        <f t="shared" si="28"/>
        <v>0</v>
      </c>
      <c r="O99" t="b">
        <f t="shared" si="29"/>
        <v>0</v>
      </c>
      <c r="P99" t="str">
        <f>IFERROR('Both teabags AfterWet'!B98,"")</f>
        <v>n.a</v>
      </c>
      <c r="Q99">
        <f>'Both teabags AfterWet'!B516</f>
        <v>195</v>
      </c>
      <c r="S99" s="401" t="b">
        <f t="shared" si="30"/>
        <v>0</v>
      </c>
      <c r="T99" s="401" t="b">
        <f t="shared" si="31"/>
        <v>0</v>
      </c>
      <c r="V99" t="str">
        <f>'Both teabags AfterDry'!A98</f>
        <v>G220</v>
      </c>
      <c r="W99" t="str">
        <f>'Both teabags AfterDry'!A435</f>
        <v>R348</v>
      </c>
      <c r="X99" t="b">
        <f t="shared" si="32"/>
        <v>0</v>
      </c>
      <c r="Y99" t="b">
        <f t="shared" si="33"/>
        <v>0</v>
      </c>
      <c r="AA99" t="str">
        <f>'Green_rooibos initial weight'!A100</f>
        <v>G96</v>
      </c>
      <c r="AB99" t="str">
        <f>'Green_rooibos initial weight'!A1004</f>
        <v>R96</v>
      </c>
      <c r="AC99" t="b">
        <f t="shared" si="34"/>
        <v>0</v>
      </c>
      <c r="AD99" t="b">
        <f t="shared" si="35"/>
        <v>0</v>
      </c>
      <c r="AG99" t="str">
        <f>'WetLitterbags placem_collection'!K98</f>
        <v>G479</v>
      </c>
      <c r="AH99" t="str">
        <f>'WetLitterbags placem_collection'!M98</f>
        <v>R318</v>
      </c>
      <c r="AI99" t="b">
        <f t="shared" si="36"/>
        <v>0</v>
      </c>
      <c r="AJ99" t="b">
        <f t="shared" si="37"/>
        <v>0</v>
      </c>
      <c r="AK99">
        <f>'WetLitterbags placem_collection'!A98</f>
        <v>96</v>
      </c>
      <c r="AL99">
        <f>'WetLitterbags placem_collection'!A98</f>
        <v>96</v>
      </c>
      <c r="AN99">
        <f>IF('Dry_Litterbag Placem_Collection'!J98=0,"",'Dry_Litterbag Placem_Collection'!J98)</f>
        <v>244</v>
      </c>
      <c r="AO99">
        <f>IF('Dry_Litterbag Placem_Collection'!K98=0,"",'Dry_Litterbag Placem_Collection'!K98)</f>
        <v>737</v>
      </c>
      <c r="AP99" t="b">
        <f t="shared" si="38"/>
        <v>0</v>
      </c>
      <c r="AQ99" t="b">
        <f t="shared" si="39"/>
        <v>0</v>
      </c>
      <c r="AT99" t="str">
        <f>'Ashed teabags dry'!A97</f>
        <v>G22</v>
      </c>
      <c r="AU99" t="str">
        <f>'Ashed teabags dry'!A434</f>
        <v>R338</v>
      </c>
      <c r="AV99" t="b">
        <f t="shared" si="40"/>
        <v>0</v>
      </c>
      <c r="AW99" t="b">
        <f t="shared" si="41"/>
        <v>0</v>
      </c>
      <c r="AZ99" s="401" t="b">
        <f t="shared" si="42"/>
        <v>0</v>
      </c>
      <c r="BA99" s="401" t="b">
        <f t="shared" si="43"/>
        <v>0</v>
      </c>
      <c r="BC99" t="str">
        <f>'Ashed teabags wet'!A97</f>
        <v>G486</v>
      </c>
      <c r="BD99" t="str">
        <f>'Ashed teabags wet'!A514</f>
        <v>R262</v>
      </c>
      <c r="BE99" t="b">
        <f t="shared" si="44"/>
        <v>0</v>
      </c>
      <c r="BF99" t="b">
        <f t="shared" si="45"/>
        <v>0</v>
      </c>
      <c r="BG99">
        <f>IFERROR('Ashed teabags wet'!C97,"")</f>
        <v>95</v>
      </c>
      <c r="BH99">
        <f>IFERROR('Ashed teabags wet'!C514,"")</f>
        <v>177</v>
      </c>
      <c r="BI99" t="str">
        <f>'Ashed teabags wet'!AB97</f>
        <v/>
      </c>
      <c r="BJ99">
        <f>'Ashed teabags wet'!AC97</f>
        <v>94</v>
      </c>
      <c r="BK99">
        <f>'Ashed teabags wet'!AD514</f>
        <v>176</v>
      </c>
      <c r="BL99" t="str">
        <f>'Ashed teabags wet'!AE514</f>
        <v/>
      </c>
      <c r="BN99" t="str">
        <f t="shared" si="46"/>
        <v>G483</v>
      </c>
      <c r="BO99" t="b">
        <f t="shared" si="47"/>
        <v>1</v>
      </c>
    </row>
    <row r="100" spans="2:68" ht="12" customHeight="1">
      <c r="B100" t="str">
        <f>TBIDry!H172</f>
        <v>G432</v>
      </c>
      <c r="C100" t="str">
        <f>TBIDry!I172</f>
        <v>R801</v>
      </c>
      <c r="D100" t="b">
        <f t="shared" si="24"/>
        <v>0</v>
      </c>
      <c r="E100" t="b">
        <f t="shared" si="25"/>
        <v>0</v>
      </c>
      <c r="G100" t="str">
        <f>TBIWet!H172</f>
        <v>G741</v>
      </c>
      <c r="H100" t="str">
        <f>TBIWet!I172</f>
        <v>R518</v>
      </c>
      <c r="I100" t="b">
        <f t="shared" si="26"/>
        <v>0</v>
      </c>
      <c r="J100" t="b">
        <f t="shared" si="27"/>
        <v>0</v>
      </c>
      <c r="L100" t="str">
        <f>'Both teabags AfterWet'!A99</f>
        <v>G477</v>
      </c>
      <c r="M100" t="str">
        <f>'Both teabags AfterWet'!A517</f>
        <v>R250</v>
      </c>
      <c r="N100" t="b">
        <f t="shared" si="28"/>
        <v>0</v>
      </c>
      <c r="O100" t="b">
        <f t="shared" si="29"/>
        <v>0</v>
      </c>
      <c r="P100">
        <f>IFERROR('Both teabags AfterWet'!B99,"")</f>
        <v>68</v>
      </c>
      <c r="Q100" t="str">
        <f>'Both teabags AfterWet'!B517</f>
        <v>n.a</v>
      </c>
      <c r="S100" s="401" t="b">
        <f t="shared" si="30"/>
        <v>0</v>
      </c>
      <c r="T100" s="401" t="b">
        <f t="shared" si="31"/>
        <v>0</v>
      </c>
      <c r="V100" t="str">
        <f>'Both teabags AfterDry'!A99</f>
        <v>G221</v>
      </c>
      <c r="W100" t="str">
        <f>'Both teabags AfterDry'!A436</f>
        <v>R350</v>
      </c>
      <c r="X100" t="b">
        <f t="shared" si="32"/>
        <v>0</v>
      </c>
      <c r="Y100" t="b">
        <f t="shared" si="33"/>
        <v>0</v>
      </c>
      <c r="AA100" t="str">
        <f>'Green_rooibos initial weight'!A101</f>
        <v>G97</v>
      </c>
      <c r="AB100" t="str">
        <f>'Green_rooibos initial weight'!A1005</f>
        <v>R97</v>
      </c>
      <c r="AC100" t="b">
        <f t="shared" si="34"/>
        <v>0</v>
      </c>
      <c r="AD100" t="b">
        <f t="shared" si="35"/>
        <v>0</v>
      </c>
      <c r="AG100" t="str">
        <f>'WetLitterbags placem_collection'!K99</f>
        <v>G741</v>
      </c>
      <c r="AH100" t="str">
        <f>'WetLitterbags placem_collection'!M99</f>
        <v>R518</v>
      </c>
      <c r="AI100" t="b">
        <f t="shared" si="36"/>
        <v>0</v>
      </c>
      <c r="AJ100" t="b">
        <f t="shared" si="37"/>
        <v>0</v>
      </c>
      <c r="AK100">
        <f>'WetLitterbags placem_collection'!A99</f>
        <v>97</v>
      </c>
      <c r="AL100">
        <f>'WetLitterbags placem_collection'!A99</f>
        <v>97</v>
      </c>
      <c r="AN100">
        <f>IF('Dry_Litterbag Placem_Collection'!J99=0,"",'Dry_Litterbag Placem_Collection'!J99)</f>
        <v>432</v>
      </c>
      <c r="AO100">
        <f>IF('Dry_Litterbag Placem_Collection'!K99=0,"",'Dry_Litterbag Placem_Collection'!K99)</f>
        <v>801</v>
      </c>
      <c r="AP100" t="b">
        <f t="shared" si="38"/>
        <v>0</v>
      </c>
      <c r="AQ100" t="b">
        <f t="shared" si="39"/>
        <v>0</v>
      </c>
      <c r="AT100" t="str">
        <f>'Ashed teabags dry'!A98</f>
        <v>G220</v>
      </c>
      <c r="AU100" t="str">
        <f>'Ashed teabags dry'!A435</f>
        <v>R345</v>
      </c>
      <c r="AV100" t="b">
        <f t="shared" si="40"/>
        <v>0</v>
      </c>
      <c r="AW100" t="b">
        <f t="shared" si="41"/>
        <v>0</v>
      </c>
      <c r="AZ100" s="401" t="b">
        <f t="shared" si="42"/>
        <v>0</v>
      </c>
      <c r="BA100" s="401" t="b">
        <f t="shared" si="43"/>
        <v>0</v>
      </c>
      <c r="BC100" t="str">
        <f>'Ashed teabags wet'!A98</f>
        <v>G489</v>
      </c>
      <c r="BD100" t="str">
        <f>'Ashed teabags wet'!A515</f>
        <v>R263</v>
      </c>
      <c r="BE100" t="b">
        <f t="shared" si="44"/>
        <v>0</v>
      </c>
      <c r="BF100" t="b">
        <f t="shared" si="45"/>
        <v>0</v>
      </c>
      <c r="BG100">
        <f>IFERROR('Ashed teabags wet'!C98,"")</f>
        <v>59</v>
      </c>
      <c r="BH100">
        <f>IFERROR('Ashed teabags wet'!C515,"")</f>
        <v>192</v>
      </c>
      <c r="BI100">
        <f>'Ashed teabags wet'!AB98</f>
        <v>58</v>
      </c>
      <c r="BJ100" t="str">
        <f>'Ashed teabags wet'!AC98</f>
        <v/>
      </c>
      <c r="BK100">
        <f>'Ashed teabags wet'!AD515</f>
        <v>191</v>
      </c>
      <c r="BL100" t="str">
        <f>'Ashed teabags wet'!AE515</f>
        <v/>
      </c>
      <c r="BN100" t="str">
        <f t="shared" si="46"/>
        <v>G486</v>
      </c>
      <c r="BO100" t="b">
        <f t="shared" si="47"/>
        <v>1</v>
      </c>
    </row>
    <row r="101" spans="2:68" ht="12" customHeight="1">
      <c r="B101" t="str">
        <f>TBIDry!H173</f>
        <v>G184</v>
      </c>
      <c r="C101" t="str">
        <f>TBIDry!I173</f>
        <v>R808</v>
      </c>
      <c r="D101" t="b">
        <f t="shared" si="24"/>
        <v>0</v>
      </c>
      <c r="E101" t="b">
        <f t="shared" si="25"/>
        <v>0</v>
      </c>
      <c r="G101" t="str">
        <f>TBIWet!H173</f>
        <v>G610</v>
      </c>
      <c r="H101" t="str">
        <f>TBIWet!I173</f>
        <v>R489</v>
      </c>
      <c r="I101" t="b">
        <f t="shared" si="26"/>
        <v>0</v>
      </c>
      <c r="J101" t="b">
        <f t="shared" si="27"/>
        <v>0</v>
      </c>
      <c r="L101" t="str">
        <f>'Both teabags AfterWet'!A100</f>
        <v>G479</v>
      </c>
      <c r="M101" t="str">
        <f>'Both teabags AfterWet'!A518</f>
        <v>R251</v>
      </c>
      <c r="N101" t="b">
        <f t="shared" si="28"/>
        <v>0</v>
      </c>
      <c r="O101" t="b">
        <f t="shared" si="29"/>
        <v>0</v>
      </c>
      <c r="P101" t="str">
        <f>IFERROR('Both teabags AfterWet'!B100,"")</f>
        <v>n.a</v>
      </c>
      <c r="Q101">
        <f>'Both teabags AfterWet'!B518</f>
        <v>69</v>
      </c>
      <c r="S101" s="401" t="b">
        <f t="shared" si="30"/>
        <v>0</v>
      </c>
      <c r="T101" s="401" t="b">
        <f t="shared" si="31"/>
        <v>0</v>
      </c>
      <c r="V101" t="str">
        <f>'Both teabags AfterDry'!A100</f>
        <v>G224</v>
      </c>
      <c r="W101" t="str">
        <f>'Both teabags AfterDry'!A437</f>
        <v>R352</v>
      </c>
      <c r="X101" t="b">
        <f t="shared" si="32"/>
        <v>0</v>
      </c>
      <c r="Y101" t="b">
        <f t="shared" si="33"/>
        <v>0</v>
      </c>
      <c r="AA101" t="str">
        <f>'Green_rooibos initial weight'!A102</f>
        <v>G98</v>
      </c>
      <c r="AB101" t="str">
        <f>'Green_rooibos initial weight'!A1006</f>
        <v>R98</v>
      </c>
      <c r="AC101" t="b">
        <f t="shared" si="34"/>
        <v>0</v>
      </c>
      <c r="AD101" t="b">
        <f t="shared" si="35"/>
        <v>0</v>
      </c>
      <c r="AG101" t="str">
        <f>'WetLitterbags placem_collection'!K100</f>
        <v>G610</v>
      </c>
      <c r="AH101" t="str">
        <f>'WetLitterbags placem_collection'!M100</f>
        <v>R489</v>
      </c>
      <c r="AI101" t="b">
        <f t="shared" si="36"/>
        <v>0</v>
      </c>
      <c r="AJ101" t="b">
        <f t="shared" si="37"/>
        <v>0</v>
      </c>
      <c r="AK101">
        <f>'WetLitterbags placem_collection'!A100</f>
        <v>98</v>
      </c>
      <c r="AL101">
        <f>'WetLitterbags placem_collection'!A100</f>
        <v>98</v>
      </c>
      <c r="AN101">
        <f>IF('Dry_Litterbag Placem_Collection'!J100=0,"",'Dry_Litterbag Placem_Collection'!J100)</f>
        <v>184</v>
      </c>
      <c r="AO101">
        <f>IF('Dry_Litterbag Placem_Collection'!K100=0,"",'Dry_Litterbag Placem_Collection'!K100)</f>
        <v>808</v>
      </c>
      <c r="AP101" t="b">
        <f t="shared" si="38"/>
        <v>0</v>
      </c>
      <c r="AQ101" t="b">
        <f t="shared" si="39"/>
        <v>0</v>
      </c>
      <c r="AT101" t="str">
        <f>'Ashed teabags dry'!A99</f>
        <v>G221</v>
      </c>
      <c r="AU101" t="str">
        <f>'Ashed teabags dry'!A436</f>
        <v>R348</v>
      </c>
      <c r="AV101" t="b">
        <f t="shared" si="40"/>
        <v>0</v>
      </c>
      <c r="AW101" t="b">
        <f t="shared" si="41"/>
        <v>0</v>
      </c>
      <c r="AZ101" s="401" t="b">
        <f t="shared" si="42"/>
        <v>0</v>
      </c>
      <c r="BA101" s="401" t="b">
        <f t="shared" si="43"/>
        <v>0</v>
      </c>
      <c r="BC101" t="str">
        <f>'Ashed teabags wet'!A99</f>
        <v>G491</v>
      </c>
      <c r="BD101" t="str">
        <f>'Ashed teabags wet'!A516</f>
        <v>R264</v>
      </c>
      <c r="BE101" t="b">
        <f t="shared" si="44"/>
        <v>0</v>
      </c>
      <c r="BF101" t="b">
        <f t="shared" si="45"/>
        <v>0</v>
      </c>
      <c r="BG101">
        <f>IFERROR('Ashed teabags wet'!C99,"")</f>
        <v>219</v>
      </c>
      <c r="BH101">
        <f>IFERROR('Ashed teabags wet'!C516,"")</f>
        <v>164</v>
      </c>
      <c r="BI101" t="str">
        <f>'Ashed teabags wet'!AB99</f>
        <v/>
      </c>
      <c r="BJ101">
        <f>'Ashed teabags wet'!AC99</f>
        <v>218</v>
      </c>
      <c r="BK101" t="str">
        <f>'Ashed teabags wet'!AD516</f>
        <v/>
      </c>
      <c r="BL101">
        <f>'Ashed teabags wet'!AE516</f>
        <v>163</v>
      </c>
      <c r="BN101" t="str">
        <f t="shared" si="46"/>
        <v>G489</v>
      </c>
      <c r="BO101" t="b">
        <f t="shared" si="47"/>
        <v>1</v>
      </c>
    </row>
    <row r="102" spans="2:68" ht="12" customHeight="1">
      <c r="B102" t="str">
        <f>TBIDry!H174</f>
        <v/>
      </c>
      <c r="C102" t="str">
        <f>TBIDry!I174</f>
        <v/>
      </c>
      <c r="D102" t="b">
        <f t="shared" si="24"/>
        <v>1</v>
      </c>
      <c r="E102" t="b">
        <f t="shared" si="25"/>
        <v>1</v>
      </c>
      <c r="G102" t="str">
        <f>TBIWet!H174</f>
        <v>G765</v>
      </c>
      <c r="H102" t="str">
        <f>TBIWet!I174</f>
        <v>R549</v>
      </c>
      <c r="I102" t="b">
        <f t="shared" si="26"/>
        <v>0</v>
      </c>
      <c r="J102" t="b">
        <f t="shared" si="27"/>
        <v>0</v>
      </c>
      <c r="L102" t="str">
        <f>'Both teabags AfterWet'!A101</f>
        <v>G480</v>
      </c>
      <c r="M102" t="str">
        <f>'Both teabags AfterWet'!A519</f>
        <v>R252</v>
      </c>
      <c r="N102" t="b">
        <f t="shared" si="28"/>
        <v>0</v>
      </c>
      <c r="O102" t="b">
        <f t="shared" si="29"/>
        <v>0</v>
      </c>
      <c r="P102">
        <f>IFERROR('Both teabags AfterWet'!B101,"")</f>
        <v>116</v>
      </c>
      <c r="Q102" t="str">
        <f>'Both teabags AfterWet'!B519</f>
        <v>n.a</v>
      </c>
      <c r="S102" s="401" t="b">
        <f t="shared" si="30"/>
        <v>0</v>
      </c>
      <c r="T102" s="401" t="b">
        <f t="shared" si="31"/>
        <v>0</v>
      </c>
      <c r="V102" t="str">
        <f>'Both teabags AfterDry'!A101</f>
        <v>G225</v>
      </c>
      <c r="W102" t="str">
        <f>'Both teabags AfterDry'!A438</f>
        <v>R357</v>
      </c>
      <c r="X102" t="b">
        <f t="shared" si="32"/>
        <v>0</v>
      </c>
      <c r="Y102" t="b">
        <f t="shared" si="33"/>
        <v>0</v>
      </c>
      <c r="AA102" t="str">
        <f>'Green_rooibos initial weight'!A103</f>
        <v>G99</v>
      </c>
      <c r="AB102" t="str">
        <f>'Green_rooibos initial weight'!A1007</f>
        <v>R99</v>
      </c>
      <c r="AC102" t="b">
        <f t="shared" si="34"/>
        <v>0</v>
      </c>
      <c r="AD102" t="b">
        <f t="shared" si="35"/>
        <v>0</v>
      </c>
      <c r="AG102" t="str">
        <f>'WetLitterbags placem_collection'!K101</f>
        <v>G765</v>
      </c>
      <c r="AH102" t="str">
        <f>'WetLitterbags placem_collection'!M101</f>
        <v>R549</v>
      </c>
      <c r="AI102" t="b">
        <f t="shared" si="36"/>
        <v>0</v>
      </c>
      <c r="AJ102" t="b">
        <f t="shared" si="37"/>
        <v>0</v>
      </c>
      <c r="AK102">
        <f>'WetLitterbags placem_collection'!A101</f>
        <v>99</v>
      </c>
      <c r="AL102">
        <f>'WetLitterbags placem_collection'!A101</f>
        <v>99</v>
      </c>
      <c r="AN102" t="str">
        <f>IF('Dry_Litterbag Placem_Collection'!J101=0,"",'Dry_Litterbag Placem_Collection'!J101)</f>
        <v/>
      </c>
      <c r="AO102" t="str">
        <f>IF('Dry_Litterbag Placem_Collection'!K101=0,"",'Dry_Litterbag Placem_Collection'!K101)</f>
        <v/>
      </c>
      <c r="AP102" t="b">
        <f t="shared" si="38"/>
        <v>1</v>
      </c>
      <c r="AQ102" t="b">
        <f t="shared" si="39"/>
        <v>1</v>
      </c>
      <c r="AT102" t="str">
        <f>'Ashed teabags dry'!A100</f>
        <v>G224</v>
      </c>
      <c r="AU102" t="str">
        <f>'Ashed teabags dry'!A437</f>
        <v>R350</v>
      </c>
      <c r="AV102" t="b">
        <f t="shared" si="40"/>
        <v>0</v>
      </c>
      <c r="AW102" t="b">
        <f t="shared" si="41"/>
        <v>0</v>
      </c>
      <c r="AZ102" s="401" t="b">
        <f t="shared" si="42"/>
        <v>0</v>
      </c>
      <c r="BA102" s="401" t="b">
        <f t="shared" si="43"/>
        <v>0</v>
      </c>
      <c r="BC102" t="str">
        <f>'Ashed teabags wet'!A100</f>
        <v>G492</v>
      </c>
      <c r="BD102" t="str">
        <f>'Ashed teabags wet'!A517</f>
        <v>R265</v>
      </c>
      <c r="BE102" t="b">
        <f t="shared" si="44"/>
        <v>0</v>
      </c>
      <c r="BF102" t="b">
        <f t="shared" si="45"/>
        <v>0</v>
      </c>
      <c r="BG102">
        <f>IFERROR('Ashed teabags wet'!C100,"")</f>
        <v>23</v>
      </c>
      <c r="BH102">
        <f>IFERROR('Ashed teabags wet'!C517,"")</f>
        <v>205</v>
      </c>
      <c r="BI102">
        <f>'Ashed teabags wet'!AB100</f>
        <v>22</v>
      </c>
      <c r="BJ102" t="str">
        <f>'Ashed teabags wet'!AC100</f>
        <v/>
      </c>
      <c r="BK102">
        <f>'Ashed teabags wet'!AD517</f>
        <v>204</v>
      </c>
      <c r="BL102" t="str">
        <f>'Ashed teabags wet'!AE517</f>
        <v/>
      </c>
      <c r="BN102" t="str">
        <f t="shared" si="46"/>
        <v>G491</v>
      </c>
      <c r="BO102" t="b">
        <f t="shared" si="47"/>
        <v>1</v>
      </c>
    </row>
    <row r="103" spans="2:68" ht="12" customHeight="1">
      <c r="B103" t="str">
        <f>TBIDry!H175</f>
        <v>G176</v>
      </c>
      <c r="C103" t="str">
        <f>TBIDry!I175</f>
        <v>R276</v>
      </c>
      <c r="D103" t="b">
        <f t="shared" si="24"/>
        <v>0</v>
      </c>
      <c r="E103" t="b">
        <f t="shared" si="25"/>
        <v>0</v>
      </c>
      <c r="G103" t="str">
        <f>TBIWet!H175</f>
        <v>G728</v>
      </c>
      <c r="H103" t="str">
        <f>TBIWet!I175</f>
        <v>R500</v>
      </c>
      <c r="I103" t="b">
        <f t="shared" si="26"/>
        <v>0</v>
      </c>
      <c r="J103" t="b">
        <f t="shared" si="27"/>
        <v>0</v>
      </c>
      <c r="L103" t="str">
        <f>'Both teabags AfterWet'!A102</f>
        <v>G842</v>
      </c>
      <c r="M103" t="str">
        <f>'Both teabags AfterWet'!A520</f>
        <v>R253</v>
      </c>
      <c r="N103" t="b">
        <f t="shared" si="28"/>
        <v>0</v>
      </c>
      <c r="O103" t="b">
        <f t="shared" si="29"/>
        <v>0</v>
      </c>
      <c r="P103">
        <f>IFERROR('Both teabags AfterWet'!B102,"")</f>
        <v>135</v>
      </c>
      <c r="Q103">
        <f>'Both teabags AfterWet'!B520</f>
        <v>161</v>
      </c>
      <c r="S103" t="b">
        <f t="shared" si="30"/>
        <v>0</v>
      </c>
      <c r="T103" s="401" t="b">
        <f t="shared" si="31"/>
        <v>0</v>
      </c>
      <c r="V103" t="str">
        <f>'Both teabags AfterDry'!A102</f>
        <v>G226</v>
      </c>
      <c r="W103" t="str">
        <f>'Both teabags AfterDry'!A439</f>
        <v>R36</v>
      </c>
      <c r="X103" t="b">
        <f t="shared" si="32"/>
        <v>0</v>
      </c>
      <c r="Y103" t="b">
        <f t="shared" si="33"/>
        <v>0</v>
      </c>
      <c r="AA103" t="str">
        <f>'Green_rooibos initial weight'!A104</f>
        <v>G100</v>
      </c>
      <c r="AB103" t="str">
        <f>'Green_rooibos initial weight'!A1008</f>
        <v>R100</v>
      </c>
      <c r="AC103" t="b">
        <f t="shared" si="34"/>
        <v>0</v>
      </c>
      <c r="AD103" t="b">
        <f t="shared" si="35"/>
        <v>0</v>
      </c>
      <c r="AG103" t="str">
        <f>'WetLitterbags placem_collection'!K102</f>
        <v>G728</v>
      </c>
      <c r="AH103" t="str">
        <f>'WetLitterbags placem_collection'!M102</f>
        <v>R500</v>
      </c>
      <c r="AI103" t="b">
        <f t="shared" si="36"/>
        <v>0</v>
      </c>
      <c r="AJ103" t="b">
        <f t="shared" si="37"/>
        <v>0</v>
      </c>
      <c r="AK103">
        <f>'WetLitterbags placem_collection'!A102</f>
        <v>100</v>
      </c>
      <c r="AL103">
        <f>'WetLitterbags placem_collection'!A102</f>
        <v>100</v>
      </c>
      <c r="AN103">
        <f>IF('Dry_Litterbag Placem_Collection'!J102=0,"",'Dry_Litterbag Placem_Collection'!J102)</f>
        <v>176</v>
      </c>
      <c r="AO103">
        <f>IF('Dry_Litterbag Placem_Collection'!K102=0,"",'Dry_Litterbag Placem_Collection'!K102)</f>
        <v>276</v>
      </c>
      <c r="AP103" t="b">
        <f t="shared" si="38"/>
        <v>0</v>
      </c>
      <c r="AQ103" t="b">
        <f t="shared" si="39"/>
        <v>0</v>
      </c>
      <c r="AT103" t="str">
        <f>'Ashed teabags dry'!A101</f>
        <v>G226</v>
      </c>
      <c r="AU103" t="str">
        <f>'Ashed teabags dry'!A438</f>
        <v>R352</v>
      </c>
      <c r="AV103" t="b">
        <f t="shared" si="40"/>
        <v>0</v>
      </c>
      <c r="AW103" t="b">
        <f t="shared" si="41"/>
        <v>0</v>
      </c>
      <c r="AZ103" s="401" t="b">
        <f t="shared" si="42"/>
        <v>0</v>
      </c>
      <c r="BA103" s="401" t="b">
        <f t="shared" si="43"/>
        <v>0</v>
      </c>
      <c r="BC103" t="str">
        <f>'Ashed teabags wet'!A101</f>
        <v>G494</v>
      </c>
      <c r="BD103" t="str">
        <f>'Ashed teabags wet'!A518</f>
        <v>R266</v>
      </c>
      <c r="BE103" t="b">
        <f t="shared" si="44"/>
        <v>0</v>
      </c>
      <c r="BF103" t="b">
        <f t="shared" si="45"/>
        <v>0</v>
      </c>
      <c r="BG103">
        <f>IFERROR('Ashed teabags wet'!C101,"")</f>
        <v>83</v>
      </c>
      <c r="BH103">
        <f>IFERROR('Ashed teabags wet'!C518,"")</f>
        <v>70</v>
      </c>
      <c r="BI103">
        <f>'Ashed teabags wet'!AB101</f>
        <v>82</v>
      </c>
      <c r="BJ103" t="str">
        <f>'Ashed teabags wet'!AC101</f>
        <v/>
      </c>
      <c r="BK103" t="str">
        <f>'Ashed teabags wet'!AD518</f>
        <v/>
      </c>
      <c r="BL103">
        <f>'Ashed teabags wet'!AE518</f>
        <v>69</v>
      </c>
      <c r="BN103" t="str">
        <f t="shared" si="46"/>
        <v>G492</v>
      </c>
      <c r="BO103" t="b">
        <f t="shared" si="47"/>
        <v>1</v>
      </c>
      <c r="BP103" s="402"/>
    </row>
    <row r="104" spans="2:68" ht="12" customHeight="1">
      <c r="B104" t="str">
        <f>TBIDry!H176</f>
        <v>G11</v>
      </c>
      <c r="C104" t="str">
        <f>TBIDry!I176</f>
        <v>R624</v>
      </c>
      <c r="D104" t="b">
        <f t="shared" si="24"/>
        <v>0</v>
      </c>
      <c r="E104" t="b">
        <f t="shared" si="25"/>
        <v>0</v>
      </c>
      <c r="G104" t="str">
        <f>TBIWet!H176</f>
        <v>G808</v>
      </c>
      <c r="H104" t="str">
        <f>TBIWet!I176</f>
        <v>R482</v>
      </c>
      <c r="I104" t="b">
        <f t="shared" si="26"/>
        <v>0</v>
      </c>
      <c r="J104" t="b">
        <f t="shared" si="27"/>
        <v>0</v>
      </c>
      <c r="L104" t="str">
        <f>'Both teabags AfterWet'!A103</f>
        <v>G483</v>
      </c>
      <c r="M104" t="str">
        <f>'Both teabags AfterWet'!A521</f>
        <v>R255</v>
      </c>
      <c r="N104" t="b">
        <f t="shared" si="28"/>
        <v>0</v>
      </c>
      <c r="O104" t="b">
        <f t="shared" si="29"/>
        <v>0</v>
      </c>
      <c r="P104">
        <f>IFERROR('Both teabags AfterWet'!B103,"")</f>
        <v>177</v>
      </c>
      <c r="Q104" t="str">
        <f>'Both teabags AfterWet'!B521</f>
        <v>n.a</v>
      </c>
      <c r="S104" s="401" t="b">
        <f t="shared" si="30"/>
        <v>0</v>
      </c>
      <c r="T104" s="401" t="b">
        <f t="shared" si="31"/>
        <v>0</v>
      </c>
      <c r="V104" t="str">
        <f>'Both teabags AfterDry'!A103</f>
        <v>G227</v>
      </c>
      <c r="W104" t="str">
        <f>'Both teabags AfterDry'!A440</f>
        <v>R361</v>
      </c>
      <c r="X104" t="b">
        <f t="shared" si="32"/>
        <v>0</v>
      </c>
      <c r="Y104" t="b">
        <f t="shared" si="33"/>
        <v>0</v>
      </c>
      <c r="AA104" t="str">
        <f>'Green_rooibos initial weight'!A105</f>
        <v>G101</v>
      </c>
      <c r="AB104" t="str">
        <f>'Green_rooibos initial weight'!A1009</f>
        <v>R101</v>
      </c>
      <c r="AC104" t="b">
        <f t="shared" si="34"/>
        <v>0</v>
      </c>
      <c r="AD104" t="b">
        <f t="shared" si="35"/>
        <v>0</v>
      </c>
      <c r="AG104" t="str">
        <f>'WetLitterbags placem_collection'!K103</f>
        <v>G808</v>
      </c>
      <c r="AH104" t="str">
        <f>'WetLitterbags placem_collection'!M103</f>
        <v>R482</v>
      </c>
      <c r="AI104" t="b">
        <f t="shared" si="36"/>
        <v>0</v>
      </c>
      <c r="AJ104" t="b">
        <f t="shared" si="37"/>
        <v>0</v>
      </c>
      <c r="AK104">
        <f>'WetLitterbags placem_collection'!A103</f>
        <v>101</v>
      </c>
      <c r="AL104">
        <f>'WetLitterbags placem_collection'!A103</f>
        <v>101</v>
      </c>
      <c r="AN104">
        <f>IF('Dry_Litterbag Placem_Collection'!J103=0,"",'Dry_Litterbag Placem_Collection'!J103)</f>
        <v>11</v>
      </c>
      <c r="AO104">
        <f>IF('Dry_Litterbag Placem_Collection'!K103=0,"",'Dry_Litterbag Placem_Collection'!K103)</f>
        <v>624</v>
      </c>
      <c r="AP104" t="b">
        <f t="shared" si="38"/>
        <v>0</v>
      </c>
      <c r="AQ104" t="b">
        <f t="shared" si="39"/>
        <v>0</v>
      </c>
      <c r="AT104" t="str">
        <f>'Ashed teabags dry'!A102</f>
        <v>G227</v>
      </c>
      <c r="AU104" t="str">
        <f>'Ashed teabags dry'!A439</f>
        <v>R357</v>
      </c>
      <c r="AV104" t="b">
        <f t="shared" si="40"/>
        <v>0</v>
      </c>
      <c r="AW104" t="b">
        <f t="shared" si="41"/>
        <v>0</v>
      </c>
      <c r="AZ104" s="401" t="b">
        <f t="shared" si="42"/>
        <v>0</v>
      </c>
      <c r="BA104" s="401" t="b">
        <f t="shared" si="43"/>
        <v>0</v>
      </c>
      <c r="BC104" t="str">
        <f>'Ashed teabags wet'!A102</f>
        <v>G496</v>
      </c>
      <c r="BD104" t="str">
        <f>'Ashed teabags wet'!A519</f>
        <v>R268</v>
      </c>
      <c r="BE104" t="b">
        <f t="shared" si="44"/>
        <v>0</v>
      </c>
      <c r="BF104" t="b">
        <f t="shared" si="45"/>
        <v>0</v>
      </c>
      <c r="BG104">
        <f>IFERROR('Ashed teabags wet'!C102,"")</f>
        <v>169</v>
      </c>
      <c r="BH104">
        <f>IFERROR('Ashed teabags wet'!C519,"")</f>
        <v>180</v>
      </c>
      <c r="BI104" t="str">
        <f>'Ashed teabags wet'!AB102</f>
        <v/>
      </c>
      <c r="BJ104">
        <f>'Ashed teabags wet'!AC102</f>
        <v>168</v>
      </c>
      <c r="BK104">
        <f>'Ashed teabags wet'!AD519</f>
        <v>179</v>
      </c>
      <c r="BL104" t="str">
        <f>'Ashed teabags wet'!AE519</f>
        <v/>
      </c>
      <c r="BN104" t="str">
        <f t="shared" si="46"/>
        <v>G494</v>
      </c>
      <c r="BO104" t="b">
        <f t="shared" si="47"/>
        <v>1</v>
      </c>
      <c r="BP104" s="402"/>
    </row>
    <row r="105" spans="2:68" ht="12" customHeight="1">
      <c r="B105" t="str">
        <f>TBIDry!H177</f>
        <v>G284</v>
      </c>
      <c r="C105" t="str">
        <f>TBIDry!I177</f>
        <v>R781</v>
      </c>
      <c r="D105" t="b">
        <f t="shared" si="24"/>
        <v>0</v>
      </c>
      <c r="E105" t="b">
        <f t="shared" si="25"/>
        <v>0</v>
      </c>
      <c r="G105" t="str">
        <f>TBIWet!H177</f>
        <v>G892</v>
      </c>
      <c r="H105" t="str">
        <f>TBIWet!I177</f>
        <v>R569</v>
      </c>
      <c r="I105" t="b">
        <f t="shared" si="26"/>
        <v>0</v>
      </c>
      <c r="J105" t="b">
        <f t="shared" si="27"/>
        <v>0</v>
      </c>
      <c r="L105" t="str">
        <f>'Both teabags AfterWet'!A104</f>
        <v>G486</v>
      </c>
      <c r="M105" t="str">
        <f>'Both teabags AfterWet'!A522</f>
        <v>R258</v>
      </c>
      <c r="N105" t="b">
        <f t="shared" si="28"/>
        <v>0</v>
      </c>
      <c r="O105" t="b">
        <f t="shared" si="29"/>
        <v>0</v>
      </c>
      <c r="P105">
        <f>IFERROR('Both teabags AfterWet'!B104,"")</f>
        <v>95</v>
      </c>
      <c r="Q105">
        <f>'Both teabags AfterWet'!B522</f>
        <v>206</v>
      </c>
      <c r="S105" s="401" t="b">
        <f t="shared" si="30"/>
        <v>0</v>
      </c>
      <c r="T105" s="401" t="b">
        <f t="shared" si="31"/>
        <v>0</v>
      </c>
      <c r="V105" t="str">
        <f>'Both teabags AfterDry'!A104</f>
        <v>G228</v>
      </c>
      <c r="W105" t="str">
        <f>'Both teabags AfterDry'!A441</f>
        <v>R364</v>
      </c>
      <c r="X105" t="b">
        <f t="shared" si="32"/>
        <v>0</v>
      </c>
      <c r="Y105" t="b">
        <f t="shared" si="33"/>
        <v>0</v>
      </c>
      <c r="AA105" t="str">
        <f>'Green_rooibos initial weight'!A106</f>
        <v>G102</v>
      </c>
      <c r="AB105" t="str">
        <f>'Green_rooibos initial weight'!A1010</f>
        <v>R102</v>
      </c>
      <c r="AC105" t="b">
        <f t="shared" si="34"/>
        <v>0</v>
      </c>
      <c r="AD105" t="b">
        <f t="shared" si="35"/>
        <v>0</v>
      </c>
      <c r="AG105" t="str">
        <f>'WetLitterbags placem_collection'!K104</f>
        <v>G892</v>
      </c>
      <c r="AH105" t="str">
        <f>'WetLitterbags placem_collection'!M104</f>
        <v>R569</v>
      </c>
      <c r="AI105" t="b">
        <f t="shared" si="36"/>
        <v>0</v>
      </c>
      <c r="AJ105" t="b">
        <f t="shared" si="37"/>
        <v>0</v>
      </c>
      <c r="AK105">
        <f>'WetLitterbags placem_collection'!A104</f>
        <v>102</v>
      </c>
      <c r="AL105">
        <f>'WetLitterbags placem_collection'!A104</f>
        <v>102</v>
      </c>
      <c r="AN105">
        <f>IF('Dry_Litterbag Placem_Collection'!J104=0,"",'Dry_Litterbag Placem_Collection'!J104)</f>
        <v>284</v>
      </c>
      <c r="AO105">
        <f>IF('Dry_Litterbag Placem_Collection'!K104=0,"",'Dry_Litterbag Placem_Collection'!K104)</f>
        <v>781</v>
      </c>
      <c r="AP105" t="b">
        <f t="shared" si="38"/>
        <v>0</v>
      </c>
      <c r="AQ105" t="b">
        <f t="shared" si="39"/>
        <v>0</v>
      </c>
      <c r="AT105" t="str">
        <f>'Ashed teabags dry'!A103</f>
        <v>G228</v>
      </c>
      <c r="AU105" t="str">
        <f>'Ashed teabags dry'!A440</f>
        <v>R36</v>
      </c>
      <c r="AV105" t="b">
        <f t="shared" si="40"/>
        <v>0</v>
      </c>
      <c r="AW105" t="b">
        <f t="shared" si="41"/>
        <v>0</v>
      </c>
      <c r="AZ105" s="401" t="b">
        <f t="shared" si="42"/>
        <v>0</v>
      </c>
      <c r="BA105" s="401" t="b">
        <f t="shared" si="43"/>
        <v>0</v>
      </c>
      <c r="BC105" t="str">
        <f>'Ashed teabags wet'!A103</f>
        <v>G497</v>
      </c>
      <c r="BD105" t="str">
        <f>'Ashed teabags wet'!A520</f>
        <v>R27</v>
      </c>
      <c r="BE105" t="b">
        <f t="shared" si="44"/>
        <v>0</v>
      </c>
      <c r="BF105" t="b">
        <f t="shared" si="45"/>
        <v>0</v>
      </c>
      <c r="BG105">
        <f>IFERROR('Ashed teabags wet'!C103,"")</f>
        <v>5</v>
      </c>
      <c r="BH105">
        <f>IFERROR('Ashed teabags wet'!C520,"")</f>
        <v>145</v>
      </c>
      <c r="BI105">
        <f>'Ashed teabags wet'!AB103</f>
        <v>4</v>
      </c>
      <c r="BJ105" t="str">
        <f>'Ashed teabags wet'!AC103</f>
        <v/>
      </c>
      <c r="BK105">
        <f>'Ashed teabags wet'!AD520</f>
        <v>144</v>
      </c>
      <c r="BL105" t="str">
        <f>'Ashed teabags wet'!AE520</f>
        <v/>
      </c>
      <c r="BN105" t="str">
        <f t="shared" si="46"/>
        <v>G496</v>
      </c>
      <c r="BO105" t="b">
        <f t="shared" si="47"/>
        <v>1</v>
      </c>
    </row>
    <row r="106" spans="2:68" ht="12" customHeight="1">
      <c r="B106" t="str">
        <f>TBIDry!H178</f>
        <v>G326</v>
      </c>
      <c r="C106" t="str">
        <f>TBIDry!I178</f>
        <v>R772</v>
      </c>
      <c r="D106" t="b">
        <f t="shared" si="24"/>
        <v>0</v>
      </c>
      <c r="E106" t="b">
        <f t="shared" si="25"/>
        <v>0</v>
      </c>
      <c r="G106" t="str">
        <f>TBIWet!H178</f>
        <v>G869</v>
      </c>
      <c r="H106" t="str">
        <f>TBIWet!I178</f>
        <v>R430</v>
      </c>
      <c r="I106" t="b">
        <f t="shared" si="26"/>
        <v>0</v>
      </c>
      <c r="J106" t="b">
        <f t="shared" si="27"/>
        <v>0</v>
      </c>
      <c r="L106" t="str">
        <f>'Both teabags AfterWet'!A105</f>
        <v>G489</v>
      </c>
      <c r="M106" t="str">
        <f>'Both teabags AfterWet'!A523</f>
        <v>R259</v>
      </c>
      <c r="N106" t="b">
        <f t="shared" si="28"/>
        <v>0</v>
      </c>
      <c r="O106" t="b">
        <f t="shared" si="29"/>
        <v>0</v>
      </c>
      <c r="P106">
        <f>IFERROR('Both teabags AfterWet'!B105,"")</f>
        <v>59</v>
      </c>
      <c r="Q106" t="str">
        <f>'Both teabags AfterWet'!B523</f>
        <v>n.a</v>
      </c>
      <c r="S106" s="401" t="b">
        <f t="shared" si="30"/>
        <v>0</v>
      </c>
      <c r="T106" s="401" t="b">
        <f t="shared" si="31"/>
        <v>0</v>
      </c>
      <c r="V106" t="str">
        <f>'Both teabags AfterDry'!A105</f>
        <v>G23</v>
      </c>
      <c r="W106" t="str">
        <f>'Both teabags AfterDry'!A442</f>
        <v>R365</v>
      </c>
      <c r="X106" t="b">
        <f t="shared" si="32"/>
        <v>0</v>
      </c>
      <c r="Y106" t="b">
        <f t="shared" si="33"/>
        <v>0</v>
      </c>
      <c r="AA106" t="str">
        <f>'Green_rooibos initial weight'!A107</f>
        <v>G103</v>
      </c>
      <c r="AB106" t="str">
        <f>'Green_rooibos initial weight'!A1011</f>
        <v>R103</v>
      </c>
      <c r="AC106" t="b">
        <f t="shared" si="34"/>
        <v>0</v>
      </c>
      <c r="AD106" t="b">
        <f t="shared" si="35"/>
        <v>0</v>
      </c>
      <c r="AG106" t="str">
        <f>'WetLitterbags placem_collection'!K105</f>
        <v>G869</v>
      </c>
      <c r="AH106" t="str">
        <f>'WetLitterbags placem_collection'!M105</f>
        <v>R430</v>
      </c>
      <c r="AI106" t="b">
        <f t="shared" si="36"/>
        <v>0</v>
      </c>
      <c r="AJ106" t="b">
        <f t="shared" si="37"/>
        <v>0</v>
      </c>
      <c r="AK106">
        <f>'WetLitterbags placem_collection'!A105</f>
        <v>103</v>
      </c>
      <c r="AL106">
        <f>'WetLitterbags placem_collection'!A105</f>
        <v>103</v>
      </c>
      <c r="AN106">
        <f>IF('Dry_Litterbag Placem_Collection'!J105=0,"",'Dry_Litterbag Placem_Collection'!J105)</f>
        <v>326</v>
      </c>
      <c r="AO106">
        <f>IF('Dry_Litterbag Placem_Collection'!K105=0,"",'Dry_Litterbag Placem_Collection'!K105)</f>
        <v>772</v>
      </c>
      <c r="AP106" t="b">
        <f t="shared" si="38"/>
        <v>0</v>
      </c>
      <c r="AQ106" t="b">
        <f t="shared" si="39"/>
        <v>0</v>
      </c>
      <c r="AT106" t="str">
        <f>'Ashed teabags dry'!A104</f>
        <v>G23</v>
      </c>
      <c r="AU106" t="str">
        <f>'Ashed teabags dry'!A441</f>
        <v>R361</v>
      </c>
      <c r="AV106" t="b">
        <f t="shared" si="40"/>
        <v>0</v>
      </c>
      <c r="AW106" t="b">
        <f t="shared" si="41"/>
        <v>0</v>
      </c>
      <c r="AZ106" s="401" t="b">
        <f t="shared" si="42"/>
        <v>0</v>
      </c>
      <c r="BA106" s="401" t="b">
        <f t="shared" si="43"/>
        <v>0</v>
      </c>
      <c r="BC106" t="str">
        <f>'Ashed teabags wet'!A104</f>
        <v>G498</v>
      </c>
      <c r="BD106" t="str">
        <f>'Ashed teabags wet'!A521</f>
        <v>R271</v>
      </c>
      <c r="BE106" t="b">
        <f t="shared" si="44"/>
        <v>0</v>
      </c>
      <c r="BF106" t="b">
        <f t="shared" si="45"/>
        <v>0</v>
      </c>
      <c r="BG106">
        <f>IFERROR('Ashed teabags wet'!C104,"")</f>
        <v>73</v>
      </c>
      <c r="BH106">
        <f>IFERROR('Ashed teabags wet'!C521,"")</f>
        <v>209</v>
      </c>
      <c r="BI106" t="str">
        <f>'Ashed teabags wet'!AB104</f>
        <v/>
      </c>
      <c r="BJ106">
        <f>'Ashed teabags wet'!AC104</f>
        <v>72</v>
      </c>
      <c r="BK106">
        <f>'Ashed teabags wet'!AD521</f>
        <v>208</v>
      </c>
      <c r="BL106" t="str">
        <f>'Ashed teabags wet'!AE521</f>
        <v/>
      </c>
      <c r="BN106" t="str">
        <f t="shared" si="46"/>
        <v>G497</v>
      </c>
      <c r="BO106" t="b">
        <f t="shared" si="47"/>
        <v>1</v>
      </c>
      <c r="BP106" s="402"/>
    </row>
    <row r="107" spans="2:68" ht="12" customHeight="1">
      <c r="B107" t="str">
        <f>TBIDry!H179</f>
        <v>G162</v>
      </c>
      <c r="C107" t="str">
        <f>TBIDry!I179</f>
        <v>R744</v>
      </c>
      <c r="D107" t="b">
        <f t="shared" si="24"/>
        <v>0</v>
      </c>
      <c r="E107" t="b">
        <f t="shared" si="25"/>
        <v>0</v>
      </c>
      <c r="G107" t="str">
        <f>TBIWet!H179</f>
        <v>G881</v>
      </c>
      <c r="H107" t="str">
        <f>TBIWet!I179</f>
        <v>R577</v>
      </c>
      <c r="I107" t="b">
        <f t="shared" si="26"/>
        <v>0</v>
      </c>
      <c r="J107" t="b">
        <f t="shared" si="27"/>
        <v>0</v>
      </c>
      <c r="L107" t="str">
        <f>'Both teabags AfterWet'!A106</f>
        <v>G491</v>
      </c>
      <c r="M107" t="str">
        <f>'Both teabags AfterWet'!A524</f>
        <v>R26</v>
      </c>
      <c r="N107" t="b">
        <f t="shared" si="28"/>
        <v>0</v>
      </c>
      <c r="O107" t="b">
        <f t="shared" si="29"/>
        <v>0</v>
      </c>
      <c r="P107">
        <f>IFERROR('Both teabags AfterWet'!B106,"")</f>
        <v>219</v>
      </c>
      <c r="Q107">
        <f>'Both teabags AfterWet'!B524</f>
        <v>102</v>
      </c>
      <c r="S107" s="401" t="b">
        <f t="shared" si="30"/>
        <v>0</v>
      </c>
      <c r="T107" s="401" t="b">
        <f t="shared" si="31"/>
        <v>0</v>
      </c>
      <c r="V107" t="str">
        <f>'Both teabags AfterDry'!A106</f>
        <v>G230</v>
      </c>
      <c r="W107" t="str">
        <f>'Both teabags AfterDry'!A443</f>
        <v>R366</v>
      </c>
      <c r="X107" t="b">
        <f t="shared" si="32"/>
        <v>0</v>
      </c>
      <c r="Y107" t="b">
        <f t="shared" si="33"/>
        <v>0</v>
      </c>
      <c r="AA107" t="str">
        <f>'Green_rooibos initial weight'!A108</f>
        <v>G104</v>
      </c>
      <c r="AB107" t="str">
        <f>'Green_rooibos initial weight'!A1012</f>
        <v>R104</v>
      </c>
      <c r="AC107" t="b">
        <f t="shared" si="34"/>
        <v>0</v>
      </c>
      <c r="AD107" t="b">
        <f t="shared" si="35"/>
        <v>0</v>
      </c>
      <c r="AG107" t="str">
        <f>'WetLitterbags placem_collection'!K106</f>
        <v>G881</v>
      </c>
      <c r="AH107" t="str">
        <f>'WetLitterbags placem_collection'!M106</f>
        <v>R577</v>
      </c>
      <c r="AI107" t="b">
        <f t="shared" si="36"/>
        <v>0</v>
      </c>
      <c r="AJ107" t="b">
        <f t="shared" si="37"/>
        <v>0</v>
      </c>
      <c r="AK107">
        <f>'WetLitterbags placem_collection'!A106</f>
        <v>104</v>
      </c>
      <c r="AL107">
        <f>'WetLitterbags placem_collection'!A106</f>
        <v>104</v>
      </c>
      <c r="AN107">
        <f>IF('Dry_Litterbag Placem_Collection'!J106=0,"",'Dry_Litterbag Placem_Collection'!J106)</f>
        <v>162</v>
      </c>
      <c r="AO107">
        <f>IF('Dry_Litterbag Placem_Collection'!K106=0,"",'Dry_Litterbag Placem_Collection'!K106)</f>
        <v>744</v>
      </c>
      <c r="AP107" t="b">
        <f t="shared" si="38"/>
        <v>0</v>
      </c>
      <c r="AQ107" t="b">
        <f t="shared" si="39"/>
        <v>0</v>
      </c>
      <c r="AT107" t="str">
        <f>'Ashed teabags dry'!A105</f>
        <v>G230</v>
      </c>
      <c r="AU107" t="str">
        <f>'Ashed teabags dry'!A442</f>
        <v>R365</v>
      </c>
      <c r="AV107" t="b">
        <f t="shared" si="40"/>
        <v>0</v>
      </c>
      <c r="AW107" t="b">
        <f t="shared" si="41"/>
        <v>0</v>
      </c>
      <c r="AZ107" s="401" t="b">
        <f t="shared" si="42"/>
        <v>0</v>
      </c>
      <c r="BA107" s="401" t="b">
        <f t="shared" si="43"/>
        <v>0</v>
      </c>
      <c r="BC107" t="str">
        <f>'Ashed teabags wet'!A105</f>
        <v>G499</v>
      </c>
      <c r="BD107" t="str">
        <f>'Ashed teabags wet'!A522</f>
        <v>R273</v>
      </c>
      <c r="BE107" t="b">
        <f t="shared" si="44"/>
        <v>0</v>
      </c>
      <c r="BF107" t="b">
        <f t="shared" si="45"/>
        <v>0</v>
      </c>
      <c r="BG107">
        <f>IFERROR('Ashed teabags wet'!C105,"")</f>
        <v>38</v>
      </c>
      <c r="BH107">
        <f>IFERROR('Ashed teabags wet'!C522,"")</f>
        <v>179</v>
      </c>
      <c r="BI107">
        <f>'Ashed teabags wet'!AB105</f>
        <v>37</v>
      </c>
      <c r="BJ107" t="str">
        <f>'Ashed teabags wet'!AC105</f>
        <v/>
      </c>
      <c r="BK107" t="str">
        <f>'Ashed teabags wet'!AD522</f>
        <v/>
      </c>
      <c r="BL107">
        <f>'Ashed teabags wet'!AE522</f>
        <v>178</v>
      </c>
      <c r="BN107" t="str">
        <f t="shared" si="46"/>
        <v>G498</v>
      </c>
      <c r="BO107" t="b">
        <f t="shared" si="47"/>
        <v>1</v>
      </c>
    </row>
    <row r="108" spans="2:68" ht="12" customHeight="1">
      <c r="B108" t="str">
        <f>TBIDry!H180</f>
        <v>G6</v>
      </c>
      <c r="C108" t="str">
        <f>TBIDry!I180</f>
        <v>R824</v>
      </c>
      <c r="D108" t="b">
        <f t="shared" si="24"/>
        <v>0</v>
      </c>
      <c r="E108" t="b">
        <f t="shared" si="25"/>
        <v>0</v>
      </c>
      <c r="G108" t="str">
        <f>TBIWet!H180</f>
        <v>G729</v>
      </c>
      <c r="H108" t="str">
        <f>TBIWet!I180</f>
        <v>R548</v>
      </c>
      <c r="I108" t="b">
        <f t="shared" si="26"/>
        <v>0</v>
      </c>
      <c r="J108" t="b">
        <f t="shared" si="27"/>
        <v>0</v>
      </c>
      <c r="L108" t="str">
        <f>'Both teabags AfterWet'!A107</f>
        <v>G492</v>
      </c>
      <c r="M108" t="str">
        <f>'Both teabags AfterWet'!A525</f>
        <v>R262</v>
      </c>
      <c r="N108" t="b">
        <f t="shared" si="28"/>
        <v>0</v>
      </c>
      <c r="O108" t="b">
        <f t="shared" si="29"/>
        <v>0</v>
      </c>
      <c r="P108">
        <f>IFERROR('Both teabags AfterWet'!B107,"")</f>
        <v>23</v>
      </c>
      <c r="Q108">
        <f>'Both teabags AfterWet'!B525</f>
        <v>177</v>
      </c>
      <c r="S108" s="401" t="b">
        <f t="shared" si="30"/>
        <v>0</v>
      </c>
      <c r="T108" s="401" t="b">
        <f t="shared" si="31"/>
        <v>0</v>
      </c>
      <c r="V108" t="str">
        <f>'Both teabags AfterDry'!A107</f>
        <v>G231</v>
      </c>
      <c r="W108" t="str">
        <f>'Both teabags AfterDry'!A444</f>
        <v>R367</v>
      </c>
      <c r="X108" s="113" t="b">
        <f t="shared" si="32"/>
        <v>1</v>
      </c>
      <c r="Y108" t="b">
        <f t="shared" si="33"/>
        <v>0</v>
      </c>
      <c r="AA108" t="str">
        <f>'Green_rooibos initial weight'!A109</f>
        <v>G105</v>
      </c>
      <c r="AB108" t="str">
        <f>'Green_rooibos initial weight'!A1013</f>
        <v>R105</v>
      </c>
      <c r="AC108" t="b">
        <f t="shared" si="34"/>
        <v>0</v>
      </c>
      <c r="AD108" t="b">
        <f t="shared" si="35"/>
        <v>0</v>
      </c>
      <c r="AG108" t="str">
        <f>'WetLitterbags placem_collection'!K107</f>
        <v>G729</v>
      </c>
      <c r="AH108" t="str">
        <f>'WetLitterbags placem_collection'!M107</f>
        <v>R548</v>
      </c>
      <c r="AI108" t="b">
        <f t="shared" si="36"/>
        <v>0</v>
      </c>
      <c r="AJ108" t="b">
        <f t="shared" si="37"/>
        <v>0</v>
      </c>
      <c r="AK108">
        <f>'WetLitterbags placem_collection'!A107</f>
        <v>105</v>
      </c>
      <c r="AL108">
        <f>'WetLitterbags placem_collection'!A107</f>
        <v>105</v>
      </c>
      <c r="AN108">
        <f>IF('Dry_Litterbag Placem_Collection'!J107=0,"",'Dry_Litterbag Placem_Collection'!J107)</f>
        <v>6</v>
      </c>
      <c r="AO108">
        <f>IF('Dry_Litterbag Placem_Collection'!K107=0,"",'Dry_Litterbag Placem_Collection'!K107)</f>
        <v>824</v>
      </c>
      <c r="AP108" t="b">
        <f t="shared" si="38"/>
        <v>0</v>
      </c>
      <c r="AQ108" t="b">
        <f t="shared" si="39"/>
        <v>0</v>
      </c>
      <c r="AT108" t="str">
        <f>'Ashed teabags dry'!A106</f>
        <v>G231</v>
      </c>
      <c r="AU108" t="str">
        <f>'Ashed teabags dry'!A443</f>
        <v>R366</v>
      </c>
      <c r="AV108" t="b">
        <f t="shared" si="40"/>
        <v>0</v>
      </c>
      <c r="AW108" t="b">
        <f t="shared" si="41"/>
        <v>0</v>
      </c>
      <c r="AZ108" s="401" t="b">
        <f t="shared" si="42"/>
        <v>0</v>
      </c>
      <c r="BA108" s="401" t="b">
        <f t="shared" si="43"/>
        <v>0</v>
      </c>
      <c r="BC108" t="str">
        <f>'Ashed teabags wet'!A106</f>
        <v>G500</v>
      </c>
      <c r="BD108" t="str">
        <f>'Ashed teabags wet'!A523</f>
        <v>R274</v>
      </c>
      <c r="BE108" t="b">
        <f t="shared" si="44"/>
        <v>0</v>
      </c>
      <c r="BF108" t="b">
        <f t="shared" si="45"/>
        <v>0</v>
      </c>
      <c r="BG108">
        <f>IFERROR('Ashed teabags wet'!C106,"")</f>
        <v>30</v>
      </c>
      <c r="BH108">
        <f>IFERROR('Ashed teabags wet'!C523,"")</f>
        <v>18</v>
      </c>
      <c r="BI108" t="str">
        <f>'Ashed teabags wet'!AB106</f>
        <v/>
      </c>
      <c r="BJ108">
        <f>'Ashed teabags wet'!AC106</f>
        <v>29</v>
      </c>
      <c r="BK108" t="str">
        <f>'Ashed teabags wet'!AD523</f>
        <v/>
      </c>
      <c r="BL108">
        <f>'Ashed teabags wet'!AE523</f>
        <v>17</v>
      </c>
      <c r="BN108" t="str">
        <f t="shared" si="46"/>
        <v>G499</v>
      </c>
      <c r="BO108" t="b">
        <f t="shared" si="47"/>
        <v>1</v>
      </c>
    </row>
    <row r="109" spans="2:68" ht="12" customHeight="1">
      <c r="B109" t="str">
        <f>TBIDry!H181</f>
        <v>G20</v>
      </c>
      <c r="C109" t="str">
        <f>TBIDry!I181</f>
        <v>R790</v>
      </c>
      <c r="D109" t="b">
        <f t="shared" si="24"/>
        <v>0</v>
      </c>
      <c r="E109" t="b">
        <f t="shared" si="25"/>
        <v>0</v>
      </c>
      <c r="G109" t="str">
        <f>TBIWet!H181</f>
        <v>G837</v>
      </c>
      <c r="H109" t="str">
        <f>TBIWet!I181</f>
        <v>R590</v>
      </c>
      <c r="I109" t="b">
        <f t="shared" si="26"/>
        <v>0</v>
      </c>
      <c r="J109" t="b">
        <f t="shared" si="27"/>
        <v>0</v>
      </c>
      <c r="L109" t="str">
        <f>'Both teabags AfterWet'!A108</f>
        <v>G494</v>
      </c>
      <c r="M109" t="str">
        <f>'Both teabags AfterWet'!A526</f>
        <v>R263</v>
      </c>
      <c r="N109" t="b">
        <f t="shared" si="28"/>
        <v>0</v>
      </c>
      <c r="O109" t="b">
        <f t="shared" si="29"/>
        <v>0</v>
      </c>
      <c r="P109">
        <f>IFERROR('Both teabags AfterWet'!B108,"")</f>
        <v>83</v>
      </c>
      <c r="Q109">
        <f>'Both teabags AfterWet'!B526</f>
        <v>192</v>
      </c>
      <c r="S109" s="401" t="b">
        <f t="shared" si="30"/>
        <v>0</v>
      </c>
      <c r="T109" s="401" t="b">
        <f t="shared" si="31"/>
        <v>0</v>
      </c>
      <c r="V109" t="str">
        <f>'Both teabags AfterDry'!A108</f>
        <v>G231</v>
      </c>
      <c r="W109" t="str">
        <f>'Both teabags AfterDry'!A445</f>
        <v>R373</v>
      </c>
      <c r="X109" s="113" t="b">
        <f t="shared" si="32"/>
        <v>1</v>
      </c>
      <c r="Y109" t="b">
        <f t="shared" si="33"/>
        <v>0</v>
      </c>
      <c r="AA109" t="str">
        <f>'Green_rooibos initial weight'!A110</f>
        <v>G106</v>
      </c>
      <c r="AB109" t="str">
        <f>'Green_rooibos initial weight'!A1014</f>
        <v>R106</v>
      </c>
      <c r="AC109" t="b">
        <f t="shared" si="34"/>
        <v>0</v>
      </c>
      <c r="AD109" t="b">
        <f t="shared" si="35"/>
        <v>0</v>
      </c>
      <c r="AG109" t="str">
        <f>'WetLitterbags placem_collection'!K108</f>
        <v>G837</v>
      </c>
      <c r="AH109" t="str">
        <f>'WetLitterbags placem_collection'!M108</f>
        <v>R590</v>
      </c>
      <c r="AI109" t="b">
        <f t="shared" si="36"/>
        <v>0</v>
      </c>
      <c r="AJ109" t="b">
        <f t="shared" si="37"/>
        <v>0</v>
      </c>
      <c r="AK109">
        <f>'WetLitterbags placem_collection'!A108</f>
        <v>106</v>
      </c>
      <c r="AL109">
        <f>'WetLitterbags placem_collection'!A108</f>
        <v>106</v>
      </c>
      <c r="AN109">
        <f>IF('Dry_Litterbag Placem_Collection'!J108=0,"",'Dry_Litterbag Placem_Collection'!J108)</f>
        <v>20</v>
      </c>
      <c r="AO109">
        <f>IF('Dry_Litterbag Placem_Collection'!K108=0,"",'Dry_Litterbag Placem_Collection'!K108)</f>
        <v>790</v>
      </c>
      <c r="AP109" t="b">
        <f t="shared" si="38"/>
        <v>0</v>
      </c>
      <c r="AQ109" t="b">
        <f t="shared" si="39"/>
        <v>0</v>
      </c>
      <c r="AT109" t="str">
        <f>'Ashed teabags dry'!A107</f>
        <v>G232</v>
      </c>
      <c r="AU109" s="113" t="str">
        <f>'Ashed teabags dry'!A444</f>
        <v>R367</v>
      </c>
      <c r="AV109" t="b">
        <f t="shared" si="40"/>
        <v>0</v>
      </c>
      <c r="AW109" t="b">
        <f t="shared" si="41"/>
        <v>0</v>
      </c>
      <c r="AZ109" s="401" t="b">
        <f t="shared" si="42"/>
        <v>0</v>
      </c>
      <c r="BA109" s="113" t="b">
        <f t="shared" si="43"/>
        <v>1</v>
      </c>
      <c r="BC109" t="str">
        <f>'Ashed teabags wet'!A107</f>
        <v>G502</v>
      </c>
      <c r="BD109" t="str">
        <f>'Ashed teabags wet'!A524</f>
        <v>R279</v>
      </c>
      <c r="BE109" t="b">
        <f t="shared" si="44"/>
        <v>0</v>
      </c>
      <c r="BF109" t="b">
        <f t="shared" si="45"/>
        <v>0</v>
      </c>
      <c r="BG109">
        <f>IFERROR('Ashed teabags wet'!C107,"")</f>
        <v>28</v>
      </c>
      <c r="BH109">
        <f>IFERROR('Ashed teabags wet'!C524,"")</f>
        <v>25</v>
      </c>
      <c r="BI109" t="str">
        <f>'Ashed teabags wet'!AB107</f>
        <v/>
      </c>
      <c r="BJ109">
        <f>'Ashed teabags wet'!AC107</f>
        <v>27</v>
      </c>
      <c r="BK109">
        <f>'Ashed teabags wet'!AD524</f>
        <v>24</v>
      </c>
      <c r="BL109" t="str">
        <f>'Ashed teabags wet'!AE524</f>
        <v/>
      </c>
      <c r="BN109" t="str">
        <f t="shared" si="46"/>
        <v>G500</v>
      </c>
      <c r="BO109" t="b">
        <f t="shared" si="47"/>
        <v>1</v>
      </c>
    </row>
    <row r="110" spans="2:68" ht="12" customHeight="1">
      <c r="B110" t="str">
        <f>TBIDry!H182</f>
        <v>G129</v>
      </c>
      <c r="C110" t="str">
        <f>TBIDry!I182</f>
        <v>R809</v>
      </c>
      <c r="D110" t="b">
        <f t="shared" si="24"/>
        <v>0</v>
      </c>
      <c r="E110" t="b">
        <f t="shared" si="25"/>
        <v>0</v>
      </c>
      <c r="G110" t="str">
        <f>TBIWet!H182</f>
        <v>G688</v>
      </c>
      <c r="H110" t="str">
        <f>TBIWet!I182</f>
        <v>R574</v>
      </c>
      <c r="I110" t="b">
        <f t="shared" si="26"/>
        <v>0</v>
      </c>
      <c r="J110" t="b">
        <f t="shared" si="27"/>
        <v>0</v>
      </c>
      <c r="L110" t="str">
        <f>'Both teabags AfterWet'!A109</f>
        <v>G496</v>
      </c>
      <c r="M110" t="str">
        <f>'Both teabags AfterWet'!A527</f>
        <v>R264</v>
      </c>
      <c r="N110" t="b">
        <f t="shared" si="28"/>
        <v>0</v>
      </c>
      <c r="O110" t="b">
        <f t="shared" si="29"/>
        <v>0</v>
      </c>
      <c r="P110">
        <f>IFERROR('Both teabags AfterWet'!B109,"")</f>
        <v>169</v>
      </c>
      <c r="Q110">
        <f>'Both teabags AfterWet'!B527</f>
        <v>64</v>
      </c>
      <c r="S110" s="401" t="b">
        <f t="shared" si="30"/>
        <v>0</v>
      </c>
      <c r="T110" s="401" t="b">
        <f t="shared" si="31"/>
        <v>0</v>
      </c>
      <c r="V110" t="str">
        <f>'Both teabags AfterDry'!A109</f>
        <v>G232</v>
      </c>
      <c r="W110" t="str">
        <f>'Both teabags AfterDry'!A446</f>
        <v>R377</v>
      </c>
      <c r="X110" t="b">
        <f t="shared" si="32"/>
        <v>0</v>
      </c>
      <c r="Y110" t="b">
        <f t="shared" si="33"/>
        <v>0</v>
      </c>
      <c r="AA110" t="str">
        <f>'Green_rooibos initial weight'!A111</f>
        <v>G107</v>
      </c>
      <c r="AB110" t="str">
        <f>'Green_rooibos initial weight'!A1015</f>
        <v>R107</v>
      </c>
      <c r="AC110" t="b">
        <f t="shared" si="34"/>
        <v>0</v>
      </c>
      <c r="AD110" t="b">
        <f t="shared" si="35"/>
        <v>0</v>
      </c>
      <c r="AG110" t="str">
        <f>'WetLitterbags placem_collection'!K109</f>
        <v>G688</v>
      </c>
      <c r="AH110" t="str">
        <f>'WetLitterbags placem_collection'!M109</f>
        <v>R574</v>
      </c>
      <c r="AI110" t="b">
        <f t="shared" si="36"/>
        <v>0</v>
      </c>
      <c r="AJ110" t="b">
        <f t="shared" si="37"/>
        <v>0</v>
      </c>
      <c r="AK110">
        <f>'WetLitterbags placem_collection'!A109</f>
        <v>107</v>
      </c>
      <c r="AL110">
        <f>'WetLitterbags placem_collection'!A109</f>
        <v>107</v>
      </c>
      <c r="AN110">
        <f>IF('Dry_Litterbag Placem_Collection'!J109=0,"",'Dry_Litterbag Placem_Collection'!J109)</f>
        <v>129</v>
      </c>
      <c r="AO110">
        <f>IF('Dry_Litterbag Placem_Collection'!K109=0,"",'Dry_Litterbag Placem_Collection'!K109)</f>
        <v>809</v>
      </c>
      <c r="AP110" t="b">
        <f t="shared" si="38"/>
        <v>0</v>
      </c>
      <c r="AQ110" t="b">
        <f t="shared" si="39"/>
        <v>0</v>
      </c>
      <c r="AT110" t="str">
        <f>'Ashed teabags dry'!A108</f>
        <v>G233</v>
      </c>
      <c r="AU110" t="str">
        <f>'Ashed teabags dry'!A445</f>
        <v>R373</v>
      </c>
      <c r="AV110" t="b">
        <f t="shared" si="40"/>
        <v>0</v>
      </c>
      <c r="AW110" t="b">
        <f t="shared" si="41"/>
        <v>0</v>
      </c>
      <c r="AZ110" s="401" t="b">
        <f t="shared" si="42"/>
        <v>0</v>
      </c>
      <c r="BA110" s="401" t="b">
        <f t="shared" si="43"/>
        <v>0</v>
      </c>
      <c r="BC110" t="str">
        <f>'Ashed teabags wet'!A108</f>
        <v>G503</v>
      </c>
      <c r="BD110" t="str">
        <f>'Ashed teabags wet'!A525</f>
        <v>R28</v>
      </c>
      <c r="BE110" t="b">
        <f t="shared" si="44"/>
        <v>0</v>
      </c>
      <c r="BF110" t="b">
        <f t="shared" si="45"/>
        <v>0</v>
      </c>
      <c r="BG110">
        <f>IFERROR('Ashed teabags wet'!C108,"")</f>
        <v>14</v>
      </c>
      <c r="BH110">
        <f>IFERROR('Ashed teabags wet'!C525,"")</f>
        <v>49</v>
      </c>
      <c r="BI110" t="str">
        <f>'Ashed teabags wet'!AB108</f>
        <v/>
      </c>
      <c r="BJ110">
        <f>'Ashed teabags wet'!AC108</f>
        <v>13</v>
      </c>
      <c r="BK110">
        <f>'Ashed teabags wet'!AD525</f>
        <v>48</v>
      </c>
      <c r="BL110" t="str">
        <f>'Ashed teabags wet'!AE525</f>
        <v/>
      </c>
      <c r="BN110" t="str">
        <f t="shared" si="46"/>
        <v>G502</v>
      </c>
      <c r="BO110" t="b">
        <f t="shared" si="47"/>
        <v>1</v>
      </c>
    </row>
    <row r="111" spans="2:68" ht="12" customHeight="1">
      <c r="B111" t="str">
        <f>TBIDry!H183</f>
        <v>G258</v>
      </c>
      <c r="C111" t="str">
        <f>TBIDry!I183</f>
        <v>R777</v>
      </c>
      <c r="D111" t="b">
        <f t="shared" si="24"/>
        <v>0</v>
      </c>
      <c r="E111" t="b">
        <f t="shared" si="25"/>
        <v>0</v>
      </c>
      <c r="G111" t="str">
        <f>TBIWet!H183</f>
        <v>G883</v>
      </c>
      <c r="H111" t="str">
        <f>TBIWet!I183</f>
        <v>R8</v>
      </c>
      <c r="I111" t="b">
        <f t="shared" si="26"/>
        <v>0</v>
      </c>
      <c r="J111" t="b">
        <f t="shared" si="27"/>
        <v>0</v>
      </c>
      <c r="L111" t="str">
        <f>'Both teabags AfterWet'!A110</f>
        <v>G497</v>
      </c>
      <c r="M111" t="str">
        <f>'Both teabags AfterWet'!A528</f>
        <v>R265</v>
      </c>
      <c r="N111" t="b">
        <f t="shared" si="28"/>
        <v>0</v>
      </c>
      <c r="O111" t="b">
        <f t="shared" si="29"/>
        <v>0</v>
      </c>
      <c r="P111" t="str">
        <f>IFERROR('Both teabags AfterWet'!B110,"")</f>
        <v>n.a</v>
      </c>
      <c r="Q111">
        <f>'Both teabags AfterWet'!B528</f>
        <v>205</v>
      </c>
      <c r="S111" s="401" t="b">
        <f t="shared" si="30"/>
        <v>0</v>
      </c>
      <c r="T111" s="401" t="b">
        <f t="shared" si="31"/>
        <v>0</v>
      </c>
      <c r="V111" t="str">
        <f>'Both teabags AfterDry'!A110</f>
        <v>G233</v>
      </c>
      <c r="W111" t="str">
        <f>'Both teabags AfterDry'!A447</f>
        <v>R379</v>
      </c>
      <c r="X111" t="b">
        <f t="shared" si="32"/>
        <v>0</v>
      </c>
      <c r="Y111" t="b">
        <f t="shared" si="33"/>
        <v>0</v>
      </c>
      <c r="AA111" t="str">
        <f>'Green_rooibos initial weight'!A112</f>
        <v>G108</v>
      </c>
      <c r="AB111" t="str">
        <f>'Green_rooibos initial weight'!A1016</f>
        <v>R108</v>
      </c>
      <c r="AC111" t="b">
        <f t="shared" si="34"/>
        <v>0</v>
      </c>
      <c r="AD111" t="b">
        <f t="shared" si="35"/>
        <v>0</v>
      </c>
      <c r="AG111" t="str">
        <f>'WetLitterbags placem_collection'!K110</f>
        <v>G883</v>
      </c>
      <c r="AH111" t="str">
        <f>'WetLitterbags placem_collection'!M110</f>
        <v>R8</v>
      </c>
      <c r="AI111" t="b">
        <f t="shared" si="36"/>
        <v>0</v>
      </c>
      <c r="AJ111" t="b">
        <f t="shared" si="37"/>
        <v>0</v>
      </c>
      <c r="AK111">
        <f>'WetLitterbags placem_collection'!A110</f>
        <v>108</v>
      </c>
      <c r="AL111">
        <f>'WetLitterbags placem_collection'!A110</f>
        <v>108</v>
      </c>
      <c r="AN111">
        <f>IF('Dry_Litterbag Placem_Collection'!J110=0,"",'Dry_Litterbag Placem_Collection'!J110)</f>
        <v>258</v>
      </c>
      <c r="AO111">
        <f>IF('Dry_Litterbag Placem_Collection'!K110=0,"",'Dry_Litterbag Placem_Collection'!K110)</f>
        <v>777</v>
      </c>
      <c r="AP111" t="b">
        <f t="shared" si="38"/>
        <v>0</v>
      </c>
      <c r="AQ111" t="b">
        <f t="shared" si="39"/>
        <v>0</v>
      </c>
      <c r="AT111" t="str">
        <f>'Ashed teabags dry'!A109</f>
        <v>G234</v>
      </c>
      <c r="AU111" t="str">
        <f>'Ashed teabags dry'!A446</f>
        <v>R377</v>
      </c>
      <c r="AV111" t="b">
        <f t="shared" si="40"/>
        <v>0</v>
      </c>
      <c r="AW111" t="b">
        <f t="shared" si="41"/>
        <v>0</v>
      </c>
      <c r="AZ111" s="401" t="b">
        <f t="shared" si="42"/>
        <v>0</v>
      </c>
      <c r="BA111" s="401" t="b">
        <f t="shared" si="43"/>
        <v>0</v>
      </c>
      <c r="BC111" t="str">
        <f>'Ashed teabags wet'!A109</f>
        <v>G504</v>
      </c>
      <c r="BD111" t="str">
        <f>'Ashed teabags wet'!A526</f>
        <v>R282</v>
      </c>
      <c r="BE111" t="b">
        <f t="shared" si="44"/>
        <v>0</v>
      </c>
      <c r="BF111" t="b">
        <f t="shared" si="45"/>
        <v>0</v>
      </c>
      <c r="BG111">
        <f>IFERROR('Ashed teabags wet'!C109,"")</f>
        <v>171</v>
      </c>
      <c r="BH111">
        <f>IFERROR('Ashed teabags wet'!C526,"")</f>
        <v>14</v>
      </c>
      <c r="BI111" t="str">
        <f>'Ashed teabags wet'!AB109</f>
        <v/>
      </c>
      <c r="BJ111">
        <f>'Ashed teabags wet'!AC109</f>
        <v>170</v>
      </c>
      <c r="BK111" t="str">
        <f>'Ashed teabags wet'!AD526</f>
        <v/>
      </c>
      <c r="BL111">
        <f>'Ashed teabags wet'!AE526</f>
        <v>13</v>
      </c>
      <c r="BN111" t="str">
        <f t="shared" si="46"/>
        <v>G503</v>
      </c>
      <c r="BO111" t="b">
        <f t="shared" si="47"/>
        <v>1</v>
      </c>
    </row>
    <row r="112" spans="2:68" ht="12" customHeight="1">
      <c r="B112" t="str">
        <f>TBIDry!H184</f>
        <v>G294</v>
      </c>
      <c r="C112" t="str">
        <f>TBIDry!I184</f>
        <v>R804</v>
      </c>
      <c r="D112" t="b">
        <f t="shared" si="24"/>
        <v>0</v>
      </c>
      <c r="E112" t="b">
        <f t="shared" si="25"/>
        <v>0</v>
      </c>
      <c r="G112" t="str">
        <f>TBIWet!H184</f>
        <v>G704</v>
      </c>
      <c r="H112" t="str">
        <f>TBIWet!I184</f>
        <v>R552</v>
      </c>
      <c r="I112" t="b">
        <f t="shared" si="26"/>
        <v>0</v>
      </c>
      <c r="J112" t="b">
        <f t="shared" si="27"/>
        <v>0</v>
      </c>
      <c r="L112" t="str">
        <f>'Both teabags AfterWet'!A111</f>
        <v>G498</v>
      </c>
      <c r="M112" t="str">
        <f>'Both teabags AfterWet'!A529</f>
        <v>R266</v>
      </c>
      <c r="N112" t="b">
        <f t="shared" si="28"/>
        <v>0</v>
      </c>
      <c r="O112" t="b">
        <f t="shared" si="29"/>
        <v>0</v>
      </c>
      <c r="P112" t="str">
        <f>IFERROR('Both teabags AfterWet'!B111,"")</f>
        <v>n.a</v>
      </c>
      <c r="Q112">
        <f>'Both teabags AfterWet'!B529</f>
        <v>70</v>
      </c>
      <c r="S112" s="401" t="b">
        <f t="shared" si="30"/>
        <v>0</v>
      </c>
      <c r="T112" s="401" t="b">
        <f t="shared" si="31"/>
        <v>0</v>
      </c>
      <c r="V112" t="str">
        <f>'Both teabags AfterDry'!A111</f>
        <v>G234</v>
      </c>
      <c r="W112" t="str">
        <f>'Both teabags AfterDry'!A448</f>
        <v>R388</v>
      </c>
      <c r="X112" t="b">
        <f t="shared" si="32"/>
        <v>0</v>
      </c>
      <c r="Y112" t="b">
        <f t="shared" si="33"/>
        <v>0</v>
      </c>
      <c r="AA112" t="str">
        <f>'Green_rooibos initial weight'!A113</f>
        <v>G109</v>
      </c>
      <c r="AB112" t="str">
        <f>'Green_rooibos initial weight'!A1017</f>
        <v>R109</v>
      </c>
      <c r="AC112" t="b">
        <f t="shared" si="34"/>
        <v>0</v>
      </c>
      <c r="AD112" t="b">
        <f t="shared" si="35"/>
        <v>0</v>
      </c>
      <c r="AG112" t="str">
        <f>'WetLitterbags placem_collection'!K111</f>
        <v>G704</v>
      </c>
      <c r="AH112" t="str">
        <f>'WetLitterbags placem_collection'!M111</f>
        <v>R552</v>
      </c>
      <c r="AI112" t="b">
        <f t="shared" si="36"/>
        <v>0</v>
      </c>
      <c r="AJ112" t="b">
        <f t="shared" si="37"/>
        <v>0</v>
      </c>
      <c r="AK112">
        <f>'WetLitterbags placem_collection'!A111</f>
        <v>109</v>
      </c>
      <c r="AL112">
        <f>'WetLitterbags placem_collection'!A111</f>
        <v>109</v>
      </c>
      <c r="AN112">
        <f>IF('Dry_Litterbag Placem_Collection'!J111=0,"",'Dry_Litterbag Placem_Collection'!J111)</f>
        <v>294</v>
      </c>
      <c r="AO112">
        <f>IF('Dry_Litterbag Placem_Collection'!K111=0,"",'Dry_Litterbag Placem_Collection'!K111)</f>
        <v>804</v>
      </c>
      <c r="AP112" t="b">
        <f t="shared" si="38"/>
        <v>0</v>
      </c>
      <c r="AQ112" t="b">
        <f t="shared" si="39"/>
        <v>0</v>
      </c>
      <c r="AT112" t="str">
        <f>'Ashed teabags dry'!A110</f>
        <v>G235</v>
      </c>
      <c r="AU112" t="str">
        <f>'Ashed teabags dry'!A447</f>
        <v>R379</v>
      </c>
      <c r="AV112" t="b">
        <f t="shared" si="40"/>
        <v>0</v>
      </c>
      <c r="AW112" t="b">
        <f t="shared" si="41"/>
        <v>0</v>
      </c>
      <c r="AZ112" s="401" t="b">
        <f t="shared" si="42"/>
        <v>0</v>
      </c>
      <c r="BA112" s="401" t="b">
        <f t="shared" si="43"/>
        <v>0</v>
      </c>
      <c r="BC112" t="str">
        <f>'Ashed teabags wet'!A110</f>
        <v>G505</v>
      </c>
      <c r="BD112" t="str">
        <f>'Ashed teabags wet'!A527</f>
        <v>R285</v>
      </c>
      <c r="BE112" t="b">
        <f t="shared" si="44"/>
        <v>0</v>
      </c>
      <c r="BF112" t="b">
        <f t="shared" si="45"/>
        <v>0</v>
      </c>
      <c r="BG112">
        <f>IFERROR('Ashed teabags wet'!C110,"")</f>
        <v>20</v>
      </c>
      <c r="BH112">
        <f>IFERROR('Ashed teabags wet'!C527,"")</f>
        <v>162</v>
      </c>
      <c r="BI112" t="str">
        <f>'Ashed teabags wet'!AB110</f>
        <v/>
      </c>
      <c r="BJ112">
        <f>'Ashed teabags wet'!AC110</f>
        <v>19</v>
      </c>
      <c r="BK112" t="str">
        <f>'Ashed teabags wet'!AD527</f>
        <v/>
      </c>
      <c r="BL112">
        <f>'Ashed teabags wet'!AE527</f>
        <v>161</v>
      </c>
      <c r="BN112" t="str">
        <f t="shared" si="46"/>
        <v>G504</v>
      </c>
      <c r="BO112" t="b">
        <f t="shared" si="47"/>
        <v>1</v>
      </c>
    </row>
    <row r="113" spans="2:67" ht="12" customHeight="1">
      <c r="B113" t="str">
        <f>TBIDry!H185</f>
        <v>G350</v>
      </c>
      <c r="C113" t="str">
        <f>TBIDry!I185</f>
        <v>R786</v>
      </c>
      <c r="D113" t="b">
        <f t="shared" si="24"/>
        <v>0</v>
      </c>
      <c r="E113" t="b">
        <f t="shared" si="25"/>
        <v>0</v>
      </c>
      <c r="G113" t="str">
        <f>TBIWet!H185</f>
        <v>G742</v>
      </c>
      <c r="H113" t="str">
        <f>TBIWet!I185</f>
        <v>R462</v>
      </c>
      <c r="I113" t="b">
        <f t="shared" si="26"/>
        <v>0</v>
      </c>
      <c r="J113" t="b">
        <f t="shared" si="27"/>
        <v>0</v>
      </c>
      <c r="L113" t="str">
        <f>'Both teabags AfterWet'!A112</f>
        <v>G500</v>
      </c>
      <c r="M113" t="str">
        <f>'Both teabags AfterWet'!A530</f>
        <v>R268</v>
      </c>
      <c r="N113" t="b">
        <f t="shared" si="28"/>
        <v>0</v>
      </c>
      <c r="O113" t="b">
        <f t="shared" si="29"/>
        <v>0</v>
      </c>
      <c r="P113" t="str">
        <f>IFERROR('Both teabags AfterWet'!B112,"")</f>
        <v>n.a</v>
      </c>
      <c r="Q113">
        <f>'Both teabags AfterWet'!B530</f>
        <v>180</v>
      </c>
      <c r="S113" s="401" t="b">
        <f t="shared" si="30"/>
        <v>0</v>
      </c>
      <c r="T113" s="401" t="b">
        <f t="shared" si="31"/>
        <v>0</v>
      </c>
      <c r="V113" t="str">
        <f>'Both teabags AfterDry'!A112</f>
        <v>G235</v>
      </c>
      <c r="W113" t="str">
        <f>'Both teabags AfterDry'!A449</f>
        <v>R389</v>
      </c>
      <c r="X113" t="b">
        <f t="shared" si="32"/>
        <v>0</v>
      </c>
      <c r="Y113" t="b">
        <f t="shared" si="33"/>
        <v>0</v>
      </c>
      <c r="AA113" t="str">
        <f>'Green_rooibos initial weight'!A114</f>
        <v>G110</v>
      </c>
      <c r="AB113" t="str">
        <f>'Green_rooibos initial weight'!A1018</f>
        <v>R110</v>
      </c>
      <c r="AC113" t="b">
        <f t="shared" si="34"/>
        <v>0</v>
      </c>
      <c r="AD113" t="b">
        <f t="shared" si="35"/>
        <v>0</v>
      </c>
      <c r="AG113" t="str">
        <f>'WetLitterbags placem_collection'!K112</f>
        <v>G742</v>
      </c>
      <c r="AH113" t="str">
        <f>'WetLitterbags placem_collection'!M112</f>
        <v>R462</v>
      </c>
      <c r="AI113" t="b">
        <f t="shared" si="36"/>
        <v>0</v>
      </c>
      <c r="AJ113" t="b">
        <f t="shared" si="37"/>
        <v>0</v>
      </c>
      <c r="AK113">
        <f>'WetLitterbags placem_collection'!A112</f>
        <v>110</v>
      </c>
      <c r="AL113">
        <f>'WetLitterbags placem_collection'!A112</f>
        <v>110</v>
      </c>
      <c r="AN113">
        <f>IF('Dry_Litterbag Placem_Collection'!J112=0,"",'Dry_Litterbag Placem_Collection'!J112)</f>
        <v>350</v>
      </c>
      <c r="AO113">
        <f>IF('Dry_Litterbag Placem_Collection'!K112=0,"",'Dry_Litterbag Placem_Collection'!K112)</f>
        <v>786</v>
      </c>
      <c r="AP113" t="b">
        <f t="shared" si="38"/>
        <v>0</v>
      </c>
      <c r="AQ113" t="b">
        <f t="shared" si="39"/>
        <v>0</v>
      </c>
      <c r="AT113" t="str">
        <f>'Ashed teabags dry'!A111</f>
        <v>G236</v>
      </c>
      <c r="AU113" t="str">
        <f>'Ashed teabags dry'!A448</f>
        <v>R388</v>
      </c>
      <c r="AV113" t="b">
        <f t="shared" si="40"/>
        <v>0</v>
      </c>
      <c r="AW113" t="b">
        <f t="shared" si="41"/>
        <v>0</v>
      </c>
      <c r="AZ113" s="401" t="b">
        <f t="shared" si="42"/>
        <v>0</v>
      </c>
      <c r="BA113" s="401" t="b">
        <f t="shared" si="43"/>
        <v>0</v>
      </c>
      <c r="BC113" t="str">
        <f>'Ashed teabags wet'!A111</f>
        <v>G506</v>
      </c>
      <c r="BD113" t="str">
        <f>'Ashed teabags wet'!A528</f>
        <v>R287</v>
      </c>
      <c r="BE113" t="b">
        <f t="shared" si="44"/>
        <v>0</v>
      </c>
      <c r="BF113" t="b">
        <f t="shared" si="45"/>
        <v>0</v>
      </c>
      <c r="BG113">
        <f>IFERROR('Ashed teabags wet'!C111,"")</f>
        <v>26</v>
      </c>
      <c r="BH113">
        <f>IFERROR('Ashed teabags wet'!C528,"")</f>
        <v>166</v>
      </c>
      <c r="BI113" t="str">
        <f>'Ashed teabags wet'!AB111</f>
        <v/>
      </c>
      <c r="BJ113">
        <f>'Ashed teabags wet'!AC111</f>
        <v>25</v>
      </c>
      <c r="BK113">
        <f>'Ashed teabags wet'!AD528</f>
        <v>165</v>
      </c>
      <c r="BL113" t="str">
        <f>'Ashed teabags wet'!AE528</f>
        <v/>
      </c>
      <c r="BN113" t="str">
        <f t="shared" si="46"/>
        <v>G505</v>
      </c>
      <c r="BO113" t="b">
        <f t="shared" si="47"/>
        <v>1</v>
      </c>
    </row>
    <row r="114" spans="2:67" ht="12" customHeight="1">
      <c r="B114" t="str">
        <f>TBIDry!H186</f>
        <v>G274</v>
      </c>
      <c r="C114" t="str">
        <f>TBIDry!I186</f>
        <v>R835</v>
      </c>
      <c r="D114" t="b">
        <f t="shared" si="24"/>
        <v>0</v>
      </c>
      <c r="E114" t="b">
        <f t="shared" si="25"/>
        <v>0</v>
      </c>
      <c r="G114" t="str">
        <f>TBIWet!H186</f>
        <v>G831</v>
      </c>
      <c r="H114" t="str">
        <f>TBIWet!I186</f>
        <v>R505</v>
      </c>
      <c r="I114" t="b">
        <f t="shared" si="26"/>
        <v>0</v>
      </c>
      <c r="J114" t="b">
        <f t="shared" si="27"/>
        <v>0</v>
      </c>
      <c r="L114" t="str">
        <f>'Both teabags AfterWet'!A113</f>
        <v>G502</v>
      </c>
      <c r="M114" t="str">
        <f>'Both teabags AfterWet'!A531</f>
        <v>R27</v>
      </c>
      <c r="N114" t="b">
        <f t="shared" si="28"/>
        <v>0</v>
      </c>
      <c r="O114" t="b">
        <f t="shared" si="29"/>
        <v>0</v>
      </c>
      <c r="P114" t="str">
        <f>IFERROR('Both teabags AfterWet'!B113,"")</f>
        <v>n.a</v>
      </c>
      <c r="Q114">
        <f>'Both teabags AfterWet'!B531</f>
        <v>145</v>
      </c>
      <c r="S114" s="401" t="b">
        <f t="shared" si="30"/>
        <v>0</v>
      </c>
      <c r="T114" s="401" t="b">
        <f t="shared" si="31"/>
        <v>0</v>
      </c>
      <c r="V114" t="str">
        <f>'Both teabags AfterDry'!A113</f>
        <v>G236</v>
      </c>
      <c r="W114" t="str">
        <f>'Both teabags AfterDry'!A450</f>
        <v>R394</v>
      </c>
      <c r="X114" t="b">
        <f t="shared" si="32"/>
        <v>0</v>
      </c>
      <c r="Y114" t="b">
        <f t="shared" si="33"/>
        <v>0</v>
      </c>
      <c r="AA114" t="str">
        <f>'Green_rooibos initial weight'!A115</f>
        <v>G111</v>
      </c>
      <c r="AB114" t="str">
        <f>'Green_rooibos initial weight'!A1019</f>
        <v>R111</v>
      </c>
      <c r="AC114" t="b">
        <f t="shared" si="34"/>
        <v>0</v>
      </c>
      <c r="AD114" t="b">
        <f t="shared" si="35"/>
        <v>0</v>
      </c>
      <c r="AG114" t="str">
        <f>'WetLitterbags placem_collection'!K113</f>
        <v>G831</v>
      </c>
      <c r="AH114" t="str">
        <f>'WetLitterbags placem_collection'!M113</f>
        <v>R505</v>
      </c>
      <c r="AI114" t="b">
        <f t="shared" si="36"/>
        <v>0</v>
      </c>
      <c r="AJ114" t="b">
        <f t="shared" si="37"/>
        <v>0</v>
      </c>
      <c r="AK114">
        <f>'WetLitterbags placem_collection'!A113</f>
        <v>111</v>
      </c>
      <c r="AL114">
        <f>'WetLitterbags placem_collection'!A113</f>
        <v>111</v>
      </c>
      <c r="AN114">
        <f>IF('Dry_Litterbag Placem_Collection'!J113=0,"",'Dry_Litterbag Placem_Collection'!J113)</f>
        <v>274</v>
      </c>
      <c r="AO114">
        <f>IF('Dry_Litterbag Placem_Collection'!K113=0,"",'Dry_Litterbag Placem_Collection'!K113)</f>
        <v>835</v>
      </c>
      <c r="AP114" t="b">
        <f t="shared" si="38"/>
        <v>0</v>
      </c>
      <c r="AQ114" t="b">
        <f t="shared" si="39"/>
        <v>0</v>
      </c>
      <c r="AT114" t="str">
        <f>'Ashed teabags dry'!A112</f>
        <v>G237</v>
      </c>
      <c r="AU114" t="str">
        <f>'Ashed teabags dry'!A449</f>
        <v>R389</v>
      </c>
      <c r="AV114" t="b">
        <f t="shared" si="40"/>
        <v>0</v>
      </c>
      <c r="AW114" t="b">
        <f t="shared" si="41"/>
        <v>0</v>
      </c>
      <c r="AZ114" s="401" t="b">
        <f t="shared" si="42"/>
        <v>0</v>
      </c>
      <c r="BA114" s="401" t="b">
        <f t="shared" si="43"/>
        <v>0</v>
      </c>
      <c r="BC114" t="str">
        <f>'Ashed teabags wet'!A112</f>
        <v>G507</v>
      </c>
      <c r="BD114" t="str">
        <f>'Ashed teabags wet'!A529</f>
        <v>R289</v>
      </c>
      <c r="BE114" t="b">
        <f t="shared" si="44"/>
        <v>0</v>
      </c>
      <c r="BF114" t="b">
        <f t="shared" si="45"/>
        <v>0</v>
      </c>
      <c r="BG114">
        <f>IFERROR('Ashed teabags wet'!C112,"")</f>
        <v>36</v>
      </c>
      <c r="BH114">
        <f>IFERROR('Ashed teabags wet'!C529,"")</f>
        <v>194</v>
      </c>
      <c r="BI114">
        <f>'Ashed teabags wet'!AB112</f>
        <v>35</v>
      </c>
      <c r="BJ114" t="str">
        <f>'Ashed teabags wet'!AC112</f>
        <v/>
      </c>
      <c r="BK114">
        <f>'Ashed teabags wet'!AD529</f>
        <v>193</v>
      </c>
      <c r="BL114" t="str">
        <f>'Ashed teabags wet'!AE529</f>
        <v/>
      </c>
      <c r="BN114" t="str">
        <f t="shared" si="46"/>
        <v>G506</v>
      </c>
      <c r="BO114" t="b">
        <f t="shared" si="47"/>
        <v>1</v>
      </c>
    </row>
    <row r="115" spans="2:67" ht="12" customHeight="1">
      <c r="B115" t="str">
        <f>TBIDry!H187</f>
        <v/>
      </c>
      <c r="C115" t="str">
        <f>TBIDry!I187</f>
        <v/>
      </c>
      <c r="D115" t="b">
        <f t="shared" si="24"/>
        <v>1</v>
      </c>
      <c r="E115" t="b">
        <f t="shared" si="25"/>
        <v>1</v>
      </c>
      <c r="G115" t="str">
        <f>TBIWet!H187</f>
        <v>G899</v>
      </c>
      <c r="H115" t="str">
        <f>TBIWet!I187</f>
        <v>R41</v>
      </c>
      <c r="I115" t="b">
        <f t="shared" si="26"/>
        <v>0</v>
      </c>
      <c r="J115" t="b">
        <f t="shared" si="27"/>
        <v>0</v>
      </c>
      <c r="L115" t="str">
        <f>'Both teabags AfterWet'!A114</f>
        <v>G503</v>
      </c>
      <c r="M115" t="str">
        <f>'Both teabags AfterWet'!A532</f>
        <v>R271</v>
      </c>
      <c r="N115" t="b">
        <f t="shared" si="28"/>
        <v>0</v>
      </c>
      <c r="O115" t="b">
        <f t="shared" si="29"/>
        <v>0</v>
      </c>
      <c r="P115">
        <f>IFERROR('Both teabags AfterWet'!B114,"")</f>
        <v>14</v>
      </c>
      <c r="Q115">
        <f>'Both teabags AfterWet'!B532</f>
        <v>209</v>
      </c>
      <c r="S115" s="401" t="b">
        <f t="shared" si="30"/>
        <v>0</v>
      </c>
      <c r="T115" s="401" t="b">
        <f t="shared" si="31"/>
        <v>0</v>
      </c>
      <c r="V115" t="str">
        <f>'Both teabags AfterDry'!A114</f>
        <v>G237</v>
      </c>
      <c r="W115" t="str">
        <f>'Both teabags AfterDry'!A451</f>
        <v>R397</v>
      </c>
      <c r="X115" t="b">
        <f t="shared" si="32"/>
        <v>0</v>
      </c>
      <c r="Y115" t="b">
        <f t="shared" si="33"/>
        <v>0</v>
      </c>
      <c r="AA115" t="str">
        <f>'Green_rooibos initial weight'!A116</f>
        <v>G112</v>
      </c>
      <c r="AB115" t="str">
        <f>'Green_rooibos initial weight'!A1020</f>
        <v>R112</v>
      </c>
      <c r="AC115" t="b">
        <f t="shared" si="34"/>
        <v>0</v>
      </c>
      <c r="AD115" t="b">
        <f t="shared" si="35"/>
        <v>0</v>
      </c>
      <c r="AG115" t="str">
        <f>'WetLitterbags placem_collection'!K114</f>
        <v>G899</v>
      </c>
      <c r="AH115" t="str">
        <f>'WetLitterbags placem_collection'!M114</f>
        <v>R41</v>
      </c>
      <c r="AI115" t="b">
        <f t="shared" si="36"/>
        <v>0</v>
      </c>
      <c r="AJ115" t="b">
        <f t="shared" si="37"/>
        <v>0</v>
      </c>
      <c r="AK115">
        <f>'WetLitterbags placem_collection'!A114</f>
        <v>112</v>
      </c>
      <c r="AL115">
        <f>'WetLitterbags placem_collection'!A114</f>
        <v>112</v>
      </c>
      <c r="AN115" t="str">
        <f>IF('Dry_Litterbag Placem_Collection'!J114=0,"",'Dry_Litterbag Placem_Collection'!J114)</f>
        <v/>
      </c>
      <c r="AO115" t="str">
        <f>IF('Dry_Litterbag Placem_Collection'!K114=0,"",'Dry_Litterbag Placem_Collection'!K114)</f>
        <v/>
      </c>
      <c r="AP115" t="b">
        <f t="shared" si="38"/>
        <v>1</v>
      </c>
      <c r="AQ115" t="b">
        <f t="shared" si="39"/>
        <v>1</v>
      </c>
      <c r="AT115" t="str">
        <f>'Ashed teabags dry'!A113</f>
        <v>G238</v>
      </c>
      <c r="AU115" t="str">
        <f>'Ashed teabags dry'!A450</f>
        <v>R394</v>
      </c>
      <c r="AV115" t="b">
        <f t="shared" si="40"/>
        <v>0</v>
      </c>
      <c r="AW115" t="b">
        <f t="shared" si="41"/>
        <v>0</v>
      </c>
      <c r="AZ115" s="401" t="b">
        <f t="shared" si="42"/>
        <v>0</v>
      </c>
      <c r="BA115" s="401" t="b">
        <f t="shared" si="43"/>
        <v>0</v>
      </c>
      <c r="BC115" t="str">
        <f>'Ashed teabags wet'!A113</f>
        <v>G508</v>
      </c>
      <c r="BD115" t="str">
        <f>'Ashed teabags wet'!A530</f>
        <v>R29</v>
      </c>
      <c r="BE115" t="b">
        <f t="shared" si="44"/>
        <v>0</v>
      </c>
      <c r="BF115" t="b">
        <f t="shared" si="45"/>
        <v>0</v>
      </c>
      <c r="BG115">
        <f>IFERROR('Ashed teabags wet'!C113,"")</f>
        <v>208</v>
      </c>
      <c r="BH115">
        <f>IFERROR('Ashed teabags wet'!C530,"")</f>
        <v>51</v>
      </c>
      <c r="BI115" t="str">
        <f>'Ashed teabags wet'!AB113</f>
        <v/>
      </c>
      <c r="BJ115">
        <f>'Ashed teabags wet'!AC113</f>
        <v>207</v>
      </c>
      <c r="BK115" t="str">
        <f>'Ashed teabags wet'!AD530</f>
        <v/>
      </c>
      <c r="BL115">
        <f>'Ashed teabags wet'!AE530</f>
        <v>50</v>
      </c>
      <c r="BN115" t="str">
        <f t="shared" si="46"/>
        <v>G507</v>
      </c>
      <c r="BO115" t="b">
        <f t="shared" si="47"/>
        <v>1</v>
      </c>
    </row>
    <row r="116" spans="2:67" ht="12" customHeight="1">
      <c r="B116" t="str">
        <f>TBIDry!H188</f>
        <v>G314</v>
      </c>
      <c r="C116" t="str">
        <f>TBIDry!I188</f>
        <v>R807</v>
      </c>
      <c r="D116" t="b">
        <f t="shared" si="24"/>
        <v>0</v>
      </c>
      <c r="E116" t="b">
        <f t="shared" si="25"/>
        <v>0</v>
      </c>
      <c r="G116" t="str">
        <f>TBIWet!H188</f>
        <v>G724</v>
      </c>
      <c r="H116" t="str">
        <f>TBIWet!I188</f>
        <v>R428</v>
      </c>
      <c r="I116" t="b">
        <f t="shared" si="26"/>
        <v>0</v>
      </c>
      <c r="J116" t="b">
        <f t="shared" si="27"/>
        <v>0</v>
      </c>
      <c r="L116" t="str">
        <f>'Both teabags AfterWet'!A115</f>
        <v>G504</v>
      </c>
      <c r="M116" t="str">
        <f>'Both teabags AfterWet'!A533</f>
        <v>R273</v>
      </c>
      <c r="N116" t="b">
        <f t="shared" si="28"/>
        <v>0</v>
      </c>
      <c r="O116" t="b">
        <f t="shared" si="29"/>
        <v>0</v>
      </c>
      <c r="P116">
        <f>IFERROR('Both teabags AfterWet'!B115,"")</f>
        <v>171</v>
      </c>
      <c r="Q116" t="str">
        <f>'Both teabags AfterWet'!B533</f>
        <v>n.a</v>
      </c>
      <c r="S116" s="401" t="b">
        <f t="shared" si="30"/>
        <v>0</v>
      </c>
      <c r="T116" s="401" t="b">
        <f t="shared" si="31"/>
        <v>0</v>
      </c>
      <c r="V116" t="str">
        <f>'Both teabags AfterDry'!A115</f>
        <v>G238</v>
      </c>
      <c r="W116" t="str">
        <f>'Both teabags AfterDry'!A452</f>
        <v>R401</v>
      </c>
      <c r="X116" t="b">
        <f t="shared" si="32"/>
        <v>0</v>
      </c>
      <c r="Y116" t="b">
        <f t="shared" si="33"/>
        <v>0</v>
      </c>
      <c r="AA116" t="str">
        <f>'Green_rooibos initial weight'!A117</f>
        <v>G113</v>
      </c>
      <c r="AB116" t="str">
        <f>'Green_rooibos initial weight'!A1021</f>
        <v>R113</v>
      </c>
      <c r="AC116" t="b">
        <f t="shared" si="34"/>
        <v>0</v>
      </c>
      <c r="AD116" t="b">
        <f t="shared" si="35"/>
        <v>0</v>
      </c>
      <c r="AG116" t="str">
        <f>'WetLitterbags placem_collection'!K115</f>
        <v>G724</v>
      </c>
      <c r="AH116" t="str">
        <f>'WetLitterbags placem_collection'!M115</f>
        <v>R428</v>
      </c>
      <c r="AI116" t="b">
        <f t="shared" si="36"/>
        <v>0</v>
      </c>
      <c r="AJ116" t="b">
        <f t="shared" si="37"/>
        <v>0</v>
      </c>
      <c r="AK116">
        <f>'WetLitterbags placem_collection'!A115</f>
        <v>113</v>
      </c>
      <c r="AL116">
        <f>'WetLitterbags placem_collection'!A115</f>
        <v>113</v>
      </c>
      <c r="AN116">
        <f>IF('Dry_Litterbag Placem_Collection'!J115=0,"",'Dry_Litterbag Placem_Collection'!J115)</f>
        <v>314</v>
      </c>
      <c r="AO116">
        <f>IF('Dry_Litterbag Placem_Collection'!K115=0,"",'Dry_Litterbag Placem_Collection'!K115)</f>
        <v>807</v>
      </c>
      <c r="AP116" t="b">
        <f t="shared" si="38"/>
        <v>0</v>
      </c>
      <c r="AQ116" t="b">
        <f t="shared" si="39"/>
        <v>0</v>
      </c>
      <c r="AT116" t="str">
        <f>'Ashed teabags dry'!A114</f>
        <v>G239</v>
      </c>
      <c r="AU116" t="str">
        <f>'Ashed teabags dry'!A451</f>
        <v>R397</v>
      </c>
      <c r="AV116" t="b">
        <f t="shared" si="40"/>
        <v>0</v>
      </c>
      <c r="AW116" t="b">
        <f t="shared" si="41"/>
        <v>0</v>
      </c>
      <c r="AZ116" s="401" t="b">
        <f t="shared" si="42"/>
        <v>0</v>
      </c>
      <c r="BA116" s="401" t="b">
        <f t="shared" si="43"/>
        <v>0</v>
      </c>
      <c r="BC116" t="str">
        <f>'Ashed teabags wet'!A114</f>
        <v>G509</v>
      </c>
      <c r="BD116" t="str">
        <f>'Ashed teabags wet'!A531</f>
        <v>R290</v>
      </c>
      <c r="BE116" t="b">
        <f t="shared" si="44"/>
        <v>0</v>
      </c>
      <c r="BF116" t="b">
        <f t="shared" si="45"/>
        <v>0</v>
      </c>
      <c r="BG116">
        <f>IFERROR('Ashed teabags wet'!C114,"")</f>
        <v>77</v>
      </c>
      <c r="BH116">
        <f>IFERROR('Ashed teabags wet'!C531,"")</f>
        <v>183</v>
      </c>
      <c r="BI116" t="str">
        <f>'Ashed teabags wet'!AB114</f>
        <v/>
      </c>
      <c r="BJ116">
        <f>'Ashed teabags wet'!AC114</f>
        <v>76</v>
      </c>
      <c r="BK116" t="str">
        <f>'Ashed teabags wet'!AD531</f>
        <v/>
      </c>
      <c r="BL116">
        <f>'Ashed teabags wet'!AE531</f>
        <v>182</v>
      </c>
      <c r="BN116" t="str">
        <f t="shared" si="46"/>
        <v>G508</v>
      </c>
      <c r="BO116" t="b">
        <f t="shared" si="47"/>
        <v>1</v>
      </c>
    </row>
    <row r="117" spans="2:67" ht="12" customHeight="1">
      <c r="B117" t="str">
        <f>TBIDry!H189</f>
        <v>G263</v>
      </c>
      <c r="C117" t="str">
        <f>TBIDry!I189</f>
        <v>R829</v>
      </c>
      <c r="D117" t="b">
        <f t="shared" si="24"/>
        <v>0</v>
      </c>
      <c r="E117" t="b">
        <f t="shared" si="25"/>
        <v>0</v>
      </c>
      <c r="G117" t="str">
        <f>TBIWet!H189</f>
        <v>G803</v>
      </c>
      <c r="H117" t="str">
        <f>TBIWet!I189</f>
        <v>R601</v>
      </c>
      <c r="I117" t="b">
        <f t="shared" si="26"/>
        <v>0</v>
      </c>
      <c r="J117" t="b">
        <f t="shared" si="27"/>
        <v>0</v>
      </c>
      <c r="L117" t="str">
        <f>'Both teabags AfterWet'!A116</f>
        <v>G505</v>
      </c>
      <c r="M117" t="str">
        <f>'Both teabags AfterWet'!A534</f>
        <v>R274</v>
      </c>
      <c r="N117" t="b">
        <f t="shared" si="28"/>
        <v>0</v>
      </c>
      <c r="O117" t="b">
        <f t="shared" si="29"/>
        <v>0</v>
      </c>
      <c r="P117">
        <f>IFERROR('Both teabags AfterWet'!B116,"")</f>
        <v>20</v>
      </c>
      <c r="Q117">
        <f>'Both teabags AfterWet'!B534</f>
        <v>18</v>
      </c>
      <c r="S117" s="401" t="b">
        <f t="shared" si="30"/>
        <v>0</v>
      </c>
      <c r="T117" s="401" t="b">
        <f t="shared" si="31"/>
        <v>0</v>
      </c>
      <c r="V117" t="str">
        <f>'Both teabags AfterDry'!A116</f>
        <v>G239</v>
      </c>
      <c r="W117" t="str">
        <f>'Both teabags AfterDry'!A453</f>
        <v>R402</v>
      </c>
      <c r="X117" t="b">
        <f t="shared" si="32"/>
        <v>0</v>
      </c>
      <c r="Y117" t="b">
        <f t="shared" si="33"/>
        <v>0</v>
      </c>
      <c r="AA117" t="str">
        <f>'Green_rooibos initial weight'!A118</f>
        <v>G114</v>
      </c>
      <c r="AB117" t="str">
        <f>'Green_rooibos initial weight'!A1022</f>
        <v>R114</v>
      </c>
      <c r="AC117" t="b">
        <f t="shared" si="34"/>
        <v>0</v>
      </c>
      <c r="AD117" t="b">
        <f t="shared" si="35"/>
        <v>0</v>
      </c>
      <c r="AG117" t="str">
        <f>'WetLitterbags placem_collection'!K116</f>
        <v>G803</v>
      </c>
      <c r="AH117" t="str">
        <f>'WetLitterbags placem_collection'!M116</f>
        <v>R601</v>
      </c>
      <c r="AI117" t="b">
        <f t="shared" si="36"/>
        <v>0</v>
      </c>
      <c r="AJ117" t="b">
        <f t="shared" si="37"/>
        <v>0</v>
      </c>
      <c r="AK117">
        <f>'WetLitterbags placem_collection'!A116</f>
        <v>114</v>
      </c>
      <c r="AL117">
        <f>'WetLitterbags placem_collection'!A116</f>
        <v>114</v>
      </c>
      <c r="AN117">
        <f>IF('Dry_Litterbag Placem_Collection'!J116=0,"",'Dry_Litterbag Placem_Collection'!J116)</f>
        <v>263</v>
      </c>
      <c r="AO117">
        <f>IF('Dry_Litterbag Placem_Collection'!K116=0,"",'Dry_Litterbag Placem_Collection'!K116)</f>
        <v>829</v>
      </c>
      <c r="AP117" t="b">
        <f t="shared" si="38"/>
        <v>0</v>
      </c>
      <c r="AQ117" t="b">
        <f t="shared" si="39"/>
        <v>0</v>
      </c>
      <c r="AT117" t="str">
        <f>'Ashed teabags dry'!A115</f>
        <v>G24</v>
      </c>
      <c r="AU117" t="str">
        <f>'Ashed teabags dry'!A452</f>
        <v>R401</v>
      </c>
      <c r="AV117" t="b">
        <f t="shared" si="40"/>
        <v>0</v>
      </c>
      <c r="AW117" t="b">
        <f t="shared" si="41"/>
        <v>0</v>
      </c>
      <c r="AZ117" s="401" t="b">
        <f t="shared" si="42"/>
        <v>0</v>
      </c>
      <c r="BA117" s="401" t="b">
        <f t="shared" si="43"/>
        <v>0</v>
      </c>
      <c r="BC117" t="str">
        <f>'Ashed teabags wet'!A115</f>
        <v>G511</v>
      </c>
      <c r="BD117" t="str">
        <f>'Ashed teabags wet'!A532</f>
        <v>R291</v>
      </c>
      <c r="BE117" t="b">
        <f t="shared" si="44"/>
        <v>0</v>
      </c>
      <c r="BF117" t="b">
        <f t="shared" si="45"/>
        <v>0</v>
      </c>
      <c r="BG117">
        <f>IFERROR('Ashed teabags wet'!C115,"")</f>
        <v>71</v>
      </c>
      <c r="BH117">
        <f>IFERROR('Ashed teabags wet'!C532,"")</f>
        <v>181</v>
      </c>
      <c r="BI117">
        <f>'Ashed teabags wet'!AB115</f>
        <v>70</v>
      </c>
      <c r="BJ117" t="str">
        <f>'Ashed teabags wet'!AC115</f>
        <v/>
      </c>
      <c r="BK117" t="str">
        <f>'Ashed teabags wet'!AD532</f>
        <v/>
      </c>
      <c r="BL117">
        <f>'Ashed teabags wet'!AE532</f>
        <v>180</v>
      </c>
      <c r="BN117" t="str">
        <f t="shared" si="46"/>
        <v>G509</v>
      </c>
      <c r="BO117" t="b">
        <f t="shared" si="47"/>
        <v>1</v>
      </c>
    </row>
    <row r="118" spans="2:67" ht="12" customHeight="1">
      <c r="B118" t="str">
        <f>TBIDry!H190</f>
        <v>G125</v>
      </c>
      <c r="C118" t="str">
        <f>TBIDry!I190</f>
        <v>R766</v>
      </c>
      <c r="D118" t="b">
        <f t="shared" si="24"/>
        <v>0</v>
      </c>
      <c r="E118" t="b">
        <f t="shared" si="25"/>
        <v>0</v>
      </c>
      <c r="G118" t="str">
        <f>TBIWet!H190</f>
        <v>G693</v>
      </c>
      <c r="H118" t="str">
        <f>TBIWet!I190</f>
        <v>R553</v>
      </c>
      <c r="I118" t="b">
        <f t="shared" si="26"/>
        <v>0</v>
      </c>
      <c r="J118" t="b">
        <f t="shared" si="27"/>
        <v>0</v>
      </c>
      <c r="L118" t="str">
        <f>'Both teabags AfterWet'!A117</f>
        <v>G506</v>
      </c>
      <c r="M118" t="str">
        <f>'Both teabags AfterWet'!A535</f>
        <v>R278</v>
      </c>
      <c r="N118" t="b">
        <f t="shared" si="28"/>
        <v>0</v>
      </c>
      <c r="O118" t="b">
        <f t="shared" si="29"/>
        <v>0</v>
      </c>
      <c r="P118" t="str">
        <f>IFERROR('Both teabags AfterWet'!B117,"")</f>
        <v>n.a</v>
      </c>
      <c r="Q118" t="str">
        <f>'Both teabags AfterWet'!B535</f>
        <v>n.a</v>
      </c>
      <c r="S118" s="401" t="b">
        <f t="shared" si="30"/>
        <v>0</v>
      </c>
      <c r="T118" s="401" t="b">
        <f t="shared" si="31"/>
        <v>0</v>
      </c>
      <c r="V118" t="str">
        <f>'Both teabags AfterDry'!A117</f>
        <v>G24</v>
      </c>
      <c r="W118" t="str">
        <f>'Both teabags AfterDry'!A454</f>
        <v>R407</v>
      </c>
      <c r="X118" t="b">
        <f t="shared" si="32"/>
        <v>0</v>
      </c>
      <c r="Y118" t="b">
        <f t="shared" si="33"/>
        <v>0</v>
      </c>
      <c r="AA118" t="str">
        <f>'Green_rooibos initial weight'!A119</f>
        <v>G115</v>
      </c>
      <c r="AB118" t="str">
        <f>'Green_rooibos initial weight'!A1023</f>
        <v>R115</v>
      </c>
      <c r="AC118" t="b">
        <f t="shared" si="34"/>
        <v>0</v>
      </c>
      <c r="AD118" t="b">
        <f t="shared" si="35"/>
        <v>0</v>
      </c>
      <c r="AG118" t="str">
        <f>'WetLitterbags placem_collection'!K117</f>
        <v>G693</v>
      </c>
      <c r="AH118" t="str">
        <f>'WetLitterbags placem_collection'!M117</f>
        <v>R553</v>
      </c>
      <c r="AI118" t="b">
        <f t="shared" si="36"/>
        <v>0</v>
      </c>
      <c r="AJ118" t="b">
        <f t="shared" si="37"/>
        <v>0</v>
      </c>
      <c r="AK118">
        <f>'WetLitterbags placem_collection'!A117</f>
        <v>115</v>
      </c>
      <c r="AL118">
        <f>'WetLitterbags placem_collection'!A117</f>
        <v>115</v>
      </c>
      <c r="AN118">
        <f>IF('Dry_Litterbag Placem_Collection'!J117=0,"",'Dry_Litterbag Placem_Collection'!J117)</f>
        <v>125</v>
      </c>
      <c r="AO118">
        <f>IF('Dry_Litterbag Placem_Collection'!K117=0,"",'Dry_Litterbag Placem_Collection'!K117)</f>
        <v>766</v>
      </c>
      <c r="AP118" t="b">
        <f t="shared" si="38"/>
        <v>0</v>
      </c>
      <c r="AQ118" t="b">
        <f t="shared" si="39"/>
        <v>0</v>
      </c>
      <c r="AT118" t="str">
        <f>'Ashed teabags dry'!A116</f>
        <v>G242</v>
      </c>
      <c r="AU118" t="str">
        <f>'Ashed teabags dry'!A453</f>
        <v>R402</v>
      </c>
      <c r="AV118" t="b">
        <f t="shared" si="40"/>
        <v>0</v>
      </c>
      <c r="AW118" t="b">
        <f t="shared" si="41"/>
        <v>0</v>
      </c>
      <c r="AZ118" s="401" t="b">
        <f t="shared" si="42"/>
        <v>0</v>
      </c>
      <c r="BA118" s="401" t="b">
        <f t="shared" si="43"/>
        <v>0</v>
      </c>
      <c r="BC118" t="str">
        <f>'Ashed teabags wet'!A116</f>
        <v>G512</v>
      </c>
      <c r="BD118" t="str">
        <f>'Ashed teabags wet'!A533</f>
        <v>R293</v>
      </c>
      <c r="BE118" t="b">
        <f t="shared" si="44"/>
        <v>0</v>
      </c>
      <c r="BF118" t="b">
        <f t="shared" si="45"/>
        <v>0</v>
      </c>
      <c r="BG118">
        <f>IFERROR('Ashed teabags wet'!C116,"")</f>
        <v>47</v>
      </c>
      <c r="BH118">
        <f>IFERROR('Ashed teabags wet'!C533,"")</f>
        <v>81</v>
      </c>
      <c r="BI118" t="str">
        <f>'Ashed teabags wet'!AB116</f>
        <v/>
      </c>
      <c r="BJ118">
        <f>'Ashed teabags wet'!AC116</f>
        <v>46</v>
      </c>
      <c r="BK118" t="str">
        <f>'Ashed teabags wet'!AD533</f>
        <v/>
      </c>
      <c r="BL118">
        <f>'Ashed teabags wet'!AE533</f>
        <v>80</v>
      </c>
      <c r="BN118" t="str">
        <f t="shared" si="46"/>
        <v>G511</v>
      </c>
      <c r="BO118" t="b">
        <f t="shared" si="47"/>
        <v>1</v>
      </c>
    </row>
    <row r="119" spans="2:67" ht="12" customHeight="1">
      <c r="B119" t="str">
        <f>TBIDry!H191</f>
        <v>G189</v>
      </c>
      <c r="C119" t="str">
        <f>TBIDry!I191</f>
        <v>R757</v>
      </c>
      <c r="D119" t="b">
        <f t="shared" si="24"/>
        <v>0</v>
      </c>
      <c r="E119" t="b">
        <f t="shared" si="25"/>
        <v>0</v>
      </c>
      <c r="G119" t="str">
        <f>TBIWet!H191</f>
        <v>G897</v>
      </c>
      <c r="H119" t="str">
        <f>TBIWet!I191</f>
        <v>R459</v>
      </c>
      <c r="I119" t="b">
        <f t="shared" si="26"/>
        <v>0</v>
      </c>
      <c r="J119" t="b">
        <f t="shared" si="27"/>
        <v>0</v>
      </c>
      <c r="L119" t="str">
        <f>'Both teabags AfterWet'!A118</f>
        <v>G507</v>
      </c>
      <c r="M119" t="str">
        <f>'Both teabags AfterWet'!A536</f>
        <v>R28</v>
      </c>
      <c r="N119" t="b">
        <f t="shared" si="28"/>
        <v>0</v>
      </c>
      <c r="O119" t="b">
        <f t="shared" si="29"/>
        <v>0</v>
      </c>
      <c r="P119">
        <f>IFERROR('Both teabags AfterWet'!B118,"")</f>
        <v>36</v>
      </c>
      <c r="Q119" t="str">
        <f>'Both teabags AfterWet'!B536</f>
        <v>na</v>
      </c>
      <c r="S119" s="401" t="b">
        <f t="shared" si="30"/>
        <v>0</v>
      </c>
      <c r="T119" s="401" t="b">
        <f t="shared" si="31"/>
        <v>0</v>
      </c>
      <c r="V119" t="str">
        <f>'Both teabags AfterDry'!A118</f>
        <v>G242</v>
      </c>
      <c r="W119" t="str">
        <f>'Both teabags AfterDry'!A455</f>
        <v>R416</v>
      </c>
      <c r="X119" t="b">
        <f t="shared" si="32"/>
        <v>0</v>
      </c>
      <c r="Y119" t="b">
        <f t="shared" si="33"/>
        <v>0</v>
      </c>
      <c r="AA119" t="str">
        <f>'Green_rooibos initial weight'!A120</f>
        <v>G116</v>
      </c>
      <c r="AB119" t="str">
        <f>'Green_rooibos initial weight'!A1024</f>
        <v>R116</v>
      </c>
      <c r="AC119" t="b">
        <f t="shared" si="34"/>
        <v>0</v>
      </c>
      <c r="AD119" t="b">
        <f t="shared" si="35"/>
        <v>0</v>
      </c>
      <c r="AG119" t="str">
        <f>'WetLitterbags placem_collection'!K118</f>
        <v>G897</v>
      </c>
      <c r="AH119" t="str">
        <f>'WetLitterbags placem_collection'!M118</f>
        <v>R459</v>
      </c>
      <c r="AI119" t="b">
        <f t="shared" si="36"/>
        <v>0</v>
      </c>
      <c r="AJ119" t="b">
        <f t="shared" si="37"/>
        <v>0</v>
      </c>
      <c r="AK119">
        <f>'WetLitterbags placem_collection'!A118</f>
        <v>116</v>
      </c>
      <c r="AL119">
        <f>'WetLitterbags placem_collection'!A118</f>
        <v>116</v>
      </c>
      <c r="AN119">
        <f>IF('Dry_Litterbag Placem_Collection'!J118=0,"",'Dry_Litterbag Placem_Collection'!J118)</f>
        <v>189</v>
      </c>
      <c r="AO119">
        <f>IF('Dry_Litterbag Placem_Collection'!K118=0,"",'Dry_Litterbag Placem_Collection'!K118)</f>
        <v>757</v>
      </c>
      <c r="AP119" t="b">
        <f t="shared" si="38"/>
        <v>0</v>
      </c>
      <c r="AQ119" t="b">
        <f t="shared" si="39"/>
        <v>0</v>
      </c>
      <c r="AT119" t="str">
        <f>'Ashed teabags dry'!A117</f>
        <v>G243</v>
      </c>
      <c r="AU119" t="str">
        <f>'Ashed teabags dry'!A454</f>
        <v>R407</v>
      </c>
      <c r="AV119" t="b">
        <f t="shared" si="40"/>
        <v>0</v>
      </c>
      <c r="AW119" t="b">
        <f t="shared" si="41"/>
        <v>0</v>
      </c>
      <c r="AZ119" s="401" t="b">
        <f t="shared" si="42"/>
        <v>0</v>
      </c>
      <c r="BA119" s="401" t="b">
        <f t="shared" si="43"/>
        <v>0</v>
      </c>
      <c r="BC119" t="str">
        <f>'Ashed teabags wet'!A117</f>
        <v>G513</v>
      </c>
      <c r="BD119" t="str">
        <f>'Ashed teabags wet'!A534</f>
        <v>R296</v>
      </c>
      <c r="BE119" t="b">
        <f t="shared" si="44"/>
        <v>0</v>
      </c>
      <c r="BF119" t="b">
        <f t="shared" si="45"/>
        <v>0</v>
      </c>
      <c r="BG119">
        <f>IFERROR('Ashed teabags wet'!C117,"")</f>
        <v>58</v>
      </c>
      <c r="BH119">
        <f>IFERROR('Ashed teabags wet'!C534,"")</f>
        <v>30</v>
      </c>
      <c r="BI119">
        <f>'Ashed teabags wet'!AB117</f>
        <v>57</v>
      </c>
      <c r="BJ119" t="str">
        <f>'Ashed teabags wet'!AC117</f>
        <v/>
      </c>
      <c r="BK119" t="str">
        <f>'Ashed teabags wet'!AD534</f>
        <v/>
      </c>
      <c r="BL119">
        <f>'Ashed teabags wet'!AE534</f>
        <v>29</v>
      </c>
      <c r="BN119" t="str">
        <f t="shared" si="46"/>
        <v>G512</v>
      </c>
      <c r="BO119" t="b">
        <f t="shared" si="47"/>
        <v>1</v>
      </c>
    </row>
    <row r="120" spans="2:67" ht="12" customHeight="1">
      <c r="B120" t="str">
        <f>TBIDry!H192</f>
        <v>G533</v>
      </c>
      <c r="C120" t="str">
        <f>TBIDry!I192</f>
        <v>R745</v>
      </c>
      <c r="D120" t="b">
        <f t="shared" si="24"/>
        <v>0</v>
      </c>
      <c r="E120" t="b">
        <f t="shared" si="25"/>
        <v>0</v>
      </c>
      <c r="G120" t="str">
        <f>TBIWet!H192</f>
        <v>G789</v>
      </c>
      <c r="H120" t="str">
        <f>TBIWet!I192</f>
        <v>R511</v>
      </c>
      <c r="I120" t="b">
        <f t="shared" si="26"/>
        <v>0</v>
      </c>
      <c r="J120" t="b">
        <f t="shared" si="27"/>
        <v>0</v>
      </c>
      <c r="L120" t="str">
        <f>'Both teabags AfterWet'!A119</f>
        <v>G508</v>
      </c>
      <c r="M120" t="str">
        <f>'Both teabags AfterWet'!A537</f>
        <v>R282</v>
      </c>
      <c r="N120" t="b">
        <f t="shared" si="28"/>
        <v>0</v>
      </c>
      <c r="O120" t="b">
        <f t="shared" si="29"/>
        <v>0</v>
      </c>
      <c r="P120">
        <f>IFERROR('Both teabags AfterWet'!B119,"")</f>
        <v>208</v>
      </c>
      <c r="Q120">
        <f>'Both teabags AfterWet'!B537</f>
        <v>14</v>
      </c>
      <c r="S120" s="401" t="b">
        <f t="shared" si="30"/>
        <v>0</v>
      </c>
      <c r="T120" s="401" t="b">
        <f t="shared" si="31"/>
        <v>0</v>
      </c>
      <c r="V120" t="str">
        <f>'Both teabags AfterDry'!A119</f>
        <v>G243</v>
      </c>
      <c r="W120" t="str">
        <f>'Both teabags AfterDry'!A456</f>
        <v>R422</v>
      </c>
      <c r="X120" t="b">
        <f t="shared" si="32"/>
        <v>0</v>
      </c>
      <c r="Y120" t="b">
        <f t="shared" si="33"/>
        <v>0</v>
      </c>
      <c r="AA120" t="str">
        <f>'Green_rooibos initial weight'!A121</f>
        <v>G117</v>
      </c>
      <c r="AB120" t="str">
        <f>'Green_rooibos initial weight'!A1025</f>
        <v>R117</v>
      </c>
      <c r="AC120" t="b">
        <f t="shared" si="34"/>
        <v>0</v>
      </c>
      <c r="AD120" t="b">
        <f t="shared" si="35"/>
        <v>0</v>
      </c>
      <c r="AG120" t="str">
        <f>'WetLitterbags placem_collection'!K119</f>
        <v>G789</v>
      </c>
      <c r="AH120" t="str">
        <f>'WetLitterbags placem_collection'!M119</f>
        <v>R511</v>
      </c>
      <c r="AI120" t="b">
        <f t="shared" si="36"/>
        <v>0</v>
      </c>
      <c r="AJ120" t="b">
        <f t="shared" si="37"/>
        <v>0</v>
      </c>
      <c r="AK120">
        <f>'WetLitterbags placem_collection'!A119</f>
        <v>117</v>
      </c>
      <c r="AL120">
        <f>'WetLitterbags placem_collection'!A119</f>
        <v>117</v>
      </c>
      <c r="AN120">
        <f>IF('Dry_Litterbag Placem_Collection'!J119=0,"",'Dry_Litterbag Placem_Collection'!J119)</f>
        <v>533</v>
      </c>
      <c r="AO120">
        <f>IF('Dry_Litterbag Placem_Collection'!K119=0,"",'Dry_Litterbag Placem_Collection'!K119)</f>
        <v>745</v>
      </c>
      <c r="AP120" t="b">
        <f t="shared" si="38"/>
        <v>0</v>
      </c>
      <c r="AQ120" t="b">
        <f t="shared" si="39"/>
        <v>0</v>
      </c>
      <c r="AT120" t="str">
        <f>'Ashed teabags dry'!A118</f>
        <v>G244</v>
      </c>
      <c r="AU120" t="str">
        <f>'Ashed teabags dry'!A455</f>
        <v>R416</v>
      </c>
      <c r="AV120" t="b">
        <f t="shared" si="40"/>
        <v>0</v>
      </c>
      <c r="AW120" t="b">
        <f t="shared" si="41"/>
        <v>0</v>
      </c>
      <c r="AZ120" s="401" t="b">
        <f t="shared" si="42"/>
        <v>0</v>
      </c>
      <c r="BA120" s="401" t="b">
        <f t="shared" si="43"/>
        <v>0</v>
      </c>
      <c r="BC120" t="str">
        <f>'Ashed teabags wet'!A118</f>
        <v>G514</v>
      </c>
      <c r="BD120" t="str">
        <f>'Ashed teabags wet'!A535</f>
        <v>R3</v>
      </c>
      <c r="BE120" t="b">
        <f t="shared" si="44"/>
        <v>0</v>
      </c>
      <c r="BF120" t="b">
        <f t="shared" si="45"/>
        <v>0</v>
      </c>
      <c r="BG120">
        <f>IFERROR('Ashed teabags wet'!C118,"")</f>
        <v>9</v>
      </c>
      <c r="BH120">
        <f>IFERROR('Ashed teabags wet'!C535,"")</f>
        <v>13</v>
      </c>
      <c r="BI120">
        <f>'Ashed teabags wet'!AB118</f>
        <v>8</v>
      </c>
      <c r="BJ120" t="str">
        <f>'Ashed teabags wet'!AC118</f>
        <v/>
      </c>
      <c r="BK120" t="str">
        <f>'Ashed teabags wet'!AD535</f>
        <v/>
      </c>
      <c r="BL120">
        <f>'Ashed teabags wet'!AE535</f>
        <v>12</v>
      </c>
      <c r="BN120" t="str">
        <f t="shared" si="46"/>
        <v>G513</v>
      </c>
      <c r="BO120" t="b">
        <f t="shared" si="47"/>
        <v>1</v>
      </c>
    </row>
    <row r="121" spans="2:67" ht="12" customHeight="1">
      <c r="B121" t="str">
        <f>TBIDry!H193</f>
        <v>G200</v>
      </c>
      <c r="C121" t="str">
        <f>TBIDry!I193</f>
        <v>R791</v>
      </c>
      <c r="D121" t="b">
        <f t="shared" si="24"/>
        <v>0</v>
      </c>
      <c r="E121" t="b">
        <f t="shared" si="25"/>
        <v>0</v>
      </c>
      <c r="G121" t="str">
        <f>TBIWet!H193</f>
        <v>G681</v>
      </c>
      <c r="H121" t="str">
        <f>TBIWet!I193</f>
        <v>R495</v>
      </c>
      <c r="I121" t="b">
        <f t="shared" si="26"/>
        <v>0</v>
      </c>
      <c r="J121" t="b">
        <f t="shared" si="27"/>
        <v>0</v>
      </c>
      <c r="L121" t="str">
        <f>'Both teabags AfterWet'!A120</f>
        <v>G511</v>
      </c>
      <c r="M121" t="str">
        <f>'Both teabags AfterWet'!A538</f>
        <v>R285</v>
      </c>
      <c r="N121" t="b">
        <f t="shared" si="28"/>
        <v>0</v>
      </c>
      <c r="O121" t="b">
        <f t="shared" si="29"/>
        <v>0</v>
      </c>
      <c r="P121" t="str">
        <f>IFERROR('Both teabags AfterWet'!B120,"")</f>
        <v>n.a</v>
      </c>
      <c r="Q121" t="str">
        <f>'Both teabags AfterWet'!B538</f>
        <v>n.a</v>
      </c>
      <c r="S121" s="401" t="b">
        <f t="shared" si="30"/>
        <v>0</v>
      </c>
      <c r="T121" s="401" t="b">
        <f t="shared" si="31"/>
        <v>0</v>
      </c>
      <c r="V121" t="str">
        <f>'Both teabags AfterDry'!A120</f>
        <v>G244</v>
      </c>
      <c r="W121" t="str">
        <f>'Both teabags AfterDry'!A457</f>
        <v>R425</v>
      </c>
      <c r="X121" t="b">
        <f t="shared" si="32"/>
        <v>0</v>
      </c>
      <c r="Y121" t="b">
        <f t="shared" si="33"/>
        <v>0</v>
      </c>
      <c r="AA121" t="str">
        <f>'Green_rooibos initial weight'!A122</f>
        <v>G118</v>
      </c>
      <c r="AB121" t="str">
        <f>'Green_rooibos initial weight'!A1026</f>
        <v>R118</v>
      </c>
      <c r="AC121" t="b">
        <f t="shared" si="34"/>
        <v>0</v>
      </c>
      <c r="AD121" t="b">
        <f t="shared" si="35"/>
        <v>0</v>
      </c>
      <c r="AG121" t="str">
        <f>'WetLitterbags placem_collection'!K120</f>
        <v>G681</v>
      </c>
      <c r="AH121" t="str">
        <f>'WetLitterbags placem_collection'!M120</f>
        <v>R495</v>
      </c>
      <c r="AI121" t="b">
        <f t="shared" si="36"/>
        <v>0</v>
      </c>
      <c r="AJ121" t="b">
        <f t="shared" si="37"/>
        <v>0</v>
      </c>
      <c r="AK121">
        <f>'WetLitterbags placem_collection'!A120</f>
        <v>118</v>
      </c>
      <c r="AL121">
        <f>'WetLitterbags placem_collection'!A120</f>
        <v>118</v>
      </c>
      <c r="AN121">
        <f>IF('Dry_Litterbag Placem_Collection'!J120=0,"",'Dry_Litterbag Placem_Collection'!J120)</f>
        <v>200</v>
      </c>
      <c r="AO121">
        <f>IF('Dry_Litterbag Placem_Collection'!K120=0,"",'Dry_Litterbag Placem_Collection'!K120)</f>
        <v>791</v>
      </c>
      <c r="AP121" t="b">
        <f t="shared" si="38"/>
        <v>0</v>
      </c>
      <c r="AQ121" t="b">
        <f t="shared" si="39"/>
        <v>0</v>
      </c>
      <c r="AT121" t="str">
        <f>'Ashed teabags dry'!A119</f>
        <v>G245</v>
      </c>
      <c r="AU121" t="str">
        <f>'Ashed teabags dry'!A456</f>
        <v>R422</v>
      </c>
      <c r="AV121" t="b">
        <f t="shared" si="40"/>
        <v>0</v>
      </c>
      <c r="AW121" t="b">
        <f t="shared" si="41"/>
        <v>0</v>
      </c>
      <c r="AZ121" s="401" t="b">
        <f t="shared" si="42"/>
        <v>0</v>
      </c>
      <c r="BA121" s="401" t="b">
        <f t="shared" si="43"/>
        <v>0</v>
      </c>
      <c r="BC121" t="str">
        <f>'Ashed teabags wet'!A119</f>
        <v>G516</v>
      </c>
      <c r="BD121" t="str">
        <f>'Ashed teabags wet'!A536</f>
        <v>R30</v>
      </c>
      <c r="BE121" t="b">
        <f t="shared" si="44"/>
        <v>0</v>
      </c>
      <c r="BF121" t="b">
        <f t="shared" si="45"/>
        <v>0</v>
      </c>
      <c r="BG121">
        <f>IFERROR('Ashed teabags wet'!C119,"")</f>
        <v>34</v>
      </c>
      <c r="BH121">
        <f>IFERROR('Ashed teabags wet'!C536,"")</f>
        <v>157</v>
      </c>
      <c r="BI121">
        <f>'Ashed teabags wet'!AB119</f>
        <v>33</v>
      </c>
      <c r="BJ121" t="str">
        <f>'Ashed teabags wet'!AC119</f>
        <v/>
      </c>
      <c r="BK121">
        <f>'Ashed teabags wet'!AD536</f>
        <v>156</v>
      </c>
      <c r="BL121" t="str">
        <f>'Ashed teabags wet'!AE536</f>
        <v/>
      </c>
      <c r="BN121" s="180" t="str">
        <f t="shared" si="46"/>
        <v>G514</v>
      </c>
      <c r="BO121" s="113" t="b">
        <f t="shared" si="47"/>
        <v>0</v>
      </c>
    </row>
    <row r="122" spans="2:67" ht="12" customHeight="1">
      <c r="B122" t="str">
        <f>TBIDry!H194</f>
        <v>G236</v>
      </c>
      <c r="C122" t="str">
        <f>TBIDry!I194</f>
        <v>R802</v>
      </c>
      <c r="D122" t="b">
        <f t="shared" si="24"/>
        <v>0</v>
      </c>
      <c r="E122" t="b">
        <f t="shared" si="25"/>
        <v>0</v>
      </c>
      <c r="G122" t="str">
        <f>TBIWet!H194</f>
        <v>G657</v>
      </c>
      <c r="H122" t="str">
        <f>TBIWet!I194</f>
        <v>R584</v>
      </c>
      <c r="I122" t="b">
        <f t="shared" si="26"/>
        <v>0</v>
      </c>
      <c r="J122" t="b">
        <f t="shared" si="27"/>
        <v>0</v>
      </c>
      <c r="L122" t="str">
        <f>'Both teabags AfterWet'!A121</f>
        <v>G512</v>
      </c>
      <c r="M122" t="str">
        <f>'Both teabags AfterWet'!A539</f>
        <v>R287</v>
      </c>
      <c r="N122" t="b">
        <f t="shared" si="28"/>
        <v>0</v>
      </c>
      <c r="O122" t="b">
        <f t="shared" si="29"/>
        <v>0</v>
      </c>
      <c r="P122">
        <f>IFERROR('Both teabags AfterWet'!B121,"")</f>
        <v>47</v>
      </c>
      <c r="Q122" t="str">
        <f>'Both teabags AfterWet'!B539</f>
        <v>n.a</v>
      </c>
      <c r="S122" s="401" t="b">
        <f t="shared" si="30"/>
        <v>0</v>
      </c>
      <c r="T122" s="401" t="b">
        <f t="shared" si="31"/>
        <v>0</v>
      </c>
      <c r="V122" t="str">
        <f>'Both teabags AfterDry'!A121</f>
        <v>G245</v>
      </c>
      <c r="W122" t="str">
        <f>'Both teabags AfterDry'!A458</f>
        <v>R43</v>
      </c>
      <c r="X122" t="b">
        <f t="shared" si="32"/>
        <v>0</v>
      </c>
      <c r="Y122" t="b">
        <f t="shared" si="33"/>
        <v>0</v>
      </c>
      <c r="AA122" t="str">
        <f>'Green_rooibos initial weight'!A123</f>
        <v>G119</v>
      </c>
      <c r="AB122" t="str">
        <f>'Green_rooibos initial weight'!A1027</f>
        <v>R119</v>
      </c>
      <c r="AC122" t="b">
        <f t="shared" si="34"/>
        <v>0</v>
      </c>
      <c r="AD122" t="b">
        <f t="shared" si="35"/>
        <v>0</v>
      </c>
      <c r="AG122" t="str">
        <f>'WetLitterbags placem_collection'!K121</f>
        <v>G657</v>
      </c>
      <c r="AH122" t="str">
        <f>'WetLitterbags placem_collection'!M121</f>
        <v>R584</v>
      </c>
      <c r="AI122" t="b">
        <f t="shared" si="36"/>
        <v>0</v>
      </c>
      <c r="AJ122" t="b">
        <f t="shared" si="37"/>
        <v>0</v>
      </c>
      <c r="AK122">
        <f>'WetLitterbags placem_collection'!A121</f>
        <v>119</v>
      </c>
      <c r="AL122">
        <f>'WetLitterbags placem_collection'!A121</f>
        <v>119</v>
      </c>
      <c r="AN122">
        <f>IF('Dry_Litterbag Placem_Collection'!J121=0,"",'Dry_Litterbag Placem_Collection'!J121)</f>
        <v>236</v>
      </c>
      <c r="AO122">
        <f>IF('Dry_Litterbag Placem_Collection'!K121=0,"",'Dry_Litterbag Placem_Collection'!K121)</f>
        <v>802</v>
      </c>
      <c r="AP122" t="b">
        <f t="shared" si="38"/>
        <v>0</v>
      </c>
      <c r="AQ122" t="b">
        <f t="shared" si="39"/>
        <v>0</v>
      </c>
      <c r="AT122" t="str">
        <f>'Ashed teabags dry'!A120</f>
        <v>G246</v>
      </c>
      <c r="AU122" t="str">
        <f>'Ashed teabags dry'!A457</f>
        <v>R425</v>
      </c>
      <c r="AV122" t="b">
        <f t="shared" si="40"/>
        <v>0</v>
      </c>
      <c r="AW122" t="b">
        <f t="shared" si="41"/>
        <v>0</v>
      </c>
      <c r="AZ122" s="401" t="b">
        <f t="shared" si="42"/>
        <v>0</v>
      </c>
      <c r="BA122" s="401" t="b">
        <f t="shared" si="43"/>
        <v>0</v>
      </c>
      <c r="BC122" t="str">
        <f>'Ashed teabags wet'!A120</f>
        <v>G518</v>
      </c>
      <c r="BD122" t="str">
        <f>'Ashed teabags wet'!A537</f>
        <v>R301</v>
      </c>
      <c r="BE122" t="b">
        <f t="shared" si="44"/>
        <v>0</v>
      </c>
      <c r="BF122" t="b">
        <f t="shared" si="45"/>
        <v>0</v>
      </c>
      <c r="BG122">
        <f>IFERROR('Ashed teabags wet'!C120,"")</f>
        <v>30</v>
      </c>
      <c r="BH122">
        <f>IFERROR('Ashed teabags wet'!C537,"")</f>
        <v>180</v>
      </c>
      <c r="BI122">
        <f>'Ashed teabags wet'!AB120</f>
        <v>29</v>
      </c>
      <c r="BJ122" t="str">
        <f>'Ashed teabags wet'!AC120</f>
        <v/>
      </c>
      <c r="BK122" t="str">
        <f>'Ashed teabags wet'!AD537</f>
        <v/>
      </c>
      <c r="BL122">
        <f>'Ashed teabags wet'!AE537</f>
        <v>179</v>
      </c>
      <c r="BN122" t="str">
        <f t="shared" si="46"/>
        <v>G516</v>
      </c>
      <c r="BO122" t="b">
        <f t="shared" si="47"/>
        <v>1</v>
      </c>
    </row>
    <row r="123" spans="2:67" ht="12" customHeight="1">
      <c r="B123" t="str">
        <f>TBIDry!H195</f>
        <v/>
      </c>
      <c r="C123" t="str">
        <f>TBIDry!I195</f>
        <v/>
      </c>
      <c r="D123" t="b">
        <f t="shared" si="24"/>
        <v>1</v>
      </c>
      <c r="E123" t="b">
        <f t="shared" si="25"/>
        <v>1</v>
      </c>
      <c r="G123" t="str">
        <f>TBIWet!H195</f>
        <v>G758</v>
      </c>
      <c r="H123" t="str">
        <f>TBIWet!I195</f>
        <v>R454</v>
      </c>
      <c r="I123" t="b">
        <f t="shared" si="26"/>
        <v>0</v>
      </c>
      <c r="J123" t="b">
        <f t="shared" si="27"/>
        <v>0</v>
      </c>
      <c r="L123" t="str">
        <f>'Both teabags AfterWet'!A122</f>
        <v>G513</v>
      </c>
      <c r="M123" t="str">
        <f>'Both teabags AfterWet'!A540</f>
        <v>R289</v>
      </c>
      <c r="N123" t="b">
        <f t="shared" si="28"/>
        <v>0</v>
      </c>
      <c r="O123" t="b">
        <f t="shared" si="29"/>
        <v>0</v>
      </c>
      <c r="P123">
        <f>IFERROR('Both teabags AfterWet'!B122,"")</f>
        <v>58</v>
      </c>
      <c r="Q123">
        <f>'Both teabags AfterWet'!B540</f>
        <v>104</v>
      </c>
      <c r="S123" s="401" t="b">
        <f t="shared" si="30"/>
        <v>0</v>
      </c>
      <c r="T123" s="401" t="b">
        <f t="shared" si="31"/>
        <v>0</v>
      </c>
      <c r="V123" t="str">
        <f>'Both teabags AfterDry'!A122</f>
        <v>G246</v>
      </c>
      <c r="W123" t="str">
        <f>'Both teabags AfterDry'!A459</f>
        <v>R443</v>
      </c>
      <c r="X123" t="b">
        <f t="shared" si="32"/>
        <v>0</v>
      </c>
      <c r="Y123" t="b">
        <f t="shared" si="33"/>
        <v>0</v>
      </c>
      <c r="AA123" t="str">
        <f>'Green_rooibos initial weight'!A124</f>
        <v>G120</v>
      </c>
      <c r="AB123" t="str">
        <f>'Green_rooibos initial weight'!A1028</f>
        <v>R120</v>
      </c>
      <c r="AC123" t="b">
        <f t="shared" si="34"/>
        <v>0</v>
      </c>
      <c r="AD123" t="b">
        <f t="shared" si="35"/>
        <v>0</v>
      </c>
      <c r="AG123" t="str">
        <f>'WetLitterbags placem_collection'!K122</f>
        <v>G758</v>
      </c>
      <c r="AH123" t="str">
        <f>'WetLitterbags placem_collection'!M122</f>
        <v>R454</v>
      </c>
      <c r="AI123" t="b">
        <f t="shared" si="36"/>
        <v>0</v>
      </c>
      <c r="AJ123" t="b">
        <f t="shared" si="37"/>
        <v>0</v>
      </c>
      <c r="AK123">
        <f>'WetLitterbags placem_collection'!A122</f>
        <v>120</v>
      </c>
      <c r="AL123">
        <f>'WetLitterbags placem_collection'!A122</f>
        <v>120</v>
      </c>
      <c r="AN123" t="str">
        <f>IF('Dry_Litterbag Placem_Collection'!J122=0,"",'Dry_Litterbag Placem_Collection'!J122)</f>
        <v/>
      </c>
      <c r="AO123" t="str">
        <f>IF('Dry_Litterbag Placem_Collection'!K122=0,"",'Dry_Litterbag Placem_Collection'!K122)</f>
        <v/>
      </c>
      <c r="AP123" t="b">
        <f t="shared" si="38"/>
        <v>1</v>
      </c>
      <c r="AQ123" t="b">
        <f t="shared" si="39"/>
        <v>1</v>
      </c>
      <c r="AT123" t="str">
        <f>'Ashed teabags dry'!A121</f>
        <v>G247</v>
      </c>
      <c r="AU123" t="str">
        <f>'Ashed teabags dry'!A458</f>
        <v>R43</v>
      </c>
      <c r="AV123" t="b">
        <f t="shared" si="40"/>
        <v>0</v>
      </c>
      <c r="AW123" t="b">
        <f t="shared" si="41"/>
        <v>0</v>
      </c>
      <c r="AZ123" s="401" t="b">
        <f t="shared" si="42"/>
        <v>0</v>
      </c>
      <c r="BA123" s="401" t="b">
        <f t="shared" si="43"/>
        <v>0</v>
      </c>
      <c r="BC123" t="str">
        <f>'Ashed teabags wet'!A121</f>
        <v>G519</v>
      </c>
      <c r="BD123" t="str">
        <f>'Ashed teabags wet'!A538</f>
        <v>R302</v>
      </c>
      <c r="BE123" t="b">
        <f t="shared" si="44"/>
        <v>0</v>
      </c>
      <c r="BF123" t="b">
        <f t="shared" si="45"/>
        <v>0</v>
      </c>
      <c r="BG123">
        <f>IFERROR('Ashed teabags wet'!C121,"")</f>
        <v>45</v>
      </c>
      <c r="BH123">
        <f>IFERROR('Ashed teabags wet'!C538,"")</f>
        <v>217</v>
      </c>
      <c r="BI123">
        <f>'Ashed teabags wet'!AB121</f>
        <v>44</v>
      </c>
      <c r="BJ123" t="str">
        <f>'Ashed teabags wet'!AC121</f>
        <v/>
      </c>
      <c r="BK123">
        <f>'Ashed teabags wet'!AD538</f>
        <v>216</v>
      </c>
      <c r="BL123" t="str">
        <f>'Ashed teabags wet'!AE538</f>
        <v/>
      </c>
      <c r="BN123" t="str">
        <f t="shared" si="46"/>
        <v>G518</v>
      </c>
      <c r="BO123" t="b">
        <f t="shared" si="47"/>
        <v>1</v>
      </c>
    </row>
    <row r="124" spans="2:67" ht="12" customHeight="1">
      <c r="B124" t="str">
        <f>TBIDry!H196</f>
        <v>G280</v>
      </c>
      <c r="C124" t="str">
        <f>TBIDry!I196</f>
        <v>R822</v>
      </c>
      <c r="D124" t="b">
        <f t="shared" si="24"/>
        <v>0</v>
      </c>
      <c r="E124" t="b">
        <f t="shared" si="25"/>
        <v>0</v>
      </c>
      <c r="G124" t="str">
        <f>TBIWet!H196</f>
        <v>G666</v>
      </c>
      <c r="H124" t="str">
        <f>TBIWet!I196</f>
        <v>R532</v>
      </c>
      <c r="I124" t="b">
        <f t="shared" si="26"/>
        <v>0</v>
      </c>
      <c r="J124" t="b">
        <f t="shared" si="27"/>
        <v>0</v>
      </c>
      <c r="L124" t="str">
        <f>'Both teabags AfterWet'!A123</f>
        <v>G516</v>
      </c>
      <c r="M124" t="str">
        <f>'Both teabags AfterWet'!A541</f>
        <v>R29</v>
      </c>
      <c r="N124" t="b">
        <f t="shared" si="28"/>
        <v>0</v>
      </c>
      <c r="O124" t="b">
        <f t="shared" si="29"/>
        <v>0</v>
      </c>
      <c r="P124">
        <f>IFERROR('Both teabags AfterWet'!B123,"")</f>
        <v>34</v>
      </c>
      <c r="Q124">
        <f>'Both teabags AfterWet'!B541</f>
        <v>51</v>
      </c>
      <c r="S124" s="401" t="b">
        <f t="shared" si="30"/>
        <v>0</v>
      </c>
      <c r="T124" s="401" t="b">
        <f t="shared" si="31"/>
        <v>0</v>
      </c>
      <c r="V124" t="str">
        <f>'Both teabags AfterDry'!A123</f>
        <v>G247</v>
      </c>
      <c r="W124" t="str">
        <f>'Both teabags AfterDry'!A460</f>
        <v>R455</v>
      </c>
      <c r="X124" t="b">
        <f t="shared" si="32"/>
        <v>0</v>
      </c>
      <c r="Y124" t="b">
        <f t="shared" si="33"/>
        <v>0</v>
      </c>
      <c r="AA124" t="str">
        <f>'Green_rooibos initial weight'!A125</f>
        <v>G121</v>
      </c>
      <c r="AB124" t="str">
        <f>'Green_rooibos initial weight'!A1029</f>
        <v>R121</v>
      </c>
      <c r="AC124" t="b">
        <f t="shared" si="34"/>
        <v>0</v>
      </c>
      <c r="AD124" t="b">
        <f t="shared" si="35"/>
        <v>0</v>
      </c>
      <c r="AG124" t="str">
        <f>'WetLitterbags placem_collection'!K123</f>
        <v>G666</v>
      </c>
      <c r="AH124" t="str">
        <f>'WetLitterbags placem_collection'!M123</f>
        <v>R532</v>
      </c>
      <c r="AI124" t="b">
        <f t="shared" si="36"/>
        <v>0</v>
      </c>
      <c r="AJ124" t="b">
        <f t="shared" si="37"/>
        <v>0</v>
      </c>
      <c r="AK124">
        <f>'WetLitterbags placem_collection'!A123</f>
        <v>121</v>
      </c>
      <c r="AL124">
        <f>'WetLitterbags placem_collection'!A123</f>
        <v>121</v>
      </c>
      <c r="AN124">
        <f>IF('Dry_Litterbag Placem_Collection'!J123=0,"",'Dry_Litterbag Placem_Collection'!J123)</f>
        <v>280</v>
      </c>
      <c r="AO124">
        <f>IF('Dry_Litterbag Placem_Collection'!K123=0,"",'Dry_Litterbag Placem_Collection'!K123)</f>
        <v>822</v>
      </c>
      <c r="AP124" t="b">
        <f t="shared" si="38"/>
        <v>0</v>
      </c>
      <c r="AQ124" t="b">
        <f t="shared" si="39"/>
        <v>0</v>
      </c>
      <c r="AT124" t="str">
        <f>'Ashed teabags dry'!A122</f>
        <v>G248</v>
      </c>
      <c r="AU124" t="str">
        <f>'Ashed teabags dry'!A459</f>
        <v>R443</v>
      </c>
      <c r="AV124" t="b">
        <f t="shared" si="40"/>
        <v>0</v>
      </c>
      <c r="AW124" t="b">
        <f t="shared" si="41"/>
        <v>0</v>
      </c>
      <c r="AZ124" s="401" t="b">
        <f t="shared" si="42"/>
        <v>0</v>
      </c>
      <c r="BA124" s="401" t="b">
        <f t="shared" si="43"/>
        <v>0</v>
      </c>
      <c r="BC124" t="str">
        <f>'Ashed teabags wet'!A122</f>
        <v>G520</v>
      </c>
      <c r="BD124" t="str">
        <f>'Ashed teabags wet'!A539</f>
        <v>R303</v>
      </c>
      <c r="BE124" t="b">
        <f t="shared" si="44"/>
        <v>0</v>
      </c>
      <c r="BF124" t="b">
        <f t="shared" si="45"/>
        <v>0</v>
      </c>
      <c r="BG124">
        <f>IFERROR('Ashed teabags wet'!C122,"")</f>
        <v>84</v>
      </c>
      <c r="BH124">
        <f>IFERROR('Ashed teabags wet'!C539,"")</f>
        <v>200</v>
      </c>
      <c r="BI124" t="str">
        <f>'Ashed teabags wet'!AB122</f>
        <v/>
      </c>
      <c r="BJ124">
        <f>'Ashed teabags wet'!AC122</f>
        <v>83</v>
      </c>
      <c r="BK124">
        <f>'Ashed teabags wet'!AD539</f>
        <v>199</v>
      </c>
      <c r="BL124" t="str">
        <f>'Ashed teabags wet'!AE539</f>
        <v/>
      </c>
      <c r="BN124" t="str">
        <f t="shared" si="46"/>
        <v>G519</v>
      </c>
      <c r="BO124" t="b">
        <f t="shared" si="47"/>
        <v>1</v>
      </c>
    </row>
    <row r="125" spans="2:67" ht="12" customHeight="1">
      <c r="B125" t="str">
        <f>TBIDry!H197</f>
        <v>G231</v>
      </c>
      <c r="C125" t="str">
        <f>TBIDry!I197</f>
        <v>R792</v>
      </c>
      <c r="D125" t="b">
        <f t="shared" si="24"/>
        <v>0</v>
      </c>
      <c r="E125" t="b">
        <f t="shared" si="25"/>
        <v>0</v>
      </c>
      <c r="G125" t="str">
        <f>TBIWet!H197</f>
        <v>G860</v>
      </c>
      <c r="H125" t="str">
        <f>TBIWet!I197</f>
        <v>R11</v>
      </c>
      <c r="I125" t="b">
        <f t="shared" si="26"/>
        <v>0</v>
      </c>
      <c r="J125" t="b">
        <f t="shared" si="27"/>
        <v>0</v>
      </c>
      <c r="L125" t="str">
        <f>'Both teabags AfterWet'!A124</f>
        <v>G518</v>
      </c>
      <c r="M125" t="str">
        <f>'Both teabags AfterWet'!A542</f>
        <v>R290</v>
      </c>
      <c r="N125" t="b">
        <f t="shared" si="28"/>
        <v>0</v>
      </c>
      <c r="O125" t="b">
        <f t="shared" si="29"/>
        <v>0</v>
      </c>
      <c r="P125" t="str">
        <f>IFERROR('Both teabags AfterWet'!B124,"")</f>
        <v>n.a</v>
      </c>
      <c r="Q125">
        <f>'Both teabags AfterWet'!B542</f>
        <v>183</v>
      </c>
      <c r="S125" s="401" t="b">
        <f t="shared" si="30"/>
        <v>0</v>
      </c>
      <c r="T125" s="401" t="b">
        <f t="shared" si="31"/>
        <v>0</v>
      </c>
      <c r="V125" t="str">
        <f>'Both teabags AfterDry'!A124</f>
        <v>G248</v>
      </c>
      <c r="W125" t="str">
        <f>'Both teabags AfterDry'!A461</f>
        <v>R491</v>
      </c>
      <c r="X125" t="b">
        <f t="shared" si="32"/>
        <v>0</v>
      </c>
      <c r="Y125" t="b">
        <f t="shared" si="33"/>
        <v>0</v>
      </c>
      <c r="AA125" t="str">
        <f>'Green_rooibos initial weight'!A126</f>
        <v>G122</v>
      </c>
      <c r="AB125" t="str">
        <f>'Green_rooibos initial weight'!A1030</f>
        <v>R122</v>
      </c>
      <c r="AC125" t="b">
        <f t="shared" si="34"/>
        <v>0</v>
      </c>
      <c r="AD125" t="b">
        <f t="shared" si="35"/>
        <v>0</v>
      </c>
      <c r="AG125" t="str">
        <f>'WetLitterbags placem_collection'!K124</f>
        <v>G860</v>
      </c>
      <c r="AH125" t="str">
        <f>'WetLitterbags placem_collection'!M124</f>
        <v>R11</v>
      </c>
      <c r="AI125" t="b">
        <f t="shared" si="36"/>
        <v>0</v>
      </c>
      <c r="AJ125" t="b">
        <f t="shared" si="37"/>
        <v>0</v>
      </c>
      <c r="AK125">
        <f>'WetLitterbags placem_collection'!A124</f>
        <v>122</v>
      </c>
      <c r="AL125">
        <f>'WetLitterbags placem_collection'!A124</f>
        <v>122</v>
      </c>
      <c r="AN125">
        <f>IF('Dry_Litterbag Placem_Collection'!J124=0,"",'Dry_Litterbag Placem_Collection'!J124)</f>
        <v>231</v>
      </c>
      <c r="AO125">
        <f>IF('Dry_Litterbag Placem_Collection'!K124=0,"",'Dry_Litterbag Placem_Collection'!K124)</f>
        <v>792</v>
      </c>
      <c r="AP125" t="b">
        <f t="shared" si="38"/>
        <v>0</v>
      </c>
      <c r="AQ125" t="b">
        <f t="shared" si="39"/>
        <v>0</v>
      </c>
      <c r="AT125" t="str">
        <f>'Ashed teabags dry'!A123</f>
        <v>G25</v>
      </c>
      <c r="AU125" t="str">
        <f>'Ashed teabags dry'!A460</f>
        <v>R455</v>
      </c>
      <c r="AV125" t="b">
        <f t="shared" si="40"/>
        <v>0</v>
      </c>
      <c r="AW125" t="b">
        <f t="shared" si="41"/>
        <v>0</v>
      </c>
      <c r="AZ125" s="401" t="b">
        <f t="shared" si="42"/>
        <v>0</v>
      </c>
      <c r="BA125" s="401" t="b">
        <f t="shared" si="43"/>
        <v>0</v>
      </c>
      <c r="BC125" t="str">
        <f>'Ashed teabags wet'!A123</f>
        <v>G521</v>
      </c>
      <c r="BD125" t="str">
        <f>'Ashed teabags wet'!A540</f>
        <v>R307</v>
      </c>
      <c r="BE125" t="b">
        <f t="shared" si="44"/>
        <v>0</v>
      </c>
      <c r="BF125" t="b">
        <f t="shared" si="45"/>
        <v>0</v>
      </c>
      <c r="BG125">
        <f>IFERROR('Ashed teabags wet'!C123,"")</f>
        <v>31</v>
      </c>
      <c r="BH125">
        <f>IFERROR('Ashed teabags wet'!C540,"")</f>
        <v>174</v>
      </c>
      <c r="BI125" t="str">
        <f>'Ashed teabags wet'!AB123</f>
        <v/>
      </c>
      <c r="BJ125">
        <f>'Ashed teabags wet'!AC123</f>
        <v>30</v>
      </c>
      <c r="BK125">
        <f>'Ashed teabags wet'!AD540</f>
        <v>173</v>
      </c>
      <c r="BL125" t="str">
        <f>'Ashed teabags wet'!AE540</f>
        <v/>
      </c>
      <c r="BN125" t="str">
        <f t="shared" si="46"/>
        <v>G520</v>
      </c>
      <c r="BO125" t="b">
        <f t="shared" si="47"/>
        <v>1</v>
      </c>
    </row>
    <row r="126" spans="2:67" ht="12" customHeight="1">
      <c r="B126" t="str">
        <f>TBIDry!H198</f>
        <v>G292</v>
      </c>
      <c r="C126" t="str">
        <f>TBIDry!I198</f>
        <v>R740</v>
      </c>
      <c r="D126" t="b">
        <f t="shared" si="24"/>
        <v>0</v>
      </c>
      <c r="E126" t="b">
        <f t="shared" si="25"/>
        <v>0</v>
      </c>
      <c r="G126" t="str">
        <f>TBIWet!H198</f>
        <v>G694</v>
      </c>
      <c r="H126" t="str">
        <f>TBIWet!I198</f>
        <v>R575</v>
      </c>
      <c r="I126" t="b">
        <f t="shared" si="26"/>
        <v>0</v>
      </c>
      <c r="J126" t="b">
        <f t="shared" si="27"/>
        <v>0</v>
      </c>
      <c r="L126" t="str">
        <f>'Both teabags AfterWet'!A125</f>
        <v>G519</v>
      </c>
      <c r="M126" t="str">
        <f>'Both teabags AfterWet'!A543</f>
        <v>R291</v>
      </c>
      <c r="N126" t="b">
        <f t="shared" si="28"/>
        <v>0</v>
      </c>
      <c r="O126" t="b">
        <f t="shared" si="29"/>
        <v>0</v>
      </c>
      <c r="P126">
        <f>IFERROR('Both teabags AfterWet'!B125,"")</f>
        <v>45</v>
      </c>
      <c r="Q126" t="str">
        <f>'Both teabags AfterWet'!B543</f>
        <v>n.a</v>
      </c>
      <c r="S126" s="401" t="b">
        <f t="shared" si="30"/>
        <v>0</v>
      </c>
      <c r="T126" s="401" t="b">
        <f t="shared" si="31"/>
        <v>0</v>
      </c>
      <c r="V126" t="str">
        <f>'Both teabags AfterDry'!A125</f>
        <v>G25</v>
      </c>
      <c r="W126" s="113" t="str">
        <f>'Both teabags AfterDry'!A462</f>
        <v>R493</v>
      </c>
      <c r="X126" t="b">
        <f t="shared" si="32"/>
        <v>0</v>
      </c>
      <c r="Y126" t="b">
        <f t="shared" si="33"/>
        <v>0</v>
      </c>
      <c r="AA126" t="str">
        <f>'Green_rooibos initial weight'!A127</f>
        <v>G123</v>
      </c>
      <c r="AB126" t="str">
        <f>'Green_rooibos initial weight'!A1031</f>
        <v>R123</v>
      </c>
      <c r="AC126" t="b">
        <f t="shared" si="34"/>
        <v>0</v>
      </c>
      <c r="AD126" t="b">
        <f t="shared" si="35"/>
        <v>0</v>
      </c>
      <c r="AG126" t="str">
        <f>'WetLitterbags placem_collection'!K125</f>
        <v>G694</v>
      </c>
      <c r="AH126" t="str">
        <f>'WetLitterbags placem_collection'!M125</f>
        <v>R575</v>
      </c>
      <c r="AI126" t="b">
        <f t="shared" si="36"/>
        <v>0</v>
      </c>
      <c r="AJ126" t="b">
        <f t="shared" si="37"/>
        <v>0</v>
      </c>
      <c r="AK126">
        <f>'WetLitterbags placem_collection'!A125</f>
        <v>123</v>
      </c>
      <c r="AL126">
        <f>'WetLitterbags placem_collection'!A125</f>
        <v>123</v>
      </c>
      <c r="AN126">
        <f>IF('Dry_Litterbag Placem_Collection'!J125=0,"",'Dry_Litterbag Placem_Collection'!J125)</f>
        <v>292</v>
      </c>
      <c r="AO126">
        <f>IF('Dry_Litterbag Placem_Collection'!K125=0,"",'Dry_Litterbag Placem_Collection'!K125)</f>
        <v>740</v>
      </c>
      <c r="AP126" t="b">
        <f t="shared" si="38"/>
        <v>0</v>
      </c>
      <c r="AQ126" t="b">
        <f t="shared" si="39"/>
        <v>0</v>
      </c>
      <c r="AT126" t="str">
        <f>'Ashed teabags dry'!A124</f>
        <v>G250</v>
      </c>
      <c r="AU126" t="str">
        <f>'Ashed teabags dry'!A461</f>
        <v>R491</v>
      </c>
      <c r="AV126" t="b">
        <f t="shared" si="40"/>
        <v>0</v>
      </c>
      <c r="AW126" t="b">
        <f t="shared" si="41"/>
        <v>0</v>
      </c>
      <c r="AZ126" s="401" t="b">
        <f t="shared" si="42"/>
        <v>0</v>
      </c>
      <c r="BA126" s="401" t="b">
        <f t="shared" si="43"/>
        <v>0</v>
      </c>
      <c r="BC126" t="str">
        <f>'Ashed teabags wet'!A124</f>
        <v>G522</v>
      </c>
      <c r="BD126" t="str">
        <f>'Ashed teabags wet'!A541</f>
        <v>R309</v>
      </c>
      <c r="BE126" t="b">
        <f t="shared" si="44"/>
        <v>0</v>
      </c>
      <c r="BF126" t="b">
        <f t="shared" si="45"/>
        <v>0</v>
      </c>
      <c r="BG126">
        <f>IFERROR('Ashed teabags wet'!C124,"")</f>
        <v>191</v>
      </c>
      <c r="BH126">
        <f>IFERROR('Ashed teabags wet'!C541,"")</f>
        <v>178</v>
      </c>
      <c r="BI126">
        <f>'Ashed teabags wet'!AB124</f>
        <v>190</v>
      </c>
      <c r="BJ126" t="str">
        <f>'Ashed teabags wet'!AC124</f>
        <v/>
      </c>
      <c r="BK126">
        <f>'Ashed teabags wet'!AD541</f>
        <v>177</v>
      </c>
      <c r="BL126" t="str">
        <f>'Ashed teabags wet'!AE541</f>
        <v/>
      </c>
      <c r="BN126" t="str">
        <f t="shared" si="46"/>
        <v>G521</v>
      </c>
      <c r="BO126" t="b">
        <f t="shared" si="47"/>
        <v>1</v>
      </c>
    </row>
    <row r="127" spans="2:67" ht="12" customHeight="1">
      <c r="B127" t="str">
        <f>TBIDry!H199</f>
        <v>G116</v>
      </c>
      <c r="C127" t="str">
        <f>TBIDry!I199</f>
        <v>R797</v>
      </c>
      <c r="D127" t="b">
        <f t="shared" si="24"/>
        <v>0</v>
      </c>
      <c r="E127" t="b">
        <f t="shared" si="25"/>
        <v>0</v>
      </c>
      <c r="G127" t="str">
        <f>TBIWet!H199</f>
        <v>G867</v>
      </c>
      <c r="H127" t="str">
        <f>TBIWet!I199</f>
        <v>R39</v>
      </c>
      <c r="I127" t="b">
        <f t="shared" si="26"/>
        <v>0</v>
      </c>
      <c r="J127" t="b">
        <f t="shared" si="27"/>
        <v>0</v>
      </c>
      <c r="L127" t="str">
        <f>'Both teabags AfterWet'!A126</f>
        <v>G520</v>
      </c>
      <c r="M127" t="str">
        <f>'Both teabags AfterWet'!A544</f>
        <v>R293</v>
      </c>
      <c r="N127" t="b">
        <f t="shared" si="28"/>
        <v>0</v>
      </c>
      <c r="O127" t="b">
        <f t="shared" si="29"/>
        <v>0</v>
      </c>
      <c r="P127">
        <f>IFERROR('Both teabags AfterWet'!B126,"")</f>
        <v>84</v>
      </c>
      <c r="Q127">
        <f>'Both teabags AfterWet'!B544</f>
        <v>81</v>
      </c>
      <c r="S127" s="401" t="b">
        <f t="shared" si="30"/>
        <v>0</v>
      </c>
      <c r="T127" s="401" t="b">
        <f t="shared" si="31"/>
        <v>0</v>
      </c>
      <c r="V127" t="str">
        <f>'Both teabags AfterDry'!A126</f>
        <v>G250</v>
      </c>
      <c r="W127" t="str">
        <f>'Both teabags AfterDry'!A463</f>
        <v>R5</v>
      </c>
      <c r="X127" t="b">
        <f t="shared" si="32"/>
        <v>0</v>
      </c>
      <c r="Y127" t="b">
        <f t="shared" si="33"/>
        <v>0</v>
      </c>
      <c r="AA127" t="str">
        <f>'Green_rooibos initial weight'!A128</f>
        <v>G124</v>
      </c>
      <c r="AB127" t="str">
        <f>'Green_rooibos initial weight'!A1032</f>
        <v>R124</v>
      </c>
      <c r="AC127" t="b">
        <f t="shared" si="34"/>
        <v>0</v>
      </c>
      <c r="AD127" t="b">
        <f t="shared" si="35"/>
        <v>0</v>
      </c>
      <c r="AG127" t="str">
        <f>'WetLitterbags placem_collection'!K126</f>
        <v>G867</v>
      </c>
      <c r="AH127" t="str">
        <f>'WetLitterbags placem_collection'!M126</f>
        <v>R39</v>
      </c>
      <c r="AI127" t="b">
        <f t="shared" si="36"/>
        <v>0</v>
      </c>
      <c r="AJ127" t="b">
        <f t="shared" si="37"/>
        <v>0</v>
      </c>
      <c r="AK127">
        <f>'WetLitterbags placem_collection'!A126</f>
        <v>124</v>
      </c>
      <c r="AL127">
        <f>'WetLitterbags placem_collection'!A126</f>
        <v>124</v>
      </c>
      <c r="AN127">
        <f>IF('Dry_Litterbag Placem_Collection'!J126=0,"",'Dry_Litterbag Placem_Collection'!J126)</f>
        <v>116</v>
      </c>
      <c r="AO127">
        <f>IF('Dry_Litterbag Placem_Collection'!K126=0,"",'Dry_Litterbag Placem_Collection'!K126)</f>
        <v>797</v>
      </c>
      <c r="AP127" t="b">
        <f t="shared" si="38"/>
        <v>0</v>
      </c>
      <c r="AQ127" t="b">
        <f t="shared" si="39"/>
        <v>0</v>
      </c>
      <c r="AT127" t="str">
        <f>'Ashed teabags dry'!A125</f>
        <v>G253</v>
      </c>
      <c r="AU127" t="str">
        <f>'Ashed teabags dry'!A462</f>
        <v>R5</v>
      </c>
      <c r="AV127" t="b">
        <f t="shared" si="40"/>
        <v>0</v>
      </c>
      <c r="AW127" t="b">
        <f t="shared" si="41"/>
        <v>0</v>
      </c>
      <c r="AZ127" s="401" t="b">
        <f t="shared" si="42"/>
        <v>0</v>
      </c>
      <c r="BA127" s="401" t="b">
        <f t="shared" si="43"/>
        <v>0</v>
      </c>
      <c r="BC127" t="str">
        <f>'Ashed teabags wet'!A125</f>
        <v>G523</v>
      </c>
      <c r="BD127" t="str">
        <f>'Ashed teabags wet'!A542</f>
        <v>R311</v>
      </c>
      <c r="BE127" t="b">
        <f t="shared" si="44"/>
        <v>0</v>
      </c>
      <c r="BF127" t="b">
        <f t="shared" si="45"/>
        <v>0</v>
      </c>
      <c r="BG127">
        <f>IFERROR('Ashed teabags wet'!C125,"")</f>
        <v>11</v>
      </c>
      <c r="BH127">
        <f>IFERROR('Ashed teabags wet'!C542,"")</f>
        <v>75</v>
      </c>
      <c r="BI127" t="str">
        <f>'Ashed teabags wet'!AB125</f>
        <v/>
      </c>
      <c r="BJ127">
        <f>'Ashed teabags wet'!AC125</f>
        <v>10</v>
      </c>
      <c r="BK127" t="str">
        <f>'Ashed teabags wet'!AD542</f>
        <v/>
      </c>
      <c r="BL127">
        <f>'Ashed teabags wet'!AE542</f>
        <v>74</v>
      </c>
      <c r="BN127" t="str">
        <f t="shared" si="46"/>
        <v>G522</v>
      </c>
      <c r="BO127" t="b">
        <f t="shared" si="47"/>
        <v>1</v>
      </c>
    </row>
    <row r="128" spans="2:67" ht="12" customHeight="1">
      <c r="B128" t="str">
        <f>TBIDry!H200</f>
        <v>G50</v>
      </c>
      <c r="C128" t="str">
        <f>TBIDry!I200</f>
        <v>R795</v>
      </c>
      <c r="D128" t="b">
        <f t="shared" si="24"/>
        <v>0</v>
      </c>
      <c r="E128" t="b">
        <f t="shared" si="25"/>
        <v>0</v>
      </c>
      <c r="G128" t="str">
        <f>TBIWet!H200</f>
        <v>G793</v>
      </c>
      <c r="H128" t="str">
        <f>TBIWet!I200</f>
        <v>R560</v>
      </c>
      <c r="I128" t="b">
        <f t="shared" si="26"/>
        <v>0</v>
      </c>
      <c r="J128" t="b">
        <f t="shared" si="27"/>
        <v>0</v>
      </c>
      <c r="L128" t="str">
        <f>'Both teabags AfterWet'!A127</f>
        <v>G521</v>
      </c>
      <c r="M128" t="str">
        <f>'Both teabags AfterWet'!A545</f>
        <v>R296</v>
      </c>
      <c r="N128" t="b">
        <f t="shared" si="28"/>
        <v>0</v>
      </c>
      <c r="O128" t="b">
        <f t="shared" si="29"/>
        <v>0</v>
      </c>
      <c r="P128" t="str">
        <f>IFERROR('Both teabags AfterWet'!B127,"")</f>
        <v>n.a</v>
      </c>
      <c r="Q128" t="str">
        <f>'Both teabags AfterWet'!B545</f>
        <v>n.a</v>
      </c>
      <c r="S128" s="401" t="b">
        <f t="shared" si="30"/>
        <v>0</v>
      </c>
      <c r="T128" s="401" t="b">
        <f t="shared" si="31"/>
        <v>0</v>
      </c>
      <c r="V128" t="str">
        <f>'Both teabags AfterDry'!A127</f>
        <v>G253</v>
      </c>
      <c r="W128" t="str">
        <f>'Both teabags AfterDry'!A464</f>
        <v>R514</v>
      </c>
      <c r="X128" t="b">
        <f t="shared" si="32"/>
        <v>0</v>
      </c>
      <c r="Y128" t="b">
        <f t="shared" si="33"/>
        <v>0</v>
      </c>
      <c r="AA128" t="str">
        <f>'Green_rooibos initial weight'!A129</f>
        <v>G125</v>
      </c>
      <c r="AB128" t="str">
        <f>'Green_rooibos initial weight'!A1033</f>
        <v>R125</v>
      </c>
      <c r="AC128" t="b">
        <f t="shared" si="34"/>
        <v>0</v>
      </c>
      <c r="AD128" t="b">
        <f t="shared" si="35"/>
        <v>0</v>
      </c>
      <c r="AG128" t="str">
        <f>'WetLitterbags placem_collection'!K127</f>
        <v>G793</v>
      </c>
      <c r="AH128" t="str">
        <f>'WetLitterbags placem_collection'!M127</f>
        <v>R560</v>
      </c>
      <c r="AI128" t="b">
        <f t="shared" si="36"/>
        <v>0</v>
      </c>
      <c r="AJ128" t="b">
        <f t="shared" si="37"/>
        <v>0</v>
      </c>
      <c r="AK128">
        <f>'WetLitterbags placem_collection'!A127</f>
        <v>125</v>
      </c>
      <c r="AL128">
        <f>'WetLitterbags placem_collection'!A127</f>
        <v>125</v>
      </c>
      <c r="AN128">
        <f>IF('Dry_Litterbag Placem_Collection'!J127=0,"",'Dry_Litterbag Placem_Collection'!J127)</f>
        <v>50</v>
      </c>
      <c r="AO128">
        <f>IF('Dry_Litterbag Placem_Collection'!K127=0,"",'Dry_Litterbag Placem_Collection'!K127)</f>
        <v>795</v>
      </c>
      <c r="AP128" t="b">
        <f t="shared" si="38"/>
        <v>0</v>
      </c>
      <c r="AQ128" t="b">
        <f t="shared" si="39"/>
        <v>0</v>
      </c>
      <c r="AT128" t="str">
        <f>'Ashed teabags dry'!A126</f>
        <v>G254</v>
      </c>
      <c r="AU128" t="str">
        <f>'Ashed teabags dry'!A463</f>
        <v>R514</v>
      </c>
      <c r="AV128" t="b">
        <f t="shared" si="40"/>
        <v>0</v>
      </c>
      <c r="AW128" t="b">
        <f t="shared" si="41"/>
        <v>0</v>
      </c>
      <c r="AZ128" s="401" t="b">
        <f t="shared" si="42"/>
        <v>0</v>
      </c>
      <c r="BA128" s="401" t="b">
        <f t="shared" si="43"/>
        <v>0</v>
      </c>
      <c r="BC128" t="str">
        <f>'Ashed teabags wet'!A126</f>
        <v>G524</v>
      </c>
      <c r="BD128" t="str">
        <f>'Ashed teabags wet'!A543</f>
        <v>R312</v>
      </c>
      <c r="BE128" t="b">
        <f t="shared" si="44"/>
        <v>0</v>
      </c>
      <c r="BF128" t="b">
        <f t="shared" si="45"/>
        <v>1</v>
      </c>
      <c r="BG128">
        <f>IFERROR('Ashed teabags wet'!C126,"")</f>
        <v>20</v>
      </c>
      <c r="BH128">
        <f>IFERROR('Ashed teabags wet'!C543,"")</f>
        <v>52</v>
      </c>
      <c r="BI128">
        <f>'Ashed teabags wet'!AB126</f>
        <v>19</v>
      </c>
      <c r="BJ128" t="str">
        <f>'Ashed teabags wet'!AC126</f>
        <v/>
      </c>
      <c r="BK128" t="str">
        <f>'Ashed teabags wet'!AD543</f>
        <v/>
      </c>
      <c r="BL128">
        <f>'Ashed teabags wet'!AE543</f>
        <v>51</v>
      </c>
      <c r="BN128" t="str">
        <f t="shared" si="46"/>
        <v>G523</v>
      </c>
      <c r="BO128" t="b">
        <f t="shared" si="47"/>
        <v>1</v>
      </c>
    </row>
    <row r="129" spans="2:67" ht="12" customHeight="1">
      <c r="B129" t="str">
        <f>TBIDry!H201</f>
        <v/>
      </c>
      <c r="C129" t="str">
        <f>TBIDry!I201</f>
        <v/>
      </c>
      <c r="D129" t="b">
        <f t="shared" si="24"/>
        <v>1</v>
      </c>
      <c r="E129" t="b">
        <f t="shared" si="25"/>
        <v>1</v>
      </c>
      <c r="G129" t="str">
        <f>TBIWet!H201</f>
        <v>G749</v>
      </c>
      <c r="H129" t="str">
        <f>TBIWet!I201</f>
        <v>R562</v>
      </c>
      <c r="I129" t="b">
        <f t="shared" si="26"/>
        <v>0</v>
      </c>
      <c r="J129" t="b">
        <f t="shared" si="27"/>
        <v>0</v>
      </c>
      <c r="L129" t="str">
        <f>'Both teabags AfterWet'!A128</f>
        <v>G522</v>
      </c>
      <c r="M129" t="str">
        <f>'Both teabags AfterWet'!A546</f>
        <v>R3</v>
      </c>
      <c r="N129" t="b">
        <f t="shared" si="28"/>
        <v>0</v>
      </c>
      <c r="O129" t="b">
        <f t="shared" si="29"/>
        <v>0</v>
      </c>
      <c r="P129" t="str">
        <f>IFERROR('Both teabags AfterWet'!B128,"")</f>
        <v>n.a</v>
      </c>
      <c r="Q129" t="str">
        <f>'Both teabags AfterWet'!B546</f>
        <v>n.a</v>
      </c>
      <c r="S129" s="401" t="b">
        <f t="shared" si="30"/>
        <v>0</v>
      </c>
      <c r="T129" s="401" t="b">
        <f t="shared" si="31"/>
        <v>0</v>
      </c>
      <c r="V129" t="str">
        <f>'Both teabags AfterDry'!A128</f>
        <v>G254</v>
      </c>
      <c r="W129" t="str">
        <f>'Both teabags AfterDry'!A465</f>
        <v>R516</v>
      </c>
      <c r="X129" t="b">
        <f t="shared" si="32"/>
        <v>0</v>
      </c>
      <c r="Y129" t="b">
        <f t="shared" si="33"/>
        <v>0</v>
      </c>
      <c r="AA129" t="str">
        <f>'Green_rooibos initial weight'!A130</f>
        <v>G126</v>
      </c>
      <c r="AB129" t="str">
        <f>'Green_rooibos initial weight'!A1034</f>
        <v>R126</v>
      </c>
      <c r="AC129" t="b">
        <f t="shared" si="34"/>
        <v>0</v>
      </c>
      <c r="AD129" t="b">
        <f t="shared" si="35"/>
        <v>0</v>
      </c>
      <c r="AG129" t="str">
        <f>'WetLitterbags placem_collection'!K128</f>
        <v>G749</v>
      </c>
      <c r="AH129" t="str">
        <f>'WetLitterbags placem_collection'!M128</f>
        <v>R562</v>
      </c>
      <c r="AI129" t="b">
        <f t="shared" si="36"/>
        <v>0</v>
      </c>
      <c r="AJ129" t="b">
        <f t="shared" si="37"/>
        <v>0</v>
      </c>
      <c r="AK129">
        <f>'WetLitterbags placem_collection'!A128</f>
        <v>126</v>
      </c>
      <c r="AL129">
        <f>'WetLitterbags placem_collection'!A128</f>
        <v>126</v>
      </c>
      <c r="AN129" t="str">
        <f>IF('Dry_Litterbag Placem_Collection'!J128=0,"",'Dry_Litterbag Placem_Collection'!J128)</f>
        <v/>
      </c>
      <c r="AO129" t="str">
        <f>IF('Dry_Litterbag Placem_Collection'!K128=0,"",'Dry_Litterbag Placem_Collection'!K128)</f>
        <v/>
      </c>
      <c r="AP129" t="b">
        <f t="shared" si="38"/>
        <v>1</v>
      </c>
      <c r="AQ129" t="b">
        <f t="shared" si="39"/>
        <v>1</v>
      </c>
      <c r="AT129" t="str">
        <f>'Ashed teabags dry'!A127</f>
        <v>G255</v>
      </c>
      <c r="AU129" t="str">
        <f>'Ashed teabags dry'!A464</f>
        <v>R516</v>
      </c>
      <c r="AV129" s="113" t="b">
        <f t="shared" si="40"/>
        <v>1</v>
      </c>
      <c r="AW129" t="b">
        <f t="shared" si="41"/>
        <v>0</v>
      </c>
      <c r="AZ129" s="401" t="b">
        <f t="shared" si="42"/>
        <v>0</v>
      </c>
      <c r="BA129" s="401" t="b">
        <f t="shared" si="43"/>
        <v>0</v>
      </c>
      <c r="BC129" t="str">
        <f>'Ashed teabags wet'!A127</f>
        <v>G525</v>
      </c>
      <c r="BD129" t="str">
        <f>'Ashed teabags wet'!A544</f>
        <v>R312</v>
      </c>
      <c r="BE129" t="b">
        <f t="shared" si="44"/>
        <v>0</v>
      </c>
      <c r="BF129" t="b">
        <f t="shared" si="45"/>
        <v>1</v>
      </c>
      <c r="BG129">
        <f>IFERROR('Ashed teabags wet'!C127,"")</f>
        <v>195</v>
      </c>
      <c r="BH129">
        <f>IFERROR('Ashed teabags wet'!C544,"")</f>
        <v>58</v>
      </c>
      <c r="BI129" t="str">
        <f>'Ashed teabags wet'!AB127</f>
        <v/>
      </c>
      <c r="BJ129">
        <f>'Ashed teabags wet'!AC127</f>
        <v>194</v>
      </c>
      <c r="BK129" t="str">
        <f>'Ashed teabags wet'!AD544</f>
        <v/>
      </c>
      <c r="BL129">
        <f>'Ashed teabags wet'!AE544</f>
        <v>51</v>
      </c>
      <c r="BN129" t="str">
        <f t="shared" si="46"/>
        <v>G524</v>
      </c>
      <c r="BO129" t="b">
        <f t="shared" si="47"/>
        <v>1</v>
      </c>
    </row>
    <row r="130" spans="2:67" ht="12" customHeight="1">
      <c r="B130" t="str">
        <f>TBIDry!H202</f>
        <v>G318</v>
      </c>
      <c r="C130" t="str">
        <f>TBIDry!I202</f>
        <v>R751</v>
      </c>
      <c r="D130" t="b">
        <f t="shared" si="24"/>
        <v>0</v>
      </c>
      <c r="E130" t="b">
        <f t="shared" si="25"/>
        <v>0</v>
      </c>
      <c r="G130" t="str">
        <f>TBIWet!H202</f>
        <v>G898</v>
      </c>
      <c r="H130" t="str">
        <f>TBIWet!I202</f>
        <v>R506</v>
      </c>
      <c r="I130" t="b">
        <f t="shared" si="26"/>
        <v>0</v>
      </c>
      <c r="J130" t="b">
        <f t="shared" si="27"/>
        <v>0</v>
      </c>
      <c r="L130" t="str">
        <f>'Both teabags AfterWet'!A129</f>
        <v>G523</v>
      </c>
      <c r="M130" t="str">
        <f>'Both teabags AfterWet'!A547</f>
        <v>R30</v>
      </c>
      <c r="N130" t="b">
        <f t="shared" si="28"/>
        <v>0</v>
      </c>
      <c r="O130" t="b">
        <f t="shared" si="29"/>
        <v>0</v>
      </c>
      <c r="P130" t="str">
        <f>IFERROR('Both teabags AfterWet'!B129,"")</f>
        <v>n.a</v>
      </c>
      <c r="Q130">
        <f>'Both teabags AfterWet'!B547</f>
        <v>157</v>
      </c>
      <c r="S130" s="401" t="b">
        <f t="shared" si="30"/>
        <v>0</v>
      </c>
      <c r="T130" s="401" t="b">
        <f t="shared" si="31"/>
        <v>0</v>
      </c>
      <c r="V130" t="str">
        <f>'Both teabags AfterDry'!A129</f>
        <v>G255</v>
      </c>
      <c r="W130" t="str">
        <f>'Both teabags AfterDry'!A466</f>
        <v>R52</v>
      </c>
      <c r="X130" t="b">
        <f t="shared" si="32"/>
        <v>0</v>
      </c>
      <c r="Y130" t="b">
        <f t="shared" si="33"/>
        <v>0</v>
      </c>
      <c r="AA130" t="str">
        <f>'Green_rooibos initial weight'!A131</f>
        <v>G127</v>
      </c>
      <c r="AB130" t="str">
        <f>'Green_rooibos initial weight'!A1035</f>
        <v>R127</v>
      </c>
      <c r="AC130" t="b">
        <f t="shared" si="34"/>
        <v>0</v>
      </c>
      <c r="AD130" t="b">
        <f t="shared" si="35"/>
        <v>0</v>
      </c>
      <c r="AG130" t="str">
        <f>'WetLitterbags placem_collection'!K129</f>
        <v>G898</v>
      </c>
      <c r="AH130" t="str">
        <f>'WetLitterbags placem_collection'!M129</f>
        <v>R506</v>
      </c>
      <c r="AI130" t="b">
        <f t="shared" si="36"/>
        <v>0</v>
      </c>
      <c r="AJ130" t="b">
        <f t="shared" si="37"/>
        <v>0</v>
      </c>
      <c r="AK130">
        <f>'WetLitterbags placem_collection'!A129</f>
        <v>127</v>
      </c>
      <c r="AL130">
        <f>'WetLitterbags placem_collection'!A129</f>
        <v>127</v>
      </c>
      <c r="AN130">
        <f>IF('Dry_Litterbag Placem_Collection'!J129=0,"",'Dry_Litterbag Placem_Collection'!J129)</f>
        <v>318</v>
      </c>
      <c r="AO130">
        <f>IF('Dry_Litterbag Placem_Collection'!K129=0,"",'Dry_Litterbag Placem_Collection'!K129)</f>
        <v>751</v>
      </c>
      <c r="AP130" t="b">
        <f t="shared" si="38"/>
        <v>0</v>
      </c>
      <c r="AQ130" t="b">
        <f t="shared" si="39"/>
        <v>0</v>
      </c>
      <c r="AT130" t="str">
        <f>'Ashed teabags dry'!A128</f>
        <v>G255</v>
      </c>
      <c r="AU130" t="str">
        <f>'Ashed teabags dry'!A465</f>
        <v>R52</v>
      </c>
      <c r="AV130" s="113" t="b">
        <f t="shared" si="40"/>
        <v>1</v>
      </c>
      <c r="AW130" t="b">
        <f t="shared" si="41"/>
        <v>0</v>
      </c>
      <c r="AZ130" s="401" t="b">
        <f t="shared" si="42"/>
        <v>0</v>
      </c>
      <c r="BA130" s="401" t="b">
        <f t="shared" si="43"/>
        <v>0</v>
      </c>
      <c r="BC130" t="str">
        <f>'Ashed teabags wet'!A128</f>
        <v>G526</v>
      </c>
      <c r="BD130" t="str">
        <f>'Ashed teabags wet'!A545</f>
        <v>R315</v>
      </c>
      <c r="BE130" t="b">
        <f t="shared" si="44"/>
        <v>0</v>
      </c>
      <c r="BF130" t="b">
        <f t="shared" si="45"/>
        <v>0</v>
      </c>
      <c r="BG130">
        <f>IFERROR('Ashed teabags wet'!C128,"")</f>
        <v>190</v>
      </c>
      <c r="BH130">
        <f>IFERROR('Ashed teabags wet'!C545,"")</f>
        <v>85</v>
      </c>
      <c r="BI130">
        <f>'Ashed teabags wet'!AB128</f>
        <v>189</v>
      </c>
      <c r="BJ130" t="str">
        <f>'Ashed teabags wet'!AC128</f>
        <v/>
      </c>
      <c r="BK130">
        <f>'Ashed teabags wet'!AD545</f>
        <v>84</v>
      </c>
      <c r="BL130" t="str">
        <f>'Ashed teabags wet'!AE545</f>
        <v/>
      </c>
      <c r="BN130" t="str">
        <f t="shared" si="46"/>
        <v>G525</v>
      </c>
      <c r="BO130" t="b">
        <f t="shared" si="47"/>
        <v>1</v>
      </c>
    </row>
    <row r="131" spans="2:67" ht="12" customHeight="1">
      <c r="B131" t="str">
        <f>TBIDry!H203</f>
        <v>G34</v>
      </c>
      <c r="C131" t="str">
        <f>TBIDry!I203</f>
        <v>R819</v>
      </c>
      <c r="D131" t="b">
        <f t="shared" si="24"/>
        <v>0</v>
      </c>
      <c r="E131" s="113" t="b">
        <f t="shared" si="25"/>
        <v>1</v>
      </c>
      <c r="G131" t="str">
        <f>TBIWet!H203</f>
        <v>G834</v>
      </c>
      <c r="H131" t="str">
        <f>TBIWet!I203</f>
        <v>R554</v>
      </c>
      <c r="I131" t="b">
        <f t="shared" si="26"/>
        <v>0</v>
      </c>
      <c r="J131" t="b">
        <f t="shared" si="27"/>
        <v>0</v>
      </c>
      <c r="L131" t="str">
        <f>'Both teabags AfterWet'!A130</f>
        <v>G524</v>
      </c>
      <c r="M131" t="str">
        <f>'Both teabags AfterWet'!A548</f>
        <v>R301</v>
      </c>
      <c r="N131" t="b">
        <f t="shared" si="28"/>
        <v>0</v>
      </c>
      <c r="O131" t="b">
        <f t="shared" si="29"/>
        <v>0</v>
      </c>
      <c r="P131">
        <f>IFERROR('Both teabags AfterWet'!B130,"")</f>
        <v>20</v>
      </c>
      <c r="Q131">
        <f>'Both teabags AfterWet'!B548</f>
        <v>180</v>
      </c>
      <c r="S131" s="401" t="b">
        <f t="shared" si="30"/>
        <v>0</v>
      </c>
      <c r="T131" s="401" t="b">
        <f t="shared" si="31"/>
        <v>0</v>
      </c>
      <c r="V131" t="str">
        <f>'Both teabags AfterDry'!A130</f>
        <v>G256</v>
      </c>
      <c r="W131" t="str">
        <f>'Both teabags AfterDry'!A467</f>
        <v>R551</v>
      </c>
      <c r="X131" t="b">
        <f t="shared" si="32"/>
        <v>0</v>
      </c>
      <c r="Y131" t="b">
        <f t="shared" si="33"/>
        <v>0</v>
      </c>
      <c r="AA131" t="str">
        <f>'Green_rooibos initial weight'!A132</f>
        <v>G128</v>
      </c>
      <c r="AB131" t="str">
        <f>'Green_rooibos initial weight'!A1036</f>
        <v>R128</v>
      </c>
      <c r="AC131" t="b">
        <f t="shared" si="34"/>
        <v>0</v>
      </c>
      <c r="AD131" t="b">
        <f t="shared" si="35"/>
        <v>0</v>
      </c>
      <c r="AG131" t="str">
        <f>'WetLitterbags placem_collection'!K130</f>
        <v>G834</v>
      </c>
      <c r="AH131" t="str">
        <f>'WetLitterbags placem_collection'!M130</f>
        <v>R554</v>
      </c>
      <c r="AI131" t="b">
        <f t="shared" si="36"/>
        <v>0</v>
      </c>
      <c r="AJ131" t="b">
        <f t="shared" si="37"/>
        <v>0</v>
      </c>
      <c r="AK131">
        <f>'WetLitterbags placem_collection'!A130</f>
        <v>128</v>
      </c>
      <c r="AL131">
        <f>'WetLitterbags placem_collection'!A130</f>
        <v>128</v>
      </c>
      <c r="AN131">
        <f>IF('Dry_Litterbag Placem_Collection'!J130=0,"",'Dry_Litterbag Placem_Collection'!J130)</f>
        <v>34</v>
      </c>
      <c r="AO131">
        <f>IF('Dry_Litterbag Placem_Collection'!K130=0,"",'Dry_Litterbag Placem_Collection'!K130)</f>
        <v>819</v>
      </c>
      <c r="AP131" t="b">
        <f t="shared" si="38"/>
        <v>0</v>
      </c>
      <c r="AQ131" t="b">
        <f t="shared" si="39"/>
        <v>1</v>
      </c>
      <c r="AT131" t="str">
        <f>'Ashed teabags dry'!A129</f>
        <v>G256</v>
      </c>
      <c r="AU131" t="str">
        <f>'Ashed teabags dry'!A466</f>
        <v>R551</v>
      </c>
      <c r="AV131" t="b">
        <f t="shared" si="40"/>
        <v>0</v>
      </c>
      <c r="AW131" t="b">
        <f t="shared" si="41"/>
        <v>0</v>
      </c>
      <c r="AZ131" s="401" t="b">
        <f t="shared" si="42"/>
        <v>0</v>
      </c>
      <c r="BA131" s="401" t="b">
        <f t="shared" si="43"/>
        <v>0</v>
      </c>
      <c r="BC131" t="str">
        <f>'Ashed teabags wet'!A129</f>
        <v>G527</v>
      </c>
      <c r="BD131" t="str">
        <f>'Ashed teabags wet'!A546</f>
        <v>R317</v>
      </c>
      <c r="BE131" t="b">
        <f t="shared" si="44"/>
        <v>0</v>
      </c>
      <c r="BF131" t="b">
        <f t="shared" si="45"/>
        <v>0</v>
      </c>
      <c r="BG131">
        <f>IFERROR('Ashed teabags wet'!C129,"")</f>
        <v>32</v>
      </c>
      <c r="BH131">
        <f>IFERROR('Ashed teabags wet'!C546,"")</f>
        <v>164</v>
      </c>
      <c r="BI131">
        <f>'Ashed teabags wet'!AB129</f>
        <v>31</v>
      </c>
      <c r="BJ131" t="str">
        <f>'Ashed teabags wet'!AC129</f>
        <v/>
      </c>
      <c r="BK131">
        <f>'Ashed teabags wet'!AD546</f>
        <v>163</v>
      </c>
      <c r="BL131" t="str">
        <f>'Ashed teabags wet'!AE546</f>
        <v/>
      </c>
      <c r="BN131" t="str">
        <f t="shared" si="46"/>
        <v>G526</v>
      </c>
      <c r="BO131" t="b">
        <f t="shared" si="47"/>
        <v>1</v>
      </c>
    </row>
    <row r="132" spans="2:67" ht="12" customHeight="1">
      <c r="B132" t="str">
        <f>TBIDry!H204</f>
        <v>G80</v>
      </c>
      <c r="C132" t="str">
        <f>TBIDry!I204</f>
        <v>R768</v>
      </c>
      <c r="D132" t="b">
        <f t="shared" si="24"/>
        <v>0</v>
      </c>
      <c r="E132" t="b">
        <f t="shared" si="25"/>
        <v>0</v>
      </c>
      <c r="G132" t="str">
        <f>TBIWet!H204</f>
        <v>G819</v>
      </c>
      <c r="H132" t="str">
        <f>TBIWet!I204</f>
        <v>R46</v>
      </c>
      <c r="I132" t="b">
        <f t="shared" si="26"/>
        <v>0</v>
      </c>
      <c r="J132" t="b">
        <f t="shared" si="27"/>
        <v>0</v>
      </c>
      <c r="L132" t="str">
        <f>'Both teabags AfterWet'!A131</f>
        <v>G525</v>
      </c>
      <c r="M132" t="str">
        <f>'Both teabags AfterWet'!A549</f>
        <v>R302</v>
      </c>
      <c r="N132" t="b">
        <f t="shared" si="28"/>
        <v>0</v>
      </c>
      <c r="O132" t="b">
        <f t="shared" si="29"/>
        <v>0</v>
      </c>
      <c r="P132">
        <f>IFERROR('Both teabags AfterWet'!B131,"")</f>
        <v>195</v>
      </c>
      <c r="Q132">
        <f>'Both teabags AfterWet'!B549</f>
        <v>217</v>
      </c>
      <c r="S132" s="401" t="b">
        <f t="shared" si="30"/>
        <v>0</v>
      </c>
      <c r="T132" s="401" t="b">
        <f t="shared" si="31"/>
        <v>0</v>
      </c>
      <c r="V132" t="str">
        <f>'Both teabags AfterDry'!A131</f>
        <v>G257</v>
      </c>
      <c r="W132" t="str">
        <f>'Both teabags AfterDry'!A468</f>
        <v>R586</v>
      </c>
      <c r="X132" t="b">
        <f t="shared" si="32"/>
        <v>0</v>
      </c>
      <c r="Y132" t="b">
        <f t="shared" si="33"/>
        <v>0</v>
      </c>
      <c r="AA132" t="str">
        <f>'Green_rooibos initial weight'!A133</f>
        <v>G129</v>
      </c>
      <c r="AB132" t="str">
        <f>'Green_rooibos initial weight'!A1037</f>
        <v>R129</v>
      </c>
      <c r="AC132" t="b">
        <f t="shared" si="34"/>
        <v>0</v>
      </c>
      <c r="AD132" t="b">
        <f t="shared" si="35"/>
        <v>0</v>
      </c>
      <c r="AG132" t="str">
        <f>'WetLitterbags placem_collection'!K131</f>
        <v>G819</v>
      </c>
      <c r="AH132" t="str">
        <f>'WetLitterbags placem_collection'!M131</f>
        <v>R46</v>
      </c>
      <c r="AI132" t="b">
        <f t="shared" si="36"/>
        <v>0</v>
      </c>
      <c r="AJ132" t="b">
        <f t="shared" si="37"/>
        <v>0</v>
      </c>
      <c r="AK132">
        <f>'WetLitterbags placem_collection'!A131</f>
        <v>129</v>
      </c>
      <c r="AL132">
        <f>'WetLitterbags placem_collection'!A131</f>
        <v>129</v>
      </c>
      <c r="AN132">
        <f>IF('Dry_Litterbag Placem_Collection'!J131=0,"",'Dry_Litterbag Placem_Collection'!J131)</f>
        <v>80</v>
      </c>
      <c r="AO132">
        <f>IF('Dry_Litterbag Placem_Collection'!K131=0,"",'Dry_Litterbag Placem_Collection'!K131)</f>
        <v>768</v>
      </c>
      <c r="AP132" t="b">
        <f t="shared" si="38"/>
        <v>0</v>
      </c>
      <c r="AQ132" t="b">
        <f t="shared" si="39"/>
        <v>0</v>
      </c>
      <c r="AT132" t="str">
        <f>'Ashed teabags dry'!A130</f>
        <v>G257</v>
      </c>
      <c r="AU132" t="str">
        <f>'Ashed teabags dry'!A467</f>
        <v>R586</v>
      </c>
      <c r="AV132" t="b">
        <f t="shared" si="40"/>
        <v>0</v>
      </c>
      <c r="AW132" t="b">
        <f t="shared" si="41"/>
        <v>0</v>
      </c>
      <c r="AZ132" s="401" t="b">
        <f t="shared" si="42"/>
        <v>0</v>
      </c>
      <c r="BA132" s="401" t="b">
        <f t="shared" si="43"/>
        <v>0</v>
      </c>
      <c r="BC132" t="str">
        <f>'Ashed teabags wet'!A130</f>
        <v>G528</v>
      </c>
      <c r="BD132" t="str">
        <f>'Ashed teabags wet'!A547</f>
        <v>R318</v>
      </c>
      <c r="BE132" t="b">
        <f t="shared" si="44"/>
        <v>0</v>
      </c>
      <c r="BF132" t="b">
        <f t="shared" si="45"/>
        <v>0</v>
      </c>
      <c r="BG132">
        <f>IFERROR('Ashed teabags wet'!C130,"")</f>
        <v>37</v>
      </c>
      <c r="BH132">
        <f>IFERROR('Ashed teabags wet'!C547,"")</f>
        <v>96</v>
      </c>
      <c r="BI132" t="str">
        <f>'Ashed teabags wet'!AB130</f>
        <v/>
      </c>
      <c r="BJ132">
        <f>'Ashed teabags wet'!AC130</f>
        <v>36</v>
      </c>
      <c r="BK132">
        <f>'Ashed teabags wet'!AD547</f>
        <v>95</v>
      </c>
      <c r="BL132" t="str">
        <f>'Ashed teabags wet'!AE547</f>
        <v/>
      </c>
      <c r="BN132" t="str">
        <f t="shared" si="46"/>
        <v>G527</v>
      </c>
      <c r="BO132" t="b">
        <f t="shared" si="47"/>
        <v>1</v>
      </c>
    </row>
    <row r="133" spans="2:67" ht="12" customHeight="1">
      <c r="B133" t="str">
        <f>TBIDry!H205</f>
        <v>G64</v>
      </c>
      <c r="C133" t="str">
        <f>TBIDry!I205</f>
        <v>R789</v>
      </c>
      <c r="D133" t="b">
        <f t="shared" ref="D133:D196" si="48">COUNTIF($B$4:$B$2000, B133)&gt;1</f>
        <v>0</v>
      </c>
      <c r="E133" t="b">
        <f t="shared" ref="E133:E196" si="49">COUNTIF($C$4:$C$2000, C133)&gt;1</f>
        <v>0</v>
      </c>
      <c r="G133" t="str">
        <f>TBIWet!H205</f>
        <v>G830</v>
      </c>
      <c r="H133" t="str">
        <f>TBIWet!I205</f>
        <v>R585</v>
      </c>
      <c r="I133" t="b">
        <f t="shared" ref="I133:I196" si="50">COUNTIF($G$4:$G$2000, G133)&gt;1</f>
        <v>0</v>
      </c>
      <c r="J133" t="b">
        <f t="shared" ref="J133:J196" si="51">COUNTIF($H$4:$H$2000, H133)&gt;1</f>
        <v>0</v>
      </c>
      <c r="L133" t="str">
        <f>'Both teabags AfterWet'!A132</f>
        <v>G526</v>
      </c>
      <c r="M133" t="str">
        <f>'Both teabags AfterWet'!A550</f>
        <v>R303</v>
      </c>
      <c r="N133" t="b">
        <f t="shared" ref="N133:N196" si="52">COUNTIF($L$4:$L$2000, L133)&gt;1</f>
        <v>0</v>
      </c>
      <c r="O133" t="b">
        <f t="shared" ref="O133:O196" si="53">COUNTIF($M$4:$M$2000, M133)&gt;1</f>
        <v>0</v>
      </c>
      <c r="P133" t="str">
        <f>IFERROR('Both teabags AfterWet'!B132,"")</f>
        <v>n.a</v>
      </c>
      <c r="Q133" t="str">
        <f>'Both teabags AfterWet'!B550</f>
        <v>n.a</v>
      </c>
      <c r="S133" s="401" t="b">
        <f t="shared" ref="S133:S196" si="54">COUNTIF($V$4:$V$2000, L133)=1</f>
        <v>0</v>
      </c>
      <c r="T133" s="401" t="b">
        <f t="shared" ref="T133:T196" si="55">COUNTIF($W$4:$W$2000, M133)=1</f>
        <v>0</v>
      </c>
      <c r="V133" t="str">
        <f>'Both teabags AfterDry'!A132</f>
        <v>G258</v>
      </c>
      <c r="W133" t="str">
        <f>'Both teabags AfterDry'!A469</f>
        <v>R599</v>
      </c>
      <c r="X133" t="b">
        <f t="shared" ref="X133:X196" si="56">COUNTIF($V$4:$V$2000, V133)&gt;1</f>
        <v>0</v>
      </c>
      <c r="Y133" t="b">
        <f t="shared" ref="Y133:Y196" si="57">COUNTIF($W$4:$W$2000, W133)&gt;1</f>
        <v>0</v>
      </c>
      <c r="AA133" t="str">
        <f>'Green_rooibos initial weight'!A134</f>
        <v>G130</v>
      </c>
      <c r="AB133" t="str">
        <f>'Green_rooibos initial weight'!A1038</f>
        <v>R130</v>
      </c>
      <c r="AC133" t="b">
        <f t="shared" ref="AC133:AC196" si="58">COUNTIF($AA$4:$AA$2000, AA133)&gt;1</f>
        <v>0</v>
      </c>
      <c r="AD133" t="b">
        <f t="shared" ref="AD133:AD196" si="59">COUNTIF($AB$4:$AB$2000, AB133)&gt;1</f>
        <v>0</v>
      </c>
      <c r="AG133" t="str">
        <f>'WetLitterbags placem_collection'!K132</f>
        <v>G830</v>
      </c>
      <c r="AH133" t="str">
        <f>'WetLitterbags placem_collection'!M132</f>
        <v>R585</v>
      </c>
      <c r="AI133" t="b">
        <f t="shared" ref="AI133:AI196" si="60">COUNTIF($AG$4:$AG$2000, AG133)&gt;1</f>
        <v>0</v>
      </c>
      <c r="AJ133" t="b">
        <f t="shared" ref="AJ133:AJ196" si="61">COUNTIF($AH$4:$AH$2000, AH133)&gt;1</f>
        <v>0</v>
      </c>
      <c r="AK133">
        <f>'WetLitterbags placem_collection'!A132</f>
        <v>130</v>
      </c>
      <c r="AL133">
        <f>'WetLitterbags placem_collection'!A132</f>
        <v>130</v>
      </c>
      <c r="AN133">
        <f>IF('Dry_Litterbag Placem_Collection'!J132=0,"",'Dry_Litterbag Placem_Collection'!J132)</f>
        <v>64</v>
      </c>
      <c r="AO133">
        <f>IF('Dry_Litterbag Placem_Collection'!K132=0,"",'Dry_Litterbag Placem_Collection'!K132)</f>
        <v>789</v>
      </c>
      <c r="AP133" t="b">
        <f t="shared" ref="AP133:AP196" si="62">COUNTIF($AN$4:$AN$2000, AN133)&gt;1</f>
        <v>0</v>
      </c>
      <c r="AQ133" t="b">
        <f t="shared" ref="AQ133:AQ196" si="63">COUNTIF($AO$4:$AO$2000, AO133)&gt;1</f>
        <v>0</v>
      </c>
      <c r="AT133" t="str">
        <f>'Ashed teabags dry'!A131</f>
        <v>G258</v>
      </c>
      <c r="AU133" t="str">
        <f>'Ashed teabags dry'!A468</f>
        <v>R599</v>
      </c>
      <c r="AV133" t="b">
        <f t="shared" ref="AV133:AV196" si="64">COUNTIF($AT$4:$AT$2000, AT133)&gt;1</f>
        <v>0</v>
      </c>
      <c r="AW133" t="b">
        <f t="shared" ref="AW133:AW196" si="65">COUNTIF($AU$4:$AU$2000, AU133)&gt;1</f>
        <v>0</v>
      </c>
      <c r="AZ133" s="401" t="b">
        <f t="shared" ref="AZ133:AZ196" si="66">COUNTIF($BC$4:$BC$2000, AT133)=1</f>
        <v>0</v>
      </c>
      <c r="BA133" s="401" t="b">
        <f t="shared" ref="BA133:BA196" si="67">COUNTIF($BD$4:$BD$2000, AU133)=1</f>
        <v>0</v>
      </c>
      <c r="BC133" t="str">
        <f>'Ashed teabags wet'!A131</f>
        <v>G529</v>
      </c>
      <c r="BD133" t="str">
        <f>'Ashed teabags wet'!A548</f>
        <v>R319</v>
      </c>
      <c r="BE133" t="b">
        <f t="shared" ref="BE133:BE196" si="68">COUNTIF($BC$4:$BC$2000, BC133)&gt;1</f>
        <v>0</v>
      </c>
      <c r="BF133" t="b">
        <f t="shared" ref="BF133:BF196" si="69">COUNTIF($BD$4:$BD$2000, BD133)&gt;1</f>
        <v>0</v>
      </c>
      <c r="BG133">
        <f>IFERROR('Ashed teabags wet'!C131,"")</f>
        <v>92</v>
      </c>
      <c r="BH133">
        <f>IFERROR('Ashed teabags wet'!C548,"")</f>
        <v>220</v>
      </c>
      <c r="BI133">
        <f>'Ashed teabags wet'!AB131</f>
        <v>91</v>
      </c>
      <c r="BJ133" t="str">
        <f>'Ashed teabags wet'!AC131</f>
        <v/>
      </c>
      <c r="BK133" t="str">
        <f>'Ashed teabags wet'!AD548</f>
        <v/>
      </c>
      <c r="BL133">
        <f>'Ashed teabags wet'!AE548</f>
        <v>219</v>
      </c>
      <c r="BN133" t="str">
        <f t="shared" ref="BN133:BN196" si="70">BC132</f>
        <v>G528</v>
      </c>
      <c r="BO133" t="b">
        <f t="shared" si="47"/>
        <v>1</v>
      </c>
    </row>
    <row r="134" spans="2:67" ht="12" customHeight="1">
      <c r="B134" t="str">
        <f>TBIDry!H206</f>
        <v>G118</v>
      </c>
      <c r="C134" t="str">
        <f>TBIDry!I206</f>
        <v>R586</v>
      </c>
      <c r="D134" t="b">
        <f t="shared" si="48"/>
        <v>0</v>
      </c>
      <c r="E134" t="b">
        <f t="shared" si="49"/>
        <v>0</v>
      </c>
      <c r="G134" t="str">
        <f>TBIWet!H206</f>
        <v>G746</v>
      </c>
      <c r="H134" t="str">
        <f>TBIWet!I206</f>
        <v>R476</v>
      </c>
      <c r="I134" t="b">
        <f t="shared" si="50"/>
        <v>0</v>
      </c>
      <c r="J134" t="b">
        <f t="shared" si="51"/>
        <v>0</v>
      </c>
      <c r="L134" t="str">
        <f>'Both teabags AfterWet'!A133</f>
        <v>G527</v>
      </c>
      <c r="M134" t="str">
        <f>'Both teabags AfterWet'!A551</f>
        <v>R307</v>
      </c>
      <c r="N134" t="b">
        <f t="shared" si="52"/>
        <v>0</v>
      </c>
      <c r="O134" t="b">
        <f t="shared" si="53"/>
        <v>0</v>
      </c>
      <c r="P134" t="str">
        <f>IFERROR('Both teabags AfterWet'!B133,"")</f>
        <v>n.a</v>
      </c>
      <c r="Q134">
        <f>'Both teabags AfterWet'!B551</f>
        <v>174</v>
      </c>
      <c r="S134" s="401" t="b">
        <f t="shared" si="54"/>
        <v>0</v>
      </c>
      <c r="T134" s="401" t="b">
        <f t="shared" si="55"/>
        <v>0</v>
      </c>
      <c r="V134" t="str">
        <f>'Both teabags AfterDry'!A133</f>
        <v>G259</v>
      </c>
      <c r="W134" t="str">
        <f>'Both teabags AfterDry'!A470</f>
        <v>R841</v>
      </c>
      <c r="X134" t="b">
        <f t="shared" si="56"/>
        <v>0</v>
      </c>
      <c r="Y134" t="b">
        <f t="shared" si="57"/>
        <v>0</v>
      </c>
      <c r="AA134" t="str">
        <f>'Green_rooibos initial weight'!A135</f>
        <v>G131</v>
      </c>
      <c r="AB134" t="str">
        <f>'Green_rooibos initial weight'!A1039</f>
        <v>R131</v>
      </c>
      <c r="AC134" t="b">
        <f t="shared" si="58"/>
        <v>0</v>
      </c>
      <c r="AD134" t="b">
        <f t="shared" si="59"/>
        <v>0</v>
      </c>
      <c r="AG134" t="str">
        <f>'WetLitterbags placem_collection'!K133</f>
        <v>G746</v>
      </c>
      <c r="AH134" t="str">
        <f>'WetLitterbags placem_collection'!M133</f>
        <v>R476</v>
      </c>
      <c r="AI134" t="b">
        <f t="shared" si="60"/>
        <v>0</v>
      </c>
      <c r="AJ134" t="b">
        <f t="shared" si="61"/>
        <v>0</v>
      </c>
      <c r="AK134">
        <f>'WetLitterbags placem_collection'!A133</f>
        <v>131</v>
      </c>
      <c r="AL134">
        <f>'WetLitterbags placem_collection'!A133</f>
        <v>131</v>
      </c>
      <c r="AN134">
        <f>IF('Dry_Litterbag Placem_Collection'!J133=0,"",'Dry_Litterbag Placem_Collection'!J133)</f>
        <v>118</v>
      </c>
      <c r="AO134">
        <f>IF('Dry_Litterbag Placem_Collection'!K133=0,"",'Dry_Litterbag Placem_Collection'!K133)</f>
        <v>586</v>
      </c>
      <c r="AP134" t="b">
        <f t="shared" si="62"/>
        <v>0</v>
      </c>
      <c r="AQ134" t="b">
        <f t="shared" si="63"/>
        <v>0</v>
      </c>
      <c r="AT134" t="str">
        <f>'Ashed teabags dry'!A132</f>
        <v>G259</v>
      </c>
      <c r="AU134" s="113" t="str">
        <f>'Ashed teabags dry'!A469</f>
        <v>R601</v>
      </c>
      <c r="AV134" t="b">
        <f t="shared" si="64"/>
        <v>0</v>
      </c>
      <c r="AW134" t="b">
        <f t="shared" si="65"/>
        <v>0</v>
      </c>
      <c r="AZ134" s="401" t="b">
        <f t="shared" si="66"/>
        <v>0</v>
      </c>
      <c r="BA134" s="113" t="b">
        <f t="shared" si="67"/>
        <v>1</v>
      </c>
      <c r="BC134" t="str">
        <f>'Ashed teabags wet'!A132</f>
        <v>G532</v>
      </c>
      <c r="BD134" t="str">
        <f>'Ashed teabags wet'!A549</f>
        <v>R32</v>
      </c>
      <c r="BE134" t="b">
        <f t="shared" si="68"/>
        <v>0</v>
      </c>
      <c r="BF134" t="b">
        <f t="shared" si="69"/>
        <v>0</v>
      </c>
      <c r="BG134">
        <f>IFERROR('Ashed teabags wet'!C132,"")</f>
        <v>4</v>
      </c>
      <c r="BH134">
        <f>IFERROR('Ashed teabags wet'!C549,"")</f>
        <v>179</v>
      </c>
      <c r="BI134" t="str">
        <f>'Ashed teabags wet'!AB132</f>
        <v/>
      </c>
      <c r="BJ134">
        <f>'Ashed teabags wet'!AC132</f>
        <v>3</v>
      </c>
      <c r="BK134">
        <f>'Ashed teabags wet'!AD549</f>
        <v>178</v>
      </c>
      <c r="BL134" t="str">
        <f>'Ashed teabags wet'!AE549</f>
        <v/>
      </c>
      <c r="BN134" t="str">
        <f t="shared" si="70"/>
        <v>G529</v>
      </c>
      <c r="BO134" t="b">
        <f t="shared" ref="BO134:BO197" si="71">COUNTIF($BN$5:$BN$2000, BN134)&gt;1</f>
        <v>1</v>
      </c>
    </row>
    <row r="135" spans="2:67" ht="12" customHeight="1">
      <c r="B135" t="str">
        <f>TBIDry!H207</f>
        <v/>
      </c>
      <c r="C135" t="str">
        <f>TBIDry!I207</f>
        <v/>
      </c>
      <c r="D135" t="b">
        <f t="shared" si="48"/>
        <v>1</v>
      </c>
      <c r="E135" t="b">
        <f t="shared" si="49"/>
        <v>1</v>
      </c>
      <c r="G135" t="str">
        <f>TBIWet!H207</f>
        <v>G725</v>
      </c>
      <c r="H135" t="str">
        <f>TBIWet!I207</f>
        <v>R536</v>
      </c>
      <c r="I135" t="b">
        <f t="shared" si="50"/>
        <v>0</v>
      </c>
      <c r="J135" t="b">
        <f t="shared" si="51"/>
        <v>0</v>
      </c>
      <c r="L135" t="str">
        <f>'Both teabags AfterWet'!A134</f>
        <v>G528</v>
      </c>
      <c r="M135" t="str">
        <f>'Both teabags AfterWet'!A552</f>
        <v>R309</v>
      </c>
      <c r="N135" t="b">
        <f t="shared" si="52"/>
        <v>0</v>
      </c>
      <c r="O135" t="b">
        <f t="shared" si="53"/>
        <v>0</v>
      </c>
      <c r="P135">
        <f>IFERROR('Both teabags AfterWet'!B134,"")</f>
        <v>37</v>
      </c>
      <c r="Q135">
        <f>'Both teabags AfterWet'!B552</f>
        <v>178</v>
      </c>
      <c r="S135" s="401" t="b">
        <f t="shared" si="54"/>
        <v>0</v>
      </c>
      <c r="T135" s="401" t="b">
        <f t="shared" si="55"/>
        <v>0</v>
      </c>
      <c r="V135" t="str">
        <f>'Both teabags AfterDry'!A134</f>
        <v>G26</v>
      </c>
      <c r="W135" t="str">
        <f>'Both teabags AfterDry'!A471</f>
        <v>R602</v>
      </c>
      <c r="X135" t="b">
        <f t="shared" si="56"/>
        <v>0</v>
      </c>
      <c r="Y135" t="b">
        <f t="shared" si="57"/>
        <v>0</v>
      </c>
      <c r="AA135" t="str">
        <f>'Green_rooibos initial weight'!A136</f>
        <v>G132</v>
      </c>
      <c r="AB135" t="str">
        <f>'Green_rooibos initial weight'!A1040</f>
        <v>R132</v>
      </c>
      <c r="AC135" t="b">
        <f t="shared" si="58"/>
        <v>0</v>
      </c>
      <c r="AD135" t="b">
        <f t="shared" si="59"/>
        <v>0</v>
      </c>
      <c r="AG135" t="str">
        <f>'WetLitterbags placem_collection'!K134</f>
        <v>G725</v>
      </c>
      <c r="AH135" t="str">
        <f>'WetLitterbags placem_collection'!M134</f>
        <v>R536</v>
      </c>
      <c r="AI135" t="b">
        <f t="shared" si="60"/>
        <v>0</v>
      </c>
      <c r="AJ135" t="b">
        <f t="shared" si="61"/>
        <v>0</v>
      </c>
      <c r="AK135">
        <f>'WetLitterbags placem_collection'!A134</f>
        <v>132</v>
      </c>
      <c r="AL135">
        <f>'WetLitterbags placem_collection'!A134</f>
        <v>132</v>
      </c>
      <c r="AN135" t="str">
        <f>IF('Dry_Litterbag Placem_Collection'!J134=0,"",'Dry_Litterbag Placem_Collection'!J134)</f>
        <v/>
      </c>
      <c r="AO135" t="str">
        <f>IF('Dry_Litterbag Placem_Collection'!K134=0,"",'Dry_Litterbag Placem_Collection'!K134)</f>
        <v/>
      </c>
      <c r="AP135" t="b">
        <f t="shared" si="62"/>
        <v>1</v>
      </c>
      <c r="AQ135" t="b">
        <f t="shared" si="63"/>
        <v>1</v>
      </c>
      <c r="AT135" t="str">
        <f>'Ashed teabags dry'!A133</f>
        <v>G26</v>
      </c>
      <c r="AU135" t="str">
        <f>'Ashed teabags dry'!A470</f>
        <v>R602</v>
      </c>
      <c r="AV135" t="b">
        <f t="shared" si="64"/>
        <v>0</v>
      </c>
      <c r="AW135" t="b">
        <f t="shared" si="65"/>
        <v>0</v>
      </c>
      <c r="AZ135" s="401" t="b">
        <f t="shared" si="66"/>
        <v>0</v>
      </c>
      <c r="BA135" s="401" t="b">
        <f t="shared" si="67"/>
        <v>0</v>
      </c>
      <c r="BC135" t="str">
        <f>'Ashed teabags wet'!A133</f>
        <v>G535</v>
      </c>
      <c r="BD135" t="str">
        <f>'Ashed teabags wet'!A550</f>
        <v>R322</v>
      </c>
      <c r="BE135" t="b">
        <f t="shared" si="68"/>
        <v>0</v>
      </c>
      <c r="BF135" t="b">
        <f t="shared" si="69"/>
        <v>0</v>
      </c>
      <c r="BG135">
        <f>IFERROR('Ashed teabags wet'!C133,"")</f>
        <v>60</v>
      </c>
      <c r="BH135">
        <f>IFERROR('Ashed teabags wet'!C550,"")</f>
        <v>168</v>
      </c>
      <c r="BI135" t="str">
        <f>'Ashed teabags wet'!AB133</f>
        <v/>
      </c>
      <c r="BJ135">
        <f>'Ashed teabags wet'!AC133</f>
        <v>59</v>
      </c>
      <c r="BK135" t="str">
        <f>'Ashed teabags wet'!AD550</f>
        <v/>
      </c>
      <c r="BL135">
        <f>'Ashed teabags wet'!AE550</f>
        <v>167</v>
      </c>
      <c r="BN135" t="str">
        <f t="shared" si="70"/>
        <v>G532</v>
      </c>
      <c r="BO135" t="b">
        <f t="shared" si="71"/>
        <v>1</v>
      </c>
    </row>
    <row r="136" spans="2:67" ht="12" customHeight="1">
      <c r="B136" t="str">
        <f>TBIDry!H208</f>
        <v>G270</v>
      </c>
      <c r="C136" t="str">
        <f>TBIDry!I208</f>
        <v>R817</v>
      </c>
      <c r="D136" t="b">
        <f t="shared" si="48"/>
        <v>0</v>
      </c>
      <c r="E136" t="b">
        <f t="shared" si="49"/>
        <v>0</v>
      </c>
      <c r="G136" t="str">
        <f>TBIWet!H208</f>
        <v>G846</v>
      </c>
      <c r="H136" t="str">
        <f>TBIWet!I208</f>
        <v>R524</v>
      </c>
      <c r="I136" t="b">
        <f t="shared" si="50"/>
        <v>0</v>
      </c>
      <c r="J136" t="b">
        <f t="shared" si="51"/>
        <v>0</v>
      </c>
      <c r="L136" t="str">
        <f>'Both teabags AfterWet'!A135</f>
        <v>G529</v>
      </c>
      <c r="M136" t="str">
        <f>'Both teabags AfterWet'!A553</f>
        <v>R31</v>
      </c>
      <c r="N136" t="b">
        <f t="shared" si="52"/>
        <v>0</v>
      </c>
      <c r="O136" t="b">
        <f t="shared" si="53"/>
        <v>0</v>
      </c>
      <c r="P136">
        <f>IFERROR('Both teabags AfterWet'!B135,"")</f>
        <v>92</v>
      </c>
      <c r="Q136">
        <f>'Both teabags AfterWet'!B553</f>
        <v>58</v>
      </c>
      <c r="S136" s="401" t="b">
        <f t="shared" si="54"/>
        <v>0</v>
      </c>
      <c r="T136" s="401" t="b">
        <f t="shared" si="55"/>
        <v>0</v>
      </c>
      <c r="V136" t="str">
        <f>'Both teabags AfterDry'!A135</f>
        <v>G260</v>
      </c>
      <c r="W136" t="str">
        <f>'Both teabags AfterDry'!A472</f>
        <v>R603</v>
      </c>
      <c r="X136" t="b">
        <f t="shared" si="56"/>
        <v>0</v>
      </c>
      <c r="Y136" t="b">
        <f t="shared" si="57"/>
        <v>0</v>
      </c>
      <c r="AA136" t="str">
        <f>'Green_rooibos initial weight'!A137</f>
        <v>G133</v>
      </c>
      <c r="AB136" t="str">
        <f>'Green_rooibos initial weight'!A1041</f>
        <v>R133</v>
      </c>
      <c r="AC136" t="b">
        <f t="shared" si="58"/>
        <v>0</v>
      </c>
      <c r="AD136" t="b">
        <f t="shared" si="59"/>
        <v>0</v>
      </c>
      <c r="AG136" t="str">
        <f>'WetLitterbags placem_collection'!K135</f>
        <v>G846</v>
      </c>
      <c r="AH136" t="str">
        <f>'WetLitterbags placem_collection'!M135</f>
        <v>R524</v>
      </c>
      <c r="AI136" t="b">
        <f t="shared" si="60"/>
        <v>0</v>
      </c>
      <c r="AJ136" t="b">
        <f t="shared" si="61"/>
        <v>0</v>
      </c>
      <c r="AK136">
        <f>'WetLitterbags placem_collection'!A135</f>
        <v>133</v>
      </c>
      <c r="AL136">
        <f>'WetLitterbags placem_collection'!A135</f>
        <v>133</v>
      </c>
      <c r="AN136">
        <f>IF('Dry_Litterbag Placem_Collection'!J135=0,"",'Dry_Litterbag Placem_Collection'!J135)</f>
        <v>270</v>
      </c>
      <c r="AO136">
        <f>IF('Dry_Litterbag Placem_Collection'!K135=0,"",'Dry_Litterbag Placem_Collection'!K135)</f>
        <v>817</v>
      </c>
      <c r="AP136" t="b">
        <f t="shared" si="62"/>
        <v>0</v>
      </c>
      <c r="AQ136" t="b">
        <f t="shared" si="63"/>
        <v>0</v>
      </c>
      <c r="AT136" t="str">
        <f>'Ashed teabags dry'!A134</f>
        <v>G260</v>
      </c>
      <c r="AU136" t="str">
        <f>'Ashed teabags dry'!A471</f>
        <v>R603</v>
      </c>
      <c r="AV136" t="b">
        <f t="shared" si="64"/>
        <v>0</v>
      </c>
      <c r="AW136" t="b">
        <f t="shared" si="65"/>
        <v>0</v>
      </c>
      <c r="AZ136" s="401" t="b">
        <f t="shared" si="66"/>
        <v>0</v>
      </c>
      <c r="BA136" s="401" t="b">
        <f t="shared" si="67"/>
        <v>0</v>
      </c>
      <c r="BC136" t="str">
        <f>'Ashed teabags wet'!A134</f>
        <v>G536</v>
      </c>
      <c r="BD136" t="str">
        <f>'Ashed teabags wet'!A551</f>
        <v>R323</v>
      </c>
      <c r="BE136" t="b">
        <f t="shared" si="68"/>
        <v>0</v>
      </c>
      <c r="BF136" t="b">
        <f t="shared" si="69"/>
        <v>0</v>
      </c>
      <c r="BG136">
        <f>IFERROR('Ashed teabags wet'!C134,"")</f>
        <v>82</v>
      </c>
      <c r="BH136">
        <f>IFERROR('Ashed teabags wet'!C551,"")</f>
        <v>31</v>
      </c>
      <c r="BI136">
        <f>'Ashed teabags wet'!AB134</f>
        <v>81</v>
      </c>
      <c r="BJ136" t="str">
        <f>'Ashed teabags wet'!AC134</f>
        <v/>
      </c>
      <c r="BK136" t="str">
        <f>'Ashed teabags wet'!AD551</f>
        <v/>
      </c>
      <c r="BL136">
        <f>'Ashed teabags wet'!AE551</f>
        <v>30</v>
      </c>
      <c r="BN136" t="str">
        <f t="shared" si="70"/>
        <v>G535</v>
      </c>
      <c r="BO136" t="b">
        <f t="shared" si="71"/>
        <v>1</v>
      </c>
    </row>
    <row r="137" spans="2:67" ht="12" customHeight="1">
      <c r="B137" t="str">
        <f>TBIDry!H209</f>
        <v>G316</v>
      </c>
      <c r="C137" t="str">
        <f>TBIDry!I209</f>
        <v>R837</v>
      </c>
      <c r="D137" t="b">
        <f t="shared" si="48"/>
        <v>0</v>
      </c>
      <c r="E137" t="b">
        <f t="shared" si="49"/>
        <v>0</v>
      </c>
      <c r="G137" t="str">
        <f>TBIWet!H209</f>
        <v>G756</v>
      </c>
      <c r="H137" t="str">
        <f>TBIWet!I209</f>
        <v>R600</v>
      </c>
      <c r="I137" t="b">
        <f t="shared" si="50"/>
        <v>0</v>
      </c>
      <c r="J137" t="b">
        <f t="shared" si="51"/>
        <v>0</v>
      </c>
      <c r="L137" t="str">
        <f>'Both teabags AfterWet'!A136</f>
        <v>G532</v>
      </c>
      <c r="M137" t="str">
        <f>'Both teabags AfterWet'!A554</f>
        <v>R311</v>
      </c>
      <c r="N137" t="b">
        <f t="shared" si="52"/>
        <v>0</v>
      </c>
      <c r="O137" t="b">
        <f t="shared" si="53"/>
        <v>0</v>
      </c>
      <c r="P137" t="str">
        <f>IFERROR('Both teabags AfterWet'!B136,"")</f>
        <v>n.a</v>
      </c>
      <c r="Q137" t="str">
        <f>'Both teabags AfterWet'!B554</f>
        <v>n.a</v>
      </c>
      <c r="S137" s="401" t="b">
        <f t="shared" si="54"/>
        <v>0</v>
      </c>
      <c r="T137" s="401" t="b">
        <f t="shared" si="55"/>
        <v>0</v>
      </c>
      <c r="V137" t="str">
        <f>'Both teabags AfterDry'!A136</f>
        <v>G261</v>
      </c>
      <c r="W137" t="str">
        <f>'Both teabags AfterDry'!A473</f>
        <v>R604</v>
      </c>
      <c r="X137" t="b">
        <f t="shared" si="56"/>
        <v>0</v>
      </c>
      <c r="Y137" t="b">
        <f t="shared" si="57"/>
        <v>0</v>
      </c>
      <c r="AA137" t="str">
        <f>'Green_rooibos initial weight'!A138</f>
        <v>G134</v>
      </c>
      <c r="AB137" t="str">
        <f>'Green_rooibos initial weight'!A1042</f>
        <v>R134</v>
      </c>
      <c r="AC137" t="b">
        <f t="shared" si="58"/>
        <v>0</v>
      </c>
      <c r="AD137" t="b">
        <f t="shared" si="59"/>
        <v>0</v>
      </c>
      <c r="AG137" t="str">
        <f>'WetLitterbags placem_collection'!K136</f>
        <v>G756</v>
      </c>
      <c r="AH137" t="str">
        <f>'WetLitterbags placem_collection'!M136</f>
        <v>R600</v>
      </c>
      <c r="AI137" t="b">
        <f t="shared" si="60"/>
        <v>0</v>
      </c>
      <c r="AJ137" t="b">
        <f t="shared" si="61"/>
        <v>0</v>
      </c>
      <c r="AK137">
        <f>'WetLitterbags placem_collection'!A136</f>
        <v>134</v>
      </c>
      <c r="AL137">
        <f>'WetLitterbags placem_collection'!A136</f>
        <v>134</v>
      </c>
      <c r="AN137">
        <f>IF('Dry_Litterbag Placem_Collection'!J136=0,"",'Dry_Litterbag Placem_Collection'!J136)</f>
        <v>316</v>
      </c>
      <c r="AO137">
        <f>IF('Dry_Litterbag Placem_Collection'!K136=0,"",'Dry_Litterbag Placem_Collection'!K136)</f>
        <v>837</v>
      </c>
      <c r="AP137" t="b">
        <f t="shared" si="62"/>
        <v>0</v>
      </c>
      <c r="AQ137" t="b">
        <f t="shared" si="63"/>
        <v>0</v>
      </c>
      <c r="AT137" t="str">
        <f>'Ashed teabags dry'!A135</f>
        <v>G261</v>
      </c>
      <c r="AU137" t="str">
        <f>'Ashed teabags dry'!A472</f>
        <v>R604</v>
      </c>
      <c r="AV137" t="b">
        <f t="shared" si="64"/>
        <v>0</v>
      </c>
      <c r="AW137" t="b">
        <f t="shared" si="65"/>
        <v>0</v>
      </c>
      <c r="AZ137" s="401" t="b">
        <f t="shared" si="66"/>
        <v>0</v>
      </c>
      <c r="BA137" s="401" t="b">
        <f t="shared" si="67"/>
        <v>0</v>
      </c>
      <c r="BC137" t="str">
        <f>'Ashed teabags wet'!A135</f>
        <v>G537</v>
      </c>
      <c r="BD137" t="str">
        <f>'Ashed teabags wet'!A552</f>
        <v>R326</v>
      </c>
      <c r="BE137" t="b">
        <f t="shared" si="68"/>
        <v>0</v>
      </c>
      <c r="BF137" t="b">
        <f t="shared" si="69"/>
        <v>0</v>
      </c>
      <c r="BG137">
        <f>IFERROR('Ashed teabags wet'!C135,"")</f>
        <v>189</v>
      </c>
      <c r="BH137">
        <f>IFERROR('Ashed teabags wet'!C552,"")</f>
        <v>176</v>
      </c>
      <c r="BI137" t="str">
        <f>'Ashed teabags wet'!AB135</f>
        <v/>
      </c>
      <c r="BJ137">
        <f>'Ashed teabags wet'!AC135</f>
        <v>188</v>
      </c>
      <c r="BK137">
        <f>'Ashed teabags wet'!AD552</f>
        <v>175</v>
      </c>
      <c r="BL137" t="str">
        <f>'Ashed teabags wet'!AE552</f>
        <v/>
      </c>
      <c r="BN137" t="str">
        <f t="shared" si="70"/>
        <v>G536</v>
      </c>
      <c r="BO137" t="b">
        <f t="shared" si="71"/>
        <v>1</v>
      </c>
    </row>
    <row r="138" spans="2:67" ht="12" customHeight="1">
      <c r="B138" t="str">
        <f>TBIDry!H210</f>
        <v>G77</v>
      </c>
      <c r="C138" t="str">
        <f>TBIDry!I210</f>
        <v>R756</v>
      </c>
      <c r="D138" t="b">
        <f t="shared" si="48"/>
        <v>0</v>
      </c>
      <c r="E138" t="b">
        <f t="shared" si="49"/>
        <v>0</v>
      </c>
      <c r="G138" t="str">
        <f>TBIWet!H210</f>
        <v>G745</v>
      </c>
      <c r="H138" t="str">
        <f>TBIWet!I210</f>
        <v>R432</v>
      </c>
      <c r="I138" t="b">
        <f t="shared" si="50"/>
        <v>0</v>
      </c>
      <c r="J138" t="b">
        <f t="shared" si="51"/>
        <v>0</v>
      </c>
      <c r="L138" t="str">
        <f>'Both teabags AfterWet'!A137</f>
        <v>G535</v>
      </c>
      <c r="M138" t="str">
        <f>'Both teabags AfterWet'!A555</f>
        <v>R312</v>
      </c>
      <c r="N138" t="b">
        <f t="shared" si="52"/>
        <v>0</v>
      </c>
      <c r="O138" t="b">
        <f t="shared" si="53"/>
        <v>0</v>
      </c>
      <c r="P138">
        <f>IFERROR('Both teabags AfterWet'!B137,"")</f>
        <v>60</v>
      </c>
      <c r="Q138">
        <f>'Both teabags AfterWet'!B555</f>
        <v>52</v>
      </c>
      <c r="S138" s="401" t="b">
        <f t="shared" si="54"/>
        <v>0</v>
      </c>
      <c r="T138" s="401" t="b">
        <f t="shared" si="55"/>
        <v>0</v>
      </c>
      <c r="V138" t="str">
        <f>'Both teabags AfterDry'!A137</f>
        <v>G262</v>
      </c>
      <c r="W138" t="str">
        <f>'Both teabags AfterDry'!A474</f>
        <v>R605</v>
      </c>
      <c r="X138" t="b">
        <f t="shared" si="56"/>
        <v>0</v>
      </c>
      <c r="Y138" t="b">
        <f t="shared" si="57"/>
        <v>0</v>
      </c>
      <c r="AA138" t="str">
        <f>'Green_rooibos initial weight'!A139</f>
        <v>G135</v>
      </c>
      <c r="AB138" t="str">
        <f>'Green_rooibos initial weight'!A1043</f>
        <v>R135</v>
      </c>
      <c r="AC138" t="b">
        <f t="shared" si="58"/>
        <v>0</v>
      </c>
      <c r="AD138" t="b">
        <f t="shared" si="59"/>
        <v>0</v>
      </c>
      <c r="AG138" t="str">
        <f>'WetLitterbags placem_collection'!K137</f>
        <v>G745</v>
      </c>
      <c r="AH138" t="str">
        <f>'WetLitterbags placem_collection'!M137</f>
        <v>R432</v>
      </c>
      <c r="AI138" t="b">
        <f t="shared" si="60"/>
        <v>0</v>
      </c>
      <c r="AJ138" t="b">
        <f t="shared" si="61"/>
        <v>0</v>
      </c>
      <c r="AK138">
        <f>'WetLitterbags placem_collection'!A137</f>
        <v>135</v>
      </c>
      <c r="AL138">
        <f>'WetLitterbags placem_collection'!A137</f>
        <v>135</v>
      </c>
      <c r="AN138">
        <f>IF('Dry_Litterbag Placem_Collection'!J137=0,"",'Dry_Litterbag Placem_Collection'!J137)</f>
        <v>77</v>
      </c>
      <c r="AO138">
        <f>IF('Dry_Litterbag Placem_Collection'!K137=0,"",'Dry_Litterbag Placem_Collection'!K137)</f>
        <v>756</v>
      </c>
      <c r="AP138" t="b">
        <f t="shared" si="62"/>
        <v>0</v>
      </c>
      <c r="AQ138" t="b">
        <f t="shared" si="63"/>
        <v>0</v>
      </c>
      <c r="AT138" t="str">
        <f>'Ashed teabags dry'!A136</f>
        <v>G262</v>
      </c>
      <c r="AU138" t="str">
        <f>'Ashed teabags dry'!A473</f>
        <v>R605</v>
      </c>
      <c r="AV138" t="b">
        <f t="shared" si="64"/>
        <v>0</v>
      </c>
      <c r="AW138" t="b">
        <f t="shared" si="65"/>
        <v>0</v>
      </c>
      <c r="AZ138" s="401" t="b">
        <f t="shared" si="66"/>
        <v>0</v>
      </c>
      <c r="BA138" s="401" t="b">
        <f t="shared" si="67"/>
        <v>0</v>
      </c>
      <c r="BC138" t="str">
        <f>'Ashed teabags wet'!A136</f>
        <v>G538</v>
      </c>
      <c r="BD138" t="str">
        <f>'Ashed teabags wet'!A553</f>
        <v>R328</v>
      </c>
      <c r="BE138" t="b">
        <f t="shared" si="68"/>
        <v>0</v>
      </c>
      <c r="BF138" t="b">
        <f t="shared" si="69"/>
        <v>0</v>
      </c>
      <c r="BG138">
        <f>IFERROR('Ashed teabags wet'!C136,"")</f>
        <v>56</v>
      </c>
      <c r="BH138">
        <f>IFERROR('Ashed teabags wet'!C553,"")</f>
        <v>206</v>
      </c>
      <c r="BI138">
        <f>'Ashed teabags wet'!AB136</f>
        <v>55</v>
      </c>
      <c r="BJ138" t="str">
        <f>'Ashed teabags wet'!AC136</f>
        <v/>
      </c>
      <c r="BK138" t="str">
        <f>'Ashed teabags wet'!AD553</f>
        <v/>
      </c>
      <c r="BL138">
        <f>'Ashed teabags wet'!AE553</f>
        <v>205</v>
      </c>
      <c r="BN138" t="str">
        <f t="shared" si="70"/>
        <v>G537</v>
      </c>
      <c r="BO138" t="b">
        <f t="shared" si="71"/>
        <v>1</v>
      </c>
    </row>
    <row r="139" spans="2:67" ht="12" customHeight="1">
      <c r="B139" t="str">
        <f>TBIDry!H211</f>
        <v>G332</v>
      </c>
      <c r="C139" t="str">
        <f>TBIDry!I211</f>
        <v>R184</v>
      </c>
      <c r="D139" t="b">
        <f t="shared" si="48"/>
        <v>0</v>
      </c>
      <c r="E139" t="b">
        <f t="shared" si="49"/>
        <v>0</v>
      </c>
      <c r="G139" t="str">
        <f>TBIWet!H211</f>
        <v>G832</v>
      </c>
      <c r="H139" t="str">
        <f>TBIWet!I211</f>
        <v>R474</v>
      </c>
      <c r="I139" t="b">
        <f t="shared" si="50"/>
        <v>0</v>
      </c>
      <c r="J139" t="b">
        <f t="shared" si="51"/>
        <v>0</v>
      </c>
      <c r="L139" t="str">
        <f>'Both teabags AfterWet'!A138</f>
        <v>G536</v>
      </c>
      <c r="M139" t="str">
        <f>'Both teabags AfterWet'!A556</f>
        <v>R315</v>
      </c>
      <c r="N139" t="b">
        <f t="shared" si="52"/>
        <v>0</v>
      </c>
      <c r="O139" t="b">
        <f t="shared" si="53"/>
        <v>0</v>
      </c>
      <c r="P139">
        <f>IFERROR('Both teabags AfterWet'!B138,"")</f>
        <v>82</v>
      </c>
      <c r="Q139">
        <f>'Both teabags AfterWet'!B556</f>
        <v>85</v>
      </c>
      <c r="S139" s="401" t="b">
        <f t="shared" si="54"/>
        <v>0</v>
      </c>
      <c r="T139" s="401" t="b">
        <f t="shared" si="55"/>
        <v>0</v>
      </c>
      <c r="V139" t="str">
        <f>'Both teabags AfterDry'!A138</f>
        <v>G263</v>
      </c>
      <c r="W139" t="str">
        <f>'Both teabags AfterDry'!A475</f>
        <v>R606</v>
      </c>
      <c r="X139" t="b">
        <f t="shared" si="56"/>
        <v>0</v>
      </c>
      <c r="Y139" t="b">
        <f t="shared" si="57"/>
        <v>0</v>
      </c>
      <c r="AA139" t="str">
        <f>'Green_rooibos initial weight'!A140</f>
        <v>G136</v>
      </c>
      <c r="AB139" t="str">
        <f>'Green_rooibos initial weight'!A1044</f>
        <v>R136</v>
      </c>
      <c r="AC139" t="b">
        <f t="shared" si="58"/>
        <v>0</v>
      </c>
      <c r="AD139" t="b">
        <f t="shared" si="59"/>
        <v>0</v>
      </c>
      <c r="AG139" t="str">
        <f>'WetLitterbags placem_collection'!K138</f>
        <v>G832</v>
      </c>
      <c r="AH139" t="str">
        <f>'WetLitterbags placem_collection'!M138</f>
        <v>R474</v>
      </c>
      <c r="AI139" t="b">
        <f t="shared" si="60"/>
        <v>0</v>
      </c>
      <c r="AJ139" t="b">
        <f t="shared" si="61"/>
        <v>0</v>
      </c>
      <c r="AK139">
        <f>'WetLitterbags placem_collection'!A138</f>
        <v>136</v>
      </c>
      <c r="AL139">
        <f>'WetLitterbags placem_collection'!A138</f>
        <v>136</v>
      </c>
      <c r="AN139">
        <f>IF('Dry_Litterbag Placem_Collection'!J138=0,"",'Dry_Litterbag Placem_Collection'!J138)</f>
        <v>332</v>
      </c>
      <c r="AO139">
        <f>IF('Dry_Litterbag Placem_Collection'!K138=0,"",'Dry_Litterbag Placem_Collection'!K138)</f>
        <v>184</v>
      </c>
      <c r="AP139" t="b">
        <f t="shared" si="62"/>
        <v>0</v>
      </c>
      <c r="AQ139" t="b">
        <f t="shared" si="63"/>
        <v>0</v>
      </c>
      <c r="AT139" t="str">
        <f>'Ashed teabags dry'!A137</f>
        <v>G263</v>
      </c>
      <c r="AU139" t="str">
        <f>'Ashed teabags dry'!A474</f>
        <v>R606</v>
      </c>
      <c r="AV139" t="b">
        <f t="shared" si="64"/>
        <v>0</v>
      </c>
      <c r="AW139" t="b">
        <f t="shared" si="65"/>
        <v>0</v>
      </c>
      <c r="AZ139" s="401" t="b">
        <f t="shared" si="66"/>
        <v>0</v>
      </c>
      <c r="BA139" s="401" t="b">
        <f t="shared" si="67"/>
        <v>0</v>
      </c>
      <c r="BC139" t="str">
        <f>'Ashed teabags wet'!A137</f>
        <v>G539</v>
      </c>
      <c r="BD139" t="str">
        <f>'Ashed teabags wet'!A554</f>
        <v>R329</v>
      </c>
      <c r="BE139" t="b">
        <f t="shared" si="68"/>
        <v>0</v>
      </c>
      <c r="BF139" t="b">
        <f t="shared" si="69"/>
        <v>0</v>
      </c>
      <c r="BG139">
        <f>IFERROR('Ashed teabags wet'!C137,"")</f>
        <v>47</v>
      </c>
      <c r="BH139">
        <f>IFERROR('Ashed teabags wet'!C554,"")</f>
        <v>87</v>
      </c>
      <c r="BI139">
        <f>'Ashed teabags wet'!AB137</f>
        <v>46</v>
      </c>
      <c r="BJ139" t="str">
        <f>'Ashed teabags wet'!AC137</f>
        <v/>
      </c>
      <c r="BK139" t="str">
        <f>'Ashed teabags wet'!AD554</f>
        <v/>
      </c>
      <c r="BL139">
        <f>'Ashed teabags wet'!AE554</f>
        <v>86</v>
      </c>
      <c r="BN139" t="str">
        <f t="shared" si="70"/>
        <v>G538</v>
      </c>
      <c r="BO139" t="b">
        <f t="shared" si="71"/>
        <v>1</v>
      </c>
    </row>
    <row r="140" spans="2:67" ht="12" customHeight="1">
      <c r="B140" t="str">
        <f>TBIDry!H212</f>
        <v>G30</v>
      </c>
      <c r="C140" t="str">
        <f>TBIDry!I212</f>
        <v>R746</v>
      </c>
      <c r="D140" t="b">
        <f t="shared" si="48"/>
        <v>0</v>
      </c>
      <c r="E140" t="b">
        <f t="shared" si="49"/>
        <v>0</v>
      </c>
      <c r="G140" t="str">
        <f>TBIWet!H212</f>
        <v>G805</v>
      </c>
      <c r="H140" t="str">
        <f>TBIWet!I212</f>
        <v>R34</v>
      </c>
      <c r="I140" t="b">
        <f t="shared" si="50"/>
        <v>0</v>
      </c>
      <c r="J140" t="b">
        <f t="shared" si="51"/>
        <v>0</v>
      </c>
      <c r="L140" t="str">
        <f>'Both teabags AfterWet'!A139</f>
        <v>G537</v>
      </c>
      <c r="M140" t="str">
        <f>'Both teabags AfterWet'!A557</f>
        <v>R317</v>
      </c>
      <c r="N140" t="b">
        <f t="shared" si="52"/>
        <v>0</v>
      </c>
      <c r="O140" t="b">
        <f t="shared" si="53"/>
        <v>0</v>
      </c>
      <c r="P140">
        <f>IFERROR('Both teabags AfterWet'!B139,"")</f>
        <v>189</v>
      </c>
      <c r="Q140">
        <f>'Both teabags AfterWet'!B557</f>
        <v>64</v>
      </c>
      <c r="S140" s="401" t="b">
        <f t="shared" si="54"/>
        <v>0</v>
      </c>
      <c r="T140" s="401" t="b">
        <f t="shared" si="55"/>
        <v>0</v>
      </c>
      <c r="V140" t="str">
        <f>'Both teabags AfterDry'!A139</f>
        <v>G265</v>
      </c>
      <c r="W140" t="str">
        <f>'Both teabags AfterDry'!A476</f>
        <v>R608</v>
      </c>
      <c r="X140" t="b">
        <f t="shared" si="56"/>
        <v>0</v>
      </c>
      <c r="Y140" t="b">
        <f t="shared" si="57"/>
        <v>0</v>
      </c>
      <c r="AA140" t="str">
        <f>'Green_rooibos initial weight'!A141</f>
        <v>G137</v>
      </c>
      <c r="AB140" t="str">
        <f>'Green_rooibos initial weight'!A1045</f>
        <v>R137</v>
      </c>
      <c r="AC140" t="b">
        <f t="shared" si="58"/>
        <v>0</v>
      </c>
      <c r="AD140" t="b">
        <f t="shared" si="59"/>
        <v>0</v>
      </c>
      <c r="AG140" t="str">
        <f>'WetLitterbags placem_collection'!K139</f>
        <v>G805</v>
      </c>
      <c r="AH140" t="str">
        <f>'WetLitterbags placem_collection'!M139</f>
        <v>R34</v>
      </c>
      <c r="AI140" t="b">
        <f t="shared" si="60"/>
        <v>0</v>
      </c>
      <c r="AJ140" t="b">
        <f t="shared" si="61"/>
        <v>0</v>
      </c>
      <c r="AK140">
        <f>'WetLitterbags placem_collection'!A139</f>
        <v>137</v>
      </c>
      <c r="AL140">
        <f>'WetLitterbags placem_collection'!A139</f>
        <v>137</v>
      </c>
      <c r="AN140">
        <f>IF('Dry_Litterbag Placem_Collection'!J139=0,"",'Dry_Litterbag Placem_Collection'!J139)</f>
        <v>30</v>
      </c>
      <c r="AO140">
        <f>IF('Dry_Litterbag Placem_Collection'!K139=0,"",'Dry_Litterbag Placem_Collection'!K139)</f>
        <v>746</v>
      </c>
      <c r="AP140" t="b">
        <f t="shared" si="62"/>
        <v>0</v>
      </c>
      <c r="AQ140" t="b">
        <f t="shared" si="63"/>
        <v>0</v>
      </c>
      <c r="AT140" t="str">
        <f>'Ashed teabags dry'!A138</f>
        <v>G265</v>
      </c>
      <c r="AU140" t="str">
        <f>'Ashed teabags dry'!A475</f>
        <v>R608</v>
      </c>
      <c r="AV140" t="b">
        <f t="shared" si="64"/>
        <v>0</v>
      </c>
      <c r="AW140" t="b">
        <f t="shared" si="65"/>
        <v>0</v>
      </c>
      <c r="AZ140" s="401" t="b">
        <f t="shared" si="66"/>
        <v>0</v>
      </c>
      <c r="BA140" s="401" t="b">
        <f t="shared" si="67"/>
        <v>0</v>
      </c>
      <c r="BC140" t="str">
        <f>'Ashed teabags wet'!A138</f>
        <v>G540</v>
      </c>
      <c r="BD140" t="str">
        <f>'Ashed teabags wet'!A555</f>
        <v>R33</v>
      </c>
      <c r="BE140" t="b">
        <f t="shared" si="68"/>
        <v>0</v>
      </c>
      <c r="BF140" t="b">
        <f t="shared" si="69"/>
        <v>0</v>
      </c>
      <c r="BG140">
        <f>IFERROR('Ashed teabags wet'!C138,"")</f>
        <v>207</v>
      </c>
      <c r="BH140">
        <f>IFERROR('Ashed teabags wet'!C555,"")</f>
        <v>106</v>
      </c>
      <c r="BI140" t="str">
        <f>'Ashed teabags wet'!AB138</f>
        <v/>
      </c>
      <c r="BJ140">
        <f>'Ashed teabags wet'!AC138</f>
        <v>206</v>
      </c>
      <c r="BK140" t="str">
        <f>'Ashed teabags wet'!AD555</f>
        <v/>
      </c>
      <c r="BL140">
        <f>'Ashed teabags wet'!AE555</f>
        <v>108</v>
      </c>
      <c r="BN140" t="str">
        <f t="shared" si="70"/>
        <v>G539</v>
      </c>
      <c r="BO140" t="b">
        <f t="shared" si="71"/>
        <v>1</v>
      </c>
    </row>
    <row r="141" spans="2:67" ht="12" customHeight="1">
      <c r="B141" t="str">
        <f>TBIDry!H213</f>
        <v>G213</v>
      </c>
      <c r="C141" t="str">
        <f>TBIDry!I213</f>
        <v>R821</v>
      </c>
      <c r="D141" t="b">
        <f t="shared" si="48"/>
        <v>0</v>
      </c>
      <c r="E141" t="b">
        <f t="shared" si="49"/>
        <v>0</v>
      </c>
      <c r="G141" t="str">
        <f>TBIWet!H213</f>
        <v>G815</v>
      </c>
      <c r="H141" t="str">
        <f>TBIWet!I213</f>
        <v>R426</v>
      </c>
      <c r="I141" t="b">
        <f t="shared" si="50"/>
        <v>0</v>
      </c>
      <c r="J141" t="b">
        <f t="shared" si="51"/>
        <v>0</v>
      </c>
      <c r="L141" t="str">
        <f>'Both teabags AfterWet'!A140</f>
        <v>G538</v>
      </c>
      <c r="M141" t="str">
        <f>'Both teabags AfterWet'!A558</f>
        <v>R318</v>
      </c>
      <c r="N141" t="b">
        <f t="shared" si="52"/>
        <v>0</v>
      </c>
      <c r="O141" t="b">
        <f t="shared" si="53"/>
        <v>0</v>
      </c>
      <c r="P141">
        <f>IFERROR('Both teabags AfterWet'!B140,"")</f>
        <v>56</v>
      </c>
      <c r="Q141" t="str">
        <f>'Both teabags AfterWet'!B558</f>
        <v>na</v>
      </c>
      <c r="S141" s="401" t="b">
        <f t="shared" si="54"/>
        <v>0</v>
      </c>
      <c r="T141" s="401" t="b">
        <f t="shared" si="55"/>
        <v>0</v>
      </c>
      <c r="V141" t="str">
        <f>'Both teabags AfterDry'!A140</f>
        <v>G266</v>
      </c>
      <c r="W141" t="str">
        <f>'Both teabags AfterDry'!A477</f>
        <v>R609</v>
      </c>
      <c r="X141" t="b">
        <f t="shared" si="56"/>
        <v>0</v>
      </c>
      <c r="Y141" t="b">
        <f t="shared" si="57"/>
        <v>0</v>
      </c>
      <c r="AA141" t="str">
        <f>'Green_rooibos initial weight'!A142</f>
        <v>G138</v>
      </c>
      <c r="AB141" t="str">
        <f>'Green_rooibos initial weight'!A1046</f>
        <v>R138</v>
      </c>
      <c r="AC141" t="b">
        <f t="shared" si="58"/>
        <v>0</v>
      </c>
      <c r="AD141" t="b">
        <f t="shared" si="59"/>
        <v>0</v>
      </c>
      <c r="AG141" t="str">
        <f>'WetLitterbags placem_collection'!K140</f>
        <v>G815</v>
      </c>
      <c r="AH141" t="str">
        <f>'WetLitterbags placem_collection'!M140</f>
        <v>R426</v>
      </c>
      <c r="AI141" t="b">
        <f t="shared" si="60"/>
        <v>0</v>
      </c>
      <c r="AJ141" t="b">
        <f t="shared" si="61"/>
        <v>0</v>
      </c>
      <c r="AK141">
        <f>'WetLitterbags placem_collection'!A140</f>
        <v>138</v>
      </c>
      <c r="AL141">
        <f>'WetLitterbags placem_collection'!A140</f>
        <v>138</v>
      </c>
      <c r="AN141">
        <f>IF('Dry_Litterbag Placem_Collection'!J140=0,"",'Dry_Litterbag Placem_Collection'!J140)</f>
        <v>213</v>
      </c>
      <c r="AO141">
        <f>IF('Dry_Litterbag Placem_Collection'!K140=0,"",'Dry_Litterbag Placem_Collection'!K140)</f>
        <v>821</v>
      </c>
      <c r="AP141" t="b">
        <f t="shared" si="62"/>
        <v>0</v>
      </c>
      <c r="AQ141" t="b">
        <f t="shared" si="63"/>
        <v>0</v>
      </c>
      <c r="AT141" t="str">
        <f>'Ashed teabags dry'!A139</f>
        <v>G266</v>
      </c>
      <c r="AU141" t="str">
        <f>'Ashed teabags dry'!A476</f>
        <v>R609</v>
      </c>
      <c r="AV141" t="b">
        <f t="shared" si="64"/>
        <v>0</v>
      </c>
      <c r="AW141" t="b">
        <f t="shared" si="65"/>
        <v>0</v>
      </c>
      <c r="AZ141" s="401" t="b">
        <f t="shared" si="66"/>
        <v>0</v>
      </c>
      <c r="BA141" s="401" t="b">
        <f t="shared" si="67"/>
        <v>0</v>
      </c>
      <c r="BC141" t="str">
        <f>'Ashed teabags wet'!A139</f>
        <v>G541</v>
      </c>
      <c r="BD141" t="str">
        <f>'Ashed teabags wet'!A556</f>
        <v>R330</v>
      </c>
      <c r="BE141" t="b">
        <f t="shared" si="68"/>
        <v>0</v>
      </c>
      <c r="BF141" t="b">
        <f t="shared" si="69"/>
        <v>0</v>
      </c>
      <c r="BG141">
        <f>IFERROR('Ashed teabags wet'!C139,"")</f>
        <v>61</v>
      </c>
      <c r="BH141">
        <f>IFERROR('Ashed teabags wet'!C556,"")</f>
        <v>170</v>
      </c>
      <c r="BI141">
        <f>'Ashed teabags wet'!AB139</f>
        <v>60</v>
      </c>
      <c r="BJ141" t="str">
        <f>'Ashed teabags wet'!AC139</f>
        <v/>
      </c>
      <c r="BK141">
        <f>'Ashed teabags wet'!AD556</f>
        <v>169</v>
      </c>
      <c r="BL141" t="str">
        <f>'Ashed teabags wet'!AE556</f>
        <v/>
      </c>
      <c r="BN141" t="str">
        <f t="shared" si="70"/>
        <v>G540</v>
      </c>
      <c r="BO141" t="b">
        <f t="shared" si="71"/>
        <v>1</v>
      </c>
    </row>
    <row r="142" spans="2:67" ht="12" customHeight="1">
      <c r="B142" t="str">
        <f>TBIDry!H214</f>
        <v>G17</v>
      </c>
      <c r="C142" t="str">
        <f>TBIDry!I214</f>
        <v>R813</v>
      </c>
      <c r="D142" s="113" t="b">
        <f t="shared" si="48"/>
        <v>0</v>
      </c>
      <c r="E142" t="b">
        <f t="shared" si="49"/>
        <v>0</v>
      </c>
      <c r="G142" t="str">
        <f>TBIWet!H214</f>
        <v>G798</v>
      </c>
      <c r="H142" t="str">
        <f>TBIWet!I214</f>
        <v>R563</v>
      </c>
      <c r="I142" t="b">
        <f t="shared" si="50"/>
        <v>0</v>
      </c>
      <c r="J142" t="b">
        <f t="shared" si="51"/>
        <v>0</v>
      </c>
      <c r="L142" t="str">
        <f>'Both teabags AfterWet'!A141</f>
        <v>G539</v>
      </c>
      <c r="M142" t="str">
        <f>'Both teabags AfterWet'!A559</f>
        <v>R319</v>
      </c>
      <c r="N142" t="b">
        <f t="shared" si="52"/>
        <v>0</v>
      </c>
      <c r="O142" t="b">
        <f t="shared" si="53"/>
        <v>0</v>
      </c>
      <c r="P142">
        <f>IFERROR('Both teabags AfterWet'!B141,"")</f>
        <v>47</v>
      </c>
      <c r="Q142" t="str">
        <f>'Both teabags AfterWet'!B559</f>
        <v>n.a</v>
      </c>
      <c r="S142" s="401" t="b">
        <f t="shared" si="54"/>
        <v>0</v>
      </c>
      <c r="T142" s="401" t="b">
        <f t="shared" si="55"/>
        <v>0</v>
      </c>
      <c r="V142" t="str">
        <f>'Both teabags AfterDry'!A141</f>
        <v>G267</v>
      </c>
      <c r="W142" t="str">
        <f>'Both teabags AfterDry'!A478</f>
        <v>R61</v>
      </c>
      <c r="X142" t="b">
        <f t="shared" si="56"/>
        <v>0</v>
      </c>
      <c r="Y142" t="b">
        <f t="shared" si="57"/>
        <v>0</v>
      </c>
      <c r="AA142" t="str">
        <f>'Green_rooibos initial weight'!A143</f>
        <v>G139</v>
      </c>
      <c r="AB142" t="str">
        <f>'Green_rooibos initial weight'!A1047</f>
        <v>R139</v>
      </c>
      <c r="AC142" t="b">
        <f t="shared" si="58"/>
        <v>0</v>
      </c>
      <c r="AD142" t="b">
        <f t="shared" si="59"/>
        <v>0</v>
      </c>
      <c r="AG142" t="str">
        <f>'WetLitterbags placem_collection'!K141</f>
        <v>G798</v>
      </c>
      <c r="AH142" t="str">
        <f>'WetLitterbags placem_collection'!M141</f>
        <v>R563</v>
      </c>
      <c r="AI142" t="b">
        <f t="shared" si="60"/>
        <v>0</v>
      </c>
      <c r="AJ142" t="b">
        <f t="shared" si="61"/>
        <v>0</v>
      </c>
      <c r="AK142">
        <f>'WetLitterbags placem_collection'!A141</f>
        <v>139</v>
      </c>
      <c r="AL142">
        <f>'WetLitterbags placem_collection'!A141</f>
        <v>139</v>
      </c>
      <c r="AN142">
        <f>IF('Dry_Litterbag Placem_Collection'!J141=0,"",'Dry_Litterbag Placem_Collection'!J141)</f>
        <v>17</v>
      </c>
      <c r="AO142">
        <f>IF('Dry_Litterbag Placem_Collection'!K141=0,"",'Dry_Litterbag Placem_Collection'!K141)</f>
        <v>813</v>
      </c>
      <c r="AP142" t="b">
        <f t="shared" si="62"/>
        <v>0</v>
      </c>
      <c r="AQ142" t="b">
        <f t="shared" si="63"/>
        <v>0</v>
      </c>
      <c r="AT142" t="str">
        <f>'Ashed teabags dry'!A140</f>
        <v>G267</v>
      </c>
      <c r="AU142" t="str">
        <f>'Ashed teabags dry'!A477</f>
        <v>R61</v>
      </c>
      <c r="AV142" t="b">
        <f t="shared" si="64"/>
        <v>0</v>
      </c>
      <c r="AW142" t="b">
        <f t="shared" si="65"/>
        <v>0</v>
      </c>
      <c r="AZ142" s="401" t="b">
        <f t="shared" si="66"/>
        <v>0</v>
      </c>
      <c r="BA142" s="401" t="b">
        <f t="shared" si="67"/>
        <v>0</v>
      </c>
      <c r="BC142" t="str">
        <f>'Ashed teabags wet'!A140</f>
        <v>G542</v>
      </c>
      <c r="BD142" t="str">
        <f>'Ashed teabags wet'!A557</f>
        <v>R331</v>
      </c>
      <c r="BE142" t="b">
        <f t="shared" si="68"/>
        <v>0</v>
      </c>
      <c r="BF142" t="b">
        <f t="shared" si="69"/>
        <v>0</v>
      </c>
      <c r="BG142">
        <f>IFERROR('Ashed teabags wet'!C140,"")</f>
        <v>81</v>
      </c>
      <c r="BH142">
        <f>IFERROR('Ashed teabags wet'!C557,"")</f>
        <v>165</v>
      </c>
      <c r="BI142">
        <f>'Ashed teabags wet'!AB140</f>
        <v>80</v>
      </c>
      <c r="BJ142" t="str">
        <f>'Ashed teabags wet'!AC140</f>
        <v/>
      </c>
      <c r="BK142">
        <f>'Ashed teabags wet'!AD557</f>
        <v>164</v>
      </c>
      <c r="BL142" t="str">
        <f>'Ashed teabags wet'!AE557</f>
        <v/>
      </c>
      <c r="BN142" t="str">
        <f t="shared" si="70"/>
        <v>G541</v>
      </c>
      <c r="BO142" t="b">
        <f t="shared" si="71"/>
        <v>1</v>
      </c>
    </row>
    <row r="143" spans="2:67" ht="12" customHeight="1">
      <c r="B143" t="str">
        <f>TBIDry!H215</f>
        <v>G401</v>
      </c>
      <c r="C143" t="str">
        <f>TBIDry!I215</f>
        <v>R729</v>
      </c>
      <c r="D143" t="b">
        <f t="shared" si="48"/>
        <v>0</v>
      </c>
      <c r="E143" t="b">
        <f t="shared" si="49"/>
        <v>0</v>
      </c>
      <c r="G143" t="str">
        <f>TBIWet!H215</f>
        <v>G787</v>
      </c>
      <c r="H143" t="str">
        <f>TBIWet!I215</f>
        <v>R535</v>
      </c>
      <c r="I143" t="b">
        <f t="shared" si="50"/>
        <v>0</v>
      </c>
      <c r="J143" t="b">
        <f t="shared" si="51"/>
        <v>0</v>
      </c>
      <c r="L143" t="str">
        <f>'Both teabags AfterWet'!A142</f>
        <v>G540</v>
      </c>
      <c r="M143" t="str">
        <f>'Both teabags AfterWet'!A560</f>
        <v>R32</v>
      </c>
      <c r="N143" t="b">
        <f t="shared" si="52"/>
        <v>0</v>
      </c>
      <c r="O143" t="b">
        <f t="shared" si="53"/>
        <v>0</v>
      </c>
      <c r="P143">
        <f>IFERROR('Both teabags AfterWet'!B142,"")</f>
        <v>206</v>
      </c>
      <c r="Q143" t="str">
        <f>'Both teabags AfterWet'!B560</f>
        <v>n.a</v>
      </c>
      <c r="S143" s="401" t="b">
        <f t="shared" si="54"/>
        <v>0</v>
      </c>
      <c r="T143" s="401" t="b">
        <f t="shared" si="55"/>
        <v>0</v>
      </c>
      <c r="V143" t="str">
        <f>'Both teabags AfterDry'!A142</f>
        <v>G268</v>
      </c>
      <c r="W143" t="str">
        <f>'Both teabags AfterDry'!A479</f>
        <v>R610</v>
      </c>
      <c r="X143" t="b">
        <f t="shared" si="56"/>
        <v>0</v>
      </c>
      <c r="Y143" t="b">
        <f t="shared" si="57"/>
        <v>0</v>
      </c>
      <c r="AA143" t="str">
        <f>'Green_rooibos initial weight'!A144</f>
        <v>G140</v>
      </c>
      <c r="AB143" t="str">
        <f>'Green_rooibos initial weight'!A1048</f>
        <v>R140</v>
      </c>
      <c r="AC143" t="b">
        <f t="shared" si="58"/>
        <v>0</v>
      </c>
      <c r="AD143" t="b">
        <f t="shared" si="59"/>
        <v>0</v>
      </c>
      <c r="AG143" t="str">
        <f>'WetLitterbags placem_collection'!K142</f>
        <v>G787</v>
      </c>
      <c r="AH143" t="str">
        <f>'WetLitterbags placem_collection'!M142</f>
        <v>R535</v>
      </c>
      <c r="AI143" t="b">
        <f t="shared" si="60"/>
        <v>0</v>
      </c>
      <c r="AJ143" t="b">
        <f t="shared" si="61"/>
        <v>0</v>
      </c>
      <c r="AK143">
        <f>'WetLitterbags placem_collection'!A142</f>
        <v>140</v>
      </c>
      <c r="AL143">
        <f>'WetLitterbags placem_collection'!A142</f>
        <v>140</v>
      </c>
      <c r="AN143">
        <f>IF('Dry_Litterbag Placem_Collection'!J142=0,"",'Dry_Litterbag Placem_Collection'!J142)</f>
        <v>401</v>
      </c>
      <c r="AO143">
        <f>IF('Dry_Litterbag Placem_Collection'!K142=0,"",'Dry_Litterbag Placem_Collection'!K142)</f>
        <v>729</v>
      </c>
      <c r="AP143" t="b">
        <f t="shared" si="62"/>
        <v>0</v>
      </c>
      <c r="AQ143" t="b">
        <f t="shared" si="63"/>
        <v>0</v>
      </c>
      <c r="AT143" t="str">
        <f>'Ashed teabags dry'!A141</f>
        <v>G268</v>
      </c>
      <c r="AU143" t="str">
        <f>'Ashed teabags dry'!A478</f>
        <v>R610</v>
      </c>
      <c r="AV143" t="b">
        <f t="shared" si="64"/>
        <v>0</v>
      </c>
      <c r="AW143" t="b">
        <f t="shared" si="65"/>
        <v>0</v>
      </c>
      <c r="AZ143" s="401" t="b">
        <f t="shared" si="66"/>
        <v>0</v>
      </c>
      <c r="BA143" s="401" t="b">
        <f t="shared" si="67"/>
        <v>0</v>
      </c>
      <c r="BC143" t="str">
        <f>'Ashed teabags wet'!A141</f>
        <v>G543</v>
      </c>
      <c r="BD143" t="str">
        <f>'Ashed teabags wet'!A558</f>
        <v>R333</v>
      </c>
      <c r="BE143" t="b">
        <f t="shared" si="68"/>
        <v>0</v>
      </c>
      <c r="BF143" t="b">
        <f t="shared" si="69"/>
        <v>0</v>
      </c>
      <c r="BG143">
        <f>IFERROR('Ashed teabags wet'!C141,"")</f>
        <v>11</v>
      </c>
      <c r="BH143">
        <f>IFERROR('Ashed teabags wet'!C558,"")</f>
        <v>65</v>
      </c>
      <c r="BI143">
        <f>'Ashed teabags wet'!AB141</f>
        <v>10</v>
      </c>
      <c r="BJ143" t="str">
        <f>'Ashed teabags wet'!AC141</f>
        <v/>
      </c>
      <c r="BK143" t="str">
        <f>'Ashed teabags wet'!AD558</f>
        <v/>
      </c>
      <c r="BL143">
        <f>'Ashed teabags wet'!AE558</f>
        <v>64</v>
      </c>
      <c r="BN143" t="str">
        <f t="shared" si="70"/>
        <v>G542</v>
      </c>
      <c r="BO143" t="b">
        <f t="shared" si="71"/>
        <v>1</v>
      </c>
    </row>
    <row r="144" spans="2:67" ht="12" customHeight="1">
      <c r="B144" t="str">
        <f>TBIDry!H216</f>
        <v/>
      </c>
      <c r="C144" t="str">
        <f>TBIDry!I216</f>
        <v/>
      </c>
      <c r="D144" t="b">
        <f t="shared" si="48"/>
        <v>1</v>
      </c>
      <c r="E144" t="b">
        <f t="shared" si="49"/>
        <v>1</v>
      </c>
      <c r="G144" t="str">
        <f>TBIWet!H216</f>
        <v>G900</v>
      </c>
      <c r="H144" t="str">
        <f>TBIWet!I216</f>
        <v>R581</v>
      </c>
      <c r="I144" t="b">
        <f t="shared" si="50"/>
        <v>0</v>
      </c>
      <c r="J144" t="b">
        <f t="shared" si="51"/>
        <v>0</v>
      </c>
      <c r="L144" t="str">
        <f>'Both teabags AfterWet'!A143</f>
        <v>G541</v>
      </c>
      <c r="M144" t="str">
        <f>'Both teabags AfterWet'!A561</f>
        <v>R322</v>
      </c>
      <c r="N144" t="b">
        <f t="shared" si="52"/>
        <v>0</v>
      </c>
      <c r="O144" t="b">
        <f t="shared" si="53"/>
        <v>0</v>
      </c>
      <c r="P144">
        <f>IFERROR('Both teabags AfterWet'!B143,"")</f>
        <v>61</v>
      </c>
      <c r="Q144">
        <f>'Both teabags AfterWet'!B561</f>
        <v>168</v>
      </c>
      <c r="S144" s="401" t="b">
        <f t="shared" si="54"/>
        <v>0</v>
      </c>
      <c r="T144" s="401" t="b">
        <f t="shared" si="55"/>
        <v>0</v>
      </c>
      <c r="V144" t="str">
        <f>'Both teabags AfterDry'!A143</f>
        <v>G27</v>
      </c>
      <c r="W144" t="str">
        <f>'Both teabags AfterDry'!A480</f>
        <v>R611</v>
      </c>
      <c r="X144" t="b">
        <f t="shared" si="56"/>
        <v>0</v>
      </c>
      <c r="Y144" t="b">
        <f t="shared" si="57"/>
        <v>0</v>
      </c>
      <c r="AA144" t="str">
        <f>'Green_rooibos initial weight'!A145</f>
        <v>G141</v>
      </c>
      <c r="AB144" t="str">
        <f>'Green_rooibos initial weight'!A1049</f>
        <v>R141</v>
      </c>
      <c r="AC144" t="b">
        <f t="shared" si="58"/>
        <v>0</v>
      </c>
      <c r="AD144" t="b">
        <f t="shared" si="59"/>
        <v>0</v>
      </c>
      <c r="AG144" t="str">
        <f>'WetLitterbags placem_collection'!K143</f>
        <v>G900</v>
      </c>
      <c r="AH144" t="str">
        <f>'WetLitterbags placem_collection'!M143</f>
        <v>R581</v>
      </c>
      <c r="AI144" t="b">
        <f t="shared" si="60"/>
        <v>0</v>
      </c>
      <c r="AJ144" t="b">
        <f t="shared" si="61"/>
        <v>0</v>
      </c>
      <c r="AK144">
        <f>'WetLitterbags placem_collection'!A143</f>
        <v>141</v>
      </c>
      <c r="AL144">
        <f>'WetLitterbags placem_collection'!A143</f>
        <v>141</v>
      </c>
      <c r="AN144" t="str">
        <f>IF('Dry_Litterbag Placem_Collection'!J143=0,"",'Dry_Litterbag Placem_Collection'!J143)</f>
        <v/>
      </c>
      <c r="AO144" t="str">
        <f>IF('Dry_Litterbag Placem_Collection'!K143=0,"",'Dry_Litterbag Placem_Collection'!K143)</f>
        <v/>
      </c>
      <c r="AP144" t="b">
        <f t="shared" si="62"/>
        <v>1</v>
      </c>
      <c r="AQ144" t="b">
        <f t="shared" si="63"/>
        <v>1</v>
      </c>
      <c r="AT144" t="str">
        <f>'Ashed teabags dry'!A142</f>
        <v>G27</v>
      </c>
      <c r="AU144" t="str">
        <f>'Ashed teabags dry'!A479</f>
        <v>R611</v>
      </c>
      <c r="AV144" t="b">
        <f t="shared" si="64"/>
        <v>0</v>
      </c>
      <c r="AW144" t="b">
        <f t="shared" si="65"/>
        <v>0</v>
      </c>
      <c r="AZ144" s="401" t="b">
        <f t="shared" si="66"/>
        <v>0</v>
      </c>
      <c r="BA144" s="401" t="b">
        <f t="shared" si="67"/>
        <v>0</v>
      </c>
      <c r="BC144" t="str">
        <f>'Ashed teabags wet'!A142</f>
        <v>G544</v>
      </c>
      <c r="BD144" t="str">
        <f>'Ashed teabags wet'!A559</f>
        <v>R334</v>
      </c>
      <c r="BE144" t="b">
        <f t="shared" si="68"/>
        <v>0</v>
      </c>
      <c r="BF144" t="b">
        <f t="shared" si="69"/>
        <v>0</v>
      </c>
      <c r="BG144">
        <f>IFERROR('Ashed teabags wet'!C142,"")</f>
        <v>186</v>
      </c>
      <c r="BH144">
        <f>IFERROR('Ashed teabags wet'!C559,"")</f>
        <v>204</v>
      </c>
      <c r="BI144">
        <f>'Ashed teabags wet'!AB142</f>
        <v>185</v>
      </c>
      <c r="BJ144" t="str">
        <f>'Ashed teabags wet'!AC142</f>
        <v/>
      </c>
      <c r="BK144">
        <f>'Ashed teabags wet'!AD559</f>
        <v>203</v>
      </c>
      <c r="BL144" t="str">
        <f>'Ashed teabags wet'!AE559</f>
        <v/>
      </c>
      <c r="BN144" t="str">
        <f t="shared" si="70"/>
        <v>G543</v>
      </c>
      <c r="BO144" t="b">
        <f t="shared" si="71"/>
        <v>1</v>
      </c>
    </row>
    <row r="145" spans="2:67" ht="12" customHeight="1">
      <c r="B145" t="str">
        <f>TBIDry!H217</f>
        <v>G87</v>
      </c>
      <c r="C145" t="str">
        <f>TBIDry!I217</f>
        <v>R834</v>
      </c>
      <c r="D145" t="b">
        <f t="shared" si="48"/>
        <v>0</v>
      </c>
      <c r="E145" t="b">
        <f t="shared" si="49"/>
        <v>0</v>
      </c>
      <c r="G145" t="str">
        <f>TBIWet!H217</f>
        <v>G817</v>
      </c>
      <c r="H145" t="str">
        <f>TBIWet!I217</f>
        <v>R460</v>
      </c>
      <c r="I145" t="b">
        <f t="shared" si="50"/>
        <v>0</v>
      </c>
      <c r="J145" t="b">
        <f t="shared" si="51"/>
        <v>0</v>
      </c>
      <c r="L145" t="str">
        <f>'Both teabags AfterWet'!A144</f>
        <v>G542</v>
      </c>
      <c r="M145" t="str">
        <f>'Both teabags AfterWet'!A562</f>
        <v>R323</v>
      </c>
      <c r="N145" t="b">
        <f t="shared" si="52"/>
        <v>0</v>
      </c>
      <c r="O145" t="b">
        <f t="shared" si="53"/>
        <v>0</v>
      </c>
      <c r="P145">
        <f>IFERROR('Both teabags AfterWet'!B144,"")</f>
        <v>81</v>
      </c>
      <c r="Q145" t="str">
        <f>'Both teabags AfterWet'!B562</f>
        <v>n.a</v>
      </c>
      <c r="S145" s="401" t="b">
        <f t="shared" si="54"/>
        <v>0</v>
      </c>
      <c r="T145" s="401" t="b">
        <f t="shared" si="55"/>
        <v>0</v>
      </c>
      <c r="V145" t="str">
        <f>'Both teabags AfterDry'!A144</f>
        <v>G273</v>
      </c>
      <c r="W145" t="str">
        <f>'Both teabags AfterDry'!A481</f>
        <v>R612</v>
      </c>
      <c r="X145" t="b">
        <f t="shared" si="56"/>
        <v>0</v>
      </c>
      <c r="Y145" t="b">
        <f t="shared" si="57"/>
        <v>0</v>
      </c>
      <c r="AA145" t="str">
        <f>'Green_rooibos initial weight'!A146</f>
        <v>G142</v>
      </c>
      <c r="AB145" t="str">
        <f>'Green_rooibos initial weight'!A1050</f>
        <v>R142</v>
      </c>
      <c r="AC145" t="b">
        <f t="shared" si="58"/>
        <v>0</v>
      </c>
      <c r="AD145" t="b">
        <f t="shared" si="59"/>
        <v>0</v>
      </c>
      <c r="AG145" t="str">
        <f>'WetLitterbags placem_collection'!K144</f>
        <v>G817</v>
      </c>
      <c r="AH145" t="str">
        <f>'WetLitterbags placem_collection'!M144</f>
        <v>R460</v>
      </c>
      <c r="AI145" t="b">
        <f t="shared" si="60"/>
        <v>0</v>
      </c>
      <c r="AJ145" t="b">
        <f t="shared" si="61"/>
        <v>0</v>
      </c>
      <c r="AK145">
        <f>'WetLitterbags placem_collection'!A144</f>
        <v>142</v>
      </c>
      <c r="AL145">
        <f>'WetLitterbags placem_collection'!A144</f>
        <v>142</v>
      </c>
      <c r="AN145">
        <f>IF('Dry_Litterbag Placem_Collection'!J144=0,"",'Dry_Litterbag Placem_Collection'!J144)</f>
        <v>87</v>
      </c>
      <c r="AO145">
        <f>IF('Dry_Litterbag Placem_Collection'!K144=0,"",'Dry_Litterbag Placem_Collection'!K144)</f>
        <v>834</v>
      </c>
      <c r="AP145" t="b">
        <f t="shared" si="62"/>
        <v>0</v>
      </c>
      <c r="AQ145" t="b">
        <f t="shared" si="63"/>
        <v>0</v>
      </c>
      <c r="AT145" t="str">
        <f>'Ashed teabags dry'!A143</f>
        <v>G273</v>
      </c>
      <c r="AU145" t="str">
        <f>'Ashed teabags dry'!A480</f>
        <v>R612</v>
      </c>
      <c r="AV145" t="b">
        <f t="shared" si="64"/>
        <v>0</v>
      </c>
      <c r="AW145" t="b">
        <f t="shared" si="65"/>
        <v>0</v>
      </c>
      <c r="AZ145" s="401" t="b">
        <f t="shared" si="66"/>
        <v>0</v>
      </c>
      <c r="BA145" s="401" t="b">
        <f t="shared" si="67"/>
        <v>0</v>
      </c>
      <c r="BC145" t="str">
        <f>'Ashed teabags wet'!A143</f>
        <v>G545</v>
      </c>
      <c r="BD145" t="str">
        <f>'Ashed teabags wet'!A560</f>
        <v>R336</v>
      </c>
      <c r="BE145" t="b">
        <f t="shared" si="68"/>
        <v>0</v>
      </c>
      <c r="BF145" t="b">
        <f t="shared" si="69"/>
        <v>0</v>
      </c>
      <c r="BG145">
        <f>IFERROR('Ashed teabags wet'!C143,"")</f>
        <v>96</v>
      </c>
      <c r="BH145">
        <f>IFERROR('Ashed teabags wet'!C560,"")</f>
        <v>191</v>
      </c>
      <c r="BI145" t="str">
        <f>'Ashed teabags wet'!AB143</f>
        <v/>
      </c>
      <c r="BJ145">
        <f>'Ashed teabags wet'!AC143</f>
        <v>95</v>
      </c>
      <c r="BK145">
        <f>'Ashed teabags wet'!AD560</f>
        <v>190</v>
      </c>
      <c r="BL145" t="str">
        <f>'Ashed teabags wet'!AE560</f>
        <v/>
      </c>
      <c r="BN145" t="str">
        <f t="shared" si="70"/>
        <v>G544</v>
      </c>
      <c r="BO145" t="b">
        <f t="shared" si="71"/>
        <v>1</v>
      </c>
    </row>
    <row r="146" spans="2:67" ht="12" customHeight="1">
      <c r="B146" t="str">
        <f>TBIDry!H218</f>
        <v>G501</v>
      </c>
      <c r="C146" t="str">
        <f>TBIDry!I218</f>
        <v>R774</v>
      </c>
      <c r="D146" t="b">
        <f t="shared" si="48"/>
        <v>0</v>
      </c>
      <c r="E146" t="b">
        <f t="shared" si="49"/>
        <v>0</v>
      </c>
      <c r="G146" t="str">
        <f>TBIWet!H218</f>
        <v>G836</v>
      </c>
      <c r="H146" t="str">
        <f>TBIWet!I218</f>
        <v>R456</v>
      </c>
      <c r="I146" t="b">
        <f t="shared" si="50"/>
        <v>0</v>
      </c>
      <c r="J146" t="b">
        <f t="shared" si="51"/>
        <v>0</v>
      </c>
      <c r="L146" t="str">
        <f>'Both teabags AfterWet'!A145</f>
        <v>G543</v>
      </c>
      <c r="M146" t="str">
        <f>'Both teabags AfterWet'!A563</f>
        <v>R326</v>
      </c>
      <c r="N146" t="b">
        <f t="shared" si="52"/>
        <v>0</v>
      </c>
      <c r="O146" t="b">
        <f t="shared" si="53"/>
        <v>0</v>
      </c>
      <c r="P146" t="str">
        <f>IFERROR('Both teabags AfterWet'!B145,"")</f>
        <v>n.a</v>
      </c>
      <c r="Q146">
        <f>'Both teabags AfterWet'!B563</f>
        <v>176</v>
      </c>
      <c r="S146" s="401" t="b">
        <f t="shared" si="54"/>
        <v>0</v>
      </c>
      <c r="T146" s="401" t="b">
        <f t="shared" si="55"/>
        <v>0</v>
      </c>
      <c r="V146" t="str">
        <f>'Both teabags AfterDry'!A145</f>
        <v>G274</v>
      </c>
      <c r="W146" t="str">
        <f>'Both teabags AfterDry'!A482</f>
        <v>R613</v>
      </c>
      <c r="X146" t="b">
        <f t="shared" si="56"/>
        <v>0</v>
      </c>
      <c r="Y146" t="b">
        <f t="shared" si="57"/>
        <v>0</v>
      </c>
      <c r="AA146" t="str">
        <f>'Green_rooibos initial weight'!A147</f>
        <v>G143</v>
      </c>
      <c r="AB146" t="str">
        <f>'Green_rooibos initial weight'!A1051</f>
        <v>R143</v>
      </c>
      <c r="AC146" t="b">
        <f t="shared" si="58"/>
        <v>0</v>
      </c>
      <c r="AD146" t="b">
        <f t="shared" si="59"/>
        <v>0</v>
      </c>
      <c r="AG146" t="str">
        <f>'WetLitterbags placem_collection'!K145</f>
        <v>G836</v>
      </c>
      <c r="AH146" t="str">
        <f>'WetLitterbags placem_collection'!M145</f>
        <v>R456</v>
      </c>
      <c r="AI146" t="b">
        <f t="shared" si="60"/>
        <v>0</v>
      </c>
      <c r="AJ146" t="b">
        <f t="shared" si="61"/>
        <v>0</v>
      </c>
      <c r="AK146">
        <f>'WetLitterbags placem_collection'!A145</f>
        <v>143</v>
      </c>
      <c r="AL146">
        <f>'WetLitterbags placem_collection'!A145</f>
        <v>143</v>
      </c>
      <c r="AN146">
        <f>IF('Dry_Litterbag Placem_Collection'!J145=0,"",'Dry_Litterbag Placem_Collection'!J145)</f>
        <v>501</v>
      </c>
      <c r="AO146">
        <f>IF('Dry_Litterbag Placem_Collection'!K145=0,"",'Dry_Litterbag Placem_Collection'!K145)</f>
        <v>774</v>
      </c>
      <c r="AP146" t="b">
        <f t="shared" si="62"/>
        <v>0</v>
      </c>
      <c r="AQ146" t="b">
        <f t="shared" si="63"/>
        <v>0</v>
      </c>
      <c r="AT146" t="str">
        <f>'Ashed teabags dry'!A144</f>
        <v>G274</v>
      </c>
      <c r="AU146" t="str">
        <f>'Ashed teabags dry'!A481</f>
        <v>R613</v>
      </c>
      <c r="AV146" t="b">
        <f t="shared" si="64"/>
        <v>0</v>
      </c>
      <c r="AW146" t="b">
        <f t="shared" si="65"/>
        <v>0</v>
      </c>
      <c r="AZ146" s="401" t="b">
        <f t="shared" si="66"/>
        <v>0</v>
      </c>
      <c r="BA146" s="401" t="b">
        <f t="shared" si="67"/>
        <v>0</v>
      </c>
      <c r="BC146" t="str">
        <f>'Ashed teabags wet'!A144</f>
        <v>G546</v>
      </c>
      <c r="BD146" t="str">
        <f>'Ashed teabags wet'!A561</f>
        <v>R339</v>
      </c>
      <c r="BE146" t="b">
        <f t="shared" si="68"/>
        <v>0</v>
      </c>
      <c r="BF146" t="b">
        <f t="shared" si="69"/>
        <v>0</v>
      </c>
      <c r="BG146">
        <f>IFERROR('Ashed teabags wet'!C144,"")</f>
        <v>0</v>
      </c>
      <c r="BH146">
        <f>IFERROR('Ashed teabags wet'!C561,"")</f>
        <v>199</v>
      </c>
      <c r="BI146">
        <f>'Ashed teabags wet'!AB144</f>
        <v>56</v>
      </c>
      <c r="BJ146" t="str">
        <f>'Ashed teabags wet'!AC144</f>
        <v/>
      </c>
      <c r="BK146">
        <f>'Ashed teabags wet'!AD561</f>
        <v>198</v>
      </c>
      <c r="BL146" t="str">
        <f>'Ashed teabags wet'!AE561</f>
        <v/>
      </c>
      <c r="BN146" t="str">
        <f t="shared" si="70"/>
        <v>G545</v>
      </c>
      <c r="BO146" t="b">
        <f t="shared" si="71"/>
        <v>1</v>
      </c>
    </row>
    <row r="147" spans="2:67" ht="12" customHeight="1">
      <c r="B147" t="str">
        <f>TBIDry!H219</f>
        <v>G141</v>
      </c>
      <c r="C147" t="str">
        <f>TBIDry!I219</f>
        <v>R779</v>
      </c>
      <c r="D147" t="b">
        <f t="shared" si="48"/>
        <v>0</v>
      </c>
      <c r="E147" t="b">
        <f t="shared" si="49"/>
        <v>0</v>
      </c>
      <c r="G147" t="str">
        <f>TBIWet!H219</f>
        <v>G784</v>
      </c>
      <c r="H147" t="str">
        <f>TBIWet!I219</f>
        <v>R571</v>
      </c>
      <c r="I147" t="b">
        <f t="shared" si="50"/>
        <v>0</v>
      </c>
      <c r="J147" t="b">
        <f t="shared" si="51"/>
        <v>0</v>
      </c>
      <c r="L147" t="str">
        <f>'Both teabags AfterWet'!A146</f>
        <v>G544</v>
      </c>
      <c r="M147" t="str">
        <f>'Both teabags AfterWet'!A564</f>
        <v>R328</v>
      </c>
      <c r="N147" t="b">
        <f t="shared" si="52"/>
        <v>0</v>
      </c>
      <c r="O147" t="b">
        <f t="shared" si="53"/>
        <v>0</v>
      </c>
      <c r="P147">
        <f>IFERROR('Both teabags AfterWet'!B146,"")</f>
        <v>186</v>
      </c>
      <c r="Q147">
        <f>'Both teabags AfterWet'!B564</f>
        <v>207</v>
      </c>
      <c r="S147" s="401" t="b">
        <f t="shared" si="54"/>
        <v>0</v>
      </c>
      <c r="T147" s="401" t="b">
        <f t="shared" si="55"/>
        <v>0</v>
      </c>
      <c r="V147" t="str">
        <f>'Both teabags AfterDry'!A146</f>
        <v>G275</v>
      </c>
      <c r="W147" t="str">
        <f>'Both teabags AfterDry'!A483</f>
        <v>R614</v>
      </c>
      <c r="X147" t="b">
        <f t="shared" si="56"/>
        <v>0</v>
      </c>
      <c r="Y147" t="b">
        <f t="shared" si="57"/>
        <v>0</v>
      </c>
      <c r="AA147" t="str">
        <f>'Green_rooibos initial weight'!A148</f>
        <v>G144</v>
      </c>
      <c r="AB147" t="str">
        <f>'Green_rooibos initial weight'!A1052</f>
        <v>R144</v>
      </c>
      <c r="AC147" t="b">
        <f t="shared" si="58"/>
        <v>0</v>
      </c>
      <c r="AD147" t="b">
        <f t="shared" si="59"/>
        <v>0</v>
      </c>
      <c r="AG147" t="str">
        <f>'WetLitterbags placem_collection'!K146</f>
        <v>G784</v>
      </c>
      <c r="AH147" t="str">
        <f>'WetLitterbags placem_collection'!M146</f>
        <v>R571</v>
      </c>
      <c r="AI147" t="b">
        <f t="shared" si="60"/>
        <v>0</v>
      </c>
      <c r="AJ147" t="b">
        <f t="shared" si="61"/>
        <v>0</v>
      </c>
      <c r="AK147">
        <f>'WetLitterbags placem_collection'!A146</f>
        <v>144</v>
      </c>
      <c r="AL147">
        <f>'WetLitterbags placem_collection'!A146</f>
        <v>144</v>
      </c>
      <c r="AN147">
        <f>IF('Dry_Litterbag Placem_Collection'!J146=0,"",'Dry_Litterbag Placem_Collection'!J146)</f>
        <v>141</v>
      </c>
      <c r="AO147">
        <f>IF('Dry_Litterbag Placem_Collection'!K146=0,"",'Dry_Litterbag Placem_Collection'!K146)</f>
        <v>779</v>
      </c>
      <c r="AP147" t="b">
        <f t="shared" si="62"/>
        <v>0</v>
      </c>
      <c r="AQ147" t="b">
        <f t="shared" si="63"/>
        <v>0</v>
      </c>
      <c r="AT147" t="str">
        <f>'Ashed teabags dry'!A145</f>
        <v>G275</v>
      </c>
      <c r="AU147" t="str">
        <f>'Ashed teabags dry'!A482</f>
        <v>R614</v>
      </c>
      <c r="AV147" t="b">
        <f t="shared" si="64"/>
        <v>0</v>
      </c>
      <c r="AW147" t="b">
        <f t="shared" si="65"/>
        <v>0</v>
      </c>
      <c r="AZ147" s="401" t="b">
        <f t="shared" si="66"/>
        <v>0</v>
      </c>
      <c r="BA147" s="401" t="b">
        <f t="shared" si="67"/>
        <v>0</v>
      </c>
      <c r="BC147" t="str">
        <f>'Ashed teabags wet'!A145</f>
        <v>G547</v>
      </c>
      <c r="BD147" t="str">
        <f>'Ashed teabags wet'!A562</f>
        <v>R34</v>
      </c>
      <c r="BE147" t="b">
        <f t="shared" si="68"/>
        <v>0</v>
      </c>
      <c r="BF147" t="b">
        <f t="shared" si="69"/>
        <v>0</v>
      </c>
      <c r="BG147">
        <f>IFERROR('Ashed teabags wet'!C145,"")</f>
        <v>91</v>
      </c>
      <c r="BH147">
        <f>IFERROR('Ashed teabags wet'!C562,"")</f>
        <v>137</v>
      </c>
      <c r="BI147" t="str">
        <f>'Ashed teabags wet'!AB145</f>
        <v/>
      </c>
      <c r="BJ147">
        <f>'Ashed teabags wet'!AC145</f>
        <v>90</v>
      </c>
      <c r="BK147">
        <f>'Ashed teabags wet'!AD562</f>
        <v>136</v>
      </c>
      <c r="BL147" t="str">
        <f>'Ashed teabags wet'!AE562</f>
        <v/>
      </c>
      <c r="BN147" t="str">
        <f t="shared" si="70"/>
        <v>G546</v>
      </c>
      <c r="BO147" t="b">
        <f t="shared" si="71"/>
        <v>1</v>
      </c>
    </row>
    <row r="148" spans="2:67" ht="12" customHeight="1">
      <c r="B148" t="str">
        <f>TBIDry!H220</f>
        <v>G131</v>
      </c>
      <c r="C148" t="str">
        <f>TBIDry!I220</f>
        <v>R728</v>
      </c>
      <c r="D148" t="b">
        <f t="shared" si="48"/>
        <v>0</v>
      </c>
      <c r="E148" t="b">
        <f t="shared" si="49"/>
        <v>0</v>
      </c>
      <c r="G148" t="str">
        <f>TBIWet!H220</f>
        <v>G902</v>
      </c>
      <c r="H148" t="str">
        <f>TBIWet!I220</f>
        <v>R27</v>
      </c>
      <c r="I148" t="b">
        <f t="shared" si="50"/>
        <v>0</v>
      </c>
      <c r="J148" t="b">
        <f t="shared" si="51"/>
        <v>0</v>
      </c>
      <c r="L148" t="str">
        <f>'Both teabags AfterWet'!A147</f>
        <v>G545</v>
      </c>
      <c r="M148" t="str">
        <f>'Both teabags AfterWet'!A565</f>
        <v>R329</v>
      </c>
      <c r="N148" t="b">
        <f t="shared" si="52"/>
        <v>0</v>
      </c>
      <c r="O148" t="b">
        <f t="shared" si="53"/>
        <v>0</v>
      </c>
      <c r="P148" t="str">
        <f>IFERROR('Both teabags AfterWet'!B147,"")</f>
        <v>n.a</v>
      </c>
      <c r="Q148">
        <f>'Both teabags AfterWet'!B565</f>
        <v>87</v>
      </c>
      <c r="S148" s="401" t="b">
        <f t="shared" si="54"/>
        <v>0</v>
      </c>
      <c r="T148" s="401" t="b">
        <f t="shared" si="55"/>
        <v>0</v>
      </c>
      <c r="V148" t="str">
        <f>'Both teabags AfterDry'!A147</f>
        <v>G277</v>
      </c>
      <c r="W148" t="str">
        <f>'Both teabags AfterDry'!A484</f>
        <v>R615</v>
      </c>
      <c r="X148" t="b">
        <f t="shared" si="56"/>
        <v>0</v>
      </c>
      <c r="Y148" t="b">
        <f t="shared" si="57"/>
        <v>0</v>
      </c>
      <c r="AA148" t="str">
        <f>'Green_rooibos initial weight'!A149</f>
        <v>G145</v>
      </c>
      <c r="AB148" t="str">
        <f>'Green_rooibos initial weight'!A1053</f>
        <v>R145</v>
      </c>
      <c r="AC148" t="b">
        <f t="shared" si="58"/>
        <v>0</v>
      </c>
      <c r="AD148" t="b">
        <f t="shared" si="59"/>
        <v>0</v>
      </c>
      <c r="AG148" t="str">
        <f>'WetLitterbags placem_collection'!K147</f>
        <v>G902</v>
      </c>
      <c r="AH148" t="str">
        <f>'WetLitterbags placem_collection'!M147</f>
        <v>R27</v>
      </c>
      <c r="AI148" t="b">
        <f t="shared" si="60"/>
        <v>0</v>
      </c>
      <c r="AJ148" t="b">
        <f t="shared" si="61"/>
        <v>0</v>
      </c>
      <c r="AK148">
        <f>'WetLitterbags placem_collection'!A147</f>
        <v>145</v>
      </c>
      <c r="AL148">
        <f>'WetLitterbags placem_collection'!A147</f>
        <v>145</v>
      </c>
      <c r="AN148">
        <f>IF('Dry_Litterbag Placem_Collection'!J147=0,"",'Dry_Litterbag Placem_Collection'!J147)</f>
        <v>131</v>
      </c>
      <c r="AO148">
        <f>IF('Dry_Litterbag Placem_Collection'!K147=0,"",'Dry_Litterbag Placem_Collection'!K147)</f>
        <v>728</v>
      </c>
      <c r="AP148" t="b">
        <f t="shared" si="62"/>
        <v>0</v>
      </c>
      <c r="AQ148" t="b">
        <f t="shared" si="63"/>
        <v>0</v>
      </c>
      <c r="AT148" t="str">
        <f>'Ashed teabags dry'!A146</f>
        <v>G277</v>
      </c>
      <c r="AU148" t="str">
        <f>'Ashed teabags dry'!A483</f>
        <v>R615</v>
      </c>
      <c r="AV148" t="b">
        <f t="shared" si="64"/>
        <v>0</v>
      </c>
      <c r="AW148" t="b">
        <f t="shared" si="65"/>
        <v>0</v>
      </c>
      <c r="AZ148" s="401" t="b">
        <f t="shared" si="66"/>
        <v>0</v>
      </c>
      <c r="BA148" s="401" t="b">
        <f t="shared" si="67"/>
        <v>0</v>
      </c>
      <c r="BC148" t="str">
        <f>'Ashed teabags wet'!A146</f>
        <v>G548</v>
      </c>
      <c r="BD148" t="str">
        <f>'Ashed teabags wet'!A563</f>
        <v>R340</v>
      </c>
      <c r="BE148" t="b">
        <f t="shared" si="68"/>
        <v>0</v>
      </c>
      <c r="BF148" t="b">
        <f t="shared" si="69"/>
        <v>0</v>
      </c>
      <c r="BG148">
        <f>IFERROR('Ashed teabags wet'!C146,"")</f>
        <v>51</v>
      </c>
      <c r="BH148">
        <f>IFERROR('Ashed teabags wet'!C563,"")</f>
        <v>210</v>
      </c>
      <c r="BI148">
        <f>'Ashed teabags wet'!AB146</f>
        <v>50</v>
      </c>
      <c r="BJ148" t="str">
        <f>'Ashed teabags wet'!AC146</f>
        <v/>
      </c>
      <c r="BK148">
        <f>'Ashed teabags wet'!AD563</f>
        <v>209</v>
      </c>
      <c r="BL148" t="str">
        <f>'Ashed teabags wet'!AE563</f>
        <v/>
      </c>
      <c r="BN148" t="str">
        <f t="shared" si="70"/>
        <v>G547</v>
      </c>
      <c r="BO148" t="b">
        <f t="shared" si="71"/>
        <v>1</v>
      </c>
    </row>
    <row r="149" spans="2:67" ht="12" customHeight="1">
      <c r="B149" t="str">
        <f>TBIDry!H221</f>
        <v>G465</v>
      </c>
      <c r="C149" t="str">
        <f>TBIDry!I221</f>
        <v>R13</v>
      </c>
      <c r="D149" t="b">
        <f t="shared" si="48"/>
        <v>0</v>
      </c>
      <c r="E149" t="b">
        <f t="shared" si="49"/>
        <v>0</v>
      </c>
      <c r="G149" t="str">
        <f>TBIWet!H221</f>
        <v>G689</v>
      </c>
      <c r="H149" t="str">
        <f>TBIWet!I221</f>
        <v>R492</v>
      </c>
      <c r="I149" t="b">
        <f t="shared" si="50"/>
        <v>0</v>
      </c>
      <c r="J149" t="b">
        <f t="shared" si="51"/>
        <v>0</v>
      </c>
      <c r="L149" t="str">
        <f>'Both teabags AfterWet'!A148</f>
        <v>G546</v>
      </c>
      <c r="M149" t="str">
        <f>'Both teabags AfterWet'!A566</f>
        <v>R33</v>
      </c>
      <c r="N149" t="b">
        <f t="shared" si="52"/>
        <v>0</v>
      </c>
      <c r="O149" t="b">
        <f t="shared" si="53"/>
        <v>0</v>
      </c>
      <c r="P149">
        <f>IFERROR('Both teabags AfterWet'!B148,"")</f>
        <v>57</v>
      </c>
      <c r="Q149">
        <f>'Both teabags AfterWet'!B566</f>
        <v>109</v>
      </c>
      <c r="S149" s="401" t="b">
        <f t="shared" si="54"/>
        <v>0</v>
      </c>
      <c r="T149" s="401" t="b">
        <f t="shared" si="55"/>
        <v>0</v>
      </c>
      <c r="V149" t="str">
        <f>'Both teabags AfterDry'!A148</f>
        <v>G278</v>
      </c>
      <c r="W149" t="str">
        <f>'Both teabags AfterDry'!A485</f>
        <v>R616</v>
      </c>
      <c r="X149" t="b">
        <f t="shared" si="56"/>
        <v>0</v>
      </c>
      <c r="Y149" t="b">
        <f t="shared" si="57"/>
        <v>0</v>
      </c>
      <c r="AA149" t="str">
        <f>'Green_rooibos initial weight'!A150</f>
        <v>G146</v>
      </c>
      <c r="AB149" t="str">
        <f>'Green_rooibos initial weight'!A1054</f>
        <v>R146</v>
      </c>
      <c r="AC149" t="b">
        <f t="shared" si="58"/>
        <v>0</v>
      </c>
      <c r="AD149" t="b">
        <f t="shared" si="59"/>
        <v>0</v>
      </c>
      <c r="AG149" t="str">
        <f>'WetLitterbags placem_collection'!K148</f>
        <v>G689</v>
      </c>
      <c r="AH149" t="str">
        <f>'WetLitterbags placem_collection'!M148</f>
        <v>R492</v>
      </c>
      <c r="AI149" t="b">
        <f t="shared" si="60"/>
        <v>0</v>
      </c>
      <c r="AJ149" t="b">
        <f t="shared" si="61"/>
        <v>0</v>
      </c>
      <c r="AK149">
        <f>'WetLitterbags placem_collection'!A148</f>
        <v>146</v>
      </c>
      <c r="AL149">
        <f>'WetLitterbags placem_collection'!A148</f>
        <v>146</v>
      </c>
      <c r="AN149">
        <f>IF('Dry_Litterbag Placem_Collection'!J148=0,"",'Dry_Litterbag Placem_Collection'!J148)</f>
        <v>465</v>
      </c>
      <c r="AO149">
        <f>IF('Dry_Litterbag Placem_Collection'!K148=0,"",'Dry_Litterbag Placem_Collection'!K148)</f>
        <v>13</v>
      </c>
      <c r="AP149" t="b">
        <f t="shared" si="62"/>
        <v>0</v>
      </c>
      <c r="AQ149" t="b">
        <f t="shared" si="63"/>
        <v>0</v>
      </c>
      <c r="AT149" t="str">
        <f>'Ashed teabags dry'!A147</f>
        <v>G278</v>
      </c>
      <c r="AU149" t="str">
        <f>'Ashed teabags dry'!A484</f>
        <v>R616</v>
      </c>
      <c r="AV149" t="b">
        <f t="shared" si="64"/>
        <v>0</v>
      </c>
      <c r="AW149" t="b">
        <f t="shared" si="65"/>
        <v>0</v>
      </c>
      <c r="AZ149" s="401" t="b">
        <f t="shared" si="66"/>
        <v>0</v>
      </c>
      <c r="BA149" s="401" t="b">
        <f t="shared" si="67"/>
        <v>0</v>
      </c>
      <c r="BC149" t="str">
        <f>'Ashed teabags wet'!A147</f>
        <v>G549</v>
      </c>
      <c r="BD149" t="str">
        <f>'Ashed teabags wet'!A564</f>
        <v>R341</v>
      </c>
      <c r="BE149" t="b">
        <f t="shared" si="68"/>
        <v>0</v>
      </c>
      <c r="BF149" t="b">
        <f t="shared" si="69"/>
        <v>0</v>
      </c>
      <c r="BG149">
        <f>IFERROR('Ashed teabags wet'!C147,"")</f>
        <v>73</v>
      </c>
      <c r="BH149">
        <f>IFERROR('Ashed teabags wet'!C564,"")</f>
        <v>163</v>
      </c>
      <c r="BI149">
        <f>'Ashed teabags wet'!AB147</f>
        <v>72</v>
      </c>
      <c r="BJ149" t="str">
        <f>'Ashed teabags wet'!AC147</f>
        <v/>
      </c>
      <c r="BK149" t="str">
        <f>'Ashed teabags wet'!AD564</f>
        <v/>
      </c>
      <c r="BL149">
        <f>'Ashed teabags wet'!AE564</f>
        <v>162</v>
      </c>
      <c r="BN149" t="str">
        <f t="shared" si="70"/>
        <v>G548</v>
      </c>
      <c r="BO149" t="b">
        <f t="shared" si="71"/>
        <v>1</v>
      </c>
    </row>
    <row r="150" spans="2:67" ht="12" customHeight="1">
      <c r="B150" t="str">
        <f>TBIDry!H222</f>
        <v>G15</v>
      </c>
      <c r="C150" t="str">
        <f>TBIDry!I222</f>
        <v>R832</v>
      </c>
      <c r="D150" t="b">
        <f t="shared" si="48"/>
        <v>0</v>
      </c>
      <c r="E150" t="b">
        <f t="shared" si="49"/>
        <v>0</v>
      </c>
      <c r="G150" t="str">
        <f>TBIWet!H222</f>
        <v>G678</v>
      </c>
      <c r="H150" t="str">
        <f>TBIWet!I222</f>
        <v>R573</v>
      </c>
      <c r="I150" t="b">
        <f t="shared" si="50"/>
        <v>0</v>
      </c>
      <c r="J150" t="b">
        <f t="shared" si="51"/>
        <v>0</v>
      </c>
      <c r="L150" t="str">
        <f>'Both teabags AfterWet'!A149</f>
        <v>G547</v>
      </c>
      <c r="M150" t="str">
        <f>'Both teabags AfterWet'!A567</f>
        <v>R330</v>
      </c>
      <c r="N150" t="b">
        <f t="shared" si="52"/>
        <v>0</v>
      </c>
      <c r="O150" t="b">
        <f t="shared" si="53"/>
        <v>0</v>
      </c>
      <c r="P150">
        <f>IFERROR('Both teabags AfterWet'!B149,"")</f>
        <v>91</v>
      </c>
      <c r="Q150">
        <f>'Both teabags AfterWet'!B567</f>
        <v>170</v>
      </c>
      <c r="S150" s="401" t="b">
        <f t="shared" si="54"/>
        <v>0</v>
      </c>
      <c r="T150" s="401" t="b">
        <f t="shared" si="55"/>
        <v>0</v>
      </c>
      <c r="V150" t="str">
        <f>'Both teabags AfterDry'!A149</f>
        <v>G284</v>
      </c>
      <c r="W150" t="str">
        <f>'Both teabags AfterDry'!A486</f>
        <v>R617</v>
      </c>
      <c r="X150" t="b">
        <f t="shared" si="56"/>
        <v>0</v>
      </c>
      <c r="Y150" t="b">
        <f t="shared" si="57"/>
        <v>0</v>
      </c>
      <c r="AA150" t="str">
        <f>'Green_rooibos initial weight'!A151</f>
        <v>G147</v>
      </c>
      <c r="AB150" t="str">
        <f>'Green_rooibos initial weight'!A1055</f>
        <v>R147</v>
      </c>
      <c r="AC150" t="b">
        <f t="shared" si="58"/>
        <v>0</v>
      </c>
      <c r="AD150" t="b">
        <f t="shared" si="59"/>
        <v>0</v>
      </c>
      <c r="AG150" t="str">
        <f>'WetLitterbags placem_collection'!K149</f>
        <v>G678</v>
      </c>
      <c r="AH150" t="str">
        <f>'WetLitterbags placem_collection'!M149</f>
        <v>R573</v>
      </c>
      <c r="AI150" t="b">
        <f t="shared" si="60"/>
        <v>0</v>
      </c>
      <c r="AJ150" t="b">
        <f t="shared" si="61"/>
        <v>0</v>
      </c>
      <c r="AK150">
        <f>'WetLitterbags placem_collection'!A149</f>
        <v>147</v>
      </c>
      <c r="AL150">
        <f>'WetLitterbags placem_collection'!A149</f>
        <v>147</v>
      </c>
      <c r="AN150">
        <f>IF('Dry_Litterbag Placem_Collection'!J149=0,"",'Dry_Litterbag Placem_Collection'!J149)</f>
        <v>15</v>
      </c>
      <c r="AO150">
        <f>IF('Dry_Litterbag Placem_Collection'!K149=0,"",'Dry_Litterbag Placem_Collection'!K149)</f>
        <v>832</v>
      </c>
      <c r="AP150" t="b">
        <f t="shared" si="62"/>
        <v>0</v>
      </c>
      <c r="AQ150" t="b">
        <f t="shared" si="63"/>
        <v>0</v>
      </c>
      <c r="AT150" t="str">
        <f>'Ashed teabags dry'!A148</f>
        <v>G284</v>
      </c>
      <c r="AU150" t="str">
        <f>'Ashed teabags dry'!A485</f>
        <v>R617</v>
      </c>
      <c r="AV150" t="b">
        <f t="shared" si="64"/>
        <v>0</v>
      </c>
      <c r="AW150" t="b">
        <f t="shared" si="65"/>
        <v>0</v>
      </c>
      <c r="AZ150" s="401" t="b">
        <f t="shared" si="66"/>
        <v>0</v>
      </c>
      <c r="BA150" s="401" t="b">
        <f t="shared" si="67"/>
        <v>0</v>
      </c>
      <c r="BC150" t="str">
        <f>'Ashed teabags wet'!A148</f>
        <v>G550</v>
      </c>
      <c r="BD150" t="str">
        <f>'Ashed teabags wet'!A565</f>
        <v>R342</v>
      </c>
      <c r="BE150" t="b">
        <f t="shared" si="68"/>
        <v>0</v>
      </c>
      <c r="BF150" t="b">
        <f t="shared" si="69"/>
        <v>0</v>
      </c>
      <c r="BG150">
        <f>IFERROR('Ashed teabags wet'!C148,"")</f>
        <v>36</v>
      </c>
      <c r="BH150">
        <f>IFERROR('Ashed teabags wet'!C565,"")</f>
        <v>203</v>
      </c>
      <c r="BI150" t="str">
        <f>'Ashed teabags wet'!AB148</f>
        <v/>
      </c>
      <c r="BJ150">
        <f>'Ashed teabags wet'!AC148</f>
        <v>35</v>
      </c>
      <c r="BK150" t="str">
        <f>'Ashed teabags wet'!AD565</f>
        <v/>
      </c>
      <c r="BL150">
        <f>'Ashed teabags wet'!AE565</f>
        <v>202</v>
      </c>
      <c r="BN150" t="str">
        <f t="shared" si="70"/>
        <v>G549</v>
      </c>
      <c r="BO150" t="b">
        <f t="shared" si="71"/>
        <v>1</v>
      </c>
    </row>
    <row r="151" spans="2:67" ht="12" customHeight="1">
      <c r="B151" t="str">
        <f>TBIDry!H223</f>
        <v>G290</v>
      </c>
      <c r="C151" t="str">
        <f>TBIDry!I223</f>
        <v>R823</v>
      </c>
      <c r="D151" t="b">
        <f t="shared" si="48"/>
        <v>0</v>
      </c>
      <c r="E151" t="b">
        <f t="shared" si="49"/>
        <v>0</v>
      </c>
      <c r="G151" t="str">
        <f>TBIWet!H223</f>
        <v>G835</v>
      </c>
      <c r="H151" t="str">
        <f>TBIWet!I223</f>
        <v>R472</v>
      </c>
      <c r="I151" t="b">
        <f t="shared" si="50"/>
        <v>0</v>
      </c>
      <c r="J151" t="b">
        <f t="shared" si="51"/>
        <v>0</v>
      </c>
      <c r="L151" t="str">
        <f>'Both teabags AfterWet'!A150</f>
        <v>G548</v>
      </c>
      <c r="M151" t="str">
        <f>'Both teabags AfterWet'!A568</f>
        <v>R331</v>
      </c>
      <c r="N151" t="b">
        <f t="shared" si="52"/>
        <v>0</v>
      </c>
      <c r="O151" t="b">
        <f t="shared" si="53"/>
        <v>0</v>
      </c>
      <c r="P151">
        <f>IFERROR('Both teabags AfterWet'!B150,"")</f>
        <v>51</v>
      </c>
      <c r="Q151">
        <f>'Both teabags AfterWet'!B568</f>
        <v>165</v>
      </c>
      <c r="S151" s="401" t="b">
        <f t="shared" si="54"/>
        <v>0</v>
      </c>
      <c r="T151" s="401" t="b">
        <f t="shared" si="55"/>
        <v>0</v>
      </c>
      <c r="V151" t="str">
        <f>'Both teabags AfterDry'!A150</f>
        <v>G289</v>
      </c>
      <c r="W151" t="str">
        <f>'Both teabags AfterDry'!A487</f>
        <v>R618</v>
      </c>
      <c r="X151" t="b">
        <f t="shared" si="56"/>
        <v>0</v>
      </c>
      <c r="Y151" t="b">
        <f t="shared" si="57"/>
        <v>0</v>
      </c>
      <c r="AA151" t="str">
        <f>'Green_rooibos initial weight'!A152</f>
        <v>G148</v>
      </c>
      <c r="AB151" t="str">
        <f>'Green_rooibos initial weight'!A1056</f>
        <v>R148</v>
      </c>
      <c r="AC151" t="b">
        <f t="shared" si="58"/>
        <v>0</v>
      </c>
      <c r="AD151" t="b">
        <f t="shared" si="59"/>
        <v>0</v>
      </c>
      <c r="AG151" t="str">
        <f>'WetLitterbags placem_collection'!K150</f>
        <v>G835</v>
      </c>
      <c r="AH151" t="str">
        <f>'WetLitterbags placem_collection'!M150</f>
        <v>R472</v>
      </c>
      <c r="AI151" t="b">
        <f t="shared" si="60"/>
        <v>0</v>
      </c>
      <c r="AJ151" t="b">
        <f t="shared" si="61"/>
        <v>0</v>
      </c>
      <c r="AK151">
        <f>'WetLitterbags placem_collection'!A150</f>
        <v>148</v>
      </c>
      <c r="AL151">
        <f>'WetLitterbags placem_collection'!A150</f>
        <v>148</v>
      </c>
      <c r="AN151">
        <f>IF('Dry_Litterbag Placem_Collection'!J150=0,"",'Dry_Litterbag Placem_Collection'!J150)</f>
        <v>290</v>
      </c>
      <c r="AO151">
        <f>IF('Dry_Litterbag Placem_Collection'!K150=0,"",'Dry_Litterbag Placem_Collection'!K150)</f>
        <v>823</v>
      </c>
      <c r="AP151" t="b">
        <f t="shared" si="62"/>
        <v>0</v>
      </c>
      <c r="AQ151" t="b">
        <f t="shared" si="63"/>
        <v>0</v>
      </c>
      <c r="AT151" t="str">
        <f>'Ashed teabags dry'!A149</f>
        <v>G289</v>
      </c>
      <c r="AU151" t="str">
        <f>'Ashed teabags dry'!A486</f>
        <v>R618</v>
      </c>
      <c r="AV151" t="b">
        <f t="shared" si="64"/>
        <v>0</v>
      </c>
      <c r="AW151" t="b">
        <f t="shared" si="65"/>
        <v>0</v>
      </c>
      <c r="AZ151" s="401" t="b">
        <f t="shared" si="66"/>
        <v>0</v>
      </c>
      <c r="BA151" s="401" t="b">
        <f t="shared" si="67"/>
        <v>0</v>
      </c>
      <c r="BC151" t="str">
        <f>'Ashed teabags wet'!A149</f>
        <v>G551</v>
      </c>
      <c r="BD151" t="str">
        <f>'Ashed teabags wet'!A566</f>
        <v>R343</v>
      </c>
      <c r="BE151" t="b">
        <f t="shared" si="68"/>
        <v>0</v>
      </c>
      <c r="BF151" t="b">
        <f t="shared" si="69"/>
        <v>0</v>
      </c>
      <c r="BG151">
        <f>IFERROR('Ashed teabags wet'!C149,"")</f>
        <v>181</v>
      </c>
      <c r="BH151">
        <f>IFERROR('Ashed teabags wet'!C566,"")</f>
        <v>91</v>
      </c>
      <c r="BI151" t="str">
        <f>'Ashed teabags wet'!AB149</f>
        <v/>
      </c>
      <c r="BJ151">
        <f>'Ashed teabags wet'!AC149</f>
        <v>180</v>
      </c>
      <c r="BK151">
        <f>'Ashed teabags wet'!AD566</f>
        <v>90</v>
      </c>
      <c r="BL151" t="str">
        <f>'Ashed teabags wet'!AE566</f>
        <v/>
      </c>
      <c r="BN151" t="str">
        <f t="shared" si="70"/>
        <v>G550</v>
      </c>
      <c r="BO151" t="b">
        <f t="shared" si="71"/>
        <v>1</v>
      </c>
    </row>
    <row r="152" spans="2:67" ht="12" customHeight="1">
      <c r="B152" t="str">
        <f>TBIDry!H224</f>
        <v>G194</v>
      </c>
      <c r="C152" t="str">
        <f>TBIDry!I224</f>
        <v>R703</v>
      </c>
      <c r="D152" t="b">
        <f t="shared" si="48"/>
        <v>0</v>
      </c>
      <c r="E152" t="b">
        <f t="shared" si="49"/>
        <v>0</v>
      </c>
      <c r="G152" t="str">
        <f>TBIWet!H224</f>
        <v>G733</v>
      </c>
      <c r="H152" t="str">
        <f>TBIWet!I224</f>
        <v>R545</v>
      </c>
      <c r="I152" t="b">
        <f t="shared" si="50"/>
        <v>0</v>
      </c>
      <c r="J152" t="b">
        <f t="shared" si="51"/>
        <v>0</v>
      </c>
      <c r="L152" t="str">
        <f>'Both teabags AfterWet'!A151</f>
        <v>G549</v>
      </c>
      <c r="M152" t="str">
        <f>'Both teabags AfterWet'!A569</f>
        <v>R333</v>
      </c>
      <c r="N152" t="b">
        <f t="shared" si="52"/>
        <v>0</v>
      </c>
      <c r="O152" t="b">
        <f t="shared" si="53"/>
        <v>0</v>
      </c>
      <c r="P152" t="str">
        <f>IFERROR('Both teabags AfterWet'!B151,"")</f>
        <v>na</v>
      </c>
      <c r="Q152">
        <f>'Both teabags AfterWet'!B569</f>
        <v>65</v>
      </c>
      <c r="S152" s="401" t="b">
        <f t="shared" si="54"/>
        <v>0</v>
      </c>
      <c r="T152" s="401" t="b">
        <f t="shared" si="55"/>
        <v>0</v>
      </c>
      <c r="V152" t="str">
        <f>'Both teabags AfterDry'!A151</f>
        <v>G290</v>
      </c>
      <c r="W152" t="str">
        <f>'Both teabags AfterDry'!A488</f>
        <v>R619</v>
      </c>
      <c r="X152" t="b">
        <f t="shared" si="56"/>
        <v>0</v>
      </c>
      <c r="Y152" t="b">
        <f t="shared" si="57"/>
        <v>0</v>
      </c>
      <c r="AA152" t="str">
        <f>'Green_rooibos initial weight'!A153</f>
        <v>G149</v>
      </c>
      <c r="AB152" t="str">
        <f>'Green_rooibos initial weight'!A1057</f>
        <v>R149</v>
      </c>
      <c r="AC152" t="b">
        <f t="shared" si="58"/>
        <v>0</v>
      </c>
      <c r="AD152" t="b">
        <f t="shared" si="59"/>
        <v>0</v>
      </c>
      <c r="AG152" t="str">
        <f>'WetLitterbags placem_collection'!K151</f>
        <v>G733</v>
      </c>
      <c r="AH152" t="str">
        <f>'WetLitterbags placem_collection'!M151</f>
        <v>R545</v>
      </c>
      <c r="AI152" t="b">
        <f t="shared" si="60"/>
        <v>0</v>
      </c>
      <c r="AJ152" t="b">
        <f t="shared" si="61"/>
        <v>0</v>
      </c>
      <c r="AK152">
        <f>'WetLitterbags placem_collection'!A151</f>
        <v>149</v>
      </c>
      <c r="AL152">
        <f>'WetLitterbags placem_collection'!A151</f>
        <v>149</v>
      </c>
      <c r="AN152">
        <f>IF('Dry_Litterbag Placem_Collection'!J151=0,"",'Dry_Litterbag Placem_Collection'!J151)</f>
        <v>194</v>
      </c>
      <c r="AO152">
        <f>IF('Dry_Litterbag Placem_Collection'!K151=0,"",'Dry_Litterbag Placem_Collection'!K151)</f>
        <v>703</v>
      </c>
      <c r="AP152" t="b">
        <f t="shared" si="62"/>
        <v>0</v>
      </c>
      <c r="AQ152" t="b">
        <f t="shared" si="63"/>
        <v>0</v>
      </c>
      <c r="AT152" t="str">
        <f>'Ashed teabags dry'!A150</f>
        <v>G290</v>
      </c>
      <c r="AU152" t="str">
        <f>'Ashed teabags dry'!A487</f>
        <v>R619</v>
      </c>
      <c r="AV152" t="b">
        <f t="shared" si="64"/>
        <v>0</v>
      </c>
      <c r="AW152" t="b">
        <f t="shared" si="65"/>
        <v>0</v>
      </c>
      <c r="AZ152" s="401" t="b">
        <f t="shared" si="66"/>
        <v>0</v>
      </c>
      <c r="BA152" s="401" t="b">
        <f t="shared" si="67"/>
        <v>0</v>
      </c>
      <c r="BC152" t="str">
        <f>'Ashed teabags wet'!A150</f>
        <v>G552</v>
      </c>
      <c r="BD152" t="str">
        <f>'Ashed teabags wet'!A567</f>
        <v>R344</v>
      </c>
      <c r="BE152" t="b">
        <f t="shared" si="68"/>
        <v>0</v>
      </c>
      <c r="BF152" t="b">
        <f t="shared" si="69"/>
        <v>0</v>
      </c>
      <c r="BG152">
        <f>IFERROR('Ashed teabags wet'!C150,"")</f>
        <v>22</v>
      </c>
      <c r="BH152">
        <f>IFERROR('Ashed teabags wet'!C567,"")</f>
        <v>208</v>
      </c>
      <c r="BI152" t="str">
        <f>'Ashed teabags wet'!AB150</f>
        <v/>
      </c>
      <c r="BJ152">
        <f>'Ashed teabags wet'!AC150</f>
        <v>21</v>
      </c>
      <c r="BK152">
        <f>'Ashed teabags wet'!AD567</f>
        <v>207</v>
      </c>
      <c r="BL152" t="str">
        <f>'Ashed teabags wet'!AE567</f>
        <v/>
      </c>
      <c r="BN152" t="str">
        <f t="shared" si="70"/>
        <v>G551</v>
      </c>
      <c r="BO152" t="b">
        <f t="shared" si="71"/>
        <v>1</v>
      </c>
    </row>
    <row r="153" spans="2:67" ht="12" customHeight="1">
      <c r="B153" t="str">
        <f>TBIDry!H225</f>
        <v>G272</v>
      </c>
      <c r="C153" t="str">
        <f>TBIDry!I225</f>
        <v>R668</v>
      </c>
      <c r="D153" t="b">
        <f t="shared" si="48"/>
        <v>0</v>
      </c>
      <c r="E153" t="b">
        <f t="shared" si="49"/>
        <v>0</v>
      </c>
      <c r="G153" t="str">
        <f>TBIWet!H225</f>
        <v>G658</v>
      </c>
      <c r="H153" t="str">
        <f>TBIWet!I225</f>
        <v>R7</v>
      </c>
      <c r="I153" t="b">
        <f t="shared" si="50"/>
        <v>0</v>
      </c>
      <c r="J153" t="b">
        <f t="shared" si="51"/>
        <v>0</v>
      </c>
      <c r="L153" t="str">
        <f>'Both teabags AfterWet'!A152</f>
        <v>G550</v>
      </c>
      <c r="M153" t="str">
        <f>'Both teabags AfterWet'!A570</f>
        <v>R334</v>
      </c>
      <c r="N153" t="b">
        <f t="shared" si="52"/>
        <v>0</v>
      </c>
      <c r="O153" t="b">
        <f t="shared" si="53"/>
        <v>0</v>
      </c>
      <c r="P153">
        <f>IFERROR('Both teabags AfterWet'!B152,"")</f>
        <v>36</v>
      </c>
      <c r="Q153" t="str">
        <f>'Both teabags AfterWet'!B570</f>
        <v xml:space="preserve">N.A. </v>
      </c>
      <c r="S153" s="401" t="b">
        <f t="shared" si="54"/>
        <v>0</v>
      </c>
      <c r="T153" s="401" t="b">
        <f t="shared" si="55"/>
        <v>0</v>
      </c>
      <c r="V153" t="str">
        <f>'Both teabags AfterDry'!A152</f>
        <v>G292</v>
      </c>
      <c r="W153" t="str">
        <f>'Both teabags AfterDry'!A489</f>
        <v>R620</v>
      </c>
      <c r="X153" t="b">
        <f t="shared" si="56"/>
        <v>0</v>
      </c>
      <c r="Y153" t="b">
        <f t="shared" si="57"/>
        <v>0</v>
      </c>
      <c r="AA153" t="str">
        <f>'Green_rooibos initial weight'!A154</f>
        <v>G150</v>
      </c>
      <c r="AB153" t="str">
        <f>'Green_rooibos initial weight'!A1058</f>
        <v>R150</v>
      </c>
      <c r="AC153" t="b">
        <f t="shared" si="58"/>
        <v>0</v>
      </c>
      <c r="AD153" t="b">
        <f t="shared" si="59"/>
        <v>0</v>
      </c>
      <c r="AG153" t="str">
        <f>'WetLitterbags placem_collection'!K152</f>
        <v>G658</v>
      </c>
      <c r="AH153" t="str">
        <f>'WetLitterbags placem_collection'!M152</f>
        <v>R7</v>
      </c>
      <c r="AI153" t="b">
        <f t="shared" si="60"/>
        <v>0</v>
      </c>
      <c r="AJ153" t="b">
        <f t="shared" si="61"/>
        <v>0</v>
      </c>
      <c r="AK153">
        <f>'WetLitterbags placem_collection'!A152</f>
        <v>150</v>
      </c>
      <c r="AL153">
        <f>'WetLitterbags placem_collection'!A152</f>
        <v>150</v>
      </c>
      <c r="AN153">
        <f>IF('Dry_Litterbag Placem_Collection'!J152=0,"",'Dry_Litterbag Placem_Collection'!J152)</f>
        <v>272</v>
      </c>
      <c r="AO153">
        <f>IF('Dry_Litterbag Placem_Collection'!K152=0,"",'Dry_Litterbag Placem_Collection'!K152)</f>
        <v>668</v>
      </c>
      <c r="AP153" t="b">
        <f t="shared" si="62"/>
        <v>0</v>
      </c>
      <c r="AQ153" t="b">
        <f t="shared" si="63"/>
        <v>0</v>
      </c>
      <c r="AT153" t="str">
        <f>'Ashed teabags dry'!A151</f>
        <v>G292</v>
      </c>
      <c r="AU153" t="str">
        <f>'Ashed teabags dry'!A488</f>
        <v>R620</v>
      </c>
      <c r="AV153" t="b">
        <f t="shared" si="64"/>
        <v>0</v>
      </c>
      <c r="AW153" t="b">
        <f t="shared" si="65"/>
        <v>0</v>
      </c>
      <c r="AZ153" s="401" t="b">
        <f t="shared" si="66"/>
        <v>0</v>
      </c>
      <c r="BA153" s="401" t="b">
        <f t="shared" si="67"/>
        <v>0</v>
      </c>
      <c r="BC153" t="str">
        <f>'Ashed teabags wet'!A151</f>
        <v>G554</v>
      </c>
      <c r="BD153" t="str">
        <f>'Ashed teabags wet'!A568</f>
        <v>R346</v>
      </c>
      <c r="BE153" t="b">
        <f t="shared" si="68"/>
        <v>0</v>
      </c>
      <c r="BF153" t="b">
        <f t="shared" si="69"/>
        <v>0</v>
      </c>
      <c r="BG153">
        <f>IFERROR('Ashed teabags wet'!C151,"")</f>
        <v>64</v>
      </c>
      <c r="BH153">
        <f>IFERROR('Ashed teabags wet'!C568,"")</f>
        <v>192</v>
      </c>
      <c r="BI153">
        <f>'Ashed teabags wet'!AB151</f>
        <v>63</v>
      </c>
      <c r="BJ153" t="str">
        <f>'Ashed teabags wet'!AC151</f>
        <v/>
      </c>
      <c r="BK153" t="str">
        <f>'Ashed teabags wet'!AD568</f>
        <v/>
      </c>
      <c r="BL153">
        <f>'Ashed teabags wet'!AE568</f>
        <v>191</v>
      </c>
      <c r="BN153" t="str">
        <f t="shared" si="70"/>
        <v>G552</v>
      </c>
      <c r="BO153" t="b">
        <f t="shared" si="71"/>
        <v>1</v>
      </c>
    </row>
    <row r="154" spans="2:67" ht="12" customHeight="1">
      <c r="B154" t="str">
        <f>TBIDry!H226</f>
        <v/>
      </c>
      <c r="C154" t="str">
        <f>TBIDry!I226</f>
        <v/>
      </c>
      <c r="D154" t="b">
        <f t="shared" si="48"/>
        <v>1</v>
      </c>
      <c r="E154" t="b">
        <f t="shared" si="49"/>
        <v>1</v>
      </c>
      <c r="G154" t="str">
        <f>TBIWet!H226</f>
        <v>G567</v>
      </c>
      <c r="H154" t="str">
        <f>TBIWet!I226</f>
        <v>R447</v>
      </c>
      <c r="I154" t="b">
        <f t="shared" si="50"/>
        <v>0</v>
      </c>
      <c r="J154" t="b">
        <f t="shared" si="51"/>
        <v>0</v>
      </c>
      <c r="L154" t="str">
        <f>'Both teabags AfterWet'!A153</f>
        <v>G551</v>
      </c>
      <c r="M154" t="str">
        <f>'Both teabags AfterWet'!A571</f>
        <v>R336</v>
      </c>
      <c r="N154" t="b">
        <f t="shared" si="52"/>
        <v>0</v>
      </c>
      <c r="O154" t="b">
        <f t="shared" si="53"/>
        <v>0</v>
      </c>
      <c r="P154" t="str">
        <f>IFERROR('Both teabags AfterWet'!B153,"")</f>
        <v>n.a</v>
      </c>
      <c r="Q154" t="str">
        <f>'Both teabags AfterWet'!B571</f>
        <v>n.a</v>
      </c>
      <c r="S154" s="401" t="b">
        <f t="shared" si="54"/>
        <v>0</v>
      </c>
      <c r="T154" s="401" t="b">
        <f t="shared" si="55"/>
        <v>0</v>
      </c>
      <c r="V154" t="str">
        <f>'Both teabags AfterDry'!A153</f>
        <v>G293</v>
      </c>
      <c r="W154" t="str">
        <f>'Both teabags AfterDry'!A490</f>
        <v>R621</v>
      </c>
      <c r="X154" t="b">
        <f t="shared" si="56"/>
        <v>0</v>
      </c>
      <c r="Y154" t="b">
        <f t="shared" si="57"/>
        <v>0</v>
      </c>
      <c r="AA154" t="str">
        <f>'Green_rooibos initial weight'!A155</f>
        <v>G151</v>
      </c>
      <c r="AB154" t="str">
        <f>'Green_rooibos initial weight'!A1059</f>
        <v>R151</v>
      </c>
      <c r="AC154" t="b">
        <f t="shared" si="58"/>
        <v>0</v>
      </c>
      <c r="AD154" t="b">
        <f t="shared" si="59"/>
        <v>0</v>
      </c>
      <c r="AG154" t="str">
        <f>'WetLitterbags placem_collection'!K153</f>
        <v>G567</v>
      </c>
      <c r="AH154" t="str">
        <f>'WetLitterbags placem_collection'!M153</f>
        <v>R447</v>
      </c>
      <c r="AI154" t="b">
        <f t="shared" si="60"/>
        <v>0</v>
      </c>
      <c r="AJ154" t="b">
        <f t="shared" si="61"/>
        <v>0</v>
      </c>
      <c r="AK154">
        <f>'WetLitterbags placem_collection'!A153</f>
        <v>151</v>
      </c>
      <c r="AL154">
        <f>'WetLitterbags placem_collection'!A153</f>
        <v>151</v>
      </c>
      <c r="AN154" t="str">
        <f>IF('Dry_Litterbag Placem_Collection'!J153=0,"",'Dry_Litterbag Placem_Collection'!J153)</f>
        <v/>
      </c>
      <c r="AO154" t="str">
        <f>IF('Dry_Litterbag Placem_Collection'!K153=0,"",'Dry_Litterbag Placem_Collection'!K153)</f>
        <v/>
      </c>
      <c r="AP154" t="b">
        <f t="shared" si="62"/>
        <v>1</v>
      </c>
      <c r="AQ154" t="b">
        <f t="shared" si="63"/>
        <v>1</v>
      </c>
      <c r="AT154" t="str">
        <f>'Ashed teabags dry'!A152</f>
        <v>G293</v>
      </c>
      <c r="AU154" t="str">
        <f>'Ashed teabags dry'!A489</f>
        <v>R621</v>
      </c>
      <c r="AV154" t="b">
        <f t="shared" si="64"/>
        <v>0</v>
      </c>
      <c r="AW154" t="b">
        <f t="shared" si="65"/>
        <v>0</v>
      </c>
      <c r="AZ154" s="401" t="b">
        <f t="shared" si="66"/>
        <v>0</v>
      </c>
      <c r="BA154" s="401" t="b">
        <f t="shared" si="67"/>
        <v>0</v>
      </c>
      <c r="BC154" t="str">
        <f>'Ashed teabags wet'!A152</f>
        <v>G556</v>
      </c>
      <c r="BD154" t="str">
        <f>'Ashed teabags wet'!A569</f>
        <v>R349</v>
      </c>
      <c r="BE154" t="b">
        <f t="shared" si="68"/>
        <v>0</v>
      </c>
      <c r="BF154" t="b">
        <f t="shared" si="69"/>
        <v>0</v>
      </c>
      <c r="BG154">
        <f>IFERROR('Ashed teabags wet'!C152,"")</f>
        <v>33</v>
      </c>
      <c r="BH154">
        <f>IFERROR('Ashed teabags wet'!C569,"")</f>
        <v>29</v>
      </c>
      <c r="BI154" t="str">
        <f>'Ashed teabags wet'!AB152</f>
        <v/>
      </c>
      <c r="BJ154">
        <f>'Ashed teabags wet'!AC152</f>
        <v>32</v>
      </c>
      <c r="BK154" t="str">
        <f>'Ashed teabags wet'!AD569</f>
        <v/>
      </c>
      <c r="BL154">
        <f>'Ashed teabags wet'!AE569</f>
        <v>28</v>
      </c>
      <c r="BN154" t="str">
        <f t="shared" si="70"/>
        <v>G554</v>
      </c>
      <c r="BO154" t="b">
        <f t="shared" si="71"/>
        <v>1</v>
      </c>
    </row>
    <row r="155" spans="2:67" ht="12" customHeight="1">
      <c r="B155" t="str">
        <f>TBIDry!H227</f>
        <v>G198</v>
      </c>
      <c r="C155" t="str">
        <f>TBIDry!I227</f>
        <v>R788</v>
      </c>
      <c r="D155" t="b">
        <f t="shared" si="48"/>
        <v>0</v>
      </c>
      <c r="E155" t="b">
        <f t="shared" si="49"/>
        <v>0</v>
      </c>
      <c r="G155" t="str">
        <f>TBIWet!H227</f>
        <v>G853</v>
      </c>
      <c r="H155" t="str">
        <f>TBIWet!I227</f>
        <v>R591</v>
      </c>
      <c r="I155" t="b">
        <f t="shared" si="50"/>
        <v>0</v>
      </c>
      <c r="J155" t="b">
        <f t="shared" si="51"/>
        <v>0</v>
      </c>
      <c r="L155" t="str">
        <f>'Both teabags AfterWet'!A154</f>
        <v>G552</v>
      </c>
      <c r="M155" t="str">
        <f>'Both teabags AfterWet'!A572</f>
        <v>R339</v>
      </c>
      <c r="N155" t="b">
        <f t="shared" si="52"/>
        <v>0</v>
      </c>
      <c r="O155" t="b">
        <f t="shared" si="53"/>
        <v>0</v>
      </c>
      <c r="P155" t="str">
        <f>IFERROR('Both teabags AfterWet'!B154,"")</f>
        <v>n.a</v>
      </c>
      <c r="Q155">
        <f>'Both teabags AfterWet'!B572</f>
        <v>109</v>
      </c>
      <c r="S155" s="401" t="b">
        <f t="shared" si="54"/>
        <v>0</v>
      </c>
      <c r="T155" s="401" t="b">
        <f t="shared" si="55"/>
        <v>0</v>
      </c>
      <c r="V155" t="str">
        <f>'Both teabags AfterDry'!A154</f>
        <v>G294</v>
      </c>
      <c r="W155" t="str">
        <f>'Both teabags AfterDry'!A491</f>
        <v>R622</v>
      </c>
      <c r="X155" t="b">
        <f t="shared" si="56"/>
        <v>0</v>
      </c>
      <c r="Y155" t="b">
        <f t="shared" si="57"/>
        <v>0</v>
      </c>
      <c r="AA155" t="str">
        <f>'Green_rooibos initial weight'!A156</f>
        <v>G152</v>
      </c>
      <c r="AB155" t="str">
        <f>'Green_rooibos initial weight'!A1060</f>
        <v>R152</v>
      </c>
      <c r="AC155" t="b">
        <f t="shared" si="58"/>
        <v>0</v>
      </c>
      <c r="AD155" t="b">
        <f t="shared" si="59"/>
        <v>0</v>
      </c>
      <c r="AG155" t="str">
        <f>'WetLitterbags placem_collection'!K154</f>
        <v>G853</v>
      </c>
      <c r="AH155" t="str">
        <f>'WetLitterbags placem_collection'!M154</f>
        <v>R591</v>
      </c>
      <c r="AI155" t="b">
        <f t="shared" si="60"/>
        <v>0</v>
      </c>
      <c r="AJ155" t="b">
        <f t="shared" si="61"/>
        <v>0</v>
      </c>
      <c r="AK155">
        <f>'WetLitterbags placem_collection'!A154</f>
        <v>152</v>
      </c>
      <c r="AL155">
        <f>'WetLitterbags placem_collection'!A154</f>
        <v>152</v>
      </c>
      <c r="AN155">
        <f>IF('Dry_Litterbag Placem_Collection'!J154=0,"",'Dry_Litterbag Placem_Collection'!J154)</f>
        <v>198</v>
      </c>
      <c r="AO155">
        <f>IF('Dry_Litterbag Placem_Collection'!K154=0,"",'Dry_Litterbag Placem_Collection'!K154)</f>
        <v>788</v>
      </c>
      <c r="AP155" t="b">
        <f t="shared" si="62"/>
        <v>0</v>
      </c>
      <c r="AQ155" t="b">
        <f t="shared" si="63"/>
        <v>0</v>
      </c>
      <c r="AT155" t="str">
        <f>'Ashed teabags dry'!A153</f>
        <v>G294</v>
      </c>
      <c r="AU155" t="str">
        <f>'Ashed teabags dry'!A490</f>
        <v>R622</v>
      </c>
      <c r="AV155" t="b">
        <f t="shared" si="64"/>
        <v>0</v>
      </c>
      <c r="AW155" t="b">
        <f t="shared" si="65"/>
        <v>0</v>
      </c>
      <c r="AZ155" s="401" t="b">
        <f t="shared" si="66"/>
        <v>0</v>
      </c>
      <c r="BA155" s="401" t="b">
        <f t="shared" si="67"/>
        <v>0</v>
      </c>
      <c r="BC155" t="str">
        <f>'Ashed teabags wet'!A153</f>
        <v>G557</v>
      </c>
      <c r="BD155" t="str">
        <f>'Ashed teabags wet'!A570</f>
        <v>R35</v>
      </c>
      <c r="BE155" t="b">
        <f t="shared" si="68"/>
        <v>0</v>
      </c>
      <c r="BF155" t="b">
        <f t="shared" si="69"/>
        <v>0</v>
      </c>
      <c r="BG155">
        <f>IFERROR('Ashed teabags wet'!C153,"")</f>
        <v>56</v>
      </c>
      <c r="BH155">
        <f>IFERROR('Ashed teabags wet'!C570,"")</f>
        <v>157</v>
      </c>
      <c r="BI155" t="str">
        <f>'Ashed teabags wet'!AB153</f>
        <v/>
      </c>
      <c r="BJ155">
        <f>'Ashed teabags wet'!AC153</f>
        <v>55</v>
      </c>
      <c r="BK155" t="str">
        <f>'Ashed teabags wet'!AD570</f>
        <v/>
      </c>
      <c r="BL155">
        <f>'Ashed teabags wet'!AE570</f>
        <v>156</v>
      </c>
      <c r="BN155" t="str">
        <f t="shared" si="70"/>
        <v>G556</v>
      </c>
      <c r="BO155" t="b">
        <f t="shared" si="71"/>
        <v>1</v>
      </c>
    </row>
    <row r="156" spans="2:67" ht="12" customHeight="1">
      <c r="B156" t="str">
        <f>TBIDry!H228</f>
        <v>G197</v>
      </c>
      <c r="C156" t="str">
        <f>TBIDry!I228</f>
        <v>R735</v>
      </c>
      <c r="D156" t="b">
        <f t="shared" si="48"/>
        <v>0</v>
      </c>
      <c r="E156" t="b">
        <f t="shared" si="49"/>
        <v>0</v>
      </c>
      <c r="G156" t="str">
        <f>TBIWet!H228</f>
        <v>G800</v>
      </c>
      <c r="H156" t="str">
        <f>TBIWet!I228</f>
        <v>R479</v>
      </c>
      <c r="I156" t="b">
        <f t="shared" si="50"/>
        <v>0</v>
      </c>
      <c r="J156" t="b">
        <f t="shared" si="51"/>
        <v>0</v>
      </c>
      <c r="L156" t="str">
        <f>'Both teabags AfterWet'!A155</f>
        <v>G554</v>
      </c>
      <c r="M156" t="str">
        <f>'Both teabags AfterWet'!A573</f>
        <v>R34</v>
      </c>
      <c r="N156" t="b">
        <f t="shared" si="52"/>
        <v>0</v>
      </c>
      <c r="O156" t="b">
        <f t="shared" si="53"/>
        <v>0</v>
      </c>
      <c r="P156">
        <f>IFERROR('Both teabags AfterWet'!B155,"")</f>
        <v>64</v>
      </c>
      <c r="Q156">
        <f>'Both teabags AfterWet'!B573</f>
        <v>137</v>
      </c>
      <c r="S156" s="401" t="b">
        <f t="shared" si="54"/>
        <v>0</v>
      </c>
      <c r="T156" s="401" t="b">
        <f t="shared" si="55"/>
        <v>0</v>
      </c>
      <c r="V156" t="str">
        <f>'Both teabags AfterDry'!A155</f>
        <v>G295</v>
      </c>
      <c r="W156" t="str">
        <f>'Both teabags AfterDry'!A492</f>
        <v>R623</v>
      </c>
      <c r="X156" t="b">
        <f t="shared" si="56"/>
        <v>0</v>
      </c>
      <c r="Y156" t="b">
        <f t="shared" si="57"/>
        <v>0</v>
      </c>
      <c r="AA156" t="str">
        <f>'Green_rooibos initial weight'!A157</f>
        <v>G153</v>
      </c>
      <c r="AB156" t="str">
        <f>'Green_rooibos initial weight'!A1061</f>
        <v>R153</v>
      </c>
      <c r="AC156" t="b">
        <f t="shared" si="58"/>
        <v>0</v>
      </c>
      <c r="AD156" t="b">
        <f t="shared" si="59"/>
        <v>0</v>
      </c>
      <c r="AG156" t="str">
        <f>'WetLitterbags placem_collection'!K155</f>
        <v>G800</v>
      </c>
      <c r="AH156" t="str">
        <f>'WetLitterbags placem_collection'!M155</f>
        <v>R479</v>
      </c>
      <c r="AI156" t="b">
        <f t="shared" si="60"/>
        <v>0</v>
      </c>
      <c r="AJ156" t="b">
        <f t="shared" si="61"/>
        <v>0</v>
      </c>
      <c r="AK156">
        <f>'WetLitterbags placem_collection'!A155</f>
        <v>153</v>
      </c>
      <c r="AL156">
        <f>'WetLitterbags placem_collection'!A155</f>
        <v>153</v>
      </c>
      <c r="AN156">
        <f>IF('Dry_Litterbag Placem_Collection'!J155=0,"",'Dry_Litterbag Placem_Collection'!J155)</f>
        <v>197</v>
      </c>
      <c r="AO156">
        <f>IF('Dry_Litterbag Placem_Collection'!K155=0,"",'Dry_Litterbag Placem_Collection'!K155)</f>
        <v>735</v>
      </c>
      <c r="AP156" t="b">
        <f t="shared" si="62"/>
        <v>0</v>
      </c>
      <c r="AQ156" t="b">
        <f t="shared" si="63"/>
        <v>0</v>
      </c>
      <c r="AT156" t="str">
        <f>'Ashed teabags dry'!A154</f>
        <v>G295</v>
      </c>
      <c r="AU156" t="str">
        <f>'Ashed teabags dry'!A491</f>
        <v>R623</v>
      </c>
      <c r="AV156" t="b">
        <f t="shared" si="64"/>
        <v>0</v>
      </c>
      <c r="AW156" t="b">
        <f t="shared" si="65"/>
        <v>0</v>
      </c>
      <c r="AZ156" s="401" t="b">
        <f t="shared" si="66"/>
        <v>0</v>
      </c>
      <c r="BA156" s="401" t="b">
        <f t="shared" si="67"/>
        <v>0</v>
      </c>
      <c r="BC156" t="str">
        <f>'Ashed teabags wet'!A154</f>
        <v>G560</v>
      </c>
      <c r="BD156" t="str">
        <f>'Ashed teabags wet'!A571</f>
        <v>R354</v>
      </c>
      <c r="BE156" t="b">
        <f t="shared" si="68"/>
        <v>0</v>
      </c>
      <c r="BF156" t="b">
        <f t="shared" si="69"/>
        <v>0</v>
      </c>
      <c r="BG156">
        <f>IFERROR('Ashed teabags wet'!C154,"")</f>
        <v>212</v>
      </c>
      <c r="BH156">
        <f>IFERROR('Ashed teabags wet'!C571,"")</f>
        <v>189</v>
      </c>
      <c r="BI156" t="str">
        <f>'Ashed teabags wet'!AB154</f>
        <v/>
      </c>
      <c r="BJ156">
        <f>'Ashed teabags wet'!AC154</f>
        <v>211</v>
      </c>
      <c r="BK156">
        <f>'Ashed teabags wet'!AD571</f>
        <v>188</v>
      </c>
      <c r="BL156" t="str">
        <f>'Ashed teabags wet'!AE571</f>
        <v/>
      </c>
      <c r="BN156" t="str">
        <f t="shared" si="70"/>
        <v>G557</v>
      </c>
      <c r="BO156" t="b">
        <f t="shared" si="71"/>
        <v>1</v>
      </c>
    </row>
    <row r="157" spans="2:67" ht="12" customHeight="1">
      <c r="B157" t="str">
        <f>TBIDry!H229</f>
        <v>G127</v>
      </c>
      <c r="C157" t="str">
        <f>TBIDry!I229</f>
        <v>R836</v>
      </c>
      <c r="D157" t="b">
        <f t="shared" si="48"/>
        <v>0</v>
      </c>
      <c r="E157" t="b">
        <f t="shared" si="49"/>
        <v>0</v>
      </c>
      <c r="G157" t="str">
        <f>TBIWet!H229</f>
        <v>G675</v>
      </c>
      <c r="H157" t="str">
        <f>TBIWet!I229</f>
        <v>R493</v>
      </c>
      <c r="I157" t="b">
        <f t="shared" si="50"/>
        <v>0</v>
      </c>
      <c r="J157" t="b">
        <f t="shared" si="51"/>
        <v>0</v>
      </c>
      <c r="L157" t="str">
        <f>'Both teabags AfterWet'!A156</f>
        <v>G557</v>
      </c>
      <c r="M157" t="str">
        <f>'Both teabags AfterWet'!A574</f>
        <v>R340</v>
      </c>
      <c r="N157" t="b">
        <f t="shared" si="52"/>
        <v>0</v>
      </c>
      <c r="O157" t="b">
        <f t="shared" si="53"/>
        <v>0</v>
      </c>
      <c r="P157">
        <f>IFERROR('Both teabags AfterWet'!B156,"")</f>
        <v>56</v>
      </c>
      <c r="Q157" t="str">
        <f>'Both teabags AfterWet'!B574</f>
        <v>n.a</v>
      </c>
      <c r="S157" s="401" t="b">
        <f t="shared" si="54"/>
        <v>0</v>
      </c>
      <c r="T157" s="401" t="b">
        <f t="shared" si="55"/>
        <v>0</v>
      </c>
      <c r="V157" t="str">
        <f>'Both teabags AfterDry'!A156</f>
        <v>G30</v>
      </c>
      <c r="W157" t="str">
        <f>'Both teabags AfterDry'!A493</f>
        <v>R624</v>
      </c>
      <c r="X157" t="b">
        <f t="shared" si="56"/>
        <v>0</v>
      </c>
      <c r="Y157" t="b">
        <f t="shared" si="57"/>
        <v>0</v>
      </c>
      <c r="AA157" t="str">
        <f>'Green_rooibos initial weight'!A158</f>
        <v>G154</v>
      </c>
      <c r="AB157" t="str">
        <f>'Green_rooibos initial weight'!A1062</f>
        <v>R154</v>
      </c>
      <c r="AC157" t="b">
        <f t="shared" si="58"/>
        <v>0</v>
      </c>
      <c r="AD157" t="b">
        <f t="shared" si="59"/>
        <v>0</v>
      </c>
      <c r="AG157" t="str">
        <f>'WetLitterbags placem_collection'!K156</f>
        <v>G675</v>
      </c>
      <c r="AH157" t="str">
        <f>'WetLitterbags placem_collection'!M156</f>
        <v>R493</v>
      </c>
      <c r="AI157" t="b">
        <f t="shared" si="60"/>
        <v>0</v>
      </c>
      <c r="AJ157" t="b">
        <f t="shared" si="61"/>
        <v>0</v>
      </c>
      <c r="AK157">
        <f>'WetLitterbags placem_collection'!A156</f>
        <v>154</v>
      </c>
      <c r="AL157">
        <f>'WetLitterbags placem_collection'!A156</f>
        <v>154</v>
      </c>
      <c r="AN157">
        <f>IF('Dry_Litterbag Placem_Collection'!J156=0,"",'Dry_Litterbag Placem_Collection'!J156)</f>
        <v>127</v>
      </c>
      <c r="AO157">
        <f>IF('Dry_Litterbag Placem_Collection'!K156=0,"",'Dry_Litterbag Placem_Collection'!K156)</f>
        <v>836</v>
      </c>
      <c r="AP157" t="b">
        <f t="shared" si="62"/>
        <v>0</v>
      </c>
      <c r="AQ157" t="b">
        <f t="shared" si="63"/>
        <v>0</v>
      </c>
      <c r="AT157" t="str">
        <f>'Ashed teabags dry'!A155</f>
        <v>G30</v>
      </c>
      <c r="AU157" t="str">
        <f>'Ashed teabags dry'!A492</f>
        <v>R624</v>
      </c>
      <c r="AV157" t="b">
        <f t="shared" si="64"/>
        <v>0</v>
      </c>
      <c r="AW157" t="b">
        <f t="shared" si="65"/>
        <v>0</v>
      </c>
      <c r="AZ157" s="401" t="b">
        <f t="shared" si="66"/>
        <v>0</v>
      </c>
      <c r="BA157" s="401" t="b">
        <f t="shared" si="67"/>
        <v>0</v>
      </c>
      <c r="BC157" t="str">
        <f>'Ashed teabags wet'!A155</f>
        <v>G561</v>
      </c>
      <c r="BD157" t="str">
        <f>'Ashed teabags wet'!A572</f>
        <v>R356</v>
      </c>
      <c r="BE157" t="b">
        <f t="shared" si="68"/>
        <v>0</v>
      </c>
      <c r="BF157" t="b">
        <f t="shared" si="69"/>
        <v>0</v>
      </c>
      <c r="BG157">
        <f>IFERROR('Ashed teabags wet'!C155,"")</f>
        <v>86</v>
      </c>
      <c r="BH157">
        <f>IFERROR('Ashed teabags wet'!C572,"")</f>
        <v>219</v>
      </c>
      <c r="BI157" t="str">
        <f>'Ashed teabags wet'!AB155</f>
        <v/>
      </c>
      <c r="BJ157">
        <f>'Ashed teabags wet'!AC155</f>
        <v>85</v>
      </c>
      <c r="BK157" t="str">
        <f>'Ashed teabags wet'!AD572</f>
        <v/>
      </c>
      <c r="BL157">
        <f>'Ashed teabags wet'!AE572</f>
        <v>218</v>
      </c>
      <c r="BN157" t="str">
        <f t="shared" si="70"/>
        <v>G560</v>
      </c>
      <c r="BO157" t="b">
        <f t="shared" si="71"/>
        <v>1</v>
      </c>
    </row>
    <row r="158" spans="2:67" ht="12" customHeight="1">
      <c r="B158" t="str">
        <f>TBIDry!H230</f>
        <v>G253</v>
      </c>
      <c r="C158" t="str">
        <f>TBIDry!I230</f>
        <v>R337</v>
      </c>
      <c r="D158" t="b">
        <f t="shared" si="48"/>
        <v>0</v>
      </c>
      <c r="E158" t="b">
        <f t="shared" si="49"/>
        <v>0</v>
      </c>
      <c r="G158" t="str">
        <f>TBIWet!H230</f>
        <v>G859</v>
      </c>
      <c r="H158" t="str">
        <f>TBIWet!I230</f>
        <v>R484</v>
      </c>
      <c r="I158" t="b">
        <f t="shared" si="50"/>
        <v>0</v>
      </c>
      <c r="J158" t="b">
        <f t="shared" si="51"/>
        <v>0</v>
      </c>
      <c r="L158" t="str">
        <f>'Both teabags AfterWet'!A157</f>
        <v>G560</v>
      </c>
      <c r="M158" t="str">
        <f>'Both teabags AfterWet'!A575</f>
        <v>R341</v>
      </c>
      <c r="N158" t="b">
        <f t="shared" si="52"/>
        <v>0</v>
      </c>
      <c r="O158" t="b">
        <f t="shared" si="53"/>
        <v>0</v>
      </c>
      <c r="P158">
        <f>IFERROR('Both teabags AfterWet'!B157,"")</f>
        <v>212</v>
      </c>
      <c r="Q158">
        <f>'Both teabags AfterWet'!B575</f>
        <v>163</v>
      </c>
      <c r="S158" s="401" t="b">
        <f t="shared" si="54"/>
        <v>0</v>
      </c>
      <c r="T158" s="401" t="b">
        <f t="shared" si="55"/>
        <v>0</v>
      </c>
      <c r="V158" t="str">
        <f>'Both teabags AfterDry'!A157</f>
        <v>G300</v>
      </c>
      <c r="W158" t="str">
        <f>'Both teabags AfterDry'!A494</f>
        <v>R625</v>
      </c>
      <c r="X158" t="b">
        <f t="shared" si="56"/>
        <v>0</v>
      </c>
      <c r="Y158" t="b">
        <f t="shared" si="57"/>
        <v>0</v>
      </c>
      <c r="AA158" t="str">
        <f>'Green_rooibos initial weight'!A159</f>
        <v>G155</v>
      </c>
      <c r="AB158" t="str">
        <f>'Green_rooibos initial weight'!A1063</f>
        <v>R155</v>
      </c>
      <c r="AC158" t="b">
        <f t="shared" si="58"/>
        <v>0</v>
      </c>
      <c r="AD158" t="b">
        <f t="shared" si="59"/>
        <v>0</v>
      </c>
      <c r="AG158" t="str">
        <f>'WetLitterbags placem_collection'!K157</f>
        <v>G859</v>
      </c>
      <c r="AH158" t="str">
        <f>'WetLitterbags placem_collection'!M157</f>
        <v>R484</v>
      </c>
      <c r="AI158" t="b">
        <f t="shared" si="60"/>
        <v>0</v>
      </c>
      <c r="AJ158" t="b">
        <f t="shared" si="61"/>
        <v>0</v>
      </c>
      <c r="AK158">
        <f>'WetLitterbags placem_collection'!A157</f>
        <v>155</v>
      </c>
      <c r="AL158">
        <f>'WetLitterbags placem_collection'!A157</f>
        <v>155</v>
      </c>
      <c r="AN158">
        <f>IF('Dry_Litterbag Placem_Collection'!J157=0,"",'Dry_Litterbag Placem_Collection'!J157)</f>
        <v>253</v>
      </c>
      <c r="AO158">
        <f>IF('Dry_Litterbag Placem_Collection'!K157=0,"",'Dry_Litterbag Placem_Collection'!K157)</f>
        <v>337</v>
      </c>
      <c r="AP158" t="b">
        <f t="shared" si="62"/>
        <v>0</v>
      </c>
      <c r="AQ158" t="b">
        <f t="shared" si="63"/>
        <v>0</v>
      </c>
      <c r="AT158" t="str">
        <f>'Ashed teabags dry'!A156</f>
        <v>G300</v>
      </c>
      <c r="AU158" t="str">
        <f>'Ashed teabags dry'!A493</f>
        <v>R625</v>
      </c>
      <c r="AV158" t="b">
        <f t="shared" si="64"/>
        <v>0</v>
      </c>
      <c r="AW158" t="b">
        <f t="shared" si="65"/>
        <v>0</v>
      </c>
      <c r="AZ158" s="401" t="b">
        <f t="shared" si="66"/>
        <v>0</v>
      </c>
      <c r="BA158" s="401" t="b">
        <f t="shared" si="67"/>
        <v>0</v>
      </c>
      <c r="BC158" t="str">
        <f>'Ashed teabags wet'!A156</f>
        <v>G563</v>
      </c>
      <c r="BD158" t="str">
        <f>'Ashed teabags wet'!A573</f>
        <v>R359</v>
      </c>
      <c r="BE158" t="b">
        <f t="shared" si="68"/>
        <v>0</v>
      </c>
      <c r="BF158" t="b">
        <f t="shared" si="69"/>
        <v>0</v>
      </c>
      <c r="BG158">
        <f>IFERROR('Ashed teabags wet'!C156,"")</f>
        <v>116</v>
      </c>
      <c r="BH158">
        <f>IFERROR('Ashed teabags wet'!C573,"")</f>
        <v>200</v>
      </c>
      <c r="BI158" t="str">
        <f>'Ashed teabags wet'!AB156</f>
        <v/>
      </c>
      <c r="BJ158">
        <f>'Ashed teabags wet'!AC156</f>
        <v>115</v>
      </c>
      <c r="BK158" t="str">
        <f>'Ashed teabags wet'!AD573</f>
        <v/>
      </c>
      <c r="BL158">
        <f>'Ashed teabags wet'!AE573</f>
        <v>199</v>
      </c>
      <c r="BN158" t="str">
        <f t="shared" si="70"/>
        <v>G561</v>
      </c>
      <c r="BO158" t="b">
        <f t="shared" si="71"/>
        <v>1</v>
      </c>
    </row>
    <row r="159" spans="2:67" ht="12" customHeight="1">
      <c r="B159" t="str">
        <f>TBIDry!H231</f>
        <v>G47</v>
      </c>
      <c r="C159" t="str">
        <f>TBIDry!I231</f>
        <v>R118</v>
      </c>
      <c r="D159" t="b">
        <f t="shared" si="48"/>
        <v>0</v>
      </c>
      <c r="E159" t="b">
        <f t="shared" si="49"/>
        <v>0</v>
      </c>
      <c r="G159" t="str">
        <f>TBIWet!H231</f>
        <v>G654</v>
      </c>
      <c r="H159" t="str">
        <f>TBIWet!I231</f>
        <v>R598</v>
      </c>
      <c r="I159" t="b">
        <f t="shared" si="50"/>
        <v>0</v>
      </c>
      <c r="J159" t="b">
        <f t="shared" si="51"/>
        <v>0</v>
      </c>
      <c r="L159" t="str">
        <f>'Both teabags AfterWet'!A158</f>
        <v>G561</v>
      </c>
      <c r="M159" t="str">
        <f>'Both teabags AfterWet'!A576</f>
        <v>R342</v>
      </c>
      <c r="N159" t="b">
        <f t="shared" si="52"/>
        <v>0</v>
      </c>
      <c r="O159" t="b">
        <f t="shared" si="53"/>
        <v>0</v>
      </c>
      <c r="P159">
        <f>IFERROR('Both teabags AfterWet'!B158,"")</f>
        <v>86</v>
      </c>
      <c r="Q159" t="str">
        <f>'Both teabags AfterWet'!B576</f>
        <v>n.a</v>
      </c>
      <c r="S159" s="401" t="b">
        <f t="shared" si="54"/>
        <v>0</v>
      </c>
      <c r="T159" s="401" t="b">
        <f t="shared" si="55"/>
        <v>0</v>
      </c>
      <c r="V159" t="str">
        <f>'Both teabags AfterDry'!A158</f>
        <v>G301</v>
      </c>
      <c r="W159" t="str">
        <f>'Both teabags AfterDry'!A495</f>
        <v>R627</v>
      </c>
      <c r="X159" t="b">
        <f t="shared" si="56"/>
        <v>0</v>
      </c>
      <c r="Y159" t="b">
        <f t="shared" si="57"/>
        <v>0</v>
      </c>
      <c r="AA159" t="str">
        <f>'Green_rooibos initial weight'!A160</f>
        <v>G156</v>
      </c>
      <c r="AB159" t="str">
        <f>'Green_rooibos initial weight'!A1064</f>
        <v>R156</v>
      </c>
      <c r="AC159" t="b">
        <f t="shared" si="58"/>
        <v>0</v>
      </c>
      <c r="AD159" t="b">
        <f t="shared" si="59"/>
        <v>0</v>
      </c>
      <c r="AG159" t="str">
        <f>'WetLitterbags placem_collection'!K158</f>
        <v>G654</v>
      </c>
      <c r="AH159" t="str">
        <f>'WetLitterbags placem_collection'!M158</f>
        <v>R598</v>
      </c>
      <c r="AI159" t="b">
        <f t="shared" si="60"/>
        <v>0</v>
      </c>
      <c r="AJ159" t="b">
        <f t="shared" si="61"/>
        <v>0</v>
      </c>
      <c r="AK159">
        <f>'WetLitterbags placem_collection'!A158</f>
        <v>156</v>
      </c>
      <c r="AL159">
        <f>'WetLitterbags placem_collection'!A158</f>
        <v>156</v>
      </c>
      <c r="AN159">
        <f>IF('Dry_Litterbag Placem_Collection'!J158=0,"",'Dry_Litterbag Placem_Collection'!J158)</f>
        <v>47</v>
      </c>
      <c r="AO159">
        <f>IF('Dry_Litterbag Placem_Collection'!K158=0,"",'Dry_Litterbag Placem_Collection'!K158)</f>
        <v>118</v>
      </c>
      <c r="AP159" t="b">
        <f t="shared" si="62"/>
        <v>0</v>
      </c>
      <c r="AQ159" t="b">
        <f t="shared" si="63"/>
        <v>0</v>
      </c>
      <c r="AT159" t="str">
        <f>'Ashed teabags dry'!A157</f>
        <v>G301</v>
      </c>
      <c r="AU159" t="str">
        <f>'Ashed teabags dry'!A494</f>
        <v>R627</v>
      </c>
      <c r="AV159" t="b">
        <f t="shared" si="64"/>
        <v>0</v>
      </c>
      <c r="AW159" t="b">
        <f t="shared" si="65"/>
        <v>0</v>
      </c>
      <c r="AZ159" s="401" t="b">
        <f t="shared" si="66"/>
        <v>0</v>
      </c>
      <c r="BA159" s="401" t="b">
        <f t="shared" si="67"/>
        <v>0</v>
      </c>
      <c r="BC159" t="str">
        <f>'Ashed teabags wet'!A157</f>
        <v>G564</v>
      </c>
      <c r="BD159" t="str">
        <f>'Ashed teabags wet'!A574</f>
        <v>R360</v>
      </c>
      <c r="BE159" t="b">
        <f t="shared" si="68"/>
        <v>0</v>
      </c>
      <c r="BF159" t="b">
        <f t="shared" si="69"/>
        <v>0</v>
      </c>
      <c r="BG159">
        <f>IFERROR('Ashed teabags wet'!C157,"")</f>
        <v>185</v>
      </c>
      <c r="BH159">
        <f>IFERROR('Ashed teabags wet'!C574,"")</f>
        <v>95</v>
      </c>
      <c r="BI159" t="str">
        <f>'Ashed teabags wet'!AB157</f>
        <v/>
      </c>
      <c r="BJ159">
        <f>'Ashed teabags wet'!AC157</f>
        <v>184</v>
      </c>
      <c r="BK159">
        <f>'Ashed teabags wet'!AD574</f>
        <v>94</v>
      </c>
      <c r="BL159" t="str">
        <f>'Ashed teabags wet'!AE574</f>
        <v/>
      </c>
      <c r="BN159" t="str">
        <f t="shared" si="70"/>
        <v>G563</v>
      </c>
      <c r="BO159" t="b">
        <f t="shared" si="71"/>
        <v>1</v>
      </c>
    </row>
    <row r="160" spans="2:67" ht="12" customHeight="1">
      <c r="B160" t="str">
        <f>TBIDry!H232</f>
        <v>G328</v>
      </c>
      <c r="C160" t="str">
        <f>TBIDry!I232</f>
        <v>R478</v>
      </c>
      <c r="D160" t="b">
        <f t="shared" si="48"/>
        <v>0</v>
      </c>
      <c r="E160" t="b">
        <f t="shared" si="49"/>
        <v>0</v>
      </c>
      <c r="G160" t="str">
        <f>TBIWet!H232</f>
        <v>G890</v>
      </c>
      <c r="H160" t="str">
        <f>TBIWet!I232</f>
        <v>R30</v>
      </c>
      <c r="I160" t="b">
        <f t="shared" si="50"/>
        <v>0</v>
      </c>
      <c r="J160" t="b">
        <f t="shared" si="51"/>
        <v>0</v>
      </c>
      <c r="L160" t="str">
        <f>'Both teabags AfterWet'!A159</f>
        <v>G362</v>
      </c>
      <c r="M160" t="str">
        <f>'Both teabags AfterWet'!A577</f>
        <v>R343</v>
      </c>
      <c r="N160" t="b">
        <f t="shared" si="52"/>
        <v>0</v>
      </c>
      <c r="O160" t="b">
        <f t="shared" si="53"/>
        <v>0</v>
      </c>
      <c r="P160">
        <f>IFERROR('Both teabags AfterWet'!B159,"")</f>
        <v>177</v>
      </c>
      <c r="Q160">
        <f>'Both teabags AfterWet'!B577</f>
        <v>91</v>
      </c>
      <c r="S160" s="401" t="b">
        <f t="shared" si="54"/>
        <v>0</v>
      </c>
      <c r="T160" s="401" t="b">
        <f t="shared" si="55"/>
        <v>0</v>
      </c>
      <c r="V160" t="str">
        <f>'Both teabags AfterDry'!A159</f>
        <v>G303</v>
      </c>
      <c r="W160" t="str">
        <f>'Both teabags AfterDry'!A496</f>
        <v>R628</v>
      </c>
      <c r="X160" t="b">
        <f t="shared" si="56"/>
        <v>0</v>
      </c>
      <c r="Y160" t="b">
        <f t="shared" si="57"/>
        <v>0</v>
      </c>
      <c r="AA160" t="str">
        <f>'Green_rooibos initial weight'!A161</f>
        <v>G157</v>
      </c>
      <c r="AB160" t="str">
        <f>'Green_rooibos initial weight'!A1065</f>
        <v>R157</v>
      </c>
      <c r="AC160" t="b">
        <f t="shared" si="58"/>
        <v>0</v>
      </c>
      <c r="AD160" t="b">
        <f t="shared" si="59"/>
        <v>0</v>
      </c>
      <c r="AG160" t="str">
        <f>'WetLitterbags placem_collection'!K159</f>
        <v>G890</v>
      </c>
      <c r="AH160" t="str">
        <f>'WetLitterbags placem_collection'!M159</f>
        <v>R30</v>
      </c>
      <c r="AI160" t="b">
        <f t="shared" si="60"/>
        <v>0</v>
      </c>
      <c r="AJ160" t="b">
        <f t="shared" si="61"/>
        <v>0</v>
      </c>
      <c r="AK160">
        <f>'WetLitterbags placem_collection'!A159</f>
        <v>157</v>
      </c>
      <c r="AL160">
        <f>'WetLitterbags placem_collection'!A159</f>
        <v>157</v>
      </c>
      <c r="AN160">
        <f>IF('Dry_Litterbag Placem_Collection'!J159=0,"",'Dry_Litterbag Placem_Collection'!J159)</f>
        <v>328</v>
      </c>
      <c r="AO160">
        <f>IF('Dry_Litterbag Placem_Collection'!K159=0,"",'Dry_Litterbag Placem_Collection'!K159)</f>
        <v>478</v>
      </c>
      <c r="AP160" t="b">
        <f t="shared" si="62"/>
        <v>0</v>
      </c>
      <c r="AQ160" t="b">
        <f t="shared" si="63"/>
        <v>0</v>
      </c>
      <c r="AT160" t="str">
        <f>'Ashed teabags dry'!A158</f>
        <v>G303</v>
      </c>
      <c r="AU160" t="str">
        <f>'Ashed teabags dry'!A495</f>
        <v>R628</v>
      </c>
      <c r="AV160" t="b">
        <f t="shared" si="64"/>
        <v>0</v>
      </c>
      <c r="AW160" t="b">
        <f t="shared" si="65"/>
        <v>0</v>
      </c>
      <c r="AZ160" s="401" t="b">
        <f t="shared" si="66"/>
        <v>0</v>
      </c>
      <c r="BA160" s="401" t="b">
        <f t="shared" si="67"/>
        <v>0</v>
      </c>
      <c r="BC160" t="str">
        <f>'Ashed teabags wet'!A158</f>
        <v>G565</v>
      </c>
      <c r="BD160" t="str">
        <f>'Ashed teabags wet'!A575</f>
        <v>R362</v>
      </c>
      <c r="BE160" s="113" t="b">
        <f t="shared" si="68"/>
        <v>1</v>
      </c>
      <c r="BF160" t="b">
        <f t="shared" si="69"/>
        <v>0</v>
      </c>
      <c r="BG160">
        <f>IFERROR('Ashed teabags wet'!C158,"")</f>
        <v>62</v>
      </c>
      <c r="BH160">
        <f>IFERROR('Ashed teabags wet'!C575,"")</f>
        <v>196</v>
      </c>
      <c r="BI160">
        <f>'Ashed teabags wet'!AB158</f>
        <v>61</v>
      </c>
      <c r="BJ160" t="str">
        <f>'Ashed teabags wet'!AC158</f>
        <v/>
      </c>
      <c r="BK160" t="str">
        <f>'Ashed teabags wet'!AD575</f>
        <v/>
      </c>
      <c r="BL160">
        <f>'Ashed teabags wet'!AE575</f>
        <v>195</v>
      </c>
      <c r="BN160" t="str">
        <f t="shared" si="70"/>
        <v>G564</v>
      </c>
      <c r="BO160" t="b">
        <f t="shared" si="71"/>
        <v>1</v>
      </c>
    </row>
    <row r="161" spans="2:68" ht="12" customHeight="1">
      <c r="B161" t="str">
        <f>TBIDry!H233</f>
        <v>G21</v>
      </c>
      <c r="C161" t="str">
        <f>TBIDry!I233</f>
        <v>R773</v>
      </c>
      <c r="D161" t="b">
        <f t="shared" si="48"/>
        <v>0</v>
      </c>
      <c r="E161" t="b">
        <f t="shared" si="49"/>
        <v>0</v>
      </c>
      <c r="G161" t="str">
        <f>TBIWet!H233</f>
        <v>G576</v>
      </c>
      <c r="H161" t="str">
        <f>TBIWet!I233</f>
        <v>R16</v>
      </c>
      <c r="I161" t="b">
        <f t="shared" si="50"/>
        <v>0</v>
      </c>
      <c r="J161" t="b">
        <f t="shared" si="51"/>
        <v>0</v>
      </c>
      <c r="L161" t="str">
        <f>'Both teabags AfterWet'!A160</f>
        <v>G563</v>
      </c>
      <c r="M161" t="str">
        <f>'Both teabags AfterWet'!A578</f>
        <v>R344</v>
      </c>
      <c r="N161" t="b">
        <f t="shared" si="52"/>
        <v>0</v>
      </c>
      <c r="O161" t="b">
        <f t="shared" si="53"/>
        <v>0</v>
      </c>
      <c r="P161">
        <f>IFERROR('Both teabags AfterWet'!B160,"")</f>
        <v>116</v>
      </c>
      <c r="Q161">
        <f>'Both teabags AfterWet'!B578</f>
        <v>208</v>
      </c>
      <c r="S161" s="401" t="b">
        <f t="shared" si="54"/>
        <v>0</v>
      </c>
      <c r="T161" s="401" t="b">
        <f t="shared" si="55"/>
        <v>0</v>
      </c>
      <c r="V161" t="str">
        <f>'Both teabags AfterDry'!A160</f>
        <v>G309</v>
      </c>
      <c r="W161" t="str">
        <f>'Both teabags AfterDry'!A497</f>
        <v>R629</v>
      </c>
      <c r="X161" t="b">
        <f t="shared" si="56"/>
        <v>0</v>
      </c>
      <c r="Y161" t="b">
        <f t="shared" si="57"/>
        <v>0</v>
      </c>
      <c r="AA161" t="str">
        <f>'Green_rooibos initial weight'!A162</f>
        <v>G158</v>
      </c>
      <c r="AB161" t="str">
        <f>'Green_rooibos initial weight'!A1066</f>
        <v>R158</v>
      </c>
      <c r="AC161" t="b">
        <f t="shared" si="58"/>
        <v>0</v>
      </c>
      <c r="AD161" t="b">
        <f t="shared" si="59"/>
        <v>0</v>
      </c>
      <c r="AG161" t="str">
        <f>'WetLitterbags placem_collection'!K160</f>
        <v>G576</v>
      </c>
      <c r="AH161" t="str">
        <f>'WetLitterbags placem_collection'!M160</f>
        <v>R16</v>
      </c>
      <c r="AI161" t="b">
        <f t="shared" si="60"/>
        <v>0</v>
      </c>
      <c r="AJ161" t="b">
        <f t="shared" si="61"/>
        <v>0</v>
      </c>
      <c r="AK161">
        <f>'WetLitterbags placem_collection'!A160</f>
        <v>158</v>
      </c>
      <c r="AL161">
        <f>'WetLitterbags placem_collection'!A160</f>
        <v>158</v>
      </c>
      <c r="AN161">
        <f>IF('Dry_Litterbag Placem_Collection'!J160=0,"",'Dry_Litterbag Placem_Collection'!J160)</f>
        <v>21</v>
      </c>
      <c r="AO161">
        <f>IF('Dry_Litterbag Placem_Collection'!K160=0,"",'Dry_Litterbag Placem_Collection'!K160)</f>
        <v>773</v>
      </c>
      <c r="AP161" t="b">
        <f t="shared" si="62"/>
        <v>0</v>
      </c>
      <c r="AQ161" t="b">
        <f t="shared" si="63"/>
        <v>0</v>
      </c>
      <c r="AT161" t="str">
        <f>'Ashed teabags dry'!A159</f>
        <v>G309</v>
      </c>
      <c r="AU161" t="str">
        <f>'Ashed teabags dry'!A496</f>
        <v>R629</v>
      </c>
      <c r="AV161" t="b">
        <f t="shared" si="64"/>
        <v>0</v>
      </c>
      <c r="AW161" t="b">
        <f t="shared" si="65"/>
        <v>0</v>
      </c>
      <c r="AZ161" s="401" t="b">
        <f t="shared" si="66"/>
        <v>0</v>
      </c>
      <c r="BA161" s="401" t="b">
        <f t="shared" si="67"/>
        <v>0</v>
      </c>
      <c r="BC161" t="str">
        <f>'Ashed teabags wet'!A159</f>
        <v>G565</v>
      </c>
      <c r="BD161" t="str">
        <f>'Ashed teabags wet'!A576</f>
        <v>R363</v>
      </c>
      <c r="BE161" s="113" t="b">
        <f t="shared" si="68"/>
        <v>1</v>
      </c>
      <c r="BF161" t="b">
        <f t="shared" si="69"/>
        <v>0</v>
      </c>
      <c r="BG161">
        <f>IFERROR('Ashed teabags wet'!C159,"")</f>
        <v>117</v>
      </c>
      <c r="BH161">
        <f>IFERROR('Ashed teabags wet'!C576,"")</f>
        <v>22</v>
      </c>
      <c r="BI161">
        <f>'Ashed teabags wet'!AB159</f>
        <v>61</v>
      </c>
      <c r="BJ161" t="str">
        <f>'Ashed teabags wet'!AC159</f>
        <v/>
      </c>
      <c r="BK161">
        <f>'Ashed teabags wet'!AD576</f>
        <v>21</v>
      </c>
      <c r="BL161" t="str">
        <f>'Ashed teabags wet'!AE576</f>
        <v/>
      </c>
      <c r="BN161" t="str">
        <f t="shared" si="70"/>
        <v>G565</v>
      </c>
      <c r="BO161" t="b">
        <f t="shared" si="71"/>
        <v>1</v>
      </c>
      <c r="BP161" s="402"/>
    </row>
    <row r="162" spans="2:68" ht="12" customHeight="1">
      <c r="B162" t="str">
        <f>TBIDry!H234</f>
        <v/>
      </c>
      <c r="C162" t="str">
        <f>TBIDry!I234</f>
        <v/>
      </c>
      <c r="D162" t="b">
        <f t="shared" si="48"/>
        <v>1</v>
      </c>
      <c r="E162" t="b">
        <f t="shared" si="49"/>
        <v>1</v>
      </c>
      <c r="G162" t="str">
        <f>TBIWet!H234</f>
        <v>G829</v>
      </c>
      <c r="H162" t="str">
        <f>TBIWet!I234</f>
        <v>R499</v>
      </c>
      <c r="I162" t="b">
        <f t="shared" si="50"/>
        <v>0</v>
      </c>
      <c r="J162" t="b">
        <f t="shared" si="51"/>
        <v>0</v>
      </c>
      <c r="L162" t="str">
        <f>'Both teabags AfterWet'!A161</f>
        <v>G564</v>
      </c>
      <c r="M162" t="str">
        <f>'Both teabags AfterWet'!A579</f>
        <v>R346</v>
      </c>
      <c r="N162" t="b">
        <f t="shared" si="52"/>
        <v>0</v>
      </c>
      <c r="O162" t="b">
        <f t="shared" si="53"/>
        <v>0</v>
      </c>
      <c r="P162" t="str">
        <f>IFERROR('Both teabags AfterWet'!B161,"")</f>
        <v>n.a</v>
      </c>
      <c r="Q162">
        <f>'Both teabags AfterWet'!B579</f>
        <v>192</v>
      </c>
      <c r="S162" s="401" t="b">
        <f t="shared" si="54"/>
        <v>0</v>
      </c>
      <c r="T162" s="401" t="b">
        <f t="shared" si="55"/>
        <v>0</v>
      </c>
      <c r="V162" t="str">
        <f>'Both teabags AfterDry'!A161</f>
        <v>G312</v>
      </c>
      <c r="W162" t="str">
        <f>'Both teabags AfterDry'!A498</f>
        <v>R632</v>
      </c>
      <c r="X162" t="b">
        <f t="shared" si="56"/>
        <v>0</v>
      </c>
      <c r="Y162" t="b">
        <f t="shared" si="57"/>
        <v>0</v>
      </c>
      <c r="AA162" t="str">
        <f>'Green_rooibos initial weight'!A163</f>
        <v>G159</v>
      </c>
      <c r="AB162" t="str">
        <f>'Green_rooibos initial weight'!A1067</f>
        <v>R159</v>
      </c>
      <c r="AC162" t="b">
        <f t="shared" si="58"/>
        <v>0</v>
      </c>
      <c r="AD162" t="b">
        <f t="shared" si="59"/>
        <v>0</v>
      </c>
      <c r="AG162" t="str">
        <f>'WetLitterbags placem_collection'!K161</f>
        <v>G829</v>
      </c>
      <c r="AH162" t="str">
        <f>'WetLitterbags placem_collection'!M161</f>
        <v>R499</v>
      </c>
      <c r="AI162" t="b">
        <f t="shared" si="60"/>
        <v>0</v>
      </c>
      <c r="AJ162" t="b">
        <f t="shared" si="61"/>
        <v>0</v>
      </c>
      <c r="AK162">
        <f>'WetLitterbags placem_collection'!A161</f>
        <v>159</v>
      </c>
      <c r="AL162">
        <f>'WetLitterbags placem_collection'!A161</f>
        <v>159</v>
      </c>
      <c r="AN162" t="str">
        <f>IF('Dry_Litterbag Placem_Collection'!J161=0,"",'Dry_Litterbag Placem_Collection'!J161)</f>
        <v/>
      </c>
      <c r="AO162" t="str">
        <f>IF('Dry_Litterbag Placem_Collection'!K161=0,"",'Dry_Litterbag Placem_Collection'!K161)</f>
        <v/>
      </c>
      <c r="AP162" t="b">
        <f t="shared" si="62"/>
        <v>1</v>
      </c>
      <c r="AQ162" t="b">
        <f t="shared" si="63"/>
        <v>1</v>
      </c>
      <c r="AT162" t="str">
        <f>'Ashed teabags dry'!A160</f>
        <v>G312</v>
      </c>
      <c r="AU162" t="str">
        <f>'Ashed teabags dry'!A497</f>
        <v>R632</v>
      </c>
      <c r="AV162" t="b">
        <f t="shared" si="64"/>
        <v>0</v>
      </c>
      <c r="AW162" t="b">
        <f t="shared" si="65"/>
        <v>0</v>
      </c>
      <c r="AZ162" s="401" t="b">
        <f t="shared" si="66"/>
        <v>0</v>
      </c>
      <c r="BA162" s="401" t="b">
        <f t="shared" si="67"/>
        <v>0</v>
      </c>
      <c r="BC162" t="str">
        <f>'Ashed teabags wet'!A160</f>
        <v>G566</v>
      </c>
      <c r="BD162" t="str">
        <f>'Ashed teabags wet'!A577</f>
        <v>R364</v>
      </c>
      <c r="BE162" t="b">
        <f t="shared" si="68"/>
        <v>0</v>
      </c>
      <c r="BF162" t="b">
        <f t="shared" si="69"/>
        <v>0</v>
      </c>
      <c r="BG162">
        <f>IFERROR('Ashed teabags wet'!C160,"")</f>
        <v>39</v>
      </c>
      <c r="BH162">
        <f>IFERROR('Ashed teabags wet'!C577,"")</f>
        <v>193</v>
      </c>
      <c r="BI162" t="str">
        <f>'Ashed teabags wet'!AB160</f>
        <v/>
      </c>
      <c r="BJ162">
        <f>'Ashed teabags wet'!AC160</f>
        <v>38</v>
      </c>
      <c r="BK162" t="str">
        <f>'Ashed teabags wet'!AD577</f>
        <v/>
      </c>
      <c r="BL162">
        <f>'Ashed teabags wet'!AE577</f>
        <v>192</v>
      </c>
      <c r="BN162" t="str">
        <f t="shared" si="70"/>
        <v>G565</v>
      </c>
      <c r="BO162" t="b">
        <f t="shared" si="71"/>
        <v>1</v>
      </c>
    </row>
    <row r="163" spans="2:68" ht="12" customHeight="1">
      <c r="B163" t="str">
        <f>TBIDry!H235</f>
        <v>G482</v>
      </c>
      <c r="C163" t="str">
        <f>TBIDry!I235</f>
        <v>R401</v>
      </c>
      <c r="D163" t="b">
        <f t="shared" si="48"/>
        <v>0</v>
      </c>
      <c r="E163" t="b">
        <f t="shared" si="49"/>
        <v>0</v>
      </c>
      <c r="G163" t="str">
        <f>TBIWet!H235</f>
        <v>G809</v>
      </c>
      <c r="H163" t="str">
        <f>TBIWet!I235</f>
        <v>R421</v>
      </c>
      <c r="I163" t="b">
        <f t="shared" si="50"/>
        <v>0</v>
      </c>
      <c r="J163" t="b">
        <f t="shared" si="51"/>
        <v>0</v>
      </c>
      <c r="L163" t="str">
        <f>'Both teabags AfterWet'!A162</f>
        <v>G565</v>
      </c>
      <c r="M163" t="str">
        <f>'Both teabags AfterWet'!A580</f>
        <v>R35</v>
      </c>
      <c r="N163" t="b">
        <f t="shared" si="52"/>
        <v>0</v>
      </c>
      <c r="O163" t="b">
        <f t="shared" si="53"/>
        <v>0</v>
      </c>
      <c r="P163">
        <f>IFERROR('Both teabags AfterWet'!B162,"")</f>
        <v>62</v>
      </c>
      <c r="Q163">
        <f>'Both teabags AfterWet'!B580</f>
        <v>157</v>
      </c>
      <c r="S163" s="401" t="b">
        <f t="shared" si="54"/>
        <v>0</v>
      </c>
      <c r="T163" s="401" t="b">
        <f t="shared" si="55"/>
        <v>0</v>
      </c>
      <c r="V163" t="str">
        <f>'Both teabags AfterDry'!A162</f>
        <v>G313</v>
      </c>
      <c r="W163" t="str">
        <f>'Both teabags AfterDry'!A499</f>
        <v>R633</v>
      </c>
      <c r="X163" t="b">
        <f t="shared" si="56"/>
        <v>0</v>
      </c>
      <c r="Y163" t="b">
        <f t="shared" si="57"/>
        <v>0</v>
      </c>
      <c r="AA163" t="str">
        <f>'Green_rooibos initial weight'!A164</f>
        <v>G160</v>
      </c>
      <c r="AB163" t="str">
        <f>'Green_rooibos initial weight'!A1068</f>
        <v>R160</v>
      </c>
      <c r="AC163" t="b">
        <f t="shared" si="58"/>
        <v>0</v>
      </c>
      <c r="AD163" t="b">
        <f t="shared" si="59"/>
        <v>0</v>
      </c>
      <c r="AG163" t="str">
        <f>'WetLitterbags placem_collection'!K162</f>
        <v>G809</v>
      </c>
      <c r="AH163" t="str">
        <f>'WetLitterbags placem_collection'!M162</f>
        <v>R421</v>
      </c>
      <c r="AI163" t="b">
        <f t="shared" si="60"/>
        <v>0</v>
      </c>
      <c r="AJ163" t="b">
        <f t="shared" si="61"/>
        <v>0</v>
      </c>
      <c r="AK163">
        <f>'WetLitterbags placem_collection'!A162</f>
        <v>160</v>
      </c>
      <c r="AL163">
        <f>'WetLitterbags placem_collection'!A162</f>
        <v>160</v>
      </c>
      <c r="AN163">
        <f>IF('Dry_Litterbag Placem_Collection'!J162=0,"",'Dry_Litterbag Placem_Collection'!J162)</f>
        <v>482</v>
      </c>
      <c r="AO163">
        <f>IF('Dry_Litterbag Placem_Collection'!K162=0,"",'Dry_Litterbag Placem_Collection'!K162)</f>
        <v>401</v>
      </c>
      <c r="AP163" t="b">
        <f t="shared" si="62"/>
        <v>0</v>
      </c>
      <c r="AQ163" t="b">
        <f t="shared" si="63"/>
        <v>0</v>
      </c>
      <c r="AT163" t="str">
        <f>'Ashed teabags dry'!A161</f>
        <v>G313</v>
      </c>
      <c r="AU163" t="str">
        <f>'Ashed teabags dry'!A498</f>
        <v>R633</v>
      </c>
      <c r="AV163" t="b">
        <f t="shared" si="64"/>
        <v>0</v>
      </c>
      <c r="AW163" t="b">
        <f t="shared" si="65"/>
        <v>0</v>
      </c>
      <c r="AZ163" s="401" t="b">
        <f t="shared" si="66"/>
        <v>0</v>
      </c>
      <c r="BA163" s="401" t="b">
        <f t="shared" si="67"/>
        <v>0</v>
      </c>
      <c r="BC163" t="str">
        <f>'Ashed teabags wet'!A161</f>
        <v>G567</v>
      </c>
      <c r="BD163" t="str">
        <f>'Ashed teabags wet'!A578</f>
        <v>R367</v>
      </c>
      <c r="BE163" t="b">
        <f t="shared" si="68"/>
        <v>0</v>
      </c>
      <c r="BF163" t="b">
        <f t="shared" si="69"/>
        <v>0</v>
      </c>
      <c r="BG163">
        <f>IFERROR('Ashed teabags wet'!C161,"")</f>
        <v>151</v>
      </c>
      <c r="BH163">
        <f>IFERROR('Ashed teabags wet'!C578,"")</f>
        <v>199</v>
      </c>
      <c r="BI163">
        <f>'Ashed teabags wet'!AB161</f>
        <v>150</v>
      </c>
      <c r="BJ163" t="str">
        <f>'Ashed teabags wet'!AC161</f>
        <v/>
      </c>
      <c r="BK163" t="str">
        <f>'Ashed teabags wet'!AD578</f>
        <v/>
      </c>
      <c r="BL163" t="str">
        <f>'Ashed teabags wet'!AE578</f>
        <v/>
      </c>
      <c r="BN163" t="str">
        <f t="shared" si="70"/>
        <v>G566</v>
      </c>
      <c r="BO163" t="b">
        <f t="shared" si="71"/>
        <v>1</v>
      </c>
    </row>
    <row r="164" spans="2:68" ht="12" customHeight="1">
      <c r="B164" t="str">
        <f>TBIDry!H236</f>
        <v>G51</v>
      </c>
      <c r="C164" t="str">
        <f>TBIDry!I236</f>
        <v>R673</v>
      </c>
      <c r="D164" t="b">
        <f t="shared" si="48"/>
        <v>0</v>
      </c>
      <c r="E164" t="b">
        <f t="shared" si="49"/>
        <v>0</v>
      </c>
      <c r="G164" t="str">
        <f>TBIWet!H236</f>
        <v>G252</v>
      </c>
      <c r="H164" t="str">
        <f>TBIWet!I236</f>
        <v>R124</v>
      </c>
      <c r="I164" t="b">
        <f t="shared" si="50"/>
        <v>0</v>
      </c>
      <c r="J164" t="b">
        <f t="shared" si="51"/>
        <v>0</v>
      </c>
      <c r="L164" t="str">
        <f>'Both teabags AfterWet'!A163</f>
        <v>G566</v>
      </c>
      <c r="M164" t="str">
        <f>'Both teabags AfterWet'!A581</f>
        <v>R353</v>
      </c>
      <c r="N164" t="b">
        <f t="shared" si="52"/>
        <v>0</v>
      </c>
      <c r="O164" t="b">
        <f t="shared" si="53"/>
        <v>0</v>
      </c>
      <c r="P164">
        <f>IFERROR('Both teabags AfterWet'!B163,"")</f>
        <v>39</v>
      </c>
      <c r="Q164">
        <f>'Both teabags AfterWet'!B581</f>
        <v>172</v>
      </c>
      <c r="S164" s="401" t="b">
        <f t="shared" si="54"/>
        <v>0</v>
      </c>
      <c r="T164" s="401" t="b">
        <f t="shared" si="55"/>
        <v>0</v>
      </c>
      <c r="V164" t="str">
        <f>'Both teabags AfterDry'!A163</f>
        <v>G314</v>
      </c>
      <c r="W164" t="str">
        <f>'Both teabags AfterDry'!A500</f>
        <v>R634</v>
      </c>
      <c r="X164" t="b">
        <f t="shared" si="56"/>
        <v>0</v>
      </c>
      <c r="Y164" t="b">
        <f t="shared" si="57"/>
        <v>0</v>
      </c>
      <c r="AA164" t="str">
        <f>'Green_rooibos initial weight'!A165</f>
        <v>G161</v>
      </c>
      <c r="AB164" t="str">
        <f>'Green_rooibos initial weight'!A1069</f>
        <v>R161</v>
      </c>
      <c r="AC164" t="b">
        <f t="shared" si="58"/>
        <v>0</v>
      </c>
      <c r="AD164" t="b">
        <f t="shared" si="59"/>
        <v>0</v>
      </c>
      <c r="AG164" t="str">
        <f>'WetLitterbags placem_collection'!K163</f>
        <v>G252</v>
      </c>
      <c r="AH164" t="str">
        <f>'WetLitterbags placem_collection'!M163</f>
        <v>R124</v>
      </c>
      <c r="AI164" t="b">
        <f t="shared" si="60"/>
        <v>0</v>
      </c>
      <c r="AJ164" t="b">
        <f t="shared" si="61"/>
        <v>0</v>
      </c>
      <c r="AK164">
        <f>'WetLitterbags placem_collection'!A163</f>
        <v>161</v>
      </c>
      <c r="AL164">
        <f>'WetLitterbags placem_collection'!A163</f>
        <v>161</v>
      </c>
      <c r="AN164">
        <f>IF('Dry_Litterbag Placem_Collection'!J163=0,"",'Dry_Litterbag Placem_Collection'!J163)</f>
        <v>51</v>
      </c>
      <c r="AO164">
        <f>IF('Dry_Litterbag Placem_Collection'!K163=0,"",'Dry_Litterbag Placem_Collection'!K163)</f>
        <v>673</v>
      </c>
      <c r="AP164" t="b">
        <f t="shared" si="62"/>
        <v>0</v>
      </c>
      <c r="AQ164" t="b">
        <f t="shared" si="63"/>
        <v>0</v>
      </c>
      <c r="AT164" t="str">
        <f>'Ashed teabags dry'!A162</f>
        <v>G314</v>
      </c>
      <c r="AU164" t="str">
        <f>'Ashed teabags dry'!A499</f>
        <v>R634</v>
      </c>
      <c r="AV164" t="b">
        <f t="shared" si="64"/>
        <v>0</v>
      </c>
      <c r="AW164" t="b">
        <f t="shared" si="65"/>
        <v>0</v>
      </c>
      <c r="AZ164" s="401" t="b">
        <f t="shared" si="66"/>
        <v>0</v>
      </c>
      <c r="BA164" s="401" t="b">
        <f t="shared" si="67"/>
        <v>0</v>
      </c>
      <c r="BC164" t="str">
        <f>'Ashed teabags wet'!A162</f>
        <v>G568</v>
      </c>
      <c r="BD164" t="str">
        <f>'Ashed teabags wet'!A579</f>
        <v>R368</v>
      </c>
      <c r="BE164" t="b">
        <f t="shared" si="68"/>
        <v>0</v>
      </c>
      <c r="BF164" t="b">
        <f t="shared" si="69"/>
        <v>0</v>
      </c>
      <c r="BG164">
        <f>IFERROR('Ashed teabags wet'!C162,"")</f>
        <v>2</v>
      </c>
      <c r="BH164">
        <f>IFERROR('Ashed teabags wet'!C579,"")</f>
        <v>82</v>
      </c>
      <c r="BI164">
        <f>'Ashed teabags wet'!AB162</f>
        <v>1</v>
      </c>
      <c r="BJ164" t="str">
        <f>'Ashed teabags wet'!AC162</f>
        <v/>
      </c>
      <c r="BK164" t="str">
        <f>'Ashed teabags wet'!AD579</f>
        <v/>
      </c>
      <c r="BL164">
        <f>'Ashed teabags wet'!AE579</f>
        <v>81</v>
      </c>
      <c r="BN164" t="str">
        <f t="shared" si="70"/>
        <v>G567</v>
      </c>
      <c r="BO164" t="b">
        <f t="shared" si="71"/>
        <v>1</v>
      </c>
    </row>
    <row r="165" spans="2:68" ht="12" customHeight="1">
      <c r="B165" t="str">
        <f>TBIDry!H237</f>
        <v>G238</v>
      </c>
      <c r="C165" t="str">
        <f>TBIDry!I237</f>
        <v>R814</v>
      </c>
      <c r="D165" t="b">
        <f t="shared" si="48"/>
        <v>0</v>
      </c>
      <c r="E165" t="b">
        <f t="shared" si="49"/>
        <v>0</v>
      </c>
      <c r="G165" t="str">
        <f>TBIWet!H237</f>
        <v>G385</v>
      </c>
      <c r="H165" t="str">
        <f>TBIWet!I237</f>
        <v>R202</v>
      </c>
      <c r="I165" t="b">
        <f t="shared" si="50"/>
        <v>0</v>
      </c>
      <c r="J165" t="b">
        <f t="shared" si="51"/>
        <v>0</v>
      </c>
      <c r="L165" t="str">
        <f>'Both teabags AfterWet'!A164</f>
        <v>G567</v>
      </c>
      <c r="M165" t="str">
        <f>'Both teabags AfterWet'!A582</f>
        <v>R354</v>
      </c>
      <c r="N165" t="b">
        <f t="shared" si="52"/>
        <v>0</v>
      </c>
      <c r="O165" t="b">
        <f t="shared" si="53"/>
        <v>0</v>
      </c>
      <c r="P165">
        <f>IFERROR('Both teabags AfterWet'!B164,"")</f>
        <v>151</v>
      </c>
      <c r="Q165">
        <f>'Both teabags AfterWet'!B582</f>
        <v>189</v>
      </c>
      <c r="S165" s="401" t="b">
        <f t="shared" si="54"/>
        <v>0</v>
      </c>
      <c r="T165" s="401" t="b">
        <f t="shared" si="55"/>
        <v>0</v>
      </c>
      <c r="V165" t="str">
        <f>'Both teabags AfterDry'!A164</f>
        <v>G315</v>
      </c>
      <c r="W165" t="str">
        <f>'Both teabags AfterDry'!A501</f>
        <v>R635</v>
      </c>
      <c r="X165" t="b">
        <f t="shared" si="56"/>
        <v>0</v>
      </c>
      <c r="Y165" t="b">
        <f t="shared" si="57"/>
        <v>0</v>
      </c>
      <c r="AA165" t="str">
        <f>'Green_rooibos initial weight'!A166</f>
        <v>G162</v>
      </c>
      <c r="AB165" t="str">
        <f>'Green_rooibos initial weight'!A1070</f>
        <v>R162</v>
      </c>
      <c r="AC165" t="b">
        <f t="shared" si="58"/>
        <v>0</v>
      </c>
      <c r="AD165" t="b">
        <f t="shared" si="59"/>
        <v>0</v>
      </c>
      <c r="AG165" t="str">
        <f>'WetLitterbags placem_collection'!K164</f>
        <v>G385</v>
      </c>
      <c r="AH165" t="str">
        <f>'WetLitterbags placem_collection'!M164</f>
        <v>R202</v>
      </c>
      <c r="AI165" t="b">
        <f t="shared" si="60"/>
        <v>0</v>
      </c>
      <c r="AJ165" t="b">
        <f t="shared" si="61"/>
        <v>0</v>
      </c>
      <c r="AK165">
        <f>'WetLitterbags placem_collection'!A164</f>
        <v>162</v>
      </c>
      <c r="AL165">
        <f>'WetLitterbags placem_collection'!A164</f>
        <v>162</v>
      </c>
      <c r="AN165">
        <f>IF('Dry_Litterbag Placem_Collection'!J164=0,"",'Dry_Litterbag Placem_Collection'!J164)</f>
        <v>238</v>
      </c>
      <c r="AO165">
        <f>IF('Dry_Litterbag Placem_Collection'!K164=0,"",'Dry_Litterbag Placem_Collection'!K164)</f>
        <v>814</v>
      </c>
      <c r="AP165" t="b">
        <f t="shared" si="62"/>
        <v>0</v>
      </c>
      <c r="AQ165" t="b">
        <f t="shared" si="63"/>
        <v>0</v>
      </c>
      <c r="AT165" t="str">
        <f>'Ashed teabags dry'!A163</f>
        <v>G315</v>
      </c>
      <c r="AU165" t="str">
        <f>'Ashed teabags dry'!A500</f>
        <v>R635</v>
      </c>
      <c r="AV165" t="b">
        <f t="shared" si="64"/>
        <v>0</v>
      </c>
      <c r="AW165" t="b">
        <f t="shared" si="65"/>
        <v>0</v>
      </c>
      <c r="AZ165" s="401" t="b">
        <f t="shared" si="66"/>
        <v>0</v>
      </c>
      <c r="BA165" s="401" t="b">
        <f t="shared" si="67"/>
        <v>0</v>
      </c>
      <c r="BC165" t="str">
        <f>'Ashed teabags wet'!A163</f>
        <v>G571</v>
      </c>
      <c r="BD165" t="str">
        <f>'Ashed teabags wet'!A580</f>
        <v>R37</v>
      </c>
      <c r="BE165" t="b">
        <f t="shared" si="68"/>
        <v>0</v>
      </c>
      <c r="BF165" t="b">
        <f t="shared" si="69"/>
        <v>0</v>
      </c>
      <c r="BG165">
        <f>IFERROR('Ashed teabags wet'!C163,"")</f>
        <v>17</v>
      </c>
      <c r="BH165">
        <f>IFERROR('Ashed teabags wet'!C580,"")</f>
        <v>114</v>
      </c>
      <c r="BI165">
        <f>'Ashed teabags wet'!AB163</f>
        <v>16</v>
      </c>
      <c r="BJ165" t="str">
        <f>'Ashed teabags wet'!AC163</f>
        <v/>
      </c>
      <c r="BK165" t="str">
        <f>'Ashed teabags wet'!AD580</f>
        <v/>
      </c>
      <c r="BL165">
        <f>'Ashed teabags wet'!AE580</f>
        <v>113</v>
      </c>
      <c r="BN165" t="str">
        <f t="shared" si="70"/>
        <v>G568</v>
      </c>
      <c r="BO165" t="b">
        <f t="shared" si="71"/>
        <v>1</v>
      </c>
    </row>
    <row r="166" spans="2:68" ht="12" customHeight="1">
      <c r="B166" t="str">
        <f>TBIDry!H238</f>
        <v>G59</v>
      </c>
      <c r="C166" t="str">
        <f>TBIDry!I238</f>
        <v>R615</v>
      </c>
      <c r="D166" t="b">
        <f t="shared" si="48"/>
        <v>0</v>
      </c>
      <c r="E166" t="b">
        <f t="shared" si="49"/>
        <v>0</v>
      </c>
      <c r="G166" t="str">
        <f>TBIWet!H238</f>
        <v>G202</v>
      </c>
      <c r="H166" t="str">
        <f>TBIWet!I238</f>
        <v>R96</v>
      </c>
      <c r="I166" t="b">
        <f t="shared" si="50"/>
        <v>0</v>
      </c>
      <c r="J166" t="b">
        <f t="shared" si="51"/>
        <v>0</v>
      </c>
      <c r="L166" t="str">
        <f>'Both teabags AfterWet'!A165</f>
        <v>G568</v>
      </c>
      <c r="M166" t="str">
        <f>'Both teabags AfterWet'!A583</f>
        <v>R356</v>
      </c>
      <c r="N166" t="b">
        <f t="shared" si="52"/>
        <v>0</v>
      </c>
      <c r="O166" t="b">
        <f t="shared" si="53"/>
        <v>0</v>
      </c>
      <c r="P166" t="str">
        <f>IFERROR('Both teabags AfterWet'!B165,"")</f>
        <v>n.a</v>
      </c>
      <c r="Q166">
        <f>'Both teabags AfterWet'!B583</f>
        <v>219</v>
      </c>
      <c r="S166" s="401" t="b">
        <f t="shared" si="54"/>
        <v>0</v>
      </c>
      <c r="T166" s="401" t="b">
        <f t="shared" si="55"/>
        <v>0</v>
      </c>
      <c r="V166" t="str">
        <f>'Both teabags AfterDry'!A165</f>
        <v>G316</v>
      </c>
      <c r="W166" t="str">
        <f>'Both teabags AfterDry'!A502</f>
        <v>R636</v>
      </c>
      <c r="X166" t="b">
        <f t="shared" si="56"/>
        <v>0</v>
      </c>
      <c r="Y166" t="b">
        <f t="shared" si="57"/>
        <v>0</v>
      </c>
      <c r="AA166" t="str">
        <f>'Green_rooibos initial weight'!A167</f>
        <v>G163</v>
      </c>
      <c r="AB166" t="str">
        <f>'Green_rooibos initial weight'!A1071</f>
        <v>R163</v>
      </c>
      <c r="AC166" t="b">
        <f t="shared" si="58"/>
        <v>0</v>
      </c>
      <c r="AD166" t="b">
        <f t="shared" si="59"/>
        <v>0</v>
      </c>
      <c r="AG166" t="str">
        <f>'WetLitterbags placem_collection'!K165</f>
        <v>G202</v>
      </c>
      <c r="AH166" t="str">
        <f>'WetLitterbags placem_collection'!M165</f>
        <v>R96</v>
      </c>
      <c r="AI166" t="b">
        <f t="shared" si="60"/>
        <v>0</v>
      </c>
      <c r="AJ166" t="b">
        <f t="shared" si="61"/>
        <v>0</v>
      </c>
      <c r="AK166">
        <f>'WetLitterbags placem_collection'!A165</f>
        <v>163</v>
      </c>
      <c r="AL166">
        <f>'WetLitterbags placem_collection'!A165</f>
        <v>163</v>
      </c>
      <c r="AN166">
        <f>IF('Dry_Litterbag Placem_Collection'!J165=0,"",'Dry_Litterbag Placem_Collection'!J165)</f>
        <v>59</v>
      </c>
      <c r="AO166">
        <f>IF('Dry_Litterbag Placem_Collection'!K165=0,"",'Dry_Litterbag Placem_Collection'!K165)</f>
        <v>615</v>
      </c>
      <c r="AP166" t="b">
        <f t="shared" si="62"/>
        <v>0</v>
      </c>
      <c r="AQ166" t="b">
        <f t="shared" si="63"/>
        <v>0</v>
      </c>
      <c r="AT166" t="str">
        <f>'Ashed teabags dry'!A164</f>
        <v>G318</v>
      </c>
      <c r="AU166" t="str">
        <f>'Ashed teabags dry'!A501</f>
        <v>R636</v>
      </c>
      <c r="AV166" t="b">
        <f t="shared" si="64"/>
        <v>0</v>
      </c>
      <c r="AW166" t="b">
        <f t="shared" si="65"/>
        <v>0</v>
      </c>
      <c r="AZ166" s="401" t="b">
        <f t="shared" si="66"/>
        <v>0</v>
      </c>
      <c r="BA166" s="401" t="b">
        <f t="shared" si="67"/>
        <v>0</v>
      </c>
      <c r="BC166" t="str">
        <f>'Ashed teabags wet'!A164</f>
        <v>G572</v>
      </c>
      <c r="BD166" t="str">
        <f>'Ashed teabags wet'!A581</f>
        <v>R370</v>
      </c>
      <c r="BE166" t="b">
        <f t="shared" si="68"/>
        <v>0</v>
      </c>
      <c r="BF166" t="b">
        <f t="shared" si="69"/>
        <v>0</v>
      </c>
      <c r="BG166">
        <f>IFERROR('Ashed teabags wet'!C164,"")</f>
        <v>213</v>
      </c>
      <c r="BH166">
        <f>IFERROR('Ashed teabags wet'!C581,"")</f>
        <v>197</v>
      </c>
      <c r="BI166">
        <f>'Ashed teabags wet'!AB164</f>
        <v>212</v>
      </c>
      <c r="BJ166" t="str">
        <f>'Ashed teabags wet'!AC164</f>
        <v/>
      </c>
      <c r="BK166" t="str">
        <f>'Ashed teabags wet'!AD581</f>
        <v/>
      </c>
      <c r="BL166">
        <f>'Ashed teabags wet'!AE581</f>
        <v>196</v>
      </c>
      <c r="BN166" t="str">
        <f t="shared" si="70"/>
        <v>G571</v>
      </c>
      <c r="BO166" t="b">
        <f t="shared" si="71"/>
        <v>1</v>
      </c>
    </row>
    <row r="167" spans="2:68" ht="12" customHeight="1">
      <c r="B167" t="str">
        <f>TBIDry!H239</f>
        <v>G7</v>
      </c>
      <c r="C167" t="str">
        <f>TBIDry!I239</f>
        <v>R514</v>
      </c>
      <c r="D167" t="b">
        <f t="shared" si="48"/>
        <v>0</v>
      </c>
      <c r="E167" t="b">
        <f t="shared" si="49"/>
        <v>0</v>
      </c>
      <c r="G167" t="str">
        <f>TBIWet!H239</f>
        <v>G686</v>
      </c>
      <c r="H167" t="str">
        <f>TBIWet!I239</f>
        <v>R317</v>
      </c>
      <c r="I167" t="b">
        <f t="shared" si="50"/>
        <v>0</v>
      </c>
      <c r="J167" t="b">
        <f t="shared" si="51"/>
        <v>0</v>
      </c>
      <c r="L167" t="str">
        <f>'Both teabags AfterWet'!A166</f>
        <v>G509</v>
      </c>
      <c r="M167" t="str">
        <f>'Both teabags AfterWet'!A584</f>
        <v>R359</v>
      </c>
      <c r="N167" t="b">
        <f t="shared" si="52"/>
        <v>0</v>
      </c>
      <c r="O167" t="b">
        <f t="shared" si="53"/>
        <v>0</v>
      </c>
      <c r="P167">
        <f>IFERROR('Both teabags AfterWet'!B166,"")</f>
        <v>77</v>
      </c>
      <c r="Q167" t="str">
        <f>'Both teabags AfterWet'!B584</f>
        <v>n.a</v>
      </c>
      <c r="S167" s="401" t="b">
        <f t="shared" si="54"/>
        <v>0</v>
      </c>
      <c r="T167" s="401" t="b">
        <f t="shared" si="55"/>
        <v>0</v>
      </c>
      <c r="V167" t="str">
        <f>'Both teabags AfterDry'!A166</f>
        <v>G318</v>
      </c>
      <c r="W167" t="str">
        <f>'Both teabags AfterDry'!A503</f>
        <v>R637</v>
      </c>
      <c r="X167" t="b">
        <f t="shared" si="56"/>
        <v>0</v>
      </c>
      <c r="Y167" t="b">
        <f t="shared" si="57"/>
        <v>0</v>
      </c>
      <c r="AA167" t="str">
        <f>'Green_rooibos initial weight'!A168</f>
        <v>G164</v>
      </c>
      <c r="AB167" t="str">
        <f>'Green_rooibos initial weight'!A1072</f>
        <v>R164</v>
      </c>
      <c r="AC167" t="b">
        <f t="shared" si="58"/>
        <v>0</v>
      </c>
      <c r="AD167" t="b">
        <f t="shared" si="59"/>
        <v>0</v>
      </c>
      <c r="AG167" t="str">
        <f>'WetLitterbags placem_collection'!K166</f>
        <v>G686</v>
      </c>
      <c r="AH167" t="str">
        <f>'WetLitterbags placem_collection'!M166</f>
        <v>R317</v>
      </c>
      <c r="AI167" t="b">
        <f t="shared" si="60"/>
        <v>0</v>
      </c>
      <c r="AJ167" t="b">
        <f t="shared" si="61"/>
        <v>0</v>
      </c>
      <c r="AK167">
        <f>'WetLitterbags placem_collection'!A166</f>
        <v>164</v>
      </c>
      <c r="AL167">
        <f>'WetLitterbags placem_collection'!A166</f>
        <v>164</v>
      </c>
      <c r="AN167">
        <f>IF('Dry_Litterbag Placem_Collection'!J166=0,"",'Dry_Litterbag Placem_Collection'!J166)</f>
        <v>7</v>
      </c>
      <c r="AO167">
        <f>IF('Dry_Litterbag Placem_Collection'!K166=0,"",'Dry_Litterbag Placem_Collection'!K166)</f>
        <v>514</v>
      </c>
      <c r="AP167" t="b">
        <f t="shared" si="62"/>
        <v>0</v>
      </c>
      <c r="AQ167" t="b">
        <f t="shared" si="63"/>
        <v>0</v>
      </c>
      <c r="AT167" t="str">
        <f>'Ashed teabags dry'!A165</f>
        <v>G32</v>
      </c>
      <c r="AU167" t="str">
        <f>'Ashed teabags dry'!A502</f>
        <v>R637</v>
      </c>
      <c r="AV167" t="b">
        <f t="shared" si="64"/>
        <v>0</v>
      </c>
      <c r="AW167" t="b">
        <f t="shared" si="65"/>
        <v>0</v>
      </c>
      <c r="AZ167" s="401" t="b">
        <f t="shared" si="66"/>
        <v>0</v>
      </c>
      <c r="BA167" s="401" t="b">
        <f t="shared" si="67"/>
        <v>0</v>
      </c>
      <c r="BC167" t="str">
        <f>'Ashed teabags wet'!A165</f>
        <v>G573</v>
      </c>
      <c r="BD167" t="str">
        <f>'Ashed teabags wet'!A582</f>
        <v>R371</v>
      </c>
      <c r="BE167" t="b">
        <f t="shared" si="68"/>
        <v>0</v>
      </c>
      <c r="BF167" t="b">
        <f t="shared" si="69"/>
        <v>0</v>
      </c>
      <c r="BG167">
        <f>IFERROR('Ashed teabags wet'!C165,"")</f>
        <v>18</v>
      </c>
      <c r="BH167">
        <f>IFERROR('Ashed teabags wet'!C582,"")</f>
        <v>42</v>
      </c>
      <c r="BI167" t="str">
        <f>'Ashed teabags wet'!AB165</f>
        <v/>
      </c>
      <c r="BJ167">
        <f>'Ashed teabags wet'!AC165</f>
        <v>17</v>
      </c>
      <c r="BK167">
        <f>'Ashed teabags wet'!AD582</f>
        <v>41</v>
      </c>
      <c r="BL167" t="str">
        <f>'Ashed teabags wet'!AE582</f>
        <v/>
      </c>
      <c r="BN167" t="str">
        <f t="shared" si="70"/>
        <v>G572</v>
      </c>
      <c r="BO167" t="b">
        <f t="shared" si="71"/>
        <v>1</v>
      </c>
    </row>
    <row r="168" spans="2:68" ht="12" customHeight="1">
      <c r="B168" t="str">
        <f>TBIDry!H240</f>
        <v>G85</v>
      </c>
      <c r="C168" t="str">
        <f>TBIDry!I240</f>
        <v>R127</v>
      </c>
      <c r="D168" t="b">
        <f t="shared" si="48"/>
        <v>0</v>
      </c>
      <c r="E168" t="b">
        <f t="shared" si="49"/>
        <v>0</v>
      </c>
      <c r="G168" t="str">
        <f>TBIWet!H240</f>
        <v>G368</v>
      </c>
      <c r="H168" t="str">
        <f>TBIWet!I240</f>
        <v>R331</v>
      </c>
      <c r="I168" t="b">
        <f t="shared" si="50"/>
        <v>0</v>
      </c>
      <c r="J168" t="b">
        <f t="shared" si="51"/>
        <v>0</v>
      </c>
      <c r="L168" t="str">
        <f>'Both teabags AfterWet'!A167</f>
        <v>G571</v>
      </c>
      <c r="M168" t="str">
        <f>'Both teabags AfterWet'!A585</f>
        <v>R360</v>
      </c>
      <c r="N168" t="b">
        <f t="shared" si="52"/>
        <v>0</v>
      </c>
      <c r="O168" t="b">
        <f t="shared" si="53"/>
        <v>0</v>
      </c>
      <c r="P168" t="str">
        <f>IFERROR('Both teabags AfterWet'!B167,"")</f>
        <v>n.a</v>
      </c>
      <c r="Q168">
        <f>'Both teabags AfterWet'!B585</f>
        <v>95</v>
      </c>
      <c r="S168" s="401" t="b">
        <f t="shared" si="54"/>
        <v>0</v>
      </c>
      <c r="T168" s="401" t="b">
        <f t="shared" si="55"/>
        <v>0</v>
      </c>
      <c r="V168" t="str">
        <f>'Both teabags AfterDry'!A167</f>
        <v>G319</v>
      </c>
      <c r="W168" t="str">
        <f>'Both teabags AfterDry'!A504</f>
        <v>R638</v>
      </c>
      <c r="X168" t="b">
        <f t="shared" si="56"/>
        <v>0</v>
      </c>
      <c r="Y168" t="b">
        <f t="shared" si="57"/>
        <v>0</v>
      </c>
      <c r="AA168" t="str">
        <f>'Green_rooibos initial weight'!A169</f>
        <v>G165</v>
      </c>
      <c r="AB168" t="str">
        <f>'Green_rooibos initial weight'!A1073</f>
        <v>R165</v>
      </c>
      <c r="AC168" t="b">
        <f t="shared" si="58"/>
        <v>0</v>
      </c>
      <c r="AD168" t="b">
        <f t="shared" si="59"/>
        <v>0</v>
      </c>
      <c r="AG168" t="str">
        <f>'WetLitterbags placem_collection'!K167</f>
        <v>G368</v>
      </c>
      <c r="AH168" t="str">
        <f>'WetLitterbags placem_collection'!M167</f>
        <v>R331</v>
      </c>
      <c r="AI168" t="b">
        <f t="shared" si="60"/>
        <v>0</v>
      </c>
      <c r="AJ168" t="b">
        <f t="shared" si="61"/>
        <v>0</v>
      </c>
      <c r="AK168">
        <f>'WetLitterbags placem_collection'!A167</f>
        <v>165</v>
      </c>
      <c r="AL168">
        <f>'WetLitterbags placem_collection'!A167</f>
        <v>165</v>
      </c>
      <c r="AN168">
        <f>IF('Dry_Litterbag Placem_Collection'!J167=0,"",'Dry_Litterbag Placem_Collection'!J167)</f>
        <v>85</v>
      </c>
      <c r="AO168">
        <f>IF('Dry_Litterbag Placem_Collection'!K167=0,"",'Dry_Litterbag Placem_Collection'!K167)</f>
        <v>127</v>
      </c>
      <c r="AP168" t="b">
        <f t="shared" si="62"/>
        <v>0</v>
      </c>
      <c r="AQ168" t="b">
        <f t="shared" si="63"/>
        <v>0</v>
      </c>
      <c r="AT168" t="str">
        <f>'Ashed teabags dry'!A166</f>
        <v>G320</v>
      </c>
      <c r="AU168" t="str">
        <f>'Ashed teabags dry'!A503</f>
        <v>R638</v>
      </c>
      <c r="AV168" t="b">
        <f t="shared" si="64"/>
        <v>0</v>
      </c>
      <c r="AW168" t="b">
        <f t="shared" si="65"/>
        <v>0</v>
      </c>
      <c r="AZ168" s="401" t="b">
        <f t="shared" si="66"/>
        <v>0</v>
      </c>
      <c r="BA168" s="401" t="b">
        <f t="shared" si="67"/>
        <v>0</v>
      </c>
      <c r="BC168" t="str">
        <f>'Ashed teabags wet'!A166</f>
        <v>G574</v>
      </c>
      <c r="BD168" t="str">
        <f>'Ashed teabags wet'!A583</f>
        <v>R372</v>
      </c>
      <c r="BE168" t="b">
        <f t="shared" si="68"/>
        <v>0</v>
      </c>
      <c r="BF168" t="b">
        <f t="shared" si="69"/>
        <v>0</v>
      </c>
      <c r="BG168">
        <f>IFERROR('Ashed teabags wet'!C166,"")</f>
        <v>207</v>
      </c>
      <c r="BH168">
        <f>IFERROR('Ashed teabags wet'!C583,"")</f>
        <v>203</v>
      </c>
      <c r="BI168">
        <f>'Ashed teabags wet'!AB166</f>
        <v>206</v>
      </c>
      <c r="BJ168" t="str">
        <f>'Ashed teabags wet'!AC166</f>
        <v/>
      </c>
      <c r="BK168">
        <f>'Ashed teabags wet'!AD583</f>
        <v>202</v>
      </c>
      <c r="BL168" t="str">
        <f>'Ashed teabags wet'!AE583</f>
        <v/>
      </c>
      <c r="BN168" t="str">
        <f t="shared" si="70"/>
        <v>G573</v>
      </c>
      <c r="BO168" t="b">
        <f t="shared" si="71"/>
        <v>1</v>
      </c>
      <c r="BP168" s="402"/>
    </row>
    <row r="169" spans="2:68" ht="12" customHeight="1">
      <c r="B169" t="str">
        <f>TBIDry!H241</f>
        <v>G1</v>
      </c>
      <c r="C169" t="str">
        <f>TBIDry!I241</f>
        <v>R752</v>
      </c>
      <c r="D169" t="b">
        <f t="shared" si="48"/>
        <v>0</v>
      </c>
      <c r="E169" t="b">
        <f t="shared" si="49"/>
        <v>0</v>
      </c>
      <c r="G169" t="str">
        <f>TBIWet!H241</f>
        <v>G334</v>
      </c>
      <c r="H169" t="str">
        <f>TBIWet!I241</f>
        <v>R287</v>
      </c>
      <c r="I169" t="b">
        <f t="shared" si="50"/>
        <v>0</v>
      </c>
      <c r="J169" t="b">
        <f t="shared" si="51"/>
        <v>0</v>
      </c>
      <c r="L169" t="str">
        <f>'Both teabags AfterWet'!A168</f>
        <v>G572</v>
      </c>
      <c r="M169" t="str">
        <f>'Both teabags AfterWet'!A586</f>
        <v>R362</v>
      </c>
      <c r="N169" t="b">
        <f t="shared" si="52"/>
        <v>0</v>
      </c>
      <c r="O169" t="b">
        <f t="shared" si="53"/>
        <v>0</v>
      </c>
      <c r="P169">
        <f>IFERROR('Both teabags AfterWet'!B168,"")</f>
        <v>213</v>
      </c>
      <c r="Q169" t="str">
        <f>'Both teabags AfterWet'!B586</f>
        <v>n.a</v>
      </c>
      <c r="S169" s="401" t="b">
        <f t="shared" si="54"/>
        <v>0</v>
      </c>
      <c r="T169" s="401" t="b">
        <f t="shared" si="55"/>
        <v>0</v>
      </c>
      <c r="V169" t="str">
        <f>'Both teabags AfterDry'!A168</f>
        <v>G32</v>
      </c>
      <c r="W169" t="str">
        <f>'Both teabags AfterDry'!A505</f>
        <v>R639</v>
      </c>
      <c r="X169" t="b">
        <f t="shared" si="56"/>
        <v>0</v>
      </c>
      <c r="Y169" t="b">
        <f t="shared" si="57"/>
        <v>0</v>
      </c>
      <c r="AA169" t="str">
        <f>'Green_rooibos initial weight'!A170</f>
        <v>G166</v>
      </c>
      <c r="AB169" t="str">
        <f>'Green_rooibos initial weight'!A1074</f>
        <v>R166</v>
      </c>
      <c r="AC169" t="b">
        <f t="shared" si="58"/>
        <v>0</v>
      </c>
      <c r="AD169" t="b">
        <f t="shared" si="59"/>
        <v>0</v>
      </c>
      <c r="AG169" t="str">
        <f>'WetLitterbags placem_collection'!K168</f>
        <v>G334</v>
      </c>
      <c r="AH169" t="str">
        <f>'WetLitterbags placem_collection'!M168</f>
        <v>R287</v>
      </c>
      <c r="AI169" t="b">
        <f t="shared" si="60"/>
        <v>0</v>
      </c>
      <c r="AJ169" t="b">
        <f t="shared" si="61"/>
        <v>0</v>
      </c>
      <c r="AK169">
        <f>'WetLitterbags placem_collection'!A168</f>
        <v>166</v>
      </c>
      <c r="AL169">
        <f>'WetLitterbags placem_collection'!A168</f>
        <v>166</v>
      </c>
      <c r="AN169">
        <f>IF('Dry_Litterbag Placem_Collection'!J168=0,"",'Dry_Litterbag Placem_Collection'!J168)</f>
        <v>1</v>
      </c>
      <c r="AO169">
        <f>IF('Dry_Litterbag Placem_Collection'!K168=0,"",'Dry_Litterbag Placem_Collection'!K168)</f>
        <v>752</v>
      </c>
      <c r="AP169" t="b">
        <f t="shared" si="62"/>
        <v>0</v>
      </c>
      <c r="AQ169" t="b">
        <f t="shared" si="63"/>
        <v>0</v>
      </c>
      <c r="AT169" t="str">
        <f>'Ashed teabags dry'!A167</f>
        <v>G322</v>
      </c>
      <c r="AU169" t="str">
        <f>'Ashed teabags dry'!A504</f>
        <v>R639</v>
      </c>
      <c r="AV169" t="b">
        <f t="shared" si="64"/>
        <v>0</v>
      </c>
      <c r="AW169" t="b">
        <f t="shared" si="65"/>
        <v>0</v>
      </c>
      <c r="AZ169" s="401" t="b">
        <f t="shared" si="66"/>
        <v>0</v>
      </c>
      <c r="BA169" s="401" t="b">
        <f t="shared" si="67"/>
        <v>0</v>
      </c>
      <c r="BC169" t="str">
        <f>'Ashed teabags wet'!A167</f>
        <v>G575</v>
      </c>
      <c r="BD169" t="str">
        <f>'Ashed teabags wet'!A584</f>
        <v>R375</v>
      </c>
      <c r="BE169" t="b">
        <f t="shared" si="68"/>
        <v>0</v>
      </c>
      <c r="BF169" t="b">
        <f t="shared" si="69"/>
        <v>0</v>
      </c>
      <c r="BG169">
        <f>IFERROR('Ashed teabags wet'!C167,"")</f>
        <v>22</v>
      </c>
      <c r="BH169">
        <f>IFERROR('Ashed teabags wet'!C584,"")</f>
        <v>196</v>
      </c>
      <c r="BI169">
        <f>'Ashed teabags wet'!AB167</f>
        <v>21</v>
      </c>
      <c r="BJ169" t="str">
        <f>'Ashed teabags wet'!AC167</f>
        <v/>
      </c>
      <c r="BK169">
        <f>'Ashed teabags wet'!AD584</f>
        <v>195</v>
      </c>
      <c r="BL169" t="str">
        <f>'Ashed teabags wet'!AE584</f>
        <v/>
      </c>
      <c r="BN169" t="str">
        <f t="shared" si="70"/>
        <v>G574</v>
      </c>
      <c r="BO169" t="b">
        <f t="shared" si="71"/>
        <v>1</v>
      </c>
    </row>
    <row r="170" spans="2:68" ht="12" customHeight="1">
      <c r="B170" t="str">
        <f>TBIDry!H242</f>
        <v/>
      </c>
      <c r="C170" t="str">
        <f>TBIDry!I242</f>
        <v/>
      </c>
      <c r="D170" t="b">
        <f t="shared" si="48"/>
        <v>1</v>
      </c>
      <c r="E170" t="b">
        <f t="shared" si="49"/>
        <v>1</v>
      </c>
      <c r="G170" t="str">
        <f>TBIWet!H242</f>
        <v>G429</v>
      </c>
      <c r="H170" t="str">
        <f>TBIWet!I242</f>
        <v>R255</v>
      </c>
      <c r="I170" t="b">
        <f t="shared" si="50"/>
        <v>0</v>
      </c>
      <c r="J170" t="b">
        <f t="shared" si="51"/>
        <v>0</v>
      </c>
      <c r="L170" t="str">
        <f>'Both teabags AfterWet'!A169</f>
        <v>G573</v>
      </c>
      <c r="M170" t="str">
        <f>'Both teabags AfterWet'!A587</f>
        <v>R363</v>
      </c>
      <c r="N170" t="b">
        <f t="shared" si="52"/>
        <v>0</v>
      </c>
      <c r="O170" t="b">
        <f t="shared" si="53"/>
        <v>0</v>
      </c>
      <c r="P170">
        <f>IFERROR('Both teabags AfterWet'!B169,"")</f>
        <v>18</v>
      </c>
      <c r="Q170" t="str">
        <f>'Both teabags AfterWet'!B587</f>
        <v>n.a</v>
      </c>
      <c r="S170" s="401" t="b">
        <f t="shared" si="54"/>
        <v>0</v>
      </c>
      <c r="T170" s="401" t="b">
        <f t="shared" si="55"/>
        <v>0</v>
      </c>
      <c r="V170" t="str">
        <f>'Both teabags AfterDry'!A169</f>
        <v>G320</v>
      </c>
      <c r="W170" t="str">
        <f>'Both teabags AfterDry'!A506</f>
        <v>R640</v>
      </c>
      <c r="X170" t="b">
        <f t="shared" si="56"/>
        <v>0</v>
      </c>
      <c r="Y170" t="b">
        <f t="shared" si="57"/>
        <v>0</v>
      </c>
      <c r="AA170" t="str">
        <f>'Green_rooibos initial weight'!A171</f>
        <v>G167</v>
      </c>
      <c r="AB170" t="str">
        <f>'Green_rooibos initial weight'!A1075</f>
        <v>R167</v>
      </c>
      <c r="AC170" t="b">
        <f t="shared" si="58"/>
        <v>0</v>
      </c>
      <c r="AD170" t="b">
        <f t="shared" si="59"/>
        <v>0</v>
      </c>
      <c r="AG170" t="str">
        <f>'WetLitterbags placem_collection'!K169</f>
        <v>G429</v>
      </c>
      <c r="AH170" t="str">
        <f>'WetLitterbags placem_collection'!M169</f>
        <v>R255</v>
      </c>
      <c r="AI170" t="b">
        <f t="shared" si="60"/>
        <v>0</v>
      </c>
      <c r="AJ170" t="b">
        <f t="shared" si="61"/>
        <v>0</v>
      </c>
      <c r="AK170">
        <f>'WetLitterbags placem_collection'!A169</f>
        <v>167</v>
      </c>
      <c r="AL170">
        <f>'WetLitterbags placem_collection'!A169</f>
        <v>167</v>
      </c>
      <c r="AN170" t="str">
        <f>IF('Dry_Litterbag Placem_Collection'!J169=0,"",'Dry_Litterbag Placem_Collection'!J169)</f>
        <v/>
      </c>
      <c r="AO170" t="str">
        <f>IF('Dry_Litterbag Placem_Collection'!K169=0,"",'Dry_Litterbag Placem_Collection'!K169)</f>
        <v/>
      </c>
      <c r="AP170" t="b">
        <f t="shared" si="62"/>
        <v>1</v>
      </c>
      <c r="AQ170" t="b">
        <f t="shared" si="63"/>
        <v>1</v>
      </c>
      <c r="AT170" t="str">
        <f>'Ashed teabags dry'!A168</f>
        <v>G323</v>
      </c>
      <c r="AU170" t="str">
        <f>'Ashed teabags dry'!A505</f>
        <v>R640</v>
      </c>
      <c r="AV170" t="b">
        <f t="shared" si="64"/>
        <v>0</v>
      </c>
      <c r="AW170" t="b">
        <f t="shared" si="65"/>
        <v>0</v>
      </c>
      <c r="AZ170" s="401" t="b">
        <f t="shared" si="66"/>
        <v>0</v>
      </c>
      <c r="BA170" s="401" t="b">
        <f t="shared" si="67"/>
        <v>0</v>
      </c>
      <c r="BC170" t="str">
        <f>'Ashed teabags wet'!A168</f>
        <v>G577</v>
      </c>
      <c r="BD170" t="str">
        <f>'Ashed teabags wet'!A585</f>
        <v>R376</v>
      </c>
      <c r="BE170" t="b">
        <f t="shared" si="68"/>
        <v>0</v>
      </c>
      <c r="BF170" t="b">
        <f t="shared" si="69"/>
        <v>0</v>
      </c>
      <c r="BG170">
        <f>IFERROR('Ashed teabags wet'!C168,"")</f>
        <v>5</v>
      </c>
      <c r="BH170">
        <f>IFERROR('Ashed teabags wet'!C585,"")</f>
        <v>43</v>
      </c>
      <c r="BI170" t="str">
        <f>'Ashed teabags wet'!AB168</f>
        <v/>
      </c>
      <c r="BJ170">
        <f>'Ashed teabags wet'!AC168</f>
        <v>4</v>
      </c>
      <c r="BK170">
        <f>'Ashed teabags wet'!AD585</f>
        <v>42</v>
      </c>
      <c r="BL170" t="str">
        <f>'Ashed teabags wet'!AE585</f>
        <v/>
      </c>
      <c r="BN170" t="str">
        <f t="shared" si="70"/>
        <v>G575</v>
      </c>
      <c r="BO170" t="b">
        <f t="shared" si="71"/>
        <v>1</v>
      </c>
    </row>
    <row r="171" spans="2:68" ht="12" customHeight="1">
      <c r="B171" t="str">
        <f>TBIDry!H243</f>
        <v>G70</v>
      </c>
      <c r="C171" t="str">
        <f>TBIDry!I243</f>
        <v>R690</v>
      </c>
      <c r="D171" t="b">
        <f t="shared" si="48"/>
        <v>0</v>
      </c>
      <c r="E171" t="b">
        <f t="shared" si="49"/>
        <v>0</v>
      </c>
      <c r="G171" t="str">
        <f>TBIWet!H243</f>
        <v>G461</v>
      </c>
      <c r="H171" t="str">
        <f>TBIWet!I243</f>
        <v>R534</v>
      </c>
      <c r="I171" t="b">
        <f t="shared" si="50"/>
        <v>0</v>
      </c>
      <c r="J171" t="b">
        <f t="shared" si="51"/>
        <v>0</v>
      </c>
      <c r="L171" t="str">
        <f>'Both teabags AfterWet'!A170</f>
        <v>G574</v>
      </c>
      <c r="M171" s="113" t="str">
        <f>'Both teabags AfterWet'!A588</f>
        <v>R364</v>
      </c>
      <c r="N171" t="b">
        <f t="shared" si="52"/>
        <v>0</v>
      </c>
      <c r="O171" t="b">
        <f t="shared" si="53"/>
        <v>0</v>
      </c>
      <c r="P171">
        <f>IFERROR('Both teabags AfterWet'!B170,"")</f>
        <v>206</v>
      </c>
      <c r="Q171" t="str">
        <f>'Both teabags AfterWet'!B588</f>
        <v>n.a</v>
      </c>
      <c r="S171" s="401" t="b">
        <f t="shared" si="54"/>
        <v>0</v>
      </c>
      <c r="T171" s="113" t="b">
        <f t="shared" si="55"/>
        <v>1</v>
      </c>
      <c r="V171" t="str">
        <f>'Both teabags AfterDry'!A170</f>
        <v>G322</v>
      </c>
      <c r="W171" t="str">
        <f>'Both teabags AfterDry'!A507</f>
        <v>R641</v>
      </c>
      <c r="X171" t="b">
        <f t="shared" si="56"/>
        <v>0</v>
      </c>
      <c r="Y171" t="b">
        <f t="shared" si="57"/>
        <v>0</v>
      </c>
      <c r="AA171" t="str">
        <f>'Green_rooibos initial weight'!A172</f>
        <v>G168</v>
      </c>
      <c r="AB171" t="str">
        <f>'Green_rooibos initial weight'!A1076</f>
        <v>R168</v>
      </c>
      <c r="AC171" t="b">
        <f t="shared" si="58"/>
        <v>0</v>
      </c>
      <c r="AD171" t="b">
        <f t="shared" si="59"/>
        <v>0</v>
      </c>
      <c r="AG171" t="str">
        <f>'WetLitterbags placem_collection'!K170</f>
        <v>G461</v>
      </c>
      <c r="AH171" t="str">
        <f>'WetLitterbags placem_collection'!M170</f>
        <v>R534</v>
      </c>
      <c r="AI171" t="b">
        <f t="shared" si="60"/>
        <v>0</v>
      </c>
      <c r="AJ171" t="b">
        <f t="shared" si="61"/>
        <v>0</v>
      </c>
      <c r="AK171">
        <f>'WetLitterbags placem_collection'!A170</f>
        <v>168</v>
      </c>
      <c r="AL171">
        <f>'WetLitterbags placem_collection'!A170</f>
        <v>168</v>
      </c>
      <c r="AN171">
        <f>IF('Dry_Litterbag Placem_Collection'!J170=0,"",'Dry_Litterbag Placem_Collection'!J170)</f>
        <v>70</v>
      </c>
      <c r="AO171">
        <f>IF('Dry_Litterbag Placem_Collection'!K170=0,"",'Dry_Litterbag Placem_Collection'!K170)</f>
        <v>690</v>
      </c>
      <c r="AP171" t="b">
        <f t="shared" si="62"/>
        <v>0</v>
      </c>
      <c r="AQ171" t="b">
        <f t="shared" si="63"/>
        <v>0</v>
      </c>
      <c r="AT171" t="str">
        <f>'Ashed teabags dry'!A169</f>
        <v>G324</v>
      </c>
      <c r="AU171" t="str">
        <f>'Ashed teabags dry'!A506</f>
        <v>R641</v>
      </c>
      <c r="AV171" t="b">
        <f t="shared" si="64"/>
        <v>0</v>
      </c>
      <c r="AW171" t="b">
        <f t="shared" si="65"/>
        <v>0</v>
      </c>
      <c r="AZ171" s="401" t="b">
        <f t="shared" si="66"/>
        <v>0</v>
      </c>
      <c r="BA171" s="401" t="b">
        <f t="shared" si="67"/>
        <v>0</v>
      </c>
      <c r="BC171" t="str">
        <f>'Ashed teabags wet'!A169</f>
        <v>G579</v>
      </c>
      <c r="BD171" t="str">
        <f>'Ashed teabags wet'!A586</f>
        <v>R378</v>
      </c>
      <c r="BE171" t="b">
        <f t="shared" si="68"/>
        <v>0</v>
      </c>
      <c r="BF171" t="b">
        <f t="shared" si="69"/>
        <v>0</v>
      </c>
      <c r="BG171">
        <f>IFERROR('Ashed teabags wet'!C169,"")</f>
        <v>74</v>
      </c>
      <c r="BH171">
        <f>IFERROR('Ashed teabags wet'!C586,"")</f>
        <v>195</v>
      </c>
      <c r="BI171" t="str">
        <f>'Ashed teabags wet'!AB169</f>
        <v/>
      </c>
      <c r="BJ171">
        <f>'Ashed teabags wet'!AC169</f>
        <v>73</v>
      </c>
      <c r="BK171">
        <f>'Ashed teabags wet'!AD586</f>
        <v>194</v>
      </c>
      <c r="BL171" t="str">
        <f>'Ashed teabags wet'!AE586</f>
        <v/>
      </c>
      <c r="BN171" t="str">
        <f t="shared" si="70"/>
        <v>G577</v>
      </c>
      <c r="BO171" t="b">
        <f t="shared" si="71"/>
        <v>1</v>
      </c>
    </row>
    <row r="172" spans="2:68" ht="12" customHeight="1">
      <c r="B172" t="str">
        <f>TBIDry!H244</f>
        <v>G250</v>
      </c>
      <c r="C172" t="str">
        <f>TBIDry!I244</f>
        <v>R684</v>
      </c>
      <c r="D172" s="113" t="b">
        <f t="shared" si="48"/>
        <v>0</v>
      </c>
      <c r="E172" t="b">
        <f t="shared" si="49"/>
        <v>0</v>
      </c>
      <c r="G172" t="str">
        <f>TBIWet!H244</f>
        <v>G425</v>
      </c>
      <c r="H172" t="str">
        <f>TBIWet!I244</f>
        <v>R453</v>
      </c>
      <c r="I172" t="b">
        <f t="shared" si="50"/>
        <v>0</v>
      </c>
      <c r="J172" t="b">
        <f t="shared" si="51"/>
        <v>0</v>
      </c>
      <c r="L172" t="str">
        <f>'Both teabags AfterWet'!A171</f>
        <v>G575</v>
      </c>
      <c r="M172" t="str">
        <f>'Both teabags AfterWet'!A589</f>
        <v>R368</v>
      </c>
      <c r="N172" t="b">
        <f t="shared" si="52"/>
        <v>0</v>
      </c>
      <c r="O172" t="b">
        <f t="shared" si="53"/>
        <v>0</v>
      </c>
      <c r="P172" t="str">
        <f>IFERROR('Both teabags AfterWet'!B171,"")</f>
        <v>n.a</v>
      </c>
      <c r="Q172">
        <f>'Both teabags AfterWet'!B589</f>
        <v>82</v>
      </c>
      <c r="S172" s="401" t="b">
        <f t="shared" si="54"/>
        <v>0</v>
      </c>
      <c r="T172" s="401" t="b">
        <f t="shared" si="55"/>
        <v>0</v>
      </c>
      <c r="V172" t="str">
        <f>'Both teabags AfterDry'!A171</f>
        <v>G323</v>
      </c>
      <c r="W172" t="str">
        <f>'Both teabags AfterDry'!A508</f>
        <v>R642</v>
      </c>
      <c r="X172" t="b">
        <f t="shared" si="56"/>
        <v>0</v>
      </c>
      <c r="Y172" t="b">
        <f t="shared" si="57"/>
        <v>0</v>
      </c>
      <c r="AA172" t="str">
        <f>'Green_rooibos initial weight'!A173</f>
        <v>G169</v>
      </c>
      <c r="AB172" t="str">
        <f>'Green_rooibos initial weight'!A1077</f>
        <v>R169</v>
      </c>
      <c r="AC172" t="b">
        <f t="shared" si="58"/>
        <v>0</v>
      </c>
      <c r="AD172" t="b">
        <f t="shared" si="59"/>
        <v>0</v>
      </c>
      <c r="AG172" t="str">
        <f>'WetLitterbags placem_collection'!K171</f>
        <v>G425</v>
      </c>
      <c r="AH172" t="str">
        <f>'WetLitterbags placem_collection'!M171</f>
        <v>R453</v>
      </c>
      <c r="AI172" t="b">
        <f t="shared" si="60"/>
        <v>0</v>
      </c>
      <c r="AJ172" t="b">
        <f t="shared" si="61"/>
        <v>0</v>
      </c>
      <c r="AK172">
        <f>'WetLitterbags placem_collection'!A171</f>
        <v>169</v>
      </c>
      <c r="AL172">
        <f>'WetLitterbags placem_collection'!A171</f>
        <v>169</v>
      </c>
      <c r="AN172">
        <f>IF('Dry_Litterbag Placem_Collection'!J171=0,"",'Dry_Litterbag Placem_Collection'!J171)</f>
        <v>250</v>
      </c>
      <c r="AO172">
        <f>IF('Dry_Litterbag Placem_Collection'!K171=0,"",'Dry_Litterbag Placem_Collection'!K171)</f>
        <v>684</v>
      </c>
      <c r="AP172" t="b">
        <f t="shared" si="62"/>
        <v>0</v>
      </c>
      <c r="AQ172" t="b">
        <f t="shared" si="63"/>
        <v>0</v>
      </c>
      <c r="AT172" t="str">
        <f>'Ashed teabags dry'!A170</f>
        <v>G326</v>
      </c>
      <c r="AU172" t="str">
        <f>'Ashed teabags dry'!A507</f>
        <v>R642</v>
      </c>
      <c r="AV172" t="b">
        <f t="shared" si="64"/>
        <v>0</v>
      </c>
      <c r="AW172" t="b">
        <f t="shared" si="65"/>
        <v>0</v>
      </c>
      <c r="AZ172" s="401" t="b">
        <f t="shared" si="66"/>
        <v>0</v>
      </c>
      <c r="BA172" s="401" t="b">
        <f t="shared" si="67"/>
        <v>0</v>
      </c>
      <c r="BC172" t="str">
        <f>'Ashed teabags wet'!A170</f>
        <v>G581</v>
      </c>
      <c r="BD172" t="str">
        <f>'Ashed teabags wet'!A587</f>
        <v>R38</v>
      </c>
      <c r="BE172" t="b">
        <f t="shared" si="68"/>
        <v>0</v>
      </c>
      <c r="BF172" t="b">
        <f t="shared" si="69"/>
        <v>0</v>
      </c>
      <c r="BG172">
        <f>IFERROR('Ashed teabags wet'!C170,"")</f>
        <v>214</v>
      </c>
      <c r="BH172">
        <f>IFERROR('Ashed teabags wet'!C587,"")</f>
        <v>5</v>
      </c>
      <c r="BI172" t="str">
        <f>'Ashed teabags wet'!AB170</f>
        <v/>
      </c>
      <c r="BJ172">
        <f>'Ashed teabags wet'!AC170</f>
        <v>213</v>
      </c>
      <c r="BK172" t="str">
        <f>'Ashed teabags wet'!AD587</f>
        <v/>
      </c>
      <c r="BL172">
        <f>'Ashed teabags wet'!AE587</f>
        <v>4</v>
      </c>
      <c r="BN172" t="str">
        <f t="shared" si="70"/>
        <v>G579</v>
      </c>
      <c r="BO172" t="b">
        <f t="shared" si="71"/>
        <v>1</v>
      </c>
    </row>
    <row r="173" spans="2:68" ht="12" customHeight="1">
      <c r="B173" t="str">
        <f>TBIDry!H245</f>
        <v>G624</v>
      </c>
      <c r="C173" t="str">
        <f>TBIDry!I245</f>
        <v>R694</v>
      </c>
      <c r="D173" t="b">
        <f t="shared" si="48"/>
        <v>0</v>
      </c>
      <c r="E173" t="b">
        <f t="shared" si="49"/>
        <v>0</v>
      </c>
      <c r="G173" t="str">
        <f>TBIWet!H245</f>
        <v>G433</v>
      </c>
      <c r="H173" t="str">
        <f>TBIWet!I245</f>
        <v>R330</v>
      </c>
      <c r="I173" t="b">
        <f t="shared" si="50"/>
        <v>0</v>
      </c>
      <c r="J173" t="b">
        <f t="shared" si="51"/>
        <v>0</v>
      </c>
      <c r="L173" t="str">
        <f>'Both teabags AfterWet'!A172</f>
        <v>G576</v>
      </c>
      <c r="M173" t="str">
        <f>'Both teabags AfterWet'!A590</f>
        <v>R37</v>
      </c>
      <c r="N173" t="b">
        <f t="shared" si="52"/>
        <v>0</v>
      </c>
      <c r="O173" t="b">
        <f t="shared" si="53"/>
        <v>0</v>
      </c>
      <c r="P173">
        <f>IFERROR('Both teabags AfterWet'!B172,"")</f>
        <v>158</v>
      </c>
      <c r="Q173">
        <f>'Both teabags AfterWet'!B590</f>
        <v>114</v>
      </c>
      <c r="S173" s="401" t="b">
        <f t="shared" si="54"/>
        <v>0</v>
      </c>
      <c r="T173" s="401" t="b">
        <f t="shared" si="55"/>
        <v>0</v>
      </c>
      <c r="V173" t="str">
        <f>'Both teabags AfterDry'!A172</f>
        <v>G324</v>
      </c>
      <c r="W173" t="str">
        <f>'Both teabags AfterDry'!A509</f>
        <v>R645</v>
      </c>
      <c r="X173" t="b">
        <f t="shared" si="56"/>
        <v>0</v>
      </c>
      <c r="Y173" t="b">
        <f t="shared" si="57"/>
        <v>0</v>
      </c>
      <c r="AA173" t="str">
        <f>'Green_rooibos initial weight'!A174</f>
        <v>G170</v>
      </c>
      <c r="AB173" t="str">
        <f>'Green_rooibos initial weight'!A1078</f>
        <v>R170</v>
      </c>
      <c r="AC173" t="b">
        <f t="shared" si="58"/>
        <v>0</v>
      </c>
      <c r="AD173" t="b">
        <f t="shared" si="59"/>
        <v>0</v>
      </c>
      <c r="AG173" t="str">
        <f>'WetLitterbags placem_collection'!K172</f>
        <v>G433</v>
      </c>
      <c r="AH173" t="str">
        <f>'WetLitterbags placem_collection'!M172</f>
        <v>R330</v>
      </c>
      <c r="AI173" t="b">
        <f t="shared" si="60"/>
        <v>0</v>
      </c>
      <c r="AJ173" t="b">
        <f t="shared" si="61"/>
        <v>0</v>
      </c>
      <c r="AK173">
        <f>'WetLitterbags placem_collection'!A172</f>
        <v>170</v>
      </c>
      <c r="AL173">
        <f>'WetLitterbags placem_collection'!A172</f>
        <v>170</v>
      </c>
      <c r="AN173">
        <f>IF('Dry_Litterbag Placem_Collection'!J172=0,"",'Dry_Litterbag Placem_Collection'!J172)</f>
        <v>624</v>
      </c>
      <c r="AO173">
        <f>IF('Dry_Litterbag Placem_Collection'!K172=0,"",'Dry_Litterbag Placem_Collection'!K172)</f>
        <v>694</v>
      </c>
      <c r="AP173" t="b">
        <f t="shared" si="62"/>
        <v>0</v>
      </c>
      <c r="AQ173" t="b">
        <f t="shared" si="63"/>
        <v>0</v>
      </c>
      <c r="AT173" t="str">
        <f>'Ashed teabags dry'!A171</f>
        <v>G329</v>
      </c>
      <c r="AU173" t="str">
        <f>'Ashed teabags dry'!A508</f>
        <v>R645</v>
      </c>
      <c r="AV173" t="b">
        <f t="shared" si="64"/>
        <v>0</v>
      </c>
      <c r="AW173" t="b">
        <f t="shared" si="65"/>
        <v>0</v>
      </c>
      <c r="AZ173" s="401" t="b">
        <f t="shared" si="66"/>
        <v>0</v>
      </c>
      <c r="BA173" s="401" t="b">
        <f t="shared" si="67"/>
        <v>0</v>
      </c>
      <c r="BC173" t="str">
        <f>'Ashed teabags wet'!A171</f>
        <v>G582</v>
      </c>
      <c r="BD173" t="str">
        <f>'Ashed teabags wet'!A588</f>
        <v>R380</v>
      </c>
      <c r="BE173" t="b">
        <f t="shared" si="68"/>
        <v>0</v>
      </c>
      <c r="BF173" t="b">
        <f t="shared" si="69"/>
        <v>0</v>
      </c>
      <c r="BG173">
        <f>IFERROR('Ashed teabags wet'!C171,"")</f>
        <v>40</v>
      </c>
      <c r="BH173">
        <f>IFERROR('Ashed teabags wet'!C588,"")</f>
        <v>17</v>
      </c>
      <c r="BI173">
        <f>'Ashed teabags wet'!AB171</f>
        <v>39</v>
      </c>
      <c r="BJ173" t="str">
        <f>'Ashed teabags wet'!AC171</f>
        <v/>
      </c>
      <c r="BK173" t="str">
        <f>'Ashed teabags wet'!AD588</f>
        <v/>
      </c>
      <c r="BL173">
        <f>'Ashed teabags wet'!AE588</f>
        <v>16</v>
      </c>
      <c r="BN173" t="str">
        <f t="shared" si="70"/>
        <v>G581</v>
      </c>
      <c r="BO173" t="b">
        <f t="shared" si="71"/>
        <v>1</v>
      </c>
    </row>
    <row r="174" spans="2:68" ht="12" customHeight="1">
      <c r="B174" t="str">
        <f>TBIDry!H246</f>
        <v>G149</v>
      </c>
      <c r="C174" t="str">
        <f>TBIDry!I246</f>
        <v>R655</v>
      </c>
      <c r="D174" t="b">
        <f t="shared" si="48"/>
        <v>0</v>
      </c>
      <c r="E174" t="b">
        <f t="shared" si="49"/>
        <v>0</v>
      </c>
      <c r="G174" t="str">
        <f>TBIWet!H246</f>
        <v>G656</v>
      </c>
      <c r="H174" t="str">
        <f>TBIWet!I246</f>
        <v>R558</v>
      </c>
      <c r="I174" t="b">
        <f t="shared" si="50"/>
        <v>0</v>
      </c>
      <c r="J174" t="b">
        <f t="shared" si="51"/>
        <v>0</v>
      </c>
      <c r="L174" t="str">
        <f>'Both teabags AfterWet'!A173</f>
        <v>G577</v>
      </c>
      <c r="M174" t="str">
        <f>'Both teabags AfterWet'!A591</f>
        <v>R370</v>
      </c>
      <c r="N174" t="b">
        <f t="shared" si="52"/>
        <v>0</v>
      </c>
      <c r="O174" t="b">
        <f t="shared" si="53"/>
        <v>0</v>
      </c>
      <c r="P174" t="str">
        <f>IFERROR('Both teabags AfterWet'!B173,"")</f>
        <v>n.a</v>
      </c>
      <c r="Q174" t="str">
        <f>'Both teabags AfterWet'!B591</f>
        <v>n.a</v>
      </c>
      <c r="S174" s="401" t="b">
        <f t="shared" si="54"/>
        <v>0</v>
      </c>
      <c r="T174" s="401" t="b">
        <f t="shared" si="55"/>
        <v>0</v>
      </c>
      <c r="V174" t="str">
        <f>'Both teabags AfterDry'!A173</f>
        <v>G326</v>
      </c>
      <c r="W174" t="str">
        <f>'Both teabags AfterDry'!A510</f>
        <v>R646</v>
      </c>
      <c r="X174" t="b">
        <f t="shared" si="56"/>
        <v>0</v>
      </c>
      <c r="Y174" t="b">
        <f t="shared" si="57"/>
        <v>0</v>
      </c>
      <c r="AA174" t="str">
        <f>'Green_rooibos initial weight'!A175</f>
        <v>G171</v>
      </c>
      <c r="AB174" t="str">
        <f>'Green_rooibos initial weight'!A1079</f>
        <v>R171</v>
      </c>
      <c r="AC174" t="b">
        <f t="shared" si="58"/>
        <v>0</v>
      </c>
      <c r="AD174" t="b">
        <f t="shared" si="59"/>
        <v>0</v>
      </c>
      <c r="AG174" t="str">
        <f>'WetLitterbags placem_collection'!K173</f>
        <v>G656</v>
      </c>
      <c r="AH174" t="str">
        <f>'WetLitterbags placem_collection'!M173</f>
        <v>R558</v>
      </c>
      <c r="AI174" t="b">
        <f t="shared" si="60"/>
        <v>0</v>
      </c>
      <c r="AJ174" t="b">
        <f t="shared" si="61"/>
        <v>0</v>
      </c>
      <c r="AK174">
        <f>'WetLitterbags placem_collection'!A173</f>
        <v>171</v>
      </c>
      <c r="AL174">
        <f>'WetLitterbags placem_collection'!A173</f>
        <v>171</v>
      </c>
      <c r="AN174">
        <f>IF('Dry_Litterbag Placem_Collection'!J173=0,"",'Dry_Litterbag Placem_Collection'!J173)</f>
        <v>149</v>
      </c>
      <c r="AO174">
        <f>IF('Dry_Litterbag Placem_Collection'!K173=0,"",'Dry_Litterbag Placem_Collection'!K173)</f>
        <v>655</v>
      </c>
      <c r="AP174" t="b">
        <f t="shared" si="62"/>
        <v>0</v>
      </c>
      <c r="AQ174" t="b">
        <f t="shared" si="63"/>
        <v>0</v>
      </c>
      <c r="AT174" t="str">
        <f>'Ashed teabags dry'!A172</f>
        <v>G331</v>
      </c>
      <c r="AU174" t="str">
        <f>'Ashed teabags dry'!A509</f>
        <v>R646</v>
      </c>
      <c r="AV174" t="b">
        <f t="shared" si="64"/>
        <v>0</v>
      </c>
      <c r="AW174" t="b">
        <f t="shared" si="65"/>
        <v>0</v>
      </c>
      <c r="AZ174" s="401" t="b">
        <f t="shared" si="66"/>
        <v>0</v>
      </c>
      <c r="BA174" s="401" t="b">
        <f t="shared" si="67"/>
        <v>0</v>
      </c>
      <c r="BC174" t="str">
        <f>'Ashed teabags wet'!A172</f>
        <v>G583</v>
      </c>
      <c r="BD174" t="str">
        <f>'Ashed teabags wet'!A589</f>
        <v>R381</v>
      </c>
      <c r="BE174" t="b">
        <f t="shared" si="68"/>
        <v>0</v>
      </c>
      <c r="BF174" t="b">
        <f t="shared" si="69"/>
        <v>0</v>
      </c>
      <c r="BG174">
        <f>IFERROR('Ashed teabags wet'!C172,"")</f>
        <v>27</v>
      </c>
      <c r="BH174">
        <f>IFERROR('Ashed teabags wet'!C589,"")</f>
        <v>211</v>
      </c>
      <c r="BI174">
        <f>'Ashed teabags wet'!AB172</f>
        <v>26</v>
      </c>
      <c r="BJ174" t="str">
        <f>'Ashed teabags wet'!AC172</f>
        <v/>
      </c>
      <c r="BK174">
        <f>'Ashed teabags wet'!AD589</f>
        <v>210</v>
      </c>
      <c r="BL174" t="str">
        <f>'Ashed teabags wet'!AE589</f>
        <v/>
      </c>
      <c r="BN174" t="str">
        <f t="shared" si="70"/>
        <v>G582</v>
      </c>
      <c r="BO174" t="b">
        <f t="shared" si="71"/>
        <v>1</v>
      </c>
      <c r="BP174" s="402"/>
    </row>
    <row r="175" spans="2:68" ht="12" customHeight="1">
      <c r="B175" t="str">
        <f>TBIDry!H247</f>
        <v/>
      </c>
      <c r="C175" t="str">
        <f>TBIDry!I247</f>
        <v/>
      </c>
      <c r="D175" t="b">
        <f t="shared" si="48"/>
        <v>1</v>
      </c>
      <c r="E175" t="b">
        <f t="shared" si="49"/>
        <v>1</v>
      </c>
      <c r="G175" t="str">
        <f>TBIWet!H247</f>
        <v>G281</v>
      </c>
      <c r="H175" t="str">
        <f>TBIWet!I247</f>
        <v>R157</v>
      </c>
      <c r="I175" t="b">
        <f t="shared" si="50"/>
        <v>0</v>
      </c>
      <c r="J175" t="b">
        <f t="shared" si="51"/>
        <v>0</v>
      </c>
      <c r="L175" t="str">
        <f>'Both teabags AfterWet'!A174</f>
        <v>G579</v>
      </c>
      <c r="M175" t="str">
        <f>'Both teabags AfterWet'!A592</f>
        <v>R371</v>
      </c>
      <c r="N175" t="b">
        <f t="shared" si="52"/>
        <v>0</v>
      </c>
      <c r="O175" t="b">
        <f t="shared" si="53"/>
        <v>0</v>
      </c>
      <c r="P175">
        <f>IFERROR('Both teabags AfterWet'!B174,"")</f>
        <v>74</v>
      </c>
      <c r="Q175">
        <f>'Both teabags AfterWet'!B592</f>
        <v>42</v>
      </c>
      <c r="S175" s="401" t="b">
        <f t="shared" si="54"/>
        <v>0</v>
      </c>
      <c r="T175" s="401" t="b">
        <f t="shared" si="55"/>
        <v>0</v>
      </c>
      <c r="V175" t="str">
        <f>'Both teabags AfterDry'!A174</f>
        <v>G329</v>
      </c>
      <c r="W175" t="str">
        <f>'Both teabags AfterDry'!A511</f>
        <v>R647</v>
      </c>
      <c r="X175" t="b">
        <f t="shared" si="56"/>
        <v>0</v>
      </c>
      <c r="Y175" t="b">
        <f t="shared" si="57"/>
        <v>0</v>
      </c>
      <c r="AA175" t="str">
        <f>'Green_rooibos initial weight'!A176</f>
        <v>G172</v>
      </c>
      <c r="AB175" t="str">
        <f>'Green_rooibos initial weight'!A1080</f>
        <v>R172</v>
      </c>
      <c r="AC175" t="b">
        <f t="shared" si="58"/>
        <v>0</v>
      </c>
      <c r="AD175" t="b">
        <f t="shared" si="59"/>
        <v>0</v>
      </c>
      <c r="AG175" t="str">
        <f>'WetLitterbags placem_collection'!K174</f>
        <v>G281</v>
      </c>
      <c r="AH175" t="str">
        <f>'WetLitterbags placem_collection'!M174</f>
        <v>R157</v>
      </c>
      <c r="AI175" t="b">
        <f t="shared" si="60"/>
        <v>0</v>
      </c>
      <c r="AJ175" t="b">
        <f t="shared" si="61"/>
        <v>0</v>
      </c>
      <c r="AK175">
        <f>'WetLitterbags placem_collection'!A174</f>
        <v>172</v>
      </c>
      <c r="AL175">
        <f>'WetLitterbags placem_collection'!A174</f>
        <v>172</v>
      </c>
      <c r="AN175" t="str">
        <f>IF('Dry_Litterbag Placem_Collection'!J174=0,"",'Dry_Litterbag Placem_Collection'!J174)</f>
        <v/>
      </c>
      <c r="AO175" t="str">
        <f>IF('Dry_Litterbag Placem_Collection'!K174=0,"",'Dry_Litterbag Placem_Collection'!K174)</f>
        <v/>
      </c>
      <c r="AP175" t="b">
        <f t="shared" si="62"/>
        <v>1</v>
      </c>
      <c r="AQ175" t="b">
        <f t="shared" si="63"/>
        <v>1</v>
      </c>
      <c r="AT175" t="str">
        <f>'Ashed teabags dry'!A173</f>
        <v>G332</v>
      </c>
      <c r="AU175" t="str">
        <f>'Ashed teabags dry'!A510</f>
        <v>R647</v>
      </c>
      <c r="AV175" t="b">
        <f t="shared" si="64"/>
        <v>0</v>
      </c>
      <c r="AW175" t="b">
        <f t="shared" si="65"/>
        <v>0</v>
      </c>
      <c r="AZ175" s="401" t="b">
        <f t="shared" si="66"/>
        <v>0</v>
      </c>
      <c r="BA175" s="401" t="b">
        <f t="shared" si="67"/>
        <v>0</v>
      </c>
      <c r="BC175" t="str">
        <f>'Ashed teabags wet'!A173</f>
        <v>G584</v>
      </c>
      <c r="BD175" t="str">
        <f>'Ashed teabags wet'!A590</f>
        <v>R382</v>
      </c>
      <c r="BE175" t="b">
        <f t="shared" si="68"/>
        <v>0</v>
      </c>
      <c r="BF175" t="b">
        <f t="shared" si="69"/>
        <v>0</v>
      </c>
      <c r="BG175">
        <f>IFERROR('Ashed teabags wet'!C173,"")</f>
        <v>193</v>
      </c>
      <c r="BH175">
        <f>IFERROR('Ashed teabags wet'!C590,"")</f>
        <v>14</v>
      </c>
      <c r="BI175" t="str">
        <f>'Ashed teabags wet'!AB173</f>
        <v/>
      </c>
      <c r="BJ175">
        <f>'Ashed teabags wet'!AC173</f>
        <v>192</v>
      </c>
      <c r="BK175">
        <f>'Ashed teabags wet'!AD590</f>
        <v>13</v>
      </c>
      <c r="BL175" t="str">
        <f>'Ashed teabags wet'!AE590</f>
        <v/>
      </c>
      <c r="BN175" t="str">
        <f t="shared" si="70"/>
        <v>G583</v>
      </c>
      <c r="BO175" t="b">
        <f t="shared" si="71"/>
        <v>1</v>
      </c>
    </row>
    <row r="176" spans="2:68" ht="12" customHeight="1">
      <c r="B176" t="str">
        <f>TBIDry!H248</f>
        <v>G597</v>
      </c>
      <c r="C176" t="str">
        <f>TBIDry!I248</f>
        <v>R405</v>
      </c>
      <c r="D176" t="b">
        <f t="shared" si="48"/>
        <v>0</v>
      </c>
      <c r="E176" t="b">
        <f t="shared" si="49"/>
        <v>0</v>
      </c>
      <c r="G176" t="str">
        <f>TBIWet!H248</f>
        <v>G216</v>
      </c>
      <c r="H176" t="str">
        <f>TBIWet!I248</f>
        <v>R57</v>
      </c>
      <c r="I176" t="b">
        <f t="shared" si="50"/>
        <v>0</v>
      </c>
      <c r="J176" t="b">
        <f t="shared" si="51"/>
        <v>0</v>
      </c>
      <c r="L176" t="str">
        <f>'Both teabags AfterWet'!A175</f>
        <v>G581</v>
      </c>
      <c r="M176" t="str">
        <f>'Both teabags AfterWet'!A593</f>
        <v>R372</v>
      </c>
      <c r="N176" t="b">
        <f t="shared" si="52"/>
        <v>0</v>
      </c>
      <c r="O176" t="b">
        <f t="shared" si="53"/>
        <v>0</v>
      </c>
      <c r="P176">
        <f>IFERROR('Both teabags AfterWet'!B175,"")</f>
        <v>214</v>
      </c>
      <c r="Q176" t="str">
        <f>'Both teabags AfterWet'!B593</f>
        <v>n.a</v>
      </c>
      <c r="S176" s="401" t="b">
        <f t="shared" si="54"/>
        <v>0</v>
      </c>
      <c r="T176" s="401" t="b">
        <f t="shared" si="55"/>
        <v>0</v>
      </c>
      <c r="V176" t="str">
        <f>'Both teabags AfterDry'!A175</f>
        <v>G331</v>
      </c>
      <c r="W176" t="str">
        <f>'Both teabags AfterDry'!A512</f>
        <v>R648</v>
      </c>
      <c r="X176" t="b">
        <f t="shared" si="56"/>
        <v>0</v>
      </c>
      <c r="Y176" t="b">
        <f t="shared" si="57"/>
        <v>0</v>
      </c>
      <c r="AA176" t="str">
        <f>'Green_rooibos initial weight'!A177</f>
        <v>G173</v>
      </c>
      <c r="AB176" t="str">
        <f>'Green_rooibos initial weight'!A1081</f>
        <v>R173</v>
      </c>
      <c r="AC176" t="b">
        <f t="shared" si="58"/>
        <v>0</v>
      </c>
      <c r="AD176" t="b">
        <f t="shared" si="59"/>
        <v>0</v>
      </c>
      <c r="AG176" t="str">
        <f>'WetLitterbags placem_collection'!K175</f>
        <v>G216</v>
      </c>
      <c r="AH176" t="str">
        <f>'WetLitterbags placem_collection'!M175</f>
        <v>R57</v>
      </c>
      <c r="AI176" t="b">
        <f t="shared" si="60"/>
        <v>0</v>
      </c>
      <c r="AJ176" t="b">
        <f t="shared" si="61"/>
        <v>0</v>
      </c>
      <c r="AK176">
        <f>'WetLitterbags placem_collection'!A175</f>
        <v>173</v>
      </c>
      <c r="AL176">
        <f>'WetLitterbags placem_collection'!A175</f>
        <v>173</v>
      </c>
      <c r="AN176">
        <f>IF('Dry_Litterbag Placem_Collection'!J175=0,"",'Dry_Litterbag Placem_Collection'!J175)</f>
        <v>597</v>
      </c>
      <c r="AO176">
        <f>IF('Dry_Litterbag Placem_Collection'!K175=0,"",'Dry_Litterbag Placem_Collection'!K175)</f>
        <v>405</v>
      </c>
      <c r="AP176" t="b">
        <f t="shared" si="62"/>
        <v>0</v>
      </c>
      <c r="AQ176" t="b">
        <f t="shared" si="63"/>
        <v>0</v>
      </c>
      <c r="AT176" t="str">
        <f>'Ashed teabags dry'!A174</f>
        <v>G335</v>
      </c>
      <c r="AU176" t="str">
        <f>'Ashed teabags dry'!A511</f>
        <v>R648</v>
      </c>
      <c r="AV176" t="b">
        <f t="shared" si="64"/>
        <v>0</v>
      </c>
      <c r="AW176" t="b">
        <f t="shared" si="65"/>
        <v>0</v>
      </c>
      <c r="AZ176" s="401" t="b">
        <f t="shared" si="66"/>
        <v>0</v>
      </c>
      <c r="BA176" s="401" t="b">
        <f t="shared" si="67"/>
        <v>0</v>
      </c>
      <c r="BC176" t="str">
        <f>'Ashed teabags wet'!A174</f>
        <v>G585</v>
      </c>
      <c r="BD176" t="str">
        <f>'Ashed teabags wet'!A591</f>
        <v>R383</v>
      </c>
      <c r="BE176" t="b">
        <f t="shared" si="68"/>
        <v>0</v>
      </c>
      <c r="BF176" t="b">
        <f t="shared" si="69"/>
        <v>0</v>
      </c>
      <c r="BG176">
        <f>IFERROR('Ashed teabags wet'!C174,"")</f>
        <v>183</v>
      </c>
      <c r="BH176">
        <f>IFERROR('Ashed teabags wet'!C591,"")</f>
        <v>214</v>
      </c>
      <c r="BI176">
        <f>'Ashed teabags wet'!AB174</f>
        <v>182</v>
      </c>
      <c r="BJ176" t="str">
        <f>'Ashed teabags wet'!AC174</f>
        <v/>
      </c>
      <c r="BK176">
        <f>'Ashed teabags wet'!AD591</f>
        <v>213</v>
      </c>
      <c r="BL176" t="str">
        <f>'Ashed teabags wet'!AE591</f>
        <v/>
      </c>
      <c r="BN176" t="str">
        <f t="shared" si="70"/>
        <v>G584</v>
      </c>
      <c r="BO176" t="b">
        <f t="shared" si="71"/>
        <v>1</v>
      </c>
    </row>
    <row r="177" spans="2:67" ht="12" customHeight="1">
      <c r="B177" t="str">
        <f>TBIDry!H249</f>
        <v>G396</v>
      </c>
      <c r="C177" t="str">
        <f>TBIDry!I249</f>
        <v>R736</v>
      </c>
      <c r="D177" t="b">
        <f t="shared" si="48"/>
        <v>0</v>
      </c>
      <c r="E177" t="b">
        <f t="shared" si="49"/>
        <v>0</v>
      </c>
      <c r="G177" t="str">
        <f>TBIWet!H249</f>
        <v>G655</v>
      </c>
      <c r="H177" t="str">
        <f>TBIWet!I249</f>
        <v>R307</v>
      </c>
      <c r="I177" t="b">
        <f t="shared" si="50"/>
        <v>0</v>
      </c>
      <c r="J177" t="b">
        <f t="shared" si="51"/>
        <v>0</v>
      </c>
      <c r="L177" t="str">
        <f>'Both teabags AfterWet'!A176</f>
        <v>G582</v>
      </c>
      <c r="M177" t="str">
        <f>'Both teabags AfterWet'!A594</f>
        <v>R375</v>
      </c>
      <c r="N177" t="b">
        <f t="shared" si="52"/>
        <v>0</v>
      </c>
      <c r="O177" t="b">
        <f t="shared" si="53"/>
        <v>0</v>
      </c>
      <c r="P177">
        <f>IFERROR('Both teabags AfterWet'!B176,"")</f>
        <v>40</v>
      </c>
      <c r="Q177" t="str">
        <f>'Both teabags AfterWet'!B594</f>
        <v>n.a</v>
      </c>
      <c r="S177" s="401" t="b">
        <f t="shared" si="54"/>
        <v>0</v>
      </c>
      <c r="T177" s="401" t="b">
        <f t="shared" si="55"/>
        <v>0</v>
      </c>
      <c r="V177" t="str">
        <f>'Both teabags AfterDry'!A176</f>
        <v>G332</v>
      </c>
      <c r="W177" t="str">
        <f>'Both teabags AfterDry'!A513</f>
        <v>R649</v>
      </c>
      <c r="X177" t="b">
        <f t="shared" si="56"/>
        <v>0</v>
      </c>
      <c r="Y177" t="b">
        <f t="shared" si="57"/>
        <v>0</v>
      </c>
      <c r="AA177" t="str">
        <f>'Green_rooibos initial weight'!A178</f>
        <v>G174</v>
      </c>
      <c r="AB177" t="str">
        <f>'Green_rooibos initial weight'!A1082</f>
        <v>R174</v>
      </c>
      <c r="AC177" t="b">
        <f t="shared" si="58"/>
        <v>0</v>
      </c>
      <c r="AD177" t="b">
        <f t="shared" si="59"/>
        <v>0</v>
      </c>
      <c r="AG177" t="str">
        <f>'WetLitterbags placem_collection'!K176</f>
        <v>G655</v>
      </c>
      <c r="AH177" t="str">
        <f>'WetLitterbags placem_collection'!M176</f>
        <v>R307</v>
      </c>
      <c r="AI177" t="b">
        <f t="shared" si="60"/>
        <v>0</v>
      </c>
      <c r="AJ177" t="b">
        <f t="shared" si="61"/>
        <v>0</v>
      </c>
      <c r="AK177">
        <f>'WetLitterbags placem_collection'!A176</f>
        <v>174</v>
      </c>
      <c r="AL177">
        <f>'WetLitterbags placem_collection'!A176</f>
        <v>174</v>
      </c>
      <c r="AN177">
        <f>IF('Dry_Litterbag Placem_Collection'!J176=0,"",'Dry_Litterbag Placem_Collection'!J176)</f>
        <v>396</v>
      </c>
      <c r="AO177">
        <f>IF('Dry_Litterbag Placem_Collection'!K176=0,"",'Dry_Litterbag Placem_Collection'!K176)</f>
        <v>736</v>
      </c>
      <c r="AP177" t="b">
        <f t="shared" si="62"/>
        <v>0</v>
      </c>
      <c r="AQ177" t="b">
        <f t="shared" si="63"/>
        <v>0</v>
      </c>
      <c r="AT177" t="str">
        <f>'Ashed teabags dry'!A175</f>
        <v>G336</v>
      </c>
      <c r="AU177" t="str">
        <f>'Ashed teabags dry'!A512</f>
        <v>R649</v>
      </c>
      <c r="AV177" t="b">
        <f t="shared" si="64"/>
        <v>0</v>
      </c>
      <c r="AW177" t="b">
        <f t="shared" si="65"/>
        <v>0</v>
      </c>
      <c r="AZ177" s="401" t="b">
        <f t="shared" si="66"/>
        <v>0</v>
      </c>
      <c r="BA177" s="401" t="b">
        <f t="shared" si="67"/>
        <v>0</v>
      </c>
      <c r="BC177" t="str">
        <f>'Ashed teabags wet'!A175</f>
        <v>G587</v>
      </c>
      <c r="BD177" t="str">
        <f>'Ashed teabags wet'!A592</f>
        <v>R384</v>
      </c>
      <c r="BE177" t="b">
        <f t="shared" si="68"/>
        <v>0</v>
      </c>
      <c r="BF177" t="b">
        <f t="shared" si="69"/>
        <v>0</v>
      </c>
      <c r="BG177">
        <f>IFERROR('Ashed teabags wet'!C175,"")</f>
        <v>218</v>
      </c>
      <c r="BH177">
        <f>IFERROR('Ashed teabags wet'!C592,"")</f>
        <v>174</v>
      </c>
      <c r="BI177" t="str">
        <f>'Ashed teabags wet'!AB175</f>
        <v/>
      </c>
      <c r="BJ177">
        <f>'Ashed teabags wet'!AC175</f>
        <v>217</v>
      </c>
      <c r="BK177" t="str">
        <f>'Ashed teabags wet'!AD592</f>
        <v/>
      </c>
      <c r="BL177">
        <f>'Ashed teabags wet'!AE592</f>
        <v>173</v>
      </c>
      <c r="BN177" t="str">
        <f t="shared" si="70"/>
        <v>G585</v>
      </c>
      <c r="BO177" t="b">
        <f t="shared" si="71"/>
        <v>1</v>
      </c>
    </row>
    <row r="178" spans="2:67" ht="12" customHeight="1">
      <c r="B178" t="str">
        <f>TBIDry!H250</f>
        <v>G612</v>
      </c>
      <c r="C178" t="str">
        <f>TBIDry!I250</f>
        <v>R338</v>
      </c>
      <c r="D178" t="b">
        <f t="shared" si="48"/>
        <v>0</v>
      </c>
      <c r="E178" t="b">
        <f t="shared" si="49"/>
        <v>0</v>
      </c>
      <c r="G178" t="str">
        <f>TBIWet!H250</f>
        <v>G457</v>
      </c>
      <c r="H178" t="str">
        <f>TBIWet!I250</f>
        <v>R458</v>
      </c>
      <c r="I178" t="b">
        <f t="shared" si="50"/>
        <v>0</v>
      </c>
      <c r="J178" t="b">
        <f t="shared" si="51"/>
        <v>0</v>
      </c>
      <c r="L178" t="str">
        <f>'Both teabags AfterWet'!A177</f>
        <v>G583</v>
      </c>
      <c r="M178" t="str">
        <f>'Both teabags AfterWet'!A595</f>
        <v>R376</v>
      </c>
      <c r="N178" t="b">
        <f t="shared" si="52"/>
        <v>0</v>
      </c>
      <c r="O178" t="b">
        <f t="shared" si="53"/>
        <v>0</v>
      </c>
      <c r="P178" t="str">
        <f>IFERROR('Both teabags AfterWet'!B177,"")</f>
        <v>n.a</v>
      </c>
      <c r="Q178">
        <f>'Both teabags AfterWet'!B595</f>
        <v>43</v>
      </c>
      <c r="S178" s="401" t="b">
        <f t="shared" si="54"/>
        <v>0</v>
      </c>
      <c r="T178" s="401" t="b">
        <f t="shared" si="55"/>
        <v>0</v>
      </c>
      <c r="V178" t="str">
        <f>'Both teabags AfterDry'!A177</f>
        <v>G335</v>
      </c>
      <c r="W178" t="str">
        <f>'Both teabags AfterDry'!A514</f>
        <v>R650</v>
      </c>
      <c r="X178" t="b">
        <f t="shared" si="56"/>
        <v>0</v>
      </c>
      <c r="Y178" t="b">
        <f t="shared" si="57"/>
        <v>0</v>
      </c>
      <c r="AA178" t="str">
        <f>'Green_rooibos initial weight'!A179</f>
        <v>G175</v>
      </c>
      <c r="AB178" t="str">
        <f>'Green_rooibos initial weight'!A1083</f>
        <v>R175</v>
      </c>
      <c r="AC178" t="b">
        <f t="shared" si="58"/>
        <v>0</v>
      </c>
      <c r="AD178" t="b">
        <f t="shared" si="59"/>
        <v>0</v>
      </c>
      <c r="AG178" t="str">
        <f>'WetLitterbags placem_collection'!K177</f>
        <v>G457</v>
      </c>
      <c r="AH178" t="str">
        <f>'WetLitterbags placem_collection'!M177</f>
        <v>R458</v>
      </c>
      <c r="AI178" t="b">
        <f t="shared" si="60"/>
        <v>0</v>
      </c>
      <c r="AJ178" t="b">
        <f t="shared" si="61"/>
        <v>0</v>
      </c>
      <c r="AK178">
        <f>'WetLitterbags placem_collection'!A177</f>
        <v>175</v>
      </c>
      <c r="AL178">
        <f>'WetLitterbags placem_collection'!A177</f>
        <v>175</v>
      </c>
      <c r="AN178">
        <f>IF('Dry_Litterbag Placem_Collection'!J177=0,"",'Dry_Litterbag Placem_Collection'!J177)</f>
        <v>612</v>
      </c>
      <c r="AO178">
        <f>IF('Dry_Litterbag Placem_Collection'!K177=0,"",'Dry_Litterbag Placem_Collection'!K177)</f>
        <v>338</v>
      </c>
      <c r="AP178" t="b">
        <f t="shared" si="62"/>
        <v>0</v>
      </c>
      <c r="AQ178" t="b">
        <f t="shared" si="63"/>
        <v>0</v>
      </c>
      <c r="AT178" t="str">
        <f>'Ashed teabags dry'!A176</f>
        <v>G338</v>
      </c>
      <c r="AU178" t="str">
        <f>'Ashed teabags dry'!A513</f>
        <v>R650</v>
      </c>
      <c r="AV178" t="b">
        <f t="shared" si="64"/>
        <v>0</v>
      </c>
      <c r="AW178" t="b">
        <f t="shared" si="65"/>
        <v>0</v>
      </c>
      <c r="AZ178" s="401" t="b">
        <f t="shared" si="66"/>
        <v>0</v>
      </c>
      <c r="BA178" s="401" t="b">
        <f t="shared" si="67"/>
        <v>0</v>
      </c>
      <c r="BC178" t="str">
        <f>'Ashed teabags wet'!A176</f>
        <v>G591</v>
      </c>
      <c r="BD178" t="str">
        <f>'Ashed teabags wet'!A593</f>
        <v>R386</v>
      </c>
      <c r="BE178" t="b">
        <f t="shared" si="68"/>
        <v>0</v>
      </c>
      <c r="BF178" t="b">
        <f t="shared" si="69"/>
        <v>0</v>
      </c>
      <c r="BG178">
        <f>IFERROR('Ashed teabags wet'!C176,"")</f>
        <v>192</v>
      </c>
      <c r="BH178">
        <f>IFERROR('Ashed teabags wet'!C593,"")</f>
        <v>29</v>
      </c>
      <c r="BI178">
        <f>'Ashed teabags wet'!AB176</f>
        <v>191</v>
      </c>
      <c r="BJ178" t="str">
        <f>'Ashed teabags wet'!AC176</f>
        <v/>
      </c>
      <c r="BK178">
        <f>'Ashed teabags wet'!AD593</f>
        <v>28</v>
      </c>
      <c r="BL178" t="str">
        <f>'Ashed teabags wet'!AE593</f>
        <v/>
      </c>
      <c r="BN178" t="str">
        <f t="shared" si="70"/>
        <v>G587</v>
      </c>
      <c r="BO178" t="b">
        <f t="shared" si="71"/>
        <v>1</v>
      </c>
    </row>
    <row r="179" spans="2:67" ht="12" customHeight="1">
      <c r="B179" t="str">
        <f>TBIDry!H251</f>
        <v>G183</v>
      </c>
      <c r="C179" t="str">
        <f>TBIDry!I251</f>
        <v>R52</v>
      </c>
      <c r="D179" t="b">
        <f t="shared" si="48"/>
        <v>0</v>
      </c>
      <c r="E179" t="b">
        <f t="shared" si="49"/>
        <v>0</v>
      </c>
      <c r="G179" t="str">
        <f>TBIWet!H251</f>
        <v>G454</v>
      </c>
      <c r="H179" t="str">
        <f>TBIWet!I251</f>
        <v>R326</v>
      </c>
      <c r="I179" t="b">
        <f t="shared" si="50"/>
        <v>0</v>
      </c>
      <c r="J179" t="b">
        <f t="shared" si="51"/>
        <v>0</v>
      </c>
      <c r="L179" t="str">
        <f>'Both teabags AfterWet'!A178</f>
        <v>G584</v>
      </c>
      <c r="M179" t="str">
        <f>'Both teabags AfterWet'!A596</f>
        <v>R378</v>
      </c>
      <c r="N179" t="b">
        <f t="shared" si="52"/>
        <v>0</v>
      </c>
      <c r="O179" t="b">
        <f t="shared" si="53"/>
        <v>0</v>
      </c>
      <c r="P179" t="str">
        <f>IFERROR('Both teabags AfterWet'!B178,"")</f>
        <v>n.a</v>
      </c>
      <c r="Q179">
        <f>'Both teabags AfterWet'!B596</f>
        <v>195</v>
      </c>
      <c r="S179" s="401" t="b">
        <f t="shared" si="54"/>
        <v>0</v>
      </c>
      <c r="T179" s="401" t="b">
        <f t="shared" si="55"/>
        <v>0</v>
      </c>
      <c r="V179" t="str">
        <f>'Both teabags AfterDry'!A178</f>
        <v>G336</v>
      </c>
      <c r="W179" t="str">
        <f>'Both teabags AfterDry'!A515</f>
        <v>R651</v>
      </c>
      <c r="X179" t="b">
        <f t="shared" si="56"/>
        <v>0</v>
      </c>
      <c r="Y179" t="b">
        <f t="shared" si="57"/>
        <v>0</v>
      </c>
      <c r="AA179" t="str">
        <f>'Green_rooibos initial weight'!A180</f>
        <v>G176</v>
      </c>
      <c r="AB179" t="str">
        <f>'Green_rooibos initial weight'!A1084</f>
        <v>R176</v>
      </c>
      <c r="AC179" t="b">
        <f t="shared" si="58"/>
        <v>0</v>
      </c>
      <c r="AD179" t="b">
        <f t="shared" si="59"/>
        <v>0</v>
      </c>
      <c r="AG179" t="str">
        <f>'WetLitterbags placem_collection'!K178</f>
        <v>G454</v>
      </c>
      <c r="AH179" t="str">
        <f>'WetLitterbags placem_collection'!M178</f>
        <v>R326</v>
      </c>
      <c r="AI179" t="b">
        <f t="shared" si="60"/>
        <v>0</v>
      </c>
      <c r="AJ179" t="b">
        <f t="shared" si="61"/>
        <v>0</v>
      </c>
      <c r="AK179">
        <f>'WetLitterbags placem_collection'!A178</f>
        <v>176</v>
      </c>
      <c r="AL179">
        <f>'WetLitterbags placem_collection'!A178</f>
        <v>176</v>
      </c>
      <c r="AN179">
        <f>IF('Dry_Litterbag Placem_Collection'!J178=0,"",'Dry_Litterbag Placem_Collection'!J178)</f>
        <v>183</v>
      </c>
      <c r="AO179">
        <f>IF('Dry_Litterbag Placem_Collection'!K178=0,"",'Dry_Litterbag Placem_Collection'!K178)</f>
        <v>52</v>
      </c>
      <c r="AP179" t="b">
        <f t="shared" si="62"/>
        <v>0</v>
      </c>
      <c r="AQ179" t="b">
        <f t="shared" si="63"/>
        <v>0</v>
      </c>
      <c r="AT179" t="str">
        <f>'Ashed teabags dry'!A177</f>
        <v>G34</v>
      </c>
      <c r="AU179" t="str">
        <f>'Ashed teabags dry'!A514</f>
        <v>R651</v>
      </c>
      <c r="AV179" t="b">
        <f t="shared" si="64"/>
        <v>0</v>
      </c>
      <c r="AW179" t="b">
        <f t="shared" si="65"/>
        <v>0</v>
      </c>
      <c r="AZ179" s="401" t="b">
        <f t="shared" si="66"/>
        <v>0</v>
      </c>
      <c r="BA179" s="401" t="b">
        <f t="shared" si="67"/>
        <v>0</v>
      </c>
      <c r="BC179" t="str">
        <f>'Ashed teabags wet'!A177</f>
        <v>G592</v>
      </c>
      <c r="BD179" t="str">
        <f>'Ashed teabags wet'!A594</f>
        <v>R387</v>
      </c>
      <c r="BE179" t="b">
        <f t="shared" si="68"/>
        <v>0</v>
      </c>
      <c r="BF179" t="b">
        <f t="shared" si="69"/>
        <v>0</v>
      </c>
      <c r="BG179">
        <f>IFERROR('Ashed teabags wet'!C177,"")</f>
        <v>90</v>
      </c>
      <c r="BH179">
        <f>IFERROR('Ashed teabags wet'!C594,"")</f>
        <v>191</v>
      </c>
      <c r="BI179">
        <f>'Ashed teabags wet'!AB177</f>
        <v>89</v>
      </c>
      <c r="BJ179" t="str">
        <f>'Ashed teabags wet'!AC177</f>
        <v/>
      </c>
      <c r="BK179" t="str">
        <f>'Ashed teabags wet'!AD594</f>
        <v/>
      </c>
      <c r="BL179">
        <f>'Ashed teabags wet'!AE594</f>
        <v>190</v>
      </c>
      <c r="BN179" t="str">
        <f t="shared" si="70"/>
        <v>G591</v>
      </c>
      <c r="BO179" t="b">
        <f t="shared" si="71"/>
        <v>1</v>
      </c>
    </row>
    <row r="180" spans="2:67" ht="12" customHeight="1">
      <c r="B180" t="str">
        <f>TBIDry!H252</f>
        <v>G98</v>
      </c>
      <c r="C180" t="str">
        <f>TBIDry!I252</f>
        <v>R750</v>
      </c>
      <c r="D180" t="b">
        <f t="shared" si="48"/>
        <v>0</v>
      </c>
      <c r="E180" t="b">
        <f t="shared" si="49"/>
        <v>0</v>
      </c>
      <c r="G180" t="str">
        <f>TBIWet!H252</f>
        <v>G362</v>
      </c>
      <c r="H180" t="str">
        <f>TBIWet!I252</f>
        <v>R262</v>
      </c>
      <c r="I180" t="b">
        <f t="shared" si="50"/>
        <v>0</v>
      </c>
      <c r="J180" t="b">
        <f t="shared" si="51"/>
        <v>0</v>
      </c>
      <c r="L180" t="str">
        <f>'Both teabags AfterWet'!A179</f>
        <v>G585</v>
      </c>
      <c r="M180" t="str">
        <f>'Both teabags AfterWet'!A597</f>
        <v>R38</v>
      </c>
      <c r="N180" t="b">
        <f t="shared" si="52"/>
        <v>0</v>
      </c>
      <c r="O180" t="b">
        <f t="shared" si="53"/>
        <v>0</v>
      </c>
      <c r="P180">
        <f>IFERROR('Both teabags AfterWet'!B179,"")</f>
        <v>183</v>
      </c>
      <c r="Q180" t="str">
        <f>'Both teabags AfterWet'!B597</f>
        <v>n.a</v>
      </c>
      <c r="S180" s="401" t="b">
        <f t="shared" si="54"/>
        <v>0</v>
      </c>
      <c r="T180" s="401" t="b">
        <f t="shared" si="55"/>
        <v>0</v>
      </c>
      <c r="V180" t="str">
        <f>'Both teabags AfterDry'!A179</f>
        <v>G338</v>
      </c>
      <c r="W180" t="str">
        <f>'Both teabags AfterDry'!A516</f>
        <v>R652</v>
      </c>
      <c r="X180" t="b">
        <f t="shared" si="56"/>
        <v>0</v>
      </c>
      <c r="Y180" t="b">
        <f t="shared" si="57"/>
        <v>0</v>
      </c>
      <c r="AA180" t="str">
        <f>'Green_rooibos initial weight'!A181</f>
        <v>G177</v>
      </c>
      <c r="AB180" t="str">
        <f>'Green_rooibos initial weight'!A1085</f>
        <v>R177</v>
      </c>
      <c r="AC180" t="b">
        <f t="shared" si="58"/>
        <v>0</v>
      </c>
      <c r="AD180" t="b">
        <f t="shared" si="59"/>
        <v>0</v>
      </c>
      <c r="AG180" t="str">
        <f>'WetLitterbags placem_collection'!K179</f>
        <v>G362</v>
      </c>
      <c r="AH180" t="str">
        <f>'WetLitterbags placem_collection'!M179</f>
        <v>R262</v>
      </c>
      <c r="AI180" t="b">
        <f t="shared" si="60"/>
        <v>0</v>
      </c>
      <c r="AJ180" t="b">
        <f t="shared" si="61"/>
        <v>0</v>
      </c>
      <c r="AK180">
        <f>'WetLitterbags placem_collection'!A179</f>
        <v>177</v>
      </c>
      <c r="AL180">
        <f>'WetLitterbags placem_collection'!A179</f>
        <v>177</v>
      </c>
      <c r="AN180">
        <f>IF('Dry_Litterbag Placem_Collection'!J179=0,"",'Dry_Litterbag Placem_Collection'!J179)</f>
        <v>98</v>
      </c>
      <c r="AO180">
        <f>IF('Dry_Litterbag Placem_Collection'!K179=0,"",'Dry_Litterbag Placem_Collection'!K179)</f>
        <v>750</v>
      </c>
      <c r="AP180" t="b">
        <f t="shared" si="62"/>
        <v>0</v>
      </c>
      <c r="AQ180" t="b">
        <f t="shared" si="63"/>
        <v>0</v>
      </c>
      <c r="AT180" t="str">
        <f>'Ashed teabags dry'!A178</f>
        <v>G341</v>
      </c>
      <c r="AU180" t="str">
        <f>'Ashed teabags dry'!A515</f>
        <v>R652</v>
      </c>
      <c r="AV180" t="b">
        <f t="shared" si="64"/>
        <v>0</v>
      </c>
      <c r="AW180" t="b">
        <f t="shared" si="65"/>
        <v>0</v>
      </c>
      <c r="AZ180" s="401" t="b">
        <f t="shared" si="66"/>
        <v>0</v>
      </c>
      <c r="BA180" s="401" t="b">
        <f t="shared" si="67"/>
        <v>0</v>
      </c>
      <c r="BC180" t="str">
        <f>'Ashed teabags wet'!A178</f>
        <v>G593</v>
      </c>
      <c r="BD180" t="str">
        <f>'Ashed teabags wet'!A595</f>
        <v>R39</v>
      </c>
      <c r="BE180" t="b">
        <f t="shared" si="68"/>
        <v>0</v>
      </c>
      <c r="BF180" t="b">
        <f t="shared" si="69"/>
        <v>0</v>
      </c>
      <c r="BG180">
        <f>IFERROR('Ashed teabags wet'!C178,"")</f>
        <v>58</v>
      </c>
      <c r="BH180">
        <f>IFERROR('Ashed teabags wet'!C595,"")</f>
        <v>124</v>
      </c>
      <c r="BI180" t="str">
        <f>'Ashed teabags wet'!AB178</f>
        <v/>
      </c>
      <c r="BJ180">
        <f>'Ashed teabags wet'!AC178</f>
        <v>57</v>
      </c>
      <c r="BK180">
        <f>'Ashed teabags wet'!AD595</f>
        <v>123</v>
      </c>
      <c r="BL180" t="str">
        <f>'Ashed teabags wet'!AE595</f>
        <v/>
      </c>
      <c r="BN180" t="str">
        <f t="shared" si="70"/>
        <v>G592</v>
      </c>
      <c r="BO180" t="b">
        <f t="shared" si="71"/>
        <v>1</v>
      </c>
    </row>
    <row r="181" spans="2:67" ht="12" customHeight="1">
      <c r="B181" t="str">
        <f>TBIDry!H253</f>
        <v>G353</v>
      </c>
      <c r="C181" t="str">
        <f>TBIDry!I253</f>
        <v>R612</v>
      </c>
      <c r="D181" t="b">
        <f t="shared" si="48"/>
        <v>0</v>
      </c>
      <c r="E181" t="b">
        <f t="shared" si="49"/>
        <v>0</v>
      </c>
      <c r="G181" t="str">
        <f>TBIWet!H253</f>
        <v>G781</v>
      </c>
      <c r="H181" t="str">
        <f>TBIWet!I253</f>
        <v>R309</v>
      </c>
      <c r="I181" t="b">
        <f t="shared" si="50"/>
        <v>0</v>
      </c>
      <c r="J181" t="b">
        <f t="shared" si="51"/>
        <v>0</v>
      </c>
      <c r="L181" t="str">
        <f>'Both teabags AfterWet'!A180</f>
        <v>G587</v>
      </c>
      <c r="M181" t="str">
        <f>'Both teabags AfterWet'!A598</f>
        <v>R380</v>
      </c>
      <c r="N181" t="b">
        <f t="shared" si="52"/>
        <v>0</v>
      </c>
      <c r="O181" t="b">
        <f t="shared" si="53"/>
        <v>0</v>
      </c>
      <c r="P181" t="str">
        <f>IFERROR('Both teabags AfterWet'!B180,"")</f>
        <v>n.a</v>
      </c>
      <c r="Q181" t="str">
        <f>'Both teabags AfterWet'!B598</f>
        <v>n.a</v>
      </c>
      <c r="S181" s="401" t="b">
        <f t="shared" si="54"/>
        <v>0</v>
      </c>
      <c r="T181" s="401" t="b">
        <f t="shared" si="55"/>
        <v>0</v>
      </c>
      <c r="V181" t="str">
        <f>'Both teabags AfterDry'!A180</f>
        <v>G34</v>
      </c>
      <c r="W181" t="str">
        <f>'Both teabags AfterDry'!A517</f>
        <v>R653</v>
      </c>
      <c r="X181" t="b">
        <f t="shared" si="56"/>
        <v>0</v>
      </c>
      <c r="Y181" t="b">
        <f t="shared" si="57"/>
        <v>0</v>
      </c>
      <c r="AA181" t="str">
        <f>'Green_rooibos initial weight'!A182</f>
        <v>G178</v>
      </c>
      <c r="AB181" t="str">
        <f>'Green_rooibos initial weight'!A1086</f>
        <v>R178</v>
      </c>
      <c r="AC181" t="b">
        <f t="shared" si="58"/>
        <v>0</v>
      </c>
      <c r="AD181" t="b">
        <f t="shared" si="59"/>
        <v>0</v>
      </c>
      <c r="AG181" t="str">
        <f>'WetLitterbags placem_collection'!K180</f>
        <v>G781</v>
      </c>
      <c r="AH181" t="str">
        <f>'WetLitterbags placem_collection'!M180</f>
        <v>R309</v>
      </c>
      <c r="AI181" t="b">
        <f t="shared" si="60"/>
        <v>0</v>
      </c>
      <c r="AJ181" t="b">
        <f t="shared" si="61"/>
        <v>0</v>
      </c>
      <c r="AK181">
        <f>'WetLitterbags placem_collection'!A180</f>
        <v>178</v>
      </c>
      <c r="AL181">
        <f>'WetLitterbags placem_collection'!A180</f>
        <v>178</v>
      </c>
      <c r="AN181">
        <f>IF('Dry_Litterbag Placem_Collection'!J180=0,"",'Dry_Litterbag Placem_Collection'!J180)</f>
        <v>353</v>
      </c>
      <c r="AO181">
        <f>IF('Dry_Litterbag Placem_Collection'!K180=0,"",'Dry_Litterbag Placem_Collection'!K180)</f>
        <v>612</v>
      </c>
      <c r="AP181" t="b">
        <f t="shared" si="62"/>
        <v>0</v>
      </c>
      <c r="AQ181" t="b">
        <f t="shared" si="63"/>
        <v>0</v>
      </c>
      <c r="AT181" t="str">
        <f>'Ashed teabags dry'!A179</f>
        <v>G342</v>
      </c>
      <c r="AU181" t="str">
        <f>'Ashed teabags dry'!A516</f>
        <v>R653</v>
      </c>
      <c r="AV181" t="b">
        <f t="shared" si="64"/>
        <v>0</v>
      </c>
      <c r="AW181" t="b">
        <f t="shared" si="65"/>
        <v>0</v>
      </c>
      <c r="AZ181" s="401" t="b">
        <f t="shared" si="66"/>
        <v>0</v>
      </c>
      <c r="BA181" s="401" t="b">
        <f t="shared" si="67"/>
        <v>0</v>
      </c>
      <c r="BC181" t="str">
        <f>'Ashed teabags wet'!A179</f>
        <v>G594</v>
      </c>
      <c r="BD181" t="str">
        <f>'Ashed teabags wet'!A596</f>
        <v>R390</v>
      </c>
      <c r="BE181" t="b">
        <f t="shared" si="68"/>
        <v>0</v>
      </c>
      <c r="BF181" t="b">
        <f t="shared" si="69"/>
        <v>0</v>
      </c>
      <c r="BG181">
        <f>IFERROR('Ashed teabags wet'!C179,"")</f>
        <v>77</v>
      </c>
      <c r="BH181">
        <f>IFERROR('Ashed teabags wet'!C596,"")</f>
        <v>60</v>
      </c>
      <c r="BI181">
        <f>'Ashed teabags wet'!AB179</f>
        <v>76</v>
      </c>
      <c r="BJ181" t="str">
        <f>'Ashed teabags wet'!AC179</f>
        <v/>
      </c>
      <c r="BK181" t="str">
        <f>'Ashed teabags wet'!AD596</f>
        <v/>
      </c>
      <c r="BL181">
        <f>'Ashed teabags wet'!AE596</f>
        <v>59</v>
      </c>
      <c r="BN181" t="str">
        <f t="shared" si="70"/>
        <v>G593</v>
      </c>
      <c r="BO181" t="b">
        <f t="shared" si="71"/>
        <v>1</v>
      </c>
    </row>
    <row r="182" spans="2:67" ht="12" customHeight="1">
      <c r="B182" t="str">
        <f>TBIDry!H254</f>
        <v>G42</v>
      </c>
      <c r="C182" t="str">
        <f>TBIDry!I254</f>
        <v>R491</v>
      </c>
      <c r="D182" t="b">
        <f t="shared" si="48"/>
        <v>0</v>
      </c>
      <c r="E182" t="b">
        <f t="shared" si="49"/>
        <v>0</v>
      </c>
      <c r="G182" t="str">
        <f>TBIWet!H254</f>
        <v>G451</v>
      </c>
      <c r="H182" t="str">
        <f>TBIWet!I254</f>
        <v>R32</v>
      </c>
      <c r="I182" t="b">
        <f t="shared" si="50"/>
        <v>0</v>
      </c>
      <c r="J182" t="b">
        <f t="shared" si="51"/>
        <v>0</v>
      </c>
      <c r="L182" t="str">
        <f>'Both teabags AfterWet'!A181</f>
        <v>G591</v>
      </c>
      <c r="M182" t="str">
        <f>'Both teabags AfterWet'!A599</f>
        <v>R381</v>
      </c>
      <c r="N182" t="b">
        <f t="shared" si="52"/>
        <v>0</v>
      </c>
      <c r="O182" t="b">
        <f t="shared" si="53"/>
        <v>0</v>
      </c>
      <c r="P182">
        <f>IFERROR('Both teabags AfterWet'!B181,"")</f>
        <v>192</v>
      </c>
      <c r="Q182">
        <f>'Both teabags AfterWet'!B599</f>
        <v>221</v>
      </c>
      <c r="S182" s="401" t="b">
        <f t="shared" si="54"/>
        <v>0</v>
      </c>
      <c r="T182" s="401" t="b">
        <f t="shared" si="55"/>
        <v>0</v>
      </c>
      <c r="V182" t="str">
        <f>'Both teabags AfterDry'!A181</f>
        <v>G341</v>
      </c>
      <c r="W182" t="str">
        <f>'Both teabags AfterDry'!A518</f>
        <v>R655</v>
      </c>
      <c r="X182" t="b">
        <f t="shared" si="56"/>
        <v>0</v>
      </c>
      <c r="Y182" t="b">
        <f t="shared" si="57"/>
        <v>0</v>
      </c>
      <c r="AA182" t="str">
        <f>'Green_rooibos initial weight'!A183</f>
        <v>G179</v>
      </c>
      <c r="AB182" t="str">
        <f>'Green_rooibos initial weight'!A1087</f>
        <v>R179</v>
      </c>
      <c r="AC182" t="b">
        <f t="shared" si="58"/>
        <v>0</v>
      </c>
      <c r="AD182" t="b">
        <f t="shared" si="59"/>
        <v>0</v>
      </c>
      <c r="AG182" t="str">
        <f>'WetLitterbags placem_collection'!K181</f>
        <v>G451</v>
      </c>
      <c r="AH182" t="str">
        <f>'WetLitterbags placem_collection'!M181</f>
        <v>R32</v>
      </c>
      <c r="AI182" t="b">
        <f t="shared" si="60"/>
        <v>0</v>
      </c>
      <c r="AJ182" t="b">
        <f t="shared" si="61"/>
        <v>0</v>
      </c>
      <c r="AK182">
        <f>'WetLitterbags placem_collection'!A181</f>
        <v>179</v>
      </c>
      <c r="AL182">
        <f>'WetLitterbags placem_collection'!A181</f>
        <v>179</v>
      </c>
      <c r="AN182">
        <f>IF('Dry_Litterbag Placem_Collection'!J181=0,"",'Dry_Litterbag Placem_Collection'!J181)</f>
        <v>42</v>
      </c>
      <c r="AO182">
        <f>IF('Dry_Litterbag Placem_Collection'!K181=0,"",'Dry_Litterbag Placem_Collection'!K181)</f>
        <v>491</v>
      </c>
      <c r="AP182" t="b">
        <f t="shared" si="62"/>
        <v>0</v>
      </c>
      <c r="AQ182" t="b">
        <f t="shared" si="63"/>
        <v>0</v>
      </c>
      <c r="AT182" t="str">
        <f>'Ashed teabags dry'!A180</f>
        <v>G343</v>
      </c>
      <c r="AU182" t="str">
        <f>'Ashed teabags dry'!A517</f>
        <v>R655</v>
      </c>
      <c r="AV182" t="b">
        <f t="shared" si="64"/>
        <v>0</v>
      </c>
      <c r="AW182" t="b">
        <f t="shared" si="65"/>
        <v>0</v>
      </c>
      <c r="AZ182" s="401" t="b">
        <f t="shared" si="66"/>
        <v>0</v>
      </c>
      <c r="BA182" s="401" t="b">
        <f t="shared" si="67"/>
        <v>0</v>
      </c>
      <c r="BC182" t="str">
        <f>'Ashed teabags wet'!A180</f>
        <v>G595</v>
      </c>
      <c r="BD182" t="str">
        <f>'Ashed teabags wet'!A597</f>
        <v>R391</v>
      </c>
      <c r="BE182" t="b">
        <f t="shared" si="68"/>
        <v>0</v>
      </c>
      <c r="BF182" t="b">
        <f t="shared" si="69"/>
        <v>0</v>
      </c>
      <c r="BG182">
        <f>IFERROR('Ashed teabags wet'!C180,"")</f>
        <v>13</v>
      </c>
      <c r="BH182">
        <f>IFERROR('Ashed teabags wet'!C597,"")</f>
        <v>85</v>
      </c>
      <c r="BI182">
        <f>'Ashed teabags wet'!AB180</f>
        <v>12</v>
      </c>
      <c r="BJ182" t="str">
        <f>'Ashed teabags wet'!AC180</f>
        <v/>
      </c>
      <c r="BK182" t="str">
        <f>'Ashed teabags wet'!AD597</f>
        <v/>
      </c>
      <c r="BL182">
        <f>'Ashed teabags wet'!AE597</f>
        <v>84</v>
      </c>
      <c r="BN182" t="str">
        <f t="shared" si="70"/>
        <v>G594</v>
      </c>
      <c r="BO182" t="b">
        <f t="shared" si="71"/>
        <v>1</v>
      </c>
    </row>
    <row r="183" spans="2:67" ht="12" customHeight="1">
      <c r="B183" t="str">
        <f>TBIDry!H255</f>
        <v>G245</v>
      </c>
      <c r="C183" t="str">
        <f>TBIDry!I255</f>
        <v>R325</v>
      </c>
      <c r="D183" t="b">
        <f t="shared" si="48"/>
        <v>0</v>
      </c>
      <c r="E183" t="b">
        <f t="shared" si="49"/>
        <v>0</v>
      </c>
      <c r="G183" t="str">
        <f>TBIWet!H255</f>
        <v>G360</v>
      </c>
      <c r="H183" t="str">
        <f>TBIWet!I255</f>
        <v>R268</v>
      </c>
      <c r="I183" t="b">
        <f t="shared" si="50"/>
        <v>0</v>
      </c>
      <c r="J183" t="b">
        <f t="shared" si="51"/>
        <v>0</v>
      </c>
      <c r="L183" t="str">
        <f>'Both teabags AfterWet'!A182</f>
        <v>G592</v>
      </c>
      <c r="M183" t="str">
        <f>'Both teabags AfterWet'!A600</f>
        <v>R382</v>
      </c>
      <c r="N183" t="b">
        <f t="shared" si="52"/>
        <v>0</v>
      </c>
      <c r="O183" t="b">
        <f t="shared" si="53"/>
        <v>0</v>
      </c>
      <c r="P183">
        <f>IFERROR('Both teabags AfterWet'!B182,"")</f>
        <v>90</v>
      </c>
      <c r="Q183">
        <f>'Both teabags AfterWet'!B600</f>
        <v>14</v>
      </c>
      <c r="S183" s="401" t="b">
        <f t="shared" si="54"/>
        <v>0</v>
      </c>
      <c r="T183" s="401" t="b">
        <f t="shared" si="55"/>
        <v>0</v>
      </c>
      <c r="V183" t="str">
        <f>'Both teabags AfterDry'!A182</f>
        <v>G342</v>
      </c>
      <c r="W183" t="str">
        <f>'Both teabags AfterDry'!A519</f>
        <v>R657</v>
      </c>
      <c r="X183" t="b">
        <f t="shared" si="56"/>
        <v>0</v>
      </c>
      <c r="Y183" t="b">
        <f t="shared" si="57"/>
        <v>0</v>
      </c>
      <c r="AA183" t="str">
        <f>'Green_rooibos initial weight'!A184</f>
        <v>G180</v>
      </c>
      <c r="AB183" t="str">
        <f>'Green_rooibos initial weight'!A1088</f>
        <v>R180</v>
      </c>
      <c r="AC183" t="b">
        <f t="shared" si="58"/>
        <v>0</v>
      </c>
      <c r="AD183" t="b">
        <f t="shared" si="59"/>
        <v>0</v>
      </c>
      <c r="AG183" t="str">
        <f>'WetLitterbags placem_collection'!K182</f>
        <v>G360</v>
      </c>
      <c r="AH183" t="str">
        <f>'WetLitterbags placem_collection'!M182</f>
        <v>R268</v>
      </c>
      <c r="AI183" t="b">
        <f t="shared" si="60"/>
        <v>0</v>
      </c>
      <c r="AJ183" t="b">
        <f t="shared" si="61"/>
        <v>0</v>
      </c>
      <c r="AK183">
        <f>'WetLitterbags placem_collection'!A182</f>
        <v>180</v>
      </c>
      <c r="AL183">
        <f>'WetLitterbags placem_collection'!A182</f>
        <v>180</v>
      </c>
      <c r="AN183">
        <f>IF('Dry_Litterbag Placem_Collection'!J182=0,"",'Dry_Litterbag Placem_Collection'!J182)</f>
        <v>245</v>
      </c>
      <c r="AO183">
        <f>IF('Dry_Litterbag Placem_Collection'!K182=0,"",'Dry_Litterbag Placem_Collection'!K182)</f>
        <v>325</v>
      </c>
      <c r="AP183" t="b">
        <f t="shared" si="62"/>
        <v>0</v>
      </c>
      <c r="AQ183" t="b">
        <f t="shared" si="63"/>
        <v>0</v>
      </c>
      <c r="AT183" t="str">
        <f>'Ashed teabags dry'!A181</f>
        <v>G344</v>
      </c>
      <c r="AU183" t="str">
        <f>'Ashed teabags dry'!A518</f>
        <v>R657</v>
      </c>
      <c r="AV183" t="b">
        <f t="shared" si="64"/>
        <v>0</v>
      </c>
      <c r="AW183" t="b">
        <f t="shared" si="65"/>
        <v>0</v>
      </c>
      <c r="AZ183" s="401" t="b">
        <f t="shared" si="66"/>
        <v>0</v>
      </c>
      <c r="BA183" s="401" t="b">
        <f t="shared" si="67"/>
        <v>0</v>
      </c>
      <c r="BC183" t="str">
        <f>'Ashed teabags wet'!A181</f>
        <v>G599</v>
      </c>
      <c r="BD183" t="str">
        <f>'Ashed teabags wet'!A598</f>
        <v>R392</v>
      </c>
      <c r="BE183" t="b">
        <f t="shared" si="68"/>
        <v>0</v>
      </c>
      <c r="BF183" t="b">
        <f t="shared" si="69"/>
        <v>0</v>
      </c>
      <c r="BG183">
        <f>IFERROR('Ashed teabags wet'!C181,"")</f>
        <v>52</v>
      </c>
      <c r="BH183">
        <f>IFERROR('Ashed teabags wet'!C598,"")</f>
        <v>210</v>
      </c>
      <c r="BI183" t="str">
        <f>'Ashed teabags wet'!AB181</f>
        <v/>
      </c>
      <c r="BJ183">
        <f>'Ashed teabags wet'!AC181</f>
        <v>51</v>
      </c>
      <c r="BK183" t="str">
        <f>'Ashed teabags wet'!AD598</f>
        <v/>
      </c>
      <c r="BL183">
        <f>'Ashed teabags wet'!AE598</f>
        <v>209</v>
      </c>
      <c r="BN183" t="str">
        <f t="shared" si="70"/>
        <v>G595</v>
      </c>
      <c r="BO183" t="b">
        <f t="shared" si="71"/>
        <v>1</v>
      </c>
    </row>
    <row r="184" spans="2:67" ht="12" customHeight="1">
      <c r="B184" t="str">
        <f>TBIDry!H256</f>
        <v>G411</v>
      </c>
      <c r="C184" t="str">
        <f>TBIDry!I256</f>
        <v>R116</v>
      </c>
      <c r="D184" t="b">
        <f t="shared" si="48"/>
        <v>0</v>
      </c>
      <c r="E184" t="b">
        <f t="shared" si="49"/>
        <v>0</v>
      </c>
      <c r="G184" t="str">
        <f>TBIWet!H256</f>
        <v>G458</v>
      </c>
      <c r="H184" t="str">
        <f>TBIWet!I256</f>
        <v>R587</v>
      </c>
      <c r="I184" t="b">
        <f t="shared" si="50"/>
        <v>0</v>
      </c>
      <c r="J184" t="b">
        <f t="shared" si="51"/>
        <v>0</v>
      </c>
      <c r="L184" t="str">
        <f>'Both teabags AfterWet'!A183</f>
        <v>G593</v>
      </c>
      <c r="M184" t="str">
        <f>'Both teabags AfterWet'!A601</f>
        <v>R383</v>
      </c>
      <c r="N184" t="b">
        <f t="shared" si="52"/>
        <v>0</v>
      </c>
      <c r="O184" t="b">
        <f t="shared" si="53"/>
        <v>0</v>
      </c>
      <c r="P184">
        <f>IFERROR('Both teabags AfterWet'!B183,"")</f>
        <v>58</v>
      </c>
      <c r="Q184">
        <f>'Both teabags AfterWet'!B601</f>
        <v>214</v>
      </c>
      <c r="S184" s="401" t="b">
        <f t="shared" si="54"/>
        <v>0</v>
      </c>
      <c r="T184" s="401" t="b">
        <f t="shared" si="55"/>
        <v>0</v>
      </c>
      <c r="V184" t="str">
        <f>'Both teabags AfterDry'!A183</f>
        <v>G343</v>
      </c>
      <c r="W184" t="str">
        <f>'Both teabags AfterDry'!A520</f>
        <v>R658</v>
      </c>
      <c r="X184" t="b">
        <f t="shared" si="56"/>
        <v>0</v>
      </c>
      <c r="Y184" t="b">
        <f t="shared" si="57"/>
        <v>0</v>
      </c>
      <c r="AA184" t="str">
        <f>'Green_rooibos initial weight'!A185</f>
        <v>G181</v>
      </c>
      <c r="AB184" t="str">
        <f>'Green_rooibos initial weight'!A1089</f>
        <v>R181</v>
      </c>
      <c r="AC184" t="b">
        <f t="shared" si="58"/>
        <v>0</v>
      </c>
      <c r="AD184" t="b">
        <f t="shared" si="59"/>
        <v>0</v>
      </c>
      <c r="AG184" t="str">
        <f>'WetLitterbags placem_collection'!K183</f>
        <v>G458</v>
      </c>
      <c r="AH184" t="str">
        <f>'WetLitterbags placem_collection'!M183</f>
        <v>R587</v>
      </c>
      <c r="AI184" t="b">
        <f t="shared" si="60"/>
        <v>0</v>
      </c>
      <c r="AJ184" t="b">
        <f t="shared" si="61"/>
        <v>0</v>
      </c>
      <c r="AK184">
        <f>'WetLitterbags placem_collection'!A183</f>
        <v>181</v>
      </c>
      <c r="AL184">
        <f>'WetLitterbags placem_collection'!A183</f>
        <v>181</v>
      </c>
      <c r="AN184">
        <f>IF('Dry_Litterbag Placem_Collection'!J183=0,"",'Dry_Litterbag Placem_Collection'!J183)</f>
        <v>411</v>
      </c>
      <c r="AO184">
        <f>IF('Dry_Litterbag Placem_Collection'!K183=0,"",'Dry_Litterbag Placem_Collection'!K183)</f>
        <v>116</v>
      </c>
      <c r="AP184" t="b">
        <f t="shared" si="62"/>
        <v>0</v>
      </c>
      <c r="AQ184" t="b">
        <f t="shared" si="63"/>
        <v>0</v>
      </c>
      <c r="AT184" t="str">
        <f>'Ashed teabags dry'!A182</f>
        <v>G347</v>
      </c>
      <c r="AU184" t="str">
        <f>'Ashed teabags dry'!A519</f>
        <v>R658</v>
      </c>
      <c r="AV184" t="b">
        <f t="shared" si="64"/>
        <v>0</v>
      </c>
      <c r="AW184" t="b">
        <f t="shared" si="65"/>
        <v>0</v>
      </c>
      <c r="AZ184" s="401" t="b">
        <f t="shared" si="66"/>
        <v>0</v>
      </c>
      <c r="BA184" s="401" t="b">
        <f t="shared" si="67"/>
        <v>0</v>
      </c>
      <c r="BC184" t="str">
        <f>'Ashed teabags wet'!A182</f>
        <v>G600</v>
      </c>
      <c r="BD184" t="str">
        <f>'Ashed teabags wet'!A599</f>
        <v>R393</v>
      </c>
      <c r="BE184" t="b">
        <f t="shared" si="68"/>
        <v>0</v>
      </c>
      <c r="BF184" t="b">
        <f t="shared" si="69"/>
        <v>0</v>
      </c>
      <c r="BG184">
        <f>IFERROR('Ashed teabags wet'!C182,"")</f>
        <v>59</v>
      </c>
      <c r="BH184">
        <f>IFERROR('Ashed teabags wet'!C599,"")</f>
        <v>73</v>
      </c>
      <c r="BI184" t="str">
        <f>'Ashed teabags wet'!AB182</f>
        <v/>
      </c>
      <c r="BJ184">
        <f>'Ashed teabags wet'!AC182</f>
        <v>58</v>
      </c>
      <c r="BK184" t="str">
        <f>'Ashed teabags wet'!AD599</f>
        <v/>
      </c>
      <c r="BL184">
        <f>'Ashed teabags wet'!AE599</f>
        <v>72</v>
      </c>
      <c r="BN184" t="str">
        <f t="shared" si="70"/>
        <v>G599</v>
      </c>
      <c r="BO184" t="b">
        <f t="shared" si="71"/>
        <v>1</v>
      </c>
    </row>
    <row r="185" spans="2:67" ht="12" customHeight="1">
      <c r="B185" t="str">
        <f>TBIDry!H257</f>
        <v>G309</v>
      </c>
      <c r="C185" t="str">
        <f>TBIDry!I257</f>
        <v>R613</v>
      </c>
      <c r="D185" t="b">
        <f t="shared" si="48"/>
        <v>0</v>
      </c>
      <c r="E185" t="b">
        <f t="shared" si="49"/>
        <v>0</v>
      </c>
      <c r="G185" t="str">
        <f>TBIWet!H257</f>
        <v>G403</v>
      </c>
      <c r="H185" t="str">
        <f>TBIWet!I257</f>
        <v>R444</v>
      </c>
      <c r="I185" t="b">
        <f t="shared" si="50"/>
        <v>0</v>
      </c>
      <c r="J185" t="b">
        <f t="shared" si="51"/>
        <v>0</v>
      </c>
      <c r="L185" t="str">
        <f>'Both teabags AfterWet'!A184</f>
        <v>G594</v>
      </c>
      <c r="M185" t="str">
        <f>'Both teabags AfterWet'!A602</f>
        <v>R384</v>
      </c>
      <c r="N185" t="b">
        <f t="shared" si="52"/>
        <v>0</v>
      </c>
      <c r="O185" t="b">
        <f t="shared" si="53"/>
        <v>0</v>
      </c>
      <c r="P185">
        <f>IFERROR('Both teabags AfterWet'!B184,"")</f>
        <v>77</v>
      </c>
      <c r="Q185">
        <f>'Both teabags AfterWet'!B602</f>
        <v>174</v>
      </c>
      <c r="S185" s="401" t="b">
        <f t="shared" si="54"/>
        <v>0</v>
      </c>
      <c r="T185" s="401" t="b">
        <f t="shared" si="55"/>
        <v>0</v>
      </c>
      <c r="V185" t="str">
        <f>'Both teabags AfterDry'!A184</f>
        <v>G344</v>
      </c>
      <c r="W185" t="str">
        <f>'Both teabags AfterDry'!A521</f>
        <v>R659</v>
      </c>
      <c r="X185" t="b">
        <f t="shared" si="56"/>
        <v>0</v>
      </c>
      <c r="Y185" t="b">
        <f t="shared" si="57"/>
        <v>0</v>
      </c>
      <c r="AA185" t="str">
        <f>'Green_rooibos initial weight'!A186</f>
        <v>G182</v>
      </c>
      <c r="AB185" t="str">
        <f>'Green_rooibos initial weight'!A1090</f>
        <v>R182</v>
      </c>
      <c r="AC185" t="b">
        <f t="shared" si="58"/>
        <v>0</v>
      </c>
      <c r="AD185" t="b">
        <f t="shared" si="59"/>
        <v>0</v>
      </c>
      <c r="AG185" t="str">
        <f>'WetLitterbags placem_collection'!K184</f>
        <v>G403</v>
      </c>
      <c r="AH185" t="str">
        <f>'WetLitterbags placem_collection'!M184</f>
        <v>R444</v>
      </c>
      <c r="AI185" t="b">
        <f t="shared" si="60"/>
        <v>0</v>
      </c>
      <c r="AJ185" t="b">
        <f t="shared" si="61"/>
        <v>0</v>
      </c>
      <c r="AK185">
        <f>'WetLitterbags placem_collection'!A184</f>
        <v>182</v>
      </c>
      <c r="AL185">
        <f>'WetLitterbags placem_collection'!A184</f>
        <v>182</v>
      </c>
      <c r="AN185">
        <f>IF('Dry_Litterbag Placem_Collection'!J184=0,"",'Dry_Litterbag Placem_Collection'!J184)</f>
        <v>309</v>
      </c>
      <c r="AO185">
        <f>IF('Dry_Litterbag Placem_Collection'!K184=0,"",'Dry_Litterbag Placem_Collection'!K184)</f>
        <v>613</v>
      </c>
      <c r="AP185" t="b">
        <f t="shared" si="62"/>
        <v>0</v>
      </c>
      <c r="AQ185" t="b">
        <f t="shared" si="63"/>
        <v>0</v>
      </c>
      <c r="AT185" t="str">
        <f>'Ashed teabags dry'!A183</f>
        <v>G348</v>
      </c>
      <c r="AU185" t="str">
        <f>'Ashed teabags dry'!A520</f>
        <v>R659</v>
      </c>
      <c r="AV185" t="b">
        <f t="shared" si="64"/>
        <v>0</v>
      </c>
      <c r="AW185" t="b">
        <f t="shared" si="65"/>
        <v>0</v>
      </c>
      <c r="AZ185" s="401" t="b">
        <f t="shared" si="66"/>
        <v>0</v>
      </c>
      <c r="BA185" s="401" t="b">
        <f t="shared" si="67"/>
        <v>0</v>
      </c>
      <c r="BC185" t="str">
        <f>'Ashed teabags wet'!A183</f>
        <v>G602</v>
      </c>
      <c r="BD185" t="str">
        <f>'Ashed teabags wet'!A600</f>
        <v>R395</v>
      </c>
      <c r="BE185" t="b">
        <f t="shared" si="68"/>
        <v>0</v>
      </c>
      <c r="BF185" t="b">
        <f t="shared" si="69"/>
        <v>0</v>
      </c>
      <c r="BG185">
        <f>IFERROR('Ashed teabags wet'!C183,"")</f>
        <v>45</v>
      </c>
      <c r="BH185">
        <f>IFERROR('Ashed teabags wet'!C600,"")</f>
        <v>201</v>
      </c>
      <c r="BI185" t="str">
        <f>'Ashed teabags wet'!AB183</f>
        <v/>
      </c>
      <c r="BJ185">
        <f>'Ashed teabags wet'!AC183</f>
        <v>44</v>
      </c>
      <c r="BK185" t="str">
        <f>'Ashed teabags wet'!AD600</f>
        <v/>
      </c>
      <c r="BL185">
        <f>'Ashed teabags wet'!AE600</f>
        <v>200</v>
      </c>
      <c r="BN185" t="str">
        <f t="shared" si="70"/>
        <v>G600</v>
      </c>
      <c r="BO185" t="b">
        <f t="shared" si="71"/>
        <v>1</v>
      </c>
    </row>
    <row r="186" spans="2:67" ht="12" customHeight="1">
      <c r="B186" t="str">
        <f>TBIDry!H258</f>
        <v/>
      </c>
      <c r="C186" t="str">
        <f>TBIDry!I258</f>
        <v/>
      </c>
      <c r="D186" t="b">
        <f t="shared" si="48"/>
        <v>1</v>
      </c>
      <c r="E186" t="b">
        <f t="shared" si="49"/>
        <v>1</v>
      </c>
      <c r="G186" t="str">
        <f>TBIWet!H258</f>
        <v>G585</v>
      </c>
      <c r="H186" t="str">
        <f>TBIWet!I258</f>
        <v>R568</v>
      </c>
      <c r="I186" t="b">
        <f t="shared" si="50"/>
        <v>0</v>
      </c>
      <c r="J186" t="b">
        <f t="shared" si="51"/>
        <v>0</v>
      </c>
      <c r="L186" t="str">
        <f>'Both teabags AfterWet'!A185</f>
        <v>G595</v>
      </c>
      <c r="M186" t="str">
        <f>'Both teabags AfterWet'!A603</f>
        <v>R386</v>
      </c>
      <c r="N186" t="b">
        <f t="shared" si="52"/>
        <v>0</v>
      </c>
      <c r="O186" t="b">
        <f t="shared" si="53"/>
        <v>0</v>
      </c>
      <c r="P186" t="str">
        <f>IFERROR('Both teabags AfterWet'!B185,"")</f>
        <v>na</v>
      </c>
      <c r="Q186" t="str">
        <f>'Both teabags AfterWet'!B603</f>
        <v>na</v>
      </c>
      <c r="S186" s="401" t="b">
        <f t="shared" si="54"/>
        <v>0</v>
      </c>
      <c r="T186" s="401" t="b">
        <f t="shared" si="55"/>
        <v>0</v>
      </c>
      <c r="V186" t="str">
        <f>'Both teabags AfterDry'!A185</f>
        <v>G347</v>
      </c>
      <c r="W186" t="str">
        <f>'Both teabags AfterDry'!A522</f>
        <v>R66</v>
      </c>
      <c r="X186" t="b">
        <f t="shared" si="56"/>
        <v>0</v>
      </c>
      <c r="Y186" t="b">
        <f t="shared" si="57"/>
        <v>0</v>
      </c>
      <c r="AA186" t="str">
        <f>'Green_rooibos initial weight'!A187</f>
        <v>G183</v>
      </c>
      <c r="AB186" t="str">
        <f>'Green_rooibos initial weight'!A1091</f>
        <v>R183</v>
      </c>
      <c r="AC186" t="b">
        <f t="shared" si="58"/>
        <v>0</v>
      </c>
      <c r="AD186" t="b">
        <f t="shared" si="59"/>
        <v>0</v>
      </c>
      <c r="AG186" t="str">
        <f>'WetLitterbags placem_collection'!K185</f>
        <v>G585</v>
      </c>
      <c r="AH186" t="str">
        <f>'WetLitterbags placem_collection'!M185</f>
        <v>R568</v>
      </c>
      <c r="AI186" t="b">
        <f t="shared" si="60"/>
        <v>0</v>
      </c>
      <c r="AJ186" t="b">
        <f t="shared" si="61"/>
        <v>0</v>
      </c>
      <c r="AK186">
        <f>'WetLitterbags placem_collection'!A185</f>
        <v>183</v>
      </c>
      <c r="AL186">
        <f>'WetLitterbags placem_collection'!A185</f>
        <v>183</v>
      </c>
      <c r="AN186" t="str">
        <f>IF('Dry_Litterbag Placem_Collection'!J185=0,"",'Dry_Litterbag Placem_Collection'!J185)</f>
        <v/>
      </c>
      <c r="AO186" t="str">
        <f>IF('Dry_Litterbag Placem_Collection'!K185=0,"",'Dry_Litterbag Placem_Collection'!K185)</f>
        <v/>
      </c>
      <c r="AP186" t="b">
        <f t="shared" si="62"/>
        <v>1</v>
      </c>
      <c r="AQ186" t="b">
        <f t="shared" si="63"/>
        <v>1</v>
      </c>
      <c r="AT186" t="str">
        <f>'Ashed teabags dry'!A184</f>
        <v>G349</v>
      </c>
      <c r="AU186" t="str">
        <f>'Ashed teabags dry'!A521</f>
        <v>R66</v>
      </c>
      <c r="AV186" t="b">
        <f t="shared" si="64"/>
        <v>0</v>
      </c>
      <c r="AW186" t="b">
        <f t="shared" si="65"/>
        <v>0</v>
      </c>
      <c r="AZ186" s="401" t="b">
        <f t="shared" si="66"/>
        <v>0</v>
      </c>
      <c r="BA186" s="401" t="b">
        <f t="shared" si="67"/>
        <v>0</v>
      </c>
      <c r="BC186" t="str">
        <f>'Ashed teabags wet'!A184</f>
        <v>G603</v>
      </c>
      <c r="BD186" t="str">
        <f>'Ashed teabags wet'!A601</f>
        <v>R396</v>
      </c>
      <c r="BE186" t="b">
        <f t="shared" si="68"/>
        <v>0</v>
      </c>
      <c r="BF186" t="b">
        <f t="shared" si="69"/>
        <v>0</v>
      </c>
      <c r="BG186">
        <f>IFERROR('Ashed teabags wet'!C184,"")</f>
        <v>75</v>
      </c>
      <c r="BH186">
        <f>IFERROR('Ashed teabags wet'!C601,"")</f>
        <v>32</v>
      </c>
      <c r="BI186" t="str">
        <f>'Ashed teabags wet'!AB184</f>
        <v/>
      </c>
      <c r="BJ186">
        <f>'Ashed teabags wet'!AC184</f>
        <v>75</v>
      </c>
      <c r="BK186">
        <f>'Ashed teabags wet'!AD601</f>
        <v>31</v>
      </c>
      <c r="BL186" t="str">
        <f>'Ashed teabags wet'!AE601</f>
        <v/>
      </c>
      <c r="BN186" t="str">
        <f t="shared" si="70"/>
        <v>G602</v>
      </c>
      <c r="BO186" t="b">
        <f t="shared" si="71"/>
        <v>1</v>
      </c>
    </row>
    <row r="187" spans="2:67" ht="12" customHeight="1">
      <c r="B187" t="str">
        <f>TBIDry!H259</f>
        <v>G235</v>
      </c>
      <c r="C187" t="str">
        <f>TBIDry!I259</f>
        <v>R179</v>
      </c>
      <c r="D187" t="b">
        <f t="shared" si="48"/>
        <v>0</v>
      </c>
      <c r="E187" t="b">
        <f t="shared" si="49"/>
        <v>0</v>
      </c>
      <c r="G187" t="str">
        <f>TBIWet!H259</f>
        <v>G669</v>
      </c>
      <c r="H187" t="str">
        <f>TBIWet!I259</f>
        <v>R541</v>
      </c>
      <c r="I187" t="b">
        <f t="shared" si="50"/>
        <v>0</v>
      </c>
      <c r="J187" t="b">
        <f t="shared" si="51"/>
        <v>0</v>
      </c>
      <c r="L187" t="str">
        <f>'Both teabags AfterWet'!A186</f>
        <v>G599</v>
      </c>
      <c r="M187" t="str">
        <f>'Both teabags AfterWet'!A604</f>
        <v>R3864</v>
      </c>
      <c r="N187" t="b">
        <f t="shared" si="52"/>
        <v>0</v>
      </c>
      <c r="O187" t="b">
        <f t="shared" si="53"/>
        <v>0</v>
      </c>
      <c r="P187">
        <f>IFERROR('Both teabags AfterWet'!B186,"")</f>
        <v>52</v>
      </c>
      <c r="Q187">
        <f>'Both teabags AfterWet'!B604</f>
        <v>109</v>
      </c>
      <c r="S187" s="401" t="b">
        <f t="shared" si="54"/>
        <v>0</v>
      </c>
      <c r="T187" s="401" t="b">
        <f t="shared" si="55"/>
        <v>0</v>
      </c>
      <c r="V187" t="str">
        <f>'Both teabags AfterDry'!A186</f>
        <v>G348</v>
      </c>
      <c r="W187" t="str">
        <f>'Both teabags AfterDry'!A523</f>
        <v>R660</v>
      </c>
      <c r="X187" t="b">
        <f t="shared" si="56"/>
        <v>0</v>
      </c>
      <c r="Y187" t="b">
        <f t="shared" si="57"/>
        <v>0</v>
      </c>
      <c r="AA187" t="str">
        <f>'Green_rooibos initial weight'!A188</f>
        <v>G184</v>
      </c>
      <c r="AB187" t="str">
        <f>'Green_rooibos initial weight'!A1092</f>
        <v>R184</v>
      </c>
      <c r="AC187" t="b">
        <f t="shared" si="58"/>
        <v>0</v>
      </c>
      <c r="AD187" t="b">
        <f t="shared" si="59"/>
        <v>0</v>
      </c>
      <c r="AG187" t="str">
        <f>'WetLitterbags placem_collection'!K186</f>
        <v>G669</v>
      </c>
      <c r="AH187" t="str">
        <f>'WetLitterbags placem_collection'!M186</f>
        <v>R541</v>
      </c>
      <c r="AI187" t="b">
        <f t="shared" si="60"/>
        <v>0</v>
      </c>
      <c r="AJ187" t="b">
        <f t="shared" si="61"/>
        <v>0</v>
      </c>
      <c r="AK187">
        <f>'WetLitterbags placem_collection'!A186</f>
        <v>184</v>
      </c>
      <c r="AL187">
        <f>'WetLitterbags placem_collection'!A186</f>
        <v>184</v>
      </c>
      <c r="AN187">
        <f>IF('Dry_Litterbag Placem_Collection'!J186=0,"",'Dry_Litterbag Placem_Collection'!J186)</f>
        <v>235</v>
      </c>
      <c r="AO187">
        <f>IF('Dry_Litterbag Placem_Collection'!K186=0,"",'Dry_Litterbag Placem_Collection'!K186)</f>
        <v>179</v>
      </c>
      <c r="AP187" t="b">
        <f t="shared" si="62"/>
        <v>0</v>
      </c>
      <c r="AQ187" t="b">
        <f t="shared" si="63"/>
        <v>0</v>
      </c>
      <c r="AT187" t="str">
        <f>'Ashed teabags dry'!A185</f>
        <v>G35</v>
      </c>
      <c r="AU187" t="str">
        <f>'Ashed teabags dry'!A522</f>
        <v>R660</v>
      </c>
      <c r="AV187" t="b">
        <f t="shared" si="64"/>
        <v>0</v>
      </c>
      <c r="AW187" t="b">
        <f t="shared" si="65"/>
        <v>0</v>
      </c>
      <c r="AZ187" s="401" t="b">
        <f t="shared" si="66"/>
        <v>0</v>
      </c>
      <c r="BA187" s="401" t="b">
        <f t="shared" si="67"/>
        <v>0</v>
      </c>
      <c r="BC187" t="str">
        <f>'Ashed teabags wet'!A185</f>
        <v>G604</v>
      </c>
      <c r="BD187" t="str">
        <f>'Ashed teabags wet'!A602</f>
        <v>R398</v>
      </c>
      <c r="BE187" t="b">
        <f t="shared" si="68"/>
        <v>0</v>
      </c>
      <c r="BF187" t="b">
        <f t="shared" si="69"/>
        <v>0</v>
      </c>
      <c r="BG187">
        <f>IFERROR('Ashed teabags wet'!C185,"")</f>
        <v>209</v>
      </c>
      <c r="BH187">
        <f>IFERROR('Ashed teabags wet'!C602,"")</f>
        <v>7</v>
      </c>
      <c r="BI187">
        <f>'Ashed teabags wet'!AB185</f>
        <v>208</v>
      </c>
      <c r="BJ187" t="str">
        <f>'Ashed teabags wet'!AC185</f>
        <v/>
      </c>
      <c r="BK187" t="str">
        <f>'Ashed teabags wet'!AD602</f>
        <v/>
      </c>
      <c r="BL187">
        <f>'Ashed teabags wet'!AE602</f>
        <v>6</v>
      </c>
      <c r="BN187" t="str">
        <f t="shared" si="70"/>
        <v>G603</v>
      </c>
      <c r="BO187" t="b">
        <f t="shared" si="71"/>
        <v>1</v>
      </c>
    </row>
    <row r="188" spans="2:67" ht="12" customHeight="1">
      <c r="B188" t="str">
        <f>TBIDry!H260</f>
        <v>G369</v>
      </c>
      <c r="C188" t="str">
        <f>TBIDry!I260</f>
        <v>R300</v>
      </c>
      <c r="D188" t="b">
        <f t="shared" si="48"/>
        <v>0</v>
      </c>
      <c r="E188" t="b">
        <f t="shared" si="49"/>
        <v>0</v>
      </c>
      <c r="G188" t="str">
        <f>TBIWet!H260</f>
        <v>G423</v>
      </c>
      <c r="H188" t="str">
        <f>TBIWet!I260</f>
        <v>R51</v>
      </c>
      <c r="I188" t="b">
        <f t="shared" si="50"/>
        <v>0</v>
      </c>
      <c r="J188" t="b">
        <f t="shared" si="51"/>
        <v>0</v>
      </c>
      <c r="L188" t="str">
        <f>'Both teabags AfterWet'!A187</f>
        <v>G600</v>
      </c>
      <c r="M188" t="str">
        <f>'Both teabags AfterWet'!A605</f>
        <v>R387</v>
      </c>
      <c r="N188" t="b">
        <f t="shared" si="52"/>
        <v>0</v>
      </c>
      <c r="O188" t="b">
        <f t="shared" si="53"/>
        <v>0</v>
      </c>
      <c r="P188">
        <f>IFERROR('Both teabags AfterWet'!B187,"")</f>
        <v>59</v>
      </c>
      <c r="Q188" t="str">
        <f>'Both teabags AfterWet'!B605</f>
        <v>n.a</v>
      </c>
      <c r="S188" s="401" t="b">
        <f t="shared" si="54"/>
        <v>0</v>
      </c>
      <c r="T188" s="401" t="b">
        <f t="shared" si="55"/>
        <v>0</v>
      </c>
      <c r="V188" t="str">
        <f>'Both teabags AfterDry'!A187</f>
        <v>G349</v>
      </c>
      <c r="W188" t="str">
        <f>'Both teabags AfterDry'!A524</f>
        <v>R661</v>
      </c>
      <c r="X188" t="b">
        <f t="shared" si="56"/>
        <v>0</v>
      </c>
      <c r="Y188" t="b">
        <f t="shared" si="57"/>
        <v>0</v>
      </c>
      <c r="AA188" t="str">
        <f>'Green_rooibos initial weight'!A189</f>
        <v>G185</v>
      </c>
      <c r="AB188" t="str">
        <f>'Green_rooibos initial weight'!A1093</f>
        <v>R185</v>
      </c>
      <c r="AC188" t="b">
        <f t="shared" si="58"/>
        <v>0</v>
      </c>
      <c r="AD188" t="b">
        <f t="shared" si="59"/>
        <v>0</v>
      </c>
      <c r="AG188" t="str">
        <f>'WetLitterbags placem_collection'!K187</f>
        <v>G423</v>
      </c>
      <c r="AH188" t="str">
        <f>'WetLitterbags placem_collection'!M187</f>
        <v>R51</v>
      </c>
      <c r="AI188" t="b">
        <f t="shared" si="60"/>
        <v>0</v>
      </c>
      <c r="AJ188" t="b">
        <f t="shared" si="61"/>
        <v>0</v>
      </c>
      <c r="AK188">
        <f>'WetLitterbags placem_collection'!A187</f>
        <v>185</v>
      </c>
      <c r="AL188">
        <f>'WetLitterbags placem_collection'!A187</f>
        <v>185</v>
      </c>
      <c r="AN188">
        <f>IF('Dry_Litterbag Placem_Collection'!J187=0,"",'Dry_Litterbag Placem_Collection'!J187)</f>
        <v>369</v>
      </c>
      <c r="AO188">
        <f>IF('Dry_Litterbag Placem_Collection'!K187=0,"",'Dry_Litterbag Placem_Collection'!K187)</f>
        <v>300</v>
      </c>
      <c r="AP188" t="b">
        <f t="shared" si="62"/>
        <v>0</v>
      </c>
      <c r="AQ188" t="b">
        <f t="shared" si="63"/>
        <v>0</v>
      </c>
      <c r="AT188" t="str">
        <f>'Ashed teabags dry'!A186</f>
        <v>G350</v>
      </c>
      <c r="AU188" t="str">
        <f>'Ashed teabags dry'!A523</f>
        <v>R661</v>
      </c>
      <c r="AV188" t="b">
        <f t="shared" si="64"/>
        <v>0</v>
      </c>
      <c r="AW188" t="b">
        <f t="shared" si="65"/>
        <v>0</v>
      </c>
      <c r="AZ188" s="401" t="b">
        <f t="shared" si="66"/>
        <v>0</v>
      </c>
      <c r="BA188" s="401" t="b">
        <f t="shared" si="67"/>
        <v>0</v>
      </c>
      <c r="BC188" t="str">
        <f>'Ashed teabags wet'!A186</f>
        <v>G605</v>
      </c>
      <c r="BD188" t="str">
        <f>'Ashed teabags wet'!A603</f>
        <v>R4</v>
      </c>
      <c r="BE188" t="b">
        <f t="shared" si="68"/>
        <v>0</v>
      </c>
      <c r="BF188" t="b">
        <f t="shared" si="69"/>
        <v>0</v>
      </c>
      <c r="BG188">
        <f>IFERROR('Ashed teabags wet'!C186,"")</f>
        <v>74</v>
      </c>
      <c r="BH188">
        <f>IFERROR('Ashed teabags wet'!C603,"")</f>
        <v>92</v>
      </c>
      <c r="BI188">
        <f>'Ashed teabags wet'!AB186</f>
        <v>73</v>
      </c>
      <c r="BJ188" t="str">
        <f>'Ashed teabags wet'!AC186</f>
        <v/>
      </c>
      <c r="BK188" t="str">
        <f>'Ashed teabags wet'!AD603</f>
        <v/>
      </c>
      <c r="BL188">
        <f>'Ashed teabags wet'!AE603</f>
        <v>91</v>
      </c>
      <c r="BN188" t="str">
        <f t="shared" si="70"/>
        <v>G604</v>
      </c>
      <c r="BO188" t="b">
        <f t="shared" si="71"/>
        <v>1</v>
      </c>
    </row>
    <row r="189" spans="2:67" ht="12" customHeight="1">
      <c r="B189" t="str">
        <f>TBIDry!H261</f>
        <v>G295</v>
      </c>
      <c r="C189" t="str">
        <f>TBIDry!I261</f>
        <v>R717</v>
      </c>
      <c r="D189" t="b">
        <f t="shared" si="48"/>
        <v>0</v>
      </c>
      <c r="E189" t="b">
        <f t="shared" si="49"/>
        <v>0</v>
      </c>
      <c r="G189" t="str">
        <f>TBIWet!H261</f>
        <v>G544</v>
      </c>
      <c r="H189" t="str">
        <f>TBIWet!I261</f>
        <v>R557</v>
      </c>
      <c r="I189" t="b">
        <f t="shared" si="50"/>
        <v>0</v>
      </c>
      <c r="J189" t="b">
        <f t="shared" si="51"/>
        <v>0</v>
      </c>
      <c r="L189" t="str">
        <f>'Both teabags AfterWet'!A188</f>
        <v>G602</v>
      </c>
      <c r="M189" t="str">
        <f>'Both teabags AfterWet'!A606</f>
        <v>R39</v>
      </c>
      <c r="N189" t="b">
        <f t="shared" si="52"/>
        <v>0</v>
      </c>
      <c r="O189" t="b">
        <f t="shared" si="53"/>
        <v>0</v>
      </c>
      <c r="P189">
        <f>IFERROR('Both teabags AfterWet'!B188,"")</f>
        <v>45</v>
      </c>
      <c r="Q189">
        <f>'Both teabags AfterWet'!B606</f>
        <v>124</v>
      </c>
      <c r="S189" s="401" t="b">
        <f t="shared" si="54"/>
        <v>0</v>
      </c>
      <c r="T189" s="401" t="b">
        <f t="shared" si="55"/>
        <v>0</v>
      </c>
      <c r="V189" t="str">
        <f>'Both teabags AfterDry'!A188</f>
        <v>G35</v>
      </c>
      <c r="W189" t="str">
        <f>'Both teabags AfterDry'!A525</f>
        <v>R663</v>
      </c>
      <c r="X189" t="b">
        <f t="shared" si="56"/>
        <v>0</v>
      </c>
      <c r="Y189" t="b">
        <f t="shared" si="57"/>
        <v>0</v>
      </c>
      <c r="AA189" t="str">
        <f>'Green_rooibos initial weight'!A190</f>
        <v>G186</v>
      </c>
      <c r="AB189" t="str">
        <f>'Green_rooibos initial weight'!A1094</f>
        <v>R186</v>
      </c>
      <c r="AC189" t="b">
        <f t="shared" si="58"/>
        <v>0</v>
      </c>
      <c r="AD189" t="b">
        <f t="shared" si="59"/>
        <v>0</v>
      </c>
      <c r="AG189" t="str">
        <f>'WetLitterbags placem_collection'!K188</f>
        <v>G544</v>
      </c>
      <c r="AH189" t="str">
        <f>'WetLitterbags placem_collection'!M188</f>
        <v>R557</v>
      </c>
      <c r="AI189" t="b">
        <f t="shared" si="60"/>
        <v>0</v>
      </c>
      <c r="AJ189" t="b">
        <f t="shared" si="61"/>
        <v>0</v>
      </c>
      <c r="AK189">
        <f>'WetLitterbags placem_collection'!A188</f>
        <v>186</v>
      </c>
      <c r="AL189">
        <f>'WetLitterbags placem_collection'!A188</f>
        <v>186</v>
      </c>
      <c r="AN189">
        <f>IF('Dry_Litterbag Placem_Collection'!J188=0,"",'Dry_Litterbag Placem_Collection'!J188)</f>
        <v>295</v>
      </c>
      <c r="AO189">
        <f>IF('Dry_Litterbag Placem_Collection'!K188=0,"",'Dry_Litterbag Placem_Collection'!K188)</f>
        <v>717</v>
      </c>
      <c r="AP189" t="b">
        <f t="shared" si="62"/>
        <v>0</v>
      </c>
      <c r="AQ189" t="b">
        <f t="shared" si="63"/>
        <v>0</v>
      </c>
      <c r="AT189" t="str">
        <f>'Ashed teabags dry'!A187</f>
        <v>G353</v>
      </c>
      <c r="AU189" t="str">
        <f>'Ashed teabags dry'!A524</f>
        <v>R663</v>
      </c>
      <c r="AV189" t="b">
        <f t="shared" si="64"/>
        <v>0</v>
      </c>
      <c r="AW189" t="b">
        <f t="shared" si="65"/>
        <v>0</v>
      </c>
      <c r="AZ189" s="401" t="b">
        <f t="shared" si="66"/>
        <v>0</v>
      </c>
      <c r="BA189" s="401" t="b">
        <f t="shared" si="67"/>
        <v>0</v>
      </c>
      <c r="BC189" t="str">
        <f>'Ashed teabags wet'!A187</f>
        <v>G606</v>
      </c>
      <c r="BD189" t="str">
        <f>'Ashed teabags wet'!A604</f>
        <v>R40</v>
      </c>
      <c r="BE189" t="b">
        <f t="shared" si="68"/>
        <v>0</v>
      </c>
      <c r="BF189" t="b">
        <f t="shared" si="69"/>
        <v>0</v>
      </c>
      <c r="BG189">
        <f>IFERROR('Ashed teabags wet'!C187,"")</f>
        <v>10</v>
      </c>
      <c r="BH189">
        <f>IFERROR('Ashed teabags wet'!C604,"")</f>
        <v>145</v>
      </c>
      <c r="BI189" t="str">
        <f>'Ashed teabags wet'!AB187</f>
        <v/>
      </c>
      <c r="BJ189">
        <f>'Ashed teabags wet'!AC187</f>
        <v>9</v>
      </c>
      <c r="BK189" t="str">
        <f>'Ashed teabags wet'!AD604</f>
        <v/>
      </c>
      <c r="BL189">
        <f>'Ashed teabags wet'!AE604</f>
        <v>144</v>
      </c>
      <c r="BN189" t="str">
        <f t="shared" si="70"/>
        <v>G605</v>
      </c>
      <c r="BO189" t="b">
        <f t="shared" si="71"/>
        <v>1</v>
      </c>
    </row>
    <row r="190" spans="2:67" ht="12" customHeight="1">
      <c r="B190" t="str">
        <f>TBIDry!H262</f>
        <v>G242</v>
      </c>
      <c r="C190" t="str">
        <f>TBIDry!I262</f>
        <v>R759</v>
      </c>
      <c r="D190" t="b">
        <f t="shared" si="48"/>
        <v>0</v>
      </c>
      <c r="E190" t="b">
        <f t="shared" si="49"/>
        <v>0</v>
      </c>
      <c r="G190" t="str">
        <f>TBIWet!H262</f>
        <v>G620</v>
      </c>
      <c r="H190" t="str">
        <f>TBIWet!I262</f>
        <v>R427</v>
      </c>
      <c r="I190" t="b">
        <f t="shared" si="50"/>
        <v>0</v>
      </c>
      <c r="J190" t="b">
        <f t="shared" si="51"/>
        <v>0</v>
      </c>
      <c r="L190" t="str">
        <f>'Both teabags AfterWet'!A189</f>
        <v>G603</v>
      </c>
      <c r="M190" t="str">
        <f>'Both teabags AfterWet'!A607</f>
        <v>R390</v>
      </c>
      <c r="N190" t="b">
        <f t="shared" si="52"/>
        <v>0</v>
      </c>
      <c r="O190" t="b">
        <f t="shared" si="53"/>
        <v>0</v>
      </c>
      <c r="P190">
        <f>IFERROR('Both teabags AfterWet'!B189,"")</f>
        <v>75</v>
      </c>
      <c r="Q190">
        <f>'Both teabags AfterWet'!B607</f>
        <v>60</v>
      </c>
      <c r="S190" s="401" t="b">
        <f t="shared" si="54"/>
        <v>0</v>
      </c>
      <c r="T190" s="401" t="b">
        <f t="shared" si="55"/>
        <v>0</v>
      </c>
      <c r="V190" t="str">
        <f>'Both teabags AfterDry'!A189</f>
        <v>G350</v>
      </c>
      <c r="W190" t="str">
        <f>'Both teabags AfterDry'!A526</f>
        <v>R664</v>
      </c>
      <c r="X190" t="b">
        <f t="shared" si="56"/>
        <v>0</v>
      </c>
      <c r="Y190" t="b">
        <f t="shared" si="57"/>
        <v>0</v>
      </c>
      <c r="AA190" t="str">
        <f>'Green_rooibos initial weight'!A191</f>
        <v>G187</v>
      </c>
      <c r="AB190" t="str">
        <f>'Green_rooibos initial weight'!A1095</f>
        <v>R187</v>
      </c>
      <c r="AC190" t="b">
        <f t="shared" si="58"/>
        <v>0</v>
      </c>
      <c r="AD190" t="b">
        <f t="shared" si="59"/>
        <v>0</v>
      </c>
      <c r="AG190" t="str">
        <f>'WetLitterbags placem_collection'!K189</f>
        <v>G620</v>
      </c>
      <c r="AH190" t="str">
        <f>'WetLitterbags placem_collection'!M189</f>
        <v>R427</v>
      </c>
      <c r="AI190" t="b">
        <f t="shared" si="60"/>
        <v>0</v>
      </c>
      <c r="AJ190" t="b">
        <f t="shared" si="61"/>
        <v>0</v>
      </c>
      <c r="AK190">
        <f>'WetLitterbags placem_collection'!A189</f>
        <v>187</v>
      </c>
      <c r="AL190">
        <f>'WetLitterbags placem_collection'!A189</f>
        <v>187</v>
      </c>
      <c r="AN190">
        <f>IF('Dry_Litterbag Placem_Collection'!J189=0,"",'Dry_Litterbag Placem_Collection'!J189)</f>
        <v>242</v>
      </c>
      <c r="AO190">
        <f>IF('Dry_Litterbag Placem_Collection'!K189=0,"",'Dry_Litterbag Placem_Collection'!K189)</f>
        <v>759</v>
      </c>
      <c r="AP190" t="b">
        <f t="shared" si="62"/>
        <v>0</v>
      </c>
      <c r="AQ190" t="b">
        <f t="shared" si="63"/>
        <v>0</v>
      </c>
      <c r="AT190" t="str">
        <f>'Ashed teabags dry'!A188</f>
        <v>G356</v>
      </c>
      <c r="AU190" t="str">
        <f>'Ashed teabags dry'!A525</f>
        <v>R664</v>
      </c>
      <c r="AV190" t="b">
        <f t="shared" si="64"/>
        <v>0</v>
      </c>
      <c r="AW190" t="b">
        <f t="shared" si="65"/>
        <v>0</v>
      </c>
      <c r="AZ190" s="401" t="b">
        <f t="shared" si="66"/>
        <v>0</v>
      </c>
      <c r="BA190" s="401" t="b">
        <f t="shared" si="67"/>
        <v>0</v>
      </c>
      <c r="BC190" t="str">
        <f>'Ashed teabags wet'!A188</f>
        <v>G607</v>
      </c>
      <c r="BD190" t="str">
        <f>'Ashed teabags wet'!A605</f>
        <v>R403</v>
      </c>
      <c r="BE190" t="b">
        <f t="shared" si="68"/>
        <v>0</v>
      </c>
      <c r="BF190" t="b">
        <f t="shared" si="69"/>
        <v>0</v>
      </c>
      <c r="BG190">
        <f>IFERROR('Ashed teabags wet'!C188,"")</f>
        <v>80</v>
      </c>
      <c r="BH190">
        <f>IFERROR('Ashed teabags wet'!C605,"")</f>
        <v>169</v>
      </c>
      <c r="BI190">
        <f>'Ashed teabags wet'!AB188</f>
        <v>79</v>
      </c>
      <c r="BJ190" t="str">
        <f>'Ashed teabags wet'!AC188</f>
        <v/>
      </c>
      <c r="BK190" t="str">
        <f>'Ashed teabags wet'!AD605</f>
        <v/>
      </c>
      <c r="BL190">
        <f>'Ashed teabags wet'!AE605</f>
        <v>168</v>
      </c>
      <c r="BN190" t="str">
        <f t="shared" si="70"/>
        <v>G606</v>
      </c>
      <c r="BO190" t="b">
        <f t="shared" si="71"/>
        <v>1</v>
      </c>
    </row>
    <row r="191" spans="2:67" ht="12" customHeight="1">
      <c r="B191" t="str">
        <f>TBIDry!H263</f>
        <v>G146</v>
      </c>
      <c r="C191" t="str">
        <f>TBIDry!I263</f>
        <v>R357</v>
      </c>
      <c r="D191" t="b">
        <f t="shared" si="48"/>
        <v>0</v>
      </c>
      <c r="E191" t="b">
        <f t="shared" si="49"/>
        <v>0</v>
      </c>
      <c r="G191" t="str">
        <f>TBIWet!H263</f>
        <v>G420</v>
      </c>
      <c r="H191" t="str">
        <f>TBIWet!I263</f>
        <v>R523</v>
      </c>
      <c r="I191" t="b">
        <f t="shared" si="50"/>
        <v>0</v>
      </c>
      <c r="J191" t="b">
        <f t="shared" si="51"/>
        <v>0</v>
      </c>
      <c r="L191" t="str">
        <f>'Both teabags AfterWet'!A190</f>
        <v>G604</v>
      </c>
      <c r="M191" t="str">
        <f>'Both teabags AfterWet'!A608</f>
        <v>R391</v>
      </c>
      <c r="N191" t="b">
        <f t="shared" si="52"/>
        <v>0</v>
      </c>
      <c r="O191" t="b">
        <f t="shared" si="53"/>
        <v>0</v>
      </c>
      <c r="P191">
        <f>IFERROR('Both teabags AfterWet'!B190,"")</f>
        <v>209</v>
      </c>
      <c r="Q191">
        <f>'Both teabags AfterWet'!B608</f>
        <v>85</v>
      </c>
      <c r="S191" s="401" t="b">
        <f t="shared" si="54"/>
        <v>0</v>
      </c>
      <c r="T191" s="401" t="b">
        <f t="shared" si="55"/>
        <v>0</v>
      </c>
      <c r="V191" t="str">
        <f>'Both teabags AfterDry'!A190</f>
        <v>G353</v>
      </c>
      <c r="W191" t="str">
        <f>'Both teabags AfterDry'!A527</f>
        <v>R665</v>
      </c>
      <c r="X191" t="b">
        <f t="shared" si="56"/>
        <v>0</v>
      </c>
      <c r="Y191" t="b">
        <f t="shared" si="57"/>
        <v>0</v>
      </c>
      <c r="AA191" t="str">
        <f>'Green_rooibos initial weight'!A192</f>
        <v>G188</v>
      </c>
      <c r="AB191" t="str">
        <f>'Green_rooibos initial weight'!A1096</f>
        <v>R188</v>
      </c>
      <c r="AC191" t="b">
        <f t="shared" si="58"/>
        <v>0</v>
      </c>
      <c r="AD191" t="b">
        <f t="shared" si="59"/>
        <v>0</v>
      </c>
      <c r="AG191" t="str">
        <f>'WetLitterbags placem_collection'!K190</f>
        <v>G420</v>
      </c>
      <c r="AH191" t="str">
        <f>'WetLitterbags placem_collection'!M190</f>
        <v>R523</v>
      </c>
      <c r="AI191" t="b">
        <f t="shared" si="60"/>
        <v>0</v>
      </c>
      <c r="AJ191" t="b">
        <f t="shared" si="61"/>
        <v>0</v>
      </c>
      <c r="AK191">
        <f>'WetLitterbags placem_collection'!A190</f>
        <v>188</v>
      </c>
      <c r="AL191">
        <f>'WetLitterbags placem_collection'!A190</f>
        <v>188</v>
      </c>
      <c r="AN191">
        <f>IF('Dry_Litterbag Placem_Collection'!J190=0,"",'Dry_Litterbag Placem_Collection'!J190)</f>
        <v>146</v>
      </c>
      <c r="AO191">
        <f>IF('Dry_Litterbag Placem_Collection'!K190=0,"",'Dry_Litterbag Placem_Collection'!K190)</f>
        <v>357</v>
      </c>
      <c r="AP191" t="b">
        <f t="shared" si="62"/>
        <v>0</v>
      </c>
      <c r="AQ191" t="b">
        <f t="shared" si="63"/>
        <v>0</v>
      </c>
      <c r="AT191" t="str">
        <f>'Ashed teabags dry'!A189</f>
        <v>G357</v>
      </c>
      <c r="AU191" t="str">
        <f>'Ashed teabags dry'!A526</f>
        <v>R665</v>
      </c>
      <c r="AV191" t="b">
        <f t="shared" si="64"/>
        <v>0</v>
      </c>
      <c r="AW191" t="b">
        <f t="shared" si="65"/>
        <v>0</v>
      </c>
      <c r="AZ191" s="401" t="b">
        <f t="shared" si="66"/>
        <v>0</v>
      </c>
      <c r="BA191" s="401" t="b">
        <f t="shared" si="67"/>
        <v>0</v>
      </c>
      <c r="BC191" t="str">
        <f>'Ashed teabags wet'!A189</f>
        <v>G608</v>
      </c>
      <c r="BD191" t="str">
        <f>'Ashed teabags wet'!A606</f>
        <v>R406</v>
      </c>
      <c r="BE191" t="b">
        <f t="shared" si="68"/>
        <v>0</v>
      </c>
      <c r="BF191" t="b">
        <f t="shared" si="69"/>
        <v>0</v>
      </c>
      <c r="BG191">
        <f>IFERROR('Ashed teabags wet'!C189,"")</f>
        <v>186</v>
      </c>
      <c r="BH191">
        <f>IFERROR('Ashed teabags wet'!C606,"")</f>
        <v>8</v>
      </c>
      <c r="BI191" t="str">
        <f>'Ashed teabags wet'!AB189</f>
        <v/>
      </c>
      <c r="BJ191">
        <f>'Ashed teabags wet'!AC189</f>
        <v>185</v>
      </c>
      <c r="BK191">
        <f>'Ashed teabags wet'!AD606</f>
        <v>7</v>
      </c>
      <c r="BL191" t="str">
        <f>'Ashed teabags wet'!AE606</f>
        <v/>
      </c>
      <c r="BN191" t="str">
        <f t="shared" si="70"/>
        <v>G607</v>
      </c>
      <c r="BO191" t="b">
        <f t="shared" si="71"/>
        <v>1</v>
      </c>
    </row>
    <row r="192" spans="2:67" ht="12" customHeight="1">
      <c r="B192" t="str">
        <f>TBIDry!H264</f>
        <v>G144</v>
      </c>
      <c r="C192" t="str">
        <f>TBIDry!I264</f>
        <v>R18</v>
      </c>
      <c r="D192" t="b">
        <f t="shared" si="48"/>
        <v>0</v>
      </c>
      <c r="E192" t="b">
        <f t="shared" si="49"/>
        <v>0</v>
      </c>
      <c r="G192" t="str">
        <f>TBIWet!H264</f>
        <v>G367</v>
      </c>
      <c r="H192" t="str">
        <f>TBIWet!I264</f>
        <v>R354</v>
      </c>
      <c r="I192" t="b">
        <f t="shared" si="50"/>
        <v>0</v>
      </c>
      <c r="J192" t="b">
        <f t="shared" si="51"/>
        <v>0</v>
      </c>
      <c r="L192" t="str">
        <f>'Both teabags AfterWet'!A191</f>
        <v>G605</v>
      </c>
      <c r="M192" t="str">
        <f>'Both teabags AfterWet'!A609</f>
        <v>R392</v>
      </c>
      <c r="N192" t="b">
        <f t="shared" si="52"/>
        <v>0</v>
      </c>
      <c r="O192" t="b">
        <f t="shared" si="53"/>
        <v>0</v>
      </c>
      <c r="P192">
        <f>IFERROR('Both teabags AfterWet'!B191,"")</f>
        <v>74</v>
      </c>
      <c r="Q192" t="str">
        <f>'Both teabags AfterWet'!B609</f>
        <v>n.a</v>
      </c>
      <c r="S192" s="401" t="b">
        <f t="shared" si="54"/>
        <v>0</v>
      </c>
      <c r="T192" s="401" t="b">
        <f t="shared" si="55"/>
        <v>0</v>
      </c>
      <c r="V192" t="str">
        <f>'Both teabags AfterDry'!A191</f>
        <v>G356</v>
      </c>
      <c r="W192" t="str">
        <f>'Both teabags AfterDry'!A528</f>
        <v>R667</v>
      </c>
      <c r="X192" t="b">
        <f t="shared" si="56"/>
        <v>0</v>
      </c>
      <c r="Y192" t="b">
        <f t="shared" si="57"/>
        <v>0</v>
      </c>
      <c r="AA192" t="str">
        <f>'Green_rooibos initial weight'!A193</f>
        <v>G189</v>
      </c>
      <c r="AB192" t="str">
        <f>'Green_rooibos initial weight'!A1097</f>
        <v>R189</v>
      </c>
      <c r="AC192" t="b">
        <f t="shared" si="58"/>
        <v>0</v>
      </c>
      <c r="AD192" t="b">
        <f t="shared" si="59"/>
        <v>0</v>
      </c>
      <c r="AG192" t="str">
        <f>'WetLitterbags placem_collection'!K191</f>
        <v>G367</v>
      </c>
      <c r="AH192" t="str">
        <f>'WetLitterbags placem_collection'!M191</f>
        <v>R354</v>
      </c>
      <c r="AI192" t="b">
        <f t="shared" si="60"/>
        <v>0</v>
      </c>
      <c r="AJ192" t="b">
        <f t="shared" si="61"/>
        <v>0</v>
      </c>
      <c r="AK192">
        <f>'WetLitterbags placem_collection'!A191</f>
        <v>189</v>
      </c>
      <c r="AL192">
        <f>'WetLitterbags placem_collection'!A191</f>
        <v>189</v>
      </c>
      <c r="AN192">
        <f>IF('Dry_Litterbag Placem_Collection'!J191=0,"",'Dry_Litterbag Placem_Collection'!J191)</f>
        <v>144</v>
      </c>
      <c r="AO192">
        <f>IF('Dry_Litterbag Placem_Collection'!K191=0,"",'Dry_Litterbag Placem_Collection'!K191)</f>
        <v>18</v>
      </c>
      <c r="AP192" t="b">
        <f t="shared" si="62"/>
        <v>0</v>
      </c>
      <c r="AQ192" t="b">
        <f t="shared" si="63"/>
        <v>0</v>
      </c>
      <c r="AT192" t="str">
        <f>'Ashed teabags dry'!A190</f>
        <v>G36</v>
      </c>
      <c r="AU192" t="str">
        <f>'Ashed teabags dry'!A527</f>
        <v>R667</v>
      </c>
      <c r="AV192" t="b">
        <f t="shared" si="64"/>
        <v>0</v>
      </c>
      <c r="AW192" t="b">
        <f t="shared" si="65"/>
        <v>0</v>
      </c>
      <c r="AZ192" s="401" t="b">
        <f t="shared" si="66"/>
        <v>0</v>
      </c>
      <c r="BA192" s="401" t="b">
        <f t="shared" si="67"/>
        <v>0</v>
      </c>
      <c r="BC192" t="str">
        <f>'Ashed teabags wet'!A190</f>
        <v>G609</v>
      </c>
      <c r="BD192" t="str">
        <f>'Ashed teabags wet'!A607</f>
        <v>R41</v>
      </c>
      <c r="BE192" t="b">
        <f t="shared" si="68"/>
        <v>0</v>
      </c>
      <c r="BF192" t="b">
        <f t="shared" si="69"/>
        <v>0</v>
      </c>
      <c r="BG192">
        <f>IFERROR('Ashed teabags wet'!C190,"")</f>
        <v>14</v>
      </c>
      <c r="BH192">
        <f>IFERROR('Ashed teabags wet'!C607,"")</f>
        <v>112</v>
      </c>
      <c r="BI192">
        <f>'Ashed teabags wet'!AB190</f>
        <v>13</v>
      </c>
      <c r="BJ192" t="str">
        <f>'Ashed teabags wet'!AC190</f>
        <v/>
      </c>
      <c r="BK192">
        <f>'Ashed teabags wet'!AD607</f>
        <v>111</v>
      </c>
      <c r="BL192" t="str">
        <f>'Ashed teabags wet'!AE607</f>
        <v/>
      </c>
      <c r="BN192" s="180" t="str">
        <f t="shared" si="70"/>
        <v>G608</v>
      </c>
      <c r="BO192" s="113" t="b">
        <f t="shared" si="71"/>
        <v>0</v>
      </c>
    </row>
    <row r="193" spans="2:67" ht="12" customHeight="1">
      <c r="B193" t="str">
        <f>TBIDry!H265</f>
        <v>G171</v>
      </c>
      <c r="C193" t="str">
        <f>TBIDry!I265</f>
        <v>R397</v>
      </c>
      <c r="D193" t="b">
        <f t="shared" si="48"/>
        <v>0</v>
      </c>
      <c r="E193" t="b">
        <f t="shared" si="49"/>
        <v>0</v>
      </c>
      <c r="G193" t="str">
        <f>TBIWet!H265</f>
        <v>G526</v>
      </c>
      <c r="H193" t="str">
        <f>TBIWet!I265</f>
        <v>R164</v>
      </c>
      <c r="I193" t="b">
        <f t="shared" si="50"/>
        <v>0</v>
      </c>
      <c r="J193" t="b">
        <f t="shared" si="51"/>
        <v>0</v>
      </c>
      <c r="L193" t="str">
        <f>'Both teabags AfterWet'!A192</f>
        <v>G606</v>
      </c>
      <c r="M193" t="str">
        <f>'Both teabags AfterWet'!A610</f>
        <v>R393</v>
      </c>
      <c r="N193" t="b">
        <f t="shared" si="52"/>
        <v>0</v>
      </c>
      <c r="O193" t="b">
        <f t="shared" si="53"/>
        <v>0</v>
      </c>
      <c r="P193" t="str">
        <f>IFERROR('Both teabags AfterWet'!B192,"")</f>
        <v>n.a</v>
      </c>
      <c r="Q193" t="str">
        <f>'Both teabags AfterWet'!B610</f>
        <v>n.a</v>
      </c>
      <c r="S193" s="401" t="b">
        <f t="shared" si="54"/>
        <v>0</v>
      </c>
      <c r="T193" s="401" t="b">
        <f t="shared" si="55"/>
        <v>0</v>
      </c>
      <c r="V193" t="str">
        <f>'Both teabags AfterDry'!A192</f>
        <v>G357</v>
      </c>
      <c r="W193" t="str">
        <f>'Both teabags AfterDry'!A529</f>
        <v>R669</v>
      </c>
      <c r="X193" t="b">
        <f t="shared" si="56"/>
        <v>0</v>
      </c>
      <c r="Y193" t="b">
        <f t="shared" si="57"/>
        <v>0</v>
      </c>
      <c r="AA193" t="str">
        <f>'Green_rooibos initial weight'!A194</f>
        <v>G190</v>
      </c>
      <c r="AB193" t="str">
        <f>'Green_rooibos initial weight'!A1098</f>
        <v>R190</v>
      </c>
      <c r="AC193" t="b">
        <f t="shared" si="58"/>
        <v>0</v>
      </c>
      <c r="AD193" t="b">
        <f t="shared" si="59"/>
        <v>0</v>
      </c>
      <c r="AG193" t="str">
        <f>'WetLitterbags placem_collection'!K192</f>
        <v>G526</v>
      </c>
      <c r="AH193" t="str">
        <f>'WetLitterbags placem_collection'!M192</f>
        <v>R164</v>
      </c>
      <c r="AI193" t="b">
        <f t="shared" si="60"/>
        <v>0</v>
      </c>
      <c r="AJ193" t="b">
        <f t="shared" si="61"/>
        <v>0</v>
      </c>
      <c r="AK193">
        <f>'WetLitterbags placem_collection'!A192</f>
        <v>190</v>
      </c>
      <c r="AL193">
        <f>'WetLitterbags placem_collection'!A192</f>
        <v>190</v>
      </c>
      <c r="AN193">
        <f>IF('Dry_Litterbag Placem_Collection'!J192=0,"",'Dry_Litterbag Placem_Collection'!J192)</f>
        <v>171</v>
      </c>
      <c r="AO193">
        <f>IF('Dry_Litterbag Placem_Collection'!K192=0,"",'Dry_Litterbag Placem_Collection'!K192)</f>
        <v>397</v>
      </c>
      <c r="AP193" t="b">
        <f t="shared" si="62"/>
        <v>0</v>
      </c>
      <c r="AQ193" t="b">
        <f t="shared" si="63"/>
        <v>0</v>
      </c>
      <c r="AT193" t="str">
        <f>'Ashed teabags dry'!A191</f>
        <v>G361</v>
      </c>
      <c r="AU193" t="str">
        <f>'Ashed teabags dry'!A528</f>
        <v>R669</v>
      </c>
      <c r="AV193" t="b">
        <f t="shared" si="64"/>
        <v>0</v>
      </c>
      <c r="AW193" t="b">
        <f t="shared" si="65"/>
        <v>0</v>
      </c>
      <c r="AZ193" s="401" t="b">
        <f t="shared" si="66"/>
        <v>0</v>
      </c>
      <c r="BA193" s="401" t="b">
        <f t="shared" si="67"/>
        <v>0</v>
      </c>
      <c r="BC193" t="str">
        <f>'Ashed teabags wet'!A191</f>
        <v>G610</v>
      </c>
      <c r="BD193" t="str">
        <f>'Ashed teabags wet'!A608</f>
        <v>R410</v>
      </c>
      <c r="BE193" t="b">
        <f t="shared" si="68"/>
        <v>0</v>
      </c>
      <c r="BF193" t="b">
        <f t="shared" si="69"/>
        <v>0</v>
      </c>
      <c r="BG193">
        <f>IFERROR('Ashed teabags wet'!C191,"")</f>
        <v>98</v>
      </c>
      <c r="BH193">
        <f>IFERROR('Ashed teabags wet'!C608,"")</f>
        <v>217</v>
      </c>
      <c r="BI193">
        <f>'Ashed teabags wet'!AB191</f>
        <v>97</v>
      </c>
      <c r="BJ193" t="str">
        <f>'Ashed teabags wet'!AC191</f>
        <v/>
      </c>
      <c r="BK193" t="str">
        <f>'Ashed teabags wet'!AD608</f>
        <v/>
      </c>
      <c r="BL193">
        <f>'Ashed teabags wet'!AE608</f>
        <v>216</v>
      </c>
      <c r="BN193" t="str">
        <f t="shared" si="70"/>
        <v>G609</v>
      </c>
      <c r="BO193" t="b">
        <f t="shared" si="71"/>
        <v>1</v>
      </c>
    </row>
    <row r="194" spans="2:67" ht="12" customHeight="1">
      <c r="B194" t="str">
        <f>TBIDry!H266</f>
        <v>G232</v>
      </c>
      <c r="C194" t="str">
        <f>TBIDry!I266</f>
        <v>R715</v>
      </c>
      <c r="D194" t="b">
        <f t="shared" si="48"/>
        <v>0</v>
      </c>
      <c r="E194" t="b">
        <f t="shared" si="49"/>
        <v>0</v>
      </c>
      <c r="G194" t="str">
        <f>TBIWet!H266</f>
        <v>G522</v>
      </c>
      <c r="H194" t="str">
        <f>TBIWet!I266</f>
        <v>R336</v>
      </c>
      <c r="I194" t="b">
        <f t="shared" si="50"/>
        <v>0</v>
      </c>
      <c r="J194" t="b">
        <f t="shared" si="51"/>
        <v>0</v>
      </c>
      <c r="L194" t="str">
        <f>'Both teabags AfterWet'!A193</f>
        <v>G607</v>
      </c>
      <c r="M194" t="str">
        <f>'Both teabags AfterWet'!A611</f>
        <v>R395</v>
      </c>
      <c r="N194" t="b">
        <f t="shared" si="52"/>
        <v>0</v>
      </c>
      <c r="O194" t="b">
        <f t="shared" si="53"/>
        <v>0</v>
      </c>
      <c r="P194">
        <f>IFERROR('Both teabags AfterWet'!B193,"")</f>
        <v>80</v>
      </c>
      <c r="Q194">
        <f>'Both teabags AfterWet'!B611</f>
        <v>201</v>
      </c>
      <c r="S194" s="401" t="b">
        <f t="shared" si="54"/>
        <v>0</v>
      </c>
      <c r="T194" s="401" t="b">
        <f t="shared" si="55"/>
        <v>0</v>
      </c>
      <c r="V194" t="str">
        <f>'Both teabags AfterDry'!A193</f>
        <v>G36</v>
      </c>
      <c r="W194" t="str">
        <f>'Both teabags AfterDry'!A530</f>
        <v>R670</v>
      </c>
      <c r="X194" t="b">
        <f t="shared" si="56"/>
        <v>0</v>
      </c>
      <c r="Y194" t="b">
        <f t="shared" si="57"/>
        <v>0</v>
      </c>
      <c r="AA194" t="str">
        <f>'Green_rooibos initial weight'!A195</f>
        <v>G191</v>
      </c>
      <c r="AB194" t="str">
        <f>'Green_rooibos initial weight'!A1099</f>
        <v>R191</v>
      </c>
      <c r="AC194" t="b">
        <f t="shared" si="58"/>
        <v>0</v>
      </c>
      <c r="AD194" t="b">
        <f t="shared" si="59"/>
        <v>0</v>
      </c>
      <c r="AG194" t="str">
        <f>'WetLitterbags placem_collection'!K193</f>
        <v>G522</v>
      </c>
      <c r="AH194" t="str">
        <f>'WetLitterbags placem_collection'!M193</f>
        <v>R336</v>
      </c>
      <c r="AI194" t="b">
        <f t="shared" si="60"/>
        <v>0</v>
      </c>
      <c r="AJ194" t="b">
        <f t="shared" si="61"/>
        <v>0</v>
      </c>
      <c r="AK194">
        <f>'WetLitterbags placem_collection'!A193</f>
        <v>191</v>
      </c>
      <c r="AL194">
        <f>'WetLitterbags placem_collection'!A193</f>
        <v>191</v>
      </c>
      <c r="AN194">
        <f>IF('Dry_Litterbag Placem_Collection'!J193=0,"",'Dry_Litterbag Placem_Collection'!J193)</f>
        <v>232</v>
      </c>
      <c r="AO194">
        <f>IF('Dry_Litterbag Placem_Collection'!K193=0,"",'Dry_Litterbag Placem_Collection'!K193)</f>
        <v>715</v>
      </c>
      <c r="AP194" t="b">
        <f t="shared" si="62"/>
        <v>0</v>
      </c>
      <c r="AQ194" t="b">
        <f t="shared" si="63"/>
        <v>0</v>
      </c>
      <c r="AT194" t="str">
        <f>'Ashed teabags dry'!A192</f>
        <v>G363</v>
      </c>
      <c r="AU194" t="str">
        <f>'Ashed teabags dry'!A529</f>
        <v>R670</v>
      </c>
      <c r="AV194" t="b">
        <f t="shared" si="64"/>
        <v>0</v>
      </c>
      <c r="AW194" t="b">
        <f t="shared" si="65"/>
        <v>0</v>
      </c>
      <c r="AZ194" s="401" t="b">
        <f t="shared" si="66"/>
        <v>0</v>
      </c>
      <c r="BA194" s="401" t="b">
        <f t="shared" si="67"/>
        <v>0</v>
      </c>
      <c r="BC194" t="str">
        <f>'Ashed teabags wet'!A192</f>
        <v>G613</v>
      </c>
      <c r="BD194" t="str">
        <f>'Ashed teabags wet'!A609</f>
        <v>R411</v>
      </c>
      <c r="BE194" t="b">
        <f t="shared" si="68"/>
        <v>0</v>
      </c>
      <c r="BF194" t="b">
        <f t="shared" si="69"/>
        <v>0</v>
      </c>
      <c r="BG194">
        <f>IFERROR('Ashed teabags wet'!C192,"")</f>
        <v>216</v>
      </c>
      <c r="BH194">
        <f>IFERROR('Ashed teabags wet'!C609,"")</f>
        <v>165</v>
      </c>
      <c r="BI194" t="str">
        <f>'Ashed teabags wet'!AB192</f>
        <v/>
      </c>
      <c r="BJ194">
        <f>'Ashed teabags wet'!AC192</f>
        <v>215</v>
      </c>
      <c r="BK194" t="str">
        <f>'Ashed teabags wet'!AD609</f>
        <v/>
      </c>
      <c r="BL194">
        <f>'Ashed teabags wet'!AE609</f>
        <v>164</v>
      </c>
      <c r="BN194" t="str">
        <f t="shared" si="70"/>
        <v>G610</v>
      </c>
      <c r="BO194" t="b">
        <f t="shared" si="71"/>
        <v>1</v>
      </c>
    </row>
    <row r="195" spans="2:67" ht="12" customHeight="1">
      <c r="B195" t="str">
        <f>TBIDry!H267</f>
        <v/>
      </c>
      <c r="C195" t="str">
        <f>TBIDry!I267</f>
        <v/>
      </c>
      <c r="D195" t="b">
        <f t="shared" si="48"/>
        <v>1</v>
      </c>
      <c r="E195" t="b">
        <f t="shared" si="49"/>
        <v>1</v>
      </c>
      <c r="G195" t="str">
        <f>TBIWet!H267</f>
        <v>G591</v>
      </c>
      <c r="H195" t="str">
        <f>TBIWet!I267</f>
        <v>R263</v>
      </c>
      <c r="I195" t="b">
        <f t="shared" si="50"/>
        <v>0</v>
      </c>
      <c r="J195" t="b">
        <f t="shared" si="51"/>
        <v>0</v>
      </c>
      <c r="L195" t="str">
        <f>'Both teabags AfterWet'!A194</f>
        <v>G609</v>
      </c>
      <c r="M195" t="str">
        <f>'Both teabags AfterWet'!A612</f>
        <v>R396</v>
      </c>
      <c r="N195" t="b">
        <f t="shared" si="52"/>
        <v>0</v>
      </c>
      <c r="O195" t="b">
        <f t="shared" si="53"/>
        <v>0</v>
      </c>
      <c r="P195">
        <f>IFERROR('Both teabags AfterWet'!B194,"")</f>
        <v>14</v>
      </c>
      <c r="Q195" t="str">
        <f>'Both teabags AfterWet'!B612</f>
        <v>n.a</v>
      </c>
      <c r="S195" s="401" t="b">
        <f t="shared" si="54"/>
        <v>0</v>
      </c>
      <c r="T195" s="401" t="b">
        <f t="shared" si="55"/>
        <v>0</v>
      </c>
      <c r="V195" t="str">
        <f>'Both teabags AfterDry'!A194</f>
        <v>G361</v>
      </c>
      <c r="W195" t="str">
        <f>'Both teabags AfterDry'!A531</f>
        <v>R671</v>
      </c>
      <c r="X195" t="b">
        <f t="shared" si="56"/>
        <v>0</v>
      </c>
      <c r="Y195" t="b">
        <f t="shared" si="57"/>
        <v>0</v>
      </c>
      <c r="AA195" t="str">
        <f>'Green_rooibos initial weight'!A196</f>
        <v>G192</v>
      </c>
      <c r="AB195" t="str">
        <f>'Green_rooibos initial weight'!A1100</f>
        <v>R192</v>
      </c>
      <c r="AC195" t="b">
        <f t="shared" si="58"/>
        <v>0</v>
      </c>
      <c r="AD195" t="b">
        <f t="shared" si="59"/>
        <v>0</v>
      </c>
      <c r="AG195" t="str">
        <f>'WetLitterbags placem_collection'!K194</f>
        <v>G591</v>
      </c>
      <c r="AH195" t="str">
        <f>'WetLitterbags placem_collection'!M194</f>
        <v>R263</v>
      </c>
      <c r="AI195" t="b">
        <f t="shared" si="60"/>
        <v>0</v>
      </c>
      <c r="AJ195" t="b">
        <f t="shared" si="61"/>
        <v>0</v>
      </c>
      <c r="AK195">
        <f>'WetLitterbags placem_collection'!A194</f>
        <v>192</v>
      </c>
      <c r="AL195">
        <f>'WetLitterbags placem_collection'!A194</f>
        <v>192</v>
      </c>
      <c r="AN195" t="str">
        <f>IF('Dry_Litterbag Placem_Collection'!J194=0,"",'Dry_Litterbag Placem_Collection'!J194)</f>
        <v/>
      </c>
      <c r="AO195" t="str">
        <f>IF('Dry_Litterbag Placem_Collection'!K194=0,"",'Dry_Litterbag Placem_Collection'!K194)</f>
        <v/>
      </c>
      <c r="AP195" t="b">
        <f t="shared" si="62"/>
        <v>1</v>
      </c>
      <c r="AQ195" t="b">
        <f t="shared" si="63"/>
        <v>1</v>
      </c>
      <c r="AT195" t="str">
        <f>'Ashed teabags dry'!A193</f>
        <v>G364</v>
      </c>
      <c r="AU195" t="str">
        <f>'Ashed teabags dry'!A530</f>
        <v>R671</v>
      </c>
      <c r="AV195" t="b">
        <f t="shared" si="64"/>
        <v>0</v>
      </c>
      <c r="AW195" t="b">
        <f t="shared" si="65"/>
        <v>0</v>
      </c>
      <c r="AZ195" s="401" t="b">
        <f t="shared" si="66"/>
        <v>0</v>
      </c>
      <c r="BA195" s="401" t="b">
        <f t="shared" si="67"/>
        <v>0</v>
      </c>
      <c r="BC195" t="str">
        <f>'Ashed teabags wet'!A193</f>
        <v>G614</v>
      </c>
      <c r="BD195" t="str">
        <f>'Ashed teabags wet'!A610</f>
        <v>R412</v>
      </c>
      <c r="BE195" t="b">
        <f t="shared" si="68"/>
        <v>0</v>
      </c>
      <c r="BF195" t="b">
        <f t="shared" si="69"/>
        <v>0</v>
      </c>
      <c r="BG195">
        <f>IFERROR('Ashed teabags wet'!C193,"")</f>
        <v>65</v>
      </c>
      <c r="BH195">
        <f>IFERROR('Ashed teabags wet'!C610,"")</f>
        <v>214</v>
      </c>
      <c r="BI195">
        <f>'Ashed teabags wet'!AB193</f>
        <v>64</v>
      </c>
      <c r="BJ195" t="str">
        <f>'Ashed teabags wet'!AC193</f>
        <v/>
      </c>
      <c r="BK195" t="str">
        <f>'Ashed teabags wet'!AD610</f>
        <v/>
      </c>
      <c r="BL195">
        <f>'Ashed teabags wet'!AE610</f>
        <v>213</v>
      </c>
      <c r="BN195" t="str">
        <f t="shared" si="70"/>
        <v>G613</v>
      </c>
      <c r="BO195" t="b">
        <f t="shared" si="71"/>
        <v>1</v>
      </c>
    </row>
    <row r="196" spans="2:67" ht="12" customHeight="1">
      <c r="B196" t="str">
        <f>TBIDry!H268</f>
        <v>G257</v>
      </c>
      <c r="C196" t="str">
        <f>TBIDry!I268</f>
        <v>R695</v>
      </c>
      <c r="D196" t="b">
        <f t="shared" si="48"/>
        <v>0</v>
      </c>
      <c r="E196" t="b">
        <f t="shared" si="49"/>
        <v>0</v>
      </c>
      <c r="G196" t="str">
        <f>TBIWet!H268</f>
        <v>G863</v>
      </c>
      <c r="H196" t="str">
        <f>TBIWet!I268</f>
        <v>R125</v>
      </c>
      <c r="I196" t="b">
        <f t="shared" si="50"/>
        <v>0</v>
      </c>
      <c r="J196" t="b">
        <f t="shared" si="51"/>
        <v>0</v>
      </c>
      <c r="L196" t="str">
        <f>'Both teabags AfterWet'!A195</f>
        <v>G610</v>
      </c>
      <c r="M196" t="str">
        <f>'Both teabags AfterWet'!A613</f>
        <v>R398</v>
      </c>
      <c r="N196" t="b">
        <f t="shared" si="52"/>
        <v>0</v>
      </c>
      <c r="O196" t="b">
        <f t="shared" si="53"/>
        <v>0</v>
      </c>
      <c r="P196">
        <f>IFERROR('Both teabags AfterWet'!B195,"")</f>
        <v>98</v>
      </c>
      <c r="Q196">
        <f>'Both teabags AfterWet'!B613</f>
        <v>7</v>
      </c>
      <c r="S196" s="401" t="b">
        <f t="shared" si="54"/>
        <v>0</v>
      </c>
      <c r="T196" s="401" t="b">
        <f t="shared" si="55"/>
        <v>0</v>
      </c>
      <c r="V196" t="str">
        <f>'Both teabags AfterDry'!A195</f>
        <v>G363</v>
      </c>
      <c r="W196" t="str">
        <f>'Both teabags AfterDry'!A532</f>
        <v>R673</v>
      </c>
      <c r="X196" t="b">
        <f t="shared" si="56"/>
        <v>0</v>
      </c>
      <c r="Y196" t="b">
        <f t="shared" si="57"/>
        <v>0</v>
      </c>
      <c r="AA196" t="str">
        <f>'Green_rooibos initial weight'!A197</f>
        <v>G193</v>
      </c>
      <c r="AB196" t="str">
        <f>'Green_rooibos initial weight'!A1101</f>
        <v>R193</v>
      </c>
      <c r="AC196" t="b">
        <f t="shared" si="58"/>
        <v>0</v>
      </c>
      <c r="AD196" t="b">
        <f t="shared" si="59"/>
        <v>0</v>
      </c>
      <c r="AG196" t="str">
        <f>'WetLitterbags placem_collection'!K195</f>
        <v>G863</v>
      </c>
      <c r="AH196" t="str">
        <f>'WetLitterbags placem_collection'!M195</f>
        <v>R125</v>
      </c>
      <c r="AI196" t="b">
        <f t="shared" si="60"/>
        <v>0</v>
      </c>
      <c r="AJ196" t="b">
        <f t="shared" si="61"/>
        <v>0</v>
      </c>
      <c r="AK196">
        <f>'WetLitterbags placem_collection'!A195</f>
        <v>193</v>
      </c>
      <c r="AL196">
        <f>'WetLitterbags placem_collection'!A195</f>
        <v>193</v>
      </c>
      <c r="AN196">
        <f>IF('Dry_Litterbag Placem_Collection'!J195=0,"",'Dry_Litterbag Placem_Collection'!J195)</f>
        <v>257</v>
      </c>
      <c r="AO196">
        <f>IF('Dry_Litterbag Placem_Collection'!K195=0,"",'Dry_Litterbag Placem_Collection'!K195)</f>
        <v>695</v>
      </c>
      <c r="AP196" t="b">
        <f t="shared" si="62"/>
        <v>0</v>
      </c>
      <c r="AQ196" t="b">
        <f t="shared" si="63"/>
        <v>0</v>
      </c>
      <c r="AT196" t="str">
        <f>'Ashed teabags dry'!A194</f>
        <v>G370</v>
      </c>
      <c r="AU196" t="str">
        <f>'Ashed teabags dry'!A531</f>
        <v>R673</v>
      </c>
      <c r="AV196" t="b">
        <f t="shared" si="64"/>
        <v>0</v>
      </c>
      <c r="AW196" t="b">
        <f t="shared" si="65"/>
        <v>0</v>
      </c>
      <c r="AZ196" s="401" t="b">
        <f t="shared" si="66"/>
        <v>0</v>
      </c>
      <c r="BA196" s="401" t="b">
        <f t="shared" si="67"/>
        <v>0</v>
      </c>
      <c r="BC196" t="str">
        <f>'Ashed teabags wet'!A194</f>
        <v>G615</v>
      </c>
      <c r="BD196" t="str">
        <f>'Ashed teabags wet'!A611</f>
        <v>R414</v>
      </c>
      <c r="BE196" t="b">
        <f t="shared" si="68"/>
        <v>0</v>
      </c>
      <c r="BF196" t="b">
        <f t="shared" si="69"/>
        <v>0</v>
      </c>
      <c r="BG196">
        <f>IFERROR('Ashed teabags wet'!C194,"")</f>
        <v>194</v>
      </c>
      <c r="BH196">
        <f>IFERROR('Ashed teabags wet'!C611,"")</f>
        <v>69</v>
      </c>
      <c r="BI196">
        <f>'Ashed teabags wet'!AB194</f>
        <v>193</v>
      </c>
      <c r="BJ196" t="str">
        <f>'Ashed teabags wet'!AC194</f>
        <v/>
      </c>
      <c r="BK196">
        <f>'Ashed teabags wet'!AD611</f>
        <v>68</v>
      </c>
      <c r="BL196" t="str">
        <f>'Ashed teabags wet'!AE611</f>
        <v/>
      </c>
      <c r="BN196" t="str">
        <f t="shared" si="70"/>
        <v>G614</v>
      </c>
      <c r="BO196" t="b">
        <f t="shared" si="71"/>
        <v>1</v>
      </c>
    </row>
    <row r="197" spans="2:67" ht="12" customHeight="1">
      <c r="B197" t="str">
        <f>TBIDry!H269</f>
        <v>G148</v>
      </c>
      <c r="C197" t="str">
        <f>TBIDry!I269</f>
        <v>R653</v>
      </c>
      <c r="D197" t="b">
        <f t="shared" ref="D197:D260" si="72">COUNTIF($B$4:$B$2000, B197)&gt;1</f>
        <v>0</v>
      </c>
      <c r="E197" t="b">
        <f t="shared" ref="E197:E260" si="73">COUNTIF($C$4:$C$2000, C197)&gt;1</f>
        <v>0</v>
      </c>
      <c r="G197" t="str">
        <f>TBIWet!H269</f>
        <v>G615</v>
      </c>
      <c r="H197" t="str">
        <f>TBIWet!I269</f>
        <v>R289</v>
      </c>
      <c r="I197" t="b">
        <f t="shared" ref="I197:I260" si="74">COUNTIF($G$4:$G$2000, G197)&gt;1</f>
        <v>0</v>
      </c>
      <c r="J197" t="b">
        <f t="shared" ref="J197:J260" si="75">COUNTIF($H$4:$H$2000, H197)&gt;1</f>
        <v>0</v>
      </c>
      <c r="L197" t="str">
        <f>'Both teabags AfterWet'!A196</f>
        <v>G613</v>
      </c>
      <c r="M197" t="str">
        <f>'Both teabags AfterWet'!A614</f>
        <v>R4</v>
      </c>
      <c r="N197" t="b">
        <f t="shared" ref="N197:N260" si="76">COUNTIF($L$4:$L$2000, L197)&gt;1</f>
        <v>0</v>
      </c>
      <c r="O197" t="b">
        <f t="shared" ref="O197:O260" si="77">COUNTIF($M$4:$M$2000, M197)&gt;1</f>
        <v>0</v>
      </c>
      <c r="P197">
        <f>IFERROR('Both teabags AfterWet'!B196,"")</f>
        <v>216</v>
      </c>
      <c r="Q197">
        <f>'Both teabags AfterWet'!B614</f>
        <v>92</v>
      </c>
      <c r="S197" s="401" t="b">
        <f t="shared" ref="S197:S260" si="78">COUNTIF($V$4:$V$2000, L197)=1</f>
        <v>0</v>
      </c>
      <c r="T197" s="401" t="b">
        <f t="shared" ref="T197:T260" si="79">COUNTIF($W$4:$W$2000, M197)=1</f>
        <v>0</v>
      </c>
      <c r="V197" t="str">
        <f>'Both teabags AfterDry'!A196</f>
        <v>G364</v>
      </c>
      <c r="W197" t="str">
        <f>'Both teabags AfterDry'!A533</f>
        <v>R674</v>
      </c>
      <c r="X197" t="b">
        <f t="shared" ref="X197:X260" si="80">COUNTIF($V$4:$V$2000, V197)&gt;1</f>
        <v>0</v>
      </c>
      <c r="Y197" t="b">
        <f t="shared" ref="Y197:Y260" si="81">COUNTIF($W$4:$W$2000, W197)&gt;1</f>
        <v>0</v>
      </c>
      <c r="AA197" t="str">
        <f>'Green_rooibos initial weight'!A198</f>
        <v>G194</v>
      </c>
      <c r="AB197" t="str">
        <f>'Green_rooibos initial weight'!A1102</f>
        <v>R194</v>
      </c>
      <c r="AC197" t="b">
        <f t="shared" ref="AC197:AC260" si="82">COUNTIF($AA$4:$AA$2000, AA197)&gt;1</f>
        <v>0</v>
      </c>
      <c r="AD197" t="b">
        <f t="shared" ref="AD197:AD260" si="83">COUNTIF($AB$4:$AB$2000, AB197)&gt;1</f>
        <v>0</v>
      </c>
      <c r="AG197" t="str">
        <f>'WetLitterbags placem_collection'!K196</f>
        <v>G615</v>
      </c>
      <c r="AH197" t="str">
        <f>'WetLitterbags placem_collection'!M196</f>
        <v>R289</v>
      </c>
      <c r="AI197" t="b">
        <f t="shared" ref="AI197:AI260" si="84">COUNTIF($AG$4:$AG$2000, AG197)&gt;1</f>
        <v>0</v>
      </c>
      <c r="AJ197" t="b">
        <f t="shared" ref="AJ197:AJ260" si="85">COUNTIF($AH$4:$AH$2000, AH197)&gt;1</f>
        <v>0</v>
      </c>
      <c r="AK197">
        <f>'WetLitterbags placem_collection'!A196</f>
        <v>194</v>
      </c>
      <c r="AL197">
        <f>'WetLitterbags placem_collection'!A196</f>
        <v>194</v>
      </c>
      <c r="AN197">
        <f>IF('Dry_Litterbag Placem_Collection'!J196=0,"",'Dry_Litterbag Placem_Collection'!J196)</f>
        <v>148</v>
      </c>
      <c r="AO197">
        <f>IF('Dry_Litterbag Placem_Collection'!K196=0,"",'Dry_Litterbag Placem_Collection'!K196)</f>
        <v>653</v>
      </c>
      <c r="AP197" t="b">
        <f t="shared" ref="AP197:AP260" si="86">COUNTIF($AN$4:$AN$2000, AN197)&gt;1</f>
        <v>0</v>
      </c>
      <c r="AQ197" t="b">
        <f t="shared" ref="AQ197:AQ260" si="87">COUNTIF($AO$4:$AO$2000, AO197)&gt;1</f>
        <v>0</v>
      </c>
      <c r="AT197" t="str">
        <f>'Ashed teabags dry'!A195</f>
        <v>G371</v>
      </c>
      <c r="AU197" t="str">
        <f>'Ashed teabags dry'!A532</f>
        <v>R674</v>
      </c>
      <c r="AV197" t="b">
        <f t="shared" ref="AV197:AV260" si="88">COUNTIF($AT$4:$AT$2000, AT197)&gt;1</f>
        <v>0</v>
      </c>
      <c r="AW197" t="b">
        <f t="shared" ref="AW197:AW260" si="89">COUNTIF($AU$4:$AU$2000, AU197)&gt;1</f>
        <v>0</v>
      </c>
      <c r="AZ197" s="401" t="b">
        <f t="shared" ref="AZ197:AZ260" si="90">COUNTIF($BC$4:$BC$2000, AT197)=1</f>
        <v>0</v>
      </c>
      <c r="BA197" s="401" t="b">
        <f t="shared" ref="BA197:BA260" si="91">COUNTIF($BD$4:$BD$2000, AU197)=1</f>
        <v>0</v>
      </c>
      <c r="BC197" t="str">
        <f>'Ashed teabags wet'!A195</f>
        <v>G616</v>
      </c>
      <c r="BD197" t="str">
        <f>'Ashed teabags wet'!A612</f>
        <v>R415</v>
      </c>
      <c r="BE197" t="b">
        <f t="shared" ref="BE197:BE260" si="92">COUNTIF($BC$4:$BC$2000, BC197)&gt;1</f>
        <v>0</v>
      </c>
      <c r="BF197" t="b">
        <f t="shared" ref="BF197:BF260" si="93">COUNTIF($BD$4:$BD$2000, BD197)&gt;1</f>
        <v>0</v>
      </c>
      <c r="BG197">
        <f>IFERROR('Ashed teabags wet'!C195,"")</f>
        <v>55</v>
      </c>
      <c r="BH197">
        <f>IFERROR('Ashed teabags wet'!C612,"")</f>
        <v>15</v>
      </c>
      <c r="BI197" t="str">
        <f>'Ashed teabags wet'!AB195</f>
        <v/>
      </c>
      <c r="BJ197">
        <f>'Ashed teabags wet'!AC195</f>
        <v>54</v>
      </c>
      <c r="BK197">
        <f>'Ashed teabags wet'!AD612</f>
        <v>14</v>
      </c>
      <c r="BL197" t="str">
        <f>'Ashed teabags wet'!AE612</f>
        <v/>
      </c>
      <c r="BN197" s="180" t="str">
        <f t="shared" ref="BN197:BN260" si="94">BC196</f>
        <v>G615</v>
      </c>
      <c r="BO197" s="113" t="b">
        <f t="shared" si="71"/>
        <v>0</v>
      </c>
    </row>
    <row r="198" spans="2:67" ht="12" customHeight="1">
      <c r="B198" t="str">
        <f>TBIDry!H270</f>
        <v>G105</v>
      </c>
      <c r="C198" t="str">
        <f>TBIDry!I270</f>
        <v>R389</v>
      </c>
      <c r="D198" t="b">
        <f t="shared" si="72"/>
        <v>0</v>
      </c>
      <c r="E198" t="b">
        <f t="shared" si="73"/>
        <v>0</v>
      </c>
      <c r="G198" t="str">
        <f>TBIWet!H270</f>
        <v>G821</v>
      </c>
      <c r="H198" t="str">
        <f>TBIWet!I270</f>
        <v>R378</v>
      </c>
      <c r="I198" t="b">
        <f t="shared" si="74"/>
        <v>0</v>
      </c>
      <c r="J198" t="b">
        <f t="shared" si="75"/>
        <v>0</v>
      </c>
      <c r="L198" t="str">
        <f>'Both teabags AfterWet'!A197</f>
        <v>G614</v>
      </c>
      <c r="M198" t="str">
        <f>'Both teabags AfterWet'!A615</f>
        <v>R40</v>
      </c>
      <c r="N198" t="b">
        <f t="shared" si="76"/>
        <v>0</v>
      </c>
      <c r="O198" t="b">
        <f t="shared" si="77"/>
        <v>0</v>
      </c>
      <c r="P198">
        <f>IFERROR('Both teabags AfterWet'!B197,"")</f>
        <v>65</v>
      </c>
      <c r="Q198">
        <f>'Both teabags AfterWet'!B615</f>
        <v>145</v>
      </c>
      <c r="S198" s="401" t="b">
        <f t="shared" si="78"/>
        <v>0</v>
      </c>
      <c r="T198" s="401" t="b">
        <f t="shared" si="79"/>
        <v>0</v>
      </c>
      <c r="V198" t="str">
        <f>'Both teabags AfterDry'!A197</f>
        <v>G370</v>
      </c>
      <c r="W198" t="str">
        <f>'Both teabags AfterDry'!A534</f>
        <v>R675</v>
      </c>
      <c r="X198" t="b">
        <f t="shared" si="80"/>
        <v>0</v>
      </c>
      <c r="Y198" t="b">
        <f t="shared" si="81"/>
        <v>0</v>
      </c>
      <c r="AA198" t="str">
        <f>'Green_rooibos initial weight'!A199</f>
        <v>G195</v>
      </c>
      <c r="AB198" t="str">
        <f>'Green_rooibos initial weight'!A1103</f>
        <v>R195</v>
      </c>
      <c r="AC198" t="b">
        <f t="shared" si="82"/>
        <v>0</v>
      </c>
      <c r="AD198" t="b">
        <f t="shared" si="83"/>
        <v>0</v>
      </c>
      <c r="AG198" t="str">
        <f>'WetLitterbags placem_collection'!K197</f>
        <v>G821</v>
      </c>
      <c r="AH198" t="str">
        <f>'WetLitterbags placem_collection'!M197</f>
        <v>R378</v>
      </c>
      <c r="AI198" t="b">
        <f t="shared" si="84"/>
        <v>0</v>
      </c>
      <c r="AJ198" t="b">
        <f t="shared" si="85"/>
        <v>0</v>
      </c>
      <c r="AK198">
        <f>'WetLitterbags placem_collection'!A197</f>
        <v>195</v>
      </c>
      <c r="AL198">
        <f>'WetLitterbags placem_collection'!A197</f>
        <v>195</v>
      </c>
      <c r="AN198">
        <f>IF('Dry_Litterbag Placem_Collection'!J197=0,"",'Dry_Litterbag Placem_Collection'!J197)</f>
        <v>105</v>
      </c>
      <c r="AO198">
        <f>IF('Dry_Litterbag Placem_Collection'!K197=0,"",'Dry_Litterbag Placem_Collection'!K197)</f>
        <v>389</v>
      </c>
      <c r="AP198" t="b">
        <f t="shared" si="86"/>
        <v>0</v>
      </c>
      <c r="AQ198" t="b">
        <f t="shared" si="87"/>
        <v>0</v>
      </c>
      <c r="AT198" t="str">
        <f>'Ashed teabags dry'!A196</f>
        <v>G372</v>
      </c>
      <c r="AU198" t="str">
        <f>'Ashed teabags dry'!A533</f>
        <v>R675</v>
      </c>
      <c r="AV198" t="b">
        <f t="shared" si="88"/>
        <v>0</v>
      </c>
      <c r="AW198" t="b">
        <f t="shared" si="89"/>
        <v>0</v>
      </c>
      <c r="AZ198" s="401" t="b">
        <f t="shared" si="90"/>
        <v>0</v>
      </c>
      <c r="BA198" s="401" t="b">
        <f t="shared" si="91"/>
        <v>0</v>
      </c>
      <c r="BC198" t="str">
        <f>'Ashed teabags wet'!A196</f>
        <v>G618</v>
      </c>
      <c r="BD198" t="str">
        <f>'Ashed teabags wet'!A613</f>
        <v>R417</v>
      </c>
      <c r="BE198" t="b">
        <f t="shared" si="92"/>
        <v>0</v>
      </c>
      <c r="BF198" t="b">
        <f t="shared" si="93"/>
        <v>0</v>
      </c>
      <c r="BG198">
        <f>IFERROR('Ashed teabags wet'!C196,"")</f>
        <v>57</v>
      </c>
      <c r="BH198">
        <f>IFERROR('Ashed teabags wet'!C613,"")</f>
        <v>84</v>
      </c>
      <c r="BI198" t="str">
        <f>'Ashed teabags wet'!AB196</f>
        <v/>
      </c>
      <c r="BJ198">
        <f>'Ashed teabags wet'!AC196</f>
        <v>56</v>
      </c>
      <c r="BK198" t="str">
        <f>'Ashed teabags wet'!AD613</f>
        <v/>
      </c>
      <c r="BL198">
        <f>'Ashed teabags wet'!AE613</f>
        <v>83</v>
      </c>
      <c r="BN198" t="str">
        <f t="shared" si="94"/>
        <v>G616</v>
      </c>
      <c r="BO198" t="b">
        <f t="shared" ref="BO198:BO261" si="95">COUNTIF($BN$5:$BN$2000, BN198)&gt;1</f>
        <v>1</v>
      </c>
    </row>
    <row r="199" spans="2:67" ht="12" customHeight="1">
      <c r="B199" t="str">
        <f>TBIDry!H271</f>
        <v>G12</v>
      </c>
      <c r="C199" t="str">
        <f>TBIDry!I271</f>
        <v>R455</v>
      </c>
      <c r="D199" t="b">
        <f t="shared" si="72"/>
        <v>0</v>
      </c>
      <c r="E199" t="b">
        <f t="shared" si="73"/>
        <v>0</v>
      </c>
      <c r="G199" t="str">
        <f>TBIWet!H271</f>
        <v>G754</v>
      </c>
      <c r="H199" t="str">
        <f>TBIWet!I271</f>
        <v>R375</v>
      </c>
      <c r="I199" t="b">
        <f t="shared" si="74"/>
        <v>0</v>
      </c>
      <c r="J199" t="b">
        <f t="shared" si="75"/>
        <v>0</v>
      </c>
      <c r="L199" t="str">
        <f>'Both teabags AfterWet'!A198</f>
        <v>G616</v>
      </c>
      <c r="M199" t="str">
        <f>'Both teabags AfterWet'!A616</f>
        <v>R403</v>
      </c>
      <c r="N199" t="b">
        <f t="shared" si="76"/>
        <v>0</v>
      </c>
      <c r="O199" t="b">
        <f t="shared" si="77"/>
        <v>0</v>
      </c>
      <c r="P199">
        <f>IFERROR('Both teabags AfterWet'!B198,"")</f>
        <v>55</v>
      </c>
      <c r="Q199">
        <f>'Both teabags AfterWet'!B616</f>
        <v>169</v>
      </c>
      <c r="S199" s="401" t="b">
        <f t="shared" si="78"/>
        <v>0</v>
      </c>
      <c r="T199" s="401" t="b">
        <f t="shared" si="79"/>
        <v>0</v>
      </c>
      <c r="V199" t="str">
        <f>'Both teabags AfterDry'!A198</f>
        <v>G371</v>
      </c>
      <c r="W199" t="str">
        <f>'Both teabags AfterDry'!A535</f>
        <v>R676</v>
      </c>
      <c r="X199" t="b">
        <f t="shared" si="80"/>
        <v>0</v>
      </c>
      <c r="Y199" t="b">
        <f t="shared" si="81"/>
        <v>0</v>
      </c>
      <c r="AA199" t="str">
        <f>'Green_rooibos initial weight'!A200</f>
        <v>G196</v>
      </c>
      <c r="AB199" t="str">
        <f>'Green_rooibos initial weight'!A1104</f>
        <v>R196</v>
      </c>
      <c r="AC199" t="b">
        <f t="shared" si="82"/>
        <v>0</v>
      </c>
      <c r="AD199" t="b">
        <f t="shared" si="83"/>
        <v>0</v>
      </c>
      <c r="AG199" t="str">
        <f>'WetLitterbags placem_collection'!K198</f>
        <v>G754</v>
      </c>
      <c r="AH199" t="str">
        <f>'WetLitterbags placem_collection'!M198</f>
        <v>R375</v>
      </c>
      <c r="AI199" t="b">
        <f t="shared" si="84"/>
        <v>0</v>
      </c>
      <c r="AJ199" t="b">
        <f t="shared" si="85"/>
        <v>0</v>
      </c>
      <c r="AK199">
        <f>'WetLitterbags placem_collection'!A198</f>
        <v>196</v>
      </c>
      <c r="AL199">
        <f>'WetLitterbags placem_collection'!A198</f>
        <v>196</v>
      </c>
      <c r="AN199">
        <f>IF('Dry_Litterbag Placem_Collection'!J198=0,"",'Dry_Litterbag Placem_Collection'!J198)</f>
        <v>12</v>
      </c>
      <c r="AO199">
        <f>IF('Dry_Litterbag Placem_Collection'!K198=0,"",'Dry_Litterbag Placem_Collection'!K198)</f>
        <v>455</v>
      </c>
      <c r="AP199" t="b">
        <f t="shared" si="86"/>
        <v>0</v>
      </c>
      <c r="AQ199" t="b">
        <f t="shared" si="87"/>
        <v>0</v>
      </c>
      <c r="AT199" t="str">
        <f>'Ashed teabags dry'!A197</f>
        <v>G377</v>
      </c>
      <c r="AU199" t="str">
        <f>'Ashed teabags dry'!A534</f>
        <v>R676</v>
      </c>
      <c r="AV199" t="b">
        <f t="shared" si="88"/>
        <v>0</v>
      </c>
      <c r="AW199" t="b">
        <f t="shared" si="89"/>
        <v>0</v>
      </c>
      <c r="AZ199" s="401" t="b">
        <f t="shared" si="90"/>
        <v>0</v>
      </c>
      <c r="BA199" s="401" t="b">
        <f t="shared" si="91"/>
        <v>0</v>
      </c>
      <c r="BC199" t="str">
        <f>'Ashed teabags wet'!A197</f>
        <v>G619</v>
      </c>
      <c r="BD199" t="str">
        <f>'Ashed teabags wet'!A614</f>
        <v>R418</v>
      </c>
      <c r="BE199" t="b">
        <f t="shared" si="92"/>
        <v>0</v>
      </c>
      <c r="BF199" t="b">
        <f t="shared" si="93"/>
        <v>0</v>
      </c>
      <c r="BG199">
        <f>IFERROR('Ashed teabags wet'!C197,"")</f>
        <v>40</v>
      </c>
      <c r="BH199">
        <f>IFERROR('Ashed teabags wet'!C614,"")</f>
        <v>128</v>
      </c>
      <c r="BI199" t="str">
        <f>'Ashed teabags wet'!AB197</f>
        <v/>
      </c>
      <c r="BJ199">
        <f>'Ashed teabags wet'!AC197</f>
        <v>39</v>
      </c>
      <c r="BK199" t="str">
        <f>'Ashed teabags wet'!AD614</f>
        <v/>
      </c>
      <c r="BL199">
        <f>'Ashed teabags wet'!AE614</f>
        <v>127</v>
      </c>
      <c r="BN199" t="str">
        <f t="shared" si="94"/>
        <v>G618</v>
      </c>
      <c r="BO199" t="b">
        <f t="shared" si="95"/>
        <v>1</v>
      </c>
    </row>
    <row r="200" spans="2:67" ht="12" customHeight="1">
      <c r="B200" t="str">
        <f>TBIDry!H272</f>
        <v>G399</v>
      </c>
      <c r="C200" t="str">
        <f>TBIDry!I272</f>
        <v>R692</v>
      </c>
      <c r="D200" t="b">
        <f t="shared" si="72"/>
        <v>0</v>
      </c>
      <c r="E200" t="b">
        <f t="shared" si="73"/>
        <v>0</v>
      </c>
      <c r="G200" t="str">
        <f>TBIWet!H272</f>
        <v>G715</v>
      </c>
      <c r="H200" t="str">
        <f>TBIWet!I272</f>
        <v>R219</v>
      </c>
      <c r="I200" t="b">
        <f t="shared" si="74"/>
        <v>0</v>
      </c>
      <c r="J200" t="b">
        <f t="shared" si="75"/>
        <v>0</v>
      </c>
      <c r="L200" t="str">
        <f>'Both teabags AfterWet'!A199</f>
        <v>G618</v>
      </c>
      <c r="M200" t="str">
        <f>'Both teabags AfterWet'!A617</f>
        <v>R404</v>
      </c>
      <c r="N200" t="b">
        <f t="shared" si="76"/>
        <v>0</v>
      </c>
      <c r="O200" t="b">
        <f t="shared" si="77"/>
        <v>0</v>
      </c>
      <c r="P200">
        <f>IFERROR('Both teabags AfterWet'!B199,"")</f>
        <v>57</v>
      </c>
      <c r="Q200" t="str">
        <f>'Both teabags AfterWet'!B617</f>
        <v>n.a</v>
      </c>
      <c r="S200" s="401" t="b">
        <f t="shared" si="78"/>
        <v>0</v>
      </c>
      <c r="T200" s="401" t="b">
        <f t="shared" si="79"/>
        <v>0</v>
      </c>
      <c r="V200" t="str">
        <f>'Both teabags AfterDry'!A199</f>
        <v>G372</v>
      </c>
      <c r="W200" t="str">
        <f>'Both teabags AfterDry'!A536</f>
        <v>R677</v>
      </c>
      <c r="X200" t="b">
        <f t="shared" si="80"/>
        <v>0</v>
      </c>
      <c r="Y200" t="b">
        <f t="shared" si="81"/>
        <v>0</v>
      </c>
      <c r="AA200" t="str">
        <f>'Green_rooibos initial weight'!A201</f>
        <v>G197</v>
      </c>
      <c r="AB200" t="str">
        <f>'Green_rooibos initial weight'!A1105</f>
        <v>R197</v>
      </c>
      <c r="AC200" t="b">
        <f t="shared" si="82"/>
        <v>0</v>
      </c>
      <c r="AD200" t="b">
        <f t="shared" si="83"/>
        <v>0</v>
      </c>
      <c r="AG200" t="str">
        <f>'WetLitterbags placem_collection'!K199</f>
        <v>G715</v>
      </c>
      <c r="AH200" t="str">
        <f>'WetLitterbags placem_collection'!M199</f>
        <v>R219</v>
      </c>
      <c r="AI200" t="b">
        <f t="shared" si="84"/>
        <v>0</v>
      </c>
      <c r="AJ200" t="b">
        <f t="shared" si="85"/>
        <v>0</v>
      </c>
      <c r="AK200">
        <f>'WetLitterbags placem_collection'!A199</f>
        <v>197</v>
      </c>
      <c r="AL200">
        <f>'WetLitterbags placem_collection'!A199</f>
        <v>197</v>
      </c>
      <c r="AN200">
        <f>IF('Dry_Litterbag Placem_Collection'!J199=0,"",'Dry_Litterbag Placem_Collection'!J199)</f>
        <v>399</v>
      </c>
      <c r="AO200">
        <f>IF('Dry_Litterbag Placem_Collection'!K199=0,"",'Dry_Litterbag Placem_Collection'!K199)</f>
        <v>692</v>
      </c>
      <c r="AP200" t="b">
        <f t="shared" si="86"/>
        <v>0</v>
      </c>
      <c r="AQ200" t="b">
        <f t="shared" si="87"/>
        <v>0</v>
      </c>
      <c r="AT200" t="str">
        <f>'Ashed teabags dry'!A198</f>
        <v>G379</v>
      </c>
      <c r="AU200" t="str">
        <f>'Ashed teabags dry'!A535</f>
        <v>R677</v>
      </c>
      <c r="AV200" t="b">
        <f t="shared" si="88"/>
        <v>0</v>
      </c>
      <c r="AW200" t="b">
        <f t="shared" si="89"/>
        <v>0</v>
      </c>
      <c r="AZ200" s="401" t="b">
        <f t="shared" si="90"/>
        <v>0</v>
      </c>
      <c r="BA200" s="401" t="b">
        <f t="shared" si="91"/>
        <v>0</v>
      </c>
      <c r="BC200" t="str">
        <f>'Ashed teabags wet'!A198</f>
        <v>G620</v>
      </c>
      <c r="BD200" t="str">
        <f>'Ashed teabags wet'!A615</f>
        <v>R420</v>
      </c>
      <c r="BE200" t="b">
        <f t="shared" si="92"/>
        <v>0</v>
      </c>
      <c r="BF200" t="b">
        <f t="shared" si="93"/>
        <v>0</v>
      </c>
      <c r="BG200">
        <f>IFERROR('Ashed teabags wet'!C198,"")</f>
        <v>187</v>
      </c>
      <c r="BH200">
        <f>IFERROR('Ashed teabags wet'!C615,"")</f>
        <v>40</v>
      </c>
      <c r="BI200">
        <f>'Ashed teabags wet'!AB198</f>
        <v>186</v>
      </c>
      <c r="BJ200" t="str">
        <f>'Ashed teabags wet'!AC198</f>
        <v/>
      </c>
      <c r="BK200" t="str">
        <f>'Ashed teabags wet'!AD615</f>
        <v/>
      </c>
      <c r="BL200">
        <f>'Ashed teabags wet'!AE615</f>
        <v>39</v>
      </c>
      <c r="BN200" t="str">
        <f t="shared" si="94"/>
        <v>G619</v>
      </c>
      <c r="BO200" t="b">
        <f t="shared" si="95"/>
        <v>1</v>
      </c>
    </row>
    <row r="201" spans="2:67" ht="12" customHeight="1">
      <c r="B201" t="str">
        <f>TBIDry!H273</f>
        <v>G27</v>
      </c>
      <c r="C201" t="str">
        <f>TBIDry!I273</f>
        <v>R352</v>
      </c>
      <c r="D201" t="b">
        <f t="shared" si="72"/>
        <v>0</v>
      </c>
      <c r="E201" t="b">
        <f t="shared" si="73"/>
        <v>0</v>
      </c>
      <c r="G201" t="str">
        <f>TBIWet!H273</f>
        <v>G785</v>
      </c>
      <c r="H201" t="str">
        <f>TBIWet!I273</f>
        <v>R463</v>
      </c>
      <c r="I201" t="b">
        <f t="shared" si="74"/>
        <v>0</v>
      </c>
      <c r="J201" t="b">
        <f t="shared" si="75"/>
        <v>0</v>
      </c>
      <c r="L201" t="str">
        <f>'Both teabags AfterWet'!A200</f>
        <v>G619</v>
      </c>
      <c r="M201" t="str">
        <f>'Both teabags AfterWet'!A618</f>
        <v>R406</v>
      </c>
      <c r="N201" t="b">
        <f t="shared" si="76"/>
        <v>0</v>
      </c>
      <c r="O201" t="b">
        <f t="shared" si="77"/>
        <v>0</v>
      </c>
      <c r="P201">
        <f>IFERROR('Both teabags AfterWet'!B200,"")</f>
        <v>40</v>
      </c>
      <c r="Q201" t="str">
        <f>'Both teabags AfterWet'!B618</f>
        <v>n.a</v>
      </c>
      <c r="S201" s="401" t="b">
        <f t="shared" si="78"/>
        <v>0</v>
      </c>
      <c r="T201" s="401" t="b">
        <f t="shared" si="79"/>
        <v>0</v>
      </c>
      <c r="V201" t="str">
        <f>'Both teabags AfterDry'!A200</f>
        <v>G377</v>
      </c>
      <c r="W201" t="str">
        <f>'Both teabags AfterDry'!A537</f>
        <v>R678</v>
      </c>
      <c r="X201" t="b">
        <f t="shared" si="80"/>
        <v>0</v>
      </c>
      <c r="Y201" t="b">
        <f t="shared" si="81"/>
        <v>0</v>
      </c>
      <c r="AA201" t="str">
        <f>'Green_rooibos initial weight'!A202</f>
        <v>G198</v>
      </c>
      <c r="AB201" t="str">
        <f>'Green_rooibos initial weight'!A1106</f>
        <v>R198</v>
      </c>
      <c r="AC201" t="b">
        <f t="shared" si="82"/>
        <v>0</v>
      </c>
      <c r="AD201" t="b">
        <f t="shared" si="83"/>
        <v>0</v>
      </c>
      <c r="AG201" t="str">
        <f>'WetLitterbags placem_collection'!K200</f>
        <v>G785</v>
      </c>
      <c r="AH201" t="str">
        <f>'WetLitterbags placem_collection'!M200</f>
        <v>R463</v>
      </c>
      <c r="AI201" t="b">
        <f t="shared" si="84"/>
        <v>0</v>
      </c>
      <c r="AJ201" t="b">
        <f t="shared" si="85"/>
        <v>0</v>
      </c>
      <c r="AK201">
        <f>'WetLitterbags placem_collection'!A200</f>
        <v>198</v>
      </c>
      <c r="AL201">
        <f>'WetLitterbags placem_collection'!A200</f>
        <v>198</v>
      </c>
      <c r="AN201">
        <f>IF('Dry_Litterbag Placem_Collection'!J200=0,"",'Dry_Litterbag Placem_Collection'!J200)</f>
        <v>27</v>
      </c>
      <c r="AO201">
        <f>IF('Dry_Litterbag Placem_Collection'!K200=0,"",'Dry_Litterbag Placem_Collection'!K200)</f>
        <v>352</v>
      </c>
      <c r="AP201" t="b">
        <f t="shared" si="86"/>
        <v>0</v>
      </c>
      <c r="AQ201" t="b">
        <f t="shared" si="87"/>
        <v>0</v>
      </c>
      <c r="AT201" t="str">
        <f>'Ashed teabags dry'!A199</f>
        <v>G38</v>
      </c>
      <c r="AU201" t="str">
        <f>'Ashed teabags dry'!A536</f>
        <v>R678</v>
      </c>
      <c r="AV201" t="b">
        <f t="shared" si="88"/>
        <v>0</v>
      </c>
      <c r="AW201" t="b">
        <f t="shared" si="89"/>
        <v>0</v>
      </c>
      <c r="AZ201" s="401" t="b">
        <f t="shared" si="90"/>
        <v>0</v>
      </c>
      <c r="BA201" s="401" t="b">
        <f t="shared" si="91"/>
        <v>0</v>
      </c>
      <c r="BC201" t="str">
        <f>'Ashed teabags wet'!A199</f>
        <v>G621</v>
      </c>
      <c r="BD201" t="str">
        <f>'Ashed teabags wet'!A616</f>
        <v>R421</v>
      </c>
      <c r="BE201" t="b">
        <f t="shared" si="92"/>
        <v>0</v>
      </c>
      <c r="BF201" t="b">
        <f t="shared" si="93"/>
        <v>0</v>
      </c>
      <c r="BG201">
        <f>IFERROR('Ashed teabags wet'!C199,"")</f>
        <v>205</v>
      </c>
      <c r="BH201">
        <f>IFERROR('Ashed teabags wet'!C616,"")</f>
        <v>160</v>
      </c>
      <c r="BI201">
        <f>'Ashed teabags wet'!AB199</f>
        <v>204</v>
      </c>
      <c r="BJ201" t="str">
        <f>'Ashed teabags wet'!AC199</f>
        <v/>
      </c>
      <c r="BK201">
        <f>'Ashed teabags wet'!AD616</f>
        <v>159</v>
      </c>
      <c r="BL201" t="str">
        <f>'Ashed teabags wet'!AE616</f>
        <v/>
      </c>
      <c r="BN201" t="str">
        <f t="shared" si="94"/>
        <v>G620</v>
      </c>
      <c r="BO201" t="b">
        <f t="shared" si="95"/>
        <v>1</v>
      </c>
    </row>
    <row r="202" spans="2:67" ht="12" customHeight="1">
      <c r="B202" t="str">
        <f>TBIDry!H274</f>
        <v>G224</v>
      </c>
      <c r="C202" t="str">
        <f>TBIDry!I274</f>
        <v>R327</v>
      </c>
      <c r="D202" t="b">
        <f t="shared" si="72"/>
        <v>0</v>
      </c>
      <c r="E202" t="b">
        <f t="shared" si="73"/>
        <v>0</v>
      </c>
      <c r="G202" t="str">
        <f>TBIWet!H274</f>
        <v>G877</v>
      </c>
      <c r="H202" t="str">
        <f>TBIWet!I274</f>
        <v>R339</v>
      </c>
      <c r="I202" t="b">
        <f t="shared" si="74"/>
        <v>0</v>
      </c>
      <c r="J202" t="b">
        <f t="shared" si="75"/>
        <v>0</v>
      </c>
      <c r="L202" t="str">
        <f>'Both teabags AfterWet'!A201</f>
        <v>G620</v>
      </c>
      <c r="M202" t="str">
        <f>'Both teabags AfterWet'!A619</f>
        <v>R408</v>
      </c>
      <c r="N202" t="b">
        <f t="shared" si="76"/>
        <v>0</v>
      </c>
      <c r="O202" t="b">
        <f t="shared" si="77"/>
        <v>0</v>
      </c>
      <c r="P202" t="str">
        <f>IFERROR('Both teabags AfterWet'!B201,"")</f>
        <v>n.a</v>
      </c>
      <c r="Q202">
        <f>'Both teabags AfterWet'!B619</f>
        <v>87</v>
      </c>
      <c r="S202" s="401" t="b">
        <f t="shared" si="78"/>
        <v>0</v>
      </c>
      <c r="T202" s="401" t="b">
        <f t="shared" si="79"/>
        <v>0</v>
      </c>
      <c r="V202" t="str">
        <f>'Both teabags AfterDry'!A201</f>
        <v>G379</v>
      </c>
      <c r="W202" t="str">
        <f>'Both teabags AfterDry'!A538</f>
        <v>R679</v>
      </c>
      <c r="X202" t="b">
        <f t="shared" si="80"/>
        <v>0</v>
      </c>
      <c r="Y202" t="b">
        <f t="shared" si="81"/>
        <v>0</v>
      </c>
      <c r="AA202" t="str">
        <f>'Green_rooibos initial weight'!A203</f>
        <v>G199</v>
      </c>
      <c r="AB202" t="str">
        <f>'Green_rooibos initial weight'!A1107</f>
        <v>R199</v>
      </c>
      <c r="AC202" t="b">
        <f t="shared" si="82"/>
        <v>0</v>
      </c>
      <c r="AD202" t="b">
        <f t="shared" si="83"/>
        <v>0</v>
      </c>
      <c r="AG202" t="str">
        <f>'WetLitterbags placem_collection'!K201</f>
        <v>G877</v>
      </c>
      <c r="AH202" t="str">
        <f>'WetLitterbags placem_collection'!M201</f>
        <v>R339</v>
      </c>
      <c r="AI202" t="b">
        <f t="shared" si="84"/>
        <v>0</v>
      </c>
      <c r="AJ202" t="b">
        <f t="shared" si="85"/>
        <v>0</v>
      </c>
      <c r="AK202">
        <f>'WetLitterbags placem_collection'!A201</f>
        <v>199</v>
      </c>
      <c r="AL202">
        <f>'WetLitterbags placem_collection'!A201</f>
        <v>199</v>
      </c>
      <c r="AN202">
        <f>IF('Dry_Litterbag Placem_Collection'!J201=0,"",'Dry_Litterbag Placem_Collection'!J201)</f>
        <v>224</v>
      </c>
      <c r="AO202">
        <f>IF('Dry_Litterbag Placem_Collection'!K201=0,"",'Dry_Litterbag Placem_Collection'!K201)</f>
        <v>327</v>
      </c>
      <c r="AP202" t="b">
        <f t="shared" si="86"/>
        <v>0</v>
      </c>
      <c r="AQ202" t="b">
        <f t="shared" si="87"/>
        <v>0</v>
      </c>
      <c r="AT202" t="str">
        <f>'Ashed teabags dry'!A200</f>
        <v>G380</v>
      </c>
      <c r="AU202" t="str">
        <f>'Ashed teabags dry'!A537</f>
        <v>R679</v>
      </c>
      <c r="AV202" t="b">
        <f t="shared" si="88"/>
        <v>0</v>
      </c>
      <c r="AW202" t="b">
        <f t="shared" si="89"/>
        <v>0</v>
      </c>
      <c r="AZ202" s="401" t="b">
        <f t="shared" si="90"/>
        <v>0</v>
      </c>
      <c r="BA202" s="401" t="b">
        <f t="shared" si="91"/>
        <v>0</v>
      </c>
      <c r="BC202" t="str">
        <f>'Ashed teabags wet'!A200</f>
        <v>G623</v>
      </c>
      <c r="BD202" t="str">
        <f>'Ashed teabags wet'!A617</f>
        <v>R423</v>
      </c>
      <c r="BE202" t="b">
        <f t="shared" si="92"/>
        <v>0</v>
      </c>
      <c r="BF202" t="b">
        <f t="shared" si="93"/>
        <v>0</v>
      </c>
      <c r="BG202">
        <f>IFERROR('Ashed teabags wet'!C200,"")</f>
        <v>138</v>
      </c>
      <c r="BH202">
        <f>IFERROR('Ashed teabags wet'!C617,"")</f>
        <v>63</v>
      </c>
      <c r="BI202" t="str">
        <f>'Ashed teabags wet'!AB200</f>
        <v/>
      </c>
      <c r="BJ202">
        <f>'Ashed teabags wet'!AC200</f>
        <v>137</v>
      </c>
      <c r="BK202" t="str">
        <f>'Ashed teabags wet'!AD617</f>
        <v/>
      </c>
      <c r="BL202">
        <f>'Ashed teabags wet'!AE617</f>
        <v>62</v>
      </c>
      <c r="BN202" t="str">
        <f t="shared" si="94"/>
        <v>G621</v>
      </c>
      <c r="BO202" t="b">
        <f t="shared" si="95"/>
        <v>1</v>
      </c>
    </row>
    <row r="203" spans="2:67" ht="12" customHeight="1">
      <c r="B203" t="str">
        <f>TBIDry!H275</f>
        <v>G158</v>
      </c>
      <c r="C203" t="str">
        <f>TBIDry!I275</f>
        <v>R75</v>
      </c>
      <c r="D203" t="b">
        <f t="shared" si="72"/>
        <v>0</v>
      </c>
      <c r="E203" t="b">
        <f t="shared" si="73"/>
        <v>0</v>
      </c>
      <c r="G203" t="str">
        <f>TBIWet!H275</f>
        <v>G816</v>
      </c>
      <c r="H203" t="str">
        <f>TBIWet!I275</f>
        <v>R303</v>
      </c>
      <c r="I203" t="b">
        <f t="shared" si="74"/>
        <v>0</v>
      </c>
      <c r="J203" t="b">
        <f t="shared" si="75"/>
        <v>0</v>
      </c>
      <c r="L203" t="str">
        <f>'Both teabags AfterWet'!A202</f>
        <v>G621</v>
      </c>
      <c r="M203" t="str">
        <f>'Both teabags AfterWet'!A620</f>
        <v>R41</v>
      </c>
      <c r="N203" t="b">
        <f t="shared" si="76"/>
        <v>0</v>
      </c>
      <c r="O203" t="b">
        <f t="shared" si="77"/>
        <v>0</v>
      </c>
      <c r="P203">
        <f>IFERROR('Both teabags AfterWet'!B202,"")</f>
        <v>205</v>
      </c>
      <c r="Q203">
        <f>'Both teabags AfterWet'!B620</f>
        <v>112</v>
      </c>
      <c r="S203" s="401" t="b">
        <f t="shared" si="78"/>
        <v>0</v>
      </c>
      <c r="T203" s="401" t="b">
        <f t="shared" si="79"/>
        <v>0</v>
      </c>
      <c r="V203" t="str">
        <f>'Both teabags AfterDry'!A202</f>
        <v>G38</v>
      </c>
      <c r="W203" t="str">
        <f>'Both teabags AfterDry'!A539</f>
        <v>R680</v>
      </c>
      <c r="X203" t="b">
        <f t="shared" si="80"/>
        <v>0</v>
      </c>
      <c r="Y203" t="b">
        <f t="shared" si="81"/>
        <v>0</v>
      </c>
      <c r="AA203" t="str">
        <f>'Green_rooibos initial weight'!A204</f>
        <v>G200</v>
      </c>
      <c r="AB203" t="str">
        <f>'Green_rooibos initial weight'!A1108</f>
        <v>R200</v>
      </c>
      <c r="AC203" t="b">
        <f t="shared" si="82"/>
        <v>0</v>
      </c>
      <c r="AD203" t="b">
        <f t="shared" si="83"/>
        <v>0</v>
      </c>
      <c r="AG203" t="str">
        <f>'WetLitterbags placem_collection'!K202</f>
        <v>G816</v>
      </c>
      <c r="AH203" t="str">
        <f>'WetLitterbags placem_collection'!M202</f>
        <v>R303</v>
      </c>
      <c r="AI203" t="b">
        <f t="shared" si="84"/>
        <v>0</v>
      </c>
      <c r="AJ203" t="b">
        <f t="shared" si="85"/>
        <v>0</v>
      </c>
      <c r="AK203">
        <f>'WetLitterbags placem_collection'!A202</f>
        <v>200</v>
      </c>
      <c r="AL203">
        <f>'WetLitterbags placem_collection'!A202</f>
        <v>200</v>
      </c>
      <c r="AN203">
        <f>IF('Dry_Litterbag Placem_Collection'!J202=0,"",'Dry_Litterbag Placem_Collection'!J202)</f>
        <v>158</v>
      </c>
      <c r="AO203">
        <f>IF('Dry_Litterbag Placem_Collection'!K202=0,"",'Dry_Litterbag Placem_Collection'!K202)</f>
        <v>75</v>
      </c>
      <c r="AP203" t="b">
        <f t="shared" si="86"/>
        <v>0</v>
      </c>
      <c r="AQ203" t="b">
        <f t="shared" si="87"/>
        <v>0</v>
      </c>
      <c r="AT203" t="str">
        <f>'Ashed teabags dry'!A201</f>
        <v>G382</v>
      </c>
      <c r="AU203" t="str">
        <f>'Ashed teabags dry'!A538</f>
        <v>R680</v>
      </c>
      <c r="AV203" t="b">
        <f t="shared" si="88"/>
        <v>0</v>
      </c>
      <c r="AW203" t="b">
        <f t="shared" si="89"/>
        <v>0</v>
      </c>
      <c r="AZ203" s="401" t="b">
        <f t="shared" si="90"/>
        <v>0</v>
      </c>
      <c r="BA203" s="401" t="b">
        <f t="shared" si="91"/>
        <v>0</v>
      </c>
      <c r="BC203" t="str">
        <f>'Ashed teabags wet'!A201</f>
        <v>G626</v>
      </c>
      <c r="BD203" t="str">
        <f>'Ashed teabags wet'!A618</f>
        <v>R424</v>
      </c>
      <c r="BE203" t="b">
        <f t="shared" si="92"/>
        <v>0</v>
      </c>
      <c r="BF203" t="b">
        <f t="shared" si="93"/>
        <v>0</v>
      </c>
      <c r="BG203">
        <f>IFERROR('Ashed teabags wet'!C201,"")</f>
        <v>41</v>
      </c>
      <c r="BH203">
        <f>IFERROR('Ashed teabags wet'!C618,"")</f>
        <v>127</v>
      </c>
      <c r="BI203" t="str">
        <f>'Ashed teabags wet'!AB201</f>
        <v/>
      </c>
      <c r="BJ203">
        <f>'Ashed teabags wet'!AC201</f>
        <v>40</v>
      </c>
      <c r="BK203" t="str">
        <f>'Ashed teabags wet'!AD618</f>
        <v/>
      </c>
      <c r="BL203">
        <f>'Ashed teabags wet'!AE618</f>
        <v>126</v>
      </c>
      <c r="BN203" t="str">
        <f t="shared" si="94"/>
        <v>G623</v>
      </c>
      <c r="BO203" t="b">
        <f t="shared" si="95"/>
        <v>1</v>
      </c>
    </row>
    <row r="204" spans="2:67" ht="12" customHeight="1">
      <c r="B204" t="str">
        <f>TBIDry!H276</f>
        <v>G211</v>
      </c>
      <c r="C204" t="str">
        <f>TBIDry!I276</f>
        <v>R36</v>
      </c>
      <c r="D204" t="b">
        <f t="shared" si="72"/>
        <v>0</v>
      </c>
      <c r="E204" t="b">
        <f t="shared" si="73"/>
        <v>0</v>
      </c>
      <c r="G204" t="str">
        <f>TBIWet!H276</f>
        <v>G811</v>
      </c>
      <c r="H204" t="str">
        <f>TBIWet!I276</f>
        <v>R218</v>
      </c>
      <c r="I204" t="b">
        <f t="shared" si="74"/>
        <v>0</v>
      </c>
      <c r="J204" t="b">
        <f t="shared" si="75"/>
        <v>0</v>
      </c>
      <c r="L204" t="str">
        <f>'Both teabags AfterWet'!A203</f>
        <v>G623</v>
      </c>
      <c r="M204" t="str">
        <f>'Both teabags AfterWet'!A621</f>
        <v>R410</v>
      </c>
      <c r="N204" t="b">
        <f t="shared" si="76"/>
        <v>0</v>
      </c>
      <c r="O204" t="b">
        <f t="shared" si="77"/>
        <v>0</v>
      </c>
      <c r="P204">
        <f>IFERROR('Both teabags AfterWet'!B203,"")</f>
        <v>138</v>
      </c>
      <c r="Q204">
        <f>'Both teabags AfterWet'!B621</f>
        <v>217</v>
      </c>
      <c r="S204" s="401" t="b">
        <f t="shared" si="78"/>
        <v>0</v>
      </c>
      <c r="T204" s="401" t="b">
        <f t="shared" si="79"/>
        <v>0</v>
      </c>
      <c r="V204" t="str">
        <f>'Both teabags AfterDry'!A203</f>
        <v>G380</v>
      </c>
      <c r="W204" t="str">
        <f>'Both teabags AfterDry'!A540</f>
        <v>R681</v>
      </c>
      <c r="X204" t="b">
        <f t="shared" si="80"/>
        <v>0</v>
      </c>
      <c r="Y204" t="b">
        <f t="shared" si="81"/>
        <v>0</v>
      </c>
      <c r="AA204" t="str">
        <f>'Green_rooibos initial weight'!A205</f>
        <v>G201</v>
      </c>
      <c r="AB204" t="str">
        <f>'Green_rooibos initial weight'!A1109</f>
        <v>R201</v>
      </c>
      <c r="AC204" t="b">
        <f t="shared" si="82"/>
        <v>0</v>
      </c>
      <c r="AD204" t="b">
        <f t="shared" si="83"/>
        <v>0</v>
      </c>
      <c r="AG204" t="str">
        <f>'WetLitterbags placem_collection'!K203</f>
        <v>G811</v>
      </c>
      <c r="AH204" t="str">
        <f>'WetLitterbags placem_collection'!M203</f>
        <v>R218</v>
      </c>
      <c r="AI204" t="b">
        <f t="shared" si="84"/>
        <v>0</v>
      </c>
      <c r="AJ204" t="b">
        <f t="shared" si="85"/>
        <v>0</v>
      </c>
      <c r="AK204">
        <f>'WetLitterbags placem_collection'!A203</f>
        <v>201</v>
      </c>
      <c r="AL204">
        <f>'WetLitterbags placem_collection'!A203</f>
        <v>201</v>
      </c>
      <c r="AN204">
        <f>IF('Dry_Litterbag Placem_Collection'!J203=0,"",'Dry_Litterbag Placem_Collection'!J203)</f>
        <v>211</v>
      </c>
      <c r="AO204">
        <f>IF('Dry_Litterbag Placem_Collection'!K203=0,"",'Dry_Litterbag Placem_Collection'!K203)</f>
        <v>36</v>
      </c>
      <c r="AP204" t="b">
        <f t="shared" si="86"/>
        <v>0</v>
      </c>
      <c r="AQ204" t="b">
        <f t="shared" si="87"/>
        <v>0</v>
      </c>
      <c r="AT204" t="str">
        <f>'Ashed teabags dry'!A202</f>
        <v>G384</v>
      </c>
      <c r="AU204" t="str">
        <f>'Ashed teabags dry'!A539</f>
        <v>R681</v>
      </c>
      <c r="AV204" t="b">
        <f t="shared" si="88"/>
        <v>0</v>
      </c>
      <c r="AW204" t="b">
        <f t="shared" si="89"/>
        <v>0</v>
      </c>
      <c r="AZ204" s="401" t="b">
        <f t="shared" si="90"/>
        <v>0</v>
      </c>
      <c r="BA204" s="401" t="b">
        <f t="shared" si="91"/>
        <v>0</v>
      </c>
      <c r="BC204" t="str">
        <f>'Ashed teabags wet'!A202</f>
        <v>G627</v>
      </c>
      <c r="BD204" t="str">
        <f>'Ashed teabags wet'!A619</f>
        <v>R426</v>
      </c>
      <c r="BE204" t="b">
        <f t="shared" si="92"/>
        <v>0</v>
      </c>
      <c r="BF204" t="b">
        <f t="shared" si="93"/>
        <v>0</v>
      </c>
      <c r="BG204">
        <f>IFERROR('Ashed teabags wet'!C202,"")</f>
        <v>72</v>
      </c>
      <c r="BH204">
        <f>IFERROR('Ashed teabags wet'!C619,"")</f>
        <v>138</v>
      </c>
      <c r="BI204" t="str">
        <f>'Ashed teabags wet'!AB202</f>
        <v/>
      </c>
      <c r="BJ204">
        <f>'Ashed teabags wet'!AC202</f>
        <v>71</v>
      </c>
      <c r="BK204">
        <f>'Ashed teabags wet'!AD619</f>
        <v>137</v>
      </c>
      <c r="BL204" t="str">
        <f>'Ashed teabags wet'!AE619</f>
        <v/>
      </c>
      <c r="BN204" s="180" t="str">
        <f t="shared" si="94"/>
        <v>G626</v>
      </c>
      <c r="BO204" s="113" t="b">
        <f t="shared" si="95"/>
        <v>0</v>
      </c>
    </row>
    <row r="205" spans="2:67" ht="12" customHeight="1">
      <c r="B205" t="str">
        <f>TBIDry!H277</f>
        <v>G181</v>
      </c>
      <c r="C205" t="str">
        <f>TBIDry!I277</f>
        <v>R676</v>
      </c>
      <c r="D205" t="b">
        <f t="shared" si="72"/>
        <v>0</v>
      </c>
      <c r="E205" t="b">
        <f t="shared" si="73"/>
        <v>0</v>
      </c>
      <c r="G205" t="str">
        <f>TBIWet!H277</f>
        <v>G773</v>
      </c>
      <c r="H205" t="str">
        <f>TBIWet!I277</f>
        <v>R135</v>
      </c>
      <c r="I205" t="b">
        <f t="shared" si="74"/>
        <v>0</v>
      </c>
      <c r="J205" t="b">
        <f t="shared" si="75"/>
        <v>0</v>
      </c>
      <c r="L205" t="str">
        <f>'Both teabags AfterWet'!A204</f>
        <v>G627</v>
      </c>
      <c r="M205" t="str">
        <f>'Both teabags AfterWet'!A622</f>
        <v>R411</v>
      </c>
      <c r="N205" t="b">
        <f t="shared" si="76"/>
        <v>0</v>
      </c>
      <c r="O205" t="b">
        <f t="shared" si="77"/>
        <v>0</v>
      </c>
      <c r="P205" t="str">
        <f>IFERROR('Both teabags AfterWet'!B204,"")</f>
        <v>n.a</v>
      </c>
      <c r="Q205">
        <f>'Both teabags AfterWet'!B622</f>
        <v>165</v>
      </c>
      <c r="S205" s="401" t="b">
        <f t="shared" si="78"/>
        <v>0</v>
      </c>
      <c r="T205" s="401" t="b">
        <f t="shared" si="79"/>
        <v>0</v>
      </c>
      <c r="V205" t="str">
        <f>'Both teabags AfterDry'!A204</f>
        <v>G382</v>
      </c>
      <c r="W205" t="str">
        <f>'Both teabags AfterDry'!A541</f>
        <v>R682</v>
      </c>
      <c r="X205" t="b">
        <f t="shared" si="80"/>
        <v>0</v>
      </c>
      <c r="Y205" t="b">
        <f t="shared" si="81"/>
        <v>0</v>
      </c>
      <c r="AA205" t="str">
        <f>'Green_rooibos initial weight'!A206</f>
        <v>G202</v>
      </c>
      <c r="AB205" t="str">
        <f>'Green_rooibos initial weight'!A1110</f>
        <v>R202</v>
      </c>
      <c r="AC205" t="b">
        <f t="shared" si="82"/>
        <v>0</v>
      </c>
      <c r="AD205" t="b">
        <f t="shared" si="83"/>
        <v>0</v>
      </c>
      <c r="AG205" t="str">
        <f>'WetLitterbags placem_collection'!K204</f>
        <v>G773</v>
      </c>
      <c r="AH205" t="str">
        <f>'WetLitterbags placem_collection'!M204</f>
        <v>R135</v>
      </c>
      <c r="AI205" t="b">
        <f t="shared" si="84"/>
        <v>0</v>
      </c>
      <c r="AJ205" t="b">
        <f t="shared" si="85"/>
        <v>0</v>
      </c>
      <c r="AK205">
        <f>'WetLitterbags placem_collection'!A204</f>
        <v>202</v>
      </c>
      <c r="AL205">
        <f>'WetLitterbags placem_collection'!A204</f>
        <v>202</v>
      </c>
      <c r="AN205">
        <f>IF('Dry_Litterbag Placem_Collection'!J204=0,"",'Dry_Litterbag Placem_Collection'!J204)</f>
        <v>181</v>
      </c>
      <c r="AO205">
        <f>IF('Dry_Litterbag Placem_Collection'!K204=0,"",'Dry_Litterbag Placem_Collection'!K204)</f>
        <v>676</v>
      </c>
      <c r="AP205" t="b">
        <f t="shared" si="86"/>
        <v>0</v>
      </c>
      <c r="AQ205" t="b">
        <f t="shared" si="87"/>
        <v>0</v>
      </c>
      <c r="AT205" t="str">
        <f>'Ashed teabags dry'!A203</f>
        <v>G394</v>
      </c>
      <c r="AU205" t="str">
        <f>'Ashed teabags dry'!A540</f>
        <v>R682</v>
      </c>
      <c r="AV205" t="b">
        <f t="shared" si="88"/>
        <v>0</v>
      </c>
      <c r="AW205" t="b">
        <f t="shared" si="89"/>
        <v>0</v>
      </c>
      <c r="AZ205" s="401" t="b">
        <f t="shared" si="90"/>
        <v>0</v>
      </c>
      <c r="BA205" s="401" t="b">
        <f t="shared" si="91"/>
        <v>0</v>
      </c>
      <c r="BC205" t="str">
        <f>'Ashed teabags wet'!A203</f>
        <v>G628</v>
      </c>
      <c r="BD205" t="str">
        <f>'Ashed teabags wet'!A620</f>
        <v>R427</v>
      </c>
      <c r="BE205" t="b">
        <f t="shared" si="92"/>
        <v>0</v>
      </c>
      <c r="BF205" t="b">
        <f t="shared" si="93"/>
        <v>0</v>
      </c>
      <c r="BG205">
        <f>IFERROR('Ashed teabags wet'!C203,"")</f>
        <v>87</v>
      </c>
      <c r="BH205">
        <f>IFERROR('Ashed teabags wet'!C620,"")</f>
        <v>187</v>
      </c>
      <c r="BI205">
        <f>'Ashed teabags wet'!AB203</f>
        <v>86</v>
      </c>
      <c r="BJ205" t="str">
        <f>'Ashed teabags wet'!AC203</f>
        <v/>
      </c>
      <c r="BK205">
        <f>'Ashed teabags wet'!AD620</f>
        <v>186</v>
      </c>
      <c r="BL205" t="str">
        <f>'Ashed teabags wet'!AE620</f>
        <v/>
      </c>
      <c r="BN205" t="str">
        <f t="shared" si="94"/>
        <v>G627</v>
      </c>
      <c r="BO205" t="b">
        <f t="shared" si="95"/>
        <v>1</v>
      </c>
    </row>
    <row r="206" spans="2:67" ht="12" customHeight="1">
      <c r="B206" t="str">
        <f>TBIDry!H278</f>
        <v>G179</v>
      </c>
      <c r="C206" t="str">
        <f>TBIDry!I278</f>
        <v>R685</v>
      </c>
      <c r="D206" t="b">
        <f t="shared" si="72"/>
        <v>0</v>
      </c>
      <c r="E206" t="b">
        <f t="shared" si="73"/>
        <v>0</v>
      </c>
      <c r="G206" t="str">
        <f>TBIWet!H278</f>
        <v>G645</v>
      </c>
      <c r="H206" t="str">
        <f>TBIWet!I278</f>
        <v>R372</v>
      </c>
      <c r="I206" t="b">
        <f t="shared" si="74"/>
        <v>0</v>
      </c>
      <c r="J206" t="b">
        <f t="shared" si="75"/>
        <v>0</v>
      </c>
      <c r="L206" t="str">
        <f>'Both teabags AfterWet'!A205</f>
        <v>G628</v>
      </c>
      <c r="M206" t="str">
        <f>'Both teabags AfterWet'!A623</f>
        <v>R412</v>
      </c>
      <c r="N206" t="b">
        <f t="shared" si="76"/>
        <v>0</v>
      </c>
      <c r="O206" t="b">
        <f t="shared" si="77"/>
        <v>0</v>
      </c>
      <c r="P206">
        <f>IFERROR('Both teabags AfterWet'!B205,"")</f>
        <v>87</v>
      </c>
      <c r="Q206">
        <f>'Both teabags AfterWet'!B623</f>
        <v>214</v>
      </c>
      <c r="S206" s="401" t="b">
        <f t="shared" si="78"/>
        <v>0</v>
      </c>
      <c r="T206" s="401" t="b">
        <f t="shared" si="79"/>
        <v>0</v>
      </c>
      <c r="V206" t="str">
        <f>'Both teabags AfterDry'!A205</f>
        <v>G384</v>
      </c>
      <c r="W206" t="str">
        <f>'Both teabags AfterDry'!A542</f>
        <v>R684</v>
      </c>
      <c r="X206" t="b">
        <f t="shared" si="80"/>
        <v>0</v>
      </c>
      <c r="Y206" t="b">
        <f t="shared" si="81"/>
        <v>0</v>
      </c>
      <c r="AA206" t="str">
        <f>'Green_rooibos initial weight'!A207</f>
        <v>G203</v>
      </c>
      <c r="AB206" t="str">
        <f>'Green_rooibos initial weight'!A1111</f>
        <v>R203</v>
      </c>
      <c r="AC206" t="b">
        <f t="shared" si="82"/>
        <v>0</v>
      </c>
      <c r="AD206" t="b">
        <f t="shared" si="83"/>
        <v>0</v>
      </c>
      <c r="AG206" t="str">
        <f>'WetLitterbags placem_collection'!K205</f>
        <v>G645</v>
      </c>
      <c r="AH206" t="str">
        <f>'WetLitterbags placem_collection'!M205</f>
        <v>R372</v>
      </c>
      <c r="AI206" t="b">
        <f t="shared" si="84"/>
        <v>0</v>
      </c>
      <c r="AJ206" t="b">
        <f t="shared" si="85"/>
        <v>0</v>
      </c>
      <c r="AK206">
        <f>'WetLitterbags placem_collection'!A205</f>
        <v>203</v>
      </c>
      <c r="AL206">
        <f>'WetLitterbags placem_collection'!A205</f>
        <v>203</v>
      </c>
      <c r="AN206">
        <f>IF('Dry_Litterbag Placem_Collection'!J205=0,"",'Dry_Litterbag Placem_Collection'!J205)</f>
        <v>179</v>
      </c>
      <c r="AO206">
        <f>IF('Dry_Litterbag Placem_Collection'!K205=0,"",'Dry_Litterbag Placem_Collection'!K205)</f>
        <v>685</v>
      </c>
      <c r="AP206" t="b">
        <f t="shared" si="86"/>
        <v>0</v>
      </c>
      <c r="AQ206" t="b">
        <f t="shared" si="87"/>
        <v>0</v>
      </c>
      <c r="AT206" t="str">
        <f>'Ashed teabags dry'!A204</f>
        <v>G396</v>
      </c>
      <c r="AU206" t="str">
        <f>'Ashed teabags dry'!A541</f>
        <v>R684</v>
      </c>
      <c r="AV206" t="b">
        <f t="shared" si="88"/>
        <v>0</v>
      </c>
      <c r="AW206" t="b">
        <f t="shared" si="89"/>
        <v>0</v>
      </c>
      <c r="AZ206" s="401" t="b">
        <f t="shared" si="90"/>
        <v>0</v>
      </c>
      <c r="BA206" s="401" t="b">
        <f t="shared" si="91"/>
        <v>0</v>
      </c>
      <c r="BC206" t="str">
        <f>'Ashed teabags wet'!A204</f>
        <v>G632</v>
      </c>
      <c r="BD206" t="str">
        <f>'Ashed teabags wet'!A621</f>
        <v>R428</v>
      </c>
      <c r="BE206" t="b">
        <f t="shared" si="92"/>
        <v>0</v>
      </c>
      <c r="BF206" t="b">
        <f t="shared" si="93"/>
        <v>0</v>
      </c>
      <c r="BG206">
        <f>IFERROR('Ashed teabags wet'!C204,"")</f>
        <v>87</v>
      </c>
      <c r="BH206">
        <f>IFERROR('Ashed teabags wet'!C621,"")</f>
        <v>113</v>
      </c>
      <c r="BI206" t="str">
        <f>'Ashed teabags wet'!AB204</f>
        <v/>
      </c>
      <c r="BJ206">
        <f>'Ashed teabags wet'!AC204</f>
        <v>86</v>
      </c>
      <c r="BK206">
        <f>'Ashed teabags wet'!AD621</f>
        <v>112</v>
      </c>
      <c r="BL206" t="str">
        <f>'Ashed teabags wet'!AE621</f>
        <v/>
      </c>
      <c r="BN206" t="str">
        <f t="shared" si="94"/>
        <v>G628</v>
      </c>
      <c r="BO206" t="b">
        <f t="shared" si="95"/>
        <v>1</v>
      </c>
    </row>
    <row r="207" spans="2:67" ht="12" customHeight="1">
      <c r="B207" t="str">
        <f>TBIDry!H279</f>
        <v>G248</v>
      </c>
      <c r="C207" t="str">
        <f>TBIDry!I279</f>
        <v>R254</v>
      </c>
      <c r="D207" t="b">
        <f t="shared" si="72"/>
        <v>0</v>
      </c>
      <c r="E207" t="b">
        <f t="shared" si="73"/>
        <v>0</v>
      </c>
      <c r="G207" t="str">
        <f>TBIWet!H279</f>
        <v>G814</v>
      </c>
      <c r="H207" t="str">
        <f>TBIWet!I279</f>
        <v>R334</v>
      </c>
      <c r="I207" t="b">
        <f t="shared" si="74"/>
        <v>0</v>
      </c>
      <c r="J207" t="b">
        <f t="shared" si="75"/>
        <v>0</v>
      </c>
      <c r="L207" t="str">
        <f>'Both teabags AfterWet'!A206</f>
        <v>G632</v>
      </c>
      <c r="M207" t="str">
        <f>'Both teabags AfterWet'!A624</f>
        <v>R414</v>
      </c>
      <c r="N207" t="b">
        <f t="shared" si="76"/>
        <v>0</v>
      </c>
      <c r="O207" t="b">
        <f t="shared" si="77"/>
        <v>0</v>
      </c>
      <c r="P207">
        <f>IFERROR('Both teabags AfterWet'!B206,"")</f>
        <v>87</v>
      </c>
      <c r="Q207">
        <f>'Both teabags AfterWet'!B624</f>
        <v>69</v>
      </c>
      <c r="S207" s="401" t="b">
        <f t="shared" si="78"/>
        <v>0</v>
      </c>
      <c r="T207" s="401" t="b">
        <f t="shared" si="79"/>
        <v>0</v>
      </c>
      <c r="V207" t="str">
        <f>'Both teabags AfterDry'!A206</f>
        <v>G394</v>
      </c>
      <c r="W207" t="str">
        <f>'Both teabags AfterDry'!A543</f>
        <v>R685</v>
      </c>
      <c r="X207" t="b">
        <f t="shared" si="80"/>
        <v>0</v>
      </c>
      <c r="Y207" t="b">
        <f t="shared" si="81"/>
        <v>0</v>
      </c>
      <c r="AA207" t="str">
        <f>'Green_rooibos initial weight'!A208</f>
        <v>G204</v>
      </c>
      <c r="AB207" t="str">
        <f>'Green_rooibos initial weight'!A1112</f>
        <v>R204</v>
      </c>
      <c r="AC207" t="b">
        <f t="shared" si="82"/>
        <v>0</v>
      </c>
      <c r="AD207" t="b">
        <f t="shared" si="83"/>
        <v>0</v>
      </c>
      <c r="AG207" t="str">
        <f>'WetLitterbags placem_collection'!K206</f>
        <v>G814</v>
      </c>
      <c r="AH207" t="str">
        <f>'WetLitterbags placem_collection'!M206</f>
        <v>R334</v>
      </c>
      <c r="AI207" t="b">
        <f t="shared" si="84"/>
        <v>0</v>
      </c>
      <c r="AJ207" t="b">
        <f t="shared" si="85"/>
        <v>0</v>
      </c>
      <c r="AK207">
        <f>'WetLitterbags placem_collection'!A206</f>
        <v>204</v>
      </c>
      <c r="AL207">
        <f>'WetLitterbags placem_collection'!A206</f>
        <v>204</v>
      </c>
      <c r="AN207">
        <f>IF('Dry_Litterbag Placem_Collection'!J206=0,"",'Dry_Litterbag Placem_Collection'!J206)</f>
        <v>248</v>
      </c>
      <c r="AO207">
        <f>IF('Dry_Litterbag Placem_Collection'!K206=0,"",'Dry_Litterbag Placem_Collection'!K206)</f>
        <v>254</v>
      </c>
      <c r="AP207" t="b">
        <f t="shared" si="86"/>
        <v>0</v>
      </c>
      <c r="AQ207" t="b">
        <f t="shared" si="87"/>
        <v>0</v>
      </c>
      <c r="AT207" t="str">
        <f>'Ashed teabags dry'!A205</f>
        <v>G397</v>
      </c>
      <c r="AU207" t="str">
        <f>'Ashed teabags dry'!A542</f>
        <v>R685</v>
      </c>
      <c r="AV207" t="b">
        <f t="shared" si="88"/>
        <v>0</v>
      </c>
      <c r="AW207" t="b">
        <f t="shared" si="89"/>
        <v>0</v>
      </c>
      <c r="AZ207" s="401" t="b">
        <f t="shared" si="90"/>
        <v>0</v>
      </c>
      <c r="BA207" s="401" t="b">
        <f t="shared" si="91"/>
        <v>0</v>
      </c>
      <c r="BC207" t="str">
        <f>'Ashed teabags wet'!A205</f>
        <v>G633</v>
      </c>
      <c r="BD207" t="str">
        <f>'Ashed teabags wet'!A622</f>
        <v>R429</v>
      </c>
      <c r="BE207" t="b">
        <f t="shared" si="92"/>
        <v>0</v>
      </c>
      <c r="BF207" t="b">
        <f t="shared" si="93"/>
        <v>0</v>
      </c>
      <c r="BG207">
        <f>IFERROR('Ashed teabags wet'!C205,"")</f>
        <v>60</v>
      </c>
      <c r="BH207">
        <f>IFERROR('Ashed teabags wet'!C622,"")</f>
        <v>122</v>
      </c>
      <c r="BI207">
        <f>'Ashed teabags wet'!AB205</f>
        <v>59</v>
      </c>
      <c r="BJ207" t="str">
        <f>'Ashed teabags wet'!AC205</f>
        <v/>
      </c>
      <c r="BK207" t="str">
        <f>'Ashed teabags wet'!AD622</f>
        <v/>
      </c>
      <c r="BL207">
        <f>'Ashed teabags wet'!AE622</f>
        <v>121</v>
      </c>
      <c r="BN207" t="str">
        <f t="shared" si="94"/>
        <v>G632</v>
      </c>
      <c r="BO207" t="b">
        <f t="shared" si="95"/>
        <v>1</v>
      </c>
    </row>
    <row r="208" spans="2:67" ht="12" customHeight="1">
      <c r="B208" t="str">
        <f>TBIDry!H280</f>
        <v>G55</v>
      </c>
      <c r="C208" t="str">
        <f>TBIDry!I280</f>
        <v>R348</v>
      </c>
      <c r="D208" t="b">
        <f t="shared" si="72"/>
        <v>0</v>
      </c>
      <c r="E208" t="b">
        <f t="shared" si="73"/>
        <v>0</v>
      </c>
      <c r="G208" t="str">
        <f>TBIWet!H280</f>
        <v>G621</v>
      </c>
      <c r="H208" t="str">
        <f>TBIWet!I280</f>
        <v>R265</v>
      </c>
      <c r="I208" t="b">
        <f t="shared" si="74"/>
        <v>0</v>
      </c>
      <c r="J208" t="b">
        <f t="shared" si="75"/>
        <v>0</v>
      </c>
      <c r="L208" t="str">
        <f>'Both teabags AfterWet'!A207</f>
        <v>G633</v>
      </c>
      <c r="M208" t="str">
        <f>'Both teabags AfterWet'!A625</f>
        <v>R415</v>
      </c>
      <c r="N208" t="b">
        <f t="shared" si="76"/>
        <v>0</v>
      </c>
      <c r="O208" t="b">
        <f t="shared" si="77"/>
        <v>0</v>
      </c>
      <c r="P208">
        <f>IFERROR('Both teabags AfterWet'!B207,"")</f>
        <v>60</v>
      </c>
      <c r="Q208">
        <f>'Both teabags AfterWet'!B625</f>
        <v>15</v>
      </c>
      <c r="S208" s="401" t="b">
        <f t="shared" si="78"/>
        <v>0</v>
      </c>
      <c r="T208" s="401" t="b">
        <f t="shared" si="79"/>
        <v>0</v>
      </c>
      <c r="V208" t="str">
        <f>'Both teabags AfterDry'!A207</f>
        <v>G396</v>
      </c>
      <c r="W208" t="str">
        <f>'Both teabags AfterDry'!A544</f>
        <v>R686</v>
      </c>
      <c r="X208" t="b">
        <f t="shared" si="80"/>
        <v>0</v>
      </c>
      <c r="Y208" t="b">
        <f t="shared" si="81"/>
        <v>0</v>
      </c>
      <c r="AA208" t="str">
        <f>'Green_rooibos initial weight'!A209</f>
        <v>G205</v>
      </c>
      <c r="AB208" t="str">
        <f>'Green_rooibos initial weight'!A1113</f>
        <v>R205</v>
      </c>
      <c r="AC208" t="b">
        <f t="shared" si="82"/>
        <v>0</v>
      </c>
      <c r="AD208" t="b">
        <f t="shared" si="83"/>
        <v>0</v>
      </c>
      <c r="AG208" t="str">
        <f>'WetLitterbags placem_collection'!K207</f>
        <v>G621</v>
      </c>
      <c r="AH208" t="str">
        <f>'WetLitterbags placem_collection'!M207</f>
        <v>R265</v>
      </c>
      <c r="AI208" t="b">
        <f t="shared" si="84"/>
        <v>0</v>
      </c>
      <c r="AJ208" t="b">
        <f t="shared" si="85"/>
        <v>0</v>
      </c>
      <c r="AK208">
        <f>'WetLitterbags placem_collection'!A207</f>
        <v>205</v>
      </c>
      <c r="AL208">
        <f>'WetLitterbags placem_collection'!A207</f>
        <v>205</v>
      </c>
      <c r="AN208">
        <f>IF('Dry_Litterbag Placem_Collection'!J207=0,"",'Dry_Litterbag Placem_Collection'!J207)</f>
        <v>55</v>
      </c>
      <c r="AO208">
        <f>IF('Dry_Litterbag Placem_Collection'!K207=0,"",'Dry_Litterbag Placem_Collection'!K207)</f>
        <v>348</v>
      </c>
      <c r="AP208" t="b">
        <f t="shared" si="86"/>
        <v>0</v>
      </c>
      <c r="AQ208" t="b">
        <f t="shared" si="87"/>
        <v>0</v>
      </c>
      <c r="AT208" t="str">
        <f>'Ashed teabags dry'!A206</f>
        <v>G398</v>
      </c>
      <c r="AU208" t="str">
        <f>'Ashed teabags dry'!A543</f>
        <v>R686</v>
      </c>
      <c r="AV208" t="b">
        <f t="shared" si="88"/>
        <v>0</v>
      </c>
      <c r="AW208" t="b">
        <f t="shared" si="89"/>
        <v>0</v>
      </c>
      <c r="AZ208" s="401" t="b">
        <f t="shared" si="90"/>
        <v>0</v>
      </c>
      <c r="BA208" s="401" t="b">
        <f t="shared" si="91"/>
        <v>0</v>
      </c>
      <c r="BC208" t="str">
        <f>'Ashed teabags wet'!A206</f>
        <v>G634</v>
      </c>
      <c r="BD208" t="str">
        <f>'Ashed teabags wet'!A623</f>
        <v>R430</v>
      </c>
      <c r="BE208" t="b">
        <f t="shared" si="92"/>
        <v>0</v>
      </c>
      <c r="BF208" t="b">
        <f t="shared" si="93"/>
        <v>0</v>
      </c>
      <c r="BG208">
        <f>IFERROR('Ashed teabags wet'!C206,"")</f>
        <v>6</v>
      </c>
      <c r="BH208">
        <f>IFERROR('Ashed teabags wet'!C623,"")</f>
        <v>103</v>
      </c>
      <c r="BI208" t="str">
        <f>'Ashed teabags wet'!AB206</f>
        <v/>
      </c>
      <c r="BJ208">
        <f>'Ashed teabags wet'!AC206</f>
        <v>5</v>
      </c>
      <c r="BK208">
        <f>'Ashed teabags wet'!AD623</f>
        <v>102</v>
      </c>
      <c r="BL208" t="str">
        <f>'Ashed teabags wet'!AE623</f>
        <v/>
      </c>
      <c r="BN208" t="str">
        <f t="shared" si="94"/>
        <v>G633</v>
      </c>
      <c r="BO208" t="b">
        <f t="shared" si="95"/>
        <v>1</v>
      </c>
    </row>
    <row r="209" spans="2:67" ht="12" customHeight="1">
      <c r="B209" t="str">
        <f>TBIDry!H281</f>
        <v>G124</v>
      </c>
      <c r="C209" t="str">
        <f>TBIDry!I281</f>
        <v>R686</v>
      </c>
      <c r="D209" t="b">
        <f t="shared" si="72"/>
        <v>0</v>
      </c>
      <c r="E209" t="b">
        <f t="shared" si="73"/>
        <v>0</v>
      </c>
      <c r="G209" t="str">
        <f>TBIWet!H281</f>
        <v>G677</v>
      </c>
      <c r="H209" t="str">
        <f>TBIWet!I281</f>
        <v>R234</v>
      </c>
      <c r="I209" t="b">
        <f t="shared" si="74"/>
        <v>0</v>
      </c>
      <c r="J209" t="b">
        <f t="shared" si="75"/>
        <v>0</v>
      </c>
      <c r="L209" t="str">
        <f>'Both teabags AfterWet'!A208</f>
        <v>G634</v>
      </c>
      <c r="M209" t="str">
        <f>'Both teabags AfterWet'!A626</f>
        <v>R417</v>
      </c>
      <c r="N209" t="b">
        <f t="shared" si="76"/>
        <v>0</v>
      </c>
      <c r="O209" t="b">
        <f t="shared" si="77"/>
        <v>0</v>
      </c>
      <c r="P209" t="str">
        <f>IFERROR('Both teabags AfterWet'!B208,"")</f>
        <v>n.a</v>
      </c>
      <c r="Q209">
        <f>'Both teabags AfterWet'!B626</f>
        <v>84</v>
      </c>
      <c r="S209" s="401" t="b">
        <f t="shared" si="78"/>
        <v>0</v>
      </c>
      <c r="T209" s="401" t="b">
        <f t="shared" si="79"/>
        <v>0</v>
      </c>
      <c r="V209" t="str">
        <f>'Both teabags AfterDry'!A208</f>
        <v>G397</v>
      </c>
      <c r="W209" t="str">
        <f>'Both teabags AfterDry'!A545</f>
        <v>R689</v>
      </c>
      <c r="X209" t="b">
        <f t="shared" si="80"/>
        <v>0</v>
      </c>
      <c r="Y209" t="b">
        <f t="shared" si="81"/>
        <v>0</v>
      </c>
      <c r="AA209" t="str">
        <f>'Green_rooibos initial weight'!A210</f>
        <v>G206</v>
      </c>
      <c r="AB209" t="str">
        <f>'Green_rooibos initial weight'!A1114</f>
        <v>R206</v>
      </c>
      <c r="AC209" t="b">
        <f t="shared" si="82"/>
        <v>0</v>
      </c>
      <c r="AD209" t="b">
        <f t="shared" si="83"/>
        <v>0</v>
      </c>
      <c r="AG209" t="str">
        <f>'WetLitterbags placem_collection'!K208</f>
        <v>G677</v>
      </c>
      <c r="AH209" t="str">
        <f>'WetLitterbags placem_collection'!M208</f>
        <v>R234</v>
      </c>
      <c r="AI209" t="b">
        <f t="shared" si="84"/>
        <v>0</v>
      </c>
      <c r="AJ209" t="b">
        <f t="shared" si="85"/>
        <v>0</v>
      </c>
      <c r="AK209">
        <f>'WetLitterbags placem_collection'!A208</f>
        <v>206</v>
      </c>
      <c r="AL209">
        <f>'WetLitterbags placem_collection'!A208</f>
        <v>206</v>
      </c>
      <c r="AN209">
        <f>IF('Dry_Litterbag Placem_Collection'!J208=0,"",'Dry_Litterbag Placem_Collection'!J208)</f>
        <v>124</v>
      </c>
      <c r="AO209">
        <f>IF('Dry_Litterbag Placem_Collection'!K208=0,"",'Dry_Litterbag Placem_Collection'!K208)</f>
        <v>686</v>
      </c>
      <c r="AP209" t="b">
        <f t="shared" si="86"/>
        <v>0</v>
      </c>
      <c r="AQ209" t="b">
        <f t="shared" si="87"/>
        <v>0</v>
      </c>
      <c r="AT209" t="str">
        <f>'Ashed teabags dry'!A207</f>
        <v>G399</v>
      </c>
      <c r="AU209" t="str">
        <f>'Ashed teabags dry'!A544</f>
        <v>R689</v>
      </c>
      <c r="AV209" t="b">
        <f t="shared" si="88"/>
        <v>0</v>
      </c>
      <c r="AW209" t="b">
        <f t="shared" si="89"/>
        <v>0</v>
      </c>
      <c r="AZ209" s="401" t="b">
        <f t="shared" si="90"/>
        <v>0</v>
      </c>
      <c r="BA209" s="401" t="b">
        <f t="shared" si="91"/>
        <v>0</v>
      </c>
      <c r="BC209" t="str">
        <f>'Ashed teabags wet'!A207</f>
        <v>G636</v>
      </c>
      <c r="BD209" t="str">
        <f>'Ashed teabags wet'!A624</f>
        <v>R432</v>
      </c>
      <c r="BE209" t="b">
        <f t="shared" si="92"/>
        <v>0</v>
      </c>
      <c r="BF209" t="b">
        <f t="shared" si="93"/>
        <v>0</v>
      </c>
      <c r="BG209">
        <f>IFERROR('Ashed teabags wet'!C207,"")</f>
        <v>93</v>
      </c>
      <c r="BH209">
        <f>IFERROR('Ashed teabags wet'!C624,"")</f>
        <v>135</v>
      </c>
      <c r="BI209">
        <f>'Ashed teabags wet'!AB207</f>
        <v>92</v>
      </c>
      <c r="BJ209" t="str">
        <f>'Ashed teabags wet'!AC207</f>
        <v/>
      </c>
      <c r="BK209">
        <f>'Ashed teabags wet'!AD624</f>
        <v>134</v>
      </c>
      <c r="BL209" t="str">
        <f>'Ashed teabags wet'!AE624</f>
        <v/>
      </c>
      <c r="BN209" t="str">
        <f t="shared" si="94"/>
        <v>G634</v>
      </c>
      <c r="BO209" t="b">
        <f t="shared" si="95"/>
        <v>1</v>
      </c>
    </row>
    <row r="210" spans="2:67" ht="12" customHeight="1">
      <c r="B210" t="str">
        <f>TBIDry!H282</f>
        <v>G234</v>
      </c>
      <c r="C210" t="str">
        <f>TBIDry!I282</f>
        <v>R551</v>
      </c>
      <c r="D210" t="b">
        <f t="shared" si="72"/>
        <v>0</v>
      </c>
      <c r="E210" t="b">
        <f t="shared" si="73"/>
        <v>0</v>
      </c>
      <c r="G210" t="str">
        <f>TBIWet!H282</f>
        <v>G574</v>
      </c>
      <c r="H210" t="str">
        <f>TBIWet!I282</f>
        <v>R258</v>
      </c>
      <c r="I210" t="b">
        <f t="shared" si="74"/>
        <v>0</v>
      </c>
      <c r="J210" t="b">
        <f t="shared" si="75"/>
        <v>0</v>
      </c>
      <c r="L210" t="str">
        <f>'Both teabags AfterWet'!A209</f>
        <v>G636</v>
      </c>
      <c r="M210" t="str">
        <f>'Both teabags AfterWet'!A627</f>
        <v>R418</v>
      </c>
      <c r="N210" t="b">
        <f t="shared" si="76"/>
        <v>0</v>
      </c>
      <c r="O210" t="b">
        <f t="shared" si="77"/>
        <v>0</v>
      </c>
      <c r="P210" t="str">
        <f>IFERROR('Both teabags AfterWet'!B209,"")</f>
        <v>n.a</v>
      </c>
      <c r="Q210">
        <f>'Both teabags AfterWet'!B627</f>
        <v>128</v>
      </c>
      <c r="S210" s="401" t="b">
        <f t="shared" si="78"/>
        <v>0</v>
      </c>
      <c r="T210" s="401" t="b">
        <f t="shared" si="79"/>
        <v>0</v>
      </c>
      <c r="V210" t="str">
        <f>'Both teabags AfterDry'!A209</f>
        <v>G398</v>
      </c>
      <c r="W210" t="str">
        <f>'Both teabags AfterDry'!A546</f>
        <v>R691</v>
      </c>
      <c r="X210" t="b">
        <f t="shared" si="80"/>
        <v>0</v>
      </c>
      <c r="Y210" t="b">
        <f t="shared" si="81"/>
        <v>0</v>
      </c>
      <c r="AA210" t="str">
        <f>'Green_rooibos initial weight'!A211</f>
        <v>G207</v>
      </c>
      <c r="AB210" t="str">
        <f>'Green_rooibos initial weight'!A1115</f>
        <v>R207</v>
      </c>
      <c r="AC210" t="b">
        <f t="shared" si="82"/>
        <v>0</v>
      </c>
      <c r="AD210" t="b">
        <f t="shared" si="83"/>
        <v>0</v>
      </c>
      <c r="AG210" t="str">
        <f>'WetLitterbags placem_collection'!K209</f>
        <v>G574</v>
      </c>
      <c r="AH210" t="str">
        <f>'WetLitterbags placem_collection'!M209</f>
        <v>R258</v>
      </c>
      <c r="AI210" t="b">
        <f t="shared" si="84"/>
        <v>0</v>
      </c>
      <c r="AJ210" t="b">
        <f t="shared" si="85"/>
        <v>0</v>
      </c>
      <c r="AK210">
        <f>'WetLitterbags placem_collection'!A209</f>
        <v>207</v>
      </c>
      <c r="AL210">
        <f>'WetLitterbags placem_collection'!A209</f>
        <v>207</v>
      </c>
      <c r="AN210">
        <f>IF('Dry_Litterbag Placem_Collection'!J209=0,"",'Dry_Litterbag Placem_Collection'!J209)</f>
        <v>234</v>
      </c>
      <c r="AO210">
        <f>IF('Dry_Litterbag Placem_Collection'!K209=0,"",'Dry_Litterbag Placem_Collection'!K209)</f>
        <v>551</v>
      </c>
      <c r="AP210" t="b">
        <f t="shared" si="86"/>
        <v>0</v>
      </c>
      <c r="AQ210" t="b">
        <f t="shared" si="87"/>
        <v>0</v>
      </c>
      <c r="AT210" t="str">
        <f>'Ashed teabags dry'!A208</f>
        <v>G40</v>
      </c>
      <c r="AU210" t="str">
        <f>'Ashed teabags dry'!A545</f>
        <v>R691</v>
      </c>
      <c r="AV210" t="b">
        <f t="shared" si="88"/>
        <v>0</v>
      </c>
      <c r="AW210" t="b">
        <f t="shared" si="89"/>
        <v>0</v>
      </c>
      <c r="AZ210" s="401" t="b">
        <f t="shared" si="90"/>
        <v>0</v>
      </c>
      <c r="BA210" s="401" t="b">
        <f t="shared" si="91"/>
        <v>0</v>
      </c>
      <c r="BC210" t="str">
        <f>'Ashed teabags wet'!A208</f>
        <v>G637</v>
      </c>
      <c r="BD210" t="str">
        <f>'Ashed teabags wet'!A625</f>
        <v>R433</v>
      </c>
      <c r="BE210" t="b">
        <f t="shared" si="92"/>
        <v>0</v>
      </c>
      <c r="BF210" t="b">
        <f t="shared" si="93"/>
        <v>0</v>
      </c>
      <c r="BG210">
        <f>IFERROR('Ashed teabags wet'!C208,"")</f>
        <v>209</v>
      </c>
      <c r="BH210">
        <f>IFERROR('Ashed teabags wet'!C625,"")</f>
        <v>130</v>
      </c>
      <c r="BI210" t="str">
        <f>'Ashed teabags wet'!AB208</f>
        <v/>
      </c>
      <c r="BJ210">
        <f>'Ashed teabags wet'!AC208</f>
        <v>208</v>
      </c>
      <c r="BK210" t="str">
        <f>'Ashed teabags wet'!AD625</f>
        <v/>
      </c>
      <c r="BL210">
        <f>'Ashed teabags wet'!AE625</f>
        <v>129</v>
      </c>
      <c r="BN210" t="str">
        <f t="shared" si="94"/>
        <v>G636</v>
      </c>
      <c r="BO210" t="b">
        <f t="shared" si="95"/>
        <v>1</v>
      </c>
    </row>
    <row r="211" spans="2:67" ht="12" customHeight="1">
      <c r="B211" t="str">
        <f>TBIDry!H283</f>
        <v>G412</v>
      </c>
      <c r="C211" t="str">
        <f>TBIDry!I283</f>
        <v>R516</v>
      </c>
      <c r="D211" t="b">
        <f t="shared" si="72"/>
        <v>0</v>
      </c>
      <c r="E211" t="b">
        <f t="shared" si="73"/>
        <v>0</v>
      </c>
      <c r="G211" t="str">
        <f>TBIWet!H283</f>
        <v>G710</v>
      </c>
      <c r="H211" t="str">
        <f>TBIWet!I283</f>
        <v>R344</v>
      </c>
      <c r="I211" t="b">
        <f t="shared" si="74"/>
        <v>0</v>
      </c>
      <c r="J211" t="b">
        <f t="shared" si="75"/>
        <v>0</v>
      </c>
      <c r="L211" t="str">
        <f>'Both teabags AfterWet'!A210</f>
        <v>G637</v>
      </c>
      <c r="M211" t="str">
        <f>'Both teabags AfterWet'!A628</f>
        <v>R42</v>
      </c>
      <c r="N211" t="b">
        <f t="shared" si="76"/>
        <v>0</v>
      </c>
      <c r="O211" t="b">
        <f t="shared" si="77"/>
        <v>0</v>
      </c>
      <c r="P211">
        <f>IFERROR('Both teabags AfterWet'!B210,"")</f>
        <v>209</v>
      </c>
      <c r="Q211">
        <f>'Both teabags AfterWet'!B628</f>
        <v>61</v>
      </c>
      <c r="S211" s="401" t="b">
        <f t="shared" si="78"/>
        <v>0</v>
      </c>
      <c r="T211" s="401" t="b">
        <f t="shared" si="79"/>
        <v>0</v>
      </c>
      <c r="V211" t="str">
        <f>'Both teabags AfterDry'!A210</f>
        <v>G399</v>
      </c>
      <c r="W211" t="str">
        <f>'Both teabags AfterDry'!A547</f>
        <v>R692</v>
      </c>
      <c r="X211" t="b">
        <f t="shared" si="80"/>
        <v>0</v>
      </c>
      <c r="Y211" t="b">
        <f t="shared" si="81"/>
        <v>0</v>
      </c>
      <c r="AA211" t="str">
        <f>'Green_rooibos initial weight'!A212</f>
        <v>G208</v>
      </c>
      <c r="AB211" t="str">
        <f>'Green_rooibos initial weight'!A1116</f>
        <v>R208</v>
      </c>
      <c r="AC211" t="b">
        <f t="shared" si="82"/>
        <v>0</v>
      </c>
      <c r="AD211" t="b">
        <f t="shared" si="83"/>
        <v>0</v>
      </c>
      <c r="AG211" t="str">
        <f>'WetLitterbags placem_collection'!K210</f>
        <v>G710</v>
      </c>
      <c r="AH211" t="str">
        <f>'WetLitterbags placem_collection'!M210</f>
        <v>R344</v>
      </c>
      <c r="AI211" t="b">
        <f t="shared" si="84"/>
        <v>0</v>
      </c>
      <c r="AJ211" t="b">
        <f t="shared" si="85"/>
        <v>0</v>
      </c>
      <c r="AK211">
        <f>'WetLitterbags placem_collection'!A210</f>
        <v>208</v>
      </c>
      <c r="AL211">
        <f>'WetLitterbags placem_collection'!A210</f>
        <v>208</v>
      </c>
      <c r="AN211">
        <f>IF('Dry_Litterbag Placem_Collection'!J210=0,"",'Dry_Litterbag Placem_Collection'!J210)</f>
        <v>412</v>
      </c>
      <c r="AO211">
        <f>IF('Dry_Litterbag Placem_Collection'!K210=0,"",'Dry_Litterbag Placem_Collection'!K210)</f>
        <v>516</v>
      </c>
      <c r="AP211" t="b">
        <f t="shared" si="86"/>
        <v>0</v>
      </c>
      <c r="AQ211" t="b">
        <f t="shared" si="87"/>
        <v>0</v>
      </c>
      <c r="AT211" t="str">
        <f>'Ashed teabags dry'!A209</f>
        <v>G400</v>
      </c>
      <c r="AU211" t="str">
        <f>'Ashed teabags dry'!A546</f>
        <v>R692</v>
      </c>
      <c r="AV211" t="b">
        <f t="shared" si="88"/>
        <v>0</v>
      </c>
      <c r="AW211" t="b">
        <f t="shared" si="89"/>
        <v>0</v>
      </c>
      <c r="AZ211" s="401" t="b">
        <f t="shared" si="90"/>
        <v>0</v>
      </c>
      <c r="BA211" s="401" t="b">
        <f t="shared" si="91"/>
        <v>0</v>
      </c>
      <c r="BC211" t="str">
        <f>'Ashed teabags wet'!A209</f>
        <v>G638</v>
      </c>
      <c r="BD211" t="str">
        <f>'Ashed teabags wet'!A626</f>
        <v>R434</v>
      </c>
      <c r="BE211" t="b">
        <f t="shared" si="92"/>
        <v>0</v>
      </c>
      <c r="BF211" t="b">
        <f t="shared" si="93"/>
        <v>0</v>
      </c>
      <c r="BG211">
        <f>IFERROR('Ashed teabags wet'!C209,"")</f>
        <v>52</v>
      </c>
      <c r="BH211">
        <f>IFERROR('Ashed teabags wet'!C626,"")</f>
        <v>215</v>
      </c>
      <c r="BI211">
        <f>'Ashed teabags wet'!AB209</f>
        <v>51</v>
      </c>
      <c r="BJ211" t="str">
        <f>'Ashed teabags wet'!AC209</f>
        <v/>
      </c>
      <c r="BK211" t="str">
        <f>'Ashed teabags wet'!AD626</f>
        <v/>
      </c>
      <c r="BL211">
        <f>'Ashed teabags wet'!AE626</f>
        <v>214</v>
      </c>
      <c r="BN211" t="str">
        <f t="shared" si="94"/>
        <v>G637</v>
      </c>
      <c r="BO211" t="b">
        <f t="shared" si="95"/>
        <v>1</v>
      </c>
    </row>
    <row r="212" spans="2:67" ht="12" customHeight="1">
      <c r="B212" t="str">
        <f>TBIDry!H284</f>
        <v>G94</v>
      </c>
      <c r="C212" t="str">
        <f>TBIDry!I284</f>
        <v>R678</v>
      </c>
      <c r="D212" t="b">
        <f t="shared" si="72"/>
        <v>0</v>
      </c>
      <c r="E212" t="b">
        <f t="shared" si="73"/>
        <v>0</v>
      </c>
      <c r="G212" t="str">
        <f>TBIWet!H284</f>
        <v>G604</v>
      </c>
      <c r="H212" t="str">
        <f>TBIWet!I284</f>
        <v>R271</v>
      </c>
      <c r="I212" t="b">
        <f t="shared" si="74"/>
        <v>0</v>
      </c>
      <c r="J212" t="b">
        <f t="shared" si="75"/>
        <v>0</v>
      </c>
      <c r="L212" t="str">
        <f>'Both teabags AfterWet'!A211</f>
        <v>G638</v>
      </c>
      <c r="M212" t="str">
        <f>'Both teabags AfterWet'!A629</f>
        <v>R420</v>
      </c>
      <c r="N212" t="b">
        <f t="shared" si="76"/>
        <v>0</v>
      </c>
      <c r="O212" t="b">
        <f t="shared" si="77"/>
        <v>0</v>
      </c>
      <c r="P212">
        <f>IFERROR('Both teabags AfterWet'!B211,"")</f>
        <v>52</v>
      </c>
      <c r="Q212">
        <f>'Both teabags AfterWet'!B629</f>
        <v>40</v>
      </c>
      <c r="S212" s="401" t="b">
        <f t="shared" si="78"/>
        <v>0</v>
      </c>
      <c r="T212" s="401" t="b">
        <f t="shared" si="79"/>
        <v>0</v>
      </c>
      <c r="V212" t="str">
        <f>'Both teabags AfterDry'!A211</f>
        <v>G40</v>
      </c>
      <c r="W212" t="str">
        <f>'Both teabags AfterDry'!A548</f>
        <v>R693</v>
      </c>
      <c r="X212" t="b">
        <f t="shared" si="80"/>
        <v>0</v>
      </c>
      <c r="Y212" t="b">
        <f t="shared" si="81"/>
        <v>0</v>
      </c>
      <c r="AA212" t="str">
        <f>'Green_rooibos initial weight'!A213</f>
        <v>G209</v>
      </c>
      <c r="AB212" t="str">
        <f>'Green_rooibos initial weight'!A1117</f>
        <v>R209</v>
      </c>
      <c r="AC212" t="b">
        <f t="shared" si="82"/>
        <v>0</v>
      </c>
      <c r="AD212" t="b">
        <f t="shared" si="83"/>
        <v>0</v>
      </c>
      <c r="AG212" t="str">
        <f>'WetLitterbags placem_collection'!K211</f>
        <v>G604</v>
      </c>
      <c r="AH212" t="str">
        <f>'WetLitterbags placem_collection'!M211</f>
        <v>R271</v>
      </c>
      <c r="AI212" t="b">
        <f t="shared" si="84"/>
        <v>0</v>
      </c>
      <c r="AJ212" t="b">
        <f t="shared" si="85"/>
        <v>0</v>
      </c>
      <c r="AK212">
        <f>'WetLitterbags placem_collection'!A211</f>
        <v>209</v>
      </c>
      <c r="AL212">
        <f>'WetLitterbags placem_collection'!A211</f>
        <v>209</v>
      </c>
      <c r="AN212">
        <f>IF('Dry_Litterbag Placem_Collection'!J211=0,"",'Dry_Litterbag Placem_Collection'!J211)</f>
        <v>94</v>
      </c>
      <c r="AO212">
        <f>IF('Dry_Litterbag Placem_Collection'!K211=0,"",'Dry_Litterbag Placem_Collection'!K211)</f>
        <v>678</v>
      </c>
      <c r="AP212" t="b">
        <f t="shared" si="86"/>
        <v>0</v>
      </c>
      <c r="AQ212" t="b">
        <f t="shared" si="87"/>
        <v>0</v>
      </c>
      <c r="AT212" t="str">
        <f>'Ashed teabags dry'!A210</f>
        <v>G401</v>
      </c>
      <c r="AU212" t="str">
        <f>'Ashed teabags dry'!A547</f>
        <v>R693</v>
      </c>
      <c r="AV212" t="b">
        <f t="shared" si="88"/>
        <v>0</v>
      </c>
      <c r="AW212" t="b">
        <f t="shared" si="89"/>
        <v>0</v>
      </c>
      <c r="AZ212" s="401" t="b">
        <f t="shared" si="90"/>
        <v>0</v>
      </c>
      <c r="BA212" s="401" t="b">
        <f t="shared" si="91"/>
        <v>0</v>
      </c>
      <c r="BC212" t="str">
        <f>'Ashed teabags wet'!A210</f>
        <v>G639</v>
      </c>
      <c r="BD212" t="str">
        <f>'Ashed teabags wet'!A627</f>
        <v>R435</v>
      </c>
      <c r="BE212" t="b">
        <f t="shared" si="92"/>
        <v>0</v>
      </c>
      <c r="BF212" t="b">
        <f t="shared" si="93"/>
        <v>0</v>
      </c>
      <c r="BG212">
        <f>IFERROR('Ashed teabags wet'!C210,"")</f>
        <v>19</v>
      </c>
      <c r="BH212">
        <f>IFERROR('Ashed teabags wet'!C627,"")</f>
        <v>57</v>
      </c>
      <c r="BI212" t="str">
        <f>'Ashed teabags wet'!AB210</f>
        <v/>
      </c>
      <c r="BJ212">
        <f>'Ashed teabags wet'!AC210</f>
        <v>18</v>
      </c>
      <c r="BK212" t="str">
        <f>'Ashed teabags wet'!AD627</f>
        <v/>
      </c>
      <c r="BL212">
        <f>'Ashed teabags wet'!AE627</f>
        <v>56</v>
      </c>
      <c r="BN212" t="str">
        <f t="shared" si="94"/>
        <v>G638</v>
      </c>
      <c r="BO212" t="b">
        <f t="shared" si="95"/>
        <v>1</v>
      </c>
    </row>
    <row r="213" spans="2:67" ht="12" customHeight="1">
      <c r="B213" t="str">
        <f>TBIDry!H285</f>
        <v>G93</v>
      </c>
      <c r="C213" t="str">
        <f>TBIDry!I285</f>
        <v>R335</v>
      </c>
      <c r="D213" t="b">
        <f t="shared" si="72"/>
        <v>0</v>
      </c>
      <c r="E213" t="b">
        <f t="shared" si="73"/>
        <v>0</v>
      </c>
      <c r="G213" t="str">
        <f>TBIWet!H285</f>
        <v>G871</v>
      </c>
      <c r="H213" t="str">
        <f>TBIWet!I285</f>
        <v>R340</v>
      </c>
      <c r="I213" t="b">
        <f t="shared" si="74"/>
        <v>0</v>
      </c>
      <c r="J213" t="b">
        <f t="shared" si="75"/>
        <v>0</v>
      </c>
      <c r="L213" t="str">
        <f>'Both teabags AfterWet'!A212</f>
        <v>G639</v>
      </c>
      <c r="M213" t="str">
        <f>'Both teabags AfterWet'!A630</f>
        <v>R421</v>
      </c>
      <c r="N213" t="b">
        <f t="shared" si="76"/>
        <v>0</v>
      </c>
      <c r="O213" t="b">
        <f t="shared" si="77"/>
        <v>0</v>
      </c>
      <c r="P213" t="str">
        <f>IFERROR('Both teabags AfterWet'!B212,"")</f>
        <v>n.a</v>
      </c>
      <c r="Q213">
        <f>'Both teabags AfterWet'!B630</f>
        <v>160</v>
      </c>
      <c r="S213" s="401" t="b">
        <f t="shared" si="78"/>
        <v>0</v>
      </c>
      <c r="T213" s="401" t="b">
        <f t="shared" si="79"/>
        <v>0</v>
      </c>
      <c r="V213" t="str">
        <f>'Both teabags AfterDry'!A212</f>
        <v>G400</v>
      </c>
      <c r="W213" t="str">
        <f>'Both teabags AfterDry'!A549</f>
        <v>R694</v>
      </c>
      <c r="X213" t="b">
        <f t="shared" si="80"/>
        <v>0</v>
      </c>
      <c r="Y213" t="b">
        <f t="shared" si="81"/>
        <v>0</v>
      </c>
      <c r="AA213" t="str">
        <f>'Green_rooibos initial weight'!A214</f>
        <v>G210</v>
      </c>
      <c r="AB213" t="str">
        <f>'Green_rooibos initial weight'!A1118</f>
        <v>R210</v>
      </c>
      <c r="AC213" t="b">
        <f t="shared" si="82"/>
        <v>0</v>
      </c>
      <c r="AD213" t="b">
        <f t="shared" si="83"/>
        <v>0</v>
      </c>
      <c r="AG213" t="str">
        <f>'WetLitterbags placem_collection'!K212</f>
        <v>G871</v>
      </c>
      <c r="AH213" t="str">
        <f>'WetLitterbags placem_collection'!M212</f>
        <v>R340</v>
      </c>
      <c r="AI213" t="b">
        <f t="shared" si="84"/>
        <v>0</v>
      </c>
      <c r="AJ213" t="b">
        <f t="shared" si="85"/>
        <v>0</v>
      </c>
      <c r="AK213">
        <f>'WetLitterbags placem_collection'!A212</f>
        <v>210</v>
      </c>
      <c r="AL213">
        <f>'WetLitterbags placem_collection'!A212</f>
        <v>210</v>
      </c>
      <c r="AN213">
        <f>IF('Dry_Litterbag Placem_Collection'!J212=0,"",'Dry_Litterbag Placem_Collection'!J212)</f>
        <v>93</v>
      </c>
      <c r="AO213">
        <f>IF('Dry_Litterbag Placem_Collection'!K212=0,"",'Dry_Litterbag Placem_Collection'!K212)</f>
        <v>335</v>
      </c>
      <c r="AP213" t="b">
        <f t="shared" si="86"/>
        <v>0</v>
      </c>
      <c r="AQ213" t="b">
        <f t="shared" si="87"/>
        <v>0</v>
      </c>
      <c r="AT213" t="str">
        <f>'Ashed teabags dry'!A211</f>
        <v>G407</v>
      </c>
      <c r="AU213" t="str">
        <f>'Ashed teabags dry'!A548</f>
        <v>R694</v>
      </c>
      <c r="AV213" t="b">
        <f t="shared" si="88"/>
        <v>0</v>
      </c>
      <c r="AW213" t="b">
        <f t="shared" si="89"/>
        <v>0</v>
      </c>
      <c r="AZ213" s="401" t="b">
        <f t="shared" si="90"/>
        <v>0</v>
      </c>
      <c r="BA213" s="401" t="b">
        <f t="shared" si="91"/>
        <v>0</v>
      </c>
      <c r="BC213" t="str">
        <f>'Ashed teabags wet'!A211</f>
        <v>G640</v>
      </c>
      <c r="BD213" t="str">
        <f>'Ashed teabags wet'!A628</f>
        <v>R436</v>
      </c>
      <c r="BE213" t="b">
        <f t="shared" si="92"/>
        <v>0</v>
      </c>
      <c r="BF213" t="b">
        <f t="shared" si="93"/>
        <v>0</v>
      </c>
      <c r="BG213">
        <f>IFERROR('Ashed teabags wet'!C211,"")</f>
        <v>204</v>
      </c>
      <c r="BH213">
        <f>IFERROR('Ashed teabags wet'!C628,"")</f>
        <v>28</v>
      </c>
      <c r="BI213" t="str">
        <f>'Ashed teabags wet'!AB211</f>
        <v/>
      </c>
      <c r="BJ213">
        <f>'Ashed teabags wet'!AC211</f>
        <v>203</v>
      </c>
      <c r="BK213">
        <f>'Ashed teabags wet'!AD628</f>
        <v>27</v>
      </c>
      <c r="BL213" t="str">
        <f>'Ashed teabags wet'!AE628</f>
        <v/>
      </c>
      <c r="BN213" t="str">
        <f t="shared" si="94"/>
        <v>G639</v>
      </c>
      <c r="BO213" t="b">
        <f t="shared" si="95"/>
        <v>1</v>
      </c>
    </row>
    <row r="214" spans="2:67" ht="12" customHeight="1">
      <c r="B214" t="str">
        <f>TBIDry!H286</f>
        <v>G26</v>
      </c>
      <c r="C214" t="str">
        <f>TBIDry!I286</f>
        <v>R249</v>
      </c>
      <c r="D214" t="b">
        <f t="shared" si="72"/>
        <v>0</v>
      </c>
      <c r="E214" t="b">
        <f t="shared" si="73"/>
        <v>0</v>
      </c>
      <c r="G214" t="str">
        <f>TBIWet!H286</f>
        <v>G822</v>
      </c>
      <c r="H214" t="str">
        <f>TBIWet!I286</f>
        <v>R381</v>
      </c>
      <c r="I214" t="b">
        <f t="shared" si="74"/>
        <v>0</v>
      </c>
      <c r="J214" t="b">
        <f t="shared" si="75"/>
        <v>0</v>
      </c>
      <c r="L214" t="str">
        <f>'Both teabags AfterWet'!A213</f>
        <v>G640</v>
      </c>
      <c r="M214" t="str">
        <f>'Both teabags AfterWet'!A631</f>
        <v>R423</v>
      </c>
      <c r="N214" t="b">
        <f t="shared" si="76"/>
        <v>0</v>
      </c>
      <c r="O214" t="b">
        <f t="shared" si="77"/>
        <v>0</v>
      </c>
      <c r="P214" t="str">
        <f>IFERROR('Both teabags AfterWet'!B213,"")</f>
        <v>n.a</v>
      </c>
      <c r="Q214">
        <f>'Both teabags AfterWet'!B631</f>
        <v>63</v>
      </c>
      <c r="S214" s="401" t="b">
        <f t="shared" si="78"/>
        <v>0</v>
      </c>
      <c r="T214" s="401" t="b">
        <f t="shared" si="79"/>
        <v>0</v>
      </c>
      <c r="V214" t="str">
        <f>'Both teabags AfterDry'!A213</f>
        <v>G401</v>
      </c>
      <c r="W214" t="str">
        <f>'Both teabags AfterDry'!A550</f>
        <v>R695</v>
      </c>
      <c r="X214" t="b">
        <f t="shared" si="80"/>
        <v>0</v>
      </c>
      <c r="Y214" t="b">
        <f t="shared" si="81"/>
        <v>0</v>
      </c>
      <c r="AA214" t="str">
        <f>'Green_rooibos initial weight'!A215</f>
        <v>G211</v>
      </c>
      <c r="AB214" t="str">
        <f>'Green_rooibos initial weight'!A1119</f>
        <v>R211</v>
      </c>
      <c r="AC214" t="b">
        <f t="shared" si="82"/>
        <v>0</v>
      </c>
      <c r="AD214" t="b">
        <f t="shared" si="83"/>
        <v>0</v>
      </c>
      <c r="AG214" t="str">
        <f>'WetLitterbags placem_collection'!K213</f>
        <v>G822</v>
      </c>
      <c r="AH214" t="str">
        <f>'WetLitterbags placem_collection'!M213</f>
        <v>R381</v>
      </c>
      <c r="AI214" t="b">
        <f t="shared" si="84"/>
        <v>0</v>
      </c>
      <c r="AJ214" t="b">
        <f t="shared" si="85"/>
        <v>0</v>
      </c>
      <c r="AK214">
        <f>'WetLitterbags placem_collection'!A213</f>
        <v>211</v>
      </c>
      <c r="AL214">
        <f>'WetLitterbags placem_collection'!A213</f>
        <v>211</v>
      </c>
      <c r="AN214">
        <f>IF('Dry_Litterbag Placem_Collection'!J213=0,"",'Dry_Litterbag Placem_Collection'!J213)</f>
        <v>26</v>
      </c>
      <c r="AO214">
        <f>IF('Dry_Litterbag Placem_Collection'!K213=0,"",'Dry_Litterbag Placem_Collection'!K213)</f>
        <v>249</v>
      </c>
      <c r="AP214" t="b">
        <f t="shared" si="86"/>
        <v>0</v>
      </c>
      <c r="AQ214" t="b">
        <f t="shared" si="87"/>
        <v>0</v>
      </c>
      <c r="AT214" t="str">
        <f>'Ashed teabags dry'!A212</f>
        <v>G409</v>
      </c>
      <c r="AU214" t="str">
        <f>'Ashed teabags dry'!A549</f>
        <v>R695</v>
      </c>
      <c r="AV214" t="b">
        <f t="shared" si="88"/>
        <v>0</v>
      </c>
      <c r="AW214" t="b">
        <f t="shared" si="89"/>
        <v>0</v>
      </c>
      <c r="AZ214" s="401" t="b">
        <f t="shared" si="90"/>
        <v>0</v>
      </c>
      <c r="BA214" s="401" t="b">
        <f t="shared" si="91"/>
        <v>0</v>
      </c>
      <c r="BC214" t="str">
        <f>'Ashed teabags wet'!A212</f>
        <v>G641</v>
      </c>
      <c r="BD214" t="str">
        <f>'Ashed teabags wet'!A629</f>
        <v>R437</v>
      </c>
      <c r="BE214" t="b">
        <f t="shared" si="92"/>
        <v>0</v>
      </c>
      <c r="BF214" t="b">
        <f t="shared" si="93"/>
        <v>0</v>
      </c>
      <c r="BG214">
        <f>IFERROR('Ashed teabags wet'!C212,"")</f>
        <v>95</v>
      </c>
      <c r="BH214">
        <f>IFERROR('Ashed teabags wet'!C629,"")</f>
        <v>39</v>
      </c>
      <c r="BI214">
        <f>'Ashed teabags wet'!AB212</f>
        <v>94</v>
      </c>
      <c r="BJ214" t="str">
        <f>'Ashed teabags wet'!AC212</f>
        <v/>
      </c>
      <c r="BK214">
        <f>'Ashed teabags wet'!AD629</f>
        <v>38</v>
      </c>
      <c r="BL214" t="str">
        <f>'Ashed teabags wet'!AE629</f>
        <v/>
      </c>
      <c r="BN214" t="str">
        <f t="shared" si="94"/>
        <v>G640</v>
      </c>
      <c r="BO214" t="b">
        <f t="shared" si="95"/>
        <v>1</v>
      </c>
    </row>
    <row r="215" spans="2:67" ht="12" customHeight="1">
      <c r="B215" t="str">
        <f>TBIDry!H287</f>
        <v>G169</v>
      </c>
      <c r="C215" t="str">
        <f>TBIDry!I287</f>
        <v>R627</v>
      </c>
      <c r="D215" t="b">
        <f t="shared" si="72"/>
        <v>0</v>
      </c>
      <c r="E215" t="b">
        <f t="shared" si="73"/>
        <v>0</v>
      </c>
      <c r="G215" t="str">
        <f>TBIWet!H287</f>
        <v>G786</v>
      </c>
      <c r="H215" t="str">
        <f>TBIWet!I287</f>
        <v>R93</v>
      </c>
      <c r="I215" t="b">
        <f t="shared" si="74"/>
        <v>0</v>
      </c>
      <c r="J215" t="b">
        <f t="shared" si="75"/>
        <v>0</v>
      </c>
      <c r="L215" t="str">
        <f>'Both teabags AfterWet'!A214</f>
        <v>G641</v>
      </c>
      <c r="M215" t="str">
        <f>'Both teabags AfterWet'!A632</f>
        <v>R424</v>
      </c>
      <c r="N215" t="b">
        <f t="shared" si="76"/>
        <v>0</v>
      </c>
      <c r="O215" t="b">
        <f t="shared" si="77"/>
        <v>0</v>
      </c>
      <c r="P215">
        <f>IFERROR('Both teabags AfterWet'!B214,"")</f>
        <v>95</v>
      </c>
      <c r="Q215">
        <f>'Both teabags AfterWet'!B632</f>
        <v>127</v>
      </c>
      <c r="S215" s="401" t="b">
        <f t="shared" si="78"/>
        <v>0</v>
      </c>
      <c r="T215" s="401" t="b">
        <f t="shared" si="79"/>
        <v>0</v>
      </c>
      <c r="V215" t="str">
        <f>'Both teabags AfterDry'!A214</f>
        <v>G407</v>
      </c>
      <c r="W215" t="str">
        <f>'Both teabags AfterDry'!A551</f>
        <v>R696</v>
      </c>
      <c r="X215" t="b">
        <f t="shared" si="80"/>
        <v>0</v>
      </c>
      <c r="Y215" t="b">
        <f t="shared" si="81"/>
        <v>0</v>
      </c>
      <c r="AA215" t="str">
        <f>'Green_rooibos initial weight'!A216</f>
        <v>G212</v>
      </c>
      <c r="AB215" t="str">
        <f>'Green_rooibos initial weight'!A1120</f>
        <v>R212</v>
      </c>
      <c r="AC215" t="b">
        <f t="shared" si="82"/>
        <v>0</v>
      </c>
      <c r="AD215" t="b">
        <f t="shared" si="83"/>
        <v>0</v>
      </c>
      <c r="AG215" t="str">
        <f>'WetLitterbags placem_collection'!K214</f>
        <v>G786</v>
      </c>
      <c r="AH215" t="str">
        <f>'WetLitterbags placem_collection'!M214</f>
        <v>R93</v>
      </c>
      <c r="AI215" t="b">
        <f t="shared" si="84"/>
        <v>0</v>
      </c>
      <c r="AJ215" t="b">
        <f t="shared" si="85"/>
        <v>0</v>
      </c>
      <c r="AK215">
        <f>'WetLitterbags placem_collection'!A214</f>
        <v>212</v>
      </c>
      <c r="AL215">
        <f>'WetLitterbags placem_collection'!A214</f>
        <v>212</v>
      </c>
      <c r="AN215">
        <f>IF('Dry_Litterbag Placem_Collection'!J214=0,"",'Dry_Litterbag Placem_Collection'!J214)</f>
        <v>169</v>
      </c>
      <c r="AO215">
        <f>IF('Dry_Litterbag Placem_Collection'!K214=0,"",'Dry_Litterbag Placem_Collection'!K214)</f>
        <v>627</v>
      </c>
      <c r="AP215" t="b">
        <f t="shared" si="86"/>
        <v>0</v>
      </c>
      <c r="AQ215" t="b">
        <f t="shared" si="87"/>
        <v>0</v>
      </c>
      <c r="AT215" t="str">
        <f>'Ashed teabags dry'!A213</f>
        <v>G41</v>
      </c>
      <c r="AU215" t="str">
        <f>'Ashed teabags dry'!A550</f>
        <v>R696</v>
      </c>
      <c r="AV215" t="b">
        <f t="shared" si="88"/>
        <v>0</v>
      </c>
      <c r="AW215" t="b">
        <f t="shared" si="89"/>
        <v>0</v>
      </c>
      <c r="AZ215" s="401" t="b">
        <f t="shared" si="90"/>
        <v>0</v>
      </c>
      <c r="BA215" s="401" t="b">
        <f t="shared" si="91"/>
        <v>0</v>
      </c>
      <c r="BC215" t="str">
        <f>'Ashed teabags wet'!A213</f>
        <v>G643</v>
      </c>
      <c r="BD215" t="str">
        <f>'Ashed teabags wet'!A630</f>
        <v>R44</v>
      </c>
      <c r="BE215" t="b">
        <f t="shared" si="92"/>
        <v>0</v>
      </c>
      <c r="BF215" t="b">
        <f t="shared" si="93"/>
        <v>0</v>
      </c>
      <c r="BG215">
        <f>IFERROR('Ashed teabags wet'!C213,"")</f>
        <v>43</v>
      </c>
      <c r="BH215">
        <f>IFERROR('Ashed teabags wet'!C630,"")</f>
        <v>67</v>
      </c>
      <c r="BI215" t="str">
        <f>'Ashed teabags wet'!AB213</f>
        <v/>
      </c>
      <c r="BJ215">
        <f>'Ashed teabags wet'!AC213</f>
        <v>42</v>
      </c>
      <c r="BK215" t="str">
        <f>'Ashed teabags wet'!AD630</f>
        <v/>
      </c>
      <c r="BL215">
        <f>'Ashed teabags wet'!AE630</f>
        <v>66</v>
      </c>
      <c r="BN215" t="str">
        <f t="shared" si="94"/>
        <v>G641</v>
      </c>
      <c r="BO215" t="b">
        <f t="shared" si="95"/>
        <v>1</v>
      </c>
    </row>
    <row r="216" spans="2:67" ht="12" customHeight="1">
      <c r="B216" t="str">
        <f>TBIDry!H288</f>
        <v>G68</v>
      </c>
      <c r="C216" t="str">
        <f>TBIDry!I288</f>
        <v>R803</v>
      </c>
      <c r="D216" t="b">
        <f t="shared" si="72"/>
        <v>0</v>
      </c>
      <c r="E216" t="b">
        <f t="shared" si="73"/>
        <v>0</v>
      </c>
      <c r="G216" t="str">
        <f>TBIWet!H288</f>
        <v>G572</v>
      </c>
      <c r="H216" t="str">
        <f>TBIWet!I288</f>
        <v>R88</v>
      </c>
      <c r="I216" t="b">
        <f t="shared" si="74"/>
        <v>0</v>
      </c>
      <c r="J216" t="b">
        <f t="shared" si="75"/>
        <v>0</v>
      </c>
      <c r="L216" t="str">
        <f>'Both teabags AfterWet'!A215</f>
        <v>G643</v>
      </c>
      <c r="M216" t="str">
        <f>'Both teabags AfterWet'!A633</f>
        <v>R426</v>
      </c>
      <c r="N216" t="b">
        <f t="shared" si="76"/>
        <v>0</v>
      </c>
      <c r="O216" t="b">
        <f t="shared" si="77"/>
        <v>0</v>
      </c>
      <c r="P216">
        <f>IFERROR('Both teabags AfterWet'!B215,"")</f>
        <v>43</v>
      </c>
      <c r="Q216">
        <f>'Both teabags AfterWet'!B633</f>
        <v>138</v>
      </c>
      <c r="S216" s="401" t="b">
        <f t="shared" si="78"/>
        <v>0</v>
      </c>
      <c r="T216" s="401" t="b">
        <f t="shared" si="79"/>
        <v>0</v>
      </c>
      <c r="V216" t="str">
        <f>'Both teabags AfterDry'!A215</f>
        <v>G409</v>
      </c>
      <c r="W216" t="str">
        <f>'Both teabags AfterDry'!A552</f>
        <v>R697</v>
      </c>
      <c r="X216" t="b">
        <f t="shared" si="80"/>
        <v>0</v>
      </c>
      <c r="Y216" t="b">
        <f t="shared" si="81"/>
        <v>0</v>
      </c>
      <c r="AA216" t="str">
        <f>'Green_rooibos initial weight'!A217</f>
        <v>G213</v>
      </c>
      <c r="AB216" t="str">
        <f>'Green_rooibos initial weight'!A1121</f>
        <v>R213</v>
      </c>
      <c r="AC216" t="b">
        <f t="shared" si="82"/>
        <v>0</v>
      </c>
      <c r="AD216" t="b">
        <f t="shared" si="83"/>
        <v>0</v>
      </c>
      <c r="AG216" t="str">
        <f>'WetLitterbags placem_collection'!K215</f>
        <v>G572</v>
      </c>
      <c r="AH216" t="str">
        <f>'WetLitterbags placem_collection'!M215</f>
        <v>R88</v>
      </c>
      <c r="AI216" t="b">
        <f t="shared" si="84"/>
        <v>0</v>
      </c>
      <c r="AJ216" t="b">
        <f t="shared" si="85"/>
        <v>0</v>
      </c>
      <c r="AK216">
        <f>'WetLitterbags placem_collection'!A215</f>
        <v>213</v>
      </c>
      <c r="AL216">
        <f>'WetLitterbags placem_collection'!A215</f>
        <v>213</v>
      </c>
      <c r="AN216">
        <f>IF('Dry_Litterbag Placem_Collection'!J215=0,"",'Dry_Litterbag Placem_Collection'!J215)</f>
        <v>68</v>
      </c>
      <c r="AO216">
        <f>IF('Dry_Litterbag Placem_Collection'!K215=0,"",'Dry_Litterbag Placem_Collection'!K215)</f>
        <v>803</v>
      </c>
      <c r="AP216" t="b">
        <f t="shared" si="86"/>
        <v>0</v>
      </c>
      <c r="AQ216" t="b">
        <f t="shared" si="87"/>
        <v>0</v>
      </c>
      <c r="AT216" t="str">
        <f>'Ashed teabags dry'!A214</f>
        <v>G410</v>
      </c>
      <c r="AU216" t="str">
        <f>'Ashed teabags dry'!A551</f>
        <v>R697</v>
      </c>
      <c r="AV216" t="b">
        <f t="shared" si="88"/>
        <v>0</v>
      </c>
      <c r="AW216" t="b">
        <f t="shared" si="89"/>
        <v>0</v>
      </c>
      <c r="AZ216" s="401" t="b">
        <f t="shared" si="90"/>
        <v>0</v>
      </c>
      <c r="BA216" s="401" t="b">
        <f t="shared" si="91"/>
        <v>0</v>
      </c>
      <c r="BC216" t="str">
        <f>'Ashed teabags wet'!A214</f>
        <v>G644</v>
      </c>
      <c r="BD216" t="str">
        <f>'Ashed teabags wet'!A631</f>
        <v>R440</v>
      </c>
      <c r="BE216" t="b">
        <f t="shared" si="92"/>
        <v>0</v>
      </c>
      <c r="BF216" t="b">
        <f t="shared" si="93"/>
        <v>0</v>
      </c>
      <c r="BG216">
        <f>IFERROR('Ashed teabags wet'!C214,"")</f>
        <v>16</v>
      </c>
      <c r="BH216">
        <f>IFERROR('Ashed teabags wet'!C631,"")</f>
        <v>153</v>
      </c>
      <c r="BI216" t="str">
        <f>'Ashed teabags wet'!AB214</f>
        <v/>
      </c>
      <c r="BJ216">
        <f>'Ashed teabags wet'!AC214</f>
        <v>15</v>
      </c>
      <c r="BK216" t="str">
        <f>'Ashed teabags wet'!AD631</f>
        <v/>
      </c>
      <c r="BL216">
        <f>'Ashed teabags wet'!AE631</f>
        <v>152</v>
      </c>
      <c r="BN216" t="str">
        <f t="shared" si="94"/>
        <v>G643</v>
      </c>
      <c r="BO216" t="b">
        <f t="shared" si="95"/>
        <v>1</v>
      </c>
    </row>
    <row r="217" spans="2:67" ht="12" customHeight="1">
      <c r="B217" t="str">
        <f>TBIDry!H289</f>
        <v>G143</v>
      </c>
      <c r="C217" t="str">
        <f>TBIDry!I289</f>
        <v>R321</v>
      </c>
      <c r="D217" t="b">
        <f t="shared" si="72"/>
        <v>0</v>
      </c>
      <c r="E217" t="b">
        <f t="shared" si="73"/>
        <v>0</v>
      </c>
      <c r="G217" t="str">
        <f>TBIWet!H289</f>
        <v>G761</v>
      </c>
      <c r="H217" t="str">
        <f>TBIWet!I289</f>
        <v>R383</v>
      </c>
      <c r="I217" t="b">
        <f t="shared" si="74"/>
        <v>0</v>
      </c>
      <c r="J217" t="b">
        <f t="shared" si="75"/>
        <v>0</v>
      </c>
      <c r="L217" t="str">
        <f>'Both teabags AfterWet'!A216</f>
        <v>G644</v>
      </c>
      <c r="M217" t="str">
        <f>'Both teabags AfterWet'!A634</f>
        <v>R427</v>
      </c>
      <c r="N217" t="b">
        <f t="shared" si="76"/>
        <v>0</v>
      </c>
      <c r="O217" t="b">
        <f t="shared" si="77"/>
        <v>0</v>
      </c>
      <c r="P217" t="str">
        <f>IFERROR('Both teabags AfterWet'!B216,"")</f>
        <v>n.a</v>
      </c>
      <c r="Q217" t="str">
        <f>'Both teabags AfterWet'!B634</f>
        <v>n.a</v>
      </c>
      <c r="S217" s="401" t="b">
        <f t="shared" si="78"/>
        <v>0</v>
      </c>
      <c r="T217" s="401" t="b">
        <f t="shared" si="79"/>
        <v>0</v>
      </c>
      <c r="V217" t="str">
        <f>'Both teabags AfterDry'!A216</f>
        <v>G41</v>
      </c>
      <c r="W217" t="str">
        <f>'Both teabags AfterDry'!A553</f>
        <v>R698</v>
      </c>
      <c r="X217" t="b">
        <f t="shared" si="80"/>
        <v>0</v>
      </c>
      <c r="Y217" t="b">
        <f t="shared" si="81"/>
        <v>0</v>
      </c>
      <c r="AA217" t="str">
        <f>'Green_rooibos initial weight'!A218</f>
        <v>G214</v>
      </c>
      <c r="AB217" t="str">
        <f>'Green_rooibos initial weight'!A1122</f>
        <v>R214</v>
      </c>
      <c r="AC217" t="b">
        <f t="shared" si="82"/>
        <v>0</v>
      </c>
      <c r="AD217" t="b">
        <f t="shared" si="83"/>
        <v>0</v>
      </c>
      <c r="AG217" t="str">
        <f>'WetLitterbags placem_collection'!K216</f>
        <v>G761</v>
      </c>
      <c r="AH217" t="str">
        <f>'WetLitterbags placem_collection'!M216</f>
        <v>R383</v>
      </c>
      <c r="AI217" t="b">
        <f t="shared" si="84"/>
        <v>0</v>
      </c>
      <c r="AJ217" t="b">
        <f t="shared" si="85"/>
        <v>0</v>
      </c>
      <c r="AK217">
        <f>'WetLitterbags placem_collection'!A216</f>
        <v>214</v>
      </c>
      <c r="AL217">
        <f>'WetLitterbags placem_collection'!A216</f>
        <v>214</v>
      </c>
      <c r="AN217">
        <f>IF('Dry_Litterbag Placem_Collection'!J216=0,"",'Dry_Litterbag Placem_Collection'!J216)</f>
        <v>143</v>
      </c>
      <c r="AO217">
        <f>IF('Dry_Litterbag Placem_Collection'!K216=0,"",'Dry_Litterbag Placem_Collection'!K216)</f>
        <v>321</v>
      </c>
      <c r="AP217" t="b">
        <f t="shared" si="86"/>
        <v>0</v>
      </c>
      <c r="AQ217" t="b">
        <f t="shared" si="87"/>
        <v>0</v>
      </c>
      <c r="AT217" t="str">
        <f>'Ashed teabags dry'!A215</f>
        <v>G411</v>
      </c>
      <c r="AU217" t="str">
        <f>'Ashed teabags dry'!A552</f>
        <v>R698</v>
      </c>
      <c r="AV217" t="b">
        <f t="shared" si="88"/>
        <v>0</v>
      </c>
      <c r="AW217" t="b">
        <f t="shared" si="89"/>
        <v>0</v>
      </c>
      <c r="AZ217" s="401" t="b">
        <f t="shared" si="90"/>
        <v>0</v>
      </c>
      <c r="BA217" s="401" t="b">
        <f t="shared" si="91"/>
        <v>0</v>
      </c>
      <c r="BC217" t="str">
        <f>'Ashed teabags wet'!A215</f>
        <v>G645</v>
      </c>
      <c r="BD217" t="str">
        <f>'Ashed teabags wet'!A632</f>
        <v>R442</v>
      </c>
      <c r="BE217" t="b">
        <f t="shared" si="92"/>
        <v>0</v>
      </c>
      <c r="BF217" t="b">
        <f t="shared" si="93"/>
        <v>0</v>
      </c>
      <c r="BG217">
        <f>IFERROR('Ashed teabags wet'!C215,"")</f>
        <v>203</v>
      </c>
      <c r="BH217">
        <f>IFERROR('Ashed teabags wet'!C632,"")</f>
        <v>218</v>
      </c>
      <c r="BI217">
        <f>'Ashed teabags wet'!AB215</f>
        <v>202</v>
      </c>
      <c r="BJ217" t="str">
        <f>'Ashed teabags wet'!AC215</f>
        <v/>
      </c>
      <c r="BK217">
        <f>'Ashed teabags wet'!AD632</f>
        <v>217</v>
      </c>
      <c r="BL217" t="str">
        <f>'Ashed teabags wet'!AE632</f>
        <v/>
      </c>
      <c r="BN217" t="str">
        <f t="shared" si="94"/>
        <v>G644</v>
      </c>
      <c r="BO217" t="b">
        <f t="shared" si="95"/>
        <v>1</v>
      </c>
    </row>
    <row r="218" spans="2:67" ht="12" customHeight="1">
      <c r="B218" t="str">
        <f>TBIDry!H290</f>
        <v>G128</v>
      </c>
      <c r="C218" t="str">
        <f>TBIDry!I290</f>
        <v>R677</v>
      </c>
      <c r="D218" t="b">
        <f t="shared" si="72"/>
        <v>0</v>
      </c>
      <c r="E218" t="b">
        <f t="shared" si="73"/>
        <v>0</v>
      </c>
      <c r="G218" t="str">
        <f>TBIWet!H290</f>
        <v>G858</v>
      </c>
      <c r="H218" t="str">
        <f>TBIWet!I290</f>
        <v>R145</v>
      </c>
      <c r="I218" t="b">
        <f t="shared" si="74"/>
        <v>0</v>
      </c>
      <c r="J218" t="b">
        <f t="shared" si="75"/>
        <v>0</v>
      </c>
      <c r="L218" t="str">
        <f>'Both teabags AfterWet'!A217</f>
        <v>G645</v>
      </c>
      <c r="M218" t="str">
        <f>'Both teabags AfterWet'!A635</f>
        <v>R428</v>
      </c>
      <c r="N218" t="b">
        <f t="shared" si="76"/>
        <v>0</v>
      </c>
      <c r="O218" t="b">
        <f t="shared" si="77"/>
        <v>0</v>
      </c>
      <c r="P218" t="str">
        <f>IFERROR('Both teabags AfterWet'!B217,"")</f>
        <v>n.a</v>
      </c>
      <c r="Q218">
        <f>'Both teabags AfterWet'!B635</f>
        <v>113</v>
      </c>
      <c r="S218" s="401" t="b">
        <f t="shared" si="78"/>
        <v>0</v>
      </c>
      <c r="T218" s="401" t="b">
        <f t="shared" si="79"/>
        <v>0</v>
      </c>
      <c r="V218" t="str">
        <f>'Both teabags AfterDry'!A217</f>
        <v>G410</v>
      </c>
      <c r="W218" t="str">
        <f>'Both teabags AfterDry'!A554</f>
        <v>R699</v>
      </c>
      <c r="X218" t="b">
        <f t="shared" si="80"/>
        <v>0</v>
      </c>
      <c r="Y218" t="b">
        <f t="shared" si="81"/>
        <v>0</v>
      </c>
      <c r="AA218" t="str">
        <f>'Green_rooibos initial weight'!A219</f>
        <v>G215</v>
      </c>
      <c r="AB218" t="str">
        <f>'Green_rooibos initial weight'!A1123</f>
        <v>R215</v>
      </c>
      <c r="AC218" t="b">
        <f t="shared" si="82"/>
        <v>0</v>
      </c>
      <c r="AD218" t="b">
        <f t="shared" si="83"/>
        <v>0</v>
      </c>
      <c r="AG218" t="str">
        <f>'WetLitterbags placem_collection'!K217</f>
        <v>G858</v>
      </c>
      <c r="AH218" t="str">
        <f>'WetLitterbags placem_collection'!M217</f>
        <v>R145</v>
      </c>
      <c r="AI218" t="b">
        <f t="shared" si="84"/>
        <v>0</v>
      </c>
      <c r="AJ218" t="b">
        <f t="shared" si="85"/>
        <v>0</v>
      </c>
      <c r="AK218">
        <f>'WetLitterbags placem_collection'!A217</f>
        <v>215</v>
      </c>
      <c r="AL218">
        <f>'WetLitterbags placem_collection'!A217</f>
        <v>215</v>
      </c>
      <c r="AN218">
        <f>IF('Dry_Litterbag Placem_Collection'!J217=0,"",'Dry_Litterbag Placem_Collection'!J217)</f>
        <v>128</v>
      </c>
      <c r="AO218">
        <f>IF('Dry_Litterbag Placem_Collection'!K217=0,"",'Dry_Litterbag Placem_Collection'!K217)</f>
        <v>677</v>
      </c>
      <c r="AP218" t="b">
        <f t="shared" si="86"/>
        <v>0</v>
      </c>
      <c r="AQ218" t="b">
        <f t="shared" si="87"/>
        <v>0</v>
      </c>
      <c r="AT218" t="str">
        <f>'Ashed teabags dry'!A216</f>
        <v>G412</v>
      </c>
      <c r="AU218" t="str">
        <f>'Ashed teabags dry'!A553</f>
        <v>R699</v>
      </c>
      <c r="AV218" t="b">
        <f t="shared" si="88"/>
        <v>0</v>
      </c>
      <c r="AW218" t="b">
        <f t="shared" si="89"/>
        <v>0</v>
      </c>
      <c r="AZ218" s="401" t="b">
        <f t="shared" si="90"/>
        <v>0</v>
      </c>
      <c r="BA218" s="401" t="b">
        <f t="shared" si="91"/>
        <v>0</v>
      </c>
      <c r="BC218" t="str">
        <f>'Ashed teabags wet'!A216</f>
        <v>G647</v>
      </c>
      <c r="BD218" t="str">
        <f>'Ashed teabags wet'!A633</f>
        <v>R444</v>
      </c>
      <c r="BE218" t="b">
        <f t="shared" si="92"/>
        <v>0</v>
      </c>
      <c r="BF218" t="b">
        <f t="shared" si="93"/>
        <v>0</v>
      </c>
      <c r="BG218">
        <f>IFERROR('Ashed teabags wet'!C216,"")</f>
        <v>151</v>
      </c>
      <c r="BH218">
        <f>IFERROR('Ashed teabags wet'!C633,"")</f>
        <v>182</v>
      </c>
      <c r="BI218" t="str">
        <f>'Ashed teabags wet'!AB216</f>
        <v/>
      </c>
      <c r="BJ218">
        <f>'Ashed teabags wet'!AC216</f>
        <v>150</v>
      </c>
      <c r="BK218">
        <f>'Ashed teabags wet'!AD633</f>
        <v>181</v>
      </c>
      <c r="BL218" t="str">
        <f>'Ashed teabags wet'!AE633</f>
        <v/>
      </c>
      <c r="BN218" t="str">
        <f t="shared" si="94"/>
        <v>G645</v>
      </c>
      <c r="BO218" t="b">
        <f t="shared" si="95"/>
        <v>1</v>
      </c>
    </row>
    <row r="219" spans="2:67" ht="12" customHeight="1">
      <c r="B219" t="str">
        <f>TBIDry!H291</f>
        <v>G95</v>
      </c>
      <c r="C219" t="str">
        <f>TBIDry!I291</f>
        <v>R379</v>
      </c>
      <c r="D219" t="b">
        <f t="shared" si="72"/>
        <v>0</v>
      </c>
      <c r="E219" t="b">
        <f t="shared" si="73"/>
        <v>0</v>
      </c>
      <c r="G219" t="str">
        <f>TBIWet!H291</f>
        <v>G755</v>
      </c>
      <c r="H219" t="str">
        <f>TBIWet!I291</f>
        <v>R241</v>
      </c>
      <c r="I219" t="b">
        <f t="shared" si="74"/>
        <v>0</v>
      </c>
      <c r="J219" t="b">
        <f t="shared" si="75"/>
        <v>0</v>
      </c>
      <c r="L219" t="str">
        <f>'Both teabags AfterWet'!A218</f>
        <v>G647</v>
      </c>
      <c r="M219" t="str">
        <f>'Both teabags AfterWet'!A636</f>
        <v>R429</v>
      </c>
      <c r="N219" t="b">
        <f t="shared" si="76"/>
        <v>0</v>
      </c>
      <c r="O219" t="b">
        <f t="shared" si="77"/>
        <v>0</v>
      </c>
      <c r="P219">
        <f>IFERROR('Both teabags AfterWet'!B218,"")</f>
        <v>151</v>
      </c>
      <c r="Q219">
        <f>'Both teabags AfterWet'!B636</f>
        <v>122</v>
      </c>
      <c r="S219" s="401" t="b">
        <f t="shared" si="78"/>
        <v>0</v>
      </c>
      <c r="T219" s="401" t="b">
        <f t="shared" si="79"/>
        <v>0</v>
      </c>
      <c r="V219" t="str">
        <f>'Both teabags AfterDry'!A218</f>
        <v>G411</v>
      </c>
      <c r="W219" t="str">
        <f>'Both teabags AfterDry'!A555</f>
        <v>R701</v>
      </c>
      <c r="X219" t="b">
        <f t="shared" si="80"/>
        <v>0</v>
      </c>
      <c r="Y219" t="b">
        <f t="shared" si="81"/>
        <v>0</v>
      </c>
      <c r="AA219" t="str">
        <f>'Green_rooibos initial weight'!A220</f>
        <v>G216</v>
      </c>
      <c r="AB219" t="str">
        <f>'Green_rooibos initial weight'!A1124</f>
        <v>R216</v>
      </c>
      <c r="AC219" t="b">
        <f t="shared" si="82"/>
        <v>0</v>
      </c>
      <c r="AD219" t="b">
        <f t="shared" si="83"/>
        <v>0</v>
      </c>
      <c r="AG219" t="str">
        <f>'WetLitterbags placem_collection'!K218</f>
        <v>G755</v>
      </c>
      <c r="AH219" t="str">
        <f>'WetLitterbags placem_collection'!M218</f>
        <v>R241</v>
      </c>
      <c r="AI219" t="b">
        <f t="shared" si="84"/>
        <v>0</v>
      </c>
      <c r="AJ219" t="b">
        <f t="shared" si="85"/>
        <v>0</v>
      </c>
      <c r="AK219">
        <f>'WetLitterbags placem_collection'!A218</f>
        <v>216</v>
      </c>
      <c r="AL219">
        <f>'WetLitterbags placem_collection'!A218</f>
        <v>216</v>
      </c>
      <c r="AN219">
        <f>IF('Dry_Litterbag Placem_Collection'!J218=0,"",'Dry_Litterbag Placem_Collection'!J218)</f>
        <v>95</v>
      </c>
      <c r="AO219">
        <f>IF('Dry_Litterbag Placem_Collection'!K218=0,"",'Dry_Litterbag Placem_Collection'!K218)</f>
        <v>379</v>
      </c>
      <c r="AP219" t="b">
        <f t="shared" si="86"/>
        <v>0</v>
      </c>
      <c r="AQ219" t="b">
        <f t="shared" si="87"/>
        <v>0</v>
      </c>
      <c r="AT219" t="str">
        <f>'Ashed teabags dry'!A217</f>
        <v>G413</v>
      </c>
      <c r="AU219" t="str">
        <f>'Ashed teabags dry'!A554</f>
        <v>R701</v>
      </c>
      <c r="AV219" t="b">
        <f t="shared" si="88"/>
        <v>0</v>
      </c>
      <c r="AW219" t="b">
        <f t="shared" si="89"/>
        <v>0</v>
      </c>
      <c r="AZ219" s="401" t="b">
        <f t="shared" si="90"/>
        <v>0</v>
      </c>
      <c r="BA219" s="401" t="b">
        <f t="shared" si="91"/>
        <v>0</v>
      </c>
      <c r="BC219" t="str">
        <f>'Ashed teabags wet'!A217</f>
        <v>G648</v>
      </c>
      <c r="BD219" t="str">
        <f>'Ashed teabags wet'!A634</f>
        <v>R446</v>
      </c>
      <c r="BE219" t="b">
        <f t="shared" si="92"/>
        <v>0</v>
      </c>
      <c r="BF219" t="b">
        <f t="shared" si="93"/>
        <v>0</v>
      </c>
      <c r="BG219">
        <f>IFERROR('Ashed teabags wet'!C217,"")</f>
        <v>17</v>
      </c>
      <c r="BH219">
        <f>IFERROR('Ashed teabags wet'!C634,"")</f>
        <v>11</v>
      </c>
      <c r="BI219" t="str">
        <f>'Ashed teabags wet'!AB217</f>
        <v/>
      </c>
      <c r="BJ219">
        <f>'Ashed teabags wet'!AC217</f>
        <v>16</v>
      </c>
      <c r="BK219">
        <f>'Ashed teabags wet'!AD634</f>
        <v>10</v>
      </c>
      <c r="BL219" t="str">
        <f>'Ashed teabags wet'!AE634</f>
        <v/>
      </c>
      <c r="BN219" t="str">
        <f t="shared" si="94"/>
        <v>G647</v>
      </c>
      <c r="BO219" t="b">
        <f t="shared" si="95"/>
        <v>1</v>
      </c>
    </row>
    <row r="220" spans="2:67" ht="12" customHeight="1">
      <c r="B220" t="str">
        <f>TBIDry!H292</f>
        <v>G313</v>
      </c>
      <c r="C220" t="str">
        <f>TBIDry!I292</f>
        <v>R771</v>
      </c>
      <c r="D220" t="b">
        <f t="shared" si="72"/>
        <v>0</v>
      </c>
      <c r="E220" t="b">
        <f t="shared" si="73"/>
        <v>0</v>
      </c>
      <c r="G220" t="str">
        <f>TBIWet!H292</f>
        <v>G795</v>
      </c>
      <c r="H220" t="str">
        <f>TBIWet!I292</f>
        <v>R302</v>
      </c>
      <c r="I220" t="b">
        <f t="shared" si="74"/>
        <v>0</v>
      </c>
      <c r="J220" t="b">
        <f t="shared" si="75"/>
        <v>0</v>
      </c>
      <c r="L220" t="str">
        <f>'Both teabags AfterWet'!A219</f>
        <v>G648</v>
      </c>
      <c r="M220" t="str">
        <f>'Both teabags AfterWet'!A637</f>
        <v>R430</v>
      </c>
      <c r="N220" t="b">
        <f t="shared" si="76"/>
        <v>0</v>
      </c>
      <c r="O220" t="b">
        <f t="shared" si="77"/>
        <v>0</v>
      </c>
      <c r="P220" t="str">
        <f>IFERROR('Both teabags AfterWet'!B219,"")</f>
        <v>n.a</v>
      </c>
      <c r="Q220">
        <f>'Both teabags AfterWet'!B637</f>
        <v>103</v>
      </c>
      <c r="S220" s="401" t="b">
        <f t="shared" si="78"/>
        <v>0</v>
      </c>
      <c r="T220" s="401" t="b">
        <f t="shared" si="79"/>
        <v>0</v>
      </c>
      <c r="V220" t="str">
        <f>'Both teabags AfterDry'!A219</f>
        <v>G412</v>
      </c>
      <c r="W220" t="str">
        <f>'Both teabags AfterDry'!A556</f>
        <v>R702</v>
      </c>
      <c r="X220" t="b">
        <f t="shared" si="80"/>
        <v>0</v>
      </c>
      <c r="Y220" t="b">
        <f t="shared" si="81"/>
        <v>0</v>
      </c>
      <c r="AA220" t="str">
        <f>'Green_rooibos initial weight'!A221</f>
        <v>G217</v>
      </c>
      <c r="AB220" t="str">
        <f>'Green_rooibos initial weight'!A1125</f>
        <v>R217</v>
      </c>
      <c r="AC220" t="b">
        <f t="shared" si="82"/>
        <v>0</v>
      </c>
      <c r="AD220" t="b">
        <f t="shared" si="83"/>
        <v>0</v>
      </c>
      <c r="AG220" t="str">
        <f>'WetLitterbags placem_collection'!K219</f>
        <v>G795</v>
      </c>
      <c r="AH220" t="str">
        <f>'WetLitterbags placem_collection'!M219</f>
        <v>R302</v>
      </c>
      <c r="AI220" t="b">
        <f t="shared" si="84"/>
        <v>0</v>
      </c>
      <c r="AJ220" t="b">
        <f t="shared" si="85"/>
        <v>0</v>
      </c>
      <c r="AK220">
        <f>'WetLitterbags placem_collection'!A219</f>
        <v>217</v>
      </c>
      <c r="AL220">
        <f>'WetLitterbags placem_collection'!A219</f>
        <v>217</v>
      </c>
      <c r="AN220">
        <f>IF('Dry_Litterbag Placem_Collection'!J219=0,"",'Dry_Litterbag Placem_Collection'!J219)</f>
        <v>313</v>
      </c>
      <c r="AO220">
        <f>IF('Dry_Litterbag Placem_Collection'!K219=0,"",'Dry_Litterbag Placem_Collection'!K219)</f>
        <v>771</v>
      </c>
      <c r="AP220" t="b">
        <f t="shared" si="86"/>
        <v>0</v>
      </c>
      <c r="AQ220" t="b">
        <f t="shared" si="87"/>
        <v>0</v>
      </c>
      <c r="AT220" t="str">
        <f>'Ashed teabags dry'!A218</f>
        <v>G42</v>
      </c>
      <c r="AU220" t="str">
        <f>'Ashed teabags dry'!A555</f>
        <v>R702</v>
      </c>
      <c r="AV220" t="b">
        <f t="shared" si="88"/>
        <v>0</v>
      </c>
      <c r="AW220" t="b">
        <f t="shared" si="89"/>
        <v>0</v>
      </c>
      <c r="AZ220" s="401" t="b">
        <f t="shared" si="90"/>
        <v>0</v>
      </c>
      <c r="BA220" s="401" t="b">
        <f t="shared" si="91"/>
        <v>0</v>
      </c>
      <c r="BC220" t="str">
        <f>'Ashed teabags wet'!A218</f>
        <v>G649</v>
      </c>
      <c r="BD220" t="str">
        <f>'Ashed teabags wet'!A635</f>
        <v>R447</v>
      </c>
      <c r="BE220" t="b">
        <f t="shared" si="92"/>
        <v>0</v>
      </c>
      <c r="BF220" t="b">
        <f t="shared" si="93"/>
        <v>0</v>
      </c>
      <c r="BG220">
        <f>IFERROR('Ashed teabags wet'!C218,"")</f>
        <v>34</v>
      </c>
      <c r="BH220">
        <f>IFERROR('Ashed teabags wet'!C635,"")</f>
        <v>151</v>
      </c>
      <c r="BI220" t="str">
        <f>'Ashed teabags wet'!AB218</f>
        <v/>
      </c>
      <c r="BJ220">
        <f>'Ashed teabags wet'!AC218</f>
        <v>33</v>
      </c>
      <c r="BK220">
        <f>'Ashed teabags wet'!AD635</f>
        <v>150</v>
      </c>
      <c r="BL220" t="str">
        <f>'Ashed teabags wet'!AE635</f>
        <v/>
      </c>
      <c r="BN220" t="str">
        <f t="shared" si="94"/>
        <v>G648</v>
      </c>
      <c r="BO220" t="b">
        <f t="shared" si="95"/>
        <v>1</v>
      </c>
    </row>
    <row r="221" spans="2:67" ht="12" customHeight="1">
      <c r="B221" t="str">
        <f>TBIDry!H293</f>
        <v>G485</v>
      </c>
      <c r="C221" t="str">
        <f>TBIDry!I293</f>
        <v>R680</v>
      </c>
      <c r="D221" t="b">
        <f t="shared" si="72"/>
        <v>0</v>
      </c>
      <c r="E221" t="b">
        <f t="shared" si="73"/>
        <v>0</v>
      </c>
      <c r="G221" t="str">
        <f>TBIWet!H293</f>
        <v>G251</v>
      </c>
      <c r="H221" t="str">
        <f>TBIWet!I293</f>
        <v>R442</v>
      </c>
      <c r="I221" t="b">
        <f t="shared" si="74"/>
        <v>0</v>
      </c>
      <c r="J221" t="b">
        <f t="shared" si="75"/>
        <v>0</v>
      </c>
      <c r="L221" t="str">
        <f>'Both teabags AfterWet'!A220</f>
        <v>G649</v>
      </c>
      <c r="M221" t="str">
        <f>'Both teabags AfterWet'!A638</f>
        <v>R432</v>
      </c>
      <c r="N221" t="b">
        <f t="shared" si="76"/>
        <v>0</v>
      </c>
      <c r="O221" t="b">
        <f t="shared" si="77"/>
        <v>0</v>
      </c>
      <c r="P221">
        <f>IFERROR('Both teabags AfterWet'!B220,"")</f>
        <v>34</v>
      </c>
      <c r="Q221">
        <f>'Both teabags AfterWet'!B638</f>
        <v>135</v>
      </c>
      <c r="S221" s="401" t="b">
        <f t="shared" si="78"/>
        <v>0</v>
      </c>
      <c r="T221" s="401" t="b">
        <f t="shared" si="79"/>
        <v>0</v>
      </c>
      <c r="V221" t="str">
        <f>'Both teabags AfterDry'!A220</f>
        <v>G413</v>
      </c>
      <c r="W221" t="str">
        <f>'Both teabags AfterDry'!A557</f>
        <v>R703</v>
      </c>
      <c r="X221" t="b">
        <f t="shared" si="80"/>
        <v>0</v>
      </c>
      <c r="Y221" t="b">
        <f t="shared" si="81"/>
        <v>0</v>
      </c>
      <c r="AA221" t="str">
        <f>'Green_rooibos initial weight'!A222</f>
        <v>G218</v>
      </c>
      <c r="AB221" t="str">
        <f>'Green_rooibos initial weight'!A1126</f>
        <v>R218</v>
      </c>
      <c r="AC221" t="b">
        <f t="shared" si="82"/>
        <v>0</v>
      </c>
      <c r="AD221" t="b">
        <f t="shared" si="83"/>
        <v>0</v>
      </c>
      <c r="AG221" t="str">
        <f>'WetLitterbags placem_collection'!K220</f>
        <v>G251</v>
      </c>
      <c r="AH221" t="str">
        <f>'WetLitterbags placem_collection'!M220</f>
        <v>R442</v>
      </c>
      <c r="AI221" t="b">
        <f t="shared" si="84"/>
        <v>0</v>
      </c>
      <c r="AJ221" t="b">
        <f t="shared" si="85"/>
        <v>0</v>
      </c>
      <c r="AK221">
        <f>'WetLitterbags placem_collection'!A220</f>
        <v>218</v>
      </c>
      <c r="AL221">
        <f>'WetLitterbags placem_collection'!A220</f>
        <v>218</v>
      </c>
      <c r="AN221">
        <f>IF('Dry_Litterbag Placem_Collection'!J220=0,"",'Dry_Litterbag Placem_Collection'!J220)</f>
        <v>485</v>
      </c>
      <c r="AO221">
        <f>IF('Dry_Litterbag Placem_Collection'!K220=0,"",'Dry_Litterbag Placem_Collection'!K220)</f>
        <v>680</v>
      </c>
      <c r="AP221" t="b">
        <f t="shared" si="86"/>
        <v>0</v>
      </c>
      <c r="AQ221" t="b">
        <f t="shared" si="87"/>
        <v>0</v>
      </c>
      <c r="AT221" t="str">
        <f>'Ashed teabags dry'!A219</f>
        <v>G422</v>
      </c>
      <c r="AU221" t="str">
        <f>'Ashed teabags dry'!A556</f>
        <v>R703</v>
      </c>
      <c r="AV221" t="b">
        <f t="shared" si="88"/>
        <v>0</v>
      </c>
      <c r="AW221" t="b">
        <f t="shared" si="89"/>
        <v>0</v>
      </c>
      <c r="AZ221" s="401" t="b">
        <f t="shared" si="90"/>
        <v>0</v>
      </c>
      <c r="BA221" s="401" t="b">
        <f t="shared" si="91"/>
        <v>0</v>
      </c>
      <c r="BC221" t="str">
        <f>'Ashed teabags wet'!A219</f>
        <v>G651</v>
      </c>
      <c r="BD221" t="str">
        <f>'Ashed teabags wet'!A636</f>
        <v>R448</v>
      </c>
      <c r="BE221" t="b">
        <f t="shared" si="92"/>
        <v>0</v>
      </c>
      <c r="BF221" t="b">
        <f t="shared" si="93"/>
        <v>0</v>
      </c>
      <c r="BG221">
        <f>IFERROR('Ashed teabags wet'!C219,"")</f>
        <v>26</v>
      </c>
      <c r="BH221">
        <f>IFERROR('Ashed teabags wet'!C636,"")</f>
        <v>62</v>
      </c>
      <c r="BI221">
        <f>'Ashed teabags wet'!AB219</f>
        <v>25</v>
      </c>
      <c r="BJ221" t="str">
        <f>'Ashed teabags wet'!AC219</f>
        <v/>
      </c>
      <c r="BK221" t="str">
        <f>'Ashed teabags wet'!AD636</f>
        <v/>
      </c>
      <c r="BL221">
        <f>'Ashed teabags wet'!AE636</f>
        <v>61</v>
      </c>
      <c r="BN221" t="str">
        <f t="shared" si="94"/>
        <v>G649</v>
      </c>
      <c r="BO221" t="b">
        <f t="shared" si="95"/>
        <v>1</v>
      </c>
    </row>
    <row r="222" spans="2:67" ht="12" customHeight="1">
      <c r="B222" t="str">
        <f>TBIDry!H294</f>
        <v>G196</v>
      </c>
      <c r="C222" t="str">
        <f>TBIDry!I294</f>
        <v>R178</v>
      </c>
      <c r="D222" t="b">
        <f t="shared" si="72"/>
        <v>0</v>
      </c>
      <c r="E222" t="b">
        <f t="shared" si="73"/>
        <v>0</v>
      </c>
      <c r="G222" t="str">
        <f>TBIWet!H294</f>
        <v>G727</v>
      </c>
      <c r="H222" t="str">
        <f>TBIWet!I294</f>
        <v>R176</v>
      </c>
      <c r="I222" t="b">
        <f t="shared" si="74"/>
        <v>0</v>
      </c>
      <c r="J222" t="b">
        <f t="shared" si="75"/>
        <v>0</v>
      </c>
      <c r="L222" t="str">
        <f>'Both teabags AfterWet'!A221</f>
        <v>G651</v>
      </c>
      <c r="M222" t="str">
        <f>'Both teabags AfterWet'!A639</f>
        <v>R433</v>
      </c>
      <c r="N222" t="b">
        <f t="shared" si="76"/>
        <v>0</v>
      </c>
      <c r="O222" t="b">
        <f t="shared" si="77"/>
        <v>0</v>
      </c>
      <c r="P222" t="str">
        <f>IFERROR('Both teabags AfterWet'!B221,"")</f>
        <v>n.a</v>
      </c>
      <c r="Q222">
        <f>'Both teabags AfterWet'!B639</f>
        <v>130</v>
      </c>
      <c r="S222" s="401" t="b">
        <f t="shared" si="78"/>
        <v>0</v>
      </c>
      <c r="T222" s="401" t="b">
        <f t="shared" si="79"/>
        <v>0</v>
      </c>
      <c r="V222" t="str">
        <f>'Both teabags AfterDry'!A221</f>
        <v>G422</v>
      </c>
      <c r="W222" t="str">
        <f>'Both teabags AfterDry'!A558</f>
        <v>R704</v>
      </c>
      <c r="X222" t="b">
        <f t="shared" si="80"/>
        <v>0</v>
      </c>
      <c r="Y222" t="b">
        <f t="shared" si="81"/>
        <v>0</v>
      </c>
      <c r="AA222" t="str">
        <f>'Green_rooibos initial weight'!A223</f>
        <v>G219</v>
      </c>
      <c r="AB222" t="str">
        <f>'Green_rooibos initial weight'!A1127</f>
        <v>R219</v>
      </c>
      <c r="AC222" t="b">
        <f t="shared" si="82"/>
        <v>0</v>
      </c>
      <c r="AD222" t="b">
        <f t="shared" si="83"/>
        <v>0</v>
      </c>
      <c r="AG222" t="str">
        <f>'WetLitterbags placem_collection'!K221</f>
        <v>G727</v>
      </c>
      <c r="AH222" t="str">
        <f>'WetLitterbags placem_collection'!M221</f>
        <v>R176</v>
      </c>
      <c r="AI222" t="b">
        <f t="shared" si="84"/>
        <v>0</v>
      </c>
      <c r="AJ222" t="b">
        <f t="shared" si="85"/>
        <v>0</v>
      </c>
      <c r="AK222">
        <f>'WetLitterbags placem_collection'!A221</f>
        <v>219</v>
      </c>
      <c r="AL222">
        <f>'WetLitterbags placem_collection'!A221</f>
        <v>219</v>
      </c>
      <c r="AN222">
        <f>IF('Dry_Litterbag Placem_Collection'!J221=0,"",'Dry_Litterbag Placem_Collection'!J221)</f>
        <v>196</v>
      </c>
      <c r="AO222">
        <f>IF('Dry_Litterbag Placem_Collection'!K221=0,"",'Dry_Litterbag Placem_Collection'!K221)</f>
        <v>178</v>
      </c>
      <c r="AP222" t="b">
        <f t="shared" si="86"/>
        <v>0</v>
      </c>
      <c r="AQ222" t="b">
        <f t="shared" si="87"/>
        <v>0</v>
      </c>
      <c r="AT222" t="str">
        <f>'Ashed teabags dry'!A220</f>
        <v>G43</v>
      </c>
      <c r="AU222" t="str">
        <f>'Ashed teabags dry'!A557</f>
        <v>R704</v>
      </c>
      <c r="AV222" t="b">
        <f t="shared" si="88"/>
        <v>0</v>
      </c>
      <c r="AW222" t="b">
        <f t="shared" si="89"/>
        <v>0</v>
      </c>
      <c r="AZ222" s="401" t="b">
        <f t="shared" si="90"/>
        <v>0</v>
      </c>
      <c r="BA222" s="401" t="b">
        <f t="shared" si="91"/>
        <v>0</v>
      </c>
      <c r="BC222" t="str">
        <f>'Ashed teabags wet'!A220</f>
        <v>G653</v>
      </c>
      <c r="BD222" t="str">
        <f>'Ashed teabags wet'!A637</f>
        <v>R449</v>
      </c>
      <c r="BE222" t="b">
        <f t="shared" si="92"/>
        <v>0</v>
      </c>
      <c r="BF222" t="b">
        <f t="shared" si="93"/>
        <v>0</v>
      </c>
      <c r="BG222">
        <f>IFERROR('Ashed teabags wet'!C220,"")</f>
        <v>145</v>
      </c>
      <c r="BH222">
        <f>IFERROR('Ashed teabags wet'!C637,"")</f>
        <v>208</v>
      </c>
      <c r="BI222" t="str">
        <f>'Ashed teabags wet'!AB220</f>
        <v/>
      </c>
      <c r="BJ222">
        <f>'Ashed teabags wet'!AC220</f>
        <v>144</v>
      </c>
      <c r="BK222" t="str">
        <f>'Ashed teabags wet'!AD637</f>
        <v/>
      </c>
      <c r="BL222">
        <f>'Ashed teabags wet'!AE637</f>
        <v>207</v>
      </c>
      <c r="BN222" t="str">
        <f t="shared" si="94"/>
        <v>G651</v>
      </c>
      <c r="BO222" t="b">
        <f t="shared" si="95"/>
        <v>1</v>
      </c>
    </row>
    <row r="223" spans="2:67" ht="12" customHeight="1">
      <c r="B223" t="str">
        <f>TBIDry!H295</f>
        <v>G39</v>
      </c>
      <c r="C223" t="str">
        <f>TBIDry!I295</f>
        <v>R194</v>
      </c>
      <c r="D223" t="b">
        <f t="shared" si="72"/>
        <v>0</v>
      </c>
      <c r="E223" t="b">
        <f t="shared" si="73"/>
        <v>0</v>
      </c>
      <c r="G223" t="str">
        <f>TBIWet!H295</f>
        <v>G782</v>
      </c>
      <c r="H223" t="str">
        <f>TBIWet!I295</f>
        <v>R250</v>
      </c>
      <c r="I223" t="b">
        <f t="shared" si="74"/>
        <v>0</v>
      </c>
      <c r="J223" t="b">
        <f t="shared" si="75"/>
        <v>0</v>
      </c>
      <c r="L223" t="str">
        <f>'Both teabags AfterWet'!A222</f>
        <v>G653</v>
      </c>
      <c r="M223" t="str">
        <f>'Both teabags AfterWet'!A640</f>
        <v>R434</v>
      </c>
      <c r="N223" t="b">
        <f t="shared" si="76"/>
        <v>0</v>
      </c>
      <c r="O223" t="b">
        <f t="shared" si="77"/>
        <v>0</v>
      </c>
      <c r="P223">
        <f>IFERROR('Both teabags AfterWet'!B222,"")</f>
        <v>145</v>
      </c>
      <c r="Q223" t="str">
        <f>'Both teabags AfterWet'!B640</f>
        <v>n.a</v>
      </c>
      <c r="S223" s="401" t="b">
        <f t="shared" si="78"/>
        <v>0</v>
      </c>
      <c r="T223" s="401" t="b">
        <f t="shared" si="79"/>
        <v>0</v>
      </c>
      <c r="V223" t="str">
        <f>'Both teabags AfterDry'!A222</f>
        <v>G43</v>
      </c>
      <c r="W223" t="str">
        <f>'Both teabags AfterDry'!A559</f>
        <v>R705</v>
      </c>
      <c r="X223" t="b">
        <f t="shared" si="80"/>
        <v>0</v>
      </c>
      <c r="Y223" t="b">
        <f t="shared" si="81"/>
        <v>0</v>
      </c>
      <c r="AA223" t="str">
        <f>'Green_rooibos initial weight'!A224</f>
        <v>G220</v>
      </c>
      <c r="AB223" t="str">
        <f>'Green_rooibos initial weight'!A1128</f>
        <v>R220</v>
      </c>
      <c r="AC223" t="b">
        <f t="shared" si="82"/>
        <v>0</v>
      </c>
      <c r="AD223" t="b">
        <f t="shared" si="83"/>
        <v>0</v>
      </c>
      <c r="AG223" t="str">
        <f>'WetLitterbags placem_collection'!K222</f>
        <v>G782</v>
      </c>
      <c r="AH223" t="str">
        <f>'WetLitterbags placem_collection'!M222</f>
        <v>R250</v>
      </c>
      <c r="AI223" t="b">
        <f t="shared" si="84"/>
        <v>0</v>
      </c>
      <c r="AJ223" t="b">
        <f t="shared" si="85"/>
        <v>0</v>
      </c>
      <c r="AK223">
        <f>'WetLitterbags placem_collection'!A222</f>
        <v>220</v>
      </c>
      <c r="AL223">
        <f>'WetLitterbags placem_collection'!A222</f>
        <v>220</v>
      </c>
      <c r="AN223">
        <f>IF('Dry_Litterbag Placem_Collection'!J222=0,"",'Dry_Litterbag Placem_Collection'!J222)</f>
        <v>39</v>
      </c>
      <c r="AO223">
        <f>IF('Dry_Litterbag Placem_Collection'!K222=0,"",'Dry_Litterbag Placem_Collection'!K222)</f>
        <v>194</v>
      </c>
      <c r="AP223" t="b">
        <f t="shared" si="86"/>
        <v>0</v>
      </c>
      <c r="AQ223" t="b">
        <f t="shared" si="87"/>
        <v>0</v>
      </c>
      <c r="AT223" t="str">
        <f>'Ashed teabags dry'!A221</f>
        <v>G430</v>
      </c>
      <c r="AU223" t="str">
        <f>'Ashed teabags dry'!A558</f>
        <v>R705</v>
      </c>
      <c r="AV223" t="b">
        <f t="shared" si="88"/>
        <v>0</v>
      </c>
      <c r="AW223" t="b">
        <f t="shared" si="89"/>
        <v>0</v>
      </c>
      <c r="AZ223" s="401" t="b">
        <f t="shared" si="90"/>
        <v>0</v>
      </c>
      <c r="BA223" s="401" t="b">
        <f t="shared" si="91"/>
        <v>0</v>
      </c>
      <c r="BC223" t="str">
        <f>'Ashed teabags wet'!A221</f>
        <v>G654</v>
      </c>
      <c r="BD223" t="str">
        <f>'Ashed teabags wet'!A638</f>
        <v>R45</v>
      </c>
      <c r="BE223" t="b">
        <f t="shared" si="92"/>
        <v>0</v>
      </c>
      <c r="BF223" t="b">
        <f t="shared" si="93"/>
        <v>0</v>
      </c>
      <c r="BG223">
        <f>IFERROR('Ashed teabags wet'!C221,"")</f>
        <v>156</v>
      </c>
      <c r="BH223">
        <f>IFERROR('Ashed teabags wet'!C638,"")</f>
        <v>22</v>
      </c>
      <c r="BI223">
        <f>'Ashed teabags wet'!AB221</f>
        <v>155</v>
      </c>
      <c r="BJ223" t="str">
        <f>'Ashed teabags wet'!AC221</f>
        <v/>
      </c>
      <c r="BK223" t="str">
        <f>'Ashed teabags wet'!AD638</f>
        <v/>
      </c>
      <c r="BL223">
        <f>'Ashed teabags wet'!AE638</f>
        <v>21</v>
      </c>
      <c r="BN223" t="str">
        <f t="shared" si="94"/>
        <v>G653</v>
      </c>
      <c r="BO223" t="b">
        <f t="shared" si="95"/>
        <v>1</v>
      </c>
    </row>
    <row r="224" spans="2:67" ht="12" customHeight="1">
      <c r="B224" t="str">
        <f>TBIDry!H296</f>
        <v>G377</v>
      </c>
      <c r="C224" t="str">
        <f>TBIDry!I296</f>
        <v>R204</v>
      </c>
      <c r="D224" t="b">
        <f t="shared" si="72"/>
        <v>0</v>
      </c>
      <c r="E224" t="b">
        <f t="shared" si="73"/>
        <v>0</v>
      </c>
      <c r="G224" t="str">
        <f>TBIWet!H296</f>
        <v>G752</v>
      </c>
      <c r="H224" t="str">
        <f>TBIWet!I296</f>
        <v>R133</v>
      </c>
      <c r="I224" t="b">
        <f t="shared" si="74"/>
        <v>0</v>
      </c>
      <c r="J224" t="b">
        <f t="shared" si="75"/>
        <v>0</v>
      </c>
      <c r="L224" t="str">
        <f>'Both teabags AfterWet'!A223</f>
        <v>G654</v>
      </c>
      <c r="M224" t="str">
        <f>'Both teabags AfterWet'!A641</f>
        <v>R435</v>
      </c>
      <c r="N224" t="b">
        <f t="shared" si="76"/>
        <v>0</v>
      </c>
      <c r="O224" t="b">
        <f t="shared" si="77"/>
        <v>0</v>
      </c>
      <c r="P224">
        <f>IFERROR('Both teabags AfterWet'!B223,"")</f>
        <v>156</v>
      </c>
      <c r="Q224">
        <f>'Both teabags AfterWet'!B641</f>
        <v>57</v>
      </c>
      <c r="S224" s="401" t="b">
        <f t="shared" si="78"/>
        <v>0</v>
      </c>
      <c r="T224" s="401" t="b">
        <f t="shared" si="79"/>
        <v>0</v>
      </c>
      <c r="V224" t="str">
        <f>'Both teabags AfterDry'!A223</f>
        <v>G430</v>
      </c>
      <c r="W224" t="str">
        <f>'Both teabags AfterDry'!A560</f>
        <v>R706</v>
      </c>
      <c r="X224" t="b">
        <f t="shared" si="80"/>
        <v>0</v>
      </c>
      <c r="Y224" t="b">
        <f t="shared" si="81"/>
        <v>0</v>
      </c>
      <c r="AA224" t="str">
        <f>'Green_rooibos initial weight'!A225</f>
        <v>G221</v>
      </c>
      <c r="AB224" t="str">
        <f>'Green_rooibos initial weight'!A1129</f>
        <v>R221</v>
      </c>
      <c r="AC224" t="b">
        <f t="shared" si="82"/>
        <v>0</v>
      </c>
      <c r="AD224" t="b">
        <f t="shared" si="83"/>
        <v>0</v>
      </c>
      <c r="AG224" t="str">
        <f>'WetLitterbags placem_collection'!O3</f>
        <v>G752</v>
      </c>
      <c r="AH224" t="str">
        <f>'WetLitterbags placem_collection'!Q3</f>
        <v>R133</v>
      </c>
      <c r="AI224" t="b">
        <f t="shared" si="84"/>
        <v>0</v>
      </c>
      <c r="AJ224" t="b">
        <f t="shared" si="85"/>
        <v>0</v>
      </c>
      <c r="AK224">
        <f>'WetLitterbags placem_collection'!A3</f>
        <v>1</v>
      </c>
      <c r="AL224">
        <f>'WetLitterbags placem_collection'!A3</f>
        <v>1</v>
      </c>
      <c r="AN224">
        <f>IF('Dry_Litterbag Placem_Collection'!L3=0,"",'Dry_Litterbag Placem_Collection'!L3)</f>
        <v>377</v>
      </c>
      <c r="AO224">
        <f>IF('Dry_Litterbag Placem_Collection'!M3=0,"",'Dry_Litterbag Placem_Collection'!M3)</f>
        <v>204</v>
      </c>
      <c r="AP224" t="b">
        <f t="shared" si="86"/>
        <v>0</v>
      </c>
      <c r="AQ224" t="b">
        <f t="shared" si="87"/>
        <v>0</v>
      </c>
      <c r="AT224" t="str">
        <f>'Ashed teabags dry'!A222</f>
        <v>G431</v>
      </c>
      <c r="AU224" t="str">
        <f>'Ashed teabags dry'!A559</f>
        <v>R706</v>
      </c>
      <c r="AV224" t="b">
        <f t="shared" si="88"/>
        <v>0</v>
      </c>
      <c r="AW224" t="b">
        <f t="shared" si="89"/>
        <v>0</v>
      </c>
      <c r="AZ224" s="401" t="b">
        <f t="shared" si="90"/>
        <v>0</v>
      </c>
      <c r="BA224" s="401" t="b">
        <f t="shared" si="91"/>
        <v>0</v>
      </c>
      <c r="BC224" t="str">
        <f>'Ashed teabags wet'!A222</f>
        <v>G655</v>
      </c>
      <c r="BD224" t="str">
        <f>'Ashed teabags wet'!A639</f>
        <v>R450</v>
      </c>
      <c r="BE224" t="b">
        <f t="shared" si="92"/>
        <v>0</v>
      </c>
      <c r="BF224" t="b">
        <f t="shared" si="93"/>
        <v>0</v>
      </c>
      <c r="BG224">
        <f>IFERROR('Ashed teabags wet'!C222,"")</f>
        <v>174</v>
      </c>
      <c r="BH224">
        <f>IFERROR('Ashed teabags wet'!C639,"")</f>
        <v>13</v>
      </c>
      <c r="BI224">
        <f>'Ashed teabags wet'!AB222</f>
        <v>173</v>
      </c>
      <c r="BJ224" t="str">
        <f>'Ashed teabags wet'!AC222</f>
        <v/>
      </c>
      <c r="BK224">
        <f>'Ashed teabags wet'!AD639</f>
        <v>12</v>
      </c>
      <c r="BL224" t="str">
        <f>'Ashed teabags wet'!AE639</f>
        <v/>
      </c>
      <c r="BN224" t="str">
        <f t="shared" si="94"/>
        <v>G654</v>
      </c>
      <c r="BO224" t="b">
        <f t="shared" si="95"/>
        <v>1</v>
      </c>
    </row>
    <row r="225" spans="2:67" ht="12" customHeight="1">
      <c r="B225" t="str">
        <f>TBIDry!H297</f>
        <v/>
      </c>
      <c r="C225" t="str">
        <f>TBIDry!I297</f>
        <v/>
      </c>
      <c r="D225" t="b">
        <f t="shared" si="72"/>
        <v>1</v>
      </c>
      <c r="E225" t="b">
        <f t="shared" si="73"/>
        <v>1</v>
      </c>
      <c r="G225" t="str">
        <f>TBIWet!H297</f>
        <v>G737</v>
      </c>
      <c r="H225" t="str">
        <f>TBIWet!I297</f>
        <v>R527</v>
      </c>
      <c r="I225" t="b">
        <f t="shared" si="74"/>
        <v>0</v>
      </c>
      <c r="J225" t="b">
        <f t="shared" si="75"/>
        <v>0</v>
      </c>
      <c r="L225" t="str">
        <f>'Both teabags AfterWet'!A224</f>
        <v>G655</v>
      </c>
      <c r="M225" t="str">
        <f>'Both teabags AfterWet'!A642</f>
        <v>R436</v>
      </c>
      <c r="N225" t="b">
        <f t="shared" si="76"/>
        <v>0</v>
      </c>
      <c r="O225" t="b">
        <f t="shared" si="77"/>
        <v>0</v>
      </c>
      <c r="P225">
        <f>IFERROR('Both teabags AfterWet'!B224,"")</f>
        <v>174</v>
      </c>
      <c r="Q225" t="str">
        <f>'Both teabags AfterWet'!B642</f>
        <v>n.a</v>
      </c>
      <c r="S225" s="401" t="b">
        <f t="shared" si="78"/>
        <v>0</v>
      </c>
      <c r="T225" s="401" t="b">
        <f t="shared" si="79"/>
        <v>0</v>
      </c>
      <c r="V225" t="str">
        <f>'Both teabags AfterDry'!A224</f>
        <v>G431</v>
      </c>
      <c r="W225" t="str">
        <f>'Both teabags AfterDry'!A561</f>
        <v>R707</v>
      </c>
      <c r="X225" t="b">
        <f t="shared" si="80"/>
        <v>0</v>
      </c>
      <c r="Y225" t="b">
        <f t="shared" si="81"/>
        <v>0</v>
      </c>
      <c r="AA225" t="str">
        <f>'Green_rooibos initial weight'!A226</f>
        <v>G222</v>
      </c>
      <c r="AB225" t="str">
        <f>'Green_rooibos initial weight'!A1130</f>
        <v>R222</v>
      </c>
      <c r="AC225" t="b">
        <f t="shared" si="82"/>
        <v>0</v>
      </c>
      <c r="AD225" t="b">
        <f t="shared" si="83"/>
        <v>0</v>
      </c>
      <c r="AG225" t="str">
        <f>'WetLitterbags placem_collection'!O4</f>
        <v>G737</v>
      </c>
      <c r="AH225" t="str">
        <f>'WetLitterbags placem_collection'!Q4</f>
        <v>R527</v>
      </c>
      <c r="AI225" t="b">
        <f t="shared" si="84"/>
        <v>0</v>
      </c>
      <c r="AJ225" t="b">
        <f t="shared" si="85"/>
        <v>0</v>
      </c>
      <c r="AK225">
        <f>'WetLitterbags placem_collection'!A4</f>
        <v>2</v>
      </c>
      <c r="AL225">
        <f>'WetLitterbags placem_collection'!A4</f>
        <v>2</v>
      </c>
      <c r="AN225" t="str">
        <f>IF('Dry_Litterbag Placem_Collection'!L4=0,"",'Dry_Litterbag Placem_Collection'!L4)</f>
        <v/>
      </c>
      <c r="AO225" t="str">
        <f>IF('Dry_Litterbag Placem_Collection'!M4=0,"",'Dry_Litterbag Placem_Collection'!M4)</f>
        <v/>
      </c>
      <c r="AP225" t="b">
        <f t="shared" si="86"/>
        <v>1</v>
      </c>
      <c r="AQ225" t="b">
        <f t="shared" si="87"/>
        <v>1</v>
      </c>
      <c r="AT225" t="str">
        <f>'Ashed teabags dry'!A223</f>
        <v>G434</v>
      </c>
      <c r="AU225" t="str">
        <f>'Ashed teabags dry'!A560</f>
        <v>R707</v>
      </c>
      <c r="AV225" t="b">
        <f t="shared" si="88"/>
        <v>0</v>
      </c>
      <c r="AW225" t="b">
        <f t="shared" si="89"/>
        <v>0</v>
      </c>
      <c r="AZ225" s="401" t="b">
        <f t="shared" si="90"/>
        <v>0</v>
      </c>
      <c r="BA225" s="401" t="b">
        <f t="shared" si="91"/>
        <v>0</v>
      </c>
      <c r="BC225" t="str">
        <f>'Ashed teabags wet'!A223</f>
        <v>G656</v>
      </c>
      <c r="BD225" t="str">
        <f>'Ashed teabags wet'!A640</f>
        <v>R451</v>
      </c>
      <c r="BE225" t="b">
        <f t="shared" si="92"/>
        <v>0</v>
      </c>
      <c r="BF225" t="b">
        <f t="shared" si="93"/>
        <v>0</v>
      </c>
      <c r="BG225">
        <f>IFERROR('Ashed teabags wet'!C223,"")</f>
        <v>171</v>
      </c>
      <c r="BH225">
        <f>IFERROR('Ashed teabags wet'!C640,"")</f>
        <v>171</v>
      </c>
      <c r="BI225">
        <f>'Ashed teabags wet'!AB223</f>
        <v>170</v>
      </c>
      <c r="BJ225" t="str">
        <f>'Ashed teabags wet'!AC223</f>
        <v/>
      </c>
      <c r="BK225" t="str">
        <f>'Ashed teabags wet'!AD640</f>
        <v/>
      </c>
      <c r="BL225">
        <f>'Ashed teabags wet'!AE640</f>
        <v>170</v>
      </c>
      <c r="BN225" t="str">
        <f t="shared" si="94"/>
        <v>G655</v>
      </c>
      <c r="BO225" t="b">
        <f t="shared" si="95"/>
        <v>1</v>
      </c>
    </row>
    <row r="226" spans="2:67" ht="12" customHeight="1">
      <c r="B226" t="str">
        <f>TBIDry!H298</f>
        <v>G44</v>
      </c>
      <c r="C226" t="str">
        <f>TBIDry!I298</f>
        <v>R283</v>
      </c>
      <c r="D226" t="b">
        <f t="shared" si="72"/>
        <v>0</v>
      </c>
      <c r="E226" t="b">
        <f t="shared" si="73"/>
        <v>0</v>
      </c>
      <c r="G226" t="str">
        <f>TBIWet!H298</f>
        <v>G661</v>
      </c>
      <c r="H226" t="str">
        <f>TBIWet!I298</f>
        <v>R498</v>
      </c>
      <c r="I226" t="b">
        <f t="shared" si="74"/>
        <v>0</v>
      </c>
      <c r="J226" t="b">
        <f t="shared" si="75"/>
        <v>0</v>
      </c>
      <c r="L226" t="str">
        <f>'Both teabags AfterWet'!A225</f>
        <v>G656</v>
      </c>
      <c r="M226" t="str">
        <f>'Both teabags AfterWet'!A643</f>
        <v>R437</v>
      </c>
      <c r="N226" t="b">
        <f t="shared" si="76"/>
        <v>0</v>
      </c>
      <c r="O226" t="b">
        <f t="shared" si="77"/>
        <v>0</v>
      </c>
      <c r="P226">
        <f>IFERROR('Both teabags AfterWet'!B225,"")</f>
        <v>171</v>
      </c>
      <c r="Q226">
        <f>'Both teabags AfterWet'!B643</f>
        <v>39</v>
      </c>
      <c r="S226" s="401" t="b">
        <f t="shared" si="78"/>
        <v>0</v>
      </c>
      <c r="T226" s="401" t="b">
        <f t="shared" si="79"/>
        <v>0</v>
      </c>
      <c r="V226" t="str">
        <f>'Both teabags AfterDry'!A225</f>
        <v>G434</v>
      </c>
      <c r="W226" t="str">
        <f>'Both teabags AfterDry'!A562</f>
        <v>R708</v>
      </c>
      <c r="X226" t="b">
        <f t="shared" si="80"/>
        <v>0</v>
      </c>
      <c r="Y226" t="b">
        <f t="shared" si="81"/>
        <v>0</v>
      </c>
      <c r="AA226" t="str">
        <f>'Green_rooibos initial weight'!A227</f>
        <v>G223</v>
      </c>
      <c r="AB226" t="str">
        <f>'Green_rooibos initial weight'!A1131</f>
        <v>R223</v>
      </c>
      <c r="AC226" t="b">
        <f t="shared" si="82"/>
        <v>0</v>
      </c>
      <c r="AD226" t="b">
        <f t="shared" si="83"/>
        <v>0</v>
      </c>
      <c r="AG226" t="str">
        <f>'WetLitterbags placem_collection'!O5</f>
        <v>G661</v>
      </c>
      <c r="AH226" t="str">
        <f>'WetLitterbags placem_collection'!Q5</f>
        <v>R498</v>
      </c>
      <c r="AI226" t="b">
        <f t="shared" si="84"/>
        <v>0</v>
      </c>
      <c r="AJ226" t="b">
        <f t="shared" si="85"/>
        <v>0</v>
      </c>
      <c r="AK226">
        <f>'WetLitterbags placem_collection'!A5</f>
        <v>3</v>
      </c>
      <c r="AL226">
        <f>'WetLitterbags placem_collection'!A5</f>
        <v>3</v>
      </c>
      <c r="AN226">
        <f>IF('Dry_Litterbag Placem_Collection'!L5=0,"",'Dry_Litterbag Placem_Collection'!L5)</f>
        <v>44</v>
      </c>
      <c r="AO226">
        <f>IF('Dry_Litterbag Placem_Collection'!M5=0,"",'Dry_Litterbag Placem_Collection'!M5)</f>
        <v>283</v>
      </c>
      <c r="AP226" t="b">
        <f t="shared" si="86"/>
        <v>0</v>
      </c>
      <c r="AQ226" t="b">
        <f t="shared" si="87"/>
        <v>0</v>
      </c>
      <c r="AT226" t="str">
        <f>'Ashed teabags dry'!A224</f>
        <v>G435</v>
      </c>
      <c r="AU226" t="str">
        <f>'Ashed teabags dry'!A561</f>
        <v>R708</v>
      </c>
      <c r="AV226" t="b">
        <f t="shared" si="88"/>
        <v>0</v>
      </c>
      <c r="AW226" t="b">
        <f t="shared" si="89"/>
        <v>0</v>
      </c>
      <c r="AZ226" s="401" t="b">
        <f t="shared" si="90"/>
        <v>0</v>
      </c>
      <c r="BA226" s="401" t="b">
        <f t="shared" si="91"/>
        <v>0</v>
      </c>
      <c r="BC226" t="str">
        <f>'Ashed teabags wet'!A224</f>
        <v>G657</v>
      </c>
      <c r="BD226" t="str">
        <f>'Ashed teabags wet'!A641</f>
        <v>R452</v>
      </c>
      <c r="BE226" t="b">
        <f t="shared" si="92"/>
        <v>0</v>
      </c>
      <c r="BF226" t="b">
        <f t="shared" si="93"/>
        <v>0</v>
      </c>
      <c r="BG226">
        <f>IFERROR('Ashed teabags wet'!C224,"")</f>
        <v>119</v>
      </c>
      <c r="BH226">
        <f>IFERROR('Ashed teabags wet'!C641,"")</f>
        <v>33</v>
      </c>
      <c r="BI226">
        <f>'Ashed teabags wet'!AB224</f>
        <v>118</v>
      </c>
      <c r="BJ226" t="str">
        <f>'Ashed teabags wet'!AC224</f>
        <v/>
      </c>
      <c r="BK226" t="str">
        <f>'Ashed teabags wet'!AD641</f>
        <v/>
      </c>
      <c r="BL226">
        <f>'Ashed teabags wet'!AE641</f>
        <v>32</v>
      </c>
      <c r="BN226" t="str">
        <f t="shared" si="94"/>
        <v>G656</v>
      </c>
      <c r="BO226" t="b">
        <f t="shared" si="95"/>
        <v>1</v>
      </c>
    </row>
    <row r="227" spans="2:67" ht="12" customHeight="1">
      <c r="B227" t="str">
        <f>TBIDry!H299</f>
        <v>G357</v>
      </c>
      <c r="C227" t="str">
        <f>TBIDry!I299</f>
        <v>R298</v>
      </c>
      <c r="D227" t="b">
        <f t="shared" si="72"/>
        <v>0</v>
      </c>
      <c r="E227" t="b">
        <f t="shared" si="73"/>
        <v>0</v>
      </c>
      <c r="G227" t="str">
        <f>TBIWet!H299</f>
        <v>G532</v>
      </c>
      <c r="H227" t="str">
        <f>TBIWet!I299</f>
        <v>R508</v>
      </c>
      <c r="I227" t="b">
        <f t="shared" si="74"/>
        <v>0</v>
      </c>
      <c r="J227" t="b">
        <f t="shared" si="75"/>
        <v>0</v>
      </c>
      <c r="L227" t="str">
        <f>'Both teabags AfterWet'!A226</f>
        <v>G657</v>
      </c>
      <c r="M227" t="str">
        <f>'Both teabags AfterWet'!A644</f>
        <v>R438</v>
      </c>
      <c r="N227" t="b">
        <f t="shared" si="76"/>
        <v>0</v>
      </c>
      <c r="O227" t="b">
        <f t="shared" si="77"/>
        <v>0</v>
      </c>
      <c r="P227">
        <f>IFERROR('Both teabags AfterWet'!B226,"")</f>
        <v>119</v>
      </c>
      <c r="Q227" t="str">
        <f>'Both teabags AfterWet'!B644</f>
        <v>n.a</v>
      </c>
      <c r="S227" s="401" t="b">
        <f t="shared" si="78"/>
        <v>0</v>
      </c>
      <c r="T227" s="401" t="b">
        <f t="shared" si="79"/>
        <v>0</v>
      </c>
      <c r="V227" t="str">
        <f>'Both teabags AfterDry'!A226</f>
        <v>G435</v>
      </c>
      <c r="W227" t="str">
        <f>'Both teabags AfterDry'!A563</f>
        <v>R709</v>
      </c>
      <c r="X227" t="b">
        <f t="shared" si="80"/>
        <v>0</v>
      </c>
      <c r="Y227" t="b">
        <f t="shared" si="81"/>
        <v>0</v>
      </c>
      <c r="AA227" t="str">
        <f>'Green_rooibos initial weight'!A228</f>
        <v>G224</v>
      </c>
      <c r="AB227" t="str">
        <f>'Green_rooibos initial weight'!A1132</f>
        <v>R224</v>
      </c>
      <c r="AC227" t="b">
        <f t="shared" si="82"/>
        <v>0</v>
      </c>
      <c r="AD227" t="b">
        <f t="shared" si="83"/>
        <v>0</v>
      </c>
      <c r="AG227" t="str">
        <f>'WetLitterbags placem_collection'!O6</f>
        <v>G532</v>
      </c>
      <c r="AH227" t="str">
        <f>'WetLitterbags placem_collection'!Q6</f>
        <v>R508</v>
      </c>
      <c r="AI227" t="b">
        <f t="shared" si="84"/>
        <v>0</v>
      </c>
      <c r="AJ227" t="b">
        <f t="shared" si="85"/>
        <v>0</v>
      </c>
      <c r="AK227">
        <f>'WetLitterbags placem_collection'!A6</f>
        <v>4</v>
      </c>
      <c r="AL227">
        <f>'WetLitterbags placem_collection'!A6</f>
        <v>4</v>
      </c>
      <c r="AN227">
        <f>IF('Dry_Litterbag Placem_Collection'!L6=0,"",'Dry_Litterbag Placem_Collection'!L6)</f>
        <v>357</v>
      </c>
      <c r="AO227">
        <f>IF('Dry_Litterbag Placem_Collection'!M6=0,"",'Dry_Litterbag Placem_Collection'!M6)</f>
        <v>298</v>
      </c>
      <c r="AP227" t="b">
        <f t="shared" si="86"/>
        <v>0</v>
      </c>
      <c r="AQ227" t="b">
        <f t="shared" si="87"/>
        <v>0</v>
      </c>
      <c r="AT227" t="str">
        <f>'Ashed teabags dry'!A225</f>
        <v>G44</v>
      </c>
      <c r="AU227" t="str">
        <f>'Ashed teabags dry'!A562</f>
        <v>R709</v>
      </c>
      <c r="AV227" t="b">
        <f t="shared" si="88"/>
        <v>0</v>
      </c>
      <c r="AW227" t="b">
        <f t="shared" si="89"/>
        <v>0</v>
      </c>
      <c r="AZ227" s="401" t="b">
        <f t="shared" si="90"/>
        <v>0</v>
      </c>
      <c r="BA227" s="401" t="b">
        <f t="shared" si="91"/>
        <v>0</v>
      </c>
      <c r="BC227" t="str">
        <f>'Ashed teabags wet'!A225</f>
        <v>G658</v>
      </c>
      <c r="BD227" t="str">
        <f>'Ashed teabags wet'!A642</f>
        <v>R456</v>
      </c>
      <c r="BE227" t="b">
        <f t="shared" si="92"/>
        <v>0</v>
      </c>
      <c r="BF227" t="b">
        <f t="shared" si="93"/>
        <v>0</v>
      </c>
      <c r="BG227">
        <f>IFERROR('Ashed teabags wet'!C225,"")</f>
        <v>150</v>
      </c>
      <c r="BH227">
        <f>IFERROR('Ashed teabags wet'!C642,"")</f>
        <v>143</v>
      </c>
      <c r="BI227">
        <f>'Ashed teabags wet'!AB225</f>
        <v>149</v>
      </c>
      <c r="BJ227" t="str">
        <f>'Ashed teabags wet'!AC225</f>
        <v/>
      </c>
      <c r="BK227">
        <f>'Ashed teabags wet'!AD642</f>
        <v>142</v>
      </c>
      <c r="BL227" t="str">
        <f>'Ashed teabags wet'!AE642</f>
        <v/>
      </c>
      <c r="BN227" t="str">
        <f t="shared" si="94"/>
        <v>G657</v>
      </c>
      <c r="BO227" t="b">
        <f t="shared" si="95"/>
        <v>1</v>
      </c>
    </row>
    <row r="228" spans="2:67" ht="12" customHeight="1">
      <c r="B228" t="str">
        <f>TBIDry!H300</f>
        <v>G734</v>
      </c>
      <c r="C228" t="str">
        <f>TBIDry!I300</f>
        <v>R226</v>
      </c>
      <c r="D228" t="b">
        <f t="shared" si="72"/>
        <v>0</v>
      </c>
      <c r="E228" t="b">
        <f t="shared" si="73"/>
        <v>0</v>
      </c>
      <c r="G228" t="str">
        <f>TBIWet!H300</f>
        <v>G577</v>
      </c>
      <c r="H228" t="str">
        <f>TBIWet!I300</f>
        <v>R38</v>
      </c>
      <c r="I228" t="b">
        <f t="shared" si="74"/>
        <v>0</v>
      </c>
      <c r="J228" t="b">
        <f t="shared" si="75"/>
        <v>0</v>
      </c>
      <c r="L228" t="str">
        <f>'Both teabags AfterWet'!A227</f>
        <v>G658</v>
      </c>
      <c r="M228" t="str">
        <f>'Both teabags AfterWet'!A645</f>
        <v>R44</v>
      </c>
      <c r="N228" t="b">
        <f t="shared" si="76"/>
        <v>0</v>
      </c>
      <c r="O228" t="b">
        <f t="shared" si="77"/>
        <v>0</v>
      </c>
      <c r="P228">
        <f>IFERROR('Both teabags AfterWet'!B227,"")</f>
        <v>150</v>
      </c>
      <c r="Q228">
        <f>'Both teabags AfterWet'!B645</f>
        <v>67</v>
      </c>
      <c r="S228" s="401" t="b">
        <f t="shared" si="78"/>
        <v>0</v>
      </c>
      <c r="T228" s="401" t="b">
        <f t="shared" si="79"/>
        <v>0</v>
      </c>
      <c r="V228" t="str">
        <f>'Both teabags AfterDry'!A227</f>
        <v>G44</v>
      </c>
      <c r="W228" t="str">
        <f>'Both teabags AfterDry'!A564</f>
        <v>R710</v>
      </c>
      <c r="X228" t="b">
        <f t="shared" si="80"/>
        <v>0</v>
      </c>
      <c r="Y228" t="b">
        <f t="shared" si="81"/>
        <v>0</v>
      </c>
      <c r="AA228" t="str">
        <f>'Green_rooibos initial weight'!A229</f>
        <v>G225</v>
      </c>
      <c r="AB228" t="str">
        <f>'Green_rooibos initial weight'!A1133</f>
        <v>R225</v>
      </c>
      <c r="AC228" t="b">
        <f t="shared" si="82"/>
        <v>0</v>
      </c>
      <c r="AD228" t="b">
        <f t="shared" si="83"/>
        <v>0</v>
      </c>
      <c r="AG228" t="str">
        <f>'WetLitterbags placem_collection'!O7</f>
        <v>G577</v>
      </c>
      <c r="AH228" t="str">
        <f>'WetLitterbags placem_collection'!Q7</f>
        <v>R38</v>
      </c>
      <c r="AI228" t="b">
        <f t="shared" si="84"/>
        <v>0</v>
      </c>
      <c r="AJ228" t="b">
        <f t="shared" si="85"/>
        <v>0</v>
      </c>
      <c r="AK228">
        <f>'WetLitterbags placem_collection'!A7</f>
        <v>5</v>
      </c>
      <c r="AL228">
        <f>'WetLitterbags placem_collection'!A7</f>
        <v>5</v>
      </c>
      <c r="AN228">
        <f>IF('Dry_Litterbag Placem_Collection'!L7=0,"",'Dry_Litterbag Placem_Collection'!L7)</f>
        <v>734</v>
      </c>
      <c r="AO228">
        <f>IF('Dry_Litterbag Placem_Collection'!M7=0,"",'Dry_Litterbag Placem_Collection'!M7)</f>
        <v>226</v>
      </c>
      <c r="AP228" t="b">
        <f t="shared" si="86"/>
        <v>0</v>
      </c>
      <c r="AQ228" t="b">
        <f t="shared" si="87"/>
        <v>0</v>
      </c>
      <c r="AT228" t="str">
        <f>'Ashed teabags dry'!A226</f>
        <v>G444</v>
      </c>
      <c r="AU228" t="str">
        <f>'Ashed teabags dry'!A563</f>
        <v>R710</v>
      </c>
      <c r="AV228" t="b">
        <f t="shared" si="88"/>
        <v>0</v>
      </c>
      <c r="AW228" t="b">
        <f t="shared" si="89"/>
        <v>0</v>
      </c>
      <c r="AZ228" s="401" t="b">
        <f t="shared" si="90"/>
        <v>0</v>
      </c>
      <c r="BA228" s="401" t="b">
        <f t="shared" si="91"/>
        <v>0</v>
      </c>
      <c r="BC228" t="str">
        <f>'Ashed teabags wet'!A226</f>
        <v>G660</v>
      </c>
      <c r="BD228" t="str">
        <f>'Ashed teabags wet'!A643</f>
        <v>R457</v>
      </c>
      <c r="BE228" t="b">
        <f t="shared" si="92"/>
        <v>0</v>
      </c>
      <c r="BF228" t="b">
        <f t="shared" si="93"/>
        <v>0</v>
      </c>
      <c r="BG228">
        <f>IFERROR('Ashed teabags wet'!C226,"")</f>
        <v>67</v>
      </c>
      <c r="BH228">
        <f>IFERROR('Ashed teabags wet'!C643,"")</f>
        <v>216</v>
      </c>
      <c r="BI228" t="str">
        <f>'Ashed teabags wet'!AB226</f>
        <v/>
      </c>
      <c r="BJ228">
        <f>'Ashed teabags wet'!AC226</f>
        <v>66</v>
      </c>
      <c r="BK228" t="str">
        <f>'Ashed teabags wet'!AD643</f>
        <v/>
      </c>
      <c r="BL228">
        <f>'Ashed teabags wet'!AE643</f>
        <v>215</v>
      </c>
      <c r="BN228" t="str">
        <f t="shared" si="94"/>
        <v>G658</v>
      </c>
      <c r="BO228" t="b">
        <f t="shared" si="95"/>
        <v>1</v>
      </c>
    </row>
    <row r="229" spans="2:67" ht="12" customHeight="1">
      <c r="B229" t="str">
        <f>TBIDry!H301</f>
        <v>G164</v>
      </c>
      <c r="C229" t="str">
        <f>TBIDry!I301</f>
        <v>R286</v>
      </c>
      <c r="D229" t="b">
        <f t="shared" si="72"/>
        <v>0</v>
      </c>
      <c r="E229" t="b">
        <f t="shared" si="73"/>
        <v>0</v>
      </c>
      <c r="G229" t="str">
        <f>TBIWet!H301</f>
        <v>G634</v>
      </c>
      <c r="H229" t="str">
        <f>TBIWet!I301</f>
        <v>R59</v>
      </c>
      <c r="I229" t="b">
        <f t="shared" si="74"/>
        <v>0</v>
      </c>
      <c r="J229" t="b">
        <f t="shared" si="75"/>
        <v>0</v>
      </c>
      <c r="L229" t="str">
        <f>'Both teabags AfterWet'!A228</f>
        <v>G660</v>
      </c>
      <c r="M229" t="str">
        <f>'Both teabags AfterWet'!A646</f>
        <v>R440</v>
      </c>
      <c r="N229" t="b">
        <f t="shared" si="76"/>
        <v>0</v>
      </c>
      <c r="O229" t="b">
        <f t="shared" si="77"/>
        <v>0</v>
      </c>
      <c r="P229">
        <f>IFERROR('Both teabags AfterWet'!B228,"")</f>
        <v>67</v>
      </c>
      <c r="Q229" t="str">
        <f>'Both teabags AfterWet'!B646</f>
        <v>n.a</v>
      </c>
      <c r="S229" s="401" t="b">
        <f t="shared" si="78"/>
        <v>0</v>
      </c>
      <c r="T229" s="401" t="b">
        <f t="shared" si="79"/>
        <v>0</v>
      </c>
      <c r="V229" t="str">
        <f>'Both teabags AfterDry'!A228</f>
        <v>G444</v>
      </c>
      <c r="W229" t="str">
        <f>'Both teabags AfterDry'!A565</f>
        <v>R711</v>
      </c>
      <c r="X229" t="b">
        <f t="shared" si="80"/>
        <v>0</v>
      </c>
      <c r="Y229" t="b">
        <f t="shared" si="81"/>
        <v>0</v>
      </c>
      <c r="AA229" t="str">
        <f>'Green_rooibos initial weight'!A230</f>
        <v>G226</v>
      </c>
      <c r="AB229" t="str">
        <f>'Green_rooibos initial weight'!A1134</f>
        <v>R226</v>
      </c>
      <c r="AC229" t="b">
        <f t="shared" si="82"/>
        <v>0</v>
      </c>
      <c r="AD229" t="b">
        <f t="shared" si="83"/>
        <v>0</v>
      </c>
      <c r="AG229" t="str">
        <f>'WetLitterbags placem_collection'!O8</f>
        <v>G634</v>
      </c>
      <c r="AH229" t="str">
        <f>'WetLitterbags placem_collection'!Q8</f>
        <v>R59</v>
      </c>
      <c r="AI229" t="b">
        <f t="shared" si="84"/>
        <v>0</v>
      </c>
      <c r="AJ229" t="b">
        <f t="shared" si="85"/>
        <v>0</v>
      </c>
      <c r="AK229">
        <f>'WetLitterbags placem_collection'!A8</f>
        <v>6</v>
      </c>
      <c r="AL229">
        <f>'WetLitterbags placem_collection'!A8</f>
        <v>6</v>
      </c>
      <c r="AN229">
        <f>IF('Dry_Litterbag Placem_Collection'!L8=0,"",'Dry_Litterbag Placem_Collection'!L8)</f>
        <v>164</v>
      </c>
      <c r="AO229">
        <f>IF('Dry_Litterbag Placem_Collection'!M8=0,"",'Dry_Litterbag Placem_Collection'!M8)</f>
        <v>286</v>
      </c>
      <c r="AP229" t="b">
        <f t="shared" si="86"/>
        <v>0</v>
      </c>
      <c r="AQ229" t="b">
        <f t="shared" si="87"/>
        <v>0</v>
      </c>
      <c r="AT229" t="str">
        <f>'Ashed teabags dry'!A227</f>
        <v>G45</v>
      </c>
      <c r="AU229" t="str">
        <f>'Ashed teabags dry'!A564</f>
        <v>R711</v>
      </c>
      <c r="AV229" t="b">
        <f t="shared" si="88"/>
        <v>0</v>
      </c>
      <c r="AW229" t="b">
        <f t="shared" si="89"/>
        <v>0</v>
      </c>
      <c r="AZ229" s="401" t="b">
        <f t="shared" si="90"/>
        <v>0</v>
      </c>
      <c r="BA229" s="401" t="b">
        <f t="shared" si="91"/>
        <v>0</v>
      </c>
      <c r="BC229" t="str">
        <f>'Ashed teabags wet'!A227</f>
        <v>G665</v>
      </c>
      <c r="BD229" t="str">
        <f>'Ashed teabags wet'!A644</f>
        <v>R458</v>
      </c>
      <c r="BE229" t="b">
        <f t="shared" si="92"/>
        <v>0</v>
      </c>
      <c r="BF229" t="b">
        <f t="shared" si="93"/>
        <v>0</v>
      </c>
      <c r="BG229">
        <f>IFERROR('Ashed teabags wet'!C227,"")</f>
        <v>7</v>
      </c>
      <c r="BH229">
        <f>IFERROR('Ashed teabags wet'!C644,"")</f>
        <v>175</v>
      </c>
      <c r="BI229" t="str">
        <f>'Ashed teabags wet'!AB227</f>
        <v/>
      </c>
      <c r="BJ229">
        <f>'Ashed teabags wet'!AC227</f>
        <v>6</v>
      </c>
      <c r="BK229">
        <f>'Ashed teabags wet'!AD644</f>
        <v>174</v>
      </c>
      <c r="BL229" t="str">
        <f>'Ashed teabags wet'!AE644</f>
        <v/>
      </c>
      <c r="BN229" t="str">
        <f t="shared" si="94"/>
        <v>G660</v>
      </c>
      <c r="BO229" t="b">
        <f t="shared" si="95"/>
        <v>1</v>
      </c>
    </row>
    <row r="230" spans="2:67" ht="12" customHeight="1">
      <c r="B230" t="str">
        <f>TBIDry!H302</f>
        <v>G776</v>
      </c>
      <c r="C230" t="str">
        <f>TBIDry!I302</f>
        <v>R210</v>
      </c>
      <c r="D230" t="b">
        <f t="shared" si="72"/>
        <v>0</v>
      </c>
      <c r="E230" t="b">
        <f t="shared" si="73"/>
        <v>0</v>
      </c>
      <c r="G230" t="str">
        <f>TBIWet!H302</f>
        <v>G665</v>
      </c>
      <c r="H230" t="str">
        <f>TBIWet!I302</f>
        <v>R398</v>
      </c>
      <c r="I230" t="b">
        <f t="shared" si="74"/>
        <v>0</v>
      </c>
      <c r="J230" t="b">
        <f t="shared" si="75"/>
        <v>0</v>
      </c>
      <c r="L230" t="str">
        <f>'Both teabags AfterWet'!A229</f>
        <v>G665</v>
      </c>
      <c r="M230" t="str">
        <f>'Both teabags AfterWet'!A647</f>
        <v>R442</v>
      </c>
      <c r="N230" t="b">
        <f t="shared" si="76"/>
        <v>0</v>
      </c>
      <c r="O230" t="b">
        <f t="shared" si="77"/>
        <v>0</v>
      </c>
      <c r="P230">
        <f>IFERROR('Both teabags AfterWet'!B229,"")</f>
        <v>7</v>
      </c>
      <c r="Q230" t="str">
        <f>'Both teabags AfterWet'!B647</f>
        <v>n.a</v>
      </c>
      <c r="S230" s="401" t="b">
        <f t="shared" si="78"/>
        <v>0</v>
      </c>
      <c r="T230" s="401" t="b">
        <f t="shared" si="79"/>
        <v>0</v>
      </c>
      <c r="V230" t="str">
        <f>'Both teabags AfterDry'!A229</f>
        <v>G45</v>
      </c>
      <c r="W230" t="str">
        <f>'Both teabags AfterDry'!A566</f>
        <v>R712</v>
      </c>
      <c r="X230" t="b">
        <f t="shared" si="80"/>
        <v>0</v>
      </c>
      <c r="Y230" t="b">
        <f t="shared" si="81"/>
        <v>0</v>
      </c>
      <c r="AA230" t="str">
        <f>'Green_rooibos initial weight'!A231</f>
        <v>G227</v>
      </c>
      <c r="AB230" t="str">
        <f>'Green_rooibos initial weight'!A1135</f>
        <v>R227</v>
      </c>
      <c r="AC230" t="b">
        <f t="shared" si="82"/>
        <v>0</v>
      </c>
      <c r="AD230" t="b">
        <f t="shared" si="83"/>
        <v>0</v>
      </c>
      <c r="AG230" t="str">
        <f>'WetLitterbags placem_collection'!O9</f>
        <v>G665</v>
      </c>
      <c r="AH230" t="str">
        <f>'WetLitterbags placem_collection'!Q9</f>
        <v>R398</v>
      </c>
      <c r="AI230" t="b">
        <f t="shared" si="84"/>
        <v>0</v>
      </c>
      <c r="AJ230" t="b">
        <f t="shared" si="85"/>
        <v>0</v>
      </c>
      <c r="AK230">
        <f>'WetLitterbags placem_collection'!A9</f>
        <v>7</v>
      </c>
      <c r="AL230">
        <f>'WetLitterbags placem_collection'!A9</f>
        <v>7</v>
      </c>
      <c r="AN230">
        <f>IF('Dry_Litterbag Placem_Collection'!L9=0,"",'Dry_Litterbag Placem_Collection'!L9)</f>
        <v>776</v>
      </c>
      <c r="AO230">
        <f>IF('Dry_Litterbag Placem_Collection'!M9=0,"",'Dry_Litterbag Placem_Collection'!M9)</f>
        <v>210</v>
      </c>
      <c r="AP230" t="b">
        <f t="shared" si="86"/>
        <v>0</v>
      </c>
      <c r="AQ230" t="b">
        <f t="shared" si="87"/>
        <v>0</v>
      </c>
      <c r="AT230" t="str">
        <f>'Ashed teabags dry'!A228</f>
        <v>G455</v>
      </c>
      <c r="AU230" t="str">
        <f>'Ashed teabags dry'!A565</f>
        <v>R712</v>
      </c>
      <c r="AV230" t="b">
        <f t="shared" si="88"/>
        <v>0</v>
      </c>
      <c r="AW230" t="b">
        <f t="shared" si="89"/>
        <v>0</v>
      </c>
      <c r="AZ230" s="401" t="b">
        <f t="shared" si="90"/>
        <v>0</v>
      </c>
      <c r="BA230" s="401" t="b">
        <f t="shared" si="91"/>
        <v>0</v>
      </c>
      <c r="BC230" t="str">
        <f>'Ashed teabags wet'!A228</f>
        <v>G666</v>
      </c>
      <c r="BD230" t="str">
        <f>'Ashed teabags wet'!A645</f>
        <v>R459</v>
      </c>
      <c r="BE230" t="b">
        <f t="shared" si="92"/>
        <v>0</v>
      </c>
      <c r="BF230" t="b">
        <f t="shared" si="93"/>
        <v>0</v>
      </c>
      <c r="BG230">
        <f>IFERROR('Ashed teabags wet'!C228,"")</f>
        <v>121</v>
      </c>
      <c r="BH230">
        <f>IFERROR('Ashed teabags wet'!C645,"")</f>
        <v>116</v>
      </c>
      <c r="BI230">
        <f>'Ashed teabags wet'!AB228</f>
        <v>120</v>
      </c>
      <c r="BJ230" t="str">
        <f>'Ashed teabags wet'!AC228</f>
        <v/>
      </c>
      <c r="BK230">
        <f>'Ashed teabags wet'!AD645</f>
        <v>115</v>
      </c>
      <c r="BL230" t="str">
        <f>'Ashed teabags wet'!AE645</f>
        <v/>
      </c>
      <c r="BN230" t="str">
        <f t="shared" si="94"/>
        <v>G665</v>
      </c>
      <c r="BO230" t="b">
        <f t="shared" si="95"/>
        <v>1</v>
      </c>
    </row>
    <row r="231" spans="2:67" ht="12" customHeight="1">
      <c r="B231" t="str">
        <f>TBIDry!H303</f>
        <v>G23</v>
      </c>
      <c r="C231" t="str">
        <f>TBIDry!I303</f>
        <v>R213</v>
      </c>
      <c r="D231" t="b">
        <f t="shared" si="72"/>
        <v>0</v>
      </c>
      <c r="E231" t="b">
        <f t="shared" si="73"/>
        <v>0</v>
      </c>
      <c r="G231" t="str">
        <f>TBIWet!H303</f>
        <v>G701</v>
      </c>
      <c r="H231" t="str">
        <f>TBIWet!I303</f>
        <v>R512</v>
      </c>
      <c r="I231" t="b">
        <f t="shared" si="74"/>
        <v>0</v>
      </c>
      <c r="J231" t="b">
        <f t="shared" si="75"/>
        <v>0</v>
      </c>
      <c r="L231" t="str">
        <f>'Both teabags AfterWet'!A230</f>
        <v>G666</v>
      </c>
      <c r="M231" t="str">
        <f>'Both teabags AfterWet'!A648</f>
        <v>R444</v>
      </c>
      <c r="N231" t="b">
        <f t="shared" si="76"/>
        <v>0</v>
      </c>
      <c r="O231" t="b">
        <f t="shared" si="77"/>
        <v>0</v>
      </c>
      <c r="P231">
        <f>IFERROR('Both teabags AfterWet'!B230,"")</f>
        <v>121</v>
      </c>
      <c r="Q231" t="str">
        <f>'Both teabags AfterWet'!B648</f>
        <v>n.a</v>
      </c>
      <c r="S231" s="401" t="b">
        <f t="shared" si="78"/>
        <v>0</v>
      </c>
      <c r="T231" s="401" t="b">
        <f t="shared" si="79"/>
        <v>0</v>
      </c>
      <c r="V231" t="str">
        <f>'Both teabags AfterDry'!A230</f>
        <v>G455</v>
      </c>
      <c r="W231" t="str">
        <f>'Both teabags AfterDry'!A567</f>
        <v>R713</v>
      </c>
      <c r="X231" t="b">
        <f t="shared" si="80"/>
        <v>0</v>
      </c>
      <c r="Y231" t="b">
        <f t="shared" si="81"/>
        <v>0</v>
      </c>
      <c r="AA231" t="str">
        <f>'Green_rooibos initial weight'!A232</f>
        <v>G228</v>
      </c>
      <c r="AB231" t="str">
        <f>'Green_rooibos initial weight'!A1136</f>
        <v>R228</v>
      </c>
      <c r="AC231" t="b">
        <f t="shared" si="82"/>
        <v>0</v>
      </c>
      <c r="AD231" t="b">
        <f t="shared" si="83"/>
        <v>0</v>
      </c>
      <c r="AG231" t="str">
        <f>'WetLitterbags placem_collection'!O10</f>
        <v>G701</v>
      </c>
      <c r="AH231" t="str">
        <f>'WetLitterbags placem_collection'!Q10</f>
        <v>R512</v>
      </c>
      <c r="AI231" t="b">
        <f t="shared" si="84"/>
        <v>0</v>
      </c>
      <c r="AJ231" t="b">
        <f t="shared" si="85"/>
        <v>0</v>
      </c>
      <c r="AK231">
        <f>'WetLitterbags placem_collection'!A10</f>
        <v>8</v>
      </c>
      <c r="AL231">
        <f>'WetLitterbags placem_collection'!A10</f>
        <v>8</v>
      </c>
      <c r="AN231">
        <f>IF('Dry_Litterbag Placem_Collection'!L10=0,"",'Dry_Litterbag Placem_Collection'!L10)</f>
        <v>23</v>
      </c>
      <c r="AO231">
        <f>IF('Dry_Litterbag Placem_Collection'!M10=0,"",'Dry_Litterbag Placem_Collection'!M10)</f>
        <v>213</v>
      </c>
      <c r="AP231" t="b">
        <f t="shared" si="86"/>
        <v>0</v>
      </c>
      <c r="AQ231" t="b">
        <f t="shared" si="87"/>
        <v>0</v>
      </c>
      <c r="AT231" t="str">
        <f>'Ashed teabags dry'!A229</f>
        <v>G46</v>
      </c>
      <c r="AU231" t="str">
        <f>'Ashed teabags dry'!A566</f>
        <v>R713</v>
      </c>
      <c r="AV231" t="b">
        <f t="shared" si="88"/>
        <v>0</v>
      </c>
      <c r="AW231" t="b">
        <f t="shared" si="89"/>
        <v>0</v>
      </c>
      <c r="AZ231" s="401" t="b">
        <f t="shared" si="90"/>
        <v>0</v>
      </c>
      <c r="BA231" s="401" t="b">
        <f t="shared" si="91"/>
        <v>0</v>
      </c>
      <c r="BC231" t="str">
        <f>'Ashed teabags wet'!A229</f>
        <v>G667</v>
      </c>
      <c r="BD231" t="str">
        <f>'Ashed teabags wet'!A646</f>
        <v>R461</v>
      </c>
      <c r="BE231" t="b">
        <f t="shared" si="92"/>
        <v>0</v>
      </c>
      <c r="BF231" t="b">
        <f t="shared" si="93"/>
        <v>0</v>
      </c>
      <c r="BG231">
        <f>IFERROR('Ashed teabags wet'!C229,"")</f>
        <v>156</v>
      </c>
      <c r="BH231">
        <f>IFERROR('Ashed teabags wet'!C646,"")</f>
        <v>160</v>
      </c>
      <c r="BI231" t="str">
        <f>'Ashed teabags wet'!AB229</f>
        <v/>
      </c>
      <c r="BJ231">
        <f>'Ashed teabags wet'!AC229</f>
        <v>155</v>
      </c>
      <c r="BK231" t="str">
        <f>'Ashed teabags wet'!AD646</f>
        <v/>
      </c>
      <c r="BL231">
        <f>'Ashed teabags wet'!AE646</f>
        <v>159</v>
      </c>
      <c r="BN231" t="str">
        <f t="shared" si="94"/>
        <v>G666</v>
      </c>
      <c r="BO231" t="b">
        <f t="shared" si="95"/>
        <v>1</v>
      </c>
    </row>
    <row r="232" spans="2:67" ht="12" customHeight="1">
      <c r="B232" t="str">
        <f>TBIDry!H304</f>
        <v>G570</v>
      </c>
      <c r="C232" t="str">
        <f>TBIDry!I304</f>
        <v>R704</v>
      </c>
      <c r="D232" t="b">
        <f t="shared" si="72"/>
        <v>0</v>
      </c>
      <c r="E232" t="b">
        <f t="shared" si="73"/>
        <v>0</v>
      </c>
      <c r="G232" t="str">
        <f>TBIWet!H304</f>
        <v>G476</v>
      </c>
      <c r="H232" t="str">
        <f>TBIWet!I304</f>
        <v>R101</v>
      </c>
      <c r="I232" t="b">
        <f t="shared" si="74"/>
        <v>0</v>
      </c>
      <c r="J232" t="b">
        <f t="shared" si="75"/>
        <v>0</v>
      </c>
      <c r="L232" t="str">
        <f>'Both teabags AfterWet'!A231</f>
        <v>G667</v>
      </c>
      <c r="M232" t="str">
        <f>'Both teabags AfterWet'!A649</f>
        <v>R445</v>
      </c>
      <c r="N232" t="b">
        <f t="shared" si="76"/>
        <v>0</v>
      </c>
      <c r="O232" t="b">
        <f t="shared" si="77"/>
        <v>0</v>
      </c>
      <c r="P232">
        <f>IFERROR('Both teabags AfterWet'!B231,"")</f>
        <v>156</v>
      </c>
      <c r="Q232">
        <f>'Both teabags AfterWet'!B649</f>
        <v>92</v>
      </c>
      <c r="S232" s="401" t="b">
        <f t="shared" si="78"/>
        <v>0</v>
      </c>
      <c r="T232" s="401" t="b">
        <f t="shared" si="79"/>
        <v>0</v>
      </c>
      <c r="V232" t="str">
        <f>'Both teabags AfterDry'!A231</f>
        <v>G46</v>
      </c>
      <c r="W232" t="str">
        <f>'Both teabags AfterDry'!A568</f>
        <v>R714</v>
      </c>
      <c r="X232" t="b">
        <f t="shared" si="80"/>
        <v>0</v>
      </c>
      <c r="Y232" t="b">
        <f t="shared" si="81"/>
        <v>0</v>
      </c>
      <c r="AA232" t="str">
        <f>'Green_rooibos initial weight'!A233</f>
        <v>G229</v>
      </c>
      <c r="AB232" t="str">
        <f>'Green_rooibos initial weight'!A1137</f>
        <v>R229</v>
      </c>
      <c r="AC232" t="b">
        <f t="shared" si="82"/>
        <v>0</v>
      </c>
      <c r="AD232" t="b">
        <f t="shared" si="83"/>
        <v>0</v>
      </c>
      <c r="AG232" t="str">
        <f>'WetLitterbags placem_collection'!O11</f>
        <v>G476</v>
      </c>
      <c r="AH232" t="str">
        <f>'WetLitterbags placem_collection'!Q11</f>
        <v>R101</v>
      </c>
      <c r="AI232" t="b">
        <f t="shared" si="84"/>
        <v>0</v>
      </c>
      <c r="AJ232" t="b">
        <f t="shared" si="85"/>
        <v>0</v>
      </c>
      <c r="AK232">
        <f>'WetLitterbags placem_collection'!A11</f>
        <v>9</v>
      </c>
      <c r="AL232">
        <f>'WetLitterbags placem_collection'!A11</f>
        <v>9</v>
      </c>
      <c r="AN232">
        <f>IF('Dry_Litterbag Placem_Collection'!L11=0,"",'Dry_Litterbag Placem_Collection'!L11)</f>
        <v>570</v>
      </c>
      <c r="AO232">
        <f>IF('Dry_Litterbag Placem_Collection'!M11=0,"",'Dry_Litterbag Placem_Collection'!M11)</f>
        <v>704</v>
      </c>
      <c r="AP232" t="b">
        <f t="shared" si="86"/>
        <v>0</v>
      </c>
      <c r="AQ232" t="b">
        <f t="shared" si="87"/>
        <v>0</v>
      </c>
      <c r="AT232" t="str">
        <f>'Ashed teabags dry'!A230</f>
        <v>G464</v>
      </c>
      <c r="AU232" t="str">
        <f>'Ashed teabags dry'!A567</f>
        <v>R714</v>
      </c>
      <c r="AV232" t="b">
        <f t="shared" si="88"/>
        <v>0</v>
      </c>
      <c r="AW232" t="b">
        <f t="shared" si="89"/>
        <v>0</v>
      </c>
      <c r="AZ232" s="401" t="b">
        <f t="shared" si="90"/>
        <v>0</v>
      </c>
      <c r="BA232" s="401" t="b">
        <f t="shared" si="91"/>
        <v>0</v>
      </c>
      <c r="BC232" t="str">
        <f>'Ashed teabags wet'!A230</f>
        <v>G668</v>
      </c>
      <c r="BD232" t="str">
        <f>'Ashed teabags wet'!A647</f>
        <v>R462</v>
      </c>
      <c r="BE232" t="b">
        <f t="shared" si="92"/>
        <v>0</v>
      </c>
      <c r="BF232" t="b">
        <f t="shared" si="93"/>
        <v>0</v>
      </c>
      <c r="BG232">
        <f>IFERROR('Ashed teabags wet'!C230,"")</f>
        <v>205</v>
      </c>
      <c r="BH232">
        <f>IFERROR('Ashed teabags wet'!C647,"")</f>
        <v>110</v>
      </c>
      <c r="BI232" t="str">
        <f>'Ashed teabags wet'!AB230</f>
        <v/>
      </c>
      <c r="BJ232">
        <f>'Ashed teabags wet'!AC230</f>
        <v>204</v>
      </c>
      <c r="BK232">
        <f>'Ashed teabags wet'!AD647</f>
        <v>109</v>
      </c>
      <c r="BL232" t="str">
        <f>'Ashed teabags wet'!AE647</f>
        <v/>
      </c>
      <c r="BN232" t="str">
        <f t="shared" si="94"/>
        <v>G667</v>
      </c>
      <c r="BO232" t="b">
        <f t="shared" si="95"/>
        <v>1</v>
      </c>
    </row>
    <row r="233" spans="2:67" ht="12" customHeight="1">
      <c r="B233" t="str">
        <f>TBIDry!H305</f>
        <v>G642</v>
      </c>
      <c r="C233" t="str">
        <f>TBIDry!I305</f>
        <v>R355</v>
      </c>
      <c r="D233" t="b">
        <f t="shared" si="72"/>
        <v>0</v>
      </c>
      <c r="E233" t="b">
        <f t="shared" si="73"/>
        <v>0</v>
      </c>
      <c r="G233" t="str">
        <f>TBIWet!H305</f>
        <v>G606</v>
      </c>
      <c r="H233" t="str">
        <f>TBIWet!I305</f>
        <v>R515</v>
      </c>
      <c r="I233" t="b">
        <f t="shared" si="74"/>
        <v>0</v>
      </c>
      <c r="J233" t="b">
        <f t="shared" si="75"/>
        <v>0</v>
      </c>
      <c r="L233" t="str">
        <f>'Both teabags AfterWet'!A232</f>
        <v>G668</v>
      </c>
      <c r="M233" t="str">
        <f>'Both teabags AfterWet'!A650</f>
        <v>R446</v>
      </c>
      <c r="N233" t="b">
        <f t="shared" si="76"/>
        <v>0</v>
      </c>
      <c r="O233" t="b">
        <f t="shared" si="77"/>
        <v>0</v>
      </c>
      <c r="P233">
        <f>IFERROR('Both teabags AfterWet'!B232,"")</f>
        <v>205</v>
      </c>
      <c r="Q233" t="str">
        <f>'Both teabags AfterWet'!B650</f>
        <v>n.a</v>
      </c>
      <c r="S233" s="401" t="b">
        <f t="shared" si="78"/>
        <v>0</v>
      </c>
      <c r="T233" s="401" t="b">
        <f t="shared" si="79"/>
        <v>0</v>
      </c>
      <c r="V233" t="str">
        <f>'Both teabags AfterDry'!A232</f>
        <v>G464</v>
      </c>
      <c r="W233" t="str">
        <f>'Both teabags AfterDry'!A569</f>
        <v>R715</v>
      </c>
      <c r="X233" t="b">
        <f t="shared" si="80"/>
        <v>0</v>
      </c>
      <c r="Y233" t="b">
        <f t="shared" si="81"/>
        <v>0</v>
      </c>
      <c r="AA233" t="str">
        <f>'Green_rooibos initial weight'!A234</f>
        <v>G230</v>
      </c>
      <c r="AB233" t="str">
        <f>'Green_rooibos initial weight'!A1138</f>
        <v>R230</v>
      </c>
      <c r="AC233" t="b">
        <f t="shared" si="82"/>
        <v>0</v>
      </c>
      <c r="AD233" t="b">
        <f t="shared" si="83"/>
        <v>0</v>
      </c>
      <c r="AG233" t="str">
        <f>'WetLitterbags placem_collection'!O12</f>
        <v>G606</v>
      </c>
      <c r="AH233" t="str">
        <f>'WetLitterbags placem_collection'!Q12</f>
        <v>R515</v>
      </c>
      <c r="AI233" t="b">
        <f t="shared" si="84"/>
        <v>0</v>
      </c>
      <c r="AJ233" t="b">
        <f t="shared" si="85"/>
        <v>0</v>
      </c>
      <c r="AK233">
        <f>'WetLitterbags placem_collection'!A12</f>
        <v>10</v>
      </c>
      <c r="AL233">
        <f>'WetLitterbags placem_collection'!A12</f>
        <v>10</v>
      </c>
      <c r="AN233">
        <f>IF('Dry_Litterbag Placem_Collection'!L12=0,"",'Dry_Litterbag Placem_Collection'!L12)</f>
        <v>642</v>
      </c>
      <c r="AO233">
        <f>IF('Dry_Litterbag Placem_Collection'!M12=0,"",'Dry_Litterbag Placem_Collection'!M12)</f>
        <v>355</v>
      </c>
      <c r="AP233" t="b">
        <f t="shared" si="86"/>
        <v>0</v>
      </c>
      <c r="AQ233" t="b">
        <f t="shared" si="87"/>
        <v>0</v>
      </c>
      <c r="AT233" t="str">
        <f>'Ashed teabags dry'!A231</f>
        <v>G465</v>
      </c>
      <c r="AU233" t="str">
        <f>'Ashed teabags dry'!A568</f>
        <v>R715</v>
      </c>
      <c r="AV233" t="b">
        <f t="shared" si="88"/>
        <v>0</v>
      </c>
      <c r="AW233" t="b">
        <f t="shared" si="89"/>
        <v>0</v>
      </c>
      <c r="AZ233" s="401" t="b">
        <f t="shared" si="90"/>
        <v>0</v>
      </c>
      <c r="BA233" s="401" t="b">
        <f t="shared" si="91"/>
        <v>0</v>
      </c>
      <c r="BC233" t="str">
        <f>'Ashed teabags wet'!A231</f>
        <v>G669</v>
      </c>
      <c r="BD233" t="str">
        <f>'Ashed teabags wet'!A648</f>
        <v>R463</v>
      </c>
      <c r="BE233" t="b">
        <f t="shared" si="92"/>
        <v>0</v>
      </c>
      <c r="BF233" t="b">
        <f t="shared" si="93"/>
        <v>0</v>
      </c>
      <c r="BG233">
        <f>IFERROR('Ashed teabags wet'!C231,"")</f>
        <v>184</v>
      </c>
      <c r="BH233">
        <f>IFERROR('Ashed teabags wet'!C648,"")</f>
        <v>198</v>
      </c>
      <c r="BI233">
        <f>'Ashed teabags wet'!AB231</f>
        <v>183</v>
      </c>
      <c r="BJ233" t="str">
        <f>'Ashed teabags wet'!AC231</f>
        <v/>
      </c>
      <c r="BK233">
        <f>'Ashed teabags wet'!AD648</f>
        <v>197</v>
      </c>
      <c r="BL233" t="str">
        <f>'Ashed teabags wet'!AE648</f>
        <v/>
      </c>
      <c r="BN233" t="str">
        <f t="shared" si="94"/>
        <v>G668</v>
      </c>
      <c r="BO233" t="b">
        <f t="shared" si="95"/>
        <v>1</v>
      </c>
    </row>
    <row r="234" spans="2:67" ht="12" customHeight="1">
      <c r="B234" t="str">
        <f>TBIDry!H306</f>
        <v>G663</v>
      </c>
      <c r="C234" t="str">
        <f>TBIDry!I306</f>
        <v>R616</v>
      </c>
      <c r="D234" t="b">
        <f t="shared" si="72"/>
        <v>0</v>
      </c>
      <c r="E234" t="b">
        <f t="shared" si="73"/>
        <v>0</v>
      </c>
      <c r="G234" t="str">
        <f>TBIWet!H306</f>
        <v>G523</v>
      </c>
      <c r="H234" t="str">
        <f>TBIWet!I306</f>
        <v>R2</v>
      </c>
      <c r="I234" t="b">
        <f t="shared" si="74"/>
        <v>0</v>
      </c>
      <c r="J234" t="b">
        <f t="shared" si="75"/>
        <v>0</v>
      </c>
      <c r="L234" t="str">
        <f>'Both teabags AfterWet'!A233</f>
        <v>G669</v>
      </c>
      <c r="M234" t="str">
        <f>'Both teabags AfterWet'!A651</f>
        <v>R447</v>
      </c>
      <c r="N234" t="b">
        <f t="shared" si="76"/>
        <v>0</v>
      </c>
      <c r="O234" t="b">
        <f t="shared" si="77"/>
        <v>0</v>
      </c>
      <c r="P234" t="str">
        <f>IFERROR('Both teabags AfterWet'!B233,"")</f>
        <v>n.a</v>
      </c>
      <c r="Q234">
        <f>'Both teabags AfterWet'!B651</f>
        <v>151</v>
      </c>
      <c r="S234" s="401" t="b">
        <f t="shared" si="78"/>
        <v>0</v>
      </c>
      <c r="T234" s="401" t="b">
        <f t="shared" si="79"/>
        <v>0</v>
      </c>
      <c r="V234" t="str">
        <f>'Both teabags AfterDry'!A233</f>
        <v>G465</v>
      </c>
      <c r="W234" t="str">
        <f>'Both teabags AfterDry'!A570</f>
        <v>R716</v>
      </c>
      <c r="X234" t="b">
        <f t="shared" si="80"/>
        <v>0</v>
      </c>
      <c r="Y234" t="b">
        <f t="shared" si="81"/>
        <v>0</v>
      </c>
      <c r="AA234" t="str">
        <f>'Green_rooibos initial weight'!A235</f>
        <v>G231</v>
      </c>
      <c r="AB234" t="str">
        <f>'Green_rooibos initial weight'!A1139</f>
        <v>R231</v>
      </c>
      <c r="AC234" t="b">
        <f t="shared" si="82"/>
        <v>0</v>
      </c>
      <c r="AD234" t="b">
        <f t="shared" si="83"/>
        <v>0</v>
      </c>
      <c r="AG234" t="str">
        <f>'WetLitterbags placem_collection'!O13</f>
        <v>G523</v>
      </c>
      <c r="AH234" t="str">
        <f>'WetLitterbags placem_collection'!Q13</f>
        <v>R2</v>
      </c>
      <c r="AI234" t="b">
        <f t="shared" si="84"/>
        <v>0</v>
      </c>
      <c r="AJ234" t="b">
        <f t="shared" si="85"/>
        <v>0</v>
      </c>
      <c r="AK234">
        <f>'WetLitterbags placem_collection'!A13</f>
        <v>11</v>
      </c>
      <c r="AL234">
        <f>'WetLitterbags placem_collection'!A13</f>
        <v>11</v>
      </c>
      <c r="AN234">
        <f>IF('Dry_Litterbag Placem_Collection'!L13=0,"",'Dry_Litterbag Placem_Collection'!L13)</f>
        <v>663</v>
      </c>
      <c r="AO234">
        <f>IF('Dry_Litterbag Placem_Collection'!M13=0,"",'Dry_Litterbag Placem_Collection'!M13)</f>
        <v>616</v>
      </c>
      <c r="AP234" t="b">
        <f t="shared" si="86"/>
        <v>0</v>
      </c>
      <c r="AQ234" t="b">
        <f t="shared" si="87"/>
        <v>0</v>
      </c>
      <c r="AT234" t="str">
        <f>'Ashed teabags dry'!A232</f>
        <v>G466</v>
      </c>
      <c r="AU234" t="str">
        <f>'Ashed teabags dry'!A569</f>
        <v>R716</v>
      </c>
      <c r="AV234" t="b">
        <f t="shared" si="88"/>
        <v>0</v>
      </c>
      <c r="AW234" t="b">
        <f t="shared" si="89"/>
        <v>0</v>
      </c>
      <c r="AZ234" s="401" t="b">
        <f t="shared" si="90"/>
        <v>0</v>
      </c>
      <c r="BA234" s="401" t="b">
        <f t="shared" si="91"/>
        <v>0</v>
      </c>
      <c r="BC234" t="str">
        <f>'Ashed teabags wet'!A232</f>
        <v>G670</v>
      </c>
      <c r="BD234" t="str">
        <f>'Ashed teabags wet'!A649</f>
        <v>R464</v>
      </c>
      <c r="BE234" t="b">
        <f t="shared" si="92"/>
        <v>0</v>
      </c>
      <c r="BF234" t="b">
        <f t="shared" si="93"/>
        <v>0</v>
      </c>
      <c r="BG234">
        <f>IFERROR('Ashed teabags wet'!C232,"")</f>
        <v>35</v>
      </c>
      <c r="BH234">
        <f>IFERROR('Ashed teabags wet'!C649,"")</f>
        <v>156</v>
      </c>
      <c r="BI234">
        <f>'Ashed teabags wet'!AB232</f>
        <v>34</v>
      </c>
      <c r="BJ234" t="str">
        <f>'Ashed teabags wet'!AC232</f>
        <v/>
      </c>
      <c r="BK234" t="str">
        <f>'Ashed teabags wet'!AD649</f>
        <v/>
      </c>
      <c r="BL234">
        <f>'Ashed teabags wet'!AE649</f>
        <v>155</v>
      </c>
      <c r="BN234" t="str">
        <f t="shared" si="94"/>
        <v>G669</v>
      </c>
      <c r="BO234" t="b">
        <f t="shared" si="95"/>
        <v>1</v>
      </c>
    </row>
    <row r="235" spans="2:67" ht="12" customHeight="1">
      <c r="B235" t="str">
        <f>TBIDry!H307</f>
        <v/>
      </c>
      <c r="C235" t="str">
        <f>TBIDry!I307</f>
        <v/>
      </c>
      <c r="D235" t="b">
        <f t="shared" si="72"/>
        <v>1</v>
      </c>
      <c r="E235" t="b">
        <f t="shared" si="73"/>
        <v>1</v>
      </c>
      <c r="G235" t="str">
        <f>TBIWet!H307</f>
        <v>G490</v>
      </c>
      <c r="H235" t="str">
        <f>TBIWet!I307</f>
        <v>R123</v>
      </c>
      <c r="I235" t="b">
        <f t="shared" si="74"/>
        <v>0</v>
      </c>
      <c r="J235" t="b">
        <f t="shared" si="75"/>
        <v>0</v>
      </c>
      <c r="L235" t="str">
        <f>'Both teabags AfterWet'!A234</f>
        <v>G670</v>
      </c>
      <c r="M235" t="str">
        <f>'Both teabags AfterWet'!A652</f>
        <v>R448</v>
      </c>
      <c r="N235" t="b">
        <f t="shared" si="76"/>
        <v>0</v>
      </c>
      <c r="O235" t="b">
        <f t="shared" si="77"/>
        <v>0</v>
      </c>
      <c r="P235">
        <f>IFERROR('Both teabags AfterWet'!B234,"")</f>
        <v>35</v>
      </c>
      <c r="Q235">
        <f>'Both teabags AfterWet'!B652</f>
        <v>62</v>
      </c>
      <c r="S235" s="401" t="b">
        <f t="shared" si="78"/>
        <v>0</v>
      </c>
      <c r="T235" s="401" t="b">
        <f t="shared" si="79"/>
        <v>0</v>
      </c>
      <c r="V235" t="str">
        <f>'Both teabags AfterDry'!A234</f>
        <v>G466</v>
      </c>
      <c r="W235" t="str">
        <f>'Both teabags AfterDry'!A571</f>
        <v>R717</v>
      </c>
      <c r="X235" t="b">
        <f t="shared" si="80"/>
        <v>0</v>
      </c>
      <c r="Y235" t="b">
        <f t="shared" si="81"/>
        <v>0</v>
      </c>
      <c r="AA235" t="str">
        <f>'Green_rooibos initial weight'!A236</f>
        <v>G232</v>
      </c>
      <c r="AB235" t="str">
        <f>'Green_rooibos initial weight'!A1140</f>
        <v>R232</v>
      </c>
      <c r="AC235" t="b">
        <f t="shared" si="82"/>
        <v>0</v>
      </c>
      <c r="AD235" t="b">
        <f t="shared" si="83"/>
        <v>0</v>
      </c>
      <c r="AG235" t="str">
        <f>'WetLitterbags placem_collection'!O14</f>
        <v>G490</v>
      </c>
      <c r="AH235" t="str">
        <f>'WetLitterbags placem_collection'!Q14</f>
        <v>R123</v>
      </c>
      <c r="AI235" t="b">
        <f t="shared" si="84"/>
        <v>0</v>
      </c>
      <c r="AJ235" t="b">
        <f t="shared" si="85"/>
        <v>0</v>
      </c>
      <c r="AK235">
        <f>'WetLitterbags placem_collection'!A14</f>
        <v>12</v>
      </c>
      <c r="AL235">
        <f>'WetLitterbags placem_collection'!A14</f>
        <v>12</v>
      </c>
      <c r="AN235" t="str">
        <f>IF('Dry_Litterbag Placem_Collection'!L14=0,"",'Dry_Litterbag Placem_Collection'!L14)</f>
        <v/>
      </c>
      <c r="AO235" t="str">
        <f>IF('Dry_Litterbag Placem_Collection'!M14=0,"",'Dry_Litterbag Placem_Collection'!M14)</f>
        <v/>
      </c>
      <c r="AP235" t="b">
        <f t="shared" si="86"/>
        <v>1</v>
      </c>
      <c r="AQ235" t="b">
        <f t="shared" si="87"/>
        <v>1</v>
      </c>
      <c r="AT235" t="str">
        <f>'Ashed teabags dry'!A233</f>
        <v>G467</v>
      </c>
      <c r="AU235" t="str">
        <f>'Ashed teabags dry'!A570</f>
        <v>R717</v>
      </c>
      <c r="AV235" t="b">
        <f t="shared" si="88"/>
        <v>0</v>
      </c>
      <c r="AW235" t="b">
        <f t="shared" si="89"/>
        <v>0</v>
      </c>
      <c r="AZ235" s="401" t="b">
        <f t="shared" si="90"/>
        <v>0</v>
      </c>
      <c r="BA235" s="401" t="b">
        <f t="shared" si="91"/>
        <v>0</v>
      </c>
      <c r="BC235" t="str">
        <f>'Ashed teabags wet'!A233</f>
        <v>G673</v>
      </c>
      <c r="BD235" t="str">
        <f>'Ashed teabags wet'!A650</f>
        <v>R465</v>
      </c>
      <c r="BE235" t="b">
        <f t="shared" si="92"/>
        <v>0</v>
      </c>
      <c r="BF235" t="b">
        <f t="shared" si="93"/>
        <v>0</v>
      </c>
      <c r="BG235">
        <f>IFERROR('Ashed teabags wet'!C233,"")</f>
        <v>64</v>
      </c>
      <c r="BH235">
        <f>IFERROR('Ashed teabags wet'!C650,"")</f>
        <v>141</v>
      </c>
      <c r="BI235" t="str">
        <f>'Ashed teabags wet'!AB233</f>
        <v/>
      </c>
      <c r="BJ235">
        <f>'Ashed teabags wet'!AC233</f>
        <v>63</v>
      </c>
      <c r="BK235" t="str">
        <f>'Ashed teabags wet'!AD650</f>
        <v/>
      </c>
      <c r="BL235">
        <f>'Ashed teabags wet'!AE650</f>
        <v>140</v>
      </c>
      <c r="BN235" t="str">
        <f t="shared" si="94"/>
        <v>G670</v>
      </c>
      <c r="BO235" t="b">
        <f t="shared" si="95"/>
        <v>1</v>
      </c>
    </row>
    <row r="236" spans="2:67" ht="12" customHeight="1">
      <c r="B236" t="str">
        <f>TBIDry!H308</f>
        <v>G874</v>
      </c>
      <c r="C236" t="str">
        <f>TBIDry!I308</f>
        <v>R603</v>
      </c>
      <c r="D236" t="b">
        <f t="shared" si="72"/>
        <v>0</v>
      </c>
      <c r="E236" t="b">
        <f t="shared" si="73"/>
        <v>0</v>
      </c>
      <c r="G236" t="str">
        <f>TBIWet!H308</f>
        <v>G241</v>
      </c>
      <c r="H236" t="str">
        <f>TBIWet!I308</f>
        <v>R3</v>
      </c>
      <c r="I236" t="b">
        <f t="shared" si="74"/>
        <v>0</v>
      </c>
      <c r="J236" t="b">
        <f t="shared" si="75"/>
        <v>0</v>
      </c>
      <c r="L236" t="str">
        <f>'Both teabags AfterWet'!A235</f>
        <v>G673</v>
      </c>
      <c r="M236" t="str">
        <f>'Both teabags AfterWet'!A653</f>
        <v>R449</v>
      </c>
      <c r="N236" t="b">
        <f t="shared" si="76"/>
        <v>0</v>
      </c>
      <c r="O236" t="b">
        <f t="shared" si="77"/>
        <v>0</v>
      </c>
      <c r="P236">
        <f>IFERROR('Both teabags AfterWet'!B235,"")</f>
        <v>64</v>
      </c>
      <c r="Q236">
        <f>'Both teabags AfterWet'!B653</f>
        <v>208</v>
      </c>
      <c r="S236" s="401" t="b">
        <f t="shared" si="78"/>
        <v>0</v>
      </c>
      <c r="T236" s="401" t="b">
        <f t="shared" si="79"/>
        <v>0</v>
      </c>
      <c r="V236" t="str">
        <f>'Both teabags AfterDry'!A235</f>
        <v>G467</v>
      </c>
      <c r="W236" t="str">
        <f>'Both teabags AfterDry'!A572</f>
        <v>R718</v>
      </c>
      <c r="X236" t="b">
        <f t="shared" si="80"/>
        <v>0</v>
      </c>
      <c r="Y236" t="b">
        <f t="shared" si="81"/>
        <v>0</v>
      </c>
      <c r="AA236" t="str">
        <f>'Green_rooibos initial weight'!A237</f>
        <v>G233</v>
      </c>
      <c r="AB236" t="str">
        <f>'Green_rooibos initial weight'!A1141</f>
        <v>R233</v>
      </c>
      <c r="AC236" t="b">
        <f t="shared" si="82"/>
        <v>0</v>
      </c>
      <c r="AD236" t="b">
        <f t="shared" si="83"/>
        <v>0</v>
      </c>
      <c r="AG236" t="str">
        <f>'WetLitterbags placem_collection'!O15</f>
        <v>G241</v>
      </c>
      <c r="AH236" t="str">
        <f>'WetLitterbags placem_collection'!Q15</f>
        <v>R3</v>
      </c>
      <c r="AI236" t="b">
        <f t="shared" si="84"/>
        <v>0</v>
      </c>
      <c r="AJ236" t="b">
        <f t="shared" si="85"/>
        <v>0</v>
      </c>
      <c r="AK236">
        <f>'WetLitterbags placem_collection'!A15</f>
        <v>13</v>
      </c>
      <c r="AL236">
        <f>'WetLitterbags placem_collection'!A15</f>
        <v>13</v>
      </c>
      <c r="AN236">
        <f>IF('Dry_Litterbag Placem_Collection'!L15=0,"",'Dry_Litterbag Placem_Collection'!L15)</f>
        <v>874</v>
      </c>
      <c r="AO236">
        <f>IF('Dry_Litterbag Placem_Collection'!M15=0,"",'Dry_Litterbag Placem_Collection'!M15)</f>
        <v>603</v>
      </c>
      <c r="AP236" t="b">
        <f t="shared" si="86"/>
        <v>0</v>
      </c>
      <c r="AQ236" t="b">
        <f t="shared" si="87"/>
        <v>0</v>
      </c>
      <c r="AT236" t="str">
        <f>'Ashed teabags dry'!A234</f>
        <v>G47</v>
      </c>
      <c r="AU236" t="str">
        <f>'Ashed teabags dry'!A571</f>
        <v>R718</v>
      </c>
      <c r="AV236" t="b">
        <f t="shared" si="88"/>
        <v>0</v>
      </c>
      <c r="AW236" t="b">
        <f t="shared" si="89"/>
        <v>0</v>
      </c>
      <c r="AZ236" s="401" t="b">
        <f t="shared" si="90"/>
        <v>0</v>
      </c>
      <c r="BA236" s="401" t="b">
        <f t="shared" si="91"/>
        <v>0</v>
      </c>
      <c r="BC236" t="str">
        <f>'Ashed teabags wet'!A234</f>
        <v>G674</v>
      </c>
      <c r="BD236" t="str">
        <f>'Ashed teabags wet'!A651</f>
        <v>R466</v>
      </c>
      <c r="BE236" t="b">
        <f t="shared" si="92"/>
        <v>0</v>
      </c>
      <c r="BF236" t="b">
        <f t="shared" si="93"/>
        <v>0</v>
      </c>
      <c r="BG236">
        <f>IFERROR('Ashed teabags wet'!C234,"")</f>
        <v>170</v>
      </c>
      <c r="BH236">
        <f>IFERROR('Ashed teabags wet'!C651,"")</f>
        <v>123</v>
      </c>
      <c r="BI236" t="str">
        <f>'Ashed teabags wet'!AB234</f>
        <v/>
      </c>
      <c r="BJ236">
        <f>'Ashed teabags wet'!AC234</f>
        <v>169</v>
      </c>
      <c r="BK236" t="str">
        <f>'Ashed teabags wet'!AD651</f>
        <v/>
      </c>
      <c r="BL236">
        <f>'Ashed teabags wet'!AE651</f>
        <v>122</v>
      </c>
      <c r="BN236" t="str">
        <f t="shared" si="94"/>
        <v>G673</v>
      </c>
      <c r="BO236" t="b">
        <f t="shared" si="95"/>
        <v>1</v>
      </c>
    </row>
    <row r="237" spans="2:67" ht="12" customHeight="1">
      <c r="B237" t="str">
        <f>TBIDry!H309</f>
        <v>G219</v>
      </c>
      <c r="C237" t="str">
        <f>TBIDry!I309</f>
        <v>R652</v>
      </c>
      <c r="D237" t="b">
        <f t="shared" si="72"/>
        <v>0</v>
      </c>
      <c r="E237" t="b">
        <f t="shared" si="73"/>
        <v>0</v>
      </c>
      <c r="G237" t="str">
        <f>TBIWet!H309</f>
        <v>G503</v>
      </c>
      <c r="H237" t="str">
        <f>TBIWet!I309</f>
        <v>R282</v>
      </c>
      <c r="I237" t="b">
        <f t="shared" si="74"/>
        <v>0</v>
      </c>
      <c r="J237" t="b">
        <f t="shared" si="75"/>
        <v>0</v>
      </c>
      <c r="L237" t="str">
        <f>'Both teabags AfterWet'!A236</f>
        <v>G674</v>
      </c>
      <c r="M237" t="str">
        <f>'Both teabags AfterWet'!A654</f>
        <v>R45</v>
      </c>
      <c r="N237" t="b">
        <f t="shared" si="76"/>
        <v>0</v>
      </c>
      <c r="O237" t="b">
        <f t="shared" si="77"/>
        <v>0</v>
      </c>
      <c r="P237">
        <f>IFERROR('Both teabags AfterWet'!B236,"")</f>
        <v>170</v>
      </c>
      <c r="Q237" t="str">
        <f>'Both teabags AfterWet'!B654</f>
        <v>n.a</v>
      </c>
      <c r="S237" s="401" t="b">
        <f t="shared" si="78"/>
        <v>0</v>
      </c>
      <c r="T237" s="401" t="b">
        <f t="shared" si="79"/>
        <v>0</v>
      </c>
      <c r="V237" t="str">
        <f>'Both teabags AfterDry'!A236</f>
        <v>G47</v>
      </c>
      <c r="W237" t="str">
        <f>'Both teabags AfterDry'!A573</f>
        <v>R720</v>
      </c>
      <c r="X237" t="b">
        <f t="shared" si="80"/>
        <v>0</v>
      </c>
      <c r="Y237" t="b">
        <f t="shared" si="81"/>
        <v>0</v>
      </c>
      <c r="AA237" t="str">
        <f>'Green_rooibos initial weight'!A238</f>
        <v>G234</v>
      </c>
      <c r="AB237" t="str">
        <f>'Green_rooibos initial weight'!A1142</f>
        <v>R234</v>
      </c>
      <c r="AC237" t="b">
        <f t="shared" si="82"/>
        <v>0</v>
      </c>
      <c r="AD237" t="b">
        <f t="shared" si="83"/>
        <v>0</v>
      </c>
      <c r="AG237" t="str">
        <f>'WetLitterbags placem_collection'!O16</f>
        <v>G503</v>
      </c>
      <c r="AH237" t="str">
        <f>'WetLitterbags placem_collection'!Q16</f>
        <v>R282</v>
      </c>
      <c r="AI237" t="b">
        <f t="shared" si="84"/>
        <v>0</v>
      </c>
      <c r="AJ237" t="b">
        <f t="shared" si="85"/>
        <v>0</v>
      </c>
      <c r="AK237">
        <f>'WetLitterbags placem_collection'!A16</f>
        <v>14</v>
      </c>
      <c r="AL237">
        <f>'WetLitterbags placem_collection'!A16</f>
        <v>14</v>
      </c>
      <c r="AN237">
        <f>IF('Dry_Litterbag Placem_Collection'!L16=0,"",'Dry_Litterbag Placem_Collection'!L16)</f>
        <v>219</v>
      </c>
      <c r="AO237">
        <f>IF('Dry_Litterbag Placem_Collection'!M16=0,"",'Dry_Litterbag Placem_Collection'!M16)</f>
        <v>652</v>
      </c>
      <c r="AP237" t="b">
        <f t="shared" si="86"/>
        <v>0</v>
      </c>
      <c r="AQ237" t="b">
        <f t="shared" si="87"/>
        <v>0</v>
      </c>
      <c r="AT237" t="str">
        <f>'Ashed teabags dry'!A235</f>
        <v>G473</v>
      </c>
      <c r="AU237" t="str">
        <f>'Ashed teabags dry'!A572</f>
        <v>R720</v>
      </c>
      <c r="AV237" t="b">
        <f t="shared" si="88"/>
        <v>0</v>
      </c>
      <c r="AW237" t="b">
        <f t="shared" si="89"/>
        <v>0</v>
      </c>
      <c r="AZ237" s="401" t="b">
        <f t="shared" si="90"/>
        <v>0</v>
      </c>
      <c r="BA237" s="401" t="b">
        <f t="shared" si="91"/>
        <v>0</v>
      </c>
      <c r="BC237" t="str">
        <f>'Ashed teabags wet'!A235</f>
        <v>G675</v>
      </c>
      <c r="BD237" t="str">
        <f>'Ashed teabags wet'!A652</f>
        <v>R467</v>
      </c>
      <c r="BE237" t="b">
        <f t="shared" si="92"/>
        <v>0</v>
      </c>
      <c r="BF237" t="b">
        <f t="shared" si="93"/>
        <v>0</v>
      </c>
      <c r="BG237">
        <f>IFERROR('Ashed teabags wet'!C235,"")</f>
        <v>154</v>
      </c>
      <c r="BH237">
        <f>IFERROR('Ashed teabags wet'!C652,"")</f>
        <v>134</v>
      </c>
      <c r="BI237">
        <f>'Ashed teabags wet'!AB235</f>
        <v>153</v>
      </c>
      <c r="BJ237" t="str">
        <f>'Ashed teabags wet'!AC235</f>
        <v/>
      </c>
      <c r="BK237" t="str">
        <f>'Ashed teabags wet'!AD652</f>
        <v/>
      </c>
      <c r="BL237">
        <f>'Ashed teabags wet'!AE652</f>
        <v>133</v>
      </c>
      <c r="BN237" t="str">
        <f t="shared" si="94"/>
        <v>G674</v>
      </c>
      <c r="BO237" t="b">
        <f t="shared" si="95"/>
        <v>1</v>
      </c>
    </row>
    <row r="238" spans="2:67" ht="12" customHeight="1">
      <c r="B238" t="str">
        <f>TBIDry!H310</f>
        <v>G630</v>
      </c>
      <c r="C238" t="str">
        <f>TBIDry!I310</f>
        <v>R304</v>
      </c>
      <c r="D238" t="b">
        <f t="shared" si="72"/>
        <v>0</v>
      </c>
      <c r="E238" t="b">
        <f t="shared" si="73"/>
        <v>0</v>
      </c>
      <c r="G238" t="str">
        <f>TBIWet!H310</f>
        <v>G685</v>
      </c>
      <c r="H238" t="str">
        <f>TBIWet!I310</f>
        <v>R99</v>
      </c>
      <c r="I238" t="b">
        <f t="shared" si="74"/>
        <v>0</v>
      </c>
      <c r="J238" t="b">
        <f t="shared" si="75"/>
        <v>0</v>
      </c>
      <c r="L238" t="str">
        <f>'Both teabags AfterWet'!A237</f>
        <v>G675</v>
      </c>
      <c r="M238" t="str">
        <f>'Both teabags AfterWet'!A655</f>
        <v>R450</v>
      </c>
      <c r="N238" t="b">
        <f t="shared" si="76"/>
        <v>0</v>
      </c>
      <c r="O238" t="b">
        <f t="shared" si="77"/>
        <v>0</v>
      </c>
      <c r="P238">
        <f>IFERROR('Both teabags AfterWet'!B237,"")</f>
        <v>154</v>
      </c>
      <c r="Q238" t="str">
        <f>'Both teabags AfterWet'!B655</f>
        <v>na</v>
      </c>
      <c r="S238" s="401" t="b">
        <f t="shared" si="78"/>
        <v>0</v>
      </c>
      <c r="T238" s="401" t="b">
        <f t="shared" si="79"/>
        <v>0</v>
      </c>
      <c r="V238" t="str">
        <f>'Both teabags AfterDry'!A237</f>
        <v>G473</v>
      </c>
      <c r="W238" t="str">
        <f>'Both teabags AfterDry'!A574</f>
        <v>R721</v>
      </c>
      <c r="X238" t="b">
        <f t="shared" si="80"/>
        <v>0</v>
      </c>
      <c r="Y238" t="b">
        <f t="shared" si="81"/>
        <v>0</v>
      </c>
      <c r="AA238" t="str">
        <f>'Green_rooibos initial weight'!A239</f>
        <v>G235</v>
      </c>
      <c r="AB238" t="str">
        <f>'Green_rooibos initial weight'!A1143</f>
        <v>R235</v>
      </c>
      <c r="AC238" t="b">
        <f t="shared" si="82"/>
        <v>0</v>
      </c>
      <c r="AD238" t="b">
        <f t="shared" si="83"/>
        <v>0</v>
      </c>
      <c r="AG238" t="str">
        <f>'WetLitterbags placem_collection'!O17</f>
        <v>G685</v>
      </c>
      <c r="AH238" t="str">
        <f>'WetLitterbags placem_collection'!Q17</f>
        <v>R99</v>
      </c>
      <c r="AI238" t="b">
        <f t="shared" si="84"/>
        <v>0</v>
      </c>
      <c r="AJ238" t="b">
        <f t="shared" si="85"/>
        <v>0</v>
      </c>
      <c r="AK238">
        <f>'WetLitterbags placem_collection'!A17</f>
        <v>15</v>
      </c>
      <c r="AL238">
        <f>'WetLitterbags placem_collection'!A17</f>
        <v>15</v>
      </c>
      <c r="AN238">
        <f>IF('Dry_Litterbag Placem_Collection'!L17=0,"",'Dry_Litterbag Placem_Collection'!L17)</f>
        <v>630</v>
      </c>
      <c r="AO238">
        <f>IF('Dry_Litterbag Placem_Collection'!M17=0,"",'Dry_Litterbag Placem_Collection'!M17)</f>
        <v>304</v>
      </c>
      <c r="AP238" t="b">
        <f t="shared" si="86"/>
        <v>0</v>
      </c>
      <c r="AQ238" t="b">
        <f t="shared" si="87"/>
        <v>0</v>
      </c>
      <c r="AT238" t="str">
        <f>'Ashed teabags dry'!A236</f>
        <v>G48</v>
      </c>
      <c r="AU238" t="str">
        <f>'Ashed teabags dry'!A573</f>
        <v>R721</v>
      </c>
      <c r="AV238" t="b">
        <f t="shared" si="88"/>
        <v>0</v>
      </c>
      <c r="AW238" t="b">
        <f t="shared" si="89"/>
        <v>0</v>
      </c>
      <c r="AZ238" s="401" t="b">
        <f t="shared" si="90"/>
        <v>0</v>
      </c>
      <c r="BA238" s="401" t="b">
        <f t="shared" si="91"/>
        <v>0</v>
      </c>
      <c r="BC238" t="str">
        <f>'Ashed teabags wet'!A236</f>
        <v>G676</v>
      </c>
      <c r="BD238" t="str">
        <f>'Ashed teabags wet'!A653</f>
        <v>R468</v>
      </c>
      <c r="BE238" t="b">
        <f t="shared" si="92"/>
        <v>0</v>
      </c>
      <c r="BF238" t="b">
        <f t="shared" si="93"/>
        <v>0</v>
      </c>
      <c r="BG238">
        <f>IFERROR('Ashed teabags wet'!C236,"")</f>
        <v>107</v>
      </c>
      <c r="BH238">
        <f>IFERROR('Ashed teabags wet'!C653,"")</f>
        <v>146</v>
      </c>
      <c r="BI238" t="str">
        <f>'Ashed teabags wet'!AB236</f>
        <v/>
      </c>
      <c r="BJ238">
        <f>'Ashed teabags wet'!AC236</f>
        <v>106</v>
      </c>
      <c r="BK238" t="str">
        <f>'Ashed teabags wet'!AD653</f>
        <v/>
      </c>
      <c r="BL238">
        <f>'Ashed teabags wet'!AE653</f>
        <v>145</v>
      </c>
      <c r="BN238" t="str">
        <f t="shared" si="94"/>
        <v>G675</v>
      </c>
      <c r="BO238" t="b">
        <f t="shared" si="95"/>
        <v>1</v>
      </c>
    </row>
    <row r="239" spans="2:67" ht="12" customHeight="1">
      <c r="B239" t="str">
        <f>TBIDry!H311</f>
        <v>G662</v>
      </c>
      <c r="C239" t="str">
        <f>TBIDry!I311</f>
        <v>R687</v>
      </c>
      <c r="D239" t="b">
        <f t="shared" si="72"/>
        <v>0</v>
      </c>
      <c r="E239" t="b">
        <f t="shared" si="73"/>
        <v>0</v>
      </c>
      <c r="G239" t="str">
        <f>TBIWet!H311</f>
        <v>G644</v>
      </c>
      <c r="H239" t="str">
        <f>TBIWet!I311</f>
        <v>R154</v>
      </c>
      <c r="I239" t="b">
        <f t="shared" si="74"/>
        <v>0</v>
      </c>
      <c r="J239" t="b">
        <f t="shared" si="75"/>
        <v>0</v>
      </c>
      <c r="L239" t="str">
        <f>'Both teabags AfterWet'!A238</f>
        <v>G676</v>
      </c>
      <c r="M239" t="str">
        <f>'Both teabags AfterWet'!A656</f>
        <v>R451</v>
      </c>
      <c r="N239" t="b">
        <f t="shared" si="76"/>
        <v>0</v>
      </c>
      <c r="O239" t="b">
        <f t="shared" si="77"/>
        <v>0</v>
      </c>
      <c r="P239">
        <f>IFERROR('Both teabags AfterWet'!B238,"")</f>
        <v>107</v>
      </c>
      <c r="Q239">
        <f>'Both teabags AfterWet'!B656</f>
        <v>171</v>
      </c>
      <c r="S239" s="401" t="b">
        <f t="shared" si="78"/>
        <v>0</v>
      </c>
      <c r="T239" s="401" t="b">
        <f t="shared" si="79"/>
        <v>0</v>
      </c>
      <c r="V239" t="str">
        <f>'Both teabags AfterDry'!A238</f>
        <v>G48</v>
      </c>
      <c r="W239" t="str">
        <f>'Both teabags AfterDry'!A575</f>
        <v>R722</v>
      </c>
      <c r="X239" t="b">
        <f t="shared" si="80"/>
        <v>0</v>
      </c>
      <c r="Y239" t="b">
        <f t="shared" si="81"/>
        <v>0</v>
      </c>
      <c r="AA239" t="str">
        <f>'Green_rooibos initial weight'!A240</f>
        <v>G236</v>
      </c>
      <c r="AB239" t="str">
        <f>'Green_rooibos initial weight'!A1144</f>
        <v>R236</v>
      </c>
      <c r="AC239" t="b">
        <f t="shared" si="82"/>
        <v>0</v>
      </c>
      <c r="AD239" t="b">
        <f t="shared" si="83"/>
        <v>0</v>
      </c>
      <c r="AG239" t="str">
        <f>'WetLitterbags placem_collection'!O18</f>
        <v>G644</v>
      </c>
      <c r="AH239" t="str">
        <f>'WetLitterbags placem_collection'!Q18</f>
        <v>R154</v>
      </c>
      <c r="AI239" t="b">
        <f t="shared" si="84"/>
        <v>0</v>
      </c>
      <c r="AJ239" t="b">
        <f t="shared" si="85"/>
        <v>0</v>
      </c>
      <c r="AK239">
        <f>'WetLitterbags placem_collection'!A18</f>
        <v>16</v>
      </c>
      <c r="AL239">
        <f>'WetLitterbags placem_collection'!A18</f>
        <v>16</v>
      </c>
      <c r="AN239">
        <f>IF('Dry_Litterbag Placem_Collection'!L18=0,"",'Dry_Litterbag Placem_Collection'!L18)</f>
        <v>662</v>
      </c>
      <c r="AO239">
        <f>IF('Dry_Litterbag Placem_Collection'!M18=0,"",'Dry_Litterbag Placem_Collection'!M18)</f>
        <v>687</v>
      </c>
      <c r="AP239" t="b">
        <f t="shared" si="86"/>
        <v>0</v>
      </c>
      <c r="AQ239" t="b">
        <f t="shared" si="87"/>
        <v>0</v>
      </c>
      <c r="AT239" t="str">
        <f>'Ashed teabags dry'!A237</f>
        <v>G481</v>
      </c>
      <c r="AU239" t="str">
        <f>'Ashed teabags dry'!A574</f>
        <v>R722</v>
      </c>
      <c r="AV239" t="b">
        <f t="shared" si="88"/>
        <v>0</v>
      </c>
      <c r="AW239" t="b">
        <f t="shared" si="89"/>
        <v>0</v>
      </c>
      <c r="AZ239" s="401" t="b">
        <f t="shared" si="90"/>
        <v>0</v>
      </c>
      <c r="BA239" s="401" t="b">
        <f t="shared" si="91"/>
        <v>0</v>
      </c>
      <c r="BC239" t="str">
        <f>'Ashed teabags wet'!A237</f>
        <v>G677</v>
      </c>
      <c r="BD239" t="str">
        <f>'Ashed teabags wet'!A654</f>
        <v>R469</v>
      </c>
      <c r="BE239" t="b">
        <f t="shared" si="92"/>
        <v>0</v>
      </c>
      <c r="BF239" t="b">
        <f t="shared" si="93"/>
        <v>0</v>
      </c>
      <c r="BG239">
        <f>IFERROR('Ashed teabags wet'!C237,"")</f>
        <v>206</v>
      </c>
      <c r="BH239">
        <f>IFERROR('Ashed teabags wet'!C654,"")</f>
        <v>45</v>
      </c>
      <c r="BI239">
        <f>'Ashed teabags wet'!AB237</f>
        <v>205</v>
      </c>
      <c r="BJ239" t="str">
        <f>'Ashed teabags wet'!AC237</f>
        <v/>
      </c>
      <c r="BK239">
        <f>'Ashed teabags wet'!AD654</f>
        <v>44</v>
      </c>
      <c r="BL239" t="str">
        <f>'Ashed teabags wet'!AE654</f>
        <v/>
      </c>
      <c r="BN239" t="str">
        <f t="shared" si="94"/>
        <v>G676</v>
      </c>
      <c r="BO239" t="b">
        <f t="shared" si="95"/>
        <v>1</v>
      </c>
    </row>
    <row r="240" spans="2:67" ht="12" customHeight="1">
      <c r="B240" t="str">
        <f>TBIDry!H312</f>
        <v>G349</v>
      </c>
      <c r="C240" t="str">
        <f>TBIDry!I312</f>
        <v>R407</v>
      </c>
      <c r="D240" t="b">
        <f t="shared" si="72"/>
        <v>0</v>
      </c>
      <c r="E240" t="b">
        <f t="shared" si="73"/>
        <v>0</v>
      </c>
      <c r="G240" t="str">
        <f>TBIWet!H312</f>
        <v>G648</v>
      </c>
      <c r="H240" t="str">
        <f>TBIWet!I312</f>
        <v>R380</v>
      </c>
      <c r="I240" t="b">
        <f t="shared" si="74"/>
        <v>0</v>
      </c>
      <c r="J240" t="b">
        <f t="shared" si="75"/>
        <v>0</v>
      </c>
      <c r="L240" t="str">
        <f>'Both teabags AfterWet'!A239</f>
        <v>G677</v>
      </c>
      <c r="M240" t="str">
        <f>'Both teabags AfterWet'!A657</f>
        <v>R452</v>
      </c>
      <c r="N240" t="b">
        <f t="shared" si="76"/>
        <v>0</v>
      </c>
      <c r="O240" t="b">
        <f t="shared" si="77"/>
        <v>0</v>
      </c>
      <c r="P240">
        <f>IFERROR('Both teabags AfterWet'!B239,"")</f>
        <v>207</v>
      </c>
      <c r="Q240">
        <f>'Both teabags AfterWet'!B657</f>
        <v>33</v>
      </c>
      <c r="S240" s="401" t="b">
        <f t="shared" si="78"/>
        <v>0</v>
      </c>
      <c r="T240" s="401" t="b">
        <f t="shared" si="79"/>
        <v>0</v>
      </c>
      <c r="V240" t="str">
        <f>'Both teabags AfterDry'!A239</f>
        <v>G481</v>
      </c>
      <c r="W240" t="str">
        <f>'Both teabags AfterDry'!A576</f>
        <v>R723</v>
      </c>
      <c r="X240" t="b">
        <f t="shared" si="80"/>
        <v>0</v>
      </c>
      <c r="Y240" t="b">
        <f t="shared" si="81"/>
        <v>0</v>
      </c>
      <c r="AA240" t="str">
        <f>'Green_rooibos initial weight'!A241</f>
        <v>G237</v>
      </c>
      <c r="AB240" t="str">
        <f>'Green_rooibos initial weight'!A1145</f>
        <v>R237</v>
      </c>
      <c r="AC240" t="b">
        <f t="shared" si="82"/>
        <v>0</v>
      </c>
      <c r="AD240" t="b">
        <f t="shared" si="83"/>
        <v>0</v>
      </c>
      <c r="AG240" t="str">
        <f>'WetLitterbags placem_collection'!O19</f>
        <v>G648</v>
      </c>
      <c r="AH240" t="str">
        <f>'WetLitterbags placem_collection'!Q19</f>
        <v>R380</v>
      </c>
      <c r="AI240" t="b">
        <f t="shared" si="84"/>
        <v>0</v>
      </c>
      <c r="AJ240" t="b">
        <f t="shared" si="85"/>
        <v>0</v>
      </c>
      <c r="AK240">
        <f>'WetLitterbags placem_collection'!A19</f>
        <v>17</v>
      </c>
      <c r="AL240">
        <f>'WetLitterbags placem_collection'!A19</f>
        <v>17</v>
      </c>
      <c r="AN240">
        <f>IF('Dry_Litterbag Placem_Collection'!L19=0,"",'Dry_Litterbag Placem_Collection'!L19)</f>
        <v>349</v>
      </c>
      <c r="AO240">
        <f>IF('Dry_Litterbag Placem_Collection'!M19=0,"",'Dry_Litterbag Placem_Collection'!M19)</f>
        <v>407</v>
      </c>
      <c r="AP240" t="b">
        <f t="shared" si="86"/>
        <v>0</v>
      </c>
      <c r="AQ240" t="b">
        <f t="shared" si="87"/>
        <v>0</v>
      </c>
      <c r="AT240" t="str">
        <f>'Ashed teabags dry'!A238</f>
        <v>G482</v>
      </c>
      <c r="AU240" t="str">
        <f>'Ashed teabags dry'!A575</f>
        <v>R723</v>
      </c>
      <c r="AV240" t="b">
        <f t="shared" si="88"/>
        <v>0</v>
      </c>
      <c r="AW240" t="b">
        <f t="shared" si="89"/>
        <v>0</v>
      </c>
      <c r="AZ240" s="401" t="b">
        <f t="shared" si="90"/>
        <v>0</v>
      </c>
      <c r="BA240" s="401" t="b">
        <f t="shared" si="91"/>
        <v>0</v>
      </c>
      <c r="BC240" t="str">
        <f>'Ashed teabags wet'!A238</f>
        <v>G678</v>
      </c>
      <c r="BD240" t="str">
        <f>'Ashed teabags wet'!A655</f>
        <v>R470</v>
      </c>
      <c r="BE240" t="b">
        <f t="shared" si="92"/>
        <v>0</v>
      </c>
      <c r="BF240" t="b">
        <f t="shared" si="93"/>
        <v>0</v>
      </c>
      <c r="BG240">
        <f>IFERROR('Ashed teabags wet'!C238,"")</f>
        <v>147</v>
      </c>
      <c r="BH240">
        <f>IFERROR('Ashed teabags wet'!C655,"")</f>
        <v>177</v>
      </c>
      <c r="BI240">
        <f>'Ashed teabags wet'!AB238</f>
        <v>146</v>
      </c>
      <c r="BJ240" t="str">
        <f>'Ashed teabags wet'!AC238</f>
        <v/>
      </c>
      <c r="BK240" t="str">
        <f>'Ashed teabags wet'!AD655</f>
        <v/>
      </c>
      <c r="BL240">
        <f>'Ashed teabags wet'!AE655</f>
        <v>176</v>
      </c>
      <c r="BN240" t="str">
        <f t="shared" si="94"/>
        <v>G677</v>
      </c>
      <c r="BO240" t="b">
        <f t="shared" si="95"/>
        <v>1</v>
      </c>
    </row>
    <row r="241" spans="2:68" ht="12" customHeight="1">
      <c r="B241" t="str">
        <f>TBIDry!H313</f>
        <v>G113</v>
      </c>
      <c r="C241" t="str">
        <f>TBIDry!I313</f>
        <v>R361</v>
      </c>
      <c r="D241" t="b">
        <f t="shared" si="72"/>
        <v>0</v>
      </c>
      <c r="E241" t="b">
        <f t="shared" si="73"/>
        <v>0</v>
      </c>
      <c r="G241" t="str">
        <f>TBIWet!H313</f>
        <v>G573</v>
      </c>
      <c r="H241" t="str">
        <f>TBIWet!I313</f>
        <v>R274</v>
      </c>
      <c r="I241" t="b">
        <f t="shared" si="74"/>
        <v>0</v>
      </c>
      <c r="J241" t="b">
        <f t="shared" si="75"/>
        <v>0</v>
      </c>
      <c r="L241" t="str">
        <f>'Both teabags AfterWet'!A240</f>
        <v>G678</v>
      </c>
      <c r="M241" t="str">
        <f>'Both teabags AfterWet'!A658</f>
        <v>R453</v>
      </c>
      <c r="N241" t="b">
        <f t="shared" si="76"/>
        <v>0</v>
      </c>
      <c r="O241" t="b">
        <f t="shared" si="77"/>
        <v>0</v>
      </c>
      <c r="P241">
        <f>IFERROR('Both teabags AfterWet'!B240,"")</f>
        <v>147</v>
      </c>
      <c r="Q241">
        <f>'Both teabags AfterWet'!B658</f>
        <v>169</v>
      </c>
      <c r="S241" s="401" t="b">
        <f t="shared" si="78"/>
        <v>0</v>
      </c>
      <c r="T241" s="401" t="b">
        <f t="shared" si="79"/>
        <v>0</v>
      </c>
      <c r="V241" t="str">
        <f>'Both teabags AfterDry'!A240</f>
        <v>G482</v>
      </c>
      <c r="W241" t="str">
        <f>'Both teabags AfterDry'!A577</f>
        <v>R725</v>
      </c>
      <c r="X241" t="b">
        <f t="shared" si="80"/>
        <v>0</v>
      </c>
      <c r="Y241" t="b">
        <f t="shared" si="81"/>
        <v>0</v>
      </c>
      <c r="AA241" t="str">
        <f>'Green_rooibos initial weight'!A242</f>
        <v>G238</v>
      </c>
      <c r="AB241" t="str">
        <f>'Green_rooibos initial weight'!A1146</f>
        <v>R238</v>
      </c>
      <c r="AC241" t="b">
        <f t="shared" si="82"/>
        <v>0</v>
      </c>
      <c r="AD241" t="b">
        <f t="shared" si="83"/>
        <v>0</v>
      </c>
      <c r="AG241" t="str">
        <f>'WetLitterbags placem_collection'!O20</f>
        <v>G573</v>
      </c>
      <c r="AH241" t="str">
        <f>'WetLitterbags placem_collection'!Q20</f>
        <v>R274</v>
      </c>
      <c r="AI241" t="b">
        <f t="shared" si="84"/>
        <v>0</v>
      </c>
      <c r="AJ241" t="b">
        <f t="shared" si="85"/>
        <v>0</v>
      </c>
      <c r="AK241">
        <f>'WetLitterbags placem_collection'!A20</f>
        <v>18</v>
      </c>
      <c r="AL241">
        <f>'WetLitterbags placem_collection'!A20</f>
        <v>18</v>
      </c>
      <c r="AN241">
        <f>IF('Dry_Litterbag Placem_Collection'!L20=0,"",'Dry_Litterbag Placem_Collection'!L20)</f>
        <v>113</v>
      </c>
      <c r="AO241">
        <f>IF('Dry_Litterbag Placem_Collection'!M20=0,"",'Dry_Litterbag Placem_Collection'!M20)</f>
        <v>361</v>
      </c>
      <c r="AP241" t="b">
        <f t="shared" si="86"/>
        <v>0</v>
      </c>
      <c r="AQ241" t="b">
        <f t="shared" si="87"/>
        <v>0</v>
      </c>
      <c r="AT241" t="str">
        <f>'Ashed teabags dry'!A239</f>
        <v>G484</v>
      </c>
      <c r="AU241" t="str">
        <f>'Ashed teabags dry'!A576</f>
        <v>R725</v>
      </c>
      <c r="AV241" t="b">
        <f t="shared" si="88"/>
        <v>0</v>
      </c>
      <c r="AW241" s="113" t="b">
        <f t="shared" si="89"/>
        <v>1</v>
      </c>
      <c r="AZ241" s="401" t="b">
        <f t="shared" si="90"/>
        <v>0</v>
      </c>
      <c r="BA241" s="401" t="b">
        <f t="shared" si="91"/>
        <v>0</v>
      </c>
      <c r="BC241" t="str">
        <f>'Ashed teabags wet'!A239</f>
        <v>G679</v>
      </c>
      <c r="BD241" t="str">
        <f>'Ashed teabags wet'!A656</f>
        <v>R471</v>
      </c>
      <c r="BE241" t="b">
        <f t="shared" si="92"/>
        <v>0</v>
      </c>
      <c r="BF241" t="b">
        <f t="shared" si="93"/>
        <v>0</v>
      </c>
      <c r="BG241">
        <f>IFERROR('Ashed teabags wet'!C239,"")</f>
        <v>48</v>
      </c>
      <c r="BH241">
        <f>IFERROR('Ashed teabags wet'!C656,"")</f>
        <v>124</v>
      </c>
      <c r="BI241">
        <f>'Ashed teabags wet'!AB239</f>
        <v>47</v>
      </c>
      <c r="BJ241" t="str">
        <f>'Ashed teabags wet'!AC239</f>
        <v/>
      </c>
      <c r="BK241" t="str">
        <f>'Ashed teabags wet'!AD656</f>
        <v/>
      </c>
      <c r="BL241">
        <f>'Ashed teabags wet'!AE656</f>
        <v>123</v>
      </c>
      <c r="BN241" t="str">
        <f t="shared" si="94"/>
        <v>G678</v>
      </c>
      <c r="BO241" t="b">
        <f t="shared" si="95"/>
        <v>1</v>
      </c>
    </row>
    <row r="242" spans="2:68" ht="12" customHeight="1">
      <c r="B242" t="str">
        <f>TBIDry!H314</f>
        <v>G394</v>
      </c>
      <c r="C242" t="str">
        <f>TBIDry!I314</f>
        <v>R280</v>
      </c>
      <c r="D242" t="b">
        <f t="shared" si="72"/>
        <v>0</v>
      </c>
      <c r="E242" t="b">
        <f t="shared" si="73"/>
        <v>0</v>
      </c>
      <c r="G242" t="str">
        <f>TBIWet!H314</f>
        <v>G639</v>
      </c>
      <c r="H242" t="str">
        <f>TBIWet!I314</f>
        <v>R566</v>
      </c>
      <c r="I242" t="b">
        <f t="shared" si="74"/>
        <v>0</v>
      </c>
      <c r="J242" t="b">
        <f t="shared" si="75"/>
        <v>0</v>
      </c>
      <c r="L242" t="str">
        <f>'Both teabags AfterWet'!A241</f>
        <v>G679</v>
      </c>
      <c r="M242" t="str">
        <f>'Both teabags AfterWet'!A659</f>
        <v>R454</v>
      </c>
      <c r="N242" t="b">
        <f t="shared" si="76"/>
        <v>0</v>
      </c>
      <c r="O242" t="b">
        <f t="shared" si="77"/>
        <v>0</v>
      </c>
      <c r="P242">
        <f>IFERROR('Both teabags AfterWet'!B241,"")</f>
        <v>46</v>
      </c>
      <c r="Q242">
        <f>'Both teabags AfterWet'!B659</f>
        <v>120</v>
      </c>
      <c r="S242" s="401" t="b">
        <f t="shared" si="78"/>
        <v>0</v>
      </c>
      <c r="T242" s="401" t="b">
        <f t="shared" si="79"/>
        <v>0</v>
      </c>
      <c r="V242" t="str">
        <f>'Both teabags AfterDry'!A241</f>
        <v>G484</v>
      </c>
      <c r="W242" t="str">
        <f>'Both teabags AfterDry'!A578</f>
        <v>R726</v>
      </c>
      <c r="X242" t="b">
        <f t="shared" si="80"/>
        <v>0</v>
      </c>
      <c r="Y242" t="b">
        <f t="shared" si="81"/>
        <v>0</v>
      </c>
      <c r="AA242" t="str">
        <f>'Green_rooibos initial weight'!A243</f>
        <v>G239</v>
      </c>
      <c r="AB242" t="str">
        <f>'Green_rooibos initial weight'!A1147</f>
        <v>R239</v>
      </c>
      <c r="AC242" t="b">
        <f t="shared" si="82"/>
        <v>0</v>
      </c>
      <c r="AD242" t="b">
        <f t="shared" si="83"/>
        <v>0</v>
      </c>
      <c r="AG242" t="str">
        <f>'WetLitterbags placem_collection'!O21</f>
        <v>G639</v>
      </c>
      <c r="AH242" t="str">
        <f>'WetLitterbags placem_collection'!Q21</f>
        <v>R566</v>
      </c>
      <c r="AI242" t="b">
        <f t="shared" si="84"/>
        <v>0</v>
      </c>
      <c r="AJ242" t="b">
        <f t="shared" si="85"/>
        <v>0</v>
      </c>
      <c r="AK242">
        <f>'WetLitterbags placem_collection'!A21</f>
        <v>19</v>
      </c>
      <c r="AL242">
        <f>'WetLitterbags placem_collection'!A21</f>
        <v>19</v>
      </c>
      <c r="AN242">
        <f>IF('Dry_Litterbag Placem_Collection'!L21=0,"",'Dry_Litterbag Placem_Collection'!L21)</f>
        <v>394</v>
      </c>
      <c r="AO242">
        <f>IF('Dry_Litterbag Placem_Collection'!M21=0,"",'Dry_Litterbag Placem_Collection'!M21)</f>
        <v>280</v>
      </c>
      <c r="AP242" t="b">
        <f t="shared" si="86"/>
        <v>0</v>
      </c>
      <c r="AQ242" t="b">
        <f t="shared" si="87"/>
        <v>0</v>
      </c>
      <c r="AT242" t="str">
        <f>'Ashed teabags dry'!A240</f>
        <v>G485</v>
      </c>
      <c r="AU242" t="str">
        <f>'Ashed teabags dry'!A577</f>
        <v>R725</v>
      </c>
      <c r="AV242" t="b">
        <f t="shared" si="88"/>
        <v>0</v>
      </c>
      <c r="AW242" s="113" t="b">
        <f t="shared" si="89"/>
        <v>1</v>
      </c>
      <c r="AZ242" s="401" t="b">
        <f t="shared" si="90"/>
        <v>0</v>
      </c>
      <c r="BA242" s="401" t="b">
        <f t="shared" si="91"/>
        <v>0</v>
      </c>
      <c r="BC242" t="str">
        <f>'Ashed teabags wet'!A240</f>
        <v>G680</v>
      </c>
      <c r="BD242" t="str">
        <f>'Ashed teabags wet'!A657</f>
        <v>R474</v>
      </c>
      <c r="BE242" t="b">
        <f t="shared" si="92"/>
        <v>0</v>
      </c>
      <c r="BF242" t="b">
        <f t="shared" si="93"/>
        <v>0</v>
      </c>
      <c r="BG242">
        <f>IFERROR('Ashed teabags wet'!C240,"")</f>
        <v>168</v>
      </c>
      <c r="BH242">
        <f>IFERROR('Ashed teabags wet'!C657,"")</f>
        <v>136</v>
      </c>
      <c r="BI242" t="str">
        <f>'Ashed teabags wet'!AB240</f>
        <v/>
      </c>
      <c r="BJ242">
        <f>'Ashed teabags wet'!AC240</f>
        <v>167</v>
      </c>
      <c r="BK242">
        <f>'Ashed teabags wet'!AD657</f>
        <v>135</v>
      </c>
      <c r="BL242" t="str">
        <f>'Ashed teabags wet'!AE657</f>
        <v/>
      </c>
      <c r="BN242" t="str">
        <f t="shared" si="94"/>
        <v>G679</v>
      </c>
      <c r="BO242" t="b">
        <f t="shared" si="95"/>
        <v>1</v>
      </c>
    </row>
    <row r="243" spans="2:68" ht="12" customHeight="1">
      <c r="B243" t="str">
        <f>TBIDry!H315</f>
        <v>G79</v>
      </c>
      <c r="C243" t="str">
        <f>TBIDry!I315</f>
        <v>R320</v>
      </c>
      <c r="D243" t="b">
        <f t="shared" si="72"/>
        <v>0</v>
      </c>
      <c r="E243" t="b">
        <f t="shared" si="73"/>
        <v>0</v>
      </c>
      <c r="G243" t="str">
        <f>TBIWet!H315</f>
        <v>G505</v>
      </c>
      <c r="H243" t="str">
        <f>TBIWet!I315</f>
        <v>R110</v>
      </c>
      <c r="I243" t="b">
        <f t="shared" si="74"/>
        <v>0</v>
      </c>
      <c r="J243" t="b">
        <f t="shared" si="75"/>
        <v>0</v>
      </c>
      <c r="L243" t="str">
        <f>'Both teabags AfterWet'!A242</f>
        <v>G680</v>
      </c>
      <c r="M243" t="str">
        <f>'Both teabags AfterWet'!A660</f>
        <v>R456</v>
      </c>
      <c r="N243" t="b">
        <f t="shared" si="76"/>
        <v>0</v>
      </c>
      <c r="O243" t="b">
        <f t="shared" si="77"/>
        <v>0</v>
      </c>
      <c r="P243">
        <f>IFERROR('Both teabags AfterWet'!B242,"")</f>
        <v>168</v>
      </c>
      <c r="Q243">
        <f>'Both teabags AfterWet'!B660</f>
        <v>143</v>
      </c>
      <c r="S243" s="401" t="b">
        <f t="shared" si="78"/>
        <v>0</v>
      </c>
      <c r="T243" s="401" t="b">
        <f t="shared" si="79"/>
        <v>0</v>
      </c>
      <c r="V243" t="str">
        <f>'Both teabags AfterDry'!A242</f>
        <v>G485</v>
      </c>
      <c r="W243" t="str">
        <f>'Both teabags AfterDry'!A579</f>
        <v>R727</v>
      </c>
      <c r="X243" t="b">
        <f t="shared" si="80"/>
        <v>0</v>
      </c>
      <c r="Y243" t="b">
        <f t="shared" si="81"/>
        <v>0</v>
      </c>
      <c r="AA243" t="str">
        <f>'Green_rooibos initial weight'!A244</f>
        <v>G240</v>
      </c>
      <c r="AB243" t="str">
        <f>'Green_rooibos initial weight'!A1148</f>
        <v>R240</v>
      </c>
      <c r="AC243" t="b">
        <f t="shared" si="82"/>
        <v>0</v>
      </c>
      <c r="AD243" t="b">
        <f t="shared" si="83"/>
        <v>0</v>
      </c>
      <c r="AG243" t="str">
        <f>'WetLitterbags placem_collection'!O22</f>
        <v>G505</v>
      </c>
      <c r="AH243" t="str">
        <f>'WetLitterbags placem_collection'!Q22</f>
        <v>R110</v>
      </c>
      <c r="AI243" t="b">
        <f t="shared" si="84"/>
        <v>0</v>
      </c>
      <c r="AJ243" t="b">
        <f t="shared" si="85"/>
        <v>0</v>
      </c>
      <c r="AK243">
        <f>'WetLitterbags placem_collection'!A22</f>
        <v>20</v>
      </c>
      <c r="AL243">
        <f>'WetLitterbags placem_collection'!A22</f>
        <v>20</v>
      </c>
      <c r="AN243">
        <f>IF('Dry_Litterbag Placem_Collection'!L22=0,"",'Dry_Litterbag Placem_Collection'!L22)</f>
        <v>79</v>
      </c>
      <c r="AO243">
        <f>IF('Dry_Litterbag Placem_Collection'!M22=0,"",'Dry_Litterbag Placem_Collection'!M22)</f>
        <v>320</v>
      </c>
      <c r="AP243" t="b">
        <f t="shared" si="86"/>
        <v>0</v>
      </c>
      <c r="AQ243" t="b">
        <f t="shared" si="87"/>
        <v>0</v>
      </c>
      <c r="AT243" t="str">
        <f>'Ashed teabags dry'!A241</f>
        <v>G49</v>
      </c>
      <c r="AU243" t="str">
        <f>'Ashed teabags dry'!A578</f>
        <v>R726</v>
      </c>
      <c r="AV243" t="b">
        <f t="shared" si="88"/>
        <v>0</v>
      </c>
      <c r="AW243" t="b">
        <f t="shared" si="89"/>
        <v>0</v>
      </c>
      <c r="AZ243" s="401" t="b">
        <f t="shared" si="90"/>
        <v>0</v>
      </c>
      <c r="BA243" s="401" t="b">
        <f t="shared" si="91"/>
        <v>0</v>
      </c>
      <c r="BC243" t="str">
        <f>'Ashed teabags wet'!A241</f>
        <v>G681</v>
      </c>
      <c r="BD243" t="str">
        <f>'Ashed teabags wet'!A658</f>
        <v>R475</v>
      </c>
      <c r="BE243" t="b">
        <f t="shared" si="92"/>
        <v>0</v>
      </c>
      <c r="BF243" t="b">
        <f t="shared" si="93"/>
        <v>0</v>
      </c>
      <c r="BG243">
        <f>IFERROR('Ashed teabags wet'!C241,"")</f>
        <v>118</v>
      </c>
      <c r="BH243">
        <f>IFERROR('Ashed teabags wet'!C658,"")</f>
        <v>104</v>
      </c>
      <c r="BI243">
        <f>'Ashed teabags wet'!AB241</f>
        <v>117</v>
      </c>
      <c r="BJ243" t="str">
        <f>'Ashed teabags wet'!AC241</f>
        <v/>
      </c>
      <c r="BK243" t="str">
        <f>'Ashed teabags wet'!AD658</f>
        <v/>
      </c>
      <c r="BL243">
        <f>'Ashed teabags wet'!AE658</f>
        <v>103</v>
      </c>
      <c r="BN243" t="str">
        <f t="shared" si="94"/>
        <v>G680</v>
      </c>
      <c r="BO243" t="b">
        <f t="shared" si="95"/>
        <v>1</v>
      </c>
    </row>
    <row r="244" spans="2:68" ht="12" customHeight="1">
      <c r="B244" t="str">
        <f>TBIDry!H316</f>
        <v>G488</v>
      </c>
      <c r="C244" t="str">
        <f>TBIDry!I316</f>
        <v>R209</v>
      </c>
      <c r="D244" t="b">
        <f t="shared" si="72"/>
        <v>0</v>
      </c>
      <c r="E244" t="b">
        <f t="shared" si="73"/>
        <v>0</v>
      </c>
      <c r="G244" t="str">
        <f>TBIWet!H316</f>
        <v>G721</v>
      </c>
      <c r="H244" t="str">
        <f>TBIWet!I316</f>
        <v>R79</v>
      </c>
      <c r="I244" t="b">
        <f t="shared" si="74"/>
        <v>0</v>
      </c>
      <c r="J244" s="113" t="b">
        <f t="shared" si="75"/>
        <v>0</v>
      </c>
      <c r="L244" t="str">
        <f>'Both teabags AfterWet'!A243</f>
        <v>G681</v>
      </c>
      <c r="M244" t="str">
        <f>'Both teabags AfterWet'!A661</f>
        <v>R457</v>
      </c>
      <c r="N244" t="b">
        <f t="shared" si="76"/>
        <v>0</v>
      </c>
      <c r="O244" t="b">
        <f t="shared" si="77"/>
        <v>0</v>
      </c>
      <c r="P244">
        <f>IFERROR('Both teabags AfterWet'!B243,"")</f>
        <v>118</v>
      </c>
      <c r="Q244">
        <f>'Both teabags AfterWet'!B661</f>
        <v>216</v>
      </c>
      <c r="S244" s="401" t="b">
        <f t="shared" si="78"/>
        <v>0</v>
      </c>
      <c r="T244" s="401" t="b">
        <f t="shared" si="79"/>
        <v>0</v>
      </c>
      <c r="V244" t="str">
        <f>'Both teabags AfterDry'!A243</f>
        <v>G49</v>
      </c>
      <c r="W244" t="str">
        <f>'Both teabags AfterDry'!A580</f>
        <v>R728</v>
      </c>
      <c r="X244" t="b">
        <f t="shared" si="80"/>
        <v>0</v>
      </c>
      <c r="Y244" t="b">
        <f t="shared" si="81"/>
        <v>0</v>
      </c>
      <c r="AA244" t="str">
        <f>'Green_rooibos initial weight'!A245</f>
        <v>G241</v>
      </c>
      <c r="AB244" t="str">
        <f>'Green_rooibos initial weight'!A1149</f>
        <v>R241</v>
      </c>
      <c r="AC244" t="b">
        <f t="shared" si="82"/>
        <v>0</v>
      </c>
      <c r="AD244" t="b">
        <f t="shared" si="83"/>
        <v>0</v>
      </c>
      <c r="AG244" t="str">
        <f>'WetLitterbags placem_collection'!O23</f>
        <v>G721</v>
      </c>
      <c r="AH244" t="str">
        <f>'WetLitterbags placem_collection'!Q23</f>
        <v>R79</v>
      </c>
      <c r="AI244" t="b">
        <f t="shared" si="84"/>
        <v>0</v>
      </c>
      <c r="AJ244" t="b">
        <f t="shared" si="85"/>
        <v>0</v>
      </c>
      <c r="AK244">
        <f>'WetLitterbags placem_collection'!A23</f>
        <v>21</v>
      </c>
      <c r="AL244">
        <f>'WetLitterbags placem_collection'!A23</f>
        <v>21</v>
      </c>
      <c r="AN244">
        <f>IF('Dry_Litterbag Placem_Collection'!L23=0,"",'Dry_Litterbag Placem_Collection'!L23)</f>
        <v>488</v>
      </c>
      <c r="AO244">
        <f>IF('Dry_Litterbag Placem_Collection'!M23=0,"",'Dry_Litterbag Placem_Collection'!M23)</f>
        <v>209</v>
      </c>
      <c r="AP244" t="b">
        <f t="shared" si="86"/>
        <v>0</v>
      </c>
      <c r="AQ244" t="b">
        <f t="shared" si="87"/>
        <v>0</v>
      </c>
      <c r="AT244" t="str">
        <f>'Ashed teabags dry'!A242</f>
        <v>G490</v>
      </c>
      <c r="AU244" t="str">
        <f>'Ashed teabags dry'!A579</f>
        <v>R727</v>
      </c>
      <c r="AV244" t="b">
        <f t="shared" si="88"/>
        <v>0</v>
      </c>
      <c r="AW244" t="b">
        <f t="shared" si="89"/>
        <v>0</v>
      </c>
      <c r="AZ244" s="401" t="b">
        <f t="shared" si="90"/>
        <v>0</v>
      </c>
      <c r="BA244" s="401" t="b">
        <f t="shared" si="91"/>
        <v>0</v>
      </c>
      <c r="BC244" t="str">
        <f>'Ashed teabags wet'!A242</f>
        <v>G682</v>
      </c>
      <c r="BD244" t="str">
        <f>'Ashed teabags wet'!A659</f>
        <v>R477</v>
      </c>
      <c r="BE244" t="b">
        <f t="shared" si="92"/>
        <v>0</v>
      </c>
      <c r="BF244" t="b">
        <f t="shared" si="93"/>
        <v>0</v>
      </c>
      <c r="BG244">
        <f>IFERROR('Ashed teabags wet'!C242,"")</f>
        <v>124</v>
      </c>
      <c r="BH244">
        <f>IFERROR('Ashed teabags wet'!C659,"")</f>
        <v>132</v>
      </c>
      <c r="BI244" t="str">
        <f>'Ashed teabags wet'!AB242</f>
        <v/>
      </c>
      <c r="BJ244">
        <f>'Ashed teabags wet'!AC242</f>
        <v>123</v>
      </c>
      <c r="BK244" t="str">
        <f>'Ashed teabags wet'!AD659</f>
        <v/>
      </c>
      <c r="BL244">
        <f>'Ashed teabags wet'!AE659</f>
        <v>131</v>
      </c>
      <c r="BN244" t="str">
        <f t="shared" si="94"/>
        <v>G681</v>
      </c>
      <c r="BO244" t="b">
        <f t="shared" si="95"/>
        <v>1</v>
      </c>
    </row>
    <row r="245" spans="2:68" ht="12" customHeight="1">
      <c r="B245" t="str">
        <f>TBIDry!H317</f>
        <v>G750</v>
      </c>
      <c r="C245" t="str">
        <f>TBIDry!I317</f>
        <v>R646</v>
      </c>
      <c r="D245" t="b">
        <f t="shared" si="72"/>
        <v>0</v>
      </c>
      <c r="E245" t="b">
        <f t="shared" si="73"/>
        <v>0</v>
      </c>
      <c r="G245" t="str">
        <f>TBIWet!H317</f>
        <v>G552</v>
      </c>
      <c r="H245" t="str">
        <f>TBIWet!I317</f>
        <v>R45</v>
      </c>
      <c r="I245" t="b">
        <f t="shared" si="74"/>
        <v>0</v>
      </c>
      <c r="J245" t="b">
        <f t="shared" si="75"/>
        <v>0</v>
      </c>
      <c r="L245" t="str">
        <f>'Both teabags AfterWet'!A244</f>
        <v>G682</v>
      </c>
      <c r="M245" t="str">
        <f>'Both teabags AfterWet'!A662</f>
        <v>R458</v>
      </c>
      <c r="N245" t="b">
        <f t="shared" si="76"/>
        <v>0</v>
      </c>
      <c r="O245" t="b">
        <f t="shared" si="77"/>
        <v>0</v>
      </c>
      <c r="P245">
        <f>IFERROR('Both teabags AfterWet'!B244,"")</f>
        <v>124</v>
      </c>
      <c r="Q245">
        <f>'Both teabags AfterWet'!B662</f>
        <v>175</v>
      </c>
      <c r="S245" s="401" t="b">
        <f t="shared" si="78"/>
        <v>0</v>
      </c>
      <c r="T245" s="401" t="b">
        <f t="shared" si="79"/>
        <v>0</v>
      </c>
      <c r="V245" t="str">
        <f>'Both teabags AfterDry'!A244</f>
        <v>G490</v>
      </c>
      <c r="W245" t="str">
        <f>'Both teabags AfterDry'!A581</f>
        <v>R729</v>
      </c>
      <c r="X245" t="b">
        <f t="shared" si="80"/>
        <v>0</v>
      </c>
      <c r="Y245" t="b">
        <f t="shared" si="81"/>
        <v>0</v>
      </c>
      <c r="AA245" t="str">
        <f>'Green_rooibos initial weight'!A246</f>
        <v>G242</v>
      </c>
      <c r="AB245" t="str">
        <f>'Green_rooibos initial weight'!A1150</f>
        <v>R242</v>
      </c>
      <c r="AC245" t="b">
        <f t="shared" si="82"/>
        <v>0</v>
      </c>
      <c r="AD245" t="b">
        <f t="shared" si="83"/>
        <v>0</v>
      </c>
      <c r="AG245" t="str">
        <f>'WetLitterbags placem_collection'!O24</f>
        <v>G552</v>
      </c>
      <c r="AH245" t="str">
        <f>'WetLitterbags placem_collection'!Q24</f>
        <v>R45</v>
      </c>
      <c r="AI245" t="b">
        <f t="shared" si="84"/>
        <v>0</v>
      </c>
      <c r="AJ245" t="b">
        <f t="shared" si="85"/>
        <v>0</v>
      </c>
      <c r="AK245">
        <f>'WetLitterbags placem_collection'!A24</f>
        <v>22</v>
      </c>
      <c r="AL245">
        <f>'WetLitterbags placem_collection'!A24</f>
        <v>22</v>
      </c>
      <c r="AN245">
        <f>IF('Dry_Litterbag Placem_Collection'!L24=0,"",'Dry_Litterbag Placem_Collection'!L24)</f>
        <v>750</v>
      </c>
      <c r="AO245">
        <f>IF('Dry_Litterbag Placem_Collection'!M24=0,"",'Dry_Litterbag Placem_Collection'!M24)</f>
        <v>646</v>
      </c>
      <c r="AP245" t="b">
        <f t="shared" si="86"/>
        <v>0</v>
      </c>
      <c r="AQ245" t="b">
        <f t="shared" si="87"/>
        <v>0</v>
      </c>
      <c r="AT245" t="str">
        <f>'Ashed teabags dry'!A243</f>
        <v>G493</v>
      </c>
      <c r="AU245" t="str">
        <f>'Ashed teabags dry'!A580</f>
        <v>R728</v>
      </c>
      <c r="AV245" t="b">
        <f t="shared" si="88"/>
        <v>0</v>
      </c>
      <c r="AW245" t="b">
        <f t="shared" si="89"/>
        <v>0</v>
      </c>
      <c r="AZ245" s="401" t="b">
        <f t="shared" si="90"/>
        <v>0</v>
      </c>
      <c r="BA245" s="401" t="b">
        <f t="shared" si="91"/>
        <v>0</v>
      </c>
      <c r="BC245" t="str">
        <f>'Ashed teabags wet'!A243</f>
        <v>G684</v>
      </c>
      <c r="BD245" t="str">
        <f>'Ashed teabags wet'!A660</f>
        <v>R479</v>
      </c>
      <c r="BE245" t="b">
        <f t="shared" si="92"/>
        <v>0</v>
      </c>
      <c r="BF245" t="b">
        <f t="shared" si="93"/>
        <v>0</v>
      </c>
      <c r="BG245">
        <f>IFERROR('Ashed teabags wet'!C243,"")</f>
        <v>154</v>
      </c>
      <c r="BH245">
        <f>IFERROR('Ashed teabags wet'!C660,"")</f>
        <v>153</v>
      </c>
      <c r="BI245" t="str">
        <f>'Ashed teabags wet'!AB243</f>
        <v/>
      </c>
      <c r="BJ245">
        <f>'Ashed teabags wet'!AC243</f>
        <v>153</v>
      </c>
      <c r="BK245">
        <f>'Ashed teabags wet'!AD660</f>
        <v>152</v>
      </c>
      <c r="BL245" t="str">
        <f>'Ashed teabags wet'!AE660</f>
        <v/>
      </c>
      <c r="BN245" t="str">
        <f t="shared" si="94"/>
        <v>G682</v>
      </c>
      <c r="BO245" t="b">
        <f t="shared" si="95"/>
        <v>1</v>
      </c>
    </row>
    <row r="246" spans="2:68" ht="12" customHeight="1">
      <c r="B246" t="str">
        <f>TBIDry!H318</f>
        <v/>
      </c>
      <c r="C246" t="str">
        <f>TBIDry!I318</f>
        <v/>
      </c>
      <c r="D246" t="b">
        <f t="shared" si="72"/>
        <v>1</v>
      </c>
      <c r="E246" t="b">
        <f t="shared" si="73"/>
        <v>1</v>
      </c>
      <c r="G246" t="str">
        <f>TBIWet!H318</f>
        <v>G456</v>
      </c>
      <c r="H246" t="str">
        <f>TBIWet!I318</f>
        <v>R132</v>
      </c>
      <c r="I246" t="b">
        <f t="shared" si="74"/>
        <v>0</v>
      </c>
      <c r="J246" t="b">
        <f t="shared" si="75"/>
        <v>0</v>
      </c>
      <c r="L246" t="str">
        <f>'Both teabags AfterWet'!A245</f>
        <v>G684</v>
      </c>
      <c r="M246" t="str">
        <f>'Both teabags AfterWet'!A663</f>
        <v>R459</v>
      </c>
      <c r="N246" t="b">
        <f t="shared" si="76"/>
        <v>0</v>
      </c>
      <c r="O246" t="b">
        <f t="shared" si="77"/>
        <v>0</v>
      </c>
      <c r="P246">
        <f>IFERROR('Both teabags AfterWet'!B245,"")</f>
        <v>154</v>
      </c>
      <c r="Q246">
        <f>'Both teabags AfterWet'!B663</f>
        <v>116</v>
      </c>
      <c r="S246" s="401" t="b">
        <f t="shared" si="78"/>
        <v>0</v>
      </c>
      <c r="T246" s="401" t="b">
        <f t="shared" si="79"/>
        <v>0</v>
      </c>
      <c r="V246" t="str">
        <f>'Both teabags AfterDry'!A245</f>
        <v>G5</v>
      </c>
      <c r="W246" t="str">
        <f>'Both teabags AfterDry'!A582</f>
        <v>R732</v>
      </c>
      <c r="X246" t="b">
        <f t="shared" si="80"/>
        <v>0</v>
      </c>
      <c r="Y246" t="b">
        <f t="shared" si="81"/>
        <v>0</v>
      </c>
      <c r="AA246" t="str">
        <f>'Green_rooibos initial weight'!A247</f>
        <v>G243</v>
      </c>
      <c r="AB246" t="str">
        <f>'Green_rooibos initial weight'!A1151</f>
        <v>R243</v>
      </c>
      <c r="AC246" t="b">
        <f t="shared" si="82"/>
        <v>0</v>
      </c>
      <c r="AD246" t="b">
        <f t="shared" si="83"/>
        <v>0</v>
      </c>
      <c r="AG246" t="str">
        <f>'WetLitterbags placem_collection'!O25</f>
        <v>G456</v>
      </c>
      <c r="AH246" t="str">
        <f>'WetLitterbags placem_collection'!Q25</f>
        <v>R132</v>
      </c>
      <c r="AI246" t="b">
        <f t="shared" si="84"/>
        <v>0</v>
      </c>
      <c r="AJ246" t="b">
        <f t="shared" si="85"/>
        <v>0</v>
      </c>
      <c r="AK246">
        <f>'WetLitterbags placem_collection'!A25</f>
        <v>23</v>
      </c>
      <c r="AL246">
        <f>'WetLitterbags placem_collection'!A25</f>
        <v>23</v>
      </c>
      <c r="AN246" t="str">
        <f>IF('Dry_Litterbag Placem_Collection'!L25=0,"",'Dry_Litterbag Placem_Collection'!L25)</f>
        <v/>
      </c>
      <c r="AO246" t="str">
        <f>IF('Dry_Litterbag Placem_Collection'!M25=0,"",'Dry_Litterbag Placem_Collection'!M25)</f>
        <v/>
      </c>
      <c r="AP246" t="b">
        <f t="shared" si="86"/>
        <v>1</v>
      </c>
      <c r="AQ246" t="b">
        <f t="shared" si="87"/>
        <v>1</v>
      </c>
      <c r="AT246" t="str">
        <f>'Ashed teabags dry'!A244</f>
        <v>G5</v>
      </c>
      <c r="AU246" t="str">
        <f>'Ashed teabags dry'!A581</f>
        <v>R729</v>
      </c>
      <c r="AV246" t="b">
        <f t="shared" si="88"/>
        <v>0</v>
      </c>
      <c r="AW246" t="b">
        <f t="shared" si="89"/>
        <v>0</v>
      </c>
      <c r="AZ246" s="401" t="b">
        <f t="shared" si="90"/>
        <v>0</v>
      </c>
      <c r="BA246" s="401" t="b">
        <f t="shared" si="91"/>
        <v>0</v>
      </c>
      <c r="BC246" t="str">
        <f>'Ashed teabags wet'!A244</f>
        <v>G685</v>
      </c>
      <c r="BD246" t="str">
        <f>'Ashed teabags wet'!A661</f>
        <v>R48</v>
      </c>
      <c r="BE246" t="b">
        <f t="shared" si="92"/>
        <v>0</v>
      </c>
      <c r="BF246" t="b">
        <f t="shared" si="93"/>
        <v>0</v>
      </c>
      <c r="BG246">
        <f>IFERROR('Ashed teabags wet'!C244,"")</f>
        <v>15</v>
      </c>
      <c r="BH246">
        <f>IFERROR('Ashed teabags wet'!C661,"")</f>
        <v>58</v>
      </c>
      <c r="BI246" t="str">
        <f>'Ashed teabags wet'!AB244</f>
        <v/>
      </c>
      <c r="BJ246">
        <f>'Ashed teabags wet'!AC244</f>
        <v>14</v>
      </c>
      <c r="BK246">
        <f>'Ashed teabags wet'!AD661</f>
        <v>57</v>
      </c>
      <c r="BL246" t="str">
        <f>'Ashed teabags wet'!AE661</f>
        <v/>
      </c>
      <c r="BN246" t="str">
        <f t="shared" si="94"/>
        <v>G684</v>
      </c>
      <c r="BO246" t="b">
        <f t="shared" si="95"/>
        <v>1</v>
      </c>
    </row>
    <row r="247" spans="2:68" ht="12" customHeight="1">
      <c r="B247" t="str">
        <f>TBIDry!H319</f>
        <v>G562</v>
      </c>
      <c r="C247" t="str">
        <f>TBIDry!I319</f>
        <v>R650</v>
      </c>
      <c r="D247" t="b">
        <f t="shared" si="72"/>
        <v>0</v>
      </c>
      <c r="E247" t="b">
        <f t="shared" si="73"/>
        <v>0</v>
      </c>
      <c r="G247" t="str">
        <f>TBIWet!H319</f>
        <v>G421</v>
      </c>
      <c r="H247" t="str">
        <f>TBIWet!I319</f>
        <v>R71</v>
      </c>
      <c r="I247" t="b">
        <f t="shared" si="74"/>
        <v>0</v>
      </c>
      <c r="J247" t="b">
        <f t="shared" si="75"/>
        <v>0</v>
      </c>
      <c r="L247" t="str">
        <f>'Both teabags AfterWet'!A246</f>
        <v>G685</v>
      </c>
      <c r="M247" t="str">
        <f>'Both teabags AfterWet'!A664</f>
        <v>R46</v>
      </c>
      <c r="N247" t="b">
        <f t="shared" si="76"/>
        <v>0</v>
      </c>
      <c r="O247" t="b">
        <f t="shared" si="77"/>
        <v>0</v>
      </c>
      <c r="P247">
        <f>IFERROR('Both teabags AfterWet'!B246,"")</f>
        <v>15</v>
      </c>
      <c r="Q247">
        <f>'Both teabags AfterWet'!B664</f>
        <v>129</v>
      </c>
      <c r="S247" s="401" t="b">
        <f t="shared" si="78"/>
        <v>0</v>
      </c>
      <c r="T247" s="401" t="b">
        <f t="shared" si="79"/>
        <v>0</v>
      </c>
      <c r="V247" t="str">
        <f>'Both teabags AfterDry'!A246</f>
        <v>G50</v>
      </c>
      <c r="W247" t="str">
        <f>'Both teabags AfterDry'!A583</f>
        <v>R733</v>
      </c>
      <c r="X247" t="b">
        <f t="shared" si="80"/>
        <v>0</v>
      </c>
      <c r="Y247" t="b">
        <f t="shared" si="81"/>
        <v>0</v>
      </c>
      <c r="AA247" t="str">
        <f>'Green_rooibos initial weight'!A248</f>
        <v>G244</v>
      </c>
      <c r="AB247" t="str">
        <f>'Green_rooibos initial weight'!A1152</f>
        <v>R244</v>
      </c>
      <c r="AC247" t="b">
        <f t="shared" si="82"/>
        <v>0</v>
      </c>
      <c r="AD247" t="b">
        <f t="shared" si="83"/>
        <v>0</v>
      </c>
      <c r="AG247" t="str">
        <f>'WetLitterbags placem_collection'!O26</f>
        <v>G421</v>
      </c>
      <c r="AH247" t="str">
        <f>'WetLitterbags placem_collection'!Q26</f>
        <v>R71</v>
      </c>
      <c r="AI247" t="b">
        <f t="shared" si="84"/>
        <v>0</v>
      </c>
      <c r="AJ247" t="b">
        <f t="shared" si="85"/>
        <v>0</v>
      </c>
      <c r="AK247">
        <f>'WetLitterbags placem_collection'!A26</f>
        <v>24</v>
      </c>
      <c r="AL247">
        <f>'WetLitterbags placem_collection'!A26</f>
        <v>24</v>
      </c>
      <c r="AN247">
        <f>IF('Dry_Litterbag Placem_Collection'!L26=0,"",'Dry_Litterbag Placem_Collection'!L26)</f>
        <v>562</v>
      </c>
      <c r="AO247">
        <f>IF('Dry_Litterbag Placem_Collection'!M26=0,"",'Dry_Litterbag Placem_Collection'!M26)</f>
        <v>650</v>
      </c>
      <c r="AP247" t="b">
        <f t="shared" si="86"/>
        <v>0</v>
      </c>
      <c r="AQ247" t="b">
        <f t="shared" si="87"/>
        <v>0</v>
      </c>
      <c r="AT247" t="str">
        <f>'Ashed teabags dry'!A245</f>
        <v>G50</v>
      </c>
      <c r="AU247" t="str">
        <f>'Ashed teabags dry'!A582</f>
        <v>R732</v>
      </c>
      <c r="AV247" t="b">
        <f t="shared" si="88"/>
        <v>0</v>
      </c>
      <c r="AW247" t="b">
        <f t="shared" si="89"/>
        <v>0</v>
      </c>
      <c r="AZ247" s="401" t="b">
        <f t="shared" si="90"/>
        <v>0</v>
      </c>
      <c r="BA247" s="401" t="b">
        <f t="shared" si="91"/>
        <v>0</v>
      </c>
      <c r="BC247" t="str">
        <f>'Ashed teabags wet'!A245</f>
        <v>G686</v>
      </c>
      <c r="BD247" t="str">
        <f>'Ashed teabags wet'!A662</f>
        <v>R480</v>
      </c>
      <c r="BE247" t="b">
        <f t="shared" si="92"/>
        <v>0</v>
      </c>
      <c r="BF247" t="b">
        <f t="shared" si="93"/>
        <v>0</v>
      </c>
      <c r="BG247">
        <f>IFERROR('Ashed teabags wet'!C245,"")</f>
        <v>164</v>
      </c>
      <c r="BH247">
        <f>IFERROR('Ashed teabags wet'!C662,"")</f>
        <v>116</v>
      </c>
      <c r="BI247">
        <f>'Ashed teabags wet'!AB245</f>
        <v>163</v>
      </c>
      <c r="BJ247" t="str">
        <f>'Ashed teabags wet'!AC245</f>
        <v/>
      </c>
      <c r="BK247" t="str">
        <f>'Ashed teabags wet'!AD662</f>
        <v/>
      </c>
      <c r="BL247">
        <f>'Ashed teabags wet'!AE662</f>
        <v>115</v>
      </c>
      <c r="BN247" t="str">
        <f t="shared" si="94"/>
        <v>G685</v>
      </c>
      <c r="BO247" t="b">
        <f t="shared" si="95"/>
        <v>1</v>
      </c>
    </row>
    <row r="248" spans="2:68" ht="12" customHeight="1">
      <c r="B248" t="str">
        <f>TBIDry!H320</f>
        <v>G156</v>
      </c>
      <c r="C248" t="str">
        <f>TBIDry!I320</f>
        <v>R230</v>
      </c>
      <c r="D248" t="b">
        <f t="shared" si="72"/>
        <v>0</v>
      </c>
      <c r="E248" t="b">
        <f t="shared" si="73"/>
        <v>0</v>
      </c>
      <c r="G248" t="str">
        <f>TBIWet!H320</f>
        <v>G864</v>
      </c>
      <c r="H248" t="str">
        <f>TBIWet!I320</f>
        <v>R104</v>
      </c>
      <c r="I248" t="b">
        <f t="shared" si="74"/>
        <v>0</v>
      </c>
      <c r="J248" t="b">
        <f t="shared" si="75"/>
        <v>0</v>
      </c>
      <c r="L248" t="str">
        <f>'Both teabags AfterWet'!A247</f>
        <v>G686</v>
      </c>
      <c r="M248" t="str">
        <f>'Both teabags AfterWet'!A665</f>
        <v>R460</v>
      </c>
      <c r="N248" t="b">
        <f t="shared" si="76"/>
        <v>0</v>
      </c>
      <c r="O248" t="b">
        <f t="shared" si="77"/>
        <v>0</v>
      </c>
      <c r="P248">
        <f>IFERROR('Both teabags AfterWet'!B247,"")</f>
        <v>64</v>
      </c>
      <c r="Q248">
        <f>'Both teabags AfterWet'!B665</f>
        <v>142</v>
      </c>
      <c r="S248" s="401" t="b">
        <f t="shared" si="78"/>
        <v>0</v>
      </c>
      <c r="T248" s="401" t="b">
        <f t="shared" si="79"/>
        <v>0</v>
      </c>
      <c r="V248" t="str">
        <f>'Both teabags AfterDry'!A247</f>
        <v>G501</v>
      </c>
      <c r="W248" t="str">
        <f>'Both teabags AfterDry'!A584</f>
        <v>R734</v>
      </c>
      <c r="X248" t="b">
        <f t="shared" si="80"/>
        <v>0</v>
      </c>
      <c r="Y248" t="b">
        <f t="shared" si="81"/>
        <v>0</v>
      </c>
      <c r="AA248" t="str">
        <f>'Green_rooibos initial weight'!A249</f>
        <v>G245</v>
      </c>
      <c r="AB248" t="str">
        <f>'Green_rooibos initial weight'!A1153</f>
        <v>R245</v>
      </c>
      <c r="AC248" t="b">
        <f t="shared" si="82"/>
        <v>0</v>
      </c>
      <c r="AD248" t="b">
        <f t="shared" si="83"/>
        <v>0</v>
      </c>
      <c r="AG248" t="str">
        <f>'WetLitterbags placem_collection'!O27</f>
        <v>G864</v>
      </c>
      <c r="AH248" t="str">
        <f>'WetLitterbags placem_collection'!Q27</f>
        <v>R104</v>
      </c>
      <c r="AI248" t="b">
        <f t="shared" si="84"/>
        <v>0</v>
      </c>
      <c r="AJ248" t="b">
        <f t="shared" si="85"/>
        <v>0</v>
      </c>
      <c r="AK248">
        <f>'WetLitterbags placem_collection'!A27</f>
        <v>25</v>
      </c>
      <c r="AL248">
        <f>'WetLitterbags placem_collection'!A27</f>
        <v>25</v>
      </c>
      <c r="AN248">
        <f>IF('Dry_Litterbag Placem_Collection'!L27=0,"",'Dry_Litterbag Placem_Collection'!L27)</f>
        <v>156</v>
      </c>
      <c r="AO248">
        <f>IF('Dry_Litterbag Placem_Collection'!M27=0,"",'Dry_Litterbag Placem_Collection'!M27)</f>
        <v>230</v>
      </c>
      <c r="AP248" t="b">
        <f t="shared" si="86"/>
        <v>0</v>
      </c>
      <c r="AQ248" t="b">
        <f t="shared" si="87"/>
        <v>0</v>
      </c>
      <c r="AT248" t="str">
        <f>'Ashed teabags dry'!A246</f>
        <v>G501</v>
      </c>
      <c r="AU248" t="str">
        <f>'Ashed teabags dry'!A583</f>
        <v>R733</v>
      </c>
      <c r="AV248" t="b">
        <f t="shared" si="88"/>
        <v>0</v>
      </c>
      <c r="AW248" t="b">
        <f t="shared" si="89"/>
        <v>0</v>
      </c>
      <c r="AZ248" s="401" t="b">
        <f t="shared" si="90"/>
        <v>0</v>
      </c>
      <c r="BA248" s="401" t="b">
        <f t="shared" si="91"/>
        <v>0</v>
      </c>
      <c r="BC248" t="str">
        <f>'Ashed teabags wet'!A246</f>
        <v>G687</v>
      </c>
      <c r="BD248" t="str">
        <f>'Ashed teabags wet'!A663</f>
        <v>R481</v>
      </c>
      <c r="BE248" t="b">
        <f t="shared" si="92"/>
        <v>0</v>
      </c>
      <c r="BF248" t="b">
        <f t="shared" si="93"/>
        <v>0</v>
      </c>
      <c r="BG248">
        <f>IFERROR('Ashed teabags wet'!C246,"")</f>
        <v>127</v>
      </c>
      <c r="BH248">
        <f>IFERROR('Ashed teabags wet'!C663,"")</f>
        <v>175</v>
      </c>
      <c r="BI248" t="str">
        <f>'Ashed teabags wet'!AB246</f>
        <v/>
      </c>
      <c r="BJ248">
        <f>'Ashed teabags wet'!AC246</f>
        <v>126</v>
      </c>
      <c r="BK248" t="str">
        <f>'Ashed teabags wet'!AD663</f>
        <v/>
      </c>
      <c r="BL248">
        <f>'Ashed teabags wet'!AE663</f>
        <v>174</v>
      </c>
      <c r="BN248" t="str">
        <f t="shared" si="94"/>
        <v>G686</v>
      </c>
      <c r="BO248" t="b">
        <f t="shared" si="95"/>
        <v>1</v>
      </c>
    </row>
    <row r="249" spans="2:68" ht="12" customHeight="1">
      <c r="B249" t="str">
        <f>TBIDry!H321</f>
        <v>G555</v>
      </c>
      <c r="C249" t="str">
        <f>TBIDry!I321</f>
        <v>R642</v>
      </c>
      <c r="D249" t="b">
        <f t="shared" si="72"/>
        <v>0</v>
      </c>
      <c r="E249" t="b">
        <f t="shared" si="73"/>
        <v>0</v>
      </c>
      <c r="G249" t="str">
        <f>TBIWet!H321</f>
        <v>G506</v>
      </c>
      <c r="H249" t="str">
        <f>TBIWet!I321</f>
        <v>R189</v>
      </c>
      <c r="I249" t="b">
        <f t="shared" si="74"/>
        <v>0</v>
      </c>
      <c r="J249" t="b">
        <f t="shared" si="75"/>
        <v>0</v>
      </c>
      <c r="L249" t="str">
        <f>'Both teabags AfterWet'!A248</f>
        <v>G687</v>
      </c>
      <c r="M249" t="str">
        <f>'Both teabags AfterWet'!A666</f>
        <v>R461</v>
      </c>
      <c r="N249" t="b">
        <f t="shared" si="76"/>
        <v>0</v>
      </c>
      <c r="O249" t="b">
        <f t="shared" si="77"/>
        <v>0</v>
      </c>
      <c r="P249">
        <f>IFERROR('Both teabags AfterWet'!B248,"")</f>
        <v>127</v>
      </c>
      <c r="Q249">
        <f>'Both teabags AfterWet'!B666</f>
        <v>160</v>
      </c>
      <c r="S249" s="401" t="b">
        <f t="shared" si="78"/>
        <v>0</v>
      </c>
      <c r="T249" s="401" t="b">
        <f t="shared" si="79"/>
        <v>0</v>
      </c>
      <c r="V249" t="str">
        <f>'Both teabags AfterDry'!A248</f>
        <v>G51</v>
      </c>
      <c r="W249" t="str">
        <f>'Both teabags AfterDry'!A585</f>
        <v>R735</v>
      </c>
      <c r="X249" t="b">
        <f t="shared" si="80"/>
        <v>0</v>
      </c>
      <c r="Y249" t="b">
        <f t="shared" si="81"/>
        <v>0</v>
      </c>
      <c r="AA249" t="str">
        <f>'Green_rooibos initial weight'!A250</f>
        <v>G246</v>
      </c>
      <c r="AB249" t="str">
        <f>'Green_rooibos initial weight'!A1154</f>
        <v>R246</v>
      </c>
      <c r="AC249" t="b">
        <f t="shared" si="82"/>
        <v>0</v>
      </c>
      <c r="AD249" t="b">
        <f t="shared" si="83"/>
        <v>0</v>
      </c>
      <c r="AG249" t="str">
        <f>'WetLitterbags placem_collection'!O28</f>
        <v>G506</v>
      </c>
      <c r="AH249" t="str">
        <f>'WetLitterbags placem_collection'!Q28</f>
        <v>R189</v>
      </c>
      <c r="AI249" t="b">
        <f t="shared" si="84"/>
        <v>0</v>
      </c>
      <c r="AJ249" t="b">
        <f t="shared" si="85"/>
        <v>0</v>
      </c>
      <c r="AK249">
        <f>'WetLitterbags placem_collection'!A28</f>
        <v>26</v>
      </c>
      <c r="AL249">
        <f>'WetLitterbags placem_collection'!A28</f>
        <v>26</v>
      </c>
      <c r="AN249">
        <f>IF('Dry_Litterbag Placem_Collection'!L28=0,"",'Dry_Litterbag Placem_Collection'!L28)</f>
        <v>555</v>
      </c>
      <c r="AO249">
        <f>IF('Dry_Litterbag Placem_Collection'!M28=0,"",'Dry_Litterbag Placem_Collection'!M28)</f>
        <v>642</v>
      </c>
      <c r="AP249" t="b">
        <f t="shared" si="86"/>
        <v>0</v>
      </c>
      <c r="AQ249" t="b">
        <f t="shared" si="87"/>
        <v>0</v>
      </c>
      <c r="AT249" t="str">
        <f>'Ashed teabags dry'!A247</f>
        <v>G51</v>
      </c>
      <c r="AU249" t="str">
        <f>'Ashed teabags dry'!A584</f>
        <v>R734</v>
      </c>
      <c r="AV249" t="b">
        <f t="shared" si="88"/>
        <v>0</v>
      </c>
      <c r="AW249" t="b">
        <f t="shared" si="89"/>
        <v>0</v>
      </c>
      <c r="AZ249" s="401" t="b">
        <f t="shared" si="90"/>
        <v>0</v>
      </c>
      <c r="BA249" s="401" t="b">
        <f t="shared" si="91"/>
        <v>0</v>
      </c>
      <c r="BC249" t="str">
        <f>'Ashed teabags wet'!A247</f>
        <v>G688</v>
      </c>
      <c r="BD249" t="str">
        <f>'Ashed teabags wet'!A664</f>
        <v>R482</v>
      </c>
      <c r="BE249" t="b">
        <f t="shared" si="92"/>
        <v>0</v>
      </c>
      <c r="BF249" t="b">
        <f t="shared" si="93"/>
        <v>0</v>
      </c>
      <c r="BG249">
        <f>IFERROR('Ashed teabags wet'!C247,"")</f>
        <v>107</v>
      </c>
      <c r="BH249">
        <f>IFERROR('Ashed teabags wet'!C664,"")</f>
        <v>101</v>
      </c>
      <c r="BI249">
        <f>'Ashed teabags wet'!AB247</f>
        <v>106</v>
      </c>
      <c r="BJ249" t="str">
        <f>'Ashed teabags wet'!AC247</f>
        <v/>
      </c>
      <c r="BK249">
        <f>'Ashed teabags wet'!AD664</f>
        <v>100</v>
      </c>
      <c r="BL249" t="str">
        <f>'Ashed teabags wet'!AE664</f>
        <v/>
      </c>
      <c r="BN249" t="str">
        <f t="shared" si="94"/>
        <v>G687</v>
      </c>
      <c r="BO249" t="b">
        <f t="shared" si="95"/>
        <v>1</v>
      </c>
    </row>
    <row r="250" spans="2:68" ht="12" customHeight="1">
      <c r="B250" t="str">
        <f>TBIDry!H322</f>
        <v>G378</v>
      </c>
      <c r="C250" t="str">
        <f>TBIDry!I322</f>
        <v>R199</v>
      </c>
      <c r="D250" t="b">
        <f t="shared" si="72"/>
        <v>0</v>
      </c>
      <c r="E250" t="b">
        <f t="shared" si="73"/>
        <v>0</v>
      </c>
      <c r="G250" t="str">
        <f>TBIWet!H322</f>
        <v>G449</v>
      </c>
      <c r="H250" t="str">
        <f>TBIWet!I322</f>
        <v>R217</v>
      </c>
      <c r="I250" t="b">
        <f t="shared" si="74"/>
        <v>0</v>
      </c>
      <c r="J250" t="b">
        <f t="shared" si="75"/>
        <v>0</v>
      </c>
      <c r="L250" t="str">
        <f>'Both teabags AfterWet'!A249</f>
        <v>G688</v>
      </c>
      <c r="M250" t="str">
        <f>'Both teabags AfterWet'!A667</f>
        <v>R462</v>
      </c>
      <c r="N250" t="b">
        <f t="shared" si="76"/>
        <v>0</v>
      </c>
      <c r="O250" t="b">
        <f t="shared" si="77"/>
        <v>0</v>
      </c>
      <c r="P250">
        <f>IFERROR('Both teabags AfterWet'!B249,"")</f>
        <v>107</v>
      </c>
      <c r="Q250" t="str">
        <f>'Both teabags AfterWet'!B667</f>
        <v>n.a</v>
      </c>
      <c r="S250" s="401" t="b">
        <f t="shared" si="78"/>
        <v>0</v>
      </c>
      <c r="T250" s="401" t="b">
        <f t="shared" si="79"/>
        <v>0</v>
      </c>
      <c r="V250" t="str">
        <f>'Both teabags AfterDry'!A249</f>
        <v>G515</v>
      </c>
      <c r="W250" t="str">
        <f>'Both teabags AfterDry'!A586</f>
        <v>R736</v>
      </c>
      <c r="X250" t="b">
        <f t="shared" si="80"/>
        <v>0</v>
      </c>
      <c r="Y250" t="b">
        <f t="shared" si="81"/>
        <v>0</v>
      </c>
      <c r="AA250" t="str">
        <f>'Green_rooibos initial weight'!A251</f>
        <v>G247</v>
      </c>
      <c r="AB250" t="str">
        <f>'Green_rooibos initial weight'!A1155</f>
        <v>R247</v>
      </c>
      <c r="AC250" t="b">
        <f t="shared" si="82"/>
        <v>0</v>
      </c>
      <c r="AD250" t="b">
        <f t="shared" si="83"/>
        <v>0</v>
      </c>
      <c r="AG250" t="str">
        <f>'WetLitterbags placem_collection'!O29</f>
        <v>G449</v>
      </c>
      <c r="AH250" t="str">
        <f>'WetLitterbags placem_collection'!Q29</f>
        <v>R217</v>
      </c>
      <c r="AI250" t="b">
        <f t="shared" si="84"/>
        <v>0</v>
      </c>
      <c r="AJ250" t="b">
        <f t="shared" si="85"/>
        <v>0</v>
      </c>
      <c r="AK250">
        <f>'WetLitterbags placem_collection'!A29</f>
        <v>27</v>
      </c>
      <c r="AL250">
        <f>'WetLitterbags placem_collection'!A29</f>
        <v>27</v>
      </c>
      <c r="AN250">
        <f>IF('Dry_Litterbag Placem_Collection'!L29=0,"",'Dry_Litterbag Placem_Collection'!L29)</f>
        <v>378</v>
      </c>
      <c r="AO250">
        <f>IF('Dry_Litterbag Placem_Collection'!M29=0,"",'Dry_Litterbag Placem_Collection'!M29)</f>
        <v>199</v>
      </c>
      <c r="AP250" t="b">
        <f t="shared" si="86"/>
        <v>0</v>
      </c>
      <c r="AQ250" t="b">
        <f t="shared" si="87"/>
        <v>0</v>
      </c>
      <c r="AT250" t="str">
        <f>'Ashed teabags dry'!A248</f>
        <v>G515</v>
      </c>
      <c r="AU250" t="str">
        <f>'Ashed teabags dry'!A585</f>
        <v>R735</v>
      </c>
      <c r="AV250" t="b">
        <f t="shared" si="88"/>
        <v>0</v>
      </c>
      <c r="AW250" t="b">
        <f t="shared" si="89"/>
        <v>0</v>
      </c>
      <c r="AZ250" s="401" t="b">
        <f t="shared" si="90"/>
        <v>0</v>
      </c>
      <c r="BA250" s="401" t="b">
        <f t="shared" si="91"/>
        <v>0</v>
      </c>
      <c r="BC250" t="str">
        <f>'Ashed teabags wet'!A248</f>
        <v>G689</v>
      </c>
      <c r="BD250" t="str">
        <f>'Ashed teabags wet'!A665</f>
        <v>R483</v>
      </c>
      <c r="BE250" t="b">
        <f t="shared" si="92"/>
        <v>0</v>
      </c>
      <c r="BF250" t="b">
        <f t="shared" si="93"/>
        <v>0</v>
      </c>
      <c r="BG250">
        <f>IFERROR('Ashed teabags wet'!C248,"")</f>
        <v>146</v>
      </c>
      <c r="BH250">
        <f>IFERROR('Ashed teabags wet'!C665,"")</f>
        <v>137</v>
      </c>
      <c r="BI250">
        <f>'Ashed teabags wet'!AB248</f>
        <v>145</v>
      </c>
      <c r="BJ250" t="str">
        <f>'Ashed teabags wet'!AC248</f>
        <v/>
      </c>
      <c r="BK250" t="str">
        <f>'Ashed teabags wet'!AD665</f>
        <v/>
      </c>
      <c r="BL250">
        <f>'Ashed teabags wet'!AE665</f>
        <v>136</v>
      </c>
      <c r="BN250" t="str">
        <f t="shared" si="94"/>
        <v>G688</v>
      </c>
      <c r="BO250" t="b">
        <f t="shared" si="95"/>
        <v>1</v>
      </c>
    </row>
    <row r="251" spans="2:68" ht="12" customHeight="1">
      <c r="B251" t="str">
        <f>TBIDry!H323</f>
        <v>G46</v>
      </c>
      <c r="C251" t="str">
        <f>TBIDry!I323</f>
        <v>R162</v>
      </c>
      <c r="D251" t="b">
        <f t="shared" si="72"/>
        <v>0</v>
      </c>
      <c r="E251" t="b">
        <f t="shared" si="73"/>
        <v>0</v>
      </c>
      <c r="G251" t="str">
        <f>TBIWet!H323</f>
        <v>G502</v>
      </c>
      <c r="H251" t="str">
        <f>TBIWet!I323</f>
        <v>R172</v>
      </c>
      <c r="I251" t="b">
        <f t="shared" si="74"/>
        <v>0</v>
      </c>
      <c r="J251" t="b">
        <f t="shared" si="75"/>
        <v>0</v>
      </c>
      <c r="L251" t="str">
        <f>'Both teabags AfterWet'!A250</f>
        <v>G689</v>
      </c>
      <c r="M251" t="str">
        <f>'Both teabags AfterWet'!A668</f>
        <v>R463</v>
      </c>
      <c r="N251" t="b">
        <f t="shared" si="76"/>
        <v>0</v>
      </c>
      <c r="O251" t="b">
        <f t="shared" si="77"/>
        <v>0</v>
      </c>
      <c r="P251">
        <f>IFERROR('Both teabags AfterWet'!B250,"")</f>
        <v>146</v>
      </c>
      <c r="Q251">
        <f>'Both teabags AfterWet'!B668</f>
        <v>198</v>
      </c>
      <c r="S251" s="401" t="b">
        <f t="shared" si="78"/>
        <v>0</v>
      </c>
      <c r="T251" s="401" t="b">
        <f t="shared" si="79"/>
        <v>0</v>
      </c>
      <c r="V251" t="str">
        <f>'Both teabags AfterDry'!A250</f>
        <v>G517</v>
      </c>
      <c r="W251" t="str">
        <f>'Both teabags AfterDry'!A587</f>
        <v>R737</v>
      </c>
      <c r="X251" t="b">
        <f t="shared" si="80"/>
        <v>0</v>
      </c>
      <c r="Y251" t="b">
        <f t="shared" si="81"/>
        <v>0</v>
      </c>
      <c r="AA251" t="str">
        <f>'Green_rooibos initial weight'!A252</f>
        <v>G248</v>
      </c>
      <c r="AB251" t="str">
        <f>'Green_rooibos initial weight'!A1156</f>
        <v>R248</v>
      </c>
      <c r="AC251" t="b">
        <f t="shared" si="82"/>
        <v>0</v>
      </c>
      <c r="AD251" t="b">
        <f t="shared" si="83"/>
        <v>0</v>
      </c>
      <c r="AG251" t="str">
        <f>'WetLitterbags placem_collection'!O30</f>
        <v>G502</v>
      </c>
      <c r="AH251" t="str">
        <f>'WetLitterbags placem_collection'!Q30</f>
        <v>R172</v>
      </c>
      <c r="AI251" t="b">
        <f t="shared" si="84"/>
        <v>0</v>
      </c>
      <c r="AJ251" t="b">
        <f t="shared" si="85"/>
        <v>0</v>
      </c>
      <c r="AK251">
        <f>'WetLitterbags placem_collection'!A30</f>
        <v>28</v>
      </c>
      <c r="AL251">
        <f>'WetLitterbags placem_collection'!A30</f>
        <v>28</v>
      </c>
      <c r="AN251">
        <f>IF('Dry_Litterbag Placem_Collection'!L30=0,"",'Dry_Litterbag Placem_Collection'!L30)</f>
        <v>46</v>
      </c>
      <c r="AO251">
        <f>IF('Dry_Litterbag Placem_Collection'!M30=0,"",'Dry_Litterbag Placem_Collection'!M30)</f>
        <v>162</v>
      </c>
      <c r="AP251" t="b">
        <f t="shared" si="86"/>
        <v>0</v>
      </c>
      <c r="AQ251" t="b">
        <f t="shared" si="87"/>
        <v>0</v>
      </c>
      <c r="AT251" t="str">
        <f>'Ashed teabags dry'!A249</f>
        <v>G517</v>
      </c>
      <c r="AU251" t="str">
        <f>'Ashed teabags dry'!A586</f>
        <v>R736</v>
      </c>
      <c r="AV251" t="b">
        <f t="shared" si="88"/>
        <v>0</v>
      </c>
      <c r="AW251" t="b">
        <f t="shared" si="89"/>
        <v>0</v>
      </c>
      <c r="AZ251" s="401" t="b">
        <f t="shared" si="90"/>
        <v>0</v>
      </c>
      <c r="BA251" s="401" t="b">
        <f t="shared" si="91"/>
        <v>0</v>
      </c>
      <c r="BC251" t="str">
        <f>'Ashed teabags wet'!A249</f>
        <v>G691</v>
      </c>
      <c r="BD251" t="str">
        <f>'Ashed teabags wet'!A666</f>
        <v>R484</v>
      </c>
      <c r="BE251" t="b">
        <f t="shared" si="92"/>
        <v>0</v>
      </c>
      <c r="BF251" t="b">
        <f t="shared" si="93"/>
        <v>0</v>
      </c>
      <c r="BG251">
        <f>IFERROR('Ashed teabags wet'!C249,"")</f>
        <v>99</v>
      </c>
      <c r="BH251">
        <f>IFERROR('Ashed teabags wet'!C666,"")</f>
        <v>155</v>
      </c>
      <c r="BI251" t="str">
        <f>'Ashed teabags wet'!AB249</f>
        <v/>
      </c>
      <c r="BJ251">
        <f>'Ashed teabags wet'!AC249</f>
        <v>98</v>
      </c>
      <c r="BK251">
        <f>'Ashed teabags wet'!AD666</f>
        <v>154</v>
      </c>
      <c r="BL251" t="str">
        <f>'Ashed teabags wet'!AE666</f>
        <v/>
      </c>
      <c r="BN251" t="str">
        <f t="shared" si="94"/>
        <v>G689</v>
      </c>
      <c r="BO251" t="b">
        <f t="shared" si="95"/>
        <v>1</v>
      </c>
    </row>
    <row r="252" spans="2:68" ht="12" customHeight="1">
      <c r="B252" t="str">
        <f>TBIDry!H324</f>
        <v>G397</v>
      </c>
      <c r="C252" t="str">
        <f>TBIDry!I324</f>
        <v>R163</v>
      </c>
      <c r="D252" t="b">
        <f t="shared" si="72"/>
        <v>0</v>
      </c>
      <c r="E252" t="b">
        <f t="shared" si="73"/>
        <v>0</v>
      </c>
      <c r="G252" t="str">
        <f>TBIWet!H324</f>
        <v>G345</v>
      </c>
      <c r="H252" t="str">
        <f>TBIWet!I324</f>
        <v>R349</v>
      </c>
      <c r="I252" t="b">
        <f t="shared" si="74"/>
        <v>0</v>
      </c>
      <c r="J252" t="b">
        <f t="shared" si="75"/>
        <v>0</v>
      </c>
      <c r="L252" t="str">
        <f>'Both teabags AfterWet'!A251</f>
        <v>G690</v>
      </c>
      <c r="M252" t="str">
        <f>'Both teabags AfterWet'!A669</f>
        <v>R464</v>
      </c>
      <c r="N252" t="b">
        <f t="shared" si="76"/>
        <v>0</v>
      </c>
      <c r="O252" t="b">
        <f t="shared" si="77"/>
        <v>0</v>
      </c>
      <c r="P252">
        <f>IFERROR('Both teabags AfterWet'!B251,"")</f>
        <v>43</v>
      </c>
      <c r="Q252">
        <f>'Both teabags AfterWet'!B669</f>
        <v>156</v>
      </c>
      <c r="S252" s="401" t="b">
        <f t="shared" si="78"/>
        <v>0</v>
      </c>
      <c r="T252" s="401" t="b">
        <f t="shared" si="79"/>
        <v>0</v>
      </c>
      <c r="V252" t="str">
        <f>'Both teabags AfterDry'!A251</f>
        <v>G531</v>
      </c>
      <c r="W252" t="str">
        <f>'Both teabags AfterDry'!A588</f>
        <v>R739</v>
      </c>
      <c r="X252" t="b">
        <f t="shared" si="80"/>
        <v>0</v>
      </c>
      <c r="Y252" t="b">
        <f t="shared" si="81"/>
        <v>0</v>
      </c>
      <c r="AA252" t="str">
        <f>'Green_rooibos initial weight'!A253</f>
        <v>G249</v>
      </c>
      <c r="AB252" t="str">
        <f>'Green_rooibos initial weight'!A1157</f>
        <v>R249</v>
      </c>
      <c r="AC252" t="b">
        <f t="shared" si="82"/>
        <v>0</v>
      </c>
      <c r="AD252" t="b">
        <f t="shared" si="83"/>
        <v>0</v>
      </c>
      <c r="AG252" t="str">
        <f>'WetLitterbags placem_collection'!O31</f>
        <v>G345</v>
      </c>
      <c r="AH252" t="str">
        <f>'WetLitterbags placem_collection'!Q31</f>
        <v>R349</v>
      </c>
      <c r="AI252" t="b">
        <f t="shared" si="84"/>
        <v>0</v>
      </c>
      <c r="AJ252" t="b">
        <f t="shared" si="85"/>
        <v>0</v>
      </c>
      <c r="AK252">
        <f>'WetLitterbags placem_collection'!A31</f>
        <v>29</v>
      </c>
      <c r="AL252">
        <f>'WetLitterbags placem_collection'!A31</f>
        <v>29</v>
      </c>
      <c r="AN252">
        <f>IF('Dry_Litterbag Placem_Collection'!L31=0,"",'Dry_Litterbag Placem_Collection'!L31)</f>
        <v>397</v>
      </c>
      <c r="AO252">
        <f>IF('Dry_Litterbag Placem_Collection'!M31=0,"",'Dry_Litterbag Placem_Collection'!M31)</f>
        <v>163</v>
      </c>
      <c r="AP252" t="b">
        <f t="shared" si="86"/>
        <v>0</v>
      </c>
      <c r="AQ252" t="b">
        <f t="shared" si="87"/>
        <v>0</v>
      </c>
      <c r="AT252" t="str">
        <f>'Ashed teabags dry'!A250</f>
        <v>G531</v>
      </c>
      <c r="AU252" t="str">
        <f>'Ashed teabags dry'!A587</f>
        <v>R737</v>
      </c>
      <c r="AV252" t="b">
        <f t="shared" si="88"/>
        <v>0</v>
      </c>
      <c r="AW252" t="b">
        <f t="shared" si="89"/>
        <v>0</v>
      </c>
      <c r="AZ252" s="401" t="b">
        <f t="shared" si="90"/>
        <v>0</v>
      </c>
      <c r="BA252" s="401" t="b">
        <f t="shared" si="91"/>
        <v>0</v>
      </c>
      <c r="BC252" t="str">
        <f>'Ashed teabags wet'!A250</f>
        <v>G692</v>
      </c>
      <c r="BD252" t="str">
        <f>'Ashed teabags wet'!A667</f>
        <v>R485</v>
      </c>
      <c r="BE252" t="b">
        <f t="shared" si="92"/>
        <v>0</v>
      </c>
      <c r="BF252" t="b">
        <f t="shared" si="93"/>
        <v>0</v>
      </c>
      <c r="BG252">
        <f>IFERROR('Ashed teabags wet'!C250,"")</f>
        <v>103</v>
      </c>
      <c r="BH252">
        <f>IFERROR('Ashed teabags wet'!C667,"")</f>
        <v>154</v>
      </c>
      <c r="BI252" t="str">
        <f>'Ashed teabags wet'!AB250</f>
        <v/>
      </c>
      <c r="BJ252">
        <f>'Ashed teabags wet'!AC250</f>
        <v>102</v>
      </c>
      <c r="BK252" t="str">
        <f>'Ashed teabags wet'!AD667</f>
        <v/>
      </c>
      <c r="BL252">
        <f>'Ashed teabags wet'!AE667</f>
        <v>153</v>
      </c>
      <c r="BN252" t="str">
        <f t="shared" si="94"/>
        <v>G691</v>
      </c>
      <c r="BO252" t="b">
        <f t="shared" si="95"/>
        <v>1</v>
      </c>
    </row>
    <row r="253" spans="2:68" ht="12" customHeight="1">
      <c r="B253" t="str">
        <f>TBIDry!H325</f>
        <v>G166</v>
      </c>
      <c r="C253" t="str">
        <f>TBIDry!I325</f>
        <v>R345</v>
      </c>
      <c r="D253" t="b">
        <f t="shared" si="72"/>
        <v>0</v>
      </c>
      <c r="E253" t="b">
        <f t="shared" si="73"/>
        <v>0</v>
      </c>
      <c r="G253" t="str">
        <f>TBIWet!H325</f>
        <v>G500</v>
      </c>
      <c r="H253" t="str">
        <f>TBIWet!I325</f>
        <v>R296</v>
      </c>
      <c r="I253" t="b">
        <f t="shared" si="74"/>
        <v>0</v>
      </c>
      <c r="J253" t="b">
        <f t="shared" si="75"/>
        <v>0</v>
      </c>
      <c r="L253" t="str">
        <f>'Both teabags AfterWet'!A252</f>
        <v>G691</v>
      </c>
      <c r="M253" t="str">
        <f>'Both teabags AfterWet'!A670</f>
        <v>R465</v>
      </c>
      <c r="N253" t="b">
        <f t="shared" si="76"/>
        <v>0</v>
      </c>
      <c r="O253" t="b">
        <f t="shared" si="77"/>
        <v>0</v>
      </c>
      <c r="P253">
        <f>IFERROR('Both teabags AfterWet'!B252,"")</f>
        <v>99</v>
      </c>
      <c r="Q253">
        <f>'Both teabags AfterWet'!B670</f>
        <v>141</v>
      </c>
      <c r="S253" s="401" t="b">
        <f t="shared" si="78"/>
        <v>0</v>
      </c>
      <c r="T253" s="401" t="b">
        <f t="shared" si="79"/>
        <v>0</v>
      </c>
      <c r="V253" t="str">
        <f>'Both teabags AfterDry'!A252</f>
        <v>G55</v>
      </c>
      <c r="W253" t="str">
        <f>'Both teabags AfterDry'!A589</f>
        <v>R740</v>
      </c>
      <c r="X253" t="b">
        <f t="shared" si="80"/>
        <v>0</v>
      </c>
      <c r="Y253" t="b">
        <f t="shared" si="81"/>
        <v>0</v>
      </c>
      <c r="AA253" t="str">
        <f>'Green_rooibos initial weight'!A254</f>
        <v>G250</v>
      </c>
      <c r="AB253" t="str">
        <f>'Green_rooibos initial weight'!A1158</f>
        <v>R250</v>
      </c>
      <c r="AC253" t="b">
        <f t="shared" si="82"/>
        <v>0</v>
      </c>
      <c r="AD253" t="b">
        <f t="shared" si="83"/>
        <v>0</v>
      </c>
      <c r="AG253" t="str">
        <f>'WetLitterbags placem_collection'!O32</f>
        <v>G500</v>
      </c>
      <c r="AH253" t="str">
        <f>'WetLitterbags placem_collection'!Q32</f>
        <v>R296</v>
      </c>
      <c r="AI253" t="b">
        <f t="shared" si="84"/>
        <v>0</v>
      </c>
      <c r="AJ253" t="b">
        <f t="shared" si="85"/>
        <v>0</v>
      </c>
      <c r="AK253">
        <f>'WetLitterbags placem_collection'!A32</f>
        <v>30</v>
      </c>
      <c r="AL253">
        <f>'WetLitterbags placem_collection'!A32</f>
        <v>30</v>
      </c>
      <c r="AN253">
        <f>IF('Dry_Litterbag Placem_Collection'!L32=0,"",'Dry_Litterbag Placem_Collection'!L32)</f>
        <v>166</v>
      </c>
      <c r="AO253">
        <f>IF('Dry_Litterbag Placem_Collection'!M32=0,"",'Dry_Litterbag Placem_Collection'!M32)</f>
        <v>345</v>
      </c>
      <c r="AP253" t="b">
        <f t="shared" si="86"/>
        <v>0</v>
      </c>
      <c r="AQ253" t="b">
        <f t="shared" si="87"/>
        <v>0</v>
      </c>
      <c r="AT253" t="str">
        <f>'Ashed teabags dry'!A251</f>
        <v>G55</v>
      </c>
      <c r="AU253" t="str">
        <f>'Ashed teabags dry'!A588</f>
        <v>R739</v>
      </c>
      <c r="AV253" t="b">
        <f t="shared" si="88"/>
        <v>0</v>
      </c>
      <c r="AW253" t="b">
        <f t="shared" si="89"/>
        <v>0</v>
      </c>
      <c r="AZ253" s="401" t="b">
        <f t="shared" si="90"/>
        <v>0</v>
      </c>
      <c r="BA253" s="401" t="b">
        <f t="shared" si="91"/>
        <v>0</v>
      </c>
      <c r="BC253" t="str">
        <f>'Ashed teabags wet'!A251</f>
        <v>G693</v>
      </c>
      <c r="BD253" t="str">
        <f>'Ashed teabags wet'!A668</f>
        <v>R486</v>
      </c>
      <c r="BE253" t="b">
        <f t="shared" si="92"/>
        <v>0</v>
      </c>
      <c r="BF253" t="b">
        <f t="shared" si="93"/>
        <v>0</v>
      </c>
      <c r="BG253">
        <f>IFERROR('Ashed teabags wet'!C251,"")</f>
        <v>115</v>
      </c>
      <c r="BH253">
        <f>IFERROR('Ashed teabags wet'!C668,"")</f>
        <v>125</v>
      </c>
      <c r="BI253">
        <f>'Ashed teabags wet'!AB251</f>
        <v>114</v>
      </c>
      <c r="BJ253" t="str">
        <f>'Ashed teabags wet'!AC251</f>
        <v/>
      </c>
      <c r="BK253" t="str">
        <f>'Ashed teabags wet'!AD668</f>
        <v/>
      </c>
      <c r="BL253">
        <f>'Ashed teabags wet'!AE668</f>
        <v>124</v>
      </c>
      <c r="BN253" t="str">
        <f t="shared" si="94"/>
        <v>G692</v>
      </c>
      <c r="BO253" t="b">
        <f t="shared" si="95"/>
        <v>1</v>
      </c>
      <c r="BP253" s="402"/>
    </row>
    <row r="254" spans="2:68" ht="12" customHeight="1">
      <c r="B254" t="str">
        <f>TBIDry!H326</f>
        <v/>
      </c>
      <c r="C254" t="str">
        <f>TBIDry!I326</f>
        <v/>
      </c>
      <c r="D254" t="b">
        <f t="shared" si="72"/>
        <v>1</v>
      </c>
      <c r="E254" t="b">
        <f t="shared" si="73"/>
        <v>1</v>
      </c>
      <c r="G254" t="str">
        <f>TBIWet!H326</f>
        <v>G521</v>
      </c>
      <c r="H254" t="str">
        <f>TBIWet!I326</f>
        <v>R323</v>
      </c>
      <c r="I254" t="b">
        <f t="shared" si="74"/>
        <v>0</v>
      </c>
      <c r="J254" t="b">
        <f t="shared" si="75"/>
        <v>0</v>
      </c>
      <c r="L254" t="str">
        <f>'Both teabags AfterWet'!A253</f>
        <v>G692</v>
      </c>
      <c r="M254" t="str">
        <f>'Both teabags AfterWet'!A671</f>
        <v>R466</v>
      </c>
      <c r="N254" t="b">
        <f t="shared" si="76"/>
        <v>0</v>
      </c>
      <c r="O254" t="b">
        <f t="shared" si="77"/>
        <v>0</v>
      </c>
      <c r="P254">
        <f>IFERROR('Both teabags AfterWet'!B253,"")</f>
        <v>103</v>
      </c>
      <c r="Q254">
        <f>'Both teabags AfterWet'!B671</f>
        <v>123</v>
      </c>
      <c r="S254" s="401" t="b">
        <f t="shared" si="78"/>
        <v>0</v>
      </c>
      <c r="T254" s="401" t="b">
        <f t="shared" si="79"/>
        <v>0</v>
      </c>
      <c r="V254" t="str">
        <f>'Both teabags AfterDry'!A253</f>
        <v>G555</v>
      </c>
      <c r="W254" t="str">
        <f>'Both teabags AfterDry'!A590</f>
        <v>R741</v>
      </c>
      <c r="X254" t="b">
        <f t="shared" si="80"/>
        <v>0</v>
      </c>
      <c r="Y254" t="b">
        <f t="shared" si="81"/>
        <v>0</v>
      </c>
      <c r="AA254" t="str">
        <f>'Green_rooibos initial weight'!A255</f>
        <v>G251</v>
      </c>
      <c r="AB254" t="str">
        <f>'Green_rooibos initial weight'!A1159</f>
        <v>R251</v>
      </c>
      <c r="AC254" t="b">
        <f t="shared" si="82"/>
        <v>0</v>
      </c>
      <c r="AD254" t="b">
        <f t="shared" si="83"/>
        <v>0</v>
      </c>
      <c r="AG254" t="str">
        <f>'WetLitterbags placem_collection'!O33</f>
        <v>G521</v>
      </c>
      <c r="AH254" t="str">
        <f>'WetLitterbags placem_collection'!Q33</f>
        <v>R323</v>
      </c>
      <c r="AI254" t="b">
        <f t="shared" si="84"/>
        <v>0</v>
      </c>
      <c r="AJ254" t="b">
        <f t="shared" si="85"/>
        <v>0</v>
      </c>
      <c r="AK254">
        <f>'WetLitterbags placem_collection'!A33</f>
        <v>31</v>
      </c>
      <c r="AL254">
        <f>'WetLitterbags placem_collection'!A33</f>
        <v>31</v>
      </c>
      <c r="AN254" t="str">
        <f>IF('Dry_Litterbag Placem_Collection'!L33=0,"",'Dry_Litterbag Placem_Collection'!L33)</f>
        <v/>
      </c>
      <c r="AO254" t="str">
        <f>IF('Dry_Litterbag Placem_Collection'!M33=0,"",'Dry_Litterbag Placem_Collection'!M33)</f>
        <v/>
      </c>
      <c r="AP254" t="b">
        <f t="shared" si="86"/>
        <v>1</v>
      </c>
      <c r="AQ254" t="b">
        <f t="shared" si="87"/>
        <v>1</v>
      </c>
      <c r="AT254" t="str">
        <f>'Ashed teabags dry'!A252</f>
        <v>G555</v>
      </c>
      <c r="AU254" t="str">
        <f>'Ashed teabags dry'!A589</f>
        <v>R740</v>
      </c>
      <c r="AV254" t="b">
        <f t="shared" si="88"/>
        <v>0</v>
      </c>
      <c r="AW254" t="b">
        <f t="shared" si="89"/>
        <v>0</v>
      </c>
      <c r="AZ254" s="401" t="b">
        <f t="shared" si="90"/>
        <v>0</v>
      </c>
      <c r="BA254" s="401" t="b">
        <f t="shared" si="91"/>
        <v>0</v>
      </c>
      <c r="BC254" t="str">
        <f>'Ashed teabags wet'!A252</f>
        <v>G694</v>
      </c>
      <c r="BD254" t="str">
        <f>'Ashed teabags wet'!A669</f>
        <v>R487</v>
      </c>
      <c r="BE254" t="b">
        <f t="shared" si="92"/>
        <v>0</v>
      </c>
      <c r="BF254" t="b">
        <f t="shared" si="93"/>
        <v>0</v>
      </c>
      <c r="BG254">
        <f>IFERROR('Ashed teabags wet'!C252,"")</f>
        <v>123</v>
      </c>
      <c r="BH254">
        <f>IFERROR('Ashed teabags wet'!C669,"")</f>
        <v>111</v>
      </c>
      <c r="BI254">
        <f>'Ashed teabags wet'!AB252</f>
        <v>122</v>
      </c>
      <c r="BJ254" t="str">
        <f>'Ashed teabags wet'!AC252</f>
        <v/>
      </c>
      <c r="BK254" t="str">
        <f>'Ashed teabags wet'!AD669</f>
        <v/>
      </c>
      <c r="BL254">
        <f>'Ashed teabags wet'!AE669</f>
        <v>110</v>
      </c>
      <c r="BN254" t="str">
        <f t="shared" si="94"/>
        <v>G693</v>
      </c>
      <c r="BO254" t="b">
        <f t="shared" si="95"/>
        <v>1</v>
      </c>
    </row>
    <row r="255" spans="2:68" ht="12" customHeight="1">
      <c r="B255" t="str">
        <f>TBIDry!H327</f>
        <v>G293</v>
      </c>
      <c r="C255" t="str">
        <f>TBIDry!I327</f>
        <v>R660</v>
      </c>
      <c r="D255" t="b">
        <f t="shared" si="72"/>
        <v>0</v>
      </c>
      <c r="E255" t="b">
        <f t="shared" si="73"/>
        <v>0</v>
      </c>
      <c r="G255" t="str">
        <f>TBIWet!H327</f>
        <v>G201</v>
      </c>
      <c r="H255" t="str">
        <f>TBIWet!I327</f>
        <v>R156</v>
      </c>
      <c r="I255" t="b">
        <f t="shared" si="74"/>
        <v>0</v>
      </c>
      <c r="J255" t="b">
        <f t="shared" si="75"/>
        <v>0</v>
      </c>
      <c r="L255" t="str">
        <f>'Both teabags AfterWet'!A254</f>
        <v>G693</v>
      </c>
      <c r="M255" t="str">
        <f>'Both teabags AfterWet'!A672</f>
        <v>R467</v>
      </c>
      <c r="N255" t="b">
        <f t="shared" si="76"/>
        <v>0</v>
      </c>
      <c r="O255" t="b">
        <f t="shared" si="77"/>
        <v>0</v>
      </c>
      <c r="P255">
        <f>IFERROR('Both teabags AfterWet'!B254,"")</f>
        <v>115</v>
      </c>
      <c r="Q255">
        <f>'Both teabags AfterWet'!B672</f>
        <v>134</v>
      </c>
      <c r="S255" s="401" t="b">
        <f t="shared" si="78"/>
        <v>0</v>
      </c>
      <c r="T255" s="401" t="b">
        <f t="shared" si="79"/>
        <v>0</v>
      </c>
      <c r="V255" t="str">
        <f>'Both teabags AfterDry'!A254</f>
        <v>G558</v>
      </c>
      <c r="W255" t="str">
        <f>'Both teabags AfterDry'!A591</f>
        <v>R742</v>
      </c>
      <c r="X255" t="b">
        <f t="shared" si="80"/>
        <v>0</v>
      </c>
      <c r="Y255" t="b">
        <f t="shared" si="81"/>
        <v>0</v>
      </c>
      <c r="AA255" t="str">
        <f>'Green_rooibos initial weight'!A256</f>
        <v>G252</v>
      </c>
      <c r="AB255" t="str">
        <f>'Green_rooibos initial weight'!A1160</f>
        <v>R252</v>
      </c>
      <c r="AC255" t="b">
        <f t="shared" si="82"/>
        <v>0</v>
      </c>
      <c r="AD255" t="b">
        <f t="shared" si="83"/>
        <v>0</v>
      </c>
      <c r="AG255" t="str">
        <f>'WetLitterbags placem_collection'!O34</f>
        <v>G201</v>
      </c>
      <c r="AH255" t="str">
        <f>'WetLitterbags placem_collection'!Q34</f>
        <v>R156</v>
      </c>
      <c r="AI255" t="b">
        <f t="shared" si="84"/>
        <v>0</v>
      </c>
      <c r="AJ255" t="b">
        <f t="shared" si="85"/>
        <v>0</v>
      </c>
      <c r="AK255">
        <f>'WetLitterbags placem_collection'!A34</f>
        <v>32</v>
      </c>
      <c r="AL255">
        <f>'WetLitterbags placem_collection'!A34</f>
        <v>32</v>
      </c>
      <c r="AN255">
        <f>IF('Dry_Litterbag Placem_Collection'!L34=0,"",'Dry_Litterbag Placem_Collection'!L34)</f>
        <v>293</v>
      </c>
      <c r="AO255">
        <f>IF('Dry_Litterbag Placem_Collection'!M34=0,"",'Dry_Litterbag Placem_Collection'!M34)</f>
        <v>660</v>
      </c>
      <c r="AP255" t="b">
        <f t="shared" si="86"/>
        <v>0</v>
      </c>
      <c r="AQ255" t="b">
        <f t="shared" si="87"/>
        <v>0</v>
      </c>
      <c r="AT255" t="str">
        <f>'Ashed teabags dry'!A253</f>
        <v>G558</v>
      </c>
      <c r="AU255" t="str">
        <f>'Ashed teabags dry'!A590</f>
        <v>R741</v>
      </c>
      <c r="AV255" t="b">
        <f t="shared" si="88"/>
        <v>0</v>
      </c>
      <c r="AW255" t="b">
        <f t="shared" si="89"/>
        <v>0</v>
      </c>
      <c r="AZ255" s="401" t="b">
        <f t="shared" si="90"/>
        <v>0</v>
      </c>
      <c r="BA255" s="401" t="b">
        <f t="shared" si="91"/>
        <v>0</v>
      </c>
      <c r="BC255" t="str">
        <f>'Ashed teabags wet'!A253</f>
        <v>G695</v>
      </c>
      <c r="BD255" t="str">
        <f>'Ashed teabags wet'!A670</f>
        <v>R488</v>
      </c>
      <c r="BE255" t="b">
        <f t="shared" si="92"/>
        <v>0</v>
      </c>
      <c r="BF255" t="b">
        <f t="shared" si="93"/>
        <v>0</v>
      </c>
      <c r="BG255">
        <f>IFERROR('Ashed teabags wet'!C253,"")</f>
        <v>111</v>
      </c>
      <c r="BH255">
        <f>IFERROR('Ashed teabags wet'!C670,"")</f>
        <v>178</v>
      </c>
      <c r="BI255" t="str">
        <f>'Ashed teabags wet'!AB253</f>
        <v/>
      </c>
      <c r="BJ255">
        <f>'Ashed teabags wet'!AC253</f>
        <v>110</v>
      </c>
      <c r="BK255" t="str">
        <f>'Ashed teabags wet'!AD670</f>
        <v/>
      </c>
      <c r="BL255">
        <f>'Ashed teabags wet'!AE670</f>
        <v>177</v>
      </c>
      <c r="BN255" t="str">
        <f t="shared" si="94"/>
        <v>G694</v>
      </c>
      <c r="BO255" t="b">
        <f t="shared" si="95"/>
        <v>1</v>
      </c>
    </row>
    <row r="256" spans="2:68" ht="12" customHeight="1">
      <c r="B256" t="str">
        <f>TBIDry!H328</f>
        <v>G139</v>
      </c>
      <c r="C256" t="str">
        <f>TBIDry!I328</f>
        <v>R712</v>
      </c>
      <c r="D256" t="b">
        <f t="shared" si="72"/>
        <v>0</v>
      </c>
      <c r="E256" t="b">
        <f t="shared" si="73"/>
        <v>0</v>
      </c>
      <c r="G256" t="str">
        <f>TBIWet!H328</f>
        <v>G556</v>
      </c>
      <c r="H256" t="str">
        <f>TBIWet!I328</f>
        <v>R452</v>
      </c>
      <c r="I256" t="b">
        <f t="shared" si="74"/>
        <v>0</v>
      </c>
      <c r="J256" t="b">
        <f t="shared" si="75"/>
        <v>0</v>
      </c>
      <c r="L256" t="str">
        <f>'Both teabags AfterWet'!A255</f>
        <v>G694</v>
      </c>
      <c r="M256" t="str">
        <f>'Both teabags AfterWet'!A673</f>
        <v>R468</v>
      </c>
      <c r="N256" t="b">
        <f t="shared" si="76"/>
        <v>0</v>
      </c>
      <c r="O256" t="b">
        <f t="shared" si="77"/>
        <v>0</v>
      </c>
      <c r="P256">
        <f>IFERROR('Both teabags AfterWet'!B255,"")</f>
        <v>123</v>
      </c>
      <c r="Q256">
        <f>'Both teabags AfterWet'!B673</f>
        <v>146</v>
      </c>
      <c r="S256" s="401" t="b">
        <f t="shared" si="78"/>
        <v>0</v>
      </c>
      <c r="T256" s="401" t="b">
        <f t="shared" si="79"/>
        <v>0</v>
      </c>
      <c r="V256" t="str">
        <f>'Both teabags AfterDry'!A255</f>
        <v>G56</v>
      </c>
      <c r="W256" t="str">
        <f>'Both teabags AfterDry'!A592</f>
        <v>R743</v>
      </c>
      <c r="X256" t="b">
        <f t="shared" si="80"/>
        <v>0</v>
      </c>
      <c r="Y256" t="b">
        <f t="shared" si="81"/>
        <v>0</v>
      </c>
      <c r="AA256" t="str">
        <f>'Green_rooibos initial weight'!A257</f>
        <v>G253</v>
      </c>
      <c r="AB256" t="str">
        <f>'Green_rooibos initial weight'!A1161</f>
        <v>R253</v>
      </c>
      <c r="AC256" t="b">
        <f t="shared" si="82"/>
        <v>0</v>
      </c>
      <c r="AD256" t="b">
        <f t="shared" si="83"/>
        <v>0</v>
      </c>
      <c r="AG256" t="str">
        <f>'WetLitterbags placem_collection'!O35</f>
        <v>G556</v>
      </c>
      <c r="AH256" t="str">
        <f>'WetLitterbags placem_collection'!Q35</f>
        <v>R452</v>
      </c>
      <c r="AI256" t="b">
        <f t="shared" si="84"/>
        <v>0</v>
      </c>
      <c r="AJ256" t="b">
        <f t="shared" si="85"/>
        <v>0</v>
      </c>
      <c r="AK256">
        <f>'WetLitterbags placem_collection'!A35</f>
        <v>33</v>
      </c>
      <c r="AL256">
        <f>'WetLitterbags placem_collection'!A35</f>
        <v>33</v>
      </c>
      <c r="AN256">
        <f>IF('Dry_Litterbag Placem_Collection'!L35=0,"",'Dry_Litterbag Placem_Collection'!L35)</f>
        <v>139</v>
      </c>
      <c r="AO256">
        <f>IF('Dry_Litterbag Placem_Collection'!M35=0,"",'Dry_Litterbag Placem_Collection'!M35)</f>
        <v>712</v>
      </c>
      <c r="AP256" t="b">
        <f t="shared" si="86"/>
        <v>0</v>
      </c>
      <c r="AQ256" t="b">
        <f t="shared" si="87"/>
        <v>0</v>
      </c>
      <c r="AT256" t="str">
        <f>'Ashed teabags dry'!A254</f>
        <v>G56</v>
      </c>
      <c r="AU256" t="str">
        <f>'Ashed teabags dry'!A591</f>
        <v>R742</v>
      </c>
      <c r="AV256" t="b">
        <f t="shared" si="88"/>
        <v>0</v>
      </c>
      <c r="AW256" t="b">
        <f t="shared" si="89"/>
        <v>0</v>
      </c>
      <c r="AZ256" s="401" t="b">
        <f t="shared" si="90"/>
        <v>0</v>
      </c>
      <c r="BA256" s="401" t="b">
        <f t="shared" si="91"/>
        <v>0</v>
      </c>
      <c r="BC256" t="str">
        <f>'Ashed teabags wet'!A254</f>
        <v>G696</v>
      </c>
      <c r="BD256" t="str">
        <f>'Ashed teabags wet'!A671</f>
        <v>R489</v>
      </c>
      <c r="BE256" t="b">
        <f t="shared" si="92"/>
        <v>0</v>
      </c>
      <c r="BF256" t="b">
        <f t="shared" si="93"/>
        <v>0</v>
      </c>
      <c r="BG256">
        <f>IFERROR('Ashed teabags wet'!C254,"")</f>
        <v>149</v>
      </c>
      <c r="BH256">
        <f>IFERROR('Ashed teabags wet'!C671,"")</f>
        <v>98</v>
      </c>
      <c r="BI256" t="str">
        <f>'Ashed teabags wet'!AB254</f>
        <v/>
      </c>
      <c r="BJ256">
        <f>'Ashed teabags wet'!AC254</f>
        <v>148</v>
      </c>
      <c r="BK256">
        <f>'Ashed teabags wet'!AD671</f>
        <v>97</v>
      </c>
      <c r="BL256" t="str">
        <f>'Ashed teabags wet'!AE671</f>
        <v/>
      </c>
      <c r="BN256" t="str">
        <f t="shared" si="94"/>
        <v>G695</v>
      </c>
      <c r="BO256" t="b">
        <f t="shared" si="95"/>
        <v>1</v>
      </c>
    </row>
    <row r="257" spans="2:67" ht="12" customHeight="1">
      <c r="B257" t="str">
        <f>TBIDry!H329</f>
        <v>G487</v>
      </c>
      <c r="C257" t="str">
        <f>TBIDry!I329</f>
        <v>R324</v>
      </c>
      <c r="D257" t="b">
        <f t="shared" si="72"/>
        <v>0</v>
      </c>
      <c r="E257" t="b">
        <f t="shared" si="73"/>
        <v>0</v>
      </c>
      <c r="G257" t="str">
        <f>TBIWet!H329</f>
        <v>G649</v>
      </c>
      <c r="H257" t="str">
        <f>TBIWet!I329</f>
        <v>R24</v>
      </c>
      <c r="I257" t="b">
        <f t="shared" si="74"/>
        <v>0</v>
      </c>
      <c r="J257" t="b">
        <f t="shared" si="75"/>
        <v>0</v>
      </c>
      <c r="L257" t="str">
        <f>'Both teabags AfterWet'!A256</f>
        <v>G695</v>
      </c>
      <c r="M257" t="str">
        <f>'Both teabags AfterWet'!A674</f>
        <v>R469</v>
      </c>
      <c r="N257" t="b">
        <f t="shared" si="76"/>
        <v>0</v>
      </c>
      <c r="O257" t="b">
        <f t="shared" si="77"/>
        <v>0</v>
      </c>
      <c r="P257">
        <f>IFERROR('Both teabags AfterWet'!B256,"")</f>
        <v>111</v>
      </c>
      <c r="Q257">
        <f>'Both teabags AfterWet'!B674</f>
        <v>45</v>
      </c>
      <c r="S257" s="401" t="b">
        <f t="shared" si="78"/>
        <v>0</v>
      </c>
      <c r="T257" s="401" t="b">
        <f t="shared" si="79"/>
        <v>0</v>
      </c>
      <c r="V257" t="str">
        <f>'Both teabags AfterDry'!A256</f>
        <v>G562</v>
      </c>
      <c r="W257" t="str">
        <f>'Both teabags AfterDry'!A593</f>
        <v>R744</v>
      </c>
      <c r="X257" t="b">
        <f t="shared" si="80"/>
        <v>0</v>
      </c>
      <c r="Y257" t="b">
        <f t="shared" si="81"/>
        <v>0</v>
      </c>
      <c r="AA257" t="str">
        <f>'Green_rooibos initial weight'!A258</f>
        <v>G254</v>
      </c>
      <c r="AB257" t="str">
        <f>'Green_rooibos initial weight'!A1162</f>
        <v>R254</v>
      </c>
      <c r="AC257" t="b">
        <f t="shared" si="82"/>
        <v>0</v>
      </c>
      <c r="AD257" t="b">
        <f t="shared" si="83"/>
        <v>0</v>
      </c>
      <c r="AG257" t="str">
        <f>'WetLitterbags placem_collection'!O36</f>
        <v>G649</v>
      </c>
      <c r="AH257" t="str">
        <f>'WetLitterbags placem_collection'!Q36</f>
        <v>R24</v>
      </c>
      <c r="AI257" t="b">
        <f t="shared" si="84"/>
        <v>0</v>
      </c>
      <c r="AJ257" t="b">
        <f t="shared" si="85"/>
        <v>0</v>
      </c>
      <c r="AK257">
        <f>'WetLitterbags placem_collection'!A36</f>
        <v>34</v>
      </c>
      <c r="AL257">
        <f>'WetLitterbags placem_collection'!A36</f>
        <v>34</v>
      </c>
      <c r="AN257">
        <f>IF('Dry_Litterbag Placem_Collection'!L36=0,"",'Dry_Litterbag Placem_Collection'!L36)</f>
        <v>487</v>
      </c>
      <c r="AO257">
        <f>IF('Dry_Litterbag Placem_Collection'!M36=0,"",'Dry_Litterbag Placem_Collection'!M36)</f>
        <v>324</v>
      </c>
      <c r="AP257" t="b">
        <f t="shared" si="86"/>
        <v>0</v>
      </c>
      <c r="AQ257" t="b">
        <f t="shared" si="87"/>
        <v>0</v>
      </c>
      <c r="AT257" t="str">
        <f>'Ashed teabags dry'!A255</f>
        <v>G562</v>
      </c>
      <c r="AU257" t="str">
        <f>'Ashed teabags dry'!A592</f>
        <v>R743</v>
      </c>
      <c r="AV257" t="b">
        <f t="shared" si="88"/>
        <v>0</v>
      </c>
      <c r="AW257" t="b">
        <f t="shared" si="89"/>
        <v>0</v>
      </c>
      <c r="AZ257" s="401" t="b">
        <f t="shared" si="90"/>
        <v>0</v>
      </c>
      <c r="BA257" s="401" t="b">
        <f t="shared" si="91"/>
        <v>0</v>
      </c>
      <c r="BC257" t="str">
        <f>'Ashed teabags wet'!A255</f>
        <v>G697</v>
      </c>
      <c r="BD257" t="str">
        <f>'Ashed teabags wet'!A672</f>
        <v>R49</v>
      </c>
      <c r="BE257" t="b">
        <f t="shared" si="92"/>
        <v>0</v>
      </c>
      <c r="BF257" t="b">
        <f t="shared" si="93"/>
        <v>0</v>
      </c>
      <c r="BG257">
        <f>IFERROR('Ashed teabags wet'!C255,"")</f>
        <v>143</v>
      </c>
      <c r="BH257">
        <f>IFERROR('Ashed teabags wet'!C672,"")</f>
        <v>84</v>
      </c>
      <c r="BI257" t="str">
        <f>'Ashed teabags wet'!AB255</f>
        <v/>
      </c>
      <c r="BJ257">
        <f>'Ashed teabags wet'!AC255</f>
        <v>142</v>
      </c>
      <c r="BK257">
        <f>'Ashed teabags wet'!AD672</f>
        <v>83</v>
      </c>
      <c r="BL257" t="str">
        <f>'Ashed teabags wet'!AE672</f>
        <v/>
      </c>
      <c r="BN257" t="str">
        <f t="shared" si="94"/>
        <v>G696</v>
      </c>
      <c r="BO257" t="b">
        <f t="shared" si="95"/>
        <v>1</v>
      </c>
    </row>
    <row r="258" spans="2:67" ht="12" customHeight="1">
      <c r="B258" t="str">
        <f>TBIDry!H330</f>
        <v>G717</v>
      </c>
      <c r="C258" t="str">
        <f>TBIDry!I330</f>
        <v>R108</v>
      </c>
      <c r="D258" t="b">
        <f t="shared" si="72"/>
        <v>0</v>
      </c>
      <c r="E258" t="b">
        <f t="shared" si="73"/>
        <v>0</v>
      </c>
      <c r="G258" t="str">
        <f>TBIWet!H330</f>
        <v>G732</v>
      </c>
      <c r="H258" t="str">
        <f>TBIWet!I330</f>
        <v>R69</v>
      </c>
      <c r="I258" t="b">
        <f t="shared" si="74"/>
        <v>0</v>
      </c>
      <c r="J258" t="b">
        <f t="shared" si="75"/>
        <v>0</v>
      </c>
      <c r="L258" t="str">
        <f>'Both teabags AfterWet'!A257</f>
        <v>G696</v>
      </c>
      <c r="M258" t="str">
        <f>'Both teabags AfterWet'!A675</f>
        <v>R470</v>
      </c>
      <c r="N258" t="b">
        <f t="shared" si="76"/>
        <v>0</v>
      </c>
      <c r="O258" t="b">
        <f t="shared" si="77"/>
        <v>0</v>
      </c>
      <c r="P258" t="str">
        <f>IFERROR('Both teabags AfterWet'!B257,"")</f>
        <v>n.a</v>
      </c>
      <c r="Q258">
        <f>'Both teabags AfterWet'!B675</f>
        <v>177</v>
      </c>
      <c r="S258" s="401" t="b">
        <f t="shared" si="78"/>
        <v>0</v>
      </c>
      <c r="T258" s="401" t="b">
        <f t="shared" si="79"/>
        <v>0</v>
      </c>
      <c r="V258" t="str">
        <f>'Both teabags AfterDry'!A257</f>
        <v>G569</v>
      </c>
      <c r="W258" t="str">
        <f>'Both teabags AfterDry'!A594</f>
        <v>R746</v>
      </c>
      <c r="X258" t="b">
        <f t="shared" si="80"/>
        <v>0</v>
      </c>
      <c r="Y258" t="b">
        <f t="shared" si="81"/>
        <v>0</v>
      </c>
      <c r="AA258" t="str">
        <f>'Green_rooibos initial weight'!A259</f>
        <v>G255</v>
      </c>
      <c r="AB258" t="str">
        <f>'Green_rooibos initial weight'!A1163</f>
        <v>R255</v>
      </c>
      <c r="AC258" t="b">
        <f t="shared" si="82"/>
        <v>0</v>
      </c>
      <c r="AD258" t="b">
        <f t="shared" si="83"/>
        <v>0</v>
      </c>
      <c r="AG258" t="str">
        <f>'WetLitterbags placem_collection'!O37</f>
        <v>G732</v>
      </c>
      <c r="AH258" t="str">
        <f>'WetLitterbags placem_collection'!Q37</f>
        <v>R69</v>
      </c>
      <c r="AI258" t="b">
        <f t="shared" si="84"/>
        <v>0</v>
      </c>
      <c r="AJ258" t="b">
        <f t="shared" si="85"/>
        <v>0</v>
      </c>
      <c r="AK258">
        <f>'WetLitterbags placem_collection'!A37</f>
        <v>35</v>
      </c>
      <c r="AL258">
        <f>'WetLitterbags placem_collection'!A37</f>
        <v>35</v>
      </c>
      <c r="AN258">
        <f>IF('Dry_Litterbag Placem_Collection'!L37=0,"",'Dry_Litterbag Placem_Collection'!L37)</f>
        <v>717</v>
      </c>
      <c r="AO258">
        <f>IF('Dry_Litterbag Placem_Collection'!M37=0,"",'Dry_Litterbag Placem_Collection'!M37)</f>
        <v>108</v>
      </c>
      <c r="AP258" t="b">
        <f t="shared" si="86"/>
        <v>0</v>
      </c>
      <c r="AQ258" t="b">
        <f t="shared" si="87"/>
        <v>0</v>
      </c>
      <c r="AT258" t="str">
        <f>'Ashed teabags dry'!A256</f>
        <v>G569</v>
      </c>
      <c r="AU258" t="str">
        <f>'Ashed teabags dry'!A593</f>
        <v>R744</v>
      </c>
      <c r="AV258" t="b">
        <f t="shared" si="88"/>
        <v>0</v>
      </c>
      <c r="AW258" t="b">
        <f t="shared" si="89"/>
        <v>0</v>
      </c>
      <c r="AZ258" s="401" t="b">
        <f t="shared" si="90"/>
        <v>0</v>
      </c>
      <c r="BA258" s="401" t="b">
        <f t="shared" si="91"/>
        <v>0</v>
      </c>
      <c r="BC258" t="str">
        <f>'Ashed teabags wet'!A256</f>
        <v>G698</v>
      </c>
      <c r="BD258" t="str">
        <f>'Ashed teabags wet'!A673</f>
        <v>R490</v>
      </c>
      <c r="BE258" t="b">
        <f t="shared" si="92"/>
        <v>0</v>
      </c>
      <c r="BF258" t="b">
        <f t="shared" si="93"/>
        <v>0</v>
      </c>
      <c r="BG258">
        <f>IFERROR('Ashed teabags wet'!C256,"")</f>
        <v>120</v>
      </c>
      <c r="BH258">
        <f>IFERROR('Ashed teabags wet'!C673,"")</f>
        <v>176</v>
      </c>
      <c r="BI258" t="str">
        <f>'Ashed teabags wet'!AB256</f>
        <v/>
      </c>
      <c r="BJ258">
        <f>'Ashed teabags wet'!AC256</f>
        <v>119</v>
      </c>
      <c r="BK258" t="str">
        <f>'Ashed teabags wet'!AD673</f>
        <v/>
      </c>
      <c r="BL258">
        <f>'Ashed teabags wet'!AE673</f>
        <v>175</v>
      </c>
      <c r="BN258" t="str">
        <f t="shared" si="94"/>
        <v>G697</v>
      </c>
      <c r="BO258" t="b">
        <f t="shared" si="95"/>
        <v>1</v>
      </c>
    </row>
    <row r="259" spans="2:67" ht="12" customHeight="1">
      <c r="B259" t="str">
        <f>TBIDry!H331</f>
        <v>G767</v>
      </c>
      <c r="C259" t="str">
        <f>TBIDry!I331</f>
        <v>R152</v>
      </c>
      <c r="D259" t="b">
        <f t="shared" si="72"/>
        <v>0</v>
      </c>
      <c r="E259" t="b">
        <f t="shared" si="73"/>
        <v>0</v>
      </c>
      <c r="G259" t="str">
        <f>TBIWet!H331</f>
        <v>G550</v>
      </c>
      <c r="H259" t="str">
        <f>TBIWet!I331</f>
        <v>R97</v>
      </c>
      <c r="I259" t="b">
        <f t="shared" si="74"/>
        <v>0</v>
      </c>
      <c r="J259" t="b">
        <f t="shared" si="75"/>
        <v>0</v>
      </c>
      <c r="L259" t="str">
        <f>'Both teabags AfterWet'!A258</f>
        <v>G697</v>
      </c>
      <c r="M259" t="str">
        <f>'Both teabags AfterWet'!A676</f>
        <v>R471</v>
      </c>
      <c r="N259" t="b">
        <f t="shared" si="76"/>
        <v>0</v>
      </c>
      <c r="O259" t="b">
        <f t="shared" si="77"/>
        <v>0</v>
      </c>
      <c r="P259">
        <f>IFERROR('Both teabags AfterWet'!B258,"")</f>
        <v>143</v>
      </c>
      <c r="Q259">
        <f>'Both teabags AfterWet'!B676</f>
        <v>124</v>
      </c>
      <c r="S259" s="401" t="b">
        <f t="shared" si="78"/>
        <v>0</v>
      </c>
      <c r="T259" s="401" t="b">
        <f t="shared" si="79"/>
        <v>0</v>
      </c>
      <c r="V259" t="str">
        <f>'Both teabags AfterDry'!A258</f>
        <v>G57</v>
      </c>
      <c r="W259" t="str">
        <f>'Both teabags AfterDry'!A595</f>
        <v>R748</v>
      </c>
      <c r="X259" t="b">
        <f t="shared" si="80"/>
        <v>0</v>
      </c>
      <c r="Y259" t="b">
        <f t="shared" si="81"/>
        <v>0</v>
      </c>
      <c r="AA259" t="str">
        <f>'Green_rooibos initial weight'!A260</f>
        <v>G256</v>
      </c>
      <c r="AB259" t="str">
        <f>'Green_rooibos initial weight'!A1164</f>
        <v>R256</v>
      </c>
      <c r="AC259" t="b">
        <f t="shared" si="82"/>
        <v>0</v>
      </c>
      <c r="AD259" t="b">
        <f t="shared" si="83"/>
        <v>0</v>
      </c>
      <c r="AG259" t="str">
        <f>'WetLitterbags placem_collection'!O38</f>
        <v>G550</v>
      </c>
      <c r="AH259" t="str">
        <f>'WetLitterbags placem_collection'!Q38</f>
        <v>R97</v>
      </c>
      <c r="AI259" t="b">
        <f t="shared" si="84"/>
        <v>0</v>
      </c>
      <c r="AJ259" t="b">
        <f t="shared" si="85"/>
        <v>0</v>
      </c>
      <c r="AK259">
        <f>'WetLitterbags placem_collection'!A38</f>
        <v>36</v>
      </c>
      <c r="AL259">
        <f>'WetLitterbags placem_collection'!A38</f>
        <v>36</v>
      </c>
      <c r="AN259">
        <f>IF('Dry_Litterbag Placem_Collection'!L38=0,"",'Dry_Litterbag Placem_Collection'!L38)</f>
        <v>767</v>
      </c>
      <c r="AO259">
        <f>IF('Dry_Litterbag Placem_Collection'!M38=0,"",'Dry_Litterbag Placem_Collection'!M38)</f>
        <v>152</v>
      </c>
      <c r="AP259" t="b">
        <f t="shared" si="86"/>
        <v>0</v>
      </c>
      <c r="AQ259" t="b">
        <f t="shared" si="87"/>
        <v>0</v>
      </c>
      <c r="AT259" t="str">
        <f>'Ashed teabags dry'!A257</f>
        <v>G57</v>
      </c>
      <c r="AU259" t="str">
        <f>'Ashed teabags dry'!A594</f>
        <v>R746</v>
      </c>
      <c r="AV259" t="b">
        <f t="shared" si="88"/>
        <v>0</v>
      </c>
      <c r="AW259" t="b">
        <f t="shared" si="89"/>
        <v>0</v>
      </c>
      <c r="AZ259" s="401" t="b">
        <f t="shared" si="90"/>
        <v>0</v>
      </c>
      <c r="BA259" s="401" t="b">
        <f t="shared" si="91"/>
        <v>0</v>
      </c>
      <c r="BC259" t="str">
        <f>'Ashed teabags wet'!A257</f>
        <v>G699</v>
      </c>
      <c r="BD259" t="str">
        <f>'Ashed teabags wet'!A674</f>
        <v>R492</v>
      </c>
      <c r="BE259" t="b">
        <f t="shared" si="92"/>
        <v>0</v>
      </c>
      <c r="BF259" t="b">
        <f t="shared" si="93"/>
        <v>0</v>
      </c>
      <c r="BG259">
        <f>IFERROR('Ashed teabags wet'!C257,"")</f>
        <v>21</v>
      </c>
      <c r="BH259">
        <f>IFERROR('Ashed teabags wet'!C674,"")</f>
        <v>146</v>
      </c>
      <c r="BI259">
        <f>'Ashed teabags wet'!AB257</f>
        <v>20</v>
      </c>
      <c r="BJ259" t="str">
        <f>'Ashed teabags wet'!AC257</f>
        <v/>
      </c>
      <c r="BK259">
        <f>'Ashed teabags wet'!AD674</f>
        <v>145</v>
      </c>
      <c r="BL259" t="str">
        <f>'Ashed teabags wet'!AE674</f>
        <v/>
      </c>
      <c r="BN259" t="str">
        <f t="shared" si="94"/>
        <v>G698</v>
      </c>
      <c r="BO259" t="b">
        <f t="shared" si="95"/>
        <v>1</v>
      </c>
    </row>
    <row r="260" spans="2:67" ht="12" customHeight="1">
      <c r="B260" t="str">
        <f>TBIDry!H332</f>
        <v>G473</v>
      </c>
      <c r="C260" t="str">
        <f>TBIDry!I332</f>
        <v>R681</v>
      </c>
      <c r="D260" t="b">
        <f t="shared" si="72"/>
        <v>0</v>
      </c>
      <c r="E260" t="b">
        <f t="shared" si="73"/>
        <v>0</v>
      </c>
      <c r="G260" t="str">
        <f>TBIWet!H332</f>
        <v>G528</v>
      </c>
      <c r="H260" t="str">
        <f>TBIWet!I332</f>
        <v>R89</v>
      </c>
      <c r="I260" t="b">
        <f t="shared" si="74"/>
        <v>0</v>
      </c>
      <c r="J260" t="b">
        <f t="shared" si="75"/>
        <v>0</v>
      </c>
      <c r="L260" t="str">
        <f>'Both teabags AfterWet'!A259</f>
        <v>G698</v>
      </c>
      <c r="M260" t="str">
        <f>'Both teabags AfterWet'!A677</f>
        <v>R472</v>
      </c>
      <c r="N260" t="b">
        <f t="shared" si="76"/>
        <v>0</v>
      </c>
      <c r="O260" t="b">
        <f t="shared" si="77"/>
        <v>0</v>
      </c>
      <c r="P260">
        <f>IFERROR('Both teabags AfterWet'!B259,"")</f>
        <v>120</v>
      </c>
      <c r="Q260" t="str">
        <f>'Both teabags AfterWet'!B677</f>
        <v>n.a</v>
      </c>
      <c r="S260" s="401" t="b">
        <f t="shared" si="78"/>
        <v>0</v>
      </c>
      <c r="T260" s="401" t="b">
        <f t="shared" si="79"/>
        <v>0</v>
      </c>
      <c r="V260" t="str">
        <f>'Both teabags AfterDry'!A259</f>
        <v>G570</v>
      </c>
      <c r="W260" t="str">
        <f>'Both teabags AfterDry'!A596</f>
        <v>R749</v>
      </c>
      <c r="X260" t="b">
        <f t="shared" si="80"/>
        <v>0</v>
      </c>
      <c r="Y260" t="b">
        <f t="shared" si="81"/>
        <v>0</v>
      </c>
      <c r="AA260" t="str">
        <f>'Green_rooibos initial weight'!A261</f>
        <v>G257</v>
      </c>
      <c r="AB260" t="str">
        <f>'Green_rooibos initial weight'!A1165</f>
        <v>R257</v>
      </c>
      <c r="AC260" t="b">
        <f t="shared" si="82"/>
        <v>0</v>
      </c>
      <c r="AD260" t="b">
        <f t="shared" si="83"/>
        <v>0</v>
      </c>
      <c r="AG260" t="str">
        <f>'WetLitterbags placem_collection'!O39</f>
        <v>G528</v>
      </c>
      <c r="AH260" t="str">
        <f>'WetLitterbags placem_collection'!Q39</f>
        <v>R89</v>
      </c>
      <c r="AI260" t="b">
        <f t="shared" si="84"/>
        <v>0</v>
      </c>
      <c r="AJ260" t="b">
        <f t="shared" si="85"/>
        <v>0</v>
      </c>
      <c r="AK260">
        <f>'WetLitterbags placem_collection'!A39</f>
        <v>37</v>
      </c>
      <c r="AL260">
        <f>'WetLitterbags placem_collection'!A39</f>
        <v>37</v>
      </c>
      <c r="AN260">
        <f>IF('Dry_Litterbag Placem_Collection'!L39=0,"",'Dry_Litterbag Placem_Collection'!L39)</f>
        <v>473</v>
      </c>
      <c r="AO260">
        <f>IF('Dry_Litterbag Placem_Collection'!M39=0,"",'Dry_Litterbag Placem_Collection'!M39)</f>
        <v>681</v>
      </c>
      <c r="AP260" t="b">
        <f t="shared" si="86"/>
        <v>0</v>
      </c>
      <c r="AQ260" t="b">
        <f t="shared" si="87"/>
        <v>0</v>
      </c>
      <c r="AT260" t="str">
        <f>'Ashed teabags dry'!A258</f>
        <v>G570</v>
      </c>
      <c r="AU260" t="str">
        <f>'Ashed teabags dry'!A595</f>
        <v>R748</v>
      </c>
      <c r="AV260" t="b">
        <f t="shared" si="88"/>
        <v>0</v>
      </c>
      <c r="AW260" t="b">
        <f t="shared" si="89"/>
        <v>0</v>
      </c>
      <c r="AZ260" s="401" t="b">
        <f t="shared" si="90"/>
        <v>0</v>
      </c>
      <c r="BA260" s="401" t="b">
        <f t="shared" si="91"/>
        <v>0</v>
      </c>
      <c r="BC260" t="str">
        <f>'Ashed teabags wet'!A258</f>
        <v>G700</v>
      </c>
      <c r="BD260" t="str">
        <f>'Ashed teabags wet'!A675</f>
        <v>R494</v>
      </c>
      <c r="BE260" t="b">
        <f t="shared" si="92"/>
        <v>0</v>
      </c>
      <c r="BF260" t="b">
        <f t="shared" si="93"/>
        <v>0</v>
      </c>
      <c r="BG260">
        <f>IFERROR('Ashed teabags wet'!C258,"")</f>
        <v>65</v>
      </c>
      <c r="BH260">
        <f>IFERROR('Ashed teabags wet'!C675,"")</f>
        <v>103</v>
      </c>
      <c r="BI260" t="str">
        <f>'Ashed teabags wet'!AB258</f>
        <v/>
      </c>
      <c r="BJ260">
        <f>'Ashed teabags wet'!AC258</f>
        <v>64</v>
      </c>
      <c r="BK260" t="str">
        <f>'Ashed teabags wet'!AD675</f>
        <v/>
      </c>
      <c r="BL260">
        <f>'Ashed teabags wet'!AE675</f>
        <v>102</v>
      </c>
      <c r="BN260" t="str">
        <f t="shared" si="94"/>
        <v>G699</v>
      </c>
      <c r="BO260" t="b">
        <f t="shared" si="95"/>
        <v>1</v>
      </c>
    </row>
    <row r="261" spans="2:67" ht="12" customHeight="1">
      <c r="B261" t="str">
        <f>TBIDry!H333</f>
        <v>G111</v>
      </c>
      <c r="C261" t="str">
        <f>TBIDry!I333</f>
        <v>R260</v>
      </c>
      <c r="D261" t="b">
        <f t="shared" ref="D261:D324" si="96">COUNTIF($B$4:$B$2000, B261)&gt;1</f>
        <v>0</v>
      </c>
      <c r="E261" t="b">
        <f t="shared" ref="E261:E324" si="97">COUNTIF($C$4:$C$2000, C261)&gt;1</f>
        <v>0</v>
      </c>
      <c r="G261" t="str">
        <f>TBIWet!H333</f>
        <v>G703</v>
      </c>
      <c r="H261" t="str">
        <f>TBIWet!I333</f>
        <v>R147</v>
      </c>
      <c r="I261" t="b">
        <f t="shared" ref="I261:I324" si="98">COUNTIF($G$4:$G$2000, G261)&gt;1</f>
        <v>0</v>
      </c>
      <c r="J261" t="b">
        <f t="shared" ref="J261:J324" si="99">COUNTIF($H$4:$H$2000, H261)&gt;1</f>
        <v>0</v>
      </c>
      <c r="L261" t="str">
        <f>'Both teabags AfterWet'!A260</f>
        <v>G699</v>
      </c>
      <c r="M261" t="str">
        <f>'Both teabags AfterWet'!A678</f>
        <v>R474</v>
      </c>
      <c r="N261" t="b">
        <f t="shared" ref="N261:N324" si="100">COUNTIF($L$4:$L$2000, L261)&gt;1</f>
        <v>0</v>
      </c>
      <c r="O261" t="b">
        <f t="shared" ref="O261:O324" si="101">COUNTIF($M$4:$M$2000, M261)&gt;1</f>
        <v>0</v>
      </c>
      <c r="P261">
        <f>IFERROR('Both teabags AfterWet'!B260,"")</f>
        <v>21</v>
      </c>
      <c r="Q261">
        <f>'Both teabags AfterWet'!B678</f>
        <v>136</v>
      </c>
      <c r="S261" s="401" t="b">
        <f t="shared" ref="S261:S324" si="102">COUNTIF($V$4:$V$2000, L261)=1</f>
        <v>0</v>
      </c>
      <c r="T261" s="401" t="b">
        <f t="shared" ref="T261:T324" si="103">COUNTIF($W$4:$W$2000, M261)=1</f>
        <v>0</v>
      </c>
      <c r="V261" t="str">
        <f>'Both teabags AfterDry'!A260</f>
        <v>G58</v>
      </c>
      <c r="W261" t="str">
        <f>'Both teabags AfterDry'!A597</f>
        <v>R75</v>
      </c>
      <c r="X261" t="b">
        <f t="shared" ref="X261:X324" si="104">COUNTIF($V$4:$V$2000, V261)&gt;1</f>
        <v>0</v>
      </c>
      <c r="Y261" t="b">
        <f t="shared" ref="Y261:Y324" si="105">COUNTIF($W$4:$W$2000, W261)&gt;1</f>
        <v>0</v>
      </c>
      <c r="AA261" t="str">
        <f>'Green_rooibos initial weight'!A262</f>
        <v>G258</v>
      </c>
      <c r="AB261" t="str">
        <f>'Green_rooibos initial weight'!A1166</f>
        <v>R258</v>
      </c>
      <c r="AC261" t="b">
        <f t="shared" ref="AC261:AC324" si="106">COUNTIF($AA$4:$AA$2000, AA261)&gt;1</f>
        <v>0</v>
      </c>
      <c r="AD261" t="b">
        <f t="shared" ref="AD261:AD324" si="107">COUNTIF($AB$4:$AB$2000, AB261)&gt;1</f>
        <v>0</v>
      </c>
      <c r="AG261" t="str">
        <f>'WetLitterbags placem_collection'!O40</f>
        <v>G703</v>
      </c>
      <c r="AH261" t="str">
        <f>'WetLitterbags placem_collection'!Q40</f>
        <v>R147</v>
      </c>
      <c r="AI261" t="b">
        <f t="shared" ref="AI261:AI324" si="108">COUNTIF($AG$4:$AG$2000, AG261)&gt;1</f>
        <v>0</v>
      </c>
      <c r="AJ261" t="b">
        <f t="shared" ref="AJ261:AJ324" si="109">COUNTIF($AH$4:$AH$2000, AH261)&gt;1</f>
        <v>0</v>
      </c>
      <c r="AK261">
        <f>'WetLitterbags placem_collection'!A40</f>
        <v>38</v>
      </c>
      <c r="AL261">
        <f>'WetLitterbags placem_collection'!A40</f>
        <v>38</v>
      </c>
      <c r="AN261">
        <f>IF('Dry_Litterbag Placem_Collection'!L40=0,"",'Dry_Litterbag Placem_Collection'!L40)</f>
        <v>111</v>
      </c>
      <c r="AO261">
        <f>IF('Dry_Litterbag Placem_Collection'!M40=0,"",'Dry_Litterbag Placem_Collection'!M40)</f>
        <v>260</v>
      </c>
      <c r="AP261" t="b">
        <f t="shared" ref="AP261:AP324" si="110">COUNTIF($AN$4:$AN$2000, AN261)&gt;1</f>
        <v>0</v>
      </c>
      <c r="AQ261" t="b">
        <f t="shared" ref="AQ261:AQ324" si="111">COUNTIF($AO$4:$AO$2000, AO261)&gt;1</f>
        <v>0</v>
      </c>
      <c r="AT261" t="str">
        <f>'Ashed teabags dry'!A259</f>
        <v>G58</v>
      </c>
      <c r="AU261" t="str">
        <f>'Ashed teabags dry'!A596</f>
        <v>R749</v>
      </c>
      <c r="AV261" t="b">
        <f t="shared" ref="AV261:AV324" si="112">COUNTIF($AT$4:$AT$2000, AT261)&gt;1</f>
        <v>0</v>
      </c>
      <c r="AW261" t="b">
        <f t="shared" ref="AW261:AW324" si="113">COUNTIF($AU$4:$AU$2000, AU261)&gt;1</f>
        <v>0</v>
      </c>
      <c r="AZ261" s="401" t="b">
        <f t="shared" ref="AZ261:AZ324" si="114">COUNTIF($BC$4:$BC$2000, AT261)=1</f>
        <v>0</v>
      </c>
      <c r="BA261" s="401" t="b">
        <f t="shared" ref="BA261:BA324" si="115">COUNTIF($BD$4:$BD$2000, AU261)=1</f>
        <v>0</v>
      </c>
      <c r="BC261" t="str">
        <f>'Ashed teabags wet'!A259</f>
        <v>G701</v>
      </c>
      <c r="BD261" t="str">
        <f>'Ashed teabags wet'!A676</f>
        <v>R495</v>
      </c>
      <c r="BE261" t="b">
        <f t="shared" ref="BE261:BE324" si="116">COUNTIF($BC$4:$BC$2000, BC261)&gt;1</f>
        <v>0</v>
      </c>
      <c r="BF261" t="b">
        <f t="shared" ref="BF261:BF324" si="117">COUNTIF($BD$4:$BD$2000, BD261)&gt;1</f>
        <v>0</v>
      </c>
      <c r="BG261">
        <f>IFERROR('Ashed teabags wet'!C259,"")</f>
        <v>8</v>
      </c>
      <c r="BH261">
        <f>IFERROR('Ashed teabags wet'!C676,"")</f>
        <v>118</v>
      </c>
      <c r="BI261" t="str">
        <f>'Ashed teabags wet'!AB259</f>
        <v/>
      </c>
      <c r="BJ261">
        <f>'Ashed teabags wet'!AC259</f>
        <v>7</v>
      </c>
      <c r="BK261">
        <f>'Ashed teabags wet'!AD676</f>
        <v>117</v>
      </c>
      <c r="BL261" t="str">
        <f>'Ashed teabags wet'!AE676</f>
        <v/>
      </c>
      <c r="BN261" t="str">
        <f t="shared" ref="BN261:BN324" si="118">BC260</f>
        <v>G700</v>
      </c>
      <c r="BO261" t="b">
        <f t="shared" si="95"/>
        <v>1</v>
      </c>
    </row>
    <row r="262" spans="2:67" ht="12" customHeight="1">
      <c r="B262" t="str">
        <f>TBIDry!H334</f>
        <v/>
      </c>
      <c r="C262" t="str">
        <f>TBIDry!I334</f>
        <v/>
      </c>
      <c r="D262" t="b">
        <f t="shared" si="96"/>
        <v>1</v>
      </c>
      <c r="E262" t="b">
        <f t="shared" si="97"/>
        <v>1</v>
      </c>
      <c r="G262" t="str">
        <f>TBIWet!H334</f>
        <v>G566</v>
      </c>
      <c r="H262" t="str">
        <f>TBIWet!I334</f>
        <v>R65</v>
      </c>
      <c r="I262" t="b">
        <f t="shared" si="98"/>
        <v>0</v>
      </c>
      <c r="J262" t="b">
        <f t="shared" si="99"/>
        <v>0</v>
      </c>
      <c r="L262" t="str">
        <f>'Both teabags AfterWet'!A261</f>
        <v>G700</v>
      </c>
      <c r="M262" t="str">
        <f>'Both teabags AfterWet'!A679</f>
        <v>R475</v>
      </c>
      <c r="N262" t="b">
        <f t="shared" si="100"/>
        <v>0</v>
      </c>
      <c r="O262" t="b">
        <f t="shared" si="101"/>
        <v>0</v>
      </c>
      <c r="P262">
        <f>IFERROR('Both teabags AfterWet'!B261,"")</f>
        <v>65</v>
      </c>
      <c r="Q262">
        <f>'Both teabags AfterWet'!B679</f>
        <v>104</v>
      </c>
      <c r="S262" s="401" t="b">
        <f t="shared" si="102"/>
        <v>0</v>
      </c>
      <c r="T262" s="401" t="b">
        <f t="shared" si="103"/>
        <v>0</v>
      </c>
      <c r="V262" t="str">
        <f>'Both teabags AfterDry'!A261</f>
        <v>G580</v>
      </c>
      <c r="W262" t="str">
        <f>'Both teabags AfterDry'!A598</f>
        <v>R751</v>
      </c>
      <c r="X262" t="b">
        <f t="shared" si="104"/>
        <v>0</v>
      </c>
      <c r="Y262" t="b">
        <f t="shared" si="105"/>
        <v>0</v>
      </c>
      <c r="AA262" t="str">
        <f>'Green_rooibos initial weight'!A263</f>
        <v>G259</v>
      </c>
      <c r="AB262" t="str">
        <f>'Green_rooibos initial weight'!A1167</f>
        <v>R259</v>
      </c>
      <c r="AC262" t="b">
        <f t="shared" si="106"/>
        <v>0</v>
      </c>
      <c r="AD262" t="b">
        <f t="shared" si="107"/>
        <v>0</v>
      </c>
      <c r="AG262" t="str">
        <f>'WetLitterbags placem_collection'!O41</f>
        <v>G566</v>
      </c>
      <c r="AH262" t="str">
        <f>'WetLitterbags placem_collection'!Q41</f>
        <v>R65</v>
      </c>
      <c r="AI262" t="b">
        <f t="shared" si="108"/>
        <v>0</v>
      </c>
      <c r="AJ262" t="b">
        <f t="shared" si="109"/>
        <v>0</v>
      </c>
      <c r="AK262">
        <f>'WetLitterbags placem_collection'!A41</f>
        <v>39</v>
      </c>
      <c r="AL262">
        <f>'WetLitterbags placem_collection'!A41</f>
        <v>39</v>
      </c>
      <c r="AN262" t="str">
        <f>IF('Dry_Litterbag Placem_Collection'!L41=0,"",'Dry_Litterbag Placem_Collection'!L41)</f>
        <v/>
      </c>
      <c r="AO262" t="str">
        <f>IF('Dry_Litterbag Placem_Collection'!M41=0,"",'Dry_Litterbag Placem_Collection'!M41)</f>
        <v/>
      </c>
      <c r="AP262" t="b">
        <f t="shared" si="110"/>
        <v>1</v>
      </c>
      <c r="AQ262" t="b">
        <f t="shared" si="111"/>
        <v>1</v>
      </c>
      <c r="AT262" t="str">
        <f>'Ashed teabags dry'!A260</f>
        <v>G580</v>
      </c>
      <c r="AU262" t="str">
        <f>'Ashed teabags dry'!A597</f>
        <v>R75</v>
      </c>
      <c r="AV262" t="b">
        <f t="shared" si="112"/>
        <v>0</v>
      </c>
      <c r="AW262" t="b">
        <f t="shared" si="113"/>
        <v>0</v>
      </c>
      <c r="AZ262" s="401" t="b">
        <f t="shared" si="114"/>
        <v>0</v>
      </c>
      <c r="BA262" s="401" t="b">
        <f t="shared" si="115"/>
        <v>0</v>
      </c>
      <c r="BC262" t="str">
        <f>'Ashed teabags wet'!A260</f>
        <v>G702</v>
      </c>
      <c r="BD262" t="str">
        <f>'Ashed teabags wet'!A677</f>
        <v>R496</v>
      </c>
      <c r="BE262" t="b">
        <f t="shared" si="116"/>
        <v>0</v>
      </c>
      <c r="BF262" t="b">
        <f t="shared" si="117"/>
        <v>0</v>
      </c>
      <c r="BG262">
        <f>IFERROR('Ashed teabags wet'!C260,"")</f>
        <v>28</v>
      </c>
      <c r="BH262">
        <f>IFERROR('Ashed teabags wet'!C677,"")</f>
        <v>99</v>
      </c>
      <c r="BI262">
        <f>'Ashed teabags wet'!AB260</f>
        <v>27</v>
      </c>
      <c r="BJ262" t="str">
        <f>'Ashed teabags wet'!AC260</f>
        <v/>
      </c>
      <c r="BK262" t="str">
        <f>'Ashed teabags wet'!AD677</f>
        <v/>
      </c>
      <c r="BL262">
        <f>'Ashed teabags wet'!AE677</f>
        <v>98</v>
      </c>
      <c r="BN262" t="str">
        <f t="shared" si="118"/>
        <v>G701</v>
      </c>
      <c r="BO262" t="b">
        <f t="shared" ref="BO262:BO325" si="119">COUNTIF($BN$5:$BN$2000, BN262)&gt;1</f>
        <v>1</v>
      </c>
    </row>
    <row r="263" spans="2:67" ht="12" customHeight="1">
      <c r="B263" t="str">
        <f>TBIDry!H335</f>
        <v>G646</v>
      </c>
      <c r="C263" t="str">
        <f>TBIDry!I335</f>
        <v>R402</v>
      </c>
      <c r="D263" t="b">
        <f t="shared" si="96"/>
        <v>0</v>
      </c>
      <c r="E263" t="b">
        <f t="shared" si="97"/>
        <v>0</v>
      </c>
      <c r="G263" t="str">
        <f>TBIWet!H335</f>
        <v>G619</v>
      </c>
      <c r="H263" t="str">
        <f>TBIWet!I335</f>
        <v>R420</v>
      </c>
      <c r="I263" t="b">
        <f t="shared" si="98"/>
        <v>0</v>
      </c>
      <c r="J263" t="b">
        <f t="shared" si="99"/>
        <v>0</v>
      </c>
      <c r="L263" t="str">
        <f>'Both teabags AfterWet'!A262</f>
        <v>G701</v>
      </c>
      <c r="M263" t="str">
        <f>'Both teabags AfterWet'!A680</f>
        <v>R476</v>
      </c>
      <c r="N263" t="b">
        <f t="shared" si="100"/>
        <v>0</v>
      </c>
      <c r="O263" t="b">
        <f t="shared" si="101"/>
        <v>0</v>
      </c>
      <c r="P263" t="str">
        <f>IFERROR('Both teabags AfterWet'!B262,"")</f>
        <v>n.a</v>
      </c>
      <c r="Q263">
        <f>'Both teabags AfterWet'!B680</f>
        <v>131</v>
      </c>
      <c r="S263" s="401" t="b">
        <f t="shared" si="102"/>
        <v>0</v>
      </c>
      <c r="T263" s="401" t="b">
        <f t="shared" si="103"/>
        <v>0</v>
      </c>
      <c r="V263" t="str">
        <f>'Both teabags AfterDry'!A262</f>
        <v>G59</v>
      </c>
      <c r="W263" t="str">
        <f>'Both teabags AfterDry'!A599</f>
        <v>R752</v>
      </c>
      <c r="X263" t="b">
        <f t="shared" si="104"/>
        <v>0</v>
      </c>
      <c r="Y263" t="b">
        <f t="shared" si="105"/>
        <v>0</v>
      </c>
      <c r="AA263" t="str">
        <f>'Green_rooibos initial weight'!A264</f>
        <v>G260</v>
      </c>
      <c r="AB263" t="str">
        <f>'Green_rooibos initial weight'!A1168</f>
        <v>R260</v>
      </c>
      <c r="AC263" t="b">
        <f t="shared" si="106"/>
        <v>0</v>
      </c>
      <c r="AD263" t="b">
        <f t="shared" si="107"/>
        <v>0</v>
      </c>
      <c r="AG263" t="str">
        <f>'WetLitterbags placem_collection'!O42</f>
        <v>G619</v>
      </c>
      <c r="AH263" t="str">
        <f>'WetLitterbags placem_collection'!Q42</f>
        <v>R420</v>
      </c>
      <c r="AI263" t="b">
        <f t="shared" si="108"/>
        <v>0</v>
      </c>
      <c r="AJ263" t="b">
        <f t="shared" si="109"/>
        <v>0</v>
      </c>
      <c r="AK263">
        <f>'WetLitterbags placem_collection'!A42</f>
        <v>40</v>
      </c>
      <c r="AL263">
        <f>'WetLitterbags placem_collection'!A42</f>
        <v>40</v>
      </c>
      <c r="AN263">
        <f>IF('Dry_Litterbag Placem_Collection'!L42=0,"",'Dry_Litterbag Placem_Collection'!L42)</f>
        <v>646</v>
      </c>
      <c r="AO263">
        <f>IF('Dry_Litterbag Placem_Collection'!M42=0,"",'Dry_Litterbag Placem_Collection'!M42)</f>
        <v>402</v>
      </c>
      <c r="AP263" t="b">
        <f t="shared" si="110"/>
        <v>0</v>
      </c>
      <c r="AQ263" t="b">
        <f t="shared" si="111"/>
        <v>0</v>
      </c>
      <c r="AT263" t="str">
        <f>'Ashed teabags dry'!A261</f>
        <v>G59</v>
      </c>
      <c r="AU263" t="str">
        <f>'Ashed teabags dry'!A598</f>
        <v>R751</v>
      </c>
      <c r="AV263" t="b">
        <f t="shared" si="112"/>
        <v>0</v>
      </c>
      <c r="AW263" t="b">
        <f t="shared" si="113"/>
        <v>0</v>
      </c>
      <c r="AZ263" s="401" t="b">
        <f t="shared" si="114"/>
        <v>0</v>
      </c>
      <c r="BA263" s="401" t="b">
        <f t="shared" si="115"/>
        <v>0</v>
      </c>
      <c r="BC263" t="str">
        <f>'Ashed teabags wet'!A261</f>
        <v>G703</v>
      </c>
      <c r="BD263" t="str">
        <f>'Ashed teabags wet'!A678</f>
        <v>R497</v>
      </c>
      <c r="BE263" t="b">
        <f t="shared" si="116"/>
        <v>0</v>
      </c>
      <c r="BF263" t="b">
        <f t="shared" si="117"/>
        <v>0</v>
      </c>
      <c r="BG263">
        <f>IFERROR('Ashed teabags wet'!C261,"")</f>
        <v>38</v>
      </c>
      <c r="BH263">
        <f>IFERROR('Ashed teabags wet'!C678,"")</f>
        <v>100</v>
      </c>
      <c r="BI263" t="str">
        <f>'Ashed teabags wet'!AB261</f>
        <v/>
      </c>
      <c r="BJ263">
        <f>'Ashed teabags wet'!AC261</f>
        <v>37</v>
      </c>
      <c r="BK263" t="str">
        <f>'Ashed teabags wet'!AD678</f>
        <v/>
      </c>
      <c r="BL263">
        <f>'Ashed teabags wet'!AE678</f>
        <v>99</v>
      </c>
      <c r="BN263" t="str">
        <f t="shared" si="118"/>
        <v>G702</v>
      </c>
      <c r="BO263" t="b">
        <f t="shared" si="119"/>
        <v>1</v>
      </c>
    </row>
    <row r="264" spans="2:67" ht="12" customHeight="1">
      <c r="B264" t="str">
        <f>TBIDry!H336</f>
        <v>G43</v>
      </c>
      <c r="C264" t="str">
        <f>TBIDry!I336</f>
        <v>R648</v>
      </c>
      <c r="D264" t="b">
        <f t="shared" si="96"/>
        <v>0</v>
      </c>
      <c r="E264" t="b">
        <f t="shared" si="97"/>
        <v>1</v>
      </c>
      <c r="G264" t="str">
        <f>TBIWet!H336</f>
        <v>G626</v>
      </c>
      <c r="H264" t="str">
        <f>TBIWet!I336</f>
        <v>R77</v>
      </c>
      <c r="I264" t="b">
        <f t="shared" si="98"/>
        <v>0</v>
      </c>
      <c r="J264" t="b">
        <f t="shared" si="99"/>
        <v>0</v>
      </c>
      <c r="L264" t="str">
        <f>'Both teabags AfterWet'!A263</f>
        <v>G702</v>
      </c>
      <c r="M264" t="str">
        <f>'Both teabags AfterWet'!A681</f>
        <v>R477</v>
      </c>
      <c r="N264" t="b">
        <f t="shared" si="100"/>
        <v>0</v>
      </c>
      <c r="O264" t="b">
        <f t="shared" si="101"/>
        <v>0</v>
      </c>
      <c r="P264" t="str">
        <f>IFERROR('Both teabags AfterWet'!B263,"")</f>
        <v>n.a</v>
      </c>
      <c r="Q264">
        <f>'Both teabags AfterWet'!B681</f>
        <v>132</v>
      </c>
      <c r="S264" s="401" t="b">
        <f t="shared" si="102"/>
        <v>0</v>
      </c>
      <c r="T264" s="401" t="b">
        <f t="shared" si="103"/>
        <v>0</v>
      </c>
      <c r="V264" t="str">
        <f>'Both teabags AfterDry'!A263</f>
        <v>G596</v>
      </c>
      <c r="W264" t="str">
        <f>'Both teabags AfterDry'!A600</f>
        <v>R756</v>
      </c>
      <c r="X264" t="b">
        <f t="shared" si="104"/>
        <v>0</v>
      </c>
      <c r="Y264" t="b">
        <f t="shared" si="105"/>
        <v>0</v>
      </c>
      <c r="AA264" t="str">
        <f>'Green_rooibos initial weight'!A265</f>
        <v>G261</v>
      </c>
      <c r="AB264" t="str">
        <f>'Green_rooibos initial weight'!A1169</f>
        <v>R261</v>
      </c>
      <c r="AC264" t="b">
        <f t="shared" si="106"/>
        <v>0</v>
      </c>
      <c r="AD264" t="b">
        <f t="shared" si="107"/>
        <v>0</v>
      </c>
      <c r="AG264" t="str">
        <f>'WetLitterbags placem_collection'!O43</f>
        <v>G626</v>
      </c>
      <c r="AH264" t="str">
        <f>'WetLitterbags placem_collection'!Q43</f>
        <v>R77</v>
      </c>
      <c r="AI264" t="b">
        <f t="shared" si="108"/>
        <v>0</v>
      </c>
      <c r="AJ264" t="b">
        <f t="shared" si="109"/>
        <v>0</v>
      </c>
      <c r="AK264">
        <f>'WetLitterbags placem_collection'!A43</f>
        <v>41</v>
      </c>
      <c r="AL264">
        <f>'WetLitterbags placem_collection'!A43</f>
        <v>41</v>
      </c>
      <c r="AN264">
        <f>IF('Dry_Litterbag Placem_Collection'!L43=0,"",'Dry_Litterbag Placem_Collection'!L43)</f>
        <v>43</v>
      </c>
      <c r="AO264">
        <f>IF('Dry_Litterbag Placem_Collection'!M43=0,"",'Dry_Litterbag Placem_Collection'!M43)</f>
        <v>648</v>
      </c>
      <c r="AP264" t="b">
        <f t="shared" si="110"/>
        <v>0</v>
      </c>
      <c r="AQ264" t="b">
        <f t="shared" si="111"/>
        <v>1</v>
      </c>
      <c r="AT264" t="str">
        <f>'Ashed teabags dry'!A262</f>
        <v>G596</v>
      </c>
      <c r="AU264" t="str">
        <f>'Ashed teabags dry'!A599</f>
        <v>R752</v>
      </c>
      <c r="AV264" t="b">
        <f t="shared" si="112"/>
        <v>0</v>
      </c>
      <c r="AW264" t="b">
        <f t="shared" si="113"/>
        <v>0</v>
      </c>
      <c r="AZ264" s="401" t="b">
        <f t="shared" si="114"/>
        <v>0</v>
      </c>
      <c r="BA264" s="401" t="b">
        <f t="shared" si="115"/>
        <v>0</v>
      </c>
      <c r="BC264" t="str">
        <f>'Ashed teabags wet'!A262</f>
        <v>G704</v>
      </c>
      <c r="BD264" t="str">
        <f>'Ashed teabags wet'!A679</f>
        <v>R50</v>
      </c>
      <c r="BE264" t="b">
        <f t="shared" si="116"/>
        <v>0</v>
      </c>
      <c r="BF264" t="b">
        <f t="shared" si="117"/>
        <v>0</v>
      </c>
      <c r="BG264">
        <f>IFERROR('Ashed teabags wet'!C262,"")</f>
        <v>106</v>
      </c>
      <c r="BH264">
        <f>IFERROR('Ashed teabags wet'!C679,"")</f>
        <v>20</v>
      </c>
      <c r="BI264">
        <f>'Ashed teabags wet'!AB262</f>
        <v>108</v>
      </c>
      <c r="BJ264" t="str">
        <f>'Ashed teabags wet'!AC262</f>
        <v/>
      </c>
      <c r="BK264">
        <f>'Ashed teabags wet'!AD679</f>
        <v>19</v>
      </c>
      <c r="BL264" t="str">
        <f>'Ashed teabags wet'!AE679</f>
        <v/>
      </c>
      <c r="BN264" t="str">
        <f t="shared" si="118"/>
        <v>G703</v>
      </c>
      <c r="BO264" t="b">
        <f t="shared" si="119"/>
        <v>1</v>
      </c>
    </row>
    <row r="265" spans="2:67" ht="12" customHeight="1">
      <c r="B265" t="str">
        <f>TBIDry!H337</f>
        <v>G268</v>
      </c>
      <c r="C265" t="str">
        <f>TBIDry!I337</f>
        <v>R257</v>
      </c>
      <c r="D265" t="b">
        <f t="shared" si="96"/>
        <v>0</v>
      </c>
      <c r="E265" t="b">
        <f t="shared" si="97"/>
        <v>0</v>
      </c>
      <c r="G265" t="str">
        <f>TBIWet!H337</f>
        <v>G437</v>
      </c>
      <c r="H265" t="str">
        <f>TBIWet!I337</f>
        <v>R81</v>
      </c>
      <c r="I265" t="b">
        <f t="shared" si="98"/>
        <v>0</v>
      </c>
      <c r="J265" t="b">
        <f t="shared" si="99"/>
        <v>0</v>
      </c>
      <c r="L265" t="str">
        <f>'Both teabags AfterWet'!A264</f>
        <v>G703</v>
      </c>
      <c r="M265" t="str">
        <f>'Both teabags AfterWet'!A682</f>
        <v>R479</v>
      </c>
      <c r="N265" t="b">
        <f t="shared" si="100"/>
        <v>0</v>
      </c>
      <c r="O265" t="b">
        <f t="shared" si="101"/>
        <v>0</v>
      </c>
      <c r="P265">
        <f>IFERROR('Both teabags AfterWet'!B264,"")</f>
        <v>38</v>
      </c>
      <c r="Q265" t="str">
        <f>'Both teabags AfterWet'!B682</f>
        <v>na</v>
      </c>
      <c r="S265" s="401" t="b">
        <f t="shared" si="102"/>
        <v>0</v>
      </c>
      <c r="T265" s="401" t="b">
        <f t="shared" si="103"/>
        <v>0</v>
      </c>
      <c r="V265" t="str">
        <f>'Both teabags AfterDry'!A264</f>
        <v>G598</v>
      </c>
      <c r="W265" t="str">
        <f>'Both teabags AfterDry'!A601</f>
        <v>R757</v>
      </c>
      <c r="X265" t="b">
        <f t="shared" si="104"/>
        <v>0</v>
      </c>
      <c r="Y265" t="b">
        <f t="shared" si="105"/>
        <v>0</v>
      </c>
      <c r="AA265" t="str">
        <f>'Green_rooibos initial weight'!A266</f>
        <v>G262</v>
      </c>
      <c r="AB265" t="str">
        <f>'Green_rooibos initial weight'!A1170</f>
        <v>R262</v>
      </c>
      <c r="AC265" t="b">
        <f t="shared" si="106"/>
        <v>0</v>
      </c>
      <c r="AD265" t="b">
        <f t="shared" si="107"/>
        <v>0</v>
      </c>
      <c r="AG265" t="str">
        <f>'WetLitterbags placem_collection'!O44</f>
        <v>G437</v>
      </c>
      <c r="AH265" t="str">
        <f>'WetLitterbags placem_collection'!Q44</f>
        <v>R81</v>
      </c>
      <c r="AI265" t="b">
        <f t="shared" si="108"/>
        <v>0</v>
      </c>
      <c r="AJ265" t="b">
        <f t="shared" si="109"/>
        <v>0</v>
      </c>
      <c r="AK265">
        <f>'WetLitterbags placem_collection'!A44</f>
        <v>42</v>
      </c>
      <c r="AL265">
        <f>'WetLitterbags placem_collection'!A44</f>
        <v>42</v>
      </c>
      <c r="AN265">
        <f>IF('Dry_Litterbag Placem_Collection'!L44=0,"",'Dry_Litterbag Placem_Collection'!L44)</f>
        <v>268</v>
      </c>
      <c r="AO265">
        <f>IF('Dry_Litterbag Placem_Collection'!M44=0,"",'Dry_Litterbag Placem_Collection'!M44)</f>
        <v>257</v>
      </c>
      <c r="AP265" t="b">
        <f t="shared" si="110"/>
        <v>0</v>
      </c>
      <c r="AQ265" t="b">
        <f t="shared" si="111"/>
        <v>0</v>
      </c>
      <c r="AT265" t="str">
        <f>'Ashed teabags dry'!A263</f>
        <v>G598</v>
      </c>
      <c r="AU265" t="str">
        <f>'Ashed teabags dry'!A600</f>
        <v>R756</v>
      </c>
      <c r="AV265" t="b">
        <f t="shared" si="112"/>
        <v>0</v>
      </c>
      <c r="AW265" t="b">
        <f t="shared" si="113"/>
        <v>0</v>
      </c>
      <c r="AZ265" s="401" t="b">
        <f t="shared" si="114"/>
        <v>0</v>
      </c>
      <c r="BA265" s="401" t="b">
        <f t="shared" si="115"/>
        <v>0</v>
      </c>
      <c r="BC265" t="str">
        <f>'Ashed teabags wet'!A263</f>
        <v>G706</v>
      </c>
      <c r="BD265" t="str">
        <f>'Ashed teabags wet'!A680</f>
        <v>R500</v>
      </c>
      <c r="BE265" t="b">
        <f t="shared" si="116"/>
        <v>0</v>
      </c>
      <c r="BF265" t="b">
        <f t="shared" si="117"/>
        <v>0</v>
      </c>
      <c r="BG265">
        <f>IFERROR('Ashed teabags wet'!C263,"")</f>
        <v>140</v>
      </c>
      <c r="BH265">
        <f>IFERROR('Ashed teabags wet'!C680,"")</f>
        <v>100</v>
      </c>
      <c r="BI265" t="str">
        <f>'Ashed teabags wet'!AB263</f>
        <v/>
      </c>
      <c r="BJ265">
        <f>'Ashed teabags wet'!AC263</f>
        <v>139</v>
      </c>
      <c r="BK265">
        <f>'Ashed teabags wet'!AD680</f>
        <v>99</v>
      </c>
      <c r="BL265" t="str">
        <f>'Ashed teabags wet'!AE680</f>
        <v/>
      </c>
      <c r="BN265" t="str">
        <f t="shared" si="118"/>
        <v>G704</v>
      </c>
      <c r="BO265" t="b">
        <f t="shared" si="119"/>
        <v>1</v>
      </c>
    </row>
    <row r="266" spans="2:67" ht="12" customHeight="1">
      <c r="B266" t="str">
        <f>TBIDry!H338</f>
        <v>G300</v>
      </c>
      <c r="C266" t="str">
        <f>TBIDry!I338</f>
        <v>R691</v>
      </c>
      <c r="D266" t="b">
        <f t="shared" si="96"/>
        <v>0</v>
      </c>
      <c r="E266" t="b">
        <f t="shared" si="97"/>
        <v>0</v>
      </c>
      <c r="G266" t="str">
        <f>TBIWet!H338</f>
        <v>G643</v>
      </c>
      <c r="H266" t="str">
        <f>TBIWet!I338</f>
        <v>R117</v>
      </c>
      <c r="I266" t="b">
        <f t="shared" si="98"/>
        <v>0</v>
      </c>
      <c r="J266" t="b">
        <f t="shared" si="99"/>
        <v>0</v>
      </c>
      <c r="L266" t="str">
        <f>'Both teabags AfterWet'!A265</f>
        <v>G704</v>
      </c>
      <c r="M266" t="str">
        <f>'Both teabags AfterWet'!A683</f>
        <v>R48</v>
      </c>
      <c r="N266" t="b">
        <f t="shared" si="100"/>
        <v>0</v>
      </c>
      <c r="O266" t="b">
        <f t="shared" si="101"/>
        <v>0</v>
      </c>
      <c r="P266">
        <f>IFERROR('Both teabags AfterWet'!B265,"")</f>
        <v>109</v>
      </c>
      <c r="Q266">
        <f>'Both teabags AfterWet'!B683</f>
        <v>58</v>
      </c>
      <c r="S266" s="401" t="b">
        <f t="shared" si="102"/>
        <v>0</v>
      </c>
      <c r="T266" s="401" t="b">
        <f t="shared" si="103"/>
        <v>0</v>
      </c>
      <c r="V266" t="str">
        <f>'Both teabags AfterDry'!A265</f>
        <v>G6</v>
      </c>
      <c r="W266" t="str">
        <f>'Both teabags AfterDry'!A602</f>
        <v>R758</v>
      </c>
      <c r="X266" t="b">
        <f t="shared" si="104"/>
        <v>0</v>
      </c>
      <c r="Y266" t="b">
        <f t="shared" si="105"/>
        <v>0</v>
      </c>
      <c r="AA266" t="str">
        <f>'Green_rooibos initial weight'!A267</f>
        <v>G263</v>
      </c>
      <c r="AB266" t="str">
        <f>'Green_rooibos initial weight'!A1171</f>
        <v>R263</v>
      </c>
      <c r="AC266" t="b">
        <f t="shared" si="106"/>
        <v>0</v>
      </c>
      <c r="AD266" t="b">
        <f t="shared" si="107"/>
        <v>0</v>
      </c>
      <c r="AG266" t="str">
        <f>'WetLitterbags placem_collection'!O45</f>
        <v>G643</v>
      </c>
      <c r="AH266" t="str">
        <f>'WetLitterbags placem_collection'!Q45</f>
        <v>R117</v>
      </c>
      <c r="AI266" t="b">
        <f t="shared" si="108"/>
        <v>0</v>
      </c>
      <c r="AJ266" t="b">
        <f t="shared" si="109"/>
        <v>0</v>
      </c>
      <c r="AK266">
        <f>'WetLitterbags placem_collection'!A45</f>
        <v>43</v>
      </c>
      <c r="AL266">
        <f>'WetLitterbags placem_collection'!A45</f>
        <v>43</v>
      </c>
      <c r="AN266">
        <f>IF('Dry_Litterbag Placem_Collection'!L45=0,"",'Dry_Litterbag Placem_Collection'!L45)</f>
        <v>300</v>
      </c>
      <c r="AO266">
        <f>IF('Dry_Litterbag Placem_Collection'!M45=0,"",'Dry_Litterbag Placem_Collection'!M45)</f>
        <v>691</v>
      </c>
      <c r="AP266" t="b">
        <f t="shared" si="110"/>
        <v>0</v>
      </c>
      <c r="AQ266" t="b">
        <f t="shared" si="111"/>
        <v>0</v>
      </c>
      <c r="AT266" t="str">
        <f>'Ashed teabags dry'!A264</f>
        <v>G6</v>
      </c>
      <c r="AU266" t="str">
        <f>'Ashed teabags dry'!A601</f>
        <v>R757</v>
      </c>
      <c r="AV266" t="b">
        <f t="shared" si="112"/>
        <v>0</v>
      </c>
      <c r="AW266" t="b">
        <f t="shared" si="113"/>
        <v>0</v>
      </c>
      <c r="AZ266" s="401" t="b">
        <f t="shared" si="114"/>
        <v>0</v>
      </c>
      <c r="BA266" s="401" t="b">
        <f t="shared" si="115"/>
        <v>0</v>
      </c>
      <c r="BC266" t="str">
        <f>'Ashed teabags wet'!A264</f>
        <v>G707</v>
      </c>
      <c r="BD266" t="str">
        <f>'Ashed teabags wet'!A681</f>
        <v>R501</v>
      </c>
      <c r="BE266" t="b">
        <f t="shared" si="116"/>
        <v>0</v>
      </c>
      <c r="BF266" t="b">
        <f t="shared" si="117"/>
        <v>0</v>
      </c>
      <c r="BG266">
        <f>IFERROR('Ashed teabags wet'!C264,"")</f>
        <v>201</v>
      </c>
      <c r="BH266">
        <f>IFERROR('Ashed teabags wet'!C681,"")</f>
        <v>75</v>
      </c>
      <c r="BI266" t="str">
        <f>'Ashed teabags wet'!AB264</f>
        <v/>
      </c>
      <c r="BJ266">
        <f>'Ashed teabags wet'!AC264</f>
        <v>200</v>
      </c>
      <c r="BK266">
        <f>'Ashed teabags wet'!AD681</f>
        <v>75</v>
      </c>
      <c r="BL266" t="str">
        <f>'Ashed teabags wet'!AE681</f>
        <v/>
      </c>
      <c r="BN266" t="str">
        <f t="shared" si="118"/>
        <v>G706</v>
      </c>
      <c r="BO266" t="b">
        <f t="shared" si="119"/>
        <v>1</v>
      </c>
    </row>
    <row r="267" spans="2:67" ht="12" customHeight="1">
      <c r="B267" t="str">
        <f>TBIDry!H339</f>
        <v>G823</v>
      </c>
      <c r="C267" t="str">
        <f>TBIDry!I339</f>
        <v>R716</v>
      </c>
      <c r="D267" t="b">
        <f t="shared" si="96"/>
        <v>0</v>
      </c>
      <c r="E267" t="b">
        <f t="shared" si="97"/>
        <v>0</v>
      </c>
      <c r="G267" t="str">
        <f>TBIWet!H339</f>
        <v>G283</v>
      </c>
      <c r="H267" t="str">
        <f>TBIWet!I339</f>
        <v>R6</v>
      </c>
      <c r="I267" t="b">
        <f t="shared" si="98"/>
        <v>0</v>
      </c>
      <c r="J267" t="b">
        <f t="shared" si="99"/>
        <v>0</v>
      </c>
      <c r="L267" t="str">
        <f>'Both teabags AfterWet'!A266</f>
        <v>G706</v>
      </c>
      <c r="M267" t="str">
        <f>'Both teabags AfterWet'!A684</f>
        <v>R480</v>
      </c>
      <c r="N267" t="b">
        <f t="shared" si="100"/>
        <v>0</v>
      </c>
      <c r="O267" t="b">
        <f t="shared" si="101"/>
        <v>0</v>
      </c>
      <c r="P267">
        <f>IFERROR('Both teabags AfterWet'!B266,"")</f>
        <v>140</v>
      </c>
      <c r="Q267">
        <f>'Both teabags AfterWet'!B684</f>
        <v>125</v>
      </c>
      <c r="S267" s="401" t="b">
        <f t="shared" si="102"/>
        <v>0</v>
      </c>
      <c r="T267" s="401" t="b">
        <f t="shared" si="103"/>
        <v>0</v>
      </c>
      <c r="V267" t="str">
        <f>'Both teabags AfterDry'!A266</f>
        <v>G60</v>
      </c>
      <c r="W267" t="str">
        <f>'Both teabags AfterDry'!A603</f>
        <v>R759</v>
      </c>
      <c r="X267" t="b">
        <f t="shared" si="104"/>
        <v>0</v>
      </c>
      <c r="Y267" t="b">
        <f t="shared" si="105"/>
        <v>0</v>
      </c>
      <c r="AA267" t="str">
        <f>'Green_rooibos initial weight'!A268</f>
        <v>G264</v>
      </c>
      <c r="AB267" t="str">
        <f>'Green_rooibos initial weight'!A1172</f>
        <v>R264</v>
      </c>
      <c r="AC267" t="b">
        <f t="shared" si="106"/>
        <v>0</v>
      </c>
      <c r="AD267" t="b">
        <f t="shared" si="107"/>
        <v>0</v>
      </c>
      <c r="AG267" t="str">
        <f>'WetLitterbags placem_collection'!O46</f>
        <v>G283</v>
      </c>
      <c r="AH267" t="str">
        <f>'WetLitterbags placem_collection'!Q46</f>
        <v>R6</v>
      </c>
      <c r="AI267" t="b">
        <f t="shared" si="108"/>
        <v>0</v>
      </c>
      <c r="AJ267" t="b">
        <f t="shared" si="109"/>
        <v>0</v>
      </c>
      <c r="AK267">
        <f>'WetLitterbags placem_collection'!A46</f>
        <v>44</v>
      </c>
      <c r="AL267">
        <f>'WetLitterbags placem_collection'!A46</f>
        <v>44</v>
      </c>
      <c r="AN267">
        <f>IF('Dry_Litterbag Placem_Collection'!L46=0,"",'Dry_Litterbag Placem_Collection'!L46)</f>
        <v>823</v>
      </c>
      <c r="AO267">
        <f>IF('Dry_Litterbag Placem_Collection'!M46=0,"",'Dry_Litterbag Placem_Collection'!M46)</f>
        <v>716</v>
      </c>
      <c r="AP267" t="b">
        <f t="shared" si="110"/>
        <v>0</v>
      </c>
      <c r="AQ267" t="b">
        <f t="shared" si="111"/>
        <v>0</v>
      </c>
      <c r="AT267" t="str">
        <f>'Ashed teabags dry'!A265</f>
        <v>G60</v>
      </c>
      <c r="AU267" t="str">
        <f>'Ashed teabags dry'!A602</f>
        <v>R758</v>
      </c>
      <c r="AV267" t="b">
        <f t="shared" si="112"/>
        <v>0</v>
      </c>
      <c r="AW267" t="b">
        <f t="shared" si="113"/>
        <v>0</v>
      </c>
      <c r="AZ267" s="401" t="b">
        <f t="shared" si="114"/>
        <v>0</v>
      </c>
      <c r="BA267" s="401" t="b">
        <f t="shared" si="115"/>
        <v>0</v>
      </c>
      <c r="BC267" t="str">
        <f>'Ashed teabags wet'!A265</f>
        <v>G708</v>
      </c>
      <c r="BD267" t="str">
        <f>'Ashed teabags wet'!A682</f>
        <v>R502</v>
      </c>
      <c r="BE267" t="b">
        <f t="shared" si="116"/>
        <v>0</v>
      </c>
      <c r="BF267" t="b">
        <f t="shared" si="117"/>
        <v>0</v>
      </c>
      <c r="BG267">
        <f>IFERROR('Ashed teabags wet'!C265,"")</f>
        <v>130</v>
      </c>
      <c r="BH267">
        <f>IFERROR('Ashed teabags wet'!C682,"")</f>
        <v>5</v>
      </c>
      <c r="BI267" t="str">
        <f>'Ashed teabags wet'!AB265</f>
        <v/>
      </c>
      <c r="BJ267">
        <f>'Ashed teabags wet'!AC265</f>
        <v>129</v>
      </c>
      <c r="BK267">
        <f>'Ashed teabags wet'!AD682</f>
        <v>4</v>
      </c>
      <c r="BL267" t="str">
        <f>'Ashed teabags wet'!AE682</f>
        <v/>
      </c>
      <c r="BN267" t="str">
        <f t="shared" si="118"/>
        <v>G707</v>
      </c>
      <c r="BO267" t="b">
        <f t="shared" si="119"/>
        <v>1</v>
      </c>
    </row>
    <row r="268" spans="2:67" ht="12" customHeight="1">
      <c r="B268" t="str">
        <f>TBIDry!H340</f>
        <v>G354</v>
      </c>
      <c r="C268" t="str">
        <f>TBIDry!I340</f>
        <v>R631</v>
      </c>
      <c r="D268" t="b">
        <f t="shared" si="96"/>
        <v>0</v>
      </c>
      <c r="E268" t="b">
        <f t="shared" si="97"/>
        <v>0</v>
      </c>
      <c r="G268" t="str">
        <f>TBIWet!H340</f>
        <v>G602</v>
      </c>
      <c r="H268" t="str">
        <f>TBIWet!I340</f>
        <v>R74</v>
      </c>
      <c r="I268" t="b">
        <f t="shared" si="98"/>
        <v>0</v>
      </c>
      <c r="J268" t="b">
        <f t="shared" si="99"/>
        <v>0</v>
      </c>
      <c r="L268" t="str">
        <f>'Both teabags AfterWet'!A267</f>
        <v>G707</v>
      </c>
      <c r="M268" t="str">
        <f>'Both teabags AfterWet'!A685</f>
        <v>R481</v>
      </c>
      <c r="N268" t="b">
        <f t="shared" si="100"/>
        <v>0</v>
      </c>
      <c r="O268" t="b">
        <f t="shared" si="101"/>
        <v>0</v>
      </c>
      <c r="P268">
        <f>IFERROR('Both teabags AfterWet'!B267,"")</f>
        <v>201</v>
      </c>
      <c r="Q268">
        <f>'Both teabags AfterWet'!B685</f>
        <v>175</v>
      </c>
      <c r="S268" s="401" t="b">
        <f t="shared" si="102"/>
        <v>0</v>
      </c>
      <c r="T268" s="401" t="b">
        <f t="shared" si="103"/>
        <v>0</v>
      </c>
      <c r="V268" t="str">
        <f>'Both teabags AfterDry'!A267</f>
        <v>G601</v>
      </c>
      <c r="W268" t="str">
        <f>'Both teabags AfterDry'!A604</f>
        <v>R760</v>
      </c>
      <c r="X268" t="b">
        <f t="shared" si="104"/>
        <v>0</v>
      </c>
      <c r="Y268" t="b">
        <f t="shared" si="105"/>
        <v>0</v>
      </c>
      <c r="AA268" t="str">
        <f>'Green_rooibos initial weight'!A269</f>
        <v>G265</v>
      </c>
      <c r="AB268" t="str">
        <f>'Green_rooibos initial weight'!A1173</f>
        <v>R265</v>
      </c>
      <c r="AC268" t="b">
        <f t="shared" si="106"/>
        <v>0</v>
      </c>
      <c r="AD268" t="b">
        <f t="shared" si="107"/>
        <v>0</v>
      </c>
      <c r="AG268" t="str">
        <f>'WetLitterbags placem_collection'!O47</f>
        <v>G602</v>
      </c>
      <c r="AH268" t="str">
        <f>'WetLitterbags placem_collection'!Q47</f>
        <v>R74</v>
      </c>
      <c r="AI268" t="b">
        <f t="shared" si="108"/>
        <v>0</v>
      </c>
      <c r="AJ268" t="b">
        <f t="shared" si="109"/>
        <v>0</v>
      </c>
      <c r="AK268">
        <f>'WetLitterbags placem_collection'!A47</f>
        <v>45</v>
      </c>
      <c r="AL268">
        <f>'WetLitterbags placem_collection'!A47</f>
        <v>45</v>
      </c>
      <c r="AN268">
        <f>IF('Dry_Litterbag Placem_Collection'!L47=0,"",'Dry_Litterbag Placem_Collection'!L47)</f>
        <v>354</v>
      </c>
      <c r="AO268">
        <f>IF('Dry_Litterbag Placem_Collection'!M47=0,"",'Dry_Litterbag Placem_Collection'!M47)</f>
        <v>631</v>
      </c>
      <c r="AP268" t="b">
        <f t="shared" si="110"/>
        <v>0</v>
      </c>
      <c r="AQ268" t="b">
        <f t="shared" si="111"/>
        <v>0</v>
      </c>
      <c r="AT268" t="str">
        <f>'Ashed teabags dry'!A266</f>
        <v>G601</v>
      </c>
      <c r="AU268" t="str">
        <f>'Ashed teabags dry'!A603</f>
        <v>R759</v>
      </c>
      <c r="AV268" t="b">
        <f t="shared" si="112"/>
        <v>0</v>
      </c>
      <c r="AW268" t="b">
        <f t="shared" si="113"/>
        <v>0</v>
      </c>
      <c r="AZ268" s="401" t="b">
        <f t="shared" si="114"/>
        <v>0</v>
      </c>
      <c r="BA268" s="401" t="b">
        <f t="shared" si="115"/>
        <v>0</v>
      </c>
      <c r="BC268" t="str">
        <f>'Ashed teabags wet'!A266</f>
        <v>G709</v>
      </c>
      <c r="BD268" t="str">
        <f>'Ashed teabags wet'!A683</f>
        <v>R504</v>
      </c>
      <c r="BE268" t="b">
        <f t="shared" si="116"/>
        <v>0</v>
      </c>
      <c r="BF268" t="b">
        <f t="shared" si="117"/>
        <v>0</v>
      </c>
      <c r="BG268">
        <f>IFERROR('Ashed teabags wet'!C266,"")</f>
        <v>200</v>
      </c>
      <c r="BH268">
        <f>IFERROR('Ashed teabags wet'!C683,"")</f>
        <v>151</v>
      </c>
      <c r="BI268" t="str">
        <f>'Ashed teabags wet'!AB266</f>
        <v/>
      </c>
      <c r="BJ268">
        <f>'Ashed teabags wet'!AC266</f>
        <v>199</v>
      </c>
      <c r="BK268" t="str">
        <f>'Ashed teabags wet'!AD683</f>
        <v/>
      </c>
      <c r="BL268">
        <f>'Ashed teabags wet'!AE683</f>
        <v>150</v>
      </c>
      <c r="BN268" t="str">
        <f t="shared" si="118"/>
        <v>G708</v>
      </c>
      <c r="BO268" t="b">
        <f t="shared" si="119"/>
        <v>1</v>
      </c>
    </row>
    <row r="269" spans="2:67" ht="12" customHeight="1">
      <c r="B269" t="str">
        <f>TBIDry!H341</f>
        <v/>
      </c>
      <c r="C269" t="str">
        <f>TBIDry!I341</f>
        <v/>
      </c>
      <c r="D269" t="b">
        <f t="shared" si="96"/>
        <v>1</v>
      </c>
      <c r="E269" t="b">
        <f t="shared" si="97"/>
        <v>1</v>
      </c>
      <c r="G269" t="str">
        <f>TBIWet!H341</f>
        <v>G427</v>
      </c>
      <c r="H269" t="str">
        <f>TBIWet!I341</f>
        <v>R102</v>
      </c>
      <c r="I269" t="b">
        <f t="shared" si="98"/>
        <v>0</v>
      </c>
      <c r="J269" t="b">
        <f t="shared" si="99"/>
        <v>0</v>
      </c>
      <c r="L269" t="str">
        <f>'Both teabags AfterWet'!A268</f>
        <v>G708</v>
      </c>
      <c r="M269" t="str">
        <f>'Both teabags AfterWet'!A686</f>
        <v>R482</v>
      </c>
      <c r="N269" t="b">
        <f t="shared" si="100"/>
        <v>0</v>
      </c>
      <c r="O269" t="b">
        <f t="shared" si="101"/>
        <v>0</v>
      </c>
      <c r="P269">
        <f>IFERROR('Both teabags AfterWet'!B268,"")</f>
        <v>130</v>
      </c>
      <c r="Q269" t="str">
        <f>'Both teabags AfterWet'!B686</f>
        <v>n.a</v>
      </c>
      <c r="S269" s="401" t="b">
        <f t="shared" si="102"/>
        <v>0</v>
      </c>
      <c r="T269" s="401" t="b">
        <f t="shared" si="103"/>
        <v>0</v>
      </c>
      <c r="V269" t="str">
        <f>'Both teabags AfterDry'!A268</f>
        <v>G61</v>
      </c>
      <c r="W269" t="str">
        <f>'Both teabags AfterDry'!A605</f>
        <v>R761</v>
      </c>
      <c r="X269" t="b">
        <f t="shared" si="104"/>
        <v>0</v>
      </c>
      <c r="Y269" t="b">
        <f t="shared" si="105"/>
        <v>0</v>
      </c>
      <c r="AA269" t="str">
        <f>'Green_rooibos initial weight'!A270</f>
        <v>G266</v>
      </c>
      <c r="AB269" t="str">
        <f>'Green_rooibos initial weight'!A1174</f>
        <v>R266</v>
      </c>
      <c r="AC269" t="b">
        <f t="shared" si="106"/>
        <v>0</v>
      </c>
      <c r="AD269" t="b">
        <f t="shared" si="107"/>
        <v>0</v>
      </c>
      <c r="AG269" t="str">
        <f>'WetLitterbags placem_collection'!O48</f>
        <v>G427</v>
      </c>
      <c r="AH269" t="str">
        <f>'WetLitterbags placem_collection'!Q48</f>
        <v>R102</v>
      </c>
      <c r="AI269" t="b">
        <f t="shared" si="108"/>
        <v>0</v>
      </c>
      <c r="AJ269" t="b">
        <f t="shared" si="109"/>
        <v>0</v>
      </c>
      <c r="AK269">
        <f>'WetLitterbags placem_collection'!A48</f>
        <v>46</v>
      </c>
      <c r="AL269">
        <f>'WetLitterbags placem_collection'!A48</f>
        <v>46</v>
      </c>
      <c r="AN269" t="str">
        <f>IF('Dry_Litterbag Placem_Collection'!L48=0,"",'Dry_Litterbag Placem_Collection'!L48)</f>
        <v/>
      </c>
      <c r="AO269" t="str">
        <f>IF('Dry_Litterbag Placem_Collection'!M48=0,"",'Dry_Litterbag Placem_Collection'!M48)</f>
        <v/>
      </c>
      <c r="AP269" t="b">
        <f t="shared" si="110"/>
        <v>1</v>
      </c>
      <c r="AQ269" t="b">
        <f t="shared" si="111"/>
        <v>1</v>
      </c>
      <c r="AT269" t="str">
        <f>'Ashed teabags dry'!A267</f>
        <v>G61</v>
      </c>
      <c r="AU269" t="str">
        <f>'Ashed teabags dry'!A604</f>
        <v>R760</v>
      </c>
      <c r="AV269" t="b">
        <f t="shared" si="112"/>
        <v>0</v>
      </c>
      <c r="AW269" t="b">
        <f t="shared" si="113"/>
        <v>0</v>
      </c>
      <c r="AZ269" s="401" t="b">
        <f t="shared" si="114"/>
        <v>0</v>
      </c>
      <c r="BA269" s="401" t="b">
        <f t="shared" si="115"/>
        <v>0</v>
      </c>
      <c r="BC269" t="str">
        <f>'Ashed teabags wet'!A267</f>
        <v>G710</v>
      </c>
      <c r="BD269" t="str">
        <f>'Ashed teabags wet'!A684</f>
        <v>R505</v>
      </c>
      <c r="BE269" t="b">
        <f t="shared" si="116"/>
        <v>0</v>
      </c>
      <c r="BF269" t="b">
        <f t="shared" si="117"/>
        <v>0</v>
      </c>
      <c r="BG269">
        <f>IFERROR('Ashed teabags wet'!C267,"")</f>
        <v>208</v>
      </c>
      <c r="BH269">
        <f>IFERROR('Ashed teabags wet'!C684,"")</f>
        <v>111</v>
      </c>
      <c r="BI269">
        <f>'Ashed teabags wet'!AB267</f>
        <v>207</v>
      </c>
      <c r="BJ269" t="str">
        <f>'Ashed teabags wet'!AC267</f>
        <v/>
      </c>
      <c r="BK269">
        <f>'Ashed teabags wet'!AD684</f>
        <v>110</v>
      </c>
      <c r="BL269" t="str">
        <f>'Ashed teabags wet'!AE684</f>
        <v/>
      </c>
      <c r="BN269" t="str">
        <f t="shared" si="118"/>
        <v>G709</v>
      </c>
      <c r="BO269" t="b">
        <f t="shared" si="119"/>
        <v>1</v>
      </c>
    </row>
    <row r="270" spans="2:67" ht="12" customHeight="1">
      <c r="B270" t="str">
        <f>TBIDry!H342</f>
        <v>G659</v>
      </c>
      <c r="C270" t="str">
        <f>TBIDry!I342</f>
        <v>R606</v>
      </c>
      <c r="D270" t="b">
        <f t="shared" si="96"/>
        <v>0</v>
      </c>
      <c r="E270" t="b">
        <f t="shared" si="97"/>
        <v>0</v>
      </c>
      <c r="G270" t="str">
        <f>TBIWet!H342</f>
        <v>G512</v>
      </c>
      <c r="H270" t="str">
        <f>TBIWet!I342</f>
        <v>R76</v>
      </c>
      <c r="I270" t="b">
        <f t="shared" si="98"/>
        <v>0</v>
      </c>
      <c r="J270" t="b">
        <f t="shared" si="99"/>
        <v>0</v>
      </c>
      <c r="L270" t="str">
        <f>'Both teabags AfterWet'!A269</f>
        <v>G709</v>
      </c>
      <c r="M270" t="str">
        <f>'Both teabags AfterWet'!A687</f>
        <v>R483</v>
      </c>
      <c r="N270" t="b">
        <f t="shared" si="100"/>
        <v>0</v>
      </c>
      <c r="O270" t="b">
        <f t="shared" si="101"/>
        <v>0</v>
      </c>
      <c r="P270" t="str">
        <f>IFERROR('Both teabags AfterWet'!B269,"")</f>
        <v>n.a</v>
      </c>
      <c r="Q270">
        <f>'Both teabags AfterWet'!B687</f>
        <v>137</v>
      </c>
      <c r="S270" s="401" t="b">
        <f t="shared" si="102"/>
        <v>0</v>
      </c>
      <c r="T270" s="401" t="b">
        <f t="shared" si="103"/>
        <v>0</v>
      </c>
      <c r="V270" t="str">
        <f>'Both teabags AfterDry'!A269</f>
        <v>G611</v>
      </c>
      <c r="W270" t="str">
        <f>'Both teabags AfterDry'!A606</f>
        <v>R762</v>
      </c>
      <c r="X270" t="b">
        <f t="shared" si="104"/>
        <v>0</v>
      </c>
      <c r="Y270" t="b">
        <f t="shared" si="105"/>
        <v>0</v>
      </c>
      <c r="AA270" t="str">
        <f>'Green_rooibos initial weight'!A271</f>
        <v>G267</v>
      </c>
      <c r="AB270" t="str">
        <f>'Green_rooibos initial weight'!A1175</f>
        <v>R267</v>
      </c>
      <c r="AC270" t="b">
        <f t="shared" si="106"/>
        <v>0</v>
      </c>
      <c r="AD270" t="b">
        <f t="shared" si="107"/>
        <v>0</v>
      </c>
      <c r="AG270" t="str">
        <f>'WetLitterbags placem_collection'!O49</f>
        <v>G512</v>
      </c>
      <c r="AH270" t="str">
        <f>'WetLitterbags placem_collection'!Q49</f>
        <v>R76</v>
      </c>
      <c r="AI270" t="b">
        <f t="shared" si="108"/>
        <v>0</v>
      </c>
      <c r="AJ270" t="b">
        <f t="shared" si="109"/>
        <v>0</v>
      </c>
      <c r="AK270">
        <f>'WetLitterbags placem_collection'!A49</f>
        <v>47</v>
      </c>
      <c r="AL270">
        <f>'WetLitterbags placem_collection'!A49</f>
        <v>47</v>
      </c>
      <c r="AN270">
        <f>IF('Dry_Litterbag Placem_Collection'!L49=0,"",'Dry_Litterbag Placem_Collection'!L49)</f>
        <v>659</v>
      </c>
      <c r="AO270">
        <f>IF('Dry_Litterbag Placem_Collection'!M49=0,"",'Dry_Litterbag Placem_Collection'!M49)</f>
        <v>606</v>
      </c>
      <c r="AP270" t="b">
        <f t="shared" si="110"/>
        <v>0</v>
      </c>
      <c r="AQ270" t="b">
        <f t="shared" si="111"/>
        <v>0</v>
      </c>
      <c r="AT270" t="str">
        <f>'Ashed teabags dry'!A268</f>
        <v>G611</v>
      </c>
      <c r="AU270" t="str">
        <f>'Ashed teabags dry'!A605</f>
        <v>R761</v>
      </c>
      <c r="AV270" t="b">
        <f t="shared" si="112"/>
        <v>0</v>
      </c>
      <c r="AW270" t="b">
        <f t="shared" si="113"/>
        <v>0</v>
      </c>
      <c r="AZ270" s="401" t="b">
        <f t="shared" si="114"/>
        <v>0</v>
      </c>
      <c r="BA270" s="401" t="b">
        <f t="shared" si="115"/>
        <v>0</v>
      </c>
      <c r="BC270" t="str">
        <f>'Ashed teabags wet'!A268</f>
        <v>G712</v>
      </c>
      <c r="BD270" t="str">
        <f>'Ashed teabags wet'!A685</f>
        <v>R506</v>
      </c>
      <c r="BE270" t="b">
        <f t="shared" si="116"/>
        <v>0</v>
      </c>
      <c r="BF270" t="b">
        <f t="shared" si="117"/>
        <v>0</v>
      </c>
      <c r="BG270">
        <f>IFERROR('Ashed teabags wet'!C268,"")</f>
        <v>199</v>
      </c>
      <c r="BH270">
        <f>IFERROR('Ashed teabags wet'!C685,"")</f>
        <v>127</v>
      </c>
      <c r="BI270" t="str">
        <f>'Ashed teabags wet'!AB268</f>
        <v/>
      </c>
      <c r="BJ270">
        <f>'Ashed teabags wet'!AC268</f>
        <v>198</v>
      </c>
      <c r="BK270">
        <f>'Ashed teabags wet'!AD685</f>
        <v>126</v>
      </c>
      <c r="BL270" t="str">
        <f>'Ashed teabags wet'!AE685</f>
        <v/>
      </c>
      <c r="BN270" t="str">
        <f t="shared" si="118"/>
        <v>G710</v>
      </c>
      <c r="BO270" t="b">
        <f t="shared" si="119"/>
        <v>1</v>
      </c>
    </row>
    <row r="271" spans="2:67" ht="12" customHeight="1">
      <c r="B271" t="str">
        <f>TBIDry!H343</f>
        <v>G267</v>
      </c>
      <c r="C271" t="str">
        <f>TBIDry!I343</f>
        <v>R221</v>
      </c>
      <c r="D271" t="b">
        <f t="shared" si="96"/>
        <v>0</v>
      </c>
      <c r="E271" t="b">
        <f t="shared" si="97"/>
        <v>0</v>
      </c>
      <c r="G271" t="str">
        <f>TBIWet!H343</f>
        <v>G299</v>
      </c>
      <c r="H271" t="str">
        <f>TBIWet!I343</f>
        <v>R107</v>
      </c>
      <c r="I271" t="b">
        <f t="shared" si="98"/>
        <v>0</v>
      </c>
      <c r="J271" t="b">
        <f t="shared" si="99"/>
        <v>0</v>
      </c>
      <c r="L271" t="str">
        <f>'Both teabags AfterWet'!A270</f>
        <v>G710</v>
      </c>
      <c r="M271" t="str">
        <f>'Both teabags AfterWet'!A688</f>
        <v>R484</v>
      </c>
      <c r="N271" t="b">
        <f t="shared" si="100"/>
        <v>0</v>
      </c>
      <c r="O271" t="b">
        <f t="shared" si="101"/>
        <v>0</v>
      </c>
      <c r="P271">
        <f>IFERROR('Both teabags AfterWet'!B270,"")</f>
        <v>208</v>
      </c>
      <c r="Q271">
        <f>'Both teabags AfterWet'!B688</f>
        <v>155</v>
      </c>
      <c r="S271" s="401" t="b">
        <f t="shared" si="102"/>
        <v>0</v>
      </c>
      <c r="T271" s="401" t="b">
        <f t="shared" si="103"/>
        <v>0</v>
      </c>
      <c r="V271" t="str">
        <f>'Both teabags AfterDry'!A270</f>
        <v>G612</v>
      </c>
      <c r="W271" t="str">
        <f>'Both teabags AfterDry'!A607</f>
        <v>R763</v>
      </c>
      <c r="X271" t="b">
        <f t="shared" si="104"/>
        <v>0</v>
      </c>
      <c r="Y271" t="b">
        <f t="shared" si="105"/>
        <v>0</v>
      </c>
      <c r="AA271" t="str">
        <f>'Green_rooibos initial weight'!A272</f>
        <v>G268</v>
      </c>
      <c r="AB271" t="str">
        <f>'Green_rooibos initial weight'!A1176</f>
        <v>R268</v>
      </c>
      <c r="AC271" t="b">
        <f t="shared" si="106"/>
        <v>0</v>
      </c>
      <c r="AD271" t="b">
        <f t="shared" si="107"/>
        <v>0</v>
      </c>
      <c r="AG271" t="str">
        <f>'WetLitterbags placem_collection'!O50</f>
        <v>G299</v>
      </c>
      <c r="AH271" t="str">
        <f>'WetLitterbags placem_collection'!Q50</f>
        <v>R107</v>
      </c>
      <c r="AI271" t="b">
        <f t="shared" si="108"/>
        <v>0</v>
      </c>
      <c r="AJ271" t="b">
        <f t="shared" si="109"/>
        <v>0</v>
      </c>
      <c r="AK271">
        <f>'WetLitterbags placem_collection'!A50</f>
        <v>48</v>
      </c>
      <c r="AL271">
        <f>'WetLitterbags placem_collection'!A50</f>
        <v>48</v>
      </c>
      <c r="AN271">
        <f>IF('Dry_Litterbag Placem_Collection'!L50=0,"",'Dry_Litterbag Placem_Collection'!L50)</f>
        <v>267</v>
      </c>
      <c r="AO271">
        <f>IF('Dry_Litterbag Placem_Collection'!M50=0,"",'Dry_Litterbag Placem_Collection'!M50)</f>
        <v>221</v>
      </c>
      <c r="AP271" t="b">
        <f t="shared" si="110"/>
        <v>0</v>
      </c>
      <c r="AQ271" t="b">
        <f t="shared" si="111"/>
        <v>0</v>
      </c>
      <c r="AT271" t="str">
        <f>'Ashed teabags dry'!A269</f>
        <v>G612</v>
      </c>
      <c r="AU271" t="str">
        <f>'Ashed teabags dry'!A606</f>
        <v>R762</v>
      </c>
      <c r="AV271" t="b">
        <f t="shared" si="112"/>
        <v>0</v>
      </c>
      <c r="AW271" t="b">
        <f t="shared" si="113"/>
        <v>0</v>
      </c>
      <c r="AZ271" s="401" t="b">
        <f t="shared" si="114"/>
        <v>0</v>
      </c>
      <c r="BA271" s="401" t="b">
        <f t="shared" si="115"/>
        <v>0</v>
      </c>
      <c r="BC271" t="str">
        <f>'Ashed teabags wet'!A269</f>
        <v>G713</v>
      </c>
      <c r="BD271" t="str">
        <f>'Ashed teabags wet'!A686</f>
        <v>R507</v>
      </c>
      <c r="BE271" t="b">
        <f t="shared" si="116"/>
        <v>0</v>
      </c>
      <c r="BF271" t="b">
        <f t="shared" si="117"/>
        <v>0</v>
      </c>
      <c r="BG271">
        <f>IFERROR('Ashed teabags wet'!C269,"")</f>
        <v>194</v>
      </c>
      <c r="BH271">
        <f>IFERROR('Ashed teabags wet'!C686,"")</f>
        <v>30</v>
      </c>
      <c r="BI271" t="str">
        <f>'Ashed teabags wet'!AB269</f>
        <v/>
      </c>
      <c r="BJ271">
        <f>'Ashed teabags wet'!AC269</f>
        <v>193</v>
      </c>
      <c r="BK271">
        <f>'Ashed teabags wet'!AD686</f>
        <v>29</v>
      </c>
      <c r="BL271" t="str">
        <f>'Ashed teabags wet'!AE686</f>
        <v/>
      </c>
      <c r="BN271" t="str">
        <f t="shared" si="118"/>
        <v>G712</v>
      </c>
      <c r="BO271" t="b">
        <f t="shared" si="119"/>
        <v>1</v>
      </c>
    </row>
    <row r="272" spans="2:67" ht="12" customHeight="1">
      <c r="B272" t="str">
        <f>TBIDry!H344</f>
        <v>G812</v>
      </c>
      <c r="C272" t="str">
        <f>TBIDry!I344</f>
        <v>R308</v>
      </c>
      <c r="D272" t="b">
        <f t="shared" si="96"/>
        <v>0</v>
      </c>
      <c r="E272" t="b">
        <f t="shared" si="97"/>
        <v>0</v>
      </c>
      <c r="G272" t="str">
        <f>TBIWet!H344</f>
        <v>G739</v>
      </c>
      <c r="H272" t="str">
        <f>TBIWet!I344</f>
        <v>R155</v>
      </c>
      <c r="I272" t="b">
        <f t="shared" si="98"/>
        <v>0</v>
      </c>
      <c r="J272" t="b">
        <f t="shared" si="99"/>
        <v>0</v>
      </c>
      <c r="L272" t="str">
        <f>'Both teabags AfterWet'!A271</f>
        <v>G712</v>
      </c>
      <c r="M272" t="str">
        <f>'Both teabags AfterWet'!A689</f>
        <v>R485</v>
      </c>
      <c r="N272" t="b">
        <f t="shared" si="100"/>
        <v>0</v>
      </c>
      <c r="O272" t="b">
        <f t="shared" si="101"/>
        <v>0</v>
      </c>
      <c r="P272">
        <f>IFERROR('Both teabags AfterWet'!B271,"")</f>
        <v>109</v>
      </c>
      <c r="Q272">
        <f>'Both teabags AfterWet'!B689</f>
        <v>154</v>
      </c>
      <c r="S272" s="401" t="b">
        <f t="shared" si="102"/>
        <v>0</v>
      </c>
      <c r="T272" s="401" t="b">
        <f t="shared" si="103"/>
        <v>0</v>
      </c>
      <c r="V272" t="str">
        <f>'Both teabags AfterDry'!A271</f>
        <v>G617</v>
      </c>
      <c r="W272" t="str">
        <f>'Both teabags AfterDry'!A608</f>
        <v>R764</v>
      </c>
      <c r="X272" t="b">
        <f t="shared" si="104"/>
        <v>0</v>
      </c>
      <c r="Y272" t="b">
        <f t="shared" si="105"/>
        <v>0</v>
      </c>
      <c r="AA272" t="str">
        <f>'Green_rooibos initial weight'!A273</f>
        <v>G269</v>
      </c>
      <c r="AB272" t="str">
        <f>'Green_rooibos initial weight'!A1177</f>
        <v>R269</v>
      </c>
      <c r="AC272" t="b">
        <f t="shared" si="106"/>
        <v>0</v>
      </c>
      <c r="AD272" t="b">
        <f t="shared" si="107"/>
        <v>0</v>
      </c>
      <c r="AG272" t="str">
        <f>'WetLitterbags placem_collection'!O51</f>
        <v>G739</v>
      </c>
      <c r="AH272" t="str">
        <f>'WetLitterbags placem_collection'!Q51</f>
        <v>R155</v>
      </c>
      <c r="AI272" t="b">
        <f t="shared" si="108"/>
        <v>0</v>
      </c>
      <c r="AJ272" t="b">
        <f t="shared" si="109"/>
        <v>0</v>
      </c>
      <c r="AK272">
        <f>'WetLitterbags placem_collection'!A51</f>
        <v>49</v>
      </c>
      <c r="AL272">
        <f>'WetLitterbags placem_collection'!A51</f>
        <v>49</v>
      </c>
      <c r="AN272">
        <f>IF('Dry_Litterbag Placem_Collection'!L51=0,"",'Dry_Litterbag Placem_Collection'!L51)</f>
        <v>812</v>
      </c>
      <c r="AO272">
        <f>IF('Dry_Litterbag Placem_Collection'!M51=0,"",'Dry_Litterbag Placem_Collection'!M51)</f>
        <v>308</v>
      </c>
      <c r="AP272" t="b">
        <f t="shared" si="110"/>
        <v>0</v>
      </c>
      <c r="AQ272" t="b">
        <f t="shared" si="111"/>
        <v>0</v>
      </c>
      <c r="AT272" s="113" t="str">
        <f>'Ashed teabags dry'!A270</f>
        <v>G619</v>
      </c>
      <c r="AU272" t="str">
        <f>'Ashed teabags dry'!A607</f>
        <v>R763</v>
      </c>
      <c r="AV272" t="b">
        <f t="shared" si="112"/>
        <v>0</v>
      </c>
      <c r="AW272" t="b">
        <f t="shared" si="113"/>
        <v>0</v>
      </c>
      <c r="AZ272" s="113" t="b">
        <f t="shared" si="114"/>
        <v>1</v>
      </c>
      <c r="BA272" s="401" t="b">
        <f t="shared" si="115"/>
        <v>0</v>
      </c>
      <c r="BC272" t="str">
        <f>'Ashed teabags wet'!A270</f>
        <v>G715</v>
      </c>
      <c r="BD272" t="str">
        <f>'Ashed teabags wet'!A687</f>
        <v>R508</v>
      </c>
      <c r="BE272" t="b">
        <f t="shared" si="116"/>
        <v>0</v>
      </c>
      <c r="BF272" t="b">
        <f t="shared" si="117"/>
        <v>0</v>
      </c>
      <c r="BG272">
        <f>IFERROR('Ashed teabags wet'!C270,"")</f>
        <v>197</v>
      </c>
      <c r="BH272">
        <f>IFERROR('Ashed teabags wet'!C687,"")</f>
        <v>4</v>
      </c>
      <c r="BI272">
        <f>'Ashed teabags wet'!AB270</f>
        <v>196</v>
      </c>
      <c r="BJ272" t="str">
        <f>'Ashed teabags wet'!AC270</f>
        <v/>
      </c>
      <c r="BK272" t="str">
        <f>'Ashed teabags wet'!AD687</f>
        <v/>
      </c>
      <c r="BL272">
        <f>'Ashed teabags wet'!AE687</f>
        <v>3</v>
      </c>
      <c r="BN272" t="str">
        <f t="shared" si="118"/>
        <v>G713</v>
      </c>
      <c r="BO272" t="b">
        <f t="shared" si="119"/>
        <v>1</v>
      </c>
    </row>
    <row r="273" spans="2:67" ht="12" customHeight="1">
      <c r="B273" t="str">
        <f>TBIDry!H345</f>
        <v>G212</v>
      </c>
      <c r="C273" t="str">
        <f>TBIDry!I345</f>
        <v>R644</v>
      </c>
      <c r="D273" t="b">
        <f t="shared" si="96"/>
        <v>0</v>
      </c>
      <c r="E273" t="b">
        <f t="shared" si="97"/>
        <v>0</v>
      </c>
      <c r="G273" t="str">
        <f>TBIWet!H345</f>
        <v>G559</v>
      </c>
      <c r="H273" t="str">
        <f>TBIWet!I345</f>
        <v>R98</v>
      </c>
      <c r="I273" t="b">
        <f t="shared" si="98"/>
        <v>0</v>
      </c>
      <c r="J273" t="b">
        <f t="shared" si="99"/>
        <v>0</v>
      </c>
      <c r="L273" t="str">
        <f>'Both teabags AfterWet'!A272</f>
        <v>G713</v>
      </c>
      <c r="M273" t="str">
        <f>'Both teabags AfterWet'!A690</f>
        <v>R487</v>
      </c>
      <c r="N273" t="b">
        <f t="shared" si="100"/>
        <v>0</v>
      </c>
      <c r="O273" t="b">
        <f t="shared" si="101"/>
        <v>0</v>
      </c>
      <c r="P273">
        <f>IFERROR('Both teabags AfterWet'!B272,"")</f>
        <v>104</v>
      </c>
      <c r="Q273">
        <f>'Both teabags AfterWet'!B690</f>
        <v>111</v>
      </c>
      <c r="S273" s="401" t="b">
        <f t="shared" si="102"/>
        <v>0</v>
      </c>
      <c r="T273" s="401" t="b">
        <f t="shared" si="103"/>
        <v>0</v>
      </c>
      <c r="V273" t="str">
        <f>'Both teabags AfterDry'!A272</f>
        <v>G62</v>
      </c>
      <c r="W273" t="str">
        <f>'Both teabags AfterDry'!A609</f>
        <v>R765</v>
      </c>
      <c r="X273" t="b">
        <f t="shared" si="104"/>
        <v>0</v>
      </c>
      <c r="Y273" t="b">
        <f t="shared" si="105"/>
        <v>0</v>
      </c>
      <c r="AA273" t="str">
        <f>'Green_rooibos initial weight'!A274</f>
        <v>G270</v>
      </c>
      <c r="AB273" t="str">
        <f>'Green_rooibos initial weight'!A1178</f>
        <v>R270</v>
      </c>
      <c r="AC273" t="b">
        <f t="shared" si="106"/>
        <v>0</v>
      </c>
      <c r="AD273" t="b">
        <f t="shared" si="107"/>
        <v>0</v>
      </c>
      <c r="AG273" t="str">
        <f>'WetLitterbags placem_collection'!O52</f>
        <v>G559</v>
      </c>
      <c r="AH273" t="str">
        <f>'WetLitterbags placem_collection'!Q52</f>
        <v>R98</v>
      </c>
      <c r="AI273" t="b">
        <f t="shared" si="108"/>
        <v>0</v>
      </c>
      <c r="AJ273" t="b">
        <f t="shared" si="109"/>
        <v>0</v>
      </c>
      <c r="AK273">
        <f>'WetLitterbags placem_collection'!A52</f>
        <v>50</v>
      </c>
      <c r="AL273">
        <f>'WetLitterbags placem_collection'!A52</f>
        <v>50</v>
      </c>
      <c r="AN273">
        <f>IF('Dry_Litterbag Placem_Collection'!L52=0,"",'Dry_Litterbag Placem_Collection'!L52)</f>
        <v>212</v>
      </c>
      <c r="AO273">
        <f>IF('Dry_Litterbag Placem_Collection'!M52=0,"",'Dry_Litterbag Placem_Collection'!M52)</f>
        <v>644</v>
      </c>
      <c r="AP273" t="b">
        <f t="shared" si="110"/>
        <v>0</v>
      </c>
      <c r="AQ273" t="b">
        <f t="shared" si="111"/>
        <v>0</v>
      </c>
      <c r="AT273" t="str">
        <f>'Ashed teabags dry'!A271</f>
        <v>G62</v>
      </c>
      <c r="AU273" t="str">
        <f>'Ashed teabags dry'!A608</f>
        <v>R764</v>
      </c>
      <c r="AV273" t="b">
        <f t="shared" si="112"/>
        <v>0</v>
      </c>
      <c r="AW273" t="b">
        <f t="shared" si="113"/>
        <v>0</v>
      </c>
      <c r="AZ273" s="401" t="b">
        <f t="shared" si="114"/>
        <v>0</v>
      </c>
      <c r="BA273" s="401" t="b">
        <f t="shared" si="115"/>
        <v>0</v>
      </c>
      <c r="BC273" t="str">
        <f>'Ashed teabags wet'!A271</f>
        <v>G716</v>
      </c>
      <c r="BD273" t="str">
        <f>'Ashed teabags wet'!A688</f>
        <v>R509</v>
      </c>
      <c r="BE273" t="b">
        <f t="shared" si="116"/>
        <v>0</v>
      </c>
      <c r="BF273" t="b">
        <f t="shared" si="117"/>
        <v>0</v>
      </c>
      <c r="BG273">
        <f>IFERROR('Ashed teabags wet'!C271,"")</f>
        <v>213</v>
      </c>
      <c r="BH273">
        <f>IFERROR('Ashed teabags wet'!C688,"")</f>
        <v>108</v>
      </c>
      <c r="BI273" t="str">
        <f>'Ashed teabags wet'!AB271</f>
        <v/>
      </c>
      <c r="BJ273">
        <f>'Ashed teabags wet'!AC271</f>
        <v>212</v>
      </c>
      <c r="BK273" t="str">
        <f>'Ashed teabags wet'!AD688</f>
        <v/>
      </c>
      <c r="BL273">
        <f>'Ashed teabags wet'!AE688</f>
        <v>107</v>
      </c>
      <c r="BN273" t="str">
        <f t="shared" si="118"/>
        <v>G715</v>
      </c>
      <c r="BO273" t="b">
        <f t="shared" si="119"/>
        <v>1</v>
      </c>
    </row>
    <row r="274" spans="2:67" ht="12" customHeight="1">
      <c r="B274" t="str">
        <f>TBIDry!H346</f>
        <v>G598</v>
      </c>
      <c r="C274" t="str">
        <f>TBIDry!I346</f>
        <v>R242</v>
      </c>
      <c r="D274" t="b">
        <f t="shared" si="96"/>
        <v>0</v>
      </c>
      <c r="E274" t="b">
        <f t="shared" si="97"/>
        <v>0</v>
      </c>
      <c r="G274" t="str">
        <f>TBIWet!H346</f>
        <v>G856</v>
      </c>
      <c r="H274" t="str">
        <f>TBIWet!I346</f>
        <v>R29</v>
      </c>
      <c r="I274" t="b">
        <f t="shared" si="98"/>
        <v>0</v>
      </c>
      <c r="J274" t="b">
        <f t="shared" si="99"/>
        <v>0</v>
      </c>
      <c r="L274" t="str">
        <f>'Both teabags AfterWet'!A273</f>
        <v>G715</v>
      </c>
      <c r="M274" t="str">
        <f>'Both teabags AfterWet'!A691</f>
        <v>R488</v>
      </c>
      <c r="N274" t="b">
        <f t="shared" si="100"/>
        <v>0</v>
      </c>
      <c r="O274" t="b">
        <f t="shared" si="101"/>
        <v>0</v>
      </c>
      <c r="P274" t="str">
        <f>IFERROR('Both teabags AfterWet'!B273,"")</f>
        <v>n.a</v>
      </c>
      <c r="Q274">
        <f>'Both teabags AfterWet'!B691</f>
        <v>178</v>
      </c>
      <c r="S274" s="401" t="b">
        <f t="shared" si="102"/>
        <v>0</v>
      </c>
      <c r="T274" s="401" t="b">
        <f t="shared" si="103"/>
        <v>0</v>
      </c>
      <c r="V274" t="str">
        <f>'Both teabags AfterDry'!A273</f>
        <v>G624</v>
      </c>
      <c r="W274" t="str">
        <f>'Both teabags AfterDry'!A610</f>
        <v>R766</v>
      </c>
      <c r="X274" t="b">
        <f t="shared" si="104"/>
        <v>0</v>
      </c>
      <c r="Y274" t="b">
        <f t="shared" si="105"/>
        <v>0</v>
      </c>
      <c r="AA274" t="str">
        <f>'Green_rooibos initial weight'!A275</f>
        <v>G271</v>
      </c>
      <c r="AB274" t="str">
        <f>'Green_rooibos initial weight'!A1179</f>
        <v>R271</v>
      </c>
      <c r="AC274" t="b">
        <f t="shared" si="106"/>
        <v>0</v>
      </c>
      <c r="AD274" t="b">
        <f t="shared" si="107"/>
        <v>0</v>
      </c>
      <c r="AG274" t="str">
        <f>'WetLitterbags placem_collection'!O53</f>
        <v>G856</v>
      </c>
      <c r="AH274" t="str">
        <f>'WetLitterbags placem_collection'!Q53</f>
        <v>R29</v>
      </c>
      <c r="AI274" t="b">
        <f t="shared" si="108"/>
        <v>0</v>
      </c>
      <c r="AJ274" t="b">
        <f t="shared" si="109"/>
        <v>0</v>
      </c>
      <c r="AK274">
        <f>'WetLitterbags placem_collection'!A53</f>
        <v>51</v>
      </c>
      <c r="AL274">
        <f>'WetLitterbags placem_collection'!A53</f>
        <v>51</v>
      </c>
      <c r="AN274">
        <f>IF('Dry_Litterbag Placem_Collection'!L53=0,"",'Dry_Litterbag Placem_Collection'!L53)</f>
        <v>598</v>
      </c>
      <c r="AO274">
        <f>IF('Dry_Litterbag Placem_Collection'!M53=0,"",'Dry_Litterbag Placem_Collection'!M53)</f>
        <v>242</v>
      </c>
      <c r="AP274" t="b">
        <f t="shared" si="110"/>
        <v>0</v>
      </c>
      <c r="AQ274" t="b">
        <f t="shared" si="111"/>
        <v>0</v>
      </c>
      <c r="AT274" t="str">
        <f>'Ashed teabags dry'!A272</f>
        <v>G624</v>
      </c>
      <c r="AU274" t="str">
        <f>'Ashed teabags dry'!A609</f>
        <v>R765</v>
      </c>
      <c r="AV274" t="b">
        <f t="shared" si="112"/>
        <v>0</v>
      </c>
      <c r="AW274" t="b">
        <f t="shared" si="113"/>
        <v>0</v>
      </c>
      <c r="AZ274" s="401" t="b">
        <f t="shared" si="114"/>
        <v>0</v>
      </c>
      <c r="BA274" s="401" t="b">
        <f t="shared" si="115"/>
        <v>0</v>
      </c>
      <c r="BC274" t="str">
        <f>'Ashed teabags wet'!A272</f>
        <v>G718</v>
      </c>
      <c r="BD274" t="str">
        <f>'Ashed teabags wet'!A689</f>
        <v>R51</v>
      </c>
      <c r="BE274" t="b">
        <f t="shared" si="116"/>
        <v>0</v>
      </c>
      <c r="BF274" t="b">
        <f t="shared" si="117"/>
        <v>0</v>
      </c>
      <c r="BG274">
        <f>IFERROR('Ashed teabags wet'!C272,"")</f>
        <v>215</v>
      </c>
      <c r="BH274">
        <f>IFERROR('Ashed teabags wet'!C689,"")</f>
        <v>185</v>
      </c>
      <c r="BI274" t="str">
        <f>'Ashed teabags wet'!AB272</f>
        <v/>
      </c>
      <c r="BJ274">
        <f>'Ashed teabags wet'!AC272</f>
        <v>214</v>
      </c>
      <c r="BK274">
        <f>'Ashed teabags wet'!AD689</f>
        <v>184</v>
      </c>
      <c r="BL274" t="str">
        <f>'Ashed teabags wet'!AE689</f>
        <v/>
      </c>
      <c r="BN274" t="str">
        <f t="shared" si="118"/>
        <v>G716</v>
      </c>
      <c r="BO274" t="b">
        <f t="shared" si="119"/>
        <v>1</v>
      </c>
    </row>
    <row r="275" spans="2:67" ht="12" customHeight="1">
      <c r="B275" t="str">
        <f>TBIDry!H347</f>
        <v>G848</v>
      </c>
      <c r="C275" t="str">
        <f>TBIDry!I347</f>
        <v>R648</v>
      </c>
      <c r="D275" t="b">
        <f t="shared" si="96"/>
        <v>0</v>
      </c>
      <c r="E275" t="b">
        <f t="shared" si="97"/>
        <v>1</v>
      </c>
      <c r="G275" t="str">
        <f>TBIWet!H347</f>
        <v>G599</v>
      </c>
      <c r="H275" t="str">
        <f>TBIWet!I347</f>
        <v>R312</v>
      </c>
      <c r="I275" t="b">
        <f t="shared" si="98"/>
        <v>0</v>
      </c>
      <c r="J275" t="b">
        <f t="shared" si="99"/>
        <v>0</v>
      </c>
      <c r="L275" t="str">
        <f>'Both teabags AfterWet'!A274</f>
        <v>G716</v>
      </c>
      <c r="M275" t="str">
        <f>'Both teabags AfterWet'!A692</f>
        <v>R489</v>
      </c>
      <c r="N275" t="b">
        <f t="shared" si="100"/>
        <v>0</v>
      </c>
      <c r="O275" t="b">
        <f t="shared" si="101"/>
        <v>0</v>
      </c>
      <c r="P275">
        <f>IFERROR('Both teabags AfterWet'!B274,"")</f>
        <v>213</v>
      </c>
      <c r="Q275">
        <f>'Both teabags AfterWet'!B692</f>
        <v>98</v>
      </c>
      <c r="S275" s="401" t="b">
        <f t="shared" si="102"/>
        <v>0</v>
      </c>
      <c r="T275" s="401" t="b">
        <f t="shared" si="103"/>
        <v>0</v>
      </c>
      <c r="V275" t="str">
        <f>'Both teabags AfterDry'!A274</f>
        <v>G625</v>
      </c>
      <c r="W275" t="str">
        <f>'Both teabags AfterDry'!A611</f>
        <v>R768</v>
      </c>
      <c r="X275" t="b">
        <f t="shared" si="104"/>
        <v>0</v>
      </c>
      <c r="Y275" t="b">
        <f t="shared" si="105"/>
        <v>0</v>
      </c>
      <c r="AA275" t="str">
        <f>'Green_rooibos initial weight'!A276</f>
        <v>G272</v>
      </c>
      <c r="AB275" t="str">
        <f>'Green_rooibos initial weight'!A1180</f>
        <v>R272</v>
      </c>
      <c r="AC275" t="b">
        <f t="shared" si="106"/>
        <v>0</v>
      </c>
      <c r="AD275" t="b">
        <f t="shared" si="107"/>
        <v>0</v>
      </c>
      <c r="AG275" t="str">
        <f>'WetLitterbags placem_collection'!O54</f>
        <v>G599</v>
      </c>
      <c r="AH275" t="str">
        <f>'WetLitterbags placem_collection'!Q54</f>
        <v>R312</v>
      </c>
      <c r="AI275" t="b">
        <f t="shared" si="108"/>
        <v>0</v>
      </c>
      <c r="AJ275" t="b">
        <f t="shared" si="109"/>
        <v>0</v>
      </c>
      <c r="AK275">
        <f>'WetLitterbags placem_collection'!A54</f>
        <v>52</v>
      </c>
      <c r="AL275">
        <f>'WetLitterbags placem_collection'!A54</f>
        <v>52</v>
      </c>
      <c r="AN275">
        <f>IF('Dry_Litterbag Placem_Collection'!L54=0,"",'Dry_Litterbag Placem_Collection'!L54)</f>
        <v>848</v>
      </c>
      <c r="AO275">
        <f>IF('Dry_Litterbag Placem_Collection'!M54=0,"",'Dry_Litterbag Placem_Collection'!M54)</f>
        <v>648</v>
      </c>
      <c r="AP275" t="b">
        <f t="shared" si="110"/>
        <v>0</v>
      </c>
      <c r="AQ275" t="b">
        <f t="shared" si="111"/>
        <v>1</v>
      </c>
      <c r="AT275" t="str">
        <f>'Ashed teabags dry'!A273</f>
        <v>G625</v>
      </c>
      <c r="AU275" t="str">
        <f>'Ashed teabags dry'!A610</f>
        <v>R766</v>
      </c>
      <c r="AV275" t="b">
        <f t="shared" si="112"/>
        <v>0</v>
      </c>
      <c r="AW275" t="b">
        <f t="shared" si="113"/>
        <v>0</v>
      </c>
      <c r="AZ275" s="401" t="b">
        <f t="shared" si="114"/>
        <v>0</v>
      </c>
      <c r="BA275" s="401" t="b">
        <f t="shared" si="115"/>
        <v>0</v>
      </c>
      <c r="BC275" t="str">
        <f>'Ashed teabags wet'!A273</f>
        <v>G720</v>
      </c>
      <c r="BD275" t="str">
        <f>'Ashed teabags wet'!A690</f>
        <v>R510</v>
      </c>
      <c r="BE275" t="b">
        <f t="shared" si="116"/>
        <v>0</v>
      </c>
      <c r="BF275" t="b">
        <f t="shared" si="117"/>
        <v>0</v>
      </c>
      <c r="BG275">
        <f>IFERROR('Ashed teabags wet'!C273,"")</f>
        <v>210</v>
      </c>
      <c r="BH275">
        <f>IFERROR('Ashed teabags wet'!C690,"")</f>
        <v>107</v>
      </c>
      <c r="BI275" t="str">
        <f>'Ashed teabags wet'!AB273</f>
        <v/>
      </c>
      <c r="BJ275">
        <f>'Ashed teabags wet'!AC273</f>
        <v>209</v>
      </c>
      <c r="BK275" t="str">
        <f>'Ashed teabags wet'!AD690</f>
        <v/>
      </c>
      <c r="BL275">
        <f>'Ashed teabags wet'!AE690</f>
        <v>106</v>
      </c>
      <c r="BN275" t="str">
        <f t="shared" si="118"/>
        <v>G718</v>
      </c>
      <c r="BO275" t="b">
        <f t="shared" si="119"/>
        <v>1</v>
      </c>
    </row>
    <row r="276" spans="2:67" ht="12" customHeight="1">
      <c r="B276" t="str">
        <f>TBIDry!H348</f>
        <v>G759</v>
      </c>
      <c r="C276" t="str">
        <f>TBIDry!I348</f>
        <v>R140</v>
      </c>
      <c r="D276" t="b">
        <f t="shared" si="96"/>
        <v>0</v>
      </c>
      <c r="E276" t="b">
        <f t="shared" si="97"/>
        <v>0</v>
      </c>
      <c r="G276" t="str">
        <f>TBIWet!H348</f>
        <v>G683</v>
      </c>
      <c r="H276" t="str">
        <f>TBIWet!I348</f>
        <v>R113</v>
      </c>
      <c r="I276" t="b">
        <f t="shared" si="98"/>
        <v>0</v>
      </c>
      <c r="J276" t="b">
        <f t="shared" si="99"/>
        <v>0</v>
      </c>
      <c r="L276" t="str">
        <f>'Both teabags AfterWet'!A275</f>
        <v>G718</v>
      </c>
      <c r="M276" t="str">
        <f>'Both teabags AfterWet'!A693</f>
        <v>R49</v>
      </c>
      <c r="N276" t="b">
        <f t="shared" si="100"/>
        <v>0</v>
      </c>
      <c r="O276" t="b">
        <f t="shared" si="101"/>
        <v>0</v>
      </c>
      <c r="P276" t="str">
        <f>IFERROR('Both teabags AfterWet'!B275,"")</f>
        <v>n.a</v>
      </c>
      <c r="Q276">
        <f>'Both teabags AfterWet'!B693</f>
        <v>84</v>
      </c>
      <c r="S276" s="401" t="b">
        <f t="shared" si="102"/>
        <v>0</v>
      </c>
      <c r="T276" s="401" t="b">
        <f t="shared" si="103"/>
        <v>0</v>
      </c>
      <c r="V276" t="str">
        <f>'Both teabags AfterDry'!A275</f>
        <v>G629</v>
      </c>
      <c r="W276" t="str">
        <f>'Both teabags AfterDry'!A612</f>
        <v>R769</v>
      </c>
      <c r="X276" t="b">
        <f t="shared" si="104"/>
        <v>0</v>
      </c>
      <c r="Y276" t="b">
        <f t="shared" si="105"/>
        <v>0</v>
      </c>
      <c r="AA276" t="str">
        <f>'Green_rooibos initial weight'!A277</f>
        <v>G273</v>
      </c>
      <c r="AB276" t="str">
        <f>'Green_rooibos initial weight'!A1181</f>
        <v>R273</v>
      </c>
      <c r="AC276" t="b">
        <f t="shared" si="106"/>
        <v>0</v>
      </c>
      <c r="AD276" t="b">
        <f t="shared" si="107"/>
        <v>0</v>
      </c>
      <c r="AG276" t="str">
        <f>'WetLitterbags placem_collection'!O55</f>
        <v>G683</v>
      </c>
      <c r="AH276" t="str">
        <f>'WetLitterbags placem_collection'!Q55</f>
        <v>R113</v>
      </c>
      <c r="AI276" t="b">
        <f t="shared" si="108"/>
        <v>0</v>
      </c>
      <c r="AJ276" t="b">
        <f t="shared" si="109"/>
        <v>0</v>
      </c>
      <c r="AK276">
        <f>'WetLitterbags placem_collection'!A55</f>
        <v>53</v>
      </c>
      <c r="AL276">
        <f>'WetLitterbags placem_collection'!A55</f>
        <v>53</v>
      </c>
      <c r="AN276">
        <f>IF('Dry_Litterbag Placem_Collection'!L55=0,"",'Dry_Litterbag Placem_Collection'!L55)</f>
        <v>759</v>
      </c>
      <c r="AO276">
        <f>IF('Dry_Litterbag Placem_Collection'!M55=0,"",'Dry_Litterbag Placem_Collection'!M55)</f>
        <v>140</v>
      </c>
      <c r="AP276" t="b">
        <f t="shared" si="110"/>
        <v>0</v>
      </c>
      <c r="AQ276" t="b">
        <f t="shared" si="111"/>
        <v>0</v>
      </c>
      <c r="AT276" t="str">
        <f>'Ashed teabags dry'!A274</f>
        <v>G629</v>
      </c>
      <c r="AU276" t="str">
        <f>'Ashed teabags dry'!A611</f>
        <v>R768</v>
      </c>
      <c r="AV276" t="b">
        <f t="shared" si="112"/>
        <v>0</v>
      </c>
      <c r="AW276" t="b">
        <f t="shared" si="113"/>
        <v>0</v>
      </c>
      <c r="AZ276" s="401" t="b">
        <f t="shared" si="114"/>
        <v>0</v>
      </c>
      <c r="BA276" s="401" t="b">
        <f t="shared" si="115"/>
        <v>0</v>
      </c>
      <c r="BC276" t="str">
        <f>'Ashed teabags wet'!A274</f>
        <v>G721</v>
      </c>
      <c r="BD276" t="str">
        <f>'Ashed teabags wet'!A691</f>
        <v>R511</v>
      </c>
      <c r="BE276" t="b">
        <f t="shared" si="116"/>
        <v>0</v>
      </c>
      <c r="BF276" t="b">
        <f t="shared" si="117"/>
        <v>0</v>
      </c>
      <c r="BG276">
        <f>IFERROR('Ashed teabags wet'!C274,"")</f>
        <v>21</v>
      </c>
      <c r="BH276">
        <f>IFERROR('Ashed teabags wet'!C691,"")</f>
        <v>117</v>
      </c>
      <c r="BI276" t="str">
        <f>'Ashed teabags wet'!AB274</f>
        <v/>
      </c>
      <c r="BJ276">
        <f>'Ashed teabags wet'!AC274</f>
        <v>20</v>
      </c>
      <c r="BK276">
        <f>'Ashed teabags wet'!AD691</f>
        <v>116</v>
      </c>
      <c r="BL276" t="str">
        <f>'Ashed teabags wet'!AE691</f>
        <v/>
      </c>
      <c r="BN276" t="str">
        <f t="shared" si="118"/>
        <v>G720</v>
      </c>
      <c r="BO276" t="b">
        <f t="shared" si="119"/>
        <v>1</v>
      </c>
    </row>
    <row r="277" spans="2:67" ht="12" customHeight="1">
      <c r="B277" t="str">
        <f>TBIDry!H349</f>
        <v/>
      </c>
      <c r="C277" t="str">
        <f>TBIDry!I349</f>
        <v/>
      </c>
      <c r="D277" t="b">
        <f t="shared" si="96"/>
        <v>1</v>
      </c>
      <c r="E277" t="b">
        <f t="shared" si="97"/>
        <v>1</v>
      </c>
      <c r="G277" t="str">
        <f>TBIWet!H349</f>
        <v>G288</v>
      </c>
      <c r="H277" t="str">
        <f>TBIWet!I349</f>
        <v>R441</v>
      </c>
      <c r="I277" t="b">
        <f t="shared" si="98"/>
        <v>0</v>
      </c>
      <c r="J277" t="b">
        <f t="shared" si="99"/>
        <v>0</v>
      </c>
      <c r="L277" t="str">
        <f>'Both teabags AfterWet'!A276</f>
        <v>G720</v>
      </c>
      <c r="M277" t="str">
        <f>'Both teabags AfterWet'!A694</f>
        <v>R490</v>
      </c>
      <c r="N277" t="b">
        <f t="shared" si="100"/>
        <v>0</v>
      </c>
      <c r="O277" t="b">
        <f t="shared" si="101"/>
        <v>0</v>
      </c>
      <c r="P277" t="str">
        <f>IFERROR('Both teabags AfterWet'!B276,"")</f>
        <v>n.a</v>
      </c>
      <c r="Q277">
        <f>'Both teabags AfterWet'!B694</f>
        <v>176</v>
      </c>
      <c r="S277" s="401" t="b">
        <f t="shared" si="102"/>
        <v>0</v>
      </c>
      <c r="T277" s="401" t="b">
        <f t="shared" si="103"/>
        <v>0</v>
      </c>
      <c r="V277" t="str">
        <f>'Both teabags AfterDry'!A276</f>
        <v>G63</v>
      </c>
      <c r="W277" t="str">
        <f>'Both teabags AfterDry'!A613</f>
        <v>R770</v>
      </c>
      <c r="X277" t="b">
        <f t="shared" si="104"/>
        <v>0</v>
      </c>
      <c r="Y277" t="b">
        <f t="shared" si="105"/>
        <v>0</v>
      </c>
      <c r="AA277" t="str">
        <f>'Green_rooibos initial weight'!A278</f>
        <v>G274</v>
      </c>
      <c r="AB277" t="str">
        <f>'Green_rooibos initial weight'!A1182</f>
        <v>R274</v>
      </c>
      <c r="AC277" t="b">
        <f t="shared" si="106"/>
        <v>0</v>
      </c>
      <c r="AD277" t="b">
        <f t="shared" si="107"/>
        <v>0</v>
      </c>
      <c r="AG277" t="str">
        <f>'WetLitterbags placem_collection'!O56</f>
        <v>G288</v>
      </c>
      <c r="AH277" t="str">
        <f>'WetLitterbags placem_collection'!Q56</f>
        <v>R441</v>
      </c>
      <c r="AI277" t="b">
        <f t="shared" si="108"/>
        <v>0</v>
      </c>
      <c r="AJ277" t="b">
        <f t="shared" si="109"/>
        <v>0</v>
      </c>
      <c r="AK277">
        <f>'WetLitterbags placem_collection'!A56</f>
        <v>54</v>
      </c>
      <c r="AL277">
        <f>'WetLitterbags placem_collection'!A56</f>
        <v>54</v>
      </c>
      <c r="AN277" t="str">
        <f>IF('Dry_Litterbag Placem_Collection'!L56=0,"",'Dry_Litterbag Placem_Collection'!L56)</f>
        <v/>
      </c>
      <c r="AO277" t="str">
        <f>IF('Dry_Litterbag Placem_Collection'!M56=0,"",'Dry_Litterbag Placem_Collection'!M56)</f>
        <v/>
      </c>
      <c r="AP277" t="b">
        <f t="shared" si="110"/>
        <v>1</v>
      </c>
      <c r="AQ277" t="b">
        <f t="shared" si="111"/>
        <v>1</v>
      </c>
      <c r="AT277" t="str">
        <f>'Ashed teabags dry'!A275</f>
        <v>G63</v>
      </c>
      <c r="AU277" t="str">
        <f>'Ashed teabags dry'!A612</f>
        <v>R769</v>
      </c>
      <c r="AV277" t="b">
        <f t="shared" si="112"/>
        <v>0</v>
      </c>
      <c r="AW277" t="b">
        <f t="shared" si="113"/>
        <v>0</v>
      </c>
      <c r="AZ277" s="401" t="b">
        <f t="shared" si="114"/>
        <v>0</v>
      </c>
      <c r="BA277" s="401" t="b">
        <f t="shared" si="115"/>
        <v>0</v>
      </c>
      <c r="BC277" t="str">
        <f>'Ashed teabags wet'!A275</f>
        <v>G723</v>
      </c>
      <c r="BD277" t="str">
        <f>'Ashed teabags wet'!A692</f>
        <v>R512</v>
      </c>
      <c r="BE277" t="b">
        <f t="shared" si="116"/>
        <v>0</v>
      </c>
      <c r="BF277" t="b">
        <f t="shared" si="117"/>
        <v>0</v>
      </c>
      <c r="BG277">
        <f>IFERROR('Ashed teabags wet'!C275,"")</f>
        <v>86</v>
      </c>
      <c r="BH277">
        <f>IFERROR('Ashed teabags wet'!C692,"")</f>
        <v>8</v>
      </c>
      <c r="BI277">
        <f>'Ashed teabags wet'!AB275</f>
        <v>85</v>
      </c>
      <c r="BJ277" t="str">
        <f>'Ashed teabags wet'!AC275</f>
        <v/>
      </c>
      <c r="BK277" t="str">
        <f>'Ashed teabags wet'!AD692</f>
        <v/>
      </c>
      <c r="BL277">
        <f>'Ashed teabags wet'!AE692</f>
        <v>7</v>
      </c>
      <c r="BN277" t="str">
        <f t="shared" si="118"/>
        <v>G721</v>
      </c>
      <c r="BO277" t="b">
        <f t="shared" si="119"/>
        <v>1</v>
      </c>
    </row>
    <row r="278" spans="2:67" ht="12" customHeight="1">
      <c r="B278" t="str">
        <f>TBIDry!H350</f>
        <v>G260</v>
      </c>
      <c r="C278" t="str">
        <f>TBIDry!I350</f>
        <v>R192</v>
      </c>
      <c r="D278" t="b">
        <f t="shared" si="96"/>
        <v>0</v>
      </c>
      <c r="E278" t="b">
        <f t="shared" si="97"/>
        <v>0</v>
      </c>
      <c r="G278" t="str">
        <f>TBIWet!H350</f>
        <v>G616</v>
      </c>
      <c r="H278" t="str">
        <f>TBIWet!I350</f>
        <v>R54b</v>
      </c>
      <c r="I278" t="b">
        <f t="shared" si="98"/>
        <v>0</v>
      </c>
      <c r="J278" t="b">
        <f t="shared" si="99"/>
        <v>0</v>
      </c>
      <c r="L278" t="str">
        <f>'Both teabags AfterWet'!A277</f>
        <v>G721</v>
      </c>
      <c r="M278" t="str">
        <f>'Both teabags AfterWet'!A695</f>
        <v>R492</v>
      </c>
      <c r="N278" t="b">
        <f t="shared" si="100"/>
        <v>0</v>
      </c>
      <c r="O278" t="b">
        <f t="shared" si="101"/>
        <v>0</v>
      </c>
      <c r="P278">
        <f>IFERROR('Both teabags AfterWet'!B277,"")</f>
        <v>21</v>
      </c>
      <c r="Q278">
        <f>'Both teabags AfterWet'!B695</f>
        <v>146</v>
      </c>
      <c r="S278" s="401" t="b">
        <f t="shared" si="102"/>
        <v>0</v>
      </c>
      <c r="T278" s="401" t="b">
        <f t="shared" si="103"/>
        <v>0</v>
      </c>
      <c r="V278" t="str">
        <f>'Both teabags AfterDry'!A277</f>
        <v>G630</v>
      </c>
      <c r="W278" t="str">
        <f>'Both teabags AfterDry'!A614</f>
        <v>R771</v>
      </c>
      <c r="X278" t="b">
        <f t="shared" si="104"/>
        <v>0</v>
      </c>
      <c r="Y278" t="b">
        <f t="shared" si="105"/>
        <v>0</v>
      </c>
      <c r="AA278" t="str">
        <f>'Green_rooibos initial weight'!A279</f>
        <v>G275</v>
      </c>
      <c r="AB278" t="str">
        <f>'Green_rooibos initial weight'!A1183</f>
        <v>R275</v>
      </c>
      <c r="AC278" t="b">
        <f t="shared" si="106"/>
        <v>0</v>
      </c>
      <c r="AD278" t="b">
        <f t="shared" si="107"/>
        <v>0</v>
      </c>
      <c r="AG278" t="str">
        <f>'WetLitterbags placem_collection'!O57</f>
        <v>G616</v>
      </c>
      <c r="AH278" t="str">
        <f>'WetLitterbags placem_collection'!Q57</f>
        <v>R54b</v>
      </c>
      <c r="AI278" t="b">
        <f t="shared" si="108"/>
        <v>0</v>
      </c>
      <c r="AJ278" t="b">
        <f t="shared" si="109"/>
        <v>0</v>
      </c>
      <c r="AK278">
        <f>'WetLitterbags placem_collection'!A57</f>
        <v>55</v>
      </c>
      <c r="AL278">
        <f>'WetLitterbags placem_collection'!A57</f>
        <v>55</v>
      </c>
      <c r="AN278">
        <f>IF('Dry_Litterbag Placem_Collection'!L57=0,"",'Dry_Litterbag Placem_Collection'!L57)</f>
        <v>260</v>
      </c>
      <c r="AO278">
        <f>IF('Dry_Litterbag Placem_Collection'!M57=0,"",'Dry_Litterbag Placem_Collection'!M57)</f>
        <v>192</v>
      </c>
      <c r="AP278" t="b">
        <f t="shared" si="110"/>
        <v>0</v>
      </c>
      <c r="AQ278" t="b">
        <f t="shared" si="111"/>
        <v>0</v>
      </c>
      <c r="AT278" t="str">
        <f>'Ashed teabags dry'!A276</f>
        <v>G630</v>
      </c>
      <c r="AU278" t="str">
        <f>'Ashed teabags dry'!A613</f>
        <v>R770</v>
      </c>
      <c r="AV278" t="b">
        <f t="shared" si="112"/>
        <v>0</v>
      </c>
      <c r="AW278" t="b">
        <f t="shared" si="113"/>
        <v>0</v>
      </c>
      <c r="AZ278" s="401" t="b">
        <f t="shared" si="114"/>
        <v>0</v>
      </c>
      <c r="BA278" s="401" t="b">
        <f t="shared" si="115"/>
        <v>0</v>
      </c>
      <c r="BC278" t="str">
        <f>'Ashed teabags wet'!A276</f>
        <v>G724</v>
      </c>
      <c r="BD278" t="str">
        <f>'Ashed teabags wet'!A693</f>
        <v>R513</v>
      </c>
      <c r="BE278" t="b">
        <f t="shared" si="116"/>
        <v>0</v>
      </c>
      <c r="BF278" t="b">
        <f t="shared" si="117"/>
        <v>0</v>
      </c>
      <c r="BG278">
        <f>IFERROR('Ashed teabags wet'!C276,"")</f>
        <v>113</v>
      </c>
      <c r="BH278">
        <f>IFERROR('Ashed teabags wet'!C693,"")</f>
        <v>52</v>
      </c>
      <c r="BI278">
        <f>'Ashed teabags wet'!AB276</f>
        <v>112</v>
      </c>
      <c r="BJ278" t="str">
        <f>'Ashed teabags wet'!AC276</f>
        <v/>
      </c>
      <c r="BK278">
        <f>'Ashed teabags wet'!AD693</f>
        <v>51</v>
      </c>
      <c r="BL278" t="str">
        <f>'Ashed teabags wet'!AE693</f>
        <v/>
      </c>
      <c r="BN278" t="str">
        <f t="shared" si="118"/>
        <v>G723</v>
      </c>
      <c r="BO278" t="b">
        <f t="shared" si="119"/>
        <v>1</v>
      </c>
    </row>
    <row r="279" spans="2:67" ht="12" customHeight="1">
      <c r="B279" t="str">
        <f>TBIDry!H351</f>
        <v>G493</v>
      </c>
      <c r="C279" t="str">
        <f>TBIDry!I351</f>
        <v>R227</v>
      </c>
      <c r="D279" t="b">
        <f t="shared" si="96"/>
        <v>0</v>
      </c>
      <c r="E279" t="b">
        <f t="shared" si="97"/>
        <v>0</v>
      </c>
      <c r="G279" t="str">
        <f>TBIWet!H351</f>
        <v>G557</v>
      </c>
      <c r="H279" t="str">
        <f>TBIWet!I351</f>
        <v>R58</v>
      </c>
      <c r="I279" t="b">
        <f t="shared" si="98"/>
        <v>0</v>
      </c>
      <c r="J279" t="b">
        <f t="shared" si="99"/>
        <v>0</v>
      </c>
      <c r="L279" t="str">
        <f>'Both teabags AfterWet'!A278</f>
        <v>G723</v>
      </c>
      <c r="M279" s="113" t="str">
        <f>'Both teabags AfterWet'!A696</f>
        <v>R493</v>
      </c>
      <c r="N279" t="b">
        <f t="shared" si="100"/>
        <v>0</v>
      </c>
      <c r="O279" t="b">
        <f t="shared" si="101"/>
        <v>0</v>
      </c>
      <c r="P279">
        <f>IFERROR('Both teabags AfterWet'!B278,"")</f>
        <v>86</v>
      </c>
      <c r="Q279">
        <f>'Both teabags AfterWet'!B696</f>
        <v>154</v>
      </c>
      <c r="S279" s="401" t="b">
        <f t="shared" si="102"/>
        <v>0</v>
      </c>
      <c r="T279" s="113" t="b">
        <f t="shared" si="103"/>
        <v>1</v>
      </c>
      <c r="V279" t="str">
        <f>'Both teabags AfterDry'!A278</f>
        <v>G64</v>
      </c>
      <c r="W279" t="str">
        <f>'Both teabags AfterDry'!A615</f>
        <v>R772</v>
      </c>
      <c r="X279" t="b">
        <f t="shared" si="104"/>
        <v>0</v>
      </c>
      <c r="Y279" t="b">
        <f t="shared" si="105"/>
        <v>0</v>
      </c>
      <c r="AA279" t="str">
        <f>'Green_rooibos initial weight'!A280</f>
        <v>G276</v>
      </c>
      <c r="AB279" t="str">
        <f>'Green_rooibos initial weight'!A1184</f>
        <v>R276</v>
      </c>
      <c r="AC279" t="b">
        <f t="shared" si="106"/>
        <v>0</v>
      </c>
      <c r="AD279" t="b">
        <f t="shared" si="107"/>
        <v>0</v>
      </c>
      <c r="AG279" t="str">
        <f>'WetLitterbags placem_collection'!O58</f>
        <v>G557</v>
      </c>
      <c r="AH279" t="str">
        <f>'WetLitterbags placem_collection'!Q58</f>
        <v>R58</v>
      </c>
      <c r="AI279" t="b">
        <f t="shared" si="108"/>
        <v>0</v>
      </c>
      <c r="AJ279" t="b">
        <f t="shared" si="109"/>
        <v>0</v>
      </c>
      <c r="AK279">
        <f>'WetLitterbags placem_collection'!A58</f>
        <v>56</v>
      </c>
      <c r="AL279">
        <f>'WetLitterbags placem_collection'!A58</f>
        <v>56</v>
      </c>
      <c r="AN279">
        <f>IF('Dry_Litterbag Placem_Collection'!L58=0,"",'Dry_Litterbag Placem_Collection'!L58)</f>
        <v>493</v>
      </c>
      <c r="AO279">
        <f>IF('Dry_Litterbag Placem_Collection'!M58=0,"",'Dry_Litterbag Placem_Collection'!M58)</f>
        <v>227</v>
      </c>
      <c r="AP279" t="b">
        <f t="shared" si="110"/>
        <v>0</v>
      </c>
      <c r="AQ279" t="b">
        <f t="shared" si="111"/>
        <v>0</v>
      </c>
      <c r="AT279" t="str">
        <f>'Ashed teabags dry'!A277</f>
        <v>G64</v>
      </c>
      <c r="AU279" t="str">
        <f>'Ashed teabags dry'!A614</f>
        <v>R771</v>
      </c>
      <c r="AV279" t="b">
        <f t="shared" si="112"/>
        <v>0</v>
      </c>
      <c r="AW279" t="b">
        <f t="shared" si="113"/>
        <v>0</v>
      </c>
      <c r="AZ279" s="401" t="b">
        <f t="shared" si="114"/>
        <v>0</v>
      </c>
      <c r="BA279" s="401" t="b">
        <f t="shared" si="115"/>
        <v>0</v>
      </c>
      <c r="BC279" t="str">
        <f>'Ashed teabags wet'!A277</f>
        <v>G725</v>
      </c>
      <c r="BD279" t="str">
        <f>'Ashed teabags wet'!A694</f>
        <v>R515</v>
      </c>
      <c r="BE279" t="b">
        <f t="shared" si="116"/>
        <v>0</v>
      </c>
      <c r="BF279" t="b">
        <f t="shared" si="117"/>
        <v>0</v>
      </c>
      <c r="BG279">
        <f>IFERROR('Ashed teabags wet'!C277,"")</f>
        <v>132</v>
      </c>
      <c r="BH279">
        <f>IFERROR('Ashed teabags wet'!C694,"")</f>
        <v>10</v>
      </c>
      <c r="BI279">
        <f>'Ashed teabags wet'!AB277</f>
        <v>131</v>
      </c>
      <c r="BJ279" t="str">
        <f>'Ashed teabags wet'!AC277</f>
        <v/>
      </c>
      <c r="BK279" t="str">
        <f>'Ashed teabags wet'!AD694</f>
        <v/>
      </c>
      <c r="BL279">
        <f>'Ashed teabags wet'!AE694</f>
        <v>9</v>
      </c>
      <c r="BN279" t="str">
        <f t="shared" si="118"/>
        <v>G724</v>
      </c>
      <c r="BO279" t="b">
        <f t="shared" si="119"/>
        <v>1</v>
      </c>
    </row>
    <row r="280" spans="2:67" ht="12" customHeight="1">
      <c r="B280" t="str">
        <f>TBIDry!H352</f>
        <v>G342</v>
      </c>
      <c r="C280" t="str">
        <f>TBIDry!I352</f>
        <v>R416</v>
      </c>
      <c r="D280" t="b">
        <f t="shared" si="96"/>
        <v>0</v>
      </c>
      <c r="E280" t="b">
        <f t="shared" si="97"/>
        <v>0</v>
      </c>
      <c r="G280" t="str">
        <f>TBIWet!H352</f>
        <v>G618</v>
      </c>
      <c r="H280" t="str">
        <f>TBIWet!I352</f>
        <v>R435</v>
      </c>
      <c r="I280" t="b">
        <f t="shared" si="98"/>
        <v>0</v>
      </c>
      <c r="J280" t="b">
        <f t="shared" si="99"/>
        <v>0</v>
      </c>
      <c r="L280" t="str">
        <f>'Both teabags AfterWet'!A279</f>
        <v>G724</v>
      </c>
      <c r="M280" t="str">
        <f>'Both teabags AfterWet'!A697</f>
        <v>R494</v>
      </c>
      <c r="N280" t="b">
        <f t="shared" si="100"/>
        <v>0</v>
      </c>
      <c r="O280" t="b">
        <f t="shared" si="101"/>
        <v>0</v>
      </c>
      <c r="P280">
        <f>IFERROR('Both teabags AfterWet'!B279,"")</f>
        <v>113</v>
      </c>
      <c r="Q280">
        <f>'Both teabags AfterWet'!B697</f>
        <v>103</v>
      </c>
      <c r="S280" s="401" t="b">
        <f t="shared" si="102"/>
        <v>0</v>
      </c>
      <c r="T280" s="401" t="b">
        <f t="shared" si="103"/>
        <v>0</v>
      </c>
      <c r="V280" t="str">
        <f>'Both teabags AfterDry'!A279</f>
        <v>G646</v>
      </c>
      <c r="W280" t="str">
        <f>'Both teabags AfterDry'!A616</f>
        <v>R773</v>
      </c>
      <c r="X280" t="b">
        <f t="shared" si="104"/>
        <v>0</v>
      </c>
      <c r="Y280" t="b">
        <f t="shared" si="105"/>
        <v>0</v>
      </c>
      <c r="AA280" t="str">
        <f>'Green_rooibos initial weight'!A281</f>
        <v>G277</v>
      </c>
      <c r="AB280" t="str">
        <f>'Green_rooibos initial weight'!A1185</f>
        <v>R277</v>
      </c>
      <c r="AC280" t="b">
        <f t="shared" si="106"/>
        <v>0</v>
      </c>
      <c r="AD280" t="b">
        <f t="shared" si="107"/>
        <v>0</v>
      </c>
      <c r="AG280" t="str">
        <f>'WetLitterbags placem_collection'!O59</f>
        <v>G618</v>
      </c>
      <c r="AH280" t="str">
        <f>'WetLitterbags placem_collection'!Q59</f>
        <v>R435</v>
      </c>
      <c r="AI280" t="b">
        <f t="shared" si="108"/>
        <v>0</v>
      </c>
      <c r="AJ280" t="b">
        <f t="shared" si="109"/>
        <v>0</v>
      </c>
      <c r="AK280">
        <f>'WetLitterbags placem_collection'!A59</f>
        <v>57</v>
      </c>
      <c r="AL280">
        <f>'WetLitterbags placem_collection'!A59</f>
        <v>57</v>
      </c>
      <c r="AN280">
        <f>IF('Dry_Litterbag Placem_Collection'!L59=0,"",'Dry_Litterbag Placem_Collection'!L59)</f>
        <v>342</v>
      </c>
      <c r="AO280">
        <f>IF('Dry_Litterbag Placem_Collection'!M59=0,"",'Dry_Litterbag Placem_Collection'!M59)</f>
        <v>416</v>
      </c>
      <c r="AP280" t="b">
        <f t="shared" si="110"/>
        <v>0</v>
      </c>
      <c r="AQ280" t="b">
        <f t="shared" si="111"/>
        <v>0</v>
      </c>
      <c r="AT280" t="str">
        <f>'Ashed teabags dry'!A278</f>
        <v>G646</v>
      </c>
      <c r="AU280" t="str">
        <f>'Ashed teabags dry'!A615</f>
        <v>R772</v>
      </c>
      <c r="AV280" t="b">
        <f t="shared" si="112"/>
        <v>0</v>
      </c>
      <c r="AW280" t="b">
        <f t="shared" si="113"/>
        <v>0</v>
      </c>
      <c r="AZ280" s="401" t="b">
        <f t="shared" si="114"/>
        <v>0</v>
      </c>
      <c r="BA280" s="401" t="b">
        <f t="shared" si="115"/>
        <v>0</v>
      </c>
      <c r="BC280" t="str">
        <f>'Ashed teabags wet'!A278</f>
        <v>G727</v>
      </c>
      <c r="BD280" t="str">
        <f>'Ashed teabags wet'!A695</f>
        <v>R517</v>
      </c>
      <c r="BE280" t="b">
        <f t="shared" si="116"/>
        <v>0</v>
      </c>
      <c r="BF280" t="b">
        <f t="shared" si="117"/>
        <v>0</v>
      </c>
      <c r="BG280">
        <f>IFERROR('Ashed teabags wet'!C278,"")</f>
        <v>219</v>
      </c>
      <c r="BH280">
        <f>IFERROR('Ashed teabags wet'!C695,"")</f>
        <v>90</v>
      </c>
      <c r="BI280">
        <f>'Ashed teabags wet'!AB278</f>
        <v>218</v>
      </c>
      <c r="BJ280" t="str">
        <f>'Ashed teabags wet'!AC278</f>
        <v/>
      </c>
      <c r="BK280" t="str">
        <f>'Ashed teabags wet'!AD695</f>
        <v/>
      </c>
      <c r="BL280">
        <f>'Ashed teabags wet'!AE695</f>
        <v>89</v>
      </c>
      <c r="BN280" t="str">
        <f t="shared" si="118"/>
        <v>G725</v>
      </c>
      <c r="BO280" t="b">
        <f t="shared" si="119"/>
        <v>1</v>
      </c>
    </row>
    <row r="281" spans="2:67" ht="12" customHeight="1">
      <c r="B281" t="str">
        <f>TBIDry!H353</f>
        <v>G735</v>
      </c>
      <c r="C281" t="str">
        <f>TBIDry!I353</f>
        <v>R689</v>
      </c>
      <c r="D281" t="b">
        <f t="shared" si="96"/>
        <v>0</v>
      </c>
      <c r="E281" t="b">
        <f t="shared" si="97"/>
        <v>0</v>
      </c>
      <c r="G281" t="str">
        <f>TBIWet!H353</f>
        <v>G593</v>
      </c>
      <c r="H281" t="str">
        <f>TBIWet!I353</f>
        <v>R31</v>
      </c>
      <c r="I281" t="b">
        <f t="shared" si="98"/>
        <v>0</v>
      </c>
      <c r="J281" t="b">
        <f t="shared" si="99"/>
        <v>0</v>
      </c>
      <c r="L281" t="str">
        <f>'Both teabags AfterWet'!A280</f>
        <v>G725</v>
      </c>
      <c r="M281" t="str">
        <f>'Both teabags AfterWet'!A698</f>
        <v>R495</v>
      </c>
      <c r="N281" t="b">
        <f t="shared" si="100"/>
        <v>0</v>
      </c>
      <c r="O281" t="b">
        <f t="shared" si="101"/>
        <v>0</v>
      </c>
      <c r="P281">
        <f>IFERROR('Both teabags AfterWet'!B280,"")</f>
        <v>132</v>
      </c>
      <c r="Q281">
        <f>'Both teabags AfterWet'!B698</f>
        <v>118</v>
      </c>
      <c r="S281" s="401" t="b">
        <f t="shared" si="102"/>
        <v>0</v>
      </c>
      <c r="T281" s="401" t="b">
        <f t="shared" si="103"/>
        <v>0</v>
      </c>
      <c r="V281" t="str">
        <f>'Both teabags AfterDry'!A280</f>
        <v>G65</v>
      </c>
      <c r="W281" t="str">
        <f>'Both teabags AfterDry'!A617</f>
        <v>R774</v>
      </c>
      <c r="X281" t="b">
        <f t="shared" si="104"/>
        <v>0</v>
      </c>
      <c r="Y281" t="b">
        <f t="shared" si="105"/>
        <v>0</v>
      </c>
      <c r="AA281" t="str">
        <f>'Green_rooibos initial weight'!A282</f>
        <v>G278</v>
      </c>
      <c r="AB281" t="str">
        <f>'Green_rooibos initial weight'!A1186</f>
        <v>R278</v>
      </c>
      <c r="AC281" t="b">
        <f t="shared" si="106"/>
        <v>0</v>
      </c>
      <c r="AD281" t="b">
        <f t="shared" si="107"/>
        <v>0</v>
      </c>
      <c r="AG281" t="str">
        <f>'WetLitterbags placem_collection'!O60</f>
        <v>G593</v>
      </c>
      <c r="AH281" t="str">
        <f>'WetLitterbags placem_collection'!Q60</f>
        <v>R31</v>
      </c>
      <c r="AI281" t="b">
        <f t="shared" si="108"/>
        <v>0</v>
      </c>
      <c r="AJ281" t="b">
        <f t="shared" si="109"/>
        <v>0</v>
      </c>
      <c r="AK281">
        <f>'WetLitterbags placem_collection'!A60</f>
        <v>58</v>
      </c>
      <c r="AL281">
        <f>'WetLitterbags placem_collection'!A60</f>
        <v>58</v>
      </c>
      <c r="AN281">
        <f>IF('Dry_Litterbag Placem_Collection'!L60=0,"",'Dry_Litterbag Placem_Collection'!L60)</f>
        <v>735</v>
      </c>
      <c r="AO281">
        <f>IF('Dry_Litterbag Placem_Collection'!M60=0,"",'Dry_Litterbag Placem_Collection'!M60)</f>
        <v>689</v>
      </c>
      <c r="AP281" t="b">
        <f t="shared" si="110"/>
        <v>0</v>
      </c>
      <c r="AQ281" t="b">
        <f t="shared" si="111"/>
        <v>0</v>
      </c>
      <c r="AT281" t="str">
        <f>'Ashed teabags dry'!A279</f>
        <v>G65</v>
      </c>
      <c r="AU281" t="str">
        <f>'Ashed teabags dry'!A616</f>
        <v>R773</v>
      </c>
      <c r="AV281" t="b">
        <f t="shared" si="112"/>
        <v>0</v>
      </c>
      <c r="AW281" t="b">
        <f t="shared" si="113"/>
        <v>0</v>
      </c>
      <c r="AZ281" s="401" t="b">
        <f t="shared" si="114"/>
        <v>0</v>
      </c>
      <c r="BA281" s="401" t="b">
        <f t="shared" si="115"/>
        <v>0</v>
      </c>
      <c r="BC281" t="str">
        <f>'Ashed teabags wet'!A279</f>
        <v>G728</v>
      </c>
      <c r="BD281" t="str">
        <f>'Ashed teabags wet'!A696</f>
        <v>R519</v>
      </c>
      <c r="BE281" t="b">
        <f t="shared" si="116"/>
        <v>0</v>
      </c>
      <c r="BF281" t="b">
        <f t="shared" si="117"/>
        <v>0</v>
      </c>
      <c r="BG281">
        <f>IFERROR('Ashed teabags wet'!C279,"")</f>
        <v>100</v>
      </c>
      <c r="BH281">
        <f>IFERROR('Ashed teabags wet'!C696,"")</f>
        <v>16</v>
      </c>
      <c r="BI281">
        <f>'Ashed teabags wet'!AB279</f>
        <v>99</v>
      </c>
      <c r="BJ281" t="str">
        <f>'Ashed teabags wet'!AC279</f>
        <v/>
      </c>
      <c r="BK281">
        <f>'Ashed teabags wet'!AD696</f>
        <v>15</v>
      </c>
      <c r="BL281" t="str">
        <f>'Ashed teabags wet'!AE696</f>
        <v/>
      </c>
      <c r="BN281" t="str">
        <f t="shared" si="118"/>
        <v>G727</v>
      </c>
      <c r="BO281" t="b">
        <f t="shared" si="119"/>
        <v>1</v>
      </c>
    </row>
    <row r="282" spans="2:67" ht="12" customHeight="1">
      <c r="B282" t="str">
        <f>TBIDry!H354</f>
        <v>G558</v>
      </c>
      <c r="C282" t="str">
        <f>TBIDry!I354</f>
        <v>R231</v>
      </c>
      <c r="D282" t="b">
        <f t="shared" si="96"/>
        <v>0</v>
      </c>
      <c r="E282" t="b">
        <f t="shared" si="97"/>
        <v>0</v>
      </c>
      <c r="G282" t="str">
        <f>TBIWet!H354</f>
        <v>G600</v>
      </c>
      <c r="H282" t="str">
        <f>TBIWet!I354</f>
        <v>R120</v>
      </c>
      <c r="I282" t="b">
        <f t="shared" si="98"/>
        <v>0</v>
      </c>
      <c r="J282" t="b">
        <f t="shared" si="99"/>
        <v>0</v>
      </c>
      <c r="L282" t="str">
        <f>'Both teabags AfterWet'!A281</f>
        <v>G727</v>
      </c>
      <c r="M282" t="str">
        <f>'Both teabags AfterWet'!A699</f>
        <v>R496</v>
      </c>
      <c r="N282" t="b">
        <f t="shared" si="100"/>
        <v>0</v>
      </c>
      <c r="O282" t="b">
        <f t="shared" si="101"/>
        <v>0</v>
      </c>
      <c r="P282">
        <f>IFERROR('Both teabags AfterWet'!B281,"")</f>
        <v>219</v>
      </c>
      <c r="Q282">
        <f>'Both teabags AfterWet'!B699</f>
        <v>99</v>
      </c>
      <c r="S282" s="401" t="b">
        <f t="shared" si="102"/>
        <v>0</v>
      </c>
      <c r="T282" s="401" t="b">
        <f t="shared" si="103"/>
        <v>0</v>
      </c>
      <c r="V282" t="str">
        <f>'Both teabags AfterDry'!A281</f>
        <v>G650</v>
      </c>
      <c r="W282" t="str">
        <f>'Both teabags AfterDry'!A618</f>
        <v>R776</v>
      </c>
      <c r="X282" t="b">
        <f t="shared" si="104"/>
        <v>0</v>
      </c>
      <c r="Y282" t="b">
        <f t="shared" si="105"/>
        <v>0</v>
      </c>
      <c r="AA282" t="str">
        <f>'Green_rooibos initial weight'!A283</f>
        <v>G279</v>
      </c>
      <c r="AB282" t="str">
        <f>'Green_rooibos initial weight'!A1187</f>
        <v>R279</v>
      </c>
      <c r="AC282" t="b">
        <f t="shared" si="106"/>
        <v>0</v>
      </c>
      <c r="AD282" t="b">
        <f t="shared" si="107"/>
        <v>0</v>
      </c>
      <c r="AG282" t="str">
        <f>'WetLitterbags placem_collection'!O61</f>
        <v>G600</v>
      </c>
      <c r="AH282" t="str">
        <f>'WetLitterbags placem_collection'!Q61</f>
        <v>R120</v>
      </c>
      <c r="AI282" t="b">
        <f t="shared" si="108"/>
        <v>0</v>
      </c>
      <c r="AJ282" t="b">
        <f t="shared" si="109"/>
        <v>0</v>
      </c>
      <c r="AK282">
        <f>'WetLitterbags placem_collection'!A61</f>
        <v>59</v>
      </c>
      <c r="AL282">
        <f>'WetLitterbags placem_collection'!A61</f>
        <v>59</v>
      </c>
      <c r="AN282">
        <f>IF('Dry_Litterbag Placem_Collection'!L61=0,"",'Dry_Litterbag Placem_Collection'!L61)</f>
        <v>558</v>
      </c>
      <c r="AO282">
        <f>IF('Dry_Litterbag Placem_Collection'!M61=0,"",'Dry_Litterbag Placem_Collection'!M61)</f>
        <v>231</v>
      </c>
      <c r="AP282" t="b">
        <f t="shared" si="110"/>
        <v>0</v>
      </c>
      <c r="AQ282" t="b">
        <f t="shared" si="111"/>
        <v>0</v>
      </c>
      <c r="AT282" t="str">
        <f>'Ashed teabags dry'!A280</f>
        <v>G650</v>
      </c>
      <c r="AU282" t="str">
        <f>'Ashed teabags dry'!A617</f>
        <v>R774</v>
      </c>
      <c r="AV282" t="b">
        <f t="shared" si="112"/>
        <v>0</v>
      </c>
      <c r="AW282" t="b">
        <f t="shared" si="113"/>
        <v>0</v>
      </c>
      <c r="AZ282" s="401" t="b">
        <f t="shared" si="114"/>
        <v>0</v>
      </c>
      <c r="BA282" s="401" t="b">
        <f t="shared" si="115"/>
        <v>0</v>
      </c>
      <c r="BC282" t="str">
        <f>'Ashed teabags wet'!A280</f>
        <v>G729</v>
      </c>
      <c r="BD282" t="str">
        <f>'Ashed teabags wet'!A697</f>
        <v>R520</v>
      </c>
      <c r="BE282" t="b">
        <f t="shared" si="116"/>
        <v>0</v>
      </c>
      <c r="BF282" t="b">
        <f t="shared" si="117"/>
        <v>0</v>
      </c>
      <c r="BG282">
        <f>IFERROR('Ashed teabags wet'!C280,"")</f>
        <v>105</v>
      </c>
      <c r="BH282">
        <f>IFERROR('Ashed teabags wet'!C697,"")</f>
        <v>129</v>
      </c>
      <c r="BI282">
        <f>'Ashed teabags wet'!AB280</f>
        <v>104</v>
      </c>
      <c r="BJ282" t="str">
        <f>'Ashed teabags wet'!AC280</f>
        <v/>
      </c>
      <c r="BK282" t="str">
        <f>'Ashed teabags wet'!AD697</f>
        <v/>
      </c>
      <c r="BL282">
        <f>'Ashed teabags wet'!AE697</f>
        <v>128</v>
      </c>
      <c r="BN282" t="str">
        <f t="shared" si="118"/>
        <v>G728</v>
      </c>
      <c r="BO282" t="b">
        <f t="shared" si="119"/>
        <v>1</v>
      </c>
    </row>
    <row r="283" spans="2:67" ht="12" customHeight="1">
      <c r="B283" t="str">
        <f>TBIDry!H355</f>
        <v>G751</v>
      </c>
      <c r="C283" t="str">
        <f>TBIDry!I355</f>
        <v>R297</v>
      </c>
      <c r="D283" t="b">
        <f t="shared" si="96"/>
        <v>0</v>
      </c>
      <c r="E283" t="b">
        <f t="shared" si="97"/>
        <v>0</v>
      </c>
      <c r="G283" t="str">
        <f>TBIWet!H355</f>
        <v>G535</v>
      </c>
      <c r="H283" t="str">
        <f>TBIWet!I355</f>
        <v>R390</v>
      </c>
      <c r="I283" t="b">
        <f t="shared" si="98"/>
        <v>0</v>
      </c>
      <c r="J283" t="b">
        <f t="shared" si="99"/>
        <v>0</v>
      </c>
      <c r="L283" t="str">
        <f>'Both teabags AfterWet'!A282</f>
        <v>G728</v>
      </c>
      <c r="M283" t="str">
        <f>'Both teabags AfterWet'!A700</f>
        <v>R497</v>
      </c>
      <c r="N283" t="b">
        <f t="shared" si="100"/>
        <v>0</v>
      </c>
      <c r="O283" t="b">
        <f t="shared" si="101"/>
        <v>0</v>
      </c>
      <c r="P283">
        <f>IFERROR('Both teabags AfterWet'!B282,"")</f>
        <v>100</v>
      </c>
      <c r="Q283">
        <f>'Both teabags AfterWet'!B700</f>
        <v>100</v>
      </c>
      <c r="S283" s="401" t="b">
        <f t="shared" si="102"/>
        <v>0</v>
      </c>
      <c r="T283" s="401" t="b">
        <f t="shared" si="103"/>
        <v>0</v>
      </c>
      <c r="V283" t="str">
        <f>'Both teabags AfterDry'!A282</f>
        <v>G659</v>
      </c>
      <c r="W283" t="str">
        <f>'Both teabags AfterDry'!A619</f>
        <v>R777</v>
      </c>
      <c r="X283" t="b">
        <f t="shared" si="104"/>
        <v>0</v>
      </c>
      <c r="Y283" t="b">
        <f t="shared" si="105"/>
        <v>0</v>
      </c>
      <c r="AA283" t="str">
        <f>'Green_rooibos initial weight'!A284</f>
        <v>G280</v>
      </c>
      <c r="AB283" t="str">
        <f>'Green_rooibos initial weight'!A1188</f>
        <v>R280</v>
      </c>
      <c r="AC283" t="b">
        <f t="shared" si="106"/>
        <v>0</v>
      </c>
      <c r="AD283" t="b">
        <f t="shared" si="107"/>
        <v>0</v>
      </c>
      <c r="AG283" t="str">
        <f>'WetLitterbags placem_collection'!O62</f>
        <v>G535</v>
      </c>
      <c r="AH283" t="str">
        <f>'WetLitterbags placem_collection'!Q62</f>
        <v>R390</v>
      </c>
      <c r="AI283" t="b">
        <f t="shared" si="108"/>
        <v>0</v>
      </c>
      <c r="AJ283" t="b">
        <f t="shared" si="109"/>
        <v>0</v>
      </c>
      <c r="AK283">
        <f>'WetLitterbags placem_collection'!A62</f>
        <v>60</v>
      </c>
      <c r="AL283">
        <f>'WetLitterbags placem_collection'!A62</f>
        <v>60</v>
      </c>
      <c r="AN283">
        <f>IF('Dry_Litterbag Placem_Collection'!L62=0,"",'Dry_Litterbag Placem_Collection'!L62)</f>
        <v>751</v>
      </c>
      <c r="AO283">
        <f>IF('Dry_Litterbag Placem_Collection'!M62=0,"",'Dry_Litterbag Placem_Collection'!M62)</f>
        <v>297</v>
      </c>
      <c r="AP283" t="b">
        <f t="shared" si="110"/>
        <v>0</v>
      </c>
      <c r="AQ283" t="b">
        <f t="shared" si="111"/>
        <v>0</v>
      </c>
      <c r="AT283" t="str">
        <f>'Ashed teabags dry'!A281</f>
        <v>G659</v>
      </c>
      <c r="AU283" t="str">
        <f>'Ashed teabags dry'!A618</f>
        <v>R776</v>
      </c>
      <c r="AV283" t="b">
        <f t="shared" si="112"/>
        <v>0</v>
      </c>
      <c r="AW283" t="b">
        <f t="shared" si="113"/>
        <v>0</v>
      </c>
      <c r="AZ283" s="401" t="b">
        <f t="shared" si="114"/>
        <v>0</v>
      </c>
      <c r="BA283" s="401" t="b">
        <f t="shared" si="115"/>
        <v>0</v>
      </c>
      <c r="BC283" t="str">
        <f>'Ashed teabags wet'!A281</f>
        <v>G730</v>
      </c>
      <c r="BD283" t="str">
        <f>'Ashed teabags wet'!A698</f>
        <v>R521</v>
      </c>
      <c r="BE283" t="b">
        <f t="shared" si="116"/>
        <v>0</v>
      </c>
      <c r="BF283" t="b">
        <f t="shared" si="117"/>
        <v>0</v>
      </c>
      <c r="BG283">
        <f>IFERROR('Ashed teabags wet'!C281,"")</f>
        <v>98</v>
      </c>
      <c r="BH283">
        <f>IFERROR('Ashed teabags wet'!C698,"")</f>
        <v>41</v>
      </c>
      <c r="BI283" t="str">
        <f>'Ashed teabags wet'!AB281</f>
        <v/>
      </c>
      <c r="BJ283">
        <f>'Ashed teabags wet'!AC281</f>
        <v>97</v>
      </c>
      <c r="BK283">
        <f>'Ashed teabags wet'!AD698</f>
        <v>40</v>
      </c>
      <c r="BL283" t="str">
        <f>'Ashed teabags wet'!AE698</f>
        <v/>
      </c>
      <c r="BN283" t="str">
        <f t="shared" si="118"/>
        <v>G729</v>
      </c>
      <c r="BO283" t="b">
        <f t="shared" si="119"/>
        <v>1</v>
      </c>
    </row>
    <row r="284" spans="2:67" ht="12" customHeight="1">
      <c r="B284" t="str">
        <f>TBIDry!H356</f>
        <v>G748</v>
      </c>
      <c r="C284" t="str">
        <f>TBIDry!I356</f>
        <v>R200</v>
      </c>
      <c r="D284" t="b">
        <f t="shared" si="96"/>
        <v>0</v>
      </c>
      <c r="E284" t="b">
        <f t="shared" si="97"/>
        <v>0</v>
      </c>
      <c r="G284" t="str">
        <f>TBIWet!H356</f>
        <v>G391</v>
      </c>
      <c r="H284" t="str">
        <f>TBIWet!I356</f>
        <v>R143</v>
      </c>
      <c r="I284" t="b">
        <f t="shared" si="98"/>
        <v>0</v>
      </c>
      <c r="J284" t="b">
        <f t="shared" si="99"/>
        <v>0</v>
      </c>
      <c r="L284" t="str">
        <f>'Both teabags AfterWet'!A283</f>
        <v>G729</v>
      </c>
      <c r="M284" t="str">
        <f>'Both teabags AfterWet'!A701</f>
        <v>R50</v>
      </c>
      <c r="N284" t="b">
        <f t="shared" si="100"/>
        <v>0</v>
      </c>
      <c r="O284" t="b">
        <f t="shared" si="101"/>
        <v>0</v>
      </c>
      <c r="P284">
        <f>IFERROR('Both teabags AfterWet'!B283,"")</f>
        <v>105</v>
      </c>
      <c r="Q284">
        <f>'Both teabags AfterWet'!B701</f>
        <v>20</v>
      </c>
      <c r="S284" s="401" t="b">
        <f t="shared" si="102"/>
        <v>0</v>
      </c>
      <c r="T284" s="401" t="b">
        <f t="shared" si="103"/>
        <v>0</v>
      </c>
      <c r="V284" t="str">
        <f>'Both teabags AfterDry'!A283</f>
        <v>G66</v>
      </c>
      <c r="W284" t="str">
        <f>'Both teabags AfterDry'!A620</f>
        <v>R778</v>
      </c>
      <c r="X284" t="b">
        <f t="shared" si="104"/>
        <v>0</v>
      </c>
      <c r="Y284" t="b">
        <f t="shared" si="105"/>
        <v>0</v>
      </c>
      <c r="AA284" t="str">
        <f>'Green_rooibos initial weight'!A285</f>
        <v>G281</v>
      </c>
      <c r="AB284" t="str">
        <f>'Green_rooibos initial weight'!A1189</f>
        <v>R281</v>
      </c>
      <c r="AC284" t="b">
        <f t="shared" si="106"/>
        <v>0</v>
      </c>
      <c r="AD284" t="b">
        <f t="shared" si="107"/>
        <v>0</v>
      </c>
      <c r="AG284" t="str">
        <f>'WetLitterbags placem_collection'!O63</f>
        <v>G391</v>
      </c>
      <c r="AH284" t="str">
        <f>'WetLitterbags placem_collection'!Q63</f>
        <v>R143</v>
      </c>
      <c r="AI284" t="b">
        <f t="shared" si="108"/>
        <v>0</v>
      </c>
      <c r="AJ284" t="b">
        <f t="shared" si="109"/>
        <v>0</v>
      </c>
      <c r="AK284">
        <f>'WetLitterbags placem_collection'!A63</f>
        <v>61</v>
      </c>
      <c r="AL284">
        <f>'WetLitterbags placem_collection'!A63</f>
        <v>61</v>
      </c>
      <c r="AN284">
        <f>IF('Dry_Litterbag Placem_Collection'!L63=0,"",'Dry_Litterbag Placem_Collection'!L63)</f>
        <v>748</v>
      </c>
      <c r="AO284">
        <f>IF('Dry_Litterbag Placem_Collection'!M63=0,"",'Dry_Litterbag Placem_Collection'!M63)</f>
        <v>200</v>
      </c>
      <c r="AP284" t="b">
        <f t="shared" si="110"/>
        <v>0</v>
      </c>
      <c r="AQ284" t="b">
        <f t="shared" si="111"/>
        <v>0</v>
      </c>
      <c r="AT284" t="str">
        <f>'Ashed teabags dry'!A282</f>
        <v>G66</v>
      </c>
      <c r="AU284" t="str">
        <f>'Ashed teabags dry'!A619</f>
        <v>R777</v>
      </c>
      <c r="AV284" t="b">
        <f t="shared" si="112"/>
        <v>0</v>
      </c>
      <c r="AW284" t="b">
        <f t="shared" si="113"/>
        <v>0</v>
      </c>
      <c r="AZ284" s="401" t="b">
        <f t="shared" si="114"/>
        <v>0</v>
      </c>
      <c r="BA284" s="401" t="b">
        <f t="shared" si="115"/>
        <v>0</v>
      </c>
      <c r="BC284" t="str">
        <f>'Ashed teabags wet'!A282</f>
        <v>G732</v>
      </c>
      <c r="BD284" t="str">
        <f>'Ashed teabags wet'!A699</f>
        <v>R522</v>
      </c>
      <c r="BE284" t="b">
        <f t="shared" si="116"/>
        <v>0</v>
      </c>
      <c r="BF284" t="b">
        <f t="shared" si="117"/>
        <v>0</v>
      </c>
      <c r="BG284">
        <f>IFERROR('Ashed teabags wet'!C282,"")</f>
        <v>35</v>
      </c>
      <c r="BH284">
        <f>IFERROR('Ashed teabags wet'!C699,"")</f>
        <v>115</v>
      </c>
      <c r="BI284" t="str">
        <f>'Ashed teabags wet'!AB282</f>
        <v/>
      </c>
      <c r="BJ284">
        <f>'Ashed teabags wet'!AC282</f>
        <v>34</v>
      </c>
      <c r="BK284" t="str">
        <f>'Ashed teabags wet'!AD699</f>
        <v/>
      </c>
      <c r="BL284">
        <f>'Ashed teabags wet'!AE699</f>
        <v>114</v>
      </c>
      <c r="BN284" t="str">
        <f t="shared" si="118"/>
        <v>G730</v>
      </c>
      <c r="BO284" t="b">
        <f t="shared" si="119"/>
        <v>1</v>
      </c>
    </row>
    <row r="285" spans="2:67" ht="12" customHeight="1">
      <c r="B285" t="str">
        <f>TBIDry!H357</f>
        <v/>
      </c>
      <c r="C285" t="str">
        <f>TBIDry!I357</f>
        <v/>
      </c>
      <c r="D285" t="b">
        <f t="shared" si="96"/>
        <v>1</v>
      </c>
      <c r="E285" t="b">
        <f t="shared" si="97"/>
        <v>1</v>
      </c>
      <c r="G285" t="str">
        <f>TBIWet!H357</f>
        <v>G445</v>
      </c>
      <c r="H285" t="str">
        <f>TBIWet!I357</f>
        <v>R448</v>
      </c>
      <c r="I285" t="b">
        <f t="shared" si="98"/>
        <v>0</v>
      </c>
      <c r="J285" t="b">
        <f t="shared" si="99"/>
        <v>0</v>
      </c>
      <c r="L285" t="str">
        <f>'Both teabags AfterWet'!A284</f>
        <v>G730</v>
      </c>
      <c r="M285" t="str">
        <f>'Both teabags AfterWet'!A702</f>
        <v>R500</v>
      </c>
      <c r="N285" t="b">
        <f t="shared" si="100"/>
        <v>0</v>
      </c>
      <c r="O285" t="b">
        <f t="shared" si="101"/>
        <v>0</v>
      </c>
      <c r="P285">
        <f>IFERROR('Both teabags AfterWet'!B284,"")</f>
        <v>98</v>
      </c>
      <c r="Q285">
        <f>'Both teabags AfterWet'!B702</f>
        <v>100</v>
      </c>
      <c r="S285" s="401" t="b">
        <f t="shared" si="102"/>
        <v>0</v>
      </c>
      <c r="T285" s="401" t="b">
        <f t="shared" si="103"/>
        <v>0</v>
      </c>
      <c r="V285" t="str">
        <f>'Both teabags AfterDry'!A284</f>
        <v>G663</v>
      </c>
      <c r="W285" t="str">
        <f>'Both teabags AfterDry'!A621</f>
        <v>R779</v>
      </c>
      <c r="X285" t="b">
        <f t="shared" si="104"/>
        <v>0</v>
      </c>
      <c r="Y285" t="b">
        <f t="shared" si="105"/>
        <v>0</v>
      </c>
      <c r="AA285" t="str">
        <f>'Green_rooibos initial weight'!A286</f>
        <v>G282</v>
      </c>
      <c r="AB285" t="str">
        <f>'Green_rooibos initial weight'!A1190</f>
        <v>R282</v>
      </c>
      <c r="AC285" t="b">
        <f t="shared" si="106"/>
        <v>0</v>
      </c>
      <c r="AD285" t="b">
        <f t="shared" si="107"/>
        <v>0</v>
      </c>
      <c r="AG285" t="str">
        <f>'WetLitterbags placem_collection'!O64</f>
        <v>G445</v>
      </c>
      <c r="AH285" t="str">
        <f>'WetLitterbags placem_collection'!Q64</f>
        <v>R448</v>
      </c>
      <c r="AI285" t="b">
        <f t="shared" si="108"/>
        <v>0</v>
      </c>
      <c r="AJ285" t="b">
        <f t="shared" si="109"/>
        <v>0</v>
      </c>
      <c r="AK285">
        <f>'WetLitterbags placem_collection'!A64</f>
        <v>62</v>
      </c>
      <c r="AL285">
        <f>'WetLitterbags placem_collection'!A64</f>
        <v>62</v>
      </c>
      <c r="AN285" t="str">
        <f>IF('Dry_Litterbag Placem_Collection'!L64=0,"",'Dry_Litterbag Placem_Collection'!L64)</f>
        <v/>
      </c>
      <c r="AO285" t="str">
        <f>IF('Dry_Litterbag Placem_Collection'!M64=0,"",'Dry_Litterbag Placem_Collection'!M64)</f>
        <v/>
      </c>
      <c r="AP285" t="b">
        <f t="shared" si="110"/>
        <v>1</v>
      </c>
      <c r="AQ285" t="b">
        <f t="shared" si="111"/>
        <v>1</v>
      </c>
      <c r="AT285" t="str">
        <f>'Ashed teabags dry'!A283</f>
        <v>G663</v>
      </c>
      <c r="AU285" t="str">
        <f>'Ashed teabags dry'!A620</f>
        <v>R778</v>
      </c>
      <c r="AV285" t="b">
        <f t="shared" si="112"/>
        <v>0</v>
      </c>
      <c r="AW285" t="b">
        <f t="shared" si="113"/>
        <v>0</v>
      </c>
      <c r="AZ285" s="401" t="b">
        <f t="shared" si="114"/>
        <v>0</v>
      </c>
      <c r="BA285" s="401" t="b">
        <f t="shared" si="115"/>
        <v>0</v>
      </c>
      <c r="BC285" t="str">
        <f>'Ashed teabags wet'!A283</f>
        <v>G733</v>
      </c>
      <c r="BD285" t="str">
        <f>'Ashed teabags wet'!A700</f>
        <v>R523</v>
      </c>
      <c r="BE285" t="b">
        <f t="shared" si="116"/>
        <v>0</v>
      </c>
      <c r="BF285" t="b">
        <f t="shared" si="117"/>
        <v>0</v>
      </c>
      <c r="BG285">
        <f>IFERROR('Ashed teabags wet'!C283,"")</f>
        <v>149</v>
      </c>
      <c r="BH285">
        <f>IFERROR('Ashed teabags wet'!C700,"")</f>
        <v>0</v>
      </c>
      <c r="BI285">
        <f>'Ashed teabags wet'!AB283</f>
        <v>148</v>
      </c>
      <c r="BJ285" t="str">
        <f>'Ashed teabags wet'!AC283</f>
        <v/>
      </c>
      <c r="BK285">
        <f>'Ashed teabags wet'!AD700</f>
        <v>187</v>
      </c>
      <c r="BL285" t="str">
        <f>'Ashed teabags wet'!AE700</f>
        <v/>
      </c>
      <c r="BN285" t="str">
        <f t="shared" si="118"/>
        <v>G732</v>
      </c>
      <c r="BO285" t="b">
        <f t="shared" si="119"/>
        <v>1</v>
      </c>
    </row>
    <row r="286" spans="2:67" ht="12" customHeight="1">
      <c r="B286" t="str">
        <f>TBIDry!H358</f>
        <v>G629</v>
      </c>
      <c r="C286" t="str">
        <f>TBIDry!I358</f>
        <v>R713</v>
      </c>
      <c r="D286" t="b">
        <f t="shared" si="96"/>
        <v>0</v>
      </c>
      <c r="E286" t="b">
        <f t="shared" si="97"/>
        <v>0</v>
      </c>
      <c r="G286" t="str">
        <f>TBIWet!H358</f>
        <v>G440</v>
      </c>
      <c r="H286" t="str">
        <f>TBIWet!I358</f>
        <v>R423</v>
      </c>
      <c r="I286" t="b">
        <f t="shared" si="98"/>
        <v>0</v>
      </c>
      <c r="J286" t="b">
        <f t="shared" si="99"/>
        <v>0</v>
      </c>
      <c r="L286" t="str">
        <f>'Both teabags AfterWet'!A285</f>
        <v>G732</v>
      </c>
      <c r="M286" t="str">
        <f>'Both teabags AfterWet'!A703</f>
        <v>R501</v>
      </c>
      <c r="N286" t="b">
        <f t="shared" si="100"/>
        <v>0</v>
      </c>
      <c r="O286" t="b">
        <f t="shared" si="101"/>
        <v>0</v>
      </c>
      <c r="P286">
        <f>IFERROR('Both teabags AfterWet'!B285,"")</f>
        <v>35</v>
      </c>
      <c r="Q286">
        <f>'Both teabags AfterWet'!B703</f>
        <v>75</v>
      </c>
      <c r="S286" s="401" t="b">
        <f t="shared" si="102"/>
        <v>0</v>
      </c>
      <c r="T286" s="401" t="b">
        <f t="shared" si="103"/>
        <v>0</v>
      </c>
      <c r="V286" t="str">
        <f>'Both teabags AfterDry'!A285</f>
        <v>G67</v>
      </c>
      <c r="W286" t="str">
        <f>'Both teabags AfterDry'!A622</f>
        <v>R780</v>
      </c>
      <c r="X286" t="b">
        <f t="shared" si="104"/>
        <v>0</v>
      </c>
      <c r="Y286" t="b">
        <f t="shared" si="105"/>
        <v>0</v>
      </c>
      <c r="AA286" t="str">
        <f>'Green_rooibos initial weight'!A287</f>
        <v>G283</v>
      </c>
      <c r="AB286" t="str">
        <f>'Green_rooibos initial weight'!A1191</f>
        <v>R283</v>
      </c>
      <c r="AC286" t="b">
        <f t="shared" si="106"/>
        <v>0</v>
      </c>
      <c r="AD286" t="b">
        <f t="shared" si="107"/>
        <v>0</v>
      </c>
      <c r="AG286" t="str">
        <f>'WetLitterbags placem_collection'!O65</f>
        <v>G440</v>
      </c>
      <c r="AH286" t="str">
        <f>'WetLitterbags placem_collection'!Q65</f>
        <v>R423</v>
      </c>
      <c r="AI286" t="b">
        <f t="shared" si="108"/>
        <v>0</v>
      </c>
      <c r="AJ286" t="b">
        <f t="shared" si="109"/>
        <v>0</v>
      </c>
      <c r="AK286">
        <f>'WetLitterbags placem_collection'!A65</f>
        <v>63</v>
      </c>
      <c r="AL286">
        <f>'WetLitterbags placem_collection'!A65</f>
        <v>63</v>
      </c>
      <c r="AN286">
        <f>IF('Dry_Litterbag Placem_Collection'!L65=0,"",'Dry_Litterbag Placem_Collection'!L65)</f>
        <v>629</v>
      </c>
      <c r="AO286">
        <f>IF('Dry_Litterbag Placem_Collection'!M65=0,"",'Dry_Litterbag Placem_Collection'!M65)</f>
        <v>713</v>
      </c>
      <c r="AP286" t="b">
        <f t="shared" si="110"/>
        <v>0</v>
      </c>
      <c r="AQ286" t="b">
        <f t="shared" si="111"/>
        <v>0</v>
      </c>
      <c r="AT286" t="str">
        <f>'Ashed teabags dry'!A284</f>
        <v>G67</v>
      </c>
      <c r="AU286" t="str">
        <f>'Ashed teabags dry'!A621</f>
        <v>R779</v>
      </c>
      <c r="AV286" t="b">
        <f t="shared" si="112"/>
        <v>0</v>
      </c>
      <c r="AW286" t="b">
        <f t="shared" si="113"/>
        <v>0</v>
      </c>
      <c r="AZ286" s="401" t="b">
        <f t="shared" si="114"/>
        <v>0</v>
      </c>
      <c r="BA286" s="401" t="b">
        <f t="shared" si="115"/>
        <v>0</v>
      </c>
      <c r="BC286" t="str">
        <f>'Ashed teabags wet'!A284</f>
        <v>G736</v>
      </c>
      <c r="BD286" t="str">
        <f>'Ashed teabags wet'!A701</f>
        <v>R524</v>
      </c>
      <c r="BE286" t="b">
        <f t="shared" si="116"/>
        <v>0</v>
      </c>
      <c r="BF286" t="b">
        <f t="shared" si="117"/>
        <v>0</v>
      </c>
      <c r="BG286">
        <f>IFERROR('Ashed teabags wet'!C284,"")</f>
        <v>174</v>
      </c>
      <c r="BH286">
        <f>IFERROR('Ashed teabags wet'!C701,"")</f>
        <v>133</v>
      </c>
      <c r="BI286" t="str">
        <f>'Ashed teabags wet'!AB284</f>
        <v/>
      </c>
      <c r="BJ286">
        <f>'Ashed teabags wet'!AC284</f>
        <v>173</v>
      </c>
      <c r="BK286">
        <f>'Ashed teabags wet'!AD701</f>
        <v>132</v>
      </c>
      <c r="BL286" t="str">
        <f>'Ashed teabags wet'!AE701</f>
        <v/>
      </c>
      <c r="BN286" t="str">
        <f t="shared" si="118"/>
        <v>G733</v>
      </c>
      <c r="BO286" t="b">
        <f t="shared" si="119"/>
        <v>1</v>
      </c>
    </row>
    <row r="287" spans="2:67" ht="12" customHeight="1">
      <c r="B287" t="str">
        <f>TBIDry!H359</f>
        <v>G84</v>
      </c>
      <c r="C287" t="str">
        <f>TBIDry!I359</f>
        <v>R237</v>
      </c>
      <c r="D287" t="b">
        <f t="shared" si="96"/>
        <v>0</v>
      </c>
      <c r="E287" t="b">
        <f t="shared" si="97"/>
        <v>0</v>
      </c>
      <c r="G287" t="str">
        <f>TBIWet!H359</f>
        <v>G673</v>
      </c>
      <c r="H287" t="str">
        <f>TBIWet!I359</f>
        <v>R550</v>
      </c>
      <c r="I287" t="b">
        <f t="shared" si="98"/>
        <v>0</v>
      </c>
      <c r="J287" t="b">
        <f t="shared" si="99"/>
        <v>0</v>
      </c>
      <c r="L287" t="str">
        <f>'Both teabags AfterWet'!A286</f>
        <v>G733</v>
      </c>
      <c r="M287" t="str">
        <f>'Both teabags AfterWet'!A704</f>
        <v>R502</v>
      </c>
      <c r="N287" t="b">
        <f t="shared" si="100"/>
        <v>0</v>
      </c>
      <c r="O287" t="b">
        <f t="shared" si="101"/>
        <v>0</v>
      </c>
      <c r="P287" t="str">
        <f>IFERROR('Both teabags AfterWet'!B286,"")</f>
        <v>n.a</v>
      </c>
      <c r="Q287" t="str">
        <f>'Both teabags AfterWet'!B704</f>
        <v>n.a</v>
      </c>
      <c r="S287" s="401" t="b">
        <f t="shared" si="102"/>
        <v>0</v>
      </c>
      <c r="T287" s="401" t="b">
        <f t="shared" si="103"/>
        <v>0</v>
      </c>
      <c r="V287" t="str">
        <f>'Both teabags AfterDry'!A286</f>
        <v>G671</v>
      </c>
      <c r="W287" t="str">
        <f>'Both teabags AfterDry'!A623</f>
        <v>R781</v>
      </c>
      <c r="X287" t="b">
        <f t="shared" si="104"/>
        <v>0</v>
      </c>
      <c r="Y287" t="b">
        <f t="shared" si="105"/>
        <v>0</v>
      </c>
      <c r="AA287" t="str">
        <f>'Green_rooibos initial weight'!A288</f>
        <v>G284</v>
      </c>
      <c r="AB287" t="str">
        <f>'Green_rooibos initial weight'!A1192</f>
        <v>R284</v>
      </c>
      <c r="AC287" t="b">
        <f t="shared" si="106"/>
        <v>0</v>
      </c>
      <c r="AD287" t="b">
        <f t="shared" si="107"/>
        <v>0</v>
      </c>
      <c r="AG287" t="str">
        <f>'WetLitterbags placem_collection'!O66</f>
        <v>G673</v>
      </c>
      <c r="AH287" t="str">
        <f>'WetLitterbags placem_collection'!Q66</f>
        <v>R550</v>
      </c>
      <c r="AI287" t="b">
        <f t="shared" si="108"/>
        <v>0</v>
      </c>
      <c r="AJ287" t="b">
        <f t="shared" si="109"/>
        <v>0</v>
      </c>
      <c r="AK287">
        <f>'WetLitterbags placem_collection'!A66</f>
        <v>64</v>
      </c>
      <c r="AL287">
        <f>'WetLitterbags placem_collection'!A66</f>
        <v>64</v>
      </c>
      <c r="AN287">
        <f>IF('Dry_Litterbag Placem_Collection'!L66=0,"",'Dry_Litterbag Placem_Collection'!L66)</f>
        <v>84</v>
      </c>
      <c r="AO287">
        <f>IF('Dry_Litterbag Placem_Collection'!M66=0,"",'Dry_Litterbag Placem_Collection'!M66)</f>
        <v>237</v>
      </c>
      <c r="AP287" t="b">
        <f t="shared" si="110"/>
        <v>0</v>
      </c>
      <c r="AQ287" t="b">
        <f t="shared" si="111"/>
        <v>0</v>
      </c>
      <c r="AT287" t="str">
        <f>'Ashed teabags dry'!A285</f>
        <v>G671</v>
      </c>
      <c r="AU287" t="str">
        <f>'Ashed teabags dry'!A622</f>
        <v>R780</v>
      </c>
      <c r="AV287" t="b">
        <f t="shared" si="112"/>
        <v>0</v>
      </c>
      <c r="AW287" t="b">
        <f t="shared" si="113"/>
        <v>0</v>
      </c>
      <c r="AZ287" s="401" t="b">
        <f t="shared" si="114"/>
        <v>0</v>
      </c>
      <c r="BA287" s="401" t="b">
        <f t="shared" si="115"/>
        <v>0</v>
      </c>
      <c r="BC287" t="str">
        <f>'Ashed teabags wet'!A285</f>
        <v>G737</v>
      </c>
      <c r="BD287" t="str">
        <f>'Ashed teabags wet'!A702</f>
        <v>R525</v>
      </c>
      <c r="BE287" t="b">
        <f t="shared" si="116"/>
        <v>0</v>
      </c>
      <c r="BF287" t="b">
        <f t="shared" si="117"/>
        <v>0</v>
      </c>
      <c r="BG287">
        <f>IFERROR('Ashed teabags wet'!C285,"")</f>
        <v>2</v>
      </c>
      <c r="BH287">
        <f>IFERROR('Ashed teabags wet'!C702,"")</f>
        <v>65</v>
      </c>
      <c r="BI287" t="str">
        <f>'Ashed teabags wet'!AB285</f>
        <v/>
      </c>
      <c r="BJ287">
        <f>'Ashed teabags wet'!AC285</f>
        <v>1</v>
      </c>
      <c r="BK287">
        <f>'Ashed teabags wet'!AD702</f>
        <v>64</v>
      </c>
      <c r="BL287" t="str">
        <f>'Ashed teabags wet'!AE702</f>
        <v/>
      </c>
      <c r="BN287" t="str">
        <f t="shared" si="118"/>
        <v>G736</v>
      </c>
      <c r="BO287" t="b">
        <f t="shared" si="119"/>
        <v>1</v>
      </c>
    </row>
    <row r="288" spans="2:67" ht="12" customHeight="1">
      <c r="B288" t="str">
        <f>TBIDry!H360</f>
        <v>G586</v>
      </c>
      <c r="C288" t="str">
        <f>TBIDry!I360</f>
        <v>R654</v>
      </c>
      <c r="D288" t="b">
        <f t="shared" si="96"/>
        <v>0</v>
      </c>
      <c r="E288" t="b">
        <f t="shared" si="97"/>
        <v>0</v>
      </c>
      <c r="G288" t="str">
        <f>TBIWet!H360</f>
        <v>G700</v>
      </c>
      <c r="H288" t="str">
        <f>TBIWet!I360</f>
        <v>R333</v>
      </c>
      <c r="I288" t="b">
        <f t="shared" si="98"/>
        <v>0</v>
      </c>
      <c r="J288" t="b">
        <f t="shared" si="99"/>
        <v>0</v>
      </c>
      <c r="L288" t="str">
        <f>'Both teabags AfterWet'!A287</f>
        <v>G736</v>
      </c>
      <c r="M288" t="str">
        <f>'Both teabags AfterWet'!A705</f>
        <v>R504</v>
      </c>
      <c r="N288" t="b">
        <f t="shared" si="100"/>
        <v>0</v>
      </c>
      <c r="O288" t="b">
        <f t="shared" si="101"/>
        <v>0</v>
      </c>
      <c r="P288">
        <f>IFERROR('Both teabags AfterWet'!B287,"")</f>
        <v>174</v>
      </c>
      <c r="Q288">
        <f>'Both teabags AfterWet'!B705</f>
        <v>151</v>
      </c>
      <c r="S288" s="401" t="b">
        <f t="shared" si="102"/>
        <v>0</v>
      </c>
      <c r="T288" s="401" t="b">
        <f t="shared" si="103"/>
        <v>0</v>
      </c>
      <c r="V288" t="str">
        <f>'Both teabags AfterDry'!A287</f>
        <v>G672</v>
      </c>
      <c r="W288" t="str">
        <f>'Both teabags AfterDry'!A624</f>
        <v>R782</v>
      </c>
      <c r="X288" t="b">
        <f t="shared" si="104"/>
        <v>0</v>
      </c>
      <c r="Y288" t="b">
        <f t="shared" si="105"/>
        <v>0</v>
      </c>
      <c r="AA288" t="str">
        <f>'Green_rooibos initial weight'!A289</f>
        <v>G285</v>
      </c>
      <c r="AB288" t="str">
        <f>'Green_rooibos initial weight'!A1193</f>
        <v>R285</v>
      </c>
      <c r="AC288" t="b">
        <f t="shared" si="106"/>
        <v>0</v>
      </c>
      <c r="AD288" t="b">
        <f t="shared" si="107"/>
        <v>0</v>
      </c>
      <c r="AG288" t="str">
        <f>'WetLitterbags placem_collection'!O67</f>
        <v>G700</v>
      </c>
      <c r="AH288" t="str">
        <f>'WetLitterbags placem_collection'!Q67</f>
        <v>R333</v>
      </c>
      <c r="AI288" t="b">
        <f t="shared" si="108"/>
        <v>0</v>
      </c>
      <c r="AJ288" t="b">
        <f t="shared" si="109"/>
        <v>0</v>
      </c>
      <c r="AK288">
        <f>'WetLitterbags placem_collection'!A67</f>
        <v>65</v>
      </c>
      <c r="AL288">
        <f>'WetLitterbags placem_collection'!A67</f>
        <v>65</v>
      </c>
      <c r="AN288">
        <f>IF('Dry_Litterbag Placem_Collection'!L67=0,"",'Dry_Litterbag Placem_Collection'!L67)</f>
        <v>586</v>
      </c>
      <c r="AO288">
        <f>IF('Dry_Litterbag Placem_Collection'!M67=0,"",'Dry_Litterbag Placem_Collection'!M67)</f>
        <v>654</v>
      </c>
      <c r="AP288" t="b">
        <f t="shared" si="110"/>
        <v>0</v>
      </c>
      <c r="AQ288" t="b">
        <f t="shared" si="111"/>
        <v>0</v>
      </c>
      <c r="AT288" t="str">
        <f>'Ashed teabags dry'!A286</f>
        <v>G672</v>
      </c>
      <c r="AU288" t="str">
        <f>'Ashed teabags dry'!A623</f>
        <v>R781</v>
      </c>
      <c r="AV288" t="b">
        <f t="shared" si="112"/>
        <v>0</v>
      </c>
      <c r="AW288" t="b">
        <f t="shared" si="113"/>
        <v>0</v>
      </c>
      <c r="AZ288" s="401" t="b">
        <f t="shared" si="114"/>
        <v>0</v>
      </c>
      <c r="BA288" s="401" t="b">
        <f t="shared" si="115"/>
        <v>0</v>
      </c>
      <c r="BC288" t="str">
        <f>'Ashed teabags wet'!A286</f>
        <v>G738</v>
      </c>
      <c r="BD288" t="str">
        <f>'Ashed teabags wet'!A703</f>
        <v>R526</v>
      </c>
      <c r="BE288" t="b">
        <f t="shared" si="116"/>
        <v>0</v>
      </c>
      <c r="BF288" t="b">
        <f t="shared" si="117"/>
        <v>0</v>
      </c>
      <c r="BG288">
        <f>IFERROR('Ashed teabags wet'!C286,"")</f>
        <v>106</v>
      </c>
      <c r="BH288">
        <f>IFERROR('Ashed teabags wet'!C703,"")</f>
        <v>119</v>
      </c>
      <c r="BI288" t="str">
        <f>'Ashed teabags wet'!AB286</f>
        <v/>
      </c>
      <c r="BJ288">
        <f>'Ashed teabags wet'!AC286</f>
        <v>105</v>
      </c>
      <c r="BK288" t="str">
        <f>'Ashed teabags wet'!AD703</f>
        <v/>
      </c>
      <c r="BL288">
        <f>'Ashed teabags wet'!AE703</f>
        <v>118</v>
      </c>
      <c r="BN288" t="str">
        <f t="shared" si="118"/>
        <v>G737</v>
      </c>
      <c r="BO288" t="b">
        <f t="shared" si="119"/>
        <v>1</v>
      </c>
    </row>
    <row r="289" spans="2:67" ht="12" customHeight="1">
      <c r="B289" t="str">
        <f>TBIDry!H361</f>
        <v>G851</v>
      </c>
      <c r="C289" t="str">
        <f>TBIDry!I361</f>
        <v>R634</v>
      </c>
      <c r="D289" t="b">
        <f t="shared" si="96"/>
        <v>0</v>
      </c>
      <c r="E289" t="b">
        <f t="shared" si="97"/>
        <v>0</v>
      </c>
      <c r="G289" t="str">
        <f>TBIWet!H361</f>
        <v>G760</v>
      </c>
      <c r="H289" t="str">
        <f>TBIWet!I361</f>
        <v>R252</v>
      </c>
      <c r="I289" t="b">
        <f t="shared" si="98"/>
        <v>0</v>
      </c>
      <c r="J289" t="b">
        <f t="shared" si="99"/>
        <v>0</v>
      </c>
      <c r="L289" t="str">
        <f>'Both teabags AfterWet'!A288</f>
        <v>G737</v>
      </c>
      <c r="M289" t="str">
        <f>'Both teabags AfterWet'!A706</f>
        <v>R505</v>
      </c>
      <c r="N289" t="b">
        <f t="shared" si="100"/>
        <v>0</v>
      </c>
      <c r="O289" t="b">
        <f t="shared" si="101"/>
        <v>0</v>
      </c>
      <c r="P289" t="str">
        <f>IFERROR('Both teabags AfterWet'!B288,"")</f>
        <v>n.a</v>
      </c>
      <c r="Q289">
        <f>'Both teabags AfterWet'!B706</f>
        <v>111</v>
      </c>
      <c r="S289" s="401" t="b">
        <f t="shared" si="102"/>
        <v>0</v>
      </c>
      <c r="T289" s="401" t="b">
        <f t="shared" si="103"/>
        <v>0</v>
      </c>
      <c r="V289" t="str">
        <f>'Both teabags AfterDry'!A288</f>
        <v>G68</v>
      </c>
      <c r="W289" t="str">
        <f>'Both teabags AfterDry'!A625</f>
        <v>R783</v>
      </c>
      <c r="X289" t="b">
        <f t="shared" si="104"/>
        <v>0</v>
      </c>
      <c r="Y289" t="b">
        <f t="shared" si="105"/>
        <v>0</v>
      </c>
      <c r="AA289" t="str">
        <f>'Green_rooibos initial weight'!A290</f>
        <v>G286</v>
      </c>
      <c r="AB289" t="str">
        <f>'Green_rooibos initial weight'!A1194</f>
        <v>R286</v>
      </c>
      <c r="AC289" t="b">
        <f t="shared" si="106"/>
        <v>0</v>
      </c>
      <c r="AD289" t="b">
        <f t="shared" si="107"/>
        <v>0</v>
      </c>
      <c r="AG289" t="str">
        <f>'WetLitterbags placem_collection'!O68</f>
        <v>G760</v>
      </c>
      <c r="AH289" t="str">
        <f>'WetLitterbags placem_collection'!Q68</f>
        <v>R252</v>
      </c>
      <c r="AI289" t="b">
        <f t="shared" si="108"/>
        <v>0</v>
      </c>
      <c r="AJ289" t="b">
        <f t="shared" si="109"/>
        <v>0</v>
      </c>
      <c r="AK289">
        <f>'WetLitterbags placem_collection'!A68</f>
        <v>66</v>
      </c>
      <c r="AL289">
        <f>'WetLitterbags placem_collection'!A68</f>
        <v>66</v>
      </c>
      <c r="AN289">
        <f>IF('Dry_Litterbag Placem_Collection'!L68=0,"",'Dry_Litterbag Placem_Collection'!L68)</f>
        <v>851</v>
      </c>
      <c r="AO289">
        <f>IF('Dry_Litterbag Placem_Collection'!M68=0,"",'Dry_Litterbag Placem_Collection'!M68)</f>
        <v>634</v>
      </c>
      <c r="AP289" t="b">
        <f t="shared" si="110"/>
        <v>0</v>
      </c>
      <c r="AQ289" t="b">
        <f t="shared" si="111"/>
        <v>0</v>
      </c>
      <c r="AT289" t="str">
        <f>'Ashed teabags dry'!A287</f>
        <v>G68</v>
      </c>
      <c r="AU289" t="str">
        <f>'Ashed teabags dry'!A624</f>
        <v>R782</v>
      </c>
      <c r="AV289" t="b">
        <f t="shared" si="112"/>
        <v>0</v>
      </c>
      <c r="AW289" t="b">
        <f t="shared" si="113"/>
        <v>0</v>
      </c>
      <c r="AZ289" s="401" t="b">
        <f t="shared" si="114"/>
        <v>0</v>
      </c>
      <c r="BA289" s="401" t="b">
        <f t="shared" si="115"/>
        <v>0</v>
      </c>
      <c r="BC289" t="str">
        <f>'Ashed teabags wet'!A287</f>
        <v>G739</v>
      </c>
      <c r="BD289" t="str">
        <f>'Ashed teabags wet'!A704</f>
        <v>R527</v>
      </c>
      <c r="BE289" t="b">
        <f t="shared" si="116"/>
        <v>0</v>
      </c>
      <c r="BF289" t="b">
        <f t="shared" si="117"/>
        <v>0</v>
      </c>
      <c r="BG289">
        <f>IFERROR('Ashed teabags wet'!C287,"")</f>
        <v>49</v>
      </c>
      <c r="BH289">
        <f>IFERROR('Ashed teabags wet'!C704,"")</f>
        <v>2</v>
      </c>
      <c r="BI289" t="str">
        <f>'Ashed teabags wet'!AB287</f>
        <v/>
      </c>
      <c r="BJ289">
        <f>'Ashed teabags wet'!AC287</f>
        <v>48</v>
      </c>
      <c r="BK289" t="str">
        <f>'Ashed teabags wet'!AD704</f>
        <v/>
      </c>
      <c r="BL289">
        <f>'Ashed teabags wet'!AE704</f>
        <v>1</v>
      </c>
      <c r="BN289" t="str">
        <f t="shared" si="118"/>
        <v>G738</v>
      </c>
      <c r="BO289" t="b">
        <f t="shared" si="119"/>
        <v>1</v>
      </c>
    </row>
    <row r="290" spans="2:67" ht="12" customHeight="1">
      <c r="B290" t="str">
        <f>TBIDry!H362</f>
        <v/>
      </c>
      <c r="C290" t="str">
        <f>TBIDry!I362</f>
        <v/>
      </c>
      <c r="D290" t="b">
        <f t="shared" si="96"/>
        <v>1</v>
      </c>
      <c r="E290" t="b">
        <f t="shared" si="97"/>
        <v>1</v>
      </c>
      <c r="G290" t="str">
        <f>TBIWet!H362</f>
        <v>G660</v>
      </c>
      <c r="H290" t="str">
        <f>TBIWet!I362</f>
        <v>R44</v>
      </c>
      <c r="I290" t="b">
        <f t="shared" si="98"/>
        <v>0</v>
      </c>
      <c r="J290" t="b">
        <f t="shared" si="99"/>
        <v>0</v>
      </c>
      <c r="L290" t="str">
        <f>'Both teabags AfterWet'!A289</f>
        <v>G738</v>
      </c>
      <c r="M290" t="str">
        <f>'Both teabags AfterWet'!A707</f>
        <v>R506</v>
      </c>
      <c r="N290" t="b">
        <f t="shared" si="100"/>
        <v>0</v>
      </c>
      <c r="O290" t="b">
        <f t="shared" si="101"/>
        <v>0</v>
      </c>
      <c r="P290" t="str">
        <f>IFERROR('Both teabags AfterWet'!B289,"")</f>
        <v>N.A</v>
      </c>
      <c r="Q290">
        <f>'Both teabags AfterWet'!B707</f>
        <v>127</v>
      </c>
      <c r="S290" s="401" t="b">
        <f t="shared" si="102"/>
        <v>0</v>
      </c>
      <c r="T290" s="401" t="b">
        <f t="shared" si="103"/>
        <v>0</v>
      </c>
      <c r="V290" t="str">
        <f>'Both teabags AfterDry'!A289</f>
        <v>G7</v>
      </c>
      <c r="W290" t="str">
        <f>'Both teabags AfterDry'!A626</f>
        <v>R784</v>
      </c>
      <c r="X290" t="b">
        <f t="shared" si="104"/>
        <v>0</v>
      </c>
      <c r="Y290" t="b">
        <f t="shared" si="105"/>
        <v>0</v>
      </c>
      <c r="AA290" t="str">
        <f>'Green_rooibos initial weight'!A291</f>
        <v>G287</v>
      </c>
      <c r="AB290" t="str">
        <f>'Green_rooibos initial weight'!A1195</f>
        <v>R287</v>
      </c>
      <c r="AC290" t="b">
        <f t="shared" si="106"/>
        <v>0</v>
      </c>
      <c r="AD290" t="b">
        <f t="shared" si="107"/>
        <v>0</v>
      </c>
      <c r="AG290" t="str">
        <f>'WetLitterbags placem_collection'!O69</f>
        <v>G660</v>
      </c>
      <c r="AH290" t="str">
        <f>'WetLitterbags placem_collection'!Q69</f>
        <v>R44</v>
      </c>
      <c r="AI290" t="b">
        <f t="shared" si="108"/>
        <v>0</v>
      </c>
      <c r="AJ290" t="b">
        <f t="shared" si="109"/>
        <v>0</v>
      </c>
      <c r="AK290">
        <f>'WetLitterbags placem_collection'!A69</f>
        <v>67</v>
      </c>
      <c r="AL290">
        <f>'WetLitterbags placem_collection'!A69</f>
        <v>67</v>
      </c>
      <c r="AN290" t="str">
        <f>IF('Dry_Litterbag Placem_Collection'!L69=0,"",'Dry_Litterbag Placem_Collection'!L69)</f>
        <v/>
      </c>
      <c r="AO290" t="str">
        <f>IF('Dry_Litterbag Placem_Collection'!M69=0,"",'Dry_Litterbag Placem_Collection'!M69)</f>
        <v/>
      </c>
      <c r="AP290" t="b">
        <f t="shared" si="110"/>
        <v>1</v>
      </c>
      <c r="AQ290" t="b">
        <f t="shared" si="111"/>
        <v>1</v>
      </c>
      <c r="AT290" t="str">
        <f>'Ashed teabags dry'!A288</f>
        <v>G7</v>
      </c>
      <c r="AU290" t="str">
        <f>'Ashed teabags dry'!A625</f>
        <v>R783</v>
      </c>
      <c r="AV290" t="b">
        <f t="shared" si="112"/>
        <v>0</v>
      </c>
      <c r="AW290" t="b">
        <f t="shared" si="113"/>
        <v>0</v>
      </c>
      <c r="AZ290" s="401" t="b">
        <f t="shared" si="114"/>
        <v>0</v>
      </c>
      <c r="BA290" s="401" t="b">
        <f t="shared" si="115"/>
        <v>0</v>
      </c>
      <c r="BC290" t="str">
        <f>'Ashed teabags wet'!A288</f>
        <v>G740</v>
      </c>
      <c r="BD290" t="str">
        <f>'Ashed teabags wet'!A705</f>
        <v>R528</v>
      </c>
      <c r="BE290" t="b">
        <f t="shared" si="116"/>
        <v>0</v>
      </c>
      <c r="BF290" t="b">
        <f t="shared" si="117"/>
        <v>0</v>
      </c>
      <c r="BG290">
        <f>IFERROR('Ashed teabags wet'!C288,"")</f>
        <v>125</v>
      </c>
      <c r="BH290">
        <f>IFERROR('Ashed teabags wet'!C705,"")</f>
        <v>71</v>
      </c>
      <c r="BI290" t="str">
        <f>'Ashed teabags wet'!AB288</f>
        <v/>
      </c>
      <c r="BJ290">
        <f>'Ashed teabags wet'!AC288</f>
        <v>124</v>
      </c>
      <c r="BK290" t="str">
        <f>'Ashed teabags wet'!AD705</f>
        <v/>
      </c>
      <c r="BL290">
        <f>'Ashed teabags wet'!AE705</f>
        <v>70</v>
      </c>
      <c r="BN290" t="str">
        <f t="shared" si="118"/>
        <v>G739</v>
      </c>
      <c r="BO290" t="b">
        <f t="shared" si="119"/>
        <v>1</v>
      </c>
    </row>
    <row r="291" spans="2:67" ht="12" customHeight="1">
      <c r="B291" t="str">
        <f>TBIDry!H363</f>
        <v>G467</v>
      </c>
      <c r="C291" t="str">
        <f>TBIDry!I363</f>
        <v>R201</v>
      </c>
      <c r="D291" t="b">
        <f t="shared" si="96"/>
        <v>0</v>
      </c>
      <c r="E291" t="b">
        <f t="shared" si="97"/>
        <v>0</v>
      </c>
      <c r="G291" t="str">
        <f>TBIWet!H363</f>
        <v>G477</v>
      </c>
      <c r="H291" t="str">
        <f>TBIWet!I363</f>
        <v>R9</v>
      </c>
      <c r="I291" t="b">
        <f t="shared" si="98"/>
        <v>0</v>
      </c>
      <c r="J291" t="b">
        <f t="shared" si="99"/>
        <v>0</v>
      </c>
      <c r="L291" t="str">
        <f>'Both teabags AfterWet'!A290</f>
        <v>G739</v>
      </c>
      <c r="M291" t="str">
        <f>'Both teabags AfterWet'!A708</f>
        <v>R507</v>
      </c>
      <c r="N291" t="b">
        <f t="shared" si="100"/>
        <v>0</v>
      </c>
      <c r="O291" t="b">
        <f t="shared" si="101"/>
        <v>0</v>
      </c>
      <c r="P291" t="str">
        <f>IFERROR('Both teabags AfterWet'!B290,"")</f>
        <v>n.a</v>
      </c>
      <c r="Q291" t="str">
        <f>'Both teabags AfterWet'!B708</f>
        <v>n.a</v>
      </c>
      <c r="S291" s="401" t="b">
        <f t="shared" si="102"/>
        <v>0</v>
      </c>
      <c r="T291" s="401" t="b">
        <f t="shared" si="103"/>
        <v>0</v>
      </c>
      <c r="V291" t="str">
        <f>'Both teabags AfterDry'!A290</f>
        <v>G705</v>
      </c>
      <c r="W291" t="str">
        <f>'Both teabags AfterDry'!A627</f>
        <v>R785</v>
      </c>
      <c r="X291" t="b">
        <f t="shared" si="104"/>
        <v>0</v>
      </c>
      <c r="Y291" t="b">
        <f t="shared" si="105"/>
        <v>0</v>
      </c>
      <c r="AA291" t="str">
        <f>'Green_rooibos initial weight'!A292</f>
        <v>G288</v>
      </c>
      <c r="AB291" t="str">
        <f>'Green_rooibos initial weight'!A1196</f>
        <v>R288</v>
      </c>
      <c r="AC291" t="b">
        <f t="shared" si="106"/>
        <v>0</v>
      </c>
      <c r="AD291" t="b">
        <f t="shared" si="107"/>
        <v>0</v>
      </c>
      <c r="AG291" t="str">
        <f>'WetLitterbags placem_collection'!O70</f>
        <v>G477</v>
      </c>
      <c r="AH291" t="str">
        <f>'WetLitterbags placem_collection'!Q70</f>
        <v>R9</v>
      </c>
      <c r="AI291" t="b">
        <f t="shared" si="108"/>
        <v>0</v>
      </c>
      <c r="AJ291" t="b">
        <f t="shared" si="109"/>
        <v>0</v>
      </c>
      <c r="AK291">
        <f>'WetLitterbags placem_collection'!A70</f>
        <v>68</v>
      </c>
      <c r="AL291">
        <f>'WetLitterbags placem_collection'!A70</f>
        <v>68</v>
      </c>
      <c r="AN291">
        <f>IF('Dry_Litterbag Placem_Collection'!L70=0,"",'Dry_Litterbag Placem_Collection'!L70)</f>
        <v>467</v>
      </c>
      <c r="AO291">
        <f>IF('Dry_Litterbag Placem_Collection'!M70=0,"",'Dry_Litterbag Placem_Collection'!M70)</f>
        <v>201</v>
      </c>
      <c r="AP291" t="b">
        <f t="shared" si="110"/>
        <v>0</v>
      </c>
      <c r="AQ291" t="b">
        <f t="shared" si="111"/>
        <v>0</v>
      </c>
      <c r="AT291" t="str">
        <f>'Ashed teabags dry'!A289</f>
        <v>G705</v>
      </c>
      <c r="AU291" t="str">
        <f>'Ashed teabags dry'!A626</f>
        <v>R784</v>
      </c>
      <c r="AV291" t="b">
        <f t="shared" si="112"/>
        <v>0</v>
      </c>
      <c r="AW291" t="b">
        <f t="shared" si="113"/>
        <v>0</v>
      </c>
      <c r="AZ291" s="401" t="b">
        <f t="shared" si="114"/>
        <v>0</v>
      </c>
      <c r="BA291" s="401" t="b">
        <f t="shared" si="115"/>
        <v>0</v>
      </c>
      <c r="BC291" t="str">
        <f>'Ashed teabags wet'!A289</f>
        <v>G741</v>
      </c>
      <c r="BD291" t="str">
        <f>'Ashed teabags wet'!A706</f>
        <v>R529</v>
      </c>
      <c r="BE291" t="b">
        <f t="shared" si="116"/>
        <v>0</v>
      </c>
      <c r="BF291" t="b">
        <f t="shared" si="117"/>
        <v>0</v>
      </c>
      <c r="BG291">
        <f>IFERROR('Ashed teabags wet'!C289,"")</f>
        <v>97</v>
      </c>
      <c r="BH291">
        <f>IFERROR('Ashed teabags wet'!C706,"")</f>
        <v>21</v>
      </c>
      <c r="BI291">
        <f>'Ashed teabags wet'!AB289</f>
        <v>96</v>
      </c>
      <c r="BJ291" t="str">
        <f>'Ashed teabags wet'!AC289</f>
        <v/>
      </c>
      <c r="BK291">
        <f>'Ashed teabags wet'!AD706</f>
        <v>20</v>
      </c>
      <c r="BL291" t="str">
        <f>'Ashed teabags wet'!AE706</f>
        <v/>
      </c>
      <c r="BN291" t="str">
        <f t="shared" si="118"/>
        <v>G740</v>
      </c>
      <c r="BO291" t="b">
        <f t="shared" si="119"/>
        <v>1</v>
      </c>
    </row>
    <row r="292" spans="2:67" ht="12" customHeight="1">
      <c r="B292" t="str">
        <f>TBIDry!H364</f>
        <v>G766</v>
      </c>
      <c r="C292" t="str">
        <f>TBIDry!I364</f>
        <v>R174</v>
      </c>
      <c r="D292" t="b">
        <f t="shared" si="96"/>
        <v>0</v>
      </c>
      <c r="E292" t="b">
        <f t="shared" si="97"/>
        <v>0</v>
      </c>
      <c r="G292" t="str">
        <f>TBIWet!H364</f>
        <v>G386</v>
      </c>
      <c r="H292" t="str">
        <f>TBIWet!I364</f>
        <v>R251</v>
      </c>
      <c r="I292" t="b">
        <f t="shared" si="98"/>
        <v>0</v>
      </c>
      <c r="J292" t="b">
        <f t="shared" si="99"/>
        <v>0</v>
      </c>
      <c r="L292" t="str">
        <f>'Both teabags AfterWet'!A291</f>
        <v>G740</v>
      </c>
      <c r="M292" t="str">
        <f>'Both teabags AfterWet'!A709</f>
        <v>R508</v>
      </c>
      <c r="N292" t="b">
        <f t="shared" si="100"/>
        <v>0</v>
      </c>
      <c r="O292" t="b">
        <f t="shared" si="101"/>
        <v>0</v>
      </c>
      <c r="P292">
        <f>IFERROR('Both teabags AfterWet'!B291,"")</f>
        <v>125</v>
      </c>
      <c r="Q292" t="str">
        <f>'Both teabags AfterWet'!B709</f>
        <v>n.a</v>
      </c>
      <c r="S292" s="401" t="b">
        <f t="shared" si="102"/>
        <v>0</v>
      </c>
      <c r="T292" s="401" t="b">
        <f t="shared" si="103"/>
        <v>0</v>
      </c>
      <c r="V292" t="str">
        <f>'Both teabags AfterDry'!A291</f>
        <v>G714</v>
      </c>
      <c r="W292" t="str">
        <f>'Both teabags AfterDry'!A628</f>
        <v>R786</v>
      </c>
      <c r="X292" t="b">
        <f t="shared" si="104"/>
        <v>0</v>
      </c>
      <c r="Y292" t="b">
        <f t="shared" si="105"/>
        <v>0</v>
      </c>
      <c r="AA292" t="str">
        <f>'Green_rooibos initial weight'!A293</f>
        <v>G289</v>
      </c>
      <c r="AB292" t="str">
        <f>'Green_rooibos initial weight'!A1197</f>
        <v>R289</v>
      </c>
      <c r="AC292" t="b">
        <f t="shared" si="106"/>
        <v>0</v>
      </c>
      <c r="AD292" t="b">
        <f t="shared" si="107"/>
        <v>0</v>
      </c>
      <c r="AG292" t="str">
        <f>'WetLitterbags placem_collection'!O71</f>
        <v>G386</v>
      </c>
      <c r="AH292" t="str">
        <f>'WetLitterbags placem_collection'!Q71</f>
        <v>R251</v>
      </c>
      <c r="AI292" t="b">
        <f t="shared" si="108"/>
        <v>0</v>
      </c>
      <c r="AJ292" t="b">
        <f t="shared" si="109"/>
        <v>0</v>
      </c>
      <c r="AK292">
        <f>'WetLitterbags placem_collection'!A71</f>
        <v>69</v>
      </c>
      <c r="AL292">
        <f>'WetLitterbags placem_collection'!A71</f>
        <v>69</v>
      </c>
      <c r="AN292">
        <f>IF('Dry_Litterbag Placem_Collection'!L71=0,"",'Dry_Litterbag Placem_Collection'!L71)</f>
        <v>766</v>
      </c>
      <c r="AO292">
        <f>IF('Dry_Litterbag Placem_Collection'!M71=0,"",'Dry_Litterbag Placem_Collection'!M71)</f>
        <v>174</v>
      </c>
      <c r="AP292" t="b">
        <f t="shared" si="110"/>
        <v>0</v>
      </c>
      <c r="AQ292" t="b">
        <f t="shared" si="111"/>
        <v>0</v>
      </c>
      <c r="AT292" t="str">
        <f>'Ashed teabags dry'!A290</f>
        <v>G714</v>
      </c>
      <c r="AU292" t="str">
        <f>'Ashed teabags dry'!A627</f>
        <v>R785</v>
      </c>
      <c r="AV292" t="b">
        <f t="shared" si="112"/>
        <v>0</v>
      </c>
      <c r="AW292" t="b">
        <f t="shared" si="113"/>
        <v>0</v>
      </c>
      <c r="AZ292" s="401" t="b">
        <f t="shared" si="114"/>
        <v>0</v>
      </c>
      <c r="BA292" s="401" t="b">
        <f t="shared" si="115"/>
        <v>0</v>
      </c>
      <c r="BC292" t="str">
        <f>'Ashed teabags wet'!A290</f>
        <v>G742</v>
      </c>
      <c r="BD292" t="str">
        <f>'Ashed teabags wet'!A707</f>
        <v>R530</v>
      </c>
      <c r="BE292" t="b">
        <f t="shared" si="116"/>
        <v>0</v>
      </c>
      <c r="BF292" t="b">
        <f t="shared" si="117"/>
        <v>0</v>
      </c>
      <c r="BG292">
        <f>IFERROR('Ashed teabags wet'!C290,"")</f>
        <v>110</v>
      </c>
      <c r="BH292">
        <f>IFERROR('Ashed teabags wet'!C707,"")</f>
        <v>112</v>
      </c>
      <c r="BI292">
        <f>'Ashed teabags wet'!AB290</f>
        <v>109</v>
      </c>
      <c r="BJ292" t="str">
        <f>'Ashed teabags wet'!AC290</f>
        <v/>
      </c>
      <c r="BK292" t="str">
        <f>'Ashed teabags wet'!AD707</f>
        <v/>
      </c>
      <c r="BL292">
        <f>'Ashed teabags wet'!AE707</f>
        <v>111</v>
      </c>
      <c r="BN292" t="str">
        <f t="shared" si="118"/>
        <v>G741</v>
      </c>
      <c r="BO292" t="b">
        <f t="shared" si="119"/>
        <v>1</v>
      </c>
    </row>
    <row r="293" spans="2:67" ht="12" customHeight="1">
      <c r="B293" t="str">
        <f>TBIDry!H365</f>
        <v>G430</v>
      </c>
      <c r="C293" t="str">
        <f>TBIDry!I365</f>
        <v>R261</v>
      </c>
      <c r="D293" t="b">
        <f t="shared" si="96"/>
        <v>0</v>
      </c>
      <c r="E293" t="b">
        <f t="shared" si="97"/>
        <v>0</v>
      </c>
      <c r="G293" t="str">
        <f>TBIWet!H365</f>
        <v>G414</v>
      </c>
      <c r="H293" t="str">
        <f>TBIWet!I365</f>
        <v>R266</v>
      </c>
      <c r="I293" t="b">
        <f t="shared" si="98"/>
        <v>0</v>
      </c>
      <c r="J293" t="b">
        <f t="shared" si="99"/>
        <v>0</v>
      </c>
      <c r="L293" t="str">
        <f>'Both teabags AfterWet'!A292</f>
        <v>G741</v>
      </c>
      <c r="M293" t="str">
        <f>'Both teabags AfterWet'!A710</f>
        <v>R509</v>
      </c>
      <c r="N293" t="b">
        <f t="shared" si="100"/>
        <v>0</v>
      </c>
      <c r="O293" t="b">
        <f t="shared" si="101"/>
        <v>0</v>
      </c>
      <c r="P293" t="str">
        <f>IFERROR('Both teabags AfterWet'!B292,"")</f>
        <v>n.a</v>
      </c>
      <c r="Q293">
        <f>'Both teabags AfterWet'!B710</f>
        <v>108</v>
      </c>
      <c r="S293" s="401" t="b">
        <f t="shared" si="102"/>
        <v>0</v>
      </c>
      <c r="T293" s="401" t="b">
        <f t="shared" si="103"/>
        <v>0</v>
      </c>
      <c r="V293" t="str">
        <f>'Both teabags AfterDry'!A292</f>
        <v>G717</v>
      </c>
      <c r="W293" t="str">
        <f>'Both teabags AfterDry'!A629</f>
        <v>R787</v>
      </c>
      <c r="X293" t="b">
        <f t="shared" si="104"/>
        <v>0</v>
      </c>
      <c r="Y293" t="b">
        <f t="shared" si="105"/>
        <v>0</v>
      </c>
      <c r="AA293" t="str">
        <f>'Green_rooibos initial weight'!A294</f>
        <v>G290</v>
      </c>
      <c r="AB293" t="str">
        <f>'Green_rooibos initial weight'!A1198</f>
        <v>R290</v>
      </c>
      <c r="AC293" t="b">
        <f t="shared" si="106"/>
        <v>0</v>
      </c>
      <c r="AD293" t="b">
        <f t="shared" si="107"/>
        <v>0</v>
      </c>
      <c r="AG293" t="str">
        <f>'WetLitterbags placem_collection'!O72</f>
        <v>G414</v>
      </c>
      <c r="AH293" t="str">
        <f>'WetLitterbags placem_collection'!Q72</f>
        <v>R266</v>
      </c>
      <c r="AI293" t="b">
        <f t="shared" si="108"/>
        <v>0</v>
      </c>
      <c r="AJ293" t="b">
        <f t="shared" si="109"/>
        <v>0</v>
      </c>
      <c r="AK293">
        <f>'WetLitterbags placem_collection'!A72</f>
        <v>70</v>
      </c>
      <c r="AL293">
        <f>'WetLitterbags placem_collection'!A72</f>
        <v>70</v>
      </c>
      <c r="AN293">
        <f>IF('Dry_Litterbag Placem_Collection'!L72=0,"",'Dry_Litterbag Placem_Collection'!L72)</f>
        <v>430</v>
      </c>
      <c r="AO293">
        <f>IF('Dry_Litterbag Placem_Collection'!M72=0,"",'Dry_Litterbag Placem_Collection'!M72)</f>
        <v>261</v>
      </c>
      <c r="AP293" t="b">
        <f t="shared" si="110"/>
        <v>0</v>
      </c>
      <c r="AQ293" t="b">
        <f t="shared" si="111"/>
        <v>0</v>
      </c>
      <c r="AT293" t="str">
        <f>'Ashed teabags dry'!A291</f>
        <v>G717</v>
      </c>
      <c r="AU293" t="str">
        <f>'Ashed teabags dry'!A628</f>
        <v>R786</v>
      </c>
      <c r="AV293" t="b">
        <f t="shared" si="112"/>
        <v>0</v>
      </c>
      <c r="AW293" t="b">
        <f t="shared" si="113"/>
        <v>0</v>
      </c>
      <c r="AZ293" s="401" t="b">
        <f t="shared" si="114"/>
        <v>0</v>
      </c>
      <c r="BA293" s="401" t="b">
        <f t="shared" si="115"/>
        <v>0</v>
      </c>
      <c r="BC293" t="str">
        <f>'Ashed teabags wet'!A291</f>
        <v>G743</v>
      </c>
      <c r="BD293" t="str">
        <f>'Ashed teabags wet'!A708</f>
        <v>R531</v>
      </c>
      <c r="BE293" t="b">
        <f t="shared" si="116"/>
        <v>0</v>
      </c>
      <c r="BF293" t="b">
        <f t="shared" si="117"/>
        <v>0</v>
      </c>
      <c r="BG293">
        <f>IFERROR('Ashed teabags wet'!C291,"")</f>
        <v>163</v>
      </c>
      <c r="BH293">
        <f>IFERROR('Ashed teabags wet'!C708,"")</f>
        <v>7</v>
      </c>
      <c r="BI293" t="str">
        <f>'Ashed teabags wet'!AB291</f>
        <v/>
      </c>
      <c r="BJ293">
        <f>'Ashed teabags wet'!AC291</f>
        <v>162</v>
      </c>
      <c r="BK293">
        <f>'Ashed teabags wet'!AD708</f>
        <v>6</v>
      </c>
      <c r="BL293" t="str">
        <f>'Ashed teabags wet'!AE708</f>
        <v/>
      </c>
      <c r="BN293" t="str">
        <f t="shared" si="118"/>
        <v>G742</v>
      </c>
      <c r="BO293" t="b">
        <f t="shared" si="119"/>
        <v>1</v>
      </c>
    </row>
    <row r="294" spans="2:67" ht="12" customHeight="1">
      <c r="B294" t="str">
        <f>TBIDry!H366</f>
        <v>G174</v>
      </c>
      <c r="C294" t="str">
        <f>TBIDry!I366</f>
        <v>R203</v>
      </c>
      <c r="D294" t="b">
        <f t="shared" si="96"/>
        <v>0</v>
      </c>
      <c r="E294" t="b">
        <f t="shared" si="97"/>
        <v>0</v>
      </c>
      <c r="G294" t="str">
        <f>TBIWet!H366</f>
        <v>G459</v>
      </c>
      <c r="H294" t="str">
        <f>TBIWet!I366</f>
        <v>R528</v>
      </c>
      <c r="I294" t="b">
        <f t="shared" si="98"/>
        <v>0</v>
      </c>
      <c r="J294" t="b">
        <f t="shared" si="99"/>
        <v>0</v>
      </c>
      <c r="L294" t="str">
        <f>'Both teabags AfterWet'!A293</f>
        <v>G742</v>
      </c>
      <c r="M294" t="str">
        <f>'Both teabags AfterWet'!A711</f>
        <v>R51</v>
      </c>
      <c r="N294" t="b">
        <f t="shared" si="100"/>
        <v>0</v>
      </c>
      <c r="O294" t="b">
        <f t="shared" si="101"/>
        <v>0</v>
      </c>
      <c r="P294" t="str">
        <f>IFERROR('Both teabags AfterWet'!B293,"")</f>
        <v>n.a</v>
      </c>
      <c r="Q294" t="str">
        <f>'Both teabags AfterWet'!B711</f>
        <v>n.a</v>
      </c>
      <c r="S294" s="401" t="b">
        <f t="shared" si="102"/>
        <v>0</v>
      </c>
      <c r="T294" s="401" t="b">
        <f t="shared" si="103"/>
        <v>0</v>
      </c>
      <c r="V294" t="str">
        <f>'Both teabags AfterDry'!A293</f>
        <v>G719</v>
      </c>
      <c r="W294" t="str">
        <f>'Both teabags AfterDry'!A630</f>
        <v>R788</v>
      </c>
      <c r="X294" t="b">
        <f t="shared" si="104"/>
        <v>0</v>
      </c>
      <c r="Y294" t="b">
        <f t="shared" si="105"/>
        <v>0</v>
      </c>
      <c r="AA294" t="str">
        <f>'Green_rooibos initial weight'!A295</f>
        <v>G291</v>
      </c>
      <c r="AB294" t="str">
        <f>'Green_rooibos initial weight'!A1199</f>
        <v>R291</v>
      </c>
      <c r="AC294" t="b">
        <f t="shared" si="106"/>
        <v>0</v>
      </c>
      <c r="AD294" t="b">
        <f t="shared" si="107"/>
        <v>0</v>
      </c>
      <c r="AG294" t="str">
        <f>'WetLitterbags placem_collection'!O73</f>
        <v>G459</v>
      </c>
      <c r="AH294" t="str">
        <f>'WetLitterbags placem_collection'!Q73</f>
        <v>R528</v>
      </c>
      <c r="AI294" t="b">
        <f t="shared" si="108"/>
        <v>0</v>
      </c>
      <c r="AJ294" t="b">
        <f t="shared" si="109"/>
        <v>0</v>
      </c>
      <c r="AK294">
        <f>'WetLitterbags placem_collection'!A73</f>
        <v>71</v>
      </c>
      <c r="AL294">
        <f>'WetLitterbags placem_collection'!A73</f>
        <v>71</v>
      </c>
      <c r="AN294">
        <f>IF('Dry_Litterbag Placem_Collection'!L73=0,"",'Dry_Litterbag Placem_Collection'!L73)</f>
        <v>174</v>
      </c>
      <c r="AO294">
        <f>IF('Dry_Litterbag Placem_Collection'!M73=0,"",'Dry_Litterbag Placem_Collection'!M73)</f>
        <v>203</v>
      </c>
      <c r="AP294" t="b">
        <f t="shared" si="110"/>
        <v>0</v>
      </c>
      <c r="AQ294" t="b">
        <f t="shared" si="111"/>
        <v>0</v>
      </c>
      <c r="AT294" t="str">
        <f>'Ashed teabags dry'!A292</f>
        <v>G719</v>
      </c>
      <c r="AU294" t="str">
        <f>'Ashed teabags dry'!A629</f>
        <v>R787</v>
      </c>
      <c r="AV294" t="b">
        <f t="shared" si="112"/>
        <v>0</v>
      </c>
      <c r="AW294" t="b">
        <f t="shared" si="113"/>
        <v>0</v>
      </c>
      <c r="AZ294" s="401" t="b">
        <f t="shared" si="114"/>
        <v>0</v>
      </c>
      <c r="BA294" s="401" t="b">
        <f t="shared" si="115"/>
        <v>0</v>
      </c>
      <c r="BC294" t="str">
        <f>'Ashed teabags wet'!A292</f>
        <v>G744</v>
      </c>
      <c r="BD294" t="str">
        <f>'Ashed teabags wet'!A709</f>
        <v>R532</v>
      </c>
      <c r="BE294" t="b">
        <f t="shared" si="116"/>
        <v>0</v>
      </c>
      <c r="BF294" t="b">
        <f t="shared" si="117"/>
        <v>0</v>
      </c>
      <c r="BG294">
        <f>IFERROR('Ashed teabags wet'!C292,"")</f>
        <v>152</v>
      </c>
      <c r="BH294">
        <f>IFERROR('Ashed teabags wet'!C709,"")</f>
        <v>121</v>
      </c>
      <c r="BI294" t="str">
        <f>'Ashed teabags wet'!AB292</f>
        <v/>
      </c>
      <c r="BJ294">
        <f>'Ashed teabags wet'!AC292</f>
        <v>151</v>
      </c>
      <c r="BK294">
        <f>'Ashed teabags wet'!AD709</f>
        <v>120</v>
      </c>
      <c r="BL294" t="str">
        <f>'Ashed teabags wet'!AE709</f>
        <v/>
      </c>
      <c r="BN294" t="str">
        <f t="shared" si="118"/>
        <v>G743</v>
      </c>
      <c r="BO294" t="b">
        <f t="shared" si="119"/>
        <v>1</v>
      </c>
    </row>
    <row r="295" spans="2:67" ht="12" customHeight="1">
      <c r="B295" t="str">
        <f>TBIDry!H367</f>
        <v>G714</v>
      </c>
      <c r="C295" t="str">
        <f>TBIDry!I367</f>
        <v>R191</v>
      </c>
      <c r="D295" t="b">
        <f t="shared" si="96"/>
        <v>0</v>
      </c>
      <c r="E295" t="b">
        <f t="shared" si="97"/>
        <v>0</v>
      </c>
      <c r="G295" t="str">
        <f>TBIWet!H367</f>
        <v>G627</v>
      </c>
      <c r="H295" t="str">
        <f>TBIWet!I367</f>
        <v>R14</v>
      </c>
      <c r="I295" t="b">
        <f t="shared" si="98"/>
        <v>0</v>
      </c>
      <c r="J295" t="b">
        <f t="shared" si="99"/>
        <v>0</v>
      </c>
      <c r="L295" t="str">
        <f>'Both teabags AfterWet'!A294</f>
        <v>G743</v>
      </c>
      <c r="M295" t="str">
        <f>'Both teabags AfterWet'!A712</f>
        <v>R510</v>
      </c>
      <c r="N295" t="b">
        <f t="shared" si="100"/>
        <v>0</v>
      </c>
      <c r="O295" t="b">
        <f t="shared" si="101"/>
        <v>0</v>
      </c>
      <c r="P295">
        <f>IFERROR('Both teabags AfterWet'!B294,"")</f>
        <v>163</v>
      </c>
      <c r="Q295">
        <f>'Both teabags AfterWet'!B712</f>
        <v>107</v>
      </c>
      <c r="S295" s="401" t="b">
        <f t="shared" si="102"/>
        <v>0</v>
      </c>
      <c r="T295" s="401" t="b">
        <f t="shared" si="103"/>
        <v>0</v>
      </c>
      <c r="V295" t="str">
        <f>'Both teabags AfterDry'!A294</f>
        <v>G72</v>
      </c>
      <c r="W295" t="str">
        <f>'Both teabags AfterDry'!A631</f>
        <v>R789</v>
      </c>
      <c r="X295" t="b">
        <f t="shared" si="104"/>
        <v>0</v>
      </c>
      <c r="Y295" t="b">
        <f t="shared" si="105"/>
        <v>0</v>
      </c>
      <c r="AA295" t="str">
        <f>'Green_rooibos initial weight'!A296</f>
        <v>G292</v>
      </c>
      <c r="AB295" t="str">
        <f>'Green_rooibos initial weight'!A1200</f>
        <v>R292</v>
      </c>
      <c r="AC295" t="b">
        <f t="shared" si="106"/>
        <v>0</v>
      </c>
      <c r="AD295" t="b">
        <f t="shared" si="107"/>
        <v>0</v>
      </c>
      <c r="AG295" t="str">
        <f>'WetLitterbags placem_collection'!O74</f>
        <v>G627</v>
      </c>
      <c r="AH295" t="str">
        <f>'WetLitterbags placem_collection'!Q74</f>
        <v>R14</v>
      </c>
      <c r="AI295" t="b">
        <f t="shared" si="108"/>
        <v>0</v>
      </c>
      <c r="AJ295" t="b">
        <f t="shared" si="109"/>
        <v>0</v>
      </c>
      <c r="AK295">
        <f>'WetLitterbags placem_collection'!A74</f>
        <v>72</v>
      </c>
      <c r="AL295">
        <f>'WetLitterbags placem_collection'!A74</f>
        <v>72</v>
      </c>
      <c r="AN295">
        <f>IF('Dry_Litterbag Placem_Collection'!L74=0,"",'Dry_Litterbag Placem_Collection'!L74)</f>
        <v>714</v>
      </c>
      <c r="AO295">
        <f>IF('Dry_Litterbag Placem_Collection'!M74=0,"",'Dry_Litterbag Placem_Collection'!M74)</f>
        <v>191</v>
      </c>
      <c r="AP295" t="b">
        <f t="shared" si="110"/>
        <v>0</v>
      </c>
      <c r="AQ295" t="b">
        <f t="shared" si="111"/>
        <v>0</v>
      </c>
      <c r="AT295" t="str">
        <f>'Ashed teabags dry'!A293</f>
        <v>G72</v>
      </c>
      <c r="AU295" t="str">
        <f>'Ashed teabags dry'!A630</f>
        <v>R788</v>
      </c>
      <c r="AV295" t="b">
        <f t="shared" si="112"/>
        <v>0</v>
      </c>
      <c r="AW295" t="b">
        <f t="shared" si="113"/>
        <v>0</v>
      </c>
      <c r="AZ295" s="401" t="b">
        <f t="shared" si="114"/>
        <v>0</v>
      </c>
      <c r="BA295" s="401" t="b">
        <f t="shared" si="115"/>
        <v>0</v>
      </c>
      <c r="BC295" t="str">
        <f>'Ashed teabags wet'!A293</f>
        <v>G745</v>
      </c>
      <c r="BD295" t="str">
        <f>'Ashed teabags wet'!A710</f>
        <v>R533</v>
      </c>
      <c r="BE295" t="b">
        <f t="shared" si="116"/>
        <v>0</v>
      </c>
      <c r="BF295" t="b">
        <f t="shared" si="117"/>
        <v>0</v>
      </c>
      <c r="BG295">
        <f>IFERROR('Ashed teabags wet'!C293,"")</f>
        <v>135</v>
      </c>
      <c r="BH295">
        <f>IFERROR('Ashed teabags wet'!C710,"")</f>
        <v>149</v>
      </c>
      <c r="BI295">
        <f>'Ashed teabags wet'!AB293</f>
        <v>134</v>
      </c>
      <c r="BJ295" t="str">
        <f>'Ashed teabags wet'!AC293</f>
        <v/>
      </c>
      <c r="BK295" t="str">
        <f>'Ashed teabags wet'!AD710</f>
        <v/>
      </c>
      <c r="BL295">
        <f>'Ashed teabags wet'!AE710</f>
        <v>148</v>
      </c>
      <c r="BN295" t="str">
        <f t="shared" si="118"/>
        <v>G744</v>
      </c>
      <c r="BO295" t="b">
        <f t="shared" si="119"/>
        <v>1</v>
      </c>
    </row>
    <row r="296" spans="2:67" ht="12" customHeight="1">
      <c r="B296" t="str">
        <f>TBIDry!H368</f>
        <v>G726</v>
      </c>
      <c r="C296" t="str">
        <f>TBIDry!I368</f>
        <v>R160</v>
      </c>
      <c r="D296" t="b">
        <f t="shared" si="96"/>
        <v>0</v>
      </c>
      <c r="E296" t="b">
        <f t="shared" si="97"/>
        <v>0</v>
      </c>
      <c r="G296" t="str">
        <f>TBIWet!H368</f>
        <v>G498</v>
      </c>
      <c r="H296" t="str">
        <f>TBIWet!I368</f>
        <v>R393</v>
      </c>
      <c r="I296" t="b">
        <f t="shared" si="98"/>
        <v>0</v>
      </c>
      <c r="J296" t="b">
        <f t="shared" si="99"/>
        <v>0</v>
      </c>
      <c r="L296" t="str">
        <f>'Both teabags AfterWet'!A295</f>
        <v>G744</v>
      </c>
      <c r="M296" t="str">
        <f>'Both teabags AfterWet'!A713</f>
        <v>R511</v>
      </c>
      <c r="N296" t="b">
        <f t="shared" si="100"/>
        <v>0</v>
      </c>
      <c r="O296" t="b">
        <f t="shared" si="101"/>
        <v>0</v>
      </c>
      <c r="P296" t="str">
        <f>IFERROR('Both teabags AfterWet'!B295,"")</f>
        <v>n.a</v>
      </c>
      <c r="Q296">
        <f>'Both teabags AfterWet'!B713</f>
        <v>117</v>
      </c>
      <c r="S296" s="401" t="b">
        <f t="shared" si="102"/>
        <v>0</v>
      </c>
      <c r="T296" s="401" t="b">
        <f t="shared" si="103"/>
        <v>0</v>
      </c>
      <c r="V296" t="str">
        <f>'Both teabags AfterDry'!A295</f>
        <v>G722</v>
      </c>
      <c r="W296" t="str">
        <f>'Both teabags AfterDry'!A632</f>
        <v>R790</v>
      </c>
      <c r="X296" t="b">
        <f t="shared" si="104"/>
        <v>0</v>
      </c>
      <c r="Y296" t="b">
        <f t="shared" si="105"/>
        <v>0</v>
      </c>
      <c r="AA296" t="str">
        <f>'Green_rooibos initial weight'!A297</f>
        <v>G293</v>
      </c>
      <c r="AB296" t="str">
        <f>'Green_rooibos initial weight'!A1201</f>
        <v>R293</v>
      </c>
      <c r="AC296" t="b">
        <f t="shared" si="106"/>
        <v>0</v>
      </c>
      <c r="AD296" t="b">
        <f t="shared" si="107"/>
        <v>0</v>
      </c>
      <c r="AG296" t="str">
        <f>'WetLitterbags placem_collection'!O75</f>
        <v>G498</v>
      </c>
      <c r="AH296" t="str">
        <f>'WetLitterbags placem_collection'!Q75</f>
        <v>R393</v>
      </c>
      <c r="AI296" t="b">
        <f t="shared" si="108"/>
        <v>0</v>
      </c>
      <c r="AJ296" t="b">
        <f t="shared" si="109"/>
        <v>0</v>
      </c>
      <c r="AK296">
        <f>'WetLitterbags placem_collection'!A75</f>
        <v>73</v>
      </c>
      <c r="AL296">
        <f>'WetLitterbags placem_collection'!A75</f>
        <v>73</v>
      </c>
      <c r="AN296">
        <f>IF('Dry_Litterbag Placem_Collection'!L75=0,"",'Dry_Litterbag Placem_Collection'!L75)</f>
        <v>726</v>
      </c>
      <c r="AO296">
        <f>IF('Dry_Litterbag Placem_Collection'!M75=0,"",'Dry_Litterbag Placem_Collection'!M75)</f>
        <v>160</v>
      </c>
      <c r="AP296" t="b">
        <f t="shared" si="110"/>
        <v>0</v>
      </c>
      <c r="AQ296" t="b">
        <f t="shared" si="111"/>
        <v>0</v>
      </c>
      <c r="AT296" t="str">
        <f>'Ashed teabags dry'!A294</f>
        <v>G722</v>
      </c>
      <c r="AU296" t="str">
        <f>'Ashed teabags dry'!A631</f>
        <v>R789</v>
      </c>
      <c r="AV296" t="b">
        <f t="shared" si="112"/>
        <v>0</v>
      </c>
      <c r="AW296" t="b">
        <f t="shared" si="113"/>
        <v>0</v>
      </c>
      <c r="AZ296" s="401" t="b">
        <f t="shared" si="114"/>
        <v>0</v>
      </c>
      <c r="BA296" s="401" t="b">
        <f t="shared" si="115"/>
        <v>0</v>
      </c>
      <c r="BC296" t="str">
        <f>'Ashed teabags wet'!A294</f>
        <v>G746</v>
      </c>
      <c r="BD296" t="str">
        <f>'Ashed teabags wet'!A711</f>
        <v>R534</v>
      </c>
      <c r="BE296" t="b">
        <f t="shared" si="116"/>
        <v>0</v>
      </c>
      <c r="BF296" t="b">
        <f t="shared" si="117"/>
        <v>0</v>
      </c>
      <c r="BG296">
        <f>IFERROR('Ashed teabags wet'!C294,"")</f>
        <v>131</v>
      </c>
      <c r="BH296">
        <f>IFERROR('Ashed teabags wet'!C711,"")</f>
        <v>168</v>
      </c>
      <c r="BI296">
        <f>'Ashed teabags wet'!AB294</f>
        <v>130</v>
      </c>
      <c r="BJ296" t="str">
        <f>'Ashed teabags wet'!AC294</f>
        <v/>
      </c>
      <c r="BK296">
        <f>'Ashed teabags wet'!AD711</f>
        <v>167</v>
      </c>
      <c r="BL296" t="str">
        <f>'Ashed teabags wet'!AE711</f>
        <v/>
      </c>
      <c r="BN296" t="str">
        <f t="shared" si="118"/>
        <v>G745</v>
      </c>
      <c r="BO296" t="b">
        <f t="shared" si="119"/>
        <v>1</v>
      </c>
    </row>
    <row r="297" spans="2:67" ht="12" customHeight="1">
      <c r="B297" t="str">
        <f>TBIDry!H369</f>
        <v>G866</v>
      </c>
      <c r="C297" t="str">
        <f>TBIDry!I369</f>
        <v>R275</v>
      </c>
      <c r="D297" t="b">
        <f t="shared" si="96"/>
        <v>0</v>
      </c>
      <c r="E297" t="b">
        <f t="shared" si="97"/>
        <v>0</v>
      </c>
      <c r="G297" t="str">
        <f>TBIWet!H369</f>
        <v>G579</v>
      </c>
      <c r="H297" t="str">
        <f>TBIWet!I369</f>
        <v>R138</v>
      </c>
      <c r="I297" t="b">
        <f t="shared" si="98"/>
        <v>0</v>
      </c>
      <c r="J297" t="b">
        <f t="shared" si="99"/>
        <v>0</v>
      </c>
      <c r="L297" t="str">
        <f>'Both teabags AfterWet'!A296</f>
        <v>G745</v>
      </c>
      <c r="M297" t="str">
        <f>'Both teabags AfterWet'!A714</f>
        <v>R512</v>
      </c>
      <c r="N297" t="b">
        <f t="shared" si="100"/>
        <v>0</v>
      </c>
      <c r="O297" t="b">
        <f t="shared" si="101"/>
        <v>0</v>
      </c>
      <c r="P297">
        <f>IFERROR('Both teabags AfterWet'!B296,"")</f>
        <v>135</v>
      </c>
      <c r="Q297" t="str">
        <f>'Both teabags AfterWet'!B714</f>
        <v>n.a</v>
      </c>
      <c r="S297" s="401" t="b">
        <f t="shared" si="102"/>
        <v>0</v>
      </c>
      <c r="T297" s="401" t="b">
        <f t="shared" si="103"/>
        <v>0</v>
      </c>
      <c r="V297" t="str">
        <f>'Both teabags AfterDry'!A296</f>
        <v>G735</v>
      </c>
      <c r="W297" t="str">
        <f>'Both teabags AfterDry'!A633</f>
        <v>R791</v>
      </c>
      <c r="X297" t="b">
        <f t="shared" si="104"/>
        <v>0</v>
      </c>
      <c r="Y297" t="b">
        <f t="shared" si="105"/>
        <v>0</v>
      </c>
      <c r="AA297" t="str">
        <f>'Green_rooibos initial weight'!A298</f>
        <v>G294</v>
      </c>
      <c r="AB297" t="str">
        <f>'Green_rooibos initial weight'!A1202</f>
        <v>R294</v>
      </c>
      <c r="AC297" t="b">
        <f t="shared" si="106"/>
        <v>0</v>
      </c>
      <c r="AD297" t="b">
        <f t="shared" si="107"/>
        <v>0</v>
      </c>
      <c r="AG297" t="str">
        <f>'WetLitterbags placem_collection'!O76</f>
        <v>G579</v>
      </c>
      <c r="AH297" t="str">
        <f>'WetLitterbags placem_collection'!Q76</f>
        <v>R138</v>
      </c>
      <c r="AI297" t="b">
        <f t="shared" si="108"/>
        <v>0</v>
      </c>
      <c r="AJ297" t="b">
        <f t="shared" si="109"/>
        <v>0</v>
      </c>
      <c r="AK297">
        <f>'WetLitterbags placem_collection'!A76</f>
        <v>74</v>
      </c>
      <c r="AL297">
        <f>'WetLitterbags placem_collection'!A76</f>
        <v>74</v>
      </c>
      <c r="AN297">
        <f>IF('Dry_Litterbag Placem_Collection'!L76=0,"",'Dry_Litterbag Placem_Collection'!L76)</f>
        <v>866</v>
      </c>
      <c r="AO297">
        <f>IF('Dry_Litterbag Placem_Collection'!M76=0,"",'Dry_Litterbag Placem_Collection'!M76)</f>
        <v>275</v>
      </c>
      <c r="AP297" t="b">
        <f t="shared" si="110"/>
        <v>0</v>
      </c>
      <c r="AQ297" t="b">
        <f t="shared" si="111"/>
        <v>0</v>
      </c>
      <c r="AT297" t="str">
        <f>'Ashed teabags dry'!A295</f>
        <v>G735</v>
      </c>
      <c r="AU297" t="str">
        <f>'Ashed teabags dry'!A632</f>
        <v>R790</v>
      </c>
      <c r="AV297" t="b">
        <f t="shared" si="112"/>
        <v>0</v>
      </c>
      <c r="AW297" t="b">
        <f t="shared" si="113"/>
        <v>0</v>
      </c>
      <c r="AZ297" s="401" t="b">
        <f t="shared" si="114"/>
        <v>0</v>
      </c>
      <c r="BA297" s="401" t="b">
        <f t="shared" si="115"/>
        <v>0</v>
      </c>
      <c r="BC297" t="str">
        <f>'Ashed teabags wet'!A295</f>
        <v>G747</v>
      </c>
      <c r="BD297" t="str">
        <f>'Ashed teabags wet'!A712</f>
        <v>R535</v>
      </c>
      <c r="BE297" t="b">
        <f t="shared" si="116"/>
        <v>0</v>
      </c>
      <c r="BF297" t="b">
        <f t="shared" si="117"/>
        <v>1</v>
      </c>
      <c r="BG297">
        <f>IFERROR('Ashed teabags wet'!C295,"")</f>
        <v>136</v>
      </c>
      <c r="BH297">
        <f>IFERROR('Ashed teabags wet'!C712,"")</f>
        <v>140</v>
      </c>
      <c r="BI297" t="str">
        <f>'Ashed teabags wet'!AB295</f>
        <v/>
      </c>
      <c r="BJ297">
        <f>'Ashed teabags wet'!AC295</f>
        <v>135</v>
      </c>
      <c r="BK297">
        <f>'Ashed teabags wet'!AD712</f>
        <v>139</v>
      </c>
      <c r="BL297" t="str">
        <f>'Ashed teabags wet'!AE712</f>
        <v/>
      </c>
      <c r="BN297" t="str">
        <f t="shared" si="118"/>
        <v>G746</v>
      </c>
      <c r="BO297" t="b">
        <f t="shared" si="119"/>
        <v>1</v>
      </c>
    </row>
    <row r="298" spans="2:67" ht="12" customHeight="1">
      <c r="B298" t="str">
        <f>TBIDry!H370</f>
        <v>G705</v>
      </c>
      <c r="C298" t="str">
        <f>TBIDry!I370</f>
        <v>R657</v>
      </c>
      <c r="D298" t="b">
        <f t="shared" si="96"/>
        <v>0</v>
      </c>
      <c r="E298" t="b">
        <f t="shared" si="97"/>
        <v>0</v>
      </c>
      <c r="G298" t="str">
        <f>TBIWet!H370</f>
        <v>G373</v>
      </c>
      <c r="H298" t="str">
        <f>TBIWet!I370</f>
        <v>R311</v>
      </c>
      <c r="I298" t="b">
        <f t="shared" si="98"/>
        <v>0</v>
      </c>
      <c r="J298" t="b">
        <f t="shared" si="99"/>
        <v>0</v>
      </c>
      <c r="L298" t="str">
        <f>'Both teabags AfterWet'!A297</f>
        <v>G746</v>
      </c>
      <c r="M298" t="str">
        <f>'Both teabags AfterWet'!A715</f>
        <v>R513</v>
      </c>
      <c r="N298" t="b">
        <f t="shared" si="100"/>
        <v>0</v>
      </c>
      <c r="O298" t="b">
        <f t="shared" si="101"/>
        <v>0</v>
      </c>
      <c r="P298">
        <f>IFERROR('Both teabags AfterWet'!B297,"")</f>
        <v>131</v>
      </c>
      <c r="Q298">
        <f>'Both teabags AfterWet'!B715</f>
        <v>52</v>
      </c>
      <c r="S298" s="401" t="b">
        <f t="shared" si="102"/>
        <v>0</v>
      </c>
      <c r="T298" s="401" t="b">
        <f t="shared" si="103"/>
        <v>0</v>
      </c>
      <c r="V298" t="str">
        <f>'Both teabags AfterDry'!A297</f>
        <v>G750</v>
      </c>
      <c r="W298" t="str">
        <f>'Both teabags AfterDry'!A634</f>
        <v>R792</v>
      </c>
      <c r="X298" t="b">
        <f t="shared" si="104"/>
        <v>0</v>
      </c>
      <c r="Y298" t="b">
        <f t="shared" si="105"/>
        <v>0</v>
      </c>
      <c r="AA298" t="str">
        <f>'Green_rooibos initial weight'!A299</f>
        <v>G295</v>
      </c>
      <c r="AB298" t="str">
        <f>'Green_rooibos initial weight'!A1203</f>
        <v>R295</v>
      </c>
      <c r="AC298" t="b">
        <f t="shared" si="106"/>
        <v>0</v>
      </c>
      <c r="AD298" t="b">
        <f t="shared" si="107"/>
        <v>0</v>
      </c>
      <c r="AG298" t="str">
        <f>'WetLitterbags placem_collection'!O77</f>
        <v>G373</v>
      </c>
      <c r="AH298" t="str">
        <f>'WetLitterbags placem_collection'!Q77</f>
        <v>R311</v>
      </c>
      <c r="AI298" t="b">
        <f t="shared" si="108"/>
        <v>0</v>
      </c>
      <c r="AJ298" t="b">
        <f t="shared" si="109"/>
        <v>0</v>
      </c>
      <c r="AK298">
        <f>'WetLitterbags placem_collection'!A77</f>
        <v>75</v>
      </c>
      <c r="AL298">
        <f>'WetLitterbags placem_collection'!A77</f>
        <v>75</v>
      </c>
      <c r="AN298">
        <f>IF('Dry_Litterbag Placem_Collection'!L77=0,"",'Dry_Litterbag Placem_Collection'!L77)</f>
        <v>705</v>
      </c>
      <c r="AO298">
        <f>IF('Dry_Litterbag Placem_Collection'!M77=0,"",'Dry_Litterbag Placem_Collection'!M77)</f>
        <v>657</v>
      </c>
      <c r="AP298" t="b">
        <f t="shared" si="110"/>
        <v>0</v>
      </c>
      <c r="AQ298" t="b">
        <f t="shared" si="111"/>
        <v>0</v>
      </c>
      <c r="AT298" t="str">
        <f>'Ashed teabags dry'!A296</f>
        <v>G750</v>
      </c>
      <c r="AU298" t="str">
        <f>'Ashed teabags dry'!A633</f>
        <v>R791</v>
      </c>
      <c r="AV298" t="b">
        <f t="shared" si="112"/>
        <v>0</v>
      </c>
      <c r="AW298" t="b">
        <f t="shared" si="113"/>
        <v>0</v>
      </c>
      <c r="AZ298" s="401" t="b">
        <f t="shared" si="114"/>
        <v>0</v>
      </c>
      <c r="BA298" s="401" t="b">
        <f t="shared" si="115"/>
        <v>0</v>
      </c>
      <c r="BC298" t="str">
        <f>'Ashed teabags wet'!A296</f>
        <v>G749</v>
      </c>
      <c r="BD298" t="str">
        <f>'Ashed teabags wet'!A713</f>
        <v>R535</v>
      </c>
      <c r="BE298" t="b">
        <f t="shared" si="116"/>
        <v>0</v>
      </c>
      <c r="BF298" t="b">
        <f t="shared" si="117"/>
        <v>1</v>
      </c>
      <c r="BG298">
        <f>IFERROR('Ashed teabags wet'!C296,"")</f>
        <v>126</v>
      </c>
      <c r="BH298">
        <f>IFERROR('Ashed teabags wet'!C713,"")</f>
        <v>172</v>
      </c>
      <c r="BI298">
        <f>'Ashed teabags wet'!AB296</f>
        <v>125</v>
      </c>
      <c r="BJ298" t="str">
        <f>'Ashed teabags wet'!AC296</f>
        <v/>
      </c>
      <c r="BK298">
        <f>'Ashed teabags wet'!AD713</f>
        <v>139</v>
      </c>
      <c r="BL298" t="str">
        <f>'Ashed teabags wet'!AE713</f>
        <v/>
      </c>
      <c r="BN298" t="str">
        <f t="shared" si="118"/>
        <v>G747</v>
      </c>
      <c r="BO298" t="b">
        <f t="shared" si="119"/>
        <v>1</v>
      </c>
    </row>
    <row r="299" spans="2:67" ht="12" customHeight="1">
      <c r="B299" t="str">
        <f>TBIDry!H371</f>
        <v>G601</v>
      </c>
      <c r="C299" t="str">
        <f>TBIDry!I371</f>
        <v>R306</v>
      </c>
      <c r="D299" t="b">
        <f t="shared" si="96"/>
        <v>0</v>
      </c>
      <c r="E299" t="b">
        <f t="shared" si="97"/>
        <v>0</v>
      </c>
      <c r="G299" t="str">
        <f>TBIWet!H371</f>
        <v>G603</v>
      </c>
      <c r="H299" t="str">
        <f>TBIWet!I371</f>
        <v>R183</v>
      </c>
      <c r="I299" t="b">
        <f t="shared" si="98"/>
        <v>0</v>
      </c>
      <c r="J299" t="b">
        <f t="shared" si="99"/>
        <v>0</v>
      </c>
      <c r="L299" t="str">
        <f>'Both teabags AfterWet'!A298</f>
        <v>G747</v>
      </c>
      <c r="M299" t="str">
        <f>'Both teabags AfterWet'!A716</f>
        <v>R515</v>
      </c>
      <c r="N299" t="b">
        <f t="shared" si="100"/>
        <v>0</v>
      </c>
      <c r="O299" t="b">
        <f t="shared" si="101"/>
        <v>0</v>
      </c>
      <c r="P299">
        <f>IFERROR('Both teabags AfterWet'!B298,"")</f>
        <v>136</v>
      </c>
      <c r="Q299" t="str">
        <f>'Both teabags AfterWet'!B716</f>
        <v>n.a</v>
      </c>
      <c r="S299" s="401" t="b">
        <f t="shared" si="102"/>
        <v>0</v>
      </c>
      <c r="T299" s="401" t="b">
        <f t="shared" si="103"/>
        <v>0</v>
      </c>
      <c r="V299" t="str">
        <f>'Both teabags AfterDry'!A298</f>
        <v>G757</v>
      </c>
      <c r="W299" t="str">
        <f>'Both teabags AfterDry'!A635</f>
        <v>R793</v>
      </c>
      <c r="X299" t="b">
        <f t="shared" si="104"/>
        <v>0</v>
      </c>
      <c r="Y299" t="b">
        <f t="shared" si="105"/>
        <v>0</v>
      </c>
      <c r="AA299" t="str">
        <f>'Green_rooibos initial weight'!A300</f>
        <v>G296</v>
      </c>
      <c r="AB299" t="str">
        <f>'Green_rooibos initial weight'!A1204</f>
        <v>R296</v>
      </c>
      <c r="AC299" t="b">
        <f t="shared" si="106"/>
        <v>0</v>
      </c>
      <c r="AD299" t="b">
        <f t="shared" si="107"/>
        <v>0</v>
      </c>
      <c r="AG299" t="str">
        <f>'WetLitterbags placem_collection'!O78</f>
        <v>G603</v>
      </c>
      <c r="AH299" t="str">
        <f>'WetLitterbags placem_collection'!Q78</f>
        <v>R183</v>
      </c>
      <c r="AI299" t="b">
        <f t="shared" si="108"/>
        <v>0</v>
      </c>
      <c r="AJ299" t="b">
        <f t="shared" si="109"/>
        <v>0</v>
      </c>
      <c r="AK299">
        <f>'WetLitterbags placem_collection'!A78</f>
        <v>76</v>
      </c>
      <c r="AL299">
        <f>'WetLitterbags placem_collection'!A78</f>
        <v>76</v>
      </c>
      <c r="AN299">
        <f>IF('Dry_Litterbag Placem_Collection'!L78=0,"",'Dry_Litterbag Placem_Collection'!L78)</f>
        <v>601</v>
      </c>
      <c r="AO299">
        <f>IF('Dry_Litterbag Placem_Collection'!M78=0,"",'Dry_Litterbag Placem_Collection'!M78)</f>
        <v>306</v>
      </c>
      <c r="AP299" t="b">
        <f t="shared" si="110"/>
        <v>0</v>
      </c>
      <c r="AQ299" t="b">
        <f t="shared" si="111"/>
        <v>0</v>
      </c>
      <c r="AT299" t="str">
        <f>'Ashed teabags dry'!A297</f>
        <v>G757</v>
      </c>
      <c r="AU299" t="str">
        <f>'Ashed teabags dry'!A634</f>
        <v>R792</v>
      </c>
      <c r="AV299" t="b">
        <f t="shared" si="112"/>
        <v>0</v>
      </c>
      <c r="AW299" t="b">
        <f t="shared" si="113"/>
        <v>0</v>
      </c>
      <c r="AZ299" s="401" t="b">
        <f t="shared" si="114"/>
        <v>0</v>
      </c>
      <c r="BA299" s="401" t="b">
        <f t="shared" si="115"/>
        <v>0</v>
      </c>
      <c r="BC299" t="str">
        <f>'Ashed teabags wet'!A297</f>
        <v>G752</v>
      </c>
      <c r="BD299" t="str">
        <f>'Ashed teabags wet'!A714</f>
        <v>R536</v>
      </c>
      <c r="BE299" t="b">
        <f t="shared" si="116"/>
        <v>0</v>
      </c>
      <c r="BF299" t="b">
        <f t="shared" si="117"/>
        <v>0</v>
      </c>
      <c r="BG299">
        <f>IFERROR('Ashed teabags wet'!C297,"")</f>
        <v>1</v>
      </c>
      <c r="BH299">
        <f>IFERROR('Ashed teabags wet'!C714,"")</f>
        <v>132</v>
      </c>
      <c r="BI299" t="str">
        <f>'Ashed teabags wet'!AB297</f>
        <v/>
      </c>
      <c r="BJ299" t="str">
        <f>'Ashed teabags wet'!AC297</f>
        <v/>
      </c>
      <c r="BK299">
        <f>'Ashed teabags wet'!AD714</f>
        <v>131</v>
      </c>
      <c r="BL299" t="str">
        <f>'Ashed teabags wet'!AE714</f>
        <v/>
      </c>
      <c r="BN299" t="str">
        <f t="shared" si="118"/>
        <v>G749</v>
      </c>
      <c r="BO299" t="b">
        <f t="shared" si="119"/>
        <v>1</v>
      </c>
    </row>
    <row r="300" spans="2:67" ht="12" customHeight="1">
      <c r="B300" t="str">
        <f>TBIDry!H372</f>
        <v/>
      </c>
      <c r="C300" t="str">
        <f>TBIDry!I372</f>
        <v/>
      </c>
      <c r="D300" t="b">
        <f t="shared" si="96"/>
        <v>1</v>
      </c>
      <c r="E300" t="b">
        <f t="shared" si="97"/>
        <v>1</v>
      </c>
      <c r="G300" t="str">
        <f>TBIWet!H372</f>
        <v>G509</v>
      </c>
      <c r="H300" t="str">
        <f>TBIWet!I372</f>
        <v>R228</v>
      </c>
      <c r="I300" t="b">
        <f t="shared" si="98"/>
        <v>0</v>
      </c>
      <c r="J300" t="b">
        <f t="shared" si="99"/>
        <v>0</v>
      </c>
      <c r="L300" t="str">
        <f>'Both teabags AfterWet'!A299</f>
        <v>G749</v>
      </c>
      <c r="M300" s="113" t="str">
        <f>'Both teabags AfterWet'!A717</f>
        <v>R516</v>
      </c>
      <c r="N300" t="b">
        <f t="shared" si="100"/>
        <v>0</v>
      </c>
      <c r="O300" t="b">
        <f t="shared" si="101"/>
        <v>0</v>
      </c>
      <c r="P300">
        <f>IFERROR('Both teabags AfterWet'!B299,"")</f>
        <v>126</v>
      </c>
      <c r="Q300" t="str">
        <f>'Both teabags AfterWet'!B717</f>
        <v>na</v>
      </c>
      <c r="S300" s="401" t="b">
        <f t="shared" si="102"/>
        <v>0</v>
      </c>
      <c r="T300" s="113" t="b">
        <f t="shared" si="103"/>
        <v>1</v>
      </c>
      <c r="V300" t="str">
        <f>'Both teabags AfterDry'!A299</f>
        <v>G759</v>
      </c>
      <c r="W300" t="str">
        <f>'Both teabags AfterDry'!A636</f>
        <v>R794</v>
      </c>
      <c r="X300" t="b">
        <f t="shared" si="104"/>
        <v>0</v>
      </c>
      <c r="Y300" t="b">
        <f t="shared" si="105"/>
        <v>0</v>
      </c>
      <c r="AA300" t="str">
        <f>'Green_rooibos initial weight'!A301</f>
        <v>G297</v>
      </c>
      <c r="AB300" t="str">
        <f>'Green_rooibos initial weight'!A1205</f>
        <v>R297</v>
      </c>
      <c r="AC300" t="b">
        <f t="shared" si="106"/>
        <v>0</v>
      </c>
      <c r="AD300" t="b">
        <f t="shared" si="107"/>
        <v>0</v>
      </c>
      <c r="AG300" t="str">
        <f>'WetLitterbags placem_collection'!O79</f>
        <v>G509</v>
      </c>
      <c r="AH300" t="str">
        <f>'WetLitterbags placem_collection'!Q79</f>
        <v>R228</v>
      </c>
      <c r="AI300" t="b">
        <f t="shared" si="108"/>
        <v>0</v>
      </c>
      <c r="AJ300" t="b">
        <f t="shared" si="109"/>
        <v>0</v>
      </c>
      <c r="AK300">
        <f>'WetLitterbags placem_collection'!A79</f>
        <v>77</v>
      </c>
      <c r="AL300">
        <f>'WetLitterbags placem_collection'!A79</f>
        <v>77</v>
      </c>
      <c r="AN300" t="str">
        <f>IF('Dry_Litterbag Placem_Collection'!L79=0,"",'Dry_Litterbag Placem_Collection'!L79)</f>
        <v/>
      </c>
      <c r="AO300" t="str">
        <f>IF('Dry_Litterbag Placem_Collection'!M79=0,"",'Dry_Litterbag Placem_Collection'!M79)</f>
        <v/>
      </c>
      <c r="AP300" t="b">
        <f t="shared" si="110"/>
        <v>1</v>
      </c>
      <c r="AQ300" t="b">
        <f t="shared" si="111"/>
        <v>1</v>
      </c>
      <c r="AT300" t="str">
        <f>'Ashed teabags dry'!A298</f>
        <v>G759</v>
      </c>
      <c r="AU300" t="str">
        <f>'Ashed teabags dry'!A635</f>
        <v>R793</v>
      </c>
      <c r="AV300" t="b">
        <f t="shared" si="112"/>
        <v>0</v>
      </c>
      <c r="AW300" t="b">
        <f t="shared" si="113"/>
        <v>0</v>
      </c>
      <c r="AZ300" s="401" t="b">
        <f t="shared" si="114"/>
        <v>0</v>
      </c>
      <c r="BA300" s="401" t="b">
        <f t="shared" si="115"/>
        <v>0</v>
      </c>
      <c r="BC300" t="str">
        <f>'Ashed teabags wet'!A298</f>
        <v>G753</v>
      </c>
      <c r="BD300" t="str">
        <f>'Ashed teabags wet'!A715</f>
        <v>R537</v>
      </c>
      <c r="BE300" t="b">
        <f t="shared" si="116"/>
        <v>0</v>
      </c>
      <c r="BF300" t="b">
        <f t="shared" si="117"/>
        <v>0</v>
      </c>
      <c r="BG300">
        <f>IFERROR('Ashed teabags wet'!C298,"")</f>
        <v>203</v>
      </c>
      <c r="BH300">
        <f>IFERROR('Ashed teabags wet'!C715,"")</f>
        <v>182</v>
      </c>
      <c r="BI300" t="str">
        <f>'Ashed teabags wet'!AB298</f>
        <v/>
      </c>
      <c r="BJ300">
        <f>'Ashed teabags wet'!AC298</f>
        <v>202</v>
      </c>
      <c r="BK300" t="str">
        <f>'Ashed teabags wet'!AD715</f>
        <v/>
      </c>
      <c r="BL300">
        <f>'Ashed teabags wet'!AE715</f>
        <v>181</v>
      </c>
      <c r="BN300" t="str">
        <f t="shared" si="118"/>
        <v>G752</v>
      </c>
      <c r="BO300" t="b">
        <f t="shared" si="119"/>
        <v>1</v>
      </c>
    </row>
    <row r="301" spans="2:67" ht="12" customHeight="1">
      <c r="B301" t="str">
        <f>TBIDry!H373</f>
        <v>G157</v>
      </c>
      <c r="C301" t="str">
        <f>TBIDry!I373</f>
        <v>R377</v>
      </c>
      <c r="D301" t="b">
        <f t="shared" si="96"/>
        <v>0</v>
      </c>
      <c r="E301" t="b">
        <f t="shared" si="97"/>
        <v>0</v>
      </c>
      <c r="G301" t="str">
        <f>TBIWet!H373</f>
        <v>G446</v>
      </c>
      <c r="H301" t="str">
        <f>TBIWet!I373</f>
        <v>R100</v>
      </c>
      <c r="I301" t="b">
        <f t="shared" si="98"/>
        <v>0</v>
      </c>
      <c r="J301" t="b">
        <f t="shared" si="99"/>
        <v>0</v>
      </c>
      <c r="L301" t="str">
        <f>'Both teabags AfterWet'!A300</f>
        <v>G752</v>
      </c>
      <c r="M301" t="str">
        <f>'Both teabags AfterWet'!A718</f>
        <v>R517</v>
      </c>
      <c r="N301" t="b">
        <f t="shared" si="100"/>
        <v>0</v>
      </c>
      <c r="O301" t="b">
        <f t="shared" si="101"/>
        <v>0</v>
      </c>
      <c r="P301" t="str">
        <f>IFERROR('Both teabags AfterWet'!B300,"")</f>
        <v>n.a</v>
      </c>
      <c r="Q301">
        <f>'Both teabags AfterWet'!B718</f>
        <v>90</v>
      </c>
      <c r="S301" s="401" t="b">
        <f t="shared" si="102"/>
        <v>0</v>
      </c>
      <c r="T301" s="401" t="b">
        <f t="shared" si="103"/>
        <v>0</v>
      </c>
      <c r="V301" t="str">
        <f>'Both teabags AfterDry'!A300</f>
        <v>G76</v>
      </c>
      <c r="W301" t="str">
        <f>'Both teabags AfterDry'!A637</f>
        <v>R795</v>
      </c>
      <c r="X301" t="b">
        <f t="shared" si="104"/>
        <v>0</v>
      </c>
      <c r="Y301" t="b">
        <f t="shared" si="105"/>
        <v>0</v>
      </c>
      <c r="AA301" t="str">
        <f>'Green_rooibos initial weight'!A302</f>
        <v>G298</v>
      </c>
      <c r="AB301" t="str">
        <f>'Green_rooibos initial weight'!A1206</f>
        <v>R298</v>
      </c>
      <c r="AC301" t="b">
        <f t="shared" si="106"/>
        <v>0</v>
      </c>
      <c r="AD301" t="b">
        <f t="shared" si="107"/>
        <v>0</v>
      </c>
      <c r="AG301" t="str">
        <f>'WetLitterbags placem_collection'!O80</f>
        <v>G446</v>
      </c>
      <c r="AH301" t="str">
        <f>'WetLitterbags placem_collection'!Q80</f>
        <v>R100</v>
      </c>
      <c r="AI301" t="b">
        <f t="shared" si="108"/>
        <v>0</v>
      </c>
      <c r="AJ301" t="b">
        <f t="shared" si="109"/>
        <v>0</v>
      </c>
      <c r="AK301">
        <f>'WetLitterbags placem_collection'!A80</f>
        <v>78</v>
      </c>
      <c r="AL301">
        <f>'WetLitterbags placem_collection'!A80</f>
        <v>78</v>
      </c>
      <c r="AN301">
        <f>IF('Dry_Litterbag Placem_Collection'!L80=0,"",'Dry_Litterbag Placem_Collection'!L80)</f>
        <v>157</v>
      </c>
      <c r="AO301">
        <f>IF('Dry_Litterbag Placem_Collection'!M80=0,"",'Dry_Litterbag Placem_Collection'!M80)</f>
        <v>377</v>
      </c>
      <c r="AP301" t="b">
        <f t="shared" si="110"/>
        <v>0</v>
      </c>
      <c r="AQ301" t="b">
        <f t="shared" si="111"/>
        <v>0</v>
      </c>
      <c r="AT301" t="str">
        <f>'Ashed teabags dry'!A299</f>
        <v>G76</v>
      </c>
      <c r="AU301" t="str">
        <f>'Ashed teabags dry'!A636</f>
        <v>R794</v>
      </c>
      <c r="AV301" t="b">
        <f t="shared" si="112"/>
        <v>0</v>
      </c>
      <c r="AW301" t="b">
        <f t="shared" si="113"/>
        <v>0</v>
      </c>
      <c r="AZ301" s="401" t="b">
        <f t="shared" si="114"/>
        <v>0</v>
      </c>
      <c r="BA301" s="401" t="b">
        <f t="shared" si="115"/>
        <v>0</v>
      </c>
      <c r="BC301" t="str">
        <f>'Ashed teabags wet'!A299</f>
        <v>G754</v>
      </c>
      <c r="BD301" t="str">
        <f>'Ashed teabags wet'!A716</f>
        <v>R538</v>
      </c>
      <c r="BE301" t="b">
        <f t="shared" si="116"/>
        <v>0</v>
      </c>
      <c r="BF301" t="b">
        <f t="shared" si="117"/>
        <v>0</v>
      </c>
      <c r="BG301">
        <f>IFERROR('Ashed teabags wet'!C299,"")</f>
        <v>196</v>
      </c>
      <c r="BH301">
        <f>IFERROR('Ashed teabags wet'!C716,"")</f>
        <v>139</v>
      </c>
      <c r="BI301">
        <f>'Ashed teabags wet'!AB299</f>
        <v>195</v>
      </c>
      <c r="BJ301" t="str">
        <f>'Ashed teabags wet'!AC299</f>
        <v/>
      </c>
      <c r="BK301" t="str">
        <f>'Ashed teabags wet'!AD716</f>
        <v/>
      </c>
      <c r="BL301">
        <f>'Ashed teabags wet'!AE716</f>
        <v>138</v>
      </c>
      <c r="BN301" t="str">
        <f t="shared" si="118"/>
        <v>G753</v>
      </c>
      <c r="BO301" t="b">
        <f t="shared" si="119"/>
        <v>1</v>
      </c>
    </row>
    <row r="302" spans="2:67" ht="12" customHeight="1">
      <c r="B302" t="str">
        <f>TBIDry!H374</f>
        <v>G226</v>
      </c>
      <c r="C302" t="str">
        <f>TBIDry!I374</f>
        <v>R61</v>
      </c>
      <c r="D302" t="b">
        <f t="shared" si="96"/>
        <v>0</v>
      </c>
      <c r="E302" t="b">
        <f t="shared" si="97"/>
        <v>0</v>
      </c>
      <c r="G302" t="str">
        <f>TBIWet!H374</f>
        <v>G249</v>
      </c>
      <c r="H302" t="str">
        <f>TBIWet!I374</f>
        <v>R56</v>
      </c>
      <c r="I302" t="b">
        <f t="shared" si="98"/>
        <v>0</v>
      </c>
      <c r="J302" t="b">
        <f t="shared" si="99"/>
        <v>0</v>
      </c>
      <c r="L302" t="str">
        <f>'Both teabags AfterWet'!A301</f>
        <v>G753</v>
      </c>
      <c r="M302" t="str">
        <f>'Both teabags AfterWet'!A719</f>
        <v>R518</v>
      </c>
      <c r="N302" t="b">
        <f t="shared" si="100"/>
        <v>0</v>
      </c>
      <c r="O302" t="b">
        <f t="shared" si="101"/>
        <v>0</v>
      </c>
      <c r="P302" t="str">
        <f>IFERROR('Both teabags AfterWet'!B301,"")</f>
        <v>n.a</v>
      </c>
      <c r="Q302" t="str">
        <f>'Both teabags AfterWet'!B719</f>
        <v>n.a</v>
      </c>
      <c r="S302" s="401" t="b">
        <f t="shared" si="102"/>
        <v>0</v>
      </c>
      <c r="T302" s="401" t="b">
        <f t="shared" si="103"/>
        <v>0</v>
      </c>
      <c r="V302" t="str">
        <f>'Both teabags AfterDry'!A301</f>
        <v>G766</v>
      </c>
      <c r="W302" t="str">
        <f>'Both teabags AfterDry'!A638</f>
        <v>R796</v>
      </c>
      <c r="X302" t="b">
        <f t="shared" si="104"/>
        <v>0</v>
      </c>
      <c r="Y302" t="b">
        <f t="shared" si="105"/>
        <v>0</v>
      </c>
      <c r="AA302" t="str">
        <f>'Green_rooibos initial weight'!A303</f>
        <v>G299</v>
      </c>
      <c r="AB302" t="str">
        <f>'Green_rooibos initial weight'!A1207</f>
        <v>R299</v>
      </c>
      <c r="AC302" t="b">
        <f t="shared" si="106"/>
        <v>0</v>
      </c>
      <c r="AD302" t="b">
        <f t="shared" si="107"/>
        <v>0</v>
      </c>
      <c r="AG302" t="str">
        <f>'WetLitterbags placem_collection'!O81</f>
        <v>G249</v>
      </c>
      <c r="AH302" t="str">
        <f>'WetLitterbags placem_collection'!Q81</f>
        <v>R56</v>
      </c>
      <c r="AI302" t="b">
        <f t="shared" si="108"/>
        <v>0</v>
      </c>
      <c r="AJ302" t="b">
        <f t="shared" si="109"/>
        <v>0</v>
      </c>
      <c r="AK302">
        <f>'WetLitterbags placem_collection'!A81</f>
        <v>79</v>
      </c>
      <c r="AL302">
        <f>'WetLitterbags placem_collection'!A81</f>
        <v>79</v>
      </c>
      <c r="AN302">
        <f>IF('Dry_Litterbag Placem_Collection'!L81=0,"",'Dry_Litterbag Placem_Collection'!L81)</f>
        <v>226</v>
      </c>
      <c r="AO302">
        <f>IF('Dry_Litterbag Placem_Collection'!M81=0,"",'Dry_Litterbag Placem_Collection'!M81)</f>
        <v>61</v>
      </c>
      <c r="AP302" t="b">
        <f t="shared" si="110"/>
        <v>0</v>
      </c>
      <c r="AQ302" t="b">
        <f t="shared" si="111"/>
        <v>0</v>
      </c>
      <c r="AT302" t="str">
        <f>'Ashed teabags dry'!A300</f>
        <v>G766</v>
      </c>
      <c r="AU302" t="str">
        <f>'Ashed teabags dry'!A637</f>
        <v>R795</v>
      </c>
      <c r="AV302" t="b">
        <f t="shared" si="112"/>
        <v>0</v>
      </c>
      <c r="AW302" t="b">
        <f t="shared" si="113"/>
        <v>0</v>
      </c>
      <c r="AZ302" s="401" t="b">
        <f t="shared" si="114"/>
        <v>0</v>
      </c>
      <c r="BA302" s="401" t="b">
        <f t="shared" si="115"/>
        <v>0</v>
      </c>
      <c r="BC302" t="str">
        <f>'Ashed teabags wet'!A300</f>
        <v>G755</v>
      </c>
      <c r="BD302" t="str">
        <f>'Ashed teabags wet'!A717</f>
        <v>R539</v>
      </c>
      <c r="BE302" t="b">
        <f t="shared" si="116"/>
        <v>0</v>
      </c>
      <c r="BF302" t="b">
        <f t="shared" si="117"/>
        <v>0</v>
      </c>
      <c r="BG302">
        <f>IFERROR('Ashed teabags wet'!C300,"")</f>
        <v>216</v>
      </c>
      <c r="BH302">
        <f>IFERROR('Ashed teabags wet'!C717,"")</f>
        <v>185</v>
      </c>
      <c r="BI302">
        <f>'Ashed teabags wet'!AB300</f>
        <v>215</v>
      </c>
      <c r="BJ302" t="str">
        <f>'Ashed teabags wet'!AC300</f>
        <v/>
      </c>
      <c r="BK302" t="str">
        <f>'Ashed teabags wet'!AD717</f>
        <v/>
      </c>
      <c r="BL302">
        <f>'Ashed teabags wet'!AE717</f>
        <v>184</v>
      </c>
      <c r="BN302" t="str">
        <f t="shared" si="118"/>
        <v>G754</v>
      </c>
      <c r="BO302" t="b">
        <f t="shared" si="119"/>
        <v>1</v>
      </c>
    </row>
    <row r="303" spans="2:67" ht="12" customHeight="1">
      <c r="B303" t="str">
        <f>TBIDry!H375</f>
        <v>G855</v>
      </c>
      <c r="C303" t="str">
        <f>TBIDry!I375</f>
        <v>R620</v>
      </c>
      <c r="D303" t="b">
        <f t="shared" si="96"/>
        <v>0</v>
      </c>
      <c r="E303" t="b">
        <f t="shared" si="97"/>
        <v>0</v>
      </c>
      <c r="G303" t="str">
        <f>TBIWet!H375</f>
        <v>G474</v>
      </c>
      <c r="H303" t="str">
        <f>TBIWet!I375</f>
        <v>R68</v>
      </c>
      <c r="I303" t="b">
        <f t="shared" si="98"/>
        <v>0</v>
      </c>
      <c r="J303" t="b">
        <f t="shared" si="99"/>
        <v>0</v>
      </c>
      <c r="L303" t="str">
        <f>'Both teabags AfterWet'!A302</f>
        <v>G754</v>
      </c>
      <c r="M303" t="str">
        <f>'Both teabags AfterWet'!A720</f>
        <v>R519</v>
      </c>
      <c r="N303" t="b">
        <f t="shared" si="100"/>
        <v>0</v>
      </c>
      <c r="O303" t="b">
        <f t="shared" si="101"/>
        <v>0</v>
      </c>
      <c r="P303" t="str">
        <f>IFERROR('Both teabags AfterWet'!B302,"")</f>
        <v>n.a</v>
      </c>
      <c r="Q303" t="str">
        <f>'Both teabags AfterWet'!B720</f>
        <v>n.a</v>
      </c>
      <c r="S303" s="401" t="b">
        <f t="shared" si="102"/>
        <v>0</v>
      </c>
      <c r="T303" s="401" t="b">
        <f t="shared" si="103"/>
        <v>0</v>
      </c>
      <c r="V303" t="str">
        <f>'Both teabags AfterDry'!A302</f>
        <v>G767</v>
      </c>
      <c r="W303" t="str">
        <f>'Both teabags AfterDry'!A639</f>
        <v>R797</v>
      </c>
      <c r="X303" t="b">
        <f t="shared" si="104"/>
        <v>0</v>
      </c>
      <c r="Y303" t="b">
        <f t="shared" si="105"/>
        <v>0</v>
      </c>
      <c r="AA303" t="str">
        <f>'Green_rooibos initial weight'!A304</f>
        <v>G300</v>
      </c>
      <c r="AB303" t="str">
        <f>'Green_rooibos initial weight'!A1208</f>
        <v>R300</v>
      </c>
      <c r="AC303" t="b">
        <f t="shared" si="106"/>
        <v>0</v>
      </c>
      <c r="AD303" t="b">
        <f t="shared" si="107"/>
        <v>0</v>
      </c>
      <c r="AG303" t="str">
        <f>'WetLitterbags placem_collection'!O82</f>
        <v>G474</v>
      </c>
      <c r="AH303" t="str">
        <f>'WetLitterbags placem_collection'!Q82</f>
        <v>R68</v>
      </c>
      <c r="AI303" t="b">
        <f t="shared" si="108"/>
        <v>0</v>
      </c>
      <c r="AJ303" t="b">
        <f t="shared" si="109"/>
        <v>0</v>
      </c>
      <c r="AK303">
        <f>'WetLitterbags placem_collection'!A82</f>
        <v>80</v>
      </c>
      <c r="AL303">
        <f>'WetLitterbags placem_collection'!A82</f>
        <v>80</v>
      </c>
      <c r="AN303">
        <f>IF('Dry_Litterbag Placem_Collection'!L82=0,"",'Dry_Litterbag Placem_Collection'!L82)</f>
        <v>855</v>
      </c>
      <c r="AO303">
        <f>IF('Dry_Litterbag Placem_Collection'!M82=0,"",'Dry_Litterbag Placem_Collection'!M82)</f>
        <v>620</v>
      </c>
      <c r="AP303" t="b">
        <f t="shared" si="110"/>
        <v>0</v>
      </c>
      <c r="AQ303" t="b">
        <f t="shared" si="111"/>
        <v>0</v>
      </c>
      <c r="AT303" t="str">
        <f>'Ashed teabags dry'!A301</f>
        <v>G767</v>
      </c>
      <c r="AU303" t="str">
        <f>'Ashed teabags dry'!A638</f>
        <v>R796</v>
      </c>
      <c r="AV303" t="b">
        <f t="shared" si="112"/>
        <v>0</v>
      </c>
      <c r="AW303" t="b">
        <f t="shared" si="113"/>
        <v>0</v>
      </c>
      <c r="AZ303" s="401" t="b">
        <f t="shared" si="114"/>
        <v>0</v>
      </c>
      <c r="BA303" s="401" t="b">
        <f t="shared" si="115"/>
        <v>0</v>
      </c>
      <c r="BC303" t="str">
        <f>'Ashed teabags wet'!A301</f>
        <v>G756</v>
      </c>
      <c r="BD303" t="str">
        <f>'Ashed teabags wet'!A718</f>
        <v>R540</v>
      </c>
      <c r="BE303" t="b">
        <f t="shared" si="116"/>
        <v>0</v>
      </c>
      <c r="BF303" t="b">
        <f t="shared" si="117"/>
        <v>0</v>
      </c>
      <c r="BG303">
        <f>IFERROR('Ashed teabags wet'!C301,"")</f>
        <v>134</v>
      </c>
      <c r="BH303">
        <f>IFERROR('Ashed teabags wet'!C718,"")</f>
        <v>105</v>
      </c>
      <c r="BI303">
        <f>'Ashed teabags wet'!AB301</f>
        <v>133</v>
      </c>
      <c r="BJ303" t="str">
        <f>'Ashed teabags wet'!AC301</f>
        <v/>
      </c>
      <c r="BK303" t="str">
        <f>'Ashed teabags wet'!AD718</f>
        <v/>
      </c>
      <c r="BL303">
        <f>'Ashed teabags wet'!AE718</f>
        <v>104</v>
      </c>
      <c r="BN303" t="str">
        <f t="shared" si="118"/>
        <v>G755</v>
      </c>
      <c r="BO303" t="b">
        <f t="shared" si="119"/>
        <v>1</v>
      </c>
    </row>
    <row r="304" spans="2:67" ht="12" customHeight="1">
      <c r="B304" t="str">
        <f>TBIDry!H376</f>
        <v>G413</v>
      </c>
      <c r="C304" t="str">
        <f>TBIDry!I376</f>
        <v>R366</v>
      </c>
      <c r="D304" t="b">
        <f t="shared" si="96"/>
        <v>0</v>
      </c>
      <c r="E304" t="b">
        <f t="shared" si="97"/>
        <v>0</v>
      </c>
      <c r="G304" t="str">
        <f>TBIWet!H376</f>
        <v>G475</v>
      </c>
      <c r="H304" t="str">
        <f>TBIWet!I376</f>
        <v>R293</v>
      </c>
      <c r="I304" t="b">
        <f t="shared" si="98"/>
        <v>0</v>
      </c>
      <c r="J304" t="b">
        <f t="shared" si="99"/>
        <v>0</v>
      </c>
      <c r="L304" t="str">
        <f>'Both teabags AfterWet'!A303</f>
        <v>G755</v>
      </c>
      <c r="M304" t="str">
        <f>'Both teabags AfterWet'!A721</f>
        <v>R520</v>
      </c>
      <c r="N304" t="b">
        <f t="shared" si="100"/>
        <v>0</v>
      </c>
      <c r="O304" t="b">
        <f t="shared" si="101"/>
        <v>0</v>
      </c>
      <c r="P304">
        <f>IFERROR('Both teabags AfterWet'!B303,"")</f>
        <v>216</v>
      </c>
      <c r="Q304">
        <f>'Both teabags AfterWet'!B721</f>
        <v>129</v>
      </c>
      <c r="S304" s="401" t="b">
        <f t="shared" si="102"/>
        <v>0</v>
      </c>
      <c r="T304" s="401" t="b">
        <f t="shared" si="103"/>
        <v>0</v>
      </c>
      <c r="V304" t="str">
        <f>'Both teabags AfterDry'!A303</f>
        <v>G77</v>
      </c>
      <c r="W304" t="str">
        <f>'Both teabags AfterDry'!A640</f>
        <v>R798</v>
      </c>
      <c r="X304" t="b">
        <f t="shared" si="104"/>
        <v>0</v>
      </c>
      <c r="Y304" t="b">
        <f t="shared" si="105"/>
        <v>0</v>
      </c>
      <c r="AA304" t="str">
        <f>'Green_rooibos initial weight'!A305</f>
        <v>G301</v>
      </c>
      <c r="AB304" t="str">
        <f>'Green_rooibos initial weight'!A1209</f>
        <v>R301</v>
      </c>
      <c r="AC304" t="b">
        <f t="shared" si="106"/>
        <v>0</v>
      </c>
      <c r="AD304" t="b">
        <f t="shared" si="107"/>
        <v>0</v>
      </c>
      <c r="AG304" t="str">
        <f>'WetLitterbags placem_collection'!O83</f>
        <v>G475</v>
      </c>
      <c r="AH304" t="str">
        <f>'WetLitterbags placem_collection'!Q83</f>
        <v>R293</v>
      </c>
      <c r="AI304" t="b">
        <f t="shared" si="108"/>
        <v>0</v>
      </c>
      <c r="AJ304" t="b">
        <f t="shared" si="109"/>
        <v>0</v>
      </c>
      <c r="AK304">
        <f>'WetLitterbags placem_collection'!A83</f>
        <v>81</v>
      </c>
      <c r="AL304">
        <f>'WetLitterbags placem_collection'!A83</f>
        <v>81</v>
      </c>
      <c r="AN304">
        <f>IF('Dry_Litterbag Placem_Collection'!L83=0,"",'Dry_Litterbag Placem_Collection'!L83)</f>
        <v>413</v>
      </c>
      <c r="AO304">
        <f>IF('Dry_Litterbag Placem_Collection'!M83=0,"",'Dry_Litterbag Placem_Collection'!M83)</f>
        <v>366</v>
      </c>
      <c r="AP304" t="b">
        <f t="shared" si="110"/>
        <v>0</v>
      </c>
      <c r="AQ304" t="b">
        <f t="shared" si="111"/>
        <v>0</v>
      </c>
      <c r="AT304" t="str">
        <f>'Ashed teabags dry'!A302</f>
        <v>G77</v>
      </c>
      <c r="AU304" t="str">
        <f>'Ashed teabags dry'!A639</f>
        <v>R797</v>
      </c>
      <c r="AV304" t="b">
        <f t="shared" si="112"/>
        <v>0</v>
      </c>
      <c r="AW304" t="b">
        <f t="shared" si="113"/>
        <v>0</v>
      </c>
      <c r="AZ304" s="401" t="b">
        <f t="shared" si="114"/>
        <v>0</v>
      </c>
      <c r="BA304" s="401" t="b">
        <f t="shared" si="115"/>
        <v>0</v>
      </c>
      <c r="BC304" t="str">
        <f>'Ashed teabags wet'!A302</f>
        <v>G758</v>
      </c>
      <c r="BD304" t="str">
        <f>'Ashed teabags wet'!A719</f>
        <v>R541</v>
      </c>
      <c r="BE304" t="b">
        <f t="shared" si="116"/>
        <v>0</v>
      </c>
      <c r="BF304" t="b">
        <f t="shared" si="117"/>
        <v>0</v>
      </c>
      <c r="BG304">
        <f>IFERROR('Ashed teabags wet'!C302,"")</f>
        <v>120</v>
      </c>
      <c r="BH304">
        <f>IFERROR('Ashed teabags wet'!C719,"")</f>
        <v>184</v>
      </c>
      <c r="BI304">
        <f>'Ashed teabags wet'!AB302</f>
        <v>119</v>
      </c>
      <c r="BJ304" t="str">
        <f>'Ashed teabags wet'!AC302</f>
        <v/>
      </c>
      <c r="BK304">
        <f>'Ashed teabags wet'!AD719</f>
        <v>183</v>
      </c>
      <c r="BL304" t="str">
        <f>'Ashed teabags wet'!AE719</f>
        <v/>
      </c>
      <c r="BN304" t="str">
        <f t="shared" si="118"/>
        <v>G756</v>
      </c>
      <c r="BO304" t="b">
        <f t="shared" si="119"/>
        <v>1</v>
      </c>
    </row>
    <row r="305" spans="2:67" ht="12" customHeight="1">
      <c r="B305" t="str">
        <f>TBIDry!H377</f>
        <v>G370</v>
      </c>
      <c r="C305" t="str">
        <f>TBIDry!I377</f>
        <v>R610</v>
      </c>
      <c r="D305" t="b">
        <f t="shared" si="96"/>
        <v>0</v>
      </c>
      <c r="E305" t="b">
        <f t="shared" si="97"/>
        <v>0</v>
      </c>
      <c r="G305" t="str">
        <f>TBIWet!H377</f>
        <v>G840</v>
      </c>
      <c r="H305" t="str">
        <f>TBIWet!I377</f>
        <v>R368</v>
      </c>
      <c r="I305" t="b">
        <f t="shared" si="98"/>
        <v>0</v>
      </c>
      <c r="J305" t="b">
        <f t="shared" si="99"/>
        <v>0</v>
      </c>
      <c r="L305" t="str">
        <f>'Both teabags AfterWet'!A304</f>
        <v>G756</v>
      </c>
      <c r="M305" t="str">
        <f>'Both teabags AfterWet'!A722</f>
        <v>R521</v>
      </c>
      <c r="N305" t="b">
        <f t="shared" si="100"/>
        <v>0</v>
      </c>
      <c r="O305" t="b">
        <f t="shared" si="101"/>
        <v>0</v>
      </c>
      <c r="P305">
        <f>IFERROR('Both teabags AfterWet'!B304,"")</f>
        <v>134</v>
      </c>
      <c r="Q305">
        <f>'Both teabags AfterWet'!B722</f>
        <v>41</v>
      </c>
      <c r="S305" s="401" t="b">
        <f t="shared" si="102"/>
        <v>0</v>
      </c>
      <c r="T305" s="401" t="b">
        <f t="shared" si="103"/>
        <v>0</v>
      </c>
      <c r="V305" t="str">
        <f>'Both teabags AfterDry'!A304</f>
        <v>G771</v>
      </c>
      <c r="W305" t="str">
        <f>'Both teabags AfterDry'!A641</f>
        <v>R799</v>
      </c>
      <c r="X305" t="b">
        <f t="shared" si="104"/>
        <v>0</v>
      </c>
      <c r="Y305" t="b">
        <f t="shared" si="105"/>
        <v>0</v>
      </c>
      <c r="AA305" t="str">
        <f>'Green_rooibos initial weight'!A306</f>
        <v>G302</v>
      </c>
      <c r="AB305" t="str">
        <f>'Green_rooibos initial weight'!A1210</f>
        <v>R302</v>
      </c>
      <c r="AC305" t="b">
        <f t="shared" si="106"/>
        <v>0</v>
      </c>
      <c r="AD305" t="b">
        <f t="shared" si="107"/>
        <v>0</v>
      </c>
      <c r="AG305" t="str">
        <f>'WetLitterbags placem_collection'!O84</f>
        <v>G840</v>
      </c>
      <c r="AH305" t="str">
        <f>'WetLitterbags placem_collection'!Q84</f>
        <v>R368</v>
      </c>
      <c r="AI305" t="b">
        <f t="shared" si="108"/>
        <v>0</v>
      </c>
      <c r="AJ305" t="b">
        <f t="shared" si="109"/>
        <v>0</v>
      </c>
      <c r="AK305">
        <f>'WetLitterbags placem_collection'!A84</f>
        <v>82</v>
      </c>
      <c r="AL305">
        <f>'WetLitterbags placem_collection'!A84</f>
        <v>82</v>
      </c>
      <c r="AN305">
        <f>IF('Dry_Litterbag Placem_Collection'!L84=0,"",'Dry_Litterbag Placem_Collection'!L84)</f>
        <v>370</v>
      </c>
      <c r="AO305">
        <f>IF('Dry_Litterbag Placem_Collection'!M84=0,"",'Dry_Litterbag Placem_Collection'!M84)</f>
        <v>610</v>
      </c>
      <c r="AP305" t="b">
        <f t="shared" si="110"/>
        <v>0</v>
      </c>
      <c r="AQ305" t="b">
        <f t="shared" si="111"/>
        <v>0</v>
      </c>
      <c r="AT305" t="str">
        <f>'Ashed teabags dry'!A303</f>
        <v>G771</v>
      </c>
      <c r="AU305" t="str">
        <f>'Ashed teabags dry'!A640</f>
        <v>R798</v>
      </c>
      <c r="AV305" t="b">
        <f t="shared" si="112"/>
        <v>0</v>
      </c>
      <c r="AW305" t="b">
        <f t="shared" si="113"/>
        <v>0</v>
      </c>
      <c r="AZ305" s="401" t="b">
        <f t="shared" si="114"/>
        <v>0</v>
      </c>
      <c r="BA305" s="401" t="b">
        <f t="shared" si="115"/>
        <v>0</v>
      </c>
      <c r="BC305" t="str">
        <f>'Ashed teabags wet'!A303</f>
        <v>G760</v>
      </c>
      <c r="BD305" t="str">
        <f>'Ashed teabags wet'!A720</f>
        <v>R542</v>
      </c>
      <c r="BE305" t="b">
        <f t="shared" si="116"/>
        <v>0</v>
      </c>
      <c r="BF305" t="b">
        <f t="shared" si="117"/>
        <v>0</v>
      </c>
      <c r="BG305">
        <f>IFERROR('Ashed teabags wet'!C303,"")</f>
        <v>66</v>
      </c>
      <c r="BH305">
        <f>IFERROR('Ashed teabags wet'!C720,"")</f>
        <v>17</v>
      </c>
      <c r="BI305" t="str">
        <f>'Ashed teabags wet'!AB303</f>
        <v/>
      </c>
      <c r="BJ305">
        <f>'Ashed teabags wet'!AC303</f>
        <v>65</v>
      </c>
      <c r="BK305">
        <f>'Ashed teabags wet'!AD720</f>
        <v>16</v>
      </c>
      <c r="BL305" t="str">
        <f>'Ashed teabags wet'!AE720</f>
        <v/>
      </c>
      <c r="BN305" t="str">
        <f t="shared" si="118"/>
        <v>G758</v>
      </c>
      <c r="BO305" t="b">
        <f t="shared" si="119"/>
        <v>1</v>
      </c>
    </row>
    <row r="306" spans="2:67" ht="12" customHeight="1">
      <c r="B306" t="str">
        <f>TBIDry!H378</f>
        <v>G879</v>
      </c>
      <c r="C306" t="str">
        <f>TBIDry!I378</f>
        <v>R614</v>
      </c>
      <c r="D306" t="b">
        <f t="shared" si="96"/>
        <v>0</v>
      </c>
      <c r="E306" t="b">
        <f t="shared" si="97"/>
        <v>0</v>
      </c>
      <c r="G306" t="str">
        <f>TBIWet!H378</f>
        <v>G298</v>
      </c>
      <c r="H306" t="str">
        <f>TBIWet!I378</f>
        <v>R22</v>
      </c>
      <c r="I306" t="b">
        <f t="shared" si="98"/>
        <v>0</v>
      </c>
      <c r="J306" t="b">
        <f t="shared" si="99"/>
        <v>0</v>
      </c>
      <c r="L306" t="str">
        <f>'Both teabags AfterWet'!A305</f>
        <v>G758</v>
      </c>
      <c r="M306" t="str">
        <f>'Both teabags AfterWet'!A723</f>
        <v>R522</v>
      </c>
      <c r="N306" t="b">
        <f t="shared" si="100"/>
        <v>0</v>
      </c>
      <c r="O306" t="b">
        <f t="shared" si="101"/>
        <v>0</v>
      </c>
      <c r="P306">
        <f>IFERROR('Both teabags AfterWet'!B305,"")</f>
        <v>120</v>
      </c>
      <c r="Q306">
        <f>'Both teabags AfterWet'!B723</f>
        <v>115</v>
      </c>
      <c r="S306" s="401" t="b">
        <f t="shared" si="102"/>
        <v>0</v>
      </c>
      <c r="T306" s="401" t="b">
        <f t="shared" si="103"/>
        <v>0</v>
      </c>
      <c r="V306" t="str">
        <f>'Both teabags AfterDry'!A305</f>
        <v>G776</v>
      </c>
      <c r="W306" t="str">
        <f>'Both teabags AfterDry'!A642</f>
        <v>R80</v>
      </c>
      <c r="X306" t="b">
        <f t="shared" si="104"/>
        <v>0</v>
      </c>
      <c r="Y306" t="b">
        <f t="shared" si="105"/>
        <v>0</v>
      </c>
      <c r="AA306" t="str">
        <f>'Green_rooibos initial weight'!A307</f>
        <v>G303</v>
      </c>
      <c r="AB306" t="str">
        <f>'Green_rooibos initial weight'!A1211</f>
        <v>R303</v>
      </c>
      <c r="AC306" t="b">
        <f t="shared" si="106"/>
        <v>0</v>
      </c>
      <c r="AD306" t="b">
        <f t="shared" si="107"/>
        <v>0</v>
      </c>
      <c r="AG306" t="str">
        <f>'WetLitterbags placem_collection'!O85</f>
        <v>G298</v>
      </c>
      <c r="AH306" t="str">
        <f>'WetLitterbags placem_collection'!Q85</f>
        <v>R22</v>
      </c>
      <c r="AI306" t="b">
        <f t="shared" si="108"/>
        <v>0</v>
      </c>
      <c r="AJ306" t="b">
        <f t="shared" si="109"/>
        <v>0</v>
      </c>
      <c r="AK306">
        <f>'WetLitterbags placem_collection'!A85</f>
        <v>83</v>
      </c>
      <c r="AL306">
        <f>'WetLitterbags placem_collection'!A85</f>
        <v>83</v>
      </c>
      <c r="AN306">
        <f>IF('Dry_Litterbag Placem_Collection'!L85=0,"",'Dry_Litterbag Placem_Collection'!L85)</f>
        <v>879</v>
      </c>
      <c r="AO306">
        <f>IF('Dry_Litterbag Placem_Collection'!M85=0,"",'Dry_Litterbag Placem_Collection'!M85)</f>
        <v>614</v>
      </c>
      <c r="AP306" t="b">
        <f t="shared" si="110"/>
        <v>0</v>
      </c>
      <c r="AQ306" t="b">
        <f t="shared" si="111"/>
        <v>0</v>
      </c>
      <c r="AT306" t="str">
        <f>'Ashed teabags dry'!A304</f>
        <v>G776</v>
      </c>
      <c r="AU306" t="str">
        <f>'Ashed teabags dry'!A641</f>
        <v>R799</v>
      </c>
      <c r="AV306" t="b">
        <f t="shared" si="112"/>
        <v>0</v>
      </c>
      <c r="AW306" t="b">
        <f t="shared" si="113"/>
        <v>0</v>
      </c>
      <c r="AZ306" s="401" t="b">
        <f t="shared" si="114"/>
        <v>0</v>
      </c>
      <c r="BA306" s="401" t="b">
        <f t="shared" si="115"/>
        <v>0</v>
      </c>
      <c r="BC306" t="str">
        <f>'Ashed teabags wet'!A304</f>
        <v>G761</v>
      </c>
      <c r="BD306" t="str">
        <f>'Ashed teabags wet'!A721</f>
        <v>R543</v>
      </c>
      <c r="BE306" t="b">
        <f t="shared" si="116"/>
        <v>0</v>
      </c>
      <c r="BF306" t="b">
        <f t="shared" si="117"/>
        <v>0</v>
      </c>
      <c r="BG306">
        <f>IFERROR('Ashed teabags wet'!C304,"")</f>
        <v>214</v>
      </c>
      <c r="BH306">
        <f>IFERROR('Ashed teabags wet'!C721,"")</f>
        <v>136</v>
      </c>
      <c r="BI306">
        <f>'Ashed teabags wet'!AB304</f>
        <v>213</v>
      </c>
      <c r="BJ306" t="str">
        <f>'Ashed teabags wet'!AC304</f>
        <v/>
      </c>
      <c r="BK306" t="str">
        <f>'Ashed teabags wet'!AD721</f>
        <v/>
      </c>
      <c r="BL306">
        <f>'Ashed teabags wet'!AE721</f>
        <v>135</v>
      </c>
      <c r="BN306" t="str">
        <f t="shared" si="118"/>
        <v>G760</v>
      </c>
      <c r="BO306" t="b">
        <f t="shared" si="119"/>
        <v>1</v>
      </c>
    </row>
    <row r="307" spans="2:67" ht="12" customHeight="1">
      <c r="B307" t="str">
        <f>TBIDry!H379</f>
        <v>G854</v>
      </c>
      <c r="C307" t="str">
        <f>TBIDry!I379</f>
        <v>R720</v>
      </c>
      <c r="D307" t="b">
        <f t="shared" si="96"/>
        <v>0</v>
      </c>
      <c r="E307" t="b">
        <f t="shared" si="97"/>
        <v>0</v>
      </c>
      <c r="G307" t="str">
        <f>TBIWet!H379</f>
        <v>G520</v>
      </c>
      <c r="H307" t="str">
        <f>TBIWet!I379</f>
        <v>R417</v>
      </c>
      <c r="I307" t="b">
        <f t="shared" si="98"/>
        <v>0</v>
      </c>
      <c r="J307" t="b">
        <f t="shared" si="99"/>
        <v>0</v>
      </c>
      <c r="L307" t="str">
        <f>'Both teabags AfterWet'!A306</f>
        <v>G760</v>
      </c>
      <c r="M307" t="str">
        <f>'Both teabags AfterWet'!A724</f>
        <v>R523</v>
      </c>
      <c r="N307" t="b">
        <f t="shared" si="100"/>
        <v>0</v>
      </c>
      <c r="O307" t="b">
        <f t="shared" si="101"/>
        <v>0</v>
      </c>
      <c r="P307" t="str">
        <f>IFERROR('Both teabags AfterWet'!B306,"")</f>
        <v>n.a</v>
      </c>
      <c r="Q307" t="str">
        <f>'Both teabags AfterWet'!B724</f>
        <v>n.a</v>
      </c>
      <c r="S307" s="401" t="b">
        <f t="shared" si="102"/>
        <v>0</v>
      </c>
      <c r="T307" s="401" t="b">
        <f t="shared" si="103"/>
        <v>0</v>
      </c>
      <c r="V307" t="str">
        <f>'Both teabags AfterDry'!A306</f>
        <v>G78</v>
      </c>
      <c r="W307" t="str">
        <f>'Both teabags AfterDry'!A643</f>
        <v>R800</v>
      </c>
      <c r="X307" t="b">
        <f t="shared" si="104"/>
        <v>0</v>
      </c>
      <c r="Y307" t="b">
        <f t="shared" si="105"/>
        <v>0</v>
      </c>
      <c r="AA307" t="str">
        <f>'Green_rooibos initial weight'!A308</f>
        <v>G304</v>
      </c>
      <c r="AB307" t="str">
        <f>'Green_rooibos initial weight'!A1212</f>
        <v>R304</v>
      </c>
      <c r="AC307" t="b">
        <f t="shared" si="106"/>
        <v>0</v>
      </c>
      <c r="AD307" t="b">
        <f t="shared" si="107"/>
        <v>0</v>
      </c>
      <c r="AG307" t="str">
        <f>'WetLitterbags placem_collection'!O86</f>
        <v>G520</v>
      </c>
      <c r="AH307" t="str">
        <f>'WetLitterbags placem_collection'!Q86</f>
        <v>R417</v>
      </c>
      <c r="AI307" t="b">
        <f t="shared" si="108"/>
        <v>0</v>
      </c>
      <c r="AJ307" t="b">
        <f t="shared" si="109"/>
        <v>0</v>
      </c>
      <c r="AK307">
        <f>'WetLitterbags placem_collection'!A86</f>
        <v>84</v>
      </c>
      <c r="AL307">
        <f>'WetLitterbags placem_collection'!A86</f>
        <v>84</v>
      </c>
      <c r="AN307">
        <f>IF('Dry_Litterbag Placem_Collection'!L86=0,"",'Dry_Litterbag Placem_Collection'!L86)</f>
        <v>854</v>
      </c>
      <c r="AO307">
        <f>IF('Dry_Litterbag Placem_Collection'!M86=0,"",'Dry_Litterbag Placem_Collection'!M86)</f>
        <v>720</v>
      </c>
      <c r="AP307" t="b">
        <f t="shared" si="110"/>
        <v>0</v>
      </c>
      <c r="AQ307" t="b">
        <f t="shared" si="111"/>
        <v>0</v>
      </c>
      <c r="AT307" t="str">
        <f>'Ashed teabags dry'!A305</f>
        <v>G78</v>
      </c>
      <c r="AU307" t="str">
        <f>'Ashed teabags dry'!A642</f>
        <v>R80</v>
      </c>
      <c r="AV307" t="b">
        <f t="shared" si="112"/>
        <v>0</v>
      </c>
      <c r="AW307" t="b">
        <f t="shared" si="113"/>
        <v>0</v>
      </c>
      <c r="AZ307" s="401" t="b">
        <f t="shared" si="114"/>
        <v>0</v>
      </c>
      <c r="BA307" s="401" t="b">
        <f t="shared" si="115"/>
        <v>0</v>
      </c>
      <c r="BC307" t="str">
        <f>'Ashed teabags wet'!A305</f>
        <v>G762</v>
      </c>
      <c r="BD307" t="str">
        <f>'Ashed teabags wet'!A722</f>
        <v>R544</v>
      </c>
      <c r="BE307" t="b">
        <f t="shared" si="116"/>
        <v>0</v>
      </c>
      <c r="BF307" t="b">
        <f t="shared" si="117"/>
        <v>0</v>
      </c>
      <c r="BG307">
        <f>IFERROR('Ashed teabags wet'!C305,"")</f>
        <v>146</v>
      </c>
      <c r="BH307">
        <f>IFERROR('Ashed teabags wet'!C722,"")</f>
        <v>118</v>
      </c>
      <c r="BI307" t="str">
        <f>'Ashed teabags wet'!AB305</f>
        <v/>
      </c>
      <c r="BJ307">
        <f>'Ashed teabags wet'!AC305</f>
        <v>145</v>
      </c>
      <c r="BK307" t="str">
        <f>'Ashed teabags wet'!AD722</f>
        <v/>
      </c>
      <c r="BL307">
        <f>'Ashed teabags wet'!AE722</f>
        <v>117</v>
      </c>
      <c r="BN307" t="str">
        <f t="shared" si="118"/>
        <v>G761</v>
      </c>
      <c r="BO307" t="b">
        <f t="shared" si="119"/>
        <v>1</v>
      </c>
    </row>
    <row r="308" spans="2:67" ht="12" customHeight="1">
      <c r="B308" t="str">
        <f>TBIDry!H380</f>
        <v/>
      </c>
      <c r="C308" t="str">
        <f>TBIDry!I380</f>
        <v/>
      </c>
      <c r="D308" t="b">
        <f t="shared" si="96"/>
        <v>1</v>
      </c>
      <c r="E308" t="b">
        <f t="shared" si="97"/>
        <v>1</v>
      </c>
      <c r="G308" t="str">
        <f>TBIWet!H380</f>
        <v>G441</v>
      </c>
      <c r="H308" t="str">
        <f>TBIWet!I380</f>
        <v>R391</v>
      </c>
      <c r="I308" t="b">
        <f t="shared" si="98"/>
        <v>0</v>
      </c>
      <c r="J308" t="b">
        <f t="shared" si="99"/>
        <v>0</v>
      </c>
      <c r="L308" t="str">
        <f>'Both teabags AfterWet'!A307</f>
        <v>G761</v>
      </c>
      <c r="M308" t="str">
        <f>'Both teabags AfterWet'!A725</f>
        <v>R524</v>
      </c>
      <c r="N308" t="b">
        <f t="shared" si="100"/>
        <v>0</v>
      </c>
      <c r="O308" t="b">
        <f t="shared" si="101"/>
        <v>0</v>
      </c>
      <c r="P308">
        <f>IFERROR('Both teabags AfterWet'!B307,"")</f>
        <v>214</v>
      </c>
      <c r="Q308" t="str">
        <f>'Both teabags AfterWet'!B725</f>
        <v>n.a</v>
      </c>
      <c r="S308" s="401" t="b">
        <f t="shared" si="102"/>
        <v>0</v>
      </c>
      <c r="T308" s="401" t="b">
        <f t="shared" si="103"/>
        <v>0</v>
      </c>
      <c r="V308" t="str">
        <f>'Both teabags AfterDry'!A307</f>
        <v>G780</v>
      </c>
      <c r="W308" t="str">
        <f>'Both teabags AfterDry'!A644</f>
        <v>R802</v>
      </c>
      <c r="X308" t="b">
        <f t="shared" si="104"/>
        <v>0</v>
      </c>
      <c r="Y308" t="b">
        <f t="shared" si="105"/>
        <v>0</v>
      </c>
      <c r="AA308" t="str">
        <f>'Green_rooibos initial weight'!A309</f>
        <v>G305</v>
      </c>
      <c r="AB308" t="str">
        <f>'Green_rooibos initial weight'!A1213</f>
        <v>R305</v>
      </c>
      <c r="AC308" t="b">
        <f t="shared" si="106"/>
        <v>0</v>
      </c>
      <c r="AD308" t="b">
        <f t="shared" si="107"/>
        <v>0</v>
      </c>
      <c r="AG308" t="str">
        <f>'WetLitterbags placem_collection'!O87</f>
        <v>G441</v>
      </c>
      <c r="AH308" t="str">
        <f>'WetLitterbags placem_collection'!Q87</f>
        <v>R391</v>
      </c>
      <c r="AI308" t="b">
        <f t="shared" si="108"/>
        <v>0</v>
      </c>
      <c r="AJ308" t="b">
        <f t="shared" si="109"/>
        <v>0</v>
      </c>
      <c r="AK308">
        <f>'WetLitterbags placem_collection'!A87</f>
        <v>85</v>
      </c>
      <c r="AL308">
        <f>'WetLitterbags placem_collection'!A87</f>
        <v>85</v>
      </c>
      <c r="AN308" t="str">
        <f>IF('Dry_Litterbag Placem_Collection'!L87=0,"",'Dry_Litterbag Placem_Collection'!L87)</f>
        <v/>
      </c>
      <c r="AO308" t="str">
        <f>IF('Dry_Litterbag Placem_Collection'!M87=0,"",'Dry_Litterbag Placem_Collection'!M87)</f>
        <v/>
      </c>
      <c r="AP308" t="b">
        <f t="shared" si="110"/>
        <v>1</v>
      </c>
      <c r="AQ308" t="b">
        <f t="shared" si="111"/>
        <v>1</v>
      </c>
      <c r="AT308" t="str">
        <f>'Ashed teabags dry'!A306</f>
        <v>G780</v>
      </c>
      <c r="AU308" t="str">
        <f>'Ashed teabags dry'!A643</f>
        <v>R800</v>
      </c>
      <c r="AV308" t="b">
        <f t="shared" si="112"/>
        <v>0</v>
      </c>
      <c r="AW308" t="b">
        <f t="shared" si="113"/>
        <v>0</v>
      </c>
      <c r="AZ308" s="401" t="b">
        <f t="shared" si="114"/>
        <v>0</v>
      </c>
      <c r="BA308" s="401" t="b">
        <f t="shared" si="115"/>
        <v>0</v>
      </c>
      <c r="BC308" t="str">
        <f>'Ashed teabags wet'!A306</f>
        <v>G763</v>
      </c>
      <c r="BD308" t="str">
        <f>'Ashed teabags wet'!A723</f>
        <v>R545</v>
      </c>
      <c r="BE308" t="b">
        <f t="shared" si="116"/>
        <v>0</v>
      </c>
      <c r="BF308" t="b">
        <f t="shared" si="117"/>
        <v>0</v>
      </c>
      <c r="BG308">
        <f>IFERROR('Ashed teabags wet'!C306,"")</f>
        <v>92</v>
      </c>
      <c r="BH308">
        <f>IFERROR('Ashed teabags wet'!C723,"")</f>
        <v>149</v>
      </c>
      <c r="BI308" t="str">
        <f>'Ashed teabags wet'!AB306</f>
        <v/>
      </c>
      <c r="BJ308">
        <f>'Ashed teabags wet'!AC306</f>
        <v>91</v>
      </c>
      <c r="BK308">
        <f>'Ashed teabags wet'!AD723</f>
        <v>148</v>
      </c>
      <c r="BL308" t="str">
        <f>'Ashed teabags wet'!AE723</f>
        <v/>
      </c>
      <c r="BN308" t="str">
        <f t="shared" si="118"/>
        <v>G762</v>
      </c>
      <c r="BO308" t="b">
        <f t="shared" si="119"/>
        <v>1</v>
      </c>
    </row>
    <row r="309" spans="2:67" ht="12" customHeight="1">
      <c r="B309" t="str">
        <f>TBIDry!H381</f>
        <v>G788</v>
      </c>
      <c r="C309" t="str">
        <f>TBIDry!I381</f>
        <v>R643</v>
      </c>
      <c r="D309" t="b">
        <f t="shared" si="96"/>
        <v>0</v>
      </c>
      <c r="E309" t="b">
        <f t="shared" si="97"/>
        <v>0</v>
      </c>
      <c r="G309" t="str">
        <f>TBIWet!H381</f>
        <v>G561</v>
      </c>
      <c r="H309" t="str">
        <f>TBIWet!I381</f>
        <v>R62</v>
      </c>
      <c r="I309" t="b">
        <f t="shared" si="98"/>
        <v>0</v>
      </c>
      <c r="J309" t="b">
        <f t="shared" si="99"/>
        <v>0</v>
      </c>
      <c r="L309" t="str">
        <f>'Both teabags AfterWet'!A308</f>
        <v>G762</v>
      </c>
      <c r="M309" t="str">
        <f>'Both teabags AfterWet'!A726</f>
        <v>R525</v>
      </c>
      <c r="N309" t="b">
        <f t="shared" si="100"/>
        <v>0</v>
      </c>
      <c r="O309" t="b">
        <f t="shared" si="101"/>
        <v>0</v>
      </c>
      <c r="P309">
        <f>IFERROR('Both teabags AfterWet'!B308,"")</f>
        <v>146</v>
      </c>
      <c r="Q309">
        <f>'Both teabags AfterWet'!B726</f>
        <v>65</v>
      </c>
      <c r="S309" s="401" t="b">
        <f t="shared" si="102"/>
        <v>0</v>
      </c>
      <c r="T309" s="401" t="b">
        <f t="shared" si="103"/>
        <v>0</v>
      </c>
      <c r="V309" t="str">
        <f>'Both teabags AfterDry'!A308</f>
        <v>G79</v>
      </c>
      <c r="W309" t="str">
        <f>'Both teabags AfterDry'!A645</f>
        <v>R803</v>
      </c>
      <c r="X309" t="b">
        <f t="shared" si="104"/>
        <v>0</v>
      </c>
      <c r="Y309" t="b">
        <f t="shared" si="105"/>
        <v>0</v>
      </c>
      <c r="AA309" t="str">
        <f>'Green_rooibos initial weight'!A310</f>
        <v>G306</v>
      </c>
      <c r="AB309" t="str">
        <f>'Green_rooibos initial weight'!A1214</f>
        <v>R306</v>
      </c>
      <c r="AC309" t="b">
        <f t="shared" si="106"/>
        <v>0</v>
      </c>
      <c r="AD309" t="b">
        <f t="shared" si="107"/>
        <v>0</v>
      </c>
      <c r="AG309" t="str">
        <f>'WetLitterbags placem_collection'!O88</f>
        <v>G561</v>
      </c>
      <c r="AH309" t="str">
        <f>'WetLitterbags placem_collection'!Q88</f>
        <v>R62</v>
      </c>
      <c r="AI309" t="b">
        <f t="shared" si="108"/>
        <v>0</v>
      </c>
      <c r="AJ309" t="b">
        <f t="shared" si="109"/>
        <v>0</v>
      </c>
      <c r="AK309">
        <f>'WetLitterbags placem_collection'!A88</f>
        <v>86</v>
      </c>
      <c r="AL309">
        <f>'WetLitterbags placem_collection'!A88</f>
        <v>86</v>
      </c>
      <c r="AN309">
        <f>IF('Dry_Litterbag Placem_Collection'!L88=0,"",'Dry_Litterbag Placem_Collection'!L88)</f>
        <v>788</v>
      </c>
      <c r="AO309">
        <f>IF('Dry_Litterbag Placem_Collection'!M88=0,"",'Dry_Litterbag Placem_Collection'!M88)</f>
        <v>643</v>
      </c>
      <c r="AP309" t="b">
        <f t="shared" si="110"/>
        <v>0</v>
      </c>
      <c r="AQ309" t="b">
        <f t="shared" si="111"/>
        <v>0</v>
      </c>
      <c r="AT309" t="str">
        <f>'Ashed teabags dry'!A307</f>
        <v>G79</v>
      </c>
      <c r="AU309" t="str">
        <f>'Ashed teabags dry'!A644</f>
        <v>R802</v>
      </c>
      <c r="AV309" t="b">
        <f t="shared" si="112"/>
        <v>0</v>
      </c>
      <c r="AW309" t="b">
        <f t="shared" si="113"/>
        <v>0</v>
      </c>
      <c r="AZ309" s="401" t="b">
        <f t="shared" si="114"/>
        <v>0</v>
      </c>
      <c r="BA309" s="401" t="b">
        <f t="shared" si="115"/>
        <v>0</v>
      </c>
      <c r="BC309" t="str">
        <f>'Ashed teabags wet'!A307</f>
        <v>G764</v>
      </c>
      <c r="BD309" t="str">
        <f>'Ashed teabags wet'!A724</f>
        <v>R546</v>
      </c>
      <c r="BE309" t="b">
        <f t="shared" si="116"/>
        <v>0</v>
      </c>
      <c r="BF309" t="b">
        <f t="shared" si="117"/>
        <v>0</v>
      </c>
      <c r="BG309">
        <f>IFERROR('Ashed teabags wet'!C307,"")</f>
        <v>42</v>
      </c>
      <c r="BH309">
        <f>IFERROR('Ashed teabags wet'!C724,"")</f>
        <v>72</v>
      </c>
      <c r="BI309">
        <f>'Ashed teabags wet'!AB307</f>
        <v>41</v>
      </c>
      <c r="BJ309" t="str">
        <f>'Ashed teabags wet'!AC307</f>
        <v/>
      </c>
      <c r="BK309">
        <f>'Ashed teabags wet'!AD724</f>
        <v>71</v>
      </c>
      <c r="BL309" t="str">
        <f>'Ashed teabags wet'!AE724</f>
        <v/>
      </c>
      <c r="BN309" s="180" t="str">
        <f t="shared" si="118"/>
        <v>G763</v>
      </c>
      <c r="BO309" s="113" t="b">
        <f t="shared" si="119"/>
        <v>0</v>
      </c>
    </row>
    <row r="310" spans="2:67" ht="12" customHeight="1">
      <c r="B310" t="str">
        <f>TBIDry!H382</f>
        <v>G91</v>
      </c>
      <c r="C310" t="str">
        <f>TBIDry!I382</f>
        <v>R277</v>
      </c>
      <c r="D310" t="b">
        <f t="shared" si="96"/>
        <v>0</v>
      </c>
      <c r="E310" t="b">
        <f t="shared" si="97"/>
        <v>0</v>
      </c>
      <c r="G310" t="str">
        <f>TBIWet!H382</f>
        <v>G632</v>
      </c>
      <c r="H310" t="str">
        <f>TBIWet!I382</f>
        <v>R329</v>
      </c>
      <c r="I310" t="b">
        <f t="shared" si="98"/>
        <v>0</v>
      </c>
      <c r="J310" t="b">
        <f t="shared" si="99"/>
        <v>0</v>
      </c>
      <c r="L310" t="str">
        <f>'Both teabags AfterWet'!A309</f>
        <v>G764</v>
      </c>
      <c r="M310" t="str">
        <f>'Both teabags AfterWet'!A727</f>
        <v>R526</v>
      </c>
      <c r="N310" t="b">
        <f t="shared" si="100"/>
        <v>0</v>
      </c>
      <c r="O310" t="b">
        <f t="shared" si="101"/>
        <v>0</v>
      </c>
      <c r="P310">
        <f>IFERROR('Both teabags AfterWet'!B309,"")</f>
        <v>42</v>
      </c>
      <c r="Q310">
        <f>'Both teabags AfterWet'!B727</f>
        <v>119</v>
      </c>
      <c r="S310" s="401" t="b">
        <f t="shared" si="102"/>
        <v>0</v>
      </c>
      <c r="T310" s="401" t="b">
        <f t="shared" si="103"/>
        <v>0</v>
      </c>
      <c r="V310" t="str">
        <f>'Both teabags AfterDry'!A309</f>
        <v>G792</v>
      </c>
      <c r="W310" t="str">
        <f>'Both teabags AfterDry'!A646</f>
        <v>R804</v>
      </c>
      <c r="X310" t="b">
        <f t="shared" si="104"/>
        <v>0</v>
      </c>
      <c r="Y310" t="b">
        <f t="shared" si="105"/>
        <v>0</v>
      </c>
      <c r="AA310" t="str">
        <f>'Green_rooibos initial weight'!A311</f>
        <v>G307</v>
      </c>
      <c r="AB310" t="str">
        <f>'Green_rooibos initial weight'!A1215</f>
        <v>R307</v>
      </c>
      <c r="AC310" t="b">
        <f t="shared" si="106"/>
        <v>0</v>
      </c>
      <c r="AD310" t="b">
        <f t="shared" si="107"/>
        <v>0</v>
      </c>
      <c r="AG310" t="str">
        <f>'WetLitterbags placem_collection'!O89</f>
        <v>G632</v>
      </c>
      <c r="AH310" t="str">
        <f>'WetLitterbags placem_collection'!Q89</f>
        <v>R329</v>
      </c>
      <c r="AI310" t="b">
        <f t="shared" si="108"/>
        <v>0</v>
      </c>
      <c r="AJ310" t="b">
        <f t="shared" si="109"/>
        <v>0</v>
      </c>
      <c r="AK310">
        <f>'WetLitterbags placem_collection'!A89</f>
        <v>87</v>
      </c>
      <c r="AL310">
        <f>'WetLitterbags placem_collection'!A89</f>
        <v>87</v>
      </c>
      <c r="AN310">
        <f>IF('Dry_Litterbag Placem_Collection'!L89=0,"",'Dry_Litterbag Placem_Collection'!L89)</f>
        <v>91</v>
      </c>
      <c r="AO310">
        <f>IF('Dry_Litterbag Placem_Collection'!M89=0,"",'Dry_Litterbag Placem_Collection'!M89)</f>
        <v>277</v>
      </c>
      <c r="AP310" t="b">
        <f t="shared" si="110"/>
        <v>0</v>
      </c>
      <c r="AQ310" t="b">
        <f t="shared" si="111"/>
        <v>0</v>
      </c>
      <c r="AT310" t="str">
        <f>'Ashed teabags dry'!A308</f>
        <v>G792</v>
      </c>
      <c r="AU310" t="str">
        <f>'Ashed teabags dry'!A645</f>
        <v>R803</v>
      </c>
      <c r="AV310" t="b">
        <f t="shared" si="112"/>
        <v>0</v>
      </c>
      <c r="AW310" t="b">
        <f t="shared" si="113"/>
        <v>0</v>
      </c>
      <c r="AZ310" s="401" t="b">
        <f t="shared" si="114"/>
        <v>0</v>
      </c>
      <c r="BA310" s="401" t="b">
        <f t="shared" si="115"/>
        <v>0</v>
      </c>
      <c r="BC310" t="str">
        <f>'Ashed teabags wet'!A308</f>
        <v>G765</v>
      </c>
      <c r="BD310" t="str">
        <f>'Ashed teabags wet'!A725</f>
        <v>R547</v>
      </c>
      <c r="BE310" t="b">
        <f t="shared" si="116"/>
        <v>0</v>
      </c>
      <c r="BF310" t="b">
        <f t="shared" si="117"/>
        <v>0</v>
      </c>
      <c r="BG310">
        <f>IFERROR('Ashed teabags wet'!C308,"")</f>
        <v>99</v>
      </c>
      <c r="BH310">
        <f>IFERROR('Ashed teabags wet'!C725,"")</f>
        <v>95</v>
      </c>
      <c r="BI310">
        <f>'Ashed teabags wet'!AB308</f>
        <v>98</v>
      </c>
      <c r="BJ310" t="str">
        <f>'Ashed teabags wet'!AC308</f>
        <v/>
      </c>
      <c r="BK310" t="str">
        <f>'Ashed teabags wet'!AD725</f>
        <v/>
      </c>
      <c r="BL310">
        <f>'Ashed teabags wet'!AE725</f>
        <v>94</v>
      </c>
      <c r="BN310" t="str">
        <f t="shared" si="118"/>
        <v>G764</v>
      </c>
      <c r="BO310" t="b">
        <f t="shared" si="119"/>
        <v>1</v>
      </c>
    </row>
    <row r="311" spans="2:67" ht="12" customHeight="1">
      <c r="B311" t="str">
        <f>TBIDry!H383</f>
        <v>G364</v>
      </c>
      <c r="C311" t="str">
        <f>TBIDry!I383</f>
        <v>R197</v>
      </c>
      <c r="D311" t="b">
        <f t="shared" si="96"/>
        <v>0</v>
      </c>
      <c r="E311" t="b">
        <f t="shared" si="97"/>
        <v>0</v>
      </c>
      <c r="G311" t="str">
        <f>TBIWet!H383</f>
        <v>G611</v>
      </c>
      <c r="H311" t="str">
        <f>TBIWet!I383</f>
        <v>R288</v>
      </c>
      <c r="I311" t="b">
        <f t="shared" si="98"/>
        <v>0</v>
      </c>
      <c r="J311" t="b">
        <f t="shared" si="99"/>
        <v>0</v>
      </c>
      <c r="L311" t="str">
        <f>'Both teabags AfterWet'!A310</f>
        <v>G765</v>
      </c>
      <c r="M311" t="str">
        <f>'Both teabags AfterWet'!A728</f>
        <v>R527</v>
      </c>
      <c r="N311" t="b">
        <f t="shared" si="100"/>
        <v>0</v>
      </c>
      <c r="O311" t="b">
        <f t="shared" si="101"/>
        <v>0</v>
      </c>
      <c r="P311">
        <f>IFERROR('Both teabags AfterWet'!B310,"")</f>
        <v>99</v>
      </c>
      <c r="Q311" t="str">
        <f>'Both teabags AfterWet'!B728</f>
        <v>n.a</v>
      </c>
      <c r="S311" s="401" t="b">
        <f t="shared" si="102"/>
        <v>0</v>
      </c>
      <c r="T311" s="401" t="b">
        <f t="shared" si="103"/>
        <v>0</v>
      </c>
      <c r="V311" t="str">
        <f>'Both teabags AfterDry'!A310</f>
        <v>G8</v>
      </c>
      <c r="W311" t="str">
        <f>'Both teabags AfterDry'!A647</f>
        <v>R806</v>
      </c>
      <c r="X311" t="b">
        <f t="shared" si="104"/>
        <v>0</v>
      </c>
      <c r="Y311" t="b">
        <f t="shared" si="105"/>
        <v>0</v>
      </c>
      <c r="AA311" t="str">
        <f>'Green_rooibos initial weight'!A312</f>
        <v>G308</v>
      </c>
      <c r="AB311" t="str">
        <f>'Green_rooibos initial weight'!A1216</f>
        <v>R308</v>
      </c>
      <c r="AC311" t="b">
        <f t="shared" si="106"/>
        <v>0</v>
      </c>
      <c r="AD311" t="b">
        <f t="shared" si="107"/>
        <v>0</v>
      </c>
      <c r="AG311" t="str">
        <f>'WetLitterbags placem_collection'!O90</f>
        <v>G611</v>
      </c>
      <c r="AH311" t="str">
        <f>'WetLitterbags placem_collection'!Q90</f>
        <v>R288</v>
      </c>
      <c r="AI311" t="b">
        <f t="shared" si="108"/>
        <v>0</v>
      </c>
      <c r="AJ311" t="b">
        <f t="shared" si="109"/>
        <v>0</v>
      </c>
      <c r="AK311">
        <f>'WetLitterbags placem_collection'!A90</f>
        <v>88</v>
      </c>
      <c r="AL311">
        <f>'WetLitterbags placem_collection'!A90</f>
        <v>88</v>
      </c>
      <c r="AN311">
        <f>IF('Dry_Litterbag Placem_Collection'!L90=0,"",'Dry_Litterbag Placem_Collection'!L90)</f>
        <v>364</v>
      </c>
      <c r="AO311">
        <f>IF('Dry_Litterbag Placem_Collection'!M90=0,"",'Dry_Litterbag Placem_Collection'!M90)</f>
        <v>197</v>
      </c>
      <c r="AP311" t="b">
        <f t="shared" si="110"/>
        <v>0</v>
      </c>
      <c r="AQ311" t="b">
        <f t="shared" si="111"/>
        <v>0</v>
      </c>
      <c r="AT311" t="str">
        <f>'Ashed teabags dry'!A309</f>
        <v>G8</v>
      </c>
      <c r="AU311" t="str">
        <f>'Ashed teabags dry'!A646</f>
        <v>R804</v>
      </c>
      <c r="AV311" t="b">
        <f t="shared" si="112"/>
        <v>0</v>
      </c>
      <c r="AW311" t="b">
        <f t="shared" si="113"/>
        <v>0</v>
      </c>
      <c r="AZ311" s="401" t="b">
        <f t="shared" si="114"/>
        <v>0</v>
      </c>
      <c r="BA311" s="401" t="b">
        <f t="shared" si="115"/>
        <v>0</v>
      </c>
      <c r="BC311" t="str">
        <f>'Ashed teabags wet'!A309</f>
        <v>G768</v>
      </c>
      <c r="BD311" t="str">
        <f>'Ashed teabags wet'!A726</f>
        <v>R548</v>
      </c>
      <c r="BE311" t="b">
        <f t="shared" si="116"/>
        <v>0</v>
      </c>
      <c r="BF311" t="b">
        <f t="shared" si="117"/>
        <v>0</v>
      </c>
      <c r="BG311">
        <f>IFERROR('Ashed teabags wet'!C309,"")</f>
        <v>131</v>
      </c>
      <c r="BH311">
        <f>IFERROR('Ashed teabags wet'!C726,"")</f>
        <v>105</v>
      </c>
      <c r="BI311" t="str">
        <f>'Ashed teabags wet'!AB309</f>
        <v/>
      </c>
      <c r="BJ311">
        <f>'Ashed teabags wet'!AC309</f>
        <v>130</v>
      </c>
      <c r="BK311">
        <f>'Ashed teabags wet'!AD726</f>
        <v>104</v>
      </c>
      <c r="BL311" t="str">
        <f>'Ashed teabags wet'!AE726</f>
        <v/>
      </c>
      <c r="BN311" t="str">
        <f t="shared" si="118"/>
        <v>G765</v>
      </c>
      <c r="BO311" t="b">
        <f t="shared" si="119"/>
        <v>1</v>
      </c>
    </row>
    <row r="312" spans="2:67" ht="12" customHeight="1">
      <c r="B312" t="str">
        <f>TBIDry!H384</f>
        <v>G862</v>
      </c>
      <c r="C312" t="str">
        <f>TBIDry!I384</f>
        <v>R841</v>
      </c>
      <c r="D312" t="b">
        <f t="shared" si="96"/>
        <v>0</v>
      </c>
      <c r="E312" t="b">
        <f t="shared" si="97"/>
        <v>0</v>
      </c>
      <c r="G312" t="str">
        <f>TBIWet!H384</f>
        <v>G469</v>
      </c>
      <c r="H312" t="str">
        <f>TBIWet!I384</f>
        <v>R171</v>
      </c>
      <c r="I312" t="b">
        <f t="shared" si="98"/>
        <v>0</v>
      </c>
      <c r="J312" t="b">
        <f t="shared" si="99"/>
        <v>0</v>
      </c>
      <c r="L312" t="str">
        <f>'Both teabags AfterWet'!A311</f>
        <v>G768</v>
      </c>
      <c r="M312" t="str">
        <f>'Both teabags AfterWet'!A729</f>
        <v>R528</v>
      </c>
      <c r="N312" t="b">
        <f t="shared" si="100"/>
        <v>0</v>
      </c>
      <c r="O312" t="b">
        <f t="shared" si="101"/>
        <v>0</v>
      </c>
      <c r="P312">
        <f>IFERROR('Both teabags AfterWet'!B311,"")</f>
        <v>131</v>
      </c>
      <c r="Q312" t="str">
        <f>'Both teabags AfterWet'!B729</f>
        <v>n.a</v>
      </c>
      <c r="S312" s="401" t="b">
        <f t="shared" si="102"/>
        <v>0</v>
      </c>
      <c r="T312" s="401" t="b">
        <f t="shared" si="103"/>
        <v>0</v>
      </c>
      <c r="V312" t="str">
        <f>'Both teabags AfterDry'!A311</f>
        <v>G80</v>
      </c>
      <c r="W312" t="str">
        <f>'Both teabags AfterDry'!A648</f>
        <v>R807</v>
      </c>
      <c r="X312" t="b">
        <f t="shared" si="104"/>
        <v>0</v>
      </c>
      <c r="Y312" t="b">
        <f t="shared" si="105"/>
        <v>0</v>
      </c>
      <c r="AA312" t="str">
        <f>'Green_rooibos initial weight'!A313</f>
        <v>G309</v>
      </c>
      <c r="AB312" t="str">
        <f>'Green_rooibos initial weight'!A1217</f>
        <v>R309</v>
      </c>
      <c r="AC312" t="b">
        <f t="shared" si="106"/>
        <v>0</v>
      </c>
      <c r="AD312" t="b">
        <f t="shared" si="107"/>
        <v>0</v>
      </c>
      <c r="AG312" t="str">
        <f>'WetLitterbags placem_collection'!O91</f>
        <v>G469</v>
      </c>
      <c r="AH312" t="str">
        <f>'WetLitterbags placem_collection'!Q91</f>
        <v>R171</v>
      </c>
      <c r="AI312" t="b">
        <f t="shared" si="108"/>
        <v>0</v>
      </c>
      <c r="AJ312" t="b">
        <f t="shared" si="109"/>
        <v>0</v>
      </c>
      <c r="AK312">
        <f>'WetLitterbags placem_collection'!A91</f>
        <v>89</v>
      </c>
      <c r="AL312">
        <f>'WetLitterbags placem_collection'!A91</f>
        <v>89</v>
      </c>
      <c r="AN312">
        <f>IF('Dry_Litterbag Placem_Collection'!L91=0,"",'Dry_Litterbag Placem_Collection'!L91)</f>
        <v>862</v>
      </c>
      <c r="AO312">
        <f>IF('Dry_Litterbag Placem_Collection'!M91=0,"",'Dry_Litterbag Placem_Collection'!M91)</f>
        <v>841</v>
      </c>
      <c r="AP312" t="b">
        <f t="shared" si="110"/>
        <v>0</v>
      </c>
      <c r="AQ312" t="b">
        <f t="shared" si="111"/>
        <v>0</v>
      </c>
      <c r="AT312" t="str">
        <f>'Ashed teabags dry'!A310</f>
        <v>G80</v>
      </c>
      <c r="AU312" t="str">
        <f>'Ashed teabags dry'!A647</f>
        <v>R806</v>
      </c>
      <c r="AV312" t="b">
        <f t="shared" si="112"/>
        <v>0</v>
      </c>
      <c r="AW312" t="b">
        <f t="shared" si="113"/>
        <v>0</v>
      </c>
      <c r="AZ312" s="401" t="b">
        <f t="shared" si="114"/>
        <v>0</v>
      </c>
      <c r="BA312" s="401" t="b">
        <f t="shared" si="115"/>
        <v>0</v>
      </c>
      <c r="BC312" t="str">
        <f>'Ashed teabags wet'!A310</f>
        <v>G769</v>
      </c>
      <c r="BD312" t="str">
        <f>'Ashed teabags wet'!A727</f>
        <v>R549</v>
      </c>
      <c r="BE312" t="b">
        <f t="shared" si="116"/>
        <v>0</v>
      </c>
      <c r="BF312" t="b">
        <f t="shared" si="117"/>
        <v>0</v>
      </c>
      <c r="BG312">
        <f>IFERROR('Ashed teabags wet'!C310,"")</f>
        <v>113</v>
      </c>
      <c r="BH312">
        <f>IFERROR('Ashed teabags wet'!C727,"")</f>
        <v>99</v>
      </c>
      <c r="BI312" t="str">
        <f>'Ashed teabags wet'!AB310</f>
        <v/>
      </c>
      <c r="BJ312">
        <f>'Ashed teabags wet'!AC310</f>
        <v>112</v>
      </c>
      <c r="BK312">
        <f>'Ashed teabags wet'!AD727</f>
        <v>98</v>
      </c>
      <c r="BL312" t="str">
        <f>'Ashed teabags wet'!AE727</f>
        <v/>
      </c>
      <c r="BN312" t="str">
        <f t="shared" si="118"/>
        <v>G768</v>
      </c>
      <c r="BO312" t="b">
        <f t="shared" si="119"/>
        <v>1</v>
      </c>
    </row>
    <row r="313" spans="2:67" ht="12" customHeight="1">
      <c r="B313" t="str">
        <f>TBIDry!H385</f>
        <v>G330</v>
      </c>
      <c r="C313" t="str">
        <f>TBIDry!I385</f>
        <v>R220</v>
      </c>
      <c r="D313" t="b">
        <f t="shared" si="96"/>
        <v>0</v>
      </c>
      <c r="E313" t="b">
        <f t="shared" si="97"/>
        <v>0</v>
      </c>
      <c r="G313" t="str">
        <f>TBIWet!H385</f>
        <v>G355</v>
      </c>
      <c r="H313" t="str">
        <f>TBIWet!I385</f>
        <v>R517</v>
      </c>
      <c r="I313" t="b">
        <f t="shared" si="98"/>
        <v>0</v>
      </c>
      <c r="J313" t="b">
        <f t="shared" si="99"/>
        <v>0</v>
      </c>
      <c r="L313" t="str">
        <f>'Both teabags AfterWet'!A312</f>
        <v>G769</v>
      </c>
      <c r="M313" t="str">
        <f>'Both teabags AfterWet'!A730</f>
        <v>R529</v>
      </c>
      <c r="N313" t="b">
        <f t="shared" si="100"/>
        <v>0</v>
      </c>
      <c r="O313" t="b">
        <f t="shared" si="101"/>
        <v>0</v>
      </c>
      <c r="P313">
        <f>IFERROR('Both teabags AfterWet'!B312,"")</f>
        <v>113</v>
      </c>
      <c r="Q313">
        <f>'Both teabags AfterWet'!B730</f>
        <v>21</v>
      </c>
      <c r="S313" s="401" t="b">
        <f t="shared" si="102"/>
        <v>0</v>
      </c>
      <c r="T313" s="401" t="b">
        <f t="shared" si="103"/>
        <v>0</v>
      </c>
      <c r="V313" t="str">
        <f>'Both teabags AfterDry'!A312</f>
        <v>G816</v>
      </c>
      <c r="W313" t="str">
        <f>'Both teabags AfterDry'!A649</f>
        <v>R808</v>
      </c>
      <c r="X313" t="b">
        <f t="shared" si="104"/>
        <v>0</v>
      </c>
      <c r="Y313" t="b">
        <f t="shared" si="105"/>
        <v>0</v>
      </c>
      <c r="AA313" t="str">
        <f>'Green_rooibos initial weight'!A314</f>
        <v>G310</v>
      </c>
      <c r="AB313" t="str">
        <f>'Green_rooibos initial weight'!A1218</f>
        <v>R310</v>
      </c>
      <c r="AC313" t="b">
        <f t="shared" si="106"/>
        <v>0</v>
      </c>
      <c r="AD313" t="b">
        <f t="shared" si="107"/>
        <v>0</v>
      </c>
      <c r="AG313" t="str">
        <f>'WetLitterbags placem_collection'!O92</f>
        <v>G355</v>
      </c>
      <c r="AH313" t="str">
        <f>'WetLitterbags placem_collection'!Q92</f>
        <v>R517</v>
      </c>
      <c r="AI313" t="b">
        <f t="shared" si="108"/>
        <v>0</v>
      </c>
      <c r="AJ313" t="b">
        <f t="shared" si="109"/>
        <v>0</v>
      </c>
      <c r="AK313">
        <f>'WetLitterbags placem_collection'!A92</f>
        <v>90</v>
      </c>
      <c r="AL313">
        <f>'WetLitterbags placem_collection'!A92</f>
        <v>90</v>
      </c>
      <c r="AN313">
        <f>IF('Dry_Litterbag Placem_Collection'!L92=0,"",'Dry_Litterbag Placem_Collection'!L92)</f>
        <v>330</v>
      </c>
      <c r="AO313">
        <f>IF('Dry_Litterbag Placem_Collection'!M92=0,"",'Dry_Litterbag Placem_Collection'!M92)</f>
        <v>220</v>
      </c>
      <c r="AP313" t="b">
        <f t="shared" si="110"/>
        <v>0</v>
      </c>
      <c r="AQ313" t="b">
        <f t="shared" si="111"/>
        <v>0</v>
      </c>
      <c r="AT313" t="str">
        <f>'Ashed teabags dry'!A311</f>
        <v>G823</v>
      </c>
      <c r="AU313" t="str">
        <f>'Ashed teabags dry'!A648</f>
        <v>R807</v>
      </c>
      <c r="AV313" t="b">
        <f t="shared" si="112"/>
        <v>0</v>
      </c>
      <c r="AW313" t="b">
        <f t="shared" si="113"/>
        <v>0</v>
      </c>
      <c r="AZ313" s="401" t="b">
        <f t="shared" si="114"/>
        <v>0</v>
      </c>
      <c r="BA313" s="401" t="b">
        <f t="shared" si="115"/>
        <v>0</v>
      </c>
      <c r="BC313" t="str">
        <f>'Ashed teabags wet'!A311</f>
        <v>G770</v>
      </c>
      <c r="BD313" t="str">
        <f>'Ashed teabags wet'!A728</f>
        <v>R54A</v>
      </c>
      <c r="BE313" t="b">
        <f t="shared" si="116"/>
        <v>0</v>
      </c>
      <c r="BF313" t="b">
        <f t="shared" si="117"/>
        <v>0</v>
      </c>
      <c r="BG313">
        <f>IFERROR('Ashed teabags wet'!C311,"")</f>
        <v>202</v>
      </c>
      <c r="BH313">
        <f>IFERROR('Ashed teabags wet'!C728,"")</f>
        <v>110</v>
      </c>
      <c r="BI313" t="str">
        <f>'Ashed teabags wet'!AB311</f>
        <v/>
      </c>
      <c r="BJ313">
        <f>'Ashed teabags wet'!AC311</f>
        <v>201</v>
      </c>
      <c r="BK313" t="str">
        <f>'Ashed teabags wet'!AD728</f>
        <v/>
      </c>
      <c r="BL313">
        <f>'Ashed teabags wet'!AE728</f>
        <v>109</v>
      </c>
      <c r="BN313" t="str">
        <f t="shared" si="118"/>
        <v>G769</v>
      </c>
      <c r="BO313" t="b">
        <f t="shared" si="119"/>
        <v>1</v>
      </c>
    </row>
    <row r="314" spans="2:67" ht="12" customHeight="1">
      <c r="B314" t="str">
        <f>TBIDry!H386</f>
        <v>G596</v>
      </c>
      <c r="C314" t="str">
        <f>TBIDry!I386</f>
        <v>R659</v>
      </c>
      <c r="D314" t="b">
        <f t="shared" si="96"/>
        <v>0</v>
      </c>
      <c r="E314" t="b">
        <f t="shared" si="97"/>
        <v>0</v>
      </c>
      <c r="G314" t="str">
        <f>TBIWet!H386</f>
        <v>G547</v>
      </c>
      <c r="H314" t="str">
        <f>TBIWet!I386</f>
        <v>R73</v>
      </c>
      <c r="I314" t="b">
        <f t="shared" si="98"/>
        <v>0</v>
      </c>
      <c r="J314" t="b">
        <f t="shared" si="99"/>
        <v>0</v>
      </c>
      <c r="L314" t="str">
        <f>'Both teabags AfterWet'!A313</f>
        <v>G770</v>
      </c>
      <c r="M314" t="str">
        <f>'Both teabags AfterWet'!A731</f>
        <v>R530</v>
      </c>
      <c r="N314" t="b">
        <f t="shared" si="100"/>
        <v>0</v>
      </c>
      <c r="O314" t="b">
        <f t="shared" si="101"/>
        <v>0</v>
      </c>
      <c r="P314">
        <f>IFERROR('Both teabags AfterWet'!B313,"")</f>
        <v>202</v>
      </c>
      <c r="Q314">
        <f>'Both teabags AfterWet'!B731</f>
        <v>112</v>
      </c>
      <c r="S314" s="401" t="b">
        <f t="shared" si="102"/>
        <v>0</v>
      </c>
      <c r="T314" s="401" t="b">
        <f t="shared" si="103"/>
        <v>0</v>
      </c>
      <c r="V314" t="str">
        <f>'Both teabags AfterDry'!A313</f>
        <v>G823</v>
      </c>
      <c r="W314" t="str">
        <f>'Both teabags AfterDry'!A650</f>
        <v>R811</v>
      </c>
      <c r="X314" t="b">
        <f t="shared" si="104"/>
        <v>0</v>
      </c>
      <c r="Y314" t="b">
        <f t="shared" si="105"/>
        <v>0</v>
      </c>
      <c r="AA314" t="str">
        <f>'Green_rooibos initial weight'!A315</f>
        <v>G311</v>
      </c>
      <c r="AB314" t="str">
        <f>'Green_rooibos initial weight'!A1219</f>
        <v>R311</v>
      </c>
      <c r="AC314" t="b">
        <f t="shared" si="106"/>
        <v>0</v>
      </c>
      <c r="AD314" t="b">
        <f t="shared" si="107"/>
        <v>0</v>
      </c>
      <c r="AG314" t="str">
        <f>'WetLitterbags placem_collection'!O93</f>
        <v>G547</v>
      </c>
      <c r="AH314" t="str">
        <f>'WetLitterbags placem_collection'!Q93</f>
        <v>R73</v>
      </c>
      <c r="AI314" t="b">
        <f t="shared" si="108"/>
        <v>0</v>
      </c>
      <c r="AJ314" t="b">
        <f t="shared" si="109"/>
        <v>0</v>
      </c>
      <c r="AK314">
        <f>'WetLitterbags placem_collection'!A93</f>
        <v>91</v>
      </c>
      <c r="AL314">
        <f>'WetLitterbags placem_collection'!A93</f>
        <v>91</v>
      </c>
      <c r="AN314">
        <f>IF('Dry_Litterbag Placem_Collection'!L93=0,"",'Dry_Litterbag Placem_Collection'!L93)</f>
        <v>596</v>
      </c>
      <c r="AO314">
        <f>IF('Dry_Litterbag Placem_Collection'!M93=0,"",'Dry_Litterbag Placem_Collection'!M93)</f>
        <v>659</v>
      </c>
      <c r="AP314" t="b">
        <f t="shared" si="110"/>
        <v>0</v>
      </c>
      <c r="AQ314" t="b">
        <f t="shared" si="111"/>
        <v>0</v>
      </c>
      <c r="AT314" t="str">
        <f>'Ashed teabags dry'!A312</f>
        <v>G83</v>
      </c>
      <c r="AU314" t="str">
        <f>'Ashed teabags dry'!A649</f>
        <v>R809</v>
      </c>
      <c r="AV314" t="b">
        <f t="shared" si="112"/>
        <v>0</v>
      </c>
      <c r="AW314" t="b">
        <f t="shared" si="113"/>
        <v>0</v>
      </c>
      <c r="AZ314" s="401" t="b">
        <f t="shared" si="114"/>
        <v>0</v>
      </c>
      <c r="BA314" s="401" t="b">
        <f t="shared" si="115"/>
        <v>0</v>
      </c>
      <c r="BC314" t="str">
        <f>'Ashed teabags wet'!A312</f>
        <v>G772</v>
      </c>
      <c r="BD314" t="str">
        <f>'Ashed teabags wet'!A729</f>
        <v>R54b</v>
      </c>
      <c r="BE314" t="b">
        <f t="shared" si="116"/>
        <v>0</v>
      </c>
      <c r="BF314" t="b">
        <f t="shared" si="117"/>
        <v>0</v>
      </c>
      <c r="BG314">
        <f>IFERROR('Ashed teabags wet'!C312,"")</f>
        <v>175</v>
      </c>
      <c r="BH314">
        <f>IFERROR('Ashed teabags wet'!C729,"")</f>
        <v>55</v>
      </c>
      <c r="BI314" t="str">
        <f>'Ashed teabags wet'!AB312</f>
        <v/>
      </c>
      <c r="BJ314" t="str">
        <f>'Ashed teabags wet'!AC312</f>
        <v/>
      </c>
      <c r="BK314" t="str">
        <f>'Ashed teabags wet'!AD729</f>
        <v/>
      </c>
      <c r="BL314">
        <f>'Ashed teabags wet'!AE729</f>
        <v>54</v>
      </c>
      <c r="BN314" t="str">
        <f t="shared" si="118"/>
        <v>G770</v>
      </c>
      <c r="BO314" t="b">
        <f t="shared" si="119"/>
        <v>1</v>
      </c>
    </row>
    <row r="315" spans="2:67" ht="12" customHeight="1">
      <c r="B315" t="str">
        <f>TBIDry!H387</f>
        <v>G380</v>
      </c>
      <c r="C315" t="str">
        <f>TBIDry!I387</f>
        <v>R619</v>
      </c>
      <c r="D315" t="b">
        <f t="shared" si="96"/>
        <v>0</v>
      </c>
      <c r="E315" t="b">
        <f t="shared" si="97"/>
        <v>0</v>
      </c>
      <c r="G315" t="str">
        <f>TBIWet!H387</f>
        <v>G763</v>
      </c>
      <c r="H315" t="str">
        <f>TBIWet!I387</f>
        <v>R4</v>
      </c>
      <c r="I315" t="b">
        <f t="shared" si="98"/>
        <v>0</v>
      </c>
      <c r="J315" t="b">
        <f t="shared" si="99"/>
        <v>0</v>
      </c>
      <c r="L315" t="str">
        <f>'Both teabags AfterWet'!A314</f>
        <v>G772</v>
      </c>
      <c r="M315" t="str">
        <f>'Both teabags AfterWet'!A732</f>
        <v>R531</v>
      </c>
      <c r="N315" t="b">
        <f t="shared" si="100"/>
        <v>0</v>
      </c>
      <c r="O315" t="b">
        <f t="shared" si="101"/>
        <v>0</v>
      </c>
      <c r="P315">
        <f>IFERROR('Both teabags AfterWet'!B314,"")</f>
        <v>175</v>
      </c>
      <c r="Q315">
        <f>'Both teabags AfterWet'!B732</f>
        <v>7</v>
      </c>
      <c r="S315" s="401" t="b">
        <f t="shared" si="102"/>
        <v>0</v>
      </c>
      <c r="T315" s="401" t="b">
        <f t="shared" si="103"/>
        <v>0</v>
      </c>
      <c r="V315" t="str">
        <f>'Both teabags AfterDry'!A314</f>
        <v>G83</v>
      </c>
      <c r="W315" t="str">
        <f>'Both teabags AfterDry'!A651</f>
        <v>R812</v>
      </c>
      <c r="X315" t="b">
        <f t="shared" si="104"/>
        <v>0</v>
      </c>
      <c r="Y315" t="b">
        <f t="shared" si="105"/>
        <v>0</v>
      </c>
      <c r="AA315" t="str">
        <f>'Green_rooibos initial weight'!A316</f>
        <v>G312</v>
      </c>
      <c r="AB315" t="str">
        <f>'Green_rooibos initial weight'!A1220</f>
        <v>R312</v>
      </c>
      <c r="AC315" t="b">
        <f t="shared" si="106"/>
        <v>0</v>
      </c>
      <c r="AD315" t="b">
        <f t="shared" si="107"/>
        <v>0</v>
      </c>
      <c r="AG315" t="str">
        <f>'WetLitterbags placem_collection'!O94</f>
        <v>G763</v>
      </c>
      <c r="AH315" t="str">
        <f>'WetLitterbags placem_collection'!Q94</f>
        <v>R4</v>
      </c>
      <c r="AI315" t="b">
        <f t="shared" si="108"/>
        <v>0</v>
      </c>
      <c r="AJ315" t="b">
        <f t="shared" si="109"/>
        <v>0</v>
      </c>
      <c r="AK315">
        <f>'WetLitterbags placem_collection'!A94</f>
        <v>92</v>
      </c>
      <c r="AL315">
        <f>'WetLitterbags placem_collection'!A94</f>
        <v>92</v>
      </c>
      <c r="AN315">
        <f>IF('Dry_Litterbag Placem_Collection'!L94=0,"",'Dry_Litterbag Placem_Collection'!L94)</f>
        <v>380</v>
      </c>
      <c r="AO315">
        <f>IF('Dry_Litterbag Placem_Collection'!M94=0,"",'Dry_Litterbag Placem_Collection'!M94)</f>
        <v>619</v>
      </c>
      <c r="AP315" t="b">
        <f t="shared" si="110"/>
        <v>0</v>
      </c>
      <c r="AQ315" t="b">
        <f t="shared" si="111"/>
        <v>0</v>
      </c>
      <c r="AT315" t="str">
        <f>'Ashed teabags dry'!A313</f>
        <v>G84</v>
      </c>
      <c r="AU315" t="str">
        <f>'Ashed teabags dry'!A650</f>
        <v>R811</v>
      </c>
      <c r="AV315" t="b">
        <f t="shared" si="112"/>
        <v>0</v>
      </c>
      <c r="AW315" t="b">
        <f t="shared" si="113"/>
        <v>0</v>
      </c>
      <c r="AZ315" s="401" t="b">
        <f t="shared" si="114"/>
        <v>0</v>
      </c>
      <c r="BA315" s="401" t="b">
        <f t="shared" si="115"/>
        <v>0</v>
      </c>
      <c r="BC315" t="str">
        <f>'Ashed teabags wet'!A313</f>
        <v>G773</v>
      </c>
      <c r="BD315" t="str">
        <f>'Ashed teabags wet'!A730</f>
        <v>R55</v>
      </c>
      <c r="BE315" t="b">
        <f t="shared" si="116"/>
        <v>0</v>
      </c>
      <c r="BF315" t="b">
        <f t="shared" si="117"/>
        <v>0</v>
      </c>
      <c r="BG315">
        <f>IFERROR('Ashed teabags wet'!C313,"")</f>
        <v>202</v>
      </c>
      <c r="BH315">
        <f>IFERROR('Ashed teabags wet'!C730,"")</f>
        <v>126</v>
      </c>
      <c r="BI315">
        <f>'Ashed teabags wet'!AB313</f>
        <v>201</v>
      </c>
      <c r="BJ315" t="str">
        <f>'Ashed teabags wet'!AC313</f>
        <v/>
      </c>
      <c r="BK315" t="str">
        <f>'Ashed teabags wet'!AD730</f>
        <v/>
      </c>
      <c r="BL315">
        <f>'Ashed teabags wet'!AE730</f>
        <v>125</v>
      </c>
      <c r="BN315" t="str">
        <f t="shared" si="118"/>
        <v>G772</v>
      </c>
      <c r="BO315" t="b">
        <f t="shared" si="119"/>
        <v>1</v>
      </c>
    </row>
    <row r="316" spans="2:67" ht="12" customHeight="1">
      <c r="B316" t="str">
        <f>TBIDry!H388</f>
        <v>G872</v>
      </c>
      <c r="C316" t="str">
        <f>TBIDry!I388</f>
        <v>R106</v>
      </c>
      <c r="D316" t="b">
        <f t="shared" si="96"/>
        <v>0</v>
      </c>
      <c r="E316" t="b">
        <f t="shared" si="97"/>
        <v>0</v>
      </c>
      <c r="G316" t="str">
        <f>TBIWet!H388</f>
        <v>G424</v>
      </c>
      <c r="H316" t="str">
        <f>TBIWet!I388</f>
        <v>R136</v>
      </c>
      <c r="I316" t="b">
        <f t="shared" si="98"/>
        <v>0</v>
      </c>
      <c r="J316" t="b">
        <f t="shared" si="99"/>
        <v>0</v>
      </c>
      <c r="L316" t="str">
        <f>'Both teabags AfterWet'!A315</f>
        <v>G773</v>
      </c>
      <c r="M316" t="str">
        <f>'Both teabags AfterWet'!A733</f>
        <v>R532</v>
      </c>
      <c r="N316" t="b">
        <f t="shared" si="100"/>
        <v>0</v>
      </c>
      <c r="O316" t="b">
        <f t="shared" si="101"/>
        <v>0</v>
      </c>
      <c r="P316">
        <f>IFERROR('Both teabags AfterWet'!B315,"")</f>
        <v>202</v>
      </c>
      <c r="Q316">
        <f>'Both teabags AfterWet'!B733</f>
        <v>121</v>
      </c>
      <c r="S316" s="401" t="b">
        <f t="shared" si="102"/>
        <v>0</v>
      </c>
      <c r="T316" s="401" t="b">
        <f t="shared" si="103"/>
        <v>0</v>
      </c>
      <c r="V316" t="str">
        <f>'Both teabags AfterDry'!A315</f>
        <v>G84</v>
      </c>
      <c r="W316" t="str">
        <f>'Both teabags AfterDry'!A652</f>
        <v>R813</v>
      </c>
      <c r="X316" t="b">
        <f t="shared" si="104"/>
        <v>0</v>
      </c>
      <c r="Y316" t="b">
        <f t="shared" si="105"/>
        <v>0</v>
      </c>
      <c r="AA316" t="str">
        <f>'Green_rooibos initial weight'!A317</f>
        <v>G313</v>
      </c>
      <c r="AB316" t="str">
        <f>'Green_rooibos initial weight'!A1221</f>
        <v>R313</v>
      </c>
      <c r="AC316" t="b">
        <f t="shared" si="106"/>
        <v>0</v>
      </c>
      <c r="AD316" t="b">
        <f t="shared" si="107"/>
        <v>0</v>
      </c>
      <c r="AG316" t="str">
        <f>'WetLitterbags placem_collection'!O95</f>
        <v>G424</v>
      </c>
      <c r="AH316" t="str">
        <f>'WetLitterbags placem_collection'!Q95</f>
        <v>R136</v>
      </c>
      <c r="AI316" t="b">
        <f t="shared" si="108"/>
        <v>0</v>
      </c>
      <c r="AJ316" t="b">
        <f t="shared" si="109"/>
        <v>0</v>
      </c>
      <c r="AK316">
        <f>'WetLitterbags placem_collection'!A95</f>
        <v>93</v>
      </c>
      <c r="AL316">
        <f>'WetLitterbags placem_collection'!A95</f>
        <v>93</v>
      </c>
      <c r="AN316">
        <f>IF('Dry_Litterbag Placem_Collection'!L95=0,"",'Dry_Litterbag Placem_Collection'!L95)</f>
        <v>872</v>
      </c>
      <c r="AO316">
        <f>IF('Dry_Litterbag Placem_Collection'!M95=0,"",'Dry_Litterbag Placem_Collection'!M95)</f>
        <v>106</v>
      </c>
      <c r="AP316" t="b">
        <f t="shared" si="110"/>
        <v>0</v>
      </c>
      <c r="AQ316" t="b">
        <f t="shared" si="111"/>
        <v>0</v>
      </c>
      <c r="AT316" t="str">
        <f>'Ashed teabags dry'!A314</f>
        <v>G844</v>
      </c>
      <c r="AU316" t="str">
        <f>'Ashed teabags dry'!A651</f>
        <v>R812</v>
      </c>
      <c r="AV316" t="b">
        <f t="shared" si="112"/>
        <v>0</v>
      </c>
      <c r="AW316" t="b">
        <f t="shared" si="113"/>
        <v>0</v>
      </c>
      <c r="AZ316" s="401" t="b">
        <f t="shared" si="114"/>
        <v>0</v>
      </c>
      <c r="BA316" s="401" t="b">
        <f t="shared" si="115"/>
        <v>0</v>
      </c>
      <c r="BC316" t="str">
        <f>'Ashed teabags wet'!A314</f>
        <v>G774</v>
      </c>
      <c r="BD316" t="str">
        <f>'Ashed teabags wet'!A731</f>
        <v>R550</v>
      </c>
      <c r="BE316" t="b">
        <f t="shared" si="116"/>
        <v>0</v>
      </c>
      <c r="BF316" t="b">
        <f t="shared" si="117"/>
        <v>0</v>
      </c>
      <c r="BG316">
        <f>IFERROR('Ashed teabags wet'!C314,"")</f>
        <v>44</v>
      </c>
      <c r="BH316">
        <f>IFERROR('Ashed teabags wet'!C731,"")</f>
        <v>64</v>
      </c>
      <c r="BI316">
        <f>'Ashed teabags wet'!AB314</f>
        <v>43</v>
      </c>
      <c r="BJ316" t="str">
        <f>'Ashed teabags wet'!AC314</f>
        <v/>
      </c>
      <c r="BK316" t="str">
        <f>'Ashed teabags wet'!AD731</f>
        <v/>
      </c>
      <c r="BL316">
        <f>'Ashed teabags wet'!AE731</f>
        <v>63</v>
      </c>
      <c r="BN316" t="str">
        <f t="shared" si="118"/>
        <v>G773</v>
      </c>
      <c r="BO316" t="b">
        <f t="shared" si="119"/>
        <v>1</v>
      </c>
    </row>
    <row r="317" spans="2:67" ht="12" customHeight="1">
      <c r="B317" t="str">
        <f>TBIDry!H389</f>
        <v/>
      </c>
      <c r="C317" t="str">
        <f>TBIDry!I389</f>
        <v/>
      </c>
      <c r="D317" t="b">
        <f t="shared" si="96"/>
        <v>1</v>
      </c>
      <c r="E317" t="b">
        <f t="shared" si="97"/>
        <v>1</v>
      </c>
      <c r="G317" t="str">
        <f>TBIWet!H389</f>
        <v>G588</v>
      </c>
      <c r="H317" t="str">
        <f>TBIWet!I389</f>
        <v>R358</v>
      </c>
      <c r="I317" t="b">
        <f t="shared" si="98"/>
        <v>0</v>
      </c>
      <c r="J317" t="b">
        <f t="shared" si="99"/>
        <v>0</v>
      </c>
      <c r="L317" t="str">
        <f>'Both teabags AfterWet'!A316</f>
        <v>G774</v>
      </c>
      <c r="M317" t="str">
        <f>'Both teabags AfterWet'!A734</f>
        <v>R533</v>
      </c>
      <c r="N317" t="b">
        <f t="shared" si="100"/>
        <v>0</v>
      </c>
      <c r="O317" t="b">
        <f t="shared" si="101"/>
        <v>0</v>
      </c>
      <c r="P317">
        <f>IFERROR('Both teabags AfterWet'!B316,"")</f>
        <v>44</v>
      </c>
      <c r="Q317" t="str">
        <f>'Both teabags AfterWet'!B734</f>
        <v>n.a</v>
      </c>
      <c r="S317" s="401" t="b">
        <f t="shared" si="102"/>
        <v>0</v>
      </c>
      <c r="T317" s="401" t="b">
        <f t="shared" si="103"/>
        <v>0</v>
      </c>
      <c r="V317" t="str">
        <f>'Both teabags AfterDry'!A316</f>
        <v>G844</v>
      </c>
      <c r="W317" t="str">
        <f>'Both teabags AfterDry'!A653</f>
        <v>R814</v>
      </c>
      <c r="X317" t="b">
        <f t="shared" si="104"/>
        <v>0</v>
      </c>
      <c r="Y317" t="b">
        <f t="shared" si="105"/>
        <v>0</v>
      </c>
      <c r="AA317" t="str">
        <f>'Green_rooibos initial weight'!A318</f>
        <v>G314</v>
      </c>
      <c r="AB317" t="str">
        <f>'Green_rooibos initial weight'!A1222</f>
        <v>R314</v>
      </c>
      <c r="AC317" t="b">
        <f t="shared" si="106"/>
        <v>0</v>
      </c>
      <c r="AD317" t="b">
        <f t="shared" si="107"/>
        <v>0</v>
      </c>
      <c r="AG317" t="str">
        <f>'WetLitterbags placem_collection'!O96</f>
        <v>G588</v>
      </c>
      <c r="AH317" t="str">
        <f>'WetLitterbags placem_collection'!Q96</f>
        <v>R358</v>
      </c>
      <c r="AI317" t="b">
        <f t="shared" si="108"/>
        <v>0</v>
      </c>
      <c r="AJ317" t="b">
        <f t="shared" si="109"/>
        <v>0</v>
      </c>
      <c r="AK317">
        <f>'WetLitterbags placem_collection'!A96</f>
        <v>94</v>
      </c>
      <c r="AL317">
        <f>'WetLitterbags placem_collection'!A96</f>
        <v>94</v>
      </c>
      <c r="AN317" t="str">
        <f>IF('Dry_Litterbag Placem_Collection'!L96=0,"",'Dry_Litterbag Placem_Collection'!L96)</f>
        <v/>
      </c>
      <c r="AO317" t="str">
        <f>IF('Dry_Litterbag Placem_Collection'!M96=0,"",'Dry_Litterbag Placem_Collection'!M96)</f>
        <v/>
      </c>
      <c r="AP317" t="b">
        <f t="shared" si="110"/>
        <v>1</v>
      </c>
      <c r="AQ317" t="b">
        <f t="shared" si="111"/>
        <v>1</v>
      </c>
      <c r="AT317" t="str">
        <f>'Ashed teabags dry'!A315</f>
        <v>G848</v>
      </c>
      <c r="AU317" t="str">
        <f>'Ashed teabags dry'!A652</f>
        <v>R813</v>
      </c>
      <c r="AV317" t="b">
        <f t="shared" si="112"/>
        <v>0</v>
      </c>
      <c r="AW317" t="b">
        <f t="shared" si="113"/>
        <v>0</v>
      </c>
      <c r="AZ317" s="401" t="b">
        <f t="shared" si="114"/>
        <v>0</v>
      </c>
      <c r="BA317" s="401" t="b">
        <f t="shared" si="115"/>
        <v>0</v>
      </c>
      <c r="BC317" t="str">
        <f>'Ashed teabags wet'!A315</f>
        <v>G775</v>
      </c>
      <c r="BD317" t="str">
        <f>'Ashed teabags wet'!A732</f>
        <v>R552</v>
      </c>
      <c r="BE317" t="b">
        <f t="shared" si="116"/>
        <v>0</v>
      </c>
      <c r="BF317" t="b">
        <f t="shared" si="117"/>
        <v>0</v>
      </c>
      <c r="BG317">
        <f>IFERROR('Ashed teabags wet'!C315,"")</f>
        <v>141</v>
      </c>
      <c r="BH317">
        <f>IFERROR('Ashed teabags wet'!C732,"")</f>
        <v>106</v>
      </c>
      <c r="BI317" t="str">
        <f>'Ashed teabags wet'!AB315</f>
        <v/>
      </c>
      <c r="BJ317">
        <f>'Ashed teabags wet'!AC315</f>
        <v>140</v>
      </c>
      <c r="BK317">
        <f>'Ashed teabags wet'!AD732</f>
        <v>108</v>
      </c>
      <c r="BL317" t="str">
        <f>'Ashed teabags wet'!AE732</f>
        <v/>
      </c>
      <c r="BN317" t="str">
        <f t="shared" si="118"/>
        <v>G774</v>
      </c>
      <c r="BO317" t="b">
        <f t="shared" si="119"/>
        <v>1</v>
      </c>
    </row>
    <row r="318" spans="2:67" ht="12" customHeight="1">
      <c r="B318" t="str">
        <f>TBIDry!H390</f>
        <v>G844</v>
      </c>
      <c r="C318" t="str">
        <f>TBIDry!I390</f>
        <v>R233</v>
      </c>
      <c r="D318" t="b">
        <f t="shared" si="96"/>
        <v>0</v>
      </c>
      <c r="E318" t="b">
        <f t="shared" si="97"/>
        <v>0</v>
      </c>
      <c r="G318" t="str">
        <f>TBIWet!H390</f>
        <v>G486</v>
      </c>
      <c r="H318" t="str">
        <f>TBIWet!I390</f>
        <v>R547</v>
      </c>
      <c r="I318" t="b">
        <f t="shared" si="98"/>
        <v>0</v>
      </c>
      <c r="J318" t="b">
        <f t="shared" si="99"/>
        <v>0</v>
      </c>
      <c r="L318" t="str">
        <f>'Both teabags AfterWet'!A317</f>
        <v>G775</v>
      </c>
      <c r="M318" t="str">
        <f>'Both teabags AfterWet'!A735</f>
        <v>R534</v>
      </c>
      <c r="N318" t="b">
        <f t="shared" si="100"/>
        <v>0</v>
      </c>
      <c r="O318" t="b">
        <f t="shared" si="101"/>
        <v>0</v>
      </c>
      <c r="P318">
        <f>IFERROR('Both teabags AfterWet'!B317,"")</f>
        <v>141</v>
      </c>
      <c r="Q318">
        <f>'Both teabags AfterWet'!B735</f>
        <v>168</v>
      </c>
      <c r="S318" s="401" t="b">
        <f t="shared" si="102"/>
        <v>0</v>
      </c>
      <c r="T318" s="401" t="b">
        <f t="shared" si="103"/>
        <v>0</v>
      </c>
      <c r="V318" t="str">
        <f>'Both teabags AfterDry'!A317</f>
        <v>G848</v>
      </c>
      <c r="W318" t="str">
        <f>'Both teabags AfterDry'!A654</f>
        <v>R815</v>
      </c>
      <c r="X318" t="b">
        <f t="shared" si="104"/>
        <v>0</v>
      </c>
      <c r="Y318" t="b">
        <f t="shared" si="105"/>
        <v>0</v>
      </c>
      <c r="AA318" t="str">
        <f>'Green_rooibos initial weight'!A319</f>
        <v>G315</v>
      </c>
      <c r="AB318" t="str">
        <f>'Green_rooibos initial weight'!A1223</f>
        <v>R315</v>
      </c>
      <c r="AC318" t="b">
        <f t="shared" si="106"/>
        <v>0</v>
      </c>
      <c r="AD318" t="b">
        <f t="shared" si="107"/>
        <v>0</v>
      </c>
      <c r="AG318" t="str">
        <f>'WetLitterbags placem_collection'!O97</f>
        <v>G486</v>
      </c>
      <c r="AH318" t="str">
        <f>'WetLitterbags placem_collection'!Q97</f>
        <v>R547</v>
      </c>
      <c r="AI318" t="b">
        <f t="shared" si="108"/>
        <v>0</v>
      </c>
      <c r="AJ318" t="b">
        <f t="shared" si="109"/>
        <v>0</v>
      </c>
      <c r="AK318">
        <f>'WetLitterbags placem_collection'!A97</f>
        <v>95</v>
      </c>
      <c r="AL318">
        <f>'WetLitterbags placem_collection'!A97</f>
        <v>95</v>
      </c>
      <c r="AN318">
        <f>IF('Dry_Litterbag Placem_Collection'!L97=0,"",'Dry_Litterbag Placem_Collection'!L97)</f>
        <v>844</v>
      </c>
      <c r="AO318">
        <f>IF('Dry_Litterbag Placem_Collection'!M97=0,"",'Dry_Litterbag Placem_Collection'!M97)</f>
        <v>233</v>
      </c>
      <c r="AP318" t="b">
        <f t="shared" si="110"/>
        <v>0</v>
      </c>
      <c r="AQ318" t="b">
        <f t="shared" si="111"/>
        <v>0</v>
      </c>
      <c r="AT318" t="str">
        <f>'Ashed teabags dry'!A316</f>
        <v>G85</v>
      </c>
      <c r="AU318" t="str">
        <f>'Ashed teabags dry'!A653</f>
        <v>R814</v>
      </c>
      <c r="AV318" t="b">
        <f t="shared" si="112"/>
        <v>0</v>
      </c>
      <c r="AW318" t="b">
        <f t="shared" si="113"/>
        <v>0</v>
      </c>
      <c r="AZ318" s="401" t="b">
        <f t="shared" si="114"/>
        <v>0</v>
      </c>
      <c r="BA318" s="401" t="b">
        <f t="shared" si="115"/>
        <v>0</v>
      </c>
      <c r="BC318" t="str">
        <f>'Ashed teabags wet'!A316</f>
        <v>G777</v>
      </c>
      <c r="BD318" t="str">
        <f>'Ashed teabags wet'!A733</f>
        <v>R553</v>
      </c>
      <c r="BE318" t="b">
        <f t="shared" si="116"/>
        <v>0</v>
      </c>
      <c r="BF318" t="b">
        <f t="shared" si="117"/>
        <v>0</v>
      </c>
      <c r="BG318">
        <f>IFERROR('Ashed teabags wet'!C316,"")</f>
        <v>157</v>
      </c>
      <c r="BH318">
        <f>IFERROR('Ashed teabags wet'!C733,"")</f>
        <v>115</v>
      </c>
      <c r="BI318" t="str">
        <f>'Ashed teabags wet'!AB316</f>
        <v/>
      </c>
      <c r="BJ318">
        <f>'Ashed teabags wet'!AC316</f>
        <v>156</v>
      </c>
      <c r="BK318">
        <f>'Ashed teabags wet'!AD733</f>
        <v>114</v>
      </c>
      <c r="BL318" t="str">
        <f>'Ashed teabags wet'!AE733</f>
        <v/>
      </c>
      <c r="BN318" t="str">
        <f t="shared" si="118"/>
        <v>G775</v>
      </c>
      <c r="BO318" t="b">
        <f t="shared" si="119"/>
        <v>1</v>
      </c>
    </row>
    <row r="319" spans="2:67" ht="12" customHeight="1">
      <c r="B319" t="str">
        <f>TBIDry!H391</f>
        <v>G372</v>
      </c>
      <c r="C319" t="str">
        <f>TBIDry!I391</f>
        <v>R698</v>
      </c>
      <c r="D319" t="b">
        <f t="shared" si="96"/>
        <v>0</v>
      </c>
      <c r="E319" t="b">
        <f t="shared" si="97"/>
        <v>0</v>
      </c>
      <c r="G319" t="str">
        <f>TBIWet!H391</f>
        <v>G545</v>
      </c>
      <c r="H319" t="str">
        <f>TBIWet!I391</f>
        <v>R588</v>
      </c>
      <c r="I319" t="b">
        <f t="shared" si="98"/>
        <v>0</v>
      </c>
      <c r="J319" t="b">
        <f t="shared" si="99"/>
        <v>0</v>
      </c>
      <c r="L319" t="str">
        <f>'Both teabags AfterWet'!A318</f>
        <v>G777</v>
      </c>
      <c r="M319" t="str">
        <f>'Both teabags AfterWet'!A736</f>
        <v>R535</v>
      </c>
      <c r="N319" t="b">
        <f t="shared" si="100"/>
        <v>0</v>
      </c>
      <c r="O319" t="b">
        <f t="shared" si="101"/>
        <v>0</v>
      </c>
      <c r="P319">
        <f>IFERROR('Both teabags AfterWet'!B318,"")</f>
        <v>157</v>
      </c>
      <c r="Q319">
        <f>'Both teabags AfterWet'!B736</f>
        <v>140</v>
      </c>
      <c r="S319" s="401" t="b">
        <f t="shared" si="102"/>
        <v>0</v>
      </c>
      <c r="T319" s="401" t="b">
        <f t="shared" si="103"/>
        <v>0</v>
      </c>
      <c r="V319" t="str">
        <f>'Both teabags AfterDry'!A318</f>
        <v>G85</v>
      </c>
      <c r="W319" t="str">
        <f>'Both teabags AfterDry'!A655</f>
        <v>R818</v>
      </c>
      <c r="X319" t="b">
        <f t="shared" si="104"/>
        <v>0</v>
      </c>
      <c r="Y319" t="b">
        <f t="shared" si="105"/>
        <v>0</v>
      </c>
      <c r="AA319" t="str">
        <f>'Green_rooibos initial weight'!A320</f>
        <v>G316</v>
      </c>
      <c r="AB319" t="str">
        <f>'Green_rooibos initial weight'!A1224</f>
        <v>R316</v>
      </c>
      <c r="AC319" t="b">
        <f t="shared" si="106"/>
        <v>0</v>
      </c>
      <c r="AD319" t="b">
        <f t="shared" si="107"/>
        <v>0</v>
      </c>
      <c r="AG319" t="str">
        <f>'WetLitterbags placem_collection'!O98</f>
        <v>G545</v>
      </c>
      <c r="AH319" t="str">
        <f>'WetLitterbags placem_collection'!Q98</f>
        <v>R588</v>
      </c>
      <c r="AI319" t="b">
        <f t="shared" si="108"/>
        <v>0</v>
      </c>
      <c r="AJ319" t="b">
        <f t="shared" si="109"/>
        <v>0</v>
      </c>
      <c r="AK319">
        <f>'WetLitterbags placem_collection'!A98</f>
        <v>96</v>
      </c>
      <c r="AL319">
        <f>'WetLitterbags placem_collection'!A98</f>
        <v>96</v>
      </c>
      <c r="AN319">
        <f>IF('Dry_Litterbag Placem_Collection'!L98=0,"",'Dry_Litterbag Placem_Collection'!L98)</f>
        <v>372</v>
      </c>
      <c r="AO319">
        <f>IF('Dry_Litterbag Placem_Collection'!M98=0,"",'Dry_Litterbag Placem_Collection'!M98)</f>
        <v>698</v>
      </c>
      <c r="AP319" t="b">
        <f t="shared" si="110"/>
        <v>0</v>
      </c>
      <c r="AQ319" t="b">
        <f t="shared" si="111"/>
        <v>0</v>
      </c>
      <c r="AT319" t="str">
        <f>'Ashed teabags dry'!A317</f>
        <v>G851</v>
      </c>
      <c r="AU319" t="str">
        <f>'Ashed teabags dry'!A654</f>
        <v>R815</v>
      </c>
      <c r="AV319" t="b">
        <f t="shared" si="112"/>
        <v>0</v>
      </c>
      <c r="AW319" t="b">
        <f t="shared" si="113"/>
        <v>0</v>
      </c>
      <c r="AZ319" s="401" t="b">
        <f t="shared" si="114"/>
        <v>0</v>
      </c>
      <c r="BA319" s="401" t="b">
        <f t="shared" si="115"/>
        <v>0</v>
      </c>
      <c r="BC319" t="str">
        <f>'Ashed teabags wet'!A317</f>
        <v>G778</v>
      </c>
      <c r="BD319" t="str">
        <f>'Ashed teabags wet'!A734</f>
        <v>R554</v>
      </c>
      <c r="BE319" t="b">
        <f t="shared" si="116"/>
        <v>0</v>
      </c>
      <c r="BF319" t="b">
        <f t="shared" si="117"/>
        <v>0</v>
      </c>
      <c r="BG319">
        <f>IFERROR('Ashed teabags wet'!C317,"")</f>
        <v>115</v>
      </c>
      <c r="BH319">
        <f>IFERROR('Ashed teabags wet'!C734,"")</f>
        <v>128</v>
      </c>
      <c r="BI319" t="str">
        <f>'Ashed teabags wet'!AB317</f>
        <v/>
      </c>
      <c r="BJ319">
        <f>'Ashed teabags wet'!AC317</f>
        <v>114</v>
      </c>
      <c r="BK319">
        <f>'Ashed teabags wet'!AD734</f>
        <v>127</v>
      </c>
      <c r="BL319" t="str">
        <f>'Ashed teabags wet'!AE734</f>
        <v/>
      </c>
      <c r="BN319" t="str">
        <f t="shared" si="118"/>
        <v>G777</v>
      </c>
      <c r="BO319" t="b">
        <f t="shared" si="119"/>
        <v>1</v>
      </c>
    </row>
    <row r="320" spans="2:67" ht="12" customHeight="1">
      <c r="B320" t="str">
        <f>TBIDry!H392</f>
        <v>G3</v>
      </c>
      <c r="C320" t="str">
        <f>TBIDry!I392</f>
        <v>R47</v>
      </c>
      <c r="D320" t="b">
        <f t="shared" si="96"/>
        <v>0</v>
      </c>
      <c r="E320" t="b">
        <f t="shared" si="97"/>
        <v>0</v>
      </c>
      <c r="G320" t="str">
        <f>TBIWet!H392</f>
        <v>G847</v>
      </c>
      <c r="H320" t="str">
        <f>TBIWet!I392</f>
        <v>R576</v>
      </c>
      <c r="I320" t="b">
        <f t="shared" si="98"/>
        <v>0</v>
      </c>
      <c r="J320" t="b">
        <f t="shared" si="99"/>
        <v>0</v>
      </c>
      <c r="L320" t="str">
        <f>'Both teabags AfterWet'!A319</f>
        <v>G778</v>
      </c>
      <c r="M320" t="str">
        <f>'Both teabags AfterWet'!A737</f>
        <v>R536</v>
      </c>
      <c r="N320" t="b">
        <f t="shared" si="100"/>
        <v>0</v>
      </c>
      <c r="O320" t="b">
        <f t="shared" si="101"/>
        <v>0</v>
      </c>
      <c r="P320">
        <f>IFERROR('Both teabags AfterWet'!B319,"")</f>
        <v>115</v>
      </c>
      <c r="Q320">
        <f>'Both teabags AfterWet'!B737</f>
        <v>132</v>
      </c>
      <c r="S320" s="401" t="b">
        <f t="shared" si="102"/>
        <v>0</v>
      </c>
      <c r="T320" s="401" t="b">
        <f t="shared" si="103"/>
        <v>0</v>
      </c>
      <c r="V320" t="str">
        <f>'Both teabags AfterDry'!A319</f>
        <v>G851</v>
      </c>
      <c r="W320" t="str">
        <f>'Both teabags AfterDry'!A656</f>
        <v>R819</v>
      </c>
      <c r="X320" t="b">
        <f t="shared" si="104"/>
        <v>0</v>
      </c>
      <c r="Y320" t="b">
        <f t="shared" si="105"/>
        <v>0</v>
      </c>
      <c r="AA320" t="str">
        <f>'Green_rooibos initial weight'!A321</f>
        <v>G317</v>
      </c>
      <c r="AB320" t="str">
        <f>'Green_rooibos initial weight'!A1225</f>
        <v>R317</v>
      </c>
      <c r="AC320" t="b">
        <f t="shared" si="106"/>
        <v>0</v>
      </c>
      <c r="AD320" t="b">
        <f t="shared" si="107"/>
        <v>0</v>
      </c>
      <c r="AG320" t="str">
        <f>'WetLitterbags placem_collection'!O99</f>
        <v>G847</v>
      </c>
      <c r="AH320" t="str">
        <f>'WetLitterbags placem_collection'!Q99</f>
        <v>R576</v>
      </c>
      <c r="AI320" t="b">
        <f t="shared" si="108"/>
        <v>0</v>
      </c>
      <c r="AJ320" t="b">
        <f t="shared" si="109"/>
        <v>0</v>
      </c>
      <c r="AK320">
        <f>'WetLitterbags placem_collection'!A99</f>
        <v>97</v>
      </c>
      <c r="AL320">
        <f>'WetLitterbags placem_collection'!A99</f>
        <v>97</v>
      </c>
      <c r="AN320">
        <f>IF('Dry_Litterbag Placem_Collection'!L99=0,"",'Dry_Litterbag Placem_Collection'!L99)</f>
        <v>3</v>
      </c>
      <c r="AO320">
        <f>IF('Dry_Litterbag Placem_Collection'!M99=0,"",'Dry_Litterbag Placem_Collection'!M99)</f>
        <v>47</v>
      </c>
      <c r="AP320" t="b">
        <f t="shared" si="110"/>
        <v>0</v>
      </c>
      <c r="AQ320" t="b">
        <f t="shared" si="111"/>
        <v>0</v>
      </c>
      <c r="AT320" t="str">
        <f>'Ashed teabags dry'!A318</f>
        <v>G854</v>
      </c>
      <c r="AU320" t="str">
        <f>'Ashed teabags dry'!A655</f>
        <v>R816</v>
      </c>
      <c r="AV320" t="b">
        <f t="shared" si="112"/>
        <v>0</v>
      </c>
      <c r="AW320" t="b">
        <f t="shared" si="113"/>
        <v>0</v>
      </c>
      <c r="AZ320" s="401" t="b">
        <f t="shared" si="114"/>
        <v>0</v>
      </c>
      <c r="BA320" s="401" t="b">
        <f t="shared" si="115"/>
        <v>0</v>
      </c>
      <c r="BC320" t="str">
        <f>'Ashed teabags wet'!A318</f>
        <v>G779</v>
      </c>
      <c r="BD320" t="str">
        <f>'Ashed teabags wet'!A735</f>
        <v>R555</v>
      </c>
      <c r="BE320" t="b">
        <f t="shared" si="116"/>
        <v>0</v>
      </c>
      <c r="BF320" t="b">
        <f t="shared" si="117"/>
        <v>0</v>
      </c>
      <c r="BG320">
        <f>IFERROR('Ashed teabags wet'!C318,"")</f>
        <v>132</v>
      </c>
      <c r="BH320">
        <f>IFERROR('Ashed teabags wet'!C735,"")</f>
        <v>184</v>
      </c>
      <c r="BI320" t="str">
        <f>'Ashed teabags wet'!AB318</f>
        <v/>
      </c>
      <c r="BJ320">
        <f>'Ashed teabags wet'!AC318</f>
        <v>131</v>
      </c>
      <c r="BK320" t="str">
        <f>'Ashed teabags wet'!AD735</f>
        <v/>
      </c>
      <c r="BL320">
        <f>'Ashed teabags wet'!AE735</f>
        <v>183</v>
      </c>
      <c r="BN320" t="str">
        <f t="shared" si="118"/>
        <v>G778</v>
      </c>
      <c r="BO320" t="b">
        <f t="shared" si="119"/>
        <v>1</v>
      </c>
    </row>
    <row r="321" spans="2:67" ht="12" customHeight="1">
      <c r="B321" t="str">
        <f>TBIDry!H393</f>
        <v>G25</v>
      </c>
      <c r="C321" t="str">
        <f>TBIDry!I393</f>
        <v>R707</v>
      </c>
      <c r="D321" t="b">
        <f t="shared" si="96"/>
        <v>0</v>
      </c>
      <c r="E321" t="b">
        <f t="shared" si="97"/>
        <v>0</v>
      </c>
      <c r="G321" t="str">
        <f>TBIWet!H393</f>
        <v>G730</v>
      </c>
      <c r="H321" t="str">
        <f>TBIWet!I393</f>
        <v>R561</v>
      </c>
      <c r="I321" t="b">
        <f t="shared" si="98"/>
        <v>0</v>
      </c>
      <c r="J321" t="b">
        <f t="shared" si="99"/>
        <v>0</v>
      </c>
      <c r="L321" t="str">
        <f>'Both teabags AfterWet'!A320</f>
        <v>G779</v>
      </c>
      <c r="M321" t="str">
        <f>'Both teabags AfterWet'!A738</f>
        <v>R537</v>
      </c>
      <c r="N321" t="b">
        <f t="shared" si="100"/>
        <v>0</v>
      </c>
      <c r="O321" t="b">
        <f t="shared" si="101"/>
        <v>0</v>
      </c>
      <c r="P321">
        <f>IFERROR('Both teabags AfterWet'!B320,"")</f>
        <v>132</v>
      </c>
      <c r="Q321" t="str">
        <f>'Both teabags AfterWet'!B738</f>
        <v>n.a</v>
      </c>
      <c r="S321" s="401" t="b">
        <f t="shared" si="102"/>
        <v>0</v>
      </c>
      <c r="T321" s="401" t="b">
        <f t="shared" si="103"/>
        <v>0</v>
      </c>
      <c r="V321" t="str">
        <f>'Both teabags AfterDry'!A320</f>
        <v>G854</v>
      </c>
      <c r="W321" t="str">
        <f>'Both teabags AfterDry'!A657</f>
        <v>R820</v>
      </c>
      <c r="X321" t="b">
        <f t="shared" si="104"/>
        <v>0</v>
      </c>
      <c r="Y321" t="b">
        <f t="shared" si="105"/>
        <v>0</v>
      </c>
      <c r="AA321" t="str">
        <f>'Green_rooibos initial weight'!A322</f>
        <v>G318</v>
      </c>
      <c r="AB321" t="str">
        <f>'Green_rooibos initial weight'!A1226</f>
        <v>R318</v>
      </c>
      <c r="AC321" t="b">
        <f t="shared" si="106"/>
        <v>0</v>
      </c>
      <c r="AD321" t="b">
        <f t="shared" si="107"/>
        <v>0</v>
      </c>
      <c r="AG321" t="str">
        <f>'WetLitterbags placem_collection'!O100</f>
        <v>G730</v>
      </c>
      <c r="AH321" t="str">
        <f>'WetLitterbags placem_collection'!Q100</f>
        <v>R561</v>
      </c>
      <c r="AI321" t="b">
        <f t="shared" si="108"/>
        <v>0</v>
      </c>
      <c r="AJ321" t="b">
        <f t="shared" si="109"/>
        <v>0</v>
      </c>
      <c r="AK321">
        <f>'WetLitterbags placem_collection'!A100</f>
        <v>98</v>
      </c>
      <c r="AL321">
        <f>'WetLitterbags placem_collection'!A100</f>
        <v>98</v>
      </c>
      <c r="AN321">
        <f>IF('Dry_Litterbag Placem_Collection'!L100=0,"",'Dry_Litterbag Placem_Collection'!L100)</f>
        <v>25</v>
      </c>
      <c r="AO321">
        <f>IF('Dry_Litterbag Placem_Collection'!M100=0,"",'Dry_Litterbag Placem_Collection'!M100)</f>
        <v>707</v>
      </c>
      <c r="AP321" t="b">
        <f t="shared" si="110"/>
        <v>0</v>
      </c>
      <c r="AQ321" t="b">
        <f t="shared" si="111"/>
        <v>0</v>
      </c>
      <c r="AT321" t="str">
        <f>'Ashed teabags dry'!A319</f>
        <v>G855</v>
      </c>
      <c r="AU321" t="str">
        <f>'Ashed teabags dry'!A656</f>
        <v>R818</v>
      </c>
      <c r="AV321" t="b">
        <f t="shared" si="112"/>
        <v>0</v>
      </c>
      <c r="AW321" t="b">
        <f t="shared" si="113"/>
        <v>0</v>
      </c>
      <c r="AZ321" s="401" t="b">
        <f t="shared" si="114"/>
        <v>0</v>
      </c>
      <c r="BA321" s="401" t="b">
        <f t="shared" si="115"/>
        <v>0</v>
      </c>
      <c r="BC321" t="str">
        <f>'Ashed teabags wet'!A319</f>
        <v>G781</v>
      </c>
      <c r="BD321" t="str">
        <f>'Ashed teabags wet'!A736</f>
        <v>R556</v>
      </c>
      <c r="BE321" t="b">
        <f t="shared" si="116"/>
        <v>0</v>
      </c>
      <c r="BF321" t="b">
        <f t="shared" si="117"/>
        <v>0</v>
      </c>
      <c r="BG321">
        <f>IFERROR('Ashed teabags wet'!C319,"")</f>
        <v>178</v>
      </c>
      <c r="BH321">
        <f>IFERROR('Ashed teabags wet'!C736,"")</f>
        <v>155</v>
      </c>
      <c r="BI321">
        <f>'Ashed teabags wet'!AB319</f>
        <v>177</v>
      </c>
      <c r="BJ321" t="str">
        <f>'Ashed teabags wet'!AC319</f>
        <v/>
      </c>
      <c r="BK321" t="str">
        <f>'Ashed teabags wet'!AD736</f>
        <v/>
      </c>
      <c r="BL321">
        <f>'Ashed teabags wet'!AE736</f>
        <v>154</v>
      </c>
      <c r="BN321" t="str">
        <f t="shared" si="118"/>
        <v>G779</v>
      </c>
      <c r="BO321" t="b">
        <f t="shared" si="119"/>
        <v>1</v>
      </c>
    </row>
    <row r="322" spans="2:67" ht="12" customHeight="1">
      <c r="B322" t="str">
        <f>TBIDry!H394</f>
        <v/>
      </c>
      <c r="C322" t="str">
        <f>TBIDry!I394</f>
        <v/>
      </c>
      <c r="D322" t="b">
        <f t="shared" si="96"/>
        <v>1</v>
      </c>
      <c r="E322" t="b">
        <f t="shared" si="97"/>
        <v>1</v>
      </c>
      <c r="G322" t="str">
        <f>TBIWet!H394</f>
        <v>G691</v>
      </c>
      <c r="H322" t="str">
        <f>TBIWet!I394</f>
        <v>R496</v>
      </c>
      <c r="I322" t="b">
        <f t="shared" si="98"/>
        <v>0</v>
      </c>
      <c r="J322" t="b">
        <f t="shared" si="99"/>
        <v>0</v>
      </c>
      <c r="L322" t="str">
        <f>'Both teabags AfterWet'!A321</f>
        <v>G781</v>
      </c>
      <c r="M322" t="str">
        <f>'Both teabags AfterWet'!A739</f>
        <v>R538</v>
      </c>
      <c r="N322" t="b">
        <f t="shared" si="100"/>
        <v>0</v>
      </c>
      <c r="O322" t="b">
        <f t="shared" si="101"/>
        <v>0</v>
      </c>
      <c r="P322">
        <f>IFERROR('Both teabags AfterWet'!B321,"")</f>
        <v>178</v>
      </c>
      <c r="Q322">
        <f>'Both teabags AfterWet'!B739</f>
        <v>139</v>
      </c>
      <c r="S322" s="401" t="b">
        <f t="shared" si="102"/>
        <v>0</v>
      </c>
      <c r="T322" s="401" t="b">
        <f t="shared" si="103"/>
        <v>0</v>
      </c>
      <c r="V322" t="str">
        <f>'Both teabags AfterDry'!A321</f>
        <v>G855</v>
      </c>
      <c r="W322" t="str">
        <f>'Both teabags AfterDry'!A658</f>
        <v>R821</v>
      </c>
      <c r="X322" t="b">
        <f t="shared" si="104"/>
        <v>0</v>
      </c>
      <c r="Y322" t="b">
        <f t="shared" si="105"/>
        <v>0</v>
      </c>
      <c r="AA322" t="str">
        <f>'Green_rooibos initial weight'!A323</f>
        <v>G319</v>
      </c>
      <c r="AB322" t="str">
        <f>'Green_rooibos initial weight'!A1227</f>
        <v>R319</v>
      </c>
      <c r="AC322" t="b">
        <f t="shared" si="106"/>
        <v>0</v>
      </c>
      <c r="AD322" t="b">
        <f t="shared" si="107"/>
        <v>0</v>
      </c>
      <c r="AG322" t="str">
        <f>'WetLitterbags placem_collection'!O101</f>
        <v>G691</v>
      </c>
      <c r="AH322" t="str">
        <f>'WetLitterbags placem_collection'!Q101</f>
        <v>R496</v>
      </c>
      <c r="AI322" t="b">
        <f t="shared" si="108"/>
        <v>0</v>
      </c>
      <c r="AJ322" t="b">
        <f t="shared" si="109"/>
        <v>0</v>
      </c>
      <c r="AK322">
        <f>'WetLitterbags placem_collection'!A101</f>
        <v>99</v>
      </c>
      <c r="AL322">
        <f>'WetLitterbags placem_collection'!A101</f>
        <v>99</v>
      </c>
      <c r="AN322" t="str">
        <f>IF('Dry_Litterbag Placem_Collection'!L101=0,"",'Dry_Litterbag Placem_Collection'!L101)</f>
        <v/>
      </c>
      <c r="AO322" t="str">
        <f>IF('Dry_Litterbag Placem_Collection'!M101=0,"",'Dry_Litterbag Placem_Collection'!M101)</f>
        <v/>
      </c>
      <c r="AP322" t="b">
        <f t="shared" si="110"/>
        <v>1</v>
      </c>
      <c r="AQ322" t="b">
        <f t="shared" si="111"/>
        <v>1</v>
      </c>
      <c r="AT322" t="str">
        <f>'Ashed teabags dry'!A320</f>
        <v>G86</v>
      </c>
      <c r="AU322" t="str">
        <f>'Ashed teabags dry'!A657</f>
        <v>R819</v>
      </c>
      <c r="AV322" t="b">
        <f t="shared" si="112"/>
        <v>0</v>
      </c>
      <c r="AW322" t="b">
        <f t="shared" si="113"/>
        <v>0</v>
      </c>
      <c r="AZ322" s="401" t="b">
        <f t="shared" si="114"/>
        <v>0</v>
      </c>
      <c r="BA322" s="401" t="b">
        <f t="shared" si="115"/>
        <v>0</v>
      </c>
      <c r="BC322" t="str">
        <f>'Ashed teabags wet'!A320</f>
        <v>G782</v>
      </c>
      <c r="BD322" t="str">
        <f>'Ashed teabags wet'!A737</f>
        <v>R557</v>
      </c>
      <c r="BE322" t="b">
        <f t="shared" si="116"/>
        <v>0</v>
      </c>
      <c r="BF322" t="b">
        <f t="shared" si="117"/>
        <v>0</v>
      </c>
      <c r="BG322">
        <f>IFERROR('Ashed teabags wet'!C320,"")</f>
        <v>220</v>
      </c>
      <c r="BH322">
        <f>IFERROR('Ashed teabags wet'!C737,"")</f>
        <v>186</v>
      </c>
      <c r="BI322">
        <f>'Ashed teabags wet'!AB320</f>
        <v>219</v>
      </c>
      <c r="BJ322" t="str">
        <f>'Ashed teabags wet'!AC320</f>
        <v/>
      </c>
      <c r="BK322">
        <f>'Ashed teabags wet'!AD737</f>
        <v>185</v>
      </c>
      <c r="BL322" t="str">
        <f>'Ashed teabags wet'!AE737</f>
        <v/>
      </c>
      <c r="BN322" t="str">
        <f t="shared" si="118"/>
        <v>G781</v>
      </c>
      <c r="BO322" t="b">
        <f t="shared" si="119"/>
        <v>1</v>
      </c>
    </row>
    <row r="323" spans="2:67" ht="12" customHeight="1">
      <c r="B323" t="str">
        <f>TBIDry!H395</f>
        <v>G187</v>
      </c>
      <c r="C323" t="str">
        <f>TBIDry!I395</f>
        <v>R641</v>
      </c>
      <c r="D323" t="b">
        <f t="shared" si="96"/>
        <v>0</v>
      </c>
      <c r="E323" t="b">
        <f t="shared" si="97"/>
        <v>0</v>
      </c>
      <c r="G323" t="str">
        <f>TBIWet!H395</f>
        <v>G828</v>
      </c>
      <c r="H323" t="str">
        <f>TBIWet!I395</f>
        <v>R497</v>
      </c>
      <c r="I323" t="b">
        <f t="shared" si="98"/>
        <v>0</v>
      </c>
      <c r="J323" t="b">
        <f t="shared" si="99"/>
        <v>0</v>
      </c>
      <c r="L323" t="str">
        <f>'Both teabags AfterWet'!A322</f>
        <v>G782</v>
      </c>
      <c r="M323" t="str">
        <f>'Both teabags AfterWet'!A740</f>
        <v>R539</v>
      </c>
      <c r="N323" t="b">
        <f t="shared" si="100"/>
        <v>0</v>
      </c>
      <c r="O323" t="b">
        <f t="shared" si="101"/>
        <v>0</v>
      </c>
      <c r="P323" t="str">
        <f>IFERROR('Both teabags AfterWet'!B322,"")</f>
        <v>n.a</v>
      </c>
      <c r="Q323" t="str">
        <f>'Both teabags AfterWet'!B740</f>
        <v>n.a</v>
      </c>
      <c r="S323" s="401" t="b">
        <f t="shared" si="102"/>
        <v>0</v>
      </c>
      <c r="T323" s="401" t="b">
        <f t="shared" si="103"/>
        <v>0</v>
      </c>
      <c r="V323" t="str">
        <f>'Both teabags AfterDry'!A322</f>
        <v>G86</v>
      </c>
      <c r="W323" t="str">
        <f>'Both teabags AfterDry'!A659</f>
        <v>R823</v>
      </c>
      <c r="X323" t="b">
        <f t="shared" si="104"/>
        <v>0</v>
      </c>
      <c r="Y323" t="b">
        <f t="shared" si="105"/>
        <v>0</v>
      </c>
      <c r="AA323" t="str">
        <f>'Green_rooibos initial weight'!A324</f>
        <v>G320</v>
      </c>
      <c r="AB323" t="str">
        <f>'Green_rooibos initial weight'!A1228</f>
        <v>R320</v>
      </c>
      <c r="AC323" t="b">
        <f t="shared" si="106"/>
        <v>0</v>
      </c>
      <c r="AD323" t="b">
        <f t="shared" si="107"/>
        <v>0</v>
      </c>
      <c r="AG323" t="str">
        <f>'WetLitterbags placem_collection'!O102</f>
        <v>G828</v>
      </c>
      <c r="AH323" t="str">
        <f>'WetLitterbags placem_collection'!Q102</f>
        <v>R497</v>
      </c>
      <c r="AI323" t="b">
        <f t="shared" si="108"/>
        <v>0</v>
      </c>
      <c r="AJ323" t="b">
        <f t="shared" si="109"/>
        <v>0</v>
      </c>
      <c r="AK323">
        <f>'WetLitterbags placem_collection'!A102</f>
        <v>100</v>
      </c>
      <c r="AL323">
        <f>'WetLitterbags placem_collection'!A102</f>
        <v>100</v>
      </c>
      <c r="AN323">
        <f>IF('Dry_Litterbag Placem_Collection'!L102=0,"",'Dry_Litterbag Placem_Collection'!L102)</f>
        <v>187</v>
      </c>
      <c r="AO323">
        <f>IF('Dry_Litterbag Placem_Collection'!M102=0,"",'Dry_Litterbag Placem_Collection'!M102)</f>
        <v>641</v>
      </c>
      <c r="AP323" t="b">
        <f t="shared" si="110"/>
        <v>0</v>
      </c>
      <c r="AQ323" t="b">
        <f t="shared" si="111"/>
        <v>0</v>
      </c>
      <c r="AT323" t="str">
        <f>'Ashed teabags dry'!A321</f>
        <v>G862</v>
      </c>
      <c r="AU323" t="str">
        <f>'Ashed teabags dry'!A658</f>
        <v>R820</v>
      </c>
      <c r="AV323" t="b">
        <f t="shared" si="112"/>
        <v>0</v>
      </c>
      <c r="AW323" t="b">
        <f t="shared" si="113"/>
        <v>0</v>
      </c>
      <c r="AZ323" s="401" t="b">
        <f t="shared" si="114"/>
        <v>0</v>
      </c>
      <c r="BA323" s="401" t="b">
        <f t="shared" si="115"/>
        <v>0</v>
      </c>
      <c r="BC323" t="str">
        <f>'Ashed teabags wet'!A321</f>
        <v>G783</v>
      </c>
      <c r="BD323" t="str">
        <f>'Ashed teabags wet'!A738</f>
        <v>R558</v>
      </c>
      <c r="BE323" t="b">
        <f t="shared" si="116"/>
        <v>0</v>
      </c>
      <c r="BF323" t="b">
        <f t="shared" si="117"/>
        <v>0</v>
      </c>
      <c r="BG323">
        <f>IFERROR('Ashed teabags wet'!C321,"")</f>
        <v>180</v>
      </c>
      <c r="BH323">
        <f>IFERROR('Ashed teabags wet'!C738,"")</f>
        <v>171</v>
      </c>
      <c r="BI323" t="str">
        <f>'Ashed teabags wet'!AB321</f>
        <v/>
      </c>
      <c r="BJ323">
        <f>'Ashed teabags wet'!AC321</f>
        <v>179</v>
      </c>
      <c r="BK323">
        <f>'Ashed teabags wet'!AD738</f>
        <v>170</v>
      </c>
      <c r="BL323" t="str">
        <f>'Ashed teabags wet'!AE738</f>
        <v/>
      </c>
      <c r="BN323" t="str">
        <f t="shared" si="118"/>
        <v>G782</v>
      </c>
      <c r="BO323" t="b">
        <f t="shared" si="119"/>
        <v>1</v>
      </c>
    </row>
    <row r="324" spans="2:67" ht="12" customHeight="1">
      <c r="B324" t="str">
        <f>TBIDry!H396</f>
        <v>G398</v>
      </c>
      <c r="C324" t="str">
        <f>TBIDry!I396</f>
        <v>R245</v>
      </c>
      <c r="D324" t="b">
        <f t="shared" si="96"/>
        <v>0</v>
      </c>
      <c r="E324" t="b">
        <f t="shared" si="97"/>
        <v>0</v>
      </c>
      <c r="G324" t="str">
        <f>TBIWet!H396</f>
        <v>G875</v>
      </c>
      <c r="H324" t="str">
        <f>TBIWet!I396</f>
        <v>R10</v>
      </c>
      <c r="I324" t="b">
        <f t="shared" si="98"/>
        <v>0</v>
      </c>
      <c r="J324" t="b">
        <f t="shared" si="99"/>
        <v>0</v>
      </c>
      <c r="L324" t="str">
        <f>'Both teabags AfterWet'!A323</f>
        <v>G783</v>
      </c>
      <c r="M324" t="str">
        <f>'Both teabags AfterWet'!A741</f>
        <v>R540</v>
      </c>
      <c r="N324" t="b">
        <f t="shared" si="100"/>
        <v>0</v>
      </c>
      <c r="O324" t="b">
        <f t="shared" si="101"/>
        <v>0</v>
      </c>
      <c r="P324">
        <f>IFERROR('Both teabags AfterWet'!B323,"")</f>
        <v>180</v>
      </c>
      <c r="Q324">
        <f>'Both teabags AfterWet'!B741</f>
        <v>105</v>
      </c>
      <c r="S324" s="401" t="b">
        <f t="shared" si="102"/>
        <v>0</v>
      </c>
      <c r="T324" s="401" t="b">
        <f t="shared" si="103"/>
        <v>0</v>
      </c>
      <c r="V324" t="str">
        <f>'Both teabags AfterDry'!A323</f>
        <v>G862</v>
      </c>
      <c r="W324" t="str">
        <f>'Both teabags AfterDry'!A660</f>
        <v>R824</v>
      </c>
      <c r="X324" t="b">
        <f t="shared" si="104"/>
        <v>0</v>
      </c>
      <c r="Y324" t="b">
        <f t="shared" si="105"/>
        <v>0</v>
      </c>
      <c r="AA324" t="str">
        <f>'Green_rooibos initial weight'!A325</f>
        <v>G321</v>
      </c>
      <c r="AB324" t="str">
        <f>'Green_rooibos initial weight'!A1229</f>
        <v>R321</v>
      </c>
      <c r="AC324" t="b">
        <f t="shared" si="106"/>
        <v>0</v>
      </c>
      <c r="AD324" t="b">
        <f t="shared" si="107"/>
        <v>0</v>
      </c>
      <c r="AG324" t="str">
        <f>'WetLitterbags placem_collection'!O103</f>
        <v>G875</v>
      </c>
      <c r="AH324" t="str">
        <f>'WetLitterbags placem_collection'!Q103</f>
        <v>R10</v>
      </c>
      <c r="AI324" t="b">
        <f t="shared" si="108"/>
        <v>0</v>
      </c>
      <c r="AJ324" t="b">
        <f t="shared" si="109"/>
        <v>0</v>
      </c>
      <c r="AK324">
        <f>'WetLitterbags placem_collection'!A103</f>
        <v>101</v>
      </c>
      <c r="AL324">
        <f>'WetLitterbags placem_collection'!A103</f>
        <v>101</v>
      </c>
      <c r="AN324">
        <f>IF('Dry_Litterbag Placem_Collection'!L103=0,"",'Dry_Litterbag Placem_Collection'!L103)</f>
        <v>398</v>
      </c>
      <c r="AO324">
        <f>IF('Dry_Litterbag Placem_Collection'!M103=0,"",'Dry_Litterbag Placem_Collection'!M103)</f>
        <v>245</v>
      </c>
      <c r="AP324" t="b">
        <f t="shared" si="110"/>
        <v>0</v>
      </c>
      <c r="AQ324" t="b">
        <f t="shared" si="111"/>
        <v>0</v>
      </c>
      <c r="AT324" t="str">
        <f>'Ashed teabags dry'!A322</f>
        <v>G866</v>
      </c>
      <c r="AU324" t="str">
        <f>'Ashed teabags dry'!A659</f>
        <v>R821</v>
      </c>
      <c r="AV324" t="b">
        <f t="shared" si="112"/>
        <v>0</v>
      </c>
      <c r="AW324" t="b">
        <f t="shared" si="113"/>
        <v>0</v>
      </c>
      <c r="AZ324" s="401" t="b">
        <f t="shared" si="114"/>
        <v>0</v>
      </c>
      <c r="BA324" s="401" t="b">
        <f t="shared" si="115"/>
        <v>0</v>
      </c>
      <c r="BC324" t="str">
        <f>'Ashed teabags wet'!A322</f>
        <v>G784</v>
      </c>
      <c r="BD324" t="str">
        <f>'Ashed teabags wet'!A739</f>
        <v>R559</v>
      </c>
      <c r="BE324" t="b">
        <f t="shared" si="116"/>
        <v>0</v>
      </c>
      <c r="BF324" t="b">
        <f t="shared" si="117"/>
        <v>0</v>
      </c>
      <c r="BG324">
        <f>IFERROR('Ashed teabags wet'!C322,"")</f>
        <v>144</v>
      </c>
      <c r="BH324">
        <f>IFERROR('Ashed teabags wet'!C739,"")</f>
        <v>140</v>
      </c>
      <c r="BI324">
        <f>'Ashed teabags wet'!AB322</f>
        <v>143</v>
      </c>
      <c r="BJ324" t="str">
        <f>'Ashed teabags wet'!AC322</f>
        <v/>
      </c>
      <c r="BK324" t="str">
        <f>'Ashed teabags wet'!AD739</f>
        <v/>
      </c>
      <c r="BL324">
        <f>'Ashed teabags wet'!AE739</f>
        <v>139</v>
      </c>
      <c r="BN324" t="str">
        <f t="shared" si="118"/>
        <v>G783</v>
      </c>
      <c r="BO324" t="b">
        <f t="shared" si="119"/>
        <v>1</v>
      </c>
    </row>
    <row r="325" spans="2:67" ht="12" customHeight="1">
      <c r="B325" t="str">
        <f>TBIDry!H397</f>
        <v>G120</v>
      </c>
      <c r="C325" t="str">
        <f>TBIDry!I397</f>
        <v>R714</v>
      </c>
      <c r="D325" s="113" t="b">
        <f t="shared" ref="D325:D388" si="120">COUNTIF($B$4:$B$2000, B325)&gt;1</f>
        <v>0</v>
      </c>
      <c r="E325" t="b">
        <f t="shared" ref="E325:E388" si="121">COUNTIF($C$4:$C$2000, C325)&gt;1</f>
        <v>0</v>
      </c>
      <c r="G325" t="str">
        <f>TBIWet!H397</f>
        <v>G824</v>
      </c>
      <c r="H325" t="str">
        <f>TBIWet!I397</f>
        <v>R26</v>
      </c>
      <c r="I325" t="b">
        <f t="shared" ref="I325:I388" si="122">COUNTIF($G$4:$G$2000, G325)&gt;1</f>
        <v>0</v>
      </c>
      <c r="J325" t="b">
        <f t="shared" ref="J325:J388" si="123">COUNTIF($H$4:$H$2000, H325)&gt;1</f>
        <v>0</v>
      </c>
      <c r="L325" t="str">
        <f>'Both teabags AfterWet'!A324</f>
        <v>G784</v>
      </c>
      <c r="M325" t="str">
        <f>'Both teabags AfterWet'!A742</f>
        <v>R541</v>
      </c>
      <c r="N325" t="b">
        <f t="shared" ref="N325:N388" si="124">COUNTIF($L$4:$L$2000, L325)&gt;1</f>
        <v>0</v>
      </c>
      <c r="O325" t="b">
        <f t="shared" ref="O325:O388" si="125">COUNTIF($M$4:$M$2000, M325)&gt;1</f>
        <v>0</v>
      </c>
      <c r="P325">
        <f>IFERROR('Both teabags AfterWet'!B324,"")</f>
        <v>144</v>
      </c>
      <c r="Q325" t="str">
        <f>'Both teabags AfterWet'!B742</f>
        <v>n.a</v>
      </c>
      <c r="S325" s="401" t="b">
        <f t="shared" ref="S325:S388" si="126">COUNTIF($V$4:$V$2000, L325)=1</f>
        <v>0</v>
      </c>
      <c r="T325" s="401" t="b">
        <f t="shared" ref="T325:T388" si="127">COUNTIF($W$4:$W$2000, M325)=1</f>
        <v>0</v>
      </c>
      <c r="V325" t="str">
        <f>'Both teabags AfterDry'!A324</f>
        <v>G866</v>
      </c>
      <c r="W325" t="str">
        <f>'Both teabags AfterDry'!A661</f>
        <v>R825</v>
      </c>
      <c r="X325" t="b">
        <f t="shared" ref="X325:X346" si="128">COUNTIF($V$4:$V$2000, V325)&gt;1</f>
        <v>0</v>
      </c>
      <c r="Y325" t="b">
        <f t="shared" ref="Y325:Y346" si="129">COUNTIF($W$4:$W$2000, W325)&gt;1</f>
        <v>0</v>
      </c>
      <c r="AA325" t="str">
        <f>'Green_rooibos initial weight'!A326</f>
        <v>G322</v>
      </c>
      <c r="AB325" t="str">
        <f>'Green_rooibos initial weight'!A1230</f>
        <v>R322</v>
      </c>
      <c r="AC325" t="b">
        <f t="shared" ref="AC325:AC388" si="130">COUNTIF($AA$4:$AA$2000, AA325)&gt;1</f>
        <v>0</v>
      </c>
      <c r="AD325" t="b">
        <f t="shared" ref="AD325:AD388" si="131">COUNTIF($AB$4:$AB$2000, AB325)&gt;1</f>
        <v>0</v>
      </c>
      <c r="AG325" t="str">
        <f>'WetLitterbags placem_collection'!O104</f>
        <v>G824</v>
      </c>
      <c r="AH325" t="str">
        <f>'WetLitterbags placem_collection'!Q104</f>
        <v>R26</v>
      </c>
      <c r="AI325" t="b">
        <f t="shared" ref="AI325:AI388" si="132">COUNTIF($AG$4:$AG$2000, AG325)&gt;1</f>
        <v>0</v>
      </c>
      <c r="AJ325" t="b">
        <f t="shared" ref="AJ325:AJ388" si="133">COUNTIF($AH$4:$AH$2000, AH325)&gt;1</f>
        <v>0</v>
      </c>
      <c r="AK325">
        <f>'WetLitterbags placem_collection'!A104</f>
        <v>102</v>
      </c>
      <c r="AL325">
        <f>'WetLitterbags placem_collection'!A104</f>
        <v>102</v>
      </c>
      <c r="AN325">
        <f>IF('Dry_Litterbag Placem_Collection'!L104=0,"",'Dry_Litterbag Placem_Collection'!L104)</f>
        <v>120</v>
      </c>
      <c r="AO325">
        <f>IF('Dry_Litterbag Placem_Collection'!M104=0,"",'Dry_Litterbag Placem_Collection'!M104)</f>
        <v>714</v>
      </c>
      <c r="AP325" t="b">
        <f t="shared" ref="AP325:AP388" si="134">COUNTIF($AN$4:$AN$2000, AN325)&gt;1</f>
        <v>0</v>
      </c>
      <c r="AQ325" t="b">
        <f t="shared" ref="AQ325:AQ388" si="135">COUNTIF($AO$4:$AO$2000, AO325)&gt;1</f>
        <v>0</v>
      </c>
      <c r="AT325" t="str">
        <f>'Ashed teabags dry'!A323</f>
        <v>G868</v>
      </c>
      <c r="AU325" t="str">
        <f>'Ashed teabags dry'!A660</f>
        <v>R823</v>
      </c>
      <c r="AV325" t="b">
        <f t="shared" ref="AV325:AV344" si="136">COUNTIF($AT$4:$AT$2000, AT325)&gt;1</f>
        <v>0</v>
      </c>
      <c r="AW325" t="b">
        <f t="shared" ref="AW325:AW344" si="137">COUNTIF($AU$4:$AU$2000, AU325)&gt;1</f>
        <v>0</v>
      </c>
      <c r="AZ325" s="401" t="b">
        <f t="shared" ref="AZ325:AZ388" si="138">COUNTIF($BC$4:$BC$2000, AT325)=1</f>
        <v>0</v>
      </c>
      <c r="BA325" s="401" t="b">
        <f t="shared" ref="BA325:BA388" si="139">COUNTIF($BD$4:$BD$2000, AU325)=1</f>
        <v>0</v>
      </c>
      <c r="BC325" t="str">
        <f>'Ashed teabags wet'!A323</f>
        <v>G785</v>
      </c>
      <c r="BD325" t="str">
        <f>'Ashed teabags wet'!A740</f>
        <v>R56</v>
      </c>
      <c r="BE325" t="b">
        <f t="shared" ref="BE325:BE388" si="140">COUNTIF($BC$4:$BC$2000, BC325)&gt;1</f>
        <v>0</v>
      </c>
      <c r="BF325" t="b">
        <f t="shared" ref="BF325:BF388" si="141">COUNTIF($BD$4:$BD$2000, BD325)&gt;1</f>
        <v>0</v>
      </c>
      <c r="BG325">
        <f>IFERROR('Ashed teabags wet'!C323,"")</f>
        <v>198</v>
      </c>
      <c r="BH325">
        <f>IFERROR('Ashed teabags wet'!C740,"")</f>
        <v>79</v>
      </c>
      <c r="BI325">
        <f>'Ashed teabags wet'!AB323</f>
        <v>197</v>
      </c>
      <c r="BJ325" t="str">
        <f>'Ashed teabags wet'!AC323</f>
        <v/>
      </c>
      <c r="BK325" t="str">
        <f>'Ashed teabags wet'!AD740</f>
        <v/>
      </c>
      <c r="BL325">
        <f>'Ashed teabags wet'!AE740</f>
        <v>78</v>
      </c>
      <c r="BN325" t="str">
        <f t="shared" ref="BN325:BN388" si="142">BC324</f>
        <v>G784</v>
      </c>
      <c r="BO325" t="b">
        <f t="shared" si="119"/>
        <v>1</v>
      </c>
    </row>
    <row r="326" spans="2:67" ht="12" customHeight="1">
      <c r="B326" t="str">
        <f>TBIDry!H398</f>
        <v>G145</v>
      </c>
      <c r="C326" t="str">
        <f>TBIDry!I398</f>
        <v>R701</v>
      </c>
      <c r="D326" t="b">
        <f t="shared" si="120"/>
        <v>0</v>
      </c>
      <c r="E326" t="b">
        <f t="shared" si="121"/>
        <v>0</v>
      </c>
      <c r="G326" t="str">
        <f>TBIWet!H398</f>
        <v>G692</v>
      </c>
      <c r="H326" t="str">
        <f>TBIWet!I398</f>
        <v>R494</v>
      </c>
      <c r="I326" t="b">
        <f t="shared" si="122"/>
        <v>0</v>
      </c>
      <c r="J326" t="b">
        <f t="shared" si="123"/>
        <v>0</v>
      </c>
      <c r="L326" t="str">
        <f>'Both teabags AfterWet'!A325</f>
        <v>G785</v>
      </c>
      <c r="M326" t="str">
        <f>'Both teabags AfterWet'!A743</f>
        <v>R542</v>
      </c>
      <c r="N326" t="b">
        <f t="shared" si="124"/>
        <v>0</v>
      </c>
      <c r="O326" t="b">
        <f t="shared" si="125"/>
        <v>0</v>
      </c>
      <c r="P326">
        <f>IFERROR('Both teabags AfterWet'!B325,"")</f>
        <v>198</v>
      </c>
      <c r="Q326" t="str">
        <f>'Both teabags AfterWet'!B743</f>
        <v>n.a</v>
      </c>
      <c r="S326" s="401" t="b">
        <f t="shared" si="126"/>
        <v>0</v>
      </c>
      <c r="T326" s="401" t="b">
        <f t="shared" si="127"/>
        <v>0</v>
      </c>
      <c r="V326" t="str">
        <f>'Both teabags AfterDry'!A325</f>
        <v>G868</v>
      </c>
      <c r="W326" t="str">
        <f>'Both teabags AfterDry'!A662</f>
        <v>R826</v>
      </c>
      <c r="X326" t="b">
        <f t="shared" si="128"/>
        <v>0</v>
      </c>
      <c r="Y326" t="b">
        <f t="shared" si="129"/>
        <v>0</v>
      </c>
      <c r="AA326" t="str">
        <f>'Green_rooibos initial weight'!A327</f>
        <v>G323</v>
      </c>
      <c r="AB326" t="str">
        <f>'Green_rooibos initial weight'!A1231</f>
        <v>R323</v>
      </c>
      <c r="AC326" t="b">
        <f t="shared" si="130"/>
        <v>0</v>
      </c>
      <c r="AD326" t="b">
        <f t="shared" si="131"/>
        <v>0</v>
      </c>
      <c r="AG326" t="str">
        <f>'WetLitterbags placem_collection'!O105</f>
        <v>G692</v>
      </c>
      <c r="AH326" t="str">
        <f>'WetLitterbags placem_collection'!Q105</f>
        <v>R494</v>
      </c>
      <c r="AI326" t="b">
        <f t="shared" si="132"/>
        <v>0</v>
      </c>
      <c r="AJ326" t="b">
        <f t="shared" si="133"/>
        <v>0</v>
      </c>
      <c r="AK326">
        <f>'WetLitterbags placem_collection'!A105</f>
        <v>103</v>
      </c>
      <c r="AL326">
        <f>'WetLitterbags placem_collection'!A105</f>
        <v>103</v>
      </c>
      <c r="AN326">
        <f>IF('Dry_Litterbag Placem_Collection'!L105=0,"",'Dry_Litterbag Placem_Collection'!L105)</f>
        <v>145</v>
      </c>
      <c r="AO326">
        <f>IF('Dry_Litterbag Placem_Collection'!M105=0,"",'Dry_Litterbag Placem_Collection'!M105)</f>
        <v>701</v>
      </c>
      <c r="AP326" t="b">
        <f t="shared" si="134"/>
        <v>0</v>
      </c>
      <c r="AQ326" t="b">
        <f t="shared" si="135"/>
        <v>0</v>
      </c>
      <c r="AT326" t="str">
        <f>'Ashed teabags dry'!A324</f>
        <v>G870</v>
      </c>
      <c r="AU326" t="str">
        <f>'Ashed teabags dry'!A661</f>
        <v>R824</v>
      </c>
      <c r="AV326" t="b">
        <f t="shared" si="136"/>
        <v>0</v>
      </c>
      <c r="AW326" t="b">
        <f t="shared" si="137"/>
        <v>0</v>
      </c>
      <c r="AZ326" s="401" t="b">
        <f t="shared" si="138"/>
        <v>0</v>
      </c>
      <c r="BA326" s="401" t="b">
        <f t="shared" si="139"/>
        <v>0</v>
      </c>
      <c r="BC326" t="str">
        <f>'Ashed teabags wet'!A324</f>
        <v>G786</v>
      </c>
      <c r="BD326" t="str">
        <f>'Ashed teabags wet'!A741</f>
        <v>R560</v>
      </c>
      <c r="BE326" t="b">
        <f t="shared" si="140"/>
        <v>0</v>
      </c>
      <c r="BF326" t="b">
        <f t="shared" si="141"/>
        <v>0</v>
      </c>
      <c r="BG326">
        <f>IFERROR('Ashed teabags wet'!C324,"")</f>
        <v>212</v>
      </c>
      <c r="BH326">
        <f>IFERROR('Ashed teabags wet'!C741,"")</f>
        <v>125</v>
      </c>
      <c r="BI326">
        <f>'Ashed teabags wet'!AB324</f>
        <v>211</v>
      </c>
      <c r="BJ326" t="str">
        <f>'Ashed teabags wet'!AC324</f>
        <v/>
      </c>
      <c r="BK326">
        <f>'Ashed teabags wet'!AD741</f>
        <v>124</v>
      </c>
      <c r="BL326" t="str">
        <f>'Ashed teabags wet'!AE741</f>
        <v/>
      </c>
      <c r="BN326" t="str">
        <f t="shared" si="142"/>
        <v>G785</v>
      </c>
      <c r="BO326" t="b">
        <f t="shared" ref="BO326:BO389" si="143">COUNTIF($BN$5:$BN$2000, BN326)&gt;1</f>
        <v>1</v>
      </c>
    </row>
    <row r="327" spans="2:67" ht="12" customHeight="1">
      <c r="B327" t="str">
        <f>TBIDry!H399</f>
        <v>G76</v>
      </c>
      <c r="C327" t="str">
        <f>TBIDry!I399</f>
        <v>R365</v>
      </c>
      <c r="D327" t="b">
        <f t="shared" si="120"/>
        <v>0</v>
      </c>
      <c r="E327" t="b">
        <f t="shared" si="121"/>
        <v>0</v>
      </c>
      <c r="G327" t="str">
        <f>TBIWet!H399</f>
        <v>G806</v>
      </c>
      <c r="H327" t="str">
        <f>TBIWet!I399</f>
        <v>R475</v>
      </c>
      <c r="I327" t="b">
        <f t="shared" si="122"/>
        <v>0</v>
      </c>
      <c r="J327" t="b">
        <f t="shared" si="123"/>
        <v>0</v>
      </c>
      <c r="L327" t="str">
        <f>'Both teabags AfterWet'!A326</f>
        <v>G786</v>
      </c>
      <c r="M327" t="str">
        <f>'Both teabags AfterWet'!A744</f>
        <v>R543</v>
      </c>
      <c r="N327" t="b">
        <f t="shared" si="124"/>
        <v>0</v>
      </c>
      <c r="O327" t="b">
        <f t="shared" si="125"/>
        <v>0</v>
      </c>
      <c r="P327">
        <f>IFERROR('Both teabags AfterWet'!B326,"")</f>
        <v>212</v>
      </c>
      <c r="Q327">
        <f>'Both teabags AfterWet'!B744</f>
        <v>136</v>
      </c>
      <c r="S327" s="401" t="b">
        <f t="shared" si="126"/>
        <v>0</v>
      </c>
      <c r="T327" s="401" t="b">
        <f t="shared" si="127"/>
        <v>0</v>
      </c>
      <c r="V327" t="str">
        <f>'Both teabags AfterDry'!A326</f>
        <v>G870</v>
      </c>
      <c r="W327" t="str">
        <f>'Both teabags AfterDry'!A663</f>
        <v>R828</v>
      </c>
      <c r="X327" t="b">
        <f t="shared" si="128"/>
        <v>0</v>
      </c>
      <c r="Y327" t="b">
        <f t="shared" si="129"/>
        <v>0</v>
      </c>
      <c r="AA327" t="str">
        <f>'Green_rooibos initial weight'!A328</f>
        <v>G324</v>
      </c>
      <c r="AB327" t="str">
        <f>'Green_rooibos initial weight'!A1232</f>
        <v>R324</v>
      </c>
      <c r="AC327" t="b">
        <f t="shared" si="130"/>
        <v>0</v>
      </c>
      <c r="AD327" t="b">
        <f t="shared" si="131"/>
        <v>0</v>
      </c>
      <c r="AG327" t="str">
        <f>'WetLitterbags placem_collection'!O106</f>
        <v>G806</v>
      </c>
      <c r="AH327" t="str">
        <f>'WetLitterbags placem_collection'!Q106</f>
        <v>R475</v>
      </c>
      <c r="AI327" t="b">
        <f t="shared" si="132"/>
        <v>0</v>
      </c>
      <c r="AJ327" t="b">
        <f t="shared" si="133"/>
        <v>0</v>
      </c>
      <c r="AK327">
        <f>'WetLitterbags placem_collection'!A106</f>
        <v>104</v>
      </c>
      <c r="AL327">
        <f>'WetLitterbags placem_collection'!A106</f>
        <v>104</v>
      </c>
      <c r="AN327">
        <f>IF('Dry_Litterbag Placem_Collection'!L106=0,"",'Dry_Litterbag Placem_Collection'!L106)</f>
        <v>76</v>
      </c>
      <c r="AO327">
        <f>IF('Dry_Litterbag Placem_Collection'!M106=0,"",'Dry_Litterbag Placem_Collection'!M106)</f>
        <v>365</v>
      </c>
      <c r="AP327" t="b">
        <f t="shared" si="134"/>
        <v>0</v>
      </c>
      <c r="AQ327" t="b">
        <f t="shared" si="135"/>
        <v>0</v>
      </c>
      <c r="AT327" t="str">
        <f>'Ashed teabags dry'!A325</f>
        <v>G872</v>
      </c>
      <c r="AU327" t="str">
        <f>'Ashed teabags dry'!A662</f>
        <v>R825</v>
      </c>
      <c r="AV327" t="b">
        <f t="shared" si="136"/>
        <v>0</v>
      </c>
      <c r="AW327" t="b">
        <f t="shared" si="137"/>
        <v>0</v>
      </c>
      <c r="AZ327" s="401" t="b">
        <f t="shared" si="138"/>
        <v>0</v>
      </c>
      <c r="BA327" s="401" t="b">
        <f t="shared" si="139"/>
        <v>0</v>
      </c>
      <c r="BC327" t="str">
        <f>'Ashed teabags wet'!A325</f>
        <v>G787</v>
      </c>
      <c r="BD327" t="str">
        <f>'Ashed teabags wet'!A742</f>
        <v>R561</v>
      </c>
      <c r="BE327" t="b">
        <f t="shared" si="140"/>
        <v>0</v>
      </c>
      <c r="BF327" t="b">
        <f t="shared" si="141"/>
        <v>0</v>
      </c>
      <c r="BG327">
        <f>IFERROR('Ashed teabags wet'!C325,"")</f>
        <v>140</v>
      </c>
      <c r="BH327">
        <f>IFERROR('Ashed teabags wet'!C742,"")</f>
        <v>98</v>
      </c>
      <c r="BI327">
        <f>'Ashed teabags wet'!AB325</f>
        <v>139</v>
      </c>
      <c r="BJ327" t="str">
        <f>'Ashed teabags wet'!AC325</f>
        <v/>
      </c>
      <c r="BK327" t="str">
        <f>'Ashed teabags wet'!AD742</f>
        <v/>
      </c>
      <c r="BL327">
        <f>'Ashed teabags wet'!AE742</f>
        <v>97</v>
      </c>
      <c r="BN327" t="str">
        <f t="shared" si="142"/>
        <v>G786</v>
      </c>
      <c r="BO327" t="b">
        <f t="shared" si="143"/>
        <v>1</v>
      </c>
    </row>
    <row r="328" spans="2:67" ht="12" customHeight="1">
      <c r="B328" t="str">
        <f>TBIDry!H400</f>
        <v>G57</v>
      </c>
      <c r="C328" t="str">
        <f>TBIDry!I400</f>
        <v>R212</v>
      </c>
      <c r="D328" t="b">
        <f t="shared" si="120"/>
        <v>0</v>
      </c>
      <c r="E328" t="b">
        <f t="shared" si="121"/>
        <v>0</v>
      </c>
      <c r="G328" t="str">
        <f>TBIWet!H400</f>
        <v>G861</v>
      </c>
      <c r="H328" t="str">
        <f>TBIWet!I400</f>
        <v>R540</v>
      </c>
      <c r="I328" t="b">
        <f t="shared" si="122"/>
        <v>0</v>
      </c>
      <c r="J328" t="b">
        <f t="shared" si="123"/>
        <v>0</v>
      </c>
      <c r="L328" t="str">
        <f>'Both teabags AfterWet'!A327</f>
        <v>G787</v>
      </c>
      <c r="M328" t="str">
        <f>'Both teabags AfterWet'!A745</f>
        <v>R544</v>
      </c>
      <c r="N328" t="b">
        <f t="shared" si="124"/>
        <v>0</v>
      </c>
      <c r="O328" t="b">
        <f t="shared" si="125"/>
        <v>0</v>
      </c>
      <c r="P328">
        <f>IFERROR('Both teabags AfterWet'!B327,"")</f>
        <v>140</v>
      </c>
      <c r="Q328">
        <f>'Both teabags AfterWet'!B745</f>
        <v>118</v>
      </c>
      <c r="S328" s="401" t="b">
        <f t="shared" si="126"/>
        <v>0</v>
      </c>
      <c r="T328" s="401" t="b">
        <f t="shared" si="127"/>
        <v>0</v>
      </c>
      <c r="V328" t="str">
        <f>'Both teabags AfterDry'!A327</f>
        <v>G872</v>
      </c>
      <c r="W328" t="str">
        <f>'Both teabags AfterDry'!A664</f>
        <v>R829</v>
      </c>
      <c r="X328" t="b">
        <f t="shared" si="128"/>
        <v>0</v>
      </c>
      <c r="Y328" t="b">
        <f t="shared" si="129"/>
        <v>0</v>
      </c>
      <c r="AA328" t="str">
        <f>'Green_rooibos initial weight'!A329</f>
        <v>G325</v>
      </c>
      <c r="AB328" t="str">
        <f>'Green_rooibos initial weight'!A1233</f>
        <v>R325</v>
      </c>
      <c r="AC328" t="b">
        <f t="shared" si="130"/>
        <v>0</v>
      </c>
      <c r="AD328" t="b">
        <f t="shared" si="131"/>
        <v>0</v>
      </c>
      <c r="AG328" t="str">
        <f>'WetLitterbags placem_collection'!O107</f>
        <v>G861</v>
      </c>
      <c r="AH328" t="str">
        <f>'WetLitterbags placem_collection'!Q107</f>
        <v>R540</v>
      </c>
      <c r="AI328" t="b">
        <f t="shared" si="132"/>
        <v>0</v>
      </c>
      <c r="AJ328" t="b">
        <f t="shared" si="133"/>
        <v>0</v>
      </c>
      <c r="AK328">
        <f>'WetLitterbags placem_collection'!A107</f>
        <v>105</v>
      </c>
      <c r="AL328">
        <f>'WetLitterbags placem_collection'!A107</f>
        <v>105</v>
      </c>
      <c r="AN328">
        <f>IF('Dry_Litterbag Placem_Collection'!L107=0,"",'Dry_Litterbag Placem_Collection'!L107)</f>
        <v>57</v>
      </c>
      <c r="AO328">
        <f>IF('Dry_Litterbag Placem_Collection'!M107=0,"",'Dry_Litterbag Placem_Collection'!M107)</f>
        <v>212</v>
      </c>
      <c r="AP328" t="b">
        <f t="shared" si="134"/>
        <v>0</v>
      </c>
      <c r="AQ328" t="b">
        <f t="shared" si="135"/>
        <v>0</v>
      </c>
      <c r="AT328" t="str">
        <f>'Ashed teabags dry'!A326</f>
        <v>G873</v>
      </c>
      <c r="AU328" t="str">
        <f>'Ashed teabags dry'!A663</f>
        <v>R826</v>
      </c>
      <c r="AV328" t="b">
        <f t="shared" si="136"/>
        <v>0</v>
      </c>
      <c r="AW328" t="b">
        <f t="shared" si="137"/>
        <v>0</v>
      </c>
      <c r="AZ328" s="401" t="b">
        <f t="shared" si="138"/>
        <v>0</v>
      </c>
      <c r="BA328" s="401" t="b">
        <f t="shared" si="139"/>
        <v>0</v>
      </c>
      <c r="BC328" t="str">
        <f>'Ashed teabags wet'!A326</f>
        <v>G789</v>
      </c>
      <c r="BD328" t="str">
        <f>'Ashed teabags wet'!A743</f>
        <v>R563</v>
      </c>
      <c r="BE328" t="b">
        <f t="shared" si="140"/>
        <v>0</v>
      </c>
      <c r="BF328" t="b">
        <f t="shared" si="141"/>
        <v>0</v>
      </c>
      <c r="BG328">
        <f>IFERROR('Ashed teabags wet'!C326,"")</f>
        <v>117</v>
      </c>
      <c r="BH328">
        <f>IFERROR('Ashed teabags wet'!C743,"")</f>
        <v>139</v>
      </c>
      <c r="BI328">
        <f>'Ashed teabags wet'!AB326</f>
        <v>116</v>
      </c>
      <c r="BJ328" t="str">
        <f>'Ashed teabags wet'!AC326</f>
        <v/>
      </c>
      <c r="BK328">
        <f>'Ashed teabags wet'!AD743</f>
        <v>138</v>
      </c>
      <c r="BL328" t="str">
        <f>'Ashed teabags wet'!AE743</f>
        <v/>
      </c>
      <c r="BN328" t="str">
        <f t="shared" si="142"/>
        <v>G787</v>
      </c>
      <c r="BO328" t="b">
        <f t="shared" si="143"/>
        <v>1</v>
      </c>
    </row>
    <row r="329" spans="2:67" ht="12" customHeight="1">
      <c r="B329" t="str">
        <f>TBIDry!H401</f>
        <v>G167</v>
      </c>
      <c r="C329" t="str">
        <f>TBIDry!I401</f>
        <v>R66</v>
      </c>
      <c r="D329" t="b">
        <f t="shared" si="120"/>
        <v>0</v>
      </c>
      <c r="E329" t="b">
        <f t="shared" si="121"/>
        <v>0</v>
      </c>
      <c r="G329" t="str">
        <f>TBIWet!H401</f>
        <v>G738</v>
      </c>
      <c r="H329" t="str">
        <f>TBIWet!I401</f>
        <v>R593</v>
      </c>
      <c r="I329" t="b">
        <f t="shared" si="122"/>
        <v>0</v>
      </c>
      <c r="J329" t="b">
        <f t="shared" si="123"/>
        <v>0</v>
      </c>
      <c r="L329" t="str">
        <f>'Both teabags AfterWet'!A328</f>
        <v>G789</v>
      </c>
      <c r="M329" t="str">
        <f>'Both teabags AfterWet'!A746</f>
        <v>R545</v>
      </c>
      <c r="N329" t="b">
        <f t="shared" si="124"/>
        <v>0</v>
      </c>
      <c r="O329" t="b">
        <f t="shared" si="125"/>
        <v>0</v>
      </c>
      <c r="P329">
        <f>IFERROR('Both teabags AfterWet'!B328,"")</f>
        <v>117</v>
      </c>
      <c r="Q329" t="str">
        <f>'Both teabags AfterWet'!B746</f>
        <v>n.a</v>
      </c>
      <c r="S329" s="401" t="b">
        <f t="shared" si="126"/>
        <v>0</v>
      </c>
      <c r="T329" s="401" t="b">
        <f t="shared" si="127"/>
        <v>0</v>
      </c>
      <c r="V329" t="str">
        <f>'Both teabags AfterDry'!A328</f>
        <v>G873</v>
      </c>
      <c r="W329" t="str">
        <f>'Both teabags AfterDry'!A665</f>
        <v>R830</v>
      </c>
      <c r="X329" t="b">
        <f t="shared" si="128"/>
        <v>0</v>
      </c>
      <c r="Y329" t="b">
        <f t="shared" si="129"/>
        <v>0</v>
      </c>
      <c r="AA329" t="str">
        <f>'Green_rooibos initial weight'!A330</f>
        <v>G326</v>
      </c>
      <c r="AB329" t="str">
        <f>'Green_rooibos initial weight'!A1234</f>
        <v>R326</v>
      </c>
      <c r="AC329" t="b">
        <f t="shared" si="130"/>
        <v>0</v>
      </c>
      <c r="AD329" t="b">
        <f t="shared" si="131"/>
        <v>0</v>
      </c>
      <c r="AG329" t="str">
        <f>'WetLitterbags placem_collection'!O108</f>
        <v>G738</v>
      </c>
      <c r="AH329" t="str">
        <f>'WetLitterbags placem_collection'!Q108</f>
        <v>R593</v>
      </c>
      <c r="AI329" t="b">
        <f t="shared" si="132"/>
        <v>0</v>
      </c>
      <c r="AJ329" t="b">
        <f t="shared" si="133"/>
        <v>0</v>
      </c>
      <c r="AK329">
        <f>'WetLitterbags placem_collection'!A108</f>
        <v>106</v>
      </c>
      <c r="AL329">
        <f>'WetLitterbags placem_collection'!A108</f>
        <v>106</v>
      </c>
      <c r="AN329">
        <f>IF('Dry_Litterbag Placem_Collection'!L108=0,"",'Dry_Litterbag Placem_Collection'!L108)</f>
        <v>167</v>
      </c>
      <c r="AO329">
        <f>IF('Dry_Litterbag Placem_Collection'!M108=0,"",'Dry_Litterbag Placem_Collection'!M108)</f>
        <v>66</v>
      </c>
      <c r="AP329" t="b">
        <f t="shared" si="134"/>
        <v>0</v>
      </c>
      <c r="AQ329" t="b">
        <f t="shared" si="135"/>
        <v>0</v>
      </c>
      <c r="AT329" t="str">
        <f>'Ashed teabags dry'!A327</f>
        <v>G874</v>
      </c>
      <c r="AU329" t="str">
        <f>'Ashed teabags dry'!A664</f>
        <v>R828</v>
      </c>
      <c r="AV329" t="b">
        <f t="shared" si="136"/>
        <v>0</v>
      </c>
      <c r="AW329" t="b">
        <f t="shared" si="137"/>
        <v>0</v>
      </c>
      <c r="AZ329" s="401" t="b">
        <f t="shared" si="138"/>
        <v>0</v>
      </c>
      <c r="BA329" s="401" t="b">
        <f t="shared" si="139"/>
        <v>0</v>
      </c>
      <c r="BC329" t="str">
        <f>'Ashed teabags wet'!A327</f>
        <v>G791</v>
      </c>
      <c r="BD329" t="str">
        <f>'Ashed teabags wet'!A744</f>
        <v>R564</v>
      </c>
      <c r="BE329" t="b">
        <f t="shared" si="140"/>
        <v>0</v>
      </c>
      <c r="BF329" t="b">
        <f t="shared" si="141"/>
        <v>0</v>
      </c>
      <c r="BG329">
        <f>IFERROR('Ashed teabags wet'!C327,"")</f>
        <v>118</v>
      </c>
      <c r="BH329">
        <f>IFERROR('Ashed teabags wet'!C744,"")</f>
        <v>121</v>
      </c>
      <c r="BI329" t="str">
        <f>'Ashed teabags wet'!AB327</f>
        <v/>
      </c>
      <c r="BJ329">
        <f>'Ashed teabags wet'!AC327</f>
        <v>117</v>
      </c>
      <c r="BK329" t="str">
        <f>'Ashed teabags wet'!AD744</f>
        <v/>
      </c>
      <c r="BL329">
        <f>'Ashed teabags wet'!AE744</f>
        <v>120</v>
      </c>
      <c r="BN329" t="str">
        <f t="shared" si="142"/>
        <v>G789</v>
      </c>
      <c r="BO329" t="b">
        <f t="shared" si="143"/>
        <v>1</v>
      </c>
    </row>
    <row r="330" spans="2:67" ht="12" customHeight="1">
      <c r="B330" t="str">
        <f>TBIDry!H402</f>
        <v>G208</v>
      </c>
      <c r="C330" t="str">
        <f>TBIDry!I402</f>
        <v>R347</v>
      </c>
      <c r="D330" t="b">
        <f t="shared" si="120"/>
        <v>0</v>
      </c>
      <c r="E330" t="b">
        <f t="shared" si="121"/>
        <v>0</v>
      </c>
      <c r="G330" t="str">
        <f>TBIWet!H402</f>
        <v>G676</v>
      </c>
      <c r="H330" t="str">
        <f>TBIWet!I402</f>
        <v>R510</v>
      </c>
      <c r="I330" t="b">
        <f t="shared" si="122"/>
        <v>0</v>
      </c>
      <c r="J330" t="b">
        <f t="shared" si="123"/>
        <v>0</v>
      </c>
      <c r="L330" t="str">
        <f>'Both teabags AfterWet'!A329</f>
        <v>G791</v>
      </c>
      <c r="M330" t="str">
        <f>'Both teabags AfterWet'!A747</f>
        <v>R547</v>
      </c>
      <c r="N330" t="b">
        <f t="shared" si="124"/>
        <v>0</v>
      </c>
      <c r="O330" t="b">
        <f t="shared" si="125"/>
        <v>0</v>
      </c>
      <c r="P330">
        <f>IFERROR('Both teabags AfterWet'!B329,"")</f>
        <v>118</v>
      </c>
      <c r="Q330">
        <f>'Both teabags AfterWet'!B747</f>
        <v>95</v>
      </c>
      <c r="S330" s="401" t="b">
        <f t="shared" si="126"/>
        <v>0</v>
      </c>
      <c r="T330" s="401" t="b">
        <f t="shared" si="127"/>
        <v>0</v>
      </c>
      <c r="V330" t="str">
        <f>'Both teabags AfterDry'!A329</f>
        <v>G874</v>
      </c>
      <c r="W330" t="str">
        <f>'Both teabags AfterDry'!A666</f>
        <v>R831</v>
      </c>
      <c r="X330" t="b">
        <f t="shared" si="128"/>
        <v>0</v>
      </c>
      <c r="Y330" t="b">
        <f t="shared" si="129"/>
        <v>0</v>
      </c>
      <c r="AA330" t="str">
        <f>'Green_rooibos initial weight'!A331</f>
        <v>G327</v>
      </c>
      <c r="AB330" t="str">
        <f>'Green_rooibos initial weight'!A1235</f>
        <v>R327</v>
      </c>
      <c r="AC330" t="b">
        <f t="shared" si="130"/>
        <v>0</v>
      </c>
      <c r="AD330" t="b">
        <f t="shared" si="131"/>
        <v>0</v>
      </c>
      <c r="AG330" t="str">
        <f>'WetLitterbags placem_collection'!O109</f>
        <v>G676</v>
      </c>
      <c r="AH330" t="str">
        <f>'WetLitterbags placem_collection'!Q109</f>
        <v>R510</v>
      </c>
      <c r="AI330" t="b">
        <f t="shared" si="132"/>
        <v>0</v>
      </c>
      <c r="AJ330" t="b">
        <f t="shared" si="133"/>
        <v>0</v>
      </c>
      <c r="AK330">
        <f>'WetLitterbags placem_collection'!A109</f>
        <v>107</v>
      </c>
      <c r="AL330">
        <f>'WetLitterbags placem_collection'!A109</f>
        <v>107</v>
      </c>
      <c r="AN330">
        <f>IF('Dry_Litterbag Placem_Collection'!L109=0,"",'Dry_Litterbag Placem_Collection'!L109)</f>
        <v>208</v>
      </c>
      <c r="AO330">
        <f>IF('Dry_Litterbag Placem_Collection'!M109=0,"",'Dry_Litterbag Placem_Collection'!M109)</f>
        <v>347</v>
      </c>
      <c r="AP330" t="b">
        <f t="shared" si="134"/>
        <v>0</v>
      </c>
      <c r="AQ330" t="b">
        <f t="shared" si="135"/>
        <v>0</v>
      </c>
      <c r="AT330" t="str">
        <f>'Ashed teabags dry'!A328</f>
        <v>G879</v>
      </c>
      <c r="AU330" t="str">
        <f>'Ashed teabags dry'!A665</f>
        <v>R829</v>
      </c>
      <c r="AV330" t="b">
        <f t="shared" si="136"/>
        <v>0</v>
      </c>
      <c r="AW330" t="b">
        <f t="shared" si="137"/>
        <v>0</v>
      </c>
      <c r="AZ330" s="401" t="b">
        <f t="shared" si="138"/>
        <v>0</v>
      </c>
      <c r="BA330" s="401" t="b">
        <f t="shared" si="139"/>
        <v>0</v>
      </c>
      <c r="BC330" t="str">
        <f>'Ashed teabags wet'!A328</f>
        <v>G793</v>
      </c>
      <c r="BD330" t="str">
        <f>'Ashed teabags wet'!A745</f>
        <v>R566</v>
      </c>
      <c r="BE330" t="b">
        <f t="shared" si="140"/>
        <v>0</v>
      </c>
      <c r="BF330" t="b">
        <f t="shared" si="141"/>
        <v>0</v>
      </c>
      <c r="BG330">
        <f>IFERROR('Ashed teabags wet'!C328,"")</f>
        <v>125</v>
      </c>
      <c r="BH330">
        <f>IFERROR('Ashed teabags wet'!C745,"")</f>
        <v>19</v>
      </c>
      <c r="BI330">
        <f>'Ashed teabags wet'!AB328</f>
        <v>124</v>
      </c>
      <c r="BJ330" t="str">
        <f>'Ashed teabags wet'!AC328</f>
        <v/>
      </c>
      <c r="BK330" t="str">
        <f>'Ashed teabags wet'!AD745</f>
        <v/>
      </c>
      <c r="BL330">
        <f>'Ashed teabags wet'!AE745</f>
        <v>18</v>
      </c>
      <c r="BN330" t="str">
        <f t="shared" si="142"/>
        <v>G791</v>
      </c>
      <c r="BO330" t="b">
        <f t="shared" si="143"/>
        <v>1</v>
      </c>
    </row>
    <row r="331" spans="2:67" ht="12" customHeight="1">
      <c r="B331" t="str">
        <f>TBIDry!H403</f>
        <v>G62</v>
      </c>
      <c r="C331" t="str">
        <f>TBIDry!I403</f>
        <v>R206</v>
      </c>
      <c r="D331" t="b">
        <f t="shared" si="120"/>
        <v>0</v>
      </c>
      <c r="E331" t="b">
        <f t="shared" si="121"/>
        <v>0</v>
      </c>
      <c r="G331" t="str">
        <f>TBIWet!H403</f>
        <v>G845</v>
      </c>
      <c r="H331" t="str">
        <f>TBIWet!I403</f>
        <v>R509</v>
      </c>
      <c r="I331" t="b">
        <f t="shared" si="122"/>
        <v>0</v>
      </c>
      <c r="J331" t="b">
        <f t="shared" si="123"/>
        <v>0</v>
      </c>
      <c r="L331" t="str">
        <f>'Both teabags AfterWet'!A330</f>
        <v>G793</v>
      </c>
      <c r="M331" t="str">
        <f>'Both teabags AfterWet'!A748</f>
        <v>R548</v>
      </c>
      <c r="N331" t="b">
        <f t="shared" si="124"/>
        <v>0</v>
      </c>
      <c r="O331" t="b">
        <f t="shared" si="125"/>
        <v>0</v>
      </c>
      <c r="P331">
        <f>IFERROR('Both teabags AfterWet'!B330,"")</f>
        <v>125</v>
      </c>
      <c r="Q331">
        <f>'Both teabags AfterWet'!B748</f>
        <v>105</v>
      </c>
      <c r="S331" s="401" t="b">
        <f t="shared" si="126"/>
        <v>0</v>
      </c>
      <c r="T331" s="401" t="b">
        <f t="shared" si="127"/>
        <v>0</v>
      </c>
      <c r="V331" t="str">
        <f>'Both teabags AfterDry'!A330</f>
        <v>G879</v>
      </c>
      <c r="W331" t="str">
        <f>'Both teabags AfterDry'!A667</f>
        <v>R832</v>
      </c>
      <c r="X331" t="b">
        <f t="shared" si="128"/>
        <v>0</v>
      </c>
      <c r="Y331" t="b">
        <f t="shared" si="129"/>
        <v>0</v>
      </c>
      <c r="AA331" t="str">
        <f>'Green_rooibos initial weight'!A332</f>
        <v>G328</v>
      </c>
      <c r="AB331" t="str">
        <f>'Green_rooibos initial weight'!A1236</f>
        <v>R328</v>
      </c>
      <c r="AC331" t="b">
        <f t="shared" si="130"/>
        <v>0</v>
      </c>
      <c r="AD331" t="b">
        <f t="shared" si="131"/>
        <v>0</v>
      </c>
      <c r="AG331" t="str">
        <f>'WetLitterbags placem_collection'!O110</f>
        <v>G845</v>
      </c>
      <c r="AH331" t="str">
        <f>'WetLitterbags placem_collection'!Q110</f>
        <v>R509</v>
      </c>
      <c r="AI331" t="b">
        <f t="shared" si="132"/>
        <v>0</v>
      </c>
      <c r="AJ331" t="b">
        <f t="shared" si="133"/>
        <v>0</v>
      </c>
      <c r="AK331">
        <f>'WetLitterbags placem_collection'!A110</f>
        <v>108</v>
      </c>
      <c r="AL331">
        <f>'WetLitterbags placem_collection'!A110</f>
        <v>108</v>
      </c>
      <c r="AN331">
        <f>IF('Dry_Litterbag Placem_Collection'!L110=0,"",'Dry_Litterbag Placem_Collection'!L110)</f>
        <v>62</v>
      </c>
      <c r="AO331">
        <f>IF('Dry_Litterbag Placem_Collection'!M110=0,"",'Dry_Litterbag Placem_Collection'!M110)</f>
        <v>206</v>
      </c>
      <c r="AP331" t="b">
        <f t="shared" si="134"/>
        <v>0</v>
      </c>
      <c r="AQ331" t="b">
        <f t="shared" si="135"/>
        <v>0</v>
      </c>
      <c r="AT331" t="str">
        <f>'Ashed teabags dry'!A329</f>
        <v>G88</v>
      </c>
      <c r="AU331" t="str">
        <f>'Ashed teabags dry'!A666</f>
        <v>R830</v>
      </c>
      <c r="AV331" t="b">
        <f t="shared" si="136"/>
        <v>0</v>
      </c>
      <c r="AW331" t="b">
        <f t="shared" si="137"/>
        <v>0</v>
      </c>
      <c r="AZ331" s="401" t="b">
        <f t="shared" si="138"/>
        <v>0</v>
      </c>
      <c r="BA331" s="401" t="b">
        <f t="shared" si="139"/>
        <v>0</v>
      </c>
      <c r="BC331" t="str">
        <f>'Ashed teabags wet'!A329</f>
        <v>G795</v>
      </c>
      <c r="BD331" t="str">
        <f>'Ashed teabags wet'!A746</f>
        <v>R567</v>
      </c>
      <c r="BE331" t="b">
        <f t="shared" si="140"/>
        <v>0</v>
      </c>
      <c r="BF331" t="b">
        <f t="shared" si="141"/>
        <v>0</v>
      </c>
      <c r="BG331">
        <f>IFERROR('Ashed teabags wet'!C329,"")</f>
        <v>217</v>
      </c>
      <c r="BH331">
        <f>IFERROR('Ashed teabags wet'!C746,"")</f>
        <v>143</v>
      </c>
      <c r="BI331">
        <f>'Ashed teabags wet'!AB329</f>
        <v>216</v>
      </c>
      <c r="BJ331" t="str">
        <f>'Ashed teabags wet'!AC329</f>
        <v/>
      </c>
      <c r="BK331" t="str">
        <f>'Ashed teabags wet'!AD746</f>
        <v/>
      </c>
      <c r="BL331">
        <f>'Ashed teabags wet'!AE746</f>
        <v>142</v>
      </c>
      <c r="BN331" t="str">
        <f t="shared" si="142"/>
        <v>G793</v>
      </c>
      <c r="BO331" t="b">
        <f t="shared" si="143"/>
        <v>1</v>
      </c>
    </row>
    <row r="332" spans="2:67" ht="12" customHeight="1">
      <c r="B332" t="str">
        <f>TBIDry!H404</f>
        <v>G102</v>
      </c>
      <c r="C332" t="str">
        <f>TBIDry!I404</f>
        <v>R299</v>
      </c>
      <c r="D332" t="b">
        <f t="shared" si="120"/>
        <v>0</v>
      </c>
      <c r="E332" t="b">
        <f t="shared" si="121"/>
        <v>0</v>
      </c>
      <c r="G332" t="str">
        <f>TBIWet!H404</f>
        <v>G887</v>
      </c>
      <c r="H332" t="str">
        <f>TBIWet!I404</f>
        <v>R33</v>
      </c>
      <c r="I332" t="b">
        <f t="shared" si="122"/>
        <v>0</v>
      </c>
      <c r="J332" t="b">
        <f t="shared" si="123"/>
        <v>0</v>
      </c>
      <c r="L332" t="str">
        <f>'Both teabags AfterWet'!A331</f>
        <v>G795</v>
      </c>
      <c r="M332" t="str">
        <f>'Both teabags AfterWet'!A749</f>
        <v>R549</v>
      </c>
      <c r="N332" t="b">
        <f t="shared" si="124"/>
        <v>0</v>
      </c>
      <c r="O332" t="b">
        <f t="shared" si="125"/>
        <v>0</v>
      </c>
      <c r="P332">
        <f>IFERROR('Both teabags AfterWet'!B331,"")</f>
        <v>217</v>
      </c>
      <c r="Q332">
        <f>'Both teabags AfterWet'!B749</f>
        <v>99</v>
      </c>
      <c r="S332" s="401" t="b">
        <f t="shared" si="126"/>
        <v>0</v>
      </c>
      <c r="T332" s="401" t="b">
        <f t="shared" si="127"/>
        <v>0</v>
      </c>
      <c r="V332" t="str">
        <f>'Both teabags AfterDry'!A331</f>
        <v>G88</v>
      </c>
      <c r="W332" t="str">
        <f>'Both teabags AfterDry'!A668</f>
        <v>R833</v>
      </c>
      <c r="X332" t="b">
        <f t="shared" si="128"/>
        <v>0</v>
      </c>
      <c r="Y332" t="b">
        <f t="shared" si="129"/>
        <v>0</v>
      </c>
      <c r="AA332" t="str">
        <f>'Green_rooibos initial weight'!A333</f>
        <v>G329</v>
      </c>
      <c r="AB332" t="str">
        <f>'Green_rooibos initial weight'!A1237</f>
        <v>R329</v>
      </c>
      <c r="AC332" t="b">
        <f t="shared" si="130"/>
        <v>0</v>
      </c>
      <c r="AD332" t="b">
        <f t="shared" si="131"/>
        <v>0</v>
      </c>
      <c r="AG332" t="str">
        <f>'WetLitterbags placem_collection'!O111</f>
        <v>G887</v>
      </c>
      <c r="AH332" t="str">
        <f>'WetLitterbags placem_collection'!Q111</f>
        <v>R33</v>
      </c>
      <c r="AI332" t="b">
        <f t="shared" si="132"/>
        <v>0</v>
      </c>
      <c r="AJ332" t="b">
        <f t="shared" si="133"/>
        <v>0</v>
      </c>
      <c r="AK332">
        <f>'WetLitterbags placem_collection'!A111</f>
        <v>109</v>
      </c>
      <c r="AL332">
        <f>'WetLitterbags placem_collection'!A111</f>
        <v>109</v>
      </c>
      <c r="AN332">
        <f>IF('Dry_Litterbag Placem_Collection'!L111=0,"",'Dry_Litterbag Placem_Collection'!L111)</f>
        <v>102</v>
      </c>
      <c r="AO332">
        <f>IF('Dry_Litterbag Placem_Collection'!M111=0,"",'Dry_Litterbag Placem_Collection'!M111)</f>
        <v>299</v>
      </c>
      <c r="AP332" t="b">
        <f t="shared" si="134"/>
        <v>0</v>
      </c>
      <c r="AQ332" t="b">
        <f t="shared" si="135"/>
        <v>0</v>
      </c>
      <c r="AT332" t="str">
        <f>'Ashed teabags dry'!A330</f>
        <v>G90</v>
      </c>
      <c r="AU332" t="str">
        <f>'Ashed teabags dry'!A667</f>
        <v>R831</v>
      </c>
      <c r="AV332" t="b">
        <f t="shared" si="136"/>
        <v>0</v>
      </c>
      <c r="AW332" t="b">
        <f t="shared" si="137"/>
        <v>0</v>
      </c>
      <c r="AZ332" s="401" t="b">
        <f t="shared" si="138"/>
        <v>0</v>
      </c>
      <c r="BA332" s="401" t="b">
        <f t="shared" si="139"/>
        <v>0</v>
      </c>
      <c r="BC332" t="str">
        <f>'Ashed teabags wet'!A330</f>
        <v>G796</v>
      </c>
      <c r="BD332" t="str">
        <f>'Ashed teabags wet'!A747</f>
        <v>R569</v>
      </c>
      <c r="BE332" t="b">
        <f t="shared" si="140"/>
        <v>0</v>
      </c>
      <c r="BF332" t="b">
        <f t="shared" si="141"/>
        <v>0</v>
      </c>
      <c r="BG332">
        <f>IFERROR('Ashed teabags wet'!C330,"")</f>
        <v>211</v>
      </c>
      <c r="BH332">
        <f>IFERROR('Ashed teabags wet'!C747,"")</f>
        <v>102</v>
      </c>
      <c r="BI332" t="str">
        <f>'Ashed teabags wet'!AB330</f>
        <v/>
      </c>
      <c r="BJ332">
        <f>'Ashed teabags wet'!AC330</f>
        <v>210</v>
      </c>
      <c r="BK332">
        <f>'Ashed teabags wet'!AD747</f>
        <v>101</v>
      </c>
      <c r="BL332" t="str">
        <f>'Ashed teabags wet'!AE747</f>
        <v/>
      </c>
      <c r="BN332" t="str">
        <f t="shared" si="142"/>
        <v>G795</v>
      </c>
      <c r="BO332" t="b">
        <f t="shared" si="143"/>
        <v>1</v>
      </c>
    </row>
    <row r="333" spans="2:67" ht="12" customHeight="1">
      <c r="B333" t="str">
        <f>TBIDry!H405</f>
        <v>G265</v>
      </c>
      <c r="C333" t="str">
        <f>TBIDry!I405</f>
        <v>R636</v>
      </c>
      <c r="D333" t="b">
        <f t="shared" si="120"/>
        <v>0</v>
      </c>
      <c r="E333" t="b">
        <f t="shared" si="121"/>
        <v>0</v>
      </c>
      <c r="G333" t="str">
        <f>TBIWet!H405</f>
        <v>G882</v>
      </c>
      <c r="H333" t="str">
        <f>TBIWet!I405</f>
        <v>R54a</v>
      </c>
      <c r="I333" t="b">
        <f t="shared" si="122"/>
        <v>0</v>
      </c>
      <c r="J333" t="b">
        <f t="shared" si="123"/>
        <v>0</v>
      </c>
      <c r="L333" t="str">
        <f>'Both teabags AfterWet'!A332</f>
        <v>G796</v>
      </c>
      <c r="M333" t="str">
        <f>'Both teabags AfterWet'!A750</f>
        <v>R54a</v>
      </c>
      <c r="N333" t="b">
        <f t="shared" si="124"/>
        <v>0</v>
      </c>
      <c r="O333" t="b">
        <f t="shared" si="125"/>
        <v>0</v>
      </c>
      <c r="P333">
        <f>IFERROR('Both teabags AfterWet'!B332,"")</f>
        <v>221</v>
      </c>
      <c r="Q333" t="str">
        <f>'Both teabags AfterWet'!B750</f>
        <v>n.a</v>
      </c>
      <c r="S333" s="401" t="b">
        <f t="shared" si="126"/>
        <v>0</v>
      </c>
      <c r="T333" s="401" t="b">
        <f t="shared" si="127"/>
        <v>0</v>
      </c>
      <c r="V333" t="str">
        <f>'Both teabags AfterDry'!A332</f>
        <v>G90</v>
      </c>
      <c r="W333" t="str">
        <f>'Both teabags AfterDry'!A669</f>
        <v>R835</v>
      </c>
      <c r="X333" t="b">
        <f t="shared" si="128"/>
        <v>0</v>
      </c>
      <c r="Y333" t="b">
        <f t="shared" si="129"/>
        <v>0</v>
      </c>
      <c r="AA333" t="str">
        <f>'Green_rooibos initial weight'!A334</f>
        <v>G330</v>
      </c>
      <c r="AB333" t="str">
        <f>'Green_rooibos initial weight'!A1238</f>
        <v>R330</v>
      </c>
      <c r="AC333" t="b">
        <f t="shared" si="130"/>
        <v>0</v>
      </c>
      <c r="AD333" t="b">
        <f t="shared" si="131"/>
        <v>0</v>
      </c>
      <c r="AG333" t="str">
        <f>'WetLitterbags placem_collection'!O112</f>
        <v>G882</v>
      </c>
      <c r="AH333" t="str">
        <f>'WetLitterbags placem_collection'!Q112</f>
        <v>R54a</v>
      </c>
      <c r="AI333" t="b">
        <f t="shared" si="132"/>
        <v>0</v>
      </c>
      <c r="AJ333" t="b">
        <f t="shared" si="133"/>
        <v>0</v>
      </c>
      <c r="AK333">
        <f>'WetLitterbags placem_collection'!A112</f>
        <v>110</v>
      </c>
      <c r="AL333">
        <f>'WetLitterbags placem_collection'!A112</f>
        <v>110</v>
      </c>
      <c r="AN333">
        <f>IF('Dry_Litterbag Placem_Collection'!L112=0,"",'Dry_Litterbag Placem_Collection'!L112)</f>
        <v>265</v>
      </c>
      <c r="AO333">
        <f>IF('Dry_Litterbag Placem_Collection'!M112=0,"",'Dry_Litterbag Placem_Collection'!M112)</f>
        <v>636</v>
      </c>
      <c r="AP333" t="b">
        <f t="shared" si="134"/>
        <v>0</v>
      </c>
      <c r="AQ333" t="b">
        <f t="shared" si="135"/>
        <v>0</v>
      </c>
      <c r="AT333" t="str">
        <f>'Ashed teabags dry'!A331</f>
        <v>G91</v>
      </c>
      <c r="AU333" t="str">
        <f>'Ashed teabags dry'!A668</f>
        <v>R832</v>
      </c>
      <c r="AV333" t="b">
        <f t="shared" si="136"/>
        <v>0</v>
      </c>
      <c r="AW333" t="b">
        <f t="shared" si="137"/>
        <v>0</v>
      </c>
      <c r="AZ333" s="401" t="b">
        <f t="shared" si="138"/>
        <v>0</v>
      </c>
      <c r="BA333" s="401" t="b">
        <f t="shared" si="139"/>
        <v>0</v>
      </c>
      <c r="BC333" t="str">
        <f>'Ashed teabags wet'!A331</f>
        <v>G798</v>
      </c>
      <c r="BD333" t="str">
        <f>'Ashed teabags wet'!A748</f>
        <v>R570</v>
      </c>
      <c r="BE333" t="b">
        <f t="shared" si="140"/>
        <v>0</v>
      </c>
      <c r="BF333" t="b">
        <f t="shared" si="141"/>
        <v>0</v>
      </c>
      <c r="BG333">
        <f>IFERROR('Ashed teabags wet'!C331,"")</f>
        <v>139</v>
      </c>
      <c r="BH333">
        <f>IFERROR('Ashed teabags wet'!C748,"")</f>
        <v>158</v>
      </c>
      <c r="BI333">
        <f>'Ashed teabags wet'!AB331</f>
        <v>138</v>
      </c>
      <c r="BJ333" t="str">
        <f>'Ashed teabags wet'!AC331</f>
        <v/>
      </c>
      <c r="BK333" t="str">
        <f>'Ashed teabags wet'!AD748</f>
        <v/>
      </c>
      <c r="BL333">
        <f>'Ashed teabags wet'!AE748</f>
        <v>157</v>
      </c>
      <c r="BN333" t="str">
        <f t="shared" si="142"/>
        <v>G796</v>
      </c>
      <c r="BO333" t="b">
        <f t="shared" si="143"/>
        <v>1</v>
      </c>
    </row>
    <row r="334" spans="2:67" ht="12" customHeight="1">
      <c r="B334" t="str">
        <f>TBIDry!H406</f>
        <v>G455</v>
      </c>
      <c r="C334" t="str">
        <f>TBIDry!I406</f>
        <v>R239</v>
      </c>
      <c r="D334" t="b">
        <f t="shared" si="120"/>
        <v>0</v>
      </c>
      <c r="E334" t="b">
        <f t="shared" si="121"/>
        <v>0</v>
      </c>
      <c r="G334" t="str">
        <f>TBIWet!H406</f>
        <v>G695</v>
      </c>
      <c r="H334" t="str">
        <f>TBIWet!I406</f>
        <v>R487</v>
      </c>
      <c r="I334" t="b">
        <f t="shared" si="122"/>
        <v>0</v>
      </c>
      <c r="J334" t="b">
        <f t="shared" si="123"/>
        <v>0</v>
      </c>
      <c r="L334" t="str">
        <f>'Both teabags AfterWet'!A333</f>
        <v>G798</v>
      </c>
      <c r="M334" t="str">
        <f>'Both teabags AfterWet'!A751</f>
        <v>R54b</v>
      </c>
      <c r="N334" t="b">
        <f t="shared" si="124"/>
        <v>0</v>
      </c>
      <c r="O334" t="b">
        <f t="shared" si="125"/>
        <v>0</v>
      </c>
      <c r="P334">
        <f>IFERROR('Both teabags AfterWet'!B333,"")</f>
        <v>139</v>
      </c>
      <c r="Q334">
        <f>'Both teabags AfterWet'!B751</f>
        <v>55</v>
      </c>
      <c r="S334" s="401" t="b">
        <f t="shared" si="126"/>
        <v>0</v>
      </c>
      <c r="T334" s="401" t="b">
        <f t="shared" si="127"/>
        <v>0</v>
      </c>
      <c r="V334" t="str">
        <f>'Both teabags AfterDry'!A333</f>
        <v>G91</v>
      </c>
      <c r="W334" t="str">
        <f>'Both teabags AfterDry'!A670</f>
        <v>R836</v>
      </c>
      <c r="X334" t="b">
        <f t="shared" si="128"/>
        <v>0</v>
      </c>
      <c r="Y334" t="b">
        <f t="shared" si="129"/>
        <v>0</v>
      </c>
      <c r="AA334" t="str">
        <f>'Green_rooibos initial weight'!A335</f>
        <v>G331</v>
      </c>
      <c r="AB334" t="str">
        <f>'Green_rooibos initial weight'!A1239</f>
        <v>R331</v>
      </c>
      <c r="AC334" t="b">
        <f t="shared" si="130"/>
        <v>0</v>
      </c>
      <c r="AD334" t="b">
        <f t="shared" si="131"/>
        <v>0</v>
      </c>
      <c r="AG334" t="str">
        <f>'WetLitterbags placem_collection'!O113</f>
        <v>G695</v>
      </c>
      <c r="AH334" t="str">
        <f>'WetLitterbags placem_collection'!Q113</f>
        <v>R487</v>
      </c>
      <c r="AI334" t="b">
        <f t="shared" si="132"/>
        <v>0</v>
      </c>
      <c r="AJ334" t="b">
        <f t="shared" si="133"/>
        <v>0</v>
      </c>
      <c r="AK334">
        <f>'WetLitterbags placem_collection'!A113</f>
        <v>111</v>
      </c>
      <c r="AL334">
        <f>'WetLitterbags placem_collection'!A113</f>
        <v>111</v>
      </c>
      <c r="AN334">
        <f>IF('Dry_Litterbag Placem_Collection'!L113=0,"",'Dry_Litterbag Placem_Collection'!L113)</f>
        <v>455</v>
      </c>
      <c r="AO334">
        <f>IF('Dry_Litterbag Placem_Collection'!M113=0,"",'Dry_Litterbag Placem_Collection'!M113)</f>
        <v>239</v>
      </c>
      <c r="AP334" t="b">
        <f t="shared" si="134"/>
        <v>0</v>
      </c>
      <c r="AQ334" t="b">
        <f t="shared" si="135"/>
        <v>0</v>
      </c>
      <c r="AT334" t="str">
        <f>'Ashed teabags dry'!A332</f>
        <v>G92</v>
      </c>
      <c r="AU334" t="str">
        <f>'Ashed teabags dry'!A669</f>
        <v>R833</v>
      </c>
      <c r="AV334" t="b">
        <f t="shared" si="136"/>
        <v>0</v>
      </c>
      <c r="AW334" t="b">
        <f t="shared" si="137"/>
        <v>0</v>
      </c>
      <c r="AZ334" s="401" t="b">
        <f t="shared" si="138"/>
        <v>0</v>
      </c>
      <c r="BA334" s="401" t="b">
        <f t="shared" si="139"/>
        <v>0</v>
      </c>
      <c r="BC334" t="str">
        <f>'Ashed teabags wet'!A332</f>
        <v>G799</v>
      </c>
      <c r="BD334" t="str">
        <f>'Ashed teabags wet'!A749</f>
        <v>R571</v>
      </c>
      <c r="BE334" t="b">
        <f t="shared" si="140"/>
        <v>0</v>
      </c>
      <c r="BF334" t="b">
        <f t="shared" si="141"/>
        <v>0</v>
      </c>
      <c r="BG334">
        <f>IFERROR('Ashed teabags wet'!C332,"")</f>
        <v>133</v>
      </c>
      <c r="BH334">
        <f>IFERROR('Ashed teabags wet'!C749,"")</f>
        <v>144</v>
      </c>
      <c r="BI334" t="str">
        <f>'Ashed teabags wet'!AB332</f>
        <v/>
      </c>
      <c r="BJ334">
        <f>'Ashed teabags wet'!AC332</f>
        <v>132</v>
      </c>
      <c r="BK334">
        <f>'Ashed teabags wet'!AD749</f>
        <v>143</v>
      </c>
      <c r="BL334" t="str">
        <f>'Ashed teabags wet'!AE749</f>
        <v/>
      </c>
      <c r="BN334" t="str">
        <f t="shared" si="142"/>
        <v>G798</v>
      </c>
      <c r="BO334" t="b">
        <f t="shared" si="143"/>
        <v>1</v>
      </c>
    </row>
    <row r="335" spans="2:67" ht="12" customHeight="1">
      <c r="B335" t="str">
        <f>TBIDry!H407</f>
        <v/>
      </c>
      <c r="C335" t="str">
        <f>TBIDry!I407</f>
        <v/>
      </c>
      <c r="D335" t="b">
        <f t="shared" si="120"/>
        <v>1</v>
      </c>
      <c r="E335" t="b">
        <f t="shared" si="121"/>
        <v>1</v>
      </c>
      <c r="G335" t="str">
        <f>TBIWet!H407</f>
        <v>G852</v>
      </c>
      <c r="H335" t="str">
        <f>TBIWet!I407</f>
        <v>R530</v>
      </c>
      <c r="I335" t="b">
        <f t="shared" si="122"/>
        <v>0</v>
      </c>
      <c r="J335" t="b">
        <f t="shared" si="123"/>
        <v>0</v>
      </c>
      <c r="L335" t="str">
        <f>'Both teabags AfterWet'!A334</f>
        <v>G799</v>
      </c>
      <c r="M335" t="str">
        <f>'Both teabags AfterWet'!A752</f>
        <v>R55</v>
      </c>
      <c r="N335" t="b">
        <f t="shared" si="124"/>
        <v>0</v>
      </c>
      <c r="O335" t="b">
        <f t="shared" si="125"/>
        <v>0</v>
      </c>
      <c r="P335" t="str">
        <f>IFERROR('Both teabags AfterWet'!B334,"")</f>
        <v>n.a</v>
      </c>
      <c r="Q335">
        <f>'Both teabags AfterWet'!B752</f>
        <v>126</v>
      </c>
      <c r="S335" s="401" t="b">
        <f t="shared" si="126"/>
        <v>0</v>
      </c>
      <c r="T335" s="401" t="b">
        <f t="shared" si="127"/>
        <v>0</v>
      </c>
      <c r="V335" t="str">
        <f>'Both teabags AfterDry'!A334</f>
        <v>G92</v>
      </c>
      <c r="W335" t="str">
        <f>'Both teabags AfterDry'!A671</f>
        <v>R837</v>
      </c>
      <c r="X335" t="b">
        <f t="shared" si="128"/>
        <v>0</v>
      </c>
      <c r="Y335" t="b">
        <f t="shared" si="129"/>
        <v>0</v>
      </c>
      <c r="AA335" t="str">
        <f>'Green_rooibos initial weight'!A336</f>
        <v>G332</v>
      </c>
      <c r="AB335" t="str">
        <f>'Green_rooibos initial weight'!A1240</f>
        <v>R332</v>
      </c>
      <c r="AC335" t="b">
        <f t="shared" si="130"/>
        <v>0</v>
      </c>
      <c r="AD335" t="b">
        <f t="shared" si="131"/>
        <v>0</v>
      </c>
      <c r="AG335" t="str">
        <f>'WetLitterbags placem_collection'!O114</f>
        <v>G852</v>
      </c>
      <c r="AH335" t="str">
        <f>'WetLitterbags placem_collection'!Q114</f>
        <v>R530</v>
      </c>
      <c r="AI335" t="b">
        <f t="shared" si="132"/>
        <v>0</v>
      </c>
      <c r="AJ335" t="b">
        <f t="shared" si="133"/>
        <v>0</v>
      </c>
      <c r="AK335">
        <f>'WetLitterbags placem_collection'!A114</f>
        <v>112</v>
      </c>
      <c r="AL335">
        <f>'WetLitterbags placem_collection'!A114</f>
        <v>112</v>
      </c>
      <c r="AN335" t="str">
        <f>IF('Dry_Litterbag Placem_Collection'!L114=0,"",'Dry_Litterbag Placem_Collection'!L114)</f>
        <v/>
      </c>
      <c r="AO335" t="str">
        <f>IF('Dry_Litterbag Placem_Collection'!M114=0,"",'Dry_Litterbag Placem_Collection'!M114)</f>
        <v/>
      </c>
      <c r="AP335" t="b">
        <f t="shared" si="134"/>
        <v>1</v>
      </c>
      <c r="AQ335" t="b">
        <f t="shared" si="135"/>
        <v>1</v>
      </c>
      <c r="AT335" t="str">
        <f>'Ashed teabags dry'!A333</f>
        <v>G93</v>
      </c>
      <c r="AU335" t="str">
        <f>'Ashed teabags dry'!A670</f>
        <v>R835</v>
      </c>
      <c r="AV335" t="b">
        <f t="shared" si="136"/>
        <v>0</v>
      </c>
      <c r="AW335" t="b">
        <f t="shared" si="137"/>
        <v>0</v>
      </c>
      <c r="AZ335" s="401" t="b">
        <f t="shared" si="138"/>
        <v>0</v>
      </c>
      <c r="BA335" s="401" t="b">
        <f t="shared" si="139"/>
        <v>0</v>
      </c>
      <c r="BC335" t="str">
        <f>'Ashed teabags wet'!A333</f>
        <v>G800</v>
      </c>
      <c r="BD335" t="str">
        <f>'Ashed teabags wet'!A750</f>
        <v>R572</v>
      </c>
      <c r="BE335" t="b">
        <f t="shared" si="140"/>
        <v>0</v>
      </c>
      <c r="BF335" t="b">
        <f t="shared" si="141"/>
        <v>0</v>
      </c>
      <c r="BG335">
        <f>IFERROR('Ashed teabags wet'!C333,"")</f>
        <v>153</v>
      </c>
      <c r="BH335">
        <f>IFERROR('Ashed teabags wet'!C750,"")</f>
        <v>150</v>
      </c>
      <c r="BI335">
        <f>'Ashed teabags wet'!AB333</f>
        <v>152</v>
      </c>
      <c r="BJ335" t="str">
        <f>'Ashed teabags wet'!AC333</f>
        <v/>
      </c>
      <c r="BK335" t="str">
        <f>'Ashed teabags wet'!AD750</f>
        <v/>
      </c>
      <c r="BL335">
        <f>'Ashed teabags wet'!AE750</f>
        <v>149</v>
      </c>
      <c r="BN335" t="str">
        <f t="shared" si="142"/>
        <v>G799</v>
      </c>
      <c r="BO335" t="b">
        <f t="shared" si="143"/>
        <v>1</v>
      </c>
    </row>
    <row r="336" spans="2:67" ht="12" customHeight="1">
      <c r="B336" t="str">
        <f>TBIDry!H408</f>
        <v>G490</v>
      </c>
      <c r="C336" t="str">
        <f>TBIDry!I408</f>
        <v>R313</v>
      </c>
      <c r="D336" t="b">
        <f t="shared" si="120"/>
        <v>0</v>
      </c>
      <c r="E336" t="b">
        <f t="shared" si="121"/>
        <v>0</v>
      </c>
      <c r="G336" t="str">
        <f>TBIWet!H408</f>
        <v>G769</v>
      </c>
      <c r="H336" t="str">
        <f>TBIWet!I408</f>
        <v>R578</v>
      </c>
      <c r="I336" t="b">
        <f t="shared" si="122"/>
        <v>0</v>
      </c>
      <c r="J336" t="b">
        <f t="shared" si="123"/>
        <v>0</v>
      </c>
      <c r="L336" t="str">
        <f>'Both teabags AfterWet'!A335</f>
        <v>G800</v>
      </c>
      <c r="M336" t="str">
        <f>'Both teabags AfterWet'!A753</f>
        <v>R550</v>
      </c>
      <c r="N336" t="b">
        <f t="shared" si="124"/>
        <v>0</v>
      </c>
      <c r="O336" t="b">
        <f t="shared" si="125"/>
        <v>0</v>
      </c>
      <c r="P336" t="str">
        <f>IFERROR('Both teabags AfterWet'!B335,"")</f>
        <v>n.a</v>
      </c>
      <c r="Q336">
        <f>'Both teabags AfterWet'!B753</f>
        <v>64</v>
      </c>
      <c r="S336" s="401" t="b">
        <f t="shared" si="126"/>
        <v>0</v>
      </c>
      <c r="T336" s="401" t="b">
        <f t="shared" si="127"/>
        <v>0</v>
      </c>
      <c r="V336" t="str">
        <f>'Both teabags AfterDry'!A335</f>
        <v>G93</v>
      </c>
      <c r="W336" t="str">
        <f>'Both teabags AfterDry'!A672</f>
        <v>R838</v>
      </c>
      <c r="X336" t="b">
        <f t="shared" si="128"/>
        <v>0</v>
      </c>
      <c r="Y336" t="b">
        <f t="shared" si="129"/>
        <v>0</v>
      </c>
      <c r="AA336" t="str">
        <f>'Green_rooibos initial weight'!A337</f>
        <v>G333</v>
      </c>
      <c r="AB336" t="str">
        <f>'Green_rooibos initial weight'!A1241</f>
        <v>R333</v>
      </c>
      <c r="AC336" t="b">
        <f t="shared" si="130"/>
        <v>0</v>
      </c>
      <c r="AD336" t="b">
        <f t="shared" si="131"/>
        <v>0</v>
      </c>
      <c r="AG336" t="str">
        <f>'WetLitterbags placem_collection'!O115</f>
        <v>G769</v>
      </c>
      <c r="AH336" t="str">
        <f>'WetLitterbags placem_collection'!Q115</f>
        <v>R578</v>
      </c>
      <c r="AI336" t="b">
        <f t="shared" si="132"/>
        <v>0</v>
      </c>
      <c r="AJ336" t="b">
        <f t="shared" si="133"/>
        <v>0</v>
      </c>
      <c r="AK336">
        <f>'WetLitterbags placem_collection'!A115</f>
        <v>113</v>
      </c>
      <c r="AL336">
        <f>'WetLitterbags placem_collection'!A115</f>
        <v>113</v>
      </c>
      <c r="AN336">
        <f>IF('Dry_Litterbag Placem_Collection'!L115=0,"",'Dry_Litterbag Placem_Collection'!L115)</f>
        <v>490</v>
      </c>
      <c r="AO336">
        <f>IF('Dry_Litterbag Placem_Collection'!M115=0,"",'Dry_Litterbag Placem_Collection'!M115)</f>
        <v>313</v>
      </c>
      <c r="AP336" t="b">
        <f t="shared" si="134"/>
        <v>0</v>
      </c>
      <c r="AQ336" t="b">
        <f t="shared" si="135"/>
        <v>0</v>
      </c>
      <c r="AT336" t="str">
        <f>'Ashed teabags dry'!A334</f>
        <v>G94</v>
      </c>
      <c r="AU336" t="str">
        <f>'Ashed teabags dry'!A671</f>
        <v>R836</v>
      </c>
      <c r="AV336" t="b">
        <f t="shared" si="136"/>
        <v>0</v>
      </c>
      <c r="AW336" t="b">
        <f t="shared" si="137"/>
        <v>0</v>
      </c>
      <c r="AZ336" s="401" t="b">
        <f t="shared" si="138"/>
        <v>0</v>
      </c>
      <c r="BA336" s="401" t="b">
        <f t="shared" si="139"/>
        <v>0</v>
      </c>
      <c r="BC336" t="str">
        <f>'Ashed teabags wet'!A334</f>
        <v>G801</v>
      </c>
      <c r="BD336" t="str">
        <f>'Ashed teabags wet'!A751</f>
        <v>R573</v>
      </c>
      <c r="BE336" t="b">
        <f t="shared" si="140"/>
        <v>0</v>
      </c>
      <c r="BF336" t="b">
        <f t="shared" si="141"/>
        <v>0</v>
      </c>
      <c r="BG336">
        <f>IFERROR('Ashed teabags wet'!C334,"")</f>
        <v>150</v>
      </c>
      <c r="BH336">
        <f>IFERROR('Ashed teabags wet'!C751,"")</f>
        <v>147</v>
      </c>
      <c r="BI336" t="str">
        <f>'Ashed teabags wet'!AB334</f>
        <v/>
      </c>
      <c r="BJ336">
        <f>'Ashed teabags wet'!AC334</f>
        <v>149</v>
      </c>
      <c r="BK336">
        <f>'Ashed teabags wet'!AD751</f>
        <v>146</v>
      </c>
      <c r="BL336" t="str">
        <f>'Ashed teabags wet'!AE751</f>
        <v/>
      </c>
      <c r="BN336" t="str">
        <f t="shared" si="142"/>
        <v>G800</v>
      </c>
      <c r="BO336" t="b">
        <f t="shared" si="143"/>
        <v>1</v>
      </c>
    </row>
    <row r="337" spans="2:67" ht="12" customHeight="1">
      <c r="B337" t="str">
        <f>TBIDry!H409</f>
        <v>G650</v>
      </c>
      <c r="C337" t="str">
        <f>TBIDry!I409</f>
        <v>R247</v>
      </c>
      <c r="D337" t="b">
        <f t="shared" si="120"/>
        <v>0</v>
      </c>
      <c r="E337" t="b">
        <f t="shared" si="121"/>
        <v>0</v>
      </c>
      <c r="G337" t="str">
        <f>TBIWet!H409</f>
        <v>G889</v>
      </c>
      <c r="H337" t="str">
        <f>TBIWet!I409</f>
        <v>R37</v>
      </c>
      <c r="I337" t="b">
        <f t="shared" si="122"/>
        <v>0</v>
      </c>
      <c r="J337" t="b">
        <f t="shared" si="123"/>
        <v>0</v>
      </c>
      <c r="L337" t="str">
        <f>'Both teabags AfterWet'!A336</f>
        <v>G801</v>
      </c>
      <c r="M337" t="str">
        <f>'Both teabags AfterWet'!A754</f>
        <v>R552</v>
      </c>
      <c r="N337" t="b">
        <f t="shared" si="124"/>
        <v>0</v>
      </c>
      <c r="O337" t="b">
        <f t="shared" si="125"/>
        <v>0</v>
      </c>
      <c r="P337">
        <f>IFERROR('Both teabags AfterWet'!B336,"")</f>
        <v>150</v>
      </c>
      <c r="Q337">
        <f>'Both teabags AfterWet'!B754</f>
        <v>109</v>
      </c>
      <c r="S337" s="401" t="b">
        <f t="shared" si="126"/>
        <v>0</v>
      </c>
      <c r="T337" s="401" t="b">
        <f t="shared" si="127"/>
        <v>0</v>
      </c>
      <c r="V337" t="str">
        <f>'Both teabags AfterDry'!A336</f>
        <v>G95</v>
      </c>
      <c r="W337" t="str">
        <f>'Both teabags AfterDry'!A673</f>
        <v>R839</v>
      </c>
      <c r="X337" t="b">
        <f t="shared" si="128"/>
        <v>0</v>
      </c>
      <c r="Y337" t="b">
        <f t="shared" si="129"/>
        <v>0</v>
      </c>
      <c r="AA337" t="str">
        <f>'Green_rooibos initial weight'!A338</f>
        <v>G334</v>
      </c>
      <c r="AB337" t="str">
        <f>'Green_rooibos initial weight'!A1242</f>
        <v>R334</v>
      </c>
      <c r="AC337" t="b">
        <f t="shared" si="130"/>
        <v>0</v>
      </c>
      <c r="AD337" t="b">
        <f t="shared" si="131"/>
        <v>0</v>
      </c>
      <c r="AG337" t="str">
        <f>'WetLitterbags placem_collection'!O116</f>
        <v>G889</v>
      </c>
      <c r="AH337" t="str">
        <f>'WetLitterbags placem_collection'!Q116</f>
        <v>R37</v>
      </c>
      <c r="AI337" t="b">
        <f t="shared" si="132"/>
        <v>0</v>
      </c>
      <c r="AJ337" t="b">
        <f t="shared" si="133"/>
        <v>0</v>
      </c>
      <c r="AK337">
        <f>'WetLitterbags placem_collection'!A116</f>
        <v>114</v>
      </c>
      <c r="AL337">
        <f>'WetLitterbags placem_collection'!A116</f>
        <v>114</v>
      </c>
      <c r="AN337">
        <f>IF('Dry_Litterbag Placem_Collection'!L116=0,"",'Dry_Litterbag Placem_Collection'!L116)</f>
        <v>650</v>
      </c>
      <c r="AO337">
        <f>IF('Dry_Litterbag Placem_Collection'!M116=0,"",'Dry_Litterbag Placem_Collection'!M116)</f>
        <v>247</v>
      </c>
      <c r="AP337" t="b">
        <f t="shared" si="134"/>
        <v>0</v>
      </c>
      <c r="AQ337" t="b">
        <f t="shared" si="135"/>
        <v>0</v>
      </c>
      <c r="AT337" t="str">
        <f>'Ashed teabags dry'!A335</f>
        <v>G95</v>
      </c>
      <c r="AU337" t="str">
        <f>'Ashed teabags dry'!A672</f>
        <v>R837</v>
      </c>
      <c r="AV337" t="b">
        <f t="shared" si="136"/>
        <v>0</v>
      </c>
      <c r="AW337" t="b">
        <f t="shared" si="137"/>
        <v>0</v>
      </c>
      <c r="AZ337" s="401" t="b">
        <f t="shared" si="138"/>
        <v>0</v>
      </c>
      <c r="BA337" s="401" t="b">
        <f t="shared" si="139"/>
        <v>0</v>
      </c>
      <c r="BC337" t="str">
        <f>'Ashed teabags wet'!A335</f>
        <v>G802</v>
      </c>
      <c r="BD337" t="str">
        <f>'Ashed teabags wet'!A752</f>
        <v>R574</v>
      </c>
      <c r="BE337" t="b">
        <f t="shared" si="140"/>
        <v>0</v>
      </c>
      <c r="BF337" t="b">
        <f t="shared" si="141"/>
        <v>0</v>
      </c>
      <c r="BG337">
        <f>IFERROR('Ashed teabags wet'!C335,"")</f>
        <v>119</v>
      </c>
      <c r="BH337">
        <f>IFERROR('Ashed teabags wet'!C752,"")</f>
        <v>107</v>
      </c>
      <c r="BI337" t="str">
        <f>'Ashed teabags wet'!AB335</f>
        <v/>
      </c>
      <c r="BJ337">
        <f>'Ashed teabags wet'!AC335</f>
        <v>118</v>
      </c>
      <c r="BK337">
        <f>'Ashed teabags wet'!AD752</f>
        <v>106</v>
      </c>
      <c r="BL337" t="str">
        <f>'Ashed teabags wet'!AE752</f>
        <v/>
      </c>
      <c r="BN337" t="str">
        <f t="shared" si="142"/>
        <v>G801</v>
      </c>
      <c r="BO337" t="b">
        <f t="shared" si="143"/>
        <v>1</v>
      </c>
    </row>
    <row r="338" spans="2:67" ht="12" customHeight="1">
      <c r="B338" t="str">
        <f>TBIDry!H410</f>
        <v>G873</v>
      </c>
      <c r="C338" t="str">
        <f>TBIDry!I410</f>
        <v>R671</v>
      </c>
      <c r="D338" t="b">
        <f t="shared" si="120"/>
        <v>0</v>
      </c>
      <c r="E338" t="b">
        <f t="shared" si="121"/>
        <v>0</v>
      </c>
      <c r="G338" t="str">
        <f>TBIWet!H410</f>
        <v>G778</v>
      </c>
      <c r="H338" t="str">
        <f>TBIWet!I410</f>
        <v>R522</v>
      </c>
      <c r="I338" t="b">
        <f t="shared" si="122"/>
        <v>0</v>
      </c>
      <c r="J338" t="b">
        <f t="shared" si="123"/>
        <v>0</v>
      </c>
      <c r="L338" t="str">
        <f>'Both teabags AfterWet'!A337</f>
        <v>G802</v>
      </c>
      <c r="M338" t="str">
        <f>'Both teabags AfterWet'!A755</f>
        <v>R553</v>
      </c>
      <c r="N338" t="b">
        <f t="shared" si="124"/>
        <v>0</v>
      </c>
      <c r="O338" t="b">
        <f t="shared" si="125"/>
        <v>0</v>
      </c>
      <c r="P338">
        <f>IFERROR('Both teabags AfterWet'!B337,"")</f>
        <v>119</v>
      </c>
      <c r="Q338">
        <f>'Both teabags AfterWet'!B755</f>
        <v>115</v>
      </c>
      <c r="S338" s="401" t="b">
        <f t="shared" si="126"/>
        <v>0</v>
      </c>
      <c r="T338" s="401" t="b">
        <f t="shared" si="127"/>
        <v>0</v>
      </c>
      <c r="V338" t="str">
        <f>'Both teabags AfterDry'!A337</f>
        <v>G96</v>
      </c>
      <c r="W338" t="str">
        <f>'Both teabags AfterDry'!A674</f>
        <v>R84</v>
      </c>
      <c r="X338" t="b">
        <f t="shared" si="128"/>
        <v>0</v>
      </c>
      <c r="Y338" t="b">
        <f t="shared" si="129"/>
        <v>0</v>
      </c>
      <c r="AA338" t="str">
        <f>'Green_rooibos initial weight'!A339</f>
        <v>G335</v>
      </c>
      <c r="AB338" t="str">
        <f>'Green_rooibos initial weight'!A1243</f>
        <v>R335</v>
      </c>
      <c r="AC338" t="b">
        <f t="shared" si="130"/>
        <v>0</v>
      </c>
      <c r="AD338" t="b">
        <f t="shared" si="131"/>
        <v>0</v>
      </c>
      <c r="AG338" t="str">
        <f>'WetLitterbags placem_collection'!O117</f>
        <v>G778</v>
      </c>
      <c r="AH338" t="str">
        <f>'WetLitterbags placem_collection'!Q117</f>
        <v>R522</v>
      </c>
      <c r="AI338" t="b">
        <f t="shared" si="132"/>
        <v>0</v>
      </c>
      <c r="AJ338" t="b">
        <f t="shared" si="133"/>
        <v>0</v>
      </c>
      <c r="AK338">
        <f>'WetLitterbags placem_collection'!A117</f>
        <v>115</v>
      </c>
      <c r="AL338">
        <f>'WetLitterbags placem_collection'!A117</f>
        <v>115</v>
      </c>
      <c r="AN338">
        <f>IF('Dry_Litterbag Placem_Collection'!L117=0,"",'Dry_Litterbag Placem_Collection'!L117)</f>
        <v>873</v>
      </c>
      <c r="AO338">
        <f>IF('Dry_Litterbag Placem_Collection'!M117=0,"",'Dry_Litterbag Placem_Collection'!M117)</f>
        <v>671</v>
      </c>
      <c r="AP338" t="b">
        <f t="shared" si="134"/>
        <v>0</v>
      </c>
      <c r="AQ338" t="b">
        <f t="shared" si="135"/>
        <v>0</v>
      </c>
      <c r="AT338" t="str">
        <f>'Ashed teabags dry'!A336</f>
        <v>G96</v>
      </c>
      <c r="AU338" t="str">
        <f>'Ashed teabags dry'!A673</f>
        <v>R838</v>
      </c>
      <c r="AV338" t="b">
        <f t="shared" si="136"/>
        <v>0</v>
      </c>
      <c r="AW338" t="b">
        <f t="shared" si="137"/>
        <v>0</v>
      </c>
      <c r="AZ338" s="401" t="b">
        <f t="shared" si="138"/>
        <v>0</v>
      </c>
      <c r="BA338" s="401" t="b">
        <f t="shared" si="139"/>
        <v>0</v>
      </c>
      <c r="BC338" t="str">
        <f>'Ashed teabags wet'!A336</f>
        <v>G803</v>
      </c>
      <c r="BD338" t="str">
        <f>'Ashed teabags wet'!A753</f>
        <v>R575</v>
      </c>
      <c r="BE338" t="b">
        <f t="shared" si="140"/>
        <v>0</v>
      </c>
      <c r="BF338" t="b">
        <f t="shared" si="141"/>
        <v>0</v>
      </c>
      <c r="BG338">
        <f>IFERROR('Ashed teabags wet'!C336,"")</f>
        <v>114</v>
      </c>
      <c r="BH338">
        <f>IFERROR('Ashed teabags wet'!C753,"")</f>
        <v>123</v>
      </c>
      <c r="BI338">
        <f>'Ashed teabags wet'!AB336</f>
        <v>113</v>
      </c>
      <c r="BJ338" t="str">
        <f>'Ashed teabags wet'!AC336</f>
        <v/>
      </c>
      <c r="BK338">
        <f>'Ashed teabags wet'!AD753</f>
        <v>122</v>
      </c>
      <c r="BL338" t="str">
        <f>'Ashed teabags wet'!AE753</f>
        <v/>
      </c>
      <c r="BN338" t="str">
        <f t="shared" si="142"/>
        <v>G802</v>
      </c>
      <c r="BO338" t="b">
        <f t="shared" si="143"/>
        <v>1</v>
      </c>
    </row>
    <row r="339" spans="2:67" ht="12" customHeight="1">
      <c r="B339" t="str">
        <f>TBIDry!H411</f>
        <v>G206</v>
      </c>
      <c r="C339" t="str">
        <f>TBIDry!I411</f>
        <v>R638</v>
      </c>
      <c r="D339" t="b">
        <f t="shared" si="120"/>
        <v>0</v>
      </c>
      <c r="E339" t="b">
        <f t="shared" si="121"/>
        <v>0</v>
      </c>
      <c r="G339" t="str">
        <f>TBIWet!H411</f>
        <v>G563</v>
      </c>
      <c r="H339" t="str">
        <f>TBIWet!I411</f>
        <v>R480</v>
      </c>
      <c r="I339" t="b">
        <f t="shared" si="122"/>
        <v>0</v>
      </c>
      <c r="J339" t="b">
        <f t="shared" si="123"/>
        <v>0</v>
      </c>
      <c r="L339" t="str">
        <f>'Both teabags AfterWet'!A338</f>
        <v>G803</v>
      </c>
      <c r="M339" t="str">
        <f>'Both teabags AfterWet'!A756</f>
        <v>R554</v>
      </c>
      <c r="N339" t="b">
        <f t="shared" si="124"/>
        <v>0</v>
      </c>
      <c r="O339" t="b">
        <f t="shared" si="125"/>
        <v>0</v>
      </c>
      <c r="P339">
        <f>IFERROR('Both teabags AfterWet'!B338,"")</f>
        <v>114</v>
      </c>
      <c r="Q339">
        <f>'Both teabags AfterWet'!B756</f>
        <v>128</v>
      </c>
      <c r="S339" s="401" t="b">
        <f t="shared" si="126"/>
        <v>0</v>
      </c>
      <c r="T339" s="401" t="b">
        <f t="shared" si="127"/>
        <v>0</v>
      </c>
      <c r="V339" t="str">
        <f>'Both teabags AfterDry'!A338</f>
        <v>G97</v>
      </c>
      <c r="W339" t="str">
        <f>'Both teabags AfterDry'!A675</f>
        <v>R840</v>
      </c>
      <c r="X339" t="b">
        <f t="shared" si="128"/>
        <v>0</v>
      </c>
      <c r="Y339" t="b">
        <f t="shared" si="129"/>
        <v>0</v>
      </c>
      <c r="AA339" t="str">
        <f>'Green_rooibos initial weight'!A340</f>
        <v>G336</v>
      </c>
      <c r="AB339" t="str">
        <f>'Green_rooibos initial weight'!A1244</f>
        <v>R336</v>
      </c>
      <c r="AC339" t="b">
        <f t="shared" si="130"/>
        <v>0</v>
      </c>
      <c r="AD339" t="b">
        <f t="shared" si="131"/>
        <v>0</v>
      </c>
      <c r="AG339" t="str">
        <f>'WetLitterbags placem_collection'!O118</f>
        <v>G563</v>
      </c>
      <c r="AH339" t="str">
        <f>'WetLitterbags placem_collection'!Q118</f>
        <v>R480</v>
      </c>
      <c r="AI339" t="b">
        <f t="shared" si="132"/>
        <v>0</v>
      </c>
      <c r="AJ339" t="b">
        <f t="shared" si="133"/>
        <v>0</v>
      </c>
      <c r="AK339">
        <f>'WetLitterbags placem_collection'!A118</f>
        <v>116</v>
      </c>
      <c r="AL339">
        <f>'WetLitterbags placem_collection'!A118</f>
        <v>116</v>
      </c>
      <c r="AN339">
        <f>IF('Dry_Litterbag Placem_Collection'!L118=0,"",'Dry_Litterbag Placem_Collection'!L118)</f>
        <v>206</v>
      </c>
      <c r="AO339">
        <f>IF('Dry_Litterbag Placem_Collection'!M118=0,"",'Dry_Litterbag Placem_Collection'!M118)</f>
        <v>638</v>
      </c>
      <c r="AP339" t="b">
        <f t="shared" si="134"/>
        <v>0</v>
      </c>
      <c r="AQ339" t="b">
        <f t="shared" si="135"/>
        <v>0</v>
      </c>
      <c r="AT339" t="str">
        <f>'Ashed teabags dry'!A337</f>
        <v>G97</v>
      </c>
      <c r="AU339" t="str">
        <f>'Ashed teabags dry'!A674</f>
        <v>R839</v>
      </c>
      <c r="AV339" t="b">
        <f t="shared" si="136"/>
        <v>0</v>
      </c>
      <c r="AW339" t="b">
        <f t="shared" si="137"/>
        <v>0</v>
      </c>
      <c r="AZ339" s="401" t="b">
        <f t="shared" si="138"/>
        <v>0</v>
      </c>
      <c r="BA339" s="401" t="b">
        <f t="shared" si="139"/>
        <v>0</v>
      </c>
      <c r="BC339" t="str">
        <f>'Ashed teabags wet'!A337</f>
        <v>G804</v>
      </c>
      <c r="BD339" t="str">
        <f>'Ashed teabags wet'!A754</f>
        <v>R576</v>
      </c>
      <c r="BE339" t="b">
        <f t="shared" si="140"/>
        <v>0</v>
      </c>
      <c r="BF339" t="b">
        <f t="shared" si="141"/>
        <v>0</v>
      </c>
      <c r="BG339">
        <f>IFERROR('Ashed teabags wet'!C337,"")</f>
        <v>217</v>
      </c>
      <c r="BH339">
        <f>IFERROR('Ashed teabags wet'!C754,"")</f>
        <v>97</v>
      </c>
      <c r="BI339" t="str">
        <f>'Ashed teabags wet'!AB337</f>
        <v/>
      </c>
      <c r="BJ339">
        <f>'Ashed teabags wet'!AC337</f>
        <v>216</v>
      </c>
      <c r="BK339" t="str">
        <f>'Ashed teabags wet'!AD754</f>
        <v/>
      </c>
      <c r="BL339">
        <f>'Ashed teabags wet'!AE754</f>
        <v>96</v>
      </c>
      <c r="BN339" t="str">
        <f t="shared" si="142"/>
        <v>G803</v>
      </c>
      <c r="BO339" t="b">
        <f t="shared" si="143"/>
        <v>1</v>
      </c>
    </row>
    <row r="340" spans="2:67" ht="12" customHeight="1">
      <c r="B340" t="str">
        <f>TBIDry!H412</f>
        <v>G163</v>
      </c>
      <c r="C340" t="str">
        <f>TBIDry!I412</f>
        <v>R719</v>
      </c>
      <c r="D340" t="b">
        <f t="shared" si="120"/>
        <v>0</v>
      </c>
      <c r="E340" t="b">
        <f t="shared" si="121"/>
        <v>0</v>
      </c>
      <c r="G340" t="str">
        <f>TBIWet!H412</f>
        <v>G901</v>
      </c>
      <c r="H340" t="str">
        <f>TBIWet!I412</f>
        <v>R565</v>
      </c>
      <c r="I340" t="b">
        <f t="shared" si="122"/>
        <v>0</v>
      </c>
      <c r="J340" t="b">
        <f t="shared" si="123"/>
        <v>0</v>
      </c>
      <c r="L340" t="str">
        <f>'Both teabags AfterWet'!A339</f>
        <v>G804</v>
      </c>
      <c r="M340" t="str">
        <f>'Both teabags AfterWet'!A757</f>
        <v>R555</v>
      </c>
      <c r="N340" t="b">
        <f t="shared" si="124"/>
        <v>0</v>
      </c>
      <c r="O340" t="b">
        <f t="shared" si="125"/>
        <v>0</v>
      </c>
      <c r="P340">
        <f>IFERROR('Both teabags AfterWet'!B339,"")</f>
        <v>217</v>
      </c>
      <c r="Q340" t="str">
        <f>'Both teabags AfterWet'!B757</f>
        <v>n.a</v>
      </c>
      <c r="S340" s="401" t="b">
        <f t="shared" si="126"/>
        <v>0</v>
      </c>
      <c r="T340" s="401" t="b">
        <f t="shared" si="127"/>
        <v>0</v>
      </c>
      <c r="V340" t="str">
        <f>'Both teabags AfterDry'!A339</f>
        <v>G99</v>
      </c>
      <c r="W340" t="str">
        <f>'Both teabags AfterDry'!A676</f>
        <v>R94</v>
      </c>
      <c r="X340" t="b">
        <f t="shared" si="128"/>
        <v>0</v>
      </c>
      <c r="Y340" t="b">
        <f t="shared" si="129"/>
        <v>0</v>
      </c>
      <c r="AA340" t="str">
        <f>'Green_rooibos initial weight'!A341</f>
        <v>G337</v>
      </c>
      <c r="AB340" t="str">
        <f>'Green_rooibos initial weight'!A1245</f>
        <v>R337</v>
      </c>
      <c r="AC340" t="b">
        <f t="shared" si="130"/>
        <v>0</v>
      </c>
      <c r="AD340" t="b">
        <f t="shared" si="131"/>
        <v>0</v>
      </c>
      <c r="AG340" t="str">
        <f>'WetLitterbags placem_collection'!O119</f>
        <v>G901</v>
      </c>
      <c r="AH340" t="str">
        <f>'WetLitterbags placem_collection'!Q119</f>
        <v>R565</v>
      </c>
      <c r="AI340" t="b">
        <f t="shared" si="132"/>
        <v>0</v>
      </c>
      <c r="AJ340" t="b">
        <f t="shared" si="133"/>
        <v>0</v>
      </c>
      <c r="AK340">
        <f>'WetLitterbags placem_collection'!A119</f>
        <v>117</v>
      </c>
      <c r="AL340">
        <f>'WetLitterbags placem_collection'!A119</f>
        <v>117</v>
      </c>
      <c r="AN340">
        <f>IF('Dry_Litterbag Placem_Collection'!L119=0,"",'Dry_Litterbag Placem_Collection'!L119)</f>
        <v>163</v>
      </c>
      <c r="AO340">
        <f>IF('Dry_Litterbag Placem_Collection'!M119=0,"",'Dry_Litterbag Placem_Collection'!M119)</f>
        <v>719</v>
      </c>
      <c r="AP340" t="b">
        <f t="shared" si="134"/>
        <v>0</v>
      </c>
      <c r="AQ340" t="b">
        <f t="shared" si="135"/>
        <v>0</v>
      </c>
      <c r="AT340" t="str">
        <f>'Ashed teabags dry'!A338</f>
        <v>G99</v>
      </c>
      <c r="AU340" t="str">
        <f>'Ashed teabags dry'!A675</f>
        <v>R84</v>
      </c>
      <c r="AV340" t="b">
        <f t="shared" si="136"/>
        <v>0</v>
      </c>
      <c r="AW340" t="b">
        <f t="shared" si="137"/>
        <v>0</v>
      </c>
      <c r="AZ340" s="401" t="b">
        <f t="shared" si="138"/>
        <v>0</v>
      </c>
      <c r="BA340" s="401" t="b">
        <f t="shared" si="139"/>
        <v>0</v>
      </c>
      <c r="BC340" t="str">
        <f>'Ashed teabags wet'!A338</f>
        <v>G805</v>
      </c>
      <c r="BD340" t="str">
        <f>'Ashed teabags wet'!A755</f>
        <v>R577</v>
      </c>
      <c r="BE340" t="b">
        <f t="shared" si="140"/>
        <v>0</v>
      </c>
      <c r="BF340" t="b">
        <f t="shared" si="141"/>
        <v>0</v>
      </c>
      <c r="BG340">
        <f>IFERROR('Ashed teabags wet'!C338,"")</f>
        <v>137</v>
      </c>
      <c r="BH340">
        <f>IFERROR('Ashed teabags wet'!C755,"")</f>
        <v>104</v>
      </c>
      <c r="BI340">
        <f>'Ashed teabags wet'!AB338</f>
        <v>136</v>
      </c>
      <c r="BJ340" t="str">
        <f>'Ashed teabags wet'!AC338</f>
        <v/>
      </c>
      <c r="BK340">
        <f>'Ashed teabags wet'!AD755</f>
        <v>103</v>
      </c>
      <c r="BL340" t="str">
        <f>'Ashed teabags wet'!AE755</f>
        <v/>
      </c>
      <c r="BN340" t="str">
        <f t="shared" si="142"/>
        <v>G804</v>
      </c>
      <c r="BO340" t="b">
        <f t="shared" si="143"/>
        <v>1</v>
      </c>
    </row>
    <row r="341" spans="2:67" ht="12" customHeight="1">
      <c r="B341" t="str">
        <f>TBIDry!H413</f>
        <v>G83</v>
      </c>
      <c r="C341" t="str">
        <f>TBIDry!I413</f>
        <v>R173</v>
      </c>
      <c r="D341" t="b">
        <f t="shared" si="120"/>
        <v>0</v>
      </c>
      <c r="E341" t="b">
        <f t="shared" si="121"/>
        <v>0</v>
      </c>
      <c r="G341" t="str">
        <f>TBIWet!H413</f>
        <v>G791</v>
      </c>
      <c r="H341" t="str">
        <f>TBIWet!I413</f>
        <v>R544</v>
      </c>
      <c r="I341" t="b">
        <f t="shared" si="122"/>
        <v>0</v>
      </c>
      <c r="J341" t="b">
        <f t="shared" si="123"/>
        <v>0</v>
      </c>
      <c r="L341" t="str">
        <f>'Both teabags AfterWet'!A340</f>
        <v>G805</v>
      </c>
      <c r="M341" t="str">
        <f>'Both teabags AfterWet'!A758</f>
        <v>R556</v>
      </c>
      <c r="N341" t="b">
        <f t="shared" si="124"/>
        <v>0</v>
      </c>
      <c r="O341" t="b">
        <f t="shared" si="125"/>
        <v>0</v>
      </c>
      <c r="P341">
        <f>IFERROR('Both teabags AfterWet'!B340,"")</f>
        <v>137</v>
      </c>
      <c r="Q341">
        <f>'Both teabags AfterWet'!B758</f>
        <v>155</v>
      </c>
      <c r="S341" s="401" t="b">
        <f t="shared" si="126"/>
        <v>0</v>
      </c>
      <c r="T341" s="401" t="b">
        <f t="shared" si="127"/>
        <v>0</v>
      </c>
      <c r="W341">
        <f>'Both teabags AfterDry'!A677</f>
        <v>0</v>
      </c>
      <c r="X341" t="b">
        <f t="shared" si="128"/>
        <v>0</v>
      </c>
      <c r="Y341" t="b">
        <f t="shared" si="129"/>
        <v>1</v>
      </c>
      <c r="AA341" t="str">
        <f>'Green_rooibos initial weight'!A342</f>
        <v>G338</v>
      </c>
      <c r="AB341" t="str">
        <f>'Green_rooibos initial weight'!A1246</f>
        <v>R338</v>
      </c>
      <c r="AC341" t="b">
        <f t="shared" si="130"/>
        <v>0</v>
      </c>
      <c r="AD341" t="b">
        <f t="shared" si="131"/>
        <v>0</v>
      </c>
      <c r="AG341" t="str">
        <f>'WetLitterbags placem_collection'!O120</f>
        <v>G791</v>
      </c>
      <c r="AH341" t="str">
        <f>'WetLitterbags placem_collection'!Q120</f>
        <v>R544</v>
      </c>
      <c r="AI341" t="b">
        <f t="shared" si="132"/>
        <v>0</v>
      </c>
      <c r="AJ341" t="b">
        <f t="shared" si="133"/>
        <v>0</v>
      </c>
      <c r="AK341">
        <f>'WetLitterbags placem_collection'!A120</f>
        <v>118</v>
      </c>
      <c r="AL341">
        <f>'WetLitterbags placem_collection'!A120</f>
        <v>118</v>
      </c>
      <c r="AN341">
        <f>IF('Dry_Litterbag Placem_Collection'!L120=0,"",'Dry_Litterbag Placem_Collection'!L120)</f>
        <v>83</v>
      </c>
      <c r="AO341">
        <f>IF('Dry_Litterbag Placem_Collection'!M120=0,"",'Dry_Litterbag Placem_Collection'!M120)</f>
        <v>173</v>
      </c>
      <c r="AP341" t="b">
        <f t="shared" si="134"/>
        <v>0</v>
      </c>
      <c r="AQ341" t="b">
        <f t="shared" si="135"/>
        <v>0</v>
      </c>
      <c r="AU341" t="str">
        <f>'Ashed teabags dry'!A676</f>
        <v>R840</v>
      </c>
      <c r="AV341" t="b">
        <f t="shared" si="136"/>
        <v>0</v>
      </c>
      <c r="AW341" t="b">
        <f t="shared" si="137"/>
        <v>0</v>
      </c>
      <c r="AZ341" s="401" t="b">
        <f t="shared" si="138"/>
        <v>0</v>
      </c>
      <c r="BA341" s="401" t="b">
        <f t="shared" si="139"/>
        <v>0</v>
      </c>
      <c r="BC341" t="str">
        <f>'Ashed teabags wet'!A339</f>
        <v>G806</v>
      </c>
      <c r="BD341" t="str">
        <f>'Ashed teabags wet'!A756</f>
        <v>R578</v>
      </c>
      <c r="BE341" t="b">
        <f t="shared" si="140"/>
        <v>0</v>
      </c>
      <c r="BF341" t="b">
        <f t="shared" si="141"/>
        <v>0</v>
      </c>
      <c r="BG341">
        <f>IFERROR('Ashed teabags wet'!C339,"")</f>
        <v>104</v>
      </c>
      <c r="BH341">
        <f>IFERROR('Ashed teabags wet'!C756,"")</f>
        <v>113</v>
      </c>
      <c r="BI341" t="str">
        <f>'Ashed teabags wet'!AB339</f>
        <v/>
      </c>
      <c r="BJ341">
        <f>'Ashed teabags wet'!AC339</f>
        <v>103</v>
      </c>
      <c r="BK341" t="str">
        <f>'Ashed teabags wet'!AD756</f>
        <v/>
      </c>
      <c r="BL341">
        <f>'Ashed teabags wet'!AE756</f>
        <v>112</v>
      </c>
      <c r="BN341" t="str">
        <f t="shared" si="142"/>
        <v>G805</v>
      </c>
      <c r="BO341" t="b">
        <f t="shared" si="143"/>
        <v>1</v>
      </c>
    </row>
    <row r="342" spans="2:67" ht="12" customHeight="1">
      <c r="B342" t="str">
        <f>TBIDry!H414</f>
        <v>G159</v>
      </c>
      <c r="C342" t="str">
        <f>TBIDry!I414</f>
        <v>R373</v>
      </c>
      <c r="D342" t="b">
        <f t="shared" si="120"/>
        <v>0</v>
      </c>
      <c r="E342" t="b">
        <f t="shared" si="121"/>
        <v>0</v>
      </c>
      <c r="G342" t="str">
        <f>TBIWet!H414</f>
        <v>G802</v>
      </c>
      <c r="H342" t="str">
        <f>TBIWet!I414</f>
        <v>R526</v>
      </c>
      <c r="I342" t="b">
        <f t="shared" si="122"/>
        <v>0</v>
      </c>
      <c r="J342" t="b">
        <f t="shared" si="123"/>
        <v>0</v>
      </c>
      <c r="L342" t="str">
        <f>'Both teabags AfterWet'!A341</f>
        <v>G806</v>
      </c>
      <c r="M342" t="str">
        <f>'Both teabags AfterWet'!A759</f>
        <v>R557</v>
      </c>
      <c r="N342" t="b">
        <f t="shared" si="124"/>
        <v>0</v>
      </c>
      <c r="O342" t="b">
        <f t="shared" si="125"/>
        <v>0</v>
      </c>
      <c r="P342">
        <f>IFERROR('Both teabags AfterWet'!B341,"")</f>
        <v>104</v>
      </c>
      <c r="Q342">
        <f>'Both teabags AfterWet'!B759</f>
        <v>186</v>
      </c>
      <c r="S342" s="401" t="b">
        <f t="shared" si="126"/>
        <v>0</v>
      </c>
      <c r="T342" s="401" t="b">
        <f t="shared" si="127"/>
        <v>0</v>
      </c>
      <c r="W342">
        <f>'Both teabags AfterDry'!A678</f>
        <v>0</v>
      </c>
      <c r="X342" t="b">
        <f t="shared" si="128"/>
        <v>0</v>
      </c>
      <c r="Y342" t="b">
        <f t="shared" si="129"/>
        <v>1</v>
      </c>
      <c r="AA342" t="str">
        <f>'Green_rooibos initial weight'!A343</f>
        <v>G339</v>
      </c>
      <c r="AB342" t="str">
        <f>'Green_rooibos initial weight'!A1247</f>
        <v>R339</v>
      </c>
      <c r="AC342" t="b">
        <f t="shared" si="130"/>
        <v>0</v>
      </c>
      <c r="AD342" t="b">
        <f t="shared" si="131"/>
        <v>0</v>
      </c>
      <c r="AG342" t="str">
        <f>'WetLitterbags placem_collection'!O121</f>
        <v>G802</v>
      </c>
      <c r="AH342" t="str">
        <f>'WetLitterbags placem_collection'!Q121</f>
        <v>R526</v>
      </c>
      <c r="AI342" t="b">
        <f t="shared" si="132"/>
        <v>0</v>
      </c>
      <c r="AJ342" t="b">
        <f t="shared" si="133"/>
        <v>0</v>
      </c>
      <c r="AK342">
        <f>'WetLitterbags placem_collection'!A121</f>
        <v>119</v>
      </c>
      <c r="AL342">
        <f>'WetLitterbags placem_collection'!A121</f>
        <v>119</v>
      </c>
      <c r="AN342">
        <f>IF('Dry_Litterbag Placem_Collection'!L121=0,"",'Dry_Litterbag Placem_Collection'!L121)</f>
        <v>159</v>
      </c>
      <c r="AO342">
        <f>IF('Dry_Litterbag Placem_Collection'!M121=0,"",'Dry_Litterbag Placem_Collection'!M121)</f>
        <v>373</v>
      </c>
      <c r="AP342" t="b">
        <f t="shared" si="134"/>
        <v>0</v>
      </c>
      <c r="AQ342" t="b">
        <f t="shared" si="135"/>
        <v>0</v>
      </c>
      <c r="AU342">
        <f>'Ashed teabags dry'!A677</f>
        <v>0</v>
      </c>
      <c r="AV342" t="b">
        <f t="shared" si="136"/>
        <v>0</v>
      </c>
      <c r="AW342" t="b">
        <f t="shared" si="137"/>
        <v>1</v>
      </c>
      <c r="AZ342" s="401" t="b">
        <f t="shared" si="138"/>
        <v>0</v>
      </c>
      <c r="BA342" s="401" t="b">
        <f t="shared" si="139"/>
        <v>0</v>
      </c>
      <c r="BC342" t="str">
        <f>'Ashed teabags wet'!A340</f>
        <v>G807</v>
      </c>
      <c r="BD342" t="str">
        <f>'Ashed teabags wet'!A757</f>
        <v>R579</v>
      </c>
      <c r="BE342" t="b">
        <f t="shared" si="140"/>
        <v>0</v>
      </c>
      <c r="BF342" t="b">
        <f t="shared" si="141"/>
        <v>0</v>
      </c>
      <c r="BG342">
        <f>IFERROR('Ashed teabags wet'!C340,"")</f>
        <v>148</v>
      </c>
      <c r="BH342">
        <f>IFERROR('Ashed teabags wet'!C757,"")</f>
        <v>152</v>
      </c>
      <c r="BI342" t="str">
        <f>'Ashed teabags wet'!AB340</f>
        <v/>
      </c>
      <c r="BJ342">
        <f>'Ashed teabags wet'!AC340</f>
        <v>147</v>
      </c>
      <c r="BK342" t="str">
        <f>'Ashed teabags wet'!AD757</f>
        <v/>
      </c>
      <c r="BL342">
        <f>'Ashed teabags wet'!AE757</f>
        <v>151</v>
      </c>
      <c r="BN342" t="str">
        <f t="shared" si="142"/>
        <v>G806</v>
      </c>
      <c r="BO342" t="b">
        <f t="shared" si="143"/>
        <v>1</v>
      </c>
    </row>
    <row r="343" spans="2:67" ht="12" customHeight="1">
      <c r="B343" t="str">
        <f>TBIDry!H415</f>
        <v/>
      </c>
      <c r="C343" t="str">
        <f>TBIDry!I415</f>
        <v/>
      </c>
      <c r="D343" t="b">
        <f t="shared" si="120"/>
        <v>1</v>
      </c>
      <c r="E343" t="b">
        <f t="shared" si="121"/>
        <v>1</v>
      </c>
      <c r="G343" t="str">
        <f>TBIWet!H415</f>
        <v>G698</v>
      </c>
      <c r="H343" t="str">
        <f>TBIWet!I415</f>
        <v>R594</v>
      </c>
      <c r="I343" t="b">
        <f t="shared" si="122"/>
        <v>0</v>
      </c>
      <c r="J343" t="b">
        <f t="shared" si="123"/>
        <v>0</v>
      </c>
      <c r="L343" t="str">
        <f>'Both teabags AfterWet'!A342</f>
        <v>G807</v>
      </c>
      <c r="M343" t="str">
        <f>'Both teabags AfterWet'!A760</f>
        <v>R558</v>
      </c>
      <c r="N343" t="b">
        <f t="shared" si="124"/>
        <v>0</v>
      </c>
      <c r="O343" t="b">
        <f t="shared" si="125"/>
        <v>0</v>
      </c>
      <c r="P343" t="str">
        <f>IFERROR('Both teabags AfterWet'!B342,"")</f>
        <v>n.a</v>
      </c>
      <c r="Q343">
        <f>'Both teabags AfterWet'!B760</f>
        <v>171</v>
      </c>
      <c r="S343" s="401" t="b">
        <f t="shared" si="126"/>
        <v>0</v>
      </c>
      <c r="T343" s="401" t="b">
        <f t="shared" si="127"/>
        <v>0</v>
      </c>
      <c r="W343">
        <f>'Both teabags AfterDry'!A679</f>
        <v>0</v>
      </c>
      <c r="X343" t="b">
        <f t="shared" si="128"/>
        <v>0</v>
      </c>
      <c r="Y343" t="b">
        <f t="shared" si="129"/>
        <v>1</v>
      </c>
      <c r="AA343" t="str">
        <f>'Green_rooibos initial weight'!A344</f>
        <v>G340</v>
      </c>
      <c r="AB343" t="str">
        <f>'Green_rooibos initial weight'!A1248</f>
        <v>R340</v>
      </c>
      <c r="AC343" t="b">
        <f t="shared" si="130"/>
        <v>0</v>
      </c>
      <c r="AD343" t="b">
        <f t="shared" si="131"/>
        <v>0</v>
      </c>
      <c r="AG343" t="str">
        <f>'WetLitterbags placem_collection'!O122</f>
        <v>G698</v>
      </c>
      <c r="AH343" t="str">
        <f>'WetLitterbags placem_collection'!Q122</f>
        <v>R594</v>
      </c>
      <c r="AI343" t="b">
        <f t="shared" si="132"/>
        <v>0</v>
      </c>
      <c r="AJ343" t="b">
        <f t="shared" si="133"/>
        <v>0</v>
      </c>
      <c r="AK343">
        <f>'WetLitterbags placem_collection'!A122</f>
        <v>120</v>
      </c>
      <c r="AL343">
        <f>'WetLitterbags placem_collection'!A122</f>
        <v>120</v>
      </c>
      <c r="AN343" t="str">
        <f>IF('Dry_Litterbag Placem_Collection'!L122=0,"",'Dry_Litterbag Placem_Collection'!L122)</f>
        <v/>
      </c>
      <c r="AO343" t="str">
        <f>IF('Dry_Litterbag Placem_Collection'!M122=0,"",'Dry_Litterbag Placem_Collection'!M122)</f>
        <v/>
      </c>
      <c r="AP343" t="b">
        <f t="shared" si="134"/>
        <v>1</v>
      </c>
      <c r="AQ343" t="b">
        <f t="shared" si="135"/>
        <v>1</v>
      </c>
      <c r="AU343">
        <f>'Ashed teabags dry'!A678</f>
        <v>0</v>
      </c>
      <c r="AV343" t="b">
        <f t="shared" si="136"/>
        <v>0</v>
      </c>
      <c r="AW343" t="b">
        <f t="shared" si="137"/>
        <v>1</v>
      </c>
      <c r="AZ343" s="401" t="b">
        <f t="shared" si="138"/>
        <v>0</v>
      </c>
      <c r="BA343" s="401" t="b">
        <f t="shared" si="139"/>
        <v>0</v>
      </c>
      <c r="BC343" t="str">
        <f>'Ashed teabags wet'!A341</f>
        <v>G808</v>
      </c>
      <c r="BD343" t="str">
        <f>'Ashed teabags wet'!A758</f>
        <v>R58</v>
      </c>
      <c r="BE343" t="b">
        <f t="shared" si="140"/>
        <v>0</v>
      </c>
      <c r="BF343" t="b">
        <f t="shared" si="141"/>
        <v>0</v>
      </c>
      <c r="BG343">
        <f>IFERROR('Ashed teabags wet'!C341,"")</f>
        <v>101</v>
      </c>
      <c r="BH343">
        <f>IFERROR('Ashed teabags wet'!C758,"")</f>
        <v>56</v>
      </c>
      <c r="BI343">
        <f>'Ashed teabags wet'!AB341</f>
        <v>100</v>
      </c>
      <c r="BJ343" t="str">
        <f>'Ashed teabags wet'!AC341</f>
        <v/>
      </c>
      <c r="BK343" t="str">
        <f>'Ashed teabags wet'!AD758</f>
        <v/>
      </c>
      <c r="BL343">
        <f>'Ashed teabags wet'!AE758</f>
        <v>55</v>
      </c>
      <c r="BN343" t="str">
        <f t="shared" si="142"/>
        <v>G807</v>
      </c>
      <c r="BO343" t="b">
        <f t="shared" si="143"/>
        <v>1</v>
      </c>
    </row>
    <row r="344" spans="2:67" ht="12" customHeight="1">
      <c r="B344" t="str">
        <f>TBIDry!H416</f>
        <v>G16</v>
      </c>
      <c r="C344" t="str">
        <f>TBIDry!I416</f>
        <v>R374</v>
      </c>
      <c r="D344" t="b">
        <f t="shared" si="120"/>
        <v>0</v>
      </c>
      <c r="E344" t="b">
        <f t="shared" si="121"/>
        <v>0</v>
      </c>
      <c r="G344" t="str">
        <f>TBIWet!H416</f>
        <v>G825</v>
      </c>
      <c r="H344" t="str">
        <f>TBIWet!I416</f>
        <v>R564</v>
      </c>
      <c r="I344" t="b">
        <f t="shared" si="122"/>
        <v>0</v>
      </c>
      <c r="J344" t="b">
        <f t="shared" si="123"/>
        <v>0</v>
      </c>
      <c r="L344" t="str">
        <f>'Both teabags AfterWet'!A343</f>
        <v>G808</v>
      </c>
      <c r="M344" t="str">
        <f>'Both teabags AfterWet'!A761</f>
        <v>R559</v>
      </c>
      <c r="N344" t="b">
        <f t="shared" si="124"/>
        <v>0</v>
      </c>
      <c r="O344" t="b">
        <f t="shared" si="125"/>
        <v>0</v>
      </c>
      <c r="P344" t="str">
        <f>IFERROR('Both teabags AfterWet'!B343,"")</f>
        <v>na</v>
      </c>
      <c r="Q344">
        <f>'Both teabags AfterWet'!B761</f>
        <v>140</v>
      </c>
      <c r="S344" s="401" t="b">
        <f t="shared" si="126"/>
        <v>0</v>
      </c>
      <c r="T344" s="401" t="b">
        <f t="shared" si="127"/>
        <v>0</v>
      </c>
      <c r="W344">
        <f>'Both teabags AfterDry'!A680</f>
        <v>0</v>
      </c>
      <c r="X344" t="b">
        <f t="shared" si="128"/>
        <v>0</v>
      </c>
      <c r="Y344" t="b">
        <f t="shared" si="129"/>
        <v>1</v>
      </c>
      <c r="AA344" t="str">
        <f>'Green_rooibos initial weight'!A345</f>
        <v>G341</v>
      </c>
      <c r="AB344" t="str">
        <f>'Green_rooibos initial weight'!A1249</f>
        <v>R341</v>
      </c>
      <c r="AC344" t="b">
        <f t="shared" si="130"/>
        <v>0</v>
      </c>
      <c r="AD344" t="b">
        <f t="shared" si="131"/>
        <v>0</v>
      </c>
      <c r="AG344" t="str">
        <f>'WetLitterbags placem_collection'!O123</f>
        <v>G825</v>
      </c>
      <c r="AH344" t="str">
        <f>'WetLitterbags placem_collection'!Q123</f>
        <v>R564</v>
      </c>
      <c r="AI344" t="b">
        <f t="shared" si="132"/>
        <v>0</v>
      </c>
      <c r="AJ344" t="b">
        <f t="shared" si="133"/>
        <v>0</v>
      </c>
      <c r="AK344">
        <f>'WetLitterbags placem_collection'!A123</f>
        <v>121</v>
      </c>
      <c r="AL344">
        <f>'WetLitterbags placem_collection'!A123</f>
        <v>121</v>
      </c>
      <c r="AN344">
        <f>IF('Dry_Litterbag Placem_Collection'!L123=0,"",'Dry_Litterbag Placem_Collection'!L123)</f>
        <v>16</v>
      </c>
      <c r="AO344">
        <f>IF('Dry_Litterbag Placem_Collection'!M123=0,"",'Dry_Litterbag Placem_Collection'!M123)</f>
        <v>374</v>
      </c>
      <c r="AP344" t="b">
        <f t="shared" si="134"/>
        <v>0</v>
      </c>
      <c r="AQ344" t="b">
        <f t="shared" si="135"/>
        <v>0</v>
      </c>
      <c r="AU344">
        <f>'Ashed teabags dry'!A679</f>
        <v>0</v>
      </c>
      <c r="AV344" t="b">
        <f t="shared" si="136"/>
        <v>0</v>
      </c>
      <c r="AW344" t="b">
        <f t="shared" si="137"/>
        <v>1</v>
      </c>
      <c r="AZ344" s="401" t="b">
        <f t="shared" si="138"/>
        <v>0</v>
      </c>
      <c r="BA344" s="401" t="b">
        <f t="shared" si="139"/>
        <v>0</v>
      </c>
      <c r="BC344" t="str">
        <f>'Ashed teabags wet'!A342</f>
        <v>G809</v>
      </c>
      <c r="BD344" t="str">
        <f>'Ashed teabags wet'!A759</f>
        <v>R580</v>
      </c>
      <c r="BE344" t="b">
        <f t="shared" si="140"/>
        <v>0</v>
      </c>
      <c r="BF344" t="b">
        <f t="shared" si="141"/>
        <v>0</v>
      </c>
      <c r="BG344">
        <f>IFERROR('Ashed teabags wet'!C342,"")</f>
        <v>160</v>
      </c>
      <c r="BH344">
        <f>IFERROR('Ashed teabags wet'!C759,"")</f>
        <v>187</v>
      </c>
      <c r="BI344">
        <f>'Ashed teabags wet'!AB342</f>
        <v>159</v>
      </c>
      <c r="BJ344" t="str">
        <f>'Ashed teabags wet'!AC342</f>
        <v/>
      </c>
      <c r="BK344" t="str">
        <f>'Ashed teabags wet'!AD759</f>
        <v/>
      </c>
      <c r="BL344">
        <f>'Ashed teabags wet'!AE759</f>
        <v>186</v>
      </c>
      <c r="BN344" t="str">
        <f t="shared" si="142"/>
        <v>G808</v>
      </c>
      <c r="BO344" t="b">
        <f t="shared" si="143"/>
        <v>1</v>
      </c>
    </row>
    <row r="345" spans="2:67" ht="12" customHeight="1">
      <c r="B345" t="str">
        <f>TBIDry!H417</f>
        <v>G109</v>
      </c>
      <c r="C345" t="str">
        <f>TBIDry!I417</f>
        <v>R388</v>
      </c>
      <c r="D345" t="b">
        <f t="shared" si="120"/>
        <v>0</v>
      </c>
      <c r="E345" t="b">
        <f t="shared" si="121"/>
        <v>0</v>
      </c>
      <c r="G345" t="str">
        <f>TBIWet!H417</f>
        <v>G839</v>
      </c>
      <c r="H345" t="str">
        <f>TBIWet!I417</f>
        <v>R429</v>
      </c>
      <c r="I345" t="b">
        <f t="shared" si="122"/>
        <v>0</v>
      </c>
      <c r="J345" t="b">
        <f t="shared" si="123"/>
        <v>0</v>
      </c>
      <c r="L345" t="str">
        <f>'Both teabags AfterWet'!A344</f>
        <v>G809</v>
      </c>
      <c r="M345" t="str">
        <f>'Both teabags AfterWet'!A762</f>
        <v>R56</v>
      </c>
      <c r="N345" t="b">
        <f t="shared" si="124"/>
        <v>0</v>
      </c>
      <c r="O345" t="b">
        <f t="shared" si="125"/>
        <v>0</v>
      </c>
      <c r="P345">
        <f>IFERROR('Both teabags AfterWet'!B344,"")</f>
        <v>160</v>
      </c>
      <c r="Q345">
        <f>'Both teabags AfterWet'!B762</f>
        <v>79</v>
      </c>
      <c r="S345" s="401" t="b">
        <f t="shared" si="126"/>
        <v>0</v>
      </c>
      <c r="T345" s="401" t="b">
        <f t="shared" si="127"/>
        <v>0</v>
      </c>
      <c r="W345">
        <f>'Both teabags AfterDry'!A681</f>
        <v>0</v>
      </c>
      <c r="X345" t="b">
        <f t="shared" si="128"/>
        <v>0</v>
      </c>
      <c r="Y345" t="b">
        <f t="shared" si="129"/>
        <v>1</v>
      </c>
      <c r="AA345" t="str">
        <f>'Green_rooibos initial weight'!A346</f>
        <v>G342</v>
      </c>
      <c r="AB345" t="str">
        <f>'Green_rooibos initial weight'!A1250</f>
        <v>R342</v>
      </c>
      <c r="AC345" t="b">
        <f t="shared" si="130"/>
        <v>0</v>
      </c>
      <c r="AD345" t="b">
        <f t="shared" si="131"/>
        <v>0</v>
      </c>
      <c r="AG345" t="str">
        <f>'WetLitterbags placem_collection'!O124</f>
        <v>G839</v>
      </c>
      <c r="AH345" t="str">
        <f>'WetLitterbags placem_collection'!Q124</f>
        <v>R429</v>
      </c>
      <c r="AI345" t="b">
        <f t="shared" si="132"/>
        <v>0</v>
      </c>
      <c r="AJ345" t="b">
        <f t="shared" si="133"/>
        <v>0</v>
      </c>
      <c r="AK345">
        <f>'WetLitterbags placem_collection'!A124</f>
        <v>122</v>
      </c>
      <c r="AL345">
        <f>'WetLitterbags placem_collection'!A124</f>
        <v>122</v>
      </c>
      <c r="AN345">
        <f>IF('Dry_Litterbag Placem_Collection'!L124=0,"",'Dry_Litterbag Placem_Collection'!L124)</f>
        <v>109</v>
      </c>
      <c r="AO345">
        <f>IF('Dry_Litterbag Placem_Collection'!M124=0,"",'Dry_Litterbag Placem_Collection'!M124)</f>
        <v>388</v>
      </c>
      <c r="AP345" t="b">
        <f t="shared" si="134"/>
        <v>0</v>
      </c>
      <c r="AQ345" t="b">
        <f t="shared" si="135"/>
        <v>0</v>
      </c>
      <c r="AZ345" s="401" t="b">
        <f t="shared" si="138"/>
        <v>0</v>
      </c>
      <c r="BA345" s="401" t="b">
        <f t="shared" si="139"/>
        <v>0</v>
      </c>
      <c r="BC345" t="str">
        <f>'Ashed teabags wet'!A343</f>
        <v>G810</v>
      </c>
      <c r="BD345" t="str">
        <f>'Ashed teabags wet'!A760</f>
        <v>R581</v>
      </c>
      <c r="BE345" t="b">
        <f t="shared" si="140"/>
        <v>0</v>
      </c>
      <c r="BF345" t="b">
        <f t="shared" si="141"/>
        <v>0</v>
      </c>
      <c r="BG345">
        <f>IFERROR('Ashed teabags wet'!C343,"")</f>
        <v>165</v>
      </c>
      <c r="BH345">
        <f>IFERROR('Ashed teabags wet'!C760,"")</f>
        <v>141</v>
      </c>
      <c r="BI345" t="str">
        <f>'Ashed teabags wet'!AB343</f>
        <v/>
      </c>
      <c r="BJ345">
        <f>'Ashed teabags wet'!AC343</f>
        <v>164</v>
      </c>
      <c r="BK345">
        <f>'Ashed teabags wet'!AD760</f>
        <v>140</v>
      </c>
      <c r="BL345" t="str">
        <f>'Ashed teabags wet'!AE760</f>
        <v/>
      </c>
      <c r="BN345" t="str">
        <f t="shared" si="142"/>
        <v>G809</v>
      </c>
      <c r="BO345" t="b">
        <f t="shared" si="143"/>
        <v>1</v>
      </c>
    </row>
    <row r="346" spans="2:67" ht="12" customHeight="1">
      <c r="B346" t="str">
        <f>TBIDry!H418</f>
        <v>G344</v>
      </c>
      <c r="C346" t="str">
        <f>TBIDry!I418</f>
        <v>R281</v>
      </c>
      <c r="D346" t="b">
        <f t="shared" si="120"/>
        <v>0</v>
      </c>
      <c r="E346" t="b">
        <f t="shared" si="121"/>
        <v>0</v>
      </c>
      <c r="G346" t="str">
        <f>TBIWet!H418</f>
        <v>G895</v>
      </c>
      <c r="H346" t="str">
        <f>TBIWet!I418</f>
        <v>R466</v>
      </c>
      <c r="I346" t="b">
        <f t="shared" si="122"/>
        <v>0</v>
      </c>
      <c r="J346" t="b">
        <f t="shared" si="123"/>
        <v>0</v>
      </c>
      <c r="L346" t="str">
        <f>'Both teabags AfterWet'!A345</f>
        <v>G810</v>
      </c>
      <c r="M346" t="str">
        <f>'Both teabags AfterWet'!A763</f>
        <v>R560</v>
      </c>
      <c r="N346" t="b">
        <f t="shared" si="124"/>
        <v>0</v>
      </c>
      <c r="O346" t="b">
        <f t="shared" si="125"/>
        <v>0</v>
      </c>
      <c r="P346">
        <f>IFERROR('Both teabags AfterWet'!B345,"")</f>
        <v>165</v>
      </c>
      <c r="Q346">
        <f>'Both teabags AfterWet'!B763</f>
        <v>125</v>
      </c>
      <c r="S346" s="401" t="b">
        <f t="shared" si="126"/>
        <v>0</v>
      </c>
      <c r="T346" s="401" t="b">
        <f t="shared" si="127"/>
        <v>0</v>
      </c>
      <c r="W346">
        <f>'Both teabags AfterDry'!A682</f>
        <v>0</v>
      </c>
      <c r="X346" t="b">
        <f t="shared" si="128"/>
        <v>0</v>
      </c>
      <c r="Y346" t="b">
        <f t="shared" si="129"/>
        <v>1</v>
      </c>
      <c r="AA346" t="str">
        <f>'Green_rooibos initial weight'!A347</f>
        <v>G343</v>
      </c>
      <c r="AB346" t="str">
        <f>'Green_rooibos initial weight'!A1251</f>
        <v>R343</v>
      </c>
      <c r="AC346" t="b">
        <f t="shared" si="130"/>
        <v>0</v>
      </c>
      <c r="AD346" t="b">
        <f t="shared" si="131"/>
        <v>0</v>
      </c>
      <c r="AG346" t="str">
        <f>'WetLitterbags placem_collection'!O125</f>
        <v>G895</v>
      </c>
      <c r="AH346" t="str">
        <f>'WetLitterbags placem_collection'!Q125</f>
        <v>R466</v>
      </c>
      <c r="AI346" t="b">
        <f t="shared" si="132"/>
        <v>0</v>
      </c>
      <c r="AJ346" t="b">
        <f t="shared" si="133"/>
        <v>0</v>
      </c>
      <c r="AK346">
        <f>'WetLitterbags placem_collection'!A125</f>
        <v>123</v>
      </c>
      <c r="AL346">
        <f>'WetLitterbags placem_collection'!A125</f>
        <v>123</v>
      </c>
      <c r="AN346">
        <f>IF('Dry_Litterbag Placem_Collection'!L125=0,"",'Dry_Litterbag Placem_Collection'!L125)</f>
        <v>344</v>
      </c>
      <c r="AO346">
        <f>IF('Dry_Litterbag Placem_Collection'!M125=0,"",'Dry_Litterbag Placem_Collection'!M125)</f>
        <v>281</v>
      </c>
      <c r="AP346" t="b">
        <f t="shared" si="134"/>
        <v>0</v>
      </c>
      <c r="AQ346" t="b">
        <f t="shared" si="135"/>
        <v>0</v>
      </c>
      <c r="AZ346" s="401" t="b">
        <f t="shared" si="138"/>
        <v>0</v>
      </c>
      <c r="BA346" s="401" t="b">
        <f t="shared" si="139"/>
        <v>0</v>
      </c>
      <c r="BC346" t="str">
        <f>'Ashed teabags wet'!A344</f>
        <v>G811</v>
      </c>
      <c r="BD346" t="str">
        <f>'Ashed teabags wet'!A761</f>
        <v>R582</v>
      </c>
      <c r="BE346" t="b">
        <f t="shared" si="140"/>
        <v>0</v>
      </c>
      <c r="BF346" t="b">
        <f t="shared" si="141"/>
        <v>0</v>
      </c>
      <c r="BG346">
        <f>IFERROR('Ashed teabags wet'!C344,"")</f>
        <v>201</v>
      </c>
      <c r="BH346">
        <f>IFERROR('Ashed teabags wet'!C761,"")</f>
        <v>147</v>
      </c>
      <c r="BI346">
        <f>'Ashed teabags wet'!AB344</f>
        <v>200</v>
      </c>
      <c r="BJ346" t="str">
        <f>'Ashed teabags wet'!AC344</f>
        <v/>
      </c>
      <c r="BK346" t="str">
        <f>'Ashed teabags wet'!AD761</f>
        <v/>
      </c>
      <c r="BL346">
        <f>'Ashed teabags wet'!AE761</f>
        <v>146</v>
      </c>
      <c r="BN346" t="str">
        <f t="shared" si="142"/>
        <v>G810</v>
      </c>
      <c r="BO346" t="b">
        <f t="shared" si="143"/>
        <v>1</v>
      </c>
    </row>
    <row r="347" spans="2:67" ht="12" customHeight="1">
      <c r="B347" t="str">
        <f>TBIDry!H419</f>
        <v>G221</v>
      </c>
      <c r="C347" t="str">
        <f>TBIDry!I419</f>
        <v>R443</v>
      </c>
      <c r="D347" t="b">
        <f t="shared" si="120"/>
        <v>0</v>
      </c>
      <c r="E347" t="b">
        <f t="shared" si="121"/>
        <v>0</v>
      </c>
      <c r="G347" t="str">
        <f>TBIWet!H419</f>
        <v>G682</v>
      </c>
      <c r="H347" t="str">
        <f>TBIWet!I419</f>
        <v>R471</v>
      </c>
      <c r="I347" t="b">
        <f t="shared" si="122"/>
        <v>0</v>
      </c>
      <c r="J347" t="b">
        <f t="shared" si="123"/>
        <v>0</v>
      </c>
      <c r="L347" t="str">
        <f>'Both teabags AfterWet'!A346</f>
        <v>G811</v>
      </c>
      <c r="M347" t="str">
        <f>'Both teabags AfterWet'!A764</f>
        <v>R561</v>
      </c>
      <c r="N347" t="b">
        <f t="shared" si="124"/>
        <v>0</v>
      </c>
      <c r="O347" t="b">
        <f t="shared" si="125"/>
        <v>0</v>
      </c>
      <c r="P347">
        <f>IFERROR('Both teabags AfterWet'!B346,"")</f>
        <v>201</v>
      </c>
      <c r="Q347">
        <f>'Both teabags AfterWet'!B764</f>
        <v>98</v>
      </c>
      <c r="S347" s="401" t="b">
        <f t="shared" si="126"/>
        <v>0</v>
      </c>
      <c r="T347" s="401" t="b">
        <f t="shared" si="127"/>
        <v>0</v>
      </c>
      <c r="AA347" t="str">
        <f>'Green_rooibos initial weight'!A348</f>
        <v>G344</v>
      </c>
      <c r="AB347" t="str">
        <f>'Green_rooibos initial weight'!A1252</f>
        <v>R344</v>
      </c>
      <c r="AC347" t="b">
        <f t="shared" si="130"/>
        <v>0</v>
      </c>
      <c r="AD347" t="b">
        <f t="shared" si="131"/>
        <v>0</v>
      </c>
      <c r="AG347" t="str">
        <f>'WetLitterbags placem_collection'!O126</f>
        <v>G682</v>
      </c>
      <c r="AH347" t="str">
        <f>'WetLitterbags placem_collection'!Q126</f>
        <v>R471</v>
      </c>
      <c r="AI347" t="b">
        <f t="shared" si="132"/>
        <v>0</v>
      </c>
      <c r="AJ347" t="b">
        <f t="shared" si="133"/>
        <v>0</v>
      </c>
      <c r="AK347">
        <f>'WetLitterbags placem_collection'!A126</f>
        <v>124</v>
      </c>
      <c r="AL347">
        <f>'WetLitterbags placem_collection'!A126</f>
        <v>124</v>
      </c>
      <c r="AN347">
        <f>IF('Dry_Litterbag Placem_Collection'!L126=0,"",'Dry_Litterbag Placem_Collection'!L126)</f>
        <v>221</v>
      </c>
      <c r="AO347">
        <f>IF('Dry_Litterbag Placem_Collection'!M126=0,"",'Dry_Litterbag Placem_Collection'!M126)</f>
        <v>443</v>
      </c>
      <c r="AP347" t="b">
        <f t="shared" si="134"/>
        <v>0</v>
      </c>
      <c r="AQ347" t="b">
        <f t="shared" si="135"/>
        <v>0</v>
      </c>
      <c r="AZ347" s="401" t="b">
        <f t="shared" si="138"/>
        <v>0</v>
      </c>
      <c r="BA347" s="401" t="b">
        <f t="shared" si="139"/>
        <v>0</v>
      </c>
      <c r="BC347" t="str">
        <f>'Ashed teabags wet'!A345</f>
        <v>G813</v>
      </c>
      <c r="BD347" t="str">
        <f>'Ashed teabags wet'!A762</f>
        <v>R583</v>
      </c>
      <c r="BE347" t="b">
        <f t="shared" si="140"/>
        <v>0</v>
      </c>
      <c r="BF347" t="b">
        <f t="shared" si="141"/>
        <v>0</v>
      </c>
      <c r="BG347">
        <f>IFERROR('Ashed teabags wet'!C345,"")</f>
        <v>24</v>
      </c>
      <c r="BH347">
        <f>IFERROR('Ashed teabags wet'!C762,"")</f>
        <v>170</v>
      </c>
      <c r="BI347">
        <f>'Ashed teabags wet'!AB345</f>
        <v>23</v>
      </c>
      <c r="BJ347" t="str">
        <f>'Ashed teabags wet'!AC345</f>
        <v/>
      </c>
      <c r="BK347" t="str">
        <f>'Ashed teabags wet'!AD762</f>
        <v/>
      </c>
      <c r="BL347">
        <f>'Ashed teabags wet'!AE762</f>
        <v>169</v>
      </c>
      <c r="BN347" t="str">
        <f t="shared" si="142"/>
        <v>G811</v>
      </c>
      <c r="BO347" t="b">
        <f t="shared" si="143"/>
        <v>1</v>
      </c>
    </row>
    <row r="348" spans="2:67" ht="12" customHeight="1">
      <c r="B348" t="str">
        <f>TBIDry!H420</f>
        <v>G757</v>
      </c>
      <c r="C348" t="str">
        <f>TBIDry!I420</f>
        <v>R180</v>
      </c>
      <c r="D348" t="b">
        <f t="shared" si="120"/>
        <v>0</v>
      </c>
      <c r="E348" t="b">
        <f t="shared" si="121"/>
        <v>0</v>
      </c>
      <c r="G348" t="str">
        <f>TBIWet!H420</f>
        <v>G740</v>
      </c>
      <c r="H348" t="str">
        <f>TBIWet!I420</f>
        <v>R486</v>
      </c>
      <c r="I348" t="b">
        <f t="shared" si="122"/>
        <v>0</v>
      </c>
      <c r="J348" t="b">
        <f t="shared" si="123"/>
        <v>0</v>
      </c>
      <c r="L348" t="str">
        <f>'Both teabags AfterWet'!A347</f>
        <v>G813</v>
      </c>
      <c r="M348" t="str">
        <f>'Both teabags AfterWet'!A765</f>
        <v>R562</v>
      </c>
      <c r="N348" t="b">
        <f t="shared" si="124"/>
        <v>0</v>
      </c>
      <c r="O348" t="b">
        <f t="shared" si="125"/>
        <v>0</v>
      </c>
      <c r="P348">
        <f>IFERROR('Both teabags AfterWet'!B347,"")</f>
        <v>24</v>
      </c>
      <c r="Q348">
        <f>'Both teabags AfterWet'!B765</f>
        <v>126</v>
      </c>
      <c r="S348" s="401" t="b">
        <f t="shared" si="126"/>
        <v>0</v>
      </c>
      <c r="T348" s="401" t="b">
        <f t="shared" si="127"/>
        <v>0</v>
      </c>
      <c r="AA348" t="str">
        <f>'Green_rooibos initial weight'!A349</f>
        <v>G345</v>
      </c>
      <c r="AB348" t="str">
        <f>'Green_rooibos initial weight'!A1253</f>
        <v>R345</v>
      </c>
      <c r="AC348" t="b">
        <f t="shared" si="130"/>
        <v>0</v>
      </c>
      <c r="AD348" t="b">
        <f t="shared" si="131"/>
        <v>0</v>
      </c>
      <c r="AG348" t="str">
        <f>'WetLitterbags placem_collection'!O127</f>
        <v>G740</v>
      </c>
      <c r="AH348" t="str">
        <f>'WetLitterbags placem_collection'!Q127</f>
        <v>R486</v>
      </c>
      <c r="AI348" t="b">
        <f t="shared" si="132"/>
        <v>0</v>
      </c>
      <c r="AJ348" t="b">
        <f t="shared" si="133"/>
        <v>0</v>
      </c>
      <c r="AK348">
        <f>'WetLitterbags placem_collection'!A127</f>
        <v>125</v>
      </c>
      <c r="AL348">
        <f>'WetLitterbags placem_collection'!A127</f>
        <v>125</v>
      </c>
      <c r="AN348">
        <f>IF('Dry_Litterbag Placem_Collection'!L127=0,"",'Dry_Litterbag Placem_Collection'!L127)</f>
        <v>757</v>
      </c>
      <c r="AO348">
        <f>IF('Dry_Litterbag Placem_Collection'!M127=0,"",'Dry_Litterbag Placem_Collection'!M127)</f>
        <v>180</v>
      </c>
      <c r="AP348" t="b">
        <f t="shared" si="134"/>
        <v>0</v>
      </c>
      <c r="AQ348" t="b">
        <f t="shared" si="135"/>
        <v>0</v>
      </c>
      <c r="AZ348" s="401" t="b">
        <f t="shared" si="138"/>
        <v>0</v>
      </c>
      <c r="BA348" s="401" t="b">
        <f t="shared" si="139"/>
        <v>0</v>
      </c>
      <c r="BC348" t="str">
        <f>'Ashed teabags wet'!A346</f>
        <v>G814</v>
      </c>
      <c r="BD348" t="str">
        <f>'Ashed teabags wet'!A763</f>
        <v>R585</v>
      </c>
      <c r="BE348" t="b">
        <f t="shared" si="140"/>
        <v>0</v>
      </c>
      <c r="BF348" t="b">
        <f t="shared" si="141"/>
        <v>0</v>
      </c>
      <c r="BG348">
        <f>IFERROR('Ashed teabags wet'!C346,"")</f>
        <v>204</v>
      </c>
      <c r="BH348">
        <f>IFERROR('Ashed teabags wet'!C763,"")</f>
        <v>130</v>
      </c>
      <c r="BI348">
        <f>'Ashed teabags wet'!AB346</f>
        <v>203</v>
      </c>
      <c r="BJ348" t="str">
        <f>'Ashed teabags wet'!AC346</f>
        <v/>
      </c>
      <c r="BK348">
        <f>'Ashed teabags wet'!AD763</f>
        <v>129</v>
      </c>
      <c r="BL348" t="str">
        <f>'Ashed teabags wet'!AE763</f>
        <v/>
      </c>
      <c r="BN348" t="str">
        <f t="shared" si="142"/>
        <v>G813</v>
      </c>
      <c r="BO348" t="b">
        <f t="shared" si="143"/>
        <v>1</v>
      </c>
    </row>
    <row r="349" spans="2:67" ht="12" customHeight="1">
      <c r="B349" t="str">
        <f>TBIDry!H421</f>
        <v/>
      </c>
      <c r="C349" t="str">
        <f>TBIDry!I421</f>
        <v/>
      </c>
      <c r="D349" t="b">
        <f t="shared" si="120"/>
        <v>1</v>
      </c>
      <c r="E349" t="b">
        <f t="shared" si="121"/>
        <v>1</v>
      </c>
      <c r="G349" t="str">
        <f>TBIWet!H421</f>
        <v>G841</v>
      </c>
      <c r="H349" t="str">
        <f>TBIWet!I421</f>
        <v>R55</v>
      </c>
      <c r="I349" t="b">
        <f t="shared" si="122"/>
        <v>0</v>
      </c>
      <c r="J349" t="b">
        <f t="shared" si="123"/>
        <v>0</v>
      </c>
      <c r="L349" t="str">
        <f>'Both teabags AfterWet'!A348</f>
        <v>G814</v>
      </c>
      <c r="M349" t="str">
        <f>'Both teabags AfterWet'!A766</f>
        <v>R563</v>
      </c>
      <c r="N349" t="b">
        <f t="shared" si="124"/>
        <v>0</v>
      </c>
      <c r="O349" t="b">
        <f t="shared" si="125"/>
        <v>0</v>
      </c>
      <c r="P349" t="str">
        <f>IFERROR('Both teabags AfterWet'!B348,"")</f>
        <v>n.a</v>
      </c>
      <c r="Q349">
        <f>'Both teabags AfterWet'!B766</f>
        <v>139</v>
      </c>
      <c r="S349" s="401" t="b">
        <f t="shared" si="126"/>
        <v>0</v>
      </c>
      <c r="T349" s="401" t="b">
        <f t="shared" si="127"/>
        <v>0</v>
      </c>
      <c r="AA349" t="str">
        <f>'Green_rooibos initial weight'!A350</f>
        <v>G346</v>
      </c>
      <c r="AB349" t="str">
        <f>'Green_rooibos initial weight'!A1254</f>
        <v>R346</v>
      </c>
      <c r="AC349" t="b">
        <f t="shared" si="130"/>
        <v>0</v>
      </c>
      <c r="AD349" t="b">
        <f t="shared" si="131"/>
        <v>0</v>
      </c>
      <c r="AG349" t="str">
        <f>'WetLitterbags placem_collection'!O128</f>
        <v>G841</v>
      </c>
      <c r="AH349" t="str">
        <f>'WetLitterbags placem_collection'!Q128</f>
        <v>R55</v>
      </c>
      <c r="AI349" t="b">
        <f t="shared" si="132"/>
        <v>0</v>
      </c>
      <c r="AJ349" t="b">
        <f t="shared" si="133"/>
        <v>0</v>
      </c>
      <c r="AK349">
        <f>'WetLitterbags placem_collection'!A128</f>
        <v>126</v>
      </c>
      <c r="AL349">
        <f>'WetLitterbags placem_collection'!A128</f>
        <v>126</v>
      </c>
      <c r="AN349" t="str">
        <f>IF('Dry_Litterbag Placem_Collection'!L128=0,"",'Dry_Litterbag Placem_Collection'!L128)</f>
        <v/>
      </c>
      <c r="AO349" t="str">
        <f>IF('Dry_Litterbag Placem_Collection'!M128=0,"",'Dry_Litterbag Placem_Collection'!M128)</f>
        <v/>
      </c>
      <c r="AP349" t="b">
        <f t="shared" si="134"/>
        <v>1</v>
      </c>
      <c r="AQ349" t="b">
        <f t="shared" si="135"/>
        <v>1</v>
      </c>
      <c r="AZ349" s="401" t="b">
        <f t="shared" si="138"/>
        <v>0</v>
      </c>
      <c r="BA349" s="401" t="b">
        <f t="shared" si="139"/>
        <v>0</v>
      </c>
      <c r="BC349" t="str">
        <f>'Ashed teabags wet'!A347</f>
        <v>G815</v>
      </c>
      <c r="BD349" t="str">
        <f>'Ashed teabags wet'!A764</f>
        <v>R587</v>
      </c>
      <c r="BE349" t="b">
        <f t="shared" si="140"/>
        <v>0</v>
      </c>
      <c r="BF349" t="b">
        <f t="shared" si="141"/>
        <v>0</v>
      </c>
      <c r="BG349">
        <f>IFERROR('Ashed teabags wet'!C347,"")</f>
        <v>138</v>
      </c>
      <c r="BH349">
        <f>IFERROR('Ashed teabags wet'!C764,"")</f>
        <v>181</v>
      </c>
      <c r="BI349">
        <f>'Ashed teabags wet'!AB347</f>
        <v>137</v>
      </c>
      <c r="BJ349" t="str">
        <f>'Ashed teabags wet'!AC347</f>
        <v/>
      </c>
      <c r="BK349">
        <f>'Ashed teabags wet'!AD764</f>
        <v>180</v>
      </c>
      <c r="BL349" t="str">
        <f>'Ashed teabags wet'!AE764</f>
        <v/>
      </c>
      <c r="BN349" t="str">
        <f t="shared" si="142"/>
        <v>G814</v>
      </c>
      <c r="BO349" t="b">
        <f t="shared" si="143"/>
        <v>1</v>
      </c>
    </row>
    <row r="350" spans="2:67" ht="12" customHeight="1">
      <c r="B350" t="str">
        <f>TBIDry!H422</f>
        <v>G96</v>
      </c>
      <c r="C350" t="str">
        <f>TBIDry!I422</f>
        <v>R229</v>
      </c>
      <c r="D350" t="b">
        <f t="shared" si="120"/>
        <v>0</v>
      </c>
      <c r="E350" t="b">
        <f t="shared" si="121"/>
        <v>0</v>
      </c>
      <c r="G350" t="str">
        <f>TBIWet!H422</f>
        <v>G687</v>
      </c>
      <c r="H350" t="str">
        <f>TBIWet!I422</f>
        <v>R424</v>
      </c>
      <c r="I350" t="b">
        <f t="shared" si="122"/>
        <v>0</v>
      </c>
      <c r="J350" t="b">
        <f t="shared" si="123"/>
        <v>0</v>
      </c>
      <c r="L350" t="str">
        <f>'Both teabags AfterWet'!A349</f>
        <v>G815</v>
      </c>
      <c r="M350" t="str">
        <f>'Both teabags AfterWet'!A767</f>
        <v>R564</v>
      </c>
      <c r="N350" t="b">
        <f t="shared" si="124"/>
        <v>0</v>
      </c>
      <c r="O350" t="b">
        <f t="shared" si="125"/>
        <v>0</v>
      </c>
      <c r="P350">
        <f>IFERROR('Both teabags AfterWet'!B349,"")</f>
        <v>138</v>
      </c>
      <c r="Q350">
        <f>'Both teabags AfterWet'!B767</f>
        <v>121</v>
      </c>
      <c r="S350" s="401" t="b">
        <f t="shared" si="126"/>
        <v>0</v>
      </c>
      <c r="T350" s="401" t="b">
        <f t="shared" si="127"/>
        <v>0</v>
      </c>
      <c r="AA350" t="str">
        <f>'Green_rooibos initial weight'!A351</f>
        <v>G347</v>
      </c>
      <c r="AB350" t="str">
        <f>'Green_rooibos initial weight'!A1255</f>
        <v>R347</v>
      </c>
      <c r="AC350" t="b">
        <f t="shared" si="130"/>
        <v>0</v>
      </c>
      <c r="AD350" t="b">
        <f t="shared" si="131"/>
        <v>0</v>
      </c>
      <c r="AG350" t="str">
        <f>'WetLitterbags placem_collection'!O129</f>
        <v>G687</v>
      </c>
      <c r="AH350" t="str">
        <f>'WetLitterbags placem_collection'!Q129</f>
        <v>R424</v>
      </c>
      <c r="AI350" t="b">
        <f t="shared" si="132"/>
        <v>0</v>
      </c>
      <c r="AJ350" t="b">
        <f t="shared" si="133"/>
        <v>0</v>
      </c>
      <c r="AK350">
        <f>'WetLitterbags placem_collection'!A129</f>
        <v>127</v>
      </c>
      <c r="AL350">
        <f>'WetLitterbags placem_collection'!A129</f>
        <v>127</v>
      </c>
      <c r="AN350">
        <f>IF('Dry_Litterbag Placem_Collection'!L129=0,"",'Dry_Litterbag Placem_Collection'!L129)</f>
        <v>96</v>
      </c>
      <c r="AO350">
        <f>IF('Dry_Litterbag Placem_Collection'!M129=0,"",'Dry_Litterbag Placem_Collection'!M129)</f>
        <v>229</v>
      </c>
      <c r="AP350" t="b">
        <f t="shared" si="134"/>
        <v>0</v>
      </c>
      <c r="AQ350" t="b">
        <f t="shared" si="135"/>
        <v>0</v>
      </c>
      <c r="AZ350" s="401" t="b">
        <f t="shared" si="138"/>
        <v>0</v>
      </c>
      <c r="BA350" s="401" t="b">
        <f t="shared" si="139"/>
        <v>0</v>
      </c>
      <c r="BC350" t="str">
        <f>'Ashed teabags wet'!A348</f>
        <v>G816</v>
      </c>
      <c r="BD350" t="str">
        <f>'Ashed teabags wet'!A765</f>
        <v>R588</v>
      </c>
      <c r="BE350" t="b">
        <f t="shared" si="140"/>
        <v>0</v>
      </c>
      <c r="BF350" t="b">
        <f t="shared" si="141"/>
        <v>0</v>
      </c>
      <c r="BG350">
        <f>IFERROR('Ashed teabags wet'!C348,"")</f>
        <v>200</v>
      </c>
      <c r="BH350">
        <f>IFERROR('Ashed teabags wet'!C765,"")</f>
        <v>96</v>
      </c>
      <c r="BI350">
        <f>'Ashed teabags wet'!AB348</f>
        <v>199</v>
      </c>
      <c r="BJ350" t="str">
        <f>'Ashed teabags wet'!AC348</f>
        <v/>
      </c>
      <c r="BK350" t="str">
        <f>'Ashed teabags wet'!AD765</f>
        <v/>
      </c>
      <c r="BL350">
        <f>'Ashed teabags wet'!AE765</f>
        <v>95</v>
      </c>
      <c r="BN350" t="str">
        <f t="shared" si="142"/>
        <v>G815</v>
      </c>
      <c r="BO350" t="b">
        <f t="shared" si="143"/>
        <v>1</v>
      </c>
    </row>
    <row r="351" spans="2:67" ht="12" customHeight="1">
      <c r="B351" t="str">
        <f>TBIDry!H423</f>
        <v>G134</v>
      </c>
      <c r="C351" t="str">
        <f>TBIDry!I423</f>
        <v>R272</v>
      </c>
      <c r="D351" t="b">
        <f t="shared" si="120"/>
        <v>0</v>
      </c>
      <c r="E351" t="b">
        <f t="shared" si="121"/>
        <v>0</v>
      </c>
      <c r="G351" t="str">
        <f>TBIWet!H423</f>
        <v>G833</v>
      </c>
      <c r="H351" t="str">
        <f>TBIWet!I423</f>
        <v>R418</v>
      </c>
      <c r="I351" t="b">
        <f t="shared" si="122"/>
        <v>0</v>
      </c>
      <c r="J351" t="b">
        <f t="shared" si="123"/>
        <v>0</v>
      </c>
      <c r="L351" s="113" t="str">
        <f>'Both teabags AfterWet'!A350</f>
        <v>G816</v>
      </c>
      <c r="M351" t="str">
        <f>'Both teabags AfterWet'!A768</f>
        <v>R565</v>
      </c>
      <c r="N351" t="b">
        <f t="shared" si="124"/>
        <v>0</v>
      </c>
      <c r="O351" t="b">
        <f t="shared" si="125"/>
        <v>0</v>
      </c>
      <c r="P351" t="str">
        <f>IFERROR('Both teabags AfterWet'!B350,"")</f>
        <v>n.a</v>
      </c>
      <c r="Q351">
        <f>'Both teabags AfterWet'!B768</f>
        <v>117</v>
      </c>
      <c r="S351" s="113" t="b">
        <f t="shared" si="126"/>
        <v>1</v>
      </c>
      <c r="T351" s="401" t="b">
        <f t="shared" si="127"/>
        <v>0</v>
      </c>
      <c r="AA351" t="str">
        <f>'Green_rooibos initial weight'!A352</f>
        <v>G348</v>
      </c>
      <c r="AB351" t="str">
        <f>'Green_rooibos initial weight'!A1256</f>
        <v>R348</v>
      </c>
      <c r="AC351" t="b">
        <f t="shared" si="130"/>
        <v>0</v>
      </c>
      <c r="AD351" t="b">
        <f t="shared" si="131"/>
        <v>0</v>
      </c>
      <c r="AG351" t="str">
        <f>'WetLitterbags placem_collection'!O130</f>
        <v>G833</v>
      </c>
      <c r="AH351" t="str">
        <f>'WetLitterbags placem_collection'!Q130</f>
        <v>R418</v>
      </c>
      <c r="AI351" t="b">
        <f t="shared" si="132"/>
        <v>0</v>
      </c>
      <c r="AJ351" t="b">
        <f t="shared" si="133"/>
        <v>0</v>
      </c>
      <c r="AK351">
        <f>'WetLitterbags placem_collection'!A130</f>
        <v>128</v>
      </c>
      <c r="AL351">
        <f>'WetLitterbags placem_collection'!A130</f>
        <v>128</v>
      </c>
      <c r="AN351">
        <f>IF('Dry_Litterbag Placem_Collection'!L130=0,"",'Dry_Litterbag Placem_Collection'!L130)</f>
        <v>134</v>
      </c>
      <c r="AO351">
        <f>IF('Dry_Litterbag Placem_Collection'!M130=0,"",'Dry_Litterbag Placem_Collection'!M130)</f>
        <v>272</v>
      </c>
      <c r="AP351" t="b">
        <f t="shared" si="134"/>
        <v>0</v>
      </c>
      <c r="AQ351" t="b">
        <f t="shared" si="135"/>
        <v>0</v>
      </c>
      <c r="AZ351" s="401" t="b">
        <f t="shared" si="138"/>
        <v>0</v>
      </c>
      <c r="BA351" s="401" t="b">
        <f t="shared" si="139"/>
        <v>0</v>
      </c>
      <c r="BC351" t="str">
        <f>'Ashed teabags wet'!A349</f>
        <v>G817</v>
      </c>
      <c r="BD351" t="str">
        <f>'Ashed teabags wet'!A766</f>
        <v>R589</v>
      </c>
      <c r="BE351" t="b">
        <f t="shared" si="140"/>
        <v>0</v>
      </c>
      <c r="BF351" t="b">
        <f t="shared" si="141"/>
        <v>0</v>
      </c>
      <c r="BG351">
        <f>IFERROR('Ashed teabags wet'!C349,"")</f>
        <v>142</v>
      </c>
      <c r="BH351">
        <f>IFERROR('Ashed teabags wet'!C766,"")</f>
        <v>211</v>
      </c>
      <c r="BI351">
        <f>'Ashed teabags wet'!AB349</f>
        <v>141</v>
      </c>
      <c r="BJ351" t="str">
        <f>'Ashed teabags wet'!AC349</f>
        <v/>
      </c>
      <c r="BK351" t="str">
        <f>'Ashed teabags wet'!AD766</f>
        <v/>
      </c>
      <c r="BL351">
        <f>'Ashed teabags wet'!AE766</f>
        <v>210</v>
      </c>
      <c r="BN351" t="str">
        <f t="shared" si="142"/>
        <v>G816</v>
      </c>
      <c r="BO351" t="b">
        <f t="shared" si="143"/>
        <v>1</v>
      </c>
    </row>
    <row r="352" spans="2:67" ht="12" customHeight="1">
      <c r="B352" t="str">
        <f>TBIDry!H424</f>
        <v>G671</v>
      </c>
      <c r="C352" t="str">
        <f>TBIDry!I424</f>
        <v>R207</v>
      </c>
      <c r="D352" t="b">
        <f t="shared" si="120"/>
        <v>0</v>
      </c>
      <c r="E352" t="b">
        <f t="shared" si="121"/>
        <v>0</v>
      </c>
      <c r="G352" t="str">
        <f>TBIWet!H424</f>
        <v>G888</v>
      </c>
      <c r="H352" t="str">
        <f>TBIWet!I424</f>
        <v>R520</v>
      </c>
      <c r="I352" t="b">
        <f t="shared" si="122"/>
        <v>0</v>
      </c>
      <c r="J352" t="b">
        <f t="shared" si="123"/>
        <v>0</v>
      </c>
      <c r="L352" t="str">
        <f>'Both teabags AfterWet'!A351</f>
        <v>G817</v>
      </c>
      <c r="M352" t="str">
        <f>'Both teabags AfterWet'!A769</f>
        <v>R566</v>
      </c>
      <c r="N352" t="b">
        <f t="shared" si="124"/>
        <v>0</v>
      </c>
      <c r="O352" t="b">
        <f t="shared" si="125"/>
        <v>0</v>
      </c>
      <c r="P352">
        <f>IFERROR('Both teabags AfterWet'!B351,"")</f>
        <v>142</v>
      </c>
      <c r="Q352" t="str">
        <f>'Both teabags AfterWet'!B769</f>
        <v>n.a</v>
      </c>
      <c r="S352" s="401" t="b">
        <f t="shared" si="126"/>
        <v>0</v>
      </c>
      <c r="T352" s="401" t="b">
        <f t="shared" si="127"/>
        <v>0</v>
      </c>
      <c r="AA352" t="str">
        <f>'Green_rooibos initial weight'!A353</f>
        <v>G349</v>
      </c>
      <c r="AB352" t="str">
        <f>'Green_rooibos initial weight'!A1257</f>
        <v>R349</v>
      </c>
      <c r="AC352" t="b">
        <f t="shared" si="130"/>
        <v>0</v>
      </c>
      <c r="AD352" t="b">
        <f t="shared" si="131"/>
        <v>0</v>
      </c>
      <c r="AG352" t="str">
        <f>'WetLitterbags placem_collection'!O131</f>
        <v>G888</v>
      </c>
      <c r="AH352" t="str">
        <f>'WetLitterbags placem_collection'!Q131</f>
        <v>R520</v>
      </c>
      <c r="AI352" t="b">
        <f t="shared" si="132"/>
        <v>0</v>
      </c>
      <c r="AJ352" t="b">
        <f t="shared" si="133"/>
        <v>0</v>
      </c>
      <c r="AK352">
        <f>'WetLitterbags placem_collection'!A131</f>
        <v>129</v>
      </c>
      <c r="AL352">
        <f>'WetLitterbags placem_collection'!A131</f>
        <v>129</v>
      </c>
      <c r="AN352">
        <f>IF('Dry_Litterbag Placem_Collection'!L131=0,"",'Dry_Litterbag Placem_Collection'!L131)</f>
        <v>671</v>
      </c>
      <c r="AO352">
        <f>IF('Dry_Litterbag Placem_Collection'!M131=0,"",'Dry_Litterbag Placem_Collection'!M131)</f>
        <v>207</v>
      </c>
      <c r="AP352" t="b">
        <f t="shared" si="134"/>
        <v>0</v>
      </c>
      <c r="AQ352" t="b">
        <f t="shared" si="135"/>
        <v>0</v>
      </c>
      <c r="AZ352" s="401" t="b">
        <f t="shared" si="138"/>
        <v>0</v>
      </c>
      <c r="BA352" s="401" t="b">
        <f t="shared" si="139"/>
        <v>0</v>
      </c>
      <c r="BC352" t="str">
        <f>'Ashed teabags wet'!A350</f>
        <v>G818</v>
      </c>
      <c r="BD352" t="str">
        <f>'Ashed teabags wet'!A767</f>
        <v>R59</v>
      </c>
      <c r="BE352" t="b">
        <f t="shared" si="140"/>
        <v>0</v>
      </c>
      <c r="BF352" t="b">
        <f t="shared" si="141"/>
        <v>0</v>
      </c>
      <c r="BG352">
        <f>IFERROR('Ashed teabags wet'!C350,"")</f>
        <v>182</v>
      </c>
      <c r="BH352">
        <f>IFERROR('Ashed teabags wet'!C767,"")</f>
        <v>6</v>
      </c>
      <c r="BI352" t="str">
        <f>'Ashed teabags wet'!AB350</f>
        <v/>
      </c>
      <c r="BJ352">
        <f>'Ashed teabags wet'!AC350</f>
        <v>181</v>
      </c>
      <c r="BK352" t="str">
        <f>'Ashed teabags wet'!AD767</f>
        <v/>
      </c>
      <c r="BL352">
        <f>'Ashed teabags wet'!AE767</f>
        <v>5</v>
      </c>
      <c r="BN352" t="str">
        <f t="shared" si="142"/>
        <v>G817</v>
      </c>
      <c r="BO352" t="b">
        <f t="shared" si="143"/>
        <v>1</v>
      </c>
    </row>
    <row r="353" spans="2:68" ht="12" customHeight="1">
      <c r="B353" t="str">
        <f>TBIDry!H425</f>
        <v>G400</v>
      </c>
      <c r="C353" t="str">
        <f>TBIDry!I425</f>
        <v>R193</v>
      </c>
      <c r="D353" t="b">
        <f t="shared" si="120"/>
        <v>0</v>
      </c>
      <c r="E353" t="b">
        <f t="shared" si="121"/>
        <v>0</v>
      </c>
      <c r="G353" t="str">
        <f>TBIWet!H425</f>
        <v>G708</v>
      </c>
      <c r="H353" t="str">
        <f>TBIWet!I425</f>
        <v>R433</v>
      </c>
      <c r="I353" t="b">
        <f t="shared" si="122"/>
        <v>0</v>
      </c>
      <c r="J353" t="b">
        <f t="shared" si="123"/>
        <v>0</v>
      </c>
      <c r="L353" t="str">
        <f>'Both teabags AfterWet'!A352</f>
        <v>G818</v>
      </c>
      <c r="M353" t="str">
        <f>'Both teabags AfterWet'!A770</f>
        <v>R567</v>
      </c>
      <c r="N353" t="b">
        <f t="shared" si="124"/>
        <v>0</v>
      </c>
      <c r="O353" t="b">
        <f t="shared" si="125"/>
        <v>0</v>
      </c>
      <c r="P353" t="str">
        <f>IFERROR('Both teabags AfterWet'!B352,"")</f>
        <v>n.a</v>
      </c>
      <c r="Q353">
        <f>'Both teabags AfterWet'!B770</f>
        <v>143</v>
      </c>
      <c r="S353" s="401" t="b">
        <f t="shared" si="126"/>
        <v>0</v>
      </c>
      <c r="T353" s="401" t="b">
        <f t="shared" si="127"/>
        <v>0</v>
      </c>
      <c r="AA353" t="str">
        <f>'Green_rooibos initial weight'!A354</f>
        <v>G350</v>
      </c>
      <c r="AB353" t="str">
        <f>'Green_rooibos initial weight'!A1258</f>
        <v>R350</v>
      </c>
      <c r="AC353" t="b">
        <f t="shared" si="130"/>
        <v>0</v>
      </c>
      <c r="AD353" t="b">
        <f t="shared" si="131"/>
        <v>0</v>
      </c>
      <c r="AG353" t="str">
        <f>'WetLitterbags placem_collection'!O132</f>
        <v>G708</v>
      </c>
      <c r="AH353" t="str">
        <f>'WetLitterbags placem_collection'!Q132</f>
        <v>R433</v>
      </c>
      <c r="AI353" t="b">
        <f t="shared" si="132"/>
        <v>0</v>
      </c>
      <c r="AJ353" t="b">
        <f t="shared" si="133"/>
        <v>0</v>
      </c>
      <c r="AK353">
        <f>'WetLitterbags placem_collection'!A132</f>
        <v>130</v>
      </c>
      <c r="AL353">
        <f>'WetLitterbags placem_collection'!A132</f>
        <v>130</v>
      </c>
      <c r="AN353">
        <f>IF('Dry_Litterbag Placem_Collection'!L132=0,"",'Dry_Litterbag Placem_Collection'!L132)</f>
        <v>400</v>
      </c>
      <c r="AO353">
        <f>IF('Dry_Litterbag Placem_Collection'!M132=0,"",'Dry_Litterbag Placem_Collection'!M132)</f>
        <v>193</v>
      </c>
      <c r="AP353" t="b">
        <f t="shared" si="134"/>
        <v>0</v>
      </c>
      <c r="AQ353" t="b">
        <f t="shared" si="135"/>
        <v>0</v>
      </c>
      <c r="AZ353" s="401" t="b">
        <f t="shared" si="138"/>
        <v>0</v>
      </c>
      <c r="BA353" s="401" t="b">
        <f t="shared" si="139"/>
        <v>0</v>
      </c>
      <c r="BC353" t="str">
        <f>'Ashed teabags wet'!A351</f>
        <v>G819</v>
      </c>
      <c r="BD353" t="str">
        <f>'Ashed teabags wet'!A768</f>
        <v>R590</v>
      </c>
      <c r="BE353" t="b">
        <f t="shared" si="140"/>
        <v>0</v>
      </c>
      <c r="BF353" t="b">
        <f t="shared" si="141"/>
        <v>0</v>
      </c>
      <c r="BG353">
        <f>IFERROR('Ashed teabags wet'!C351,"")</f>
        <v>129</v>
      </c>
      <c r="BH353">
        <f>IFERROR('Ashed teabags wet'!C768,"")</f>
        <v>106</v>
      </c>
      <c r="BI353">
        <f>'Ashed teabags wet'!AB351</f>
        <v>128</v>
      </c>
      <c r="BJ353" t="str">
        <f>'Ashed teabags wet'!AC351</f>
        <v/>
      </c>
      <c r="BK353">
        <f>'Ashed teabags wet'!AD768</f>
        <v>105</v>
      </c>
      <c r="BL353" t="str">
        <f>'Ashed teabags wet'!AE768</f>
        <v/>
      </c>
      <c r="BN353" t="str">
        <f t="shared" si="142"/>
        <v>G818</v>
      </c>
      <c r="BO353" t="b">
        <f t="shared" si="143"/>
        <v>1</v>
      </c>
    </row>
    <row r="354" spans="2:68" ht="12" customHeight="1">
      <c r="B354" t="str">
        <f>TBIDry!H426</f>
        <v>G48</v>
      </c>
      <c r="C354" t="str">
        <f>TBIDry!I426</f>
        <v>R188</v>
      </c>
      <c r="D354" t="b">
        <f t="shared" si="120"/>
        <v>0</v>
      </c>
      <c r="E354" t="b">
        <f t="shared" si="121"/>
        <v>0</v>
      </c>
      <c r="G354" t="str">
        <f>TBIWet!H426</f>
        <v>G768</v>
      </c>
      <c r="H354" t="str">
        <f>TBIWet!I426</f>
        <v>R592</v>
      </c>
      <c r="I354" t="b">
        <f t="shared" si="122"/>
        <v>0</v>
      </c>
      <c r="J354" t="b">
        <f t="shared" si="123"/>
        <v>0</v>
      </c>
      <c r="L354" t="str">
        <f>'Both teabags AfterWet'!A353</f>
        <v>G819</v>
      </c>
      <c r="M354" t="str">
        <f>'Both teabags AfterWet'!A771</f>
        <v>R568</v>
      </c>
      <c r="N354" t="b">
        <f t="shared" si="124"/>
        <v>0</v>
      </c>
      <c r="O354" t="b">
        <f t="shared" si="125"/>
        <v>0</v>
      </c>
      <c r="P354">
        <f>IFERROR('Both teabags AfterWet'!B353,"")</f>
        <v>129</v>
      </c>
      <c r="Q354">
        <f>'Both teabags AfterWet'!B771</f>
        <v>183</v>
      </c>
      <c r="S354" s="401" t="b">
        <f t="shared" si="126"/>
        <v>0</v>
      </c>
      <c r="T354" s="401" t="b">
        <f t="shared" si="127"/>
        <v>0</v>
      </c>
      <c r="AA354" t="str">
        <f>'Green_rooibos initial weight'!A355</f>
        <v>G351</v>
      </c>
      <c r="AB354" t="str">
        <f>'Green_rooibos initial weight'!A1259</f>
        <v>R351</v>
      </c>
      <c r="AC354" t="b">
        <f t="shared" si="130"/>
        <v>0</v>
      </c>
      <c r="AD354" t="b">
        <f t="shared" si="131"/>
        <v>0</v>
      </c>
      <c r="AG354" t="str">
        <f>'WetLitterbags placem_collection'!O133</f>
        <v>G768</v>
      </c>
      <c r="AH354" t="str">
        <f>'WetLitterbags placem_collection'!Q133</f>
        <v>R592</v>
      </c>
      <c r="AI354" t="b">
        <f t="shared" si="132"/>
        <v>0</v>
      </c>
      <c r="AJ354" t="b">
        <f t="shared" si="133"/>
        <v>0</v>
      </c>
      <c r="AK354">
        <f>'WetLitterbags placem_collection'!A133</f>
        <v>131</v>
      </c>
      <c r="AL354">
        <f>'WetLitterbags placem_collection'!A133</f>
        <v>131</v>
      </c>
      <c r="AN354">
        <f>IF('Dry_Litterbag Placem_Collection'!L133=0,"",'Dry_Litterbag Placem_Collection'!L133)</f>
        <v>48</v>
      </c>
      <c r="AO354">
        <f>IF('Dry_Litterbag Placem_Collection'!M133=0,"",'Dry_Litterbag Placem_Collection'!M133)</f>
        <v>188</v>
      </c>
      <c r="AP354" t="b">
        <f t="shared" si="134"/>
        <v>0</v>
      </c>
      <c r="AQ354" t="b">
        <f t="shared" si="135"/>
        <v>0</v>
      </c>
      <c r="AZ354" s="401" t="b">
        <f t="shared" si="138"/>
        <v>0</v>
      </c>
      <c r="BA354" s="401" t="b">
        <f t="shared" si="139"/>
        <v>0</v>
      </c>
      <c r="BC354" t="str">
        <f>'Ashed teabags wet'!A352</f>
        <v>G820</v>
      </c>
      <c r="BD354" t="str">
        <f>'Ashed teabags wet'!A769</f>
        <v>R591</v>
      </c>
      <c r="BE354" t="b">
        <f t="shared" si="140"/>
        <v>0</v>
      </c>
      <c r="BF354" t="b">
        <f t="shared" si="141"/>
        <v>0</v>
      </c>
      <c r="BG354">
        <f>IFERROR('Ashed teabags wet'!C352,"")</f>
        <v>134</v>
      </c>
      <c r="BH354">
        <f>IFERROR('Ashed teabags wet'!C769,"")</f>
        <v>152</v>
      </c>
      <c r="BI354" t="str">
        <f>'Ashed teabags wet'!AB352</f>
        <v/>
      </c>
      <c r="BJ354">
        <f>'Ashed teabags wet'!AC352</f>
        <v>133</v>
      </c>
      <c r="BK354">
        <f>'Ashed teabags wet'!AD769</f>
        <v>151</v>
      </c>
      <c r="BL354" t="str">
        <f>'Ashed teabags wet'!AE769</f>
        <v/>
      </c>
      <c r="BN354" t="str">
        <f t="shared" si="142"/>
        <v>G819</v>
      </c>
      <c r="BO354" t="b">
        <f t="shared" si="143"/>
        <v>1</v>
      </c>
    </row>
    <row r="355" spans="2:68" ht="12" customHeight="1">
      <c r="B355" t="str">
        <f>TBIDry!H427</f>
        <v/>
      </c>
      <c r="C355" t="str">
        <f>TBIDry!I427</f>
        <v/>
      </c>
      <c r="D355" t="b">
        <f t="shared" si="120"/>
        <v>1</v>
      </c>
      <c r="E355" t="b">
        <f t="shared" si="121"/>
        <v>1</v>
      </c>
      <c r="G355" t="str">
        <f>TBIWet!H427</f>
        <v>G779</v>
      </c>
      <c r="H355" t="str">
        <f>TBIWet!I427</f>
        <v>R477</v>
      </c>
      <c r="I355" t="b">
        <f t="shared" si="122"/>
        <v>0</v>
      </c>
      <c r="J355" t="b">
        <f t="shared" si="123"/>
        <v>0</v>
      </c>
      <c r="L355" t="str">
        <f>'Both teabags AfterWet'!A354</f>
        <v>G820</v>
      </c>
      <c r="M355" t="str">
        <f>'Both teabags AfterWet'!A772</f>
        <v>R569</v>
      </c>
      <c r="N355" t="b">
        <f t="shared" si="124"/>
        <v>0</v>
      </c>
      <c r="O355" t="b">
        <f t="shared" si="125"/>
        <v>0</v>
      </c>
      <c r="P355">
        <f>IFERROR('Both teabags AfterWet'!B354,"")</f>
        <v>134</v>
      </c>
      <c r="Q355">
        <f>'Both teabags AfterWet'!B772</f>
        <v>102</v>
      </c>
      <c r="S355" s="401" t="b">
        <f t="shared" si="126"/>
        <v>0</v>
      </c>
      <c r="T355" s="401" t="b">
        <f t="shared" si="127"/>
        <v>0</v>
      </c>
      <c r="AA355" t="str">
        <f>'Green_rooibos initial weight'!A356</f>
        <v>G352</v>
      </c>
      <c r="AB355" t="str">
        <f>'Green_rooibos initial weight'!A1260</f>
        <v>R352</v>
      </c>
      <c r="AC355" t="b">
        <f t="shared" si="130"/>
        <v>0</v>
      </c>
      <c r="AD355" t="b">
        <f t="shared" si="131"/>
        <v>0</v>
      </c>
      <c r="AG355" t="str">
        <f>'WetLitterbags placem_collection'!O134</f>
        <v>G779</v>
      </c>
      <c r="AH355" t="str">
        <f>'WetLitterbags placem_collection'!Q134</f>
        <v>R477</v>
      </c>
      <c r="AI355" t="b">
        <f t="shared" si="132"/>
        <v>0</v>
      </c>
      <c r="AJ355" t="b">
        <f t="shared" si="133"/>
        <v>0</v>
      </c>
      <c r="AK355">
        <f>'WetLitterbags placem_collection'!A134</f>
        <v>132</v>
      </c>
      <c r="AL355">
        <f>'WetLitterbags placem_collection'!A134</f>
        <v>132</v>
      </c>
      <c r="AN355" t="str">
        <f>IF('Dry_Litterbag Placem_Collection'!L134=0,"",'Dry_Litterbag Placem_Collection'!L134)</f>
        <v/>
      </c>
      <c r="AO355" t="str">
        <f>IF('Dry_Litterbag Placem_Collection'!M134=0,"",'Dry_Litterbag Placem_Collection'!M134)</f>
        <v/>
      </c>
      <c r="AP355" t="b">
        <f t="shared" si="134"/>
        <v>1</v>
      </c>
      <c r="AQ355" t="b">
        <f t="shared" si="135"/>
        <v>1</v>
      </c>
      <c r="AZ355" s="401" t="b">
        <f t="shared" si="138"/>
        <v>0</v>
      </c>
      <c r="BA355" s="401" t="b">
        <f t="shared" si="139"/>
        <v>0</v>
      </c>
      <c r="BC355" t="str">
        <f>'Ashed teabags wet'!A353</f>
        <v>G821</v>
      </c>
      <c r="BD355" t="str">
        <f>'Ashed teabags wet'!A770</f>
        <v>R592</v>
      </c>
      <c r="BE355" t="b">
        <f t="shared" si="140"/>
        <v>0</v>
      </c>
      <c r="BF355" t="b">
        <f t="shared" si="141"/>
        <v>0</v>
      </c>
      <c r="BG355">
        <f>IFERROR('Ashed teabags wet'!C353,"")</f>
        <v>195</v>
      </c>
      <c r="BH355">
        <f>IFERROR('Ashed teabags wet'!C770,"")</f>
        <v>131</v>
      </c>
      <c r="BI355">
        <f>'Ashed teabags wet'!AB353</f>
        <v>194</v>
      </c>
      <c r="BJ355" t="str">
        <f>'Ashed teabags wet'!AC353</f>
        <v/>
      </c>
      <c r="BK355" t="str">
        <f>'Ashed teabags wet'!AD770</f>
        <v/>
      </c>
      <c r="BL355">
        <f>'Ashed teabags wet'!AE770</f>
        <v>130</v>
      </c>
      <c r="BN355" t="str">
        <f t="shared" si="142"/>
        <v>G820</v>
      </c>
      <c r="BO355" t="b">
        <f t="shared" si="143"/>
        <v>1</v>
      </c>
    </row>
    <row r="356" spans="2:68" ht="12" customHeight="1">
      <c r="B356" t="str">
        <f>TBIDry!H428</f>
        <v>G210</v>
      </c>
      <c r="C356" t="str">
        <f>TBIDry!I428</f>
        <v>R683</v>
      </c>
      <c r="D356" t="b">
        <f t="shared" si="120"/>
        <v>0</v>
      </c>
      <c r="E356" t="b">
        <f t="shared" si="121"/>
        <v>0</v>
      </c>
      <c r="G356" t="str">
        <f>TBIWet!H428</f>
        <v>G799</v>
      </c>
      <c r="H356" t="str">
        <f>TBIWet!I428</f>
        <v>R597</v>
      </c>
      <c r="I356" t="b">
        <f t="shared" si="122"/>
        <v>0</v>
      </c>
      <c r="J356" t="b">
        <f t="shared" si="123"/>
        <v>0</v>
      </c>
      <c r="L356" t="str">
        <f>'Both teabags AfterWet'!A355</f>
        <v>G821</v>
      </c>
      <c r="M356" t="str">
        <f>'Both teabags AfterWet'!A773</f>
        <v>R570</v>
      </c>
      <c r="N356" t="b">
        <f t="shared" si="124"/>
        <v>0</v>
      </c>
      <c r="O356" t="b">
        <f t="shared" si="125"/>
        <v>0</v>
      </c>
      <c r="P356">
        <f>IFERROR('Both teabags AfterWet'!B355,"")</f>
        <v>195</v>
      </c>
      <c r="Q356">
        <f>'Both teabags AfterWet'!B773</f>
        <v>158</v>
      </c>
      <c r="S356" s="401" t="b">
        <f t="shared" si="126"/>
        <v>0</v>
      </c>
      <c r="T356" s="401" t="b">
        <f t="shared" si="127"/>
        <v>0</v>
      </c>
      <c r="AA356" t="str">
        <f>'Green_rooibos initial weight'!A357</f>
        <v>G353</v>
      </c>
      <c r="AB356" t="str">
        <f>'Green_rooibos initial weight'!A1261</f>
        <v>R353</v>
      </c>
      <c r="AC356" t="b">
        <f t="shared" si="130"/>
        <v>0</v>
      </c>
      <c r="AD356" t="b">
        <f t="shared" si="131"/>
        <v>0</v>
      </c>
      <c r="AG356" t="str">
        <f>'WetLitterbags placem_collection'!O135</f>
        <v>G799</v>
      </c>
      <c r="AH356" t="str">
        <f>'WetLitterbags placem_collection'!Q135</f>
        <v>R597</v>
      </c>
      <c r="AI356" t="b">
        <f t="shared" si="132"/>
        <v>0</v>
      </c>
      <c r="AJ356" t="b">
        <f t="shared" si="133"/>
        <v>0</v>
      </c>
      <c r="AK356">
        <f>'WetLitterbags placem_collection'!A135</f>
        <v>133</v>
      </c>
      <c r="AL356">
        <f>'WetLitterbags placem_collection'!A135</f>
        <v>133</v>
      </c>
      <c r="AN356">
        <f>IF('Dry_Litterbag Placem_Collection'!L135=0,"",'Dry_Litterbag Placem_Collection'!L135)</f>
        <v>210</v>
      </c>
      <c r="AO356">
        <f>IF('Dry_Litterbag Placem_Collection'!M135=0,"",'Dry_Litterbag Placem_Collection'!M135)</f>
        <v>683</v>
      </c>
      <c r="AP356" t="b">
        <f t="shared" si="134"/>
        <v>0</v>
      </c>
      <c r="AQ356" t="b">
        <f t="shared" si="135"/>
        <v>0</v>
      </c>
      <c r="AZ356" s="401" t="b">
        <f t="shared" si="138"/>
        <v>0</v>
      </c>
      <c r="BA356" s="401" t="b">
        <f t="shared" si="139"/>
        <v>0</v>
      </c>
      <c r="BC356" t="str">
        <f>'Ashed teabags wet'!A354</f>
        <v>G822</v>
      </c>
      <c r="BD356" t="str">
        <f>'Ashed teabags wet'!A771</f>
        <v>R593</v>
      </c>
      <c r="BE356" t="b">
        <f t="shared" si="140"/>
        <v>0</v>
      </c>
      <c r="BF356" t="b">
        <f t="shared" si="141"/>
        <v>0</v>
      </c>
      <c r="BG356">
        <f>IFERROR('Ashed teabags wet'!C354,"")</f>
        <v>211</v>
      </c>
      <c r="BH356">
        <f>IFERROR('Ashed teabags wet'!C771,"")</f>
        <v>106</v>
      </c>
      <c r="BI356">
        <f>'Ashed teabags wet'!AB354</f>
        <v>210</v>
      </c>
      <c r="BJ356" t="str">
        <f>'Ashed teabags wet'!AC354</f>
        <v/>
      </c>
      <c r="BK356" t="str">
        <f>'Ashed teabags wet'!AD771</f>
        <v/>
      </c>
      <c r="BL356">
        <f>'Ashed teabags wet'!AE771</f>
        <v>105</v>
      </c>
      <c r="BN356" t="str">
        <f t="shared" si="142"/>
        <v>G821</v>
      </c>
      <c r="BO356" t="b">
        <f t="shared" si="143"/>
        <v>1</v>
      </c>
    </row>
    <row r="357" spans="2:68" ht="12" customHeight="1">
      <c r="B357" t="str">
        <f>TBIDry!H429</f>
        <v>G40</v>
      </c>
      <c r="C357" t="str">
        <f>TBIDry!I429</f>
        <v>R649</v>
      </c>
      <c r="D357" t="b">
        <f t="shared" si="120"/>
        <v>0</v>
      </c>
      <c r="E357" t="b">
        <f t="shared" si="121"/>
        <v>0</v>
      </c>
      <c r="G357" t="str">
        <f>TBIWet!H429</f>
        <v>G820</v>
      </c>
      <c r="H357" t="str">
        <f>TBIWet!I429</f>
        <v>R467</v>
      </c>
      <c r="I357" t="b">
        <f t="shared" si="122"/>
        <v>0</v>
      </c>
      <c r="J357" t="b">
        <f t="shared" si="123"/>
        <v>0</v>
      </c>
      <c r="L357" t="str">
        <f>'Both teabags AfterWet'!A356</f>
        <v>G822</v>
      </c>
      <c r="M357" t="str">
        <f>'Both teabags AfterWet'!A774</f>
        <v>R571</v>
      </c>
      <c r="N357" t="b">
        <f t="shared" si="124"/>
        <v>0</v>
      </c>
      <c r="O357" t="b">
        <f t="shared" si="125"/>
        <v>0</v>
      </c>
      <c r="P357">
        <f>IFERROR('Both teabags AfterWet'!B356,"")</f>
        <v>221</v>
      </c>
      <c r="Q357">
        <f>'Both teabags AfterWet'!B774</f>
        <v>144</v>
      </c>
      <c r="S357" s="401" t="b">
        <f t="shared" si="126"/>
        <v>0</v>
      </c>
      <c r="T357" s="401" t="b">
        <f t="shared" si="127"/>
        <v>0</v>
      </c>
      <c r="AA357" t="str">
        <f>'Green_rooibos initial weight'!A358</f>
        <v>G354</v>
      </c>
      <c r="AB357" t="str">
        <f>'Green_rooibos initial weight'!A1262</f>
        <v>R354</v>
      </c>
      <c r="AC357" t="b">
        <f t="shared" si="130"/>
        <v>0</v>
      </c>
      <c r="AD357" t="b">
        <f t="shared" si="131"/>
        <v>0</v>
      </c>
      <c r="AG357" t="str">
        <f>'WetLitterbags placem_collection'!O136</f>
        <v>G820</v>
      </c>
      <c r="AH357" t="str">
        <f>'WetLitterbags placem_collection'!Q136</f>
        <v>R467</v>
      </c>
      <c r="AI357" t="b">
        <f t="shared" si="132"/>
        <v>0</v>
      </c>
      <c r="AJ357" t="b">
        <f t="shared" si="133"/>
        <v>0</v>
      </c>
      <c r="AK357">
        <f>'WetLitterbags placem_collection'!A136</f>
        <v>134</v>
      </c>
      <c r="AL357">
        <f>'WetLitterbags placem_collection'!A136</f>
        <v>134</v>
      </c>
      <c r="AN357">
        <f>IF('Dry_Litterbag Placem_Collection'!L136=0,"",'Dry_Litterbag Placem_Collection'!L136)</f>
        <v>40</v>
      </c>
      <c r="AO357">
        <f>IF('Dry_Litterbag Placem_Collection'!M136=0,"",'Dry_Litterbag Placem_Collection'!M136)</f>
        <v>649</v>
      </c>
      <c r="AP357" t="b">
        <f t="shared" si="134"/>
        <v>0</v>
      </c>
      <c r="AQ357" t="b">
        <f t="shared" si="135"/>
        <v>0</v>
      </c>
      <c r="AZ357" s="401" t="b">
        <f t="shared" si="138"/>
        <v>0</v>
      </c>
      <c r="BA357" s="401" t="b">
        <f t="shared" si="139"/>
        <v>0</v>
      </c>
      <c r="BC357" t="str">
        <f>'Ashed teabags wet'!A355</f>
        <v>G824</v>
      </c>
      <c r="BD357" t="str">
        <f>'Ashed teabags wet'!A772</f>
        <v>R594</v>
      </c>
      <c r="BE357" t="b">
        <f t="shared" si="140"/>
        <v>0</v>
      </c>
      <c r="BF357" t="b">
        <f t="shared" si="141"/>
        <v>0</v>
      </c>
      <c r="BG357">
        <f>IFERROR('Ashed teabags wet'!C355,"")</f>
        <v>102</v>
      </c>
      <c r="BH357">
        <f>IFERROR('Ashed teabags wet'!C772,"")</f>
        <v>120</v>
      </c>
      <c r="BI357" t="str">
        <f>'Ashed teabags wet'!AB355</f>
        <v/>
      </c>
      <c r="BJ357">
        <f>'Ashed teabags wet'!AC355</f>
        <v>101</v>
      </c>
      <c r="BK357" t="str">
        <f>'Ashed teabags wet'!AD772</f>
        <v/>
      </c>
      <c r="BL357">
        <f>'Ashed teabags wet'!AE772</f>
        <v>119</v>
      </c>
      <c r="BN357" t="str">
        <f t="shared" si="142"/>
        <v>G822</v>
      </c>
      <c r="BO357" t="b">
        <f t="shared" si="143"/>
        <v>1</v>
      </c>
    </row>
    <row r="358" spans="2:68" ht="12" customHeight="1">
      <c r="B358" t="str">
        <f>TBIDry!H430</f>
        <v>G517</v>
      </c>
      <c r="C358" t="str">
        <f>TBIDry!I430</f>
        <v>R223</v>
      </c>
      <c r="D358" t="b">
        <f t="shared" si="120"/>
        <v>0</v>
      </c>
      <c r="E358" t="b">
        <f t="shared" si="121"/>
        <v>0</v>
      </c>
      <c r="G358" t="str">
        <f>TBIWet!H430</f>
        <v>G842</v>
      </c>
      <c r="H358" t="str">
        <f>TBIWet!I430</f>
        <v>R596</v>
      </c>
      <c r="I358" t="b">
        <f t="shared" si="122"/>
        <v>0</v>
      </c>
      <c r="J358" t="b">
        <f t="shared" si="123"/>
        <v>0</v>
      </c>
      <c r="L358" t="str">
        <f>'Both teabags AfterWet'!A357</f>
        <v>G824</v>
      </c>
      <c r="M358" t="str">
        <f>'Both teabags AfterWet'!A775</f>
        <v>R572</v>
      </c>
      <c r="N358" t="b">
        <f t="shared" si="124"/>
        <v>0</v>
      </c>
      <c r="O358" t="b">
        <f t="shared" si="125"/>
        <v>0</v>
      </c>
      <c r="P358">
        <f>IFERROR('Both teabags AfterWet'!B357,"")</f>
        <v>155</v>
      </c>
      <c r="Q358">
        <f>'Both teabags AfterWet'!B775</f>
        <v>150</v>
      </c>
      <c r="S358" s="401" t="b">
        <f t="shared" si="126"/>
        <v>0</v>
      </c>
      <c r="T358" s="401" t="b">
        <f t="shared" si="127"/>
        <v>0</v>
      </c>
      <c r="AA358" t="str">
        <f>'Green_rooibos initial weight'!A359</f>
        <v>G355</v>
      </c>
      <c r="AB358" t="str">
        <f>'Green_rooibos initial weight'!A1263</f>
        <v>R355</v>
      </c>
      <c r="AC358" t="b">
        <f t="shared" si="130"/>
        <v>0</v>
      </c>
      <c r="AD358" t="b">
        <f t="shared" si="131"/>
        <v>0</v>
      </c>
      <c r="AG358" t="str">
        <f>'WetLitterbags placem_collection'!O137</f>
        <v>G842</v>
      </c>
      <c r="AH358" t="str">
        <f>'WetLitterbags placem_collection'!Q137</f>
        <v>R596</v>
      </c>
      <c r="AI358" t="b">
        <f t="shared" si="132"/>
        <v>0</v>
      </c>
      <c r="AJ358" t="b">
        <f t="shared" si="133"/>
        <v>0</v>
      </c>
      <c r="AK358">
        <f>'WetLitterbags placem_collection'!A137</f>
        <v>135</v>
      </c>
      <c r="AL358">
        <f>'WetLitterbags placem_collection'!A137</f>
        <v>135</v>
      </c>
      <c r="AN358">
        <f>IF('Dry_Litterbag Placem_Collection'!L137=0,"",'Dry_Litterbag Placem_Collection'!L137)</f>
        <v>517</v>
      </c>
      <c r="AO358">
        <f>IF('Dry_Litterbag Placem_Collection'!M137=0,"",'Dry_Litterbag Placem_Collection'!M137)</f>
        <v>223</v>
      </c>
      <c r="AP358" t="b">
        <f t="shared" si="134"/>
        <v>0</v>
      </c>
      <c r="AQ358" t="b">
        <f t="shared" si="135"/>
        <v>0</v>
      </c>
      <c r="AZ358" s="401" t="b">
        <f t="shared" si="138"/>
        <v>0</v>
      </c>
      <c r="BA358" s="401" t="b">
        <f t="shared" si="139"/>
        <v>0</v>
      </c>
      <c r="BC358" t="str">
        <f>'Ashed teabags wet'!A356</f>
        <v>G825</v>
      </c>
      <c r="BD358" t="str">
        <f>'Ashed teabags wet'!A773</f>
        <v>R596</v>
      </c>
      <c r="BE358" t="b">
        <f t="shared" si="140"/>
        <v>0</v>
      </c>
      <c r="BF358" t="b">
        <f t="shared" si="141"/>
        <v>0</v>
      </c>
      <c r="BG358">
        <f>IFERROR('Ashed teabags wet'!C356,"")</f>
        <v>121</v>
      </c>
      <c r="BH358">
        <f>IFERROR('Ashed teabags wet'!C773,"")</f>
        <v>135</v>
      </c>
      <c r="BI358" t="str">
        <f>'Ashed teabags wet'!AB356</f>
        <v/>
      </c>
      <c r="BJ358">
        <f>'Ashed teabags wet'!AC356</f>
        <v>120</v>
      </c>
      <c r="BK358" t="str">
        <f>'Ashed teabags wet'!AD773</f>
        <v/>
      </c>
      <c r="BL358">
        <f>'Ashed teabags wet'!AE773</f>
        <v>134</v>
      </c>
      <c r="BN358" t="str">
        <f t="shared" si="142"/>
        <v>G824</v>
      </c>
      <c r="BO358" t="b">
        <f t="shared" si="143"/>
        <v>1</v>
      </c>
    </row>
    <row r="359" spans="2:68" ht="12" customHeight="1">
      <c r="B359" t="str">
        <f>TBIDry!H431</f>
        <v>G67</v>
      </c>
      <c r="C359" t="str">
        <f>TBIDry!I431</f>
        <v>R214</v>
      </c>
      <c r="D359" t="b">
        <f t="shared" si="120"/>
        <v>0</v>
      </c>
      <c r="E359" t="b">
        <f t="shared" si="121"/>
        <v>0</v>
      </c>
      <c r="G359" t="str">
        <f>TBIWet!H431</f>
        <v>G747</v>
      </c>
      <c r="H359" t="str">
        <f>TBIWet!I431</f>
        <v>R543</v>
      </c>
      <c r="I359" t="b">
        <f t="shared" si="122"/>
        <v>0</v>
      </c>
      <c r="J359" t="b">
        <f t="shared" si="123"/>
        <v>0</v>
      </c>
      <c r="L359" t="str">
        <f>'Both teabags AfterWet'!A358</f>
        <v>G825</v>
      </c>
      <c r="M359" t="str">
        <f>'Both teabags AfterWet'!A776</f>
        <v>R573</v>
      </c>
      <c r="N359" t="b">
        <f t="shared" si="124"/>
        <v>0</v>
      </c>
      <c r="O359" t="b">
        <f t="shared" si="125"/>
        <v>0</v>
      </c>
      <c r="P359">
        <f>IFERROR('Both teabags AfterWet'!B358,"")</f>
        <v>121</v>
      </c>
      <c r="Q359">
        <f>'Both teabags AfterWet'!B776</f>
        <v>147</v>
      </c>
      <c r="S359" s="401" t="b">
        <f t="shared" si="126"/>
        <v>0</v>
      </c>
      <c r="T359" s="401" t="b">
        <f t="shared" si="127"/>
        <v>0</v>
      </c>
      <c r="AA359" t="str">
        <f>'Green_rooibos initial weight'!A360</f>
        <v>G356</v>
      </c>
      <c r="AB359" t="str">
        <f>'Green_rooibos initial weight'!A1264</f>
        <v>R356</v>
      </c>
      <c r="AC359" t="b">
        <f t="shared" si="130"/>
        <v>0</v>
      </c>
      <c r="AD359" t="b">
        <f t="shared" si="131"/>
        <v>0</v>
      </c>
      <c r="AG359" t="str">
        <f>'WetLitterbags placem_collection'!O138</f>
        <v>G747</v>
      </c>
      <c r="AH359" t="str">
        <f>'WetLitterbags placem_collection'!Q138</f>
        <v>R543</v>
      </c>
      <c r="AI359" t="b">
        <f t="shared" si="132"/>
        <v>0</v>
      </c>
      <c r="AJ359" t="b">
        <f t="shared" si="133"/>
        <v>0</v>
      </c>
      <c r="AK359">
        <f>'WetLitterbags placem_collection'!A138</f>
        <v>136</v>
      </c>
      <c r="AL359">
        <f>'WetLitterbags placem_collection'!A138</f>
        <v>136</v>
      </c>
      <c r="AN359">
        <f>IF('Dry_Litterbag Placem_Collection'!L138=0,"",'Dry_Litterbag Placem_Collection'!L138)</f>
        <v>67</v>
      </c>
      <c r="AO359">
        <f>IF('Dry_Litterbag Placem_Collection'!M138=0,"",'Dry_Litterbag Placem_Collection'!M138)</f>
        <v>214</v>
      </c>
      <c r="AP359" t="b">
        <f t="shared" si="134"/>
        <v>0</v>
      </c>
      <c r="AQ359" t="b">
        <f t="shared" si="135"/>
        <v>0</v>
      </c>
      <c r="AZ359" s="401" t="b">
        <f t="shared" si="138"/>
        <v>0</v>
      </c>
      <c r="BA359" s="401" t="b">
        <f t="shared" si="139"/>
        <v>0</v>
      </c>
      <c r="BC359" t="str">
        <f>'Ashed teabags wet'!A357</f>
        <v>G826</v>
      </c>
      <c r="BD359" t="str">
        <f>'Ashed teabags wet'!A774</f>
        <v>R597</v>
      </c>
      <c r="BE359" t="b">
        <f t="shared" si="140"/>
        <v>0</v>
      </c>
      <c r="BF359" t="b">
        <f t="shared" si="141"/>
        <v>0</v>
      </c>
      <c r="BG359">
        <f>IFERROR('Ashed teabags wet'!C357,"")</f>
        <v>179</v>
      </c>
      <c r="BH359">
        <f>IFERROR('Ashed teabags wet'!C774,"")</f>
        <v>133</v>
      </c>
      <c r="BI359" t="str">
        <f>'Ashed teabags wet'!AB357</f>
        <v/>
      </c>
      <c r="BJ359">
        <f>'Ashed teabags wet'!AC357</f>
        <v>178</v>
      </c>
      <c r="BK359" t="str">
        <f>'Ashed teabags wet'!AD774</f>
        <v/>
      </c>
      <c r="BL359">
        <f>'Ashed teabags wet'!AE774</f>
        <v>132</v>
      </c>
      <c r="BN359" t="str">
        <f t="shared" si="142"/>
        <v>G825</v>
      </c>
      <c r="BO359" t="b">
        <f t="shared" si="143"/>
        <v>1</v>
      </c>
    </row>
    <row r="360" spans="2:68" ht="12" customHeight="1">
      <c r="B360" t="str">
        <f>TBIDry!H432</f>
        <v>G335</v>
      </c>
      <c r="C360" t="str">
        <f>TBIDry!I432</f>
        <v>R628</v>
      </c>
      <c r="D360" t="b">
        <f t="shared" si="120"/>
        <v>0</v>
      </c>
      <c r="E360" t="b">
        <f t="shared" si="121"/>
        <v>0</v>
      </c>
      <c r="G360" t="str">
        <f>TBIWet!H432</f>
        <v>G857</v>
      </c>
      <c r="H360" t="str">
        <f>TBIWet!I432</f>
        <v>R483</v>
      </c>
      <c r="I360" t="b">
        <f t="shared" si="122"/>
        <v>0</v>
      </c>
      <c r="J360" t="b">
        <f t="shared" si="123"/>
        <v>0</v>
      </c>
      <c r="L360" t="str">
        <f>'Both teabags AfterWet'!A359</f>
        <v>G826</v>
      </c>
      <c r="M360" t="str">
        <f>'Both teabags AfterWet'!A777</f>
        <v>R574</v>
      </c>
      <c r="N360" t="b">
        <f t="shared" si="124"/>
        <v>0</v>
      </c>
      <c r="O360" t="b">
        <f t="shared" si="125"/>
        <v>0</v>
      </c>
      <c r="P360" t="str">
        <f>IFERROR('Both teabags AfterWet'!B359,"")</f>
        <v>n.a</v>
      </c>
      <c r="Q360">
        <f>'Both teabags AfterWet'!B777</f>
        <v>107</v>
      </c>
      <c r="S360" s="401" t="b">
        <f t="shared" si="126"/>
        <v>0</v>
      </c>
      <c r="T360" s="401" t="b">
        <f t="shared" si="127"/>
        <v>0</v>
      </c>
      <c r="AA360" t="str">
        <f>'Green_rooibos initial weight'!A361</f>
        <v>G357</v>
      </c>
      <c r="AB360" t="str">
        <f>'Green_rooibos initial weight'!A1265</f>
        <v>R357</v>
      </c>
      <c r="AC360" t="b">
        <f t="shared" si="130"/>
        <v>0</v>
      </c>
      <c r="AD360" t="b">
        <f t="shared" si="131"/>
        <v>0</v>
      </c>
      <c r="AG360" t="str">
        <f>'WetLitterbags placem_collection'!O139</f>
        <v>G857</v>
      </c>
      <c r="AH360" t="str">
        <f>'WetLitterbags placem_collection'!Q139</f>
        <v>R483</v>
      </c>
      <c r="AI360" t="b">
        <f t="shared" si="132"/>
        <v>0</v>
      </c>
      <c r="AJ360" t="b">
        <f t="shared" si="133"/>
        <v>0</v>
      </c>
      <c r="AK360">
        <f>'WetLitterbags placem_collection'!A139</f>
        <v>137</v>
      </c>
      <c r="AL360">
        <f>'WetLitterbags placem_collection'!A139</f>
        <v>137</v>
      </c>
      <c r="AN360">
        <f>IF('Dry_Litterbag Placem_Collection'!L139=0,"",'Dry_Litterbag Placem_Collection'!L139)</f>
        <v>335</v>
      </c>
      <c r="AO360">
        <f>IF('Dry_Litterbag Placem_Collection'!M139=0,"",'Dry_Litterbag Placem_Collection'!M139)</f>
        <v>628</v>
      </c>
      <c r="AP360" t="b">
        <f t="shared" si="134"/>
        <v>0</v>
      </c>
      <c r="AQ360" t="b">
        <f t="shared" si="135"/>
        <v>0</v>
      </c>
      <c r="AZ360" s="401" t="b">
        <f t="shared" si="138"/>
        <v>0</v>
      </c>
      <c r="BA360" s="401" t="b">
        <f t="shared" si="139"/>
        <v>0</v>
      </c>
      <c r="BC360" t="str">
        <f>'Ashed teabags wet'!A358</f>
        <v>G827</v>
      </c>
      <c r="BD360" t="str">
        <f>'Ashed teabags wet'!A775</f>
        <v>R598</v>
      </c>
      <c r="BE360" t="b">
        <f t="shared" si="140"/>
        <v>0</v>
      </c>
      <c r="BF360" t="b">
        <f t="shared" si="141"/>
        <v>0</v>
      </c>
      <c r="BG360">
        <f>IFERROR('Ashed teabags wet'!C358,"")</f>
        <v>155</v>
      </c>
      <c r="BH360">
        <f>IFERROR('Ashed teabags wet'!C775,"")</f>
        <v>156</v>
      </c>
      <c r="BI360" t="str">
        <f>'Ashed teabags wet'!AB358</f>
        <v/>
      </c>
      <c r="BJ360">
        <f>'Ashed teabags wet'!AC358</f>
        <v>154</v>
      </c>
      <c r="BK360">
        <f>'Ashed teabags wet'!AD775</f>
        <v>155</v>
      </c>
      <c r="BL360" t="str">
        <f>'Ashed teabags wet'!AE775</f>
        <v/>
      </c>
      <c r="BN360" t="str">
        <f t="shared" si="142"/>
        <v>G826</v>
      </c>
      <c r="BO360" t="b">
        <f t="shared" si="143"/>
        <v>1</v>
      </c>
    </row>
    <row r="361" spans="2:68" ht="12" customHeight="1">
      <c r="B361" t="str">
        <f>TBIDry!H433</f>
        <v>G484</v>
      </c>
      <c r="C361" t="str">
        <f>TBIDry!I433</f>
        <v>R198</v>
      </c>
      <c r="D361" t="b">
        <f t="shared" si="120"/>
        <v>0</v>
      </c>
      <c r="E361" t="b">
        <f t="shared" si="121"/>
        <v>0</v>
      </c>
      <c r="G361" t="str">
        <f>TBIWet!H433</f>
        <v>G623</v>
      </c>
      <c r="H361" t="str">
        <f>TBIWet!I433</f>
        <v>R21</v>
      </c>
      <c r="I361" t="b">
        <f t="shared" si="122"/>
        <v>0</v>
      </c>
      <c r="J361" t="b">
        <f t="shared" si="123"/>
        <v>0</v>
      </c>
      <c r="L361" t="str">
        <f>'Both teabags AfterWet'!A360</f>
        <v>G828</v>
      </c>
      <c r="M361" t="str">
        <f>'Both teabags AfterWet'!A778</f>
        <v>R575</v>
      </c>
      <c r="N361" t="b">
        <f t="shared" si="124"/>
        <v>0</v>
      </c>
      <c r="O361" t="b">
        <f t="shared" si="125"/>
        <v>0</v>
      </c>
      <c r="P361">
        <f>IFERROR('Both teabags AfterWet'!B360,"")</f>
        <v>100</v>
      </c>
      <c r="Q361" t="str">
        <f>'Both teabags AfterWet'!B778</f>
        <v>n.a</v>
      </c>
      <c r="S361" s="401" t="b">
        <f t="shared" si="126"/>
        <v>0</v>
      </c>
      <c r="T361" s="401" t="b">
        <f t="shared" si="127"/>
        <v>0</v>
      </c>
      <c r="AA361" t="str">
        <f>'Green_rooibos initial weight'!A362</f>
        <v>G358</v>
      </c>
      <c r="AB361" t="str">
        <f>'Green_rooibos initial weight'!A1266</f>
        <v>R358</v>
      </c>
      <c r="AC361" t="b">
        <f t="shared" si="130"/>
        <v>0</v>
      </c>
      <c r="AD361" t="b">
        <f t="shared" si="131"/>
        <v>0</v>
      </c>
      <c r="AG361" t="str">
        <f>'WetLitterbags placem_collection'!O140</f>
        <v>G623</v>
      </c>
      <c r="AH361" t="str">
        <f>'WetLitterbags placem_collection'!Q140</f>
        <v>R21</v>
      </c>
      <c r="AI361" t="b">
        <f t="shared" si="132"/>
        <v>0</v>
      </c>
      <c r="AJ361" t="b">
        <f t="shared" si="133"/>
        <v>0</v>
      </c>
      <c r="AK361">
        <f>'WetLitterbags placem_collection'!A140</f>
        <v>138</v>
      </c>
      <c r="AL361">
        <f>'WetLitterbags placem_collection'!A140</f>
        <v>138</v>
      </c>
      <c r="AN361">
        <f>IF('Dry_Litterbag Placem_Collection'!L140=0,"",'Dry_Litterbag Placem_Collection'!L140)</f>
        <v>484</v>
      </c>
      <c r="AO361">
        <f>IF('Dry_Litterbag Placem_Collection'!M140=0,"",'Dry_Litterbag Placem_Collection'!M140)</f>
        <v>198</v>
      </c>
      <c r="AP361" t="b">
        <f t="shared" si="134"/>
        <v>0</v>
      </c>
      <c r="AQ361" t="b">
        <f t="shared" si="135"/>
        <v>0</v>
      </c>
      <c r="AZ361" s="401" t="b">
        <f t="shared" si="138"/>
        <v>0</v>
      </c>
      <c r="BA361" s="401" t="b">
        <f t="shared" si="139"/>
        <v>0</v>
      </c>
      <c r="BC361" t="str">
        <f>'Ashed teabags wet'!A359</f>
        <v>G828</v>
      </c>
      <c r="BD361" t="str">
        <f>'Ashed teabags wet'!A776</f>
        <v>R6</v>
      </c>
      <c r="BE361" t="b">
        <f t="shared" si="140"/>
        <v>0</v>
      </c>
      <c r="BF361" t="b">
        <f t="shared" si="141"/>
        <v>0</v>
      </c>
      <c r="BG361">
        <f>IFERROR('Ashed teabags wet'!C359,"")</f>
        <v>100</v>
      </c>
      <c r="BH361">
        <f>IFERROR('Ashed teabags wet'!C776,"")</f>
        <v>44</v>
      </c>
      <c r="BI361" t="str">
        <f>'Ashed teabags wet'!AB359</f>
        <v/>
      </c>
      <c r="BJ361">
        <f>'Ashed teabags wet'!AC359</f>
        <v>99</v>
      </c>
      <c r="BK361" t="str">
        <f>'Ashed teabags wet'!AD776</f>
        <v/>
      </c>
      <c r="BL361">
        <f>'Ashed teabags wet'!AE776</f>
        <v>43</v>
      </c>
      <c r="BN361" s="180" t="str">
        <f t="shared" si="142"/>
        <v>G827</v>
      </c>
      <c r="BO361" s="113" t="b">
        <f t="shared" si="143"/>
        <v>0</v>
      </c>
    </row>
    <row r="362" spans="2:68" ht="12" customHeight="1">
      <c r="B362" t="str">
        <f>TBIDry!H434</f>
        <v>G868</v>
      </c>
      <c r="C362" t="str">
        <f>TBIDry!I434</f>
        <v>R706</v>
      </c>
      <c r="D362" t="b">
        <f t="shared" si="120"/>
        <v>0</v>
      </c>
      <c r="E362" t="b">
        <f t="shared" si="121"/>
        <v>0</v>
      </c>
      <c r="G362" t="str">
        <f>TBIWet!H434</f>
        <v>G880</v>
      </c>
      <c r="H362" t="str">
        <f>TBIWet!I434</f>
        <v>R538</v>
      </c>
      <c r="I362" t="b">
        <f t="shared" si="122"/>
        <v>0</v>
      </c>
      <c r="J362" t="b">
        <f t="shared" si="123"/>
        <v>0</v>
      </c>
      <c r="L362" t="str">
        <f>'Both teabags AfterWet'!A361</f>
        <v>G829</v>
      </c>
      <c r="M362" t="str">
        <f>'Both teabags AfterWet'!A779</f>
        <v>R577</v>
      </c>
      <c r="N362" t="b">
        <f t="shared" si="124"/>
        <v>0</v>
      </c>
      <c r="O362" t="b">
        <f t="shared" si="125"/>
        <v>0</v>
      </c>
      <c r="P362">
        <f>IFERROR('Both teabags AfterWet'!B361,"")</f>
        <v>102</v>
      </c>
      <c r="Q362">
        <f>'Both teabags AfterWet'!B779</f>
        <v>104</v>
      </c>
      <c r="S362" s="401" t="b">
        <f t="shared" si="126"/>
        <v>0</v>
      </c>
      <c r="T362" s="401" t="b">
        <f t="shared" si="127"/>
        <v>0</v>
      </c>
      <c r="AA362" t="str">
        <f>'Green_rooibos initial weight'!A363</f>
        <v>G359</v>
      </c>
      <c r="AB362" t="str">
        <f>'Green_rooibos initial weight'!A1267</f>
        <v>R359</v>
      </c>
      <c r="AC362" t="b">
        <f t="shared" si="130"/>
        <v>0</v>
      </c>
      <c r="AD362" t="b">
        <f t="shared" si="131"/>
        <v>0</v>
      </c>
      <c r="AG362" t="str">
        <f>'WetLitterbags placem_collection'!O141</f>
        <v>G880</v>
      </c>
      <c r="AH362" t="str">
        <f>'WetLitterbags placem_collection'!Q141</f>
        <v>R538</v>
      </c>
      <c r="AI362" t="b">
        <f t="shared" si="132"/>
        <v>0</v>
      </c>
      <c r="AJ362" t="b">
        <f t="shared" si="133"/>
        <v>0</v>
      </c>
      <c r="AK362">
        <f>'WetLitterbags placem_collection'!A141</f>
        <v>139</v>
      </c>
      <c r="AL362">
        <f>'WetLitterbags placem_collection'!A141</f>
        <v>139</v>
      </c>
      <c r="AN362">
        <f>IF('Dry_Litterbag Placem_Collection'!L141=0,"",'Dry_Litterbag Placem_Collection'!L141)</f>
        <v>868</v>
      </c>
      <c r="AO362">
        <f>IF('Dry_Litterbag Placem_Collection'!M141=0,"",'Dry_Litterbag Placem_Collection'!M141)</f>
        <v>706</v>
      </c>
      <c r="AP362" t="b">
        <f t="shared" si="134"/>
        <v>0</v>
      </c>
      <c r="AQ362" t="b">
        <f t="shared" si="135"/>
        <v>0</v>
      </c>
      <c r="AZ362" s="401" t="b">
        <f t="shared" si="138"/>
        <v>0</v>
      </c>
      <c r="BA362" s="401" t="b">
        <f t="shared" si="139"/>
        <v>0</v>
      </c>
      <c r="BC362" t="str">
        <f>'Ashed teabags wet'!A360</f>
        <v>G830</v>
      </c>
      <c r="BD362" t="str">
        <f>'Ashed teabags wet'!A777</f>
        <v>R60</v>
      </c>
      <c r="BE362" t="b">
        <f t="shared" si="140"/>
        <v>0</v>
      </c>
      <c r="BF362" t="b">
        <f t="shared" si="141"/>
        <v>0</v>
      </c>
      <c r="BG362">
        <f>IFERROR('Ashed teabags wet'!C360,"")</f>
        <v>130</v>
      </c>
      <c r="BH362">
        <f>IFERROR('Ashed teabags wet'!C777,"")</f>
        <v>56</v>
      </c>
      <c r="BI362">
        <f>'Ashed teabags wet'!AB360</f>
        <v>129</v>
      </c>
      <c r="BJ362" t="str">
        <f>'Ashed teabags wet'!AC360</f>
        <v/>
      </c>
      <c r="BK362">
        <f>'Ashed teabags wet'!AD777</f>
        <v>55</v>
      </c>
      <c r="BL362" t="str">
        <f>'Ashed teabags wet'!AE777</f>
        <v/>
      </c>
      <c r="BN362" t="str">
        <f t="shared" si="142"/>
        <v>G828</v>
      </c>
      <c r="BO362" t="b">
        <f t="shared" si="143"/>
        <v>1</v>
      </c>
    </row>
    <row r="363" spans="2:68" ht="12" customHeight="1">
      <c r="B363" t="str">
        <f>TBIDry!H435</f>
        <v>G792</v>
      </c>
      <c r="C363" t="str">
        <f>TBIDry!I435</f>
        <v>R710</v>
      </c>
      <c r="D363" t="b">
        <f t="shared" si="120"/>
        <v>0</v>
      </c>
      <c r="E363" t="b">
        <f t="shared" si="121"/>
        <v>0</v>
      </c>
      <c r="G363" t="str">
        <f>TBIWet!H435</f>
        <v>G706</v>
      </c>
      <c r="H363" t="str">
        <f>TBIWet!I435</f>
        <v>R559</v>
      </c>
      <c r="I363" t="b">
        <f t="shared" si="122"/>
        <v>0</v>
      </c>
      <c r="J363" t="b">
        <f t="shared" si="123"/>
        <v>0</v>
      </c>
      <c r="L363" t="str">
        <f>'Both teabags AfterWet'!A362</f>
        <v>G830</v>
      </c>
      <c r="M363" t="str">
        <f>'Both teabags AfterWet'!A780</f>
        <v>R578</v>
      </c>
      <c r="N363" t="b">
        <f t="shared" si="124"/>
        <v>0</v>
      </c>
      <c r="O363" s="113" t="b">
        <f t="shared" si="125"/>
        <v>1</v>
      </c>
      <c r="P363">
        <f>IFERROR('Both teabags AfterWet'!B362,"")</f>
        <v>130</v>
      </c>
      <c r="Q363">
        <f>'Both teabags AfterWet'!B780</f>
        <v>113</v>
      </c>
      <c r="S363" s="401" t="b">
        <f t="shared" si="126"/>
        <v>0</v>
      </c>
      <c r="T363" s="401" t="b">
        <f t="shared" si="127"/>
        <v>0</v>
      </c>
      <c r="AA363" t="str">
        <f>'Green_rooibos initial weight'!A364</f>
        <v>G360</v>
      </c>
      <c r="AB363" t="str">
        <f>'Green_rooibos initial weight'!A1268</f>
        <v>R360</v>
      </c>
      <c r="AC363" t="b">
        <f t="shared" si="130"/>
        <v>0</v>
      </c>
      <c r="AD363" t="b">
        <f t="shared" si="131"/>
        <v>0</v>
      </c>
      <c r="AG363" t="str">
        <f>'WetLitterbags placem_collection'!O142</f>
        <v>G706</v>
      </c>
      <c r="AH363" t="str">
        <f>'WetLitterbags placem_collection'!Q142</f>
        <v>R559</v>
      </c>
      <c r="AI363" t="b">
        <f t="shared" si="132"/>
        <v>0</v>
      </c>
      <c r="AJ363" t="b">
        <f t="shared" si="133"/>
        <v>0</v>
      </c>
      <c r="AK363">
        <f>'WetLitterbags placem_collection'!A142</f>
        <v>140</v>
      </c>
      <c r="AL363">
        <f>'WetLitterbags placem_collection'!A142</f>
        <v>140</v>
      </c>
      <c r="AN363">
        <f>IF('Dry_Litterbag Placem_Collection'!L142=0,"",'Dry_Litterbag Placem_Collection'!L142)</f>
        <v>792</v>
      </c>
      <c r="AO363">
        <f>IF('Dry_Litterbag Placem_Collection'!M142=0,"",'Dry_Litterbag Placem_Collection'!M142)</f>
        <v>710</v>
      </c>
      <c r="AP363" t="b">
        <f t="shared" si="134"/>
        <v>0</v>
      </c>
      <c r="AQ363" t="b">
        <f t="shared" si="135"/>
        <v>0</v>
      </c>
      <c r="AZ363" s="401" t="b">
        <f t="shared" si="138"/>
        <v>0</v>
      </c>
      <c r="BA363" s="401" t="b">
        <f t="shared" si="139"/>
        <v>0</v>
      </c>
      <c r="BC363" t="str">
        <f>'Ashed teabags wet'!A361</f>
        <v>G831</v>
      </c>
      <c r="BD363" t="str">
        <f>'Ashed teabags wet'!A778</f>
        <v>R600</v>
      </c>
      <c r="BE363" t="b">
        <f t="shared" si="140"/>
        <v>0</v>
      </c>
      <c r="BF363" t="b">
        <f t="shared" si="141"/>
        <v>0</v>
      </c>
      <c r="BG363">
        <f>IFERROR('Ashed teabags wet'!C361,"")</f>
        <v>111</v>
      </c>
      <c r="BH363">
        <f>IFERROR('Ashed teabags wet'!C778,"")</f>
        <v>134</v>
      </c>
      <c r="BI363">
        <f>'Ashed teabags wet'!AB361</f>
        <v>110</v>
      </c>
      <c r="BJ363" t="str">
        <f>'Ashed teabags wet'!AC361</f>
        <v/>
      </c>
      <c r="BK363">
        <f>'Ashed teabags wet'!AD778</f>
        <v>133</v>
      </c>
      <c r="BL363" t="str">
        <f>'Ashed teabags wet'!AE778</f>
        <v/>
      </c>
      <c r="BN363" t="str">
        <f t="shared" si="142"/>
        <v>G830</v>
      </c>
      <c r="BO363" t="b">
        <f t="shared" si="143"/>
        <v>1</v>
      </c>
      <c r="BP363" s="402"/>
    </row>
    <row r="364" spans="2:68" ht="12" customHeight="1">
      <c r="B364" t="str">
        <f>TBIDry!H436</f>
        <v/>
      </c>
      <c r="C364" t="str">
        <f>TBIDry!I436</f>
        <v/>
      </c>
      <c r="D364" t="b">
        <f t="shared" si="120"/>
        <v>1</v>
      </c>
      <c r="E364" t="b">
        <f t="shared" si="121"/>
        <v>1</v>
      </c>
      <c r="G364" t="str">
        <f>TBIWet!H436</f>
        <v>G775</v>
      </c>
      <c r="H364" t="str">
        <f>TBIWet!I436</f>
        <v>R465</v>
      </c>
      <c r="I364" t="b">
        <f t="shared" si="122"/>
        <v>0</v>
      </c>
      <c r="J364" t="b">
        <f t="shared" si="123"/>
        <v>0</v>
      </c>
      <c r="L364" t="str">
        <f>'Both teabags AfterWet'!A363</f>
        <v>G832</v>
      </c>
      <c r="M364" t="str">
        <f>'Both teabags AfterWet'!A781</f>
        <v>R578</v>
      </c>
      <c r="N364" t="b">
        <f t="shared" si="124"/>
        <v>0</v>
      </c>
      <c r="O364" s="113" t="b">
        <f t="shared" si="125"/>
        <v>1</v>
      </c>
      <c r="P364">
        <f>IFERROR('Both teabags AfterWet'!B363,"")</f>
        <v>136</v>
      </c>
      <c r="Q364" t="str">
        <f>'Both teabags AfterWet'!B781</f>
        <v>n.a</v>
      </c>
      <c r="S364" s="401" t="b">
        <f t="shared" si="126"/>
        <v>0</v>
      </c>
      <c r="T364" s="401" t="b">
        <f t="shared" si="127"/>
        <v>0</v>
      </c>
      <c r="AA364" t="str">
        <f>'Green_rooibos initial weight'!A365</f>
        <v>G361</v>
      </c>
      <c r="AB364" t="str">
        <f>'Green_rooibos initial weight'!A1269</f>
        <v>R361</v>
      </c>
      <c r="AC364" t="b">
        <f t="shared" si="130"/>
        <v>0</v>
      </c>
      <c r="AD364" t="b">
        <f t="shared" si="131"/>
        <v>0</v>
      </c>
      <c r="AG364" t="str">
        <f>'WetLitterbags placem_collection'!O143</f>
        <v>G775</v>
      </c>
      <c r="AH364" t="str">
        <f>'WetLitterbags placem_collection'!Q143</f>
        <v>R465</v>
      </c>
      <c r="AI364" t="b">
        <f t="shared" si="132"/>
        <v>0</v>
      </c>
      <c r="AJ364" t="b">
        <f t="shared" si="133"/>
        <v>0</v>
      </c>
      <c r="AK364">
        <f>'WetLitterbags placem_collection'!A143</f>
        <v>141</v>
      </c>
      <c r="AL364">
        <f>'WetLitterbags placem_collection'!A143</f>
        <v>141</v>
      </c>
      <c r="AN364" t="str">
        <f>IF('Dry_Litterbag Placem_Collection'!L143=0,"",'Dry_Litterbag Placem_Collection'!L143)</f>
        <v/>
      </c>
      <c r="AO364" t="str">
        <f>IF('Dry_Litterbag Placem_Collection'!M143=0,"",'Dry_Litterbag Placem_Collection'!M143)</f>
        <v/>
      </c>
      <c r="AP364" t="b">
        <f t="shared" si="134"/>
        <v>1</v>
      </c>
      <c r="AQ364" t="b">
        <f t="shared" si="135"/>
        <v>1</v>
      </c>
      <c r="AZ364" s="401" t="b">
        <f t="shared" si="138"/>
        <v>0</v>
      </c>
      <c r="BA364" s="401" t="b">
        <f t="shared" si="139"/>
        <v>0</v>
      </c>
      <c r="BC364" t="str">
        <f>'Ashed teabags wet'!A362</f>
        <v>G832</v>
      </c>
      <c r="BD364" t="str">
        <f>'Ashed teabags wet'!A779</f>
        <v>R601</v>
      </c>
      <c r="BE364" t="b">
        <f t="shared" si="140"/>
        <v>0</v>
      </c>
      <c r="BF364" t="b">
        <f t="shared" si="141"/>
        <v>0</v>
      </c>
      <c r="BG364">
        <f>IFERROR('Ashed teabags wet'!C362,"")</f>
        <v>136</v>
      </c>
      <c r="BH364">
        <f>IFERROR('Ashed teabags wet'!C779,"")</f>
        <v>114</v>
      </c>
      <c r="BI364">
        <f>'Ashed teabags wet'!AB362</f>
        <v>135</v>
      </c>
      <c r="BJ364" t="str">
        <f>'Ashed teabags wet'!AC362</f>
        <v/>
      </c>
      <c r="BK364">
        <f>'Ashed teabags wet'!AD779</f>
        <v>113</v>
      </c>
      <c r="BL364" t="str">
        <f>'Ashed teabags wet'!AE779</f>
        <v/>
      </c>
      <c r="BN364" t="str">
        <f t="shared" si="142"/>
        <v>G831</v>
      </c>
      <c r="BO364" t="b">
        <f t="shared" si="143"/>
        <v>1</v>
      </c>
    </row>
    <row r="365" spans="2:68" ht="12" customHeight="1">
      <c r="B365" t="str">
        <f>TBIDry!H437</f>
        <v>G711</v>
      </c>
      <c r="C365" t="str">
        <f>TBIDry!I437</f>
        <v>R626</v>
      </c>
      <c r="D365" t="b">
        <f t="shared" si="120"/>
        <v>0</v>
      </c>
      <c r="E365" t="b">
        <f t="shared" si="121"/>
        <v>0</v>
      </c>
      <c r="G365" t="str">
        <f>TBIWet!H437</f>
        <v>G850</v>
      </c>
      <c r="H365" t="str">
        <f>TBIWet!I437</f>
        <v>R503</v>
      </c>
      <c r="I365" t="b">
        <f t="shared" si="122"/>
        <v>0</v>
      </c>
      <c r="J365" t="b">
        <f t="shared" si="123"/>
        <v>0</v>
      </c>
      <c r="L365" t="str">
        <f>'Both teabags AfterWet'!A364</f>
        <v>G833</v>
      </c>
      <c r="M365" t="str">
        <f>'Both teabags AfterWet'!A782</f>
        <v>R579</v>
      </c>
      <c r="N365" t="b">
        <f t="shared" si="124"/>
        <v>0</v>
      </c>
      <c r="O365" t="b">
        <f t="shared" si="125"/>
        <v>0</v>
      </c>
      <c r="P365">
        <f>IFERROR('Both teabags AfterWet'!B364,"")</f>
        <v>128</v>
      </c>
      <c r="Q365" t="str">
        <f>'Both teabags AfterWet'!B782</f>
        <v>n.a</v>
      </c>
      <c r="S365" s="401" t="b">
        <f t="shared" si="126"/>
        <v>0</v>
      </c>
      <c r="T365" s="401" t="b">
        <f t="shared" si="127"/>
        <v>0</v>
      </c>
      <c r="AA365" t="str">
        <f>'Green_rooibos initial weight'!A366</f>
        <v>G362</v>
      </c>
      <c r="AB365" t="str">
        <f>'Green_rooibos initial weight'!A1270</f>
        <v>R362</v>
      </c>
      <c r="AC365" t="b">
        <f t="shared" si="130"/>
        <v>0</v>
      </c>
      <c r="AD365" t="b">
        <f t="shared" si="131"/>
        <v>0</v>
      </c>
      <c r="AG365" t="str">
        <f>'WetLitterbags placem_collection'!O144</f>
        <v>G850</v>
      </c>
      <c r="AH365" t="str">
        <f>'WetLitterbags placem_collection'!Q144</f>
        <v>R503</v>
      </c>
      <c r="AI365" t="b">
        <f t="shared" si="132"/>
        <v>0</v>
      </c>
      <c r="AJ365" t="b">
        <f t="shared" si="133"/>
        <v>0</v>
      </c>
      <c r="AK365">
        <f>'WetLitterbags placem_collection'!A144</f>
        <v>142</v>
      </c>
      <c r="AL365">
        <f>'WetLitterbags placem_collection'!A144</f>
        <v>142</v>
      </c>
      <c r="AN365">
        <f>IF('Dry_Litterbag Placem_Collection'!L144=0,"",'Dry_Litterbag Placem_Collection'!L144)</f>
        <v>711</v>
      </c>
      <c r="AO365">
        <f>IF('Dry_Litterbag Placem_Collection'!M144=0,"",'Dry_Litterbag Placem_Collection'!M144)</f>
        <v>626</v>
      </c>
      <c r="AP365" t="b">
        <f t="shared" si="134"/>
        <v>0</v>
      </c>
      <c r="AQ365" t="b">
        <f t="shared" si="135"/>
        <v>0</v>
      </c>
      <c r="AZ365" s="401" t="b">
        <f t="shared" si="138"/>
        <v>0</v>
      </c>
      <c r="BA365" s="401" t="b">
        <f t="shared" si="139"/>
        <v>0</v>
      </c>
      <c r="BC365" t="str">
        <f>'Ashed teabags wet'!A363</f>
        <v>G833</v>
      </c>
      <c r="BD365" t="str">
        <f>'Ashed teabags wet'!A780</f>
        <v>R62</v>
      </c>
      <c r="BE365" t="b">
        <f t="shared" si="140"/>
        <v>0</v>
      </c>
      <c r="BF365" t="b">
        <f t="shared" si="141"/>
        <v>0</v>
      </c>
      <c r="BG365">
        <f>IFERROR('Ashed teabags wet'!C363,"")</f>
        <v>128</v>
      </c>
      <c r="BH365">
        <f>IFERROR('Ashed teabags wet'!C780,"")</f>
        <v>86</v>
      </c>
      <c r="BI365" t="str">
        <f>'Ashed teabags wet'!AB363</f>
        <v/>
      </c>
      <c r="BJ365">
        <f>'Ashed teabags wet'!AC363</f>
        <v>127</v>
      </c>
      <c r="BK365" t="str">
        <f>'Ashed teabags wet'!AD780</f>
        <v/>
      </c>
      <c r="BL365">
        <f>'Ashed teabags wet'!AE780</f>
        <v>85</v>
      </c>
      <c r="BN365" t="str">
        <f t="shared" si="142"/>
        <v>G832</v>
      </c>
      <c r="BO365" t="b">
        <f t="shared" si="143"/>
        <v>1</v>
      </c>
    </row>
    <row r="366" spans="2:68" ht="12" customHeight="1">
      <c r="B366" t="str">
        <f>TBIDry!H438</f>
        <v>G205</v>
      </c>
      <c r="C366" t="str">
        <f>TBIDry!I438</f>
        <v>R195</v>
      </c>
      <c r="D366" t="b">
        <f t="shared" si="120"/>
        <v>0</v>
      </c>
      <c r="E366" t="b">
        <f t="shared" si="121"/>
        <v>0</v>
      </c>
      <c r="G366" t="str">
        <f>TBIWet!H438</f>
        <v>G697</v>
      </c>
      <c r="H366" t="str">
        <f>TBIWet!I438</f>
        <v>R567</v>
      </c>
      <c r="I366" t="b">
        <f t="shared" si="122"/>
        <v>0</v>
      </c>
      <c r="J366" t="b">
        <f t="shared" si="123"/>
        <v>0</v>
      </c>
      <c r="L366" t="str">
        <f>'Both teabags AfterWet'!A365</f>
        <v>G834</v>
      </c>
      <c r="M366" t="str">
        <f>'Both teabags AfterWet'!A783</f>
        <v>R58</v>
      </c>
      <c r="N366" t="b">
        <f t="shared" si="124"/>
        <v>0</v>
      </c>
      <c r="O366" t="b">
        <f t="shared" si="125"/>
        <v>0</v>
      </c>
      <c r="P366">
        <f>IFERROR('Both teabags AfterWet'!B365,"")</f>
        <v>128</v>
      </c>
      <c r="Q366">
        <f>'Both teabags AfterWet'!B783</f>
        <v>56</v>
      </c>
      <c r="S366" s="401" t="b">
        <f t="shared" si="126"/>
        <v>0</v>
      </c>
      <c r="T366" s="401" t="b">
        <f t="shared" si="127"/>
        <v>0</v>
      </c>
      <c r="AA366" t="str">
        <f>'Green_rooibos initial weight'!A367</f>
        <v>G363</v>
      </c>
      <c r="AB366" t="str">
        <f>'Green_rooibos initial weight'!A1271</f>
        <v>R363</v>
      </c>
      <c r="AC366" t="b">
        <f t="shared" si="130"/>
        <v>0</v>
      </c>
      <c r="AD366" t="b">
        <f t="shared" si="131"/>
        <v>0</v>
      </c>
      <c r="AG366" t="str">
        <f>'WetLitterbags placem_collection'!O145</f>
        <v>G697</v>
      </c>
      <c r="AH366" t="str">
        <f>'WetLitterbags placem_collection'!Q145</f>
        <v>R567</v>
      </c>
      <c r="AI366" t="b">
        <f t="shared" si="132"/>
        <v>0</v>
      </c>
      <c r="AJ366" t="b">
        <f t="shared" si="133"/>
        <v>0</v>
      </c>
      <c r="AK366">
        <f>'WetLitterbags placem_collection'!A145</f>
        <v>143</v>
      </c>
      <c r="AL366">
        <f>'WetLitterbags placem_collection'!A145</f>
        <v>143</v>
      </c>
      <c r="AN366">
        <f>IF('Dry_Litterbag Placem_Collection'!L145=0,"",'Dry_Litterbag Placem_Collection'!L145)</f>
        <v>205</v>
      </c>
      <c r="AO366">
        <f>IF('Dry_Litterbag Placem_Collection'!M145=0,"",'Dry_Litterbag Placem_Collection'!M145)</f>
        <v>195</v>
      </c>
      <c r="AP366" t="b">
        <f t="shared" si="134"/>
        <v>0</v>
      </c>
      <c r="AQ366" t="b">
        <f t="shared" si="135"/>
        <v>0</v>
      </c>
      <c r="AZ366" s="401" t="b">
        <f t="shared" si="138"/>
        <v>0</v>
      </c>
      <c r="BA366" s="401" t="b">
        <f t="shared" si="139"/>
        <v>0</v>
      </c>
      <c r="BC366" t="str">
        <f>'Ashed teabags wet'!A364</f>
        <v>G834</v>
      </c>
      <c r="BD366" t="str">
        <f>'Ashed teabags wet'!A781</f>
        <v>R63</v>
      </c>
      <c r="BE366" t="b">
        <f t="shared" si="140"/>
        <v>0</v>
      </c>
      <c r="BF366" t="b">
        <f t="shared" si="141"/>
        <v>0</v>
      </c>
      <c r="BG366">
        <f>IFERROR('Ashed teabags wet'!C364,"")</f>
        <v>128</v>
      </c>
      <c r="BH366">
        <f>IFERROR('Ashed teabags wet'!C781,"")</f>
        <v>37</v>
      </c>
      <c r="BI366">
        <f>'Ashed teabags wet'!AB364</f>
        <v>127</v>
      </c>
      <c r="BJ366" t="str">
        <f>'Ashed teabags wet'!AC364</f>
        <v/>
      </c>
      <c r="BK366">
        <f>'Ashed teabags wet'!AD781</f>
        <v>36</v>
      </c>
      <c r="BL366" t="str">
        <f>'Ashed teabags wet'!AE781</f>
        <v/>
      </c>
      <c r="BN366" t="str">
        <f t="shared" si="142"/>
        <v>G833</v>
      </c>
      <c r="BO366" t="b">
        <f t="shared" si="143"/>
        <v>1</v>
      </c>
    </row>
    <row r="367" spans="2:68" ht="12" customHeight="1">
      <c r="B367" t="str">
        <f>TBIDry!H439</f>
        <v>G384</v>
      </c>
      <c r="C367" t="str">
        <f>TBIDry!I439</f>
        <v>R295</v>
      </c>
      <c r="D367" t="b">
        <f t="shared" si="120"/>
        <v>0</v>
      </c>
      <c r="E367" t="b">
        <f t="shared" si="121"/>
        <v>0</v>
      </c>
      <c r="G367" t="str">
        <f>TBIWet!H439</f>
        <v>G894</v>
      </c>
      <c r="H367" t="str">
        <f>TBIWet!I439</f>
        <v>R15</v>
      </c>
      <c r="I367" t="b">
        <f t="shared" si="122"/>
        <v>0</v>
      </c>
      <c r="J367" t="b">
        <f t="shared" si="123"/>
        <v>0</v>
      </c>
      <c r="L367" t="str">
        <f>'Both teabags AfterWet'!A366</f>
        <v>G835</v>
      </c>
      <c r="M367" t="str">
        <f>'Both teabags AfterWet'!A784</f>
        <v>R580</v>
      </c>
      <c r="N367" t="b">
        <f t="shared" si="124"/>
        <v>0</v>
      </c>
      <c r="O367" t="b">
        <f t="shared" si="125"/>
        <v>0</v>
      </c>
      <c r="P367" t="str">
        <f>IFERROR('Both teabags AfterWet'!B366,"")</f>
        <v>n.a</v>
      </c>
      <c r="Q367" t="str">
        <f>'Both teabags AfterWet'!B784</f>
        <v>n.a</v>
      </c>
      <c r="S367" s="401" t="b">
        <f t="shared" si="126"/>
        <v>0</v>
      </c>
      <c r="T367" s="401" t="b">
        <f t="shared" si="127"/>
        <v>0</v>
      </c>
      <c r="AA367" t="str">
        <f>'Green_rooibos initial weight'!A368</f>
        <v>G364</v>
      </c>
      <c r="AB367" t="str">
        <f>'Green_rooibos initial weight'!A1272</f>
        <v>R364</v>
      </c>
      <c r="AC367" t="b">
        <f t="shared" si="130"/>
        <v>0</v>
      </c>
      <c r="AD367" t="b">
        <f t="shared" si="131"/>
        <v>0</v>
      </c>
      <c r="AG367" t="str">
        <f>'WetLitterbags placem_collection'!O146</f>
        <v>G894</v>
      </c>
      <c r="AH367" t="str">
        <f>'WetLitterbags placem_collection'!Q146</f>
        <v>R15</v>
      </c>
      <c r="AI367" t="b">
        <f t="shared" si="132"/>
        <v>0</v>
      </c>
      <c r="AJ367" t="b">
        <f t="shared" si="133"/>
        <v>0</v>
      </c>
      <c r="AK367">
        <f>'WetLitterbags placem_collection'!A146</f>
        <v>144</v>
      </c>
      <c r="AL367">
        <f>'WetLitterbags placem_collection'!A146</f>
        <v>144</v>
      </c>
      <c r="AN367">
        <f>IF('Dry_Litterbag Placem_Collection'!L146=0,"",'Dry_Litterbag Placem_Collection'!L146)</f>
        <v>384</v>
      </c>
      <c r="AO367">
        <f>IF('Dry_Litterbag Placem_Collection'!M146=0,"",'Dry_Litterbag Placem_Collection'!M146)</f>
        <v>295</v>
      </c>
      <c r="AP367" t="b">
        <f t="shared" si="134"/>
        <v>0</v>
      </c>
      <c r="AQ367" t="b">
        <f t="shared" si="135"/>
        <v>0</v>
      </c>
      <c r="AZ367" s="401" t="b">
        <f t="shared" si="138"/>
        <v>0</v>
      </c>
      <c r="BA367" s="401" t="b">
        <f t="shared" si="139"/>
        <v>0</v>
      </c>
      <c r="BC367" t="str">
        <f>'Ashed teabags wet'!A365</f>
        <v>G836</v>
      </c>
      <c r="BD367" t="str">
        <f>'Ashed teabags wet'!A782</f>
        <v>R64</v>
      </c>
      <c r="BE367" t="b">
        <f t="shared" si="140"/>
        <v>0</v>
      </c>
      <c r="BF367" t="b">
        <f t="shared" si="141"/>
        <v>0</v>
      </c>
      <c r="BG367">
        <f>IFERROR('Ashed teabags wet'!C365,"")</f>
        <v>143</v>
      </c>
      <c r="BH367">
        <f>IFERROR('Ashed teabags wet'!C782,"")</f>
        <v>35</v>
      </c>
      <c r="BI367">
        <f>'Ashed teabags wet'!AB365</f>
        <v>142</v>
      </c>
      <c r="BJ367" t="str">
        <f>'Ashed teabags wet'!AC365</f>
        <v/>
      </c>
      <c r="BK367">
        <f>'Ashed teabags wet'!AD782</f>
        <v>34</v>
      </c>
      <c r="BL367" t="str">
        <f>'Ashed teabags wet'!AE782</f>
        <v/>
      </c>
      <c r="BN367" t="str">
        <f t="shared" si="142"/>
        <v>G834</v>
      </c>
      <c r="BO367" t="b">
        <f t="shared" si="143"/>
        <v>1</v>
      </c>
    </row>
    <row r="368" spans="2:68" ht="12" customHeight="1">
      <c r="B368" t="str">
        <f>TBIDry!H440</f>
        <v>G72</v>
      </c>
      <c r="C368" t="str">
        <f>TBIDry!I440</f>
        <v>R609</v>
      </c>
      <c r="D368" t="b">
        <f t="shared" si="120"/>
        <v>0</v>
      </c>
      <c r="E368" t="b">
        <f t="shared" si="121"/>
        <v>0</v>
      </c>
      <c r="G368" t="str">
        <f>TBIWet!H440</f>
        <v>G653</v>
      </c>
      <c r="H368" t="str">
        <f>TBIWet!I440</f>
        <v>R40</v>
      </c>
      <c r="I368" t="b">
        <f t="shared" si="122"/>
        <v>0</v>
      </c>
      <c r="J368" t="b">
        <f t="shared" si="123"/>
        <v>0</v>
      </c>
      <c r="L368" t="str">
        <f>'Both teabags AfterWet'!A367</f>
        <v>G836</v>
      </c>
      <c r="M368" t="str">
        <f>'Both teabags AfterWet'!A785</f>
        <v>R581</v>
      </c>
      <c r="N368" t="b">
        <f t="shared" si="124"/>
        <v>0</v>
      </c>
      <c r="O368" t="b">
        <f t="shared" si="125"/>
        <v>0</v>
      </c>
      <c r="P368">
        <f>IFERROR('Both teabags AfterWet'!B367,"")</f>
        <v>143</v>
      </c>
      <c r="Q368">
        <f>'Both teabags AfterWet'!B785</f>
        <v>141</v>
      </c>
      <c r="S368" s="401" t="b">
        <f t="shared" si="126"/>
        <v>0</v>
      </c>
      <c r="T368" s="401" t="b">
        <f t="shared" si="127"/>
        <v>0</v>
      </c>
      <c r="AA368" t="str">
        <f>'Green_rooibos initial weight'!A369</f>
        <v>G365</v>
      </c>
      <c r="AB368" t="str">
        <f>'Green_rooibos initial weight'!A1273</f>
        <v>R365</v>
      </c>
      <c r="AC368" t="b">
        <f t="shared" si="130"/>
        <v>0</v>
      </c>
      <c r="AD368" t="b">
        <f t="shared" si="131"/>
        <v>0</v>
      </c>
      <c r="AG368" t="str">
        <f>'WetLitterbags placem_collection'!O147</f>
        <v>G653</v>
      </c>
      <c r="AH368" t="str">
        <f>'WetLitterbags placem_collection'!Q147</f>
        <v>R40</v>
      </c>
      <c r="AI368" t="b">
        <f t="shared" si="132"/>
        <v>0</v>
      </c>
      <c r="AJ368" t="b">
        <f t="shared" si="133"/>
        <v>0</v>
      </c>
      <c r="AK368">
        <f>'WetLitterbags placem_collection'!A147</f>
        <v>145</v>
      </c>
      <c r="AL368">
        <f>'WetLitterbags placem_collection'!A147</f>
        <v>145</v>
      </c>
      <c r="AN368">
        <f>IF('Dry_Litterbag Placem_Collection'!L147=0,"",'Dry_Litterbag Placem_Collection'!L147)</f>
        <v>72</v>
      </c>
      <c r="AO368">
        <f>IF('Dry_Litterbag Placem_Collection'!M147=0,"",'Dry_Litterbag Placem_Collection'!M147)</f>
        <v>609</v>
      </c>
      <c r="AP368" t="b">
        <f t="shared" si="134"/>
        <v>0</v>
      </c>
      <c r="AQ368" t="b">
        <f t="shared" si="135"/>
        <v>0</v>
      </c>
      <c r="AZ368" s="401" t="b">
        <f t="shared" si="138"/>
        <v>0</v>
      </c>
      <c r="BA368" s="401" t="b">
        <f t="shared" si="139"/>
        <v>0</v>
      </c>
      <c r="BC368" t="str">
        <f>'Ashed teabags wet'!A366</f>
        <v>G837</v>
      </c>
      <c r="BD368" t="str">
        <f>'Ashed teabags wet'!A783</f>
        <v>R65</v>
      </c>
      <c r="BE368" t="b">
        <f t="shared" si="140"/>
        <v>0</v>
      </c>
      <c r="BF368" t="b">
        <f t="shared" si="141"/>
        <v>0</v>
      </c>
      <c r="BG368">
        <f>IFERROR('Ashed teabags wet'!C366,"")</f>
        <v>106</v>
      </c>
      <c r="BH368">
        <f>IFERROR('Ashed teabags wet'!C783,"")</f>
        <v>39</v>
      </c>
      <c r="BI368">
        <f>'Ashed teabags wet'!AB366</f>
        <v>105</v>
      </c>
      <c r="BJ368" t="str">
        <f>'Ashed teabags wet'!AC366</f>
        <v/>
      </c>
      <c r="BK368" t="str">
        <f>'Ashed teabags wet'!AD783</f>
        <v/>
      </c>
      <c r="BL368">
        <f>'Ashed teabags wet'!AE783</f>
        <v>38</v>
      </c>
      <c r="BN368" t="str">
        <f t="shared" si="142"/>
        <v>G836</v>
      </c>
      <c r="BO368" t="b">
        <f t="shared" si="143"/>
        <v>1</v>
      </c>
      <c r="BP368" s="402"/>
    </row>
    <row r="369" spans="2:68" ht="12" customHeight="1">
      <c r="B369" t="str">
        <f>TBIDry!H441</f>
        <v>G336</v>
      </c>
      <c r="C369" t="str">
        <f>TBIDry!I441</f>
        <v>R292</v>
      </c>
      <c r="D369" t="b">
        <f t="shared" si="120"/>
        <v>0</v>
      </c>
      <c r="E369" t="b">
        <f t="shared" si="121"/>
        <v>0</v>
      </c>
      <c r="G369" t="str">
        <f>TBIWet!H441</f>
        <v>G762</v>
      </c>
      <c r="H369" t="str">
        <f>TBIWet!I441</f>
        <v>R468</v>
      </c>
      <c r="I369" t="b">
        <f t="shared" si="122"/>
        <v>0</v>
      </c>
      <c r="J369" t="b">
        <f t="shared" si="123"/>
        <v>0</v>
      </c>
      <c r="L369" t="str">
        <f>'Both teabags AfterWet'!A368</f>
        <v>G837</v>
      </c>
      <c r="M369" t="str">
        <f>'Both teabags AfterWet'!A786</f>
        <v>R582</v>
      </c>
      <c r="N369" t="b">
        <f t="shared" si="124"/>
        <v>0</v>
      </c>
      <c r="O369" t="b">
        <f t="shared" si="125"/>
        <v>0</v>
      </c>
      <c r="P369" t="str">
        <f>IFERROR('Both teabags AfterWet'!B368,"")</f>
        <v>N.A</v>
      </c>
      <c r="Q369">
        <f>'Both teabags AfterWet'!B786</f>
        <v>147</v>
      </c>
      <c r="S369" s="401" t="b">
        <f t="shared" si="126"/>
        <v>0</v>
      </c>
      <c r="T369" s="401" t="b">
        <f t="shared" si="127"/>
        <v>0</v>
      </c>
      <c r="AA369" t="str">
        <f>'Green_rooibos initial weight'!A370</f>
        <v>G366</v>
      </c>
      <c r="AB369" t="str">
        <f>'Green_rooibos initial weight'!A1274</f>
        <v>R366</v>
      </c>
      <c r="AC369" t="b">
        <f t="shared" si="130"/>
        <v>0</v>
      </c>
      <c r="AD369" t="b">
        <f t="shared" si="131"/>
        <v>0</v>
      </c>
      <c r="AG369" t="str">
        <f>'WetLitterbags placem_collection'!O148</f>
        <v>G762</v>
      </c>
      <c r="AH369" t="str">
        <f>'WetLitterbags placem_collection'!Q148</f>
        <v>R468</v>
      </c>
      <c r="AI369" t="b">
        <f t="shared" si="132"/>
        <v>0</v>
      </c>
      <c r="AJ369" t="b">
        <f t="shared" si="133"/>
        <v>0</v>
      </c>
      <c r="AK369">
        <f>'WetLitterbags placem_collection'!A148</f>
        <v>146</v>
      </c>
      <c r="AL369">
        <f>'WetLitterbags placem_collection'!A148</f>
        <v>146</v>
      </c>
      <c r="AN369">
        <f>IF('Dry_Litterbag Placem_Collection'!L148=0,"",'Dry_Litterbag Placem_Collection'!L148)</f>
        <v>336</v>
      </c>
      <c r="AO369">
        <f>IF('Dry_Litterbag Placem_Collection'!M148=0,"",'Dry_Litterbag Placem_Collection'!M148)</f>
        <v>292</v>
      </c>
      <c r="AP369" t="b">
        <f t="shared" si="134"/>
        <v>0</v>
      </c>
      <c r="AQ369" t="b">
        <f t="shared" si="135"/>
        <v>0</v>
      </c>
      <c r="AZ369" s="401" t="b">
        <f t="shared" si="138"/>
        <v>0</v>
      </c>
      <c r="BA369" s="401" t="b">
        <f t="shared" si="139"/>
        <v>0</v>
      </c>
      <c r="BC369" t="str">
        <f>'Ashed teabags wet'!A367</f>
        <v>G838</v>
      </c>
      <c r="BD369" t="str">
        <f>'Ashed teabags wet'!A784</f>
        <v>R68</v>
      </c>
      <c r="BE369" t="b">
        <f t="shared" si="140"/>
        <v>0</v>
      </c>
      <c r="BF369" t="b">
        <f t="shared" si="141"/>
        <v>0</v>
      </c>
      <c r="BG369">
        <f>IFERROR('Ashed teabags wet'!C367,"")</f>
        <v>29</v>
      </c>
      <c r="BH369">
        <f>IFERROR('Ashed teabags wet'!C784,"")</f>
        <v>80</v>
      </c>
      <c r="BI369">
        <f>'Ashed teabags wet'!AB367</f>
        <v>28</v>
      </c>
      <c r="BJ369" t="str">
        <f>'Ashed teabags wet'!AC367</f>
        <v/>
      </c>
      <c r="BK369" t="str">
        <f>'Ashed teabags wet'!AD784</f>
        <v/>
      </c>
      <c r="BL369">
        <f>'Ashed teabags wet'!AE784</f>
        <v>79</v>
      </c>
      <c r="BN369" t="str">
        <f t="shared" si="142"/>
        <v>G837</v>
      </c>
      <c r="BO369" t="b">
        <f t="shared" si="143"/>
        <v>1</v>
      </c>
    </row>
    <row r="370" spans="2:68" ht="12" customHeight="1">
      <c r="B370" t="str">
        <f>TBIDry!H442</f>
        <v>G303</v>
      </c>
      <c r="C370" t="str">
        <f>TBIDry!I442</f>
        <v>R243</v>
      </c>
      <c r="D370" t="b">
        <f t="shared" si="120"/>
        <v>0</v>
      </c>
      <c r="E370" t="b">
        <f t="shared" si="121"/>
        <v>0</v>
      </c>
      <c r="G370" t="str">
        <f>TBIWet!H442</f>
        <v>G878</v>
      </c>
      <c r="H370" t="str">
        <f>TBIWet!I442</f>
        <v>R582</v>
      </c>
      <c r="I370" t="b">
        <f t="shared" si="122"/>
        <v>0</v>
      </c>
      <c r="J370" t="b">
        <f t="shared" si="123"/>
        <v>0</v>
      </c>
      <c r="L370" t="str">
        <f>'Both teabags AfterWet'!A369</f>
        <v>G838</v>
      </c>
      <c r="M370" t="str">
        <f>'Both teabags AfterWet'!A787</f>
        <v>R583</v>
      </c>
      <c r="N370" t="b">
        <f t="shared" si="124"/>
        <v>0</v>
      </c>
      <c r="O370" t="b">
        <f t="shared" si="125"/>
        <v>0</v>
      </c>
      <c r="P370" t="str">
        <f>IFERROR('Both teabags AfterWet'!B369,"")</f>
        <v>n.a</v>
      </c>
      <c r="Q370">
        <f>'Both teabags AfterWet'!B787</f>
        <v>170</v>
      </c>
      <c r="S370" s="401" t="b">
        <f t="shared" si="126"/>
        <v>0</v>
      </c>
      <c r="T370" s="401" t="b">
        <f t="shared" si="127"/>
        <v>0</v>
      </c>
      <c r="AA370" t="str">
        <f>'Green_rooibos initial weight'!A371</f>
        <v>G367</v>
      </c>
      <c r="AB370" t="str">
        <f>'Green_rooibos initial weight'!A1275</f>
        <v>R367</v>
      </c>
      <c r="AC370" t="b">
        <f t="shared" si="130"/>
        <v>0</v>
      </c>
      <c r="AD370" t="b">
        <f t="shared" si="131"/>
        <v>0</v>
      </c>
      <c r="AG370" t="str">
        <f>'WetLitterbags placem_collection'!O149</f>
        <v>G878</v>
      </c>
      <c r="AH370" t="str">
        <f>'WetLitterbags placem_collection'!Q149</f>
        <v>R582</v>
      </c>
      <c r="AI370" t="b">
        <f t="shared" si="132"/>
        <v>0</v>
      </c>
      <c r="AJ370" t="b">
        <f t="shared" si="133"/>
        <v>0</v>
      </c>
      <c r="AK370">
        <f>'WetLitterbags placem_collection'!A149</f>
        <v>147</v>
      </c>
      <c r="AL370">
        <f>'WetLitterbags placem_collection'!A149</f>
        <v>147</v>
      </c>
      <c r="AN370">
        <f>IF('Dry_Litterbag Placem_Collection'!L149=0,"",'Dry_Litterbag Placem_Collection'!L149)</f>
        <v>303</v>
      </c>
      <c r="AO370">
        <f>IF('Dry_Litterbag Placem_Collection'!M149=0,"",'Dry_Litterbag Placem_Collection'!M149)</f>
        <v>243</v>
      </c>
      <c r="AP370" t="b">
        <f t="shared" si="134"/>
        <v>0</v>
      </c>
      <c r="AQ370" t="b">
        <f t="shared" si="135"/>
        <v>0</v>
      </c>
      <c r="AZ370" s="401" t="b">
        <f t="shared" si="138"/>
        <v>0</v>
      </c>
      <c r="BA370" s="401" t="b">
        <f t="shared" si="139"/>
        <v>0</v>
      </c>
      <c r="BC370" t="str">
        <f>'Ashed teabags wet'!A368</f>
        <v>G839</v>
      </c>
      <c r="BD370" t="str">
        <f>'Ashed teabags wet'!A785</f>
        <v>R69</v>
      </c>
      <c r="BE370" t="b">
        <f t="shared" si="140"/>
        <v>0</v>
      </c>
      <c r="BF370" t="b">
        <f t="shared" si="141"/>
        <v>0</v>
      </c>
      <c r="BG370">
        <f>IFERROR('Ashed teabags wet'!C368,"")</f>
        <v>122</v>
      </c>
      <c r="BH370">
        <f>IFERROR('Ashed teabags wet'!C785,"")</f>
        <v>35</v>
      </c>
      <c r="BI370" t="str">
        <f>'Ashed teabags wet'!AB368</f>
        <v/>
      </c>
      <c r="BJ370">
        <f>'Ashed teabags wet'!AC368</f>
        <v>121</v>
      </c>
      <c r="BK370" t="str">
        <f>'Ashed teabags wet'!AD785</f>
        <v/>
      </c>
      <c r="BL370">
        <f>'Ashed teabags wet'!AE785</f>
        <v>34</v>
      </c>
      <c r="BN370" t="str">
        <f t="shared" si="142"/>
        <v>G838</v>
      </c>
      <c r="BO370" t="b">
        <f t="shared" si="143"/>
        <v>1</v>
      </c>
    </row>
    <row r="371" spans="2:68" ht="12" customHeight="1">
      <c r="B371" t="str">
        <f>TBIDry!H443</f>
        <v>G161</v>
      </c>
      <c r="C371" t="str">
        <f>TBIDry!I443</f>
        <v>R422</v>
      </c>
      <c r="D371" t="b">
        <f t="shared" si="120"/>
        <v>0</v>
      </c>
      <c r="E371" t="b">
        <f t="shared" si="121"/>
        <v>0</v>
      </c>
      <c r="G371" t="str">
        <f>TBIWet!H443</f>
        <v>G807</v>
      </c>
      <c r="H371" t="str">
        <f>TBIWet!I443</f>
        <v>R20</v>
      </c>
      <c r="I371" t="b">
        <f t="shared" si="122"/>
        <v>0</v>
      </c>
      <c r="J371" t="b">
        <f t="shared" si="123"/>
        <v>0</v>
      </c>
      <c r="L371" t="str">
        <f>'Both teabags AfterWet'!A370</f>
        <v>G839</v>
      </c>
      <c r="M371" t="str">
        <f>'Both teabags AfterWet'!A788</f>
        <v>R584</v>
      </c>
      <c r="N371" t="b">
        <f t="shared" si="124"/>
        <v>0</v>
      </c>
      <c r="O371" t="b">
        <f t="shared" si="125"/>
        <v>0</v>
      </c>
      <c r="P371">
        <f>IFERROR('Both teabags AfterWet'!B370,"")</f>
        <v>122</v>
      </c>
      <c r="Q371">
        <f>'Both teabags AfterWet'!B788</f>
        <v>119</v>
      </c>
      <c r="S371" s="401" t="b">
        <f t="shared" si="126"/>
        <v>0</v>
      </c>
      <c r="T371" s="401" t="b">
        <f t="shared" si="127"/>
        <v>0</v>
      </c>
      <c r="AA371" t="str">
        <f>'Green_rooibos initial weight'!A372</f>
        <v>G368</v>
      </c>
      <c r="AB371" t="str">
        <f>'Green_rooibos initial weight'!A1276</f>
        <v>R368</v>
      </c>
      <c r="AC371" t="b">
        <f t="shared" si="130"/>
        <v>0</v>
      </c>
      <c r="AD371" t="b">
        <f t="shared" si="131"/>
        <v>0</v>
      </c>
      <c r="AG371" t="str">
        <f>'WetLitterbags placem_collection'!O150</f>
        <v>G807</v>
      </c>
      <c r="AH371" t="str">
        <f>'WetLitterbags placem_collection'!Q150</f>
        <v>R20</v>
      </c>
      <c r="AI371" t="b">
        <f t="shared" si="132"/>
        <v>0</v>
      </c>
      <c r="AJ371" t="b">
        <f t="shared" si="133"/>
        <v>0</v>
      </c>
      <c r="AK371">
        <f>'WetLitterbags placem_collection'!A150</f>
        <v>148</v>
      </c>
      <c r="AL371">
        <f>'WetLitterbags placem_collection'!A150</f>
        <v>148</v>
      </c>
      <c r="AN371">
        <f>IF('Dry_Litterbag Placem_Collection'!L150=0,"",'Dry_Litterbag Placem_Collection'!L150)</f>
        <v>161</v>
      </c>
      <c r="AO371">
        <f>IF('Dry_Litterbag Placem_Collection'!M150=0,"",'Dry_Litterbag Placem_Collection'!M150)</f>
        <v>422</v>
      </c>
      <c r="AP371" t="b">
        <f t="shared" si="134"/>
        <v>0</v>
      </c>
      <c r="AQ371" t="b">
        <f t="shared" si="135"/>
        <v>0</v>
      </c>
      <c r="AZ371" s="401" t="b">
        <f t="shared" si="138"/>
        <v>0</v>
      </c>
      <c r="BA371" s="401" t="b">
        <f t="shared" si="139"/>
        <v>0</v>
      </c>
      <c r="BC371" t="str">
        <f>'Ashed teabags wet'!A369</f>
        <v>G840</v>
      </c>
      <c r="BD371" t="str">
        <f>'Ashed teabags wet'!A786</f>
        <v>R7</v>
      </c>
      <c r="BE371" t="b">
        <f t="shared" si="140"/>
        <v>0</v>
      </c>
      <c r="BF371" t="b">
        <f t="shared" si="141"/>
        <v>0</v>
      </c>
      <c r="BG371">
        <f>IFERROR('Ashed teabags wet'!C369,"")</f>
        <v>82</v>
      </c>
      <c r="BH371">
        <f>IFERROR('Ashed teabags wet'!C786,"")</f>
        <v>150</v>
      </c>
      <c r="BI371" t="str">
        <f>'Ashed teabags wet'!AB369</f>
        <v/>
      </c>
      <c r="BJ371">
        <f>'Ashed teabags wet'!AC369</f>
        <v>81</v>
      </c>
      <c r="BK371">
        <f>'Ashed teabags wet'!AD786</f>
        <v>149</v>
      </c>
      <c r="BL371" t="str">
        <f>'Ashed teabags wet'!AE786</f>
        <v/>
      </c>
      <c r="BN371" t="str">
        <f t="shared" si="142"/>
        <v>G839</v>
      </c>
      <c r="BO371" t="b">
        <f t="shared" si="143"/>
        <v>1</v>
      </c>
    </row>
    <row r="372" spans="2:68" ht="12" customHeight="1">
      <c r="B372" t="str">
        <f>TBIDry!H444</f>
        <v>G464</v>
      </c>
      <c r="C372" t="str">
        <f>TBIDry!I444</f>
        <v>R664</v>
      </c>
      <c r="D372" t="b">
        <f t="shared" si="120"/>
        <v>0</v>
      </c>
      <c r="E372" t="b">
        <f t="shared" si="121"/>
        <v>0</v>
      </c>
      <c r="G372" t="str">
        <f>TBIWet!H444</f>
        <v>G696</v>
      </c>
      <c r="H372" t="str">
        <f>TBIWet!I444</f>
        <v>R533</v>
      </c>
      <c r="I372" t="b">
        <f t="shared" si="122"/>
        <v>0</v>
      </c>
      <c r="J372" t="b">
        <f t="shared" si="123"/>
        <v>0</v>
      </c>
      <c r="L372" t="str">
        <f>'Both teabags AfterWet'!A371</f>
        <v>G840</v>
      </c>
      <c r="M372" t="str">
        <f>'Both teabags AfterWet'!A789</f>
        <v>R585</v>
      </c>
      <c r="N372" t="b">
        <f t="shared" si="124"/>
        <v>0</v>
      </c>
      <c r="O372" t="b">
        <f t="shared" si="125"/>
        <v>0</v>
      </c>
      <c r="P372">
        <f>IFERROR('Both teabags AfterWet'!B371,"")</f>
        <v>82</v>
      </c>
      <c r="Q372">
        <f>'Both teabags AfterWet'!B789</f>
        <v>130</v>
      </c>
      <c r="S372" s="401" t="b">
        <f t="shared" si="126"/>
        <v>0</v>
      </c>
      <c r="T372" s="401" t="b">
        <f t="shared" si="127"/>
        <v>0</v>
      </c>
      <c r="AA372" t="str">
        <f>'Green_rooibos initial weight'!A373</f>
        <v>G369</v>
      </c>
      <c r="AB372" t="str">
        <f>'Green_rooibos initial weight'!A1277</f>
        <v>R369</v>
      </c>
      <c r="AC372" t="b">
        <f t="shared" si="130"/>
        <v>0</v>
      </c>
      <c r="AD372" t="b">
        <f t="shared" si="131"/>
        <v>0</v>
      </c>
      <c r="AG372" t="str">
        <f>'WetLitterbags placem_collection'!O151</f>
        <v>G696</v>
      </c>
      <c r="AH372" t="str">
        <f>'WetLitterbags placem_collection'!Q151</f>
        <v>R533</v>
      </c>
      <c r="AI372" t="b">
        <f t="shared" si="132"/>
        <v>0</v>
      </c>
      <c r="AJ372" t="b">
        <f t="shared" si="133"/>
        <v>0</v>
      </c>
      <c r="AK372">
        <f>'WetLitterbags placem_collection'!A151</f>
        <v>149</v>
      </c>
      <c r="AL372">
        <f>'WetLitterbags placem_collection'!A151</f>
        <v>149</v>
      </c>
      <c r="AN372">
        <f>IF('Dry_Litterbag Placem_Collection'!L151=0,"",'Dry_Litterbag Placem_Collection'!L151)</f>
        <v>464</v>
      </c>
      <c r="AO372">
        <f>IF('Dry_Litterbag Placem_Collection'!M151=0,"",'Dry_Litterbag Placem_Collection'!M151)</f>
        <v>664</v>
      </c>
      <c r="AP372" t="b">
        <f t="shared" si="134"/>
        <v>0</v>
      </c>
      <c r="AQ372" t="b">
        <f t="shared" si="135"/>
        <v>0</v>
      </c>
      <c r="AZ372" s="401" t="b">
        <f t="shared" si="138"/>
        <v>0</v>
      </c>
      <c r="BA372" s="401" t="b">
        <f t="shared" si="139"/>
        <v>0</v>
      </c>
      <c r="BC372" t="str">
        <f>'Ashed teabags wet'!A370</f>
        <v>G841</v>
      </c>
      <c r="BD372" t="str">
        <f>'Ashed teabags wet'!A787</f>
        <v>R71</v>
      </c>
      <c r="BE372" t="b">
        <f t="shared" si="140"/>
        <v>0</v>
      </c>
      <c r="BF372" t="b">
        <f t="shared" si="141"/>
        <v>0</v>
      </c>
      <c r="BG372">
        <f>IFERROR('Ashed teabags wet'!C370,"")</f>
        <v>126</v>
      </c>
      <c r="BH372">
        <f>IFERROR('Ashed teabags wet'!C787,"")</f>
        <v>24</v>
      </c>
      <c r="BI372" t="str">
        <f>'Ashed teabags wet'!AB370</f>
        <v/>
      </c>
      <c r="BJ372">
        <f>'Ashed teabags wet'!AC370</f>
        <v>125</v>
      </c>
      <c r="BK372" t="str">
        <f>'Ashed teabags wet'!AD787</f>
        <v/>
      </c>
      <c r="BL372">
        <f>'Ashed teabags wet'!AE787</f>
        <v>23</v>
      </c>
      <c r="BN372" t="str">
        <f t="shared" si="142"/>
        <v>G840</v>
      </c>
      <c r="BO372" t="b">
        <f t="shared" si="143"/>
        <v>1</v>
      </c>
    </row>
    <row r="373" spans="2:68" ht="12" customHeight="1">
      <c r="B373" t="str">
        <f>TBIDry!H445</f>
        <v>G843</v>
      </c>
      <c r="C373" t="str">
        <f>TBIDry!I445</f>
        <v>R316</v>
      </c>
      <c r="D373" t="b">
        <f t="shared" si="120"/>
        <v>0</v>
      </c>
      <c r="E373" t="b">
        <f t="shared" si="121"/>
        <v>0</v>
      </c>
      <c r="G373" t="str">
        <f>TBIWet!H445</f>
        <v>G801</v>
      </c>
      <c r="H373" t="str">
        <f>TBIWet!I445</f>
        <v>R572</v>
      </c>
      <c r="I373" t="b">
        <f t="shared" si="122"/>
        <v>0</v>
      </c>
      <c r="J373" t="b">
        <f t="shared" si="123"/>
        <v>0</v>
      </c>
      <c r="L373" t="str">
        <f>'Both teabags AfterWet'!A372</f>
        <v>G841</v>
      </c>
      <c r="M373" t="str">
        <f>'Both teabags AfterWet'!A790</f>
        <v>R587</v>
      </c>
      <c r="N373" t="b">
        <f t="shared" si="124"/>
        <v>0</v>
      </c>
      <c r="O373" t="b">
        <f t="shared" si="125"/>
        <v>0</v>
      </c>
      <c r="P373">
        <f>IFERROR('Both teabags AfterWet'!B372,"")</f>
        <v>126</v>
      </c>
      <c r="Q373" t="str">
        <f>'Both teabags AfterWet'!B790</f>
        <v>n.a</v>
      </c>
      <c r="S373" s="401" t="b">
        <f t="shared" si="126"/>
        <v>0</v>
      </c>
      <c r="T373" s="401" t="b">
        <f t="shared" si="127"/>
        <v>0</v>
      </c>
      <c r="AA373" t="str">
        <f>'Green_rooibos initial weight'!A374</f>
        <v>G370</v>
      </c>
      <c r="AB373" t="str">
        <f>'Green_rooibos initial weight'!A1278</f>
        <v>R370</v>
      </c>
      <c r="AC373" t="b">
        <f t="shared" si="130"/>
        <v>0</v>
      </c>
      <c r="AD373" t="b">
        <f t="shared" si="131"/>
        <v>0</v>
      </c>
      <c r="AG373" t="str">
        <f>'WetLitterbags placem_collection'!O152</f>
        <v>G801</v>
      </c>
      <c r="AH373" t="str">
        <f>'WetLitterbags placem_collection'!Q152</f>
        <v>R572</v>
      </c>
      <c r="AI373" t="b">
        <f t="shared" si="132"/>
        <v>0</v>
      </c>
      <c r="AJ373" t="b">
        <f t="shared" si="133"/>
        <v>0</v>
      </c>
      <c r="AK373">
        <f>'WetLitterbags placem_collection'!A152</f>
        <v>150</v>
      </c>
      <c r="AL373">
        <f>'WetLitterbags placem_collection'!A152</f>
        <v>150</v>
      </c>
      <c r="AN373">
        <f>IF('Dry_Litterbag Placem_Collection'!L152=0,"",'Dry_Litterbag Placem_Collection'!L152)</f>
        <v>843</v>
      </c>
      <c r="AO373">
        <f>IF('Dry_Litterbag Placem_Collection'!M152=0,"",'Dry_Litterbag Placem_Collection'!M152)</f>
        <v>316</v>
      </c>
      <c r="AP373" t="b">
        <f t="shared" si="134"/>
        <v>0</v>
      </c>
      <c r="AQ373" t="b">
        <f t="shared" si="135"/>
        <v>0</v>
      </c>
      <c r="AZ373" s="401" t="b">
        <f t="shared" si="138"/>
        <v>0</v>
      </c>
      <c r="BA373" s="401" t="b">
        <f t="shared" si="139"/>
        <v>0</v>
      </c>
      <c r="BC373" t="str">
        <f>'Ashed teabags wet'!A371</f>
        <v>G842</v>
      </c>
      <c r="BD373" t="str">
        <f>'Ashed teabags wet'!A788</f>
        <v>R72</v>
      </c>
      <c r="BE373" t="b">
        <f t="shared" si="140"/>
        <v>0</v>
      </c>
      <c r="BF373" t="b">
        <f t="shared" si="141"/>
        <v>0</v>
      </c>
      <c r="BG373">
        <f>IFERROR('Ashed teabags wet'!C371,"")</f>
        <v>135</v>
      </c>
      <c r="BH373">
        <f>IFERROR('Ashed teabags wet'!C788,"")</f>
        <v>48</v>
      </c>
      <c r="BI373" t="str">
        <f>'Ashed teabags wet'!AB371</f>
        <v/>
      </c>
      <c r="BJ373">
        <f>'Ashed teabags wet'!AC371</f>
        <v>134</v>
      </c>
      <c r="BK373">
        <f>'Ashed teabags wet'!AD788</f>
        <v>47</v>
      </c>
      <c r="BL373" t="str">
        <f>'Ashed teabags wet'!AE788</f>
        <v/>
      </c>
      <c r="BN373" t="str">
        <f t="shared" si="142"/>
        <v>G841</v>
      </c>
      <c r="BO373" t="b">
        <f t="shared" si="143"/>
        <v>1</v>
      </c>
    </row>
    <row r="374" spans="2:68" ht="12" customHeight="1">
      <c r="B374" t="str">
        <f>TBIDry!H446</f>
        <v/>
      </c>
      <c r="C374" t="str">
        <f>TBIDry!I446</f>
        <v/>
      </c>
      <c r="D374" t="b">
        <f t="shared" si="120"/>
        <v>1</v>
      </c>
      <c r="E374" t="b">
        <f t="shared" si="121"/>
        <v>1</v>
      </c>
      <c r="G374" t="str">
        <f>TBIWet!H446</f>
        <v>G647</v>
      </c>
      <c r="H374" t="str">
        <f>TBIWet!I446</f>
        <v>R504</v>
      </c>
      <c r="I374" t="b">
        <f t="shared" si="122"/>
        <v>0</v>
      </c>
      <c r="J374" t="b">
        <f t="shared" si="123"/>
        <v>0</v>
      </c>
      <c r="L374" t="str">
        <f>'Both teabags AfterWet'!A373</f>
        <v>G845</v>
      </c>
      <c r="M374" t="str">
        <f>'Both teabags AfterWet'!A791</f>
        <v>R588</v>
      </c>
      <c r="N374" t="b">
        <f t="shared" si="124"/>
        <v>0</v>
      </c>
      <c r="O374" t="b">
        <f t="shared" si="125"/>
        <v>0</v>
      </c>
      <c r="P374">
        <f>IFERROR('Both teabags AfterWet'!B373,"")</f>
        <v>108</v>
      </c>
      <c r="Q374" t="str">
        <f>'Both teabags AfterWet'!B791</f>
        <v>n.a</v>
      </c>
      <c r="S374" s="401" t="b">
        <f t="shared" si="126"/>
        <v>0</v>
      </c>
      <c r="T374" s="401" t="b">
        <f t="shared" si="127"/>
        <v>0</v>
      </c>
      <c r="AA374" t="str">
        <f>'Green_rooibos initial weight'!A375</f>
        <v>G371</v>
      </c>
      <c r="AB374" t="str">
        <f>'Green_rooibos initial weight'!A1279</f>
        <v>R371</v>
      </c>
      <c r="AC374" t="b">
        <f t="shared" si="130"/>
        <v>0</v>
      </c>
      <c r="AD374" t="b">
        <f t="shared" si="131"/>
        <v>0</v>
      </c>
      <c r="AG374" t="str">
        <f>'WetLitterbags placem_collection'!O153</f>
        <v>G647</v>
      </c>
      <c r="AH374" t="str">
        <f>'WetLitterbags placem_collection'!Q153</f>
        <v>R504</v>
      </c>
      <c r="AI374" t="b">
        <f t="shared" si="132"/>
        <v>0</v>
      </c>
      <c r="AJ374" t="b">
        <f t="shared" si="133"/>
        <v>0</v>
      </c>
      <c r="AK374">
        <f>'WetLitterbags placem_collection'!A153</f>
        <v>151</v>
      </c>
      <c r="AL374">
        <f>'WetLitterbags placem_collection'!A153</f>
        <v>151</v>
      </c>
      <c r="AN374" t="str">
        <f>IF('Dry_Litterbag Placem_Collection'!L153=0,"",'Dry_Litterbag Placem_Collection'!L153)</f>
        <v/>
      </c>
      <c r="AO374" t="str">
        <f>IF('Dry_Litterbag Placem_Collection'!M153=0,"",'Dry_Litterbag Placem_Collection'!M153)</f>
        <v/>
      </c>
      <c r="AP374" t="b">
        <f t="shared" si="134"/>
        <v>1</v>
      </c>
      <c r="AQ374" t="b">
        <f t="shared" si="135"/>
        <v>1</v>
      </c>
      <c r="AZ374" s="401" t="b">
        <f t="shared" si="138"/>
        <v>0</v>
      </c>
      <c r="BA374" s="401" t="b">
        <f t="shared" si="139"/>
        <v>0</v>
      </c>
      <c r="BC374" t="str">
        <f>'Ashed teabags wet'!A372</f>
        <v>G845</v>
      </c>
      <c r="BD374" t="str">
        <f>'Ashed teabags wet'!A789</f>
        <v>R73</v>
      </c>
      <c r="BE374" t="b">
        <f t="shared" si="140"/>
        <v>0</v>
      </c>
      <c r="BF374" t="b">
        <f t="shared" si="141"/>
        <v>0</v>
      </c>
      <c r="BG374">
        <f>IFERROR('Ashed teabags wet'!C372,"")</f>
        <v>108</v>
      </c>
      <c r="BH374">
        <f>IFERROR('Ashed teabags wet'!C789,"")</f>
        <v>91</v>
      </c>
      <c r="BI374" t="str">
        <f>'Ashed teabags wet'!AB372</f>
        <v/>
      </c>
      <c r="BJ374">
        <f>'Ashed teabags wet'!AC372</f>
        <v>107</v>
      </c>
      <c r="BK374" t="str">
        <f>'Ashed teabags wet'!AD789</f>
        <v/>
      </c>
      <c r="BL374">
        <f>'Ashed teabags wet'!AE789</f>
        <v>90</v>
      </c>
      <c r="BN374" t="str">
        <f t="shared" si="142"/>
        <v>G842</v>
      </c>
      <c r="BO374" t="b">
        <f t="shared" si="143"/>
        <v>1</v>
      </c>
    </row>
    <row r="375" spans="2:68" ht="12" customHeight="1">
      <c r="B375" t="str">
        <f>TBIDry!H447</f>
        <v>G617</v>
      </c>
      <c r="C375" t="str">
        <f>TBIDry!I447</f>
        <v>R635</v>
      </c>
      <c r="D375" t="b">
        <f t="shared" si="120"/>
        <v>0</v>
      </c>
      <c r="E375" t="b">
        <f t="shared" si="121"/>
        <v>0</v>
      </c>
      <c r="G375" t="str">
        <f>TBIWet!H447</f>
        <v>G744</v>
      </c>
      <c r="H375" t="str">
        <f>TBIWet!I447</f>
        <v>R579</v>
      </c>
      <c r="I375" t="b">
        <f t="shared" si="122"/>
        <v>0</v>
      </c>
      <c r="J375" t="b">
        <f t="shared" si="123"/>
        <v>0</v>
      </c>
      <c r="L375" t="str">
        <f>'Both teabags AfterWet'!A374</f>
        <v>G846</v>
      </c>
      <c r="M375" t="str">
        <f>'Both teabags AfterWet'!A792</f>
        <v>R589</v>
      </c>
      <c r="N375" t="b">
        <f t="shared" si="124"/>
        <v>0</v>
      </c>
      <c r="O375" t="b">
        <f t="shared" si="125"/>
        <v>0</v>
      </c>
      <c r="P375" t="str">
        <f>IFERROR('Both teabags AfterWet'!B374,"")</f>
        <v>n.a</v>
      </c>
      <c r="Q375">
        <f>'Both teabags AfterWet'!B792</f>
        <v>221</v>
      </c>
      <c r="S375" s="401" t="b">
        <f t="shared" si="126"/>
        <v>0</v>
      </c>
      <c r="T375" s="401" t="b">
        <f t="shared" si="127"/>
        <v>0</v>
      </c>
      <c r="AA375" t="str">
        <f>'Green_rooibos initial weight'!A376</f>
        <v>G372</v>
      </c>
      <c r="AB375" t="str">
        <f>'Green_rooibos initial weight'!A1280</f>
        <v>R372</v>
      </c>
      <c r="AC375" t="b">
        <f t="shared" si="130"/>
        <v>0</v>
      </c>
      <c r="AD375" t="b">
        <f t="shared" si="131"/>
        <v>0</v>
      </c>
      <c r="AG375" t="str">
        <f>'WetLitterbags placem_collection'!O154</f>
        <v>G744</v>
      </c>
      <c r="AH375" t="str">
        <f>'WetLitterbags placem_collection'!Q154</f>
        <v>R579</v>
      </c>
      <c r="AI375" t="b">
        <f t="shared" si="132"/>
        <v>0</v>
      </c>
      <c r="AJ375" t="b">
        <f t="shared" si="133"/>
        <v>0</v>
      </c>
      <c r="AK375">
        <f>'WetLitterbags placem_collection'!A154</f>
        <v>152</v>
      </c>
      <c r="AL375">
        <f>'WetLitterbags placem_collection'!A154</f>
        <v>152</v>
      </c>
      <c r="AN375">
        <f>IF('Dry_Litterbag Placem_Collection'!L154=0,"",'Dry_Litterbag Placem_Collection'!L154)</f>
        <v>617</v>
      </c>
      <c r="AO375">
        <f>IF('Dry_Litterbag Placem_Collection'!M154=0,"",'Dry_Litterbag Placem_Collection'!M154)</f>
        <v>635</v>
      </c>
      <c r="AP375" t="b">
        <f t="shared" si="134"/>
        <v>0</v>
      </c>
      <c r="AQ375" t="b">
        <f t="shared" si="135"/>
        <v>0</v>
      </c>
      <c r="AZ375" s="401" t="b">
        <f t="shared" si="138"/>
        <v>0</v>
      </c>
      <c r="BA375" s="401" t="b">
        <f t="shared" si="139"/>
        <v>0</v>
      </c>
      <c r="BC375" t="str">
        <f>'Ashed teabags wet'!A373</f>
        <v>G846</v>
      </c>
      <c r="BD375" t="str">
        <f>'Ashed teabags wet'!A790</f>
        <v>R74</v>
      </c>
      <c r="BE375" t="b">
        <f t="shared" si="140"/>
        <v>0</v>
      </c>
      <c r="BF375" t="b">
        <f t="shared" si="141"/>
        <v>0</v>
      </c>
      <c r="BG375">
        <f>IFERROR('Ashed teabags wet'!C373,"")</f>
        <v>133</v>
      </c>
      <c r="BH375">
        <f>IFERROR('Ashed teabags wet'!C790,"")</f>
        <v>45</v>
      </c>
      <c r="BI375">
        <f>'Ashed teabags wet'!AB373</f>
        <v>132</v>
      </c>
      <c r="BJ375" t="str">
        <f>'Ashed teabags wet'!AC373</f>
        <v/>
      </c>
      <c r="BK375" t="str">
        <f>'Ashed teabags wet'!AD790</f>
        <v/>
      </c>
      <c r="BL375">
        <f>'Ashed teabags wet'!AE790</f>
        <v>44</v>
      </c>
      <c r="BN375" t="str">
        <f t="shared" si="142"/>
        <v>G845</v>
      </c>
      <c r="BO375" t="b">
        <f t="shared" si="143"/>
        <v>1</v>
      </c>
    </row>
    <row r="376" spans="2:68" ht="12" customHeight="1">
      <c r="B376" t="str">
        <f>TBIDry!H448</f>
        <v>G19</v>
      </c>
      <c r="C376" t="str">
        <f>TBIDry!I448</f>
        <v>R651</v>
      </c>
      <c r="D376" t="b">
        <f t="shared" si="120"/>
        <v>0</v>
      </c>
      <c r="E376" t="b">
        <f t="shared" si="121"/>
        <v>0</v>
      </c>
      <c r="G376" t="str">
        <f>TBIWet!H448</f>
        <v>G885</v>
      </c>
      <c r="H376" t="str">
        <f>TBIWet!I448</f>
        <v>R440</v>
      </c>
      <c r="I376" t="b">
        <f t="shared" si="122"/>
        <v>0</v>
      </c>
      <c r="J376" t="b">
        <f t="shared" si="123"/>
        <v>0</v>
      </c>
      <c r="L376" t="str">
        <f>'Both teabags AfterWet'!A375</f>
        <v>G847</v>
      </c>
      <c r="M376" t="str">
        <f>'Both teabags AfterWet'!A793</f>
        <v>R59</v>
      </c>
      <c r="N376" t="b">
        <f t="shared" si="124"/>
        <v>0</v>
      </c>
      <c r="O376" t="b">
        <f t="shared" si="125"/>
        <v>0</v>
      </c>
      <c r="P376" t="str">
        <f>IFERROR('Both teabags AfterWet'!B375,"")</f>
        <v>n.a</v>
      </c>
      <c r="Q376" t="str">
        <f>'Both teabags AfterWet'!B793</f>
        <v>n.a</v>
      </c>
      <c r="S376" s="401" t="b">
        <f t="shared" si="126"/>
        <v>0</v>
      </c>
      <c r="T376" s="401" t="b">
        <f t="shared" si="127"/>
        <v>0</v>
      </c>
      <c r="AA376" t="str">
        <f>'Green_rooibos initial weight'!A377</f>
        <v>G373</v>
      </c>
      <c r="AB376" t="str">
        <f>'Green_rooibos initial weight'!A1281</f>
        <v>R373</v>
      </c>
      <c r="AC376" t="b">
        <f t="shared" si="130"/>
        <v>0</v>
      </c>
      <c r="AD376" t="b">
        <f t="shared" si="131"/>
        <v>0</v>
      </c>
      <c r="AG376" t="str">
        <f>'WetLitterbags placem_collection'!O155</f>
        <v>G885</v>
      </c>
      <c r="AH376" t="str">
        <f>'WetLitterbags placem_collection'!Q155</f>
        <v>R440</v>
      </c>
      <c r="AI376" t="b">
        <f t="shared" si="132"/>
        <v>0</v>
      </c>
      <c r="AJ376" t="b">
        <f t="shared" si="133"/>
        <v>0</v>
      </c>
      <c r="AK376">
        <f>'WetLitterbags placem_collection'!A155</f>
        <v>153</v>
      </c>
      <c r="AL376">
        <f>'WetLitterbags placem_collection'!A155</f>
        <v>153</v>
      </c>
      <c r="AN376">
        <f>IF('Dry_Litterbag Placem_Collection'!L155=0,"",'Dry_Litterbag Placem_Collection'!L155)</f>
        <v>19</v>
      </c>
      <c r="AO376">
        <f>IF('Dry_Litterbag Placem_Collection'!M155=0,"",'Dry_Litterbag Placem_Collection'!M155)</f>
        <v>651</v>
      </c>
      <c r="AP376" t="b">
        <f t="shared" si="134"/>
        <v>0</v>
      </c>
      <c r="AQ376" t="b">
        <f t="shared" si="135"/>
        <v>0</v>
      </c>
      <c r="AZ376" s="401" t="b">
        <f t="shared" si="138"/>
        <v>0</v>
      </c>
      <c r="BA376" s="401" t="b">
        <f t="shared" si="139"/>
        <v>0</v>
      </c>
      <c r="BC376" t="str">
        <f>'Ashed teabags wet'!A374</f>
        <v>G847</v>
      </c>
      <c r="BD376" t="str">
        <f>'Ashed teabags wet'!A791</f>
        <v>R76</v>
      </c>
      <c r="BE376" t="b">
        <f t="shared" si="140"/>
        <v>0</v>
      </c>
      <c r="BF376" t="b">
        <f t="shared" si="141"/>
        <v>0</v>
      </c>
      <c r="BG376">
        <f>IFERROR('Ashed teabags wet'!C374,"")</f>
        <v>97</v>
      </c>
      <c r="BH376">
        <f>IFERROR('Ashed teabags wet'!C791,"")</f>
        <v>47</v>
      </c>
      <c r="BI376" t="str">
        <f>'Ashed teabags wet'!AB374</f>
        <v/>
      </c>
      <c r="BJ376">
        <f>'Ashed teabags wet'!AC374</f>
        <v>96</v>
      </c>
      <c r="BK376" t="str">
        <f>'Ashed teabags wet'!AD791</f>
        <v/>
      </c>
      <c r="BL376">
        <f>'Ashed teabags wet'!AE791</f>
        <v>46</v>
      </c>
      <c r="BN376" t="str">
        <f t="shared" si="142"/>
        <v>G846</v>
      </c>
      <c r="BO376" t="b">
        <f t="shared" si="143"/>
        <v>1</v>
      </c>
    </row>
    <row r="377" spans="2:68" ht="12" customHeight="1">
      <c r="B377" t="str">
        <f>TBIDry!H449</f>
        <v>G275</v>
      </c>
      <c r="C377" t="str">
        <f>TBIDry!I449</f>
        <v>R367</v>
      </c>
      <c r="D377" t="b">
        <f t="shared" si="120"/>
        <v>0</v>
      </c>
      <c r="E377" t="b">
        <f t="shared" si="121"/>
        <v>0</v>
      </c>
      <c r="G377" t="str">
        <f>TBIWet!H449</f>
        <v>G684</v>
      </c>
      <c r="H377" t="str">
        <f>TBIWet!I449</f>
        <v>R485</v>
      </c>
      <c r="I377" t="b">
        <f t="shared" si="122"/>
        <v>0</v>
      </c>
      <c r="J377" t="b">
        <f t="shared" si="123"/>
        <v>0</v>
      </c>
      <c r="L377" t="str">
        <f>'Both teabags AfterWet'!A376</f>
        <v>G849</v>
      </c>
      <c r="M377" t="str">
        <f>'Both teabags AfterWet'!A794</f>
        <v>R590</v>
      </c>
      <c r="N377" t="b">
        <f t="shared" si="124"/>
        <v>0</v>
      </c>
      <c r="O377" t="b">
        <f t="shared" si="125"/>
        <v>0</v>
      </c>
      <c r="P377" t="str">
        <f>IFERROR('Both teabags AfterWet'!B376,"")</f>
        <v>n.a</v>
      </c>
      <c r="Q377" t="str">
        <f>'Both teabags AfterWet'!B794</f>
        <v>N.A</v>
      </c>
      <c r="S377" s="401" t="b">
        <f t="shared" si="126"/>
        <v>0</v>
      </c>
      <c r="T377" s="401" t="b">
        <f t="shared" si="127"/>
        <v>0</v>
      </c>
      <c r="AA377" t="str">
        <f>'Green_rooibos initial weight'!A378</f>
        <v>G374</v>
      </c>
      <c r="AB377" t="str">
        <f>'Green_rooibos initial weight'!A1282</f>
        <v>R374</v>
      </c>
      <c r="AC377" t="b">
        <f t="shared" si="130"/>
        <v>0</v>
      </c>
      <c r="AD377" t="b">
        <f t="shared" si="131"/>
        <v>0</v>
      </c>
      <c r="AG377" t="str">
        <f>'WetLitterbags placem_collection'!O156</f>
        <v>G684</v>
      </c>
      <c r="AH377" t="str">
        <f>'WetLitterbags placem_collection'!Q156</f>
        <v>R485</v>
      </c>
      <c r="AI377" t="b">
        <f t="shared" si="132"/>
        <v>0</v>
      </c>
      <c r="AJ377" t="b">
        <f t="shared" si="133"/>
        <v>0</v>
      </c>
      <c r="AK377">
        <f>'WetLitterbags placem_collection'!A156</f>
        <v>154</v>
      </c>
      <c r="AL377">
        <f>'WetLitterbags placem_collection'!A156</f>
        <v>154</v>
      </c>
      <c r="AN377">
        <f>IF('Dry_Litterbag Placem_Collection'!L156=0,"",'Dry_Litterbag Placem_Collection'!L156)</f>
        <v>275</v>
      </c>
      <c r="AO377">
        <f>IF('Dry_Litterbag Placem_Collection'!M156=0,"",'Dry_Litterbag Placem_Collection'!M156)</f>
        <v>367</v>
      </c>
      <c r="AP377" t="b">
        <f t="shared" si="134"/>
        <v>0</v>
      </c>
      <c r="AQ377" t="b">
        <f t="shared" si="135"/>
        <v>0</v>
      </c>
      <c r="AZ377" s="401" t="b">
        <f t="shared" si="138"/>
        <v>0</v>
      </c>
      <c r="BA377" s="401" t="b">
        <f t="shared" si="139"/>
        <v>0</v>
      </c>
      <c r="BC377" t="str">
        <f>'Ashed teabags wet'!A375</f>
        <v>G849</v>
      </c>
      <c r="BD377" t="str">
        <f>'Ashed teabags wet'!A792</f>
        <v>R77</v>
      </c>
      <c r="BE377" t="b">
        <f t="shared" si="140"/>
        <v>0</v>
      </c>
      <c r="BF377" t="b">
        <f t="shared" si="141"/>
        <v>0</v>
      </c>
      <c r="BG377">
        <f>IFERROR('Ashed teabags wet'!C375,"")</f>
        <v>220</v>
      </c>
      <c r="BH377">
        <f>IFERROR('Ashed teabags wet'!C792,"")</f>
        <v>41</v>
      </c>
      <c r="BI377" t="str">
        <f>'Ashed teabags wet'!AB375</f>
        <v/>
      </c>
      <c r="BJ377">
        <f>'Ashed teabags wet'!AC375</f>
        <v>219</v>
      </c>
      <c r="BK377" t="str">
        <f>'Ashed teabags wet'!AD792</f>
        <v/>
      </c>
      <c r="BL377">
        <f>'Ashed teabags wet'!AE792</f>
        <v>40</v>
      </c>
      <c r="BN377" t="str">
        <f t="shared" si="142"/>
        <v>G847</v>
      </c>
      <c r="BO377" t="b">
        <f t="shared" si="143"/>
        <v>1</v>
      </c>
    </row>
    <row r="378" spans="2:68" ht="12" customHeight="1">
      <c r="B378" t="str">
        <f>TBIDry!H450</f>
        <v>G289</v>
      </c>
      <c r="C378" t="str">
        <f>TBIDry!I450</f>
        <v>R617</v>
      </c>
      <c r="D378" t="b">
        <f t="shared" si="120"/>
        <v>0</v>
      </c>
      <c r="E378" t="b">
        <f t="shared" si="121"/>
        <v>0</v>
      </c>
      <c r="G378" t="str">
        <f>TBIWet!H450</f>
        <v>G827</v>
      </c>
      <c r="H378" t="str">
        <f>TBIWet!I450</f>
        <v>R556</v>
      </c>
      <c r="I378" t="b">
        <f t="shared" si="122"/>
        <v>0</v>
      </c>
      <c r="J378" t="b">
        <f t="shared" si="123"/>
        <v>0</v>
      </c>
      <c r="L378" t="str">
        <f>'Both teabags AfterWet'!A377</f>
        <v>G850</v>
      </c>
      <c r="M378" t="str">
        <f>'Both teabags AfterWet'!A795</f>
        <v>R591</v>
      </c>
      <c r="N378" t="b">
        <f t="shared" si="124"/>
        <v>0</v>
      </c>
      <c r="O378" t="b">
        <f t="shared" si="125"/>
        <v>0</v>
      </c>
      <c r="P378">
        <f>IFERROR('Both teabags AfterWet'!B377,"")</f>
        <v>142</v>
      </c>
      <c r="Q378" t="str">
        <f>'Both teabags AfterWet'!B795</f>
        <v>n.a</v>
      </c>
      <c r="S378" t="b">
        <f t="shared" si="126"/>
        <v>0</v>
      </c>
      <c r="T378" s="401" t="b">
        <f t="shared" si="127"/>
        <v>0</v>
      </c>
      <c r="AA378" t="str">
        <f>'Green_rooibos initial weight'!A379</f>
        <v>G375</v>
      </c>
      <c r="AB378" t="str">
        <f>'Green_rooibos initial weight'!A1283</f>
        <v>R375</v>
      </c>
      <c r="AC378" t="b">
        <f t="shared" si="130"/>
        <v>0</v>
      </c>
      <c r="AD378" t="b">
        <f t="shared" si="131"/>
        <v>0</v>
      </c>
      <c r="AG378" t="str">
        <f>'WetLitterbags placem_collection'!O157</f>
        <v>G827</v>
      </c>
      <c r="AH378" t="str">
        <f>'WetLitterbags placem_collection'!Q157</f>
        <v>R556</v>
      </c>
      <c r="AI378" t="b">
        <f t="shared" si="132"/>
        <v>0</v>
      </c>
      <c r="AJ378" t="b">
        <f t="shared" si="133"/>
        <v>0</v>
      </c>
      <c r="AK378">
        <f>'WetLitterbags placem_collection'!A157</f>
        <v>155</v>
      </c>
      <c r="AL378">
        <f>'WetLitterbags placem_collection'!A157</f>
        <v>155</v>
      </c>
      <c r="AN378">
        <f>IF('Dry_Litterbag Placem_Collection'!L157=0,"",'Dry_Litterbag Placem_Collection'!L157)</f>
        <v>289</v>
      </c>
      <c r="AO378">
        <f>IF('Dry_Litterbag Placem_Collection'!M157=0,"",'Dry_Litterbag Placem_Collection'!M157)</f>
        <v>617</v>
      </c>
      <c r="AP378" t="b">
        <f t="shared" si="134"/>
        <v>0</v>
      </c>
      <c r="AQ378" t="b">
        <f t="shared" si="135"/>
        <v>0</v>
      </c>
      <c r="AZ378" s="401" t="b">
        <f t="shared" si="138"/>
        <v>0</v>
      </c>
      <c r="BA378" s="401" t="b">
        <f t="shared" si="139"/>
        <v>0</v>
      </c>
      <c r="BC378" t="str">
        <f>'Ashed teabags wet'!A376</f>
        <v>G850</v>
      </c>
      <c r="BD378" t="str">
        <f>'Ashed teabags wet'!A793</f>
        <v>R78</v>
      </c>
      <c r="BE378" t="b">
        <f t="shared" si="140"/>
        <v>0</v>
      </c>
      <c r="BF378" t="b">
        <f t="shared" si="141"/>
        <v>0</v>
      </c>
      <c r="BG378">
        <f>IFERROR('Ashed teabags wet'!C376,"")</f>
        <v>142</v>
      </c>
      <c r="BH378">
        <f>IFERROR('Ashed teabags wet'!C793,"")</f>
        <v>60</v>
      </c>
      <c r="BI378" t="str">
        <f>'Ashed teabags wet'!AB376</f>
        <v/>
      </c>
      <c r="BJ378">
        <f>'Ashed teabags wet'!AC376</f>
        <v>141</v>
      </c>
      <c r="BK378">
        <f>'Ashed teabags wet'!AD793</f>
        <v>59</v>
      </c>
      <c r="BL378" t="str">
        <f>'Ashed teabags wet'!AE793</f>
        <v/>
      </c>
      <c r="BN378" t="str">
        <f t="shared" si="142"/>
        <v>G849</v>
      </c>
      <c r="BO378" t="b">
        <f t="shared" si="143"/>
        <v>1</v>
      </c>
    </row>
    <row r="379" spans="2:68" ht="12" customHeight="1">
      <c r="B379" t="str">
        <f>TBIDry!H451</f>
        <v>G65</v>
      </c>
      <c r="C379" t="str">
        <f>TBIDry!I451</f>
        <v>R84</v>
      </c>
      <c r="D379" t="b">
        <f t="shared" si="120"/>
        <v>0</v>
      </c>
      <c r="E379" t="b">
        <f t="shared" si="121"/>
        <v>0</v>
      </c>
      <c r="G379" t="str">
        <f>TBIWet!H451</f>
        <v>G667</v>
      </c>
      <c r="H379" t="str">
        <f>TBIWet!I451</f>
        <v>R464</v>
      </c>
      <c r="I379" t="b">
        <f t="shared" si="122"/>
        <v>0</v>
      </c>
      <c r="J379" t="b">
        <f t="shared" si="123"/>
        <v>0</v>
      </c>
      <c r="L379" t="str">
        <f>'Both teabags AfterWet'!A378</f>
        <v>G852</v>
      </c>
      <c r="M379" t="str">
        <f>'Both teabags AfterWet'!A796</f>
        <v>R592</v>
      </c>
      <c r="N379" t="b">
        <f t="shared" si="124"/>
        <v>0</v>
      </c>
      <c r="O379" t="b">
        <f t="shared" si="125"/>
        <v>0</v>
      </c>
      <c r="P379">
        <f>IFERROR('Both teabags AfterWet'!B378,"")</f>
        <v>112</v>
      </c>
      <c r="Q379">
        <f>'Both teabags AfterWet'!B796</f>
        <v>131</v>
      </c>
      <c r="S379" s="401" t="b">
        <f t="shared" si="126"/>
        <v>0</v>
      </c>
      <c r="T379" s="401" t="b">
        <f t="shared" si="127"/>
        <v>0</v>
      </c>
      <c r="AA379" t="str">
        <f>'Green_rooibos initial weight'!A380</f>
        <v>G376</v>
      </c>
      <c r="AB379" t="str">
        <f>'Green_rooibos initial weight'!A1284</f>
        <v>R376</v>
      </c>
      <c r="AC379" t="b">
        <f t="shared" si="130"/>
        <v>0</v>
      </c>
      <c r="AD379" t="b">
        <f t="shared" si="131"/>
        <v>0</v>
      </c>
      <c r="AG379" t="str">
        <f>'WetLitterbags placem_collection'!O158</f>
        <v>G667</v>
      </c>
      <c r="AH379" t="str">
        <f>'WetLitterbags placem_collection'!Q158</f>
        <v>R464</v>
      </c>
      <c r="AI379" t="b">
        <f t="shared" si="132"/>
        <v>0</v>
      </c>
      <c r="AJ379" t="b">
        <f t="shared" si="133"/>
        <v>0</v>
      </c>
      <c r="AK379">
        <f>'WetLitterbags placem_collection'!A158</f>
        <v>156</v>
      </c>
      <c r="AL379">
        <f>'WetLitterbags placem_collection'!A158</f>
        <v>156</v>
      </c>
      <c r="AN379">
        <f>IF('Dry_Litterbag Placem_Collection'!L158=0,"",'Dry_Litterbag Placem_Collection'!L158)</f>
        <v>65</v>
      </c>
      <c r="AO379">
        <f>IF('Dry_Litterbag Placem_Collection'!M158=0,"",'Dry_Litterbag Placem_Collection'!M158)</f>
        <v>84</v>
      </c>
      <c r="AP379" t="b">
        <f t="shared" si="134"/>
        <v>0</v>
      </c>
      <c r="AQ379" t="b">
        <f t="shared" si="135"/>
        <v>0</v>
      </c>
      <c r="AZ379" s="401" t="b">
        <f t="shared" si="138"/>
        <v>0</v>
      </c>
      <c r="BA379" s="401" t="b">
        <f t="shared" si="139"/>
        <v>0</v>
      </c>
      <c r="BC379" t="str">
        <f>'Ashed teabags wet'!A377</f>
        <v>G852</v>
      </c>
      <c r="BD379" t="str">
        <f>'Ashed teabags wet'!A794</f>
        <v>R79</v>
      </c>
      <c r="BE379" t="b">
        <f t="shared" si="140"/>
        <v>0</v>
      </c>
      <c r="BF379" t="b">
        <f t="shared" si="141"/>
        <v>0</v>
      </c>
      <c r="BG379">
        <f>IFERROR('Ashed teabags wet'!C377,"")</f>
        <v>112</v>
      </c>
      <c r="BH379">
        <f>IFERROR('Ashed teabags wet'!C794,"")</f>
        <v>0</v>
      </c>
      <c r="BI379" t="str">
        <f>'Ashed teabags wet'!AB377</f>
        <v/>
      </c>
      <c r="BJ379">
        <f>'Ashed teabags wet'!AC377</f>
        <v>111</v>
      </c>
      <c r="BK379" t="str">
        <f>'Ashed teabags wet'!AD794</f>
        <v/>
      </c>
      <c r="BL379">
        <f>'Ashed teabags wet'!AE794</f>
        <v>20</v>
      </c>
      <c r="BN379" t="str">
        <f t="shared" si="142"/>
        <v>G850</v>
      </c>
      <c r="BO379" t="b">
        <f t="shared" si="143"/>
        <v>1</v>
      </c>
      <c r="BP379" s="402"/>
    </row>
    <row r="380" spans="2:68" ht="12" customHeight="1">
      <c r="B380" t="str">
        <f>TBIDry!H452</f>
        <v>G33</v>
      </c>
      <c r="C380" t="str">
        <f>TBIDry!I452</f>
        <v>R248</v>
      </c>
      <c r="D380" t="b">
        <f t="shared" si="120"/>
        <v>0</v>
      </c>
      <c r="E380" t="b">
        <f t="shared" si="121"/>
        <v>0</v>
      </c>
      <c r="G380" t="str">
        <f>TBIWet!H452</f>
        <v>G777</v>
      </c>
      <c r="H380" t="str">
        <f>TBIWet!I452</f>
        <v>R35</v>
      </c>
      <c r="I380" t="b">
        <f t="shared" si="122"/>
        <v>0</v>
      </c>
      <c r="J380" t="b">
        <f t="shared" si="123"/>
        <v>0</v>
      </c>
      <c r="L380" t="str">
        <f>'Both teabags AfterWet'!A379</f>
        <v>G853</v>
      </c>
      <c r="M380" t="str">
        <f>'Both teabags AfterWet'!A797</f>
        <v>R593</v>
      </c>
      <c r="N380" t="b">
        <f t="shared" si="124"/>
        <v>0</v>
      </c>
      <c r="O380" t="b">
        <f t="shared" si="125"/>
        <v>0</v>
      </c>
      <c r="P380" t="str">
        <f>IFERROR('Both teabags AfterWet'!B379,"")</f>
        <v>n.a</v>
      </c>
      <c r="Q380" t="str">
        <f>'Both teabags AfterWet'!B797</f>
        <v>N.A</v>
      </c>
      <c r="S380" s="401" t="b">
        <f t="shared" si="126"/>
        <v>0</v>
      </c>
      <c r="T380" s="401" t="b">
        <f t="shared" si="127"/>
        <v>0</v>
      </c>
      <c r="AA380" t="str">
        <f>'Green_rooibos initial weight'!A381</f>
        <v>G377</v>
      </c>
      <c r="AB380" t="str">
        <f>'Green_rooibos initial weight'!A1285</f>
        <v>R377</v>
      </c>
      <c r="AC380" t="b">
        <f t="shared" si="130"/>
        <v>0</v>
      </c>
      <c r="AD380" t="b">
        <f t="shared" si="131"/>
        <v>0</v>
      </c>
      <c r="AG380" t="str">
        <f>'WetLitterbags placem_collection'!O159</f>
        <v>G777</v>
      </c>
      <c r="AH380" t="str">
        <f>'WetLitterbags placem_collection'!Q159</f>
        <v>R35</v>
      </c>
      <c r="AI380" t="b">
        <f t="shared" si="132"/>
        <v>0</v>
      </c>
      <c r="AJ380" t="b">
        <f t="shared" si="133"/>
        <v>0</v>
      </c>
      <c r="AK380">
        <f>'WetLitterbags placem_collection'!A159</f>
        <v>157</v>
      </c>
      <c r="AL380">
        <f>'WetLitterbags placem_collection'!A159</f>
        <v>157</v>
      </c>
      <c r="AN380">
        <f>IF('Dry_Litterbag Placem_Collection'!L159=0,"",'Dry_Litterbag Placem_Collection'!L159)</f>
        <v>33</v>
      </c>
      <c r="AO380">
        <f>IF('Dry_Litterbag Placem_Collection'!M159=0,"",'Dry_Litterbag Placem_Collection'!M159)</f>
        <v>248</v>
      </c>
      <c r="AP380" t="b">
        <f t="shared" si="134"/>
        <v>0</v>
      </c>
      <c r="AQ380" t="b">
        <f t="shared" si="135"/>
        <v>0</v>
      </c>
      <c r="AZ380" s="401" t="b">
        <f t="shared" si="138"/>
        <v>0</v>
      </c>
      <c r="BA380" s="401" t="b">
        <f t="shared" si="139"/>
        <v>0</v>
      </c>
      <c r="BC380" t="str">
        <f>'Ashed teabags wet'!A378</f>
        <v>G853</v>
      </c>
      <c r="BD380" t="str">
        <f>'Ashed teabags wet'!A795</f>
        <v>R8</v>
      </c>
      <c r="BE380" t="b">
        <f t="shared" si="140"/>
        <v>0</v>
      </c>
      <c r="BF380" t="b">
        <f t="shared" si="141"/>
        <v>0</v>
      </c>
      <c r="BG380">
        <f>IFERROR('Ashed teabags wet'!C378,"")</f>
        <v>152</v>
      </c>
      <c r="BH380">
        <f>IFERROR('Ashed teabags wet'!C795,"")</f>
        <v>108</v>
      </c>
      <c r="BI380">
        <f>'Ashed teabags wet'!AB378</f>
        <v>151</v>
      </c>
      <c r="BJ380" t="str">
        <f>'Ashed teabags wet'!AC378</f>
        <v/>
      </c>
      <c r="BK380">
        <f>'Ashed teabags wet'!AD795</f>
        <v>107</v>
      </c>
      <c r="BL380" t="str">
        <f>'Ashed teabags wet'!AE795</f>
        <v/>
      </c>
      <c r="BN380" t="str">
        <f t="shared" si="142"/>
        <v>G852</v>
      </c>
      <c r="BO380" t="b">
        <f t="shared" si="143"/>
        <v>1</v>
      </c>
    </row>
    <row r="381" spans="2:68" ht="12" customHeight="1">
      <c r="B381" t="str">
        <f>TBIDry!H453</f>
        <v>G153</v>
      </c>
      <c r="C381" t="str">
        <f>TBIDry!I453</f>
        <v>R238</v>
      </c>
      <c r="D381" t="b">
        <f t="shared" si="120"/>
        <v>0</v>
      </c>
      <c r="E381" t="b">
        <f t="shared" si="121"/>
        <v>0</v>
      </c>
      <c r="G381" t="str">
        <f>TBIWet!H453</f>
        <v>G884</v>
      </c>
      <c r="H381" t="str">
        <f>TBIWet!I453</f>
        <v>R570</v>
      </c>
      <c r="I381" t="b">
        <f t="shared" si="122"/>
        <v>0</v>
      </c>
      <c r="J381" t="b">
        <f t="shared" si="123"/>
        <v>0</v>
      </c>
      <c r="L381" t="str">
        <f>'Both teabags AfterWet'!A380</f>
        <v>G856</v>
      </c>
      <c r="M381" t="str">
        <f>'Both teabags AfterWet'!A798</f>
        <v>R594</v>
      </c>
      <c r="N381" t="b">
        <f t="shared" si="124"/>
        <v>0</v>
      </c>
      <c r="O381" t="b">
        <f t="shared" si="125"/>
        <v>0</v>
      </c>
      <c r="P381">
        <f>IFERROR('Both teabags AfterWet'!B380,"")</f>
        <v>51</v>
      </c>
      <c r="Q381">
        <f>'Both teabags AfterWet'!B798</f>
        <v>120</v>
      </c>
      <c r="S381" s="401" t="b">
        <f t="shared" si="126"/>
        <v>0</v>
      </c>
      <c r="T381" s="401" t="b">
        <f t="shared" si="127"/>
        <v>0</v>
      </c>
      <c r="AA381" t="str">
        <f>'Green_rooibos initial weight'!A382</f>
        <v>G378</v>
      </c>
      <c r="AB381" t="str">
        <f>'Green_rooibos initial weight'!A1286</f>
        <v>R378</v>
      </c>
      <c r="AC381" t="b">
        <f t="shared" si="130"/>
        <v>0</v>
      </c>
      <c r="AD381" t="b">
        <f t="shared" si="131"/>
        <v>0</v>
      </c>
      <c r="AG381" t="str">
        <f>'WetLitterbags placem_collection'!O160</f>
        <v>G884</v>
      </c>
      <c r="AH381" t="str">
        <f>'WetLitterbags placem_collection'!Q160</f>
        <v>R570</v>
      </c>
      <c r="AI381" t="b">
        <f t="shared" si="132"/>
        <v>0</v>
      </c>
      <c r="AJ381" t="b">
        <f t="shared" si="133"/>
        <v>0</v>
      </c>
      <c r="AK381">
        <f>'WetLitterbags placem_collection'!A160</f>
        <v>158</v>
      </c>
      <c r="AL381">
        <f>'WetLitterbags placem_collection'!A160</f>
        <v>158</v>
      </c>
      <c r="AN381">
        <f>IF('Dry_Litterbag Placem_Collection'!L160=0,"",'Dry_Litterbag Placem_Collection'!L160)</f>
        <v>153</v>
      </c>
      <c r="AO381">
        <f>IF('Dry_Litterbag Placem_Collection'!M160=0,"",'Dry_Litterbag Placem_Collection'!M160)</f>
        <v>238</v>
      </c>
      <c r="AP381" t="b">
        <f t="shared" si="134"/>
        <v>0</v>
      </c>
      <c r="AQ381" t="b">
        <f t="shared" si="135"/>
        <v>0</v>
      </c>
      <c r="AZ381" s="401" t="b">
        <f t="shared" si="138"/>
        <v>0</v>
      </c>
      <c r="BA381" s="401" t="b">
        <f t="shared" si="139"/>
        <v>0</v>
      </c>
      <c r="BC381" t="str">
        <f>'Ashed teabags wet'!A379</f>
        <v>G856</v>
      </c>
      <c r="BD381" t="str">
        <f>'Ashed teabags wet'!A796</f>
        <v>R81</v>
      </c>
      <c r="BE381" t="b">
        <f t="shared" si="140"/>
        <v>0</v>
      </c>
      <c r="BF381" t="b">
        <f t="shared" si="141"/>
        <v>0</v>
      </c>
      <c r="BG381">
        <f>IFERROR('Ashed teabags wet'!C379,"")</f>
        <v>51</v>
      </c>
      <c r="BH381">
        <f>IFERROR('Ashed teabags wet'!C796,"")</f>
        <v>42</v>
      </c>
      <c r="BI381" t="str">
        <f>'Ashed teabags wet'!AB379</f>
        <v/>
      </c>
      <c r="BJ381">
        <f>'Ashed teabags wet'!AC379</f>
        <v>50</v>
      </c>
      <c r="BK381" t="str">
        <f>'Ashed teabags wet'!AD796</f>
        <v/>
      </c>
      <c r="BL381">
        <f>'Ashed teabags wet'!AE796</f>
        <v>41</v>
      </c>
      <c r="BN381" t="str">
        <f t="shared" si="142"/>
        <v>G853</v>
      </c>
      <c r="BO381" t="b">
        <f t="shared" si="143"/>
        <v>1</v>
      </c>
    </row>
    <row r="382" spans="2:68" ht="12" customHeight="1">
      <c r="B382" t="str">
        <f>TBIDry!H454</f>
        <v/>
      </c>
      <c r="C382" t="str">
        <f>TBIDry!I454</f>
        <v/>
      </c>
      <c r="D382" t="b">
        <f t="shared" si="120"/>
        <v>1</v>
      </c>
      <c r="E382" t="b">
        <f t="shared" si="121"/>
        <v>1</v>
      </c>
      <c r="G382" t="str">
        <f>TBIWet!H454</f>
        <v>G731</v>
      </c>
      <c r="H382" t="str">
        <f>TBIWet!I454</f>
        <v>R439</v>
      </c>
      <c r="I382" t="b">
        <f t="shared" si="122"/>
        <v>0</v>
      </c>
      <c r="J382" t="b">
        <f t="shared" si="123"/>
        <v>0</v>
      </c>
      <c r="L382" t="str">
        <f>'Both teabags AfterWet'!A381</f>
        <v>G857</v>
      </c>
      <c r="M382" t="str">
        <f>'Both teabags AfterWet'!A799</f>
        <v>R596</v>
      </c>
      <c r="N382" t="b">
        <f t="shared" si="124"/>
        <v>0</v>
      </c>
      <c r="O382" t="b">
        <f t="shared" si="125"/>
        <v>0</v>
      </c>
      <c r="P382">
        <f>IFERROR('Both teabags AfterWet'!B381,"")</f>
        <v>137</v>
      </c>
      <c r="Q382">
        <f>'Both teabags AfterWet'!B799</f>
        <v>135</v>
      </c>
      <c r="S382" s="401" t="b">
        <f t="shared" si="126"/>
        <v>0</v>
      </c>
      <c r="T382" s="401" t="b">
        <f t="shared" si="127"/>
        <v>0</v>
      </c>
      <c r="AA382" t="str">
        <f>'Green_rooibos initial weight'!A383</f>
        <v>G379</v>
      </c>
      <c r="AB382" t="str">
        <f>'Green_rooibos initial weight'!A1287</f>
        <v>R379</v>
      </c>
      <c r="AC382" t="b">
        <f t="shared" si="130"/>
        <v>0</v>
      </c>
      <c r="AD382" t="b">
        <f t="shared" si="131"/>
        <v>0</v>
      </c>
      <c r="AG382" t="str">
        <f>'WetLitterbags placem_collection'!O161</f>
        <v>G731</v>
      </c>
      <c r="AH382" t="str">
        <f>'WetLitterbags placem_collection'!Q161</f>
        <v>R439</v>
      </c>
      <c r="AI382" t="b">
        <f t="shared" si="132"/>
        <v>0</v>
      </c>
      <c r="AJ382" t="b">
        <f t="shared" si="133"/>
        <v>0</v>
      </c>
      <c r="AK382">
        <f>'WetLitterbags placem_collection'!A161</f>
        <v>159</v>
      </c>
      <c r="AL382">
        <f>'WetLitterbags placem_collection'!A161</f>
        <v>159</v>
      </c>
      <c r="AN382" t="str">
        <f>IF('Dry_Litterbag Placem_Collection'!L161=0,"",'Dry_Litterbag Placem_Collection'!L161)</f>
        <v/>
      </c>
      <c r="AO382" t="str">
        <f>IF('Dry_Litterbag Placem_Collection'!M161=0,"",'Dry_Litterbag Placem_Collection'!M161)</f>
        <v/>
      </c>
      <c r="AP382" t="b">
        <f t="shared" si="134"/>
        <v>1</v>
      </c>
      <c r="AQ382" t="b">
        <f t="shared" si="135"/>
        <v>1</v>
      </c>
      <c r="AZ382" s="401" t="b">
        <f t="shared" si="138"/>
        <v>0</v>
      </c>
      <c r="BA382" s="401" t="b">
        <f t="shared" si="139"/>
        <v>0</v>
      </c>
      <c r="BC382" t="str">
        <f>'Ashed teabags wet'!A380</f>
        <v>G857</v>
      </c>
      <c r="BD382" t="str">
        <f>'Ashed teabags wet'!A797</f>
        <v>R82</v>
      </c>
      <c r="BE382" t="b">
        <f t="shared" si="140"/>
        <v>0</v>
      </c>
      <c r="BF382" t="b">
        <f t="shared" si="141"/>
        <v>0</v>
      </c>
      <c r="BG382">
        <f>IFERROR('Ashed teabags wet'!C380,"")</f>
        <v>137</v>
      </c>
      <c r="BH382">
        <f>IFERROR('Ashed teabags wet'!C797,"")</f>
        <v>19</v>
      </c>
      <c r="BI382" t="str">
        <f>'Ashed teabags wet'!AB380</f>
        <v/>
      </c>
      <c r="BJ382">
        <f>'Ashed teabags wet'!AC380</f>
        <v>136</v>
      </c>
      <c r="BK382">
        <f>'Ashed teabags wet'!AD797</f>
        <v>18</v>
      </c>
      <c r="BL382" t="str">
        <f>'Ashed teabags wet'!AE797</f>
        <v/>
      </c>
      <c r="BN382" t="str">
        <f t="shared" si="142"/>
        <v>G856</v>
      </c>
      <c r="BO382" t="b">
        <f t="shared" si="143"/>
        <v>1</v>
      </c>
    </row>
    <row r="383" spans="2:68" ht="12" customHeight="1">
      <c r="B383" t="str">
        <f>TBIDry!H455</f>
        <v>G175</v>
      </c>
      <c r="C383" t="str">
        <f>TBIDry!I455</f>
        <v>R350</v>
      </c>
      <c r="D383" t="b">
        <f t="shared" si="120"/>
        <v>0</v>
      </c>
      <c r="E383" t="b">
        <f t="shared" si="121"/>
        <v>0</v>
      </c>
      <c r="G383" t="str">
        <f>TBIWet!H455</f>
        <v>G876</v>
      </c>
      <c r="H383" t="str">
        <f>TBIWet!I455</f>
        <v>R461</v>
      </c>
      <c r="I383" t="b">
        <f t="shared" si="122"/>
        <v>0</v>
      </c>
      <c r="J383" t="b">
        <f t="shared" si="123"/>
        <v>0</v>
      </c>
      <c r="L383" t="str">
        <f>'Both teabags AfterWet'!A382</f>
        <v>G858</v>
      </c>
      <c r="M383" t="str">
        <f>'Both teabags AfterWet'!A800</f>
        <v>R597</v>
      </c>
      <c r="N383" t="b">
        <f t="shared" si="124"/>
        <v>0</v>
      </c>
      <c r="O383" t="b">
        <f t="shared" si="125"/>
        <v>0</v>
      </c>
      <c r="P383" t="str">
        <f>IFERROR('Both teabags AfterWet'!B382,"")</f>
        <v>n.a</v>
      </c>
      <c r="Q383" t="str">
        <f>'Both teabags AfterWet'!B800</f>
        <v>n.a</v>
      </c>
      <c r="S383" s="401" t="b">
        <f t="shared" si="126"/>
        <v>0</v>
      </c>
      <c r="T383" s="401" t="b">
        <f t="shared" si="127"/>
        <v>0</v>
      </c>
      <c r="AA383" t="str">
        <f>'Green_rooibos initial weight'!A384</f>
        <v>G380</v>
      </c>
      <c r="AB383" t="str">
        <f>'Green_rooibos initial weight'!A1288</f>
        <v>R380</v>
      </c>
      <c r="AC383" t="b">
        <f t="shared" si="130"/>
        <v>0</v>
      </c>
      <c r="AD383" t="b">
        <f t="shared" si="131"/>
        <v>0</v>
      </c>
      <c r="AG383" t="str">
        <f>'WetLitterbags placem_collection'!O162</f>
        <v>G876</v>
      </c>
      <c r="AH383" t="str">
        <f>'WetLitterbags placem_collection'!Q162</f>
        <v>R461</v>
      </c>
      <c r="AI383" t="b">
        <f t="shared" si="132"/>
        <v>0</v>
      </c>
      <c r="AJ383" t="b">
        <f t="shared" si="133"/>
        <v>0</v>
      </c>
      <c r="AK383">
        <f>'WetLitterbags placem_collection'!A162</f>
        <v>160</v>
      </c>
      <c r="AL383">
        <f>'WetLitterbags placem_collection'!A162</f>
        <v>160</v>
      </c>
      <c r="AN383">
        <f>IF('Dry_Litterbag Placem_Collection'!L162=0,"",'Dry_Litterbag Placem_Collection'!L162)</f>
        <v>175</v>
      </c>
      <c r="AO383">
        <f>IF('Dry_Litterbag Placem_Collection'!M162=0,"",'Dry_Litterbag Placem_Collection'!M162)</f>
        <v>350</v>
      </c>
      <c r="AP383" t="b">
        <f t="shared" si="134"/>
        <v>0</v>
      </c>
      <c r="AQ383" t="b">
        <f t="shared" si="135"/>
        <v>0</v>
      </c>
      <c r="AZ383" s="401" t="b">
        <f t="shared" si="138"/>
        <v>0</v>
      </c>
      <c r="BA383" s="401" t="b">
        <f t="shared" si="139"/>
        <v>0</v>
      </c>
      <c r="BC383" t="str">
        <f>'Ashed teabags wet'!A381</f>
        <v>G858</v>
      </c>
      <c r="BD383" t="str">
        <f>'Ashed teabags wet'!A798</f>
        <v>R83</v>
      </c>
      <c r="BE383" t="b">
        <f t="shared" si="140"/>
        <v>0</v>
      </c>
      <c r="BF383" t="b">
        <f t="shared" si="141"/>
        <v>0</v>
      </c>
      <c r="BG383">
        <f>IFERROR('Ashed teabags wet'!C381,"")</f>
        <v>215</v>
      </c>
      <c r="BH383">
        <f>IFERROR('Ashed teabags wet'!C798,"")</f>
        <v>82</v>
      </c>
      <c r="BI383">
        <f>'Ashed teabags wet'!AB381</f>
        <v>214</v>
      </c>
      <c r="BJ383" t="str">
        <f>'Ashed teabags wet'!AC381</f>
        <v/>
      </c>
      <c r="BK383">
        <f>'Ashed teabags wet'!AD798</f>
        <v>81</v>
      </c>
      <c r="BL383" t="str">
        <f>'Ashed teabags wet'!AE798</f>
        <v/>
      </c>
      <c r="BN383" t="str">
        <f t="shared" si="142"/>
        <v>G857</v>
      </c>
      <c r="BO383" t="b">
        <f t="shared" si="143"/>
        <v>1</v>
      </c>
    </row>
    <row r="384" spans="2:68" ht="12" customHeight="1">
      <c r="B384" t="str">
        <f>TBIDry!H456</f>
        <v>G207</v>
      </c>
      <c r="C384" t="str">
        <f>TBIDry!I456</f>
        <v>R314</v>
      </c>
      <c r="D384" t="b">
        <f t="shared" si="120"/>
        <v>0</v>
      </c>
      <c r="E384" t="b">
        <f t="shared" si="121"/>
        <v>0</v>
      </c>
      <c r="G384" t="str">
        <f>TBIWet!H456</f>
        <v>G351</v>
      </c>
      <c r="H384" t="str">
        <f>TBIWet!I456</f>
        <v>R253</v>
      </c>
      <c r="I384" t="b">
        <f t="shared" si="122"/>
        <v>0</v>
      </c>
      <c r="J384" t="b">
        <f t="shared" si="123"/>
        <v>0</v>
      </c>
      <c r="L384" t="str">
        <f>'Both teabags AfterWet'!A383</f>
        <v>G859</v>
      </c>
      <c r="M384" t="str">
        <f>'Both teabags AfterWet'!A801</f>
        <v>R598</v>
      </c>
      <c r="N384" t="b">
        <f t="shared" si="124"/>
        <v>0</v>
      </c>
      <c r="O384" t="b">
        <f t="shared" si="125"/>
        <v>0</v>
      </c>
      <c r="P384">
        <f>IFERROR('Both teabags AfterWet'!B383,"")</f>
        <v>155</v>
      </c>
      <c r="Q384">
        <f>'Both teabags AfterWet'!B801</f>
        <v>156</v>
      </c>
      <c r="S384" s="401" t="b">
        <f t="shared" si="126"/>
        <v>0</v>
      </c>
      <c r="T384" s="401" t="b">
        <f t="shared" si="127"/>
        <v>0</v>
      </c>
      <c r="AA384" t="str">
        <f>'Green_rooibos initial weight'!A385</f>
        <v>G381</v>
      </c>
      <c r="AB384" t="str">
        <f>'Green_rooibos initial weight'!A1289</f>
        <v>R381</v>
      </c>
      <c r="AC384" t="b">
        <f t="shared" si="130"/>
        <v>0</v>
      </c>
      <c r="AD384" t="b">
        <f t="shared" si="131"/>
        <v>0</v>
      </c>
      <c r="AG384" t="str">
        <f>'WetLitterbags placem_collection'!O163</f>
        <v>G351</v>
      </c>
      <c r="AH384" t="str">
        <f>'WetLitterbags placem_collection'!Q163</f>
        <v>R253</v>
      </c>
      <c r="AI384" t="b">
        <f t="shared" si="132"/>
        <v>0</v>
      </c>
      <c r="AJ384" t="b">
        <f t="shared" si="133"/>
        <v>0</v>
      </c>
      <c r="AK384">
        <f>'WetLitterbags placem_collection'!A163</f>
        <v>161</v>
      </c>
      <c r="AL384">
        <f>'WetLitterbags placem_collection'!A163</f>
        <v>161</v>
      </c>
      <c r="AN384">
        <f>IF('Dry_Litterbag Placem_Collection'!L163=0,"",'Dry_Litterbag Placem_Collection'!L163)</f>
        <v>207</v>
      </c>
      <c r="AO384">
        <f>IF('Dry_Litterbag Placem_Collection'!M163=0,"",'Dry_Litterbag Placem_Collection'!M163)</f>
        <v>314</v>
      </c>
      <c r="AP384" t="b">
        <f t="shared" si="134"/>
        <v>0</v>
      </c>
      <c r="AQ384" t="b">
        <f t="shared" si="135"/>
        <v>0</v>
      </c>
      <c r="AZ384" s="401" t="b">
        <f t="shared" si="138"/>
        <v>0</v>
      </c>
      <c r="BA384" s="401" t="b">
        <f t="shared" si="139"/>
        <v>0</v>
      </c>
      <c r="BC384" t="str">
        <f>'Ashed teabags wet'!A382</f>
        <v>G859</v>
      </c>
      <c r="BD384" t="str">
        <f>'Ashed teabags wet'!A799</f>
        <v>R85</v>
      </c>
      <c r="BE384" t="b">
        <f t="shared" si="140"/>
        <v>0</v>
      </c>
      <c r="BF384" t="b">
        <f t="shared" si="141"/>
        <v>0</v>
      </c>
      <c r="BG384">
        <f>IFERROR('Ashed teabags wet'!C382,"")</f>
        <v>155</v>
      </c>
      <c r="BH384">
        <f>IFERROR('Ashed teabags wet'!C799,"")</f>
        <v>51</v>
      </c>
      <c r="BI384">
        <f>'Ashed teabags wet'!AB382</f>
        <v>154</v>
      </c>
      <c r="BJ384" t="str">
        <f>'Ashed teabags wet'!AC382</f>
        <v/>
      </c>
      <c r="BK384">
        <f>'Ashed teabags wet'!AD799</f>
        <v>50</v>
      </c>
      <c r="BL384" t="str">
        <f>'Ashed teabags wet'!AE799</f>
        <v/>
      </c>
      <c r="BN384" t="str">
        <f t="shared" si="142"/>
        <v>G858</v>
      </c>
      <c r="BO384" t="b">
        <f t="shared" si="143"/>
        <v>1</v>
      </c>
    </row>
    <row r="385" spans="2:68" ht="12" customHeight="1">
      <c r="B385" t="str">
        <f>TBIDry!H457</f>
        <v>G580</v>
      </c>
      <c r="C385" t="str">
        <f>TBIDry!I457</f>
        <v>R425</v>
      </c>
      <c r="D385" t="b">
        <f t="shared" si="120"/>
        <v>0</v>
      </c>
      <c r="E385" t="b">
        <f t="shared" si="121"/>
        <v>0</v>
      </c>
      <c r="G385" t="str">
        <f>TBIWet!H457</f>
        <v>G442</v>
      </c>
      <c r="H385" t="str">
        <f>TBIWet!I457</f>
        <v>R285</v>
      </c>
      <c r="I385" t="b">
        <f t="shared" si="122"/>
        <v>0</v>
      </c>
      <c r="J385" t="b">
        <f t="shared" si="123"/>
        <v>0</v>
      </c>
      <c r="L385" t="str">
        <f>'Both teabags AfterWet'!A384</f>
        <v>G860</v>
      </c>
      <c r="M385" t="str">
        <f>'Both teabags AfterWet'!A802</f>
        <v>R6</v>
      </c>
      <c r="N385" t="b">
        <f t="shared" si="124"/>
        <v>0</v>
      </c>
      <c r="O385" t="b">
        <f t="shared" si="125"/>
        <v>0</v>
      </c>
      <c r="P385">
        <f>IFERROR('Both teabags AfterWet'!B384,"")</f>
        <v>122</v>
      </c>
      <c r="Q385">
        <f>'Both teabags AfterWet'!B802</f>
        <v>44</v>
      </c>
      <c r="S385" s="401" t="b">
        <f t="shared" si="126"/>
        <v>0</v>
      </c>
      <c r="T385" s="401" t="b">
        <f t="shared" si="127"/>
        <v>0</v>
      </c>
      <c r="AA385" t="str">
        <f>'Green_rooibos initial weight'!A386</f>
        <v>G382</v>
      </c>
      <c r="AB385" t="str">
        <f>'Green_rooibos initial weight'!A1290</f>
        <v>R382</v>
      </c>
      <c r="AC385" t="b">
        <f t="shared" si="130"/>
        <v>0</v>
      </c>
      <c r="AD385" t="b">
        <f t="shared" si="131"/>
        <v>0</v>
      </c>
      <c r="AG385" t="str">
        <f>'WetLitterbags placem_collection'!O164</f>
        <v>G442</v>
      </c>
      <c r="AH385" t="str">
        <f>'WetLitterbags placem_collection'!Q164</f>
        <v>R285</v>
      </c>
      <c r="AI385" t="b">
        <f t="shared" si="132"/>
        <v>0</v>
      </c>
      <c r="AJ385" t="b">
        <f t="shared" si="133"/>
        <v>0</v>
      </c>
      <c r="AK385">
        <f>'WetLitterbags placem_collection'!A164</f>
        <v>162</v>
      </c>
      <c r="AL385">
        <f>'WetLitterbags placem_collection'!A164</f>
        <v>162</v>
      </c>
      <c r="AN385">
        <f>IF('Dry_Litterbag Placem_Collection'!L164=0,"",'Dry_Litterbag Placem_Collection'!L164)</f>
        <v>580</v>
      </c>
      <c r="AO385">
        <f>IF('Dry_Litterbag Placem_Collection'!M164=0,"",'Dry_Litterbag Placem_Collection'!M164)</f>
        <v>425</v>
      </c>
      <c r="AP385" t="b">
        <f t="shared" si="134"/>
        <v>0</v>
      </c>
      <c r="AQ385" t="b">
        <f t="shared" si="135"/>
        <v>0</v>
      </c>
      <c r="AZ385" s="401" t="b">
        <f t="shared" si="138"/>
        <v>0</v>
      </c>
      <c r="BA385" s="401" t="b">
        <f t="shared" si="139"/>
        <v>0</v>
      </c>
      <c r="BC385" t="str">
        <f>'Ashed teabags wet'!A383</f>
        <v>G860</v>
      </c>
      <c r="BD385" t="str">
        <f>'Ashed teabags wet'!A800</f>
        <v>R87</v>
      </c>
      <c r="BE385" t="b">
        <f t="shared" si="140"/>
        <v>0</v>
      </c>
      <c r="BF385" t="b">
        <f t="shared" si="141"/>
        <v>0</v>
      </c>
      <c r="BG385">
        <f>IFERROR('Ashed teabags wet'!C383,"")</f>
        <v>122</v>
      </c>
      <c r="BH385">
        <f>IFERROR('Ashed teabags wet'!C800,"")</f>
        <v>38</v>
      </c>
      <c r="BI385">
        <f>'Ashed teabags wet'!AB383</f>
        <v>121</v>
      </c>
      <c r="BJ385" t="str">
        <f>'Ashed teabags wet'!AC383</f>
        <v/>
      </c>
      <c r="BK385">
        <f>'Ashed teabags wet'!AD800</f>
        <v>37</v>
      </c>
      <c r="BL385" t="str">
        <f>'Ashed teabags wet'!AE800</f>
        <v/>
      </c>
      <c r="BN385" t="str">
        <f t="shared" si="142"/>
        <v>G859</v>
      </c>
      <c r="BO385" t="b">
        <f t="shared" si="143"/>
        <v>1</v>
      </c>
    </row>
    <row r="386" spans="2:68" ht="12" customHeight="1">
      <c r="B386" t="str">
        <f>TBIDry!H458</f>
        <v>G722</v>
      </c>
      <c r="C386" t="str">
        <f>TBIDry!I458</f>
        <v>R267</v>
      </c>
      <c r="D386" t="b">
        <f t="shared" si="120"/>
        <v>0</v>
      </c>
      <c r="E386" t="b">
        <f t="shared" si="121"/>
        <v>0</v>
      </c>
      <c r="G386" t="str">
        <f>TBIWet!H458</f>
        <v>G743</v>
      </c>
      <c r="H386" t="str">
        <f>TBIWet!I458</f>
        <v>R341</v>
      </c>
      <c r="I386" t="b">
        <f t="shared" si="122"/>
        <v>0</v>
      </c>
      <c r="J386" t="b">
        <f t="shared" si="123"/>
        <v>0</v>
      </c>
      <c r="L386" t="str">
        <f>'Both teabags AfterWet'!A385</f>
        <v>G861</v>
      </c>
      <c r="M386" t="str">
        <f>'Both teabags AfterWet'!A803</f>
        <v>R60</v>
      </c>
      <c r="N386" t="b">
        <f t="shared" si="124"/>
        <v>0</v>
      </c>
      <c r="O386" t="b">
        <f t="shared" si="125"/>
        <v>0</v>
      </c>
      <c r="P386">
        <f>IFERROR('Both teabags AfterWet'!B385,"")</f>
        <v>105</v>
      </c>
      <c r="Q386">
        <f>'Both teabags AfterWet'!B803</f>
        <v>56</v>
      </c>
      <c r="S386" s="401" t="b">
        <f t="shared" si="126"/>
        <v>0</v>
      </c>
      <c r="T386" s="401" t="b">
        <f t="shared" si="127"/>
        <v>0</v>
      </c>
      <c r="AA386" t="str">
        <f>'Green_rooibos initial weight'!A387</f>
        <v>G383</v>
      </c>
      <c r="AB386" t="str">
        <f>'Green_rooibos initial weight'!A1291</f>
        <v>R383</v>
      </c>
      <c r="AC386" t="b">
        <f t="shared" si="130"/>
        <v>0</v>
      </c>
      <c r="AD386" t="b">
        <f t="shared" si="131"/>
        <v>0</v>
      </c>
      <c r="AG386" t="str">
        <f>'WetLitterbags placem_collection'!O165</f>
        <v>G743</v>
      </c>
      <c r="AH386" t="str">
        <f>'WetLitterbags placem_collection'!Q165</f>
        <v>R341</v>
      </c>
      <c r="AI386" t="b">
        <f t="shared" si="132"/>
        <v>0</v>
      </c>
      <c r="AJ386" t="b">
        <f t="shared" si="133"/>
        <v>0</v>
      </c>
      <c r="AK386">
        <f>'WetLitterbags placem_collection'!A165</f>
        <v>163</v>
      </c>
      <c r="AL386">
        <f>'WetLitterbags placem_collection'!A165</f>
        <v>163</v>
      </c>
      <c r="AN386">
        <f>IF('Dry_Litterbag Placem_Collection'!L165=0,"",'Dry_Litterbag Placem_Collection'!L165)</f>
        <v>722</v>
      </c>
      <c r="AO386">
        <f>IF('Dry_Litterbag Placem_Collection'!M165=0,"",'Dry_Litterbag Placem_Collection'!M165)</f>
        <v>267</v>
      </c>
      <c r="AP386" t="b">
        <f t="shared" si="134"/>
        <v>0</v>
      </c>
      <c r="AQ386" t="b">
        <f t="shared" si="135"/>
        <v>0</v>
      </c>
      <c r="AZ386" s="401" t="b">
        <f t="shared" si="138"/>
        <v>0</v>
      </c>
      <c r="BA386" s="401" t="b">
        <f t="shared" si="139"/>
        <v>0</v>
      </c>
      <c r="BC386" t="str">
        <f>'Ashed teabags wet'!A384</f>
        <v>G861</v>
      </c>
      <c r="BD386" t="str">
        <f>'Ashed teabags wet'!A801</f>
        <v>R88</v>
      </c>
      <c r="BE386" t="b">
        <f t="shared" si="140"/>
        <v>0</v>
      </c>
      <c r="BF386" t="b">
        <f t="shared" si="141"/>
        <v>0</v>
      </c>
      <c r="BG386">
        <f>IFERROR('Ashed teabags wet'!C384,"")</f>
        <v>105</v>
      </c>
      <c r="BH386">
        <f>IFERROR('Ashed teabags wet'!C801,"")</f>
        <v>213</v>
      </c>
      <c r="BI386" t="str">
        <f>'Ashed teabags wet'!AB384</f>
        <v/>
      </c>
      <c r="BJ386">
        <f>'Ashed teabags wet'!AC384</f>
        <v>104</v>
      </c>
      <c r="BK386">
        <f>'Ashed teabags wet'!AD801</f>
        <v>212</v>
      </c>
      <c r="BL386" t="str">
        <f>'Ashed teabags wet'!AE801</f>
        <v/>
      </c>
      <c r="BN386" t="str">
        <f t="shared" si="142"/>
        <v>G860</v>
      </c>
      <c r="BO386" t="b">
        <f t="shared" si="143"/>
        <v>1</v>
      </c>
    </row>
    <row r="387" spans="2:68" ht="12" customHeight="1">
      <c r="B387" t="str">
        <f>TBIDry!H459</f>
        <v>G239</v>
      </c>
      <c r="C387" t="str">
        <f>TBIDry!I459</f>
        <v>R211</v>
      </c>
      <c r="D387" t="b">
        <f t="shared" si="120"/>
        <v>0</v>
      </c>
      <c r="E387" t="b">
        <f t="shared" si="121"/>
        <v>0</v>
      </c>
      <c r="G387" t="str">
        <f>TBIWet!H459</f>
        <v>G390</v>
      </c>
      <c r="H387" t="str">
        <f>TBIWet!I459</f>
        <v>R264</v>
      </c>
      <c r="I387" t="b">
        <f t="shared" si="122"/>
        <v>0</v>
      </c>
      <c r="J387" t="b">
        <f t="shared" si="123"/>
        <v>0</v>
      </c>
      <c r="L387" s="113" t="str">
        <f>'Both teabags AfterWet'!A386</f>
        <v>G862</v>
      </c>
      <c r="M387" t="str">
        <f>'Both teabags AfterWet'!A804</f>
        <v>R600</v>
      </c>
      <c r="N387" t="b">
        <f t="shared" si="124"/>
        <v>0</v>
      </c>
      <c r="O387" t="b">
        <f t="shared" si="125"/>
        <v>0</v>
      </c>
      <c r="P387">
        <f>IFERROR('Both teabags AfterWet'!B386,"")</f>
        <v>124</v>
      </c>
      <c r="Q387">
        <f>'Both teabags AfterWet'!B804</f>
        <v>134</v>
      </c>
      <c r="S387" s="113" t="b">
        <f t="shared" si="126"/>
        <v>1</v>
      </c>
      <c r="T387" s="401" t="b">
        <f t="shared" si="127"/>
        <v>0</v>
      </c>
      <c r="AA387" t="str">
        <f>'Green_rooibos initial weight'!A388</f>
        <v>G384</v>
      </c>
      <c r="AB387" t="str">
        <f>'Green_rooibos initial weight'!A1292</f>
        <v>R384</v>
      </c>
      <c r="AC387" t="b">
        <f t="shared" si="130"/>
        <v>0</v>
      </c>
      <c r="AD387" t="b">
        <f t="shared" si="131"/>
        <v>0</v>
      </c>
      <c r="AG387" t="str">
        <f>'WetLitterbags placem_collection'!O166</f>
        <v>G390</v>
      </c>
      <c r="AH387" t="str">
        <f>'WetLitterbags placem_collection'!Q166</f>
        <v>R264</v>
      </c>
      <c r="AI387" t="b">
        <f t="shared" si="132"/>
        <v>0</v>
      </c>
      <c r="AJ387" t="b">
        <f t="shared" si="133"/>
        <v>0</v>
      </c>
      <c r="AK387">
        <f>'WetLitterbags placem_collection'!A166</f>
        <v>164</v>
      </c>
      <c r="AL387">
        <f>'WetLitterbags placem_collection'!A166</f>
        <v>164</v>
      </c>
      <c r="AN387">
        <f>IF('Dry_Litterbag Placem_Collection'!L166=0,"",'Dry_Litterbag Placem_Collection'!L166)</f>
        <v>239</v>
      </c>
      <c r="AO387">
        <f>IF('Dry_Litterbag Placem_Collection'!M166=0,"",'Dry_Litterbag Placem_Collection'!M166)</f>
        <v>211</v>
      </c>
      <c r="AP387" t="b">
        <f t="shared" si="134"/>
        <v>0</v>
      </c>
      <c r="AQ387" t="b">
        <f t="shared" si="135"/>
        <v>0</v>
      </c>
      <c r="AZ387" s="401" t="b">
        <f t="shared" si="138"/>
        <v>0</v>
      </c>
      <c r="BA387" s="401" t="b">
        <f t="shared" si="139"/>
        <v>0</v>
      </c>
      <c r="BC387" t="str">
        <f>'Ashed teabags wet'!A385</f>
        <v>G863</v>
      </c>
      <c r="BD387" t="str">
        <f>'Ashed teabags wet'!A802</f>
        <v>R89</v>
      </c>
      <c r="BE387" t="b">
        <f t="shared" si="140"/>
        <v>0</v>
      </c>
      <c r="BF387" t="b">
        <f t="shared" si="141"/>
        <v>0</v>
      </c>
      <c r="BG387">
        <f>IFERROR('Ashed teabags wet'!C385,"")</f>
        <v>193</v>
      </c>
      <c r="BH387">
        <f>IFERROR('Ashed teabags wet'!C802,"")</f>
        <v>37</v>
      </c>
      <c r="BI387">
        <f>'Ashed teabags wet'!AB385</f>
        <v>192</v>
      </c>
      <c r="BJ387" t="str">
        <f>'Ashed teabags wet'!AC385</f>
        <v/>
      </c>
      <c r="BK387" t="str">
        <f>'Ashed teabags wet'!AD802</f>
        <v/>
      </c>
      <c r="BL387">
        <f>'Ashed teabags wet'!AE802</f>
        <v>36</v>
      </c>
      <c r="BN387" t="str">
        <f t="shared" si="142"/>
        <v>G861</v>
      </c>
      <c r="BO387" t="b">
        <f t="shared" si="143"/>
        <v>1</v>
      </c>
    </row>
    <row r="388" spans="2:68" ht="12" customHeight="1">
      <c r="B388" t="str">
        <f>TBIDry!H460</f>
        <v>G343</v>
      </c>
      <c r="C388" t="str">
        <f>TBIDry!I460</f>
        <v>R310</v>
      </c>
      <c r="D388" t="b">
        <f t="shared" si="120"/>
        <v>0</v>
      </c>
      <c r="E388" t="b">
        <f t="shared" si="121"/>
        <v>0</v>
      </c>
      <c r="G388" t="str">
        <f>TBIWet!H460</f>
        <v>G810</v>
      </c>
      <c r="H388" t="str">
        <f>TBIWet!I460</f>
        <v>R411</v>
      </c>
      <c r="I388" t="b">
        <f t="shared" si="122"/>
        <v>0</v>
      </c>
      <c r="J388" t="b">
        <f t="shared" si="123"/>
        <v>0</v>
      </c>
      <c r="L388" t="str">
        <f>'Both teabags AfterWet'!A387</f>
        <v>G863</v>
      </c>
      <c r="M388" t="str">
        <f>'Both teabags AfterWet'!A805</f>
        <v>R601</v>
      </c>
      <c r="N388" t="b">
        <f t="shared" si="124"/>
        <v>0</v>
      </c>
      <c r="O388" t="b">
        <f t="shared" si="125"/>
        <v>0</v>
      </c>
      <c r="P388" t="str">
        <f>IFERROR('Both teabags AfterWet'!B387,"")</f>
        <v>n.a</v>
      </c>
      <c r="Q388">
        <f>'Both teabags AfterWet'!B805</f>
        <v>114</v>
      </c>
      <c r="S388" s="401" t="b">
        <f t="shared" si="126"/>
        <v>0</v>
      </c>
      <c r="T388" s="401" t="b">
        <f t="shared" si="127"/>
        <v>0</v>
      </c>
      <c r="AA388" t="str">
        <f>'Green_rooibos initial weight'!A389</f>
        <v>G385</v>
      </c>
      <c r="AB388" t="str">
        <f>'Green_rooibos initial weight'!A1293</f>
        <v>R385</v>
      </c>
      <c r="AC388" t="b">
        <f t="shared" si="130"/>
        <v>0</v>
      </c>
      <c r="AD388" t="b">
        <f t="shared" si="131"/>
        <v>0</v>
      </c>
      <c r="AG388" t="str">
        <f>'WetLitterbags placem_collection'!O167</f>
        <v>G810</v>
      </c>
      <c r="AH388" t="str">
        <f>'WetLitterbags placem_collection'!Q167</f>
        <v>R411</v>
      </c>
      <c r="AI388" t="b">
        <f t="shared" si="132"/>
        <v>0</v>
      </c>
      <c r="AJ388" t="b">
        <f t="shared" si="133"/>
        <v>0</v>
      </c>
      <c r="AK388">
        <f>'WetLitterbags placem_collection'!A167</f>
        <v>165</v>
      </c>
      <c r="AL388">
        <f>'WetLitterbags placem_collection'!A167</f>
        <v>165</v>
      </c>
      <c r="AN388">
        <f>IF('Dry_Litterbag Placem_Collection'!L167=0,"",'Dry_Litterbag Placem_Collection'!L167)</f>
        <v>343</v>
      </c>
      <c r="AO388">
        <f>IF('Dry_Litterbag Placem_Collection'!M167=0,"",'Dry_Litterbag Placem_Collection'!M167)</f>
        <v>310</v>
      </c>
      <c r="AP388" t="b">
        <f t="shared" si="134"/>
        <v>0</v>
      </c>
      <c r="AQ388" t="b">
        <f t="shared" si="135"/>
        <v>0</v>
      </c>
      <c r="AZ388" s="401" t="b">
        <f t="shared" si="138"/>
        <v>0</v>
      </c>
      <c r="BA388" s="401" t="b">
        <f t="shared" si="139"/>
        <v>0</v>
      </c>
      <c r="BC388" t="str">
        <f>'Ashed teabags wet'!A386</f>
        <v>G864</v>
      </c>
      <c r="BD388" t="str">
        <f>'Ashed teabags wet'!A803</f>
        <v>R9</v>
      </c>
      <c r="BE388" t="b">
        <f t="shared" si="140"/>
        <v>0</v>
      </c>
      <c r="BF388" t="b">
        <f t="shared" si="141"/>
        <v>0</v>
      </c>
      <c r="BG388">
        <f>IFERROR('Ashed teabags wet'!C386,"")</f>
        <v>25</v>
      </c>
      <c r="BH388">
        <f>IFERROR('Ashed teabags wet'!C803,"")</f>
        <v>68</v>
      </c>
      <c r="BI388" t="str">
        <f>'Ashed teabags wet'!AB386</f>
        <v/>
      </c>
      <c r="BJ388">
        <f>'Ashed teabags wet'!AC386</f>
        <v>24</v>
      </c>
      <c r="BK388" t="str">
        <f>'Ashed teabags wet'!AD803</f>
        <v/>
      </c>
      <c r="BL388">
        <f>'Ashed teabags wet'!AE803</f>
        <v>67</v>
      </c>
      <c r="BN388" t="str">
        <f t="shared" si="142"/>
        <v>G863</v>
      </c>
      <c r="BO388" t="b">
        <f t="shared" si="143"/>
        <v>1</v>
      </c>
      <c r="BP388" s="402"/>
    </row>
    <row r="389" spans="2:68" ht="12" customHeight="1">
      <c r="B389" t="str">
        <f>TBIDry!H461</f>
        <v>G409</v>
      </c>
      <c r="C389" t="str">
        <f>TBIDry!I461</f>
        <v>R269</v>
      </c>
      <c r="D389" t="b">
        <f t="shared" ref="D389:D452" si="144">COUNTIF($B$4:$B$2000, B389)&gt;1</f>
        <v>0</v>
      </c>
      <c r="E389" t="b">
        <f t="shared" ref="E389:E452" si="145">COUNTIF($C$4:$C$2000, C389)&gt;1</f>
        <v>0</v>
      </c>
      <c r="G389" t="str">
        <f>TBIWet!H461</f>
        <v>G287</v>
      </c>
      <c r="H389" t="str">
        <f>TBIWet!I461</f>
        <v>R259</v>
      </c>
      <c r="I389" t="b">
        <f t="shared" ref="I389:I452" si="146">COUNTIF($G$4:$G$2000, G389)&gt;1</f>
        <v>0</v>
      </c>
      <c r="J389" t="b">
        <f t="shared" ref="J389:J452" si="147">COUNTIF($H$4:$H$2000, H389)&gt;1</f>
        <v>0</v>
      </c>
      <c r="L389" t="str">
        <f>'Both teabags AfterWet'!A388</f>
        <v>G864</v>
      </c>
      <c r="M389" s="113" t="str">
        <f>'Both teabags AfterWet'!A806</f>
        <v>R608</v>
      </c>
      <c r="N389" t="b">
        <f t="shared" ref="N389:N427" si="148">COUNTIF($L$4:$L$2000, L389)&gt;1</f>
        <v>0</v>
      </c>
      <c r="O389" t="b">
        <f t="shared" ref="O389:O427" si="149">COUNTIF($M$4:$M$2000, M389)&gt;1</f>
        <v>0</v>
      </c>
      <c r="P389" t="str">
        <f>IFERROR('Both teabags AfterWet'!B388,"")</f>
        <v>n.a</v>
      </c>
      <c r="Q389">
        <f>'Both teabags AfterWet'!B806</f>
        <v>186</v>
      </c>
      <c r="S389" s="401" t="b">
        <f t="shared" ref="S389:S452" si="150">COUNTIF($V$4:$V$2000, L389)=1</f>
        <v>0</v>
      </c>
      <c r="T389" s="113" t="b">
        <f t="shared" ref="T389:T452" si="151">COUNTIF($W$4:$W$2000, M389)=1</f>
        <v>1</v>
      </c>
      <c r="AA389" t="str">
        <f>'Green_rooibos initial weight'!A390</f>
        <v>G386</v>
      </c>
      <c r="AB389" t="str">
        <f>'Green_rooibos initial weight'!A1294</f>
        <v>R386</v>
      </c>
      <c r="AC389" t="b">
        <f t="shared" ref="AC389:AC452" si="152">COUNTIF($AA$4:$AA$2000, AA389)&gt;1</f>
        <v>0</v>
      </c>
      <c r="AD389" t="b">
        <f t="shared" ref="AD389:AD452" si="153">COUNTIF($AB$4:$AB$2000, AB389)&gt;1</f>
        <v>0</v>
      </c>
      <c r="AG389" t="str">
        <f>'WetLitterbags placem_collection'!O168</f>
        <v>G287</v>
      </c>
      <c r="AH389" t="str">
        <f>'WetLitterbags placem_collection'!Q168</f>
        <v>R259</v>
      </c>
      <c r="AI389" t="b">
        <f t="shared" ref="AI389:AI448" si="154">COUNTIF($AG$4:$AG$2000, AG389)&gt;1</f>
        <v>0</v>
      </c>
      <c r="AJ389" t="b">
        <f t="shared" ref="AJ389:AJ448" si="155">COUNTIF($AH$4:$AH$2000, AH389)&gt;1</f>
        <v>0</v>
      </c>
      <c r="AK389">
        <f>'WetLitterbags placem_collection'!A168</f>
        <v>166</v>
      </c>
      <c r="AL389">
        <f>'WetLitterbags placem_collection'!A168</f>
        <v>166</v>
      </c>
      <c r="AN389">
        <f>IF('Dry_Litterbag Placem_Collection'!L168=0,"",'Dry_Litterbag Placem_Collection'!L168)</f>
        <v>409</v>
      </c>
      <c r="AO389">
        <f>IF('Dry_Litterbag Placem_Collection'!M168=0,"",'Dry_Litterbag Placem_Collection'!M168)</f>
        <v>269</v>
      </c>
      <c r="AP389" t="b">
        <f t="shared" ref="AP389:AP447" si="156">COUNTIF($AN$4:$AN$2000, AN389)&gt;1</f>
        <v>0</v>
      </c>
      <c r="AQ389" t="b">
        <f t="shared" ref="AQ389:AQ447" si="157">COUNTIF($AO$4:$AO$2000, AO389)&gt;1</f>
        <v>0</v>
      </c>
      <c r="AZ389" s="401" t="b">
        <f t="shared" ref="AZ389:AZ452" si="158">COUNTIF($BC$4:$BC$2000, AT389)=1</f>
        <v>0</v>
      </c>
      <c r="BA389" s="401" t="b">
        <f t="shared" ref="BA389:BA452" si="159">COUNTIF($BD$4:$BD$2000, AU389)=1</f>
        <v>0</v>
      </c>
      <c r="BC389" t="str">
        <f>'Ashed teabags wet'!A387</f>
        <v>G865</v>
      </c>
      <c r="BD389" t="str">
        <f>'Ashed teabags wet'!A804</f>
        <v>R91</v>
      </c>
      <c r="BE389" t="b">
        <f t="shared" ref="BE389:BE420" si="160">COUNTIF($BC$4:$BC$2000, BC389)&gt;1</f>
        <v>0</v>
      </c>
      <c r="BF389" t="b">
        <f t="shared" ref="BF389:BF420" si="161">COUNTIF($BD$4:$BD$2000, BD389)&gt;1</f>
        <v>0</v>
      </c>
      <c r="BG389">
        <f>IFERROR('Ashed teabags wet'!C387,"")</f>
        <v>173</v>
      </c>
      <c r="BH389">
        <f>IFERROR('Ashed teabags wet'!C804,"")</f>
        <v>10</v>
      </c>
      <c r="BI389" t="str">
        <f>'Ashed teabags wet'!AB387</f>
        <v/>
      </c>
      <c r="BJ389">
        <f>'Ashed teabags wet'!AC387</f>
        <v>172</v>
      </c>
      <c r="BK389">
        <f>'Ashed teabags wet'!AD804</f>
        <v>9</v>
      </c>
      <c r="BL389" t="str">
        <f>'Ashed teabags wet'!AE804</f>
        <v/>
      </c>
      <c r="BN389" t="str">
        <f t="shared" ref="BN389:BN421" si="162">BC388</f>
        <v>G864</v>
      </c>
      <c r="BO389" t="b">
        <f t="shared" si="143"/>
        <v>1</v>
      </c>
    </row>
    <row r="390" spans="2:68" ht="12" customHeight="1">
      <c r="B390" t="str">
        <f>TBIDry!H462</f>
        <v/>
      </c>
      <c r="C390" t="str">
        <f>TBIDry!I462</f>
        <v/>
      </c>
      <c r="D390" t="b">
        <f t="shared" si="144"/>
        <v>1</v>
      </c>
      <c r="E390" t="b">
        <f t="shared" si="145"/>
        <v>1</v>
      </c>
      <c r="G390" t="str">
        <f>TBIWet!H462</f>
        <v>G443</v>
      </c>
      <c r="H390" t="str">
        <f>TBIWet!I462</f>
        <v>R215</v>
      </c>
      <c r="I390" t="b">
        <f t="shared" si="146"/>
        <v>0</v>
      </c>
      <c r="J390" t="b">
        <f t="shared" si="147"/>
        <v>0</v>
      </c>
      <c r="L390" t="str">
        <f>'Both teabags AfterWet'!A389</f>
        <v>G865</v>
      </c>
      <c r="M390" s="113" t="str">
        <f>'Both teabags AfterWet'!A807</f>
        <v>R615</v>
      </c>
      <c r="N390" t="b">
        <f t="shared" si="148"/>
        <v>0</v>
      </c>
      <c r="O390" t="b">
        <f t="shared" si="149"/>
        <v>0</v>
      </c>
      <c r="P390">
        <f>IFERROR('Both teabags AfterWet'!B389,"")</f>
        <v>173</v>
      </c>
      <c r="Q390">
        <f>'Both teabags AfterWet'!B807</f>
        <v>104</v>
      </c>
      <c r="S390" s="401" t="b">
        <f t="shared" si="150"/>
        <v>0</v>
      </c>
      <c r="T390" s="113" t="b">
        <f t="shared" si="151"/>
        <v>1</v>
      </c>
      <c r="AA390" t="str">
        <f>'Green_rooibos initial weight'!A391</f>
        <v>G387</v>
      </c>
      <c r="AB390" t="str">
        <f>'Green_rooibos initial weight'!A1295</f>
        <v>R387</v>
      </c>
      <c r="AC390" t="b">
        <f t="shared" si="152"/>
        <v>0</v>
      </c>
      <c r="AD390" t="b">
        <f t="shared" si="153"/>
        <v>0</v>
      </c>
      <c r="AG390" t="str">
        <f>'WetLitterbags placem_collection'!O169</f>
        <v>G443</v>
      </c>
      <c r="AH390" t="str">
        <f>'WetLitterbags placem_collection'!Q169</f>
        <v>R215</v>
      </c>
      <c r="AI390" t="b">
        <f t="shared" si="154"/>
        <v>0</v>
      </c>
      <c r="AJ390" t="b">
        <f t="shared" si="155"/>
        <v>0</v>
      </c>
      <c r="AK390">
        <f>'WetLitterbags placem_collection'!A169</f>
        <v>167</v>
      </c>
      <c r="AL390">
        <f>'WetLitterbags placem_collection'!A169</f>
        <v>167</v>
      </c>
      <c r="AN390" t="str">
        <f>IF('Dry_Litterbag Placem_Collection'!L169=0,"",'Dry_Litterbag Placem_Collection'!L169)</f>
        <v/>
      </c>
      <c r="AO390" t="str">
        <f>IF('Dry_Litterbag Placem_Collection'!M169=0,"",'Dry_Litterbag Placem_Collection'!M169)</f>
        <v/>
      </c>
      <c r="AP390" t="b">
        <f t="shared" si="156"/>
        <v>1</v>
      </c>
      <c r="AQ390" t="b">
        <f t="shared" si="157"/>
        <v>1</v>
      </c>
      <c r="AZ390" s="401" t="b">
        <f t="shared" si="158"/>
        <v>0</v>
      </c>
      <c r="BA390" s="401" t="b">
        <f t="shared" si="159"/>
        <v>0</v>
      </c>
      <c r="BC390" t="str">
        <f>'Ashed teabags wet'!A388</f>
        <v>G867</v>
      </c>
      <c r="BD390" t="str">
        <f>'Ashed teabags wet'!A805</f>
        <v>R92</v>
      </c>
      <c r="BE390" t="b">
        <f t="shared" si="160"/>
        <v>0</v>
      </c>
      <c r="BF390" t="b">
        <f t="shared" si="161"/>
        <v>0</v>
      </c>
      <c r="BG390">
        <f>IFERROR('Ashed teabags wet'!C388,"")</f>
        <v>124</v>
      </c>
      <c r="BH390">
        <f>IFERROR('Ashed teabags wet'!C805,"")</f>
        <v>205</v>
      </c>
      <c r="BI390">
        <f>'Ashed teabags wet'!AB388</f>
        <v>123</v>
      </c>
      <c r="BJ390" t="str">
        <f>'Ashed teabags wet'!AC388</f>
        <v/>
      </c>
      <c r="BK390" t="str">
        <f>'Ashed teabags wet'!AD805</f>
        <v/>
      </c>
      <c r="BL390">
        <f>'Ashed teabags wet'!AE805</f>
        <v>204</v>
      </c>
      <c r="BN390" t="str">
        <f t="shared" si="162"/>
        <v>G865</v>
      </c>
      <c r="BO390" t="b">
        <f t="shared" ref="BO390:BO422" si="163">COUNTIF($BN$5:$BN$2000, BN390)&gt;1</f>
        <v>1</v>
      </c>
    </row>
    <row r="391" spans="2:68" ht="12" customHeight="1">
      <c r="B391" t="str">
        <f>TBIDry!H463</f>
        <v>G304</v>
      </c>
      <c r="C391" t="str">
        <f>TBIDry!I463</f>
        <v>R413</v>
      </c>
      <c r="D391" t="b">
        <f t="shared" si="144"/>
        <v>0</v>
      </c>
      <c r="E391" t="b">
        <f t="shared" si="145"/>
        <v>0</v>
      </c>
      <c r="G391" t="str">
        <f>TBIWet!H463</f>
        <v>G680</v>
      </c>
      <c r="H391" t="str">
        <f>TBIWet!I463</f>
        <v>R322</v>
      </c>
      <c r="I391" t="b">
        <f t="shared" si="146"/>
        <v>0</v>
      </c>
      <c r="J391" t="b">
        <f t="shared" si="147"/>
        <v>0</v>
      </c>
      <c r="L391" t="str">
        <f>'Both teabags AfterWet'!A390</f>
        <v>G869</v>
      </c>
      <c r="M391" t="str">
        <f>'Both teabags AfterWet'!A808</f>
        <v>R62</v>
      </c>
      <c r="N391" t="b">
        <f t="shared" si="148"/>
        <v>0</v>
      </c>
      <c r="O391" t="b">
        <f t="shared" si="149"/>
        <v>0</v>
      </c>
      <c r="P391">
        <f>IFERROR('Both teabags AfterWet'!B390,"")</f>
        <v>103</v>
      </c>
      <c r="Q391">
        <f>'Both teabags AfterWet'!B808</f>
        <v>86</v>
      </c>
      <c r="S391" s="401" t="b">
        <f t="shared" si="150"/>
        <v>0</v>
      </c>
      <c r="T391" s="401" t="b">
        <f t="shared" si="151"/>
        <v>0</v>
      </c>
      <c r="AA391" t="str">
        <f>'Green_rooibos initial weight'!A392</f>
        <v>G388</v>
      </c>
      <c r="AB391" t="str">
        <f>'Green_rooibos initial weight'!A1296</f>
        <v>R388</v>
      </c>
      <c r="AC391" t="b">
        <f t="shared" si="152"/>
        <v>0</v>
      </c>
      <c r="AD391" t="b">
        <f t="shared" si="153"/>
        <v>0</v>
      </c>
      <c r="AG391" t="str">
        <f>'WetLitterbags placem_collection'!O170</f>
        <v>G680</v>
      </c>
      <c r="AH391" t="str">
        <f>'WetLitterbags placem_collection'!Q170</f>
        <v>R322</v>
      </c>
      <c r="AI391" t="b">
        <f t="shared" si="154"/>
        <v>0</v>
      </c>
      <c r="AJ391" t="b">
        <f t="shared" si="155"/>
        <v>0</v>
      </c>
      <c r="AK391">
        <f>'WetLitterbags placem_collection'!A170</f>
        <v>168</v>
      </c>
      <c r="AL391">
        <f>'WetLitterbags placem_collection'!A170</f>
        <v>168</v>
      </c>
      <c r="AN391">
        <f>IF('Dry_Litterbag Placem_Collection'!L170=0,"",'Dry_Litterbag Placem_Collection'!L170)</f>
        <v>304</v>
      </c>
      <c r="AO391">
        <f>IF('Dry_Litterbag Placem_Collection'!M170=0,"",'Dry_Litterbag Placem_Collection'!M170)</f>
        <v>413</v>
      </c>
      <c r="AP391" t="b">
        <f t="shared" si="156"/>
        <v>0</v>
      </c>
      <c r="AQ391" t="b">
        <f t="shared" si="157"/>
        <v>0</v>
      </c>
      <c r="AZ391" s="401" t="b">
        <f t="shared" si="158"/>
        <v>0</v>
      </c>
      <c r="BA391" s="401" t="b">
        <f t="shared" si="159"/>
        <v>0</v>
      </c>
      <c r="BC391" t="str">
        <f>'Ashed teabags wet'!A389</f>
        <v>G869</v>
      </c>
      <c r="BD391" t="str">
        <f>'Ashed teabags wet'!A806</f>
        <v>R93</v>
      </c>
      <c r="BE391" t="b">
        <f t="shared" si="160"/>
        <v>0</v>
      </c>
      <c r="BF391" t="b">
        <f t="shared" si="161"/>
        <v>0</v>
      </c>
      <c r="BG391">
        <f>IFERROR('Ashed teabags wet'!C389,"")</f>
        <v>103</v>
      </c>
      <c r="BH391">
        <f>IFERROR('Ashed teabags wet'!C806,"")</f>
        <v>212</v>
      </c>
      <c r="BI391">
        <f>'Ashed teabags wet'!AB389</f>
        <v>102</v>
      </c>
      <c r="BJ391" t="str">
        <f>'Ashed teabags wet'!AC389</f>
        <v/>
      </c>
      <c r="BK391">
        <f>'Ashed teabags wet'!AD806</f>
        <v>211</v>
      </c>
      <c r="BL391" t="str">
        <f>'Ashed teabags wet'!AE806</f>
        <v/>
      </c>
      <c r="BN391" s="180" t="str">
        <f t="shared" si="162"/>
        <v>G867</v>
      </c>
      <c r="BO391" s="113" t="b">
        <f t="shared" si="163"/>
        <v>0</v>
      </c>
    </row>
    <row r="392" spans="2:68" ht="12" customHeight="1">
      <c r="B392" t="str">
        <f>TBIDry!H464</f>
        <v>G135</v>
      </c>
      <c r="C392" t="str">
        <f>TBIDry!I464</f>
        <v>R80</v>
      </c>
      <c r="D392" t="b">
        <f t="shared" si="144"/>
        <v>0</v>
      </c>
      <c r="E392" t="b">
        <f t="shared" si="145"/>
        <v>0</v>
      </c>
      <c r="G392" t="str">
        <f>TBIWet!H464</f>
        <v>G496</v>
      </c>
      <c r="H392" t="str">
        <f>TBIWet!I464</f>
        <v>R403</v>
      </c>
      <c r="I392" t="b">
        <f t="shared" si="146"/>
        <v>0</v>
      </c>
      <c r="J392" t="b">
        <f t="shared" si="147"/>
        <v>0</v>
      </c>
      <c r="L392" t="str">
        <f>'Both teabags AfterWet'!A391</f>
        <v>G871</v>
      </c>
      <c r="M392" t="str">
        <f>'Both teabags AfterWet'!A809</f>
        <v>R626</v>
      </c>
      <c r="N392" t="b">
        <f t="shared" si="148"/>
        <v>0</v>
      </c>
      <c r="O392" t="b">
        <f t="shared" si="149"/>
        <v>0</v>
      </c>
      <c r="P392" t="str">
        <f>IFERROR('Both teabags AfterWet'!B391,"")</f>
        <v>n.a</v>
      </c>
      <c r="Q392">
        <f>'Both teabags AfterWet'!B809</f>
        <v>41</v>
      </c>
      <c r="S392" s="401" t="b">
        <f t="shared" si="150"/>
        <v>0</v>
      </c>
      <c r="T392" s="401" t="b">
        <f t="shared" si="151"/>
        <v>0</v>
      </c>
      <c r="AA392" t="str">
        <f>'Green_rooibos initial weight'!A393</f>
        <v>G389</v>
      </c>
      <c r="AB392" t="str">
        <f>'Green_rooibos initial weight'!A1297</f>
        <v>R389</v>
      </c>
      <c r="AC392" t="b">
        <f t="shared" si="152"/>
        <v>0</v>
      </c>
      <c r="AD392" t="b">
        <f t="shared" si="153"/>
        <v>0</v>
      </c>
      <c r="AG392" t="str">
        <f>'WetLitterbags placem_collection'!O171</f>
        <v>G496</v>
      </c>
      <c r="AH392" t="str">
        <f>'WetLitterbags placem_collection'!Q171</f>
        <v>R403</v>
      </c>
      <c r="AI392" t="b">
        <f t="shared" si="154"/>
        <v>0</v>
      </c>
      <c r="AJ392" t="b">
        <f t="shared" si="155"/>
        <v>0</v>
      </c>
      <c r="AK392">
        <f>'WetLitterbags placem_collection'!A171</f>
        <v>169</v>
      </c>
      <c r="AL392">
        <f>'WetLitterbags placem_collection'!A171</f>
        <v>169</v>
      </c>
      <c r="AN392">
        <f>IF('Dry_Litterbag Placem_Collection'!L171=0,"",'Dry_Litterbag Placem_Collection'!L171)</f>
        <v>135</v>
      </c>
      <c r="AO392">
        <f>IF('Dry_Litterbag Placem_Collection'!M171=0,"",'Dry_Litterbag Placem_Collection'!M171)</f>
        <v>80</v>
      </c>
      <c r="AP392" t="b">
        <f t="shared" si="156"/>
        <v>0</v>
      </c>
      <c r="AQ392" t="b">
        <f t="shared" si="157"/>
        <v>0</v>
      </c>
      <c r="AZ392" s="401" t="b">
        <f t="shared" si="158"/>
        <v>0</v>
      </c>
      <c r="BA392" s="401" t="b">
        <f t="shared" si="159"/>
        <v>0</v>
      </c>
      <c r="BC392" t="str">
        <f>'Ashed teabags wet'!A390</f>
        <v>G871</v>
      </c>
      <c r="BD392" t="str">
        <f>'Ashed teabags wet'!A807</f>
        <v>R94</v>
      </c>
      <c r="BE392" t="b">
        <f t="shared" si="160"/>
        <v>0</v>
      </c>
      <c r="BF392" t="b">
        <f t="shared" si="161"/>
        <v>0</v>
      </c>
      <c r="BG392">
        <f>IFERROR('Ashed teabags wet'!C390,"")</f>
        <v>210</v>
      </c>
      <c r="BH392">
        <f>IFERROR('Ashed teabags wet'!C807,"")</f>
        <v>90</v>
      </c>
      <c r="BI392">
        <f>'Ashed teabags wet'!AB390</f>
        <v>209</v>
      </c>
      <c r="BJ392" t="str">
        <f>'Ashed teabags wet'!AC390</f>
        <v/>
      </c>
      <c r="BK392">
        <f>'Ashed teabags wet'!AD807</f>
        <v>89</v>
      </c>
      <c r="BL392" t="str">
        <f>'Ashed teabags wet'!AE807</f>
        <v/>
      </c>
      <c r="BN392" t="str">
        <f t="shared" si="162"/>
        <v>G869</v>
      </c>
      <c r="BO392" t="b">
        <f t="shared" si="163"/>
        <v>1</v>
      </c>
    </row>
    <row r="393" spans="2:68" ht="12" customHeight="1">
      <c r="B393" t="str">
        <f>TBIDry!H465</f>
        <v>G515</v>
      </c>
      <c r="C393" t="str">
        <f>TBIDry!I465</f>
        <v>R208</v>
      </c>
      <c r="D393" t="b">
        <f t="shared" si="144"/>
        <v>0</v>
      </c>
      <c r="E393" t="b">
        <f t="shared" si="145"/>
        <v>0</v>
      </c>
      <c r="G393" t="str">
        <f>TBIWet!H465</f>
        <v>G674</v>
      </c>
      <c r="H393" t="str">
        <f>TBIWet!I465</f>
        <v>R583</v>
      </c>
      <c r="I393" t="b">
        <f t="shared" si="146"/>
        <v>0</v>
      </c>
      <c r="J393" t="b">
        <f t="shared" si="147"/>
        <v>0</v>
      </c>
      <c r="L393" t="str">
        <f>'Both teabags AfterWet'!A392</f>
        <v>G875</v>
      </c>
      <c r="M393" t="str">
        <f>'Both teabags AfterWet'!A810</f>
        <v>R63</v>
      </c>
      <c r="N393" t="b">
        <f t="shared" si="148"/>
        <v>0</v>
      </c>
      <c r="O393" t="b">
        <f t="shared" si="149"/>
        <v>0</v>
      </c>
      <c r="P393" t="str">
        <f>IFERROR('Both teabags AfterWet'!B392,"")</f>
        <v>n.a</v>
      </c>
      <c r="Q393">
        <f>'Both teabags AfterWet'!B810</f>
        <v>37</v>
      </c>
      <c r="S393" s="401" t="b">
        <f t="shared" si="150"/>
        <v>0</v>
      </c>
      <c r="T393" s="401" t="b">
        <f t="shared" si="151"/>
        <v>0</v>
      </c>
      <c r="AA393" t="str">
        <f>'Green_rooibos initial weight'!A394</f>
        <v>G390</v>
      </c>
      <c r="AB393" t="str">
        <f>'Green_rooibos initial weight'!A1298</f>
        <v>R390</v>
      </c>
      <c r="AC393" t="b">
        <f t="shared" si="152"/>
        <v>0</v>
      </c>
      <c r="AD393" t="b">
        <f t="shared" si="153"/>
        <v>0</v>
      </c>
      <c r="AG393" t="str">
        <f>'WetLitterbags placem_collection'!O172</f>
        <v>G674</v>
      </c>
      <c r="AH393" t="str">
        <f>'WetLitterbags placem_collection'!Q172</f>
        <v>R583</v>
      </c>
      <c r="AI393" t="b">
        <f t="shared" si="154"/>
        <v>0</v>
      </c>
      <c r="AJ393" t="b">
        <f t="shared" si="155"/>
        <v>0</v>
      </c>
      <c r="AK393">
        <f>'WetLitterbags placem_collection'!A172</f>
        <v>170</v>
      </c>
      <c r="AL393">
        <f>'WetLitterbags placem_collection'!A172</f>
        <v>170</v>
      </c>
      <c r="AN393">
        <f>IF('Dry_Litterbag Placem_Collection'!L172=0,"",'Dry_Litterbag Placem_Collection'!L172)</f>
        <v>515</v>
      </c>
      <c r="AO393">
        <f>IF('Dry_Litterbag Placem_Collection'!M172=0,"",'Dry_Litterbag Placem_Collection'!M172)</f>
        <v>208</v>
      </c>
      <c r="AP393" t="b">
        <f t="shared" si="156"/>
        <v>0</v>
      </c>
      <c r="AQ393" t="b">
        <f t="shared" si="157"/>
        <v>0</v>
      </c>
      <c r="AZ393" s="401" t="b">
        <f t="shared" si="158"/>
        <v>0</v>
      </c>
      <c r="BA393" s="401" t="b">
        <f t="shared" si="159"/>
        <v>0</v>
      </c>
      <c r="BC393" t="str">
        <f>'Ashed teabags wet'!A391</f>
        <v>G875</v>
      </c>
      <c r="BD393" t="str">
        <f>'Ashed teabags wet'!A808</f>
        <v>R95</v>
      </c>
      <c r="BE393" t="b">
        <f t="shared" si="160"/>
        <v>0</v>
      </c>
      <c r="BF393" t="b">
        <f t="shared" si="161"/>
        <v>0</v>
      </c>
      <c r="BG393">
        <f>IFERROR('Ashed teabags wet'!C391,"")</f>
        <v>101</v>
      </c>
      <c r="BH393">
        <f>IFERROR('Ashed teabags wet'!C808,"")</f>
        <v>71</v>
      </c>
      <c r="BI393" t="str">
        <f>'Ashed teabags wet'!AB391</f>
        <v/>
      </c>
      <c r="BJ393">
        <f>'Ashed teabags wet'!AC391</f>
        <v>100</v>
      </c>
      <c r="BK393">
        <f>'Ashed teabags wet'!AD808</f>
        <v>70</v>
      </c>
      <c r="BL393" t="str">
        <f>'Ashed teabags wet'!AE808</f>
        <v/>
      </c>
      <c r="BN393" t="str">
        <f t="shared" si="162"/>
        <v>G871</v>
      </c>
      <c r="BO393" t="b">
        <f t="shared" si="163"/>
        <v>1</v>
      </c>
    </row>
    <row r="394" spans="2:68" ht="12" customHeight="1">
      <c r="B394" t="str">
        <f>TBIDry!H466</f>
        <v>G348</v>
      </c>
      <c r="C394" t="str">
        <f>TBIDry!I466</f>
        <v>R633</v>
      </c>
      <c r="D394" t="b">
        <f t="shared" si="144"/>
        <v>0</v>
      </c>
      <c r="E394" t="b">
        <f t="shared" si="145"/>
        <v>0</v>
      </c>
      <c r="G394" t="str">
        <f>TBIWet!H466</f>
        <v>G504</v>
      </c>
      <c r="H394" t="str">
        <f>TBIWet!I466</f>
        <v>R451</v>
      </c>
      <c r="I394" t="b">
        <f t="shared" si="146"/>
        <v>0</v>
      </c>
      <c r="J394" t="b">
        <f t="shared" si="147"/>
        <v>0</v>
      </c>
      <c r="L394" t="str">
        <f>'Both teabags AfterWet'!A393</f>
        <v>G876</v>
      </c>
      <c r="M394" t="str">
        <f>'Both teabags AfterWet'!A811</f>
        <v>R64</v>
      </c>
      <c r="N394" t="b">
        <f t="shared" si="148"/>
        <v>0</v>
      </c>
      <c r="O394" t="b">
        <f t="shared" si="149"/>
        <v>0</v>
      </c>
      <c r="P394">
        <f>IFERROR('Both teabags AfterWet'!B393,"")</f>
        <v>160</v>
      </c>
      <c r="Q394">
        <f>'Both teabags AfterWet'!B811</f>
        <v>35</v>
      </c>
      <c r="S394" s="401" t="b">
        <f t="shared" si="150"/>
        <v>0</v>
      </c>
      <c r="T394" s="401" t="b">
        <f t="shared" si="151"/>
        <v>0</v>
      </c>
      <c r="AA394" t="str">
        <f>'Green_rooibos initial weight'!A395</f>
        <v>G391</v>
      </c>
      <c r="AB394" t="str">
        <f>'Green_rooibos initial weight'!A1299</f>
        <v>R391</v>
      </c>
      <c r="AC394" t="b">
        <f t="shared" si="152"/>
        <v>0</v>
      </c>
      <c r="AD394" t="b">
        <f t="shared" si="153"/>
        <v>0</v>
      </c>
      <c r="AG394" t="str">
        <f>'WetLitterbags placem_collection'!O173</f>
        <v>G504</v>
      </c>
      <c r="AH394" t="str">
        <f>'WetLitterbags placem_collection'!Q173</f>
        <v>R451</v>
      </c>
      <c r="AI394" t="b">
        <f t="shared" si="154"/>
        <v>0</v>
      </c>
      <c r="AJ394" t="b">
        <f t="shared" si="155"/>
        <v>0</v>
      </c>
      <c r="AK394">
        <f>'WetLitterbags placem_collection'!A173</f>
        <v>171</v>
      </c>
      <c r="AL394">
        <f>'WetLitterbags placem_collection'!A173</f>
        <v>171</v>
      </c>
      <c r="AN394">
        <f>IF('Dry_Litterbag Placem_Collection'!L173=0,"",'Dry_Litterbag Placem_Collection'!L173)</f>
        <v>348</v>
      </c>
      <c r="AO394">
        <f>IF('Dry_Litterbag Placem_Collection'!M173=0,"",'Dry_Litterbag Placem_Collection'!M173)</f>
        <v>633</v>
      </c>
      <c r="AP394" t="b">
        <f t="shared" si="156"/>
        <v>0</v>
      </c>
      <c r="AQ394" t="b">
        <f t="shared" si="157"/>
        <v>0</v>
      </c>
      <c r="AZ394" s="401" t="b">
        <f t="shared" si="158"/>
        <v>0</v>
      </c>
      <c r="BA394" s="401" t="b">
        <f t="shared" si="159"/>
        <v>0</v>
      </c>
      <c r="BC394" t="str">
        <f>'Ashed teabags wet'!A392</f>
        <v>G876</v>
      </c>
      <c r="BD394" t="str">
        <f>'Ashed teabags wet'!A809</f>
        <v>R96</v>
      </c>
      <c r="BE394" t="b">
        <f t="shared" si="160"/>
        <v>0</v>
      </c>
      <c r="BF394" t="b">
        <f t="shared" si="161"/>
        <v>0</v>
      </c>
      <c r="BG394">
        <f>IFERROR('Ashed teabags wet'!C392,"")</f>
        <v>160</v>
      </c>
      <c r="BH394">
        <f>IFERROR('Ashed teabags wet'!C809,"")</f>
        <v>163</v>
      </c>
      <c r="BI394" t="str">
        <f>'Ashed teabags wet'!AB392</f>
        <v/>
      </c>
      <c r="BJ394">
        <f>'Ashed teabags wet'!AC392</f>
        <v>159</v>
      </c>
      <c r="BK394">
        <f>'Ashed teabags wet'!AD809</f>
        <v>162</v>
      </c>
      <c r="BL394" t="str">
        <f>'Ashed teabags wet'!AE809</f>
        <v/>
      </c>
      <c r="BN394" t="str">
        <f t="shared" si="162"/>
        <v>G875</v>
      </c>
      <c r="BO394" t="b">
        <f t="shared" si="163"/>
        <v>1</v>
      </c>
    </row>
    <row r="395" spans="2:68" ht="12" customHeight="1">
      <c r="B395" t="str">
        <f>TBIDry!H467</f>
        <v/>
      </c>
      <c r="C395" t="str">
        <f>TBIDry!I467</f>
        <v/>
      </c>
      <c r="D395" t="b">
        <f t="shared" si="144"/>
        <v>1</v>
      </c>
      <c r="E395" t="b">
        <f t="shared" si="145"/>
        <v>1</v>
      </c>
      <c r="G395" t="str">
        <f>TBIWet!H467</f>
        <v>G439</v>
      </c>
      <c r="H395" t="str">
        <f>TBIWet!I467</f>
        <v>R353</v>
      </c>
      <c r="I395" t="b">
        <f t="shared" si="146"/>
        <v>0</v>
      </c>
      <c r="J395" t="b">
        <f t="shared" si="147"/>
        <v>0</v>
      </c>
      <c r="L395" t="str">
        <f>'Both teabags AfterWet'!A394</f>
        <v>G877</v>
      </c>
      <c r="M395" t="str">
        <f>'Both teabags AfterWet'!A812</f>
        <v>R65</v>
      </c>
      <c r="N395" t="b">
        <f t="shared" si="148"/>
        <v>0</v>
      </c>
      <c r="O395" t="b">
        <f t="shared" si="149"/>
        <v>0</v>
      </c>
      <c r="P395">
        <f>IFERROR('Both teabags AfterWet'!B394,"")</f>
        <v>109</v>
      </c>
      <c r="Q395">
        <f>'Both teabags AfterWet'!B812</f>
        <v>39</v>
      </c>
      <c r="S395" s="401" t="b">
        <f t="shared" si="150"/>
        <v>0</v>
      </c>
      <c r="T395" s="401" t="b">
        <f t="shared" si="151"/>
        <v>0</v>
      </c>
      <c r="AA395" t="str">
        <f>'Green_rooibos initial weight'!A396</f>
        <v>G392</v>
      </c>
      <c r="AB395" t="str">
        <f>'Green_rooibos initial weight'!A1300</f>
        <v>R392</v>
      </c>
      <c r="AC395" t="b">
        <f t="shared" si="152"/>
        <v>0</v>
      </c>
      <c r="AD395" t="b">
        <f t="shared" si="153"/>
        <v>0</v>
      </c>
      <c r="AG395" t="str">
        <f>'WetLitterbags placem_collection'!O174</f>
        <v>G439</v>
      </c>
      <c r="AH395" t="str">
        <f>'WetLitterbags placem_collection'!Q174</f>
        <v>R353</v>
      </c>
      <c r="AI395" t="b">
        <f t="shared" si="154"/>
        <v>0</v>
      </c>
      <c r="AJ395" t="b">
        <f t="shared" si="155"/>
        <v>0</v>
      </c>
      <c r="AK395">
        <f>'WetLitterbags placem_collection'!A174</f>
        <v>172</v>
      </c>
      <c r="AL395">
        <f>'WetLitterbags placem_collection'!A174</f>
        <v>172</v>
      </c>
      <c r="AN395" t="str">
        <f>IF('Dry_Litterbag Placem_Collection'!L174=0,"",'Dry_Litterbag Placem_Collection'!L174)</f>
        <v/>
      </c>
      <c r="AO395" t="str">
        <f>IF('Dry_Litterbag Placem_Collection'!M174=0,"",'Dry_Litterbag Placem_Collection'!M174)</f>
        <v/>
      </c>
      <c r="AP395" t="b">
        <f t="shared" si="156"/>
        <v>1</v>
      </c>
      <c r="AQ395" t="b">
        <f t="shared" si="157"/>
        <v>1</v>
      </c>
      <c r="AZ395" s="401" t="b">
        <f t="shared" si="158"/>
        <v>0</v>
      </c>
      <c r="BA395" s="401" t="b">
        <f t="shared" si="159"/>
        <v>0</v>
      </c>
      <c r="BC395" t="str">
        <f>'Ashed teabags wet'!A393</f>
        <v>G877</v>
      </c>
      <c r="BD395" t="str">
        <f>'Ashed teabags wet'!A810</f>
        <v>R97</v>
      </c>
      <c r="BE395" t="b">
        <f t="shared" si="160"/>
        <v>0</v>
      </c>
      <c r="BF395" t="b">
        <f t="shared" si="161"/>
        <v>0</v>
      </c>
      <c r="BG395">
        <f>IFERROR('Ashed teabags wet'!C393,"")</f>
        <v>199</v>
      </c>
      <c r="BH395">
        <f>IFERROR('Ashed teabags wet'!C810,"")</f>
        <v>36</v>
      </c>
      <c r="BI395">
        <f>'Ashed teabags wet'!AB393</f>
        <v>198</v>
      </c>
      <c r="BJ395" t="str">
        <f>'Ashed teabags wet'!AC393</f>
        <v/>
      </c>
      <c r="BK395" t="str">
        <f>'Ashed teabags wet'!AD810</f>
        <v/>
      </c>
      <c r="BL395">
        <f>'Ashed teabags wet'!AE810</f>
        <v>35</v>
      </c>
      <c r="BN395" t="str">
        <f t="shared" si="162"/>
        <v>G876</v>
      </c>
      <c r="BO395" t="b">
        <f t="shared" si="163"/>
        <v>1</v>
      </c>
    </row>
    <row r="396" spans="2:68" ht="12" customHeight="1">
      <c r="B396" t="str">
        <f>TBIDry!H468</f>
        <v>G307</v>
      </c>
      <c r="C396" t="str">
        <f>TBIDry!I468</f>
        <v>R473</v>
      </c>
      <c r="D396" t="b">
        <f t="shared" si="144"/>
        <v>0</v>
      </c>
      <c r="E396" t="b">
        <f t="shared" si="145"/>
        <v>0</v>
      </c>
      <c r="G396" t="str">
        <f>TBIWet!H468</f>
        <v>G865</v>
      </c>
      <c r="H396" t="str">
        <f>TBIWet!I468</f>
        <v>R105</v>
      </c>
      <c r="I396" t="b">
        <f t="shared" si="146"/>
        <v>0</v>
      </c>
      <c r="J396" t="b">
        <f t="shared" si="147"/>
        <v>0</v>
      </c>
      <c r="L396" t="str">
        <f>'Both teabags AfterWet'!A395</f>
        <v>G878</v>
      </c>
      <c r="M396" t="str">
        <f>'Both teabags AfterWet'!A813</f>
        <v>R68</v>
      </c>
      <c r="N396" t="b">
        <f t="shared" si="148"/>
        <v>0</v>
      </c>
      <c r="O396" t="b">
        <f t="shared" si="149"/>
        <v>0</v>
      </c>
      <c r="P396">
        <f>IFERROR('Both teabags AfterWet'!B395,"")</f>
        <v>147</v>
      </c>
      <c r="Q396">
        <f>'Both teabags AfterWet'!B813</f>
        <v>80</v>
      </c>
      <c r="S396" s="401" t="b">
        <f t="shared" si="150"/>
        <v>0</v>
      </c>
      <c r="T396" s="401" t="b">
        <f t="shared" si="151"/>
        <v>0</v>
      </c>
      <c r="AA396" t="str">
        <f>'Green_rooibos initial weight'!A397</f>
        <v>G393</v>
      </c>
      <c r="AB396" t="str">
        <f>'Green_rooibos initial weight'!A1301</f>
        <v>R393</v>
      </c>
      <c r="AC396" t="b">
        <f t="shared" si="152"/>
        <v>0</v>
      </c>
      <c r="AD396" t="b">
        <f t="shared" si="153"/>
        <v>0</v>
      </c>
      <c r="AG396" t="str">
        <f>'WetLitterbags placem_collection'!O175</f>
        <v>G865</v>
      </c>
      <c r="AH396" t="str">
        <f>'WetLitterbags placem_collection'!Q175</f>
        <v>R105</v>
      </c>
      <c r="AI396" t="b">
        <f t="shared" si="154"/>
        <v>0</v>
      </c>
      <c r="AJ396" t="b">
        <f t="shared" si="155"/>
        <v>0</v>
      </c>
      <c r="AK396">
        <f>'WetLitterbags placem_collection'!A175</f>
        <v>173</v>
      </c>
      <c r="AL396">
        <f>'WetLitterbags placem_collection'!A175</f>
        <v>173</v>
      </c>
      <c r="AN396">
        <f>IF('Dry_Litterbag Placem_Collection'!L175=0,"",'Dry_Litterbag Placem_Collection'!L175)</f>
        <v>307</v>
      </c>
      <c r="AO396">
        <f>IF('Dry_Litterbag Placem_Collection'!M175=0,"",'Dry_Litterbag Placem_Collection'!M175)</f>
        <v>473</v>
      </c>
      <c r="AP396" t="b">
        <f t="shared" si="156"/>
        <v>0</v>
      </c>
      <c r="AQ396" t="b">
        <f t="shared" si="157"/>
        <v>0</v>
      </c>
      <c r="AZ396" s="401" t="b">
        <f t="shared" si="158"/>
        <v>0</v>
      </c>
      <c r="BA396" s="401" t="b">
        <f t="shared" si="159"/>
        <v>0</v>
      </c>
      <c r="BC396" t="str">
        <f>'Ashed teabags wet'!A394</f>
        <v>G878</v>
      </c>
      <c r="BD396" t="str">
        <f>'Ashed teabags wet'!A811</f>
        <v>R99</v>
      </c>
      <c r="BE396" t="b">
        <f t="shared" si="160"/>
        <v>0</v>
      </c>
      <c r="BF396" t="b">
        <f t="shared" si="161"/>
        <v>0</v>
      </c>
      <c r="BG396">
        <f>IFERROR('Ashed teabags wet'!C394,"")</f>
        <v>147</v>
      </c>
      <c r="BH396">
        <f>IFERROR('Ashed teabags wet'!C811,"")</f>
        <v>15</v>
      </c>
      <c r="BI396" t="str">
        <f>'Ashed teabags wet'!AB394</f>
        <v/>
      </c>
      <c r="BJ396">
        <f>'Ashed teabags wet'!AC394</f>
        <v>146</v>
      </c>
      <c r="BK396" t="str">
        <f>'Ashed teabags wet'!AD811</f>
        <v/>
      </c>
      <c r="BL396">
        <f>'Ashed teabags wet'!AE811</f>
        <v>14</v>
      </c>
      <c r="BN396" t="str">
        <f t="shared" si="162"/>
        <v>G877</v>
      </c>
      <c r="BO396" t="b">
        <f t="shared" si="163"/>
        <v>1</v>
      </c>
    </row>
    <row r="397" spans="2:68" ht="12" customHeight="1">
      <c r="B397" t="str">
        <f>TBIDry!H469</f>
        <v>G155</v>
      </c>
      <c r="C397" t="str">
        <f>TBIDry!I469</f>
        <v>R702</v>
      </c>
      <c r="D397" t="b">
        <f t="shared" si="144"/>
        <v>0</v>
      </c>
      <c r="E397" t="b">
        <f t="shared" si="145"/>
        <v>0</v>
      </c>
      <c r="G397" t="str">
        <f>TBIWet!H469</f>
        <v>G736</v>
      </c>
      <c r="H397" t="str">
        <f>TBIWet!I469</f>
        <v>R384</v>
      </c>
      <c r="I397" t="b">
        <f t="shared" si="146"/>
        <v>0</v>
      </c>
      <c r="J397" t="b">
        <f t="shared" si="147"/>
        <v>0</v>
      </c>
      <c r="L397" t="str">
        <f>'Both teabags AfterWet'!A396</f>
        <v>G880</v>
      </c>
      <c r="M397" t="str">
        <f>'Both teabags AfterWet'!A814</f>
        <v>R69</v>
      </c>
      <c r="N397" t="b">
        <f t="shared" si="148"/>
        <v>0</v>
      </c>
      <c r="O397" t="b">
        <f t="shared" si="149"/>
        <v>0</v>
      </c>
      <c r="P397">
        <f>IFERROR('Both teabags AfterWet'!B396,"")</f>
        <v>139</v>
      </c>
      <c r="Q397">
        <f>'Both teabags AfterWet'!B814</f>
        <v>35</v>
      </c>
      <c r="S397" s="401" t="b">
        <f t="shared" si="150"/>
        <v>0</v>
      </c>
      <c r="T397" s="401" t="b">
        <f t="shared" si="151"/>
        <v>0</v>
      </c>
      <c r="AA397" t="str">
        <f>'Green_rooibos initial weight'!A398</f>
        <v>G394</v>
      </c>
      <c r="AB397" t="str">
        <f>'Green_rooibos initial weight'!A1302</f>
        <v>R394</v>
      </c>
      <c r="AC397" t="b">
        <f t="shared" si="152"/>
        <v>0</v>
      </c>
      <c r="AD397" t="b">
        <f t="shared" si="153"/>
        <v>0</v>
      </c>
      <c r="AG397" t="str">
        <f>'WetLitterbags placem_collection'!O176</f>
        <v>G736</v>
      </c>
      <c r="AH397" t="str">
        <f>'WetLitterbags placem_collection'!Q176</f>
        <v>R384</v>
      </c>
      <c r="AI397" t="b">
        <f t="shared" si="154"/>
        <v>0</v>
      </c>
      <c r="AJ397" t="b">
        <f t="shared" si="155"/>
        <v>0</v>
      </c>
      <c r="AK397">
        <f>'WetLitterbags placem_collection'!A176</f>
        <v>174</v>
      </c>
      <c r="AL397">
        <f>'WetLitterbags placem_collection'!A176</f>
        <v>174</v>
      </c>
      <c r="AN397">
        <f>IF('Dry_Litterbag Placem_Collection'!L176=0,"",'Dry_Litterbag Placem_Collection'!L176)</f>
        <v>155</v>
      </c>
      <c r="AO397">
        <f>IF('Dry_Litterbag Placem_Collection'!M176=0,"",'Dry_Litterbag Placem_Collection'!M176)</f>
        <v>702</v>
      </c>
      <c r="AP397" t="b">
        <f t="shared" si="156"/>
        <v>0</v>
      </c>
      <c r="AQ397" t="b">
        <f t="shared" si="157"/>
        <v>0</v>
      </c>
      <c r="AZ397" s="401" t="b">
        <f t="shared" si="158"/>
        <v>0</v>
      </c>
      <c r="BA397" s="401" t="b">
        <f t="shared" si="159"/>
        <v>0</v>
      </c>
      <c r="BC397" t="str">
        <f>'Ashed teabags wet'!A395</f>
        <v>G880</v>
      </c>
      <c r="BD397" t="str">
        <f>'Ashed teabags wet'!A812</f>
        <v>RA</v>
      </c>
      <c r="BE397" t="b">
        <f t="shared" si="160"/>
        <v>0</v>
      </c>
      <c r="BF397" t="b">
        <f t="shared" si="161"/>
        <v>0</v>
      </c>
      <c r="BG397">
        <f>IFERROR('Ashed teabags wet'!C395,"")</f>
        <v>139</v>
      </c>
      <c r="BH397">
        <f>IFERROR('Ashed teabags wet'!C812,"")</f>
        <v>0</v>
      </c>
      <c r="BI397" t="str">
        <f>'Ashed teabags wet'!AB395</f>
        <v/>
      </c>
      <c r="BJ397">
        <f>'Ashed teabags wet'!AC395</f>
        <v>138</v>
      </c>
      <c r="BK397" t="str">
        <f>'Ashed teabags wet'!AD812</f>
        <v/>
      </c>
      <c r="BL397" t="str">
        <f>'Ashed teabags wet'!AE812</f>
        <v/>
      </c>
      <c r="BN397" t="str">
        <f t="shared" si="162"/>
        <v>G878</v>
      </c>
      <c r="BO397" t="b">
        <f t="shared" si="163"/>
        <v>1</v>
      </c>
    </row>
    <row r="398" spans="2:68" ht="12" customHeight="1">
      <c r="B398" t="str">
        <f>TBIDry!H470</f>
        <v>G719</v>
      </c>
      <c r="C398" t="str">
        <f>TBIDry!I470</f>
        <v>R175</v>
      </c>
      <c r="D398" t="b">
        <f t="shared" si="144"/>
        <v>0</v>
      </c>
      <c r="E398" t="b">
        <f t="shared" si="145"/>
        <v>0</v>
      </c>
      <c r="G398" t="str">
        <f>TBIWet!H470</f>
        <v>G792</v>
      </c>
      <c r="H398" t="str">
        <f>TBIWet!I470</f>
        <v>R481</v>
      </c>
      <c r="I398" t="b">
        <f t="shared" si="146"/>
        <v>0</v>
      </c>
      <c r="J398" t="b">
        <f t="shared" si="147"/>
        <v>0</v>
      </c>
      <c r="L398" t="str">
        <f>'Both teabags AfterWet'!A397</f>
        <v>G881</v>
      </c>
      <c r="M398" t="str">
        <f>'Both teabags AfterWet'!A815</f>
        <v>R7</v>
      </c>
      <c r="N398" t="b">
        <f t="shared" si="148"/>
        <v>0</v>
      </c>
      <c r="O398" t="b">
        <f t="shared" si="149"/>
        <v>0</v>
      </c>
      <c r="P398">
        <f>IFERROR('Both teabags AfterWet'!B397,"")</f>
        <v>104</v>
      </c>
      <c r="Q398">
        <f>'Both teabags AfterWet'!B815</f>
        <v>150</v>
      </c>
      <c r="S398" s="401" t="b">
        <f t="shared" si="150"/>
        <v>0</v>
      </c>
      <c r="T398" s="401" t="b">
        <f t="shared" si="151"/>
        <v>0</v>
      </c>
      <c r="AA398" t="str">
        <f>'Green_rooibos initial weight'!A399</f>
        <v>G395</v>
      </c>
      <c r="AB398" t="str">
        <f>'Green_rooibos initial weight'!A1303</f>
        <v>R395</v>
      </c>
      <c r="AC398" t="b">
        <f t="shared" si="152"/>
        <v>0</v>
      </c>
      <c r="AD398" t="b">
        <f t="shared" si="153"/>
        <v>0</v>
      </c>
      <c r="AG398" t="str">
        <f>'WetLitterbags placem_collection'!O177</f>
        <v>G792</v>
      </c>
      <c r="AH398" t="str">
        <f>'WetLitterbags placem_collection'!Q177</f>
        <v>R481</v>
      </c>
      <c r="AI398" t="b">
        <f t="shared" si="154"/>
        <v>0</v>
      </c>
      <c r="AJ398" t="b">
        <f t="shared" si="155"/>
        <v>0</v>
      </c>
      <c r="AK398">
        <f>'WetLitterbags placem_collection'!A177</f>
        <v>175</v>
      </c>
      <c r="AL398">
        <f>'WetLitterbags placem_collection'!A177</f>
        <v>175</v>
      </c>
      <c r="AN398">
        <f>IF('Dry_Litterbag Placem_Collection'!L177=0,"",'Dry_Litterbag Placem_Collection'!L177)</f>
        <v>719</v>
      </c>
      <c r="AO398">
        <f>IF('Dry_Litterbag Placem_Collection'!M177=0,"",'Dry_Litterbag Placem_Collection'!M177)</f>
        <v>175</v>
      </c>
      <c r="AP398" t="b">
        <f t="shared" si="156"/>
        <v>0</v>
      </c>
      <c r="AQ398" t="b">
        <f t="shared" si="157"/>
        <v>0</v>
      </c>
      <c r="AZ398" s="401" t="b">
        <f t="shared" si="158"/>
        <v>0</v>
      </c>
      <c r="BA398" s="401" t="b">
        <f t="shared" si="159"/>
        <v>0</v>
      </c>
      <c r="BC398" t="str">
        <f>'Ashed teabags wet'!A396</f>
        <v>G881</v>
      </c>
      <c r="BD398">
        <f>'Ashed teabags wet'!A813</f>
        <v>0</v>
      </c>
      <c r="BE398" t="b">
        <f t="shared" si="160"/>
        <v>0</v>
      </c>
      <c r="BF398" t="b">
        <f t="shared" si="161"/>
        <v>1</v>
      </c>
      <c r="BG398">
        <f>IFERROR('Ashed teabags wet'!C396,"")</f>
        <v>104</v>
      </c>
      <c r="BH398">
        <f>IFERROR('Ashed teabags wet'!C813,"")</f>
        <v>0</v>
      </c>
      <c r="BI398">
        <f>'Ashed teabags wet'!AB396</f>
        <v>103</v>
      </c>
      <c r="BJ398" t="str">
        <f>'Ashed teabags wet'!AC396</f>
        <v/>
      </c>
      <c r="BK398" t="str">
        <f>'Ashed teabags wet'!AD813</f>
        <v/>
      </c>
      <c r="BL398" t="str">
        <f>'Ashed teabags wet'!AE813</f>
        <v/>
      </c>
      <c r="BN398" t="str">
        <f t="shared" si="162"/>
        <v>G880</v>
      </c>
      <c r="BO398" t="b">
        <f t="shared" si="163"/>
        <v>1</v>
      </c>
    </row>
    <row r="399" spans="2:68" ht="12" customHeight="1">
      <c r="B399" t="str">
        <f>TBIDry!H471</f>
        <v>G323</v>
      </c>
      <c r="C399" t="str">
        <f>TBIDry!I471</f>
        <v>R332</v>
      </c>
      <c r="D399" t="b">
        <f t="shared" si="144"/>
        <v>0</v>
      </c>
      <c r="E399" t="b">
        <f t="shared" si="145"/>
        <v>0</v>
      </c>
      <c r="G399" t="str">
        <f>TBIWet!H471</f>
        <v>G470</v>
      </c>
      <c r="H399" t="str">
        <f>TBIWet!I471</f>
        <v>R490</v>
      </c>
      <c r="I399" t="b">
        <f t="shared" si="146"/>
        <v>0</v>
      </c>
      <c r="J399" t="b">
        <f t="shared" si="147"/>
        <v>0</v>
      </c>
      <c r="L399" t="str">
        <f>'Both teabags AfterWet'!A398</f>
        <v>G882</v>
      </c>
      <c r="M399" t="str">
        <f>'Both teabags AfterWet'!A816</f>
        <v>R71</v>
      </c>
      <c r="N399" t="b">
        <f t="shared" si="148"/>
        <v>0</v>
      </c>
      <c r="O399" t="b">
        <f t="shared" si="149"/>
        <v>0</v>
      </c>
      <c r="P399" t="str">
        <f>IFERROR('Both teabags AfterWet'!B398,"")</f>
        <v>n.a</v>
      </c>
      <c r="Q399">
        <f>'Both teabags AfterWet'!B816</f>
        <v>24</v>
      </c>
      <c r="S399" s="401" t="b">
        <f t="shared" si="150"/>
        <v>0</v>
      </c>
      <c r="T399" s="401" t="b">
        <f t="shared" si="151"/>
        <v>0</v>
      </c>
      <c r="AA399" t="str">
        <f>'Green_rooibos initial weight'!A400</f>
        <v>G396</v>
      </c>
      <c r="AB399" t="str">
        <f>'Green_rooibos initial weight'!A1304</f>
        <v>R396</v>
      </c>
      <c r="AC399" t="b">
        <f t="shared" si="152"/>
        <v>0</v>
      </c>
      <c r="AD399" t="b">
        <f t="shared" si="153"/>
        <v>0</v>
      </c>
      <c r="AG399" t="str">
        <f>'WetLitterbags placem_collection'!O178</f>
        <v>G470</v>
      </c>
      <c r="AH399" t="str">
        <f>'WetLitterbags placem_collection'!Q178</f>
        <v>R490</v>
      </c>
      <c r="AI399" t="b">
        <f t="shared" si="154"/>
        <v>0</v>
      </c>
      <c r="AJ399" t="b">
        <f t="shared" si="155"/>
        <v>0</v>
      </c>
      <c r="AK399">
        <f>'WetLitterbags placem_collection'!A178</f>
        <v>176</v>
      </c>
      <c r="AL399">
        <f>'WetLitterbags placem_collection'!A178</f>
        <v>176</v>
      </c>
      <c r="AN399">
        <f>IF('Dry_Litterbag Placem_Collection'!L178=0,"",'Dry_Litterbag Placem_Collection'!L178)</f>
        <v>323</v>
      </c>
      <c r="AO399">
        <f>IF('Dry_Litterbag Placem_Collection'!M178=0,"",'Dry_Litterbag Placem_Collection'!M178)</f>
        <v>332</v>
      </c>
      <c r="AP399" t="b">
        <f t="shared" si="156"/>
        <v>0</v>
      </c>
      <c r="AQ399" t="b">
        <f t="shared" si="157"/>
        <v>0</v>
      </c>
      <c r="AZ399" s="401" t="b">
        <f t="shared" si="158"/>
        <v>0</v>
      </c>
      <c r="BA399" s="401" t="b">
        <f t="shared" si="159"/>
        <v>0</v>
      </c>
      <c r="BC399" t="str">
        <f>'Ashed teabags wet'!A397</f>
        <v>G882</v>
      </c>
      <c r="BD399">
        <f>'Ashed teabags wet'!A814</f>
        <v>0</v>
      </c>
      <c r="BE399" t="b">
        <f t="shared" si="160"/>
        <v>0</v>
      </c>
      <c r="BF399" t="b">
        <f t="shared" si="161"/>
        <v>1</v>
      </c>
      <c r="BG399">
        <f>IFERROR('Ashed teabags wet'!C397,"")</f>
        <v>110</v>
      </c>
      <c r="BH399">
        <f>IFERROR('Ashed teabags wet'!C814,"")</f>
        <v>0</v>
      </c>
      <c r="BI399" t="str">
        <f>'Ashed teabags wet'!AB397</f>
        <v/>
      </c>
      <c r="BJ399">
        <f>'Ashed teabags wet'!AC397</f>
        <v>109</v>
      </c>
      <c r="BK399" t="str">
        <f>'Ashed teabags wet'!AD814</f>
        <v/>
      </c>
      <c r="BL399" t="str">
        <f>'Ashed teabags wet'!AE814</f>
        <v/>
      </c>
      <c r="BN399" t="str">
        <f t="shared" si="162"/>
        <v>G881</v>
      </c>
      <c r="BO399" t="b">
        <f t="shared" si="163"/>
        <v>1</v>
      </c>
    </row>
    <row r="400" spans="2:68" ht="12" customHeight="1">
      <c r="B400" t="str">
        <f>TBIDry!H472</f>
        <v>G14</v>
      </c>
      <c r="C400" t="str">
        <f>TBIDry!I472</f>
        <v>R279</v>
      </c>
      <c r="D400" t="b">
        <f t="shared" si="144"/>
        <v>0</v>
      </c>
      <c r="E400" t="b">
        <f t="shared" si="145"/>
        <v>0</v>
      </c>
      <c r="G400" t="str">
        <f>TBIWet!H472</f>
        <v>G483</v>
      </c>
      <c r="H400" t="str">
        <f>TBIWet!I472</f>
        <v>R470</v>
      </c>
      <c r="I400" t="b">
        <f t="shared" si="146"/>
        <v>0</v>
      </c>
      <c r="J400" t="b">
        <f t="shared" si="147"/>
        <v>0</v>
      </c>
      <c r="L400" t="str">
        <f>'Both teabags AfterWet'!A399</f>
        <v>G883</v>
      </c>
      <c r="M400" t="str">
        <f>'Both teabags AfterWet'!A817</f>
        <v>R72</v>
      </c>
      <c r="N400" t="b">
        <f t="shared" si="148"/>
        <v>0</v>
      </c>
      <c r="O400" t="b">
        <f t="shared" si="149"/>
        <v>0</v>
      </c>
      <c r="P400">
        <f>IFERROR('Both teabags AfterWet'!B399,"")</f>
        <v>108</v>
      </c>
      <c r="Q400">
        <f>'Both teabags AfterWet'!B817</f>
        <v>46</v>
      </c>
      <c r="S400" s="401" t="b">
        <f t="shared" si="150"/>
        <v>0</v>
      </c>
      <c r="T400" s="401" t="b">
        <f t="shared" si="151"/>
        <v>0</v>
      </c>
      <c r="AA400" t="str">
        <f>'Green_rooibos initial weight'!A401</f>
        <v>G397</v>
      </c>
      <c r="AB400" t="str">
        <f>'Green_rooibos initial weight'!A1305</f>
        <v>R397</v>
      </c>
      <c r="AC400" t="b">
        <f t="shared" si="152"/>
        <v>0</v>
      </c>
      <c r="AD400" t="b">
        <f t="shared" si="153"/>
        <v>0</v>
      </c>
      <c r="AG400" t="str">
        <f>'WetLitterbags placem_collection'!O179</f>
        <v>G483</v>
      </c>
      <c r="AH400" t="str">
        <f>'WetLitterbags placem_collection'!Q179</f>
        <v>R470</v>
      </c>
      <c r="AI400" t="b">
        <f t="shared" si="154"/>
        <v>0</v>
      </c>
      <c r="AJ400" t="b">
        <f t="shared" si="155"/>
        <v>0</v>
      </c>
      <c r="AK400">
        <f>'WetLitterbags placem_collection'!A179</f>
        <v>177</v>
      </c>
      <c r="AL400">
        <f>'WetLitterbags placem_collection'!A179</f>
        <v>177</v>
      </c>
      <c r="AN400">
        <f>IF('Dry_Litterbag Placem_Collection'!L179=0,"",'Dry_Litterbag Placem_Collection'!L179)</f>
        <v>14</v>
      </c>
      <c r="AO400">
        <f>IF('Dry_Litterbag Placem_Collection'!M179=0,"",'Dry_Litterbag Placem_Collection'!M179)</f>
        <v>279</v>
      </c>
      <c r="AP400" t="b">
        <f t="shared" si="156"/>
        <v>0</v>
      </c>
      <c r="AQ400" t="b">
        <f t="shared" si="157"/>
        <v>0</v>
      </c>
      <c r="AZ400" s="401" t="b">
        <f t="shared" si="158"/>
        <v>0</v>
      </c>
      <c r="BA400" s="401" t="b">
        <f t="shared" si="159"/>
        <v>0</v>
      </c>
      <c r="BC400" t="str">
        <f>'Ashed teabags wet'!A398</f>
        <v>G883</v>
      </c>
      <c r="BD400">
        <f>'Ashed teabags wet'!A815</f>
        <v>0</v>
      </c>
      <c r="BE400" t="b">
        <f t="shared" si="160"/>
        <v>0</v>
      </c>
      <c r="BF400" t="b">
        <f t="shared" si="161"/>
        <v>1</v>
      </c>
      <c r="BG400">
        <f>IFERROR('Ashed teabags wet'!C398,"")</f>
        <v>108</v>
      </c>
      <c r="BH400">
        <f>IFERROR('Ashed teabags wet'!C815,"")</f>
        <v>0</v>
      </c>
      <c r="BI400">
        <f>'Ashed teabags wet'!AB398</f>
        <v>107</v>
      </c>
      <c r="BJ400" t="str">
        <f>'Ashed teabags wet'!AC398</f>
        <v/>
      </c>
      <c r="BK400" t="str">
        <f>'Ashed teabags wet'!AD815</f>
        <v/>
      </c>
      <c r="BL400" t="str">
        <f>'Ashed teabags wet'!AE815</f>
        <v/>
      </c>
      <c r="BN400" t="str">
        <f t="shared" si="162"/>
        <v>G882</v>
      </c>
      <c r="BO400" t="b">
        <f t="shared" si="163"/>
        <v>1</v>
      </c>
    </row>
    <row r="401" spans="2:67" ht="12" customHeight="1">
      <c r="B401" t="str">
        <f>TBIDry!H473</f>
        <v>G410</v>
      </c>
      <c r="C401" t="str">
        <f>TBIDry!I473</f>
        <v>R718</v>
      </c>
      <c r="D401" t="b">
        <f t="shared" si="144"/>
        <v>0</v>
      </c>
      <c r="E401" t="b">
        <f t="shared" si="145"/>
        <v>0</v>
      </c>
      <c r="G401" t="str">
        <f>TBIWet!H473</f>
        <v>G893</v>
      </c>
      <c r="H401" t="str">
        <f>TBIWet!I473</f>
        <v>R488</v>
      </c>
      <c r="I401" t="b">
        <f t="shared" si="146"/>
        <v>0</v>
      </c>
      <c r="J401" t="b">
        <f t="shared" si="147"/>
        <v>0</v>
      </c>
      <c r="L401" t="str">
        <f>'Both teabags AfterWet'!A400</f>
        <v>G884</v>
      </c>
      <c r="M401" t="str">
        <f>'Both teabags AfterWet'!A818</f>
        <v>R73</v>
      </c>
      <c r="N401" t="b">
        <f t="shared" si="148"/>
        <v>0</v>
      </c>
      <c r="O401" t="b">
        <f t="shared" si="149"/>
        <v>0</v>
      </c>
      <c r="P401">
        <f>IFERROR('Both teabags AfterWet'!B400,"")</f>
        <v>158</v>
      </c>
      <c r="Q401">
        <f>'Both teabags AfterWet'!B818</f>
        <v>91</v>
      </c>
      <c r="S401" s="401" t="b">
        <f t="shared" si="150"/>
        <v>0</v>
      </c>
      <c r="T401" s="401" t="b">
        <f t="shared" si="151"/>
        <v>0</v>
      </c>
      <c r="AA401" t="str">
        <f>'Green_rooibos initial weight'!A402</f>
        <v>G398</v>
      </c>
      <c r="AB401" t="str">
        <f>'Green_rooibos initial weight'!A1306</f>
        <v>R398</v>
      </c>
      <c r="AC401" t="b">
        <f t="shared" si="152"/>
        <v>0</v>
      </c>
      <c r="AD401" t="b">
        <f t="shared" si="153"/>
        <v>0</v>
      </c>
      <c r="AG401" t="str">
        <f>'WetLitterbags placem_collection'!O180</f>
        <v>G893</v>
      </c>
      <c r="AH401" t="str">
        <f>'WetLitterbags placem_collection'!Q180</f>
        <v>R488</v>
      </c>
      <c r="AI401" t="b">
        <f t="shared" si="154"/>
        <v>0</v>
      </c>
      <c r="AJ401" t="b">
        <f t="shared" si="155"/>
        <v>0</v>
      </c>
      <c r="AK401">
        <f>'WetLitterbags placem_collection'!A180</f>
        <v>178</v>
      </c>
      <c r="AL401">
        <f>'WetLitterbags placem_collection'!A180</f>
        <v>178</v>
      </c>
      <c r="AN401">
        <f>IF('Dry_Litterbag Placem_Collection'!L180=0,"",'Dry_Litterbag Placem_Collection'!L180)</f>
        <v>410</v>
      </c>
      <c r="AO401">
        <f>IF('Dry_Litterbag Placem_Collection'!M180=0,"",'Dry_Litterbag Placem_Collection'!M180)</f>
        <v>718</v>
      </c>
      <c r="AP401" t="b">
        <f t="shared" si="156"/>
        <v>0</v>
      </c>
      <c r="AQ401" t="b">
        <f t="shared" si="157"/>
        <v>0</v>
      </c>
      <c r="AZ401" s="401" t="b">
        <f t="shared" si="158"/>
        <v>0</v>
      </c>
      <c r="BA401" s="401" t="b">
        <f t="shared" si="159"/>
        <v>0</v>
      </c>
      <c r="BC401" t="str">
        <f>'Ashed teabags wet'!A399</f>
        <v>G884</v>
      </c>
      <c r="BD401">
        <f>'Ashed teabags wet'!A816</f>
        <v>0</v>
      </c>
      <c r="BE401" t="b">
        <f t="shared" si="160"/>
        <v>0</v>
      </c>
      <c r="BF401" t="b">
        <f t="shared" si="161"/>
        <v>1</v>
      </c>
      <c r="BG401">
        <f>IFERROR('Ashed teabags wet'!C399,"")</f>
        <v>158</v>
      </c>
      <c r="BH401">
        <f>IFERROR('Ashed teabags wet'!C816,"")</f>
        <v>0</v>
      </c>
      <c r="BI401" t="str">
        <f>'Ashed teabags wet'!AB399</f>
        <v/>
      </c>
      <c r="BJ401">
        <f>'Ashed teabags wet'!AC399</f>
        <v>157</v>
      </c>
      <c r="BK401" t="str">
        <f>'Ashed teabags wet'!AD816</f>
        <v/>
      </c>
      <c r="BL401" t="str">
        <f>'Ashed teabags wet'!AE816</f>
        <v/>
      </c>
      <c r="BN401" t="str">
        <f t="shared" si="162"/>
        <v>G883</v>
      </c>
      <c r="BO401" t="b">
        <f t="shared" si="163"/>
        <v>1</v>
      </c>
    </row>
    <row r="402" spans="2:67" ht="12" customHeight="1">
      <c r="B402" t="str">
        <f>TBIDry!H474</f>
        <v>G78</v>
      </c>
      <c r="C402" t="str">
        <f>TBIDry!I474</f>
        <v>R640</v>
      </c>
      <c r="D402" t="b">
        <f t="shared" si="144"/>
        <v>0</v>
      </c>
      <c r="E402" t="b">
        <f t="shared" si="145"/>
        <v>0</v>
      </c>
      <c r="G402" t="str">
        <f>TBIWet!H474</f>
        <v>G826</v>
      </c>
      <c r="H402" t="str">
        <f>TBIWet!I474</f>
        <v>R273</v>
      </c>
      <c r="I402" t="b">
        <f t="shared" si="146"/>
        <v>0</v>
      </c>
      <c r="J402" t="b">
        <f t="shared" si="147"/>
        <v>0</v>
      </c>
      <c r="L402" t="str">
        <f>'Both teabags AfterWet'!A401</f>
        <v>G885</v>
      </c>
      <c r="M402" t="str">
        <f>'Both teabags AfterWet'!A819</f>
        <v>R74</v>
      </c>
      <c r="N402" t="b">
        <f t="shared" si="148"/>
        <v>0</v>
      </c>
      <c r="O402" t="b">
        <f t="shared" si="149"/>
        <v>0</v>
      </c>
      <c r="P402" t="str">
        <f>IFERROR('Both teabags AfterWet'!B401,"")</f>
        <v>n.a</v>
      </c>
      <c r="Q402">
        <f>'Both teabags AfterWet'!B819</f>
        <v>45</v>
      </c>
      <c r="S402" s="401" t="b">
        <f t="shared" si="150"/>
        <v>0</v>
      </c>
      <c r="T402" s="401" t="b">
        <f t="shared" si="151"/>
        <v>0</v>
      </c>
      <c r="AA402" t="str">
        <f>'Green_rooibos initial weight'!A403</f>
        <v>G399</v>
      </c>
      <c r="AB402" t="str">
        <f>'Green_rooibos initial weight'!A1307</f>
        <v>R399</v>
      </c>
      <c r="AC402" t="b">
        <f t="shared" si="152"/>
        <v>0</v>
      </c>
      <c r="AD402" t="b">
        <f t="shared" si="153"/>
        <v>0</v>
      </c>
      <c r="AG402" t="str">
        <f>'WetLitterbags placem_collection'!O181</f>
        <v>G826</v>
      </c>
      <c r="AH402" t="str">
        <f>'WetLitterbags placem_collection'!Q181</f>
        <v>R273</v>
      </c>
      <c r="AI402" t="b">
        <f t="shared" si="154"/>
        <v>0</v>
      </c>
      <c r="AJ402" t="b">
        <f t="shared" si="155"/>
        <v>0</v>
      </c>
      <c r="AK402">
        <f>'WetLitterbags placem_collection'!A181</f>
        <v>179</v>
      </c>
      <c r="AL402">
        <f>'WetLitterbags placem_collection'!A181</f>
        <v>179</v>
      </c>
      <c r="AN402">
        <f>IF('Dry_Litterbag Placem_Collection'!L181=0,"",'Dry_Litterbag Placem_Collection'!L181)</f>
        <v>78</v>
      </c>
      <c r="AO402">
        <f>IF('Dry_Litterbag Placem_Collection'!M181=0,"",'Dry_Litterbag Placem_Collection'!M181)</f>
        <v>640</v>
      </c>
      <c r="AP402" t="b">
        <f t="shared" si="156"/>
        <v>0</v>
      </c>
      <c r="AQ402" t="b">
        <f t="shared" si="157"/>
        <v>0</v>
      </c>
      <c r="AZ402" s="401" t="b">
        <f t="shared" si="158"/>
        <v>0</v>
      </c>
      <c r="BA402" s="401" t="b">
        <f t="shared" si="159"/>
        <v>0</v>
      </c>
      <c r="BC402" t="str">
        <f>'Ashed teabags wet'!A400</f>
        <v>G885</v>
      </c>
      <c r="BD402">
        <f>'Ashed teabags wet'!A817</f>
        <v>0</v>
      </c>
      <c r="BE402" t="b">
        <f t="shared" si="160"/>
        <v>0</v>
      </c>
      <c r="BF402" t="b">
        <f t="shared" si="161"/>
        <v>1</v>
      </c>
      <c r="BG402">
        <f>IFERROR('Ashed teabags wet'!C400,"")</f>
        <v>153</v>
      </c>
      <c r="BH402">
        <f>IFERROR('Ashed teabags wet'!C817,"")</f>
        <v>0</v>
      </c>
      <c r="BI402" t="str">
        <f>'Ashed teabags wet'!AB400</f>
        <v/>
      </c>
      <c r="BJ402">
        <f>'Ashed teabags wet'!AC400</f>
        <v>152</v>
      </c>
      <c r="BK402" t="str">
        <f>'Ashed teabags wet'!AD817</f>
        <v/>
      </c>
      <c r="BL402" t="str">
        <f>'Ashed teabags wet'!AE817</f>
        <v/>
      </c>
      <c r="BN402" t="str">
        <f t="shared" si="162"/>
        <v>G884</v>
      </c>
      <c r="BO402" t="b">
        <f t="shared" si="163"/>
        <v>1</v>
      </c>
    </row>
    <row r="403" spans="2:67" ht="12" customHeight="1">
      <c r="B403" t="str">
        <f>TBIDry!H475</f>
        <v>G422</v>
      </c>
      <c r="C403" t="str">
        <f>TBIDry!I475</f>
        <v>R669</v>
      </c>
      <c r="D403" t="b">
        <f t="shared" si="144"/>
        <v>0</v>
      </c>
      <c r="E403" t="b">
        <f t="shared" si="145"/>
        <v>0</v>
      </c>
      <c r="G403" t="str">
        <f>TBIWet!H475</f>
        <v>G783</v>
      </c>
      <c r="H403" t="str">
        <f>TBIWet!I475</f>
        <v>R301</v>
      </c>
      <c r="I403" t="b">
        <f t="shared" si="146"/>
        <v>0</v>
      </c>
      <c r="J403" t="b">
        <f t="shared" si="147"/>
        <v>0</v>
      </c>
      <c r="L403" t="str">
        <f>'Both teabags AfterWet'!A402</f>
        <v>G886</v>
      </c>
      <c r="M403" t="str">
        <f>'Both teabags AfterWet'!A820</f>
        <v>R76</v>
      </c>
      <c r="N403" t="b">
        <f t="shared" si="148"/>
        <v>0</v>
      </c>
      <c r="O403" t="b">
        <f t="shared" si="149"/>
        <v>0</v>
      </c>
      <c r="P403" t="str">
        <f>IFERROR('Both teabags AfterWet'!B402,"")</f>
        <v>n.a</v>
      </c>
      <c r="Q403">
        <f>'Both teabags AfterWet'!B820</f>
        <v>47</v>
      </c>
      <c r="S403" s="401" t="b">
        <f t="shared" si="150"/>
        <v>0</v>
      </c>
      <c r="T403" s="401" t="b">
        <f t="shared" si="151"/>
        <v>0</v>
      </c>
      <c r="AA403" t="str">
        <f>'Green_rooibos initial weight'!A404</f>
        <v>G400</v>
      </c>
      <c r="AB403" t="str">
        <f>'Green_rooibos initial weight'!A1308</f>
        <v>R400</v>
      </c>
      <c r="AC403" t="b">
        <f t="shared" si="152"/>
        <v>0</v>
      </c>
      <c r="AD403" t="b">
        <f t="shared" si="153"/>
        <v>0</v>
      </c>
      <c r="AG403" t="str">
        <f>'WetLitterbags placem_collection'!O182</f>
        <v>G783</v>
      </c>
      <c r="AH403" t="str">
        <f>'WetLitterbags placem_collection'!Q182</f>
        <v>R301</v>
      </c>
      <c r="AI403" t="b">
        <f t="shared" si="154"/>
        <v>0</v>
      </c>
      <c r="AJ403" t="b">
        <f t="shared" si="155"/>
        <v>0</v>
      </c>
      <c r="AK403">
        <f>'WetLitterbags placem_collection'!A182</f>
        <v>180</v>
      </c>
      <c r="AL403">
        <f>'WetLitterbags placem_collection'!A182</f>
        <v>180</v>
      </c>
      <c r="AN403">
        <f>IF('Dry_Litterbag Placem_Collection'!L182=0,"",'Dry_Litterbag Placem_Collection'!L182)</f>
        <v>422</v>
      </c>
      <c r="AO403">
        <f>IF('Dry_Litterbag Placem_Collection'!M182=0,"",'Dry_Litterbag Placem_Collection'!M182)</f>
        <v>669</v>
      </c>
      <c r="AP403" t="b">
        <f t="shared" si="156"/>
        <v>0</v>
      </c>
      <c r="AQ403" t="b">
        <f t="shared" si="157"/>
        <v>0</v>
      </c>
      <c r="AZ403" s="401" t="b">
        <f t="shared" si="158"/>
        <v>0</v>
      </c>
      <c r="BA403" s="401" t="b">
        <f t="shared" si="159"/>
        <v>0</v>
      </c>
      <c r="BC403" t="str">
        <f>'Ashed teabags wet'!A401</f>
        <v>G886</v>
      </c>
      <c r="BD403">
        <f>'Ashed teabags wet'!A818</f>
        <v>0</v>
      </c>
      <c r="BE403" t="b">
        <f t="shared" si="160"/>
        <v>0</v>
      </c>
      <c r="BF403" t="b">
        <f t="shared" si="161"/>
        <v>1</v>
      </c>
      <c r="BG403">
        <f>IFERROR('Ashed teabags wet'!C401,"")</f>
        <v>196</v>
      </c>
      <c r="BH403">
        <f>IFERROR('Ashed teabags wet'!C818,"")</f>
        <v>0</v>
      </c>
      <c r="BI403" t="str">
        <f>'Ashed teabags wet'!AB401</f>
        <v/>
      </c>
      <c r="BJ403">
        <f>'Ashed teabags wet'!AC401</f>
        <v>195</v>
      </c>
      <c r="BK403" t="str">
        <f>'Ashed teabags wet'!AD818</f>
        <v/>
      </c>
      <c r="BL403" t="str">
        <f>'Ashed teabags wet'!AE818</f>
        <v/>
      </c>
      <c r="BN403" t="str">
        <f t="shared" si="162"/>
        <v>G885</v>
      </c>
      <c r="BO403" t="b">
        <f t="shared" si="163"/>
        <v>1</v>
      </c>
    </row>
    <row r="404" spans="2:67" ht="12" customHeight="1">
      <c r="B404" t="str">
        <f>TBIDry!H476</f>
        <v>G870</v>
      </c>
      <c r="C404" t="str">
        <f>TBIDry!I476</f>
        <v>R170</v>
      </c>
      <c r="D404" t="b">
        <f t="shared" si="144"/>
        <v>0</v>
      </c>
      <c r="E404" t="b">
        <f t="shared" si="145"/>
        <v>0</v>
      </c>
      <c r="G404" t="str">
        <f>TBIWet!H476</f>
        <v>G551</v>
      </c>
      <c r="H404" t="str">
        <f>TBIWet!I476</f>
        <v>R291</v>
      </c>
      <c r="I404" t="b">
        <f t="shared" si="146"/>
        <v>0</v>
      </c>
      <c r="J404" t="b">
        <f t="shared" si="147"/>
        <v>0</v>
      </c>
      <c r="L404" t="str">
        <f>'Both teabags AfterWet'!A403</f>
        <v>G887</v>
      </c>
      <c r="M404" s="113" t="str">
        <f>'Both teabags AfterWet'!A821</f>
        <v>R763</v>
      </c>
      <c r="N404" t="b">
        <f t="shared" si="148"/>
        <v>0</v>
      </c>
      <c r="O404" t="b">
        <f t="shared" si="149"/>
        <v>0</v>
      </c>
      <c r="P404">
        <f>IFERROR('Both teabags AfterWet'!B403,"")</f>
        <v>109</v>
      </c>
      <c r="Q404">
        <f>'Both teabags AfterWet'!B821</f>
        <v>92</v>
      </c>
      <c r="S404" s="401" t="b">
        <f t="shared" si="150"/>
        <v>0</v>
      </c>
      <c r="T404" s="113" t="b">
        <f t="shared" si="151"/>
        <v>1</v>
      </c>
      <c r="AA404" t="str">
        <f>'Green_rooibos initial weight'!A405</f>
        <v>G401</v>
      </c>
      <c r="AB404" t="str">
        <f>'Green_rooibos initial weight'!A1309</f>
        <v>R401</v>
      </c>
      <c r="AC404" t="b">
        <f t="shared" si="152"/>
        <v>0</v>
      </c>
      <c r="AD404" t="b">
        <f t="shared" si="153"/>
        <v>0</v>
      </c>
      <c r="AG404" t="str">
        <f>'WetLitterbags placem_collection'!O183</f>
        <v>G551</v>
      </c>
      <c r="AH404" t="str">
        <f>'WetLitterbags placem_collection'!Q183</f>
        <v>R291</v>
      </c>
      <c r="AI404" t="b">
        <f t="shared" si="154"/>
        <v>0</v>
      </c>
      <c r="AJ404" t="b">
        <f t="shared" si="155"/>
        <v>0</v>
      </c>
      <c r="AK404">
        <f>'WetLitterbags placem_collection'!A183</f>
        <v>181</v>
      </c>
      <c r="AL404">
        <f>'WetLitterbags placem_collection'!A183</f>
        <v>181</v>
      </c>
      <c r="AN404">
        <f>IF('Dry_Litterbag Placem_Collection'!L183=0,"",'Dry_Litterbag Placem_Collection'!L183)</f>
        <v>870</v>
      </c>
      <c r="AO404">
        <f>IF('Dry_Litterbag Placem_Collection'!M183=0,"",'Dry_Litterbag Placem_Collection'!M183)</f>
        <v>170</v>
      </c>
      <c r="AP404" t="b">
        <f t="shared" si="156"/>
        <v>0</v>
      </c>
      <c r="AQ404" t="b">
        <f t="shared" si="157"/>
        <v>0</v>
      </c>
      <c r="AZ404" s="401" t="b">
        <f t="shared" si="158"/>
        <v>0</v>
      </c>
      <c r="BA404" s="401" t="b">
        <f t="shared" si="159"/>
        <v>0</v>
      </c>
      <c r="BC404" t="str">
        <f>'Ashed teabags wet'!A402</f>
        <v>G887</v>
      </c>
      <c r="BD404">
        <f>'Ashed teabags wet'!A819</f>
        <v>0</v>
      </c>
      <c r="BE404" t="b">
        <f t="shared" si="160"/>
        <v>0</v>
      </c>
      <c r="BF404" t="b">
        <f t="shared" si="161"/>
        <v>1</v>
      </c>
      <c r="BG404">
        <f>IFERROR('Ashed teabags wet'!C402,"")</f>
        <v>106</v>
      </c>
      <c r="BH404">
        <f>IFERROR('Ashed teabags wet'!C819,"")</f>
        <v>0</v>
      </c>
      <c r="BI404" t="str">
        <f>'Ashed teabags wet'!AB402</f>
        <v/>
      </c>
      <c r="BJ404">
        <f>'Ashed teabags wet'!AC402</f>
        <v>108</v>
      </c>
      <c r="BK404" t="str">
        <f>'Ashed teabags wet'!AD819</f>
        <v/>
      </c>
      <c r="BL404" t="str">
        <f>'Ashed teabags wet'!AE819</f>
        <v/>
      </c>
      <c r="BN404" t="str">
        <f t="shared" si="162"/>
        <v>G886</v>
      </c>
      <c r="BO404" t="b">
        <f t="shared" si="163"/>
        <v>1</v>
      </c>
    </row>
    <row r="405" spans="2:67" ht="12" customHeight="1">
      <c r="B405" t="str">
        <f>TBIDry!H477</f>
        <v>G136</v>
      </c>
      <c r="C405" t="str">
        <f>TBIDry!I477</f>
        <v>R697</v>
      </c>
      <c r="D405" t="b">
        <f t="shared" si="144"/>
        <v>0</v>
      </c>
      <c r="E405" t="b">
        <f t="shared" si="145"/>
        <v>0</v>
      </c>
      <c r="G405" t="str">
        <f>TBIWet!H477</f>
        <v>G818</v>
      </c>
      <c r="H405" t="str">
        <f>TBIWet!I477</f>
        <v>R537</v>
      </c>
      <c r="I405" t="b">
        <f t="shared" si="146"/>
        <v>0</v>
      </c>
      <c r="J405" t="b">
        <f t="shared" si="147"/>
        <v>0</v>
      </c>
      <c r="L405" t="str">
        <f>'Both teabags AfterWet'!A404</f>
        <v>G888</v>
      </c>
      <c r="M405" t="str">
        <f>'Both teabags AfterWet'!A822</f>
        <v>R77</v>
      </c>
      <c r="N405" t="b">
        <f t="shared" si="148"/>
        <v>0</v>
      </c>
      <c r="O405" t="b">
        <f t="shared" si="149"/>
        <v>0</v>
      </c>
      <c r="P405">
        <f>IFERROR('Both teabags AfterWet'!B404,"")</f>
        <v>129</v>
      </c>
      <c r="Q405">
        <f>'Both teabags AfterWet'!B822</f>
        <v>41</v>
      </c>
      <c r="S405" s="401" t="b">
        <f t="shared" si="150"/>
        <v>0</v>
      </c>
      <c r="T405" s="401" t="b">
        <f t="shared" si="151"/>
        <v>0</v>
      </c>
      <c r="AA405" t="str">
        <f>'Green_rooibos initial weight'!A406</f>
        <v>G402</v>
      </c>
      <c r="AB405" t="str">
        <f>'Green_rooibos initial weight'!A1310</f>
        <v>R402</v>
      </c>
      <c r="AC405" t="b">
        <f t="shared" si="152"/>
        <v>0</v>
      </c>
      <c r="AD405" t="b">
        <f t="shared" si="153"/>
        <v>0</v>
      </c>
      <c r="AG405" t="str">
        <f>'WetLitterbags placem_collection'!O184</f>
        <v>G818</v>
      </c>
      <c r="AH405" t="str">
        <f>'WetLitterbags placem_collection'!Q184</f>
        <v>R537</v>
      </c>
      <c r="AI405" t="b">
        <f t="shared" si="154"/>
        <v>0</v>
      </c>
      <c r="AJ405" t="b">
        <f t="shared" si="155"/>
        <v>0</v>
      </c>
      <c r="AK405">
        <f>'WetLitterbags placem_collection'!A184</f>
        <v>182</v>
      </c>
      <c r="AL405">
        <f>'WetLitterbags placem_collection'!A184</f>
        <v>182</v>
      </c>
      <c r="AN405">
        <f>IF('Dry_Litterbag Placem_Collection'!L184=0,"",'Dry_Litterbag Placem_Collection'!L184)</f>
        <v>136</v>
      </c>
      <c r="AO405">
        <f>IF('Dry_Litterbag Placem_Collection'!M184=0,"",'Dry_Litterbag Placem_Collection'!M184)</f>
        <v>697</v>
      </c>
      <c r="AP405" t="b">
        <f t="shared" si="156"/>
        <v>0</v>
      </c>
      <c r="AQ405" t="b">
        <f t="shared" si="157"/>
        <v>0</v>
      </c>
      <c r="AZ405" s="401" t="b">
        <f t="shared" si="158"/>
        <v>0</v>
      </c>
      <c r="BA405" s="401" t="b">
        <f t="shared" si="159"/>
        <v>0</v>
      </c>
      <c r="BC405" t="str">
        <f>'Ashed teabags wet'!A403</f>
        <v>G888</v>
      </c>
      <c r="BD405">
        <f>'Ashed teabags wet'!A820</f>
        <v>0</v>
      </c>
      <c r="BE405" t="b">
        <f t="shared" si="160"/>
        <v>0</v>
      </c>
      <c r="BF405" t="b">
        <f t="shared" si="161"/>
        <v>1</v>
      </c>
      <c r="BG405">
        <f>IFERROR('Ashed teabags wet'!C403,"")</f>
        <v>129</v>
      </c>
      <c r="BH405">
        <f>IFERROR('Ashed teabags wet'!C820,"")</f>
        <v>0</v>
      </c>
      <c r="BI405" t="str">
        <f>'Ashed teabags wet'!AB403</f>
        <v/>
      </c>
      <c r="BJ405">
        <f>'Ashed teabags wet'!AC403</f>
        <v>128</v>
      </c>
      <c r="BK405">
        <f>'Ashed teabags wet'!AD820</f>
        <v>0</v>
      </c>
      <c r="BL405">
        <f>'Ashed teabags wet'!AE820</f>
        <v>0</v>
      </c>
      <c r="BN405" t="str">
        <f t="shared" si="162"/>
        <v>G887</v>
      </c>
      <c r="BO405" t="b">
        <f t="shared" si="163"/>
        <v>1</v>
      </c>
    </row>
    <row r="406" spans="2:67" ht="12" customHeight="1">
      <c r="B406" t="str">
        <f>TBIDry!H478</f>
        <v/>
      </c>
      <c r="C406" t="str">
        <f>TBIDry!I478</f>
        <v/>
      </c>
      <c r="D406" t="b">
        <f t="shared" si="144"/>
        <v>1</v>
      </c>
      <c r="E406" t="b">
        <f t="shared" si="145"/>
        <v>1</v>
      </c>
      <c r="G406" t="str">
        <f>TBIWet!H478</f>
        <v>G896</v>
      </c>
      <c r="H406" t="str">
        <f>TBIWet!I478</f>
        <v>R290</v>
      </c>
      <c r="I406" t="b">
        <f t="shared" si="146"/>
        <v>0</v>
      </c>
      <c r="J406" t="b">
        <f t="shared" si="147"/>
        <v>0</v>
      </c>
      <c r="L406" t="str">
        <f>'Both teabags AfterWet'!A405</f>
        <v>G889</v>
      </c>
      <c r="M406" t="str">
        <f>'Both teabags AfterWet'!A823</f>
        <v>R78</v>
      </c>
      <c r="N406" t="b">
        <f t="shared" si="148"/>
        <v>0</v>
      </c>
      <c r="O406" t="b">
        <f t="shared" si="149"/>
        <v>0</v>
      </c>
      <c r="P406">
        <f>IFERROR('Both teabags AfterWet'!B405,"")</f>
        <v>114</v>
      </c>
      <c r="Q406">
        <f>'Both teabags AfterWet'!B823</f>
        <v>60</v>
      </c>
      <c r="S406" s="401" t="b">
        <f t="shared" si="150"/>
        <v>0</v>
      </c>
      <c r="T406" s="401" t="b">
        <f t="shared" si="151"/>
        <v>0</v>
      </c>
      <c r="AA406" t="str">
        <f>'Green_rooibos initial weight'!A407</f>
        <v>G403</v>
      </c>
      <c r="AB406" t="str">
        <f>'Green_rooibos initial weight'!A1311</f>
        <v>R403</v>
      </c>
      <c r="AC406" t="b">
        <f t="shared" si="152"/>
        <v>0</v>
      </c>
      <c r="AD406" t="b">
        <f t="shared" si="153"/>
        <v>0</v>
      </c>
      <c r="AG406" t="str">
        <f>'WetLitterbags placem_collection'!O185</f>
        <v>G896</v>
      </c>
      <c r="AH406" t="str">
        <f>'WetLitterbags placem_collection'!Q185</f>
        <v>R290</v>
      </c>
      <c r="AI406" t="b">
        <f t="shared" si="154"/>
        <v>0</v>
      </c>
      <c r="AJ406" t="b">
        <f t="shared" si="155"/>
        <v>0</v>
      </c>
      <c r="AK406">
        <f>'WetLitterbags placem_collection'!A185</f>
        <v>183</v>
      </c>
      <c r="AL406">
        <f>'WetLitterbags placem_collection'!A185</f>
        <v>183</v>
      </c>
      <c r="AN406" t="str">
        <f>IF('Dry_Litterbag Placem_Collection'!L185=0,"",'Dry_Litterbag Placem_Collection'!L185)</f>
        <v/>
      </c>
      <c r="AO406" t="str">
        <f>IF('Dry_Litterbag Placem_Collection'!M185=0,"",'Dry_Litterbag Placem_Collection'!M185)</f>
        <v/>
      </c>
      <c r="AP406" t="b">
        <f t="shared" si="156"/>
        <v>1</v>
      </c>
      <c r="AQ406" t="b">
        <f t="shared" si="157"/>
        <v>1</v>
      </c>
      <c r="AZ406" s="401" t="b">
        <f t="shared" si="158"/>
        <v>0</v>
      </c>
      <c r="BA406" s="401" t="b">
        <f t="shared" si="159"/>
        <v>0</v>
      </c>
      <c r="BC406" t="str">
        <f>'Ashed teabags wet'!A404</f>
        <v>G889</v>
      </c>
      <c r="BD406">
        <f>'Ashed teabags wet'!A821</f>
        <v>0</v>
      </c>
      <c r="BE406" t="b">
        <f t="shared" si="160"/>
        <v>0</v>
      </c>
      <c r="BF406" t="b">
        <f t="shared" si="161"/>
        <v>1</v>
      </c>
      <c r="BG406">
        <f>IFERROR('Ashed teabags wet'!C404,"")</f>
        <v>114</v>
      </c>
      <c r="BH406">
        <f>IFERROR('Ashed teabags wet'!C821,"")</f>
        <v>0</v>
      </c>
      <c r="BI406" t="str">
        <f>'Ashed teabags wet'!AB404</f>
        <v/>
      </c>
      <c r="BJ406">
        <f>'Ashed teabags wet'!AC404</f>
        <v>113</v>
      </c>
      <c r="BK406">
        <f>'Ashed teabags wet'!AD821</f>
        <v>0</v>
      </c>
      <c r="BL406">
        <f>'Ashed teabags wet'!AE821</f>
        <v>0</v>
      </c>
      <c r="BN406" t="str">
        <f t="shared" si="162"/>
        <v>G888</v>
      </c>
      <c r="BO406" t="b">
        <f t="shared" si="163"/>
        <v>1</v>
      </c>
    </row>
    <row r="407" spans="2:67" ht="12" customHeight="1">
      <c r="B407" t="str">
        <f>TBIDry!H479</f>
        <v>G266</v>
      </c>
      <c r="C407" t="str">
        <f>TBIDry!I479</f>
        <v>R674</v>
      </c>
      <c r="D407" t="b">
        <f t="shared" si="144"/>
        <v>0</v>
      </c>
      <c r="E407" t="b">
        <f t="shared" si="145"/>
        <v>0</v>
      </c>
      <c r="G407" t="str">
        <f>TBIWet!H479</f>
        <v>G337</v>
      </c>
      <c r="H407" t="str">
        <f>TBIWet!I479</f>
        <v>R555</v>
      </c>
      <c r="I407" t="b">
        <f t="shared" si="146"/>
        <v>0</v>
      </c>
      <c r="J407" t="b">
        <f t="shared" si="147"/>
        <v>0</v>
      </c>
      <c r="L407" t="str">
        <f>'Both teabags AfterWet'!A406</f>
        <v>G890</v>
      </c>
      <c r="M407" t="str">
        <f>'Both teabags AfterWet'!A824</f>
        <v>R79</v>
      </c>
      <c r="N407" t="b">
        <f t="shared" si="148"/>
        <v>0</v>
      </c>
      <c r="O407" t="b">
        <f t="shared" si="149"/>
        <v>0</v>
      </c>
      <c r="P407">
        <f>IFERROR('Both teabags AfterWet'!B406,"")</f>
        <v>157</v>
      </c>
      <c r="Q407">
        <f>'Both teabags AfterWet'!B824</f>
        <v>21</v>
      </c>
      <c r="S407" s="401" t="b">
        <f t="shared" si="150"/>
        <v>0</v>
      </c>
      <c r="T407" s="401" t="b">
        <f t="shared" si="151"/>
        <v>0</v>
      </c>
      <c r="AA407" t="str">
        <f>'Green_rooibos initial weight'!A408</f>
        <v>G404</v>
      </c>
      <c r="AB407" t="str">
        <f>'Green_rooibos initial weight'!A1312</f>
        <v>R404</v>
      </c>
      <c r="AC407" t="b">
        <f t="shared" si="152"/>
        <v>0</v>
      </c>
      <c r="AD407" t="b">
        <f t="shared" si="153"/>
        <v>0</v>
      </c>
      <c r="AG407" t="str">
        <f>'WetLitterbags placem_collection'!O186</f>
        <v>G337</v>
      </c>
      <c r="AH407" t="str">
        <f>'WetLitterbags placem_collection'!Q186</f>
        <v>R555</v>
      </c>
      <c r="AI407" t="b">
        <f t="shared" si="154"/>
        <v>0</v>
      </c>
      <c r="AJ407" t="b">
        <f t="shared" si="155"/>
        <v>0</v>
      </c>
      <c r="AK407">
        <f>'WetLitterbags placem_collection'!A186</f>
        <v>184</v>
      </c>
      <c r="AL407">
        <f>'WetLitterbags placem_collection'!A186</f>
        <v>184</v>
      </c>
      <c r="AN407">
        <f>IF('Dry_Litterbag Placem_Collection'!L186=0,"",'Dry_Litterbag Placem_Collection'!L186)</f>
        <v>266</v>
      </c>
      <c r="AO407">
        <f>IF('Dry_Litterbag Placem_Collection'!M186=0,"",'Dry_Litterbag Placem_Collection'!M186)</f>
        <v>674</v>
      </c>
      <c r="AP407" t="b">
        <f t="shared" si="156"/>
        <v>0</v>
      </c>
      <c r="AQ407" t="b">
        <f t="shared" si="157"/>
        <v>0</v>
      </c>
      <c r="AZ407" s="401" t="b">
        <f t="shared" si="158"/>
        <v>0</v>
      </c>
      <c r="BA407" s="401" t="b">
        <f t="shared" si="159"/>
        <v>0</v>
      </c>
      <c r="BC407" t="str">
        <f>'Ashed teabags wet'!A405</f>
        <v>G890</v>
      </c>
      <c r="BD407">
        <f>'Ashed teabags wet'!A822</f>
        <v>0</v>
      </c>
      <c r="BE407" t="b">
        <f t="shared" si="160"/>
        <v>0</v>
      </c>
      <c r="BF407" t="b">
        <f t="shared" si="161"/>
        <v>1</v>
      </c>
      <c r="BG407">
        <f>IFERROR('Ashed teabags wet'!C405,"")</f>
        <v>157</v>
      </c>
      <c r="BH407">
        <f>IFERROR('Ashed teabags wet'!C822,"")</f>
        <v>0</v>
      </c>
      <c r="BI407">
        <f>'Ashed teabags wet'!AB405</f>
        <v>156</v>
      </c>
      <c r="BJ407" t="str">
        <f>'Ashed teabags wet'!AC405</f>
        <v/>
      </c>
      <c r="BK407">
        <f>'Ashed teabags wet'!AD822</f>
        <v>0</v>
      </c>
      <c r="BL407">
        <f>'Ashed teabags wet'!AE822</f>
        <v>0</v>
      </c>
      <c r="BN407" t="str">
        <f t="shared" si="162"/>
        <v>G889</v>
      </c>
      <c r="BO407" t="b">
        <f t="shared" si="163"/>
        <v>1</v>
      </c>
    </row>
    <row r="408" spans="2:67" ht="12" customHeight="1">
      <c r="B408" t="str">
        <f>TBIDry!H480</f>
        <v>G165</v>
      </c>
      <c r="C408" t="str">
        <f>TBIDry!I480</f>
        <v>R607</v>
      </c>
      <c r="D408" t="b">
        <f t="shared" si="144"/>
        <v>0</v>
      </c>
      <c r="E408" t="b">
        <f t="shared" si="145"/>
        <v>0</v>
      </c>
      <c r="G408" t="str">
        <f>TBIWet!H480</f>
        <v>G564</v>
      </c>
      <c r="H408" t="str">
        <f>TBIWet!I480</f>
        <v>R539</v>
      </c>
      <c r="I408" t="b">
        <f t="shared" si="146"/>
        <v>0</v>
      </c>
      <c r="J408" t="b">
        <f t="shared" si="147"/>
        <v>0</v>
      </c>
      <c r="L408" t="str">
        <f>'Both teabags AfterWet'!A407</f>
        <v>G891</v>
      </c>
      <c r="M408" t="str">
        <f>'Both teabags AfterWet'!A825</f>
        <v>R8</v>
      </c>
      <c r="N408" t="b">
        <f t="shared" si="148"/>
        <v>0</v>
      </c>
      <c r="O408" t="b">
        <f t="shared" si="149"/>
        <v>0</v>
      </c>
      <c r="P408">
        <f>IFERROR('Both teabags AfterWet'!B407,"")</f>
        <v>207</v>
      </c>
      <c r="Q408">
        <f>'Both teabags AfterWet'!B825</f>
        <v>108</v>
      </c>
      <c r="S408" s="401" t="b">
        <f t="shared" si="150"/>
        <v>0</v>
      </c>
      <c r="T408" s="401" t="b">
        <f t="shared" si="151"/>
        <v>0</v>
      </c>
      <c r="AA408" t="str">
        <f>'Green_rooibos initial weight'!A409</f>
        <v>G405</v>
      </c>
      <c r="AB408" t="str">
        <f>'Green_rooibos initial weight'!A1313</f>
        <v>R405</v>
      </c>
      <c r="AC408" t="b">
        <f t="shared" si="152"/>
        <v>0</v>
      </c>
      <c r="AD408" t="b">
        <f t="shared" si="153"/>
        <v>0</v>
      </c>
      <c r="AG408" t="str">
        <f>'WetLitterbags placem_collection'!O187</f>
        <v>G564</v>
      </c>
      <c r="AH408" t="str">
        <f>'WetLitterbags placem_collection'!Q187</f>
        <v>R539</v>
      </c>
      <c r="AI408" t="b">
        <f t="shared" si="154"/>
        <v>0</v>
      </c>
      <c r="AJ408" t="b">
        <f t="shared" si="155"/>
        <v>0</v>
      </c>
      <c r="AK408">
        <f>'WetLitterbags placem_collection'!A187</f>
        <v>185</v>
      </c>
      <c r="AL408">
        <f>'WetLitterbags placem_collection'!A187</f>
        <v>185</v>
      </c>
      <c r="AN408">
        <f>IF('Dry_Litterbag Placem_Collection'!L187=0,"",'Dry_Litterbag Placem_Collection'!L187)</f>
        <v>165</v>
      </c>
      <c r="AO408">
        <f>IF('Dry_Litterbag Placem_Collection'!M187=0,"",'Dry_Litterbag Placem_Collection'!M187)</f>
        <v>607</v>
      </c>
      <c r="AP408" t="b">
        <f t="shared" si="156"/>
        <v>0</v>
      </c>
      <c r="AQ408" t="b">
        <f t="shared" si="157"/>
        <v>0</v>
      </c>
      <c r="AZ408" s="401" t="b">
        <f t="shared" si="158"/>
        <v>0</v>
      </c>
      <c r="BA408" s="401" t="b">
        <f t="shared" si="159"/>
        <v>0</v>
      </c>
      <c r="BC408" t="str">
        <f>'Ashed teabags wet'!A406</f>
        <v>G891</v>
      </c>
      <c r="BE408" t="b">
        <f t="shared" si="160"/>
        <v>0</v>
      </c>
      <c r="BF408" t="b">
        <f t="shared" si="161"/>
        <v>1</v>
      </c>
      <c r="BG408">
        <f>IFERROR('Ashed teabags wet'!C406,"")</f>
        <v>206</v>
      </c>
      <c r="BH408">
        <f>IFERROR('Ashed teabags wet'!C823,"")</f>
        <v>0</v>
      </c>
      <c r="BI408" t="str">
        <f>'Ashed teabags wet'!AB406</f>
        <v/>
      </c>
      <c r="BJ408">
        <f>'Ashed teabags wet'!AC406</f>
        <v>205</v>
      </c>
      <c r="BK408">
        <f>'Ashed teabags wet'!AD823</f>
        <v>0</v>
      </c>
      <c r="BL408">
        <f>'Ashed teabags wet'!AE823</f>
        <v>0</v>
      </c>
      <c r="BN408" t="str">
        <f t="shared" si="162"/>
        <v>G890</v>
      </c>
      <c r="BO408" t="b">
        <f t="shared" si="163"/>
        <v>1</v>
      </c>
    </row>
    <row r="409" spans="2:67" ht="12" customHeight="1">
      <c r="B409" t="str">
        <f>TBIDry!H481</f>
        <v>G22</v>
      </c>
      <c r="C409" t="str">
        <f>TBIDry!I481</f>
        <v>R629</v>
      </c>
      <c r="D409" t="b">
        <f t="shared" si="144"/>
        <v>0</v>
      </c>
      <c r="E409" t="b">
        <f t="shared" si="145"/>
        <v>0</v>
      </c>
      <c r="G409" t="str">
        <f>TBIWet!H481</f>
        <v>G608</v>
      </c>
      <c r="H409" t="str">
        <f>TBIWet!I481</f>
        <v>R186</v>
      </c>
      <c r="I409" t="b">
        <f t="shared" si="146"/>
        <v>0</v>
      </c>
      <c r="J409" t="b">
        <f t="shared" si="147"/>
        <v>0</v>
      </c>
      <c r="L409" t="str">
        <f>'Both teabags AfterWet'!A408</f>
        <v>G892</v>
      </c>
      <c r="M409" t="str">
        <f>'Both teabags AfterWet'!A826</f>
        <v>R81</v>
      </c>
      <c r="N409" t="b">
        <f t="shared" si="148"/>
        <v>0</v>
      </c>
      <c r="O409" t="b">
        <f t="shared" si="149"/>
        <v>0</v>
      </c>
      <c r="P409">
        <f>IFERROR('Both teabags AfterWet'!B408,"")</f>
        <v>102</v>
      </c>
      <c r="Q409">
        <f>'Both teabags AfterWet'!B826</f>
        <v>42</v>
      </c>
      <c r="S409" s="401" t="b">
        <f t="shared" si="150"/>
        <v>0</v>
      </c>
      <c r="T409" s="401" t="b">
        <f t="shared" si="151"/>
        <v>0</v>
      </c>
      <c r="AA409" t="str">
        <f>'Green_rooibos initial weight'!A410</f>
        <v>G406</v>
      </c>
      <c r="AB409" t="str">
        <f>'Green_rooibos initial weight'!A1314</f>
        <v>R406</v>
      </c>
      <c r="AC409" t="b">
        <f t="shared" si="152"/>
        <v>0</v>
      </c>
      <c r="AD409" t="b">
        <f t="shared" si="153"/>
        <v>0</v>
      </c>
      <c r="AG409" t="str">
        <f>'WetLitterbags placem_collection'!O188</f>
        <v>G608</v>
      </c>
      <c r="AH409" t="str">
        <f>'WetLitterbags placem_collection'!Q188</f>
        <v>R186</v>
      </c>
      <c r="AI409" t="b">
        <f t="shared" si="154"/>
        <v>0</v>
      </c>
      <c r="AJ409" t="b">
        <f t="shared" si="155"/>
        <v>0</v>
      </c>
      <c r="AK409">
        <f>'WetLitterbags placem_collection'!A188</f>
        <v>186</v>
      </c>
      <c r="AL409">
        <f>'WetLitterbags placem_collection'!A188</f>
        <v>186</v>
      </c>
      <c r="AN409">
        <f>IF('Dry_Litterbag Placem_Collection'!L188=0,"",'Dry_Litterbag Placem_Collection'!L188)</f>
        <v>22</v>
      </c>
      <c r="AO409">
        <f>IF('Dry_Litterbag Placem_Collection'!M188=0,"",'Dry_Litterbag Placem_Collection'!M188)</f>
        <v>629</v>
      </c>
      <c r="AP409" t="b">
        <f t="shared" si="156"/>
        <v>0</v>
      </c>
      <c r="AQ409" t="b">
        <f t="shared" si="157"/>
        <v>0</v>
      </c>
      <c r="AZ409" s="401" t="b">
        <f t="shared" si="158"/>
        <v>0</v>
      </c>
      <c r="BA409" s="401" t="b">
        <f t="shared" si="159"/>
        <v>0</v>
      </c>
      <c r="BC409" t="str">
        <f>'Ashed teabags wet'!A407</f>
        <v>G892</v>
      </c>
      <c r="BE409" t="b">
        <f t="shared" si="160"/>
        <v>0</v>
      </c>
      <c r="BF409" t="b">
        <f t="shared" si="161"/>
        <v>1</v>
      </c>
      <c r="BG409">
        <f>IFERROR('Ashed teabags wet'!C407,"")</f>
        <v>102</v>
      </c>
      <c r="BH409">
        <f>IFERROR('Ashed teabags wet'!C824,"")</f>
        <v>0</v>
      </c>
      <c r="BI409">
        <f>'Ashed teabags wet'!AB407</f>
        <v>101</v>
      </c>
      <c r="BJ409" t="str">
        <f>'Ashed teabags wet'!AC407</f>
        <v/>
      </c>
      <c r="BK409">
        <f>'Ashed teabags wet'!AD824</f>
        <v>0</v>
      </c>
      <c r="BL409">
        <f>'Ashed teabags wet'!AE824</f>
        <v>0</v>
      </c>
      <c r="BN409" t="str">
        <f t="shared" si="162"/>
        <v>G891</v>
      </c>
      <c r="BO409" t="b">
        <f t="shared" si="163"/>
        <v>1</v>
      </c>
    </row>
    <row r="410" spans="2:67" ht="12" customHeight="1">
      <c r="B410" t="str">
        <f>TBIDry!H482</f>
        <v>G371</v>
      </c>
      <c r="C410" t="str">
        <f>TBIDry!I482</f>
        <v>R679</v>
      </c>
      <c r="D410" t="b">
        <f t="shared" si="144"/>
        <v>0</v>
      </c>
      <c r="E410" t="b">
        <f t="shared" si="145"/>
        <v>0</v>
      </c>
      <c r="G410" t="str">
        <f>TBIWet!H482</f>
        <v>G365</v>
      </c>
      <c r="H410" t="str">
        <f>TBIWet!I482</f>
        <v>R580</v>
      </c>
      <c r="I410" t="b">
        <f t="shared" si="146"/>
        <v>0</v>
      </c>
      <c r="J410" t="b">
        <f t="shared" si="147"/>
        <v>0</v>
      </c>
      <c r="L410" t="str">
        <f>'Both teabags AfterWet'!A409</f>
        <v>G893</v>
      </c>
      <c r="M410" t="str">
        <f>'Both teabags AfterWet'!A827</f>
        <v>R82</v>
      </c>
      <c r="N410" t="b">
        <f t="shared" si="148"/>
        <v>0</v>
      </c>
      <c r="O410" t="b">
        <f t="shared" si="149"/>
        <v>0</v>
      </c>
      <c r="P410">
        <f>IFERROR('Both teabags AfterWet'!B409,"")</f>
        <v>178</v>
      </c>
      <c r="Q410" t="str">
        <f>'Both teabags AfterWet'!B827</f>
        <v>n.a</v>
      </c>
      <c r="S410" s="401" t="b">
        <f t="shared" si="150"/>
        <v>0</v>
      </c>
      <c r="T410" s="401" t="b">
        <f t="shared" si="151"/>
        <v>0</v>
      </c>
      <c r="AA410" t="str">
        <f>'Green_rooibos initial weight'!A411</f>
        <v>G407</v>
      </c>
      <c r="AB410" t="str">
        <f>'Green_rooibos initial weight'!A1315</f>
        <v>R407</v>
      </c>
      <c r="AC410" t="b">
        <f t="shared" si="152"/>
        <v>0</v>
      </c>
      <c r="AD410" t="b">
        <f t="shared" si="153"/>
        <v>0</v>
      </c>
      <c r="AG410" t="str">
        <f>'WetLitterbags placem_collection'!O189</f>
        <v>G365</v>
      </c>
      <c r="AH410" t="str">
        <f>'WetLitterbags placem_collection'!Q189</f>
        <v>R580</v>
      </c>
      <c r="AI410" t="b">
        <f t="shared" si="154"/>
        <v>0</v>
      </c>
      <c r="AJ410" t="b">
        <f t="shared" si="155"/>
        <v>0</v>
      </c>
      <c r="AK410">
        <f>'WetLitterbags placem_collection'!A189</f>
        <v>187</v>
      </c>
      <c r="AL410">
        <f>'WetLitterbags placem_collection'!A189</f>
        <v>187</v>
      </c>
      <c r="AN410">
        <f>IF('Dry_Litterbag Placem_Collection'!L189=0,"",'Dry_Litterbag Placem_Collection'!L189)</f>
        <v>371</v>
      </c>
      <c r="AO410">
        <f>IF('Dry_Litterbag Placem_Collection'!M189=0,"",'Dry_Litterbag Placem_Collection'!M189)</f>
        <v>679</v>
      </c>
      <c r="AP410" t="b">
        <f t="shared" si="156"/>
        <v>0</v>
      </c>
      <c r="AQ410" t="b">
        <f t="shared" si="157"/>
        <v>0</v>
      </c>
      <c r="AZ410" s="401" t="b">
        <f t="shared" si="158"/>
        <v>0</v>
      </c>
      <c r="BA410" s="401" t="b">
        <f t="shared" si="159"/>
        <v>0</v>
      </c>
      <c r="BC410" t="str">
        <f>'Ashed teabags wet'!A408</f>
        <v>G893</v>
      </c>
      <c r="BE410" t="b">
        <f t="shared" si="160"/>
        <v>0</v>
      </c>
      <c r="BF410" t="b">
        <f t="shared" si="161"/>
        <v>1</v>
      </c>
      <c r="BG410">
        <f>IFERROR('Ashed teabags wet'!C408,"")</f>
        <v>178</v>
      </c>
      <c r="BH410">
        <f>IFERROR('Ashed teabags wet'!C825,"")</f>
        <v>0</v>
      </c>
      <c r="BI410" t="str">
        <f>'Ashed teabags wet'!AB408</f>
        <v/>
      </c>
      <c r="BJ410">
        <f>'Ashed teabags wet'!AC408</f>
        <v>177</v>
      </c>
      <c r="BK410">
        <f>'Ashed teabags wet'!AD825</f>
        <v>0</v>
      </c>
      <c r="BL410">
        <f>'Ashed teabags wet'!AE825</f>
        <v>0</v>
      </c>
      <c r="BN410" t="str">
        <f t="shared" si="162"/>
        <v>G892</v>
      </c>
      <c r="BO410" t="b">
        <f t="shared" si="163"/>
        <v>1</v>
      </c>
    </row>
    <row r="411" spans="2:67" ht="12" customHeight="1">
      <c r="B411" t="str">
        <f>TBIDry!H483</f>
        <v>G185</v>
      </c>
      <c r="C411" t="str">
        <f>TBIDry!I483</f>
        <v>R682</v>
      </c>
      <c r="D411" t="b">
        <f t="shared" si="144"/>
        <v>0</v>
      </c>
      <c r="E411" t="b">
        <f t="shared" si="145"/>
        <v>0</v>
      </c>
      <c r="G411" t="str">
        <f>TBIWet!H483</f>
        <v>G375</v>
      </c>
      <c r="H411" t="str">
        <f>TBIWet!I483</f>
        <v>R222</v>
      </c>
      <c r="I411" t="b">
        <f t="shared" si="146"/>
        <v>0</v>
      </c>
      <c r="J411" t="b">
        <f t="shared" si="147"/>
        <v>0</v>
      </c>
      <c r="L411" t="str">
        <f>'Both teabags AfterWet'!A410</f>
        <v>G894</v>
      </c>
      <c r="M411" t="str">
        <f>'Both teabags AfterWet'!A828</f>
        <v>R83</v>
      </c>
      <c r="N411" t="b">
        <f t="shared" si="148"/>
        <v>0</v>
      </c>
      <c r="O411" t="b">
        <f t="shared" si="149"/>
        <v>0</v>
      </c>
      <c r="P411">
        <f>IFERROR('Both teabags AfterWet'!B410,"")</f>
        <v>144</v>
      </c>
      <c r="Q411">
        <f>'Both teabags AfterWet'!B828</f>
        <v>82</v>
      </c>
      <c r="S411" s="401" t="b">
        <f t="shared" si="150"/>
        <v>0</v>
      </c>
      <c r="T411" s="401" t="b">
        <f t="shared" si="151"/>
        <v>0</v>
      </c>
      <c r="AA411" t="str">
        <f>'Green_rooibos initial weight'!A412</f>
        <v>G408</v>
      </c>
      <c r="AB411" t="str">
        <f>'Green_rooibos initial weight'!A1316</f>
        <v>R408</v>
      </c>
      <c r="AC411" t="b">
        <f t="shared" si="152"/>
        <v>0</v>
      </c>
      <c r="AD411" t="b">
        <f t="shared" si="153"/>
        <v>0</v>
      </c>
      <c r="AG411" t="str">
        <f>'WetLitterbags placem_collection'!O190</f>
        <v>G375</v>
      </c>
      <c r="AH411" t="str">
        <f>'WetLitterbags placem_collection'!Q190</f>
        <v>R222</v>
      </c>
      <c r="AI411" t="b">
        <f t="shared" si="154"/>
        <v>0</v>
      </c>
      <c r="AJ411" t="b">
        <f t="shared" si="155"/>
        <v>0</v>
      </c>
      <c r="AK411">
        <f>'WetLitterbags placem_collection'!A190</f>
        <v>188</v>
      </c>
      <c r="AL411">
        <f>'WetLitterbags placem_collection'!A190</f>
        <v>188</v>
      </c>
      <c r="AN411">
        <f>IF('Dry_Litterbag Placem_Collection'!L190=0,"",'Dry_Litterbag Placem_Collection'!L190)</f>
        <v>185</v>
      </c>
      <c r="AO411">
        <f>IF('Dry_Litterbag Placem_Collection'!M190=0,"",'Dry_Litterbag Placem_Collection'!M190)</f>
        <v>682</v>
      </c>
      <c r="AP411" t="b">
        <f t="shared" si="156"/>
        <v>0</v>
      </c>
      <c r="AQ411" t="b">
        <f t="shared" si="157"/>
        <v>0</v>
      </c>
      <c r="AZ411" s="401" t="b">
        <f t="shared" si="158"/>
        <v>0</v>
      </c>
      <c r="BA411" s="401" t="b">
        <f t="shared" si="159"/>
        <v>0</v>
      </c>
      <c r="BC411" t="str">
        <f>'Ashed teabags wet'!A409</f>
        <v>G894</v>
      </c>
      <c r="BE411" t="b">
        <f t="shared" si="160"/>
        <v>0</v>
      </c>
      <c r="BF411" t="b">
        <f t="shared" si="161"/>
        <v>1</v>
      </c>
      <c r="BG411">
        <f>IFERROR('Ashed teabags wet'!C409,"")</f>
        <v>144</v>
      </c>
      <c r="BH411">
        <f>IFERROR('Ashed teabags wet'!C826,"")</f>
        <v>0</v>
      </c>
      <c r="BI411" t="str">
        <f>'Ashed teabags wet'!AB409</f>
        <v/>
      </c>
      <c r="BJ411">
        <f>'Ashed teabags wet'!AC409</f>
        <v>143</v>
      </c>
      <c r="BK411">
        <f>'Ashed teabags wet'!AD826</f>
        <v>0</v>
      </c>
      <c r="BL411">
        <f>'Ashed teabags wet'!AE826</f>
        <v>0</v>
      </c>
      <c r="BN411" t="str">
        <f t="shared" si="162"/>
        <v>G893</v>
      </c>
      <c r="BO411" t="b">
        <f t="shared" si="163"/>
        <v>1</v>
      </c>
    </row>
    <row r="412" spans="2:67" ht="12" customHeight="1">
      <c r="B412" t="str">
        <f>TBIDry!H484</f>
        <v>G301</v>
      </c>
      <c r="C412" t="str">
        <f>TBIDry!I484</f>
        <v>R693</v>
      </c>
      <c r="D412" t="b">
        <f t="shared" si="144"/>
        <v>0</v>
      </c>
      <c r="E412" t="b">
        <f t="shared" si="145"/>
        <v>0</v>
      </c>
      <c r="G412" t="str">
        <f>TBIWet!H484</f>
        <v>G537</v>
      </c>
      <c r="H412" t="str">
        <f>TBIWet!I484</f>
        <v>R216</v>
      </c>
      <c r="I412" t="b">
        <f t="shared" si="146"/>
        <v>0</v>
      </c>
      <c r="J412" t="b">
        <f t="shared" si="147"/>
        <v>0</v>
      </c>
      <c r="L412" t="str">
        <f>'Both teabags AfterWet'!A411</f>
        <v>G895</v>
      </c>
      <c r="M412" t="str">
        <f>'Both teabags AfterWet'!A829</f>
        <v>R85</v>
      </c>
      <c r="N412" t="b">
        <f t="shared" si="148"/>
        <v>0</v>
      </c>
      <c r="O412" t="b">
        <f t="shared" si="149"/>
        <v>0</v>
      </c>
      <c r="P412">
        <f>IFERROR('Both teabags AfterWet'!B411,"")</f>
        <v>123</v>
      </c>
      <c r="Q412">
        <f>'Both teabags AfterWet'!B829</f>
        <v>51</v>
      </c>
      <c r="S412" s="401" t="b">
        <f t="shared" si="150"/>
        <v>0</v>
      </c>
      <c r="T412" s="401" t="b">
        <f t="shared" si="151"/>
        <v>0</v>
      </c>
      <c r="AA412" t="str">
        <f>'Green_rooibos initial weight'!A413</f>
        <v>G409</v>
      </c>
      <c r="AB412" t="str">
        <f>'Green_rooibos initial weight'!A1317</f>
        <v>R409</v>
      </c>
      <c r="AC412" t="b">
        <f t="shared" si="152"/>
        <v>0</v>
      </c>
      <c r="AD412" t="b">
        <f t="shared" si="153"/>
        <v>0</v>
      </c>
      <c r="AG412" t="str">
        <f>'WetLitterbags placem_collection'!O191</f>
        <v>G537</v>
      </c>
      <c r="AH412" t="str">
        <f>'WetLitterbags placem_collection'!Q191</f>
        <v>R216</v>
      </c>
      <c r="AI412" t="b">
        <f t="shared" si="154"/>
        <v>0</v>
      </c>
      <c r="AJ412" t="b">
        <f t="shared" si="155"/>
        <v>0</v>
      </c>
      <c r="AK412">
        <f>'WetLitterbags placem_collection'!A191</f>
        <v>189</v>
      </c>
      <c r="AL412">
        <f>'WetLitterbags placem_collection'!A191</f>
        <v>189</v>
      </c>
      <c r="AN412">
        <f>IF('Dry_Litterbag Placem_Collection'!L191=0,"",'Dry_Litterbag Placem_Collection'!L191)</f>
        <v>301</v>
      </c>
      <c r="AO412">
        <f>IF('Dry_Litterbag Placem_Collection'!M191=0,"",'Dry_Litterbag Placem_Collection'!M191)</f>
        <v>693</v>
      </c>
      <c r="AP412" t="b">
        <f t="shared" si="156"/>
        <v>0</v>
      </c>
      <c r="AQ412" t="b">
        <f t="shared" si="157"/>
        <v>0</v>
      </c>
      <c r="AZ412" s="401" t="b">
        <f t="shared" si="158"/>
        <v>0</v>
      </c>
      <c r="BA412" s="401" t="b">
        <f t="shared" si="159"/>
        <v>0</v>
      </c>
      <c r="BC412" t="str">
        <f>'Ashed teabags wet'!A410</f>
        <v>G895</v>
      </c>
      <c r="BE412" t="b">
        <f t="shared" si="160"/>
        <v>0</v>
      </c>
      <c r="BF412" t="b">
        <f t="shared" si="161"/>
        <v>1</v>
      </c>
      <c r="BG412">
        <f>IFERROR('Ashed teabags wet'!C410,"")</f>
        <v>123</v>
      </c>
      <c r="BH412">
        <f>IFERROR('Ashed teabags wet'!C827,"")</f>
        <v>0</v>
      </c>
      <c r="BI412" t="str">
        <f>'Ashed teabags wet'!AB410</f>
        <v/>
      </c>
      <c r="BJ412">
        <f>'Ashed teabags wet'!AC410</f>
        <v>122</v>
      </c>
      <c r="BK412">
        <f>'Ashed teabags wet'!AD827</f>
        <v>0</v>
      </c>
      <c r="BL412">
        <f>'Ashed teabags wet'!AE827</f>
        <v>0</v>
      </c>
      <c r="BN412" t="str">
        <f t="shared" si="162"/>
        <v>G894</v>
      </c>
      <c r="BO412" t="b">
        <f t="shared" si="163"/>
        <v>1</v>
      </c>
    </row>
    <row r="413" spans="2:67" ht="12" customHeight="1">
      <c r="B413" t="str">
        <f>TBIDry!H485</f>
        <v>G466</v>
      </c>
      <c r="C413" t="str">
        <f>TBIDry!I485</f>
        <v>R605</v>
      </c>
      <c r="D413" t="b">
        <f t="shared" si="144"/>
        <v>0</v>
      </c>
      <c r="E413" t="b">
        <f t="shared" si="145"/>
        <v>0</v>
      </c>
      <c r="G413" t="str">
        <f>TBIWet!H485</f>
        <v>G393</v>
      </c>
      <c r="H413" t="str">
        <f>TBIWet!I485</f>
        <v>R232</v>
      </c>
      <c r="I413" t="b">
        <f t="shared" si="146"/>
        <v>0</v>
      </c>
      <c r="J413" t="b">
        <f t="shared" si="147"/>
        <v>0</v>
      </c>
      <c r="L413" t="str">
        <f>'Both teabags AfterWet'!A412</f>
        <v>G896</v>
      </c>
      <c r="M413" t="str">
        <f>'Both teabags AfterWet'!A830</f>
        <v>R87</v>
      </c>
      <c r="N413" t="b">
        <f t="shared" si="148"/>
        <v>0</v>
      </c>
      <c r="O413" t="b">
        <f t="shared" si="149"/>
        <v>0</v>
      </c>
      <c r="P413">
        <f>IFERROR('Both teabags AfterWet'!B412,"")</f>
        <v>183</v>
      </c>
      <c r="Q413">
        <f>'Both teabags AfterWet'!B830</f>
        <v>38</v>
      </c>
      <c r="S413" s="401" t="b">
        <f t="shared" si="150"/>
        <v>0</v>
      </c>
      <c r="T413" s="401" t="b">
        <f t="shared" si="151"/>
        <v>0</v>
      </c>
      <c r="AA413" t="str">
        <f>'Green_rooibos initial weight'!A414</f>
        <v>G410</v>
      </c>
      <c r="AB413" t="str">
        <f>'Green_rooibos initial weight'!A1318</f>
        <v>R410</v>
      </c>
      <c r="AC413" t="b">
        <f t="shared" si="152"/>
        <v>0</v>
      </c>
      <c r="AD413" t="b">
        <f t="shared" si="153"/>
        <v>0</v>
      </c>
      <c r="AG413" t="str">
        <f>'WetLitterbags placem_collection'!O192</f>
        <v>G393</v>
      </c>
      <c r="AH413" t="str">
        <f>'WetLitterbags placem_collection'!Q192</f>
        <v>R232</v>
      </c>
      <c r="AI413" t="b">
        <f t="shared" si="154"/>
        <v>0</v>
      </c>
      <c r="AJ413" t="b">
        <f t="shared" si="155"/>
        <v>0</v>
      </c>
      <c r="AK413">
        <f>'WetLitterbags placem_collection'!A192</f>
        <v>190</v>
      </c>
      <c r="AL413">
        <f>'WetLitterbags placem_collection'!A192</f>
        <v>190</v>
      </c>
      <c r="AN413">
        <f>IF('Dry_Litterbag Placem_Collection'!L192=0,"",'Dry_Litterbag Placem_Collection'!L192)</f>
        <v>466</v>
      </c>
      <c r="AO413">
        <f>IF('Dry_Litterbag Placem_Collection'!M192=0,"",'Dry_Litterbag Placem_Collection'!M192)</f>
        <v>605</v>
      </c>
      <c r="AP413" t="b">
        <f t="shared" si="156"/>
        <v>0</v>
      </c>
      <c r="AQ413" t="b">
        <f t="shared" si="157"/>
        <v>0</v>
      </c>
      <c r="AZ413" s="401" t="b">
        <f t="shared" si="158"/>
        <v>0</v>
      </c>
      <c r="BA413" s="401" t="b">
        <f t="shared" si="159"/>
        <v>0</v>
      </c>
      <c r="BC413" t="str">
        <f>'Ashed teabags wet'!A411</f>
        <v>G896</v>
      </c>
      <c r="BE413" t="b">
        <f t="shared" si="160"/>
        <v>0</v>
      </c>
      <c r="BF413" t="b">
        <f t="shared" si="161"/>
        <v>1</v>
      </c>
      <c r="BG413">
        <f>IFERROR('Ashed teabags wet'!C411,"")</f>
        <v>183</v>
      </c>
      <c r="BH413">
        <f>IFERROR('Ashed teabags wet'!C828,"")</f>
        <v>0</v>
      </c>
      <c r="BI413" t="str">
        <f>'Ashed teabags wet'!AB411</f>
        <v/>
      </c>
      <c r="BJ413">
        <f>'Ashed teabags wet'!AC411</f>
        <v>182</v>
      </c>
      <c r="BK413">
        <f>'Ashed teabags wet'!AD828</f>
        <v>0</v>
      </c>
      <c r="BL413">
        <f>'Ashed teabags wet'!AE828</f>
        <v>0</v>
      </c>
      <c r="BN413" t="str">
        <f t="shared" si="162"/>
        <v>G895</v>
      </c>
      <c r="BO413" t="b">
        <f t="shared" si="163"/>
        <v>1</v>
      </c>
    </row>
    <row r="414" spans="2:67" ht="12" customHeight="1">
      <c r="B414" t="str">
        <f>TBIDry!H486</f>
        <v>G32</v>
      </c>
      <c r="C414" t="str">
        <f>TBIDry!I486</f>
        <v>R240</v>
      </c>
      <c r="D414" t="b">
        <f t="shared" si="144"/>
        <v>0</v>
      </c>
      <c r="E414" t="b">
        <f t="shared" si="145"/>
        <v>0</v>
      </c>
      <c r="G414" t="str">
        <f>TBIWet!H486</f>
        <v>G417</v>
      </c>
      <c r="H414" t="str">
        <f>TBIWet!I486</f>
        <v>R387</v>
      </c>
      <c r="I414" t="b">
        <f t="shared" si="146"/>
        <v>0</v>
      </c>
      <c r="J414" t="b">
        <f t="shared" si="147"/>
        <v>0</v>
      </c>
      <c r="L414" t="str">
        <f>'Both teabags AfterWet'!A413</f>
        <v>G897</v>
      </c>
      <c r="M414" t="str">
        <f>'Both teabags AfterWet'!A831</f>
        <v>R88</v>
      </c>
      <c r="N414" t="b">
        <f t="shared" si="148"/>
        <v>0</v>
      </c>
      <c r="O414" t="b">
        <f t="shared" si="149"/>
        <v>0</v>
      </c>
      <c r="P414">
        <f>IFERROR('Both teabags AfterWet'!B413,"")</f>
        <v>116</v>
      </c>
      <c r="Q414">
        <f>'Both teabags AfterWet'!B831</f>
        <v>213</v>
      </c>
      <c r="S414" s="401" t="b">
        <f t="shared" si="150"/>
        <v>0</v>
      </c>
      <c r="T414" s="401" t="b">
        <f t="shared" si="151"/>
        <v>0</v>
      </c>
      <c r="AA414" t="str">
        <f>'Green_rooibos initial weight'!A415</f>
        <v>G411</v>
      </c>
      <c r="AB414" t="str">
        <f>'Green_rooibos initial weight'!A1319</f>
        <v>R411</v>
      </c>
      <c r="AC414" t="b">
        <f t="shared" si="152"/>
        <v>0</v>
      </c>
      <c r="AD414" t="b">
        <f t="shared" si="153"/>
        <v>0</v>
      </c>
      <c r="AG414" t="str">
        <f>'WetLitterbags placem_collection'!O193</f>
        <v>G417</v>
      </c>
      <c r="AH414" t="str">
        <f>'WetLitterbags placem_collection'!Q193</f>
        <v>R387</v>
      </c>
      <c r="AI414" t="b">
        <f t="shared" si="154"/>
        <v>0</v>
      </c>
      <c r="AJ414" t="b">
        <f t="shared" si="155"/>
        <v>0</v>
      </c>
      <c r="AK414">
        <f>'WetLitterbags placem_collection'!A193</f>
        <v>191</v>
      </c>
      <c r="AL414">
        <f>'WetLitterbags placem_collection'!A193</f>
        <v>191</v>
      </c>
      <c r="AN414">
        <f>IF('Dry_Litterbag Placem_Collection'!L193=0,"",'Dry_Litterbag Placem_Collection'!L193)</f>
        <v>32</v>
      </c>
      <c r="AO414">
        <f>IF('Dry_Litterbag Placem_Collection'!M193=0,"",'Dry_Litterbag Placem_Collection'!M193)</f>
        <v>240</v>
      </c>
      <c r="AP414" t="b">
        <f t="shared" si="156"/>
        <v>0</v>
      </c>
      <c r="AQ414" t="b">
        <f t="shared" si="157"/>
        <v>0</v>
      </c>
      <c r="AZ414" s="401" t="b">
        <f t="shared" si="158"/>
        <v>0</v>
      </c>
      <c r="BA414" s="401" t="b">
        <f t="shared" si="159"/>
        <v>0</v>
      </c>
      <c r="BC414" t="str">
        <f>'Ashed teabags wet'!A412</f>
        <v>G897</v>
      </c>
      <c r="BE414" t="b">
        <f t="shared" si="160"/>
        <v>0</v>
      </c>
      <c r="BF414" t="b">
        <f t="shared" si="161"/>
        <v>1</v>
      </c>
      <c r="BG414">
        <f>IFERROR('Ashed teabags wet'!C412,"")</f>
        <v>116</v>
      </c>
      <c r="BH414">
        <f>IFERROR('Ashed teabags wet'!C829,"")</f>
        <v>0</v>
      </c>
      <c r="BI414">
        <f>'Ashed teabags wet'!AB412</f>
        <v>115</v>
      </c>
      <c r="BJ414" t="str">
        <f>'Ashed teabags wet'!AC412</f>
        <v/>
      </c>
      <c r="BK414">
        <f>'Ashed teabags wet'!AD829</f>
        <v>0</v>
      </c>
      <c r="BL414">
        <f>'Ashed teabags wet'!AE829</f>
        <v>0</v>
      </c>
      <c r="BN414" t="str">
        <f t="shared" si="162"/>
        <v>G896</v>
      </c>
      <c r="BO414" t="b">
        <f t="shared" si="163"/>
        <v>1</v>
      </c>
    </row>
    <row r="415" spans="2:67" ht="12" customHeight="1">
      <c r="B415" t="str">
        <f>TBIDry!H487</f>
        <v/>
      </c>
      <c r="C415" t="str">
        <f>TBIDry!I487</f>
        <v/>
      </c>
      <c r="D415" t="b">
        <f t="shared" si="144"/>
        <v>1</v>
      </c>
      <c r="E415" t="b">
        <f t="shared" si="145"/>
        <v>1</v>
      </c>
      <c r="G415" t="str">
        <f>TBIWet!H487</f>
        <v>G297</v>
      </c>
      <c r="H415" t="str">
        <f>TBIWet!I487</f>
        <v>R346</v>
      </c>
      <c r="I415" t="b">
        <f t="shared" si="146"/>
        <v>0</v>
      </c>
      <c r="J415" t="b">
        <f t="shared" si="147"/>
        <v>0</v>
      </c>
      <c r="L415" t="str">
        <f>'Both teabags AfterWet'!A414</f>
        <v>G898</v>
      </c>
      <c r="M415" t="str">
        <f>'Both teabags AfterWet'!A832</f>
        <v>R89</v>
      </c>
      <c r="N415" t="b">
        <f t="shared" si="148"/>
        <v>0</v>
      </c>
      <c r="O415" t="b">
        <f t="shared" si="149"/>
        <v>0</v>
      </c>
      <c r="P415">
        <f>IFERROR('Both teabags AfterWet'!B414,"")</f>
        <v>127</v>
      </c>
      <c r="Q415">
        <f>'Both teabags AfterWet'!B832</f>
        <v>37</v>
      </c>
      <c r="S415" s="401" t="b">
        <f t="shared" si="150"/>
        <v>0</v>
      </c>
      <c r="T415" s="401" t="b">
        <f t="shared" si="151"/>
        <v>0</v>
      </c>
      <c r="AA415" t="str">
        <f>'Green_rooibos initial weight'!A416</f>
        <v>G412</v>
      </c>
      <c r="AB415" t="str">
        <f>'Green_rooibos initial weight'!A1320</f>
        <v>R412</v>
      </c>
      <c r="AC415" t="b">
        <f t="shared" si="152"/>
        <v>0</v>
      </c>
      <c r="AD415" t="b">
        <f t="shared" si="153"/>
        <v>0</v>
      </c>
      <c r="AG415" t="str">
        <f>'WetLitterbags placem_collection'!O194</f>
        <v>G297</v>
      </c>
      <c r="AH415" t="str">
        <f>'WetLitterbags placem_collection'!Q194</f>
        <v>R346</v>
      </c>
      <c r="AI415" t="b">
        <f t="shared" si="154"/>
        <v>0</v>
      </c>
      <c r="AJ415" t="b">
        <f t="shared" si="155"/>
        <v>0</v>
      </c>
      <c r="AK415">
        <f>'WetLitterbags placem_collection'!A194</f>
        <v>192</v>
      </c>
      <c r="AL415">
        <f>'WetLitterbags placem_collection'!A194</f>
        <v>192</v>
      </c>
      <c r="AN415" t="str">
        <f>IF('Dry_Litterbag Placem_Collection'!L194=0,"",'Dry_Litterbag Placem_Collection'!L194)</f>
        <v/>
      </c>
      <c r="AO415" t="str">
        <f>IF('Dry_Litterbag Placem_Collection'!M194=0,"",'Dry_Litterbag Placem_Collection'!M194)</f>
        <v/>
      </c>
      <c r="AP415" t="b">
        <f t="shared" si="156"/>
        <v>1</v>
      </c>
      <c r="AQ415" t="b">
        <f t="shared" si="157"/>
        <v>1</v>
      </c>
      <c r="AZ415" s="401" t="b">
        <f t="shared" si="158"/>
        <v>0</v>
      </c>
      <c r="BA415" s="401" t="b">
        <f t="shared" si="159"/>
        <v>0</v>
      </c>
      <c r="BC415" t="str">
        <f>'Ashed teabags wet'!A413</f>
        <v>G898</v>
      </c>
      <c r="BE415" t="b">
        <f t="shared" si="160"/>
        <v>0</v>
      </c>
      <c r="BF415" t="b">
        <f t="shared" si="161"/>
        <v>1</v>
      </c>
      <c r="BG415">
        <f>IFERROR('Ashed teabags wet'!C413,"")</f>
        <v>127</v>
      </c>
      <c r="BH415">
        <f>IFERROR('Ashed teabags wet'!C830,"")</f>
        <v>0</v>
      </c>
      <c r="BI415">
        <f>'Ashed teabags wet'!AB413</f>
        <v>126</v>
      </c>
      <c r="BJ415" t="str">
        <f>'Ashed teabags wet'!AC413</f>
        <v/>
      </c>
      <c r="BK415">
        <f>'Ashed teabags wet'!AD830</f>
        <v>0</v>
      </c>
      <c r="BL415">
        <f>'Ashed teabags wet'!AE830</f>
        <v>0</v>
      </c>
      <c r="BN415" t="str">
        <f t="shared" si="162"/>
        <v>G897</v>
      </c>
      <c r="BO415" t="b">
        <f t="shared" si="163"/>
        <v>1</v>
      </c>
    </row>
    <row r="416" spans="2:67" ht="12" customHeight="1">
      <c r="B416" t="str">
        <f>TBIDry!H488</f>
        <v>G45</v>
      </c>
      <c r="C416" t="str">
        <f>TBIDry!I488</f>
        <v>R623</v>
      </c>
      <c r="D416" t="b">
        <f t="shared" si="144"/>
        <v>0</v>
      </c>
      <c r="E416" t="b">
        <f t="shared" si="145"/>
        <v>0</v>
      </c>
      <c r="G416" t="str">
        <f>TBIWet!H488</f>
        <v>G584</v>
      </c>
      <c r="H416" t="str">
        <f>TBIWet!I488</f>
        <v>R364</v>
      </c>
      <c r="I416" t="b">
        <f t="shared" si="146"/>
        <v>0</v>
      </c>
      <c r="J416" t="b">
        <f t="shared" si="147"/>
        <v>0</v>
      </c>
      <c r="L416" t="str">
        <f>'Both teabags AfterWet'!A415</f>
        <v>G899</v>
      </c>
      <c r="M416" t="str">
        <f>'Both teabags AfterWet'!A833</f>
        <v>R9</v>
      </c>
      <c r="N416" t="b">
        <f t="shared" si="148"/>
        <v>0</v>
      </c>
      <c r="O416" t="b">
        <f t="shared" si="149"/>
        <v>0</v>
      </c>
      <c r="P416">
        <f>IFERROR('Both teabags AfterWet'!B415,"")</f>
        <v>112</v>
      </c>
      <c r="Q416">
        <f>'Both teabags AfterWet'!B833</f>
        <v>68</v>
      </c>
      <c r="S416" s="401" t="b">
        <f t="shared" si="150"/>
        <v>0</v>
      </c>
      <c r="T416" s="401" t="b">
        <f t="shared" si="151"/>
        <v>0</v>
      </c>
      <c r="AA416" t="str">
        <f>'Green_rooibos initial weight'!A417</f>
        <v>G413</v>
      </c>
      <c r="AB416" t="str">
        <f>'Green_rooibos initial weight'!A1321</f>
        <v>R413</v>
      </c>
      <c r="AC416" t="b">
        <f t="shared" si="152"/>
        <v>0</v>
      </c>
      <c r="AD416" t="b">
        <f t="shared" si="153"/>
        <v>0</v>
      </c>
      <c r="AG416" t="str">
        <f>'WetLitterbags placem_collection'!O195</f>
        <v>G584</v>
      </c>
      <c r="AH416" t="str">
        <f>'WetLitterbags placem_collection'!Q195</f>
        <v>R364</v>
      </c>
      <c r="AI416" t="b">
        <f t="shared" si="154"/>
        <v>0</v>
      </c>
      <c r="AJ416" t="b">
        <f t="shared" si="155"/>
        <v>0</v>
      </c>
      <c r="AK416">
        <f>'WetLitterbags placem_collection'!A195</f>
        <v>193</v>
      </c>
      <c r="AL416">
        <f>'WetLitterbags placem_collection'!A195</f>
        <v>193</v>
      </c>
      <c r="AN416">
        <f>IF('Dry_Litterbag Placem_Collection'!L195=0,"",'Dry_Litterbag Placem_Collection'!L195)</f>
        <v>45</v>
      </c>
      <c r="AO416">
        <f>IF('Dry_Litterbag Placem_Collection'!M195=0,"",'Dry_Litterbag Placem_Collection'!M195)</f>
        <v>623</v>
      </c>
      <c r="AP416" t="b">
        <f t="shared" si="156"/>
        <v>0</v>
      </c>
      <c r="AQ416" t="b">
        <f t="shared" si="157"/>
        <v>0</v>
      </c>
      <c r="AZ416" s="401" t="b">
        <f t="shared" si="158"/>
        <v>0</v>
      </c>
      <c r="BA416" s="401" t="b">
        <f t="shared" si="159"/>
        <v>0</v>
      </c>
      <c r="BC416" t="str">
        <f>'Ashed teabags wet'!A414</f>
        <v>G899</v>
      </c>
      <c r="BE416" t="b">
        <f t="shared" si="160"/>
        <v>0</v>
      </c>
      <c r="BF416" t="b">
        <f t="shared" si="161"/>
        <v>1</v>
      </c>
      <c r="BG416">
        <f>IFERROR('Ashed teabags wet'!C414,"")</f>
        <v>112</v>
      </c>
      <c r="BH416">
        <f>IFERROR('Ashed teabags wet'!C831,"")</f>
        <v>0</v>
      </c>
      <c r="BI416">
        <f>'Ashed teabags wet'!AB414</f>
        <v>111</v>
      </c>
      <c r="BJ416" t="str">
        <f>'Ashed teabags wet'!AC414</f>
        <v/>
      </c>
      <c r="BK416">
        <f>'Ashed teabags wet'!AD831</f>
        <v>0</v>
      </c>
      <c r="BL416">
        <f>'Ashed teabags wet'!AE831</f>
        <v>0</v>
      </c>
      <c r="BN416" t="str">
        <f t="shared" si="162"/>
        <v>G898</v>
      </c>
      <c r="BO416" t="b">
        <f t="shared" si="163"/>
        <v>1</v>
      </c>
    </row>
    <row r="417" spans="2:68" ht="12" customHeight="1">
      <c r="B417" t="str">
        <f>TBIDry!H489</f>
        <v>G90</v>
      </c>
      <c r="C417" t="str">
        <f>TBIDry!I489</f>
        <v>R611</v>
      </c>
      <c r="D417" t="b">
        <f t="shared" si="144"/>
        <v>0</v>
      </c>
      <c r="E417" t="b">
        <f t="shared" si="145"/>
        <v>0</v>
      </c>
      <c r="G417" t="str">
        <f>TBIWet!H489</f>
        <v>G713</v>
      </c>
      <c r="H417" t="str">
        <f>TBIWet!I489</f>
        <v>R167</v>
      </c>
      <c r="I417" t="b">
        <f t="shared" si="146"/>
        <v>0</v>
      </c>
      <c r="J417" t="b">
        <f t="shared" si="147"/>
        <v>0</v>
      </c>
      <c r="L417" t="str">
        <f>'Both teabags AfterWet'!A416</f>
        <v>G900</v>
      </c>
      <c r="M417" t="str">
        <f>'Both teabags AfterWet'!A834</f>
        <v>R91</v>
      </c>
      <c r="N417" t="b">
        <f t="shared" si="148"/>
        <v>0</v>
      </c>
      <c r="O417" t="b">
        <f t="shared" si="149"/>
        <v>0</v>
      </c>
      <c r="P417">
        <f>IFERROR('Both teabags AfterWet'!B416,"")</f>
        <v>141</v>
      </c>
      <c r="Q417" t="str">
        <f>'Both teabags AfterWet'!B834</f>
        <v>n.a</v>
      </c>
      <c r="S417" s="401" t="b">
        <f t="shared" si="150"/>
        <v>0</v>
      </c>
      <c r="T417" s="401" t="b">
        <f t="shared" si="151"/>
        <v>0</v>
      </c>
      <c r="AA417" t="str">
        <f>'Green_rooibos initial weight'!A418</f>
        <v>G414</v>
      </c>
      <c r="AB417" t="str">
        <f>'Green_rooibos initial weight'!A1322</f>
        <v>R414</v>
      </c>
      <c r="AC417" t="b">
        <f t="shared" si="152"/>
        <v>0</v>
      </c>
      <c r="AD417" t="b">
        <f t="shared" si="153"/>
        <v>0</v>
      </c>
      <c r="AG417" t="str">
        <f>'WetLitterbags placem_collection'!O196</f>
        <v>G713</v>
      </c>
      <c r="AH417" t="str">
        <f>'WetLitterbags placem_collection'!Q196</f>
        <v>R167</v>
      </c>
      <c r="AI417" t="b">
        <f t="shared" si="154"/>
        <v>0</v>
      </c>
      <c r="AJ417" t="b">
        <f t="shared" si="155"/>
        <v>0</v>
      </c>
      <c r="AK417">
        <f>'WetLitterbags placem_collection'!A196</f>
        <v>194</v>
      </c>
      <c r="AL417">
        <f>'WetLitterbags placem_collection'!A196</f>
        <v>194</v>
      </c>
      <c r="AN417">
        <f>IF('Dry_Litterbag Placem_Collection'!L196=0,"",'Dry_Litterbag Placem_Collection'!L196)</f>
        <v>90</v>
      </c>
      <c r="AO417">
        <f>IF('Dry_Litterbag Placem_Collection'!M196=0,"",'Dry_Litterbag Placem_Collection'!M196)</f>
        <v>611</v>
      </c>
      <c r="AP417" t="b">
        <f t="shared" si="156"/>
        <v>0</v>
      </c>
      <c r="AQ417" t="b">
        <f t="shared" si="157"/>
        <v>0</v>
      </c>
      <c r="AZ417" s="401" t="b">
        <f t="shared" si="158"/>
        <v>0</v>
      </c>
      <c r="BA417" s="401" t="b">
        <f t="shared" si="159"/>
        <v>0</v>
      </c>
      <c r="BC417" t="str">
        <f>'Ashed teabags wet'!A415</f>
        <v>G690</v>
      </c>
      <c r="BE417" t="b">
        <f t="shared" si="160"/>
        <v>0</v>
      </c>
      <c r="BF417" t="b">
        <f t="shared" si="161"/>
        <v>1</v>
      </c>
      <c r="BG417">
        <f>IFERROR('Ashed teabags wet'!C415,"")</f>
        <v>43</v>
      </c>
      <c r="BH417">
        <f>IFERROR('Ashed teabags wet'!C832,"")</f>
        <v>0</v>
      </c>
      <c r="BI417">
        <f>'Ashed teabags wet'!AB415</f>
        <v>42</v>
      </c>
      <c r="BJ417" t="str">
        <f>'Ashed teabags wet'!AC415</f>
        <v/>
      </c>
      <c r="BK417">
        <f>'Ashed teabags wet'!AD832</f>
        <v>0</v>
      </c>
      <c r="BL417">
        <f>'Ashed teabags wet'!AE832</f>
        <v>0</v>
      </c>
      <c r="BN417" t="str">
        <f t="shared" si="162"/>
        <v>G899</v>
      </c>
      <c r="BO417" t="b">
        <f t="shared" si="163"/>
        <v>1</v>
      </c>
    </row>
    <row r="418" spans="2:68" ht="12" customHeight="1">
      <c r="B418" t="str">
        <f>TBIDry!H490</f>
        <v>G338</v>
      </c>
      <c r="C418" t="str">
        <f>TBIDry!I490</f>
        <v>R645</v>
      </c>
      <c r="D418" t="b">
        <f t="shared" si="144"/>
        <v>0</v>
      </c>
      <c r="E418" t="b">
        <f t="shared" si="145"/>
        <v>0</v>
      </c>
      <c r="G418" t="str">
        <f>TBIWet!H490</f>
        <v>G525</v>
      </c>
      <c r="H418" t="str">
        <f>TBIWet!I490</f>
        <v>R25</v>
      </c>
      <c r="I418" t="b">
        <f t="shared" si="146"/>
        <v>0</v>
      </c>
      <c r="J418" t="b">
        <f t="shared" si="147"/>
        <v>0</v>
      </c>
      <c r="L418" t="str">
        <f>'Both teabags AfterWet'!A417</f>
        <v>G901</v>
      </c>
      <c r="M418" t="str">
        <f>'Both teabags AfterWet'!A835</f>
        <v>R92</v>
      </c>
      <c r="N418" t="b">
        <f t="shared" si="148"/>
        <v>0</v>
      </c>
      <c r="O418" t="b">
        <f t="shared" si="149"/>
        <v>0</v>
      </c>
      <c r="P418">
        <f>IFERROR('Both teabags AfterWet'!B417,"")</f>
        <v>117</v>
      </c>
      <c r="Q418">
        <f>'Both teabags AfterWet'!B835</f>
        <v>205</v>
      </c>
      <c r="S418" s="401" t="b">
        <f t="shared" si="150"/>
        <v>0</v>
      </c>
      <c r="T418" s="401" t="b">
        <f t="shared" si="151"/>
        <v>0</v>
      </c>
      <c r="AA418" t="str">
        <f>'Green_rooibos initial weight'!A419</f>
        <v>G415</v>
      </c>
      <c r="AB418" t="str">
        <f>'Green_rooibos initial weight'!A1323</f>
        <v>R415</v>
      </c>
      <c r="AC418" t="b">
        <f t="shared" si="152"/>
        <v>0</v>
      </c>
      <c r="AD418" t="b">
        <f t="shared" si="153"/>
        <v>0</v>
      </c>
      <c r="AG418" t="str">
        <f>'WetLitterbags placem_collection'!O197</f>
        <v>G525</v>
      </c>
      <c r="AH418" t="str">
        <f>'WetLitterbags placem_collection'!Q197</f>
        <v>R25</v>
      </c>
      <c r="AI418" t="b">
        <f t="shared" si="154"/>
        <v>0</v>
      </c>
      <c r="AJ418" t="b">
        <f t="shared" si="155"/>
        <v>0</v>
      </c>
      <c r="AK418">
        <f>'WetLitterbags placem_collection'!A197</f>
        <v>195</v>
      </c>
      <c r="AL418">
        <f>'WetLitterbags placem_collection'!A197</f>
        <v>195</v>
      </c>
      <c r="AN418">
        <f>IF('Dry_Litterbag Placem_Collection'!L197=0,"",'Dry_Litterbag Placem_Collection'!L197)</f>
        <v>338</v>
      </c>
      <c r="AO418">
        <f>IF('Dry_Litterbag Placem_Collection'!M197=0,"",'Dry_Litterbag Placem_Collection'!M197)</f>
        <v>645</v>
      </c>
      <c r="AP418" t="b">
        <f t="shared" si="156"/>
        <v>0</v>
      </c>
      <c r="AQ418" t="b">
        <f t="shared" si="157"/>
        <v>0</v>
      </c>
      <c r="AZ418" s="401" t="b">
        <f t="shared" si="158"/>
        <v>0</v>
      </c>
      <c r="BA418" s="401" t="b">
        <f t="shared" si="159"/>
        <v>0</v>
      </c>
      <c r="BC418" t="str">
        <f>'Ashed teabags wet'!A416</f>
        <v>G900</v>
      </c>
      <c r="BE418" t="b">
        <f t="shared" si="160"/>
        <v>0</v>
      </c>
      <c r="BF418" t="b">
        <f t="shared" si="161"/>
        <v>1</v>
      </c>
      <c r="BG418">
        <f>IFERROR('Ashed teabags wet'!C416,"")</f>
        <v>141</v>
      </c>
      <c r="BH418">
        <f>IFERROR('Ashed teabags wet'!C833,"")</f>
        <v>0</v>
      </c>
      <c r="BI418">
        <f>'Ashed teabags wet'!AB416</f>
        <v>140</v>
      </c>
      <c r="BJ418" t="str">
        <f>'Ashed teabags wet'!AC416</f>
        <v/>
      </c>
      <c r="BK418">
        <f>'Ashed teabags wet'!AD833</f>
        <v>0</v>
      </c>
      <c r="BL418">
        <f>'Ashed teabags wet'!AE833</f>
        <v>0</v>
      </c>
      <c r="BN418" t="str">
        <f t="shared" si="162"/>
        <v>G690</v>
      </c>
      <c r="BO418" t="b">
        <f t="shared" si="163"/>
        <v>1</v>
      </c>
    </row>
    <row r="419" spans="2:68" ht="12" customHeight="1">
      <c r="B419" t="str">
        <f>TBIDry!H491</f>
        <v>G243</v>
      </c>
      <c r="C419" t="str">
        <f>TBIDry!I491</f>
        <v>R709</v>
      </c>
      <c r="D419" t="b">
        <f t="shared" si="144"/>
        <v>0</v>
      </c>
      <c r="E419" t="b">
        <f t="shared" si="145"/>
        <v>0</v>
      </c>
      <c r="G419" t="str">
        <f>TBIWet!H491</f>
        <v>G886</v>
      </c>
      <c r="H419" t="str">
        <f>TBIWet!I491</f>
        <v>R362</v>
      </c>
      <c r="I419" t="b">
        <f t="shared" si="146"/>
        <v>0</v>
      </c>
      <c r="J419" t="b">
        <f t="shared" si="147"/>
        <v>0</v>
      </c>
      <c r="L419" t="str">
        <f>'Both teabags AfterWet'!A418</f>
        <v>G902</v>
      </c>
      <c r="M419" t="str">
        <f>'Both teabags AfterWet'!A836</f>
        <v>R93</v>
      </c>
      <c r="N419" t="b">
        <f t="shared" si="148"/>
        <v>0</v>
      </c>
      <c r="O419" t="b">
        <f t="shared" si="149"/>
        <v>0</v>
      </c>
      <c r="P419">
        <f>IFERROR('Both teabags AfterWet'!B418,"")</f>
        <v>145</v>
      </c>
      <c r="Q419">
        <f>'Both teabags AfterWet'!B836</f>
        <v>212</v>
      </c>
      <c r="S419" s="401" t="b">
        <f t="shared" si="150"/>
        <v>0</v>
      </c>
      <c r="T419" s="401" t="b">
        <f t="shared" si="151"/>
        <v>0</v>
      </c>
      <c r="AA419" t="str">
        <f>'Green_rooibos initial weight'!A420</f>
        <v>G416</v>
      </c>
      <c r="AB419" t="str">
        <f>'Green_rooibos initial weight'!A1324</f>
        <v>R416</v>
      </c>
      <c r="AC419" t="b">
        <f t="shared" si="152"/>
        <v>0</v>
      </c>
      <c r="AD419" t="b">
        <f t="shared" si="153"/>
        <v>0</v>
      </c>
      <c r="AG419" t="str">
        <f>'WetLitterbags placem_collection'!O198</f>
        <v>G886</v>
      </c>
      <c r="AH419" t="str">
        <f>'WetLitterbags placem_collection'!Q198</f>
        <v>R362</v>
      </c>
      <c r="AI419" t="b">
        <f t="shared" si="154"/>
        <v>0</v>
      </c>
      <c r="AJ419" t="b">
        <f t="shared" si="155"/>
        <v>0</v>
      </c>
      <c r="AK419">
        <f>'WetLitterbags placem_collection'!A198</f>
        <v>196</v>
      </c>
      <c r="AL419">
        <f>'WetLitterbags placem_collection'!A198</f>
        <v>196</v>
      </c>
      <c r="AN419">
        <f>IF('Dry_Litterbag Placem_Collection'!L198=0,"",'Dry_Litterbag Placem_Collection'!L198)</f>
        <v>243</v>
      </c>
      <c r="AO419">
        <f>IF('Dry_Litterbag Placem_Collection'!M198=0,"",'Dry_Litterbag Placem_Collection'!M198)</f>
        <v>709</v>
      </c>
      <c r="AP419" t="b">
        <f t="shared" si="156"/>
        <v>0</v>
      </c>
      <c r="AQ419" t="b">
        <f t="shared" si="157"/>
        <v>0</v>
      </c>
      <c r="AZ419" s="401" t="b">
        <f t="shared" si="158"/>
        <v>0</v>
      </c>
      <c r="BA419" s="401" t="b">
        <f t="shared" si="159"/>
        <v>0</v>
      </c>
      <c r="BC419" t="str">
        <f>'Ashed teabags wet'!A417</f>
        <v>G901</v>
      </c>
      <c r="BE419" t="b">
        <f t="shared" si="160"/>
        <v>0</v>
      </c>
      <c r="BF419" t="b">
        <f t="shared" si="161"/>
        <v>1</v>
      </c>
      <c r="BG419">
        <f>IFERROR('Ashed teabags wet'!C417,"")</f>
        <v>117</v>
      </c>
      <c r="BH419">
        <f>IFERROR('Ashed teabags wet'!C834,"")</f>
        <v>0</v>
      </c>
      <c r="BI419" t="str">
        <f>'Ashed teabags wet'!AB417</f>
        <v/>
      </c>
      <c r="BJ419">
        <f>'Ashed teabags wet'!AC417</f>
        <v>116</v>
      </c>
      <c r="BK419">
        <f>'Ashed teabags wet'!AD834</f>
        <v>0</v>
      </c>
      <c r="BL419">
        <f>'Ashed teabags wet'!AE834</f>
        <v>0</v>
      </c>
      <c r="BN419" t="str">
        <f t="shared" si="162"/>
        <v>G900</v>
      </c>
      <c r="BO419" t="b">
        <f t="shared" si="163"/>
        <v>1</v>
      </c>
    </row>
    <row r="420" spans="2:68" ht="12" customHeight="1">
      <c r="B420" t="str">
        <f>TBIDry!H492</f>
        <v>G254</v>
      </c>
      <c r="C420" t="str">
        <f>TBIDry!I492</f>
        <v>R131</v>
      </c>
      <c r="D420" t="b">
        <f t="shared" si="144"/>
        <v>0</v>
      </c>
      <c r="E420" t="b">
        <f t="shared" si="145"/>
        <v>0</v>
      </c>
      <c r="G420" t="str">
        <f>TBIWet!H492</f>
        <v>G388</v>
      </c>
      <c r="H420" t="str">
        <f>TBIWet!I492</f>
        <v>R370</v>
      </c>
      <c r="I420" t="b">
        <f t="shared" si="146"/>
        <v>0</v>
      </c>
      <c r="J420" t="b">
        <f t="shared" si="147"/>
        <v>0</v>
      </c>
      <c r="L420" t="str">
        <f>'Both teabags AfterWet'!A419</f>
        <v>N.A.</v>
      </c>
      <c r="M420" s="113" t="str">
        <f>'Both teabags AfterWet'!A837</f>
        <v>R94</v>
      </c>
      <c r="N420" t="b">
        <f t="shared" si="148"/>
        <v>0</v>
      </c>
      <c r="O420" t="b">
        <f t="shared" si="149"/>
        <v>0</v>
      </c>
      <c r="P420">
        <f>IFERROR('Both teabags AfterWet'!B419,"")</f>
        <v>173</v>
      </c>
      <c r="Q420">
        <f>'Both teabags AfterWet'!B837</f>
        <v>90</v>
      </c>
      <c r="S420" s="401" t="b">
        <f t="shared" si="150"/>
        <v>0</v>
      </c>
      <c r="T420" s="113" t="b">
        <f t="shared" si="151"/>
        <v>1</v>
      </c>
      <c r="AA420" t="str">
        <f>'Green_rooibos initial weight'!A421</f>
        <v>G417</v>
      </c>
      <c r="AB420" t="str">
        <f>'Green_rooibos initial weight'!A1325</f>
        <v>R417</v>
      </c>
      <c r="AC420" t="b">
        <f t="shared" si="152"/>
        <v>0</v>
      </c>
      <c r="AD420" t="b">
        <f t="shared" si="153"/>
        <v>0</v>
      </c>
      <c r="AG420" t="str">
        <f>'WetLitterbags placem_collection'!O199</f>
        <v>G388</v>
      </c>
      <c r="AH420" t="str">
        <f>'WetLitterbags placem_collection'!Q199</f>
        <v>R370</v>
      </c>
      <c r="AI420" t="b">
        <f t="shared" si="154"/>
        <v>0</v>
      </c>
      <c r="AJ420" t="b">
        <f t="shared" si="155"/>
        <v>0</v>
      </c>
      <c r="AK420">
        <f>'WetLitterbags placem_collection'!A199</f>
        <v>197</v>
      </c>
      <c r="AL420">
        <f>'WetLitterbags placem_collection'!A199</f>
        <v>197</v>
      </c>
      <c r="AN420">
        <f>IF('Dry_Litterbag Placem_Collection'!L199=0,"",'Dry_Litterbag Placem_Collection'!L199)</f>
        <v>254</v>
      </c>
      <c r="AO420">
        <f>IF('Dry_Litterbag Placem_Collection'!M199=0,"",'Dry_Litterbag Placem_Collection'!M199)</f>
        <v>131</v>
      </c>
      <c r="AP420" t="b">
        <f t="shared" si="156"/>
        <v>0</v>
      </c>
      <c r="AQ420" t="b">
        <f t="shared" si="157"/>
        <v>0</v>
      </c>
      <c r="AZ420" s="401" t="b">
        <f t="shared" si="158"/>
        <v>0</v>
      </c>
      <c r="BA420" s="401" t="b">
        <f t="shared" si="159"/>
        <v>0</v>
      </c>
      <c r="BC420" t="str">
        <f>'Ashed teabags wet'!A418</f>
        <v>G902</v>
      </c>
      <c r="BE420" t="b">
        <f t="shared" si="160"/>
        <v>0</v>
      </c>
      <c r="BF420" t="b">
        <f t="shared" si="161"/>
        <v>1</v>
      </c>
      <c r="BG420">
        <f>IFERROR('Ashed teabags wet'!C418,"")</f>
        <v>145</v>
      </c>
      <c r="BH420">
        <f>IFERROR('Ashed teabags wet'!C835,"")</f>
        <v>0</v>
      </c>
      <c r="BI420">
        <f>'Ashed teabags wet'!AB418</f>
        <v>144</v>
      </c>
      <c r="BJ420" t="str">
        <f>'Ashed teabags wet'!AC418</f>
        <v/>
      </c>
      <c r="BK420">
        <f>'Ashed teabags wet'!AD835</f>
        <v>0</v>
      </c>
      <c r="BL420">
        <f>'Ashed teabags wet'!AE835</f>
        <v>0</v>
      </c>
      <c r="BN420" t="str">
        <f t="shared" si="162"/>
        <v>G901</v>
      </c>
      <c r="BO420" t="b">
        <f t="shared" si="163"/>
        <v>1</v>
      </c>
    </row>
    <row r="421" spans="2:68" ht="12" customHeight="1">
      <c r="B421" t="str">
        <f>TBIDry!H493</f>
        <v>G780</v>
      </c>
      <c r="C421" t="str">
        <f>TBIDry!I493</f>
        <v>R711</v>
      </c>
      <c r="D421" t="b">
        <f t="shared" si="144"/>
        <v>0</v>
      </c>
      <c r="E421" t="b">
        <f t="shared" si="145"/>
        <v>0</v>
      </c>
      <c r="G421" t="str">
        <f>TBIWet!H493</f>
        <v>G462</v>
      </c>
      <c r="H421" t="str">
        <f>TBIWet!I493</f>
        <v>R168</v>
      </c>
      <c r="I421" t="b">
        <f t="shared" si="146"/>
        <v>0</v>
      </c>
      <c r="J421" t="b">
        <f t="shared" si="147"/>
        <v>0</v>
      </c>
      <c r="L421" t="str">
        <f>'Both teabags AfterWet'!A420</f>
        <v>NA</v>
      </c>
      <c r="M421" t="str">
        <f>'Both teabags AfterWet'!A838</f>
        <v>R95</v>
      </c>
      <c r="N421" t="b">
        <f t="shared" si="148"/>
        <v>0</v>
      </c>
      <c r="O421" t="b">
        <f t="shared" si="149"/>
        <v>0</v>
      </c>
      <c r="P421">
        <f>IFERROR('Both teabags AfterWet'!B420,"")</f>
        <v>142</v>
      </c>
      <c r="Q421" t="str">
        <f>'Both teabags AfterWet'!B838</f>
        <v>n.a</v>
      </c>
      <c r="S421" s="401" t="b">
        <f t="shared" si="150"/>
        <v>0</v>
      </c>
      <c r="T421" s="401" t="b">
        <f t="shared" si="151"/>
        <v>0</v>
      </c>
      <c r="AA421" t="str">
        <f>'Green_rooibos initial weight'!A422</f>
        <v>G418</v>
      </c>
      <c r="AB421" t="str">
        <f>'Green_rooibos initial weight'!A1326</f>
        <v>R418</v>
      </c>
      <c r="AC421" t="b">
        <f t="shared" si="152"/>
        <v>0</v>
      </c>
      <c r="AD421" t="b">
        <f t="shared" si="153"/>
        <v>0</v>
      </c>
      <c r="AG421" t="str">
        <f>'WetLitterbags placem_collection'!O200</f>
        <v>G462</v>
      </c>
      <c r="AH421" t="str">
        <f>'WetLitterbags placem_collection'!Q200</f>
        <v>R168</v>
      </c>
      <c r="AI421" t="b">
        <f t="shared" si="154"/>
        <v>0</v>
      </c>
      <c r="AJ421" t="b">
        <f t="shared" si="155"/>
        <v>0</v>
      </c>
      <c r="AK421">
        <f>'WetLitterbags placem_collection'!A200</f>
        <v>198</v>
      </c>
      <c r="AL421">
        <f>'WetLitterbags placem_collection'!A200</f>
        <v>198</v>
      </c>
      <c r="AN421">
        <f>IF('Dry_Litterbag Placem_Collection'!L200=0,"",'Dry_Litterbag Placem_Collection'!L200)</f>
        <v>780</v>
      </c>
      <c r="AO421">
        <f>IF('Dry_Litterbag Placem_Collection'!M200=0,"",'Dry_Litterbag Placem_Collection'!M200)</f>
        <v>711</v>
      </c>
      <c r="AP421" t="b">
        <f t="shared" si="156"/>
        <v>0</v>
      </c>
      <c r="AQ421" t="b">
        <f t="shared" si="157"/>
        <v>0</v>
      </c>
      <c r="AZ421" s="401" t="b">
        <f t="shared" si="158"/>
        <v>0</v>
      </c>
      <c r="BA421" s="401" t="b">
        <f t="shared" si="159"/>
        <v>0</v>
      </c>
      <c r="BN421" t="str">
        <f t="shared" si="162"/>
        <v>G902</v>
      </c>
      <c r="BO421" t="b">
        <f t="shared" si="163"/>
        <v>1</v>
      </c>
      <c r="BP421" s="402"/>
    </row>
    <row r="422" spans="2:68" ht="12" customHeight="1">
      <c r="B422" t="str">
        <f>TBIDry!H494</f>
        <v>G182</v>
      </c>
      <c r="C422" t="str">
        <f>TBIDry!I494</f>
        <v>R236</v>
      </c>
      <c r="D422" t="b">
        <f t="shared" si="144"/>
        <v>0</v>
      </c>
      <c r="E422" t="b">
        <f t="shared" si="145"/>
        <v>0</v>
      </c>
      <c r="G422" t="str">
        <f>TBIWet!H494</f>
        <v>G712</v>
      </c>
      <c r="H422" t="str">
        <f>TBIWet!I494</f>
        <v>R369</v>
      </c>
      <c r="I422" t="b">
        <f t="shared" si="146"/>
        <v>0</v>
      </c>
      <c r="J422" t="b">
        <f t="shared" si="147"/>
        <v>0</v>
      </c>
      <c r="M422" t="str">
        <f>'Both teabags AfterWet'!A839</f>
        <v>R96</v>
      </c>
      <c r="N422" t="b">
        <f t="shared" si="148"/>
        <v>0</v>
      </c>
      <c r="O422" t="b">
        <f t="shared" si="149"/>
        <v>0</v>
      </c>
      <c r="P422">
        <f>IFERROR('Both teabags AfterWet'!B421,"")</f>
        <v>86</v>
      </c>
      <c r="Q422">
        <f>'Both teabags AfterWet'!B839</f>
        <v>163</v>
      </c>
      <c r="S422" s="401" t="b">
        <f t="shared" si="150"/>
        <v>0</v>
      </c>
      <c r="T422" s="401" t="b">
        <f t="shared" si="151"/>
        <v>0</v>
      </c>
      <c r="AA422" t="str">
        <f>'Green_rooibos initial weight'!A423</f>
        <v>G419</v>
      </c>
      <c r="AB422" t="str">
        <f>'Green_rooibos initial weight'!A1327</f>
        <v>R419</v>
      </c>
      <c r="AC422" t="b">
        <f t="shared" si="152"/>
        <v>0</v>
      </c>
      <c r="AD422" t="b">
        <f t="shared" si="153"/>
        <v>0</v>
      </c>
      <c r="AG422" t="str">
        <f>'WetLitterbags placem_collection'!O201</f>
        <v>G712</v>
      </c>
      <c r="AH422" t="str">
        <f>'WetLitterbags placem_collection'!Q201</f>
        <v>R369</v>
      </c>
      <c r="AI422" t="b">
        <f t="shared" si="154"/>
        <v>0</v>
      </c>
      <c r="AJ422" t="b">
        <f t="shared" si="155"/>
        <v>0</v>
      </c>
      <c r="AK422">
        <f>'WetLitterbags placem_collection'!A201</f>
        <v>199</v>
      </c>
      <c r="AL422">
        <f>'WetLitterbags placem_collection'!A201</f>
        <v>199</v>
      </c>
      <c r="AN422">
        <f>IF('Dry_Litterbag Placem_Collection'!L201=0,"",'Dry_Litterbag Placem_Collection'!L201)</f>
        <v>182</v>
      </c>
      <c r="AO422">
        <f>IF('Dry_Litterbag Placem_Collection'!M201=0,"",'Dry_Litterbag Placem_Collection'!M201)</f>
        <v>236</v>
      </c>
      <c r="AP422" t="b">
        <f t="shared" si="156"/>
        <v>0</v>
      </c>
      <c r="AQ422" t="b">
        <f t="shared" si="157"/>
        <v>0</v>
      </c>
      <c r="AZ422" s="401" t="b">
        <f t="shared" si="158"/>
        <v>0</v>
      </c>
      <c r="BA422" s="401" t="b">
        <f t="shared" si="159"/>
        <v>0</v>
      </c>
      <c r="BO422" t="b">
        <f t="shared" si="163"/>
        <v>0</v>
      </c>
      <c r="BP422" s="402"/>
    </row>
    <row r="423" spans="2:68" ht="12" customHeight="1">
      <c r="B423" t="str">
        <f>TBIDry!H495</f>
        <v>G186</v>
      </c>
      <c r="C423" t="str">
        <f>TBIDry!I495</f>
        <v>R205</v>
      </c>
      <c r="D423" t="b">
        <f t="shared" si="144"/>
        <v>0</v>
      </c>
      <c r="E423" t="b">
        <f t="shared" si="145"/>
        <v>0</v>
      </c>
      <c r="G423" t="str">
        <f>TBIWet!H495</f>
        <v>G709</v>
      </c>
      <c r="H423" t="str">
        <f>TBIWet!I495</f>
        <v>R359</v>
      </c>
      <c r="I423" t="b">
        <f t="shared" si="146"/>
        <v>0</v>
      </c>
      <c r="J423" t="b">
        <f t="shared" si="147"/>
        <v>0</v>
      </c>
      <c r="M423" t="str">
        <f>'Both teabags AfterWet'!A840</f>
        <v>R97</v>
      </c>
      <c r="N423" t="b">
        <f t="shared" si="148"/>
        <v>0</v>
      </c>
      <c r="O423" t="b">
        <f t="shared" si="149"/>
        <v>0</v>
      </c>
      <c r="P423" t="str">
        <f>IFERROR('Both teabags AfterWet'!B422,"")</f>
        <v>n.a</v>
      </c>
      <c r="Q423">
        <f>'Both teabags AfterWet'!B840</f>
        <v>36</v>
      </c>
      <c r="S423" s="401" t="b">
        <f t="shared" si="150"/>
        <v>0</v>
      </c>
      <c r="T423" s="401" t="b">
        <f t="shared" si="151"/>
        <v>0</v>
      </c>
      <c r="AA423" t="str">
        <f>'Green_rooibos initial weight'!A424</f>
        <v>G420</v>
      </c>
      <c r="AB423" t="str">
        <f>'Green_rooibos initial weight'!A1328</f>
        <v>R420</v>
      </c>
      <c r="AC423" t="b">
        <f t="shared" si="152"/>
        <v>0</v>
      </c>
      <c r="AD423" t="b">
        <f t="shared" si="153"/>
        <v>0</v>
      </c>
      <c r="AG423" t="str">
        <f>'WetLitterbags placem_collection'!O202</f>
        <v>G709</v>
      </c>
      <c r="AH423" t="str">
        <f>'WetLitterbags placem_collection'!Q202</f>
        <v>R359</v>
      </c>
      <c r="AI423" t="b">
        <f t="shared" si="154"/>
        <v>0</v>
      </c>
      <c r="AJ423" t="b">
        <f t="shared" si="155"/>
        <v>0</v>
      </c>
      <c r="AK423">
        <f>'WetLitterbags placem_collection'!A202</f>
        <v>200</v>
      </c>
      <c r="AL423">
        <f>'WetLitterbags placem_collection'!A202</f>
        <v>200</v>
      </c>
      <c r="AN423">
        <f>IF('Dry_Litterbag Placem_Collection'!L202=0,"",'Dry_Litterbag Placem_Collection'!L202)</f>
        <v>186</v>
      </c>
      <c r="AO423">
        <f>IF('Dry_Litterbag Placem_Collection'!M202=0,"",'Dry_Litterbag Placem_Collection'!M202)</f>
        <v>205</v>
      </c>
      <c r="AP423" t="b">
        <f t="shared" si="156"/>
        <v>0</v>
      </c>
      <c r="AQ423" t="b">
        <f t="shared" si="157"/>
        <v>0</v>
      </c>
      <c r="AZ423" s="401" t="b">
        <f t="shared" si="158"/>
        <v>0</v>
      </c>
      <c r="BA423" s="401" t="b">
        <f t="shared" si="159"/>
        <v>0</v>
      </c>
    </row>
    <row r="424" spans="2:68" ht="12" customHeight="1">
      <c r="B424" t="str">
        <f>TBIDry!H496</f>
        <v>G315</v>
      </c>
      <c r="C424" t="str">
        <f>TBIDry!I496</f>
        <v>R665</v>
      </c>
      <c r="D424" t="b">
        <f t="shared" si="144"/>
        <v>0</v>
      </c>
      <c r="E424" t="b">
        <f t="shared" si="145"/>
        <v>0</v>
      </c>
      <c r="G424" t="str">
        <f>TBIWet!H496</f>
        <v>G707</v>
      </c>
      <c r="H424" t="str">
        <f>TBIWet!I496</f>
        <v>R395</v>
      </c>
      <c r="I424" t="b">
        <f t="shared" si="146"/>
        <v>0</v>
      </c>
      <c r="J424" t="b">
        <f t="shared" si="147"/>
        <v>0</v>
      </c>
      <c r="M424" t="str">
        <f>'Both teabags AfterWet'!A841</f>
        <v>R99</v>
      </c>
      <c r="N424" t="b">
        <f t="shared" si="148"/>
        <v>0</v>
      </c>
      <c r="O424" t="b">
        <f t="shared" si="149"/>
        <v>0</v>
      </c>
      <c r="P424" t="str">
        <f>IFERROR('Both teabags AfterWet'!B423,"")</f>
        <v>n.a</v>
      </c>
      <c r="Q424">
        <f>'Both teabags AfterWet'!B841</f>
        <v>15</v>
      </c>
      <c r="S424" s="401" t="b">
        <f t="shared" si="150"/>
        <v>0</v>
      </c>
      <c r="T424" s="401" t="b">
        <f t="shared" si="151"/>
        <v>0</v>
      </c>
      <c r="AA424" t="str">
        <f>'Green_rooibos initial weight'!A425</f>
        <v>G421</v>
      </c>
      <c r="AB424" t="str">
        <f>'Green_rooibos initial weight'!A1329</f>
        <v>R421</v>
      </c>
      <c r="AC424" t="b">
        <f t="shared" si="152"/>
        <v>0</v>
      </c>
      <c r="AD424" t="b">
        <f t="shared" si="153"/>
        <v>0</v>
      </c>
      <c r="AG424" t="str">
        <f>'WetLitterbags placem_collection'!O203</f>
        <v>G707</v>
      </c>
      <c r="AH424" t="str">
        <f>'WetLitterbags placem_collection'!Q203</f>
        <v>R395</v>
      </c>
      <c r="AI424" t="b">
        <f t="shared" si="154"/>
        <v>0</v>
      </c>
      <c r="AJ424" t="b">
        <f t="shared" si="155"/>
        <v>0</v>
      </c>
      <c r="AK424">
        <f>'WetLitterbags placem_collection'!A203</f>
        <v>201</v>
      </c>
      <c r="AL424">
        <f>'WetLitterbags placem_collection'!A203</f>
        <v>201</v>
      </c>
      <c r="AN424">
        <f>IF('Dry_Litterbag Placem_Collection'!L203=0,"",'Dry_Litterbag Placem_Collection'!L203)</f>
        <v>315</v>
      </c>
      <c r="AO424">
        <f>IF('Dry_Litterbag Placem_Collection'!M203=0,"",'Dry_Litterbag Placem_Collection'!M203)</f>
        <v>665</v>
      </c>
      <c r="AP424" t="b">
        <f t="shared" si="156"/>
        <v>0</v>
      </c>
      <c r="AQ424" t="b">
        <f t="shared" si="157"/>
        <v>0</v>
      </c>
      <c r="AZ424" s="401" t="b">
        <f t="shared" si="158"/>
        <v>0</v>
      </c>
      <c r="BA424" s="401" t="b">
        <f t="shared" si="159"/>
        <v>0</v>
      </c>
      <c r="BN424" t="s">
        <v>3912</v>
      </c>
    </row>
    <row r="425" spans="2:68" ht="12" customHeight="1">
      <c r="B425" t="str">
        <f>TBIDry!H497</f>
        <v>G147</v>
      </c>
      <c r="C425" t="str">
        <f>TBIDry!I497</f>
        <v>R224</v>
      </c>
      <c r="D425" t="b">
        <f t="shared" si="144"/>
        <v>0</v>
      </c>
      <c r="E425" t="b">
        <f t="shared" si="145"/>
        <v>0</v>
      </c>
      <c r="G425" t="str">
        <f>TBIWet!H497</f>
        <v>G770</v>
      </c>
      <c r="H425" t="str">
        <f>TBIWet!I497</f>
        <v>R182</v>
      </c>
      <c r="I425" t="b">
        <f t="shared" si="146"/>
        <v>0</v>
      </c>
      <c r="J425" t="b">
        <f t="shared" si="147"/>
        <v>0</v>
      </c>
      <c r="M425">
        <f>'Both teabags AfterWet'!A842</f>
        <v>0</v>
      </c>
      <c r="N425" t="b">
        <f t="shared" si="148"/>
        <v>0</v>
      </c>
      <c r="O425" t="b">
        <f t="shared" si="149"/>
        <v>1</v>
      </c>
      <c r="P425" t="str">
        <f>IFERROR('Both teabags AfterWet'!B424,"")</f>
        <v>n.a</v>
      </c>
      <c r="Q425">
        <f>'Both teabags AfterWet'!B842</f>
        <v>0</v>
      </c>
      <c r="S425" s="401" t="b">
        <f t="shared" si="150"/>
        <v>0</v>
      </c>
      <c r="T425" s="401" t="b">
        <f t="shared" si="151"/>
        <v>0</v>
      </c>
      <c r="AA425" t="str">
        <f>'Green_rooibos initial weight'!A426</f>
        <v>G422</v>
      </c>
      <c r="AB425" t="str">
        <f>'Green_rooibos initial weight'!A1330</f>
        <v>R422</v>
      </c>
      <c r="AC425" t="b">
        <f t="shared" si="152"/>
        <v>0</v>
      </c>
      <c r="AD425" t="b">
        <f t="shared" si="153"/>
        <v>0</v>
      </c>
      <c r="AG425" t="str">
        <f>'WetLitterbags placem_collection'!O204</f>
        <v>G770</v>
      </c>
      <c r="AH425" t="str">
        <f>'WetLitterbags placem_collection'!Q204</f>
        <v>R182</v>
      </c>
      <c r="AI425" t="b">
        <f t="shared" si="154"/>
        <v>0</v>
      </c>
      <c r="AJ425" t="b">
        <f t="shared" si="155"/>
        <v>0</v>
      </c>
      <c r="AK425">
        <f>'WetLitterbags placem_collection'!A204</f>
        <v>202</v>
      </c>
      <c r="AL425">
        <f>'WetLitterbags placem_collection'!A204</f>
        <v>202</v>
      </c>
      <c r="AN425">
        <f>IF('Dry_Litterbag Placem_Collection'!L204=0,"",'Dry_Litterbag Placem_Collection'!L204)</f>
        <v>147</v>
      </c>
      <c r="AO425">
        <f>IF('Dry_Litterbag Placem_Collection'!M204=0,"",'Dry_Litterbag Placem_Collection'!M204)</f>
        <v>224</v>
      </c>
      <c r="AP425" t="b">
        <f t="shared" si="156"/>
        <v>0</v>
      </c>
      <c r="AQ425" t="b">
        <f t="shared" si="157"/>
        <v>0</v>
      </c>
      <c r="AZ425" s="401" t="b">
        <f t="shared" si="158"/>
        <v>0</v>
      </c>
      <c r="BA425" s="401" t="b">
        <f t="shared" si="159"/>
        <v>0</v>
      </c>
      <c r="BN425" s="401" t="str">
        <f t="shared" ref="BN425:BN488" si="164">L4</f>
        <v>G154</v>
      </c>
    </row>
    <row r="426" spans="2:68" ht="12" customHeight="1">
      <c r="B426" t="str">
        <f>TBIDry!H498</f>
        <v>G168</v>
      </c>
      <c r="C426" t="str">
        <f>TBIDry!I498</f>
        <v>R621</v>
      </c>
      <c r="D426" t="b">
        <f t="shared" si="144"/>
        <v>0</v>
      </c>
      <c r="E426" t="b">
        <f t="shared" si="145"/>
        <v>0</v>
      </c>
      <c r="G426" t="str">
        <f>TBIWet!H498</f>
        <v>G753</v>
      </c>
      <c r="H426" t="str">
        <f>TBIWet!I498</f>
        <v>R342</v>
      </c>
      <c r="I426" t="b">
        <f t="shared" si="146"/>
        <v>0</v>
      </c>
      <c r="J426" t="b">
        <f t="shared" si="147"/>
        <v>0</v>
      </c>
      <c r="M426">
        <f>'Both teabags AfterWet'!A842</f>
        <v>0</v>
      </c>
      <c r="N426" t="b">
        <f t="shared" si="148"/>
        <v>0</v>
      </c>
      <c r="O426" t="b">
        <f t="shared" si="149"/>
        <v>1</v>
      </c>
      <c r="P426" t="str">
        <f>IFERROR('Both teabags AfterWet'!B425,"")</f>
        <v>n.a</v>
      </c>
      <c r="Q426">
        <f>'Both teabags AfterWet'!B843</f>
        <v>0</v>
      </c>
      <c r="S426" s="401" t="b">
        <f t="shared" si="150"/>
        <v>0</v>
      </c>
      <c r="T426" s="401" t="b">
        <f t="shared" si="151"/>
        <v>0</v>
      </c>
      <c r="AA426" t="str">
        <f>'Green_rooibos initial weight'!A427</f>
        <v>G423</v>
      </c>
      <c r="AB426" t="str">
        <f>'Green_rooibos initial weight'!A1331</f>
        <v>R423</v>
      </c>
      <c r="AC426" t="b">
        <f t="shared" si="152"/>
        <v>0</v>
      </c>
      <c r="AD426" t="b">
        <f t="shared" si="153"/>
        <v>0</v>
      </c>
      <c r="AG426" t="str">
        <f>'WetLitterbags placem_collection'!O205</f>
        <v>G753</v>
      </c>
      <c r="AH426" t="str">
        <f>'WetLitterbags placem_collection'!Q205</f>
        <v>R342</v>
      </c>
      <c r="AI426" t="b">
        <f t="shared" si="154"/>
        <v>0</v>
      </c>
      <c r="AJ426" t="b">
        <f t="shared" si="155"/>
        <v>0</v>
      </c>
      <c r="AK426">
        <f>'WetLitterbags placem_collection'!A205</f>
        <v>203</v>
      </c>
      <c r="AL426">
        <f>'WetLitterbags placem_collection'!A205</f>
        <v>203</v>
      </c>
      <c r="AN426">
        <f>IF('Dry_Litterbag Placem_Collection'!L205=0,"",'Dry_Litterbag Placem_Collection'!L205)</f>
        <v>168</v>
      </c>
      <c r="AO426">
        <f>IF('Dry_Litterbag Placem_Collection'!M205=0,"",'Dry_Litterbag Placem_Collection'!M205)</f>
        <v>621</v>
      </c>
      <c r="AP426" t="b">
        <f t="shared" si="156"/>
        <v>0</v>
      </c>
      <c r="AQ426" t="b">
        <f t="shared" si="157"/>
        <v>0</v>
      </c>
      <c r="AZ426" s="401" t="b">
        <f t="shared" si="158"/>
        <v>0</v>
      </c>
      <c r="BA426" s="401" t="b">
        <f t="shared" si="159"/>
        <v>0</v>
      </c>
      <c r="BN426" t="str">
        <f t="shared" si="164"/>
        <v>G201</v>
      </c>
    </row>
    <row r="427" spans="2:68" ht="12" customHeight="1">
      <c r="B427" t="str">
        <f>TBIDry!H499</f>
        <v>G672</v>
      </c>
      <c r="C427" t="str">
        <f>TBIDry!I499</f>
        <v>R708</v>
      </c>
      <c r="D427" t="b">
        <f t="shared" si="144"/>
        <v>0</v>
      </c>
      <c r="E427" t="b">
        <f t="shared" si="145"/>
        <v>0</v>
      </c>
      <c r="G427" t="str">
        <f>TBIWet!H499</f>
        <v>G640</v>
      </c>
      <c r="H427" t="str">
        <f>TBIWet!I499</f>
        <v>R139</v>
      </c>
      <c r="I427" t="b">
        <f t="shared" si="146"/>
        <v>0</v>
      </c>
      <c r="J427" t="b">
        <f t="shared" si="147"/>
        <v>0</v>
      </c>
      <c r="M427">
        <f>'Both teabags AfterWet'!A843</f>
        <v>0</v>
      </c>
      <c r="N427" t="b">
        <f t="shared" si="148"/>
        <v>0</v>
      </c>
      <c r="O427" t="b">
        <f t="shared" si="149"/>
        <v>1</v>
      </c>
      <c r="P427" t="str">
        <f>IFERROR('Both teabags AfterWet'!B426,"")</f>
        <v>n.a</v>
      </c>
      <c r="Q427">
        <f>'Both teabags AfterWet'!B844</f>
        <v>0</v>
      </c>
      <c r="S427" s="401" t="b">
        <f t="shared" si="150"/>
        <v>0</v>
      </c>
      <c r="T427" s="401" t="b">
        <f t="shared" si="151"/>
        <v>0</v>
      </c>
      <c r="AA427" t="str">
        <f>'Green_rooibos initial weight'!A428</f>
        <v>G424</v>
      </c>
      <c r="AB427" t="str">
        <f>'Green_rooibos initial weight'!A1332</f>
        <v>R424</v>
      </c>
      <c r="AC427" t="b">
        <f t="shared" si="152"/>
        <v>0</v>
      </c>
      <c r="AD427" t="b">
        <f t="shared" si="153"/>
        <v>0</v>
      </c>
      <c r="AG427" t="str">
        <f>'WetLitterbags placem_collection'!O206</f>
        <v>G640</v>
      </c>
      <c r="AH427" t="str">
        <f>'WetLitterbags placem_collection'!Q206</f>
        <v>R139</v>
      </c>
      <c r="AI427" t="b">
        <f t="shared" si="154"/>
        <v>0</v>
      </c>
      <c r="AJ427" t="b">
        <f t="shared" si="155"/>
        <v>0</v>
      </c>
      <c r="AK427">
        <f>'WetLitterbags placem_collection'!A206</f>
        <v>204</v>
      </c>
      <c r="AL427">
        <f>'WetLitterbags placem_collection'!A206</f>
        <v>204</v>
      </c>
      <c r="AN427">
        <f>IF('Dry_Litterbag Placem_Collection'!L206=0,"",'Dry_Litterbag Placem_Collection'!L206)</f>
        <v>672</v>
      </c>
      <c r="AO427">
        <f>IF('Dry_Litterbag Placem_Collection'!M206=0,"",'Dry_Litterbag Placem_Collection'!M206)</f>
        <v>708</v>
      </c>
      <c r="AP427" t="b">
        <f t="shared" si="156"/>
        <v>0</v>
      </c>
      <c r="AQ427" t="b">
        <f t="shared" si="157"/>
        <v>0</v>
      </c>
      <c r="AZ427" s="401" t="b">
        <f t="shared" si="158"/>
        <v>0</v>
      </c>
      <c r="BA427" s="401" t="b">
        <f t="shared" si="159"/>
        <v>0</v>
      </c>
      <c r="BN427" t="str">
        <f t="shared" si="164"/>
        <v>G202</v>
      </c>
    </row>
    <row r="428" spans="2:68" ht="12" customHeight="1">
      <c r="B428" t="str">
        <f>TBIDry!H500</f>
        <v>G173</v>
      </c>
      <c r="C428" t="str">
        <f>TBIDry!I500</f>
        <v>R637</v>
      </c>
      <c r="D428" t="b">
        <f t="shared" si="144"/>
        <v>0</v>
      </c>
      <c r="E428" t="b">
        <f t="shared" si="145"/>
        <v>0</v>
      </c>
      <c r="G428" t="str">
        <f>TBIWet!H500</f>
        <v>G668</v>
      </c>
      <c r="H428" t="str">
        <f>TBIWet!I500</f>
        <v>R92</v>
      </c>
      <c r="I428" t="b">
        <f t="shared" si="146"/>
        <v>0</v>
      </c>
      <c r="J428" t="b">
        <f t="shared" si="147"/>
        <v>0</v>
      </c>
      <c r="S428" s="401" t="b">
        <f t="shared" si="150"/>
        <v>0</v>
      </c>
      <c r="T428" s="401" t="b">
        <f t="shared" si="151"/>
        <v>0</v>
      </c>
      <c r="AA428" t="str">
        <f>'Green_rooibos initial weight'!A429</f>
        <v>G425</v>
      </c>
      <c r="AB428" t="str">
        <f>'Green_rooibos initial weight'!A1333</f>
        <v>R425</v>
      </c>
      <c r="AC428" t="b">
        <f t="shared" si="152"/>
        <v>0</v>
      </c>
      <c r="AD428" t="b">
        <f t="shared" si="153"/>
        <v>0</v>
      </c>
      <c r="AG428" t="str">
        <f>'WetLitterbags placem_collection'!O207</f>
        <v>G668</v>
      </c>
      <c r="AH428" t="str">
        <f>'WetLitterbags placem_collection'!Q207</f>
        <v>R92</v>
      </c>
      <c r="AI428" t="b">
        <f t="shared" si="154"/>
        <v>0</v>
      </c>
      <c r="AJ428" t="b">
        <f t="shared" si="155"/>
        <v>0</v>
      </c>
      <c r="AK428">
        <f>'WetLitterbags placem_collection'!A207</f>
        <v>205</v>
      </c>
      <c r="AL428">
        <f>'WetLitterbags placem_collection'!A207</f>
        <v>205</v>
      </c>
      <c r="AN428">
        <f>IF('Dry_Litterbag Placem_Collection'!L207=0,"",'Dry_Litterbag Placem_Collection'!L207)</f>
        <v>173</v>
      </c>
      <c r="AO428">
        <f>IF('Dry_Litterbag Placem_Collection'!M207=0,"",'Dry_Litterbag Placem_Collection'!M207)</f>
        <v>637</v>
      </c>
      <c r="AP428" t="b">
        <f t="shared" si="156"/>
        <v>0</v>
      </c>
      <c r="AQ428" t="b">
        <f t="shared" si="157"/>
        <v>0</v>
      </c>
      <c r="AZ428" s="401" t="b">
        <f t="shared" si="158"/>
        <v>0</v>
      </c>
      <c r="BA428" s="401" t="b">
        <f t="shared" si="159"/>
        <v>0</v>
      </c>
      <c r="BN428" t="str">
        <f t="shared" si="164"/>
        <v>G214</v>
      </c>
    </row>
    <row r="429" spans="2:68" ht="12" customHeight="1">
      <c r="B429" t="str">
        <f>TBIDry!H501</f>
        <v>G262</v>
      </c>
      <c r="C429" t="str">
        <f>TBIDry!I501</f>
        <v>R284</v>
      </c>
      <c r="D429" t="b">
        <f t="shared" si="144"/>
        <v>0</v>
      </c>
      <c r="E429" t="b">
        <f t="shared" si="145"/>
        <v>0</v>
      </c>
      <c r="G429" t="str">
        <f>TBIWet!H501</f>
        <v>G891</v>
      </c>
      <c r="H429" t="str">
        <f>TBIWet!I501</f>
        <v>R328</v>
      </c>
      <c r="I429" t="b">
        <f t="shared" si="146"/>
        <v>0</v>
      </c>
      <c r="J429" t="b">
        <f t="shared" si="147"/>
        <v>0</v>
      </c>
      <c r="S429" s="401" t="b">
        <f t="shared" si="150"/>
        <v>0</v>
      </c>
      <c r="T429" s="401" t="b">
        <f t="shared" si="151"/>
        <v>0</v>
      </c>
      <c r="AA429" t="str">
        <f>'Green_rooibos initial weight'!A430</f>
        <v>G426</v>
      </c>
      <c r="AB429" t="str">
        <f>'Green_rooibos initial weight'!A1334</f>
        <v>R426</v>
      </c>
      <c r="AC429" t="b">
        <f t="shared" si="152"/>
        <v>0</v>
      </c>
      <c r="AD429" t="b">
        <f t="shared" si="153"/>
        <v>0</v>
      </c>
      <c r="AG429" t="str">
        <f>'WetLitterbags placem_collection'!O208</f>
        <v>G891</v>
      </c>
      <c r="AH429" t="str">
        <f>'WetLitterbags placem_collection'!Q208</f>
        <v>R328</v>
      </c>
      <c r="AI429" t="b">
        <f t="shared" si="154"/>
        <v>0</v>
      </c>
      <c r="AJ429" t="b">
        <f t="shared" si="155"/>
        <v>0</v>
      </c>
      <c r="AK429">
        <f>'WetLitterbags placem_collection'!A208</f>
        <v>206</v>
      </c>
      <c r="AL429">
        <f>'WetLitterbags placem_collection'!A208</f>
        <v>206</v>
      </c>
      <c r="AN429">
        <f>IF('Dry_Litterbag Placem_Collection'!L208=0,"",'Dry_Litterbag Placem_Collection'!L208)</f>
        <v>262</v>
      </c>
      <c r="AO429">
        <f>IF('Dry_Litterbag Placem_Collection'!M208=0,"",'Dry_Litterbag Placem_Collection'!M208)</f>
        <v>284</v>
      </c>
      <c r="AP429" t="b">
        <f t="shared" si="156"/>
        <v>0</v>
      </c>
      <c r="AQ429" t="b">
        <f t="shared" si="157"/>
        <v>0</v>
      </c>
      <c r="AZ429" s="401" t="b">
        <f t="shared" si="158"/>
        <v>0</v>
      </c>
      <c r="BA429" s="401" t="b">
        <f t="shared" si="159"/>
        <v>0</v>
      </c>
      <c r="BN429" t="str">
        <f t="shared" si="164"/>
        <v>G216</v>
      </c>
    </row>
    <row r="430" spans="2:68" ht="12" customHeight="1">
      <c r="B430" t="str">
        <f>TBIDry!H502</f>
        <v>G230</v>
      </c>
      <c r="C430" t="str">
        <f>TBIDry!I502</f>
        <v>R604</v>
      </c>
      <c r="D430" t="b">
        <f t="shared" si="144"/>
        <v>0</v>
      </c>
      <c r="E430" t="b">
        <f t="shared" si="145"/>
        <v>0</v>
      </c>
      <c r="G430" t="str">
        <f>TBIWet!H502</f>
        <v>G540</v>
      </c>
      <c r="H430" t="str">
        <f>TBIWet!I502</f>
        <v>R149</v>
      </c>
      <c r="I430" s="113" t="b">
        <f t="shared" si="146"/>
        <v>0</v>
      </c>
      <c r="J430" t="b">
        <f t="shared" si="147"/>
        <v>0</v>
      </c>
      <c r="S430" s="401" t="b">
        <f t="shared" si="150"/>
        <v>0</v>
      </c>
      <c r="T430" s="401" t="b">
        <f t="shared" si="151"/>
        <v>0</v>
      </c>
      <c r="AA430" t="str">
        <f>'Green_rooibos initial weight'!A431</f>
        <v>G427</v>
      </c>
      <c r="AB430" t="str">
        <f>'Green_rooibos initial weight'!A1335</f>
        <v>R427</v>
      </c>
      <c r="AC430" t="b">
        <f t="shared" si="152"/>
        <v>0</v>
      </c>
      <c r="AD430" t="b">
        <f t="shared" si="153"/>
        <v>0</v>
      </c>
      <c r="AG430" t="str">
        <f>'WetLitterbags placem_collection'!O209</f>
        <v>G540</v>
      </c>
      <c r="AH430" t="str">
        <f>'WetLitterbags placem_collection'!Q209</f>
        <v>R149</v>
      </c>
      <c r="AI430" s="113" t="b">
        <f t="shared" si="154"/>
        <v>0</v>
      </c>
      <c r="AJ430" t="b">
        <f t="shared" si="155"/>
        <v>0</v>
      </c>
      <c r="AK430">
        <f>'WetLitterbags placem_collection'!A209</f>
        <v>207</v>
      </c>
      <c r="AL430">
        <f>'WetLitterbags placem_collection'!A209</f>
        <v>207</v>
      </c>
      <c r="AN430">
        <f>IF('Dry_Litterbag Placem_Collection'!L209=0,"",'Dry_Litterbag Placem_Collection'!L209)</f>
        <v>230</v>
      </c>
      <c r="AO430">
        <f>IF('Dry_Litterbag Placem_Collection'!M209=0,"",'Dry_Litterbag Placem_Collection'!M209)</f>
        <v>604</v>
      </c>
      <c r="AP430" t="b">
        <f t="shared" si="156"/>
        <v>0</v>
      </c>
      <c r="AQ430" t="b">
        <f t="shared" si="157"/>
        <v>0</v>
      </c>
      <c r="AZ430" s="401" t="b">
        <f t="shared" si="158"/>
        <v>0</v>
      </c>
      <c r="BA430" s="401" t="b">
        <f t="shared" si="159"/>
        <v>0</v>
      </c>
      <c r="BN430" t="str">
        <f t="shared" si="164"/>
        <v>G217</v>
      </c>
    </row>
    <row r="431" spans="2:68" ht="12" customHeight="1">
      <c r="B431" t="str">
        <f>TBIDry!H503</f>
        <v>G140</v>
      </c>
      <c r="C431" t="str">
        <f>TBIDry!I503</f>
        <v>R625</v>
      </c>
      <c r="D431" t="b">
        <f t="shared" si="144"/>
        <v>0</v>
      </c>
      <c r="E431" t="b">
        <f t="shared" si="145"/>
        <v>0</v>
      </c>
      <c r="G431" t="str">
        <f>TBIWet!H503</f>
        <v>G508</v>
      </c>
      <c r="H431" t="str">
        <f>TBIWet!I503</f>
        <v>R449</v>
      </c>
      <c r="I431" t="b">
        <f t="shared" si="146"/>
        <v>0</v>
      </c>
      <c r="J431" t="b">
        <f t="shared" si="147"/>
        <v>0</v>
      </c>
      <c r="S431" s="401" t="b">
        <f t="shared" si="150"/>
        <v>0</v>
      </c>
      <c r="T431" s="401" t="b">
        <f t="shared" si="151"/>
        <v>0</v>
      </c>
      <c r="AA431" t="str">
        <f>'Green_rooibos initial weight'!A432</f>
        <v>G428</v>
      </c>
      <c r="AB431" t="str">
        <f>'Green_rooibos initial weight'!A1336</f>
        <v>R428</v>
      </c>
      <c r="AC431" t="b">
        <f t="shared" si="152"/>
        <v>0</v>
      </c>
      <c r="AD431" t="b">
        <f t="shared" si="153"/>
        <v>0</v>
      </c>
      <c r="AG431" t="str">
        <f>'WetLitterbags placem_collection'!O210</f>
        <v>G508</v>
      </c>
      <c r="AH431" t="str">
        <f>'WetLitterbags placem_collection'!Q210</f>
        <v>R449</v>
      </c>
      <c r="AI431" t="b">
        <f t="shared" si="154"/>
        <v>0</v>
      </c>
      <c r="AJ431" t="b">
        <f t="shared" si="155"/>
        <v>0</v>
      </c>
      <c r="AK431">
        <f>'WetLitterbags placem_collection'!A210</f>
        <v>208</v>
      </c>
      <c r="AL431">
        <f>'WetLitterbags placem_collection'!A210</f>
        <v>208</v>
      </c>
      <c r="AN431">
        <f>IF('Dry_Litterbag Placem_Collection'!L210=0,"",'Dry_Litterbag Placem_Collection'!L210)</f>
        <v>140</v>
      </c>
      <c r="AO431">
        <f>IF('Dry_Litterbag Placem_Collection'!M210=0,"",'Dry_Litterbag Placem_Collection'!M210)</f>
        <v>625</v>
      </c>
      <c r="AP431" t="b">
        <f t="shared" si="156"/>
        <v>0</v>
      </c>
      <c r="AQ431" t="b">
        <f t="shared" si="157"/>
        <v>0</v>
      </c>
      <c r="AZ431" s="401" t="b">
        <f t="shared" si="158"/>
        <v>0</v>
      </c>
      <c r="BA431" s="401" t="b">
        <f t="shared" si="159"/>
        <v>0</v>
      </c>
      <c r="BN431" t="str">
        <f t="shared" si="164"/>
        <v>G222</v>
      </c>
    </row>
    <row r="432" spans="2:68" ht="12" customHeight="1">
      <c r="B432" t="str">
        <f>TBIDry!H504</f>
        <v>G92</v>
      </c>
      <c r="C432" t="str">
        <f>TBIDry!I504</f>
        <v>R647</v>
      </c>
      <c r="D432" t="b">
        <f t="shared" si="144"/>
        <v>0</v>
      </c>
      <c r="E432" t="b">
        <f t="shared" si="145"/>
        <v>0</v>
      </c>
      <c r="G432" t="str">
        <f>TBIWet!H504</f>
        <v>G637</v>
      </c>
      <c r="H432" t="str">
        <f>TBIWet!I504</f>
        <v>R142</v>
      </c>
      <c r="I432" t="b">
        <f t="shared" si="146"/>
        <v>0</v>
      </c>
      <c r="J432" t="b">
        <f t="shared" si="147"/>
        <v>0</v>
      </c>
      <c r="S432" s="401" t="b">
        <f t="shared" si="150"/>
        <v>0</v>
      </c>
      <c r="T432" s="401" t="b">
        <f t="shared" si="151"/>
        <v>0</v>
      </c>
      <c r="AA432" t="str">
        <f>'Green_rooibos initial weight'!A433</f>
        <v>G429</v>
      </c>
      <c r="AB432" t="str">
        <f>'Green_rooibos initial weight'!A1337</f>
        <v>R429</v>
      </c>
      <c r="AC432" t="b">
        <f t="shared" si="152"/>
        <v>0</v>
      </c>
      <c r="AD432" t="b">
        <f t="shared" si="153"/>
        <v>0</v>
      </c>
      <c r="AG432" t="str">
        <f>'WetLitterbags placem_collection'!O211</f>
        <v>G637</v>
      </c>
      <c r="AH432" t="str">
        <f>'WetLitterbags placem_collection'!Q211</f>
        <v>R142</v>
      </c>
      <c r="AI432" t="b">
        <f t="shared" si="154"/>
        <v>0</v>
      </c>
      <c r="AJ432" t="b">
        <f t="shared" si="155"/>
        <v>0</v>
      </c>
      <c r="AK432">
        <f>'WetLitterbags placem_collection'!A211</f>
        <v>209</v>
      </c>
      <c r="AL432">
        <f>'WetLitterbags placem_collection'!A211</f>
        <v>209</v>
      </c>
      <c r="AN432">
        <f>IF('Dry_Litterbag Placem_Collection'!L211=0,"",'Dry_Litterbag Placem_Collection'!L211)</f>
        <v>92</v>
      </c>
      <c r="AO432">
        <f>IF('Dry_Litterbag Placem_Collection'!M211=0,"",'Dry_Litterbag Placem_Collection'!M211)</f>
        <v>647</v>
      </c>
      <c r="AP432" t="b">
        <f t="shared" si="156"/>
        <v>0</v>
      </c>
      <c r="AQ432" t="b">
        <f t="shared" si="157"/>
        <v>0</v>
      </c>
      <c r="AZ432" s="401" t="b">
        <f t="shared" si="158"/>
        <v>0</v>
      </c>
      <c r="BA432" s="401" t="b">
        <f t="shared" si="159"/>
        <v>0</v>
      </c>
      <c r="BN432" t="str">
        <f t="shared" si="164"/>
        <v>G240</v>
      </c>
    </row>
    <row r="433" spans="2:66" ht="12" customHeight="1">
      <c r="B433" t="str">
        <f>TBIDry!H505</f>
        <v>G36</v>
      </c>
      <c r="C433" t="str">
        <f>TBIDry!I505</f>
        <v>R599</v>
      </c>
      <c r="D433" t="b">
        <f t="shared" si="144"/>
        <v>0</v>
      </c>
      <c r="E433" t="b">
        <f t="shared" si="145"/>
        <v>0</v>
      </c>
      <c r="G433" t="str">
        <f>TBIWet!H505</f>
        <v>G720</v>
      </c>
      <c r="H433" t="str">
        <f>TBIWet!I505</f>
        <v>R392</v>
      </c>
      <c r="I433" t="b">
        <f t="shared" si="146"/>
        <v>0</v>
      </c>
      <c r="J433" t="b">
        <f t="shared" si="147"/>
        <v>0</v>
      </c>
      <c r="S433" s="401" t="b">
        <f t="shared" si="150"/>
        <v>0</v>
      </c>
      <c r="T433" s="401" t="b">
        <f t="shared" si="151"/>
        <v>0</v>
      </c>
      <c r="AA433" t="str">
        <f>'Green_rooibos initial weight'!A434</f>
        <v>G430</v>
      </c>
      <c r="AB433" t="str">
        <f>'Green_rooibos initial weight'!A1338</f>
        <v>R430</v>
      </c>
      <c r="AC433" t="b">
        <f t="shared" si="152"/>
        <v>0</v>
      </c>
      <c r="AD433" t="b">
        <f t="shared" si="153"/>
        <v>0</v>
      </c>
      <c r="AG433" t="str">
        <f>'WetLitterbags placem_collection'!O212</f>
        <v>G720</v>
      </c>
      <c r="AH433" t="str">
        <f>'WetLitterbags placem_collection'!Q212</f>
        <v>R392</v>
      </c>
      <c r="AI433" t="b">
        <f t="shared" si="154"/>
        <v>0</v>
      </c>
      <c r="AJ433" t="b">
        <f t="shared" si="155"/>
        <v>0</v>
      </c>
      <c r="AK433">
        <f>'WetLitterbags placem_collection'!A212</f>
        <v>210</v>
      </c>
      <c r="AL433">
        <f>'WetLitterbags placem_collection'!A212</f>
        <v>210</v>
      </c>
      <c r="AN433">
        <f>IF('Dry_Litterbag Placem_Collection'!L212=0,"",'Dry_Litterbag Placem_Collection'!L212)</f>
        <v>36</v>
      </c>
      <c r="AO433">
        <f>IF('Dry_Litterbag Placem_Collection'!M212=0,"",'Dry_Litterbag Placem_Collection'!M212)</f>
        <v>599</v>
      </c>
      <c r="AP433" t="b">
        <f t="shared" si="156"/>
        <v>0</v>
      </c>
      <c r="AQ433" t="b">
        <f t="shared" si="157"/>
        <v>0</v>
      </c>
      <c r="AZ433" s="401" t="b">
        <f t="shared" si="158"/>
        <v>0</v>
      </c>
      <c r="BA433" s="401" t="b">
        <f t="shared" si="159"/>
        <v>0</v>
      </c>
      <c r="BN433" t="str">
        <f t="shared" si="164"/>
        <v>G241</v>
      </c>
    </row>
    <row r="434" spans="2:66" ht="12" customHeight="1">
      <c r="B434" t="str">
        <f>TBIDry!H506</f>
        <v>G434</v>
      </c>
      <c r="C434" t="str">
        <f>TBIDry!I506</f>
        <v>R670</v>
      </c>
      <c r="D434" t="b">
        <f t="shared" si="144"/>
        <v>0</v>
      </c>
      <c r="E434" t="b">
        <f t="shared" si="145"/>
        <v>0</v>
      </c>
      <c r="G434" t="str">
        <f>TBIWet!H506</f>
        <v>G796</v>
      </c>
      <c r="H434" t="str">
        <f>TBIWet!I506</f>
        <v>R589</v>
      </c>
      <c r="I434" t="b">
        <f t="shared" si="146"/>
        <v>0</v>
      </c>
      <c r="J434" t="b">
        <f t="shared" si="147"/>
        <v>0</v>
      </c>
      <c r="S434" s="401" t="b">
        <f t="shared" si="150"/>
        <v>0</v>
      </c>
      <c r="T434" s="401" t="b">
        <f t="shared" si="151"/>
        <v>0</v>
      </c>
      <c r="AA434" t="str">
        <f>'Green_rooibos initial weight'!A435</f>
        <v>G431</v>
      </c>
      <c r="AB434" t="str">
        <f>'Green_rooibos initial weight'!A1339</f>
        <v>R431</v>
      </c>
      <c r="AC434" t="b">
        <f t="shared" si="152"/>
        <v>0</v>
      </c>
      <c r="AD434" t="b">
        <f t="shared" si="153"/>
        <v>0</v>
      </c>
      <c r="AG434" t="str">
        <f>'WetLitterbags placem_collection'!O213</f>
        <v>G796</v>
      </c>
      <c r="AH434" t="str">
        <f>'WetLitterbags placem_collection'!Q213</f>
        <v>R589</v>
      </c>
      <c r="AI434" t="b">
        <f t="shared" si="154"/>
        <v>0</v>
      </c>
      <c r="AJ434" t="b">
        <f t="shared" si="155"/>
        <v>0</v>
      </c>
      <c r="AK434">
        <f>'WetLitterbags placem_collection'!A213</f>
        <v>211</v>
      </c>
      <c r="AL434">
        <f>'WetLitterbags placem_collection'!A213</f>
        <v>211</v>
      </c>
      <c r="AN434">
        <f>IF('Dry_Litterbag Placem_Collection'!L213=0,"",'Dry_Litterbag Placem_Collection'!L213)</f>
        <v>434</v>
      </c>
      <c r="AO434">
        <f>IF('Dry_Litterbag Placem_Collection'!M213=0,"",'Dry_Litterbag Placem_Collection'!M213)</f>
        <v>670</v>
      </c>
      <c r="AP434" t="b">
        <f t="shared" si="156"/>
        <v>0</v>
      </c>
      <c r="AQ434" t="b">
        <f t="shared" si="157"/>
        <v>0</v>
      </c>
      <c r="AZ434" s="401" t="b">
        <f t="shared" si="158"/>
        <v>0</v>
      </c>
      <c r="BA434" s="401" t="b">
        <f t="shared" si="159"/>
        <v>0</v>
      </c>
      <c r="BN434" t="str">
        <f t="shared" si="164"/>
        <v>G249</v>
      </c>
    </row>
    <row r="435" spans="2:66" ht="12" customHeight="1">
      <c r="B435" t="str">
        <f>TBIDry!H507</f>
        <v>G56</v>
      </c>
      <c r="C435" t="str">
        <f>TBIDry!I507</f>
        <v>R256</v>
      </c>
      <c r="D435" t="b">
        <f t="shared" si="144"/>
        <v>0</v>
      </c>
      <c r="E435" t="b">
        <f t="shared" si="145"/>
        <v>0</v>
      </c>
      <c r="G435" t="str">
        <f>TBIWet!H507</f>
        <v>G560</v>
      </c>
      <c r="H435" t="str">
        <f>TBIWet!I507</f>
        <v>R130</v>
      </c>
      <c r="I435" t="b">
        <f t="shared" si="146"/>
        <v>0</v>
      </c>
      <c r="J435" t="b">
        <f t="shared" si="147"/>
        <v>0</v>
      </c>
      <c r="S435" s="401" t="b">
        <f t="shared" si="150"/>
        <v>0</v>
      </c>
      <c r="T435" s="401" t="b">
        <f t="shared" si="151"/>
        <v>0</v>
      </c>
      <c r="AA435" t="str">
        <f>'Green_rooibos initial weight'!A436</f>
        <v>G432</v>
      </c>
      <c r="AB435" t="str">
        <f>'Green_rooibos initial weight'!A1340</f>
        <v>R432</v>
      </c>
      <c r="AC435" t="b">
        <f t="shared" si="152"/>
        <v>0</v>
      </c>
      <c r="AD435" t="b">
        <f t="shared" si="153"/>
        <v>0</v>
      </c>
      <c r="AG435" t="str">
        <f>'WetLitterbags placem_collection'!O214</f>
        <v>G560</v>
      </c>
      <c r="AH435" t="str">
        <f>'WetLitterbags placem_collection'!Q214</f>
        <v>R130</v>
      </c>
      <c r="AI435" t="b">
        <f t="shared" si="154"/>
        <v>0</v>
      </c>
      <c r="AJ435" t="b">
        <f t="shared" si="155"/>
        <v>0</v>
      </c>
      <c r="AK435">
        <f>'WetLitterbags placem_collection'!A214</f>
        <v>212</v>
      </c>
      <c r="AL435">
        <f>'WetLitterbags placem_collection'!A214</f>
        <v>212</v>
      </c>
      <c r="AN435">
        <f>IF('Dry_Litterbag Placem_Collection'!L214=0,"",'Dry_Litterbag Placem_Collection'!L214)</f>
        <v>56</v>
      </c>
      <c r="AO435">
        <f>IF('Dry_Litterbag Placem_Collection'!M214=0,"",'Dry_Litterbag Placem_Collection'!M214)</f>
        <v>256</v>
      </c>
      <c r="AP435" t="b">
        <f t="shared" si="156"/>
        <v>0</v>
      </c>
      <c r="AQ435" t="b">
        <f t="shared" si="157"/>
        <v>0</v>
      </c>
      <c r="AZ435" s="401" t="b">
        <f t="shared" si="158"/>
        <v>0</v>
      </c>
      <c r="BA435" s="401" t="b">
        <f t="shared" si="159"/>
        <v>0</v>
      </c>
      <c r="BN435" t="str">
        <f t="shared" si="164"/>
        <v>G251</v>
      </c>
    </row>
    <row r="436" spans="2:66" ht="12" customHeight="1">
      <c r="B436" t="str">
        <f>TBIDry!H508</f>
        <v>G363</v>
      </c>
      <c r="C436" t="str">
        <f>TBIDry!I508</f>
        <v>R658</v>
      </c>
      <c r="D436" t="b">
        <f t="shared" si="144"/>
        <v>0</v>
      </c>
      <c r="E436" t="b">
        <f t="shared" si="145"/>
        <v>0</v>
      </c>
      <c r="G436" t="str">
        <f>TBIWet!H508</f>
        <v>G716</v>
      </c>
      <c r="H436" t="str">
        <f>TBIWet!I508</f>
        <v>R111</v>
      </c>
      <c r="I436" t="b">
        <f t="shared" si="146"/>
        <v>0</v>
      </c>
      <c r="J436" t="b">
        <f t="shared" si="147"/>
        <v>0</v>
      </c>
      <c r="S436" s="401" t="b">
        <f t="shared" si="150"/>
        <v>0</v>
      </c>
      <c r="T436" s="401" t="b">
        <f t="shared" si="151"/>
        <v>0</v>
      </c>
      <c r="AA436" t="str">
        <f>'Green_rooibos initial weight'!A437</f>
        <v>G433</v>
      </c>
      <c r="AB436" t="str">
        <f>'Green_rooibos initial weight'!A1341</f>
        <v>R433</v>
      </c>
      <c r="AC436" t="b">
        <f t="shared" si="152"/>
        <v>0</v>
      </c>
      <c r="AD436" t="b">
        <f t="shared" si="153"/>
        <v>0</v>
      </c>
      <c r="AG436" t="str">
        <f>'WetLitterbags placem_collection'!O215</f>
        <v>G716</v>
      </c>
      <c r="AH436" t="str">
        <f>'WetLitterbags placem_collection'!Q215</f>
        <v>R111</v>
      </c>
      <c r="AI436" t="b">
        <f t="shared" si="154"/>
        <v>0</v>
      </c>
      <c r="AJ436" t="b">
        <f t="shared" si="155"/>
        <v>0</v>
      </c>
      <c r="AK436">
        <f>'WetLitterbags placem_collection'!A215</f>
        <v>213</v>
      </c>
      <c r="AL436">
        <f>'WetLitterbags placem_collection'!A215</f>
        <v>213</v>
      </c>
      <c r="AN436">
        <f>IF('Dry_Litterbag Placem_Collection'!L215=0,"",'Dry_Litterbag Placem_Collection'!L215)</f>
        <v>363</v>
      </c>
      <c r="AO436">
        <f>IF('Dry_Litterbag Placem_Collection'!M215=0,"",'Dry_Litterbag Placem_Collection'!M215)</f>
        <v>658</v>
      </c>
      <c r="AP436" t="b">
        <f t="shared" si="156"/>
        <v>0</v>
      </c>
      <c r="AQ436" t="b">
        <f t="shared" si="157"/>
        <v>0</v>
      </c>
      <c r="AZ436" s="401" t="b">
        <f t="shared" si="158"/>
        <v>0</v>
      </c>
      <c r="BA436" s="401" t="b">
        <f t="shared" si="159"/>
        <v>0</v>
      </c>
      <c r="BN436" t="str">
        <f t="shared" si="164"/>
        <v>G269</v>
      </c>
    </row>
    <row r="437" spans="2:66" ht="12" customHeight="1">
      <c r="B437" t="str">
        <f>TBIDry!H509</f>
        <v>G5</v>
      </c>
      <c r="C437" t="str">
        <f>TBIDry!I509</f>
        <v>R699</v>
      </c>
      <c r="D437" t="b">
        <f t="shared" si="144"/>
        <v>0</v>
      </c>
      <c r="E437" t="b">
        <f t="shared" si="145"/>
        <v>0</v>
      </c>
      <c r="G437" t="str">
        <f>TBIWet!H509</f>
        <v>G581</v>
      </c>
      <c r="H437" t="str">
        <f>TBIWet!I509</f>
        <v>R412</v>
      </c>
      <c r="I437" t="b">
        <f t="shared" si="146"/>
        <v>0</v>
      </c>
      <c r="J437" t="b">
        <f t="shared" si="147"/>
        <v>0</v>
      </c>
      <c r="S437" s="401" t="b">
        <f t="shared" si="150"/>
        <v>0</v>
      </c>
      <c r="T437" s="401" t="b">
        <f t="shared" si="151"/>
        <v>0</v>
      </c>
      <c r="AA437" t="str">
        <f>'Green_rooibos initial weight'!A438</f>
        <v>G434</v>
      </c>
      <c r="AB437" t="str">
        <f>'Green_rooibos initial weight'!A1342</f>
        <v>R434</v>
      </c>
      <c r="AC437" t="b">
        <f t="shared" si="152"/>
        <v>0</v>
      </c>
      <c r="AD437" t="b">
        <f t="shared" si="153"/>
        <v>0</v>
      </c>
      <c r="AG437" t="str">
        <f>'WetLitterbags placem_collection'!O216</f>
        <v>G581</v>
      </c>
      <c r="AH437" t="str">
        <f>'WetLitterbags placem_collection'!Q216</f>
        <v>R412</v>
      </c>
      <c r="AI437" t="b">
        <f t="shared" si="154"/>
        <v>0</v>
      </c>
      <c r="AJ437" t="b">
        <f t="shared" si="155"/>
        <v>0</v>
      </c>
      <c r="AK437">
        <f>'WetLitterbags placem_collection'!A216</f>
        <v>214</v>
      </c>
      <c r="AL437">
        <f>'WetLitterbags placem_collection'!A216</f>
        <v>214</v>
      </c>
      <c r="AN437">
        <f>IF('Dry_Litterbag Placem_Collection'!L216=0,"",'Dry_Litterbag Placem_Collection'!L216)</f>
        <v>5</v>
      </c>
      <c r="AO437">
        <f>IF('Dry_Litterbag Placem_Collection'!M216=0,"",'Dry_Litterbag Placem_Collection'!M216)</f>
        <v>699</v>
      </c>
      <c r="AP437" t="b">
        <f t="shared" si="156"/>
        <v>0</v>
      </c>
      <c r="AQ437" t="b">
        <f t="shared" si="157"/>
        <v>0</v>
      </c>
      <c r="AZ437" s="401" t="b">
        <f t="shared" si="158"/>
        <v>0</v>
      </c>
      <c r="BA437" s="401" t="b">
        <f t="shared" si="159"/>
        <v>0</v>
      </c>
      <c r="BN437" t="str">
        <f t="shared" si="164"/>
        <v>G281</v>
      </c>
    </row>
    <row r="438" spans="2:66" ht="12" customHeight="1">
      <c r="B438" t="str">
        <f>TBIDry!H510</f>
        <v>G771</v>
      </c>
      <c r="C438" t="str">
        <f>TBIDry!I510</f>
        <v>R663</v>
      </c>
      <c r="D438" t="b">
        <f t="shared" si="144"/>
        <v>0</v>
      </c>
      <c r="E438" t="b">
        <f t="shared" si="145"/>
        <v>0</v>
      </c>
      <c r="G438" t="str">
        <f>TBIWet!H510</f>
        <v>G718</v>
      </c>
      <c r="H438" t="str">
        <f>TBIWet!I510</f>
        <v>R434</v>
      </c>
      <c r="I438" t="b">
        <f t="shared" si="146"/>
        <v>0</v>
      </c>
      <c r="J438" t="b">
        <f t="shared" si="147"/>
        <v>0</v>
      </c>
      <c r="S438" s="401" t="b">
        <f t="shared" si="150"/>
        <v>0</v>
      </c>
      <c r="T438" s="401" t="b">
        <f t="shared" si="151"/>
        <v>0</v>
      </c>
      <c r="AA438" t="str">
        <f>'Green_rooibos initial weight'!A439</f>
        <v>G435</v>
      </c>
      <c r="AB438" t="str">
        <f>'Green_rooibos initial weight'!A1343</f>
        <v>R435</v>
      </c>
      <c r="AC438" t="b">
        <f t="shared" si="152"/>
        <v>0</v>
      </c>
      <c r="AD438" t="b">
        <f t="shared" si="153"/>
        <v>0</v>
      </c>
      <c r="AG438" t="str">
        <f>'WetLitterbags placem_collection'!O217</f>
        <v>G718</v>
      </c>
      <c r="AH438" t="str">
        <f>'WetLitterbags placem_collection'!Q217</f>
        <v>R434</v>
      </c>
      <c r="AI438" t="b">
        <f t="shared" si="154"/>
        <v>0</v>
      </c>
      <c r="AJ438" t="b">
        <f t="shared" si="155"/>
        <v>0</v>
      </c>
      <c r="AK438">
        <f>'WetLitterbags placem_collection'!A217</f>
        <v>215</v>
      </c>
      <c r="AL438">
        <f>'WetLitterbags placem_collection'!A217</f>
        <v>215</v>
      </c>
      <c r="AN438">
        <f>IF('Dry_Litterbag Placem_Collection'!L217=0,"",'Dry_Litterbag Placem_Collection'!L217)</f>
        <v>771</v>
      </c>
      <c r="AO438">
        <f>IF('Dry_Litterbag Placem_Collection'!M217=0,"",'Dry_Litterbag Placem_Collection'!M217)</f>
        <v>663</v>
      </c>
      <c r="AP438" t="b">
        <f t="shared" si="156"/>
        <v>0</v>
      </c>
      <c r="AQ438" t="b">
        <f t="shared" si="157"/>
        <v>0</v>
      </c>
      <c r="AZ438" s="401" t="b">
        <f t="shared" si="158"/>
        <v>0</v>
      </c>
      <c r="BA438" s="401" t="b">
        <f t="shared" si="159"/>
        <v>0</v>
      </c>
      <c r="BN438" t="str">
        <f t="shared" si="164"/>
        <v>G282</v>
      </c>
    </row>
    <row r="439" spans="2:66" ht="12" customHeight="1">
      <c r="B439" t="str">
        <f>TBIDry!H511</f>
        <v>G361</v>
      </c>
      <c r="C439" t="str">
        <f>TBIDry!I511</f>
        <v>R622</v>
      </c>
      <c r="D439" t="b">
        <f t="shared" si="144"/>
        <v>0</v>
      </c>
      <c r="E439" t="b">
        <f t="shared" si="145"/>
        <v>0</v>
      </c>
      <c r="G439" t="str">
        <f>TBIWet!H511</f>
        <v>G613</v>
      </c>
      <c r="H439" t="str">
        <f>TBIWet!I511</f>
        <v>R457</v>
      </c>
      <c r="I439" t="b">
        <f t="shared" si="146"/>
        <v>0</v>
      </c>
      <c r="J439" t="b">
        <f t="shared" si="147"/>
        <v>0</v>
      </c>
      <c r="S439" s="401" t="b">
        <f t="shared" si="150"/>
        <v>0</v>
      </c>
      <c r="T439" s="401" t="b">
        <f t="shared" si="151"/>
        <v>0</v>
      </c>
      <c r="AA439" t="str">
        <f>'Green_rooibos initial weight'!A440</f>
        <v>G436</v>
      </c>
      <c r="AB439" t="str">
        <f>'Green_rooibos initial weight'!A1344</f>
        <v>R436</v>
      </c>
      <c r="AC439" t="b">
        <f t="shared" si="152"/>
        <v>0</v>
      </c>
      <c r="AD439" t="b">
        <f t="shared" si="153"/>
        <v>0</v>
      </c>
      <c r="AG439" t="str">
        <f>'WetLitterbags placem_collection'!O218</f>
        <v>G613</v>
      </c>
      <c r="AH439" t="str">
        <f>'WetLitterbags placem_collection'!Q218</f>
        <v>R457</v>
      </c>
      <c r="AI439" t="b">
        <f t="shared" si="154"/>
        <v>0</v>
      </c>
      <c r="AJ439" t="b">
        <f t="shared" si="155"/>
        <v>0</v>
      </c>
      <c r="AK439">
        <f>'WetLitterbags placem_collection'!A218</f>
        <v>216</v>
      </c>
      <c r="AL439">
        <f>'WetLitterbags placem_collection'!A218</f>
        <v>216</v>
      </c>
      <c r="AN439">
        <f>IF('Dry_Litterbag Placem_Collection'!L218=0,"",'Dry_Litterbag Placem_Collection'!L218)</f>
        <v>361</v>
      </c>
      <c r="AO439">
        <f>IF('Dry_Litterbag Placem_Collection'!M218=0,"",'Dry_Litterbag Placem_Collection'!M218)</f>
        <v>622</v>
      </c>
      <c r="AP439" t="b">
        <f t="shared" si="156"/>
        <v>0</v>
      </c>
      <c r="AQ439" t="b">
        <f t="shared" si="157"/>
        <v>0</v>
      </c>
      <c r="AZ439" s="401" t="b">
        <f t="shared" si="158"/>
        <v>0</v>
      </c>
      <c r="BA439" s="401" t="b">
        <f t="shared" si="159"/>
        <v>0</v>
      </c>
      <c r="BN439" t="str">
        <f t="shared" si="164"/>
        <v>G283</v>
      </c>
    </row>
    <row r="440" spans="2:66" ht="12" customHeight="1">
      <c r="B440" t="str">
        <f>TBIDry!H512</f>
        <v>G204</v>
      </c>
      <c r="C440" t="str">
        <f>TBIDry!I512</f>
        <v>R608</v>
      </c>
      <c r="D440" t="b">
        <f t="shared" si="144"/>
        <v>0</v>
      </c>
      <c r="E440" t="b">
        <f t="shared" si="145"/>
        <v>0</v>
      </c>
      <c r="G440" t="str">
        <f>TBIWet!H512</f>
        <v>G804</v>
      </c>
      <c r="H440" t="str">
        <f>TBIWet!I512</f>
        <v>R410</v>
      </c>
      <c r="I440" t="b">
        <f t="shared" si="146"/>
        <v>0</v>
      </c>
      <c r="J440" t="b">
        <f t="shared" si="147"/>
        <v>0</v>
      </c>
      <c r="S440" s="401" t="b">
        <f t="shared" si="150"/>
        <v>0</v>
      </c>
      <c r="T440" s="401" t="b">
        <f t="shared" si="151"/>
        <v>0</v>
      </c>
      <c r="AA440" t="str">
        <f>'Green_rooibos initial weight'!A441</f>
        <v>G437</v>
      </c>
      <c r="AB440" t="str">
        <f>'Green_rooibos initial weight'!A1345</f>
        <v>R437</v>
      </c>
      <c r="AC440" t="b">
        <f t="shared" si="152"/>
        <v>0</v>
      </c>
      <c r="AD440" t="b">
        <f t="shared" si="153"/>
        <v>0</v>
      </c>
      <c r="AG440" t="str">
        <f>'WetLitterbags placem_collection'!O219</f>
        <v>G804</v>
      </c>
      <c r="AH440" t="str">
        <f>'WetLitterbags placem_collection'!Q219</f>
        <v>R410</v>
      </c>
      <c r="AI440" t="b">
        <f t="shared" si="154"/>
        <v>0</v>
      </c>
      <c r="AJ440" t="b">
        <f t="shared" si="155"/>
        <v>0</v>
      </c>
      <c r="AK440">
        <f>'WetLitterbags placem_collection'!A219</f>
        <v>217</v>
      </c>
      <c r="AL440">
        <f>'WetLitterbags placem_collection'!A219</f>
        <v>217</v>
      </c>
      <c r="AN440">
        <f>IF('Dry_Litterbag Placem_Collection'!L219=0,"",'Dry_Litterbag Placem_Collection'!L219)</f>
        <v>204</v>
      </c>
      <c r="AO440">
        <f>IF('Dry_Litterbag Placem_Collection'!M219=0,"",'Dry_Litterbag Placem_Collection'!M219)</f>
        <v>608</v>
      </c>
      <c r="AP440" t="b">
        <f t="shared" si="156"/>
        <v>0</v>
      </c>
      <c r="AQ440" t="b">
        <f t="shared" si="157"/>
        <v>0</v>
      </c>
      <c r="AZ440" s="401" t="b">
        <f t="shared" si="158"/>
        <v>0</v>
      </c>
      <c r="BA440" s="401" t="b">
        <f t="shared" si="159"/>
        <v>0</v>
      </c>
      <c r="BN440" t="str">
        <f t="shared" si="164"/>
        <v>G286</v>
      </c>
    </row>
    <row r="441" spans="2:66" ht="12" customHeight="1">
      <c r="B441" t="str">
        <f>TBIDry!H513</f>
        <v>G170</v>
      </c>
      <c r="C441" t="str">
        <f>TBIDry!I513</f>
        <v>R639</v>
      </c>
      <c r="D441" t="b">
        <f t="shared" si="144"/>
        <v>0</v>
      </c>
      <c r="E441" t="b">
        <f t="shared" si="145"/>
        <v>0</v>
      </c>
      <c r="G441" t="str">
        <f>TBIWet!H513</f>
        <v>G587</v>
      </c>
      <c r="H441" t="str">
        <f>TBIWet!I513</f>
        <v>R103</v>
      </c>
      <c r="I441" t="b">
        <f t="shared" si="146"/>
        <v>0</v>
      </c>
      <c r="J441" t="b">
        <f t="shared" si="147"/>
        <v>0</v>
      </c>
      <c r="S441" s="401" t="b">
        <f t="shared" si="150"/>
        <v>0</v>
      </c>
      <c r="T441" s="401" t="b">
        <f t="shared" si="151"/>
        <v>0</v>
      </c>
      <c r="AA441" t="str">
        <f>'Green_rooibos initial weight'!A442</f>
        <v>G438</v>
      </c>
      <c r="AB441" t="str">
        <f>'Green_rooibos initial weight'!A1346</f>
        <v>R438</v>
      </c>
      <c r="AC441" t="b">
        <f t="shared" si="152"/>
        <v>0</v>
      </c>
      <c r="AD441" t="b">
        <f t="shared" si="153"/>
        <v>0</v>
      </c>
      <c r="AG441" t="str">
        <f>'WetLitterbags placem_collection'!O220</f>
        <v>G587</v>
      </c>
      <c r="AH441" t="str">
        <f>'WetLitterbags placem_collection'!Q220</f>
        <v>R103</v>
      </c>
      <c r="AI441" t="b">
        <f t="shared" si="154"/>
        <v>0</v>
      </c>
      <c r="AJ441" t="b">
        <f t="shared" si="155"/>
        <v>0</v>
      </c>
      <c r="AK441">
        <f>'WetLitterbags placem_collection'!A220</f>
        <v>218</v>
      </c>
      <c r="AL441">
        <f>'WetLitterbags placem_collection'!A220</f>
        <v>218</v>
      </c>
      <c r="AN441">
        <f>IF('Dry_Litterbag Placem_Collection'!L220=0,"",'Dry_Litterbag Placem_Collection'!L220)</f>
        <v>170</v>
      </c>
      <c r="AO441">
        <f>IF('Dry_Litterbag Placem_Collection'!M220=0,"",'Dry_Litterbag Placem_Collection'!M220)</f>
        <v>639</v>
      </c>
      <c r="AP441" t="b">
        <f t="shared" si="156"/>
        <v>0</v>
      </c>
      <c r="AQ441" t="b">
        <f t="shared" si="157"/>
        <v>0</v>
      </c>
      <c r="AZ441" s="401" t="b">
        <f t="shared" si="158"/>
        <v>0</v>
      </c>
      <c r="BA441" s="401" t="b">
        <f t="shared" si="159"/>
        <v>0</v>
      </c>
      <c r="BN441" t="str">
        <f t="shared" si="164"/>
        <v>G287</v>
      </c>
    </row>
    <row r="442" spans="2:66" ht="12" customHeight="1">
      <c r="B442" t="str">
        <f>TBIDry!H514</f>
        <v>G123</v>
      </c>
      <c r="C442" t="str">
        <f>TBIDry!I514</f>
        <v>R246</v>
      </c>
      <c r="D442" t="b">
        <f t="shared" si="144"/>
        <v>0</v>
      </c>
      <c r="E442" t="b">
        <f t="shared" si="145"/>
        <v>0</v>
      </c>
      <c r="G442" t="str">
        <f>TBIWet!H514</f>
        <v>G491</v>
      </c>
      <c r="H442" t="str">
        <f>TBIWet!I514</f>
        <v>R356</v>
      </c>
      <c r="I442" t="b">
        <f t="shared" si="146"/>
        <v>0</v>
      </c>
      <c r="J442" t="b">
        <f t="shared" si="147"/>
        <v>0</v>
      </c>
      <c r="S442" s="401" t="b">
        <f t="shared" si="150"/>
        <v>0</v>
      </c>
      <c r="T442" s="401" t="b">
        <f t="shared" si="151"/>
        <v>0</v>
      </c>
      <c r="AA442" t="str">
        <f>'Green_rooibos initial weight'!A443</f>
        <v>G439</v>
      </c>
      <c r="AB442" t="str">
        <f>'Green_rooibos initial weight'!A1347</f>
        <v>R439</v>
      </c>
      <c r="AC442" t="b">
        <f t="shared" si="152"/>
        <v>0</v>
      </c>
      <c r="AD442" t="b">
        <f t="shared" si="153"/>
        <v>0</v>
      </c>
      <c r="AG442" t="str">
        <f>'WetLitterbags placem_collection'!O221</f>
        <v>G491</v>
      </c>
      <c r="AH442" t="str">
        <f>'WetLitterbags placem_collection'!Q221</f>
        <v>R356</v>
      </c>
      <c r="AI442" t="b">
        <f t="shared" si="154"/>
        <v>0</v>
      </c>
      <c r="AJ442" t="b">
        <f t="shared" si="155"/>
        <v>0</v>
      </c>
      <c r="AK442">
        <f>'WetLitterbags placem_collection'!A221</f>
        <v>219</v>
      </c>
      <c r="AL442">
        <f>'WetLitterbags placem_collection'!A221</f>
        <v>219</v>
      </c>
      <c r="AN442">
        <f>IF('Dry_Litterbag Placem_Collection'!L221=0,"",'Dry_Litterbag Placem_Collection'!L221)</f>
        <v>123</v>
      </c>
      <c r="AO442">
        <f>IF('Dry_Litterbag Placem_Collection'!M221=0,"",'Dry_Litterbag Placem_Collection'!M221)</f>
        <v>246</v>
      </c>
      <c r="AP442" t="b">
        <f t="shared" si="156"/>
        <v>0</v>
      </c>
      <c r="AQ442" t="b">
        <f t="shared" si="157"/>
        <v>0</v>
      </c>
      <c r="AZ442" s="401" t="b">
        <f t="shared" si="158"/>
        <v>0</v>
      </c>
      <c r="BA442" s="401" t="b">
        <f t="shared" si="159"/>
        <v>0</v>
      </c>
      <c r="BN442" t="str">
        <f t="shared" si="164"/>
        <v>G291</v>
      </c>
    </row>
    <row r="443" spans="2:66" ht="12" customHeight="1">
      <c r="B443" t="str">
        <f>TBIDry!H515</f>
        <v>G53</v>
      </c>
      <c r="C443" t="str">
        <f>TBIDry!I515</f>
        <v>R672</v>
      </c>
      <c r="D443" t="b">
        <f t="shared" si="144"/>
        <v>0</v>
      </c>
      <c r="E443" t="b">
        <f t="shared" si="145"/>
        <v>0</v>
      </c>
      <c r="G443" t="str">
        <f>TBIWet!H515</f>
        <v>G849</v>
      </c>
      <c r="H443" t="str">
        <f>TBIWet!I515</f>
        <v>R319</v>
      </c>
      <c r="I443" t="b">
        <f t="shared" si="146"/>
        <v>0</v>
      </c>
      <c r="J443" t="b">
        <f t="shared" si="147"/>
        <v>0</v>
      </c>
      <c r="S443" s="401" t="b">
        <f t="shared" si="150"/>
        <v>0</v>
      </c>
      <c r="T443" s="401" t="b">
        <f t="shared" si="151"/>
        <v>0</v>
      </c>
      <c r="AA443" t="str">
        <f>'Green_rooibos initial weight'!A444</f>
        <v>G440</v>
      </c>
      <c r="AB443" t="str">
        <f>'Green_rooibos initial weight'!A1348</f>
        <v>R440</v>
      </c>
      <c r="AC443" t="b">
        <f t="shared" si="152"/>
        <v>0</v>
      </c>
      <c r="AD443" t="b">
        <f t="shared" si="153"/>
        <v>0</v>
      </c>
      <c r="AG443" t="str">
        <f>'WetLitterbags placem_collection'!O222</f>
        <v>G849</v>
      </c>
      <c r="AH443" t="str">
        <f>'WetLitterbags placem_collection'!Q222</f>
        <v>R319</v>
      </c>
      <c r="AI443" t="b">
        <f t="shared" si="154"/>
        <v>0</v>
      </c>
      <c r="AJ443" t="b">
        <f t="shared" si="155"/>
        <v>0</v>
      </c>
      <c r="AK443">
        <f>'WetLitterbags placem_collection'!A222</f>
        <v>220</v>
      </c>
      <c r="AL443">
        <f>'WetLitterbags placem_collection'!A222</f>
        <v>220</v>
      </c>
      <c r="AN443">
        <f>IF('Dry_Litterbag Placem_Collection'!L222=0,"",'Dry_Litterbag Placem_Collection'!L222)</f>
        <v>53</v>
      </c>
      <c r="AO443">
        <f>IF('Dry_Litterbag Placem_Collection'!M222=0,"",'Dry_Litterbag Placem_Collection'!M222)</f>
        <v>672</v>
      </c>
      <c r="AP443" t="b">
        <f t="shared" si="156"/>
        <v>0</v>
      </c>
      <c r="AQ443" t="b">
        <f t="shared" si="157"/>
        <v>0</v>
      </c>
      <c r="AZ443" s="401" t="b">
        <f t="shared" si="158"/>
        <v>0</v>
      </c>
      <c r="BA443" s="401" t="b">
        <f t="shared" si="159"/>
        <v>0</v>
      </c>
      <c r="BN443" t="str">
        <f t="shared" si="164"/>
        <v>G297</v>
      </c>
    </row>
    <row r="444" spans="2:66" ht="12" customHeight="1">
      <c r="B444">
        <f>TBIDry!H516</f>
        <v>0</v>
      </c>
      <c r="C444">
        <f>TBIDry!I516</f>
        <v>0</v>
      </c>
      <c r="D444" t="b">
        <f t="shared" si="144"/>
        <v>1</v>
      </c>
      <c r="E444" t="b">
        <f t="shared" si="145"/>
        <v>1</v>
      </c>
      <c r="G444">
        <f>TBIWet!H516</f>
        <v>0</v>
      </c>
      <c r="H444">
        <f>TBIWet!I516</f>
        <v>0</v>
      </c>
      <c r="I444" t="b">
        <f t="shared" si="146"/>
        <v>1</v>
      </c>
      <c r="J444" t="b">
        <f t="shared" si="147"/>
        <v>1</v>
      </c>
      <c r="S444" s="401" t="b">
        <f t="shared" si="150"/>
        <v>0</v>
      </c>
      <c r="T444" s="401" t="b">
        <f t="shared" si="151"/>
        <v>0</v>
      </c>
      <c r="AA444" t="str">
        <f>'Green_rooibos initial weight'!A445</f>
        <v>G441</v>
      </c>
      <c r="AB444" t="str">
        <f>'Green_rooibos initial weight'!A1349</f>
        <v>R441</v>
      </c>
      <c r="AC444" t="b">
        <f t="shared" si="152"/>
        <v>0</v>
      </c>
      <c r="AD444" t="b">
        <f t="shared" si="153"/>
        <v>0</v>
      </c>
      <c r="AG444">
        <f>'WetLitterbags placem_collection'!O223</f>
        <v>0</v>
      </c>
      <c r="AH444">
        <f>'WetLitterbags placem_collection'!Q223</f>
        <v>0</v>
      </c>
      <c r="AI444" t="b">
        <f t="shared" si="154"/>
        <v>1</v>
      </c>
      <c r="AJ444" t="b">
        <f t="shared" si="155"/>
        <v>1</v>
      </c>
      <c r="AN444" t="str">
        <f>IF('Dry_Litterbag Placem_Collection'!L223=0,"",'Dry_Litterbag Placem_Collection'!L223)</f>
        <v/>
      </c>
      <c r="AO444" t="str">
        <f>IF('Dry_Litterbag Placem_Collection'!M223=0,"",'Dry_Litterbag Placem_Collection'!M223)</f>
        <v/>
      </c>
      <c r="AP444" t="b">
        <f t="shared" si="156"/>
        <v>1</v>
      </c>
      <c r="AQ444" t="b">
        <f t="shared" si="157"/>
        <v>1</v>
      </c>
      <c r="AZ444" s="401" t="b">
        <f t="shared" si="158"/>
        <v>0</v>
      </c>
      <c r="BA444" s="401" t="b">
        <f t="shared" si="159"/>
        <v>0</v>
      </c>
      <c r="BN444" t="str">
        <f t="shared" si="164"/>
        <v>G298</v>
      </c>
    </row>
    <row r="445" spans="2:66" ht="12" customHeight="1">
      <c r="B445">
        <f>TBIDry!H517</f>
        <v>0</v>
      </c>
      <c r="C445">
        <f>TBIDry!I517</f>
        <v>0</v>
      </c>
      <c r="D445" t="b">
        <f t="shared" si="144"/>
        <v>1</v>
      </c>
      <c r="E445" t="b">
        <f t="shared" si="145"/>
        <v>1</v>
      </c>
      <c r="G445">
        <f>TBIWet!H517</f>
        <v>0</v>
      </c>
      <c r="H445">
        <f>TBIWet!I517</f>
        <v>0</v>
      </c>
      <c r="I445" t="b">
        <f t="shared" si="146"/>
        <v>1</v>
      </c>
      <c r="J445" t="b">
        <f t="shared" si="147"/>
        <v>1</v>
      </c>
      <c r="S445" s="401" t="b">
        <f t="shared" si="150"/>
        <v>0</v>
      </c>
      <c r="T445" s="401" t="b">
        <f t="shared" si="151"/>
        <v>0</v>
      </c>
      <c r="AA445" t="str">
        <f>'Green_rooibos initial weight'!A446</f>
        <v>G442</v>
      </c>
      <c r="AB445" t="str">
        <f>'Green_rooibos initial weight'!A1350</f>
        <v>R442</v>
      </c>
      <c r="AC445" t="b">
        <f t="shared" si="152"/>
        <v>0</v>
      </c>
      <c r="AD445" t="b">
        <f t="shared" si="153"/>
        <v>0</v>
      </c>
      <c r="AG445">
        <f>'WetLitterbags placem_collection'!O224</f>
        <v>0</v>
      </c>
      <c r="AH445">
        <f>'WetLitterbags placem_collection'!Q224</f>
        <v>0</v>
      </c>
      <c r="AI445" t="b">
        <f t="shared" si="154"/>
        <v>1</v>
      </c>
      <c r="AJ445" t="b">
        <f t="shared" si="155"/>
        <v>1</v>
      </c>
      <c r="AN445" t="str">
        <f>IF('Dry_Litterbag Placem_Collection'!L224=0,"",'Dry_Litterbag Placem_Collection'!L224)</f>
        <v/>
      </c>
      <c r="AP445" t="b">
        <f t="shared" si="156"/>
        <v>1</v>
      </c>
      <c r="AQ445" t="b">
        <f t="shared" si="157"/>
        <v>0</v>
      </c>
      <c r="AZ445" s="401" t="b">
        <f t="shared" si="158"/>
        <v>0</v>
      </c>
      <c r="BA445" s="401" t="b">
        <f t="shared" si="159"/>
        <v>0</v>
      </c>
      <c r="BN445" t="str">
        <f t="shared" si="164"/>
        <v>G299</v>
      </c>
    </row>
    <row r="446" spans="2:66" ht="12" customHeight="1">
      <c r="B446">
        <f>TBIDry!H518</f>
        <v>0</v>
      </c>
      <c r="C446">
        <f>TBIDry!I518</f>
        <v>0</v>
      </c>
      <c r="D446" t="b">
        <f t="shared" si="144"/>
        <v>1</v>
      </c>
      <c r="E446" t="b">
        <f t="shared" si="145"/>
        <v>1</v>
      </c>
      <c r="G446">
        <f>TBIWet!H518</f>
        <v>0</v>
      </c>
      <c r="H446">
        <f>TBIWet!I518</f>
        <v>0</v>
      </c>
      <c r="I446" t="b">
        <f t="shared" si="146"/>
        <v>1</v>
      </c>
      <c r="J446" t="b">
        <f t="shared" si="147"/>
        <v>1</v>
      </c>
      <c r="S446" s="401" t="b">
        <f t="shared" si="150"/>
        <v>0</v>
      </c>
      <c r="T446" s="401" t="b">
        <f t="shared" si="151"/>
        <v>0</v>
      </c>
      <c r="AA446" t="str">
        <f>'Green_rooibos initial weight'!A447</f>
        <v>G443</v>
      </c>
      <c r="AB446" t="str">
        <f>'Green_rooibos initial weight'!A1351</f>
        <v>R443</v>
      </c>
      <c r="AC446" t="b">
        <f t="shared" si="152"/>
        <v>0</v>
      </c>
      <c r="AD446" t="b">
        <f t="shared" si="153"/>
        <v>0</v>
      </c>
      <c r="AG446">
        <f>'WetLitterbags placem_collection'!O225</f>
        <v>0</v>
      </c>
      <c r="AH446">
        <f>'WetLitterbags placem_collection'!Q225</f>
        <v>0</v>
      </c>
      <c r="AI446" t="b">
        <f t="shared" si="154"/>
        <v>1</v>
      </c>
      <c r="AJ446" t="b">
        <f t="shared" si="155"/>
        <v>1</v>
      </c>
      <c r="AN446" t="str">
        <f>IF('Dry_Litterbag Placem_Collection'!L225=0,"",'Dry_Litterbag Placem_Collection'!L225)</f>
        <v/>
      </c>
      <c r="AP446" t="b">
        <f t="shared" si="156"/>
        <v>1</v>
      </c>
      <c r="AQ446" t="b">
        <f t="shared" si="157"/>
        <v>0</v>
      </c>
      <c r="AZ446" s="401" t="b">
        <f t="shared" si="158"/>
        <v>0</v>
      </c>
      <c r="BA446" s="401" t="b">
        <f t="shared" si="159"/>
        <v>0</v>
      </c>
      <c r="BN446" t="str">
        <f t="shared" si="164"/>
        <v>G308</v>
      </c>
    </row>
    <row r="447" spans="2:66" ht="12" customHeight="1">
      <c r="B447">
        <f>TBIDry!H519</f>
        <v>0</v>
      </c>
      <c r="C447">
        <f>TBIDry!I519</f>
        <v>0</v>
      </c>
      <c r="D447" t="b">
        <f t="shared" si="144"/>
        <v>1</v>
      </c>
      <c r="E447" t="b">
        <f t="shared" si="145"/>
        <v>1</v>
      </c>
      <c r="G447">
        <f>TBIWet!H519</f>
        <v>0</v>
      </c>
      <c r="H447">
        <f>TBIWet!I519</f>
        <v>0</v>
      </c>
      <c r="I447" t="b">
        <f t="shared" si="146"/>
        <v>1</v>
      </c>
      <c r="J447" t="b">
        <f t="shared" si="147"/>
        <v>1</v>
      </c>
      <c r="S447" s="401" t="b">
        <f t="shared" si="150"/>
        <v>0</v>
      </c>
      <c r="T447" s="401" t="b">
        <f t="shared" si="151"/>
        <v>0</v>
      </c>
      <c r="AA447" t="str">
        <f>'Green_rooibos initial weight'!A448</f>
        <v>G444</v>
      </c>
      <c r="AB447" t="str">
        <f>'Green_rooibos initial weight'!A1352</f>
        <v>R444</v>
      </c>
      <c r="AC447" t="b">
        <f t="shared" si="152"/>
        <v>0</v>
      </c>
      <c r="AD447" t="b">
        <f t="shared" si="153"/>
        <v>0</v>
      </c>
      <c r="AG447">
        <f>'WetLitterbags placem_collection'!O226</f>
        <v>0</v>
      </c>
      <c r="AH447">
        <f>'WetLitterbags placem_collection'!Q226</f>
        <v>0</v>
      </c>
      <c r="AI447" t="b">
        <f t="shared" si="154"/>
        <v>1</v>
      </c>
      <c r="AJ447" t="b">
        <f t="shared" si="155"/>
        <v>1</v>
      </c>
      <c r="AN447" t="str">
        <f>IF('Dry_Litterbag Placem_Collection'!L226=0,"",'Dry_Litterbag Placem_Collection'!L226)</f>
        <v/>
      </c>
      <c r="AP447" t="b">
        <f t="shared" si="156"/>
        <v>1</v>
      </c>
      <c r="AQ447" t="b">
        <f t="shared" si="157"/>
        <v>0</v>
      </c>
      <c r="AZ447" s="401" t="b">
        <f t="shared" si="158"/>
        <v>0</v>
      </c>
      <c r="BA447" s="401" t="b">
        <f t="shared" si="159"/>
        <v>0</v>
      </c>
      <c r="BN447" t="str">
        <f t="shared" si="164"/>
        <v>G334</v>
      </c>
    </row>
    <row r="448" spans="2:66" ht="12" customHeight="1">
      <c r="B448">
        <f>TBIDry!H520</f>
        <v>0</v>
      </c>
      <c r="C448">
        <f>TBIDry!I520</f>
        <v>0</v>
      </c>
      <c r="D448" t="b">
        <f t="shared" si="144"/>
        <v>1</v>
      </c>
      <c r="E448" t="b">
        <f t="shared" si="145"/>
        <v>1</v>
      </c>
      <c r="G448">
        <f>TBIWet!H520</f>
        <v>0</v>
      </c>
      <c r="H448">
        <f>TBIWet!I520</f>
        <v>0</v>
      </c>
      <c r="I448" t="b">
        <f t="shared" si="146"/>
        <v>1</v>
      </c>
      <c r="J448" t="b">
        <f t="shared" si="147"/>
        <v>1</v>
      </c>
      <c r="S448" s="401" t="b">
        <f t="shared" si="150"/>
        <v>0</v>
      </c>
      <c r="T448" s="401" t="b">
        <f t="shared" si="151"/>
        <v>0</v>
      </c>
      <c r="AA448" t="str">
        <f>'Green_rooibos initial weight'!A449</f>
        <v>G445</v>
      </c>
      <c r="AB448" t="str">
        <f>'Green_rooibos initial weight'!A1353</f>
        <v>R445</v>
      </c>
      <c r="AC448" t="b">
        <f t="shared" si="152"/>
        <v>0</v>
      </c>
      <c r="AD448" t="b">
        <f t="shared" si="153"/>
        <v>0</v>
      </c>
      <c r="AG448">
        <f>'WetLitterbags placem_collection'!O227</f>
        <v>0</v>
      </c>
      <c r="AH448">
        <f>'WetLitterbags placem_collection'!Q227</f>
        <v>0</v>
      </c>
      <c r="AI448" t="b">
        <f t="shared" si="154"/>
        <v>1</v>
      </c>
      <c r="AJ448" t="b">
        <f t="shared" si="155"/>
        <v>1</v>
      </c>
      <c r="AZ448" s="401" t="b">
        <f t="shared" si="158"/>
        <v>0</v>
      </c>
      <c r="BA448" s="401" t="b">
        <f t="shared" si="159"/>
        <v>0</v>
      </c>
      <c r="BN448" t="str">
        <f t="shared" si="164"/>
        <v>G337</v>
      </c>
    </row>
    <row r="449" spans="2:66" ht="12" customHeight="1">
      <c r="B449">
        <f>TBIDry!H521</f>
        <v>0</v>
      </c>
      <c r="C449">
        <f>TBIDry!I521</f>
        <v>0</v>
      </c>
      <c r="D449" t="b">
        <f t="shared" si="144"/>
        <v>1</v>
      </c>
      <c r="E449" t="b">
        <f t="shared" si="145"/>
        <v>1</v>
      </c>
      <c r="G449">
        <f>TBIWet!H521</f>
        <v>0</v>
      </c>
      <c r="H449">
        <f>TBIWet!I521</f>
        <v>0</v>
      </c>
      <c r="I449" t="b">
        <f t="shared" si="146"/>
        <v>1</v>
      </c>
      <c r="J449" t="b">
        <f t="shared" si="147"/>
        <v>1</v>
      </c>
      <c r="S449" s="401" t="b">
        <f t="shared" si="150"/>
        <v>0</v>
      </c>
      <c r="T449" s="401" t="b">
        <f t="shared" si="151"/>
        <v>0</v>
      </c>
      <c r="AA449" t="str">
        <f>'Green_rooibos initial weight'!A450</f>
        <v>G446</v>
      </c>
      <c r="AB449" t="str">
        <f>'Green_rooibos initial weight'!A1354</f>
        <v>R446</v>
      </c>
      <c r="AC449" t="b">
        <f t="shared" si="152"/>
        <v>0</v>
      </c>
      <c r="AD449" t="b">
        <f t="shared" si="153"/>
        <v>0</v>
      </c>
      <c r="AZ449" s="401" t="b">
        <f t="shared" si="158"/>
        <v>0</v>
      </c>
      <c r="BA449" s="401" t="b">
        <f t="shared" si="159"/>
        <v>0</v>
      </c>
      <c r="BN449" t="str">
        <f t="shared" si="164"/>
        <v>G345</v>
      </c>
    </row>
    <row r="450" spans="2:66" ht="12" customHeight="1">
      <c r="B450">
        <f>TBIDry!H522</f>
        <v>0</v>
      </c>
      <c r="C450">
        <f>TBIDry!I522</f>
        <v>0</v>
      </c>
      <c r="D450" t="b">
        <f t="shared" si="144"/>
        <v>1</v>
      </c>
      <c r="E450" t="b">
        <f t="shared" si="145"/>
        <v>1</v>
      </c>
      <c r="G450">
        <f>TBIWet!H522</f>
        <v>0</v>
      </c>
      <c r="H450">
        <f>TBIWet!I522</f>
        <v>0</v>
      </c>
      <c r="I450" t="b">
        <f t="shared" si="146"/>
        <v>1</v>
      </c>
      <c r="J450" t="b">
        <f t="shared" si="147"/>
        <v>1</v>
      </c>
      <c r="S450" s="401" t="b">
        <f t="shared" si="150"/>
        <v>0</v>
      </c>
      <c r="T450" s="401" t="b">
        <f t="shared" si="151"/>
        <v>0</v>
      </c>
      <c r="AA450" t="str">
        <f>'Green_rooibos initial weight'!A451</f>
        <v>G447</v>
      </c>
      <c r="AB450" t="str">
        <f>'Green_rooibos initial weight'!A1355</f>
        <v>R447</v>
      </c>
      <c r="AC450" t="b">
        <f t="shared" si="152"/>
        <v>0</v>
      </c>
      <c r="AD450" t="b">
        <f t="shared" si="153"/>
        <v>0</v>
      </c>
      <c r="AZ450" s="401" t="b">
        <f t="shared" si="158"/>
        <v>0</v>
      </c>
      <c r="BA450" s="401" t="b">
        <f t="shared" si="159"/>
        <v>0</v>
      </c>
      <c r="BN450" t="str">
        <f t="shared" si="164"/>
        <v>G346</v>
      </c>
    </row>
    <row r="451" spans="2:66" ht="12" customHeight="1">
      <c r="B451">
        <f>TBIDry!H523</f>
        <v>0</v>
      </c>
      <c r="C451">
        <f>TBIDry!I523</f>
        <v>0</v>
      </c>
      <c r="D451" t="b">
        <f t="shared" si="144"/>
        <v>1</v>
      </c>
      <c r="E451" t="b">
        <f t="shared" si="145"/>
        <v>1</v>
      </c>
      <c r="G451">
        <f>TBIWet!H523</f>
        <v>0</v>
      </c>
      <c r="H451">
        <f>TBIWet!I523</f>
        <v>0</v>
      </c>
      <c r="I451" t="b">
        <f t="shared" si="146"/>
        <v>1</v>
      </c>
      <c r="J451" t="b">
        <f t="shared" si="147"/>
        <v>1</v>
      </c>
      <c r="S451" s="401" t="b">
        <f t="shared" si="150"/>
        <v>0</v>
      </c>
      <c r="T451" s="401" t="b">
        <f t="shared" si="151"/>
        <v>0</v>
      </c>
      <c r="AA451" t="str">
        <f>'Green_rooibos initial weight'!A452</f>
        <v>G448</v>
      </c>
      <c r="AB451" t="str">
        <f>'Green_rooibos initial weight'!A1356</f>
        <v>R448</v>
      </c>
      <c r="AC451" t="b">
        <f t="shared" si="152"/>
        <v>0</v>
      </c>
      <c r="AD451" t="b">
        <f t="shared" si="153"/>
        <v>0</v>
      </c>
      <c r="AZ451" s="401" t="b">
        <f t="shared" si="158"/>
        <v>0</v>
      </c>
      <c r="BA451" s="401" t="b">
        <f t="shared" si="159"/>
        <v>0</v>
      </c>
      <c r="BN451" t="str">
        <f t="shared" si="164"/>
        <v>G499</v>
      </c>
    </row>
    <row r="452" spans="2:66" ht="12" customHeight="1">
      <c r="B452">
        <f>TBIDry!H524</f>
        <v>0</v>
      </c>
      <c r="C452">
        <f>TBIDry!I524</f>
        <v>0</v>
      </c>
      <c r="D452" t="b">
        <f t="shared" si="144"/>
        <v>1</v>
      </c>
      <c r="E452" t="b">
        <f t="shared" si="145"/>
        <v>1</v>
      </c>
      <c r="G452">
        <f>TBIWet!H524</f>
        <v>0</v>
      </c>
      <c r="H452">
        <f>TBIWet!I524</f>
        <v>0</v>
      </c>
      <c r="I452" t="b">
        <f t="shared" si="146"/>
        <v>1</v>
      </c>
      <c r="J452" t="b">
        <f t="shared" si="147"/>
        <v>1</v>
      </c>
      <c r="S452" s="401" t="b">
        <f t="shared" si="150"/>
        <v>0</v>
      </c>
      <c r="T452" s="401" t="b">
        <f t="shared" si="151"/>
        <v>0</v>
      </c>
      <c r="AA452" t="str">
        <f>'Green_rooibos initial weight'!A453</f>
        <v>G449</v>
      </c>
      <c r="AB452" t="str">
        <f>'Green_rooibos initial weight'!A1357</f>
        <v>R449</v>
      </c>
      <c r="AC452" t="b">
        <f t="shared" si="152"/>
        <v>0</v>
      </c>
      <c r="AD452" t="b">
        <f t="shared" si="153"/>
        <v>0</v>
      </c>
      <c r="AZ452" s="401" t="b">
        <f t="shared" si="158"/>
        <v>0</v>
      </c>
      <c r="BA452" s="401" t="b">
        <f t="shared" si="159"/>
        <v>0</v>
      </c>
      <c r="BN452" t="str">
        <f t="shared" si="164"/>
        <v>G351</v>
      </c>
    </row>
    <row r="453" spans="2:66" ht="12" customHeight="1">
      <c r="B453">
        <f>TBIDry!H525</f>
        <v>0</v>
      </c>
      <c r="C453">
        <f>TBIDry!I525</f>
        <v>0</v>
      </c>
      <c r="D453" t="b">
        <f t="shared" ref="D453:D516" si="165">COUNTIF($B$4:$B$2000, B453)&gt;1</f>
        <v>1</v>
      </c>
      <c r="E453" t="b">
        <f t="shared" ref="E453:E516" si="166">COUNTIF($C$4:$C$2000, C453)&gt;1</f>
        <v>1</v>
      </c>
      <c r="G453">
        <f>TBIWet!H525</f>
        <v>0</v>
      </c>
      <c r="H453">
        <f>TBIWet!I525</f>
        <v>0</v>
      </c>
      <c r="I453" t="b">
        <f t="shared" ref="I453:I454" si="167">COUNTIF($G$4:$G$2000, G453)&gt;1</f>
        <v>1</v>
      </c>
      <c r="J453" t="b">
        <f t="shared" ref="J453:J454" si="168">COUNTIF($H$4:$H$2000, H453)&gt;1</f>
        <v>1</v>
      </c>
      <c r="S453" s="401" t="b">
        <f t="shared" ref="S453:S516" si="169">COUNTIF($V$4:$V$2000, L453)=1</f>
        <v>0</v>
      </c>
      <c r="T453" s="401" t="b">
        <f t="shared" ref="T453:T516" si="170">COUNTIF($W$4:$W$2000, M453)=1</f>
        <v>0</v>
      </c>
      <c r="AA453" t="str">
        <f>'Green_rooibos initial weight'!A454</f>
        <v>G450</v>
      </c>
      <c r="AB453" t="str">
        <f>'Green_rooibos initial weight'!A1358</f>
        <v>R450</v>
      </c>
      <c r="AC453" t="b">
        <f t="shared" ref="AC453:AC516" si="171">COUNTIF($AA$4:$AA$2000, AA453)&gt;1</f>
        <v>0</v>
      </c>
      <c r="AD453" t="b">
        <f t="shared" ref="AD453:AD516" si="172">COUNTIF($AB$4:$AB$2000, AB453)&gt;1</f>
        <v>0</v>
      </c>
      <c r="AZ453" s="401" t="b">
        <f t="shared" ref="AZ453:AZ516" si="173">COUNTIF($BC$4:$BC$2000, AT453)=1</f>
        <v>0</v>
      </c>
      <c r="BA453" s="401" t="b">
        <f t="shared" ref="BA453:BA516" si="174">COUNTIF($BD$4:$BD$2000, AU453)=1</f>
        <v>0</v>
      </c>
      <c r="BN453" t="str">
        <f t="shared" si="164"/>
        <v>G352</v>
      </c>
    </row>
    <row r="454" spans="2:66" ht="12" customHeight="1">
      <c r="B454">
        <f>TBIDry!H526</f>
        <v>0</v>
      </c>
      <c r="C454">
        <f>TBIDry!I526</f>
        <v>0</v>
      </c>
      <c r="D454" t="b">
        <f t="shared" si="165"/>
        <v>1</v>
      </c>
      <c r="E454" t="b">
        <f t="shared" si="166"/>
        <v>1</v>
      </c>
      <c r="G454">
        <f>TBIWet!H526</f>
        <v>0</v>
      </c>
      <c r="H454">
        <f>TBIWet!I526</f>
        <v>0</v>
      </c>
      <c r="I454" t="b">
        <f t="shared" si="167"/>
        <v>1</v>
      </c>
      <c r="J454" t="b">
        <f t="shared" si="168"/>
        <v>1</v>
      </c>
      <c r="S454" s="401" t="b">
        <f t="shared" si="169"/>
        <v>0</v>
      </c>
      <c r="T454" s="401" t="b">
        <f t="shared" si="170"/>
        <v>0</v>
      </c>
      <c r="AA454" t="str">
        <f>'Green_rooibos initial weight'!A455</f>
        <v>G451</v>
      </c>
      <c r="AB454" t="str">
        <f>'Green_rooibos initial weight'!A1359</f>
        <v>R451</v>
      </c>
      <c r="AC454" t="b">
        <f t="shared" si="171"/>
        <v>0</v>
      </c>
      <c r="AD454" t="b">
        <f t="shared" si="172"/>
        <v>0</v>
      </c>
      <c r="AZ454" s="401" t="b">
        <f t="shared" si="173"/>
        <v>0</v>
      </c>
      <c r="BA454" s="401" t="b">
        <f t="shared" si="174"/>
        <v>0</v>
      </c>
      <c r="BN454" t="str">
        <f t="shared" si="164"/>
        <v>G355</v>
      </c>
    </row>
    <row r="455" spans="2:66" ht="12" customHeight="1">
      <c r="B455">
        <f>TBIDry!H527</f>
        <v>0</v>
      </c>
      <c r="C455">
        <f>TBIDry!I527</f>
        <v>0</v>
      </c>
      <c r="D455" t="b">
        <f t="shared" si="165"/>
        <v>1</v>
      </c>
      <c r="E455" t="b">
        <f t="shared" si="166"/>
        <v>1</v>
      </c>
      <c r="S455" s="401" t="b">
        <f t="shared" si="169"/>
        <v>0</v>
      </c>
      <c r="T455" s="401" t="b">
        <f t="shared" si="170"/>
        <v>0</v>
      </c>
      <c r="AA455" t="str">
        <f>'Green_rooibos initial weight'!A456</f>
        <v>G452</v>
      </c>
      <c r="AB455" t="str">
        <f>'Green_rooibos initial weight'!A1360</f>
        <v>R452</v>
      </c>
      <c r="AC455" t="b">
        <f t="shared" si="171"/>
        <v>0</v>
      </c>
      <c r="AD455" t="b">
        <f t="shared" si="172"/>
        <v>0</v>
      </c>
      <c r="AZ455" s="401" t="b">
        <f t="shared" si="173"/>
        <v>0</v>
      </c>
      <c r="BA455" s="401" t="b">
        <f t="shared" si="174"/>
        <v>0</v>
      </c>
      <c r="BN455" t="str">
        <f t="shared" si="164"/>
        <v>G556</v>
      </c>
    </row>
    <row r="456" spans="2:66" ht="12" customHeight="1">
      <c r="B456">
        <f>TBIDry!H528</f>
        <v>0</v>
      </c>
      <c r="C456">
        <f>TBIDry!I528</f>
        <v>0</v>
      </c>
      <c r="D456" t="b">
        <f t="shared" si="165"/>
        <v>1</v>
      </c>
      <c r="E456" t="b">
        <f t="shared" si="166"/>
        <v>1</v>
      </c>
      <c r="S456" s="401" t="b">
        <f t="shared" si="169"/>
        <v>0</v>
      </c>
      <c r="T456" s="401" t="b">
        <f t="shared" si="170"/>
        <v>0</v>
      </c>
      <c r="AA456" t="str">
        <f>'Green_rooibos initial weight'!A457</f>
        <v>G453</v>
      </c>
      <c r="AB456" t="str">
        <f>'Green_rooibos initial weight'!A1361</f>
        <v>R453</v>
      </c>
      <c r="AC456" t="b">
        <f t="shared" si="171"/>
        <v>0</v>
      </c>
      <c r="AD456" t="b">
        <f t="shared" si="172"/>
        <v>0</v>
      </c>
      <c r="AZ456" s="401" t="b">
        <f t="shared" si="173"/>
        <v>0</v>
      </c>
      <c r="BA456" s="401" t="b">
        <f t="shared" si="174"/>
        <v>0</v>
      </c>
      <c r="BN456" t="str">
        <f t="shared" si="164"/>
        <v>G358</v>
      </c>
    </row>
    <row r="457" spans="2:66" ht="12" customHeight="1">
      <c r="B457">
        <f>TBIDry!H529</f>
        <v>0</v>
      </c>
      <c r="C457">
        <f>TBIDry!I529</f>
        <v>0</v>
      </c>
      <c r="D457" t="b">
        <f t="shared" si="165"/>
        <v>1</v>
      </c>
      <c r="E457" t="b">
        <f t="shared" si="166"/>
        <v>1</v>
      </c>
      <c r="S457" s="401" t="b">
        <f t="shared" si="169"/>
        <v>0</v>
      </c>
      <c r="T457" s="401" t="b">
        <f t="shared" si="170"/>
        <v>0</v>
      </c>
      <c r="AA457" t="str">
        <f>'Green_rooibos initial weight'!A458</f>
        <v>G454</v>
      </c>
      <c r="AB457" t="str">
        <f>'Green_rooibos initial weight'!A1362</f>
        <v>R454</v>
      </c>
      <c r="AC457" t="b">
        <f t="shared" si="171"/>
        <v>0</v>
      </c>
      <c r="AD457" t="b">
        <f t="shared" si="172"/>
        <v>0</v>
      </c>
      <c r="AZ457" s="401" t="b">
        <f t="shared" si="173"/>
        <v>0</v>
      </c>
      <c r="BA457" s="401" t="b">
        <f t="shared" si="174"/>
        <v>0</v>
      </c>
      <c r="BN457" t="str">
        <f t="shared" si="164"/>
        <v>G359</v>
      </c>
    </row>
    <row r="458" spans="2:66" ht="12" customHeight="1">
      <c r="B458">
        <f>TBIDry!H530</f>
        <v>0</v>
      </c>
      <c r="C458">
        <f>TBIDry!I530</f>
        <v>0</v>
      </c>
      <c r="D458" t="b">
        <f t="shared" si="165"/>
        <v>1</v>
      </c>
      <c r="E458" t="b">
        <f t="shared" si="166"/>
        <v>1</v>
      </c>
      <c r="S458" s="401" t="b">
        <f t="shared" si="169"/>
        <v>0</v>
      </c>
      <c r="T458" s="401" t="b">
        <f t="shared" si="170"/>
        <v>0</v>
      </c>
      <c r="AA458" t="str">
        <f>'Green_rooibos initial weight'!A459</f>
        <v>G455</v>
      </c>
      <c r="AB458" t="str">
        <f>'Green_rooibos initial weight'!A1363</f>
        <v>R455</v>
      </c>
      <c r="AC458" t="b">
        <f t="shared" si="171"/>
        <v>0</v>
      </c>
      <c r="AD458" t="b">
        <f t="shared" si="172"/>
        <v>0</v>
      </c>
      <c r="AZ458" s="401" t="b">
        <f t="shared" si="173"/>
        <v>0</v>
      </c>
      <c r="BA458" s="401" t="b">
        <f t="shared" si="174"/>
        <v>0</v>
      </c>
      <c r="BN458" t="str">
        <f t="shared" si="164"/>
        <v>G360</v>
      </c>
    </row>
    <row r="459" spans="2:66" ht="12" customHeight="1">
      <c r="B459">
        <f>TBIDry!H531</f>
        <v>0</v>
      </c>
      <c r="C459">
        <f>TBIDry!I531</f>
        <v>0</v>
      </c>
      <c r="D459" t="b">
        <f t="shared" si="165"/>
        <v>1</v>
      </c>
      <c r="E459" t="b">
        <f t="shared" si="166"/>
        <v>1</v>
      </c>
      <c r="S459" s="401" t="b">
        <f t="shared" si="169"/>
        <v>0</v>
      </c>
      <c r="T459" s="401" t="b">
        <f t="shared" si="170"/>
        <v>0</v>
      </c>
      <c r="AA459" t="str">
        <f>'Green_rooibos initial weight'!A460</f>
        <v>G456</v>
      </c>
      <c r="AB459" t="str">
        <f>'Green_rooibos initial weight'!A1364</f>
        <v>R456</v>
      </c>
      <c r="AC459" t="b">
        <f t="shared" si="171"/>
        <v>0</v>
      </c>
      <c r="AD459" t="b">
        <f t="shared" si="172"/>
        <v>0</v>
      </c>
      <c r="AZ459" s="401" t="b">
        <f t="shared" si="173"/>
        <v>0</v>
      </c>
      <c r="BA459" s="401" t="b">
        <f t="shared" si="174"/>
        <v>0</v>
      </c>
      <c r="BN459" t="str">
        <f t="shared" si="164"/>
        <v>G365</v>
      </c>
    </row>
    <row r="460" spans="2:66" ht="12" customHeight="1">
      <c r="B460">
        <f>TBIDry!H532</f>
        <v>0</v>
      </c>
      <c r="C460">
        <f>TBIDry!I532</f>
        <v>0</v>
      </c>
      <c r="D460" t="b">
        <f t="shared" si="165"/>
        <v>1</v>
      </c>
      <c r="E460" t="b">
        <f t="shared" si="166"/>
        <v>1</v>
      </c>
      <c r="S460" s="401" t="b">
        <f t="shared" si="169"/>
        <v>0</v>
      </c>
      <c r="T460" s="401" t="b">
        <f t="shared" si="170"/>
        <v>0</v>
      </c>
      <c r="AA460" t="str">
        <f>'Green_rooibos initial weight'!A461</f>
        <v>G457</v>
      </c>
      <c r="AB460" t="str">
        <f>'Green_rooibos initial weight'!A1365</f>
        <v>R457</v>
      </c>
      <c r="AC460" t="b">
        <f t="shared" si="171"/>
        <v>0</v>
      </c>
      <c r="AD460" t="b">
        <f t="shared" si="172"/>
        <v>0</v>
      </c>
      <c r="AZ460" s="401" t="b">
        <f t="shared" si="173"/>
        <v>0</v>
      </c>
      <c r="BA460" s="401" t="b">
        <f t="shared" si="174"/>
        <v>0</v>
      </c>
      <c r="BN460" t="str">
        <f t="shared" si="164"/>
        <v>G366</v>
      </c>
    </row>
    <row r="461" spans="2:66" ht="12" customHeight="1">
      <c r="B461">
        <f>TBIDry!H533</f>
        <v>0</v>
      </c>
      <c r="C461">
        <f>TBIDry!I533</f>
        <v>0</v>
      </c>
      <c r="D461" t="b">
        <f t="shared" si="165"/>
        <v>1</v>
      </c>
      <c r="E461" t="b">
        <f t="shared" si="166"/>
        <v>1</v>
      </c>
      <c r="S461" s="401" t="b">
        <f t="shared" si="169"/>
        <v>0</v>
      </c>
      <c r="T461" s="401" t="b">
        <f t="shared" si="170"/>
        <v>0</v>
      </c>
      <c r="AA461" t="str">
        <f>'Green_rooibos initial weight'!A462</f>
        <v>G458</v>
      </c>
      <c r="AB461" t="str">
        <f>'Green_rooibos initial weight'!A1366</f>
        <v>R458</v>
      </c>
      <c r="AC461" t="b">
        <f t="shared" si="171"/>
        <v>0</v>
      </c>
      <c r="AD461" t="b">
        <f t="shared" si="172"/>
        <v>0</v>
      </c>
      <c r="AZ461" s="401" t="b">
        <f t="shared" si="173"/>
        <v>0</v>
      </c>
      <c r="BA461" s="401" t="b">
        <f t="shared" si="174"/>
        <v>0</v>
      </c>
      <c r="BN461" t="str">
        <f t="shared" si="164"/>
        <v>G367</v>
      </c>
    </row>
    <row r="462" spans="2:66" ht="12" customHeight="1">
      <c r="B462">
        <f>TBIDry!H534</f>
        <v>0</v>
      </c>
      <c r="C462">
        <f>TBIDry!I534</f>
        <v>0</v>
      </c>
      <c r="D462" t="b">
        <f t="shared" si="165"/>
        <v>1</v>
      </c>
      <c r="E462" t="b">
        <f t="shared" si="166"/>
        <v>1</v>
      </c>
      <c r="S462" s="401" t="b">
        <f t="shared" si="169"/>
        <v>0</v>
      </c>
      <c r="T462" s="401" t="b">
        <f t="shared" si="170"/>
        <v>0</v>
      </c>
      <c r="AA462" t="str">
        <f>'Green_rooibos initial weight'!A463</f>
        <v>G459</v>
      </c>
      <c r="AB462" t="str">
        <f>'Green_rooibos initial weight'!A1367</f>
        <v>R459</v>
      </c>
      <c r="AC462" t="b">
        <f t="shared" si="171"/>
        <v>0</v>
      </c>
      <c r="AD462" t="b">
        <f t="shared" si="172"/>
        <v>0</v>
      </c>
      <c r="AZ462" s="401" t="b">
        <f t="shared" si="173"/>
        <v>0</v>
      </c>
      <c r="BA462" s="401" t="b">
        <f t="shared" si="174"/>
        <v>0</v>
      </c>
      <c r="BN462" t="str">
        <f t="shared" si="164"/>
        <v>G368</v>
      </c>
    </row>
    <row r="463" spans="2:66" ht="12" customHeight="1">
      <c r="B463">
        <f>TBIDry!H535</f>
        <v>0</v>
      </c>
      <c r="C463">
        <f>TBIDry!I535</f>
        <v>0</v>
      </c>
      <c r="D463" t="b">
        <f t="shared" si="165"/>
        <v>1</v>
      </c>
      <c r="E463" t="b">
        <f t="shared" si="166"/>
        <v>1</v>
      </c>
      <c r="S463" s="401" t="b">
        <f t="shared" si="169"/>
        <v>0</v>
      </c>
      <c r="T463" s="401" t="b">
        <f t="shared" si="170"/>
        <v>0</v>
      </c>
      <c r="AA463" t="str">
        <f>'Green_rooibos initial weight'!A464</f>
        <v>G460</v>
      </c>
      <c r="AB463" t="str">
        <f>'Green_rooibos initial weight'!A1368</f>
        <v>R460</v>
      </c>
      <c r="AC463" t="b">
        <f t="shared" si="171"/>
        <v>0</v>
      </c>
      <c r="AD463" t="b">
        <f t="shared" si="172"/>
        <v>0</v>
      </c>
      <c r="AZ463" s="401" t="b">
        <f t="shared" si="173"/>
        <v>0</v>
      </c>
      <c r="BA463" s="401" t="b">
        <f t="shared" si="174"/>
        <v>0</v>
      </c>
      <c r="BN463" t="str">
        <f t="shared" si="164"/>
        <v>G373</v>
      </c>
    </row>
    <row r="464" spans="2:66" ht="12" customHeight="1">
      <c r="B464">
        <f>TBIDry!H536</f>
        <v>0</v>
      </c>
      <c r="C464">
        <f>TBIDry!I536</f>
        <v>0</v>
      </c>
      <c r="D464" t="b">
        <f t="shared" si="165"/>
        <v>1</v>
      </c>
      <c r="E464" t="b">
        <f t="shared" si="166"/>
        <v>1</v>
      </c>
      <c r="S464" s="401" t="b">
        <f t="shared" si="169"/>
        <v>0</v>
      </c>
      <c r="T464" s="401" t="b">
        <f t="shared" si="170"/>
        <v>0</v>
      </c>
      <c r="AA464" t="str">
        <f>'Green_rooibos initial weight'!A465</f>
        <v>G461</v>
      </c>
      <c r="AB464" t="str">
        <f>'Green_rooibos initial weight'!A1369</f>
        <v>R461</v>
      </c>
      <c r="AC464" t="b">
        <f t="shared" si="171"/>
        <v>0</v>
      </c>
      <c r="AD464" t="b">
        <f t="shared" si="172"/>
        <v>0</v>
      </c>
      <c r="AZ464" s="401" t="b">
        <f t="shared" si="173"/>
        <v>0</v>
      </c>
      <c r="BA464" s="401" t="b">
        <f t="shared" si="174"/>
        <v>0</v>
      </c>
      <c r="BN464" t="str">
        <f t="shared" si="164"/>
        <v>G375</v>
      </c>
    </row>
    <row r="465" spans="2:66" ht="12" customHeight="1">
      <c r="B465">
        <f>TBIDry!H537</f>
        <v>0</v>
      </c>
      <c r="C465">
        <f>TBIDry!I537</f>
        <v>0</v>
      </c>
      <c r="D465" t="b">
        <f t="shared" si="165"/>
        <v>1</v>
      </c>
      <c r="E465" t="b">
        <f t="shared" si="166"/>
        <v>1</v>
      </c>
      <c r="S465" s="401" t="b">
        <f t="shared" si="169"/>
        <v>0</v>
      </c>
      <c r="T465" s="401" t="b">
        <f t="shared" si="170"/>
        <v>0</v>
      </c>
      <c r="AA465" t="str">
        <f>'Green_rooibos initial weight'!A466</f>
        <v>G462</v>
      </c>
      <c r="AB465" t="str">
        <f>'Green_rooibos initial weight'!A1370</f>
        <v>R462</v>
      </c>
      <c r="AC465" t="b">
        <f t="shared" si="171"/>
        <v>0</v>
      </c>
      <c r="AD465" t="b">
        <f t="shared" si="172"/>
        <v>0</v>
      </c>
      <c r="AZ465" s="401" t="b">
        <f t="shared" si="173"/>
        <v>0</v>
      </c>
      <c r="BA465" s="401" t="b">
        <f t="shared" si="174"/>
        <v>0</v>
      </c>
      <c r="BN465" t="str">
        <f t="shared" si="164"/>
        <v>G831</v>
      </c>
    </row>
    <row r="466" spans="2:66" ht="12" customHeight="1">
      <c r="B466">
        <f>TBIDry!H538</f>
        <v>0</v>
      </c>
      <c r="C466">
        <f>TBIDry!I538</f>
        <v>0</v>
      </c>
      <c r="D466" t="b">
        <f t="shared" si="165"/>
        <v>1</v>
      </c>
      <c r="E466" t="b">
        <f t="shared" si="166"/>
        <v>1</v>
      </c>
      <c r="S466" s="401" t="b">
        <f t="shared" si="169"/>
        <v>0</v>
      </c>
      <c r="T466" s="401" t="b">
        <f t="shared" si="170"/>
        <v>0</v>
      </c>
      <c r="AA466" t="str">
        <f>'Green_rooibos initial weight'!A467</f>
        <v>G463</v>
      </c>
      <c r="AB466" t="str">
        <f>'Green_rooibos initial weight'!A1371</f>
        <v>R463</v>
      </c>
      <c r="AC466" t="b">
        <f t="shared" si="171"/>
        <v>0</v>
      </c>
      <c r="AD466" t="b">
        <f t="shared" si="172"/>
        <v>0</v>
      </c>
      <c r="AZ466" s="401" t="b">
        <f t="shared" si="173"/>
        <v>0</v>
      </c>
      <c r="BA466" s="401" t="b">
        <f t="shared" si="174"/>
        <v>0</v>
      </c>
      <c r="BN466" t="str">
        <f t="shared" si="164"/>
        <v>G383</v>
      </c>
    </row>
    <row r="467" spans="2:66" ht="12" customHeight="1">
      <c r="B467">
        <f>TBIDry!H539</f>
        <v>0</v>
      </c>
      <c r="C467">
        <f>TBIDry!I539</f>
        <v>0</v>
      </c>
      <c r="D467" t="b">
        <f t="shared" si="165"/>
        <v>1</v>
      </c>
      <c r="E467" t="b">
        <f t="shared" si="166"/>
        <v>1</v>
      </c>
      <c r="S467" s="401" t="b">
        <f t="shared" si="169"/>
        <v>0</v>
      </c>
      <c r="T467" s="401" t="b">
        <f t="shared" si="170"/>
        <v>0</v>
      </c>
      <c r="AA467" t="str">
        <f>'Green_rooibos initial weight'!A468</f>
        <v>G464</v>
      </c>
      <c r="AB467" t="str">
        <f>'Green_rooibos initial weight'!A1372</f>
        <v>R464</v>
      </c>
      <c r="AC467" t="b">
        <f t="shared" si="171"/>
        <v>0</v>
      </c>
      <c r="AD467" t="b">
        <f t="shared" si="172"/>
        <v>0</v>
      </c>
      <c r="AZ467" s="401" t="b">
        <f t="shared" si="173"/>
        <v>0</v>
      </c>
      <c r="BA467" s="401" t="b">
        <f t="shared" si="174"/>
        <v>0</v>
      </c>
      <c r="BN467" t="str">
        <f t="shared" si="164"/>
        <v>G385</v>
      </c>
    </row>
    <row r="468" spans="2:66" ht="12" customHeight="1">
      <c r="B468">
        <f>TBIDry!H540</f>
        <v>0</v>
      </c>
      <c r="C468">
        <f>TBIDry!I540</f>
        <v>0</v>
      </c>
      <c r="D468" t="b">
        <f t="shared" si="165"/>
        <v>1</v>
      </c>
      <c r="E468" t="b">
        <f t="shared" si="166"/>
        <v>1</v>
      </c>
      <c r="S468" s="401" t="b">
        <f t="shared" si="169"/>
        <v>0</v>
      </c>
      <c r="T468" s="401" t="b">
        <f t="shared" si="170"/>
        <v>0</v>
      </c>
      <c r="AA468" t="str">
        <f>'Green_rooibos initial weight'!A469</f>
        <v>G465</v>
      </c>
      <c r="AB468" t="str">
        <f>'Green_rooibos initial weight'!A1373</f>
        <v>R465</v>
      </c>
      <c r="AC468" t="b">
        <f t="shared" si="171"/>
        <v>0</v>
      </c>
      <c r="AD468" t="b">
        <f t="shared" si="172"/>
        <v>0</v>
      </c>
      <c r="AZ468" s="401" t="b">
        <f t="shared" si="173"/>
        <v>0</v>
      </c>
      <c r="BA468" s="401" t="b">
        <f t="shared" si="174"/>
        <v>0</v>
      </c>
      <c r="BN468" t="str">
        <f t="shared" si="164"/>
        <v>G386</v>
      </c>
    </row>
    <row r="469" spans="2:66" ht="12" customHeight="1">
      <c r="B469">
        <f>TBIDry!H541</f>
        <v>0</v>
      </c>
      <c r="C469">
        <f>TBIDry!I541</f>
        <v>0</v>
      </c>
      <c r="D469" t="b">
        <f t="shared" si="165"/>
        <v>1</v>
      </c>
      <c r="E469" t="b">
        <f t="shared" si="166"/>
        <v>1</v>
      </c>
      <c r="S469" s="401" t="b">
        <f t="shared" si="169"/>
        <v>0</v>
      </c>
      <c r="T469" s="401" t="b">
        <f t="shared" si="170"/>
        <v>0</v>
      </c>
      <c r="AA469" t="str">
        <f>'Green_rooibos initial weight'!A470</f>
        <v>G466</v>
      </c>
      <c r="AB469" t="str">
        <f>'Green_rooibos initial weight'!A1374</f>
        <v>R466</v>
      </c>
      <c r="AC469" t="b">
        <f t="shared" si="171"/>
        <v>0</v>
      </c>
      <c r="AD469" t="b">
        <f t="shared" si="172"/>
        <v>0</v>
      </c>
      <c r="AZ469" s="401" t="b">
        <f t="shared" si="173"/>
        <v>0</v>
      </c>
      <c r="BA469" s="401" t="b">
        <f t="shared" si="174"/>
        <v>0</v>
      </c>
      <c r="BN469" t="str">
        <f t="shared" si="164"/>
        <v>G387</v>
      </c>
    </row>
    <row r="470" spans="2:66" ht="12" customHeight="1">
      <c r="B470">
        <f>TBIDry!H542</f>
        <v>0</v>
      </c>
      <c r="C470">
        <f>TBIDry!I542</f>
        <v>0</v>
      </c>
      <c r="D470" t="b">
        <f t="shared" si="165"/>
        <v>1</v>
      </c>
      <c r="E470" t="b">
        <f t="shared" si="166"/>
        <v>1</v>
      </c>
      <c r="S470" s="401" t="b">
        <f t="shared" si="169"/>
        <v>0</v>
      </c>
      <c r="T470" s="401" t="b">
        <f t="shared" si="170"/>
        <v>0</v>
      </c>
      <c r="AA470" t="str">
        <f>'Green_rooibos initial weight'!A471</f>
        <v>G467</v>
      </c>
      <c r="AB470" t="str">
        <f>'Green_rooibos initial weight'!A1375</f>
        <v>R467</v>
      </c>
      <c r="AC470" t="b">
        <f t="shared" si="171"/>
        <v>0</v>
      </c>
      <c r="AD470" t="b">
        <f t="shared" si="172"/>
        <v>0</v>
      </c>
      <c r="AZ470" s="401" t="b">
        <f t="shared" si="173"/>
        <v>0</v>
      </c>
      <c r="BA470" s="401" t="b">
        <f t="shared" si="174"/>
        <v>0</v>
      </c>
      <c r="BN470" t="str">
        <f t="shared" si="164"/>
        <v>G388</v>
      </c>
    </row>
    <row r="471" spans="2:66" ht="12" customHeight="1">
      <c r="B471">
        <f>TBIDry!H543</f>
        <v>0</v>
      </c>
      <c r="C471">
        <f>TBIDry!I543</f>
        <v>0</v>
      </c>
      <c r="D471" t="b">
        <f t="shared" si="165"/>
        <v>1</v>
      </c>
      <c r="E471" t="b">
        <f t="shared" si="166"/>
        <v>1</v>
      </c>
      <c r="S471" s="401" t="b">
        <f t="shared" si="169"/>
        <v>0</v>
      </c>
      <c r="T471" s="401" t="b">
        <f t="shared" si="170"/>
        <v>0</v>
      </c>
      <c r="AA471" t="str">
        <f>'Green_rooibos initial weight'!A472</f>
        <v>G468</v>
      </c>
      <c r="AB471" t="str">
        <f>'Green_rooibos initial weight'!A1376</f>
        <v>R468</v>
      </c>
      <c r="AC471" t="b">
        <f t="shared" si="171"/>
        <v>0</v>
      </c>
      <c r="AD471" t="b">
        <f t="shared" si="172"/>
        <v>0</v>
      </c>
      <c r="AZ471" s="401" t="b">
        <f t="shared" si="173"/>
        <v>0</v>
      </c>
      <c r="BA471" s="401" t="b">
        <f t="shared" si="174"/>
        <v>0</v>
      </c>
      <c r="BN471" t="str">
        <f t="shared" si="164"/>
        <v>G389</v>
      </c>
    </row>
    <row r="472" spans="2:66" ht="12" customHeight="1">
      <c r="B472">
        <f>TBIDry!H544</f>
        <v>0</v>
      </c>
      <c r="C472">
        <f>TBIDry!I544</f>
        <v>0</v>
      </c>
      <c r="D472" t="b">
        <f t="shared" si="165"/>
        <v>1</v>
      </c>
      <c r="E472" t="b">
        <f t="shared" si="166"/>
        <v>1</v>
      </c>
      <c r="S472" s="401" t="b">
        <f t="shared" si="169"/>
        <v>0</v>
      </c>
      <c r="T472" s="401" t="b">
        <f t="shared" si="170"/>
        <v>0</v>
      </c>
      <c r="AA472" t="str">
        <f>'Green_rooibos initial weight'!A473</f>
        <v>G469</v>
      </c>
      <c r="AB472" t="str">
        <f>'Green_rooibos initial weight'!A1377</f>
        <v>R469</v>
      </c>
      <c r="AC472" t="b">
        <f t="shared" si="171"/>
        <v>0</v>
      </c>
      <c r="AD472" t="b">
        <f t="shared" si="172"/>
        <v>0</v>
      </c>
      <c r="AZ472" s="401" t="b">
        <f t="shared" si="173"/>
        <v>0</v>
      </c>
      <c r="BA472" s="401" t="b">
        <f t="shared" si="174"/>
        <v>0</v>
      </c>
      <c r="BN472" t="str">
        <f t="shared" si="164"/>
        <v>G390</v>
      </c>
    </row>
    <row r="473" spans="2:66" ht="12" customHeight="1">
      <c r="B473">
        <f>TBIDry!H545</f>
        <v>0</v>
      </c>
      <c r="C473">
        <f>TBIDry!I545</f>
        <v>0</v>
      </c>
      <c r="D473" t="b">
        <f t="shared" si="165"/>
        <v>1</v>
      </c>
      <c r="E473" t="b">
        <f t="shared" si="166"/>
        <v>1</v>
      </c>
      <c r="S473" s="401" t="b">
        <f t="shared" si="169"/>
        <v>0</v>
      </c>
      <c r="T473" s="401" t="b">
        <f t="shared" si="170"/>
        <v>0</v>
      </c>
      <c r="AA473" t="str">
        <f>'Green_rooibos initial weight'!A474</f>
        <v>G470</v>
      </c>
      <c r="AB473" t="str">
        <f>'Green_rooibos initial weight'!A1378</f>
        <v>R470</v>
      </c>
      <c r="AC473" t="b">
        <f t="shared" si="171"/>
        <v>0</v>
      </c>
      <c r="AD473" t="b">
        <f t="shared" si="172"/>
        <v>0</v>
      </c>
      <c r="AZ473" s="401" t="b">
        <f t="shared" si="173"/>
        <v>0</v>
      </c>
      <c r="BA473" s="401" t="b">
        <f t="shared" si="174"/>
        <v>0</v>
      </c>
      <c r="BN473" t="str">
        <f t="shared" si="164"/>
        <v>G391</v>
      </c>
    </row>
    <row r="474" spans="2:66" ht="12" customHeight="1">
      <c r="B474">
        <f>TBIDry!H546</f>
        <v>0</v>
      </c>
      <c r="C474">
        <f>TBIDry!I546</f>
        <v>0</v>
      </c>
      <c r="D474" t="b">
        <f t="shared" si="165"/>
        <v>1</v>
      </c>
      <c r="E474" t="b">
        <f t="shared" si="166"/>
        <v>1</v>
      </c>
      <c r="S474" s="401" t="b">
        <f t="shared" si="169"/>
        <v>0</v>
      </c>
      <c r="T474" s="401" t="b">
        <f t="shared" si="170"/>
        <v>0</v>
      </c>
      <c r="AA474" t="str">
        <f>'Green_rooibos initial weight'!A475</f>
        <v>G471</v>
      </c>
      <c r="AB474" t="str">
        <f>'Green_rooibos initial weight'!A1379</f>
        <v>R471</v>
      </c>
      <c r="AC474" t="b">
        <f t="shared" si="171"/>
        <v>0</v>
      </c>
      <c r="AD474" t="b">
        <f t="shared" si="172"/>
        <v>0</v>
      </c>
      <c r="AZ474" s="401" t="b">
        <f t="shared" si="173"/>
        <v>0</v>
      </c>
      <c r="BA474" s="401" t="b">
        <f t="shared" si="174"/>
        <v>0</v>
      </c>
      <c r="BN474" t="str">
        <f t="shared" si="164"/>
        <v>G393</v>
      </c>
    </row>
    <row r="475" spans="2:66" ht="12" customHeight="1">
      <c r="B475">
        <f>TBIDry!H547</f>
        <v>0</v>
      </c>
      <c r="C475">
        <f>TBIDry!I547</f>
        <v>0</v>
      </c>
      <c r="D475" t="b">
        <f t="shared" si="165"/>
        <v>1</v>
      </c>
      <c r="E475" t="b">
        <f t="shared" si="166"/>
        <v>1</v>
      </c>
      <c r="S475" s="401" t="b">
        <f t="shared" si="169"/>
        <v>0</v>
      </c>
      <c r="T475" s="401" t="b">
        <f t="shared" si="170"/>
        <v>0</v>
      </c>
      <c r="AA475" t="str">
        <f>'Green_rooibos initial weight'!A476</f>
        <v>G472</v>
      </c>
      <c r="AB475" t="str">
        <f>'Green_rooibos initial weight'!A1380</f>
        <v>R472</v>
      </c>
      <c r="AC475" t="b">
        <f t="shared" si="171"/>
        <v>0</v>
      </c>
      <c r="AD475" t="b">
        <f t="shared" si="172"/>
        <v>0</v>
      </c>
      <c r="AZ475" s="401" t="b">
        <f t="shared" si="173"/>
        <v>0</v>
      </c>
      <c r="BA475" s="401" t="b">
        <f t="shared" si="174"/>
        <v>0</v>
      </c>
      <c r="BN475" t="str">
        <f t="shared" si="164"/>
        <v>G403</v>
      </c>
    </row>
    <row r="476" spans="2:66" ht="12" customHeight="1">
      <c r="B476">
        <f>TBIDry!H548</f>
        <v>0</v>
      </c>
      <c r="C476">
        <f>TBIDry!I548</f>
        <v>0</v>
      </c>
      <c r="D476" t="b">
        <f t="shared" si="165"/>
        <v>1</v>
      </c>
      <c r="E476" t="b">
        <f t="shared" si="166"/>
        <v>1</v>
      </c>
      <c r="S476" s="401" t="b">
        <f t="shared" si="169"/>
        <v>0</v>
      </c>
      <c r="T476" s="401" t="b">
        <f t="shared" si="170"/>
        <v>0</v>
      </c>
      <c r="AA476" t="str">
        <f>'Green_rooibos initial weight'!A477</f>
        <v>G473</v>
      </c>
      <c r="AB476" t="str">
        <f>'Green_rooibos initial weight'!A1381</f>
        <v>R473</v>
      </c>
      <c r="AC476" t="b">
        <f t="shared" si="171"/>
        <v>0</v>
      </c>
      <c r="AD476" t="b">
        <f t="shared" si="172"/>
        <v>0</v>
      </c>
      <c r="AZ476" s="401" t="b">
        <f t="shared" si="173"/>
        <v>0</v>
      </c>
      <c r="BA476" s="401" t="b">
        <f t="shared" si="174"/>
        <v>0</v>
      </c>
      <c r="BN476" t="str">
        <f t="shared" si="164"/>
        <v>G404</v>
      </c>
    </row>
    <row r="477" spans="2:66" ht="12" customHeight="1">
      <c r="B477">
        <f>TBIDry!H549</f>
        <v>0</v>
      </c>
      <c r="C477">
        <f>TBIDry!I549</f>
        <v>0</v>
      </c>
      <c r="D477" t="b">
        <f t="shared" si="165"/>
        <v>1</v>
      </c>
      <c r="E477" t="b">
        <f t="shared" si="166"/>
        <v>1</v>
      </c>
      <c r="S477" s="401" t="b">
        <f t="shared" si="169"/>
        <v>0</v>
      </c>
      <c r="T477" s="401" t="b">
        <f t="shared" si="170"/>
        <v>0</v>
      </c>
      <c r="AA477" t="str">
        <f>'Green_rooibos initial weight'!A478</f>
        <v>G474</v>
      </c>
      <c r="AB477" t="str">
        <f>'Green_rooibos initial weight'!A1382</f>
        <v>R474</v>
      </c>
      <c r="AC477" t="b">
        <f t="shared" si="171"/>
        <v>0</v>
      </c>
      <c r="AD477" t="b">
        <f t="shared" si="172"/>
        <v>0</v>
      </c>
      <c r="AZ477" s="401" t="b">
        <f t="shared" si="173"/>
        <v>0</v>
      </c>
      <c r="BA477" s="401" t="b">
        <f t="shared" si="174"/>
        <v>0</v>
      </c>
      <c r="BN477" t="str">
        <f t="shared" si="164"/>
        <v>G405</v>
      </c>
    </row>
    <row r="478" spans="2:66" ht="12" customHeight="1">
      <c r="B478">
        <f>TBIDry!H550</f>
        <v>0</v>
      </c>
      <c r="C478">
        <f>TBIDry!I550</f>
        <v>0</v>
      </c>
      <c r="D478" t="b">
        <f t="shared" si="165"/>
        <v>1</v>
      </c>
      <c r="E478" t="b">
        <f t="shared" si="166"/>
        <v>1</v>
      </c>
      <c r="S478" s="401" t="b">
        <f t="shared" si="169"/>
        <v>0</v>
      </c>
      <c r="T478" s="401" t="b">
        <f t="shared" si="170"/>
        <v>0</v>
      </c>
      <c r="AA478" t="str">
        <f>'Green_rooibos initial weight'!A479</f>
        <v>G475</v>
      </c>
      <c r="AB478" t="str">
        <f>'Green_rooibos initial weight'!A1383</f>
        <v>R475</v>
      </c>
      <c r="AC478" t="b">
        <f t="shared" si="171"/>
        <v>0</v>
      </c>
      <c r="AD478" t="b">
        <f t="shared" si="172"/>
        <v>0</v>
      </c>
      <c r="AZ478" s="401" t="b">
        <f t="shared" si="173"/>
        <v>0</v>
      </c>
      <c r="BA478" s="401" t="b">
        <f t="shared" si="174"/>
        <v>0</v>
      </c>
      <c r="BN478" t="str">
        <f t="shared" si="164"/>
        <v>G406</v>
      </c>
    </row>
    <row r="479" spans="2:66" ht="12" customHeight="1">
      <c r="B479">
        <f>TBIDry!H551</f>
        <v>0</v>
      </c>
      <c r="C479">
        <f>TBIDry!I551</f>
        <v>0</v>
      </c>
      <c r="D479" t="b">
        <f t="shared" si="165"/>
        <v>1</v>
      </c>
      <c r="E479" t="b">
        <f t="shared" si="166"/>
        <v>1</v>
      </c>
      <c r="S479" s="401" t="b">
        <f t="shared" si="169"/>
        <v>0</v>
      </c>
      <c r="T479" s="401" t="b">
        <f t="shared" si="170"/>
        <v>0</v>
      </c>
      <c r="AA479" t="str">
        <f>'Green_rooibos initial weight'!A480</f>
        <v>G476</v>
      </c>
      <c r="AB479" t="str">
        <f>'Green_rooibos initial weight'!A1384</f>
        <v>R476</v>
      </c>
      <c r="AC479" t="b">
        <f t="shared" si="171"/>
        <v>0</v>
      </c>
      <c r="AD479" t="b">
        <f t="shared" si="172"/>
        <v>0</v>
      </c>
      <c r="AZ479" s="401" t="b">
        <f t="shared" si="173"/>
        <v>0</v>
      </c>
      <c r="BA479" s="401" t="b">
        <f t="shared" si="174"/>
        <v>0</v>
      </c>
      <c r="BN479" t="str">
        <f t="shared" si="164"/>
        <v>G408</v>
      </c>
    </row>
    <row r="480" spans="2:66" ht="12" customHeight="1">
      <c r="B480">
        <f>TBIDry!H552</f>
        <v>0</v>
      </c>
      <c r="C480">
        <f>TBIDry!I552</f>
        <v>0</v>
      </c>
      <c r="D480" t="b">
        <f t="shared" si="165"/>
        <v>1</v>
      </c>
      <c r="E480" t="b">
        <f t="shared" si="166"/>
        <v>1</v>
      </c>
      <c r="S480" s="401" t="b">
        <f t="shared" si="169"/>
        <v>0</v>
      </c>
      <c r="T480" s="401" t="b">
        <f t="shared" si="170"/>
        <v>0</v>
      </c>
      <c r="AA480" t="str">
        <f>'Green_rooibos initial weight'!A481</f>
        <v>G477</v>
      </c>
      <c r="AB480" t="str">
        <f>'Green_rooibos initial weight'!A1385</f>
        <v>R477</v>
      </c>
      <c r="AC480" t="b">
        <f t="shared" si="171"/>
        <v>0</v>
      </c>
      <c r="AD480" t="b">
        <f t="shared" si="172"/>
        <v>0</v>
      </c>
      <c r="AZ480" s="401" t="b">
        <f t="shared" si="173"/>
        <v>0</v>
      </c>
      <c r="BA480" s="401" t="b">
        <f t="shared" si="174"/>
        <v>0</v>
      </c>
      <c r="BN480" t="str">
        <f t="shared" si="164"/>
        <v>G414</v>
      </c>
    </row>
    <row r="481" spans="2:66" ht="12" customHeight="1">
      <c r="B481">
        <f>TBIDry!H553</f>
        <v>0</v>
      </c>
      <c r="C481">
        <f>TBIDry!I553</f>
        <v>0</v>
      </c>
      <c r="D481" t="b">
        <f t="shared" si="165"/>
        <v>1</v>
      </c>
      <c r="E481" t="b">
        <f t="shared" si="166"/>
        <v>1</v>
      </c>
      <c r="S481" s="401" t="b">
        <f t="shared" si="169"/>
        <v>0</v>
      </c>
      <c r="T481" s="401" t="b">
        <f t="shared" si="170"/>
        <v>0</v>
      </c>
      <c r="AA481" t="str">
        <f>'Green_rooibos initial weight'!A482</f>
        <v>G478</v>
      </c>
      <c r="AB481" t="str">
        <f>'Green_rooibos initial weight'!A1386</f>
        <v>R478</v>
      </c>
      <c r="AC481" t="b">
        <f t="shared" si="171"/>
        <v>0</v>
      </c>
      <c r="AD481" t="b">
        <f t="shared" si="172"/>
        <v>0</v>
      </c>
      <c r="AZ481" s="401" t="b">
        <f t="shared" si="173"/>
        <v>0</v>
      </c>
      <c r="BA481" s="401" t="b">
        <f t="shared" si="174"/>
        <v>0</v>
      </c>
      <c r="BN481" t="str">
        <f t="shared" si="164"/>
        <v>G416</v>
      </c>
    </row>
    <row r="482" spans="2:66" ht="12" customHeight="1">
      <c r="B482">
        <f>TBIDry!H554</f>
        <v>0</v>
      </c>
      <c r="C482">
        <f>TBIDry!I554</f>
        <v>0</v>
      </c>
      <c r="D482" t="b">
        <f t="shared" si="165"/>
        <v>1</v>
      </c>
      <c r="E482" t="b">
        <f t="shared" si="166"/>
        <v>1</v>
      </c>
      <c r="S482" s="401" t="b">
        <f t="shared" si="169"/>
        <v>0</v>
      </c>
      <c r="T482" s="401" t="b">
        <f t="shared" si="170"/>
        <v>0</v>
      </c>
      <c r="AA482" t="str">
        <f>'Green_rooibos initial weight'!A483</f>
        <v>G479</v>
      </c>
      <c r="AB482" t="str">
        <f>'Green_rooibos initial weight'!A1387</f>
        <v>R479</v>
      </c>
      <c r="AC482" t="b">
        <f t="shared" si="171"/>
        <v>0</v>
      </c>
      <c r="AD482" t="b">
        <f t="shared" si="172"/>
        <v>0</v>
      </c>
      <c r="AZ482" s="401" t="b">
        <f t="shared" si="173"/>
        <v>0</v>
      </c>
      <c r="BA482" s="401" t="b">
        <f t="shared" si="174"/>
        <v>0</v>
      </c>
      <c r="BN482" t="str">
        <f t="shared" si="164"/>
        <v>G417</v>
      </c>
    </row>
    <row r="483" spans="2:66" ht="12" customHeight="1">
      <c r="B483">
        <f>TBIDry!H555</f>
        <v>0</v>
      </c>
      <c r="C483">
        <f>TBIDry!I555</f>
        <v>0</v>
      </c>
      <c r="D483" t="b">
        <f t="shared" si="165"/>
        <v>1</v>
      </c>
      <c r="E483" t="b">
        <f t="shared" si="166"/>
        <v>1</v>
      </c>
      <c r="S483" s="401" t="b">
        <f t="shared" si="169"/>
        <v>0</v>
      </c>
      <c r="T483" s="401" t="b">
        <f t="shared" si="170"/>
        <v>0</v>
      </c>
      <c r="AA483" t="str">
        <f>'Green_rooibos initial weight'!A484</f>
        <v>G480</v>
      </c>
      <c r="AB483" t="str">
        <f>'Green_rooibos initial weight'!A1388</f>
        <v>R480</v>
      </c>
      <c r="AC483" t="b">
        <f t="shared" si="171"/>
        <v>0</v>
      </c>
      <c r="AD483" t="b">
        <f t="shared" si="172"/>
        <v>0</v>
      </c>
      <c r="AZ483" s="401" t="b">
        <f t="shared" si="173"/>
        <v>0</v>
      </c>
      <c r="BA483" s="401" t="b">
        <f t="shared" si="174"/>
        <v>0</v>
      </c>
      <c r="BN483" t="str">
        <f t="shared" si="164"/>
        <v>G419</v>
      </c>
    </row>
    <row r="484" spans="2:66" ht="12" customHeight="1">
      <c r="B484">
        <f>TBIDry!H556</f>
        <v>0</v>
      </c>
      <c r="C484">
        <f>TBIDry!I556</f>
        <v>0</v>
      </c>
      <c r="D484" t="b">
        <f t="shared" si="165"/>
        <v>1</v>
      </c>
      <c r="E484" t="b">
        <f t="shared" si="166"/>
        <v>1</v>
      </c>
      <c r="S484" s="401" t="b">
        <f t="shared" si="169"/>
        <v>0</v>
      </c>
      <c r="T484" s="401" t="b">
        <f t="shared" si="170"/>
        <v>0</v>
      </c>
      <c r="AA484" t="str">
        <f>'Green_rooibos initial weight'!A485</f>
        <v>G481</v>
      </c>
      <c r="AB484" t="str">
        <f>'Green_rooibos initial weight'!A1389</f>
        <v>R481</v>
      </c>
      <c r="AC484" t="b">
        <f t="shared" si="171"/>
        <v>0</v>
      </c>
      <c r="AD484" t="b">
        <f t="shared" si="172"/>
        <v>0</v>
      </c>
      <c r="AZ484" s="401" t="b">
        <f t="shared" si="173"/>
        <v>0</v>
      </c>
      <c r="BA484" s="401" t="b">
        <f t="shared" si="174"/>
        <v>0</v>
      </c>
      <c r="BN484" t="str">
        <f t="shared" si="164"/>
        <v>G420</v>
      </c>
    </row>
    <row r="485" spans="2:66" ht="12" customHeight="1">
      <c r="B485">
        <f>TBIDry!H557</f>
        <v>0</v>
      </c>
      <c r="C485">
        <f>TBIDry!I557</f>
        <v>0</v>
      </c>
      <c r="D485" t="b">
        <f t="shared" si="165"/>
        <v>1</v>
      </c>
      <c r="E485" t="b">
        <f t="shared" si="166"/>
        <v>1</v>
      </c>
      <c r="S485" s="401" t="b">
        <f t="shared" si="169"/>
        <v>0</v>
      </c>
      <c r="T485" s="401" t="b">
        <f t="shared" si="170"/>
        <v>0</v>
      </c>
      <c r="AA485" t="str">
        <f>'Green_rooibos initial weight'!A486</f>
        <v>G482</v>
      </c>
      <c r="AB485" t="str">
        <f>'Green_rooibos initial weight'!A1390</f>
        <v>R482</v>
      </c>
      <c r="AC485" t="b">
        <f t="shared" si="171"/>
        <v>0</v>
      </c>
      <c r="AD485" t="b">
        <f t="shared" si="172"/>
        <v>0</v>
      </c>
      <c r="AZ485" s="401" t="b">
        <f t="shared" si="173"/>
        <v>0</v>
      </c>
      <c r="BA485" s="401" t="b">
        <f t="shared" si="174"/>
        <v>0</v>
      </c>
      <c r="BN485" t="str">
        <f t="shared" si="164"/>
        <v>G421</v>
      </c>
    </row>
    <row r="486" spans="2:66" ht="12" customHeight="1">
      <c r="B486">
        <f>TBIDry!H558</f>
        <v>0</v>
      </c>
      <c r="C486">
        <f>TBIDry!I558</f>
        <v>0</v>
      </c>
      <c r="D486" t="b">
        <f t="shared" si="165"/>
        <v>1</v>
      </c>
      <c r="E486" t="b">
        <f t="shared" si="166"/>
        <v>1</v>
      </c>
      <c r="S486" s="401" t="b">
        <f t="shared" si="169"/>
        <v>0</v>
      </c>
      <c r="T486" s="401" t="b">
        <f t="shared" si="170"/>
        <v>0</v>
      </c>
      <c r="AA486" t="str">
        <f>'Green_rooibos initial weight'!A487</f>
        <v>G483</v>
      </c>
      <c r="AB486" t="str">
        <f>'Green_rooibos initial weight'!A1391</f>
        <v>R483</v>
      </c>
      <c r="AC486" t="b">
        <f t="shared" si="171"/>
        <v>0</v>
      </c>
      <c r="AD486" t="b">
        <f t="shared" si="172"/>
        <v>0</v>
      </c>
      <c r="AZ486" s="401" t="b">
        <f t="shared" si="173"/>
        <v>0</v>
      </c>
      <c r="BA486" s="401" t="b">
        <f t="shared" si="174"/>
        <v>0</v>
      </c>
      <c r="BN486" t="str">
        <f t="shared" si="164"/>
        <v>G423</v>
      </c>
    </row>
    <row r="487" spans="2:66" ht="12" customHeight="1">
      <c r="B487">
        <f>TBIDry!H559</f>
        <v>0</v>
      </c>
      <c r="C487">
        <f>TBIDry!I559</f>
        <v>0</v>
      </c>
      <c r="D487" t="b">
        <f t="shared" si="165"/>
        <v>1</v>
      </c>
      <c r="E487" t="b">
        <f t="shared" si="166"/>
        <v>1</v>
      </c>
      <c r="S487" s="401" t="b">
        <f t="shared" si="169"/>
        <v>0</v>
      </c>
      <c r="T487" s="401" t="b">
        <f t="shared" si="170"/>
        <v>0</v>
      </c>
      <c r="AA487" t="str">
        <f>'Green_rooibos initial weight'!A488</f>
        <v>G484</v>
      </c>
      <c r="AB487" t="str">
        <f>'Green_rooibos initial weight'!A1392</f>
        <v>R484</v>
      </c>
      <c r="AC487" t="b">
        <f t="shared" si="171"/>
        <v>0</v>
      </c>
      <c r="AD487" t="b">
        <f t="shared" si="172"/>
        <v>0</v>
      </c>
      <c r="AZ487" s="401" t="b">
        <f t="shared" si="173"/>
        <v>0</v>
      </c>
      <c r="BA487" s="401" t="b">
        <f t="shared" si="174"/>
        <v>0</v>
      </c>
      <c r="BN487" t="str">
        <f t="shared" si="164"/>
        <v>G424</v>
      </c>
    </row>
    <row r="488" spans="2:66" ht="12" customHeight="1">
      <c r="B488">
        <f>TBIDry!H560</f>
        <v>0</v>
      </c>
      <c r="C488">
        <f>TBIDry!I560</f>
        <v>0</v>
      </c>
      <c r="D488" t="b">
        <f t="shared" si="165"/>
        <v>1</v>
      </c>
      <c r="E488" t="b">
        <f t="shared" si="166"/>
        <v>1</v>
      </c>
      <c r="S488" s="401" t="b">
        <f t="shared" si="169"/>
        <v>0</v>
      </c>
      <c r="T488" s="401" t="b">
        <f t="shared" si="170"/>
        <v>0</v>
      </c>
      <c r="AA488" t="str">
        <f>'Green_rooibos initial weight'!A489</f>
        <v>G485</v>
      </c>
      <c r="AB488" t="str">
        <f>'Green_rooibos initial weight'!A1393</f>
        <v>R485</v>
      </c>
      <c r="AC488" t="b">
        <f t="shared" si="171"/>
        <v>0</v>
      </c>
      <c r="AD488" t="b">
        <f t="shared" si="172"/>
        <v>0</v>
      </c>
      <c r="AZ488" s="401" t="b">
        <f t="shared" si="173"/>
        <v>0</v>
      </c>
      <c r="BA488" s="401" t="b">
        <f t="shared" si="174"/>
        <v>0</v>
      </c>
      <c r="BN488" t="str">
        <f t="shared" si="164"/>
        <v>G425</v>
      </c>
    </row>
    <row r="489" spans="2:66" ht="12" customHeight="1">
      <c r="B489">
        <f>TBIDry!H561</f>
        <v>0</v>
      </c>
      <c r="C489">
        <f>TBIDry!I561</f>
        <v>0</v>
      </c>
      <c r="D489" t="b">
        <f t="shared" si="165"/>
        <v>1</v>
      </c>
      <c r="E489" t="b">
        <f t="shared" si="166"/>
        <v>1</v>
      </c>
      <c r="S489" s="401" t="b">
        <f t="shared" si="169"/>
        <v>0</v>
      </c>
      <c r="T489" s="401" t="b">
        <f t="shared" si="170"/>
        <v>0</v>
      </c>
      <c r="AA489" t="str">
        <f>'Green_rooibos initial weight'!A490</f>
        <v>G486</v>
      </c>
      <c r="AB489" t="str">
        <f>'Green_rooibos initial weight'!A1394</f>
        <v>R486</v>
      </c>
      <c r="AC489" t="b">
        <f t="shared" si="171"/>
        <v>0</v>
      </c>
      <c r="AD489" t="b">
        <f t="shared" si="172"/>
        <v>0</v>
      </c>
      <c r="AZ489" s="401" t="b">
        <f t="shared" si="173"/>
        <v>0</v>
      </c>
      <c r="BA489" s="401" t="b">
        <f t="shared" si="174"/>
        <v>0</v>
      </c>
      <c r="BN489" t="str">
        <f t="shared" ref="BN489:BN552" si="175">L68</f>
        <v>G429</v>
      </c>
    </row>
    <row r="490" spans="2:66" ht="12" customHeight="1">
      <c r="B490">
        <f>TBIDry!H562</f>
        <v>0</v>
      </c>
      <c r="C490">
        <f>TBIDry!I562</f>
        <v>0</v>
      </c>
      <c r="D490" t="b">
        <f t="shared" si="165"/>
        <v>1</v>
      </c>
      <c r="E490" t="b">
        <f t="shared" si="166"/>
        <v>1</v>
      </c>
      <c r="S490" s="401" t="b">
        <f t="shared" si="169"/>
        <v>0</v>
      </c>
      <c r="T490" s="401" t="b">
        <f t="shared" si="170"/>
        <v>0</v>
      </c>
      <c r="AA490" t="str">
        <f>'Green_rooibos initial weight'!A491</f>
        <v>G487</v>
      </c>
      <c r="AB490" t="str">
        <f>'Green_rooibos initial weight'!A1395</f>
        <v>R487</v>
      </c>
      <c r="AC490" t="b">
        <f t="shared" si="171"/>
        <v>0</v>
      </c>
      <c r="AD490" t="b">
        <f t="shared" si="172"/>
        <v>0</v>
      </c>
      <c r="AZ490" s="401" t="b">
        <f t="shared" si="173"/>
        <v>0</v>
      </c>
      <c r="BA490" s="401" t="b">
        <f t="shared" si="174"/>
        <v>0</v>
      </c>
      <c r="BN490" t="str">
        <f t="shared" si="175"/>
        <v>G433</v>
      </c>
    </row>
    <row r="491" spans="2:66" ht="12" customHeight="1">
      <c r="B491">
        <f>TBIDry!H563</f>
        <v>0</v>
      </c>
      <c r="C491">
        <f>TBIDry!I563</f>
        <v>0</v>
      </c>
      <c r="D491" t="b">
        <f t="shared" si="165"/>
        <v>1</v>
      </c>
      <c r="E491" t="b">
        <f t="shared" si="166"/>
        <v>1</v>
      </c>
      <c r="S491" s="401" t="b">
        <f t="shared" si="169"/>
        <v>0</v>
      </c>
      <c r="T491" s="401" t="b">
        <f t="shared" si="170"/>
        <v>0</v>
      </c>
      <c r="AA491" t="str">
        <f>'Green_rooibos initial weight'!A492</f>
        <v>G488</v>
      </c>
      <c r="AB491" t="str">
        <f>'Green_rooibos initial weight'!A1396</f>
        <v>R488</v>
      </c>
      <c r="AC491" t="b">
        <f t="shared" si="171"/>
        <v>0</v>
      </c>
      <c r="AD491" t="b">
        <f t="shared" si="172"/>
        <v>0</v>
      </c>
      <c r="AZ491" s="401" t="b">
        <f t="shared" si="173"/>
        <v>0</v>
      </c>
      <c r="BA491" s="401" t="b">
        <f t="shared" si="174"/>
        <v>0</v>
      </c>
      <c r="BN491" t="str">
        <f t="shared" si="175"/>
        <v>G436</v>
      </c>
    </row>
    <row r="492" spans="2:66" ht="12" customHeight="1">
      <c r="B492">
        <f>TBIDry!H564</f>
        <v>0</v>
      </c>
      <c r="C492">
        <f>TBIDry!I564</f>
        <v>0</v>
      </c>
      <c r="D492" t="b">
        <f t="shared" si="165"/>
        <v>1</v>
      </c>
      <c r="E492" t="b">
        <f t="shared" si="166"/>
        <v>1</v>
      </c>
      <c r="S492" s="401" t="b">
        <f t="shared" si="169"/>
        <v>0</v>
      </c>
      <c r="T492" s="401" t="b">
        <f t="shared" si="170"/>
        <v>0</v>
      </c>
      <c r="AA492" t="str">
        <f>'Green_rooibos initial weight'!A493</f>
        <v>G489</v>
      </c>
      <c r="AB492" t="str">
        <f>'Green_rooibos initial weight'!A1397</f>
        <v>R489</v>
      </c>
      <c r="AC492" t="b">
        <f t="shared" si="171"/>
        <v>0</v>
      </c>
      <c r="AD492" t="b">
        <f t="shared" si="172"/>
        <v>0</v>
      </c>
      <c r="AZ492" s="401" t="b">
        <f t="shared" si="173"/>
        <v>0</v>
      </c>
      <c r="BA492" s="401" t="b">
        <f t="shared" si="174"/>
        <v>0</v>
      </c>
      <c r="BN492" t="str">
        <f t="shared" si="175"/>
        <v>G437</v>
      </c>
    </row>
    <row r="493" spans="2:66" ht="12" customHeight="1">
      <c r="B493">
        <f>TBIDry!H565</f>
        <v>0</v>
      </c>
      <c r="C493">
        <f>TBIDry!I565</f>
        <v>0</v>
      </c>
      <c r="D493" t="b">
        <f t="shared" si="165"/>
        <v>1</v>
      </c>
      <c r="E493" t="b">
        <f t="shared" si="166"/>
        <v>1</v>
      </c>
      <c r="S493" s="401" t="b">
        <f t="shared" si="169"/>
        <v>0</v>
      </c>
      <c r="T493" s="401" t="b">
        <f t="shared" si="170"/>
        <v>0</v>
      </c>
      <c r="AA493" t="str">
        <f>'Green_rooibos initial weight'!A494</f>
        <v>G490</v>
      </c>
      <c r="AB493" t="str">
        <f>'Green_rooibos initial weight'!A1398</f>
        <v>R490</v>
      </c>
      <c r="AC493" t="b">
        <f t="shared" si="171"/>
        <v>0</v>
      </c>
      <c r="AD493" t="b">
        <f t="shared" si="172"/>
        <v>0</v>
      </c>
      <c r="AZ493" s="401" t="b">
        <f t="shared" si="173"/>
        <v>0</v>
      </c>
      <c r="BA493" s="401" t="b">
        <f t="shared" si="174"/>
        <v>0</v>
      </c>
      <c r="BN493" t="str">
        <f t="shared" si="175"/>
        <v>G439</v>
      </c>
    </row>
    <row r="494" spans="2:66" ht="12" customHeight="1">
      <c r="B494">
        <f>TBIDry!H566</f>
        <v>0</v>
      </c>
      <c r="C494">
        <f>TBIDry!I566</f>
        <v>0</v>
      </c>
      <c r="D494" t="b">
        <f t="shared" si="165"/>
        <v>1</v>
      </c>
      <c r="E494" t="b">
        <f t="shared" si="166"/>
        <v>1</v>
      </c>
      <c r="S494" s="401" t="b">
        <f t="shared" si="169"/>
        <v>0</v>
      </c>
      <c r="T494" s="401" t="b">
        <f t="shared" si="170"/>
        <v>0</v>
      </c>
      <c r="AA494" t="str">
        <f>'Green_rooibos initial weight'!A495</f>
        <v>G491</v>
      </c>
      <c r="AB494" t="str">
        <f>'Green_rooibos initial weight'!A1399</f>
        <v>R491</v>
      </c>
      <c r="AC494" t="b">
        <f t="shared" si="171"/>
        <v>0</v>
      </c>
      <c r="AD494" t="b">
        <f t="shared" si="172"/>
        <v>0</v>
      </c>
      <c r="AZ494" s="401" t="b">
        <f t="shared" si="173"/>
        <v>0</v>
      </c>
      <c r="BA494" s="401" t="b">
        <f t="shared" si="174"/>
        <v>0</v>
      </c>
      <c r="BN494" t="str">
        <f t="shared" si="175"/>
        <v>G440</v>
      </c>
    </row>
    <row r="495" spans="2:66" ht="12" customHeight="1">
      <c r="B495">
        <f>TBIDry!H567</f>
        <v>0</v>
      </c>
      <c r="C495">
        <f>TBIDry!I567</f>
        <v>0</v>
      </c>
      <c r="D495" t="b">
        <f t="shared" si="165"/>
        <v>1</v>
      </c>
      <c r="E495" t="b">
        <f t="shared" si="166"/>
        <v>1</v>
      </c>
      <c r="S495" s="401" t="b">
        <f t="shared" si="169"/>
        <v>0</v>
      </c>
      <c r="T495" s="401" t="b">
        <f t="shared" si="170"/>
        <v>0</v>
      </c>
      <c r="AA495" t="str">
        <f>'Green_rooibos initial weight'!A496</f>
        <v>G492</v>
      </c>
      <c r="AB495" t="str">
        <f>'Green_rooibos initial weight'!A1400</f>
        <v>R492</v>
      </c>
      <c r="AC495" t="b">
        <f t="shared" si="171"/>
        <v>0</v>
      </c>
      <c r="AD495" t="b">
        <f t="shared" si="172"/>
        <v>0</v>
      </c>
      <c r="AZ495" s="401" t="b">
        <f t="shared" si="173"/>
        <v>0</v>
      </c>
      <c r="BA495" s="401" t="b">
        <f t="shared" si="174"/>
        <v>0</v>
      </c>
      <c r="BN495" t="str">
        <f t="shared" si="175"/>
        <v>G441</v>
      </c>
    </row>
    <row r="496" spans="2:66" ht="12" customHeight="1">
      <c r="B496">
        <f>TBIDry!H568</f>
        <v>0</v>
      </c>
      <c r="C496">
        <f>TBIDry!I568</f>
        <v>0</v>
      </c>
      <c r="D496" t="b">
        <f t="shared" si="165"/>
        <v>1</v>
      </c>
      <c r="E496" t="b">
        <f t="shared" si="166"/>
        <v>1</v>
      </c>
      <c r="S496" s="401" t="b">
        <f t="shared" si="169"/>
        <v>0</v>
      </c>
      <c r="T496" s="401" t="b">
        <f t="shared" si="170"/>
        <v>0</v>
      </c>
      <c r="AA496" t="str">
        <f>'Green_rooibos initial weight'!A497</f>
        <v>G493</v>
      </c>
      <c r="AB496" t="str">
        <f>'Green_rooibos initial weight'!A1401</f>
        <v>R493</v>
      </c>
      <c r="AC496" t="b">
        <f t="shared" si="171"/>
        <v>0</v>
      </c>
      <c r="AD496" t="b">
        <f t="shared" si="172"/>
        <v>0</v>
      </c>
      <c r="AZ496" s="401" t="b">
        <f t="shared" si="173"/>
        <v>0</v>
      </c>
      <c r="BA496" s="401" t="b">
        <f t="shared" si="174"/>
        <v>0</v>
      </c>
      <c r="BN496" t="str">
        <f t="shared" si="175"/>
        <v>G442</v>
      </c>
    </row>
    <row r="497" spans="2:66" ht="12" customHeight="1">
      <c r="B497">
        <f>TBIDry!H569</f>
        <v>0</v>
      </c>
      <c r="C497">
        <f>TBIDry!I569</f>
        <v>0</v>
      </c>
      <c r="D497" t="b">
        <f t="shared" si="165"/>
        <v>1</v>
      </c>
      <c r="E497" t="b">
        <f t="shared" si="166"/>
        <v>1</v>
      </c>
      <c r="S497" s="401" t="b">
        <f t="shared" si="169"/>
        <v>0</v>
      </c>
      <c r="T497" s="401" t="b">
        <f t="shared" si="170"/>
        <v>0</v>
      </c>
      <c r="AA497" t="str">
        <f>'Green_rooibos initial weight'!A498</f>
        <v>G494</v>
      </c>
      <c r="AB497" t="str">
        <f>'Green_rooibos initial weight'!A1402</f>
        <v>R494</v>
      </c>
      <c r="AC497" t="b">
        <f t="shared" si="171"/>
        <v>0</v>
      </c>
      <c r="AD497" t="b">
        <f t="shared" si="172"/>
        <v>0</v>
      </c>
      <c r="AZ497" s="401" t="b">
        <f t="shared" si="173"/>
        <v>0</v>
      </c>
      <c r="BA497" s="401" t="b">
        <f t="shared" si="174"/>
        <v>0</v>
      </c>
      <c r="BN497" t="str">
        <f t="shared" si="175"/>
        <v>G443</v>
      </c>
    </row>
    <row r="498" spans="2:66" ht="12" customHeight="1">
      <c r="B498">
        <f>TBIDry!H570</f>
        <v>0</v>
      </c>
      <c r="C498">
        <f>TBIDry!I570</f>
        <v>0</v>
      </c>
      <c r="D498" t="b">
        <f t="shared" si="165"/>
        <v>1</v>
      </c>
      <c r="E498" t="b">
        <f t="shared" si="166"/>
        <v>1</v>
      </c>
      <c r="S498" s="401" t="b">
        <f t="shared" si="169"/>
        <v>0</v>
      </c>
      <c r="T498" s="401" t="b">
        <f t="shared" si="170"/>
        <v>0</v>
      </c>
      <c r="AA498" t="str">
        <f>'Green_rooibos initial weight'!A499</f>
        <v>G495</v>
      </c>
      <c r="AB498" t="str">
        <f>'Green_rooibos initial weight'!A1403</f>
        <v>R495</v>
      </c>
      <c r="AC498" t="b">
        <f t="shared" si="171"/>
        <v>0</v>
      </c>
      <c r="AD498" t="b">
        <f t="shared" si="172"/>
        <v>0</v>
      </c>
      <c r="AZ498" s="401" t="b">
        <f t="shared" si="173"/>
        <v>0</v>
      </c>
      <c r="BA498" s="401" t="b">
        <f t="shared" si="174"/>
        <v>0</v>
      </c>
      <c r="BN498" t="str">
        <f t="shared" si="175"/>
        <v>G445</v>
      </c>
    </row>
    <row r="499" spans="2:66" ht="12" customHeight="1">
      <c r="B499">
        <f>TBIDry!H571</f>
        <v>0</v>
      </c>
      <c r="C499">
        <f>TBIDry!I571</f>
        <v>0</v>
      </c>
      <c r="D499" t="b">
        <f t="shared" si="165"/>
        <v>1</v>
      </c>
      <c r="E499" t="b">
        <f t="shared" si="166"/>
        <v>1</v>
      </c>
      <c r="S499" s="401" t="b">
        <f t="shared" si="169"/>
        <v>0</v>
      </c>
      <c r="T499" s="401" t="b">
        <f t="shared" si="170"/>
        <v>0</v>
      </c>
      <c r="AA499" t="str">
        <f>'Green_rooibos initial weight'!A500</f>
        <v>G496</v>
      </c>
      <c r="AB499" t="str">
        <f>'Green_rooibos initial weight'!A1404</f>
        <v>R496</v>
      </c>
      <c r="AC499" t="b">
        <f t="shared" si="171"/>
        <v>0</v>
      </c>
      <c r="AD499" t="b">
        <f t="shared" si="172"/>
        <v>0</v>
      </c>
      <c r="AZ499" s="401" t="b">
        <f t="shared" si="173"/>
        <v>0</v>
      </c>
      <c r="BA499" s="401" t="b">
        <f t="shared" si="174"/>
        <v>0</v>
      </c>
      <c r="BN499" t="str">
        <f t="shared" si="175"/>
        <v>G446</v>
      </c>
    </row>
    <row r="500" spans="2:66" ht="12" customHeight="1">
      <c r="B500">
        <f>TBIDry!H572</f>
        <v>0</v>
      </c>
      <c r="C500">
        <f>TBIDry!I572</f>
        <v>0</v>
      </c>
      <c r="D500" t="b">
        <f t="shared" si="165"/>
        <v>1</v>
      </c>
      <c r="E500" t="b">
        <f t="shared" si="166"/>
        <v>1</v>
      </c>
      <c r="S500" s="401" t="b">
        <f t="shared" si="169"/>
        <v>0</v>
      </c>
      <c r="T500" s="401" t="b">
        <f t="shared" si="170"/>
        <v>0</v>
      </c>
      <c r="AA500" t="str">
        <f>'Green_rooibos initial weight'!A501</f>
        <v>G497</v>
      </c>
      <c r="AB500" t="str">
        <f>'Green_rooibos initial weight'!A1405</f>
        <v>R497</v>
      </c>
      <c r="AC500" t="b">
        <f t="shared" si="171"/>
        <v>0</v>
      </c>
      <c r="AD500" t="b">
        <f t="shared" si="172"/>
        <v>0</v>
      </c>
      <c r="AZ500" s="401" t="b">
        <f t="shared" si="173"/>
        <v>0</v>
      </c>
      <c r="BA500" s="401" t="b">
        <f t="shared" si="174"/>
        <v>0</v>
      </c>
      <c r="BN500" t="str">
        <f t="shared" si="175"/>
        <v>G447</v>
      </c>
    </row>
    <row r="501" spans="2:66" ht="12" customHeight="1">
      <c r="B501">
        <f>TBIDry!H573</f>
        <v>0</v>
      </c>
      <c r="C501">
        <f>TBIDry!I573</f>
        <v>0</v>
      </c>
      <c r="D501" t="b">
        <f t="shared" si="165"/>
        <v>1</v>
      </c>
      <c r="E501" t="b">
        <f t="shared" si="166"/>
        <v>1</v>
      </c>
      <c r="S501" s="401" t="b">
        <f t="shared" si="169"/>
        <v>0</v>
      </c>
      <c r="T501" s="401" t="b">
        <f t="shared" si="170"/>
        <v>0</v>
      </c>
      <c r="AA501" t="str">
        <f>'Green_rooibos initial weight'!A502</f>
        <v>G498</v>
      </c>
      <c r="AB501" t="str">
        <f>'Green_rooibos initial weight'!A1406</f>
        <v>R498</v>
      </c>
      <c r="AC501" t="b">
        <f t="shared" si="171"/>
        <v>0</v>
      </c>
      <c r="AD501" t="b">
        <f t="shared" si="172"/>
        <v>0</v>
      </c>
      <c r="AZ501" s="401" t="b">
        <f t="shared" si="173"/>
        <v>0</v>
      </c>
      <c r="BA501" s="401" t="b">
        <f t="shared" si="174"/>
        <v>0</v>
      </c>
      <c r="BN501" t="str">
        <f t="shared" si="175"/>
        <v>G448</v>
      </c>
    </row>
    <row r="502" spans="2:66" ht="12" customHeight="1">
      <c r="B502">
        <f>TBIDry!H574</f>
        <v>0</v>
      </c>
      <c r="C502">
        <f>TBIDry!I574</f>
        <v>0</v>
      </c>
      <c r="D502" t="b">
        <f t="shared" si="165"/>
        <v>1</v>
      </c>
      <c r="E502" t="b">
        <f t="shared" si="166"/>
        <v>1</v>
      </c>
      <c r="S502" s="401" t="b">
        <f t="shared" si="169"/>
        <v>0</v>
      </c>
      <c r="T502" s="401" t="b">
        <f t="shared" si="170"/>
        <v>0</v>
      </c>
      <c r="AA502" t="str">
        <f>'Green_rooibos initial weight'!A503</f>
        <v>G499</v>
      </c>
      <c r="AB502" t="str">
        <f>'Green_rooibos initial weight'!A1407</f>
        <v>R499</v>
      </c>
      <c r="AC502" t="b">
        <f t="shared" si="171"/>
        <v>0</v>
      </c>
      <c r="AD502" t="b">
        <f t="shared" si="172"/>
        <v>0</v>
      </c>
      <c r="AZ502" s="401" t="b">
        <f t="shared" si="173"/>
        <v>0</v>
      </c>
      <c r="BA502" s="401" t="b">
        <f t="shared" si="174"/>
        <v>0</v>
      </c>
      <c r="BN502" t="str">
        <f t="shared" si="175"/>
        <v>G449</v>
      </c>
    </row>
    <row r="503" spans="2:66" ht="12" customHeight="1">
      <c r="B503">
        <f>TBIDry!H575</f>
        <v>0</v>
      </c>
      <c r="C503">
        <f>TBIDry!I575</f>
        <v>0</v>
      </c>
      <c r="D503" t="b">
        <f t="shared" si="165"/>
        <v>1</v>
      </c>
      <c r="E503" t="b">
        <f t="shared" si="166"/>
        <v>1</v>
      </c>
      <c r="S503" s="401" t="b">
        <f t="shared" si="169"/>
        <v>0</v>
      </c>
      <c r="T503" s="401" t="b">
        <f t="shared" si="170"/>
        <v>0</v>
      </c>
      <c r="AA503" t="str">
        <f>'Green_rooibos initial weight'!A504</f>
        <v>G500</v>
      </c>
      <c r="AB503" t="str">
        <f>'Green_rooibos initial weight'!A1408</f>
        <v>R500</v>
      </c>
      <c r="AC503" t="b">
        <f t="shared" si="171"/>
        <v>0</v>
      </c>
      <c r="AD503" t="b">
        <f t="shared" si="172"/>
        <v>0</v>
      </c>
      <c r="AZ503" s="401" t="b">
        <f t="shared" si="173"/>
        <v>0</v>
      </c>
      <c r="BA503" s="401" t="b">
        <f t="shared" si="174"/>
        <v>0</v>
      </c>
      <c r="BN503" t="str">
        <f t="shared" si="175"/>
        <v>G450</v>
      </c>
    </row>
    <row r="504" spans="2:66" ht="12" customHeight="1">
      <c r="B504">
        <f>TBIDry!H576</f>
        <v>0</v>
      </c>
      <c r="C504">
        <f>TBIDry!I576</f>
        <v>0</v>
      </c>
      <c r="D504" t="b">
        <f t="shared" si="165"/>
        <v>1</v>
      </c>
      <c r="E504" t="b">
        <f t="shared" si="166"/>
        <v>1</v>
      </c>
      <c r="S504" s="401" t="b">
        <f t="shared" si="169"/>
        <v>0</v>
      </c>
      <c r="T504" s="401" t="b">
        <f t="shared" si="170"/>
        <v>0</v>
      </c>
      <c r="AA504" t="str">
        <f>'Green_rooibos initial weight'!A505</f>
        <v>G501</v>
      </c>
      <c r="AB504" t="str">
        <f>'Green_rooibos initial weight'!A1409</f>
        <v>R501</v>
      </c>
      <c r="AC504" t="b">
        <f t="shared" si="171"/>
        <v>0</v>
      </c>
      <c r="AD504" t="b">
        <f t="shared" si="172"/>
        <v>0</v>
      </c>
      <c r="AZ504" s="401" t="b">
        <f t="shared" si="173"/>
        <v>0</v>
      </c>
      <c r="BA504" s="401" t="b">
        <f t="shared" si="174"/>
        <v>0</v>
      </c>
      <c r="BN504" t="str">
        <f t="shared" si="175"/>
        <v>G451</v>
      </c>
    </row>
    <row r="505" spans="2:66" ht="12" customHeight="1">
      <c r="B505">
        <f>TBIDry!H577</f>
        <v>0</v>
      </c>
      <c r="C505">
        <f>TBIDry!I577</f>
        <v>0</v>
      </c>
      <c r="D505" t="b">
        <f t="shared" si="165"/>
        <v>1</v>
      </c>
      <c r="E505" t="b">
        <f t="shared" si="166"/>
        <v>1</v>
      </c>
      <c r="S505" s="401" t="b">
        <f t="shared" si="169"/>
        <v>0</v>
      </c>
      <c r="T505" s="401" t="b">
        <f t="shared" si="170"/>
        <v>0</v>
      </c>
      <c r="AA505" t="str">
        <f>'Green_rooibos initial weight'!A506</f>
        <v>G502</v>
      </c>
      <c r="AB505" t="str">
        <f>'Green_rooibos initial weight'!A1410</f>
        <v>R502</v>
      </c>
      <c r="AC505" t="b">
        <f t="shared" si="171"/>
        <v>0</v>
      </c>
      <c r="AD505" t="b">
        <f t="shared" si="172"/>
        <v>0</v>
      </c>
      <c r="AZ505" s="401" t="b">
        <f t="shared" si="173"/>
        <v>0</v>
      </c>
      <c r="BA505" s="401" t="b">
        <f t="shared" si="174"/>
        <v>0</v>
      </c>
      <c r="BN505" t="str">
        <f t="shared" si="175"/>
        <v>G452</v>
      </c>
    </row>
    <row r="506" spans="2:66" ht="12" customHeight="1">
      <c r="B506">
        <f>TBIDry!H578</f>
        <v>0</v>
      </c>
      <c r="C506">
        <f>TBIDry!I578</f>
        <v>0</v>
      </c>
      <c r="D506" t="b">
        <f t="shared" si="165"/>
        <v>1</v>
      </c>
      <c r="E506" t="b">
        <f t="shared" si="166"/>
        <v>1</v>
      </c>
      <c r="S506" s="401" t="b">
        <f t="shared" si="169"/>
        <v>0</v>
      </c>
      <c r="T506" s="401" t="b">
        <f t="shared" si="170"/>
        <v>0</v>
      </c>
      <c r="AA506" t="str">
        <f>'Green_rooibos initial weight'!A507</f>
        <v>G503</v>
      </c>
      <c r="AB506" t="str">
        <f>'Green_rooibos initial weight'!A1411</f>
        <v>R503</v>
      </c>
      <c r="AC506" t="b">
        <f t="shared" si="171"/>
        <v>0</v>
      </c>
      <c r="AD506" t="b">
        <f t="shared" si="172"/>
        <v>0</v>
      </c>
      <c r="AZ506" s="401" t="b">
        <f t="shared" si="173"/>
        <v>0</v>
      </c>
      <c r="BA506" s="401" t="b">
        <f t="shared" si="174"/>
        <v>0</v>
      </c>
      <c r="BN506" t="str">
        <f t="shared" si="175"/>
        <v>G453</v>
      </c>
    </row>
    <row r="507" spans="2:66" ht="12" customHeight="1">
      <c r="B507">
        <f>TBIDry!H579</f>
        <v>0</v>
      </c>
      <c r="C507">
        <f>TBIDry!I579</f>
        <v>0</v>
      </c>
      <c r="D507" t="b">
        <f t="shared" si="165"/>
        <v>1</v>
      </c>
      <c r="E507" t="b">
        <f t="shared" si="166"/>
        <v>1</v>
      </c>
      <c r="S507" s="401" t="b">
        <f t="shared" si="169"/>
        <v>0</v>
      </c>
      <c r="T507" s="401" t="b">
        <f t="shared" si="170"/>
        <v>0</v>
      </c>
      <c r="AA507" t="str">
        <f>'Green_rooibos initial weight'!A508</f>
        <v>G504</v>
      </c>
      <c r="AB507" t="str">
        <f>'Green_rooibos initial weight'!A1412</f>
        <v>R504</v>
      </c>
      <c r="AC507" t="b">
        <f t="shared" si="171"/>
        <v>0</v>
      </c>
      <c r="AD507" t="b">
        <f t="shared" si="172"/>
        <v>0</v>
      </c>
      <c r="AZ507" s="401" t="b">
        <f t="shared" si="173"/>
        <v>0</v>
      </c>
      <c r="BA507" s="401" t="b">
        <f t="shared" si="174"/>
        <v>0</v>
      </c>
      <c r="BN507" t="str">
        <f t="shared" si="175"/>
        <v>G454</v>
      </c>
    </row>
    <row r="508" spans="2:66" ht="12" customHeight="1">
      <c r="B508">
        <f>TBIDry!H580</f>
        <v>0</v>
      </c>
      <c r="C508">
        <f>TBIDry!I580</f>
        <v>0</v>
      </c>
      <c r="D508" t="b">
        <f t="shared" si="165"/>
        <v>1</v>
      </c>
      <c r="E508" t="b">
        <f t="shared" si="166"/>
        <v>1</v>
      </c>
      <c r="S508" s="401" t="b">
        <f t="shared" si="169"/>
        <v>0</v>
      </c>
      <c r="T508" s="401" t="b">
        <f t="shared" si="170"/>
        <v>0</v>
      </c>
      <c r="AA508" t="str">
        <f>'Green_rooibos initial weight'!A509</f>
        <v>G505</v>
      </c>
      <c r="AB508" t="str">
        <f>'Green_rooibos initial weight'!A1413</f>
        <v>R505</v>
      </c>
      <c r="AC508" t="b">
        <f t="shared" si="171"/>
        <v>0</v>
      </c>
      <c r="AD508" t="b">
        <f t="shared" si="172"/>
        <v>0</v>
      </c>
      <c r="AZ508" s="401" t="b">
        <f t="shared" si="173"/>
        <v>0</v>
      </c>
      <c r="BA508" s="401" t="b">
        <f t="shared" si="174"/>
        <v>0</v>
      </c>
      <c r="BN508" t="str">
        <f t="shared" si="175"/>
        <v>G456</v>
      </c>
    </row>
    <row r="509" spans="2:66" ht="12" customHeight="1">
      <c r="B509">
        <f>TBIDry!H581</f>
        <v>0</v>
      </c>
      <c r="C509">
        <f>TBIDry!I581</f>
        <v>0</v>
      </c>
      <c r="D509" t="b">
        <f t="shared" si="165"/>
        <v>1</v>
      </c>
      <c r="E509" t="b">
        <f t="shared" si="166"/>
        <v>1</v>
      </c>
      <c r="S509" s="401" t="b">
        <f t="shared" si="169"/>
        <v>0</v>
      </c>
      <c r="T509" s="401" t="b">
        <f t="shared" si="170"/>
        <v>0</v>
      </c>
      <c r="AA509" t="str">
        <f>'Green_rooibos initial weight'!A510</f>
        <v>G506</v>
      </c>
      <c r="AB509" t="str">
        <f>'Green_rooibos initial weight'!A1414</f>
        <v>R506</v>
      </c>
      <c r="AC509" t="b">
        <f t="shared" si="171"/>
        <v>0</v>
      </c>
      <c r="AD509" t="b">
        <f t="shared" si="172"/>
        <v>0</v>
      </c>
      <c r="AZ509" s="401" t="b">
        <f t="shared" si="173"/>
        <v>0</v>
      </c>
      <c r="BA509" s="401" t="b">
        <f t="shared" si="174"/>
        <v>0</v>
      </c>
      <c r="BN509" t="str">
        <f t="shared" si="175"/>
        <v>G457</v>
      </c>
    </row>
    <row r="510" spans="2:66" ht="12" customHeight="1">
      <c r="B510">
        <f>TBIDry!H582</f>
        <v>0</v>
      </c>
      <c r="C510">
        <f>TBIDry!I582</f>
        <v>0</v>
      </c>
      <c r="D510" t="b">
        <f t="shared" si="165"/>
        <v>1</v>
      </c>
      <c r="E510" t="b">
        <f t="shared" si="166"/>
        <v>1</v>
      </c>
      <c r="S510" s="401" t="b">
        <f t="shared" si="169"/>
        <v>0</v>
      </c>
      <c r="T510" s="401" t="b">
        <f t="shared" si="170"/>
        <v>0</v>
      </c>
      <c r="AA510" t="str">
        <f>'Green_rooibos initial weight'!A511</f>
        <v>G507</v>
      </c>
      <c r="AB510" t="str">
        <f>'Green_rooibos initial weight'!A1415</f>
        <v>R507</v>
      </c>
      <c r="AC510" t="b">
        <f t="shared" si="171"/>
        <v>0</v>
      </c>
      <c r="AD510" t="b">
        <f t="shared" si="172"/>
        <v>0</v>
      </c>
      <c r="AZ510" s="401" t="b">
        <f t="shared" si="173"/>
        <v>0</v>
      </c>
      <c r="BA510" s="401" t="b">
        <f t="shared" si="174"/>
        <v>0</v>
      </c>
      <c r="BN510" t="str">
        <f t="shared" si="175"/>
        <v>G458</v>
      </c>
    </row>
    <row r="511" spans="2:66" ht="12" customHeight="1">
      <c r="B511">
        <f>TBIDry!H583</f>
        <v>0</v>
      </c>
      <c r="C511">
        <f>TBIDry!I583</f>
        <v>0</v>
      </c>
      <c r="D511" t="b">
        <f t="shared" si="165"/>
        <v>1</v>
      </c>
      <c r="E511" t="b">
        <f t="shared" si="166"/>
        <v>1</v>
      </c>
      <c r="S511" s="401" t="b">
        <f t="shared" si="169"/>
        <v>0</v>
      </c>
      <c r="T511" s="401" t="b">
        <f t="shared" si="170"/>
        <v>0</v>
      </c>
      <c r="AA511" t="str">
        <f>'Green_rooibos initial weight'!A512</f>
        <v>G508</v>
      </c>
      <c r="AB511" t="str">
        <f>'Green_rooibos initial weight'!A1416</f>
        <v>R508</v>
      </c>
      <c r="AC511" t="b">
        <f t="shared" si="171"/>
        <v>0</v>
      </c>
      <c r="AD511" t="b">
        <f t="shared" si="172"/>
        <v>0</v>
      </c>
      <c r="AZ511" s="401" t="b">
        <f t="shared" si="173"/>
        <v>0</v>
      </c>
      <c r="BA511" s="401" t="b">
        <f t="shared" si="174"/>
        <v>0</v>
      </c>
      <c r="BN511" t="str">
        <f t="shared" si="175"/>
        <v>G459</v>
      </c>
    </row>
    <row r="512" spans="2:66" ht="12" customHeight="1">
      <c r="B512">
        <f>TBIDry!H584</f>
        <v>0</v>
      </c>
      <c r="C512">
        <f>TBIDry!I584</f>
        <v>0</v>
      </c>
      <c r="D512" t="b">
        <f t="shared" si="165"/>
        <v>1</v>
      </c>
      <c r="E512" t="b">
        <f t="shared" si="166"/>
        <v>1</v>
      </c>
      <c r="S512" s="401" t="b">
        <f t="shared" si="169"/>
        <v>0</v>
      </c>
      <c r="T512" s="401" t="b">
        <f t="shared" si="170"/>
        <v>0</v>
      </c>
      <c r="AA512" t="str">
        <f>'Green_rooibos initial weight'!A513</f>
        <v>G509</v>
      </c>
      <c r="AB512" t="str">
        <f>'Green_rooibos initial weight'!A1417</f>
        <v>R509</v>
      </c>
      <c r="AC512" t="b">
        <f t="shared" si="171"/>
        <v>0</v>
      </c>
      <c r="AD512" t="b">
        <f t="shared" si="172"/>
        <v>0</v>
      </c>
      <c r="AZ512" s="401" t="b">
        <f t="shared" si="173"/>
        <v>0</v>
      </c>
      <c r="BA512" s="401" t="b">
        <f t="shared" si="174"/>
        <v>0</v>
      </c>
      <c r="BN512" t="str">
        <f t="shared" si="175"/>
        <v>G460</v>
      </c>
    </row>
    <row r="513" spans="2:66" ht="12" customHeight="1">
      <c r="B513">
        <f>TBIDry!H585</f>
        <v>0</v>
      </c>
      <c r="C513">
        <f>TBIDry!I585</f>
        <v>0</v>
      </c>
      <c r="D513" t="b">
        <f t="shared" si="165"/>
        <v>1</v>
      </c>
      <c r="E513" t="b">
        <f t="shared" si="166"/>
        <v>1</v>
      </c>
      <c r="S513" s="401" t="b">
        <f t="shared" si="169"/>
        <v>0</v>
      </c>
      <c r="T513" s="401" t="b">
        <f t="shared" si="170"/>
        <v>0</v>
      </c>
      <c r="AA513" t="str">
        <f>'Green_rooibos initial weight'!A514</f>
        <v>G510</v>
      </c>
      <c r="AB513" t="str">
        <f>'Green_rooibos initial weight'!A1418</f>
        <v>R510</v>
      </c>
      <c r="AC513" t="b">
        <f t="shared" si="171"/>
        <v>0</v>
      </c>
      <c r="AD513" t="b">
        <f t="shared" si="172"/>
        <v>0</v>
      </c>
      <c r="AZ513" s="401" t="b">
        <f t="shared" si="173"/>
        <v>0</v>
      </c>
      <c r="BA513" s="401" t="b">
        <f t="shared" si="174"/>
        <v>0</v>
      </c>
      <c r="BN513" t="str">
        <f t="shared" si="175"/>
        <v>G461</v>
      </c>
    </row>
    <row r="514" spans="2:66" ht="12" customHeight="1">
      <c r="B514">
        <f>TBIDry!H586</f>
        <v>0</v>
      </c>
      <c r="C514">
        <f>TBIDry!I586</f>
        <v>0</v>
      </c>
      <c r="D514" t="b">
        <f t="shared" si="165"/>
        <v>1</v>
      </c>
      <c r="E514" t="b">
        <f t="shared" si="166"/>
        <v>1</v>
      </c>
      <c r="S514" s="401" t="b">
        <f t="shared" si="169"/>
        <v>0</v>
      </c>
      <c r="T514" s="401" t="b">
        <f t="shared" si="170"/>
        <v>0</v>
      </c>
      <c r="AA514" t="str">
        <f>'Green_rooibos initial weight'!A515</f>
        <v>G511</v>
      </c>
      <c r="AB514" t="str">
        <f>'Green_rooibos initial weight'!A1419</f>
        <v>R511</v>
      </c>
      <c r="AC514" t="b">
        <f t="shared" si="171"/>
        <v>0</v>
      </c>
      <c r="AD514" t="b">
        <f t="shared" si="172"/>
        <v>0</v>
      </c>
      <c r="AZ514" s="401" t="b">
        <f t="shared" si="173"/>
        <v>0</v>
      </c>
      <c r="BA514" s="401" t="b">
        <f t="shared" si="174"/>
        <v>0</v>
      </c>
      <c r="BN514" t="str">
        <f t="shared" si="175"/>
        <v>G462</v>
      </c>
    </row>
    <row r="515" spans="2:66" ht="12" customHeight="1">
      <c r="B515">
        <f>TBIDry!H587</f>
        <v>0</v>
      </c>
      <c r="C515">
        <f>TBIDry!I587</f>
        <v>0</v>
      </c>
      <c r="D515" t="b">
        <f t="shared" si="165"/>
        <v>1</v>
      </c>
      <c r="E515" t="b">
        <f t="shared" si="166"/>
        <v>1</v>
      </c>
      <c r="S515" s="401" t="b">
        <f t="shared" si="169"/>
        <v>0</v>
      </c>
      <c r="T515" s="401" t="b">
        <f t="shared" si="170"/>
        <v>0</v>
      </c>
      <c r="AA515" t="str">
        <f>'Green_rooibos initial weight'!A516</f>
        <v>G512</v>
      </c>
      <c r="AB515" t="str">
        <f>'Green_rooibos initial weight'!A1420</f>
        <v>R512</v>
      </c>
      <c r="AC515" t="b">
        <f t="shared" si="171"/>
        <v>0</v>
      </c>
      <c r="AD515" t="b">
        <f t="shared" si="172"/>
        <v>0</v>
      </c>
      <c r="AZ515" s="401" t="b">
        <f t="shared" si="173"/>
        <v>0</v>
      </c>
      <c r="BA515" s="401" t="b">
        <f t="shared" si="174"/>
        <v>0</v>
      </c>
      <c r="BN515" t="str">
        <f t="shared" si="175"/>
        <v>G469</v>
      </c>
    </row>
    <row r="516" spans="2:66" ht="12" customHeight="1">
      <c r="B516">
        <f>TBIDry!H588</f>
        <v>0</v>
      </c>
      <c r="C516">
        <f>TBIDry!I588</f>
        <v>0</v>
      </c>
      <c r="D516" t="b">
        <f t="shared" si="165"/>
        <v>1</v>
      </c>
      <c r="E516" t="b">
        <f t="shared" si="166"/>
        <v>1</v>
      </c>
      <c r="S516" s="401" t="b">
        <f t="shared" si="169"/>
        <v>0</v>
      </c>
      <c r="T516" s="401" t="b">
        <f t="shared" si="170"/>
        <v>0</v>
      </c>
      <c r="AA516" t="str">
        <f>'Green_rooibos initial weight'!A517</f>
        <v>G513</v>
      </c>
      <c r="AB516" t="str">
        <f>'Green_rooibos initial weight'!A1421</f>
        <v>R513</v>
      </c>
      <c r="AC516" t="b">
        <f t="shared" si="171"/>
        <v>0</v>
      </c>
      <c r="AD516" t="b">
        <f t="shared" si="172"/>
        <v>0</v>
      </c>
      <c r="AZ516" s="401" t="b">
        <f t="shared" si="173"/>
        <v>0</v>
      </c>
      <c r="BA516" s="401" t="b">
        <f t="shared" si="174"/>
        <v>0</v>
      </c>
      <c r="BN516" t="str">
        <f t="shared" si="175"/>
        <v>G470</v>
      </c>
    </row>
    <row r="517" spans="2:66" ht="12" customHeight="1">
      <c r="B517">
        <f>TBIDry!H589</f>
        <v>0</v>
      </c>
      <c r="C517">
        <f>TBIDry!I589</f>
        <v>0</v>
      </c>
      <c r="D517" t="b">
        <f t="shared" ref="D517:D580" si="176">COUNTIF($B$4:$B$2000, B517)&gt;1</f>
        <v>1</v>
      </c>
      <c r="E517" t="b">
        <f t="shared" ref="E517:E580" si="177">COUNTIF($C$4:$C$2000, C517)&gt;1</f>
        <v>1</v>
      </c>
      <c r="S517" s="401" t="b">
        <f t="shared" ref="S517:S525" si="178">COUNTIF($V$4:$V$2000, L517)=1</f>
        <v>0</v>
      </c>
      <c r="T517" s="401" t="b">
        <f t="shared" ref="T517:T525" si="179">COUNTIF($W$4:$W$2000, M517)=1</f>
        <v>0</v>
      </c>
      <c r="AA517" t="str">
        <f>'Green_rooibos initial weight'!A518</f>
        <v>G514</v>
      </c>
      <c r="AB517" t="str">
        <f>'Green_rooibos initial weight'!A1422</f>
        <v>R514</v>
      </c>
      <c r="AC517" t="b">
        <f t="shared" ref="AC517:AC580" si="180">COUNTIF($AA$4:$AA$2000, AA517)&gt;1</f>
        <v>0</v>
      </c>
      <c r="AD517" t="b">
        <f t="shared" ref="AD517:AD580" si="181">COUNTIF($AB$4:$AB$2000, AB517)&gt;1</f>
        <v>0</v>
      </c>
      <c r="AZ517" s="401" t="b">
        <f t="shared" ref="AZ517:AZ525" si="182">COUNTIF($BC$4:$BC$2000, AT517)=1</f>
        <v>0</v>
      </c>
      <c r="BA517" s="401" t="b">
        <f t="shared" ref="BA517:BA525" si="183">COUNTIF($BD$4:$BD$2000, AU517)=1</f>
        <v>0</v>
      </c>
      <c r="BN517" t="str">
        <f t="shared" si="175"/>
        <v>G472</v>
      </c>
    </row>
    <row r="518" spans="2:66" ht="12" customHeight="1">
      <c r="B518">
        <f>TBIDry!H590</f>
        <v>0</v>
      </c>
      <c r="C518">
        <f>TBIDry!I590</f>
        <v>0</v>
      </c>
      <c r="D518" t="b">
        <f t="shared" si="176"/>
        <v>1</v>
      </c>
      <c r="E518" t="b">
        <f t="shared" si="177"/>
        <v>1</v>
      </c>
      <c r="S518" s="401" t="b">
        <f t="shared" si="178"/>
        <v>0</v>
      </c>
      <c r="T518" s="401" t="b">
        <f t="shared" si="179"/>
        <v>0</v>
      </c>
      <c r="AA518" t="str">
        <f>'Green_rooibos initial weight'!A519</f>
        <v>G515</v>
      </c>
      <c r="AB518" t="str">
        <f>'Green_rooibos initial weight'!A1423</f>
        <v>R515</v>
      </c>
      <c r="AC518" t="b">
        <f t="shared" si="180"/>
        <v>0</v>
      </c>
      <c r="AD518" t="b">
        <f t="shared" si="181"/>
        <v>0</v>
      </c>
      <c r="AZ518" s="401" t="b">
        <f t="shared" si="182"/>
        <v>0</v>
      </c>
      <c r="BA518" s="401" t="b">
        <f t="shared" si="183"/>
        <v>0</v>
      </c>
      <c r="BN518" t="str">
        <f t="shared" si="175"/>
        <v>G474</v>
      </c>
    </row>
    <row r="519" spans="2:66" ht="12" customHeight="1">
      <c r="B519">
        <f>TBIDry!H591</f>
        <v>0</v>
      </c>
      <c r="C519">
        <f>TBIDry!I591</f>
        <v>0</v>
      </c>
      <c r="D519" t="b">
        <f t="shared" si="176"/>
        <v>1</v>
      </c>
      <c r="E519" t="b">
        <f t="shared" si="177"/>
        <v>1</v>
      </c>
      <c r="S519" s="401" t="b">
        <f t="shared" si="178"/>
        <v>0</v>
      </c>
      <c r="T519" s="401" t="b">
        <f t="shared" si="179"/>
        <v>0</v>
      </c>
      <c r="AA519" t="str">
        <f>'Green_rooibos initial weight'!A520</f>
        <v>G516</v>
      </c>
      <c r="AB519" t="str">
        <f>'Green_rooibos initial weight'!A1424</f>
        <v>R516</v>
      </c>
      <c r="AC519" t="b">
        <f t="shared" si="180"/>
        <v>0</v>
      </c>
      <c r="AD519" t="b">
        <f t="shared" si="181"/>
        <v>0</v>
      </c>
      <c r="AZ519" s="401" t="b">
        <f t="shared" si="182"/>
        <v>0</v>
      </c>
      <c r="BA519" s="401" t="b">
        <f t="shared" si="183"/>
        <v>0</v>
      </c>
      <c r="BN519" t="str">
        <f t="shared" si="175"/>
        <v>G475</v>
      </c>
    </row>
    <row r="520" spans="2:66" ht="12" customHeight="1">
      <c r="B520">
        <f>TBIDry!H592</f>
        <v>0</v>
      </c>
      <c r="C520">
        <f>TBIDry!I592</f>
        <v>0</v>
      </c>
      <c r="D520" t="b">
        <f t="shared" si="176"/>
        <v>1</v>
      </c>
      <c r="E520" t="b">
        <f t="shared" si="177"/>
        <v>1</v>
      </c>
      <c r="S520" s="401" t="b">
        <f t="shared" si="178"/>
        <v>0</v>
      </c>
      <c r="T520" s="401" t="b">
        <f t="shared" si="179"/>
        <v>0</v>
      </c>
      <c r="AA520" t="str">
        <f>'Green_rooibos initial weight'!A521</f>
        <v>G517</v>
      </c>
      <c r="AB520" t="str">
        <f>'Green_rooibos initial weight'!A1425</f>
        <v>R517</v>
      </c>
      <c r="AC520" t="b">
        <f t="shared" si="180"/>
        <v>0</v>
      </c>
      <c r="AD520" t="b">
        <f t="shared" si="181"/>
        <v>0</v>
      </c>
      <c r="AZ520" s="401" t="b">
        <f t="shared" si="182"/>
        <v>0</v>
      </c>
      <c r="BA520" s="401" t="b">
        <f t="shared" si="183"/>
        <v>0</v>
      </c>
      <c r="BN520" t="str">
        <f t="shared" si="175"/>
        <v>G476</v>
      </c>
    </row>
    <row r="521" spans="2:66" ht="12" customHeight="1">
      <c r="B521">
        <f>TBIDry!H593</f>
        <v>0</v>
      </c>
      <c r="C521">
        <f>TBIDry!I593</f>
        <v>0</v>
      </c>
      <c r="D521" t="b">
        <f t="shared" si="176"/>
        <v>1</v>
      </c>
      <c r="E521" t="b">
        <f t="shared" si="177"/>
        <v>1</v>
      </c>
      <c r="S521" s="401" t="b">
        <f t="shared" si="178"/>
        <v>0</v>
      </c>
      <c r="T521" s="401" t="b">
        <f t="shared" si="179"/>
        <v>0</v>
      </c>
      <c r="AA521" t="str">
        <f>'Green_rooibos initial weight'!A522</f>
        <v>G518</v>
      </c>
      <c r="AB521" t="str">
        <f>'Green_rooibos initial weight'!A1426</f>
        <v>R518</v>
      </c>
      <c r="AC521" t="b">
        <f t="shared" si="180"/>
        <v>0</v>
      </c>
      <c r="AD521" t="b">
        <f t="shared" si="181"/>
        <v>0</v>
      </c>
      <c r="AZ521" s="401" t="b">
        <f t="shared" si="182"/>
        <v>0</v>
      </c>
      <c r="BA521" s="401" t="b">
        <f t="shared" si="183"/>
        <v>0</v>
      </c>
      <c r="BN521" t="str">
        <f t="shared" si="175"/>
        <v>G477</v>
      </c>
    </row>
    <row r="522" spans="2:66" ht="12" customHeight="1">
      <c r="B522">
        <f>TBIDry!H594</f>
        <v>0</v>
      </c>
      <c r="C522">
        <f>TBIDry!I594</f>
        <v>0</v>
      </c>
      <c r="D522" t="b">
        <f t="shared" si="176"/>
        <v>1</v>
      </c>
      <c r="E522" t="b">
        <f t="shared" si="177"/>
        <v>1</v>
      </c>
      <c r="S522" s="401" t="b">
        <f t="shared" si="178"/>
        <v>0</v>
      </c>
      <c r="T522" s="401" t="b">
        <f t="shared" si="179"/>
        <v>0</v>
      </c>
      <c r="AA522" t="str">
        <f>'Green_rooibos initial weight'!A523</f>
        <v>G519</v>
      </c>
      <c r="AB522" t="str">
        <f>'Green_rooibos initial weight'!A1427</f>
        <v>R519</v>
      </c>
      <c r="AC522" t="b">
        <f t="shared" si="180"/>
        <v>0</v>
      </c>
      <c r="AD522" t="b">
        <f t="shared" si="181"/>
        <v>0</v>
      </c>
      <c r="AZ522" s="401" t="b">
        <f t="shared" si="182"/>
        <v>0</v>
      </c>
      <c r="BA522" s="401" t="b">
        <f t="shared" si="183"/>
        <v>0</v>
      </c>
      <c r="BN522" t="str">
        <f t="shared" si="175"/>
        <v>G479</v>
      </c>
    </row>
    <row r="523" spans="2:66" ht="12" customHeight="1">
      <c r="B523">
        <f>TBIDry!H595</f>
        <v>0</v>
      </c>
      <c r="C523">
        <f>TBIDry!I595</f>
        <v>0</v>
      </c>
      <c r="D523" t="b">
        <f t="shared" si="176"/>
        <v>1</v>
      </c>
      <c r="E523" t="b">
        <f t="shared" si="177"/>
        <v>1</v>
      </c>
      <c r="S523" s="401" t="b">
        <f t="shared" si="178"/>
        <v>0</v>
      </c>
      <c r="T523" s="401" t="b">
        <f t="shared" si="179"/>
        <v>0</v>
      </c>
      <c r="AA523" t="str">
        <f>'Green_rooibos initial weight'!A524</f>
        <v>G520</v>
      </c>
      <c r="AB523" t="str">
        <f>'Green_rooibos initial weight'!A1428</f>
        <v>R520</v>
      </c>
      <c r="AC523" t="b">
        <f t="shared" si="180"/>
        <v>0</v>
      </c>
      <c r="AD523" t="b">
        <f t="shared" si="181"/>
        <v>0</v>
      </c>
      <c r="AZ523" s="401" t="b">
        <f t="shared" si="182"/>
        <v>0</v>
      </c>
      <c r="BA523" s="401" t="b">
        <f t="shared" si="183"/>
        <v>0</v>
      </c>
      <c r="BN523" t="str">
        <f t="shared" si="175"/>
        <v>G480</v>
      </c>
    </row>
    <row r="524" spans="2:66" ht="12" customHeight="1">
      <c r="B524">
        <f>TBIDry!H596</f>
        <v>0</v>
      </c>
      <c r="C524">
        <f>TBIDry!I596</f>
        <v>0</v>
      </c>
      <c r="D524" t="b">
        <f t="shared" si="176"/>
        <v>1</v>
      </c>
      <c r="E524" t="b">
        <f t="shared" si="177"/>
        <v>1</v>
      </c>
      <c r="S524" s="401" t="b">
        <f t="shared" si="178"/>
        <v>0</v>
      </c>
      <c r="T524" s="401" t="b">
        <f t="shared" si="179"/>
        <v>0</v>
      </c>
      <c r="AA524" t="str">
        <f>'Green_rooibos initial weight'!A525</f>
        <v>G521</v>
      </c>
      <c r="AB524" t="str">
        <f>'Green_rooibos initial weight'!A1429</f>
        <v>R521</v>
      </c>
      <c r="AC524" t="b">
        <f t="shared" si="180"/>
        <v>0</v>
      </c>
      <c r="AD524" t="b">
        <f t="shared" si="181"/>
        <v>0</v>
      </c>
      <c r="AZ524" s="401" t="b">
        <f t="shared" si="182"/>
        <v>0</v>
      </c>
      <c r="BA524" s="401" t="b">
        <f t="shared" si="183"/>
        <v>0</v>
      </c>
      <c r="BN524" t="str">
        <f t="shared" si="175"/>
        <v>G842</v>
      </c>
    </row>
    <row r="525" spans="2:66" ht="12" customHeight="1">
      <c r="B525">
        <f>TBIDry!H597</f>
        <v>0</v>
      </c>
      <c r="C525">
        <f>TBIDry!I597</f>
        <v>0</v>
      </c>
      <c r="D525" t="b">
        <f t="shared" si="176"/>
        <v>1</v>
      </c>
      <c r="E525" t="b">
        <f t="shared" si="177"/>
        <v>1</v>
      </c>
      <c r="S525" s="401" t="b">
        <f t="shared" si="178"/>
        <v>0</v>
      </c>
      <c r="T525" s="401" t="b">
        <f t="shared" si="179"/>
        <v>0</v>
      </c>
      <c r="AA525" t="str">
        <f>'Green_rooibos initial weight'!A526</f>
        <v>G522</v>
      </c>
      <c r="AB525" t="str">
        <f>'Green_rooibos initial weight'!A1430</f>
        <v>R522</v>
      </c>
      <c r="AC525" t="b">
        <f t="shared" si="180"/>
        <v>0</v>
      </c>
      <c r="AD525" t="b">
        <f t="shared" si="181"/>
        <v>0</v>
      </c>
      <c r="AZ525" s="401" t="b">
        <f t="shared" si="182"/>
        <v>0</v>
      </c>
      <c r="BA525" s="401" t="b">
        <f t="shared" si="183"/>
        <v>0</v>
      </c>
      <c r="BN525" t="str">
        <f t="shared" si="175"/>
        <v>G483</v>
      </c>
    </row>
    <row r="526" spans="2:66" ht="12" customHeight="1">
      <c r="B526">
        <f>TBIDry!H598</f>
        <v>0</v>
      </c>
      <c r="C526">
        <f>TBIDry!I598</f>
        <v>0</v>
      </c>
      <c r="D526" t="b">
        <f t="shared" si="176"/>
        <v>1</v>
      </c>
      <c r="E526" t="b">
        <f t="shared" si="177"/>
        <v>1</v>
      </c>
      <c r="AA526" t="str">
        <f>'Green_rooibos initial weight'!A527</f>
        <v>G523</v>
      </c>
      <c r="AB526" t="str">
        <f>'Green_rooibos initial weight'!A1431</f>
        <v>R523</v>
      </c>
      <c r="AC526" t="b">
        <f t="shared" si="180"/>
        <v>0</v>
      </c>
      <c r="AD526" t="b">
        <f t="shared" si="181"/>
        <v>0</v>
      </c>
      <c r="BN526" t="str">
        <f t="shared" si="175"/>
        <v>G486</v>
      </c>
    </row>
    <row r="527" spans="2:66" ht="12" customHeight="1">
      <c r="B527">
        <f>TBIDry!H599</f>
        <v>0</v>
      </c>
      <c r="C527">
        <f>TBIDry!I599</f>
        <v>0</v>
      </c>
      <c r="D527" t="b">
        <f t="shared" si="176"/>
        <v>1</v>
      </c>
      <c r="E527" t="b">
        <f t="shared" si="177"/>
        <v>1</v>
      </c>
      <c r="AA527" t="str">
        <f>'Green_rooibos initial weight'!A528</f>
        <v>G524</v>
      </c>
      <c r="AB527" t="str">
        <f>'Green_rooibos initial weight'!A1432</f>
        <v>R524</v>
      </c>
      <c r="AC527" t="b">
        <f t="shared" si="180"/>
        <v>0</v>
      </c>
      <c r="AD527" t="b">
        <f t="shared" si="181"/>
        <v>0</v>
      </c>
      <c r="BN527" t="str">
        <f t="shared" si="175"/>
        <v>G489</v>
      </c>
    </row>
    <row r="528" spans="2:66" ht="12" customHeight="1">
      <c r="B528">
        <f>TBIDry!H600</f>
        <v>0</v>
      </c>
      <c r="C528">
        <f>TBIDry!I600</f>
        <v>0</v>
      </c>
      <c r="D528" t="b">
        <f t="shared" si="176"/>
        <v>1</v>
      </c>
      <c r="E528" t="b">
        <f t="shared" si="177"/>
        <v>1</v>
      </c>
      <c r="AA528" t="str">
        <f>'Green_rooibos initial weight'!A529</f>
        <v>G525</v>
      </c>
      <c r="AB528" t="str">
        <f>'Green_rooibos initial weight'!A1433</f>
        <v>R525</v>
      </c>
      <c r="AC528" t="b">
        <f t="shared" si="180"/>
        <v>0</v>
      </c>
      <c r="AD528" t="b">
        <f t="shared" si="181"/>
        <v>0</v>
      </c>
      <c r="BN528" t="str">
        <f t="shared" si="175"/>
        <v>G491</v>
      </c>
    </row>
    <row r="529" spans="2:66" ht="12" customHeight="1">
      <c r="B529">
        <f>TBIDry!H601</f>
        <v>0</v>
      </c>
      <c r="C529">
        <f>TBIDry!I601</f>
        <v>0</v>
      </c>
      <c r="D529" t="b">
        <f t="shared" si="176"/>
        <v>1</v>
      </c>
      <c r="E529" t="b">
        <f t="shared" si="177"/>
        <v>1</v>
      </c>
      <c r="AA529" t="str">
        <f>'Green_rooibos initial weight'!A530</f>
        <v>G526</v>
      </c>
      <c r="AB529" t="str">
        <f>'Green_rooibos initial weight'!A1434</f>
        <v>R526</v>
      </c>
      <c r="AC529" t="b">
        <f t="shared" si="180"/>
        <v>0</v>
      </c>
      <c r="AD529" t="b">
        <f t="shared" si="181"/>
        <v>0</v>
      </c>
      <c r="BN529" t="str">
        <f t="shared" si="175"/>
        <v>G492</v>
      </c>
    </row>
    <row r="530" spans="2:66" ht="12" customHeight="1">
      <c r="B530">
        <f>TBIDry!H602</f>
        <v>0</v>
      </c>
      <c r="C530">
        <f>TBIDry!I602</f>
        <v>0</v>
      </c>
      <c r="D530" t="b">
        <f t="shared" si="176"/>
        <v>1</v>
      </c>
      <c r="E530" t="b">
        <f t="shared" si="177"/>
        <v>1</v>
      </c>
      <c r="AA530" t="str">
        <f>'Green_rooibos initial weight'!A531</f>
        <v>G527</v>
      </c>
      <c r="AB530" t="str">
        <f>'Green_rooibos initial weight'!A1435</f>
        <v>R527</v>
      </c>
      <c r="AC530" t="b">
        <f t="shared" si="180"/>
        <v>0</v>
      </c>
      <c r="AD530" t="b">
        <f t="shared" si="181"/>
        <v>0</v>
      </c>
      <c r="BN530" t="str">
        <f t="shared" si="175"/>
        <v>G494</v>
      </c>
    </row>
    <row r="531" spans="2:66" ht="12" customHeight="1">
      <c r="B531">
        <f>TBIDry!H603</f>
        <v>0</v>
      </c>
      <c r="C531">
        <f>TBIDry!I603</f>
        <v>0</v>
      </c>
      <c r="D531" t="b">
        <f t="shared" si="176"/>
        <v>1</v>
      </c>
      <c r="E531" t="b">
        <f t="shared" si="177"/>
        <v>1</v>
      </c>
      <c r="AA531" t="str">
        <f>'Green_rooibos initial weight'!A532</f>
        <v>G528</v>
      </c>
      <c r="AB531" t="str">
        <f>'Green_rooibos initial weight'!A1436</f>
        <v>R528</v>
      </c>
      <c r="AC531" t="b">
        <f t="shared" si="180"/>
        <v>0</v>
      </c>
      <c r="AD531" t="b">
        <f t="shared" si="181"/>
        <v>0</v>
      </c>
      <c r="BN531" t="str">
        <f t="shared" si="175"/>
        <v>G496</v>
      </c>
    </row>
    <row r="532" spans="2:66" ht="12" customHeight="1">
      <c r="B532">
        <f>TBIDry!H604</f>
        <v>0</v>
      </c>
      <c r="C532">
        <f>TBIDry!I604</f>
        <v>0</v>
      </c>
      <c r="D532" t="b">
        <f t="shared" si="176"/>
        <v>1</v>
      </c>
      <c r="E532" t="b">
        <f t="shared" si="177"/>
        <v>1</v>
      </c>
      <c r="AA532" t="str">
        <f>'Green_rooibos initial weight'!A533</f>
        <v>G529</v>
      </c>
      <c r="AB532" t="str">
        <f>'Green_rooibos initial weight'!A1437</f>
        <v>R529</v>
      </c>
      <c r="AC532" t="b">
        <f t="shared" si="180"/>
        <v>0</v>
      </c>
      <c r="AD532" t="b">
        <f t="shared" si="181"/>
        <v>0</v>
      </c>
      <c r="BN532" t="str">
        <f t="shared" si="175"/>
        <v>G497</v>
      </c>
    </row>
    <row r="533" spans="2:66" ht="12" customHeight="1">
      <c r="B533">
        <f>TBIDry!H605</f>
        <v>0</v>
      </c>
      <c r="C533">
        <f>TBIDry!I605</f>
        <v>0</v>
      </c>
      <c r="D533" t="b">
        <f t="shared" si="176"/>
        <v>1</v>
      </c>
      <c r="E533" t="b">
        <f t="shared" si="177"/>
        <v>1</v>
      </c>
      <c r="AA533" t="str">
        <f>'Green_rooibos initial weight'!A534</f>
        <v>G530</v>
      </c>
      <c r="AB533" t="str">
        <f>'Green_rooibos initial weight'!A1438</f>
        <v>R530</v>
      </c>
      <c r="AC533" t="b">
        <f t="shared" si="180"/>
        <v>0</v>
      </c>
      <c r="AD533" t="b">
        <f t="shared" si="181"/>
        <v>0</v>
      </c>
      <c r="BN533" t="str">
        <f t="shared" si="175"/>
        <v>G498</v>
      </c>
    </row>
    <row r="534" spans="2:66" ht="12" customHeight="1">
      <c r="B534">
        <f>TBIDry!H606</f>
        <v>0</v>
      </c>
      <c r="C534">
        <f>TBIDry!I606</f>
        <v>0</v>
      </c>
      <c r="D534" t="b">
        <f t="shared" si="176"/>
        <v>1</v>
      </c>
      <c r="E534" t="b">
        <f t="shared" si="177"/>
        <v>1</v>
      </c>
      <c r="AA534" t="str">
        <f>'Green_rooibos initial weight'!A535</f>
        <v>G531</v>
      </c>
      <c r="AB534" t="str">
        <f>'Green_rooibos initial weight'!A1439</f>
        <v>R531</v>
      </c>
      <c r="AC534" t="b">
        <f t="shared" si="180"/>
        <v>0</v>
      </c>
      <c r="AD534" t="b">
        <f t="shared" si="181"/>
        <v>0</v>
      </c>
      <c r="BN534" t="str">
        <f t="shared" si="175"/>
        <v>G500</v>
      </c>
    </row>
    <row r="535" spans="2:66" ht="12" customHeight="1">
      <c r="B535">
        <f>TBIDry!H607</f>
        <v>0</v>
      </c>
      <c r="C535">
        <f>TBIDry!I607</f>
        <v>0</v>
      </c>
      <c r="D535" t="b">
        <f t="shared" si="176"/>
        <v>1</v>
      </c>
      <c r="E535" t="b">
        <f t="shared" si="177"/>
        <v>1</v>
      </c>
      <c r="AA535" t="str">
        <f>'Green_rooibos initial weight'!A536</f>
        <v>G532</v>
      </c>
      <c r="AB535" t="str">
        <f>'Green_rooibos initial weight'!A1440</f>
        <v>R532</v>
      </c>
      <c r="AC535" t="b">
        <f t="shared" si="180"/>
        <v>0</v>
      </c>
      <c r="AD535" t="b">
        <f t="shared" si="181"/>
        <v>0</v>
      </c>
      <c r="BN535" t="str">
        <f t="shared" si="175"/>
        <v>G502</v>
      </c>
    </row>
    <row r="536" spans="2:66" ht="12" customHeight="1">
      <c r="B536">
        <f>TBIDry!H608</f>
        <v>0</v>
      </c>
      <c r="C536">
        <f>TBIDry!I608</f>
        <v>0</v>
      </c>
      <c r="D536" t="b">
        <f t="shared" si="176"/>
        <v>1</v>
      </c>
      <c r="E536" t="b">
        <f t="shared" si="177"/>
        <v>1</v>
      </c>
      <c r="AA536" t="str">
        <f>'Green_rooibos initial weight'!A537</f>
        <v>G533</v>
      </c>
      <c r="AB536" t="str">
        <f>'Green_rooibos initial weight'!A1441</f>
        <v>R533</v>
      </c>
      <c r="AC536" t="b">
        <f t="shared" si="180"/>
        <v>0</v>
      </c>
      <c r="AD536" t="b">
        <f t="shared" si="181"/>
        <v>0</v>
      </c>
      <c r="BN536" t="str">
        <f t="shared" si="175"/>
        <v>G503</v>
      </c>
    </row>
    <row r="537" spans="2:66" ht="12" customHeight="1">
      <c r="B537">
        <f>TBIDry!H609</f>
        <v>0</v>
      </c>
      <c r="C537">
        <f>TBIDry!I609</f>
        <v>0</v>
      </c>
      <c r="D537" t="b">
        <f t="shared" si="176"/>
        <v>1</v>
      </c>
      <c r="E537" t="b">
        <f t="shared" si="177"/>
        <v>1</v>
      </c>
      <c r="AA537" t="str">
        <f>'Green_rooibos initial weight'!A538</f>
        <v>G534</v>
      </c>
      <c r="AB537" t="str">
        <f>'Green_rooibos initial weight'!A1442</f>
        <v>R534</v>
      </c>
      <c r="AC537" t="b">
        <f t="shared" si="180"/>
        <v>0</v>
      </c>
      <c r="AD537" t="b">
        <f t="shared" si="181"/>
        <v>0</v>
      </c>
      <c r="BN537" t="str">
        <f t="shared" si="175"/>
        <v>G504</v>
      </c>
    </row>
    <row r="538" spans="2:66" ht="12" customHeight="1">
      <c r="B538">
        <f>TBIDry!H610</f>
        <v>0</v>
      </c>
      <c r="C538">
        <f>TBIDry!I610</f>
        <v>0</v>
      </c>
      <c r="D538" t="b">
        <f t="shared" si="176"/>
        <v>1</v>
      </c>
      <c r="E538" t="b">
        <f t="shared" si="177"/>
        <v>1</v>
      </c>
      <c r="AA538" t="str">
        <f>'Green_rooibos initial weight'!A539</f>
        <v>G535</v>
      </c>
      <c r="AB538" t="str">
        <f>'Green_rooibos initial weight'!A1443</f>
        <v>R535</v>
      </c>
      <c r="AC538" t="b">
        <f t="shared" si="180"/>
        <v>0</v>
      </c>
      <c r="AD538" t="b">
        <f t="shared" si="181"/>
        <v>0</v>
      </c>
      <c r="BN538" t="str">
        <f t="shared" si="175"/>
        <v>G505</v>
      </c>
    </row>
    <row r="539" spans="2:66" ht="12" customHeight="1">
      <c r="B539">
        <f>TBIDry!H611</f>
        <v>0</v>
      </c>
      <c r="C539">
        <f>TBIDry!I611</f>
        <v>0</v>
      </c>
      <c r="D539" t="b">
        <f t="shared" si="176"/>
        <v>1</v>
      </c>
      <c r="E539" t="b">
        <f t="shared" si="177"/>
        <v>1</v>
      </c>
      <c r="AA539" t="str">
        <f>'Green_rooibos initial weight'!A540</f>
        <v>G536</v>
      </c>
      <c r="AB539" t="str">
        <f>'Green_rooibos initial weight'!A1444</f>
        <v>R536</v>
      </c>
      <c r="AC539" t="b">
        <f t="shared" si="180"/>
        <v>0</v>
      </c>
      <c r="AD539" t="b">
        <f t="shared" si="181"/>
        <v>0</v>
      </c>
      <c r="BN539" t="str">
        <f t="shared" si="175"/>
        <v>G506</v>
      </c>
    </row>
    <row r="540" spans="2:66" ht="12" customHeight="1">
      <c r="B540">
        <f>TBIDry!H612</f>
        <v>0</v>
      </c>
      <c r="C540">
        <f>TBIDry!I612</f>
        <v>0</v>
      </c>
      <c r="D540" t="b">
        <f t="shared" si="176"/>
        <v>1</v>
      </c>
      <c r="E540" t="b">
        <f t="shared" si="177"/>
        <v>1</v>
      </c>
      <c r="AA540" t="str">
        <f>'Green_rooibos initial weight'!A541</f>
        <v>G537</v>
      </c>
      <c r="AB540" t="str">
        <f>'Green_rooibos initial weight'!A1445</f>
        <v>R537</v>
      </c>
      <c r="AC540" t="b">
        <f t="shared" si="180"/>
        <v>0</v>
      </c>
      <c r="AD540" t="b">
        <f t="shared" si="181"/>
        <v>0</v>
      </c>
      <c r="BN540" t="str">
        <f t="shared" si="175"/>
        <v>G507</v>
      </c>
    </row>
    <row r="541" spans="2:66" ht="12" customHeight="1">
      <c r="B541">
        <f>TBIDry!H613</f>
        <v>0</v>
      </c>
      <c r="C541">
        <f>TBIDry!I613</f>
        <v>0</v>
      </c>
      <c r="D541" t="b">
        <f t="shared" si="176"/>
        <v>1</v>
      </c>
      <c r="E541" t="b">
        <f t="shared" si="177"/>
        <v>1</v>
      </c>
      <c r="AA541" t="str">
        <f>'Green_rooibos initial weight'!A542</f>
        <v>G538</v>
      </c>
      <c r="AB541" t="str">
        <f>'Green_rooibos initial weight'!A1446</f>
        <v>R538</v>
      </c>
      <c r="AC541" t="b">
        <f t="shared" si="180"/>
        <v>0</v>
      </c>
      <c r="AD541" t="b">
        <f t="shared" si="181"/>
        <v>0</v>
      </c>
      <c r="BN541" t="str">
        <f t="shared" si="175"/>
        <v>G508</v>
      </c>
    </row>
    <row r="542" spans="2:66" ht="12" customHeight="1">
      <c r="B542">
        <f>TBIDry!H614</f>
        <v>0</v>
      </c>
      <c r="C542">
        <f>TBIDry!I614</f>
        <v>0</v>
      </c>
      <c r="D542" t="b">
        <f t="shared" si="176"/>
        <v>1</v>
      </c>
      <c r="E542" t="b">
        <f t="shared" si="177"/>
        <v>1</v>
      </c>
      <c r="AA542" t="str">
        <f>'Green_rooibos initial weight'!A543</f>
        <v>G539</v>
      </c>
      <c r="AB542" t="str">
        <f>'Green_rooibos initial weight'!A1447</f>
        <v>R539</v>
      </c>
      <c r="AC542" t="b">
        <f t="shared" si="180"/>
        <v>0</v>
      </c>
      <c r="AD542" t="b">
        <f t="shared" si="181"/>
        <v>0</v>
      </c>
      <c r="BN542" t="str">
        <f t="shared" si="175"/>
        <v>G511</v>
      </c>
    </row>
    <row r="543" spans="2:66" ht="12" customHeight="1">
      <c r="B543">
        <f>TBIDry!H615</f>
        <v>0</v>
      </c>
      <c r="C543">
        <f>TBIDry!I615</f>
        <v>0</v>
      </c>
      <c r="D543" t="b">
        <f t="shared" si="176"/>
        <v>1</v>
      </c>
      <c r="E543" t="b">
        <f t="shared" si="177"/>
        <v>1</v>
      </c>
      <c r="AA543" t="str">
        <f>'Green_rooibos initial weight'!A544</f>
        <v>G540</v>
      </c>
      <c r="AB543" t="str">
        <f>'Green_rooibos initial weight'!A1448</f>
        <v>R540</v>
      </c>
      <c r="AC543" t="b">
        <f t="shared" si="180"/>
        <v>0</v>
      </c>
      <c r="AD543" t="b">
        <f t="shared" si="181"/>
        <v>0</v>
      </c>
      <c r="BN543" t="str">
        <f t="shared" si="175"/>
        <v>G512</v>
      </c>
    </row>
    <row r="544" spans="2:66" ht="12" customHeight="1">
      <c r="B544">
        <f>TBIDry!H616</f>
        <v>0</v>
      </c>
      <c r="C544">
        <f>TBIDry!I616</f>
        <v>0</v>
      </c>
      <c r="D544" t="b">
        <f t="shared" si="176"/>
        <v>1</v>
      </c>
      <c r="E544" t="b">
        <f t="shared" si="177"/>
        <v>1</v>
      </c>
      <c r="AA544" t="str">
        <f>'Green_rooibos initial weight'!A545</f>
        <v>G541</v>
      </c>
      <c r="AB544" t="str">
        <f>'Green_rooibos initial weight'!A1449</f>
        <v>R541</v>
      </c>
      <c r="AC544" t="b">
        <f t="shared" si="180"/>
        <v>0</v>
      </c>
      <c r="AD544" t="b">
        <f t="shared" si="181"/>
        <v>0</v>
      </c>
      <c r="BN544" t="str">
        <f t="shared" si="175"/>
        <v>G513</v>
      </c>
    </row>
    <row r="545" spans="2:66" ht="12" customHeight="1">
      <c r="B545">
        <f>TBIDry!H617</f>
        <v>0</v>
      </c>
      <c r="C545">
        <f>TBIDry!I617</f>
        <v>0</v>
      </c>
      <c r="D545" t="b">
        <f t="shared" si="176"/>
        <v>1</v>
      </c>
      <c r="E545" t="b">
        <f t="shared" si="177"/>
        <v>1</v>
      </c>
      <c r="AA545" t="str">
        <f>'Green_rooibos initial weight'!A546</f>
        <v>G542</v>
      </c>
      <c r="AB545" t="str">
        <f>'Green_rooibos initial weight'!A1450</f>
        <v>R542</v>
      </c>
      <c r="AC545" t="b">
        <f t="shared" si="180"/>
        <v>0</v>
      </c>
      <c r="AD545" t="b">
        <f t="shared" si="181"/>
        <v>0</v>
      </c>
      <c r="BN545" t="str">
        <f t="shared" si="175"/>
        <v>G516</v>
      </c>
    </row>
    <row r="546" spans="2:66" ht="12" customHeight="1">
      <c r="B546">
        <f>TBIDry!H618</f>
        <v>0</v>
      </c>
      <c r="C546">
        <f>TBIDry!I618</f>
        <v>0</v>
      </c>
      <c r="D546" t="b">
        <f t="shared" si="176"/>
        <v>1</v>
      </c>
      <c r="E546" t="b">
        <f t="shared" si="177"/>
        <v>1</v>
      </c>
      <c r="AA546" t="str">
        <f>'Green_rooibos initial weight'!A547</f>
        <v>G543</v>
      </c>
      <c r="AB546" t="str">
        <f>'Green_rooibos initial weight'!A1451</f>
        <v>R543</v>
      </c>
      <c r="AC546" t="b">
        <f t="shared" si="180"/>
        <v>0</v>
      </c>
      <c r="AD546" t="b">
        <f t="shared" si="181"/>
        <v>0</v>
      </c>
      <c r="BN546" t="str">
        <f t="shared" si="175"/>
        <v>G518</v>
      </c>
    </row>
    <row r="547" spans="2:66" ht="12" customHeight="1">
      <c r="B547">
        <f>TBIDry!H619</f>
        <v>0</v>
      </c>
      <c r="C547">
        <f>TBIDry!I619</f>
        <v>0</v>
      </c>
      <c r="D547" t="b">
        <f t="shared" si="176"/>
        <v>1</v>
      </c>
      <c r="E547" t="b">
        <f t="shared" si="177"/>
        <v>1</v>
      </c>
      <c r="AA547" t="str">
        <f>'Green_rooibos initial weight'!A548</f>
        <v>G544</v>
      </c>
      <c r="AB547" t="str">
        <f>'Green_rooibos initial weight'!A1452</f>
        <v>R544</v>
      </c>
      <c r="AC547" t="b">
        <f t="shared" si="180"/>
        <v>0</v>
      </c>
      <c r="AD547" t="b">
        <f t="shared" si="181"/>
        <v>0</v>
      </c>
      <c r="BN547" t="str">
        <f t="shared" si="175"/>
        <v>G519</v>
      </c>
    </row>
    <row r="548" spans="2:66" ht="12" customHeight="1">
      <c r="B548">
        <f>TBIDry!H620</f>
        <v>0</v>
      </c>
      <c r="C548">
        <f>TBIDry!I620</f>
        <v>0</v>
      </c>
      <c r="D548" t="b">
        <f t="shared" si="176"/>
        <v>1</v>
      </c>
      <c r="E548" t="b">
        <f t="shared" si="177"/>
        <v>1</v>
      </c>
      <c r="AA548" t="str">
        <f>'Green_rooibos initial weight'!A549</f>
        <v>G545</v>
      </c>
      <c r="AB548" t="str">
        <f>'Green_rooibos initial weight'!A1453</f>
        <v>R545</v>
      </c>
      <c r="AC548" t="b">
        <f t="shared" si="180"/>
        <v>0</v>
      </c>
      <c r="AD548" t="b">
        <f t="shared" si="181"/>
        <v>0</v>
      </c>
      <c r="BN548" t="str">
        <f t="shared" si="175"/>
        <v>G520</v>
      </c>
    </row>
    <row r="549" spans="2:66" ht="12" customHeight="1">
      <c r="B549">
        <f>TBIDry!H621</f>
        <v>0</v>
      </c>
      <c r="C549">
        <f>TBIDry!I621</f>
        <v>0</v>
      </c>
      <c r="D549" t="b">
        <f t="shared" si="176"/>
        <v>1</v>
      </c>
      <c r="E549" t="b">
        <f t="shared" si="177"/>
        <v>1</v>
      </c>
      <c r="AA549" t="str">
        <f>'Green_rooibos initial weight'!A550</f>
        <v>G546</v>
      </c>
      <c r="AB549" t="str">
        <f>'Green_rooibos initial weight'!A1454</f>
        <v>R546</v>
      </c>
      <c r="AC549" t="b">
        <f t="shared" si="180"/>
        <v>0</v>
      </c>
      <c r="AD549" t="b">
        <f t="shared" si="181"/>
        <v>0</v>
      </c>
      <c r="BN549" t="str">
        <f t="shared" si="175"/>
        <v>G521</v>
      </c>
    </row>
    <row r="550" spans="2:66" ht="12" customHeight="1">
      <c r="B550">
        <f>TBIDry!H622</f>
        <v>0</v>
      </c>
      <c r="C550">
        <f>TBIDry!I622</f>
        <v>0</v>
      </c>
      <c r="D550" t="b">
        <f t="shared" si="176"/>
        <v>1</v>
      </c>
      <c r="E550" t="b">
        <f t="shared" si="177"/>
        <v>1</v>
      </c>
      <c r="AA550" t="str">
        <f>'Green_rooibos initial weight'!A551</f>
        <v>G547</v>
      </c>
      <c r="AB550" t="str">
        <f>'Green_rooibos initial weight'!A1455</f>
        <v>R547</v>
      </c>
      <c r="AC550" t="b">
        <f t="shared" si="180"/>
        <v>0</v>
      </c>
      <c r="AD550" t="b">
        <f t="shared" si="181"/>
        <v>0</v>
      </c>
      <c r="BN550" t="str">
        <f t="shared" si="175"/>
        <v>G522</v>
      </c>
    </row>
    <row r="551" spans="2:66" ht="12" customHeight="1">
      <c r="B551">
        <f>TBIDry!H623</f>
        <v>0</v>
      </c>
      <c r="C551">
        <f>TBIDry!I623</f>
        <v>0</v>
      </c>
      <c r="D551" t="b">
        <f t="shared" si="176"/>
        <v>1</v>
      </c>
      <c r="E551" t="b">
        <f t="shared" si="177"/>
        <v>1</v>
      </c>
      <c r="AA551" t="str">
        <f>'Green_rooibos initial weight'!A552</f>
        <v>G548</v>
      </c>
      <c r="AB551" t="str">
        <f>'Green_rooibos initial weight'!A1456</f>
        <v>R548</v>
      </c>
      <c r="AC551" t="b">
        <f t="shared" si="180"/>
        <v>0</v>
      </c>
      <c r="AD551" t="b">
        <f t="shared" si="181"/>
        <v>0</v>
      </c>
      <c r="BN551" t="str">
        <f t="shared" si="175"/>
        <v>G523</v>
      </c>
    </row>
    <row r="552" spans="2:66" ht="12" customHeight="1">
      <c r="B552">
        <f>TBIDry!H624</f>
        <v>0</v>
      </c>
      <c r="C552">
        <f>TBIDry!I624</f>
        <v>0</v>
      </c>
      <c r="D552" t="b">
        <f t="shared" si="176"/>
        <v>1</v>
      </c>
      <c r="E552" t="b">
        <f t="shared" si="177"/>
        <v>1</v>
      </c>
      <c r="AA552" t="str">
        <f>'Green_rooibos initial weight'!A553</f>
        <v>G549</v>
      </c>
      <c r="AB552" t="str">
        <f>'Green_rooibos initial weight'!A1457</f>
        <v>R549</v>
      </c>
      <c r="AC552" t="b">
        <f t="shared" si="180"/>
        <v>0</v>
      </c>
      <c r="AD552" t="b">
        <f t="shared" si="181"/>
        <v>0</v>
      </c>
      <c r="BN552" t="str">
        <f t="shared" si="175"/>
        <v>G524</v>
      </c>
    </row>
    <row r="553" spans="2:66" ht="12" customHeight="1">
      <c r="B553">
        <f>TBIDry!H625</f>
        <v>0</v>
      </c>
      <c r="C553">
        <f>TBIDry!I625</f>
        <v>0</v>
      </c>
      <c r="D553" t="b">
        <f t="shared" si="176"/>
        <v>1</v>
      </c>
      <c r="E553" t="b">
        <f t="shared" si="177"/>
        <v>1</v>
      </c>
      <c r="AA553" t="str">
        <f>'Green_rooibos initial weight'!A554</f>
        <v>G550</v>
      </c>
      <c r="AB553" t="str">
        <f>'Green_rooibos initial weight'!A1458</f>
        <v>R550</v>
      </c>
      <c r="AC553" t="b">
        <f t="shared" si="180"/>
        <v>0</v>
      </c>
      <c r="AD553" t="b">
        <f t="shared" si="181"/>
        <v>0</v>
      </c>
      <c r="BN553" t="str">
        <f t="shared" ref="BN553:BN616" si="184">L132</f>
        <v>G525</v>
      </c>
    </row>
    <row r="554" spans="2:66" ht="12" customHeight="1">
      <c r="B554">
        <f>TBIDry!H626</f>
        <v>0</v>
      </c>
      <c r="C554">
        <f>TBIDry!I626</f>
        <v>0</v>
      </c>
      <c r="D554" t="b">
        <f t="shared" si="176"/>
        <v>1</v>
      </c>
      <c r="E554" t="b">
        <f t="shared" si="177"/>
        <v>1</v>
      </c>
      <c r="AA554" t="str">
        <f>'Green_rooibos initial weight'!A555</f>
        <v>G551</v>
      </c>
      <c r="AB554" t="str">
        <f>'Green_rooibos initial weight'!A1459</f>
        <v>R551</v>
      </c>
      <c r="AC554" t="b">
        <f t="shared" si="180"/>
        <v>0</v>
      </c>
      <c r="AD554" t="b">
        <f t="shared" si="181"/>
        <v>0</v>
      </c>
      <c r="BN554" t="str">
        <f t="shared" si="184"/>
        <v>G526</v>
      </c>
    </row>
    <row r="555" spans="2:66" ht="12" customHeight="1">
      <c r="B555">
        <f>TBIDry!H627</f>
        <v>0</v>
      </c>
      <c r="C555">
        <f>TBIDry!I627</f>
        <v>0</v>
      </c>
      <c r="D555" t="b">
        <f t="shared" si="176"/>
        <v>1</v>
      </c>
      <c r="E555" t="b">
        <f t="shared" si="177"/>
        <v>1</v>
      </c>
      <c r="AA555" t="str">
        <f>'Green_rooibos initial weight'!A556</f>
        <v>G552</v>
      </c>
      <c r="AB555" t="str">
        <f>'Green_rooibos initial weight'!A1460</f>
        <v>R552</v>
      </c>
      <c r="AC555" t="b">
        <f t="shared" si="180"/>
        <v>0</v>
      </c>
      <c r="AD555" t="b">
        <f t="shared" si="181"/>
        <v>0</v>
      </c>
      <c r="BN555" t="str">
        <f t="shared" si="184"/>
        <v>G527</v>
      </c>
    </row>
    <row r="556" spans="2:66" ht="12" customHeight="1">
      <c r="B556">
        <f>TBIDry!H628</f>
        <v>0</v>
      </c>
      <c r="C556">
        <f>TBIDry!I628</f>
        <v>0</v>
      </c>
      <c r="D556" t="b">
        <f t="shared" si="176"/>
        <v>1</v>
      </c>
      <c r="E556" t="b">
        <f t="shared" si="177"/>
        <v>1</v>
      </c>
      <c r="AA556" t="str">
        <f>'Green_rooibos initial weight'!A557</f>
        <v>G553</v>
      </c>
      <c r="AB556" t="str">
        <f>'Green_rooibos initial weight'!A1461</f>
        <v>R553</v>
      </c>
      <c r="AC556" t="b">
        <f t="shared" si="180"/>
        <v>0</v>
      </c>
      <c r="AD556" t="b">
        <f t="shared" si="181"/>
        <v>0</v>
      </c>
      <c r="BN556" t="str">
        <f t="shared" si="184"/>
        <v>G528</v>
      </c>
    </row>
    <row r="557" spans="2:66" ht="12" customHeight="1">
      <c r="B557">
        <f>TBIDry!H629</f>
        <v>0</v>
      </c>
      <c r="C557">
        <f>TBIDry!I629</f>
        <v>0</v>
      </c>
      <c r="D557" t="b">
        <f t="shared" si="176"/>
        <v>1</v>
      </c>
      <c r="E557" t="b">
        <f t="shared" si="177"/>
        <v>1</v>
      </c>
      <c r="AA557" t="str">
        <f>'Green_rooibos initial weight'!A558</f>
        <v>G554</v>
      </c>
      <c r="AB557" t="str">
        <f>'Green_rooibos initial weight'!A1462</f>
        <v>R554</v>
      </c>
      <c r="AC557" t="b">
        <f t="shared" si="180"/>
        <v>0</v>
      </c>
      <c r="AD557" t="b">
        <f t="shared" si="181"/>
        <v>0</v>
      </c>
      <c r="BN557" t="str">
        <f t="shared" si="184"/>
        <v>G529</v>
      </c>
    </row>
    <row r="558" spans="2:66" ht="12" customHeight="1">
      <c r="B558">
        <f>TBIDry!H630</f>
        <v>0</v>
      </c>
      <c r="C558">
        <f>TBIDry!I630</f>
        <v>0</v>
      </c>
      <c r="D558" t="b">
        <f t="shared" si="176"/>
        <v>1</v>
      </c>
      <c r="E558" t="b">
        <f t="shared" si="177"/>
        <v>1</v>
      </c>
      <c r="AA558" t="str">
        <f>'Green_rooibos initial weight'!A559</f>
        <v>G555</v>
      </c>
      <c r="AB558" t="str">
        <f>'Green_rooibos initial weight'!A1463</f>
        <v>R555</v>
      </c>
      <c r="AC558" t="b">
        <f t="shared" si="180"/>
        <v>0</v>
      </c>
      <c r="AD558" t="b">
        <f t="shared" si="181"/>
        <v>0</v>
      </c>
      <c r="BN558" t="str">
        <f t="shared" si="184"/>
        <v>G532</v>
      </c>
    </row>
    <row r="559" spans="2:66" ht="12" customHeight="1">
      <c r="B559">
        <f>TBIDry!H631</f>
        <v>0</v>
      </c>
      <c r="C559">
        <f>TBIDry!I631</f>
        <v>0</v>
      </c>
      <c r="D559" t="b">
        <f t="shared" si="176"/>
        <v>1</v>
      </c>
      <c r="E559" t="b">
        <f t="shared" si="177"/>
        <v>1</v>
      </c>
      <c r="AA559" t="str">
        <f>'Green_rooibos initial weight'!A560</f>
        <v>G556</v>
      </c>
      <c r="AB559" t="str">
        <f>'Green_rooibos initial weight'!A1464</f>
        <v>R556</v>
      </c>
      <c r="AC559" t="b">
        <f t="shared" si="180"/>
        <v>0</v>
      </c>
      <c r="AD559" t="b">
        <f t="shared" si="181"/>
        <v>0</v>
      </c>
      <c r="BN559" t="str">
        <f t="shared" si="184"/>
        <v>G535</v>
      </c>
    </row>
    <row r="560" spans="2:66" ht="12" customHeight="1">
      <c r="B560">
        <f>TBIDry!H632</f>
        <v>0</v>
      </c>
      <c r="C560">
        <f>TBIDry!I632</f>
        <v>0</v>
      </c>
      <c r="D560" t="b">
        <f t="shared" si="176"/>
        <v>1</v>
      </c>
      <c r="E560" t="b">
        <f t="shared" si="177"/>
        <v>1</v>
      </c>
      <c r="AA560" t="str">
        <f>'Green_rooibos initial weight'!A561</f>
        <v>G557</v>
      </c>
      <c r="AB560" t="str">
        <f>'Green_rooibos initial weight'!A1465</f>
        <v>R557</v>
      </c>
      <c r="AC560" t="b">
        <f t="shared" si="180"/>
        <v>0</v>
      </c>
      <c r="AD560" t="b">
        <f t="shared" si="181"/>
        <v>0</v>
      </c>
      <c r="BN560" t="str">
        <f t="shared" si="184"/>
        <v>G536</v>
      </c>
    </row>
    <row r="561" spans="2:66" ht="12" customHeight="1">
      <c r="B561">
        <f>TBIDry!H633</f>
        <v>0</v>
      </c>
      <c r="C561">
        <f>TBIDry!I633</f>
        <v>0</v>
      </c>
      <c r="D561" t="b">
        <f t="shared" si="176"/>
        <v>1</v>
      </c>
      <c r="E561" t="b">
        <f t="shared" si="177"/>
        <v>1</v>
      </c>
      <c r="AA561" t="str">
        <f>'Green_rooibos initial weight'!A562</f>
        <v>G558</v>
      </c>
      <c r="AB561" t="str">
        <f>'Green_rooibos initial weight'!A1466</f>
        <v>R558</v>
      </c>
      <c r="AC561" t="b">
        <f t="shared" si="180"/>
        <v>0</v>
      </c>
      <c r="AD561" t="b">
        <f t="shared" si="181"/>
        <v>0</v>
      </c>
      <c r="BN561" t="str">
        <f t="shared" si="184"/>
        <v>G537</v>
      </c>
    </row>
    <row r="562" spans="2:66" ht="12" customHeight="1">
      <c r="B562">
        <f>TBIDry!H634</f>
        <v>0</v>
      </c>
      <c r="C562">
        <f>TBIDry!I634</f>
        <v>0</v>
      </c>
      <c r="D562" t="b">
        <f t="shared" si="176"/>
        <v>1</v>
      </c>
      <c r="E562" t="b">
        <f t="shared" si="177"/>
        <v>1</v>
      </c>
      <c r="AA562" t="str">
        <f>'Green_rooibos initial weight'!A563</f>
        <v>G559</v>
      </c>
      <c r="AB562" t="str">
        <f>'Green_rooibos initial weight'!A1467</f>
        <v>R559</v>
      </c>
      <c r="AC562" t="b">
        <f t="shared" si="180"/>
        <v>0</v>
      </c>
      <c r="AD562" t="b">
        <f t="shared" si="181"/>
        <v>0</v>
      </c>
      <c r="BN562" t="str">
        <f t="shared" si="184"/>
        <v>G538</v>
      </c>
    </row>
    <row r="563" spans="2:66" ht="12" customHeight="1">
      <c r="B563">
        <f>TBIDry!H635</f>
        <v>0</v>
      </c>
      <c r="C563">
        <f>TBIDry!I635</f>
        <v>0</v>
      </c>
      <c r="D563" t="b">
        <f t="shared" si="176"/>
        <v>1</v>
      </c>
      <c r="E563" t="b">
        <f t="shared" si="177"/>
        <v>1</v>
      </c>
      <c r="AA563" t="str">
        <f>'Green_rooibos initial weight'!A564</f>
        <v>G560</v>
      </c>
      <c r="AB563" t="str">
        <f>'Green_rooibos initial weight'!A1468</f>
        <v>R560</v>
      </c>
      <c r="AC563" t="b">
        <f t="shared" si="180"/>
        <v>0</v>
      </c>
      <c r="AD563" t="b">
        <f t="shared" si="181"/>
        <v>0</v>
      </c>
      <c r="BN563" t="str">
        <f t="shared" si="184"/>
        <v>G539</v>
      </c>
    </row>
    <row r="564" spans="2:66" ht="12" customHeight="1">
      <c r="B564">
        <f>TBIDry!H636</f>
        <v>0</v>
      </c>
      <c r="C564">
        <f>TBIDry!I636</f>
        <v>0</v>
      </c>
      <c r="D564" t="b">
        <f t="shared" si="176"/>
        <v>1</v>
      </c>
      <c r="E564" t="b">
        <f t="shared" si="177"/>
        <v>1</v>
      </c>
      <c r="AA564" t="str">
        <f>'Green_rooibos initial weight'!A565</f>
        <v>G561</v>
      </c>
      <c r="AB564" t="str">
        <f>'Green_rooibos initial weight'!A1469</f>
        <v>R561</v>
      </c>
      <c r="AC564" t="b">
        <f t="shared" si="180"/>
        <v>0</v>
      </c>
      <c r="AD564" t="b">
        <f t="shared" si="181"/>
        <v>0</v>
      </c>
      <c r="BN564" t="str">
        <f t="shared" si="184"/>
        <v>G540</v>
      </c>
    </row>
    <row r="565" spans="2:66" ht="12" customHeight="1">
      <c r="B565">
        <f>TBIDry!H637</f>
        <v>0</v>
      </c>
      <c r="C565">
        <f>TBIDry!I637</f>
        <v>0</v>
      </c>
      <c r="D565" t="b">
        <f t="shared" si="176"/>
        <v>1</v>
      </c>
      <c r="E565" t="b">
        <f t="shared" si="177"/>
        <v>1</v>
      </c>
      <c r="AA565" t="str">
        <f>'Green_rooibos initial weight'!A566</f>
        <v>G562</v>
      </c>
      <c r="AB565" t="str">
        <f>'Green_rooibos initial weight'!A1470</f>
        <v>R562</v>
      </c>
      <c r="AC565" t="b">
        <f t="shared" si="180"/>
        <v>0</v>
      </c>
      <c r="AD565" t="b">
        <f t="shared" si="181"/>
        <v>0</v>
      </c>
      <c r="BN565" t="str">
        <f t="shared" si="184"/>
        <v>G541</v>
      </c>
    </row>
    <row r="566" spans="2:66" ht="12" customHeight="1">
      <c r="B566">
        <f>TBIDry!H638</f>
        <v>0</v>
      </c>
      <c r="C566">
        <f>TBIDry!I638</f>
        <v>0</v>
      </c>
      <c r="D566" t="b">
        <f t="shared" si="176"/>
        <v>1</v>
      </c>
      <c r="E566" t="b">
        <f t="shared" si="177"/>
        <v>1</v>
      </c>
      <c r="AA566" t="str">
        <f>'Green_rooibos initial weight'!A567</f>
        <v>G563</v>
      </c>
      <c r="AB566" t="str">
        <f>'Green_rooibos initial weight'!A1471</f>
        <v>R563</v>
      </c>
      <c r="AC566" t="b">
        <f t="shared" si="180"/>
        <v>0</v>
      </c>
      <c r="AD566" t="b">
        <f t="shared" si="181"/>
        <v>0</v>
      </c>
      <c r="BN566" t="str">
        <f t="shared" si="184"/>
        <v>G542</v>
      </c>
    </row>
    <row r="567" spans="2:66" ht="12" customHeight="1">
      <c r="B567">
        <f>TBIDry!H639</f>
        <v>0</v>
      </c>
      <c r="C567">
        <f>TBIDry!I639</f>
        <v>0</v>
      </c>
      <c r="D567" t="b">
        <f t="shared" si="176"/>
        <v>1</v>
      </c>
      <c r="E567" t="b">
        <f t="shared" si="177"/>
        <v>1</v>
      </c>
      <c r="AA567" t="str">
        <f>'Green_rooibos initial weight'!A568</f>
        <v>G564</v>
      </c>
      <c r="AB567" t="str">
        <f>'Green_rooibos initial weight'!A1472</f>
        <v>R564</v>
      </c>
      <c r="AC567" t="b">
        <f t="shared" si="180"/>
        <v>0</v>
      </c>
      <c r="AD567" t="b">
        <f t="shared" si="181"/>
        <v>0</v>
      </c>
      <c r="BN567" t="str">
        <f t="shared" si="184"/>
        <v>G543</v>
      </c>
    </row>
    <row r="568" spans="2:66" ht="12" customHeight="1">
      <c r="B568">
        <f>TBIDry!H640</f>
        <v>0</v>
      </c>
      <c r="C568">
        <f>TBIDry!I640</f>
        <v>0</v>
      </c>
      <c r="D568" t="b">
        <f t="shared" si="176"/>
        <v>1</v>
      </c>
      <c r="E568" t="b">
        <f t="shared" si="177"/>
        <v>1</v>
      </c>
      <c r="AA568" t="str">
        <f>'Green_rooibos initial weight'!A569</f>
        <v>G565</v>
      </c>
      <c r="AB568" t="str">
        <f>'Green_rooibos initial weight'!A1473</f>
        <v>R565</v>
      </c>
      <c r="AC568" t="b">
        <f t="shared" si="180"/>
        <v>0</v>
      </c>
      <c r="AD568" t="b">
        <f t="shared" si="181"/>
        <v>0</v>
      </c>
      <c r="BN568" t="str">
        <f t="shared" si="184"/>
        <v>G544</v>
      </c>
    </row>
    <row r="569" spans="2:66" ht="12" customHeight="1">
      <c r="B569">
        <f>TBIDry!H641</f>
        <v>0</v>
      </c>
      <c r="C569">
        <f>TBIDry!I641</f>
        <v>0</v>
      </c>
      <c r="D569" t="b">
        <f t="shared" si="176"/>
        <v>1</v>
      </c>
      <c r="E569" t="b">
        <f t="shared" si="177"/>
        <v>1</v>
      </c>
      <c r="AA569" t="str">
        <f>'Green_rooibos initial weight'!A570</f>
        <v>G566</v>
      </c>
      <c r="AB569" t="str">
        <f>'Green_rooibos initial weight'!A1474</f>
        <v>R566</v>
      </c>
      <c r="AC569" t="b">
        <f t="shared" si="180"/>
        <v>0</v>
      </c>
      <c r="AD569" t="b">
        <f t="shared" si="181"/>
        <v>0</v>
      </c>
      <c r="BN569" t="str">
        <f t="shared" si="184"/>
        <v>G545</v>
      </c>
    </row>
    <row r="570" spans="2:66" ht="12" customHeight="1">
      <c r="B570">
        <f>TBIDry!H642</f>
        <v>0</v>
      </c>
      <c r="C570">
        <f>TBIDry!I642</f>
        <v>0</v>
      </c>
      <c r="D570" t="b">
        <f t="shared" si="176"/>
        <v>1</v>
      </c>
      <c r="E570" t="b">
        <f t="shared" si="177"/>
        <v>1</v>
      </c>
      <c r="AA570" t="str">
        <f>'Green_rooibos initial weight'!A571</f>
        <v>G567</v>
      </c>
      <c r="AB570" t="str">
        <f>'Green_rooibos initial weight'!A1475</f>
        <v>R567</v>
      </c>
      <c r="AC570" t="b">
        <f t="shared" si="180"/>
        <v>0</v>
      </c>
      <c r="AD570" t="b">
        <f t="shared" si="181"/>
        <v>0</v>
      </c>
      <c r="BN570" t="str">
        <f t="shared" si="184"/>
        <v>G546</v>
      </c>
    </row>
    <row r="571" spans="2:66" ht="12" customHeight="1">
      <c r="B571">
        <f>TBIDry!H643</f>
        <v>0</v>
      </c>
      <c r="C571">
        <f>TBIDry!I643</f>
        <v>0</v>
      </c>
      <c r="D571" t="b">
        <f t="shared" si="176"/>
        <v>1</v>
      </c>
      <c r="E571" t="b">
        <f t="shared" si="177"/>
        <v>1</v>
      </c>
      <c r="AA571" t="str">
        <f>'Green_rooibos initial weight'!A572</f>
        <v>G568</v>
      </c>
      <c r="AB571" t="str">
        <f>'Green_rooibos initial weight'!A1476</f>
        <v>R568</v>
      </c>
      <c r="AC571" t="b">
        <f t="shared" si="180"/>
        <v>0</v>
      </c>
      <c r="AD571" t="b">
        <f t="shared" si="181"/>
        <v>0</v>
      </c>
      <c r="BN571" t="str">
        <f t="shared" si="184"/>
        <v>G547</v>
      </c>
    </row>
    <row r="572" spans="2:66" ht="12" customHeight="1">
      <c r="B572">
        <f>TBIDry!H644</f>
        <v>0</v>
      </c>
      <c r="C572">
        <f>TBIDry!I644</f>
        <v>0</v>
      </c>
      <c r="D572" t="b">
        <f t="shared" si="176"/>
        <v>1</v>
      </c>
      <c r="E572" t="b">
        <f t="shared" si="177"/>
        <v>1</v>
      </c>
      <c r="AA572" t="str">
        <f>'Green_rooibos initial weight'!A573</f>
        <v>G569</v>
      </c>
      <c r="AB572" t="str">
        <f>'Green_rooibos initial weight'!A1477</f>
        <v>R569</v>
      </c>
      <c r="AC572" t="b">
        <f t="shared" si="180"/>
        <v>0</v>
      </c>
      <c r="AD572" t="b">
        <f t="shared" si="181"/>
        <v>0</v>
      </c>
      <c r="BN572" t="str">
        <f t="shared" si="184"/>
        <v>G548</v>
      </c>
    </row>
    <row r="573" spans="2:66" ht="12" customHeight="1">
      <c r="B573">
        <f>TBIDry!H645</f>
        <v>0</v>
      </c>
      <c r="C573">
        <f>TBIDry!I645</f>
        <v>0</v>
      </c>
      <c r="D573" t="b">
        <f t="shared" si="176"/>
        <v>1</v>
      </c>
      <c r="E573" t="b">
        <f t="shared" si="177"/>
        <v>1</v>
      </c>
      <c r="AA573" t="str">
        <f>'Green_rooibos initial weight'!A574</f>
        <v>G570</v>
      </c>
      <c r="AB573" t="str">
        <f>'Green_rooibos initial weight'!A1478</f>
        <v>R570</v>
      </c>
      <c r="AC573" t="b">
        <f t="shared" si="180"/>
        <v>0</v>
      </c>
      <c r="AD573" t="b">
        <f t="shared" si="181"/>
        <v>0</v>
      </c>
      <c r="BN573" t="str">
        <f t="shared" si="184"/>
        <v>G549</v>
      </c>
    </row>
    <row r="574" spans="2:66" ht="12" customHeight="1">
      <c r="B574">
        <f>TBIDry!H646</f>
        <v>0</v>
      </c>
      <c r="C574">
        <f>TBIDry!I646</f>
        <v>0</v>
      </c>
      <c r="D574" t="b">
        <f t="shared" si="176"/>
        <v>1</v>
      </c>
      <c r="E574" t="b">
        <f t="shared" si="177"/>
        <v>1</v>
      </c>
      <c r="AA574" t="str">
        <f>'Green_rooibos initial weight'!A575</f>
        <v>G571</v>
      </c>
      <c r="AB574" t="str">
        <f>'Green_rooibos initial weight'!A1479</f>
        <v>R571</v>
      </c>
      <c r="AC574" t="b">
        <f t="shared" si="180"/>
        <v>0</v>
      </c>
      <c r="AD574" t="b">
        <f t="shared" si="181"/>
        <v>0</v>
      </c>
      <c r="BN574" t="str">
        <f t="shared" si="184"/>
        <v>G550</v>
      </c>
    </row>
    <row r="575" spans="2:66" ht="12" customHeight="1">
      <c r="B575">
        <f>TBIDry!H647</f>
        <v>0</v>
      </c>
      <c r="C575">
        <f>TBIDry!I647</f>
        <v>0</v>
      </c>
      <c r="D575" t="b">
        <f t="shared" si="176"/>
        <v>1</v>
      </c>
      <c r="E575" t="b">
        <f t="shared" si="177"/>
        <v>1</v>
      </c>
      <c r="AA575" t="str">
        <f>'Green_rooibos initial weight'!A576</f>
        <v>G572</v>
      </c>
      <c r="AB575" t="str">
        <f>'Green_rooibos initial weight'!A1480</f>
        <v>R572</v>
      </c>
      <c r="AC575" t="b">
        <f t="shared" si="180"/>
        <v>0</v>
      </c>
      <c r="AD575" t="b">
        <f t="shared" si="181"/>
        <v>0</v>
      </c>
      <c r="BN575" t="str">
        <f t="shared" si="184"/>
        <v>G551</v>
      </c>
    </row>
    <row r="576" spans="2:66" ht="12" customHeight="1">
      <c r="B576">
        <f>TBIDry!H648</f>
        <v>0</v>
      </c>
      <c r="C576">
        <f>TBIDry!I648</f>
        <v>0</v>
      </c>
      <c r="D576" t="b">
        <f t="shared" si="176"/>
        <v>1</v>
      </c>
      <c r="E576" t="b">
        <f t="shared" si="177"/>
        <v>1</v>
      </c>
      <c r="AA576" t="str">
        <f>'Green_rooibos initial weight'!A577</f>
        <v>G573</v>
      </c>
      <c r="AB576" t="str">
        <f>'Green_rooibos initial weight'!A1481</f>
        <v>R573</v>
      </c>
      <c r="AC576" t="b">
        <f t="shared" si="180"/>
        <v>0</v>
      </c>
      <c r="AD576" t="b">
        <f t="shared" si="181"/>
        <v>0</v>
      </c>
      <c r="BN576" t="str">
        <f t="shared" si="184"/>
        <v>G552</v>
      </c>
    </row>
    <row r="577" spans="2:66" ht="12" customHeight="1">
      <c r="B577">
        <f>TBIDry!H649</f>
        <v>0</v>
      </c>
      <c r="C577">
        <f>TBIDry!I649</f>
        <v>0</v>
      </c>
      <c r="D577" t="b">
        <f t="shared" si="176"/>
        <v>1</v>
      </c>
      <c r="E577" t="b">
        <f t="shared" si="177"/>
        <v>1</v>
      </c>
      <c r="AA577" t="str">
        <f>'Green_rooibos initial weight'!A578</f>
        <v>G574</v>
      </c>
      <c r="AB577" t="str">
        <f>'Green_rooibos initial weight'!A1482</f>
        <v>R574</v>
      </c>
      <c r="AC577" t="b">
        <f t="shared" si="180"/>
        <v>0</v>
      </c>
      <c r="AD577" t="b">
        <f t="shared" si="181"/>
        <v>0</v>
      </c>
      <c r="BN577" t="str">
        <f t="shared" si="184"/>
        <v>G554</v>
      </c>
    </row>
    <row r="578" spans="2:66" ht="12" customHeight="1">
      <c r="B578">
        <f>TBIDry!H650</f>
        <v>0</v>
      </c>
      <c r="C578">
        <f>TBIDry!I650</f>
        <v>0</v>
      </c>
      <c r="D578" t="b">
        <f t="shared" si="176"/>
        <v>1</v>
      </c>
      <c r="E578" t="b">
        <f t="shared" si="177"/>
        <v>1</v>
      </c>
      <c r="AA578" t="str">
        <f>'Green_rooibos initial weight'!A579</f>
        <v>G575</v>
      </c>
      <c r="AB578" t="str">
        <f>'Green_rooibos initial weight'!A1483</f>
        <v>R575</v>
      </c>
      <c r="AC578" t="b">
        <f t="shared" si="180"/>
        <v>0</v>
      </c>
      <c r="AD578" t="b">
        <f t="shared" si="181"/>
        <v>0</v>
      </c>
      <c r="BN578" t="str">
        <f t="shared" si="184"/>
        <v>G557</v>
      </c>
    </row>
    <row r="579" spans="2:66" ht="12" customHeight="1">
      <c r="B579">
        <f>TBIDry!H651</f>
        <v>0</v>
      </c>
      <c r="C579">
        <f>TBIDry!I651</f>
        <v>0</v>
      </c>
      <c r="D579" t="b">
        <f t="shared" si="176"/>
        <v>1</v>
      </c>
      <c r="E579" t="b">
        <f t="shared" si="177"/>
        <v>1</v>
      </c>
      <c r="AA579" t="str">
        <f>'Green_rooibos initial weight'!A580</f>
        <v>G576</v>
      </c>
      <c r="AB579" t="str">
        <f>'Green_rooibos initial weight'!A1484</f>
        <v>R576</v>
      </c>
      <c r="AC579" t="b">
        <f t="shared" si="180"/>
        <v>0</v>
      </c>
      <c r="AD579" t="b">
        <f t="shared" si="181"/>
        <v>0</v>
      </c>
      <c r="BN579" t="str">
        <f t="shared" si="184"/>
        <v>G560</v>
      </c>
    </row>
    <row r="580" spans="2:66" ht="12" customHeight="1">
      <c r="B580">
        <f>TBIDry!H652</f>
        <v>0</v>
      </c>
      <c r="C580">
        <f>TBIDry!I652</f>
        <v>0</v>
      </c>
      <c r="D580" t="b">
        <f t="shared" si="176"/>
        <v>1</v>
      </c>
      <c r="E580" t="b">
        <f t="shared" si="177"/>
        <v>1</v>
      </c>
      <c r="AA580" t="str">
        <f>'Green_rooibos initial weight'!A581</f>
        <v>G577</v>
      </c>
      <c r="AB580" t="str">
        <f>'Green_rooibos initial weight'!A1485</f>
        <v>R577</v>
      </c>
      <c r="AC580" t="b">
        <f t="shared" si="180"/>
        <v>0</v>
      </c>
      <c r="AD580" t="b">
        <f t="shared" si="181"/>
        <v>0</v>
      </c>
      <c r="BN580" t="str">
        <f t="shared" si="184"/>
        <v>G561</v>
      </c>
    </row>
    <row r="581" spans="2:66" ht="12" customHeight="1">
      <c r="B581">
        <f>TBIDry!H653</f>
        <v>0</v>
      </c>
      <c r="C581">
        <f>TBIDry!I653</f>
        <v>0</v>
      </c>
      <c r="D581" t="b">
        <f t="shared" ref="D581:D644" si="185">COUNTIF($B$4:$B$2000, B581)&gt;1</f>
        <v>1</v>
      </c>
      <c r="E581" t="b">
        <f t="shared" ref="E581:E644" si="186">COUNTIF($C$4:$C$2000, C581)&gt;1</f>
        <v>1</v>
      </c>
      <c r="AA581" t="str">
        <f>'Green_rooibos initial weight'!A582</f>
        <v>G578</v>
      </c>
      <c r="AB581" t="str">
        <f>'Green_rooibos initial weight'!A1486</f>
        <v>R578</v>
      </c>
      <c r="AC581" t="b">
        <f t="shared" ref="AC581:AC644" si="187">COUNTIF($AA$4:$AA$2000, AA581)&gt;1</f>
        <v>0</v>
      </c>
      <c r="AD581" t="b">
        <f t="shared" ref="AD581:AD644" si="188">COUNTIF($AB$4:$AB$2000, AB581)&gt;1</f>
        <v>0</v>
      </c>
      <c r="BN581" t="str">
        <f t="shared" si="184"/>
        <v>G362</v>
      </c>
    </row>
    <row r="582" spans="2:66" ht="12" customHeight="1">
      <c r="B582">
        <f>TBIDry!H654</f>
        <v>0</v>
      </c>
      <c r="C582">
        <f>TBIDry!I654</f>
        <v>0</v>
      </c>
      <c r="D582" t="b">
        <f t="shared" si="185"/>
        <v>1</v>
      </c>
      <c r="E582" t="b">
        <f t="shared" si="186"/>
        <v>1</v>
      </c>
      <c r="AA582" t="str">
        <f>'Green_rooibos initial weight'!A583</f>
        <v>G579</v>
      </c>
      <c r="AB582" t="str">
        <f>'Green_rooibos initial weight'!A1487</f>
        <v>R579</v>
      </c>
      <c r="AC582" t="b">
        <f t="shared" si="187"/>
        <v>0</v>
      </c>
      <c r="AD582" t="b">
        <f t="shared" si="188"/>
        <v>0</v>
      </c>
      <c r="BN582" t="str">
        <f t="shared" si="184"/>
        <v>G563</v>
      </c>
    </row>
    <row r="583" spans="2:66" ht="12" customHeight="1">
      <c r="B583">
        <f>TBIDry!H655</f>
        <v>0</v>
      </c>
      <c r="C583">
        <f>TBIDry!I655</f>
        <v>0</v>
      </c>
      <c r="D583" t="b">
        <f t="shared" si="185"/>
        <v>1</v>
      </c>
      <c r="E583" t="b">
        <f t="shared" si="186"/>
        <v>1</v>
      </c>
      <c r="AA583" t="str">
        <f>'Green_rooibos initial weight'!A584</f>
        <v>G580</v>
      </c>
      <c r="AB583" t="str">
        <f>'Green_rooibos initial weight'!A1488</f>
        <v>R580</v>
      </c>
      <c r="AC583" t="b">
        <f t="shared" si="187"/>
        <v>0</v>
      </c>
      <c r="AD583" t="b">
        <f t="shared" si="188"/>
        <v>0</v>
      </c>
      <c r="BN583" t="str">
        <f t="shared" si="184"/>
        <v>G564</v>
      </c>
    </row>
    <row r="584" spans="2:66" ht="12" customHeight="1">
      <c r="B584">
        <f>TBIDry!H656</f>
        <v>0</v>
      </c>
      <c r="C584">
        <f>TBIDry!I656</f>
        <v>0</v>
      </c>
      <c r="D584" t="b">
        <f t="shared" si="185"/>
        <v>1</v>
      </c>
      <c r="E584" t="b">
        <f t="shared" si="186"/>
        <v>1</v>
      </c>
      <c r="AA584" t="str">
        <f>'Green_rooibos initial weight'!A585</f>
        <v>G581</v>
      </c>
      <c r="AB584" t="str">
        <f>'Green_rooibos initial weight'!A1489</f>
        <v>R581</v>
      </c>
      <c r="AC584" t="b">
        <f t="shared" si="187"/>
        <v>0</v>
      </c>
      <c r="AD584" t="b">
        <f t="shared" si="188"/>
        <v>0</v>
      </c>
      <c r="BN584" t="str">
        <f t="shared" si="184"/>
        <v>G565</v>
      </c>
    </row>
    <row r="585" spans="2:66" ht="12" customHeight="1">
      <c r="B585">
        <f>TBIDry!H657</f>
        <v>0</v>
      </c>
      <c r="C585">
        <f>TBIDry!I657</f>
        <v>0</v>
      </c>
      <c r="D585" t="b">
        <f t="shared" si="185"/>
        <v>1</v>
      </c>
      <c r="E585" t="b">
        <f t="shared" si="186"/>
        <v>1</v>
      </c>
      <c r="AA585" t="str">
        <f>'Green_rooibos initial weight'!A586</f>
        <v>G582</v>
      </c>
      <c r="AB585" t="str">
        <f>'Green_rooibos initial weight'!A1490</f>
        <v>R582</v>
      </c>
      <c r="AC585" t="b">
        <f t="shared" si="187"/>
        <v>0</v>
      </c>
      <c r="AD585" t="b">
        <f t="shared" si="188"/>
        <v>0</v>
      </c>
      <c r="BN585" t="str">
        <f t="shared" si="184"/>
        <v>G566</v>
      </c>
    </row>
    <row r="586" spans="2:66" ht="12" customHeight="1">
      <c r="B586">
        <f>TBIDry!H658</f>
        <v>0</v>
      </c>
      <c r="C586">
        <f>TBIDry!I658</f>
        <v>0</v>
      </c>
      <c r="D586" t="b">
        <f t="shared" si="185"/>
        <v>1</v>
      </c>
      <c r="E586" t="b">
        <f t="shared" si="186"/>
        <v>1</v>
      </c>
      <c r="AA586" t="str">
        <f>'Green_rooibos initial weight'!A587</f>
        <v>G583</v>
      </c>
      <c r="AB586" t="str">
        <f>'Green_rooibos initial weight'!A1491</f>
        <v>R583</v>
      </c>
      <c r="AC586" t="b">
        <f t="shared" si="187"/>
        <v>0</v>
      </c>
      <c r="AD586" t="b">
        <f t="shared" si="188"/>
        <v>0</v>
      </c>
      <c r="BN586" t="str">
        <f t="shared" si="184"/>
        <v>G567</v>
      </c>
    </row>
    <row r="587" spans="2:66" ht="12" customHeight="1">
      <c r="B587">
        <f>TBIDry!H659</f>
        <v>0</v>
      </c>
      <c r="C587">
        <f>TBIDry!I659</f>
        <v>0</v>
      </c>
      <c r="D587" t="b">
        <f t="shared" si="185"/>
        <v>1</v>
      </c>
      <c r="E587" t="b">
        <f t="shared" si="186"/>
        <v>1</v>
      </c>
      <c r="AA587" t="str">
        <f>'Green_rooibos initial weight'!A588</f>
        <v>G584</v>
      </c>
      <c r="AB587" t="str">
        <f>'Green_rooibos initial weight'!A1492</f>
        <v>R584</v>
      </c>
      <c r="AC587" t="b">
        <f t="shared" si="187"/>
        <v>0</v>
      </c>
      <c r="AD587" t="b">
        <f t="shared" si="188"/>
        <v>0</v>
      </c>
      <c r="BN587" t="str">
        <f t="shared" si="184"/>
        <v>G568</v>
      </c>
    </row>
    <row r="588" spans="2:66" ht="12" customHeight="1">
      <c r="B588">
        <f>TBIDry!H660</f>
        <v>0</v>
      </c>
      <c r="C588">
        <f>TBIDry!I660</f>
        <v>0</v>
      </c>
      <c r="D588" t="b">
        <f t="shared" si="185"/>
        <v>1</v>
      </c>
      <c r="E588" t="b">
        <f t="shared" si="186"/>
        <v>1</v>
      </c>
      <c r="AA588" t="str">
        <f>'Green_rooibos initial weight'!A589</f>
        <v>G585</v>
      </c>
      <c r="AB588" t="str">
        <f>'Green_rooibos initial weight'!A1493</f>
        <v>R585</v>
      </c>
      <c r="AC588" t="b">
        <f t="shared" si="187"/>
        <v>0</v>
      </c>
      <c r="AD588" t="b">
        <f t="shared" si="188"/>
        <v>0</v>
      </c>
      <c r="BN588" t="str">
        <f t="shared" si="184"/>
        <v>G509</v>
      </c>
    </row>
    <row r="589" spans="2:66" ht="12" customHeight="1">
      <c r="B589">
        <f>TBIDry!H661</f>
        <v>0</v>
      </c>
      <c r="C589">
        <f>TBIDry!I661</f>
        <v>0</v>
      </c>
      <c r="D589" t="b">
        <f t="shared" si="185"/>
        <v>1</v>
      </c>
      <c r="E589" t="b">
        <f t="shared" si="186"/>
        <v>1</v>
      </c>
      <c r="AA589" t="str">
        <f>'Green_rooibos initial weight'!A590</f>
        <v>G586</v>
      </c>
      <c r="AB589" t="str">
        <f>'Green_rooibos initial weight'!A1494</f>
        <v>R586</v>
      </c>
      <c r="AC589" t="b">
        <f t="shared" si="187"/>
        <v>0</v>
      </c>
      <c r="AD589" t="b">
        <f t="shared" si="188"/>
        <v>0</v>
      </c>
      <c r="BN589" t="str">
        <f t="shared" si="184"/>
        <v>G571</v>
      </c>
    </row>
    <row r="590" spans="2:66" ht="12" customHeight="1">
      <c r="B590">
        <f>TBIDry!H662</f>
        <v>0</v>
      </c>
      <c r="C590">
        <f>TBIDry!I662</f>
        <v>0</v>
      </c>
      <c r="D590" t="b">
        <f t="shared" si="185"/>
        <v>1</v>
      </c>
      <c r="E590" t="b">
        <f t="shared" si="186"/>
        <v>1</v>
      </c>
      <c r="AA590" t="str">
        <f>'Green_rooibos initial weight'!A591</f>
        <v>G587</v>
      </c>
      <c r="AB590" t="str">
        <f>'Green_rooibos initial weight'!A1495</f>
        <v>R587</v>
      </c>
      <c r="AC590" t="b">
        <f t="shared" si="187"/>
        <v>0</v>
      </c>
      <c r="AD590" t="b">
        <f t="shared" si="188"/>
        <v>0</v>
      </c>
      <c r="BN590" t="str">
        <f t="shared" si="184"/>
        <v>G572</v>
      </c>
    </row>
    <row r="591" spans="2:66" ht="12" customHeight="1">
      <c r="B591">
        <f>TBIDry!H663</f>
        <v>0</v>
      </c>
      <c r="C591">
        <f>TBIDry!I663</f>
        <v>0</v>
      </c>
      <c r="D591" t="b">
        <f t="shared" si="185"/>
        <v>1</v>
      </c>
      <c r="E591" t="b">
        <f t="shared" si="186"/>
        <v>1</v>
      </c>
      <c r="AA591" t="str">
        <f>'Green_rooibos initial weight'!A592</f>
        <v>G588</v>
      </c>
      <c r="AB591" t="str">
        <f>'Green_rooibos initial weight'!A1496</f>
        <v>R588</v>
      </c>
      <c r="AC591" t="b">
        <f t="shared" si="187"/>
        <v>0</v>
      </c>
      <c r="AD591" t="b">
        <f t="shared" si="188"/>
        <v>0</v>
      </c>
      <c r="BN591" t="str">
        <f t="shared" si="184"/>
        <v>G573</v>
      </c>
    </row>
    <row r="592" spans="2:66" ht="12" customHeight="1">
      <c r="B592">
        <f>TBIDry!H664</f>
        <v>0</v>
      </c>
      <c r="C592">
        <f>TBIDry!I664</f>
        <v>0</v>
      </c>
      <c r="D592" t="b">
        <f t="shared" si="185"/>
        <v>1</v>
      </c>
      <c r="E592" t="b">
        <f t="shared" si="186"/>
        <v>1</v>
      </c>
      <c r="AA592" t="str">
        <f>'Green_rooibos initial weight'!A593</f>
        <v>G589</v>
      </c>
      <c r="AB592" t="str">
        <f>'Green_rooibos initial weight'!A1497</f>
        <v>R589</v>
      </c>
      <c r="AC592" t="b">
        <f t="shared" si="187"/>
        <v>0</v>
      </c>
      <c r="AD592" t="b">
        <f t="shared" si="188"/>
        <v>0</v>
      </c>
      <c r="BN592" t="str">
        <f t="shared" si="184"/>
        <v>G574</v>
      </c>
    </row>
    <row r="593" spans="2:66" ht="12" customHeight="1">
      <c r="B593">
        <f>TBIDry!H665</f>
        <v>0</v>
      </c>
      <c r="C593">
        <f>TBIDry!I665</f>
        <v>0</v>
      </c>
      <c r="D593" t="b">
        <f t="shared" si="185"/>
        <v>1</v>
      </c>
      <c r="E593" t="b">
        <f t="shared" si="186"/>
        <v>1</v>
      </c>
      <c r="AA593" t="str">
        <f>'Green_rooibos initial weight'!A594</f>
        <v>G590</v>
      </c>
      <c r="AB593" t="str">
        <f>'Green_rooibos initial weight'!A1498</f>
        <v>R590</v>
      </c>
      <c r="AC593" t="b">
        <f t="shared" si="187"/>
        <v>0</v>
      </c>
      <c r="AD593" t="b">
        <f t="shared" si="188"/>
        <v>0</v>
      </c>
      <c r="BN593" t="str">
        <f t="shared" si="184"/>
        <v>G575</v>
      </c>
    </row>
    <row r="594" spans="2:66" ht="12" customHeight="1">
      <c r="B594">
        <f>TBIDry!H666</f>
        <v>0</v>
      </c>
      <c r="C594">
        <f>TBIDry!I666</f>
        <v>0</v>
      </c>
      <c r="D594" t="b">
        <f t="shared" si="185"/>
        <v>1</v>
      </c>
      <c r="E594" t="b">
        <f t="shared" si="186"/>
        <v>1</v>
      </c>
      <c r="AA594" t="str">
        <f>'Green_rooibos initial weight'!A595</f>
        <v>G591</v>
      </c>
      <c r="AB594" t="str">
        <f>'Green_rooibos initial weight'!A1499</f>
        <v>R591</v>
      </c>
      <c r="AC594" t="b">
        <f t="shared" si="187"/>
        <v>0</v>
      </c>
      <c r="AD594" t="b">
        <f t="shared" si="188"/>
        <v>0</v>
      </c>
      <c r="BN594" t="str">
        <f t="shared" si="184"/>
        <v>G576</v>
      </c>
    </row>
    <row r="595" spans="2:66" ht="12" customHeight="1">
      <c r="B595">
        <f>TBIDry!H667</f>
        <v>0</v>
      </c>
      <c r="C595">
        <f>TBIDry!I667</f>
        <v>0</v>
      </c>
      <c r="D595" t="b">
        <f t="shared" si="185"/>
        <v>1</v>
      </c>
      <c r="E595" t="b">
        <f t="shared" si="186"/>
        <v>1</v>
      </c>
      <c r="AA595" t="str">
        <f>'Green_rooibos initial weight'!A596</f>
        <v>G592</v>
      </c>
      <c r="AB595" t="str">
        <f>'Green_rooibos initial weight'!A1500</f>
        <v>R592</v>
      </c>
      <c r="AC595" t="b">
        <f t="shared" si="187"/>
        <v>0</v>
      </c>
      <c r="AD595" t="b">
        <f t="shared" si="188"/>
        <v>0</v>
      </c>
      <c r="BN595" t="str">
        <f t="shared" si="184"/>
        <v>G577</v>
      </c>
    </row>
    <row r="596" spans="2:66" ht="12" customHeight="1">
      <c r="B596">
        <f>TBIDry!H668</f>
        <v>0</v>
      </c>
      <c r="C596">
        <f>TBIDry!I668</f>
        <v>0</v>
      </c>
      <c r="D596" t="b">
        <f t="shared" si="185"/>
        <v>1</v>
      </c>
      <c r="E596" t="b">
        <f t="shared" si="186"/>
        <v>1</v>
      </c>
      <c r="AA596" t="str">
        <f>'Green_rooibos initial weight'!A597</f>
        <v>G593</v>
      </c>
      <c r="AB596" t="str">
        <f>'Green_rooibos initial weight'!A1501</f>
        <v>R593</v>
      </c>
      <c r="AC596" t="b">
        <f t="shared" si="187"/>
        <v>0</v>
      </c>
      <c r="AD596" t="b">
        <f t="shared" si="188"/>
        <v>0</v>
      </c>
      <c r="BN596" t="str">
        <f t="shared" si="184"/>
        <v>G579</v>
      </c>
    </row>
    <row r="597" spans="2:66" ht="12" customHeight="1">
      <c r="B597">
        <f>TBIDry!H669</f>
        <v>0</v>
      </c>
      <c r="C597">
        <f>TBIDry!I669</f>
        <v>0</v>
      </c>
      <c r="D597" t="b">
        <f t="shared" si="185"/>
        <v>1</v>
      </c>
      <c r="E597" t="b">
        <f t="shared" si="186"/>
        <v>1</v>
      </c>
      <c r="AA597" t="str">
        <f>'Green_rooibos initial weight'!A598</f>
        <v>G594</v>
      </c>
      <c r="AB597" t="str">
        <f>'Green_rooibos initial weight'!A1502</f>
        <v>R594</v>
      </c>
      <c r="AC597" t="b">
        <f t="shared" si="187"/>
        <v>0</v>
      </c>
      <c r="AD597" t="b">
        <f t="shared" si="188"/>
        <v>0</v>
      </c>
      <c r="BN597" t="str">
        <f t="shared" si="184"/>
        <v>G581</v>
      </c>
    </row>
    <row r="598" spans="2:66" ht="12" customHeight="1">
      <c r="B598">
        <f>TBIDry!H670</f>
        <v>0</v>
      </c>
      <c r="C598">
        <f>TBIDry!I670</f>
        <v>0</v>
      </c>
      <c r="D598" t="b">
        <f t="shared" si="185"/>
        <v>1</v>
      </c>
      <c r="E598" t="b">
        <f t="shared" si="186"/>
        <v>1</v>
      </c>
      <c r="AA598" t="str">
        <f>'Green_rooibos initial weight'!A599</f>
        <v>G595</v>
      </c>
      <c r="AB598" t="str">
        <f>'Green_rooibos initial weight'!A1503</f>
        <v>R595</v>
      </c>
      <c r="AC598" t="b">
        <f t="shared" si="187"/>
        <v>0</v>
      </c>
      <c r="AD598" t="b">
        <f t="shared" si="188"/>
        <v>0</v>
      </c>
      <c r="BN598" t="str">
        <f t="shared" si="184"/>
        <v>G582</v>
      </c>
    </row>
    <row r="599" spans="2:66" ht="12" customHeight="1">
      <c r="B599">
        <f>TBIDry!H671</f>
        <v>0</v>
      </c>
      <c r="C599">
        <f>TBIDry!I671</f>
        <v>0</v>
      </c>
      <c r="D599" t="b">
        <f t="shared" si="185"/>
        <v>1</v>
      </c>
      <c r="E599" t="b">
        <f t="shared" si="186"/>
        <v>1</v>
      </c>
      <c r="AA599" t="str">
        <f>'Green_rooibos initial weight'!A600</f>
        <v>G596</v>
      </c>
      <c r="AB599" t="str">
        <f>'Green_rooibos initial weight'!A1504</f>
        <v>R596</v>
      </c>
      <c r="AC599" t="b">
        <f t="shared" si="187"/>
        <v>0</v>
      </c>
      <c r="AD599" t="b">
        <f t="shared" si="188"/>
        <v>0</v>
      </c>
      <c r="BN599" t="str">
        <f t="shared" si="184"/>
        <v>G583</v>
      </c>
    </row>
    <row r="600" spans="2:66" ht="12" customHeight="1">
      <c r="B600">
        <f>TBIDry!H672</f>
        <v>0</v>
      </c>
      <c r="C600">
        <f>TBIDry!I672</f>
        <v>0</v>
      </c>
      <c r="D600" t="b">
        <f t="shared" si="185"/>
        <v>1</v>
      </c>
      <c r="E600" t="b">
        <f t="shared" si="186"/>
        <v>1</v>
      </c>
      <c r="AA600" t="str">
        <f>'Green_rooibos initial weight'!A601</f>
        <v>G597</v>
      </c>
      <c r="AB600" t="str">
        <f>'Green_rooibos initial weight'!A1505</f>
        <v>R597</v>
      </c>
      <c r="AC600" t="b">
        <f t="shared" si="187"/>
        <v>0</v>
      </c>
      <c r="AD600" t="b">
        <f t="shared" si="188"/>
        <v>0</v>
      </c>
      <c r="BN600" t="str">
        <f t="shared" si="184"/>
        <v>G584</v>
      </c>
    </row>
    <row r="601" spans="2:66" ht="12" customHeight="1">
      <c r="B601">
        <f>TBIDry!H673</f>
        <v>0</v>
      </c>
      <c r="C601">
        <f>TBIDry!I673</f>
        <v>0</v>
      </c>
      <c r="D601" t="b">
        <f t="shared" si="185"/>
        <v>1</v>
      </c>
      <c r="E601" t="b">
        <f t="shared" si="186"/>
        <v>1</v>
      </c>
      <c r="AA601" t="str">
        <f>'Green_rooibos initial weight'!A602</f>
        <v>G598</v>
      </c>
      <c r="AB601" t="str">
        <f>'Green_rooibos initial weight'!A1506</f>
        <v>R598</v>
      </c>
      <c r="AC601" t="b">
        <f t="shared" si="187"/>
        <v>0</v>
      </c>
      <c r="AD601" t="b">
        <f t="shared" si="188"/>
        <v>0</v>
      </c>
      <c r="BN601" t="str">
        <f t="shared" si="184"/>
        <v>G585</v>
      </c>
    </row>
    <row r="602" spans="2:66" ht="12" customHeight="1">
      <c r="B602">
        <f>TBIDry!H674</f>
        <v>0</v>
      </c>
      <c r="C602">
        <f>TBIDry!I674</f>
        <v>0</v>
      </c>
      <c r="D602" t="b">
        <f t="shared" si="185"/>
        <v>1</v>
      </c>
      <c r="E602" t="b">
        <f t="shared" si="186"/>
        <v>1</v>
      </c>
      <c r="AA602" t="str">
        <f>'Green_rooibos initial weight'!A603</f>
        <v>G599</v>
      </c>
      <c r="AB602" t="str">
        <f>'Green_rooibos initial weight'!A1507</f>
        <v>R599</v>
      </c>
      <c r="AC602" t="b">
        <f t="shared" si="187"/>
        <v>0</v>
      </c>
      <c r="AD602" t="b">
        <f t="shared" si="188"/>
        <v>0</v>
      </c>
      <c r="BN602" t="str">
        <f t="shared" si="184"/>
        <v>G587</v>
      </c>
    </row>
    <row r="603" spans="2:66" ht="12" customHeight="1">
      <c r="B603">
        <f>TBIDry!H675</f>
        <v>0</v>
      </c>
      <c r="C603">
        <f>TBIDry!I675</f>
        <v>0</v>
      </c>
      <c r="D603" t="b">
        <f t="shared" si="185"/>
        <v>1</v>
      </c>
      <c r="E603" t="b">
        <f t="shared" si="186"/>
        <v>1</v>
      </c>
      <c r="AA603" t="str">
        <f>'Green_rooibos initial weight'!A604</f>
        <v>G600</v>
      </c>
      <c r="AB603" t="str">
        <f>'Green_rooibos initial weight'!A1508</f>
        <v>R600</v>
      </c>
      <c r="AC603" t="b">
        <f t="shared" si="187"/>
        <v>0</v>
      </c>
      <c r="AD603" t="b">
        <f t="shared" si="188"/>
        <v>0</v>
      </c>
      <c r="BN603" t="str">
        <f t="shared" si="184"/>
        <v>G591</v>
      </c>
    </row>
    <row r="604" spans="2:66" ht="12" customHeight="1">
      <c r="B604">
        <f>TBIDry!H676</f>
        <v>0</v>
      </c>
      <c r="C604">
        <f>TBIDry!I676</f>
        <v>0</v>
      </c>
      <c r="D604" t="b">
        <f t="shared" si="185"/>
        <v>1</v>
      </c>
      <c r="E604" t="b">
        <f t="shared" si="186"/>
        <v>1</v>
      </c>
      <c r="AA604" t="str">
        <f>'Green_rooibos initial weight'!A605</f>
        <v>G601</v>
      </c>
      <c r="AB604" t="str">
        <f>'Green_rooibos initial weight'!A1509</f>
        <v>R601</v>
      </c>
      <c r="AC604" t="b">
        <f t="shared" si="187"/>
        <v>0</v>
      </c>
      <c r="AD604" t="b">
        <f t="shared" si="188"/>
        <v>0</v>
      </c>
      <c r="BN604" t="str">
        <f t="shared" si="184"/>
        <v>G592</v>
      </c>
    </row>
    <row r="605" spans="2:66" ht="12" customHeight="1">
      <c r="B605">
        <f>TBIDry!H677</f>
        <v>0</v>
      </c>
      <c r="C605">
        <f>TBIDry!I677</f>
        <v>0</v>
      </c>
      <c r="D605" t="b">
        <f t="shared" si="185"/>
        <v>1</v>
      </c>
      <c r="E605" t="b">
        <f t="shared" si="186"/>
        <v>1</v>
      </c>
      <c r="AA605" t="str">
        <f>'Green_rooibos initial weight'!A606</f>
        <v>G602</v>
      </c>
      <c r="AB605" t="str">
        <f>'Green_rooibos initial weight'!A1510</f>
        <v>R841</v>
      </c>
      <c r="AC605" t="b">
        <f t="shared" si="187"/>
        <v>0</v>
      </c>
      <c r="AD605" t="b">
        <f t="shared" si="188"/>
        <v>0</v>
      </c>
      <c r="BN605" t="str">
        <f t="shared" si="184"/>
        <v>G593</v>
      </c>
    </row>
    <row r="606" spans="2:66" ht="12" customHeight="1">
      <c r="B606">
        <f>TBIDry!H678</f>
        <v>0</v>
      </c>
      <c r="C606">
        <f>TBIDry!I678</f>
        <v>0</v>
      </c>
      <c r="D606" t="b">
        <f t="shared" si="185"/>
        <v>1</v>
      </c>
      <c r="E606" t="b">
        <f t="shared" si="186"/>
        <v>1</v>
      </c>
      <c r="AA606" t="str">
        <f>'Green_rooibos initial weight'!A607</f>
        <v>G603</v>
      </c>
      <c r="AB606" t="str">
        <f>'Green_rooibos initial weight'!A1511</f>
        <v>R602</v>
      </c>
      <c r="AC606" t="b">
        <f t="shared" si="187"/>
        <v>0</v>
      </c>
      <c r="AD606" t="b">
        <f t="shared" si="188"/>
        <v>0</v>
      </c>
      <c r="BN606" t="str">
        <f t="shared" si="184"/>
        <v>G594</v>
      </c>
    </row>
    <row r="607" spans="2:66" ht="12" customHeight="1">
      <c r="B607">
        <f>TBIDry!H679</f>
        <v>0</v>
      </c>
      <c r="C607">
        <f>TBIDry!I679</f>
        <v>0</v>
      </c>
      <c r="D607" t="b">
        <f t="shared" si="185"/>
        <v>1</v>
      </c>
      <c r="E607" t="b">
        <f t="shared" si="186"/>
        <v>1</v>
      </c>
      <c r="AA607" t="str">
        <f>'Green_rooibos initial weight'!A608</f>
        <v>G604</v>
      </c>
      <c r="AB607" t="str">
        <f>'Green_rooibos initial weight'!A1512</f>
        <v>R603</v>
      </c>
      <c r="AC607" t="b">
        <f t="shared" si="187"/>
        <v>0</v>
      </c>
      <c r="AD607" t="b">
        <f t="shared" si="188"/>
        <v>0</v>
      </c>
      <c r="BN607" t="str">
        <f t="shared" si="184"/>
        <v>G595</v>
      </c>
    </row>
    <row r="608" spans="2:66" ht="12" customHeight="1">
      <c r="B608">
        <f>TBIDry!H680</f>
        <v>0</v>
      </c>
      <c r="C608">
        <f>TBIDry!I680</f>
        <v>0</v>
      </c>
      <c r="D608" t="b">
        <f t="shared" si="185"/>
        <v>1</v>
      </c>
      <c r="E608" t="b">
        <f t="shared" si="186"/>
        <v>1</v>
      </c>
      <c r="AA608" t="str">
        <f>'Green_rooibos initial weight'!A609</f>
        <v>G605</v>
      </c>
      <c r="AB608" t="str">
        <f>'Green_rooibos initial weight'!A1513</f>
        <v>R604</v>
      </c>
      <c r="AC608" t="b">
        <f t="shared" si="187"/>
        <v>0</v>
      </c>
      <c r="AD608" t="b">
        <f t="shared" si="188"/>
        <v>0</v>
      </c>
      <c r="BN608" t="str">
        <f t="shared" si="184"/>
        <v>G599</v>
      </c>
    </row>
    <row r="609" spans="2:66" ht="12" customHeight="1">
      <c r="B609">
        <f>TBIDry!H681</f>
        <v>0</v>
      </c>
      <c r="C609">
        <f>TBIDry!I681</f>
        <v>0</v>
      </c>
      <c r="D609" t="b">
        <f t="shared" si="185"/>
        <v>1</v>
      </c>
      <c r="E609" t="b">
        <f t="shared" si="186"/>
        <v>1</v>
      </c>
      <c r="AA609" t="str">
        <f>'Green_rooibos initial weight'!A610</f>
        <v>G606</v>
      </c>
      <c r="AB609" t="str">
        <f>'Green_rooibos initial weight'!A1514</f>
        <v>R605</v>
      </c>
      <c r="AC609" t="b">
        <f t="shared" si="187"/>
        <v>0</v>
      </c>
      <c r="AD609" t="b">
        <f t="shared" si="188"/>
        <v>0</v>
      </c>
      <c r="BN609" t="str">
        <f t="shared" si="184"/>
        <v>G600</v>
      </c>
    </row>
    <row r="610" spans="2:66" ht="12" customHeight="1">
      <c r="B610">
        <f>TBIDry!H682</f>
        <v>0</v>
      </c>
      <c r="C610">
        <f>TBIDry!I682</f>
        <v>0</v>
      </c>
      <c r="D610" t="b">
        <f t="shared" si="185"/>
        <v>1</v>
      </c>
      <c r="E610" t="b">
        <f t="shared" si="186"/>
        <v>1</v>
      </c>
      <c r="AA610" t="str">
        <f>'Green_rooibos initial weight'!A611</f>
        <v>G607</v>
      </c>
      <c r="AB610" t="str">
        <f>'Green_rooibos initial weight'!A1515</f>
        <v>R606</v>
      </c>
      <c r="AC610" t="b">
        <f t="shared" si="187"/>
        <v>0</v>
      </c>
      <c r="AD610" t="b">
        <f t="shared" si="188"/>
        <v>0</v>
      </c>
      <c r="BN610" t="str">
        <f t="shared" si="184"/>
        <v>G602</v>
      </c>
    </row>
    <row r="611" spans="2:66" ht="12" customHeight="1">
      <c r="B611">
        <f>TBIDry!H683</f>
        <v>0</v>
      </c>
      <c r="C611">
        <f>TBIDry!I683</f>
        <v>0</v>
      </c>
      <c r="D611" t="b">
        <f t="shared" si="185"/>
        <v>1</v>
      </c>
      <c r="E611" t="b">
        <f t="shared" si="186"/>
        <v>1</v>
      </c>
      <c r="AA611" t="str">
        <f>'Green_rooibos initial weight'!A612</f>
        <v>G608</v>
      </c>
      <c r="AB611" t="str">
        <f>'Green_rooibos initial weight'!A1516</f>
        <v>R607</v>
      </c>
      <c r="AC611" t="b">
        <f t="shared" si="187"/>
        <v>0</v>
      </c>
      <c r="AD611" t="b">
        <f t="shared" si="188"/>
        <v>0</v>
      </c>
      <c r="BN611" t="str">
        <f t="shared" si="184"/>
        <v>G603</v>
      </c>
    </row>
    <row r="612" spans="2:66" ht="12" customHeight="1">
      <c r="B612">
        <f>TBIDry!H684</f>
        <v>0</v>
      </c>
      <c r="C612">
        <f>TBIDry!I684</f>
        <v>0</v>
      </c>
      <c r="D612" t="b">
        <f t="shared" si="185"/>
        <v>1</v>
      </c>
      <c r="E612" t="b">
        <f t="shared" si="186"/>
        <v>1</v>
      </c>
      <c r="AA612" t="str">
        <f>'Green_rooibos initial weight'!A613</f>
        <v>G609</v>
      </c>
      <c r="AB612" t="str">
        <f>'Green_rooibos initial weight'!A1517</f>
        <v>R608</v>
      </c>
      <c r="AC612" t="b">
        <f t="shared" si="187"/>
        <v>0</v>
      </c>
      <c r="AD612" t="b">
        <f t="shared" si="188"/>
        <v>0</v>
      </c>
      <c r="BN612" t="str">
        <f t="shared" si="184"/>
        <v>G604</v>
      </c>
    </row>
    <row r="613" spans="2:66" ht="12" customHeight="1">
      <c r="B613">
        <f>TBIDry!H685</f>
        <v>0</v>
      </c>
      <c r="C613">
        <f>TBIDry!I685</f>
        <v>0</v>
      </c>
      <c r="D613" t="b">
        <f t="shared" si="185"/>
        <v>1</v>
      </c>
      <c r="E613" t="b">
        <f t="shared" si="186"/>
        <v>1</v>
      </c>
      <c r="AA613" t="str">
        <f>'Green_rooibos initial weight'!A614</f>
        <v>G610</v>
      </c>
      <c r="AB613" t="str">
        <f>'Green_rooibos initial weight'!A1518</f>
        <v>R609</v>
      </c>
      <c r="AC613" t="b">
        <f t="shared" si="187"/>
        <v>0</v>
      </c>
      <c r="AD613" t="b">
        <f t="shared" si="188"/>
        <v>0</v>
      </c>
      <c r="BN613" t="str">
        <f t="shared" si="184"/>
        <v>G605</v>
      </c>
    </row>
    <row r="614" spans="2:66" ht="12" customHeight="1">
      <c r="B614">
        <f>TBIDry!H686</f>
        <v>0</v>
      </c>
      <c r="C614">
        <f>TBIDry!I686</f>
        <v>0</v>
      </c>
      <c r="D614" t="b">
        <f t="shared" si="185"/>
        <v>1</v>
      </c>
      <c r="E614" t="b">
        <f t="shared" si="186"/>
        <v>1</v>
      </c>
      <c r="AA614" t="str">
        <f>'Green_rooibos initial weight'!A615</f>
        <v>G611</v>
      </c>
      <c r="AB614" t="str">
        <f>'Green_rooibos initial weight'!A1519</f>
        <v>R610</v>
      </c>
      <c r="AC614" t="b">
        <f t="shared" si="187"/>
        <v>0</v>
      </c>
      <c r="AD614" t="b">
        <f t="shared" si="188"/>
        <v>0</v>
      </c>
      <c r="BN614" t="str">
        <f t="shared" si="184"/>
        <v>G606</v>
      </c>
    </row>
    <row r="615" spans="2:66" ht="12" customHeight="1">
      <c r="B615">
        <f>TBIDry!H687</f>
        <v>0</v>
      </c>
      <c r="C615">
        <f>TBIDry!I687</f>
        <v>0</v>
      </c>
      <c r="D615" t="b">
        <f t="shared" si="185"/>
        <v>1</v>
      </c>
      <c r="E615" t="b">
        <f t="shared" si="186"/>
        <v>1</v>
      </c>
      <c r="AA615" t="str">
        <f>'Green_rooibos initial weight'!A616</f>
        <v>G612</v>
      </c>
      <c r="AB615" t="str">
        <f>'Green_rooibos initial weight'!A1520</f>
        <v>R611</v>
      </c>
      <c r="AC615" t="b">
        <f t="shared" si="187"/>
        <v>0</v>
      </c>
      <c r="AD615" t="b">
        <f t="shared" si="188"/>
        <v>0</v>
      </c>
      <c r="BN615" t="str">
        <f t="shared" si="184"/>
        <v>G607</v>
      </c>
    </row>
    <row r="616" spans="2:66" ht="12" customHeight="1">
      <c r="B616">
        <f>TBIDry!H688</f>
        <v>0</v>
      </c>
      <c r="C616">
        <f>TBIDry!I688</f>
        <v>0</v>
      </c>
      <c r="D616" t="b">
        <f t="shared" si="185"/>
        <v>1</v>
      </c>
      <c r="E616" t="b">
        <f t="shared" si="186"/>
        <v>1</v>
      </c>
      <c r="AA616" t="str">
        <f>'Green_rooibos initial weight'!A617</f>
        <v>G613</v>
      </c>
      <c r="AB616" t="str">
        <f>'Green_rooibos initial weight'!A1521</f>
        <v>R612</v>
      </c>
      <c r="AC616" t="b">
        <f t="shared" si="187"/>
        <v>0</v>
      </c>
      <c r="AD616" t="b">
        <f t="shared" si="188"/>
        <v>0</v>
      </c>
      <c r="BN616" t="str">
        <f t="shared" si="184"/>
        <v>G609</v>
      </c>
    </row>
    <row r="617" spans="2:66" ht="12" customHeight="1">
      <c r="B617">
        <f>TBIDry!H689</f>
        <v>0</v>
      </c>
      <c r="C617">
        <f>TBIDry!I689</f>
        <v>0</v>
      </c>
      <c r="D617" t="b">
        <f t="shared" si="185"/>
        <v>1</v>
      </c>
      <c r="E617" t="b">
        <f t="shared" si="186"/>
        <v>1</v>
      </c>
      <c r="AA617" t="str">
        <f>'Green_rooibos initial weight'!A618</f>
        <v>G614</v>
      </c>
      <c r="AB617" t="str">
        <f>'Green_rooibos initial weight'!A1522</f>
        <v>R613</v>
      </c>
      <c r="AC617" t="b">
        <f t="shared" si="187"/>
        <v>0</v>
      </c>
      <c r="AD617" t="b">
        <f t="shared" si="188"/>
        <v>0</v>
      </c>
      <c r="BN617" t="str">
        <f t="shared" ref="BN617:BN680" si="189">L196</f>
        <v>G610</v>
      </c>
    </row>
    <row r="618" spans="2:66" ht="12" customHeight="1">
      <c r="B618">
        <f>TBIDry!H690</f>
        <v>0</v>
      </c>
      <c r="C618">
        <f>TBIDry!I690</f>
        <v>0</v>
      </c>
      <c r="D618" t="b">
        <f t="shared" si="185"/>
        <v>1</v>
      </c>
      <c r="E618" t="b">
        <f t="shared" si="186"/>
        <v>1</v>
      </c>
      <c r="AA618" t="str">
        <f>'Green_rooibos initial weight'!A619</f>
        <v>G615</v>
      </c>
      <c r="AB618" t="str">
        <f>'Green_rooibos initial weight'!A1523</f>
        <v>R614</v>
      </c>
      <c r="AC618" t="b">
        <f t="shared" si="187"/>
        <v>0</v>
      </c>
      <c r="AD618" t="b">
        <f t="shared" si="188"/>
        <v>0</v>
      </c>
      <c r="BN618" t="str">
        <f t="shared" si="189"/>
        <v>G613</v>
      </c>
    </row>
    <row r="619" spans="2:66" ht="12" customHeight="1">
      <c r="B619">
        <f>TBIDry!H691</f>
        <v>0</v>
      </c>
      <c r="C619">
        <f>TBIDry!I691</f>
        <v>0</v>
      </c>
      <c r="D619" t="b">
        <f t="shared" si="185"/>
        <v>1</v>
      </c>
      <c r="E619" t="b">
        <f t="shared" si="186"/>
        <v>1</v>
      </c>
      <c r="AA619" t="str">
        <f>'Green_rooibos initial weight'!A620</f>
        <v>G616</v>
      </c>
      <c r="AB619" t="str">
        <f>'Green_rooibos initial weight'!A1524</f>
        <v>R615</v>
      </c>
      <c r="AC619" t="b">
        <f t="shared" si="187"/>
        <v>0</v>
      </c>
      <c r="AD619" t="b">
        <f t="shared" si="188"/>
        <v>0</v>
      </c>
      <c r="BN619" t="str">
        <f t="shared" si="189"/>
        <v>G614</v>
      </c>
    </row>
    <row r="620" spans="2:66" ht="12" customHeight="1">
      <c r="B620">
        <f>TBIDry!H692</f>
        <v>0</v>
      </c>
      <c r="C620">
        <f>TBIDry!I692</f>
        <v>0</v>
      </c>
      <c r="D620" t="b">
        <f t="shared" si="185"/>
        <v>1</v>
      </c>
      <c r="E620" t="b">
        <f t="shared" si="186"/>
        <v>1</v>
      </c>
      <c r="AA620" t="str">
        <f>'Green_rooibos initial weight'!A621</f>
        <v>G617</v>
      </c>
      <c r="AB620" t="str">
        <f>'Green_rooibos initial weight'!A1525</f>
        <v>R616</v>
      </c>
      <c r="AC620" t="b">
        <f t="shared" si="187"/>
        <v>0</v>
      </c>
      <c r="AD620" t="b">
        <f t="shared" si="188"/>
        <v>0</v>
      </c>
      <c r="BN620" t="str">
        <f t="shared" si="189"/>
        <v>G616</v>
      </c>
    </row>
    <row r="621" spans="2:66" ht="12" customHeight="1">
      <c r="B621">
        <f>TBIDry!H693</f>
        <v>0</v>
      </c>
      <c r="C621">
        <f>TBIDry!I693</f>
        <v>0</v>
      </c>
      <c r="D621" t="b">
        <f t="shared" si="185"/>
        <v>1</v>
      </c>
      <c r="E621" t="b">
        <f t="shared" si="186"/>
        <v>1</v>
      </c>
      <c r="AA621" t="str">
        <f>'Green_rooibos initial weight'!A622</f>
        <v>G618</v>
      </c>
      <c r="AB621" t="str">
        <f>'Green_rooibos initial weight'!A1526</f>
        <v>R617</v>
      </c>
      <c r="AC621" t="b">
        <f t="shared" si="187"/>
        <v>0</v>
      </c>
      <c r="AD621" t="b">
        <f t="shared" si="188"/>
        <v>0</v>
      </c>
      <c r="BN621" t="str">
        <f t="shared" si="189"/>
        <v>G618</v>
      </c>
    </row>
    <row r="622" spans="2:66" ht="12" customHeight="1">
      <c r="B622">
        <f>TBIDry!H694</f>
        <v>0</v>
      </c>
      <c r="C622">
        <f>TBIDry!I694</f>
        <v>0</v>
      </c>
      <c r="D622" t="b">
        <f t="shared" si="185"/>
        <v>1</v>
      </c>
      <c r="E622" t="b">
        <f t="shared" si="186"/>
        <v>1</v>
      </c>
      <c r="AA622" t="str">
        <f>'Green_rooibos initial weight'!A623</f>
        <v>G619</v>
      </c>
      <c r="AB622" t="str">
        <f>'Green_rooibos initial weight'!A1527</f>
        <v>R618</v>
      </c>
      <c r="AC622" t="b">
        <f t="shared" si="187"/>
        <v>0</v>
      </c>
      <c r="AD622" t="b">
        <f t="shared" si="188"/>
        <v>0</v>
      </c>
      <c r="BN622" t="str">
        <f t="shared" si="189"/>
        <v>G619</v>
      </c>
    </row>
    <row r="623" spans="2:66" ht="12" customHeight="1">
      <c r="B623">
        <f>TBIDry!H695</f>
        <v>0</v>
      </c>
      <c r="C623">
        <f>TBIDry!I695</f>
        <v>0</v>
      </c>
      <c r="D623" t="b">
        <f t="shared" si="185"/>
        <v>1</v>
      </c>
      <c r="E623" t="b">
        <f t="shared" si="186"/>
        <v>1</v>
      </c>
      <c r="AA623" t="str">
        <f>'Green_rooibos initial weight'!A624</f>
        <v>G620</v>
      </c>
      <c r="AB623" t="str">
        <f>'Green_rooibos initial weight'!A1528</f>
        <v>R619</v>
      </c>
      <c r="AC623" t="b">
        <f t="shared" si="187"/>
        <v>0</v>
      </c>
      <c r="AD623" t="b">
        <f t="shared" si="188"/>
        <v>0</v>
      </c>
      <c r="BN623" t="str">
        <f t="shared" si="189"/>
        <v>G620</v>
      </c>
    </row>
    <row r="624" spans="2:66" ht="12" customHeight="1">
      <c r="B624">
        <f>TBIDry!H696</f>
        <v>0</v>
      </c>
      <c r="C624">
        <f>TBIDry!I696</f>
        <v>0</v>
      </c>
      <c r="D624" t="b">
        <f t="shared" si="185"/>
        <v>1</v>
      </c>
      <c r="E624" t="b">
        <f t="shared" si="186"/>
        <v>1</v>
      </c>
      <c r="AA624" t="str">
        <f>'Green_rooibos initial weight'!A625</f>
        <v>G621</v>
      </c>
      <c r="AB624" t="str">
        <f>'Green_rooibos initial weight'!A1529</f>
        <v>R620</v>
      </c>
      <c r="AC624" t="b">
        <f t="shared" si="187"/>
        <v>0</v>
      </c>
      <c r="AD624" t="b">
        <f t="shared" si="188"/>
        <v>0</v>
      </c>
      <c r="BN624" t="str">
        <f t="shared" si="189"/>
        <v>G621</v>
      </c>
    </row>
    <row r="625" spans="2:66" ht="12" customHeight="1">
      <c r="B625">
        <f>TBIDry!H697</f>
        <v>0</v>
      </c>
      <c r="C625">
        <f>TBIDry!I697</f>
        <v>0</v>
      </c>
      <c r="D625" t="b">
        <f t="shared" si="185"/>
        <v>1</v>
      </c>
      <c r="E625" t="b">
        <f t="shared" si="186"/>
        <v>1</v>
      </c>
      <c r="AA625" t="str">
        <f>'Green_rooibos initial weight'!A626</f>
        <v>G622</v>
      </c>
      <c r="AB625" t="str">
        <f>'Green_rooibos initial weight'!A1530</f>
        <v>R621</v>
      </c>
      <c r="AC625" t="b">
        <f t="shared" si="187"/>
        <v>0</v>
      </c>
      <c r="AD625" t="b">
        <f t="shared" si="188"/>
        <v>0</v>
      </c>
      <c r="BN625" t="str">
        <f t="shared" si="189"/>
        <v>G623</v>
      </c>
    </row>
    <row r="626" spans="2:66" ht="12" customHeight="1">
      <c r="B626">
        <f>TBIDry!H698</f>
        <v>0</v>
      </c>
      <c r="C626">
        <f>TBIDry!I698</f>
        <v>0</v>
      </c>
      <c r="D626" t="b">
        <f t="shared" si="185"/>
        <v>1</v>
      </c>
      <c r="E626" t="b">
        <f t="shared" si="186"/>
        <v>1</v>
      </c>
      <c r="AA626" t="str">
        <f>'Green_rooibos initial weight'!A627</f>
        <v>G623</v>
      </c>
      <c r="AB626" t="str">
        <f>'Green_rooibos initial weight'!A1531</f>
        <v>R622</v>
      </c>
      <c r="AC626" t="b">
        <f t="shared" si="187"/>
        <v>0</v>
      </c>
      <c r="AD626" t="b">
        <f t="shared" si="188"/>
        <v>0</v>
      </c>
      <c r="BN626" t="str">
        <f t="shared" si="189"/>
        <v>G627</v>
      </c>
    </row>
    <row r="627" spans="2:66" ht="12" customHeight="1">
      <c r="B627">
        <f>TBIDry!H699</f>
        <v>0</v>
      </c>
      <c r="C627">
        <f>TBIDry!I699</f>
        <v>0</v>
      </c>
      <c r="D627" t="b">
        <f t="shared" si="185"/>
        <v>1</v>
      </c>
      <c r="E627" t="b">
        <f t="shared" si="186"/>
        <v>1</v>
      </c>
      <c r="AA627" t="str">
        <f>'Green_rooibos initial weight'!A628</f>
        <v>G624</v>
      </c>
      <c r="AB627" t="str">
        <f>'Green_rooibos initial weight'!A1532</f>
        <v>R623</v>
      </c>
      <c r="AC627" t="b">
        <f t="shared" si="187"/>
        <v>0</v>
      </c>
      <c r="AD627" t="b">
        <f t="shared" si="188"/>
        <v>0</v>
      </c>
      <c r="BN627" t="str">
        <f t="shared" si="189"/>
        <v>G628</v>
      </c>
    </row>
    <row r="628" spans="2:66" ht="12" customHeight="1">
      <c r="B628">
        <f>TBIDry!H700</f>
        <v>0</v>
      </c>
      <c r="C628">
        <f>TBIDry!I700</f>
        <v>0</v>
      </c>
      <c r="D628" t="b">
        <f t="shared" si="185"/>
        <v>1</v>
      </c>
      <c r="E628" t="b">
        <f t="shared" si="186"/>
        <v>1</v>
      </c>
      <c r="AA628" t="str">
        <f>'Green_rooibos initial weight'!A629</f>
        <v>G625</v>
      </c>
      <c r="AB628" t="str">
        <f>'Green_rooibos initial weight'!A1533</f>
        <v>R624</v>
      </c>
      <c r="AC628" t="b">
        <f t="shared" si="187"/>
        <v>0</v>
      </c>
      <c r="AD628" t="b">
        <f t="shared" si="188"/>
        <v>0</v>
      </c>
      <c r="BN628" t="str">
        <f t="shared" si="189"/>
        <v>G632</v>
      </c>
    </row>
    <row r="629" spans="2:66" ht="12" customHeight="1">
      <c r="B629">
        <f>TBIDry!H701</f>
        <v>0</v>
      </c>
      <c r="C629">
        <f>TBIDry!I701</f>
        <v>0</v>
      </c>
      <c r="D629" t="b">
        <f t="shared" si="185"/>
        <v>1</v>
      </c>
      <c r="E629" t="b">
        <f t="shared" si="186"/>
        <v>1</v>
      </c>
      <c r="AA629" t="str">
        <f>'Green_rooibos initial weight'!A630</f>
        <v>G626</v>
      </c>
      <c r="AB629" t="str">
        <f>'Green_rooibos initial weight'!A1534</f>
        <v>R625</v>
      </c>
      <c r="AC629" t="b">
        <f t="shared" si="187"/>
        <v>0</v>
      </c>
      <c r="AD629" t="b">
        <f t="shared" si="188"/>
        <v>0</v>
      </c>
      <c r="BN629" t="str">
        <f t="shared" si="189"/>
        <v>G633</v>
      </c>
    </row>
    <row r="630" spans="2:66" ht="12" customHeight="1">
      <c r="B630">
        <f>TBIDry!H702</f>
        <v>0</v>
      </c>
      <c r="C630">
        <f>TBIDry!I702</f>
        <v>0</v>
      </c>
      <c r="D630" t="b">
        <f t="shared" si="185"/>
        <v>1</v>
      </c>
      <c r="E630" t="b">
        <f t="shared" si="186"/>
        <v>1</v>
      </c>
      <c r="AA630" t="str">
        <f>'Green_rooibos initial weight'!A631</f>
        <v>G627</v>
      </c>
      <c r="AB630" t="str">
        <f>'Green_rooibos initial weight'!A1535</f>
        <v>R626</v>
      </c>
      <c r="AC630" t="b">
        <f t="shared" si="187"/>
        <v>0</v>
      </c>
      <c r="AD630" t="b">
        <f t="shared" si="188"/>
        <v>0</v>
      </c>
      <c r="BN630" t="str">
        <f t="shared" si="189"/>
        <v>G634</v>
      </c>
    </row>
    <row r="631" spans="2:66" ht="12" customHeight="1">
      <c r="B631">
        <f>TBIDry!H703</f>
        <v>0</v>
      </c>
      <c r="C631">
        <f>TBIDry!I703</f>
        <v>0</v>
      </c>
      <c r="D631" t="b">
        <f t="shared" si="185"/>
        <v>1</v>
      </c>
      <c r="E631" t="b">
        <f t="shared" si="186"/>
        <v>1</v>
      </c>
      <c r="AA631" t="str">
        <f>'Green_rooibos initial weight'!A632</f>
        <v>G628</v>
      </c>
      <c r="AB631" t="str">
        <f>'Green_rooibos initial weight'!A1536</f>
        <v>R627</v>
      </c>
      <c r="AC631" t="b">
        <f t="shared" si="187"/>
        <v>0</v>
      </c>
      <c r="AD631" t="b">
        <f t="shared" si="188"/>
        <v>0</v>
      </c>
      <c r="BN631" t="str">
        <f t="shared" si="189"/>
        <v>G636</v>
      </c>
    </row>
    <row r="632" spans="2:66" ht="12" customHeight="1">
      <c r="B632">
        <f>TBIDry!H704</f>
        <v>0</v>
      </c>
      <c r="C632">
        <f>TBIDry!I704</f>
        <v>0</v>
      </c>
      <c r="D632" t="b">
        <f t="shared" si="185"/>
        <v>1</v>
      </c>
      <c r="E632" t="b">
        <f t="shared" si="186"/>
        <v>1</v>
      </c>
      <c r="AA632" t="str">
        <f>'Green_rooibos initial weight'!A633</f>
        <v>G629</v>
      </c>
      <c r="AB632" t="str">
        <f>'Green_rooibos initial weight'!A1537</f>
        <v>R628</v>
      </c>
      <c r="AC632" t="b">
        <f t="shared" si="187"/>
        <v>0</v>
      </c>
      <c r="AD632" t="b">
        <f t="shared" si="188"/>
        <v>0</v>
      </c>
      <c r="BN632" t="str">
        <f t="shared" si="189"/>
        <v>G637</v>
      </c>
    </row>
    <row r="633" spans="2:66" ht="12" customHeight="1">
      <c r="B633">
        <f>TBIDry!H705</f>
        <v>0</v>
      </c>
      <c r="C633">
        <f>TBIDry!I705</f>
        <v>0</v>
      </c>
      <c r="D633" t="b">
        <f t="shared" si="185"/>
        <v>1</v>
      </c>
      <c r="E633" t="b">
        <f t="shared" si="186"/>
        <v>1</v>
      </c>
      <c r="AA633" t="str">
        <f>'Green_rooibos initial weight'!A634</f>
        <v>G630</v>
      </c>
      <c r="AB633" t="str">
        <f>'Green_rooibos initial weight'!A1538</f>
        <v>R629</v>
      </c>
      <c r="AC633" t="b">
        <f t="shared" si="187"/>
        <v>0</v>
      </c>
      <c r="AD633" t="b">
        <f t="shared" si="188"/>
        <v>0</v>
      </c>
      <c r="BN633" t="str">
        <f t="shared" si="189"/>
        <v>G638</v>
      </c>
    </row>
    <row r="634" spans="2:66" ht="12" customHeight="1">
      <c r="B634">
        <f>TBIDry!H706</f>
        <v>0</v>
      </c>
      <c r="C634">
        <f>TBIDry!I706</f>
        <v>0</v>
      </c>
      <c r="D634" t="b">
        <f t="shared" si="185"/>
        <v>1</v>
      </c>
      <c r="E634" t="b">
        <f t="shared" si="186"/>
        <v>1</v>
      </c>
      <c r="AA634" t="str">
        <f>'Green_rooibos initial weight'!A635</f>
        <v>G631</v>
      </c>
      <c r="AB634" t="str">
        <f>'Green_rooibos initial weight'!A1539</f>
        <v>R630</v>
      </c>
      <c r="AC634" t="b">
        <f t="shared" si="187"/>
        <v>0</v>
      </c>
      <c r="AD634" t="b">
        <f t="shared" si="188"/>
        <v>0</v>
      </c>
      <c r="BN634" t="str">
        <f t="shared" si="189"/>
        <v>G639</v>
      </c>
    </row>
    <row r="635" spans="2:66" ht="12" customHeight="1">
      <c r="B635">
        <f>TBIDry!H707</f>
        <v>0</v>
      </c>
      <c r="C635">
        <f>TBIDry!I707</f>
        <v>0</v>
      </c>
      <c r="D635" t="b">
        <f t="shared" si="185"/>
        <v>1</v>
      </c>
      <c r="E635" t="b">
        <f t="shared" si="186"/>
        <v>1</v>
      </c>
      <c r="AA635" t="str">
        <f>'Green_rooibos initial weight'!A636</f>
        <v>G632</v>
      </c>
      <c r="AB635" t="str">
        <f>'Green_rooibos initial weight'!A1540</f>
        <v>R631</v>
      </c>
      <c r="AC635" t="b">
        <f t="shared" si="187"/>
        <v>0</v>
      </c>
      <c r="AD635" t="b">
        <f t="shared" si="188"/>
        <v>0</v>
      </c>
      <c r="BN635" t="str">
        <f t="shared" si="189"/>
        <v>G640</v>
      </c>
    </row>
    <row r="636" spans="2:66" ht="12" customHeight="1">
      <c r="B636">
        <f>TBIDry!H708</f>
        <v>0</v>
      </c>
      <c r="C636">
        <f>TBIDry!I708</f>
        <v>0</v>
      </c>
      <c r="D636" t="b">
        <f t="shared" si="185"/>
        <v>1</v>
      </c>
      <c r="E636" t="b">
        <f t="shared" si="186"/>
        <v>1</v>
      </c>
      <c r="AA636" t="str">
        <f>'Green_rooibos initial weight'!A637</f>
        <v>G633</v>
      </c>
      <c r="AB636" t="str">
        <f>'Green_rooibos initial weight'!A1541</f>
        <v>R632</v>
      </c>
      <c r="AC636" t="b">
        <f t="shared" si="187"/>
        <v>0</v>
      </c>
      <c r="AD636" t="b">
        <f t="shared" si="188"/>
        <v>0</v>
      </c>
      <c r="BN636" t="str">
        <f t="shared" si="189"/>
        <v>G641</v>
      </c>
    </row>
    <row r="637" spans="2:66" ht="12" customHeight="1">
      <c r="B637">
        <f>TBIDry!H709</f>
        <v>0</v>
      </c>
      <c r="C637">
        <f>TBIDry!I709</f>
        <v>0</v>
      </c>
      <c r="D637" t="b">
        <f t="shared" si="185"/>
        <v>1</v>
      </c>
      <c r="E637" t="b">
        <f t="shared" si="186"/>
        <v>1</v>
      </c>
      <c r="AA637" t="str">
        <f>'Green_rooibos initial weight'!A638</f>
        <v>G634</v>
      </c>
      <c r="AB637" t="str">
        <f>'Green_rooibos initial weight'!A1542</f>
        <v>R633</v>
      </c>
      <c r="AC637" t="b">
        <f t="shared" si="187"/>
        <v>0</v>
      </c>
      <c r="AD637" t="b">
        <f t="shared" si="188"/>
        <v>0</v>
      </c>
      <c r="BN637" t="str">
        <f t="shared" si="189"/>
        <v>G643</v>
      </c>
    </row>
    <row r="638" spans="2:66" ht="12" customHeight="1">
      <c r="B638">
        <f>TBIDry!H710</f>
        <v>0</v>
      </c>
      <c r="C638">
        <f>TBIDry!I710</f>
        <v>0</v>
      </c>
      <c r="D638" t="b">
        <f t="shared" si="185"/>
        <v>1</v>
      </c>
      <c r="E638" t="b">
        <f t="shared" si="186"/>
        <v>1</v>
      </c>
      <c r="AA638" t="str">
        <f>'Green_rooibos initial weight'!A639</f>
        <v>G635</v>
      </c>
      <c r="AB638" t="str">
        <f>'Green_rooibos initial weight'!A1543</f>
        <v>R634</v>
      </c>
      <c r="AC638" t="b">
        <f t="shared" si="187"/>
        <v>0</v>
      </c>
      <c r="AD638" t="b">
        <f t="shared" si="188"/>
        <v>0</v>
      </c>
      <c r="BN638" t="str">
        <f t="shared" si="189"/>
        <v>G644</v>
      </c>
    </row>
    <row r="639" spans="2:66" ht="12" customHeight="1">
      <c r="B639">
        <f>TBIDry!H711</f>
        <v>0</v>
      </c>
      <c r="C639">
        <f>TBIDry!I711</f>
        <v>0</v>
      </c>
      <c r="D639" t="b">
        <f t="shared" si="185"/>
        <v>1</v>
      </c>
      <c r="E639" t="b">
        <f t="shared" si="186"/>
        <v>1</v>
      </c>
      <c r="AA639" t="str">
        <f>'Green_rooibos initial weight'!A640</f>
        <v>G636</v>
      </c>
      <c r="AB639" t="str">
        <f>'Green_rooibos initial weight'!A1544</f>
        <v>R635</v>
      </c>
      <c r="AC639" t="b">
        <f t="shared" si="187"/>
        <v>0</v>
      </c>
      <c r="AD639" t="b">
        <f t="shared" si="188"/>
        <v>0</v>
      </c>
      <c r="BN639" t="str">
        <f t="shared" si="189"/>
        <v>G645</v>
      </c>
    </row>
    <row r="640" spans="2:66" ht="12" customHeight="1">
      <c r="B640">
        <f>TBIDry!H712</f>
        <v>0</v>
      </c>
      <c r="C640">
        <f>TBIDry!I712</f>
        <v>0</v>
      </c>
      <c r="D640" t="b">
        <f t="shared" si="185"/>
        <v>1</v>
      </c>
      <c r="E640" t="b">
        <f t="shared" si="186"/>
        <v>1</v>
      </c>
      <c r="AA640" t="str">
        <f>'Green_rooibos initial weight'!A641</f>
        <v>G637</v>
      </c>
      <c r="AB640" t="str">
        <f>'Green_rooibos initial weight'!A1545</f>
        <v>R636</v>
      </c>
      <c r="AC640" t="b">
        <f t="shared" si="187"/>
        <v>0</v>
      </c>
      <c r="AD640" t="b">
        <f t="shared" si="188"/>
        <v>0</v>
      </c>
      <c r="BN640" t="str">
        <f t="shared" si="189"/>
        <v>G647</v>
      </c>
    </row>
    <row r="641" spans="2:66" ht="12" customHeight="1">
      <c r="B641">
        <f>TBIDry!H713</f>
        <v>0</v>
      </c>
      <c r="C641">
        <f>TBIDry!I713</f>
        <v>0</v>
      </c>
      <c r="D641" t="b">
        <f t="shared" si="185"/>
        <v>1</v>
      </c>
      <c r="E641" t="b">
        <f t="shared" si="186"/>
        <v>1</v>
      </c>
      <c r="AA641" t="str">
        <f>'Green_rooibos initial weight'!A642</f>
        <v>G638</v>
      </c>
      <c r="AB641" t="str">
        <f>'Green_rooibos initial weight'!A1546</f>
        <v>R637</v>
      </c>
      <c r="AC641" t="b">
        <f t="shared" si="187"/>
        <v>0</v>
      </c>
      <c r="AD641" t="b">
        <f t="shared" si="188"/>
        <v>0</v>
      </c>
      <c r="BN641" t="str">
        <f t="shared" si="189"/>
        <v>G648</v>
      </c>
    </row>
    <row r="642" spans="2:66" ht="12" customHeight="1">
      <c r="B642">
        <f>TBIDry!H714</f>
        <v>0</v>
      </c>
      <c r="C642">
        <f>TBIDry!I714</f>
        <v>0</v>
      </c>
      <c r="D642" t="b">
        <f t="shared" si="185"/>
        <v>1</v>
      </c>
      <c r="E642" t="b">
        <f t="shared" si="186"/>
        <v>1</v>
      </c>
      <c r="AA642" t="str">
        <f>'Green_rooibos initial weight'!A643</f>
        <v>G639</v>
      </c>
      <c r="AB642" t="str">
        <f>'Green_rooibos initial weight'!A1547</f>
        <v>R638</v>
      </c>
      <c r="AC642" t="b">
        <f t="shared" si="187"/>
        <v>0</v>
      </c>
      <c r="AD642" t="b">
        <f t="shared" si="188"/>
        <v>0</v>
      </c>
      <c r="BN642" t="str">
        <f t="shared" si="189"/>
        <v>G649</v>
      </c>
    </row>
    <row r="643" spans="2:66" ht="12" customHeight="1">
      <c r="B643">
        <f>TBIDry!H715</f>
        <v>0</v>
      </c>
      <c r="C643">
        <f>TBIDry!I715</f>
        <v>0</v>
      </c>
      <c r="D643" t="b">
        <f t="shared" si="185"/>
        <v>1</v>
      </c>
      <c r="E643" t="b">
        <f t="shared" si="186"/>
        <v>1</v>
      </c>
      <c r="AA643" t="str">
        <f>'Green_rooibos initial weight'!A644</f>
        <v>G640</v>
      </c>
      <c r="AB643" t="str">
        <f>'Green_rooibos initial weight'!A1548</f>
        <v>R639</v>
      </c>
      <c r="AC643" t="b">
        <f t="shared" si="187"/>
        <v>0</v>
      </c>
      <c r="AD643" t="b">
        <f t="shared" si="188"/>
        <v>0</v>
      </c>
      <c r="BN643" t="str">
        <f t="shared" si="189"/>
        <v>G651</v>
      </c>
    </row>
    <row r="644" spans="2:66" ht="12" customHeight="1">
      <c r="B644">
        <f>TBIDry!H716</f>
        <v>0</v>
      </c>
      <c r="C644">
        <f>TBIDry!I716</f>
        <v>0</v>
      </c>
      <c r="D644" t="b">
        <f t="shared" si="185"/>
        <v>1</v>
      </c>
      <c r="E644" t="b">
        <f t="shared" si="186"/>
        <v>1</v>
      </c>
      <c r="AA644" t="str">
        <f>'Green_rooibos initial weight'!A645</f>
        <v>G641</v>
      </c>
      <c r="AB644" t="str">
        <f>'Green_rooibos initial weight'!A1549</f>
        <v>R640</v>
      </c>
      <c r="AC644" t="b">
        <f t="shared" si="187"/>
        <v>0</v>
      </c>
      <c r="AD644" t="b">
        <f t="shared" si="188"/>
        <v>0</v>
      </c>
      <c r="BN644" t="str">
        <f t="shared" si="189"/>
        <v>G653</v>
      </c>
    </row>
    <row r="645" spans="2:66" ht="12" customHeight="1">
      <c r="B645">
        <f>TBIDry!H717</f>
        <v>0</v>
      </c>
      <c r="C645">
        <f>TBIDry!I717</f>
        <v>0</v>
      </c>
      <c r="D645" t="b">
        <f t="shared" ref="D645:D662" si="190">COUNTIF($B$4:$B$2000, B645)&gt;1</f>
        <v>1</v>
      </c>
      <c r="E645" t="b">
        <f t="shared" ref="E645:E662" si="191">COUNTIF($C$4:$C$2000, C645)&gt;1</f>
        <v>1</v>
      </c>
      <c r="AA645" t="str">
        <f>'Green_rooibos initial weight'!A646</f>
        <v>G642</v>
      </c>
      <c r="AB645" t="str">
        <f>'Green_rooibos initial weight'!A1550</f>
        <v>R641</v>
      </c>
      <c r="AC645" t="b">
        <f t="shared" ref="AC645:AC708" si="192">COUNTIF($AA$4:$AA$2000, AA645)&gt;1</f>
        <v>0</v>
      </c>
      <c r="AD645" t="b">
        <f t="shared" ref="AD645:AD708" si="193">COUNTIF($AB$4:$AB$2000, AB645)&gt;1</f>
        <v>0</v>
      </c>
      <c r="BN645" t="str">
        <f t="shared" si="189"/>
        <v>G654</v>
      </c>
    </row>
    <row r="646" spans="2:66" ht="12" customHeight="1">
      <c r="B646">
        <f>TBIDry!H718</f>
        <v>0</v>
      </c>
      <c r="C646">
        <f>TBIDry!I718</f>
        <v>0</v>
      </c>
      <c r="D646" t="b">
        <f t="shared" si="190"/>
        <v>1</v>
      </c>
      <c r="E646" t="b">
        <f t="shared" si="191"/>
        <v>1</v>
      </c>
      <c r="AA646" t="str">
        <f>'Green_rooibos initial weight'!A647</f>
        <v>G643</v>
      </c>
      <c r="AB646" t="str">
        <f>'Green_rooibos initial weight'!A1551</f>
        <v>R642</v>
      </c>
      <c r="AC646" t="b">
        <f t="shared" si="192"/>
        <v>0</v>
      </c>
      <c r="AD646" t="b">
        <f t="shared" si="193"/>
        <v>0</v>
      </c>
      <c r="BN646" t="str">
        <f t="shared" si="189"/>
        <v>G655</v>
      </c>
    </row>
    <row r="647" spans="2:66" ht="12" customHeight="1">
      <c r="B647">
        <f>TBIDry!H719</f>
        <v>0</v>
      </c>
      <c r="C647">
        <f>TBIDry!I719</f>
        <v>0</v>
      </c>
      <c r="D647" t="b">
        <f t="shared" si="190"/>
        <v>1</v>
      </c>
      <c r="E647" t="b">
        <f t="shared" si="191"/>
        <v>1</v>
      </c>
      <c r="AA647" t="str">
        <f>'Green_rooibos initial weight'!A648</f>
        <v>G644</v>
      </c>
      <c r="AB647" t="str">
        <f>'Green_rooibos initial weight'!A1552</f>
        <v>R643</v>
      </c>
      <c r="AC647" t="b">
        <f t="shared" si="192"/>
        <v>0</v>
      </c>
      <c r="AD647" t="b">
        <f t="shared" si="193"/>
        <v>0</v>
      </c>
      <c r="BN647" t="str">
        <f t="shared" si="189"/>
        <v>G656</v>
      </c>
    </row>
    <row r="648" spans="2:66" ht="12" customHeight="1">
      <c r="B648">
        <f>TBIDry!H720</f>
        <v>0</v>
      </c>
      <c r="C648">
        <f>TBIDry!I720</f>
        <v>0</v>
      </c>
      <c r="D648" t="b">
        <f t="shared" si="190"/>
        <v>1</v>
      </c>
      <c r="E648" t="b">
        <f t="shared" si="191"/>
        <v>1</v>
      </c>
      <c r="AA648" t="str">
        <f>'Green_rooibos initial weight'!A649</f>
        <v>G645</v>
      </c>
      <c r="AB648" t="str">
        <f>'Green_rooibos initial weight'!A1553</f>
        <v>R644</v>
      </c>
      <c r="AC648" t="b">
        <f t="shared" si="192"/>
        <v>0</v>
      </c>
      <c r="AD648" t="b">
        <f t="shared" si="193"/>
        <v>0</v>
      </c>
      <c r="BN648" t="str">
        <f t="shared" si="189"/>
        <v>G657</v>
      </c>
    </row>
    <row r="649" spans="2:66" ht="12" customHeight="1">
      <c r="B649">
        <f>TBIDry!H721</f>
        <v>0</v>
      </c>
      <c r="C649">
        <f>TBIDry!I721</f>
        <v>0</v>
      </c>
      <c r="D649" t="b">
        <f t="shared" si="190"/>
        <v>1</v>
      </c>
      <c r="E649" t="b">
        <f t="shared" si="191"/>
        <v>1</v>
      </c>
      <c r="AA649" t="str">
        <f>'Green_rooibos initial weight'!A650</f>
        <v>G646</v>
      </c>
      <c r="AB649" t="str">
        <f>'Green_rooibos initial weight'!A1554</f>
        <v>R645</v>
      </c>
      <c r="AC649" t="b">
        <f t="shared" si="192"/>
        <v>0</v>
      </c>
      <c r="AD649" t="b">
        <f t="shared" si="193"/>
        <v>0</v>
      </c>
      <c r="BN649" t="str">
        <f t="shared" si="189"/>
        <v>G658</v>
      </c>
    </row>
    <row r="650" spans="2:66" ht="12" customHeight="1">
      <c r="B650">
        <f>TBIDry!H722</f>
        <v>0</v>
      </c>
      <c r="C650">
        <f>TBIDry!I722</f>
        <v>0</v>
      </c>
      <c r="D650" t="b">
        <f t="shared" si="190"/>
        <v>1</v>
      </c>
      <c r="E650" t="b">
        <f t="shared" si="191"/>
        <v>1</v>
      </c>
      <c r="AA650" t="str">
        <f>'Green_rooibos initial weight'!A651</f>
        <v>G647</v>
      </c>
      <c r="AB650" t="str">
        <f>'Green_rooibos initial weight'!A1555</f>
        <v>R646</v>
      </c>
      <c r="AC650" t="b">
        <f t="shared" si="192"/>
        <v>0</v>
      </c>
      <c r="AD650" t="b">
        <f t="shared" si="193"/>
        <v>0</v>
      </c>
      <c r="BN650" t="str">
        <f t="shared" si="189"/>
        <v>G660</v>
      </c>
    </row>
    <row r="651" spans="2:66" ht="12" customHeight="1">
      <c r="B651">
        <f>TBIDry!H723</f>
        <v>0</v>
      </c>
      <c r="C651">
        <f>TBIDry!I723</f>
        <v>0</v>
      </c>
      <c r="D651" t="b">
        <f t="shared" si="190"/>
        <v>1</v>
      </c>
      <c r="E651" t="b">
        <f t="shared" si="191"/>
        <v>1</v>
      </c>
      <c r="AA651" t="str">
        <f>'Green_rooibos initial weight'!A652</f>
        <v>G648</v>
      </c>
      <c r="AB651" t="str">
        <f>'Green_rooibos initial weight'!A1556</f>
        <v>R647</v>
      </c>
      <c r="AC651" t="b">
        <f t="shared" si="192"/>
        <v>0</v>
      </c>
      <c r="AD651" t="b">
        <f t="shared" si="193"/>
        <v>0</v>
      </c>
      <c r="BN651" t="str">
        <f t="shared" si="189"/>
        <v>G665</v>
      </c>
    </row>
    <row r="652" spans="2:66" ht="12" customHeight="1">
      <c r="B652">
        <f>TBIDry!H724</f>
        <v>0</v>
      </c>
      <c r="C652">
        <f>TBIDry!I724</f>
        <v>0</v>
      </c>
      <c r="D652" t="b">
        <f t="shared" si="190"/>
        <v>1</v>
      </c>
      <c r="E652" t="b">
        <f t="shared" si="191"/>
        <v>1</v>
      </c>
      <c r="AA652" t="str">
        <f>'Green_rooibos initial weight'!A653</f>
        <v>G649</v>
      </c>
      <c r="AB652" t="str">
        <f>'Green_rooibos initial weight'!A1557</f>
        <v>R648</v>
      </c>
      <c r="AC652" t="b">
        <f t="shared" si="192"/>
        <v>0</v>
      </c>
      <c r="AD652" t="b">
        <f t="shared" si="193"/>
        <v>0</v>
      </c>
      <c r="BN652" t="str">
        <f t="shared" si="189"/>
        <v>G666</v>
      </c>
    </row>
    <row r="653" spans="2:66" ht="12" customHeight="1">
      <c r="B653">
        <f>TBIDry!H725</f>
        <v>0</v>
      </c>
      <c r="C653">
        <f>TBIDry!I725</f>
        <v>0</v>
      </c>
      <c r="D653" t="b">
        <f t="shared" si="190"/>
        <v>1</v>
      </c>
      <c r="E653" t="b">
        <f t="shared" si="191"/>
        <v>1</v>
      </c>
      <c r="AA653" t="str">
        <f>'Green_rooibos initial weight'!A654</f>
        <v>G650</v>
      </c>
      <c r="AB653" t="str">
        <f>'Green_rooibos initial weight'!A1558</f>
        <v>R649</v>
      </c>
      <c r="AC653" t="b">
        <f t="shared" si="192"/>
        <v>0</v>
      </c>
      <c r="AD653" t="b">
        <f t="shared" si="193"/>
        <v>0</v>
      </c>
      <c r="BN653" t="str">
        <f t="shared" si="189"/>
        <v>G667</v>
      </c>
    </row>
    <row r="654" spans="2:66" ht="12" customHeight="1">
      <c r="B654">
        <f>TBIDry!H726</f>
        <v>0</v>
      </c>
      <c r="C654">
        <f>TBIDry!I726</f>
        <v>0</v>
      </c>
      <c r="D654" t="b">
        <f t="shared" si="190"/>
        <v>1</v>
      </c>
      <c r="E654" t="b">
        <f t="shared" si="191"/>
        <v>1</v>
      </c>
      <c r="AA654" t="str">
        <f>'Green_rooibos initial weight'!A655</f>
        <v>G651</v>
      </c>
      <c r="AB654" t="str">
        <f>'Green_rooibos initial weight'!A1559</f>
        <v>R650</v>
      </c>
      <c r="AC654" t="b">
        <f t="shared" si="192"/>
        <v>0</v>
      </c>
      <c r="AD654" t="b">
        <f t="shared" si="193"/>
        <v>0</v>
      </c>
      <c r="BN654" t="str">
        <f t="shared" si="189"/>
        <v>G668</v>
      </c>
    </row>
    <row r="655" spans="2:66" ht="12" customHeight="1">
      <c r="B655">
        <f>TBIDry!H727</f>
        <v>0</v>
      </c>
      <c r="C655">
        <f>TBIDry!I727</f>
        <v>0</v>
      </c>
      <c r="D655" t="b">
        <f t="shared" si="190"/>
        <v>1</v>
      </c>
      <c r="E655" t="b">
        <f t="shared" si="191"/>
        <v>1</v>
      </c>
      <c r="AA655" t="str">
        <f>'Green_rooibos initial weight'!A656</f>
        <v>G652</v>
      </c>
      <c r="AB655" t="str">
        <f>'Green_rooibos initial weight'!A1560</f>
        <v>R651</v>
      </c>
      <c r="AC655" t="b">
        <f t="shared" si="192"/>
        <v>0</v>
      </c>
      <c r="AD655" t="b">
        <f t="shared" si="193"/>
        <v>0</v>
      </c>
      <c r="BN655" t="str">
        <f t="shared" si="189"/>
        <v>G669</v>
      </c>
    </row>
    <row r="656" spans="2:66" ht="12" customHeight="1">
      <c r="B656">
        <f>TBIDry!H728</f>
        <v>0</v>
      </c>
      <c r="C656">
        <f>TBIDry!I728</f>
        <v>0</v>
      </c>
      <c r="D656" t="b">
        <f t="shared" si="190"/>
        <v>1</v>
      </c>
      <c r="E656" t="b">
        <f t="shared" si="191"/>
        <v>1</v>
      </c>
      <c r="AA656" t="str">
        <f>'Green_rooibos initial weight'!A657</f>
        <v>G653</v>
      </c>
      <c r="AB656" t="str">
        <f>'Green_rooibos initial weight'!A1561</f>
        <v>R652</v>
      </c>
      <c r="AC656" t="b">
        <f t="shared" si="192"/>
        <v>0</v>
      </c>
      <c r="AD656" t="b">
        <f t="shared" si="193"/>
        <v>0</v>
      </c>
      <c r="BN656" t="str">
        <f t="shared" si="189"/>
        <v>G670</v>
      </c>
    </row>
    <row r="657" spans="2:66" ht="12" customHeight="1">
      <c r="B657">
        <f>TBIDry!H729</f>
        <v>0</v>
      </c>
      <c r="C657">
        <f>TBIDry!I729</f>
        <v>0</v>
      </c>
      <c r="D657" t="b">
        <f t="shared" si="190"/>
        <v>1</v>
      </c>
      <c r="E657" t="b">
        <f t="shared" si="191"/>
        <v>1</v>
      </c>
      <c r="AA657" t="str">
        <f>'Green_rooibos initial weight'!A658</f>
        <v>G654</v>
      </c>
      <c r="AB657" t="str">
        <f>'Green_rooibos initial weight'!A1562</f>
        <v>R653</v>
      </c>
      <c r="AC657" t="b">
        <f t="shared" si="192"/>
        <v>0</v>
      </c>
      <c r="AD657" t="b">
        <f t="shared" si="193"/>
        <v>0</v>
      </c>
      <c r="BN657" t="str">
        <f t="shared" si="189"/>
        <v>G673</v>
      </c>
    </row>
    <row r="658" spans="2:66" ht="12" customHeight="1">
      <c r="B658">
        <f>TBIDry!H730</f>
        <v>0</v>
      </c>
      <c r="C658">
        <f>TBIDry!I730</f>
        <v>0</v>
      </c>
      <c r="D658" t="b">
        <f t="shared" si="190"/>
        <v>1</v>
      </c>
      <c r="E658" t="b">
        <f t="shared" si="191"/>
        <v>1</v>
      </c>
      <c r="AA658" t="str">
        <f>'Green_rooibos initial weight'!A659</f>
        <v>G655</v>
      </c>
      <c r="AB658" t="str">
        <f>'Green_rooibos initial weight'!A1563</f>
        <v>R654</v>
      </c>
      <c r="AC658" t="b">
        <f t="shared" si="192"/>
        <v>0</v>
      </c>
      <c r="AD658" t="b">
        <f t="shared" si="193"/>
        <v>0</v>
      </c>
      <c r="BN658" t="str">
        <f t="shared" si="189"/>
        <v>G674</v>
      </c>
    </row>
    <row r="659" spans="2:66" ht="12" customHeight="1">
      <c r="B659">
        <f>TBIDry!H731</f>
        <v>0</v>
      </c>
      <c r="C659">
        <f>TBIDry!I731</f>
        <v>0</v>
      </c>
      <c r="D659" t="b">
        <f t="shared" si="190"/>
        <v>1</v>
      </c>
      <c r="E659" t="b">
        <f t="shared" si="191"/>
        <v>1</v>
      </c>
      <c r="AA659" t="str">
        <f>'Green_rooibos initial weight'!A660</f>
        <v>G656</v>
      </c>
      <c r="AB659" t="str">
        <f>'Green_rooibos initial weight'!A1564</f>
        <v>R655</v>
      </c>
      <c r="AC659" t="b">
        <f t="shared" si="192"/>
        <v>0</v>
      </c>
      <c r="AD659" t="b">
        <f t="shared" si="193"/>
        <v>0</v>
      </c>
      <c r="BN659" t="str">
        <f t="shared" si="189"/>
        <v>G675</v>
      </c>
    </row>
    <row r="660" spans="2:66" ht="12" customHeight="1">
      <c r="B660">
        <f>TBIDry!H732</f>
        <v>0</v>
      </c>
      <c r="C660">
        <f>TBIDry!I732</f>
        <v>0</v>
      </c>
      <c r="D660" t="b">
        <f t="shared" si="190"/>
        <v>1</v>
      </c>
      <c r="E660" t="b">
        <f t="shared" si="191"/>
        <v>1</v>
      </c>
      <c r="AA660" t="str">
        <f>'Green_rooibos initial weight'!A661</f>
        <v>G657</v>
      </c>
      <c r="AB660" t="str">
        <f>'Green_rooibos initial weight'!A1565</f>
        <v>R656</v>
      </c>
      <c r="AC660" t="b">
        <f t="shared" si="192"/>
        <v>0</v>
      </c>
      <c r="AD660" t="b">
        <f t="shared" si="193"/>
        <v>0</v>
      </c>
      <c r="BN660" t="str">
        <f t="shared" si="189"/>
        <v>G676</v>
      </c>
    </row>
    <row r="661" spans="2:66" ht="12" customHeight="1">
      <c r="B661">
        <f>TBIDry!H733</f>
        <v>0</v>
      </c>
      <c r="C661">
        <f>TBIDry!I733</f>
        <v>0</v>
      </c>
      <c r="D661" t="b">
        <f t="shared" si="190"/>
        <v>1</v>
      </c>
      <c r="E661" t="b">
        <f t="shared" si="191"/>
        <v>1</v>
      </c>
      <c r="AA661" t="str">
        <f>'Green_rooibos initial weight'!A662</f>
        <v>G658</v>
      </c>
      <c r="AB661" t="str">
        <f>'Green_rooibos initial weight'!A1566</f>
        <v>R657</v>
      </c>
      <c r="AC661" t="b">
        <f t="shared" si="192"/>
        <v>0</v>
      </c>
      <c r="AD661" t="b">
        <f t="shared" si="193"/>
        <v>0</v>
      </c>
      <c r="BN661" t="str">
        <f t="shared" si="189"/>
        <v>G677</v>
      </c>
    </row>
    <row r="662" spans="2:66" ht="12" customHeight="1">
      <c r="B662">
        <f>TBIDry!H734</f>
        <v>0</v>
      </c>
      <c r="C662">
        <f>TBIDry!I734</f>
        <v>0</v>
      </c>
      <c r="D662" t="b">
        <f t="shared" si="190"/>
        <v>1</v>
      </c>
      <c r="E662" t="b">
        <f t="shared" si="191"/>
        <v>1</v>
      </c>
      <c r="AA662" t="str">
        <f>'Green_rooibos initial weight'!A663</f>
        <v>G659</v>
      </c>
      <c r="AB662" t="str">
        <f>'Green_rooibos initial weight'!A1567</f>
        <v>R658</v>
      </c>
      <c r="AC662" t="b">
        <f t="shared" si="192"/>
        <v>0</v>
      </c>
      <c r="AD662" t="b">
        <f t="shared" si="193"/>
        <v>0</v>
      </c>
      <c r="BN662" t="str">
        <f t="shared" si="189"/>
        <v>G678</v>
      </c>
    </row>
    <row r="663" spans="2:66" ht="12" customHeight="1">
      <c r="AA663" t="str">
        <f>'Green_rooibos initial weight'!A664</f>
        <v>G660</v>
      </c>
      <c r="AB663" t="str">
        <f>'Green_rooibos initial weight'!A1568</f>
        <v>R659</v>
      </c>
      <c r="AC663" t="b">
        <f t="shared" si="192"/>
        <v>0</v>
      </c>
      <c r="AD663" t="b">
        <f t="shared" si="193"/>
        <v>0</v>
      </c>
      <c r="BN663" t="str">
        <f t="shared" si="189"/>
        <v>G679</v>
      </c>
    </row>
    <row r="664" spans="2:66" ht="12" customHeight="1">
      <c r="AA664" t="str">
        <f>'Green_rooibos initial weight'!A665</f>
        <v>G661</v>
      </c>
      <c r="AB664" t="str">
        <f>'Green_rooibos initial weight'!A1569</f>
        <v>R660</v>
      </c>
      <c r="AC664" t="b">
        <f t="shared" si="192"/>
        <v>0</v>
      </c>
      <c r="AD664" t="b">
        <f t="shared" si="193"/>
        <v>0</v>
      </c>
      <c r="BN664" t="str">
        <f t="shared" si="189"/>
        <v>G680</v>
      </c>
    </row>
    <row r="665" spans="2:66" ht="12" customHeight="1">
      <c r="AA665" t="str">
        <f>'Green_rooibos initial weight'!A666</f>
        <v>G662</v>
      </c>
      <c r="AB665" t="str">
        <f>'Green_rooibos initial weight'!A1570</f>
        <v>R661</v>
      </c>
      <c r="AC665" t="b">
        <f t="shared" si="192"/>
        <v>0</v>
      </c>
      <c r="AD665" t="b">
        <f t="shared" si="193"/>
        <v>0</v>
      </c>
      <c r="BN665" t="str">
        <f t="shared" si="189"/>
        <v>G681</v>
      </c>
    </row>
    <row r="666" spans="2:66" ht="12" customHeight="1">
      <c r="AA666" t="str">
        <f>'Green_rooibos initial weight'!A667</f>
        <v>G663</v>
      </c>
      <c r="AB666" t="str">
        <f>'Green_rooibos initial weight'!A1571</f>
        <v>R662</v>
      </c>
      <c r="AC666" t="b">
        <f t="shared" si="192"/>
        <v>0</v>
      </c>
      <c r="AD666" t="b">
        <f t="shared" si="193"/>
        <v>0</v>
      </c>
      <c r="BN666" t="str">
        <f t="shared" si="189"/>
        <v>G682</v>
      </c>
    </row>
    <row r="667" spans="2:66" ht="12" customHeight="1">
      <c r="AA667" t="str">
        <f>'Green_rooibos initial weight'!A668</f>
        <v>G664</v>
      </c>
      <c r="AB667" t="str">
        <f>'Green_rooibos initial weight'!A1572</f>
        <v>R663</v>
      </c>
      <c r="AC667" t="b">
        <f t="shared" si="192"/>
        <v>0</v>
      </c>
      <c r="AD667" t="b">
        <f t="shared" si="193"/>
        <v>0</v>
      </c>
      <c r="BN667" t="str">
        <f t="shared" si="189"/>
        <v>G684</v>
      </c>
    </row>
    <row r="668" spans="2:66" ht="12" customHeight="1">
      <c r="AA668" t="str">
        <f>'Green_rooibos initial weight'!A669</f>
        <v>G665</v>
      </c>
      <c r="AB668" t="str">
        <f>'Green_rooibos initial weight'!A1573</f>
        <v>R664</v>
      </c>
      <c r="AC668" t="b">
        <f t="shared" si="192"/>
        <v>0</v>
      </c>
      <c r="AD668" t="b">
        <f t="shared" si="193"/>
        <v>0</v>
      </c>
      <c r="BN668" t="str">
        <f t="shared" si="189"/>
        <v>G685</v>
      </c>
    </row>
    <row r="669" spans="2:66" ht="12" customHeight="1">
      <c r="AA669" t="str">
        <f>'Green_rooibos initial weight'!A670</f>
        <v>G666</v>
      </c>
      <c r="AB669" t="str">
        <f>'Green_rooibos initial weight'!A1574</f>
        <v>R665</v>
      </c>
      <c r="AC669" t="b">
        <f t="shared" si="192"/>
        <v>0</v>
      </c>
      <c r="AD669" t="b">
        <f t="shared" si="193"/>
        <v>0</v>
      </c>
      <c r="BN669" t="str">
        <f t="shared" si="189"/>
        <v>G686</v>
      </c>
    </row>
    <row r="670" spans="2:66" ht="12" customHeight="1">
      <c r="AA670" t="str">
        <f>'Green_rooibos initial weight'!A671</f>
        <v>G667</v>
      </c>
      <c r="AB670" t="str">
        <f>'Green_rooibos initial weight'!A1575</f>
        <v>R666</v>
      </c>
      <c r="AC670" t="b">
        <f t="shared" si="192"/>
        <v>0</v>
      </c>
      <c r="AD670" t="b">
        <f t="shared" si="193"/>
        <v>0</v>
      </c>
      <c r="BN670" t="str">
        <f t="shared" si="189"/>
        <v>G687</v>
      </c>
    </row>
    <row r="671" spans="2:66" ht="12" customHeight="1">
      <c r="AA671" t="str">
        <f>'Green_rooibos initial weight'!A672</f>
        <v>G668</v>
      </c>
      <c r="AB671" t="str">
        <f>'Green_rooibos initial weight'!A1576</f>
        <v>R667</v>
      </c>
      <c r="AC671" t="b">
        <f t="shared" si="192"/>
        <v>0</v>
      </c>
      <c r="AD671" t="b">
        <f t="shared" si="193"/>
        <v>0</v>
      </c>
      <c r="BN671" t="str">
        <f t="shared" si="189"/>
        <v>G688</v>
      </c>
    </row>
    <row r="672" spans="2:66" ht="12" customHeight="1">
      <c r="AA672" t="str">
        <f>'Green_rooibos initial weight'!A673</f>
        <v>G669</v>
      </c>
      <c r="AB672" t="str">
        <f>'Green_rooibos initial weight'!A1577</f>
        <v>R668</v>
      </c>
      <c r="AC672" t="b">
        <f t="shared" si="192"/>
        <v>0</v>
      </c>
      <c r="AD672" t="b">
        <f t="shared" si="193"/>
        <v>0</v>
      </c>
      <c r="BN672" t="str">
        <f t="shared" si="189"/>
        <v>G689</v>
      </c>
    </row>
    <row r="673" spans="27:66" ht="12" customHeight="1">
      <c r="AA673" t="str">
        <f>'Green_rooibos initial weight'!A674</f>
        <v>G670</v>
      </c>
      <c r="AB673" t="str">
        <f>'Green_rooibos initial weight'!A1578</f>
        <v>R669</v>
      </c>
      <c r="AC673" t="b">
        <f t="shared" si="192"/>
        <v>0</v>
      </c>
      <c r="AD673" t="b">
        <f t="shared" si="193"/>
        <v>0</v>
      </c>
      <c r="BN673" t="str">
        <f t="shared" si="189"/>
        <v>G690</v>
      </c>
    </row>
    <row r="674" spans="27:66" ht="12" customHeight="1">
      <c r="AA674" t="str">
        <f>'Green_rooibos initial weight'!A675</f>
        <v>G671</v>
      </c>
      <c r="AB674" t="str">
        <f>'Green_rooibos initial weight'!A1579</f>
        <v>R670</v>
      </c>
      <c r="AC674" t="b">
        <f t="shared" si="192"/>
        <v>0</v>
      </c>
      <c r="AD674" t="b">
        <f t="shared" si="193"/>
        <v>0</v>
      </c>
      <c r="BN674" t="str">
        <f t="shared" si="189"/>
        <v>G691</v>
      </c>
    </row>
    <row r="675" spans="27:66" ht="12" customHeight="1">
      <c r="AA675" t="str">
        <f>'Green_rooibos initial weight'!A676</f>
        <v>G672</v>
      </c>
      <c r="AB675" t="str">
        <f>'Green_rooibos initial weight'!A1580</f>
        <v>R671</v>
      </c>
      <c r="AC675" t="b">
        <f t="shared" si="192"/>
        <v>0</v>
      </c>
      <c r="AD675" t="b">
        <f t="shared" si="193"/>
        <v>0</v>
      </c>
      <c r="BN675" t="str">
        <f t="shared" si="189"/>
        <v>G692</v>
      </c>
    </row>
    <row r="676" spans="27:66" ht="12" customHeight="1">
      <c r="AA676" t="str">
        <f>'Green_rooibos initial weight'!A677</f>
        <v>G673</v>
      </c>
      <c r="AB676" t="str">
        <f>'Green_rooibos initial weight'!A1581</f>
        <v>R672</v>
      </c>
      <c r="AC676" t="b">
        <f t="shared" si="192"/>
        <v>0</v>
      </c>
      <c r="AD676" t="b">
        <f t="shared" si="193"/>
        <v>0</v>
      </c>
      <c r="BN676" t="str">
        <f t="shared" si="189"/>
        <v>G693</v>
      </c>
    </row>
    <row r="677" spans="27:66" ht="12" customHeight="1">
      <c r="AA677" t="str">
        <f>'Green_rooibos initial weight'!A678</f>
        <v>G674</v>
      </c>
      <c r="AB677" t="str">
        <f>'Green_rooibos initial weight'!A1582</f>
        <v>R673</v>
      </c>
      <c r="AC677" t="b">
        <f t="shared" si="192"/>
        <v>0</v>
      </c>
      <c r="AD677" t="b">
        <f t="shared" si="193"/>
        <v>0</v>
      </c>
      <c r="BN677" t="str">
        <f t="shared" si="189"/>
        <v>G694</v>
      </c>
    </row>
    <row r="678" spans="27:66" ht="12" customHeight="1">
      <c r="AA678" t="str">
        <f>'Green_rooibos initial weight'!A679</f>
        <v>G675</v>
      </c>
      <c r="AB678" t="str">
        <f>'Green_rooibos initial weight'!A1583</f>
        <v>R674</v>
      </c>
      <c r="AC678" t="b">
        <f t="shared" si="192"/>
        <v>0</v>
      </c>
      <c r="AD678" t="b">
        <f t="shared" si="193"/>
        <v>0</v>
      </c>
      <c r="BN678" t="str">
        <f t="shared" si="189"/>
        <v>G695</v>
      </c>
    </row>
    <row r="679" spans="27:66" ht="12" customHeight="1">
      <c r="AA679" t="str">
        <f>'Green_rooibos initial weight'!A680</f>
        <v>G676</v>
      </c>
      <c r="AB679" t="str">
        <f>'Green_rooibos initial weight'!A1584</f>
        <v>R675</v>
      </c>
      <c r="AC679" t="b">
        <f t="shared" si="192"/>
        <v>0</v>
      </c>
      <c r="AD679" t="b">
        <f t="shared" si="193"/>
        <v>0</v>
      </c>
      <c r="BN679" t="str">
        <f t="shared" si="189"/>
        <v>G696</v>
      </c>
    </row>
    <row r="680" spans="27:66" ht="12" customHeight="1">
      <c r="AA680" t="str">
        <f>'Green_rooibos initial weight'!A681</f>
        <v>G677</v>
      </c>
      <c r="AB680" t="str">
        <f>'Green_rooibos initial weight'!A1585</f>
        <v>R676</v>
      </c>
      <c r="AC680" t="b">
        <f t="shared" si="192"/>
        <v>0</v>
      </c>
      <c r="AD680" t="b">
        <f t="shared" si="193"/>
        <v>0</v>
      </c>
      <c r="BN680" t="str">
        <f t="shared" si="189"/>
        <v>G697</v>
      </c>
    </row>
    <row r="681" spans="27:66" ht="12" customHeight="1">
      <c r="AA681" t="str">
        <f>'Green_rooibos initial weight'!A682</f>
        <v>G678</v>
      </c>
      <c r="AB681" t="str">
        <f>'Green_rooibos initial weight'!A1586</f>
        <v>R677</v>
      </c>
      <c r="AC681" t="b">
        <f t="shared" si="192"/>
        <v>0</v>
      </c>
      <c r="AD681" t="b">
        <f t="shared" si="193"/>
        <v>0</v>
      </c>
      <c r="BN681" t="str">
        <f t="shared" ref="BN681:BN744" si="194">L260</f>
        <v>G698</v>
      </c>
    </row>
    <row r="682" spans="27:66" ht="12" customHeight="1">
      <c r="AA682" t="str">
        <f>'Green_rooibos initial weight'!A683</f>
        <v>G679</v>
      </c>
      <c r="AB682" t="str">
        <f>'Green_rooibos initial weight'!A1587</f>
        <v>R678</v>
      </c>
      <c r="AC682" t="b">
        <f t="shared" si="192"/>
        <v>0</v>
      </c>
      <c r="AD682" t="b">
        <f t="shared" si="193"/>
        <v>0</v>
      </c>
      <c r="BN682" t="str">
        <f t="shared" si="194"/>
        <v>G699</v>
      </c>
    </row>
    <row r="683" spans="27:66" ht="12" customHeight="1">
      <c r="AA683" t="str">
        <f>'Green_rooibos initial weight'!A684</f>
        <v>G680</v>
      </c>
      <c r="AB683" t="str">
        <f>'Green_rooibos initial weight'!A1588</f>
        <v>R679</v>
      </c>
      <c r="AC683" t="b">
        <f t="shared" si="192"/>
        <v>0</v>
      </c>
      <c r="AD683" t="b">
        <f t="shared" si="193"/>
        <v>0</v>
      </c>
      <c r="BN683" t="str">
        <f t="shared" si="194"/>
        <v>G700</v>
      </c>
    </row>
    <row r="684" spans="27:66" ht="12" customHeight="1">
      <c r="AA684" t="str">
        <f>'Green_rooibos initial weight'!A685</f>
        <v>G681</v>
      </c>
      <c r="AB684" t="str">
        <f>'Green_rooibos initial weight'!A1589</f>
        <v>R680</v>
      </c>
      <c r="AC684" t="b">
        <f t="shared" si="192"/>
        <v>0</v>
      </c>
      <c r="AD684" t="b">
        <f t="shared" si="193"/>
        <v>0</v>
      </c>
      <c r="BN684" t="str">
        <f t="shared" si="194"/>
        <v>G701</v>
      </c>
    </row>
    <row r="685" spans="27:66" ht="12" customHeight="1">
      <c r="AA685" t="str">
        <f>'Green_rooibos initial weight'!A686</f>
        <v>G682</v>
      </c>
      <c r="AB685" t="str">
        <f>'Green_rooibos initial weight'!A1590</f>
        <v>R681</v>
      </c>
      <c r="AC685" t="b">
        <f t="shared" si="192"/>
        <v>0</v>
      </c>
      <c r="AD685" t="b">
        <f t="shared" si="193"/>
        <v>0</v>
      </c>
      <c r="BN685" t="str">
        <f t="shared" si="194"/>
        <v>G702</v>
      </c>
    </row>
    <row r="686" spans="27:66" ht="12" customHeight="1">
      <c r="AA686" t="str">
        <f>'Green_rooibos initial weight'!A687</f>
        <v>G683</v>
      </c>
      <c r="AB686" t="str">
        <f>'Green_rooibos initial weight'!A1591</f>
        <v>R682</v>
      </c>
      <c r="AC686" t="b">
        <f t="shared" si="192"/>
        <v>0</v>
      </c>
      <c r="AD686" t="b">
        <f t="shared" si="193"/>
        <v>0</v>
      </c>
      <c r="BN686" t="str">
        <f t="shared" si="194"/>
        <v>G703</v>
      </c>
    </row>
    <row r="687" spans="27:66" ht="12" customHeight="1">
      <c r="AA687" t="str">
        <f>'Green_rooibos initial weight'!A688</f>
        <v>G684</v>
      </c>
      <c r="AB687" t="str">
        <f>'Green_rooibos initial weight'!A1592</f>
        <v>R683</v>
      </c>
      <c r="AC687" t="b">
        <f t="shared" si="192"/>
        <v>0</v>
      </c>
      <c r="AD687" t="b">
        <f t="shared" si="193"/>
        <v>0</v>
      </c>
      <c r="BN687" t="str">
        <f t="shared" si="194"/>
        <v>G704</v>
      </c>
    </row>
    <row r="688" spans="27:66" ht="12" customHeight="1">
      <c r="AA688" t="str">
        <f>'Green_rooibos initial weight'!A689</f>
        <v>G685</v>
      </c>
      <c r="AB688" t="str">
        <f>'Green_rooibos initial weight'!A1593</f>
        <v>R684</v>
      </c>
      <c r="AC688" t="b">
        <f t="shared" si="192"/>
        <v>0</v>
      </c>
      <c r="AD688" t="b">
        <f t="shared" si="193"/>
        <v>0</v>
      </c>
      <c r="BN688" t="str">
        <f t="shared" si="194"/>
        <v>G706</v>
      </c>
    </row>
    <row r="689" spans="27:66" ht="12" customHeight="1">
      <c r="AA689" t="str">
        <f>'Green_rooibos initial weight'!A690</f>
        <v>G686</v>
      </c>
      <c r="AB689" t="str">
        <f>'Green_rooibos initial weight'!A1594</f>
        <v>R685</v>
      </c>
      <c r="AC689" t="b">
        <f t="shared" si="192"/>
        <v>0</v>
      </c>
      <c r="AD689" t="b">
        <f t="shared" si="193"/>
        <v>0</v>
      </c>
      <c r="BN689" t="str">
        <f t="shared" si="194"/>
        <v>G707</v>
      </c>
    </row>
    <row r="690" spans="27:66" ht="12" customHeight="1">
      <c r="AA690" t="str">
        <f>'Green_rooibos initial weight'!A691</f>
        <v>G687</v>
      </c>
      <c r="AB690" t="str">
        <f>'Green_rooibos initial weight'!A1595</f>
        <v>R686</v>
      </c>
      <c r="AC690" t="b">
        <f t="shared" si="192"/>
        <v>0</v>
      </c>
      <c r="AD690" t="b">
        <f t="shared" si="193"/>
        <v>0</v>
      </c>
      <c r="BN690" t="str">
        <f t="shared" si="194"/>
        <v>G708</v>
      </c>
    </row>
    <row r="691" spans="27:66" ht="12" customHeight="1">
      <c r="AA691" t="str">
        <f>'Green_rooibos initial weight'!A692</f>
        <v>G688</v>
      </c>
      <c r="AB691" t="str">
        <f>'Green_rooibos initial weight'!A1596</f>
        <v>R687</v>
      </c>
      <c r="AC691" t="b">
        <f t="shared" si="192"/>
        <v>0</v>
      </c>
      <c r="AD691" t="b">
        <f t="shared" si="193"/>
        <v>0</v>
      </c>
      <c r="BN691" t="str">
        <f t="shared" si="194"/>
        <v>G709</v>
      </c>
    </row>
    <row r="692" spans="27:66" ht="12" customHeight="1">
      <c r="AA692" t="str">
        <f>'Green_rooibos initial weight'!A693</f>
        <v>G689</v>
      </c>
      <c r="AB692" t="str">
        <f>'Green_rooibos initial weight'!A1597</f>
        <v>R688</v>
      </c>
      <c r="AC692" t="b">
        <f t="shared" si="192"/>
        <v>0</v>
      </c>
      <c r="AD692" t="b">
        <f t="shared" si="193"/>
        <v>0</v>
      </c>
      <c r="BN692" t="str">
        <f t="shared" si="194"/>
        <v>G710</v>
      </c>
    </row>
    <row r="693" spans="27:66" ht="12" customHeight="1">
      <c r="AA693" t="str">
        <f>'Green_rooibos initial weight'!A694</f>
        <v>G690</v>
      </c>
      <c r="AB693" t="str">
        <f>'Green_rooibos initial weight'!A1598</f>
        <v>R689</v>
      </c>
      <c r="AC693" t="b">
        <f t="shared" si="192"/>
        <v>0</v>
      </c>
      <c r="AD693" t="b">
        <f t="shared" si="193"/>
        <v>0</v>
      </c>
      <c r="BN693" t="str">
        <f t="shared" si="194"/>
        <v>G712</v>
      </c>
    </row>
    <row r="694" spans="27:66" ht="12" customHeight="1">
      <c r="AA694" t="str">
        <f>'Green_rooibos initial weight'!A695</f>
        <v>G691</v>
      </c>
      <c r="AB694" t="str">
        <f>'Green_rooibos initial weight'!A1599</f>
        <v>R690</v>
      </c>
      <c r="AC694" t="b">
        <f t="shared" si="192"/>
        <v>0</v>
      </c>
      <c r="AD694" t="b">
        <f t="shared" si="193"/>
        <v>0</v>
      </c>
      <c r="BN694" t="str">
        <f t="shared" si="194"/>
        <v>G713</v>
      </c>
    </row>
    <row r="695" spans="27:66" ht="12" customHeight="1">
      <c r="AA695" t="str">
        <f>'Green_rooibos initial weight'!A696</f>
        <v>G692</v>
      </c>
      <c r="AB695" t="str">
        <f>'Green_rooibos initial weight'!A1600</f>
        <v>R691</v>
      </c>
      <c r="AC695" t="b">
        <f t="shared" si="192"/>
        <v>0</v>
      </c>
      <c r="AD695" t="b">
        <f t="shared" si="193"/>
        <v>0</v>
      </c>
      <c r="BN695" t="str">
        <f t="shared" si="194"/>
        <v>G715</v>
      </c>
    </row>
    <row r="696" spans="27:66" ht="12" customHeight="1">
      <c r="AA696" t="str">
        <f>'Green_rooibos initial weight'!A697</f>
        <v>G693</v>
      </c>
      <c r="AB696" t="str">
        <f>'Green_rooibos initial weight'!A1601</f>
        <v>R692</v>
      </c>
      <c r="AC696" t="b">
        <f t="shared" si="192"/>
        <v>0</v>
      </c>
      <c r="AD696" t="b">
        <f t="shared" si="193"/>
        <v>0</v>
      </c>
      <c r="BN696" t="str">
        <f t="shared" si="194"/>
        <v>G716</v>
      </c>
    </row>
    <row r="697" spans="27:66" ht="12" customHeight="1">
      <c r="AA697" t="str">
        <f>'Green_rooibos initial weight'!A698</f>
        <v>G694</v>
      </c>
      <c r="AB697" t="str">
        <f>'Green_rooibos initial weight'!A1602</f>
        <v>R693</v>
      </c>
      <c r="AC697" t="b">
        <f t="shared" si="192"/>
        <v>0</v>
      </c>
      <c r="AD697" t="b">
        <f t="shared" si="193"/>
        <v>0</v>
      </c>
      <c r="BN697" t="str">
        <f t="shared" si="194"/>
        <v>G718</v>
      </c>
    </row>
    <row r="698" spans="27:66" ht="12" customHeight="1">
      <c r="AA698" t="str">
        <f>'Green_rooibos initial weight'!A699</f>
        <v>G695</v>
      </c>
      <c r="AB698" t="str">
        <f>'Green_rooibos initial weight'!A1603</f>
        <v>R694</v>
      </c>
      <c r="AC698" t="b">
        <f t="shared" si="192"/>
        <v>0</v>
      </c>
      <c r="AD698" t="b">
        <f t="shared" si="193"/>
        <v>0</v>
      </c>
      <c r="BN698" t="str">
        <f t="shared" si="194"/>
        <v>G720</v>
      </c>
    </row>
    <row r="699" spans="27:66" ht="12" customHeight="1">
      <c r="AA699" t="str">
        <f>'Green_rooibos initial weight'!A700</f>
        <v>G696</v>
      </c>
      <c r="AB699" t="str">
        <f>'Green_rooibos initial weight'!A1604</f>
        <v>R695</v>
      </c>
      <c r="AC699" t="b">
        <f t="shared" si="192"/>
        <v>0</v>
      </c>
      <c r="AD699" t="b">
        <f t="shared" si="193"/>
        <v>0</v>
      </c>
      <c r="BN699" t="str">
        <f t="shared" si="194"/>
        <v>G721</v>
      </c>
    </row>
    <row r="700" spans="27:66" ht="12" customHeight="1">
      <c r="AA700" t="str">
        <f>'Green_rooibos initial weight'!A701</f>
        <v>G697</v>
      </c>
      <c r="AB700" t="str">
        <f>'Green_rooibos initial weight'!A1605</f>
        <v>R696</v>
      </c>
      <c r="AC700" t="b">
        <f t="shared" si="192"/>
        <v>0</v>
      </c>
      <c r="AD700" t="b">
        <f t="shared" si="193"/>
        <v>0</v>
      </c>
      <c r="BN700" t="str">
        <f t="shared" si="194"/>
        <v>G723</v>
      </c>
    </row>
    <row r="701" spans="27:66" ht="12" customHeight="1">
      <c r="AA701" t="str">
        <f>'Green_rooibos initial weight'!A702</f>
        <v>G698</v>
      </c>
      <c r="AB701" t="str">
        <f>'Green_rooibos initial weight'!A1606</f>
        <v>R697</v>
      </c>
      <c r="AC701" t="b">
        <f t="shared" si="192"/>
        <v>0</v>
      </c>
      <c r="AD701" t="b">
        <f t="shared" si="193"/>
        <v>0</v>
      </c>
      <c r="BN701" t="str">
        <f t="shared" si="194"/>
        <v>G724</v>
      </c>
    </row>
    <row r="702" spans="27:66" ht="12" customHeight="1">
      <c r="AA702" t="str">
        <f>'Green_rooibos initial weight'!A703</f>
        <v>G699</v>
      </c>
      <c r="AB702" t="str">
        <f>'Green_rooibos initial weight'!A1607</f>
        <v>R698</v>
      </c>
      <c r="AC702" t="b">
        <f t="shared" si="192"/>
        <v>0</v>
      </c>
      <c r="AD702" t="b">
        <f t="shared" si="193"/>
        <v>0</v>
      </c>
      <c r="BN702" t="str">
        <f t="shared" si="194"/>
        <v>G725</v>
      </c>
    </row>
    <row r="703" spans="27:66" ht="12" customHeight="1">
      <c r="AA703" t="str">
        <f>'Green_rooibos initial weight'!A704</f>
        <v>G700</v>
      </c>
      <c r="AB703" t="str">
        <f>'Green_rooibos initial weight'!A1608</f>
        <v>R699</v>
      </c>
      <c r="AC703" t="b">
        <f t="shared" si="192"/>
        <v>0</v>
      </c>
      <c r="AD703" t="b">
        <f t="shared" si="193"/>
        <v>0</v>
      </c>
      <c r="BN703" t="str">
        <f t="shared" si="194"/>
        <v>G727</v>
      </c>
    </row>
    <row r="704" spans="27:66" ht="12" customHeight="1">
      <c r="AA704" t="str">
        <f>'Green_rooibos initial weight'!A705</f>
        <v>G701</v>
      </c>
      <c r="AB704" t="str">
        <f>'Green_rooibos initial weight'!A1609</f>
        <v>R700</v>
      </c>
      <c r="AC704" t="b">
        <f t="shared" si="192"/>
        <v>0</v>
      </c>
      <c r="AD704" t="b">
        <f t="shared" si="193"/>
        <v>0</v>
      </c>
      <c r="BN704" t="str">
        <f t="shared" si="194"/>
        <v>G728</v>
      </c>
    </row>
    <row r="705" spans="27:66" ht="12" customHeight="1">
      <c r="AA705" t="str">
        <f>'Green_rooibos initial weight'!A706</f>
        <v>G702</v>
      </c>
      <c r="AB705" t="str">
        <f>'Green_rooibos initial weight'!A1610</f>
        <v>R701</v>
      </c>
      <c r="AC705" t="b">
        <f t="shared" si="192"/>
        <v>0</v>
      </c>
      <c r="AD705" t="b">
        <f t="shared" si="193"/>
        <v>0</v>
      </c>
      <c r="BN705" t="str">
        <f t="shared" si="194"/>
        <v>G729</v>
      </c>
    </row>
    <row r="706" spans="27:66" ht="12" customHeight="1">
      <c r="AA706" t="str">
        <f>'Green_rooibos initial weight'!A707</f>
        <v>G703</v>
      </c>
      <c r="AB706" t="str">
        <f>'Green_rooibos initial weight'!A1611</f>
        <v>R702</v>
      </c>
      <c r="AC706" t="b">
        <f t="shared" si="192"/>
        <v>0</v>
      </c>
      <c r="AD706" t="b">
        <f t="shared" si="193"/>
        <v>0</v>
      </c>
      <c r="BN706" t="str">
        <f t="shared" si="194"/>
        <v>G730</v>
      </c>
    </row>
    <row r="707" spans="27:66" ht="12" customHeight="1">
      <c r="AA707" t="str">
        <f>'Green_rooibos initial weight'!A708</f>
        <v>G704</v>
      </c>
      <c r="AB707" t="str">
        <f>'Green_rooibos initial weight'!A1612</f>
        <v>R703</v>
      </c>
      <c r="AC707" t="b">
        <f t="shared" si="192"/>
        <v>0</v>
      </c>
      <c r="AD707" t="b">
        <f t="shared" si="193"/>
        <v>0</v>
      </c>
      <c r="BN707" t="str">
        <f t="shared" si="194"/>
        <v>G732</v>
      </c>
    </row>
    <row r="708" spans="27:66" ht="12" customHeight="1">
      <c r="AA708" t="str">
        <f>'Green_rooibos initial weight'!A709</f>
        <v>G705</v>
      </c>
      <c r="AB708" t="str">
        <f>'Green_rooibos initial weight'!A1613</f>
        <v>R704</v>
      </c>
      <c r="AC708" t="b">
        <f t="shared" si="192"/>
        <v>0</v>
      </c>
      <c r="AD708" t="b">
        <f t="shared" si="193"/>
        <v>0</v>
      </c>
      <c r="BN708" t="str">
        <f t="shared" si="194"/>
        <v>G733</v>
      </c>
    </row>
    <row r="709" spans="27:66" ht="12" customHeight="1">
      <c r="AA709" t="str">
        <f>'Green_rooibos initial weight'!A710</f>
        <v>G706</v>
      </c>
      <c r="AB709" t="str">
        <f>'Green_rooibos initial weight'!A1614</f>
        <v>R705</v>
      </c>
      <c r="AC709" t="b">
        <f t="shared" ref="AC709:AC772" si="195">COUNTIF($AA$4:$AA$2000, AA709)&gt;1</f>
        <v>0</v>
      </c>
      <c r="AD709" t="b">
        <f t="shared" ref="AD709:AD772" si="196">COUNTIF($AB$4:$AB$2000, AB709)&gt;1</f>
        <v>0</v>
      </c>
      <c r="BN709" t="str">
        <f t="shared" si="194"/>
        <v>G736</v>
      </c>
    </row>
    <row r="710" spans="27:66" ht="12" customHeight="1">
      <c r="AA710" t="str">
        <f>'Green_rooibos initial weight'!A711</f>
        <v>G707</v>
      </c>
      <c r="AB710" t="str">
        <f>'Green_rooibos initial weight'!A1615</f>
        <v>R706</v>
      </c>
      <c r="AC710" t="b">
        <f t="shared" si="195"/>
        <v>0</v>
      </c>
      <c r="AD710" t="b">
        <f t="shared" si="196"/>
        <v>0</v>
      </c>
      <c r="BN710" t="str">
        <f t="shared" si="194"/>
        <v>G737</v>
      </c>
    </row>
    <row r="711" spans="27:66" ht="12" customHeight="1">
      <c r="AA711" t="str">
        <f>'Green_rooibos initial weight'!A712</f>
        <v>G708</v>
      </c>
      <c r="AB711" t="str">
        <f>'Green_rooibos initial weight'!A1616</f>
        <v>R707</v>
      </c>
      <c r="AC711" t="b">
        <f t="shared" si="195"/>
        <v>0</v>
      </c>
      <c r="AD711" t="b">
        <f t="shared" si="196"/>
        <v>0</v>
      </c>
      <c r="BN711" t="str">
        <f t="shared" si="194"/>
        <v>G738</v>
      </c>
    </row>
    <row r="712" spans="27:66" ht="12" customHeight="1">
      <c r="AA712" t="str">
        <f>'Green_rooibos initial weight'!A713</f>
        <v>G709</v>
      </c>
      <c r="AB712" t="str">
        <f>'Green_rooibos initial weight'!A1617</f>
        <v>R708</v>
      </c>
      <c r="AC712" t="b">
        <f t="shared" si="195"/>
        <v>0</v>
      </c>
      <c r="AD712" t="b">
        <f t="shared" si="196"/>
        <v>0</v>
      </c>
      <c r="BN712" t="str">
        <f t="shared" si="194"/>
        <v>G739</v>
      </c>
    </row>
    <row r="713" spans="27:66" ht="12" customHeight="1">
      <c r="AA713" t="str">
        <f>'Green_rooibos initial weight'!A714</f>
        <v>G710</v>
      </c>
      <c r="AB713" t="str">
        <f>'Green_rooibos initial weight'!A1618</f>
        <v>R709</v>
      </c>
      <c r="AC713" t="b">
        <f t="shared" si="195"/>
        <v>0</v>
      </c>
      <c r="AD713" t="b">
        <f t="shared" si="196"/>
        <v>0</v>
      </c>
      <c r="BN713" t="str">
        <f t="shared" si="194"/>
        <v>G740</v>
      </c>
    </row>
    <row r="714" spans="27:66" ht="12" customHeight="1">
      <c r="AA714" t="str">
        <f>'Green_rooibos initial weight'!A715</f>
        <v>G711</v>
      </c>
      <c r="AB714" t="str">
        <f>'Green_rooibos initial weight'!A1619</f>
        <v>R710</v>
      </c>
      <c r="AC714" t="b">
        <f t="shared" si="195"/>
        <v>0</v>
      </c>
      <c r="AD714" t="b">
        <f t="shared" si="196"/>
        <v>0</v>
      </c>
      <c r="BN714" t="str">
        <f t="shared" si="194"/>
        <v>G741</v>
      </c>
    </row>
    <row r="715" spans="27:66" ht="12" customHeight="1">
      <c r="AA715" t="str">
        <f>'Green_rooibos initial weight'!A716</f>
        <v>G712</v>
      </c>
      <c r="AB715" t="str">
        <f>'Green_rooibos initial weight'!A1620</f>
        <v>R711</v>
      </c>
      <c r="AC715" t="b">
        <f t="shared" si="195"/>
        <v>0</v>
      </c>
      <c r="AD715" t="b">
        <f t="shared" si="196"/>
        <v>0</v>
      </c>
      <c r="BN715" t="str">
        <f t="shared" si="194"/>
        <v>G742</v>
      </c>
    </row>
    <row r="716" spans="27:66" ht="12" customHeight="1">
      <c r="AA716" t="str">
        <f>'Green_rooibos initial weight'!A717</f>
        <v>G713</v>
      </c>
      <c r="AB716" t="str">
        <f>'Green_rooibos initial weight'!A1621</f>
        <v>R712</v>
      </c>
      <c r="AC716" t="b">
        <f t="shared" si="195"/>
        <v>0</v>
      </c>
      <c r="AD716" t="b">
        <f t="shared" si="196"/>
        <v>0</v>
      </c>
      <c r="BN716" t="str">
        <f t="shared" si="194"/>
        <v>G743</v>
      </c>
    </row>
    <row r="717" spans="27:66" ht="12" customHeight="1">
      <c r="AA717" t="str">
        <f>'Green_rooibos initial weight'!A718</f>
        <v>G714</v>
      </c>
      <c r="AB717" t="str">
        <f>'Green_rooibos initial weight'!A1622</f>
        <v>R713</v>
      </c>
      <c r="AC717" t="b">
        <f t="shared" si="195"/>
        <v>0</v>
      </c>
      <c r="AD717" t="b">
        <f t="shared" si="196"/>
        <v>0</v>
      </c>
      <c r="BN717" t="str">
        <f t="shared" si="194"/>
        <v>G744</v>
      </c>
    </row>
    <row r="718" spans="27:66" ht="12" customHeight="1">
      <c r="AA718" t="str">
        <f>'Green_rooibos initial weight'!A719</f>
        <v>G715</v>
      </c>
      <c r="AB718" t="str">
        <f>'Green_rooibos initial weight'!A1623</f>
        <v>R714</v>
      </c>
      <c r="AC718" t="b">
        <f t="shared" si="195"/>
        <v>0</v>
      </c>
      <c r="AD718" t="b">
        <f t="shared" si="196"/>
        <v>0</v>
      </c>
      <c r="BN718" t="str">
        <f t="shared" si="194"/>
        <v>G745</v>
      </c>
    </row>
    <row r="719" spans="27:66" ht="12" customHeight="1">
      <c r="AA719" t="str">
        <f>'Green_rooibos initial weight'!A720</f>
        <v>G716</v>
      </c>
      <c r="AB719" t="str">
        <f>'Green_rooibos initial weight'!A1624</f>
        <v>R715</v>
      </c>
      <c r="AC719" t="b">
        <f t="shared" si="195"/>
        <v>0</v>
      </c>
      <c r="AD719" t="b">
        <f t="shared" si="196"/>
        <v>0</v>
      </c>
      <c r="BN719" t="str">
        <f t="shared" si="194"/>
        <v>G746</v>
      </c>
    </row>
    <row r="720" spans="27:66" ht="12" customHeight="1">
      <c r="AA720" t="str">
        <f>'Green_rooibos initial weight'!A721</f>
        <v>G717</v>
      </c>
      <c r="AB720" t="str">
        <f>'Green_rooibos initial weight'!A1625</f>
        <v>R716</v>
      </c>
      <c r="AC720" t="b">
        <f t="shared" si="195"/>
        <v>0</v>
      </c>
      <c r="AD720" t="b">
        <f t="shared" si="196"/>
        <v>0</v>
      </c>
      <c r="BN720" t="str">
        <f t="shared" si="194"/>
        <v>G747</v>
      </c>
    </row>
    <row r="721" spans="27:66" ht="12" customHeight="1">
      <c r="AA721" t="str">
        <f>'Green_rooibos initial weight'!A722</f>
        <v>G718</v>
      </c>
      <c r="AB721" t="str">
        <f>'Green_rooibos initial weight'!A1626</f>
        <v>R717</v>
      </c>
      <c r="AC721" t="b">
        <f t="shared" si="195"/>
        <v>0</v>
      </c>
      <c r="AD721" t="b">
        <f t="shared" si="196"/>
        <v>0</v>
      </c>
      <c r="BN721" t="str">
        <f t="shared" si="194"/>
        <v>G749</v>
      </c>
    </row>
    <row r="722" spans="27:66" ht="12" customHeight="1">
      <c r="AA722" t="str">
        <f>'Green_rooibos initial weight'!A723</f>
        <v>G719</v>
      </c>
      <c r="AB722" t="str">
        <f>'Green_rooibos initial weight'!A1627</f>
        <v>R718</v>
      </c>
      <c r="AC722" t="b">
        <f t="shared" si="195"/>
        <v>0</v>
      </c>
      <c r="AD722" t="b">
        <f t="shared" si="196"/>
        <v>0</v>
      </c>
      <c r="BN722" t="str">
        <f t="shared" si="194"/>
        <v>G752</v>
      </c>
    </row>
    <row r="723" spans="27:66" ht="12" customHeight="1">
      <c r="AA723" t="str">
        <f>'Green_rooibos initial weight'!A724</f>
        <v>G720</v>
      </c>
      <c r="AB723" t="str">
        <f>'Green_rooibos initial weight'!A1628</f>
        <v>R719</v>
      </c>
      <c r="AC723" t="b">
        <f t="shared" si="195"/>
        <v>0</v>
      </c>
      <c r="AD723" t="b">
        <f t="shared" si="196"/>
        <v>0</v>
      </c>
      <c r="BN723" t="str">
        <f t="shared" si="194"/>
        <v>G753</v>
      </c>
    </row>
    <row r="724" spans="27:66" ht="12" customHeight="1">
      <c r="AA724" t="str">
        <f>'Green_rooibos initial weight'!A725</f>
        <v>G721</v>
      </c>
      <c r="AB724" t="str">
        <f>'Green_rooibos initial weight'!A1629</f>
        <v>R720</v>
      </c>
      <c r="AC724" t="b">
        <f t="shared" si="195"/>
        <v>0</v>
      </c>
      <c r="AD724" t="b">
        <f t="shared" si="196"/>
        <v>0</v>
      </c>
      <c r="BN724" t="str">
        <f t="shared" si="194"/>
        <v>G754</v>
      </c>
    </row>
    <row r="725" spans="27:66" ht="12" customHeight="1">
      <c r="AA725" t="str">
        <f>'Green_rooibos initial weight'!A726</f>
        <v>G722</v>
      </c>
      <c r="AB725" t="str">
        <f>'Green_rooibos initial weight'!A1630</f>
        <v>R721</v>
      </c>
      <c r="AC725" t="b">
        <f t="shared" si="195"/>
        <v>0</v>
      </c>
      <c r="AD725" t="b">
        <f t="shared" si="196"/>
        <v>0</v>
      </c>
      <c r="BN725" t="str">
        <f t="shared" si="194"/>
        <v>G755</v>
      </c>
    </row>
    <row r="726" spans="27:66" ht="12" customHeight="1">
      <c r="AA726" t="str">
        <f>'Green_rooibos initial weight'!A727</f>
        <v>G723</v>
      </c>
      <c r="AB726" t="str">
        <f>'Green_rooibos initial weight'!A1631</f>
        <v>R722</v>
      </c>
      <c r="AC726" t="b">
        <f t="shared" si="195"/>
        <v>0</v>
      </c>
      <c r="AD726" t="b">
        <f t="shared" si="196"/>
        <v>0</v>
      </c>
      <c r="BN726" t="str">
        <f t="shared" si="194"/>
        <v>G756</v>
      </c>
    </row>
    <row r="727" spans="27:66" ht="12" customHeight="1">
      <c r="AA727" t="str">
        <f>'Green_rooibos initial weight'!A728</f>
        <v>G724</v>
      </c>
      <c r="AB727" t="str">
        <f>'Green_rooibos initial weight'!A1632</f>
        <v>R723</v>
      </c>
      <c r="AC727" t="b">
        <f t="shared" si="195"/>
        <v>0</v>
      </c>
      <c r="AD727" t="b">
        <f t="shared" si="196"/>
        <v>0</v>
      </c>
      <c r="BN727" t="str">
        <f t="shared" si="194"/>
        <v>G758</v>
      </c>
    </row>
    <row r="728" spans="27:66" ht="12" customHeight="1">
      <c r="AA728" t="str">
        <f>'Green_rooibos initial weight'!A729</f>
        <v>G725</v>
      </c>
      <c r="AB728" t="str">
        <f>'Green_rooibos initial weight'!A1633</f>
        <v>R724</v>
      </c>
      <c r="AC728" t="b">
        <f t="shared" si="195"/>
        <v>0</v>
      </c>
      <c r="AD728" t="b">
        <f t="shared" si="196"/>
        <v>0</v>
      </c>
      <c r="BN728" t="str">
        <f t="shared" si="194"/>
        <v>G760</v>
      </c>
    </row>
    <row r="729" spans="27:66" ht="12" customHeight="1">
      <c r="AA729" t="str">
        <f>'Green_rooibos initial weight'!A730</f>
        <v>G726</v>
      </c>
      <c r="AB729" t="str">
        <f>'Green_rooibos initial weight'!A1634</f>
        <v>R725</v>
      </c>
      <c r="AC729" t="b">
        <f t="shared" si="195"/>
        <v>0</v>
      </c>
      <c r="AD729" t="b">
        <f t="shared" si="196"/>
        <v>0</v>
      </c>
      <c r="BN729" t="str">
        <f t="shared" si="194"/>
        <v>G761</v>
      </c>
    </row>
    <row r="730" spans="27:66" ht="12" customHeight="1">
      <c r="AA730" t="str">
        <f>'Green_rooibos initial weight'!A731</f>
        <v>G727</v>
      </c>
      <c r="AB730" t="str">
        <f>'Green_rooibos initial weight'!A1635</f>
        <v>R726</v>
      </c>
      <c r="AC730" t="b">
        <f t="shared" si="195"/>
        <v>0</v>
      </c>
      <c r="AD730" t="b">
        <f t="shared" si="196"/>
        <v>0</v>
      </c>
      <c r="BN730" t="str">
        <f t="shared" si="194"/>
        <v>G762</v>
      </c>
    </row>
    <row r="731" spans="27:66" ht="12" customHeight="1">
      <c r="AA731" t="str">
        <f>'Green_rooibos initial weight'!A732</f>
        <v>G728</v>
      </c>
      <c r="AB731" t="str">
        <f>'Green_rooibos initial weight'!A1636</f>
        <v>R727</v>
      </c>
      <c r="AC731" t="b">
        <f t="shared" si="195"/>
        <v>0</v>
      </c>
      <c r="AD731" t="b">
        <f t="shared" si="196"/>
        <v>0</v>
      </c>
      <c r="BN731" t="str">
        <f t="shared" si="194"/>
        <v>G764</v>
      </c>
    </row>
    <row r="732" spans="27:66" ht="12" customHeight="1">
      <c r="AA732" t="str">
        <f>'Green_rooibos initial weight'!A733</f>
        <v>G729</v>
      </c>
      <c r="AB732" t="str">
        <f>'Green_rooibos initial weight'!A1637</f>
        <v>R728</v>
      </c>
      <c r="AC732" t="b">
        <f t="shared" si="195"/>
        <v>0</v>
      </c>
      <c r="AD732" t="b">
        <f t="shared" si="196"/>
        <v>0</v>
      </c>
      <c r="BN732" t="str">
        <f t="shared" si="194"/>
        <v>G765</v>
      </c>
    </row>
    <row r="733" spans="27:66" ht="12" customHeight="1">
      <c r="AA733" t="str">
        <f>'Green_rooibos initial weight'!A734</f>
        <v>G730</v>
      </c>
      <c r="AB733" t="str">
        <f>'Green_rooibos initial weight'!A1638</f>
        <v>R729</v>
      </c>
      <c r="AC733" t="b">
        <f t="shared" si="195"/>
        <v>0</v>
      </c>
      <c r="AD733" t="b">
        <f t="shared" si="196"/>
        <v>0</v>
      </c>
      <c r="BN733" t="str">
        <f t="shared" si="194"/>
        <v>G768</v>
      </c>
    </row>
    <row r="734" spans="27:66" ht="12" customHeight="1">
      <c r="AA734" t="str">
        <f>'Green_rooibos initial weight'!A735</f>
        <v>G731</v>
      </c>
      <c r="AB734" t="str">
        <f>'Green_rooibos initial weight'!A1639</f>
        <v>R730</v>
      </c>
      <c r="AC734" t="b">
        <f t="shared" si="195"/>
        <v>0</v>
      </c>
      <c r="AD734" t="b">
        <f t="shared" si="196"/>
        <v>0</v>
      </c>
      <c r="BN734" t="str">
        <f t="shared" si="194"/>
        <v>G769</v>
      </c>
    </row>
    <row r="735" spans="27:66" ht="12" customHeight="1">
      <c r="AA735" t="str">
        <f>'Green_rooibos initial weight'!A736</f>
        <v>G732</v>
      </c>
      <c r="AB735" t="str">
        <f>'Green_rooibos initial weight'!A1640</f>
        <v>R731</v>
      </c>
      <c r="AC735" t="b">
        <f t="shared" si="195"/>
        <v>0</v>
      </c>
      <c r="AD735" t="b">
        <f t="shared" si="196"/>
        <v>0</v>
      </c>
      <c r="BN735" t="str">
        <f t="shared" si="194"/>
        <v>G770</v>
      </c>
    </row>
    <row r="736" spans="27:66" ht="12" customHeight="1">
      <c r="AA736" t="str">
        <f>'Green_rooibos initial weight'!A737</f>
        <v>G733</v>
      </c>
      <c r="AB736" t="str">
        <f>'Green_rooibos initial weight'!A1641</f>
        <v>R732</v>
      </c>
      <c r="AC736" t="b">
        <f t="shared" si="195"/>
        <v>0</v>
      </c>
      <c r="AD736" t="b">
        <f t="shared" si="196"/>
        <v>0</v>
      </c>
      <c r="BN736" t="str">
        <f t="shared" si="194"/>
        <v>G772</v>
      </c>
    </row>
    <row r="737" spans="27:66" ht="12" customHeight="1">
      <c r="AA737" t="str">
        <f>'Green_rooibos initial weight'!A738</f>
        <v>G734</v>
      </c>
      <c r="AB737" t="str">
        <f>'Green_rooibos initial weight'!A1642</f>
        <v>R733</v>
      </c>
      <c r="AC737" t="b">
        <f t="shared" si="195"/>
        <v>0</v>
      </c>
      <c r="AD737" t="b">
        <f t="shared" si="196"/>
        <v>0</v>
      </c>
      <c r="BN737" t="str">
        <f t="shared" si="194"/>
        <v>G773</v>
      </c>
    </row>
    <row r="738" spans="27:66" ht="12" customHeight="1">
      <c r="AA738" t="str">
        <f>'Green_rooibos initial weight'!A739</f>
        <v>G735</v>
      </c>
      <c r="AB738" t="str">
        <f>'Green_rooibos initial weight'!A1643</f>
        <v>R734</v>
      </c>
      <c r="AC738" t="b">
        <f t="shared" si="195"/>
        <v>0</v>
      </c>
      <c r="AD738" t="b">
        <f t="shared" si="196"/>
        <v>0</v>
      </c>
      <c r="BN738" t="str">
        <f t="shared" si="194"/>
        <v>G774</v>
      </c>
    </row>
    <row r="739" spans="27:66" ht="12" customHeight="1">
      <c r="AA739" t="str">
        <f>'Green_rooibos initial weight'!A740</f>
        <v>G736</v>
      </c>
      <c r="AB739" t="str">
        <f>'Green_rooibos initial weight'!A1644</f>
        <v>R735</v>
      </c>
      <c r="AC739" t="b">
        <f t="shared" si="195"/>
        <v>0</v>
      </c>
      <c r="AD739" t="b">
        <f t="shared" si="196"/>
        <v>0</v>
      </c>
      <c r="BN739" t="str">
        <f t="shared" si="194"/>
        <v>G775</v>
      </c>
    </row>
    <row r="740" spans="27:66" ht="12" customHeight="1">
      <c r="AA740" t="str">
        <f>'Green_rooibos initial weight'!A741</f>
        <v>G737</v>
      </c>
      <c r="AB740" t="str">
        <f>'Green_rooibos initial weight'!A1645</f>
        <v>R736</v>
      </c>
      <c r="AC740" t="b">
        <f t="shared" si="195"/>
        <v>0</v>
      </c>
      <c r="AD740" t="b">
        <f t="shared" si="196"/>
        <v>0</v>
      </c>
      <c r="BN740" t="str">
        <f t="shared" si="194"/>
        <v>G777</v>
      </c>
    </row>
    <row r="741" spans="27:66" ht="12" customHeight="1">
      <c r="AA741" t="str">
        <f>'Green_rooibos initial weight'!A742</f>
        <v>G738</v>
      </c>
      <c r="AB741" t="str">
        <f>'Green_rooibos initial weight'!A1646</f>
        <v>R737</v>
      </c>
      <c r="AC741" t="b">
        <f t="shared" si="195"/>
        <v>0</v>
      </c>
      <c r="AD741" t="b">
        <f t="shared" si="196"/>
        <v>0</v>
      </c>
      <c r="BN741" t="str">
        <f t="shared" si="194"/>
        <v>G778</v>
      </c>
    </row>
    <row r="742" spans="27:66" ht="12" customHeight="1">
      <c r="AA742" t="str">
        <f>'Green_rooibos initial weight'!A743</f>
        <v>G739</v>
      </c>
      <c r="AB742" t="str">
        <f>'Green_rooibos initial weight'!A1647</f>
        <v>R738</v>
      </c>
      <c r="AC742" t="b">
        <f t="shared" si="195"/>
        <v>0</v>
      </c>
      <c r="AD742" t="b">
        <f t="shared" si="196"/>
        <v>0</v>
      </c>
      <c r="BN742" t="str">
        <f t="shared" si="194"/>
        <v>G779</v>
      </c>
    </row>
    <row r="743" spans="27:66" ht="12" customHeight="1">
      <c r="AA743" t="str">
        <f>'Green_rooibos initial weight'!A744</f>
        <v>G740</v>
      </c>
      <c r="AB743" t="str">
        <f>'Green_rooibos initial weight'!A1648</f>
        <v>R739</v>
      </c>
      <c r="AC743" t="b">
        <f t="shared" si="195"/>
        <v>0</v>
      </c>
      <c r="AD743" t="b">
        <f t="shared" si="196"/>
        <v>0</v>
      </c>
      <c r="BN743" t="str">
        <f t="shared" si="194"/>
        <v>G781</v>
      </c>
    </row>
    <row r="744" spans="27:66" ht="12" customHeight="1">
      <c r="AA744" t="str">
        <f>'Green_rooibos initial weight'!A745</f>
        <v>G741</v>
      </c>
      <c r="AB744" t="str">
        <f>'Green_rooibos initial weight'!A1649</f>
        <v>R740</v>
      </c>
      <c r="AC744" t="b">
        <f t="shared" si="195"/>
        <v>0</v>
      </c>
      <c r="AD744" t="b">
        <f t="shared" si="196"/>
        <v>0</v>
      </c>
      <c r="BN744" t="str">
        <f t="shared" si="194"/>
        <v>G782</v>
      </c>
    </row>
    <row r="745" spans="27:66" ht="12" customHeight="1">
      <c r="AA745" t="str">
        <f>'Green_rooibos initial weight'!A746</f>
        <v>G742</v>
      </c>
      <c r="AB745" t="str">
        <f>'Green_rooibos initial weight'!A1650</f>
        <v>R741</v>
      </c>
      <c r="AC745" t="b">
        <f t="shared" si="195"/>
        <v>0</v>
      </c>
      <c r="AD745" t="b">
        <f t="shared" si="196"/>
        <v>0</v>
      </c>
      <c r="BN745" t="str">
        <f t="shared" ref="BN745:BN808" si="197">L324</f>
        <v>G783</v>
      </c>
    </row>
    <row r="746" spans="27:66" ht="12" customHeight="1">
      <c r="AA746" t="str">
        <f>'Green_rooibos initial weight'!A747</f>
        <v>G743</v>
      </c>
      <c r="AB746" t="str">
        <f>'Green_rooibos initial weight'!A1651</f>
        <v>R742</v>
      </c>
      <c r="AC746" t="b">
        <f t="shared" si="195"/>
        <v>0</v>
      </c>
      <c r="AD746" t="b">
        <f t="shared" si="196"/>
        <v>0</v>
      </c>
      <c r="BN746" t="str">
        <f t="shared" si="197"/>
        <v>G784</v>
      </c>
    </row>
    <row r="747" spans="27:66" ht="12" customHeight="1">
      <c r="AA747" t="str">
        <f>'Green_rooibos initial weight'!A748</f>
        <v>G744</v>
      </c>
      <c r="AB747" t="str">
        <f>'Green_rooibos initial weight'!A1652</f>
        <v>R743</v>
      </c>
      <c r="AC747" t="b">
        <f t="shared" si="195"/>
        <v>0</v>
      </c>
      <c r="AD747" t="b">
        <f t="shared" si="196"/>
        <v>0</v>
      </c>
      <c r="BN747" t="str">
        <f t="shared" si="197"/>
        <v>G785</v>
      </c>
    </row>
    <row r="748" spans="27:66" ht="12" customHeight="1">
      <c r="AA748" t="str">
        <f>'Green_rooibos initial weight'!A749</f>
        <v>G745</v>
      </c>
      <c r="AB748" t="str">
        <f>'Green_rooibos initial weight'!A1653</f>
        <v>R744</v>
      </c>
      <c r="AC748" t="b">
        <f t="shared" si="195"/>
        <v>0</v>
      </c>
      <c r="AD748" t="b">
        <f t="shared" si="196"/>
        <v>0</v>
      </c>
      <c r="BN748" t="str">
        <f t="shared" si="197"/>
        <v>G786</v>
      </c>
    </row>
    <row r="749" spans="27:66" ht="12" customHeight="1">
      <c r="AA749" t="str">
        <f>'Green_rooibos initial weight'!A750</f>
        <v>G746</v>
      </c>
      <c r="AB749" t="str">
        <f>'Green_rooibos initial weight'!A1654</f>
        <v>R745</v>
      </c>
      <c r="AC749" t="b">
        <f t="shared" si="195"/>
        <v>0</v>
      </c>
      <c r="AD749" t="b">
        <f t="shared" si="196"/>
        <v>0</v>
      </c>
      <c r="BN749" t="str">
        <f t="shared" si="197"/>
        <v>G787</v>
      </c>
    </row>
    <row r="750" spans="27:66" ht="12" customHeight="1">
      <c r="AA750" t="str">
        <f>'Green_rooibos initial weight'!A751</f>
        <v>G747</v>
      </c>
      <c r="AB750" t="str">
        <f>'Green_rooibos initial weight'!A1655</f>
        <v>R746</v>
      </c>
      <c r="AC750" t="b">
        <f t="shared" si="195"/>
        <v>0</v>
      </c>
      <c r="AD750" t="b">
        <f t="shared" si="196"/>
        <v>0</v>
      </c>
      <c r="BN750" t="str">
        <f t="shared" si="197"/>
        <v>G789</v>
      </c>
    </row>
    <row r="751" spans="27:66" ht="12" customHeight="1">
      <c r="AA751" t="str">
        <f>'Green_rooibos initial weight'!A752</f>
        <v>G748</v>
      </c>
      <c r="AB751" t="str">
        <f>'Green_rooibos initial weight'!A1656</f>
        <v>R747</v>
      </c>
      <c r="AC751" t="b">
        <f t="shared" si="195"/>
        <v>0</v>
      </c>
      <c r="AD751" t="b">
        <f t="shared" si="196"/>
        <v>0</v>
      </c>
      <c r="BN751" t="str">
        <f t="shared" si="197"/>
        <v>G791</v>
      </c>
    </row>
    <row r="752" spans="27:66" ht="12" customHeight="1">
      <c r="AA752" t="str">
        <f>'Green_rooibos initial weight'!A753</f>
        <v>G749</v>
      </c>
      <c r="AB752" t="str">
        <f>'Green_rooibos initial weight'!A1657</f>
        <v>R748</v>
      </c>
      <c r="AC752" t="b">
        <f t="shared" si="195"/>
        <v>0</v>
      </c>
      <c r="AD752" t="b">
        <f t="shared" si="196"/>
        <v>0</v>
      </c>
      <c r="BN752" t="str">
        <f t="shared" si="197"/>
        <v>G793</v>
      </c>
    </row>
    <row r="753" spans="27:66" ht="12" customHeight="1">
      <c r="AA753" t="str">
        <f>'Green_rooibos initial weight'!A754</f>
        <v>G750</v>
      </c>
      <c r="AB753" t="str">
        <f>'Green_rooibos initial weight'!A1658</f>
        <v>R749</v>
      </c>
      <c r="AC753" t="b">
        <f t="shared" si="195"/>
        <v>0</v>
      </c>
      <c r="AD753" t="b">
        <f t="shared" si="196"/>
        <v>0</v>
      </c>
      <c r="BN753" t="str">
        <f t="shared" si="197"/>
        <v>G795</v>
      </c>
    </row>
    <row r="754" spans="27:66" ht="12" customHeight="1">
      <c r="AA754" t="str">
        <f>'Green_rooibos initial weight'!A755</f>
        <v>G751</v>
      </c>
      <c r="AB754" t="str">
        <f>'Green_rooibos initial weight'!A1659</f>
        <v>R750</v>
      </c>
      <c r="AC754" t="b">
        <f t="shared" si="195"/>
        <v>0</v>
      </c>
      <c r="AD754" t="b">
        <f t="shared" si="196"/>
        <v>0</v>
      </c>
      <c r="BN754" t="str">
        <f t="shared" si="197"/>
        <v>G796</v>
      </c>
    </row>
    <row r="755" spans="27:66" ht="12" customHeight="1">
      <c r="AA755" t="str">
        <f>'Green_rooibos initial weight'!A756</f>
        <v>G752</v>
      </c>
      <c r="AB755" t="str">
        <f>'Green_rooibos initial weight'!A1660</f>
        <v>R751</v>
      </c>
      <c r="AC755" t="b">
        <f t="shared" si="195"/>
        <v>0</v>
      </c>
      <c r="AD755" t="b">
        <f t="shared" si="196"/>
        <v>0</v>
      </c>
      <c r="BN755" t="str">
        <f t="shared" si="197"/>
        <v>G798</v>
      </c>
    </row>
    <row r="756" spans="27:66" ht="12" customHeight="1">
      <c r="AA756" t="str">
        <f>'Green_rooibos initial weight'!A757</f>
        <v>G753</v>
      </c>
      <c r="AB756" t="str">
        <f>'Green_rooibos initial weight'!A1661</f>
        <v>R752</v>
      </c>
      <c r="AC756" t="b">
        <f t="shared" si="195"/>
        <v>0</v>
      </c>
      <c r="AD756" t="b">
        <f t="shared" si="196"/>
        <v>0</v>
      </c>
      <c r="BN756" t="str">
        <f t="shared" si="197"/>
        <v>G799</v>
      </c>
    </row>
    <row r="757" spans="27:66" ht="12" customHeight="1">
      <c r="AA757" t="str">
        <f>'Green_rooibos initial weight'!A758</f>
        <v>G754</v>
      </c>
      <c r="AB757" t="str">
        <f>'Green_rooibos initial weight'!A1662</f>
        <v>R753</v>
      </c>
      <c r="AC757" t="b">
        <f t="shared" si="195"/>
        <v>0</v>
      </c>
      <c r="AD757" t="b">
        <f t="shared" si="196"/>
        <v>0</v>
      </c>
      <c r="BN757" t="str">
        <f t="shared" si="197"/>
        <v>G800</v>
      </c>
    </row>
    <row r="758" spans="27:66" ht="12" customHeight="1">
      <c r="AA758" t="str">
        <f>'Green_rooibos initial weight'!A759</f>
        <v>G755</v>
      </c>
      <c r="AB758" t="str">
        <f>'Green_rooibos initial weight'!A1663</f>
        <v>R754</v>
      </c>
      <c r="AC758" t="b">
        <f t="shared" si="195"/>
        <v>0</v>
      </c>
      <c r="AD758" t="b">
        <f t="shared" si="196"/>
        <v>0</v>
      </c>
      <c r="BN758" t="str">
        <f t="shared" si="197"/>
        <v>G801</v>
      </c>
    </row>
    <row r="759" spans="27:66" ht="12" customHeight="1">
      <c r="AA759" t="str">
        <f>'Green_rooibos initial weight'!A760</f>
        <v>G756</v>
      </c>
      <c r="AB759" t="str">
        <f>'Green_rooibos initial weight'!A1664</f>
        <v>R755</v>
      </c>
      <c r="AC759" t="b">
        <f t="shared" si="195"/>
        <v>0</v>
      </c>
      <c r="AD759" t="b">
        <f t="shared" si="196"/>
        <v>0</v>
      </c>
      <c r="BN759" t="str">
        <f t="shared" si="197"/>
        <v>G802</v>
      </c>
    </row>
    <row r="760" spans="27:66" ht="12" customHeight="1">
      <c r="AA760" t="str">
        <f>'Green_rooibos initial weight'!A761</f>
        <v>G757</v>
      </c>
      <c r="AB760" t="str">
        <f>'Green_rooibos initial weight'!A1665</f>
        <v>R756</v>
      </c>
      <c r="AC760" t="b">
        <f t="shared" si="195"/>
        <v>0</v>
      </c>
      <c r="AD760" t="b">
        <f t="shared" si="196"/>
        <v>0</v>
      </c>
      <c r="BN760" t="str">
        <f t="shared" si="197"/>
        <v>G803</v>
      </c>
    </row>
    <row r="761" spans="27:66" ht="12" customHeight="1">
      <c r="AA761" t="str">
        <f>'Green_rooibos initial weight'!A762</f>
        <v>G758</v>
      </c>
      <c r="AB761" t="str">
        <f>'Green_rooibos initial weight'!A1666</f>
        <v>R757</v>
      </c>
      <c r="AC761" t="b">
        <f t="shared" si="195"/>
        <v>0</v>
      </c>
      <c r="AD761" t="b">
        <f t="shared" si="196"/>
        <v>0</v>
      </c>
      <c r="BN761" t="str">
        <f t="shared" si="197"/>
        <v>G804</v>
      </c>
    </row>
    <row r="762" spans="27:66" ht="12" customHeight="1">
      <c r="AA762" t="str">
        <f>'Green_rooibos initial weight'!A763</f>
        <v>G759</v>
      </c>
      <c r="AB762" t="str">
        <f>'Green_rooibos initial weight'!A1667</f>
        <v>R758</v>
      </c>
      <c r="AC762" t="b">
        <f t="shared" si="195"/>
        <v>0</v>
      </c>
      <c r="AD762" t="b">
        <f t="shared" si="196"/>
        <v>0</v>
      </c>
      <c r="BN762" t="str">
        <f t="shared" si="197"/>
        <v>G805</v>
      </c>
    </row>
    <row r="763" spans="27:66" ht="12" customHeight="1">
      <c r="AA763" t="str">
        <f>'Green_rooibos initial weight'!A764</f>
        <v>G760</v>
      </c>
      <c r="AB763" t="str">
        <f>'Green_rooibos initial weight'!A1668</f>
        <v>R759</v>
      </c>
      <c r="AC763" t="b">
        <f t="shared" si="195"/>
        <v>0</v>
      </c>
      <c r="AD763" t="b">
        <f t="shared" si="196"/>
        <v>0</v>
      </c>
      <c r="BN763" t="str">
        <f t="shared" si="197"/>
        <v>G806</v>
      </c>
    </row>
    <row r="764" spans="27:66" ht="12" customHeight="1">
      <c r="AA764" t="str">
        <f>'Green_rooibos initial weight'!A765</f>
        <v>G761</v>
      </c>
      <c r="AB764" t="str">
        <f>'Green_rooibos initial weight'!A1669</f>
        <v>R760</v>
      </c>
      <c r="AC764" t="b">
        <f t="shared" si="195"/>
        <v>0</v>
      </c>
      <c r="AD764" t="b">
        <f t="shared" si="196"/>
        <v>0</v>
      </c>
      <c r="BN764" t="str">
        <f t="shared" si="197"/>
        <v>G807</v>
      </c>
    </row>
    <row r="765" spans="27:66" ht="12" customHeight="1">
      <c r="AA765" t="str">
        <f>'Green_rooibos initial weight'!A766</f>
        <v>G762</v>
      </c>
      <c r="AB765" t="str">
        <f>'Green_rooibos initial weight'!A1670</f>
        <v>R761</v>
      </c>
      <c r="AC765" t="b">
        <f t="shared" si="195"/>
        <v>0</v>
      </c>
      <c r="AD765" t="b">
        <f t="shared" si="196"/>
        <v>0</v>
      </c>
      <c r="BN765" t="str">
        <f t="shared" si="197"/>
        <v>G808</v>
      </c>
    </row>
    <row r="766" spans="27:66" ht="12" customHeight="1">
      <c r="AA766" t="str">
        <f>'Green_rooibos initial weight'!A767</f>
        <v>G763</v>
      </c>
      <c r="AB766" t="str">
        <f>'Green_rooibos initial weight'!A1671</f>
        <v>R762</v>
      </c>
      <c r="AC766" t="b">
        <f t="shared" si="195"/>
        <v>0</v>
      </c>
      <c r="AD766" t="b">
        <f t="shared" si="196"/>
        <v>0</v>
      </c>
      <c r="BN766" t="str">
        <f t="shared" si="197"/>
        <v>G809</v>
      </c>
    </row>
    <row r="767" spans="27:66" ht="12" customHeight="1">
      <c r="AA767" t="str">
        <f>'Green_rooibos initial weight'!A768</f>
        <v>G764</v>
      </c>
      <c r="AB767" t="str">
        <f>'Green_rooibos initial weight'!A1672</f>
        <v>R763</v>
      </c>
      <c r="AC767" t="b">
        <f t="shared" si="195"/>
        <v>0</v>
      </c>
      <c r="AD767" t="b">
        <f t="shared" si="196"/>
        <v>0</v>
      </c>
      <c r="BN767" t="str">
        <f t="shared" si="197"/>
        <v>G810</v>
      </c>
    </row>
    <row r="768" spans="27:66" ht="12" customHeight="1">
      <c r="AA768" t="str">
        <f>'Green_rooibos initial weight'!A769</f>
        <v>G765</v>
      </c>
      <c r="AB768" t="str">
        <f>'Green_rooibos initial weight'!A1673</f>
        <v>R764</v>
      </c>
      <c r="AC768" t="b">
        <f t="shared" si="195"/>
        <v>0</v>
      </c>
      <c r="AD768" t="b">
        <f t="shared" si="196"/>
        <v>0</v>
      </c>
      <c r="BN768" t="str">
        <f t="shared" si="197"/>
        <v>G811</v>
      </c>
    </row>
    <row r="769" spans="27:66" ht="12" customHeight="1">
      <c r="AA769" t="str">
        <f>'Green_rooibos initial weight'!A770</f>
        <v>G766</v>
      </c>
      <c r="AB769" t="str">
        <f>'Green_rooibos initial weight'!A1674</f>
        <v>R765</v>
      </c>
      <c r="AC769" t="b">
        <f t="shared" si="195"/>
        <v>0</v>
      </c>
      <c r="AD769" t="b">
        <f t="shared" si="196"/>
        <v>0</v>
      </c>
      <c r="BN769" t="str">
        <f t="shared" si="197"/>
        <v>G813</v>
      </c>
    </row>
    <row r="770" spans="27:66" ht="12" customHeight="1">
      <c r="AA770" t="str">
        <f>'Green_rooibos initial weight'!A771</f>
        <v>G767</v>
      </c>
      <c r="AB770" t="str">
        <f>'Green_rooibos initial weight'!A1675</f>
        <v>R766</v>
      </c>
      <c r="AC770" t="b">
        <f t="shared" si="195"/>
        <v>0</v>
      </c>
      <c r="AD770" t="b">
        <f t="shared" si="196"/>
        <v>0</v>
      </c>
      <c r="BN770" t="str">
        <f t="shared" si="197"/>
        <v>G814</v>
      </c>
    </row>
    <row r="771" spans="27:66" ht="12" customHeight="1">
      <c r="AA771" t="str">
        <f>'Green_rooibos initial weight'!A772</f>
        <v>G768</v>
      </c>
      <c r="AB771" t="str">
        <f>'Green_rooibos initial weight'!A1676</f>
        <v>R767</v>
      </c>
      <c r="AC771" t="b">
        <f t="shared" si="195"/>
        <v>0</v>
      </c>
      <c r="AD771" t="b">
        <f t="shared" si="196"/>
        <v>0</v>
      </c>
      <c r="BN771" t="str">
        <f t="shared" si="197"/>
        <v>G815</v>
      </c>
    </row>
    <row r="772" spans="27:66" ht="12" customHeight="1">
      <c r="AA772" t="str">
        <f>'Green_rooibos initial weight'!A773</f>
        <v>G769</v>
      </c>
      <c r="AB772" t="str">
        <f>'Green_rooibos initial weight'!A1677</f>
        <v>R768</v>
      </c>
      <c r="AC772" t="b">
        <f t="shared" si="195"/>
        <v>0</v>
      </c>
      <c r="AD772" t="b">
        <f t="shared" si="196"/>
        <v>0</v>
      </c>
      <c r="BN772" t="str">
        <f t="shared" si="197"/>
        <v>G816</v>
      </c>
    </row>
    <row r="773" spans="27:66" ht="12" customHeight="1">
      <c r="AA773" t="str">
        <f>'Green_rooibos initial weight'!A774</f>
        <v>G770</v>
      </c>
      <c r="AB773" t="str">
        <f>'Green_rooibos initial weight'!A1678</f>
        <v>R769</v>
      </c>
      <c r="AC773" t="b">
        <f t="shared" ref="AC773:AC836" si="198">COUNTIF($AA$4:$AA$2000, AA773)&gt;1</f>
        <v>0</v>
      </c>
      <c r="AD773" t="b">
        <f t="shared" ref="AD773:AD836" si="199">COUNTIF($AB$4:$AB$2000, AB773)&gt;1</f>
        <v>0</v>
      </c>
      <c r="BN773" t="str">
        <f t="shared" si="197"/>
        <v>G817</v>
      </c>
    </row>
    <row r="774" spans="27:66" ht="12" customHeight="1">
      <c r="AA774" t="str">
        <f>'Green_rooibos initial weight'!A775</f>
        <v>G771</v>
      </c>
      <c r="AB774" t="str">
        <f>'Green_rooibos initial weight'!A1679</f>
        <v>R770</v>
      </c>
      <c r="AC774" t="b">
        <f t="shared" si="198"/>
        <v>0</v>
      </c>
      <c r="AD774" t="b">
        <f t="shared" si="199"/>
        <v>0</v>
      </c>
      <c r="BN774" t="str">
        <f t="shared" si="197"/>
        <v>G818</v>
      </c>
    </row>
    <row r="775" spans="27:66" ht="12" customHeight="1">
      <c r="AA775" t="str">
        <f>'Green_rooibos initial weight'!A776</f>
        <v>G772</v>
      </c>
      <c r="AB775" t="str">
        <f>'Green_rooibos initial weight'!A1680</f>
        <v>R771</v>
      </c>
      <c r="AC775" t="b">
        <f t="shared" si="198"/>
        <v>0</v>
      </c>
      <c r="AD775" t="b">
        <f t="shared" si="199"/>
        <v>0</v>
      </c>
      <c r="BN775" t="str">
        <f t="shared" si="197"/>
        <v>G819</v>
      </c>
    </row>
    <row r="776" spans="27:66" ht="12" customHeight="1">
      <c r="AA776" t="str">
        <f>'Green_rooibos initial weight'!A777</f>
        <v>G773</v>
      </c>
      <c r="AB776" t="str">
        <f>'Green_rooibos initial weight'!A1681</f>
        <v>R772</v>
      </c>
      <c r="AC776" t="b">
        <f t="shared" si="198"/>
        <v>0</v>
      </c>
      <c r="AD776" t="b">
        <f t="shared" si="199"/>
        <v>0</v>
      </c>
      <c r="BN776" t="str">
        <f t="shared" si="197"/>
        <v>G820</v>
      </c>
    </row>
    <row r="777" spans="27:66" ht="12" customHeight="1">
      <c r="AA777" t="str">
        <f>'Green_rooibos initial weight'!A778</f>
        <v>G774</v>
      </c>
      <c r="AB777" t="str">
        <f>'Green_rooibos initial weight'!A1682</f>
        <v>R773</v>
      </c>
      <c r="AC777" t="b">
        <f t="shared" si="198"/>
        <v>0</v>
      </c>
      <c r="AD777" t="b">
        <f t="shared" si="199"/>
        <v>0</v>
      </c>
      <c r="BN777" t="str">
        <f t="shared" si="197"/>
        <v>G821</v>
      </c>
    </row>
    <row r="778" spans="27:66" ht="12" customHeight="1">
      <c r="AA778" t="str">
        <f>'Green_rooibos initial weight'!A779</f>
        <v>G775</v>
      </c>
      <c r="AB778" t="str">
        <f>'Green_rooibos initial weight'!A1683</f>
        <v>R774</v>
      </c>
      <c r="AC778" t="b">
        <f t="shared" si="198"/>
        <v>0</v>
      </c>
      <c r="AD778" t="b">
        <f t="shared" si="199"/>
        <v>0</v>
      </c>
      <c r="BN778" t="str">
        <f t="shared" si="197"/>
        <v>G822</v>
      </c>
    </row>
    <row r="779" spans="27:66" ht="12" customHeight="1">
      <c r="AA779" t="str">
        <f>'Green_rooibos initial weight'!A780</f>
        <v>G776</v>
      </c>
      <c r="AB779" t="str">
        <f>'Green_rooibos initial weight'!A1684</f>
        <v>R775</v>
      </c>
      <c r="AC779" t="b">
        <f t="shared" si="198"/>
        <v>0</v>
      </c>
      <c r="AD779" t="b">
        <f t="shared" si="199"/>
        <v>0</v>
      </c>
      <c r="BN779" t="str">
        <f t="shared" si="197"/>
        <v>G824</v>
      </c>
    </row>
    <row r="780" spans="27:66" ht="12" customHeight="1">
      <c r="AA780" t="str">
        <f>'Green_rooibos initial weight'!A781</f>
        <v>G777</v>
      </c>
      <c r="AB780" t="str">
        <f>'Green_rooibos initial weight'!A1685</f>
        <v>R776</v>
      </c>
      <c r="AC780" t="b">
        <f t="shared" si="198"/>
        <v>0</v>
      </c>
      <c r="AD780" t="b">
        <f t="shared" si="199"/>
        <v>0</v>
      </c>
      <c r="BN780" t="str">
        <f t="shared" si="197"/>
        <v>G825</v>
      </c>
    </row>
    <row r="781" spans="27:66" ht="12" customHeight="1">
      <c r="AA781" t="str">
        <f>'Green_rooibos initial weight'!A782</f>
        <v>G778</v>
      </c>
      <c r="AB781" t="str">
        <f>'Green_rooibos initial weight'!A1686</f>
        <v>R777</v>
      </c>
      <c r="AC781" t="b">
        <f t="shared" si="198"/>
        <v>0</v>
      </c>
      <c r="AD781" t="b">
        <f t="shared" si="199"/>
        <v>0</v>
      </c>
      <c r="BN781" t="str">
        <f t="shared" si="197"/>
        <v>G826</v>
      </c>
    </row>
    <row r="782" spans="27:66" ht="12" customHeight="1">
      <c r="AA782" t="str">
        <f>'Green_rooibos initial weight'!A783</f>
        <v>G779</v>
      </c>
      <c r="AB782" t="str">
        <f>'Green_rooibos initial weight'!A1687</f>
        <v>R778</v>
      </c>
      <c r="AC782" t="b">
        <f t="shared" si="198"/>
        <v>0</v>
      </c>
      <c r="AD782" t="b">
        <f t="shared" si="199"/>
        <v>0</v>
      </c>
      <c r="BN782" t="str">
        <f t="shared" si="197"/>
        <v>G828</v>
      </c>
    </row>
    <row r="783" spans="27:66" ht="12" customHeight="1">
      <c r="AA783" t="str">
        <f>'Green_rooibos initial weight'!A784</f>
        <v>G780</v>
      </c>
      <c r="AB783" t="str">
        <f>'Green_rooibos initial weight'!A1688</f>
        <v>R779</v>
      </c>
      <c r="AC783" t="b">
        <f t="shared" si="198"/>
        <v>0</v>
      </c>
      <c r="AD783" t="b">
        <f t="shared" si="199"/>
        <v>0</v>
      </c>
      <c r="BN783" t="str">
        <f t="shared" si="197"/>
        <v>G829</v>
      </c>
    </row>
    <row r="784" spans="27:66" ht="12" customHeight="1">
      <c r="AA784" t="str">
        <f>'Green_rooibos initial weight'!A785</f>
        <v>G781</v>
      </c>
      <c r="AB784" t="str">
        <f>'Green_rooibos initial weight'!A1689</f>
        <v>R780</v>
      </c>
      <c r="AC784" t="b">
        <f t="shared" si="198"/>
        <v>0</v>
      </c>
      <c r="AD784" t="b">
        <f t="shared" si="199"/>
        <v>0</v>
      </c>
      <c r="BN784" t="str">
        <f t="shared" si="197"/>
        <v>G830</v>
      </c>
    </row>
    <row r="785" spans="27:66" ht="12" customHeight="1">
      <c r="AA785" t="str">
        <f>'Green_rooibos initial weight'!A786</f>
        <v>G782</v>
      </c>
      <c r="AB785" t="str">
        <f>'Green_rooibos initial weight'!A1690</f>
        <v>R781</v>
      </c>
      <c r="AC785" t="b">
        <f t="shared" si="198"/>
        <v>0</v>
      </c>
      <c r="AD785" t="b">
        <f t="shared" si="199"/>
        <v>0</v>
      </c>
      <c r="BN785" t="str">
        <f t="shared" si="197"/>
        <v>G832</v>
      </c>
    </row>
    <row r="786" spans="27:66" ht="12" customHeight="1">
      <c r="AA786" t="str">
        <f>'Green_rooibos initial weight'!A787</f>
        <v>G783</v>
      </c>
      <c r="AB786" t="str">
        <f>'Green_rooibos initial weight'!A1691</f>
        <v>R782</v>
      </c>
      <c r="AC786" t="b">
        <f t="shared" si="198"/>
        <v>0</v>
      </c>
      <c r="AD786" t="b">
        <f t="shared" si="199"/>
        <v>0</v>
      </c>
      <c r="BN786" t="str">
        <f t="shared" si="197"/>
        <v>G833</v>
      </c>
    </row>
    <row r="787" spans="27:66" ht="12" customHeight="1">
      <c r="AA787" t="str">
        <f>'Green_rooibos initial weight'!A788</f>
        <v>G784</v>
      </c>
      <c r="AB787" t="str">
        <f>'Green_rooibos initial weight'!A1692</f>
        <v>R783</v>
      </c>
      <c r="AC787" t="b">
        <f t="shared" si="198"/>
        <v>0</v>
      </c>
      <c r="AD787" t="b">
        <f t="shared" si="199"/>
        <v>0</v>
      </c>
      <c r="BN787" t="str">
        <f t="shared" si="197"/>
        <v>G834</v>
      </c>
    </row>
    <row r="788" spans="27:66" ht="12" customHeight="1">
      <c r="AA788" t="str">
        <f>'Green_rooibos initial weight'!A789</f>
        <v>G785</v>
      </c>
      <c r="AB788" t="str">
        <f>'Green_rooibos initial weight'!A1693</f>
        <v>R784</v>
      </c>
      <c r="AC788" t="b">
        <f t="shared" si="198"/>
        <v>0</v>
      </c>
      <c r="AD788" t="b">
        <f t="shared" si="199"/>
        <v>0</v>
      </c>
      <c r="BN788" t="str">
        <f t="shared" si="197"/>
        <v>G835</v>
      </c>
    </row>
    <row r="789" spans="27:66" ht="12" customHeight="1">
      <c r="AA789" t="str">
        <f>'Green_rooibos initial weight'!A790</f>
        <v>G786</v>
      </c>
      <c r="AB789" t="str">
        <f>'Green_rooibos initial weight'!A1694</f>
        <v>R785</v>
      </c>
      <c r="AC789" t="b">
        <f t="shared" si="198"/>
        <v>0</v>
      </c>
      <c r="AD789" t="b">
        <f t="shared" si="199"/>
        <v>0</v>
      </c>
      <c r="BN789" t="str">
        <f t="shared" si="197"/>
        <v>G836</v>
      </c>
    </row>
    <row r="790" spans="27:66" ht="12" customHeight="1">
      <c r="AA790" t="str">
        <f>'Green_rooibos initial weight'!A791</f>
        <v>G787</v>
      </c>
      <c r="AB790" t="str">
        <f>'Green_rooibos initial weight'!A1695</f>
        <v>R786</v>
      </c>
      <c r="AC790" t="b">
        <f t="shared" si="198"/>
        <v>0</v>
      </c>
      <c r="AD790" t="b">
        <f t="shared" si="199"/>
        <v>0</v>
      </c>
      <c r="BN790" t="str">
        <f t="shared" si="197"/>
        <v>G837</v>
      </c>
    </row>
    <row r="791" spans="27:66" ht="12" customHeight="1">
      <c r="AA791" t="str">
        <f>'Green_rooibos initial weight'!A792</f>
        <v>G788</v>
      </c>
      <c r="AB791" t="str">
        <f>'Green_rooibos initial weight'!A1696</f>
        <v>R787</v>
      </c>
      <c r="AC791" t="b">
        <f t="shared" si="198"/>
        <v>0</v>
      </c>
      <c r="AD791" t="b">
        <f t="shared" si="199"/>
        <v>0</v>
      </c>
      <c r="BN791" t="str">
        <f t="shared" si="197"/>
        <v>G838</v>
      </c>
    </row>
    <row r="792" spans="27:66" ht="12" customHeight="1">
      <c r="AA792" t="str">
        <f>'Green_rooibos initial weight'!A793</f>
        <v>G789</v>
      </c>
      <c r="AB792" t="str">
        <f>'Green_rooibos initial weight'!A1697</f>
        <v>R788</v>
      </c>
      <c r="AC792" t="b">
        <f t="shared" si="198"/>
        <v>0</v>
      </c>
      <c r="AD792" t="b">
        <f t="shared" si="199"/>
        <v>0</v>
      </c>
      <c r="BN792" t="str">
        <f t="shared" si="197"/>
        <v>G839</v>
      </c>
    </row>
    <row r="793" spans="27:66" ht="12" customHeight="1">
      <c r="AA793" t="str">
        <f>'Green_rooibos initial weight'!A794</f>
        <v>G790</v>
      </c>
      <c r="AB793" t="str">
        <f>'Green_rooibos initial weight'!A1698</f>
        <v>R789</v>
      </c>
      <c r="AC793" t="b">
        <f t="shared" si="198"/>
        <v>0</v>
      </c>
      <c r="AD793" t="b">
        <f t="shared" si="199"/>
        <v>0</v>
      </c>
      <c r="BN793" t="str">
        <f t="shared" si="197"/>
        <v>G840</v>
      </c>
    </row>
    <row r="794" spans="27:66" ht="12" customHeight="1">
      <c r="AA794" t="str">
        <f>'Green_rooibos initial weight'!A795</f>
        <v>G791</v>
      </c>
      <c r="AB794" t="str">
        <f>'Green_rooibos initial weight'!A1699</f>
        <v>R790</v>
      </c>
      <c r="AC794" t="b">
        <f t="shared" si="198"/>
        <v>0</v>
      </c>
      <c r="AD794" t="b">
        <f t="shared" si="199"/>
        <v>0</v>
      </c>
      <c r="BN794" t="str">
        <f t="shared" si="197"/>
        <v>G841</v>
      </c>
    </row>
    <row r="795" spans="27:66" ht="12" customHeight="1">
      <c r="AA795" t="str">
        <f>'Green_rooibos initial weight'!A796</f>
        <v>G792</v>
      </c>
      <c r="AB795" t="str">
        <f>'Green_rooibos initial weight'!A1700</f>
        <v>R791</v>
      </c>
      <c r="AC795" t="b">
        <f t="shared" si="198"/>
        <v>0</v>
      </c>
      <c r="AD795" t="b">
        <f t="shared" si="199"/>
        <v>0</v>
      </c>
      <c r="BN795" t="str">
        <f t="shared" si="197"/>
        <v>G845</v>
      </c>
    </row>
    <row r="796" spans="27:66" ht="12" customHeight="1">
      <c r="AA796" t="str">
        <f>'Green_rooibos initial weight'!A797</f>
        <v>G793</v>
      </c>
      <c r="AB796" t="str">
        <f>'Green_rooibos initial weight'!A1701</f>
        <v>R792</v>
      </c>
      <c r="AC796" t="b">
        <f t="shared" si="198"/>
        <v>0</v>
      </c>
      <c r="AD796" t="b">
        <f t="shared" si="199"/>
        <v>0</v>
      </c>
      <c r="BN796" t="str">
        <f t="shared" si="197"/>
        <v>G846</v>
      </c>
    </row>
    <row r="797" spans="27:66" ht="12" customHeight="1">
      <c r="AA797" t="str">
        <f>'Green_rooibos initial weight'!A798</f>
        <v>G794</v>
      </c>
      <c r="AB797" t="str">
        <f>'Green_rooibos initial weight'!A1702</f>
        <v>R793</v>
      </c>
      <c r="AC797" t="b">
        <f t="shared" si="198"/>
        <v>0</v>
      </c>
      <c r="AD797" t="b">
        <f t="shared" si="199"/>
        <v>0</v>
      </c>
      <c r="BN797" t="str">
        <f t="shared" si="197"/>
        <v>G847</v>
      </c>
    </row>
    <row r="798" spans="27:66" ht="12" customHeight="1">
      <c r="AA798" t="str">
        <f>'Green_rooibos initial weight'!A799</f>
        <v>G795</v>
      </c>
      <c r="AB798" t="str">
        <f>'Green_rooibos initial weight'!A1703</f>
        <v>R794</v>
      </c>
      <c r="AC798" t="b">
        <f t="shared" si="198"/>
        <v>0</v>
      </c>
      <c r="AD798" t="b">
        <f t="shared" si="199"/>
        <v>0</v>
      </c>
      <c r="BN798" t="str">
        <f t="shared" si="197"/>
        <v>G849</v>
      </c>
    </row>
    <row r="799" spans="27:66" ht="12" customHeight="1">
      <c r="AA799" t="str">
        <f>'Green_rooibos initial weight'!A800</f>
        <v>G796</v>
      </c>
      <c r="AB799" t="str">
        <f>'Green_rooibos initial weight'!A1704</f>
        <v>R795</v>
      </c>
      <c r="AC799" t="b">
        <f t="shared" si="198"/>
        <v>0</v>
      </c>
      <c r="AD799" t="b">
        <f t="shared" si="199"/>
        <v>0</v>
      </c>
      <c r="BN799" t="str">
        <f t="shared" si="197"/>
        <v>G850</v>
      </c>
    </row>
    <row r="800" spans="27:66" ht="12" customHeight="1">
      <c r="AA800" t="str">
        <f>'Green_rooibos initial weight'!A801</f>
        <v>G797</v>
      </c>
      <c r="AB800" t="str">
        <f>'Green_rooibos initial weight'!A1705</f>
        <v>R796</v>
      </c>
      <c r="AC800" t="b">
        <f t="shared" si="198"/>
        <v>0</v>
      </c>
      <c r="AD800" t="b">
        <f t="shared" si="199"/>
        <v>0</v>
      </c>
      <c r="BN800" t="str">
        <f t="shared" si="197"/>
        <v>G852</v>
      </c>
    </row>
    <row r="801" spans="27:66" ht="12" customHeight="1">
      <c r="AA801" t="str">
        <f>'Green_rooibos initial weight'!A802</f>
        <v>G798</v>
      </c>
      <c r="AB801" t="str">
        <f>'Green_rooibos initial weight'!A1706</f>
        <v>R797</v>
      </c>
      <c r="AC801" t="b">
        <f t="shared" si="198"/>
        <v>0</v>
      </c>
      <c r="AD801" t="b">
        <f t="shared" si="199"/>
        <v>0</v>
      </c>
      <c r="BN801" t="str">
        <f t="shared" si="197"/>
        <v>G853</v>
      </c>
    </row>
    <row r="802" spans="27:66" ht="12" customHeight="1">
      <c r="AA802" t="str">
        <f>'Green_rooibos initial weight'!A803</f>
        <v>G799</v>
      </c>
      <c r="AB802" t="str">
        <f>'Green_rooibos initial weight'!A1707</f>
        <v>R798</v>
      </c>
      <c r="AC802" t="b">
        <f t="shared" si="198"/>
        <v>0</v>
      </c>
      <c r="AD802" t="b">
        <f t="shared" si="199"/>
        <v>0</v>
      </c>
      <c r="BN802" t="str">
        <f t="shared" si="197"/>
        <v>G856</v>
      </c>
    </row>
    <row r="803" spans="27:66" ht="12" customHeight="1">
      <c r="AA803" t="str">
        <f>'Green_rooibos initial weight'!A804</f>
        <v>G800</v>
      </c>
      <c r="AB803" t="str">
        <f>'Green_rooibos initial weight'!A1708</f>
        <v>R799</v>
      </c>
      <c r="AC803" t="b">
        <f t="shared" si="198"/>
        <v>0</v>
      </c>
      <c r="AD803" t="b">
        <f t="shared" si="199"/>
        <v>0</v>
      </c>
      <c r="BN803" t="str">
        <f t="shared" si="197"/>
        <v>G857</v>
      </c>
    </row>
    <row r="804" spans="27:66" ht="12" customHeight="1">
      <c r="AA804" t="str">
        <f>'Green_rooibos initial weight'!A805</f>
        <v>G801</v>
      </c>
      <c r="AB804" t="str">
        <f>'Green_rooibos initial weight'!A1709</f>
        <v>R800</v>
      </c>
      <c r="AC804" t="b">
        <f t="shared" si="198"/>
        <v>0</v>
      </c>
      <c r="AD804" t="b">
        <f t="shared" si="199"/>
        <v>0</v>
      </c>
      <c r="BN804" t="str">
        <f t="shared" si="197"/>
        <v>G858</v>
      </c>
    </row>
    <row r="805" spans="27:66" ht="12" customHeight="1">
      <c r="AA805" t="str">
        <f>'Green_rooibos initial weight'!A806</f>
        <v>G802</v>
      </c>
      <c r="AB805" t="str">
        <f>'Green_rooibos initial weight'!A1710</f>
        <v>R801</v>
      </c>
      <c r="AC805" t="b">
        <f t="shared" si="198"/>
        <v>0</v>
      </c>
      <c r="AD805" t="b">
        <f t="shared" si="199"/>
        <v>0</v>
      </c>
      <c r="BN805" t="str">
        <f t="shared" si="197"/>
        <v>G859</v>
      </c>
    </row>
    <row r="806" spans="27:66" ht="12" customHeight="1">
      <c r="AA806" t="str">
        <f>'Green_rooibos initial weight'!A807</f>
        <v>G803</v>
      </c>
      <c r="AB806" t="str">
        <f>'Green_rooibos initial weight'!A1711</f>
        <v>R802</v>
      </c>
      <c r="AC806" t="b">
        <f t="shared" si="198"/>
        <v>0</v>
      </c>
      <c r="AD806" t="b">
        <f t="shared" si="199"/>
        <v>0</v>
      </c>
      <c r="BN806" t="str">
        <f t="shared" si="197"/>
        <v>G860</v>
      </c>
    </row>
    <row r="807" spans="27:66" ht="12" customHeight="1">
      <c r="AA807" t="str">
        <f>'Green_rooibos initial weight'!A808</f>
        <v>G804</v>
      </c>
      <c r="AB807" t="str">
        <f>'Green_rooibos initial weight'!A1712</f>
        <v>R803</v>
      </c>
      <c r="AC807" t="b">
        <f t="shared" si="198"/>
        <v>0</v>
      </c>
      <c r="AD807" t="b">
        <f t="shared" si="199"/>
        <v>0</v>
      </c>
      <c r="BN807" t="str">
        <f t="shared" si="197"/>
        <v>G861</v>
      </c>
    </row>
    <row r="808" spans="27:66" ht="12" customHeight="1">
      <c r="AA808" t="str">
        <f>'Green_rooibos initial weight'!A809</f>
        <v>G805</v>
      </c>
      <c r="AB808" t="str">
        <f>'Green_rooibos initial weight'!A1713</f>
        <v>R804</v>
      </c>
      <c r="AC808" t="b">
        <f t="shared" si="198"/>
        <v>0</v>
      </c>
      <c r="AD808" t="b">
        <f t="shared" si="199"/>
        <v>0</v>
      </c>
      <c r="BN808" t="str">
        <f t="shared" si="197"/>
        <v>G862</v>
      </c>
    </row>
    <row r="809" spans="27:66" ht="12" customHeight="1">
      <c r="AA809" t="str">
        <f>'Green_rooibos initial weight'!A810</f>
        <v>G806</v>
      </c>
      <c r="AB809" t="str">
        <f>'Green_rooibos initial weight'!A1714</f>
        <v>R805</v>
      </c>
      <c r="AC809" t="b">
        <f t="shared" si="198"/>
        <v>0</v>
      </c>
      <c r="AD809" t="b">
        <f t="shared" si="199"/>
        <v>0</v>
      </c>
      <c r="BN809" t="str">
        <f t="shared" ref="BN809:BN872" si="200">L388</f>
        <v>G863</v>
      </c>
    </row>
    <row r="810" spans="27:66" ht="12" customHeight="1">
      <c r="AA810" t="str">
        <f>'Green_rooibos initial weight'!A811</f>
        <v>G807</v>
      </c>
      <c r="AB810" t="str">
        <f>'Green_rooibos initial weight'!A1715</f>
        <v>R806</v>
      </c>
      <c r="AC810" t="b">
        <f t="shared" si="198"/>
        <v>0</v>
      </c>
      <c r="AD810" t="b">
        <f t="shared" si="199"/>
        <v>0</v>
      </c>
      <c r="BN810" t="str">
        <f t="shared" si="200"/>
        <v>G864</v>
      </c>
    </row>
    <row r="811" spans="27:66" ht="12" customHeight="1">
      <c r="AA811" t="str">
        <f>'Green_rooibos initial weight'!A812</f>
        <v>G808</v>
      </c>
      <c r="AB811" t="str">
        <f>'Green_rooibos initial weight'!A1716</f>
        <v>R807</v>
      </c>
      <c r="AC811" t="b">
        <f t="shared" si="198"/>
        <v>0</v>
      </c>
      <c r="AD811" t="b">
        <f t="shared" si="199"/>
        <v>0</v>
      </c>
      <c r="BN811" t="str">
        <f t="shared" si="200"/>
        <v>G865</v>
      </c>
    </row>
    <row r="812" spans="27:66" ht="12" customHeight="1">
      <c r="AA812" t="str">
        <f>'Green_rooibos initial weight'!A813</f>
        <v>G809</v>
      </c>
      <c r="AB812" t="str">
        <f>'Green_rooibos initial weight'!A1717</f>
        <v>R808</v>
      </c>
      <c r="AC812" t="b">
        <f t="shared" si="198"/>
        <v>0</v>
      </c>
      <c r="AD812" t="b">
        <f t="shared" si="199"/>
        <v>0</v>
      </c>
      <c r="BN812" t="str">
        <f t="shared" si="200"/>
        <v>G869</v>
      </c>
    </row>
    <row r="813" spans="27:66" ht="12" customHeight="1">
      <c r="AA813" t="str">
        <f>'Green_rooibos initial weight'!A814</f>
        <v>G810</v>
      </c>
      <c r="AB813" t="str">
        <f>'Green_rooibos initial weight'!A1718</f>
        <v>R809</v>
      </c>
      <c r="AC813" t="b">
        <f t="shared" si="198"/>
        <v>0</v>
      </c>
      <c r="AD813" t="b">
        <f t="shared" si="199"/>
        <v>0</v>
      </c>
      <c r="BN813" t="str">
        <f t="shared" si="200"/>
        <v>G871</v>
      </c>
    </row>
    <row r="814" spans="27:66" ht="12" customHeight="1">
      <c r="AA814" t="str">
        <f>'Green_rooibos initial weight'!A815</f>
        <v>G811</v>
      </c>
      <c r="AB814" t="str">
        <f>'Green_rooibos initial weight'!A1719</f>
        <v>R810</v>
      </c>
      <c r="AC814" t="b">
        <f t="shared" si="198"/>
        <v>0</v>
      </c>
      <c r="AD814" t="b">
        <f t="shared" si="199"/>
        <v>0</v>
      </c>
      <c r="BN814" t="str">
        <f t="shared" si="200"/>
        <v>G875</v>
      </c>
    </row>
    <row r="815" spans="27:66" ht="12" customHeight="1">
      <c r="AA815" t="str">
        <f>'Green_rooibos initial weight'!A816</f>
        <v>G812</v>
      </c>
      <c r="AB815" t="str">
        <f>'Green_rooibos initial weight'!A1720</f>
        <v>R811</v>
      </c>
      <c r="AC815" t="b">
        <f t="shared" si="198"/>
        <v>0</v>
      </c>
      <c r="AD815" t="b">
        <f t="shared" si="199"/>
        <v>0</v>
      </c>
      <c r="BN815" t="str">
        <f t="shared" si="200"/>
        <v>G876</v>
      </c>
    </row>
    <row r="816" spans="27:66" ht="12" customHeight="1">
      <c r="AA816" t="str">
        <f>'Green_rooibos initial weight'!A817</f>
        <v>G813</v>
      </c>
      <c r="AB816" t="str">
        <f>'Green_rooibos initial weight'!A1721</f>
        <v>R812</v>
      </c>
      <c r="AC816" t="b">
        <f t="shared" si="198"/>
        <v>0</v>
      </c>
      <c r="AD816" t="b">
        <f t="shared" si="199"/>
        <v>0</v>
      </c>
      <c r="BN816" t="str">
        <f t="shared" si="200"/>
        <v>G877</v>
      </c>
    </row>
    <row r="817" spans="27:66" ht="12" customHeight="1">
      <c r="AA817" t="str">
        <f>'Green_rooibos initial weight'!A818</f>
        <v>G814</v>
      </c>
      <c r="AB817" t="str">
        <f>'Green_rooibos initial weight'!A1722</f>
        <v>R813</v>
      </c>
      <c r="AC817" t="b">
        <f t="shared" si="198"/>
        <v>0</v>
      </c>
      <c r="AD817" t="b">
        <f t="shared" si="199"/>
        <v>0</v>
      </c>
      <c r="BN817" t="str">
        <f t="shared" si="200"/>
        <v>G878</v>
      </c>
    </row>
    <row r="818" spans="27:66" ht="12" customHeight="1">
      <c r="AA818" t="str">
        <f>'Green_rooibos initial weight'!A819</f>
        <v>G815</v>
      </c>
      <c r="AB818" t="str">
        <f>'Green_rooibos initial weight'!A1723</f>
        <v>R814</v>
      </c>
      <c r="AC818" t="b">
        <f t="shared" si="198"/>
        <v>0</v>
      </c>
      <c r="AD818" t="b">
        <f t="shared" si="199"/>
        <v>0</v>
      </c>
      <c r="BN818" t="str">
        <f t="shared" si="200"/>
        <v>G880</v>
      </c>
    </row>
    <row r="819" spans="27:66" ht="12" customHeight="1">
      <c r="AA819" t="str">
        <f>'Green_rooibos initial weight'!A820</f>
        <v>G816</v>
      </c>
      <c r="AB819" t="str">
        <f>'Green_rooibos initial weight'!A1724</f>
        <v>R815</v>
      </c>
      <c r="AC819" t="b">
        <f t="shared" si="198"/>
        <v>0</v>
      </c>
      <c r="AD819" t="b">
        <f t="shared" si="199"/>
        <v>0</v>
      </c>
      <c r="BN819" t="str">
        <f t="shared" si="200"/>
        <v>G881</v>
      </c>
    </row>
    <row r="820" spans="27:66" ht="12" customHeight="1">
      <c r="AA820" t="str">
        <f>'Green_rooibos initial weight'!A821</f>
        <v>G817</v>
      </c>
      <c r="AB820" t="str">
        <f>'Green_rooibos initial weight'!A1725</f>
        <v>R816</v>
      </c>
      <c r="AC820" t="b">
        <f t="shared" si="198"/>
        <v>0</v>
      </c>
      <c r="AD820" t="b">
        <f t="shared" si="199"/>
        <v>0</v>
      </c>
      <c r="BN820" t="str">
        <f t="shared" si="200"/>
        <v>G882</v>
      </c>
    </row>
    <row r="821" spans="27:66" ht="12" customHeight="1">
      <c r="AA821" t="str">
        <f>'Green_rooibos initial weight'!A822</f>
        <v>G818</v>
      </c>
      <c r="AB821" t="str">
        <f>'Green_rooibos initial weight'!A1726</f>
        <v>R817</v>
      </c>
      <c r="AC821" t="b">
        <f t="shared" si="198"/>
        <v>0</v>
      </c>
      <c r="AD821" t="b">
        <f t="shared" si="199"/>
        <v>0</v>
      </c>
      <c r="BN821" t="str">
        <f t="shared" si="200"/>
        <v>G883</v>
      </c>
    </row>
    <row r="822" spans="27:66" ht="12" customHeight="1">
      <c r="AA822" t="str">
        <f>'Green_rooibos initial weight'!A823</f>
        <v>G819</v>
      </c>
      <c r="AB822" t="str">
        <f>'Green_rooibos initial weight'!A1727</f>
        <v>R818</v>
      </c>
      <c r="AC822" t="b">
        <f t="shared" si="198"/>
        <v>0</v>
      </c>
      <c r="AD822" t="b">
        <f t="shared" si="199"/>
        <v>0</v>
      </c>
      <c r="BN822" t="str">
        <f t="shared" si="200"/>
        <v>G884</v>
      </c>
    </row>
    <row r="823" spans="27:66" ht="12" customHeight="1">
      <c r="AA823" t="str">
        <f>'Green_rooibos initial weight'!A824</f>
        <v>G820</v>
      </c>
      <c r="AB823" t="str">
        <f>'Green_rooibos initial weight'!A1728</f>
        <v>R819</v>
      </c>
      <c r="AC823" t="b">
        <f t="shared" si="198"/>
        <v>0</v>
      </c>
      <c r="AD823" t="b">
        <f t="shared" si="199"/>
        <v>0</v>
      </c>
      <c r="BN823" t="str">
        <f t="shared" si="200"/>
        <v>G885</v>
      </c>
    </row>
    <row r="824" spans="27:66" ht="12" customHeight="1">
      <c r="AA824" t="str">
        <f>'Green_rooibos initial weight'!A825</f>
        <v>G821</v>
      </c>
      <c r="AB824" t="str">
        <f>'Green_rooibos initial weight'!A1729</f>
        <v>R820</v>
      </c>
      <c r="AC824" t="b">
        <f t="shared" si="198"/>
        <v>0</v>
      </c>
      <c r="AD824" t="b">
        <f t="shared" si="199"/>
        <v>0</v>
      </c>
      <c r="BN824" t="str">
        <f t="shared" si="200"/>
        <v>G886</v>
      </c>
    </row>
    <row r="825" spans="27:66" ht="12" customHeight="1">
      <c r="AA825" t="str">
        <f>'Green_rooibos initial weight'!A826</f>
        <v>G822</v>
      </c>
      <c r="AB825" t="str">
        <f>'Green_rooibos initial weight'!A1730</f>
        <v>R821</v>
      </c>
      <c r="AC825" t="b">
        <f t="shared" si="198"/>
        <v>0</v>
      </c>
      <c r="AD825" t="b">
        <f t="shared" si="199"/>
        <v>0</v>
      </c>
      <c r="BN825" t="str">
        <f t="shared" si="200"/>
        <v>G887</v>
      </c>
    </row>
    <row r="826" spans="27:66" ht="12" customHeight="1">
      <c r="AA826" t="str">
        <f>'Green_rooibos initial weight'!A827</f>
        <v>G823</v>
      </c>
      <c r="AB826" t="str">
        <f>'Green_rooibos initial weight'!A1731</f>
        <v>R822</v>
      </c>
      <c r="AC826" t="b">
        <f t="shared" si="198"/>
        <v>0</v>
      </c>
      <c r="AD826" t="b">
        <f t="shared" si="199"/>
        <v>0</v>
      </c>
      <c r="BN826" t="str">
        <f t="shared" si="200"/>
        <v>G888</v>
      </c>
    </row>
    <row r="827" spans="27:66" ht="12" customHeight="1">
      <c r="AA827" t="str">
        <f>'Green_rooibos initial weight'!A828</f>
        <v>G824</v>
      </c>
      <c r="AB827" t="str">
        <f>'Green_rooibos initial weight'!A1732</f>
        <v>R823</v>
      </c>
      <c r="AC827" t="b">
        <f t="shared" si="198"/>
        <v>0</v>
      </c>
      <c r="AD827" t="b">
        <f t="shared" si="199"/>
        <v>0</v>
      </c>
      <c r="BN827" t="str">
        <f t="shared" si="200"/>
        <v>G889</v>
      </c>
    </row>
    <row r="828" spans="27:66" ht="12" customHeight="1">
      <c r="AA828" t="str">
        <f>'Green_rooibos initial weight'!A829</f>
        <v>G825</v>
      </c>
      <c r="AB828" t="str">
        <f>'Green_rooibos initial weight'!A1733</f>
        <v>R824</v>
      </c>
      <c r="AC828" t="b">
        <f t="shared" si="198"/>
        <v>0</v>
      </c>
      <c r="AD828" t="b">
        <f t="shared" si="199"/>
        <v>0</v>
      </c>
      <c r="BN828" t="str">
        <f t="shared" si="200"/>
        <v>G890</v>
      </c>
    </row>
    <row r="829" spans="27:66" ht="12" customHeight="1">
      <c r="AA829" t="str">
        <f>'Green_rooibos initial weight'!A830</f>
        <v>G826</v>
      </c>
      <c r="AB829" t="str">
        <f>'Green_rooibos initial weight'!A1734</f>
        <v>R825</v>
      </c>
      <c r="AC829" t="b">
        <f t="shared" si="198"/>
        <v>0</v>
      </c>
      <c r="AD829" t="b">
        <f t="shared" si="199"/>
        <v>0</v>
      </c>
      <c r="BN829" t="str">
        <f t="shared" si="200"/>
        <v>G891</v>
      </c>
    </row>
    <row r="830" spans="27:66" ht="12" customHeight="1">
      <c r="AA830" t="str">
        <f>'Green_rooibos initial weight'!A831</f>
        <v>G827</v>
      </c>
      <c r="AB830" t="str">
        <f>'Green_rooibos initial weight'!A1735</f>
        <v>R826</v>
      </c>
      <c r="AC830" t="b">
        <f t="shared" si="198"/>
        <v>0</v>
      </c>
      <c r="AD830" t="b">
        <f t="shared" si="199"/>
        <v>0</v>
      </c>
      <c r="BN830" t="str">
        <f t="shared" si="200"/>
        <v>G892</v>
      </c>
    </row>
    <row r="831" spans="27:66" ht="12" customHeight="1">
      <c r="AA831" t="str">
        <f>'Green_rooibos initial weight'!A832</f>
        <v>G828</v>
      </c>
      <c r="AB831" t="str">
        <f>'Green_rooibos initial weight'!A1736</f>
        <v>R827</v>
      </c>
      <c r="AC831" t="b">
        <f t="shared" si="198"/>
        <v>0</v>
      </c>
      <c r="AD831" t="b">
        <f t="shared" si="199"/>
        <v>0</v>
      </c>
      <c r="BN831" t="str">
        <f t="shared" si="200"/>
        <v>G893</v>
      </c>
    </row>
    <row r="832" spans="27:66" ht="12" customHeight="1">
      <c r="AA832" t="str">
        <f>'Green_rooibos initial weight'!A833</f>
        <v>G829</v>
      </c>
      <c r="AB832" t="str">
        <f>'Green_rooibos initial weight'!A1737</f>
        <v>R828</v>
      </c>
      <c r="AC832" t="b">
        <f t="shared" si="198"/>
        <v>0</v>
      </c>
      <c r="AD832" t="b">
        <f t="shared" si="199"/>
        <v>0</v>
      </c>
      <c r="BN832" t="str">
        <f t="shared" si="200"/>
        <v>G894</v>
      </c>
    </row>
    <row r="833" spans="27:66" ht="12" customHeight="1">
      <c r="AA833" t="str">
        <f>'Green_rooibos initial weight'!A834</f>
        <v>G830</v>
      </c>
      <c r="AB833" t="str">
        <f>'Green_rooibos initial weight'!A1738</f>
        <v>R829</v>
      </c>
      <c r="AC833" t="b">
        <f t="shared" si="198"/>
        <v>0</v>
      </c>
      <c r="AD833" t="b">
        <f t="shared" si="199"/>
        <v>0</v>
      </c>
      <c r="BN833" t="str">
        <f t="shared" si="200"/>
        <v>G895</v>
      </c>
    </row>
    <row r="834" spans="27:66" ht="12" customHeight="1">
      <c r="AA834" t="str">
        <f>'Green_rooibos initial weight'!A835</f>
        <v>G831</v>
      </c>
      <c r="AB834" t="str">
        <f>'Green_rooibos initial weight'!A1739</f>
        <v>R830</v>
      </c>
      <c r="AC834" t="b">
        <f t="shared" si="198"/>
        <v>0</v>
      </c>
      <c r="AD834" t="b">
        <f t="shared" si="199"/>
        <v>0</v>
      </c>
      <c r="BN834" t="str">
        <f t="shared" si="200"/>
        <v>G896</v>
      </c>
    </row>
    <row r="835" spans="27:66" ht="12" customHeight="1">
      <c r="AA835" t="str">
        <f>'Green_rooibos initial weight'!A836</f>
        <v>G832</v>
      </c>
      <c r="AB835" t="str">
        <f>'Green_rooibos initial weight'!A1740</f>
        <v>R831</v>
      </c>
      <c r="AC835" t="b">
        <f t="shared" si="198"/>
        <v>0</v>
      </c>
      <c r="AD835" t="b">
        <f t="shared" si="199"/>
        <v>0</v>
      </c>
      <c r="BN835" t="str">
        <f t="shared" si="200"/>
        <v>G897</v>
      </c>
    </row>
    <row r="836" spans="27:66" ht="12" customHeight="1">
      <c r="AA836" t="str">
        <f>'Green_rooibos initial weight'!A837</f>
        <v>G833</v>
      </c>
      <c r="AB836" t="str">
        <f>'Green_rooibos initial weight'!A1741</f>
        <v>R832</v>
      </c>
      <c r="AC836" t="b">
        <f t="shared" si="198"/>
        <v>0</v>
      </c>
      <c r="AD836" t="b">
        <f t="shared" si="199"/>
        <v>0</v>
      </c>
      <c r="BN836" t="str">
        <f t="shared" si="200"/>
        <v>G898</v>
      </c>
    </row>
    <row r="837" spans="27:66" ht="12" customHeight="1">
      <c r="AA837" t="str">
        <f>'Green_rooibos initial weight'!A838</f>
        <v>G834</v>
      </c>
      <c r="AB837" t="str">
        <f>'Green_rooibos initial weight'!A1742</f>
        <v>R833</v>
      </c>
      <c r="AC837" t="b">
        <f t="shared" ref="AC837:AC900" si="201">COUNTIF($AA$4:$AA$2000, AA837)&gt;1</f>
        <v>0</v>
      </c>
      <c r="AD837" t="b">
        <f t="shared" ref="AD837:AD900" si="202">COUNTIF($AB$4:$AB$2000, AB837)&gt;1</f>
        <v>0</v>
      </c>
      <c r="BN837" t="str">
        <f t="shared" si="200"/>
        <v>G899</v>
      </c>
    </row>
    <row r="838" spans="27:66" ht="12" customHeight="1">
      <c r="AA838" t="str">
        <f>'Green_rooibos initial weight'!A839</f>
        <v>G835</v>
      </c>
      <c r="AB838" t="str">
        <f>'Green_rooibos initial weight'!A1743</f>
        <v>R834</v>
      </c>
      <c r="AC838" t="b">
        <f t="shared" si="201"/>
        <v>0</v>
      </c>
      <c r="AD838" t="b">
        <f t="shared" si="202"/>
        <v>0</v>
      </c>
      <c r="BN838" t="str">
        <f t="shared" si="200"/>
        <v>G900</v>
      </c>
    </row>
    <row r="839" spans="27:66" ht="12" customHeight="1">
      <c r="AA839" t="str">
        <f>'Green_rooibos initial weight'!A840</f>
        <v>G836</v>
      </c>
      <c r="AB839" t="str">
        <f>'Green_rooibos initial weight'!A1744</f>
        <v>R835</v>
      </c>
      <c r="AC839" t="b">
        <f t="shared" si="201"/>
        <v>0</v>
      </c>
      <c r="AD839" t="b">
        <f t="shared" si="202"/>
        <v>0</v>
      </c>
      <c r="BN839" t="str">
        <f t="shared" si="200"/>
        <v>G901</v>
      </c>
    </row>
    <row r="840" spans="27:66" ht="12" customHeight="1">
      <c r="AA840" t="str">
        <f>'Green_rooibos initial weight'!A841</f>
        <v>G837</v>
      </c>
      <c r="AB840" t="str">
        <f>'Green_rooibos initial weight'!A1745</f>
        <v>R836</v>
      </c>
      <c r="AC840" t="b">
        <f t="shared" si="201"/>
        <v>0</v>
      </c>
      <c r="AD840" t="b">
        <f t="shared" si="202"/>
        <v>0</v>
      </c>
      <c r="BN840" t="str">
        <f t="shared" si="200"/>
        <v>G902</v>
      </c>
    </row>
    <row r="841" spans="27:66" ht="12" customHeight="1">
      <c r="AA841" t="str">
        <f>'Green_rooibos initial weight'!A842</f>
        <v>G838</v>
      </c>
      <c r="AB841" t="str">
        <f>'Green_rooibos initial weight'!A1746</f>
        <v>R837</v>
      </c>
      <c r="AC841" t="b">
        <f t="shared" si="201"/>
        <v>0</v>
      </c>
      <c r="AD841" t="b">
        <f t="shared" si="202"/>
        <v>0</v>
      </c>
      <c r="BN841" t="str">
        <f t="shared" si="200"/>
        <v>N.A.</v>
      </c>
    </row>
    <row r="842" spans="27:66" ht="12" customHeight="1">
      <c r="AA842" t="str">
        <f>'Green_rooibos initial weight'!A843</f>
        <v>G839</v>
      </c>
      <c r="AB842" t="str">
        <f>'Green_rooibos initial weight'!A1747</f>
        <v>R838</v>
      </c>
      <c r="AC842" t="b">
        <f t="shared" si="201"/>
        <v>0</v>
      </c>
      <c r="AD842" t="b">
        <f t="shared" si="202"/>
        <v>0</v>
      </c>
      <c r="BN842" t="str">
        <f t="shared" si="200"/>
        <v>NA</v>
      </c>
    </row>
    <row r="843" spans="27:66" ht="12" customHeight="1">
      <c r="AA843" t="str">
        <f>'Green_rooibos initial weight'!A844</f>
        <v>G840</v>
      </c>
      <c r="AB843" t="str">
        <f>'Green_rooibos initial weight'!A1748</f>
        <v>R839</v>
      </c>
      <c r="AC843" t="b">
        <f t="shared" si="201"/>
        <v>0</v>
      </c>
      <c r="AD843" t="b">
        <f t="shared" si="202"/>
        <v>0</v>
      </c>
    </row>
    <row r="844" spans="27:66" ht="12" customHeight="1">
      <c r="AA844" t="str">
        <f>'Green_rooibos initial weight'!A845</f>
        <v>G841</v>
      </c>
      <c r="AB844" t="str">
        <f>'Green_rooibos initial weight'!A1749</f>
        <v>R840</v>
      </c>
      <c r="AC844" t="b">
        <f t="shared" si="201"/>
        <v>0</v>
      </c>
      <c r="AD844" t="b">
        <f t="shared" si="202"/>
        <v>0</v>
      </c>
    </row>
    <row r="845" spans="27:66" ht="12" customHeight="1">
      <c r="AA845" t="str">
        <f>'Green_rooibos initial weight'!A846</f>
        <v>G842</v>
      </c>
      <c r="AB845">
        <f>'Green_rooibos initial weight'!A1750</f>
        <v>0</v>
      </c>
      <c r="AC845" t="b">
        <f t="shared" si="201"/>
        <v>0</v>
      </c>
      <c r="AD845" t="b">
        <f t="shared" si="202"/>
        <v>1</v>
      </c>
    </row>
    <row r="846" spans="27:66" ht="12" customHeight="1">
      <c r="AA846" t="str">
        <f>'Green_rooibos initial weight'!A847</f>
        <v>G843</v>
      </c>
      <c r="AB846">
        <f>'Green_rooibos initial weight'!A1751</f>
        <v>0</v>
      </c>
      <c r="AC846" t="b">
        <f t="shared" si="201"/>
        <v>0</v>
      </c>
      <c r="AD846" t="b">
        <f t="shared" si="202"/>
        <v>1</v>
      </c>
    </row>
    <row r="847" spans="27:66" ht="12" customHeight="1">
      <c r="AA847" t="str">
        <f>'Green_rooibos initial weight'!A848</f>
        <v>G844</v>
      </c>
      <c r="AB847">
        <f>'Green_rooibos initial weight'!A1752</f>
        <v>0</v>
      </c>
      <c r="AC847" t="b">
        <f t="shared" si="201"/>
        <v>0</v>
      </c>
      <c r="AD847" t="b">
        <f t="shared" si="202"/>
        <v>1</v>
      </c>
    </row>
    <row r="848" spans="27:66" ht="12" customHeight="1">
      <c r="AA848" t="str">
        <f>'Green_rooibos initial weight'!A849</f>
        <v>G845</v>
      </c>
      <c r="AB848">
        <f>'Green_rooibos initial weight'!A1753</f>
        <v>0</v>
      </c>
      <c r="AC848" t="b">
        <f t="shared" si="201"/>
        <v>0</v>
      </c>
      <c r="AD848" t="b">
        <f t="shared" si="202"/>
        <v>1</v>
      </c>
    </row>
    <row r="849" spans="27:30" ht="12" customHeight="1">
      <c r="AA849" t="str">
        <f>'Green_rooibos initial weight'!A850</f>
        <v>G846</v>
      </c>
      <c r="AB849">
        <f>'Green_rooibos initial weight'!A1754</f>
        <v>0</v>
      </c>
      <c r="AC849" t="b">
        <f t="shared" si="201"/>
        <v>0</v>
      </c>
      <c r="AD849" t="b">
        <f t="shared" si="202"/>
        <v>1</v>
      </c>
    </row>
    <row r="850" spans="27:30" ht="12" customHeight="1">
      <c r="AA850" t="str">
        <f>'Green_rooibos initial weight'!A851</f>
        <v>G847</v>
      </c>
      <c r="AB850">
        <f>'Green_rooibos initial weight'!A1755</f>
        <v>0</v>
      </c>
      <c r="AC850" t="b">
        <f t="shared" si="201"/>
        <v>0</v>
      </c>
      <c r="AD850" t="b">
        <f t="shared" si="202"/>
        <v>1</v>
      </c>
    </row>
    <row r="851" spans="27:30" ht="12" customHeight="1">
      <c r="AA851" t="str">
        <f>'Green_rooibos initial weight'!A852</f>
        <v>G848</v>
      </c>
      <c r="AB851">
        <f>'Green_rooibos initial weight'!A1756</f>
        <v>0</v>
      </c>
      <c r="AC851" t="b">
        <f t="shared" si="201"/>
        <v>0</v>
      </c>
      <c r="AD851" t="b">
        <f t="shared" si="202"/>
        <v>1</v>
      </c>
    </row>
    <row r="852" spans="27:30" ht="12" customHeight="1">
      <c r="AA852" t="str">
        <f>'Green_rooibos initial weight'!A853</f>
        <v>G849</v>
      </c>
      <c r="AB852">
        <f>'Green_rooibos initial weight'!A1757</f>
        <v>0</v>
      </c>
      <c r="AC852" t="b">
        <f t="shared" si="201"/>
        <v>0</v>
      </c>
      <c r="AD852" t="b">
        <f t="shared" si="202"/>
        <v>1</v>
      </c>
    </row>
    <row r="853" spans="27:30" ht="12" customHeight="1">
      <c r="AA853" t="str">
        <f>'Green_rooibos initial weight'!A854</f>
        <v>G850</v>
      </c>
      <c r="AB853">
        <f>'Green_rooibos initial weight'!A1758</f>
        <v>0</v>
      </c>
      <c r="AC853" t="b">
        <f t="shared" si="201"/>
        <v>0</v>
      </c>
      <c r="AD853" t="b">
        <f t="shared" si="202"/>
        <v>1</v>
      </c>
    </row>
    <row r="854" spans="27:30" ht="12" customHeight="1">
      <c r="AA854" t="str">
        <f>'Green_rooibos initial weight'!A855</f>
        <v>G851</v>
      </c>
      <c r="AB854">
        <f>'Green_rooibos initial weight'!A1759</f>
        <v>0</v>
      </c>
      <c r="AC854" t="b">
        <f t="shared" si="201"/>
        <v>0</v>
      </c>
      <c r="AD854" t="b">
        <f t="shared" si="202"/>
        <v>1</v>
      </c>
    </row>
    <row r="855" spans="27:30" ht="12" customHeight="1">
      <c r="AA855" t="str">
        <f>'Green_rooibos initial weight'!A856</f>
        <v>G852</v>
      </c>
      <c r="AB855">
        <f>'Green_rooibos initial weight'!A1760</f>
        <v>0</v>
      </c>
      <c r="AC855" t="b">
        <f t="shared" si="201"/>
        <v>0</v>
      </c>
      <c r="AD855" t="b">
        <f t="shared" si="202"/>
        <v>1</v>
      </c>
    </row>
    <row r="856" spans="27:30" ht="12" customHeight="1">
      <c r="AA856" t="str">
        <f>'Green_rooibos initial weight'!A857</f>
        <v>G853</v>
      </c>
      <c r="AB856">
        <f>'Green_rooibos initial weight'!A1761</f>
        <v>0</v>
      </c>
      <c r="AC856" t="b">
        <f t="shared" si="201"/>
        <v>0</v>
      </c>
      <c r="AD856" t="b">
        <f t="shared" si="202"/>
        <v>1</v>
      </c>
    </row>
    <row r="857" spans="27:30" ht="12" customHeight="1">
      <c r="AA857" t="str">
        <f>'Green_rooibos initial weight'!A858</f>
        <v>G854</v>
      </c>
      <c r="AB857">
        <f>'Green_rooibos initial weight'!A1762</f>
        <v>0</v>
      </c>
      <c r="AC857" t="b">
        <f t="shared" si="201"/>
        <v>0</v>
      </c>
      <c r="AD857" t="b">
        <f t="shared" si="202"/>
        <v>1</v>
      </c>
    </row>
    <row r="858" spans="27:30" ht="12" customHeight="1">
      <c r="AA858" t="str">
        <f>'Green_rooibos initial weight'!A859</f>
        <v>G855</v>
      </c>
      <c r="AB858">
        <f>'Green_rooibos initial weight'!A1763</f>
        <v>0</v>
      </c>
      <c r="AC858" t="b">
        <f t="shared" si="201"/>
        <v>0</v>
      </c>
      <c r="AD858" t="b">
        <f t="shared" si="202"/>
        <v>1</v>
      </c>
    </row>
    <row r="859" spans="27:30" ht="12" customHeight="1">
      <c r="AA859" t="str">
        <f>'Green_rooibos initial weight'!A860</f>
        <v>G856</v>
      </c>
      <c r="AB859">
        <f>'Green_rooibos initial weight'!A1764</f>
        <v>0</v>
      </c>
      <c r="AC859" t="b">
        <f t="shared" si="201"/>
        <v>0</v>
      </c>
      <c r="AD859" t="b">
        <f t="shared" si="202"/>
        <v>1</v>
      </c>
    </row>
    <row r="860" spans="27:30" ht="12" customHeight="1">
      <c r="AA860" t="str">
        <f>'Green_rooibos initial weight'!A861</f>
        <v>G857</v>
      </c>
      <c r="AB860">
        <f>'Green_rooibos initial weight'!A1765</f>
        <v>0</v>
      </c>
      <c r="AC860" t="b">
        <f t="shared" si="201"/>
        <v>0</v>
      </c>
      <c r="AD860" t="b">
        <f t="shared" si="202"/>
        <v>1</v>
      </c>
    </row>
    <row r="861" spans="27:30" ht="12" customHeight="1">
      <c r="AA861" t="str">
        <f>'Green_rooibos initial weight'!A862</f>
        <v>G858</v>
      </c>
      <c r="AB861">
        <f>'Green_rooibos initial weight'!A1766</f>
        <v>0</v>
      </c>
      <c r="AC861" t="b">
        <f t="shared" si="201"/>
        <v>0</v>
      </c>
      <c r="AD861" t="b">
        <f t="shared" si="202"/>
        <v>1</v>
      </c>
    </row>
    <row r="862" spans="27:30" ht="12" customHeight="1">
      <c r="AA862" t="str">
        <f>'Green_rooibos initial weight'!A863</f>
        <v>G859</v>
      </c>
      <c r="AB862">
        <f>'Green_rooibos initial weight'!A1767</f>
        <v>0</v>
      </c>
      <c r="AC862" t="b">
        <f t="shared" si="201"/>
        <v>0</v>
      </c>
      <c r="AD862" t="b">
        <f t="shared" si="202"/>
        <v>1</v>
      </c>
    </row>
    <row r="863" spans="27:30" ht="12" customHeight="1">
      <c r="AA863" t="str">
        <f>'Green_rooibos initial weight'!A864</f>
        <v>G860</v>
      </c>
      <c r="AB863">
        <f>'Green_rooibos initial weight'!A1768</f>
        <v>0</v>
      </c>
      <c r="AC863" t="b">
        <f t="shared" si="201"/>
        <v>0</v>
      </c>
      <c r="AD863" t="b">
        <f t="shared" si="202"/>
        <v>1</v>
      </c>
    </row>
    <row r="864" spans="27:30" ht="12" customHeight="1">
      <c r="AA864" t="str">
        <f>'Green_rooibos initial weight'!A865</f>
        <v>G861</v>
      </c>
      <c r="AB864">
        <f>'Green_rooibos initial weight'!A1769</f>
        <v>0</v>
      </c>
      <c r="AC864" t="b">
        <f t="shared" si="201"/>
        <v>0</v>
      </c>
      <c r="AD864" t="b">
        <f t="shared" si="202"/>
        <v>1</v>
      </c>
    </row>
    <row r="865" spans="27:30" ht="12" customHeight="1">
      <c r="AA865" t="str">
        <f>'Green_rooibos initial weight'!A866</f>
        <v>G862</v>
      </c>
      <c r="AB865">
        <f>'Green_rooibos initial weight'!A1770</f>
        <v>0</v>
      </c>
      <c r="AC865" t="b">
        <f t="shared" si="201"/>
        <v>0</v>
      </c>
      <c r="AD865" t="b">
        <f t="shared" si="202"/>
        <v>1</v>
      </c>
    </row>
    <row r="866" spans="27:30" ht="12" customHeight="1">
      <c r="AA866" t="str">
        <f>'Green_rooibos initial weight'!A867</f>
        <v>G863</v>
      </c>
      <c r="AB866">
        <f>'Green_rooibos initial weight'!A1771</f>
        <v>0</v>
      </c>
      <c r="AC866" t="b">
        <f t="shared" si="201"/>
        <v>0</v>
      </c>
      <c r="AD866" t="b">
        <f t="shared" si="202"/>
        <v>1</v>
      </c>
    </row>
    <row r="867" spans="27:30" ht="12" customHeight="1">
      <c r="AA867" t="str">
        <f>'Green_rooibos initial weight'!A868</f>
        <v>G864</v>
      </c>
      <c r="AB867">
        <f>'Green_rooibos initial weight'!A1772</f>
        <v>0</v>
      </c>
      <c r="AC867" t="b">
        <f t="shared" si="201"/>
        <v>0</v>
      </c>
      <c r="AD867" t="b">
        <f t="shared" si="202"/>
        <v>1</v>
      </c>
    </row>
    <row r="868" spans="27:30" ht="12" customHeight="1">
      <c r="AA868" t="str">
        <f>'Green_rooibos initial weight'!A869</f>
        <v>G865</v>
      </c>
      <c r="AB868">
        <f>'Green_rooibos initial weight'!A1773</f>
        <v>0</v>
      </c>
      <c r="AC868" t="b">
        <f t="shared" si="201"/>
        <v>0</v>
      </c>
      <c r="AD868" t="b">
        <f t="shared" si="202"/>
        <v>1</v>
      </c>
    </row>
    <row r="869" spans="27:30" ht="12" customHeight="1">
      <c r="AA869" t="str">
        <f>'Green_rooibos initial weight'!A870</f>
        <v>G866</v>
      </c>
      <c r="AB869">
        <f>'Green_rooibos initial weight'!A1774</f>
        <v>0</v>
      </c>
      <c r="AC869" t="b">
        <f t="shared" si="201"/>
        <v>0</v>
      </c>
      <c r="AD869" t="b">
        <f t="shared" si="202"/>
        <v>1</v>
      </c>
    </row>
    <row r="870" spans="27:30" ht="12" customHeight="1">
      <c r="AA870" t="str">
        <f>'Green_rooibos initial weight'!A871</f>
        <v>G867</v>
      </c>
      <c r="AB870">
        <f>'Green_rooibos initial weight'!A1775</f>
        <v>0</v>
      </c>
      <c r="AC870" t="b">
        <f t="shared" si="201"/>
        <v>0</v>
      </c>
      <c r="AD870" t="b">
        <f t="shared" si="202"/>
        <v>1</v>
      </c>
    </row>
    <row r="871" spans="27:30" ht="12" customHeight="1">
      <c r="AA871" t="str">
        <f>'Green_rooibos initial weight'!A872</f>
        <v>G868</v>
      </c>
      <c r="AB871">
        <f>'Green_rooibos initial weight'!A1776</f>
        <v>0</v>
      </c>
      <c r="AC871" t="b">
        <f t="shared" si="201"/>
        <v>0</v>
      </c>
      <c r="AD871" t="b">
        <f t="shared" si="202"/>
        <v>1</v>
      </c>
    </row>
    <row r="872" spans="27:30" ht="12" customHeight="1">
      <c r="AA872" t="str">
        <f>'Green_rooibos initial weight'!A873</f>
        <v>G869</v>
      </c>
      <c r="AB872">
        <f>'Green_rooibos initial weight'!A1777</f>
        <v>0</v>
      </c>
      <c r="AC872" t="b">
        <f t="shared" si="201"/>
        <v>0</v>
      </c>
      <c r="AD872" t="b">
        <f t="shared" si="202"/>
        <v>1</v>
      </c>
    </row>
    <row r="873" spans="27:30" ht="12" customHeight="1">
      <c r="AA873" t="str">
        <f>'Green_rooibos initial weight'!A874</f>
        <v>G870</v>
      </c>
      <c r="AB873">
        <f>'Green_rooibos initial weight'!A1778</f>
        <v>0</v>
      </c>
      <c r="AC873" t="b">
        <f t="shared" si="201"/>
        <v>0</v>
      </c>
      <c r="AD873" t="b">
        <f t="shared" si="202"/>
        <v>1</v>
      </c>
    </row>
    <row r="874" spans="27:30" ht="12" customHeight="1">
      <c r="AA874" t="str">
        <f>'Green_rooibos initial weight'!A875</f>
        <v>G871</v>
      </c>
      <c r="AB874">
        <f>'Green_rooibos initial weight'!A1779</f>
        <v>0</v>
      </c>
      <c r="AC874" t="b">
        <f t="shared" si="201"/>
        <v>0</v>
      </c>
      <c r="AD874" t="b">
        <f t="shared" si="202"/>
        <v>1</v>
      </c>
    </row>
    <row r="875" spans="27:30" ht="12" customHeight="1">
      <c r="AA875" t="str">
        <f>'Green_rooibos initial weight'!A876</f>
        <v>G872</v>
      </c>
      <c r="AB875">
        <f>'Green_rooibos initial weight'!A1780</f>
        <v>0</v>
      </c>
      <c r="AC875" t="b">
        <f t="shared" si="201"/>
        <v>0</v>
      </c>
      <c r="AD875" t="b">
        <f t="shared" si="202"/>
        <v>1</v>
      </c>
    </row>
    <row r="876" spans="27:30" ht="12" customHeight="1">
      <c r="AA876" t="str">
        <f>'Green_rooibos initial weight'!A877</f>
        <v>G873</v>
      </c>
      <c r="AB876">
        <f>'Green_rooibos initial weight'!A1781</f>
        <v>0</v>
      </c>
      <c r="AC876" t="b">
        <f t="shared" si="201"/>
        <v>0</v>
      </c>
      <c r="AD876" t="b">
        <f t="shared" si="202"/>
        <v>1</v>
      </c>
    </row>
    <row r="877" spans="27:30" ht="12" customHeight="1">
      <c r="AA877" t="str">
        <f>'Green_rooibos initial weight'!A878</f>
        <v>G874</v>
      </c>
      <c r="AB877">
        <f>'Green_rooibos initial weight'!A1782</f>
        <v>0</v>
      </c>
      <c r="AC877" t="b">
        <f t="shared" si="201"/>
        <v>0</v>
      </c>
      <c r="AD877" t="b">
        <f t="shared" si="202"/>
        <v>1</v>
      </c>
    </row>
    <row r="878" spans="27:30" ht="12" customHeight="1">
      <c r="AA878" t="str">
        <f>'Green_rooibos initial weight'!A879</f>
        <v>G875</v>
      </c>
      <c r="AB878">
        <f>'Green_rooibos initial weight'!A1783</f>
        <v>0</v>
      </c>
      <c r="AC878" t="b">
        <f t="shared" si="201"/>
        <v>0</v>
      </c>
      <c r="AD878" t="b">
        <f t="shared" si="202"/>
        <v>1</v>
      </c>
    </row>
    <row r="879" spans="27:30" ht="12" customHeight="1">
      <c r="AA879" t="str">
        <f>'Green_rooibos initial weight'!A880</f>
        <v>G876</v>
      </c>
      <c r="AB879">
        <f>'Green_rooibos initial weight'!A1784</f>
        <v>0</v>
      </c>
      <c r="AC879" t="b">
        <f t="shared" si="201"/>
        <v>0</v>
      </c>
      <c r="AD879" t="b">
        <f t="shared" si="202"/>
        <v>1</v>
      </c>
    </row>
    <row r="880" spans="27:30" ht="12" customHeight="1">
      <c r="AA880" t="str">
        <f>'Green_rooibos initial weight'!A881</f>
        <v>G877</v>
      </c>
      <c r="AB880">
        <f>'Green_rooibos initial weight'!A1785</f>
        <v>0</v>
      </c>
      <c r="AC880" t="b">
        <f t="shared" si="201"/>
        <v>0</v>
      </c>
      <c r="AD880" t="b">
        <f t="shared" si="202"/>
        <v>1</v>
      </c>
    </row>
    <row r="881" spans="27:30" ht="12" customHeight="1">
      <c r="AA881" t="str">
        <f>'Green_rooibos initial weight'!A882</f>
        <v>G878</v>
      </c>
      <c r="AB881">
        <f>'Green_rooibos initial weight'!A1786</f>
        <v>0</v>
      </c>
      <c r="AC881" t="b">
        <f t="shared" si="201"/>
        <v>0</v>
      </c>
      <c r="AD881" t="b">
        <f t="shared" si="202"/>
        <v>1</v>
      </c>
    </row>
    <row r="882" spans="27:30" ht="12" customHeight="1">
      <c r="AA882" t="str">
        <f>'Green_rooibos initial weight'!A883</f>
        <v>G879</v>
      </c>
      <c r="AB882">
        <f>'Green_rooibos initial weight'!A1787</f>
        <v>0</v>
      </c>
      <c r="AC882" t="b">
        <f t="shared" si="201"/>
        <v>0</v>
      </c>
      <c r="AD882" t="b">
        <f t="shared" si="202"/>
        <v>1</v>
      </c>
    </row>
    <row r="883" spans="27:30" ht="12" customHeight="1">
      <c r="AA883" t="str">
        <f>'Green_rooibos initial weight'!A884</f>
        <v>G880</v>
      </c>
      <c r="AB883">
        <f>'Green_rooibos initial weight'!A1788</f>
        <v>0</v>
      </c>
      <c r="AC883" t="b">
        <f t="shared" si="201"/>
        <v>0</v>
      </c>
      <c r="AD883" t="b">
        <f t="shared" si="202"/>
        <v>1</v>
      </c>
    </row>
    <row r="884" spans="27:30" ht="12" customHeight="1">
      <c r="AA884" t="str">
        <f>'Green_rooibos initial weight'!A885</f>
        <v>G881</v>
      </c>
      <c r="AB884">
        <f>'Green_rooibos initial weight'!A1789</f>
        <v>0</v>
      </c>
      <c r="AC884" t="b">
        <f t="shared" si="201"/>
        <v>0</v>
      </c>
      <c r="AD884" t="b">
        <f t="shared" si="202"/>
        <v>1</v>
      </c>
    </row>
    <row r="885" spans="27:30" ht="12" customHeight="1">
      <c r="AA885" t="str">
        <f>'Green_rooibos initial weight'!A886</f>
        <v>G882</v>
      </c>
      <c r="AB885">
        <f>'Green_rooibos initial weight'!A1790</f>
        <v>0</v>
      </c>
      <c r="AC885" t="b">
        <f t="shared" si="201"/>
        <v>0</v>
      </c>
      <c r="AD885" t="b">
        <f t="shared" si="202"/>
        <v>1</v>
      </c>
    </row>
    <row r="886" spans="27:30" ht="12" customHeight="1">
      <c r="AA886" t="str">
        <f>'Green_rooibos initial weight'!A887</f>
        <v>G883</v>
      </c>
      <c r="AB886">
        <f>'Green_rooibos initial weight'!A1791</f>
        <v>0</v>
      </c>
      <c r="AC886" t="b">
        <f t="shared" si="201"/>
        <v>0</v>
      </c>
      <c r="AD886" t="b">
        <f t="shared" si="202"/>
        <v>1</v>
      </c>
    </row>
    <row r="887" spans="27:30" ht="12" customHeight="1">
      <c r="AA887" t="str">
        <f>'Green_rooibos initial weight'!A888</f>
        <v>G884</v>
      </c>
      <c r="AB887">
        <f>'Green_rooibos initial weight'!A1792</f>
        <v>0</v>
      </c>
      <c r="AC887" t="b">
        <f t="shared" si="201"/>
        <v>0</v>
      </c>
      <c r="AD887" t="b">
        <f t="shared" si="202"/>
        <v>1</v>
      </c>
    </row>
    <row r="888" spans="27:30" ht="12" customHeight="1">
      <c r="AA888" t="str">
        <f>'Green_rooibos initial weight'!A889</f>
        <v>G885</v>
      </c>
      <c r="AB888">
        <f>'Green_rooibos initial weight'!A1793</f>
        <v>0</v>
      </c>
      <c r="AC888" t="b">
        <f t="shared" si="201"/>
        <v>0</v>
      </c>
      <c r="AD888" t="b">
        <f t="shared" si="202"/>
        <v>1</v>
      </c>
    </row>
    <row r="889" spans="27:30" ht="12" customHeight="1">
      <c r="AA889" t="str">
        <f>'Green_rooibos initial weight'!A890</f>
        <v>G886</v>
      </c>
      <c r="AB889">
        <f>'Green_rooibos initial weight'!A1794</f>
        <v>0</v>
      </c>
      <c r="AC889" t="b">
        <f t="shared" si="201"/>
        <v>0</v>
      </c>
      <c r="AD889" t="b">
        <f t="shared" si="202"/>
        <v>1</v>
      </c>
    </row>
    <row r="890" spans="27:30" ht="12" customHeight="1">
      <c r="AA890" t="str">
        <f>'Green_rooibos initial weight'!A891</f>
        <v>G887</v>
      </c>
      <c r="AB890">
        <f>'Green_rooibos initial weight'!A1795</f>
        <v>0</v>
      </c>
      <c r="AC890" t="b">
        <f t="shared" si="201"/>
        <v>0</v>
      </c>
      <c r="AD890" t="b">
        <f t="shared" si="202"/>
        <v>1</v>
      </c>
    </row>
    <row r="891" spans="27:30" ht="12" customHeight="1">
      <c r="AA891" t="str">
        <f>'Green_rooibos initial weight'!A892</f>
        <v>G888</v>
      </c>
      <c r="AB891">
        <f>'Green_rooibos initial weight'!A1796</f>
        <v>0</v>
      </c>
      <c r="AC891" t="b">
        <f t="shared" si="201"/>
        <v>0</v>
      </c>
      <c r="AD891" t="b">
        <f t="shared" si="202"/>
        <v>1</v>
      </c>
    </row>
    <row r="892" spans="27:30" ht="12" customHeight="1">
      <c r="AA892" t="str">
        <f>'Green_rooibos initial weight'!A893</f>
        <v>G889</v>
      </c>
      <c r="AB892">
        <f>'Green_rooibos initial weight'!A1797</f>
        <v>0</v>
      </c>
      <c r="AC892" t="b">
        <f t="shared" si="201"/>
        <v>0</v>
      </c>
      <c r="AD892" t="b">
        <f t="shared" si="202"/>
        <v>1</v>
      </c>
    </row>
    <row r="893" spans="27:30" ht="12" customHeight="1">
      <c r="AA893" t="str">
        <f>'Green_rooibos initial weight'!A894</f>
        <v>G890</v>
      </c>
      <c r="AB893">
        <f>'Green_rooibos initial weight'!A1798</f>
        <v>0</v>
      </c>
      <c r="AC893" t="b">
        <f t="shared" si="201"/>
        <v>0</v>
      </c>
      <c r="AD893" t="b">
        <f t="shared" si="202"/>
        <v>1</v>
      </c>
    </row>
    <row r="894" spans="27:30" ht="12" customHeight="1">
      <c r="AA894" t="str">
        <f>'Green_rooibos initial weight'!A895</f>
        <v>G891</v>
      </c>
      <c r="AB894">
        <f>'Green_rooibos initial weight'!A1799</f>
        <v>0</v>
      </c>
      <c r="AC894" t="b">
        <f t="shared" si="201"/>
        <v>0</v>
      </c>
      <c r="AD894" t="b">
        <f t="shared" si="202"/>
        <v>1</v>
      </c>
    </row>
    <row r="895" spans="27:30" ht="12" customHeight="1">
      <c r="AA895" t="str">
        <f>'Green_rooibos initial weight'!A896</f>
        <v>G892</v>
      </c>
      <c r="AC895" t="b">
        <f t="shared" si="201"/>
        <v>0</v>
      </c>
      <c r="AD895" t="b">
        <f t="shared" si="202"/>
        <v>1</v>
      </c>
    </row>
    <row r="896" spans="27:30" ht="12" customHeight="1">
      <c r="AA896" t="str">
        <f>'Green_rooibos initial weight'!A897</f>
        <v>G893</v>
      </c>
      <c r="AC896" t="b">
        <f t="shared" si="201"/>
        <v>0</v>
      </c>
      <c r="AD896" t="b">
        <f t="shared" si="202"/>
        <v>1</v>
      </c>
    </row>
    <row r="897" spans="27:30" ht="12" customHeight="1">
      <c r="AA897" t="str">
        <f>'Green_rooibos initial weight'!A898</f>
        <v>G894</v>
      </c>
      <c r="AC897" t="b">
        <f t="shared" si="201"/>
        <v>0</v>
      </c>
      <c r="AD897" t="b">
        <f t="shared" si="202"/>
        <v>1</v>
      </c>
    </row>
    <row r="898" spans="27:30" ht="12" customHeight="1">
      <c r="AA898" t="str">
        <f>'Green_rooibos initial weight'!A899</f>
        <v>G895</v>
      </c>
      <c r="AC898" t="b">
        <f t="shared" si="201"/>
        <v>0</v>
      </c>
      <c r="AD898" t="b">
        <f t="shared" si="202"/>
        <v>1</v>
      </c>
    </row>
    <row r="899" spans="27:30" ht="12" customHeight="1">
      <c r="AA899" t="str">
        <f>'Green_rooibos initial weight'!A900</f>
        <v>G896</v>
      </c>
      <c r="AC899" t="b">
        <f t="shared" si="201"/>
        <v>0</v>
      </c>
      <c r="AD899" t="b">
        <f t="shared" si="202"/>
        <v>1</v>
      </c>
    </row>
    <row r="900" spans="27:30" ht="12" customHeight="1">
      <c r="AA900" t="str">
        <f>'Green_rooibos initial weight'!A901</f>
        <v>G897</v>
      </c>
      <c r="AC900" t="b">
        <f t="shared" si="201"/>
        <v>0</v>
      </c>
      <c r="AD900" t="b">
        <f t="shared" si="202"/>
        <v>1</v>
      </c>
    </row>
    <row r="901" spans="27:30" ht="12" customHeight="1">
      <c r="AA901" t="str">
        <f>'Green_rooibos initial weight'!A902</f>
        <v>G898</v>
      </c>
      <c r="AC901" t="b">
        <f t="shared" ref="AC901:AC907" si="203">COUNTIF($AA$4:$AA$2000, AA901)&gt;1</f>
        <v>0</v>
      </c>
      <c r="AD901" t="b">
        <f t="shared" ref="AD901:AD907" si="204">COUNTIF($AB$4:$AB$2000, AB901)&gt;1</f>
        <v>1</v>
      </c>
    </row>
    <row r="902" spans="27:30" ht="12" customHeight="1">
      <c r="AA902" t="str">
        <f>'Green_rooibos initial weight'!A903</f>
        <v>G899</v>
      </c>
      <c r="AC902" t="b">
        <f t="shared" si="203"/>
        <v>0</v>
      </c>
      <c r="AD902" t="b">
        <f t="shared" si="204"/>
        <v>1</v>
      </c>
    </row>
    <row r="903" spans="27:30" ht="12" customHeight="1">
      <c r="AA903" t="str">
        <f>'Green_rooibos initial weight'!A904</f>
        <v>G900</v>
      </c>
      <c r="AC903" t="b">
        <f t="shared" si="203"/>
        <v>0</v>
      </c>
      <c r="AD903" t="b">
        <f t="shared" si="204"/>
        <v>1</v>
      </c>
    </row>
    <row r="904" spans="27:30" ht="12" customHeight="1">
      <c r="AA904" t="str">
        <f>'Green_rooibos initial weight'!A905</f>
        <v>G901</v>
      </c>
      <c r="AC904" t="b">
        <f t="shared" si="203"/>
        <v>0</v>
      </c>
      <c r="AD904" t="b">
        <f t="shared" si="204"/>
        <v>1</v>
      </c>
    </row>
    <row r="905" spans="27:30" ht="12" customHeight="1">
      <c r="AA905" t="str">
        <f>'Green_rooibos initial weight'!A906</f>
        <v>G902</v>
      </c>
      <c r="AC905" t="b">
        <f t="shared" si="203"/>
        <v>0</v>
      </c>
      <c r="AD905" t="b">
        <f t="shared" si="204"/>
        <v>1</v>
      </c>
    </row>
    <row r="906" spans="27:30" ht="12" customHeight="1">
      <c r="AA906" t="str">
        <f>'Green_rooibos initial weight'!A907</f>
        <v>G903</v>
      </c>
      <c r="AC906" t="b">
        <f t="shared" si="203"/>
        <v>0</v>
      </c>
      <c r="AD906" t="b">
        <f t="shared" si="204"/>
        <v>1</v>
      </c>
    </row>
    <row r="907" spans="27:30" ht="12" customHeight="1">
      <c r="AA907" t="str">
        <f>'Green_rooibos initial weight'!A908</f>
        <v>G904</v>
      </c>
      <c r="AC907" t="b">
        <f t="shared" si="203"/>
        <v>0</v>
      </c>
      <c r="AD907" t="b">
        <f t="shared" si="204"/>
        <v>1</v>
      </c>
    </row>
  </sheetData>
  <sortState ref="BN5:BO422">
    <sortCondition ref="BN5"/>
  </sortState>
  <mergeCells count="2">
    <mergeCell ref="G1:H1"/>
    <mergeCell ref="B1:C1"/>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19"/>
  <sheetViews>
    <sheetView zoomScaleNormal="100" workbookViewId="0">
      <pane ySplit="1" topLeftCell="A680" activePane="bottomLeft" state="frozen"/>
      <selection pane="bottomLeft" activeCell="AB398" sqref="AB398"/>
    </sheetView>
  </sheetViews>
  <sheetFormatPr baseColWidth="10" defaultColWidth="11.44140625" defaultRowHeight="14.4"/>
  <cols>
    <col min="1" max="1" width="11.44140625" style="197"/>
    <col min="3" max="3" width="21.109375" style="197" customWidth="1"/>
    <col min="4" max="5" width="11.44140625" style="197"/>
    <col min="6" max="6" width="17" style="197" customWidth="1"/>
    <col min="7" max="9" width="11.44140625" style="197"/>
    <col min="10" max="10" width="19.33203125" style="197" customWidth="1"/>
    <col min="11" max="12" width="11.44140625" style="197"/>
    <col min="13" max="13" width="15.6640625" style="197" customWidth="1"/>
    <col min="14" max="14" width="21.88671875" style="197" customWidth="1"/>
    <col min="15" max="15" width="11.44140625" style="197"/>
    <col min="16" max="16" width="22.44140625" style="197" bestFit="1" customWidth="1"/>
    <col min="17" max="16384" width="11.44140625" style="197"/>
  </cols>
  <sheetData>
    <row r="1" spans="1:50" ht="100.8">
      <c r="A1" s="211" t="s">
        <v>2609</v>
      </c>
      <c r="B1" s="166" t="s">
        <v>2485</v>
      </c>
      <c r="C1" s="211" t="s">
        <v>2610</v>
      </c>
      <c r="D1" s="211" t="s">
        <v>2589</v>
      </c>
      <c r="E1" s="211" t="s">
        <v>2608</v>
      </c>
      <c r="F1" s="211" t="s">
        <v>2607</v>
      </c>
      <c r="G1" s="211" t="s">
        <v>2606</v>
      </c>
      <c r="H1" s="211" t="s">
        <v>2605</v>
      </c>
      <c r="I1" s="210" t="s">
        <v>2644</v>
      </c>
      <c r="J1" s="210" t="s">
        <v>2645</v>
      </c>
      <c r="K1" s="210" t="s">
        <v>2646</v>
      </c>
      <c r="L1" s="210" t="s">
        <v>2604</v>
      </c>
      <c r="M1" s="210" t="s">
        <v>2603</v>
      </c>
      <c r="N1" s="210" t="s">
        <v>2602</v>
      </c>
      <c r="O1" s="210" t="s">
        <v>2601</v>
      </c>
      <c r="P1" s="210" t="s">
        <v>2147</v>
      </c>
      <c r="AA1" s="446" t="s">
        <v>3923</v>
      </c>
      <c r="AB1" s="445" t="s">
        <v>3918</v>
      </c>
      <c r="AC1" s="445" t="s">
        <v>3919</v>
      </c>
      <c r="AD1" s="445" t="s">
        <v>3920</v>
      </c>
      <c r="AE1" s="445" t="s">
        <v>3921</v>
      </c>
    </row>
    <row r="2" spans="1:50">
      <c r="A2" s="197" t="s">
        <v>1849</v>
      </c>
      <c r="C2" s="198">
        <v>32</v>
      </c>
      <c r="D2" s="197">
        <v>0.48409999999999997</v>
      </c>
      <c r="E2" s="202">
        <v>7.4744999999999999</v>
      </c>
      <c r="F2" s="202">
        <v>0.20019999999999999</v>
      </c>
      <c r="G2" s="201">
        <f t="shared" ref="G2:G33" si="0">E2+F2</f>
        <v>7.6746999999999996</v>
      </c>
      <c r="H2" s="201">
        <v>7.4890999999999996</v>
      </c>
      <c r="I2" s="201">
        <f t="shared" ref="I2:I33" si="1">(G2-H2)</f>
        <v>0.18559999999999999</v>
      </c>
      <c r="J2" s="201">
        <f t="shared" ref="J2:J33" si="2">F2-I2</f>
        <v>1.4600000000000002E-2</v>
      </c>
      <c r="K2" s="280">
        <f t="shared" ref="K2:K33" si="3">(J2/F2)*100</f>
        <v>7.292707292707294</v>
      </c>
      <c r="L2" s="201">
        <v>26</v>
      </c>
      <c r="M2" s="204">
        <v>43221</v>
      </c>
      <c r="N2" s="204">
        <v>43221</v>
      </c>
      <c r="AA2"/>
      <c r="AB2" s="110" t="str">
        <f>IFERROR(INDEX('WetLitterbags placem_collection'!$A$3:$A$500,MATCH($A2,'WetLitterbags placem_collection'!$K$4:$K$500,0)),"")</f>
        <v/>
      </c>
      <c r="AC2" s="110" t="str">
        <f>IFERROR(INDEX('WetLitterbags placem_collection'!$A$3:$A$500,MATCH($A2,'WetLitterbags placem_collection'!$K$4:$K$500,0)),"")</f>
        <v/>
      </c>
      <c r="AD2" s="110" t="str">
        <f>IFERROR(INDEX('WetLitterbags placem_collection'!$A$3:$A$500,MATCH($A2,'WetLitterbags placem_collection'!$K$4:$K$500,0)),"")</f>
        <v/>
      </c>
      <c r="AE2" s="110" t="str">
        <f>IFERROR(INDEX('WetLitterbags placem_collection'!$A$3:$A$500,MATCH($A2,'WetLitterbags placem_collection'!$K$4:$K$500,0)),"")</f>
        <v/>
      </c>
    </row>
    <row r="3" spans="1:50">
      <c r="A3" s="201" t="s">
        <v>1848</v>
      </c>
      <c r="C3" s="201">
        <v>163</v>
      </c>
      <c r="D3" s="201">
        <v>0.45610000000000001</v>
      </c>
      <c r="E3" s="202">
        <v>10.503399999999999</v>
      </c>
      <c r="F3" s="202">
        <v>0.20180000000000001</v>
      </c>
      <c r="G3" s="201">
        <f t="shared" si="0"/>
        <v>10.7052</v>
      </c>
      <c r="H3" s="201">
        <v>10.522399999999999</v>
      </c>
      <c r="I3" s="201">
        <f t="shared" si="1"/>
        <v>0.1828000000000003</v>
      </c>
      <c r="J3" s="201">
        <f t="shared" si="2"/>
        <v>1.8999999999999712E-2</v>
      </c>
      <c r="K3" s="280">
        <f t="shared" si="3"/>
        <v>9.4152626362733951</v>
      </c>
      <c r="L3" s="201">
        <v>31</v>
      </c>
      <c r="M3" s="207">
        <v>43186.458333333336</v>
      </c>
      <c r="N3" s="207">
        <v>43186.625</v>
      </c>
      <c r="O3" s="197" t="s">
        <v>2550</v>
      </c>
      <c r="P3" s="201"/>
      <c r="AB3" s="110">
        <f>IFERROR(INDEX('WetLitterbags placem_collection'!$A$3:$A$500,MATCH(A3,'WetLitterbags placem_collection'!$K$4:$K$500,0)),"")</f>
        <v>162</v>
      </c>
      <c r="AC3" s="110" t="str">
        <f>IFERROR(INDEX('WetLitterbags placem_collection'!$A$3:$A$500,MATCH($A3,'WetLitterbags placem_collection'!$O$4:$O$500,0)),"")</f>
        <v/>
      </c>
      <c r="AD3" s="110" t="str">
        <f>IFERROR(INDEX('WetLitterbags placem_collection'!$A$3:$A$500,MATCH($A3,'WetLitterbags placem_collection'!$M$4:$M$500,0)),"")</f>
        <v/>
      </c>
      <c r="AE3" s="110" t="str">
        <f>IFERROR(INDEX('WetLitterbags placem_collection'!$A$3:$A$500,MATCH($A3,'WetLitterbags placem_collection'!$Q$4:$Q$500,0)),"")</f>
        <v/>
      </c>
    </row>
    <row r="4" spans="1:50">
      <c r="A4" s="197" t="s">
        <v>1836</v>
      </c>
      <c r="C4" s="197">
        <v>39</v>
      </c>
      <c r="D4" s="197">
        <v>0.60909999999999997</v>
      </c>
      <c r="E4" s="197">
        <v>8.4418000000000006</v>
      </c>
      <c r="F4" s="197">
        <v>0.2041</v>
      </c>
      <c r="G4" s="197">
        <f t="shared" si="0"/>
        <v>8.645900000000001</v>
      </c>
      <c r="H4" s="197">
        <v>8.4620999999999995</v>
      </c>
      <c r="I4" s="197">
        <f t="shared" si="1"/>
        <v>0.18380000000000152</v>
      </c>
      <c r="J4" s="201">
        <f t="shared" si="2"/>
        <v>2.0299999999998486E-2</v>
      </c>
      <c r="K4" s="280">
        <f t="shared" si="3"/>
        <v>9.9461048505627083</v>
      </c>
      <c r="L4" s="197">
        <v>26</v>
      </c>
      <c r="M4" s="197" t="s">
        <v>2586</v>
      </c>
      <c r="N4" s="197" t="s">
        <v>2585</v>
      </c>
      <c r="O4" s="197" t="s">
        <v>2550</v>
      </c>
      <c r="AB4" s="110">
        <f>IFERROR(INDEX('WetLitterbags placem_collection'!$A$3:$A$500,MATCH(A4,'WetLitterbags placem_collection'!$K$4:$K$500,0)),"")</f>
        <v>38</v>
      </c>
      <c r="AC4" s="110" t="str">
        <f>IFERROR(INDEX('WetLitterbags placem_collection'!$A$3:$A$500,MATCH($A4,'WetLitterbags placem_collection'!$O$4:$O$500,0)),"")</f>
        <v/>
      </c>
      <c r="AD4" s="110" t="str">
        <f>IFERROR(INDEX('WetLitterbags placem_collection'!$A$3:$A$500,MATCH($A4,'WetLitterbags placem_collection'!$M$4:$M$500,0)),"")</f>
        <v/>
      </c>
      <c r="AE4" s="110" t="str">
        <f>IFERROR(INDEX('WetLitterbags placem_collection'!$A$3:$A$500,MATCH($A4,'WetLitterbags placem_collection'!$Q$4:$Q$500,0)),"")</f>
        <v/>
      </c>
      <c r="AX4" s="197" t="str">
        <f>IFERROR(INDEX('Ashed teabags wet'!A2:$A$500,MATCH(A398,'WetLitterbags placem_collection'!$K$4:$K$500,0)),"")</f>
        <v>G503</v>
      </c>
    </row>
    <row r="5" spans="1:50">
      <c r="A5" s="201" t="s">
        <v>1834</v>
      </c>
      <c r="C5" s="201">
        <v>173</v>
      </c>
      <c r="D5" s="202">
        <v>0.39800000000000002</v>
      </c>
      <c r="E5" s="202">
        <v>7.7735000000000003</v>
      </c>
      <c r="F5" s="202">
        <v>0.20319999999999999</v>
      </c>
      <c r="G5" s="201">
        <f t="shared" si="0"/>
        <v>7.9767000000000001</v>
      </c>
      <c r="H5" s="201">
        <v>7.7927999999999997</v>
      </c>
      <c r="I5" s="201">
        <f t="shared" si="1"/>
        <v>0.1839000000000004</v>
      </c>
      <c r="J5" s="201">
        <f t="shared" si="2"/>
        <v>1.9299999999999595E-2</v>
      </c>
      <c r="K5" s="280">
        <f t="shared" si="3"/>
        <v>9.4980314960627936</v>
      </c>
      <c r="L5" s="201">
        <v>24</v>
      </c>
      <c r="M5" s="203">
        <v>43181.645833333336</v>
      </c>
      <c r="N5" s="203">
        <v>43181.833333333336</v>
      </c>
      <c r="O5" s="201" t="s">
        <v>2556</v>
      </c>
      <c r="P5" s="208" t="s">
        <v>2560</v>
      </c>
      <c r="AB5" s="110">
        <f>IFERROR(INDEX('WetLitterbags placem_collection'!$A$3:$A$500,MATCH(A5,'WetLitterbags placem_collection'!$K$4:$K$500,0)),"")</f>
        <v>172</v>
      </c>
      <c r="AC5" s="110" t="str">
        <f>IFERROR(INDEX('WetLitterbags placem_collection'!$A$3:$A$500,MATCH($A5,'WetLitterbags placem_collection'!$O$4:$O$500,0)),"")</f>
        <v/>
      </c>
      <c r="AD5" s="110" t="str">
        <f>IFERROR(INDEX('WetLitterbags placem_collection'!$A$3:$A$500,MATCH($A5,'WetLitterbags placem_collection'!$M$4:$M$500,0)),"")</f>
        <v/>
      </c>
      <c r="AE5" s="110" t="str">
        <f>IFERROR(INDEX('WetLitterbags placem_collection'!$A$3:$A$500,MATCH($A5,'WetLitterbags placem_collection'!$Q$4:$Q$500,0)),"")</f>
        <v/>
      </c>
    </row>
    <row r="6" spans="1:50">
      <c r="A6" s="197" t="s">
        <v>1833</v>
      </c>
      <c r="C6" s="197">
        <v>79</v>
      </c>
      <c r="D6" s="197">
        <v>0.63249999999999995</v>
      </c>
      <c r="E6" s="197">
        <v>19.399899999999999</v>
      </c>
      <c r="F6" s="197">
        <v>0.2059</v>
      </c>
      <c r="G6" s="197">
        <f t="shared" si="0"/>
        <v>19.605799999999999</v>
      </c>
      <c r="H6" s="197">
        <v>19.431000000000001</v>
      </c>
      <c r="I6" s="197">
        <f t="shared" si="1"/>
        <v>0.17479999999999762</v>
      </c>
      <c r="J6" s="201">
        <f t="shared" si="2"/>
        <v>3.1100000000002376E-2</v>
      </c>
      <c r="K6" s="280">
        <f t="shared" si="3"/>
        <v>15.104419621176483</v>
      </c>
      <c r="L6" s="197">
        <v>1</v>
      </c>
      <c r="M6" s="197" t="s">
        <v>2576</v>
      </c>
      <c r="N6" s="197">
        <v>43153.729166666664</v>
      </c>
      <c r="O6" s="197" t="s">
        <v>2550</v>
      </c>
      <c r="P6" s="197" t="s">
        <v>2574</v>
      </c>
      <c r="AB6" s="110">
        <f>IFERROR(INDEX('WetLitterbags placem_collection'!$A$3:$A$500,MATCH(A6,'WetLitterbags placem_collection'!$K$4:$K$500,0)),"")</f>
        <v>78</v>
      </c>
      <c r="AC6" s="110" t="str">
        <f>IFERROR(INDEX('WetLitterbags placem_collection'!$A$3:$A$500,MATCH($A6,'WetLitterbags placem_collection'!$O$4:$O$500,0)),"")</f>
        <v/>
      </c>
      <c r="AD6" s="110" t="str">
        <f>IFERROR(INDEX('WetLitterbags placem_collection'!$A$3:$A$500,MATCH($A6,'WetLitterbags placem_collection'!$M$4:$M$500,0)),"")</f>
        <v/>
      </c>
      <c r="AE6" s="110" t="str">
        <f>IFERROR(INDEX('WetLitterbags placem_collection'!$A$3:$A$500,MATCH($A6,'WetLitterbags placem_collection'!$Q$4:$Q$500,0)),"")</f>
        <v/>
      </c>
    </row>
    <row r="7" spans="1:50">
      <c r="A7" s="201" t="s">
        <v>1828</v>
      </c>
      <c r="C7" s="201">
        <v>15</v>
      </c>
      <c r="D7" s="201">
        <v>0.48280000000000001</v>
      </c>
      <c r="E7" s="202">
        <v>9.0032999999999994</v>
      </c>
      <c r="F7" s="202">
        <v>0.20119999999999999</v>
      </c>
      <c r="G7" s="201">
        <f t="shared" si="0"/>
        <v>9.2044999999999995</v>
      </c>
      <c r="H7" s="201">
        <v>9.0350999999999999</v>
      </c>
      <c r="I7" s="201">
        <f t="shared" si="1"/>
        <v>0.16939999999999955</v>
      </c>
      <c r="J7" s="201">
        <f t="shared" si="2"/>
        <v>3.1800000000000439E-2</v>
      </c>
      <c r="K7" s="280">
        <f t="shared" si="3"/>
        <v>15.805168986083718</v>
      </c>
      <c r="L7" s="201">
        <v>33</v>
      </c>
      <c r="M7" s="207">
        <v>43185.385416666664</v>
      </c>
      <c r="N7" s="201"/>
      <c r="O7" s="201" t="s">
        <v>2556</v>
      </c>
      <c r="P7" s="201"/>
      <c r="AB7" s="110">
        <f>IFERROR(INDEX('WetLitterbags placem_collection'!$A$3:$A$500,MATCH(A7,'WetLitterbags placem_collection'!$K$4:$K$500,0)),"")</f>
        <v>14</v>
      </c>
      <c r="AC7" s="110" t="str">
        <f>IFERROR(INDEX('WetLitterbags placem_collection'!$A$3:$A$500,MATCH($A7,'WetLitterbags placem_collection'!$O$4:$O$500,0)),"")</f>
        <v/>
      </c>
      <c r="AD7" s="110" t="str">
        <f>IFERROR(INDEX('WetLitterbags placem_collection'!$A$3:$A$500,MATCH($A7,'WetLitterbags placem_collection'!$M$4:$M$500,0)),"")</f>
        <v/>
      </c>
      <c r="AE7" s="110" t="str">
        <f>IFERROR(INDEX('WetLitterbags placem_collection'!$A$3:$A$500,MATCH($A7,'WetLitterbags placem_collection'!$Q$4:$Q$500,0)),"")</f>
        <v/>
      </c>
    </row>
    <row r="8" spans="1:50">
      <c r="A8" s="197" t="s">
        <v>1810</v>
      </c>
      <c r="C8" s="198">
        <v>19</v>
      </c>
      <c r="D8" s="197">
        <v>0.65710000000000002</v>
      </c>
      <c r="E8" s="202">
        <v>8.1326000000000001</v>
      </c>
      <c r="F8" s="202">
        <v>0.20399999999999999</v>
      </c>
      <c r="G8" s="201">
        <f t="shared" si="0"/>
        <v>8.3366000000000007</v>
      </c>
      <c r="H8" s="201">
        <v>8.1702999999999992</v>
      </c>
      <c r="I8" s="201">
        <f t="shared" si="1"/>
        <v>0.16630000000000145</v>
      </c>
      <c r="J8" s="201">
        <f t="shared" si="2"/>
        <v>3.769999999999854E-2</v>
      </c>
      <c r="K8" s="280">
        <f t="shared" si="3"/>
        <v>18.480392156862031</v>
      </c>
      <c r="L8" s="201">
        <v>5</v>
      </c>
      <c r="M8" s="204">
        <v>43221</v>
      </c>
      <c r="N8" s="204">
        <v>43221</v>
      </c>
      <c r="AB8" s="110">
        <f>IFERROR(INDEX('WetLitterbags placem_collection'!$A$3:$A$500,MATCH(A8,'WetLitterbags placem_collection'!$K$4:$K$500,0)),"")</f>
        <v>18</v>
      </c>
      <c r="AC8" s="110" t="str">
        <f>IFERROR(INDEX('WetLitterbags placem_collection'!$A$3:$A$500,MATCH($A8,'WetLitterbags placem_collection'!$O$4:$O$500,0)),"")</f>
        <v/>
      </c>
      <c r="AD8" s="110" t="str">
        <f>IFERROR(INDEX('WetLitterbags placem_collection'!$A$3:$A$500,MATCH($A8,'WetLitterbags placem_collection'!$M$4:$M$500,0)),"")</f>
        <v/>
      </c>
      <c r="AE8" s="110" t="str">
        <f>IFERROR(INDEX('WetLitterbags placem_collection'!$A$3:$A$500,MATCH($A8,'WetLitterbags placem_collection'!$Q$4:$Q$500,0)),"")</f>
        <v/>
      </c>
    </row>
    <row r="9" spans="1:50">
      <c r="A9" s="197" t="s">
        <v>1809</v>
      </c>
      <c r="C9" s="198">
        <v>13</v>
      </c>
      <c r="D9" s="197">
        <v>0.33510000000000001</v>
      </c>
      <c r="E9" s="202">
        <v>7.9612999999999996</v>
      </c>
      <c r="F9" s="202">
        <v>0.2031</v>
      </c>
      <c r="G9" s="201">
        <f t="shared" si="0"/>
        <v>8.1643999999999988</v>
      </c>
      <c r="H9" s="201">
        <v>7.9976000000000003</v>
      </c>
      <c r="I9" s="201">
        <f t="shared" si="1"/>
        <v>0.16679999999999851</v>
      </c>
      <c r="J9" s="201">
        <f t="shared" si="2"/>
        <v>3.6300000000001498E-2</v>
      </c>
      <c r="K9" s="280">
        <f t="shared" si="3"/>
        <v>17.872968980798372</v>
      </c>
      <c r="L9" s="201">
        <v>36</v>
      </c>
      <c r="M9" s="204">
        <v>43221</v>
      </c>
      <c r="N9" s="204">
        <v>43221</v>
      </c>
      <c r="AB9" s="110" t="str">
        <f>IFERROR(INDEX('WetLitterbags placem_collection'!$A$3:$A$500,MATCH(A9,'WetLitterbags placem_collection'!$K$4:$K$500,0)),"")</f>
        <v/>
      </c>
      <c r="AC9" s="110">
        <f>IFERROR(INDEX('WetLitterbags placem_collection'!$A$3:$A$500,MATCH($A9,'WetLitterbags placem_collection'!$O$4:$O$500,0)),"")</f>
        <v>12</v>
      </c>
      <c r="AD9" s="110" t="str">
        <f>IFERROR(INDEX('WetLitterbags placem_collection'!$A$3:$A$500,MATCH($A9,'WetLitterbags placem_collection'!$M$4:$M$500,0)),"")</f>
        <v/>
      </c>
      <c r="AE9" s="110" t="str">
        <f>IFERROR(INDEX('WetLitterbags placem_collection'!$A$3:$A$500,MATCH($A9,'WetLitterbags placem_collection'!$Q$4:$Q$500,0)),"")</f>
        <v/>
      </c>
    </row>
    <row r="10" spans="1:50">
      <c r="A10" s="197" t="s">
        <v>1801</v>
      </c>
      <c r="C10" s="197">
        <v>79</v>
      </c>
      <c r="D10" s="197">
        <v>0.74250000000000005</v>
      </c>
      <c r="E10" s="197">
        <v>20.931899999999999</v>
      </c>
      <c r="F10" s="197">
        <v>0.19889999999999999</v>
      </c>
      <c r="G10" s="197">
        <f t="shared" si="0"/>
        <v>21.130799999999997</v>
      </c>
      <c r="H10" s="197">
        <v>20.969100000000001</v>
      </c>
      <c r="I10" s="197">
        <f t="shared" si="1"/>
        <v>0.16169999999999618</v>
      </c>
      <c r="J10" s="201">
        <f t="shared" si="2"/>
        <v>3.7200000000003813E-2</v>
      </c>
      <c r="K10" s="280">
        <f t="shared" si="3"/>
        <v>18.702865761691211</v>
      </c>
      <c r="L10" s="197">
        <v>23</v>
      </c>
      <c r="M10" s="197" t="s">
        <v>2580</v>
      </c>
      <c r="N10" s="197" t="s">
        <v>2579</v>
      </c>
      <c r="O10" s="197" t="s">
        <v>2556</v>
      </c>
      <c r="AB10" s="110" t="str">
        <f>IFERROR(INDEX('WetLitterbags placem_collection'!$A$3:$A$500,MATCH(A10,'WetLitterbags placem_collection'!$K$4:$K$500,0)),"")</f>
        <v/>
      </c>
      <c r="AC10" s="110">
        <f>IFERROR(INDEX('WetLitterbags placem_collection'!$A$3:$A$500,MATCH($A10,'WetLitterbags placem_collection'!$O$4:$O$500,0)),"")</f>
        <v>78</v>
      </c>
      <c r="AD10" s="110" t="str">
        <f>IFERROR(INDEX('WetLitterbags placem_collection'!$A$3:$A$500,MATCH($A10,'WetLitterbags placem_collection'!$M$4:$M$500,0)),"")</f>
        <v/>
      </c>
      <c r="AE10" s="110" t="str">
        <f>IFERROR(INDEX('WetLitterbags placem_collection'!$A$3:$A$500,MATCH($A10,'WetLitterbags placem_collection'!$Q$4:$Q$500,0)),"")</f>
        <v/>
      </c>
    </row>
    <row r="11" spans="1:50">
      <c r="A11" s="197" t="s">
        <v>1799</v>
      </c>
      <c r="C11" s="198">
        <v>218</v>
      </c>
      <c r="D11" s="197">
        <v>0.56159999999999999</v>
      </c>
      <c r="E11" s="202">
        <v>11.032400000000001</v>
      </c>
      <c r="F11" s="202">
        <v>0.20150000000000001</v>
      </c>
      <c r="G11" s="201">
        <f t="shared" si="0"/>
        <v>11.2339</v>
      </c>
      <c r="H11" s="201">
        <v>11.058299999999999</v>
      </c>
      <c r="I11" s="201">
        <f t="shared" si="1"/>
        <v>0.17560000000000109</v>
      </c>
      <c r="J11" s="201">
        <f t="shared" si="2"/>
        <v>2.5899999999998924E-2</v>
      </c>
      <c r="K11" s="280">
        <f t="shared" si="3"/>
        <v>12.853598014887801</v>
      </c>
      <c r="L11" s="201">
        <v>5</v>
      </c>
      <c r="AB11" s="110">
        <f>IFERROR(INDEX('WetLitterbags placem_collection'!$A$3:$A$500,MATCH(A11,'WetLitterbags placem_collection'!$K$4:$K$500,0)),"")</f>
        <v>217</v>
      </c>
      <c r="AC11" s="110" t="str">
        <f>IFERROR(INDEX('WetLitterbags placem_collection'!$A$3:$A$500,MATCH($A11,'WetLitterbags placem_collection'!$O$4:$O$500,0)),"")</f>
        <v/>
      </c>
      <c r="AD11" s="110" t="str">
        <f>IFERROR(INDEX('WetLitterbags placem_collection'!$A$3:$A$500,MATCH($A11,'WetLitterbags placem_collection'!$M$4:$M$500,0)),"")</f>
        <v/>
      </c>
      <c r="AE11" s="110" t="str">
        <f>IFERROR(INDEX('WetLitterbags placem_collection'!$A$3:$A$500,MATCH($A11,'WetLitterbags placem_collection'!$Q$4:$Q$500,0)),"")</f>
        <v/>
      </c>
    </row>
    <row r="12" spans="1:50">
      <c r="A12" s="206" t="s">
        <v>1781</v>
      </c>
      <c r="C12" s="201">
        <v>68</v>
      </c>
      <c r="D12" s="201">
        <v>0.74239999999999995</v>
      </c>
      <c r="E12" s="202">
        <v>11.4541</v>
      </c>
      <c r="F12" s="202">
        <v>0.20430000000000001</v>
      </c>
      <c r="G12" s="201">
        <f t="shared" si="0"/>
        <v>11.6584</v>
      </c>
      <c r="H12" s="201">
        <v>11.493</v>
      </c>
      <c r="I12" s="201">
        <f t="shared" si="1"/>
        <v>0.16539999999999999</v>
      </c>
      <c r="J12" s="201">
        <f t="shared" si="2"/>
        <v>3.8900000000000018E-2</v>
      </c>
      <c r="K12" s="280">
        <f t="shared" si="3"/>
        <v>19.040626529613323</v>
      </c>
      <c r="L12" s="201">
        <v>19</v>
      </c>
      <c r="M12" s="205">
        <v>43199</v>
      </c>
      <c r="N12" s="205">
        <v>43199</v>
      </c>
      <c r="O12" s="201"/>
      <c r="P12" s="201"/>
      <c r="AB12" s="110">
        <f>IFERROR(INDEX('WetLitterbags placem_collection'!$A$3:$A$500,MATCH(A12,'WetLitterbags placem_collection'!$K$4:$K$500,0)),"")</f>
        <v>67</v>
      </c>
      <c r="AC12" s="110" t="str">
        <f>IFERROR(INDEX('WetLitterbags placem_collection'!$A$3:$A$500,MATCH($A12,'WetLitterbags placem_collection'!$O$4:$O$500,0)),"")</f>
        <v/>
      </c>
      <c r="AD12" s="110" t="str">
        <f>IFERROR(INDEX('WetLitterbags placem_collection'!$A$3:$A$500,MATCH($A12,'WetLitterbags placem_collection'!$M$4:$M$500,0)),"")</f>
        <v/>
      </c>
      <c r="AE12" s="110" t="str">
        <f>IFERROR(INDEX('WetLitterbags placem_collection'!$A$3:$A$500,MATCH($A12,'WetLitterbags placem_collection'!$Q$4:$Q$500,0)),"")</f>
        <v/>
      </c>
    </row>
    <row r="13" spans="1:50">
      <c r="A13" s="201" t="s">
        <v>1769</v>
      </c>
      <c r="C13" s="201">
        <v>172</v>
      </c>
      <c r="D13" s="201">
        <f>0.2997+F13</f>
        <v>0.50160000000000005</v>
      </c>
      <c r="E13" s="202">
        <v>10.1441</v>
      </c>
      <c r="F13" s="202">
        <v>0.2019</v>
      </c>
      <c r="G13" s="201">
        <f t="shared" si="0"/>
        <v>10.346</v>
      </c>
      <c r="H13" s="201">
        <v>10.1615</v>
      </c>
      <c r="I13" s="201">
        <f t="shared" si="1"/>
        <v>0.18449999999999989</v>
      </c>
      <c r="J13" s="201">
        <f t="shared" si="2"/>
        <v>1.740000000000011E-2</v>
      </c>
      <c r="K13" s="280">
        <f t="shared" si="3"/>
        <v>8.6181277860327441</v>
      </c>
      <c r="L13" s="201">
        <v>21</v>
      </c>
      <c r="M13" s="205">
        <v>43174</v>
      </c>
      <c r="N13" s="205">
        <v>43174</v>
      </c>
      <c r="O13" s="201" t="s">
        <v>2556</v>
      </c>
      <c r="P13" s="201" t="s">
        <v>2551</v>
      </c>
      <c r="AB13" s="110">
        <f>IFERROR(INDEX('WetLitterbags placem_collection'!$A$3:$A$500,MATCH(A13,'WetLitterbags placem_collection'!$K$4:$K$500,0)),"")</f>
        <v>171</v>
      </c>
      <c r="AC13" s="110" t="str">
        <f>IFERROR(INDEX('WetLitterbags placem_collection'!$A$3:$A$500,MATCH($A13,'WetLitterbags placem_collection'!$O$4:$O$500,0)),"")</f>
        <v/>
      </c>
      <c r="AD13" s="110" t="str">
        <f>IFERROR(INDEX('WetLitterbags placem_collection'!$A$3:$A$500,MATCH($A13,'WetLitterbags placem_collection'!$M$4:$M$500,0)),"")</f>
        <v/>
      </c>
      <c r="AE13" s="110" t="str">
        <f>IFERROR(INDEX('WetLitterbags placem_collection'!$A$3:$A$500,MATCH($A13,'WetLitterbags placem_collection'!$Q$4:$Q$500,0)),"")</f>
        <v/>
      </c>
    </row>
    <row r="14" spans="1:50">
      <c r="A14" s="197" t="s">
        <v>1768</v>
      </c>
      <c r="C14" s="197">
        <v>66</v>
      </c>
      <c r="D14" s="197">
        <v>0.92320000000000002</v>
      </c>
      <c r="E14" s="202">
        <v>9.8215000000000003</v>
      </c>
      <c r="F14" s="202">
        <v>0.2084</v>
      </c>
      <c r="G14" s="201">
        <f t="shared" si="0"/>
        <v>10.0299</v>
      </c>
      <c r="H14" s="201">
        <v>9.8864999999999998</v>
      </c>
      <c r="I14" s="201">
        <f t="shared" si="1"/>
        <v>0.14339999999999975</v>
      </c>
      <c r="J14" s="201">
        <f t="shared" si="2"/>
        <v>6.5000000000000252E-2</v>
      </c>
      <c r="K14" s="280">
        <f t="shared" si="3"/>
        <v>31.190019193858088</v>
      </c>
      <c r="L14" s="201">
        <v>14</v>
      </c>
      <c r="AB14" s="110">
        <f>IFERROR(INDEX('WetLitterbags placem_collection'!$A$3:$A$500,MATCH(A14,'WetLitterbags placem_collection'!$K$4:$K$500,0)),"")</f>
        <v>65</v>
      </c>
      <c r="AC14" s="110" t="str">
        <f>IFERROR(INDEX('WetLitterbags placem_collection'!$A$3:$A$500,MATCH($A14,'WetLitterbags placem_collection'!$O$4:$O$500,0)),"")</f>
        <v/>
      </c>
      <c r="AD14" s="110" t="str">
        <f>IFERROR(INDEX('WetLitterbags placem_collection'!$A$3:$A$500,MATCH($A14,'WetLitterbags placem_collection'!$M$4:$M$500,0)),"")</f>
        <v/>
      </c>
      <c r="AE14" s="110" t="str">
        <f>IFERROR(INDEX('WetLitterbags placem_collection'!$A$3:$A$500,MATCH($A14,'WetLitterbags placem_collection'!$Q$4:$Q$500,0)),"")</f>
        <v/>
      </c>
    </row>
    <row r="15" spans="1:50">
      <c r="A15" s="197" t="s">
        <v>1767</v>
      </c>
      <c r="C15" s="197">
        <v>44</v>
      </c>
      <c r="D15" s="197">
        <v>0.60719999999999996</v>
      </c>
      <c r="E15" s="197">
        <v>8.0626999999999995</v>
      </c>
      <c r="F15" s="197">
        <v>0.20580000000000001</v>
      </c>
      <c r="G15" s="197">
        <f t="shared" si="0"/>
        <v>8.2684999999999995</v>
      </c>
      <c r="H15" s="197">
        <v>8.0844000000000005</v>
      </c>
      <c r="I15" s="197">
        <f t="shared" si="1"/>
        <v>0.18409999999999904</v>
      </c>
      <c r="J15" s="201">
        <f t="shared" si="2"/>
        <v>2.1700000000000969E-2</v>
      </c>
      <c r="K15" s="280">
        <f t="shared" si="3"/>
        <v>10.544217687075299</v>
      </c>
      <c r="L15" s="197">
        <v>30</v>
      </c>
      <c r="M15" s="197" t="s">
        <v>2586</v>
      </c>
      <c r="N15" s="197" t="s">
        <v>2585</v>
      </c>
      <c r="O15" s="197" t="s">
        <v>2550</v>
      </c>
      <c r="AB15" s="110" t="str">
        <f>IFERROR(INDEX('WetLitterbags placem_collection'!$A$3:$A$500,MATCH(A15,'WetLitterbags placem_collection'!$K$4:$K$500,0)),"")</f>
        <v/>
      </c>
      <c r="AC15" s="110">
        <f>IFERROR(INDEX('WetLitterbags placem_collection'!$A$3:$A$500,MATCH($A15,'WetLitterbags placem_collection'!$O$4:$O$500,0)),"")</f>
        <v>43</v>
      </c>
      <c r="AD15" s="110" t="str">
        <f>IFERROR(INDEX('WetLitterbags placem_collection'!$A$3:$A$500,MATCH($A15,'WetLitterbags placem_collection'!$M$4:$M$500,0)),"")</f>
        <v/>
      </c>
      <c r="AE15" s="110" t="str">
        <f>IFERROR(INDEX('WetLitterbags placem_collection'!$A$3:$A$500,MATCH($A15,'WetLitterbags placem_collection'!$Q$4:$Q$500,0)),"")</f>
        <v/>
      </c>
    </row>
    <row r="16" spans="1:50">
      <c r="A16" s="197" t="s">
        <v>1764</v>
      </c>
      <c r="C16" s="198">
        <v>10</v>
      </c>
      <c r="D16" s="197">
        <v>0.59770000000000001</v>
      </c>
      <c r="E16" s="201">
        <v>8.8447999999999993</v>
      </c>
      <c r="F16" s="202">
        <v>0.2011</v>
      </c>
      <c r="G16" s="201">
        <f t="shared" si="0"/>
        <v>9.0458999999999996</v>
      </c>
      <c r="H16" s="201">
        <v>8.8735999999999997</v>
      </c>
      <c r="I16" s="201">
        <f t="shared" si="1"/>
        <v>0.1722999999999999</v>
      </c>
      <c r="J16" s="201">
        <f t="shared" si="2"/>
        <v>2.8800000000000103E-2</v>
      </c>
      <c r="K16" s="280">
        <f t="shared" si="3"/>
        <v>14.321233217304874</v>
      </c>
      <c r="L16" s="201">
        <v>1</v>
      </c>
      <c r="M16" s="204">
        <v>43213</v>
      </c>
      <c r="N16" s="204">
        <v>43213</v>
      </c>
      <c r="AB16" s="110">
        <f>IFERROR(INDEX('WetLitterbags placem_collection'!$A$3:$A$500,MATCH(A16,'WetLitterbags placem_collection'!$K$4:$K$500,0)),"")</f>
        <v>9</v>
      </c>
      <c r="AC16" s="110" t="str">
        <f>IFERROR(INDEX('WetLitterbags placem_collection'!$A$3:$A$500,MATCH($A16,'WetLitterbags placem_collection'!$O$4:$O$500,0)),"")</f>
        <v/>
      </c>
      <c r="AD16" s="110" t="str">
        <f>IFERROR(INDEX('WetLitterbags placem_collection'!$A$3:$A$500,MATCH($A16,'WetLitterbags placem_collection'!$M$4:$M$500,0)),"")</f>
        <v/>
      </c>
      <c r="AE16" s="110" t="str">
        <f>IFERROR(INDEX('WetLitterbags placem_collection'!$A$3:$A$500,MATCH($A16,'WetLitterbags placem_collection'!$Q$4:$Q$500,0)),"")</f>
        <v/>
      </c>
    </row>
    <row r="17" spans="1:31">
      <c r="A17" s="197" t="s">
        <v>1763</v>
      </c>
      <c r="C17" s="198">
        <v>166</v>
      </c>
      <c r="D17" s="197">
        <v>0.53959999999999997</v>
      </c>
      <c r="E17" s="201">
        <v>8.0640000000000001</v>
      </c>
      <c r="F17" s="202">
        <v>0.20080000000000001</v>
      </c>
      <c r="G17" s="201">
        <f t="shared" si="0"/>
        <v>8.2647999999999993</v>
      </c>
      <c r="H17" s="201">
        <v>8.0802999999999994</v>
      </c>
      <c r="I17" s="201">
        <f t="shared" si="1"/>
        <v>0.18449999999999989</v>
      </c>
      <c r="J17" s="201">
        <f t="shared" si="2"/>
        <v>1.630000000000012E-2</v>
      </c>
      <c r="K17" s="280">
        <f t="shared" si="3"/>
        <v>8.1175298804781466</v>
      </c>
      <c r="L17" s="201">
        <v>7</v>
      </c>
      <c r="M17" s="204">
        <v>43212</v>
      </c>
      <c r="AB17" s="110" t="str">
        <f>IFERROR(INDEX('WetLitterbags placem_collection'!$A$3:$A$500,MATCH(A17,'WetLitterbags placem_collection'!$K$4:$K$500,0)),"")</f>
        <v/>
      </c>
      <c r="AC17" s="110">
        <f>IFERROR(INDEX('WetLitterbags placem_collection'!$A$3:$A$500,MATCH($A17,'WetLitterbags placem_collection'!$O$4:$O$500,0)),"")</f>
        <v>165</v>
      </c>
      <c r="AD17" s="110" t="str">
        <f>IFERROR(INDEX('WetLitterbags placem_collection'!$A$3:$A$500,MATCH($A17,'WetLitterbags placem_collection'!$M$4:$M$500,0)),"")</f>
        <v/>
      </c>
      <c r="AE17" s="110" t="str">
        <f>IFERROR(INDEX('WetLitterbags placem_collection'!$A$3:$A$500,MATCH($A17,'WetLitterbags placem_collection'!$Q$4:$Q$500,0)),"")</f>
        <v/>
      </c>
    </row>
    <row r="18" spans="1:31">
      <c r="A18" s="206" t="s">
        <v>1759</v>
      </c>
      <c r="C18" s="201">
        <v>84</v>
      </c>
      <c r="D18" s="201">
        <v>0.67900000000000005</v>
      </c>
      <c r="E18" s="202">
        <v>7.5281000000000002</v>
      </c>
      <c r="F18" s="202">
        <v>0.20130000000000001</v>
      </c>
      <c r="G18" s="201">
        <f t="shared" si="0"/>
        <v>7.7294</v>
      </c>
      <c r="H18" s="201">
        <v>7.5521000000000003</v>
      </c>
      <c r="I18" s="201">
        <f t="shared" si="1"/>
        <v>0.17729999999999979</v>
      </c>
      <c r="J18" s="201">
        <f t="shared" si="2"/>
        <v>2.4000000000000216E-2</v>
      </c>
      <c r="K18" s="280">
        <f t="shared" si="3"/>
        <v>11.922503725782521</v>
      </c>
      <c r="L18" s="201">
        <v>6</v>
      </c>
      <c r="M18" s="207">
        <v>43186.458333333336</v>
      </c>
      <c r="N18" s="207">
        <v>43186.625</v>
      </c>
      <c r="O18" s="197" t="s">
        <v>2550</v>
      </c>
      <c r="P18" s="201"/>
      <c r="AB18" s="110">
        <f>IFERROR(INDEX('WetLitterbags placem_collection'!$A$3:$A$500,MATCH(A18,'WetLitterbags placem_collection'!$K$4:$K$500,0)),"")</f>
        <v>83</v>
      </c>
      <c r="AC18" s="110" t="str">
        <f>IFERROR(INDEX('WetLitterbags placem_collection'!$A$3:$A$500,MATCH($A18,'WetLitterbags placem_collection'!$O$4:$O$500,0)),"")</f>
        <v/>
      </c>
      <c r="AD18" s="110" t="str">
        <f>IFERROR(INDEX('WetLitterbags placem_collection'!$A$3:$A$500,MATCH($A18,'WetLitterbags placem_collection'!$M$4:$M$500,0)),"")</f>
        <v/>
      </c>
      <c r="AE18" s="110" t="str">
        <f>IFERROR(INDEX('WetLitterbags placem_collection'!$A$3:$A$500,MATCH($A18,'WetLitterbags placem_collection'!$Q$4:$Q$500,0)),"")</f>
        <v/>
      </c>
    </row>
    <row r="19" spans="1:31">
      <c r="A19" s="206" t="s">
        <v>1753</v>
      </c>
      <c r="C19" s="201">
        <v>192</v>
      </c>
      <c r="D19" s="201">
        <v>0.42030000000000001</v>
      </c>
      <c r="E19" s="202">
        <v>9.5191999999999997</v>
      </c>
      <c r="F19" s="202">
        <v>0.20019999999999999</v>
      </c>
      <c r="G19" s="201">
        <f t="shared" si="0"/>
        <v>9.7194000000000003</v>
      </c>
      <c r="H19" s="201">
        <v>9.5379000000000005</v>
      </c>
      <c r="I19" s="201">
        <f t="shared" si="1"/>
        <v>0.18149999999999977</v>
      </c>
      <c r="J19" s="201">
        <f t="shared" si="2"/>
        <v>1.8700000000000216E-2</v>
      </c>
      <c r="K19" s="280">
        <f t="shared" si="3"/>
        <v>9.3406593406594496</v>
      </c>
      <c r="L19" s="201">
        <v>16</v>
      </c>
      <c r="M19" s="207">
        <v>43185.385416666664</v>
      </c>
      <c r="N19" s="201"/>
      <c r="O19" s="201" t="s">
        <v>2556</v>
      </c>
      <c r="P19" s="201"/>
      <c r="AB19" s="110" t="str">
        <f>IFERROR(INDEX('WetLitterbags placem_collection'!$A$3:$A$500,MATCH(A19,'WetLitterbags placem_collection'!$K$4:$K$500,0)),"")</f>
        <v/>
      </c>
      <c r="AC19" s="110">
        <f>IFERROR(INDEX('WetLitterbags placem_collection'!$A$3:$A$500,MATCH($A19,'WetLitterbags placem_collection'!$O$4:$O$500,0)),"")</f>
        <v>191</v>
      </c>
      <c r="AD19" s="110" t="str">
        <f>IFERROR(INDEX('WetLitterbags placem_collection'!$A$3:$A$500,MATCH($A19,'WetLitterbags placem_collection'!$M$4:$M$500,0)),"")</f>
        <v/>
      </c>
      <c r="AE19" s="110" t="str">
        <f>IFERROR(INDEX('WetLitterbags placem_collection'!$A$3:$A$500,MATCH($A19,'WetLitterbags placem_collection'!$Q$4:$Q$500,0)),"")</f>
        <v/>
      </c>
    </row>
    <row r="20" spans="1:31">
      <c r="A20" s="201" t="s">
        <v>1752</v>
      </c>
      <c r="C20" s="201">
        <v>83</v>
      </c>
      <c r="D20" s="202">
        <v>0.66410000000000002</v>
      </c>
      <c r="E20" s="201">
        <v>9.4853000000000005</v>
      </c>
      <c r="F20" s="202">
        <v>0.2054</v>
      </c>
      <c r="G20" s="201">
        <f t="shared" si="0"/>
        <v>9.6906999999999996</v>
      </c>
      <c r="H20" s="201">
        <v>9.5158000000000005</v>
      </c>
      <c r="I20" s="201">
        <f t="shared" si="1"/>
        <v>0.17489999999999917</v>
      </c>
      <c r="J20" s="201">
        <f t="shared" si="2"/>
        <v>3.0500000000000832E-2</v>
      </c>
      <c r="K20" s="280">
        <f t="shared" si="3"/>
        <v>14.849074975657658</v>
      </c>
      <c r="L20" s="201">
        <v>3</v>
      </c>
      <c r="M20" s="205">
        <v>43206</v>
      </c>
      <c r="N20" s="205">
        <v>43206</v>
      </c>
      <c r="O20" s="201"/>
      <c r="P20" s="201"/>
      <c r="AB20" s="110" t="str">
        <f>IFERROR(INDEX('WetLitterbags placem_collection'!$A$3:$A$500,MATCH(A20,'WetLitterbags placem_collection'!$K$4:$K$500,0)),"")</f>
        <v/>
      </c>
      <c r="AC20" s="110">
        <f>IFERROR(INDEX('WetLitterbags placem_collection'!$A$3:$A$500,MATCH($A20,'WetLitterbags placem_collection'!$O$4:$O$500,0)),"")</f>
        <v>82</v>
      </c>
      <c r="AD20" s="110" t="str">
        <f>IFERROR(INDEX('WetLitterbags placem_collection'!$A$3:$A$500,MATCH($A20,'WetLitterbags placem_collection'!$M$4:$M$500,0)),"")</f>
        <v/>
      </c>
      <c r="AE20" s="110" t="str">
        <f>IFERROR(INDEX('WetLitterbags placem_collection'!$A$3:$A$500,MATCH($A20,'WetLitterbags placem_collection'!$Q$4:$Q$500,0)),"")</f>
        <v/>
      </c>
    </row>
    <row r="21" spans="1:31">
      <c r="A21" s="206" t="s">
        <v>1751</v>
      </c>
      <c r="C21" s="201">
        <v>48</v>
      </c>
      <c r="D21" s="201">
        <v>0.66920000000000002</v>
      </c>
      <c r="E21" s="201">
        <v>7.5284000000000004</v>
      </c>
      <c r="F21" s="202">
        <v>0.2036</v>
      </c>
      <c r="G21" s="201">
        <f t="shared" si="0"/>
        <v>7.7320000000000002</v>
      </c>
      <c r="H21" s="201">
        <v>7.5435999999999996</v>
      </c>
      <c r="I21" s="201">
        <f t="shared" si="1"/>
        <v>0.18840000000000057</v>
      </c>
      <c r="J21" s="201">
        <f t="shared" si="2"/>
        <v>1.5199999999999436E-2</v>
      </c>
      <c r="K21" s="280">
        <f t="shared" si="3"/>
        <v>7.4656188605105287</v>
      </c>
      <c r="L21" s="201">
        <v>13</v>
      </c>
      <c r="M21" s="205">
        <v>43211</v>
      </c>
      <c r="R21" s="197">
        <v>1</v>
      </c>
      <c r="S21" s="197">
        <v>0.65400000000000003</v>
      </c>
      <c r="T21" s="197">
        <f>AVERAGE(S21:S30)</f>
        <v>0.65125</v>
      </c>
      <c r="U21" s="202" t="s">
        <v>1593</v>
      </c>
      <c r="V21" s="197">
        <v>0.91849999999999998</v>
      </c>
      <c r="W21" s="197">
        <f>(V21-$T$175+F19)</f>
        <v>1.1187</v>
      </c>
      <c r="AB21" s="110" t="str">
        <f>IFERROR(INDEX('WetLitterbags placem_collection'!$A$3:$A$500,MATCH(A21,'WetLitterbags placem_collection'!$K$4:$K$500,0)),"")</f>
        <v/>
      </c>
      <c r="AC21" s="110">
        <f>IFERROR(INDEX('WetLitterbags placem_collection'!$A$3:$A$500,MATCH($A21,'WetLitterbags placem_collection'!$O$4:$O$500,0)),"")</f>
        <v>47</v>
      </c>
      <c r="AD21" s="110" t="str">
        <f>IFERROR(INDEX('WetLitterbags placem_collection'!$A$3:$A$500,MATCH($A21,'WetLitterbags placem_collection'!$M$4:$M$500,0)),"")</f>
        <v/>
      </c>
      <c r="AE21" s="110" t="str">
        <f>IFERROR(INDEX('WetLitterbags placem_collection'!$A$3:$A$500,MATCH($A21,'WetLitterbags placem_collection'!$Q$4:$Q$500,0)),"")</f>
        <v/>
      </c>
    </row>
    <row r="22" spans="1:31">
      <c r="A22" s="201" t="s">
        <v>1742</v>
      </c>
      <c r="C22" s="201">
        <v>85</v>
      </c>
      <c r="D22" s="201">
        <v>0.98040000000000005</v>
      </c>
      <c r="E22" s="202">
        <v>8.1328999999999994</v>
      </c>
      <c r="F22" s="202">
        <v>0.20200000000000001</v>
      </c>
      <c r="G22" s="201">
        <f t="shared" si="0"/>
        <v>8.3348999999999993</v>
      </c>
      <c r="H22" s="201">
        <v>8.2133000000000003</v>
      </c>
      <c r="I22" s="201">
        <f t="shared" si="1"/>
        <v>0.12159999999999904</v>
      </c>
      <c r="J22" s="201">
        <f t="shared" si="2"/>
        <v>8.0400000000000971E-2</v>
      </c>
      <c r="K22" s="280">
        <f t="shared" si="3"/>
        <v>39.801980198020281</v>
      </c>
      <c r="L22" s="201">
        <v>43</v>
      </c>
      <c r="M22" s="207">
        <v>43186.458333333336</v>
      </c>
      <c r="N22" s="207">
        <v>43186.625</v>
      </c>
      <c r="O22" s="197" t="s">
        <v>2550</v>
      </c>
      <c r="P22" s="201"/>
      <c r="AB22" s="110">
        <f>IFERROR(INDEX('WetLitterbags placem_collection'!$A$3:$A$500,MATCH(A22,'WetLitterbags placem_collection'!$K$4:$K$500,0)),"")</f>
        <v>84</v>
      </c>
      <c r="AC22" s="110" t="str">
        <f>IFERROR(INDEX('WetLitterbags placem_collection'!$A$3:$A$500,MATCH($A22,'WetLitterbags placem_collection'!$O$4:$O$500,0)),"")</f>
        <v/>
      </c>
      <c r="AD22" s="110" t="str">
        <f>IFERROR(INDEX('WetLitterbags placem_collection'!$A$3:$A$500,MATCH($A22,'WetLitterbags placem_collection'!$M$4:$M$500,0)),"")</f>
        <v/>
      </c>
      <c r="AE22" s="110" t="str">
        <f>IFERROR(INDEX('WetLitterbags placem_collection'!$A$3:$A$500,MATCH($A22,'WetLitterbags placem_collection'!$Q$4:$Q$500,0)),"")</f>
        <v/>
      </c>
    </row>
    <row r="23" spans="1:31">
      <c r="A23" s="197" t="s">
        <v>1716</v>
      </c>
      <c r="C23" s="198">
        <v>166</v>
      </c>
      <c r="D23" s="197">
        <v>0.60729999999999995</v>
      </c>
      <c r="E23" s="197">
        <v>8.0645000000000007</v>
      </c>
      <c r="F23" s="202">
        <v>0.20250000000000001</v>
      </c>
      <c r="G23" s="201">
        <f t="shared" si="0"/>
        <v>8.2670000000000012</v>
      </c>
      <c r="H23" s="201">
        <v>8.0913000000000004</v>
      </c>
      <c r="I23" s="201">
        <f t="shared" si="1"/>
        <v>0.17570000000000086</v>
      </c>
      <c r="J23" s="201">
        <f t="shared" si="2"/>
        <v>2.6799999999999158E-2</v>
      </c>
      <c r="K23" s="280">
        <f t="shared" si="3"/>
        <v>13.234567901234151</v>
      </c>
      <c r="L23" s="201">
        <v>3</v>
      </c>
      <c r="AB23" s="110">
        <f>IFERROR(INDEX('WetLitterbags placem_collection'!$A$3:$A$500,MATCH(A23,'WetLitterbags placem_collection'!$K$4:$K$500,0)),"")</f>
        <v>165</v>
      </c>
      <c r="AC23" s="110" t="str">
        <f>IFERROR(INDEX('WetLitterbags placem_collection'!$A$3:$A$500,MATCH($A23,'WetLitterbags placem_collection'!$O$4:$O$500,0)),"")</f>
        <v/>
      </c>
      <c r="AD23" s="110" t="str">
        <f>IFERROR(INDEX('WetLitterbags placem_collection'!$A$3:$A$500,MATCH($A23,'WetLitterbags placem_collection'!$M$4:$M$500,0)),"")</f>
        <v/>
      </c>
      <c r="AE23" s="110" t="str">
        <f>IFERROR(INDEX('WetLitterbags placem_collection'!$A$3:$A$500,MATCH($A23,'WetLitterbags placem_collection'!$Q$4:$Q$500,0)),"")</f>
        <v/>
      </c>
    </row>
    <row r="24" spans="1:31">
      <c r="A24" s="197" t="s">
        <v>1713</v>
      </c>
      <c r="C24" s="198">
        <v>184</v>
      </c>
      <c r="D24" s="197">
        <v>0.46029999999999999</v>
      </c>
      <c r="E24" s="197">
        <v>8.1677999999999997</v>
      </c>
      <c r="F24" s="202">
        <v>0.2014</v>
      </c>
      <c r="G24" s="201">
        <f t="shared" si="0"/>
        <v>8.3691999999999993</v>
      </c>
      <c r="H24" s="201">
        <v>8.1896000000000004</v>
      </c>
      <c r="I24" s="201">
        <f t="shared" si="1"/>
        <v>0.17959999999999887</v>
      </c>
      <c r="J24" s="201">
        <f t="shared" si="2"/>
        <v>2.1800000000001124E-2</v>
      </c>
      <c r="K24" s="280">
        <f t="shared" si="3"/>
        <v>10.824230387289536</v>
      </c>
      <c r="L24" s="201">
        <v>20</v>
      </c>
      <c r="AB24" s="110" t="str">
        <f>IFERROR(INDEX('WetLitterbags placem_collection'!$A$3:$A$500,MATCH(A24,'WetLitterbags placem_collection'!$K$4:$K$500,0)),"")</f>
        <v/>
      </c>
      <c r="AC24" s="110">
        <f>IFERROR(INDEX('WetLitterbags placem_collection'!$A$3:$A$500,MATCH($A24,'WetLitterbags placem_collection'!$O$4:$O$500,0)),"")</f>
        <v>183</v>
      </c>
      <c r="AD24" s="110" t="str">
        <f>IFERROR(INDEX('WetLitterbags placem_collection'!$A$3:$A$500,MATCH($A24,'WetLitterbags placem_collection'!$M$4:$M$500,0)),"")</f>
        <v/>
      </c>
      <c r="AE24" s="110" t="str">
        <f>IFERROR(INDEX('WetLitterbags placem_collection'!$A$3:$A$500,MATCH($A24,'WetLitterbags placem_collection'!$Q$4:$Q$500,0)),"")</f>
        <v/>
      </c>
    </row>
    <row r="25" spans="1:31">
      <c r="A25" s="197" t="s">
        <v>1705</v>
      </c>
      <c r="C25" s="198">
        <v>29</v>
      </c>
      <c r="D25" s="197">
        <v>0.45800000000000002</v>
      </c>
      <c r="E25" s="201">
        <v>11.154400000000001</v>
      </c>
      <c r="F25" s="202">
        <v>0.20430000000000001</v>
      </c>
      <c r="G25" s="201">
        <f t="shared" si="0"/>
        <v>11.358700000000001</v>
      </c>
      <c r="H25" s="201">
        <v>11.173999999999999</v>
      </c>
      <c r="I25" s="201">
        <f t="shared" si="1"/>
        <v>0.1847000000000012</v>
      </c>
      <c r="J25" s="201">
        <f t="shared" si="2"/>
        <v>1.9599999999998813E-2</v>
      </c>
      <c r="K25" s="280">
        <f t="shared" si="3"/>
        <v>9.5937347038662821</v>
      </c>
      <c r="L25" s="201">
        <v>8</v>
      </c>
      <c r="M25" s="204">
        <v>43212</v>
      </c>
      <c r="AB25" s="110" t="str">
        <f>IFERROR(INDEX('WetLitterbags placem_collection'!$A$3:$A$500,MATCH(A25,'WetLitterbags placem_collection'!$K$4:$K$500,0)),"")</f>
        <v/>
      </c>
      <c r="AC25" s="110">
        <f>IFERROR(INDEX('WetLitterbags placem_collection'!$A$3:$A$500,MATCH($A25,'WetLitterbags placem_collection'!$O$4:$O$500,0)),"")</f>
        <v>28</v>
      </c>
      <c r="AD25" s="110" t="str">
        <f>IFERROR(INDEX('WetLitterbags placem_collection'!$A$3:$A$500,MATCH($A25,'WetLitterbags placem_collection'!$M$4:$M$500,0)),"")</f>
        <v/>
      </c>
      <c r="AE25" s="110" t="str">
        <f>IFERROR(INDEX('WetLitterbags placem_collection'!$A$3:$A$500,MATCH($A25,'WetLitterbags placem_collection'!$Q$4:$Q$500,0)),"")</f>
        <v/>
      </c>
    </row>
    <row r="26" spans="1:31">
      <c r="A26" s="197" t="s">
        <v>1704</v>
      </c>
      <c r="C26" s="201">
        <v>49</v>
      </c>
      <c r="D26" s="197">
        <v>0.75149999999999995</v>
      </c>
      <c r="E26" s="201">
        <v>10.634499999999999</v>
      </c>
      <c r="F26" s="202">
        <v>0.20230000000000001</v>
      </c>
      <c r="G26" s="201">
        <f t="shared" si="0"/>
        <v>10.836799999999998</v>
      </c>
      <c r="H26" s="201">
        <v>10.6754</v>
      </c>
      <c r="I26" s="201">
        <f t="shared" si="1"/>
        <v>0.16139999999999866</v>
      </c>
      <c r="J26" s="201">
        <f t="shared" si="2"/>
        <v>4.0900000000001352E-2</v>
      </c>
      <c r="K26" s="280">
        <f t="shared" si="3"/>
        <v>20.217498764212234</v>
      </c>
      <c r="L26" s="201">
        <v>34</v>
      </c>
      <c r="M26" s="205">
        <v>43211</v>
      </c>
      <c r="R26" s="197">
        <v>3</v>
      </c>
      <c r="S26" s="197">
        <v>0.64849999999999997</v>
      </c>
      <c r="U26" s="202" t="s">
        <v>1278</v>
      </c>
      <c r="V26" s="197">
        <v>0.83420000000000005</v>
      </c>
      <c r="W26" s="197">
        <f>(V26-$T$175+F24)</f>
        <v>1.0356000000000001</v>
      </c>
      <c r="AB26" s="110">
        <f>IFERROR(INDEX('WetLitterbags placem_collection'!$A$3:$A$500,MATCH(A26,'WetLitterbags placem_collection'!$K$4:$K$500,0)),"")</f>
        <v>48</v>
      </c>
      <c r="AC26" s="110" t="str">
        <f>IFERROR(INDEX('WetLitterbags placem_collection'!$A$3:$A$500,MATCH($A26,'WetLitterbags placem_collection'!$O$4:$O$500,0)),"")</f>
        <v/>
      </c>
      <c r="AD26" s="110" t="str">
        <f>IFERROR(INDEX('WetLitterbags placem_collection'!$A$3:$A$500,MATCH($A26,'WetLitterbags placem_collection'!$M$4:$M$500,0)),"")</f>
        <v/>
      </c>
      <c r="AE26" s="110" t="str">
        <f>IFERROR(INDEX('WetLitterbags placem_collection'!$A$3:$A$500,MATCH($A26,'WetLitterbags placem_collection'!$Q$4:$Q$500,0)),"")</f>
        <v/>
      </c>
    </row>
    <row r="27" spans="1:31">
      <c r="A27" s="197" t="s">
        <v>1699</v>
      </c>
      <c r="C27" s="201">
        <v>161</v>
      </c>
      <c r="D27" s="197">
        <v>0.3921</v>
      </c>
      <c r="E27" s="197">
        <v>8.8637999999999995</v>
      </c>
      <c r="F27" s="197">
        <v>0.20130000000000001</v>
      </c>
      <c r="G27" s="197">
        <f t="shared" si="0"/>
        <v>9.0650999999999993</v>
      </c>
      <c r="H27" s="197">
        <v>8.8859999999999992</v>
      </c>
      <c r="I27" s="197">
        <f t="shared" si="1"/>
        <v>0.17910000000000004</v>
      </c>
      <c r="J27" s="201">
        <f t="shared" si="2"/>
        <v>2.219999999999997E-2</v>
      </c>
      <c r="K27" s="280">
        <f t="shared" si="3"/>
        <v>11.028315946348718</v>
      </c>
      <c r="L27" s="197">
        <v>3</v>
      </c>
      <c r="M27" s="207">
        <v>43160.520833333336</v>
      </c>
      <c r="N27" s="207">
        <v>43160.6875</v>
      </c>
      <c r="O27" s="197" t="s">
        <v>2550</v>
      </c>
      <c r="AB27" s="110" t="str">
        <f>IFERROR(INDEX('WetLitterbags placem_collection'!$A$3:$A$500,MATCH(A27,'WetLitterbags placem_collection'!$K$4:$K$500,0)),"")</f>
        <v/>
      </c>
      <c r="AC27" s="110">
        <f>IFERROR(INDEX('WetLitterbags placem_collection'!$A$3:$A$500,MATCH($A27,'WetLitterbags placem_collection'!$O$4:$O$500,0)),"")</f>
        <v>160</v>
      </c>
      <c r="AD27" s="110" t="str">
        <f>IFERROR(INDEX('WetLitterbags placem_collection'!$A$3:$A$500,MATCH($A27,'WetLitterbags placem_collection'!$M$4:$M$500,0)),"")</f>
        <v/>
      </c>
      <c r="AE27" s="110" t="str">
        <f>IFERROR(INDEX('WetLitterbags placem_collection'!$A$3:$A$500,MATCH($A27,'WetLitterbags placem_collection'!$Q$4:$Q$500,0)),"")</f>
        <v/>
      </c>
    </row>
    <row r="28" spans="1:31">
      <c r="A28" s="197" t="s">
        <v>1698</v>
      </c>
      <c r="C28" s="201">
        <v>161</v>
      </c>
      <c r="D28" s="197">
        <v>0.39190000000000003</v>
      </c>
      <c r="E28" s="197">
        <v>8.1366999999999994</v>
      </c>
      <c r="F28" s="197">
        <v>0.20119999999999999</v>
      </c>
      <c r="G28" s="197">
        <f t="shared" si="0"/>
        <v>8.3378999999999994</v>
      </c>
      <c r="H28" s="197">
        <v>8.1506000000000007</v>
      </c>
      <c r="I28" s="197">
        <f t="shared" si="1"/>
        <v>0.18729999999999869</v>
      </c>
      <c r="J28" s="201">
        <f t="shared" si="2"/>
        <v>1.39000000000013E-2</v>
      </c>
      <c r="K28" s="280">
        <f t="shared" si="3"/>
        <v>6.9085487077541252</v>
      </c>
      <c r="L28" s="197">
        <v>4</v>
      </c>
      <c r="M28" s="207">
        <v>43160.520833333336</v>
      </c>
      <c r="N28" s="207">
        <v>43160.6875</v>
      </c>
      <c r="O28" s="197" t="s">
        <v>2550</v>
      </c>
      <c r="AB28" s="110" t="str">
        <f>IFERROR(INDEX('WetLitterbags placem_collection'!$A$3:$A$500,MATCH(A28,'WetLitterbags placem_collection'!$K$4:$K$500,0)),"")</f>
        <v/>
      </c>
      <c r="AC28" s="110" t="str">
        <f>IFERROR(INDEX('WetLitterbags placem_collection'!$A$3:$A$500,MATCH($A28,'WetLitterbags placem_collection'!$O$4:$O$500,0)),"")</f>
        <v/>
      </c>
      <c r="AD28" s="110" t="str">
        <f>IFERROR(INDEX('WetLitterbags placem_collection'!$A$3:$A$500,MATCH($A28,'WetLitterbags placem_collection'!$M$4:$M$500,0)),"")</f>
        <v/>
      </c>
      <c r="AE28" s="110" t="str">
        <f>IFERROR(INDEX('WetLitterbags placem_collection'!$A$3:$A$500,MATCH($A28,'WetLitterbags placem_collection'!$Q$4:$Q$500,0)),"")</f>
        <v/>
      </c>
    </row>
    <row r="29" spans="1:31">
      <c r="A29" s="197" t="s">
        <v>1695</v>
      </c>
      <c r="C29" s="197">
        <v>90</v>
      </c>
      <c r="D29" s="197">
        <v>0.54079999999999995</v>
      </c>
      <c r="E29" s="197">
        <v>20.934799999999999</v>
      </c>
      <c r="F29" s="197">
        <v>0.1933</v>
      </c>
      <c r="G29" s="197">
        <f t="shared" si="0"/>
        <v>21.1281</v>
      </c>
      <c r="H29" s="197">
        <v>20.947700000000001</v>
      </c>
      <c r="I29" s="197">
        <f t="shared" si="1"/>
        <v>0.18039999999999878</v>
      </c>
      <c r="J29" s="201">
        <f t="shared" si="2"/>
        <v>1.2900000000001216E-2</v>
      </c>
      <c r="K29" s="280">
        <f t="shared" si="3"/>
        <v>6.6735644076571221</v>
      </c>
      <c r="L29" s="197">
        <v>19</v>
      </c>
      <c r="M29" s="197" t="s">
        <v>2580</v>
      </c>
      <c r="N29" s="197" t="s">
        <v>2579</v>
      </c>
      <c r="O29" s="197" t="s">
        <v>2556</v>
      </c>
      <c r="AB29" s="110" t="str">
        <f>IFERROR(INDEX('WetLitterbags placem_collection'!$A$3:$A$500,MATCH(A29,'WetLitterbags placem_collection'!$K$4:$K$500,0)),"")</f>
        <v/>
      </c>
      <c r="AC29" s="110">
        <f>IFERROR(INDEX('WetLitterbags placem_collection'!$A$3:$A$500,MATCH($A29,'WetLitterbags placem_collection'!$O$4:$O$500,0)),"")</f>
        <v>89</v>
      </c>
      <c r="AD29" s="110" t="str">
        <f>IFERROR(INDEX('WetLitterbags placem_collection'!$A$3:$A$500,MATCH($A29,'WetLitterbags placem_collection'!$M$4:$M$500,0)),"")</f>
        <v/>
      </c>
      <c r="AE29" s="110" t="str">
        <f>IFERROR(INDEX('WetLitterbags placem_collection'!$A$3:$A$500,MATCH($A29,'WetLitterbags placem_collection'!$Q$4:$Q$500,0)),"")</f>
        <v/>
      </c>
    </row>
    <row r="30" spans="1:31">
      <c r="A30" s="206" t="s">
        <v>1692</v>
      </c>
      <c r="C30" s="201">
        <v>70</v>
      </c>
      <c r="D30" s="201">
        <v>0.621</v>
      </c>
      <c r="E30" s="202">
        <v>8.7317999999999998</v>
      </c>
      <c r="F30" s="202">
        <v>0.20780000000000001</v>
      </c>
      <c r="G30" s="201">
        <f t="shared" si="0"/>
        <v>8.9396000000000004</v>
      </c>
      <c r="H30" s="201">
        <v>8.76</v>
      </c>
      <c r="I30" s="201">
        <f t="shared" si="1"/>
        <v>0.17960000000000065</v>
      </c>
      <c r="J30" s="201">
        <f t="shared" si="2"/>
        <v>2.8199999999999364E-2</v>
      </c>
      <c r="K30" s="280">
        <f t="shared" si="3"/>
        <v>13.570741097208547</v>
      </c>
      <c r="L30" s="201">
        <v>12</v>
      </c>
      <c r="M30" s="203">
        <v>43181.645833333336</v>
      </c>
      <c r="N30" s="203">
        <v>43181.833333333336</v>
      </c>
      <c r="O30" s="201" t="s">
        <v>2556</v>
      </c>
      <c r="P30" s="201" t="s">
        <v>2572</v>
      </c>
      <c r="AB30" s="110">
        <f>IFERROR(INDEX('WetLitterbags placem_collection'!$A$3:$A$500,MATCH(A30,'WetLitterbags placem_collection'!$K$4:$K$500,0)),"")</f>
        <v>69</v>
      </c>
      <c r="AC30" s="110" t="str">
        <f>IFERROR(INDEX('WetLitterbags placem_collection'!$A$3:$A$500,MATCH($A30,'WetLitterbags placem_collection'!$O$4:$O$500,0)),"")</f>
        <v/>
      </c>
      <c r="AD30" s="110" t="str">
        <f>IFERROR(INDEX('WetLitterbags placem_collection'!$A$3:$A$500,MATCH($A30,'WetLitterbags placem_collection'!$M$4:$M$500,0)),"")</f>
        <v/>
      </c>
      <c r="AE30" s="110" t="str">
        <f>IFERROR(INDEX('WetLitterbags placem_collection'!$A$3:$A$500,MATCH($A30,'WetLitterbags placem_collection'!$Q$4:$Q$500,0)),"")</f>
        <v/>
      </c>
    </row>
    <row r="31" spans="1:31">
      <c r="A31" s="201" t="s">
        <v>1691</v>
      </c>
      <c r="C31" s="201">
        <v>37</v>
      </c>
      <c r="D31" s="201">
        <v>0.66649999999999998</v>
      </c>
      <c r="E31" s="201">
        <v>11.0029</v>
      </c>
      <c r="F31" s="201">
        <v>0.2034</v>
      </c>
      <c r="G31" s="201">
        <f t="shared" si="0"/>
        <v>11.206300000000001</v>
      </c>
      <c r="H31" s="201">
        <v>11.0541</v>
      </c>
      <c r="I31" s="201">
        <f t="shared" si="1"/>
        <v>0.15220000000000056</v>
      </c>
      <c r="J31" s="201">
        <f t="shared" si="2"/>
        <v>5.119999999999944E-2</v>
      </c>
      <c r="K31" s="280">
        <f t="shared" si="3"/>
        <v>25.172074729596577</v>
      </c>
      <c r="L31" s="201">
        <v>24</v>
      </c>
      <c r="M31" s="205">
        <v>43188</v>
      </c>
      <c r="N31" s="205">
        <v>43188</v>
      </c>
      <c r="O31" s="201"/>
      <c r="P31" s="201"/>
      <c r="AB31" s="110">
        <f>IFERROR(INDEX('WetLitterbags placem_collection'!$A$3:$A$500,MATCH(A31,'WetLitterbags placem_collection'!$K$4:$K$500,0)),"")</f>
        <v>36</v>
      </c>
      <c r="AC31" s="110" t="str">
        <f>IFERROR(INDEX('WetLitterbags placem_collection'!$A$3:$A$500,MATCH($A31,'WetLitterbags placem_collection'!$O$4:$O$500,0)),"")</f>
        <v/>
      </c>
      <c r="AD31" s="110" t="str">
        <f>IFERROR(INDEX('WetLitterbags placem_collection'!$A$3:$A$500,MATCH($A31,'WetLitterbags placem_collection'!$M$4:$M$500,0)),"")</f>
        <v/>
      </c>
      <c r="AE31" s="110" t="str">
        <f>IFERROR(INDEX('WetLitterbags placem_collection'!$A$3:$A$500,MATCH($A31,'WetLitterbags placem_collection'!$Q$4:$Q$500,0)),"")</f>
        <v/>
      </c>
    </row>
    <row r="32" spans="1:31">
      <c r="A32" s="197" t="s">
        <v>1690</v>
      </c>
      <c r="C32" s="201">
        <v>180</v>
      </c>
      <c r="D32" s="197">
        <v>0.43020000000000003</v>
      </c>
      <c r="E32" s="201">
        <v>11.4535</v>
      </c>
      <c r="F32" s="202">
        <v>0.20649999999999999</v>
      </c>
      <c r="G32" s="201">
        <f t="shared" si="0"/>
        <v>11.66</v>
      </c>
      <c r="H32" s="201">
        <v>11.4724</v>
      </c>
      <c r="I32" s="201">
        <f t="shared" si="1"/>
        <v>0.18759999999999977</v>
      </c>
      <c r="J32" s="201">
        <f t="shared" si="2"/>
        <v>1.8900000000000222E-2</v>
      </c>
      <c r="K32" s="280">
        <f t="shared" si="3"/>
        <v>9.1525423728814648</v>
      </c>
      <c r="L32" s="201">
        <v>38</v>
      </c>
      <c r="M32" s="205">
        <v>43211</v>
      </c>
      <c r="AB32" s="110">
        <f>IFERROR(INDEX('WetLitterbags placem_collection'!$A$3:$A$500,MATCH(A32,'WetLitterbags placem_collection'!$K$4:$K$500,0)),"")</f>
        <v>179</v>
      </c>
      <c r="AC32" s="110" t="str">
        <f>IFERROR(INDEX('WetLitterbags placem_collection'!$A$3:$A$500,MATCH($A32,'WetLitterbags placem_collection'!$O$4:$O$500,0)),"")</f>
        <v/>
      </c>
      <c r="AD32" s="110" t="str">
        <f>IFERROR(INDEX('WetLitterbags placem_collection'!$A$3:$A$500,MATCH($A32,'WetLitterbags placem_collection'!$M$4:$M$500,0)),"")</f>
        <v/>
      </c>
      <c r="AE32" s="110" t="str">
        <f>IFERROR(INDEX('WetLitterbags placem_collection'!$A$3:$A$500,MATCH($A32,'WetLitterbags placem_collection'!$Q$4:$Q$500,0)),"")</f>
        <v/>
      </c>
    </row>
    <row r="33" spans="1:31">
      <c r="A33" s="201" t="s">
        <v>1688</v>
      </c>
      <c r="C33" s="201">
        <v>177</v>
      </c>
      <c r="D33" s="201">
        <v>0.42699999999999999</v>
      </c>
      <c r="E33" s="201">
        <v>9.0031999999999996</v>
      </c>
      <c r="F33" s="202">
        <v>0.20569999999999999</v>
      </c>
      <c r="G33" s="201">
        <f t="shared" si="0"/>
        <v>9.2088999999999999</v>
      </c>
      <c r="H33" s="201">
        <v>9.0220000000000002</v>
      </c>
      <c r="I33" s="201">
        <f t="shared" si="1"/>
        <v>0.18689999999999962</v>
      </c>
      <c r="J33" s="201">
        <f t="shared" si="2"/>
        <v>1.8800000000000372E-2</v>
      </c>
      <c r="K33" s="280">
        <f t="shared" si="3"/>
        <v>9.1395235780264326</v>
      </c>
      <c r="L33" s="201">
        <v>39</v>
      </c>
      <c r="M33" s="205">
        <v>43187</v>
      </c>
      <c r="N33" s="205">
        <v>43187</v>
      </c>
      <c r="O33" s="201"/>
      <c r="P33" s="201"/>
      <c r="AB33" s="110">
        <f>IFERROR(INDEX('WetLitterbags placem_collection'!$A$3:$A$500,MATCH(A33,'WetLitterbags placem_collection'!$K$4:$K$500,0)),"")</f>
        <v>176</v>
      </c>
      <c r="AC33" s="110" t="str">
        <f>IFERROR(INDEX('WetLitterbags placem_collection'!$A$3:$A$500,MATCH($A33,'WetLitterbags placem_collection'!$O$4:$O$500,0)),"")</f>
        <v/>
      </c>
      <c r="AD33" s="110" t="str">
        <f>IFERROR(INDEX('WetLitterbags placem_collection'!$A$3:$A$500,MATCH($A33,'WetLitterbags placem_collection'!$M$4:$M$500,0)),"")</f>
        <v/>
      </c>
      <c r="AE33" s="110" t="str">
        <f>IFERROR(INDEX('WetLitterbags placem_collection'!$A$3:$A$500,MATCH($A33,'WetLitterbags placem_collection'!$Q$4:$Q$500,0)),"")</f>
        <v/>
      </c>
    </row>
    <row r="34" spans="1:31">
      <c r="A34" s="197" t="s">
        <v>1685</v>
      </c>
      <c r="C34" s="197">
        <v>187</v>
      </c>
      <c r="D34" s="197">
        <v>0.46639999999999998</v>
      </c>
      <c r="E34" s="201">
        <v>11.1212</v>
      </c>
      <c r="F34" s="202">
        <v>0.2019</v>
      </c>
      <c r="G34" s="201">
        <f t="shared" ref="G34:G65" si="4">E34+F34</f>
        <v>11.3231</v>
      </c>
      <c r="H34" s="201">
        <v>11.138999999999999</v>
      </c>
      <c r="I34" s="201">
        <f t="shared" ref="I34:I65" si="5">(G34-H34)</f>
        <v>0.18410000000000082</v>
      </c>
      <c r="J34" s="201">
        <f t="shared" ref="J34:J65" si="6">F34-I34</f>
        <v>1.7799999999999178E-2</v>
      </c>
      <c r="K34" s="280">
        <f t="shared" ref="K34:K65" si="7">(J34/F34)*100</f>
        <v>8.8162456661709641</v>
      </c>
      <c r="L34" s="201">
        <v>37</v>
      </c>
      <c r="M34" s="204">
        <v>43212</v>
      </c>
      <c r="AB34" s="110" t="str">
        <f>IFERROR(INDEX('WetLitterbags placem_collection'!$A$3:$A$500,MATCH(A34,'WetLitterbags placem_collection'!$K$4:$K$500,0)),"")</f>
        <v/>
      </c>
      <c r="AC34" s="110">
        <f>IFERROR(INDEX('WetLitterbags placem_collection'!$A$3:$A$500,MATCH($A34,'WetLitterbags placem_collection'!$O$4:$O$500,0)),"")</f>
        <v>186</v>
      </c>
      <c r="AD34" s="110" t="str">
        <f>IFERROR(INDEX('WetLitterbags placem_collection'!$A$3:$A$500,MATCH($A34,'WetLitterbags placem_collection'!$M$4:$M$500,0)),"")</f>
        <v/>
      </c>
      <c r="AE34" s="110" t="str">
        <f>IFERROR(INDEX('WetLitterbags placem_collection'!$A$3:$A$500,MATCH($A34,'WetLitterbags placem_collection'!$Q$4:$Q$500,0)),"")</f>
        <v/>
      </c>
    </row>
    <row r="35" spans="1:31">
      <c r="A35" s="201" t="s">
        <v>1684</v>
      </c>
      <c r="C35" s="197">
        <v>33</v>
      </c>
      <c r="D35" s="201">
        <v>0.54310000000000003</v>
      </c>
      <c r="E35" s="202">
        <v>9.2353000000000005</v>
      </c>
      <c r="F35" s="202">
        <v>0.20069999999999999</v>
      </c>
      <c r="G35" s="201">
        <f t="shared" si="4"/>
        <v>9.4359999999999999</v>
      </c>
      <c r="H35" s="201">
        <v>9.2540999999999993</v>
      </c>
      <c r="I35" s="201">
        <f t="shared" si="5"/>
        <v>0.18190000000000062</v>
      </c>
      <c r="J35" s="201">
        <f t="shared" si="6"/>
        <v>1.8799999999999373E-2</v>
      </c>
      <c r="K35" s="280">
        <f t="shared" si="7"/>
        <v>9.3672147483803556</v>
      </c>
      <c r="L35" s="201">
        <v>19</v>
      </c>
      <c r="M35" s="207">
        <v>43186.458333333336</v>
      </c>
      <c r="N35" s="207">
        <v>43186.625</v>
      </c>
      <c r="O35" s="197" t="s">
        <v>2550</v>
      </c>
      <c r="P35" s="201"/>
      <c r="AB35" s="110">
        <f>IFERROR(INDEX('WetLitterbags placem_collection'!$A$3:$A$500,MATCH(A35,'WetLitterbags placem_collection'!$K$4:$K$500,0)),"")</f>
        <v>32</v>
      </c>
      <c r="AC35" s="110" t="str">
        <f>IFERROR(INDEX('WetLitterbags placem_collection'!$A$3:$A$500,MATCH($A35,'WetLitterbags placem_collection'!$O$4:$O$500,0)),"")</f>
        <v/>
      </c>
      <c r="AD35" s="110" t="str">
        <f>IFERROR(INDEX('WetLitterbags placem_collection'!$A$3:$A$500,MATCH($A35,'WetLitterbags placem_collection'!$M$4:$M$500,0)),"")</f>
        <v/>
      </c>
      <c r="AE35" s="110" t="str">
        <f>IFERROR(INDEX('WetLitterbags placem_collection'!$A$3:$A$500,MATCH($A35,'WetLitterbags placem_collection'!$Q$4:$Q$500,0)),"")</f>
        <v/>
      </c>
    </row>
    <row r="36" spans="1:31">
      <c r="A36" s="201" t="s">
        <v>1683</v>
      </c>
      <c r="C36" s="201">
        <v>189</v>
      </c>
      <c r="D36" s="202">
        <v>0.60070000000000001</v>
      </c>
      <c r="E36" s="202">
        <v>11.7463</v>
      </c>
      <c r="F36" s="202">
        <v>0.2014</v>
      </c>
      <c r="G36" s="201">
        <f t="shared" si="4"/>
        <v>11.947699999999999</v>
      </c>
      <c r="H36" s="201">
        <v>11.7652</v>
      </c>
      <c r="I36" s="201">
        <f t="shared" si="5"/>
        <v>0.18249999999999922</v>
      </c>
      <c r="J36" s="201">
        <f t="shared" si="6"/>
        <v>1.8900000000000777E-2</v>
      </c>
      <c r="K36" s="280">
        <f t="shared" si="7"/>
        <v>9.3843098311821134</v>
      </c>
      <c r="L36" s="201">
        <v>16</v>
      </c>
      <c r="M36" s="201"/>
      <c r="N36" s="201"/>
      <c r="O36" s="201"/>
      <c r="P36" s="201"/>
      <c r="AB36" s="110">
        <f>IFERROR(INDEX('WetLitterbags placem_collection'!$A$3:$A$500,MATCH(A36,'WetLitterbags placem_collection'!$K$4:$K$500,0)),"")</f>
        <v>188</v>
      </c>
      <c r="AC36" s="110" t="str">
        <f>IFERROR(INDEX('WetLitterbags placem_collection'!$A$3:$A$500,MATCH($A36,'WetLitterbags placem_collection'!$O$4:$O$500,0)),"")</f>
        <v/>
      </c>
      <c r="AD36" s="110" t="str">
        <f>IFERROR(INDEX('WetLitterbags placem_collection'!$A$3:$A$500,MATCH($A36,'WetLitterbags placem_collection'!$M$4:$M$500,0)),"")</f>
        <v/>
      </c>
      <c r="AE36" s="110" t="str">
        <f>IFERROR(INDEX('WetLitterbags placem_collection'!$A$3:$A$500,MATCH($A36,'WetLitterbags placem_collection'!$Q$4:$Q$500,0)),"")</f>
        <v/>
      </c>
    </row>
    <row r="37" spans="1:31">
      <c r="A37" s="201" t="s">
        <v>1682</v>
      </c>
      <c r="C37" s="201">
        <v>165</v>
      </c>
      <c r="D37" s="201">
        <v>0.53839999999999999</v>
      </c>
      <c r="E37" s="201">
        <v>8.0638000000000005</v>
      </c>
      <c r="F37" s="201">
        <v>0.20449999999999999</v>
      </c>
      <c r="G37" s="201">
        <f t="shared" si="4"/>
        <v>8.2683</v>
      </c>
      <c r="H37" s="201">
        <v>8.0785999999999998</v>
      </c>
      <c r="I37" s="201">
        <f t="shared" si="5"/>
        <v>0.1897000000000002</v>
      </c>
      <c r="J37" s="201">
        <f t="shared" si="6"/>
        <v>1.4799999999999786E-2</v>
      </c>
      <c r="K37" s="280">
        <f t="shared" si="7"/>
        <v>7.2371638141808248</v>
      </c>
      <c r="L37" s="201">
        <v>20</v>
      </c>
      <c r="M37" s="203">
        <v>43164.628472222219</v>
      </c>
      <c r="N37" s="203">
        <v>43164.795138888891</v>
      </c>
      <c r="O37" s="197" t="s">
        <v>2550</v>
      </c>
      <c r="P37" s="201"/>
      <c r="AB37" s="110">
        <f>IFERROR(INDEX('WetLitterbags placem_collection'!$A$3:$A$500,MATCH(A37,'WetLitterbags placem_collection'!$K$4:$K$500,0)),"")</f>
        <v>164</v>
      </c>
      <c r="AC37" s="110" t="str">
        <f>IFERROR(INDEX('WetLitterbags placem_collection'!$A$3:$A$500,MATCH($A37,'WetLitterbags placem_collection'!$O$4:$O$500,0)),"")</f>
        <v/>
      </c>
      <c r="AD37" s="110" t="str">
        <f>IFERROR(INDEX('WetLitterbags placem_collection'!$A$3:$A$500,MATCH($A37,'WetLitterbags placem_collection'!$M$4:$M$500,0)),"")</f>
        <v/>
      </c>
      <c r="AE37" s="110" t="str">
        <f>IFERROR(INDEX('WetLitterbags placem_collection'!$A$3:$A$500,MATCH($A37,'WetLitterbags placem_collection'!$Q$4:$Q$500,0)),"")</f>
        <v/>
      </c>
    </row>
    <row r="38" spans="1:31">
      <c r="A38" s="197" t="s">
        <v>1677</v>
      </c>
      <c r="C38" s="198">
        <v>75</v>
      </c>
      <c r="D38" s="197">
        <v>0.71379999999999999</v>
      </c>
      <c r="E38" s="201">
        <v>9.3428000000000004</v>
      </c>
      <c r="F38" s="202">
        <v>0.20100000000000001</v>
      </c>
      <c r="G38" s="201">
        <f t="shared" si="4"/>
        <v>9.5438000000000009</v>
      </c>
      <c r="H38" s="201">
        <v>9.3640000000000008</v>
      </c>
      <c r="I38" s="201">
        <f t="shared" si="5"/>
        <v>0.17980000000000018</v>
      </c>
      <c r="J38" s="201">
        <f t="shared" si="6"/>
        <v>2.119999999999983E-2</v>
      </c>
      <c r="K38" s="280">
        <f t="shared" si="7"/>
        <v>10.547263681591955</v>
      </c>
      <c r="L38" s="201">
        <v>19</v>
      </c>
      <c r="M38" s="204">
        <v>43213</v>
      </c>
      <c r="N38" s="204">
        <v>43213</v>
      </c>
      <c r="AB38" s="110" t="str">
        <f>IFERROR(INDEX('WetLitterbags placem_collection'!$A$3:$A$500,MATCH(A38,'WetLitterbags placem_collection'!$K$4:$K$500,0)),"")</f>
        <v/>
      </c>
      <c r="AC38" s="110">
        <f>IFERROR(INDEX('WetLitterbags placem_collection'!$A$3:$A$500,MATCH($A38,'WetLitterbags placem_collection'!$O$4:$O$500,0)),"")</f>
        <v>74</v>
      </c>
      <c r="AD38" s="110" t="str">
        <f>IFERROR(INDEX('WetLitterbags placem_collection'!$A$3:$A$500,MATCH($A38,'WetLitterbags placem_collection'!$M$4:$M$500,0)),"")</f>
        <v/>
      </c>
      <c r="AE38" s="110" t="str">
        <f>IFERROR(INDEX('WetLitterbags placem_collection'!$A$3:$A$500,MATCH($A38,'WetLitterbags placem_collection'!$Q$4:$Q$500,0)),"")</f>
        <v/>
      </c>
    </row>
    <row r="39" spans="1:31">
      <c r="A39" s="197" t="s">
        <v>1675</v>
      </c>
      <c r="C39" s="198">
        <v>188</v>
      </c>
      <c r="D39" s="197">
        <v>0.37780000000000002</v>
      </c>
      <c r="E39" s="202">
        <v>7.0929000000000002</v>
      </c>
      <c r="F39" s="202">
        <v>0.20569999999999999</v>
      </c>
      <c r="G39" s="201">
        <f t="shared" si="4"/>
        <v>7.2986000000000004</v>
      </c>
      <c r="H39" s="201">
        <v>7.11</v>
      </c>
      <c r="I39" s="201">
        <f t="shared" si="5"/>
        <v>0.1886000000000001</v>
      </c>
      <c r="J39" s="201">
        <f t="shared" si="6"/>
        <v>1.7099999999999893E-2</v>
      </c>
      <c r="K39" s="280">
        <f t="shared" si="7"/>
        <v>8.3130772970344644</v>
      </c>
      <c r="L39" s="201">
        <v>33</v>
      </c>
      <c r="AB39" s="110" t="str">
        <f>IFERROR(INDEX('WetLitterbags placem_collection'!$A$3:$A$500,MATCH(A39,'WetLitterbags placem_collection'!$K$4:$K$500,0)),"")</f>
        <v/>
      </c>
      <c r="AC39" s="110">
        <f>IFERROR(INDEX('WetLitterbags placem_collection'!$A$3:$A$500,MATCH($A39,'WetLitterbags placem_collection'!$O$4:$O$500,0)),"")</f>
        <v>187</v>
      </c>
      <c r="AD39" s="110" t="str">
        <f>IFERROR(INDEX('WetLitterbags placem_collection'!$A$3:$A$500,MATCH($A39,'WetLitterbags placem_collection'!$M$4:$M$500,0)),"")</f>
        <v/>
      </c>
      <c r="AE39" s="110" t="str">
        <f>IFERROR(INDEX('WetLitterbags placem_collection'!$A$3:$A$500,MATCH($A39,'WetLitterbags placem_collection'!$Q$4:$Q$500,0)),"")</f>
        <v/>
      </c>
    </row>
    <row r="40" spans="1:31">
      <c r="A40" s="197" t="s">
        <v>1667</v>
      </c>
      <c r="C40" s="198">
        <v>72</v>
      </c>
      <c r="D40" s="197">
        <v>0.65190000000000003</v>
      </c>
      <c r="E40" s="201">
        <v>10.675000000000001</v>
      </c>
      <c r="F40" s="202">
        <v>0.20200000000000001</v>
      </c>
      <c r="G40" s="201">
        <f t="shared" si="4"/>
        <v>10.877000000000001</v>
      </c>
      <c r="H40" s="201">
        <v>10.693099999999999</v>
      </c>
      <c r="I40" s="201">
        <f t="shared" si="5"/>
        <v>0.18390000000000128</v>
      </c>
      <c r="J40" s="201">
        <f t="shared" si="6"/>
        <v>1.8099999999998728E-2</v>
      </c>
      <c r="K40" s="280">
        <f t="shared" si="7"/>
        <v>8.9603960396033298</v>
      </c>
      <c r="L40" s="201">
        <v>2</v>
      </c>
      <c r="M40" s="204">
        <v>43213</v>
      </c>
      <c r="N40" s="204">
        <v>43213</v>
      </c>
      <c r="AB40" s="110">
        <f>IFERROR(INDEX('WetLitterbags placem_collection'!$A$3:$A$500,MATCH(A40,'WetLitterbags placem_collection'!$K$4:$K$500,0)),"")</f>
        <v>71</v>
      </c>
      <c r="AC40" s="110" t="str">
        <f>IFERROR(INDEX('WetLitterbags placem_collection'!$A$3:$A$500,MATCH($A40,'WetLitterbags placem_collection'!$O$4:$O$500,0)),"")</f>
        <v/>
      </c>
      <c r="AD40" s="110" t="str">
        <f>IFERROR(INDEX('WetLitterbags placem_collection'!$A$3:$A$500,MATCH($A40,'WetLitterbags placem_collection'!$M$4:$M$500,0)),"")</f>
        <v/>
      </c>
      <c r="AE40" s="110" t="str">
        <f>IFERROR(INDEX('WetLitterbags placem_collection'!$A$3:$A$500,MATCH($A40,'WetLitterbags placem_collection'!$Q$4:$Q$500,0)),"")</f>
        <v/>
      </c>
    </row>
    <row r="41" spans="1:31">
      <c r="A41" s="197" t="s">
        <v>1665</v>
      </c>
      <c r="C41" s="198">
        <v>162</v>
      </c>
      <c r="D41" s="197">
        <v>0.44819999999999999</v>
      </c>
      <c r="E41" s="202">
        <v>10.635</v>
      </c>
      <c r="F41" s="202">
        <v>0.2034</v>
      </c>
      <c r="G41" s="201">
        <f t="shared" si="4"/>
        <v>10.8384</v>
      </c>
      <c r="H41" s="201">
        <v>10.6524</v>
      </c>
      <c r="I41" s="201">
        <f t="shared" si="5"/>
        <v>0.18599999999999994</v>
      </c>
      <c r="J41" s="201">
        <f t="shared" si="6"/>
        <v>1.7400000000000054E-2</v>
      </c>
      <c r="K41" s="280">
        <f t="shared" si="7"/>
        <v>8.5545722713864567</v>
      </c>
      <c r="L41" s="201">
        <v>28</v>
      </c>
      <c r="M41" s="204">
        <v>43221</v>
      </c>
      <c r="N41" s="204">
        <v>43221</v>
      </c>
      <c r="AB41" s="110">
        <f>IFERROR(INDEX('WetLitterbags placem_collection'!$A$3:$A$500,MATCH(A41,'WetLitterbags placem_collection'!$K$4:$K$500,0)),"")</f>
        <v>161</v>
      </c>
      <c r="AC41" s="110" t="str">
        <f>IFERROR(INDEX('WetLitterbags placem_collection'!$A$3:$A$500,MATCH($A41,'WetLitterbags placem_collection'!$O$4:$O$500,0)),"")</f>
        <v/>
      </c>
      <c r="AD41" s="110" t="str">
        <f>IFERROR(INDEX('WetLitterbags placem_collection'!$A$3:$A$500,MATCH($A41,'WetLitterbags placem_collection'!$M$4:$M$500,0)),"")</f>
        <v/>
      </c>
      <c r="AE41" s="110" t="str">
        <f>IFERROR(INDEX('WetLitterbags placem_collection'!$A$3:$A$500,MATCH($A41,'WetLitterbags placem_collection'!$Q$4:$Q$500,0)),"")</f>
        <v/>
      </c>
    </row>
    <row r="42" spans="1:31">
      <c r="A42" s="201" t="s">
        <v>1664</v>
      </c>
      <c r="C42" s="201">
        <v>69</v>
      </c>
      <c r="D42" s="202">
        <v>0.74609999999999999</v>
      </c>
      <c r="E42" s="202">
        <v>8.9581</v>
      </c>
      <c r="F42" s="202">
        <v>0.2014</v>
      </c>
      <c r="G42" s="201">
        <f t="shared" si="4"/>
        <v>9.1594999999999995</v>
      </c>
      <c r="H42" s="201">
        <v>9.0158000000000005</v>
      </c>
      <c r="I42" s="201">
        <f t="shared" si="5"/>
        <v>0.14369999999999905</v>
      </c>
      <c r="J42" s="201">
        <f t="shared" si="6"/>
        <v>5.7700000000000945E-2</v>
      </c>
      <c r="K42" s="280">
        <f t="shared" si="7"/>
        <v>28.64945382323781</v>
      </c>
      <c r="L42" s="201">
        <v>19</v>
      </c>
      <c r="M42" s="203">
        <v>43181.645833333336</v>
      </c>
      <c r="N42" s="203">
        <v>43181.833333333336</v>
      </c>
      <c r="O42" s="201" t="s">
        <v>2556</v>
      </c>
      <c r="P42" s="201" t="s">
        <v>2569</v>
      </c>
      <c r="AB42" s="110" t="str">
        <f>IFERROR(INDEX('WetLitterbags placem_collection'!$A$3:$A$500,MATCH(A42,'WetLitterbags placem_collection'!$K$4:$K$500,0)),"")</f>
        <v/>
      </c>
      <c r="AC42" s="110">
        <f>IFERROR(INDEX('WetLitterbags placem_collection'!$A$3:$A$500,MATCH($A42,'WetLitterbags placem_collection'!$O$4:$O$500,0)),"")</f>
        <v>68</v>
      </c>
      <c r="AD42" s="110" t="str">
        <f>IFERROR(INDEX('WetLitterbags placem_collection'!$A$3:$A$500,MATCH($A42,'WetLitterbags placem_collection'!$M$4:$M$500,0)),"")</f>
        <v/>
      </c>
      <c r="AE42" s="110" t="str">
        <f>IFERROR(INDEX('WetLitterbags placem_collection'!$A$3:$A$500,MATCH($A42,'WetLitterbags placem_collection'!$Q$4:$Q$500,0)),"")</f>
        <v/>
      </c>
    </row>
    <row r="43" spans="1:31">
      <c r="A43" s="197" t="s">
        <v>1663</v>
      </c>
      <c r="C43" s="201">
        <v>63</v>
      </c>
      <c r="D43" s="202">
        <v>0.8407</v>
      </c>
      <c r="E43" s="202">
        <v>11.106</v>
      </c>
      <c r="F43" s="202">
        <v>0.20569999999999999</v>
      </c>
      <c r="G43" s="201">
        <f t="shared" si="4"/>
        <v>11.3117</v>
      </c>
      <c r="H43" s="201">
        <v>11.148199999999999</v>
      </c>
      <c r="I43" s="201">
        <f t="shared" si="5"/>
        <v>0.16350000000000087</v>
      </c>
      <c r="J43" s="201">
        <f t="shared" si="6"/>
        <v>4.2199999999999127E-2</v>
      </c>
      <c r="K43" s="280">
        <f t="shared" si="7"/>
        <v>20.515313563441481</v>
      </c>
      <c r="L43" s="201">
        <v>8</v>
      </c>
      <c r="M43" s="201"/>
      <c r="N43" s="201"/>
      <c r="O43" s="201"/>
      <c r="P43" s="201"/>
      <c r="AB43" s="110">
        <f>IFERROR(INDEX('WetLitterbags placem_collection'!$A$3:$A$500,MATCH(A43,'WetLitterbags placem_collection'!$K$4:$K$500,0)),"")</f>
        <v>62</v>
      </c>
      <c r="AC43" s="110" t="str">
        <f>IFERROR(INDEX('WetLitterbags placem_collection'!$A$3:$A$500,MATCH($A43,'WetLitterbags placem_collection'!$O$4:$O$500,0)),"")</f>
        <v/>
      </c>
      <c r="AD43" s="110" t="str">
        <f>IFERROR(INDEX('WetLitterbags placem_collection'!$A$3:$A$500,MATCH($A43,'WetLitterbags placem_collection'!$M$4:$M$500,0)),"")</f>
        <v/>
      </c>
      <c r="AE43" s="110" t="str">
        <f>IFERROR(INDEX('WetLitterbags placem_collection'!$A$3:$A$500,MATCH($A43,'WetLitterbags placem_collection'!$Q$4:$Q$500,0)),"")</f>
        <v/>
      </c>
    </row>
    <row r="44" spans="1:31">
      <c r="A44" s="197" t="s">
        <v>1662</v>
      </c>
      <c r="C44" s="198">
        <v>197</v>
      </c>
      <c r="D44" s="197">
        <v>0.50419999999999998</v>
      </c>
      <c r="E44" s="201">
        <v>8.9580000000000002</v>
      </c>
      <c r="F44" s="202">
        <v>0.20349999999999999</v>
      </c>
      <c r="G44" s="201">
        <f t="shared" si="4"/>
        <v>9.1615000000000002</v>
      </c>
      <c r="H44" s="201">
        <v>8.9794999999999998</v>
      </c>
      <c r="I44" s="201">
        <f t="shared" si="5"/>
        <v>0.18200000000000038</v>
      </c>
      <c r="J44" s="201">
        <f t="shared" si="6"/>
        <v>2.1499999999999603E-2</v>
      </c>
      <c r="K44" s="280">
        <f t="shared" si="7"/>
        <v>10.565110565110372</v>
      </c>
      <c r="L44" s="201">
        <v>3</v>
      </c>
      <c r="M44" s="204">
        <v>43213</v>
      </c>
      <c r="N44" s="204">
        <v>43213</v>
      </c>
      <c r="AB44" s="110" t="str">
        <f>IFERROR(INDEX('WetLitterbags placem_collection'!$A$3:$A$500,MATCH(A44,'WetLitterbags placem_collection'!$K$4:$K$500,0)),"")</f>
        <v/>
      </c>
      <c r="AC44" s="110">
        <f>IFERROR(INDEX('WetLitterbags placem_collection'!$A$3:$A$500,MATCH($A44,'WetLitterbags placem_collection'!$O$4:$O$500,0)),"")</f>
        <v>196</v>
      </c>
      <c r="AD44" s="110" t="str">
        <f>IFERROR(INDEX('WetLitterbags placem_collection'!$A$3:$A$500,MATCH($A44,'WetLitterbags placem_collection'!$M$4:$M$500,0)),"")</f>
        <v/>
      </c>
      <c r="AE44" s="110" t="str">
        <f>IFERROR(INDEX('WetLitterbags placem_collection'!$A$3:$A$500,MATCH($A44,'WetLitterbags placem_collection'!$Q$4:$Q$500,0)),"")</f>
        <v/>
      </c>
    </row>
    <row r="45" spans="1:31">
      <c r="A45" s="197" t="s">
        <v>1661</v>
      </c>
      <c r="C45" s="197">
        <v>8</v>
      </c>
      <c r="D45" s="197">
        <v>0.42562</v>
      </c>
      <c r="E45" s="197">
        <v>8.1182999999999996</v>
      </c>
      <c r="F45" s="197">
        <v>0.2006</v>
      </c>
      <c r="G45" s="197">
        <f t="shared" si="4"/>
        <v>8.3188999999999993</v>
      </c>
      <c r="H45" s="197">
        <v>8.1379000000000001</v>
      </c>
      <c r="I45" s="197">
        <f t="shared" si="5"/>
        <v>0.18099999999999916</v>
      </c>
      <c r="J45" s="201">
        <f t="shared" si="6"/>
        <v>1.9600000000000839E-2</v>
      </c>
      <c r="K45" s="280">
        <f t="shared" si="7"/>
        <v>9.7706879361918428</v>
      </c>
      <c r="L45" s="197">
        <v>4</v>
      </c>
      <c r="M45" s="197" t="s">
        <v>2586</v>
      </c>
      <c r="N45" s="197" t="s">
        <v>2585</v>
      </c>
      <c r="O45" s="197" t="s">
        <v>2550</v>
      </c>
      <c r="AB45" s="110">
        <f>IFERROR(INDEX('WetLitterbags placem_collection'!$A$3:$A$500,MATCH(A45,'WetLitterbags placem_collection'!$K$4:$K$500,0)),"")</f>
        <v>7</v>
      </c>
      <c r="AC45" s="110" t="str">
        <f>IFERROR(INDEX('WetLitterbags placem_collection'!$A$3:$A$500,MATCH($A45,'WetLitterbags placem_collection'!$O$4:$O$500,0)),"")</f>
        <v/>
      </c>
      <c r="AD45" s="110" t="str">
        <f>IFERROR(INDEX('WetLitterbags placem_collection'!$A$3:$A$500,MATCH($A45,'WetLitterbags placem_collection'!$M$4:$M$500,0)),"")</f>
        <v/>
      </c>
      <c r="AE45" s="110" t="str">
        <f>IFERROR(INDEX('WetLitterbags placem_collection'!$A$3:$A$500,MATCH($A45,'WetLitterbags placem_collection'!$Q$4:$Q$500,0)),"")</f>
        <v/>
      </c>
    </row>
    <row r="46" spans="1:31">
      <c r="A46" s="206" t="s">
        <v>1660</v>
      </c>
      <c r="C46" s="201">
        <v>164</v>
      </c>
      <c r="D46" s="201">
        <v>0.45400000000000001</v>
      </c>
      <c r="E46" s="201">
        <v>10.312900000000001</v>
      </c>
      <c r="F46" s="202">
        <v>0.20069999999999999</v>
      </c>
      <c r="G46" s="201">
        <f t="shared" si="4"/>
        <v>10.5136</v>
      </c>
      <c r="H46" s="201">
        <v>10.331200000000001</v>
      </c>
      <c r="I46" s="201">
        <f t="shared" si="5"/>
        <v>0.18239999999999945</v>
      </c>
      <c r="J46" s="201">
        <f t="shared" si="6"/>
        <v>1.8300000000000538E-2</v>
      </c>
      <c r="K46" s="280">
        <f t="shared" si="7"/>
        <v>9.1180866965623011</v>
      </c>
      <c r="L46" s="201">
        <v>26</v>
      </c>
      <c r="M46" s="205">
        <v>43187</v>
      </c>
      <c r="N46" s="205">
        <v>43187</v>
      </c>
      <c r="O46" s="201"/>
      <c r="P46" s="201"/>
      <c r="AB46" s="110" t="str">
        <f>IFERROR(INDEX('WetLitterbags placem_collection'!$A$3:$A$500,MATCH(A46,'WetLitterbags placem_collection'!$K$4:$K$500,0)),"")</f>
        <v/>
      </c>
      <c r="AC46" s="110">
        <f>IFERROR(INDEX('WetLitterbags placem_collection'!$A$3:$A$500,MATCH($A46,'WetLitterbags placem_collection'!$O$4:$O$500,0)),"")</f>
        <v>163</v>
      </c>
      <c r="AD46" s="110" t="str">
        <f>IFERROR(INDEX('WetLitterbags placem_collection'!$A$3:$A$500,MATCH($A46,'WetLitterbags placem_collection'!$M$4:$M$500,0)),"")</f>
        <v/>
      </c>
      <c r="AE46" s="110" t="str">
        <f>IFERROR(INDEX('WetLitterbags placem_collection'!$A$3:$A$500,MATCH($A46,'WetLitterbags placem_collection'!$Q$4:$Q$500,0)),"")</f>
        <v/>
      </c>
    </row>
    <row r="47" spans="1:31">
      <c r="A47" s="197" t="s">
        <v>1659</v>
      </c>
      <c r="C47" s="197">
        <v>61</v>
      </c>
      <c r="D47" s="197">
        <v>0.43340000000000001</v>
      </c>
      <c r="E47" s="197">
        <v>7.8392999999999997</v>
      </c>
      <c r="F47" s="197">
        <v>0.2024</v>
      </c>
      <c r="G47" s="197">
        <f t="shared" si="4"/>
        <v>8.0417000000000005</v>
      </c>
      <c r="H47" s="197">
        <v>7.8555999999999999</v>
      </c>
      <c r="I47" s="197">
        <f t="shared" si="5"/>
        <v>0.1861000000000006</v>
      </c>
      <c r="J47" s="201">
        <f t="shared" si="6"/>
        <v>1.6299999999999398E-2</v>
      </c>
      <c r="K47" s="280">
        <f t="shared" si="7"/>
        <v>8.0533596837941683</v>
      </c>
      <c r="L47" s="197">
        <v>41</v>
      </c>
      <c r="M47" s="197" t="s">
        <v>2586</v>
      </c>
      <c r="N47" s="197" t="s">
        <v>2585</v>
      </c>
      <c r="O47" s="197" t="s">
        <v>2550</v>
      </c>
      <c r="AB47" s="110" t="str">
        <f>IFERROR(INDEX('WetLitterbags placem_collection'!$A$3:$A$500,MATCH(A47,'WetLitterbags placem_collection'!$K$4:$K$500,0)),"")</f>
        <v/>
      </c>
      <c r="AC47" s="110">
        <f>IFERROR(INDEX('WetLitterbags placem_collection'!$A$3:$A$500,MATCH($A47,'WetLitterbags placem_collection'!$O$4:$O$500,0)),"")</f>
        <v>60</v>
      </c>
      <c r="AD47" s="110" t="str">
        <f>IFERROR(INDEX('WetLitterbags placem_collection'!$A$3:$A$500,MATCH($A47,'WetLitterbags placem_collection'!$M$4:$M$500,0)),"")</f>
        <v/>
      </c>
      <c r="AE47" s="110" t="str">
        <f>IFERROR(INDEX('WetLitterbags placem_collection'!$A$3:$A$500,MATCH($A47,'WetLitterbags placem_collection'!$Q$4:$Q$500,0)),"")</f>
        <v/>
      </c>
    </row>
    <row r="48" spans="1:31" s="201" customFormat="1">
      <c r="A48" s="197" t="s">
        <v>1657</v>
      </c>
      <c r="B48"/>
      <c r="C48" s="198">
        <v>190</v>
      </c>
      <c r="D48" s="197">
        <v>0.4425</v>
      </c>
      <c r="E48" s="202">
        <v>8.1195000000000004</v>
      </c>
      <c r="F48" s="202">
        <v>0.2021</v>
      </c>
      <c r="G48" s="201">
        <f t="shared" si="4"/>
        <v>8.3216000000000001</v>
      </c>
      <c r="H48" s="201">
        <v>8.1387999999999998</v>
      </c>
      <c r="I48" s="201">
        <f t="shared" si="5"/>
        <v>0.1828000000000003</v>
      </c>
      <c r="J48" s="201">
        <f t="shared" si="6"/>
        <v>1.9299999999999706E-2</v>
      </c>
      <c r="K48" s="280">
        <f t="shared" si="7"/>
        <v>9.5497278574961424</v>
      </c>
      <c r="L48" s="201">
        <v>39</v>
      </c>
      <c r="M48" s="204">
        <v>43221</v>
      </c>
      <c r="N48" s="204">
        <v>43221</v>
      </c>
      <c r="O48" s="197"/>
      <c r="P48" s="197"/>
      <c r="Q48" s="197"/>
      <c r="R48" s="197"/>
      <c r="S48" s="197"/>
      <c r="T48" s="197"/>
      <c r="U48" s="197"/>
      <c r="V48" s="197"/>
      <c r="W48" s="197"/>
      <c r="AB48" s="110" t="str">
        <f>IFERROR(INDEX('WetLitterbags placem_collection'!$A$3:$A$500,MATCH(A48,'WetLitterbags placem_collection'!$K$4:$K$500,0)),"")</f>
        <v/>
      </c>
      <c r="AC48" s="110">
        <f>IFERROR(INDEX('WetLitterbags placem_collection'!$A$3:$A$500,MATCH($A48,'WetLitterbags placem_collection'!$O$4:$O$500,0)),"")</f>
        <v>189</v>
      </c>
      <c r="AD48" s="110" t="str">
        <f>IFERROR(INDEX('WetLitterbags placem_collection'!$A$3:$A$500,MATCH($A48,'WetLitterbags placem_collection'!$M$4:$M$500,0)),"")</f>
        <v/>
      </c>
      <c r="AE48" s="110" t="str">
        <f>IFERROR(INDEX('WetLitterbags placem_collection'!$A$3:$A$500,MATCH($A48,'WetLitterbags placem_collection'!$Q$4:$Q$500,0)),"")</f>
        <v/>
      </c>
    </row>
    <row r="49" spans="1:31" s="201" customFormat="1">
      <c r="A49" s="197" t="s">
        <v>1647</v>
      </c>
      <c r="B49"/>
      <c r="C49" s="198">
        <v>182</v>
      </c>
      <c r="D49" s="197">
        <v>0.50329999999999997</v>
      </c>
      <c r="E49" s="202">
        <v>9.8215000000000003</v>
      </c>
      <c r="F49" s="202">
        <v>0.2026</v>
      </c>
      <c r="G49" s="201">
        <f t="shared" si="4"/>
        <v>10.024100000000001</v>
      </c>
      <c r="H49" s="201">
        <v>9.8394999999999992</v>
      </c>
      <c r="I49" s="201">
        <f t="shared" si="5"/>
        <v>0.18460000000000143</v>
      </c>
      <c r="J49" s="201">
        <f t="shared" si="6"/>
        <v>1.7999999999998573E-2</v>
      </c>
      <c r="K49" s="280">
        <f t="shared" si="7"/>
        <v>8.8845014807495417</v>
      </c>
      <c r="L49" s="201">
        <v>16</v>
      </c>
      <c r="M49" s="204">
        <v>43221</v>
      </c>
      <c r="N49" s="204">
        <v>43221</v>
      </c>
      <c r="O49" s="197"/>
      <c r="P49" s="197"/>
      <c r="Q49" s="197"/>
      <c r="R49" s="197"/>
      <c r="S49" s="197"/>
      <c r="T49" s="197"/>
      <c r="U49" s="197"/>
      <c r="V49" s="197"/>
      <c r="W49" s="197"/>
      <c r="AB49" s="110">
        <f>IFERROR(INDEX('WetLitterbags placem_collection'!$A$3:$A$500,MATCH(A49,'WetLitterbags placem_collection'!$K$4:$K$500,0)),"")</f>
        <v>181</v>
      </c>
      <c r="AC49" s="110" t="str">
        <f>IFERROR(INDEX('WetLitterbags placem_collection'!$A$3:$A$500,MATCH($A49,'WetLitterbags placem_collection'!$O$4:$O$500,0)),"")</f>
        <v/>
      </c>
      <c r="AD49" s="110" t="str">
        <f>IFERROR(INDEX('WetLitterbags placem_collection'!$A$3:$A$500,MATCH($A49,'WetLitterbags placem_collection'!$M$4:$M$500,0)),"")</f>
        <v/>
      </c>
      <c r="AE49" s="110" t="str">
        <f>IFERROR(INDEX('WetLitterbags placem_collection'!$A$3:$A$500,MATCH($A49,'WetLitterbags placem_collection'!$Q$4:$Q$500,0)),"")</f>
        <v/>
      </c>
    </row>
    <row r="50" spans="1:31">
      <c r="A50" s="206" t="s">
        <v>1646</v>
      </c>
      <c r="C50" s="201">
        <v>31</v>
      </c>
      <c r="D50" s="201">
        <v>0.56530000000000002</v>
      </c>
      <c r="E50" s="201">
        <v>9.8215000000000003</v>
      </c>
      <c r="F50" s="202">
        <v>0.2089</v>
      </c>
      <c r="G50" s="201">
        <f t="shared" si="4"/>
        <v>10.0304</v>
      </c>
      <c r="H50" s="201">
        <v>9.8506</v>
      </c>
      <c r="I50" s="201">
        <f t="shared" si="5"/>
        <v>0.17980000000000018</v>
      </c>
      <c r="J50" s="201">
        <f t="shared" si="6"/>
        <v>2.909999999999982E-2</v>
      </c>
      <c r="K50" s="280">
        <f t="shared" si="7"/>
        <v>13.930110100526482</v>
      </c>
      <c r="L50" s="201">
        <v>33</v>
      </c>
      <c r="M50" s="205">
        <v>43211</v>
      </c>
      <c r="AB50" s="110">
        <f>IFERROR(INDEX('WetLitterbags placem_collection'!$A$3:$A$500,MATCH(A50,'WetLitterbags placem_collection'!$K$4:$K$500,0)),"")</f>
        <v>30</v>
      </c>
      <c r="AC50" s="110" t="str">
        <f>IFERROR(INDEX('WetLitterbags placem_collection'!$A$3:$A$500,MATCH($A50,'WetLitterbags placem_collection'!$O$4:$O$500,0)),"")</f>
        <v/>
      </c>
      <c r="AD50" s="110" t="str">
        <f>IFERROR(INDEX('WetLitterbags placem_collection'!$A$3:$A$500,MATCH($A50,'WetLitterbags placem_collection'!$M$4:$M$500,0)),"")</f>
        <v/>
      </c>
      <c r="AE50" s="110" t="str">
        <f>IFERROR(INDEX('WetLitterbags placem_collection'!$A$3:$A$500,MATCH($A50,'WetLitterbags placem_collection'!$Q$4:$Q$500,0)),"")</f>
        <v/>
      </c>
    </row>
    <row r="51" spans="1:31">
      <c r="A51" s="197" t="s">
        <v>1645</v>
      </c>
      <c r="C51" s="198">
        <v>16</v>
      </c>
      <c r="D51" s="197">
        <v>0.49869999999999998</v>
      </c>
      <c r="E51" s="197">
        <v>9.1374999999999993</v>
      </c>
      <c r="F51" s="202">
        <v>0.2054</v>
      </c>
      <c r="G51" s="201">
        <f t="shared" si="4"/>
        <v>9.3428999999999984</v>
      </c>
      <c r="H51" s="201">
        <v>9.1698000000000004</v>
      </c>
      <c r="I51" s="201">
        <f t="shared" si="5"/>
        <v>0.17309999999999803</v>
      </c>
      <c r="J51" s="201">
        <f t="shared" si="6"/>
        <v>3.2300000000001966E-2</v>
      </c>
      <c r="K51" s="280">
        <f t="shared" si="7"/>
        <v>15.725413826680606</v>
      </c>
      <c r="L51" s="201">
        <v>19</v>
      </c>
      <c r="AB51" s="110">
        <f>IFERROR(INDEX('WetLitterbags placem_collection'!$A$3:$A$500,MATCH(A51,'WetLitterbags placem_collection'!$K$4:$K$500,0)),"")</f>
        <v>15</v>
      </c>
      <c r="AC51" s="110" t="str">
        <f>IFERROR(INDEX('WetLitterbags placem_collection'!$A$3:$A$500,MATCH($A51,'WetLitterbags placem_collection'!$O$4:$O$500,0)),"")</f>
        <v/>
      </c>
      <c r="AD51" s="110" t="str">
        <f>IFERROR(INDEX('WetLitterbags placem_collection'!$A$3:$A$500,MATCH($A51,'WetLitterbags placem_collection'!$M$4:$M$500,0)),"")</f>
        <v/>
      </c>
      <c r="AE51" s="110" t="str">
        <f>IFERROR(INDEX('WetLitterbags placem_collection'!$A$3:$A$500,MATCH($A51,'WetLitterbags placem_collection'!$Q$4:$Q$500,0)),"")</f>
        <v/>
      </c>
    </row>
    <row r="52" spans="1:31">
      <c r="A52" s="197" t="s">
        <v>1644</v>
      </c>
      <c r="C52" s="198">
        <v>25</v>
      </c>
      <c r="D52" s="197">
        <v>0.47620000000000001</v>
      </c>
      <c r="E52" s="201">
        <v>10.855700000000001</v>
      </c>
      <c r="F52" s="202">
        <v>0.20100000000000001</v>
      </c>
      <c r="G52" s="201">
        <f t="shared" si="4"/>
        <v>11.056700000000001</v>
      </c>
      <c r="H52" s="201">
        <v>10.8809</v>
      </c>
      <c r="I52" s="201">
        <f t="shared" si="5"/>
        <v>0.17580000000000062</v>
      </c>
      <c r="J52" s="201">
        <f t="shared" si="6"/>
        <v>2.519999999999939E-2</v>
      </c>
      <c r="K52" s="280">
        <f t="shared" si="7"/>
        <v>12.537313432835518</v>
      </c>
      <c r="L52" s="201">
        <v>33</v>
      </c>
      <c r="M52" s="204">
        <v>43212</v>
      </c>
      <c r="AB52" s="110">
        <f>IFERROR(INDEX('WetLitterbags placem_collection'!$A$3:$A$500,MATCH(A52,'WetLitterbags placem_collection'!$K$4:$K$500,0)),"")</f>
        <v>24</v>
      </c>
      <c r="AC52" s="110" t="str">
        <f>IFERROR(INDEX('WetLitterbags placem_collection'!$A$3:$A$500,MATCH($A52,'WetLitterbags placem_collection'!$O$4:$O$500,0)),"")</f>
        <v/>
      </c>
      <c r="AD52" s="110" t="str">
        <f>IFERROR(INDEX('WetLitterbags placem_collection'!$A$3:$A$500,MATCH($A52,'WetLitterbags placem_collection'!$M$4:$M$500,0)),"")</f>
        <v/>
      </c>
      <c r="AE52" s="110" t="str">
        <f>IFERROR(INDEX('WetLitterbags placem_collection'!$A$3:$A$500,MATCH($A52,'WetLitterbags placem_collection'!$Q$4:$Q$500,0)),"")</f>
        <v/>
      </c>
    </row>
    <row r="53" spans="1:31">
      <c r="A53" s="197" t="s">
        <v>1642</v>
      </c>
      <c r="C53" s="197">
        <v>75</v>
      </c>
      <c r="D53" s="197">
        <v>0.64600000000000002</v>
      </c>
      <c r="E53" s="197">
        <v>7.9611000000000001</v>
      </c>
      <c r="F53" s="202">
        <v>0.20069999999999999</v>
      </c>
      <c r="G53" s="201">
        <f t="shared" si="4"/>
        <v>8.1617999999999995</v>
      </c>
      <c r="H53" s="201">
        <v>7.9828000000000001</v>
      </c>
      <c r="I53" s="201">
        <f t="shared" si="5"/>
        <v>0.17899999999999938</v>
      </c>
      <c r="J53" s="201">
        <f t="shared" si="6"/>
        <v>2.1700000000000608E-2</v>
      </c>
      <c r="K53" s="280">
        <f t="shared" si="7"/>
        <v>10.812157448929053</v>
      </c>
      <c r="L53" s="201">
        <v>8</v>
      </c>
      <c r="P53" s="197" t="s">
        <v>2582</v>
      </c>
      <c r="AB53" s="110">
        <f>IFERROR(INDEX('WetLitterbags placem_collection'!$A$3:$A$500,MATCH(A53,'WetLitterbags placem_collection'!$K$4:$K$500,0)),"")</f>
        <v>74</v>
      </c>
      <c r="AC53" s="110" t="str">
        <f>IFERROR(INDEX('WetLitterbags placem_collection'!$A$3:$A$500,MATCH($A53,'WetLitterbags placem_collection'!$O$4:$O$500,0)),"")</f>
        <v/>
      </c>
      <c r="AD53" s="110" t="str">
        <f>IFERROR(INDEX('WetLitterbags placem_collection'!$A$3:$A$500,MATCH($A53,'WetLitterbags placem_collection'!$M$4:$M$500,0)),"")</f>
        <v/>
      </c>
      <c r="AE53" s="110" t="str">
        <f>IFERROR(INDEX('WetLitterbags placem_collection'!$A$3:$A$500,MATCH($A53,'WetLitterbags placem_collection'!$Q$4:$Q$500,0)),"")</f>
        <v/>
      </c>
    </row>
    <row r="54" spans="1:31">
      <c r="A54" s="206" t="s">
        <v>1636</v>
      </c>
      <c r="C54" s="201">
        <v>70</v>
      </c>
      <c r="D54" s="201">
        <v>0.63049999999999995</v>
      </c>
      <c r="E54" s="202">
        <v>8.0645000000000007</v>
      </c>
      <c r="F54" s="202">
        <v>0.20230000000000001</v>
      </c>
      <c r="G54" s="201">
        <f t="shared" si="4"/>
        <v>8.2667999999999999</v>
      </c>
      <c r="H54" s="201">
        <v>8.0822000000000003</v>
      </c>
      <c r="I54" s="201">
        <f t="shared" si="5"/>
        <v>0.18459999999999965</v>
      </c>
      <c r="J54" s="201">
        <f t="shared" si="6"/>
        <v>1.7700000000000354E-2</v>
      </c>
      <c r="K54" s="280">
        <f t="shared" si="7"/>
        <v>8.7493821057836652</v>
      </c>
      <c r="L54" s="201">
        <v>11</v>
      </c>
      <c r="M54" s="203">
        <v>43181.645833333336</v>
      </c>
      <c r="N54" s="203">
        <v>43181.833333333336</v>
      </c>
      <c r="O54" s="201" t="s">
        <v>2556</v>
      </c>
      <c r="P54" s="201"/>
      <c r="AB54" s="110" t="str">
        <f>IFERROR(INDEX('WetLitterbags placem_collection'!$A$3:$A$500,MATCH(A54,'WetLitterbags placem_collection'!$K$4:$K$500,0)),"")</f>
        <v/>
      </c>
      <c r="AC54" s="110">
        <f>IFERROR(INDEX('WetLitterbags placem_collection'!$A$3:$A$500,MATCH($A54,'WetLitterbags placem_collection'!$O$4:$O$500,0)),"")</f>
        <v>69</v>
      </c>
      <c r="AD54" s="110" t="str">
        <f>IFERROR(INDEX('WetLitterbags placem_collection'!$A$3:$A$500,MATCH($A54,'WetLitterbags placem_collection'!$M$4:$M$500,0)),"")</f>
        <v/>
      </c>
      <c r="AE54" s="110" t="str">
        <f>IFERROR(INDEX('WetLitterbags placem_collection'!$A$3:$A$500,MATCH($A54,'WetLitterbags placem_collection'!$Q$4:$Q$500,0)),"")</f>
        <v/>
      </c>
    </row>
    <row r="55" spans="1:31">
      <c r="A55" s="202" t="s">
        <v>1634</v>
      </c>
      <c r="C55" s="201">
        <v>75</v>
      </c>
      <c r="D55" s="201">
        <v>0.69669999999999987</v>
      </c>
      <c r="E55" s="201">
        <v>9.3219999999999992</v>
      </c>
      <c r="F55" s="201">
        <v>0.20119999999999999</v>
      </c>
      <c r="G55" s="201">
        <f t="shared" si="4"/>
        <v>9.5231999999999992</v>
      </c>
      <c r="H55" s="201">
        <v>9.3515999999999995</v>
      </c>
      <c r="I55" s="201">
        <f t="shared" si="5"/>
        <v>0.17159999999999975</v>
      </c>
      <c r="J55" s="201">
        <f t="shared" si="6"/>
        <v>2.9600000000000237E-2</v>
      </c>
      <c r="K55" s="280">
        <f t="shared" si="7"/>
        <v>14.711729622266519</v>
      </c>
      <c r="L55" s="201">
        <v>12</v>
      </c>
      <c r="M55" s="205">
        <v>43173</v>
      </c>
      <c r="N55" s="205">
        <v>43173</v>
      </c>
      <c r="O55" s="201" t="s">
        <v>2556</v>
      </c>
      <c r="P55" s="201" t="s">
        <v>2555</v>
      </c>
      <c r="AB55" s="110">
        <f>IFERROR(INDEX('WetLitterbags placem_collection'!$A$3:$A$500,MATCH(A55,'WetLitterbags placem_collection'!$K$4:$K$500,0)),"")</f>
        <v>75</v>
      </c>
      <c r="AC55" s="110" t="str">
        <f>IFERROR(INDEX('WetLitterbags placem_collection'!$A$3:$A$500,MATCH($A55,'WetLitterbags placem_collection'!$O$4:$O$500,0)),"")</f>
        <v/>
      </c>
      <c r="AD55" s="110" t="str">
        <f>IFERROR(INDEX('WetLitterbags placem_collection'!$A$3:$A$500,MATCH($A55,'WetLitterbags placem_collection'!$M$4:$M$500,0)),"")</f>
        <v/>
      </c>
      <c r="AE55" s="110" t="str">
        <f>IFERROR(INDEX('WetLitterbags placem_collection'!$A$3:$A$500,MATCH($A55,'WetLitterbags placem_collection'!$Q$4:$Q$500,0)),"")</f>
        <v/>
      </c>
    </row>
    <row r="56" spans="1:31">
      <c r="A56" s="197" t="s">
        <v>1633</v>
      </c>
      <c r="C56" s="201">
        <v>191</v>
      </c>
      <c r="D56" s="197">
        <v>0.44040000000000001</v>
      </c>
      <c r="E56" s="201">
        <v>9.5192999999999994</v>
      </c>
      <c r="F56" s="202">
        <v>0.20100000000000001</v>
      </c>
      <c r="G56" s="201">
        <f t="shared" si="4"/>
        <v>9.7202999999999999</v>
      </c>
      <c r="H56" s="201">
        <v>9.5374999999999996</v>
      </c>
      <c r="I56" s="201">
        <f t="shared" si="5"/>
        <v>0.1828000000000003</v>
      </c>
      <c r="J56" s="201">
        <f t="shared" si="6"/>
        <v>1.8199999999999716E-2</v>
      </c>
      <c r="K56" s="280">
        <f t="shared" si="7"/>
        <v>9.0547263681590628</v>
      </c>
      <c r="L56" s="201">
        <v>35</v>
      </c>
      <c r="M56" s="205">
        <v>43211</v>
      </c>
      <c r="AB56" s="110" t="str">
        <f>IFERROR(INDEX('WetLitterbags placem_collection'!$A$3:$A$500,MATCH(A56,'WetLitterbags placem_collection'!$K$4:$K$500,0)),"")</f>
        <v/>
      </c>
      <c r="AC56" s="110">
        <f>IFERROR(INDEX('WetLitterbags placem_collection'!$A$3:$A$500,MATCH($A56,'WetLitterbags placem_collection'!$O$4:$O$500,0)),"")</f>
        <v>190</v>
      </c>
      <c r="AD56" s="110" t="str">
        <f>IFERROR(INDEX('WetLitterbags placem_collection'!$A$3:$A$500,MATCH($A56,'WetLitterbags placem_collection'!$M$4:$M$500,0)),"")</f>
        <v/>
      </c>
      <c r="AE56" s="110" t="str">
        <f>IFERROR(INDEX('WetLitterbags placem_collection'!$A$3:$A$500,MATCH($A56,'WetLitterbags placem_collection'!$Q$4:$Q$500,0)),"")</f>
        <v/>
      </c>
    </row>
    <row r="57" spans="1:31">
      <c r="A57" s="206" t="s">
        <v>1631</v>
      </c>
      <c r="C57" s="201">
        <v>18</v>
      </c>
      <c r="D57" s="201">
        <v>0.55220000000000002</v>
      </c>
      <c r="E57" s="201">
        <v>7.3170000000000002</v>
      </c>
      <c r="F57" s="202">
        <v>0.2044</v>
      </c>
      <c r="G57" s="201">
        <f t="shared" si="4"/>
        <v>7.5213999999999999</v>
      </c>
      <c r="H57" s="201">
        <v>7.3479999999999999</v>
      </c>
      <c r="I57" s="201">
        <f t="shared" si="5"/>
        <v>0.1734</v>
      </c>
      <c r="J57" s="201">
        <f t="shared" si="6"/>
        <v>3.1E-2</v>
      </c>
      <c r="K57" s="280">
        <f t="shared" si="7"/>
        <v>15.166340508806261</v>
      </c>
      <c r="L57" s="201">
        <v>10</v>
      </c>
      <c r="M57" s="205">
        <v>43187</v>
      </c>
      <c r="N57" s="205">
        <v>43187</v>
      </c>
      <c r="O57" s="201"/>
      <c r="P57" s="201"/>
      <c r="AB57" s="110">
        <f>IFERROR(INDEX('WetLitterbags placem_collection'!$A$3:$A$500,MATCH(A57,'WetLitterbags placem_collection'!$K$4:$K$500,0)),"")</f>
        <v>17</v>
      </c>
      <c r="AC57" s="110" t="str">
        <f>IFERROR(INDEX('WetLitterbags placem_collection'!$A$3:$A$500,MATCH($A57,'WetLitterbags placem_collection'!$O$4:$O$500,0)),"")</f>
        <v/>
      </c>
      <c r="AD57" s="110" t="str">
        <f>IFERROR(INDEX('WetLitterbags placem_collection'!$A$3:$A$500,MATCH($A57,'WetLitterbags placem_collection'!$M$4:$M$500,0)),"")</f>
        <v/>
      </c>
      <c r="AE57" s="110" t="str">
        <f>IFERROR(INDEX('WetLitterbags placem_collection'!$A$3:$A$500,MATCH($A57,'WetLitterbags placem_collection'!$Q$4:$Q$500,0)),"")</f>
        <v/>
      </c>
    </row>
    <row r="58" spans="1:31">
      <c r="A58" s="197" t="s">
        <v>1630</v>
      </c>
      <c r="C58" s="198">
        <v>188</v>
      </c>
      <c r="D58" s="197">
        <v>0.18920000000000001</v>
      </c>
      <c r="E58" s="197">
        <v>10.1435</v>
      </c>
      <c r="F58" s="202">
        <v>0.17380000000000001</v>
      </c>
      <c r="G58" s="201">
        <f t="shared" si="4"/>
        <v>10.317299999999999</v>
      </c>
      <c r="H58" s="201">
        <v>10.164899999999999</v>
      </c>
      <c r="I58" s="201">
        <f t="shared" si="5"/>
        <v>0.15240000000000009</v>
      </c>
      <c r="J58" s="201">
        <f t="shared" si="6"/>
        <v>2.1399999999999919E-2</v>
      </c>
      <c r="K58" s="280">
        <f t="shared" si="7"/>
        <v>12.313003452243912</v>
      </c>
      <c r="L58" s="201">
        <v>5</v>
      </c>
      <c r="P58" s="197" t="s">
        <v>2559</v>
      </c>
      <c r="AB58" s="110">
        <f>IFERROR(INDEX('WetLitterbags placem_collection'!$A$3:$A$500,MATCH(A58,'WetLitterbags placem_collection'!$K$4:$K$500,0)),"")</f>
        <v>187</v>
      </c>
      <c r="AC58" s="110" t="str">
        <f>IFERROR(INDEX('WetLitterbags placem_collection'!$A$3:$A$500,MATCH($A58,'WetLitterbags placem_collection'!$O$4:$O$500,0)),"")</f>
        <v/>
      </c>
      <c r="AD58" s="110" t="str">
        <f>IFERROR(INDEX('WetLitterbags placem_collection'!$A$3:$A$500,MATCH($A58,'WetLitterbags placem_collection'!$M$4:$M$500,0)),"")</f>
        <v/>
      </c>
      <c r="AE58" s="110" t="str">
        <f>IFERROR(INDEX('WetLitterbags placem_collection'!$A$3:$A$500,MATCH($A58,'WetLitterbags placem_collection'!$Q$4:$Q$500,0)),"")</f>
        <v/>
      </c>
    </row>
    <row r="59" spans="1:31">
      <c r="A59" s="197" t="s">
        <v>1629</v>
      </c>
      <c r="C59" s="201">
        <v>24</v>
      </c>
      <c r="D59" s="197">
        <v>0.46389999999999998</v>
      </c>
      <c r="E59" s="201">
        <v>9.0213000000000001</v>
      </c>
      <c r="F59" s="202">
        <v>0.2026</v>
      </c>
      <c r="G59" s="201">
        <f t="shared" si="4"/>
        <v>9.2239000000000004</v>
      </c>
      <c r="H59" s="201">
        <v>9.0434999999999999</v>
      </c>
      <c r="I59" s="201">
        <f t="shared" si="5"/>
        <v>0.18040000000000056</v>
      </c>
      <c r="J59" s="201">
        <f t="shared" si="6"/>
        <v>2.2199999999999442E-2</v>
      </c>
      <c r="K59" s="280">
        <f t="shared" si="7"/>
        <v>10.957551826258362</v>
      </c>
      <c r="L59" s="201">
        <v>39</v>
      </c>
      <c r="M59" s="205">
        <v>43211</v>
      </c>
      <c r="AB59" s="110" t="str">
        <f>IFERROR(INDEX('WetLitterbags placem_collection'!$A$3:$A$500,MATCH(A59,'WetLitterbags placem_collection'!$K$4:$K$500,0)),"")</f>
        <v/>
      </c>
      <c r="AC59" s="110">
        <f>IFERROR(INDEX('WetLitterbags placem_collection'!$A$3:$A$500,MATCH($A59,'WetLitterbags placem_collection'!$O$4:$O$500,0)),"")</f>
        <v>23</v>
      </c>
      <c r="AD59" s="110" t="str">
        <f>IFERROR(INDEX('WetLitterbags placem_collection'!$A$3:$A$500,MATCH($A59,'WetLitterbags placem_collection'!$M$4:$M$500,0)),"")</f>
        <v/>
      </c>
      <c r="AE59" s="110" t="str">
        <f>IFERROR(INDEX('WetLitterbags placem_collection'!$A$3:$A$500,MATCH($A59,'WetLitterbags placem_collection'!$Q$4:$Q$500,0)),"")</f>
        <v/>
      </c>
    </row>
    <row r="60" spans="1:31">
      <c r="A60" s="206" t="s">
        <v>1627</v>
      </c>
      <c r="C60" s="201">
        <v>185</v>
      </c>
      <c r="D60" s="201">
        <v>0.44009999999999999</v>
      </c>
      <c r="E60" s="201">
        <v>10.1159</v>
      </c>
      <c r="F60" s="202">
        <v>0.2036</v>
      </c>
      <c r="G60" s="201">
        <f t="shared" si="4"/>
        <v>10.3195</v>
      </c>
      <c r="H60" s="201">
        <v>10.135199999999999</v>
      </c>
      <c r="I60" s="201">
        <f t="shared" si="5"/>
        <v>0.18430000000000035</v>
      </c>
      <c r="J60" s="201">
        <f t="shared" si="6"/>
        <v>1.9299999999999651E-2</v>
      </c>
      <c r="K60" s="280">
        <f t="shared" si="7"/>
        <v>9.4793713163063114</v>
      </c>
      <c r="L60" s="201">
        <v>28</v>
      </c>
      <c r="M60" s="205">
        <v>43211</v>
      </c>
      <c r="AB60" s="110">
        <f>IFERROR(INDEX('WetLitterbags placem_collection'!$A$3:$A$500,MATCH(A60,'WetLitterbags placem_collection'!$K$4:$K$500,0)),"")</f>
        <v>184</v>
      </c>
      <c r="AC60" s="110" t="str">
        <f>IFERROR(INDEX('WetLitterbags placem_collection'!$A$3:$A$500,MATCH($A60,'WetLitterbags placem_collection'!$O$4:$O$500,0)),"")</f>
        <v/>
      </c>
      <c r="AD60" s="110" t="str">
        <f>IFERROR(INDEX('WetLitterbags placem_collection'!$A$3:$A$500,MATCH($A60,'WetLitterbags placem_collection'!$M$4:$M$500,0)),"")</f>
        <v/>
      </c>
      <c r="AE60" s="110" t="str">
        <f>IFERROR(INDEX('WetLitterbags placem_collection'!$A$3:$A$500,MATCH($A60,'WetLitterbags placem_collection'!$Q$4:$Q$500,0)),"")</f>
        <v/>
      </c>
    </row>
    <row r="61" spans="1:31">
      <c r="A61" s="197" t="s">
        <v>1626</v>
      </c>
      <c r="C61" s="198">
        <v>93</v>
      </c>
      <c r="D61" s="197">
        <v>0.47660000000000002</v>
      </c>
      <c r="E61" s="201">
        <v>10.313599999999999</v>
      </c>
      <c r="F61" s="202">
        <v>0.20069999999999999</v>
      </c>
      <c r="G61" s="201">
        <f t="shared" si="4"/>
        <v>10.514299999999999</v>
      </c>
      <c r="H61" s="201">
        <v>10.332700000000001</v>
      </c>
      <c r="I61" s="201">
        <f t="shared" si="5"/>
        <v>0.18159999999999776</v>
      </c>
      <c r="J61" s="201">
        <f t="shared" si="6"/>
        <v>1.9100000000002226E-2</v>
      </c>
      <c r="K61" s="280">
        <f t="shared" si="7"/>
        <v>9.5166915794729583</v>
      </c>
      <c r="L61" s="201">
        <v>15</v>
      </c>
      <c r="M61" s="204">
        <v>43213</v>
      </c>
      <c r="N61" s="204">
        <v>43213</v>
      </c>
      <c r="AB61" s="110" t="str">
        <f>IFERROR(INDEX('WetLitterbags placem_collection'!$A$3:$A$500,MATCH(A61,'WetLitterbags placem_collection'!$K$4:$K$500,0)),"")</f>
        <v/>
      </c>
      <c r="AC61" s="110">
        <f>IFERROR(INDEX('WetLitterbags placem_collection'!$A$3:$A$500,MATCH($A61,'WetLitterbags placem_collection'!$O$4:$O$500,0)),"")</f>
        <v>92</v>
      </c>
      <c r="AD61" s="110" t="str">
        <f>IFERROR(INDEX('WetLitterbags placem_collection'!$A$3:$A$500,MATCH($A61,'WetLitterbags placem_collection'!$M$4:$M$500,0)),"")</f>
        <v/>
      </c>
      <c r="AE61" s="110" t="str">
        <f>IFERROR(INDEX('WetLitterbags placem_collection'!$A$3:$A$500,MATCH($A61,'WetLitterbags placem_collection'!$Q$4:$Q$500,0)),"")</f>
        <v/>
      </c>
    </row>
    <row r="62" spans="1:31">
      <c r="A62" s="201" t="s">
        <v>1625</v>
      </c>
      <c r="C62" s="201">
        <v>169</v>
      </c>
      <c r="D62" s="201">
        <v>0.4572</v>
      </c>
      <c r="E62" s="201">
        <v>9.3218999999999994</v>
      </c>
      <c r="F62" s="202">
        <v>0.20080000000000001</v>
      </c>
      <c r="G62" s="201">
        <f t="shared" si="4"/>
        <v>9.5226999999999986</v>
      </c>
      <c r="H62" s="201">
        <v>9.3447999999999993</v>
      </c>
      <c r="I62" s="197">
        <f t="shared" si="5"/>
        <v>0.17789999999999928</v>
      </c>
      <c r="J62" s="201">
        <f t="shared" si="6"/>
        <v>2.2900000000000725E-2</v>
      </c>
      <c r="K62" s="280">
        <f t="shared" si="7"/>
        <v>11.404382470119883</v>
      </c>
      <c r="L62" s="201">
        <v>23</v>
      </c>
      <c r="M62" s="205">
        <v>43187</v>
      </c>
      <c r="N62" s="205">
        <v>43187</v>
      </c>
      <c r="O62" s="201"/>
      <c r="P62" s="201"/>
      <c r="AB62" s="110">
        <f>IFERROR(INDEX('WetLitterbags placem_collection'!$A$3:$A$500,MATCH(A62,'WetLitterbags placem_collection'!$K$4:$K$500,0)),"")</f>
        <v>168</v>
      </c>
      <c r="AC62" s="110" t="str">
        <f>IFERROR(INDEX('WetLitterbags placem_collection'!$A$3:$A$500,MATCH($A62,'WetLitterbags placem_collection'!$O$4:$O$500,0)),"")</f>
        <v/>
      </c>
      <c r="AD62" s="110" t="str">
        <f>IFERROR(INDEX('WetLitterbags placem_collection'!$A$3:$A$500,MATCH($A62,'WetLitterbags placem_collection'!$M$4:$M$500,0)),"")</f>
        <v/>
      </c>
      <c r="AE62" s="110" t="str">
        <f>IFERROR(INDEX('WetLitterbags placem_collection'!$A$3:$A$500,MATCH($A62,'WetLitterbags placem_collection'!$Q$4:$Q$500,0)),"")</f>
        <v/>
      </c>
    </row>
    <row r="63" spans="1:31">
      <c r="A63" s="197" t="s">
        <v>1621</v>
      </c>
      <c r="C63" s="197">
        <v>167</v>
      </c>
      <c r="D63" s="197">
        <v>0.48499999999999999</v>
      </c>
      <c r="E63" s="202">
        <v>10.202</v>
      </c>
      <c r="F63" s="202">
        <v>0.2014</v>
      </c>
      <c r="G63" s="201">
        <f t="shared" si="4"/>
        <v>10.4034</v>
      </c>
      <c r="H63" s="201">
        <v>10.218999999999999</v>
      </c>
      <c r="I63" s="201">
        <f t="shared" si="5"/>
        <v>0.18440000000000012</v>
      </c>
      <c r="J63" s="201">
        <f t="shared" si="6"/>
        <v>1.6999999999999876E-2</v>
      </c>
      <c r="K63" s="280">
        <f t="shared" si="7"/>
        <v>8.4409136047665729</v>
      </c>
      <c r="L63" s="201">
        <v>36</v>
      </c>
      <c r="AB63" s="110">
        <f>IFERROR(INDEX('WetLitterbags placem_collection'!$A$3:$A$500,MATCH(A63,'WetLitterbags placem_collection'!$K$4:$K$500,0)),"")</f>
        <v>166</v>
      </c>
      <c r="AC63" s="110" t="str">
        <f>IFERROR(INDEX('WetLitterbags placem_collection'!$A$3:$A$500,MATCH($A63,'WetLitterbags placem_collection'!$O$4:$O$500,0)),"")</f>
        <v/>
      </c>
      <c r="AD63" s="110" t="str">
        <f>IFERROR(INDEX('WetLitterbags placem_collection'!$A$3:$A$500,MATCH($A63,'WetLitterbags placem_collection'!$M$4:$M$500,0)),"")</f>
        <v/>
      </c>
      <c r="AE63" s="110" t="str">
        <f>IFERROR(INDEX('WetLitterbags placem_collection'!$A$3:$A$500,MATCH($A63,'WetLitterbags placem_collection'!$Q$4:$Q$500,0)),"")</f>
        <v/>
      </c>
    </row>
    <row r="64" spans="1:31">
      <c r="A64" s="201" t="s">
        <v>1617</v>
      </c>
      <c r="C64" s="201">
        <v>170</v>
      </c>
      <c r="D64" s="201">
        <v>0.44679999999999997</v>
      </c>
      <c r="E64" s="201">
        <v>8.8449000000000009</v>
      </c>
      <c r="F64" s="202">
        <v>0.2014</v>
      </c>
      <c r="G64" s="201">
        <f t="shared" si="4"/>
        <v>9.0463000000000005</v>
      </c>
      <c r="H64" s="201">
        <v>8.8640000000000008</v>
      </c>
      <c r="I64" s="201">
        <f t="shared" si="5"/>
        <v>0.18229999999999968</v>
      </c>
      <c r="J64" s="201">
        <f t="shared" si="6"/>
        <v>1.9100000000000311E-2</v>
      </c>
      <c r="K64" s="280">
        <f t="shared" si="7"/>
        <v>9.4836146971203146</v>
      </c>
      <c r="L64" s="201">
        <v>4</v>
      </c>
      <c r="M64" s="205">
        <v>43187</v>
      </c>
      <c r="N64" s="205">
        <v>43187</v>
      </c>
      <c r="O64" s="201"/>
      <c r="P64" s="201"/>
      <c r="AB64" s="110">
        <f>IFERROR(INDEX('WetLitterbags placem_collection'!$A$3:$A$500,MATCH(A64,'WetLitterbags placem_collection'!$K$4:$K$500,0)),"")</f>
        <v>169</v>
      </c>
      <c r="AC64" s="110" t="str">
        <f>IFERROR(INDEX('WetLitterbags placem_collection'!$A$3:$A$500,MATCH($A64,'WetLitterbags placem_collection'!$O$4:$O$500,0)),"")</f>
        <v/>
      </c>
      <c r="AD64" s="110" t="str">
        <f>IFERROR(INDEX('WetLitterbags placem_collection'!$A$3:$A$500,MATCH($A64,'WetLitterbags placem_collection'!$M$4:$M$500,0)),"")</f>
        <v/>
      </c>
      <c r="AE64" s="110" t="str">
        <f>IFERROR(INDEX('WetLitterbags placem_collection'!$A$3:$A$500,MATCH($A64,'WetLitterbags placem_collection'!$Q$4:$Q$500,0)),"")</f>
        <v/>
      </c>
    </row>
    <row r="65" spans="1:31">
      <c r="A65" s="197" t="s">
        <v>1614</v>
      </c>
      <c r="C65" s="197">
        <v>1</v>
      </c>
      <c r="D65" s="197">
        <v>0.28660000000000002</v>
      </c>
      <c r="E65" s="197">
        <v>9.9175000000000004</v>
      </c>
      <c r="F65" s="202">
        <v>0.20119999999999999</v>
      </c>
      <c r="G65" s="201">
        <f t="shared" si="4"/>
        <v>10.1187</v>
      </c>
      <c r="H65" s="201">
        <v>9.9732000000000003</v>
      </c>
      <c r="I65" s="201">
        <f t="shared" si="5"/>
        <v>0.14550000000000018</v>
      </c>
      <c r="J65" s="201">
        <f t="shared" si="6"/>
        <v>5.5699999999999805E-2</v>
      </c>
      <c r="K65" s="280">
        <f t="shared" si="7"/>
        <v>27.683896620278237</v>
      </c>
      <c r="L65" s="201">
        <v>11</v>
      </c>
      <c r="T65" s="204"/>
      <c r="U65" s="204"/>
      <c r="AB65" s="110" t="str">
        <f>IFERROR(INDEX('WetLitterbags placem_collection'!$A$3:$A$500,MATCH(A65,'WetLitterbags placem_collection'!$K$4:$K$500,0)),"")</f>
        <v/>
      </c>
      <c r="AC65" s="110" t="str">
        <f>IFERROR(INDEX('WetLitterbags placem_collection'!$A$3:$A$500,MATCH($A65,'WetLitterbags placem_collection'!$O$4:$O$500,0)),"")</f>
        <v/>
      </c>
      <c r="AD65" s="110" t="str">
        <f>IFERROR(INDEX('WetLitterbags placem_collection'!$A$3:$A$500,MATCH($A65,'WetLitterbags placem_collection'!$M$4:$M$500,0)),"")</f>
        <v/>
      </c>
      <c r="AE65" s="110" t="str">
        <f>IFERROR(INDEX('WetLitterbags placem_collection'!$A$3:$A$500,MATCH($A65,'WetLitterbags placem_collection'!$Q$4:$Q$500,0)),"")</f>
        <v/>
      </c>
    </row>
    <row r="66" spans="1:31">
      <c r="A66" s="206" t="s">
        <v>1613</v>
      </c>
      <c r="C66" s="201">
        <v>42</v>
      </c>
      <c r="D66" s="202">
        <v>0.42959999999999998</v>
      </c>
      <c r="E66" s="201">
        <v>8.0954999999999995</v>
      </c>
      <c r="F66" s="202">
        <v>0.2039</v>
      </c>
      <c r="G66" s="201">
        <f t="shared" ref="G66:G97" si="8">E66+F66</f>
        <v>8.2994000000000003</v>
      </c>
      <c r="H66" s="201">
        <v>8.1128999999999998</v>
      </c>
      <c r="I66" s="201">
        <f t="shared" ref="I66:I97" si="9">(G66-H66)</f>
        <v>0.18650000000000055</v>
      </c>
      <c r="J66" s="201">
        <f t="shared" ref="J66:J97" si="10">F66-I66</f>
        <v>1.7399999999999444E-2</v>
      </c>
      <c r="K66" s="280">
        <f t="shared" ref="K66:K97" si="11">(J66/F66)*100</f>
        <v>8.5335948994602457</v>
      </c>
      <c r="L66" s="201">
        <v>11</v>
      </c>
      <c r="M66" s="205">
        <v>43206</v>
      </c>
      <c r="N66" s="205">
        <v>43206</v>
      </c>
      <c r="O66" s="201"/>
      <c r="P66" s="201"/>
      <c r="AB66" s="110" t="str">
        <f>IFERROR(INDEX('WetLitterbags placem_collection'!$A$3:$A$500,MATCH(A66,'WetLitterbags placem_collection'!$K$4:$K$500,0)),"")</f>
        <v/>
      </c>
      <c r="AC66" s="110">
        <f>IFERROR(INDEX('WetLitterbags placem_collection'!$A$3:$A$500,MATCH($A66,'WetLitterbags placem_collection'!$O$4:$O$500,0)),"")</f>
        <v>41</v>
      </c>
      <c r="AD66" s="110" t="str">
        <f>IFERROR(INDEX('WetLitterbags placem_collection'!$A$3:$A$500,MATCH($A66,'WetLitterbags placem_collection'!$M$4:$M$500,0)),"")</f>
        <v/>
      </c>
      <c r="AE66" s="110" t="str">
        <f>IFERROR(INDEX('WetLitterbags placem_collection'!$A$3:$A$500,MATCH($A66,'WetLitterbags placem_collection'!$Q$4:$Q$500,0)),"")</f>
        <v/>
      </c>
    </row>
    <row r="67" spans="1:31">
      <c r="A67" s="201" t="s">
        <v>1611</v>
      </c>
      <c r="C67" s="201">
        <v>172</v>
      </c>
      <c r="D67" s="201">
        <f>0.203+F67</f>
        <v>0.41049999999999998</v>
      </c>
      <c r="E67" s="202">
        <v>9.343</v>
      </c>
      <c r="F67" s="202">
        <v>0.20749999999999999</v>
      </c>
      <c r="G67" s="201">
        <f t="shared" si="8"/>
        <v>9.5504999999999995</v>
      </c>
      <c r="H67" s="201">
        <v>9.3618000000000006</v>
      </c>
      <c r="I67" s="201">
        <f t="shared" si="9"/>
        <v>0.18869999999999898</v>
      </c>
      <c r="J67" s="201">
        <f t="shared" si="10"/>
        <v>1.880000000000101E-2</v>
      </c>
      <c r="K67" s="280">
        <f t="shared" si="11"/>
        <v>9.0602409638559092</v>
      </c>
      <c r="L67" s="201">
        <v>19</v>
      </c>
      <c r="M67" s="205">
        <v>43174</v>
      </c>
      <c r="N67" s="205">
        <v>43174</v>
      </c>
      <c r="O67" s="201" t="s">
        <v>2556</v>
      </c>
      <c r="P67" s="201" t="s">
        <v>2551</v>
      </c>
      <c r="AB67" s="110" t="str">
        <f>IFERROR(INDEX('WetLitterbags placem_collection'!$A$3:$A$500,MATCH(A67,'WetLitterbags placem_collection'!$K$4:$K$500,0)),"")</f>
        <v/>
      </c>
      <c r="AC67" s="110">
        <f>IFERROR(INDEX('WetLitterbags placem_collection'!$A$3:$A$500,MATCH($A67,'WetLitterbags placem_collection'!$O$4:$O$500,0)),"")</f>
        <v>171</v>
      </c>
      <c r="AD67" s="110" t="str">
        <f>IFERROR(INDEX('WetLitterbags placem_collection'!$A$3:$A$500,MATCH($A67,'WetLitterbags placem_collection'!$M$4:$M$500,0)),"")</f>
        <v/>
      </c>
      <c r="AE67" s="110" t="str">
        <f>IFERROR(INDEX('WetLitterbags placem_collection'!$A$3:$A$500,MATCH($A67,'WetLitterbags placem_collection'!$Q$4:$Q$500,0)),"")</f>
        <v/>
      </c>
    </row>
    <row r="68" spans="1:31">
      <c r="A68" s="197" t="s">
        <v>1610</v>
      </c>
      <c r="C68" s="201">
        <v>63</v>
      </c>
      <c r="D68" s="202">
        <v>0.72370000000000001</v>
      </c>
      <c r="E68" s="202">
        <v>10.0556</v>
      </c>
      <c r="F68" s="202">
        <v>0.20449999999999999</v>
      </c>
      <c r="G68" s="201">
        <f t="shared" si="8"/>
        <v>10.2601</v>
      </c>
      <c r="H68" s="201">
        <v>10.0848</v>
      </c>
      <c r="I68" s="201">
        <f t="shared" si="9"/>
        <v>0.17530000000000001</v>
      </c>
      <c r="J68" s="201">
        <f t="shared" si="10"/>
        <v>2.9199999999999976E-2</v>
      </c>
      <c r="K68" s="280">
        <f t="shared" si="11"/>
        <v>14.278728606356959</v>
      </c>
      <c r="L68" s="201">
        <v>7</v>
      </c>
      <c r="M68" s="201"/>
      <c r="N68" s="201"/>
      <c r="O68" s="201"/>
      <c r="P68" s="201"/>
      <c r="AB68" s="110" t="str">
        <f>IFERROR(INDEX('WetLitterbags placem_collection'!$A$3:$A$500,MATCH(A68,'WetLitterbags placem_collection'!$K$4:$K$500,0)),"")</f>
        <v/>
      </c>
      <c r="AC68" s="110">
        <f>IFERROR(INDEX('WetLitterbags placem_collection'!$A$3:$A$500,MATCH($A68,'WetLitterbags placem_collection'!$O$4:$O$500,0)),"")</f>
        <v>62</v>
      </c>
      <c r="AD68" s="110" t="str">
        <f>IFERROR(INDEX('WetLitterbags placem_collection'!$A$3:$A$500,MATCH($A68,'WetLitterbags placem_collection'!$M$4:$M$500,0)),"")</f>
        <v/>
      </c>
      <c r="AE68" s="110" t="str">
        <f>IFERROR(INDEX('WetLitterbags placem_collection'!$A$3:$A$500,MATCH($A68,'WetLitterbags placem_collection'!$Q$4:$Q$500,0)),"")</f>
        <v/>
      </c>
    </row>
    <row r="69" spans="1:31">
      <c r="A69" s="201" t="s">
        <v>1609</v>
      </c>
      <c r="C69" s="201">
        <v>85</v>
      </c>
      <c r="D69" s="201">
        <v>0.73919999999999997</v>
      </c>
      <c r="E69" s="202">
        <v>9.0315999999999992</v>
      </c>
      <c r="F69" s="202">
        <v>0.20180000000000001</v>
      </c>
      <c r="G69" s="201">
        <f t="shared" si="8"/>
        <v>9.2333999999999996</v>
      </c>
      <c r="H69" s="201">
        <v>9.0549999999999997</v>
      </c>
      <c r="I69" s="201">
        <f t="shared" si="9"/>
        <v>0.17839999999999989</v>
      </c>
      <c r="J69" s="201">
        <f t="shared" si="10"/>
        <v>2.3400000000000115E-2</v>
      </c>
      <c r="K69" s="280">
        <f t="shared" si="11"/>
        <v>11.595639246779045</v>
      </c>
      <c r="L69" s="201">
        <v>42</v>
      </c>
      <c r="M69" s="207">
        <v>43186.458333333336</v>
      </c>
      <c r="N69" s="207">
        <v>43186.625</v>
      </c>
      <c r="O69" s="197" t="s">
        <v>2550</v>
      </c>
      <c r="P69" s="201"/>
      <c r="AB69" s="110" t="str">
        <f>IFERROR(INDEX('WetLitterbags placem_collection'!$A$3:$A$500,MATCH(A69,'WetLitterbags placem_collection'!$K$4:$K$500,0)),"")</f>
        <v/>
      </c>
      <c r="AC69" s="110">
        <f>IFERROR(INDEX('WetLitterbags placem_collection'!$A$3:$A$500,MATCH($A69,'WetLitterbags placem_collection'!$O$4:$O$500,0)),"")</f>
        <v>84</v>
      </c>
      <c r="AD69" s="110" t="str">
        <f>IFERROR(INDEX('WetLitterbags placem_collection'!$A$3:$A$500,MATCH($A69,'WetLitterbags placem_collection'!$M$4:$M$500,0)),"")</f>
        <v/>
      </c>
      <c r="AE69" s="110" t="str">
        <f>IFERROR(INDEX('WetLitterbags placem_collection'!$A$3:$A$500,MATCH($A69,'WetLitterbags placem_collection'!$Q$4:$Q$500,0)),"")</f>
        <v/>
      </c>
    </row>
    <row r="70" spans="1:31">
      <c r="A70" s="197" t="s">
        <v>1608</v>
      </c>
      <c r="C70" s="197">
        <v>162</v>
      </c>
      <c r="D70" s="197">
        <v>0.47949999999999998</v>
      </c>
      <c r="E70" s="201">
        <v>9.6789000000000005</v>
      </c>
      <c r="F70" s="202">
        <v>0.2021</v>
      </c>
      <c r="G70" s="201">
        <f t="shared" si="8"/>
        <v>9.8810000000000002</v>
      </c>
      <c r="H70" s="201">
        <v>9.6943000000000001</v>
      </c>
      <c r="I70" s="201">
        <f t="shared" si="9"/>
        <v>0.18670000000000009</v>
      </c>
      <c r="J70" s="201">
        <f t="shared" si="10"/>
        <v>1.5399999999999914E-2</v>
      </c>
      <c r="K70" s="280">
        <f t="shared" si="11"/>
        <v>7.6199901039089131</v>
      </c>
      <c r="L70" s="201">
        <v>10</v>
      </c>
      <c r="M70" s="204">
        <v>43212</v>
      </c>
      <c r="AB70" s="110" t="str">
        <f>IFERROR(INDEX('WetLitterbags placem_collection'!$A$3:$A$500,MATCH(A70,'WetLitterbags placem_collection'!$K$4:$K$500,0)),"")</f>
        <v/>
      </c>
      <c r="AC70" s="110">
        <f>IFERROR(INDEX('WetLitterbags placem_collection'!$A$3:$A$500,MATCH($A70,'WetLitterbags placem_collection'!$O$4:$O$500,0)),"")</f>
        <v>161</v>
      </c>
      <c r="AD70" s="110" t="str">
        <f>IFERROR(INDEX('WetLitterbags placem_collection'!$A$3:$A$500,MATCH($A70,'WetLitterbags placem_collection'!$M$4:$M$500,0)),"")</f>
        <v/>
      </c>
      <c r="AE70" s="110" t="str">
        <f>IFERROR(INDEX('WetLitterbags placem_collection'!$A$3:$A$500,MATCH($A70,'WetLitterbags placem_collection'!$Q$4:$Q$500,0)),"")</f>
        <v/>
      </c>
    </row>
    <row r="71" spans="1:31">
      <c r="A71" s="206" t="s">
        <v>1607</v>
      </c>
      <c r="C71" s="201">
        <v>167</v>
      </c>
      <c r="D71" s="201">
        <v>0.51249999999999996</v>
      </c>
      <c r="E71" s="201">
        <v>10.1244</v>
      </c>
      <c r="F71" s="202">
        <v>0.20119999999999999</v>
      </c>
      <c r="G71" s="201">
        <f t="shared" si="8"/>
        <v>10.3256</v>
      </c>
      <c r="H71" s="201">
        <v>10.1416</v>
      </c>
      <c r="I71" s="201">
        <f t="shared" si="9"/>
        <v>0.18399999999999928</v>
      </c>
      <c r="J71" s="201">
        <f t="shared" si="10"/>
        <v>1.7200000000000715E-2</v>
      </c>
      <c r="K71" s="280">
        <f t="shared" si="11"/>
        <v>8.5487077534794818</v>
      </c>
      <c r="L71" s="201">
        <v>31</v>
      </c>
      <c r="M71" s="205">
        <v>43211</v>
      </c>
      <c r="AB71" s="110" t="str">
        <f>IFERROR(INDEX('WetLitterbags placem_collection'!$A$3:$A$500,MATCH(A71,'WetLitterbags placem_collection'!$K$4:$K$500,0)),"")</f>
        <v/>
      </c>
      <c r="AC71" s="110">
        <f>IFERROR(INDEX('WetLitterbags placem_collection'!$A$3:$A$500,MATCH($A71,'WetLitterbags placem_collection'!$O$4:$O$500,0)),"")</f>
        <v>166</v>
      </c>
      <c r="AD71" s="110" t="str">
        <f>IFERROR(INDEX('WetLitterbags placem_collection'!$A$3:$A$500,MATCH($A71,'WetLitterbags placem_collection'!$M$4:$M$500,0)),"")</f>
        <v/>
      </c>
      <c r="AE71" s="110" t="str">
        <f>IFERROR(INDEX('WetLitterbags placem_collection'!$A$3:$A$500,MATCH($A71,'WetLitterbags placem_collection'!$Q$4:$Q$500,0)),"")</f>
        <v/>
      </c>
    </row>
    <row r="72" spans="1:31">
      <c r="A72" s="197" t="s">
        <v>1605</v>
      </c>
      <c r="C72" s="197">
        <v>62</v>
      </c>
      <c r="D72" s="197">
        <v>0.59640000000000004</v>
      </c>
      <c r="E72" s="197">
        <v>7.9943999999999997</v>
      </c>
      <c r="F72" s="197">
        <v>0.1978</v>
      </c>
      <c r="G72" s="197">
        <f t="shared" si="8"/>
        <v>8.1921999999999997</v>
      </c>
      <c r="H72" s="197">
        <v>8.0189000000000004</v>
      </c>
      <c r="I72" s="197">
        <f t="shared" si="9"/>
        <v>0.17329999999999934</v>
      </c>
      <c r="J72" s="201">
        <f t="shared" si="10"/>
        <v>2.450000000000066E-2</v>
      </c>
      <c r="K72" s="280">
        <f t="shared" si="11"/>
        <v>12.3862487360974</v>
      </c>
      <c r="L72" s="197">
        <v>46</v>
      </c>
      <c r="M72" s="197" t="s">
        <v>2586</v>
      </c>
      <c r="N72" s="197" t="s">
        <v>2585</v>
      </c>
      <c r="O72" s="197" t="s">
        <v>2550</v>
      </c>
      <c r="AB72" s="110" t="str">
        <f>IFERROR(INDEX('WetLitterbags placem_collection'!$A$3:$A$500,MATCH(A72,'WetLitterbags placem_collection'!$K$4:$K$500,0)),"")</f>
        <v/>
      </c>
      <c r="AC72" s="110">
        <f>IFERROR(INDEX('WetLitterbags placem_collection'!$A$3:$A$500,MATCH($A72,'WetLitterbags placem_collection'!$O$4:$O$500,0)),"")</f>
        <v>61</v>
      </c>
      <c r="AD72" s="110" t="str">
        <f>IFERROR(INDEX('WetLitterbags placem_collection'!$A$3:$A$500,MATCH($A72,'WetLitterbags placem_collection'!$M$4:$M$500,0)),"")</f>
        <v/>
      </c>
      <c r="AE72" s="110" t="str">
        <f>IFERROR(INDEX('WetLitterbags placem_collection'!$A$3:$A$500,MATCH($A72,'WetLitterbags placem_collection'!$Q$4:$Q$500,0)),"")</f>
        <v/>
      </c>
    </row>
    <row r="73" spans="1:31">
      <c r="A73" s="197" t="s">
        <v>1604</v>
      </c>
      <c r="C73" s="198">
        <v>78</v>
      </c>
      <c r="D73" s="197">
        <v>0.58260000000000001</v>
      </c>
      <c r="E73" s="202">
        <v>10.1439</v>
      </c>
      <c r="F73" s="202">
        <v>0.2001</v>
      </c>
      <c r="G73" s="201">
        <f t="shared" si="8"/>
        <v>10.344000000000001</v>
      </c>
      <c r="H73" s="201">
        <v>10.1632</v>
      </c>
      <c r="I73" s="201">
        <f t="shared" si="9"/>
        <v>0.1808000000000014</v>
      </c>
      <c r="J73" s="201">
        <f t="shared" si="10"/>
        <v>1.9299999999998596E-2</v>
      </c>
      <c r="K73" s="280">
        <f t="shared" si="11"/>
        <v>9.6451774112936519</v>
      </c>
      <c r="L73" s="201">
        <v>33</v>
      </c>
      <c r="M73" s="204">
        <v>43221</v>
      </c>
      <c r="N73" s="204">
        <v>43221</v>
      </c>
      <c r="AB73" s="110" t="str">
        <f>IFERROR(INDEX('WetLitterbags placem_collection'!$A$3:$A$500,MATCH(A73,'WetLitterbags placem_collection'!$K$4:$K$500,0)),"")</f>
        <v/>
      </c>
      <c r="AC73" s="110">
        <f>IFERROR(INDEX('WetLitterbags placem_collection'!$A$3:$A$500,MATCH($A73,'WetLitterbags placem_collection'!$O$4:$O$500,0)),"")</f>
        <v>77</v>
      </c>
      <c r="AD73" s="110" t="str">
        <f>IFERROR(INDEX('WetLitterbags placem_collection'!$A$3:$A$500,MATCH($A73,'WetLitterbags placem_collection'!$M$4:$M$500,0)),"")</f>
        <v/>
      </c>
      <c r="AE73" s="110" t="str">
        <f>IFERROR(INDEX('WetLitterbags placem_collection'!$A$3:$A$500,MATCH($A73,'WetLitterbags placem_collection'!$Q$4:$Q$500,0)),"")</f>
        <v/>
      </c>
    </row>
    <row r="74" spans="1:31">
      <c r="A74" s="197" t="s">
        <v>1603</v>
      </c>
      <c r="C74" s="198">
        <v>6</v>
      </c>
      <c r="D74" s="197">
        <v>0.48459999999999998</v>
      </c>
      <c r="E74" s="202">
        <v>7.8593999999999999</v>
      </c>
      <c r="F74" s="202">
        <v>0.1996</v>
      </c>
      <c r="G74" s="201">
        <f t="shared" si="8"/>
        <v>8.0589999999999993</v>
      </c>
      <c r="H74" s="201">
        <v>7.8822999999999999</v>
      </c>
      <c r="I74" s="201">
        <f t="shared" si="9"/>
        <v>0.17669999999999941</v>
      </c>
      <c r="J74" s="201">
        <f t="shared" si="10"/>
        <v>2.2900000000000587E-2</v>
      </c>
      <c r="K74" s="280">
        <f t="shared" si="11"/>
        <v>11.472945891783862</v>
      </c>
      <c r="L74" s="201">
        <v>17</v>
      </c>
      <c r="AB74" s="110">
        <f>IFERROR(INDEX('WetLitterbags placem_collection'!$A$3:$A$500,MATCH(A74,'WetLitterbags placem_collection'!$K$4:$K$500,0)),"")</f>
        <v>5</v>
      </c>
      <c r="AC74" s="110" t="str">
        <f>IFERROR(INDEX('WetLitterbags placem_collection'!$A$3:$A$500,MATCH($A74,'WetLitterbags placem_collection'!$O$4:$O$500,0)),"")</f>
        <v/>
      </c>
      <c r="AD74" s="110" t="str">
        <f>IFERROR(INDEX('WetLitterbags placem_collection'!$A$3:$A$500,MATCH($A74,'WetLitterbags placem_collection'!$M$4:$M$500,0)),"")</f>
        <v/>
      </c>
      <c r="AE74" s="110" t="str">
        <f>IFERROR(INDEX('WetLitterbags placem_collection'!$A$3:$A$500,MATCH($A74,'WetLitterbags placem_collection'!$Q$4:$Q$500,0)),"")</f>
        <v/>
      </c>
    </row>
    <row r="75" spans="1:31">
      <c r="A75" s="197" t="s">
        <v>1601</v>
      </c>
      <c r="C75" s="198">
        <v>27</v>
      </c>
      <c r="D75" s="197">
        <v>0.5333</v>
      </c>
      <c r="E75" s="202">
        <v>7.7735000000000003</v>
      </c>
      <c r="F75" s="202">
        <v>0.2001</v>
      </c>
      <c r="G75" s="201">
        <f t="shared" si="8"/>
        <v>7.9736000000000002</v>
      </c>
      <c r="H75" s="201">
        <v>7.7944000000000004</v>
      </c>
      <c r="I75" s="201">
        <f t="shared" si="9"/>
        <v>0.1791999999999998</v>
      </c>
      <c r="J75" s="201">
        <f t="shared" si="10"/>
        <v>2.0900000000000196E-2</v>
      </c>
      <c r="K75" s="280">
        <f t="shared" si="11"/>
        <v>10.444777611194501</v>
      </c>
      <c r="L75" s="201">
        <v>34</v>
      </c>
      <c r="M75" s="204">
        <v>43221</v>
      </c>
      <c r="N75" s="204">
        <v>43221</v>
      </c>
      <c r="AB75" s="110" t="str">
        <f>IFERROR(INDEX('WetLitterbags placem_collection'!$A$3:$A$500,MATCH(A75,'WetLitterbags placem_collection'!$K$4:$K$500,0)),"")</f>
        <v/>
      </c>
      <c r="AC75" s="110">
        <f>IFERROR(INDEX('WetLitterbags placem_collection'!$A$3:$A$500,MATCH($A75,'WetLitterbags placem_collection'!$O$4:$O$500,0)),"")</f>
        <v>26</v>
      </c>
      <c r="AD75" s="110" t="str">
        <f>IFERROR(INDEX('WetLitterbags placem_collection'!$A$3:$A$500,MATCH($A75,'WetLitterbags placem_collection'!$M$4:$M$500,0)),"")</f>
        <v/>
      </c>
      <c r="AE75" s="110" t="str">
        <f>IFERROR(INDEX('WetLitterbags placem_collection'!$A$3:$A$500,MATCH($A75,'WetLitterbags placem_collection'!$Q$4:$Q$500,0)),"")</f>
        <v/>
      </c>
    </row>
    <row r="76" spans="1:31">
      <c r="A76" s="197" t="s">
        <v>1600</v>
      </c>
      <c r="C76" s="197">
        <v>67</v>
      </c>
      <c r="D76" s="197">
        <v>0.65029999999999999</v>
      </c>
      <c r="E76" s="197">
        <v>9.3425999999999991</v>
      </c>
      <c r="F76" s="197">
        <v>0.2049</v>
      </c>
      <c r="G76" s="197">
        <f t="shared" si="8"/>
        <v>9.5474999999999994</v>
      </c>
      <c r="H76" s="197">
        <v>9.3710000000000004</v>
      </c>
      <c r="I76" s="197">
        <f t="shared" si="9"/>
        <v>0.17649999999999899</v>
      </c>
      <c r="J76" s="201">
        <f t="shared" si="10"/>
        <v>2.8400000000001008E-2</v>
      </c>
      <c r="K76" s="280">
        <f t="shared" si="11"/>
        <v>13.860419716935581</v>
      </c>
      <c r="L76" s="197">
        <v>3</v>
      </c>
      <c r="M76" s="197" t="s">
        <v>2580</v>
      </c>
      <c r="N76" s="197" t="s">
        <v>2579</v>
      </c>
      <c r="O76" s="197" t="s">
        <v>2556</v>
      </c>
      <c r="AB76" s="110">
        <f>IFERROR(INDEX('WetLitterbags placem_collection'!$A$3:$A$500,MATCH(A76,'WetLitterbags placem_collection'!$K$4:$K$500,0)),"")</f>
        <v>66</v>
      </c>
      <c r="AC76" s="110" t="str">
        <f>IFERROR(INDEX('WetLitterbags placem_collection'!$A$3:$A$500,MATCH($A76,'WetLitterbags placem_collection'!$O$4:$O$500,0)),"")</f>
        <v/>
      </c>
      <c r="AD76" s="110" t="str">
        <f>IFERROR(INDEX('WetLitterbags placem_collection'!$A$3:$A$500,MATCH($A76,'WetLitterbags placem_collection'!$M$4:$M$500,0)),"")</f>
        <v/>
      </c>
      <c r="AE76" s="110" t="str">
        <f>IFERROR(INDEX('WetLitterbags placem_collection'!$A$3:$A$500,MATCH($A76,'WetLitterbags placem_collection'!$Q$4:$Q$500,0)),"")</f>
        <v/>
      </c>
    </row>
    <row r="77" spans="1:31">
      <c r="A77" s="197" t="s">
        <v>1599</v>
      </c>
      <c r="C77" s="197">
        <v>179</v>
      </c>
      <c r="D77" s="197">
        <v>0.43290000000000001</v>
      </c>
      <c r="E77" s="202">
        <v>9.0517000000000003</v>
      </c>
      <c r="F77" s="202">
        <v>0.2079</v>
      </c>
      <c r="G77" s="201">
        <f t="shared" si="8"/>
        <v>9.2596000000000007</v>
      </c>
      <c r="H77" s="201">
        <v>9.0702999999999996</v>
      </c>
      <c r="I77" s="201">
        <f t="shared" si="9"/>
        <v>0.18930000000000113</v>
      </c>
      <c r="J77" s="201">
        <f t="shared" si="10"/>
        <v>1.8599999999998867E-2</v>
      </c>
      <c r="K77" s="280">
        <f t="shared" si="11"/>
        <v>8.9466089466084018</v>
      </c>
      <c r="L77" s="201">
        <v>18</v>
      </c>
      <c r="AB77" s="110">
        <f>IFERROR(INDEX('WetLitterbags placem_collection'!$A$3:$A$500,MATCH(A77,'WetLitterbags placem_collection'!$K$4:$K$500,0)),"")</f>
        <v>178</v>
      </c>
      <c r="AC77" s="110" t="str">
        <f>IFERROR(INDEX('WetLitterbags placem_collection'!$A$3:$A$500,MATCH($A77,'WetLitterbags placem_collection'!$O$4:$O$500,0)),"")</f>
        <v/>
      </c>
      <c r="AD77" s="110" t="str">
        <f>IFERROR(INDEX('WetLitterbags placem_collection'!$A$3:$A$500,MATCH($A77,'WetLitterbags placem_collection'!$M$4:$M$500,0)),"")</f>
        <v/>
      </c>
      <c r="AE77" s="110" t="str">
        <f>IFERROR(INDEX('WetLitterbags placem_collection'!$A$3:$A$500,MATCH($A77,'WetLitterbags placem_collection'!$Q$4:$Q$500,0)),"")</f>
        <v/>
      </c>
    </row>
    <row r="78" spans="1:31">
      <c r="A78" s="201" t="s">
        <v>1598</v>
      </c>
      <c r="C78" s="201">
        <v>7</v>
      </c>
      <c r="D78" s="201">
        <v>0.46970000000000001</v>
      </c>
      <c r="E78" s="202">
        <v>11.0025</v>
      </c>
      <c r="F78" s="202">
        <v>0.19969999999999999</v>
      </c>
      <c r="G78" s="201">
        <f t="shared" si="8"/>
        <v>11.202199999999999</v>
      </c>
      <c r="H78" s="201">
        <v>11.0252</v>
      </c>
      <c r="I78" s="201">
        <f t="shared" si="9"/>
        <v>0.1769999999999996</v>
      </c>
      <c r="J78" s="201">
        <f t="shared" si="10"/>
        <v>2.2700000000000387E-2</v>
      </c>
      <c r="K78" s="280">
        <f t="shared" si="11"/>
        <v>11.36705057586399</v>
      </c>
      <c r="L78" s="201">
        <v>5</v>
      </c>
      <c r="M78" s="207">
        <v>43185.385416666664</v>
      </c>
      <c r="N78" s="201"/>
      <c r="O78" s="201" t="s">
        <v>2556</v>
      </c>
      <c r="P78" s="201"/>
      <c r="AB78" s="110">
        <f>IFERROR(INDEX('WetLitterbags placem_collection'!$A$3:$A$500,MATCH(A78,'WetLitterbags placem_collection'!$K$4:$K$500,0)),"")</f>
        <v>6</v>
      </c>
      <c r="AC78" s="110" t="str">
        <f>IFERROR(INDEX('WetLitterbags placem_collection'!$A$3:$A$500,MATCH($A78,'WetLitterbags placem_collection'!$O$4:$O$500,0)),"")</f>
        <v/>
      </c>
      <c r="AD78" s="110" t="str">
        <f>IFERROR(INDEX('WetLitterbags placem_collection'!$A$3:$A$500,MATCH($A78,'WetLitterbags placem_collection'!$M$4:$M$500,0)),"")</f>
        <v/>
      </c>
      <c r="AE78" s="110" t="str">
        <f>IFERROR(INDEX('WetLitterbags placem_collection'!$A$3:$A$500,MATCH($A78,'WetLitterbags placem_collection'!$Q$4:$Q$500,0)),"")</f>
        <v/>
      </c>
    </row>
    <row r="79" spans="1:31">
      <c r="A79" s="201" t="s">
        <v>1597</v>
      </c>
      <c r="C79" s="201">
        <v>41</v>
      </c>
      <c r="D79" s="202">
        <v>0.82640000000000002</v>
      </c>
      <c r="E79" s="201">
        <v>8.1179000000000006</v>
      </c>
      <c r="F79" s="202">
        <v>0.20219999999999999</v>
      </c>
      <c r="G79" s="201">
        <f t="shared" si="8"/>
        <v>8.3201000000000001</v>
      </c>
      <c r="H79" s="201">
        <v>8.1584000000000003</v>
      </c>
      <c r="I79" s="201">
        <f t="shared" si="9"/>
        <v>0.16169999999999973</v>
      </c>
      <c r="J79" s="201">
        <f t="shared" si="10"/>
        <v>4.0500000000000258E-2</v>
      </c>
      <c r="K79" s="280">
        <f t="shared" si="11"/>
        <v>20.029673590504579</v>
      </c>
      <c r="L79" s="201">
        <v>32</v>
      </c>
      <c r="M79" s="201"/>
      <c r="N79" s="201"/>
      <c r="O79" s="201"/>
      <c r="P79" s="201"/>
      <c r="AB79" s="110">
        <f>IFERROR(INDEX('WetLitterbags placem_collection'!$A$3:$A$500,MATCH(A79,'WetLitterbags placem_collection'!$K$4:$K$500,0)),"")</f>
        <v>40</v>
      </c>
      <c r="AC79" s="110" t="str">
        <f>IFERROR(INDEX('WetLitterbags placem_collection'!$A$3:$A$500,MATCH($A79,'WetLitterbags placem_collection'!$O$4:$O$500,0)),"")</f>
        <v/>
      </c>
      <c r="AD79" s="110" t="str">
        <f>IFERROR(INDEX('WetLitterbags placem_collection'!$A$3:$A$500,MATCH($A79,'WetLitterbags placem_collection'!$M$4:$M$500,0)),"")</f>
        <v/>
      </c>
      <c r="AE79" s="110" t="str">
        <f>IFERROR(INDEX('WetLitterbags placem_collection'!$A$3:$A$500,MATCH($A79,'WetLitterbags placem_collection'!$Q$4:$Q$500,0)),"")</f>
        <v/>
      </c>
    </row>
    <row r="80" spans="1:31">
      <c r="A80" s="202" t="s">
        <v>1596</v>
      </c>
      <c r="C80" s="201">
        <v>176</v>
      </c>
      <c r="D80" s="201">
        <v>0.46539999999999981</v>
      </c>
      <c r="E80" s="201">
        <v>9.1382999999999992</v>
      </c>
      <c r="F80" s="201">
        <v>0.20399999999999999</v>
      </c>
      <c r="G80" s="201">
        <f t="shared" si="8"/>
        <v>9.3422999999999998</v>
      </c>
      <c r="H80" s="201">
        <v>9.1598000000000006</v>
      </c>
      <c r="I80" s="201">
        <f t="shared" si="9"/>
        <v>0.18249999999999922</v>
      </c>
      <c r="J80" s="201">
        <f t="shared" si="10"/>
        <v>2.1500000000000768E-2</v>
      </c>
      <c r="K80" s="280">
        <f t="shared" si="11"/>
        <v>10.539215686274888</v>
      </c>
      <c r="L80" s="201">
        <v>19</v>
      </c>
      <c r="M80" s="205">
        <v>43173</v>
      </c>
      <c r="N80" s="205">
        <v>43173</v>
      </c>
      <c r="O80" s="201" t="s">
        <v>2556</v>
      </c>
      <c r="P80" s="201" t="s">
        <v>2555</v>
      </c>
      <c r="AB80" s="110">
        <f>IFERROR(INDEX('WetLitterbags placem_collection'!$A$3:$A$500,MATCH(A80,'WetLitterbags placem_collection'!$K$4:$K$500,0)),"")</f>
        <v>175</v>
      </c>
      <c r="AC80" s="110" t="str">
        <f>IFERROR(INDEX('WetLitterbags placem_collection'!$A$3:$A$500,MATCH($A80,'WetLitterbags placem_collection'!$O$4:$O$500,0)),"")</f>
        <v/>
      </c>
      <c r="AD80" s="110" t="str">
        <f>IFERROR(INDEX('WetLitterbags placem_collection'!$A$3:$A$500,MATCH($A80,'WetLitterbags placem_collection'!$M$4:$M$500,0)),"")</f>
        <v/>
      </c>
      <c r="AE80" s="110" t="str">
        <f>IFERROR(INDEX('WetLitterbags placem_collection'!$A$3:$A$500,MATCH($A80,'WetLitterbags placem_collection'!$Q$4:$Q$500,0)),"")</f>
        <v/>
      </c>
    </row>
    <row r="81" spans="1:31">
      <c r="A81" s="197" t="s">
        <v>1594</v>
      </c>
      <c r="C81" s="197">
        <v>23</v>
      </c>
      <c r="D81" s="197">
        <v>0.51790000000000003</v>
      </c>
      <c r="E81" s="197">
        <v>8.7737999999999996</v>
      </c>
      <c r="F81" s="197">
        <v>0.1953</v>
      </c>
      <c r="G81" s="197">
        <f t="shared" si="8"/>
        <v>8.9690999999999992</v>
      </c>
      <c r="H81" s="197">
        <v>8.7844999999999995</v>
      </c>
      <c r="I81" s="197">
        <f t="shared" si="9"/>
        <v>0.18459999999999965</v>
      </c>
      <c r="J81" s="201">
        <f t="shared" si="10"/>
        <v>1.0700000000000348E-2</v>
      </c>
      <c r="K81" s="280">
        <f t="shared" si="11"/>
        <v>5.4787506400411408</v>
      </c>
      <c r="L81" s="197">
        <v>22</v>
      </c>
      <c r="M81" s="197" t="s">
        <v>2586</v>
      </c>
      <c r="N81" s="197" t="s">
        <v>2585</v>
      </c>
      <c r="O81" s="197" t="s">
        <v>2550</v>
      </c>
      <c r="AB81" s="110" t="str">
        <f>IFERROR(INDEX('WetLitterbags placem_collection'!$A$3:$A$500,MATCH(A81,'WetLitterbags placem_collection'!$K$4:$K$500,0)),"")</f>
        <v/>
      </c>
      <c r="AC81" s="110">
        <f>IFERROR(INDEX('WetLitterbags placem_collection'!$A$3:$A$500,MATCH($A81,'WetLitterbags placem_collection'!$O$4:$O$500,0)),"")</f>
        <v>22</v>
      </c>
      <c r="AD81" s="110" t="str">
        <f>IFERROR(INDEX('WetLitterbags placem_collection'!$A$3:$A$500,MATCH($A81,'WetLitterbags placem_collection'!$M$4:$M$500,0)),"")</f>
        <v/>
      </c>
      <c r="AE81" s="110" t="str">
        <f>IFERROR(INDEX('WetLitterbags placem_collection'!$A$3:$A$500,MATCH($A81,'WetLitterbags placem_collection'!$Q$4:$Q$500,0)),"")</f>
        <v/>
      </c>
    </row>
    <row r="82" spans="1:31">
      <c r="A82" s="202" t="s">
        <v>1593</v>
      </c>
      <c r="C82" s="201">
        <v>175</v>
      </c>
      <c r="D82" s="201">
        <v>0.49159999999999987</v>
      </c>
      <c r="E82" s="201">
        <v>7.8007</v>
      </c>
      <c r="F82" s="201">
        <v>0.20119999999999999</v>
      </c>
      <c r="G82" s="201">
        <f t="shared" si="8"/>
        <v>8.0018999999999991</v>
      </c>
      <c r="H82" s="201">
        <v>7.8201999999999998</v>
      </c>
      <c r="I82" s="201">
        <f t="shared" si="9"/>
        <v>0.18169999999999931</v>
      </c>
      <c r="J82" s="201">
        <f t="shared" si="10"/>
        <v>1.9500000000000683E-2</v>
      </c>
      <c r="K82" s="280">
        <f t="shared" si="11"/>
        <v>9.6918489065609759</v>
      </c>
      <c r="L82" s="201">
        <v>1</v>
      </c>
      <c r="M82" s="205">
        <v>43173</v>
      </c>
      <c r="N82" s="205">
        <v>43173</v>
      </c>
      <c r="O82" s="201" t="s">
        <v>2556</v>
      </c>
      <c r="P82" s="201"/>
      <c r="AB82" s="110">
        <f>IFERROR(INDEX('WetLitterbags placem_collection'!$A$3:$A$500,MATCH(A82,'WetLitterbags placem_collection'!$K$4:$K$500,0)),"")</f>
        <v>174</v>
      </c>
      <c r="AC82" s="110" t="str">
        <f>IFERROR(INDEX('WetLitterbags placem_collection'!$A$3:$A$500,MATCH($A82,'WetLitterbags placem_collection'!$O$4:$O$500,0)),"")</f>
        <v/>
      </c>
      <c r="AD82" s="110" t="str">
        <f>IFERROR(INDEX('WetLitterbags placem_collection'!$A$3:$A$500,MATCH($A82,'WetLitterbags placem_collection'!$M$4:$M$500,0)),"")</f>
        <v/>
      </c>
      <c r="AE82" s="110" t="str">
        <f>IFERROR(INDEX('WetLitterbags placem_collection'!$A$3:$A$500,MATCH($A82,'WetLitterbags placem_collection'!$Q$4:$Q$500,0)),"")</f>
        <v/>
      </c>
    </row>
    <row r="83" spans="1:31">
      <c r="A83" s="197" t="s">
        <v>1592</v>
      </c>
      <c r="C83" s="198">
        <v>181</v>
      </c>
      <c r="D83" s="197">
        <v>0.4042</v>
      </c>
      <c r="E83" s="197">
        <v>10.6159</v>
      </c>
      <c r="F83" s="202">
        <v>0.20250000000000001</v>
      </c>
      <c r="G83" s="201">
        <f t="shared" si="8"/>
        <v>10.8184</v>
      </c>
      <c r="H83" s="201">
        <v>10.634399999999999</v>
      </c>
      <c r="I83" s="201">
        <f t="shared" si="9"/>
        <v>0.18400000000000105</v>
      </c>
      <c r="J83" s="201">
        <f t="shared" si="10"/>
        <v>1.8499999999998962E-2</v>
      </c>
      <c r="K83" s="280">
        <f t="shared" si="11"/>
        <v>9.1358024691352888</v>
      </c>
      <c r="L83" s="201">
        <v>9</v>
      </c>
      <c r="AB83" s="110">
        <f>IFERROR(INDEX('WetLitterbags placem_collection'!$A$3:$A$500,MATCH(A83,'WetLitterbags placem_collection'!$K$4:$K$500,0)),"")</f>
        <v>180</v>
      </c>
      <c r="AC83" s="110" t="str">
        <f>IFERROR(INDEX('WetLitterbags placem_collection'!$A$3:$A$500,MATCH($A83,'WetLitterbags placem_collection'!$O$4:$O$500,0)),"")</f>
        <v/>
      </c>
      <c r="AD83" s="110" t="str">
        <f>IFERROR(INDEX('WetLitterbags placem_collection'!$A$3:$A$500,MATCH($A83,'WetLitterbags placem_collection'!$M$4:$M$500,0)),"")</f>
        <v/>
      </c>
      <c r="AE83" s="110" t="str">
        <f>IFERROR(INDEX('WetLitterbags placem_collection'!$A$3:$A$500,MATCH($A83,'WetLitterbags placem_collection'!$Q$4:$Q$500,0)),"")</f>
        <v/>
      </c>
    </row>
    <row r="84" spans="1:31">
      <c r="A84" s="197" t="s">
        <v>1591</v>
      </c>
      <c r="C84" s="198">
        <v>71</v>
      </c>
      <c r="D84" s="197">
        <v>0.68149999999999999</v>
      </c>
      <c r="E84" s="201">
        <v>11.0892</v>
      </c>
      <c r="F84" s="202">
        <v>0.2064</v>
      </c>
      <c r="G84" s="201">
        <f t="shared" si="8"/>
        <v>11.2956</v>
      </c>
      <c r="H84" s="201">
        <v>11.1052</v>
      </c>
      <c r="I84" s="201">
        <f t="shared" si="9"/>
        <v>0.19040000000000035</v>
      </c>
      <c r="J84" s="201">
        <f t="shared" si="10"/>
        <v>1.5999999999999653E-2</v>
      </c>
      <c r="K84" s="280">
        <f t="shared" si="11"/>
        <v>7.7519379844959557</v>
      </c>
      <c r="L84" s="201">
        <v>9</v>
      </c>
      <c r="M84" s="204">
        <v>43213</v>
      </c>
      <c r="N84" s="204">
        <v>43213</v>
      </c>
      <c r="AB84" s="110" t="str">
        <f>IFERROR(INDEX('WetLitterbags placem_collection'!$A$3:$A$500,MATCH(A84,'WetLitterbags placem_collection'!$K$4:$K$500,0)),"")</f>
        <v/>
      </c>
      <c r="AC84" s="110">
        <f>IFERROR(INDEX('WetLitterbags placem_collection'!$A$3:$A$500,MATCH($A84,'WetLitterbags placem_collection'!$O$4:$O$500,0)),"")</f>
        <v>70</v>
      </c>
      <c r="AD84" s="110" t="str">
        <f>IFERROR(INDEX('WetLitterbags placem_collection'!$A$3:$A$500,MATCH($A84,'WetLitterbags placem_collection'!$M$4:$M$500,0)),"")</f>
        <v/>
      </c>
      <c r="AE84" s="110" t="str">
        <f>IFERROR(INDEX('WetLitterbags placem_collection'!$A$3:$A$500,MATCH($A84,'WetLitterbags placem_collection'!$Q$4:$Q$500,0)),"")</f>
        <v/>
      </c>
    </row>
    <row r="85" spans="1:31">
      <c r="A85" s="197" t="s">
        <v>1590</v>
      </c>
      <c r="C85" s="198">
        <v>78</v>
      </c>
      <c r="D85" s="197">
        <v>0.69499999999999995</v>
      </c>
      <c r="E85" s="201">
        <v>10.9214</v>
      </c>
      <c r="F85" s="202">
        <v>0.2006</v>
      </c>
      <c r="G85" s="201">
        <f t="shared" si="8"/>
        <v>11.122</v>
      </c>
      <c r="H85" s="201">
        <v>10.941599999999999</v>
      </c>
      <c r="I85" s="201">
        <f t="shared" si="9"/>
        <v>0.18040000000000056</v>
      </c>
      <c r="J85" s="201">
        <f t="shared" si="10"/>
        <v>2.0199999999999441E-2</v>
      </c>
      <c r="K85" s="280">
        <f t="shared" si="11"/>
        <v>10.069790628115374</v>
      </c>
      <c r="L85" s="201">
        <v>7</v>
      </c>
      <c r="M85" s="204">
        <v>43213</v>
      </c>
      <c r="N85" s="204">
        <v>43213</v>
      </c>
      <c r="AB85" s="110">
        <f>IFERROR(INDEX('WetLitterbags placem_collection'!$A$3:$A$500,MATCH(A85,'WetLitterbags placem_collection'!$K$4:$K$500,0)),"")</f>
        <v>77</v>
      </c>
      <c r="AC85" s="110" t="str">
        <f>IFERROR(INDEX('WetLitterbags placem_collection'!$A$3:$A$500,MATCH($A85,'WetLitterbags placem_collection'!$O$4:$O$500,0)),"")</f>
        <v/>
      </c>
      <c r="AD85" s="110" t="str">
        <f>IFERROR(INDEX('WetLitterbags placem_collection'!$A$3:$A$500,MATCH($A85,'WetLitterbags placem_collection'!$M$4:$M$500,0)),"")</f>
        <v/>
      </c>
      <c r="AE85" s="110" t="str">
        <f>IFERROR(INDEX('WetLitterbags placem_collection'!$A$3:$A$500,MATCH($A85,'WetLitterbags placem_collection'!$Q$4:$Q$500,0)),"")</f>
        <v/>
      </c>
    </row>
    <row r="86" spans="1:31">
      <c r="A86" s="206" t="s">
        <v>1589</v>
      </c>
      <c r="C86" s="201">
        <v>168</v>
      </c>
      <c r="D86" s="201">
        <v>0.5857</v>
      </c>
      <c r="E86" s="202">
        <v>9.8872999999999998</v>
      </c>
      <c r="F86" s="202">
        <v>0.20119999999999999</v>
      </c>
      <c r="G86" s="201">
        <f t="shared" si="8"/>
        <v>10.0885</v>
      </c>
      <c r="H86" s="201">
        <v>9.9053000000000004</v>
      </c>
      <c r="I86" s="201">
        <f t="shared" si="9"/>
        <v>0.18319999999999936</v>
      </c>
      <c r="J86" s="201">
        <f t="shared" si="10"/>
        <v>1.8000000000000627E-2</v>
      </c>
      <c r="K86" s="280">
        <f t="shared" si="11"/>
        <v>8.9463220675947444</v>
      </c>
      <c r="L86" s="201">
        <v>13</v>
      </c>
      <c r="M86" s="207">
        <v>43185.385416666664</v>
      </c>
      <c r="N86" s="201"/>
      <c r="O86" s="201" t="s">
        <v>2556</v>
      </c>
      <c r="P86" s="201"/>
      <c r="AB86" s="110">
        <f>IFERROR(INDEX('WetLitterbags placem_collection'!$A$3:$A$500,MATCH(A86,'WetLitterbags placem_collection'!$K$4:$K$500,0)),"")</f>
        <v>167</v>
      </c>
      <c r="AC86" s="110" t="str">
        <f>IFERROR(INDEX('WetLitterbags placem_collection'!$A$3:$A$500,MATCH($A86,'WetLitterbags placem_collection'!$O$4:$O$500,0)),"")</f>
        <v/>
      </c>
      <c r="AD86" s="110" t="str">
        <f>IFERROR(INDEX('WetLitterbags placem_collection'!$A$3:$A$500,MATCH($A86,'WetLitterbags placem_collection'!$M$4:$M$500,0)),"")</f>
        <v/>
      </c>
      <c r="AE86" s="110" t="str">
        <f>IFERROR(INDEX('WetLitterbags placem_collection'!$A$3:$A$500,MATCH($A86,'WetLitterbags placem_collection'!$Q$4:$Q$500,0)),"")</f>
        <v/>
      </c>
    </row>
    <row r="87" spans="1:31">
      <c r="A87" s="206" t="s">
        <v>1588</v>
      </c>
      <c r="C87" s="201">
        <v>198</v>
      </c>
      <c r="D87" s="201">
        <v>0.52729999999999999</v>
      </c>
      <c r="E87" s="201">
        <v>7.8711000000000002</v>
      </c>
      <c r="F87" s="201">
        <v>0.20219999999999999</v>
      </c>
      <c r="G87" s="201">
        <f t="shared" si="8"/>
        <v>8.0732999999999997</v>
      </c>
      <c r="H87" s="201">
        <v>7.8887999999999998</v>
      </c>
      <c r="I87" s="201">
        <f t="shared" si="9"/>
        <v>0.18449999999999989</v>
      </c>
      <c r="J87" s="201">
        <f t="shared" si="10"/>
        <v>1.7700000000000105E-2</v>
      </c>
      <c r="K87" s="280">
        <f t="shared" si="11"/>
        <v>8.7537091988131088</v>
      </c>
      <c r="L87" s="201">
        <v>23</v>
      </c>
      <c r="M87" s="203">
        <v>43164.628472222219</v>
      </c>
      <c r="N87" s="203">
        <v>43164.795138888891</v>
      </c>
      <c r="O87" s="197" t="s">
        <v>2550</v>
      </c>
      <c r="P87" s="201"/>
      <c r="AB87" s="110" t="str">
        <f>IFERROR(INDEX('WetLitterbags placem_collection'!$A$3:$A$500,MATCH(A87,'WetLitterbags placem_collection'!$K$4:$K$500,0)),"")</f>
        <v/>
      </c>
      <c r="AC87" s="110">
        <f>IFERROR(INDEX('WetLitterbags placem_collection'!$A$3:$A$500,MATCH($A87,'WetLitterbags placem_collection'!$O$4:$O$500,0)),"")</f>
        <v>197</v>
      </c>
      <c r="AD87" s="110" t="str">
        <f>IFERROR(INDEX('WetLitterbags placem_collection'!$A$3:$A$500,MATCH($A87,'WetLitterbags placem_collection'!$M$4:$M$500,0)),"")</f>
        <v/>
      </c>
      <c r="AE87" s="110" t="str">
        <f>IFERROR(INDEX('WetLitterbags placem_collection'!$A$3:$A$500,MATCH($A87,'WetLitterbags placem_collection'!$Q$4:$Q$500,0)),"")</f>
        <v/>
      </c>
    </row>
    <row r="88" spans="1:31">
      <c r="A88" s="201" t="s">
        <v>1581</v>
      </c>
      <c r="C88" s="201">
        <v>89</v>
      </c>
      <c r="D88" s="201">
        <v>1.1642999999999999</v>
      </c>
      <c r="E88" s="201">
        <v>8.1176999999999992</v>
      </c>
      <c r="F88" s="202">
        <v>0.2046</v>
      </c>
      <c r="G88" s="201">
        <f t="shared" si="8"/>
        <v>8.3222999999999985</v>
      </c>
      <c r="H88" s="201">
        <v>8.2159999999999993</v>
      </c>
      <c r="I88" s="201">
        <f t="shared" si="9"/>
        <v>0.10629999999999917</v>
      </c>
      <c r="J88" s="201">
        <f t="shared" si="10"/>
        <v>9.8300000000000831E-2</v>
      </c>
      <c r="K88" s="280">
        <f t="shared" si="11"/>
        <v>48.044965786901678</v>
      </c>
      <c r="L88" s="201">
        <v>6</v>
      </c>
      <c r="M88" s="205">
        <v>43187</v>
      </c>
      <c r="N88" s="205">
        <v>43187</v>
      </c>
      <c r="O88" s="201"/>
      <c r="P88" s="201"/>
      <c r="AB88" s="110" t="str">
        <f>IFERROR(INDEX('WetLitterbags placem_collection'!$A$3:$A$500,MATCH(A88,'WetLitterbags placem_collection'!$K$4:$K$500,0)),"")</f>
        <v/>
      </c>
      <c r="AC88" s="110">
        <f>IFERROR(INDEX('WetLitterbags placem_collection'!$A$3:$A$500,MATCH($A88,'WetLitterbags placem_collection'!$O$4:$O$500,0)),"")</f>
        <v>88</v>
      </c>
      <c r="AD88" s="110" t="str">
        <f>IFERROR(INDEX('WetLitterbags placem_collection'!$A$3:$A$500,MATCH($A88,'WetLitterbags placem_collection'!$M$4:$M$500,0)),"")</f>
        <v/>
      </c>
      <c r="AE88" s="110" t="str">
        <f>IFERROR(INDEX('WetLitterbags placem_collection'!$A$3:$A$500,MATCH($A88,'WetLitterbags placem_collection'!$Q$4:$Q$500,0)),"")</f>
        <v/>
      </c>
    </row>
    <row r="89" spans="1:31">
      <c r="A89" s="202" t="s">
        <v>1580</v>
      </c>
      <c r="C89" s="201">
        <v>176</v>
      </c>
      <c r="D89" s="201">
        <v>0.42199999999999993</v>
      </c>
      <c r="E89" s="201">
        <v>8.1182999999999996</v>
      </c>
      <c r="F89" s="201">
        <v>0.1956</v>
      </c>
      <c r="G89" s="201">
        <f t="shared" si="8"/>
        <v>8.3139000000000003</v>
      </c>
      <c r="H89" s="201">
        <v>8.1365999999999996</v>
      </c>
      <c r="I89" s="201">
        <f t="shared" si="9"/>
        <v>0.17730000000000068</v>
      </c>
      <c r="J89" s="201">
        <f t="shared" si="10"/>
        <v>1.8299999999999317E-2</v>
      </c>
      <c r="K89" s="280">
        <f t="shared" si="11"/>
        <v>9.3558282208585464</v>
      </c>
      <c r="L89" s="201">
        <v>18</v>
      </c>
      <c r="M89" s="205">
        <v>43173</v>
      </c>
      <c r="N89" s="205">
        <v>43173</v>
      </c>
      <c r="O89" s="201" t="s">
        <v>2556</v>
      </c>
      <c r="P89" s="201" t="s">
        <v>2555</v>
      </c>
      <c r="AB89" s="110" t="str">
        <f>IFERROR(INDEX('WetLitterbags placem_collection'!$A$3:$A$500,MATCH(A89,'WetLitterbags placem_collection'!$K$4:$K$500,0)),"")</f>
        <v/>
      </c>
      <c r="AC89" s="110">
        <f>IFERROR(INDEX('WetLitterbags placem_collection'!$A$3:$A$500,MATCH($A89,'WetLitterbags placem_collection'!$O$4:$O$500,0)),"")</f>
        <v>175</v>
      </c>
      <c r="AD89" s="110" t="str">
        <f>IFERROR(INDEX('WetLitterbags placem_collection'!$A$3:$A$500,MATCH($A89,'WetLitterbags placem_collection'!$M$4:$M$500,0)),"")</f>
        <v/>
      </c>
      <c r="AE89" s="110" t="str">
        <f>IFERROR(INDEX('WetLitterbags placem_collection'!$A$3:$A$500,MATCH($A89,'WetLitterbags placem_collection'!$Q$4:$Q$500,0)),"")</f>
        <v/>
      </c>
    </row>
    <row r="90" spans="1:31">
      <c r="A90" s="202" t="s">
        <v>1578</v>
      </c>
      <c r="C90" s="201">
        <v>91</v>
      </c>
      <c r="D90" s="201">
        <v>0.51639999999999986</v>
      </c>
      <c r="E90" s="201">
        <v>8.0459999999999994</v>
      </c>
      <c r="F90" s="201">
        <v>0.19969999999999999</v>
      </c>
      <c r="G90" s="201">
        <f t="shared" si="8"/>
        <v>8.2456999999999994</v>
      </c>
      <c r="H90" s="201">
        <v>8.0721000000000007</v>
      </c>
      <c r="I90" s="201">
        <f t="shared" si="9"/>
        <v>0.17359999999999864</v>
      </c>
      <c r="J90" s="201">
        <f t="shared" si="10"/>
        <v>2.6100000000001344E-2</v>
      </c>
      <c r="K90" s="280">
        <f t="shared" si="11"/>
        <v>13.069604406610589</v>
      </c>
      <c r="L90" s="201">
        <v>5</v>
      </c>
      <c r="M90" s="205">
        <v>43173</v>
      </c>
      <c r="N90" s="205">
        <v>43173</v>
      </c>
      <c r="O90" s="201" t="s">
        <v>2556</v>
      </c>
      <c r="P90" s="201" t="s">
        <v>2555</v>
      </c>
      <c r="AB90" s="110">
        <f>IFERROR(INDEX('WetLitterbags placem_collection'!$A$3:$A$500,MATCH(A90,'WetLitterbags placem_collection'!$K$4:$K$500,0)),"")</f>
        <v>90</v>
      </c>
      <c r="AC90" s="110" t="str">
        <f>IFERROR(INDEX('WetLitterbags placem_collection'!$A$3:$A$500,MATCH($A90,'WetLitterbags placem_collection'!$O$4:$O$500,0)),"")</f>
        <v/>
      </c>
      <c r="AD90" s="110" t="str">
        <f>IFERROR(INDEX('WetLitterbags placem_collection'!$A$3:$A$500,MATCH($A90,'WetLitterbags placem_collection'!$M$4:$M$500,0)),"")</f>
        <v/>
      </c>
      <c r="AE90" s="110" t="str">
        <f>IFERROR(INDEX('WetLitterbags placem_collection'!$A$3:$A$500,MATCH($A90,'WetLitterbags placem_collection'!$Q$4:$Q$500,0)),"")</f>
        <v/>
      </c>
    </row>
    <row r="91" spans="1:31">
      <c r="A91" s="197" t="s">
        <v>1576</v>
      </c>
      <c r="C91" s="197">
        <v>80</v>
      </c>
      <c r="D91" s="197">
        <v>0.7772</v>
      </c>
      <c r="E91" s="197">
        <v>7.8582000000000001</v>
      </c>
      <c r="F91" s="197">
        <v>0.20050000000000001</v>
      </c>
      <c r="G91" s="197">
        <f t="shared" si="8"/>
        <v>8.0587</v>
      </c>
      <c r="H91" s="197">
        <v>7.8699000000000003</v>
      </c>
      <c r="I91" s="197">
        <f t="shared" si="9"/>
        <v>0.18879999999999963</v>
      </c>
      <c r="J91" s="201">
        <f t="shared" si="10"/>
        <v>1.1700000000000377E-2</v>
      </c>
      <c r="K91" s="280">
        <f t="shared" si="11"/>
        <v>5.8354114713218834</v>
      </c>
      <c r="L91" s="197">
        <v>9</v>
      </c>
      <c r="M91" s="197" t="s">
        <v>2580</v>
      </c>
      <c r="N91" s="197" t="s">
        <v>2579</v>
      </c>
      <c r="O91" s="197" t="s">
        <v>2556</v>
      </c>
      <c r="AB91" s="110" t="str">
        <f>IFERROR(INDEX('WetLitterbags placem_collection'!$A$3:$A$500,MATCH(A91,'WetLitterbags placem_collection'!$K$4:$K$500,0)),"")</f>
        <v/>
      </c>
      <c r="AC91" s="110">
        <f>IFERROR(INDEX('WetLitterbags placem_collection'!$A$3:$A$500,MATCH($A91,'WetLitterbags placem_collection'!$O$4:$O$500,0)),"")</f>
        <v>79</v>
      </c>
      <c r="AD91" s="110" t="str">
        <f>IFERROR(INDEX('WetLitterbags placem_collection'!$A$3:$A$500,MATCH($A91,'WetLitterbags placem_collection'!$M$4:$M$500,0)),"")</f>
        <v/>
      </c>
      <c r="AE91" s="110" t="str">
        <f>IFERROR(INDEX('WetLitterbags placem_collection'!$A$3:$A$500,MATCH($A91,'WetLitterbags placem_collection'!$Q$4:$Q$500,0)),"")</f>
        <v/>
      </c>
    </row>
    <row r="92" spans="1:31">
      <c r="A92" s="201" t="s">
        <v>1575</v>
      </c>
      <c r="C92" s="201">
        <v>81</v>
      </c>
      <c r="D92" s="202">
        <v>0.45200000000000001</v>
      </c>
      <c r="E92" s="202">
        <v>10.739000000000001</v>
      </c>
      <c r="F92" s="202">
        <v>0.20030000000000001</v>
      </c>
      <c r="G92" s="201">
        <f t="shared" si="8"/>
        <v>10.939300000000001</v>
      </c>
      <c r="H92" s="201">
        <v>10.7622</v>
      </c>
      <c r="I92" s="201">
        <f t="shared" si="9"/>
        <v>0.17710000000000115</v>
      </c>
      <c r="J92" s="201">
        <f t="shared" si="10"/>
        <v>2.319999999999886E-2</v>
      </c>
      <c r="K92" s="280">
        <f t="shared" si="11"/>
        <v>11.582626060908067</v>
      </c>
      <c r="L92" s="201">
        <v>31</v>
      </c>
      <c r="M92" s="203">
        <v>43181.645833333336</v>
      </c>
      <c r="N92" s="203">
        <v>43181.833333333336</v>
      </c>
      <c r="O92" s="201" t="s">
        <v>2556</v>
      </c>
      <c r="P92" s="201"/>
      <c r="AB92" s="110" t="str">
        <f>IFERROR(INDEX('WetLitterbags placem_collection'!$A$3:$A$500,MATCH(A92,'WetLitterbags placem_collection'!$K$4:$K$500,0)),"")</f>
        <v/>
      </c>
      <c r="AC92" s="110">
        <f>IFERROR(INDEX('WetLitterbags placem_collection'!$A$3:$A$500,MATCH($A92,'WetLitterbags placem_collection'!$O$4:$O$500,0)),"")</f>
        <v>80</v>
      </c>
      <c r="AD92" s="110" t="str">
        <f>IFERROR(INDEX('WetLitterbags placem_collection'!$A$3:$A$500,MATCH($A92,'WetLitterbags placem_collection'!$M$4:$M$500,0)),"")</f>
        <v/>
      </c>
      <c r="AE92" s="110" t="str">
        <f>IFERROR(INDEX('WetLitterbags placem_collection'!$A$3:$A$500,MATCH($A92,'WetLitterbags placem_collection'!$Q$4:$Q$500,0)),"")</f>
        <v/>
      </c>
    </row>
    <row r="93" spans="1:31">
      <c r="A93" s="197" t="s">
        <v>1574</v>
      </c>
      <c r="C93" s="198">
        <v>9</v>
      </c>
      <c r="D93" s="197">
        <v>0.46850000000000003</v>
      </c>
      <c r="E93" s="202">
        <v>10.519600000000001</v>
      </c>
      <c r="F93" s="202">
        <v>0.2016</v>
      </c>
      <c r="G93" s="201">
        <f t="shared" si="8"/>
        <v>10.7212</v>
      </c>
      <c r="H93" s="201">
        <v>10.555999999999999</v>
      </c>
      <c r="I93" s="201">
        <f t="shared" si="9"/>
        <v>0.16520000000000046</v>
      </c>
      <c r="J93" s="201">
        <f t="shared" si="10"/>
        <v>3.6399999999999544E-2</v>
      </c>
      <c r="K93" s="280">
        <f t="shared" si="11"/>
        <v>18.05555555555533</v>
      </c>
      <c r="L93" s="201">
        <v>9</v>
      </c>
      <c r="M93" s="204">
        <v>43221</v>
      </c>
      <c r="N93" s="204">
        <v>43221</v>
      </c>
      <c r="AB93" s="110" t="str">
        <f>IFERROR(INDEX('WetLitterbags placem_collection'!$A$3:$A$500,MATCH(A93,'WetLitterbags placem_collection'!$K$4:$K$500,0)),"")</f>
        <v/>
      </c>
      <c r="AC93" s="110">
        <f>IFERROR(INDEX('WetLitterbags placem_collection'!$A$3:$A$500,MATCH($A93,'WetLitterbags placem_collection'!$O$4:$O$500,0)),"")</f>
        <v>8</v>
      </c>
      <c r="AD93" s="110" t="str">
        <f>IFERROR(INDEX('WetLitterbags placem_collection'!$A$3:$A$500,MATCH($A93,'WetLitterbags placem_collection'!$M$4:$M$500,0)),"")</f>
        <v/>
      </c>
      <c r="AE93" s="110" t="str">
        <f>IFERROR(INDEX('WetLitterbags placem_collection'!$A$3:$A$500,MATCH($A93,'WetLitterbags placem_collection'!$Q$4:$Q$500,0)),"")</f>
        <v/>
      </c>
    </row>
    <row r="94" spans="1:31">
      <c r="A94" s="206" t="s">
        <v>1573</v>
      </c>
      <c r="C94" s="201">
        <v>68</v>
      </c>
      <c r="D94" s="201">
        <v>0.7016</v>
      </c>
      <c r="E94" s="202">
        <v>8.8606999999999996</v>
      </c>
      <c r="F94" s="202">
        <v>0.20250000000000001</v>
      </c>
      <c r="G94" s="201">
        <f t="shared" si="8"/>
        <v>9.0632000000000001</v>
      </c>
      <c r="H94" s="201">
        <v>8.8945000000000007</v>
      </c>
      <c r="I94" s="201">
        <f t="shared" si="9"/>
        <v>0.16869999999999941</v>
      </c>
      <c r="J94" s="201">
        <f t="shared" si="10"/>
        <v>3.3800000000000607E-2</v>
      </c>
      <c r="K94" s="280">
        <f t="shared" si="11"/>
        <v>16.691358024691656</v>
      </c>
      <c r="L94" s="201">
        <v>18</v>
      </c>
      <c r="M94" s="205">
        <v>43199</v>
      </c>
      <c r="N94" s="205">
        <v>43199</v>
      </c>
      <c r="O94" s="201"/>
      <c r="P94" s="201"/>
      <c r="AB94" s="110" t="str">
        <f>IFERROR(INDEX('WetLitterbags placem_collection'!$A$3:$A$500,MATCH(A94,'WetLitterbags placem_collection'!$K$4:$K$500,0)),"")</f>
        <v/>
      </c>
      <c r="AC94" s="110">
        <f>IFERROR(INDEX('WetLitterbags placem_collection'!$A$3:$A$500,MATCH($A94,'WetLitterbags placem_collection'!$O$4:$O$500,0)),"")</f>
        <v>67</v>
      </c>
      <c r="AD94" s="110" t="str">
        <f>IFERROR(INDEX('WetLitterbags placem_collection'!$A$3:$A$500,MATCH($A94,'WetLitterbags placem_collection'!$M$4:$M$500,0)),"")</f>
        <v/>
      </c>
      <c r="AE94" s="110" t="str">
        <f>IFERROR(INDEX('WetLitterbags placem_collection'!$A$3:$A$500,MATCH($A94,'WetLitterbags placem_collection'!$Q$4:$Q$500,0)),"")</f>
        <v/>
      </c>
    </row>
    <row r="95" spans="1:31">
      <c r="A95" s="197" t="s">
        <v>1571</v>
      </c>
      <c r="C95" s="198">
        <v>96</v>
      </c>
      <c r="D95" s="197">
        <v>0.73119999999999996</v>
      </c>
      <c r="E95" s="202">
        <v>8.8449000000000009</v>
      </c>
      <c r="F95" s="202">
        <v>0.20250000000000001</v>
      </c>
      <c r="G95" s="201">
        <f t="shared" si="8"/>
        <v>9.0474000000000014</v>
      </c>
      <c r="H95" s="201">
        <v>8.8789999999999996</v>
      </c>
      <c r="I95" s="201">
        <f t="shared" si="9"/>
        <v>0.16840000000000188</v>
      </c>
      <c r="J95" s="201">
        <f t="shared" si="10"/>
        <v>3.4099999999998132E-2</v>
      </c>
      <c r="K95" s="280">
        <f t="shared" si="11"/>
        <v>16.839506172838583</v>
      </c>
      <c r="L95" s="201">
        <v>38</v>
      </c>
      <c r="AB95" s="110">
        <f>IFERROR(INDEX('WetLitterbags placem_collection'!$A$3:$A$500,MATCH(A95,'WetLitterbags placem_collection'!$K$4:$K$500,0)),"")</f>
        <v>95</v>
      </c>
      <c r="AC95" s="110" t="str">
        <f>IFERROR(INDEX('WetLitterbags placem_collection'!$A$3:$A$500,MATCH($A95,'WetLitterbags placem_collection'!$O$4:$O$500,0)),"")</f>
        <v/>
      </c>
      <c r="AD95" s="110" t="str">
        <f>IFERROR(INDEX('WetLitterbags placem_collection'!$A$3:$A$500,MATCH($A95,'WetLitterbags placem_collection'!$M$4:$M$500,0)),"")</f>
        <v/>
      </c>
      <c r="AE95" s="110" t="str">
        <f>IFERROR(INDEX('WetLitterbags placem_collection'!$A$3:$A$500,MATCH($A95,'WetLitterbags placem_collection'!$Q$4:$Q$500,0)),"")</f>
        <v/>
      </c>
    </row>
    <row r="96" spans="1:31">
      <c r="A96" s="201" t="s">
        <v>1567</v>
      </c>
      <c r="C96" s="201">
        <v>177</v>
      </c>
      <c r="D96" s="201">
        <v>0.39500000000000002</v>
      </c>
      <c r="E96" s="201">
        <v>7.7146999999999997</v>
      </c>
      <c r="F96" s="202">
        <v>0.1996</v>
      </c>
      <c r="G96" s="201">
        <f t="shared" si="8"/>
        <v>7.9142999999999999</v>
      </c>
      <c r="H96" s="201">
        <v>7.7317</v>
      </c>
      <c r="I96" s="201">
        <f t="shared" si="9"/>
        <v>0.18259999999999987</v>
      </c>
      <c r="J96" s="201">
        <f t="shared" si="10"/>
        <v>1.7000000000000126E-2</v>
      </c>
      <c r="K96" s="280">
        <f t="shared" si="11"/>
        <v>8.5170340681363346</v>
      </c>
      <c r="L96" s="201">
        <v>38</v>
      </c>
      <c r="M96" s="205">
        <v>43187</v>
      </c>
      <c r="N96" s="205">
        <v>43187</v>
      </c>
      <c r="O96" s="201"/>
      <c r="P96" s="201"/>
      <c r="AB96" s="110" t="str">
        <f>IFERROR(INDEX('WetLitterbags placem_collection'!$A$3:$A$500,MATCH(A96,'WetLitterbags placem_collection'!$K$4:$K$500,0)),"")</f>
        <v/>
      </c>
      <c r="AC96" s="110">
        <f>IFERROR(INDEX('WetLitterbags placem_collection'!$A$3:$A$500,MATCH($A96,'WetLitterbags placem_collection'!$O$4:$O$500,0)),"")</f>
        <v>176</v>
      </c>
      <c r="AD96" s="110" t="str">
        <f>IFERROR(INDEX('WetLitterbags placem_collection'!$A$3:$A$500,MATCH($A96,'WetLitterbags placem_collection'!$M$4:$M$500,0)),"")</f>
        <v/>
      </c>
      <c r="AE96" s="110" t="str">
        <f>IFERROR(INDEX('WetLitterbags placem_collection'!$A$3:$A$500,MATCH($A96,'WetLitterbags placem_collection'!$Q$4:$Q$500,0)),"")</f>
        <v/>
      </c>
    </row>
    <row r="97" spans="1:31">
      <c r="A97" s="201" t="s">
        <v>1564</v>
      </c>
      <c r="C97" s="201">
        <v>95</v>
      </c>
      <c r="D97" s="201">
        <f>0.4463+F97</f>
        <v>0.65189999999999992</v>
      </c>
      <c r="E97" s="202">
        <v>7.7142999999999997</v>
      </c>
      <c r="F97" s="202">
        <v>0.2056</v>
      </c>
      <c r="G97" s="201">
        <f t="shared" si="8"/>
        <v>7.9199000000000002</v>
      </c>
      <c r="H97" s="201">
        <v>7.7495000000000003</v>
      </c>
      <c r="I97" s="201">
        <f t="shared" si="9"/>
        <v>0.17039999999999988</v>
      </c>
      <c r="J97" s="201">
        <f t="shared" si="10"/>
        <v>3.520000000000012E-2</v>
      </c>
      <c r="K97" s="280">
        <f t="shared" si="11"/>
        <v>17.120622568093445</v>
      </c>
      <c r="L97" s="201">
        <v>17</v>
      </c>
      <c r="M97" s="205">
        <v>43174</v>
      </c>
      <c r="N97" s="205">
        <v>43174</v>
      </c>
      <c r="O97" s="201" t="s">
        <v>2556</v>
      </c>
      <c r="P97" s="201" t="s">
        <v>2551</v>
      </c>
      <c r="AB97" s="110" t="str">
        <f>IFERROR(INDEX('WetLitterbags placem_collection'!$A$3:$A$500,MATCH(A97,'WetLitterbags placem_collection'!$K$4:$K$500,0)),"")</f>
        <v/>
      </c>
      <c r="AC97" s="110">
        <f>IFERROR(INDEX('WetLitterbags placem_collection'!$A$3:$A$500,MATCH($A97,'WetLitterbags placem_collection'!$O$4:$O$500,0)),"")</f>
        <v>94</v>
      </c>
      <c r="AD97" s="110" t="str">
        <f>IFERROR(INDEX('WetLitterbags placem_collection'!$A$3:$A$500,MATCH($A97,'WetLitterbags placem_collection'!$M$4:$M$500,0)),"")</f>
        <v/>
      </c>
      <c r="AE97" s="110" t="str">
        <f>IFERROR(INDEX('WetLitterbags placem_collection'!$A$3:$A$500,MATCH($A97,'WetLitterbags placem_collection'!$Q$4:$Q$500,0)),"")</f>
        <v/>
      </c>
    </row>
    <row r="98" spans="1:31">
      <c r="A98" s="201" t="s">
        <v>1561</v>
      </c>
      <c r="C98" s="201">
        <v>59</v>
      </c>
      <c r="D98" s="201">
        <v>0.69230000000000003</v>
      </c>
      <c r="E98" s="201">
        <v>9.8870000000000005</v>
      </c>
      <c r="F98" s="201">
        <v>0.20100000000000001</v>
      </c>
      <c r="G98" s="201">
        <f t="shared" ref="G98:G113" si="12">E98+F98</f>
        <v>10.088000000000001</v>
      </c>
      <c r="H98" s="201">
        <v>9.9093999999999998</v>
      </c>
      <c r="I98" s="201">
        <f t="shared" ref="I98:I113" si="13">(G98-H98)</f>
        <v>0.1786000000000012</v>
      </c>
      <c r="J98" s="201">
        <f t="shared" ref="J98:J113" si="14">F98-I98</f>
        <v>2.239999999999881E-2</v>
      </c>
      <c r="K98" s="280">
        <f t="shared" ref="K98:K113" si="15">(J98/F98)*100</f>
        <v>11.144278606964582</v>
      </c>
      <c r="L98" s="201">
        <v>4</v>
      </c>
      <c r="M98" s="205">
        <v>43188</v>
      </c>
      <c r="N98" s="205">
        <v>43188</v>
      </c>
      <c r="O98" s="201"/>
      <c r="P98" s="201"/>
      <c r="U98" s="202" t="s">
        <v>630</v>
      </c>
      <c r="V98" s="197">
        <v>0.72919999999999996</v>
      </c>
      <c r="W98" s="197">
        <f>(V98-$T$175+F96)</f>
        <v>0.92879999999999996</v>
      </c>
      <c r="AB98" s="110">
        <f>IFERROR(INDEX('WetLitterbags placem_collection'!$A$3:$A$500,MATCH(A98,'WetLitterbags placem_collection'!$K$4:$K$500,0)),"")</f>
        <v>58</v>
      </c>
      <c r="AC98" s="110" t="str">
        <f>IFERROR(INDEX('WetLitterbags placem_collection'!$A$3:$A$500,MATCH($A98,'WetLitterbags placem_collection'!$O$4:$O$500,0)),"")</f>
        <v/>
      </c>
      <c r="AD98" s="110" t="str">
        <f>IFERROR(INDEX('WetLitterbags placem_collection'!$A$3:$A$500,MATCH($A98,'WetLitterbags placem_collection'!$M$4:$M$500,0)),"")</f>
        <v/>
      </c>
      <c r="AE98" s="110" t="str">
        <f>IFERROR(INDEX('WetLitterbags placem_collection'!$A$3:$A$500,MATCH($A98,'WetLitterbags placem_collection'!$Q$4:$Q$500,0)),"")</f>
        <v/>
      </c>
    </row>
    <row r="99" spans="1:31">
      <c r="A99" s="197" t="s">
        <v>1559</v>
      </c>
      <c r="C99" s="201">
        <v>219</v>
      </c>
      <c r="D99" s="201">
        <v>0.4577</v>
      </c>
      <c r="E99" s="201">
        <v>7.8586999999999998</v>
      </c>
      <c r="F99" s="201">
        <v>0.2044</v>
      </c>
      <c r="G99" s="201">
        <f t="shared" si="12"/>
        <v>8.0631000000000004</v>
      </c>
      <c r="H99" s="201">
        <v>7.8825000000000003</v>
      </c>
      <c r="I99" s="201">
        <f t="shared" si="13"/>
        <v>0.18060000000000009</v>
      </c>
      <c r="J99" s="201">
        <f t="shared" si="14"/>
        <v>2.3799999999999905E-2</v>
      </c>
      <c r="K99" s="280">
        <f t="shared" si="15"/>
        <v>11.643835616438309</v>
      </c>
      <c r="L99" s="201">
        <v>11</v>
      </c>
      <c r="M99" s="203">
        <v>43164.628472222219</v>
      </c>
      <c r="N99" s="203">
        <v>43164.795138888891</v>
      </c>
      <c r="O99" s="197" t="s">
        <v>2550</v>
      </c>
      <c r="P99" s="201"/>
      <c r="AB99" s="110" t="str">
        <f>IFERROR(INDEX('WetLitterbags placem_collection'!$A$3:$A$500,MATCH(A99,'WetLitterbags placem_collection'!$K$4:$K$500,0)),"")</f>
        <v/>
      </c>
      <c r="AC99" s="110">
        <f>IFERROR(INDEX('WetLitterbags placem_collection'!$A$3:$A$500,MATCH($A99,'WetLitterbags placem_collection'!$O$4:$O$500,0)),"")</f>
        <v>218</v>
      </c>
      <c r="AD99" s="110" t="str">
        <f>IFERROR(INDEX('WetLitterbags placem_collection'!$A$3:$A$500,MATCH($A99,'WetLitterbags placem_collection'!$M$4:$M$500,0)),"")</f>
        <v/>
      </c>
      <c r="AE99" s="110" t="str">
        <f>IFERROR(INDEX('WetLitterbags placem_collection'!$A$3:$A$500,MATCH($A99,'WetLitterbags placem_collection'!$Q$4:$Q$500,0)),"")</f>
        <v/>
      </c>
    </row>
    <row r="100" spans="1:31">
      <c r="A100" s="197" t="s">
        <v>1558</v>
      </c>
      <c r="C100" s="197">
        <v>23</v>
      </c>
      <c r="D100" s="197">
        <v>0.55379999999999996</v>
      </c>
      <c r="E100" s="197">
        <v>8.2187999999999999</v>
      </c>
      <c r="F100" s="197">
        <v>0.19950000000000001</v>
      </c>
      <c r="G100" s="197">
        <f t="shared" si="12"/>
        <v>8.4183000000000003</v>
      </c>
      <c r="H100" s="197">
        <v>8.2416999999999998</v>
      </c>
      <c r="I100" s="197">
        <f t="shared" si="13"/>
        <v>0.17660000000000053</v>
      </c>
      <c r="J100" s="201">
        <f t="shared" si="14"/>
        <v>2.2899999999999476E-2</v>
      </c>
      <c r="K100" s="280">
        <f t="shared" si="15"/>
        <v>11.478696741854373</v>
      </c>
      <c r="L100" s="197">
        <v>23</v>
      </c>
      <c r="M100" s="197" t="s">
        <v>2586</v>
      </c>
      <c r="N100" s="197" t="s">
        <v>2585</v>
      </c>
      <c r="O100" s="197" t="s">
        <v>2550</v>
      </c>
      <c r="AB100" s="110">
        <f>IFERROR(INDEX('WetLitterbags placem_collection'!$A$3:$A$500,MATCH(A100,'WetLitterbags placem_collection'!$K$4:$K$500,0)),"")</f>
        <v>22</v>
      </c>
      <c r="AC100" s="110" t="str">
        <f>IFERROR(INDEX('WetLitterbags placem_collection'!$A$3:$A$500,MATCH($A100,'WetLitterbags placem_collection'!$O$4:$O$500,0)),"")</f>
        <v/>
      </c>
      <c r="AD100" s="110" t="str">
        <f>IFERROR(INDEX('WetLitterbags placem_collection'!$A$3:$A$500,MATCH($A100,'WetLitterbags placem_collection'!$M$4:$M$500,0)),"")</f>
        <v/>
      </c>
      <c r="AE100" s="110" t="str">
        <f>IFERROR(INDEX('WetLitterbags placem_collection'!$A$3:$A$500,MATCH($A100,'WetLitterbags placem_collection'!$Q$4:$Q$500,0)),"")</f>
        <v/>
      </c>
    </row>
    <row r="101" spans="1:31">
      <c r="A101" s="201" t="s">
        <v>1556</v>
      </c>
      <c r="C101" s="201">
        <v>83</v>
      </c>
      <c r="D101" s="202">
        <v>0.66449999999999998</v>
      </c>
      <c r="E101" s="201">
        <v>9.3219999999999992</v>
      </c>
      <c r="F101" s="202">
        <v>0.20349999999999999</v>
      </c>
      <c r="G101" s="201">
        <f t="shared" si="12"/>
        <v>9.5254999999999992</v>
      </c>
      <c r="H101" s="201">
        <v>9.3597000000000001</v>
      </c>
      <c r="I101" s="201">
        <f t="shared" si="13"/>
        <v>0.16579999999999906</v>
      </c>
      <c r="J101" s="201">
        <f t="shared" si="14"/>
        <v>3.7700000000000927E-2</v>
      </c>
      <c r="K101" s="280">
        <f t="shared" si="15"/>
        <v>18.525798525798983</v>
      </c>
      <c r="L101" s="201">
        <v>4</v>
      </c>
      <c r="M101" s="205">
        <v>43206</v>
      </c>
      <c r="N101" s="205">
        <v>43206</v>
      </c>
      <c r="O101" s="201"/>
      <c r="P101" s="201"/>
      <c r="AB101" s="110">
        <f>IFERROR(INDEX('WetLitterbags placem_collection'!$A$3:$A$500,MATCH(A101,'WetLitterbags placem_collection'!$K$4:$K$500,0)),"")</f>
        <v>82</v>
      </c>
      <c r="AC101" s="110" t="str">
        <f>IFERROR(INDEX('WetLitterbags placem_collection'!$A$3:$A$500,MATCH($A101,'WetLitterbags placem_collection'!$O$4:$O$500,0)),"")</f>
        <v/>
      </c>
      <c r="AD101" s="110" t="str">
        <f>IFERROR(INDEX('WetLitterbags placem_collection'!$A$3:$A$500,MATCH($A101,'WetLitterbags placem_collection'!$M$4:$M$500,0)),"")</f>
        <v/>
      </c>
      <c r="AE101" s="110" t="str">
        <f>IFERROR(INDEX('WetLitterbags placem_collection'!$A$3:$A$500,MATCH($A101,'WetLitterbags placem_collection'!$Q$4:$Q$500,0)),"")</f>
        <v/>
      </c>
    </row>
    <row r="102" spans="1:31">
      <c r="A102" s="201" t="s">
        <v>1554</v>
      </c>
      <c r="C102" s="201">
        <v>169</v>
      </c>
      <c r="D102" s="201">
        <v>0.37340000000000001</v>
      </c>
      <c r="E102" s="201">
        <v>11.0869</v>
      </c>
      <c r="F102" s="202">
        <v>0.20369999999999999</v>
      </c>
      <c r="G102" s="201">
        <f t="shared" si="12"/>
        <v>11.2906</v>
      </c>
      <c r="H102" s="201">
        <v>11.1061</v>
      </c>
      <c r="I102" s="197">
        <f t="shared" si="13"/>
        <v>0.18449999999999989</v>
      </c>
      <c r="J102" s="201">
        <f t="shared" si="14"/>
        <v>1.9200000000000106E-2</v>
      </c>
      <c r="K102" s="280">
        <f t="shared" si="15"/>
        <v>9.4256259204713331</v>
      </c>
      <c r="L102" s="201">
        <v>22</v>
      </c>
      <c r="M102" s="205">
        <v>43187</v>
      </c>
      <c r="N102" s="205">
        <v>43187</v>
      </c>
      <c r="O102" s="201"/>
      <c r="P102" s="201"/>
      <c r="AB102" s="110" t="str">
        <f>IFERROR(INDEX('WetLitterbags placem_collection'!$A$3:$A$500,MATCH(A102,'WetLitterbags placem_collection'!$K$4:$K$500,0)),"")</f>
        <v/>
      </c>
      <c r="AC102" s="110">
        <f>IFERROR(INDEX('WetLitterbags placem_collection'!$A$3:$A$500,MATCH($A102,'WetLitterbags placem_collection'!$O$4:$O$500,0)),"")</f>
        <v>168</v>
      </c>
      <c r="AD102" s="110" t="str">
        <f>IFERROR(INDEX('WetLitterbags placem_collection'!$A$3:$A$500,MATCH($A102,'WetLitterbags placem_collection'!$M$4:$M$500,0)),"")</f>
        <v/>
      </c>
      <c r="AE102" s="110" t="str">
        <f>IFERROR(INDEX('WetLitterbags placem_collection'!$A$3:$A$500,MATCH($A102,'WetLitterbags placem_collection'!$Q$4:$Q$500,0)),"")</f>
        <v/>
      </c>
    </row>
    <row r="103" spans="1:31">
      <c r="A103" s="197" t="s">
        <v>1553</v>
      </c>
      <c r="C103" s="197">
        <v>5</v>
      </c>
      <c r="D103" s="197">
        <v>0.27200000000000002</v>
      </c>
      <c r="E103" s="202">
        <v>8.7027000000000001</v>
      </c>
      <c r="F103" s="202">
        <v>0.20880000000000001</v>
      </c>
      <c r="G103" s="201">
        <f t="shared" si="12"/>
        <v>8.9115000000000002</v>
      </c>
      <c r="H103" s="201">
        <v>8.7432999999999996</v>
      </c>
      <c r="I103" s="201">
        <f t="shared" si="13"/>
        <v>0.16820000000000057</v>
      </c>
      <c r="J103" s="201">
        <f t="shared" si="14"/>
        <v>4.0599999999999442E-2</v>
      </c>
      <c r="K103" s="280">
        <f t="shared" si="15"/>
        <v>19.444444444444176</v>
      </c>
      <c r="L103" s="201">
        <v>12</v>
      </c>
      <c r="M103" s="204">
        <v>43221</v>
      </c>
      <c r="N103" s="204">
        <v>43221</v>
      </c>
      <c r="AB103" s="110">
        <f>IFERROR(INDEX('WetLitterbags placem_collection'!$A$3:$A$500,MATCH(A103,'WetLitterbags placem_collection'!$K$4:$K$500,0)),"")</f>
        <v>4</v>
      </c>
      <c r="AC103" s="110" t="str">
        <f>IFERROR(INDEX('WetLitterbags placem_collection'!$A$3:$A$500,MATCH($A103,'WetLitterbags placem_collection'!$O$4:$O$500,0)),"")</f>
        <v/>
      </c>
      <c r="AD103" s="110" t="str">
        <f>IFERROR(INDEX('WetLitterbags placem_collection'!$A$3:$A$500,MATCH($A103,'WetLitterbags placem_collection'!$M$4:$M$500,0)),"")</f>
        <v/>
      </c>
      <c r="AE103" s="110" t="str">
        <f>IFERROR(INDEX('WetLitterbags placem_collection'!$A$3:$A$500,MATCH($A103,'WetLitterbags placem_collection'!$Q$4:$Q$500,0)),"")</f>
        <v/>
      </c>
    </row>
    <row r="104" spans="1:31">
      <c r="A104" s="197" t="s">
        <v>1552</v>
      </c>
      <c r="C104" s="198">
        <v>73</v>
      </c>
      <c r="D104" s="197">
        <v>0.52549999999999997</v>
      </c>
      <c r="E104" s="201">
        <v>11.033200000000001</v>
      </c>
      <c r="F104" s="202">
        <v>0.19969999999999999</v>
      </c>
      <c r="G104" s="201">
        <f t="shared" si="12"/>
        <v>11.232900000000001</v>
      </c>
      <c r="H104" s="201">
        <v>11.0496</v>
      </c>
      <c r="I104" s="201">
        <f t="shared" si="13"/>
        <v>0.18330000000000091</v>
      </c>
      <c r="J104" s="201">
        <f t="shared" si="14"/>
        <v>1.6399999999999082E-2</v>
      </c>
      <c r="K104" s="280">
        <f t="shared" si="15"/>
        <v>8.2123184777161153</v>
      </c>
      <c r="L104" s="201">
        <v>6</v>
      </c>
      <c r="M104" s="204">
        <v>43213</v>
      </c>
      <c r="N104" s="204">
        <v>43213</v>
      </c>
      <c r="AB104" s="110" t="str">
        <f>IFERROR(INDEX('WetLitterbags placem_collection'!$A$3:$A$500,MATCH(A104,'WetLitterbags placem_collection'!$K$4:$K$500,0)),"")</f>
        <v/>
      </c>
      <c r="AC104" s="110">
        <f>IFERROR(INDEX('WetLitterbags placem_collection'!$A$3:$A$500,MATCH($A104,'WetLitterbags placem_collection'!$O$4:$O$500,0)),"")</f>
        <v>72</v>
      </c>
      <c r="AD104" s="110" t="str">
        <f>IFERROR(INDEX('WetLitterbags placem_collection'!$A$3:$A$500,MATCH($A104,'WetLitterbags placem_collection'!$M$4:$M$500,0)),"")</f>
        <v/>
      </c>
      <c r="AE104" s="110" t="str">
        <f>IFERROR(INDEX('WetLitterbags placem_collection'!$A$3:$A$500,MATCH($A104,'WetLitterbags placem_collection'!$Q$4:$Q$500,0)),"")</f>
        <v/>
      </c>
    </row>
    <row r="105" spans="1:31">
      <c r="A105" s="206" t="s">
        <v>1551</v>
      </c>
      <c r="C105" s="201">
        <v>38</v>
      </c>
      <c r="D105" s="201">
        <v>0.53339999999999999</v>
      </c>
      <c r="E105" s="202">
        <v>7.0739999999999998</v>
      </c>
      <c r="F105" s="202">
        <v>0.20050000000000001</v>
      </c>
      <c r="G105" s="201">
        <f t="shared" si="12"/>
        <v>7.2744999999999997</v>
      </c>
      <c r="H105" s="201">
        <v>7.1116999999999999</v>
      </c>
      <c r="I105" s="201">
        <f t="shared" si="13"/>
        <v>0.16279999999999983</v>
      </c>
      <c r="J105" s="201">
        <f t="shared" si="14"/>
        <v>3.7700000000000178E-2</v>
      </c>
      <c r="K105" s="280">
        <f t="shared" si="15"/>
        <v>18.802992518703331</v>
      </c>
      <c r="L105" s="201">
        <v>29</v>
      </c>
      <c r="M105" s="205">
        <v>43188</v>
      </c>
      <c r="N105" s="205">
        <v>43188</v>
      </c>
      <c r="O105" s="201"/>
      <c r="P105" s="201"/>
      <c r="AB105" s="110">
        <f>IFERROR(INDEX('WetLitterbags placem_collection'!$A$3:$A$500,MATCH(A105,'WetLitterbags placem_collection'!$K$4:$K$500,0)),"")</f>
        <v>37</v>
      </c>
      <c r="AC105" s="110" t="str">
        <f>IFERROR(INDEX('WetLitterbags placem_collection'!$A$3:$A$500,MATCH($A105,'WetLitterbags placem_collection'!$O$4:$O$500,0)),"")</f>
        <v/>
      </c>
      <c r="AD105" s="110" t="str">
        <f>IFERROR(INDEX('WetLitterbags placem_collection'!$A$3:$A$500,MATCH($A105,'WetLitterbags placem_collection'!$M$4:$M$500,0)),"")</f>
        <v/>
      </c>
      <c r="AE105" s="110" t="str">
        <f>IFERROR(INDEX('WetLitterbags placem_collection'!$A$3:$A$500,MATCH($A105,'WetLitterbags placem_collection'!$Q$4:$Q$500,0)),"")</f>
        <v/>
      </c>
    </row>
    <row r="106" spans="1:31">
      <c r="A106" s="197" t="s">
        <v>1550</v>
      </c>
      <c r="C106" s="197">
        <v>30</v>
      </c>
      <c r="D106" s="197">
        <v>0.42280000000000001</v>
      </c>
      <c r="E106" s="202">
        <v>7.8388999999999998</v>
      </c>
      <c r="F106" s="202">
        <v>0.2036</v>
      </c>
      <c r="G106" s="201">
        <f t="shared" si="12"/>
        <v>8.0425000000000004</v>
      </c>
      <c r="H106" s="201">
        <v>7.8612000000000002</v>
      </c>
      <c r="I106" s="201">
        <f t="shared" si="13"/>
        <v>0.18130000000000024</v>
      </c>
      <c r="J106" s="201">
        <f t="shared" si="14"/>
        <v>2.2299999999999764E-2</v>
      </c>
      <c r="K106" s="280">
        <f t="shared" si="15"/>
        <v>10.952848722986133</v>
      </c>
      <c r="L106" s="201">
        <v>2</v>
      </c>
      <c r="AB106" s="110" t="str">
        <f>IFERROR(INDEX('WetLitterbags placem_collection'!$A$3:$A$500,MATCH(A106,'WetLitterbags placem_collection'!$K$4:$K$500,0)),"")</f>
        <v/>
      </c>
      <c r="AC106" s="110">
        <f>IFERROR(INDEX('WetLitterbags placem_collection'!$A$3:$A$500,MATCH($A106,'WetLitterbags placem_collection'!$O$4:$O$500,0)),"")</f>
        <v>29</v>
      </c>
      <c r="AD106" s="110" t="str">
        <f>IFERROR(INDEX('WetLitterbags placem_collection'!$A$3:$A$500,MATCH($A106,'WetLitterbags placem_collection'!$M$4:$M$500,0)),"")</f>
        <v/>
      </c>
      <c r="AE106" s="110" t="str">
        <f>IFERROR(INDEX('WetLitterbags placem_collection'!$A$3:$A$500,MATCH($A106,'WetLitterbags placem_collection'!$Q$4:$Q$500,0)),"")</f>
        <v/>
      </c>
    </row>
    <row r="107" spans="1:31">
      <c r="A107" s="197" t="s">
        <v>1548</v>
      </c>
      <c r="C107" s="198">
        <v>28</v>
      </c>
      <c r="D107" s="197">
        <v>0.41510000000000002</v>
      </c>
      <c r="E107" s="202">
        <v>7.19</v>
      </c>
      <c r="F107" s="202">
        <v>0.20469999999999999</v>
      </c>
      <c r="G107" s="201">
        <f t="shared" si="12"/>
        <v>7.3947000000000003</v>
      </c>
      <c r="H107" s="201">
        <v>7.2107999999999999</v>
      </c>
      <c r="I107" s="201">
        <f t="shared" si="13"/>
        <v>0.1839000000000004</v>
      </c>
      <c r="J107" s="201">
        <f t="shared" si="14"/>
        <v>2.0799999999999597E-2</v>
      </c>
      <c r="K107" s="280">
        <f t="shared" si="15"/>
        <v>10.16121152906673</v>
      </c>
      <c r="L107" s="201">
        <v>1</v>
      </c>
      <c r="M107" s="204">
        <v>43221</v>
      </c>
      <c r="N107" s="204">
        <v>43221</v>
      </c>
      <c r="AB107" s="110" t="str">
        <f>IFERROR(INDEX('WetLitterbags placem_collection'!$A$3:$A$500,MATCH(A107,'WetLitterbags placem_collection'!$K$4:$K$500,0)),"")</f>
        <v/>
      </c>
      <c r="AC107" s="110">
        <f>IFERROR(INDEX('WetLitterbags placem_collection'!$A$3:$A$500,MATCH($A107,'WetLitterbags placem_collection'!$O$4:$O$500,0)),"")</f>
        <v>27</v>
      </c>
      <c r="AD107" s="110" t="str">
        <f>IFERROR(INDEX('WetLitterbags placem_collection'!$A$3:$A$500,MATCH($A107,'WetLitterbags placem_collection'!$M$4:$M$500,0)),"")</f>
        <v/>
      </c>
      <c r="AE107" s="110" t="str">
        <f>IFERROR(INDEX('WetLitterbags placem_collection'!$A$3:$A$500,MATCH($A107,'WetLitterbags placem_collection'!$Q$4:$Q$500,0)),"")</f>
        <v/>
      </c>
    </row>
    <row r="108" spans="1:31">
      <c r="A108" s="206" t="s">
        <v>1547</v>
      </c>
      <c r="C108" s="197">
        <v>14</v>
      </c>
      <c r="D108" s="202">
        <v>0.31840000000000002</v>
      </c>
      <c r="E108" s="202">
        <v>9.2353000000000005</v>
      </c>
      <c r="F108" s="202">
        <v>0.20200000000000001</v>
      </c>
      <c r="G108" s="201">
        <f t="shared" si="12"/>
        <v>9.4373000000000005</v>
      </c>
      <c r="H108" s="201">
        <v>9.2614999999999998</v>
      </c>
      <c r="I108" s="201">
        <f t="shared" si="13"/>
        <v>0.17580000000000062</v>
      </c>
      <c r="J108" s="201">
        <f t="shared" si="14"/>
        <v>2.619999999999939E-2</v>
      </c>
      <c r="K108" s="280">
        <f t="shared" si="15"/>
        <v>12.970297029702667</v>
      </c>
      <c r="L108" s="201">
        <v>26</v>
      </c>
      <c r="M108" s="205">
        <v>43199</v>
      </c>
      <c r="N108" s="205">
        <v>43199</v>
      </c>
      <c r="O108" s="201"/>
      <c r="P108" s="201"/>
      <c r="AB108" s="110" t="str">
        <f>IFERROR(INDEX('WetLitterbags placem_collection'!$A$3:$A$500,MATCH(A108,'WetLitterbags placem_collection'!$K$4:$K$500,0)),"")</f>
        <v/>
      </c>
      <c r="AC108" s="110">
        <f>IFERROR(INDEX('WetLitterbags placem_collection'!$A$3:$A$500,MATCH($A108,'WetLitterbags placem_collection'!$O$4:$O$500,0)),"")</f>
        <v>13</v>
      </c>
      <c r="AD108" s="110" t="str">
        <f>IFERROR(INDEX('WetLitterbags placem_collection'!$A$3:$A$500,MATCH($A108,'WetLitterbags placem_collection'!$M$4:$M$500,0)),"")</f>
        <v/>
      </c>
      <c r="AE108" s="110" t="str">
        <f>IFERROR(INDEX('WetLitterbags placem_collection'!$A$3:$A$500,MATCH($A108,'WetLitterbags placem_collection'!$Q$4:$Q$500,0)),"")</f>
        <v/>
      </c>
    </row>
    <row r="109" spans="1:31">
      <c r="A109" s="201" t="s">
        <v>1546</v>
      </c>
      <c r="C109" s="201">
        <v>171</v>
      </c>
      <c r="D109" s="201">
        <v>0.36259999999999998</v>
      </c>
      <c r="E109" s="202">
        <v>8.8628999999999998</v>
      </c>
      <c r="F109" s="202">
        <v>0.20030000000000001</v>
      </c>
      <c r="G109" s="201">
        <f t="shared" si="12"/>
        <v>9.0632000000000001</v>
      </c>
      <c r="H109" s="201">
        <v>8.8802000000000003</v>
      </c>
      <c r="I109" s="201">
        <f t="shared" si="13"/>
        <v>0.18299999999999983</v>
      </c>
      <c r="J109" s="201">
        <f t="shared" si="14"/>
        <v>1.7300000000000176E-2</v>
      </c>
      <c r="K109" s="280">
        <f t="shared" si="15"/>
        <v>8.6370444333500629</v>
      </c>
      <c r="L109" s="201">
        <v>10</v>
      </c>
      <c r="M109" s="205">
        <v>43174</v>
      </c>
      <c r="N109" s="205">
        <v>43174</v>
      </c>
      <c r="O109" s="201" t="s">
        <v>2556</v>
      </c>
      <c r="P109" s="201" t="s">
        <v>2551</v>
      </c>
      <c r="AB109" s="110" t="str">
        <f>IFERROR(INDEX('WetLitterbags placem_collection'!$A$3:$A$500,MATCH(A109,'WetLitterbags placem_collection'!$K$4:$K$500,0)),"")</f>
        <v/>
      </c>
      <c r="AC109" s="110">
        <f>IFERROR(INDEX('WetLitterbags placem_collection'!$A$3:$A$500,MATCH($A109,'WetLitterbags placem_collection'!$O$4:$O$500,0)),"")</f>
        <v>170</v>
      </c>
      <c r="AD109" s="110" t="str">
        <f>IFERROR(INDEX('WetLitterbags placem_collection'!$A$3:$A$500,MATCH($A109,'WetLitterbags placem_collection'!$M$4:$M$500,0)),"")</f>
        <v/>
      </c>
      <c r="AE109" s="110" t="str">
        <f>IFERROR(INDEX('WetLitterbags placem_collection'!$A$3:$A$500,MATCH($A109,'WetLitterbags placem_collection'!$Q$4:$Q$500,0)),"")</f>
        <v/>
      </c>
    </row>
    <row r="110" spans="1:31">
      <c r="A110" s="197" t="s">
        <v>1545</v>
      </c>
      <c r="C110" s="197">
        <v>20</v>
      </c>
      <c r="D110" s="197">
        <v>0.4824</v>
      </c>
      <c r="E110" s="197">
        <v>7.7733999999999996</v>
      </c>
      <c r="F110" s="197">
        <v>0.20100000000000001</v>
      </c>
      <c r="G110" s="197">
        <f t="shared" si="12"/>
        <v>7.9743999999999993</v>
      </c>
      <c r="H110" s="197">
        <v>7.7953999999999999</v>
      </c>
      <c r="I110" s="197">
        <f t="shared" si="13"/>
        <v>0.17899999999999938</v>
      </c>
      <c r="J110" s="201">
        <f t="shared" si="14"/>
        <v>2.200000000000063E-2</v>
      </c>
      <c r="K110" s="280">
        <f t="shared" si="15"/>
        <v>10.945273631841108</v>
      </c>
      <c r="L110" s="197">
        <v>8</v>
      </c>
      <c r="M110" s="197" t="s">
        <v>2586</v>
      </c>
      <c r="N110" s="197" t="s">
        <v>2585</v>
      </c>
      <c r="O110" s="197" t="s">
        <v>2550</v>
      </c>
      <c r="AB110" s="110" t="str">
        <f>IFERROR(INDEX('WetLitterbags placem_collection'!$A$3:$A$500,MATCH(A110,'WetLitterbags placem_collection'!$K$4:$K$500,0)),"")</f>
        <v/>
      </c>
      <c r="AC110" s="110">
        <f>IFERROR(INDEX('WetLitterbags placem_collection'!$A$3:$A$500,MATCH($A110,'WetLitterbags placem_collection'!$O$4:$O$500,0)),"")</f>
        <v>19</v>
      </c>
      <c r="AD110" s="110" t="str">
        <f>IFERROR(INDEX('WetLitterbags placem_collection'!$A$3:$A$500,MATCH($A110,'WetLitterbags placem_collection'!$M$4:$M$500,0)),"")</f>
        <v/>
      </c>
      <c r="AE110" s="110" t="str">
        <f>IFERROR(INDEX('WetLitterbags placem_collection'!$A$3:$A$500,MATCH($A110,'WetLitterbags placem_collection'!$Q$4:$Q$500,0)),"")</f>
        <v/>
      </c>
    </row>
    <row r="111" spans="1:31">
      <c r="A111" s="197" t="s">
        <v>1544</v>
      </c>
      <c r="C111" s="198">
        <v>26</v>
      </c>
      <c r="D111" s="197">
        <v>0.47610000000000002</v>
      </c>
      <c r="E111" s="202">
        <v>10.617699999999999</v>
      </c>
      <c r="F111" s="202">
        <v>0.2009</v>
      </c>
      <c r="G111" s="201">
        <f t="shared" si="12"/>
        <v>10.8186</v>
      </c>
      <c r="H111" s="201">
        <v>10.6349</v>
      </c>
      <c r="I111" s="201">
        <f t="shared" si="13"/>
        <v>0.18369999999999997</v>
      </c>
      <c r="J111" s="201">
        <f t="shared" si="14"/>
        <v>1.7200000000000021E-2</v>
      </c>
      <c r="K111" s="280">
        <f t="shared" si="15"/>
        <v>8.561473369835749</v>
      </c>
      <c r="L111" s="201">
        <v>31</v>
      </c>
      <c r="M111" s="204">
        <v>43221</v>
      </c>
      <c r="N111" s="204">
        <v>43221</v>
      </c>
      <c r="AB111" s="110" t="str">
        <f>IFERROR(INDEX('WetLitterbags placem_collection'!$A$3:$A$500,MATCH(A111,'WetLitterbags placem_collection'!$K$4:$K$500,0)),"")</f>
        <v/>
      </c>
      <c r="AC111" s="110">
        <f>IFERROR(INDEX('WetLitterbags placem_collection'!$A$3:$A$500,MATCH($A111,'WetLitterbags placem_collection'!$O$4:$O$500,0)),"")</f>
        <v>25</v>
      </c>
      <c r="AD111" s="110" t="str">
        <f>IFERROR(INDEX('WetLitterbags placem_collection'!$A$3:$A$500,MATCH($A111,'WetLitterbags placem_collection'!$M$4:$M$500,0)),"")</f>
        <v/>
      </c>
      <c r="AE111" s="110" t="str">
        <f>IFERROR(INDEX('WetLitterbags placem_collection'!$A$3:$A$500,MATCH($A111,'WetLitterbags placem_collection'!$Q$4:$Q$500,0)),"")</f>
        <v/>
      </c>
    </row>
    <row r="112" spans="1:31">
      <c r="A112" s="206" t="s">
        <v>1543</v>
      </c>
      <c r="C112" s="201">
        <v>36</v>
      </c>
      <c r="D112" s="202">
        <v>0.48480000000000001</v>
      </c>
      <c r="E112" s="202">
        <v>10.521000000000001</v>
      </c>
      <c r="F112" s="202">
        <v>0.20599999999999999</v>
      </c>
      <c r="G112" s="201">
        <f t="shared" si="12"/>
        <v>10.727</v>
      </c>
      <c r="H112" s="201">
        <v>10.5381</v>
      </c>
      <c r="I112" s="201">
        <f t="shared" si="13"/>
        <v>0.18890000000000029</v>
      </c>
      <c r="J112" s="201">
        <f t="shared" si="14"/>
        <v>1.7099999999999699E-2</v>
      </c>
      <c r="K112" s="280">
        <f t="shared" si="15"/>
        <v>8.3009708737862624</v>
      </c>
      <c r="L112" s="201">
        <v>23</v>
      </c>
      <c r="M112" s="205">
        <v>43199</v>
      </c>
      <c r="N112" s="205">
        <v>43199</v>
      </c>
      <c r="O112" s="201"/>
      <c r="P112" s="206" t="s">
        <v>2595</v>
      </c>
      <c r="AB112" s="110">
        <f>IFERROR(INDEX('WetLitterbags placem_collection'!$A$3:$A$500,MATCH(A112,'WetLitterbags placem_collection'!$K$4:$K$500,0)),"")</f>
        <v>35</v>
      </c>
      <c r="AC112" s="110" t="str">
        <f>IFERROR(INDEX('WetLitterbags placem_collection'!$A$3:$A$500,MATCH($A112,'WetLitterbags placem_collection'!$O$4:$O$500,0)),"")</f>
        <v/>
      </c>
      <c r="AD112" s="110" t="str">
        <f>IFERROR(INDEX('WetLitterbags placem_collection'!$A$3:$A$500,MATCH($A112,'WetLitterbags placem_collection'!$M$4:$M$500,0)),"")</f>
        <v/>
      </c>
      <c r="AE112" s="110" t="str">
        <f>IFERROR(INDEX('WetLitterbags placem_collection'!$A$3:$A$500,MATCH($A112,'WetLitterbags placem_collection'!$Q$4:$Q$500,0)),"")</f>
        <v/>
      </c>
    </row>
    <row r="113" spans="1:31">
      <c r="A113" s="206" t="s">
        <v>1542</v>
      </c>
      <c r="C113" s="201">
        <v>208</v>
      </c>
      <c r="D113" s="201">
        <v>0.60719999999999996</v>
      </c>
      <c r="E113" s="201">
        <v>7.0932000000000004</v>
      </c>
      <c r="F113" s="201">
        <v>0.20119999999999999</v>
      </c>
      <c r="G113" s="201">
        <f t="shared" si="12"/>
        <v>7.2944000000000004</v>
      </c>
      <c r="H113" s="201">
        <v>7.1178999999999997</v>
      </c>
      <c r="I113" s="201">
        <f t="shared" si="13"/>
        <v>0.17650000000000077</v>
      </c>
      <c r="J113" s="201">
        <f t="shared" si="14"/>
        <v>2.4699999999999223E-2</v>
      </c>
      <c r="K113" s="280">
        <f t="shared" si="15"/>
        <v>12.276341948309753</v>
      </c>
      <c r="L113" s="201">
        <v>7</v>
      </c>
      <c r="M113" s="203">
        <v>43171.520833333336</v>
      </c>
      <c r="N113" s="203">
        <v>43171.6875</v>
      </c>
      <c r="O113" s="197" t="s">
        <v>2550</v>
      </c>
      <c r="P113" s="201"/>
      <c r="AB113" s="110" t="str">
        <f>IFERROR(INDEX('WetLitterbags placem_collection'!$A$3:$A$500,MATCH(A113,'WetLitterbags placem_collection'!$K$4:$K$500,0)),"")</f>
        <v/>
      </c>
      <c r="AC113" s="110">
        <f>IFERROR(INDEX('WetLitterbags placem_collection'!$A$3:$A$500,MATCH($A113,'WetLitterbags placem_collection'!$O$4:$O$500,0)),"")</f>
        <v>207</v>
      </c>
      <c r="AD113" s="110" t="str">
        <f>IFERROR(INDEX('WetLitterbags placem_collection'!$A$3:$A$500,MATCH($A113,'WetLitterbags placem_collection'!$M$4:$M$500,0)),"")</f>
        <v/>
      </c>
      <c r="AE113" s="110" t="str">
        <f>IFERROR(INDEX('WetLitterbags placem_collection'!$A$3:$A$500,MATCH($A113,'WetLitterbags placem_collection'!$Q$4:$Q$500,0)),"")</f>
        <v/>
      </c>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t="str">
        <f>IFERROR(INDEX('WetLitterbags placem_collection'!$A$3:$A$500,MATCH(A114,'WetLitterbags placem_collection'!$K$4:$K$500,0)),"")</f>
        <v/>
      </c>
      <c r="AC114" s="110">
        <f>IFERROR(INDEX('WetLitterbags placem_collection'!$A$3:$A$500,MATCH($A114,'WetLitterbags placem_collection'!$O$4:$O$500,0)),"")</f>
        <v>76</v>
      </c>
      <c r="AD114" s="110" t="str">
        <f>IFERROR(INDEX('WetLitterbags placem_collection'!$A$3:$A$500,MATCH($A114,'WetLitterbags placem_collection'!$M$4:$M$500,0)),"")</f>
        <v/>
      </c>
      <c r="AE114" s="110" t="str">
        <f>IFERROR(INDEX('WetLitterbags placem_collection'!$A$3:$A$500,MATCH($A114,'WetLitterbags placem_collection'!$Q$4:$Q$500,0)),"")</f>
        <v/>
      </c>
    </row>
    <row r="115" spans="1:31">
      <c r="A115" s="197" t="s">
        <v>1539</v>
      </c>
      <c r="C115" s="197">
        <v>71</v>
      </c>
      <c r="D115" s="197">
        <v>0.65559999999999996</v>
      </c>
      <c r="E115" s="202">
        <v>8.1356999999999999</v>
      </c>
      <c r="F115" s="202">
        <v>0.20030000000000001</v>
      </c>
      <c r="G115" s="201">
        <f t="shared" ref="G115:G178" si="16">E115+F115</f>
        <v>8.3360000000000003</v>
      </c>
      <c r="H115" s="201">
        <v>8.1544000000000008</v>
      </c>
      <c r="I115" s="201">
        <f t="shared" ref="I115:I178" si="17">(G115-H115)</f>
        <v>0.18159999999999954</v>
      </c>
      <c r="J115" s="201">
        <f t="shared" ref="J115:J178" si="18">F115-I115</f>
        <v>1.8700000000000466E-2</v>
      </c>
      <c r="K115" s="280">
        <f t="shared" ref="K115:K178" si="19">(J115/F115)*100</f>
        <v>9.3359960059912463</v>
      </c>
      <c r="L115" s="201">
        <v>18</v>
      </c>
      <c r="AB115" s="110">
        <f>IFERROR(INDEX('WetLitterbags placem_collection'!$A$3:$A$500,MATCH(A115,'WetLitterbags placem_collection'!$K$4:$K$500,0)),"")</f>
        <v>70</v>
      </c>
      <c r="AC115" s="110" t="str">
        <f>IFERROR(INDEX('WetLitterbags placem_collection'!$A$3:$A$500,MATCH($A115,'WetLitterbags placem_collection'!$O$4:$O$500,0)),"")</f>
        <v/>
      </c>
      <c r="AD115" s="110" t="str">
        <f>IFERROR(INDEX('WetLitterbags placem_collection'!$A$3:$A$500,MATCH($A115,'WetLitterbags placem_collection'!$M$4:$M$500,0)),"")</f>
        <v/>
      </c>
      <c r="AE115" s="110" t="str">
        <f>IFERROR(INDEX('WetLitterbags placem_collection'!$A$3:$A$500,MATCH($A115,'WetLitterbags placem_collection'!$Q$4:$Q$500,0)),"")</f>
        <v/>
      </c>
    </row>
    <row r="116" spans="1:31">
      <c r="A116" s="197" t="s">
        <v>1538</v>
      </c>
      <c r="C116" s="201">
        <v>47</v>
      </c>
      <c r="D116" s="201">
        <v>0.56459999999999999</v>
      </c>
      <c r="E116" s="201">
        <v>8.7022999999999993</v>
      </c>
      <c r="F116" s="202">
        <v>0.19969999999999999</v>
      </c>
      <c r="G116" s="201">
        <f t="shared" si="16"/>
        <v>8.9019999999999992</v>
      </c>
      <c r="H116" s="201">
        <v>8.7187000000000001</v>
      </c>
      <c r="I116" s="201">
        <f t="shared" si="17"/>
        <v>0.18329999999999913</v>
      </c>
      <c r="J116" s="201">
        <f t="shared" si="18"/>
        <v>1.6400000000000858E-2</v>
      </c>
      <c r="K116" s="280">
        <f t="shared" si="19"/>
        <v>8.2123184777170053</v>
      </c>
      <c r="L116" s="201">
        <v>20</v>
      </c>
      <c r="M116" s="205">
        <v>43211</v>
      </c>
      <c r="AB116" s="110" t="str">
        <f>IFERROR(INDEX('WetLitterbags placem_collection'!$A$3:$A$500,MATCH(A116,'WetLitterbags placem_collection'!$K$4:$K$500,0)),"")</f>
        <v/>
      </c>
      <c r="AC116" s="110">
        <f>IFERROR(INDEX('WetLitterbags placem_collection'!$A$3:$A$500,MATCH($A116,'WetLitterbags placem_collection'!$O$4:$O$500,0)),"")</f>
        <v>46</v>
      </c>
      <c r="AD116" s="110" t="str">
        <f>IFERROR(INDEX('WetLitterbags placem_collection'!$A$3:$A$500,MATCH($A116,'WetLitterbags placem_collection'!$M$4:$M$500,0)),"")</f>
        <v/>
      </c>
      <c r="AE116" s="110" t="str">
        <f>IFERROR(INDEX('WetLitterbags placem_collection'!$A$3:$A$500,MATCH($A116,'WetLitterbags placem_collection'!$Q$4:$Q$500,0)),"")</f>
        <v/>
      </c>
    </row>
    <row r="117" spans="1:31">
      <c r="A117" s="197" t="s">
        <v>1537</v>
      </c>
      <c r="C117" s="197">
        <v>58</v>
      </c>
      <c r="D117" s="197">
        <v>0.69220000000000004</v>
      </c>
      <c r="E117" s="197">
        <v>7.0768000000000004</v>
      </c>
      <c r="F117" s="197">
        <v>0.2016</v>
      </c>
      <c r="G117" s="197">
        <f t="shared" si="16"/>
        <v>7.2784000000000004</v>
      </c>
      <c r="H117" s="197">
        <v>7.1125999999999996</v>
      </c>
      <c r="I117" s="197">
        <f t="shared" si="17"/>
        <v>0.16580000000000084</v>
      </c>
      <c r="J117" s="201">
        <f t="shared" si="18"/>
        <v>3.5799999999999166E-2</v>
      </c>
      <c r="K117" s="280">
        <f t="shared" si="19"/>
        <v>17.757936507936094</v>
      </c>
      <c r="L117" s="197">
        <v>38</v>
      </c>
      <c r="M117" s="197" t="s">
        <v>2586</v>
      </c>
      <c r="N117" s="197" t="s">
        <v>2585</v>
      </c>
      <c r="O117" s="197" t="s">
        <v>2550</v>
      </c>
      <c r="U117" s="202" t="s">
        <v>1101</v>
      </c>
      <c r="V117" s="197">
        <v>1.7727999999999999</v>
      </c>
      <c r="W117" s="197">
        <f>(V117-$T$175+F115)</f>
        <v>1.9730999999999999</v>
      </c>
      <c r="AB117" s="110">
        <f>IFERROR(INDEX('WetLitterbags placem_collection'!$A$3:$A$500,MATCH(A117,'WetLitterbags placem_collection'!$K$4:$K$500,0)),"")</f>
        <v>57</v>
      </c>
      <c r="AC117" s="110" t="str">
        <f>IFERROR(INDEX('WetLitterbags placem_collection'!$A$3:$A$500,MATCH($A117,'WetLitterbags placem_collection'!$O$4:$O$500,0)),"")</f>
        <v/>
      </c>
      <c r="AD117" s="110" t="str">
        <f>IFERROR(INDEX('WetLitterbags placem_collection'!$A$3:$A$500,MATCH($A117,'WetLitterbags placem_collection'!$M$4:$M$500,0)),"")</f>
        <v/>
      </c>
      <c r="AE117" s="110" t="str">
        <f>IFERROR(INDEX('WetLitterbags placem_collection'!$A$3:$A$500,MATCH($A117,'WetLitterbags placem_collection'!$Q$4:$Q$500,0)),"")</f>
        <v/>
      </c>
    </row>
    <row r="118" spans="1:31">
      <c r="A118" s="197" t="s">
        <v>1536</v>
      </c>
      <c r="C118" s="198">
        <v>9</v>
      </c>
      <c r="D118" s="197">
        <v>0.43419999999999997</v>
      </c>
      <c r="E118" s="202">
        <v>9.7262000000000004</v>
      </c>
      <c r="F118" s="202">
        <v>0.20660000000000001</v>
      </c>
      <c r="G118" s="201">
        <f t="shared" si="16"/>
        <v>9.9328000000000003</v>
      </c>
      <c r="H118" s="201">
        <v>9.7454000000000001</v>
      </c>
      <c r="I118" s="201">
        <f t="shared" si="17"/>
        <v>0.18740000000000023</v>
      </c>
      <c r="J118" s="201">
        <f t="shared" si="18"/>
        <v>1.9199999999999773E-2</v>
      </c>
      <c r="K118" s="280">
        <f t="shared" si="19"/>
        <v>9.2933204259437421</v>
      </c>
      <c r="L118" s="201">
        <v>14</v>
      </c>
      <c r="M118" s="204">
        <v>43221</v>
      </c>
      <c r="N118" s="204">
        <v>43221</v>
      </c>
      <c r="AB118" s="110">
        <f>IFERROR(INDEX('WetLitterbags placem_collection'!$A$3:$A$500,MATCH(A118,'WetLitterbags placem_collection'!$K$4:$K$500,0)),"")</f>
        <v>8</v>
      </c>
      <c r="AC118" s="110" t="str">
        <f>IFERROR(INDEX('WetLitterbags placem_collection'!$A$3:$A$500,MATCH($A118,'WetLitterbags placem_collection'!$O$4:$O$500,0)),"")</f>
        <v/>
      </c>
      <c r="AD118" s="110" t="str">
        <f>IFERROR(INDEX('WetLitterbags placem_collection'!$A$3:$A$500,MATCH($A118,'WetLitterbags placem_collection'!$M$4:$M$500,0)),"")</f>
        <v/>
      </c>
      <c r="AE118" s="110" t="str">
        <f>IFERROR(INDEX('WetLitterbags placem_collection'!$A$3:$A$500,MATCH($A118,'WetLitterbags placem_collection'!$Q$4:$Q$500,0)),"")</f>
        <v/>
      </c>
    </row>
    <row r="119" spans="1:31">
      <c r="A119" s="197" t="s">
        <v>1534</v>
      </c>
      <c r="C119" s="197">
        <v>34</v>
      </c>
      <c r="D119" s="197">
        <v>0.70489999999999997</v>
      </c>
      <c r="E119" s="197">
        <v>8.8455999999999992</v>
      </c>
      <c r="F119" s="197">
        <v>0.20119999999999999</v>
      </c>
      <c r="G119" s="197">
        <f t="shared" si="16"/>
        <v>9.0467999999999993</v>
      </c>
      <c r="H119" s="197">
        <v>8.9246999999999996</v>
      </c>
      <c r="I119" s="197">
        <f t="shared" si="17"/>
        <v>0.12209999999999965</v>
      </c>
      <c r="J119" s="201">
        <f t="shared" si="18"/>
        <v>7.9100000000000337E-2</v>
      </c>
      <c r="K119" s="280">
        <f t="shared" si="19"/>
        <v>39.314115308151266</v>
      </c>
      <c r="L119" s="197">
        <v>11</v>
      </c>
      <c r="M119" s="197" t="s">
        <v>2586</v>
      </c>
      <c r="N119" s="197" t="s">
        <v>2585</v>
      </c>
      <c r="O119" s="197" t="s">
        <v>2550</v>
      </c>
      <c r="AB119" s="110">
        <f>IFERROR(INDEX('WetLitterbags placem_collection'!$A$3:$A$500,MATCH(A119,'WetLitterbags placem_collection'!$K$4:$K$500,0)),"")</f>
        <v>33</v>
      </c>
      <c r="AC119" s="110" t="str">
        <f>IFERROR(INDEX('WetLitterbags placem_collection'!$A$3:$A$500,MATCH($A119,'WetLitterbags placem_collection'!$O$4:$O$500,0)),"")</f>
        <v/>
      </c>
      <c r="AD119" s="110" t="str">
        <f>IFERROR(INDEX('WetLitterbags placem_collection'!$A$3:$A$500,MATCH($A119,'WetLitterbags placem_collection'!$M$4:$M$500,0)),"")</f>
        <v/>
      </c>
      <c r="AE119" s="110" t="str">
        <f>IFERROR(INDEX('WetLitterbags placem_collection'!$A$3:$A$500,MATCH($A119,'WetLitterbags placem_collection'!$Q$4:$Q$500,0)),"")</f>
        <v/>
      </c>
    </row>
    <row r="120" spans="1:31">
      <c r="A120" s="197" t="s">
        <v>1532</v>
      </c>
      <c r="C120" s="197">
        <v>30</v>
      </c>
      <c r="D120" s="197">
        <v>0.4824</v>
      </c>
      <c r="E120" s="202">
        <v>11.003</v>
      </c>
      <c r="F120" s="202">
        <v>0.20799999999999999</v>
      </c>
      <c r="G120" s="201">
        <f t="shared" si="16"/>
        <v>11.211</v>
      </c>
      <c r="H120" s="201">
        <v>11.0259</v>
      </c>
      <c r="I120" s="201">
        <f t="shared" si="17"/>
        <v>0.18510000000000026</v>
      </c>
      <c r="J120" s="201">
        <f t="shared" si="18"/>
        <v>2.2899999999999726E-2</v>
      </c>
      <c r="K120" s="280">
        <f t="shared" si="19"/>
        <v>11.009615384615254</v>
      </c>
      <c r="L120" s="201">
        <v>7</v>
      </c>
      <c r="M120" s="204">
        <v>43221</v>
      </c>
      <c r="N120" s="204">
        <v>43221</v>
      </c>
      <c r="AB120" s="110">
        <f>IFERROR(INDEX('WetLitterbags placem_collection'!$A$3:$A$500,MATCH(A120,'WetLitterbags placem_collection'!$K$4:$K$500,0)),"")</f>
        <v>29</v>
      </c>
      <c r="AC120" s="110" t="str">
        <f>IFERROR(INDEX('WetLitterbags placem_collection'!$A$3:$A$500,MATCH($A120,'WetLitterbags placem_collection'!$O$4:$O$500,0)),"")</f>
        <v/>
      </c>
      <c r="AD120" s="110" t="str">
        <f>IFERROR(INDEX('WetLitterbags placem_collection'!$A$3:$A$500,MATCH($A120,'WetLitterbags placem_collection'!$M$4:$M$500,0)),"")</f>
        <v/>
      </c>
      <c r="AE120" s="110" t="str">
        <f>IFERROR(INDEX('WetLitterbags placem_collection'!$A$3:$A$500,MATCH($A120,'WetLitterbags placem_collection'!$Q$4:$Q$500,0)),"")</f>
        <v/>
      </c>
    </row>
    <row r="121" spans="1:31">
      <c r="A121" s="197" t="s">
        <v>1531</v>
      </c>
      <c r="C121" s="197">
        <v>45</v>
      </c>
      <c r="D121" s="197">
        <v>0.56710000000000005</v>
      </c>
      <c r="E121" s="197">
        <v>9.0525000000000002</v>
      </c>
      <c r="F121" s="197">
        <v>0.20050000000000001</v>
      </c>
      <c r="G121" s="197">
        <f t="shared" si="16"/>
        <v>9.2530000000000001</v>
      </c>
      <c r="H121" s="197">
        <v>9.0713000000000008</v>
      </c>
      <c r="I121" s="197">
        <f t="shared" si="17"/>
        <v>0.18169999999999931</v>
      </c>
      <c r="J121" s="201">
        <f t="shared" si="18"/>
        <v>1.8800000000000705E-2</v>
      </c>
      <c r="K121" s="280">
        <f t="shared" si="19"/>
        <v>9.376558603491624</v>
      </c>
      <c r="L121" s="197">
        <v>19</v>
      </c>
      <c r="M121" s="197" t="s">
        <v>2586</v>
      </c>
      <c r="N121" s="197" t="s">
        <v>2585</v>
      </c>
      <c r="O121" s="197" t="s">
        <v>2550</v>
      </c>
      <c r="AB121" s="110">
        <f>IFERROR(INDEX('WetLitterbags placem_collection'!$A$3:$A$500,MATCH(A121,'WetLitterbags placem_collection'!$K$4:$K$500,0)),"")</f>
        <v>44</v>
      </c>
      <c r="AC121" s="110" t="str">
        <f>IFERROR(INDEX('WetLitterbags placem_collection'!$A$3:$A$500,MATCH($A121,'WetLitterbags placem_collection'!$O$4:$O$500,0)),"")</f>
        <v/>
      </c>
      <c r="AD121" s="110" t="str">
        <f>IFERROR(INDEX('WetLitterbags placem_collection'!$A$3:$A$500,MATCH($A121,'WetLitterbags placem_collection'!$M$4:$M$500,0)),"")</f>
        <v/>
      </c>
      <c r="AE121" s="110" t="str">
        <f>IFERROR(INDEX('WetLitterbags placem_collection'!$A$3:$A$500,MATCH($A121,'WetLitterbags placem_collection'!$Q$4:$Q$500,0)),"")</f>
        <v/>
      </c>
    </row>
    <row r="122" spans="1:31">
      <c r="A122" s="206" t="s">
        <v>1530</v>
      </c>
      <c r="C122" s="201">
        <v>84</v>
      </c>
      <c r="D122" s="201">
        <v>0.59250000000000003</v>
      </c>
      <c r="E122" s="202">
        <v>10.702500000000001</v>
      </c>
      <c r="F122" s="202">
        <v>0.20050000000000001</v>
      </c>
      <c r="G122" s="201">
        <f t="shared" si="16"/>
        <v>10.903</v>
      </c>
      <c r="H122" s="201">
        <v>10.724</v>
      </c>
      <c r="I122" s="201">
        <f t="shared" si="17"/>
        <v>0.17900000000000027</v>
      </c>
      <c r="J122" s="201">
        <f t="shared" si="18"/>
        <v>2.1499999999999742E-2</v>
      </c>
      <c r="K122" s="280">
        <f t="shared" si="19"/>
        <v>10.723192019949995</v>
      </c>
      <c r="L122" s="201">
        <v>5</v>
      </c>
      <c r="M122" s="207">
        <v>43186.458333333336</v>
      </c>
      <c r="N122" s="207">
        <v>43186.625</v>
      </c>
      <c r="O122" s="197" t="s">
        <v>2550</v>
      </c>
      <c r="P122" s="201"/>
      <c r="AB122" s="110" t="str">
        <f>IFERROR(INDEX('WetLitterbags placem_collection'!$A$3:$A$500,MATCH(A122,'WetLitterbags placem_collection'!$K$4:$K$500,0)),"")</f>
        <v/>
      </c>
      <c r="AC122" s="110">
        <f>IFERROR(INDEX('WetLitterbags placem_collection'!$A$3:$A$500,MATCH($A122,'WetLitterbags placem_collection'!$O$4:$O$500,0)),"")</f>
        <v>83</v>
      </c>
      <c r="AD122" s="110" t="str">
        <f>IFERROR(INDEX('WetLitterbags placem_collection'!$A$3:$A$500,MATCH($A122,'WetLitterbags placem_collection'!$M$4:$M$500,0)),"")</f>
        <v/>
      </c>
      <c r="AE122" s="110" t="str">
        <f>IFERROR(INDEX('WetLitterbags placem_collection'!$A$3:$A$500,MATCH($A122,'WetLitterbags placem_collection'!$Q$4:$Q$500,0)),"")</f>
        <v/>
      </c>
    </row>
    <row r="123" spans="1:31">
      <c r="A123" s="197" t="s">
        <v>1529</v>
      </c>
      <c r="C123" s="198">
        <v>31</v>
      </c>
      <c r="D123" s="197">
        <v>0.50560000000000005</v>
      </c>
      <c r="E123" s="201">
        <v>10.201499999999999</v>
      </c>
      <c r="F123" s="202">
        <v>0.20619999999999999</v>
      </c>
      <c r="G123" s="201">
        <f t="shared" si="16"/>
        <v>10.4077</v>
      </c>
      <c r="H123" s="201">
        <v>10.230700000000001</v>
      </c>
      <c r="I123" s="201">
        <f t="shared" si="17"/>
        <v>0.1769999999999996</v>
      </c>
      <c r="J123" s="201">
        <f t="shared" si="18"/>
        <v>2.9200000000000392E-2</v>
      </c>
      <c r="K123" s="280">
        <f t="shared" si="19"/>
        <v>14.161008729389133</v>
      </c>
      <c r="L123" s="201">
        <v>11</v>
      </c>
      <c r="M123" s="204">
        <v>43213</v>
      </c>
      <c r="N123" s="204">
        <v>43213</v>
      </c>
      <c r="AB123" s="110" t="str">
        <f>IFERROR(INDEX('WetLitterbags placem_collection'!$A$3:$A$500,MATCH(A123,'WetLitterbags placem_collection'!$K$4:$K$500,0)),"")</f>
        <v/>
      </c>
      <c r="AC123" s="110">
        <f>IFERROR(INDEX('WetLitterbags placem_collection'!$A$3:$A$500,MATCH($A123,'WetLitterbags placem_collection'!$O$4:$O$500,0)),"")</f>
        <v>30</v>
      </c>
      <c r="AD123" s="110" t="str">
        <f>IFERROR(INDEX('WetLitterbags placem_collection'!$A$3:$A$500,MATCH($A123,'WetLitterbags placem_collection'!$M$4:$M$500,0)),"")</f>
        <v/>
      </c>
      <c r="AE123" s="110" t="str">
        <f>IFERROR(INDEX('WetLitterbags placem_collection'!$A$3:$A$500,MATCH($A123,'WetLitterbags placem_collection'!$Q$4:$Q$500,0)),"")</f>
        <v/>
      </c>
    </row>
    <row r="124" spans="1:31">
      <c r="A124" s="197" t="s">
        <v>1528</v>
      </c>
      <c r="C124" s="198">
        <v>191</v>
      </c>
      <c r="D124" s="197">
        <v>0.43</v>
      </c>
      <c r="E124" s="201">
        <v>9.7736000000000001</v>
      </c>
      <c r="F124" s="202">
        <v>0.20030000000000001</v>
      </c>
      <c r="G124" s="201">
        <f t="shared" si="16"/>
        <v>9.9739000000000004</v>
      </c>
      <c r="H124" s="201">
        <v>9.7920999999999996</v>
      </c>
      <c r="I124" s="201">
        <f t="shared" si="17"/>
        <v>0.18180000000000085</v>
      </c>
      <c r="J124" s="201">
        <f t="shared" si="18"/>
        <v>1.8499999999999156E-2</v>
      </c>
      <c r="K124" s="280">
        <f t="shared" si="19"/>
        <v>9.2361457813275862</v>
      </c>
      <c r="L124" s="201">
        <v>36</v>
      </c>
      <c r="M124" s="204">
        <v>43212</v>
      </c>
      <c r="AB124" s="110">
        <f>IFERROR(INDEX('WetLitterbags placem_collection'!$A$3:$A$500,MATCH(A124,'WetLitterbags placem_collection'!$K$4:$K$500,0)),"")</f>
        <v>190</v>
      </c>
      <c r="AC124" s="110" t="str">
        <f>IFERROR(INDEX('WetLitterbags placem_collection'!$A$3:$A$500,MATCH($A124,'WetLitterbags placem_collection'!$O$4:$O$500,0)),"")</f>
        <v/>
      </c>
      <c r="AD124" s="110" t="str">
        <f>IFERROR(INDEX('WetLitterbags placem_collection'!$A$3:$A$500,MATCH($A124,'WetLitterbags placem_collection'!$M$4:$M$500,0)),"")</f>
        <v/>
      </c>
      <c r="AE124" s="110" t="str">
        <f>IFERROR(INDEX('WetLitterbags placem_collection'!$A$3:$A$500,MATCH($A124,'WetLitterbags placem_collection'!$Q$4:$Q$500,0)),"")</f>
        <v/>
      </c>
    </row>
    <row r="125" spans="1:31">
      <c r="A125" s="197" t="s">
        <v>1527</v>
      </c>
      <c r="C125" s="197">
        <v>11</v>
      </c>
      <c r="D125" s="197">
        <v>0.4375</v>
      </c>
      <c r="E125" s="202">
        <v>7.9939999999999998</v>
      </c>
      <c r="F125" s="202">
        <v>0.2016</v>
      </c>
      <c r="G125" s="201">
        <f t="shared" si="16"/>
        <v>8.1955999999999989</v>
      </c>
      <c r="H125" s="201">
        <v>8.0132999999999992</v>
      </c>
      <c r="I125" s="201">
        <f t="shared" si="17"/>
        <v>0.18229999999999968</v>
      </c>
      <c r="J125" s="201">
        <f t="shared" si="18"/>
        <v>1.9300000000000317E-2</v>
      </c>
      <c r="K125" s="280">
        <f t="shared" si="19"/>
        <v>9.5734126984128558</v>
      </c>
      <c r="L125" s="201">
        <v>31</v>
      </c>
      <c r="M125" s="204">
        <v>43213</v>
      </c>
      <c r="N125" s="204">
        <v>43213</v>
      </c>
      <c r="AB125" s="110" t="str">
        <f>IFERROR(INDEX('WetLitterbags placem_collection'!$A$3:$A$500,MATCH(A125,'WetLitterbags placem_collection'!$K$4:$K$500,0)),"")</f>
        <v/>
      </c>
      <c r="AC125" s="110">
        <f>IFERROR(INDEX('WetLitterbags placem_collection'!$A$3:$A$500,MATCH($A125,'WetLitterbags placem_collection'!$O$4:$O$500,0)),"")</f>
        <v>10</v>
      </c>
      <c r="AD125" s="110" t="str">
        <f>IFERROR(INDEX('WetLitterbags placem_collection'!$A$3:$A$500,MATCH($A125,'WetLitterbags placem_collection'!$M$4:$M$500,0)),"")</f>
        <v/>
      </c>
      <c r="AE125" s="110" t="str">
        <f>IFERROR(INDEX('WetLitterbags placem_collection'!$A$3:$A$500,MATCH($A125,'WetLitterbags placem_collection'!$Q$4:$Q$500,0)),"")</f>
        <v/>
      </c>
    </row>
    <row r="126" spans="1:31">
      <c r="A126" s="197" t="s">
        <v>1526</v>
      </c>
      <c r="C126" s="197">
        <v>20</v>
      </c>
      <c r="D126" s="197">
        <v>0.49459999999999998</v>
      </c>
      <c r="E126" s="197">
        <v>7.5282</v>
      </c>
      <c r="F126" s="197">
        <v>0.2056</v>
      </c>
      <c r="G126" s="197">
        <f t="shared" si="16"/>
        <v>7.7338000000000005</v>
      </c>
      <c r="H126" s="197">
        <v>7.5548999999999999</v>
      </c>
      <c r="I126" s="197">
        <f t="shared" si="17"/>
        <v>0.1789000000000005</v>
      </c>
      <c r="J126" s="201">
        <f t="shared" si="18"/>
        <v>2.6699999999999502E-2</v>
      </c>
      <c r="K126" s="280">
        <f t="shared" si="19"/>
        <v>12.986381322956955</v>
      </c>
      <c r="L126" s="197">
        <v>7</v>
      </c>
      <c r="M126" s="197" t="s">
        <v>2586</v>
      </c>
      <c r="N126" s="197" t="s">
        <v>2585</v>
      </c>
      <c r="O126" s="197" t="s">
        <v>2550</v>
      </c>
      <c r="AB126" s="110">
        <f>IFERROR(INDEX('WetLitterbags placem_collection'!$A$3:$A$500,MATCH(A126,'WetLitterbags placem_collection'!$K$4:$K$500,0)),"")</f>
        <v>19</v>
      </c>
      <c r="AC126" s="110" t="str">
        <f>IFERROR(INDEX('WetLitterbags placem_collection'!$A$3:$A$500,MATCH($A126,'WetLitterbags placem_collection'!$O$4:$O$500,0)),"")</f>
        <v/>
      </c>
      <c r="AD126" s="110" t="str">
        <f>IFERROR(INDEX('WetLitterbags placem_collection'!$A$3:$A$500,MATCH($A126,'WetLitterbags placem_collection'!$M$4:$M$500,0)),"")</f>
        <v/>
      </c>
      <c r="AE126" s="110" t="str">
        <f>IFERROR(INDEX('WetLitterbags placem_collection'!$A$3:$A$500,MATCH($A126,'WetLitterbags placem_collection'!$Q$4:$Q$500,0)),"")</f>
        <v/>
      </c>
    </row>
    <row r="127" spans="1:31">
      <c r="A127" s="201" t="s">
        <v>1525</v>
      </c>
      <c r="C127" s="201">
        <v>195</v>
      </c>
      <c r="D127" s="201">
        <v>0.4844</v>
      </c>
      <c r="E127" s="201">
        <v>9.2359000000000009</v>
      </c>
      <c r="F127" s="201">
        <v>0.2001</v>
      </c>
      <c r="G127" s="201">
        <f t="shared" si="16"/>
        <v>9.4360000000000017</v>
      </c>
      <c r="H127" s="201">
        <v>9.2614999999999998</v>
      </c>
      <c r="I127" s="201">
        <f t="shared" si="17"/>
        <v>0.17450000000000188</v>
      </c>
      <c r="J127" s="201">
        <f t="shared" si="18"/>
        <v>2.5599999999998124E-2</v>
      </c>
      <c r="K127" s="280">
        <f t="shared" si="19"/>
        <v>12.793603198399861</v>
      </c>
      <c r="L127" s="201">
        <v>15</v>
      </c>
      <c r="M127" s="203">
        <v>43164.628472222219</v>
      </c>
      <c r="N127" s="203">
        <v>43164.795138888891</v>
      </c>
      <c r="O127" s="197" t="s">
        <v>2550</v>
      </c>
      <c r="P127" s="201"/>
      <c r="AB127" s="110" t="str">
        <f>IFERROR(INDEX('WetLitterbags placem_collection'!$A$3:$A$500,MATCH(A127,'WetLitterbags placem_collection'!$K$4:$K$500,0)),"")</f>
        <v/>
      </c>
      <c r="AC127" s="110">
        <f>IFERROR(INDEX('WetLitterbags placem_collection'!$A$3:$A$500,MATCH($A127,'WetLitterbags placem_collection'!$O$4:$O$500,0)),"")</f>
        <v>194</v>
      </c>
      <c r="AD127" s="110" t="str">
        <f>IFERROR(INDEX('WetLitterbags placem_collection'!$A$3:$A$500,MATCH($A127,'WetLitterbags placem_collection'!$M$4:$M$500,0)),"")</f>
        <v/>
      </c>
      <c r="AE127" s="110" t="str">
        <f>IFERROR(INDEX('WetLitterbags placem_collection'!$A$3:$A$500,MATCH($A127,'WetLitterbags placem_collection'!$Q$4:$Q$500,0)),"")</f>
        <v/>
      </c>
    </row>
    <row r="128" spans="1:31">
      <c r="A128" s="197" t="s">
        <v>1524</v>
      </c>
      <c r="C128" s="198">
        <v>190</v>
      </c>
      <c r="D128" s="197">
        <v>0.43909999999999999</v>
      </c>
      <c r="E128" s="202">
        <v>9.2203999999999997</v>
      </c>
      <c r="F128" s="202">
        <v>0.20039999999999999</v>
      </c>
      <c r="G128" s="201">
        <f t="shared" si="16"/>
        <v>9.4207999999999998</v>
      </c>
      <c r="H128" s="201">
        <v>9.24</v>
      </c>
      <c r="I128" s="201">
        <f t="shared" si="17"/>
        <v>0.18079999999999963</v>
      </c>
      <c r="J128" s="201">
        <f t="shared" si="18"/>
        <v>1.9600000000000367E-2</v>
      </c>
      <c r="K128" s="280">
        <f t="shared" si="19"/>
        <v>9.78043912175667</v>
      </c>
      <c r="L128" s="201">
        <v>14</v>
      </c>
      <c r="AB128" s="110">
        <f>IFERROR(INDEX('WetLitterbags placem_collection'!$A$3:$A$500,MATCH(A128,'WetLitterbags placem_collection'!$K$4:$K$500,0)),"")</f>
        <v>189</v>
      </c>
      <c r="AC128" s="110" t="str">
        <f>IFERROR(INDEX('WetLitterbags placem_collection'!$A$3:$A$500,MATCH($A128,'WetLitterbags placem_collection'!$O$4:$O$500,0)),"")</f>
        <v/>
      </c>
      <c r="AD128" s="110" t="str">
        <f>IFERROR(INDEX('WetLitterbags placem_collection'!$A$3:$A$500,MATCH($A128,'WetLitterbags placem_collection'!$M$4:$M$500,0)),"")</f>
        <v/>
      </c>
      <c r="AE128" s="110" t="str">
        <f>IFERROR(INDEX('WetLitterbags placem_collection'!$A$3:$A$500,MATCH($A128,'WetLitterbags placem_collection'!$Q$4:$Q$500,0)),"")</f>
        <v/>
      </c>
    </row>
    <row r="129" spans="1:31">
      <c r="A129" s="197" t="s">
        <v>1523</v>
      </c>
      <c r="C129" s="197">
        <v>32</v>
      </c>
      <c r="D129" s="197">
        <v>0.47810000000000002</v>
      </c>
      <c r="E129" s="202">
        <v>10.3132</v>
      </c>
      <c r="F129" s="202">
        <v>0.20019999999999999</v>
      </c>
      <c r="G129" s="201">
        <f t="shared" si="16"/>
        <v>10.513400000000001</v>
      </c>
      <c r="H129" s="201">
        <v>10.3302</v>
      </c>
      <c r="I129" s="201">
        <f t="shared" si="17"/>
        <v>0.18320000000000114</v>
      </c>
      <c r="J129" s="201">
        <f t="shared" si="18"/>
        <v>1.6999999999998849E-2</v>
      </c>
      <c r="K129" s="280">
        <f t="shared" si="19"/>
        <v>8.4915084915079166</v>
      </c>
      <c r="L129" s="201">
        <v>1</v>
      </c>
      <c r="AB129" s="110">
        <f>IFERROR(INDEX('WetLitterbags placem_collection'!$A$3:$A$500,MATCH(A129,'WetLitterbags placem_collection'!$K$4:$K$500,0)),"")</f>
        <v>31</v>
      </c>
      <c r="AC129" s="110" t="str">
        <f>IFERROR(INDEX('WetLitterbags placem_collection'!$A$3:$A$500,MATCH($A129,'WetLitterbags placem_collection'!$O$4:$O$500,0)),"")</f>
        <v/>
      </c>
      <c r="AD129" s="110" t="str">
        <f>IFERROR(INDEX('WetLitterbags placem_collection'!$A$3:$A$500,MATCH($A129,'WetLitterbags placem_collection'!$M$4:$M$500,0)),"")</f>
        <v/>
      </c>
      <c r="AE129" s="110" t="str">
        <f>IFERROR(INDEX('WetLitterbags placem_collection'!$A$3:$A$500,MATCH($A129,'WetLitterbags placem_collection'!$Q$4:$Q$500,0)),"")</f>
        <v/>
      </c>
    </row>
    <row r="130" spans="1:31">
      <c r="A130" s="201" t="s">
        <v>1522</v>
      </c>
      <c r="C130" s="201">
        <v>37</v>
      </c>
      <c r="D130" s="201">
        <v>0.66790000000000005</v>
      </c>
      <c r="E130" s="201">
        <v>10.7432</v>
      </c>
      <c r="F130" s="201">
        <v>0.2009</v>
      </c>
      <c r="G130" s="201">
        <f t="shared" si="16"/>
        <v>10.944100000000001</v>
      </c>
      <c r="H130" s="201">
        <v>10.773400000000001</v>
      </c>
      <c r="I130" s="201">
        <f t="shared" si="17"/>
        <v>0.17070000000000007</v>
      </c>
      <c r="J130" s="201">
        <f t="shared" si="18"/>
        <v>3.0199999999999921E-2</v>
      </c>
      <c r="K130" s="280">
        <f t="shared" si="19"/>
        <v>15.032354405176665</v>
      </c>
      <c r="L130" s="201">
        <v>23</v>
      </c>
      <c r="M130" s="205">
        <v>43188</v>
      </c>
      <c r="N130" s="205">
        <v>43188</v>
      </c>
      <c r="O130" s="201"/>
      <c r="P130" s="201"/>
      <c r="AB130" s="110" t="str">
        <f>IFERROR(INDEX('WetLitterbags placem_collection'!$A$3:$A$500,MATCH(A130,'WetLitterbags placem_collection'!$K$4:$K$500,0)),"")</f>
        <v/>
      </c>
      <c r="AC130" s="110">
        <f>IFERROR(INDEX('WetLitterbags placem_collection'!$A$3:$A$500,MATCH($A130,'WetLitterbags placem_collection'!$O$4:$O$500,0)),"")</f>
        <v>36</v>
      </c>
      <c r="AD130" s="110" t="str">
        <f>IFERROR(INDEX('WetLitterbags placem_collection'!$A$3:$A$500,MATCH($A130,'WetLitterbags placem_collection'!$M$4:$M$500,0)),"")</f>
        <v/>
      </c>
      <c r="AE130" s="110" t="str">
        <f>IFERROR(INDEX('WetLitterbags placem_collection'!$A$3:$A$500,MATCH($A130,'WetLitterbags placem_collection'!$Q$4:$Q$500,0)),"")</f>
        <v/>
      </c>
    </row>
    <row r="131" spans="1:31">
      <c r="A131" s="206" t="s">
        <v>1521</v>
      </c>
      <c r="C131" s="197">
        <v>92</v>
      </c>
      <c r="D131" s="201">
        <v>0.55920000000000003</v>
      </c>
      <c r="E131" s="202">
        <v>7.8711000000000002</v>
      </c>
      <c r="F131" s="202">
        <v>0.20979999999999999</v>
      </c>
      <c r="G131" s="201">
        <f t="shared" si="16"/>
        <v>8.0808999999999997</v>
      </c>
      <c r="H131" s="201">
        <v>7.8959999999999999</v>
      </c>
      <c r="I131" s="201">
        <f t="shared" si="17"/>
        <v>0.18489999999999984</v>
      </c>
      <c r="J131" s="201">
        <f t="shared" si="18"/>
        <v>2.4900000000000144E-2</v>
      </c>
      <c r="K131" s="280">
        <f t="shared" si="19"/>
        <v>11.868446139180241</v>
      </c>
      <c r="L131" s="201">
        <v>16</v>
      </c>
      <c r="M131" s="207">
        <v>43186.458333333336</v>
      </c>
      <c r="N131" s="207">
        <v>43186.625</v>
      </c>
      <c r="O131" s="197" t="s">
        <v>2550</v>
      </c>
      <c r="P131" s="201"/>
      <c r="AB131" s="110">
        <f>IFERROR(INDEX('WetLitterbags placem_collection'!$A$3:$A$500,MATCH(A131,'WetLitterbags placem_collection'!$K$4:$K$500,0)),"")</f>
        <v>91</v>
      </c>
      <c r="AC131" s="110" t="str">
        <f>IFERROR(INDEX('WetLitterbags placem_collection'!$A$3:$A$500,MATCH($A131,'WetLitterbags placem_collection'!$O$4:$O$500,0)),"")</f>
        <v/>
      </c>
      <c r="AD131" s="110" t="str">
        <f>IFERROR(INDEX('WetLitterbags placem_collection'!$A$3:$A$500,MATCH($A131,'WetLitterbags placem_collection'!$M$4:$M$500,0)),"")</f>
        <v/>
      </c>
      <c r="AE131" s="110" t="str">
        <f>IFERROR(INDEX('WetLitterbags placem_collection'!$A$3:$A$500,MATCH($A131,'WetLitterbags placem_collection'!$Q$4:$Q$500,0)),"")</f>
        <v/>
      </c>
    </row>
    <row r="132" spans="1:31">
      <c r="A132" s="197" t="s">
        <v>1518</v>
      </c>
      <c r="C132" s="198">
        <v>4</v>
      </c>
      <c r="D132" s="197">
        <v>0.37980000000000003</v>
      </c>
      <c r="E132" s="201">
        <v>9.2204999999999995</v>
      </c>
      <c r="F132" s="202">
        <v>0.20780000000000001</v>
      </c>
      <c r="G132" s="201">
        <f t="shared" si="16"/>
        <v>9.4283000000000001</v>
      </c>
      <c r="H132" s="201">
        <v>9.2402999999999995</v>
      </c>
      <c r="I132" s="201">
        <f t="shared" si="17"/>
        <v>0.18800000000000061</v>
      </c>
      <c r="J132" s="201">
        <f t="shared" si="18"/>
        <v>1.9799999999999401E-2</v>
      </c>
      <c r="K132" s="280">
        <f t="shared" si="19"/>
        <v>9.5283926852740137</v>
      </c>
      <c r="L132" s="201">
        <v>3</v>
      </c>
      <c r="M132" s="204">
        <v>43212</v>
      </c>
      <c r="AB132" s="110" t="str">
        <f>IFERROR(INDEX('WetLitterbags placem_collection'!$A$3:$A$500,MATCH(A132,'WetLitterbags placem_collection'!$K$4:$K$500,0)),"")</f>
        <v/>
      </c>
      <c r="AC132" s="110">
        <f>IFERROR(INDEX('WetLitterbags placem_collection'!$A$3:$A$500,MATCH($A132,'WetLitterbags placem_collection'!$O$4:$O$500,0)),"")</f>
        <v>3</v>
      </c>
      <c r="AD132" s="110" t="str">
        <f>IFERROR(INDEX('WetLitterbags placem_collection'!$A$3:$A$500,MATCH($A132,'WetLitterbags placem_collection'!$M$4:$M$500,0)),"")</f>
        <v/>
      </c>
      <c r="AE132" s="110" t="str">
        <f>IFERROR(INDEX('WetLitterbags placem_collection'!$A$3:$A$500,MATCH($A132,'WetLitterbags placem_collection'!$Q$4:$Q$500,0)),"")</f>
        <v/>
      </c>
    </row>
    <row r="133" spans="1:31">
      <c r="A133" s="197" t="s">
        <v>1515</v>
      </c>
      <c r="C133" s="201">
        <v>60</v>
      </c>
      <c r="D133" s="201">
        <v>0.56169999999999987</v>
      </c>
      <c r="E133" s="201">
        <v>8.1683000000000003</v>
      </c>
      <c r="F133" s="201">
        <v>0.20200000000000001</v>
      </c>
      <c r="G133" s="201">
        <f t="shared" si="16"/>
        <v>8.3703000000000003</v>
      </c>
      <c r="H133" s="201">
        <v>8.1887000000000008</v>
      </c>
      <c r="I133" s="201">
        <f t="shared" si="17"/>
        <v>0.18159999999999954</v>
      </c>
      <c r="J133" s="201">
        <f t="shared" si="18"/>
        <v>2.0400000000000473E-2</v>
      </c>
      <c r="K133" s="280">
        <f t="shared" si="19"/>
        <v>10.099009900990334</v>
      </c>
      <c r="L133" s="201">
        <v>21</v>
      </c>
      <c r="M133" s="205">
        <v>43173</v>
      </c>
      <c r="N133" s="205">
        <v>43173</v>
      </c>
      <c r="O133" s="201" t="s">
        <v>2556</v>
      </c>
      <c r="P133" s="201" t="s">
        <v>2555</v>
      </c>
      <c r="U133" s="202" t="s">
        <v>1261</v>
      </c>
      <c r="V133" s="197">
        <v>1.1045</v>
      </c>
      <c r="W133" s="197">
        <f>(V133-$T$175+F131)</f>
        <v>1.3143</v>
      </c>
      <c r="AB133" s="110" t="str">
        <f>IFERROR(INDEX('WetLitterbags placem_collection'!$A$3:$A$500,MATCH(A133,'WetLitterbags placem_collection'!$K$4:$K$500,0)),"")</f>
        <v/>
      </c>
      <c r="AC133" s="110">
        <f>IFERROR(INDEX('WetLitterbags placem_collection'!$A$3:$A$500,MATCH($A133,'WetLitterbags placem_collection'!$O$4:$O$500,0)),"")</f>
        <v>59</v>
      </c>
      <c r="AD133" s="110" t="str">
        <f>IFERROR(INDEX('WetLitterbags placem_collection'!$A$3:$A$500,MATCH($A133,'WetLitterbags placem_collection'!$M$4:$M$500,0)),"")</f>
        <v/>
      </c>
      <c r="AE133" s="110" t="str">
        <f>IFERROR(INDEX('WetLitterbags placem_collection'!$A$3:$A$500,MATCH($A133,'WetLitterbags placem_collection'!$Q$4:$Q$500,0)),"")</f>
        <v/>
      </c>
    </row>
    <row r="134" spans="1:31">
      <c r="A134" s="206" t="s">
        <v>1514</v>
      </c>
      <c r="C134" s="201">
        <v>82</v>
      </c>
      <c r="D134" s="201">
        <v>0.57340000000000002</v>
      </c>
      <c r="E134" s="202">
        <v>9.0313999999999997</v>
      </c>
      <c r="F134" s="202">
        <v>0.20449999999999999</v>
      </c>
      <c r="G134" s="201">
        <f t="shared" si="16"/>
        <v>9.2358999999999991</v>
      </c>
      <c r="H134" s="201">
        <v>9.0525000000000002</v>
      </c>
      <c r="I134" s="201">
        <f t="shared" si="17"/>
        <v>0.1833999999999989</v>
      </c>
      <c r="J134" s="201">
        <f t="shared" si="18"/>
        <v>2.110000000000109E-2</v>
      </c>
      <c r="K134" s="280">
        <f t="shared" si="19"/>
        <v>10.317848410758481</v>
      </c>
      <c r="L134" s="201">
        <v>20</v>
      </c>
      <c r="M134" s="205">
        <v>43197</v>
      </c>
      <c r="N134" s="205">
        <v>43197</v>
      </c>
      <c r="O134" s="201"/>
      <c r="P134" s="201"/>
      <c r="AB134" s="110">
        <f>IFERROR(INDEX('WetLitterbags placem_collection'!$A$3:$A$500,MATCH(A134,'WetLitterbags placem_collection'!$K$4:$K$500,0)),"")</f>
        <v>81</v>
      </c>
      <c r="AC134" s="110" t="str">
        <f>IFERROR(INDEX('WetLitterbags placem_collection'!$A$3:$A$500,MATCH($A134,'WetLitterbags placem_collection'!$O$4:$O$500,0)),"")</f>
        <v/>
      </c>
      <c r="AD134" s="110" t="str">
        <f>IFERROR(INDEX('WetLitterbags placem_collection'!$A$3:$A$500,MATCH($A134,'WetLitterbags placem_collection'!$M$4:$M$500,0)),"")</f>
        <v/>
      </c>
      <c r="AE134" s="110" t="str">
        <f>IFERROR(INDEX('WetLitterbags placem_collection'!$A$3:$A$500,MATCH($A134,'WetLitterbags placem_collection'!$Q$4:$Q$500,0)),"")</f>
        <v/>
      </c>
    </row>
    <row r="135" spans="1:31">
      <c r="A135" s="201" t="s">
        <v>1513</v>
      </c>
      <c r="C135" s="201">
        <v>189</v>
      </c>
      <c r="D135" s="202">
        <v>0.50870000000000004</v>
      </c>
      <c r="E135" s="202">
        <v>10.201499999999999</v>
      </c>
      <c r="F135" s="202">
        <v>0.20849999999999999</v>
      </c>
      <c r="G135" s="201">
        <f t="shared" si="16"/>
        <v>10.41</v>
      </c>
      <c r="H135" s="201">
        <v>10.2203</v>
      </c>
      <c r="I135" s="201">
        <f t="shared" si="17"/>
        <v>0.1897000000000002</v>
      </c>
      <c r="J135" s="201">
        <f t="shared" si="18"/>
        <v>1.8799999999999789E-2</v>
      </c>
      <c r="K135" s="280">
        <f t="shared" si="19"/>
        <v>9.0167865707433048</v>
      </c>
      <c r="L135" s="201">
        <v>15</v>
      </c>
      <c r="M135" s="201"/>
      <c r="N135" s="201"/>
      <c r="O135" s="201"/>
      <c r="P135" s="201"/>
      <c r="AB135" s="110" t="str">
        <f>IFERROR(INDEX('WetLitterbags placem_collection'!$A$3:$A$500,MATCH(A135,'WetLitterbags placem_collection'!$K$4:$K$500,0)),"")</f>
        <v/>
      </c>
      <c r="AC135" s="110">
        <f>IFERROR(INDEX('WetLitterbags placem_collection'!$A$3:$A$500,MATCH($A135,'WetLitterbags placem_collection'!$O$4:$O$500,0)),"")</f>
        <v>188</v>
      </c>
      <c r="AD135" s="110" t="str">
        <f>IFERROR(INDEX('WetLitterbags placem_collection'!$A$3:$A$500,MATCH($A135,'WetLitterbags placem_collection'!$M$4:$M$500,0)),"")</f>
        <v/>
      </c>
      <c r="AE135" s="110" t="str">
        <f>IFERROR(INDEX('WetLitterbags placem_collection'!$A$3:$A$500,MATCH($A135,'WetLitterbags placem_collection'!$Q$4:$Q$500,0)),"")</f>
        <v/>
      </c>
    </row>
    <row r="136" spans="1:31">
      <c r="A136" s="206" t="s">
        <v>1512</v>
      </c>
      <c r="C136" s="201">
        <v>56</v>
      </c>
      <c r="D136" s="202">
        <v>0.65329999999999999</v>
      </c>
      <c r="E136" s="202">
        <v>10.1075</v>
      </c>
      <c r="F136" s="202">
        <v>0.20730000000000001</v>
      </c>
      <c r="G136" s="201">
        <f t="shared" si="16"/>
        <v>10.3148</v>
      </c>
      <c r="H136" s="201">
        <v>10.152799999999999</v>
      </c>
      <c r="I136" s="201">
        <f t="shared" si="17"/>
        <v>0.16200000000000081</v>
      </c>
      <c r="J136" s="201">
        <f t="shared" si="18"/>
        <v>4.5299999999999202E-2</v>
      </c>
      <c r="K136" s="280">
        <f t="shared" si="19"/>
        <v>21.852387843704392</v>
      </c>
      <c r="L136" s="201">
        <v>12</v>
      </c>
      <c r="M136" s="201"/>
      <c r="N136" s="201"/>
      <c r="O136" s="201"/>
      <c r="P136" s="201"/>
      <c r="U136" s="202" t="s">
        <v>815</v>
      </c>
      <c r="V136" s="197">
        <v>1.8678999999999999</v>
      </c>
      <c r="W136" s="197">
        <f>(V136-$T$175+F134)</f>
        <v>2.0724</v>
      </c>
      <c r="AB136" s="110">
        <f>IFERROR(INDEX('WetLitterbags placem_collection'!$A$3:$A$500,MATCH(A136,'WetLitterbags placem_collection'!$K$4:$K$500,0)),"")</f>
        <v>55</v>
      </c>
      <c r="AC136" s="110" t="str">
        <f>IFERROR(INDEX('WetLitterbags placem_collection'!$A$3:$A$500,MATCH($A136,'WetLitterbags placem_collection'!$O$4:$O$500,0)),"")</f>
        <v/>
      </c>
      <c r="AD136" s="110" t="str">
        <f>IFERROR(INDEX('WetLitterbags placem_collection'!$A$3:$A$500,MATCH($A136,'WetLitterbags placem_collection'!$M$4:$M$500,0)),"")</f>
        <v/>
      </c>
      <c r="AE136" s="110" t="str">
        <f>IFERROR(INDEX('WetLitterbags placem_collection'!$A$3:$A$500,MATCH($A136,'WetLitterbags placem_collection'!$Q$4:$Q$500,0)),"")</f>
        <v/>
      </c>
    </row>
    <row r="137" spans="1:31">
      <c r="A137" s="197" t="s">
        <v>1511</v>
      </c>
      <c r="C137" s="201">
        <v>47</v>
      </c>
      <c r="D137" s="201">
        <v>0.58679999999999999</v>
      </c>
      <c r="E137" s="201">
        <v>9.9176000000000002</v>
      </c>
      <c r="F137" s="202">
        <v>0.20810000000000001</v>
      </c>
      <c r="G137" s="201">
        <f t="shared" si="16"/>
        <v>10.1257</v>
      </c>
      <c r="H137" s="201">
        <v>9.9423999999999992</v>
      </c>
      <c r="I137" s="201">
        <f t="shared" si="17"/>
        <v>0.18330000000000091</v>
      </c>
      <c r="J137" s="201">
        <f t="shared" si="18"/>
        <v>2.4799999999999101E-2</v>
      </c>
      <c r="K137" s="280">
        <f t="shared" si="19"/>
        <v>11.917347429120182</v>
      </c>
      <c r="L137" s="201">
        <v>21</v>
      </c>
      <c r="M137" s="205">
        <v>43211</v>
      </c>
      <c r="AB137" s="110">
        <f>IFERROR(INDEX('WetLitterbags placem_collection'!$A$3:$A$500,MATCH(A137,'WetLitterbags placem_collection'!$K$4:$K$500,0)),"")</f>
        <v>46</v>
      </c>
      <c r="AC137" s="110" t="str">
        <f>IFERROR(INDEX('WetLitterbags placem_collection'!$A$3:$A$500,MATCH($A137,'WetLitterbags placem_collection'!$O$4:$O$500,0)),"")</f>
        <v/>
      </c>
      <c r="AD137" s="110" t="str">
        <f>IFERROR(INDEX('WetLitterbags placem_collection'!$A$3:$A$500,MATCH($A137,'WetLitterbags placem_collection'!$M$4:$M$500,0)),"")</f>
        <v/>
      </c>
      <c r="AE137" s="110" t="str">
        <f>IFERROR(INDEX('WetLitterbags placem_collection'!$A$3:$A$500,MATCH($A137,'WetLitterbags placem_collection'!$Q$4:$Q$500,0)),"")</f>
        <v/>
      </c>
    </row>
    <row r="138" spans="1:31">
      <c r="A138" s="201" t="s">
        <v>1510</v>
      </c>
      <c r="C138" s="201">
        <v>207</v>
      </c>
      <c r="D138" s="201">
        <v>0.51390000000000002</v>
      </c>
      <c r="E138" s="202">
        <v>9.0518999999999998</v>
      </c>
      <c r="F138" s="202">
        <v>0.2</v>
      </c>
      <c r="G138" s="201">
        <f t="shared" si="16"/>
        <v>9.2518999999999991</v>
      </c>
      <c r="H138" s="201">
        <v>9.0950000000000006</v>
      </c>
      <c r="I138" s="201">
        <f t="shared" si="17"/>
        <v>0.15689999999999849</v>
      </c>
      <c r="J138" s="201">
        <f t="shared" si="18"/>
        <v>4.3100000000001526E-2</v>
      </c>
      <c r="K138" s="280">
        <f t="shared" si="19"/>
        <v>21.550000000000765</v>
      </c>
      <c r="L138" s="201">
        <v>7</v>
      </c>
      <c r="M138" s="205">
        <v>43197</v>
      </c>
      <c r="N138" s="205">
        <v>43197</v>
      </c>
      <c r="O138" s="201"/>
      <c r="P138" s="201"/>
      <c r="AB138" s="110" t="str">
        <f>IFERROR(INDEX('WetLitterbags placem_collection'!$A$3:$A$500,MATCH(A138,'WetLitterbags placem_collection'!$K$4:$K$500,0)),"")</f>
        <v/>
      </c>
      <c r="AC138" s="110">
        <f>IFERROR(INDEX('WetLitterbags placem_collection'!$A$3:$A$500,MATCH($A138,'WetLitterbags placem_collection'!$O$4:$O$500,0)),"")</f>
        <v>206</v>
      </c>
      <c r="AD138" s="110" t="str">
        <f>IFERROR(INDEX('WetLitterbags placem_collection'!$A$3:$A$500,MATCH($A138,'WetLitterbags placem_collection'!$M$4:$M$500,0)),"")</f>
        <v/>
      </c>
      <c r="AE138" s="110" t="str">
        <f>IFERROR(INDEX('WetLitterbags placem_collection'!$A$3:$A$500,MATCH($A138,'WetLitterbags placem_collection'!$Q$4:$Q$500,0)),"")</f>
        <v/>
      </c>
    </row>
    <row r="139" spans="1:31">
      <c r="A139" s="197" t="s">
        <v>1509</v>
      </c>
      <c r="C139" s="197">
        <v>61</v>
      </c>
      <c r="D139" s="197">
        <v>0.57769999999999999</v>
      </c>
      <c r="E139" s="197">
        <v>9.1861999999999995</v>
      </c>
      <c r="F139" s="197">
        <v>0.19719999999999999</v>
      </c>
      <c r="G139" s="197">
        <f t="shared" si="16"/>
        <v>9.3834</v>
      </c>
      <c r="H139" s="197">
        <v>9.2112999999999996</v>
      </c>
      <c r="I139" s="197">
        <f t="shared" si="17"/>
        <v>0.17210000000000036</v>
      </c>
      <c r="J139" s="201">
        <f t="shared" si="18"/>
        <v>2.5099999999999623E-2</v>
      </c>
      <c r="K139" s="280">
        <f t="shared" si="19"/>
        <v>12.728194726166139</v>
      </c>
      <c r="L139" s="197">
        <v>42</v>
      </c>
      <c r="M139" s="197" t="s">
        <v>2586</v>
      </c>
      <c r="N139" s="197" t="s">
        <v>2585</v>
      </c>
      <c r="O139" s="197" t="s">
        <v>2550</v>
      </c>
      <c r="AB139" s="110">
        <f>IFERROR(INDEX('WetLitterbags placem_collection'!$A$3:$A$500,MATCH(A139,'WetLitterbags placem_collection'!$K$4:$K$500,0)),"")</f>
        <v>60</v>
      </c>
      <c r="AC139" s="110" t="str">
        <f>IFERROR(INDEX('WetLitterbags placem_collection'!$A$3:$A$500,MATCH($A139,'WetLitterbags placem_collection'!$O$4:$O$500,0)),"")</f>
        <v/>
      </c>
      <c r="AD139" s="110" t="str">
        <f>IFERROR(INDEX('WetLitterbags placem_collection'!$A$3:$A$500,MATCH($A139,'WetLitterbags placem_collection'!$M$4:$M$500,0)),"")</f>
        <v/>
      </c>
      <c r="AE139" s="110" t="str">
        <f>IFERROR(INDEX('WetLitterbags placem_collection'!$A$3:$A$500,MATCH($A139,'WetLitterbags placem_collection'!$Q$4:$Q$500,0)),"")</f>
        <v/>
      </c>
    </row>
    <row r="140" spans="1:31">
      <c r="A140" s="201" t="s">
        <v>1508</v>
      </c>
      <c r="C140" s="201">
        <v>81</v>
      </c>
      <c r="D140" s="202">
        <v>0.62009999999999998</v>
      </c>
      <c r="E140" s="202">
        <v>11.087400000000001</v>
      </c>
      <c r="F140" s="202">
        <v>0.20119999999999999</v>
      </c>
      <c r="G140" s="201">
        <f t="shared" si="16"/>
        <v>11.288600000000001</v>
      </c>
      <c r="H140" s="201">
        <v>11.117599999999999</v>
      </c>
      <c r="I140" s="201">
        <f t="shared" si="17"/>
        <v>0.17100000000000115</v>
      </c>
      <c r="J140" s="201">
        <f t="shared" si="18"/>
        <v>3.0199999999998839E-2</v>
      </c>
      <c r="K140" s="280">
        <f t="shared" si="19"/>
        <v>15.009940357852306</v>
      </c>
      <c r="L140" s="201">
        <v>32</v>
      </c>
      <c r="M140" s="203">
        <v>43181.645833333336</v>
      </c>
      <c r="N140" s="203">
        <v>43181.833333333336</v>
      </c>
      <c r="O140" s="201" t="s">
        <v>2556</v>
      </c>
      <c r="P140" s="201"/>
      <c r="AB140" s="110">
        <f>IFERROR(INDEX('WetLitterbags placem_collection'!$A$3:$A$500,MATCH(A140,'WetLitterbags placem_collection'!$K$4:$K$500,0)),"")</f>
        <v>80</v>
      </c>
      <c r="AC140" s="110" t="str">
        <f>IFERROR(INDEX('WetLitterbags placem_collection'!$A$3:$A$500,MATCH($A140,'WetLitterbags placem_collection'!$O$4:$O$500,0)),"")</f>
        <v/>
      </c>
      <c r="AD140" s="110" t="str">
        <f>IFERROR(INDEX('WetLitterbags placem_collection'!$A$3:$A$500,MATCH($A140,'WetLitterbags placem_collection'!$M$4:$M$500,0)),"")</f>
        <v/>
      </c>
      <c r="AE140" s="110" t="str">
        <f>IFERROR(INDEX('WetLitterbags placem_collection'!$A$3:$A$500,MATCH($A140,'WetLitterbags placem_collection'!$Q$4:$Q$500,0)),"")</f>
        <v/>
      </c>
    </row>
    <row r="141" spans="1:31">
      <c r="A141" s="197" t="s">
        <v>1507</v>
      </c>
      <c r="C141" s="198">
        <v>11</v>
      </c>
      <c r="D141" s="197">
        <v>0.51180000000000003</v>
      </c>
      <c r="E141" s="202">
        <v>8.8618000000000006</v>
      </c>
      <c r="F141" s="202">
        <v>0.19919999999999999</v>
      </c>
      <c r="G141" s="201">
        <f t="shared" si="16"/>
        <v>9.0609999999999999</v>
      </c>
      <c r="H141" s="201">
        <v>8.8857999999999997</v>
      </c>
      <c r="I141" s="201">
        <f t="shared" si="17"/>
        <v>0.17520000000000024</v>
      </c>
      <c r="J141" s="201">
        <f t="shared" si="18"/>
        <v>2.3999999999999744E-2</v>
      </c>
      <c r="K141" s="280">
        <f t="shared" si="19"/>
        <v>12.04819277108421</v>
      </c>
      <c r="L141" s="201">
        <v>2</v>
      </c>
      <c r="M141" s="204">
        <v>43221</v>
      </c>
      <c r="N141" s="204">
        <v>43221</v>
      </c>
      <c r="AB141" s="110">
        <f>IFERROR(INDEX('WetLitterbags placem_collection'!$A$3:$A$500,MATCH(A141,'WetLitterbags placem_collection'!$K$4:$K$500,0)),"")</f>
        <v>10</v>
      </c>
      <c r="AC141" s="110" t="str">
        <f>IFERROR(INDEX('WetLitterbags placem_collection'!$A$3:$A$500,MATCH($A141,'WetLitterbags placem_collection'!$O$4:$O$500,0)),"")</f>
        <v/>
      </c>
      <c r="AD141" s="110" t="str">
        <f>IFERROR(INDEX('WetLitterbags placem_collection'!$A$3:$A$500,MATCH($A141,'WetLitterbags placem_collection'!$M$4:$M$500,0)),"")</f>
        <v/>
      </c>
      <c r="AE141" s="110" t="str">
        <f>IFERROR(INDEX('WetLitterbags placem_collection'!$A$3:$A$500,MATCH($A141,'WetLitterbags placem_collection'!$Q$4:$Q$500,0)),"")</f>
        <v/>
      </c>
    </row>
    <row r="142" spans="1:31">
      <c r="A142" s="206" t="s">
        <v>1506</v>
      </c>
      <c r="C142" s="201">
        <v>186</v>
      </c>
      <c r="D142" s="201">
        <v>0.48909999999999998</v>
      </c>
      <c r="E142" s="201">
        <v>11.171799999999999</v>
      </c>
      <c r="F142" s="202">
        <v>0.2044</v>
      </c>
      <c r="G142" s="201">
        <f t="shared" si="16"/>
        <v>11.376199999999999</v>
      </c>
      <c r="H142" s="201">
        <v>11.1913</v>
      </c>
      <c r="I142" s="201">
        <f t="shared" si="17"/>
        <v>0.18489999999999895</v>
      </c>
      <c r="J142" s="201">
        <f t="shared" si="18"/>
        <v>1.9500000000001044E-2</v>
      </c>
      <c r="K142" s="280">
        <f t="shared" si="19"/>
        <v>9.5401174168302578</v>
      </c>
      <c r="L142" s="201">
        <v>31</v>
      </c>
      <c r="M142" s="205">
        <v>43187</v>
      </c>
      <c r="N142" s="205">
        <v>43187</v>
      </c>
      <c r="O142" s="201"/>
      <c r="P142" s="201"/>
      <c r="AB142" s="110">
        <f>IFERROR(INDEX('WetLitterbags placem_collection'!$A$3:$A$500,MATCH(A142,'WetLitterbags placem_collection'!$K$4:$K$500,0)),"")</f>
        <v>185</v>
      </c>
      <c r="AC142" s="110" t="str">
        <f>IFERROR(INDEX('WetLitterbags placem_collection'!$A$3:$A$500,MATCH($A142,'WetLitterbags placem_collection'!$O$4:$O$500,0)),"")</f>
        <v/>
      </c>
      <c r="AD142" s="110" t="str">
        <f>IFERROR(INDEX('WetLitterbags placem_collection'!$A$3:$A$500,MATCH($A142,'WetLitterbags placem_collection'!$M$4:$M$500,0)),"")</f>
        <v/>
      </c>
      <c r="AE142" s="110" t="str">
        <f>IFERROR(INDEX('WetLitterbags placem_collection'!$A$3:$A$500,MATCH($A142,'WetLitterbags placem_collection'!$Q$4:$Q$500,0)),"")</f>
        <v/>
      </c>
    </row>
    <row r="143" spans="1:31">
      <c r="A143" s="197" t="s">
        <v>1505</v>
      </c>
      <c r="C143" s="198">
        <v>96</v>
      </c>
      <c r="D143" s="197">
        <v>0.57850000000000001</v>
      </c>
      <c r="E143" s="197">
        <v>8.4441000000000006</v>
      </c>
      <c r="F143" s="202">
        <v>0.2011</v>
      </c>
      <c r="G143" s="201">
        <f t="shared" si="16"/>
        <v>8.6452000000000009</v>
      </c>
      <c r="H143" s="201">
        <v>8.4710999999999999</v>
      </c>
      <c r="I143" s="201">
        <f t="shared" si="17"/>
        <v>0.17410000000000103</v>
      </c>
      <c r="J143" s="201">
        <f t="shared" si="18"/>
        <v>2.6999999999998969E-2</v>
      </c>
      <c r="K143" s="280">
        <f t="shared" si="19"/>
        <v>13.426156141222759</v>
      </c>
      <c r="L143" s="201">
        <v>22</v>
      </c>
      <c r="AB143" s="110" t="str">
        <f>IFERROR(INDEX('WetLitterbags placem_collection'!$A$3:$A$500,MATCH(A143,'WetLitterbags placem_collection'!$K$4:$K$500,0)),"")</f>
        <v/>
      </c>
      <c r="AC143" s="110">
        <f>IFERROR(INDEX('WetLitterbags placem_collection'!$A$3:$A$500,MATCH($A143,'WetLitterbags placem_collection'!$O$4:$O$500,0)),"")</f>
        <v>95</v>
      </c>
      <c r="AD143" s="110" t="str">
        <f>IFERROR(INDEX('WetLitterbags placem_collection'!$A$3:$A$500,MATCH($A143,'WetLitterbags placem_collection'!$M$4:$M$500,0)),"")</f>
        <v/>
      </c>
      <c r="AE143" s="110" t="str">
        <f>IFERROR(INDEX('WetLitterbags placem_collection'!$A$3:$A$500,MATCH($A143,'WetLitterbags placem_collection'!$Q$4:$Q$500,0)),"")</f>
        <v/>
      </c>
    </row>
    <row r="144" spans="1:31">
      <c r="A144" t="s">
        <v>1504</v>
      </c>
      <c r="C144" s="198"/>
      <c r="D144" s="197">
        <v>0.67520000000000002</v>
      </c>
      <c r="E144" s="202">
        <v>9.3188999999999993</v>
      </c>
      <c r="F144" s="202">
        <v>0.20599999999999999</v>
      </c>
      <c r="G144" s="201">
        <f t="shared" si="16"/>
        <v>9.5248999999999988</v>
      </c>
      <c r="H144" s="201">
        <v>9.3529999999999998</v>
      </c>
      <c r="I144" s="201">
        <f t="shared" si="17"/>
        <v>0.17189999999999905</v>
      </c>
      <c r="J144" s="201">
        <f t="shared" si="18"/>
        <v>3.4100000000000935E-2</v>
      </c>
      <c r="K144" s="280">
        <f t="shared" si="19"/>
        <v>16.553398058252881</v>
      </c>
      <c r="L144" s="201">
        <v>10</v>
      </c>
      <c r="AB144" s="110">
        <f>IFERROR(INDEX('WetLitterbags placem_collection'!$A$3:$A$500,MATCH(A144,'WetLitterbags placem_collection'!$K$4:$K$500,0)),"")</f>
        <v>56</v>
      </c>
      <c r="AC144" s="110" t="str">
        <f>IFERROR(INDEX('WetLitterbags placem_collection'!$A$3:$A$500,MATCH($A144,'WetLitterbags placem_collection'!$O$4:$O$500,0)),"")</f>
        <v/>
      </c>
      <c r="AD144" s="110" t="str">
        <f>IFERROR(INDEX('WetLitterbags placem_collection'!$A$3:$A$500,MATCH($A144,'WetLitterbags placem_collection'!$M$4:$M$500,0)),"")</f>
        <v/>
      </c>
      <c r="AE144" s="110" t="str">
        <f>IFERROR(INDEX('WetLitterbags placem_collection'!$A$3:$A$500,MATCH($A144,'WetLitterbags placem_collection'!$Q$4:$Q$500,0)),"")</f>
        <v/>
      </c>
    </row>
    <row r="145" spans="1:31">
      <c r="A145" s="202" t="s">
        <v>1503</v>
      </c>
      <c r="C145" s="201">
        <v>91</v>
      </c>
      <c r="D145" s="201">
        <v>0.81999999999999984</v>
      </c>
      <c r="E145" s="201">
        <v>7.9055</v>
      </c>
      <c r="F145" s="201">
        <v>0.20949999999999999</v>
      </c>
      <c r="G145" s="201">
        <f t="shared" si="16"/>
        <v>8.1150000000000002</v>
      </c>
      <c r="H145" s="201">
        <v>7.9607000000000001</v>
      </c>
      <c r="I145" s="201">
        <f t="shared" si="17"/>
        <v>0.1543000000000001</v>
      </c>
      <c r="J145" s="201">
        <f t="shared" si="18"/>
        <v>5.5199999999999888E-2</v>
      </c>
      <c r="K145" s="280">
        <f t="shared" si="19"/>
        <v>26.348448687350785</v>
      </c>
      <c r="L145" s="201">
        <v>7</v>
      </c>
      <c r="M145" s="205">
        <v>43173</v>
      </c>
      <c r="N145" s="205">
        <v>43173</v>
      </c>
      <c r="O145" s="201" t="s">
        <v>2556</v>
      </c>
      <c r="P145" s="201" t="s">
        <v>2555</v>
      </c>
      <c r="AB145" s="110" t="str">
        <f>IFERROR(INDEX('WetLitterbags placem_collection'!$A$3:$A$500,MATCH(A145,'WetLitterbags placem_collection'!$K$4:$K$500,0)),"")</f>
        <v/>
      </c>
      <c r="AC145" s="110">
        <f>IFERROR(INDEX('WetLitterbags placem_collection'!$A$3:$A$500,MATCH($A145,'WetLitterbags placem_collection'!$O$4:$O$500,0)),"")</f>
        <v>90</v>
      </c>
      <c r="AD145" s="110" t="str">
        <f>IFERROR(INDEX('WetLitterbags placem_collection'!$A$3:$A$500,MATCH($A145,'WetLitterbags placem_collection'!$M$4:$M$500,0)),"")</f>
        <v/>
      </c>
      <c r="AE145" s="110" t="str">
        <f>IFERROR(INDEX('WetLitterbags placem_collection'!$A$3:$A$500,MATCH($A145,'WetLitterbags placem_collection'!$Q$4:$Q$500,0)),"")</f>
        <v/>
      </c>
    </row>
    <row r="146" spans="1:31">
      <c r="A146" s="201" t="s">
        <v>1502</v>
      </c>
      <c r="C146" s="201">
        <v>51</v>
      </c>
      <c r="D146" s="202">
        <v>0.63549999999999995</v>
      </c>
      <c r="E146" s="201">
        <v>8.2193000000000005</v>
      </c>
      <c r="F146" s="202">
        <v>0.2001</v>
      </c>
      <c r="G146" s="201">
        <f t="shared" si="16"/>
        <v>8.4194000000000013</v>
      </c>
      <c r="H146" s="201">
        <v>8.2372999999999994</v>
      </c>
      <c r="I146" s="201">
        <f t="shared" si="17"/>
        <v>0.18210000000000193</v>
      </c>
      <c r="J146" s="201">
        <f t="shared" si="18"/>
        <v>1.7999999999998073E-2</v>
      </c>
      <c r="K146" s="280">
        <f t="shared" si="19"/>
        <v>8.9955022488745993</v>
      </c>
      <c r="L146" s="201">
        <v>24</v>
      </c>
      <c r="M146" s="201"/>
      <c r="N146" s="201"/>
      <c r="O146" s="201"/>
      <c r="P146" s="201"/>
      <c r="R146" s="197">
        <v>10</v>
      </c>
      <c r="S146" s="197">
        <v>0.62980000000000003</v>
      </c>
      <c r="U146" s="202" t="s">
        <v>958</v>
      </c>
      <c r="V146" s="197">
        <v>1.9059999999999999</v>
      </c>
      <c r="W146" s="197">
        <f>(V146-$T$175+F144)</f>
        <v>2.1120000000000001</v>
      </c>
      <c r="AB146" s="110">
        <f>IFERROR(INDEX('WetLitterbags placem_collection'!$A$3:$A$500,MATCH(A146,'WetLitterbags placem_collection'!$K$4:$K$500,0)),"")</f>
        <v>50</v>
      </c>
      <c r="AC146" s="110" t="str">
        <f>IFERROR(INDEX('WetLitterbags placem_collection'!$A$3:$A$500,MATCH($A146,'WetLitterbags placem_collection'!$O$4:$O$500,0)),"")</f>
        <v/>
      </c>
      <c r="AD146" s="110" t="str">
        <f>IFERROR(INDEX('WetLitterbags placem_collection'!$A$3:$A$500,MATCH($A146,'WetLitterbags placem_collection'!$M$4:$M$500,0)),"")</f>
        <v/>
      </c>
      <c r="AE146" s="110" t="str">
        <f>IFERROR(INDEX('WetLitterbags placem_collection'!$A$3:$A$500,MATCH($A146,'WetLitterbags placem_collection'!$Q$4:$Q$500,0)),"")</f>
        <v/>
      </c>
    </row>
    <row r="147" spans="1:31">
      <c r="A147" s="197" t="s">
        <v>1501</v>
      </c>
      <c r="C147" s="198">
        <v>73</v>
      </c>
      <c r="D147" s="197">
        <v>0.58309999999999995</v>
      </c>
      <c r="E147" s="197">
        <v>8.8618000000000006</v>
      </c>
      <c r="F147" s="202">
        <v>0.20399999999999999</v>
      </c>
      <c r="G147" s="201">
        <f t="shared" si="16"/>
        <v>9.0658000000000012</v>
      </c>
      <c r="H147" s="201">
        <v>8.8841999999999999</v>
      </c>
      <c r="I147" s="201">
        <f t="shared" si="17"/>
        <v>0.18160000000000132</v>
      </c>
      <c r="J147" s="201">
        <f t="shared" si="18"/>
        <v>2.2399999999998671E-2</v>
      </c>
      <c r="K147" s="280">
        <f t="shared" si="19"/>
        <v>10.980392156862093</v>
      </c>
      <c r="L147" s="201">
        <v>14</v>
      </c>
      <c r="P147" s="197" t="s">
        <v>2583</v>
      </c>
      <c r="AB147" s="110">
        <f>IFERROR(INDEX('WetLitterbags placem_collection'!$A$3:$A$500,MATCH(A147,'WetLitterbags placem_collection'!$K$4:$K$500,0)),"")</f>
        <v>72</v>
      </c>
      <c r="AC147" s="110" t="str">
        <f>IFERROR(INDEX('WetLitterbags placem_collection'!$A$3:$A$500,MATCH($A147,'WetLitterbags placem_collection'!$O$4:$O$500,0)),"")</f>
        <v/>
      </c>
      <c r="AD147" s="110" t="str">
        <f>IFERROR(INDEX('WetLitterbags placem_collection'!$A$3:$A$500,MATCH($A147,'WetLitterbags placem_collection'!$M$4:$M$500,0)),"")</f>
        <v/>
      </c>
      <c r="AE147" s="110" t="str">
        <f>IFERROR(INDEX('WetLitterbags placem_collection'!$A$3:$A$500,MATCH($A147,'WetLitterbags placem_collection'!$Q$4:$Q$500,0)),"")</f>
        <v/>
      </c>
    </row>
    <row r="148" spans="1:31">
      <c r="A148" s="206" t="s">
        <v>1500</v>
      </c>
      <c r="C148" s="201">
        <v>36</v>
      </c>
      <c r="D148" s="202">
        <v>0.51780000000000004</v>
      </c>
      <c r="E148" s="202">
        <v>10.1157</v>
      </c>
      <c r="F148" s="202">
        <v>0.20710000000000001</v>
      </c>
      <c r="G148" s="201">
        <f t="shared" si="16"/>
        <v>10.322800000000001</v>
      </c>
      <c r="H148" s="201">
        <v>10.1289</v>
      </c>
      <c r="I148" s="201">
        <f t="shared" si="17"/>
        <v>0.19390000000000107</v>
      </c>
      <c r="J148" s="201">
        <f t="shared" si="18"/>
        <v>1.3199999999998935E-2</v>
      </c>
      <c r="K148" s="280">
        <f t="shared" si="19"/>
        <v>6.3737324963780466</v>
      </c>
      <c r="L148" s="201">
        <v>22</v>
      </c>
      <c r="M148" s="205">
        <v>43199</v>
      </c>
      <c r="N148" s="205">
        <v>43199</v>
      </c>
      <c r="O148" s="201"/>
      <c r="P148" s="201"/>
      <c r="AB148" s="110" t="str">
        <f>IFERROR(INDEX('WetLitterbags placem_collection'!$A$3:$A$500,MATCH(A148,'WetLitterbags placem_collection'!$K$4:$K$500,0)),"")</f>
        <v/>
      </c>
      <c r="AC148" s="110">
        <f>IFERROR(INDEX('WetLitterbags placem_collection'!$A$3:$A$500,MATCH($A148,'WetLitterbags placem_collection'!$O$4:$O$500,0)),"")</f>
        <v>35</v>
      </c>
      <c r="AD148" s="110" t="str">
        <f>IFERROR(INDEX('WetLitterbags placem_collection'!$A$3:$A$500,MATCH($A148,'WetLitterbags placem_collection'!$M$4:$M$500,0)),"")</f>
        <v/>
      </c>
      <c r="AE148" s="110" t="str">
        <f>IFERROR(INDEX('WetLitterbags placem_collection'!$A$3:$A$500,MATCH($A148,'WetLitterbags placem_collection'!$Q$4:$Q$500,0)),"")</f>
        <v/>
      </c>
    </row>
    <row r="149" spans="1:31">
      <c r="A149" s="197" t="s">
        <v>1499</v>
      </c>
      <c r="C149" s="198">
        <v>181</v>
      </c>
      <c r="D149" s="197">
        <v>0.42820000000000003</v>
      </c>
      <c r="E149" s="201">
        <v>7.9611000000000001</v>
      </c>
      <c r="F149" s="202">
        <v>0.2046</v>
      </c>
      <c r="G149" s="201">
        <f t="shared" si="16"/>
        <v>8.1656999999999993</v>
      </c>
      <c r="H149" s="201">
        <v>7.9786000000000001</v>
      </c>
      <c r="I149" s="201">
        <f t="shared" si="17"/>
        <v>0.18709999999999916</v>
      </c>
      <c r="J149" s="201">
        <f t="shared" si="18"/>
        <v>1.7500000000000848E-2</v>
      </c>
      <c r="K149" s="280">
        <f t="shared" si="19"/>
        <v>8.5532746823073538</v>
      </c>
      <c r="L149" s="201">
        <v>39</v>
      </c>
      <c r="M149" s="204">
        <v>43212</v>
      </c>
      <c r="AB149" s="110" t="str">
        <f>IFERROR(INDEX('WetLitterbags placem_collection'!$A$3:$A$500,MATCH(A149,'WetLitterbags placem_collection'!$K$4:$K$500,0)),"")</f>
        <v/>
      </c>
      <c r="AC149" s="110">
        <f>IFERROR(INDEX('WetLitterbags placem_collection'!$A$3:$A$500,MATCH($A149,'WetLitterbags placem_collection'!$O$4:$O$500,0)),"")</f>
        <v>180</v>
      </c>
      <c r="AD149" s="110" t="str">
        <f>IFERROR(INDEX('WetLitterbags placem_collection'!$A$3:$A$500,MATCH($A149,'WetLitterbags placem_collection'!$M$4:$M$500,0)),"")</f>
        <v/>
      </c>
      <c r="AE149" s="110" t="str">
        <f>IFERROR(INDEX('WetLitterbags placem_collection'!$A$3:$A$500,MATCH($A149,'WetLitterbags placem_collection'!$Q$4:$Q$500,0)),"")</f>
        <v/>
      </c>
    </row>
    <row r="150" spans="1:31">
      <c r="A150" s="197" t="s">
        <v>1498</v>
      </c>
      <c r="C150" s="198">
        <v>22</v>
      </c>
      <c r="D150" s="197">
        <v>0.54759999999999998</v>
      </c>
      <c r="E150" s="202">
        <v>10.4162</v>
      </c>
      <c r="F150" s="202">
        <v>0.20300000000000001</v>
      </c>
      <c r="G150" s="201">
        <f t="shared" si="16"/>
        <v>10.619199999999999</v>
      </c>
      <c r="H150" s="201">
        <v>10.4407</v>
      </c>
      <c r="I150" s="201">
        <f t="shared" si="17"/>
        <v>0.17849999999999966</v>
      </c>
      <c r="J150" s="201">
        <f t="shared" si="18"/>
        <v>2.4500000000000355E-2</v>
      </c>
      <c r="K150" s="280">
        <f t="shared" si="19"/>
        <v>12.068965517241553</v>
      </c>
      <c r="L150" s="201">
        <v>39</v>
      </c>
      <c r="AB150" s="110" t="str">
        <f>IFERROR(INDEX('WetLitterbags placem_collection'!$A$3:$A$500,MATCH(A150,'WetLitterbags placem_collection'!$K$4:$K$500,0)),"")</f>
        <v/>
      </c>
      <c r="AC150" s="110">
        <f>IFERROR(INDEX('WetLitterbags placem_collection'!$A$3:$A$500,MATCH($A150,'WetLitterbags placem_collection'!$O$4:$O$500,0)),"")</f>
        <v>21</v>
      </c>
      <c r="AD150" s="110" t="str">
        <f>IFERROR(INDEX('WetLitterbags placem_collection'!$A$3:$A$500,MATCH($A150,'WetLitterbags placem_collection'!$M$4:$M$500,0)),"")</f>
        <v/>
      </c>
      <c r="AE150" s="110" t="str">
        <f>IFERROR(INDEX('WetLitterbags placem_collection'!$A$3:$A$500,MATCH($A150,'WetLitterbags placem_collection'!$Q$4:$Q$500,0)),"")</f>
        <v/>
      </c>
    </row>
    <row r="151" spans="1:31">
      <c r="A151" s="206" t="s">
        <v>1496</v>
      </c>
      <c r="C151" s="201">
        <v>64</v>
      </c>
      <c r="D151" s="202">
        <v>1.0066999999999999</v>
      </c>
      <c r="E151" s="201">
        <v>10.675000000000001</v>
      </c>
      <c r="F151" s="202">
        <v>0.20100000000000001</v>
      </c>
      <c r="G151" s="201">
        <f t="shared" si="16"/>
        <v>10.876000000000001</v>
      </c>
      <c r="H151" s="201">
        <v>10.749000000000001</v>
      </c>
      <c r="I151" s="201">
        <f t="shared" si="17"/>
        <v>0.12700000000000067</v>
      </c>
      <c r="J151" s="201">
        <f t="shared" si="18"/>
        <v>7.3999999999999344E-2</v>
      </c>
      <c r="K151" s="280">
        <f t="shared" si="19"/>
        <v>36.815920398009624</v>
      </c>
      <c r="L151" s="201">
        <v>20</v>
      </c>
      <c r="M151" s="205">
        <v>43206</v>
      </c>
      <c r="N151" s="205">
        <v>43206</v>
      </c>
      <c r="O151" s="201"/>
      <c r="P151" s="201"/>
      <c r="AB151" s="110">
        <f>IFERROR(INDEX('WetLitterbags placem_collection'!$A$3:$A$500,MATCH(A151,'WetLitterbags placem_collection'!$K$4:$K$500,0)),"")</f>
        <v>63</v>
      </c>
      <c r="AC151" s="110" t="str">
        <f>IFERROR(INDEX('WetLitterbags placem_collection'!$A$3:$A$500,MATCH($A151,'WetLitterbags placem_collection'!$O$4:$O$500,0)),"")</f>
        <v/>
      </c>
      <c r="AD151" s="110" t="str">
        <f>IFERROR(INDEX('WetLitterbags placem_collection'!$A$3:$A$500,MATCH($A151,'WetLitterbags placem_collection'!$M$4:$M$500,0)),"")</f>
        <v/>
      </c>
      <c r="AE151" s="110" t="str">
        <f>IFERROR(INDEX('WetLitterbags placem_collection'!$A$3:$A$500,MATCH($A151,'WetLitterbags placem_collection'!$Q$4:$Q$500,0)),"")</f>
        <v/>
      </c>
    </row>
    <row r="152" spans="1:31">
      <c r="A152" s="201" t="s">
        <v>1494</v>
      </c>
      <c r="C152" s="197">
        <v>33</v>
      </c>
      <c r="D152" s="201">
        <v>0.43240000000000001</v>
      </c>
      <c r="E152" s="202">
        <v>8.8607999999999993</v>
      </c>
      <c r="F152" s="202">
        <v>0.20230000000000001</v>
      </c>
      <c r="G152" s="201">
        <f t="shared" si="16"/>
        <v>9.0630999999999986</v>
      </c>
      <c r="H152" s="201">
        <v>8.8826000000000001</v>
      </c>
      <c r="I152" s="201">
        <f t="shared" si="17"/>
        <v>0.18049999999999855</v>
      </c>
      <c r="J152" s="201">
        <f t="shared" si="18"/>
        <v>2.1800000000001457E-2</v>
      </c>
      <c r="K152" s="280">
        <f t="shared" si="19"/>
        <v>10.776075135937448</v>
      </c>
      <c r="L152" s="201">
        <v>18</v>
      </c>
      <c r="M152" s="207">
        <v>43186.458333333336</v>
      </c>
      <c r="N152" s="207">
        <v>43186.625</v>
      </c>
      <c r="O152" s="197" t="s">
        <v>2550</v>
      </c>
      <c r="P152" s="201"/>
      <c r="AB152" s="110" t="str">
        <f>IFERROR(INDEX('WetLitterbags placem_collection'!$A$3:$A$500,MATCH(A152,'WetLitterbags placem_collection'!$K$4:$K$500,0)),"")</f>
        <v/>
      </c>
      <c r="AC152" s="110">
        <f>IFERROR(INDEX('WetLitterbags placem_collection'!$A$3:$A$500,MATCH($A152,'WetLitterbags placem_collection'!$O$4:$O$500,0)),"")</f>
        <v>32</v>
      </c>
      <c r="AD152" s="110" t="str">
        <f>IFERROR(INDEX('WetLitterbags placem_collection'!$A$3:$A$500,MATCH($A152,'WetLitterbags placem_collection'!$M$4:$M$500,0)),"")</f>
        <v/>
      </c>
      <c r="AE152" s="110" t="str">
        <f>IFERROR(INDEX('WetLitterbags placem_collection'!$A$3:$A$500,MATCH($A152,'WetLitterbags placem_collection'!$Q$4:$Q$500,0)),"")</f>
        <v/>
      </c>
    </row>
    <row r="153" spans="1:31">
      <c r="A153" s="206" t="s">
        <v>1493</v>
      </c>
      <c r="C153" s="201">
        <v>56</v>
      </c>
      <c r="D153" s="202">
        <v>0.53510000000000002</v>
      </c>
      <c r="E153" s="202">
        <v>10.503500000000001</v>
      </c>
      <c r="F153" s="202">
        <v>0.2056</v>
      </c>
      <c r="G153" s="201">
        <f t="shared" si="16"/>
        <v>10.709100000000001</v>
      </c>
      <c r="H153" s="201">
        <v>10.5266</v>
      </c>
      <c r="I153" s="201">
        <f t="shared" si="17"/>
        <v>0.18250000000000099</v>
      </c>
      <c r="J153" s="201">
        <f t="shared" si="18"/>
        <v>2.309999999999901E-2</v>
      </c>
      <c r="K153" s="280">
        <f t="shared" si="19"/>
        <v>11.235408560310804</v>
      </c>
      <c r="L153" s="201">
        <v>11</v>
      </c>
      <c r="M153" s="201"/>
      <c r="N153" s="201"/>
      <c r="O153" s="201"/>
      <c r="P153" s="201"/>
      <c r="U153" s="202" t="s">
        <v>1596</v>
      </c>
      <c r="V153" s="197">
        <v>0.88949999999999996</v>
      </c>
      <c r="W153" s="197">
        <f>(V153-$T$175+F151)</f>
        <v>1.0905</v>
      </c>
      <c r="AB153" s="110" t="str">
        <f>IFERROR(INDEX('WetLitterbags placem_collection'!$A$3:$A$500,MATCH(A153,'WetLitterbags placem_collection'!$K$4:$K$500,0)),"")</f>
        <v/>
      </c>
      <c r="AC153" s="110">
        <f>IFERROR(INDEX('WetLitterbags placem_collection'!$A$3:$A$500,MATCH($A153,'WetLitterbags placem_collection'!$O$4:$O$500,0)),"")</f>
        <v>55</v>
      </c>
      <c r="AD153" s="110" t="str">
        <f>IFERROR(INDEX('WetLitterbags placem_collection'!$A$3:$A$500,MATCH($A153,'WetLitterbags placem_collection'!$M$4:$M$500,0)),"")</f>
        <v/>
      </c>
      <c r="AE153" s="110" t="str">
        <f>IFERROR(INDEX('WetLitterbags placem_collection'!$A$3:$A$500,MATCH($A153,'WetLitterbags placem_collection'!$Q$4:$Q$500,0)),"")</f>
        <v/>
      </c>
    </row>
    <row r="154" spans="1:31">
      <c r="A154" s="206" t="s">
        <v>1490</v>
      </c>
      <c r="C154" s="201">
        <v>212</v>
      </c>
      <c r="D154" s="201">
        <v>1.1640999999999999</v>
      </c>
      <c r="E154" s="201">
        <v>8.1172000000000004</v>
      </c>
      <c r="F154" s="201">
        <v>0.20930000000000001</v>
      </c>
      <c r="G154" s="201">
        <f t="shared" si="16"/>
        <v>8.3265000000000011</v>
      </c>
      <c r="H154" s="201">
        <v>8.1989999999999998</v>
      </c>
      <c r="I154" s="201">
        <f t="shared" si="17"/>
        <v>0.12750000000000128</v>
      </c>
      <c r="J154" s="201">
        <f t="shared" si="18"/>
        <v>8.1799999999998735E-2</v>
      </c>
      <c r="K154" s="280">
        <f t="shared" si="19"/>
        <v>39.082656473960213</v>
      </c>
      <c r="L154" s="201">
        <v>3</v>
      </c>
      <c r="M154" s="203">
        <v>43171.520833333336</v>
      </c>
      <c r="N154" s="203">
        <v>43171.6875</v>
      </c>
      <c r="O154" s="197" t="s">
        <v>2550</v>
      </c>
      <c r="P154" s="201"/>
      <c r="AB154" s="110" t="str">
        <f>IFERROR(INDEX('WetLitterbags placem_collection'!$A$3:$A$500,MATCH(A154,'WetLitterbags placem_collection'!$K$4:$K$500,0)),"")</f>
        <v/>
      </c>
      <c r="AC154" s="110">
        <f>IFERROR(INDEX('WetLitterbags placem_collection'!$A$3:$A$500,MATCH($A154,'WetLitterbags placem_collection'!$O$4:$O$500,0)),"")</f>
        <v>211</v>
      </c>
      <c r="AD154" s="110" t="str">
        <f>IFERROR(INDEX('WetLitterbags placem_collection'!$A$3:$A$500,MATCH($A154,'WetLitterbags placem_collection'!$M$4:$M$500,0)),"")</f>
        <v/>
      </c>
      <c r="AE154" s="110" t="str">
        <f>IFERROR(INDEX('WetLitterbags placem_collection'!$A$3:$A$500,MATCH($A154,'WetLitterbags placem_collection'!$Q$4:$Q$500,0)),"")</f>
        <v/>
      </c>
    </row>
    <row r="155" spans="1:31">
      <c r="A155" s="197" t="s">
        <v>1489</v>
      </c>
      <c r="C155" s="197">
        <v>86</v>
      </c>
      <c r="D155" s="197">
        <v>0.55600000000000005</v>
      </c>
      <c r="E155" s="197">
        <v>19.649999999999999</v>
      </c>
      <c r="F155" s="197">
        <v>0.20119999999999999</v>
      </c>
      <c r="G155" s="197">
        <f t="shared" si="16"/>
        <v>19.851199999999999</v>
      </c>
      <c r="H155" s="197">
        <v>19.6675</v>
      </c>
      <c r="I155" s="197">
        <f t="shared" si="17"/>
        <v>0.1836999999999982</v>
      </c>
      <c r="J155" s="201">
        <f t="shared" si="18"/>
        <v>1.7500000000001792E-2</v>
      </c>
      <c r="K155" s="280">
        <f t="shared" si="19"/>
        <v>8.6978131212732563</v>
      </c>
      <c r="L155" s="197">
        <v>12</v>
      </c>
      <c r="M155" s="197" t="s">
        <v>2580</v>
      </c>
      <c r="N155" s="197" t="s">
        <v>2579</v>
      </c>
      <c r="O155" s="197" t="s">
        <v>2556</v>
      </c>
      <c r="AB155" s="110" t="str">
        <f>IFERROR(INDEX('WetLitterbags placem_collection'!$A$3:$A$500,MATCH(A155,'WetLitterbags placem_collection'!$K$4:$K$500,0)),"")</f>
        <v/>
      </c>
      <c r="AC155" s="110">
        <f>IFERROR(INDEX('WetLitterbags placem_collection'!$A$3:$A$500,MATCH($A155,'WetLitterbags placem_collection'!$O$4:$O$500,0)),"")</f>
        <v>85</v>
      </c>
      <c r="AD155" s="110" t="str">
        <f>IFERROR(INDEX('WetLitterbags placem_collection'!$A$3:$A$500,MATCH($A155,'WetLitterbags placem_collection'!$M$4:$M$500,0)),"")</f>
        <v/>
      </c>
      <c r="AE155" s="110" t="str">
        <f>IFERROR(INDEX('WetLitterbags placem_collection'!$A$3:$A$500,MATCH($A155,'WetLitterbags placem_collection'!$Q$4:$Q$500,0)),"")</f>
        <v/>
      </c>
    </row>
    <row r="156" spans="1:31">
      <c r="A156" s="206" t="s">
        <v>1487</v>
      </c>
      <c r="C156" s="201">
        <v>116</v>
      </c>
      <c r="D156" s="202">
        <v>0.43070000000000003</v>
      </c>
      <c r="E156" s="202">
        <v>7.1894999999999998</v>
      </c>
      <c r="F156" s="202">
        <v>0.20100000000000001</v>
      </c>
      <c r="G156" s="201">
        <f t="shared" si="16"/>
        <v>7.3904999999999994</v>
      </c>
      <c r="H156" s="201">
        <v>7.2225999999999999</v>
      </c>
      <c r="I156" s="201">
        <f t="shared" si="17"/>
        <v>0.16789999999999949</v>
      </c>
      <c r="J156" s="201">
        <f t="shared" si="18"/>
        <v>3.3100000000000518E-2</v>
      </c>
      <c r="K156" s="280">
        <f t="shared" si="19"/>
        <v>16.467661691542546</v>
      </c>
      <c r="L156" s="201">
        <v>15</v>
      </c>
      <c r="M156" s="203">
        <v>43181.645833333336</v>
      </c>
      <c r="N156" s="203">
        <v>43181.833333333336</v>
      </c>
      <c r="O156" s="201" t="s">
        <v>2556</v>
      </c>
      <c r="P156" s="201"/>
      <c r="AB156" s="110" t="str">
        <f>IFERROR(INDEX('WetLitterbags placem_collection'!$A$3:$A$500,MATCH(A156,'WetLitterbags placem_collection'!$K$4:$K$500,0)),"")</f>
        <v/>
      </c>
      <c r="AC156" s="110">
        <f>IFERROR(INDEX('WetLitterbags placem_collection'!$A$3:$A$500,MATCH($A156,'WetLitterbags placem_collection'!$O$4:$O$500,0)),"")</f>
        <v>115</v>
      </c>
      <c r="AD156" s="110" t="str">
        <f>IFERROR(INDEX('WetLitterbags placem_collection'!$A$3:$A$500,MATCH($A156,'WetLitterbags placem_collection'!$M$4:$M$500,0)),"")</f>
        <v/>
      </c>
      <c r="AE156" s="110" t="str">
        <f>IFERROR(INDEX('WetLitterbags placem_collection'!$A$3:$A$500,MATCH($A156,'WetLitterbags placem_collection'!$Q$4:$Q$500,0)),"")</f>
        <v/>
      </c>
    </row>
    <row r="157" spans="1:31">
      <c r="A157" s="197" t="s">
        <v>1486</v>
      </c>
      <c r="C157" s="198">
        <v>185</v>
      </c>
      <c r="D157" s="197">
        <v>0.44240000000000002</v>
      </c>
      <c r="E157" s="202">
        <v>10.0556</v>
      </c>
      <c r="F157" s="202">
        <v>0.2016</v>
      </c>
      <c r="G157" s="201">
        <f t="shared" si="16"/>
        <v>10.257200000000001</v>
      </c>
      <c r="H157" s="201">
        <v>10.0726</v>
      </c>
      <c r="I157" s="201">
        <f t="shared" si="17"/>
        <v>0.18460000000000143</v>
      </c>
      <c r="J157" s="201">
        <f t="shared" si="18"/>
        <v>1.6999999999998572E-2</v>
      </c>
      <c r="K157" s="280">
        <f t="shared" si="19"/>
        <v>8.4325396825389731</v>
      </c>
      <c r="L157" s="201">
        <v>3</v>
      </c>
      <c r="AB157" s="110" t="str">
        <f>IFERROR(INDEX('WetLitterbags placem_collection'!$A$3:$A$500,MATCH(A157,'WetLitterbags placem_collection'!$K$4:$K$500,0)),"")</f>
        <v/>
      </c>
      <c r="AC157" s="110">
        <f>IFERROR(INDEX('WetLitterbags placem_collection'!$A$3:$A$500,MATCH($A157,'WetLitterbags placem_collection'!$O$4:$O$500,0)),"")</f>
        <v>184</v>
      </c>
      <c r="AD157" s="110" t="str">
        <f>IFERROR(INDEX('WetLitterbags placem_collection'!$A$3:$A$500,MATCH($A157,'WetLitterbags placem_collection'!$M$4:$M$500,0)),"")</f>
        <v/>
      </c>
      <c r="AE157" s="110" t="str">
        <f>IFERROR(INDEX('WetLitterbags placem_collection'!$A$3:$A$500,MATCH($A157,'WetLitterbags placem_collection'!$Q$4:$Q$500,0)),"")</f>
        <v/>
      </c>
    </row>
    <row r="158" spans="1:31">
      <c r="A158" s="197" t="s">
        <v>1485</v>
      </c>
      <c r="C158" s="197">
        <v>62</v>
      </c>
      <c r="D158" s="197">
        <v>0.68069999999999997</v>
      </c>
      <c r="E158" s="197">
        <v>11.747999999999999</v>
      </c>
      <c r="F158" s="197">
        <v>0.20549999999999999</v>
      </c>
      <c r="G158" s="197">
        <f t="shared" si="16"/>
        <v>11.9535</v>
      </c>
      <c r="H158" s="197">
        <v>11.7906</v>
      </c>
      <c r="I158" s="197">
        <f t="shared" si="17"/>
        <v>0.16290000000000049</v>
      </c>
      <c r="J158" s="201">
        <f t="shared" si="18"/>
        <v>4.2599999999999499E-2</v>
      </c>
      <c r="K158" s="280">
        <f t="shared" si="19"/>
        <v>20.729927007299029</v>
      </c>
      <c r="L158" s="197">
        <v>45</v>
      </c>
      <c r="M158" s="197" t="s">
        <v>2586</v>
      </c>
      <c r="N158" s="197" t="s">
        <v>2585</v>
      </c>
      <c r="O158" s="197" t="s">
        <v>2550</v>
      </c>
      <c r="AB158" s="110">
        <f>IFERROR(INDEX('WetLitterbags placem_collection'!$A$3:$A$500,MATCH(A158,'WetLitterbags placem_collection'!$K$4:$K$500,0)),"")</f>
        <v>61</v>
      </c>
      <c r="AC158" s="110" t="str">
        <f>IFERROR(INDEX('WetLitterbags placem_collection'!$A$3:$A$500,MATCH($A158,'WetLitterbags placem_collection'!$O$4:$O$500,0)),"")</f>
        <v/>
      </c>
      <c r="AD158" s="110" t="str">
        <f>IFERROR(INDEX('WetLitterbags placem_collection'!$A$3:$A$500,MATCH($A158,'WetLitterbags placem_collection'!$M$4:$M$500,0)),"")</f>
        <v/>
      </c>
      <c r="AE158" s="110" t="str">
        <f>IFERROR(INDEX('WetLitterbags placem_collection'!$A$3:$A$500,MATCH($A158,'WetLitterbags placem_collection'!$Q$4:$Q$500,0)),"")</f>
        <v/>
      </c>
    </row>
    <row r="159" spans="1:31">
      <c r="A159" s="202" t="s">
        <v>1485</v>
      </c>
      <c r="C159" s="201">
        <v>117</v>
      </c>
      <c r="D159" s="201">
        <v>1.1574</v>
      </c>
      <c r="E159" s="201">
        <v>8.0631000000000004</v>
      </c>
      <c r="F159" s="201">
        <v>0.20119999999999999</v>
      </c>
      <c r="G159" s="201">
        <f t="shared" si="16"/>
        <v>8.2643000000000004</v>
      </c>
      <c r="H159" s="201">
        <v>8.0713000000000008</v>
      </c>
      <c r="I159" s="201">
        <f t="shared" si="17"/>
        <v>0.19299999999999962</v>
      </c>
      <c r="J159" s="201">
        <f t="shared" si="18"/>
        <v>8.2000000000003737E-3</v>
      </c>
      <c r="K159" s="280">
        <f t="shared" si="19"/>
        <v>4.0755467196820945</v>
      </c>
      <c r="L159" s="201">
        <v>30</v>
      </c>
      <c r="M159" s="205">
        <v>43173</v>
      </c>
      <c r="N159" s="205">
        <v>43173</v>
      </c>
      <c r="O159" s="201" t="s">
        <v>2556</v>
      </c>
      <c r="P159" s="201" t="s">
        <v>2555</v>
      </c>
      <c r="AB159" s="110">
        <f>IFERROR(INDEX('WetLitterbags placem_collection'!$A$3:$A$500,MATCH(A159,'WetLitterbags placem_collection'!$K$4:$K$500,0)),"")</f>
        <v>61</v>
      </c>
      <c r="AC159" s="110" t="str">
        <f>IFERROR(INDEX('WetLitterbags placem_collection'!$A$3:$A$500,MATCH($A159,'WetLitterbags placem_collection'!$O$4:$O$500,0)),"")</f>
        <v/>
      </c>
      <c r="AD159" s="110" t="str">
        <f>IFERROR(INDEX('WetLitterbags placem_collection'!$A$3:$A$500,MATCH($A159,'WetLitterbags placem_collection'!$M$4:$M$500,0)),"")</f>
        <v/>
      </c>
      <c r="AE159" s="110" t="str">
        <f>IFERROR(INDEX('WetLitterbags placem_collection'!$A$3:$A$500,MATCH($A159,'WetLitterbags placem_collection'!$Q$4:$Q$500,0)),"")</f>
        <v/>
      </c>
    </row>
    <row r="160" spans="1:31">
      <c r="A160" s="197" t="s">
        <v>1484</v>
      </c>
      <c r="C160" s="197">
        <v>39</v>
      </c>
      <c r="D160" s="197">
        <v>0.57299999999999995</v>
      </c>
      <c r="E160" s="197">
        <v>7.8696000000000002</v>
      </c>
      <c r="F160" s="197">
        <v>0.20100000000000001</v>
      </c>
      <c r="G160" s="197">
        <f t="shared" si="16"/>
        <v>8.0706000000000007</v>
      </c>
      <c r="H160" s="197">
        <v>7.8784999999999998</v>
      </c>
      <c r="I160" s="197">
        <f t="shared" si="17"/>
        <v>0.19210000000000083</v>
      </c>
      <c r="J160" s="201">
        <f t="shared" si="18"/>
        <v>8.8999999999991863E-3</v>
      </c>
      <c r="K160" s="280">
        <f t="shared" si="19"/>
        <v>4.4278606965170084</v>
      </c>
      <c r="L160" s="197">
        <v>27</v>
      </c>
      <c r="M160" s="197" t="s">
        <v>2586</v>
      </c>
      <c r="N160" s="197" t="s">
        <v>2585</v>
      </c>
      <c r="O160" s="197" t="s">
        <v>2550</v>
      </c>
      <c r="AB160" s="110" t="str">
        <f>IFERROR(INDEX('WetLitterbags placem_collection'!$A$3:$A$500,MATCH(A160,'WetLitterbags placem_collection'!$K$4:$K$500,0)),"")</f>
        <v/>
      </c>
      <c r="AC160" s="110">
        <f>IFERROR(INDEX('WetLitterbags placem_collection'!$A$3:$A$500,MATCH($A160,'WetLitterbags placem_collection'!$O$4:$O$500,0)),"")</f>
        <v>38</v>
      </c>
      <c r="AD160" s="110" t="str">
        <f>IFERROR(INDEX('WetLitterbags placem_collection'!$A$3:$A$500,MATCH($A160,'WetLitterbags placem_collection'!$M$4:$M$500,0)),"")</f>
        <v/>
      </c>
      <c r="AE160" s="110" t="str">
        <f>IFERROR(INDEX('WetLitterbags placem_collection'!$A$3:$A$500,MATCH($A160,'WetLitterbags placem_collection'!$Q$4:$Q$500,0)),"")</f>
        <v/>
      </c>
    </row>
    <row r="161" spans="1:31">
      <c r="A161" s="201" t="s">
        <v>1483</v>
      </c>
      <c r="C161" s="201">
        <v>151</v>
      </c>
      <c r="D161" s="197">
        <v>0.56779999999999997</v>
      </c>
      <c r="E161" s="197">
        <v>9.0214999999999996</v>
      </c>
      <c r="F161" s="197">
        <v>0.2077</v>
      </c>
      <c r="G161" s="197">
        <f t="shared" si="16"/>
        <v>9.2291999999999987</v>
      </c>
      <c r="H161" s="197">
        <v>9.0632000000000001</v>
      </c>
      <c r="I161" s="197">
        <f t="shared" si="17"/>
        <v>0.16599999999999859</v>
      </c>
      <c r="J161" s="201">
        <f t="shared" si="18"/>
        <v>4.1700000000001403E-2</v>
      </c>
      <c r="K161" s="280">
        <f t="shared" si="19"/>
        <v>20.077034183919789</v>
      </c>
      <c r="L161" s="197">
        <v>13</v>
      </c>
      <c r="M161" s="207">
        <v>43160.520833333336</v>
      </c>
      <c r="N161" s="207">
        <v>43160.6875</v>
      </c>
      <c r="O161" s="197" t="s">
        <v>2550</v>
      </c>
      <c r="AB161" s="110">
        <f>IFERROR(INDEX('WetLitterbags placem_collection'!$A$3:$A$500,MATCH(A161,'WetLitterbags placem_collection'!$K$4:$K$500,0)),"")</f>
        <v>150</v>
      </c>
      <c r="AC161" s="110" t="str">
        <f>IFERROR(INDEX('WetLitterbags placem_collection'!$A$3:$A$500,MATCH($A161,'WetLitterbags placem_collection'!$O$4:$O$500,0)),"")</f>
        <v/>
      </c>
      <c r="AD161" s="110" t="str">
        <f>IFERROR(INDEX('WetLitterbags placem_collection'!$A$3:$A$500,MATCH($A161,'WetLitterbags placem_collection'!$M$4:$M$500,0)),"")</f>
        <v/>
      </c>
      <c r="AE161" s="110" t="str">
        <f>IFERROR(INDEX('WetLitterbags placem_collection'!$A$3:$A$500,MATCH($A161,'WetLitterbags placem_collection'!$Q$4:$Q$500,0)),"")</f>
        <v/>
      </c>
    </row>
    <row r="162" spans="1:31">
      <c r="A162" s="197" t="s">
        <v>1482</v>
      </c>
      <c r="C162" s="198">
        <v>2</v>
      </c>
      <c r="D162" s="197">
        <v>0.44080000000000003</v>
      </c>
      <c r="E162" s="202">
        <v>10.1248</v>
      </c>
      <c r="F162" s="202">
        <v>0.2011</v>
      </c>
      <c r="G162" s="201">
        <f t="shared" si="16"/>
        <v>10.325900000000001</v>
      </c>
      <c r="H162" s="201">
        <v>10.1419</v>
      </c>
      <c r="I162" s="201">
        <f t="shared" si="17"/>
        <v>0.18400000000000105</v>
      </c>
      <c r="J162" s="201">
        <f t="shared" si="18"/>
        <v>1.7099999999998949E-2</v>
      </c>
      <c r="K162" s="280">
        <f t="shared" si="19"/>
        <v>8.5032322227742174</v>
      </c>
      <c r="L162" s="201">
        <v>8</v>
      </c>
      <c r="M162" s="204">
        <v>43221</v>
      </c>
      <c r="N162" s="204">
        <v>43221</v>
      </c>
      <c r="T162" s="204"/>
      <c r="U162" s="204"/>
      <c r="AB162" s="110">
        <f>IFERROR(INDEX('WetLitterbags placem_collection'!$A$3:$A$500,MATCH(A162,'WetLitterbags placem_collection'!$K$4:$K$500,0)),"")</f>
        <v>1</v>
      </c>
      <c r="AC162" s="110" t="str">
        <f>IFERROR(INDEX('WetLitterbags placem_collection'!$A$3:$A$500,MATCH($A162,'WetLitterbags placem_collection'!$O$4:$O$500,0)),"")</f>
        <v/>
      </c>
      <c r="AD162" s="110" t="str">
        <f>IFERROR(INDEX('WetLitterbags placem_collection'!$A$3:$A$500,MATCH($A162,'WetLitterbags placem_collection'!$M$4:$M$500,0)),"")</f>
        <v/>
      </c>
      <c r="AE162" s="110" t="str">
        <f>IFERROR(INDEX('WetLitterbags placem_collection'!$A$3:$A$500,MATCH($A162,'WetLitterbags placem_collection'!$Q$4:$Q$500,0)),"")</f>
        <v/>
      </c>
    </row>
    <row r="163" spans="1:31">
      <c r="A163" s="197" t="s">
        <v>1479</v>
      </c>
      <c r="C163" s="197">
        <v>17</v>
      </c>
      <c r="D163" s="197">
        <v>0.50049999999999994</v>
      </c>
      <c r="E163" s="201">
        <v>11.171799999999999</v>
      </c>
      <c r="F163" s="202">
        <v>0.20369999999999999</v>
      </c>
      <c r="G163" s="201">
        <f t="shared" si="16"/>
        <v>11.375499999999999</v>
      </c>
      <c r="H163" s="201">
        <v>11.1915</v>
      </c>
      <c r="I163" s="201">
        <f t="shared" si="17"/>
        <v>0.18399999999999928</v>
      </c>
      <c r="J163" s="201">
        <f t="shared" si="18"/>
        <v>1.9700000000000717E-2</v>
      </c>
      <c r="K163" s="280">
        <f t="shared" si="19"/>
        <v>9.6710849288172405</v>
      </c>
      <c r="L163" s="201">
        <v>18</v>
      </c>
      <c r="M163" s="204">
        <v>43213</v>
      </c>
      <c r="N163" s="204">
        <v>43213</v>
      </c>
      <c r="AB163" s="110">
        <f>IFERROR(INDEX('WetLitterbags placem_collection'!$A$3:$A$500,MATCH(A163,'WetLitterbags placem_collection'!$K$4:$K$500,0)),"")</f>
        <v>16</v>
      </c>
      <c r="AC163" s="110" t="str">
        <f>IFERROR(INDEX('WetLitterbags placem_collection'!$A$3:$A$500,MATCH($A163,'WetLitterbags placem_collection'!$O$4:$O$500,0)),"")</f>
        <v/>
      </c>
      <c r="AD163" s="110" t="str">
        <f>IFERROR(INDEX('WetLitterbags placem_collection'!$A$3:$A$500,MATCH($A163,'WetLitterbags placem_collection'!$M$4:$M$500,0)),"")</f>
        <v/>
      </c>
      <c r="AE163" s="110" t="str">
        <f>IFERROR(INDEX('WetLitterbags placem_collection'!$A$3:$A$500,MATCH($A163,'WetLitterbags placem_collection'!$Q$4:$Q$500,0)),"")</f>
        <v/>
      </c>
    </row>
    <row r="164" spans="1:31">
      <c r="A164" s="201" t="s">
        <v>1478</v>
      </c>
      <c r="C164" s="201">
        <v>213</v>
      </c>
      <c r="D164" s="201">
        <v>0.49080000000000001</v>
      </c>
      <c r="E164" s="201">
        <v>9.8213000000000008</v>
      </c>
      <c r="F164" s="201">
        <v>0.2019</v>
      </c>
      <c r="G164" s="201">
        <f t="shared" si="16"/>
        <v>10.023200000000001</v>
      </c>
      <c r="H164" s="201">
        <v>9.8420000000000005</v>
      </c>
      <c r="I164" s="201">
        <f t="shared" si="17"/>
        <v>0.18120000000000047</v>
      </c>
      <c r="J164" s="201">
        <f t="shared" si="18"/>
        <v>2.0699999999999524E-2</v>
      </c>
      <c r="K164" s="280">
        <f t="shared" si="19"/>
        <v>10.252600297176585</v>
      </c>
      <c r="L164" s="201">
        <v>8</v>
      </c>
      <c r="M164" s="205">
        <v>43188</v>
      </c>
      <c r="N164" s="205">
        <v>43188</v>
      </c>
      <c r="O164" s="201"/>
      <c r="P164" s="201"/>
      <c r="AB164" s="110">
        <f>IFERROR(INDEX('WetLitterbags placem_collection'!$A$3:$A$500,MATCH(A164,'WetLitterbags placem_collection'!$K$4:$K$500,0)),"")</f>
        <v>212</v>
      </c>
      <c r="AC164" s="110" t="str">
        <f>IFERROR(INDEX('WetLitterbags placem_collection'!$A$3:$A$500,MATCH($A164,'WetLitterbags placem_collection'!$O$4:$O$500,0)),"")</f>
        <v/>
      </c>
      <c r="AD164" s="110" t="str">
        <f>IFERROR(INDEX('WetLitterbags placem_collection'!$A$3:$A$500,MATCH($A164,'WetLitterbags placem_collection'!$M$4:$M$500,0)),"")</f>
        <v/>
      </c>
      <c r="AE164" s="110" t="str">
        <f>IFERROR(INDEX('WetLitterbags placem_collection'!$A$3:$A$500,MATCH($A164,'WetLitterbags placem_collection'!$Q$4:$Q$500,0)),"")</f>
        <v/>
      </c>
    </row>
    <row r="165" spans="1:31">
      <c r="A165" s="206" t="s">
        <v>1477</v>
      </c>
      <c r="C165" s="201">
        <v>18</v>
      </c>
      <c r="D165" s="201">
        <v>0.4874</v>
      </c>
      <c r="E165" s="201">
        <v>7.9055</v>
      </c>
      <c r="F165" s="202">
        <v>0.20780000000000001</v>
      </c>
      <c r="G165" s="201">
        <f t="shared" si="16"/>
        <v>8.1133000000000006</v>
      </c>
      <c r="H165" s="201">
        <v>7.9348000000000001</v>
      </c>
      <c r="I165" s="201">
        <f t="shared" si="17"/>
        <v>0.17850000000000055</v>
      </c>
      <c r="J165" s="201">
        <f t="shared" si="18"/>
        <v>2.9299999999999465E-2</v>
      </c>
      <c r="K165" s="280">
        <f t="shared" si="19"/>
        <v>14.100096246390503</v>
      </c>
      <c r="L165" s="201">
        <v>9</v>
      </c>
      <c r="M165" s="205">
        <v>43187</v>
      </c>
      <c r="N165" s="205">
        <v>43187</v>
      </c>
      <c r="O165" s="201"/>
      <c r="P165" s="201" t="s">
        <v>2490</v>
      </c>
      <c r="AB165" s="110" t="str">
        <f>IFERROR(INDEX('WetLitterbags placem_collection'!$A$3:$A$500,MATCH(A165,'WetLitterbags placem_collection'!$K$4:$K$500,0)),"")</f>
        <v/>
      </c>
      <c r="AC165" s="110">
        <f>IFERROR(INDEX('WetLitterbags placem_collection'!$A$3:$A$500,MATCH($A165,'WetLitterbags placem_collection'!$O$4:$O$500,0)),"")</f>
        <v>17</v>
      </c>
      <c r="AD165" s="110" t="str">
        <f>IFERROR(INDEX('WetLitterbags placem_collection'!$A$3:$A$500,MATCH($A165,'WetLitterbags placem_collection'!$M$4:$M$500,0)),"")</f>
        <v/>
      </c>
      <c r="AE165" s="110" t="str">
        <f>IFERROR(INDEX('WetLitterbags placem_collection'!$A$3:$A$500,MATCH($A165,'WetLitterbags placem_collection'!$Q$4:$Q$500,0)),"")</f>
        <v/>
      </c>
    </row>
    <row r="166" spans="1:31">
      <c r="A166" s="201" t="s">
        <v>1476</v>
      </c>
      <c r="C166" s="201">
        <v>207</v>
      </c>
      <c r="D166" s="201">
        <v>0.54110000000000003</v>
      </c>
      <c r="E166" s="202">
        <v>10.6175</v>
      </c>
      <c r="F166" s="202">
        <v>0.2</v>
      </c>
      <c r="G166" s="201">
        <f t="shared" si="16"/>
        <v>10.817499999999999</v>
      </c>
      <c r="H166" s="201">
        <v>10.6647</v>
      </c>
      <c r="I166" s="201">
        <f t="shared" si="17"/>
        <v>0.15279999999999916</v>
      </c>
      <c r="J166" s="201">
        <f t="shared" si="18"/>
        <v>4.7200000000000852E-2</v>
      </c>
      <c r="K166" s="280">
        <f t="shared" si="19"/>
        <v>23.600000000000428</v>
      </c>
      <c r="L166" s="201">
        <v>8</v>
      </c>
      <c r="M166" s="205">
        <v>43197</v>
      </c>
      <c r="N166" s="205">
        <v>43197</v>
      </c>
      <c r="O166" s="201"/>
      <c r="P166" s="201"/>
      <c r="AB166" s="110">
        <f>IFERROR(INDEX('WetLitterbags placem_collection'!$A$3:$A$500,MATCH(A166,'WetLitterbags placem_collection'!$K$4:$K$500,0)),"")</f>
        <v>206</v>
      </c>
      <c r="AC166" s="110" t="str">
        <f>IFERROR(INDEX('WetLitterbags placem_collection'!$A$3:$A$500,MATCH($A166,'WetLitterbags placem_collection'!$O$4:$O$500,0)),"")</f>
        <v/>
      </c>
      <c r="AD166" s="110" t="str">
        <f>IFERROR(INDEX('WetLitterbags placem_collection'!$A$3:$A$500,MATCH($A166,'WetLitterbags placem_collection'!$M$4:$M$500,0)),"")</f>
        <v/>
      </c>
      <c r="AE166" s="110" t="str">
        <f>IFERROR(INDEX('WetLitterbags placem_collection'!$A$3:$A$500,MATCH($A166,'WetLitterbags placem_collection'!$Q$4:$Q$500,0)),"")</f>
        <v/>
      </c>
    </row>
    <row r="167" spans="1:31">
      <c r="A167" s="197" t="s">
        <v>1475</v>
      </c>
      <c r="C167" s="198">
        <v>22</v>
      </c>
      <c r="D167" s="197">
        <v>0.53739999999999999</v>
      </c>
      <c r="E167" s="202">
        <v>9.7211999999999996</v>
      </c>
      <c r="F167" s="202">
        <v>0.20150000000000001</v>
      </c>
      <c r="G167" s="201">
        <f t="shared" si="16"/>
        <v>9.922699999999999</v>
      </c>
      <c r="H167" s="201">
        <v>9.7409999999999997</v>
      </c>
      <c r="I167" s="201">
        <f t="shared" si="17"/>
        <v>0.18169999999999931</v>
      </c>
      <c r="J167" s="201">
        <f t="shared" si="18"/>
        <v>1.9800000000000706E-2</v>
      </c>
      <c r="K167" s="280">
        <f t="shared" si="19"/>
        <v>9.8263027295288854</v>
      </c>
      <c r="L167" s="201">
        <v>8</v>
      </c>
      <c r="AB167" s="110">
        <f>IFERROR(INDEX('WetLitterbags placem_collection'!$A$3:$A$500,MATCH(A167,'WetLitterbags placem_collection'!$K$4:$K$500,0)),"")</f>
        <v>21</v>
      </c>
      <c r="AC167" s="110" t="str">
        <f>IFERROR(INDEX('WetLitterbags placem_collection'!$A$3:$A$500,MATCH($A167,'WetLitterbags placem_collection'!$O$4:$O$500,0)),"")</f>
        <v/>
      </c>
      <c r="AD167" s="110" t="str">
        <f>IFERROR(INDEX('WetLitterbags placem_collection'!$A$3:$A$500,MATCH($A167,'WetLitterbags placem_collection'!$M$4:$M$500,0)),"")</f>
        <v/>
      </c>
      <c r="AE167" s="110" t="str">
        <f>IFERROR(INDEX('WetLitterbags placem_collection'!$A$3:$A$500,MATCH($A167,'WetLitterbags placem_collection'!$Q$4:$Q$500,0)),"")</f>
        <v/>
      </c>
    </row>
    <row r="168" spans="1:31">
      <c r="A168" s="197" t="s">
        <v>1473</v>
      </c>
      <c r="C168" s="198">
        <v>5</v>
      </c>
      <c r="D168" s="197">
        <v>0.2429</v>
      </c>
      <c r="E168" s="202">
        <v>10.540100000000001</v>
      </c>
      <c r="F168" s="202">
        <v>0.20069999999999999</v>
      </c>
      <c r="G168" s="201">
        <f t="shared" si="16"/>
        <v>10.7408</v>
      </c>
      <c r="H168" s="201">
        <v>10.568899999999999</v>
      </c>
      <c r="I168" s="201">
        <f t="shared" si="17"/>
        <v>0.17190000000000083</v>
      </c>
      <c r="J168" s="201">
        <f t="shared" si="18"/>
        <v>2.879999999999916E-2</v>
      </c>
      <c r="K168" s="280">
        <f t="shared" si="19"/>
        <v>14.349775784752945</v>
      </c>
      <c r="L168" s="201">
        <v>22</v>
      </c>
      <c r="AB168" s="110" t="str">
        <f>IFERROR(INDEX('WetLitterbags placem_collection'!$A$3:$A$500,MATCH(A168,'WetLitterbags placem_collection'!$K$4:$K$500,0)),"")</f>
        <v/>
      </c>
      <c r="AC168" s="110">
        <f>IFERROR(INDEX('WetLitterbags placem_collection'!$A$3:$A$500,MATCH($A168,'WetLitterbags placem_collection'!$O$4:$O$500,0)),"")</f>
        <v>4</v>
      </c>
      <c r="AD168" s="110" t="str">
        <f>IFERROR(INDEX('WetLitterbags placem_collection'!$A$3:$A$500,MATCH($A168,'WetLitterbags placem_collection'!$M$4:$M$500,0)),"")</f>
        <v/>
      </c>
      <c r="AE168" s="110" t="str">
        <f>IFERROR(INDEX('WetLitterbags placem_collection'!$A$3:$A$500,MATCH($A168,'WetLitterbags placem_collection'!$Q$4:$Q$500,0)),"")</f>
        <v/>
      </c>
    </row>
    <row r="169" spans="1:31">
      <c r="A169" s="197" t="s">
        <v>1471</v>
      </c>
      <c r="C169" s="197">
        <v>74</v>
      </c>
      <c r="D169" s="197">
        <v>0.52349999999999997</v>
      </c>
      <c r="E169" s="197">
        <v>7.9614000000000003</v>
      </c>
      <c r="F169" s="197">
        <v>0.1993</v>
      </c>
      <c r="G169" s="197">
        <f t="shared" si="16"/>
        <v>8.1607000000000003</v>
      </c>
      <c r="H169" s="197">
        <v>7.9794999999999998</v>
      </c>
      <c r="I169" s="197">
        <f t="shared" si="17"/>
        <v>0.18120000000000047</v>
      </c>
      <c r="J169" s="201">
        <f t="shared" si="18"/>
        <v>1.8099999999999533E-2</v>
      </c>
      <c r="K169" s="280">
        <f t="shared" si="19"/>
        <v>9.0817862518813506</v>
      </c>
      <c r="L169" s="197">
        <v>6</v>
      </c>
      <c r="M169" s="197" t="s">
        <v>2580</v>
      </c>
      <c r="N169" s="197" t="s">
        <v>2579</v>
      </c>
      <c r="O169" s="197" t="s">
        <v>2556</v>
      </c>
      <c r="AB169" s="110" t="str">
        <f>IFERROR(INDEX('WetLitterbags placem_collection'!$A$3:$A$500,MATCH(A169,'WetLitterbags placem_collection'!$K$4:$K$500,0)),"")</f>
        <v/>
      </c>
      <c r="AC169" s="110">
        <f>IFERROR(INDEX('WetLitterbags placem_collection'!$A$3:$A$500,MATCH($A169,'WetLitterbags placem_collection'!$O$4:$O$500,0)),"")</f>
        <v>73</v>
      </c>
      <c r="AD169" s="110" t="str">
        <f>IFERROR(INDEX('WetLitterbags placem_collection'!$A$3:$A$500,MATCH($A169,'WetLitterbags placem_collection'!$M$4:$M$500,0)),"")</f>
        <v/>
      </c>
      <c r="AE169" s="110" t="str">
        <f>IFERROR(INDEX('WetLitterbags placem_collection'!$A$3:$A$500,MATCH($A169,'WetLitterbags placem_collection'!$Q$4:$Q$500,0)),"")</f>
        <v/>
      </c>
    </row>
    <row r="170" spans="1:31">
      <c r="A170" s="206" t="s">
        <v>1469</v>
      </c>
      <c r="C170" s="201">
        <v>214</v>
      </c>
      <c r="D170" s="201">
        <v>0.44280000000000003</v>
      </c>
      <c r="E170" s="201">
        <v>8.8611000000000004</v>
      </c>
      <c r="F170" s="201">
        <v>0.20580000000000001</v>
      </c>
      <c r="G170" s="201">
        <f t="shared" si="16"/>
        <v>9.0669000000000004</v>
      </c>
      <c r="H170" s="201">
        <v>8.8782999999999994</v>
      </c>
      <c r="I170" s="201">
        <f t="shared" si="17"/>
        <v>0.18860000000000099</v>
      </c>
      <c r="J170" s="201">
        <f t="shared" si="18"/>
        <v>1.7199999999999022E-2</v>
      </c>
      <c r="K170" s="280">
        <f t="shared" si="19"/>
        <v>8.3576287657915547</v>
      </c>
      <c r="L170" s="201">
        <v>7</v>
      </c>
      <c r="M170" s="203">
        <v>43164.628472222219</v>
      </c>
      <c r="N170" s="203">
        <v>43164.795138888891</v>
      </c>
      <c r="O170" s="197" t="s">
        <v>2550</v>
      </c>
      <c r="P170" s="201"/>
      <c r="AB170" s="110" t="str">
        <f>IFERROR(INDEX('WetLitterbags placem_collection'!$A$3:$A$500,MATCH(A170,'WetLitterbags placem_collection'!$K$4:$K$500,0)),"")</f>
        <v/>
      </c>
      <c r="AC170" s="110">
        <f>IFERROR(INDEX('WetLitterbags placem_collection'!$A$3:$A$500,MATCH($A170,'WetLitterbags placem_collection'!$O$4:$O$500,0)),"")</f>
        <v>213</v>
      </c>
      <c r="AD170" s="110" t="str">
        <f>IFERROR(INDEX('WetLitterbags placem_collection'!$A$3:$A$500,MATCH($A170,'WetLitterbags placem_collection'!$M$4:$M$500,0)),"")</f>
        <v/>
      </c>
      <c r="AE170" s="110" t="str">
        <f>IFERROR(INDEX('WetLitterbags placem_collection'!$A$3:$A$500,MATCH($A170,'WetLitterbags placem_collection'!$Q$4:$Q$500,0)),"")</f>
        <v/>
      </c>
    </row>
    <row r="171" spans="1:31">
      <c r="A171" s="206" t="s">
        <v>1468</v>
      </c>
      <c r="C171" s="201">
        <v>40</v>
      </c>
      <c r="D171" s="201">
        <v>0.65359999999999996</v>
      </c>
      <c r="E171" s="201">
        <v>9.3191000000000006</v>
      </c>
      <c r="F171" s="202">
        <v>0.1993</v>
      </c>
      <c r="G171" s="201">
        <f t="shared" si="16"/>
        <v>9.5183999999999997</v>
      </c>
      <c r="H171" s="201">
        <v>9.3520000000000003</v>
      </c>
      <c r="I171" s="201">
        <f t="shared" si="17"/>
        <v>0.16639999999999944</v>
      </c>
      <c r="J171" s="201">
        <f t="shared" si="18"/>
        <v>3.2900000000000568E-2</v>
      </c>
      <c r="K171" s="280">
        <f t="shared" si="19"/>
        <v>16.507777220271233</v>
      </c>
      <c r="L171" s="201">
        <v>10</v>
      </c>
      <c r="M171" s="205">
        <v>43211</v>
      </c>
      <c r="P171" s="201"/>
      <c r="AB171" s="110">
        <f>IFERROR(INDEX('WetLitterbags placem_collection'!$A$3:$A$500,MATCH(A171,'WetLitterbags placem_collection'!$K$4:$K$500,0)),"")</f>
        <v>39</v>
      </c>
      <c r="AC171" s="110" t="str">
        <f>IFERROR(INDEX('WetLitterbags placem_collection'!$A$3:$A$500,MATCH($A171,'WetLitterbags placem_collection'!$O$4:$O$500,0)),"")</f>
        <v/>
      </c>
      <c r="AD171" s="110" t="str">
        <f>IFERROR(INDEX('WetLitterbags placem_collection'!$A$3:$A$500,MATCH($A171,'WetLitterbags placem_collection'!$M$4:$M$500,0)),"")</f>
        <v/>
      </c>
      <c r="AE171" s="110" t="str">
        <f>IFERROR(INDEX('WetLitterbags placem_collection'!$A$3:$A$500,MATCH($A171,'WetLitterbags placem_collection'!$Q$4:$Q$500,0)),"")</f>
        <v/>
      </c>
    </row>
    <row r="172" spans="1:31">
      <c r="A172" s="197" t="s">
        <v>1467</v>
      </c>
      <c r="C172" s="197">
        <v>27</v>
      </c>
      <c r="D172" s="197">
        <v>0.45469999999999999</v>
      </c>
      <c r="E172" s="202">
        <v>7.9934000000000003</v>
      </c>
      <c r="F172" s="202">
        <v>0.2046</v>
      </c>
      <c r="G172" s="201">
        <f t="shared" si="16"/>
        <v>8.1980000000000004</v>
      </c>
      <c r="H172" s="201">
        <v>8.0195000000000007</v>
      </c>
      <c r="I172" s="201">
        <f t="shared" si="17"/>
        <v>0.17849999999999966</v>
      </c>
      <c r="J172" s="201">
        <f t="shared" si="18"/>
        <v>2.6100000000000345E-2</v>
      </c>
      <c r="K172" s="280">
        <f t="shared" si="19"/>
        <v>12.756598240469378</v>
      </c>
      <c r="L172" s="201">
        <v>10</v>
      </c>
      <c r="AB172" s="110">
        <f>IFERROR(INDEX('WetLitterbags placem_collection'!$A$3:$A$500,MATCH(A172,'WetLitterbags placem_collection'!$K$4:$K$500,0)),"")</f>
        <v>26</v>
      </c>
      <c r="AC172" s="110" t="str">
        <f>IFERROR(INDEX('WetLitterbags placem_collection'!$A$3:$A$500,MATCH($A172,'WetLitterbags placem_collection'!$O$4:$O$500,0)),"")</f>
        <v/>
      </c>
      <c r="AD172" s="110" t="str">
        <f>IFERROR(INDEX('WetLitterbags placem_collection'!$A$3:$A$500,MATCH($A172,'WetLitterbags placem_collection'!$M$4:$M$500,0)),"")</f>
        <v/>
      </c>
      <c r="AE172" s="110" t="str">
        <f>IFERROR(INDEX('WetLitterbags placem_collection'!$A$3:$A$500,MATCH($A172,'WetLitterbags placem_collection'!$Q$4:$Q$500,0)),"")</f>
        <v/>
      </c>
    </row>
    <row r="173" spans="1:31">
      <c r="A173" s="197" t="s">
        <v>1466</v>
      </c>
      <c r="C173" s="198">
        <v>193</v>
      </c>
      <c r="D173" s="197">
        <v>0.45090000000000002</v>
      </c>
      <c r="E173" s="202">
        <v>11.023</v>
      </c>
      <c r="F173" s="202">
        <v>0.20319999999999999</v>
      </c>
      <c r="G173" s="201">
        <f t="shared" si="16"/>
        <v>11.2262</v>
      </c>
      <c r="H173" s="201">
        <v>11.039099999999999</v>
      </c>
      <c r="I173" s="201">
        <f t="shared" si="17"/>
        <v>0.18710000000000093</v>
      </c>
      <c r="J173" s="201">
        <f t="shared" si="18"/>
        <v>1.609999999999906E-2</v>
      </c>
      <c r="K173" s="280">
        <f t="shared" si="19"/>
        <v>7.9232283464562308</v>
      </c>
      <c r="L173" s="201">
        <v>19</v>
      </c>
      <c r="AB173" s="110" t="str">
        <f>IFERROR(INDEX('WetLitterbags placem_collection'!$A$3:$A$500,MATCH(A173,'WetLitterbags placem_collection'!$K$4:$K$500,0)),"")</f>
        <v/>
      </c>
      <c r="AC173" s="110">
        <f>IFERROR(INDEX('WetLitterbags placem_collection'!$A$3:$A$500,MATCH($A173,'WetLitterbags placem_collection'!$O$4:$O$500,0)),"")</f>
        <v>192</v>
      </c>
      <c r="AD173" s="110" t="str">
        <f>IFERROR(INDEX('WetLitterbags placem_collection'!$A$3:$A$500,MATCH($A173,'WetLitterbags placem_collection'!$M$4:$M$500,0)),"")</f>
        <v/>
      </c>
      <c r="AE173" s="110" t="str">
        <f>IFERROR(INDEX('WetLitterbags placem_collection'!$A$3:$A$500,MATCH($A173,'WetLitterbags placem_collection'!$Q$4:$Q$500,0)),"")</f>
        <v/>
      </c>
    </row>
    <row r="174" spans="1:31">
      <c r="A174" s="201" t="s">
        <v>1465</v>
      </c>
      <c r="C174" s="197">
        <v>183</v>
      </c>
      <c r="D174" s="201">
        <v>0.51190000000000002</v>
      </c>
      <c r="E174" s="202">
        <v>10.1073</v>
      </c>
      <c r="F174" s="202">
        <v>0.20580000000000001</v>
      </c>
      <c r="G174" s="201">
        <f t="shared" si="16"/>
        <v>10.3131</v>
      </c>
      <c r="H174" s="201">
        <v>10.1282</v>
      </c>
      <c r="I174" s="201">
        <f t="shared" si="17"/>
        <v>0.18490000000000073</v>
      </c>
      <c r="J174" s="201">
        <f t="shared" si="18"/>
        <v>2.089999999999928E-2</v>
      </c>
      <c r="K174" s="280">
        <f t="shared" si="19"/>
        <v>10.155490767735316</v>
      </c>
      <c r="L174" s="201">
        <v>13</v>
      </c>
      <c r="M174" s="207">
        <v>43186.458333333336</v>
      </c>
      <c r="N174" s="207">
        <v>43186.625</v>
      </c>
      <c r="O174" s="197" t="s">
        <v>2550</v>
      </c>
      <c r="P174" s="201"/>
      <c r="AB174" s="110">
        <f>IFERROR(INDEX('WetLitterbags placem_collection'!$A$3:$A$500,MATCH(A174,'WetLitterbags placem_collection'!$K$4:$K$500,0)),"")</f>
        <v>182</v>
      </c>
      <c r="AC174" s="110" t="str">
        <f>IFERROR(INDEX('WetLitterbags placem_collection'!$A$3:$A$500,MATCH($A174,'WetLitterbags placem_collection'!$O$4:$O$500,0)),"")</f>
        <v/>
      </c>
      <c r="AD174" s="110" t="str">
        <f>IFERROR(INDEX('WetLitterbags placem_collection'!$A$3:$A$500,MATCH($A174,'WetLitterbags placem_collection'!$M$4:$M$500,0)),"")</f>
        <v/>
      </c>
      <c r="AE174" s="110" t="str">
        <f>IFERROR(INDEX('WetLitterbags placem_collection'!$A$3:$A$500,MATCH($A174,'WetLitterbags placem_collection'!$Q$4:$Q$500,0)),"")</f>
        <v/>
      </c>
    </row>
    <row r="175" spans="1:31">
      <c r="A175" s="197" t="s">
        <v>1463</v>
      </c>
      <c r="C175" s="198">
        <v>218</v>
      </c>
      <c r="D175" s="197">
        <v>0.53339999999999999</v>
      </c>
      <c r="E175" s="202">
        <v>11.903499999999999</v>
      </c>
      <c r="F175" s="202">
        <v>0.20280000000000001</v>
      </c>
      <c r="G175" s="201">
        <f t="shared" si="16"/>
        <v>12.106299999999999</v>
      </c>
      <c r="H175" s="201">
        <v>11.93</v>
      </c>
      <c r="I175" s="201">
        <f t="shared" si="17"/>
        <v>0.17629999999999946</v>
      </c>
      <c r="J175" s="201">
        <f t="shared" si="18"/>
        <v>2.6500000000000551E-2</v>
      </c>
      <c r="K175" s="280">
        <f t="shared" si="19"/>
        <v>13.067061143984493</v>
      </c>
      <c r="L175" s="201">
        <v>16</v>
      </c>
      <c r="AB175" s="110" t="str">
        <f>IFERROR(INDEX('WetLitterbags placem_collection'!$A$3:$A$500,MATCH(A175,'WetLitterbags placem_collection'!$K$4:$K$500,0)),"")</f>
        <v/>
      </c>
      <c r="AC175" s="110">
        <f>IFERROR(INDEX('WetLitterbags placem_collection'!$A$3:$A$500,MATCH($A175,'WetLitterbags placem_collection'!$O$4:$O$500,0)),"")</f>
        <v>217</v>
      </c>
      <c r="AD175" s="110" t="str">
        <f>IFERROR(INDEX('WetLitterbags placem_collection'!$A$3:$A$500,MATCH($A175,'WetLitterbags placem_collection'!$M$4:$M$500,0)),"")</f>
        <v/>
      </c>
      <c r="AE175" s="110" t="str">
        <f>IFERROR(INDEX('WetLitterbags placem_collection'!$A$3:$A$500,MATCH($A175,'WetLitterbags placem_collection'!$Q$4:$Q$500,0)),"")</f>
        <v/>
      </c>
    </row>
    <row r="176" spans="1:31">
      <c r="A176" s="206" t="s">
        <v>1459</v>
      </c>
      <c r="C176" s="201">
        <v>192</v>
      </c>
      <c r="D176" s="201">
        <v>0.45319999999999999</v>
      </c>
      <c r="E176" s="202">
        <v>10.115600000000001</v>
      </c>
      <c r="F176" s="202">
        <v>0.20150000000000001</v>
      </c>
      <c r="G176" s="201">
        <f t="shared" si="16"/>
        <v>10.3171</v>
      </c>
      <c r="H176" s="201">
        <v>10.1364</v>
      </c>
      <c r="I176" s="201">
        <f t="shared" si="17"/>
        <v>0.18069999999999986</v>
      </c>
      <c r="J176" s="201">
        <f t="shared" si="18"/>
        <v>2.0800000000000152E-2</v>
      </c>
      <c r="K176" s="280">
        <f t="shared" si="19"/>
        <v>10.322580645161365</v>
      </c>
      <c r="L176" s="201">
        <v>17</v>
      </c>
      <c r="M176" s="207">
        <v>43185.385416666664</v>
      </c>
      <c r="N176" s="201"/>
      <c r="O176" s="201" t="s">
        <v>2556</v>
      </c>
      <c r="P176" s="201"/>
      <c r="AB176" s="110">
        <f>IFERROR(INDEX('WetLitterbags placem_collection'!$A$3:$A$500,MATCH(A176,'WetLitterbags placem_collection'!$K$4:$K$500,0)),"")</f>
        <v>191</v>
      </c>
      <c r="AC176" s="110" t="str">
        <f>IFERROR(INDEX('WetLitterbags placem_collection'!$A$3:$A$500,MATCH($A176,'WetLitterbags placem_collection'!$O$4:$O$500,0)),"")</f>
        <v/>
      </c>
      <c r="AD176" s="110" t="str">
        <f>IFERROR(INDEX('WetLitterbags placem_collection'!$A$3:$A$500,MATCH($A176,'WetLitterbags placem_collection'!$M$4:$M$500,0)),"")</f>
        <v/>
      </c>
      <c r="AE176" s="110" t="str">
        <f>IFERROR(INDEX('WetLitterbags placem_collection'!$A$3:$A$500,MATCH($A176,'WetLitterbags placem_collection'!$Q$4:$Q$500,0)),"")</f>
        <v/>
      </c>
    </row>
    <row r="177" spans="1:31">
      <c r="A177" s="197" t="s">
        <v>1458</v>
      </c>
      <c r="C177" s="197">
        <v>90</v>
      </c>
      <c r="D177" s="197">
        <v>0.80169999999999997</v>
      </c>
      <c r="E177" s="197">
        <v>20.895399999999999</v>
      </c>
      <c r="F177" s="197">
        <v>0.19989999999999999</v>
      </c>
      <c r="G177" s="197">
        <f t="shared" si="16"/>
        <v>21.095299999999998</v>
      </c>
      <c r="H177" s="197">
        <v>20.9617</v>
      </c>
      <c r="I177" s="197">
        <f t="shared" si="17"/>
        <v>0.13359999999999772</v>
      </c>
      <c r="J177" s="201">
        <f t="shared" si="18"/>
        <v>6.6300000000002274E-2</v>
      </c>
      <c r="K177" s="280">
        <f t="shared" si="19"/>
        <v>33.166583291646958</v>
      </c>
      <c r="L177" s="197">
        <v>20</v>
      </c>
      <c r="M177" s="197" t="s">
        <v>2580</v>
      </c>
      <c r="N177" s="197" t="s">
        <v>2579</v>
      </c>
      <c r="O177" s="197" t="s">
        <v>2556</v>
      </c>
      <c r="AB177" s="110">
        <f>IFERROR(INDEX('WetLitterbags placem_collection'!$A$3:$A$500,MATCH(A177,'WetLitterbags placem_collection'!$K$4:$K$500,0)),"")</f>
        <v>89</v>
      </c>
      <c r="AC177" s="110" t="str">
        <f>IFERROR(INDEX('WetLitterbags placem_collection'!$A$3:$A$500,MATCH($A177,'WetLitterbags placem_collection'!$O$4:$O$500,0)),"")</f>
        <v/>
      </c>
      <c r="AD177" s="110" t="str">
        <f>IFERROR(INDEX('WetLitterbags placem_collection'!$A$3:$A$500,MATCH($A177,'WetLitterbags placem_collection'!$M$4:$M$500,0)),"")</f>
        <v/>
      </c>
      <c r="AE177" s="110" t="str">
        <f>IFERROR(INDEX('WetLitterbags placem_collection'!$A$3:$A$500,MATCH($A177,'WetLitterbags placem_collection'!$Q$4:$Q$500,0)),"")</f>
        <v/>
      </c>
    </row>
    <row r="178" spans="1:31">
      <c r="A178" s="197" t="s">
        <v>1457</v>
      </c>
      <c r="C178" s="197">
        <v>58</v>
      </c>
      <c r="D178" s="197">
        <v>0.74560000000000004</v>
      </c>
      <c r="E178" s="197">
        <v>7.1924000000000001</v>
      </c>
      <c r="F178" s="197">
        <v>0.2006</v>
      </c>
      <c r="G178" s="197">
        <f t="shared" si="16"/>
        <v>7.3929999999999998</v>
      </c>
      <c r="H178" s="197">
        <v>7.2172999999999998</v>
      </c>
      <c r="I178" s="197">
        <f t="shared" si="17"/>
        <v>0.17569999999999997</v>
      </c>
      <c r="J178" s="201">
        <f t="shared" si="18"/>
        <v>2.4900000000000033E-2</v>
      </c>
      <c r="K178" s="280">
        <f t="shared" si="19"/>
        <v>12.412761714855449</v>
      </c>
      <c r="L178" s="197">
        <v>39</v>
      </c>
      <c r="M178" s="197" t="s">
        <v>2586</v>
      </c>
      <c r="N178" s="197" t="s">
        <v>2585</v>
      </c>
      <c r="O178" s="197" t="s">
        <v>2550</v>
      </c>
      <c r="U178" s="202" t="s">
        <v>1114</v>
      </c>
      <c r="V178" s="197">
        <v>1.8498000000000001</v>
      </c>
      <c r="W178" s="197">
        <f>(V178-$T$175+F176)</f>
        <v>2.0513000000000003</v>
      </c>
      <c r="AB178" s="110" t="str">
        <f>IFERROR(INDEX('WetLitterbags placem_collection'!$A$3:$A$500,MATCH(A178,'WetLitterbags placem_collection'!$K$4:$K$500,0)),"")</f>
        <v/>
      </c>
      <c r="AC178" s="110">
        <f>IFERROR(INDEX('WetLitterbags placem_collection'!$A$3:$A$500,MATCH($A178,'WetLitterbags placem_collection'!$O$4:$O$500,0)),"")</f>
        <v>57</v>
      </c>
      <c r="AD178" s="110" t="str">
        <f>IFERROR(INDEX('WetLitterbags placem_collection'!$A$3:$A$500,MATCH($A178,'WetLitterbags placem_collection'!$M$4:$M$500,0)),"")</f>
        <v/>
      </c>
      <c r="AE178" s="110" t="str">
        <f>IFERROR(INDEX('WetLitterbags placem_collection'!$A$3:$A$500,MATCH($A178,'WetLitterbags placem_collection'!$Q$4:$Q$500,0)),"")</f>
        <v/>
      </c>
    </row>
    <row r="179" spans="1:31">
      <c r="A179" s="201" t="s">
        <v>1456</v>
      </c>
      <c r="C179" s="201">
        <v>77</v>
      </c>
      <c r="D179" s="201">
        <v>0.72550000000000003</v>
      </c>
      <c r="E179" s="201">
        <v>10.143700000000001</v>
      </c>
      <c r="F179" s="202">
        <v>0.20519999999999999</v>
      </c>
      <c r="G179" s="201">
        <f t="shared" ref="G179:G242" si="20">E179+F179</f>
        <v>10.3489</v>
      </c>
      <c r="H179" s="201">
        <v>10.1693</v>
      </c>
      <c r="I179" s="201">
        <f t="shared" ref="I179:I242" si="21">(G179-H179)</f>
        <v>0.17960000000000065</v>
      </c>
      <c r="J179" s="201">
        <f t="shared" ref="J179:J242" si="22">F179-I179</f>
        <v>2.5599999999999346E-2</v>
      </c>
      <c r="K179" s="280">
        <f t="shared" ref="K179:K242" si="23">(J179/F179)*100</f>
        <v>12.475633528264789</v>
      </c>
      <c r="L179" s="201">
        <v>35</v>
      </c>
      <c r="M179" s="205">
        <v>43187</v>
      </c>
      <c r="N179" s="205">
        <v>43187</v>
      </c>
      <c r="O179" s="201"/>
      <c r="P179" s="201"/>
      <c r="AB179" s="110">
        <f>IFERROR(INDEX('WetLitterbags placem_collection'!$A$3:$A$500,MATCH(A179,'WetLitterbags placem_collection'!$K$4:$K$500,0)),"")</f>
        <v>76</v>
      </c>
      <c r="AC179" s="110" t="str">
        <f>IFERROR(INDEX('WetLitterbags placem_collection'!$A$3:$A$500,MATCH($A179,'WetLitterbags placem_collection'!$O$4:$O$500,0)),"")</f>
        <v/>
      </c>
      <c r="AD179" s="110" t="str">
        <f>IFERROR(INDEX('WetLitterbags placem_collection'!$A$3:$A$500,MATCH($A179,'WetLitterbags placem_collection'!$M$4:$M$500,0)),"")</f>
        <v/>
      </c>
      <c r="AE179" s="110" t="str">
        <f>IFERROR(INDEX('WetLitterbags placem_collection'!$A$3:$A$500,MATCH($A179,'WetLitterbags placem_collection'!$Q$4:$Q$500,0)),"")</f>
        <v/>
      </c>
    </row>
    <row r="180" spans="1:31">
      <c r="A180" s="197" t="s">
        <v>1455</v>
      </c>
      <c r="C180" s="198">
        <v>13</v>
      </c>
      <c r="D180" s="197">
        <v>0.46210000000000001</v>
      </c>
      <c r="E180" s="197">
        <v>8.1326000000000001</v>
      </c>
      <c r="F180" s="202">
        <v>0.2009</v>
      </c>
      <c r="G180" s="201">
        <f t="shared" si="20"/>
        <v>8.3335000000000008</v>
      </c>
      <c r="H180" s="201">
        <v>8.1912000000000003</v>
      </c>
      <c r="I180" s="201">
        <f t="shared" si="21"/>
        <v>0.14230000000000054</v>
      </c>
      <c r="J180" s="201">
        <f t="shared" si="22"/>
        <v>5.8599999999999458E-2</v>
      </c>
      <c r="K180" s="280">
        <f t="shared" si="23"/>
        <v>29.168740666998239</v>
      </c>
      <c r="L180" s="201">
        <v>17</v>
      </c>
      <c r="AB180" s="110">
        <f>IFERROR(INDEX('WetLitterbags placem_collection'!$A$3:$A$500,MATCH(A180,'WetLitterbags placem_collection'!$K$4:$K$500,0)),"")</f>
        <v>12</v>
      </c>
      <c r="AC180" s="110" t="str">
        <f>IFERROR(INDEX('WetLitterbags placem_collection'!$A$3:$A$500,MATCH($A180,'WetLitterbags placem_collection'!$O$4:$O$500,0)),"")</f>
        <v/>
      </c>
      <c r="AD180" s="110" t="str">
        <f>IFERROR(INDEX('WetLitterbags placem_collection'!$A$3:$A$500,MATCH($A180,'WetLitterbags placem_collection'!$M$4:$M$500,0)),"")</f>
        <v/>
      </c>
      <c r="AE180" s="110" t="str">
        <f>IFERROR(INDEX('WetLitterbags placem_collection'!$A$3:$A$500,MATCH($A180,'WetLitterbags placem_collection'!$Q$4:$Q$500,0)),"")</f>
        <v/>
      </c>
    </row>
    <row r="181" spans="1:31">
      <c r="A181" s="197" t="s">
        <v>1451</v>
      </c>
      <c r="C181" s="197">
        <v>52</v>
      </c>
      <c r="D181" s="197">
        <v>0.64810000000000001</v>
      </c>
      <c r="E181" s="197">
        <v>7.4747000000000003</v>
      </c>
      <c r="F181" s="197">
        <v>0.2009</v>
      </c>
      <c r="G181" s="197">
        <f t="shared" si="20"/>
        <v>7.6756000000000002</v>
      </c>
      <c r="H181" s="197">
        <v>7.5034000000000001</v>
      </c>
      <c r="I181" s="197">
        <f t="shared" si="21"/>
        <v>0.17220000000000013</v>
      </c>
      <c r="J181" s="201">
        <f t="shared" si="22"/>
        <v>2.8699999999999865E-2</v>
      </c>
      <c r="K181" s="280">
        <f t="shared" si="23"/>
        <v>14.285714285714219</v>
      </c>
      <c r="L181" s="197">
        <v>34</v>
      </c>
      <c r="M181" s="197" t="s">
        <v>2586</v>
      </c>
      <c r="N181" s="197" t="s">
        <v>2585</v>
      </c>
      <c r="O181" s="197" t="s">
        <v>2550</v>
      </c>
      <c r="U181" s="202" t="s">
        <v>760</v>
      </c>
      <c r="V181" s="197">
        <v>1.6607000000000001</v>
      </c>
      <c r="W181" s="197">
        <f>(V181-$T$175+F179)</f>
        <v>1.8659000000000001</v>
      </c>
      <c r="AB181" s="110" t="str">
        <f>IFERROR(INDEX('WetLitterbags placem_collection'!$A$3:$A$500,MATCH(A181,'WetLitterbags placem_collection'!$K$4:$K$500,0)),"")</f>
        <v/>
      </c>
      <c r="AC181" s="110">
        <f>IFERROR(INDEX('WetLitterbags placem_collection'!$A$3:$A$500,MATCH($A181,'WetLitterbags placem_collection'!$O$4:$O$500,0)),"")</f>
        <v>51</v>
      </c>
      <c r="AD181" s="110" t="str">
        <f>IFERROR(INDEX('WetLitterbags placem_collection'!$A$3:$A$500,MATCH($A181,'WetLitterbags placem_collection'!$M$4:$M$500,0)),"")</f>
        <v/>
      </c>
      <c r="AE181" s="110" t="str">
        <f>IFERROR(INDEX('WetLitterbags placem_collection'!$A$3:$A$500,MATCH($A181,'WetLitterbags placem_collection'!$Q$4:$Q$500,0)),"")</f>
        <v/>
      </c>
    </row>
    <row r="182" spans="1:31">
      <c r="A182" s="201" t="s">
        <v>1450</v>
      </c>
      <c r="C182" s="201">
        <v>59</v>
      </c>
      <c r="D182" s="201">
        <v>0.66210000000000002</v>
      </c>
      <c r="E182" s="201">
        <v>10.634600000000001</v>
      </c>
      <c r="F182" s="201">
        <v>0.20369999999999999</v>
      </c>
      <c r="G182" s="201">
        <f t="shared" si="20"/>
        <v>10.8383</v>
      </c>
      <c r="H182" s="201">
        <v>10.663</v>
      </c>
      <c r="I182" s="201">
        <f t="shared" si="21"/>
        <v>0.17530000000000001</v>
      </c>
      <c r="J182" s="201">
        <f t="shared" si="22"/>
        <v>2.8399999999999981E-2</v>
      </c>
      <c r="K182" s="280">
        <f t="shared" si="23"/>
        <v>13.942071674030428</v>
      </c>
      <c r="L182" s="201">
        <v>3</v>
      </c>
      <c r="M182" s="205">
        <v>43188</v>
      </c>
      <c r="N182" s="205">
        <v>43188</v>
      </c>
      <c r="O182" s="201"/>
      <c r="P182" s="201"/>
      <c r="U182" s="202" t="s">
        <v>1485</v>
      </c>
      <c r="V182" s="197">
        <v>1.5843</v>
      </c>
      <c r="W182" s="197">
        <f>(V182-$T$175+F180)</f>
        <v>1.7852000000000001</v>
      </c>
      <c r="AB182" s="110" t="str">
        <f>IFERROR(INDEX('WetLitterbags placem_collection'!$A$3:$A$500,MATCH(A182,'WetLitterbags placem_collection'!$K$4:$K$500,0)),"")</f>
        <v/>
      </c>
      <c r="AC182" s="110">
        <f>IFERROR(INDEX('WetLitterbags placem_collection'!$A$3:$A$500,MATCH($A182,'WetLitterbags placem_collection'!$O$4:$O$500,0)),"")</f>
        <v>58</v>
      </c>
      <c r="AD182" s="110" t="str">
        <f>IFERROR(INDEX('WetLitterbags placem_collection'!$A$3:$A$500,MATCH($A182,'WetLitterbags placem_collection'!$M$4:$M$500,0)),"")</f>
        <v/>
      </c>
      <c r="AE182" s="110" t="str">
        <f>IFERROR(INDEX('WetLitterbags placem_collection'!$A$3:$A$500,MATCH($A182,'WetLitterbags placem_collection'!$Q$4:$Q$500,0)),"")</f>
        <v/>
      </c>
    </row>
    <row r="183" spans="1:31">
      <c r="A183" s="197" t="s">
        <v>1448</v>
      </c>
      <c r="C183" s="197">
        <v>45</v>
      </c>
      <c r="D183" s="197">
        <v>0.56820000000000004</v>
      </c>
      <c r="E183" s="197">
        <v>8.9586000000000006</v>
      </c>
      <c r="F183" s="197">
        <v>0.2024</v>
      </c>
      <c r="G183" s="197">
        <f t="shared" si="20"/>
        <v>9.1610000000000014</v>
      </c>
      <c r="H183" s="197">
        <v>8.9705999999999992</v>
      </c>
      <c r="I183" s="197">
        <f t="shared" si="21"/>
        <v>0.19040000000000212</v>
      </c>
      <c r="J183" s="201">
        <f t="shared" si="22"/>
        <v>1.1999999999997873E-2</v>
      </c>
      <c r="K183" s="280">
        <f t="shared" si="23"/>
        <v>5.9288537549396603</v>
      </c>
      <c r="L183" s="197">
        <v>18</v>
      </c>
      <c r="M183" s="197" t="s">
        <v>2586</v>
      </c>
      <c r="N183" s="197" t="s">
        <v>2585</v>
      </c>
      <c r="O183" s="197" t="s">
        <v>2550</v>
      </c>
      <c r="AB183" s="110" t="str">
        <f>IFERROR(INDEX('WetLitterbags placem_collection'!$A$3:$A$500,MATCH(A183,'WetLitterbags placem_collection'!$K$4:$K$500,0)),"")</f>
        <v/>
      </c>
      <c r="AC183" s="110">
        <f>IFERROR(INDEX('WetLitterbags placem_collection'!$A$3:$A$500,MATCH($A183,'WetLitterbags placem_collection'!$O$4:$O$500,0)),"")</f>
        <v>44</v>
      </c>
      <c r="AD183" s="110" t="str">
        <f>IFERROR(INDEX('WetLitterbags placem_collection'!$A$3:$A$500,MATCH($A183,'WetLitterbags placem_collection'!$M$4:$M$500,0)),"")</f>
        <v/>
      </c>
      <c r="AE183" s="110" t="str">
        <f>IFERROR(INDEX('WetLitterbags placem_collection'!$A$3:$A$500,MATCH($A183,'WetLitterbags placem_collection'!$Q$4:$Q$500,0)),"")</f>
        <v/>
      </c>
    </row>
    <row r="184" spans="1:31">
      <c r="A184" s="202" t="s">
        <v>1447</v>
      </c>
      <c r="C184" s="201">
        <v>75</v>
      </c>
      <c r="D184" s="201">
        <v>0.59799999999999986</v>
      </c>
      <c r="E184" s="201">
        <v>8.1327999999999996</v>
      </c>
      <c r="F184" s="201">
        <v>0.20150000000000001</v>
      </c>
      <c r="G184" s="201">
        <f t="shared" si="20"/>
        <v>8.3342999999999989</v>
      </c>
      <c r="H184" s="201">
        <v>8.1508000000000003</v>
      </c>
      <c r="I184" s="201">
        <f t="shared" si="21"/>
        <v>0.18349999999999866</v>
      </c>
      <c r="J184" s="201">
        <f t="shared" si="22"/>
        <v>1.8000000000001348E-2</v>
      </c>
      <c r="K184" s="280">
        <f t="shared" si="23"/>
        <v>8.9330024813902469</v>
      </c>
      <c r="L184" s="201">
        <v>11</v>
      </c>
      <c r="M184" s="205">
        <v>43173</v>
      </c>
      <c r="N184" s="205">
        <v>43173</v>
      </c>
      <c r="O184" s="201" t="s">
        <v>2556</v>
      </c>
      <c r="P184" s="201" t="s">
        <v>2555</v>
      </c>
      <c r="AB184" s="110" t="str">
        <f>IFERROR(INDEX('WetLitterbags placem_collection'!$A$3:$A$500,MATCH(A184,'WetLitterbags placem_collection'!$K$4:$K$500,0)),"")</f>
        <v/>
      </c>
      <c r="AC184" s="110">
        <f>IFERROR(INDEX('WetLitterbags placem_collection'!$A$3:$A$500,MATCH($A184,'WetLitterbags placem_collection'!$O$4:$O$500,0)),"")</f>
        <v>75</v>
      </c>
      <c r="AD184" s="110" t="str">
        <f>IFERROR(INDEX('WetLitterbags placem_collection'!$A$3:$A$500,MATCH($A184,'WetLitterbags placem_collection'!$M$4:$M$500,0)),"")</f>
        <v/>
      </c>
      <c r="AE184" s="110" t="str">
        <f>IFERROR(INDEX('WetLitterbags placem_collection'!$A$3:$A$500,MATCH($A184,'WetLitterbags placem_collection'!$Q$4:$Q$500,0)),"")</f>
        <v/>
      </c>
    </row>
    <row r="185" spans="1:31">
      <c r="A185" s="201" t="s">
        <v>1446</v>
      </c>
      <c r="C185" s="201">
        <v>209</v>
      </c>
      <c r="D185" s="201">
        <v>0.55049999999999999</v>
      </c>
      <c r="E185" s="201">
        <v>8.7682000000000002</v>
      </c>
      <c r="F185" s="201">
        <v>0.20119999999999999</v>
      </c>
      <c r="G185" s="201">
        <f t="shared" si="20"/>
        <v>8.9694000000000003</v>
      </c>
      <c r="H185" s="201">
        <v>8.8010999999999999</v>
      </c>
      <c r="I185" s="201">
        <f t="shared" si="21"/>
        <v>0.16830000000000034</v>
      </c>
      <c r="J185" s="201">
        <f t="shared" si="22"/>
        <v>3.2899999999999652E-2</v>
      </c>
      <c r="K185" s="280">
        <f t="shared" si="23"/>
        <v>16.351888667991876</v>
      </c>
      <c r="L185" s="201">
        <v>4</v>
      </c>
      <c r="M185" s="205">
        <v>43174</v>
      </c>
      <c r="N185" s="205">
        <v>43174</v>
      </c>
      <c r="O185" s="201" t="s">
        <v>2556</v>
      </c>
      <c r="P185" s="201" t="s">
        <v>2551</v>
      </c>
      <c r="AB185" s="110">
        <f>IFERROR(INDEX('WetLitterbags placem_collection'!$A$3:$A$500,MATCH(A185,'WetLitterbags placem_collection'!$K$4:$K$500,0)),"")</f>
        <v>208</v>
      </c>
      <c r="AC185" s="110" t="str">
        <f>IFERROR(INDEX('WetLitterbags placem_collection'!$A$3:$A$500,MATCH($A185,'WetLitterbags placem_collection'!$O$4:$O$500,0)),"")</f>
        <v/>
      </c>
      <c r="AD185" s="110" t="str">
        <f>IFERROR(INDEX('WetLitterbags placem_collection'!$A$3:$A$500,MATCH($A185,'WetLitterbags placem_collection'!$M$4:$M$500,0)),"")</f>
        <v/>
      </c>
      <c r="AE185" s="110" t="str">
        <f>IFERROR(INDEX('WetLitterbags placem_collection'!$A$3:$A$500,MATCH($A185,'WetLitterbags placem_collection'!$Q$4:$Q$500,0)),"")</f>
        <v/>
      </c>
    </row>
    <row r="186" spans="1:31">
      <c r="A186" s="197" t="s">
        <v>1445</v>
      </c>
      <c r="C186" s="197">
        <v>74</v>
      </c>
      <c r="D186" s="197">
        <v>0.7823</v>
      </c>
      <c r="E186" s="197">
        <v>8.7669999999999995</v>
      </c>
      <c r="F186" s="197">
        <v>0.20300000000000001</v>
      </c>
      <c r="G186" s="197">
        <f t="shared" si="20"/>
        <v>8.9699999999999989</v>
      </c>
      <c r="H186" s="197">
        <v>8.8939000000000004</v>
      </c>
      <c r="I186" s="197">
        <f t="shared" si="21"/>
        <v>7.6099999999998502E-2</v>
      </c>
      <c r="J186" s="201">
        <f t="shared" si="22"/>
        <v>0.12690000000000151</v>
      </c>
      <c r="K186" s="280">
        <f t="shared" si="23"/>
        <v>62.512315270936703</v>
      </c>
      <c r="L186" s="197">
        <v>7</v>
      </c>
      <c r="M186" s="197" t="s">
        <v>2580</v>
      </c>
      <c r="N186" s="197" t="s">
        <v>2579</v>
      </c>
      <c r="O186" s="197" t="s">
        <v>2556</v>
      </c>
      <c r="AB186" s="110">
        <f>IFERROR(INDEX('WetLitterbags placem_collection'!$A$3:$A$500,MATCH(A186,'WetLitterbags placem_collection'!$K$4:$K$500,0)),"")</f>
        <v>73</v>
      </c>
      <c r="AC186" s="110" t="str">
        <f>IFERROR(INDEX('WetLitterbags placem_collection'!$A$3:$A$500,MATCH($A186,'WetLitterbags placem_collection'!$O$4:$O$500,0)),"")</f>
        <v/>
      </c>
      <c r="AD186" s="110" t="str">
        <f>IFERROR(INDEX('WetLitterbags placem_collection'!$A$3:$A$500,MATCH($A186,'WetLitterbags placem_collection'!$M$4:$M$500,0)),"")</f>
        <v/>
      </c>
      <c r="AE186" s="110" t="str">
        <f>IFERROR(INDEX('WetLitterbags placem_collection'!$A$3:$A$500,MATCH($A186,'WetLitterbags placem_collection'!$Q$4:$Q$500,0)),"")</f>
        <v/>
      </c>
    </row>
    <row r="187" spans="1:31">
      <c r="A187" s="197" t="s">
        <v>1444</v>
      </c>
      <c r="C187" s="198">
        <v>10</v>
      </c>
      <c r="D187" s="197">
        <v>0.44159999999999999</v>
      </c>
      <c r="E187" s="202">
        <v>9.3192000000000004</v>
      </c>
      <c r="F187" s="202">
        <v>0.2064</v>
      </c>
      <c r="G187" s="201">
        <f t="shared" si="20"/>
        <v>9.5256000000000007</v>
      </c>
      <c r="H187" s="201">
        <v>9.3407</v>
      </c>
      <c r="I187" s="201">
        <f t="shared" si="21"/>
        <v>0.18490000000000073</v>
      </c>
      <c r="J187" s="201">
        <f t="shared" si="22"/>
        <v>2.149999999999927E-2</v>
      </c>
      <c r="K187" s="280">
        <f t="shared" si="23"/>
        <v>10.416666666666313</v>
      </c>
      <c r="L187" s="201">
        <v>32</v>
      </c>
      <c r="M187" s="204">
        <v>43213</v>
      </c>
      <c r="N187" s="204">
        <v>43213</v>
      </c>
      <c r="AB187" s="110" t="str">
        <f>IFERROR(INDEX('WetLitterbags placem_collection'!$A$3:$A$500,MATCH(A187,'WetLitterbags placem_collection'!$K$4:$K$500,0)),"")</f>
        <v/>
      </c>
      <c r="AC187" s="110">
        <f>IFERROR(INDEX('WetLitterbags placem_collection'!$A$3:$A$500,MATCH($A187,'WetLitterbags placem_collection'!$O$4:$O$500,0)),"")</f>
        <v>9</v>
      </c>
      <c r="AD187" s="110" t="str">
        <f>IFERROR(INDEX('WetLitterbags placem_collection'!$A$3:$A$500,MATCH($A187,'WetLitterbags placem_collection'!$M$4:$M$500,0)),"")</f>
        <v/>
      </c>
      <c r="AE187" s="110" t="str">
        <f>IFERROR(INDEX('WetLitterbags placem_collection'!$A$3:$A$500,MATCH($A187,'WetLitterbags placem_collection'!$Q$4:$Q$500,0)),"")</f>
        <v/>
      </c>
    </row>
    <row r="188" spans="1:31">
      <c r="A188" s="197" t="s">
        <v>1443</v>
      </c>
      <c r="C188" s="197">
        <v>80</v>
      </c>
      <c r="D188" s="197">
        <v>0.70750000000000002</v>
      </c>
      <c r="E188" s="197">
        <v>7.7138</v>
      </c>
      <c r="F188" s="197">
        <v>0.19089999999999999</v>
      </c>
      <c r="G188" s="197">
        <f t="shared" si="20"/>
        <v>7.9047000000000001</v>
      </c>
      <c r="H188" s="197">
        <v>7.7397999999999998</v>
      </c>
      <c r="I188" s="197">
        <f t="shared" si="21"/>
        <v>0.16490000000000027</v>
      </c>
      <c r="J188" s="201">
        <f t="shared" si="22"/>
        <v>2.5999999999999718E-2</v>
      </c>
      <c r="K188" s="280">
        <f t="shared" si="23"/>
        <v>13.619696176008233</v>
      </c>
      <c r="L188" s="197">
        <v>10</v>
      </c>
      <c r="M188" s="197" t="s">
        <v>2580</v>
      </c>
      <c r="N188" s="197" t="s">
        <v>2579</v>
      </c>
      <c r="O188" s="197" t="s">
        <v>2556</v>
      </c>
      <c r="AB188" s="110">
        <f>IFERROR(INDEX('WetLitterbags placem_collection'!$A$3:$A$500,MATCH(A188,'WetLitterbags placem_collection'!$K$4:$K$500,0)),"")</f>
        <v>79</v>
      </c>
      <c r="AC188" s="110" t="str">
        <f>IFERROR(INDEX('WetLitterbags placem_collection'!$A$3:$A$500,MATCH($A188,'WetLitterbags placem_collection'!$O$4:$O$500,0)),"")</f>
        <v/>
      </c>
      <c r="AD188" s="110" t="str">
        <f>IFERROR(INDEX('WetLitterbags placem_collection'!$A$3:$A$500,MATCH($A188,'WetLitterbags placem_collection'!$M$4:$M$500,0)),"")</f>
        <v/>
      </c>
      <c r="AE188" s="110" t="str">
        <f>IFERROR(INDEX('WetLitterbags placem_collection'!$A$3:$A$500,MATCH($A188,'WetLitterbags placem_collection'!$Q$4:$Q$500,0)),"")</f>
        <v/>
      </c>
    </row>
    <row r="189" spans="1:31">
      <c r="A189" s="206" t="s">
        <v>1442</v>
      </c>
      <c r="C189" s="201">
        <v>186</v>
      </c>
      <c r="D189" s="201">
        <v>0.4279</v>
      </c>
      <c r="E189" s="201">
        <v>10.6746</v>
      </c>
      <c r="F189" s="202">
        <v>0.20050000000000001</v>
      </c>
      <c r="G189" s="201">
        <f t="shared" si="20"/>
        <v>10.8751</v>
      </c>
      <c r="H189" s="201">
        <v>10.6927</v>
      </c>
      <c r="I189" s="201">
        <f t="shared" si="21"/>
        <v>0.18239999999999945</v>
      </c>
      <c r="J189" s="201">
        <f t="shared" si="22"/>
        <v>1.810000000000056E-2</v>
      </c>
      <c r="K189" s="280">
        <f t="shared" si="23"/>
        <v>9.0274314214466642</v>
      </c>
      <c r="L189" s="201">
        <v>30</v>
      </c>
      <c r="M189" s="205">
        <v>43187</v>
      </c>
      <c r="N189" s="205">
        <v>43187</v>
      </c>
      <c r="O189" s="201"/>
      <c r="P189" s="201"/>
      <c r="AB189" s="110" t="str">
        <f>IFERROR(INDEX('WetLitterbags placem_collection'!$A$3:$A$500,MATCH(A189,'WetLitterbags placem_collection'!$K$4:$K$500,0)),"")</f>
        <v/>
      </c>
      <c r="AC189" s="110">
        <f>IFERROR(INDEX('WetLitterbags placem_collection'!$A$3:$A$500,MATCH($A189,'WetLitterbags placem_collection'!$O$4:$O$500,0)),"")</f>
        <v>185</v>
      </c>
      <c r="AD189" s="110" t="str">
        <f>IFERROR(INDEX('WetLitterbags placem_collection'!$A$3:$A$500,MATCH($A189,'WetLitterbags placem_collection'!$M$4:$M$500,0)),"")</f>
        <v/>
      </c>
      <c r="AE189" s="110" t="str">
        <f>IFERROR(INDEX('WetLitterbags placem_collection'!$A$3:$A$500,MATCH($A189,'WetLitterbags placem_collection'!$Q$4:$Q$500,0)),"")</f>
        <v/>
      </c>
    </row>
    <row r="190" spans="1:31">
      <c r="A190" s="206" t="s">
        <v>1441</v>
      </c>
      <c r="C190" s="197">
        <v>14</v>
      </c>
      <c r="D190" s="202">
        <v>0.309</v>
      </c>
      <c r="E190" s="202">
        <v>11.023</v>
      </c>
      <c r="F190" s="202">
        <v>0.20019999999999999</v>
      </c>
      <c r="G190" s="201">
        <f t="shared" si="20"/>
        <v>11.2232</v>
      </c>
      <c r="H190" s="201">
        <v>11.055099999999999</v>
      </c>
      <c r="I190" s="201">
        <f t="shared" si="21"/>
        <v>0.1681000000000008</v>
      </c>
      <c r="J190" s="201">
        <f t="shared" si="22"/>
        <v>3.2099999999999185E-2</v>
      </c>
      <c r="K190" s="280">
        <f t="shared" si="23"/>
        <v>16.033966033965626</v>
      </c>
      <c r="L190" s="201">
        <v>27</v>
      </c>
      <c r="M190" s="205">
        <v>43199</v>
      </c>
      <c r="N190" s="205">
        <v>43199</v>
      </c>
      <c r="O190" s="201"/>
      <c r="P190" s="201"/>
      <c r="AB190" s="110">
        <f>IFERROR(INDEX('WetLitterbags placem_collection'!$A$3:$A$500,MATCH(A190,'WetLitterbags placem_collection'!$K$4:$K$500,0)),"")</f>
        <v>13</v>
      </c>
      <c r="AC190" s="110" t="str">
        <f>IFERROR(INDEX('WetLitterbags placem_collection'!$A$3:$A$500,MATCH($A190,'WetLitterbags placem_collection'!$O$4:$O$500,0)),"")</f>
        <v/>
      </c>
      <c r="AD190" s="110" t="str">
        <f>IFERROR(INDEX('WetLitterbags placem_collection'!$A$3:$A$500,MATCH($A190,'WetLitterbags placem_collection'!$M$4:$M$500,0)),"")</f>
        <v/>
      </c>
      <c r="AE190" s="110" t="str">
        <f>IFERROR(INDEX('WetLitterbags placem_collection'!$A$3:$A$500,MATCH($A190,'WetLitterbags placem_collection'!$Q$4:$Q$500,0)),"")</f>
        <v/>
      </c>
    </row>
    <row r="191" spans="1:31">
      <c r="A191" s="206" t="s">
        <v>1440</v>
      </c>
      <c r="C191" s="201">
        <v>98</v>
      </c>
      <c r="D191" s="201">
        <v>0.37019999999999997</v>
      </c>
      <c r="E191" s="202">
        <v>9.2207000000000008</v>
      </c>
      <c r="F191" s="202">
        <v>0.2016</v>
      </c>
      <c r="G191" s="201">
        <f t="shared" si="20"/>
        <v>9.4222999999999999</v>
      </c>
      <c r="H191" s="201">
        <v>9.2502999999999993</v>
      </c>
      <c r="I191" s="201">
        <f t="shared" si="21"/>
        <v>0.1720000000000006</v>
      </c>
      <c r="J191" s="201">
        <f t="shared" si="22"/>
        <v>2.9599999999999405E-2</v>
      </c>
      <c r="K191" s="280">
        <f t="shared" si="23"/>
        <v>14.682539682539385</v>
      </c>
      <c r="L191" s="201">
        <v>25</v>
      </c>
      <c r="M191" s="207">
        <v>43185.385416666664</v>
      </c>
      <c r="N191" s="201"/>
      <c r="O191" s="201" t="s">
        <v>2556</v>
      </c>
      <c r="P191" s="201"/>
      <c r="AB191" s="110">
        <f>IFERROR(INDEX('WetLitterbags placem_collection'!$A$3:$A$500,MATCH(A191,'WetLitterbags placem_collection'!$K$4:$K$500,0)),"")</f>
        <v>97</v>
      </c>
      <c r="AC191" s="110" t="str">
        <f>IFERROR(INDEX('WetLitterbags placem_collection'!$A$3:$A$500,MATCH($A191,'WetLitterbags placem_collection'!$O$4:$O$500,0)),"")</f>
        <v/>
      </c>
      <c r="AD191" s="110" t="str">
        <f>IFERROR(INDEX('WetLitterbags placem_collection'!$A$3:$A$500,MATCH($A191,'WetLitterbags placem_collection'!$M$4:$M$500,0)),"")</f>
        <v/>
      </c>
      <c r="AE191" s="110" t="str">
        <f>IFERROR(INDEX('WetLitterbags placem_collection'!$A$3:$A$500,MATCH($A191,'WetLitterbags placem_collection'!$Q$4:$Q$500,0)),"")</f>
        <v/>
      </c>
    </row>
    <row r="192" spans="1:31">
      <c r="A192" s="206" t="s">
        <v>1437</v>
      </c>
      <c r="C192" s="201">
        <v>216</v>
      </c>
      <c r="D192" s="201">
        <v>0.61939999999999995</v>
      </c>
      <c r="E192" s="201">
        <v>9.2355</v>
      </c>
      <c r="F192" s="202">
        <v>0.20699999999999999</v>
      </c>
      <c r="G192" s="201">
        <f t="shared" si="20"/>
        <v>9.4425000000000008</v>
      </c>
      <c r="H192" s="201">
        <v>9.2507000000000001</v>
      </c>
      <c r="I192" s="201">
        <f t="shared" si="21"/>
        <v>0.19180000000000064</v>
      </c>
      <c r="J192" s="201">
        <f t="shared" si="22"/>
        <v>1.5199999999999353E-2</v>
      </c>
      <c r="K192" s="280">
        <f t="shared" si="23"/>
        <v>7.3429951690818136</v>
      </c>
      <c r="L192" s="201">
        <v>24</v>
      </c>
      <c r="M192" s="205">
        <v>43211</v>
      </c>
      <c r="AB192" s="110" t="str">
        <f>IFERROR(INDEX('WetLitterbags placem_collection'!$A$3:$A$500,MATCH(A192,'WetLitterbags placem_collection'!$K$4:$K$500,0)),"")</f>
        <v/>
      </c>
      <c r="AC192" s="110">
        <f>IFERROR(INDEX('WetLitterbags placem_collection'!$A$3:$A$500,MATCH($A192,'WetLitterbags placem_collection'!$O$4:$O$500,0)),"")</f>
        <v>215</v>
      </c>
      <c r="AD192" s="110" t="str">
        <f>IFERROR(INDEX('WetLitterbags placem_collection'!$A$3:$A$500,MATCH($A192,'WetLitterbags placem_collection'!$M$4:$M$500,0)),"")</f>
        <v/>
      </c>
      <c r="AE192" s="110" t="str">
        <f>IFERROR(INDEX('WetLitterbags placem_collection'!$A$3:$A$500,MATCH($A192,'WetLitterbags placem_collection'!$Q$4:$Q$500,0)),"")</f>
        <v/>
      </c>
    </row>
    <row r="193" spans="1:31">
      <c r="A193" s="201" t="s">
        <v>1436</v>
      </c>
      <c r="C193" s="201">
        <v>65</v>
      </c>
      <c r="D193" s="201">
        <v>0.72089999999999999</v>
      </c>
      <c r="E193" s="202">
        <v>10.6349</v>
      </c>
      <c r="F193" s="202">
        <v>0.2016</v>
      </c>
      <c r="G193" s="201">
        <f t="shared" si="20"/>
        <v>10.836500000000001</v>
      </c>
      <c r="H193" s="201">
        <v>10.666499999999999</v>
      </c>
      <c r="I193" s="201">
        <f t="shared" si="21"/>
        <v>0.17000000000000171</v>
      </c>
      <c r="J193" s="201">
        <f t="shared" si="22"/>
        <v>3.1599999999998296E-2</v>
      </c>
      <c r="K193" s="280">
        <f t="shared" si="23"/>
        <v>15.67460317460233</v>
      </c>
      <c r="L193" s="201">
        <v>4</v>
      </c>
      <c r="M193" s="205">
        <v>43199</v>
      </c>
      <c r="N193" s="205">
        <v>43199</v>
      </c>
      <c r="O193" s="201"/>
      <c r="P193" s="201"/>
      <c r="AB193" s="110">
        <f>IFERROR(INDEX('WetLitterbags placem_collection'!$A$3:$A$500,MATCH(A193,'WetLitterbags placem_collection'!$K$4:$K$500,0)),"")</f>
        <v>64</v>
      </c>
      <c r="AC193" s="110" t="str">
        <f>IFERROR(INDEX('WetLitterbags placem_collection'!$A$3:$A$500,MATCH($A193,'WetLitterbags placem_collection'!$O$4:$O$500,0)),"")</f>
        <v/>
      </c>
      <c r="AD193" s="110" t="str">
        <f>IFERROR(INDEX('WetLitterbags placem_collection'!$A$3:$A$500,MATCH($A193,'WetLitterbags placem_collection'!$M$4:$M$500,0)),"")</f>
        <v/>
      </c>
      <c r="AE193" s="110" t="str">
        <f>IFERROR(INDEX('WetLitterbags placem_collection'!$A$3:$A$500,MATCH($A193,'WetLitterbags placem_collection'!$Q$4:$Q$500,0)),"")</f>
        <v/>
      </c>
    </row>
    <row r="194" spans="1:31">
      <c r="A194" s="206" t="s">
        <v>1435</v>
      </c>
      <c r="C194" s="197">
        <v>194</v>
      </c>
      <c r="D194" s="201">
        <v>0.42880000000000001</v>
      </c>
      <c r="E194" s="202">
        <v>9.0518999999999998</v>
      </c>
      <c r="F194" s="202">
        <v>0.2029</v>
      </c>
      <c r="G194" s="201">
        <f t="shared" si="20"/>
        <v>9.2547999999999995</v>
      </c>
      <c r="H194" s="201">
        <v>9.0746000000000002</v>
      </c>
      <c r="I194" s="201">
        <f t="shared" si="21"/>
        <v>0.18019999999999925</v>
      </c>
      <c r="J194" s="201">
        <f t="shared" si="22"/>
        <v>2.2700000000000747E-2</v>
      </c>
      <c r="K194" s="280">
        <f t="shared" si="23"/>
        <v>11.187777230163009</v>
      </c>
      <c r="L194" s="201">
        <v>23</v>
      </c>
      <c r="M194" s="207">
        <v>43186.458333333336</v>
      </c>
      <c r="N194" s="207">
        <v>43186.625</v>
      </c>
      <c r="O194" s="197" t="s">
        <v>2550</v>
      </c>
      <c r="P194" s="201"/>
      <c r="AB194" s="110">
        <f>IFERROR(INDEX('WetLitterbags placem_collection'!$A$3:$A$500,MATCH(A194,'WetLitterbags placem_collection'!$K$4:$K$500,0)),"")</f>
        <v>193</v>
      </c>
      <c r="AC194" s="110" t="str">
        <f>IFERROR(INDEX('WetLitterbags placem_collection'!$A$3:$A$500,MATCH($A194,'WetLitterbags placem_collection'!$O$4:$O$500,0)),"")</f>
        <v/>
      </c>
      <c r="AD194" s="110" t="str">
        <f>IFERROR(INDEX('WetLitterbags placem_collection'!$A$3:$A$500,MATCH($A194,'WetLitterbags placem_collection'!$M$4:$M$500,0)),"")</f>
        <v/>
      </c>
      <c r="AE194" s="110" t="str">
        <f>IFERROR(INDEX('WetLitterbags placem_collection'!$A$3:$A$500,MATCH($A194,'WetLitterbags placem_collection'!$Q$4:$Q$500,0)),"")</f>
        <v/>
      </c>
    </row>
    <row r="195" spans="1:31">
      <c r="A195" s="201" t="s">
        <v>1434</v>
      </c>
      <c r="C195" s="201">
        <v>55</v>
      </c>
      <c r="D195" s="201">
        <v>0.68020000000000003</v>
      </c>
      <c r="E195" s="201">
        <v>8.0879999999999992</v>
      </c>
      <c r="F195" s="202">
        <v>0.20480000000000001</v>
      </c>
      <c r="G195" s="201">
        <f t="shared" si="20"/>
        <v>8.2927999999999997</v>
      </c>
      <c r="H195" s="201">
        <v>8.1410999999999998</v>
      </c>
      <c r="I195" s="201">
        <f t="shared" si="21"/>
        <v>0.15169999999999995</v>
      </c>
      <c r="J195" s="201">
        <f t="shared" si="22"/>
        <v>5.3100000000000064E-2</v>
      </c>
      <c r="K195" s="280">
        <f t="shared" si="23"/>
        <v>25.927734375000028</v>
      </c>
      <c r="L195" s="201">
        <v>16</v>
      </c>
      <c r="M195" s="205">
        <v>43187</v>
      </c>
      <c r="N195" s="205">
        <v>43187</v>
      </c>
      <c r="O195" s="201"/>
      <c r="P195" s="201"/>
      <c r="U195" s="202" t="s">
        <v>552</v>
      </c>
      <c r="V195" s="197">
        <v>1.7441</v>
      </c>
      <c r="W195" s="197">
        <f>(V195-$T$175+F193)</f>
        <v>1.9457</v>
      </c>
      <c r="AB195" s="110" t="str">
        <f>IFERROR(INDEX('WetLitterbags placem_collection'!$A$3:$A$500,MATCH(A195,'WetLitterbags placem_collection'!$K$4:$K$500,0)),"")</f>
        <v/>
      </c>
      <c r="AC195" s="110">
        <f>IFERROR(INDEX('WetLitterbags placem_collection'!$A$3:$A$500,MATCH($A195,'WetLitterbags placem_collection'!$O$4:$O$500,0)),"")</f>
        <v>54</v>
      </c>
      <c r="AD195" s="110" t="str">
        <f>IFERROR(INDEX('WetLitterbags placem_collection'!$A$3:$A$500,MATCH($A195,'WetLitterbags placem_collection'!$M$4:$M$500,0)),"")</f>
        <v/>
      </c>
      <c r="AE195" s="110" t="str">
        <f>IFERROR(INDEX('WetLitterbags placem_collection'!$A$3:$A$500,MATCH($A195,'WetLitterbags placem_collection'!$Q$4:$Q$500,0)),"")</f>
        <v/>
      </c>
    </row>
    <row r="196" spans="1:31">
      <c r="A196" s="197" t="s">
        <v>1432</v>
      </c>
      <c r="C196" s="198">
        <v>57</v>
      </c>
      <c r="D196" s="197">
        <v>0.70320000000000005</v>
      </c>
      <c r="E196" s="202">
        <v>10.115500000000001</v>
      </c>
      <c r="F196" s="202">
        <v>0.20200000000000001</v>
      </c>
      <c r="G196" s="201">
        <f t="shared" si="20"/>
        <v>10.317500000000001</v>
      </c>
      <c r="H196" s="201">
        <v>10.1388</v>
      </c>
      <c r="I196" s="201">
        <f t="shared" si="21"/>
        <v>0.17870000000000097</v>
      </c>
      <c r="J196" s="201">
        <f t="shared" si="22"/>
        <v>2.3299999999999044E-2</v>
      </c>
      <c r="K196" s="280">
        <f t="shared" si="23"/>
        <v>11.534653465346061</v>
      </c>
      <c r="L196" s="201">
        <v>1</v>
      </c>
      <c r="U196" s="113" t="s">
        <v>2587</v>
      </c>
      <c r="V196" s="197">
        <v>1.7248000000000001</v>
      </c>
      <c r="W196" s="197">
        <f>(V196-$T$175+F194)</f>
        <v>1.9277000000000002</v>
      </c>
      <c r="AB196" s="110" t="str">
        <f>IFERROR(INDEX('WetLitterbags placem_collection'!$A$3:$A$500,MATCH(A196,'WetLitterbags placem_collection'!$K$4:$K$500,0)),"")</f>
        <v/>
      </c>
      <c r="AC196" s="110">
        <f>IFERROR(INDEX('WetLitterbags placem_collection'!$A$3:$A$500,MATCH($A196,'WetLitterbags placem_collection'!$O$4:$O$500,0)),"")</f>
        <v>56</v>
      </c>
      <c r="AD196" s="110" t="str">
        <f>IFERROR(INDEX('WetLitterbags placem_collection'!$A$3:$A$500,MATCH($A196,'WetLitterbags placem_collection'!$M$4:$M$500,0)),"")</f>
        <v/>
      </c>
      <c r="AE196" s="110" t="str">
        <f>IFERROR(INDEX('WetLitterbags placem_collection'!$A$3:$A$500,MATCH($A196,'WetLitterbags placem_collection'!$Q$4:$Q$500,0)),"")</f>
        <v/>
      </c>
    </row>
    <row r="197" spans="1:31">
      <c r="A197" s="206" t="s">
        <v>1431</v>
      </c>
      <c r="C197" s="201">
        <v>40</v>
      </c>
      <c r="D197" s="201">
        <v>0.50349999999999995</v>
      </c>
      <c r="E197" s="201">
        <v>7.774</v>
      </c>
      <c r="F197" s="202">
        <v>0.20580000000000001</v>
      </c>
      <c r="G197" s="201">
        <f t="shared" si="20"/>
        <v>7.9798</v>
      </c>
      <c r="H197" s="201">
        <v>7.7916999999999996</v>
      </c>
      <c r="I197" s="201">
        <f t="shared" si="21"/>
        <v>0.18810000000000038</v>
      </c>
      <c r="J197" s="201">
        <f t="shared" si="22"/>
        <v>1.7699999999999633E-2</v>
      </c>
      <c r="K197" s="280">
        <f t="shared" si="23"/>
        <v>8.6005830903788301</v>
      </c>
      <c r="L197" s="201">
        <v>9</v>
      </c>
      <c r="M197" s="205">
        <v>43211</v>
      </c>
      <c r="P197" s="201"/>
      <c r="AB197" s="110" t="str">
        <f>IFERROR(INDEX('WetLitterbags placem_collection'!$A$3:$A$500,MATCH(A197,'WetLitterbags placem_collection'!$K$4:$K$500,0)),"")</f>
        <v/>
      </c>
      <c r="AC197" s="110">
        <f>IFERROR(INDEX('WetLitterbags placem_collection'!$A$3:$A$500,MATCH($A197,'WetLitterbags placem_collection'!$O$4:$O$500,0)),"")</f>
        <v>39</v>
      </c>
      <c r="AD197" s="110" t="str">
        <f>IFERROR(INDEX('WetLitterbags placem_collection'!$A$3:$A$500,MATCH($A197,'WetLitterbags placem_collection'!$M$4:$M$500,0)),"")</f>
        <v/>
      </c>
      <c r="AE197" s="110" t="str">
        <f>IFERROR(INDEX('WetLitterbags placem_collection'!$A$3:$A$500,MATCH($A197,'WetLitterbags placem_collection'!$Q$4:$Q$500,0)),"")</f>
        <v/>
      </c>
    </row>
    <row r="198" spans="1:31">
      <c r="A198" s="197" t="s">
        <v>1430</v>
      </c>
      <c r="C198" s="198">
        <v>187</v>
      </c>
      <c r="D198" s="197">
        <v>0.40920000000000001</v>
      </c>
      <c r="E198" s="202">
        <v>8.7684999999999995</v>
      </c>
      <c r="F198" s="202">
        <v>0.20630000000000001</v>
      </c>
      <c r="G198" s="201">
        <f t="shared" si="20"/>
        <v>8.9748000000000001</v>
      </c>
      <c r="H198" s="201">
        <v>8.7864000000000004</v>
      </c>
      <c r="I198" s="201">
        <f t="shared" si="21"/>
        <v>0.18839999999999968</v>
      </c>
      <c r="J198" s="201">
        <f t="shared" si="22"/>
        <v>1.7900000000000332E-2</v>
      </c>
      <c r="K198" s="280">
        <f t="shared" si="23"/>
        <v>8.6766844401358867</v>
      </c>
      <c r="L198" s="201">
        <v>22</v>
      </c>
      <c r="M198" s="204">
        <v>43221</v>
      </c>
      <c r="N198" s="204">
        <v>43221</v>
      </c>
      <c r="AB198" s="110">
        <f>IFERROR(INDEX('WetLitterbags placem_collection'!$A$3:$A$500,MATCH(A198,'WetLitterbags placem_collection'!$K$4:$K$500,0)),"")</f>
        <v>186</v>
      </c>
      <c r="AC198" s="110" t="str">
        <f>IFERROR(INDEX('WetLitterbags placem_collection'!$A$3:$A$500,MATCH($A198,'WetLitterbags placem_collection'!$O$4:$O$500,0)),"")</f>
        <v/>
      </c>
      <c r="AD198" s="110" t="str">
        <f>IFERROR(INDEX('WetLitterbags placem_collection'!$A$3:$A$500,MATCH($A198,'WetLitterbags placem_collection'!$M$4:$M$500,0)),"")</f>
        <v/>
      </c>
      <c r="AE198" s="110" t="str">
        <f>IFERROR(INDEX('WetLitterbags placem_collection'!$A$3:$A$500,MATCH($A198,'WetLitterbags placem_collection'!$Q$4:$Q$500,0)),"")</f>
        <v/>
      </c>
    </row>
    <row r="199" spans="1:31">
      <c r="A199" s="201" t="s">
        <v>1429</v>
      </c>
      <c r="C199" s="201">
        <v>205</v>
      </c>
      <c r="D199" s="197">
        <v>0.52459999999999996</v>
      </c>
      <c r="E199" s="197">
        <v>11.0524</v>
      </c>
      <c r="F199" s="197">
        <v>0.20369999999999999</v>
      </c>
      <c r="G199" s="197">
        <f t="shared" si="20"/>
        <v>11.2561</v>
      </c>
      <c r="H199" s="197">
        <v>11.097300000000001</v>
      </c>
      <c r="I199" s="197">
        <f t="shared" si="21"/>
        <v>0.15879999999999939</v>
      </c>
      <c r="J199" s="201">
        <f t="shared" si="22"/>
        <v>4.4900000000000606E-2</v>
      </c>
      <c r="K199" s="280">
        <f t="shared" si="23"/>
        <v>22.042218949435743</v>
      </c>
      <c r="L199" s="197">
        <v>8</v>
      </c>
      <c r="M199" s="207">
        <v>43160.520833333336</v>
      </c>
      <c r="N199" s="207">
        <v>43160.6875</v>
      </c>
      <c r="O199" s="197" t="s">
        <v>2550</v>
      </c>
      <c r="AB199" s="110">
        <f>IFERROR(INDEX('WetLitterbags placem_collection'!$A$3:$A$500,MATCH(A199,'WetLitterbags placem_collection'!$K$4:$K$500,0)),"")</f>
        <v>204</v>
      </c>
      <c r="AC199" s="110" t="str">
        <f>IFERROR(INDEX('WetLitterbags placem_collection'!$A$3:$A$500,MATCH($A199,'WetLitterbags placem_collection'!$O$4:$O$500,0)),"")</f>
        <v/>
      </c>
      <c r="AD199" s="110" t="str">
        <f>IFERROR(INDEX('WetLitterbags placem_collection'!$A$3:$A$500,MATCH($A199,'WetLitterbags placem_collection'!$M$4:$M$500,0)),"")</f>
        <v/>
      </c>
      <c r="AE199" s="110" t="str">
        <f>IFERROR(INDEX('WetLitterbags placem_collection'!$A$3:$A$500,MATCH($A199,'WetLitterbags placem_collection'!$Q$4:$Q$500,0)),"")</f>
        <v/>
      </c>
    </row>
    <row r="200" spans="1:31">
      <c r="A200" s="206" t="s">
        <v>1427</v>
      </c>
      <c r="C200" s="201">
        <v>138</v>
      </c>
      <c r="D200" s="201">
        <v>0.45350000000000001</v>
      </c>
      <c r="E200" s="202">
        <v>10.6175</v>
      </c>
      <c r="F200" s="202">
        <v>0.2009</v>
      </c>
      <c r="G200" s="201">
        <f t="shared" si="20"/>
        <v>10.8184</v>
      </c>
      <c r="H200" s="201">
        <v>10.6435</v>
      </c>
      <c r="I200" s="201">
        <f t="shared" si="21"/>
        <v>0.17490000000000094</v>
      </c>
      <c r="J200" s="201">
        <f t="shared" si="22"/>
        <v>2.5999999999999052E-2</v>
      </c>
      <c r="K200" s="280">
        <f t="shared" si="23"/>
        <v>12.94176207068146</v>
      </c>
      <c r="L200" s="201">
        <v>34</v>
      </c>
      <c r="M200" s="207">
        <v>43186.458333333336</v>
      </c>
      <c r="N200" s="207">
        <v>43186.625</v>
      </c>
      <c r="O200" s="197" t="s">
        <v>2550</v>
      </c>
      <c r="P200" s="201"/>
      <c r="AB200" s="110" t="str">
        <f>IFERROR(INDEX('WetLitterbags placem_collection'!$A$3:$A$500,MATCH(A200,'WetLitterbags placem_collection'!$K$4:$K$500,0)),"")</f>
        <v/>
      </c>
      <c r="AC200" s="110">
        <f>IFERROR(INDEX('WetLitterbags placem_collection'!$A$3:$A$500,MATCH($A200,'WetLitterbags placem_collection'!$O$4:$O$500,0)),"")</f>
        <v>137</v>
      </c>
      <c r="AD200" s="110" t="str">
        <f>IFERROR(INDEX('WetLitterbags placem_collection'!$A$3:$A$500,MATCH($A200,'WetLitterbags placem_collection'!$M$4:$M$500,0)),"")</f>
        <v/>
      </c>
      <c r="AE200" s="110" t="str">
        <f>IFERROR(INDEX('WetLitterbags placem_collection'!$A$3:$A$500,MATCH($A200,'WetLitterbags placem_collection'!$Q$4:$Q$500,0)),"")</f>
        <v/>
      </c>
    </row>
    <row r="201" spans="1:31">
      <c r="A201" s="201" t="s">
        <v>1424</v>
      </c>
      <c r="C201" s="201">
        <v>41</v>
      </c>
      <c r="D201" s="202">
        <v>0.62419999999999998</v>
      </c>
      <c r="E201" s="201">
        <v>10.3134</v>
      </c>
      <c r="F201" s="202">
        <v>0.2079</v>
      </c>
      <c r="G201" s="201">
        <f t="shared" si="20"/>
        <v>10.5213</v>
      </c>
      <c r="H201" s="201">
        <v>10.3363</v>
      </c>
      <c r="I201" s="201">
        <f t="shared" si="21"/>
        <v>0.1850000000000005</v>
      </c>
      <c r="J201" s="201">
        <f t="shared" si="22"/>
        <v>2.2899999999999504E-2</v>
      </c>
      <c r="K201" s="280">
        <f t="shared" si="23"/>
        <v>11.014911014910776</v>
      </c>
      <c r="L201" s="201">
        <v>31</v>
      </c>
      <c r="M201" s="201"/>
      <c r="N201" s="201"/>
      <c r="O201" s="201"/>
      <c r="P201" s="201"/>
      <c r="AB201" s="110" t="str">
        <f>IFERROR(INDEX('WetLitterbags placem_collection'!$A$3:$A$500,MATCH(A201,'WetLitterbags placem_collection'!$K$4:$K$500,0)),"")</f>
        <v/>
      </c>
      <c r="AC201" s="110">
        <f>IFERROR(INDEX('WetLitterbags placem_collection'!$A$3:$A$500,MATCH($A201,'WetLitterbags placem_collection'!$O$4:$O$500,0)),"")</f>
        <v>40</v>
      </c>
      <c r="AD201" s="110" t="str">
        <f>IFERROR(INDEX('WetLitterbags placem_collection'!$A$3:$A$500,MATCH($A201,'WetLitterbags placem_collection'!$M$4:$M$500,0)),"")</f>
        <v/>
      </c>
      <c r="AE201" s="110" t="str">
        <f>IFERROR(INDEX('WetLitterbags placem_collection'!$A$3:$A$500,MATCH($A201,'WetLitterbags placem_collection'!$Q$4:$Q$500,0)),"")</f>
        <v/>
      </c>
    </row>
    <row r="202" spans="1:31">
      <c r="A202" s="197" t="s">
        <v>1423</v>
      </c>
      <c r="C202" s="198">
        <v>72</v>
      </c>
      <c r="D202" s="197">
        <v>0.66139999999999999</v>
      </c>
      <c r="E202" s="202">
        <v>8.9581</v>
      </c>
      <c r="F202" s="202">
        <v>0.2089</v>
      </c>
      <c r="G202" s="201">
        <f t="shared" si="20"/>
        <v>9.1669999999999998</v>
      </c>
      <c r="H202" s="201">
        <v>8.9749999999999996</v>
      </c>
      <c r="I202" s="201">
        <f t="shared" si="21"/>
        <v>0.19200000000000017</v>
      </c>
      <c r="J202" s="201">
        <f t="shared" si="22"/>
        <v>1.6899999999999832E-2</v>
      </c>
      <c r="K202" s="280">
        <f t="shared" si="23"/>
        <v>8.0899952130205044</v>
      </c>
      <c r="L202" s="201">
        <v>40</v>
      </c>
      <c r="AB202" s="110" t="str">
        <f>IFERROR(INDEX('WetLitterbags placem_collection'!$A$3:$A$500,MATCH(A202,'WetLitterbags placem_collection'!$K$4:$K$500,0)),"")</f>
        <v/>
      </c>
      <c r="AC202" s="110">
        <f>IFERROR(INDEX('WetLitterbags placem_collection'!$A$3:$A$500,MATCH($A202,'WetLitterbags placem_collection'!$O$4:$O$500,0)),"")</f>
        <v>71</v>
      </c>
      <c r="AD202" s="110" t="str">
        <f>IFERROR(INDEX('WetLitterbags placem_collection'!$A$3:$A$500,MATCH($A202,'WetLitterbags placem_collection'!$M$4:$M$500,0)),"")</f>
        <v/>
      </c>
      <c r="AE202" s="110" t="str">
        <f>IFERROR(INDEX('WetLitterbags placem_collection'!$A$3:$A$500,MATCH($A202,'WetLitterbags placem_collection'!$Q$4:$Q$500,0)),"")</f>
        <v/>
      </c>
    </row>
    <row r="203" spans="1:31">
      <c r="A203" s="197" t="s">
        <v>1422</v>
      </c>
      <c r="C203" s="197">
        <v>87</v>
      </c>
      <c r="D203" s="197">
        <v>0.62929999999999997</v>
      </c>
      <c r="E203" s="197">
        <v>19.727699999999999</v>
      </c>
      <c r="F203" s="197">
        <v>0.20799999999999999</v>
      </c>
      <c r="G203" s="197">
        <f t="shared" si="20"/>
        <v>19.935699999999997</v>
      </c>
      <c r="H203" s="197">
        <v>19.754200000000001</v>
      </c>
      <c r="I203" s="197">
        <f t="shared" si="21"/>
        <v>0.18149999999999622</v>
      </c>
      <c r="J203" s="201">
        <f t="shared" si="22"/>
        <v>2.6500000000003771E-2</v>
      </c>
      <c r="K203" s="280">
        <f t="shared" si="23"/>
        <v>12.74038461538643</v>
      </c>
      <c r="L203" s="197">
        <v>15</v>
      </c>
      <c r="M203" s="197" t="s">
        <v>2580</v>
      </c>
      <c r="N203" s="197" t="s">
        <v>2579</v>
      </c>
      <c r="O203" s="197" t="s">
        <v>2556</v>
      </c>
      <c r="AB203" s="110">
        <f>IFERROR(INDEX('WetLitterbags placem_collection'!$A$3:$A$500,MATCH(A203,'WetLitterbags placem_collection'!$K$4:$K$500,0)),"")</f>
        <v>86</v>
      </c>
      <c r="AC203" s="110" t="str">
        <f>IFERROR(INDEX('WetLitterbags placem_collection'!$A$3:$A$500,MATCH($A203,'WetLitterbags placem_collection'!$O$4:$O$500,0)),"")</f>
        <v/>
      </c>
      <c r="AD203" s="110" t="str">
        <f>IFERROR(INDEX('WetLitterbags placem_collection'!$A$3:$A$500,MATCH($A203,'WetLitterbags placem_collection'!$M$4:$M$500,0)),"")</f>
        <v/>
      </c>
      <c r="AE203" s="110" t="str">
        <f>IFERROR(INDEX('WetLitterbags placem_collection'!$A$3:$A$500,MATCH($A203,'WetLitterbags placem_collection'!$Q$4:$Q$500,0)),"")</f>
        <v/>
      </c>
    </row>
    <row r="204" spans="1:31">
      <c r="A204" s="197" t="s">
        <v>1418</v>
      </c>
      <c r="C204" s="197">
        <v>87</v>
      </c>
      <c r="D204" s="197">
        <v>0.59950000000000003</v>
      </c>
      <c r="E204" s="197">
        <v>20.7624</v>
      </c>
      <c r="F204" s="197">
        <v>0.21010000000000001</v>
      </c>
      <c r="G204" s="197">
        <f t="shared" si="20"/>
        <v>20.9725</v>
      </c>
      <c r="H204" s="197">
        <v>20.792999999999999</v>
      </c>
      <c r="I204" s="197">
        <f t="shared" si="21"/>
        <v>0.17950000000000088</v>
      </c>
      <c r="J204" s="201">
        <f t="shared" si="22"/>
        <v>3.0599999999999128E-2</v>
      </c>
      <c r="K204" s="280">
        <f t="shared" si="23"/>
        <v>14.564493098524098</v>
      </c>
      <c r="L204" s="197">
        <v>16</v>
      </c>
      <c r="M204" s="197" t="s">
        <v>2580</v>
      </c>
      <c r="N204" s="197" t="s">
        <v>2579</v>
      </c>
      <c r="O204" s="197" t="s">
        <v>2556</v>
      </c>
      <c r="AB204" s="110" t="str">
        <f>IFERROR(INDEX('WetLitterbags placem_collection'!$A$3:$A$500,MATCH(A204,'WetLitterbags placem_collection'!$K$4:$K$500,0)),"")</f>
        <v/>
      </c>
      <c r="AC204" s="110">
        <f>IFERROR(INDEX('WetLitterbags placem_collection'!$A$3:$A$500,MATCH($A204,'WetLitterbags placem_collection'!$O$4:$O$500,0)),"")</f>
        <v>86</v>
      </c>
      <c r="AD204" s="110" t="str">
        <f>IFERROR(INDEX('WetLitterbags placem_collection'!$A$3:$A$500,MATCH($A204,'WetLitterbags placem_collection'!$M$4:$M$500,0)),"")</f>
        <v/>
      </c>
      <c r="AE204" s="110" t="str">
        <f>IFERROR(INDEX('WetLitterbags placem_collection'!$A$3:$A$500,MATCH($A204,'WetLitterbags placem_collection'!$Q$4:$Q$500,0)),"")</f>
        <v/>
      </c>
    </row>
    <row r="205" spans="1:31">
      <c r="A205" s="202" t="s">
        <v>1417</v>
      </c>
      <c r="C205" s="201">
        <v>60</v>
      </c>
      <c r="D205" s="201">
        <v>0.6016999999999999</v>
      </c>
      <c r="E205" s="201">
        <v>7.4808000000000003</v>
      </c>
      <c r="F205" s="201">
        <v>0.20580000000000001</v>
      </c>
      <c r="G205" s="201">
        <f t="shared" si="20"/>
        <v>7.6866000000000003</v>
      </c>
      <c r="H205" s="201">
        <v>7.5072000000000001</v>
      </c>
      <c r="I205" s="201">
        <f t="shared" si="21"/>
        <v>0.17940000000000023</v>
      </c>
      <c r="J205" s="201">
        <f t="shared" si="22"/>
        <v>2.6399999999999785E-2</v>
      </c>
      <c r="K205" s="280">
        <f t="shared" si="23"/>
        <v>12.827988338192315</v>
      </c>
      <c r="L205" s="201">
        <v>24</v>
      </c>
      <c r="M205" s="205">
        <v>43173</v>
      </c>
      <c r="N205" s="205">
        <v>43173</v>
      </c>
      <c r="O205" s="201" t="s">
        <v>2556</v>
      </c>
      <c r="P205" s="201" t="s">
        <v>2555</v>
      </c>
      <c r="AB205" s="110">
        <f>IFERROR(INDEX('WetLitterbags placem_collection'!$A$3:$A$500,MATCH(A205,'WetLitterbags placem_collection'!$K$4:$K$500,0)),"")</f>
        <v>59</v>
      </c>
      <c r="AC205" s="110" t="str">
        <f>IFERROR(INDEX('WetLitterbags placem_collection'!$A$3:$A$500,MATCH($A205,'WetLitterbags placem_collection'!$O$4:$O$500,0)),"")</f>
        <v/>
      </c>
      <c r="AD205" s="110" t="str">
        <f>IFERROR(INDEX('WetLitterbags placem_collection'!$A$3:$A$500,MATCH($A205,'WetLitterbags placem_collection'!$M$4:$M$500,0)),"")</f>
        <v/>
      </c>
      <c r="AE205" s="110" t="str">
        <f>IFERROR(INDEX('WetLitterbags placem_collection'!$A$3:$A$500,MATCH($A205,'WetLitterbags placem_collection'!$Q$4:$Q$500,0)),"")</f>
        <v/>
      </c>
    </row>
    <row r="206" spans="1:31">
      <c r="A206" s="197" t="s">
        <v>1416</v>
      </c>
      <c r="C206" s="198">
        <v>6</v>
      </c>
      <c r="D206" s="197">
        <v>0.41160000000000002</v>
      </c>
      <c r="E206" s="202">
        <v>7.3536999999999999</v>
      </c>
      <c r="F206" s="202">
        <v>0.20180000000000001</v>
      </c>
      <c r="G206" s="201">
        <f t="shared" si="20"/>
        <v>7.5555000000000003</v>
      </c>
      <c r="H206" s="201">
        <v>7.3731999999999998</v>
      </c>
      <c r="I206" s="201">
        <f t="shared" si="21"/>
        <v>0.18230000000000057</v>
      </c>
      <c r="J206" s="201">
        <f t="shared" si="22"/>
        <v>1.9499999999999434E-2</v>
      </c>
      <c r="K206" s="280">
        <f t="shared" si="23"/>
        <v>9.6630327056488774</v>
      </c>
      <c r="L206" s="201">
        <v>13</v>
      </c>
      <c r="AB206" s="110" t="str">
        <f>IFERROR(INDEX('WetLitterbags placem_collection'!$A$3:$A$500,MATCH(A206,'WetLitterbags placem_collection'!$K$4:$K$500,0)),"")</f>
        <v/>
      </c>
      <c r="AC206" s="110">
        <f>IFERROR(INDEX('WetLitterbags placem_collection'!$A$3:$A$500,MATCH($A206,'WetLitterbags placem_collection'!$O$4:$O$500,0)),"")</f>
        <v>5</v>
      </c>
      <c r="AD206" s="110" t="str">
        <f>IFERROR(INDEX('WetLitterbags placem_collection'!$A$3:$A$500,MATCH($A206,'WetLitterbags placem_collection'!$M$4:$M$500,0)),"")</f>
        <v/>
      </c>
      <c r="AE206" s="110" t="str">
        <f>IFERROR(INDEX('WetLitterbags placem_collection'!$A$3:$A$500,MATCH($A206,'WetLitterbags placem_collection'!$Q$4:$Q$500,0)),"")</f>
        <v/>
      </c>
    </row>
    <row r="207" spans="1:31">
      <c r="A207" s="197" t="s">
        <v>1414</v>
      </c>
      <c r="C207" s="198">
        <v>93</v>
      </c>
      <c r="D207" s="197">
        <v>0.5998</v>
      </c>
      <c r="E207" s="201">
        <v>11.8621</v>
      </c>
      <c r="F207" s="202">
        <v>0.20330000000000001</v>
      </c>
      <c r="G207" s="201">
        <f t="shared" si="20"/>
        <v>12.0654</v>
      </c>
      <c r="H207" s="201">
        <v>11.8895</v>
      </c>
      <c r="I207" s="201">
        <f t="shared" si="21"/>
        <v>0.17590000000000039</v>
      </c>
      <c r="J207" s="201">
        <f t="shared" si="22"/>
        <v>2.7399999999999619E-2</v>
      </c>
      <c r="K207" s="280">
        <f t="shared" si="23"/>
        <v>13.477619281849297</v>
      </c>
      <c r="L207" s="201">
        <v>25</v>
      </c>
      <c r="M207" s="204">
        <v>43212</v>
      </c>
      <c r="AB207" s="110">
        <f>IFERROR(INDEX('WetLitterbags placem_collection'!$A$3:$A$500,MATCH(A207,'WetLitterbags placem_collection'!$K$4:$K$500,0)),"")</f>
        <v>92</v>
      </c>
      <c r="AC207" s="110" t="str">
        <f>IFERROR(INDEX('WetLitterbags placem_collection'!$A$3:$A$500,MATCH($A207,'WetLitterbags placem_collection'!$O$4:$O$500,0)),"")</f>
        <v/>
      </c>
      <c r="AD207" s="110" t="str">
        <f>IFERROR(INDEX('WetLitterbags placem_collection'!$A$3:$A$500,MATCH($A207,'WetLitterbags placem_collection'!$M$4:$M$500,0)),"")</f>
        <v/>
      </c>
      <c r="AE207" s="110" t="str">
        <f>IFERROR(INDEX('WetLitterbags placem_collection'!$A$3:$A$500,MATCH($A207,'WetLitterbags placem_collection'!$Q$4:$Q$500,0)),"")</f>
        <v/>
      </c>
    </row>
    <row r="208" spans="1:31">
      <c r="A208" s="201" t="s">
        <v>1413</v>
      </c>
      <c r="C208" s="201">
        <v>209</v>
      </c>
      <c r="D208" s="201">
        <v>0.6653</v>
      </c>
      <c r="E208" s="201">
        <v>7.0747</v>
      </c>
      <c r="F208" s="201">
        <v>0.2049</v>
      </c>
      <c r="G208" s="201">
        <f t="shared" si="20"/>
        <v>7.2796000000000003</v>
      </c>
      <c r="H208" s="201">
        <v>7.1105</v>
      </c>
      <c r="I208" s="201">
        <f t="shared" si="21"/>
        <v>0.16910000000000025</v>
      </c>
      <c r="J208" s="201">
        <f t="shared" si="22"/>
        <v>3.5799999999999749E-2</v>
      </c>
      <c r="K208" s="280">
        <f t="shared" si="23"/>
        <v>17.471937530502561</v>
      </c>
      <c r="L208" s="201">
        <v>3</v>
      </c>
      <c r="M208" s="205">
        <v>43174</v>
      </c>
      <c r="N208" s="205">
        <v>43174</v>
      </c>
      <c r="O208" s="201" t="s">
        <v>2556</v>
      </c>
      <c r="P208" s="201" t="s">
        <v>2551</v>
      </c>
      <c r="AB208" s="110" t="str">
        <f>IFERROR(INDEX('WetLitterbags placem_collection'!$A$3:$A$500,MATCH(A208,'WetLitterbags placem_collection'!$K$4:$K$500,0)),"")</f>
        <v/>
      </c>
      <c r="AC208" s="110">
        <f>IFERROR(INDEX('WetLitterbags placem_collection'!$A$3:$A$500,MATCH($A208,'WetLitterbags placem_collection'!$O$4:$O$500,0)),"")</f>
        <v>208</v>
      </c>
      <c r="AD208" s="110" t="str">
        <f>IFERROR(INDEX('WetLitterbags placem_collection'!$A$3:$A$500,MATCH($A208,'WetLitterbags placem_collection'!$M$4:$M$500,0)),"")</f>
        <v/>
      </c>
      <c r="AE208" s="110" t="str">
        <f>IFERROR(INDEX('WetLitterbags placem_collection'!$A$3:$A$500,MATCH($A208,'WetLitterbags placem_collection'!$Q$4:$Q$500,0)),"")</f>
        <v/>
      </c>
    </row>
    <row r="209" spans="1:31">
      <c r="A209" s="197" t="s">
        <v>1412</v>
      </c>
      <c r="C209" s="197">
        <v>52</v>
      </c>
      <c r="D209" s="197">
        <v>0.76990000000000003</v>
      </c>
      <c r="E209" s="197">
        <v>7.9055</v>
      </c>
      <c r="F209" s="197">
        <v>0.2016</v>
      </c>
      <c r="G209" s="197">
        <f t="shared" si="20"/>
        <v>8.1070999999999991</v>
      </c>
      <c r="H209" s="197">
        <v>7.9672999999999998</v>
      </c>
      <c r="I209" s="197">
        <f t="shared" si="21"/>
        <v>0.13979999999999926</v>
      </c>
      <c r="J209" s="201">
        <f t="shared" si="22"/>
        <v>6.1800000000000743E-2</v>
      </c>
      <c r="K209" s="280">
        <f t="shared" si="23"/>
        <v>30.654761904762275</v>
      </c>
      <c r="L209" s="197">
        <v>35</v>
      </c>
      <c r="M209" s="197" t="s">
        <v>2586</v>
      </c>
      <c r="N209" s="197" t="s">
        <v>2585</v>
      </c>
      <c r="O209" s="197" t="s">
        <v>2550</v>
      </c>
      <c r="U209" s="202" t="s">
        <v>1228</v>
      </c>
      <c r="V209" s="197">
        <v>1.05</v>
      </c>
      <c r="W209" s="197">
        <f>(V209-$T$175+F207)</f>
        <v>1.2533000000000001</v>
      </c>
      <c r="AB209" s="110">
        <f>IFERROR(INDEX('WetLitterbags placem_collection'!$A$3:$A$500,MATCH(A209,'WetLitterbags placem_collection'!$K$4:$K$500,0)),"")</f>
        <v>51</v>
      </c>
      <c r="AC209" s="110" t="str">
        <f>IFERROR(INDEX('WetLitterbags placem_collection'!$A$3:$A$500,MATCH($A209,'WetLitterbags placem_collection'!$O$4:$O$500,0)),"")</f>
        <v/>
      </c>
      <c r="AD209" s="110" t="str">
        <f>IFERROR(INDEX('WetLitterbags placem_collection'!$A$3:$A$500,MATCH($A209,'WetLitterbags placem_collection'!$M$4:$M$500,0)),"")</f>
        <v/>
      </c>
      <c r="AE209" s="110" t="str">
        <f>IFERROR(INDEX('WetLitterbags placem_collection'!$A$3:$A$500,MATCH($A209,'WetLitterbags placem_collection'!$Q$4:$Q$500,0)),"")</f>
        <v/>
      </c>
    </row>
    <row r="210" spans="1:31">
      <c r="A210" s="197" t="s">
        <v>1411</v>
      </c>
      <c r="C210" s="198">
        <v>19</v>
      </c>
      <c r="D210" s="197">
        <v>0.6804</v>
      </c>
      <c r="E210" s="202">
        <v>10.565799999999999</v>
      </c>
      <c r="F210" s="202">
        <v>0.19980000000000001</v>
      </c>
      <c r="G210" s="201">
        <f t="shared" si="20"/>
        <v>10.765599999999999</v>
      </c>
      <c r="H210" s="201">
        <v>10.599</v>
      </c>
      <c r="I210" s="201">
        <f t="shared" si="21"/>
        <v>0.16659999999999897</v>
      </c>
      <c r="J210" s="201">
        <f t="shared" si="22"/>
        <v>3.3200000000001034E-2</v>
      </c>
      <c r="K210" s="280">
        <f t="shared" si="23"/>
        <v>16.616616616617133</v>
      </c>
      <c r="L210" s="201">
        <v>30</v>
      </c>
      <c r="AB210" s="110" t="str">
        <f>IFERROR(INDEX('WetLitterbags placem_collection'!$A$3:$A$500,MATCH(A210,'WetLitterbags placem_collection'!$K$4:$K$500,0)),"")</f>
        <v/>
      </c>
      <c r="AC210" s="110">
        <f>IFERROR(INDEX('WetLitterbags placem_collection'!$A$3:$A$500,MATCH($A210,'WetLitterbags placem_collection'!$O$4:$O$500,0)),"")</f>
        <v>18</v>
      </c>
      <c r="AD210" s="110" t="str">
        <f>IFERROR(INDEX('WetLitterbags placem_collection'!$A$3:$A$500,MATCH($A210,'WetLitterbags placem_collection'!$M$4:$M$500,0)),"")</f>
        <v/>
      </c>
      <c r="AE210" s="110" t="str">
        <f>IFERROR(INDEX('WetLitterbags placem_collection'!$A$3:$A$500,MATCH($A210,'WetLitterbags placem_collection'!$Q$4:$Q$500,0)),"")</f>
        <v/>
      </c>
    </row>
    <row r="211" spans="1:31">
      <c r="A211" s="197" t="s">
        <v>1410</v>
      </c>
      <c r="C211" s="198">
        <v>204</v>
      </c>
      <c r="D211" s="197">
        <v>0.52149999999999996</v>
      </c>
      <c r="E211" s="201">
        <v>9.0312999999999999</v>
      </c>
      <c r="F211" s="202">
        <v>0.20649999999999999</v>
      </c>
      <c r="G211" s="201">
        <f t="shared" si="20"/>
        <v>9.2378</v>
      </c>
      <c r="H211" s="201">
        <v>9.0551999999999992</v>
      </c>
      <c r="I211" s="201">
        <f t="shared" si="21"/>
        <v>0.18260000000000076</v>
      </c>
      <c r="J211" s="201">
        <f t="shared" si="22"/>
        <v>2.3899999999999227E-2</v>
      </c>
      <c r="K211" s="280">
        <f t="shared" si="23"/>
        <v>11.573849878934253</v>
      </c>
      <c r="L211" s="201">
        <v>17</v>
      </c>
      <c r="M211" s="204">
        <v>43212</v>
      </c>
      <c r="AB211" s="110" t="str">
        <f>IFERROR(INDEX('WetLitterbags placem_collection'!$A$3:$A$500,MATCH(A211,'WetLitterbags placem_collection'!$K$4:$K$500,0)),"")</f>
        <v/>
      </c>
      <c r="AC211" s="110">
        <f>IFERROR(INDEX('WetLitterbags placem_collection'!$A$3:$A$500,MATCH($A211,'WetLitterbags placem_collection'!$O$4:$O$500,0)),"")</f>
        <v>203</v>
      </c>
      <c r="AD211" s="110" t="str">
        <f>IFERROR(INDEX('WetLitterbags placem_collection'!$A$3:$A$500,MATCH($A211,'WetLitterbags placem_collection'!$M$4:$M$500,0)),"")</f>
        <v/>
      </c>
      <c r="AE211" s="110" t="str">
        <f>IFERROR(INDEX('WetLitterbags placem_collection'!$A$3:$A$500,MATCH($A211,'WetLitterbags placem_collection'!$Q$4:$Q$500,0)),"")</f>
        <v/>
      </c>
    </row>
    <row r="212" spans="1:31">
      <c r="A212" s="201" t="s">
        <v>1409</v>
      </c>
      <c r="C212" s="201">
        <v>95</v>
      </c>
      <c r="D212" s="201">
        <f>0.7539+F212</f>
        <v>0.95789999999999997</v>
      </c>
      <c r="E212" s="202">
        <v>7.8712</v>
      </c>
      <c r="F212" s="202">
        <v>0.20399999999999999</v>
      </c>
      <c r="G212" s="201">
        <f t="shared" si="20"/>
        <v>8.0752000000000006</v>
      </c>
      <c r="H212" s="201">
        <v>7.9390000000000001</v>
      </c>
      <c r="I212" s="201">
        <f t="shared" si="21"/>
        <v>0.13620000000000054</v>
      </c>
      <c r="J212" s="201">
        <f t="shared" si="22"/>
        <v>6.7799999999999444E-2</v>
      </c>
      <c r="K212" s="280">
        <f t="shared" si="23"/>
        <v>33.235294117646788</v>
      </c>
      <c r="L212" s="201">
        <v>18</v>
      </c>
      <c r="M212" s="205">
        <v>43174</v>
      </c>
      <c r="N212" s="205">
        <v>43174</v>
      </c>
      <c r="O212" s="201" t="s">
        <v>2556</v>
      </c>
      <c r="P212" s="201" t="s">
        <v>2551</v>
      </c>
      <c r="AB212" s="110">
        <f>IFERROR(INDEX('WetLitterbags placem_collection'!$A$3:$A$500,MATCH(A212,'WetLitterbags placem_collection'!$K$4:$K$500,0)),"")</f>
        <v>94</v>
      </c>
      <c r="AC212" s="110" t="str">
        <f>IFERROR(INDEX('WetLitterbags placem_collection'!$A$3:$A$500,MATCH($A212,'WetLitterbags placem_collection'!$O$4:$O$500,0)),"")</f>
        <v/>
      </c>
      <c r="AD212" s="110" t="str">
        <f>IFERROR(INDEX('WetLitterbags placem_collection'!$A$3:$A$500,MATCH($A212,'WetLitterbags placem_collection'!$M$4:$M$500,0)),"")</f>
        <v/>
      </c>
      <c r="AE212" s="110" t="str">
        <f>IFERROR(INDEX('WetLitterbags placem_collection'!$A$3:$A$500,MATCH($A212,'WetLitterbags placem_collection'!$Q$4:$Q$500,0)),"")</f>
        <v/>
      </c>
    </row>
    <row r="213" spans="1:31">
      <c r="A213" s="197" t="s">
        <v>1407</v>
      </c>
      <c r="C213" s="197">
        <v>43</v>
      </c>
      <c r="D213" s="197">
        <v>0.54469999999999996</v>
      </c>
      <c r="E213" s="197">
        <v>8.8613999999999997</v>
      </c>
      <c r="F213" s="197">
        <v>0.20349999999999999</v>
      </c>
      <c r="G213" s="197">
        <f t="shared" si="20"/>
        <v>9.0648999999999997</v>
      </c>
      <c r="H213" s="197">
        <v>8.8770000000000007</v>
      </c>
      <c r="I213" s="197">
        <f t="shared" si="21"/>
        <v>0.18789999999999907</v>
      </c>
      <c r="J213" s="201">
        <f t="shared" si="22"/>
        <v>1.5600000000000919E-2</v>
      </c>
      <c r="K213" s="280">
        <f t="shared" si="23"/>
        <v>7.6658476658481174</v>
      </c>
      <c r="L213" s="197">
        <v>14</v>
      </c>
      <c r="M213" s="197" t="s">
        <v>2586</v>
      </c>
      <c r="N213" s="197" t="s">
        <v>2585</v>
      </c>
      <c r="O213" s="197" t="s">
        <v>2550</v>
      </c>
      <c r="AB213" s="110" t="str">
        <f>IFERROR(INDEX('WetLitterbags placem_collection'!$A$3:$A$500,MATCH(A213,'WetLitterbags placem_collection'!$K$4:$K$500,0)),"")</f>
        <v/>
      </c>
      <c r="AC213" s="110">
        <f>IFERROR(INDEX('WetLitterbags placem_collection'!$A$3:$A$500,MATCH($A213,'WetLitterbags placem_collection'!$O$4:$O$500,0)),"")</f>
        <v>42</v>
      </c>
      <c r="AD213" s="110" t="str">
        <f>IFERROR(INDEX('WetLitterbags placem_collection'!$A$3:$A$500,MATCH($A213,'WetLitterbags placem_collection'!$M$4:$M$500,0)),"")</f>
        <v/>
      </c>
      <c r="AE213" s="110" t="str">
        <f>IFERROR(INDEX('WetLitterbags placem_collection'!$A$3:$A$500,MATCH($A213,'WetLitterbags placem_collection'!$Q$4:$Q$500,0)),"")</f>
        <v/>
      </c>
    </row>
    <row r="214" spans="1:31">
      <c r="A214" s="197" t="s">
        <v>1406</v>
      </c>
      <c r="C214" s="198">
        <v>16</v>
      </c>
      <c r="D214" s="197">
        <v>0.40689999999999998</v>
      </c>
      <c r="E214" s="202">
        <v>11.1591</v>
      </c>
      <c r="F214" s="202">
        <v>0.2044</v>
      </c>
      <c r="G214" s="201">
        <f t="shared" si="20"/>
        <v>11.3635</v>
      </c>
      <c r="H214" s="201">
        <v>11.177199999999999</v>
      </c>
      <c r="I214" s="201">
        <f t="shared" si="21"/>
        <v>0.18630000000000102</v>
      </c>
      <c r="J214" s="201">
        <f t="shared" si="22"/>
        <v>1.8099999999998978E-2</v>
      </c>
      <c r="K214" s="280">
        <f t="shared" si="23"/>
        <v>8.8551859099799302</v>
      </c>
      <c r="L214" s="201">
        <v>8</v>
      </c>
      <c r="AB214" s="110" t="str">
        <f>IFERROR(INDEX('WetLitterbags placem_collection'!$A$3:$A$500,MATCH(A214,'WetLitterbags placem_collection'!$K$4:$K$500,0)),"")</f>
        <v/>
      </c>
      <c r="AC214" s="110">
        <f>IFERROR(INDEX('WetLitterbags placem_collection'!$A$3:$A$500,MATCH($A214,'WetLitterbags placem_collection'!$O$4:$O$500,0)),"")</f>
        <v>15</v>
      </c>
      <c r="AD214" s="110" t="str">
        <f>IFERROR(INDEX('WetLitterbags placem_collection'!$A$3:$A$500,MATCH($A214,'WetLitterbags placem_collection'!$M$4:$M$500,0)),"")</f>
        <v/>
      </c>
      <c r="AE214" s="110" t="str">
        <f>IFERROR(INDEX('WetLitterbags placem_collection'!$A$3:$A$500,MATCH($A214,'WetLitterbags placem_collection'!$Q$4:$Q$500,0)),"")</f>
        <v/>
      </c>
    </row>
    <row r="215" spans="1:31">
      <c r="A215" s="197" t="s">
        <v>1405</v>
      </c>
      <c r="C215" s="198">
        <v>203</v>
      </c>
      <c r="D215" s="197">
        <v>0.60440000000000005</v>
      </c>
      <c r="E215" s="201">
        <v>10.271599999999999</v>
      </c>
      <c r="F215" s="202">
        <v>0.20330000000000001</v>
      </c>
      <c r="G215" s="201">
        <f t="shared" si="20"/>
        <v>10.4749</v>
      </c>
      <c r="H215" s="201">
        <v>10.2941</v>
      </c>
      <c r="I215" s="201">
        <f t="shared" si="21"/>
        <v>0.18079999999999963</v>
      </c>
      <c r="J215" s="201">
        <f t="shared" si="22"/>
        <v>2.2500000000000381E-2</v>
      </c>
      <c r="K215" s="280">
        <f t="shared" si="23"/>
        <v>11.067388096409434</v>
      </c>
      <c r="L215" s="201">
        <v>14</v>
      </c>
      <c r="M215" s="204">
        <v>43212</v>
      </c>
      <c r="AB215" s="110">
        <f>IFERROR(INDEX('WetLitterbags placem_collection'!$A$3:$A$500,MATCH(A215,'WetLitterbags placem_collection'!$K$4:$K$500,0)),"")</f>
        <v>202</v>
      </c>
      <c r="AC215" s="110" t="str">
        <f>IFERROR(INDEX('WetLitterbags placem_collection'!$A$3:$A$500,MATCH($A215,'WetLitterbags placem_collection'!$O$4:$O$500,0)),"")</f>
        <v/>
      </c>
      <c r="AD215" s="110" t="str">
        <f>IFERROR(INDEX('WetLitterbags placem_collection'!$A$3:$A$500,MATCH($A215,'WetLitterbags placem_collection'!$M$4:$M$500,0)),"")</f>
        <v/>
      </c>
      <c r="AE215" s="110" t="str">
        <f>IFERROR(INDEX('WetLitterbags placem_collection'!$A$3:$A$500,MATCH($A215,'WetLitterbags placem_collection'!$Q$4:$Q$500,0)),"")</f>
        <v/>
      </c>
    </row>
    <row r="216" spans="1:31">
      <c r="A216" s="201" t="s">
        <v>1403</v>
      </c>
      <c r="C216" s="201">
        <v>151</v>
      </c>
      <c r="D216" s="197">
        <v>0.54200000000000004</v>
      </c>
      <c r="E216" s="197">
        <v>8.7667999999999999</v>
      </c>
      <c r="F216" s="197">
        <v>0.20930000000000001</v>
      </c>
      <c r="G216" s="197">
        <f t="shared" si="20"/>
        <v>8.9761000000000006</v>
      </c>
      <c r="H216" s="197">
        <v>8.8093000000000004</v>
      </c>
      <c r="I216" s="197">
        <f t="shared" si="21"/>
        <v>0.16680000000000028</v>
      </c>
      <c r="J216" s="201">
        <f t="shared" si="22"/>
        <v>4.2499999999999732E-2</v>
      </c>
      <c r="K216" s="280">
        <f t="shared" si="23"/>
        <v>20.305781175346262</v>
      </c>
      <c r="L216" s="197">
        <v>12</v>
      </c>
      <c r="M216" s="207">
        <v>43160.520833333336</v>
      </c>
      <c r="N216" s="207">
        <v>43160.6875</v>
      </c>
      <c r="O216" s="197" t="s">
        <v>2550</v>
      </c>
      <c r="AB216" s="110" t="str">
        <f>IFERROR(INDEX('WetLitterbags placem_collection'!$A$3:$A$500,MATCH(A216,'WetLitterbags placem_collection'!$K$4:$K$500,0)),"")</f>
        <v/>
      </c>
      <c r="AC216" s="110">
        <f>IFERROR(INDEX('WetLitterbags placem_collection'!$A$3:$A$500,MATCH($A216,'WetLitterbags placem_collection'!$O$4:$O$500,0)),"")</f>
        <v>150</v>
      </c>
      <c r="AD216" s="110" t="str">
        <f>IFERROR(INDEX('WetLitterbags placem_collection'!$A$3:$A$500,MATCH($A216,'WetLitterbags placem_collection'!$M$4:$M$500,0)),"")</f>
        <v/>
      </c>
      <c r="AE216" s="110" t="str">
        <f>IFERROR(INDEX('WetLitterbags placem_collection'!$A$3:$A$500,MATCH($A216,'WetLitterbags placem_collection'!$Q$4:$Q$500,0)),"")</f>
        <v/>
      </c>
    </row>
    <row r="217" spans="1:31">
      <c r="A217" s="197" t="s">
        <v>1402</v>
      </c>
      <c r="C217" s="198">
        <v>17</v>
      </c>
      <c r="D217" s="197">
        <v>0.495</v>
      </c>
      <c r="E217" s="202">
        <v>9.3422000000000001</v>
      </c>
      <c r="F217" s="202">
        <v>0.20319999999999999</v>
      </c>
      <c r="G217" s="201">
        <f t="shared" si="20"/>
        <v>9.5454000000000008</v>
      </c>
      <c r="H217" s="201">
        <v>9.3627000000000002</v>
      </c>
      <c r="I217" s="201">
        <f t="shared" si="21"/>
        <v>0.18270000000000053</v>
      </c>
      <c r="J217" s="201">
        <f t="shared" si="22"/>
        <v>2.0499999999999463E-2</v>
      </c>
      <c r="K217" s="280">
        <f t="shared" si="23"/>
        <v>10.088582677165091</v>
      </c>
      <c r="L217" s="201">
        <v>1</v>
      </c>
      <c r="AB217" s="110" t="str">
        <f>IFERROR(INDEX('WetLitterbags placem_collection'!$A$3:$A$500,MATCH(A217,'WetLitterbags placem_collection'!$K$4:$K$500,0)),"")</f>
        <v/>
      </c>
      <c r="AC217" s="110">
        <f>IFERROR(INDEX('WetLitterbags placem_collection'!$A$3:$A$500,MATCH($A217,'WetLitterbags placem_collection'!$O$4:$O$500,0)),"")</f>
        <v>16</v>
      </c>
      <c r="AD217" s="110" t="str">
        <f>IFERROR(INDEX('WetLitterbags placem_collection'!$A$3:$A$500,MATCH($A217,'WetLitterbags placem_collection'!$M$4:$M$500,0)),"")</f>
        <v/>
      </c>
      <c r="AE217" s="110" t="str">
        <f>IFERROR(INDEX('WetLitterbags placem_collection'!$A$3:$A$500,MATCH($A217,'WetLitterbags placem_collection'!$Q$4:$Q$500,0)),"")</f>
        <v/>
      </c>
    </row>
    <row r="218" spans="1:31">
      <c r="A218" s="197" t="s">
        <v>1401</v>
      </c>
      <c r="C218" s="197">
        <v>34</v>
      </c>
      <c r="D218" s="197">
        <v>0.58889999999999998</v>
      </c>
      <c r="E218" s="197">
        <v>9.2355</v>
      </c>
      <c r="F218" s="197">
        <v>0.20250000000000001</v>
      </c>
      <c r="G218" s="197">
        <f t="shared" si="20"/>
        <v>9.4380000000000006</v>
      </c>
      <c r="H218" s="197">
        <v>9.2577999999999996</v>
      </c>
      <c r="I218" s="197">
        <f t="shared" si="21"/>
        <v>0.18020000000000103</v>
      </c>
      <c r="J218" s="201">
        <f t="shared" si="22"/>
        <v>2.2299999999998987E-2</v>
      </c>
      <c r="K218" s="280">
        <f t="shared" si="23"/>
        <v>11.012345679011846</v>
      </c>
      <c r="L218" s="197">
        <v>10</v>
      </c>
      <c r="M218" s="197" t="s">
        <v>2586</v>
      </c>
      <c r="N218" s="197" t="s">
        <v>2585</v>
      </c>
      <c r="O218" s="197" t="s">
        <v>2550</v>
      </c>
      <c r="AB218" s="110" t="str">
        <f>IFERROR(INDEX('WetLitterbags placem_collection'!$A$3:$A$500,MATCH(A218,'WetLitterbags placem_collection'!$K$4:$K$500,0)),"")</f>
        <v/>
      </c>
      <c r="AC218" s="110">
        <f>IFERROR(INDEX('WetLitterbags placem_collection'!$A$3:$A$500,MATCH($A218,'WetLitterbags placem_collection'!$O$4:$O$500,0)),"")</f>
        <v>33</v>
      </c>
      <c r="AD218" s="110" t="str">
        <f>IFERROR(INDEX('WetLitterbags placem_collection'!$A$3:$A$500,MATCH($A218,'WetLitterbags placem_collection'!$M$4:$M$500,0)),"")</f>
        <v/>
      </c>
      <c r="AE218" s="110" t="str">
        <f>IFERROR(INDEX('WetLitterbags placem_collection'!$A$3:$A$500,MATCH($A218,'WetLitterbags placem_collection'!$Q$4:$Q$500,0)),"")</f>
        <v/>
      </c>
    </row>
    <row r="219" spans="1:31">
      <c r="A219" s="197" t="s">
        <v>1399</v>
      </c>
      <c r="C219" s="198">
        <v>26</v>
      </c>
      <c r="D219" s="197">
        <v>0.57050000000000001</v>
      </c>
      <c r="E219" s="202">
        <v>8.2188999999999997</v>
      </c>
      <c r="F219" s="202">
        <v>0.2046</v>
      </c>
      <c r="G219" s="201">
        <f t="shared" si="20"/>
        <v>8.4234999999999989</v>
      </c>
      <c r="H219" s="201">
        <v>8.2445000000000004</v>
      </c>
      <c r="I219" s="201">
        <f t="shared" si="21"/>
        <v>0.17899999999999849</v>
      </c>
      <c r="J219" s="201">
        <f t="shared" si="22"/>
        <v>2.560000000000151E-2</v>
      </c>
      <c r="K219" s="280">
        <f t="shared" si="23"/>
        <v>12.512218963832606</v>
      </c>
      <c r="L219" s="201">
        <v>24</v>
      </c>
      <c r="AB219" s="110">
        <f>IFERROR(INDEX('WetLitterbags placem_collection'!$A$3:$A$500,MATCH(A219,'WetLitterbags placem_collection'!$K$4:$K$500,0)),"")</f>
        <v>25</v>
      </c>
      <c r="AC219" s="110" t="str">
        <f>IFERROR(INDEX('WetLitterbags placem_collection'!$A$3:$A$500,MATCH($A219,'WetLitterbags placem_collection'!$O$4:$O$500,0)),"")</f>
        <v/>
      </c>
      <c r="AD219" s="110" t="str">
        <f>IFERROR(INDEX('WetLitterbags placem_collection'!$A$3:$A$500,MATCH($A219,'WetLitterbags placem_collection'!$M$4:$M$500,0)),"")</f>
        <v/>
      </c>
      <c r="AE219" s="110" t="str">
        <f>IFERROR(INDEX('WetLitterbags placem_collection'!$A$3:$A$500,MATCH($A219,'WetLitterbags placem_collection'!$Q$4:$Q$500,0)),"")</f>
        <v/>
      </c>
    </row>
    <row r="220" spans="1:31">
      <c r="A220" s="202" t="s">
        <v>1397</v>
      </c>
      <c r="C220" s="201">
        <v>145</v>
      </c>
      <c r="D220" s="201">
        <v>0.49199999999999988</v>
      </c>
      <c r="E220" s="201">
        <v>7.7736999999999998</v>
      </c>
      <c r="F220" s="201">
        <v>0.20580000000000001</v>
      </c>
      <c r="G220" s="201">
        <f t="shared" si="20"/>
        <v>7.9794999999999998</v>
      </c>
      <c r="H220" s="201">
        <v>7.8140999999999998</v>
      </c>
      <c r="I220" s="201">
        <f t="shared" si="21"/>
        <v>0.16539999999999999</v>
      </c>
      <c r="J220" s="201">
        <f t="shared" si="22"/>
        <v>4.0400000000000019E-2</v>
      </c>
      <c r="K220" s="280">
        <f t="shared" si="23"/>
        <v>19.630709426627803</v>
      </c>
      <c r="L220" s="201">
        <v>28</v>
      </c>
      <c r="M220" s="205">
        <v>43173</v>
      </c>
      <c r="N220" s="205">
        <v>43173</v>
      </c>
      <c r="O220" s="201" t="s">
        <v>2556</v>
      </c>
      <c r="P220" s="201" t="s">
        <v>2555</v>
      </c>
      <c r="AB220" s="110" t="str">
        <f>IFERROR(INDEX('WetLitterbags placem_collection'!$A$3:$A$500,MATCH(A220,'WetLitterbags placem_collection'!$K$4:$K$500,0)),"")</f>
        <v/>
      </c>
      <c r="AC220" s="110">
        <f>IFERROR(INDEX('WetLitterbags placem_collection'!$A$3:$A$500,MATCH($A220,'WetLitterbags placem_collection'!$O$4:$O$500,0)),"")</f>
        <v>144</v>
      </c>
      <c r="AD220" s="110" t="str">
        <f>IFERROR(INDEX('WetLitterbags placem_collection'!$A$3:$A$500,MATCH($A220,'WetLitterbags placem_collection'!$M$4:$M$500,0)),"")</f>
        <v/>
      </c>
      <c r="AE220" s="110" t="str">
        <f>IFERROR(INDEX('WetLitterbags placem_collection'!$A$3:$A$500,MATCH($A220,'WetLitterbags placem_collection'!$Q$4:$Q$500,0)),"")</f>
        <v/>
      </c>
    </row>
    <row r="221" spans="1:31">
      <c r="A221" s="206" t="s">
        <v>1396</v>
      </c>
      <c r="C221" s="201">
        <v>156</v>
      </c>
      <c r="D221" s="201">
        <v>0.51719999999999999</v>
      </c>
      <c r="E221" s="201">
        <v>8.1660000000000004</v>
      </c>
      <c r="F221" s="201">
        <v>0.2077</v>
      </c>
      <c r="G221" s="201">
        <f t="shared" si="20"/>
        <v>8.3736999999999995</v>
      </c>
      <c r="H221" s="201">
        <v>8.218</v>
      </c>
      <c r="I221" s="201">
        <f t="shared" si="21"/>
        <v>0.15569999999999951</v>
      </c>
      <c r="J221" s="201">
        <f t="shared" si="22"/>
        <v>5.200000000000049E-2</v>
      </c>
      <c r="K221" s="280">
        <f t="shared" si="23"/>
        <v>25.036109773712322</v>
      </c>
      <c r="L221" s="201">
        <v>16</v>
      </c>
      <c r="M221" s="203">
        <v>43171.520833333336</v>
      </c>
      <c r="N221" s="203">
        <v>43171.6875</v>
      </c>
      <c r="O221" s="197" t="s">
        <v>2550</v>
      </c>
      <c r="P221" s="201"/>
      <c r="AB221" s="110">
        <f>IFERROR(INDEX('WetLitterbags placem_collection'!$A$3:$A$500,MATCH(A221,'WetLitterbags placem_collection'!$K$4:$K$500,0)),"")</f>
        <v>155</v>
      </c>
      <c r="AC221" s="110" t="str">
        <f>IFERROR(INDEX('WetLitterbags placem_collection'!$A$3:$A$500,MATCH($A221,'WetLitterbags placem_collection'!$O$4:$O$500,0)),"")</f>
        <v/>
      </c>
      <c r="AD221" s="110" t="str">
        <f>IFERROR(INDEX('WetLitterbags placem_collection'!$A$3:$A$500,MATCH($A221,'WetLitterbags placem_collection'!$M$4:$M$500,0)),"")</f>
        <v/>
      </c>
      <c r="AE221" s="110" t="str">
        <f>IFERROR(INDEX('WetLitterbags placem_collection'!$A$3:$A$500,MATCH($A221,'WetLitterbags placem_collection'!$Q$4:$Q$500,0)),"")</f>
        <v/>
      </c>
    </row>
    <row r="222" spans="1:31">
      <c r="A222" s="206" t="s">
        <v>1395</v>
      </c>
      <c r="C222" s="201">
        <v>174</v>
      </c>
      <c r="D222" s="201">
        <v>0.48580000000000001</v>
      </c>
      <c r="E222" s="202">
        <v>8.1355000000000004</v>
      </c>
      <c r="F222" s="202">
        <v>0.20269999999999999</v>
      </c>
      <c r="G222" s="201">
        <f t="shared" si="20"/>
        <v>8.3382000000000005</v>
      </c>
      <c r="H222" s="201">
        <v>8.1510999999999996</v>
      </c>
      <c r="I222" s="201">
        <f t="shared" si="21"/>
        <v>0.18710000000000093</v>
      </c>
      <c r="J222" s="201">
        <f t="shared" si="22"/>
        <v>1.5599999999999059E-2</v>
      </c>
      <c r="K222" s="280">
        <f t="shared" si="23"/>
        <v>7.6961026147010658</v>
      </c>
      <c r="L222" s="201">
        <v>10</v>
      </c>
      <c r="M222" s="207">
        <v>43186.458333333336</v>
      </c>
      <c r="N222" s="207">
        <v>43186.625</v>
      </c>
      <c r="O222" s="197" t="s">
        <v>2550</v>
      </c>
      <c r="P222" s="201"/>
      <c r="AB222" s="110">
        <f>IFERROR(INDEX('WetLitterbags placem_collection'!$A$3:$A$500,MATCH(A222,'WetLitterbags placem_collection'!$K$4:$K$500,0)),"")</f>
        <v>173</v>
      </c>
      <c r="AC222" s="110" t="str">
        <f>IFERROR(INDEX('WetLitterbags placem_collection'!$A$3:$A$500,MATCH($A222,'WetLitterbags placem_collection'!$O$4:$O$500,0)),"")</f>
        <v/>
      </c>
      <c r="AD222" s="110" t="str">
        <f>IFERROR(INDEX('WetLitterbags placem_collection'!$A$3:$A$500,MATCH($A222,'WetLitterbags placem_collection'!$M$4:$M$500,0)),"")</f>
        <v/>
      </c>
      <c r="AE222" s="110" t="str">
        <f>IFERROR(INDEX('WetLitterbags placem_collection'!$A$3:$A$500,MATCH($A222,'WetLitterbags placem_collection'!$Q$4:$Q$500,0)),"")</f>
        <v/>
      </c>
    </row>
    <row r="223" spans="1:31">
      <c r="A223" s="201" t="s">
        <v>1394</v>
      </c>
      <c r="C223" s="201">
        <v>171</v>
      </c>
      <c r="D223" s="201">
        <v>0.46429999999999999</v>
      </c>
      <c r="E223" s="202">
        <v>7.4753999999999996</v>
      </c>
      <c r="F223" s="202">
        <v>0.2019</v>
      </c>
      <c r="G223" s="201">
        <f t="shared" si="20"/>
        <v>7.6772999999999998</v>
      </c>
      <c r="H223" s="201">
        <v>7.5002000000000004</v>
      </c>
      <c r="I223" s="201">
        <f t="shared" si="21"/>
        <v>0.17709999999999937</v>
      </c>
      <c r="J223" s="201">
        <f t="shared" si="22"/>
        <v>2.4800000000000627E-2</v>
      </c>
      <c r="K223" s="280">
        <f t="shared" si="23"/>
        <v>12.283308568598626</v>
      </c>
      <c r="L223" s="201">
        <v>11</v>
      </c>
      <c r="M223" s="205">
        <v>43174</v>
      </c>
      <c r="N223" s="205">
        <v>43174</v>
      </c>
      <c r="O223" s="201" t="s">
        <v>2556</v>
      </c>
      <c r="P223" s="201" t="s">
        <v>2551</v>
      </c>
      <c r="AB223" s="110">
        <f>IFERROR(INDEX('WetLitterbags placem_collection'!$A$3:$A$500,MATCH(A223,'WetLitterbags placem_collection'!$K$4:$K$500,0)),"")</f>
        <v>170</v>
      </c>
      <c r="AC223" s="110" t="str">
        <f>IFERROR(INDEX('WetLitterbags placem_collection'!$A$3:$A$500,MATCH($A223,'WetLitterbags placem_collection'!$O$4:$O$500,0)),"")</f>
        <v/>
      </c>
      <c r="AD223" s="110" t="str">
        <f>IFERROR(INDEX('WetLitterbags placem_collection'!$A$3:$A$500,MATCH($A223,'WetLitterbags placem_collection'!$M$4:$M$500,0)),"")</f>
        <v/>
      </c>
      <c r="AE223" s="110" t="str">
        <f>IFERROR(INDEX('WetLitterbags placem_collection'!$A$3:$A$500,MATCH($A223,'WetLitterbags placem_collection'!$Q$4:$Q$500,0)),"")</f>
        <v/>
      </c>
    </row>
    <row r="224" spans="1:31">
      <c r="A224" s="201" t="s">
        <v>1393</v>
      </c>
      <c r="C224" s="201">
        <v>119</v>
      </c>
      <c r="D224" s="201">
        <v>0.46510000000000001</v>
      </c>
      <c r="E224" s="202">
        <v>9.6732999999999993</v>
      </c>
      <c r="F224" s="202">
        <v>0.2094</v>
      </c>
      <c r="G224" s="201">
        <f t="shared" si="20"/>
        <v>9.8826999999999998</v>
      </c>
      <c r="H224" s="201">
        <v>9.7062000000000008</v>
      </c>
      <c r="I224" s="201">
        <f t="shared" si="21"/>
        <v>0.17649999999999899</v>
      </c>
      <c r="J224" s="201">
        <f t="shared" si="22"/>
        <v>3.2900000000001012E-2</v>
      </c>
      <c r="K224" s="280">
        <f t="shared" si="23"/>
        <v>15.711556829035821</v>
      </c>
      <c r="L224" s="201">
        <v>27</v>
      </c>
      <c r="M224" s="205">
        <v>43197</v>
      </c>
      <c r="N224" s="205">
        <v>43197</v>
      </c>
      <c r="O224" s="201"/>
      <c r="P224" s="201"/>
      <c r="AB224" s="110">
        <f>IFERROR(INDEX('WetLitterbags placem_collection'!$A$3:$A$500,MATCH(A224,'WetLitterbags placem_collection'!$K$4:$K$500,0)),"")</f>
        <v>118</v>
      </c>
      <c r="AC224" s="110" t="str">
        <f>IFERROR(INDEX('WetLitterbags placem_collection'!$A$3:$A$500,MATCH($A224,'WetLitterbags placem_collection'!$O$4:$O$500,0)),"")</f>
        <v/>
      </c>
      <c r="AD224" s="110" t="str">
        <f>IFERROR(INDEX('WetLitterbags placem_collection'!$A$3:$A$500,MATCH($A224,'WetLitterbags placem_collection'!$M$4:$M$500,0)),"")</f>
        <v/>
      </c>
      <c r="AE224" s="110" t="str">
        <f>IFERROR(INDEX('WetLitterbags placem_collection'!$A$3:$A$500,MATCH($A224,'WetLitterbags placem_collection'!$Q$4:$Q$500,0)),"")</f>
        <v/>
      </c>
    </row>
    <row r="225" spans="1:31">
      <c r="A225" s="206" t="s">
        <v>1392</v>
      </c>
      <c r="C225" s="201">
        <v>150</v>
      </c>
      <c r="D225" s="201">
        <v>0.48359999999999997</v>
      </c>
      <c r="E225" s="202">
        <v>10.539899999999999</v>
      </c>
      <c r="F225" s="202">
        <v>0.20069999999999999</v>
      </c>
      <c r="G225" s="201">
        <f t="shared" si="20"/>
        <v>10.740599999999999</v>
      </c>
      <c r="H225" s="201">
        <v>10.5875</v>
      </c>
      <c r="I225" s="201">
        <f t="shared" si="21"/>
        <v>0.15309999999999846</v>
      </c>
      <c r="J225" s="201">
        <f t="shared" si="22"/>
        <v>4.760000000000153E-2</v>
      </c>
      <c r="K225" s="280">
        <f t="shared" si="23"/>
        <v>23.716990533134794</v>
      </c>
      <c r="L225" s="201">
        <v>12</v>
      </c>
      <c r="M225" s="205">
        <v>43199</v>
      </c>
      <c r="N225" s="205">
        <v>43199</v>
      </c>
      <c r="O225" s="201"/>
      <c r="P225" s="201"/>
      <c r="AB225" s="110">
        <f>IFERROR(INDEX('WetLitterbags placem_collection'!$A$3:$A$500,MATCH(A225,'WetLitterbags placem_collection'!$K$4:$K$500,0)),"")</f>
        <v>149</v>
      </c>
      <c r="AC225" s="110" t="str">
        <f>IFERROR(INDEX('WetLitterbags placem_collection'!$A$3:$A$500,MATCH($A225,'WetLitterbags placem_collection'!$O$4:$O$500,0)),"")</f>
        <v/>
      </c>
      <c r="AD225" s="110" t="str">
        <f>IFERROR(INDEX('WetLitterbags placem_collection'!$A$3:$A$500,MATCH($A225,'WetLitterbags placem_collection'!$M$4:$M$500,0)),"")</f>
        <v/>
      </c>
      <c r="AE225" s="110" t="str">
        <f>IFERROR(INDEX('WetLitterbags placem_collection'!$A$3:$A$500,MATCH($A225,'WetLitterbags placem_collection'!$Q$4:$Q$500,0)),"")</f>
        <v/>
      </c>
    </row>
    <row r="226" spans="1:31">
      <c r="A226" s="197" t="s">
        <v>1390</v>
      </c>
      <c r="C226" s="197">
        <v>67</v>
      </c>
      <c r="D226" s="197">
        <v>0.68069999999999997</v>
      </c>
      <c r="E226" s="197">
        <v>8.1334</v>
      </c>
      <c r="F226" s="197">
        <v>0.20860000000000001</v>
      </c>
      <c r="G226" s="197">
        <f t="shared" si="20"/>
        <v>8.3420000000000005</v>
      </c>
      <c r="H226" s="197">
        <v>8.1550999999999991</v>
      </c>
      <c r="I226" s="197">
        <f t="shared" si="21"/>
        <v>0.1869000000000014</v>
      </c>
      <c r="J226" s="201">
        <f t="shared" si="22"/>
        <v>2.1699999999998609E-2</v>
      </c>
      <c r="K226" s="280">
        <f t="shared" si="23"/>
        <v>10.402684563757722</v>
      </c>
      <c r="L226" s="197">
        <v>4</v>
      </c>
      <c r="M226" s="197" t="s">
        <v>2580</v>
      </c>
      <c r="N226" s="197" t="s">
        <v>2579</v>
      </c>
      <c r="O226" s="197" t="s">
        <v>2556</v>
      </c>
      <c r="AB226" s="110" t="str">
        <f>IFERROR(INDEX('WetLitterbags placem_collection'!$A$3:$A$500,MATCH(A226,'WetLitterbags placem_collection'!$K$4:$K$500,0)),"")</f>
        <v/>
      </c>
      <c r="AC226" s="110">
        <f>IFERROR(INDEX('WetLitterbags placem_collection'!$A$3:$A$500,MATCH($A226,'WetLitterbags placem_collection'!$O$4:$O$500,0)),"")</f>
        <v>66</v>
      </c>
      <c r="AD226" s="110" t="str">
        <f>IFERROR(INDEX('WetLitterbags placem_collection'!$A$3:$A$500,MATCH($A226,'WetLitterbags placem_collection'!$M$4:$M$500,0)),"")</f>
        <v/>
      </c>
      <c r="AE226" s="110" t="str">
        <f>IFERROR(INDEX('WetLitterbags placem_collection'!$A$3:$A$500,MATCH($A226,'WetLitterbags placem_collection'!$Q$4:$Q$500,0)),"")</f>
        <v/>
      </c>
    </row>
    <row r="227" spans="1:31">
      <c r="A227" s="201" t="s">
        <v>1385</v>
      </c>
      <c r="C227" s="201">
        <v>7</v>
      </c>
      <c r="D227" s="201">
        <v>0.37419999999999998</v>
      </c>
      <c r="E227" s="202">
        <v>9.7736000000000001</v>
      </c>
      <c r="F227" s="202">
        <v>0.2029</v>
      </c>
      <c r="G227" s="201">
        <f t="shared" si="20"/>
        <v>9.9764999999999997</v>
      </c>
      <c r="H227" s="201">
        <v>9.7952999999999992</v>
      </c>
      <c r="I227" s="201">
        <f t="shared" si="21"/>
        <v>0.18120000000000047</v>
      </c>
      <c r="J227" s="201">
        <f t="shared" si="22"/>
        <v>2.1699999999999525E-2</v>
      </c>
      <c r="K227" s="280">
        <f t="shared" si="23"/>
        <v>10.694923607688283</v>
      </c>
      <c r="L227" s="201">
        <v>4</v>
      </c>
      <c r="M227" s="207">
        <v>43185.385416666664</v>
      </c>
      <c r="N227" s="201"/>
      <c r="O227" s="201" t="s">
        <v>2556</v>
      </c>
      <c r="P227" s="197" t="s">
        <v>2600</v>
      </c>
      <c r="AB227" s="110" t="str">
        <f>IFERROR(INDEX('WetLitterbags placem_collection'!$A$3:$A$500,MATCH(A227,'WetLitterbags placem_collection'!$K$4:$K$500,0)),"")</f>
        <v/>
      </c>
      <c r="AC227" s="110">
        <f>IFERROR(INDEX('WetLitterbags placem_collection'!$A$3:$A$500,MATCH($A227,'WetLitterbags placem_collection'!$O$4:$O$500,0)),"")</f>
        <v>6</v>
      </c>
      <c r="AD227" s="110" t="str">
        <f>IFERROR(INDEX('WetLitterbags placem_collection'!$A$3:$A$500,MATCH($A227,'WetLitterbags placem_collection'!$M$4:$M$500,0)),"")</f>
        <v/>
      </c>
      <c r="AE227" s="110" t="str">
        <f>IFERROR(INDEX('WetLitterbags placem_collection'!$A$3:$A$500,MATCH($A227,'WetLitterbags placem_collection'!$Q$4:$Q$500,0)),"")</f>
        <v/>
      </c>
    </row>
    <row r="228" spans="1:31">
      <c r="A228" s="201" t="s">
        <v>1384</v>
      </c>
      <c r="C228" s="201">
        <v>121</v>
      </c>
      <c r="D228" s="201">
        <v>0.438</v>
      </c>
      <c r="E228" s="201">
        <v>11.453799999999999</v>
      </c>
      <c r="F228" s="201">
        <v>0.20799999999999999</v>
      </c>
      <c r="G228" s="201">
        <f t="shared" si="20"/>
        <v>11.661799999999999</v>
      </c>
      <c r="H228" s="201">
        <v>11.4787</v>
      </c>
      <c r="I228" s="201">
        <f t="shared" si="21"/>
        <v>0.1830999999999996</v>
      </c>
      <c r="J228" s="201">
        <f t="shared" si="22"/>
        <v>2.4900000000000394E-2</v>
      </c>
      <c r="K228" s="280">
        <f t="shared" si="23"/>
        <v>11.971153846154037</v>
      </c>
      <c r="L228" s="201">
        <v>12</v>
      </c>
      <c r="M228" s="205">
        <v>43188</v>
      </c>
      <c r="N228" s="205">
        <v>43188</v>
      </c>
      <c r="O228" s="201"/>
      <c r="P228" s="201"/>
      <c r="AB228" s="110">
        <f>IFERROR(INDEX('WetLitterbags placem_collection'!$A$3:$A$500,MATCH(A228,'WetLitterbags placem_collection'!$K$4:$K$500,0)),"")</f>
        <v>120</v>
      </c>
      <c r="AC228" s="110" t="str">
        <f>IFERROR(INDEX('WetLitterbags placem_collection'!$A$3:$A$500,MATCH($A228,'WetLitterbags placem_collection'!$O$4:$O$500,0)),"")</f>
        <v/>
      </c>
      <c r="AD228" s="110" t="str">
        <f>IFERROR(INDEX('WetLitterbags placem_collection'!$A$3:$A$500,MATCH($A228,'WetLitterbags placem_collection'!$M$4:$M$500,0)),"")</f>
        <v/>
      </c>
      <c r="AE228" s="110" t="str">
        <f>IFERROR(INDEX('WetLitterbags placem_collection'!$A$3:$A$500,MATCH($A228,'WetLitterbags placem_collection'!$Q$4:$Q$500,0)),"")</f>
        <v/>
      </c>
    </row>
    <row r="229" spans="1:31">
      <c r="A229" s="201" t="s">
        <v>1383</v>
      </c>
      <c r="C229" s="201">
        <v>156</v>
      </c>
      <c r="D229" s="201">
        <v>0.43380000000000002</v>
      </c>
      <c r="E229" s="201">
        <v>8.7672000000000008</v>
      </c>
      <c r="F229" s="202">
        <v>0.16839999999999999</v>
      </c>
      <c r="G229" s="201">
        <f t="shared" si="20"/>
        <v>8.9356000000000009</v>
      </c>
      <c r="H229" s="201">
        <v>8.8134999999999994</v>
      </c>
      <c r="I229" s="201">
        <f t="shared" si="21"/>
        <v>0.12210000000000143</v>
      </c>
      <c r="J229" s="201">
        <f t="shared" si="22"/>
        <v>4.6299999999998565E-2</v>
      </c>
      <c r="K229" s="280">
        <f t="shared" si="23"/>
        <v>27.494061757718864</v>
      </c>
      <c r="L229" s="201">
        <v>2</v>
      </c>
      <c r="M229" s="205">
        <v>43211</v>
      </c>
      <c r="N229" s="201"/>
      <c r="O229" s="201"/>
      <c r="P229" s="201"/>
      <c r="AB229" s="110" t="str">
        <f>IFERROR(INDEX('WetLitterbags placem_collection'!$A$3:$A$500,MATCH(A229,'WetLitterbags placem_collection'!$K$4:$K$500,0)),"")</f>
        <v/>
      </c>
      <c r="AC229" s="110">
        <f>IFERROR(INDEX('WetLitterbags placem_collection'!$A$3:$A$500,MATCH($A229,'WetLitterbags placem_collection'!$O$4:$O$500,0)),"")</f>
        <v>155</v>
      </c>
      <c r="AD229" s="110" t="str">
        <f>IFERROR(INDEX('WetLitterbags placem_collection'!$A$3:$A$500,MATCH($A229,'WetLitterbags placem_collection'!$M$4:$M$500,0)),"")</f>
        <v/>
      </c>
      <c r="AE229" s="110" t="str">
        <f>IFERROR(INDEX('WetLitterbags placem_collection'!$A$3:$A$500,MATCH($A229,'WetLitterbags placem_collection'!$Q$4:$Q$500,0)),"")</f>
        <v/>
      </c>
    </row>
    <row r="230" spans="1:31">
      <c r="A230" s="201" t="s">
        <v>1382</v>
      </c>
      <c r="C230" s="201">
        <v>205</v>
      </c>
      <c r="D230" s="197">
        <v>0.4955</v>
      </c>
      <c r="E230" s="197">
        <v>8.1356999999999999</v>
      </c>
      <c r="F230" s="197">
        <v>0.2049</v>
      </c>
      <c r="G230" s="197">
        <f t="shared" si="20"/>
        <v>8.3406000000000002</v>
      </c>
      <c r="H230" s="197">
        <v>8.1722000000000001</v>
      </c>
      <c r="I230" s="197">
        <f t="shared" si="21"/>
        <v>0.16840000000000011</v>
      </c>
      <c r="J230" s="201">
        <f t="shared" si="22"/>
        <v>3.6499999999999894E-2</v>
      </c>
      <c r="K230" s="280">
        <f t="shared" si="23"/>
        <v>17.813567593948214</v>
      </c>
      <c r="L230" s="197">
        <v>7</v>
      </c>
      <c r="M230" s="207">
        <v>43160.520833333336</v>
      </c>
      <c r="N230" s="207">
        <v>43160.6875</v>
      </c>
      <c r="O230" s="197" t="s">
        <v>2550</v>
      </c>
      <c r="AB230" s="110" t="str">
        <f>IFERROR(INDEX('WetLitterbags placem_collection'!$A$3:$A$500,MATCH(A230,'WetLitterbags placem_collection'!$K$4:$K$500,0)),"")</f>
        <v/>
      </c>
      <c r="AC230" s="110">
        <f>IFERROR(INDEX('WetLitterbags placem_collection'!$A$3:$A$500,MATCH($A230,'WetLitterbags placem_collection'!$O$4:$O$500,0)),"")</f>
        <v>204</v>
      </c>
      <c r="AD230" s="110" t="str">
        <f>IFERROR(INDEX('WetLitterbags placem_collection'!$A$3:$A$500,MATCH($A230,'WetLitterbags placem_collection'!$M$4:$M$500,0)),"")</f>
        <v/>
      </c>
      <c r="AE230" s="110" t="str">
        <f>IFERROR(INDEX('WetLitterbags placem_collection'!$A$3:$A$500,MATCH($A230,'WetLitterbags placem_collection'!$Q$4:$Q$500,0)),"")</f>
        <v/>
      </c>
    </row>
    <row r="231" spans="1:31">
      <c r="A231" s="197" t="s">
        <v>1381</v>
      </c>
      <c r="C231" s="198">
        <v>184</v>
      </c>
      <c r="D231" s="197">
        <v>0.5524</v>
      </c>
      <c r="E231" s="201">
        <v>10.540100000000001</v>
      </c>
      <c r="F231" s="202">
        <v>0.2019</v>
      </c>
      <c r="G231" s="201">
        <f t="shared" si="20"/>
        <v>10.742000000000001</v>
      </c>
      <c r="H231" s="201">
        <v>10.557700000000001</v>
      </c>
      <c r="I231" s="201">
        <f t="shared" si="21"/>
        <v>0.18430000000000035</v>
      </c>
      <c r="J231" s="201">
        <f t="shared" si="22"/>
        <v>1.7599999999999644E-2</v>
      </c>
      <c r="K231" s="280">
        <f t="shared" si="23"/>
        <v>8.7171867261018541</v>
      </c>
      <c r="L231" s="201">
        <v>2</v>
      </c>
      <c r="M231" s="204">
        <v>43212</v>
      </c>
      <c r="AB231" s="110">
        <f>IFERROR(INDEX('WetLitterbags placem_collection'!$A$3:$A$500,MATCH(A231,'WetLitterbags placem_collection'!$K$4:$K$500,0)),"")</f>
        <v>183</v>
      </c>
      <c r="AC231" s="110" t="str">
        <f>IFERROR(INDEX('WetLitterbags placem_collection'!$A$3:$A$500,MATCH($A231,'WetLitterbags placem_collection'!$O$4:$O$500,0)),"")</f>
        <v/>
      </c>
      <c r="AD231" s="110" t="str">
        <f>IFERROR(INDEX('WetLitterbags placem_collection'!$A$3:$A$500,MATCH($A231,'WetLitterbags placem_collection'!$M$4:$M$500,0)),"")</f>
        <v/>
      </c>
      <c r="AE231" s="110" t="str">
        <f>IFERROR(INDEX('WetLitterbags placem_collection'!$A$3:$A$500,MATCH($A231,'WetLitterbags placem_collection'!$Q$4:$Q$500,0)),"")</f>
        <v/>
      </c>
    </row>
    <row r="232" spans="1:31">
      <c r="A232" s="201" t="s">
        <v>1380</v>
      </c>
      <c r="C232" s="201">
        <v>35</v>
      </c>
      <c r="D232" s="202">
        <v>0.61919999999999997</v>
      </c>
      <c r="E232" s="201">
        <v>8.1677999999999997</v>
      </c>
      <c r="F232" s="202">
        <v>0.20930000000000001</v>
      </c>
      <c r="G232" s="201">
        <f t="shared" si="20"/>
        <v>8.3771000000000004</v>
      </c>
      <c r="H232" s="201">
        <v>8.2066999999999997</v>
      </c>
      <c r="I232" s="201">
        <f t="shared" si="21"/>
        <v>0.17040000000000077</v>
      </c>
      <c r="J232" s="201">
        <f t="shared" si="22"/>
        <v>3.8899999999999241E-2</v>
      </c>
      <c r="K232" s="280">
        <f t="shared" si="23"/>
        <v>18.585762064022571</v>
      </c>
      <c r="L232" s="201">
        <v>16</v>
      </c>
      <c r="M232" s="205">
        <v>43206</v>
      </c>
      <c r="N232" s="205">
        <v>43206</v>
      </c>
      <c r="O232" s="201"/>
      <c r="P232" s="201"/>
      <c r="AB232" s="110">
        <f>IFERROR(INDEX('WetLitterbags placem_collection'!$A$3:$A$500,MATCH(A232,'WetLitterbags placem_collection'!$K$4:$K$500,0)),"")</f>
        <v>34</v>
      </c>
      <c r="AC232" s="110" t="str">
        <f>IFERROR(INDEX('WetLitterbags placem_collection'!$A$3:$A$500,MATCH($A232,'WetLitterbags placem_collection'!$O$4:$O$500,0)),"")</f>
        <v/>
      </c>
      <c r="AD232" s="110" t="str">
        <f>IFERROR(INDEX('WetLitterbags placem_collection'!$A$3:$A$500,MATCH($A232,'WetLitterbags placem_collection'!$M$4:$M$500,0)),"")</f>
        <v/>
      </c>
      <c r="AE232" s="110" t="str">
        <f>IFERROR(INDEX('WetLitterbags placem_collection'!$A$3:$A$500,MATCH($A232,'WetLitterbags placem_collection'!$Q$4:$Q$500,0)),"")</f>
        <v/>
      </c>
    </row>
    <row r="233" spans="1:31">
      <c r="A233" s="206" t="s">
        <v>1377</v>
      </c>
      <c r="C233" s="201">
        <v>64</v>
      </c>
      <c r="D233" s="202">
        <v>0.78049999999999997</v>
      </c>
      <c r="E233" s="201">
        <v>8.7334999999999994</v>
      </c>
      <c r="F233" s="202">
        <v>0.20580000000000001</v>
      </c>
      <c r="G233" s="201">
        <f t="shared" si="20"/>
        <v>8.9392999999999994</v>
      </c>
      <c r="H233" s="201">
        <v>8.7824000000000009</v>
      </c>
      <c r="I233" s="201">
        <f t="shared" si="21"/>
        <v>0.15689999999999849</v>
      </c>
      <c r="J233" s="201">
        <f t="shared" si="22"/>
        <v>4.8900000000001526E-2</v>
      </c>
      <c r="K233" s="280">
        <f t="shared" si="23"/>
        <v>23.760932944607156</v>
      </c>
      <c r="L233" s="201">
        <v>19</v>
      </c>
      <c r="M233" s="205">
        <v>43206</v>
      </c>
      <c r="N233" s="205">
        <v>43206</v>
      </c>
      <c r="O233" s="201"/>
      <c r="P233" s="201"/>
      <c r="AB233" s="110" t="str">
        <f>IFERROR(INDEX('WetLitterbags placem_collection'!$A$3:$A$500,MATCH(A233,'WetLitterbags placem_collection'!$K$4:$K$500,0)),"")</f>
        <v/>
      </c>
      <c r="AC233" s="110">
        <f>IFERROR(INDEX('WetLitterbags placem_collection'!$A$3:$A$500,MATCH($A233,'WetLitterbags placem_collection'!$O$4:$O$500,0)),"")</f>
        <v>63</v>
      </c>
      <c r="AD233" s="110" t="str">
        <f>IFERROR(INDEX('WetLitterbags placem_collection'!$A$3:$A$500,MATCH($A233,'WetLitterbags placem_collection'!$M$4:$M$500,0)),"")</f>
        <v/>
      </c>
      <c r="AE233" s="110" t="str">
        <f>IFERROR(INDEX('WetLitterbags placem_collection'!$A$3:$A$500,MATCH($A233,'WetLitterbags placem_collection'!$Q$4:$Q$500,0)),"")</f>
        <v/>
      </c>
    </row>
    <row r="234" spans="1:31">
      <c r="A234" s="201" t="s">
        <v>1376</v>
      </c>
      <c r="C234" s="201">
        <v>170</v>
      </c>
      <c r="D234" s="201">
        <v>0.42299999999999999</v>
      </c>
      <c r="E234" s="201">
        <v>10.739000000000001</v>
      </c>
      <c r="F234" s="202">
        <v>0.2026</v>
      </c>
      <c r="G234" s="201">
        <f t="shared" si="20"/>
        <v>10.941600000000001</v>
      </c>
      <c r="H234" s="201">
        <v>10.7568</v>
      </c>
      <c r="I234" s="201">
        <f t="shared" si="21"/>
        <v>0.18480000000000096</v>
      </c>
      <c r="J234" s="201">
        <f t="shared" si="22"/>
        <v>1.7799999999999039E-2</v>
      </c>
      <c r="K234" s="280">
        <f t="shared" si="23"/>
        <v>8.7857847976303241</v>
      </c>
      <c r="L234" s="201">
        <v>3</v>
      </c>
      <c r="M234" s="205">
        <v>43187</v>
      </c>
      <c r="N234" s="205">
        <v>43187</v>
      </c>
      <c r="O234" s="201"/>
      <c r="P234" s="201"/>
      <c r="AB234" s="110" t="str">
        <f>IFERROR(INDEX('WetLitterbags placem_collection'!$A$3:$A$500,MATCH(A234,'WetLitterbags placem_collection'!$K$4:$K$500,0)),"")</f>
        <v/>
      </c>
      <c r="AC234" s="110">
        <f>IFERROR(INDEX('WetLitterbags placem_collection'!$A$3:$A$500,MATCH($A234,'WetLitterbags placem_collection'!$O$4:$O$500,0)),"")</f>
        <v>169</v>
      </c>
      <c r="AD234" s="110" t="str">
        <f>IFERROR(INDEX('WetLitterbags placem_collection'!$A$3:$A$500,MATCH($A234,'WetLitterbags placem_collection'!$M$4:$M$500,0)),"")</f>
        <v/>
      </c>
      <c r="AE234" s="110" t="str">
        <f>IFERROR(INDEX('WetLitterbags placem_collection'!$A$3:$A$500,MATCH($A234,'WetLitterbags placem_collection'!$Q$4:$Q$500,0)),"")</f>
        <v/>
      </c>
    </row>
    <row r="235" spans="1:31">
      <c r="A235" s="206" t="s">
        <v>1375</v>
      </c>
      <c r="C235" s="201">
        <v>154</v>
      </c>
      <c r="D235" s="201">
        <v>0.37</v>
      </c>
      <c r="E235" s="202">
        <v>7.4812000000000003</v>
      </c>
      <c r="F235" s="202">
        <v>0.20849999999999999</v>
      </c>
      <c r="G235" s="201">
        <f t="shared" si="20"/>
        <v>7.6897000000000002</v>
      </c>
      <c r="H235" s="201">
        <v>7.5187999999999997</v>
      </c>
      <c r="I235" s="201">
        <f t="shared" si="21"/>
        <v>0.1709000000000005</v>
      </c>
      <c r="J235" s="201">
        <f t="shared" si="22"/>
        <v>3.7599999999999495E-2</v>
      </c>
      <c r="K235" s="280">
        <f t="shared" si="23"/>
        <v>18.033573141486571</v>
      </c>
      <c r="L235" s="201">
        <v>26</v>
      </c>
      <c r="M235" s="207">
        <v>43186.458333333336</v>
      </c>
      <c r="N235" s="207">
        <v>43186.625</v>
      </c>
      <c r="O235" s="197" t="s">
        <v>2550</v>
      </c>
      <c r="P235" s="201"/>
      <c r="AB235" s="110">
        <f>IFERROR(INDEX('WetLitterbags placem_collection'!$A$3:$A$500,MATCH(A235,'WetLitterbags placem_collection'!$K$4:$K$500,0)),"")</f>
        <v>153</v>
      </c>
      <c r="AC235" s="110" t="str">
        <f>IFERROR(INDEX('WetLitterbags placem_collection'!$A$3:$A$500,MATCH($A235,'WetLitterbags placem_collection'!$O$4:$O$500,0)),"")</f>
        <v/>
      </c>
      <c r="AD235" s="110" t="str">
        <f>IFERROR(INDEX('WetLitterbags placem_collection'!$A$3:$A$500,MATCH($A235,'WetLitterbags placem_collection'!$M$4:$M$500,0)),"")</f>
        <v/>
      </c>
      <c r="AE235" s="110" t="str">
        <f>IFERROR(INDEX('WetLitterbags placem_collection'!$A$3:$A$500,MATCH($A235,'WetLitterbags placem_collection'!$Q$4:$Q$500,0)),"")</f>
        <v/>
      </c>
    </row>
    <row r="236" spans="1:31">
      <c r="A236" s="201" t="s">
        <v>1374</v>
      </c>
      <c r="C236" s="201">
        <v>107</v>
      </c>
      <c r="D236" s="201">
        <v>0.45179999999999998</v>
      </c>
      <c r="E236" s="202">
        <v>11.1061</v>
      </c>
      <c r="F236" s="202">
        <v>0.20130000000000001</v>
      </c>
      <c r="G236" s="201">
        <f t="shared" si="20"/>
        <v>11.307399999999999</v>
      </c>
      <c r="H236" s="201">
        <v>11.139099999999999</v>
      </c>
      <c r="I236" s="201">
        <f t="shared" si="21"/>
        <v>0.16830000000000034</v>
      </c>
      <c r="J236" s="201">
        <f t="shared" si="22"/>
        <v>3.2999999999999668E-2</v>
      </c>
      <c r="K236" s="280">
        <f t="shared" si="23"/>
        <v>16.393442622950655</v>
      </c>
      <c r="L236" s="201">
        <v>4</v>
      </c>
      <c r="M236" s="203">
        <v>43178.395833333336</v>
      </c>
      <c r="N236" s="203">
        <v>43178.5625</v>
      </c>
      <c r="O236" s="197" t="s">
        <v>2550</v>
      </c>
      <c r="P236" s="201"/>
      <c r="AB236" s="110" t="str">
        <f>IFERROR(INDEX('WetLitterbags placem_collection'!$A$3:$A$500,MATCH(A236,'WetLitterbags placem_collection'!$K$4:$K$500,0)),"")</f>
        <v/>
      </c>
      <c r="AC236" s="110">
        <f>IFERROR(INDEX('WetLitterbags placem_collection'!$A$3:$A$500,MATCH($A236,'WetLitterbags placem_collection'!$O$4:$O$500,0)),"")</f>
        <v>106</v>
      </c>
      <c r="AD236" s="110" t="str">
        <f>IFERROR(INDEX('WetLitterbags placem_collection'!$A$3:$A$500,MATCH($A236,'WetLitterbags placem_collection'!$M$4:$M$500,0)),"")</f>
        <v/>
      </c>
      <c r="AE236" s="110" t="str">
        <f>IFERROR(INDEX('WetLitterbags placem_collection'!$A$3:$A$500,MATCH($A236,'WetLitterbags placem_collection'!$Q$4:$Q$500,0)),"")</f>
        <v/>
      </c>
    </row>
    <row r="237" spans="1:31">
      <c r="A237" s="206" t="s">
        <v>1373</v>
      </c>
      <c r="C237" s="201">
        <v>206</v>
      </c>
      <c r="D237" s="201">
        <v>0.61060000000000003</v>
      </c>
      <c r="E237" s="201">
        <v>9.4850999999999992</v>
      </c>
      <c r="F237" s="202">
        <v>0.2019</v>
      </c>
      <c r="G237" s="201">
        <f t="shared" si="20"/>
        <v>9.6869999999999994</v>
      </c>
      <c r="H237" s="201">
        <v>9.5200999999999993</v>
      </c>
      <c r="I237" s="201">
        <f t="shared" si="21"/>
        <v>0.16690000000000005</v>
      </c>
      <c r="J237" s="201">
        <f t="shared" si="22"/>
        <v>3.4999999999999948E-2</v>
      </c>
      <c r="K237" s="280">
        <f t="shared" si="23"/>
        <v>17.335314512134694</v>
      </c>
      <c r="L237" s="201">
        <v>14</v>
      </c>
      <c r="M237" s="205">
        <v>43187</v>
      </c>
      <c r="N237" s="205">
        <v>43187</v>
      </c>
      <c r="O237" s="201"/>
      <c r="P237" s="201"/>
      <c r="AB237" s="110">
        <f>IFERROR(INDEX('WetLitterbags placem_collection'!$A$3:$A$500,MATCH(A237,'WetLitterbags placem_collection'!$K$4:$K$500,0)),"")</f>
        <v>205</v>
      </c>
      <c r="AC237" s="110" t="str">
        <f>IFERROR(INDEX('WetLitterbags placem_collection'!$A$3:$A$500,MATCH($A237,'WetLitterbags placem_collection'!$O$4:$O$500,0)),"")</f>
        <v/>
      </c>
      <c r="AD237" s="110" t="str">
        <f>IFERROR(INDEX('WetLitterbags placem_collection'!$A$3:$A$500,MATCH($A237,'WetLitterbags placem_collection'!$M$4:$M$500,0)),"")</f>
        <v/>
      </c>
      <c r="AE237" s="110" t="str">
        <f>IFERROR(INDEX('WetLitterbags placem_collection'!$A$3:$A$500,MATCH($A237,'WetLitterbags placem_collection'!$Q$4:$Q$500,0)),"")</f>
        <v/>
      </c>
    </row>
    <row r="238" spans="1:31">
      <c r="A238" s="201" t="s">
        <v>1372</v>
      </c>
      <c r="C238" s="201">
        <v>147</v>
      </c>
      <c r="D238" s="201">
        <v>0.49569999999999997</v>
      </c>
      <c r="E238" s="202">
        <v>8.4428999999999998</v>
      </c>
      <c r="F238" s="202">
        <v>0.20019999999999999</v>
      </c>
      <c r="G238" s="201">
        <f t="shared" si="20"/>
        <v>8.6431000000000004</v>
      </c>
      <c r="H238" s="201">
        <v>8.4756</v>
      </c>
      <c r="I238" s="201">
        <f t="shared" si="21"/>
        <v>0.16750000000000043</v>
      </c>
      <c r="J238" s="201">
        <f t="shared" si="22"/>
        <v>3.2699999999999563E-2</v>
      </c>
      <c r="K238" s="280">
        <f t="shared" si="23"/>
        <v>16.333666333666116</v>
      </c>
      <c r="L238" s="201">
        <v>24</v>
      </c>
      <c r="M238" s="205">
        <v>43197</v>
      </c>
      <c r="N238" s="205">
        <v>43197</v>
      </c>
      <c r="O238" s="201"/>
      <c r="P238" s="201"/>
      <c r="AB238" s="110">
        <f>IFERROR(INDEX('WetLitterbags placem_collection'!$A$3:$A$500,MATCH(A238,'WetLitterbags placem_collection'!$K$4:$K$500,0)),"")</f>
        <v>146</v>
      </c>
      <c r="AC238" s="110" t="str">
        <f>IFERROR(INDEX('WetLitterbags placem_collection'!$A$3:$A$500,MATCH($A238,'WetLitterbags placem_collection'!$O$4:$O$500,0)),"")</f>
        <v/>
      </c>
      <c r="AD238" s="110" t="str">
        <f>IFERROR(INDEX('WetLitterbags placem_collection'!$A$3:$A$500,MATCH($A238,'WetLitterbags placem_collection'!$M$4:$M$500,0)),"")</f>
        <v/>
      </c>
      <c r="AE238" s="110" t="str">
        <f>IFERROR(INDEX('WetLitterbags placem_collection'!$A$3:$A$500,MATCH($A238,'WetLitterbags placem_collection'!$Q$4:$Q$500,0)),"")</f>
        <v/>
      </c>
    </row>
    <row r="239" spans="1:31">
      <c r="A239" s="206" t="s">
        <v>1371</v>
      </c>
      <c r="C239" s="201">
        <v>48</v>
      </c>
      <c r="D239" s="201">
        <v>0.6129</v>
      </c>
      <c r="E239" s="201">
        <v>11.904299999999999</v>
      </c>
      <c r="F239" s="202">
        <v>0.20449999999999999</v>
      </c>
      <c r="G239" s="201">
        <f t="shared" si="20"/>
        <v>12.108799999999999</v>
      </c>
      <c r="H239" s="201">
        <v>11.9199</v>
      </c>
      <c r="I239" s="201">
        <f t="shared" si="21"/>
        <v>0.18889999999999851</v>
      </c>
      <c r="J239" s="201">
        <f t="shared" si="22"/>
        <v>1.5600000000001474E-2</v>
      </c>
      <c r="K239" s="280">
        <f t="shared" si="23"/>
        <v>7.6283618581914308</v>
      </c>
      <c r="L239" s="201">
        <v>14</v>
      </c>
      <c r="M239" s="205">
        <v>43211</v>
      </c>
      <c r="R239" s="197">
        <v>2</v>
      </c>
      <c r="S239" s="197">
        <v>0.61550000000000005</v>
      </c>
      <c r="U239" s="202" t="s">
        <v>660</v>
      </c>
      <c r="V239" s="197">
        <v>1.8808</v>
      </c>
      <c r="W239" s="197">
        <f>(V239-$T$175+F237)</f>
        <v>2.0827</v>
      </c>
      <c r="AB239" s="110">
        <f>IFERROR(INDEX('WetLitterbags placem_collection'!$A$3:$A$500,MATCH(A239,'WetLitterbags placem_collection'!$K$4:$K$500,0)),"")</f>
        <v>47</v>
      </c>
      <c r="AC239" s="110" t="str">
        <f>IFERROR(INDEX('WetLitterbags placem_collection'!$A$3:$A$500,MATCH($A239,'WetLitterbags placem_collection'!$O$4:$O$500,0)),"")</f>
        <v/>
      </c>
      <c r="AD239" s="110" t="str">
        <f>IFERROR(INDEX('WetLitterbags placem_collection'!$A$3:$A$500,MATCH($A239,'WetLitterbags placem_collection'!$M$4:$M$500,0)),"")</f>
        <v/>
      </c>
      <c r="AE239" s="110" t="str">
        <f>IFERROR(INDEX('WetLitterbags placem_collection'!$A$3:$A$500,MATCH($A239,'WetLitterbags placem_collection'!$Q$4:$Q$500,0)),"")</f>
        <v/>
      </c>
    </row>
    <row r="240" spans="1:31">
      <c r="A240" s="206" t="s">
        <v>1370</v>
      </c>
      <c r="C240" s="201">
        <v>168</v>
      </c>
      <c r="D240" s="201">
        <v>0.76470000000000005</v>
      </c>
      <c r="E240" s="202">
        <v>10.2715</v>
      </c>
      <c r="F240" s="202">
        <v>0.2087</v>
      </c>
      <c r="G240" s="201">
        <f t="shared" si="20"/>
        <v>10.4802</v>
      </c>
      <c r="H240" s="201">
        <v>10.2873</v>
      </c>
      <c r="I240" s="201">
        <f t="shared" si="21"/>
        <v>0.19289999999999985</v>
      </c>
      <c r="J240" s="201">
        <f t="shared" si="22"/>
        <v>1.5800000000000147E-2</v>
      </c>
      <c r="K240" s="280">
        <f t="shared" si="23"/>
        <v>7.5706756109248428</v>
      </c>
      <c r="L240" s="201">
        <v>12</v>
      </c>
      <c r="M240" s="207">
        <v>43185.385416666664</v>
      </c>
      <c r="N240" s="201"/>
      <c r="O240" s="201" t="s">
        <v>2556</v>
      </c>
      <c r="P240" s="201"/>
      <c r="AB240" s="110" t="str">
        <f>IFERROR(INDEX('WetLitterbags placem_collection'!$A$3:$A$500,MATCH(A240,'WetLitterbags placem_collection'!$K$4:$K$500,0)),"")</f>
        <v/>
      </c>
      <c r="AC240" s="110">
        <f>IFERROR(INDEX('WetLitterbags placem_collection'!$A$3:$A$500,MATCH($A240,'WetLitterbags placem_collection'!$O$4:$O$500,0)),"")</f>
        <v>167</v>
      </c>
      <c r="AD240" s="110" t="str">
        <f>IFERROR(INDEX('WetLitterbags placem_collection'!$A$3:$A$500,MATCH($A240,'WetLitterbags placem_collection'!$M$4:$M$500,0)),"")</f>
        <v/>
      </c>
      <c r="AE240" s="110" t="str">
        <f>IFERROR(INDEX('WetLitterbags placem_collection'!$A$3:$A$500,MATCH($A240,'WetLitterbags placem_collection'!$Q$4:$Q$500,0)),"")</f>
        <v/>
      </c>
    </row>
    <row r="241" spans="1:31">
      <c r="A241" s="206" t="s">
        <v>1369</v>
      </c>
      <c r="C241" s="201">
        <v>118</v>
      </c>
      <c r="D241" s="202">
        <v>0.379</v>
      </c>
      <c r="E241" s="201">
        <v>8.0647000000000002</v>
      </c>
      <c r="F241" s="202">
        <v>0.20280000000000001</v>
      </c>
      <c r="G241" s="201">
        <f t="shared" si="20"/>
        <v>8.2675000000000001</v>
      </c>
      <c r="H241" s="201">
        <v>8.0952000000000002</v>
      </c>
      <c r="I241" s="201">
        <f t="shared" si="21"/>
        <v>0.1722999999999999</v>
      </c>
      <c r="J241" s="201">
        <f t="shared" si="22"/>
        <v>3.050000000000011E-2</v>
      </c>
      <c r="K241" s="280">
        <f t="shared" si="23"/>
        <v>15.039447731755478</v>
      </c>
      <c r="L241" s="201">
        <v>20</v>
      </c>
      <c r="M241" s="201"/>
      <c r="N241" s="201"/>
      <c r="O241" s="201"/>
      <c r="P241" s="201"/>
      <c r="AB241" s="110">
        <f>IFERROR(INDEX('WetLitterbags placem_collection'!$A$3:$A$500,MATCH(A241,'WetLitterbags placem_collection'!$K$4:$K$500,0)),"")</f>
        <v>117</v>
      </c>
      <c r="AC241" s="110" t="str">
        <f>IFERROR(INDEX('WetLitterbags placem_collection'!$A$3:$A$500,MATCH($A241,'WetLitterbags placem_collection'!$O$4:$O$500,0)),"")</f>
        <v/>
      </c>
      <c r="AD241" s="110" t="str">
        <f>IFERROR(INDEX('WetLitterbags placem_collection'!$A$3:$A$500,MATCH($A241,'WetLitterbags placem_collection'!$M$4:$M$500,0)),"")</f>
        <v/>
      </c>
      <c r="AE241" s="110" t="str">
        <f>IFERROR(INDEX('WetLitterbags placem_collection'!$A$3:$A$500,MATCH($A241,'WetLitterbags placem_collection'!$Q$4:$Q$500,0)),"")</f>
        <v/>
      </c>
    </row>
    <row r="242" spans="1:31">
      <c r="A242" s="206" t="s">
        <v>1368</v>
      </c>
      <c r="C242" s="201">
        <v>124</v>
      </c>
      <c r="D242" s="201">
        <v>0.40920000000000001</v>
      </c>
      <c r="E242" s="202">
        <v>10.0756</v>
      </c>
      <c r="F242" s="202">
        <v>0.20080000000000001</v>
      </c>
      <c r="G242" s="201">
        <f t="shared" si="20"/>
        <v>10.276399999999999</v>
      </c>
      <c r="H242" s="201">
        <v>10.100300000000001</v>
      </c>
      <c r="I242" s="201">
        <f t="shared" si="21"/>
        <v>0.17609999999999815</v>
      </c>
      <c r="J242" s="201">
        <f t="shared" si="22"/>
        <v>2.4700000000001859E-2</v>
      </c>
      <c r="K242" s="280">
        <f t="shared" si="23"/>
        <v>12.30079681274993</v>
      </c>
      <c r="L242" s="201">
        <v>8</v>
      </c>
      <c r="M242" s="207">
        <v>43185.385416666664</v>
      </c>
      <c r="N242" s="201"/>
      <c r="O242" s="201" t="s">
        <v>2556</v>
      </c>
      <c r="P242" s="201"/>
      <c r="AB242" s="110" t="str">
        <f>IFERROR(INDEX('WetLitterbags placem_collection'!$A$3:$A$500,MATCH(A242,'WetLitterbags placem_collection'!$K$4:$K$500,0)),"")</f>
        <v/>
      </c>
      <c r="AC242" s="110">
        <f>IFERROR(INDEX('WetLitterbags placem_collection'!$A$3:$A$500,MATCH($A242,'WetLitterbags placem_collection'!$O$4:$O$500,0)),"")</f>
        <v>123</v>
      </c>
      <c r="AD242" s="110" t="str">
        <f>IFERROR(INDEX('WetLitterbags placem_collection'!$A$3:$A$500,MATCH($A242,'WetLitterbags placem_collection'!$M$4:$M$500,0)),"")</f>
        <v/>
      </c>
      <c r="AE242" s="110" t="str">
        <f>IFERROR(INDEX('WetLitterbags placem_collection'!$A$3:$A$500,MATCH($A242,'WetLitterbags placem_collection'!$Q$4:$Q$500,0)),"")</f>
        <v/>
      </c>
    </row>
    <row r="243" spans="1:31">
      <c r="A243" s="206" t="s">
        <v>1366</v>
      </c>
      <c r="C243" s="201">
        <v>154</v>
      </c>
      <c r="D243" s="201">
        <v>0.37980000000000003</v>
      </c>
      <c r="E243" s="202">
        <v>11.105499999999999</v>
      </c>
      <c r="F243" s="202">
        <v>0.19839999999999999</v>
      </c>
      <c r="G243" s="201">
        <f t="shared" ref="G243:G306" si="24">E243+F243</f>
        <v>11.303899999999999</v>
      </c>
      <c r="H243" s="201">
        <v>11.1403</v>
      </c>
      <c r="I243" s="201">
        <f t="shared" ref="I243:I306" si="25">(G243-H243)</f>
        <v>0.16359999999999886</v>
      </c>
      <c r="J243" s="201">
        <f t="shared" ref="J243:J306" si="26">F243-I243</f>
        <v>3.4800000000001136E-2</v>
      </c>
      <c r="K243" s="280">
        <f t="shared" ref="K243:K306" si="27">(J243/F243)*100</f>
        <v>17.540322580645736</v>
      </c>
      <c r="L243" s="201">
        <v>25</v>
      </c>
      <c r="M243" s="207">
        <v>43186.458333333336</v>
      </c>
      <c r="N243" s="207">
        <v>43186.625</v>
      </c>
      <c r="O243" s="197" t="s">
        <v>2550</v>
      </c>
      <c r="P243" s="201"/>
      <c r="AB243" s="110" t="str">
        <f>IFERROR(INDEX('WetLitterbags placem_collection'!$A$3:$A$500,MATCH(A243,'WetLitterbags placem_collection'!$K$4:$K$500,0)),"")</f>
        <v/>
      </c>
      <c r="AC243" s="110">
        <f>IFERROR(INDEX('WetLitterbags placem_collection'!$A$3:$A$500,MATCH($A243,'WetLitterbags placem_collection'!$O$4:$O$500,0)),"")</f>
        <v>153</v>
      </c>
      <c r="AD243" s="110" t="str">
        <f>IFERROR(INDEX('WetLitterbags placem_collection'!$A$3:$A$500,MATCH($A243,'WetLitterbags placem_collection'!$M$4:$M$500,0)),"")</f>
        <v/>
      </c>
      <c r="AE243" s="110" t="str">
        <f>IFERROR(INDEX('WetLitterbags placem_collection'!$A$3:$A$500,MATCH($A243,'WetLitterbags placem_collection'!$Q$4:$Q$500,0)),"")</f>
        <v/>
      </c>
    </row>
    <row r="244" spans="1:31">
      <c r="A244" s="201" t="s">
        <v>1365</v>
      </c>
      <c r="C244" s="201">
        <v>15</v>
      </c>
      <c r="D244" s="201">
        <v>0.5202</v>
      </c>
      <c r="E244" s="202">
        <v>10.144500000000001</v>
      </c>
      <c r="F244" s="202">
        <v>0.20250000000000001</v>
      </c>
      <c r="G244" s="201">
        <f t="shared" si="24"/>
        <v>10.347000000000001</v>
      </c>
      <c r="H244" s="201">
        <v>10.1905</v>
      </c>
      <c r="I244" s="201">
        <f t="shared" si="25"/>
        <v>0.15650000000000119</v>
      </c>
      <c r="J244" s="201">
        <f t="shared" si="26"/>
        <v>4.599999999999882E-2</v>
      </c>
      <c r="K244" s="280">
        <f t="shared" si="27"/>
        <v>22.716049382715465</v>
      </c>
      <c r="L244" s="201">
        <v>32</v>
      </c>
      <c r="M244" s="207">
        <v>43185.385416666664</v>
      </c>
      <c r="N244" s="201"/>
      <c r="O244" s="201" t="s">
        <v>2556</v>
      </c>
      <c r="P244" s="201"/>
      <c r="AB244" s="110" t="str">
        <f>IFERROR(INDEX('WetLitterbags placem_collection'!$A$3:$A$500,MATCH(A244,'WetLitterbags placem_collection'!$K$4:$K$500,0)),"")</f>
        <v/>
      </c>
      <c r="AC244" s="110">
        <f>IFERROR(INDEX('WetLitterbags placem_collection'!$A$3:$A$500,MATCH($A244,'WetLitterbags placem_collection'!$O$4:$O$500,0)),"")</f>
        <v>14</v>
      </c>
      <c r="AD244" s="110" t="str">
        <f>IFERROR(INDEX('WetLitterbags placem_collection'!$A$3:$A$500,MATCH($A244,'WetLitterbags placem_collection'!$M$4:$M$500,0)),"")</f>
        <v/>
      </c>
      <c r="AE244" s="110" t="str">
        <f>IFERROR(INDEX('WetLitterbags placem_collection'!$A$3:$A$500,MATCH($A244,'WetLitterbags placem_collection'!$Q$4:$Q$500,0)),"")</f>
        <v/>
      </c>
    </row>
    <row r="245" spans="1:31">
      <c r="A245" s="206" t="s">
        <v>1364</v>
      </c>
      <c r="C245" s="201">
        <v>164</v>
      </c>
      <c r="D245" s="201">
        <v>0.44059999999999999</v>
      </c>
      <c r="E245" s="201">
        <v>10.855700000000001</v>
      </c>
      <c r="F245" s="202">
        <v>0.2087</v>
      </c>
      <c r="G245" s="201">
        <f t="shared" si="24"/>
        <v>11.064400000000001</v>
      </c>
      <c r="H245" s="201">
        <v>10.875999999999999</v>
      </c>
      <c r="I245" s="201">
        <f t="shared" si="25"/>
        <v>0.18840000000000146</v>
      </c>
      <c r="J245" s="201">
        <f t="shared" si="26"/>
        <v>2.0299999999998541E-2</v>
      </c>
      <c r="K245" s="280">
        <f t="shared" si="27"/>
        <v>9.7268806899849256</v>
      </c>
      <c r="L245" s="201">
        <v>27</v>
      </c>
      <c r="M245" s="205">
        <v>43187</v>
      </c>
      <c r="N245" s="205">
        <v>43187</v>
      </c>
      <c r="O245" s="201"/>
      <c r="P245" s="201"/>
      <c r="AB245" s="110">
        <f>IFERROR(INDEX('WetLitterbags placem_collection'!$A$3:$A$500,MATCH(A245,'WetLitterbags placem_collection'!$K$4:$K$500,0)),"")</f>
        <v>163</v>
      </c>
      <c r="AC245" s="110" t="str">
        <f>IFERROR(INDEX('WetLitterbags placem_collection'!$A$3:$A$500,MATCH($A245,'WetLitterbags placem_collection'!$O$4:$O$500,0)),"")</f>
        <v/>
      </c>
      <c r="AD245" s="110" t="str">
        <f>IFERROR(INDEX('WetLitterbags placem_collection'!$A$3:$A$500,MATCH($A245,'WetLitterbags placem_collection'!$M$4:$M$500,0)),"")</f>
        <v/>
      </c>
      <c r="AE245" s="110" t="str">
        <f>IFERROR(INDEX('WetLitterbags placem_collection'!$A$3:$A$500,MATCH($A245,'WetLitterbags placem_collection'!$Q$4:$Q$500,0)),"")</f>
        <v/>
      </c>
    </row>
    <row r="246" spans="1:31">
      <c r="A246" s="201" t="s">
        <v>1363</v>
      </c>
      <c r="C246" s="201">
        <v>127</v>
      </c>
      <c r="D246" s="202">
        <v>0.39150000000000001</v>
      </c>
      <c r="E246" s="201">
        <v>11.863099999999999</v>
      </c>
      <c r="F246" s="202">
        <v>0.20269999999999999</v>
      </c>
      <c r="G246" s="201">
        <f t="shared" si="24"/>
        <v>12.065799999999999</v>
      </c>
      <c r="H246" s="201">
        <v>11.8986</v>
      </c>
      <c r="I246" s="201">
        <f t="shared" si="25"/>
        <v>0.16719999999999935</v>
      </c>
      <c r="J246" s="201">
        <f t="shared" si="26"/>
        <v>3.5500000000000642E-2</v>
      </c>
      <c r="K246" s="280">
        <f t="shared" si="27"/>
        <v>17.513566847558284</v>
      </c>
      <c r="L246" s="201">
        <v>7</v>
      </c>
      <c r="M246" s="205">
        <v>43206</v>
      </c>
      <c r="N246" s="205">
        <v>43206</v>
      </c>
      <c r="O246" s="201"/>
      <c r="P246" s="201"/>
      <c r="AB246" s="110" t="str">
        <f>IFERROR(INDEX('WetLitterbags placem_collection'!$A$3:$A$500,MATCH(A246,'WetLitterbags placem_collection'!$K$4:$K$500,0)),"")</f>
        <v/>
      </c>
      <c r="AC246" s="110">
        <f>IFERROR(INDEX('WetLitterbags placem_collection'!$A$3:$A$500,MATCH($A246,'WetLitterbags placem_collection'!$O$4:$O$500,0)),"")</f>
        <v>126</v>
      </c>
      <c r="AD246" s="110" t="str">
        <f>IFERROR(INDEX('WetLitterbags placem_collection'!$A$3:$A$500,MATCH($A246,'WetLitterbags placem_collection'!$M$4:$M$500,0)),"")</f>
        <v/>
      </c>
      <c r="AE246" s="110" t="str">
        <f>IFERROR(INDEX('WetLitterbags placem_collection'!$A$3:$A$500,MATCH($A246,'WetLitterbags placem_collection'!$Q$4:$Q$500,0)),"")</f>
        <v/>
      </c>
    </row>
    <row r="247" spans="1:31">
      <c r="A247" s="201" t="s">
        <v>1362</v>
      </c>
      <c r="C247" s="201">
        <v>107</v>
      </c>
      <c r="D247" s="201">
        <v>0.40689999999999998</v>
      </c>
      <c r="E247" s="202">
        <v>11.119</v>
      </c>
      <c r="F247" s="202">
        <v>0.20200000000000001</v>
      </c>
      <c r="G247" s="201">
        <f t="shared" si="24"/>
        <v>11.321</v>
      </c>
      <c r="H247" s="201">
        <v>11.148300000000001</v>
      </c>
      <c r="I247" s="201">
        <f t="shared" si="25"/>
        <v>0.17269999999999897</v>
      </c>
      <c r="J247" s="201">
        <f t="shared" si="26"/>
        <v>2.9300000000001047E-2</v>
      </c>
      <c r="K247" s="280">
        <f t="shared" si="27"/>
        <v>14.504950495050023</v>
      </c>
      <c r="L247" s="201">
        <v>5</v>
      </c>
      <c r="M247" s="203">
        <v>43178.395833333336</v>
      </c>
      <c r="N247" s="203">
        <v>43178.5625</v>
      </c>
      <c r="O247" s="197" t="s">
        <v>2550</v>
      </c>
      <c r="P247" s="201"/>
      <c r="AB247" s="110">
        <f>IFERROR(INDEX('WetLitterbags placem_collection'!$A$3:$A$500,MATCH(A247,'WetLitterbags placem_collection'!$K$4:$K$500,0)),"")</f>
        <v>106</v>
      </c>
      <c r="AC247" s="110" t="str">
        <f>IFERROR(INDEX('WetLitterbags placem_collection'!$A$3:$A$500,MATCH($A247,'WetLitterbags placem_collection'!$O$4:$O$500,0)),"")</f>
        <v/>
      </c>
      <c r="AD247" s="110" t="str">
        <f>IFERROR(INDEX('WetLitterbags placem_collection'!$A$3:$A$500,MATCH($A247,'WetLitterbags placem_collection'!$M$4:$M$500,0)),"")</f>
        <v/>
      </c>
      <c r="AE247" s="110" t="str">
        <f>IFERROR(INDEX('WetLitterbags placem_collection'!$A$3:$A$500,MATCH($A247,'WetLitterbags placem_collection'!$Q$4:$Q$500,0)),"")</f>
        <v/>
      </c>
    </row>
    <row r="248" spans="1:31">
      <c r="A248" s="197" t="s">
        <v>1361</v>
      </c>
      <c r="C248" s="197">
        <v>146</v>
      </c>
      <c r="D248" s="197">
        <v>0.35870000000000002</v>
      </c>
      <c r="E248" s="197">
        <v>8.7056000000000004</v>
      </c>
      <c r="F248" s="197">
        <v>0.20649999999999999</v>
      </c>
      <c r="G248" s="197">
        <f t="shared" si="24"/>
        <v>8.9121000000000006</v>
      </c>
      <c r="H248" s="197">
        <v>8.7347000000000001</v>
      </c>
      <c r="I248" s="197">
        <f t="shared" si="25"/>
        <v>0.17740000000000045</v>
      </c>
      <c r="J248" s="201">
        <f t="shared" si="26"/>
        <v>2.9099999999999543E-2</v>
      </c>
      <c r="K248" s="280">
        <f t="shared" si="27"/>
        <v>14.092009685229803</v>
      </c>
      <c r="L248" s="197">
        <v>15</v>
      </c>
      <c r="M248" s="197">
        <v>43157.527777777781</v>
      </c>
      <c r="N248" s="197">
        <v>43157.694444444445</v>
      </c>
      <c r="O248" s="197" t="s">
        <v>2556</v>
      </c>
      <c r="AB248" s="110">
        <f>IFERROR(INDEX('WetLitterbags placem_collection'!$A$3:$A$500,MATCH(A248,'WetLitterbags placem_collection'!$K$4:$K$500,0)),"")</f>
        <v>145</v>
      </c>
      <c r="AC248" s="110" t="str">
        <f>IFERROR(INDEX('WetLitterbags placem_collection'!$A$3:$A$500,MATCH($A248,'WetLitterbags placem_collection'!$O$4:$O$500,0)),"")</f>
        <v/>
      </c>
      <c r="AD248" s="110" t="str">
        <f>IFERROR(INDEX('WetLitterbags placem_collection'!$A$3:$A$500,MATCH($A248,'WetLitterbags placem_collection'!$M$4:$M$500,0)),"")</f>
        <v/>
      </c>
      <c r="AE248" s="110" t="str">
        <f>IFERROR(INDEX('WetLitterbags placem_collection'!$A$3:$A$500,MATCH($A248,'WetLitterbags placem_collection'!$Q$4:$Q$500,0)),"")</f>
        <v/>
      </c>
    </row>
    <row r="249" spans="1:31">
      <c r="A249" s="197" t="s">
        <v>1359</v>
      </c>
      <c r="C249" s="197">
        <v>99</v>
      </c>
      <c r="D249" s="197">
        <v>0.34420000000000001</v>
      </c>
      <c r="E249" s="197">
        <v>19.667300000000001</v>
      </c>
      <c r="F249" s="197">
        <v>9.3799999999999994E-2</v>
      </c>
      <c r="G249" s="197">
        <f t="shared" si="24"/>
        <v>19.761100000000003</v>
      </c>
      <c r="H249" s="197">
        <v>19.677199999999999</v>
      </c>
      <c r="I249" s="197">
        <f t="shared" si="25"/>
        <v>8.3900000000003416E-2</v>
      </c>
      <c r="J249" s="201">
        <f t="shared" si="26"/>
        <v>9.8999999999965782E-3</v>
      </c>
      <c r="K249" s="280">
        <f t="shared" si="27"/>
        <v>10.554371002128548</v>
      </c>
      <c r="L249" s="197">
        <v>4</v>
      </c>
      <c r="M249" s="197" t="s">
        <v>2576</v>
      </c>
      <c r="N249" s="197">
        <v>43153.729166666664</v>
      </c>
      <c r="O249" s="197" t="s">
        <v>2550</v>
      </c>
      <c r="P249" s="197" t="s">
        <v>2575</v>
      </c>
      <c r="AB249" s="110" t="str">
        <f>IFERROR(INDEX('WetLitterbags placem_collection'!$A$3:$A$500,MATCH(A249,'WetLitterbags placem_collection'!$K$4:$K$500,0)),"")</f>
        <v/>
      </c>
      <c r="AC249" s="110">
        <f>IFERROR(INDEX('WetLitterbags placem_collection'!$A$3:$A$500,MATCH($A249,'WetLitterbags placem_collection'!$O$4:$O$500,0)),"")</f>
        <v>98</v>
      </c>
      <c r="AD249" s="110" t="str">
        <f>IFERROR(INDEX('WetLitterbags placem_collection'!$A$3:$A$500,MATCH($A249,'WetLitterbags placem_collection'!$M$4:$M$500,0)),"")</f>
        <v/>
      </c>
      <c r="AE249" s="110" t="str">
        <f>IFERROR(INDEX('WetLitterbags placem_collection'!$A$3:$A$500,MATCH($A249,'WetLitterbags placem_collection'!$Q$4:$Q$500,0)),"")</f>
        <v/>
      </c>
    </row>
    <row r="250" spans="1:31">
      <c r="A250" s="201" t="s">
        <v>1358</v>
      </c>
      <c r="C250" s="201">
        <v>103</v>
      </c>
      <c r="D250" s="202">
        <v>0.38019999999999998</v>
      </c>
      <c r="E250" s="201">
        <v>7.9055</v>
      </c>
      <c r="F250" s="202">
        <v>0.2001</v>
      </c>
      <c r="G250" s="201">
        <f t="shared" si="24"/>
        <v>8.1056000000000008</v>
      </c>
      <c r="H250" s="201">
        <v>7.9330999999999996</v>
      </c>
      <c r="I250" s="201">
        <f t="shared" si="25"/>
        <v>0.17250000000000121</v>
      </c>
      <c r="J250" s="201">
        <f t="shared" si="26"/>
        <v>2.7599999999998792E-2</v>
      </c>
      <c r="K250" s="280">
        <f t="shared" si="27"/>
        <v>13.793103448275259</v>
      </c>
      <c r="L250" s="201">
        <v>27</v>
      </c>
      <c r="M250" s="201"/>
      <c r="N250" s="201"/>
      <c r="O250" s="201"/>
      <c r="P250" s="201"/>
      <c r="AB250" s="110" t="str">
        <f>IFERROR(INDEX('WetLitterbags placem_collection'!$A$3:$A$500,MATCH(A250,'WetLitterbags placem_collection'!$K$4:$K$500,0)),"")</f>
        <v/>
      </c>
      <c r="AC250" s="110">
        <f>IFERROR(INDEX('WetLitterbags placem_collection'!$A$3:$A$500,MATCH($A250,'WetLitterbags placem_collection'!$O$4:$O$500,0)),"")</f>
        <v>102</v>
      </c>
      <c r="AD250" s="110" t="str">
        <f>IFERROR(INDEX('WetLitterbags placem_collection'!$A$3:$A$500,MATCH($A250,'WetLitterbags placem_collection'!$M$4:$M$500,0)),"")</f>
        <v/>
      </c>
      <c r="AE250" s="110" t="str">
        <f>IFERROR(INDEX('WetLitterbags placem_collection'!$A$3:$A$500,MATCH($A250,'WetLitterbags placem_collection'!$Q$4:$Q$500,0)),"")</f>
        <v/>
      </c>
    </row>
    <row r="251" spans="1:31">
      <c r="A251" s="197" t="s">
        <v>1357</v>
      </c>
      <c r="C251" s="197">
        <v>115</v>
      </c>
      <c r="D251" s="197">
        <v>0.4234</v>
      </c>
      <c r="E251" s="197">
        <v>11.861499999999999</v>
      </c>
      <c r="F251" s="197">
        <v>0.18770000000000001</v>
      </c>
      <c r="G251" s="197">
        <f t="shared" si="24"/>
        <v>12.049199999999999</v>
      </c>
      <c r="H251" s="197">
        <v>11.8926</v>
      </c>
      <c r="I251" s="197">
        <f t="shared" si="25"/>
        <v>0.15659999999999918</v>
      </c>
      <c r="J251" s="201">
        <f t="shared" si="26"/>
        <v>3.1100000000000821E-2</v>
      </c>
      <c r="K251" s="280">
        <f t="shared" si="27"/>
        <v>16.568993074054781</v>
      </c>
      <c r="L251" s="197">
        <v>1</v>
      </c>
      <c r="M251" s="197">
        <v>43157.395833333336</v>
      </c>
      <c r="N251" s="197">
        <v>43157.569444444445</v>
      </c>
      <c r="O251" s="197" t="s">
        <v>2550</v>
      </c>
      <c r="P251" s="197" t="s">
        <v>2575</v>
      </c>
      <c r="AB251" s="110">
        <f>IFERROR(INDEX('WetLitterbags placem_collection'!$A$3:$A$500,MATCH(A251,'WetLitterbags placem_collection'!$K$4:$K$500,0)),"")</f>
        <v>114</v>
      </c>
      <c r="AC251" s="110" t="str">
        <f>IFERROR(INDEX('WetLitterbags placem_collection'!$A$3:$A$500,MATCH($A251,'WetLitterbags placem_collection'!$O$4:$O$500,0)),"")</f>
        <v/>
      </c>
      <c r="AD251" s="110" t="str">
        <f>IFERROR(INDEX('WetLitterbags placem_collection'!$A$3:$A$500,MATCH($A251,'WetLitterbags placem_collection'!$M$4:$M$500,0)),"")</f>
        <v/>
      </c>
      <c r="AE251" s="110" t="str">
        <f>IFERROR(INDEX('WetLitterbags placem_collection'!$A$3:$A$500,MATCH($A251,'WetLitterbags placem_collection'!$Q$4:$Q$500,0)),"")</f>
        <v/>
      </c>
    </row>
    <row r="252" spans="1:31">
      <c r="A252" s="201" t="s">
        <v>1356</v>
      </c>
      <c r="C252" s="201">
        <v>123</v>
      </c>
      <c r="D252" s="201">
        <v>0.40899999999999997</v>
      </c>
      <c r="E252" s="202">
        <v>9.2202000000000002</v>
      </c>
      <c r="F252" s="202">
        <v>0.2029</v>
      </c>
      <c r="G252" s="201">
        <f t="shared" si="24"/>
        <v>9.4230999999999998</v>
      </c>
      <c r="H252" s="201">
        <v>9.2517999999999994</v>
      </c>
      <c r="I252" s="201">
        <f t="shared" si="25"/>
        <v>0.17130000000000045</v>
      </c>
      <c r="J252" s="201">
        <f t="shared" si="26"/>
        <v>3.1599999999999545E-2</v>
      </c>
      <c r="K252" s="280">
        <f t="shared" si="27"/>
        <v>15.574174470182131</v>
      </c>
      <c r="L252" s="201">
        <v>15</v>
      </c>
      <c r="M252" s="205">
        <v>43199</v>
      </c>
      <c r="N252" s="205">
        <v>43199</v>
      </c>
      <c r="O252" s="201"/>
      <c r="P252" s="201"/>
      <c r="AB252" s="110">
        <f>IFERROR(INDEX('WetLitterbags placem_collection'!$A$3:$A$500,MATCH(A252,'WetLitterbags placem_collection'!$K$4:$K$500,0)),"")</f>
        <v>122</v>
      </c>
      <c r="AC252" s="110" t="str">
        <f>IFERROR(INDEX('WetLitterbags placem_collection'!$A$3:$A$500,MATCH($A252,'WetLitterbags placem_collection'!$O$4:$O$500,0)),"")</f>
        <v/>
      </c>
      <c r="AD252" s="110" t="str">
        <f>IFERROR(INDEX('WetLitterbags placem_collection'!$A$3:$A$500,MATCH($A252,'WetLitterbags placem_collection'!$M$4:$M$500,0)),"")</f>
        <v/>
      </c>
      <c r="AE252" s="110" t="str">
        <f>IFERROR(INDEX('WetLitterbags placem_collection'!$A$3:$A$500,MATCH($A252,'WetLitterbags placem_collection'!$Q$4:$Q$500,0)),"")</f>
        <v/>
      </c>
    </row>
    <row r="253" spans="1:31">
      <c r="A253" s="201" t="s">
        <v>1355</v>
      </c>
      <c r="C253" s="201">
        <v>111</v>
      </c>
      <c r="D253" s="201">
        <v>0.41639999999999999</v>
      </c>
      <c r="E253" s="202">
        <v>10.055400000000001</v>
      </c>
      <c r="F253" s="202">
        <v>0.20250000000000001</v>
      </c>
      <c r="G253" s="201">
        <f t="shared" si="24"/>
        <v>10.257900000000001</v>
      </c>
      <c r="H253" s="201">
        <v>10.082100000000001</v>
      </c>
      <c r="I253" s="201">
        <f t="shared" si="25"/>
        <v>0.17580000000000062</v>
      </c>
      <c r="J253" s="201">
        <f t="shared" si="26"/>
        <v>2.6699999999999391E-2</v>
      </c>
      <c r="K253" s="280">
        <f t="shared" si="27"/>
        <v>13.185185185184883</v>
      </c>
      <c r="L253" s="201">
        <v>46</v>
      </c>
      <c r="M253" s="207">
        <v>43186.458333333336</v>
      </c>
      <c r="N253" s="207">
        <v>43186.625</v>
      </c>
      <c r="O253" s="197" t="s">
        <v>2550</v>
      </c>
      <c r="P253" s="201"/>
      <c r="AB253" s="110" t="str">
        <f>IFERROR(INDEX('WetLitterbags placem_collection'!$A$3:$A$500,MATCH(A253,'WetLitterbags placem_collection'!$K$4:$K$500,0)),"")</f>
        <v/>
      </c>
      <c r="AC253" s="110">
        <f>IFERROR(INDEX('WetLitterbags placem_collection'!$A$3:$A$500,MATCH($A253,'WetLitterbags placem_collection'!$O$4:$O$500,0)),"")</f>
        <v>110</v>
      </c>
      <c r="AD253" s="110" t="str">
        <f>IFERROR(INDEX('WetLitterbags placem_collection'!$A$3:$A$500,MATCH($A253,'WetLitterbags placem_collection'!$M$4:$M$500,0)),"")</f>
        <v/>
      </c>
      <c r="AE253" s="110" t="str">
        <f>IFERROR(INDEX('WetLitterbags placem_collection'!$A$3:$A$500,MATCH($A253,'WetLitterbags placem_collection'!$Q$4:$Q$500,0)),"")</f>
        <v/>
      </c>
    </row>
    <row r="254" spans="1:31">
      <c r="A254" s="197" t="s">
        <v>1354</v>
      </c>
      <c r="C254" s="198">
        <v>149</v>
      </c>
      <c r="D254" s="197">
        <v>0.63670000000000004</v>
      </c>
      <c r="E254" s="202">
        <v>11.158799999999999</v>
      </c>
      <c r="F254" s="202">
        <v>0.20519999999999999</v>
      </c>
      <c r="G254" s="201">
        <f t="shared" si="24"/>
        <v>11.363999999999999</v>
      </c>
      <c r="H254" s="201">
        <v>11.222899999999999</v>
      </c>
      <c r="I254" s="201">
        <f t="shared" si="25"/>
        <v>0.14109999999999978</v>
      </c>
      <c r="J254" s="201">
        <f t="shared" si="26"/>
        <v>6.4100000000000212E-2</v>
      </c>
      <c r="K254" s="280">
        <f t="shared" si="27"/>
        <v>31.23781676413266</v>
      </c>
      <c r="L254" s="201">
        <v>23</v>
      </c>
      <c r="M254" s="204">
        <v>43221</v>
      </c>
      <c r="N254" s="204">
        <v>43221</v>
      </c>
      <c r="AB254" s="110" t="str">
        <f>IFERROR(INDEX('WetLitterbags placem_collection'!$A$3:$A$500,MATCH(A254,'WetLitterbags placem_collection'!$K$4:$K$500,0)),"")</f>
        <v/>
      </c>
      <c r="AC254" s="110">
        <f>IFERROR(INDEX('WetLitterbags placem_collection'!$A$3:$A$500,MATCH($A254,'WetLitterbags placem_collection'!$O$4:$O$500,0)),"")</f>
        <v>148</v>
      </c>
      <c r="AD254" s="110" t="str">
        <f>IFERROR(INDEX('WetLitterbags placem_collection'!$A$3:$A$500,MATCH($A254,'WetLitterbags placem_collection'!$M$4:$M$500,0)),"")</f>
        <v/>
      </c>
      <c r="AE254" s="110" t="str">
        <f>IFERROR(INDEX('WetLitterbags placem_collection'!$A$3:$A$500,MATCH($A254,'WetLitterbags placem_collection'!$Q$4:$Q$500,0)),"")</f>
        <v/>
      </c>
    </row>
    <row r="255" spans="1:31">
      <c r="A255" s="201" t="s">
        <v>1353</v>
      </c>
      <c r="C255" s="201">
        <v>143</v>
      </c>
      <c r="D255" s="201">
        <v>0.48530000000000001</v>
      </c>
      <c r="E255" s="201">
        <v>8.8457000000000008</v>
      </c>
      <c r="F255" s="201">
        <v>0.20080000000000001</v>
      </c>
      <c r="G255" s="201">
        <f t="shared" si="24"/>
        <v>9.0465</v>
      </c>
      <c r="H255" s="201">
        <v>8.8809000000000005</v>
      </c>
      <c r="I255" s="201">
        <f t="shared" si="25"/>
        <v>0.16559999999999953</v>
      </c>
      <c r="J255" s="201">
        <f t="shared" si="26"/>
        <v>3.5200000000000481E-2</v>
      </c>
      <c r="K255" s="280">
        <f t="shared" si="27"/>
        <v>17.52988047808789</v>
      </c>
      <c r="L255" s="201">
        <v>11</v>
      </c>
      <c r="M255" s="203">
        <v>43171.520833333336</v>
      </c>
      <c r="N255" s="203">
        <v>43171.6875</v>
      </c>
      <c r="O255" s="197" t="s">
        <v>2550</v>
      </c>
      <c r="P255" s="201"/>
      <c r="AB255" s="110" t="str">
        <f>IFERROR(INDEX('WetLitterbags placem_collection'!$A$3:$A$500,MATCH(A255,'WetLitterbags placem_collection'!$K$4:$K$500,0)),"")</f>
        <v/>
      </c>
      <c r="AC255" s="110">
        <f>IFERROR(INDEX('WetLitterbags placem_collection'!$A$3:$A$500,MATCH($A255,'WetLitterbags placem_collection'!$O$4:$O$500,0)),"")</f>
        <v>142</v>
      </c>
      <c r="AD255" s="110" t="str">
        <f>IFERROR(INDEX('WetLitterbags placem_collection'!$A$3:$A$500,MATCH($A255,'WetLitterbags placem_collection'!$M$4:$M$500,0)),"")</f>
        <v/>
      </c>
      <c r="AE255" s="110" t="str">
        <f>IFERROR(INDEX('WetLitterbags placem_collection'!$A$3:$A$500,MATCH($A255,'WetLitterbags placem_collection'!$Q$4:$Q$500,0)),"")</f>
        <v/>
      </c>
    </row>
    <row r="256" spans="1:31">
      <c r="A256" s="206" t="s">
        <v>1352</v>
      </c>
      <c r="C256" s="201">
        <v>120</v>
      </c>
      <c r="D256" s="201">
        <v>0.36299999999999999</v>
      </c>
      <c r="E256" s="201">
        <v>9.1562000000000001</v>
      </c>
      <c r="F256" s="201">
        <v>0.20130000000000001</v>
      </c>
      <c r="G256" s="201">
        <f t="shared" si="24"/>
        <v>9.3574999999999999</v>
      </c>
      <c r="H256" s="201">
        <v>9.1860999999999997</v>
      </c>
      <c r="I256" s="201">
        <f t="shared" si="25"/>
        <v>0.17140000000000022</v>
      </c>
      <c r="J256" s="201">
        <f t="shared" si="26"/>
        <v>2.9899999999999788E-2</v>
      </c>
      <c r="K256" s="280">
        <f t="shared" si="27"/>
        <v>14.853452558370487</v>
      </c>
      <c r="L256" s="201">
        <v>6</v>
      </c>
      <c r="M256" s="205">
        <v>43174</v>
      </c>
      <c r="N256" s="205">
        <v>43174</v>
      </c>
      <c r="O256" s="201" t="s">
        <v>2556</v>
      </c>
      <c r="P256" s="201" t="s">
        <v>2551</v>
      </c>
      <c r="AB256" s="110" t="str">
        <f>IFERROR(INDEX('WetLitterbags placem_collection'!$A$3:$A$500,MATCH(A256,'WetLitterbags placem_collection'!$K$4:$K$500,0)),"")</f>
        <v/>
      </c>
      <c r="AC256" s="110">
        <f>IFERROR(INDEX('WetLitterbags placem_collection'!$A$3:$A$500,MATCH($A256,'WetLitterbags placem_collection'!$O$4:$O$500,0)),"")</f>
        <v>119</v>
      </c>
      <c r="AD256" s="110" t="str">
        <f>IFERROR(INDEX('WetLitterbags placem_collection'!$A$3:$A$500,MATCH($A256,'WetLitterbags placem_collection'!$M$4:$M$500,0)),"")</f>
        <v/>
      </c>
      <c r="AE256" s="110" t="str">
        <f>IFERROR(INDEX('WetLitterbags placem_collection'!$A$3:$A$500,MATCH($A256,'WetLitterbags placem_collection'!$Q$4:$Q$500,0)),"")</f>
        <v/>
      </c>
    </row>
    <row r="257" spans="1:31">
      <c r="A257" s="197" t="s">
        <v>1351</v>
      </c>
      <c r="C257" s="198">
        <v>21</v>
      </c>
      <c r="D257" s="197">
        <v>0.53790000000000004</v>
      </c>
      <c r="E257" s="202">
        <v>10.075900000000001</v>
      </c>
      <c r="F257" s="202">
        <v>0.20200000000000001</v>
      </c>
      <c r="G257" s="201">
        <f t="shared" si="24"/>
        <v>10.277900000000001</v>
      </c>
      <c r="H257" s="201">
        <v>10.096299999999999</v>
      </c>
      <c r="I257" s="201">
        <f t="shared" si="25"/>
        <v>0.18160000000000132</v>
      </c>
      <c r="J257" s="201">
        <f t="shared" si="26"/>
        <v>2.0399999999998697E-2</v>
      </c>
      <c r="K257" s="280">
        <f t="shared" si="27"/>
        <v>10.099009900989453</v>
      </c>
      <c r="L257" s="201">
        <v>4</v>
      </c>
      <c r="AB257" s="110">
        <f>IFERROR(INDEX('WetLitterbags placem_collection'!$A$3:$A$500,MATCH(A257,'WetLitterbags placem_collection'!$K$4:$K$500,0)),"")</f>
        <v>20</v>
      </c>
      <c r="AC257" s="110" t="str">
        <f>IFERROR(INDEX('WetLitterbags placem_collection'!$A$3:$A$500,MATCH($A257,'WetLitterbags placem_collection'!$O$4:$O$500,0)),"")</f>
        <v/>
      </c>
      <c r="AD257" s="110" t="str">
        <f>IFERROR(INDEX('WetLitterbags placem_collection'!$A$3:$A$500,MATCH($A257,'WetLitterbags placem_collection'!$M$4:$M$500,0)),"")</f>
        <v/>
      </c>
      <c r="AE257" s="110" t="str">
        <f>IFERROR(INDEX('WetLitterbags placem_collection'!$A$3:$A$500,MATCH($A257,'WetLitterbags placem_collection'!$Q$4:$Q$500,0)),"")</f>
        <v/>
      </c>
    </row>
    <row r="258" spans="1:31">
      <c r="A258" s="201" t="s">
        <v>1350</v>
      </c>
      <c r="C258" s="201">
        <v>65</v>
      </c>
      <c r="D258" s="201">
        <v>0.58609999999999995</v>
      </c>
      <c r="E258" s="202">
        <v>7.0753000000000004</v>
      </c>
      <c r="F258" s="202">
        <v>0.20030000000000001</v>
      </c>
      <c r="G258" s="201">
        <f t="shared" si="24"/>
        <v>7.2756000000000007</v>
      </c>
      <c r="H258" s="201">
        <v>7.1066000000000003</v>
      </c>
      <c r="I258" s="201">
        <f t="shared" si="25"/>
        <v>0.16900000000000048</v>
      </c>
      <c r="J258" s="201">
        <f t="shared" si="26"/>
        <v>3.1299999999999523E-2</v>
      </c>
      <c r="K258" s="280">
        <f t="shared" si="27"/>
        <v>15.626560159760119</v>
      </c>
      <c r="L258" s="201">
        <v>3</v>
      </c>
      <c r="M258" s="205">
        <v>43199</v>
      </c>
      <c r="N258" s="205">
        <v>43199</v>
      </c>
      <c r="O258" s="201"/>
      <c r="P258" s="201"/>
      <c r="AB258" s="110" t="str">
        <f>IFERROR(INDEX('WetLitterbags placem_collection'!$A$3:$A$500,MATCH(A258,'WetLitterbags placem_collection'!$K$4:$K$500,0)),"")</f>
        <v/>
      </c>
      <c r="AC258" s="110">
        <f>IFERROR(INDEX('WetLitterbags placem_collection'!$A$3:$A$500,MATCH($A258,'WetLitterbags placem_collection'!$O$4:$O$500,0)),"")</f>
        <v>64</v>
      </c>
      <c r="AD258" s="110" t="str">
        <f>IFERROR(INDEX('WetLitterbags placem_collection'!$A$3:$A$500,MATCH($A258,'WetLitterbags placem_collection'!$M$4:$M$500,0)),"")</f>
        <v/>
      </c>
      <c r="AE258" s="110" t="str">
        <f>IFERROR(INDEX('WetLitterbags placem_collection'!$A$3:$A$500,MATCH($A258,'WetLitterbags placem_collection'!$Q$4:$Q$500,0)),"")</f>
        <v/>
      </c>
    </row>
    <row r="259" spans="1:31">
      <c r="A259" s="197" t="s">
        <v>1349</v>
      </c>
      <c r="C259" s="197">
        <v>8</v>
      </c>
      <c r="D259" s="197">
        <v>0.40389999999999998</v>
      </c>
      <c r="E259" s="197">
        <v>7.3167999999999997</v>
      </c>
      <c r="F259" s="197">
        <v>0.20530000000000001</v>
      </c>
      <c r="G259" s="197">
        <f t="shared" si="24"/>
        <v>7.5221</v>
      </c>
      <c r="H259" s="197">
        <v>7.3349000000000002</v>
      </c>
      <c r="I259" s="197">
        <f t="shared" si="25"/>
        <v>0.18719999999999981</v>
      </c>
      <c r="J259" s="201">
        <f t="shared" si="26"/>
        <v>1.8100000000000199E-2</v>
      </c>
      <c r="K259" s="280">
        <f t="shared" si="27"/>
        <v>8.8163662932295175</v>
      </c>
      <c r="L259" s="197">
        <v>3</v>
      </c>
      <c r="M259" s="197" t="s">
        <v>2586</v>
      </c>
      <c r="N259" s="197" t="s">
        <v>2585</v>
      </c>
      <c r="O259" s="197" t="s">
        <v>2550</v>
      </c>
      <c r="AB259" s="110" t="str">
        <f>IFERROR(INDEX('WetLitterbags placem_collection'!$A$3:$A$500,MATCH(A259,'WetLitterbags placem_collection'!$K$4:$K$500,0)),"")</f>
        <v/>
      </c>
      <c r="AC259" s="110">
        <f>IFERROR(INDEX('WetLitterbags placem_collection'!$A$3:$A$500,MATCH($A259,'WetLitterbags placem_collection'!$O$4:$O$500,0)),"")</f>
        <v>7</v>
      </c>
      <c r="AD259" s="110" t="str">
        <f>IFERROR(INDEX('WetLitterbags placem_collection'!$A$3:$A$500,MATCH($A259,'WetLitterbags placem_collection'!$M$4:$M$500,0)),"")</f>
        <v/>
      </c>
      <c r="AE259" s="110" t="str">
        <f>IFERROR(INDEX('WetLitterbags placem_collection'!$A$3:$A$500,MATCH($A259,'WetLitterbags placem_collection'!$Q$4:$Q$500,0)),"")</f>
        <v/>
      </c>
    </row>
    <row r="260" spans="1:31">
      <c r="A260" s="197" t="s">
        <v>1348</v>
      </c>
      <c r="C260" s="197">
        <v>28</v>
      </c>
      <c r="D260" s="197">
        <v>0.52159999999999995</v>
      </c>
      <c r="E260" s="202">
        <v>10.9023</v>
      </c>
      <c r="F260" s="202">
        <v>0.2026</v>
      </c>
      <c r="G260" s="201">
        <f t="shared" si="24"/>
        <v>11.104900000000001</v>
      </c>
      <c r="H260" s="201">
        <v>10.923999999999999</v>
      </c>
      <c r="I260" s="201">
        <f t="shared" si="25"/>
        <v>0.18090000000000117</v>
      </c>
      <c r="J260" s="201">
        <f t="shared" si="26"/>
        <v>2.1699999999998831E-2</v>
      </c>
      <c r="K260" s="280">
        <f t="shared" si="27"/>
        <v>10.710760118459444</v>
      </c>
      <c r="L260" s="201">
        <v>15</v>
      </c>
      <c r="AB260" s="110">
        <f>IFERROR(INDEX('WetLitterbags placem_collection'!$A$3:$A$500,MATCH(A260,'WetLitterbags placem_collection'!$K$4:$K$500,0)),"")</f>
        <v>27</v>
      </c>
      <c r="AC260" s="110" t="str">
        <f>IFERROR(INDEX('WetLitterbags placem_collection'!$A$3:$A$500,MATCH($A260,'WetLitterbags placem_collection'!$O$4:$O$500,0)),"")</f>
        <v/>
      </c>
      <c r="AD260" s="110" t="str">
        <f>IFERROR(INDEX('WetLitterbags placem_collection'!$A$3:$A$500,MATCH($A260,'WetLitterbags placem_collection'!$M$4:$M$500,0)),"")</f>
        <v/>
      </c>
      <c r="AE260" s="110" t="str">
        <f>IFERROR(INDEX('WetLitterbags placem_collection'!$A$3:$A$500,MATCH($A260,'WetLitterbags placem_collection'!$Q$4:$Q$500,0)),"")</f>
        <v/>
      </c>
    </row>
    <row r="261" spans="1:31">
      <c r="A261" s="206" t="s">
        <v>1347</v>
      </c>
      <c r="C261" s="201">
        <v>38</v>
      </c>
      <c r="D261" s="201">
        <v>0.59689999999999999</v>
      </c>
      <c r="E261" s="202">
        <v>7.4748000000000001</v>
      </c>
      <c r="F261" s="202">
        <v>0.20180000000000001</v>
      </c>
      <c r="G261" s="201">
        <f t="shared" si="24"/>
        <v>7.6766000000000005</v>
      </c>
      <c r="H261" s="201">
        <v>7.5014000000000003</v>
      </c>
      <c r="I261" s="201">
        <f t="shared" si="25"/>
        <v>0.17520000000000024</v>
      </c>
      <c r="J261" s="201">
        <f t="shared" si="26"/>
        <v>2.6599999999999763E-2</v>
      </c>
      <c r="K261" s="280">
        <f t="shared" si="27"/>
        <v>13.181367690782835</v>
      </c>
      <c r="L261" s="201">
        <v>28</v>
      </c>
      <c r="M261" s="205">
        <v>43188</v>
      </c>
      <c r="N261" s="205">
        <v>43188</v>
      </c>
      <c r="O261" s="201"/>
      <c r="P261" s="201"/>
      <c r="AB261" s="110" t="str">
        <f>IFERROR(INDEX('WetLitterbags placem_collection'!$A$3:$A$500,MATCH(A261,'WetLitterbags placem_collection'!$K$4:$K$500,0)),"")</f>
        <v/>
      </c>
      <c r="AC261" s="110">
        <f>IFERROR(INDEX('WetLitterbags placem_collection'!$A$3:$A$500,MATCH($A261,'WetLitterbags placem_collection'!$O$4:$O$500,0)),"")</f>
        <v>37</v>
      </c>
      <c r="AD261" s="110" t="str">
        <f>IFERROR(INDEX('WetLitterbags placem_collection'!$A$3:$A$500,MATCH($A261,'WetLitterbags placem_collection'!$M$4:$M$500,0)),"")</f>
        <v/>
      </c>
      <c r="AE261" s="110" t="str">
        <f>IFERROR(INDEX('WetLitterbags placem_collection'!$A$3:$A$500,MATCH($A261,'WetLitterbags placem_collection'!$Q$4:$Q$500,0)),"")</f>
        <v/>
      </c>
    </row>
    <row r="262" spans="1:31">
      <c r="A262" s="197" t="s">
        <v>1346</v>
      </c>
      <c r="C262" s="197">
        <v>106</v>
      </c>
      <c r="D262" s="197">
        <v>0.41220000000000001</v>
      </c>
      <c r="E262" s="197">
        <v>9.3457000000000008</v>
      </c>
      <c r="F262" s="197">
        <v>0.20300000000000001</v>
      </c>
      <c r="G262" s="197">
        <f t="shared" si="24"/>
        <v>9.5487000000000002</v>
      </c>
      <c r="H262" s="197">
        <v>9.3613999999999997</v>
      </c>
      <c r="I262" s="197">
        <f t="shared" si="25"/>
        <v>0.18730000000000047</v>
      </c>
      <c r="J262" s="201">
        <f t="shared" si="26"/>
        <v>1.5699999999999548E-2</v>
      </c>
      <c r="K262" s="280">
        <f t="shared" si="27"/>
        <v>7.733990147783028</v>
      </c>
      <c r="L262" s="197">
        <v>5</v>
      </c>
      <c r="M262" s="197">
        <v>43157.395833333336</v>
      </c>
      <c r="N262" s="197">
        <v>43157.569444444445</v>
      </c>
      <c r="O262" s="197" t="s">
        <v>2550</v>
      </c>
      <c r="AB262" s="110">
        <f>IFERROR(INDEX('WetLitterbags placem_collection'!$A$3:$A$500,MATCH(A262,'WetLitterbags placem_collection'!$K$4:$K$500,0)),"")</f>
        <v>108</v>
      </c>
      <c r="AC262" s="110" t="str">
        <f>IFERROR(INDEX('WetLitterbags placem_collection'!$A$3:$A$500,MATCH($A262,'WetLitterbags placem_collection'!$O$4:$O$500,0)),"")</f>
        <v/>
      </c>
      <c r="AD262" s="110" t="str">
        <f>IFERROR(INDEX('WetLitterbags placem_collection'!$A$3:$A$500,MATCH($A262,'WetLitterbags placem_collection'!$M$4:$M$500,0)),"")</f>
        <v/>
      </c>
      <c r="AE262" s="110" t="str">
        <f>IFERROR(INDEX('WetLitterbags placem_collection'!$A$3:$A$500,MATCH($A262,'WetLitterbags placem_collection'!$Q$4:$Q$500,0)),"")</f>
        <v/>
      </c>
    </row>
    <row r="263" spans="1:31">
      <c r="A263" s="206" t="s">
        <v>1344</v>
      </c>
      <c r="C263" s="201">
        <v>140</v>
      </c>
      <c r="D263" s="201">
        <v>0.41689999999999999</v>
      </c>
      <c r="E263" s="201">
        <v>7.7732000000000001</v>
      </c>
      <c r="F263" s="201">
        <v>0.20130000000000001</v>
      </c>
      <c r="G263" s="201">
        <f t="shared" si="24"/>
        <v>7.9744999999999999</v>
      </c>
      <c r="H263" s="201">
        <v>7.8083999999999998</v>
      </c>
      <c r="I263" s="201">
        <f t="shared" si="25"/>
        <v>0.16610000000000014</v>
      </c>
      <c r="J263" s="201">
        <f t="shared" si="26"/>
        <v>3.519999999999987E-2</v>
      </c>
      <c r="K263" s="280">
        <f t="shared" si="27"/>
        <v>17.486338797814145</v>
      </c>
      <c r="L263" s="201">
        <v>3</v>
      </c>
      <c r="M263" s="203">
        <v>43164.628472222219</v>
      </c>
      <c r="N263" s="203">
        <v>43164.795138888891</v>
      </c>
      <c r="O263" s="197" t="s">
        <v>2550</v>
      </c>
      <c r="P263" s="201"/>
      <c r="AB263" s="110" t="str">
        <f>IFERROR(INDEX('WetLitterbags placem_collection'!$A$3:$A$500,MATCH(A263,'WetLitterbags placem_collection'!$K$4:$K$500,0)),"")</f>
        <v/>
      </c>
      <c r="AC263" s="110">
        <f>IFERROR(INDEX('WetLitterbags placem_collection'!$A$3:$A$500,MATCH($A263,'WetLitterbags placem_collection'!$O$4:$O$500,0)),"")</f>
        <v>139</v>
      </c>
      <c r="AD263" s="110" t="str">
        <f>IFERROR(INDEX('WetLitterbags placem_collection'!$A$3:$A$500,MATCH($A263,'WetLitterbags placem_collection'!$M$4:$M$500,0)),"")</f>
        <v/>
      </c>
      <c r="AE263" s="110" t="str">
        <f>IFERROR(INDEX('WetLitterbags placem_collection'!$A$3:$A$500,MATCH($A263,'WetLitterbags placem_collection'!$Q$4:$Q$500,0)),"")</f>
        <v/>
      </c>
    </row>
    <row r="264" spans="1:31">
      <c r="A264" s="197" t="s">
        <v>1343</v>
      </c>
      <c r="C264" s="198">
        <v>201</v>
      </c>
      <c r="D264" s="197">
        <v>0.45</v>
      </c>
      <c r="E264" s="201">
        <v>8.7733000000000008</v>
      </c>
      <c r="F264" s="202">
        <v>0.20749999999999999</v>
      </c>
      <c r="G264" s="201">
        <f t="shared" si="24"/>
        <v>8.9808000000000003</v>
      </c>
      <c r="H264" s="201">
        <v>8.7985000000000007</v>
      </c>
      <c r="I264" s="201">
        <f t="shared" si="25"/>
        <v>0.18229999999999968</v>
      </c>
      <c r="J264" s="201">
        <f t="shared" si="26"/>
        <v>2.5200000000000305E-2</v>
      </c>
      <c r="K264" s="280">
        <f t="shared" si="27"/>
        <v>12.14457831325316</v>
      </c>
      <c r="L264" s="201">
        <v>20</v>
      </c>
      <c r="M264" s="204">
        <v>43213</v>
      </c>
      <c r="N264" s="204">
        <v>43213</v>
      </c>
      <c r="AB264" s="110" t="str">
        <f>IFERROR(INDEX('WetLitterbags placem_collection'!$A$3:$A$500,MATCH(A264,'WetLitterbags placem_collection'!$K$4:$K$500,0)),"")</f>
        <v/>
      </c>
      <c r="AC264" s="110">
        <f>IFERROR(INDEX('WetLitterbags placem_collection'!$A$3:$A$500,MATCH($A264,'WetLitterbags placem_collection'!$O$4:$O$500,0)),"")</f>
        <v>200</v>
      </c>
      <c r="AD264" s="110" t="str">
        <f>IFERROR(INDEX('WetLitterbags placem_collection'!$A$3:$A$500,MATCH($A264,'WetLitterbags placem_collection'!$M$4:$M$500,0)),"")</f>
        <v/>
      </c>
      <c r="AE264" s="110" t="str">
        <f>IFERROR(INDEX('WetLitterbags placem_collection'!$A$3:$A$500,MATCH($A264,'WetLitterbags placem_collection'!$Q$4:$Q$500,0)),"")</f>
        <v/>
      </c>
    </row>
    <row r="265" spans="1:31">
      <c r="A265" s="206" t="s">
        <v>1342</v>
      </c>
      <c r="C265" s="201">
        <v>130</v>
      </c>
      <c r="D265" s="202">
        <v>0.3836</v>
      </c>
      <c r="E265" s="202">
        <v>9.7257999999999996</v>
      </c>
      <c r="F265" s="202">
        <v>0.20069999999999999</v>
      </c>
      <c r="G265" s="201">
        <f t="shared" si="24"/>
        <v>9.926499999999999</v>
      </c>
      <c r="H265" s="201">
        <v>9.7614000000000001</v>
      </c>
      <c r="I265" s="201">
        <f t="shared" si="25"/>
        <v>0.16509999999999891</v>
      </c>
      <c r="J265" s="201">
        <f t="shared" si="26"/>
        <v>3.5600000000001075E-2</v>
      </c>
      <c r="K265" s="280">
        <f t="shared" si="27"/>
        <v>17.737917289487331</v>
      </c>
      <c r="L265" s="201">
        <v>35</v>
      </c>
      <c r="M265" s="203">
        <v>43181.645833333336</v>
      </c>
      <c r="N265" s="203">
        <v>43181.833333333336</v>
      </c>
      <c r="O265" s="201" t="s">
        <v>2556</v>
      </c>
      <c r="P265" s="201"/>
      <c r="AB265" s="110" t="str">
        <f>IFERROR(INDEX('WetLitterbags placem_collection'!$A$3:$A$500,MATCH(A265,'WetLitterbags placem_collection'!$K$4:$K$500,0)),"")</f>
        <v/>
      </c>
      <c r="AC265" s="110">
        <f>IFERROR(INDEX('WetLitterbags placem_collection'!$A$3:$A$500,MATCH($A265,'WetLitterbags placem_collection'!$O$4:$O$500,0)),"")</f>
        <v>129</v>
      </c>
      <c r="AD265" s="110" t="str">
        <f>IFERROR(INDEX('WetLitterbags placem_collection'!$A$3:$A$500,MATCH($A265,'WetLitterbags placem_collection'!$M$4:$M$500,0)),"")</f>
        <v/>
      </c>
      <c r="AE265" s="110" t="str">
        <f>IFERROR(INDEX('WetLitterbags placem_collection'!$A$3:$A$500,MATCH($A265,'WetLitterbags placem_collection'!$Q$4:$Q$500,0)),"")</f>
        <v/>
      </c>
    </row>
    <row r="266" spans="1:31">
      <c r="A266" s="197" t="s">
        <v>1341</v>
      </c>
      <c r="C266" s="198">
        <v>200</v>
      </c>
      <c r="D266" s="197">
        <v>0.41339999999999999</v>
      </c>
      <c r="E266" s="202">
        <v>9.3222000000000005</v>
      </c>
      <c r="F266" s="202">
        <v>0.20119999999999999</v>
      </c>
      <c r="G266" s="201">
        <f t="shared" si="24"/>
        <v>9.5234000000000005</v>
      </c>
      <c r="H266" s="201">
        <v>9.3420000000000005</v>
      </c>
      <c r="I266" s="201">
        <f t="shared" si="25"/>
        <v>0.18140000000000001</v>
      </c>
      <c r="J266" s="201">
        <f t="shared" si="26"/>
        <v>1.9799999999999984E-2</v>
      </c>
      <c r="K266" s="280">
        <f t="shared" si="27"/>
        <v>9.8409542743538694</v>
      </c>
      <c r="L266" s="201">
        <v>16</v>
      </c>
      <c r="AB266" s="110" t="str">
        <f>IFERROR(INDEX('WetLitterbags placem_collection'!$A$3:$A$500,MATCH(A266,'WetLitterbags placem_collection'!$K$4:$K$500,0)),"")</f>
        <v/>
      </c>
      <c r="AC266" s="110">
        <f>IFERROR(INDEX('WetLitterbags placem_collection'!$A$3:$A$500,MATCH($A266,'WetLitterbags placem_collection'!$O$4:$O$500,0)),"")</f>
        <v>199</v>
      </c>
      <c r="AD266" s="110" t="str">
        <f>IFERROR(INDEX('WetLitterbags placem_collection'!$A$3:$A$500,MATCH($A266,'WetLitterbags placem_collection'!$M$4:$M$500,0)),"")</f>
        <v/>
      </c>
      <c r="AE266" s="110" t="str">
        <f>IFERROR(INDEX('WetLitterbags placem_collection'!$A$3:$A$500,MATCH($A266,'WetLitterbags placem_collection'!$Q$4:$Q$500,0)),"")</f>
        <v/>
      </c>
    </row>
    <row r="267" spans="1:31">
      <c r="A267" s="206" t="s">
        <v>1340</v>
      </c>
      <c r="C267" s="201">
        <v>208</v>
      </c>
      <c r="D267" s="201">
        <v>0.63100000000000001</v>
      </c>
      <c r="E267" s="201">
        <v>8.1204000000000001</v>
      </c>
      <c r="F267" s="201">
        <v>0.20069999999999999</v>
      </c>
      <c r="G267" s="201">
        <f t="shared" si="24"/>
        <v>8.3210999999999995</v>
      </c>
      <c r="H267" s="201">
        <v>8.1574000000000009</v>
      </c>
      <c r="I267" s="201">
        <f t="shared" si="25"/>
        <v>0.16369999999999862</v>
      </c>
      <c r="J267" s="201">
        <f t="shared" si="26"/>
        <v>3.7000000000001365E-2</v>
      </c>
      <c r="K267" s="280">
        <f t="shared" si="27"/>
        <v>18.435475834579655</v>
      </c>
      <c r="L267" s="201">
        <v>8</v>
      </c>
      <c r="M267" s="203">
        <v>43171.520833333336</v>
      </c>
      <c r="N267" s="203">
        <v>43171.6875</v>
      </c>
      <c r="O267" s="197" t="s">
        <v>2550</v>
      </c>
      <c r="P267" s="201"/>
      <c r="AB267" s="110">
        <f>IFERROR(INDEX('WetLitterbags placem_collection'!$A$3:$A$500,MATCH(A267,'WetLitterbags placem_collection'!$K$4:$K$500,0)),"")</f>
        <v>207</v>
      </c>
      <c r="AC267" s="110" t="str">
        <f>IFERROR(INDEX('WetLitterbags placem_collection'!$A$3:$A$500,MATCH($A267,'WetLitterbags placem_collection'!$O$4:$O$500,0)),"")</f>
        <v/>
      </c>
      <c r="AD267" s="110" t="str">
        <f>IFERROR(INDEX('WetLitterbags placem_collection'!$A$3:$A$500,MATCH($A267,'WetLitterbags placem_collection'!$M$4:$M$500,0)),"")</f>
        <v/>
      </c>
      <c r="AE267" s="110" t="str">
        <f>IFERROR(INDEX('WetLitterbags placem_collection'!$A$3:$A$500,MATCH($A267,'WetLitterbags placem_collection'!$Q$4:$Q$500,0)),"")</f>
        <v/>
      </c>
    </row>
    <row r="268" spans="1:31">
      <c r="A268" s="197" t="s">
        <v>1338</v>
      </c>
      <c r="C268" s="201">
        <v>199</v>
      </c>
      <c r="D268" s="202">
        <v>0.46410000000000001</v>
      </c>
      <c r="E268" s="202">
        <v>8.1358999999999995</v>
      </c>
      <c r="F268" s="202">
        <v>0.2074</v>
      </c>
      <c r="G268" s="201">
        <f t="shared" si="24"/>
        <v>8.3432999999999993</v>
      </c>
      <c r="H268" s="201">
        <v>8.1542999999999992</v>
      </c>
      <c r="I268" s="201">
        <f t="shared" si="25"/>
        <v>0.18900000000000006</v>
      </c>
      <c r="J268" s="201">
        <f t="shared" si="26"/>
        <v>1.8399999999999944E-2</v>
      </c>
      <c r="K268" s="280">
        <f t="shared" si="27"/>
        <v>8.8717454194792413</v>
      </c>
      <c r="L268" s="201">
        <v>3</v>
      </c>
      <c r="M268" s="201"/>
      <c r="N268" s="201"/>
      <c r="O268" s="201"/>
      <c r="P268" s="201"/>
      <c r="AB268" s="110" t="str">
        <f>IFERROR(INDEX('WetLitterbags placem_collection'!$A$3:$A$500,MATCH(A268,'WetLitterbags placem_collection'!$K$4:$K$500,0)),"")</f>
        <v/>
      </c>
      <c r="AC268" s="110">
        <f>IFERROR(INDEX('WetLitterbags placem_collection'!$A$3:$A$500,MATCH($A268,'WetLitterbags placem_collection'!$O$4:$O$500,0)),"")</f>
        <v>198</v>
      </c>
      <c r="AD268" s="110" t="str">
        <f>IFERROR(INDEX('WetLitterbags placem_collection'!$A$3:$A$500,MATCH($A268,'WetLitterbags placem_collection'!$M$4:$M$500,0)),"")</f>
        <v/>
      </c>
      <c r="AE268" s="110" t="str">
        <f>IFERROR(INDEX('WetLitterbags placem_collection'!$A$3:$A$500,MATCH($A268,'WetLitterbags placem_collection'!$Q$4:$Q$500,0)),"")</f>
        <v/>
      </c>
    </row>
    <row r="269" spans="1:31">
      <c r="A269" s="206" t="s">
        <v>1337</v>
      </c>
      <c r="C269" s="197">
        <v>194</v>
      </c>
      <c r="D269" s="201">
        <v>0.42909999999999998</v>
      </c>
      <c r="E269" s="202">
        <v>11.258699999999999</v>
      </c>
      <c r="F269" s="202">
        <v>0.20100000000000001</v>
      </c>
      <c r="G269" s="201">
        <f t="shared" si="24"/>
        <v>11.4597</v>
      </c>
      <c r="H269" s="201">
        <v>11.2761</v>
      </c>
      <c r="I269" s="201">
        <f t="shared" si="25"/>
        <v>0.18360000000000021</v>
      </c>
      <c r="J269" s="201">
        <f t="shared" si="26"/>
        <v>1.7399999999999805E-2</v>
      </c>
      <c r="K269" s="280">
        <f t="shared" si="27"/>
        <v>8.6567164179103493</v>
      </c>
      <c r="L269" s="201">
        <v>22</v>
      </c>
      <c r="M269" s="207">
        <v>43186.458333333336</v>
      </c>
      <c r="N269" s="207">
        <v>43186.625</v>
      </c>
      <c r="O269" s="197" t="s">
        <v>2550</v>
      </c>
      <c r="P269" s="201"/>
      <c r="AB269" s="110" t="str">
        <f>IFERROR(INDEX('WetLitterbags placem_collection'!$A$3:$A$500,MATCH(A269,'WetLitterbags placem_collection'!$K$4:$K$500,0)),"")</f>
        <v/>
      </c>
      <c r="AC269" s="110">
        <f>IFERROR(INDEX('WetLitterbags placem_collection'!$A$3:$A$500,MATCH($A269,'WetLitterbags placem_collection'!$O$4:$O$500,0)),"")</f>
        <v>193</v>
      </c>
      <c r="AD269" s="110" t="str">
        <f>IFERROR(INDEX('WetLitterbags placem_collection'!$A$3:$A$500,MATCH($A269,'WetLitterbags placem_collection'!$M$4:$M$500,0)),"")</f>
        <v/>
      </c>
      <c r="AE269" s="110" t="str">
        <f>IFERROR(INDEX('WetLitterbags placem_collection'!$A$3:$A$500,MATCH($A269,'WetLitterbags placem_collection'!$Q$4:$Q$500,0)),"")</f>
        <v/>
      </c>
    </row>
    <row r="270" spans="1:31">
      <c r="A270" s="197" t="s">
        <v>1335</v>
      </c>
      <c r="C270" s="198">
        <v>197</v>
      </c>
      <c r="D270" s="197">
        <v>0.49</v>
      </c>
      <c r="E270" s="202">
        <v>11.2583</v>
      </c>
      <c r="F270" s="202">
        <v>0.20200000000000001</v>
      </c>
      <c r="G270" s="201">
        <f t="shared" si="24"/>
        <v>11.4603</v>
      </c>
      <c r="H270" s="201">
        <v>11.283200000000001</v>
      </c>
      <c r="I270" s="201">
        <f t="shared" si="25"/>
        <v>0.17709999999999937</v>
      </c>
      <c r="J270" s="201">
        <f t="shared" si="26"/>
        <v>2.4900000000000644E-2</v>
      </c>
      <c r="K270" s="280">
        <f t="shared" si="27"/>
        <v>12.326732673267644</v>
      </c>
      <c r="L270" s="201">
        <v>10</v>
      </c>
      <c r="AB270" s="110">
        <f>IFERROR(INDEX('WetLitterbags placem_collection'!$A$3:$A$500,MATCH(A270,'WetLitterbags placem_collection'!$K$4:$K$500,0)),"")</f>
        <v>196</v>
      </c>
      <c r="AC270" s="110" t="str">
        <f>IFERROR(INDEX('WetLitterbags placem_collection'!$A$3:$A$500,MATCH($A270,'WetLitterbags placem_collection'!$O$4:$O$500,0)),"")</f>
        <v/>
      </c>
      <c r="AD270" s="110" t="str">
        <f>IFERROR(INDEX('WetLitterbags placem_collection'!$A$3:$A$500,MATCH($A270,'WetLitterbags placem_collection'!$M$4:$M$500,0)),"")</f>
        <v/>
      </c>
      <c r="AE270" s="110" t="str">
        <f>IFERROR(INDEX('WetLitterbags placem_collection'!$A$3:$A$500,MATCH($A270,'WetLitterbags placem_collection'!$Q$4:$Q$500,0)),"")</f>
        <v/>
      </c>
    </row>
    <row r="271" spans="1:31">
      <c r="A271" s="201" t="s">
        <v>1334</v>
      </c>
      <c r="C271" s="201">
        <v>213</v>
      </c>
      <c r="D271" s="201">
        <v>0.6149</v>
      </c>
      <c r="E271" s="201">
        <v>10.1242</v>
      </c>
      <c r="F271" s="201">
        <v>0.2026</v>
      </c>
      <c r="G271" s="201">
        <f t="shared" si="24"/>
        <v>10.3268</v>
      </c>
      <c r="H271" s="201">
        <v>10.141</v>
      </c>
      <c r="I271" s="201">
        <f t="shared" si="25"/>
        <v>0.18580000000000041</v>
      </c>
      <c r="J271" s="201">
        <f t="shared" si="26"/>
        <v>1.6799999999999593E-2</v>
      </c>
      <c r="K271" s="280">
        <f t="shared" si="27"/>
        <v>8.2922013820333618</v>
      </c>
      <c r="L271" s="201">
        <v>7</v>
      </c>
      <c r="M271" s="205">
        <v>43188</v>
      </c>
      <c r="N271" s="205">
        <v>43188</v>
      </c>
      <c r="O271" s="201"/>
      <c r="P271" s="201"/>
      <c r="AB271" s="110" t="str">
        <f>IFERROR(INDEX('WetLitterbags placem_collection'!$A$3:$A$500,MATCH(A271,'WetLitterbags placem_collection'!$K$4:$K$500,0)),"")</f>
        <v/>
      </c>
      <c r="AC271" s="110">
        <f>IFERROR(INDEX('WetLitterbags placem_collection'!$A$3:$A$500,MATCH($A271,'WetLitterbags placem_collection'!$O$4:$O$500,0)),"")</f>
        <v>212</v>
      </c>
      <c r="AD271" s="110" t="str">
        <f>IFERROR(INDEX('WetLitterbags placem_collection'!$A$3:$A$500,MATCH($A271,'WetLitterbags placem_collection'!$M$4:$M$500,0)),"")</f>
        <v/>
      </c>
      <c r="AE271" s="110" t="str">
        <f>IFERROR(INDEX('WetLitterbags placem_collection'!$A$3:$A$500,MATCH($A271,'WetLitterbags placem_collection'!$Q$4:$Q$500,0)),"")</f>
        <v/>
      </c>
    </row>
    <row r="272" spans="1:31">
      <c r="A272" s="197" t="s">
        <v>1332</v>
      </c>
      <c r="C272" s="197">
        <v>215</v>
      </c>
      <c r="D272" s="197">
        <v>0.4864</v>
      </c>
      <c r="E272" s="202">
        <v>11.4543</v>
      </c>
      <c r="F272" s="202">
        <v>0.2029</v>
      </c>
      <c r="G272" s="201">
        <f t="shared" si="24"/>
        <v>11.6572</v>
      </c>
      <c r="H272" s="201">
        <v>11.469099999999999</v>
      </c>
      <c r="I272" s="201">
        <f t="shared" si="25"/>
        <v>0.18810000000000038</v>
      </c>
      <c r="J272" s="201">
        <f t="shared" si="26"/>
        <v>1.4799999999999619E-2</v>
      </c>
      <c r="K272" s="280">
        <f t="shared" si="27"/>
        <v>7.2942336126168659</v>
      </c>
      <c r="L272" s="201">
        <v>4</v>
      </c>
      <c r="M272" s="204">
        <v>43221</v>
      </c>
      <c r="N272" s="204">
        <v>43221</v>
      </c>
      <c r="AB272" s="110" t="str">
        <f>IFERROR(INDEX('WetLitterbags placem_collection'!$A$3:$A$500,MATCH(A272,'WetLitterbags placem_collection'!$K$4:$K$500,0)),"")</f>
        <v/>
      </c>
      <c r="AC272" s="110">
        <f>IFERROR(INDEX('WetLitterbags placem_collection'!$A$3:$A$500,MATCH($A272,'WetLitterbags placem_collection'!$O$4:$O$500,0)),"")</f>
        <v>214</v>
      </c>
      <c r="AD272" s="110" t="str">
        <f>IFERROR(INDEX('WetLitterbags placem_collection'!$A$3:$A$500,MATCH($A272,'WetLitterbags placem_collection'!$M$4:$M$500,0)),"")</f>
        <v/>
      </c>
      <c r="AE272" s="110" t="str">
        <f>IFERROR(INDEX('WetLitterbags placem_collection'!$A$3:$A$500,MATCH($A272,'WetLitterbags placem_collection'!$Q$4:$Q$500,0)),"")</f>
        <v/>
      </c>
    </row>
    <row r="273" spans="1:31">
      <c r="A273" s="197" t="s">
        <v>1330</v>
      </c>
      <c r="C273" s="198">
        <v>210</v>
      </c>
      <c r="D273" s="197">
        <v>0.5302</v>
      </c>
      <c r="E273" s="202">
        <v>8.8605</v>
      </c>
      <c r="F273" s="202">
        <v>0.20799999999999999</v>
      </c>
      <c r="G273" s="201">
        <f t="shared" si="24"/>
        <v>9.0685000000000002</v>
      </c>
      <c r="H273" s="201">
        <v>8.8939000000000004</v>
      </c>
      <c r="I273" s="201">
        <f t="shared" si="25"/>
        <v>0.17459999999999987</v>
      </c>
      <c r="J273" s="201">
        <f t="shared" si="26"/>
        <v>3.3400000000000124E-2</v>
      </c>
      <c r="K273" s="280">
        <f t="shared" si="27"/>
        <v>16.057692307692367</v>
      </c>
      <c r="L273" s="201">
        <v>11</v>
      </c>
      <c r="M273" s="204">
        <v>43221</v>
      </c>
      <c r="N273" s="204">
        <v>43221</v>
      </c>
      <c r="AB273" s="110" t="str">
        <f>IFERROR(INDEX('WetLitterbags placem_collection'!$A$3:$A$500,MATCH(A273,'WetLitterbags placem_collection'!$K$4:$K$500,0)),"")</f>
        <v/>
      </c>
      <c r="AC273" s="110">
        <f>IFERROR(INDEX('WetLitterbags placem_collection'!$A$3:$A$500,MATCH($A273,'WetLitterbags placem_collection'!$O$4:$O$500,0)),"")</f>
        <v>209</v>
      </c>
      <c r="AD273" s="110" t="str">
        <f>IFERROR(INDEX('WetLitterbags placem_collection'!$A$3:$A$500,MATCH($A273,'WetLitterbags placem_collection'!$M$4:$M$500,0)),"")</f>
        <v/>
      </c>
      <c r="AE273" s="110" t="str">
        <f>IFERROR(INDEX('WetLitterbags placem_collection'!$A$3:$A$500,MATCH($A273,'WetLitterbags placem_collection'!$Q$4:$Q$500,0)),"")</f>
        <v/>
      </c>
    </row>
    <row r="274" spans="1:31">
      <c r="A274" s="197" t="s">
        <v>1329</v>
      </c>
      <c r="C274" s="197">
        <v>21</v>
      </c>
      <c r="D274" s="197">
        <v>0.46500000000000002</v>
      </c>
      <c r="E274" s="202">
        <v>11.1058</v>
      </c>
      <c r="F274" s="202">
        <v>0.19969999999999999</v>
      </c>
      <c r="G274" s="201">
        <f t="shared" si="24"/>
        <v>11.3055</v>
      </c>
      <c r="H274" s="201">
        <v>11.1266</v>
      </c>
      <c r="I274" s="201">
        <f t="shared" si="25"/>
        <v>0.1789000000000005</v>
      </c>
      <c r="J274" s="201">
        <f t="shared" si="26"/>
        <v>2.0799999999999486E-2</v>
      </c>
      <c r="K274" s="280">
        <f t="shared" si="27"/>
        <v>10.415623435152472</v>
      </c>
      <c r="L274" s="201">
        <v>31</v>
      </c>
      <c r="AB274" s="110" t="str">
        <f>IFERROR(INDEX('WetLitterbags placem_collection'!$A$3:$A$500,MATCH(A274,'WetLitterbags placem_collection'!$K$4:$K$500,0)),"")</f>
        <v/>
      </c>
      <c r="AC274" s="110">
        <f>IFERROR(INDEX('WetLitterbags placem_collection'!$A$3:$A$500,MATCH($A274,'WetLitterbags placem_collection'!$O$4:$O$500,0)),"")</f>
        <v>20</v>
      </c>
      <c r="AD274" s="110" t="str">
        <f>IFERROR(INDEX('WetLitterbags placem_collection'!$A$3:$A$500,MATCH($A274,'WetLitterbags placem_collection'!$M$4:$M$500,0)),"")</f>
        <v/>
      </c>
      <c r="AE274" s="110" t="str">
        <f>IFERROR(INDEX('WetLitterbags placem_collection'!$A$3:$A$500,MATCH($A274,'WetLitterbags placem_collection'!$Q$4:$Q$500,0)),"")</f>
        <v/>
      </c>
    </row>
    <row r="275" spans="1:31">
      <c r="A275" s="197" t="s">
        <v>1327</v>
      </c>
      <c r="C275" s="197">
        <v>86</v>
      </c>
      <c r="D275" s="197">
        <v>0.57269999999999999</v>
      </c>
      <c r="E275" s="197">
        <v>18.046900000000001</v>
      </c>
      <c r="F275" s="197">
        <v>0.19550000000000001</v>
      </c>
      <c r="G275" s="197">
        <f t="shared" si="24"/>
        <v>18.2424</v>
      </c>
      <c r="H275" s="197">
        <v>18.061499999999999</v>
      </c>
      <c r="I275" s="197">
        <f t="shared" si="25"/>
        <v>0.18090000000000117</v>
      </c>
      <c r="J275" s="201">
        <f t="shared" si="26"/>
        <v>1.4599999999998836E-2</v>
      </c>
      <c r="K275" s="280">
        <f t="shared" si="27"/>
        <v>7.4680306905364882</v>
      </c>
      <c r="L275" s="197">
        <v>13</v>
      </c>
      <c r="M275" s="197" t="s">
        <v>2580</v>
      </c>
      <c r="N275" s="197" t="s">
        <v>2579</v>
      </c>
      <c r="O275" s="197" t="s">
        <v>2556</v>
      </c>
      <c r="AB275" s="110">
        <f>IFERROR(INDEX('WetLitterbags placem_collection'!$A$3:$A$500,MATCH(A275,'WetLitterbags placem_collection'!$K$4:$K$500,0)),"")</f>
        <v>85</v>
      </c>
      <c r="AC275" s="110" t="str">
        <f>IFERROR(INDEX('WetLitterbags placem_collection'!$A$3:$A$500,MATCH($A275,'WetLitterbags placem_collection'!$O$4:$O$500,0)),"")</f>
        <v/>
      </c>
      <c r="AD275" s="110" t="str">
        <f>IFERROR(INDEX('WetLitterbags placem_collection'!$A$3:$A$500,MATCH($A275,'WetLitterbags placem_collection'!$M$4:$M$500,0)),"")</f>
        <v/>
      </c>
      <c r="AE275" s="110" t="str">
        <f>IFERROR(INDEX('WetLitterbags placem_collection'!$A$3:$A$500,MATCH($A275,'WetLitterbags placem_collection'!$Q$4:$Q$500,0)),"")</f>
        <v/>
      </c>
    </row>
    <row r="276" spans="1:31">
      <c r="A276" s="201" t="s">
        <v>1326</v>
      </c>
      <c r="C276" s="201">
        <v>113</v>
      </c>
      <c r="D276" s="197">
        <v>0.41270000000000001</v>
      </c>
      <c r="E276" s="201">
        <v>7.8388</v>
      </c>
      <c r="F276" s="202">
        <v>0.2089</v>
      </c>
      <c r="G276" s="201">
        <f t="shared" si="24"/>
        <v>8.0477000000000007</v>
      </c>
      <c r="H276" s="197">
        <v>7.8710000000000004</v>
      </c>
      <c r="I276" s="197">
        <f t="shared" si="25"/>
        <v>0.1767000000000003</v>
      </c>
      <c r="J276" s="201">
        <f t="shared" si="26"/>
        <v>3.2199999999999701E-2</v>
      </c>
      <c r="K276" s="280">
        <f t="shared" si="27"/>
        <v>15.414073719482863</v>
      </c>
      <c r="L276" s="201">
        <v>20</v>
      </c>
      <c r="M276" s="205">
        <v>43187</v>
      </c>
      <c r="N276" s="205">
        <v>43187</v>
      </c>
      <c r="O276" s="201"/>
      <c r="P276" s="201"/>
      <c r="AB276" s="110">
        <f>IFERROR(INDEX('WetLitterbags placem_collection'!$A$3:$A$500,MATCH(A276,'WetLitterbags placem_collection'!$K$4:$K$500,0)),"")</f>
        <v>112</v>
      </c>
      <c r="AC276" s="110" t="str">
        <f>IFERROR(INDEX('WetLitterbags placem_collection'!$A$3:$A$500,MATCH($A276,'WetLitterbags placem_collection'!$O$4:$O$500,0)),"")</f>
        <v/>
      </c>
      <c r="AD276" s="110" t="str">
        <f>IFERROR(INDEX('WetLitterbags placem_collection'!$A$3:$A$500,MATCH($A276,'WetLitterbags placem_collection'!$M$4:$M$500,0)),"")</f>
        <v/>
      </c>
      <c r="AE276" s="110" t="str">
        <f>IFERROR(INDEX('WetLitterbags placem_collection'!$A$3:$A$500,MATCH($A276,'WetLitterbags placem_collection'!$Q$4:$Q$500,0)),"")</f>
        <v/>
      </c>
    </row>
    <row r="277" spans="1:31">
      <c r="A277" s="206" t="s">
        <v>1325</v>
      </c>
      <c r="C277" s="201">
        <v>132</v>
      </c>
      <c r="D277" s="201">
        <v>0.39979999999999999</v>
      </c>
      <c r="E277" s="201">
        <v>11.023</v>
      </c>
      <c r="F277" s="201">
        <v>0.2034</v>
      </c>
      <c r="G277" s="201">
        <f t="shared" si="24"/>
        <v>11.2264</v>
      </c>
      <c r="H277" s="201">
        <v>11.052199999999999</v>
      </c>
      <c r="I277" s="201">
        <f t="shared" si="25"/>
        <v>0.1742000000000008</v>
      </c>
      <c r="J277" s="201">
        <f t="shared" si="26"/>
        <v>2.9199999999999199E-2</v>
      </c>
      <c r="K277" s="280">
        <f t="shared" si="27"/>
        <v>14.355948869222813</v>
      </c>
      <c r="L277" s="201">
        <v>16</v>
      </c>
      <c r="M277" s="205">
        <v>43188</v>
      </c>
      <c r="N277" s="205">
        <v>43188</v>
      </c>
      <c r="O277" s="201"/>
      <c r="P277" s="201"/>
      <c r="AB277" s="110">
        <f>IFERROR(INDEX('WetLitterbags placem_collection'!$A$3:$A$500,MATCH(A277,'WetLitterbags placem_collection'!$K$4:$K$500,0)),"")</f>
        <v>131</v>
      </c>
      <c r="AC277" s="110" t="str">
        <f>IFERROR(INDEX('WetLitterbags placem_collection'!$A$3:$A$500,MATCH($A277,'WetLitterbags placem_collection'!$O$4:$O$500,0)),"")</f>
        <v/>
      </c>
      <c r="AD277" s="110" t="str">
        <f>IFERROR(INDEX('WetLitterbags placem_collection'!$A$3:$A$500,MATCH($A277,'WetLitterbags placem_collection'!$M$4:$M$500,0)),"")</f>
        <v/>
      </c>
      <c r="AE277" s="110" t="str">
        <f>IFERROR(INDEX('WetLitterbags placem_collection'!$A$3:$A$500,MATCH($A277,'WetLitterbags placem_collection'!$Q$4:$Q$500,0)),"")</f>
        <v/>
      </c>
    </row>
    <row r="278" spans="1:31">
      <c r="A278" s="201" t="s">
        <v>1323</v>
      </c>
      <c r="C278" s="201">
        <v>219</v>
      </c>
      <c r="D278" s="201">
        <v>0.50029999999999997</v>
      </c>
      <c r="E278" s="201">
        <v>7.3544</v>
      </c>
      <c r="F278" s="201">
        <v>0.19819999999999999</v>
      </c>
      <c r="G278" s="201">
        <f t="shared" si="24"/>
        <v>7.5526</v>
      </c>
      <c r="H278" s="201">
        <v>7.3773999999999997</v>
      </c>
      <c r="I278" s="201">
        <f t="shared" si="25"/>
        <v>0.17520000000000024</v>
      </c>
      <c r="J278" s="201">
        <f t="shared" si="26"/>
        <v>2.2999999999999743E-2</v>
      </c>
      <c r="K278" s="280">
        <f t="shared" si="27"/>
        <v>11.604439959636602</v>
      </c>
      <c r="L278" s="201">
        <v>12</v>
      </c>
      <c r="M278" s="203">
        <v>43164.628472222219</v>
      </c>
      <c r="N278" s="203">
        <v>43164.795138888891</v>
      </c>
      <c r="O278" s="197" t="s">
        <v>2550</v>
      </c>
      <c r="P278" s="201"/>
      <c r="AB278" s="110">
        <f>IFERROR(INDEX('WetLitterbags placem_collection'!$A$3:$A$500,MATCH(A278,'WetLitterbags placem_collection'!$K$4:$K$500,0)),"")</f>
        <v>218</v>
      </c>
      <c r="AC278" s="110" t="str">
        <f>IFERROR(INDEX('WetLitterbags placem_collection'!$A$3:$A$500,MATCH($A278,'WetLitterbags placem_collection'!$O$4:$O$500,0)),"")</f>
        <v/>
      </c>
      <c r="AD278" s="110" t="str">
        <f>IFERROR(INDEX('WetLitterbags placem_collection'!$A$3:$A$500,MATCH($A278,'WetLitterbags placem_collection'!$M$4:$M$500,0)),"")</f>
        <v/>
      </c>
      <c r="AE278" s="110" t="str">
        <f>IFERROR(INDEX('WetLitterbags placem_collection'!$A$3:$A$500,MATCH($A278,'WetLitterbags placem_collection'!$Q$4:$Q$500,0)),"")</f>
        <v/>
      </c>
    </row>
    <row r="279" spans="1:31">
      <c r="A279" s="206" t="s">
        <v>1322</v>
      </c>
      <c r="C279" s="201">
        <v>100</v>
      </c>
      <c r="D279" s="201">
        <v>0.38440000000000002</v>
      </c>
      <c r="E279" s="201">
        <v>7.4805999999999999</v>
      </c>
      <c r="F279" s="201">
        <v>0.20399999999999999</v>
      </c>
      <c r="G279" s="201">
        <f t="shared" si="24"/>
        <v>7.6845999999999997</v>
      </c>
      <c r="H279" s="201">
        <v>7.5067000000000004</v>
      </c>
      <c r="I279" s="201">
        <f t="shared" si="25"/>
        <v>0.17789999999999928</v>
      </c>
      <c r="J279" s="201">
        <f t="shared" si="26"/>
        <v>2.6100000000000706E-2</v>
      </c>
      <c r="K279" s="280">
        <f t="shared" si="27"/>
        <v>12.794117647059169</v>
      </c>
      <c r="L279" s="201">
        <v>20</v>
      </c>
      <c r="M279" s="205">
        <v>43188</v>
      </c>
      <c r="N279" s="205">
        <v>43188</v>
      </c>
      <c r="O279" s="201"/>
      <c r="P279" s="201"/>
      <c r="AB279" s="110">
        <f>IFERROR(INDEX('WetLitterbags placem_collection'!$A$3:$A$500,MATCH(A279,'WetLitterbags placem_collection'!$K$4:$K$500,0)),"")</f>
        <v>99</v>
      </c>
      <c r="AC279" s="110" t="str">
        <f>IFERROR(INDEX('WetLitterbags placem_collection'!$A$3:$A$500,MATCH($A279,'WetLitterbags placem_collection'!$O$4:$O$500,0)),"")</f>
        <v/>
      </c>
      <c r="AD279" s="110" t="str">
        <f>IFERROR(INDEX('WetLitterbags placem_collection'!$A$3:$A$500,MATCH($A279,'WetLitterbags placem_collection'!$M$4:$M$500,0)),"")</f>
        <v/>
      </c>
      <c r="AE279" s="110" t="str">
        <f>IFERROR(INDEX('WetLitterbags placem_collection'!$A$3:$A$500,MATCH($A279,'WetLitterbags placem_collection'!$Q$4:$Q$500,0)),"")</f>
        <v/>
      </c>
    </row>
    <row r="280" spans="1:31">
      <c r="A280" s="197" t="s">
        <v>1321</v>
      </c>
      <c r="C280" s="197">
        <v>105</v>
      </c>
      <c r="D280" s="197">
        <v>0.43609999999999999</v>
      </c>
      <c r="E280" s="197">
        <v>19.694500000000001</v>
      </c>
      <c r="F280" s="197">
        <v>0.19270000000000001</v>
      </c>
      <c r="G280" s="197">
        <f t="shared" si="24"/>
        <v>19.8872</v>
      </c>
      <c r="H280" s="197">
        <v>19.732500000000002</v>
      </c>
      <c r="I280" s="197">
        <f t="shared" si="25"/>
        <v>0.15469999999999828</v>
      </c>
      <c r="J280" s="201">
        <f t="shared" si="26"/>
        <v>3.8000000000001727E-2</v>
      </c>
      <c r="K280" s="280">
        <f t="shared" si="27"/>
        <v>19.719771665802661</v>
      </c>
      <c r="L280" s="197">
        <v>8</v>
      </c>
      <c r="M280" s="197" t="s">
        <v>2576</v>
      </c>
      <c r="N280" s="197">
        <v>43153.729166666664</v>
      </c>
      <c r="O280" s="197" t="s">
        <v>2550</v>
      </c>
      <c r="P280" s="197" t="s">
        <v>2574</v>
      </c>
      <c r="AB280" s="110">
        <f>IFERROR(INDEX('WetLitterbags placem_collection'!$A$3:$A$500,MATCH(A280,'WetLitterbags placem_collection'!$K$4:$K$500,0)),"")</f>
        <v>104</v>
      </c>
      <c r="AC280" s="110" t="str">
        <f>IFERROR(INDEX('WetLitterbags placem_collection'!$A$3:$A$500,MATCH($A280,'WetLitterbags placem_collection'!$O$4:$O$500,0)),"")</f>
        <v/>
      </c>
      <c r="AD280" s="110" t="str">
        <f>IFERROR(INDEX('WetLitterbags placem_collection'!$A$3:$A$500,MATCH($A280,'WetLitterbags placem_collection'!$M$4:$M$500,0)),"")</f>
        <v/>
      </c>
      <c r="AE280" s="110" t="str">
        <f>IFERROR(INDEX('WetLitterbags placem_collection'!$A$3:$A$500,MATCH($A280,'WetLitterbags placem_collection'!$Q$4:$Q$500,0)),"")</f>
        <v/>
      </c>
    </row>
    <row r="281" spans="1:31">
      <c r="A281" s="206" t="s">
        <v>1320</v>
      </c>
      <c r="C281" s="201">
        <v>98</v>
      </c>
      <c r="D281" s="201">
        <v>0.4178</v>
      </c>
      <c r="E281" s="202">
        <v>11.1591</v>
      </c>
      <c r="F281" s="202">
        <v>0.20319999999999999</v>
      </c>
      <c r="G281" s="201">
        <f t="shared" si="24"/>
        <v>11.362300000000001</v>
      </c>
      <c r="H281" s="201">
        <v>11.19</v>
      </c>
      <c r="I281" s="201">
        <f t="shared" si="25"/>
        <v>0.17230000000000167</v>
      </c>
      <c r="J281" s="201">
        <f t="shared" si="26"/>
        <v>3.0899999999998318E-2</v>
      </c>
      <c r="K281" s="280">
        <f t="shared" si="27"/>
        <v>15.206692913385</v>
      </c>
      <c r="L281" s="201">
        <v>24</v>
      </c>
      <c r="M281" s="207">
        <v>43185.385416666664</v>
      </c>
      <c r="N281" s="201"/>
      <c r="O281" s="201" t="s">
        <v>2556</v>
      </c>
      <c r="P281" s="201"/>
      <c r="AB281" s="110" t="str">
        <f>IFERROR(INDEX('WetLitterbags placem_collection'!$A$3:$A$500,MATCH(A281,'WetLitterbags placem_collection'!$K$4:$K$500,0)),"")</f>
        <v/>
      </c>
      <c r="AC281" s="110">
        <f>IFERROR(INDEX('WetLitterbags placem_collection'!$A$3:$A$500,MATCH($A281,'WetLitterbags placem_collection'!$O$4:$O$500,0)),"")</f>
        <v>97</v>
      </c>
      <c r="AD281" s="110" t="str">
        <f>IFERROR(INDEX('WetLitterbags placem_collection'!$A$3:$A$500,MATCH($A281,'WetLitterbags placem_collection'!$M$4:$M$500,0)),"")</f>
        <v/>
      </c>
      <c r="AE281" s="110" t="str">
        <f>IFERROR(INDEX('WetLitterbags placem_collection'!$A$3:$A$500,MATCH($A281,'WetLitterbags placem_collection'!$Q$4:$Q$500,0)),"")</f>
        <v/>
      </c>
    </row>
    <row r="282" spans="1:31">
      <c r="A282" s="201" t="s">
        <v>1318</v>
      </c>
      <c r="C282" s="201">
        <v>35</v>
      </c>
      <c r="D282" s="202">
        <v>0.52159999999999995</v>
      </c>
      <c r="E282" s="201">
        <v>7.3171999999999997</v>
      </c>
      <c r="F282" s="202">
        <v>0.20230000000000001</v>
      </c>
      <c r="G282" s="201">
        <f t="shared" si="24"/>
        <v>7.5194999999999999</v>
      </c>
      <c r="H282" s="201">
        <v>7.3377999999999997</v>
      </c>
      <c r="I282" s="201">
        <f t="shared" si="25"/>
        <v>0.18170000000000019</v>
      </c>
      <c r="J282" s="201">
        <f t="shared" si="26"/>
        <v>2.0599999999999813E-2</v>
      </c>
      <c r="K282" s="280">
        <f t="shared" si="27"/>
        <v>10.182896688086906</v>
      </c>
      <c r="L282" s="201">
        <v>15</v>
      </c>
      <c r="M282" s="205">
        <v>43206</v>
      </c>
      <c r="N282" s="205">
        <v>43206</v>
      </c>
      <c r="O282" s="201"/>
      <c r="P282" s="201"/>
      <c r="Q282" s="181" t="s">
        <v>2596</v>
      </c>
      <c r="AB282" s="110" t="str">
        <f>IFERROR(INDEX('WetLitterbags placem_collection'!$A$3:$A$500,MATCH(A282,'WetLitterbags placem_collection'!$K$4:$K$500,0)),"")</f>
        <v/>
      </c>
      <c r="AC282" s="110">
        <f>IFERROR(INDEX('WetLitterbags placem_collection'!$A$3:$A$500,MATCH($A282,'WetLitterbags placem_collection'!$O$4:$O$500,0)),"")</f>
        <v>34</v>
      </c>
      <c r="AD282" s="110" t="str">
        <f>IFERROR(INDEX('WetLitterbags placem_collection'!$A$3:$A$500,MATCH($A282,'WetLitterbags placem_collection'!$M$4:$M$500,0)),"")</f>
        <v/>
      </c>
      <c r="AE282" s="110" t="str">
        <f>IFERROR(INDEX('WetLitterbags placem_collection'!$A$3:$A$500,MATCH($A282,'WetLitterbags placem_collection'!$Q$4:$Q$500,0)),"")</f>
        <v/>
      </c>
    </row>
    <row r="283" spans="1:31">
      <c r="A283" s="197" t="s">
        <v>1317</v>
      </c>
      <c r="C283" s="198">
        <v>149</v>
      </c>
      <c r="D283" s="201">
        <v>0.56620000000000004</v>
      </c>
      <c r="E283" s="202">
        <v>9.1377000000000006</v>
      </c>
      <c r="F283" s="202">
        <v>0.2019</v>
      </c>
      <c r="G283" s="201">
        <f t="shared" si="24"/>
        <v>9.3396000000000008</v>
      </c>
      <c r="H283" s="201">
        <v>9.1988000000000003</v>
      </c>
      <c r="I283" s="201">
        <f t="shared" si="25"/>
        <v>0.14080000000000048</v>
      </c>
      <c r="J283" s="201">
        <f t="shared" si="26"/>
        <v>6.1099999999999516E-2</v>
      </c>
      <c r="K283" s="280">
        <f t="shared" si="27"/>
        <v>30.262506191183512</v>
      </c>
      <c r="L283" s="201">
        <v>21</v>
      </c>
      <c r="M283" s="204">
        <v>43213</v>
      </c>
      <c r="N283" s="204">
        <v>43213</v>
      </c>
      <c r="AB283" s="110">
        <f>IFERROR(INDEX('WetLitterbags placem_collection'!$A$3:$A$500,MATCH(A283,'WetLitterbags placem_collection'!$K$4:$K$500,0)),"")</f>
        <v>148</v>
      </c>
      <c r="AC283" s="110" t="str">
        <f>IFERROR(INDEX('WetLitterbags placem_collection'!$A$3:$A$500,MATCH($A283,'WetLitterbags placem_collection'!$O$4:$O$500,0)),"")</f>
        <v/>
      </c>
      <c r="AD283" s="110" t="str">
        <f>IFERROR(INDEX('WetLitterbags placem_collection'!$A$3:$A$500,MATCH($A283,'WetLitterbags placem_collection'!$M$4:$M$500,0)),"")</f>
        <v/>
      </c>
      <c r="AE283" s="110" t="str">
        <f>IFERROR(INDEX('WetLitterbags placem_collection'!$A$3:$A$500,MATCH($A283,'WetLitterbags placem_collection'!$Q$4:$Q$500,0)),"")</f>
        <v/>
      </c>
    </row>
    <row r="284" spans="1:31">
      <c r="A284" s="206" t="s">
        <v>1314</v>
      </c>
      <c r="C284" s="201">
        <v>174</v>
      </c>
      <c r="D284" s="201">
        <v>0.42899999999999999</v>
      </c>
      <c r="E284" s="202">
        <v>7.0749000000000004</v>
      </c>
      <c r="F284" s="202">
        <v>0.2029</v>
      </c>
      <c r="G284" s="201">
        <f t="shared" si="24"/>
        <v>7.2778</v>
      </c>
      <c r="H284" s="201">
        <v>7.0926999999999998</v>
      </c>
      <c r="I284" s="201">
        <f t="shared" si="25"/>
        <v>0.18510000000000026</v>
      </c>
      <c r="J284" s="201">
        <f t="shared" si="26"/>
        <v>1.7799999999999733E-2</v>
      </c>
      <c r="K284" s="280">
        <f t="shared" si="27"/>
        <v>8.7727944800392965</v>
      </c>
      <c r="L284" s="201">
        <v>9</v>
      </c>
      <c r="M284" s="207">
        <v>43186.458333333336</v>
      </c>
      <c r="N284" s="207">
        <v>43186.625</v>
      </c>
      <c r="O284" s="197" t="s">
        <v>2550</v>
      </c>
      <c r="P284" s="201"/>
      <c r="AB284" s="110" t="str">
        <f>IFERROR(INDEX('WetLitterbags placem_collection'!$A$3:$A$500,MATCH(A284,'WetLitterbags placem_collection'!$K$4:$K$500,0)),"")</f>
        <v/>
      </c>
      <c r="AC284" s="110">
        <f>IFERROR(INDEX('WetLitterbags placem_collection'!$A$3:$A$500,MATCH($A284,'WetLitterbags placem_collection'!$O$4:$O$500,0)),"")</f>
        <v>173</v>
      </c>
      <c r="AD284" s="110" t="str">
        <f>IFERROR(INDEX('WetLitterbags placem_collection'!$A$3:$A$500,MATCH($A284,'WetLitterbags placem_collection'!$M$4:$M$500,0)),"")</f>
        <v/>
      </c>
      <c r="AE284" s="110" t="str">
        <f>IFERROR(INDEX('WetLitterbags placem_collection'!$A$3:$A$500,MATCH($A284,'WetLitterbags placem_collection'!$Q$4:$Q$500,0)),"")</f>
        <v/>
      </c>
    </row>
    <row r="285" spans="1:31">
      <c r="A285" s="197" t="s">
        <v>1313</v>
      </c>
      <c r="C285" s="198">
        <v>2</v>
      </c>
      <c r="D285" s="197">
        <v>0.38719999999999999</v>
      </c>
      <c r="E285" s="202">
        <v>11.258100000000001</v>
      </c>
      <c r="F285" s="202">
        <v>0.20039999999999999</v>
      </c>
      <c r="G285" s="201">
        <f t="shared" si="24"/>
        <v>11.458500000000001</v>
      </c>
      <c r="H285" s="201">
        <v>11.2744</v>
      </c>
      <c r="I285" s="201">
        <f t="shared" si="25"/>
        <v>0.18410000000000082</v>
      </c>
      <c r="J285" s="201">
        <f t="shared" si="26"/>
        <v>1.6299999999999176E-2</v>
      </c>
      <c r="K285" s="280">
        <f t="shared" si="27"/>
        <v>8.1337325349297291</v>
      </c>
      <c r="L285" s="201">
        <v>17</v>
      </c>
      <c r="M285" s="204">
        <v>43221</v>
      </c>
      <c r="N285" s="204">
        <v>43221</v>
      </c>
      <c r="T285" s="204"/>
      <c r="U285" s="204"/>
      <c r="AB285" s="110" t="str">
        <f>IFERROR(INDEX('WetLitterbags placem_collection'!$A$3:$A$500,MATCH(A285,'WetLitterbags placem_collection'!$K$4:$K$500,0)),"")</f>
        <v/>
      </c>
      <c r="AC285" s="110">
        <f>IFERROR(INDEX('WetLitterbags placem_collection'!$A$3:$A$500,MATCH($A285,'WetLitterbags placem_collection'!$O$4:$O$500,0)),"")</f>
        <v>1</v>
      </c>
      <c r="AD285" s="110" t="str">
        <f>IFERROR(INDEX('WetLitterbags placem_collection'!$A$3:$A$500,MATCH($A285,'WetLitterbags placem_collection'!$M$4:$M$500,0)),"")</f>
        <v/>
      </c>
      <c r="AE285" s="110" t="str">
        <f>IFERROR(INDEX('WetLitterbags placem_collection'!$A$3:$A$500,MATCH($A285,'WetLitterbags placem_collection'!$Q$4:$Q$500,0)),"")</f>
        <v/>
      </c>
    </row>
    <row r="286" spans="1:31">
      <c r="A286" s="206" t="s">
        <v>1312</v>
      </c>
      <c r="C286" s="201">
        <v>106</v>
      </c>
      <c r="D286" s="202">
        <v>0.40279999999999999</v>
      </c>
      <c r="E286" s="202">
        <v>9.7216000000000005</v>
      </c>
      <c r="F286" s="202">
        <v>0.20039999999999999</v>
      </c>
      <c r="G286" s="201">
        <f t="shared" si="24"/>
        <v>9.9220000000000006</v>
      </c>
      <c r="H286" s="201">
        <v>9.7525999999999993</v>
      </c>
      <c r="I286" s="201">
        <f t="shared" si="25"/>
        <v>0.16940000000000133</v>
      </c>
      <c r="J286" s="201">
        <f t="shared" si="26"/>
        <v>3.0999999999998668E-2</v>
      </c>
      <c r="K286" s="280">
        <f t="shared" si="27"/>
        <v>15.46906187624684</v>
      </c>
      <c r="L286" s="201">
        <v>39</v>
      </c>
      <c r="M286" s="203">
        <v>43181.645833333336</v>
      </c>
      <c r="N286" s="203">
        <v>43181.833333333336</v>
      </c>
      <c r="O286" s="201" t="s">
        <v>2556</v>
      </c>
      <c r="P286" s="201"/>
      <c r="AB286" s="110" t="str">
        <f>IFERROR(INDEX('WetLitterbags placem_collection'!$A$3:$A$500,MATCH(A286,'WetLitterbags placem_collection'!$K$4:$K$500,0)),"")</f>
        <v/>
      </c>
      <c r="AC286" s="110">
        <f>IFERROR(INDEX('WetLitterbags placem_collection'!$A$3:$A$500,MATCH($A286,'WetLitterbags placem_collection'!$O$4:$O$500,0)),"")</f>
        <v>105</v>
      </c>
      <c r="AD286" s="110" t="str">
        <f>IFERROR(INDEX('WetLitterbags placem_collection'!$A$3:$A$500,MATCH($A286,'WetLitterbags placem_collection'!$M$4:$M$500,0)),"")</f>
        <v/>
      </c>
      <c r="AE286" s="110" t="str">
        <f>IFERROR(INDEX('WetLitterbags placem_collection'!$A$3:$A$500,MATCH($A286,'WetLitterbags placem_collection'!$Q$4:$Q$500,0)),"")</f>
        <v/>
      </c>
    </row>
    <row r="287" spans="1:31">
      <c r="A287" s="197" t="s">
        <v>1311</v>
      </c>
      <c r="C287" s="198">
        <v>49</v>
      </c>
      <c r="D287" s="201">
        <v>0.65700000000000003</v>
      </c>
      <c r="E287" s="202">
        <v>7.4809999999999999</v>
      </c>
      <c r="F287" s="202">
        <v>0.20380000000000001</v>
      </c>
      <c r="G287" s="201">
        <f t="shared" si="24"/>
        <v>7.6848000000000001</v>
      </c>
      <c r="H287" s="201">
        <v>7.5145999999999997</v>
      </c>
      <c r="I287" s="201">
        <f t="shared" si="25"/>
        <v>0.17020000000000035</v>
      </c>
      <c r="J287" s="201">
        <f t="shared" si="26"/>
        <v>3.3599999999999658E-2</v>
      </c>
      <c r="K287" s="280">
        <f t="shared" si="27"/>
        <v>16.486751717369803</v>
      </c>
      <c r="L287" s="201">
        <v>28</v>
      </c>
      <c r="M287" s="204">
        <v>43213</v>
      </c>
      <c r="N287" s="204">
        <v>43213</v>
      </c>
      <c r="R287" s="197">
        <v>5</v>
      </c>
      <c r="S287" s="197">
        <v>0.61660000000000004</v>
      </c>
      <c r="U287" s="202" t="s">
        <v>1578</v>
      </c>
      <c r="V287" s="197">
        <v>0.94479999999999997</v>
      </c>
      <c r="W287" s="197">
        <f>(V287-$T$175+F285)</f>
        <v>1.1452</v>
      </c>
      <c r="AB287" s="110" t="str">
        <f>IFERROR(INDEX('WetLitterbags placem_collection'!$A$3:$A$500,MATCH(A287,'WetLitterbags placem_collection'!$K$4:$K$500,0)),"")</f>
        <v/>
      </c>
      <c r="AC287" s="110">
        <f>IFERROR(INDEX('WetLitterbags placem_collection'!$A$3:$A$500,MATCH($A287,'WetLitterbags placem_collection'!$O$4:$O$500,0)),"")</f>
        <v>48</v>
      </c>
      <c r="AD287" s="110" t="str">
        <f>IFERROR(INDEX('WetLitterbags placem_collection'!$A$3:$A$500,MATCH($A287,'WetLitterbags placem_collection'!$M$4:$M$500,0)),"")</f>
        <v/>
      </c>
      <c r="AE287" s="110" t="str">
        <f>IFERROR(INDEX('WetLitterbags placem_collection'!$A$3:$A$500,MATCH($A287,'WetLitterbags placem_collection'!$Q$4:$Q$500,0)),"")</f>
        <v/>
      </c>
    </row>
    <row r="288" spans="1:31">
      <c r="A288" s="201" t="s">
        <v>1310</v>
      </c>
      <c r="C288" s="201">
        <v>125</v>
      </c>
      <c r="D288" s="201">
        <v>0.40610000000000002</v>
      </c>
      <c r="E288" s="202">
        <v>7.9610000000000003</v>
      </c>
      <c r="F288" s="202">
        <v>0.2039</v>
      </c>
      <c r="G288" s="201">
        <f t="shared" si="24"/>
        <v>8.1649000000000012</v>
      </c>
      <c r="H288" s="201">
        <v>7.99</v>
      </c>
      <c r="I288" s="201">
        <f t="shared" si="25"/>
        <v>0.17490000000000094</v>
      </c>
      <c r="J288" s="201">
        <f t="shared" si="26"/>
        <v>2.8999999999999054E-2</v>
      </c>
      <c r="K288" s="280">
        <f t="shared" si="27"/>
        <v>14.222658165767069</v>
      </c>
      <c r="L288" s="201">
        <v>15</v>
      </c>
      <c r="M288" s="205">
        <v>43197</v>
      </c>
      <c r="N288" s="205">
        <v>43197</v>
      </c>
      <c r="O288" s="201"/>
      <c r="P288" s="201"/>
      <c r="AB288" s="110" t="str">
        <f>IFERROR(INDEX('WetLitterbags placem_collection'!$A$3:$A$500,MATCH(A288,'WetLitterbags placem_collection'!$K$4:$K$500,0)),"")</f>
        <v/>
      </c>
      <c r="AC288" s="110">
        <f>IFERROR(INDEX('WetLitterbags placem_collection'!$A$3:$A$500,MATCH($A288,'WetLitterbags placem_collection'!$O$4:$O$500,0)),"")</f>
        <v>124</v>
      </c>
      <c r="AD288" s="110" t="str">
        <f>IFERROR(INDEX('WetLitterbags placem_collection'!$A$3:$A$500,MATCH($A288,'WetLitterbags placem_collection'!$M$4:$M$500,0)),"")</f>
        <v/>
      </c>
      <c r="AE288" s="110" t="str">
        <f>IFERROR(INDEX('WetLitterbags placem_collection'!$A$3:$A$500,MATCH($A288,'WetLitterbags placem_collection'!$Q$4:$Q$500,0)),"")</f>
        <v/>
      </c>
    </row>
    <row r="289" spans="1:31">
      <c r="A289" s="197" t="s">
        <v>1309</v>
      </c>
      <c r="C289" s="198">
        <v>97</v>
      </c>
      <c r="D289" s="197">
        <v>0.42520000000000002</v>
      </c>
      <c r="E289" s="201">
        <v>10.4161</v>
      </c>
      <c r="F289" s="202">
        <v>0.20080000000000001</v>
      </c>
      <c r="G289" s="201">
        <f t="shared" si="24"/>
        <v>10.616899999999999</v>
      </c>
      <c r="H289" s="201">
        <v>10.4573</v>
      </c>
      <c r="I289" s="201">
        <f t="shared" si="25"/>
        <v>0.1595999999999993</v>
      </c>
      <c r="J289" s="201">
        <f t="shared" si="26"/>
        <v>4.1200000000000708E-2</v>
      </c>
      <c r="K289" s="280">
        <f t="shared" si="27"/>
        <v>20.517928286852939</v>
      </c>
      <c r="L289" s="201">
        <v>4</v>
      </c>
      <c r="M289" s="204">
        <v>43213</v>
      </c>
      <c r="N289" s="204">
        <v>43213</v>
      </c>
      <c r="AB289" s="110">
        <f>IFERROR(INDEX('WetLitterbags placem_collection'!$A$3:$A$500,MATCH(A289,'WetLitterbags placem_collection'!$K$4:$K$500,0)),"")</f>
        <v>96</v>
      </c>
      <c r="AC289" s="110" t="str">
        <f>IFERROR(INDEX('WetLitterbags placem_collection'!$A$3:$A$500,MATCH($A289,'WetLitterbags placem_collection'!$O$4:$O$500,0)),"")</f>
        <v/>
      </c>
      <c r="AD289" s="110" t="str">
        <f>IFERROR(INDEX('WetLitterbags placem_collection'!$A$3:$A$500,MATCH($A289,'WetLitterbags placem_collection'!$M$4:$M$500,0)),"")</f>
        <v/>
      </c>
      <c r="AE289" s="110" t="str">
        <f>IFERROR(INDEX('WetLitterbags placem_collection'!$A$3:$A$500,MATCH($A289,'WetLitterbags placem_collection'!$Q$4:$Q$500,0)),"")</f>
        <v/>
      </c>
    </row>
    <row r="290" spans="1:31">
      <c r="A290" s="197" t="s">
        <v>1308</v>
      </c>
      <c r="C290" s="198">
        <v>110</v>
      </c>
      <c r="D290" s="197">
        <v>0.42480000000000001</v>
      </c>
      <c r="E290" s="202">
        <v>10.5655</v>
      </c>
      <c r="F290" s="202">
        <v>0.20069999999999999</v>
      </c>
      <c r="G290" s="201">
        <f t="shared" si="24"/>
        <v>10.7662</v>
      </c>
      <c r="H290" s="201">
        <v>10.5921</v>
      </c>
      <c r="I290" s="201">
        <f t="shared" si="25"/>
        <v>0.17409999999999926</v>
      </c>
      <c r="J290" s="201">
        <f t="shared" si="26"/>
        <v>2.6600000000000734E-2</v>
      </c>
      <c r="K290" s="280">
        <f t="shared" si="27"/>
        <v>13.253612356751738</v>
      </c>
      <c r="L290" s="201">
        <v>30</v>
      </c>
      <c r="M290" s="204">
        <v>43213</v>
      </c>
      <c r="N290" s="204">
        <v>43213</v>
      </c>
      <c r="AB290" s="110">
        <f>IFERROR(INDEX('WetLitterbags placem_collection'!$A$3:$A$500,MATCH(A290,'WetLitterbags placem_collection'!$K$4:$K$500,0)),"")</f>
        <v>109</v>
      </c>
      <c r="AC290" s="110" t="str">
        <f>IFERROR(INDEX('WetLitterbags placem_collection'!$A$3:$A$500,MATCH($A290,'WetLitterbags placem_collection'!$O$4:$O$500,0)),"")</f>
        <v/>
      </c>
      <c r="AD290" s="110" t="str">
        <f>IFERROR(INDEX('WetLitterbags placem_collection'!$A$3:$A$500,MATCH($A290,'WetLitterbags placem_collection'!$M$4:$M$500,0)),"")</f>
        <v/>
      </c>
      <c r="AE290" s="110" t="str">
        <f>IFERROR(INDEX('WetLitterbags placem_collection'!$A$3:$A$500,MATCH($A290,'WetLitterbags placem_collection'!$Q$4:$Q$500,0)),"")</f>
        <v/>
      </c>
    </row>
    <row r="291" spans="1:31">
      <c r="A291" s="201" t="s">
        <v>1307</v>
      </c>
      <c r="C291" s="201">
        <v>163</v>
      </c>
      <c r="D291" s="201">
        <v>0.49299999999999999</v>
      </c>
      <c r="E291" s="202">
        <v>11.120900000000001</v>
      </c>
      <c r="F291" s="202">
        <v>0.20039999999999999</v>
      </c>
      <c r="G291" s="201">
        <f t="shared" si="24"/>
        <v>11.321300000000001</v>
      </c>
      <c r="H291" s="201">
        <v>11.1366</v>
      </c>
      <c r="I291" s="201">
        <f t="shared" si="25"/>
        <v>0.1847000000000012</v>
      </c>
      <c r="J291" s="201">
        <f t="shared" si="26"/>
        <v>1.5699999999998798E-2</v>
      </c>
      <c r="K291" s="280">
        <f t="shared" si="27"/>
        <v>7.8343313373247501</v>
      </c>
      <c r="L291" s="201">
        <v>30</v>
      </c>
      <c r="M291" s="207">
        <v>43186.458333333336</v>
      </c>
      <c r="N291" s="207">
        <v>43186.625</v>
      </c>
      <c r="O291" s="197" t="s">
        <v>2550</v>
      </c>
      <c r="P291" s="201"/>
      <c r="AB291" s="110" t="str">
        <f>IFERROR(INDEX('WetLitterbags placem_collection'!$A$3:$A$500,MATCH(A291,'WetLitterbags placem_collection'!$K$4:$K$500,0)),"")</f>
        <v/>
      </c>
      <c r="AC291" s="110">
        <f>IFERROR(INDEX('WetLitterbags placem_collection'!$A$3:$A$500,MATCH($A291,'WetLitterbags placem_collection'!$O$4:$O$500,0)),"")</f>
        <v>162</v>
      </c>
      <c r="AD291" s="110" t="str">
        <f>IFERROR(INDEX('WetLitterbags placem_collection'!$A$3:$A$500,MATCH($A291,'WetLitterbags placem_collection'!$M$4:$M$500,0)),"")</f>
        <v/>
      </c>
      <c r="AE291" s="110" t="str">
        <f>IFERROR(INDEX('WetLitterbags placem_collection'!$A$3:$A$500,MATCH($A291,'WetLitterbags placem_collection'!$Q$4:$Q$500,0)),"")</f>
        <v/>
      </c>
    </row>
    <row r="292" spans="1:31">
      <c r="A292" s="197" t="s">
        <v>1306</v>
      </c>
      <c r="C292" s="198">
        <v>152</v>
      </c>
      <c r="D292" s="197">
        <v>0.44969999999999999</v>
      </c>
      <c r="E292" s="201">
        <v>8.7333999999999996</v>
      </c>
      <c r="F292" s="202">
        <v>0.20399999999999999</v>
      </c>
      <c r="G292" s="201">
        <f t="shared" si="24"/>
        <v>8.9374000000000002</v>
      </c>
      <c r="H292" s="201">
        <v>8.7609999999999992</v>
      </c>
      <c r="I292" s="201">
        <f t="shared" si="25"/>
        <v>0.176400000000001</v>
      </c>
      <c r="J292" s="201">
        <f t="shared" si="26"/>
        <v>2.7599999999998986E-2</v>
      </c>
      <c r="K292" s="280">
        <f t="shared" si="27"/>
        <v>13.529411764705387</v>
      </c>
      <c r="L292" s="201">
        <v>26</v>
      </c>
      <c r="M292" s="204">
        <v>43212</v>
      </c>
      <c r="AB292" s="110" t="str">
        <f>IFERROR(INDEX('WetLitterbags placem_collection'!$A$3:$A$500,MATCH(A292,'WetLitterbags placem_collection'!$K$4:$K$500,0)),"")</f>
        <v/>
      </c>
      <c r="AC292" s="110">
        <f>IFERROR(INDEX('WetLitterbags placem_collection'!$A$3:$A$500,MATCH($A292,'WetLitterbags placem_collection'!$O$4:$O$500,0)),"")</f>
        <v>151</v>
      </c>
      <c r="AD292" s="110" t="str">
        <f>IFERROR(INDEX('WetLitterbags placem_collection'!$A$3:$A$500,MATCH($A292,'WetLitterbags placem_collection'!$M$4:$M$500,0)),"")</f>
        <v/>
      </c>
      <c r="AE292" s="110" t="str">
        <f>IFERROR(INDEX('WetLitterbags placem_collection'!$A$3:$A$500,MATCH($A292,'WetLitterbags placem_collection'!$Q$4:$Q$500,0)),"")</f>
        <v/>
      </c>
    </row>
    <row r="293" spans="1:31">
      <c r="A293" s="201" t="s">
        <v>1305</v>
      </c>
      <c r="C293" s="201">
        <v>135</v>
      </c>
      <c r="D293" s="201">
        <f>0.2029+F293</f>
        <v>0.4073</v>
      </c>
      <c r="E293" s="202">
        <v>8.1356999999999999</v>
      </c>
      <c r="F293" s="202">
        <v>0.2044</v>
      </c>
      <c r="G293" s="201">
        <f t="shared" si="24"/>
        <v>8.3400999999999996</v>
      </c>
      <c r="H293" s="201">
        <v>8.1649999999999991</v>
      </c>
      <c r="I293" s="201">
        <f t="shared" si="25"/>
        <v>0.17510000000000048</v>
      </c>
      <c r="J293" s="201">
        <f t="shared" si="26"/>
        <v>2.9299999999999521E-2</v>
      </c>
      <c r="K293" s="280">
        <f t="shared" si="27"/>
        <v>14.334637964774716</v>
      </c>
      <c r="L293" s="201">
        <v>26</v>
      </c>
      <c r="M293" s="205">
        <v>43174</v>
      </c>
      <c r="N293" s="205">
        <v>43174</v>
      </c>
      <c r="O293" s="201" t="s">
        <v>2556</v>
      </c>
      <c r="P293" s="201" t="s">
        <v>2551</v>
      </c>
      <c r="AB293" s="110">
        <f>IFERROR(INDEX('WetLitterbags placem_collection'!$A$3:$A$500,MATCH(A293,'WetLitterbags placem_collection'!$K$4:$K$500,0)),"")</f>
        <v>134</v>
      </c>
      <c r="AC293" s="110" t="str">
        <f>IFERROR(INDEX('WetLitterbags placem_collection'!$A$3:$A$500,MATCH($A293,'WetLitterbags placem_collection'!$O$4:$O$500,0)),"")</f>
        <v/>
      </c>
      <c r="AD293" s="110" t="str">
        <f>IFERROR(INDEX('WetLitterbags placem_collection'!$A$3:$A$500,MATCH($A293,'WetLitterbags placem_collection'!$M$4:$M$500,0)),"")</f>
        <v/>
      </c>
      <c r="AE293" s="110" t="str">
        <f>IFERROR(INDEX('WetLitterbags placem_collection'!$A$3:$A$500,MATCH($A293,'WetLitterbags placem_collection'!$Q$4:$Q$500,0)),"")</f>
        <v/>
      </c>
    </row>
    <row r="294" spans="1:31">
      <c r="A294" s="197" t="s">
        <v>1304</v>
      </c>
      <c r="C294" s="197">
        <v>131</v>
      </c>
      <c r="D294" s="197">
        <v>0.43230000000000002</v>
      </c>
      <c r="E294" s="197">
        <v>7.5270000000000001</v>
      </c>
      <c r="F294" s="197">
        <v>0.20150000000000001</v>
      </c>
      <c r="G294" s="197">
        <f t="shared" si="24"/>
        <v>7.7285000000000004</v>
      </c>
      <c r="H294" s="197">
        <v>7.5606999999999998</v>
      </c>
      <c r="I294" s="197">
        <f t="shared" si="25"/>
        <v>0.16780000000000062</v>
      </c>
      <c r="J294" s="201">
        <f t="shared" si="26"/>
        <v>3.3699999999999397E-2</v>
      </c>
      <c r="K294" s="280">
        <f t="shared" si="27"/>
        <v>16.72456575682352</v>
      </c>
      <c r="L294" s="197">
        <v>12</v>
      </c>
      <c r="M294" s="197">
        <v>43157.395833333336</v>
      </c>
      <c r="N294" s="197">
        <v>43157.569444444445</v>
      </c>
      <c r="O294" s="197" t="s">
        <v>2550</v>
      </c>
      <c r="AB294" s="110">
        <f>IFERROR(INDEX('WetLitterbags placem_collection'!$A$3:$A$500,MATCH(A294,'WetLitterbags placem_collection'!$K$4:$K$500,0)),"")</f>
        <v>130</v>
      </c>
      <c r="AC294" s="110" t="str">
        <f>IFERROR(INDEX('WetLitterbags placem_collection'!$A$3:$A$500,MATCH($A294,'WetLitterbags placem_collection'!$O$4:$O$500,0)),"")</f>
        <v/>
      </c>
      <c r="AD294" s="110" t="str">
        <f>IFERROR(INDEX('WetLitterbags placem_collection'!$A$3:$A$500,MATCH($A294,'WetLitterbags placem_collection'!$M$4:$M$500,0)),"")</f>
        <v/>
      </c>
      <c r="AE294" s="110" t="str">
        <f>IFERROR(INDEX('WetLitterbags placem_collection'!$A$3:$A$500,MATCH($A294,'WetLitterbags placem_collection'!$Q$4:$Q$500,0)),"")</f>
        <v/>
      </c>
    </row>
    <row r="295" spans="1:31">
      <c r="A295" s="197" t="s">
        <v>1303</v>
      </c>
      <c r="C295" s="197">
        <v>136</v>
      </c>
      <c r="D295" s="197">
        <v>0.40770000000000001</v>
      </c>
      <c r="E295" s="197">
        <v>9.1958000000000002</v>
      </c>
      <c r="F295" s="197">
        <v>0.2059</v>
      </c>
      <c r="G295" s="197">
        <f t="shared" si="24"/>
        <v>9.4016999999999999</v>
      </c>
      <c r="H295" s="197">
        <v>9.2218999999999998</v>
      </c>
      <c r="I295" s="197">
        <f t="shared" si="25"/>
        <v>0.17980000000000018</v>
      </c>
      <c r="J295" s="201">
        <f t="shared" si="26"/>
        <v>2.6099999999999818E-2</v>
      </c>
      <c r="K295" s="280">
        <f t="shared" si="27"/>
        <v>12.676056338028079</v>
      </c>
      <c r="L295" s="197">
        <v>6</v>
      </c>
      <c r="M295" s="197">
        <v>43157.527777777781</v>
      </c>
      <c r="N295" s="197">
        <v>43157.694444444445</v>
      </c>
      <c r="O295" s="197" t="s">
        <v>2556</v>
      </c>
      <c r="AB295" s="110" t="str">
        <f>IFERROR(INDEX('WetLitterbags placem_collection'!$A$3:$A$500,MATCH(A295,'WetLitterbags placem_collection'!$K$4:$K$500,0)),"")</f>
        <v/>
      </c>
      <c r="AC295" s="110">
        <f>IFERROR(INDEX('WetLitterbags placem_collection'!$A$3:$A$500,MATCH($A295,'WetLitterbags placem_collection'!$O$4:$O$500,0)),"")</f>
        <v>135</v>
      </c>
      <c r="AD295" s="110" t="str">
        <f>IFERROR(INDEX('WetLitterbags placem_collection'!$A$3:$A$500,MATCH($A295,'WetLitterbags placem_collection'!$M$4:$M$500,0)),"")</f>
        <v/>
      </c>
      <c r="AE295" s="110" t="str">
        <f>IFERROR(INDEX('WetLitterbags placem_collection'!$A$3:$A$500,MATCH($A295,'WetLitterbags placem_collection'!$Q$4:$Q$500,0)),"")</f>
        <v/>
      </c>
    </row>
    <row r="296" spans="1:31">
      <c r="A296" s="197" t="s">
        <v>1301</v>
      </c>
      <c r="C296" s="197">
        <v>126</v>
      </c>
      <c r="D296" s="197">
        <v>0.46610000000000001</v>
      </c>
      <c r="E296" s="197">
        <v>8.8634000000000004</v>
      </c>
      <c r="F296" s="197">
        <v>0.2009</v>
      </c>
      <c r="G296" s="197">
        <f t="shared" si="24"/>
        <v>9.0643000000000011</v>
      </c>
      <c r="H296" s="197">
        <v>8.8925000000000001</v>
      </c>
      <c r="I296" s="197">
        <f t="shared" si="25"/>
        <v>0.17180000000000106</v>
      </c>
      <c r="J296" s="201">
        <f t="shared" si="26"/>
        <v>2.9099999999998932E-2</v>
      </c>
      <c r="K296" s="280">
        <f t="shared" si="27"/>
        <v>14.484818317570399</v>
      </c>
      <c r="L296" s="197">
        <v>3</v>
      </c>
      <c r="M296" s="197">
        <v>43157.527777777781</v>
      </c>
      <c r="N296" s="197">
        <v>43157.694444444445</v>
      </c>
      <c r="O296" s="197" t="s">
        <v>2556</v>
      </c>
      <c r="AB296" s="110">
        <f>IFERROR(INDEX('WetLitterbags placem_collection'!$A$3:$A$500,MATCH(A296,'WetLitterbags placem_collection'!$K$4:$K$500,0)),"")</f>
        <v>125</v>
      </c>
      <c r="AC296" s="110" t="str">
        <f>IFERROR(INDEX('WetLitterbags placem_collection'!$A$3:$A$500,MATCH($A296,'WetLitterbags placem_collection'!$O$4:$O$500,0)),"")</f>
        <v/>
      </c>
      <c r="AD296" s="110" t="str">
        <f>IFERROR(INDEX('WetLitterbags placem_collection'!$A$3:$A$500,MATCH($A296,'WetLitterbags placem_collection'!$M$4:$M$500,0)),"")</f>
        <v/>
      </c>
      <c r="AE296" s="110" t="str">
        <f>IFERROR(INDEX('WetLitterbags placem_collection'!$A$3:$A$500,MATCH($A296,'WetLitterbags placem_collection'!$Q$4:$Q$500,0)),"")</f>
        <v/>
      </c>
    </row>
    <row r="297" spans="1:31">
      <c r="A297" s="197" t="s">
        <v>1298</v>
      </c>
      <c r="C297" s="198">
        <v>1</v>
      </c>
      <c r="D297" s="197">
        <v>0.29089999999999999</v>
      </c>
      <c r="E297" s="202">
        <v>8.1681000000000008</v>
      </c>
      <c r="F297" s="202">
        <v>0.20300000000000001</v>
      </c>
      <c r="G297" s="201">
        <f t="shared" si="24"/>
        <v>8.3711000000000002</v>
      </c>
      <c r="H297" s="201">
        <v>8.1989999999999998</v>
      </c>
      <c r="I297" s="201">
        <f t="shared" si="25"/>
        <v>0.17210000000000036</v>
      </c>
      <c r="J297" s="201">
        <f t="shared" si="26"/>
        <v>3.089999999999965E-2</v>
      </c>
      <c r="K297" s="280">
        <f t="shared" si="27"/>
        <v>15.221674876847116</v>
      </c>
      <c r="L297" s="201">
        <v>16</v>
      </c>
      <c r="T297" s="204"/>
      <c r="U297" s="204"/>
      <c r="AB297" s="110" t="str">
        <f>IFERROR(INDEX('WetLitterbags placem_collection'!$A$3:$A$500,MATCH(A297,'WetLitterbags placem_collection'!$K$4:$K$500,0)),"")</f>
        <v/>
      </c>
      <c r="AC297" s="110" t="str">
        <f>IFERROR(INDEX('WetLitterbags placem_collection'!$A$3:$A$500,MATCH($A297,'WetLitterbags placem_collection'!$O$4:$O$500,0)),"")</f>
        <v/>
      </c>
      <c r="AD297" s="110" t="str">
        <f>IFERROR(INDEX('WetLitterbags placem_collection'!$A$3:$A$500,MATCH($A297,'WetLitterbags placem_collection'!$M$4:$M$500,0)),"")</f>
        <v/>
      </c>
      <c r="AE297" s="110" t="str">
        <f>IFERROR(INDEX('WetLitterbags placem_collection'!$A$3:$A$500,MATCH($A297,'WetLitterbags placem_collection'!$Q$4:$Q$500,0)),"")</f>
        <v/>
      </c>
    </row>
    <row r="298" spans="1:31">
      <c r="A298" s="197" t="s">
        <v>1297</v>
      </c>
      <c r="C298" s="198">
        <v>203</v>
      </c>
      <c r="D298" s="197">
        <v>0.57879999999999998</v>
      </c>
      <c r="E298" s="201">
        <v>10.1075</v>
      </c>
      <c r="F298" s="202">
        <v>0.1993</v>
      </c>
      <c r="G298" s="201">
        <f t="shared" si="24"/>
        <v>10.306799999999999</v>
      </c>
      <c r="H298" s="201">
        <v>10.126300000000001</v>
      </c>
      <c r="I298" s="201">
        <f t="shared" si="25"/>
        <v>0.18049999999999855</v>
      </c>
      <c r="J298" s="201">
        <f t="shared" si="26"/>
        <v>1.8800000000001454E-2</v>
      </c>
      <c r="K298" s="280">
        <f t="shared" si="27"/>
        <v>9.4330155544412708</v>
      </c>
      <c r="L298" s="201">
        <v>12</v>
      </c>
      <c r="M298" s="204">
        <v>43212</v>
      </c>
      <c r="AB298" s="110" t="str">
        <f>IFERROR(INDEX('WetLitterbags placem_collection'!$A$3:$A$500,MATCH(A298,'WetLitterbags placem_collection'!$K$4:$K$500,0)),"")</f>
        <v/>
      </c>
      <c r="AC298" s="110">
        <f>IFERROR(INDEX('WetLitterbags placem_collection'!$A$3:$A$500,MATCH($A298,'WetLitterbags placem_collection'!$O$4:$O$500,0)),"")</f>
        <v>202</v>
      </c>
      <c r="AD298" s="110" t="str">
        <f>IFERROR(INDEX('WetLitterbags placem_collection'!$A$3:$A$500,MATCH($A298,'WetLitterbags placem_collection'!$M$4:$M$500,0)),"")</f>
        <v/>
      </c>
      <c r="AE298" s="110" t="str">
        <f>IFERROR(INDEX('WetLitterbags placem_collection'!$A$3:$A$500,MATCH($A298,'WetLitterbags placem_collection'!$Q$4:$Q$500,0)),"")</f>
        <v/>
      </c>
    </row>
    <row r="299" spans="1:31">
      <c r="A299" s="197" t="s">
        <v>1296</v>
      </c>
      <c r="C299" s="198">
        <v>196</v>
      </c>
      <c r="D299" s="197">
        <v>0.48659999999999998</v>
      </c>
      <c r="E299" s="201">
        <v>11.106199999999999</v>
      </c>
      <c r="F299" s="202">
        <v>0.20669999999999999</v>
      </c>
      <c r="G299" s="201">
        <f t="shared" si="24"/>
        <v>11.312899999999999</v>
      </c>
      <c r="H299" s="201">
        <v>11.1279</v>
      </c>
      <c r="I299" s="201">
        <f t="shared" si="25"/>
        <v>0.18499999999999872</v>
      </c>
      <c r="J299" s="201">
        <f t="shared" si="26"/>
        <v>2.1700000000001274E-2</v>
      </c>
      <c r="K299" s="280">
        <f t="shared" si="27"/>
        <v>10.498306724722434</v>
      </c>
      <c r="L299" s="201">
        <v>41</v>
      </c>
      <c r="M299" s="204">
        <v>43212</v>
      </c>
      <c r="AB299" s="110">
        <f>IFERROR(INDEX('WetLitterbags placem_collection'!$A$3:$A$500,MATCH(A299,'WetLitterbags placem_collection'!$K$4:$K$500,0)),"")</f>
        <v>195</v>
      </c>
      <c r="AC299" s="110" t="str">
        <f>IFERROR(INDEX('WetLitterbags placem_collection'!$A$3:$A$500,MATCH($A299,'WetLitterbags placem_collection'!$O$4:$O$500,0)),"")</f>
        <v/>
      </c>
      <c r="AD299" s="110" t="str">
        <f>IFERROR(INDEX('WetLitterbags placem_collection'!$A$3:$A$500,MATCH($A299,'WetLitterbags placem_collection'!$M$4:$M$500,0)),"")</f>
        <v/>
      </c>
      <c r="AE299" s="110" t="str">
        <f>IFERROR(INDEX('WetLitterbags placem_collection'!$A$3:$A$500,MATCH($A299,'WetLitterbags placem_collection'!$Q$4:$Q$500,0)),"")</f>
        <v/>
      </c>
    </row>
    <row r="300" spans="1:31">
      <c r="A300" s="206" t="s">
        <v>1295</v>
      </c>
      <c r="C300" s="201">
        <v>216</v>
      </c>
      <c r="D300" s="201">
        <v>0.66800000000000004</v>
      </c>
      <c r="E300" s="201">
        <v>11.023300000000001</v>
      </c>
      <c r="F300" s="202">
        <v>0.2036</v>
      </c>
      <c r="G300" s="201">
        <f t="shared" si="24"/>
        <v>11.226900000000001</v>
      </c>
      <c r="H300" s="201">
        <v>11.0402</v>
      </c>
      <c r="I300" s="201">
        <f t="shared" si="25"/>
        <v>0.18670000000000009</v>
      </c>
      <c r="J300" s="201">
        <f t="shared" si="26"/>
        <v>1.6899999999999915E-2</v>
      </c>
      <c r="K300" s="280">
        <f t="shared" si="27"/>
        <v>8.3005893909626298</v>
      </c>
      <c r="L300" s="201">
        <v>25</v>
      </c>
      <c r="M300" s="205">
        <v>43211</v>
      </c>
      <c r="AB300" s="110">
        <f>IFERROR(INDEX('WetLitterbags placem_collection'!$A$3:$A$500,MATCH(A300,'WetLitterbags placem_collection'!$K$4:$K$500,0)),"")</f>
        <v>215</v>
      </c>
      <c r="AC300" s="110" t="str">
        <f>IFERROR(INDEX('WetLitterbags placem_collection'!$A$3:$A$500,MATCH($A300,'WetLitterbags placem_collection'!$O$4:$O$500,0)),"")</f>
        <v/>
      </c>
      <c r="AD300" s="110" t="str">
        <f>IFERROR(INDEX('WetLitterbags placem_collection'!$A$3:$A$500,MATCH($A300,'WetLitterbags placem_collection'!$M$4:$M$500,0)),"")</f>
        <v/>
      </c>
      <c r="AE300" s="110" t="str">
        <f>IFERROR(INDEX('WetLitterbags placem_collection'!$A$3:$A$500,MATCH($A300,'WetLitterbags placem_collection'!$Q$4:$Q$500,0)),"")</f>
        <v/>
      </c>
    </row>
    <row r="301" spans="1:31">
      <c r="A301" s="206" t="s">
        <v>1294</v>
      </c>
      <c r="C301" s="201">
        <v>134</v>
      </c>
      <c r="D301" s="201">
        <v>0.47770000000000001</v>
      </c>
      <c r="E301" s="202">
        <v>11.258599999999999</v>
      </c>
      <c r="F301" s="202">
        <v>0.20100000000000001</v>
      </c>
      <c r="G301" s="201">
        <f t="shared" si="24"/>
        <v>11.4596</v>
      </c>
      <c r="H301" s="201">
        <v>11.293200000000001</v>
      </c>
      <c r="I301" s="201">
        <f t="shared" si="25"/>
        <v>0.16639999999999944</v>
      </c>
      <c r="J301" s="201">
        <f t="shared" si="26"/>
        <v>3.4600000000000575E-2</v>
      </c>
      <c r="K301" s="280">
        <f t="shared" si="27"/>
        <v>17.213930348258991</v>
      </c>
      <c r="L301" s="201">
        <v>12</v>
      </c>
      <c r="M301" s="205">
        <v>43197</v>
      </c>
      <c r="N301" s="205">
        <v>43197</v>
      </c>
      <c r="O301" s="201"/>
      <c r="P301" s="201"/>
      <c r="AB301" s="110">
        <f>IFERROR(INDEX('WetLitterbags placem_collection'!$A$3:$A$500,MATCH(A301,'WetLitterbags placem_collection'!$K$4:$K$500,0)),"")</f>
        <v>133</v>
      </c>
      <c r="AC301" s="110" t="str">
        <f>IFERROR(INDEX('WetLitterbags placem_collection'!$A$3:$A$500,MATCH($A301,'WetLitterbags placem_collection'!$O$4:$O$500,0)),"")</f>
        <v/>
      </c>
      <c r="AD301" s="110" t="str">
        <f>IFERROR(INDEX('WetLitterbags placem_collection'!$A$3:$A$500,MATCH($A301,'WetLitterbags placem_collection'!$M$4:$M$500,0)),"")</f>
        <v/>
      </c>
      <c r="AE301" s="110" t="str">
        <f>IFERROR(INDEX('WetLitterbags placem_collection'!$A$3:$A$500,MATCH($A301,'WetLitterbags placem_collection'!$Q$4:$Q$500,0)),"")</f>
        <v/>
      </c>
    </row>
    <row r="302" spans="1:31">
      <c r="A302" s="206" t="s">
        <v>1292</v>
      </c>
      <c r="C302" s="201">
        <v>120</v>
      </c>
      <c r="D302" s="201">
        <v>0.44650000000000001</v>
      </c>
      <c r="E302" s="201">
        <v>8.4435000000000002</v>
      </c>
      <c r="F302" s="201">
        <v>0.21010000000000001</v>
      </c>
      <c r="G302" s="201">
        <f t="shared" si="24"/>
        <v>8.6536000000000008</v>
      </c>
      <c r="H302" s="201">
        <v>8.4864999999999995</v>
      </c>
      <c r="I302" s="201">
        <f t="shared" si="25"/>
        <v>0.16710000000000136</v>
      </c>
      <c r="J302" s="201">
        <f t="shared" si="26"/>
        <v>4.299999999999865E-2</v>
      </c>
      <c r="K302" s="280">
        <f t="shared" si="27"/>
        <v>20.466444550213541</v>
      </c>
      <c r="L302" s="201">
        <v>7</v>
      </c>
      <c r="M302" s="205">
        <v>43174</v>
      </c>
      <c r="N302" s="205">
        <v>43174</v>
      </c>
      <c r="O302" s="201" t="s">
        <v>2556</v>
      </c>
      <c r="P302" s="201" t="s">
        <v>2551</v>
      </c>
      <c r="AB302" s="110">
        <f>IFERROR(INDEX('WetLitterbags placem_collection'!$A$3:$A$500,MATCH(A302,'WetLitterbags placem_collection'!$K$4:$K$500,0)),"")</f>
        <v>119</v>
      </c>
      <c r="AC302" s="110" t="str">
        <f>IFERROR(INDEX('WetLitterbags placem_collection'!$A$3:$A$500,MATCH($A302,'WetLitterbags placem_collection'!$O$4:$O$500,0)),"")</f>
        <v/>
      </c>
      <c r="AD302" s="110" t="str">
        <f>IFERROR(INDEX('WetLitterbags placem_collection'!$A$3:$A$500,MATCH($A302,'WetLitterbags placem_collection'!$M$4:$M$500,0)),"")</f>
        <v/>
      </c>
      <c r="AE302" s="110" t="str">
        <f>IFERROR(INDEX('WetLitterbags placem_collection'!$A$3:$A$500,MATCH($A302,'WetLitterbags placem_collection'!$Q$4:$Q$500,0)),"")</f>
        <v/>
      </c>
    </row>
    <row r="303" spans="1:31">
      <c r="A303" s="197" t="s">
        <v>1290</v>
      </c>
      <c r="C303" s="198">
        <v>66</v>
      </c>
      <c r="D303" s="197">
        <v>0.73129999999999995</v>
      </c>
      <c r="E303" s="202">
        <v>11.087400000000001</v>
      </c>
      <c r="F303" s="202">
        <v>0.2051</v>
      </c>
      <c r="G303" s="201">
        <f t="shared" si="24"/>
        <v>11.2925</v>
      </c>
      <c r="H303" s="201">
        <v>11.1129</v>
      </c>
      <c r="I303" s="201">
        <f t="shared" si="25"/>
        <v>0.17960000000000065</v>
      </c>
      <c r="J303" s="201">
        <f t="shared" si="26"/>
        <v>2.5499999999999357E-2</v>
      </c>
      <c r="K303" s="280">
        <f t="shared" si="27"/>
        <v>12.432959531935326</v>
      </c>
      <c r="L303" s="201">
        <v>15</v>
      </c>
      <c r="AB303" s="110" t="str">
        <f>IFERROR(INDEX('WetLitterbags placem_collection'!$A$3:$A$500,MATCH(A303,'WetLitterbags placem_collection'!$K$4:$K$500,0)),"")</f>
        <v/>
      </c>
      <c r="AC303" s="110">
        <f>IFERROR(INDEX('WetLitterbags placem_collection'!$A$3:$A$500,MATCH($A303,'WetLitterbags placem_collection'!$O$4:$O$500,0)),"")</f>
        <v>65</v>
      </c>
      <c r="AD303" s="110" t="str">
        <f>IFERROR(INDEX('WetLitterbags placem_collection'!$A$3:$A$500,MATCH($A303,'WetLitterbags placem_collection'!$M$4:$M$500,0)),"")</f>
        <v/>
      </c>
      <c r="AE303" s="110" t="str">
        <f>IFERROR(INDEX('WetLitterbags placem_collection'!$A$3:$A$500,MATCH($A303,'WetLitterbags placem_collection'!$Q$4:$Q$500,0)),"")</f>
        <v/>
      </c>
    </row>
    <row r="304" spans="1:31">
      <c r="A304" s="206" t="s">
        <v>1289</v>
      </c>
      <c r="C304" s="201">
        <v>214</v>
      </c>
      <c r="D304" s="201">
        <v>0.52159999999999995</v>
      </c>
      <c r="E304" s="201">
        <v>9.0526</v>
      </c>
      <c r="F304" s="201">
        <v>0.20019999999999999</v>
      </c>
      <c r="G304" s="201">
        <f t="shared" si="24"/>
        <v>9.2528000000000006</v>
      </c>
      <c r="H304" s="201">
        <v>9.0746000000000002</v>
      </c>
      <c r="I304" s="201">
        <f t="shared" si="25"/>
        <v>0.17820000000000036</v>
      </c>
      <c r="J304" s="201">
        <f t="shared" si="26"/>
        <v>2.1999999999999631E-2</v>
      </c>
      <c r="K304" s="280">
        <f t="shared" si="27"/>
        <v>10.989010989010806</v>
      </c>
      <c r="L304" s="201">
        <v>8</v>
      </c>
      <c r="M304" s="203">
        <v>43164.628472222219</v>
      </c>
      <c r="N304" s="203">
        <v>43164.795138888891</v>
      </c>
      <c r="O304" s="197" t="s">
        <v>2550</v>
      </c>
      <c r="P304" s="201"/>
      <c r="AB304" s="110">
        <f>IFERROR(INDEX('WetLitterbags placem_collection'!$A$3:$A$500,MATCH(A304,'WetLitterbags placem_collection'!$K$4:$K$500,0)),"")</f>
        <v>213</v>
      </c>
      <c r="AC304" s="110" t="str">
        <f>IFERROR(INDEX('WetLitterbags placem_collection'!$A$3:$A$500,MATCH($A304,'WetLitterbags placem_collection'!$O$4:$O$500,0)),"")</f>
        <v/>
      </c>
      <c r="AD304" s="110" t="str">
        <f>IFERROR(INDEX('WetLitterbags placem_collection'!$A$3:$A$500,MATCH($A304,'WetLitterbags placem_collection'!$M$4:$M$500,0)),"")</f>
        <v/>
      </c>
      <c r="AE304" s="110" t="str">
        <f>IFERROR(INDEX('WetLitterbags placem_collection'!$A$3:$A$500,MATCH($A304,'WetLitterbags placem_collection'!$Q$4:$Q$500,0)),"")</f>
        <v/>
      </c>
    </row>
    <row r="305" spans="1:31">
      <c r="A305" s="197" t="s">
        <v>1288</v>
      </c>
      <c r="C305" s="197">
        <v>146</v>
      </c>
      <c r="D305" s="197">
        <v>0.41170000000000001</v>
      </c>
      <c r="E305" s="197">
        <v>9.0025999999999993</v>
      </c>
      <c r="F305" s="197">
        <v>0.20610000000000001</v>
      </c>
      <c r="G305" s="197">
        <f t="shared" si="24"/>
        <v>9.2086999999999986</v>
      </c>
      <c r="H305" s="197">
        <v>9.0376999999999992</v>
      </c>
      <c r="I305" s="197">
        <f t="shared" si="25"/>
        <v>0.17099999999999937</v>
      </c>
      <c r="J305" s="201">
        <f t="shared" si="26"/>
        <v>3.5100000000000631E-2</v>
      </c>
      <c r="K305" s="280">
        <f t="shared" si="27"/>
        <v>17.030567685589826</v>
      </c>
      <c r="L305" s="197">
        <v>14</v>
      </c>
      <c r="M305" s="197">
        <v>43157.527777777781</v>
      </c>
      <c r="N305" s="197">
        <v>43157.694444444445</v>
      </c>
      <c r="O305" s="197" t="s">
        <v>2556</v>
      </c>
      <c r="AB305" s="110" t="str">
        <f>IFERROR(INDEX('WetLitterbags placem_collection'!$A$3:$A$500,MATCH(A305,'WetLitterbags placem_collection'!$K$4:$K$500,0)),"")</f>
        <v/>
      </c>
      <c r="AC305" s="110">
        <f>IFERROR(INDEX('WetLitterbags placem_collection'!$A$3:$A$500,MATCH($A305,'WetLitterbags placem_collection'!$O$4:$O$500,0)),"")</f>
        <v>145</v>
      </c>
      <c r="AD305" s="110" t="str">
        <f>IFERROR(INDEX('WetLitterbags placem_collection'!$A$3:$A$500,MATCH($A305,'WetLitterbags placem_collection'!$M$4:$M$500,0)),"")</f>
        <v/>
      </c>
      <c r="AE305" s="110" t="str">
        <f>IFERROR(INDEX('WetLitterbags placem_collection'!$A$3:$A$500,MATCH($A305,'WetLitterbags placem_collection'!$Q$4:$Q$500,0)),"")</f>
        <v/>
      </c>
    </row>
    <row r="306" spans="1:31">
      <c r="A306" s="206" t="s">
        <v>1287</v>
      </c>
      <c r="C306" s="197">
        <v>92</v>
      </c>
      <c r="D306" s="201">
        <v>1.1095999999999999</v>
      </c>
      <c r="E306" s="202">
        <v>11.4429</v>
      </c>
      <c r="F306" s="202">
        <v>0.20319999999999999</v>
      </c>
      <c r="G306" s="201">
        <f t="shared" si="24"/>
        <v>11.646100000000001</v>
      </c>
      <c r="H306" s="201">
        <v>11.523099999999999</v>
      </c>
      <c r="I306" s="201">
        <f t="shared" si="25"/>
        <v>0.12300000000000111</v>
      </c>
      <c r="J306" s="201">
        <f t="shared" si="26"/>
        <v>8.0199999999998883E-2</v>
      </c>
      <c r="K306" s="280">
        <f t="shared" si="27"/>
        <v>39.468503937007327</v>
      </c>
      <c r="L306" s="201">
        <v>15</v>
      </c>
      <c r="M306" s="207">
        <v>43186.458333333336</v>
      </c>
      <c r="N306" s="207">
        <v>43186.625</v>
      </c>
      <c r="O306" s="197" t="s">
        <v>2550</v>
      </c>
      <c r="P306" s="201"/>
      <c r="AB306" s="110" t="str">
        <f>IFERROR(INDEX('WetLitterbags placem_collection'!$A$3:$A$500,MATCH(A306,'WetLitterbags placem_collection'!$K$4:$K$500,0)),"")</f>
        <v/>
      </c>
      <c r="AC306" s="110">
        <f>IFERROR(INDEX('WetLitterbags placem_collection'!$A$3:$A$500,MATCH($A306,'WetLitterbags placem_collection'!$O$4:$O$500,0)),"")</f>
        <v>91</v>
      </c>
      <c r="AD306" s="110" t="str">
        <f>IFERROR(INDEX('WetLitterbags placem_collection'!$A$3:$A$500,MATCH($A306,'WetLitterbags placem_collection'!$M$4:$M$500,0)),"")</f>
        <v/>
      </c>
      <c r="AE306" s="110" t="str">
        <f>IFERROR(INDEX('WetLitterbags placem_collection'!$A$3:$A$500,MATCH($A306,'WetLitterbags placem_collection'!$Q$4:$Q$500,0)),"")</f>
        <v/>
      </c>
    </row>
    <row r="307" spans="1:31">
      <c r="A307" s="206" t="s">
        <v>1286</v>
      </c>
      <c r="C307" s="201">
        <v>42</v>
      </c>
      <c r="D307" s="202">
        <v>0.52049999999999996</v>
      </c>
      <c r="E307" s="201">
        <v>8.1195000000000004</v>
      </c>
      <c r="F307" s="202">
        <v>0.2044</v>
      </c>
      <c r="G307" s="201">
        <f t="shared" ref="G307:G370" si="28">E307+F307</f>
        <v>8.3239000000000001</v>
      </c>
      <c r="H307" s="201">
        <v>8.1486000000000001</v>
      </c>
      <c r="I307" s="201">
        <f t="shared" ref="I307:I370" si="29">(G307-H307)</f>
        <v>0.17530000000000001</v>
      </c>
      <c r="J307" s="201">
        <f t="shared" ref="J307:J370" si="30">F307-I307</f>
        <v>2.9099999999999987E-2</v>
      </c>
      <c r="K307" s="280">
        <f t="shared" ref="K307:K370" si="31">(J307/F307)*100</f>
        <v>14.236790606653615</v>
      </c>
      <c r="L307" s="201">
        <v>12</v>
      </c>
      <c r="M307" s="205">
        <v>43206</v>
      </c>
      <c r="N307" s="205">
        <v>43206</v>
      </c>
      <c r="O307" s="201"/>
      <c r="P307" s="201"/>
      <c r="AB307" s="110">
        <f>IFERROR(INDEX('WetLitterbags placem_collection'!$A$3:$A$500,MATCH(A307,'WetLitterbags placem_collection'!$K$4:$K$500,0)),"")</f>
        <v>41</v>
      </c>
      <c r="AC307" s="110" t="str">
        <f>IFERROR(INDEX('WetLitterbags placem_collection'!$A$3:$A$500,MATCH($A307,'WetLitterbags placem_collection'!$O$4:$O$500,0)),"")</f>
        <v/>
      </c>
      <c r="AD307" s="110" t="str">
        <f>IFERROR(INDEX('WetLitterbags placem_collection'!$A$3:$A$500,MATCH($A307,'WetLitterbags placem_collection'!$M$4:$M$500,0)),"")</f>
        <v/>
      </c>
      <c r="AE307" s="110" t="str">
        <f>IFERROR(INDEX('WetLitterbags placem_collection'!$A$3:$A$500,MATCH($A307,'WetLitterbags placem_collection'!$Q$4:$Q$500,0)),"")</f>
        <v/>
      </c>
    </row>
    <row r="308" spans="1:31">
      <c r="A308" s="197" t="s">
        <v>1285</v>
      </c>
      <c r="C308" s="197">
        <v>99</v>
      </c>
      <c r="D308" s="197">
        <v>0.43369999999999997</v>
      </c>
      <c r="E308" s="197">
        <v>19.387699999999999</v>
      </c>
      <c r="F308" s="197">
        <v>0.17510000000000001</v>
      </c>
      <c r="G308" s="197">
        <f t="shared" si="28"/>
        <v>19.562799999999999</v>
      </c>
      <c r="H308" s="197">
        <v>19.417000000000002</v>
      </c>
      <c r="I308" s="197">
        <f t="shared" si="29"/>
        <v>0.14579999999999771</v>
      </c>
      <c r="J308" s="201">
        <f t="shared" si="30"/>
        <v>2.9300000000002296E-2</v>
      </c>
      <c r="K308" s="280">
        <f t="shared" si="31"/>
        <v>16.733295259852824</v>
      </c>
      <c r="L308" s="197">
        <v>5</v>
      </c>
      <c r="M308" s="197" t="s">
        <v>2576</v>
      </c>
      <c r="N308" s="197">
        <v>43153.729166666664</v>
      </c>
      <c r="O308" s="197" t="s">
        <v>2550</v>
      </c>
      <c r="P308" s="197" t="s">
        <v>2575</v>
      </c>
      <c r="AB308" s="110">
        <f>IFERROR(INDEX('WetLitterbags placem_collection'!$A$3:$A$500,MATCH(A308,'WetLitterbags placem_collection'!$K$4:$K$500,0)),"")</f>
        <v>98</v>
      </c>
      <c r="AC308" s="110" t="str">
        <f>IFERROR(INDEX('WetLitterbags placem_collection'!$A$3:$A$500,MATCH($A308,'WetLitterbags placem_collection'!$O$4:$O$500,0)),"")</f>
        <v/>
      </c>
      <c r="AD308" s="110" t="str">
        <f>IFERROR(INDEX('WetLitterbags placem_collection'!$A$3:$A$500,MATCH($A308,'WetLitterbags placem_collection'!$M$4:$M$500,0)),"")</f>
        <v/>
      </c>
      <c r="AE308" s="110" t="str">
        <f>IFERROR(INDEX('WetLitterbags placem_collection'!$A$3:$A$500,MATCH($A308,'WetLitterbags placem_collection'!$Q$4:$Q$500,0)),"")</f>
        <v/>
      </c>
    </row>
    <row r="309" spans="1:31">
      <c r="A309" s="197" t="s">
        <v>1282</v>
      </c>
      <c r="C309" s="197">
        <v>131</v>
      </c>
      <c r="D309" s="197">
        <v>0.42449999999999999</v>
      </c>
      <c r="E309" s="197">
        <v>7.7755999999999998</v>
      </c>
      <c r="F309" s="197">
        <v>0.20480000000000001</v>
      </c>
      <c r="G309" s="197">
        <f t="shared" si="28"/>
        <v>7.9803999999999995</v>
      </c>
      <c r="H309" s="197">
        <v>7.8036000000000003</v>
      </c>
      <c r="I309" s="197">
        <f t="shared" si="29"/>
        <v>0.17679999999999918</v>
      </c>
      <c r="J309" s="201">
        <f t="shared" si="30"/>
        <v>2.800000000000083E-2</v>
      </c>
      <c r="K309" s="280">
        <f t="shared" si="31"/>
        <v>13.671875000000405</v>
      </c>
      <c r="L309" s="197">
        <v>13</v>
      </c>
      <c r="M309" s="197">
        <v>43157.395833333336</v>
      </c>
      <c r="N309" s="197">
        <v>43157.569444444445</v>
      </c>
      <c r="O309" s="197" t="s">
        <v>2550</v>
      </c>
      <c r="AB309" s="110" t="str">
        <f>IFERROR(INDEX('WetLitterbags placem_collection'!$A$3:$A$500,MATCH(A309,'WetLitterbags placem_collection'!$K$4:$K$500,0)),"")</f>
        <v/>
      </c>
      <c r="AC309" s="110">
        <f>IFERROR(INDEX('WetLitterbags placem_collection'!$A$3:$A$500,MATCH($A309,'WetLitterbags placem_collection'!$O$4:$O$500,0)),"")</f>
        <v>130</v>
      </c>
      <c r="AD309" s="110" t="str">
        <f>IFERROR(INDEX('WetLitterbags placem_collection'!$A$3:$A$500,MATCH($A309,'WetLitterbags placem_collection'!$M$4:$M$500,0)),"")</f>
        <v/>
      </c>
      <c r="AE309" s="110" t="str">
        <f>IFERROR(INDEX('WetLitterbags placem_collection'!$A$3:$A$500,MATCH($A309,'WetLitterbags placem_collection'!$Q$4:$Q$500,0)),"")</f>
        <v/>
      </c>
    </row>
    <row r="310" spans="1:31">
      <c r="A310" s="201" t="s">
        <v>1281</v>
      </c>
      <c r="C310" s="201">
        <v>113</v>
      </c>
      <c r="D310" s="201">
        <v>0.50229999999999997</v>
      </c>
      <c r="E310" s="201">
        <v>10.2014</v>
      </c>
      <c r="F310" s="202">
        <v>0.2077</v>
      </c>
      <c r="G310" s="201">
        <f t="shared" si="28"/>
        <v>10.409099999999999</v>
      </c>
      <c r="H310" s="197">
        <v>10.243</v>
      </c>
      <c r="I310" s="197">
        <f t="shared" si="29"/>
        <v>0.16609999999999836</v>
      </c>
      <c r="J310" s="201">
        <f t="shared" si="30"/>
        <v>4.1600000000001636E-2</v>
      </c>
      <c r="K310" s="280">
        <f t="shared" si="31"/>
        <v>20.028887818970457</v>
      </c>
      <c r="L310" s="201">
        <v>19</v>
      </c>
      <c r="M310" s="205">
        <v>43187</v>
      </c>
      <c r="N310" s="205">
        <v>43187</v>
      </c>
      <c r="O310" s="201"/>
      <c r="P310" s="201" t="s">
        <v>2501</v>
      </c>
      <c r="AB310" s="110" t="str">
        <f>IFERROR(INDEX('WetLitterbags placem_collection'!$A$3:$A$500,MATCH(A310,'WetLitterbags placem_collection'!$K$4:$K$500,0)),"")</f>
        <v/>
      </c>
      <c r="AC310" s="110">
        <f>IFERROR(INDEX('WetLitterbags placem_collection'!$A$3:$A$500,MATCH($A310,'WetLitterbags placem_collection'!$O$4:$O$500,0)),"")</f>
        <v>112</v>
      </c>
      <c r="AD310" s="110" t="str">
        <f>IFERROR(INDEX('WetLitterbags placem_collection'!$A$3:$A$500,MATCH($A310,'WetLitterbags placem_collection'!$M$4:$M$500,0)),"")</f>
        <v/>
      </c>
      <c r="AE310" s="110" t="str">
        <f>IFERROR(INDEX('WetLitterbags placem_collection'!$A$3:$A$500,MATCH($A310,'WetLitterbags placem_collection'!$Q$4:$Q$500,0)),"")</f>
        <v/>
      </c>
    </row>
    <row r="311" spans="1:31">
      <c r="A311" s="206" t="s">
        <v>1280</v>
      </c>
      <c r="C311" s="201">
        <v>202</v>
      </c>
      <c r="D311" s="201">
        <v>0.76239999999999997</v>
      </c>
      <c r="E311" s="202">
        <v>10.675000000000001</v>
      </c>
      <c r="F311" s="202">
        <v>0.20960000000000001</v>
      </c>
      <c r="G311" s="201">
        <f t="shared" si="28"/>
        <v>10.884600000000001</v>
      </c>
      <c r="H311" s="201">
        <v>10.742000000000001</v>
      </c>
      <c r="I311" s="201">
        <f t="shared" si="29"/>
        <v>0.14259999999999984</v>
      </c>
      <c r="J311" s="201">
        <f t="shared" si="30"/>
        <v>6.7000000000000171E-2</v>
      </c>
      <c r="K311" s="280">
        <f t="shared" si="31"/>
        <v>31.965648854961913</v>
      </c>
      <c r="L311" s="201">
        <v>20</v>
      </c>
      <c r="M311" s="207">
        <v>43185.385416666664</v>
      </c>
      <c r="N311" s="201"/>
      <c r="O311" s="201" t="s">
        <v>2556</v>
      </c>
      <c r="P311" s="201"/>
      <c r="AB311" s="110" t="str">
        <f>IFERROR(INDEX('WetLitterbags placem_collection'!$A$3:$A$500,MATCH(A311,'WetLitterbags placem_collection'!$K$4:$K$500,0)),"")</f>
        <v/>
      </c>
      <c r="AC311" s="110">
        <f>IFERROR(INDEX('WetLitterbags placem_collection'!$A$3:$A$500,MATCH($A311,'WetLitterbags placem_collection'!$O$4:$O$500,0)),"")</f>
        <v>201</v>
      </c>
      <c r="AD311" s="110" t="str">
        <f>IFERROR(INDEX('WetLitterbags placem_collection'!$A$3:$A$500,MATCH($A311,'WetLitterbags placem_collection'!$M$4:$M$500,0)),"")</f>
        <v/>
      </c>
      <c r="AE311" s="110" t="str">
        <f>IFERROR(INDEX('WetLitterbags placem_collection'!$A$3:$A$500,MATCH($A311,'WetLitterbags placem_collection'!$Q$4:$Q$500,0)),"")</f>
        <v/>
      </c>
    </row>
    <row r="312" spans="1:31">
      <c r="A312" s="202" t="s">
        <v>1278</v>
      </c>
      <c r="C312" s="201">
        <v>175</v>
      </c>
      <c r="D312" s="197">
        <v>0.40219999999999995</v>
      </c>
      <c r="E312" s="201">
        <v>8.3539999999999992</v>
      </c>
      <c r="F312" s="201">
        <v>0.1961</v>
      </c>
      <c r="G312" s="201">
        <f t="shared" si="28"/>
        <v>8.5500999999999987</v>
      </c>
      <c r="H312" s="201">
        <v>8.3718000000000004</v>
      </c>
      <c r="I312" s="201">
        <f t="shared" si="29"/>
        <v>0.17829999999999835</v>
      </c>
      <c r="J312" s="201">
        <f t="shared" si="30"/>
        <v>1.7800000000001648E-2</v>
      </c>
      <c r="K312" s="280">
        <f t="shared" si="31"/>
        <v>9.0770015298325593</v>
      </c>
      <c r="L312" s="201">
        <v>3</v>
      </c>
      <c r="M312" s="205">
        <v>43173</v>
      </c>
      <c r="N312" s="205">
        <v>43173</v>
      </c>
      <c r="O312" s="201" t="s">
        <v>2556</v>
      </c>
      <c r="P312" s="201" t="s">
        <v>2555</v>
      </c>
      <c r="AB312" s="110" t="str">
        <f>IFERROR(INDEX('WetLitterbags placem_collection'!$A$3:$A$500,MATCH(A312,'WetLitterbags placem_collection'!$K$4:$K$500,0)),"")</f>
        <v/>
      </c>
      <c r="AC312" s="110" t="str">
        <f>IFERROR(INDEX('WetLitterbags placem_collection'!$A$3:$A$500,MATCH($A312,'WetLitterbags placem_collection'!$O$4:$O$500,0)),"")</f>
        <v/>
      </c>
      <c r="AD312" s="110" t="str">
        <f>IFERROR(INDEX('WetLitterbags placem_collection'!$A$3:$A$500,MATCH($A312,'WetLitterbags placem_collection'!$M$4:$M$500,0)),"")</f>
        <v/>
      </c>
      <c r="AE312" s="110" t="str">
        <f>IFERROR(INDEX('WetLitterbags placem_collection'!$A$3:$A$500,MATCH($A312,'WetLitterbags placem_collection'!$Q$4:$Q$500,0)),"")</f>
        <v/>
      </c>
    </row>
    <row r="313" spans="1:31">
      <c r="A313" s="206" t="s">
        <v>1277</v>
      </c>
      <c r="C313" s="201">
        <v>202</v>
      </c>
      <c r="D313" s="201">
        <v>0.61229999999999996</v>
      </c>
      <c r="E313" s="202">
        <v>11.172000000000001</v>
      </c>
      <c r="F313" s="202">
        <v>0.2</v>
      </c>
      <c r="G313" s="201">
        <f t="shared" si="28"/>
        <v>11.372</v>
      </c>
      <c r="H313" s="201">
        <v>11.196400000000001</v>
      </c>
      <c r="I313" s="201">
        <f t="shared" si="29"/>
        <v>0.17559999999999931</v>
      </c>
      <c r="J313" s="201">
        <f t="shared" si="30"/>
        <v>2.4400000000000699E-2</v>
      </c>
      <c r="K313" s="280">
        <f t="shared" si="31"/>
        <v>12.200000000000349</v>
      </c>
      <c r="L313" s="201">
        <v>21</v>
      </c>
      <c r="M313" s="207">
        <v>43185.385416666664</v>
      </c>
      <c r="N313" s="201"/>
      <c r="O313" s="201" t="s">
        <v>2556</v>
      </c>
      <c r="P313" s="201"/>
      <c r="AB313" s="110">
        <f>IFERROR(INDEX('WetLitterbags placem_collection'!$A$3:$A$500,MATCH(A313,'WetLitterbags placem_collection'!$K$4:$K$500,0)),"")</f>
        <v>201</v>
      </c>
      <c r="AC313" s="110" t="str">
        <f>IFERROR(INDEX('WetLitterbags placem_collection'!$A$3:$A$500,MATCH($A313,'WetLitterbags placem_collection'!$O$4:$O$500,0)),"")</f>
        <v/>
      </c>
      <c r="AD313" s="110" t="str">
        <f>IFERROR(INDEX('WetLitterbags placem_collection'!$A$3:$A$500,MATCH($A313,'WetLitterbags placem_collection'!$M$4:$M$500,0)),"")</f>
        <v/>
      </c>
      <c r="AE313" s="110" t="str">
        <f>IFERROR(INDEX('WetLitterbags placem_collection'!$A$3:$A$500,MATCH($A313,'WetLitterbags placem_collection'!$Q$4:$Q$500,0)),"")</f>
        <v/>
      </c>
    </row>
    <row r="314" spans="1:31">
      <c r="A314" s="197" t="s">
        <v>1276</v>
      </c>
      <c r="C314" s="197">
        <v>44</v>
      </c>
      <c r="D314" s="197">
        <v>0.6744</v>
      </c>
      <c r="E314" s="197">
        <v>8.7050000000000001</v>
      </c>
      <c r="F314" s="197">
        <v>0.19289999999999999</v>
      </c>
      <c r="G314" s="197">
        <f t="shared" si="28"/>
        <v>8.8978999999999999</v>
      </c>
      <c r="H314" s="197">
        <v>8.7210999999999999</v>
      </c>
      <c r="I314" s="197">
        <f t="shared" si="29"/>
        <v>0.17680000000000007</v>
      </c>
      <c r="J314" s="201">
        <f t="shared" si="30"/>
        <v>1.609999999999992E-2</v>
      </c>
      <c r="K314" s="280">
        <f t="shared" si="31"/>
        <v>8.346293416277824</v>
      </c>
      <c r="L314" s="197">
        <v>31</v>
      </c>
      <c r="M314" s="197" t="s">
        <v>2586</v>
      </c>
      <c r="N314" s="197" t="s">
        <v>2585</v>
      </c>
      <c r="O314" s="197" t="s">
        <v>2550</v>
      </c>
      <c r="AB314" s="110">
        <f>IFERROR(INDEX('WetLitterbags placem_collection'!$A$3:$A$500,MATCH(A314,'WetLitterbags placem_collection'!$K$4:$K$500,0)),"")</f>
        <v>43</v>
      </c>
      <c r="AC314" s="110" t="str">
        <f>IFERROR(INDEX('WetLitterbags placem_collection'!$A$3:$A$500,MATCH($A314,'WetLitterbags placem_collection'!$O$4:$O$500,0)),"")</f>
        <v/>
      </c>
      <c r="AD314" s="110" t="str">
        <f>IFERROR(INDEX('WetLitterbags placem_collection'!$A$3:$A$500,MATCH($A314,'WetLitterbags placem_collection'!$M$4:$M$500,0)),"")</f>
        <v/>
      </c>
      <c r="AE314" s="110" t="str">
        <f>IFERROR(INDEX('WetLitterbags placem_collection'!$A$3:$A$500,MATCH($A314,'WetLitterbags placem_collection'!$Q$4:$Q$500,0)),"")</f>
        <v/>
      </c>
    </row>
    <row r="315" spans="1:31">
      <c r="A315" s="197" t="s">
        <v>1275</v>
      </c>
      <c r="C315" s="197">
        <v>141</v>
      </c>
      <c r="D315" s="197">
        <v>0.50260000000000005</v>
      </c>
      <c r="E315" s="197">
        <v>7.4752999999999998</v>
      </c>
      <c r="F315" s="197">
        <v>0.20319999999999999</v>
      </c>
      <c r="G315" s="197">
        <f t="shared" si="28"/>
        <v>7.6784999999999997</v>
      </c>
      <c r="H315" s="197">
        <v>7.5221</v>
      </c>
      <c r="I315" s="197">
        <f t="shared" si="29"/>
        <v>0.15639999999999965</v>
      </c>
      <c r="J315" s="201">
        <f t="shared" si="30"/>
        <v>4.6800000000000341E-2</v>
      </c>
      <c r="K315" s="280">
        <f t="shared" si="31"/>
        <v>23.031496062992296</v>
      </c>
      <c r="L315" s="197">
        <v>10</v>
      </c>
      <c r="M315" s="197">
        <v>43157.527777777781</v>
      </c>
      <c r="N315" s="197">
        <v>43157.694444444445</v>
      </c>
      <c r="O315" s="197" t="s">
        <v>2556</v>
      </c>
      <c r="AB315" s="110" t="str">
        <f>IFERROR(INDEX('WetLitterbags placem_collection'!$A$3:$A$500,MATCH(A315,'WetLitterbags placem_collection'!$K$4:$K$500,0)),"")</f>
        <v/>
      </c>
      <c r="AC315" s="110">
        <f>IFERROR(INDEX('WetLitterbags placem_collection'!$A$3:$A$500,MATCH($A315,'WetLitterbags placem_collection'!$O$4:$O$500,0)),"")</f>
        <v>140</v>
      </c>
      <c r="AD315" s="110" t="str">
        <f>IFERROR(INDEX('WetLitterbags placem_collection'!$A$3:$A$500,MATCH($A315,'WetLitterbags placem_collection'!$M$4:$M$500,0)),"")</f>
        <v/>
      </c>
      <c r="AE315" s="110" t="str">
        <f>IFERROR(INDEX('WetLitterbags placem_collection'!$A$3:$A$500,MATCH($A315,'WetLitterbags placem_collection'!$Q$4:$Q$500,0)),"")</f>
        <v/>
      </c>
    </row>
    <row r="316" spans="1:31">
      <c r="A316" s="201" t="s">
        <v>1273</v>
      </c>
      <c r="C316" s="201">
        <v>157</v>
      </c>
      <c r="D316" s="201">
        <v>0.51759999999999995</v>
      </c>
      <c r="E316" s="202">
        <v>11.0229</v>
      </c>
      <c r="F316" s="202">
        <v>0.20050000000000001</v>
      </c>
      <c r="G316" s="201">
        <f t="shared" si="28"/>
        <v>11.2234</v>
      </c>
      <c r="H316" s="201">
        <v>11.0542</v>
      </c>
      <c r="I316" s="201">
        <f t="shared" si="29"/>
        <v>0.16920000000000002</v>
      </c>
      <c r="J316" s="201">
        <f t="shared" si="30"/>
        <v>3.1299999999999994E-2</v>
      </c>
      <c r="K316" s="280">
        <f t="shared" si="31"/>
        <v>15.610972568578548</v>
      </c>
      <c r="L316" s="201">
        <v>28</v>
      </c>
      <c r="M316" s="207">
        <v>43185.385416666664</v>
      </c>
      <c r="N316" s="201"/>
      <c r="O316" s="201" t="s">
        <v>2556</v>
      </c>
      <c r="P316" s="201"/>
      <c r="AB316" s="110" t="str">
        <f>IFERROR(INDEX('WetLitterbags placem_collection'!$A$3:$A$500,MATCH(A316,'WetLitterbags placem_collection'!$K$4:$K$500,0)),"")</f>
        <v/>
      </c>
      <c r="AC316" s="110">
        <f>IFERROR(INDEX('WetLitterbags placem_collection'!$A$3:$A$500,MATCH($A316,'WetLitterbags placem_collection'!$O$4:$O$500,0)),"")</f>
        <v>156</v>
      </c>
      <c r="AD316" s="110" t="str">
        <f>IFERROR(INDEX('WetLitterbags placem_collection'!$A$3:$A$500,MATCH($A316,'WetLitterbags placem_collection'!$M$4:$M$500,0)),"")</f>
        <v/>
      </c>
      <c r="AE316" s="110" t="str">
        <f>IFERROR(INDEX('WetLitterbags placem_collection'!$A$3:$A$500,MATCH($A316,'WetLitterbags placem_collection'!$Q$4:$Q$500,0)),"")</f>
        <v/>
      </c>
    </row>
    <row r="317" spans="1:31">
      <c r="A317" s="197" t="s">
        <v>1272</v>
      </c>
      <c r="C317" s="197">
        <v>115</v>
      </c>
      <c r="D317" s="197">
        <v>0.48849999999999999</v>
      </c>
      <c r="E317" s="197">
        <v>11.055099999999999</v>
      </c>
      <c r="F317" s="197">
        <v>0.20469999999999999</v>
      </c>
      <c r="G317" s="197">
        <f t="shared" si="28"/>
        <v>11.2598</v>
      </c>
      <c r="H317" s="197">
        <v>11.109500000000001</v>
      </c>
      <c r="I317" s="197">
        <f t="shared" si="29"/>
        <v>0.15029999999999966</v>
      </c>
      <c r="J317" s="201">
        <f t="shared" si="30"/>
        <v>5.4400000000000337E-2</v>
      </c>
      <c r="K317" s="280">
        <f t="shared" si="31"/>
        <v>26.575476306790591</v>
      </c>
      <c r="L317" s="197">
        <v>2</v>
      </c>
      <c r="M317" s="197">
        <v>43157.395833333336</v>
      </c>
      <c r="N317" s="197">
        <v>43157.569444444445</v>
      </c>
      <c r="O317" s="197" t="s">
        <v>2550</v>
      </c>
      <c r="P317" s="197" t="s">
        <v>2574</v>
      </c>
      <c r="AB317" s="110" t="str">
        <f>IFERROR(INDEX('WetLitterbags placem_collection'!$A$3:$A$500,MATCH(A317,'WetLitterbags placem_collection'!$K$4:$K$500,0)),"")</f>
        <v/>
      </c>
      <c r="AC317" s="110">
        <f>IFERROR(INDEX('WetLitterbags placem_collection'!$A$3:$A$500,MATCH($A317,'WetLitterbags placem_collection'!$O$4:$O$500,0)),"")</f>
        <v>114</v>
      </c>
      <c r="AD317" s="110" t="str">
        <f>IFERROR(INDEX('WetLitterbags placem_collection'!$A$3:$A$500,MATCH($A317,'WetLitterbags placem_collection'!$M$4:$M$500,0)),"")</f>
        <v/>
      </c>
      <c r="AE317" s="110" t="str">
        <f>IFERROR(INDEX('WetLitterbags placem_collection'!$A$3:$A$500,MATCH($A317,'WetLitterbags placem_collection'!$Q$4:$Q$500,0)),"")</f>
        <v/>
      </c>
    </row>
    <row r="318" spans="1:31">
      <c r="A318" s="206" t="s">
        <v>1271</v>
      </c>
      <c r="C318" s="201">
        <v>132</v>
      </c>
      <c r="D318" s="201">
        <v>0.42670000000000002</v>
      </c>
      <c r="E318" s="201">
        <v>9.0214999999999996</v>
      </c>
      <c r="F318" s="201">
        <v>0.2014</v>
      </c>
      <c r="G318" s="201">
        <f t="shared" si="28"/>
        <v>9.2228999999999992</v>
      </c>
      <c r="H318" s="201">
        <v>9.0494000000000003</v>
      </c>
      <c r="I318" s="201">
        <f t="shared" si="29"/>
        <v>0.17349999999999888</v>
      </c>
      <c r="J318" s="201">
        <f t="shared" si="30"/>
        <v>2.7900000000001118E-2</v>
      </c>
      <c r="K318" s="280">
        <f t="shared" si="31"/>
        <v>13.853028798411678</v>
      </c>
      <c r="L318" s="201">
        <v>15</v>
      </c>
      <c r="M318" s="205">
        <v>43188</v>
      </c>
      <c r="N318" s="205">
        <v>43188</v>
      </c>
      <c r="O318" s="201"/>
      <c r="P318" s="201"/>
      <c r="AB318" s="110" t="str">
        <f>IFERROR(INDEX('WetLitterbags placem_collection'!$A$3:$A$500,MATCH(A318,'WetLitterbags placem_collection'!$K$4:$K$500,0)),"")</f>
        <v/>
      </c>
      <c r="AC318" s="110">
        <f>IFERROR(INDEX('WetLitterbags placem_collection'!$A$3:$A$500,MATCH($A318,'WetLitterbags placem_collection'!$O$4:$O$500,0)),"")</f>
        <v>131</v>
      </c>
      <c r="AD318" s="110" t="str">
        <f>IFERROR(INDEX('WetLitterbags placem_collection'!$A$3:$A$500,MATCH($A318,'WetLitterbags placem_collection'!$M$4:$M$500,0)),"")</f>
        <v/>
      </c>
      <c r="AE318" s="110" t="str">
        <f>IFERROR(INDEX('WetLitterbags placem_collection'!$A$3:$A$500,MATCH($A318,'WetLitterbags placem_collection'!$Q$4:$Q$500,0)),"")</f>
        <v/>
      </c>
    </row>
    <row r="319" spans="1:31">
      <c r="A319" s="201" t="s">
        <v>1269</v>
      </c>
      <c r="C319" s="201">
        <v>178</v>
      </c>
      <c r="D319" s="201">
        <v>0.43630000000000002</v>
      </c>
      <c r="E319" s="201">
        <v>9.2057000000000002</v>
      </c>
      <c r="F319" s="201">
        <v>0.20749999999999999</v>
      </c>
      <c r="G319" s="201">
        <f t="shared" si="28"/>
        <v>9.4131999999999998</v>
      </c>
      <c r="H319" s="197">
        <v>9.2203999999999997</v>
      </c>
      <c r="I319" s="197">
        <f t="shared" si="29"/>
        <v>0.19280000000000008</v>
      </c>
      <c r="J319" s="201">
        <f t="shared" si="30"/>
        <v>1.4699999999999908E-2</v>
      </c>
      <c r="K319" s="280">
        <f t="shared" si="31"/>
        <v>7.0843373493975461</v>
      </c>
      <c r="L319" s="201">
        <v>16</v>
      </c>
      <c r="M319" s="207">
        <v>43160.520833333336</v>
      </c>
      <c r="N319" s="207">
        <v>43160.6875</v>
      </c>
      <c r="O319" s="197" t="s">
        <v>2550</v>
      </c>
      <c r="AB319" s="110">
        <f>IFERROR(INDEX('WetLitterbags placem_collection'!$A$3:$A$500,MATCH(A319,'WetLitterbags placem_collection'!$K$4:$K$500,0)),"")</f>
        <v>177</v>
      </c>
      <c r="AC319" s="110" t="str">
        <f>IFERROR(INDEX('WetLitterbags placem_collection'!$A$3:$A$500,MATCH($A319,'WetLitterbags placem_collection'!$O$4:$O$500,0)),"")</f>
        <v/>
      </c>
      <c r="AD319" s="110" t="str">
        <f>IFERROR(INDEX('WetLitterbags placem_collection'!$A$3:$A$500,MATCH($A319,'WetLitterbags placem_collection'!$M$4:$M$500,0)),"")</f>
        <v/>
      </c>
      <c r="AE319" s="110" t="str">
        <f>IFERROR(INDEX('WetLitterbags placem_collection'!$A$3:$A$500,MATCH($A319,'WetLitterbags placem_collection'!$Q$4:$Q$500,0)),"")</f>
        <v/>
      </c>
    </row>
    <row r="320" spans="1:31">
      <c r="A320" s="197" t="s">
        <v>1268</v>
      </c>
      <c r="C320" s="198">
        <v>220</v>
      </c>
      <c r="D320" s="197">
        <v>0.46260000000000001</v>
      </c>
      <c r="E320" s="202">
        <v>8.8605999999999998</v>
      </c>
      <c r="F320" s="202">
        <v>0.20369999999999999</v>
      </c>
      <c r="G320" s="201">
        <f t="shared" si="28"/>
        <v>9.0642999999999994</v>
      </c>
      <c r="H320" s="201">
        <v>8.8831000000000007</v>
      </c>
      <c r="I320" s="201">
        <f t="shared" si="29"/>
        <v>0.1811999999999987</v>
      </c>
      <c r="J320" s="201">
        <f t="shared" si="30"/>
        <v>2.2500000000001297E-2</v>
      </c>
      <c r="K320" s="280">
        <f t="shared" si="31"/>
        <v>11.045655375552919</v>
      </c>
      <c r="L320" s="201">
        <v>2</v>
      </c>
      <c r="AB320" s="110">
        <f>IFERROR(INDEX('WetLitterbags placem_collection'!$A$3:$A$500,MATCH(A320,'WetLitterbags placem_collection'!$K$4:$K$500,0)),"")</f>
        <v>219</v>
      </c>
      <c r="AC320" s="110" t="str">
        <f>IFERROR(INDEX('WetLitterbags placem_collection'!$A$3:$A$500,MATCH($A320,'WetLitterbags placem_collection'!$O$4:$O$500,0)),"")</f>
        <v/>
      </c>
      <c r="AD320" s="110" t="str">
        <f>IFERROR(INDEX('WetLitterbags placem_collection'!$A$3:$A$500,MATCH($A320,'WetLitterbags placem_collection'!$M$4:$M$500,0)),"")</f>
        <v/>
      </c>
      <c r="AE320" s="110" t="str">
        <f>IFERROR(INDEX('WetLitterbags placem_collection'!$A$3:$A$500,MATCH($A320,'WetLitterbags placem_collection'!$Q$4:$Q$500,0)),"")</f>
        <v/>
      </c>
    </row>
    <row r="321" spans="1:31">
      <c r="A321" s="197" t="s">
        <v>1267</v>
      </c>
      <c r="C321" s="198">
        <v>180</v>
      </c>
      <c r="D321" s="201">
        <v>0.4501</v>
      </c>
      <c r="E321" s="202">
        <v>8.0470000000000006</v>
      </c>
      <c r="F321" s="202">
        <v>0.19950000000000001</v>
      </c>
      <c r="G321" s="201">
        <f t="shared" si="28"/>
        <v>8.2465000000000011</v>
      </c>
      <c r="H321" s="201">
        <v>8.0645000000000007</v>
      </c>
      <c r="I321" s="201">
        <f t="shared" si="29"/>
        <v>0.18200000000000038</v>
      </c>
      <c r="J321" s="201">
        <f t="shared" si="30"/>
        <v>1.7499999999999627E-2</v>
      </c>
      <c r="K321" s="280">
        <f t="shared" si="31"/>
        <v>8.7719298245612158</v>
      </c>
      <c r="L321" s="201">
        <v>24</v>
      </c>
      <c r="M321" s="204">
        <v>43213</v>
      </c>
      <c r="N321" s="204">
        <v>43213</v>
      </c>
      <c r="AB321" s="110" t="str">
        <f>IFERROR(INDEX('WetLitterbags placem_collection'!$A$3:$A$500,MATCH(A321,'WetLitterbags placem_collection'!$K$4:$K$500,0)),"")</f>
        <v/>
      </c>
      <c r="AC321" s="110">
        <f>IFERROR(INDEX('WetLitterbags placem_collection'!$A$3:$A$500,MATCH($A321,'WetLitterbags placem_collection'!$O$4:$O$500,0)),"")</f>
        <v>179</v>
      </c>
      <c r="AD321" s="110" t="str">
        <f>IFERROR(INDEX('WetLitterbags placem_collection'!$A$3:$A$500,MATCH($A321,'WetLitterbags placem_collection'!$M$4:$M$500,0)),"")</f>
        <v/>
      </c>
      <c r="AE321" s="110" t="str">
        <f>IFERROR(INDEX('WetLitterbags placem_collection'!$A$3:$A$500,MATCH($A321,'WetLitterbags placem_collection'!$Q$4:$Q$500,0)),"")</f>
        <v/>
      </c>
    </row>
    <row r="322" spans="1:31">
      <c r="A322" s="206" t="s">
        <v>1266</v>
      </c>
      <c r="C322" s="201">
        <v>144</v>
      </c>
      <c r="D322" s="201">
        <v>0.53890000000000005</v>
      </c>
      <c r="E322" s="202">
        <v>9.3190000000000008</v>
      </c>
      <c r="F322" s="202">
        <v>0.2011</v>
      </c>
      <c r="G322" s="201">
        <f t="shared" si="28"/>
        <v>9.5201000000000011</v>
      </c>
      <c r="H322" s="201">
        <v>9.3720999999999997</v>
      </c>
      <c r="I322" s="201">
        <f t="shared" si="29"/>
        <v>0.14800000000000146</v>
      </c>
      <c r="J322" s="201">
        <f t="shared" si="30"/>
        <v>5.3099999999998537E-2</v>
      </c>
      <c r="K322" s="280">
        <f t="shared" si="31"/>
        <v>26.404773744405041</v>
      </c>
      <c r="L322" s="201">
        <v>4</v>
      </c>
      <c r="M322" s="205">
        <v>43197</v>
      </c>
      <c r="N322" s="205">
        <v>43197</v>
      </c>
      <c r="O322" s="201"/>
      <c r="P322" s="201"/>
      <c r="AB322" s="110">
        <f>IFERROR(INDEX('WetLitterbags placem_collection'!$A$3:$A$500,MATCH(A322,'WetLitterbags placem_collection'!$K$4:$K$500,0)),"")</f>
        <v>143</v>
      </c>
      <c r="AC322" s="110" t="str">
        <f>IFERROR(INDEX('WetLitterbags placem_collection'!$A$3:$A$500,MATCH($A322,'WetLitterbags placem_collection'!$O$4:$O$500,0)),"")</f>
        <v/>
      </c>
      <c r="AD322" s="110" t="str">
        <f>IFERROR(INDEX('WetLitterbags placem_collection'!$A$3:$A$500,MATCH($A322,'WetLitterbags placem_collection'!$M$4:$M$500,0)),"")</f>
        <v/>
      </c>
      <c r="AE322" s="110" t="str">
        <f>IFERROR(INDEX('WetLitterbags placem_collection'!$A$3:$A$500,MATCH($A322,'WetLitterbags placem_collection'!$Q$4:$Q$500,0)),"")</f>
        <v/>
      </c>
    </row>
    <row r="323" spans="1:31">
      <c r="A323" s="206" t="s">
        <v>1265</v>
      </c>
      <c r="C323" s="201">
        <v>198</v>
      </c>
      <c r="D323" s="201">
        <v>0.46010000000000001</v>
      </c>
      <c r="E323" s="201">
        <v>8.2189999999999994</v>
      </c>
      <c r="F323" s="201">
        <v>0.2006</v>
      </c>
      <c r="G323" s="201">
        <f t="shared" si="28"/>
        <v>8.4195999999999991</v>
      </c>
      <c r="H323" s="201">
        <v>8.2378</v>
      </c>
      <c r="I323" s="201">
        <f t="shared" si="29"/>
        <v>0.18179999999999907</v>
      </c>
      <c r="J323" s="201">
        <f t="shared" si="30"/>
        <v>1.8800000000000927E-2</v>
      </c>
      <c r="K323" s="280">
        <f t="shared" si="31"/>
        <v>9.3718843469595843</v>
      </c>
      <c r="L323" s="201">
        <v>24</v>
      </c>
      <c r="M323" s="203">
        <v>43164.628472222219</v>
      </c>
      <c r="N323" s="203">
        <v>43164.795138888891</v>
      </c>
      <c r="O323" s="197" t="s">
        <v>2550</v>
      </c>
      <c r="P323" s="201"/>
      <c r="AB323" s="110">
        <f>IFERROR(INDEX('WetLitterbags placem_collection'!$A$3:$A$500,MATCH(A323,'WetLitterbags placem_collection'!$K$4:$K$500,0)),"")</f>
        <v>197</v>
      </c>
      <c r="AC323" s="110" t="str">
        <f>IFERROR(INDEX('WetLitterbags placem_collection'!$A$3:$A$500,MATCH($A323,'WetLitterbags placem_collection'!$O$4:$O$500,0)),"")</f>
        <v/>
      </c>
      <c r="AD323" s="110" t="str">
        <f>IFERROR(INDEX('WetLitterbags placem_collection'!$A$3:$A$500,MATCH($A323,'WetLitterbags placem_collection'!$M$4:$M$500,0)),"")</f>
        <v/>
      </c>
      <c r="AE323" s="110" t="str">
        <f>IFERROR(INDEX('WetLitterbags placem_collection'!$A$3:$A$500,MATCH($A323,'WetLitterbags placem_collection'!$Q$4:$Q$500,0)),"")</f>
        <v/>
      </c>
    </row>
    <row r="324" spans="1:31">
      <c r="A324" s="206" t="s">
        <v>1264</v>
      </c>
      <c r="C324" s="201">
        <v>212</v>
      </c>
      <c r="D324" s="201">
        <v>0.64780000000000004</v>
      </c>
      <c r="E324" s="201">
        <v>7.1905999999999999</v>
      </c>
      <c r="F324" s="201">
        <v>0.19969999999999999</v>
      </c>
      <c r="G324" s="201">
        <f t="shared" si="28"/>
        <v>7.3902999999999999</v>
      </c>
      <c r="H324" s="201">
        <v>7.2156000000000002</v>
      </c>
      <c r="I324" s="201">
        <f t="shared" si="29"/>
        <v>0.17469999999999963</v>
      </c>
      <c r="J324" s="201">
        <f t="shared" si="30"/>
        <v>2.5000000000000355E-2</v>
      </c>
      <c r="K324" s="280">
        <f t="shared" si="31"/>
        <v>12.518778167251055</v>
      </c>
      <c r="L324" s="201">
        <v>4</v>
      </c>
      <c r="M324" s="203">
        <v>43171.520833333336</v>
      </c>
      <c r="N324" s="203">
        <v>43171.6875</v>
      </c>
      <c r="O324" s="197" t="s">
        <v>2550</v>
      </c>
      <c r="P324" s="201"/>
      <c r="AB324" s="110">
        <f>IFERROR(INDEX('WetLitterbags placem_collection'!$A$3:$A$500,MATCH(A324,'WetLitterbags placem_collection'!$K$4:$K$500,0)),"")</f>
        <v>211</v>
      </c>
      <c r="AC324" s="110" t="str">
        <f>IFERROR(INDEX('WetLitterbags placem_collection'!$A$3:$A$500,MATCH($A324,'WetLitterbags placem_collection'!$O$4:$O$500,0)),"")</f>
        <v/>
      </c>
      <c r="AD324" s="110" t="str">
        <f>IFERROR(INDEX('WetLitterbags placem_collection'!$A$3:$A$500,MATCH($A324,'WetLitterbags placem_collection'!$M$4:$M$500,0)),"")</f>
        <v/>
      </c>
      <c r="AE324" s="110" t="str">
        <f>IFERROR(INDEX('WetLitterbags placem_collection'!$A$3:$A$500,MATCH($A324,'WetLitterbags placem_collection'!$Q$4:$Q$500,0)),"")</f>
        <v/>
      </c>
    </row>
    <row r="325" spans="1:31">
      <c r="A325" s="206" t="s">
        <v>1263</v>
      </c>
      <c r="C325" s="201">
        <v>140</v>
      </c>
      <c r="D325" s="201">
        <v>0.47910000000000003</v>
      </c>
      <c r="E325" s="201">
        <v>8.7053999999999991</v>
      </c>
      <c r="F325" s="201">
        <v>0.19919999999999999</v>
      </c>
      <c r="G325" s="201">
        <f t="shared" si="28"/>
        <v>8.9045999999999985</v>
      </c>
      <c r="H325" s="201">
        <v>8.7354000000000003</v>
      </c>
      <c r="I325" s="201">
        <f t="shared" si="29"/>
        <v>0.16919999999999824</v>
      </c>
      <c r="J325" s="201">
        <f t="shared" si="30"/>
        <v>3.0000000000001747E-2</v>
      </c>
      <c r="K325" s="280">
        <f t="shared" si="31"/>
        <v>15.0602409638563</v>
      </c>
      <c r="L325" s="201">
        <v>4</v>
      </c>
      <c r="M325" s="203">
        <v>43164.628472222219</v>
      </c>
      <c r="N325" s="203">
        <v>43164.795138888891</v>
      </c>
      <c r="O325" s="197" t="s">
        <v>2550</v>
      </c>
      <c r="P325" s="201"/>
      <c r="AB325" s="110">
        <f>IFERROR(INDEX('WetLitterbags placem_collection'!$A$3:$A$500,MATCH(A325,'WetLitterbags placem_collection'!$K$4:$K$500,0)),"")</f>
        <v>139</v>
      </c>
      <c r="AC325" s="110" t="str">
        <f>IFERROR(INDEX('WetLitterbags placem_collection'!$A$3:$A$500,MATCH($A325,'WetLitterbags placem_collection'!$O$4:$O$500,0)),"")</f>
        <v/>
      </c>
      <c r="AD325" s="110" t="str">
        <f>IFERROR(INDEX('WetLitterbags placem_collection'!$A$3:$A$500,MATCH($A325,'WetLitterbags placem_collection'!$M$4:$M$500,0)),"")</f>
        <v/>
      </c>
      <c r="AE325" s="110" t="str">
        <f>IFERROR(INDEX('WetLitterbags placem_collection'!$A$3:$A$500,MATCH($A325,'WetLitterbags placem_collection'!$Q$4:$Q$500,0)),"")</f>
        <v/>
      </c>
    </row>
    <row r="326" spans="1:31">
      <c r="A326" s="202" t="s">
        <v>1261</v>
      </c>
      <c r="C326" s="201">
        <v>117</v>
      </c>
      <c r="D326" s="201">
        <v>0.67699999999999994</v>
      </c>
      <c r="E326" s="201">
        <v>8.0625999999999998</v>
      </c>
      <c r="F326" s="201">
        <v>0.2006</v>
      </c>
      <c r="G326" s="201">
        <f t="shared" si="28"/>
        <v>8.2631999999999994</v>
      </c>
      <c r="H326" s="201">
        <v>8.1191999999999993</v>
      </c>
      <c r="I326" s="201">
        <f t="shared" si="29"/>
        <v>0.14400000000000013</v>
      </c>
      <c r="J326" s="201">
        <f t="shared" si="30"/>
        <v>5.6599999999999873E-2</v>
      </c>
      <c r="K326" s="280">
        <f t="shared" si="31"/>
        <v>28.215353938185377</v>
      </c>
      <c r="L326" s="201">
        <v>32</v>
      </c>
      <c r="M326" s="205">
        <v>43173</v>
      </c>
      <c r="N326" s="205">
        <v>43173</v>
      </c>
      <c r="O326" s="201" t="s">
        <v>2556</v>
      </c>
      <c r="P326" s="201" t="s">
        <v>2555</v>
      </c>
      <c r="AB326" s="110">
        <f>IFERROR(INDEX('WetLitterbags placem_collection'!$A$3:$A$500,MATCH(A326,'WetLitterbags placem_collection'!$K$4:$K$500,0)),"")</f>
        <v>116</v>
      </c>
      <c r="AC326" s="110" t="str">
        <f>IFERROR(INDEX('WetLitterbags placem_collection'!$A$3:$A$500,MATCH($A326,'WetLitterbags placem_collection'!$O$4:$O$500,0)),"")</f>
        <v/>
      </c>
      <c r="AD326" s="110" t="str">
        <f>IFERROR(INDEX('WetLitterbags placem_collection'!$A$3:$A$500,MATCH($A326,'WetLitterbags placem_collection'!$M$4:$M$500,0)),"")</f>
        <v/>
      </c>
      <c r="AE326" s="110" t="str">
        <f>IFERROR(INDEX('WetLitterbags placem_collection'!$A$3:$A$500,MATCH($A326,'WetLitterbags placem_collection'!$Q$4:$Q$500,0)),"")</f>
        <v/>
      </c>
    </row>
    <row r="327" spans="1:31">
      <c r="A327" s="206" t="s">
        <v>1259</v>
      </c>
      <c r="C327" s="201">
        <v>118</v>
      </c>
      <c r="D327" s="202">
        <v>0.46929999999999999</v>
      </c>
      <c r="E327" s="202">
        <v>7.7736999999999998</v>
      </c>
      <c r="F327" s="202">
        <v>0.20050000000000001</v>
      </c>
      <c r="G327" s="201">
        <f t="shared" si="28"/>
        <v>7.9741999999999997</v>
      </c>
      <c r="H327" s="201">
        <v>7.7986000000000004</v>
      </c>
      <c r="I327" s="201">
        <f t="shared" si="29"/>
        <v>0.17559999999999931</v>
      </c>
      <c r="J327" s="201">
        <f t="shared" si="30"/>
        <v>2.4900000000000699E-2</v>
      </c>
      <c r="K327" s="280">
        <f t="shared" si="31"/>
        <v>12.418952618454213</v>
      </c>
      <c r="L327" s="201">
        <v>19</v>
      </c>
      <c r="N327" s="201"/>
      <c r="O327" s="201"/>
      <c r="P327" s="201"/>
      <c r="AB327" s="110" t="str">
        <f>IFERROR(INDEX('WetLitterbags placem_collection'!$A$3:$A$500,MATCH(A327,'WetLitterbags placem_collection'!$K$4:$K$500,0)),"")</f>
        <v/>
      </c>
      <c r="AC327" s="110">
        <f>IFERROR(INDEX('WetLitterbags placem_collection'!$A$3:$A$500,MATCH($A327,'WetLitterbags placem_collection'!$O$4:$O$500,0)),"")</f>
        <v>117</v>
      </c>
      <c r="AD327" s="110" t="str">
        <f>IFERROR(INDEX('WetLitterbags placem_collection'!$A$3:$A$500,MATCH($A327,'WetLitterbags placem_collection'!$M$4:$M$500,0)),"")</f>
        <v/>
      </c>
      <c r="AE327" s="110" t="str">
        <f>IFERROR(INDEX('WetLitterbags placem_collection'!$A$3:$A$500,MATCH($A327,'WetLitterbags placem_collection'!$Q$4:$Q$500,0)),"")</f>
        <v/>
      </c>
    </row>
    <row r="328" spans="1:31">
      <c r="A328" s="201" t="s">
        <v>1257</v>
      </c>
      <c r="C328" s="201">
        <v>125</v>
      </c>
      <c r="D328" s="201">
        <v>0.58720000000000006</v>
      </c>
      <c r="E328" s="202">
        <v>7.0933000000000002</v>
      </c>
      <c r="F328" s="202">
        <v>0.20130000000000001</v>
      </c>
      <c r="G328" s="201">
        <f t="shared" si="28"/>
        <v>7.2946</v>
      </c>
      <c r="H328" s="201">
        <v>7.1494999999999997</v>
      </c>
      <c r="I328" s="201">
        <f t="shared" si="29"/>
        <v>0.14510000000000023</v>
      </c>
      <c r="J328" s="201">
        <f t="shared" si="30"/>
        <v>5.6199999999999778E-2</v>
      </c>
      <c r="K328" s="280">
        <f t="shared" si="31"/>
        <v>27.918529557873711</v>
      </c>
      <c r="L328" s="201">
        <v>16</v>
      </c>
      <c r="M328" s="205">
        <v>43197</v>
      </c>
      <c r="N328" s="205">
        <v>43197</v>
      </c>
      <c r="O328" s="201"/>
      <c r="P328" s="201"/>
      <c r="AB328" s="110">
        <f>IFERROR(INDEX('WetLitterbags placem_collection'!$A$3:$A$500,MATCH(A328,'WetLitterbags placem_collection'!$K$4:$K$500,0)),"")</f>
        <v>124</v>
      </c>
      <c r="AC328" s="110" t="str">
        <f>IFERROR(INDEX('WetLitterbags placem_collection'!$A$3:$A$500,MATCH($A328,'WetLitterbags placem_collection'!$O$4:$O$500,0)),"")</f>
        <v/>
      </c>
      <c r="AD328" s="110" t="str">
        <f>IFERROR(INDEX('WetLitterbags placem_collection'!$A$3:$A$500,MATCH($A328,'WetLitterbags placem_collection'!$M$4:$M$500,0)),"")</f>
        <v/>
      </c>
      <c r="AE328" s="110" t="str">
        <f>IFERROR(INDEX('WetLitterbags placem_collection'!$A$3:$A$500,MATCH($A328,'WetLitterbags placem_collection'!$Q$4:$Q$500,0)),"")</f>
        <v/>
      </c>
    </row>
    <row r="329" spans="1:31">
      <c r="A329" s="201" t="s">
        <v>1255</v>
      </c>
      <c r="C329" s="201">
        <v>217</v>
      </c>
      <c r="D329" s="201">
        <v>0.57120000000000004</v>
      </c>
      <c r="E329" s="201">
        <v>7.9939999999999998</v>
      </c>
      <c r="F329" s="202">
        <v>0.2056</v>
      </c>
      <c r="G329" s="201">
        <f t="shared" si="28"/>
        <v>8.1996000000000002</v>
      </c>
      <c r="H329" s="201">
        <v>8.0124999999999993</v>
      </c>
      <c r="I329" s="201">
        <f t="shared" si="29"/>
        <v>0.18710000000000093</v>
      </c>
      <c r="J329" s="201">
        <f t="shared" si="30"/>
        <v>1.8499999999999073E-2</v>
      </c>
      <c r="K329" s="280">
        <f t="shared" si="31"/>
        <v>8.99805447470772</v>
      </c>
      <c r="L329" s="201">
        <v>6</v>
      </c>
      <c r="M329" s="205">
        <v>43211</v>
      </c>
      <c r="N329" s="201"/>
      <c r="O329" s="201"/>
      <c r="P329" s="201"/>
      <c r="AB329" s="110">
        <f>IFERROR(INDEX('WetLitterbags placem_collection'!$A$3:$A$500,MATCH(A329,'WetLitterbags placem_collection'!$K$4:$K$500,0)),"")</f>
        <v>216</v>
      </c>
      <c r="AC329" s="110" t="str">
        <f>IFERROR(INDEX('WetLitterbags placem_collection'!$A$3:$A$500,MATCH($A329,'WetLitterbags placem_collection'!$O$4:$O$500,0)),"")</f>
        <v/>
      </c>
      <c r="AD329" s="110" t="str">
        <f>IFERROR(INDEX('WetLitterbags placem_collection'!$A$3:$A$500,MATCH($A329,'WetLitterbags placem_collection'!$M$4:$M$500,0)),"")</f>
        <v/>
      </c>
      <c r="AE329" s="110" t="str">
        <f>IFERROR(INDEX('WetLitterbags placem_collection'!$A$3:$A$500,MATCH($A329,'WetLitterbags placem_collection'!$Q$4:$Q$500,0)),"")</f>
        <v/>
      </c>
    </row>
    <row r="330" spans="1:31">
      <c r="A330" s="202" t="s">
        <v>1254</v>
      </c>
      <c r="C330" s="201">
        <v>211</v>
      </c>
      <c r="D330" s="201">
        <v>0.66139999999999988</v>
      </c>
      <c r="E330" s="201">
        <v>8.7333999999999996</v>
      </c>
      <c r="F330" s="201">
        <v>0.2026</v>
      </c>
      <c r="G330" s="201">
        <f t="shared" si="28"/>
        <v>8.9359999999999999</v>
      </c>
      <c r="H330" s="201">
        <v>8.8157999999999994</v>
      </c>
      <c r="I330" s="201">
        <f t="shared" si="29"/>
        <v>0.12020000000000053</v>
      </c>
      <c r="J330" s="201">
        <f t="shared" si="30"/>
        <v>8.2399999999999474E-2</v>
      </c>
      <c r="K330" s="280">
        <f t="shared" si="31"/>
        <v>40.67127344521198</v>
      </c>
      <c r="L330" s="201">
        <v>15</v>
      </c>
      <c r="M330" s="205">
        <v>43173</v>
      </c>
      <c r="N330" s="205">
        <v>43173</v>
      </c>
      <c r="O330" s="201" t="s">
        <v>2556</v>
      </c>
      <c r="P330" s="201" t="s">
        <v>2555</v>
      </c>
      <c r="AB330" s="110" t="str">
        <f>IFERROR(INDEX('WetLitterbags placem_collection'!$A$3:$A$500,MATCH(A330,'WetLitterbags placem_collection'!$K$4:$K$500,0)),"")</f>
        <v/>
      </c>
      <c r="AC330" s="110">
        <f>IFERROR(INDEX('WetLitterbags placem_collection'!$A$3:$A$500,MATCH($A330,'WetLitterbags placem_collection'!$O$4:$O$500,0)),"")</f>
        <v>210</v>
      </c>
      <c r="AD330" s="110" t="str">
        <f>IFERROR(INDEX('WetLitterbags placem_collection'!$A$3:$A$500,MATCH($A330,'WetLitterbags placem_collection'!$M$4:$M$500,0)),"")</f>
        <v/>
      </c>
      <c r="AE330" s="110" t="str">
        <f>IFERROR(INDEX('WetLitterbags placem_collection'!$A$3:$A$500,MATCH($A330,'WetLitterbags placem_collection'!$Q$4:$Q$500,0)),"")</f>
        <v/>
      </c>
    </row>
    <row r="331" spans="1:31">
      <c r="A331" s="201" t="s">
        <v>1252</v>
      </c>
      <c r="C331" s="201">
        <v>139</v>
      </c>
      <c r="D331" s="201">
        <v>0.4768</v>
      </c>
      <c r="E331" s="202">
        <v>7.4809999999999999</v>
      </c>
      <c r="F331" s="202">
        <v>0.20300000000000001</v>
      </c>
      <c r="G331" s="201">
        <f t="shared" si="28"/>
        <v>7.6840000000000002</v>
      </c>
      <c r="H331" s="201">
        <v>7.5209999999999999</v>
      </c>
      <c r="I331" s="201">
        <f t="shared" si="29"/>
        <v>0.16300000000000026</v>
      </c>
      <c r="J331" s="201">
        <f t="shared" si="30"/>
        <v>3.9999999999999758E-2</v>
      </c>
      <c r="K331" s="280">
        <f t="shared" si="31"/>
        <v>19.704433497536826</v>
      </c>
      <c r="L331" s="201">
        <v>8</v>
      </c>
      <c r="M331" s="205">
        <v>43199</v>
      </c>
      <c r="N331" s="205">
        <v>43199</v>
      </c>
      <c r="O331" s="201"/>
      <c r="P331" s="201" t="s">
        <v>2571</v>
      </c>
      <c r="AB331" s="110">
        <f>IFERROR(INDEX('WetLitterbags placem_collection'!$A$3:$A$500,MATCH(A331,'WetLitterbags placem_collection'!$K$4:$K$500,0)),"")</f>
        <v>138</v>
      </c>
      <c r="AC331" s="110" t="str">
        <f>IFERROR(INDEX('WetLitterbags placem_collection'!$A$3:$A$500,MATCH($A331,'WetLitterbags placem_collection'!$O$4:$O$500,0)),"")</f>
        <v/>
      </c>
      <c r="AD331" s="110" t="str">
        <f>IFERROR(INDEX('WetLitterbags placem_collection'!$A$3:$A$500,MATCH($A331,'WetLitterbags placem_collection'!$M$4:$M$500,0)),"")</f>
        <v/>
      </c>
      <c r="AE331" s="110" t="str">
        <f>IFERROR(INDEX('WetLitterbags placem_collection'!$A$3:$A$500,MATCH($A331,'WetLitterbags placem_collection'!$Q$4:$Q$500,0)),"")</f>
        <v/>
      </c>
    </row>
    <row r="332" spans="1:31">
      <c r="A332" s="197" t="s">
        <v>1251</v>
      </c>
      <c r="C332" s="197">
        <v>133</v>
      </c>
      <c r="D332" s="197">
        <v>0.43490000000000001</v>
      </c>
      <c r="E332" s="197">
        <v>8.1328999999999994</v>
      </c>
      <c r="F332" s="197">
        <v>0.20250000000000001</v>
      </c>
      <c r="G332" s="197">
        <f t="shared" si="28"/>
        <v>8.3353999999999999</v>
      </c>
      <c r="H332" s="197">
        <v>8.1613000000000007</v>
      </c>
      <c r="I332" s="197">
        <f t="shared" si="29"/>
        <v>0.17409999999999926</v>
      </c>
      <c r="J332" s="201">
        <f t="shared" si="30"/>
        <v>2.8400000000000758E-2</v>
      </c>
      <c r="K332" s="280">
        <f t="shared" si="31"/>
        <v>14.024691358025066</v>
      </c>
      <c r="L332" s="197">
        <v>16</v>
      </c>
      <c r="M332" s="197">
        <v>43157.395833333336</v>
      </c>
      <c r="N332" s="197">
        <v>43157.569444444445</v>
      </c>
      <c r="O332" s="197" t="s">
        <v>2550</v>
      </c>
      <c r="AB332" s="110" t="str">
        <f>IFERROR(INDEX('WetLitterbags placem_collection'!$A$3:$A$500,MATCH(A332,'WetLitterbags placem_collection'!$K$4:$K$500,0)),"")</f>
        <v/>
      </c>
      <c r="AC332" s="110">
        <f>IFERROR(INDEX('WetLitterbags placem_collection'!$A$3:$A$500,MATCH($A332,'WetLitterbags placem_collection'!$O$4:$O$500,0)),"")</f>
        <v>132</v>
      </c>
      <c r="AD332" s="110" t="str">
        <f>IFERROR(INDEX('WetLitterbags placem_collection'!$A$3:$A$500,MATCH($A332,'WetLitterbags placem_collection'!$M$4:$M$500,0)),"")</f>
        <v/>
      </c>
      <c r="AE332" s="110" t="str">
        <f>IFERROR(INDEX('WetLitterbags placem_collection'!$A$3:$A$500,MATCH($A332,'WetLitterbags placem_collection'!$Q$4:$Q$500,0)),"")</f>
        <v/>
      </c>
    </row>
    <row r="333" spans="1:31">
      <c r="A333" s="197" t="s">
        <v>1250</v>
      </c>
      <c r="C333" s="198">
        <v>153</v>
      </c>
      <c r="D333" s="197">
        <v>0.3836</v>
      </c>
      <c r="E333" s="201">
        <v>10.1531</v>
      </c>
      <c r="F333" s="202">
        <v>0.20330000000000001</v>
      </c>
      <c r="G333" s="201">
        <f t="shared" si="28"/>
        <v>10.356400000000001</v>
      </c>
      <c r="H333" s="201">
        <v>10.1874</v>
      </c>
      <c r="I333" s="201">
        <f t="shared" si="29"/>
        <v>0.16900000000000048</v>
      </c>
      <c r="J333" s="201">
        <f t="shared" si="30"/>
        <v>3.4299999999999525E-2</v>
      </c>
      <c r="K333" s="280">
        <f t="shared" si="31"/>
        <v>16.871618298081419</v>
      </c>
      <c r="L333" s="201">
        <v>13</v>
      </c>
      <c r="M333" s="204">
        <v>43212</v>
      </c>
      <c r="AB333" s="110">
        <f>IFERROR(INDEX('WetLitterbags placem_collection'!$A$3:$A$500,MATCH(A333,'WetLitterbags placem_collection'!$K$4:$K$500,0)),"")</f>
        <v>152</v>
      </c>
      <c r="AC333" s="110" t="str">
        <f>IFERROR(INDEX('WetLitterbags placem_collection'!$A$3:$A$500,MATCH($A333,'WetLitterbags placem_collection'!$O$4:$O$500,0)),"")</f>
        <v/>
      </c>
      <c r="AD333" s="110" t="str">
        <f>IFERROR(INDEX('WetLitterbags placem_collection'!$A$3:$A$500,MATCH($A333,'WetLitterbags placem_collection'!$M$4:$M$500,0)),"")</f>
        <v/>
      </c>
      <c r="AE333" s="110" t="str">
        <f>IFERROR(INDEX('WetLitterbags placem_collection'!$A$3:$A$500,MATCH($A333,'WetLitterbags placem_collection'!$Q$4:$Q$500,0)),"")</f>
        <v/>
      </c>
    </row>
    <row r="334" spans="1:31">
      <c r="A334" s="206" t="s">
        <v>1249</v>
      </c>
      <c r="C334" s="201">
        <v>150</v>
      </c>
      <c r="D334" s="201">
        <v>0.40389999999999998</v>
      </c>
      <c r="E334" s="202">
        <v>9.8871000000000002</v>
      </c>
      <c r="F334" s="202">
        <v>0.2031</v>
      </c>
      <c r="G334" s="201">
        <f t="shared" si="28"/>
        <v>10.090199999999999</v>
      </c>
      <c r="H334" s="201">
        <v>9.9278999999999993</v>
      </c>
      <c r="I334" s="201">
        <f t="shared" si="29"/>
        <v>0.16230000000000011</v>
      </c>
      <c r="J334" s="201">
        <f t="shared" si="30"/>
        <v>4.0799999999999892E-2</v>
      </c>
      <c r="K334" s="280">
        <f t="shared" si="31"/>
        <v>20.08862629246671</v>
      </c>
      <c r="L334" s="201">
        <v>11</v>
      </c>
      <c r="M334" s="205">
        <v>43199</v>
      </c>
      <c r="N334" s="205">
        <v>43199</v>
      </c>
      <c r="O334" s="201"/>
      <c r="P334" s="201"/>
      <c r="AB334" s="110" t="str">
        <f>IFERROR(INDEX('WetLitterbags placem_collection'!$A$3:$A$500,MATCH(A334,'WetLitterbags placem_collection'!$K$4:$K$500,0)),"")</f>
        <v/>
      </c>
      <c r="AC334" s="110">
        <f>IFERROR(INDEX('WetLitterbags placem_collection'!$A$3:$A$500,MATCH($A334,'WetLitterbags placem_collection'!$O$4:$O$500,0)),"")</f>
        <v>149</v>
      </c>
      <c r="AD334" s="110" t="str">
        <f>IFERROR(INDEX('WetLitterbags placem_collection'!$A$3:$A$500,MATCH($A334,'WetLitterbags placem_collection'!$M$4:$M$500,0)),"")</f>
        <v/>
      </c>
      <c r="AE334" s="110" t="str">
        <f>IFERROR(INDEX('WetLitterbags placem_collection'!$A$3:$A$500,MATCH($A334,'WetLitterbags placem_collection'!$Q$4:$Q$500,0)),"")</f>
        <v/>
      </c>
    </row>
    <row r="335" spans="1:31">
      <c r="A335" s="201" t="s">
        <v>1248</v>
      </c>
      <c r="C335" s="201">
        <v>119</v>
      </c>
      <c r="D335" s="201">
        <v>0.43930000000000002</v>
      </c>
      <c r="E335" s="202">
        <v>11.091799999999999</v>
      </c>
      <c r="F335" s="202">
        <v>0.20100000000000001</v>
      </c>
      <c r="G335" s="201">
        <f t="shared" si="28"/>
        <v>11.2928</v>
      </c>
      <c r="H335" s="201">
        <v>11.1129</v>
      </c>
      <c r="I335" s="201">
        <f t="shared" si="29"/>
        <v>0.17989999999999995</v>
      </c>
      <c r="J335" s="201">
        <f t="shared" si="30"/>
        <v>2.1100000000000063E-2</v>
      </c>
      <c r="K335" s="280">
        <f t="shared" si="31"/>
        <v>10.497512437810975</v>
      </c>
      <c r="L335" s="201">
        <v>26</v>
      </c>
      <c r="M335" s="205">
        <v>43197</v>
      </c>
      <c r="N335" s="205">
        <v>43197</v>
      </c>
      <c r="O335" s="201"/>
      <c r="P335" s="201"/>
      <c r="AB335" s="110" t="str">
        <f>IFERROR(INDEX('WetLitterbags placem_collection'!$A$3:$A$500,MATCH(A335,'WetLitterbags placem_collection'!$K$4:$K$500,0)),"")</f>
        <v/>
      </c>
      <c r="AC335" s="110">
        <f>IFERROR(INDEX('WetLitterbags placem_collection'!$A$3:$A$500,MATCH($A335,'WetLitterbags placem_collection'!$O$4:$O$500,0)),"")</f>
        <v>118</v>
      </c>
      <c r="AD335" s="110" t="str">
        <f>IFERROR(INDEX('WetLitterbags placem_collection'!$A$3:$A$500,MATCH($A335,'WetLitterbags placem_collection'!$M$4:$M$500,0)),"")</f>
        <v/>
      </c>
      <c r="AE335" s="110" t="str">
        <f>IFERROR(INDEX('WetLitterbags placem_collection'!$A$3:$A$500,MATCH($A335,'WetLitterbags placem_collection'!$Q$4:$Q$500,0)),"")</f>
        <v/>
      </c>
    </row>
    <row r="336" spans="1:31">
      <c r="A336" s="206" t="s">
        <v>1247</v>
      </c>
      <c r="C336" s="201">
        <v>114</v>
      </c>
      <c r="D336" s="202">
        <v>0.44309999999999999</v>
      </c>
      <c r="E336" s="202">
        <v>9.3219999999999992</v>
      </c>
      <c r="F336" s="202">
        <v>0.20019999999999999</v>
      </c>
      <c r="G336" s="201">
        <f t="shared" si="28"/>
        <v>9.5221999999999998</v>
      </c>
      <c r="H336" s="201">
        <v>9.3641000000000005</v>
      </c>
      <c r="I336" s="201">
        <f t="shared" si="29"/>
        <v>0.15809999999999924</v>
      </c>
      <c r="J336" s="201">
        <f t="shared" si="30"/>
        <v>4.2100000000000748E-2</v>
      </c>
      <c r="K336" s="280">
        <f t="shared" si="31"/>
        <v>21.028971028971405</v>
      </c>
      <c r="L336" s="201">
        <v>28</v>
      </c>
      <c r="M336" s="203">
        <v>43181.645833333336</v>
      </c>
      <c r="N336" s="203">
        <v>43181.833333333336</v>
      </c>
      <c r="O336" s="201" t="s">
        <v>2556</v>
      </c>
      <c r="AB336" s="110">
        <f>IFERROR(INDEX('WetLitterbags placem_collection'!$A$3:$A$500,MATCH(A336,'WetLitterbags placem_collection'!$K$4:$K$500,0)),"")</f>
        <v>113</v>
      </c>
      <c r="AC336" s="110" t="str">
        <f>IFERROR(INDEX('WetLitterbags placem_collection'!$A$3:$A$500,MATCH($A336,'WetLitterbags placem_collection'!$O$4:$O$500,0)),"")</f>
        <v/>
      </c>
      <c r="AD336" s="110" t="str">
        <f>IFERROR(INDEX('WetLitterbags placem_collection'!$A$3:$A$500,MATCH($A336,'WetLitterbags placem_collection'!$M$4:$M$500,0)),"")</f>
        <v/>
      </c>
      <c r="AE336" s="110" t="str">
        <f>IFERROR(INDEX('WetLitterbags placem_collection'!$A$3:$A$500,MATCH($A336,'WetLitterbags placem_collection'!$Q$4:$Q$500,0)),"")</f>
        <v/>
      </c>
    </row>
    <row r="337" spans="1:31">
      <c r="A337" s="201" t="s">
        <v>1246</v>
      </c>
      <c r="C337" s="201">
        <v>217</v>
      </c>
      <c r="D337" s="201">
        <v>0.4556</v>
      </c>
      <c r="E337" s="201">
        <v>10.617900000000001</v>
      </c>
      <c r="F337" s="202">
        <v>0.20169999999999999</v>
      </c>
      <c r="G337" s="201">
        <f t="shared" si="28"/>
        <v>10.819600000000001</v>
      </c>
      <c r="H337" s="201">
        <v>10.635199999999999</v>
      </c>
      <c r="I337" s="201">
        <f t="shared" si="29"/>
        <v>0.1844000000000019</v>
      </c>
      <c r="J337" s="201">
        <f t="shared" si="30"/>
        <v>1.7299999999998095E-2</v>
      </c>
      <c r="K337" s="280">
        <f t="shared" si="31"/>
        <v>8.5770946950907749</v>
      </c>
      <c r="L337" s="201">
        <v>5</v>
      </c>
      <c r="M337" s="205">
        <v>43211</v>
      </c>
      <c r="N337" s="201"/>
      <c r="O337" s="201"/>
      <c r="P337" s="201" t="s">
        <v>2552</v>
      </c>
      <c r="AB337" s="110" t="str">
        <f>IFERROR(INDEX('WetLitterbags placem_collection'!$A$3:$A$500,MATCH(A337,'WetLitterbags placem_collection'!$K$4:$K$500,0)),"")</f>
        <v/>
      </c>
      <c r="AC337" s="110">
        <f>IFERROR(INDEX('WetLitterbags placem_collection'!$A$3:$A$500,MATCH($A337,'WetLitterbags placem_collection'!$O$4:$O$500,0)),"")</f>
        <v>216</v>
      </c>
      <c r="AD337" s="110" t="str">
        <f>IFERROR(INDEX('WetLitterbags placem_collection'!$A$3:$A$500,MATCH($A337,'WetLitterbags placem_collection'!$M$4:$M$500,0)),"")</f>
        <v/>
      </c>
      <c r="AE337" s="110" t="str">
        <f>IFERROR(INDEX('WetLitterbags placem_collection'!$A$3:$A$500,MATCH($A337,'WetLitterbags placem_collection'!$Q$4:$Q$500,0)),"")</f>
        <v/>
      </c>
    </row>
    <row r="338" spans="1:31">
      <c r="A338" s="201" t="s">
        <v>1245</v>
      </c>
      <c r="C338" s="201">
        <v>137</v>
      </c>
      <c r="D338" s="202">
        <v>0.41139999999999999</v>
      </c>
      <c r="E338" s="201">
        <v>9.6789000000000005</v>
      </c>
      <c r="F338" s="202">
        <v>0.20749999999999999</v>
      </c>
      <c r="G338" s="201">
        <f t="shared" si="28"/>
        <v>9.8864000000000001</v>
      </c>
      <c r="H338" s="201">
        <v>9.7113999999999994</v>
      </c>
      <c r="I338" s="201">
        <f t="shared" si="29"/>
        <v>0.17500000000000071</v>
      </c>
      <c r="J338" s="201">
        <f t="shared" si="30"/>
        <v>3.2499999999999279E-2</v>
      </c>
      <c r="K338" s="280">
        <f t="shared" si="31"/>
        <v>15.662650602409292</v>
      </c>
      <c r="L338" s="201">
        <v>28</v>
      </c>
      <c r="M338" s="205">
        <v>43206</v>
      </c>
      <c r="N338" s="205">
        <v>43206</v>
      </c>
      <c r="O338" s="201"/>
      <c r="P338" s="201"/>
      <c r="AB338" s="110">
        <f>IFERROR(INDEX('WetLitterbags placem_collection'!$A$3:$A$500,MATCH(A338,'WetLitterbags placem_collection'!$K$4:$K$500,0)),"")</f>
        <v>136</v>
      </c>
      <c r="AC338" s="110" t="str">
        <f>IFERROR(INDEX('WetLitterbags placem_collection'!$A$3:$A$500,MATCH($A338,'WetLitterbags placem_collection'!$O$4:$O$500,0)),"")</f>
        <v/>
      </c>
      <c r="AD338" s="110" t="str">
        <f>IFERROR(INDEX('WetLitterbags placem_collection'!$A$3:$A$500,MATCH($A338,'WetLitterbags placem_collection'!$M$4:$M$500,0)),"")</f>
        <v/>
      </c>
      <c r="AE338" s="110" t="str">
        <f>IFERROR(INDEX('WetLitterbags placem_collection'!$A$3:$A$500,MATCH($A338,'WetLitterbags placem_collection'!$Q$4:$Q$500,0)),"")</f>
        <v/>
      </c>
    </row>
    <row r="339" spans="1:31">
      <c r="A339" s="201" t="s">
        <v>1244</v>
      </c>
      <c r="C339" s="201">
        <v>104</v>
      </c>
      <c r="D339" s="201">
        <f>0.322+F339</f>
        <v>0.52729999999999999</v>
      </c>
      <c r="E339" s="202">
        <v>11.023</v>
      </c>
      <c r="F339" s="202">
        <v>0.20530000000000001</v>
      </c>
      <c r="G339" s="201">
        <f t="shared" si="28"/>
        <v>11.228299999999999</v>
      </c>
      <c r="H339" s="201">
        <v>11.057600000000001</v>
      </c>
      <c r="I339" s="201">
        <f t="shared" si="29"/>
        <v>0.1706999999999983</v>
      </c>
      <c r="J339" s="201">
        <f t="shared" si="30"/>
        <v>3.4600000000001713E-2</v>
      </c>
      <c r="K339" s="280">
        <f t="shared" si="31"/>
        <v>16.853385289820611</v>
      </c>
      <c r="L339" s="201">
        <v>31</v>
      </c>
      <c r="M339" s="205">
        <v>43174</v>
      </c>
      <c r="N339" s="205">
        <v>43174</v>
      </c>
      <c r="O339" s="201" t="s">
        <v>2556</v>
      </c>
      <c r="P339" s="201" t="s">
        <v>2551</v>
      </c>
      <c r="AB339" s="110" t="str">
        <f>IFERROR(INDEX('WetLitterbags placem_collection'!$A$3:$A$500,MATCH(A339,'WetLitterbags placem_collection'!$K$4:$K$500,0)),"")</f>
        <v/>
      </c>
      <c r="AC339" s="110">
        <f>IFERROR(INDEX('WetLitterbags placem_collection'!$A$3:$A$500,MATCH($A339,'WetLitterbags placem_collection'!$O$4:$O$500,0)),"")</f>
        <v>103</v>
      </c>
      <c r="AD339" s="110" t="str">
        <f>IFERROR(INDEX('WetLitterbags placem_collection'!$A$3:$A$500,MATCH($A339,'WetLitterbags placem_collection'!$M$4:$M$500,0)),"")</f>
        <v/>
      </c>
      <c r="AE339" s="110" t="str">
        <f>IFERROR(INDEX('WetLitterbags placem_collection'!$A$3:$A$500,MATCH($A339,'WetLitterbags placem_collection'!$Q$4:$Q$500,0)),"")</f>
        <v/>
      </c>
    </row>
    <row r="340" spans="1:31">
      <c r="A340" s="206" t="s">
        <v>1243</v>
      </c>
      <c r="C340" s="201">
        <v>148</v>
      </c>
      <c r="D340" s="202">
        <v>0.52270000000000005</v>
      </c>
      <c r="E340" s="202">
        <v>11.7468</v>
      </c>
      <c r="F340" s="202">
        <v>0.20830000000000001</v>
      </c>
      <c r="G340" s="201">
        <f t="shared" si="28"/>
        <v>11.9551</v>
      </c>
      <c r="H340" s="201">
        <v>11.786799999999999</v>
      </c>
      <c r="I340" s="201">
        <f t="shared" si="29"/>
        <v>0.16830000000000034</v>
      </c>
      <c r="J340" s="201">
        <f t="shared" si="30"/>
        <v>3.9999999999999675E-2</v>
      </c>
      <c r="K340" s="280">
        <f t="shared" si="31"/>
        <v>19.203072491598501</v>
      </c>
      <c r="L340" s="201">
        <v>21</v>
      </c>
      <c r="M340" s="203">
        <v>43181.645833333336</v>
      </c>
      <c r="N340" s="203">
        <v>43181.833333333336</v>
      </c>
      <c r="O340" s="201" t="s">
        <v>2556</v>
      </c>
      <c r="P340" s="201" t="s">
        <v>2569</v>
      </c>
      <c r="AB340" s="110" t="str">
        <f>IFERROR(INDEX('WetLitterbags placem_collection'!$A$3:$A$500,MATCH(A340,'WetLitterbags placem_collection'!$K$4:$K$500,0)),"")</f>
        <v/>
      </c>
      <c r="AC340" s="110">
        <f>IFERROR(INDEX('WetLitterbags placem_collection'!$A$3:$A$500,MATCH($A340,'WetLitterbags placem_collection'!$O$4:$O$500,0)),"")</f>
        <v>147</v>
      </c>
      <c r="AD340" s="110" t="str">
        <f>IFERROR(INDEX('WetLitterbags placem_collection'!$A$3:$A$500,MATCH($A340,'WetLitterbags placem_collection'!$M$4:$M$500,0)),"")</f>
        <v/>
      </c>
      <c r="AE340" s="110" t="str">
        <f>IFERROR(INDEX('WetLitterbags placem_collection'!$A$3:$A$500,MATCH($A340,'WetLitterbags placem_collection'!$Q$4:$Q$500,0)),"")</f>
        <v/>
      </c>
    </row>
    <row r="341" spans="1:31">
      <c r="A341" s="197" t="s">
        <v>1242</v>
      </c>
      <c r="C341" s="198">
        <v>101</v>
      </c>
      <c r="D341" s="197">
        <v>0.37919999999999998</v>
      </c>
      <c r="E341" s="197">
        <v>10.6348</v>
      </c>
      <c r="F341" s="202">
        <v>0.2016</v>
      </c>
      <c r="G341" s="201">
        <f t="shared" si="28"/>
        <v>10.836400000000001</v>
      </c>
      <c r="H341" s="201">
        <v>10.668699999999999</v>
      </c>
      <c r="I341" s="201">
        <f t="shared" si="29"/>
        <v>0.16770000000000174</v>
      </c>
      <c r="J341" s="201">
        <f t="shared" si="30"/>
        <v>3.3899999999998265E-2</v>
      </c>
      <c r="K341" s="280">
        <f t="shared" si="31"/>
        <v>16.81547619047533</v>
      </c>
      <c r="L341" s="201">
        <v>6</v>
      </c>
      <c r="AB341" s="110">
        <f>IFERROR(INDEX('WetLitterbags placem_collection'!$A$3:$A$500,MATCH(A341,'WetLitterbags placem_collection'!$K$4:$K$500,0)),"")</f>
        <v>100</v>
      </c>
      <c r="AC341" s="110" t="str">
        <f>IFERROR(INDEX('WetLitterbags placem_collection'!$A$3:$A$500,MATCH($A341,'WetLitterbags placem_collection'!$O$4:$O$500,0)),"")</f>
        <v/>
      </c>
      <c r="AD341" s="110" t="str">
        <f>IFERROR(INDEX('WetLitterbags placem_collection'!$A$3:$A$500,MATCH($A341,'WetLitterbags placem_collection'!$M$4:$M$500,0)),"")</f>
        <v/>
      </c>
      <c r="AE341" s="110" t="str">
        <f>IFERROR(INDEX('WetLitterbags placem_collection'!$A$3:$A$500,MATCH($A341,'WetLitterbags placem_collection'!$Q$4:$Q$500,0)),"")</f>
        <v/>
      </c>
    </row>
    <row r="342" spans="1:31">
      <c r="A342" s="206" t="s">
        <v>1241</v>
      </c>
      <c r="C342" s="201">
        <v>160</v>
      </c>
      <c r="D342" s="201">
        <v>0.502</v>
      </c>
      <c r="E342" s="201">
        <v>8.1328999999999994</v>
      </c>
      <c r="F342" s="202">
        <v>0.20799999999999999</v>
      </c>
      <c r="G342" s="201">
        <f t="shared" si="28"/>
        <v>8.3408999999999995</v>
      </c>
      <c r="H342" s="201">
        <v>8.1625999999999994</v>
      </c>
      <c r="I342" s="201">
        <f t="shared" si="29"/>
        <v>0.17830000000000013</v>
      </c>
      <c r="J342" s="201">
        <f t="shared" si="30"/>
        <v>2.9699999999999865E-2</v>
      </c>
      <c r="K342" s="280">
        <f t="shared" si="31"/>
        <v>14.278846153846089</v>
      </c>
      <c r="L342" s="201">
        <v>18</v>
      </c>
      <c r="M342" s="205">
        <v>43211</v>
      </c>
      <c r="AB342" s="110">
        <f>IFERROR(INDEX('WetLitterbags placem_collection'!$A$3:$A$500,MATCH(A342,'WetLitterbags placem_collection'!$K$4:$K$500,0)),"")</f>
        <v>159</v>
      </c>
      <c r="AC342" s="110" t="str">
        <f>IFERROR(INDEX('WetLitterbags placem_collection'!$A$3:$A$500,MATCH($A342,'WetLitterbags placem_collection'!$O$4:$O$500,0)),"")</f>
        <v/>
      </c>
      <c r="AD342" s="110" t="str">
        <f>IFERROR(INDEX('WetLitterbags placem_collection'!$A$3:$A$500,MATCH($A342,'WetLitterbags placem_collection'!$M$4:$M$500,0)),"")</f>
        <v/>
      </c>
      <c r="AE342" s="110" t="str">
        <f>IFERROR(INDEX('WetLitterbags placem_collection'!$A$3:$A$500,MATCH($A342,'WetLitterbags placem_collection'!$Q$4:$Q$500,0)),"")</f>
        <v/>
      </c>
    </row>
    <row r="343" spans="1:31">
      <c r="A343" s="201" t="s">
        <v>1240</v>
      </c>
      <c r="C343" s="201">
        <v>165</v>
      </c>
      <c r="D343" s="201">
        <v>0.4632</v>
      </c>
      <c r="E343" s="201">
        <v>7.7762000000000002</v>
      </c>
      <c r="F343" s="201">
        <v>0.20080000000000001</v>
      </c>
      <c r="G343" s="201">
        <f t="shared" si="28"/>
        <v>7.9770000000000003</v>
      </c>
      <c r="H343" s="201">
        <v>7.7915999999999999</v>
      </c>
      <c r="I343" s="201">
        <f t="shared" si="29"/>
        <v>0.18540000000000045</v>
      </c>
      <c r="J343" s="201">
        <f t="shared" si="30"/>
        <v>1.5399999999999553E-2</v>
      </c>
      <c r="K343" s="280">
        <f t="shared" si="31"/>
        <v>7.6693227091631231</v>
      </c>
      <c r="L343" s="201">
        <v>19</v>
      </c>
      <c r="M343" s="203">
        <v>43164.628472222219</v>
      </c>
      <c r="N343" s="203">
        <v>43164.795138888891</v>
      </c>
      <c r="O343" s="197" t="s">
        <v>2550</v>
      </c>
      <c r="P343" s="201"/>
      <c r="AB343" s="110" t="str">
        <f>IFERROR(INDEX('WetLitterbags placem_collection'!$A$3:$A$500,MATCH(A343,'WetLitterbags placem_collection'!$K$4:$K$500,0)),"")</f>
        <v/>
      </c>
      <c r="AC343" s="110">
        <f>IFERROR(INDEX('WetLitterbags placem_collection'!$A$3:$A$500,MATCH($A343,'WetLitterbags placem_collection'!$O$4:$O$500,0)),"")</f>
        <v>164</v>
      </c>
      <c r="AD343" s="110" t="str">
        <f>IFERROR(INDEX('WetLitterbags placem_collection'!$A$3:$A$500,MATCH($A343,'WetLitterbags placem_collection'!$M$4:$M$500,0)),"")</f>
        <v/>
      </c>
      <c r="AE343" s="110" t="str">
        <f>IFERROR(INDEX('WetLitterbags placem_collection'!$A$3:$A$500,MATCH($A343,'WetLitterbags placem_collection'!$Q$4:$Q$500,0)),"")</f>
        <v/>
      </c>
    </row>
    <row r="344" spans="1:31">
      <c r="A344" s="197" t="s">
        <v>1239</v>
      </c>
      <c r="C344" s="197">
        <v>201</v>
      </c>
      <c r="D344" s="197">
        <v>0.41320000000000001</v>
      </c>
      <c r="E344" s="202">
        <v>9.7257999999999996</v>
      </c>
      <c r="F344" s="202">
        <v>0.20150000000000001</v>
      </c>
      <c r="G344" s="201">
        <f t="shared" si="28"/>
        <v>9.9272999999999989</v>
      </c>
      <c r="H344" s="201">
        <v>9.7493999999999996</v>
      </c>
      <c r="I344" s="201">
        <f t="shared" si="29"/>
        <v>0.17789999999999928</v>
      </c>
      <c r="J344" s="201">
        <f t="shared" si="30"/>
        <v>2.3600000000000732E-2</v>
      </c>
      <c r="K344" s="280">
        <f t="shared" si="31"/>
        <v>11.712158808933365</v>
      </c>
      <c r="L344" s="201">
        <v>21</v>
      </c>
      <c r="AB344" s="110">
        <f>IFERROR(INDEX('WetLitterbags placem_collection'!$A$3:$A$500,MATCH(A344,'WetLitterbags placem_collection'!$K$4:$K$500,0)),"")</f>
        <v>200</v>
      </c>
      <c r="AC344" s="110" t="str">
        <f>IFERROR(INDEX('WetLitterbags placem_collection'!$A$3:$A$500,MATCH($A344,'WetLitterbags placem_collection'!$O$4:$O$500,0)),"")</f>
        <v/>
      </c>
      <c r="AD344" s="110" t="str">
        <f>IFERROR(INDEX('WetLitterbags placem_collection'!$A$3:$A$500,MATCH($A344,'WetLitterbags placem_collection'!$M$4:$M$500,0)),"")</f>
        <v/>
      </c>
      <c r="AE344" s="110" t="str">
        <f>IFERROR(INDEX('WetLitterbags placem_collection'!$A$3:$A$500,MATCH($A344,'WetLitterbags placem_collection'!$Q$4:$Q$500,0)),"")</f>
        <v/>
      </c>
    </row>
    <row r="345" spans="1:31">
      <c r="A345" s="197" t="s">
        <v>1237</v>
      </c>
      <c r="C345" s="197">
        <v>24</v>
      </c>
      <c r="D345" s="197">
        <v>0.54449999999999998</v>
      </c>
      <c r="E345" s="202">
        <v>10.1074</v>
      </c>
      <c r="F345" s="202">
        <v>0.20200000000000001</v>
      </c>
      <c r="G345" s="201">
        <f t="shared" si="28"/>
        <v>10.3094</v>
      </c>
      <c r="H345" s="201">
        <v>10.130800000000001</v>
      </c>
      <c r="I345" s="201">
        <f t="shared" si="29"/>
        <v>0.17859999999999943</v>
      </c>
      <c r="J345" s="201">
        <f t="shared" si="30"/>
        <v>2.3400000000000587E-2</v>
      </c>
      <c r="K345" s="280">
        <f t="shared" si="31"/>
        <v>11.584158415841873</v>
      </c>
      <c r="L345" s="201">
        <v>23</v>
      </c>
      <c r="AB345" s="110">
        <f>IFERROR(INDEX('WetLitterbags placem_collection'!$A$3:$A$500,MATCH(A345,'WetLitterbags placem_collection'!$K$4:$K$500,0)),"")</f>
        <v>23</v>
      </c>
      <c r="AC345" s="110" t="str">
        <f>IFERROR(INDEX('WetLitterbags placem_collection'!$A$3:$A$500,MATCH($A345,'WetLitterbags placem_collection'!$O$4:$O$500,0)),"")</f>
        <v/>
      </c>
      <c r="AD345" s="110" t="str">
        <f>IFERROR(INDEX('WetLitterbags placem_collection'!$A$3:$A$500,MATCH($A345,'WetLitterbags placem_collection'!$M$4:$M$500,0)),"")</f>
        <v/>
      </c>
      <c r="AE345" s="110" t="str">
        <f>IFERROR(INDEX('WetLitterbags placem_collection'!$A$3:$A$500,MATCH($A345,'WetLitterbags placem_collection'!$Q$4:$Q$500,0)),"")</f>
        <v/>
      </c>
    </row>
    <row r="346" spans="1:31">
      <c r="A346" s="197" t="s">
        <v>1236</v>
      </c>
      <c r="C346" s="198">
        <v>204</v>
      </c>
      <c r="D346" s="197">
        <v>0.49020000000000002</v>
      </c>
      <c r="E346" s="202">
        <v>8.0884</v>
      </c>
      <c r="F346" s="202">
        <v>0.2</v>
      </c>
      <c r="G346" s="201">
        <f t="shared" si="28"/>
        <v>8.2883999999999993</v>
      </c>
      <c r="H346" s="201">
        <v>8.1113999999999997</v>
      </c>
      <c r="I346" s="201">
        <f t="shared" si="29"/>
        <v>0.1769999999999996</v>
      </c>
      <c r="J346" s="201">
        <f t="shared" si="30"/>
        <v>2.3000000000000409E-2</v>
      </c>
      <c r="K346" s="280">
        <f t="shared" si="31"/>
        <v>11.500000000000204</v>
      </c>
      <c r="L346" s="201">
        <v>2</v>
      </c>
      <c r="AB346" s="110">
        <f>IFERROR(INDEX('WetLitterbags placem_collection'!$A$3:$A$500,MATCH(A346,'WetLitterbags placem_collection'!$K$4:$K$500,0)),"")</f>
        <v>203</v>
      </c>
      <c r="AC346" s="110" t="str">
        <f>IFERROR(INDEX('WetLitterbags placem_collection'!$A$3:$A$500,MATCH($A346,'WetLitterbags placem_collection'!$O$4:$O$500,0)),"")</f>
        <v/>
      </c>
      <c r="AD346" s="110" t="str">
        <f>IFERROR(INDEX('WetLitterbags placem_collection'!$A$3:$A$500,MATCH($A346,'WetLitterbags placem_collection'!$M$4:$M$500,0)),"")</f>
        <v/>
      </c>
      <c r="AE346" s="110" t="str">
        <f>IFERROR(INDEX('WetLitterbags placem_collection'!$A$3:$A$500,MATCH($A346,'WetLitterbags placem_collection'!$Q$4:$Q$500,0)),"")</f>
        <v/>
      </c>
    </row>
    <row r="347" spans="1:31">
      <c r="A347" s="206" t="s">
        <v>1235</v>
      </c>
      <c r="C347" s="201">
        <v>138</v>
      </c>
      <c r="D347" s="201">
        <v>0.44069999999999998</v>
      </c>
      <c r="E347" s="202">
        <v>10.565799999999999</v>
      </c>
      <c r="F347" s="202">
        <v>0.20150000000000001</v>
      </c>
      <c r="G347" s="201">
        <f t="shared" si="28"/>
        <v>10.767299999999999</v>
      </c>
      <c r="H347" s="201">
        <v>10.594799999999999</v>
      </c>
      <c r="I347" s="201">
        <f t="shared" si="29"/>
        <v>0.17249999999999943</v>
      </c>
      <c r="J347" s="201">
        <f t="shared" si="30"/>
        <v>2.9000000000000581E-2</v>
      </c>
      <c r="K347" s="280">
        <f t="shared" si="31"/>
        <v>14.392059553350164</v>
      </c>
      <c r="L347" s="201">
        <v>35</v>
      </c>
      <c r="M347" s="207">
        <v>43186.458333333336</v>
      </c>
      <c r="N347" s="207">
        <v>43186.625</v>
      </c>
      <c r="O347" s="197" t="s">
        <v>2550</v>
      </c>
      <c r="P347" s="201"/>
      <c r="AB347" s="110">
        <f>IFERROR(INDEX('WetLitterbags placem_collection'!$A$3:$A$500,MATCH(A347,'WetLitterbags placem_collection'!$K$4:$K$500,0)),"")</f>
        <v>137</v>
      </c>
      <c r="AC347" s="110" t="str">
        <f>IFERROR(INDEX('WetLitterbags placem_collection'!$A$3:$A$500,MATCH($A347,'WetLitterbags placem_collection'!$O$4:$O$500,0)),"")</f>
        <v/>
      </c>
      <c r="AD347" s="110" t="str">
        <f>IFERROR(INDEX('WetLitterbags placem_collection'!$A$3:$A$500,MATCH($A347,'WetLitterbags placem_collection'!$M$4:$M$500,0)),"")</f>
        <v/>
      </c>
      <c r="AE347" s="110" t="str">
        <f>IFERROR(INDEX('WetLitterbags placem_collection'!$A$3:$A$500,MATCH($A347,'WetLitterbags placem_collection'!$Q$4:$Q$500,0)),"")</f>
        <v/>
      </c>
    </row>
    <row r="348" spans="1:31">
      <c r="A348" s="197" t="s">
        <v>1234</v>
      </c>
      <c r="C348" s="197">
        <v>200</v>
      </c>
      <c r="D348" s="197">
        <v>0.49859999999999999</v>
      </c>
      <c r="E348" s="202">
        <v>11.1541</v>
      </c>
      <c r="F348" s="202">
        <v>0.2029</v>
      </c>
      <c r="G348" s="201">
        <f t="shared" si="28"/>
        <v>11.356999999999999</v>
      </c>
      <c r="H348" s="201">
        <v>11.176600000000001</v>
      </c>
      <c r="I348" s="201">
        <f t="shared" si="29"/>
        <v>0.18039999999999878</v>
      </c>
      <c r="J348" s="201">
        <f t="shared" si="30"/>
        <v>2.2500000000001213E-2</v>
      </c>
      <c r="K348" s="280">
        <f t="shared" si="31"/>
        <v>11.089206505668416</v>
      </c>
      <c r="L348" s="201">
        <v>26</v>
      </c>
      <c r="AB348" s="110">
        <f>IFERROR(INDEX('WetLitterbags placem_collection'!$A$3:$A$500,MATCH(A348,'WetLitterbags placem_collection'!$K$4:$K$500,0)),"")</f>
        <v>199</v>
      </c>
      <c r="AC348" s="110" t="str">
        <f>IFERROR(INDEX('WetLitterbags placem_collection'!$A$3:$A$500,MATCH($A348,'WetLitterbags placem_collection'!$O$4:$O$500,0)),"")</f>
        <v/>
      </c>
      <c r="AD348" s="110" t="str">
        <f>IFERROR(INDEX('WetLitterbags placem_collection'!$A$3:$A$500,MATCH($A348,'WetLitterbags placem_collection'!$M$4:$M$500,0)),"")</f>
        <v/>
      </c>
      <c r="AE348" s="110" t="str">
        <f>IFERROR(INDEX('WetLitterbags placem_collection'!$A$3:$A$500,MATCH($A348,'WetLitterbags placem_collection'!$Q$4:$Q$500,0)),"")</f>
        <v/>
      </c>
    </row>
    <row r="349" spans="1:31">
      <c r="A349" s="206" t="s">
        <v>1233</v>
      </c>
      <c r="C349" s="201">
        <v>142</v>
      </c>
      <c r="D349" s="201">
        <v>0.84009999999999996</v>
      </c>
      <c r="E349" s="202">
        <v>9.3429000000000002</v>
      </c>
      <c r="F349" s="202">
        <v>0.2031</v>
      </c>
      <c r="G349" s="201">
        <f t="shared" si="28"/>
        <v>9.5459999999999994</v>
      </c>
      <c r="H349" s="201">
        <v>9.4362999999999992</v>
      </c>
      <c r="I349" s="201">
        <f t="shared" si="29"/>
        <v>0.10970000000000013</v>
      </c>
      <c r="J349" s="201">
        <f t="shared" si="30"/>
        <v>9.3399999999999872E-2</v>
      </c>
      <c r="K349" s="280">
        <f t="shared" si="31"/>
        <v>45.987198424421408</v>
      </c>
      <c r="L349" s="201">
        <v>1</v>
      </c>
      <c r="M349" s="207">
        <v>43186.458333333336</v>
      </c>
      <c r="N349" s="207">
        <v>43186.625</v>
      </c>
      <c r="O349" s="197" t="s">
        <v>2550</v>
      </c>
      <c r="P349" s="201" t="s">
        <v>2570</v>
      </c>
      <c r="AB349" s="110">
        <f>IFERROR(INDEX('WetLitterbags placem_collection'!$A$3:$A$500,MATCH(A349,'WetLitterbags placem_collection'!$K$4:$K$500,0)),"")</f>
        <v>141</v>
      </c>
      <c r="AC349" s="110" t="str">
        <f>IFERROR(INDEX('WetLitterbags placem_collection'!$A$3:$A$500,MATCH($A349,'WetLitterbags placem_collection'!$O$4:$O$500,0)),"")</f>
        <v/>
      </c>
      <c r="AD349" s="110" t="str">
        <f>IFERROR(INDEX('WetLitterbags placem_collection'!$A$3:$A$500,MATCH($A349,'WetLitterbags placem_collection'!$M$4:$M$500,0)),"")</f>
        <v/>
      </c>
      <c r="AE349" s="110" t="str">
        <f>IFERROR(INDEX('WetLitterbags placem_collection'!$A$3:$A$500,MATCH($A349,'WetLitterbags placem_collection'!$Q$4:$Q$500,0)),"")</f>
        <v/>
      </c>
    </row>
    <row r="350" spans="1:31">
      <c r="A350" s="197" t="s">
        <v>1232</v>
      </c>
      <c r="C350" s="198">
        <v>182</v>
      </c>
      <c r="D350" s="197">
        <v>0.42420000000000002</v>
      </c>
      <c r="E350" s="201">
        <v>8.0953999999999997</v>
      </c>
      <c r="F350" s="202">
        <v>0.2084</v>
      </c>
      <c r="G350" s="201">
        <f t="shared" si="28"/>
        <v>8.303799999999999</v>
      </c>
      <c r="H350" s="201">
        <v>8.1163000000000007</v>
      </c>
      <c r="I350" s="201">
        <f t="shared" si="29"/>
        <v>0.18749999999999822</v>
      </c>
      <c r="J350" s="201">
        <f t="shared" si="30"/>
        <v>2.0900000000001778E-2</v>
      </c>
      <c r="K350" s="280">
        <f t="shared" si="31"/>
        <v>10.028790786949029</v>
      </c>
      <c r="L350" s="201">
        <v>44</v>
      </c>
      <c r="M350" s="204">
        <v>43212</v>
      </c>
      <c r="AB350" s="110" t="str">
        <f>IFERROR(INDEX('WetLitterbags placem_collection'!$A$3:$A$500,MATCH(A350,'WetLitterbags placem_collection'!$K$4:$K$500,0)),"")</f>
        <v/>
      </c>
      <c r="AC350" s="110">
        <f>IFERROR(INDEX('WetLitterbags placem_collection'!$A$3:$A$500,MATCH($A350,'WetLitterbags placem_collection'!$O$4:$O$500,0)),"")</f>
        <v>181</v>
      </c>
      <c r="AD350" s="110" t="str">
        <f>IFERROR(INDEX('WetLitterbags placem_collection'!$A$3:$A$500,MATCH($A350,'WetLitterbags placem_collection'!$M$4:$M$500,0)),"")</f>
        <v/>
      </c>
      <c r="AE350" s="110" t="str">
        <f>IFERROR(INDEX('WetLitterbags placem_collection'!$A$3:$A$500,MATCH($A350,'WetLitterbags placem_collection'!$Q$4:$Q$500,0)),"")</f>
        <v/>
      </c>
    </row>
    <row r="351" spans="1:31">
      <c r="A351" s="201" t="s">
        <v>1231</v>
      </c>
      <c r="C351" s="201">
        <v>129</v>
      </c>
      <c r="D351" s="201">
        <v>0.39679999999999999</v>
      </c>
      <c r="E351" s="202">
        <v>9.0033999999999992</v>
      </c>
      <c r="F351" s="202">
        <v>0.2019</v>
      </c>
      <c r="G351" s="201">
        <f t="shared" si="28"/>
        <v>9.2052999999999994</v>
      </c>
      <c r="H351" s="201">
        <v>9.0358000000000001</v>
      </c>
      <c r="I351" s="201">
        <f t="shared" si="29"/>
        <v>0.16949999999999932</v>
      </c>
      <c r="J351" s="201">
        <f t="shared" si="30"/>
        <v>3.2400000000000678E-2</v>
      </c>
      <c r="K351" s="280">
        <f t="shared" si="31"/>
        <v>16.047548291233621</v>
      </c>
      <c r="L351" s="201">
        <v>14</v>
      </c>
      <c r="M351" s="205">
        <v>43174</v>
      </c>
      <c r="N351" s="205">
        <v>43174</v>
      </c>
      <c r="O351" s="201" t="s">
        <v>2556</v>
      </c>
      <c r="P351" s="201" t="s">
        <v>2551</v>
      </c>
      <c r="AB351" s="110">
        <f>IFERROR(INDEX('WetLitterbags placem_collection'!$A$3:$A$500,MATCH(A351,'WetLitterbags placem_collection'!$K$4:$K$500,0)),"")</f>
        <v>128</v>
      </c>
      <c r="AC351" s="110" t="str">
        <f>IFERROR(INDEX('WetLitterbags placem_collection'!$A$3:$A$500,MATCH($A351,'WetLitterbags placem_collection'!$O$4:$O$500,0)),"")</f>
        <v/>
      </c>
      <c r="AD351" s="110" t="str">
        <f>IFERROR(INDEX('WetLitterbags placem_collection'!$A$3:$A$500,MATCH($A351,'WetLitterbags placem_collection'!$M$4:$M$500,0)),"")</f>
        <v/>
      </c>
      <c r="AE351" s="110" t="str">
        <f>IFERROR(INDEX('WetLitterbags placem_collection'!$A$3:$A$500,MATCH($A351,'WetLitterbags placem_collection'!$Q$4:$Q$500,0)),"")</f>
        <v/>
      </c>
    </row>
    <row r="352" spans="1:31">
      <c r="A352" s="206" t="s">
        <v>1230</v>
      </c>
      <c r="C352" s="201">
        <v>134</v>
      </c>
      <c r="D352" s="201">
        <v>0.35370000000000001</v>
      </c>
      <c r="E352" s="202">
        <v>8.1324000000000005</v>
      </c>
      <c r="F352" s="202">
        <v>0.19989999999999999</v>
      </c>
      <c r="G352" s="201">
        <f t="shared" si="28"/>
        <v>8.3323</v>
      </c>
      <c r="H352" s="201">
        <v>8.1576000000000004</v>
      </c>
      <c r="I352" s="201">
        <f t="shared" si="29"/>
        <v>0.17469999999999963</v>
      </c>
      <c r="J352" s="201">
        <f t="shared" si="30"/>
        <v>2.5200000000000361E-2</v>
      </c>
      <c r="K352" s="280">
        <f t="shared" si="31"/>
        <v>12.606303151575968</v>
      </c>
      <c r="L352" s="201">
        <v>11</v>
      </c>
      <c r="M352" s="205">
        <v>43197</v>
      </c>
      <c r="N352" s="205">
        <v>43197</v>
      </c>
      <c r="O352" s="201"/>
      <c r="P352" s="201"/>
      <c r="AB352" s="110" t="str">
        <f>IFERROR(INDEX('WetLitterbags placem_collection'!$A$3:$A$500,MATCH(A352,'WetLitterbags placem_collection'!$K$4:$K$500,0)),"")</f>
        <v/>
      </c>
      <c r="AC352" s="110">
        <f>IFERROR(INDEX('WetLitterbags placem_collection'!$A$3:$A$500,MATCH($A352,'WetLitterbags placem_collection'!$O$4:$O$500,0)),"")</f>
        <v>133</v>
      </c>
      <c r="AD352" s="110" t="str">
        <f>IFERROR(INDEX('WetLitterbags placem_collection'!$A$3:$A$500,MATCH($A352,'WetLitterbags placem_collection'!$M$4:$M$500,0)),"")</f>
        <v/>
      </c>
      <c r="AE352" s="110" t="str">
        <f>IFERROR(INDEX('WetLitterbags placem_collection'!$A$3:$A$500,MATCH($A352,'WetLitterbags placem_collection'!$Q$4:$Q$500,0)),"")</f>
        <v/>
      </c>
    </row>
    <row r="353" spans="1:31">
      <c r="A353" s="201" t="s">
        <v>1229</v>
      </c>
      <c r="C353" s="201">
        <v>195</v>
      </c>
      <c r="D353" s="201">
        <v>0.54490000000000005</v>
      </c>
      <c r="E353" s="201">
        <v>11.905200000000001</v>
      </c>
      <c r="F353" s="201">
        <v>0.20069999999999999</v>
      </c>
      <c r="G353" s="201">
        <f t="shared" si="28"/>
        <v>12.1059</v>
      </c>
      <c r="H353" s="201">
        <v>11.935499999999999</v>
      </c>
      <c r="I353" s="201">
        <f t="shared" si="29"/>
        <v>0.17040000000000077</v>
      </c>
      <c r="J353" s="201">
        <f t="shared" si="30"/>
        <v>3.0299999999999216E-2</v>
      </c>
      <c r="K353" s="280">
        <f t="shared" si="31"/>
        <v>15.097159940208879</v>
      </c>
      <c r="L353" s="201">
        <v>16</v>
      </c>
      <c r="M353" s="203">
        <v>43164.628472222219</v>
      </c>
      <c r="N353" s="203">
        <v>43164.795138888891</v>
      </c>
      <c r="O353" s="197" t="s">
        <v>2550</v>
      </c>
      <c r="P353" s="201"/>
      <c r="AB353" s="110">
        <f>IFERROR(INDEX('WetLitterbags placem_collection'!$A$3:$A$500,MATCH(A353,'WetLitterbags placem_collection'!$K$4:$K$500,0)),"")</f>
        <v>194</v>
      </c>
      <c r="AC353" s="110" t="str">
        <f>IFERROR(INDEX('WetLitterbags placem_collection'!$A$3:$A$500,MATCH($A353,'WetLitterbags placem_collection'!$O$4:$O$500,0)),"")</f>
        <v/>
      </c>
      <c r="AD353" s="110" t="str">
        <f>IFERROR(INDEX('WetLitterbags placem_collection'!$A$3:$A$500,MATCH($A353,'WetLitterbags placem_collection'!$M$4:$M$500,0)),"")</f>
        <v/>
      </c>
      <c r="AE353" s="110" t="str">
        <f>IFERROR(INDEX('WetLitterbags placem_collection'!$A$3:$A$500,MATCH($A353,'WetLitterbags placem_collection'!$Q$4:$Q$500,0)),"")</f>
        <v/>
      </c>
    </row>
    <row r="354" spans="1:31">
      <c r="A354" s="202" t="s">
        <v>1228</v>
      </c>
      <c r="C354" s="201">
        <v>211</v>
      </c>
      <c r="D354" s="201">
        <v>0.62309999999999999</v>
      </c>
      <c r="E354" s="201">
        <v>9.0317000000000007</v>
      </c>
      <c r="F354" s="201">
        <v>0.20119999999999999</v>
      </c>
      <c r="G354" s="201">
        <f t="shared" si="28"/>
        <v>9.2329000000000008</v>
      </c>
      <c r="H354" s="201">
        <v>9.0663999999999998</v>
      </c>
      <c r="I354" s="201">
        <f t="shared" si="29"/>
        <v>0.16650000000000098</v>
      </c>
      <c r="J354" s="201">
        <f t="shared" si="30"/>
        <v>3.4699999999999009E-2</v>
      </c>
      <c r="K354" s="280">
        <f t="shared" si="31"/>
        <v>17.246520874750999</v>
      </c>
      <c r="L354" s="201">
        <v>14</v>
      </c>
      <c r="M354" s="205">
        <v>43173</v>
      </c>
      <c r="N354" s="205">
        <v>43173</v>
      </c>
      <c r="O354" s="201" t="s">
        <v>2556</v>
      </c>
      <c r="P354" s="201" t="s">
        <v>2555</v>
      </c>
      <c r="AB354" s="110">
        <f>IFERROR(INDEX('WetLitterbags placem_collection'!$A$3:$A$500,MATCH(A354,'WetLitterbags placem_collection'!$K$4:$K$500,0)),"")</f>
        <v>210</v>
      </c>
      <c r="AC354" s="110" t="str">
        <f>IFERROR(INDEX('WetLitterbags placem_collection'!$A$3:$A$500,MATCH($A354,'WetLitterbags placem_collection'!$O$4:$O$500,0)),"")</f>
        <v/>
      </c>
      <c r="AD354" s="110" t="str">
        <f>IFERROR(INDEX('WetLitterbags placem_collection'!$A$3:$A$500,MATCH($A354,'WetLitterbags placem_collection'!$M$4:$M$500,0)),"")</f>
        <v/>
      </c>
      <c r="AE354" s="110" t="str">
        <f>IFERROR(INDEX('WetLitterbags placem_collection'!$A$3:$A$500,MATCH($A354,'WetLitterbags placem_collection'!$Q$4:$Q$500,0)),"")</f>
        <v/>
      </c>
    </row>
    <row r="355" spans="1:31">
      <c r="A355" s="206" t="s">
        <v>1226</v>
      </c>
      <c r="C355" s="201">
        <v>102</v>
      </c>
      <c r="D355" s="201">
        <v>0.3619</v>
      </c>
      <c r="E355" s="202">
        <v>8.8450000000000006</v>
      </c>
      <c r="F355" s="202">
        <v>0.20219999999999999</v>
      </c>
      <c r="G355" s="201">
        <f t="shared" si="28"/>
        <v>9.0472000000000001</v>
      </c>
      <c r="H355" s="201">
        <v>8.8706999999999994</v>
      </c>
      <c r="I355" s="201">
        <f t="shared" si="29"/>
        <v>0.17650000000000077</v>
      </c>
      <c r="J355" s="201">
        <f t="shared" si="30"/>
        <v>2.5699999999999223E-2</v>
      </c>
      <c r="K355" s="280">
        <f t="shared" si="31"/>
        <v>12.710187932739478</v>
      </c>
      <c r="L355" s="201">
        <v>3</v>
      </c>
      <c r="M355" s="203">
        <v>43181.645833333336</v>
      </c>
      <c r="N355" s="203">
        <v>43181.833333333336</v>
      </c>
      <c r="O355" s="201" t="s">
        <v>2556</v>
      </c>
      <c r="P355" s="201"/>
      <c r="AB355" s="110" t="str">
        <f>IFERROR(INDEX('WetLitterbags placem_collection'!$A$3:$A$500,MATCH(A355,'WetLitterbags placem_collection'!$K$4:$K$500,0)),"")</f>
        <v/>
      </c>
      <c r="AC355" s="110">
        <f>IFERROR(INDEX('WetLitterbags placem_collection'!$A$3:$A$500,MATCH($A355,'WetLitterbags placem_collection'!$O$4:$O$500,0)),"")</f>
        <v>101</v>
      </c>
      <c r="AD355" s="110" t="str">
        <f>IFERROR(INDEX('WetLitterbags placem_collection'!$A$3:$A$500,MATCH($A355,'WetLitterbags placem_collection'!$M$4:$M$500,0)),"")</f>
        <v/>
      </c>
      <c r="AE355" s="110" t="str">
        <f>IFERROR(INDEX('WetLitterbags placem_collection'!$A$3:$A$500,MATCH($A355,'WetLitterbags placem_collection'!$Q$4:$Q$500,0)),"")</f>
        <v/>
      </c>
    </row>
    <row r="356" spans="1:31">
      <c r="A356" s="201" t="s">
        <v>1225</v>
      </c>
      <c r="C356" s="201">
        <v>121</v>
      </c>
      <c r="D356" s="201">
        <v>0.42509999999999998</v>
      </c>
      <c r="E356" s="201">
        <v>11.153499999999999</v>
      </c>
      <c r="F356" s="201">
        <v>0.20530000000000001</v>
      </c>
      <c r="G356" s="201">
        <f t="shared" si="28"/>
        <v>11.358799999999999</v>
      </c>
      <c r="H356" s="201">
        <v>11.174300000000001</v>
      </c>
      <c r="I356" s="201">
        <f t="shared" si="29"/>
        <v>0.18449999999999811</v>
      </c>
      <c r="J356" s="201">
        <f t="shared" si="30"/>
        <v>2.08000000000019E-2</v>
      </c>
      <c r="K356" s="280">
        <f t="shared" si="31"/>
        <v>10.131514856308767</v>
      </c>
      <c r="L356" s="201">
        <v>11</v>
      </c>
      <c r="M356" s="205">
        <v>43188</v>
      </c>
      <c r="N356" s="205">
        <v>43188</v>
      </c>
      <c r="O356" s="201"/>
      <c r="P356" s="201"/>
      <c r="AB356" s="110" t="str">
        <f>IFERROR(INDEX('WetLitterbags placem_collection'!$A$3:$A$500,MATCH(A356,'WetLitterbags placem_collection'!$K$4:$K$500,0)),"")</f>
        <v/>
      </c>
      <c r="AC356" s="110">
        <f>IFERROR(INDEX('WetLitterbags placem_collection'!$A$3:$A$500,MATCH($A356,'WetLitterbags placem_collection'!$O$4:$O$500,0)),"")</f>
        <v>120</v>
      </c>
      <c r="AD356" s="110" t="str">
        <f>IFERROR(INDEX('WetLitterbags placem_collection'!$A$3:$A$500,MATCH($A356,'WetLitterbags placem_collection'!$M$4:$M$500,0)),"")</f>
        <v/>
      </c>
      <c r="AE356" s="110" t="str">
        <f>IFERROR(INDEX('WetLitterbags placem_collection'!$A$3:$A$500,MATCH($A356,'WetLitterbags placem_collection'!$Q$4:$Q$500,0)),"")</f>
        <v/>
      </c>
    </row>
    <row r="357" spans="1:31">
      <c r="A357" s="197" t="s">
        <v>1224</v>
      </c>
      <c r="C357" s="197">
        <v>179</v>
      </c>
      <c r="D357" s="197">
        <v>0.4194</v>
      </c>
      <c r="E357" s="201">
        <v>10.0555</v>
      </c>
      <c r="F357" s="202">
        <v>0.20530000000000001</v>
      </c>
      <c r="G357" s="201">
        <f t="shared" si="28"/>
        <v>10.2608</v>
      </c>
      <c r="H357" s="201">
        <v>10.073499999999999</v>
      </c>
      <c r="I357" s="201">
        <f t="shared" si="29"/>
        <v>0.18730000000000047</v>
      </c>
      <c r="J357" s="201">
        <f t="shared" si="30"/>
        <v>1.7999999999999544E-2</v>
      </c>
      <c r="K357" s="280">
        <f t="shared" si="31"/>
        <v>8.7676570871892565</v>
      </c>
      <c r="L357" s="201">
        <v>29</v>
      </c>
      <c r="M357" s="204">
        <v>43212</v>
      </c>
      <c r="AB357" s="110" t="str">
        <f>IFERROR(INDEX('WetLitterbags placem_collection'!$A$3:$A$500,MATCH(A357,'WetLitterbags placem_collection'!$K$4:$K$500,0)),"")</f>
        <v/>
      </c>
      <c r="AC357" s="110">
        <f>IFERROR(INDEX('WetLitterbags placem_collection'!$A$3:$A$500,MATCH($A357,'WetLitterbags placem_collection'!$O$4:$O$500,0)),"")</f>
        <v>178</v>
      </c>
      <c r="AD357" s="110" t="str">
        <f>IFERROR(INDEX('WetLitterbags placem_collection'!$A$3:$A$500,MATCH($A357,'WetLitterbags placem_collection'!$M$4:$M$500,0)),"")</f>
        <v/>
      </c>
      <c r="AE357" s="110" t="str">
        <f>IFERROR(INDEX('WetLitterbags placem_collection'!$A$3:$A$500,MATCH($A357,'WetLitterbags placem_collection'!$Q$4:$Q$500,0)),"")</f>
        <v/>
      </c>
    </row>
    <row r="358" spans="1:31">
      <c r="A358" s="201" t="s">
        <v>1223</v>
      </c>
      <c r="C358" s="201">
        <v>155</v>
      </c>
      <c r="D358" s="202">
        <v>0.40339999999999998</v>
      </c>
      <c r="E358" s="201">
        <v>9.3427000000000007</v>
      </c>
      <c r="F358" s="202">
        <v>0.19980000000000001</v>
      </c>
      <c r="G358" s="201">
        <f t="shared" si="28"/>
        <v>9.5425000000000004</v>
      </c>
      <c r="H358" s="201">
        <v>9.3811</v>
      </c>
      <c r="I358" s="201">
        <f t="shared" si="29"/>
        <v>0.16140000000000043</v>
      </c>
      <c r="J358" s="201">
        <f t="shared" si="30"/>
        <v>3.8399999999999573E-2</v>
      </c>
      <c r="K358" s="280">
        <f t="shared" si="31"/>
        <v>19.219219219219006</v>
      </c>
      <c r="L358" s="201">
        <v>23</v>
      </c>
      <c r="M358" s="205">
        <v>43206</v>
      </c>
      <c r="N358" s="205">
        <v>43206</v>
      </c>
      <c r="O358" s="201"/>
      <c r="P358" s="201"/>
      <c r="AB358" s="110" t="str">
        <f>IFERROR(INDEX('WetLitterbags placem_collection'!$A$3:$A$500,MATCH(A358,'WetLitterbags placem_collection'!$K$4:$K$500,0)),"")</f>
        <v/>
      </c>
      <c r="AC358" s="110">
        <f>IFERROR(INDEX('WetLitterbags placem_collection'!$A$3:$A$500,MATCH($A358,'WetLitterbags placem_collection'!$O$4:$O$500,0)),"")</f>
        <v>154</v>
      </c>
      <c r="AD358" s="110" t="str">
        <f>IFERROR(INDEX('WetLitterbags placem_collection'!$A$3:$A$500,MATCH($A358,'WetLitterbags placem_collection'!$M$4:$M$500,0)),"")</f>
        <v/>
      </c>
      <c r="AE358" s="110" t="str">
        <f>IFERROR(INDEX('WetLitterbags placem_collection'!$A$3:$A$500,MATCH($A358,'WetLitterbags placem_collection'!$Q$4:$Q$500,0)),"")</f>
        <v/>
      </c>
    </row>
    <row r="359" spans="1:31">
      <c r="A359" s="206" t="s">
        <v>1222</v>
      </c>
      <c r="C359" s="201">
        <v>100</v>
      </c>
      <c r="D359" s="201">
        <v>0.36840000000000001</v>
      </c>
      <c r="E359" s="201">
        <v>7.1896000000000004</v>
      </c>
      <c r="F359" s="201">
        <v>0.19839999999999999</v>
      </c>
      <c r="G359" s="201">
        <f t="shared" si="28"/>
        <v>7.3880000000000008</v>
      </c>
      <c r="H359" s="201">
        <v>7.2173999999999996</v>
      </c>
      <c r="I359" s="201">
        <f t="shared" si="29"/>
        <v>0.1706000000000012</v>
      </c>
      <c r="J359" s="201">
        <f t="shared" si="30"/>
        <v>2.7799999999998798E-2</v>
      </c>
      <c r="K359" s="280">
        <f t="shared" si="31"/>
        <v>14.012096774192942</v>
      </c>
      <c r="L359" s="201">
        <v>19</v>
      </c>
      <c r="M359" s="205">
        <v>43188</v>
      </c>
      <c r="N359" s="205">
        <v>43188</v>
      </c>
      <c r="O359" s="201"/>
      <c r="P359" s="201"/>
      <c r="AB359" s="110" t="str">
        <f>IFERROR(INDEX('WetLitterbags placem_collection'!$A$3:$A$500,MATCH(A359,'WetLitterbags placem_collection'!$K$4:$K$500,0)),"")</f>
        <v/>
      </c>
      <c r="AC359" s="110">
        <f>IFERROR(INDEX('WetLitterbags placem_collection'!$A$3:$A$500,MATCH($A359,'WetLitterbags placem_collection'!$O$4:$O$500,0)),"")</f>
        <v>99</v>
      </c>
      <c r="AD359" s="110" t="str">
        <f>IFERROR(INDEX('WetLitterbags placem_collection'!$A$3:$A$500,MATCH($A359,'WetLitterbags placem_collection'!$M$4:$M$500,0)),"")</f>
        <v/>
      </c>
      <c r="AE359" s="110" t="str">
        <f>IFERROR(INDEX('WetLitterbags placem_collection'!$A$3:$A$500,MATCH($A359,'WetLitterbags placem_collection'!$Q$4:$Q$500,0)),"")</f>
        <v/>
      </c>
    </row>
    <row r="360" spans="1:31">
      <c r="A360" s="206" t="s">
        <v>1220</v>
      </c>
      <c r="C360" s="201">
        <v>130</v>
      </c>
      <c r="D360" s="202">
        <v>0.35759999999999997</v>
      </c>
      <c r="E360" s="202">
        <v>10.0557</v>
      </c>
      <c r="F360" s="202">
        <v>0.20030000000000001</v>
      </c>
      <c r="G360" s="201">
        <f t="shared" si="28"/>
        <v>10.256</v>
      </c>
      <c r="H360" s="201">
        <v>10.081099999999999</v>
      </c>
      <c r="I360" s="201">
        <f t="shared" si="29"/>
        <v>0.17490000000000094</v>
      </c>
      <c r="J360" s="201">
        <f t="shared" si="30"/>
        <v>2.5399999999999062E-2</v>
      </c>
      <c r="K360" s="280">
        <f t="shared" si="31"/>
        <v>12.680978532201229</v>
      </c>
      <c r="L360" s="201">
        <v>36</v>
      </c>
      <c r="M360" s="203">
        <v>43181.645833333336</v>
      </c>
      <c r="N360" s="203">
        <v>43181.833333333336</v>
      </c>
      <c r="O360" s="201" t="s">
        <v>2556</v>
      </c>
      <c r="P360" s="201"/>
      <c r="AB360" s="110">
        <f>IFERROR(INDEX('WetLitterbags placem_collection'!$A$3:$A$500,MATCH(A360,'WetLitterbags placem_collection'!$K$4:$K$500,0)),"")</f>
        <v>129</v>
      </c>
      <c r="AC360" s="110" t="str">
        <f>IFERROR(INDEX('WetLitterbags placem_collection'!$A$3:$A$500,MATCH($A360,'WetLitterbags placem_collection'!$O$4:$O$500,0)),"")</f>
        <v/>
      </c>
      <c r="AD360" s="110" t="str">
        <f>IFERROR(INDEX('WetLitterbags placem_collection'!$A$3:$A$500,MATCH($A360,'WetLitterbags placem_collection'!$M$4:$M$500,0)),"")</f>
        <v/>
      </c>
      <c r="AE360" s="110" t="str">
        <f>IFERROR(INDEX('WetLitterbags placem_collection'!$A$3:$A$500,MATCH($A360,'WetLitterbags placem_collection'!$Q$4:$Q$500,0)),"")</f>
        <v/>
      </c>
    </row>
    <row r="361" spans="1:31">
      <c r="A361" s="201" t="s">
        <v>1219</v>
      </c>
      <c r="C361" s="201">
        <v>111</v>
      </c>
      <c r="D361" s="201">
        <v>0.49049999999999999</v>
      </c>
      <c r="E361" s="202">
        <v>8.7337000000000007</v>
      </c>
      <c r="F361" s="202">
        <v>0.2054</v>
      </c>
      <c r="G361" s="201">
        <f t="shared" si="28"/>
        <v>8.9390999999999998</v>
      </c>
      <c r="H361" s="201">
        <v>8.7631999999999994</v>
      </c>
      <c r="I361" s="201">
        <f t="shared" si="29"/>
        <v>0.17590000000000039</v>
      </c>
      <c r="J361" s="201">
        <f t="shared" si="30"/>
        <v>2.949999999999961E-2</v>
      </c>
      <c r="K361" s="280">
        <f t="shared" si="31"/>
        <v>14.3622200584224</v>
      </c>
      <c r="L361" s="201">
        <v>47</v>
      </c>
      <c r="M361" s="207">
        <v>43186.458333333336</v>
      </c>
      <c r="N361" s="207">
        <v>43186.625</v>
      </c>
      <c r="O361" s="197" t="s">
        <v>2550</v>
      </c>
      <c r="P361" s="201"/>
      <c r="AB361" s="110">
        <f>IFERROR(INDEX('WetLitterbags placem_collection'!$A$3:$A$500,MATCH(A361,'WetLitterbags placem_collection'!$K$4:$K$500,0)),"")</f>
        <v>110</v>
      </c>
      <c r="AC361" s="110" t="str">
        <f>IFERROR(INDEX('WetLitterbags placem_collection'!$A$3:$A$500,MATCH($A361,'WetLitterbags placem_collection'!$O$4:$O$500,0)),"")</f>
        <v/>
      </c>
      <c r="AD361" s="110" t="str">
        <f>IFERROR(INDEX('WetLitterbags placem_collection'!$A$3:$A$500,MATCH($A361,'WetLitterbags placem_collection'!$M$4:$M$500,0)),"")</f>
        <v/>
      </c>
      <c r="AE361" s="110" t="str">
        <f>IFERROR(INDEX('WetLitterbags placem_collection'!$A$3:$A$500,MATCH($A361,'WetLitterbags placem_collection'!$Q$4:$Q$500,0)),"")</f>
        <v/>
      </c>
    </row>
    <row r="362" spans="1:31">
      <c r="A362" s="197" t="s">
        <v>1218</v>
      </c>
      <c r="C362" s="197">
        <v>136</v>
      </c>
      <c r="D362" s="197">
        <v>0.38069999999999998</v>
      </c>
      <c r="E362" s="197">
        <v>7.0791000000000004</v>
      </c>
      <c r="F362" s="197">
        <v>0.2029</v>
      </c>
      <c r="G362" s="197">
        <f t="shared" si="28"/>
        <v>7.282</v>
      </c>
      <c r="H362" s="197">
        <v>7.1097000000000001</v>
      </c>
      <c r="I362" s="197">
        <f t="shared" si="29"/>
        <v>0.1722999999999999</v>
      </c>
      <c r="J362" s="201">
        <f t="shared" si="30"/>
        <v>3.0600000000000099E-2</v>
      </c>
      <c r="K362" s="280">
        <f t="shared" si="31"/>
        <v>15.08132084770828</v>
      </c>
      <c r="L362" s="197">
        <v>7</v>
      </c>
      <c r="M362" s="197">
        <v>43157.527777777781</v>
      </c>
      <c r="N362" s="197">
        <v>43157.694444444445</v>
      </c>
      <c r="O362" s="197" t="s">
        <v>2556</v>
      </c>
      <c r="AB362" s="110">
        <f>IFERROR(INDEX('WetLitterbags placem_collection'!$A$3:$A$500,MATCH(A362,'WetLitterbags placem_collection'!$K$4:$K$500,0)),"")</f>
        <v>135</v>
      </c>
      <c r="AC362" s="110" t="str">
        <f>IFERROR(INDEX('WetLitterbags placem_collection'!$A$3:$A$500,MATCH($A362,'WetLitterbags placem_collection'!$O$4:$O$500,0)),"")</f>
        <v/>
      </c>
      <c r="AD362" s="110" t="str">
        <f>IFERROR(INDEX('WetLitterbags placem_collection'!$A$3:$A$500,MATCH($A362,'WetLitterbags placem_collection'!$M$4:$M$500,0)),"")</f>
        <v/>
      </c>
      <c r="AE362" s="110" t="str">
        <f>IFERROR(INDEX('WetLitterbags placem_collection'!$A$3:$A$500,MATCH($A362,'WetLitterbags placem_collection'!$Q$4:$Q$500,0)),"")</f>
        <v/>
      </c>
    </row>
    <row r="363" spans="1:31">
      <c r="A363" s="197" t="s">
        <v>1217</v>
      </c>
      <c r="C363" s="197">
        <v>128</v>
      </c>
      <c r="D363" s="197">
        <v>0.37309999999999999</v>
      </c>
      <c r="E363" s="197">
        <v>8.4431999999999992</v>
      </c>
      <c r="F363" s="197">
        <v>0.1978</v>
      </c>
      <c r="G363" s="197">
        <f t="shared" si="28"/>
        <v>8.641</v>
      </c>
      <c r="H363" s="197">
        <v>8.4629999999999992</v>
      </c>
      <c r="I363" s="197">
        <f t="shared" si="29"/>
        <v>0.17800000000000082</v>
      </c>
      <c r="J363" s="201">
        <f t="shared" si="30"/>
        <v>1.9799999999999179E-2</v>
      </c>
      <c r="K363" s="280">
        <f t="shared" si="31"/>
        <v>10.010111223457624</v>
      </c>
      <c r="L363" s="197">
        <v>10</v>
      </c>
      <c r="M363" s="197">
        <v>43157.395833333336</v>
      </c>
      <c r="N363" s="197">
        <v>43157.569444444445</v>
      </c>
      <c r="O363" s="197" t="s">
        <v>2550</v>
      </c>
      <c r="AB363" s="110" t="str">
        <f>IFERROR(INDEX('WetLitterbags placem_collection'!$A$3:$A$500,MATCH(A363,'WetLitterbags placem_collection'!$K$4:$K$500,0)),"")</f>
        <v/>
      </c>
      <c r="AC363" s="110">
        <f>IFERROR(INDEX('WetLitterbags placem_collection'!$A$3:$A$500,MATCH($A363,'WetLitterbags placem_collection'!$O$4:$O$500,0)),"")</f>
        <v>127</v>
      </c>
      <c r="AD363" s="110" t="str">
        <f>IFERROR(INDEX('WetLitterbags placem_collection'!$A$3:$A$500,MATCH($A363,'WetLitterbags placem_collection'!$M$4:$M$500,0)),"")</f>
        <v/>
      </c>
      <c r="AE363" s="110" t="str">
        <f>IFERROR(INDEX('WetLitterbags placem_collection'!$A$3:$A$500,MATCH($A363,'WetLitterbags placem_collection'!$Q$4:$Q$500,0)),"")</f>
        <v/>
      </c>
    </row>
    <row r="364" spans="1:31">
      <c r="A364" s="197" t="s">
        <v>1216</v>
      </c>
      <c r="C364" s="197">
        <v>128</v>
      </c>
      <c r="D364" s="197">
        <v>0.35189999999999999</v>
      </c>
      <c r="E364" s="197">
        <v>8.7677999999999994</v>
      </c>
      <c r="F364" s="197">
        <v>0.20730000000000001</v>
      </c>
      <c r="G364" s="197">
        <f t="shared" si="28"/>
        <v>8.9750999999999994</v>
      </c>
      <c r="H364" s="197">
        <v>8.7946000000000009</v>
      </c>
      <c r="I364" s="197">
        <f t="shared" si="29"/>
        <v>0.18049999999999855</v>
      </c>
      <c r="J364" s="201">
        <f t="shared" si="30"/>
        <v>2.6800000000001462E-2</v>
      </c>
      <c r="K364" s="280">
        <f t="shared" si="31"/>
        <v>12.928123492523619</v>
      </c>
      <c r="L364" s="197">
        <v>9</v>
      </c>
      <c r="M364" s="197">
        <v>43157.395833333336</v>
      </c>
      <c r="N364" s="197">
        <v>43157.569444444445</v>
      </c>
      <c r="O364" s="197" t="s">
        <v>2550</v>
      </c>
      <c r="AB364" s="110">
        <f>IFERROR(INDEX('WetLitterbags placem_collection'!$A$3:$A$500,MATCH(A364,'WetLitterbags placem_collection'!$K$4:$K$500,0)),"")</f>
        <v>127</v>
      </c>
      <c r="AC364" s="110" t="str">
        <f>IFERROR(INDEX('WetLitterbags placem_collection'!$A$3:$A$500,MATCH($A364,'WetLitterbags placem_collection'!$O$4:$O$500,0)),"")</f>
        <v/>
      </c>
      <c r="AD364" s="110" t="str">
        <f>IFERROR(INDEX('WetLitterbags placem_collection'!$A$3:$A$500,MATCH($A364,'WetLitterbags placem_collection'!$M$4:$M$500,0)),"")</f>
        <v/>
      </c>
      <c r="AE364" s="110" t="str">
        <f>IFERROR(INDEX('WetLitterbags placem_collection'!$A$3:$A$500,MATCH($A364,'WetLitterbags placem_collection'!$Q$4:$Q$500,0)),"")</f>
        <v/>
      </c>
    </row>
    <row r="365" spans="1:31">
      <c r="A365" s="201" t="s">
        <v>1214</v>
      </c>
      <c r="C365" s="201">
        <v>143</v>
      </c>
      <c r="D365" s="201">
        <v>0.42659999999999998</v>
      </c>
      <c r="E365" s="201">
        <v>9.0321999999999996</v>
      </c>
      <c r="F365" s="201">
        <v>0.20749999999999999</v>
      </c>
      <c r="G365" s="201">
        <f t="shared" si="28"/>
        <v>9.2396999999999991</v>
      </c>
      <c r="H365" s="201">
        <v>9.0593000000000004</v>
      </c>
      <c r="I365" s="201">
        <f t="shared" si="29"/>
        <v>0.18039999999999878</v>
      </c>
      <c r="J365" s="201">
        <f t="shared" si="30"/>
        <v>2.7100000000001206E-2</v>
      </c>
      <c r="K365" s="280">
        <f t="shared" si="31"/>
        <v>13.060240963856003</v>
      </c>
      <c r="L365" s="201">
        <v>12</v>
      </c>
      <c r="M365" s="203">
        <v>43171.520833333336</v>
      </c>
      <c r="N365" s="203">
        <v>43171.6875</v>
      </c>
      <c r="O365" s="197" t="s">
        <v>2550</v>
      </c>
      <c r="P365" s="201"/>
      <c r="AB365" s="110">
        <f>IFERROR(INDEX('WetLitterbags placem_collection'!$A$3:$A$500,MATCH(A365,'WetLitterbags placem_collection'!$K$4:$K$500,0)),"")</f>
        <v>142</v>
      </c>
      <c r="AC365" s="110" t="str">
        <f>IFERROR(INDEX('WetLitterbags placem_collection'!$A$3:$A$500,MATCH($A365,'WetLitterbags placem_collection'!$O$4:$O$500,0)),"")</f>
        <v/>
      </c>
      <c r="AD365" s="110" t="str">
        <f>IFERROR(INDEX('WetLitterbags placem_collection'!$A$3:$A$500,MATCH($A365,'WetLitterbags placem_collection'!$M$4:$M$500,0)),"")</f>
        <v/>
      </c>
      <c r="AE365" s="110" t="str">
        <f>IFERROR(INDEX('WetLitterbags placem_collection'!$A$3:$A$500,MATCH($A365,'WetLitterbags placem_collection'!$Q$4:$Q$500,0)),"")</f>
        <v/>
      </c>
    </row>
    <row r="366" spans="1:31">
      <c r="A366" s="206" t="s">
        <v>1213</v>
      </c>
      <c r="C366" s="201">
        <v>106</v>
      </c>
      <c r="D366" s="202">
        <v>0.39040000000000002</v>
      </c>
      <c r="E366" s="202">
        <v>10.7933</v>
      </c>
      <c r="F366" s="202">
        <v>0.20569999999999999</v>
      </c>
      <c r="G366" s="201">
        <f t="shared" si="28"/>
        <v>10.999000000000001</v>
      </c>
      <c r="H366" s="201">
        <v>10.821999999999999</v>
      </c>
      <c r="I366" s="201">
        <f t="shared" si="29"/>
        <v>0.17700000000000138</v>
      </c>
      <c r="J366" s="201">
        <f t="shared" si="30"/>
        <v>2.8699999999998616E-2</v>
      </c>
      <c r="K366" s="280">
        <f t="shared" si="31"/>
        <v>13.95235780262451</v>
      </c>
      <c r="L366" s="201">
        <v>40</v>
      </c>
      <c r="M366" s="203">
        <v>43181.645833333336</v>
      </c>
      <c r="N366" s="203">
        <v>43181.833333333336</v>
      </c>
      <c r="O366" s="201" t="s">
        <v>2556</v>
      </c>
      <c r="P366" s="201"/>
      <c r="AB366" s="110">
        <f>IFERROR(INDEX('WetLitterbags placem_collection'!$A$3:$A$500,MATCH(A366,'WetLitterbags placem_collection'!$K$4:$K$500,0)),"")</f>
        <v>105</v>
      </c>
      <c r="AC366" s="110" t="str">
        <f>IFERROR(INDEX('WetLitterbags placem_collection'!$A$3:$A$500,MATCH($A366,'WetLitterbags placem_collection'!$O$4:$O$500,0)),"")</f>
        <v/>
      </c>
      <c r="AD366" s="110" t="str">
        <f>IFERROR(INDEX('WetLitterbags placem_collection'!$A$3:$A$500,MATCH($A366,'WetLitterbags placem_collection'!$M$4:$M$500,0)),"")</f>
        <v/>
      </c>
      <c r="AE366" s="110" t="str">
        <f>IFERROR(INDEX('WetLitterbags placem_collection'!$A$3:$A$500,MATCH($A366,'WetLitterbags placem_collection'!$Q$4:$Q$500,0)),"")</f>
        <v/>
      </c>
    </row>
    <row r="367" spans="1:31">
      <c r="A367" s="197" t="s">
        <v>1212</v>
      </c>
      <c r="C367" s="198">
        <v>29</v>
      </c>
      <c r="D367" s="197">
        <v>0.51539999999999997</v>
      </c>
      <c r="E367" s="201">
        <v>8.1179000000000006</v>
      </c>
      <c r="F367" s="202">
        <v>0.20630000000000001</v>
      </c>
      <c r="G367" s="201">
        <f t="shared" si="28"/>
        <v>8.3242000000000012</v>
      </c>
      <c r="H367" s="201">
        <v>8.1349</v>
      </c>
      <c r="I367" s="201">
        <f t="shared" si="29"/>
        <v>0.18930000000000113</v>
      </c>
      <c r="J367" s="201">
        <f t="shared" si="30"/>
        <v>1.6999999999998877E-2</v>
      </c>
      <c r="K367" s="280">
        <f t="shared" si="31"/>
        <v>8.2404265632568467</v>
      </c>
      <c r="L367" s="201">
        <v>8</v>
      </c>
      <c r="M367" s="204">
        <v>43213</v>
      </c>
      <c r="N367" s="204">
        <v>43213</v>
      </c>
      <c r="AB367" s="110">
        <f>IFERROR(INDEX('WetLitterbags placem_collection'!$A$3:$A$500,MATCH(A367,'WetLitterbags placem_collection'!$K$4:$K$500,0)),"")</f>
        <v>28</v>
      </c>
      <c r="AC367" s="110" t="str">
        <f>IFERROR(INDEX('WetLitterbags placem_collection'!$A$3:$A$500,MATCH($A367,'WetLitterbags placem_collection'!$O$4:$O$500,0)),"")</f>
        <v/>
      </c>
      <c r="AD367" s="110" t="str">
        <f>IFERROR(INDEX('WetLitterbags placem_collection'!$A$3:$A$500,MATCH($A367,'WetLitterbags placem_collection'!$M$4:$M$500,0)),"")</f>
        <v/>
      </c>
      <c r="AE367" s="110" t="str">
        <f>IFERROR(INDEX('WetLitterbags placem_collection'!$A$3:$A$500,MATCH($A367,'WetLitterbags placem_collection'!$Q$4:$Q$500,0)),"")</f>
        <v/>
      </c>
    </row>
    <row r="368" spans="1:31">
      <c r="A368" s="206" t="s">
        <v>1211</v>
      </c>
      <c r="C368" s="201">
        <v>122</v>
      </c>
      <c r="D368" s="201">
        <v>0.41839999999999999</v>
      </c>
      <c r="E368" s="202">
        <v>8.2185000000000006</v>
      </c>
      <c r="F368" s="202">
        <v>0.20039999999999999</v>
      </c>
      <c r="G368" s="201">
        <f t="shared" si="28"/>
        <v>8.4189000000000007</v>
      </c>
      <c r="H368" s="201">
        <v>8.2510999999999992</v>
      </c>
      <c r="I368" s="201">
        <f t="shared" si="29"/>
        <v>0.1678000000000015</v>
      </c>
      <c r="J368" s="201">
        <f t="shared" si="30"/>
        <v>3.2599999999998491E-2</v>
      </c>
      <c r="K368" s="280">
        <f t="shared" si="31"/>
        <v>16.267465069859526</v>
      </c>
      <c r="L368" s="201">
        <v>7</v>
      </c>
      <c r="M368" s="203">
        <v>43181.645833333336</v>
      </c>
      <c r="N368" s="203">
        <v>43181.833333333336</v>
      </c>
      <c r="O368" s="201" t="s">
        <v>2556</v>
      </c>
      <c r="P368" s="201"/>
      <c r="AB368" s="110" t="str">
        <f>IFERROR(INDEX('WetLitterbags placem_collection'!$A$3:$A$500,MATCH(A368,'WetLitterbags placem_collection'!$K$4:$K$500,0)),"")</f>
        <v/>
      </c>
      <c r="AC368" s="110">
        <f>IFERROR(INDEX('WetLitterbags placem_collection'!$A$3:$A$500,MATCH($A368,'WetLitterbags placem_collection'!$O$4:$O$500,0)),"")</f>
        <v>121</v>
      </c>
      <c r="AD368" s="110" t="str">
        <f>IFERROR(INDEX('WetLitterbags placem_collection'!$A$3:$A$500,MATCH($A368,'WetLitterbags placem_collection'!$M$4:$M$500,0)),"")</f>
        <v/>
      </c>
      <c r="AE368" s="110" t="str">
        <f>IFERROR(INDEX('WetLitterbags placem_collection'!$A$3:$A$500,MATCH($A368,'WetLitterbags placem_collection'!$Q$4:$Q$500,0)),"")</f>
        <v/>
      </c>
    </row>
    <row r="369" spans="1:31">
      <c r="A369" s="206" t="s">
        <v>1210</v>
      </c>
      <c r="C369" s="201">
        <v>82</v>
      </c>
      <c r="D369" s="201">
        <v>0.53169999999999995</v>
      </c>
      <c r="E369" s="202">
        <v>9.7276000000000007</v>
      </c>
      <c r="F369" s="202">
        <v>0.2026</v>
      </c>
      <c r="G369" s="201">
        <f t="shared" si="28"/>
        <v>9.930200000000001</v>
      </c>
      <c r="H369" s="201">
        <v>9.7446000000000002</v>
      </c>
      <c r="I369" s="201">
        <f t="shared" si="29"/>
        <v>0.18560000000000088</v>
      </c>
      <c r="J369" s="201">
        <f t="shared" si="30"/>
        <v>1.6999999999999127E-2</v>
      </c>
      <c r="K369" s="280">
        <f t="shared" si="31"/>
        <v>8.3909180651525794</v>
      </c>
      <c r="L369" s="201">
        <v>19</v>
      </c>
      <c r="M369" s="205">
        <v>43197</v>
      </c>
      <c r="N369" s="205">
        <v>43197</v>
      </c>
      <c r="O369" s="201"/>
      <c r="P369" s="201"/>
      <c r="AB369" s="110" t="str">
        <f>IFERROR(INDEX('WetLitterbags placem_collection'!$A$3:$A$500,MATCH(A369,'WetLitterbags placem_collection'!$K$4:$K$500,0)),"")</f>
        <v/>
      </c>
      <c r="AC369" s="110">
        <f>IFERROR(INDEX('WetLitterbags placem_collection'!$A$3:$A$500,MATCH($A369,'WetLitterbags placem_collection'!$O$4:$O$500,0)),"")</f>
        <v>81</v>
      </c>
      <c r="AD369" s="110" t="str">
        <f>IFERROR(INDEX('WetLitterbags placem_collection'!$A$3:$A$500,MATCH($A369,'WetLitterbags placem_collection'!$M$4:$M$500,0)),"")</f>
        <v/>
      </c>
      <c r="AE369" s="110" t="str">
        <f>IFERROR(INDEX('WetLitterbags placem_collection'!$A$3:$A$500,MATCH($A369,'WetLitterbags placem_collection'!$Q$4:$Q$500,0)),"")</f>
        <v/>
      </c>
    </row>
    <row r="370" spans="1:31">
      <c r="A370" s="197" t="s">
        <v>1209</v>
      </c>
      <c r="C370" s="197">
        <v>126</v>
      </c>
      <c r="D370" s="197">
        <v>0.3841</v>
      </c>
      <c r="E370" s="197">
        <v>7.3541999999999996</v>
      </c>
      <c r="F370" s="197">
        <v>0.19570000000000001</v>
      </c>
      <c r="G370" s="197">
        <f t="shared" si="28"/>
        <v>7.5499000000000001</v>
      </c>
      <c r="H370" s="197">
        <v>7.3788</v>
      </c>
      <c r="I370" s="197">
        <f t="shared" si="29"/>
        <v>0.17110000000000003</v>
      </c>
      <c r="J370" s="201">
        <f t="shared" si="30"/>
        <v>2.4599999999999983E-2</v>
      </c>
      <c r="K370" s="280">
        <f t="shared" si="31"/>
        <v>12.570260602963709</v>
      </c>
      <c r="L370" s="197">
        <v>2</v>
      </c>
      <c r="M370" s="197">
        <v>43157.527777777781</v>
      </c>
      <c r="N370" s="197">
        <v>43157.694444444445</v>
      </c>
      <c r="O370" s="197" t="s">
        <v>2556</v>
      </c>
      <c r="AB370" s="110" t="str">
        <f>IFERROR(INDEX('WetLitterbags placem_collection'!$A$3:$A$500,MATCH(A370,'WetLitterbags placem_collection'!$K$4:$K$500,0)),"")</f>
        <v/>
      </c>
      <c r="AC370" s="110">
        <f>IFERROR(INDEX('WetLitterbags placem_collection'!$A$3:$A$500,MATCH($A370,'WetLitterbags placem_collection'!$O$4:$O$500,0)),"")</f>
        <v>125</v>
      </c>
      <c r="AD370" s="110" t="str">
        <f>IFERROR(INDEX('WetLitterbags placem_collection'!$A$3:$A$500,MATCH($A370,'WetLitterbags placem_collection'!$M$4:$M$500,0)),"")</f>
        <v/>
      </c>
      <c r="AE370" s="110" t="str">
        <f>IFERROR(INDEX('WetLitterbags placem_collection'!$A$3:$A$500,MATCH($A370,'WetLitterbags placem_collection'!$Q$4:$Q$500,0)),"")</f>
        <v/>
      </c>
    </row>
    <row r="371" spans="1:31">
      <c r="A371" s="201" t="s">
        <v>1208</v>
      </c>
      <c r="C371" s="201">
        <v>135</v>
      </c>
      <c r="D371" s="201">
        <f>0.17+F371</f>
        <v>0.37019999999999997</v>
      </c>
      <c r="E371" s="202">
        <v>10.107200000000001</v>
      </c>
      <c r="F371" s="202">
        <v>0.20019999999999999</v>
      </c>
      <c r="G371" s="201">
        <f t="shared" ref="G371:G434" si="32">E371+F371</f>
        <v>10.307400000000001</v>
      </c>
      <c r="H371" s="201">
        <v>10.135999999999999</v>
      </c>
      <c r="I371" s="201">
        <f t="shared" ref="I371:I434" si="33">(G371-H371)</f>
        <v>0.171400000000002</v>
      </c>
      <c r="J371" s="201">
        <f t="shared" ref="J371:J434" si="34">F371-I371</f>
        <v>2.8799999999997994E-2</v>
      </c>
      <c r="K371" s="280">
        <f t="shared" ref="K371:K434" si="35">(J371/F371)*100</f>
        <v>14.385614385613385</v>
      </c>
      <c r="L371" s="201">
        <v>27</v>
      </c>
      <c r="M371" s="205">
        <v>43174</v>
      </c>
      <c r="N371" s="205">
        <v>43174</v>
      </c>
      <c r="O371" s="201" t="s">
        <v>2556</v>
      </c>
      <c r="P371" s="201" t="s">
        <v>2551</v>
      </c>
      <c r="AB371" s="110" t="str">
        <f>IFERROR(INDEX('WetLitterbags placem_collection'!$A$3:$A$500,MATCH(A371,'WetLitterbags placem_collection'!$K$4:$K$500,0)),"")</f>
        <v/>
      </c>
      <c r="AC371" s="110">
        <f>IFERROR(INDEX('WetLitterbags placem_collection'!$A$3:$A$500,MATCH($A371,'WetLitterbags placem_collection'!$O$4:$O$500,0)),"")</f>
        <v>134</v>
      </c>
      <c r="AD371" s="110" t="str">
        <f>IFERROR(INDEX('WetLitterbags placem_collection'!$A$3:$A$500,MATCH($A371,'WetLitterbags placem_collection'!$M$4:$M$500,0)),"")</f>
        <v/>
      </c>
      <c r="AE371" s="110" t="str">
        <f>IFERROR(INDEX('WetLitterbags placem_collection'!$A$3:$A$500,MATCH($A371,'WetLitterbags placem_collection'!$Q$4:$Q$500,0)),"")</f>
        <v/>
      </c>
    </row>
    <row r="372" spans="1:31">
      <c r="A372" s="206" t="s">
        <v>1205</v>
      </c>
      <c r="C372" s="201">
        <v>108</v>
      </c>
      <c r="D372" s="201">
        <v>0.3609</v>
      </c>
      <c r="E372" s="202">
        <v>7.7736000000000001</v>
      </c>
      <c r="F372" s="202">
        <v>0.2011</v>
      </c>
      <c r="G372" s="201">
        <f t="shared" si="32"/>
        <v>7.9747000000000003</v>
      </c>
      <c r="H372" s="201">
        <v>7.7999000000000001</v>
      </c>
      <c r="I372" s="201">
        <f t="shared" si="33"/>
        <v>0.17480000000000029</v>
      </c>
      <c r="J372" s="201">
        <f t="shared" si="34"/>
        <v>2.6299999999999712E-2</v>
      </c>
      <c r="K372" s="280">
        <f t="shared" si="35"/>
        <v>13.078070611635859</v>
      </c>
      <c r="L372" s="201">
        <v>38</v>
      </c>
      <c r="M372" s="207">
        <v>43186.458333333336</v>
      </c>
      <c r="N372" s="207">
        <v>43186.625</v>
      </c>
      <c r="O372" s="197" t="s">
        <v>2550</v>
      </c>
      <c r="P372" s="201"/>
      <c r="AB372" s="110" t="str">
        <f>IFERROR(INDEX('WetLitterbags placem_collection'!$A$3:$A$500,MATCH(A372,'WetLitterbags placem_collection'!$K$4:$K$500,0)),"")</f>
        <v/>
      </c>
      <c r="AC372" s="110">
        <f>IFERROR(INDEX('WetLitterbags placem_collection'!$A$3:$A$500,MATCH($A372,'WetLitterbags placem_collection'!$O$4:$O$500,0)),"")</f>
        <v>107</v>
      </c>
      <c r="AD372" s="110" t="str">
        <f>IFERROR(INDEX('WetLitterbags placem_collection'!$A$3:$A$500,MATCH($A372,'WetLitterbags placem_collection'!$M$4:$M$500,0)),"")</f>
        <v/>
      </c>
      <c r="AE372" s="110" t="str">
        <f>IFERROR(INDEX('WetLitterbags placem_collection'!$A$3:$A$500,MATCH($A372,'WetLitterbags placem_collection'!$Q$4:$Q$500,0)),"")</f>
        <v/>
      </c>
    </row>
    <row r="373" spans="1:31">
      <c r="A373" s="197" t="s">
        <v>1204</v>
      </c>
      <c r="C373" s="197">
        <v>133</v>
      </c>
      <c r="D373" s="197">
        <v>0.38790000000000002</v>
      </c>
      <c r="E373" s="197">
        <v>9.0521999999999991</v>
      </c>
      <c r="F373" s="197">
        <v>0.20130000000000001</v>
      </c>
      <c r="G373" s="197">
        <f t="shared" si="32"/>
        <v>9.2534999999999989</v>
      </c>
      <c r="H373" s="197">
        <v>9.0749999999999993</v>
      </c>
      <c r="I373" s="197">
        <f t="shared" si="33"/>
        <v>0.17849999999999966</v>
      </c>
      <c r="J373" s="201">
        <f t="shared" si="34"/>
        <v>2.2800000000000348E-2</v>
      </c>
      <c r="K373" s="280">
        <f t="shared" si="35"/>
        <v>11.326378539493467</v>
      </c>
      <c r="L373" s="197">
        <v>17</v>
      </c>
      <c r="M373" s="197">
        <v>43157.395833333336</v>
      </c>
      <c r="N373" s="197">
        <v>43157.569444444445</v>
      </c>
      <c r="O373" s="197" t="s">
        <v>2550</v>
      </c>
      <c r="AB373" s="110">
        <f>IFERROR(INDEX('WetLitterbags placem_collection'!$A$3:$A$500,MATCH(A373,'WetLitterbags placem_collection'!$K$4:$K$500,0)),"")</f>
        <v>132</v>
      </c>
      <c r="AC373" s="110" t="str">
        <f>IFERROR(INDEX('WetLitterbags placem_collection'!$A$3:$A$500,MATCH($A373,'WetLitterbags placem_collection'!$O$4:$O$500,0)),"")</f>
        <v/>
      </c>
      <c r="AD373" s="110" t="str">
        <f>IFERROR(INDEX('WetLitterbags placem_collection'!$A$3:$A$500,MATCH($A373,'WetLitterbags placem_collection'!$M$4:$M$500,0)),"")</f>
        <v/>
      </c>
      <c r="AE373" s="110" t="str">
        <f>IFERROR(INDEX('WetLitterbags placem_collection'!$A$3:$A$500,MATCH($A373,'WetLitterbags placem_collection'!$Q$4:$Q$500,0)),"")</f>
        <v/>
      </c>
    </row>
    <row r="374" spans="1:31">
      <c r="A374" s="197" t="s">
        <v>1203</v>
      </c>
      <c r="C374" s="198">
        <v>97</v>
      </c>
      <c r="D374" s="197">
        <v>0.42770000000000002</v>
      </c>
      <c r="E374" s="202">
        <v>10.921200000000001</v>
      </c>
      <c r="F374" s="202">
        <v>0.20860000000000001</v>
      </c>
      <c r="G374" s="201">
        <f t="shared" si="32"/>
        <v>11.129800000000001</v>
      </c>
      <c r="H374" s="201">
        <v>10.9663</v>
      </c>
      <c r="I374" s="201">
        <f t="shared" si="33"/>
        <v>0.16350000000000087</v>
      </c>
      <c r="J374" s="201">
        <f t="shared" si="34"/>
        <v>4.5099999999999141E-2</v>
      </c>
      <c r="K374" s="280">
        <f t="shared" si="35"/>
        <v>21.620325982741679</v>
      </c>
      <c r="L374" s="201">
        <v>11</v>
      </c>
      <c r="AB374" s="110" t="str">
        <f>IFERROR(INDEX('WetLitterbags placem_collection'!$A$3:$A$500,MATCH(A374,'WetLitterbags placem_collection'!$K$4:$K$500,0)),"")</f>
        <v/>
      </c>
      <c r="AC374" s="110">
        <f>IFERROR(INDEX('WetLitterbags placem_collection'!$A$3:$A$500,MATCH($A374,'WetLitterbags placem_collection'!$O$4:$O$500,0)),"")</f>
        <v>96</v>
      </c>
      <c r="AD374" s="110" t="str">
        <f>IFERROR(INDEX('WetLitterbags placem_collection'!$A$3:$A$500,MATCH($A374,'WetLitterbags placem_collection'!$M$4:$M$500,0)),"")</f>
        <v/>
      </c>
      <c r="AE374" s="110" t="str">
        <f>IFERROR(INDEX('WetLitterbags placem_collection'!$A$3:$A$500,MATCH($A374,'WetLitterbags placem_collection'!$Q$4:$Q$500,0)),"")</f>
        <v/>
      </c>
    </row>
    <row r="375" spans="1:31">
      <c r="A375" s="197" t="s">
        <v>1201</v>
      </c>
      <c r="C375" s="197">
        <v>220</v>
      </c>
      <c r="D375" s="197">
        <v>0.46010000000000001</v>
      </c>
      <c r="E375" s="202">
        <v>7.9047999999999998</v>
      </c>
      <c r="F375" s="202">
        <v>0.20230000000000001</v>
      </c>
      <c r="G375" s="201">
        <f t="shared" si="32"/>
        <v>8.1070999999999991</v>
      </c>
      <c r="H375" s="201">
        <v>7.9282000000000004</v>
      </c>
      <c r="I375" s="201">
        <f t="shared" si="33"/>
        <v>0.17889999999999873</v>
      </c>
      <c r="J375" s="201">
        <f t="shared" si="34"/>
        <v>2.3400000000001281E-2</v>
      </c>
      <c r="K375" s="280">
        <f t="shared" si="35"/>
        <v>11.566979733070331</v>
      </c>
      <c r="L375" s="201">
        <v>17</v>
      </c>
      <c r="AB375" s="110" t="str">
        <f>IFERROR(INDEX('WetLitterbags placem_collection'!$A$3:$A$500,MATCH(A375,'WetLitterbags placem_collection'!$K$4:$K$500,0)),"")</f>
        <v/>
      </c>
      <c r="AC375" s="110">
        <f>IFERROR(INDEX('WetLitterbags placem_collection'!$A$3:$A$500,MATCH($A375,'WetLitterbags placem_collection'!$O$4:$O$500,0)),"")</f>
        <v>219</v>
      </c>
      <c r="AD375" s="110" t="str">
        <f>IFERROR(INDEX('WetLitterbags placem_collection'!$A$3:$A$500,MATCH($A375,'WetLitterbags placem_collection'!$M$4:$M$500,0)),"")</f>
        <v/>
      </c>
      <c r="AE375" s="110" t="str">
        <f>IFERROR(INDEX('WetLitterbags placem_collection'!$A$3:$A$500,MATCH($A375,'WetLitterbags placem_collection'!$Q$4:$Q$500,0)),"")</f>
        <v/>
      </c>
    </row>
    <row r="376" spans="1:31">
      <c r="A376" s="206" t="s">
        <v>1200</v>
      </c>
      <c r="C376" s="201">
        <v>142</v>
      </c>
      <c r="D376" s="201">
        <v>0.5554</v>
      </c>
      <c r="E376" s="202">
        <v>8.7684999999999995</v>
      </c>
      <c r="F376" s="202">
        <v>0.20230000000000001</v>
      </c>
      <c r="G376" s="201">
        <f t="shared" si="32"/>
        <v>8.9707999999999988</v>
      </c>
      <c r="H376" s="201">
        <v>8.7984000000000009</v>
      </c>
      <c r="I376" s="201">
        <f t="shared" si="33"/>
        <v>0.17239999999999789</v>
      </c>
      <c r="J376" s="201">
        <f t="shared" si="34"/>
        <v>2.9900000000002119E-2</v>
      </c>
      <c r="K376" s="280">
        <f t="shared" si="35"/>
        <v>14.780029658923441</v>
      </c>
      <c r="L376" s="201">
        <v>2</v>
      </c>
      <c r="M376" s="207">
        <v>43186.458333333336</v>
      </c>
      <c r="N376" s="207">
        <v>43186.625</v>
      </c>
      <c r="O376" s="197" t="s">
        <v>2550</v>
      </c>
      <c r="P376" s="201"/>
      <c r="AB376" s="110" t="str">
        <f>IFERROR(INDEX('WetLitterbags placem_collection'!$A$3:$A$500,MATCH(A376,'WetLitterbags placem_collection'!$K$4:$K$500,0)),"")</f>
        <v/>
      </c>
      <c r="AC376" s="110">
        <f>IFERROR(INDEX('WetLitterbags placem_collection'!$A$3:$A$500,MATCH($A376,'WetLitterbags placem_collection'!$O$4:$O$500,0)),"")</f>
        <v>141</v>
      </c>
      <c r="AD376" s="110" t="str">
        <f>IFERROR(INDEX('WetLitterbags placem_collection'!$A$3:$A$500,MATCH($A376,'WetLitterbags placem_collection'!$M$4:$M$500,0)),"")</f>
        <v/>
      </c>
      <c r="AE376" s="110" t="str">
        <f>IFERROR(INDEX('WetLitterbags placem_collection'!$A$3:$A$500,MATCH($A376,'WetLitterbags placem_collection'!$Q$4:$Q$500,0)),"")</f>
        <v/>
      </c>
    </row>
    <row r="377" spans="1:31">
      <c r="A377" s="197" t="s">
        <v>1198</v>
      </c>
      <c r="C377" s="197">
        <v>112</v>
      </c>
      <c r="D377" s="197">
        <v>0.48280000000000001</v>
      </c>
      <c r="E377" s="197">
        <v>20.991</v>
      </c>
      <c r="F377" s="197">
        <v>0.20369999999999999</v>
      </c>
      <c r="G377" s="197">
        <f t="shared" si="32"/>
        <v>21.194700000000001</v>
      </c>
      <c r="H377" s="197">
        <v>21.018999999999998</v>
      </c>
      <c r="I377" s="197">
        <f t="shared" si="33"/>
        <v>0.17570000000000263</v>
      </c>
      <c r="J377" s="201">
        <f t="shared" si="34"/>
        <v>2.799999999999736E-2</v>
      </c>
      <c r="K377" s="280">
        <f t="shared" si="35"/>
        <v>13.745704467352656</v>
      </c>
      <c r="L377" s="197">
        <v>12</v>
      </c>
      <c r="M377" s="197" t="s">
        <v>2576</v>
      </c>
      <c r="N377" s="197">
        <v>43153.729166666664</v>
      </c>
      <c r="O377" s="197" t="s">
        <v>2550</v>
      </c>
      <c r="P377" s="197" t="s">
        <v>2574</v>
      </c>
      <c r="AB377" s="110" t="str">
        <f>IFERROR(INDEX('WetLitterbags placem_collection'!$A$3:$A$500,MATCH(A377,'WetLitterbags placem_collection'!$K$4:$K$500,0)),"")</f>
        <v/>
      </c>
      <c r="AC377" s="110">
        <f>IFERROR(INDEX('WetLitterbags placem_collection'!$A$3:$A$500,MATCH($A377,'WetLitterbags placem_collection'!$O$4:$O$500,0)),"")</f>
        <v>111</v>
      </c>
      <c r="AD377" s="110" t="str">
        <f>IFERROR(INDEX('WetLitterbags placem_collection'!$A$3:$A$500,MATCH($A377,'WetLitterbags placem_collection'!$M$4:$M$500,0)),"")</f>
        <v/>
      </c>
      <c r="AE377" s="110" t="str">
        <f>IFERROR(INDEX('WetLitterbags placem_collection'!$A$3:$A$500,MATCH($A377,'WetLitterbags placem_collection'!$Q$4:$Q$500,0)),"")</f>
        <v/>
      </c>
    </row>
    <row r="378" spans="1:31">
      <c r="A378" s="197" t="s">
        <v>1197</v>
      </c>
      <c r="C378" s="198">
        <v>152</v>
      </c>
      <c r="D378" s="197">
        <v>0.38779999999999998</v>
      </c>
      <c r="E378" s="202">
        <v>10.794</v>
      </c>
      <c r="F378" s="202">
        <v>0.2019</v>
      </c>
      <c r="G378" s="201">
        <f t="shared" si="32"/>
        <v>10.995900000000001</v>
      </c>
      <c r="H378" s="201">
        <v>10.836</v>
      </c>
      <c r="I378" s="201">
        <f t="shared" si="33"/>
        <v>0.15990000000000038</v>
      </c>
      <c r="J378" s="201">
        <f t="shared" si="34"/>
        <v>4.1999999999999621E-2</v>
      </c>
      <c r="K378" s="280">
        <f t="shared" si="35"/>
        <v>20.802377414561477</v>
      </c>
      <c r="L378" s="201">
        <v>35</v>
      </c>
      <c r="M378" s="204">
        <v>43221</v>
      </c>
      <c r="N378" s="204">
        <v>43221</v>
      </c>
      <c r="AB378" s="110">
        <f>IFERROR(INDEX('WetLitterbags placem_collection'!$A$3:$A$500,MATCH(A378,'WetLitterbags placem_collection'!$K$4:$K$500,0)),"")</f>
        <v>151</v>
      </c>
      <c r="AC378" s="110" t="str">
        <f>IFERROR(INDEX('WetLitterbags placem_collection'!$A$3:$A$500,MATCH($A378,'WetLitterbags placem_collection'!$O$4:$O$500,0)),"")</f>
        <v/>
      </c>
      <c r="AD378" s="110" t="str">
        <f>IFERROR(INDEX('WetLitterbags placem_collection'!$A$3:$A$500,MATCH($A378,'WetLitterbags placem_collection'!$M$4:$M$500,0)),"")</f>
        <v/>
      </c>
      <c r="AE378" s="110" t="str">
        <f>IFERROR(INDEX('WetLitterbags placem_collection'!$A$3:$A$500,MATCH($A378,'WetLitterbags placem_collection'!$Q$4:$Q$500,0)),"")</f>
        <v/>
      </c>
    </row>
    <row r="379" spans="1:31">
      <c r="A379" s="201" t="s">
        <v>1194</v>
      </c>
      <c r="C379" s="201">
        <v>51</v>
      </c>
      <c r="D379" s="202">
        <v>0.56730000000000003</v>
      </c>
      <c r="E379" s="201">
        <v>10.153600000000001</v>
      </c>
      <c r="F379" s="202">
        <v>0.20530000000000001</v>
      </c>
      <c r="G379" s="201">
        <f t="shared" si="32"/>
        <v>10.3589</v>
      </c>
      <c r="H379" s="201">
        <v>10.173299999999999</v>
      </c>
      <c r="I379" s="201">
        <f t="shared" si="33"/>
        <v>0.18560000000000088</v>
      </c>
      <c r="J379" s="201">
        <f t="shared" si="34"/>
        <v>1.9699999999999135E-2</v>
      </c>
      <c r="K379" s="280">
        <f t="shared" si="35"/>
        <v>9.5957135898680637</v>
      </c>
      <c r="L379" s="201">
        <v>23</v>
      </c>
      <c r="M379" s="201"/>
      <c r="N379" s="201"/>
      <c r="O379" s="201"/>
      <c r="P379" s="201"/>
      <c r="R379" s="197">
        <v>9</v>
      </c>
      <c r="S379" s="197">
        <v>0.63880000000000003</v>
      </c>
      <c r="U379" s="202" t="s">
        <v>640</v>
      </c>
      <c r="V379" s="197">
        <v>0.68730000000000002</v>
      </c>
      <c r="W379" s="197">
        <f>(V379-$T$175+F377)</f>
        <v>0.89100000000000001</v>
      </c>
      <c r="AB379" s="110" t="str">
        <f>IFERROR(INDEX('WetLitterbags placem_collection'!$A$3:$A$500,MATCH(A379,'WetLitterbags placem_collection'!$K$4:$K$500,0)),"")</f>
        <v/>
      </c>
      <c r="AC379" s="110">
        <f>IFERROR(INDEX('WetLitterbags placem_collection'!$A$3:$A$500,MATCH($A379,'WetLitterbags placem_collection'!$O$4:$O$500,0)),"")</f>
        <v>50</v>
      </c>
      <c r="AD379" s="110" t="str">
        <f>IFERROR(INDEX('WetLitterbags placem_collection'!$A$3:$A$500,MATCH($A379,'WetLitterbags placem_collection'!$M$4:$M$500,0)),"")</f>
        <v/>
      </c>
      <c r="AE379" s="110" t="str">
        <f>IFERROR(INDEX('WetLitterbags placem_collection'!$A$3:$A$500,MATCH($A379,'WetLitterbags placem_collection'!$Q$4:$Q$500,0)),"")</f>
        <v/>
      </c>
    </row>
    <row r="380" spans="1:31">
      <c r="A380" s="201" t="s">
        <v>1193</v>
      </c>
      <c r="C380" s="201">
        <v>137</v>
      </c>
      <c r="D380" s="202">
        <v>0.41739999999999999</v>
      </c>
      <c r="E380" s="201">
        <v>9.0518999999999998</v>
      </c>
      <c r="F380" s="202">
        <v>0.20660000000000001</v>
      </c>
      <c r="G380" s="201">
        <f t="shared" si="32"/>
        <v>9.2584999999999997</v>
      </c>
      <c r="H380" s="201">
        <v>9.0825999999999993</v>
      </c>
      <c r="I380" s="201">
        <f t="shared" si="33"/>
        <v>0.17590000000000039</v>
      </c>
      <c r="J380" s="201">
        <f t="shared" si="34"/>
        <v>3.0699999999999616E-2</v>
      </c>
      <c r="K380" s="280">
        <f t="shared" si="35"/>
        <v>14.85963213939962</v>
      </c>
      <c r="L380" s="201">
        <v>27</v>
      </c>
      <c r="M380" s="205">
        <v>43206</v>
      </c>
      <c r="N380" s="205">
        <v>43206</v>
      </c>
      <c r="O380" s="201"/>
      <c r="P380" s="201"/>
      <c r="AB380" s="110" t="str">
        <f>IFERROR(INDEX('WetLitterbags placem_collection'!$A$3:$A$500,MATCH(A380,'WetLitterbags placem_collection'!$K$4:$K$500,0)),"")</f>
        <v/>
      </c>
      <c r="AC380" s="110">
        <f>IFERROR(INDEX('WetLitterbags placem_collection'!$A$3:$A$500,MATCH($A380,'WetLitterbags placem_collection'!$O$4:$O$500,0)),"")</f>
        <v>136</v>
      </c>
      <c r="AD380" s="110" t="str">
        <f>IFERROR(INDEX('WetLitterbags placem_collection'!$A$3:$A$500,MATCH($A380,'WetLitterbags placem_collection'!$M$4:$M$500,0)),"")</f>
        <v/>
      </c>
      <c r="AE380" s="110" t="str">
        <f>IFERROR(INDEX('WetLitterbags placem_collection'!$A$3:$A$500,MATCH($A380,'WetLitterbags placem_collection'!$Q$4:$Q$500,0)),"")</f>
        <v/>
      </c>
    </row>
    <row r="381" spans="1:31">
      <c r="A381" s="197" t="s">
        <v>1192</v>
      </c>
      <c r="C381" s="197">
        <v>215</v>
      </c>
      <c r="D381" s="197">
        <v>0.50380000000000003</v>
      </c>
      <c r="E381" s="202">
        <v>9.8874999999999993</v>
      </c>
      <c r="F381" s="202">
        <v>0.20039999999999999</v>
      </c>
      <c r="G381" s="201">
        <f t="shared" si="32"/>
        <v>10.087899999999999</v>
      </c>
      <c r="H381" s="201">
        <v>9.9017999999999997</v>
      </c>
      <c r="I381" s="201">
        <f t="shared" si="33"/>
        <v>0.18609999999999971</v>
      </c>
      <c r="J381" s="201">
        <f t="shared" si="34"/>
        <v>1.4300000000000285E-2</v>
      </c>
      <c r="K381" s="280">
        <f t="shared" si="35"/>
        <v>7.1357285429143147</v>
      </c>
      <c r="L381" s="201">
        <v>24</v>
      </c>
      <c r="M381" s="204">
        <v>43221</v>
      </c>
      <c r="N381" s="204">
        <v>43221</v>
      </c>
      <c r="AB381" s="110">
        <f>IFERROR(INDEX('WetLitterbags placem_collection'!$A$3:$A$500,MATCH(A381,'WetLitterbags placem_collection'!$K$4:$K$500,0)),"")</f>
        <v>214</v>
      </c>
      <c r="AC381" s="110" t="str">
        <f>IFERROR(INDEX('WetLitterbags placem_collection'!$A$3:$A$500,MATCH($A381,'WetLitterbags placem_collection'!$O$4:$O$500,0)),"")</f>
        <v/>
      </c>
      <c r="AD381" s="110" t="str">
        <f>IFERROR(INDEX('WetLitterbags placem_collection'!$A$3:$A$500,MATCH($A381,'WetLitterbags placem_collection'!$M$4:$M$500,0)),"")</f>
        <v/>
      </c>
      <c r="AE381" s="110" t="str">
        <f>IFERROR(INDEX('WetLitterbags placem_collection'!$A$3:$A$500,MATCH($A381,'WetLitterbags placem_collection'!$Q$4:$Q$500,0)),"")</f>
        <v/>
      </c>
    </row>
    <row r="382" spans="1:31">
      <c r="A382" s="201" t="s">
        <v>1191</v>
      </c>
      <c r="C382" s="201">
        <v>155</v>
      </c>
      <c r="D382" s="202">
        <v>0.46060000000000001</v>
      </c>
      <c r="E382" s="201">
        <v>9.0318000000000005</v>
      </c>
      <c r="F382" s="202">
        <v>0.2041</v>
      </c>
      <c r="G382" s="201">
        <f t="shared" si="32"/>
        <v>9.2359000000000009</v>
      </c>
      <c r="H382" s="201">
        <v>9.0668000000000006</v>
      </c>
      <c r="I382" s="201">
        <f t="shared" si="33"/>
        <v>0.16910000000000025</v>
      </c>
      <c r="J382" s="201">
        <f t="shared" si="34"/>
        <v>3.4999999999999754E-2</v>
      </c>
      <c r="K382" s="280">
        <f t="shared" si="35"/>
        <v>17.148456638902378</v>
      </c>
      <c r="L382" s="201">
        <v>24</v>
      </c>
      <c r="M382" s="205">
        <v>43206</v>
      </c>
      <c r="N382" s="205">
        <v>43206</v>
      </c>
      <c r="O382" s="201"/>
      <c r="P382" s="201"/>
      <c r="AB382" s="110">
        <f>IFERROR(INDEX('WetLitterbags placem_collection'!$A$3:$A$500,MATCH(A382,'WetLitterbags placem_collection'!$K$4:$K$500,0)),"")</f>
        <v>154</v>
      </c>
      <c r="AC382" s="110" t="str">
        <f>IFERROR(INDEX('WetLitterbags placem_collection'!$A$3:$A$500,MATCH($A382,'WetLitterbags placem_collection'!$O$4:$O$500,0)),"")</f>
        <v/>
      </c>
      <c r="AD382" s="110" t="str">
        <f>IFERROR(INDEX('WetLitterbags placem_collection'!$A$3:$A$500,MATCH($A382,'WetLitterbags placem_collection'!$M$4:$M$500,0)),"")</f>
        <v/>
      </c>
      <c r="AE382" s="110" t="str">
        <f>IFERROR(INDEX('WetLitterbags placem_collection'!$A$3:$A$500,MATCH($A382,'WetLitterbags placem_collection'!$Q$4:$Q$500,0)),"")</f>
        <v/>
      </c>
    </row>
    <row r="383" spans="1:31">
      <c r="A383" s="206" t="s">
        <v>1190</v>
      </c>
      <c r="C383" s="201">
        <v>122</v>
      </c>
      <c r="D383" s="201">
        <v>0.55149999999999999</v>
      </c>
      <c r="E383" s="202">
        <v>8.1179000000000006</v>
      </c>
      <c r="F383" s="202">
        <v>0.20180000000000001</v>
      </c>
      <c r="G383" s="201">
        <f t="shared" si="32"/>
        <v>8.319700000000001</v>
      </c>
      <c r="H383" s="201">
        <v>8.1837</v>
      </c>
      <c r="I383" s="201">
        <f t="shared" si="33"/>
        <v>0.13600000000000101</v>
      </c>
      <c r="J383" s="201">
        <f t="shared" si="34"/>
        <v>6.5799999999998998E-2</v>
      </c>
      <c r="K383" s="280">
        <f t="shared" si="35"/>
        <v>32.606541129831015</v>
      </c>
      <c r="L383" s="201">
        <v>8</v>
      </c>
      <c r="M383" s="203">
        <v>43181.645833333336</v>
      </c>
      <c r="N383" s="203">
        <v>43181.833333333336</v>
      </c>
      <c r="O383" s="201" t="s">
        <v>2556</v>
      </c>
      <c r="P383" s="201"/>
      <c r="AB383" s="110">
        <f>IFERROR(INDEX('WetLitterbags placem_collection'!$A$3:$A$500,MATCH(A383,'WetLitterbags placem_collection'!$K$4:$K$500,0)),"")</f>
        <v>121</v>
      </c>
      <c r="AC383" s="110" t="str">
        <f>IFERROR(INDEX('WetLitterbags placem_collection'!$A$3:$A$500,MATCH($A383,'WetLitterbags placem_collection'!$O$4:$O$500,0)),"")</f>
        <v/>
      </c>
      <c r="AD383" s="110" t="str">
        <f>IFERROR(INDEX('WetLitterbags placem_collection'!$A$3:$A$500,MATCH($A383,'WetLitterbags placem_collection'!$M$4:$M$500,0)),"")</f>
        <v/>
      </c>
      <c r="AE383" s="110" t="str">
        <f>IFERROR(INDEX('WetLitterbags placem_collection'!$A$3:$A$500,MATCH($A383,'WetLitterbags placem_collection'!$Q$4:$Q$500,0)),"")</f>
        <v/>
      </c>
    </row>
    <row r="384" spans="1:31">
      <c r="A384" s="197" t="s">
        <v>1189</v>
      </c>
      <c r="C384" s="197">
        <v>105</v>
      </c>
      <c r="D384" s="197">
        <v>0.39269999999999999</v>
      </c>
      <c r="E384" s="197">
        <v>20.041599999999999</v>
      </c>
      <c r="F384" s="197">
        <v>0.11600000000000001</v>
      </c>
      <c r="G384" s="197">
        <f t="shared" si="32"/>
        <v>20.157599999999999</v>
      </c>
      <c r="H384" s="197">
        <v>20.065300000000001</v>
      </c>
      <c r="I384" s="197">
        <f t="shared" si="33"/>
        <v>9.229999999999805E-2</v>
      </c>
      <c r="J384" s="201">
        <f t="shared" si="34"/>
        <v>2.3700000000001956E-2</v>
      </c>
      <c r="K384" s="280">
        <f t="shared" si="35"/>
        <v>20.431034482760303</v>
      </c>
      <c r="L384" s="197">
        <v>9</v>
      </c>
      <c r="M384" s="197" t="s">
        <v>2576</v>
      </c>
      <c r="N384" s="197">
        <v>43153.729166666664</v>
      </c>
      <c r="O384" s="197" t="s">
        <v>2550</v>
      </c>
      <c r="P384" s="197" t="s">
        <v>2575</v>
      </c>
      <c r="AB384" s="110" t="str">
        <f>IFERROR(INDEX('WetLitterbags placem_collection'!$A$3:$A$500,MATCH(A384,'WetLitterbags placem_collection'!$K$4:$K$500,0)),"")</f>
        <v/>
      </c>
      <c r="AC384" s="110">
        <f>IFERROR(INDEX('WetLitterbags placem_collection'!$A$3:$A$500,MATCH($A384,'WetLitterbags placem_collection'!$O$4:$O$500,0)),"")</f>
        <v>104</v>
      </c>
      <c r="AD384" s="110" t="str">
        <f>IFERROR(INDEX('WetLitterbags placem_collection'!$A$3:$A$500,MATCH($A384,'WetLitterbags placem_collection'!$M$4:$M$500,0)),"")</f>
        <v/>
      </c>
      <c r="AE384" s="110" t="str">
        <f>IFERROR(INDEX('WetLitterbags placem_collection'!$A$3:$A$500,MATCH($A384,'WetLitterbags placem_collection'!$Q$4:$Q$500,0)),"")</f>
        <v/>
      </c>
    </row>
    <row r="385" spans="1:31">
      <c r="A385" s="197" t="s">
        <v>1187</v>
      </c>
      <c r="C385" s="198">
        <v>193</v>
      </c>
      <c r="D385" s="197">
        <v>0.46110000000000001</v>
      </c>
      <c r="E385" s="202">
        <v>10.116099999999999</v>
      </c>
      <c r="F385" s="202">
        <v>0.20549999999999999</v>
      </c>
      <c r="G385" s="201">
        <f t="shared" si="32"/>
        <v>10.3216</v>
      </c>
      <c r="H385" s="201">
        <v>10.132999999999999</v>
      </c>
      <c r="I385" s="201">
        <f t="shared" si="33"/>
        <v>0.18860000000000099</v>
      </c>
      <c r="J385" s="201">
        <f t="shared" si="34"/>
        <v>1.6899999999998999E-2</v>
      </c>
      <c r="K385" s="280">
        <f t="shared" si="35"/>
        <v>8.2238442822379554</v>
      </c>
      <c r="L385" s="201">
        <v>27</v>
      </c>
      <c r="M385" s="204">
        <v>43221</v>
      </c>
      <c r="N385" s="204">
        <v>43221</v>
      </c>
      <c r="AB385" s="110">
        <f>IFERROR(INDEX('WetLitterbags placem_collection'!$A$3:$A$500,MATCH(A385,'WetLitterbags placem_collection'!$K$4:$K$500,0)),"")</f>
        <v>192</v>
      </c>
      <c r="AC385" s="110" t="str">
        <f>IFERROR(INDEX('WetLitterbags placem_collection'!$A$3:$A$500,MATCH($A385,'WetLitterbags placem_collection'!$O$4:$O$500,0)),"")</f>
        <v/>
      </c>
      <c r="AD385" s="110" t="str">
        <f>IFERROR(INDEX('WetLitterbags placem_collection'!$A$3:$A$500,MATCH($A385,'WetLitterbags placem_collection'!$M$4:$M$500,0)),"")</f>
        <v/>
      </c>
      <c r="AE385" s="110" t="str">
        <f>IFERROR(INDEX('WetLitterbags placem_collection'!$A$3:$A$500,MATCH($A385,'WetLitterbags placem_collection'!$Q$4:$Q$500,0)),"")</f>
        <v/>
      </c>
    </row>
    <row r="386" spans="1:31">
      <c r="A386" s="197" t="s">
        <v>1186</v>
      </c>
      <c r="C386" s="198">
        <v>25</v>
      </c>
      <c r="D386" s="197">
        <v>0.46579999999999999</v>
      </c>
      <c r="E386" s="201">
        <v>8.2188999999999997</v>
      </c>
      <c r="F386" s="202">
        <v>0.20449999999999999</v>
      </c>
      <c r="G386" s="201">
        <f t="shared" si="32"/>
        <v>8.4233999999999991</v>
      </c>
      <c r="H386" s="201">
        <v>8.2508999999999997</v>
      </c>
      <c r="I386" s="201">
        <f t="shared" si="33"/>
        <v>0.17249999999999943</v>
      </c>
      <c r="J386" s="201">
        <f t="shared" si="34"/>
        <v>3.2000000000000556E-2</v>
      </c>
      <c r="K386" s="280">
        <f t="shared" si="35"/>
        <v>15.647921760391469</v>
      </c>
      <c r="L386" s="201">
        <v>20</v>
      </c>
      <c r="M386" s="204">
        <v>43212</v>
      </c>
      <c r="AB386" s="110" t="str">
        <f>IFERROR(INDEX('WetLitterbags placem_collection'!$A$3:$A$500,MATCH(A386,'WetLitterbags placem_collection'!$K$4:$K$500,0)),"")</f>
        <v/>
      </c>
      <c r="AC386" s="110">
        <f>IFERROR(INDEX('WetLitterbags placem_collection'!$A$3:$A$500,MATCH($A386,'WetLitterbags placem_collection'!$O$4:$O$500,0)),"")</f>
        <v>24</v>
      </c>
      <c r="AD386" s="110" t="str">
        <f>IFERROR(INDEX('WetLitterbags placem_collection'!$A$3:$A$500,MATCH($A386,'WetLitterbags placem_collection'!$M$4:$M$500,0)),"")</f>
        <v/>
      </c>
      <c r="AE386" s="110" t="str">
        <f>IFERROR(INDEX('WetLitterbags placem_collection'!$A$3:$A$500,MATCH($A386,'WetLitterbags placem_collection'!$Q$4:$Q$500,0)),"")</f>
        <v/>
      </c>
    </row>
    <row r="387" spans="1:31">
      <c r="A387" s="201" t="s">
        <v>1185</v>
      </c>
      <c r="C387" s="201">
        <v>173</v>
      </c>
      <c r="D387" s="202">
        <v>0.45369999999999999</v>
      </c>
      <c r="E387" s="202">
        <v>9.0315999999999992</v>
      </c>
      <c r="F387" s="202">
        <v>0.20019999999999999</v>
      </c>
      <c r="G387" s="201">
        <f t="shared" si="32"/>
        <v>9.2317999999999998</v>
      </c>
      <c r="H387" s="201">
        <v>9.0498999999999992</v>
      </c>
      <c r="I387" s="201">
        <f t="shared" si="33"/>
        <v>0.18190000000000062</v>
      </c>
      <c r="J387" s="201">
        <f t="shared" si="34"/>
        <v>1.8299999999999372E-2</v>
      </c>
      <c r="K387" s="280">
        <f t="shared" si="35"/>
        <v>9.1408591408588276</v>
      </c>
      <c r="L387" s="201">
        <v>23</v>
      </c>
      <c r="M387" s="203">
        <v>43181.645833333336</v>
      </c>
      <c r="N387" s="203">
        <v>43181.833333333336</v>
      </c>
      <c r="O387" s="201" t="s">
        <v>2556</v>
      </c>
      <c r="P387" s="206" t="s">
        <v>2561</v>
      </c>
      <c r="AB387" s="110" t="str">
        <f>IFERROR(INDEX('WetLitterbags placem_collection'!$A$3:$A$500,MATCH(A387,'WetLitterbags placem_collection'!$K$4:$K$500,0)),"")</f>
        <v/>
      </c>
      <c r="AC387" s="110">
        <f>IFERROR(INDEX('WetLitterbags placem_collection'!$A$3:$A$500,MATCH($A387,'WetLitterbags placem_collection'!$O$4:$O$500,0)),"")</f>
        <v>172</v>
      </c>
      <c r="AD387" s="110" t="str">
        <f>IFERROR(INDEX('WetLitterbags placem_collection'!$A$3:$A$500,MATCH($A387,'WetLitterbags placem_collection'!$M$4:$M$500,0)),"")</f>
        <v/>
      </c>
      <c r="AE387" s="110" t="str">
        <f>IFERROR(INDEX('WetLitterbags placem_collection'!$A$3:$A$500,MATCH($A387,'WetLitterbags placem_collection'!$Q$4:$Q$500,0)),"")</f>
        <v/>
      </c>
    </row>
    <row r="388" spans="1:31">
      <c r="A388" s="206" t="s">
        <v>1183</v>
      </c>
      <c r="C388" s="201">
        <v>124</v>
      </c>
      <c r="D388" s="201">
        <v>0.56330000000000002</v>
      </c>
      <c r="E388" s="202">
        <v>9.8217999999999996</v>
      </c>
      <c r="F388" s="202">
        <v>0.20699999999999999</v>
      </c>
      <c r="G388" s="201">
        <f t="shared" si="32"/>
        <v>10.0288</v>
      </c>
      <c r="H388" s="201">
        <v>9.8872</v>
      </c>
      <c r="I388" s="201">
        <f t="shared" si="33"/>
        <v>0.14160000000000039</v>
      </c>
      <c r="J388" s="201">
        <f t="shared" si="34"/>
        <v>6.5399999999999597E-2</v>
      </c>
      <c r="K388" s="280">
        <f t="shared" si="35"/>
        <v>31.594202898550535</v>
      </c>
      <c r="L388" s="201">
        <v>9</v>
      </c>
      <c r="M388" s="207">
        <v>43185.385416666664</v>
      </c>
      <c r="N388" s="201"/>
      <c r="O388" s="201" t="s">
        <v>2556</v>
      </c>
      <c r="P388" s="201"/>
      <c r="AB388" s="110">
        <f>IFERROR(INDEX('WetLitterbags placem_collection'!$A$3:$A$500,MATCH(A388,'WetLitterbags placem_collection'!$K$4:$K$500,0)),"")</f>
        <v>123</v>
      </c>
      <c r="AC388" s="110" t="str">
        <f>IFERROR(INDEX('WetLitterbags placem_collection'!$A$3:$A$500,MATCH($A388,'WetLitterbags placem_collection'!$O$4:$O$500,0)),"")</f>
        <v/>
      </c>
      <c r="AD388" s="110" t="str">
        <f>IFERROR(INDEX('WetLitterbags placem_collection'!$A$3:$A$500,MATCH($A388,'WetLitterbags placem_collection'!$M$4:$M$500,0)),"")</f>
        <v/>
      </c>
      <c r="AE388" s="110" t="str">
        <f>IFERROR(INDEX('WetLitterbags placem_collection'!$A$3:$A$500,MATCH($A388,'WetLitterbags placem_collection'!$Q$4:$Q$500,0)),"")</f>
        <v/>
      </c>
    </row>
    <row r="389" spans="1:31">
      <c r="A389" s="201" t="s">
        <v>1181</v>
      </c>
      <c r="C389" s="201">
        <v>103</v>
      </c>
      <c r="D389" s="202">
        <v>0.40189999999999998</v>
      </c>
      <c r="E389" s="201">
        <v>10.9217</v>
      </c>
      <c r="F389" s="202">
        <v>0.20250000000000001</v>
      </c>
      <c r="G389" s="201">
        <f t="shared" si="32"/>
        <v>11.1242</v>
      </c>
      <c r="H389" s="201">
        <v>10.9499</v>
      </c>
      <c r="I389" s="201">
        <f t="shared" si="33"/>
        <v>0.17430000000000057</v>
      </c>
      <c r="J389" s="201">
        <f t="shared" si="34"/>
        <v>2.8199999999999448E-2</v>
      </c>
      <c r="K389" s="280">
        <f t="shared" si="35"/>
        <v>13.925925925925654</v>
      </c>
      <c r="L389" s="201">
        <v>28</v>
      </c>
      <c r="M389" s="201"/>
      <c r="N389" s="201"/>
      <c r="O389" s="201"/>
      <c r="P389" s="201"/>
      <c r="AB389" s="110">
        <f>IFERROR(INDEX('WetLitterbags placem_collection'!$A$3:$A$500,MATCH(A389,'WetLitterbags placem_collection'!$K$4:$K$500,0)),"")</f>
        <v>102</v>
      </c>
      <c r="AC389" s="110" t="str">
        <f>IFERROR(INDEX('WetLitterbags placem_collection'!$A$3:$A$500,MATCH($A389,'WetLitterbags placem_collection'!$O$4:$O$500,0)),"")</f>
        <v/>
      </c>
      <c r="AD389" s="110" t="str">
        <f>IFERROR(INDEX('WetLitterbags placem_collection'!$A$3:$A$500,MATCH($A389,'WetLitterbags placem_collection'!$M$4:$M$500,0)),"")</f>
        <v/>
      </c>
      <c r="AE389" s="110" t="str">
        <f>IFERROR(INDEX('WetLitterbags placem_collection'!$A$3:$A$500,MATCH($A389,'WetLitterbags placem_collection'!$Q$4:$Q$500,0)),"")</f>
        <v/>
      </c>
    </row>
    <row r="390" spans="1:31">
      <c r="A390" s="197" t="s">
        <v>1179</v>
      </c>
      <c r="C390" s="198">
        <v>210</v>
      </c>
      <c r="D390" s="197">
        <v>0.60350000000000004</v>
      </c>
      <c r="E390" s="202">
        <v>10.697900000000001</v>
      </c>
      <c r="F390" s="202">
        <v>0.2016</v>
      </c>
      <c r="G390" s="201">
        <f t="shared" si="32"/>
        <v>10.8995</v>
      </c>
      <c r="H390" s="201">
        <v>10.7323</v>
      </c>
      <c r="I390" s="201">
        <f t="shared" si="33"/>
        <v>0.16719999999999935</v>
      </c>
      <c r="J390" s="201">
        <f t="shared" si="34"/>
        <v>3.4400000000000652E-2</v>
      </c>
      <c r="K390" s="280">
        <f t="shared" si="35"/>
        <v>17.063492063492387</v>
      </c>
      <c r="L390" s="201">
        <v>21</v>
      </c>
      <c r="AB390" s="110">
        <f>IFERROR(INDEX('WetLitterbags placem_collection'!$A$3:$A$500,MATCH(A390,'WetLitterbags placem_collection'!$K$4:$K$500,0)),"")</f>
        <v>209</v>
      </c>
      <c r="AC390" s="110" t="str">
        <f>IFERROR(INDEX('WetLitterbags placem_collection'!$A$3:$A$500,MATCH($A390,'WetLitterbags placem_collection'!$O$4:$O$500,0)),"")</f>
        <v/>
      </c>
      <c r="AD390" s="110" t="str">
        <f>IFERROR(INDEX('WetLitterbags placem_collection'!$A$3:$A$500,MATCH($A390,'WetLitterbags placem_collection'!$M$4:$M$500,0)),"")</f>
        <v/>
      </c>
      <c r="AE390" s="110" t="str">
        <f>IFERROR(INDEX('WetLitterbags placem_collection'!$A$3:$A$500,MATCH($A390,'WetLitterbags placem_collection'!$Q$4:$Q$500,0)),"")</f>
        <v/>
      </c>
    </row>
    <row r="391" spans="1:31">
      <c r="A391" s="197" t="s">
        <v>1175</v>
      </c>
      <c r="C391" s="198">
        <v>101</v>
      </c>
      <c r="D391" s="197">
        <v>0.43169999999999997</v>
      </c>
      <c r="E391" s="202">
        <v>9.7734000000000005</v>
      </c>
      <c r="F391" s="202">
        <v>0.20599999999999999</v>
      </c>
      <c r="G391" s="201">
        <f t="shared" si="32"/>
        <v>9.9794</v>
      </c>
      <c r="H391" s="201">
        <v>9.8017000000000003</v>
      </c>
      <c r="I391" s="201">
        <f t="shared" si="33"/>
        <v>0.17769999999999975</v>
      </c>
      <c r="J391" s="201">
        <f t="shared" si="34"/>
        <v>2.8300000000000242E-2</v>
      </c>
      <c r="K391" s="280">
        <f t="shared" si="35"/>
        <v>13.73786407767002</v>
      </c>
      <c r="L391" s="201">
        <v>6</v>
      </c>
      <c r="AB391" s="110" t="str">
        <f>IFERROR(INDEX('WetLitterbags placem_collection'!$A$3:$A$500,MATCH(A391,'WetLitterbags placem_collection'!$K$4:$K$500,0)),"")</f>
        <v/>
      </c>
      <c r="AC391" s="110">
        <f>IFERROR(INDEX('WetLitterbags placem_collection'!$A$3:$A$500,MATCH($A391,'WetLitterbags placem_collection'!$O$4:$O$500,0)),"")</f>
        <v>100</v>
      </c>
      <c r="AD391" s="110" t="str">
        <f>IFERROR(INDEX('WetLitterbags placem_collection'!$A$3:$A$500,MATCH($A391,'WetLitterbags placem_collection'!$M$4:$M$500,0)),"")</f>
        <v/>
      </c>
      <c r="AE391" s="110" t="str">
        <f>IFERROR(INDEX('WetLitterbags placem_collection'!$A$3:$A$500,MATCH($A391,'WetLitterbags placem_collection'!$Q$4:$Q$500,0)),"")</f>
        <v/>
      </c>
    </row>
    <row r="392" spans="1:31">
      <c r="A392" s="206" t="s">
        <v>1174</v>
      </c>
      <c r="C392" s="201">
        <v>160</v>
      </c>
      <c r="D392" s="201">
        <v>0.47570000000000001</v>
      </c>
      <c r="E392" s="201">
        <v>8.3545999999999996</v>
      </c>
      <c r="F392" s="202">
        <v>0.20019999999999999</v>
      </c>
      <c r="G392" s="201">
        <f t="shared" si="32"/>
        <v>8.5548000000000002</v>
      </c>
      <c r="H392" s="201">
        <v>8.3789999999999996</v>
      </c>
      <c r="I392" s="201">
        <f t="shared" si="33"/>
        <v>0.17580000000000062</v>
      </c>
      <c r="J392" s="201">
        <f t="shared" si="34"/>
        <v>2.4399999999999367E-2</v>
      </c>
      <c r="K392" s="280">
        <f t="shared" si="35"/>
        <v>12.187812187811872</v>
      </c>
      <c r="L392" s="201">
        <v>17</v>
      </c>
      <c r="M392" s="205">
        <v>43211</v>
      </c>
      <c r="AB392" s="110" t="str">
        <f>IFERROR(INDEX('WetLitterbags placem_collection'!$A$3:$A$500,MATCH(A392,'WetLitterbags placem_collection'!$K$4:$K$500,0)),"")</f>
        <v/>
      </c>
      <c r="AC392" s="110">
        <f>IFERROR(INDEX('WetLitterbags placem_collection'!$A$3:$A$500,MATCH($A392,'WetLitterbags placem_collection'!$O$4:$O$500,0)),"")</f>
        <v>159</v>
      </c>
      <c r="AD392" s="110" t="str">
        <f>IFERROR(INDEX('WetLitterbags placem_collection'!$A$3:$A$500,MATCH($A392,'WetLitterbags placem_collection'!$M$4:$M$500,0)),"")</f>
        <v/>
      </c>
      <c r="AE392" s="110" t="str">
        <f>IFERROR(INDEX('WetLitterbags placem_collection'!$A$3:$A$500,MATCH($A392,'WetLitterbags placem_collection'!$Q$4:$Q$500,0)),"")</f>
        <v/>
      </c>
    </row>
    <row r="393" spans="1:31">
      <c r="A393" s="201" t="s">
        <v>1173</v>
      </c>
      <c r="C393" s="201">
        <v>199</v>
      </c>
      <c r="D393" s="202">
        <v>0.4622</v>
      </c>
      <c r="E393" s="202">
        <v>11.1212</v>
      </c>
      <c r="F393" s="202">
        <v>0.2011</v>
      </c>
      <c r="G393" s="201">
        <f t="shared" si="32"/>
        <v>11.3223</v>
      </c>
      <c r="H393" s="201">
        <v>11.144600000000001</v>
      </c>
      <c r="I393" s="201">
        <f t="shared" si="33"/>
        <v>0.17769999999999975</v>
      </c>
      <c r="J393" s="201">
        <f t="shared" si="34"/>
        <v>2.3400000000000254E-2</v>
      </c>
      <c r="K393" s="280">
        <f t="shared" si="35"/>
        <v>11.636001989060295</v>
      </c>
      <c r="L393" s="201">
        <v>4</v>
      </c>
      <c r="M393" s="201"/>
      <c r="N393" s="201"/>
      <c r="O393" s="201"/>
      <c r="P393" s="201"/>
      <c r="AB393" s="110">
        <f>IFERROR(INDEX('WetLitterbags placem_collection'!$A$3:$A$500,MATCH(A393,'WetLitterbags placem_collection'!$K$4:$K$500,0)),"")</f>
        <v>198</v>
      </c>
      <c r="AC393" s="110" t="str">
        <f>IFERROR(INDEX('WetLitterbags placem_collection'!$A$3:$A$500,MATCH($A393,'WetLitterbags placem_collection'!$O$4:$O$500,0)),"")</f>
        <v/>
      </c>
      <c r="AD393" s="110" t="str">
        <f>IFERROR(INDEX('WetLitterbags placem_collection'!$A$3:$A$500,MATCH($A393,'WetLitterbags placem_collection'!$M$4:$M$500,0)),"")</f>
        <v/>
      </c>
      <c r="AE393" s="110" t="str">
        <f>IFERROR(INDEX('WetLitterbags placem_collection'!$A$3:$A$500,MATCH($A393,'WetLitterbags placem_collection'!$Q$4:$Q$500,0)),"")</f>
        <v/>
      </c>
    </row>
    <row r="394" spans="1:31">
      <c r="A394" s="201" t="s">
        <v>1172</v>
      </c>
      <c r="C394" s="201">
        <v>147</v>
      </c>
      <c r="D394" s="201">
        <v>0.42459999999999998</v>
      </c>
      <c r="E394" s="202">
        <v>7.9916999999999998</v>
      </c>
      <c r="F394" s="202">
        <v>0.2036</v>
      </c>
      <c r="G394" s="201">
        <f t="shared" si="32"/>
        <v>8.1952999999999996</v>
      </c>
      <c r="H394" s="201">
        <v>8.0297000000000001</v>
      </c>
      <c r="I394" s="201">
        <f t="shared" si="33"/>
        <v>0.16559999999999953</v>
      </c>
      <c r="J394" s="201">
        <f t="shared" si="34"/>
        <v>3.8000000000000478E-2</v>
      </c>
      <c r="K394" s="280">
        <f t="shared" si="35"/>
        <v>18.664047151277249</v>
      </c>
      <c r="L394" s="201">
        <v>23</v>
      </c>
      <c r="M394" s="205">
        <v>43197</v>
      </c>
      <c r="N394" s="205">
        <v>43197</v>
      </c>
      <c r="O394" s="201"/>
      <c r="P394" s="201"/>
      <c r="AB394" s="110" t="str">
        <f>IFERROR(INDEX('WetLitterbags placem_collection'!$A$3:$A$500,MATCH(A394,'WetLitterbags placem_collection'!$K$4:$K$500,0)),"")</f>
        <v/>
      </c>
      <c r="AC394" s="110">
        <f>IFERROR(INDEX('WetLitterbags placem_collection'!$A$3:$A$500,MATCH($A394,'WetLitterbags placem_collection'!$O$4:$O$500,0)),"")</f>
        <v>146</v>
      </c>
      <c r="AD394" s="110" t="str">
        <f>IFERROR(INDEX('WetLitterbags placem_collection'!$A$3:$A$500,MATCH($A394,'WetLitterbags placem_collection'!$M$4:$M$500,0)),"")</f>
        <v/>
      </c>
      <c r="AE394" s="110" t="str">
        <f>IFERROR(INDEX('WetLitterbags placem_collection'!$A$3:$A$500,MATCH($A394,'WetLitterbags placem_collection'!$Q$4:$Q$500,0)),"")</f>
        <v/>
      </c>
    </row>
    <row r="395" spans="1:31">
      <c r="A395" s="201" t="s">
        <v>1170</v>
      </c>
      <c r="C395" s="201">
        <v>139</v>
      </c>
      <c r="D395" s="201">
        <v>0.51780000000000004</v>
      </c>
      <c r="E395" s="202">
        <v>11.443300000000001</v>
      </c>
      <c r="F395" s="202">
        <v>0.20019999999999999</v>
      </c>
      <c r="G395" s="201">
        <f t="shared" si="32"/>
        <v>11.643500000000001</v>
      </c>
      <c r="H395" s="201">
        <v>11.4955</v>
      </c>
      <c r="I395" s="201">
        <f t="shared" si="33"/>
        <v>0.14800000000000146</v>
      </c>
      <c r="J395" s="201">
        <f t="shared" si="34"/>
        <v>5.2199999999998525E-2</v>
      </c>
      <c r="K395" s="280">
        <f t="shared" si="35"/>
        <v>26.073926073925342</v>
      </c>
      <c r="L395" s="201">
        <v>7</v>
      </c>
      <c r="M395" s="205">
        <v>43199</v>
      </c>
      <c r="N395" s="205">
        <v>43199</v>
      </c>
      <c r="O395" s="201"/>
      <c r="P395" s="201"/>
      <c r="AB395" s="110" t="str">
        <f>IFERROR(INDEX('WetLitterbags placem_collection'!$A$3:$A$500,MATCH(A395,'WetLitterbags placem_collection'!$K$4:$K$500,0)),"")</f>
        <v/>
      </c>
      <c r="AC395" s="110">
        <f>IFERROR(INDEX('WetLitterbags placem_collection'!$A$3:$A$500,MATCH($A395,'WetLitterbags placem_collection'!$O$4:$O$500,0)),"")</f>
        <v>138</v>
      </c>
      <c r="AD395" s="110" t="str">
        <f>IFERROR(INDEX('WetLitterbags placem_collection'!$A$3:$A$500,MATCH($A395,'WetLitterbags placem_collection'!$M$4:$M$500,0)),"")</f>
        <v/>
      </c>
      <c r="AE395" s="110" t="str">
        <f>IFERROR(INDEX('WetLitterbags placem_collection'!$A$3:$A$500,MATCH($A395,'WetLitterbags placem_collection'!$Q$4:$Q$500,0)),"")</f>
        <v/>
      </c>
    </row>
    <row r="396" spans="1:31">
      <c r="A396" s="201" t="s">
        <v>1169</v>
      </c>
      <c r="C396" s="201">
        <v>104</v>
      </c>
      <c r="D396" s="201">
        <f>0.2214+F396</f>
        <v>0.42859999999999998</v>
      </c>
      <c r="E396" s="202">
        <v>11.4434</v>
      </c>
      <c r="F396" s="202">
        <v>0.2072</v>
      </c>
      <c r="G396" s="201">
        <f t="shared" si="32"/>
        <v>11.650600000000001</v>
      </c>
      <c r="H396" s="201">
        <v>11.471299999999999</v>
      </c>
      <c r="I396" s="201">
        <f t="shared" si="33"/>
        <v>0.17930000000000135</v>
      </c>
      <c r="J396" s="201">
        <f t="shared" si="34"/>
        <v>2.7899999999998648E-2</v>
      </c>
      <c r="K396" s="280">
        <f t="shared" si="35"/>
        <v>13.465250965250315</v>
      </c>
      <c r="L396" s="201">
        <v>28</v>
      </c>
      <c r="M396" s="205">
        <v>43174</v>
      </c>
      <c r="N396" s="205">
        <v>43174</v>
      </c>
      <c r="O396" s="201" t="s">
        <v>2556</v>
      </c>
      <c r="P396" s="201" t="s">
        <v>2551</v>
      </c>
      <c r="AB396" s="110">
        <f>IFERROR(INDEX('WetLitterbags placem_collection'!$A$3:$A$500,MATCH(A396,'WetLitterbags placem_collection'!$K$4:$K$500,0)),"")</f>
        <v>103</v>
      </c>
      <c r="AC396" s="110" t="str">
        <f>IFERROR(INDEX('WetLitterbags placem_collection'!$A$3:$A$500,MATCH($A396,'WetLitterbags placem_collection'!$O$4:$O$500,0)),"")</f>
        <v/>
      </c>
      <c r="AD396" s="110" t="str">
        <f>IFERROR(INDEX('WetLitterbags placem_collection'!$A$3:$A$500,MATCH($A396,'WetLitterbags placem_collection'!$M$4:$M$500,0)),"")</f>
        <v/>
      </c>
      <c r="AE396" s="110" t="str">
        <f>IFERROR(INDEX('WetLitterbags placem_collection'!$A$3:$A$500,MATCH($A396,'WetLitterbags placem_collection'!$Q$4:$Q$500,0)),"")</f>
        <v/>
      </c>
    </row>
    <row r="397" spans="1:31">
      <c r="A397" s="197" t="s">
        <v>1168</v>
      </c>
      <c r="C397" s="198">
        <v>110</v>
      </c>
      <c r="D397" s="197">
        <v>0.41610000000000003</v>
      </c>
      <c r="E397" s="202">
        <v>10.793100000000001</v>
      </c>
      <c r="F397" s="202">
        <v>0.20150000000000001</v>
      </c>
      <c r="G397" s="201">
        <f t="shared" si="32"/>
        <v>10.9946</v>
      </c>
      <c r="H397" s="201">
        <v>10.819900000000001</v>
      </c>
      <c r="I397" s="201">
        <f t="shared" si="33"/>
        <v>0.17469999999999963</v>
      </c>
      <c r="J397" s="201">
        <f t="shared" si="34"/>
        <v>2.6800000000000379E-2</v>
      </c>
      <c r="K397" s="280">
        <f t="shared" si="35"/>
        <v>13.300248138958004</v>
      </c>
      <c r="L397" s="201">
        <v>5</v>
      </c>
      <c r="AB397" s="110" t="str">
        <f>IFERROR(INDEX('WetLitterbags placem_collection'!$A$3:$A$500,MATCH(A397,'WetLitterbags placem_collection'!$K$4:$K$500,0)),"")</f>
        <v/>
      </c>
      <c r="AC397" s="110">
        <f>IFERROR(INDEX('WetLitterbags placem_collection'!$A$3:$A$500,MATCH($A397,'WetLitterbags placem_collection'!$O$4:$O$500,0)),"")</f>
        <v>109</v>
      </c>
      <c r="AD397" s="110" t="str">
        <f>IFERROR(INDEX('WetLitterbags placem_collection'!$A$3:$A$500,MATCH($A397,'WetLitterbags placem_collection'!$M$4:$M$500,0)),"")</f>
        <v/>
      </c>
      <c r="AE397" s="110" t="str">
        <f>IFERROR(INDEX('WetLitterbags placem_collection'!$A$3:$A$500,MATCH($A397,'WetLitterbags placem_collection'!$Q$4:$Q$500,0)),"")</f>
        <v/>
      </c>
    </row>
    <row r="398" spans="1:31">
      <c r="A398" s="206" t="s">
        <v>1167</v>
      </c>
      <c r="C398" s="201">
        <v>108</v>
      </c>
      <c r="D398" s="201">
        <v>0.43359999999999999</v>
      </c>
      <c r="E398" s="202">
        <v>8.0639000000000003</v>
      </c>
      <c r="F398" s="202">
        <v>0.20230000000000001</v>
      </c>
      <c r="G398" s="201">
        <f t="shared" si="32"/>
        <v>8.2661999999999995</v>
      </c>
      <c r="H398" s="201">
        <v>8.0939999999999994</v>
      </c>
      <c r="I398" s="201">
        <f t="shared" si="33"/>
        <v>0.17220000000000013</v>
      </c>
      <c r="J398" s="201">
        <f t="shared" si="34"/>
        <v>3.0099999999999877E-2</v>
      </c>
      <c r="K398" s="280">
        <f t="shared" si="35"/>
        <v>14.878892733563953</v>
      </c>
      <c r="L398" s="201">
        <v>39</v>
      </c>
      <c r="M398" s="207">
        <v>43186.458333333336</v>
      </c>
      <c r="N398" s="207">
        <v>43186.625</v>
      </c>
      <c r="O398" s="197" t="s">
        <v>2550</v>
      </c>
      <c r="P398" s="201"/>
      <c r="AB398" s="110">
        <f>IFERROR(INDEX('WetLitterbags placem_collection'!$A$3:$A$500,MATCH(A398,'WetLitterbags placem_collection'!$K$4:$K$500,0)),"")</f>
        <v>107</v>
      </c>
      <c r="AC398" s="110" t="str">
        <f>IFERROR(INDEX('WetLitterbags placem_collection'!$A$3:$A$500,MATCH($A398,'WetLitterbags placem_collection'!$O$4:$O$500,0)),"")</f>
        <v/>
      </c>
      <c r="AD398" s="110" t="str">
        <f>IFERROR(INDEX('WetLitterbags placem_collection'!$A$3:$A$500,MATCH($A398,'WetLitterbags placem_collection'!$M$4:$M$500,0)),"")</f>
        <v/>
      </c>
      <c r="AE398" s="110" t="str">
        <f>IFERROR(INDEX('WetLitterbags placem_collection'!$A$3:$A$500,MATCH($A398,'WetLitterbags placem_collection'!$Q$4:$Q$500,0)),"")</f>
        <v/>
      </c>
    </row>
    <row r="399" spans="1:31">
      <c r="A399" s="206" t="s">
        <v>1166</v>
      </c>
      <c r="C399" s="201">
        <v>158</v>
      </c>
      <c r="D399" s="202">
        <v>0.41439999999999999</v>
      </c>
      <c r="E399" s="202">
        <v>7.19</v>
      </c>
      <c r="F399" s="202">
        <v>0.20330000000000001</v>
      </c>
      <c r="G399" s="201">
        <f t="shared" si="32"/>
        <v>7.3933</v>
      </c>
      <c r="H399" s="201">
        <v>7.2130000000000001</v>
      </c>
      <c r="I399" s="201">
        <f t="shared" si="33"/>
        <v>0.1802999999999999</v>
      </c>
      <c r="J399" s="201">
        <f t="shared" si="34"/>
        <v>2.3000000000000104E-2</v>
      </c>
      <c r="K399" s="280">
        <f t="shared" si="35"/>
        <v>11.313330054107281</v>
      </c>
      <c r="L399" s="201">
        <v>22</v>
      </c>
      <c r="M399" s="205">
        <v>43199</v>
      </c>
      <c r="N399" s="205">
        <v>43199</v>
      </c>
      <c r="O399" s="201"/>
      <c r="P399" s="201"/>
      <c r="AB399" s="110" t="str">
        <f>IFERROR(INDEX('WetLitterbags placem_collection'!$A$3:$A$500,MATCH(A399,'WetLitterbags placem_collection'!$K$4:$K$500,0)),"")</f>
        <v/>
      </c>
      <c r="AC399" s="110">
        <f>IFERROR(INDEX('WetLitterbags placem_collection'!$A$3:$A$500,MATCH($A399,'WetLitterbags placem_collection'!$O$4:$O$500,0)),"")</f>
        <v>157</v>
      </c>
      <c r="AD399" s="110" t="str">
        <f>IFERROR(INDEX('WetLitterbags placem_collection'!$A$3:$A$500,MATCH($A399,'WetLitterbags placem_collection'!$M$4:$M$500,0)),"")</f>
        <v/>
      </c>
      <c r="AE399" s="110" t="str">
        <f>IFERROR(INDEX('WetLitterbags placem_collection'!$A$3:$A$500,MATCH($A399,'WetLitterbags placem_collection'!$Q$4:$Q$500,0)),"")</f>
        <v/>
      </c>
    </row>
    <row r="400" spans="1:31">
      <c r="A400" s="197" t="s">
        <v>1165</v>
      </c>
      <c r="C400" s="198">
        <v>153</v>
      </c>
      <c r="D400" s="197">
        <v>0.39190000000000003</v>
      </c>
      <c r="E400" s="202">
        <v>9.5187000000000008</v>
      </c>
      <c r="F400" s="202">
        <v>0.20050000000000001</v>
      </c>
      <c r="G400" s="201">
        <f t="shared" si="32"/>
        <v>9.7192000000000007</v>
      </c>
      <c r="H400" s="201">
        <v>9.5429999999999993</v>
      </c>
      <c r="I400" s="201">
        <f t="shared" si="33"/>
        <v>0.17620000000000147</v>
      </c>
      <c r="J400" s="201">
        <f t="shared" si="34"/>
        <v>2.4299999999998545E-2</v>
      </c>
      <c r="K400" s="280">
        <f t="shared" si="35"/>
        <v>12.119700748128949</v>
      </c>
      <c r="L400" s="201">
        <v>13</v>
      </c>
      <c r="AB400" s="110" t="str">
        <f>IFERROR(INDEX('WetLitterbags placem_collection'!$A$3:$A$500,MATCH(A400,'WetLitterbags placem_collection'!$K$4:$K$500,0)),"")</f>
        <v/>
      </c>
      <c r="AC400" s="110">
        <f>IFERROR(INDEX('WetLitterbags placem_collection'!$A$3:$A$500,MATCH($A400,'WetLitterbags placem_collection'!$O$4:$O$500,0)),"")</f>
        <v>152</v>
      </c>
      <c r="AD400" s="110" t="str">
        <f>IFERROR(INDEX('WetLitterbags placem_collection'!$A$3:$A$500,MATCH($A400,'WetLitterbags placem_collection'!$M$4:$M$500,0)),"")</f>
        <v/>
      </c>
      <c r="AE400" s="110" t="str">
        <f>IFERROR(INDEX('WetLitterbags placem_collection'!$A$3:$A$500,MATCH($A400,'WetLitterbags placem_collection'!$Q$4:$Q$500,0)),"")</f>
        <v/>
      </c>
    </row>
    <row r="401" spans="1:31">
      <c r="A401" s="197" t="s">
        <v>1164</v>
      </c>
      <c r="C401" s="197">
        <v>196</v>
      </c>
      <c r="D401" s="197">
        <v>0.39300000000000002</v>
      </c>
      <c r="E401" s="201">
        <v>9.7210999999999999</v>
      </c>
      <c r="F401" s="202">
        <v>0.20330000000000001</v>
      </c>
      <c r="G401" s="201">
        <f t="shared" si="32"/>
        <v>9.9244000000000003</v>
      </c>
      <c r="H401" s="201">
        <v>9.7446999999999999</v>
      </c>
      <c r="I401" s="201">
        <f t="shared" si="33"/>
        <v>0.17970000000000041</v>
      </c>
      <c r="J401" s="201">
        <f t="shared" si="34"/>
        <v>2.3599999999999594E-2</v>
      </c>
      <c r="K401" s="280">
        <f t="shared" si="35"/>
        <v>11.60846040334461</v>
      </c>
      <c r="L401" s="201">
        <v>10</v>
      </c>
      <c r="M401" s="204">
        <v>43213</v>
      </c>
      <c r="N401" s="204">
        <v>43213</v>
      </c>
      <c r="AB401" s="110" t="str">
        <f>IFERROR(INDEX('WetLitterbags placem_collection'!$A$3:$A$500,MATCH(A401,'WetLitterbags placem_collection'!$K$4:$K$500,0)),"")</f>
        <v/>
      </c>
      <c r="AC401" s="110">
        <f>IFERROR(INDEX('WetLitterbags placem_collection'!$A$3:$A$500,MATCH($A401,'WetLitterbags placem_collection'!$O$4:$O$500,0)),"")</f>
        <v>195</v>
      </c>
      <c r="AD401" s="110" t="str">
        <f>IFERROR(INDEX('WetLitterbags placem_collection'!$A$3:$A$500,MATCH($A401,'WetLitterbags placem_collection'!$M$4:$M$500,0)),"")</f>
        <v/>
      </c>
      <c r="AE401" s="110" t="str">
        <f>IFERROR(INDEX('WetLitterbags placem_collection'!$A$3:$A$500,MATCH($A401,'WetLitterbags placem_collection'!$Q$4:$Q$500,0)),"")</f>
        <v/>
      </c>
    </row>
    <row r="402" spans="1:31">
      <c r="A402" s="197" t="s">
        <v>1163</v>
      </c>
      <c r="C402" s="197">
        <v>106</v>
      </c>
      <c r="D402" s="197">
        <v>0.4148</v>
      </c>
      <c r="E402" s="197">
        <v>7.8631000000000002</v>
      </c>
      <c r="F402" s="197">
        <v>0.2064</v>
      </c>
      <c r="G402" s="197">
        <f t="shared" si="32"/>
        <v>8.0694999999999997</v>
      </c>
      <c r="H402" s="197">
        <v>7.8890000000000002</v>
      </c>
      <c r="I402" s="197">
        <f t="shared" si="33"/>
        <v>0.18049999999999944</v>
      </c>
      <c r="J402" s="201">
        <f t="shared" si="34"/>
        <v>2.5900000000000561E-2</v>
      </c>
      <c r="K402" s="280">
        <f t="shared" si="35"/>
        <v>12.548449612403372</v>
      </c>
      <c r="L402" s="197">
        <v>6</v>
      </c>
      <c r="M402" s="197">
        <v>43157.395833333336</v>
      </c>
      <c r="N402" s="197">
        <v>43157.569444444445</v>
      </c>
      <c r="O402" s="197" t="s">
        <v>2550</v>
      </c>
      <c r="AB402" s="110" t="str">
        <f>IFERROR(INDEX('WetLitterbags placem_collection'!$A$3:$A$500,MATCH(A402,'WetLitterbags placem_collection'!$K$4:$K$500,0)),"")</f>
        <v/>
      </c>
      <c r="AC402" s="110">
        <f>IFERROR(INDEX('WetLitterbags placem_collection'!$A$3:$A$500,MATCH($A402,'WetLitterbags placem_collection'!$O$4:$O$500,0)),"")</f>
        <v>108</v>
      </c>
      <c r="AD402" s="110" t="str">
        <f>IFERROR(INDEX('WetLitterbags placem_collection'!$A$3:$A$500,MATCH($A402,'WetLitterbags placem_collection'!$M$4:$M$500,0)),"")</f>
        <v/>
      </c>
      <c r="AE402" s="110" t="str">
        <f>IFERROR(INDEX('WetLitterbags placem_collection'!$A$3:$A$500,MATCH($A402,'WetLitterbags placem_collection'!$Q$4:$Q$500,0)),"")</f>
        <v/>
      </c>
    </row>
    <row r="403" spans="1:31">
      <c r="A403" s="201" t="s">
        <v>1162</v>
      </c>
      <c r="C403" s="201">
        <v>129</v>
      </c>
      <c r="D403" s="201">
        <v>0.39729999999999999</v>
      </c>
      <c r="E403" s="202">
        <v>11.2585</v>
      </c>
      <c r="F403" s="202">
        <v>0.20150000000000001</v>
      </c>
      <c r="G403" s="201">
        <f t="shared" si="32"/>
        <v>11.459999999999999</v>
      </c>
      <c r="H403" s="201">
        <v>11.289099999999999</v>
      </c>
      <c r="I403" s="201">
        <f t="shared" si="33"/>
        <v>0.17089999999999961</v>
      </c>
      <c r="J403" s="201">
        <f t="shared" si="34"/>
        <v>3.0600000000000405E-2</v>
      </c>
      <c r="K403" s="280">
        <f t="shared" si="35"/>
        <v>15.186104218362484</v>
      </c>
      <c r="L403" s="201">
        <v>13</v>
      </c>
      <c r="M403" s="205">
        <v>43174</v>
      </c>
      <c r="N403" s="205">
        <v>43174</v>
      </c>
      <c r="O403" s="201" t="s">
        <v>2556</v>
      </c>
      <c r="P403" s="201" t="s">
        <v>2551</v>
      </c>
      <c r="AB403" s="110" t="str">
        <f>IFERROR(INDEX('WetLitterbags placem_collection'!$A$3:$A$500,MATCH(A403,'WetLitterbags placem_collection'!$K$4:$K$500,0)),"")</f>
        <v/>
      </c>
      <c r="AC403" s="110">
        <f>IFERROR(INDEX('WetLitterbags placem_collection'!$A$3:$A$500,MATCH($A403,'WetLitterbags placem_collection'!$O$4:$O$500,0)),"")</f>
        <v>128</v>
      </c>
      <c r="AD403" s="110" t="str">
        <f>IFERROR(INDEX('WetLitterbags placem_collection'!$A$3:$A$500,MATCH($A403,'WetLitterbags placem_collection'!$M$4:$M$500,0)),"")</f>
        <v/>
      </c>
      <c r="AE403" s="110" t="str">
        <f>IFERROR(INDEX('WetLitterbags placem_collection'!$A$3:$A$500,MATCH($A403,'WetLitterbags placem_collection'!$Q$4:$Q$500,0)),"")</f>
        <v/>
      </c>
    </row>
    <row r="404" spans="1:31">
      <c r="A404" s="206" t="s">
        <v>1161</v>
      </c>
      <c r="C404" s="201">
        <v>114</v>
      </c>
      <c r="D404" s="202">
        <v>0.4541</v>
      </c>
      <c r="E404" s="202">
        <v>7.3170000000000002</v>
      </c>
      <c r="F404" s="202">
        <v>0.20749999999999999</v>
      </c>
      <c r="G404" s="201">
        <f t="shared" si="32"/>
        <v>7.5244999999999997</v>
      </c>
      <c r="H404" s="201">
        <v>7.3593999999999999</v>
      </c>
      <c r="I404" s="201">
        <f t="shared" si="33"/>
        <v>0.1650999999999998</v>
      </c>
      <c r="J404" s="201">
        <f t="shared" si="34"/>
        <v>4.2400000000000188E-2</v>
      </c>
      <c r="K404" s="280">
        <f t="shared" si="35"/>
        <v>20.433734939759127</v>
      </c>
      <c r="L404" s="201">
        <v>27</v>
      </c>
      <c r="M404" s="203">
        <v>43181.645833333336</v>
      </c>
      <c r="N404" s="203">
        <v>43181.833333333336</v>
      </c>
      <c r="O404" s="201" t="s">
        <v>2556</v>
      </c>
      <c r="P404" s="201"/>
      <c r="AB404" s="110" t="str">
        <f>IFERROR(INDEX('WetLitterbags placem_collection'!$A$3:$A$500,MATCH(A404,'WetLitterbags placem_collection'!$K$4:$K$500,0)),"")</f>
        <v/>
      </c>
      <c r="AC404" s="110">
        <f>IFERROR(INDEX('WetLitterbags placem_collection'!$A$3:$A$500,MATCH($A404,'WetLitterbags placem_collection'!$O$4:$O$500,0)),"")</f>
        <v>113</v>
      </c>
      <c r="AD404" s="110" t="str">
        <f>IFERROR(INDEX('WetLitterbags placem_collection'!$A$3:$A$500,MATCH($A404,'WetLitterbags placem_collection'!$M$4:$M$500,0)),"")</f>
        <v/>
      </c>
      <c r="AE404" s="110" t="str">
        <f>IFERROR(INDEX('WetLitterbags placem_collection'!$A$3:$A$500,MATCH($A404,'WetLitterbags placem_collection'!$Q$4:$Q$500,0)),"")</f>
        <v/>
      </c>
    </row>
    <row r="405" spans="1:31">
      <c r="A405" s="201" t="s">
        <v>1160</v>
      </c>
      <c r="C405" s="201">
        <v>157</v>
      </c>
      <c r="D405" s="201">
        <v>0.51929999999999998</v>
      </c>
      <c r="E405" s="202">
        <v>11.055300000000001</v>
      </c>
      <c r="F405" s="202">
        <v>0.2019</v>
      </c>
      <c r="G405" s="201">
        <f t="shared" si="32"/>
        <v>11.257200000000001</v>
      </c>
      <c r="H405" s="201">
        <v>11.0831</v>
      </c>
      <c r="I405" s="201">
        <f t="shared" si="33"/>
        <v>0.17410000000000103</v>
      </c>
      <c r="J405" s="201">
        <f t="shared" si="34"/>
        <v>2.7799999999998964E-2</v>
      </c>
      <c r="K405" s="280">
        <f t="shared" si="35"/>
        <v>13.769192669637922</v>
      </c>
      <c r="L405" s="201">
        <v>29</v>
      </c>
      <c r="M405" s="207">
        <v>43185.385416666664</v>
      </c>
      <c r="N405" s="201"/>
      <c r="O405" s="201" t="s">
        <v>2556</v>
      </c>
      <c r="P405" s="201"/>
      <c r="AB405" s="110">
        <f>IFERROR(INDEX('WetLitterbags placem_collection'!$A$3:$A$500,MATCH(A405,'WetLitterbags placem_collection'!$K$4:$K$500,0)),"")</f>
        <v>156</v>
      </c>
      <c r="AC405" s="110" t="str">
        <f>IFERROR(INDEX('WetLitterbags placem_collection'!$A$3:$A$500,MATCH($A405,'WetLitterbags placem_collection'!$O$4:$O$500,0)),"")</f>
        <v/>
      </c>
      <c r="AD405" s="110" t="str">
        <f>IFERROR(INDEX('WetLitterbags placem_collection'!$A$3:$A$500,MATCH($A405,'WetLitterbags placem_collection'!$M$4:$M$500,0)),"")</f>
        <v/>
      </c>
      <c r="AE405" s="110" t="str">
        <f>IFERROR(INDEX('WetLitterbags placem_collection'!$A$3:$A$500,MATCH($A405,'WetLitterbags placem_collection'!$Q$4:$Q$500,0)),"")</f>
        <v/>
      </c>
    </row>
    <row r="406" spans="1:31">
      <c r="A406" s="206" t="s">
        <v>1159</v>
      </c>
      <c r="C406" s="201">
        <v>206</v>
      </c>
      <c r="D406" s="201">
        <v>0.49709999999999999</v>
      </c>
      <c r="E406" s="201">
        <v>11.7463</v>
      </c>
      <c r="F406" s="202">
        <v>0.20200000000000001</v>
      </c>
      <c r="G406" s="201">
        <f t="shared" si="32"/>
        <v>11.9483</v>
      </c>
      <c r="H406" s="201">
        <v>11.773400000000001</v>
      </c>
      <c r="I406" s="201">
        <f t="shared" si="33"/>
        <v>0.17489999999999917</v>
      </c>
      <c r="J406" s="201">
        <f t="shared" si="34"/>
        <v>2.7100000000000846E-2</v>
      </c>
      <c r="K406" s="280">
        <f t="shared" si="35"/>
        <v>13.415841584158834</v>
      </c>
      <c r="L406" s="201">
        <v>13</v>
      </c>
      <c r="M406" s="205">
        <v>43187</v>
      </c>
      <c r="N406" s="205">
        <v>43187</v>
      </c>
      <c r="O406" s="201"/>
      <c r="P406" s="201"/>
      <c r="AB406" s="110" t="str">
        <f>IFERROR(INDEX('WetLitterbags placem_collection'!$A$3:$A$500,MATCH(A406,'WetLitterbags placem_collection'!$K$4:$K$500,0)),"")</f>
        <v/>
      </c>
      <c r="AC406" s="110">
        <f>IFERROR(INDEX('WetLitterbags placem_collection'!$A$3:$A$500,MATCH($A406,'WetLitterbags placem_collection'!$O$4:$O$500,0)),"")</f>
        <v>205</v>
      </c>
      <c r="AD406" s="110" t="str">
        <f>IFERROR(INDEX('WetLitterbags placem_collection'!$A$3:$A$500,MATCH($A406,'WetLitterbags placem_collection'!$M$4:$M$500,0)),"")</f>
        <v/>
      </c>
      <c r="AE406" s="110" t="str">
        <f>IFERROR(INDEX('WetLitterbags placem_collection'!$A$3:$A$500,MATCH($A406,'WetLitterbags placem_collection'!$Q$4:$Q$500,0)),"")</f>
        <v/>
      </c>
    </row>
    <row r="407" spans="1:31">
      <c r="A407" s="206" t="s">
        <v>1158</v>
      </c>
      <c r="C407" s="201">
        <v>102</v>
      </c>
      <c r="D407" s="201">
        <v>0.45950000000000002</v>
      </c>
      <c r="E407" s="202">
        <v>9.1373999999999995</v>
      </c>
      <c r="F407" s="202">
        <v>0.20230000000000001</v>
      </c>
      <c r="G407" s="201">
        <f t="shared" si="32"/>
        <v>9.3396999999999988</v>
      </c>
      <c r="H407" s="201">
        <v>9.1631</v>
      </c>
      <c r="I407" s="201">
        <f t="shared" si="33"/>
        <v>0.17659999999999876</v>
      </c>
      <c r="J407" s="201">
        <f t="shared" si="34"/>
        <v>2.570000000000125E-2</v>
      </c>
      <c r="K407" s="280">
        <f t="shared" si="35"/>
        <v>12.703905091448961</v>
      </c>
      <c r="L407" s="201">
        <v>4</v>
      </c>
      <c r="M407" s="203">
        <v>43181.645833333336</v>
      </c>
      <c r="N407" s="203">
        <v>43181.833333333336</v>
      </c>
      <c r="O407" s="201" t="s">
        <v>2556</v>
      </c>
      <c r="P407" s="201"/>
      <c r="AB407" s="110">
        <f>IFERROR(INDEX('WetLitterbags placem_collection'!$A$3:$A$500,MATCH(A407,'WetLitterbags placem_collection'!$K$4:$K$500,0)),"")</f>
        <v>101</v>
      </c>
      <c r="AC407" s="110" t="str">
        <f>IFERROR(INDEX('WetLitterbags placem_collection'!$A$3:$A$500,MATCH($A407,'WetLitterbags placem_collection'!$O$4:$O$500,0)),"")</f>
        <v/>
      </c>
      <c r="AD407" s="110" t="str">
        <f>IFERROR(INDEX('WetLitterbags placem_collection'!$A$3:$A$500,MATCH($A407,'WetLitterbags placem_collection'!$M$4:$M$500,0)),"")</f>
        <v/>
      </c>
      <c r="AE407" s="110" t="str">
        <f>IFERROR(INDEX('WetLitterbags placem_collection'!$A$3:$A$500,MATCH($A407,'WetLitterbags placem_collection'!$Q$4:$Q$500,0)),"")</f>
        <v/>
      </c>
    </row>
    <row r="408" spans="1:31">
      <c r="A408" s="201" t="s">
        <v>1157</v>
      </c>
      <c r="C408" s="201">
        <v>178</v>
      </c>
      <c r="D408" s="201">
        <v>0.3957</v>
      </c>
      <c r="E408" s="201">
        <v>7.4756</v>
      </c>
      <c r="F408" s="201">
        <v>0.20549999999999999</v>
      </c>
      <c r="G408" s="201">
        <f t="shared" si="32"/>
        <v>7.6810999999999998</v>
      </c>
      <c r="H408" s="197">
        <v>7.4923000000000002</v>
      </c>
      <c r="I408" s="197">
        <f t="shared" si="33"/>
        <v>0.18879999999999963</v>
      </c>
      <c r="J408" s="201">
        <f t="shared" si="34"/>
        <v>1.6700000000000353E-2</v>
      </c>
      <c r="K408" s="280">
        <f t="shared" si="35"/>
        <v>8.1265206812653794</v>
      </c>
      <c r="L408" s="201">
        <v>17</v>
      </c>
      <c r="M408" s="207">
        <v>43160.520833333336</v>
      </c>
      <c r="N408" s="207">
        <v>43160.6875</v>
      </c>
      <c r="O408" s="197" t="s">
        <v>2550</v>
      </c>
      <c r="P408" s="201"/>
      <c r="AB408" s="110" t="str">
        <f>IFERROR(INDEX('WetLitterbags placem_collection'!$A$3:$A$500,MATCH(A408,'WetLitterbags placem_collection'!$K$4:$K$500,0)),"")</f>
        <v/>
      </c>
      <c r="AC408" s="110">
        <f>IFERROR(INDEX('WetLitterbags placem_collection'!$A$3:$A$500,MATCH($A408,'WetLitterbags placem_collection'!$O$4:$O$500,0)),"")</f>
        <v>177</v>
      </c>
      <c r="AD408" s="110" t="str">
        <f>IFERROR(INDEX('WetLitterbags placem_collection'!$A$3:$A$500,MATCH($A408,'WetLitterbags placem_collection'!$M$4:$M$500,0)),"")</f>
        <v/>
      </c>
      <c r="AE408" s="110" t="str">
        <f>IFERROR(INDEX('WetLitterbags placem_collection'!$A$3:$A$500,MATCH($A408,'WetLitterbags placem_collection'!$Q$4:$Q$500,0)),"")</f>
        <v/>
      </c>
    </row>
    <row r="409" spans="1:31">
      <c r="A409" s="206" t="s">
        <v>1156</v>
      </c>
      <c r="C409" s="201">
        <v>144</v>
      </c>
      <c r="D409" s="201">
        <v>0.4632</v>
      </c>
      <c r="E409" s="202">
        <v>11.9041</v>
      </c>
      <c r="F409" s="202">
        <v>0.20180000000000001</v>
      </c>
      <c r="G409" s="201">
        <f t="shared" si="32"/>
        <v>12.1059</v>
      </c>
      <c r="H409" s="201">
        <v>11.9465</v>
      </c>
      <c r="I409" s="201">
        <f t="shared" si="33"/>
        <v>0.15939999999999976</v>
      </c>
      <c r="J409" s="201">
        <f t="shared" si="34"/>
        <v>4.2400000000000243E-2</v>
      </c>
      <c r="K409" s="280">
        <f t="shared" si="35"/>
        <v>21.010901883052647</v>
      </c>
      <c r="L409" s="201">
        <v>3</v>
      </c>
      <c r="M409" s="205">
        <v>43197</v>
      </c>
      <c r="N409" s="205">
        <v>43197</v>
      </c>
      <c r="O409" s="201"/>
      <c r="P409" s="201"/>
      <c r="AB409" s="110" t="str">
        <f>IFERROR(INDEX('WetLitterbags placem_collection'!$A$3:$A$500,MATCH(A409,'WetLitterbags placem_collection'!$K$4:$K$500,0)),"")</f>
        <v/>
      </c>
      <c r="AC409" s="110">
        <f>IFERROR(INDEX('WetLitterbags placem_collection'!$A$3:$A$500,MATCH($A409,'WetLitterbags placem_collection'!$O$4:$O$500,0)),"")</f>
        <v>143</v>
      </c>
      <c r="AD409" s="110" t="str">
        <f>IFERROR(INDEX('WetLitterbags placem_collection'!$A$3:$A$500,MATCH($A409,'WetLitterbags placem_collection'!$M$4:$M$500,0)),"")</f>
        <v/>
      </c>
      <c r="AE409" s="110" t="str">
        <f>IFERROR(INDEX('WetLitterbags placem_collection'!$A$3:$A$500,MATCH($A409,'WetLitterbags placem_collection'!$Q$4:$Q$500,0)),"")</f>
        <v/>
      </c>
    </row>
    <row r="410" spans="1:31">
      <c r="A410" s="201" t="s">
        <v>1155</v>
      </c>
      <c r="C410" s="201">
        <v>123</v>
      </c>
      <c r="D410" s="201">
        <v>0.63339999999999996</v>
      </c>
      <c r="E410" s="202">
        <v>11.1539</v>
      </c>
      <c r="F410" s="202">
        <v>0.20730000000000001</v>
      </c>
      <c r="G410" s="201">
        <f t="shared" si="32"/>
        <v>11.3612</v>
      </c>
      <c r="H410" s="201">
        <v>11.182</v>
      </c>
      <c r="I410" s="201">
        <f t="shared" si="33"/>
        <v>0.1791999999999998</v>
      </c>
      <c r="J410" s="201">
        <f t="shared" si="34"/>
        <v>2.8100000000000208E-2</v>
      </c>
      <c r="K410" s="280">
        <f t="shared" si="35"/>
        <v>13.555233960443902</v>
      </c>
      <c r="L410" s="201">
        <v>14</v>
      </c>
      <c r="M410" s="205">
        <v>43199</v>
      </c>
      <c r="N410" s="205">
        <v>43199</v>
      </c>
      <c r="O410" s="201"/>
      <c r="P410" s="201"/>
      <c r="AB410" s="110" t="str">
        <f>IFERROR(INDEX('WetLitterbags placem_collection'!$A$3:$A$500,MATCH(A410,'WetLitterbags placem_collection'!$K$4:$K$500,0)),"")</f>
        <v/>
      </c>
      <c r="AC410" s="110">
        <f>IFERROR(INDEX('WetLitterbags placem_collection'!$A$3:$A$500,MATCH($A410,'WetLitterbags placem_collection'!$O$4:$O$500,0)),"")</f>
        <v>122</v>
      </c>
      <c r="AD410" s="110" t="str">
        <f>IFERROR(INDEX('WetLitterbags placem_collection'!$A$3:$A$500,MATCH($A410,'WetLitterbags placem_collection'!$M$4:$M$500,0)),"")</f>
        <v/>
      </c>
      <c r="AE410" s="110" t="str">
        <f>IFERROR(INDEX('WetLitterbags placem_collection'!$A$3:$A$500,MATCH($A410,'WetLitterbags placem_collection'!$Q$4:$Q$500,0)),"")</f>
        <v/>
      </c>
    </row>
    <row r="411" spans="1:31">
      <c r="A411" s="201" t="s">
        <v>1154</v>
      </c>
      <c r="C411" s="197">
        <v>183</v>
      </c>
      <c r="D411" s="201">
        <v>0.4118</v>
      </c>
      <c r="E411" s="202">
        <v>8.7599</v>
      </c>
      <c r="F411" s="202">
        <v>0.20250000000000001</v>
      </c>
      <c r="G411" s="201">
        <f t="shared" si="32"/>
        <v>8.9624000000000006</v>
      </c>
      <c r="H411" s="201">
        <v>8.7789000000000001</v>
      </c>
      <c r="I411" s="201">
        <f t="shared" si="33"/>
        <v>0.18350000000000044</v>
      </c>
      <c r="J411" s="201">
        <f t="shared" si="34"/>
        <v>1.8999999999999573E-2</v>
      </c>
      <c r="K411" s="280">
        <f t="shared" si="35"/>
        <v>9.3827160493825037</v>
      </c>
      <c r="L411" s="201">
        <v>12</v>
      </c>
      <c r="M411" s="207">
        <v>43186.458333333336</v>
      </c>
      <c r="N411" s="207">
        <v>43186.625</v>
      </c>
      <c r="O411" s="197" t="s">
        <v>2550</v>
      </c>
      <c r="P411" s="201"/>
      <c r="AB411" s="110" t="str">
        <f>IFERROR(INDEX('WetLitterbags placem_collection'!$A$3:$A$500,MATCH(A411,'WetLitterbags placem_collection'!$K$4:$K$500,0)),"")</f>
        <v/>
      </c>
      <c r="AC411" s="110">
        <f>IFERROR(INDEX('WetLitterbags placem_collection'!$A$3:$A$500,MATCH($A411,'WetLitterbags placem_collection'!$O$4:$O$500,0)),"")</f>
        <v>182</v>
      </c>
      <c r="AD411" s="110" t="str">
        <f>IFERROR(INDEX('WetLitterbags placem_collection'!$A$3:$A$500,MATCH($A411,'WetLitterbags placem_collection'!$M$4:$M$500,0)),"")</f>
        <v/>
      </c>
      <c r="AE411" s="110" t="str">
        <f>IFERROR(INDEX('WetLitterbags placem_collection'!$A$3:$A$500,MATCH($A411,'WetLitterbags placem_collection'!$Q$4:$Q$500,0)),"")</f>
        <v/>
      </c>
    </row>
    <row r="412" spans="1:31">
      <c r="A412" s="206" t="s">
        <v>1153</v>
      </c>
      <c r="C412" s="201">
        <v>116</v>
      </c>
      <c r="D412" s="202">
        <v>0.4783</v>
      </c>
      <c r="E412" s="202">
        <v>7.9057000000000004</v>
      </c>
      <c r="F412" s="202">
        <v>0.19919999999999999</v>
      </c>
      <c r="G412" s="201">
        <f t="shared" si="32"/>
        <v>8.1049000000000007</v>
      </c>
      <c r="H412" s="201">
        <v>7.9379</v>
      </c>
      <c r="I412" s="201">
        <f t="shared" si="33"/>
        <v>0.1670000000000007</v>
      </c>
      <c r="J412" s="201">
        <f t="shared" si="34"/>
        <v>3.2199999999999285E-2</v>
      </c>
      <c r="K412" s="280">
        <f t="shared" si="35"/>
        <v>16.164658634537794</v>
      </c>
      <c r="L412" s="201">
        <v>16</v>
      </c>
      <c r="M412" s="203">
        <v>43181.645833333336</v>
      </c>
      <c r="N412" s="203">
        <v>43181.833333333336</v>
      </c>
      <c r="O412" s="201" t="s">
        <v>2556</v>
      </c>
      <c r="P412" s="201" t="s">
        <v>2572</v>
      </c>
      <c r="AB412" s="110">
        <f>IFERROR(INDEX('WetLitterbags placem_collection'!$A$3:$A$500,MATCH(A412,'WetLitterbags placem_collection'!$K$4:$K$500,0)),"")</f>
        <v>115</v>
      </c>
      <c r="AC412" s="110" t="str">
        <f>IFERROR(INDEX('WetLitterbags placem_collection'!$A$3:$A$500,MATCH($A412,'WetLitterbags placem_collection'!$O$4:$O$500,0)),"")</f>
        <v/>
      </c>
      <c r="AD412" s="110" t="str">
        <f>IFERROR(INDEX('WetLitterbags placem_collection'!$A$3:$A$500,MATCH($A412,'WetLitterbags placem_collection'!$M$4:$M$500,0)),"")</f>
        <v/>
      </c>
      <c r="AE412" s="110" t="str">
        <f>IFERROR(INDEX('WetLitterbags placem_collection'!$A$3:$A$500,MATCH($A412,'WetLitterbags placem_collection'!$Q$4:$Q$500,0)),"")</f>
        <v/>
      </c>
    </row>
    <row r="413" spans="1:31">
      <c r="A413" s="201" t="s">
        <v>1152</v>
      </c>
      <c r="C413" s="201">
        <v>127</v>
      </c>
      <c r="D413" s="202">
        <v>0.39700000000000002</v>
      </c>
      <c r="E413" s="201">
        <v>10.7934</v>
      </c>
      <c r="F413" s="202">
        <v>0.19889999999999999</v>
      </c>
      <c r="G413" s="201">
        <f t="shared" si="32"/>
        <v>10.9923</v>
      </c>
      <c r="H413" s="201">
        <v>10.829700000000001</v>
      </c>
      <c r="I413" s="201">
        <f t="shared" si="33"/>
        <v>0.16259999999999941</v>
      </c>
      <c r="J413" s="201">
        <f t="shared" si="34"/>
        <v>3.6300000000000582E-2</v>
      </c>
      <c r="K413" s="280">
        <f t="shared" si="35"/>
        <v>18.25037707390678</v>
      </c>
      <c r="L413" s="201">
        <v>8</v>
      </c>
      <c r="M413" s="205">
        <v>43206</v>
      </c>
      <c r="N413" s="205">
        <v>43206</v>
      </c>
      <c r="O413" s="201"/>
      <c r="P413" s="201"/>
      <c r="AB413" s="110">
        <f>IFERROR(INDEX('WetLitterbags placem_collection'!$A$3:$A$500,MATCH(A413,'WetLitterbags placem_collection'!$K$4:$K$500,0)),"")</f>
        <v>126</v>
      </c>
      <c r="AC413" s="110" t="str">
        <f>IFERROR(INDEX('WetLitterbags placem_collection'!$A$3:$A$500,MATCH($A413,'WetLitterbags placem_collection'!$O$4:$O$500,0)),"")</f>
        <v/>
      </c>
      <c r="AD413" s="110" t="str">
        <f>IFERROR(INDEX('WetLitterbags placem_collection'!$A$3:$A$500,MATCH($A413,'WetLitterbags placem_collection'!$M$4:$M$500,0)),"")</f>
        <v/>
      </c>
      <c r="AE413" s="110" t="str">
        <f>IFERROR(INDEX('WetLitterbags placem_collection'!$A$3:$A$500,MATCH($A413,'WetLitterbags placem_collection'!$Q$4:$Q$500,0)),"")</f>
        <v/>
      </c>
    </row>
    <row r="414" spans="1:31">
      <c r="A414" s="197" t="s">
        <v>1151</v>
      </c>
      <c r="C414" s="197">
        <v>112</v>
      </c>
      <c r="D414" s="197">
        <v>0.48120000000000002</v>
      </c>
      <c r="E414" s="197">
        <v>20.965499999999999</v>
      </c>
      <c r="F414" s="197">
        <v>0.2064</v>
      </c>
      <c r="G414" s="197">
        <f t="shared" si="32"/>
        <v>21.171899999999997</v>
      </c>
      <c r="H414" s="197">
        <v>21.018699999999999</v>
      </c>
      <c r="I414" s="197">
        <f t="shared" si="33"/>
        <v>0.15319999999999823</v>
      </c>
      <c r="J414" s="201">
        <f t="shared" si="34"/>
        <v>5.3200000000001774E-2</v>
      </c>
      <c r="K414" s="280">
        <f t="shared" si="35"/>
        <v>25.775193798450474</v>
      </c>
      <c r="L414" s="197">
        <v>13</v>
      </c>
      <c r="M414" s="197" t="s">
        <v>2576</v>
      </c>
      <c r="N414" s="197">
        <v>43153.729166666664</v>
      </c>
      <c r="O414" s="197" t="s">
        <v>2550</v>
      </c>
      <c r="P414" s="197" t="s">
        <v>2574</v>
      </c>
      <c r="AB414" s="110">
        <f>IFERROR(INDEX('WetLitterbags placem_collection'!$A$3:$A$500,MATCH(A414,'WetLitterbags placem_collection'!$K$4:$K$500,0)),"")</f>
        <v>111</v>
      </c>
      <c r="AC414" s="110" t="str">
        <f>IFERROR(INDEX('WetLitterbags placem_collection'!$A$3:$A$500,MATCH($A414,'WetLitterbags placem_collection'!$O$4:$O$500,0)),"")</f>
        <v/>
      </c>
      <c r="AD414" s="110" t="str">
        <f>IFERROR(INDEX('WetLitterbags placem_collection'!$A$3:$A$500,MATCH($A414,'WetLitterbags placem_collection'!$M$4:$M$500,0)),"")</f>
        <v/>
      </c>
      <c r="AE414" s="110" t="str">
        <f>IFERROR(INDEX('WetLitterbags placem_collection'!$A$3:$A$500,MATCH($A414,'WetLitterbags placem_collection'!$Q$4:$Q$500,0)),"")</f>
        <v/>
      </c>
    </row>
    <row r="415" spans="1:31">
      <c r="A415" s="197" t="s">
        <v>1360</v>
      </c>
      <c r="C415" s="197">
        <v>43</v>
      </c>
      <c r="D415" s="197">
        <v>0.49249999999999999</v>
      </c>
      <c r="E415" s="197">
        <v>8.1356000000000002</v>
      </c>
      <c r="F415" s="197">
        <v>0.20649999999999999</v>
      </c>
      <c r="G415" s="197">
        <f t="shared" si="32"/>
        <v>8.3421000000000003</v>
      </c>
      <c r="H415" s="197">
        <v>8.1575000000000006</v>
      </c>
      <c r="I415" s="197">
        <f t="shared" si="33"/>
        <v>0.18459999999999965</v>
      </c>
      <c r="J415" s="201">
        <f t="shared" si="34"/>
        <v>2.1900000000000336E-2</v>
      </c>
      <c r="K415" s="280">
        <f t="shared" si="35"/>
        <v>10.60532687651348</v>
      </c>
      <c r="L415" s="197">
        <v>15</v>
      </c>
      <c r="M415" s="197" t="s">
        <v>2586</v>
      </c>
      <c r="N415" s="197" t="s">
        <v>2585</v>
      </c>
      <c r="O415" s="197" t="s">
        <v>2550</v>
      </c>
      <c r="AB415" s="110">
        <f>IFERROR(INDEX('WetLitterbags placem_collection'!$A$3:$A$500,MATCH(A415,'WetLitterbags placem_collection'!$K$4:$K$500,0)),"")</f>
        <v>42</v>
      </c>
      <c r="AC415" s="110" t="str">
        <f>IFERROR(INDEX('WetLitterbags placem_collection'!$A$3:$A$500,MATCH($A415,'WetLitterbags placem_collection'!$O$4:$O$500,0)),"")</f>
        <v/>
      </c>
      <c r="AD415" s="110" t="str">
        <f>IFERROR(INDEX('WetLitterbags placem_collection'!$A$3:$A$500,MATCH($A415,'WetLitterbags placem_collection'!$M$4:$M$500,0)),"")</f>
        <v/>
      </c>
      <c r="AE415" s="110" t="str">
        <f>IFERROR(INDEX('WetLitterbags placem_collection'!$A$3:$A$500,MATCH($A415,'WetLitterbags placem_collection'!$Q$4:$Q$500,0)),"")</f>
        <v/>
      </c>
    </row>
    <row r="416" spans="1:31">
      <c r="A416" s="197" t="s">
        <v>1150</v>
      </c>
      <c r="C416" s="197">
        <v>141</v>
      </c>
      <c r="D416" s="197">
        <v>0.55530000000000002</v>
      </c>
      <c r="E416" s="197">
        <v>9.2356999999999996</v>
      </c>
      <c r="F416" s="197">
        <v>0.2072</v>
      </c>
      <c r="G416" s="197">
        <f t="shared" si="32"/>
        <v>9.4428999999999998</v>
      </c>
      <c r="H416" s="197">
        <v>9.3074999999999992</v>
      </c>
      <c r="I416" s="197">
        <f t="shared" si="33"/>
        <v>0.13540000000000063</v>
      </c>
      <c r="J416" s="201">
        <f t="shared" si="34"/>
        <v>7.1799999999999364E-2</v>
      </c>
      <c r="K416" s="280">
        <f t="shared" si="35"/>
        <v>34.652509652509345</v>
      </c>
      <c r="L416" s="197">
        <v>11</v>
      </c>
      <c r="M416" s="197">
        <v>43157.527777777781</v>
      </c>
      <c r="N416" s="197">
        <v>43157.694444444445</v>
      </c>
      <c r="O416" s="197" t="s">
        <v>2556</v>
      </c>
      <c r="AB416" s="110">
        <f>IFERROR(INDEX('WetLitterbags placem_collection'!$A$3:$A$500,MATCH(A416,'WetLitterbags placem_collection'!$K$4:$K$500,0)),"")</f>
        <v>140</v>
      </c>
      <c r="AC416" s="110" t="str">
        <f>IFERROR(INDEX('WetLitterbags placem_collection'!$A$3:$A$500,MATCH($A416,'WetLitterbags placem_collection'!$O$4:$O$500,0)),"")</f>
        <v/>
      </c>
      <c r="AD416" s="110" t="str">
        <f>IFERROR(INDEX('WetLitterbags placem_collection'!$A$3:$A$500,MATCH($A416,'WetLitterbags placem_collection'!$M$4:$M$500,0)),"")</f>
        <v/>
      </c>
      <c r="AE416" s="110" t="str">
        <f>IFERROR(INDEX('WetLitterbags placem_collection'!$A$3:$A$500,MATCH($A416,'WetLitterbags placem_collection'!$Q$4:$Q$500,0)),"")</f>
        <v/>
      </c>
    </row>
    <row r="417" spans="1:31">
      <c r="A417" s="202" t="s">
        <v>1149</v>
      </c>
      <c r="C417" s="201">
        <v>117</v>
      </c>
      <c r="D417" s="201">
        <v>0.42089999999999994</v>
      </c>
      <c r="E417" s="201">
        <v>7.7733999999999996</v>
      </c>
      <c r="F417" s="201">
        <v>0.2016</v>
      </c>
      <c r="G417" s="201">
        <f t="shared" si="32"/>
        <v>7.9749999999999996</v>
      </c>
      <c r="H417" s="201">
        <v>7.8000999999999996</v>
      </c>
      <c r="I417" s="201">
        <f t="shared" si="33"/>
        <v>0.17490000000000006</v>
      </c>
      <c r="J417" s="201">
        <f t="shared" si="34"/>
        <v>2.6699999999999946E-2</v>
      </c>
      <c r="K417" s="280">
        <f t="shared" si="35"/>
        <v>13.244047619047592</v>
      </c>
      <c r="L417" s="201">
        <v>29</v>
      </c>
      <c r="M417" s="205">
        <v>43173</v>
      </c>
      <c r="N417" s="205">
        <v>43173</v>
      </c>
      <c r="O417" s="201" t="s">
        <v>2556</v>
      </c>
      <c r="P417" s="201" t="s">
        <v>2555</v>
      </c>
      <c r="AB417" s="110" t="str">
        <f>IFERROR(INDEX('WetLitterbags placem_collection'!$A$3:$A$500,MATCH(A417,'WetLitterbags placem_collection'!$K$4:$K$500,0)),"")</f>
        <v/>
      </c>
      <c r="AC417" s="110">
        <f>IFERROR(INDEX('WetLitterbags placem_collection'!$A$3:$A$500,MATCH($A417,'WetLitterbags placem_collection'!$O$4:$O$500,0)),"")</f>
        <v>116</v>
      </c>
      <c r="AD417" s="110" t="str">
        <f>IFERROR(INDEX('WetLitterbags placem_collection'!$A$3:$A$500,MATCH($A417,'WetLitterbags placem_collection'!$M$4:$M$500,0)),"")</f>
        <v/>
      </c>
      <c r="AE417" s="110" t="str">
        <f>IFERROR(INDEX('WetLitterbags placem_collection'!$A$3:$A$500,MATCH($A417,'WetLitterbags placem_collection'!$Q$4:$Q$500,0)),"")</f>
        <v/>
      </c>
    </row>
    <row r="418" spans="1:31">
      <c r="A418" s="202" t="s">
        <v>1148</v>
      </c>
      <c r="C418" s="201">
        <v>145</v>
      </c>
      <c r="D418" s="201">
        <v>0.59219999999999995</v>
      </c>
      <c r="E418" s="201">
        <v>7.9939999999999998</v>
      </c>
      <c r="F418" s="201">
        <v>0.2024</v>
      </c>
      <c r="G418" s="201">
        <f t="shared" si="32"/>
        <v>8.1964000000000006</v>
      </c>
      <c r="H418" s="201">
        <v>8.0348000000000006</v>
      </c>
      <c r="I418" s="201">
        <f t="shared" si="33"/>
        <v>0.16159999999999997</v>
      </c>
      <c r="J418" s="201">
        <f t="shared" si="34"/>
        <v>4.0800000000000031E-2</v>
      </c>
      <c r="K418" s="280">
        <f t="shared" si="35"/>
        <v>20.158102766798436</v>
      </c>
      <c r="L418" s="201">
        <v>25</v>
      </c>
      <c r="M418" s="205">
        <v>43173</v>
      </c>
      <c r="N418" s="205">
        <v>43173</v>
      </c>
      <c r="O418" s="201" t="s">
        <v>2556</v>
      </c>
      <c r="P418" s="201" t="s">
        <v>2555</v>
      </c>
      <c r="AB418" s="110">
        <f>IFERROR(INDEX('WetLitterbags placem_collection'!$A$3:$A$500,MATCH(A418,'WetLitterbags placem_collection'!$K$4:$K$500,0)),"")</f>
        <v>144</v>
      </c>
      <c r="AC418" s="110" t="str">
        <f>IFERROR(INDEX('WetLitterbags placem_collection'!$A$3:$A$500,MATCH($A418,'WetLitterbags placem_collection'!$O$4:$O$500,0)),"")</f>
        <v/>
      </c>
      <c r="AD418" s="110" t="str">
        <f>IFERROR(INDEX('WetLitterbags placem_collection'!$A$3:$A$500,MATCH($A418,'WetLitterbags placem_collection'!$M$4:$M$500,0)),"")</f>
        <v/>
      </c>
      <c r="AE418" s="110" t="str">
        <f>IFERROR(INDEX('WetLitterbags placem_collection'!$A$3:$A$500,MATCH($A418,'WetLitterbags placem_collection'!$Q$4:$Q$500,0)),"")</f>
        <v/>
      </c>
    </row>
    <row r="419" spans="1:31">
      <c r="A419" s="197" t="s">
        <v>1131</v>
      </c>
      <c r="C419" s="198">
        <v>101</v>
      </c>
      <c r="D419" s="197">
        <v>1.3405</v>
      </c>
      <c r="E419" s="202">
        <v>11.1214</v>
      </c>
      <c r="F419" s="202">
        <v>0.20519999999999999</v>
      </c>
      <c r="G419" s="201">
        <f t="shared" si="32"/>
        <v>11.326599999999999</v>
      </c>
      <c r="H419" s="201">
        <v>11.136799999999999</v>
      </c>
      <c r="I419" s="201">
        <f t="shared" si="33"/>
        <v>0.18979999999999997</v>
      </c>
      <c r="J419" s="201">
        <f t="shared" si="34"/>
        <v>1.5400000000000025E-2</v>
      </c>
      <c r="K419" s="280">
        <f t="shared" si="35"/>
        <v>7.5048732943469902</v>
      </c>
      <c r="L419" s="201">
        <v>35</v>
      </c>
      <c r="AB419" s="110" t="str">
        <f>IFERROR(INDEX('WetLitterbags placem_collection'!$A$3:$A$500,MATCH(A419,'WetLitterbags placem_collection'!$K$4:$K$500,0)),"")</f>
        <v/>
      </c>
      <c r="AC419" s="110" t="str">
        <f>IFERROR(INDEX('WetLitterbags placem_collection'!$A$3:$A$500,MATCH($A419,'WetLitterbags placem_collection'!$O$4:$O$500,0)),"")</f>
        <v/>
      </c>
      <c r="AD419" s="110" t="str">
        <f>IFERROR(INDEX('WetLitterbags placem_collection'!$A$3:$A$500,MATCH($A419,'WetLitterbags placem_collection'!$M$4:$M$500,0)),"")</f>
        <v/>
      </c>
      <c r="AE419" s="110">
        <f>IFERROR(INDEX('WetLitterbags placem_collection'!$A$3:$A$500,MATCH($A419,'WetLitterbags placem_collection'!$Q$4:$Q$500,0)),"")</f>
        <v>100</v>
      </c>
    </row>
    <row r="420" spans="1:31">
      <c r="A420" s="197" t="s">
        <v>1041</v>
      </c>
      <c r="C420" s="198">
        <v>78</v>
      </c>
      <c r="D420" s="201">
        <v>1.4992000000000001</v>
      </c>
      <c r="E420" s="202">
        <v>9.2354000000000003</v>
      </c>
      <c r="F420" s="202">
        <v>0.20449999999999999</v>
      </c>
      <c r="G420" s="201">
        <f t="shared" si="32"/>
        <v>9.4398999999999997</v>
      </c>
      <c r="H420" s="201">
        <v>9.2411999999999992</v>
      </c>
      <c r="I420" s="201">
        <f t="shared" si="33"/>
        <v>0.19870000000000054</v>
      </c>
      <c r="J420" s="201">
        <f t="shared" si="34"/>
        <v>5.7999999999994445E-3</v>
      </c>
      <c r="K420" s="280">
        <f t="shared" si="35"/>
        <v>2.8361858190706335</v>
      </c>
      <c r="L420" s="201">
        <v>27</v>
      </c>
      <c r="M420" s="204">
        <v>43213</v>
      </c>
      <c r="N420" s="204">
        <v>43213</v>
      </c>
      <c r="AB420" s="110" t="str">
        <f>IFERROR(INDEX('WetLitterbags placem_collection'!$A$3:$A$500,MATCH(A420,'WetLitterbags placem_collection'!$K$4:$K$500,0)),"")</f>
        <v/>
      </c>
      <c r="AC420" s="110" t="str">
        <f>IFERROR(INDEX('WetLitterbags placem_collection'!$A$3:$A$500,MATCH($A420,'WetLitterbags placem_collection'!$O$4:$O$500,0)),"")</f>
        <v/>
      </c>
      <c r="AD420" s="110" t="str">
        <f>IFERROR(INDEX('WetLitterbags placem_collection'!$A$3:$A$500,MATCH($A420,'WetLitterbags placem_collection'!$M$4:$M$500,0)),"")</f>
        <v/>
      </c>
      <c r="AE420" s="110">
        <f>IFERROR(INDEX('WetLitterbags placem_collection'!$A$3:$A$500,MATCH($A420,'WetLitterbags placem_collection'!$Q$4:$Q$500,0)),"")</f>
        <v>77</v>
      </c>
    </row>
    <row r="421" spans="1:31">
      <c r="A421" s="197" t="s">
        <v>1040</v>
      </c>
      <c r="C421" s="198">
        <v>9</v>
      </c>
      <c r="D421" s="197">
        <v>1.3147</v>
      </c>
      <c r="E421" s="202">
        <v>10.702500000000001</v>
      </c>
      <c r="F421" s="202">
        <v>0.20180000000000001</v>
      </c>
      <c r="G421" s="201">
        <f t="shared" si="32"/>
        <v>10.904300000000001</v>
      </c>
      <c r="H421" s="201">
        <v>10.7149</v>
      </c>
      <c r="I421" s="201">
        <f t="shared" si="33"/>
        <v>0.1894000000000009</v>
      </c>
      <c r="J421" s="201">
        <f t="shared" si="34"/>
        <v>1.2399999999999106E-2</v>
      </c>
      <c r="K421" s="280">
        <f t="shared" si="35"/>
        <v>6.1446977205149187</v>
      </c>
      <c r="L421" s="201">
        <v>3</v>
      </c>
      <c r="AB421" s="110" t="str">
        <f>IFERROR(INDEX('WetLitterbags placem_collection'!$A$3:$A$500,MATCH(A421,'WetLitterbags placem_collection'!$K$4:$K$500,0)),"")</f>
        <v/>
      </c>
      <c r="AC421" s="110" t="str">
        <f>IFERROR(INDEX('WetLitterbags placem_collection'!$A$3:$A$500,MATCH($A421,'WetLitterbags placem_collection'!$O$4:$O$500,0)),"")</f>
        <v/>
      </c>
      <c r="AD421" s="110" t="str">
        <f>IFERROR(INDEX('WetLitterbags placem_collection'!$A$3:$A$500,MATCH($A421,'WetLitterbags placem_collection'!$M$4:$M$500,0)),"")</f>
        <v/>
      </c>
      <c r="AE421" s="110">
        <f>IFERROR(INDEX('WetLitterbags placem_collection'!$A$3:$A$500,MATCH($A421,'WetLitterbags placem_collection'!$Q$4:$Q$500,0)),"")</f>
        <v>8</v>
      </c>
    </row>
    <row r="422" spans="1:31">
      <c r="A422" s="197" t="s">
        <v>1038</v>
      </c>
      <c r="C422" s="198">
        <v>218</v>
      </c>
      <c r="D422" s="197">
        <v>1.2075</v>
      </c>
      <c r="E422" s="201">
        <v>10.698</v>
      </c>
      <c r="F422" s="202">
        <v>0.20280000000000001</v>
      </c>
      <c r="G422" s="201">
        <f t="shared" si="32"/>
        <v>10.9008</v>
      </c>
      <c r="H422" s="201">
        <v>10.7095</v>
      </c>
      <c r="I422" s="201">
        <f t="shared" si="33"/>
        <v>0.19130000000000003</v>
      </c>
      <c r="J422" s="201">
        <f t="shared" si="34"/>
        <v>1.1499999999999982E-2</v>
      </c>
      <c r="K422" s="280">
        <f t="shared" si="35"/>
        <v>5.6706114398422001</v>
      </c>
      <c r="L422" s="201">
        <v>19</v>
      </c>
      <c r="M422" s="204">
        <v>43212</v>
      </c>
      <c r="AB422" s="110" t="str">
        <f>IFERROR(INDEX('WetLitterbags placem_collection'!$A$3:$A$500,MATCH(A422,'WetLitterbags placem_collection'!$K$4:$K$500,0)),"")</f>
        <v/>
      </c>
      <c r="AC422" s="110" t="str">
        <f>IFERROR(INDEX('WetLitterbags placem_collection'!$A$3:$A$500,MATCH($A422,'WetLitterbags placem_collection'!$O$4:$O$500,0)),"")</f>
        <v/>
      </c>
      <c r="AD422" s="110" t="str">
        <f>IFERROR(INDEX('WetLitterbags placem_collection'!$A$3:$A$500,MATCH($A422,'WetLitterbags placem_collection'!$M$4:$M$500,0)),"")</f>
        <v/>
      </c>
      <c r="AE422" s="110">
        <f>IFERROR(INDEX('WetLitterbags placem_collection'!$A$3:$A$500,MATCH($A422,'WetLitterbags placem_collection'!$Q$4:$Q$500,0)),"")</f>
        <v>217</v>
      </c>
    </row>
    <row r="423" spans="1:31">
      <c r="A423" s="197" t="s">
        <v>1037</v>
      </c>
      <c r="C423" s="198">
        <v>25</v>
      </c>
      <c r="D423" s="197">
        <v>1.1997</v>
      </c>
      <c r="E423" s="201">
        <v>7.8597999999999999</v>
      </c>
      <c r="F423" s="202">
        <v>0.2016</v>
      </c>
      <c r="G423" s="201">
        <f t="shared" si="32"/>
        <v>8.061399999999999</v>
      </c>
      <c r="H423" s="201">
        <v>7.8674999999999997</v>
      </c>
      <c r="I423" s="201">
        <f t="shared" si="33"/>
        <v>0.1938999999999993</v>
      </c>
      <c r="J423" s="201">
        <f t="shared" si="34"/>
        <v>7.7000000000007063E-3</v>
      </c>
      <c r="K423" s="280">
        <f t="shared" si="35"/>
        <v>3.8194444444447946</v>
      </c>
      <c r="L423" s="201">
        <v>43</v>
      </c>
      <c r="M423" s="204">
        <v>43212</v>
      </c>
      <c r="AB423" s="110" t="str">
        <f>IFERROR(INDEX('WetLitterbags placem_collection'!$A$3:$A$500,MATCH(A423,'WetLitterbags placem_collection'!$K$4:$K$500,0)),"")</f>
        <v/>
      </c>
      <c r="AC423" s="110" t="str">
        <f>IFERROR(INDEX('WetLitterbags placem_collection'!$A$3:$A$500,MATCH($A423,'WetLitterbags placem_collection'!$O$4:$O$500,0)),"")</f>
        <v/>
      </c>
      <c r="AD423" s="110" t="str">
        <f>IFERROR(INDEX('WetLitterbags placem_collection'!$A$3:$A$500,MATCH($A423,'WetLitterbags placem_collection'!$M$4:$M$500,0)),"")</f>
        <v/>
      </c>
      <c r="AE423" s="110">
        <f>IFERROR(INDEX('WetLitterbags placem_collection'!$A$3:$A$500,MATCH($A423,'WetLitterbags placem_collection'!$Q$4:$Q$500,0)),"")</f>
        <v>24</v>
      </c>
    </row>
    <row r="424" spans="1:31">
      <c r="A424" s="201" t="s">
        <v>1036</v>
      </c>
      <c r="C424" s="201">
        <v>173</v>
      </c>
      <c r="D424" s="202">
        <v>1.4504999999999999</v>
      </c>
      <c r="E424" s="202">
        <v>8.0630000000000006</v>
      </c>
      <c r="F424" s="202">
        <v>0.20680000000000001</v>
      </c>
      <c r="G424" s="201">
        <f t="shared" si="32"/>
        <v>8.2698</v>
      </c>
      <c r="H424" s="201">
        <v>8.0683000000000007</v>
      </c>
      <c r="I424" s="201">
        <f t="shared" si="33"/>
        <v>0.20149999999999935</v>
      </c>
      <c r="J424" s="201">
        <f t="shared" si="34"/>
        <v>5.3000000000006653E-3</v>
      </c>
      <c r="K424" s="280">
        <f t="shared" si="35"/>
        <v>2.5628626692459697</v>
      </c>
      <c r="L424" s="201">
        <v>22</v>
      </c>
      <c r="M424" s="203">
        <v>43181.645833333336</v>
      </c>
      <c r="N424" s="203">
        <v>43181.833333333336</v>
      </c>
      <c r="O424" s="201" t="s">
        <v>2556</v>
      </c>
      <c r="P424" s="206" t="s">
        <v>2561</v>
      </c>
      <c r="AB424" s="110" t="str">
        <f>IFERROR(INDEX('WetLitterbags placem_collection'!$A$3:$A$500,MATCH(A424,'WetLitterbags placem_collection'!$K$4:$K$500,0)),"")</f>
        <v/>
      </c>
      <c r="AC424" s="110" t="str">
        <f>IFERROR(INDEX('WetLitterbags placem_collection'!$A$3:$A$500,MATCH($A424,'WetLitterbags placem_collection'!$O$4:$O$500,0)),"")</f>
        <v/>
      </c>
      <c r="AD424" s="110" t="str">
        <f>IFERROR(INDEX('WetLitterbags placem_collection'!$A$3:$A$500,MATCH($A424,'WetLitterbags placem_collection'!$M$4:$M$500,0)),"")</f>
        <v/>
      </c>
      <c r="AE424" s="110">
        <f>IFERROR(INDEX('WetLitterbags placem_collection'!$A$3:$A$500,MATCH($A424,'WetLitterbags placem_collection'!$Q$4:$Q$500,0)),"")</f>
        <v>172</v>
      </c>
    </row>
    <row r="425" spans="1:31">
      <c r="A425" s="206" t="s">
        <v>1034</v>
      </c>
      <c r="C425" s="181">
        <v>48</v>
      </c>
      <c r="D425" s="201">
        <v>1.2957000000000001</v>
      </c>
      <c r="E425" s="201">
        <v>8.4438999999999993</v>
      </c>
      <c r="F425" s="202">
        <v>0.20039999999999999</v>
      </c>
      <c r="G425" s="201">
        <f t="shared" si="32"/>
        <v>8.6442999999999994</v>
      </c>
      <c r="H425" s="201">
        <v>8.4507999999999992</v>
      </c>
      <c r="I425" s="201">
        <f t="shared" si="33"/>
        <v>0.19350000000000023</v>
      </c>
      <c r="J425" s="201">
        <f t="shared" si="34"/>
        <v>6.8999999999997674E-3</v>
      </c>
      <c r="K425" s="280">
        <f t="shared" si="35"/>
        <v>3.4431137724549741</v>
      </c>
      <c r="L425" s="201">
        <v>11</v>
      </c>
      <c r="M425" s="205">
        <v>43211</v>
      </c>
      <c r="S425" s="197" t="s">
        <v>2594</v>
      </c>
      <c r="AB425" s="110" t="str">
        <f>IFERROR(INDEX('WetLitterbags placem_collection'!$A$3:$A$500,MATCH(A425,'WetLitterbags placem_collection'!$K$4:$K$500,0)),"")</f>
        <v/>
      </c>
      <c r="AC425" s="110" t="str">
        <f>IFERROR(INDEX('WetLitterbags placem_collection'!$A$3:$A$500,MATCH($A425,'WetLitterbags placem_collection'!$O$4:$O$500,0)),"")</f>
        <v/>
      </c>
      <c r="AD425" s="110" t="str">
        <f>IFERROR(INDEX('WetLitterbags placem_collection'!$A$3:$A$500,MATCH($A425,'WetLitterbags placem_collection'!$M$4:$M$500,0)),"")</f>
        <v/>
      </c>
      <c r="AE425" s="110">
        <f>IFERROR(INDEX('WetLitterbags placem_collection'!$A$3:$A$500,MATCH($A425,'WetLitterbags placem_collection'!$Q$4:$Q$500,0)),"")</f>
        <v>47</v>
      </c>
    </row>
    <row r="426" spans="1:31">
      <c r="A426" s="206" t="s">
        <v>1130</v>
      </c>
      <c r="C426" s="201">
        <v>122</v>
      </c>
      <c r="D426" s="201">
        <v>0.99909999999999999</v>
      </c>
      <c r="E426" s="202">
        <v>8.0879999999999992</v>
      </c>
      <c r="F426" s="202">
        <v>0.1983</v>
      </c>
      <c r="G426" s="201">
        <f t="shared" si="32"/>
        <v>8.2862999999999989</v>
      </c>
      <c r="H426" s="201">
        <v>8.1047999999999991</v>
      </c>
      <c r="I426" s="201">
        <f t="shared" si="33"/>
        <v>0.18149999999999977</v>
      </c>
      <c r="J426" s="201">
        <f t="shared" si="34"/>
        <v>1.6800000000000231E-2</v>
      </c>
      <c r="K426" s="280">
        <f t="shared" si="35"/>
        <v>8.4720121028745492</v>
      </c>
      <c r="L426" s="201">
        <v>6</v>
      </c>
      <c r="M426" s="203">
        <v>43181.645833333336</v>
      </c>
      <c r="N426" s="203">
        <v>43181.833333333336</v>
      </c>
      <c r="O426" s="201" t="s">
        <v>2556</v>
      </c>
      <c r="P426" s="201"/>
      <c r="AB426" s="110" t="str">
        <f>IFERROR(INDEX('WetLitterbags placem_collection'!$A$3:$A$500,MATCH(A426,'WetLitterbags placem_collection'!$K$4:$K$500,0)),"")</f>
        <v/>
      </c>
      <c r="AC426" s="110" t="str">
        <f>IFERROR(INDEX('WetLitterbags placem_collection'!$A$3:$A$500,MATCH($A426,'WetLitterbags placem_collection'!$O$4:$O$500,0)),"")</f>
        <v/>
      </c>
      <c r="AD426" s="110">
        <f>IFERROR(INDEX('WetLitterbags placem_collection'!$A$3:$A$500,MATCH($A426,'WetLitterbags placem_collection'!$M$4:$M$500,0)),"")</f>
        <v>121</v>
      </c>
      <c r="AE426" s="110" t="str">
        <f>IFERROR(INDEX('WetLitterbags placem_collection'!$A$3:$A$500,MATCH($A426,'WetLitterbags placem_collection'!$Q$4:$Q$500,0)),"")</f>
        <v/>
      </c>
    </row>
    <row r="427" spans="1:31">
      <c r="A427" s="197" t="s">
        <v>1031</v>
      </c>
      <c r="C427" s="197">
        <v>20</v>
      </c>
      <c r="D427" s="197">
        <v>1.4414</v>
      </c>
      <c r="E427" s="197">
        <v>7.3536000000000001</v>
      </c>
      <c r="F427" s="197">
        <v>0.20780000000000001</v>
      </c>
      <c r="G427" s="197">
        <f t="shared" si="32"/>
        <v>7.5613999999999999</v>
      </c>
      <c r="H427" s="197">
        <v>7.3670999999999998</v>
      </c>
      <c r="I427" s="197">
        <f t="shared" si="33"/>
        <v>0.19430000000000014</v>
      </c>
      <c r="J427" s="201">
        <f t="shared" si="34"/>
        <v>1.3499999999999873E-2</v>
      </c>
      <c r="K427" s="280">
        <f t="shared" si="35"/>
        <v>6.496631376323327</v>
      </c>
      <c r="L427" s="197">
        <v>6</v>
      </c>
      <c r="M427" s="197" t="s">
        <v>2586</v>
      </c>
      <c r="N427" s="197" t="s">
        <v>2585</v>
      </c>
      <c r="O427" s="197" t="s">
        <v>2550</v>
      </c>
      <c r="AB427" s="110" t="str">
        <f>IFERROR(INDEX('WetLitterbags placem_collection'!$A$3:$A$500,MATCH(A427,'WetLitterbags placem_collection'!$K$4:$K$500,0)),"")</f>
        <v/>
      </c>
      <c r="AC427" s="110" t="str">
        <f>IFERROR(INDEX('WetLitterbags placem_collection'!$A$3:$A$500,MATCH($A427,'WetLitterbags placem_collection'!$O$4:$O$500,0)),"")</f>
        <v/>
      </c>
      <c r="AD427" s="110" t="str">
        <f>IFERROR(INDEX('WetLitterbags placem_collection'!$A$3:$A$500,MATCH($A427,'WetLitterbags placem_collection'!$M$4:$M$500,0)),"")</f>
        <v/>
      </c>
      <c r="AE427" s="110">
        <f>IFERROR(INDEX('WetLitterbags placem_collection'!$A$3:$A$500,MATCH($A427,'WetLitterbags placem_collection'!$Q$4:$Q$500,0)),"")</f>
        <v>19</v>
      </c>
    </row>
    <row r="428" spans="1:31">
      <c r="A428" s="201" t="s">
        <v>1030</v>
      </c>
      <c r="C428" s="201">
        <v>213</v>
      </c>
      <c r="D428" s="201">
        <v>1.3273999999999999</v>
      </c>
      <c r="E428" s="201">
        <v>9.5183999999999997</v>
      </c>
      <c r="F428" s="201">
        <v>0.20580000000000001</v>
      </c>
      <c r="G428" s="201">
        <f t="shared" si="32"/>
        <v>9.7241999999999997</v>
      </c>
      <c r="H428" s="201">
        <v>9.5253999999999994</v>
      </c>
      <c r="I428" s="201">
        <f t="shared" si="33"/>
        <v>0.19880000000000031</v>
      </c>
      <c r="J428" s="201">
        <f t="shared" si="34"/>
        <v>6.9999999999997009E-3</v>
      </c>
      <c r="K428" s="280">
        <f t="shared" si="35"/>
        <v>3.4013605442175416</v>
      </c>
      <c r="L428" s="201">
        <v>5</v>
      </c>
      <c r="M428" s="205">
        <v>43188</v>
      </c>
      <c r="N428" s="205">
        <v>43188</v>
      </c>
      <c r="O428" s="201"/>
      <c r="P428" s="201"/>
      <c r="AB428" s="110" t="str">
        <f>IFERROR(INDEX('WetLitterbags placem_collection'!$A$3:$A$500,MATCH(A428,'WetLitterbags placem_collection'!$K$4:$K$500,0)),"")</f>
        <v/>
      </c>
      <c r="AC428" s="110" t="str">
        <f>IFERROR(INDEX('WetLitterbags placem_collection'!$A$3:$A$500,MATCH($A428,'WetLitterbags placem_collection'!$O$4:$O$500,0)),"")</f>
        <v/>
      </c>
      <c r="AD428" s="110" t="str">
        <f>IFERROR(INDEX('WetLitterbags placem_collection'!$A$3:$A$500,MATCH($A428,'WetLitterbags placem_collection'!$M$4:$M$500,0)),"")</f>
        <v/>
      </c>
      <c r="AE428" s="110">
        <f>IFERROR(INDEX('WetLitterbags placem_collection'!$A$3:$A$500,MATCH($A428,'WetLitterbags placem_collection'!$Q$4:$Q$500,0)),"")</f>
        <v>212</v>
      </c>
    </row>
    <row r="429" spans="1:31">
      <c r="A429" s="197" t="s">
        <v>1029</v>
      </c>
      <c r="C429" s="198">
        <v>27</v>
      </c>
      <c r="D429" s="197">
        <v>1.1268</v>
      </c>
      <c r="E429" s="201">
        <v>8.1679999999999993</v>
      </c>
      <c r="F429" s="202">
        <v>0.20619999999999999</v>
      </c>
      <c r="G429" s="201">
        <f t="shared" si="32"/>
        <v>8.3742000000000001</v>
      </c>
      <c r="H429" s="201">
        <v>8.1806000000000001</v>
      </c>
      <c r="I429" s="201">
        <f t="shared" si="33"/>
        <v>0.19359999999999999</v>
      </c>
      <c r="J429" s="201">
        <f t="shared" si="34"/>
        <v>1.26E-2</v>
      </c>
      <c r="K429" s="280">
        <f t="shared" si="35"/>
        <v>6.1105722599418044</v>
      </c>
      <c r="L429" s="201">
        <v>35</v>
      </c>
      <c r="M429" s="204">
        <v>43212</v>
      </c>
      <c r="AB429" s="110" t="str">
        <f>IFERROR(INDEX('WetLitterbags placem_collection'!$A$3:$A$500,MATCH(A429,'WetLitterbags placem_collection'!$K$4:$K$500,0)),"")</f>
        <v/>
      </c>
      <c r="AC429" s="110" t="str">
        <f>IFERROR(INDEX('WetLitterbags placem_collection'!$A$3:$A$500,MATCH($A429,'WetLitterbags placem_collection'!$O$4:$O$500,0)),"")</f>
        <v/>
      </c>
      <c r="AD429" s="110">
        <f>IFERROR(INDEX('WetLitterbags placem_collection'!$A$3:$A$500,MATCH($A429,'WetLitterbags placem_collection'!$M$4:$M$500,0)),"")</f>
        <v>26</v>
      </c>
      <c r="AE429" s="110" t="str">
        <f>IFERROR(INDEX('WetLitterbags placem_collection'!$A$3:$A$500,MATCH($A429,'WetLitterbags placem_collection'!$Q$4:$Q$500,0)),"")</f>
        <v/>
      </c>
    </row>
    <row r="430" spans="1:31">
      <c r="A430" s="206" t="s">
        <v>1027</v>
      </c>
      <c r="C430" s="201">
        <v>40</v>
      </c>
      <c r="D430" s="201">
        <v>1.9709000000000001</v>
      </c>
      <c r="E430" s="201">
        <v>7.8711000000000002</v>
      </c>
      <c r="F430" s="202">
        <v>0.20180000000000001</v>
      </c>
      <c r="G430" s="201">
        <f t="shared" si="32"/>
        <v>8.0729000000000006</v>
      </c>
      <c r="H430" s="201">
        <v>7.9211999999999998</v>
      </c>
      <c r="I430" s="201">
        <f t="shared" si="33"/>
        <v>0.15170000000000083</v>
      </c>
      <c r="J430" s="201">
        <f t="shared" si="34"/>
        <v>5.0099999999999173E-2</v>
      </c>
      <c r="K430" s="280">
        <f t="shared" si="35"/>
        <v>24.826560951436655</v>
      </c>
      <c r="L430" s="201">
        <v>8</v>
      </c>
      <c r="M430" s="205">
        <v>43211</v>
      </c>
      <c r="P430" s="201"/>
      <c r="AB430" s="110" t="str">
        <f>IFERROR(INDEX('WetLitterbags placem_collection'!$A$3:$A$500,MATCH(A430,'WetLitterbags placem_collection'!$K$4:$K$500,0)),"")</f>
        <v/>
      </c>
      <c r="AC430" s="110" t="str">
        <f>IFERROR(INDEX('WetLitterbags placem_collection'!$A$3:$A$500,MATCH($A430,'WetLitterbags placem_collection'!$O$4:$O$500,0)),"")</f>
        <v/>
      </c>
      <c r="AD430" s="110">
        <f>IFERROR(INDEX('WetLitterbags placem_collection'!$A$3:$A$500,MATCH($A430,'WetLitterbags placem_collection'!$M$4:$M$500,0)),"")</f>
        <v>39</v>
      </c>
      <c r="AE430" s="110" t="str">
        <f>IFERROR(INDEX('WetLitterbags placem_collection'!$A$3:$A$500,MATCH($A430,'WetLitterbags placem_collection'!$Q$4:$Q$500,0)),"")</f>
        <v/>
      </c>
    </row>
    <row r="431" spans="1:31">
      <c r="A431" s="197" t="s">
        <v>1026</v>
      </c>
      <c r="C431" s="197">
        <v>4</v>
      </c>
      <c r="D431" s="197">
        <v>1.171</v>
      </c>
      <c r="E431" s="202">
        <v>8.1178000000000008</v>
      </c>
      <c r="F431" s="202">
        <v>0.20030000000000001</v>
      </c>
      <c r="G431" s="201">
        <f t="shared" si="32"/>
        <v>8.3181000000000012</v>
      </c>
      <c r="H431" s="201">
        <v>8.1286000000000005</v>
      </c>
      <c r="I431" s="201">
        <f t="shared" si="33"/>
        <v>0.18950000000000067</v>
      </c>
      <c r="J431" s="201">
        <f t="shared" si="34"/>
        <v>1.0799999999999338E-2</v>
      </c>
      <c r="K431" s="280">
        <f t="shared" si="35"/>
        <v>5.3919121318019663</v>
      </c>
      <c r="L431" s="201">
        <v>9</v>
      </c>
      <c r="AB431" s="110" t="str">
        <f>IFERROR(INDEX('WetLitterbags placem_collection'!$A$3:$A$500,MATCH(A431,'WetLitterbags placem_collection'!$K$4:$K$500,0)),"")</f>
        <v/>
      </c>
      <c r="AC431" s="110" t="str">
        <f>IFERROR(INDEX('WetLitterbags placem_collection'!$A$3:$A$500,MATCH($A431,'WetLitterbags placem_collection'!$O$4:$O$500,0)),"")</f>
        <v/>
      </c>
      <c r="AD431" s="110">
        <f>IFERROR(INDEX('WetLitterbags placem_collection'!$A$3:$A$500,MATCH($A431,'WetLitterbags placem_collection'!$M$4:$M$500,0)),"")</f>
        <v>3</v>
      </c>
      <c r="AE431" s="110" t="str">
        <f>IFERROR(INDEX('WetLitterbags placem_collection'!$A$3:$A$500,MATCH($A431,'WetLitterbags placem_collection'!$Q$4:$Q$500,0)),"")</f>
        <v/>
      </c>
    </row>
    <row r="432" spans="1:31">
      <c r="A432" s="197" t="s">
        <v>1024</v>
      </c>
      <c r="C432" s="197">
        <v>43</v>
      </c>
      <c r="D432" s="197">
        <v>1.3892</v>
      </c>
      <c r="E432" s="197">
        <v>7.4809000000000001</v>
      </c>
      <c r="F432" s="197">
        <v>0.20069999999999999</v>
      </c>
      <c r="G432" s="197">
        <f t="shared" si="32"/>
        <v>7.6816000000000004</v>
      </c>
      <c r="H432" s="197">
        <v>7.4846000000000004</v>
      </c>
      <c r="I432" s="197">
        <f t="shared" si="33"/>
        <v>0.19700000000000006</v>
      </c>
      <c r="J432" s="201">
        <f t="shared" si="34"/>
        <v>3.6999999999999256E-3</v>
      </c>
      <c r="K432" s="280">
        <f t="shared" si="35"/>
        <v>1.8435475834578603</v>
      </c>
      <c r="L432" s="197">
        <v>12</v>
      </c>
      <c r="M432" s="197" t="s">
        <v>2586</v>
      </c>
      <c r="N432" s="197" t="s">
        <v>2585</v>
      </c>
      <c r="O432" s="197" t="s">
        <v>2550</v>
      </c>
      <c r="AB432" s="110" t="str">
        <f>IFERROR(INDEX('WetLitterbags placem_collection'!$A$3:$A$500,MATCH(A432,'WetLitterbags placem_collection'!$K$4:$K$500,0)),"")</f>
        <v/>
      </c>
      <c r="AC432" s="110" t="str">
        <f>IFERROR(INDEX('WetLitterbags placem_collection'!$A$3:$A$500,MATCH($A432,'WetLitterbags placem_collection'!$O$4:$O$500,0)),"")</f>
        <v/>
      </c>
      <c r="AD432" s="110" t="str">
        <f>IFERROR(INDEX('WetLitterbags placem_collection'!$A$3:$A$500,MATCH($A432,'WetLitterbags placem_collection'!$M$4:$M$500,0)),"")</f>
        <v/>
      </c>
      <c r="AE432" s="110">
        <f>IFERROR(INDEX('WetLitterbags placem_collection'!$A$3:$A$500,MATCH($A432,'WetLitterbags placem_collection'!$Q$4:$Q$500,0)),"")</f>
        <v>42</v>
      </c>
    </row>
    <row r="433" spans="1:31">
      <c r="A433" s="197" t="s">
        <v>1022</v>
      </c>
      <c r="C433" s="197">
        <v>62</v>
      </c>
      <c r="D433" s="197">
        <v>1.3992</v>
      </c>
      <c r="E433" s="197">
        <v>8.1684000000000001</v>
      </c>
      <c r="F433" s="197">
        <v>0.19800000000000001</v>
      </c>
      <c r="G433" s="197">
        <f t="shared" si="32"/>
        <v>8.3664000000000005</v>
      </c>
      <c r="H433" s="197">
        <v>8.1851000000000003</v>
      </c>
      <c r="I433" s="197">
        <f t="shared" si="33"/>
        <v>0.18130000000000024</v>
      </c>
      <c r="J433" s="201">
        <f t="shared" si="34"/>
        <v>1.6699999999999771E-2</v>
      </c>
      <c r="K433" s="280">
        <f t="shared" si="35"/>
        <v>8.4343434343433188</v>
      </c>
      <c r="L433" s="197">
        <v>44</v>
      </c>
      <c r="M433" s="197" t="s">
        <v>2586</v>
      </c>
      <c r="N433" s="197" t="s">
        <v>2585</v>
      </c>
      <c r="O433" s="197" t="s">
        <v>2550</v>
      </c>
      <c r="AB433" s="110" t="str">
        <f>IFERROR(INDEX('WetLitterbags placem_collection'!$A$3:$A$500,MATCH(A433,'WetLitterbags placem_collection'!$K$4:$K$500,0)),"")</f>
        <v/>
      </c>
      <c r="AC433" s="110" t="str">
        <f>IFERROR(INDEX('WetLitterbags placem_collection'!$A$3:$A$500,MATCH($A433,'WetLitterbags placem_collection'!$O$4:$O$500,0)),"")</f>
        <v/>
      </c>
      <c r="AD433" s="110">
        <f>IFERROR(INDEX('WetLitterbags placem_collection'!$A$3:$A$500,MATCH($A433,'WetLitterbags placem_collection'!$M$4:$M$500,0)),"")</f>
        <v>61</v>
      </c>
      <c r="AE433" s="110" t="str">
        <f>IFERROR(INDEX('WetLitterbags placem_collection'!$A$3:$A$500,MATCH($A433,'WetLitterbags placem_collection'!$Q$4:$Q$500,0)),"")</f>
        <v/>
      </c>
    </row>
    <row r="434" spans="1:31">
      <c r="A434" s="201" t="s">
        <v>1021</v>
      </c>
      <c r="C434" s="201">
        <v>59</v>
      </c>
      <c r="D434" s="201">
        <v>1.2487999999999999</v>
      </c>
      <c r="E434" s="201">
        <v>10.539099999999999</v>
      </c>
      <c r="F434" s="202">
        <v>0.20069999999999999</v>
      </c>
      <c r="G434" s="201">
        <f t="shared" si="32"/>
        <v>10.739799999999999</v>
      </c>
      <c r="H434" s="201">
        <v>10.546799999999999</v>
      </c>
      <c r="I434" s="201">
        <f t="shared" si="33"/>
        <v>0.19299999999999962</v>
      </c>
      <c r="J434" s="201">
        <f t="shared" si="34"/>
        <v>7.7000000000003732E-3</v>
      </c>
      <c r="K434" s="280">
        <f t="shared" si="35"/>
        <v>3.836571998007162</v>
      </c>
      <c r="L434" s="201">
        <v>1</v>
      </c>
      <c r="M434" s="205">
        <v>43188</v>
      </c>
      <c r="N434" s="205">
        <v>43188</v>
      </c>
      <c r="O434" s="201"/>
      <c r="P434" s="201"/>
      <c r="U434" s="202" t="s">
        <v>1397</v>
      </c>
      <c r="V434" s="197">
        <v>0.9143</v>
      </c>
      <c r="W434" s="197">
        <f>(V434-$T$175+F432)</f>
        <v>1.115</v>
      </c>
      <c r="AB434" s="110" t="str">
        <f>IFERROR(INDEX('WetLitterbags placem_collection'!$A$3:$A$500,MATCH(A434,'WetLitterbags placem_collection'!$K$4:$K$500,0)),"")</f>
        <v/>
      </c>
      <c r="AC434" s="110" t="str">
        <f>IFERROR(INDEX('WetLitterbags placem_collection'!$A$3:$A$500,MATCH($A434,'WetLitterbags placem_collection'!$O$4:$O$500,0)),"")</f>
        <v/>
      </c>
      <c r="AD434" s="110" t="str">
        <f>IFERROR(INDEX('WetLitterbags placem_collection'!$A$3:$A$500,MATCH($A434,'WetLitterbags placem_collection'!$M$4:$M$500,0)),"")</f>
        <v/>
      </c>
      <c r="AE434" s="110">
        <f>IFERROR(INDEX('WetLitterbags placem_collection'!$A$3:$A$500,MATCH($A434,'WetLitterbags placem_collection'!$Q$4:$Q$500,0)),"")</f>
        <v>58</v>
      </c>
    </row>
    <row r="435" spans="1:31">
      <c r="A435" s="197" t="s">
        <v>1020</v>
      </c>
      <c r="C435" s="198">
        <v>2</v>
      </c>
      <c r="D435" s="197">
        <v>1.0841000000000001</v>
      </c>
      <c r="E435" s="202">
        <v>7.8714000000000004</v>
      </c>
      <c r="F435" s="202">
        <v>0.20100000000000001</v>
      </c>
      <c r="G435" s="201">
        <f t="shared" ref="G435:G498" si="36">E435+F435</f>
        <v>8.0724</v>
      </c>
      <c r="H435" s="201">
        <v>7.8826999999999998</v>
      </c>
      <c r="I435" s="201">
        <f t="shared" ref="I435:I459" si="37">(G435-H435)</f>
        <v>0.1897000000000002</v>
      </c>
      <c r="J435" s="201">
        <f t="shared" ref="J435:J498" si="38">F435-I435</f>
        <v>1.129999999999981E-2</v>
      </c>
      <c r="K435" s="280">
        <f t="shared" ref="K435:K498" si="39">(J435/F435)*100</f>
        <v>5.6218905472635869</v>
      </c>
      <c r="L435" s="201">
        <v>29</v>
      </c>
      <c r="M435" s="204">
        <v>43213</v>
      </c>
      <c r="N435" s="204">
        <v>43213</v>
      </c>
      <c r="T435" s="204"/>
      <c r="U435" s="204"/>
      <c r="AB435" s="110" t="str">
        <f>IFERROR(INDEX('WetLitterbags placem_collection'!$A$3:$A$500,MATCH(A435,'WetLitterbags placem_collection'!$K$4:$K$500,0)),"")</f>
        <v/>
      </c>
      <c r="AC435" s="110" t="str">
        <f>IFERROR(INDEX('WetLitterbags placem_collection'!$A$3:$A$500,MATCH($A435,'WetLitterbags placem_collection'!$O$4:$O$500,0)),"")</f>
        <v/>
      </c>
      <c r="AD435" s="110">
        <f>IFERROR(INDEX('WetLitterbags placem_collection'!$A$3:$A$500,MATCH($A435,'WetLitterbags placem_collection'!$M$4:$M$500,0)),"")</f>
        <v>1</v>
      </c>
      <c r="AE435" s="110" t="str">
        <f>IFERROR(INDEX('WetLitterbags placem_collection'!$A$3:$A$500,MATCH($A435,'WetLitterbags placem_collection'!$Q$4:$Q$500,0)),"")</f>
        <v/>
      </c>
    </row>
    <row r="436" spans="1:31">
      <c r="A436" s="197" t="s">
        <v>1017</v>
      </c>
      <c r="C436" s="197">
        <v>161</v>
      </c>
      <c r="D436" s="197">
        <v>1.4500999999999999</v>
      </c>
      <c r="E436" s="197">
        <v>8.7805999999999997</v>
      </c>
      <c r="F436" s="197">
        <v>0.20710000000000001</v>
      </c>
      <c r="G436" s="197">
        <f t="shared" si="36"/>
        <v>8.9877000000000002</v>
      </c>
      <c r="H436" s="197">
        <v>8.7827000000000002</v>
      </c>
      <c r="I436" s="197">
        <f t="shared" si="37"/>
        <v>0.20500000000000007</v>
      </c>
      <c r="J436" s="201">
        <f t="shared" si="38"/>
        <v>2.0999999999999353E-3</v>
      </c>
      <c r="K436" s="280">
        <f t="shared" si="39"/>
        <v>1.0140028971511033</v>
      </c>
      <c r="L436" s="197">
        <v>2</v>
      </c>
      <c r="M436" s="197">
        <v>43160.520833333336</v>
      </c>
      <c r="N436" s="197">
        <v>43160.6875</v>
      </c>
      <c r="O436" s="197" t="s">
        <v>2550</v>
      </c>
      <c r="AB436" s="110" t="str">
        <f>IFERROR(INDEX('WetLitterbags placem_collection'!$A$3:$A$500,MATCH(A436,'WetLitterbags placem_collection'!$K$4:$K$500,0)),"")</f>
        <v/>
      </c>
      <c r="AC436" s="110" t="str">
        <f>IFERROR(INDEX('WetLitterbags placem_collection'!$A$3:$A$500,MATCH($A436,'WetLitterbags placem_collection'!$O$4:$O$500,0)),"")</f>
        <v/>
      </c>
      <c r="AD436" s="110">
        <f>IFERROR(INDEX('WetLitterbags placem_collection'!$A$3:$A$500,MATCH($A436,'WetLitterbags placem_collection'!$M$4:$M$500,0)),"")</f>
        <v>160</v>
      </c>
      <c r="AE436" s="110" t="str">
        <f>IFERROR(INDEX('WetLitterbags placem_collection'!$A$3:$A$500,MATCH($A436,'WetLitterbags placem_collection'!$Q$4:$Q$500,0)),"")</f>
        <v/>
      </c>
    </row>
    <row r="437" spans="1:31">
      <c r="A437" s="197" t="s">
        <v>1016</v>
      </c>
      <c r="C437" s="198">
        <v>193</v>
      </c>
      <c r="D437" s="197">
        <v>1.0089999999999999</v>
      </c>
      <c r="E437" s="201">
        <v>9.4854000000000003</v>
      </c>
      <c r="F437" s="202">
        <v>0.20050000000000001</v>
      </c>
      <c r="G437" s="201">
        <f t="shared" si="36"/>
        <v>9.6859000000000002</v>
      </c>
      <c r="H437" s="201">
        <v>9.4951000000000008</v>
      </c>
      <c r="I437" s="201">
        <f t="shared" si="37"/>
        <v>0.19079999999999941</v>
      </c>
      <c r="J437" s="201">
        <f t="shared" si="38"/>
        <v>9.700000000000597E-3</v>
      </c>
      <c r="K437" s="280">
        <f t="shared" si="39"/>
        <v>4.8379052369080275</v>
      </c>
      <c r="L437" s="201">
        <v>22</v>
      </c>
      <c r="M437" s="204">
        <v>43212</v>
      </c>
      <c r="AB437" s="110" t="str">
        <f>IFERROR(INDEX('WetLitterbags placem_collection'!$A$3:$A$500,MATCH(A437,'WetLitterbags placem_collection'!$K$4:$K$500,0)),"")</f>
        <v/>
      </c>
      <c r="AC437" s="110" t="str">
        <f>IFERROR(INDEX('WetLitterbags placem_collection'!$A$3:$A$500,MATCH($A437,'WetLitterbags placem_collection'!$O$4:$O$500,0)),"")</f>
        <v/>
      </c>
      <c r="AD437" s="110">
        <f>IFERROR(INDEX('WetLitterbags placem_collection'!$A$3:$A$500,MATCH($A437,'WetLitterbags placem_collection'!$M$4:$M$500,0)),"")</f>
        <v>192</v>
      </c>
      <c r="AE437" s="110" t="str">
        <f>IFERROR(INDEX('WetLitterbags placem_collection'!$A$3:$A$500,MATCH($A437,'WetLitterbags placem_collection'!$Q$4:$Q$500,0)),"")</f>
        <v/>
      </c>
    </row>
    <row r="438" spans="1:31">
      <c r="A438" s="206" t="s">
        <v>1015</v>
      </c>
      <c r="C438" s="201">
        <v>36</v>
      </c>
      <c r="D438" s="201">
        <v>1.3523000000000001</v>
      </c>
      <c r="E438" s="201">
        <v>10.114000000000001</v>
      </c>
      <c r="F438" s="201">
        <v>0.20669999999999999</v>
      </c>
      <c r="G438" s="201">
        <f t="shared" si="36"/>
        <v>10.3207</v>
      </c>
      <c r="H438" s="201">
        <v>10.120799999999999</v>
      </c>
      <c r="I438" s="201">
        <f t="shared" si="37"/>
        <v>0.1999000000000013</v>
      </c>
      <c r="J438" s="201">
        <f t="shared" si="38"/>
        <v>6.799999999998696E-3</v>
      </c>
      <c r="K438" s="280">
        <f t="shared" si="39"/>
        <v>3.2897919690366213</v>
      </c>
      <c r="L438" s="201">
        <v>25</v>
      </c>
      <c r="M438" s="205">
        <v>43188</v>
      </c>
      <c r="N438" s="205">
        <v>43188</v>
      </c>
      <c r="O438" s="201"/>
      <c r="P438" s="201"/>
      <c r="AB438" s="110" t="str">
        <f>IFERROR(INDEX('WetLitterbags placem_collection'!$A$3:$A$500,MATCH(A438,'WetLitterbags placem_collection'!$K$4:$K$500,0)),"")</f>
        <v/>
      </c>
      <c r="AC438" s="110" t="str">
        <f>IFERROR(INDEX('WetLitterbags placem_collection'!$A$3:$A$500,MATCH($A438,'WetLitterbags placem_collection'!$O$4:$O$500,0)),"")</f>
        <v/>
      </c>
      <c r="AD438" s="110">
        <f>IFERROR(INDEX('WetLitterbags placem_collection'!$A$3:$A$500,MATCH($A438,'WetLitterbags placem_collection'!$M$4:$M$500,0)),"")</f>
        <v>35</v>
      </c>
      <c r="AE438" s="110" t="str">
        <f>IFERROR(INDEX('WetLitterbags placem_collection'!$A$3:$A$500,MATCH($A438,'WetLitterbags placem_collection'!$Q$4:$Q$500,0)),"")</f>
        <v/>
      </c>
    </row>
    <row r="439" spans="1:31">
      <c r="A439" s="206" t="s">
        <v>1013</v>
      </c>
      <c r="C439" s="201">
        <v>18</v>
      </c>
      <c r="D439" s="201">
        <v>1.5038</v>
      </c>
      <c r="E439" s="201">
        <v>8.7735000000000003</v>
      </c>
      <c r="F439" s="202">
        <v>0.2024</v>
      </c>
      <c r="G439" s="201">
        <f t="shared" si="36"/>
        <v>8.9759000000000011</v>
      </c>
      <c r="H439" s="201">
        <v>8.7866</v>
      </c>
      <c r="I439" s="201">
        <f t="shared" si="37"/>
        <v>0.18930000000000113</v>
      </c>
      <c r="J439" s="201">
        <f t="shared" si="38"/>
        <v>1.3099999999998863E-2</v>
      </c>
      <c r="K439" s="280">
        <f t="shared" si="39"/>
        <v>6.4723320158097151</v>
      </c>
      <c r="L439" s="201">
        <v>8</v>
      </c>
      <c r="M439" s="205">
        <v>43187</v>
      </c>
      <c r="N439" s="205">
        <v>43187</v>
      </c>
      <c r="O439" s="201"/>
      <c r="P439" s="201" t="s">
        <v>2598</v>
      </c>
      <c r="AB439" s="110" t="str">
        <f>IFERROR(INDEX('WetLitterbags placem_collection'!$A$3:$A$500,MATCH(A439,'WetLitterbags placem_collection'!$K$4:$K$500,0)),"")</f>
        <v/>
      </c>
      <c r="AC439" s="110" t="str">
        <f>IFERROR(INDEX('WetLitterbags placem_collection'!$A$3:$A$500,MATCH($A439,'WetLitterbags placem_collection'!$O$4:$O$500,0)),"")</f>
        <v/>
      </c>
      <c r="AD439" s="110">
        <f>IFERROR(INDEX('WetLitterbags placem_collection'!$A$3:$A$500,MATCH($A439,'WetLitterbags placem_collection'!$M$4:$M$500,0)),"")</f>
        <v>17</v>
      </c>
      <c r="AE439" s="110" t="str">
        <f>IFERROR(INDEX('WetLitterbags placem_collection'!$A$3:$A$500,MATCH($A439,'WetLitterbags placem_collection'!$Q$4:$Q$500,0)),"")</f>
        <v/>
      </c>
    </row>
    <row r="440" spans="1:31">
      <c r="A440" s="206" t="s">
        <v>1012</v>
      </c>
      <c r="C440" s="201">
        <v>68</v>
      </c>
      <c r="D440" s="201">
        <v>1.5619000000000001</v>
      </c>
      <c r="E440" s="202">
        <v>7.3540999999999999</v>
      </c>
      <c r="F440" s="202">
        <v>0.2029</v>
      </c>
      <c r="G440" s="201">
        <f t="shared" si="36"/>
        <v>7.5569999999999995</v>
      </c>
      <c r="H440" s="201">
        <v>7.3837999999999999</v>
      </c>
      <c r="I440" s="201">
        <f t="shared" si="37"/>
        <v>0.17319999999999958</v>
      </c>
      <c r="J440" s="201">
        <f t="shared" si="38"/>
        <v>2.9700000000000421E-2</v>
      </c>
      <c r="K440" s="280">
        <f t="shared" si="39"/>
        <v>14.637752587481726</v>
      </c>
      <c r="L440" s="201">
        <v>16</v>
      </c>
      <c r="M440" s="205">
        <v>43199</v>
      </c>
      <c r="N440" s="205">
        <v>43199</v>
      </c>
      <c r="O440" s="201"/>
      <c r="P440" s="201"/>
      <c r="AB440" s="110" t="str">
        <f>IFERROR(INDEX('WetLitterbags placem_collection'!$A$3:$A$500,MATCH(A440,'WetLitterbags placem_collection'!$K$4:$K$500,0)),"")</f>
        <v/>
      </c>
      <c r="AC440" s="110" t="str">
        <f>IFERROR(INDEX('WetLitterbags placem_collection'!$A$3:$A$500,MATCH($A440,'WetLitterbags placem_collection'!$O$4:$O$500,0)),"")</f>
        <v/>
      </c>
      <c r="AD440" s="110">
        <f>IFERROR(INDEX('WetLitterbags placem_collection'!$A$3:$A$500,MATCH($A440,'WetLitterbags placem_collection'!$M$4:$M$500,0)),"")</f>
        <v>67</v>
      </c>
      <c r="AE440" s="110" t="str">
        <f>IFERROR(INDEX('WetLitterbags placem_collection'!$A$3:$A$500,MATCH($A440,'WetLitterbags placem_collection'!$Q$4:$Q$500,0)),"")</f>
        <v/>
      </c>
    </row>
    <row r="441" spans="1:31">
      <c r="A441" s="206" t="s">
        <v>1011</v>
      </c>
      <c r="C441" s="201">
        <v>212</v>
      </c>
      <c r="D441" s="201">
        <v>1.45</v>
      </c>
      <c r="E441" s="201">
        <v>8.0891000000000002</v>
      </c>
      <c r="F441" s="201">
        <v>0.20219999999999999</v>
      </c>
      <c r="G441" s="201">
        <f t="shared" si="36"/>
        <v>8.2912999999999997</v>
      </c>
      <c r="H441" s="201">
        <v>8.1037999999999997</v>
      </c>
      <c r="I441" s="201">
        <f t="shared" si="37"/>
        <v>0.1875</v>
      </c>
      <c r="J441" s="201">
        <f t="shared" si="38"/>
        <v>1.4699999999999991E-2</v>
      </c>
      <c r="K441" s="280">
        <f t="shared" si="39"/>
        <v>7.2700296735904999</v>
      </c>
      <c r="L441" s="201">
        <v>1</v>
      </c>
      <c r="M441" s="203">
        <v>43171.520833333336</v>
      </c>
      <c r="N441" s="203">
        <v>43171.6875</v>
      </c>
      <c r="O441" s="197" t="s">
        <v>2550</v>
      </c>
      <c r="P441" s="201"/>
      <c r="AB441" s="110" t="str">
        <f>IFERROR(INDEX('WetLitterbags placem_collection'!$A$3:$A$500,MATCH(A441,'WetLitterbags placem_collection'!$K$4:$K$500,0)),"")</f>
        <v/>
      </c>
      <c r="AC441" s="110" t="str">
        <f>IFERROR(INDEX('WetLitterbags placem_collection'!$A$3:$A$500,MATCH($A441,'WetLitterbags placem_collection'!$O$4:$O$500,0)),"")</f>
        <v/>
      </c>
      <c r="AD441" s="110" t="str">
        <f>IFERROR(INDEX('WetLitterbags placem_collection'!$A$3:$A$500,MATCH($A441,'WetLitterbags placem_collection'!$M$4:$M$500,0)),"")</f>
        <v/>
      </c>
      <c r="AE441" s="110">
        <f>IFERROR(INDEX('WetLitterbags placem_collection'!$A$3:$A$500,MATCH($A441,'WetLitterbags placem_collection'!$Q$4:$Q$500,0)),"")</f>
        <v>211</v>
      </c>
    </row>
    <row r="442" spans="1:31">
      <c r="A442" s="197" t="s">
        <v>1009</v>
      </c>
      <c r="C442" s="197">
        <v>23</v>
      </c>
      <c r="D442" s="197">
        <v>1.3028999999999999</v>
      </c>
      <c r="E442" s="197">
        <v>9.032</v>
      </c>
      <c r="F442" s="197">
        <v>0.20019999999999999</v>
      </c>
      <c r="G442" s="197">
        <f t="shared" si="36"/>
        <v>9.2322000000000006</v>
      </c>
      <c r="H442" s="197">
        <v>9.0356000000000005</v>
      </c>
      <c r="I442" s="197">
        <f t="shared" si="37"/>
        <v>0.19660000000000011</v>
      </c>
      <c r="J442" s="201">
        <f t="shared" si="38"/>
        <v>3.5999999999998811E-3</v>
      </c>
      <c r="K442" s="280">
        <f t="shared" si="39"/>
        <v>1.7982017982017391</v>
      </c>
      <c r="L442" s="197">
        <v>21</v>
      </c>
      <c r="M442" s="197" t="s">
        <v>2586</v>
      </c>
      <c r="N442" s="197" t="s">
        <v>2585</v>
      </c>
      <c r="O442" s="197" t="s">
        <v>2550</v>
      </c>
      <c r="AB442" s="110" t="str">
        <f>IFERROR(INDEX('WetLitterbags placem_collection'!$A$3:$A$500,MATCH(A442,'WetLitterbags placem_collection'!$K$4:$K$500,0)),"")</f>
        <v/>
      </c>
      <c r="AC442" s="110" t="str">
        <f>IFERROR(INDEX('WetLitterbags placem_collection'!$A$3:$A$500,MATCH($A442,'WetLitterbags placem_collection'!$O$4:$O$500,0)),"")</f>
        <v/>
      </c>
      <c r="AD442" s="110" t="str">
        <f>IFERROR(INDEX('WetLitterbags placem_collection'!$A$3:$A$500,MATCH($A442,'WetLitterbags placem_collection'!$M$4:$M$500,0)),"")</f>
        <v/>
      </c>
      <c r="AE442" s="110">
        <f>IFERROR(INDEX('WetLitterbags placem_collection'!$A$3:$A$500,MATCH($A442,'WetLitterbags placem_collection'!$Q$4:$Q$500,0)),"")</f>
        <v>22</v>
      </c>
    </row>
    <row r="443" spans="1:31">
      <c r="A443" s="201" t="s">
        <v>1007</v>
      </c>
      <c r="C443" s="201">
        <v>83</v>
      </c>
      <c r="D443" s="202">
        <v>0.71630000000000005</v>
      </c>
      <c r="E443" s="201">
        <v>8.7734000000000005</v>
      </c>
      <c r="F443" s="202">
        <v>0.20419999999999999</v>
      </c>
      <c r="G443" s="201">
        <f t="shared" si="36"/>
        <v>8.9776000000000007</v>
      </c>
      <c r="H443" s="201">
        <v>8.9</v>
      </c>
      <c r="I443" s="201">
        <f t="shared" si="37"/>
        <v>7.7600000000000335E-2</v>
      </c>
      <c r="J443" s="201">
        <f t="shared" si="38"/>
        <v>0.12659999999999966</v>
      </c>
      <c r="K443" s="280">
        <f t="shared" si="39"/>
        <v>61.99804113614087</v>
      </c>
      <c r="L443" s="201">
        <v>2</v>
      </c>
      <c r="M443" s="205">
        <v>43206</v>
      </c>
      <c r="N443" s="205">
        <v>43206</v>
      </c>
      <c r="O443" s="201"/>
      <c r="P443" s="201"/>
      <c r="AB443" s="110" t="str">
        <f>IFERROR(INDEX('WetLitterbags placem_collection'!$A$3:$A$500,MATCH(A443,'WetLitterbags placem_collection'!$K$4:$K$500,0)),"")</f>
        <v/>
      </c>
      <c r="AC443" s="110" t="str">
        <f>IFERROR(INDEX('WetLitterbags placem_collection'!$A$3:$A$500,MATCH($A443,'WetLitterbags placem_collection'!$O$4:$O$500,0)),"")</f>
        <v/>
      </c>
      <c r="AD443" s="110">
        <f>IFERROR(INDEX('WetLitterbags placem_collection'!$A$3:$A$500,MATCH($A443,'WetLitterbags placem_collection'!$M$4:$M$500,0)),"")</f>
        <v>82</v>
      </c>
      <c r="AE443" s="110" t="str">
        <f>IFERROR(INDEX('WetLitterbags placem_collection'!$A$3:$A$500,MATCH($A443,'WetLitterbags placem_collection'!$Q$4:$Q$500,0)),"")</f>
        <v/>
      </c>
    </row>
    <row r="444" spans="1:31">
      <c r="A444" s="206" t="s">
        <v>1006</v>
      </c>
      <c r="C444" s="201">
        <v>202</v>
      </c>
      <c r="D444" s="201">
        <v>1.3778999999999999</v>
      </c>
      <c r="E444" s="202">
        <v>10.6349</v>
      </c>
      <c r="F444" s="202">
        <v>0.2041</v>
      </c>
      <c r="G444" s="201">
        <f t="shared" si="36"/>
        <v>10.839</v>
      </c>
      <c r="H444" s="201">
        <v>10.642899999999999</v>
      </c>
      <c r="I444" s="201">
        <f t="shared" si="37"/>
        <v>0.19610000000000127</v>
      </c>
      <c r="J444" s="201">
        <f t="shared" si="38"/>
        <v>7.9999999999987303E-3</v>
      </c>
      <c r="K444" s="280">
        <f t="shared" si="39"/>
        <v>3.9196472317485203</v>
      </c>
      <c r="L444" s="201">
        <v>19</v>
      </c>
      <c r="M444" s="207">
        <v>43185.385416666664</v>
      </c>
      <c r="N444" s="201"/>
      <c r="O444" s="201" t="s">
        <v>2556</v>
      </c>
      <c r="P444" s="201"/>
      <c r="AB444" s="110" t="str">
        <f>IFERROR(INDEX('WetLitterbags placem_collection'!$A$3:$A$500,MATCH(A444,'WetLitterbags placem_collection'!$K$4:$K$500,0)),"")</f>
        <v/>
      </c>
      <c r="AC444" s="110" t="str">
        <f>IFERROR(INDEX('WetLitterbags placem_collection'!$A$3:$A$500,MATCH($A444,'WetLitterbags placem_collection'!$O$4:$O$500,0)),"")</f>
        <v/>
      </c>
      <c r="AD444" s="110">
        <f>IFERROR(INDEX('WetLitterbags placem_collection'!$A$3:$A$500,MATCH($A444,'WetLitterbags placem_collection'!$M$4:$M$500,0)),"")</f>
        <v>201</v>
      </c>
      <c r="AE444" s="110" t="str">
        <f>IFERROR(INDEX('WetLitterbags placem_collection'!$A$3:$A$500,MATCH($A444,'WetLitterbags placem_collection'!$Q$4:$Q$500,0)),"")</f>
        <v/>
      </c>
    </row>
    <row r="445" spans="1:31">
      <c r="A445" s="197" t="s">
        <v>1005</v>
      </c>
      <c r="C445" s="198">
        <v>93</v>
      </c>
      <c r="D445" s="197">
        <v>1.4095</v>
      </c>
      <c r="E445" s="201">
        <v>8.1356000000000002</v>
      </c>
      <c r="F445" s="202">
        <v>0.2069</v>
      </c>
      <c r="G445" s="201">
        <f t="shared" si="36"/>
        <v>8.3424999999999994</v>
      </c>
      <c r="H445" s="201">
        <v>8.1402000000000001</v>
      </c>
      <c r="I445" s="201">
        <f t="shared" si="37"/>
        <v>0.20229999999999926</v>
      </c>
      <c r="J445" s="201">
        <f t="shared" si="38"/>
        <v>4.6000000000007424E-3</v>
      </c>
      <c r="K445" s="280">
        <f t="shared" si="39"/>
        <v>2.2232962783957189</v>
      </c>
      <c r="L445" s="201">
        <v>30</v>
      </c>
      <c r="M445" s="204">
        <v>43212</v>
      </c>
      <c r="AB445" s="110" t="str">
        <f>IFERROR(INDEX('WetLitterbags placem_collection'!$A$3:$A$500,MATCH(A445,'WetLitterbags placem_collection'!$K$4:$K$500,0)),"")</f>
        <v/>
      </c>
      <c r="AC445" s="110" t="str">
        <f>IFERROR(INDEX('WetLitterbags placem_collection'!$A$3:$A$500,MATCH($A445,'WetLitterbags placem_collection'!$O$4:$O$500,0)),"")</f>
        <v/>
      </c>
      <c r="AD445" s="110" t="str">
        <f>IFERROR(INDEX('WetLitterbags placem_collection'!$A$3:$A$500,MATCH($A445,'WetLitterbags placem_collection'!$M$4:$M$500,0)),"")</f>
        <v/>
      </c>
      <c r="AE445" s="110">
        <f>IFERROR(INDEX('WetLitterbags placem_collection'!$A$3:$A$500,MATCH($A445,'WetLitterbags placem_collection'!$Q$4:$Q$500,0)),"")</f>
        <v>92</v>
      </c>
    </row>
    <row r="446" spans="1:31">
      <c r="A446" s="201" t="s">
        <v>1004</v>
      </c>
      <c r="C446" s="201">
        <v>77</v>
      </c>
      <c r="D446" s="201">
        <v>1.4125000000000001</v>
      </c>
      <c r="E446" s="201">
        <v>10.5098</v>
      </c>
      <c r="F446" s="202">
        <v>0.2024</v>
      </c>
      <c r="G446" s="201">
        <f t="shared" si="36"/>
        <v>10.712200000000001</v>
      </c>
      <c r="H446" s="201">
        <v>10.5337</v>
      </c>
      <c r="I446" s="201">
        <f t="shared" si="37"/>
        <v>0.17850000000000144</v>
      </c>
      <c r="J446" s="201">
        <f t="shared" si="38"/>
        <v>2.3899999999998561E-2</v>
      </c>
      <c r="K446" s="280">
        <f t="shared" si="39"/>
        <v>11.808300395256206</v>
      </c>
      <c r="L446" s="201">
        <v>33</v>
      </c>
      <c r="M446" s="205">
        <v>43187</v>
      </c>
      <c r="N446" s="205">
        <v>43187</v>
      </c>
      <c r="O446" s="201"/>
      <c r="P446" s="201"/>
      <c r="AB446" s="110" t="str">
        <f>IFERROR(INDEX('WetLitterbags placem_collection'!$A$3:$A$500,MATCH(A446,'WetLitterbags placem_collection'!$K$4:$K$500,0)),"")</f>
        <v/>
      </c>
      <c r="AC446" s="110" t="str">
        <f>IFERROR(INDEX('WetLitterbags placem_collection'!$A$3:$A$500,MATCH($A446,'WetLitterbags placem_collection'!$O$4:$O$500,0)),"")</f>
        <v/>
      </c>
      <c r="AD446" s="110">
        <f>IFERROR(INDEX('WetLitterbags placem_collection'!$A$3:$A$500,MATCH($A446,'WetLitterbags placem_collection'!$M$4:$M$500,0)),"")</f>
        <v>76</v>
      </c>
      <c r="AE446" s="110" t="str">
        <f>IFERROR(INDEX('WetLitterbags placem_collection'!$A$3:$A$500,MATCH($A446,'WetLitterbags placem_collection'!$Q$4:$Q$500,0)),"")</f>
        <v/>
      </c>
    </row>
    <row r="447" spans="1:31">
      <c r="A447" s="197" t="s">
        <v>1003</v>
      </c>
      <c r="C447" s="197">
        <v>74</v>
      </c>
      <c r="D447" s="197">
        <v>1.4245000000000001</v>
      </c>
      <c r="E447" s="197">
        <v>8.7596000000000007</v>
      </c>
      <c r="F447" s="197">
        <v>0.2034</v>
      </c>
      <c r="G447" s="197">
        <f t="shared" si="36"/>
        <v>8.963000000000001</v>
      </c>
      <c r="H447" s="197">
        <v>8.7670999999999992</v>
      </c>
      <c r="I447" s="197">
        <f t="shared" si="37"/>
        <v>0.19590000000000174</v>
      </c>
      <c r="J447" s="201">
        <f t="shared" si="38"/>
        <v>7.4999999999982581E-3</v>
      </c>
      <c r="K447" s="280">
        <f t="shared" si="39"/>
        <v>3.6873156342174327</v>
      </c>
      <c r="L447" s="197">
        <v>5</v>
      </c>
      <c r="M447" s="197" t="s">
        <v>2580</v>
      </c>
      <c r="N447" s="197" t="s">
        <v>2579</v>
      </c>
      <c r="O447" s="197" t="s">
        <v>2556</v>
      </c>
      <c r="AB447" s="110" t="str">
        <f>IFERROR(INDEX('WetLitterbags placem_collection'!$A$3:$A$500,MATCH(A447,'WetLitterbags placem_collection'!$K$4:$K$500,0)),"")</f>
        <v/>
      </c>
      <c r="AC447" s="110" t="str">
        <f>IFERROR(INDEX('WetLitterbags placem_collection'!$A$3:$A$500,MATCH($A447,'WetLitterbags placem_collection'!$O$4:$O$500,0)),"")</f>
        <v/>
      </c>
      <c r="AD447" s="110" t="str">
        <f>IFERROR(INDEX('WetLitterbags placem_collection'!$A$3:$A$500,MATCH($A447,'WetLitterbags placem_collection'!$M$4:$M$500,0)),"")</f>
        <v/>
      </c>
      <c r="AE447" s="110">
        <f>IFERROR(INDEX('WetLitterbags placem_collection'!$A$3:$A$500,MATCH($A447,'WetLitterbags placem_collection'!$Q$4:$Q$500,0)),"")</f>
        <v>73</v>
      </c>
    </row>
    <row r="448" spans="1:31">
      <c r="A448" s="197" t="s">
        <v>1002</v>
      </c>
      <c r="C448" s="198">
        <v>204</v>
      </c>
      <c r="D448" s="197">
        <v>1.4052</v>
      </c>
      <c r="E448" s="201">
        <v>8.0645000000000007</v>
      </c>
      <c r="F448" s="202">
        <v>0.20349999999999999</v>
      </c>
      <c r="G448" s="201">
        <f t="shared" si="36"/>
        <v>8.2680000000000007</v>
      </c>
      <c r="H448" s="201">
        <v>8.0704999999999991</v>
      </c>
      <c r="I448" s="201">
        <f t="shared" si="37"/>
        <v>0.19750000000000156</v>
      </c>
      <c r="J448" s="201">
        <f t="shared" si="38"/>
        <v>5.9999999999984233E-3</v>
      </c>
      <c r="K448" s="280">
        <f t="shared" si="39"/>
        <v>2.9484029484021739</v>
      </c>
      <c r="L448" s="201">
        <v>34</v>
      </c>
      <c r="M448" s="204">
        <v>43212</v>
      </c>
      <c r="AB448" s="110" t="str">
        <f>IFERROR(INDEX('WetLitterbags placem_collection'!$A$3:$A$500,MATCH(A448,'WetLitterbags placem_collection'!$K$4:$K$500,0)),"")</f>
        <v/>
      </c>
      <c r="AC448" s="110" t="str">
        <f>IFERROR(INDEX('WetLitterbags placem_collection'!$A$3:$A$500,MATCH($A448,'WetLitterbags placem_collection'!$O$4:$O$500,0)),"")</f>
        <v/>
      </c>
      <c r="AD448" s="110" t="str">
        <f>IFERROR(INDEX('WetLitterbags placem_collection'!$A$3:$A$500,MATCH($A448,'WetLitterbags placem_collection'!$M$4:$M$500,0)),"")</f>
        <v/>
      </c>
      <c r="AE448" s="110">
        <f>IFERROR(INDEX('WetLitterbags placem_collection'!$A$3:$A$500,MATCH($A448,'WetLitterbags placem_collection'!$Q$4:$Q$500,0)),"")</f>
        <v>203</v>
      </c>
    </row>
    <row r="449" spans="1:31">
      <c r="A449" s="197" t="s">
        <v>1127</v>
      </c>
      <c r="C449" s="198">
        <v>72</v>
      </c>
      <c r="D449" s="197">
        <v>1.3372999999999999</v>
      </c>
      <c r="E449" s="201">
        <v>10.901899999999999</v>
      </c>
      <c r="F449" s="202">
        <v>0.20280000000000001</v>
      </c>
      <c r="G449" s="201">
        <f t="shared" si="36"/>
        <v>11.104699999999999</v>
      </c>
      <c r="H449" s="201">
        <v>10.908099999999999</v>
      </c>
      <c r="I449" s="201">
        <f t="shared" si="37"/>
        <v>0.19660000000000011</v>
      </c>
      <c r="J449" s="201">
        <f t="shared" si="38"/>
        <v>6.1999999999999E-3</v>
      </c>
      <c r="K449" s="280">
        <f t="shared" si="39"/>
        <v>3.0571992110453157</v>
      </c>
      <c r="L449" s="201">
        <v>31</v>
      </c>
      <c r="M449" s="204">
        <v>43212</v>
      </c>
      <c r="AB449" s="110" t="str">
        <f>IFERROR(INDEX('WetLitterbags placem_collection'!$A$3:$A$500,MATCH(A449,'WetLitterbags placem_collection'!$K$4:$K$500,0)),"")</f>
        <v/>
      </c>
      <c r="AC449" s="110" t="str">
        <f>IFERROR(INDEX('WetLitterbags placem_collection'!$A$3:$A$500,MATCH($A449,'WetLitterbags placem_collection'!$O$4:$O$500,0)),"")</f>
        <v/>
      </c>
      <c r="AD449" s="110" t="str">
        <f>IFERROR(INDEX('WetLitterbags placem_collection'!$A$3:$A$500,MATCH($A449,'WetLitterbags placem_collection'!$M$4:$M$500,0)),"")</f>
        <v/>
      </c>
      <c r="AE449" s="110">
        <f>IFERROR(INDEX('WetLitterbags placem_collection'!$A$3:$A$500,MATCH($A449,'WetLitterbags placem_collection'!$Q$4:$Q$500,0)),"")</f>
        <v>71</v>
      </c>
    </row>
    <row r="450" spans="1:31">
      <c r="A450" s="197" t="s">
        <v>1000</v>
      </c>
      <c r="C450" s="198">
        <v>31</v>
      </c>
      <c r="D450" s="197">
        <v>1.0949</v>
      </c>
      <c r="E450" s="202">
        <v>9.6783999999999999</v>
      </c>
      <c r="F450" s="202">
        <v>0.2054</v>
      </c>
      <c r="G450" s="201">
        <f t="shared" si="36"/>
        <v>9.883799999999999</v>
      </c>
      <c r="H450" s="201">
        <v>9.6898</v>
      </c>
      <c r="I450" s="201">
        <f t="shared" si="37"/>
        <v>0.19399999999999906</v>
      </c>
      <c r="J450" s="201">
        <f t="shared" si="38"/>
        <v>1.1400000000000937E-2</v>
      </c>
      <c r="K450" s="280">
        <f t="shared" si="39"/>
        <v>5.5501460564756266</v>
      </c>
      <c r="L450" s="201">
        <v>7</v>
      </c>
      <c r="AB450" s="110" t="str">
        <f>IFERROR(INDEX('WetLitterbags placem_collection'!$A$3:$A$500,MATCH(A450,'WetLitterbags placem_collection'!$K$4:$K$500,0)),"")</f>
        <v/>
      </c>
      <c r="AC450" s="110" t="str">
        <f>IFERROR(INDEX('WetLitterbags placem_collection'!$A$3:$A$500,MATCH($A450,'WetLitterbags placem_collection'!$O$4:$O$500,0)),"")</f>
        <v/>
      </c>
      <c r="AD450" s="110">
        <f>IFERROR(INDEX('WetLitterbags placem_collection'!$A$3:$A$500,MATCH($A450,'WetLitterbags placem_collection'!$M$4:$M$500,0)),"")</f>
        <v>30</v>
      </c>
      <c r="AE450" s="110" t="str">
        <f>IFERROR(INDEX('WetLitterbags placem_collection'!$A$3:$A$500,MATCH($A450,'WetLitterbags placem_collection'!$Q$4:$Q$500,0)),"")</f>
        <v/>
      </c>
    </row>
    <row r="451" spans="1:31">
      <c r="A451" s="201" t="s">
        <v>999</v>
      </c>
      <c r="C451" s="201">
        <v>209</v>
      </c>
      <c r="D451" s="201">
        <v>1.3449</v>
      </c>
      <c r="E451" s="201">
        <v>11.0547</v>
      </c>
      <c r="F451" s="201">
        <v>0.20760000000000001</v>
      </c>
      <c r="G451" s="201">
        <f t="shared" si="36"/>
        <v>11.2623</v>
      </c>
      <c r="H451" s="201">
        <v>11.0677</v>
      </c>
      <c r="I451" s="201">
        <f t="shared" si="37"/>
        <v>0.19459999999999944</v>
      </c>
      <c r="J451" s="201">
        <f t="shared" si="38"/>
        <v>1.3000000000000567E-2</v>
      </c>
      <c r="K451" s="280">
        <f t="shared" si="39"/>
        <v>6.2620423892102917</v>
      </c>
      <c r="L451" s="201">
        <v>1</v>
      </c>
      <c r="M451" s="205">
        <v>43174</v>
      </c>
      <c r="N451" s="205">
        <v>43174</v>
      </c>
      <c r="O451" s="201" t="s">
        <v>2556</v>
      </c>
      <c r="P451" s="201" t="s">
        <v>2555</v>
      </c>
      <c r="AB451" s="110" t="str">
        <f>IFERROR(INDEX('WetLitterbags placem_collection'!$A$3:$A$500,MATCH(A451,'WetLitterbags placem_collection'!$K$4:$K$500,0)),"")</f>
        <v/>
      </c>
      <c r="AC451" s="110" t="str">
        <f>IFERROR(INDEX('WetLitterbags placem_collection'!$A$3:$A$500,MATCH($A451,'WetLitterbags placem_collection'!$O$4:$O$500,0)),"")</f>
        <v/>
      </c>
      <c r="AD451" s="110" t="str">
        <f>IFERROR(INDEX('WetLitterbags placem_collection'!$A$3:$A$500,MATCH($A451,'WetLitterbags placem_collection'!$M$4:$M$500,0)),"")</f>
        <v/>
      </c>
      <c r="AE451" s="110">
        <f>IFERROR(INDEX('WetLitterbags placem_collection'!$A$3:$A$500,MATCH($A451,'WetLitterbags placem_collection'!$Q$4:$Q$500,0)),"")</f>
        <v>208</v>
      </c>
    </row>
    <row r="452" spans="1:31">
      <c r="A452" s="197" t="s">
        <v>998</v>
      </c>
      <c r="C452" s="197">
        <v>61</v>
      </c>
      <c r="D452" s="197">
        <v>1.3476999999999999</v>
      </c>
      <c r="E452" s="197">
        <v>9.1336999999999993</v>
      </c>
      <c r="F452" s="197">
        <v>0.2026</v>
      </c>
      <c r="G452" s="197">
        <f t="shared" si="36"/>
        <v>9.3362999999999996</v>
      </c>
      <c r="H452" s="197">
        <v>9.1452000000000009</v>
      </c>
      <c r="I452" s="197">
        <f t="shared" si="37"/>
        <v>0.19109999999999872</v>
      </c>
      <c r="J452" s="201">
        <f t="shared" si="38"/>
        <v>1.1500000000001287E-2</v>
      </c>
      <c r="K452" s="280">
        <f t="shared" si="39"/>
        <v>5.6762092793688481</v>
      </c>
      <c r="L452" s="197">
        <v>40</v>
      </c>
      <c r="M452" s="197" t="s">
        <v>2586</v>
      </c>
      <c r="N452" s="197" t="s">
        <v>2585</v>
      </c>
      <c r="O452" s="197" t="s">
        <v>2550</v>
      </c>
      <c r="AB452" s="110" t="str">
        <f>IFERROR(INDEX('WetLitterbags placem_collection'!$A$3:$A$500,MATCH(A452,'WetLitterbags placem_collection'!$K$4:$K$500,0)),"")</f>
        <v/>
      </c>
      <c r="AC452" s="110" t="str">
        <f>IFERROR(INDEX('WetLitterbags placem_collection'!$A$3:$A$500,MATCH($A452,'WetLitterbags placem_collection'!$O$4:$O$500,0)),"")</f>
        <v/>
      </c>
      <c r="AD452" s="110" t="str">
        <f>IFERROR(INDEX('WetLitterbags placem_collection'!$A$3:$A$500,MATCH($A452,'WetLitterbags placem_collection'!$M$4:$M$500,0)),"")</f>
        <v/>
      </c>
      <c r="AE452" s="110">
        <f>IFERROR(INDEX('WetLitterbags placem_collection'!$A$3:$A$500,MATCH($A452,'WetLitterbags placem_collection'!$Q$4:$Q$500,0)),"")</f>
        <v>60</v>
      </c>
    </row>
    <row r="453" spans="1:31">
      <c r="A453" s="197" t="s">
        <v>997</v>
      </c>
      <c r="C453" s="198">
        <v>24</v>
      </c>
      <c r="D453" s="201">
        <v>1.3768</v>
      </c>
      <c r="E453" s="202">
        <v>7.0932000000000004</v>
      </c>
      <c r="F453" s="202">
        <v>0.2034</v>
      </c>
      <c r="G453" s="201">
        <f t="shared" si="36"/>
        <v>7.2966000000000006</v>
      </c>
      <c r="H453" s="201">
        <v>7.1032999999999999</v>
      </c>
      <c r="I453" s="201">
        <f t="shared" si="37"/>
        <v>0.19330000000000069</v>
      </c>
      <c r="J453" s="201">
        <f t="shared" si="38"/>
        <v>1.0099999999999304E-2</v>
      </c>
      <c r="K453" s="280">
        <f t="shared" si="39"/>
        <v>4.9655850540802868</v>
      </c>
      <c r="L453" s="201">
        <v>22</v>
      </c>
      <c r="M453" s="204">
        <v>43213</v>
      </c>
      <c r="N453" s="204">
        <v>43213</v>
      </c>
      <c r="Q453" s="197" t="s">
        <v>2571</v>
      </c>
      <c r="R453" s="209"/>
      <c r="AB453" s="110" t="str">
        <f>IFERROR(INDEX('WetLitterbags placem_collection'!$A$3:$A$500,MATCH(A453,'WetLitterbags placem_collection'!$K$4:$K$500,0)),"")</f>
        <v/>
      </c>
      <c r="AC453" s="110" t="str">
        <f>IFERROR(INDEX('WetLitterbags placem_collection'!$A$3:$A$500,MATCH($A453,'WetLitterbags placem_collection'!$O$4:$O$500,0)),"")</f>
        <v/>
      </c>
      <c r="AD453" s="110">
        <f>IFERROR(INDEX('WetLitterbags placem_collection'!$A$3:$A$500,MATCH($A453,'WetLitterbags placem_collection'!$M$4:$M$500,0)),"")</f>
        <v>23</v>
      </c>
      <c r="AE453" s="110" t="str">
        <f>IFERROR(INDEX('WetLitterbags placem_collection'!$A$3:$A$500,MATCH($A453,'WetLitterbags placem_collection'!$Q$4:$Q$500,0)),"")</f>
        <v/>
      </c>
    </row>
    <row r="454" spans="1:31">
      <c r="A454" s="197" t="s">
        <v>996</v>
      </c>
      <c r="C454" s="197">
        <v>215</v>
      </c>
      <c r="D454" s="197">
        <v>1.3466</v>
      </c>
      <c r="E454" s="202">
        <v>7.7739000000000003</v>
      </c>
      <c r="F454" s="202">
        <v>0.20599999999999999</v>
      </c>
      <c r="G454" s="201">
        <f t="shared" si="36"/>
        <v>7.9799000000000007</v>
      </c>
      <c r="H454" s="201">
        <v>7.7789000000000001</v>
      </c>
      <c r="I454" s="201">
        <f t="shared" si="37"/>
        <v>0.20100000000000051</v>
      </c>
      <c r="J454" s="201">
        <f t="shared" si="38"/>
        <v>4.9999999999994771E-3</v>
      </c>
      <c r="K454" s="280">
        <f t="shared" si="39"/>
        <v>2.4271844660191637</v>
      </c>
      <c r="L454" s="201">
        <v>11</v>
      </c>
      <c r="AB454" s="110" t="str">
        <f>IFERROR(INDEX('WetLitterbags placem_collection'!$A$3:$A$500,MATCH(A454,'WetLitterbags placem_collection'!$K$4:$K$500,0)),"")</f>
        <v/>
      </c>
      <c r="AC454" s="110" t="str">
        <f>IFERROR(INDEX('WetLitterbags placem_collection'!$A$3:$A$500,MATCH($A454,'WetLitterbags placem_collection'!$O$4:$O$500,0)),"")</f>
        <v/>
      </c>
      <c r="AD454" s="110">
        <f>IFERROR(INDEX('WetLitterbags placem_collection'!$A$3:$A$500,MATCH($A454,'WetLitterbags placem_collection'!$M$4:$M$500,0)),"")</f>
        <v>214</v>
      </c>
      <c r="AE454" s="110" t="str">
        <f>IFERROR(INDEX('WetLitterbags placem_collection'!$A$3:$A$500,MATCH($A454,'WetLitterbags placem_collection'!$Q$4:$Q$500,0)),"")</f>
        <v/>
      </c>
    </row>
    <row r="455" spans="1:31">
      <c r="A455" s="206" t="s">
        <v>995</v>
      </c>
      <c r="C455" s="201">
        <v>47</v>
      </c>
      <c r="D455" s="201">
        <v>1.4187000000000001</v>
      </c>
      <c r="E455" s="202">
        <v>9.5541</v>
      </c>
      <c r="F455" s="202">
        <v>0.2079</v>
      </c>
      <c r="G455" s="201">
        <f t="shared" si="36"/>
        <v>9.7620000000000005</v>
      </c>
      <c r="H455" s="201">
        <v>9.5693999999999999</v>
      </c>
      <c r="I455" s="201">
        <f t="shared" si="37"/>
        <v>0.19260000000000055</v>
      </c>
      <c r="J455" s="201">
        <f t="shared" si="38"/>
        <v>1.5299999999999453E-2</v>
      </c>
      <c r="K455" s="280">
        <f t="shared" si="39"/>
        <v>7.3593073593070963</v>
      </c>
      <c r="L455" s="201">
        <v>30</v>
      </c>
      <c r="M455" s="205">
        <v>43188</v>
      </c>
      <c r="N455" s="205">
        <v>43188</v>
      </c>
      <c r="O455" s="201"/>
      <c r="P455" s="201"/>
      <c r="AB455" s="110" t="str">
        <f>IFERROR(INDEX('WetLitterbags placem_collection'!$A$3:$A$500,MATCH(A455,'WetLitterbags placem_collection'!$K$4:$K$500,0)),"")</f>
        <v/>
      </c>
      <c r="AC455" s="110" t="str">
        <f>IFERROR(INDEX('WetLitterbags placem_collection'!$A$3:$A$500,MATCH($A455,'WetLitterbags placem_collection'!$O$4:$O$500,0)),"")</f>
        <v/>
      </c>
      <c r="AD455" s="110">
        <f>IFERROR(INDEX('WetLitterbags placem_collection'!$A$3:$A$500,MATCH($A455,'WetLitterbags placem_collection'!$M$4:$M$500,0)),"")</f>
        <v>46</v>
      </c>
      <c r="AE455" s="110" t="str">
        <f>IFERROR(INDEX('WetLitterbags placem_collection'!$A$3:$A$500,MATCH($A455,'WetLitterbags placem_collection'!$Q$4:$Q$500,0)),"")</f>
        <v/>
      </c>
    </row>
    <row r="456" spans="1:31">
      <c r="A456" s="206" t="s">
        <v>994</v>
      </c>
      <c r="C456" s="201">
        <v>38</v>
      </c>
      <c r="D456" s="201">
        <v>1.1283000000000001</v>
      </c>
      <c r="E456" s="201">
        <v>8.8604000000000003</v>
      </c>
      <c r="F456" s="201">
        <v>0.2074</v>
      </c>
      <c r="G456" s="201">
        <f t="shared" si="36"/>
        <v>9.0678000000000001</v>
      </c>
      <c r="H456" s="201">
        <v>8.8747000000000007</v>
      </c>
      <c r="I456" s="201">
        <f t="shared" si="37"/>
        <v>0.19309999999999938</v>
      </c>
      <c r="J456" s="201">
        <f t="shared" si="38"/>
        <v>1.4300000000000618E-2</v>
      </c>
      <c r="K456" s="280">
        <f t="shared" si="39"/>
        <v>6.8948891031825541</v>
      </c>
      <c r="L456" s="201">
        <v>26</v>
      </c>
      <c r="M456" s="205">
        <v>43188</v>
      </c>
      <c r="N456" s="205">
        <v>43188</v>
      </c>
      <c r="O456" s="201"/>
      <c r="P456" s="201"/>
      <c r="AB456" s="110" t="str">
        <f>IFERROR(INDEX('WetLitterbags placem_collection'!$A$3:$A$500,MATCH(A456,'WetLitterbags placem_collection'!$K$4:$K$500,0)),"")</f>
        <v/>
      </c>
      <c r="AC456" s="110" t="str">
        <f>IFERROR(INDEX('WetLitterbags placem_collection'!$A$3:$A$500,MATCH($A456,'WetLitterbags placem_collection'!$O$4:$O$500,0)),"")</f>
        <v/>
      </c>
      <c r="AD456" s="110" t="str">
        <f>IFERROR(INDEX('WetLitterbags placem_collection'!$A$3:$A$500,MATCH($A456,'WetLitterbags placem_collection'!$M$4:$M$500,0)),"")</f>
        <v/>
      </c>
      <c r="AE456" s="110">
        <f>IFERROR(INDEX('WetLitterbags placem_collection'!$A$3:$A$500,MATCH($A456,'WetLitterbags placem_collection'!$Q$4:$Q$500,0)),"")</f>
        <v>37</v>
      </c>
    </row>
    <row r="457" spans="1:31">
      <c r="A457" s="197" t="s">
        <v>993</v>
      </c>
      <c r="C457" s="198">
        <v>26</v>
      </c>
      <c r="D457" s="197">
        <v>1.3535999999999999</v>
      </c>
      <c r="E457" s="202">
        <v>10.2719</v>
      </c>
      <c r="F457" s="202">
        <v>0.20019999999999999</v>
      </c>
      <c r="G457" s="201">
        <f t="shared" si="36"/>
        <v>10.472100000000001</v>
      </c>
      <c r="H457" s="201">
        <v>10.278600000000001</v>
      </c>
      <c r="I457" s="201">
        <f t="shared" si="37"/>
        <v>0.19350000000000023</v>
      </c>
      <c r="J457" s="201">
        <f t="shared" si="38"/>
        <v>6.6999999999997617E-3</v>
      </c>
      <c r="K457" s="280">
        <f t="shared" si="39"/>
        <v>3.3466533466532278</v>
      </c>
      <c r="L457" s="201">
        <v>27</v>
      </c>
      <c r="AB457" s="110" t="str">
        <f>IFERROR(INDEX('WetLitterbags placem_collection'!$A$3:$A$500,MATCH(A457,'WetLitterbags placem_collection'!$K$4:$K$500,0)),"")</f>
        <v/>
      </c>
      <c r="AC457" s="110" t="str">
        <f>IFERROR(INDEX('WetLitterbags placem_collection'!$A$3:$A$500,MATCH($A457,'WetLitterbags placem_collection'!$O$4:$O$500,0)),"")</f>
        <v/>
      </c>
      <c r="AD457" s="110">
        <f>IFERROR(INDEX('WetLitterbags placem_collection'!$A$3:$A$500,MATCH($A457,'WetLitterbags placem_collection'!$M$4:$M$500,0)),"")</f>
        <v>25</v>
      </c>
      <c r="AE457" s="110" t="str">
        <f>IFERROR(INDEX('WetLitterbags placem_collection'!$A$3:$A$500,MATCH($A457,'WetLitterbags placem_collection'!$Q$4:$Q$500,0)),"")</f>
        <v/>
      </c>
    </row>
    <row r="458" spans="1:31">
      <c r="A458" s="201" t="s">
        <v>992</v>
      </c>
      <c r="C458" s="201">
        <v>207</v>
      </c>
      <c r="D458" s="201">
        <v>1.1487000000000001</v>
      </c>
      <c r="E458" s="202">
        <v>10.565200000000001</v>
      </c>
      <c r="F458" s="202">
        <v>0.20499999999999999</v>
      </c>
      <c r="G458" s="201">
        <f t="shared" si="36"/>
        <v>10.770200000000001</v>
      </c>
      <c r="H458" s="201">
        <v>10.5845</v>
      </c>
      <c r="I458" s="201">
        <f t="shared" si="37"/>
        <v>0.18570000000000064</v>
      </c>
      <c r="J458" s="201">
        <f t="shared" si="38"/>
        <v>1.9299999999999345E-2</v>
      </c>
      <c r="K458" s="280">
        <f t="shared" si="39"/>
        <v>9.4146341463411449</v>
      </c>
      <c r="L458" s="201">
        <v>5</v>
      </c>
      <c r="M458" s="205">
        <v>43197</v>
      </c>
      <c r="N458" s="205">
        <v>43197</v>
      </c>
      <c r="O458" s="201"/>
      <c r="P458" s="201"/>
      <c r="AB458" s="110" t="str">
        <f>IFERROR(INDEX('WetLitterbags placem_collection'!$A$3:$A$500,MATCH(A458,'WetLitterbags placem_collection'!$K$4:$K$500,0)),"")</f>
        <v/>
      </c>
      <c r="AC458" s="110" t="str">
        <f>IFERROR(INDEX('WetLitterbags placem_collection'!$A$3:$A$500,MATCH($A458,'WetLitterbags placem_collection'!$O$4:$O$500,0)),"")</f>
        <v/>
      </c>
      <c r="AD458" s="110" t="str">
        <f>IFERROR(INDEX('WetLitterbags placem_collection'!$A$3:$A$500,MATCH($A458,'WetLitterbags placem_collection'!$M$4:$M$500,0)),"")</f>
        <v/>
      </c>
      <c r="AE458" s="110">
        <f>IFERROR(INDEX('WetLitterbags placem_collection'!$A$3:$A$500,MATCH($A458,'WetLitterbags placem_collection'!$Q$4:$Q$500,0)),"")</f>
        <v>206</v>
      </c>
    </row>
    <row r="459" spans="1:31">
      <c r="A459" s="206" t="s">
        <v>1126</v>
      </c>
      <c r="C459" s="201">
        <v>144</v>
      </c>
      <c r="D459" s="201">
        <v>1.3636999999999999</v>
      </c>
      <c r="E459" s="202">
        <v>7.8712</v>
      </c>
      <c r="F459" s="202">
        <v>0.20200000000000001</v>
      </c>
      <c r="G459" s="201">
        <f t="shared" si="36"/>
        <v>8.0731999999999999</v>
      </c>
      <c r="H459" s="201">
        <v>7.8936999999999999</v>
      </c>
      <c r="I459" s="201">
        <f t="shared" si="37"/>
        <v>0.17949999999999999</v>
      </c>
      <c r="J459" s="201">
        <f t="shared" si="38"/>
        <v>2.250000000000002E-2</v>
      </c>
      <c r="K459" s="280">
        <f t="shared" si="39"/>
        <v>11.138613861386148</v>
      </c>
      <c r="L459" s="201">
        <v>1</v>
      </c>
      <c r="M459" s="205">
        <v>43197</v>
      </c>
      <c r="N459" s="205">
        <v>43197</v>
      </c>
      <c r="O459" s="201"/>
      <c r="P459" s="201"/>
      <c r="AB459" s="110" t="str">
        <f>IFERROR(INDEX('WetLitterbags placem_collection'!$A$3:$A$500,MATCH(A459,'WetLitterbags placem_collection'!$K$4:$K$500,0)),"")</f>
        <v/>
      </c>
      <c r="AC459" s="110" t="str">
        <f>IFERROR(INDEX('WetLitterbags placem_collection'!$A$3:$A$500,MATCH($A459,'WetLitterbags placem_collection'!$O$4:$O$500,0)),"")</f>
        <v/>
      </c>
      <c r="AD459" s="110" t="str">
        <f>IFERROR(INDEX('WetLitterbags placem_collection'!$A$3:$A$500,MATCH($A459,'WetLitterbags placem_collection'!$M$4:$M$500,0)),"")</f>
        <v/>
      </c>
      <c r="AE459" s="110">
        <f>IFERROR(INDEX('WetLitterbags placem_collection'!$A$3:$A$500,MATCH($A459,'WetLitterbags placem_collection'!$Q$4:$Q$500,0)),"")</f>
        <v>143</v>
      </c>
    </row>
    <row r="460" spans="1:31">
      <c r="A460" s="197" t="s">
        <v>991</v>
      </c>
      <c r="C460" s="197">
        <v>66</v>
      </c>
      <c r="D460" s="197">
        <v>0</v>
      </c>
      <c r="E460" s="202">
        <v>0</v>
      </c>
      <c r="F460" s="202">
        <v>0</v>
      </c>
      <c r="G460" s="201">
        <f t="shared" si="36"/>
        <v>0</v>
      </c>
      <c r="J460" s="201">
        <f t="shared" si="38"/>
        <v>0</v>
      </c>
      <c r="K460" s="280" t="e">
        <f t="shared" si="39"/>
        <v>#DIV/0!</v>
      </c>
      <c r="L460" s="201">
        <v>0</v>
      </c>
      <c r="AB460" s="110" t="str">
        <f>IFERROR(INDEX('WetLitterbags placem_collection'!$A$3:$A$500,MATCH(A460,'WetLitterbags placem_collection'!$K$4:$K$500,0)),"")</f>
        <v/>
      </c>
      <c r="AC460" s="110" t="str">
        <f>IFERROR(INDEX('WetLitterbags placem_collection'!$A$3:$A$500,MATCH($A460,'WetLitterbags placem_collection'!$O$4:$O$500,0)),"")</f>
        <v/>
      </c>
      <c r="AD460" s="110">
        <f>IFERROR(INDEX('WetLitterbags placem_collection'!$A$3:$A$500,MATCH($A460,'WetLitterbags placem_collection'!$M$4:$M$500,0)),"")</f>
        <v>65</v>
      </c>
      <c r="AE460" s="110" t="str">
        <f>IFERROR(INDEX('WetLitterbags placem_collection'!$A$3:$A$500,MATCH($A460,'WetLitterbags placem_collection'!$Q$4:$Q$500,0)),"")</f>
        <v/>
      </c>
    </row>
    <row r="461" spans="1:31">
      <c r="A461" s="206" t="s">
        <v>990</v>
      </c>
      <c r="C461" s="201">
        <v>70</v>
      </c>
      <c r="D461" s="201">
        <v>1.1900999999999999</v>
      </c>
      <c r="E461" s="202">
        <v>7.8391000000000002</v>
      </c>
      <c r="F461" s="202">
        <v>0.20180000000000001</v>
      </c>
      <c r="G461" s="201">
        <f t="shared" si="36"/>
        <v>8.0409000000000006</v>
      </c>
      <c r="H461" s="201">
        <v>8.0188000000000006</v>
      </c>
      <c r="I461" s="201">
        <f t="shared" ref="I461:I492" si="40">(G461-H461)</f>
        <v>2.2100000000000009E-2</v>
      </c>
      <c r="J461" s="201">
        <f t="shared" si="38"/>
        <v>0.1797</v>
      </c>
      <c r="K461" s="280">
        <f t="shared" si="39"/>
        <v>89.048562933597623</v>
      </c>
      <c r="L461" s="201">
        <v>10</v>
      </c>
      <c r="M461" s="203">
        <v>43181.645833333336</v>
      </c>
      <c r="N461" s="203">
        <v>43181.833333333336</v>
      </c>
      <c r="O461" s="201" t="s">
        <v>2556</v>
      </c>
      <c r="P461" s="201"/>
      <c r="AB461" s="110" t="str">
        <f>IFERROR(INDEX('WetLitterbags placem_collection'!$A$3:$A$500,MATCH(A461,'WetLitterbags placem_collection'!$K$4:$K$500,0)),"")</f>
        <v/>
      </c>
      <c r="AC461" s="110" t="str">
        <f>IFERROR(INDEX('WetLitterbags placem_collection'!$A$3:$A$500,MATCH($A461,'WetLitterbags placem_collection'!$O$4:$O$500,0)),"")</f>
        <v/>
      </c>
      <c r="AD461" s="110">
        <f>IFERROR(INDEX('WetLitterbags placem_collection'!$A$3:$A$500,MATCH($A461,'WetLitterbags placem_collection'!$M$4:$M$500,0)),"")</f>
        <v>69</v>
      </c>
      <c r="AE461" s="110" t="str">
        <f>IFERROR(INDEX('WetLitterbags placem_collection'!$A$3:$A$500,MATCH($A461,'WetLitterbags placem_collection'!$Q$4:$Q$500,0)),"")</f>
        <v/>
      </c>
    </row>
    <row r="462" spans="1:31">
      <c r="A462" s="197" t="s">
        <v>987</v>
      </c>
      <c r="C462" s="198">
        <v>16</v>
      </c>
      <c r="D462" s="197">
        <v>1.2141</v>
      </c>
      <c r="E462" s="202">
        <v>7.8715999999999999</v>
      </c>
      <c r="F462" s="202">
        <v>0.20699999999999999</v>
      </c>
      <c r="G462" s="201">
        <f t="shared" si="36"/>
        <v>8.0785999999999998</v>
      </c>
      <c r="H462" s="201">
        <v>7.88</v>
      </c>
      <c r="I462" s="201">
        <f t="shared" si="40"/>
        <v>0.19859999999999989</v>
      </c>
      <c r="J462" s="201">
        <f t="shared" si="38"/>
        <v>8.4000000000001018E-3</v>
      </c>
      <c r="K462" s="280">
        <f t="shared" si="39"/>
        <v>4.0579710144928036</v>
      </c>
      <c r="L462" s="201">
        <v>20</v>
      </c>
      <c r="AB462" s="110" t="str">
        <f>IFERROR(INDEX('WetLitterbags placem_collection'!$A$3:$A$500,MATCH(A462,'WetLitterbags placem_collection'!$K$4:$K$500,0)),"")</f>
        <v/>
      </c>
      <c r="AC462" s="110" t="str">
        <f>IFERROR(INDEX('WetLitterbags placem_collection'!$A$3:$A$500,MATCH($A462,'WetLitterbags placem_collection'!$O$4:$O$500,0)),"")</f>
        <v/>
      </c>
      <c r="AD462" s="110" t="str">
        <f>IFERROR(INDEX('WetLitterbags placem_collection'!$A$3:$A$500,MATCH($A462,'WetLitterbags placem_collection'!$M$4:$M$500,0)),"")</f>
        <v/>
      </c>
      <c r="AE462" s="110">
        <f>IFERROR(INDEX('WetLitterbags placem_collection'!$A$3:$A$500,MATCH($A462,'WetLitterbags placem_collection'!$Q$4:$Q$500,0)),"")</f>
        <v>15</v>
      </c>
    </row>
    <row r="463" spans="1:31">
      <c r="A463" s="197" t="s">
        <v>986</v>
      </c>
      <c r="C463" s="198">
        <v>49</v>
      </c>
      <c r="D463" s="197">
        <v>1.3464</v>
      </c>
      <c r="E463" s="201">
        <v>10.7395</v>
      </c>
      <c r="F463" s="202">
        <v>0.19989999999999999</v>
      </c>
      <c r="G463" s="201">
        <f t="shared" si="36"/>
        <v>10.939399999999999</v>
      </c>
      <c r="H463" s="201">
        <v>10.760899999999999</v>
      </c>
      <c r="I463" s="201">
        <f t="shared" si="40"/>
        <v>0.17849999999999966</v>
      </c>
      <c r="J463" s="201">
        <f t="shared" si="38"/>
        <v>2.1400000000000335E-2</v>
      </c>
      <c r="K463" s="280">
        <f t="shared" si="39"/>
        <v>10.705352676338336</v>
      </c>
      <c r="L463" s="201">
        <v>28</v>
      </c>
      <c r="M463" s="204">
        <v>43212</v>
      </c>
      <c r="R463" s="197">
        <v>4</v>
      </c>
      <c r="S463" s="197">
        <v>0.63580000000000003</v>
      </c>
      <c r="U463" s="202" t="s">
        <v>683</v>
      </c>
      <c r="V463" s="197">
        <v>0.87729999999999997</v>
      </c>
      <c r="W463" s="197">
        <f>(V463-$T$175+F461)</f>
        <v>1.0790999999999999</v>
      </c>
      <c r="AB463" s="110" t="str">
        <f>IFERROR(INDEX('WetLitterbags placem_collection'!$A$3:$A$500,MATCH(A463,'WetLitterbags placem_collection'!$K$4:$K$500,0)),"")</f>
        <v/>
      </c>
      <c r="AC463" s="110" t="str">
        <f>IFERROR(INDEX('WetLitterbags placem_collection'!$A$3:$A$500,MATCH($A463,'WetLitterbags placem_collection'!$O$4:$O$500,0)),"")</f>
        <v/>
      </c>
      <c r="AD463" s="110" t="str">
        <f>IFERROR(INDEX('WetLitterbags placem_collection'!$A$3:$A$500,MATCH($A463,'WetLitterbags placem_collection'!$M$4:$M$500,0)),"")</f>
        <v/>
      </c>
      <c r="AE463" s="110">
        <f>IFERROR(INDEX('WetLitterbags placem_collection'!$A$3:$A$500,MATCH($A463,'WetLitterbags placem_collection'!$Q$4:$Q$500,0)),"")</f>
        <v>48</v>
      </c>
    </row>
    <row r="464" spans="1:31">
      <c r="A464" s="197" t="s">
        <v>985</v>
      </c>
      <c r="C464" s="198">
        <v>32</v>
      </c>
      <c r="D464" s="197">
        <v>1.0456000000000001</v>
      </c>
      <c r="E464" s="202">
        <v>10.153499999999999</v>
      </c>
      <c r="F464" s="202">
        <v>0.20519999999999999</v>
      </c>
      <c r="G464" s="201">
        <f t="shared" si="36"/>
        <v>10.358699999999999</v>
      </c>
      <c r="H464" s="201">
        <v>10.164899999999999</v>
      </c>
      <c r="I464" s="201">
        <f t="shared" si="40"/>
        <v>0.19379999999999953</v>
      </c>
      <c r="J464" s="201">
        <f t="shared" si="38"/>
        <v>1.1400000000000465E-2</v>
      </c>
      <c r="K464" s="280">
        <f t="shared" si="39"/>
        <v>5.5555555555557818</v>
      </c>
      <c r="L464" s="201">
        <v>25</v>
      </c>
      <c r="AB464" s="110" t="str">
        <f>IFERROR(INDEX('WetLitterbags placem_collection'!$A$3:$A$500,MATCH(A464,'WetLitterbags placem_collection'!$K$4:$K$500,0)),"")</f>
        <v/>
      </c>
      <c r="AC464" s="110" t="str">
        <f>IFERROR(INDEX('WetLitterbags placem_collection'!$A$3:$A$500,MATCH($A464,'WetLitterbags placem_collection'!$O$4:$O$500,0)),"")</f>
        <v/>
      </c>
      <c r="AD464" s="110" t="str">
        <f>IFERROR(INDEX('WetLitterbags placem_collection'!$A$3:$A$500,MATCH($A464,'WetLitterbags placem_collection'!$M$4:$M$500,0)),"")</f>
        <v/>
      </c>
      <c r="AE464" s="110">
        <f>IFERROR(INDEX('WetLitterbags placem_collection'!$A$3:$A$500,MATCH($A464,'WetLitterbags placem_collection'!$Q$4:$Q$500,0)),"")</f>
        <v>31</v>
      </c>
    </row>
    <row r="465" spans="1:31">
      <c r="A465" s="201" t="s">
        <v>984</v>
      </c>
      <c r="C465" s="201">
        <v>172</v>
      </c>
      <c r="D465" s="201">
        <f>1.2551+F465</f>
        <v>1.4623000000000002</v>
      </c>
      <c r="E465" s="202">
        <v>9.0211000000000006</v>
      </c>
      <c r="F465" s="202">
        <v>0.2072</v>
      </c>
      <c r="G465" s="201">
        <f t="shared" si="36"/>
        <v>9.2283000000000008</v>
      </c>
      <c r="H465" s="201">
        <v>9.0306999999999995</v>
      </c>
      <c r="I465" s="201">
        <f t="shared" si="40"/>
        <v>0.19760000000000133</v>
      </c>
      <c r="J465" s="201">
        <f t="shared" si="38"/>
        <v>9.5999999999986652E-3</v>
      </c>
      <c r="K465" s="280">
        <f t="shared" si="39"/>
        <v>4.6332046332039889</v>
      </c>
      <c r="L465" s="201">
        <v>22</v>
      </c>
      <c r="M465" s="205">
        <v>43174</v>
      </c>
      <c r="N465" s="205">
        <v>43174</v>
      </c>
      <c r="O465" s="201" t="s">
        <v>2556</v>
      </c>
      <c r="P465" s="201" t="s">
        <v>2551</v>
      </c>
      <c r="AB465" s="110" t="str">
        <f>IFERROR(INDEX('WetLitterbags placem_collection'!$A$3:$A$500,MATCH(A465,'WetLitterbags placem_collection'!$K$4:$K$500,0)),"")</f>
        <v/>
      </c>
      <c r="AC465" s="110" t="str">
        <f>IFERROR(INDEX('WetLitterbags placem_collection'!$A$3:$A$500,MATCH($A465,'WetLitterbags placem_collection'!$O$4:$O$500,0)),"")</f>
        <v/>
      </c>
      <c r="AD465" s="110">
        <f>IFERROR(INDEX('WetLitterbags placem_collection'!$A$3:$A$500,MATCH($A465,'WetLitterbags placem_collection'!$M$4:$M$500,0)),"")</f>
        <v>171</v>
      </c>
      <c r="AE465" s="110" t="str">
        <f>IFERROR(INDEX('WetLitterbags placem_collection'!$A$3:$A$500,MATCH($A465,'WetLitterbags placem_collection'!$Q$4:$Q$500,0)),"")</f>
        <v/>
      </c>
    </row>
    <row r="466" spans="1:31">
      <c r="A466" s="206" t="s">
        <v>982</v>
      </c>
      <c r="C466" s="201">
        <v>64</v>
      </c>
      <c r="D466" s="202">
        <v>0.96220000000000006</v>
      </c>
      <c r="E466" s="201">
        <v>8.0883000000000003</v>
      </c>
      <c r="F466" s="202">
        <v>0.2029</v>
      </c>
      <c r="G466" s="201">
        <f t="shared" si="36"/>
        <v>8.2911999999999999</v>
      </c>
      <c r="H466" s="201">
        <v>8.2555999999999994</v>
      </c>
      <c r="I466" s="201">
        <f t="shared" si="40"/>
        <v>3.560000000000052E-2</v>
      </c>
      <c r="J466" s="201">
        <f t="shared" si="38"/>
        <v>0.16729999999999948</v>
      </c>
      <c r="K466" s="280">
        <f t="shared" si="39"/>
        <v>82.454411039920885</v>
      </c>
      <c r="L466" s="201">
        <v>18</v>
      </c>
      <c r="M466" s="205">
        <v>43206</v>
      </c>
      <c r="N466" s="205">
        <v>43206</v>
      </c>
      <c r="O466" s="201"/>
      <c r="P466" s="201"/>
      <c r="AB466" s="110" t="str">
        <f>IFERROR(INDEX('WetLitterbags placem_collection'!$A$3:$A$500,MATCH(A466,'WetLitterbags placem_collection'!$K$4:$K$500,0)),"")</f>
        <v/>
      </c>
      <c r="AC466" s="110" t="str">
        <f>IFERROR(INDEX('WetLitterbags placem_collection'!$A$3:$A$500,MATCH($A466,'WetLitterbags placem_collection'!$O$4:$O$500,0)),"")</f>
        <v/>
      </c>
      <c r="AD466" s="110">
        <f>IFERROR(INDEX('WetLitterbags placem_collection'!$A$3:$A$500,MATCH($A466,'WetLitterbags placem_collection'!$M$4:$M$500,0)),"")</f>
        <v>63</v>
      </c>
      <c r="AE466" s="110" t="str">
        <f>IFERROR(INDEX('WetLitterbags placem_collection'!$A$3:$A$500,MATCH($A466,'WetLitterbags placem_collection'!$Q$4:$Q$500,0)),"")</f>
        <v/>
      </c>
    </row>
    <row r="467" spans="1:31">
      <c r="A467" s="206" t="s">
        <v>1125</v>
      </c>
      <c r="C467" s="201">
        <v>158</v>
      </c>
      <c r="D467" s="202">
        <v>1.5450999999999999</v>
      </c>
      <c r="E467" s="202">
        <v>11.1591</v>
      </c>
      <c r="F467" s="202">
        <v>0.2041</v>
      </c>
      <c r="G467" s="201">
        <f t="shared" si="36"/>
        <v>11.363200000000001</v>
      </c>
      <c r="H467" s="201">
        <v>11.169</v>
      </c>
      <c r="I467" s="201">
        <f t="shared" si="40"/>
        <v>0.19420000000000037</v>
      </c>
      <c r="J467" s="201">
        <f t="shared" si="38"/>
        <v>9.8999999999996313E-3</v>
      </c>
      <c r="K467" s="280">
        <f t="shared" si="39"/>
        <v>4.8505634492893828</v>
      </c>
      <c r="L467" s="201">
        <v>21</v>
      </c>
      <c r="M467" s="205">
        <v>43199</v>
      </c>
      <c r="N467" s="205">
        <v>43199</v>
      </c>
      <c r="O467" s="201"/>
      <c r="P467" s="201"/>
      <c r="AB467" s="110" t="str">
        <f>IFERROR(INDEX('WetLitterbags placem_collection'!$A$3:$A$500,MATCH(A467,'WetLitterbags placem_collection'!$K$4:$K$500,0)),"")</f>
        <v/>
      </c>
      <c r="AC467" s="110" t="str">
        <f>IFERROR(INDEX('WetLitterbags placem_collection'!$A$3:$A$500,MATCH($A467,'WetLitterbags placem_collection'!$O$4:$O$500,0)),"")</f>
        <v/>
      </c>
      <c r="AD467" s="110">
        <f>IFERROR(INDEX('WetLitterbags placem_collection'!$A$3:$A$500,MATCH($A467,'WetLitterbags placem_collection'!$M$4:$M$500,0)),"")</f>
        <v>157</v>
      </c>
      <c r="AE467" s="110" t="str">
        <f>IFERROR(INDEX('WetLitterbags placem_collection'!$A$3:$A$500,MATCH($A467,'WetLitterbags placem_collection'!$Q$4:$Q$500,0)),"")</f>
        <v/>
      </c>
    </row>
    <row r="468" spans="1:31">
      <c r="A468" s="197" t="s">
        <v>980</v>
      </c>
      <c r="C468" s="198">
        <v>57</v>
      </c>
      <c r="D468" s="197">
        <v>1.1411</v>
      </c>
      <c r="E468" s="197">
        <v>7.4744999999999999</v>
      </c>
      <c r="F468" s="202">
        <v>0.20649999999999999</v>
      </c>
      <c r="G468" s="201">
        <f t="shared" si="36"/>
        <v>7.681</v>
      </c>
      <c r="H468" s="201">
        <v>7.4943999999999997</v>
      </c>
      <c r="I468" s="201">
        <f t="shared" si="40"/>
        <v>0.18660000000000032</v>
      </c>
      <c r="J468" s="201">
        <f t="shared" si="38"/>
        <v>1.9899999999999668E-2</v>
      </c>
      <c r="K468" s="280">
        <f t="shared" si="39"/>
        <v>9.63680387409185</v>
      </c>
      <c r="L468" s="201">
        <v>10</v>
      </c>
      <c r="U468" s="202" t="s">
        <v>1063</v>
      </c>
      <c r="V468" s="197">
        <v>1.8218000000000001</v>
      </c>
      <c r="W468" s="197">
        <f>(V468-$T$175+F466)</f>
        <v>2.0247000000000002</v>
      </c>
      <c r="AB468" s="110" t="str">
        <f>IFERROR(INDEX('WetLitterbags placem_collection'!$A$3:$A$500,MATCH(A468,'WetLitterbags placem_collection'!$K$4:$K$500,0)),"")</f>
        <v/>
      </c>
      <c r="AC468" s="110" t="str">
        <f>IFERROR(INDEX('WetLitterbags placem_collection'!$A$3:$A$500,MATCH($A468,'WetLitterbags placem_collection'!$O$4:$O$500,0)),"")</f>
        <v/>
      </c>
      <c r="AD468" s="110">
        <f>IFERROR(INDEX('WetLitterbags placem_collection'!$A$3:$A$500,MATCH($A468,'WetLitterbags placem_collection'!$M$4:$M$500,0)),"")</f>
        <v>56</v>
      </c>
      <c r="AE468" s="110" t="str">
        <f>IFERROR(INDEX('WetLitterbags placem_collection'!$A$3:$A$500,MATCH($A468,'WetLitterbags placem_collection'!$Q$4:$Q$500,0)),"")</f>
        <v/>
      </c>
    </row>
    <row r="469" spans="1:31">
      <c r="A469" s="197" t="s">
        <v>977</v>
      </c>
      <c r="C469" s="197">
        <v>190</v>
      </c>
      <c r="D469" s="197">
        <v>1.4583999999999999</v>
      </c>
      <c r="E469" s="202">
        <v>7.7739000000000003</v>
      </c>
      <c r="F469" s="202">
        <v>0.20449999999999999</v>
      </c>
      <c r="G469" s="201">
        <f t="shared" si="36"/>
        <v>7.9784000000000006</v>
      </c>
      <c r="H469" s="201">
        <v>7.7792000000000003</v>
      </c>
      <c r="I469" s="201">
        <f t="shared" si="40"/>
        <v>0.19920000000000027</v>
      </c>
      <c r="J469" s="201">
        <f t="shared" si="38"/>
        <v>5.2999999999997216E-3</v>
      </c>
      <c r="K469" s="280">
        <f t="shared" si="39"/>
        <v>2.591687041564656</v>
      </c>
      <c r="L469" s="201">
        <v>23</v>
      </c>
      <c r="AB469" s="110" t="str">
        <f>IFERROR(INDEX('WetLitterbags placem_collection'!$A$3:$A$500,MATCH(A469,'WetLitterbags placem_collection'!$K$4:$K$500,0)),"")</f>
        <v/>
      </c>
      <c r="AC469" s="110" t="str">
        <f>IFERROR(INDEX('WetLitterbags placem_collection'!$A$3:$A$500,MATCH($A469,'WetLitterbags placem_collection'!$O$4:$O$500,0)),"")</f>
        <v/>
      </c>
      <c r="AD469" s="110">
        <f>IFERROR(INDEX('WetLitterbags placem_collection'!$A$3:$A$500,MATCH($A469,'WetLitterbags placem_collection'!$M$4:$M$500,0)),"")</f>
        <v>189</v>
      </c>
      <c r="AE469" s="110" t="str">
        <f>IFERROR(INDEX('WetLitterbags placem_collection'!$A$3:$A$500,MATCH($A469,'WetLitterbags placem_collection'!$Q$4:$Q$500,0)),"")</f>
        <v/>
      </c>
    </row>
    <row r="470" spans="1:31">
      <c r="A470" s="197" t="s">
        <v>976</v>
      </c>
      <c r="C470" s="197">
        <v>67</v>
      </c>
      <c r="D470" s="197">
        <v>1.2485999999999999</v>
      </c>
      <c r="E470" s="197">
        <v>8.0462000000000007</v>
      </c>
      <c r="F470" s="197">
        <v>0.2016</v>
      </c>
      <c r="G470" s="197">
        <f t="shared" si="36"/>
        <v>8.2478000000000016</v>
      </c>
      <c r="H470" s="197">
        <v>8.0561000000000007</v>
      </c>
      <c r="I470" s="197">
        <f t="shared" si="40"/>
        <v>0.19170000000000087</v>
      </c>
      <c r="J470" s="201">
        <f t="shared" si="38"/>
        <v>9.8999999999991317E-3</v>
      </c>
      <c r="K470" s="280">
        <f t="shared" si="39"/>
        <v>4.9107142857138548</v>
      </c>
      <c r="L470" s="197">
        <v>2</v>
      </c>
      <c r="M470" s="197" t="s">
        <v>2580</v>
      </c>
      <c r="N470" s="197" t="s">
        <v>2579</v>
      </c>
      <c r="O470" s="197" t="s">
        <v>2556</v>
      </c>
      <c r="AB470" s="110" t="str">
        <f>IFERROR(INDEX('WetLitterbags placem_collection'!$A$3:$A$500,MATCH(A470,'WetLitterbags placem_collection'!$K$4:$K$500,0)),"")</f>
        <v/>
      </c>
      <c r="AC470" s="110" t="str">
        <f>IFERROR(INDEX('WetLitterbags placem_collection'!$A$3:$A$500,MATCH($A470,'WetLitterbags placem_collection'!$O$4:$O$500,0)),"")</f>
        <v/>
      </c>
      <c r="AD470" s="110">
        <f>IFERROR(INDEX('WetLitterbags placem_collection'!$A$3:$A$500,MATCH($A470,'WetLitterbags placem_collection'!$M$4:$M$500,0)),"")</f>
        <v>66</v>
      </c>
      <c r="AE470" s="110" t="str">
        <f>IFERROR(INDEX('WetLitterbags placem_collection'!$A$3:$A$500,MATCH($A470,'WetLitterbags placem_collection'!$Q$4:$Q$500,0)),"")</f>
        <v/>
      </c>
    </row>
    <row r="471" spans="1:31">
      <c r="A471" s="197" t="s">
        <v>975</v>
      </c>
      <c r="C471" s="197">
        <v>44</v>
      </c>
      <c r="D471" s="197">
        <v>1.3684000000000001</v>
      </c>
      <c r="E471" s="197">
        <v>8.0656999999999996</v>
      </c>
      <c r="F471" s="197">
        <v>0.20130000000000001</v>
      </c>
      <c r="G471" s="197">
        <f t="shared" si="36"/>
        <v>8.2669999999999995</v>
      </c>
      <c r="H471" s="197">
        <v>8.0754999999999999</v>
      </c>
      <c r="I471" s="197">
        <f t="shared" si="40"/>
        <v>0.19149999999999956</v>
      </c>
      <c r="J471" s="201">
        <f t="shared" si="38"/>
        <v>9.8000000000004472E-3</v>
      </c>
      <c r="K471" s="280">
        <f t="shared" si="39"/>
        <v>4.868355688028041</v>
      </c>
      <c r="L471" s="197">
        <v>29</v>
      </c>
      <c r="M471" s="197" t="s">
        <v>2586</v>
      </c>
      <c r="N471" s="197" t="s">
        <v>2585</v>
      </c>
      <c r="O471" s="197" t="s">
        <v>2550</v>
      </c>
      <c r="AB471" s="110" t="str">
        <f>IFERROR(INDEX('WetLitterbags placem_collection'!$A$3:$A$500,MATCH(A471,'WetLitterbags placem_collection'!$K$4:$K$500,0)),"")</f>
        <v/>
      </c>
      <c r="AC471" s="110" t="str">
        <f>IFERROR(INDEX('WetLitterbags placem_collection'!$A$3:$A$500,MATCH($A471,'WetLitterbags placem_collection'!$O$4:$O$500,0)),"")</f>
        <v/>
      </c>
      <c r="AD471" s="110">
        <f>IFERROR(INDEX('WetLitterbags placem_collection'!$A$3:$A$500,MATCH($A471,'WetLitterbags placem_collection'!$M$4:$M$500,0)),"")</f>
        <v>43</v>
      </c>
      <c r="AE471" s="110" t="str">
        <f>IFERROR(INDEX('WetLitterbags placem_collection'!$A$3:$A$500,MATCH($A471,'WetLitterbags placem_collection'!$Q$4:$Q$500,0)),"")</f>
        <v/>
      </c>
    </row>
    <row r="472" spans="1:31">
      <c r="A472" s="206" t="s">
        <v>974</v>
      </c>
      <c r="C472" s="197">
        <v>194</v>
      </c>
      <c r="D472" s="201">
        <v>1.2291000000000001</v>
      </c>
      <c r="E472" s="202">
        <v>8.0465</v>
      </c>
      <c r="F472" s="202">
        <v>0.20039999999999999</v>
      </c>
      <c r="G472" s="201">
        <f t="shared" si="36"/>
        <v>8.2469000000000001</v>
      </c>
      <c r="H472" s="201">
        <v>8.0530000000000008</v>
      </c>
      <c r="I472" s="201">
        <f t="shared" si="40"/>
        <v>0.1938999999999993</v>
      </c>
      <c r="J472" s="201">
        <f t="shared" si="38"/>
        <v>6.5000000000006997E-3</v>
      </c>
      <c r="K472" s="280">
        <f t="shared" si="39"/>
        <v>3.2435129740522455</v>
      </c>
      <c r="L472" s="201">
        <v>20</v>
      </c>
      <c r="M472" s="207">
        <v>43186.458333333336</v>
      </c>
      <c r="N472" s="207">
        <v>43186.625</v>
      </c>
      <c r="O472" s="197" t="s">
        <v>2550</v>
      </c>
      <c r="P472" s="201" t="s">
        <v>2558</v>
      </c>
      <c r="AB472" s="110" t="str">
        <f>IFERROR(INDEX('WetLitterbags placem_collection'!$A$3:$A$500,MATCH(A472,'WetLitterbags placem_collection'!$K$4:$K$500,0)),"")</f>
        <v/>
      </c>
      <c r="AC472" s="110" t="str">
        <f>IFERROR(INDEX('WetLitterbags placem_collection'!$A$3:$A$500,MATCH($A472,'WetLitterbags placem_collection'!$O$4:$O$500,0)),"")</f>
        <v/>
      </c>
      <c r="AD472" s="110" t="str">
        <f>IFERROR(INDEX('WetLitterbags placem_collection'!$A$3:$A$500,MATCH($A472,'WetLitterbags placem_collection'!$M$4:$M$500,0)),"")</f>
        <v/>
      </c>
      <c r="AE472" s="110">
        <f>IFERROR(INDEX('WetLitterbags placem_collection'!$A$3:$A$500,MATCH($A472,'WetLitterbags placem_collection'!$Q$4:$Q$500,0)),"")</f>
        <v>193</v>
      </c>
    </row>
    <row r="473" spans="1:31">
      <c r="A473" s="197" t="s">
        <v>973</v>
      </c>
      <c r="C473" s="201">
        <v>198</v>
      </c>
      <c r="D473" s="201">
        <v>1.3452999999999999</v>
      </c>
      <c r="E473" s="201">
        <v>8.0958000000000006</v>
      </c>
      <c r="F473" s="201">
        <v>0.20519999999999999</v>
      </c>
      <c r="G473" s="201">
        <f t="shared" si="36"/>
        <v>8.3010000000000002</v>
      </c>
      <c r="H473" s="201">
        <v>8.1021999999999998</v>
      </c>
      <c r="I473" s="201">
        <f t="shared" si="40"/>
        <v>0.19880000000000031</v>
      </c>
      <c r="J473" s="201">
        <f t="shared" si="38"/>
        <v>6.3999999999996837E-3</v>
      </c>
      <c r="K473" s="280">
        <f t="shared" si="39"/>
        <v>3.118908382066123</v>
      </c>
      <c r="L473" s="201">
        <v>21</v>
      </c>
      <c r="M473" s="203">
        <v>43164.628472222219</v>
      </c>
      <c r="N473" s="203">
        <v>43164.795138888891</v>
      </c>
      <c r="O473" s="197" t="s">
        <v>2550</v>
      </c>
      <c r="P473" s="201"/>
      <c r="AB473" s="110" t="str">
        <f>IFERROR(INDEX('WetLitterbags placem_collection'!$A$3:$A$500,MATCH(A473,'WetLitterbags placem_collection'!$K$4:$K$500,0)),"")</f>
        <v/>
      </c>
      <c r="AC473" s="110" t="str">
        <f>IFERROR(INDEX('WetLitterbags placem_collection'!$A$3:$A$500,MATCH($A473,'WetLitterbags placem_collection'!$O$4:$O$500,0)),"")</f>
        <v/>
      </c>
      <c r="AD473" s="110" t="str">
        <f>IFERROR(INDEX('WetLitterbags placem_collection'!$A$3:$A$500,MATCH($A473,'WetLitterbags placem_collection'!$M$4:$M$500,0)),"")</f>
        <v/>
      </c>
      <c r="AE473" s="110">
        <f>IFERROR(INDEX('WetLitterbags placem_collection'!$A$3:$A$500,MATCH($A473,'WetLitterbags placem_collection'!$Q$4:$Q$500,0)),"")</f>
        <v>197</v>
      </c>
    </row>
    <row r="474" spans="1:31">
      <c r="A474" s="197" t="s">
        <v>972</v>
      </c>
      <c r="C474" s="197">
        <v>9</v>
      </c>
      <c r="D474" s="197">
        <v>2.444</v>
      </c>
      <c r="E474" s="197">
        <v>11.4542</v>
      </c>
      <c r="F474" s="202">
        <v>0.20580000000000001</v>
      </c>
      <c r="G474" s="201">
        <f t="shared" si="36"/>
        <v>11.66</v>
      </c>
      <c r="H474" s="201">
        <v>11.6503</v>
      </c>
      <c r="I474" s="201">
        <f t="shared" si="40"/>
        <v>9.700000000000486E-3</v>
      </c>
      <c r="J474" s="201">
        <f t="shared" si="38"/>
        <v>0.19609999999999952</v>
      </c>
      <c r="K474" s="280">
        <f t="shared" si="39"/>
        <v>95.2866861030124</v>
      </c>
      <c r="L474" s="201">
        <v>15</v>
      </c>
      <c r="AB474" s="110" t="str">
        <f>IFERROR(INDEX('WetLitterbags placem_collection'!$A$3:$A$500,MATCH(A474,'WetLitterbags placem_collection'!$K$4:$K$500,0)),"")</f>
        <v/>
      </c>
      <c r="AC474" s="110" t="str">
        <f>IFERROR(INDEX('WetLitterbags placem_collection'!$A$3:$A$500,MATCH($A474,'WetLitterbags placem_collection'!$O$4:$O$500,0)),"")</f>
        <v/>
      </c>
      <c r="AD474" s="110">
        <f>IFERROR(INDEX('WetLitterbags placem_collection'!$A$3:$A$500,MATCH($A474,'WetLitterbags placem_collection'!$M$4:$M$500,0)),"")</f>
        <v>8</v>
      </c>
      <c r="AE474" s="110" t="str">
        <f>IFERROR(INDEX('WetLitterbags placem_collection'!$A$3:$A$500,MATCH($A474,'WetLitterbags placem_collection'!$Q$4:$Q$500,0)),"")</f>
        <v/>
      </c>
    </row>
    <row r="475" spans="1:31">
      <c r="A475" s="197" t="s">
        <v>1124</v>
      </c>
      <c r="C475" s="198">
        <v>1</v>
      </c>
      <c r="D475" s="197">
        <v>0.83950000000000002</v>
      </c>
      <c r="E475" s="197">
        <v>9.4854000000000003</v>
      </c>
      <c r="F475" s="202">
        <v>0.20369999999999999</v>
      </c>
      <c r="G475" s="201">
        <f t="shared" si="36"/>
        <v>9.6890999999999998</v>
      </c>
      <c r="H475" s="201">
        <v>9.5219000000000005</v>
      </c>
      <c r="I475" s="201">
        <f t="shared" si="40"/>
        <v>0.16719999999999935</v>
      </c>
      <c r="J475" s="201">
        <f t="shared" si="38"/>
        <v>3.6500000000000643E-2</v>
      </c>
      <c r="K475" s="280">
        <f t="shared" si="39"/>
        <v>17.918507609229575</v>
      </c>
      <c r="L475" s="201">
        <v>7</v>
      </c>
      <c r="T475" s="204"/>
      <c r="U475" s="204"/>
      <c r="AB475" s="110" t="str">
        <f>IFERROR(INDEX('WetLitterbags placem_collection'!$A$3:$A$500,MATCH(A475,'WetLitterbags placem_collection'!$K$4:$K$500,0)),"")</f>
        <v/>
      </c>
      <c r="AC475" s="110" t="str">
        <f>IFERROR(INDEX('WetLitterbags placem_collection'!$A$3:$A$500,MATCH($A475,'WetLitterbags placem_collection'!$O$4:$O$500,0)),"")</f>
        <v/>
      </c>
      <c r="AD475" s="110" t="str">
        <f>IFERROR(INDEX('WetLitterbags placem_collection'!$A$3:$A$500,MATCH($A475,'WetLitterbags placem_collection'!$M$4:$M$500,0)),"")</f>
        <v/>
      </c>
      <c r="AE475" s="110" t="str">
        <f>IFERROR(INDEX('WetLitterbags placem_collection'!$A$3:$A$500,MATCH($A475,'WetLitterbags placem_collection'!$Q$4:$Q$500,0)),"")</f>
        <v/>
      </c>
    </row>
    <row r="476" spans="1:31">
      <c r="A476" s="201" t="s">
        <v>970</v>
      </c>
      <c r="C476" s="201">
        <v>89</v>
      </c>
      <c r="D476" s="201">
        <v>1.734</v>
      </c>
      <c r="E476" s="201">
        <v>8.1188000000000002</v>
      </c>
      <c r="F476" s="202">
        <v>0.2016</v>
      </c>
      <c r="G476" s="201">
        <f t="shared" si="36"/>
        <v>8.3203999999999994</v>
      </c>
      <c r="H476" s="201">
        <v>8.1588999999999992</v>
      </c>
      <c r="I476" s="201">
        <f t="shared" si="40"/>
        <v>0.1615000000000002</v>
      </c>
      <c r="J476" s="201">
        <f t="shared" si="38"/>
        <v>4.0099999999999802E-2</v>
      </c>
      <c r="K476" s="280">
        <f t="shared" si="39"/>
        <v>19.890873015872916</v>
      </c>
      <c r="L476" s="201">
        <v>5</v>
      </c>
      <c r="M476" s="205">
        <v>43187</v>
      </c>
      <c r="N476" s="205">
        <v>43187</v>
      </c>
      <c r="O476" s="201"/>
      <c r="P476" s="201"/>
      <c r="AB476" s="110" t="str">
        <f>IFERROR(INDEX('WetLitterbags placem_collection'!$A$3:$A$500,MATCH(A476,'WetLitterbags placem_collection'!$K$4:$K$500,0)),"")</f>
        <v/>
      </c>
      <c r="AC476" s="110" t="str">
        <f>IFERROR(INDEX('WetLitterbags placem_collection'!$A$3:$A$500,MATCH($A476,'WetLitterbags placem_collection'!$O$4:$O$500,0)),"")</f>
        <v/>
      </c>
      <c r="AD476" s="110" t="str">
        <f>IFERROR(INDEX('WetLitterbags placem_collection'!$A$3:$A$500,MATCH($A476,'WetLitterbags placem_collection'!$M$4:$M$500,0)),"")</f>
        <v/>
      </c>
      <c r="AE476" s="110">
        <f>IFERROR(INDEX('WetLitterbags placem_collection'!$A$3:$A$500,MATCH($A476,'WetLitterbags placem_collection'!$Q$4:$Q$500,0)),"")</f>
        <v>88</v>
      </c>
    </row>
    <row r="477" spans="1:31">
      <c r="A477" s="197" t="s">
        <v>969</v>
      </c>
      <c r="C477" s="198">
        <v>28</v>
      </c>
      <c r="D477" s="197">
        <v>1.2393000000000001</v>
      </c>
      <c r="E477" s="202">
        <v>10.6747</v>
      </c>
      <c r="F477" s="202">
        <v>0.19969999999999999</v>
      </c>
      <c r="G477" s="201">
        <f t="shared" si="36"/>
        <v>10.8744</v>
      </c>
      <c r="H477" s="201">
        <v>10.683999999999999</v>
      </c>
      <c r="I477" s="201">
        <f t="shared" si="40"/>
        <v>0.19040000000000035</v>
      </c>
      <c r="J477" s="201">
        <f t="shared" si="38"/>
        <v>9.2999999999996419E-3</v>
      </c>
      <c r="K477" s="280">
        <f t="shared" si="39"/>
        <v>4.6569854782171465</v>
      </c>
      <c r="L477" s="201">
        <v>37</v>
      </c>
      <c r="AB477" s="110" t="str">
        <f>IFERROR(INDEX('WetLitterbags placem_collection'!$A$3:$A$500,MATCH(A477,'WetLitterbags placem_collection'!$K$4:$K$500,0)),"")</f>
        <v/>
      </c>
      <c r="AC477" s="110" t="str">
        <f>IFERROR(INDEX('WetLitterbags placem_collection'!$A$3:$A$500,MATCH($A477,'WetLitterbags placem_collection'!$O$4:$O$500,0)),"")</f>
        <v/>
      </c>
      <c r="AD477" s="110" t="str">
        <f>IFERROR(INDEX('WetLitterbags placem_collection'!$A$3:$A$500,MATCH($A477,'WetLitterbags placem_collection'!$M$4:$M$500,0)),"")</f>
        <v/>
      </c>
      <c r="AE477" s="110">
        <f>IFERROR(INDEX('WetLitterbags placem_collection'!$A$3:$A$500,MATCH($A477,'WetLitterbags placem_collection'!$Q$4:$Q$500,0)),"")</f>
        <v>27</v>
      </c>
    </row>
    <row r="478" spans="1:31">
      <c r="A478" s="201" t="s">
        <v>965</v>
      </c>
      <c r="C478" s="201">
        <v>219</v>
      </c>
      <c r="D478" s="201">
        <v>1.1993</v>
      </c>
      <c r="E478" s="201">
        <v>7.7163000000000004</v>
      </c>
      <c r="F478" s="201">
        <v>0.20380000000000001</v>
      </c>
      <c r="G478" s="201">
        <f t="shared" si="36"/>
        <v>7.9201000000000006</v>
      </c>
      <c r="H478" s="201">
        <v>7.7293000000000003</v>
      </c>
      <c r="I478" s="201">
        <f t="shared" si="40"/>
        <v>0.1908000000000003</v>
      </c>
      <c r="J478" s="201">
        <f t="shared" si="38"/>
        <v>1.2999999999999706E-2</v>
      </c>
      <c r="K478" s="280">
        <f t="shared" si="39"/>
        <v>6.3788027477918092</v>
      </c>
      <c r="L478" s="201">
        <v>10</v>
      </c>
      <c r="M478" s="203">
        <v>43164.628472222219</v>
      </c>
      <c r="N478" s="203">
        <v>43164.795138888891</v>
      </c>
      <c r="O478" s="197" t="s">
        <v>2550</v>
      </c>
      <c r="P478" s="201"/>
      <c r="AB478" s="110" t="str">
        <f>IFERROR(INDEX('WetLitterbags placem_collection'!$A$3:$A$500,MATCH(A478,'WetLitterbags placem_collection'!$K$4:$K$500,0)),"")</f>
        <v/>
      </c>
      <c r="AC478" s="110" t="str">
        <f>IFERROR(INDEX('WetLitterbags placem_collection'!$A$3:$A$500,MATCH($A478,'WetLitterbags placem_collection'!$O$4:$O$500,0)),"")</f>
        <v/>
      </c>
      <c r="AD478" s="110">
        <f>IFERROR(INDEX('WetLitterbags placem_collection'!$A$3:$A$500,MATCH($A478,'WetLitterbags placem_collection'!$M$4:$M$500,0)),"")</f>
        <v>218</v>
      </c>
      <c r="AE478" s="110" t="str">
        <f>IFERROR(INDEX('WetLitterbags placem_collection'!$A$3:$A$500,MATCH($A478,'WetLitterbags placem_collection'!$Q$4:$Q$500,0)),"")</f>
        <v/>
      </c>
    </row>
    <row r="479" spans="1:31">
      <c r="A479" s="197" t="s">
        <v>964</v>
      </c>
      <c r="C479" s="197">
        <v>6</v>
      </c>
      <c r="D479" s="197">
        <v>1.1964999999999999</v>
      </c>
      <c r="E479" s="202">
        <v>7.3169000000000004</v>
      </c>
      <c r="F479" s="202">
        <v>0.19980000000000001</v>
      </c>
      <c r="G479" s="201">
        <f t="shared" si="36"/>
        <v>7.5167000000000002</v>
      </c>
      <c r="H479" s="201">
        <v>7.3457999999999997</v>
      </c>
      <c r="I479" s="201">
        <f t="shared" si="40"/>
        <v>0.1709000000000005</v>
      </c>
      <c r="J479" s="201">
        <f t="shared" si="38"/>
        <v>2.8899999999999509E-2</v>
      </c>
      <c r="K479" s="280">
        <f t="shared" si="39"/>
        <v>14.46446446446422</v>
      </c>
      <c r="L479" s="201">
        <v>14</v>
      </c>
      <c r="AB479" s="110" t="str">
        <f>IFERROR(INDEX('WetLitterbags placem_collection'!$A$3:$A$500,MATCH(A479,'WetLitterbags placem_collection'!$K$4:$K$500,0)),"")</f>
        <v/>
      </c>
      <c r="AC479" s="110" t="str">
        <f>IFERROR(INDEX('WetLitterbags placem_collection'!$A$3:$A$500,MATCH($A479,'WetLitterbags placem_collection'!$O$4:$O$500,0)),"")</f>
        <v/>
      </c>
      <c r="AD479" s="110">
        <f>IFERROR(INDEX('WetLitterbags placem_collection'!$A$3:$A$500,MATCH($A479,'WetLitterbags placem_collection'!$M$4:$M$500,0)),"")</f>
        <v>5</v>
      </c>
      <c r="AE479" s="110" t="str">
        <f>IFERROR(INDEX('WetLitterbags placem_collection'!$A$3:$A$500,MATCH($A479,'WetLitterbags placem_collection'!$Q$4:$Q$500,0)),"")</f>
        <v/>
      </c>
    </row>
    <row r="480" spans="1:31">
      <c r="A480" s="206" t="s">
        <v>959</v>
      </c>
      <c r="C480" s="201">
        <v>202</v>
      </c>
      <c r="D480" s="201">
        <v>1.417</v>
      </c>
      <c r="E480" s="202">
        <v>11.153</v>
      </c>
      <c r="F480" s="202">
        <v>0.2039</v>
      </c>
      <c r="G480" s="201">
        <f t="shared" si="36"/>
        <v>11.356900000000001</v>
      </c>
      <c r="H480" s="201">
        <v>11.161</v>
      </c>
      <c r="I480" s="201">
        <f t="shared" si="40"/>
        <v>0.19590000000000174</v>
      </c>
      <c r="J480" s="201">
        <f t="shared" si="38"/>
        <v>7.9999999999982585E-3</v>
      </c>
      <c r="K480" s="280">
        <f t="shared" si="39"/>
        <v>3.9234919077970858</v>
      </c>
      <c r="L480" s="201">
        <v>18</v>
      </c>
      <c r="M480" s="207">
        <v>43185.385416666664</v>
      </c>
      <c r="N480" s="201"/>
      <c r="O480" s="201" t="s">
        <v>2556</v>
      </c>
      <c r="P480" s="201"/>
      <c r="AB480" s="110" t="str">
        <f>IFERROR(INDEX('WetLitterbags placem_collection'!$A$3:$A$500,MATCH(A480,'WetLitterbags placem_collection'!$K$4:$K$500,0)),"")</f>
        <v/>
      </c>
      <c r="AC480" s="110" t="str">
        <f>IFERROR(INDEX('WetLitterbags placem_collection'!$A$3:$A$500,MATCH($A480,'WetLitterbags placem_collection'!$O$4:$O$500,0)),"")</f>
        <v/>
      </c>
      <c r="AD480" s="110" t="str">
        <f>IFERROR(INDEX('WetLitterbags placem_collection'!$A$3:$A$500,MATCH($A480,'WetLitterbags placem_collection'!$M$4:$M$500,0)),"")</f>
        <v/>
      </c>
      <c r="AE480" s="110">
        <f>IFERROR(INDEX('WetLitterbags placem_collection'!$A$3:$A$500,MATCH($A480,'WetLitterbags placem_collection'!$Q$4:$Q$500,0)),"")</f>
        <v>201</v>
      </c>
    </row>
    <row r="481" spans="1:31">
      <c r="A481" s="202" t="s">
        <v>958</v>
      </c>
      <c r="C481" s="201">
        <v>75</v>
      </c>
      <c r="D481" s="201">
        <v>1.4855999999999998</v>
      </c>
      <c r="E481" s="201">
        <v>9.1966999999999999</v>
      </c>
      <c r="F481" s="201">
        <v>0.2077</v>
      </c>
      <c r="G481" s="201">
        <f t="shared" si="36"/>
        <v>9.404399999999999</v>
      </c>
      <c r="H481" s="201">
        <v>9.2013999999999996</v>
      </c>
      <c r="I481" s="201">
        <f t="shared" si="40"/>
        <v>0.2029999999999994</v>
      </c>
      <c r="J481" s="201">
        <f t="shared" si="38"/>
        <v>4.7000000000005926E-3</v>
      </c>
      <c r="K481" s="280">
        <f t="shared" si="39"/>
        <v>2.262879152624262</v>
      </c>
      <c r="L481" s="201">
        <v>10</v>
      </c>
      <c r="M481" s="205">
        <v>43173</v>
      </c>
      <c r="N481" s="205">
        <v>43173</v>
      </c>
      <c r="O481" s="201" t="s">
        <v>2556</v>
      </c>
      <c r="P481" s="201" t="s">
        <v>2555</v>
      </c>
      <c r="AB481" s="110" t="str">
        <f>IFERROR(INDEX('WetLitterbags placem_collection'!$A$3:$A$500,MATCH(A481,'WetLitterbags placem_collection'!$K$4:$K$500,0)),"")</f>
        <v/>
      </c>
      <c r="AC481" s="110" t="str">
        <f>IFERROR(INDEX('WetLitterbags placem_collection'!$A$3:$A$500,MATCH($A481,'WetLitterbags placem_collection'!$O$4:$O$500,0)),"")</f>
        <v/>
      </c>
      <c r="AD481" s="110" t="str">
        <f>IFERROR(INDEX('WetLitterbags placem_collection'!$A$3:$A$500,MATCH($A481,'WetLitterbags placem_collection'!$M$4:$M$500,0)),"")</f>
        <v/>
      </c>
      <c r="AE481" s="110">
        <f>IFERROR(INDEX('WetLitterbags placem_collection'!$A$3:$A$500,MATCH($A481,'WetLitterbags placem_collection'!$Q$4:$Q$500,0)),"")</f>
        <v>75</v>
      </c>
    </row>
    <row r="482" spans="1:31">
      <c r="A482" s="197" t="s">
        <v>956</v>
      </c>
      <c r="C482" s="201">
        <v>63</v>
      </c>
      <c r="D482" s="202">
        <v>1.4281999999999999</v>
      </c>
      <c r="E482" s="202">
        <v>8.0640999999999998</v>
      </c>
      <c r="F482" s="202">
        <v>0.20319999999999999</v>
      </c>
      <c r="G482" s="201">
        <f t="shared" si="36"/>
        <v>8.2673000000000005</v>
      </c>
      <c r="H482" s="201">
        <v>8.0815999999999999</v>
      </c>
      <c r="I482" s="201">
        <f t="shared" si="40"/>
        <v>0.18570000000000064</v>
      </c>
      <c r="J482" s="201">
        <f t="shared" si="38"/>
        <v>1.7499999999999349E-2</v>
      </c>
      <c r="K482" s="280">
        <f t="shared" si="39"/>
        <v>8.6122047244091302</v>
      </c>
      <c r="L482" s="201">
        <v>6</v>
      </c>
      <c r="M482" s="201"/>
      <c r="N482" s="201"/>
      <c r="O482" s="201"/>
      <c r="P482" s="201"/>
      <c r="AB482" s="110" t="str">
        <f>IFERROR(INDEX('WetLitterbags placem_collection'!$A$3:$A$500,MATCH(A482,'WetLitterbags placem_collection'!$K$4:$K$500,0)),"")</f>
        <v/>
      </c>
      <c r="AC482" s="110" t="str">
        <f>IFERROR(INDEX('WetLitterbags placem_collection'!$A$3:$A$500,MATCH($A482,'WetLitterbags placem_collection'!$O$4:$O$500,0)),"")</f>
        <v/>
      </c>
      <c r="AD482" s="110">
        <f>IFERROR(INDEX('WetLitterbags placem_collection'!$A$3:$A$500,MATCH($A482,'WetLitterbags placem_collection'!$M$4:$M$500,0)),"")</f>
        <v>62</v>
      </c>
      <c r="AE482" s="110" t="str">
        <f>IFERROR(INDEX('WetLitterbags placem_collection'!$A$3:$A$500,MATCH($A482,'WetLitterbags placem_collection'!$Q$4:$Q$500,0)),"")</f>
        <v/>
      </c>
    </row>
    <row r="483" spans="1:31">
      <c r="A483" s="206" t="s">
        <v>955</v>
      </c>
      <c r="C483" s="201">
        <v>186</v>
      </c>
      <c r="D483" s="201">
        <v>1.5461</v>
      </c>
      <c r="E483" s="201">
        <v>10.270899999999999</v>
      </c>
      <c r="F483" s="202">
        <v>0.2019</v>
      </c>
      <c r="G483" s="201">
        <f t="shared" si="36"/>
        <v>10.472799999999999</v>
      </c>
      <c r="H483" s="201">
        <v>10.275499999999999</v>
      </c>
      <c r="I483" s="201">
        <f t="shared" si="40"/>
        <v>0.19730000000000025</v>
      </c>
      <c r="J483" s="201">
        <f t="shared" si="38"/>
        <v>4.5999999999997432E-3</v>
      </c>
      <c r="K483" s="280">
        <f t="shared" si="39"/>
        <v>2.2783556215947218</v>
      </c>
      <c r="L483" s="201">
        <v>28</v>
      </c>
      <c r="M483" s="205">
        <v>43187</v>
      </c>
      <c r="N483" s="205">
        <v>43187</v>
      </c>
      <c r="O483" s="201"/>
      <c r="P483" s="201"/>
      <c r="AB483" s="110" t="str">
        <f>IFERROR(INDEX('WetLitterbags placem_collection'!$A$3:$A$500,MATCH(A483,'WetLitterbags placem_collection'!$K$4:$K$500,0)),"")</f>
        <v/>
      </c>
      <c r="AC483" s="110" t="str">
        <f>IFERROR(INDEX('WetLitterbags placem_collection'!$A$3:$A$500,MATCH($A483,'WetLitterbags placem_collection'!$O$4:$O$500,0)),"")</f>
        <v/>
      </c>
      <c r="AD483" s="110" t="str">
        <f>IFERROR(INDEX('WetLitterbags placem_collection'!$A$3:$A$500,MATCH($A483,'WetLitterbags placem_collection'!$M$4:$M$500,0)),"")</f>
        <v/>
      </c>
      <c r="AE483" s="110">
        <f>IFERROR(INDEX('WetLitterbags placem_collection'!$A$3:$A$500,MATCH($A483,'WetLitterbags placem_collection'!$Q$4:$Q$500,0)),"")</f>
        <v>185</v>
      </c>
    </row>
    <row r="484" spans="1:31">
      <c r="A484" s="201" t="s">
        <v>954</v>
      </c>
      <c r="C484" s="201">
        <v>81</v>
      </c>
      <c r="D484" s="202">
        <v>1.5605</v>
      </c>
      <c r="E484" s="202">
        <v>10.201700000000001</v>
      </c>
      <c r="F484" s="202">
        <v>0.20169999999999999</v>
      </c>
      <c r="G484" s="201">
        <f t="shared" si="36"/>
        <v>10.403400000000001</v>
      </c>
      <c r="H484" s="201">
        <v>10.2102</v>
      </c>
      <c r="I484" s="201">
        <f t="shared" si="40"/>
        <v>0.19320000000000093</v>
      </c>
      <c r="J484" s="201">
        <f t="shared" si="38"/>
        <v>8.4999999999990639E-3</v>
      </c>
      <c r="K484" s="280">
        <f t="shared" si="39"/>
        <v>4.2141794744665662</v>
      </c>
      <c r="L484" s="201">
        <v>30</v>
      </c>
      <c r="M484" s="203">
        <v>43181.645833333336</v>
      </c>
      <c r="N484" s="203">
        <v>43181.833333333336</v>
      </c>
      <c r="O484" s="201" t="s">
        <v>2556</v>
      </c>
      <c r="P484" s="201"/>
      <c r="AB484" s="110" t="str">
        <f>IFERROR(INDEX('WetLitterbags placem_collection'!$A$3:$A$500,MATCH(A484,'WetLitterbags placem_collection'!$K$4:$K$500,0)),"")</f>
        <v/>
      </c>
      <c r="AC484" s="110" t="str">
        <f>IFERROR(INDEX('WetLitterbags placem_collection'!$A$3:$A$500,MATCH($A484,'WetLitterbags placem_collection'!$O$4:$O$500,0)),"")</f>
        <v/>
      </c>
      <c r="AD484" s="110">
        <f>IFERROR(INDEX('WetLitterbags placem_collection'!$A$3:$A$500,MATCH($A484,'WetLitterbags placem_collection'!$M$4:$M$500,0)),"")</f>
        <v>80</v>
      </c>
      <c r="AE484" s="110" t="str">
        <f>IFERROR(INDEX('WetLitterbags placem_collection'!$A$3:$A$500,MATCH($A484,'WetLitterbags placem_collection'!$Q$4:$Q$500,0)),"")</f>
        <v/>
      </c>
    </row>
    <row r="485" spans="1:31">
      <c r="A485" s="197" t="s">
        <v>952</v>
      </c>
      <c r="C485" s="197">
        <v>26</v>
      </c>
      <c r="D485" s="197">
        <v>1.25</v>
      </c>
      <c r="E485" s="202">
        <v>9.0510000000000002</v>
      </c>
      <c r="F485" s="202">
        <v>0.20860000000000001</v>
      </c>
      <c r="G485" s="201">
        <f t="shared" si="36"/>
        <v>9.2596000000000007</v>
      </c>
      <c r="H485" s="201">
        <v>9.0571999999999999</v>
      </c>
      <c r="I485" s="201">
        <f t="shared" si="40"/>
        <v>0.2024000000000008</v>
      </c>
      <c r="J485" s="201">
        <f t="shared" si="38"/>
        <v>6.1999999999992061E-3</v>
      </c>
      <c r="K485" s="280">
        <f t="shared" si="39"/>
        <v>2.9721955896448731</v>
      </c>
      <c r="L485" s="201">
        <v>29</v>
      </c>
      <c r="M485" s="204">
        <v>43221</v>
      </c>
      <c r="N485" s="204">
        <v>43221</v>
      </c>
      <c r="AB485" s="110" t="str">
        <f>IFERROR(INDEX('WetLitterbags placem_collection'!$A$3:$A$500,MATCH(A485,'WetLitterbags placem_collection'!$K$4:$K$500,0)),"")</f>
        <v/>
      </c>
      <c r="AC485" s="110" t="str">
        <f>IFERROR(INDEX('WetLitterbags placem_collection'!$A$3:$A$500,MATCH($A485,'WetLitterbags placem_collection'!$O$4:$O$500,0)),"")</f>
        <v/>
      </c>
      <c r="AD485" s="110" t="str">
        <f>IFERROR(INDEX('WetLitterbags placem_collection'!$A$3:$A$500,MATCH($A485,'WetLitterbags placem_collection'!$M$4:$M$500,0)),"")</f>
        <v/>
      </c>
      <c r="AE485" s="110">
        <f>IFERROR(INDEX('WetLitterbags placem_collection'!$A$3:$A$500,MATCH($A485,'WetLitterbags placem_collection'!$Q$4:$Q$500,0)),"")</f>
        <v>25</v>
      </c>
    </row>
    <row r="486" spans="1:31">
      <c r="A486" s="197" t="s">
        <v>951</v>
      </c>
      <c r="C486" s="197">
        <v>23</v>
      </c>
      <c r="D486" s="197">
        <v>1.2595000000000001</v>
      </c>
      <c r="E486" s="197">
        <v>11.262700000000001</v>
      </c>
      <c r="F486" s="197">
        <v>0.20730000000000001</v>
      </c>
      <c r="G486" s="197">
        <f t="shared" si="36"/>
        <v>11.47</v>
      </c>
      <c r="H486" s="197">
        <v>11.269</v>
      </c>
      <c r="I486" s="197">
        <f t="shared" si="40"/>
        <v>0.20100000000000051</v>
      </c>
      <c r="J486" s="201">
        <f t="shared" si="38"/>
        <v>6.2999999999995004E-3</v>
      </c>
      <c r="K486" s="280">
        <f t="shared" si="39"/>
        <v>3.0390738060779063</v>
      </c>
      <c r="L486" s="197">
        <v>20</v>
      </c>
      <c r="M486" s="197" t="s">
        <v>2586</v>
      </c>
      <c r="N486" s="197" t="s">
        <v>2585</v>
      </c>
      <c r="O486" s="197" t="s">
        <v>2550</v>
      </c>
      <c r="AB486" s="110" t="str">
        <f>IFERROR(INDEX('WetLitterbags placem_collection'!$A$3:$A$500,MATCH(A486,'WetLitterbags placem_collection'!$K$4:$K$500,0)),"")</f>
        <v/>
      </c>
      <c r="AC486" s="110" t="str">
        <f>IFERROR(INDEX('WetLitterbags placem_collection'!$A$3:$A$500,MATCH($A486,'WetLitterbags placem_collection'!$O$4:$O$500,0)),"")</f>
        <v/>
      </c>
      <c r="AD486" s="110">
        <f>IFERROR(INDEX('WetLitterbags placem_collection'!$A$3:$A$500,MATCH($A486,'WetLitterbags placem_collection'!$M$4:$M$500,0)),"")</f>
        <v>22</v>
      </c>
      <c r="AE486" s="110" t="str">
        <f>IFERROR(INDEX('WetLitterbags placem_collection'!$A$3:$A$500,MATCH($A486,'WetLitterbags placem_collection'!$Q$4:$Q$500,0)),"")</f>
        <v/>
      </c>
    </row>
    <row r="487" spans="1:31">
      <c r="A487" s="197" t="s">
        <v>1139</v>
      </c>
      <c r="C487" s="198">
        <v>11</v>
      </c>
      <c r="D487" s="197">
        <v>1.2079</v>
      </c>
      <c r="E487" s="201">
        <v>9.3221000000000007</v>
      </c>
      <c r="F487" s="202">
        <v>0.20830000000000001</v>
      </c>
      <c r="G487" s="201">
        <f t="shared" si="36"/>
        <v>9.5304000000000002</v>
      </c>
      <c r="H487" s="201">
        <v>9.3316999999999997</v>
      </c>
      <c r="I487" s="201">
        <f t="shared" si="40"/>
        <v>0.19870000000000054</v>
      </c>
      <c r="J487" s="201">
        <f t="shared" si="38"/>
        <v>9.5999999999994701E-3</v>
      </c>
      <c r="K487" s="280">
        <f t="shared" si="39"/>
        <v>4.6087373979834227</v>
      </c>
      <c r="L487" s="201">
        <v>14</v>
      </c>
      <c r="M487" s="204">
        <v>43213</v>
      </c>
      <c r="N487" s="204">
        <v>43213</v>
      </c>
      <c r="AB487" s="110" t="str">
        <f>IFERROR(INDEX('WetLitterbags placem_collection'!$A$3:$A$500,MATCH(A487,'WetLitterbags placem_collection'!$K$4:$K$500,0)),"")</f>
        <v/>
      </c>
      <c r="AC487" s="110" t="str">
        <f>IFERROR(INDEX('WetLitterbags placem_collection'!$A$3:$A$500,MATCH($A487,'WetLitterbags placem_collection'!$O$4:$O$500,0)),"")</f>
        <v/>
      </c>
      <c r="AD487" s="110" t="str">
        <f>IFERROR(INDEX('WetLitterbags placem_collection'!$A$3:$A$500,MATCH($A487,'WetLitterbags placem_collection'!$M$4:$M$500,0)),"")</f>
        <v/>
      </c>
      <c r="AE487" s="110">
        <f>IFERROR(INDEX('WetLitterbags placem_collection'!$A$3:$A$500,MATCH($A487,'WetLitterbags placem_collection'!$Q$4:$Q$500,0)),"")</f>
        <v>10</v>
      </c>
    </row>
    <row r="488" spans="1:31">
      <c r="A488" s="206" t="s">
        <v>1121</v>
      </c>
      <c r="C488" s="201">
        <v>148</v>
      </c>
      <c r="D488" s="202">
        <v>1.3778999999999999</v>
      </c>
      <c r="E488" s="202">
        <v>10.855600000000001</v>
      </c>
      <c r="F488" s="202">
        <v>2.1999999999999999E-2</v>
      </c>
      <c r="G488" s="201">
        <f t="shared" si="36"/>
        <v>10.877600000000001</v>
      </c>
      <c r="H488" s="201">
        <v>10.8681</v>
      </c>
      <c r="I488" s="201">
        <f t="shared" si="40"/>
        <v>9.5000000000009521E-3</v>
      </c>
      <c r="J488" s="201">
        <f t="shared" si="38"/>
        <v>1.2499999999999047E-2</v>
      </c>
      <c r="K488" s="280">
        <f t="shared" si="39"/>
        <v>56.818181818177493</v>
      </c>
      <c r="L488" s="201">
        <v>20</v>
      </c>
      <c r="M488" s="203">
        <v>43181.645833333336</v>
      </c>
      <c r="N488" s="203">
        <v>43181.833333333336</v>
      </c>
      <c r="O488" s="201" t="s">
        <v>2556</v>
      </c>
      <c r="P488" s="201" t="s">
        <v>2569</v>
      </c>
      <c r="AB488" s="110" t="str">
        <f>IFERROR(INDEX('WetLitterbags placem_collection'!$A$3:$A$500,MATCH(A488,'WetLitterbags placem_collection'!$K$4:$K$500,0)),"")</f>
        <v/>
      </c>
      <c r="AC488" s="110" t="str">
        <f>IFERROR(INDEX('WetLitterbags placem_collection'!$A$3:$A$500,MATCH($A488,'WetLitterbags placem_collection'!$O$4:$O$500,0)),"")</f>
        <v/>
      </c>
      <c r="AD488" s="110" t="str">
        <f>IFERROR(INDEX('WetLitterbags placem_collection'!$A$3:$A$500,MATCH($A488,'WetLitterbags placem_collection'!$M$4:$M$500,0)),"")</f>
        <v/>
      </c>
      <c r="AE488" s="110">
        <f>IFERROR(INDEX('WetLitterbags placem_collection'!$A$3:$A$500,MATCH($A488,'WetLitterbags placem_collection'!$Q$4:$Q$500,0)),"")</f>
        <v>147</v>
      </c>
    </row>
    <row r="489" spans="1:31">
      <c r="A489" s="206" t="s">
        <v>939</v>
      </c>
      <c r="C489" s="201">
        <v>162</v>
      </c>
      <c r="D489" s="201">
        <v>0.29349999999999998</v>
      </c>
      <c r="E489" s="202">
        <v>9.1972000000000005</v>
      </c>
      <c r="F489" s="202">
        <v>0.2001</v>
      </c>
      <c r="G489" s="201">
        <f t="shared" si="36"/>
        <v>9.3973000000000013</v>
      </c>
      <c r="H489" s="201">
        <v>9.3561999999999994</v>
      </c>
      <c r="I489" s="201">
        <f t="shared" si="40"/>
        <v>4.1100000000001913E-2</v>
      </c>
      <c r="J489" s="201">
        <f t="shared" si="38"/>
        <v>0.15899999999999809</v>
      </c>
      <c r="K489" s="280">
        <f t="shared" si="39"/>
        <v>79.460269865066508</v>
      </c>
      <c r="L489" s="201">
        <v>27</v>
      </c>
      <c r="M489" s="207">
        <v>43186.458333333336</v>
      </c>
      <c r="N489" s="207">
        <v>43186.625</v>
      </c>
      <c r="O489" s="197" t="s">
        <v>2550</v>
      </c>
      <c r="P489" s="201" t="s">
        <v>2563</v>
      </c>
      <c r="AB489" s="110" t="str">
        <f>IFERROR(INDEX('WetLitterbags placem_collection'!$A$3:$A$500,MATCH(A489,'WetLitterbags placem_collection'!$K$4:$K$500,0)),"")</f>
        <v/>
      </c>
      <c r="AC489" s="110" t="str">
        <f>IFERROR(INDEX('WetLitterbags placem_collection'!$A$3:$A$500,MATCH($A489,'WetLitterbags placem_collection'!$O$4:$O$500,0)),"")</f>
        <v/>
      </c>
      <c r="AD489" s="110">
        <f>IFERROR(INDEX('WetLitterbags placem_collection'!$A$3:$A$500,MATCH($A489,'WetLitterbags placem_collection'!$M$4:$M$500,0)),"")</f>
        <v>161</v>
      </c>
      <c r="AE489" s="110" t="str">
        <f>IFERROR(INDEX('WetLitterbags placem_collection'!$A$3:$A$500,MATCH($A489,'WetLitterbags placem_collection'!$Q$4:$Q$500,0)),"")</f>
        <v/>
      </c>
    </row>
    <row r="490" spans="1:31">
      <c r="A490" s="206" t="s">
        <v>1120</v>
      </c>
      <c r="C490" s="201">
        <v>138</v>
      </c>
      <c r="D490" s="201">
        <v>1.2708999999999999</v>
      </c>
      <c r="E490" s="202">
        <v>7.3539000000000003</v>
      </c>
      <c r="F490" s="202">
        <v>0.2044</v>
      </c>
      <c r="G490" s="201">
        <f t="shared" si="36"/>
        <v>7.5583</v>
      </c>
      <c r="H490" s="201">
        <v>7.3643999999999998</v>
      </c>
      <c r="I490" s="201">
        <f t="shared" si="40"/>
        <v>0.19390000000000018</v>
      </c>
      <c r="J490" s="201">
        <f t="shared" si="38"/>
        <v>1.0499999999999815E-2</v>
      </c>
      <c r="K490" s="280">
        <f t="shared" si="39"/>
        <v>5.1369863013697721</v>
      </c>
      <c r="L490" s="201">
        <v>32</v>
      </c>
      <c r="M490" s="207">
        <v>43186.458333333336</v>
      </c>
      <c r="N490" s="207">
        <v>43186.625</v>
      </c>
      <c r="O490" s="197" t="s">
        <v>2550</v>
      </c>
      <c r="P490" s="201"/>
      <c r="AB490" s="110" t="str">
        <f>IFERROR(INDEX('WetLitterbags placem_collection'!$A$3:$A$500,MATCH(A490,'WetLitterbags placem_collection'!$K$4:$K$500,0)),"")</f>
        <v/>
      </c>
      <c r="AC490" s="110" t="str">
        <f>IFERROR(INDEX('WetLitterbags placem_collection'!$A$3:$A$500,MATCH($A490,'WetLitterbags placem_collection'!$O$4:$O$500,0)),"")</f>
        <v/>
      </c>
      <c r="AD490" s="110" t="str">
        <f>IFERROR(INDEX('WetLitterbags placem_collection'!$A$3:$A$500,MATCH($A490,'WetLitterbags placem_collection'!$M$4:$M$500,0)),"")</f>
        <v/>
      </c>
      <c r="AE490" s="110">
        <f>IFERROR(INDEX('WetLitterbags placem_collection'!$A$3:$A$500,MATCH($A490,'WetLitterbags placem_collection'!$Q$4:$Q$500,0)),"")</f>
        <v>137</v>
      </c>
    </row>
    <row r="491" spans="1:31">
      <c r="A491" s="197" t="s">
        <v>926</v>
      </c>
      <c r="C491" s="198">
        <v>167</v>
      </c>
      <c r="D491" s="197">
        <v>1.5136000000000001</v>
      </c>
      <c r="E491" s="201">
        <v>9.0513999999999992</v>
      </c>
      <c r="F491" s="202">
        <v>0.20619999999999999</v>
      </c>
      <c r="G491" s="201">
        <f t="shared" si="36"/>
        <v>9.2576000000000001</v>
      </c>
      <c r="H491" s="201">
        <v>9.0551999999999992</v>
      </c>
      <c r="I491" s="201">
        <f t="shared" si="40"/>
        <v>0.2024000000000008</v>
      </c>
      <c r="J491" s="201">
        <f t="shared" si="38"/>
        <v>3.7999999999991929E-3</v>
      </c>
      <c r="K491" s="280">
        <f t="shared" si="39"/>
        <v>1.8428709990296765</v>
      </c>
      <c r="L491" s="201">
        <v>38</v>
      </c>
      <c r="M491" s="204">
        <v>43212</v>
      </c>
      <c r="AB491" s="110" t="str">
        <f>IFERROR(INDEX('WetLitterbags placem_collection'!$A$3:$A$500,MATCH(A491,'WetLitterbags placem_collection'!$K$4:$K$500,0)),"")</f>
        <v/>
      </c>
      <c r="AC491" s="110" t="str">
        <f>IFERROR(INDEX('WetLitterbags placem_collection'!$A$3:$A$500,MATCH($A491,'WetLitterbags placem_collection'!$O$4:$O$500,0)),"")</f>
        <v/>
      </c>
      <c r="AD491" s="110" t="str">
        <f>IFERROR(INDEX('WetLitterbags placem_collection'!$A$3:$A$500,MATCH($A491,'WetLitterbags placem_collection'!$M$4:$M$500,0)),"")</f>
        <v/>
      </c>
      <c r="AE491" s="110">
        <f>IFERROR(INDEX('WetLitterbags placem_collection'!$A$3:$A$500,MATCH($A491,'WetLitterbags placem_collection'!$Q$4:$Q$500,0)),"")</f>
        <v>166</v>
      </c>
    </row>
    <row r="492" spans="1:31">
      <c r="A492" s="201" t="s">
        <v>925</v>
      </c>
      <c r="C492" s="201">
        <v>189</v>
      </c>
      <c r="D492" s="202">
        <v>1.4669000000000001</v>
      </c>
      <c r="E492" s="202">
        <v>10.901400000000001</v>
      </c>
      <c r="F492" s="202">
        <v>0.20180000000000001</v>
      </c>
      <c r="G492" s="201">
        <f t="shared" si="36"/>
        <v>11.103200000000001</v>
      </c>
      <c r="H492" s="201">
        <v>10.9069</v>
      </c>
      <c r="I492" s="201">
        <f t="shared" si="40"/>
        <v>0.19630000000000081</v>
      </c>
      <c r="J492" s="201">
        <f t="shared" si="38"/>
        <v>5.4999999999992E-3</v>
      </c>
      <c r="K492" s="280">
        <f t="shared" si="39"/>
        <v>2.7254707631314172</v>
      </c>
      <c r="L492" s="201">
        <v>13</v>
      </c>
      <c r="M492" s="201"/>
      <c r="N492" s="201"/>
      <c r="O492" s="201"/>
      <c r="P492" s="201" t="s">
        <v>2557</v>
      </c>
      <c r="AB492" s="110" t="str">
        <f>IFERROR(INDEX('WetLitterbags placem_collection'!$A$3:$A$500,MATCH(A492,'WetLitterbags placem_collection'!$K$4:$K$500,0)),"")</f>
        <v/>
      </c>
      <c r="AC492" s="110" t="str">
        <f>IFERROR(INDEX('WetLitterbags placem_collection'!$A$3:$A$500,MATCH($A492,'WetLitterbags placem_collection'!$O$4:$O$500,0)),"")</f>
        <v/>
      </c>
      <c r="AD492" s="110" t="str">
        <f>IFERROR(INDEX('WetLitterbags placem_collection'!$A$3:$A$500,MATCH($A492,'WetLitterbags placem_collection'!$M$4:$M$500,0)),"")</f>
        <v/>
      </c>
      <c r="AE492" s="110">
        <f>IFERROR(INDEX('WetLitterbags placem_collection'!$A$3:$A$500,MATCH($A492,'WetLitterbags placem_collection'!$Q$4:$Q$500,0)),"")</f>
        <v>188</v>
      </c>
    </row>
    <row r="493" spans="1:31">
      <c r="A493" s="197" t="s">
        <v>924</v>
      </c>
      <c r="C493" s="197">
        <v>27</v>
      </c>
      <c r="D493" s="197">
        <v>1.3244</v>
      </c>
      <c r="E493" s="201">
        <v>8.7601999999999993</v>
      </c>
      <c r="F493" s="202">
        <v>0.20480000000000001</v>
      </c>
      <c r="G493" s="201">
        <f t="shared" si="36"/>
        <v>8.9649999999999999</v>
      </c>
      <c r="H493" s="201">
        <v>8.7674000000000003</v>
      </c>
      <c r="I493" s="201">
        <f t="shared" ref="I493:I524" si="41">(G493-H493)</f>
        <v>0.19759999999999955</v>
      </c>
      <c r="J493" s="201">
        <f t="shared" si="38"/>
        <v>7.200000000000456E-3</v>
      </c>
      <c r="K493" s="280">
        <f t="shared" si="39"/>
        <v>3.5156250000002229</v>
      </c>
      <c r="L493" s="201">
        <v>45</v>
      </c>
      <c r="M493" s="204">
        <v>43212</v>
      </c>
      <c r="AB493" s="110" t="str">
        <f>IFERROR(INDEX('WetLitterbags placem_collection'!$A$3:$A$500,MATCH(A493,'WetLitterbags placem_collection'!$K$4:$K$500,0)),"")</f>
        <v/>
      </c>
      <c r="AC493" s="110" t="str">
        <f>IFERROR(INDEX('WetLitterbags placem_collection'!$A$3:$A$500,MATCH($A493,'WetLitterbags placem_collection'!$O$4:$O$500,0)),"")</f>
        <v/>
      </c>
      <c r="AD493" s="110" t="str">
        <f>IFERROR(INDEX('WetLitterbags placem_collection'!$A$3:$A$500,MATCH($A493,'WetLitterbags placem_collection'!$M$4:$M$500,0)),"")</f>
        <v/>
      </c>
      <c r="AE493" s="110">
        <f>IFERROR(INDEX('WetLitterbags placem_collection'!$A$3:$A$500,MATCH($A493,'WetLitterbags placem_collection'!$Q$4:$Q$500,0)),"")</f>
        <v>26</v>
      </c>
    </row>
    <row r="494" spans="1:31">
      <c r="A494" s="197" t="s">
        <v>923</v>
      </c>
      <c r="C494" s="201">
        <v>201</v>
      </c>
      <c r="D494" s="197">
        <v>1.4213</v>
      </c>
      <c r="E494" s="201">
        <v>9.8872</v>
      </c>
      <c r="F494" s="202">
        <v>0.20599999999999999</v>
      </c>
      <c r="G494" s="201">
        <f t="shared" si="36"/>
        <v>10.0932</v>
      </c>
      <c r="H494" s="201">
        <v>9.8940000000000001</v>
      </c>
      <c r="I494" s="201">
        <f t="shared" si="41"/>
        <v>0.19919999999999938</v>
      </c>
      <c r="J494" s="201">
        <f t="shared" si="38"/>
        <v>6.8000000000006111E-3</v>
      </c>
      <c r="K494" s="280">
        <f t="shared" si="39"/>
        <v>3.3009708737867043</v>
      </c>
      <c r="L494" s="201">
        <v>37</v>
      </c>
      <c r="M494" s="205">
        <v>43211</v>
      </c>
      <c r="AB494" s="110" t="str">
        <f>IFERROR(INDEX('WetLitterbags placem_collection'!$A$3:$A$500,MATCH(A494,'WetLitterbags placem_collection'!$K$4:$K$500,0)),"")</f>
        <v/>
      </c>
      <c r="AC494" s="110" t="str">
        <f>IFERROR(INDEX('WetLitterbags placem_collection'!$A$3:$A$500,MATCH($A494,'WetLitterbags placem_collection'!$O$4:$O$500,0)),"")</f>
        <v/>
      </c>
      <c r="AD494" s="110">
        <f>IFERROR(INDEX('WetLitterbags placem_collection'!$A$3:$A$500,MATCH($A494,'WetLitterbags placem_collection'!$M$4:$M$500,0)),"")</f>
        <v>200</v>
      </c>
      <c r="AE494" s="110" t="str">
        <f>IFERROR(INDEX('WetLitterbags placem_collection'!$A$3:$A$500,MATCH($A494,'WetLitterbags placem_collection'!$Q$4:$Q$500,0)),"")</f>
        <v/>
      </c>
    </row>
    <row r="495" spans="1:31">
      <c r="A495" s="197" t="s">
        <v>922</v>
      </c>
      <c r="C495" s="198">
        <v>197</v>
      </c>
      <c r="D495" s="197">
        <v>1.3661000000000001</v>
      </c>
      <c r="E495" s="197">
        <v>10.510300000000001</v>
      </c>
      <c r="F495" s="202">
        <v>0.20469999999999999</v>
      </c>
      <c r="G495" s="201">
        <f t="shared" si="36"/>
        <v>10.715000000000002</v>
      </c>
      <c r="H495" s="201">
        <v>10.533799999999999</v>
      </c>
      <c r="I495" s="201">
        <f t="shared" si="41"/>
        <v>0.18120000000000225</v>
      </c>
      <c r="J495" s="201">
        <f t="shared" si="38"/>
        <v>2.3499999999997745E-2</v>
      </c>
      <c r="K495" s="280">
        <f t="shared" si="39"/>
        <v>11.480214948704322</v>
      </c>
      <c r="L495" s="201">
        <v>12</v>
      </c>
      <c r="AB495" s="110" t="str">
        <f>IFERROR(INDEX('WetLitterbags placem_collection'!$A$3:$A$500,MATCH(A495,'WetLitterbags placem_collection'!$K$4:$K$500,0)),"")</f>
        <v/>
      </c>
      <c r="AC495" s="110" t="str">
        <f>IFERROR(INDEX('WetLitterbags placem_collection'!$A$3:$A$500,MATCH($A495,'WetLitterbags placem_collection'!$O$4:$O$500,0)),"")</f>
        <v/>
      </c>
      <c r="AD495" s="110">
        <f>IFERROR(INDEX('WetLitterbags placem_collection'!$A$3:$A$500,MATCH($A495,'WetLitterbags placem_collection'!$M$4:$M$500,0)),"")</f>
        <v>196</v>
      </c>
      <c r="AE495" s="110" t="str">
        <f>IFERROR(INDEX('WetLitterbags placem_collection'!$A$3:$A$500,MATCH($A495,'WetLitterbags placem_collection'!$Q$4:$Q$500,0)),"")</f>
        <v/>
      </c>
    </row>
    <row r="496" spans="1:31">
      <c r="A496" s="201" t="s">
        <v>1119</v>
      </c>
      <c r="C496" s="201">
        <v>83</v>
      </c>
      <c r="D496" s="202">
        <v>1.367</v>
      </c>
      <c r="E496" s="201">
        <v>10.1439</v>
      </c>
      <c r="F496" s="202">
        <v>0.20180000000000001</v>
      </c>
      <c r="G496" s="201">
        <f t="shared" si="36"/>
        <v>10.345700000000001</v>
      </c>
      <c r="H496" s="201">
        <v>10.1587</v>
      </c>
      <c r="I496" s="201">
        <f t="shared" si="41"/>
        <v>0.18700000000000117</v>
      </c>
      <c r="J496" s="201">
        <f t="shared" si="38"/>
        <v>1.4799999999998842E-2</v>
      </c>
      <c r="K496" s="280">
        <f t="shared" si="39"/>
        <v>7.3339940535177606</v>
      </c>
      <c r="L496" s="201">
        <v>1</v>
      </c>
      <c r="M496" s="205">
        <v>43206</v>
      </c>
      <c r="N496" s="205">
        <v>43206</v>
      </c>
      <c r="O496" s="201"/>
      <c r="P496" s="201"/>
      <c r="AB496" s="110" t="str">
        <f>IFERROR(INDEX('WetLitterbags placem_collection'!$A$3:$A$500,MATCH(A496,'WetLitterbags placem_collection'!$K$4:$K$500,0)),"")</f>
        <v/>
      </c>
      <c r="AC496" s="110" t="str">
        <f>IFERROR(INDEX('WetLitterbags placem_collection'!$A$3:$A$500,MATCH($A496,'WetLitterbags placem_collection'!$O$4:$O$500,0)),"")</f>
        <v/>
      </c>
      <c r="AD496" s="110" t="str">
        <f>IFERROR(INDEX('WetLitterbags placem_collection'!$A$3:$A$500,MATCH($A496,'WetLitterbags placem_collection'!$M$4:$M$500,0)),"")</f>
        <v/>
      </c>
      <c r="AE496" s="110">
        <f>IFERROR(INDEX('WetLitterbags placem_collection'!$A$3:$A$500,MATCH($A496,'WetLitterbags placem_collection'!$Q$4:$Q$500,0)),"")</f>
        <v>82</v>
      </c>
    </row>
    <row r="497" spans="1:31">
      <c r="A497" s="197" t="s">
        <v>919</v>
      </c>
      <c r="C497" s="198">
        <v>188</v>
      </c>
      <c r="D497" s="197">
        <v>1.397</v>
      </c>
      <c r="E497" s="202">
        <v>8.7731999999999992</v>
      </c>
      <c r="F497" s="202">
        <v>0.20899999999999999</v>
      </c>
      <c r="G497" s="201">
        <f t="shared" si="36"/>
        <v>8.9821999999999989</v>
      </c>
      <c r="H497" s="201">
        <v>8.7799999999999994</v>
      </c>
      <c r="I497" s="201">
        <f t="shared" si="41"/>
        <v>0.20219999999999949</v>
      </c>
      <c r="J497" s="201">
        <f t="shared" si="38"/>
        <v>6.8000000000005001E-3</v>
      </c>
      <c r="K497" s="280">
        <f t="shared" si="39"/>
        <v>3.2535885167466505</v>
      </c>
      <c r="L497" s="201">
        <v>11</v>
      </c>
      <c r="AB497" s="110" t="str">
        <f>IFERROR(INDEX('WetLitterbags placem_collection'!$A$3:$A$500,MATCH(A497,'WetLitterbags placem_collection'!$K$4:$K$500,0)),"")</f>
        <v/>
      </c>
      <c r="AC497" s="110" t="str">
        <f>IFERROR(INDEX('WetLitterbags placem_collection'!$A$3:$A$500,MATCH($A497,'WetLitterbags placem_collection'!$O$4:$O$500,0)),"")</f>
        <v/>
      </c>
      <c r="AD497" s="110" t="str">
        <f>IFERROR(INDEX('WetLitterbags placem_collection'!$A$3:$A$500,MATCH($A497,'WetLitterbags placem_collection'!$M$4:$M$500,0)),"")</f>
        <v/>
      </c>
      <c r="AE497" s="110">
        <f>IFERROR(INDEX('WetLitterbags placem_collection'!$A$3:$A$500,MATCH($A497,'WetLitterbags placem_collection'!$Q$4:$Q$500,0)),"")</f>
        <v>187</v>
      </c>
    </row>
    <row r="498" spans="1:31">
      <c r="A498" s="201" t="s">
        <v>913</v>
      </c>
      <c r="C498" s="201">
        <v>77</v>
      </c>
      <c r="D498" s="201">
        <v>1.891</v>
      </c>
      <c r="E498" s="201">
        <v>10.921099999999999</v>
      </c>
      <c r="F498" s="202">
        <v>0.2026</v>
      </c>
      <c r="G498" s="201">
        <f t="shared" si="36"/>
        <v>11.123699999999999</v>
      </c>
      <c r="H498" s="201">
        <v>10.9733</v>
      </c>
      <c r="I498" s="201">
        <f t="shared" si="41"/>
        <v>0.15039999999999942</v>
      </c>
      <c r="J498" s="201">
        <f t="shared" si="38"/>
        <v>5.2200000000000579E-2</v>
      </c>
      <c r="K498" s="280">
        <f t="shared" si="39"/>
        <v>25.765054294176</v>
      </c>
      <c r="L498" s="201">
        <v>32</v>
      </c>
      <c r="M498" s="205">
        <v>43187</v>
      </c>
      <c r="N498" s="205">
        <v>43187</v>
      </c>
      <c r="O498" s="201"/>
      <c r="P498" s="201"/>
      <c r="AB498" s="110" t="str">
        <f>IFERROR(INDEX('WetLitterbags placem_collection'!$A$3:$A$500,MATCH(A498,'WetLitterbags placem_collection'!$K$4:$K$500,0)),"")</f>
        <v/>
      </c>
      <c r="AC498" s="110" t="str">
        <f>IFERROR(INDEX('WetLitterbags placem_collection'!$A$3:$A$500,MATCH($A498,'WetLitterbags placem_collection'!$O$4:$O$500,0)),"")</f>
        <v/>
      </c>
      <c r="AD498" s="110" t="str">
        <f>IFERROR(INDEX('WetLitterbags placem_collection'!$A$3:$A$500,MATCH($A498,'WetLitterbags placem_collection'!$M$4:$M$500,0)),"")</f>
        <v/>
      </c>
      <c r="AE498" s="110">
        <f>IFERROR(INDEX('WetLitterbags placem_collection'!$A$3:$A$500,MATCH($A498,'WetLitterbags placem_collection'!$Q$4:$Q$500,0)),"")</f>
        <v>76</v>
      </c>
    </row>
    <row r="499" spans="1:31">
      <c r="A499" s="201" t="s">
        <v>1118</v>
      </c>
      <c r="C499" s="201">
        <v>59</v>
      </c>
      <c r="D499" s="201">
        <v>1.1779999999999999</v>
      </c>
      <c r="E499" s="201">
        <v>11.1587</v>
      </c>
      <c r="F499" s="201">
        <v>0.19759999999999955</v>
      </c>
      <c r="G499" s="201">
        <f t="shared" ref="G499:G562" si="42">E499+F499</f>
        <v>11.356299999999999</v>
      </c>
      <c r="H499" s="201">
        <v>11.171099999999999</v>
      </c>
      <c r="I499" s="201">
        <f t="shared" si="41"/>
        <v>0.18520000000000003</v>
      </c>
      <c r="J499" s="201">
        <f t="shared" ref="J499:J562" si="43">F499-I499</f>
        <v>1.2399999999999523E-2</v>
      </c>
      <c r="K499" s="280">
        <f t="shared" ref="K499:K562" si="44">(J499/F499)*100</f>
        <v>6.2753036437244685</v>
      </c>
      <c r="L499" s="201">
        <v>2</v>
      </c>
      <c r="M499" s="205">
        <v>43188</v>
      </c>
      <c r="N499" s="205">
        <v>43188</v>
      </c>
      <c r="O499" s="201"/>
      <c r="P499" s="201"/>
      <c r="U499" s="202" t="s">
        <v>1149</v>
      </c>
      <c r="V499" s="197">
        <v>0.84740000000000004</v>
      </c>
      <c r="W499" s="197">
        <f>(V499-$T$175+F497)</f>
        <v>1.0564</v>
      </c>
      <c r="AB499" s="110" t="str">
        <f>IFERROR(INDEX('WetLitterbags placem_collection'!$A$3:$A$500,MATCH(A499,'WetLitterbags placem_collection'!$K$4:$K$500,0)),"")</f>
        <v/>
      </c>
      <c r="AC499" s="110" t="str">
        <f>IFERROR(INDEX('WetLitterbags placem_collection'!$A$3:$A$500,MATCH($A499,'WetLitterbags placem_collection'!$O$4:$O$500,0)),"")</f>
        <v/>
      </c>
      <c r="AD499" s="110">
        <f>IFERROR(INDEX('WetLitterbags placem_collection'!$A$3:$A$500,MATCH($A499,'WetLitterbags placem_collection'!$M$4:$M$500,0)),"")</f>
        <v>58</v>
      </c>
      <c r="AE499" s="110" t="str">
        <f>IFERROR(INDEX('WetLitterbags placem_collection'!$A$3:$A$500,MATCH($A499,'WetLitterbags placem_collection'!$Q$4:$Q$500,0)),"")</f>
        <v/>
      </c>
    </row>
    <row r="500" spans="1:31">
      <c r="A500" s="206" t="s">
        <v>909</v>
      </c>
      <c r="C500" s="201">
        <v>190</v>
      </c>
      <c r="D500" s="201">
        <v>1.5285</v>
      </c>
      <c r="E500" s="201">
        <v>7.1898999999999997</v>
      </c>
      <c r="F500" s="202">
        <v>0.20300000000000001</v>
      </c>
      <c r="G500" s="201">
        <f t="shared" si="42"/>
        <v>7.3929</v>
      </c>
      <c r="H500" s="201">
        <v>7.1943999999999999</v>
      </c>
      <c r="I500" s="201">
        <f t="shared" si="41"/>
        <v>0.19850000000000012</v>
      </c>
      <c r="J500" s="201">
        <f t="shared" si="43"/>
        <v>4.499999999999893E-3</v>
      </c>
      <c r="K500" s="280">
        <f t="shared" si="44"/>
        <v>2.2167487684728533</v>
      </c>
      <c r="L500" s="201">
        <v>32</v>
      </c>
      <c r="M500" s="205">
        <v>43211</v>
      </c>
      <c r="AB500" s="110" t="str">
        <f>IFERROR(INDEX('WetLitterbags placem_collection'!$A$3:$A$500,MATCH(A500,'WetLitterbags placem_collection'!$K$4:$K$500,0)),"")</f>
        <v/>
      </c>
      <c r="AC500" s="110" t="str">
        <f>IFERROR(INDEX('WetLitterbags placem_collection'!$A$3:$A$500,MATCH($A500,'WetLitterbags placem_collection'!$O$4:$O$500,0)),"")</f>
        <v/>
      </c>
      <c r="AD500" s="110" t="str">
        <f>IFERROR(INDEX('WetLitterbags placem_collection'!$A$3:$A$500,MATCH($A500,'WetLitterbags placem_collection'!$M$4:$M$500,0)),"")</f>
        <v/>
      </c>
      <c r="AE500" s="110">
        <f>IFERROR(INDEX('WetLitterbags placem_collection'!$A$3:$A$500,MATCH($A500,'WetLitterbags placem_collection'!$Q$4:$Q$500,0)),"")</f>
        <v>189</v>
      </c>
    </row>
    <row r="501" spans="1:31">
      <c r="A501" s="206" t="s">
        <v>907</v>
      </c>
      <c r="C501" s="201">
        <v>206</v>
      </c>
      <c r="D501" s="201">
        <v>1.468</v>
      </c>
      <c r="E501" s="201">
        <v>8.9577000000000009</v>
      </c>
      <c r="F501" s="202">
        <v>0.20619999999999999</v>
      </c>
      <c r="G501" s="201">
        <f t="shared" si="42"/>
        <v>9.1639000000000017</v>
      </c>
      <c r="H501" s="201">
        <v>8.9783000000000008</v>
      </c>
      <c r="I501" s="201">
        <f t="shared" si="41"/>
        <v>0.18560000000000088</v>
      </c>
      <c r="J501" s="201">
        <f t="shared" si="43"/>
        <v>2.0599999999999119E-2</v>
      </c>
      <c r="K501" s="280">
        <f t="shared" si="44"/>
        <v>9.9903006789520461</v>
      </c>
      <c r="L501" s="201">
        <v>12</v>
      </c>
      <c r="M501" s="205">
        <v>43187</v>
      </c>
      <c r="N501" s="205">
        <v>43187</v>
      </c>
      <c r="O501" s="201"/>
      <c r="P501" s="201"/>
      <c r="AB501" s="110" t="str">
        <f>IFERROR(INDEX('WetLitterbags placem_collection'!$A$3:$A$500,MATCH(A501,'WetLitterbags placem_collection'!$K$4:$K$500,0)),"")</f>
        <v/>
      </c>
      <c r="AC501" s="110" t="str">
        <f>IFERROR(INDEX('WetLitterbags placem_collection'!$A$3:$A$500,MATCH($A501,'WetLitterbags placem_collection'!$O$4:$O$500,0)),"")</f>
        <v/>
      </c>
      <c r="AD501" s="110">
        <f>IFERROR(INDEX('WetLitterbags placem_collection'!$A$3:$A$500,MATCH($A501,'WetLitterbags placem_collection'!$M$4:$M$500,0)),"")</f>
        <v>205</v>
      </c>
      <c r="AE501" s="110" t="str">
        <f>IFERROR(INDEX('WetLitterbags placem_collection'!$A$3:$A$500,MATCH($A501,'WetLitterbags placem_collection'!$Q$4:$Q$500,0)),"")</f>
        <v/>
      </c>
    </row>
    <row r="502" spans="1:31">
      <c r="A502" s="197" t="s">
        <v>906</v>
      </c>
      <c r="C502" s="197">
        <v>79</v>
      </c>
      <c r="D502" s="197">
        <v>1.3266</v>
      </c>
      <c r="E502" s="197">
        <v>19.690200000000001</v>
      </c>
      <c r="F502" s="197">
        <v>0.2044</v>
      </c>
      <c r="G502" s="197">
        <f t="shared" si="42"/>
        <v>19.894600000000001</v>
      </c>
      <c r="H502" s="197">
        <v>19.707999999999998</v>
      </c>
      <c r="I502" s="197">
        <f t="shared" si="41"/>
        <v>0.1866000000000021</v>
      </c>
      <c r="J502" s="201">
        <f t="shared" si="43"/>
        <v>1.7799999999997901E-2</v>
      </c>
      <c r="K502" s="280">
        <f t="shared" si="44"/>
        <v>8.7084148727974071</v>
      </c>
      <c r="L502" s="197">
        <v>22</v>
      </c>
      <c r="M502" s="197" t="s">
        <v>2580</v>
      </c>
      <c r="N502" s="197" t="s">
        <v>2579</v>
      </c>
      <c r="O502" s="197" t="s">
        <v>2556</v>
      </c>
      <c r="AB502" s="110" t="str">
        <f>IFERROR(INDEX('WetLitterbags placem_collection'!$A$3:$A$500,MATCH(A502,'WetLitterbags placem_collection'!$K$4:$K$500,0)),"")</f>
        <v/>
      </c>
      <c r="AC502" s="110" t="str">
        <f>IFERROR(INDEX('WetLitterbags placem_collection'!$A$3:$A$500,MATCH($A502,'WetLitterbags placem_collection'!$O$4:$O$500,0)),"")</f>
        <v/>
      </c>
      <c r="AD502" s="110">
        <f>IFERROR(INDEX('WetLitterbags placem_collection'!$A$3:$A$500,MATCH($A502,'WetLitterbags placem_collection'!$M$4:$M$500,0)),"")</f>
        <v>78</v>
      </c>
      <c r="AE502" s="110" t="str">
        <f>IFERROR(INDEX('WetLitterbags placem_collection'!$A$3:$A$500,MATCH($A502,'WetLitterbags placem_collection'!$Q$4:$Q$500,0)),"")</f>
        <v/>
      </c>
    </row>
    <row r="503" spans="1:31">
      <c r="A503" s="197" t="s">
        <v>1117</v>
      </c>
      <c r="C503" s="197">
        <v>34</v>
      </c>
      <c r="D503" s="197">
        <v>1.2261</v>
      </c>
      <c r="E503" s="197">
        <v>8.1184999999999992</v>
      </c>
      <c r="F503" s="197">
        <v>0.2031</v>
      </c>
      <c r="G503" s="197">
        <f t="shared" si="42"/>
        <v>8.3215999999999983</v>
      </c>
      <c r="H503" s="197">
        <v>8.1336999999999993</v>
      </c>
      <c r="I503" s="197">
        <f t="shared" si="41"/>
        <v>0.18789999999999907</v>
      </c>
      <c r="J503" s="201">
        <f t="shared" si="43"/>
        <v>1.5200000000000935E-2</v>
      </c>
      <c r="K503" s="280">
        <f t="shared" si="44"/>
        <v>7.4839980305272942</v>
      </c>
      <c r="L503" s="197">
        <v>9</v>
      </c>
      <c r="M503" s="197" t="s">
        <v>2586</v>
      </c>
      <c r="N503" s="197" t="s">
        <v>2585</v>
      </c>
      <c r="O503" s="197" t="s">
        <v>2550</v>
      </c>
      <c r="AB503" s="110" t="str">
        <f>IFERROR(INDEX('WetLitterbags placem_collection'!$A$3:$A$500,MATCH(A503,'WetLitterbags placem_collection'!$K$4:$K$500,0)),"")</f>
        <v/>
      </c>
      <c r="AC503" s="110" t="str">
        <f>IFERROR(INDEX('WetLitterbags placem_collection'!$A$3:$A$500,MATCH($A503,'WetLitterbags placem_collection'!$O$4:$O$500,0)),"")</f>
        <v/>
      </c>
      <c r="AD503" s="110" t="str">
        <f>IFERROR(INDEX('WetLitterbags placem_collection'!$A$3:$A$500,MATCH($A503,'WetLitterbags placem_collection'!$M$4:$M$500,0)),"")</f>
        <v/>
      </c>
      <c r="AE503" s="110">
        <f>IFERROR(INDEX('WetLitterbags placem_collection'!$A$3:$A$500,MATCH($A503,'WetLitterbags placem_collection'!$Q$4:$Q$500,0)),"")</f>
        <v>33</v>
      </c>
    </row>
    <row r="504" spans="1:31">
      <c r="A504" s="206" t="s">
        <v>900</v>
      </c>
      <c r="C504" s="201">
        <v>216</v>
      </c>
      <c r="D504" s="201">
        <v>1.2964</v>
      </c>
      <c r="E504" s="201">
        <v>9.1974999999999998</v>
      </c>
      <c r="F504" s="202">
        <v>0.2026</v>
      </c>
      <c r="G504" s="201">
        <f t="shared" si="42"/>
        <v>9.4001000000000001</v>
      </c>
      <c r="H504" s="201">
        <v>9.2410999999999994</v>
      </c>
      <c r="I504" s="201">
        <f t="shared" si="41"/>
        <v>0.1590000000000007</v>
      </c>
      <c r="J504" s="201">
        <f t="shared" si="43"/>
        <v>4.3599999999999306E-2</v>
      </c>
      <c r="K504" s="280">
        <f t="shared" si="44"/>
        <v>21.520236920039142</v>
      </c>
      <c r="L504" s="201">
        <v>23</v>
      </c>
      <c r="M504" s="205">
        <v>43211</v>
      </c>
      <c r="AB504" s="110" t="str">
        <f>IFERROR(INDEX('WetLitterbags placem_collection'!$A$3:$A$500,MATCH(A504,'WetLitterbags placem_collection'!$K$4:$K$500,0)),"")</f>
        <v/>
      </c>
      <c r="AC504" s="110" t="str">
        <f>IFERROR(INDEX('WetLitterbags placem_collection'!$A$3:$A$500,MATCH($A504,'WetLitterbags placem_collection'!$O$4:$O$500,0)),"")</f>
        <v/>
      </c>
      <c r="AD504" s="110">
        <f>IFERROR(INDEX('WetLitterbags placem_collection'!$A$3:$A$500,MATCH($A504,'WetLitterbags placem_collection'!$M$4:$M$500,0)),"")</f>
        <v>215</v>
      </c>
      <c r="AE504" s="110" t="str">
        <f>IFERROR(INDEX('WetLitterbags placem_collection'!$A$3:$A$500,MATCH($A504,'WetLitterbags placem_collection'!$Q$4:$Q$500,0)),"")</f>
        <v/>
      </c>
    </row>
    <row r="505" spans="1:31">
      <c r="A505" s="201" t="s">
        <v>1116</v>
      </c>
      <c r="C505" s="201">
        <v>195</v>
      </c>
      <c r="D505" s="201">
        <v>1.1187</v>
      </c>
      <c r="E505" s="201">
        <v>10.8569</v>
      </c>
      <c r="F505" s="201">
        <v>0.20469999999999999</v>
      </c>
      <c r="G505" s="201">
        <f t="shared" si="42"/>
        <v>11.0616</v>
      </c>
      <c r="H505" s="201">
        <v>10.866300000000001</v>
      </c>
      <c r="I505" s="201">
        <f t="shared" si="41"/>
        <v>0.19529999999999959</v>
      </c>
      <c r="J505" s="201">
        <f t="shared" si="43"/>
        <v>9.400000000000408E-3</v>
      </c>
      <c r="K505" s="280">
        <f t="shared" si="44"/>
        <v>4.592085979482369</v>
      </c>
      <c r="L505" s="201">
        <v>13</v>
      </c>
      <c r="M505" s="203">
        <v>43164.628472222219</v>
      </c>
      <c r="N505" s="203">
        <v>43164.795138888891</v>
      </c>
      <c r="O505" s="197" t="s">
        <v>2550</v>
      </c>
      <c r="P505" s="201"/>
      <c r="AB505" s="110" t="str">
        <f>IFERROR(INDEX('WetLitterbags placem_collection'!$A$3:$A$500,MATCH(A505,'WetLitterbags placem_collection'!$K$4:$K$500,0)),"")</f>
        <v/>
      </c>
      <c r="AC505" s="110" t="str">
        <f>IFERROR(INDEX('WetLitterbags placem_collection'!$A$3:$A$500,MATCH($A505,'WetLitterbags placem_collection'!$O$4:$O$500,0)),"")</f>
        <v/>
      </c>
      <c r="AD505" s="110" t="str">
        <f>IFERROR(INDEX('WetLitterbags placem_collection'!$A$3:$A$500,MATCH($A505,'WetLitterbags placem_collection'!$M$4:$M$500,0)),"")</f>
        <v/>
      </c>
      <c r="AE505" s="110">
        <f>IFERROR(INDEX('WetLitterbags placem_collection'!$A$3:$A$500,MATCH($A505,'WetLitterbags placem_collection'!$Q$4:$Q$500,0)),"")</f>
        <v>194</v>
      </c>
    </row>
    <row r="506" spans="1:31">
      <c r="A506" s="113" t="s">
        <v>1116</v>
      </c>
      <c r="C506" s="197">
        <v>195</v>
      </c>
      <c r="D506" s="197">
        <v>1.4236</v>
      </c>
      <c r="E506" s="201">
        <v>11.1591</v>
      </c>
      <c r="F506" s="202">
        <v>0.2039</v>
      </c>
      <c r="G506" s="201">
        <f t="shared" si="42"/>
        <v>11.363000000000001</v>
      </c>
      <c r="H506" s="201">
        <v>11.1755</v>
      </c>
      <c r="I506" s="201">
        <f t="shared" si="41"/>
        <v>0.18750000000000178</v>
      </c>
      <c r="J506" s="201">
        <f t="shared" si="43"/>
        <v>1.6399999999998222E-2</v>
      </c>
      <c r="K506" s="280">
        <f t="shared" si="44"/>
        <v>8.0431584109849048</v>
      </c>
      <c r="L506" s="201">
        <v>40</v>
      </c>
      <c r="M506" s="205">
        <v>43211</v>
      </c>
      <c r="AB506" s="110" t="str">
        <f>IFERROR(INDEX('WetLitterbags placem_collection'!$A$3:$A$500,MATCH(A506,'WetLitterbags placem_collection'!$K$4:$K$500,0)),"")</f>
        <v/>
      </c>
      <c r="AC506" s="110" t="str">
        <f>IFERROR(INDEX('WetLitterbags placem_collection'!$A$3:$A$500,MATCH($A506,'WetLitterbags placem_collection'!$O$4:$O$500,0)),"")</f>
        <v/>
      </c>
      <c r="AD506" s="110" t="str">
        <f>IFERROR(INDEX('WetLitterbags placem_collection'!$A$3:$A$500,MATCH($A506,'WetLitterbags placem_collection'!$M$4:$M$500,0)),"")</f>
        <v/>
      </c>
      <c r="AE506" s="110">
        <f>IFERROR(INDEX('WetLitterbags placem_collection'!$A$3:$A$500,MATCH($A506,'WetLitterbags placem_collection'!$Q$4:$Q$500,0)),"")</f>
        <v>194</v>
      </c>
    </row>
    <row r="507" spans="1:31">
      <c r="A507" s="197" t="s">
        <v>891</v>
      </c>
      <c r="C507" s="198">
        <v>220</v>
      </c>
      <c r="D507" s="197">
        <v>1.3202</v>
      </c>
      <c r="E507" s="202">
        <v>8.7681000000000004</v>
      </c>
      <c r="F507" s="202">
        <v>0.20599999999999999</v>
      </c>
      <c r="G507" s="201">
        <f t="shared" si="42"/>
        <v>8.9741</v>
      </c>
      <c r="H507" s="201">
        <v>8.7797000000000001</v>
      </c>
      <c r="I507" s="201">
        <f t="shared" si="41"/>
        <v>0.19439999999999991</v>
      </c>
      <c r="J507" s="201">
        <f t="shared" si="43"/>
        <v>1.1600000000000082E-2</v>
      </c>
      <c r="K507" s="280">
        <f t="shared" si="44"/>
        <v>5.6310679611650896</v>
      </c>
      <c r="L507" s="201">
        <v>6</v>
      </c>
      <c r="AB507" s="110" t="str">
        <f>IFERROR(INDEX('WetLitterbags placem_collection'!$A$3:$A$500,MATCH(A507,'WetLitterbags placem_collection'!$K$4:$K$500,0)),"")</f>
        <v/>
      </c>
      <c r="AC507" s="110" t="str">
        <f>IFERROR(INDEX('WetLitterbags placem_collection'!$A$3:$A$500,MATCH($A507,'WetLitterbags placem_collection'!$O$4:$O$500,0)),"")</f>
        <v/>
      </c>
      <c r="AD507" s="110">
        <f>IFERROR(INDEX('WetLitterbags placem_collection'!$A$3:$A$500,MATCH($A507,'WetLitterbags placem_collection'!$M$4:$M$500,0)),"")</f>
        <v>219</v>
      </c>
      <c r="AE507" s="110" t="str">
        <f>IFERROR(INDEX('WetLitterbags placem_collection'!$A$3:$A$500,MATCH($A507,'WetLitterbags placem_collection'!$Q$4:$Q$500,0)),"")</f>
        <v/>
      </c>
    </row>
    <row r="508" spans="1:31">
      <c r="A508" s="201" t="s">
        <v>890</v>
      </c>
      <c r="C508" s="201">
        <v>69</v>
      </c>
      <c r="D508" s="202">
        <v>1.5922000000000001</v>
      </c>
      <c r="E508" s="202">
        <v>7.8013000000000003</v>
      </c>
      <c r="F508" s="202">
        <v>0.2039</v>
      </c>
      <c r="G508" s="201">
        <f t="shared" si="42"/>
        <v>8.0052000000000003</v>
      </c>
      <c r="H508" s="201">
        <v>7.8299000000000003</v>
      </c>
      <c r="I508" s="201">
        <f t="shared" si="41"/>
        <v>0.17530000000000001</v>
      </c>
      <c r="J508" s="201">
        <f t="shared" si="43"/>
        <v>2.8599999999999987E-2</v>
      </c>
      <c r="K508" s="280">
        <f t="shared" si="44"/>
        <v>14.026483570377628</v>
      </c>
      <c r="L508" s="201">
        <v>17</v>
      </c>
      <c r="M508" s="203">
        <v>43181.645833333336</v>
      </c>
      <c r="N508" s="203">
        <v>43181.833333333336</v>
      </c>
      <c r="O508" s="201" t="s">
        <v>2556</v>
      </c>
      <c r="P508" s="201"/>
      <c r="AB508" s="110" t="str">
        <f>IFERROR(INDEX('WetLitterbags placem_collection'!$A$3:$A$500,MATCH(A508,'WetLitterbags placem_collection'!$K$4:$K$500,0)),"")</f>
        <v/>
      </c>
      <c r="AC508" s="110" t="str">
        <f>IFERROR(INDEX('WetLitterbags placem_collection'!$A$3:$A$500,MATCH($A508,'WetLitterbags placem_collection'!$O$4:$O$500,0)),"")</f>
        <v/>
      </c>
      <c r="AD508" s="110" t="str">
        <f>IFERROR(INDEX('WetLitterbags placem_collection'!$A$3:$A$500,MATCH($A508,'WetLitterbags placem_collection'!$M$4:$M$500,0)),"")</f>
        <v/>
      </c>
      <c r="AE508" s="110">
        <f>IFERROR(INDEX('WetLitterbags placem_collection'!$A$3:$A$500,MATCH($A508,'WetLitterbags placem_collection'!$Q$4:$Q$500,0)),"")</f>
        <v>68</v>
      </c>
    </row>
    <row r="509" spans="1:31">
      <c r="A509" s="197" t="s">
        <v>888</v>
      </c>
      <c r="C509" s="197">
        <v>161</v>
      </c>
      <c r="D509" s="197">
        <v>1.4676</v>
      </c>
      <c r="E509" s="197">
        <v>9.1572999999999993</v>
      </c>
      <c r="F509" s="197">
        <v>0.2084</v>
      </c>
      <c r="G509" s="197">
        <f t="shared" si="42"/>
        <v>9.3656999999999986</v>
      </c>
      <c r="H509" s="197">
        <v>9.1624999999999996</v>
      </c>
      <c r="I509" s="197">
        <f t="shared" si="41"/>
        <v>0.20319999999999894</v>
      </c>
      <c r="J509" s="201">
        <f t="shared" si="43"/>
        <v>5.2000000000010649E-3</v>
      </c>
      <c r="K509" s="280">
        <f t="shared" si="44"/>
        <v>2.4952015355091484</v>
      </c>
      <c r="L509" s="197">
        <v>1</v>
      </c>
      <c r="M509" s="197">
        <v>43160.520833333336</v>
      </c>
      <c r="N509" s="197">
        <v>43160.6875</v>
      </c>
      <c r="O509" s="197" t="s">
        <v>2550</v>
      </c>
      <c r="AB509" s="110" t="str">
        <f>IFERROR(INDEX('WetLitterbags placem_collection'!$A$3:$A$500,MATCH(A509,'WetLitterbags placem_collection'!$K$4:$K$500,0)),"")</f>
        <v/>
      </c>
      <c r="AC509" s="110" t="str">
        <f>IFERROR(INDEX('WetLitterbags placem_collection'!$A$3:$A$500,MATCH($A509,'WetLitterbags placem_collection'!$O$4:$O$500,0)),"")</f>
        <v/>
      </c>
      <c r="AD509" s="110" t="str">
        <f>IFERROR(INDEX('WetLitterbags placem_collection'!$A$3:$A$500,MATCH($A509,'WetLitterbags placem_collection'!$M$4:$M$500,0)),"")</f>
        <v/>
      </c>
      <c r="AE509" s="110">
        <f>IFERROR(INDEX('WetLitterbags placem_collection'!$A$3:$A$500,MATCH($A509,'WetLitterbags placem_collection'!$Q$4:$Q$500,0)),"")</f>
        <v>160</v>
      </c>
    </row>
    <row r="510" spans="1:31">
      <c r="A510" s="197" t="s">
        <v>886</v>
      </c>
      <c r="C510" s="198">
        <v>167</v>
      </c>
      <c r="D510" s="197">
        <v>1.5271999999999999</v>
      </c>
      <c r="E510" s="202">
        <v>8.0466999999999995</v>
      </c>
      <c r="F510" s="202">
        <v>0.20660000000000001</v>
      </c>
      <c r="G510" s="201">
        <f t="shared" si="42"/>
        <v>8.2532999999999994</v>
      </c>
      <c r="H510" s="201">
        <v>8.0503</v>
      </c>
      <c r="I510" s="201">
        <f t="shared" si="41"/>
        <v>0.2029999999999994</v>
      </c>
      <c r="J510" s="201">
        <f t="shared" si="43"/>
        <v>3.6000000000006027E-3</v>
      </c>
      <c r="K510" s="280">
        <f t="shared" si="44"/>
        <v>1.7424975798647639</v>
      </c>
      <c r="L510" s="201">
        <v>34</v>
      </c>
      <c r="AB510" s="110" t="str">
        <f>IFERROR(INDEX('WetLitterbags placem_collection'!$A$3:$A$500,MATCH(A510,'WetLitterbags placem_collection'!$K$4:$K$500,0)),"")</f>
        <v/>
      </c>
      <c r="AC510" s="110" t="str">
        <f>IFERROR(INDEX('WetLitterbags placem_collection'!$A$3:$A$500,MATCH($A510,'WetLitterbags placem_collection'!$O$4:$O$500,0)),"")</f>
        <v/>
      </c>
      <c r="AD510" s="110">
        <f>IFERROR(INDEX('WetLitterbags placem_collection'!$A$3:$A$500,MATCH($A510,'WetLitterbags placem_collection'!$M$4:$M$500,0)),"")</f>
        <v>166</v>
      </c>
      <c r="AE510" s="110" t="str">
        <f>IFERROR(INDEX('WetLitterbags placem_collection'!$A$3:$A$500,MATCH($A510,'WetLitterbags placem_collection'!$Q$4:$Q$500,0)),"")</f>
        <v/>
      </c>
    </row>
    <row r="511" spans="1:31">
      <c r="A511" s="201" t="s">
        <v>883</v>
      </c>
      <c r="C511" s="201">
        <v>207</v>
      </c>
      <c r="D511" s="201">
        <v>1.3046</v>
      </c>
      <c r="E511" s="202">
        <v>9.1372999999999998</v>
      </c>
      <c r="F511" s="202">
        <v>0.20169999999999999</v>
      </c>
      <c r="G511" s="201">
        <f t="shared" si="42"/>
        <v>9.3390000000000004</v>
      </c>
      <c r="H511" s="201">
        <v>9.1700999999999997</v>
      </c>
      <c r="I511" s="201">
        <f t="shared" si="41"/>
        <v>0.16890000000000072</v>
      </c>
      <c r="J511" s="201">
        <f t="shared" si="43"/>
        <v>3.2799999999999274E-2</v>
      </c>
      <c r="K511" s="280">
        <f t="shared" si="44"/>
        <v>16.261774913237122</v>
      </c>
      <c r="L511" s="201">
        <v>6</v>
      </c>
      <c r="M511" s="205">
        <v>43197</v>
      </c>
      <c r="N511" s="205">
        <v>43197</v>
      </c>
      <c r="O511" s="201"/>
      <c r="P511" s="201"/>
      <c r="AB511" s="110" t="str">
        <f>IFERROR(INDEX('WetLitterbags placem_collection'!$A$3:$A$500,MATCH(A511,'WetLitterbags placem_collection'!$K$4:$K$500,0)),"")</f>
        <v/>
      </c>
      <c r="AC511" s="110" t="str">
        <f>IFERROR(INDEX('WetLitterbags placem_collection'!$A$3:$A$500,MATCH($A511,'WetLitterbags placem_collection'!$O$4:$O$500,0)),"")</f>
        <v/>
      </c>
      <c r="AD511" s="110">
        <f>IFERROR(INDEX('WetLitterbags placem_collection'!$A$3:$A$500,MATCH($A511,'WetLitterbags placem_collection'!$M$4:$M$500,0)),"")</f>
        <v>206</v>
      </c>
      <c r="AE511" s="110" t="str">
        <f>IFERROR(INDEX('WetLitterbags placem_collection'!$A$3:$A$500,MATCH($A511,'WetLitterbags placem_collection'!$Q$4:$Q$500,0)),"")</f>
        <v/>
      </c>
    </row>
    <row r="512" spans="1:31">
      <c r="A512" s="197" t="s">
        <v>882</v>
      </c>
      <c r="C512" s="198">
        <v>166</v>
      </c>
      <c r="D512" s="197">
        <v>1.5031000000000001</v>
      </c>
      <c r="E512" s="202">
        <v>9.1373999999999995</v>
      </c>
      <c r="F512" s="202">
        <v>0.20180000000000001</v>
      </c>
      <c r="G512" s="201">
        <f t="shared" si="42"/>
        <v>9.3391999999999999</v>
      </c>
      <c r="H512" s="201">
        <v>9.1412999999999993</v>
      </c>
      <c r="I512" s="201">
        <f t="shared" si="41"/>
        <v>0.19790000000000063</v>
      </c>
      <c r="J512" s="201">
        <f t="shared" si="43"/>
        <v>3.8999999999993762E-3</v>
      </c>
      <c r="K512" s="280">
        <f t="shared" si="44"/>
        <v>1.9326065411295223</v>
      </c>
      <c r="L512" s="201">
        <v>15</v>
      </c>
      <c r="AB512" s="110" t="str">
        <f>IFERROR(INDEX('WetLitterbags placem_collection'!$A$3:$A$500,MATCH(A512,'WetLitterbags placem_collection'!$K$4:$K$500,0)),"")</f>
        <v/>
      </c>
      <c r="AC512" s="110" t="str">
        <f>IFERROR(INDEX('WetLitterbags placem_collection'!$A$3:$A$500,MATCH($A512,'WetLitterbags placem_collection'!$O$4:$O$500,0)),"")</f>
        <v/>
      </c>
      <c r="AD512" s="110" t="str">
        <f>IFERROR(INDEX('WetLitterbags placem_collection'!$A$3:$A$500,MATCH($A512,'WetLitterbags placem_collection'!$M$4:$M$500,0)),"")</f>
        <v/>
      </c>
      <c r="AE512" s="110">
        <f>IFERROR(INDEX('WetLitterbags placem_collection'!$A$3:$A$500,MATCH($A512,'WetLitterbags placem_collection'!$Q$4:$Q$500,0)),"")</f>
        <v>165</v>
      </c>
    </row>
    <row r="513" spans="1:31">
      <c r="A513" s="206" t="s">
        <v>1115</v>
      </c>
      <c r="C513" s="201">
        <v>102</v>
      </c>
      <c r="D513" s="201">
        <v>1.357</v>
      </c>
      <c r="E513" s="202">
        <v>8.1191999999999993</v>
      </c>
      <c r="F513" s="202">
        <v>0.20119999999999999</v>
      </c>
      <c r="G513" s="201">
        <f t="shared" si="42"/>
        <v>8.3203999999999994</v>
      </c>
      <c r="H513" s="201">
        <v>8.1302000000000003</v>
      </c>
      <c r="I513" s="201">
        <f t="shared" si="41"/>
        <v>0.19019999999999904</v>
      </c>
      <c r="J513" s="201">
        <f t="shared" si="43"/>
        <v>1.1000000000000953E-2</v>
      </c>
      <c r="K513" s="280">
        <f t="shared" si="44"/>
        <v>5.4671968190859612</v>
      </c>
      <c r="L513" s="201">
        <v>1</v>
      </c>
      <c r="M513" s="203">
        <v>43181.645833333336</v>
      </c>
      <c r="N513" s="203">
        <v>43181.833333333336</v>
      </c>
      <c r="O513" s="201" t="s">
        <v>2556</v>
      </c>
      <c r="P513" s="201"/>
      <c r="AB513" s="110" t="str">
        <f>IFERROR(INDEX('WetLitterbags placem_collection'!$A$3:$A$500,MATCH(A513,'WetLitterbags placem_collection'!$K$4:$K$500,0)),"")</f>
        <v/>
      </c>
      <c r="AC513" s="110" t="str">
        <f>IFERROR(INDEX('WetLitterbags placem_collection'!$A$3:$A$500,MATCH($A513,'WetLitterbags placem_collection'!$O$4:$O$500,0)),"")</f>
        <v/>
      </c>
      <c r="AD513" s="110" t="str">
        <f>IFERROR(INDEX('WetLitterbags placem_collection'!$A$3:$A$500,MATCH($A513,'WetLitterbags placem_collection'!$M$4:$M$500,0)),"")</f>
        <v/>
      </c>
      <c r="AE513" s="110">
        <f>IFERROR(INDEX('WetLitterbags placem_collection'!$A$3:$A$500,MATCH($A513,'WetLitterbags placem_collection'!$Q$4:$Q$500,0)),"")</f>
        <v>101</v>
      </c>
    </row>
    <row r="514" spans="1:31">
      <c r="A514" s="201" t="s">
        <v>879</v>
      </c>
      <c r="C514" s="201">
        <v>177</v>
      </c>
      <c r="D514" s="201">
        <v>1.4048</v>
      </c>
      <c r="E514" s="201">
        <v>9.7731999999999992</v>
      </c>
      <c r="F514" s="202">
        <v>0.20100000000000001</v>
      </c>
      <c r="G514" s="201">
        <f t="shared" si="42"/>
        <v>9.9741999999999997</v>
      </c>
      <c r="H514" s="201">
        <v>9.7787000000000006</v>
      </c>
      <c r="I514" s="201">
        <f t="shared" si="41"/>
        <v>0.19549999999999912</v>
      </c>
      <c r="J514" s="201">
        <f t="shared" si="43"/>
        <v>5.5000000000008931E-3</v>
      </c>
      <c r="K514" s="280">
        <f t="shared" si="44"/>
        <v>2.7363184079606433</v>
      </c>
      <c r="L514" s="201">
        <v>37</v>
      </c>
      <c r="M514" s="205">
        <v>43187</v>
      </c>
      <c r="N514" s="205">
        <v>43187</v>
      </c>
      <c r="O514" s="201"/>
      <c r="P514" s="201"/>
      <c r="AB514" s="110" t="str">
        <f>IFERROR(INDEX('WetLitterbags placem_collection'!$A$3:$A$500,MATCH(A514,'WetLitterbags placem_collection'!$K$4:$K$500,0)),"")</f>
        <v/>
      </c>
      <c r="AC514" s="110" t="str">
        <f>IFERROR(INDEX('WetLitterbags placem_collection'!$A$3:$A$500,MATCH($A514,'WetLitterbags placem_collection'!$O$4:$O$500,0)),"")</f>
        <v/>
      </c>
      <c r="AD514" s="110">
        <f>IFERROR(INDEX('WetLitterbags placem_collection'!$A$3:$A$500,MATCH($A514,'WetLitterbags placem_collection'!$M$4:$M$500,0)),"")</f>
        <v>176</v>
      </c>
      <c r="AE514" s="110" t="str">
        <f>IFERROR(INDEX('WetLitterbags placem_collection'!$A$3:$A$500,MATCH($A514,'WetLitterbags placem_collection'!$Q$4:$Q$500,0)),"")</f>
        <v/>
      </c>
    </row>
    <row r="515" spans="1:31">
      <c r="A515" s="206" t="s">
        <v>878</v>
      </c>
      <c r="C515" s="201">
        <v>192</v>
      </c>
      <c r="D515" s="201">
        <v>0.82550000000000001</v>
      </c>
      <c r="E515" s="202">
        <v>11.0334</v>
      </c>
      <c r="F515" s="202">
        <v>0.20669999999999999</v>
      </c>
      <c r="G515" s="201">
        <f t="shared" si="42"/>
        <v>11.2401</v>
      </c>
      <c r="H515" s="201">
        <v>11.125299999999999</v>
      </c>
      <c r="I515" s="201">
        <f t="shared" si="41"/>
        <v>0.11480000000000068</v>
      </c>
      <c r="J515" s="201">
        <f t="shared" si="43"/>
        <v>9.1899999999999316E-2</v>
      </c>
      <c r="K515" s="280">
        <f t="shared" si="44"/>
        <v>44.460570875664885</v>
      </c>
      <c r="L515" s="201">
        <v>15</v>
      </c>
      <c r="M515" s="207">
        <v>43185.385416666664</v>
      </c>
      <c r="N515" s="201"/>
      <c r="O515" s="201" t="s">
        <v>2556</v>
      </c>
      <c r="P515" s="201"/>
      <c r="AB515" s="110" t="str">
        <f>IFERROR(INDEX('WetLitterbags placem_collection'!$A$3:$A$500,MATCH(A515,'WetLitterbags placem_collection'!$K$4:$K$500,0)),"")</f>
        <v/>
      </c>
      <c r="AC515" s="110" t="str">
        <f>IFERROR(INDEX('WetLitterbags placem_collection'!$A$3:$A$500,MATCH($A515,'WetLitterbags placem_collection'!$O$4:$O$500,0)),"")</f>
        <v/>
      </c>
      <c r="AD515" s="110">
        <f>IFERROR(INDEX('WetLitterbags placem_collection'!$A$3:$A$500,MATCH($A515,'WetLitterbags placem_collection'!$M$4:$M$500,0)),"")</f>
        <v>191</v>
      </c>
      <c r="AE515" s="110" t="str">
        <f>IFERROR(INDEX('WetLitterbags placem_collection'!$A$3:$A$500,MATCH($A515,'WetLitterbags placem_collection'!$Q$4:$Q$500,0)),"")</f>
        <v/>
      </c>
    </row>
    <row r="516" spans="1:31">
      <c r="A516" s="206" t="s">
        <v>877</v>
      </c>
      <c r="C516" s="201">
        <v>164</v>
      </c>
      <c r="D516" s="201">
        <v>1.4674</v>
      </c>
      <c r="E516" s="201">
        <v>8.2187000000000001</v>
      </c>
      <c r="F516" s="202">
        <v>0.20730000000000001</v>
      </c>
      <c r="G516" s="201">
        <f t="shared" si="42"/>
        <v>8.4260000000000002</v>
      </c>
      <c r="H516" s="201">
        <v>8.2226999999999997</v>
      </c>
      <c r="I516" s="197">
        <f t="shared" si="41"/>
        <v>0.20330000000000048</v>
      </c>
      <c r="J516" s="201">
        <f t="shared" si="43"/>
        <v>3.9999999999995317E-3</v>
      </c>
      <c r="K516" s="280">
        <f t="shared" si="44"/>
        <v>1.9295706705255817</v>
      </c>
      <c r="L516" s="201">
        <v>24</v>
      </c>
      <c r="M516" s="205">
        <v>43187</v>
      </c>
      <c r="N516" s="205">
        <v>43187</v>
      </c>
      <c r="O516" s="201"/>
      <c r="P516" s="201" t="s">
        <v>2562</v>
      </c>
      <c r="AB516" s="110" t="str">
        <f>IFERROR(INDEX('WetLitterbags placem_collection'!$A$3:$A$500,MATCH(A516,'WetLitterbags placem_collection'!$K$4:$K$500,0)),"")</f>
        <v/>
      </c>
      <c r="AC516" s="110" t="str">
        <f>IFERROR(INDEX('WetLitterbags placem_collection'!$A$3:$A$500,MATCH($A516,'WetLitterbags placem_collection'!$O$4:$O$500,0)),"")</f>
        <v/>
      </c>
      <c r="AD516" s="110" t="str">
        <f>IFERROR(INDEX('WetLitterbags placem_collection'!$A$3:$A$500,MATCH($A516,'WetLitterbags placem_collection'!$M$4:$M$500,0)),"")</f>
        <v/>
      </c>
      <c r="AE516" s="110">
        <f>IFERROR(INDEX('WetLitterbags placem_collection'!$A$3:$A$500,MATCH($A516,'WetLitterbags placem_collection'!$Q$4:$Q$500,0)),"")</f>
        <v>163</v>
      </c>
    </row>
    <row r="517" spans="1:31">
      <c r="A517" s="201" t="s">
        <v>876</v>
      </c>
      <c r="C517" s="201">
        <v>205</v>
      </c>
      <c r="D517" s="197">
        <v>1.4040999999999999</v>
      </c>
      <c r="E517" s="197">
        <v>7.9531999999999998</v>
      </c>
      <c r="F517" s="197">
        <v>0.20480000000000001</v>
      </c>
      <c r="G517" s="197">
        <f t="shared" si="42"/>
        <v>8.1579999999999995</v>
      </c>
      <c r="H517" s="197">
        <v>7.9816000000000003</v>
      </c>
      <c r="I517" s="197">
        <f t="shared" si="41"/>
        <v>0.17639999999999922</v>
      </c>
      <c r="J517" s="201">
        <f t="shared" si="43"/>
        <v>2.8400000000000786E-2</v>
      </c>
      <c r="K517" s="280">
        <f t="shared" si="44"/>
        <v>13.867187500000384</v>
      </c>
      <c r="L517" s="197">
        <v>6</v>
      </c>
      <c r="M517" s="207">
        <v>43160.520833333336</v>
      </c>
      <c r="N517" s="207">
        <v>43160.6875</v>
      </c>
      <c r="O517" s="197" t="s">
        <v>2550</v>
      </c>
      <c r="AB517" s="110" t="str">
        <f>IFERROR(INDEX('WetLitterbags placem_collection'!$A$3:$A$500,MATCH(A517,'WetLitterbags placem_collection'!$K$4:$K$500,0)),"")</f>
        <v/>
      </c>
      <c r="AC517" s="110" t="str">
        <f>IFERROR(INDEX('WetLitterbags placem_collection'!$A$3:$A$500,MATCH($A517,'WetLitterbags placem_collection'!$O$4:$O$500,0)),"")</f>
        <v/>
      </c>
      <c r="AD517" s="110">
        <f>IFERROR(INDEX('WetLitterbags placem_collection'!$A$3:$A$500,MATCH($A517,'WetLitterbags placem_collection'!$M$4:$M$500,0)),"")</f>
        <v>204</v>
      </c>
      <c r="AE517" s="110" t="str">
        <f>IFERROR(INDEX('WetLitterbags placem_collection'!$A$3:$A$500,MATCH($A517,'WetLitterbags placem_collection'!$Q$4:$Q$500,0)),"")</f>
        <v/>
      </c>
    </row>
    <row r="518" spans="1:31">
      <c r="A518" s="206" t="s">
        <v>875</v>
      </c>
      <c r="C518" s="201">
        <v>70</v>
      </c>
      <c r="D518" s="201">
        <v>1.3751</v>
      </c>
      <c r="E518" s="202">
        <v>8.1325000000000003</v>
      </c>
      <c r="F518" s="202">
        <v>0.20069999999999999</v>
      </c>
      <c r="G518" s="201">
        <f t="shared" si="42"/>
        <v>8.3331999999999997</v>
      </c>
      <c r="H518" s="201">
        <v>8.1384000000000007</v>
      </c>
      <c r="I518" s="201">
        <f t="shared" si="41"/>
        <v>0.19479999999999897</v>
      </c>
      <c r="J518" s="201">
        <f t="shared" si="43"/>
        <v>5.9000000000010155E-3</v>
      </c>
      <c r="K518" s="280">
        <f t="shared" si="44"/>
        <v>2.9397110114603966</v>
      </c>
      <c r="L518" s="201">
        <v>9</v>
      </c>
      <c r="M518" s="203">
        <v>43181.645833333336</v>
      </c>
      <c r="N518" s="203">
        <v>43181.833333333336</v>
      </c>
      <c r="O518" s="201" t="s">
        <v>2556</v>
      </c>
      <c r="P518" s="201"/>
      <c r="AB518" s="110" t="str">
        <f>IFERROR(INDEX('WetLitterbags placem_collection'!$A$3:$A$500,MATCH(A518,'WetLitterbags placem_collection'!$K$4:$K$500,0)),"")</f>
        <v/>
      </c>
      <c r="AC518" s="110" t="str">
        <f>IFERROR(INDEX('WetLitterbags placem_collection'!$A$3:$A$500,MATCH($A518,'WetLitterbags placem_collection'!$O$4:$O$500,0)),"")</f>
        <v/>
      </c>
      <c r="AD518" s="110" t="str">
        <f>IFERROR(INDEX('WetLitterbags placem_collection'!$A$3:$A$500,MATCH($A518,'WetLitterbags placem_collection'!$M$4:$M$500,0)),"")</f>
        <v/>
      </c>
      <c r="AE518" s="110">
        <f>IFERROR(INDEX('WetLitterbags placem_collection'!$A$3:$A$500,MATCH($A518,'WetLitterbags placem_collection'!$Q$4:$Q$500,0)),"")</f>
        <v>69</v>
      </c>
    </row>
    <row r="519" spans="1:31">
      <c r="A519" s="197" t="s">
        <v>873</v>
      </c>
      <c r="C519" s="197">
        <v>180</v>
      </c>
      <c r="D519" s="201">
        <v>1.4306000000000001</v>
      </c>
      <c r="E519" s="202">
        <v>11.0229</v>
      </c>
      <c r="F519" s="202">
        <v>0.20399999999999999</v>
      </c>
      <c r="G519" s="201">
        <f t="shared" si="42"/>
        <v>11.226900000000001</v>
      </c>
      <c r="H519" s="201">
        <v>11.027100000000001</v>
      </c>
      <c r="I519" s="201">
        <f t="shared" si="41"/>
        <v>0.19979999999999976</v>
      </c>
      <c r="J519" s="201">
        <f t="shared" si="43"/>
        <v>4.2000000000002313E-3</v>
      </c>
      <c r="K519" s="280">
        <f t="shared" si="44"/>
        <v>2.0588235294118782</v>
      </c>
      <c r="L519" s="201">
        <v>26</v>
      </c>
      <c r="M519" s="204">
        <v>43213</v>
      </c>
      <c r="N519" s="204">
        <v>43213</v>
      </c>
      <c r="AB519" s="110" t="str">
        <f>IFERROR(INDEX('WetLitterbags placem_collection'!$A$3:$A$500,MATCH(A519,'WetLitterbags placem_collection'!$K$4:$K$500,0)),"")</f>
        <v/>
      </c>
      <c r="AC519" s="110" t="str">
        <f>IFERROR(INDEX('WetLitterbags placem_collection'!$A$3:$A$500,MATCH($A519,'WetLitterbags placem_collection'!$O$4:$O$500,0)),"")</f>
        <v/>
      </c>
      <c r="AD519" s="110">
        <f>IFERROR(INDEX('WetLitterbags placem_collection'!$A$3:$A$500,MATCH($A519,'WetLitterbags placem_collection'!$M$4:$M$500,0)),"")</f>
        <v>179</v>
      </c>
      <c r="AE519" s="110" t="str">
        <f>IFERROR(INDEX('WetLitterbags placem_collection'!$A$3:$A$500,MATCH($A519,'WetLitterbags placem_collection'!$Q$4:$Q$500,0)),"")</f>
        <v/>
      </c>
    </row>
    <row r="520" spans="1:31">
      <c r="A520" s="202" t="s">
        <v>1114</v>
      </c>
      <c r="C520" s="201">
        <v>145</v>
      </c>
      <c r="D520" s="201">
        <v>1.4273</v>
      </c>
      <c r="E520" s="201">
        <v>8.0883000000000003</v>
      </c>
      <c r="F520" s="201">
        <v>0.2056</v>
      </c>
      <c r="G520" s="201">
        <f t="shared" si="42"/>
        <v>8.2939000000000007</v>
      </c>
      <c r="H520" s="201">
        <v>8.1059000000000001</v>
      </c>
      <c r="I520" s="201">
        <f t="shared" si="41"/>
        <v>0.18800000000000061</v>
      </c>
      <c r="J520" s="201">
        <f t="shared" si="43"/>
        <v>1.7599999999999394E-2</v>
      </c>
      <c r="K520" s="280">
        <f t="shared" si="44"/>
        <v>8.5603112840463975</v>
      </c>
      <c r="L520" s="201">
        <v>27</v>
      </c>
      <c r="M520" s="205">
        <v>43173</v>
      </c>
      <c r="N520" s="205">
        <v>43173</v>
      </c>
      <c r="O520" s="201" t="s">
        <v>2556</v>
      </c>
      <c r="P520" s="201" t="s">
        <v>2555</v>
      </c>
      <c r="AB520" s="110" t="str">
        <f>IFERROR(INDEX('WetLitterbags placem_collection'!$A$3:$A$500,MATCH(A520,'WetLitterbags placem_collection'!$K$4:$K$500,0)),"")</f>
        <v/>
      </c>
      <c r="AC520" s="110" t="str">
        <f>IFERROR(INDEX('WetLitterbags placem_collection'!$A$3:$A$500,MATCH($A520,'WetLitterbags placem_collection'!$O$4:$O$500,0)),"")</f>
        <v/>
      </c>
      <c r="AD520" s="110">
        <f>IFERROR(INDEX('WetLitterbags placem_collection'!$A$3:$A$500,MATCH($A520,'WetLitterbags placem_collection'!$M$4:$M$500,0)),"")</f>
        <v>144</v>
      </c>
      <c r="AE520" s="110" t="str">
        <f>IFERROR(INDEX('WetLitterbags placem_collection'!$A$3:$A$500,MATCH($A520,'WetLitterbags placem_collection'!$Q$4:$Q$500,0)),"")</f>
        <v/>
      </c>
    </row>
    <row r="521" spans="1:31">
      <c r="A521" s="201" t="s">
        <v>870</v>
      </c>
      <c r="C521" s="201">
        <v>209</v>
      </c>
      <c r="D521" s="201">
        <v>1.4764999999999999</v>
      </c>
      <c r="E521" s="201">
        <v>11.862399999999999</v>
      </c>
      <c r="F521" s="201">
        <v>0.20419999999999999</v>
      </c>
      <c r="G521" s="201">
        <f t="shared" si="42"/>
        <v>12.066599999999999</v>
      </c>
      <c r="H521" s="201">
        <v>11.8809</v>
      </c>
      <c r="I521" s="201">
        <f t="shared" si="41"/>
        <v>0.18569999999999887</v>
      </c>
      <c r="J521" s="201">
        <f t="shared" si="43"/>
        <v>1.8500000000001127E-2</v>
      </c>
      <c r="K521" s="280">
        <f t="shared" si="44"/>
        <v>9.0597453476988878</v>
      </c>
      <c r="L521" s="201">
        <v>2</v>
      </c>
      <c r="M521" s="205">
        <v>43174</v>
      </c>
      <c r="N521" s="205">
        <v>43174</v>
      </c>
      <c r="O521" s="201" t="s">
        <v>2556</v>
      </c>
      <c r="P521" s="201" t="s">
        <v>2555</v>
      </c>
      <c r="AB521" s="110" t="str">
        <f>IFERROR(INDEX('WetLitterbags placem_collection'!$A$3:$A$500,MATCH(A521,'WetLitterbags placem_collection'!$K$4:$K$500,0)),"")</f>
        <v/>
      </c>
      <c r="AC521" s="110" t="str">
        <f>IFERROR(INDEX('WetLitterbags placem_collection'!$A$3:$A$500,MATCH($A521,'WetLitterbags placem_collection'!$O$4:$O$500,0)),"")</f>
        <v/>
      </c>
      <c r="AD521" s="110">
        <f>IFERROR(INDEX('WetLitterbags placem_collection'!$A$3:$A$500,MATCH($A521,'WetLitterbags placem_collection'!$M$4:$M$500,0)),"")</f>
        <v>208</v>
      </c>
      <c r="AE521" s="110" t="str">
        <f>IFERROR(INDEX('WetLitterbags placem_collection'!$A$3:$A$500,MATCH($A521,'WetLitterbags placem_collection'!$Q$4:$Q$500,0)),"")</f>
        <v/>
      </c>
    </row>
    <row r="522" spans="1:31">
      <c r="A522" s="197" t="s">
        <v>868</v>
      </c>
      <c r="C522" s="198">
        <v>179</v>
      </c>
      <c r="D522" s="197">
        <v>1.4451000000000001</v>
      </c>
      <c r="E522" s="202">
        <v>8.3543000000000003</v>
      </c>
      <c r="F522" s="202">
        <v>0.2059</v>
      </c>
      <c r="G522" s="201">
        <f t="shared" si="42"/>
        <v>8.5602</v>
      </c>
      <c r="H522" s="201">
        <v>8.3583999999999996</v>
      </c>
      <c r="I522" s="201">
        <f t="shared" si="41"/>
        <v>0.20180000000000042</v>
      </c>
      <c r="J522" s="201">
        <f t="shared" si="43"/>
        <v>4.0999999999995762E-3</v>
      </c>
      <c r="K522" s="280">
        <f t="shared" si="44"/>
        <v>1.9912578921804642</v>
      </c>
      <c r="L522" s="201">
        <v>25</v>
      </c>
      <c r="M522" s="204">
        <v>43221</v>
      </c>
      <c r="N522" s="204">
        <v>43221</v>
      </c>
      <c r="AB522" s="110" t="str">
        <f>IFERROR(INDEX('WetLitterbags placem_collection'!$A$3:$A$500,MATCH(A522,'WetLitterbags placem_collection'!$K$4:$K$500,0)),"")</f>
        <v/>
      </c>
      <c r="AC522" s="110" t="str">
        <f>IFERROR(INDEX('WetLitterbags placem_collection'!$A$3:$A$500,MATCH($A522,'WetLitterbags placem_collection'!$O$4:$O$500,0)),"")</f>
        <v/>
      </c>
      <c r="AD522" s="110" t="str">
        <f>IFERROR(INDEX('WetLitterbags placem_collection'!$A$3:$A$500,MATCH($A522,'WetLitterbags placem_collection'!$M$4:$M$500,0)),"")</f>
        <v/>
      </c>
      <c r="AE522" s="110">
        <f>IFERROR(INDEX('WetLitterbags placem_collection'!$A$3:$A$500,MATCH($A522,'WetLitterbags placem_collection'!$Q$4:$Q$500,0)),"")</f>
        <v>178</v>
      </c>
    </row>
    <row r="523" spans="1:31">
      <c r="A523" s="206" t="s">
        <v>867</v>
      </c>
      <c r="C523" s="201">
        <v>18</v>
      </c>
      <c r="D523" s="201">
        <v>1.3428</v>
      </c>
      <c r="E523" s="201">
        <v>8.0643999999999991</v>
      </c>
      <c r="F523" s="202">
        <v>0.20930000000000001</v>
      </c>
      <c r="G523" s="201">
        <f t="shared" si="42"/>
        <v>8.2736999999999998</v>
      </c>
      <c r="H523" s="201">
        <v>8.0740999999999996</v>
      </c>
      <c r="I523" s="201">
        <f t="shared" si="41"/>
        <v>0.19960000000000022</v>
      </c>
      <c r="J523" s="201">
        <f t="shared" si="43"/>
        <v>9.6999999999997921E-3</v>
      </c>
      <c r="K523" s="280">
        <f t="shared" si="44"/>
        <v>4.6344959388436653</v>
      </c>
      <c r="L523" s="201">
        <v>7</v>
      </c>
      <c r="M523" s="205">
        <v>43187</v>
      </c>
      <c r="N523" s="205">
        <v>43187</v>
      </c>
      <c r="O523" s="201"/>
      <c r="P523" s="201"/>
      <c r="AB523" s="110" t="str">
        <f>IFERROR(INDEX('WetLitterbags placem_collection'!$A$3:$A$500,MATCH(A523,'WetLitterbags placem_collection'!$K$4:$K$500,0)),"")</f>
        <v/>
      </c>
      <c r="AC523" s="110" t="str">
        <f>IFERROR(INDEX('WetLitterbags placem_collection'!$A$3:$A$500,MATCH($A523,'WetLitterbags placem_collection'!$O$4:$O$500,0)),"")</f>
        <v/>
      </c>
      <c r="AD523" s="110" t="str">
        <f>IFERROR(INDEX('WetLitterbags placem_collection'!$A$3:$A$500,MATCH($A523,'WetLitterbags placem_collection'!$M$4:$M$500,0)),"")</f>
        <v/>
      </c>
      <c r="AE523" s="110">
        <f>IFERROR(INDEX('WetLitterbags placem_collection'!$A$3:$A$500,MATCH($A523,'WetLitterbags placem_collection'!$Q$4:$Q$500,0)),"")</f>
        <v>17</v>
      </c>
    </row>
    <row r="524" spans="1:31">
      <c r="A524" s="197" t="s">
        <v>862</v>
      </c>
      <c r="C524" s="198">
        <v>25</v>
      </c>
      <c r="D524" s="197">
        <v>1.4685999999999999</v>
      </c>
      <c r="E524" s="202">
        <v>8.76</v>
      </c>
      <c r="F524" s="202">
        <v>0.20710000000000001</v>
      </c>
      <c r="G524" s="201">
        <f t="shared" si="42"/>
        <v>8.9671000000000003</v>
      </c>
      <c r="H524" s="201">
        <v>8.7655999999999992</v>
      </c>
      <c r="I524" s="201">
        <f t="shared" si="41"/>
        <v>0.20150000000000112</v>
      </c>
      <c r="J524" s="201">
        <f t="shared" si="43"/>
        <v>5.5999999999988836E-3</v>
      </c>
      <c r="K524" s="280">
        <f t="shared" si="44"/>
        <v>2.7040077257358202</v>
      </c>
      <c r="L524" s="201">
        <v>19</v>
      </c>
      <c r="AB524" s="110" t="str">
        <f>IFERROR(INDEX('WetLitterbags placem_collection'!$A$3:$A$500,MATCH(A524,'WetLitterbags placem_collection'!$K$4:$K$500,0)),"")</f>
        <v/>
      </c>
      <c r="AC524" s="110" t="str">
        <f>IFERROR(INDEX('WetLitterbags placem_collection'!$A$3:$A$500,MATCH($A524,'WetLitterbags placem_collection'!$O$4:$O$500,0)),"")</f>
        <v/>
      </c>
      <c r="AD524" s="110">
        <f>IFERROR(INDEX('WetLitterbags placem_collection'!$A$3:$A$500,MATCH($A524,'WetLitterbags placem_collection'!$M$4:$M$500,0)),"")</f>
        <v>24</v>
      </c>
      <c r="AE524" s="110" t="str">
        <f>IFERROR(INDEX('WetLitterbags placem_collection'!$A$3:$A$500,MATCH($A524,'WetLitterbags placem_collection'!$Q$4:$Q$500,0)),"")</f>
        <v/>
      </c>
    </row>
    <row r="525" spans="1:31">
      <c r="A525" s="197" t="s">
        <v>1113</v>
      </c>
      <c r="C525" s="197">
        <v>49</v>
      </c>
      <c r="D525" s="197">
        <v>1.3523000000000001</v>
      </c>
      <c r="E525" s="197">
        <v>10.5213</v>
      </c>
      <c r="F525" s="202">
        <v>0.20150000000000001</v>
      </c>
      <c r="G525" s="201">
        <f t="shared" si="42"/>
        <v>10.722799999999999</v>
      </c>
      <c r="H525" s="201">
        <v>10.544600000000001</v>
      </c>
      <c r="I525" s="201">
        <f t="shared" ref="I525:I556" si="45">(G525-H525)</f>
        <v>0.17819999999999858</v>
      </c>
      <c r="J525" s="201">
        <f t="shared" si="43"/>
        <v>2.3300000000001431E-2</v>
      </c>
      <c r="K525" s="280">
        <f t="shared" si="44"/>
        <v>11.563275434243886</v>
      </c>
      <c r="L525" s="201">
        <v>4</v>
      </c>
      <c r="R525" s="197">
        <v>6</v>
      </c>
      <c r="S525" s="197">
        <v>0.6008</v>
      </c>
      <c r="U525" s="202" t="s">
        <v>1068</v>
      </c>
      <c r="V525" s="197">
        <v>1.8647</v>
      </c>
      <c r="W525" s="197">
        <f>(V525-$T$175+F523)</f>
        <v>2.0739999999999998</v>
      </c>
      <c r="AB525" s="110" t="str">
        <f>IFERROR(INDEX('WetLitterbags placem_collection'!$A$3:$A$500,MATCH(A525,'WetLitterbags placem_collection'!$K$4:$K$500,0)),"")</f>
        <v/>
      </c>
      <c r="AC525" s="110" t="str">
        <f>IFERROR(INDEX('WetLitterbags placem_collection'!$A$3:$A$500,MATCH($A525,'WetLitterbags placem_collection'!$O$4:$O$500,0)),"")</f>
        <v/>
      </c>
      <c r="AD525" s="110">
        <f>IFERROR(INDEX('WetLitterbags placem_collection'!$A$3:$A$500,MATCH($A525,'WetLitterbags placem_collection'!$M$4:$M$500,0)),"")</f>
        <v>48</v>
      </c>
      <c r="AE525" s="110" t="str">
        <f>IFERROR(INDEX('WetLitterbags placem_collection'!$A$3:$A$500,MATCH($A525,'WetLitterbags placem_collection'!$Q$4:$Q$500,0)),"")</f>
        <v/>
      </c>
    </row>
    <row r="526" spans="1:31">
      <c r="A526" s="206" t="s">
        <v>859</v>
      </c>
      <c r="C526" s="197">
        <v>14</v>
      </c>
      <c r="D526" s="202">
        <v>1.3209</v>
      </c>
      <c r="E526" s="202">
        <v>9.5193999999999992</v>
      </c>
      <c r="F526" s="202">
        <v>0.20319999999999999</v>
      </c>
      <c r="G526" s="201">
        <f t="shared" si="42"/>
        <v>9.7225999999999999</v>
      </c>
      <c r="H526" s="201">
        <v>9.5252999999999997</v>
      </c>
      <c r="I526" s="201">
        <f t="shared" si="45"/>
        <v>0.19730000000000025</v>
      </c>
      <c r="J526" s="201">
        <f t="shared" si="43"/>
        <v>5.8999999999997388E-3</v>
      </c>
      <c r="K526" s="280">
        <f t="shared" si="44"/>
        <v>2.903543307086486</v>
      </c>
      <c r="L526" s="201">
        <v>24</v>
      </c>
      <c r="M526" s="205">
        <v>43199</v>
      </c>
      <c r="N526" s="205">
        <v>43199</v>
      </c>
      <c r="O526" s="201"/>
      <c r="P526" s="201"/>
      <c r="AB526" s="110" t="str">
        <f>IFERROR(INDEX('WetLitterbags placem_collection'!$A$3:$A$500,MATCH(A526,'WetLitterbags placem_collection'!$K$4:$K$500,0)),"")</f>
        <v/>
      </c>
      <c r="AC526" s="110" t="str">
        <f>IFERROR(INDEX('WetLitterbags placem_collection'!$A$3:$A$500,MATCH($A526,'WetLitterbags placem_collection'!$O$4:$O$500,0)),"")</f>
        <v/>
      </c>
      <c r="AD526" s="110" t="str">
        <f>IFERROR(INDEX('WetLitterbags placem_collection'!$A$3:$A$500,MATCH($A526,'WetLitterbags placem_collection'!$M$4:$M$500,0)),"")</f>
        <v/>
      </c>
      <c r="AE526" s="110">
        <f>IFERROR(INDEX('WetLitterbags placem_collection'!$A$3:$A$500,MATCH($A526,'WetLitterbags placem_collection'!$Q$4:$Q$500,0)),"")</f>
        <v>13</v>
      </c>
    </row>
    <row r="527" spans="1:31">
      <c r="A527" s="197" t="s">
        <v>856</v>
      </c>
      <c r="C527" s="198">
        <v>162</v>
      </c>
      <c r="D527" s="197">
        <v>1.4475</v>
      </c>
      <c r="E527" s="201">
        <v>9.1560000000000006</v>
      </c>
      <c r="F527" s="202">
        <v>0.20630000000000001</v>
      </c>
      <c r="G527" s="201">
        <f t="shared" si="42"/>
        <v>9.3623000000000012</v>
      </c>
      <c r="H527" s="201">
        <v>9.1598000000000006</v>
      </c>
      <c r="I527" s="201">
        <f t="shared" si="45"/>
        <v>0.20250000000000057</v>
      </c>
      <c r="J527" s="201">
        <f t="shared" si="43"/>
        <v>3.7999999999994427E-3</v>
      </c>
      <c r="K527" s="280">
        <f t="shared" si="44"/>
        <v>1.8419777023749115</v>
      </c>
      <c r="L527" s="201">
        <v>16</v>
      </c>
      <c r="M527" s="204">
        <v>43212</v>
      </c>
      <c r="AB527" s="110" t="str">
        <f>IFERROR(INDEX('WetLitterbags placem_collection'!$A$3:$A$500,MATCH(A527,'WetLitterbags placem_collection'!$K$4:$K$500,0)),"")</f>
        <v/>
      </c>
      <c r="AC527" s="110" t="str">
        <f>IFERROR(INDEX('WetLitterbags placem_collection'!$A$3:$A$500,MATCH($A527,'WetLitterbags placem_collection'!$O$4:$O$500,0)),"")</f>
        <v/>
      </c>
      <c r="AD527" s="110" t="str">
        <f>IFERROR(INDEX('WetLitterbags placem_collection'!$A$3:$A$500,MATCH($A527,'WetLitterbags placem_collection'!$M$4:$M$500,0)),"")</f>
        <v/>
      </c>
      <c r="AE527" s="110">
        <f>IFERROR(INDEX('WetLitterbags placem_collection'!$A$3:$A$500,MATCH($A527,'WetLitterbags placem_collection'!$Q$4:$Q$500,0)),"")</f>
        <v>161</v>
      </c>
    </row>
    <row r="528" spans="1:31">
      <c r="A528" s="197" t="s">
        <v>854</v>
      </c>
      <c r="C528" s="198">
        <v>166</v>
      </c>
      <c r="D528" s="197">
        <v>1.4665999999999999</v>
      </c>
      <c r="E528" s="202">
        <v>9.2353000000000005</v>
      </c>
      <c r="F528" s="202">
        <v>0.20380000000000001</v>
      </c>
      <c r="G528" s="201">
        <f t="shared" si="42"/>
        <v>9.4390999999999998</v>
      </c>
      <c r="H528" s="201">
        <v>9.2392000000000003</v>
      </c>
      <c r="I528" s="201">
        <f t="shared" si="45"/>
        <v>0.19989999999999952</v>
      </c>
      <c r="J528" s="201">
        <f t="shared" si="43"/>
        <v>3.9000000000004864E-3</v>
      </c>
      <c r="K528" s="280">
        <f t="shared" si="44"/>
        <v>1.9136408243378245</v>
      </c>
      <c r="L528" s="201">
        <v>8</v>
      </c>
      <c r="AB528" s="110" t="str">
        <f>IFERROR(INDEX('WetLitterbags placem_collection'!$A$3:$A$500,MATCH(A528,'WetLitterbags placem_collection'!$K$4:$K$500,0)),"")</f>
        <v/>
      </c>
      <c r="AC528" s="110" t="str">
        <f>IFERROR(INDEX('WetLitterbags placem_collection'!$A$3:$A$500,MATCH($A528,'WetLitterbags placem_collection'!$O$4:$O$500,0)),"")</f>
        <v/>
      </c>
      <c r="AD528" s="110">
        <f>IFERROR(INDEX('WetLitterbags placem_collection'!$A$3:$A$500,MATCH($A528,'WetLitterbags placem_collection'!$M$4:$M$500,0)),"")</f>
        <v>165</v>
      </c>
      <c r="AE528" s="110" t="str">
        <f>IFERROR(INDEX('WetLitterbags placem_collection'!$A$3:$A$500,MATCH($A528,'WetLitterbags placem_collection'!$Q$4:$Q$500,0)),"")</f>
        <v/>
      </c>
    </row>
    <row r="529" spans="1:31">
      <c r="A529" s="206" t="s">
        <v>852</v>
      </c>
      <c r="C529" s="197">
        <v>194</v>
      </c>
      <c r="D529" s="201">
        <v>1.2582</v>
      </c>
      <c r="E529" s="202">
        <v>9.5543999999999993</v>
      </c>
      <c r="F529" s="202">
        <v>0.20749999999999999</v>
      </c>
      <c r="G529" s="201">
        <f t="shared" si="42"/>
        <v>9.7618999999999989</v>
      </c>
      <c r="H529" s="201">
        <v>9.5617000000000001</v>
      </c>
      <c r="I529" s="201">
        <f t="shared" si="45"/>
        <v>0.20019999999999882</v>
      </c>
      <c r="J529" s="201">
        <f t="shared" si="43"/>
        <v>7.3000000000011667E-3</v>
      </c>
      <c r="K529" s="280">
        <f t="shared" si="44"/>
        <v>3.5180722891571889</v>
      </c>
      <c r="L529" s="201">
        <v>21</v>
      </c>
      <c r="M529" s="207">
        <v>43186.458333333336</v>
      </c>
      <c r="N529" s="207">
        <v>43186.625</v>
      </c>
      <c r="O529" s="197" t="s">
        <v>2550</v>
      </c>
      <c r="P529" s="201"/>
      <c r="AB529" s="110" t="str">
        <f>IFERROR(INDEX('WetLitterbags placem_collection'!$A$3:$A$500,MATCH(A529,'WetLitterbags placem_collection'!$K$4:$K$500,0)),"")</f>
        <v/>
      </c>
      <c r="AC529" s="110" t="str">
        <f>IFERROR(INDEX('WetLitterbags placem_collection'!$A$3:$A$500,MATCH($A529,'WetLitterbags placem_collection'!$O$4:$O$500,0)),"")</f>
        <v/>
      </c>
      <c r="AD529" s="110">
        <f>IFERROR(INDEX('WetLitterbags placem_collection'!$A$3:$A$500,MATCH($A529,'WetLitterbags placem_collection'!$M$4:$M$500,0)),"")</f>
        <v>193</v>
      </c>
      <c r="AE529" s="110" t="str">
        <f>IFERROR(INDEX('WetLitterbags placem_collection'!$A$3:$A$500,MATCH($A529,'WetLitterbags placem_collection'!$Q$4:$Q$500,0)),"")</f>
        <v/>
      </c>
    </row>
    <row r="530" spans="1:31">
      <c r="A530" s="201" t="s">
        <v>1112</v>
      </c>
      <c r="C530" s="201">
        <v>51</v>
      </c>
      <c r="D530" s="202">
        <v>1.2412000000000001</v>
      </c>
      <c r="E530" s="201">
        <v>10.509600000000001</v>
      </c>
      <c r="F530" s="202">
        <v>0.2009</v>
      </c>
      <c r="G530" s="201">
        <f t="shared" si="42"/>
        <v>10.710500000000001</v>
      </c>
      <c r="H530" s="201">
        <v>10.517300000000001</v>
      </c>
      <c r="I530" s="201">
        <f t="shared" si="45"/>
        <v>0.19320000000000093</v>
      </c>
      <c r="J530" s="201">
        <f t="shared" si="43"/>
        <v>7.6999999999990687E-3</v>
      </c>
      <c r="K530" s="280">
        <f t="shared" si="44"/>
        <v>3.8327526132399545</v>
      </c>
      <c r="L530" s="201">
        <v>21</v>
      </c>
      <c r="M530" s="201"/>
      <c r="N530" s="201"/>
      <c r="O530" s="201"/>
      <c r="P530" s="201" t="s">
        <v>2557</v>
      </c>
      <c r="R530" s="197">
        <v>7</v>
      </c>
      <c r="S530" s="197">
        <v>0.61399999999999999</v>
      </c>
      <c r="U530" s="202" t="s">
        <v>1503</v>
      </c>
      <c r="V530" s="197">
        <v>1.2385999999999999</v>
      </c>
      <c r="W530" s="197">
        <f>(V530-$T$175+F528)</f>
        <v>1.4423999999999999</v>
      </c>
      <c r="AB530" s="110" t="str">
        <f>IFERROR(INDEX('WetLitterbags placem_collection'!$A$3:$A$500,MATCH(A530,'WetLitterbags placem_collection'!$K$4:$K$500,0)),"")</f>
        <v/>
      </c>
      <c r="AC530" s="110" t="str">
        <f>IFERROR(INDEX('WetLitterbags placem_collection'!$A$3:$A$500,MATCH($A530,'WetLitterbags placem_collection'!$O$4:$O$500,0)),"")</f>
        <v/>
      </c>
      <c r="AD530" s="110" t="str">
        <f>IFERROR(INDEX('WetLitterbags placem_collection'!$A$3:$A$500,MATCH($A530,'WetLitterbags placem_collection'!$M$4:$M$500,0)),"")</f>
        <v/>
      </c>
      <c r="AE530" s="110">
        <f>IFERROR(INDEX('WetLitterbags placem_collection'!$A$3:$A$500,MATCH($A530,'WetLitterbags placem_collection'!$Q$4:$Q$500,0)),"")</f>
        <v>50</v>
      </c>
    </row>
    <row r="531" spans="1:31">
      <c r="A531" s="201" t="s">
        <v>851</v>
      </c>
      <c r="C531" s="197">
        <v>183</v>
      </c>
      <c r="D531" s="201">
        <v>1.4666999999999999</v>
      </c>
      <c r="E531" s="202">
        <v>9.0211000000000006</v>
      </c>
      <c r="F531" s="202">
        <v>0.20080000000000001</v>
      </c>
      <c r="G531" s="201">
        <f t="shared" si="42"/>
        <v>9.2218999999999998</v>
      </c>
      <c r="H531" s="201">
        <v>9.0264000000000006</v>
      </c>
      <c r="I531" s="201">
        <f t="shared" si="45"/>
        <v>0.19549999999999912</v>
      </c>
      <c r="J531" s="201">
        <f t="shared" si="43"/>
        <v>5.3000000000008873E-3</v>
      </c>
      <c r="K531" s="280">
        <f t="shared" si="44"/>
        <v>2.639442231076139</v>
      </c>
      <c r="L531" s="201">
        <v>11</v>
      </c>
      <c r="M531" s="207">
        <v>43186.458333333336</v>
      </c>
      <c r="N531" s="207">
        <v>43186.625</v>
      </c>
      <c r="O531" s="197" t="s">
        <v>2550</v>
      </c>
      <c r="P531" s="201"/>
      <c r="AB531" s="110" t="str">
        <f>IFERROR(INDEX('WetLitterbags placem_collection'!$A$3:$A$500,MATCH(A531,'WetLitterbags placem_collection'!$K$4:$K$500,0)),"")</f>
        <v/>
      </c>
      <c r="AC531" s="110" t="str">
        <f>IFERROR(INDEX('WetLitterbags placem_collection'!$A$3:$A$500,MATCH($A531,'WetLitterbags placem_collection'!$O$4:$O$500,0)),"")</f>
        <v/>
      </c>
      <c r="AD531" s="110" t="str">
        <f>IFERROR(INDEX('WetLitterbags placem_collection'!$A$3:$A$500,MATCH($A531,'WetLitterbags placem_collection'!$M$4:$M$500,0)),"")</f>
        <v/>
      </c>
      <c r="AE531" s="110">
        <f>IFERROR(INDEX('WetLitterbags placem_collection'!$A$3:$A$500,MATCH($A531,'WetLitterbags placem_collection'!$Q$4:$Q$500,0)),"")</f>
        <v>182</v>
      </c>
    </row>
    <row r="532" spans="1:31">
      <c r="A532" s="197" t="s">
        <v>850</v>
      </c>
      <c r="C532" s="197">
        <v>181</v>
      </c>
      <c r="D532" s="197">
        <v>1.4736</v>
      </c>
      <c r="E532" s="201">
        <v>7.8385999999999996</v>
      </c>
      <c r="F532" s="202">
        <v>0.20610000000000001</v>
      </c>
      <c r="G532" s="201">
        <f t="shared" si="42"/>
        <v>8.0446999999999989</v>
      </c>
      <c r="H532" s="201">
        <v>7.843</v>
      </c>
      <c r="I532" s="201">
        <f t="shared" si="45"/>
        <v>0.20169999999999888</v>
      </c>
      <c r="J532" s="201">
        <f t="shared" si="43"/>
        <v>4.4000000000011252E-3</v>
      </c>
      <c r="K532" s="280">
        <f t="shared" si="44"/>
        <v>2.1348859776812832</v>
      </c>
      <c r="L532" s="201">
        <v>5</v>
      </c>
      <c r="M532" s="204">
        <v>43212</v>
      </c>
      <c r="AB532" s="110" t="str">
        <f>IFERROR(INDEX('WetLitterbags placem_collection'!$A$3:$A$500,MATCH(A532,'WetLitterbags placem_collection'!$K$4:$K$500,0)),"")</f>
        <v/>
      </c>
      <c r="AC532" s="110" t="str">
        <f>IFERROR(INDEX('WetLitterbags placem_collection'!$A$3:$A$500,MATCH($A532,'WetLitterbags placem_collection'!$O$4:$O$500,0)),"")</f>
        <v/>
      </c>
      <c r="AD532" s="110" t="str">
        <f>IFERROR(INDEX('WetLitterbags placem_collection'!$A$3:$A$500,MATCH($A532,'WetLitterbags placem_collection'!$M$4:$M$500,0)),"")</f>
        <v/>
      </c>
      <c r="AE532" s="110">
        <f>IFERROR(INDEX('WetLitterbags placem_collection'!$A$3:$A$500,MATCH($A532,'WetLitterbags placem_collection'!$Q$4:$Q$500,0)),"")</f>
        <v>180</v>
      </c>
    </row>
    <row r="533" spans="1:31">
      <c r="A533" s="201" t="s">
        <v>848</v>
      </c>
      <c r="C533" s="201">
        <v>81</v>
      </c>
      <c r="D533" s="202">
        <v>1.4906999999999999</v>
      </c>
      <c r="E533" s="202">
        <v>10.155799999999999</v>
      </c>
      <c r="F533" s="202">
        <v>0.2044</v>
      </c>
      <c r="G533" s="201">
        <f t="shared" si="42"/>
        <v>10.360199999999999</v>
      </c>
      <c r="H533" s="201">
        <v>10.1601</v>
      </c>
      <c r="I533" s="201">
        <f t="shared" si="45"/>
        <v>0.20009999999999906</v>
      </c>
      <c r="J533" s="201">
        <f t="shared" si="43"/>
        <v>4.300000000000942E-3</v>
      </c>
      <c r="K533" s="280">
        <f t="shared" si="44"/>
        <v>2.1037181996090717</v>
      </c>
      <c r="L533" s="201">
        <v>29</v>
      </c>
      <c r="M533" s="203">
        <v>43181.645833333336</v>
      </c>
      <c r="N533" s="203">
        <v>43181.833333333336</v>
      </c>
      <c r="O533" s="201" t="s">
        <v>2556</v>
      </c>
      <c r="AB533" s="110" t="str">
        <f>IFERROR(INDEX('WetLitterbags placem_collection'!$A$3:$A$500,MATCH(A533,'WetLitterbags placem_collection'!$K$4:$K$500,0)),"")</f>
        <v/>
      </c>
      <c r="AC533" s="110" t="str">
        <f>IFERROR(INDEX('WetLitterbags placem_collection'!$A$3:$A$500,MATCH($A533,'WetLitterbags placem_collection'!$O$4:$O$500,0)),"")</f>
        <v/>
      </c>
      <c r="AD533" s="110" t="str">
        <f>IFERROR(INDEX('WetLitterbags placem_collection'!$A$3:$A$500,MATCH($A533,'WetLitterbags placem_collection'!$M$4:$M$500,0)),"")</f>
        <v/>
      </c>
      <c r="AE533" s="110">
        <f>IFERROR(INDEX('WetLitterbags placem_collection'!$A$3:$A$500,MATCH($A533,'WetLitterbags placem_collection'!$Q$4:$Q$500,0)),"")</f>
        <v>80</v>
      </c>
    </row>
    <row r="534" spans="1:31">
      <c r="A534" s="197" t="s">
        <v>845</v>
      </c>
      <c r="C534" s="198">
        <v>30</v>
      </c>
      <c r="D534" s="197">
        <v>1.1567000000000001</v>
      </c>
      <c r="E534" s="201">
        <v>8.0884</v>
      </c>
      <c r="F534" s="202">
        <v>0.20610000000000001</v>
      </c>
      <c r="G534" s="201">
        <f t="shared" si="42"/>
        <v>8.2944999999999993</v>
      </c>
      <c r="H534" s="201">
        <v>8.0965000000000007</v>
      </c>
      <c r="I534" s="201">
        <f t="shared" si="45"/>
        <v>0.19799999999999862</v>
      </c>
      <c r="J534" s="201">
        <f t="shared" si="43"/>
        <v>8.1000000000013839E-3</v>
      </c>
      <c r="K534" s="280">
        <f t="shared" si="44"/>
        <v>3.9301310043674835</v>
      </c>
      <c r="L534" s="201">
        <v>16</v>
      </c>
      <c r="M534" s="204">
        <v>43213</v>
      </c>
      <c r="N534" s="204">
        <v>43213</v>
      </c>
      <c r="AB534" s="110" t="str">
        <f>IFERROR(INDEX('WetLitterbags placem_collection'!$A$3:$A$500,MATCH(A534,'WetLitterbags placem_collection'!$K$4:$K$500,0)),"")</f>
        <v/>
      </c>
      <c r="AC534" s="110" t="str">
        <f>IFERROR(INDEX('WetLitterbags placem_collection'!$A$3:$A$500,MATCH($A534,'WetLitterbags placem_collection'!$O$4:$O$500,0)),"")</f>
        <v/>
      </c>
      <c r="AD534" s="110" t="str">
        <f>IFERROR(INDEX('WetLitterbags placem_collection'!$A$3:$A$500,MATCH($A534,'WetLitterbags placem_collection'!$M$4:$M$500,0)),"")</f>
        <v/>
      </c>
      <c r="AE534" s="110">
        <f>IFERROR(INDEX('WetLitterbags placem_collection'!$A$3:$A$500,MATCH($A534,'WetLitterbags placem_collection'!$Q$4:$Q$500,0)),"")</f>
        <v>29</v>
      </c>
    </row>
    <row r="535" spans="1:31">
      <c r="A535" s="197" t="s">
        <v>1138</v>
      </c>
      <c r="C535" s="197">
        <v>13</v>
      </c>
      <c r="D535" s="201">
        <v>1.2828999999999999</v>
      </c>
      <c r="E535" s="202">
        <v>7.3541999999999996</v>
      </c>
      <c r="F535" s="202">
        <v>0.20280000000000001</v>
      </c>
      <c r="G535" s="201">
        <f t="shared" si="42"/>
        <v>7.5569999999999995</v>
      </c>
      <c r="H535" s="201">
        <v>7.3602999999999996</v>
      </c>
      <c r="I535" s="201">
        <f t="shared" si="45"/>
        <v>0.19669999999999987</v>
      </c>
      <c r="J535" s="201">
        <f t="shared" si="43"/>
        <v>6.1000000000001331E-3</v>
      </c>
      <c r="K535" s="280">
        <f t="shared" si="44"/>
        <v>3.0078895463511506</v>
      </c>
      <c r="L535" s="201">
        <v>23</v>
      </c>
      <c r="M535" s="204">
        <v>43213</v>
      </c>
      <c r="N535" s="204">
        <v>43213</v>
      </c>
      <c r="AB535" s="110" t="str">
        <f>IFERROR(INDEX('WetLitterbags placem_collection'!$A$3:$A$500,MATCH(A535,'WetLitterbags placem_collection'!$K$4:$K$500,0)),"")</f>
        <v/>
      </c>
      <c r="AC535" s="110" t="str">
        <f>IFERROR(INDEX('WetLitterbags placem_collection'!$A$3:$A$500,MATCH($A535,'WetLitterbags placem_collection'!$O$4:$O$500,0)),"")</f>
        <v/>
      </c>
      <c r="AD535" s="110" t="str">
        <f>IFERROR(INDEX('WetLitterbags placem_collection'!$A$3:$A$500,MATCH($A535,'WetLitterbags placem_collection'!$M$4:$M$500,0)),"")</f>
        <v/>
      </c>
      <c r="AE535" s="110">
        <f>IFERROR(INDEX('WetLitterbags placem_collection'!$A$3:$A$500,MATCH($A535,'WetLitterbags placem_collection'!$Q$4:$Q$500,0)),"")</f>
        <v>12</v>
      </c>
    </row>
    <row r="536" spans="1:31">
      <c r="A536" s="201" t="s">
        <v>1111</v>
      </c>
      <c r="C536" s="201">
        <v>157</v>
      </c>
      <c r="D536" s="201">
        <v>1.5705</v>
      </c>
      <c r="E536" s="202">
        <v>7.4748000000000001</v>
      </c>
      <c r="F536" s="202">
        <v>0.20549999999999999</v>
      </c>
      <c r="G536" s="201">
        <f t="shared" si="42"/>
        <v>7.6802999999999999</v>
      </c>
      <c r="H536" s="201">
        <v>7.4926000000000004</v>
      </c>
      <c r="I536" s="201">
        <f t="shared" si="45"/>
        <v>0.18769999999999953</v>
      </c>
      <c r="J536" s="201">
        <f t="shared" si="43"/>
        <v>1.7800000000000454E-2</v>
      </c>
      <c r="K536" s="280">
        <f t="shared" si="44"/>
        <v>8.6618004866182261</v>
      </c>
      <c r="L536" s="201">
        <v>27</v>
      </c>
      <c r="M536" s="207">
        <v>43185.385416666664</v>
      </c>
      <c r="N536" s="201"/>
      <c r="O536" s="201" t="s">
        <v>2556</v>
      </c>
      <c r="P536" s="201"/>
      <c r="AB536" s="110" t="str">
        <f>IFERROR(INDEX('WetLitterbags placem_collection'!$A$3:$A$500,MATCH(A536,'WetLitterbags placem_collection'!$K$4:$K$500,0)),"")</f>
        <v/>
      </c>
      <c r="AC536" s="110" t="str">
        <f>IFERROR(INDEX('WetLitterbags placem_collection'!$A$3:$A$500,MATCH($A536,'WetLitterbags placem_collection'!$O$4:$O$500,0)),"")</f>
        <v/>
      </c>
      <c r="AD536" s="110">
        <f>IFERROR(INDEX('WetLitterbags placem_collection'!$A$3:$A$500,MATCH($A536,'WetLitterbags placem_collection'!$M$4:$M$500,0)),"")</f>
        <v>156</v>
      </c>
      <c r="AE536" s="110" t="str">
        <f>IFERROR(INDEX('WetLitterbags placem_collection'!$A$3:$A$500,MATCH($A536,'WetLitterbags placem_collection'!$Q$4:$Q$500,0)),"")</f>
        <v/>
      </c>
    </row>
    <row r="537" spans="1:31">
      <c r="A537" s="197" t="s">
        <v>840</v>
      </c>
      <c r="C537" s="198">
        <v>180</v>
      </c>
      <c r="D537" s="197">
        <v>1.4709000000000001</v>
      </c>
      <c r="E537" s="202">
        <v>10.510300000000001</v>
      </c>
      <c r="F537" s="202">
        <v>0.1996</v>
      </c>
      <c r="G537" s="201">
        <f t="shared" si="42"/>
        <v>10.709900000000001</v>
      </c>
      <c r="H537" s="201">
        <v>10.514099999999999</v>
      </c>
      <c r="I537" s="201">
        <f t="shared" si="45"/>
        <v>0.19580000000000197</v>
      </c>
      <c r="J537" s="201">
        <f t="shared" si="43"/>
        <v>3.7999999999980272E-3</v>
      </c>
      <c r="K537" s="280">
        <f t="shared" si="44"/>
        <v>1.9038076152294727</v>
      </c>
      <c r="L537" s="201">
        <v>40</v>
      </c>
      <c r="M537" s="204">
        <v>43221</v>
      </c>
      <c r="N537" s="204">
        <v>43221</v>
      </c>
      <c r="AB537" s="110" t="str">
        <f>IFERROR(INDEX('WetLitterbags placem_collection'!$A$3:$A$500,MATCH(A537,'WetLitterbags placem_collection'!$K$4:$K$500,0)),"")</f>
        <v/>
      </c>
      <c r="AC537" s="110" t="str">
        <f>IFERROR(INDEX('WetLitterbags placem_collection'!$A$3:$A$500,MATCH($A537,'WetLitterbags placem_collection'!$O$4:$O$500,0)),"")</f>
        <v/>
      </c>
      <c r="AD537" s="110" t="str">
        <f>IFERROR(INDEX('WetLitterbags placem_collection'!$A$3:$A$500,MATCH($A537,'WetLitterbags placem_collection'!$M$4:$M$500,0)),"")</f>
        <v/>
      </c>
      <c r="AE537" s="110">
        <f>IFERROR(INDEX('WetLitterbags placem_collection'!$A$3:$A$500,MATCH($A537,'WetLitterbags placem_collection'!$Q$4:$Q$500,0)),"")</f>
        <v>179</v>
      </c>
    </row>
    <row r="538" spans="1:31">
      <c r="A538" s="201" t="s">
        <v>839</v>
      </c>
      <c r="C538" s="201">
        <v>217</v>
      </c>
      <c r="D538" s="201">
        <v>1.1337999999999999</v>
      </c>
      <c r="E538" s="201">
        <v>9.7261000000000006</v>
      </c>
      <c r="F538" s="202">
        <v>0.2029</v>
      </c>
      <c r="G538" s="201">
        <f t="shared" si="42"/>
        <v>9.9290000000000003</v>
      </c>
      <c r="H538" s="201">
        <v>9.7372999999999994</v>
      </c>
      <c r="I538" s="201">
        <f t="shared" si="45"/>
        <v>0.19170000000000087</v>
      </c>
      <c r="J538" s="201">
        <f t="shared" si="43"/>
        <v>1.1199999999999127E-2</v>
      </c>
      <c r="K538" s="280">
        <f t="shared" si="44"/>
        <v>5.5199605717097722</v>
      </c>
      <c r="L538" s="201">
        <v>4</v>
      </c>
      <c r="M538" s="205">
        <v>43211</v>
      </c>
      <c r="N538" s="201"/>
      <c r="O538" s="201"/>
      <c r="P538" s="201" t="s">
        <v>2553</v>
      </c>
      <c r="AB538" s="110" t="str">
        <f>IFERROR(INDEX('WetLitterbags placem_collection'!$A$3:$A$500,MATCH(A538,'WetLitterbags placem_collection'!$K$4:$K$500,0)),"")</f>
        <v/>
      </c>
      <c r="AC538" s="110" t="str">
        <f>IFERROR(INDEX('WetLitterbags placem_collection'!$A$3:$A$500,MATCH($A538,'WetLitterbags placem_collection'!$O$4:$O$500,0)),"")</f>
        <v/>
      </c>
      <c r="AD538" s="110">
        <f>IFERROR(INDEX('WetLitterbags placem_collection'!$A$3:$A$500,MATCH($A538,'WetLitterbags placem_collection'!$M$4:$M$500,0)),"")</f>
        <v>216</v>
      </c>
      <c r="AE538" s="110" t="str">
        <f>IFERROR(INDEX('WetLitterbags placem_collection'!$A$3:$A$500,MATCH($A538,'WetLitterbags placem_collection'!$Q$4:$Q$500,0)),"")</f>
        <v/>
      </c>
    </row>
    <row r="539" spans="1:31">
      <c r="A539" s="197" t="s">
        <v>838</v>
      </c>
      <c r="C539" s="198">
        <v>200</v>
      </c>
      <c r="D539" s="197">
        <v>1.363</v>
      </c>
      <c r="E539" s="202">
        <v>11.7463</v>
      </c>
      <c r="F539" s="202">
        <v>0.20039999999999999</v>
      </c>
      <c r="G539" s="201">
        <f t="shared" si="42"/>
        <v>11.9467</v>
      </c>
      <c r="H539" s="201">
        <v>11.7552</v>
      </c>
      <c r="I539" s="201">
        <f t="shared" si="45"/>
        <v>0.19149999999999956</v>
      </c>
      <c r="J539" s="201">
        <f t="shared" si="43"/>
        <v>8.9000000000004353E-3</v>
      </c>
      <c r="K539" s="280">
        <f t="shared" si="44"/>
        <v>4.4411177644712749</v>
      </c>
      <c r="L539" s="201">
        <v>26</v>
      </c>
      <c r="AB539" s="110" t="str">
        <f>IFERROR(INDEX('WetLitterbags placem_collection'!$A$3:$A$500,MATCH(A539,'WetLitterbags placem_collection'!$K$4:$K$500,0)),"")</f>
        <v/>
      </c>
      <c r="AC539" s="110" t="str">
        <f>IFERROR(INDEX('WetLitterbags placem_collection'!$A$3:$A$500,MATCH($A539,'WetLitterbags placem_collection'!$O$4:$O$500,0)),"")</f>
        <v/>
      </c>
      <c r="AD539" s="110">
        <f>IFERROR(INDEX('WetLitterbags placem_collection'!$A$3:$A$500,MATCH($A539,'WetLitterbags placem_collection'!$M$4:$M$500,0)),"")</f>
        <v>199</v>
      </c>
      <c r="AE539" s="110" t="str">
        <f>IFERROR(INDEX('WetLitterbags placem_collection'!$A$3:$A$500,MATCH($A539,'WetLitterbags placem_collection'!$Q$4:$Q$500,0)),"")</f>
        <v/>
      </c>
    </row>
    <row r="540" spans="1:31">
      <c r="A540" s="206" t="s">
        <v>834</v>
      </c>
      <c r="C540" s="201">
        <v>174</v>
      </c>
      <c r="D540" s="201">
        <v>1.4733000000000001</v>
      </c>
      <c r="E540" s="202">
        <v>7.9611000000000001</v>
      </c>
      <c r="F540" s="202">
        <v>0.20150000000000001</v>
      </c>
      <c r="G540" s="201">
        <f t="shared" si="42"/>
        <v>8.1625999999999994</v>
      </c>
      <c r="H540" s="201">
        <v>7.9642999999999997</v>
      </c>
      <c r="I540" s="201">
        <f t="shared" si="45"/>
        <v>0.1982999999999997</v>
      </c>
      <c r="J540" s="201">
        <f t="shared" si="43"/>
        <v>3.2000000000003137E-3</v>
      </c>
      <c r="K540" s="280">
        <f t="shared" si="44"/>
        <v>1.5880893300249692</v>
      </c>
      <c r="L540" s="201">
        <v>8</v>
      </c>
      <c r="M540" s="207">
        <v>43186.458333333336</v>
      </c>
      <c r="N540" s="207">
        <v>43186.625</v>
      </c>
      <c r="O540" s="197" t="s">
        <v>2550</v>
      </c>
      <c r="P540" s="201"/>
      <c r="AB540" s="110" t="str">
        <f>IFERROR(INDEX('WetLitterbags placem_collection'!$A$3:$A$500,MATCH(A540,'WetLitterbags placem_collection'!$K$4:$K$500,0)),"")</f>
        <v/>
      </c>
      <c r="AC540" s="110" t="str">
        <f>IFERROR(INDEX('WetLitterbags placem_collection'!$A$3:$A$500,MATCH($A540,'WetLitterbags placem_collection'!$O$4:$O$500,0)),"")</f>
        <v/>
      </c>
      <c r="AD540" s="110">
        <f>IFERROR(INDEX('WetLitterbags placem_collection'!$A$3:$A$500,MATCH($A540,'WetLitterbags placem_collection'!$M$4:$M$500,0)),"")</f>
        <v>173</v>
      </c>
      <c r="AE540" s="110" t="str">
        <f>IFERROR(INDEX('WetLitterbags placem_collection'!$A$3:$A$500,MATCH($A540,'WetLitterbags placem_collection'!$Q$4:$Q$500,0)),"")</f>
        <v/>
      </c>
    </row>
    <row r="541" spans="1:31">
      <c r="A541" s="201" t="s">
        <v>832</v>
      </c>
      <c r="C541" s="201">
        <v>178</v>
      </c>
      <c r="D541" s="197">
        <v>1.4516</v>
      </c>
      <c r="E541" s="197">
        <v>8.7627000000000006</v>
      </c>
      <c r="F541" s="197">
        <v>0.2054</v>
      </c>
      <c r="G541" s="197">
        <f t="shared" si="42"/>
        <v>8.9680999999999997</v>
      </c>
      <c r="H541" s="197">
        <v>8.7645</v>
      </c>
      <c r="I541" s="197">
        <f t="shared" si="45"/>
        <v>0.20359999999999978</v>
      </c>
      <c r="J541" s="201">
        <f t="shared" si="43"/>
        <v>1.8000000000002181E-3</v>
      </c>
      <c r="K541" s="280">
        <f t="shared" si="44"/>
        <v>0.87633885102250153</v>
      </c>
      <c r="L541" s="197">
        <v>15</v>
      </c>
      <c r="M541" s="207">
        <v>43160.520833333336</v>
      </c>
      <c r="N541" s="207">
        <v>43160.6875</v>
      </c>
      <c r="O541" s="197" t="s">
        <v>2550</v>
      </c>
      <c r="AB541" s="110" t="str">
        <f>IFERROR(INDEX('WetLitterbags placem_collection'!$A$3:$A$500,MATCH(A541,'WetLitterbags placem_collection'!$K$4:$K$500,0)),"")</f>
        <v/>
      </c>
      <c r="AC541" s="110" t="str">
        <f>IFERROR(INDEX('WetLitterbags placem_collection'!$A$3:$A$500,MATCH($A541,'WetLitterbags placem_collection'!$O$4:$O$500,0)),"")</f>
        <v/>
      </c>
      <c r="AD541" s="110">
        <f>IFERROR(INDEX('WetLitterbags placem_collection'!$A$3:$A$500,MATCH($A541,'WetLitterbags placem_collection'!$M$4:$M$500,0)),"")</f>
        <v>177</v>
      </c>
      <c r="AE541" s="110" t="str">
        <f>IFERROR(INDEX('WetLitterbags placem_collection'!$A$3:$A$500,MATCH($A541,'WetLitterbags placem_collection'!$Q$4:$Q$500,0)),"")</f>
        <v/>
      </c>
    </row>
    <row r="542" spans="1:31">
      <c r="A542" s="197" t="s">
        <v>830</v>
      </c>
      <c r="C542" s="197">
        <v>75</v>
      </c>
      <c r="D542" s="197">
        <v>1.4560999999999999</v>
      </c>
      <c r="E542" s="202">
        <v>11.904</v>
      </c>
      <c r="F542" s="202">
        <v>0.2036</v>
      </c>
      <c r="G542" s="201">
        <f t="shared" si="42"/>
        <v>12.1076</v>
      </c>
      <c r="H542" s="201">
        <v>11.911199999999999</v>
      </c>
      <c r="I542" s="201">
        <f t="shared" si="45"/>
        <v>0.19640000000000057</v>
      </c>
      <c r="J542" s="201">
        <f t="shared" si="43"/>
        <v>7.1999999999994291E-3</v>
      </c>
      <c r="K542" s="280">
        <f t="shared" si="44"/>
        <v>3.5363457760311539</v>
      </c>
      <c r="L542" s="201">
        <v>19</v>
      </c>
      <c r="M542" s="204">
        <v>43221</v>
      </c>
      <c r="N542" s="204">
        <v>43221</v>
      </c>
      <c r="P542" s="197" t="s">
        <v>2145</v>
      </c>
      <c r="AB542" s="110" t="str">
        <f>IFERROR(INDEX('WetLitterbags placem_collection'!$A$3:$A$500,MATCH(A542,'WetLitterbags placem_collection'!$K$4:$K$500,0)),"")</f>
        <v/>
      </c>
      <c r="AC542" s="110" t="str">
        <f>IFERROR(INDEX('WetLitterbags placem_collection'!$A$3:$A$500,MATCH($A542,'WetLitterbags placem_collection'!$O$4:$O$500,0)),"")</f>
        <v/>
      </c>
      <c r="AD542" s="110" t="str">
        <f>IFERROR(INDEX('WetLitterbags placem_collection'!$A$3:$A$500,MATCH($A542,'WetLitterbags placem_collection'!$M$4:$M$500,0)),"")</f>
        <v/>
      </c>
      <c r="AE542" s="110">
        <f>IFERROR(INDEX('WetLitterbags placem_collection'!$A$3:$A$500,MATCH($A542,'WetLitterbags placem_collection'!$Q$4:$Q$500,0)),"")</f>
        <v>74</v>
      </c>
    </row>
    <row r="543" spans="1:31">
      <c r="A543" s="197" t="s">
        <v>829</v>
      </c>
      <c r="C543" s="197">
        <v>52</v>
      </c>
      <c r="D543" s="197">
        <v>1.2791999999999999</v>
      </c>
      <c r="E543" s="197">
        <v>10.855700000000001</v>
      </c>
      <c r="F543" s="197">
        <v>0.2097</v>
      </c>
      <c r="G543" s="197">
        <f t="shared" si="42"/>
        <v>11.0654</v>
      </c>
      <c r="H543" s="197">
        <v>10.876300000000001</v>
      </c>
      <c r="I543" s="197">
        <f t="shared" si="45"/>
        <v>0.18909999999999982</v>
      </c>
      <c r="J543" s="201">
        <f t="shared" si="43"/>
        <v>2.0600000000000174E-2</v>
      </c>
      <c r="K543" s="280">
        <f t="shared" si="44"/>
        <v>9.8235574630425244</v>
      </c>
      <c r="L543" s="197">
        <v>32</v>
      </c>
      <c r="M543" s="197" t="s">
        <v>2586</v>
      </c>
      <c r="N543" s="197" t="s">
        <v>2585</v>
      </c>
      <c r="O543" s="197" t="s">
        <v>2550</v>
      </c>
      <c r="U543" s="202" t="s">
        <v>1447</v>
      </c>
      <c r="V543" s="197">
        <v>1.0246</v>
      </c>
      <c r="W543" s="197">
        <f>(V543-$T$175+F541)</f>
        <v>1.23</v>
      </c>
      <c r="AB543" s="110" t="str">
        <f>IFERROR(INDEX('WetLitterbags placem_collection'!$A$3:$A$500,MATCH(A543,'WetLitterbags placem_collection'!$K$4:$K$500,0)),"")</f>
        <v/>
      </c>
      <c r="AC543" s="110" t="str">
        <f>IFERROR(INDEX('WetLitterbags placem_collection'!$A$3:$A$500,MATCH($A543,'WetLitterbags placem_collection'!$O$4:$O$500,0)),"")</f>
        <v/>
      </c>
      <c r="AD543" s="110" t="str">
        <f>IFERROR(INDEX('WetLitterbags placem_collection'!$A$3:$A$500,MATCH($A543,'WetLitterbags placem_collection'!$M$4:$M$500,0)),"")</f>
        <v/>
      </c>
      <c r="AE543" s="110">
        <f>IFERROR(INDEX('WetLitterbags placem_collection'!$A$3:$A$500,MATCH($A543,'WetLitterbags placem_collection'!$Q$4:$Q$500,0)),"")</f>
        <v>51</v>
      </c>
    </row>
    <row r="544" spans="1:31">
      <c r="A544" s="197" t="s">
        <v>829</v>
      </c>
      <c r="C544" s="197">
        <v>58</v>
      </c>
      <c r="D544" s="197">
        <v>0.96730000000000005</v>
      </c>
      <c r="E544" s="197">
        <v>9.3140999999999998</v>
      </c>
      <c r="F544" s="197">
        <v>0.19950000000000001</v>
      </c>
      <c r="G544" s="197">
        <f t="shared" si="42"/>
        <v>9.5136000000000003</v>
      </c>
      <c r="H544" s="197">
        <v>9.3429000000000002</v>
      </c>
      <c r="I544" s="197">
        <f t="shared" si="45"/>
        <v>0.17070000000000007</v>
      </c>
      <c r="J544" s="201">
        <f t="shared" si="43"/>
        <v>2.8799999999999937E-2</v>
      </c>
      <c r="K544" s="280">
        <f t="shared" si="44"/>
        <v>14.436090225563877</v>
      </c>
      <c r="L544" s="197">
        <v>37</v>
      </c>
      <c r="M544" s="197" t="s">
        <v>2586</v>
      </c>
      <c r="N544" s="197" t="s">
        <v>2585</v>
      </c>
      <c r="O544" s="197" t="s">
        <v>2550</v>
      </c>
      <c r="U544" s="202" t="s">
        <v>1148</v>
      </c>
      <c r="V544" s="197">
        <v>1.0179</v>
      </c>
      <c r="W544" s="197">
        <f>(V544-$T$175+F542)</f>
        <v>1.2215</v>
      </c>
      <c r="AB544" s="110" t="str">
        <f>IFERROR(INDEX('WetLitterbags placem_collection'!$A$3:$A$500,MATCH(A544,'WetLitterbags placem_collection'!$K$4:$K$500,0)),"")</f>
        <v/>
      </c>
      <c r="AC544" s="110" t="str">
        <f>IFERROR(INDEX('WetLitterbags placem_collection'!$A$3:$A$500,MATCH($A544,'WetLitterbags placem_collection'!$O$4:$O$500,0)),"")</f>
        <v/>
      </c>
      <c r="AD544" s="110" t="str">
        <f>IFERROR(INDEX('WetLitterbags placem_collection'!$A$3:$A$500,MATCH($A544,'WetLitterbags placem_collection'!$M$4:$M$500,0)),"")</f>
        <v/>
      </c>
      <c r="AE544" s="110">
        <f>IFERROR(INDEX('WetLitterbags placem_collection'!$A$3:$A$500,MATCH($A544,'WetLitterbags placem_collection'!$Q$4:$Q$500,0)),"")</f>
        <v>51</v>
      </c>
    </row>
    <row r="545" spans="1:31">
      <c r="A545" s="201" t="s">
        <v>826</v>
      </c>
      <c r="C545" s="201">
        <v>85</v>
      </c>
      <c r="D545" s="201">
        <v>1.2338</v>
      </c>
      <c r="E545" s="202">
        <v>9.7210999999999999</v>
      </c>
      <c r="F545" s="202">
        <v>0.20349999999999999</v>
      </c>
      <c r="G545" s="201">
        <f t="shared" si="42"/>
        <v>9.9245999999999999</v>
      </c>
      <c r="H545" s="201">
        <v>9.7422000000000004</v>
      </c>
      <c r="I545" s="201">
        <f t="shared" si="45"/>
        <v>0.18239999999999945</v>
      </c>
      <c r="J545" s="201">
        <f t="shared" si="43"/>
        <v>2.1100000000000535E-2</v>
      </c>
      <c r="K545" s="280">
        <f t="shared" si="44"/>
        <v>10.368550368550631</v>
      </c>
      <c r="L545" s="201">
        <v>41</v>
      </c>
      <c r="M545" s="207">
        <v>43186.458333333336</v>
      </c>
      <c r="N545" s="207">
        <v>43186.625</v>
      </c>
      <c r="O545" s="197" t="s">
        <v>2550</v>
      </c>
      <c r="P545" s="201"/>
      <c r="AB545" s="110" t="str">
        <f>IFERROR(INDEX('WetLitterbags placem_collection'!$A$3:$A$500,MATCH(A545,'WetLitterbags placem_collection'!$K$4:$K$500,0)),"")</f>
        <v/>
      </c>
      <c r="AC545" s="110" t="str">
        <f>IFERROR(INDEX('WetLitterbags placem_collection'!$A$3:$A$500,MATCH($A545,'WetLitterbags placem_collection'!$O$4:$O$500,0)),"")</f>
        <v/>
      </c>
      <c r="AD545" s="110">
        <f>IFERROR(INDEX('WetLitterbags placem_collection'!$A$3:$A$500,MATCH($A545,'WetLitterbags placem_collection'!$M$4:$M$500,0)),"")</f>
        <v>84</v>
      </c>
      <c r="AE545" s="110" t="str">
        <f>IFERROR(INDEX('WetLitterbags placem_collection'!$A$3:$A$500,MATCH($A545,'WetLitterbags placem_collection'!$Q$4:$Q$500,0)),"")</f>
        <v/>
      </c>
    </row>
    <row r="546" spans="1:31">
      <c r="A546" s="206" t="s">
        <v>824</v>
      </c>
      <c r="C546" s="201">
        <v>164</v>
      </c>
      <c r="D546" s="201">
        <v>1.4870000000000001</v>
      </c>
      <c r="E546" s="201">
        <v>7.8597999999999999</v>
      </c>
      <c r="F546" s="202">
        <v>0.2006</v>
      </c>
      <c r="G546" s="201">
        <f t="shared" si="42"/>
        <v>8.0603999999999996</v>
      </c>
      <c r="H546" s="201">
        <v>7.8639999999999999</v>
      </c>
      <c r="I546" s="201">
        <f t="shared" si="45"/>
        <v>0.19639999999999969</v>
      </c>
      <c r="J546" s="201">
        <f t="shared" si="43"/>
        <v>4.2000000000003146E-3</v>
      </c>
      <c r="K546" s="280">
        <f t="shared" si="44"/>
        <v>2.0937188434697482</v>
      </c>
      <c r="L546" s="201">
        <v>25</v>
      </c>
      <c r="M546" s="205">
        <v>43187</v>
      </c>
      <c r="N546" s="205">
        <v>43187</v>
      </c>
      <c r="O546" s="201"/>
      <c r="P546" s="201"/>
      <c r="AB546" s="110" t="str">
        <f>IFERROR(INDEX('WetLitterbags placem_collection'!$A$3:$A$500,MATCH(A546,'WetLitterbags placem_collection'!$K$4:$K$500,0)),"")</f>
        <v/>
      </c>
      <c r="AC546" s="110" t="str">
        <f>IFERROR(INDEX('WetLitterbags placem_collection'!$A$3:$A$500,MATCH($A546,'WetLitterbags placem_collection'!$O$4:$O$500,0)),"")</f>
        <v/>
      </c>
      <c r="AD546" s="110">
        <f>IFERROR(INDEX('WetLitterbags placem_collection'!$A$3:$A$500,MATCH($A546,'WetLitterbags placem_collection'!$M$4:$M$500,0)),"")</f>
        <v>163</v>
      </c>
      <c r="AE546" s="110" t="str">
        <f>IFERROR(INDEX('WetLitterbags placem_collection'!$A$3:$A$500,MATCH($A546,'WetLitterbags placem_collection'!$Q$4:$Q$500,0)),"")</f>
        <v/>
      </c>
    </row>
    <row r="547" spans="1:31">
      <c r="A547" s="197" t="s">
        <v>823</v>
      </c>
      <c r="C547" s="198">
        <v>96</v>
      </c>
      <c r="D547" s="197">
        <v>1.5516000000000001</v>
      </c>
      <c r="E547" s="197">
        <v>7.7140000000000004</v>
      </c>
      <c r="F547" s="202">
        <v>0.20130000000000001</v>
      </c>
      <c r="G547" s="201">
        <f t="shared" si="42"/>
        <v>7.9153000000000002</v>
      </c>
      <c r="H547" s="201">
        <v>7.7363999999999997</v>
      </c>
      <c r="I547" s="201">
        <f t="shared" si="45"/>
        <v>0.1789000000000005</v>
      </c>
      <c r="J547" s="201">
        <f t="shared" si="43"/>
        <v>2.2399999999999504E-2</v>
      </c>
      <c r="K547" s="280">
        <f t="shared" si="44"/>
        <v>11.127670144063339</v>
      </c>
      <c r="L547" s="201">
        <v>13</v>
      </c>
      <c r="AB547" s="110" t="str">
        <f>IFERROR(INDEX('WetLitterbags placem_collection'!$A$3:$A$500,MATCH(A547,'WetLitterbags placem_collection'!$K$4:$K$500,0)),"")</f>
        <v/>
      </c>
      <c r="AC547" s="110" t="str">
        <f>IFERROR(INDEX('WetLitterbags placem_collection'!$A$3:$A$500,MATCH($A547,'WetLitterbags placem_collection'!$O$4:$O$500,0)),"")</f>
        <v/>
      </c>
      <c r="AD547" s="110">
        <f>IFERROR(INDEX('WetLitterbags placem_collection'!$A$3:$A$500,MATCH($A547,'WetLitterbags placem_collection'!$M$4:$M$500,0)),"")</f>
        <v>95</v>
      </c>
      <c r="AE547" s="110" t="str">
        <f>IFERROR(INDEX('WetLitterbags placem_collection'!$A$3:$A$500,MATCH($A547,'WetLitterbags placem_collection'!$Q$4:$Q$500,0)),"")</f>
        <v/>
      </c>
    </row>
    <row r="548" spans="1:31">
      <c r="A548" s="197" t="s">
        <v>822</v>
      </c>
      <c r="C548" s="198">
        <v>220</v>
      </c>
      <c r="D548" s="197">
        <v>1.3140000000000001</v>
      </c>
      <c r="E548" s="202">
        <v>9.0319000000000003</v>
      </c>
      <c r="F548" s="202">
        <v>0.2011</v>
      </c>
      <c r="G548" s="201">
        <f t="shared" si="42"/>
        <v>9.2330000000000005</v>
      </c>
      <c r="H548" s="201">
        <v>9.0419999999999998</v>
      </c>
      <c r="I548" s="201">
        <f t="shared" si="45"/>
        <v>0.19100000000000072</v>
      </c>
      <c r="J548" s="201">
        <f t="shared" si="43"/>
        <v>1.0099999999999276E-2</v>
      </c>
      <c r="K548" s="280">
        <f t="shared" si="44"/>
        <v>5.0223769269016794</v>
      </c>
      <c r="L548" s="201">
        <v>20</v>
      </c>
      <c r="AB548" s="110" t="str">
        <f>IFERROR(INDEX('WetLitterbags placem_collection'!$A$3:$A$500,MATCH(A548,'WetLitterbags placem_collection'!$K$4:$K$500,0)),"")</f>
        <v/>
      </c>
      <c r="AC548" s="110" t="str">
        <f>IFERROR(INDEX('WetLitterbags placem_collection'!$A$3:$A$500,MATCH($A548,'WetLitterbags placem_collection'!$O$4:$O$500,0)),"")</f>
        <v/>
      </c>
      <c r="AD548" s="110" t="str">
        <f>IFERROR(INDEX('WetLitterbags placem_collection'!$A$3:$A$500,MATCH($A548,'WetLitterbags placem_collection'!$M$4:$M$500,0)),"")</f>
        <v/>
      </c>
      <c r="AE548" s="110">
        <f>IFERROR(INDEX('WetLitterbags placem_collection'!$A$3:$A$500,MATCH($A548,'WetLitterbags placem_collection'!$Q$4:$Q$500,0)),"")</f>
        <v>219</v>
      </c>
    </row>
    <row r="549" spans="1:31">
      <c r="A549" s="197" t="s">
        <v>1109</v>
      </c>
      <c r="C549" s="198">
        <v>179</v>
      </c>
      <c r="D549" s="197">
        <v>1.4331</v>
      </c>
      <c r="E549" s="202">
        <v>11.1722</v>
      </c>
      <c r="F549" s="202">
        <v>0.2056</v>
      </c>
      <c r="G549" s="201">
        <f t="shared" si="42"/>
        <v>11.377800000000001</v>
      </c>
      <c r="H549" s="201">
        <v>11.176</v>
      </c>
      <c r="I549" s="201">
        <f t="shared" si="45"/>
        <v>0.20180000000000042</v>
      </c>
      <c r="J549" s="201">
        <f t="shared" si="43"/>
        <v>3.7999999999995815E-3</v>
      </c>
      <c r="K549" s="280">
        <f t="shared" si="44"/>
        <v>1.8482490272371503</v>
      </c>
      <c r="L549" s="201">
        <v>7</v>
      </c>
      <c r="AB549" s="110" t="str">
        <f>IFERROR(INDEX('WetLitterbags placem_collection'!$A$3:$A$500,MATCH(A549,'WetLitterbags placem_collection'!$K$4:$K$500,0)),"")</f>
        <v/>
      </c>
      <c r="AC549" s="110" t="str">
        <f>IFERROR(INDEX('WetLitterbags placem_collection'!$A$3:$A$500,MATCH($A549,'WetLitterbags placem_collection'!$O$4:$O$500,0)),"")</f>
        <v/>
      </c>
      <c r="AD549" s="110">
        <f>IFERROR(INDEX('WetLitterbags placem_collection'!$A$3:$A$500,MATCH($A549,'WetLitterbags placem_collection'!$M$4:$M$500,0)),"")</f>
        <v>178</v>
      </c>
      <c r="AE549" s="110" t="str">
        <f>IFERROR(INDEX('WetLitterbags placem_collection'!$A$3:$A$500,MATCH($A549,'WetLitterbags placem_collection'!$Q$4:$Q$500,0)),"")</f>
        <v/>
      </c>
    </row>
    <row r="550" spans="1:31">
      <c r="A550" s="206" t="s">
        <v>819</v>
      </c>
      <c r="C550" s="201">
        <v>168</v>
      </c>
      <c r="D550" s="201">
        <v>1.4461999999999999</v>
      </c>
      <c r="E550" s="202">
        <v>10.520200000000001</v>
      </c>
      <c r="F550" s="202">
        <v>0.20119999999999999</v>
      </c>
      <c r="G550" s="201">
        <f t="shared" si="42"/>
        <v>10.721400000000001</v>
      </c>
      <c r="H550" s="201">
        <v>10.5245</v>
      </c>
      <c r="I550" s="201">
        <f t="shared" si="45"/>
        <v>0.19690000000000119</v>
      </c>
      <c r="J550" s="201">
        <f t="shared" si="43"/>
        <v>4.2999999999988048E-3</v>
      </c>
      <c r="K550" s="280">
        <f t="shared" si="44"/>
        <v>2.1371769383691874</v>
      </c>
      <c r="L550" s="201">
        <v>10</v>
      </c>
      <c r="M550" s="207">
        <v>43185.385416666664</v>
      </c>
      <c r="N550" s="201"/>
      <c r="O550" s="201" t="s">
        <v>2556</v>
      </c>
      <c r="P550" s="201"/>
      <c r="AB550" s="110" t="str">
        <f>IFERROR(INDEX('WetLitterbags placem_collection'!$A$3:$A$500,MATCH(A550,'WetLitterbags placem_collection'!$K$4:$K$500,0)),"")</f>
        <v/>
      </c>
      <c r="AC550" s="110" t="str">
        <f>IFERROR(INDEX('WetLitterbags placem_collection'!$A$3:$A$500,MATCH($A550,'WetLitterbags placem_collection'!$O$4:$O$500,0)),"")</f>
        <v/>
      </c>
      <c r="AD550" s="110" t="str">
        <f>IFERROR(INDEX('WetLitterbags placem_collection'!$A$3:$A$500,MATCH($A550,'WetLitterbags placem_collection'!$M$4:$M$500,0)),"")</f>
        <v/>
      </c>
      <c r="AE550" s="110">
        <f>IFERROR(INDEX('WetLitterbags placem_collection'!$A$3:$A$500,MATCH($A550,'WetLitterbags placem_collection'!$Q$4:$Q$500,0)),"")</f>
        <v>167</v>
      </c>
    </row>
    <row r="551" spans="1:31">
      <c r="A551" s="197" t="s">
        <v>818</v>
      </c>
      <c r="C551" s="198">
        <v>31</v>
      </c>
      <c r="D551" s="197">
        <v>1.2133</v>
      </c>
      <c r="E551" s="197">
        <v>11.443899999999999</v>
      </c>
      <c r="F551" s="202">
        <v>0.2064</v>
      </c>
      <c r="G551" s="201">
        <f t="shared" si="42"/>
        <v>11.6503</v>
      </c>
      <c r="H551" s="201">
        <v>11.485300000000001</v>
      </c>
      <c r="I551" s="201">
        <f t="shared" si="45"/>
        <v>0.16499999999999915</v>
      </c>
      <c r="J551" s="201">
        <f t="shared" si="43"/>
        <v>4.1400000000000853E-2</v>
      </c>
      <c r="K551" s="280">
        <f t="shared" si="44"/>
        <v>20.058139534884134</v>
      </c>
      <c r="L551" s="201">
        <v>23</v>
      </c>
      <c r="AB551" s="110" t="str">
        <f>IFERROR(INDEX('WetLitterbags placem_collection'!$A$3:$A$500,MATCH(A551,'WetLitterbags placem_collection'!$K$4:$K$500,0)),"")</f>
        <v/>
      </c>
      <c r="AC551" s="110" t="str">
        <f>IFERROR(INDEX('WetLitterbags placem_collection'!$A$3:$A$500,MATCH($A551,'WetLitterbags placem_collection'!$O$4:$O$500,0)),"")</f>
        <v/>
      </c>
      <c r="AD551" s="110" t="str">
        <f>IFERROR(INDEX('WetLitterbags placem_collection'!$A$3:$A$500,MATCH($A551,'WetLitterbags placem_collection'!$M$4:$M$500,0)),"")</f>
        <v/>
      </c>
      <c r="AE551" s="110">
        <f>IFERROR(INDEX('WetLitterbags placem_collection'!$A$3:$A$500,MATCH($A551,'WetLitterbags placem_collection'!$Q$4:$Q$500,0)),"")</f>
        <v>30</v>
      </c>
    </row>
    <row r="552" spans="1:31">
      <c r="A552" s="202" t="s">
        <v>815</v>
      </c>
      <c r="C552" s="201">
        <v>176</v>
      </c>
      <c r="D552" s="201">
        <v>1.4487999999999999</v>
      </c>
      <c r="E552" s="201">
        <v>8.1203000000000003</v>
      </c>
      <c r="F552" s="201">
        <v>0.20899999999999999</v>
      </c>
      <c r="G552" s="201">
        <f t="shared" si="42"/>
        <v>8.3292999999999999</v>
      </c>
      <c r="H552" s="201">
        <v>8.1327999999999996</v>
      </c>
      <c r="I552" s="201">
        <f t="shared" si="45"/>
        <v>0.19650000000000034</v>
      </c>
      <c r="J552" s="201">
        <f t="shared" si="43"/>
        <v>1.249999999999965E-2</v>
      </c>
      <c r="K552" s="280">
        <f t="shared" si="44"/>
        <v>5.9808612440189712</v>
      </c>
      <c r="L552" s="201">
        <v>20</v>
      </c>
      <c r="M552" s="205">
        <v>43173</v>
      </c>
      <c r="N552" s="205">
        <v>43173</v>
      </c>
      <c r="O552" s="201" t="s">
        <v>2556</v>
      </c>
      <c r="P552" s="201" t="s">
        <v>2555</v>
      </c>
      <c r="AB552" s="110" t="str">
        <f>IFERROR(INDEX('WetLitterbags placem_collection'!$A$3:$A$500,MATCH(A552,'WetLitterbags placem_collection'!$K$4:$K$500,0)),"")</f>
        <v/>
      </c>
      <c r="AC552" s="110" t="str">
        <f>IFERROR(INDEX('WetLitterbags placem_collection'!$A$3:$A$500,MATCH($A552,'WetLitterbags placem_collection'!$O$4:$O$500,0)),"")</f>
        <v/>
      </c>
      <c r="AD552" s="110">
        <f>IFERROR(INDEX('WetLitterbags placem_collection'!$A$3:$A$500,MATCH($A552,'WetLitterbags placem_collection'!$M$4:$M$500,0)),"")</f>
        <v>175</v>
      </c>
      <c r="AE552" s="110" t="str">
        <f>IFERROR(INDEX('WetLitterbags placem_collection'!$A$3:$A$500,MATCH($A552,'WetLitterbags placem_collection'!$Q$4:$Q$500,0)),"")</f>
        <v/>
      </c>
    </row>
    <row r="553" spans="1:31">
      <c r="A553" s="206" t="s">
        <v>813</v>
      </c>
      <c r="C553" s="201">
        <v>206</v>
      </c>
      <c r="D553" s="201">
        <v>1.3629</v>
      </c>
      <c r="E553" s="201">
        <v>8.0951000000000004</v>
      </c>
      <c r="F553" s="202">
        <v>0.2041</v>
      </c>
      <c r="G553" s="201">
        <f t="shared" si="42"/>
        <v>8.2992000000000008</v>
      </c>
      <c r="H553" s="201">
        <v>8.1071000000000009</v>
      </c>
      <c r="I553" s="201">
        <f t="shared" si="45"/>
        <v>0.19209999999999994</v>
      </c>
      <c r="J553" s="201">
        <f t="shared" si="43"/>
        <v>1.2000000000000066E-2</v>
      </c>
      <c r="K553" s="280">
        <f t="shared" si="44"/>
        <v>5.8794708476237458</v>
      </c>
      <c r="L553" s="201">
        <v>11</v>
      </c>
      <c r="M553" s="205">
        <v>43187</v>
      </c>
      <c r="N553" s="205">
        <v>43187</v>
      </c>
      <c r="O553" s="201"/>
      <c r="P553" s="201"/>
      <c r="AB553" s="110" t="str">
        <f>IFERROR(INDEX('WetLitterbags placem_collection'!$A$3:$A$500,MATCH(A553,'WetLitterbags placem_collection'!$K$4:$K$500,0)),"")</f>
        <v/>
      </c>
      <c r="AC553" s="110" t="str">
        <f>IFERROR(INDEX('WetLitterbags placem_collection'!$A$3:$A$500,MATCH($A553,'WetLitterbags placem_collection'!$O$4:$O$500,0)),"")</f>
        <v/>
      </c>
      <c r="AD553" s="110" t="str">
        <f>IFERROR(INDEX('WetLitterbags placem_collection'!$A$3:$A$500,MATCH($A553,'WetLitterbags placem_collection'!$M$4:$M$500,0)),"")</f>
        <v/>
      </c>
      <c r="AE553" s="110">
        <f>IFERROR(INDEX('WetLitterbags placem_collection'!$A$3:$A$500,MATCH($A553,'WetLitterbags placem_collection'!$Q$4:$Q$500,0)),"")</f>
        <v>205</v>
      </c>
    </row>
    <row r="554" spans="1:31">
      <c r="A554" s="197" t="s">
        <v>812</v>
      </c>
      <c r="C554" s="197">
        <v>87</v>
      </c>
      <c r="D554" s="197">
        <v>1.4715</v>
      </c>
      <c r="E554" s="197">
        <v>21.069500000000001</v>
      </c>
      <c r="F554" s="197">
        <v>0.2029</v>
      </c>
      <c r="G554" s="197">
        <f t="shared" si="42"/>
        <v>21.272400000000001</v>
      </c>
      <c r="H554" s="197">
        <v>21.081199999999999</v>
      </c>
      <c r="I554" s="197">
        <f t="shared" si="45"/>
        <v>0.19120000000000203</v>
      </c>
      <c r="J554" s="201">
        <f t="shared" si="43"/>
        <v>1.1699999999997962E-2</v>
      </c>
      <c r="K554" s="280">
        <f t="shared" si="44"/>
        <v>5.7663873829462604</v>
      </c>
      <c r="L554" s="197">
        <v>14</v>
      </c>
      <c r="M554" s="197" t="s">
        <v>2580</v>
      </c>
      <c r="N554" s="197" t="s">
        <v>2579</v>
      </c>
      <c r="O554" s="197" t="s">
        <v>2556</v>
      </c>
      <c r="AB554" s="110" t="str">
        <f>IFERROR(INDEX('WetLitterbags placem_collection'!$A$3:$A$500,MATCH(A554,'WetLitterbags placem_collection'!$K$4:$K$500,0)),"")</f>
        <v/>
      </c>
      <c r="AC554" s="110" t="str">
        <f>IFERROR(INDEX('WetLitterbags placem_collection'!$A$3:$A$500,MATCH($A554,'WetLitterbags placem_collection'!$O$4:$O$500,0)),"")</f>
        <v/>
      </c>
      <c r="AD554" s="110" t="str">
        <f>IFERROR(INDEX('WetLitterbags placem_collection'!$A$3:$A$500,MATCH($A554,'WetLitterbags placem_collection'!$M$4:$M$500,0)),"")</f>
        <v/>
      </c>
      <c r="AE554" s="110">
        <f>IFERROR(INDEX('WetLitterbags placem_collection'!$A$3:$A$500,MATCH($A554,'WetLitterbags placem_collection'!$Q$4:$Q$500,0)),"")</f>
        <v>86</v>
      </c>
    </row>
    <row r="555" spans="1:31">
      <c r="A555" s="197" t="s">
        <v>1108</v>
      </c>
      <c r="C555" s="197">
        <v>106</v>
      </c>
      <c r="D555" s="197">
        <v>1.3362000000000001</v>
      </c>
      <c r="E555" s="197">
        <v>7.7127999999999997</v>
      </c>
      <c r="F555" s="197">
        <v>0.2044</v>
      </c>
      <c r="G555" s="197">
        <f t="shared" si="42"/>
        <v>7.9171999999999993</v>
      </c>
      <c r="H555" s="197">
        <v>7.7276999999999996</v>
      </c>
      <c r="I555" s="197">
        <f t="shared" si="45"/>
        <v>0.18949999999999978</v>
      </c>
      <c r="J555" s="201">
        <f t="shared" si="43"/>
        <v>1.4900000000000219E-2</v>
      </c>
      <c r="K555" s="280">
        <f t="shared" si="44"/>
        <v>7.2896281800392453</v>
      </c>
      <c r="L555" s="197">
        <v>3</v>
      </c>
      <c r="M555" s="197">
        <v>43157.395833333336</v>
      </c>
      <c r="N555" s="197">
        <v>43157.569444444445</v>
      </c>
      <c r="O555" s="197" t="s">
        <v>2550</v>
      </c>
      <c r="AB555" s="110" t="str">
        <f>IFERROR(INDEX('WetLitterbags placem_collection'!$A$3:$A$500,MATCH(A555,'WetLitterbags placem_collection'!$K$4:$K$500,0)),"")</f>
        <v/>
      </c>
      <c r="AC555" s="110" t="str">
        <f>IFERROR(INDEX('WetLitterbags placem_collection'!$A$3:$A$500,MATCH($A555,'WetLitterbags placem_collection'!$O$4:$O$500,0)),"")</f>
        <v/>
      </c>
      <c r="AD555" s="110" t="str">
        <f>IFERROR(INDEX('WetLitterbags placem_collection'!$A$3:$A$500,MATCH($A555,'WetLitterbags placem_collection'!$M$4:$M$500,0)),"")</f>
        <v/>
      </c>
      <c r="AE555" s="110">
        <f>IFERROR(INDEX('WetLitterbags placem_collection'!$A$3:$A$500,MATCH($A555,'WetLitterbags placem_collection'!$Q$4:$Q$500,0)),"")</f>
        <v>108</v>
      </c>
    </row>
    <row r="556" spans="1:31">
      <c r="A556" s="201" t="s">
        <v>811</v>
      </c>
      <c r="C556" s="201">
        <v>170</v>
      </c>
      <c r="D556" s="201">
        <v>1.5392999999999999</v>
      </c>
      <c r="E556" s="201">
        <v>10.1532</v>
      </c>
      <c r="F556" s="202">
        <v>0.20330000000000001</v>
      </c>
      <c r="G556" s="201">
        <f t="shared" si="42"/>
        <v>10.3565</v>
      </c>
      <c r="H556" s="201">
        <v>10.1576</v>
      </c>
      <c r="I556" s="201">
        <f t="shared" si="45"/>
        <v>0.19890000000000008</v>
      </c>
      <c r="J556" s="201">
        <f t="shared" si="43"/>
        <v>4.3999999999999317E-3</v>
      </c>
      <c r="K556" s="280">
        <f t="shared" si="44"/>
        <v>2.1642892277422194</v>
      </c>
      <c r="L556" s="201">
        <v>2</v>
      </c>
      <c r="M556" s="205">
        <v>43187</v>
      </c>
      <c r="N556" s="205">
        <v>43187</v>
      </c>
      <c r="O556" s="201"/>
      <c r="P556" s="201"/>
      <c r="AB556" s="110" t="str">
        <f>IFERROR(INDEX('WetLitterbags placem_collection'!$A$3:$A$500,MATCH(A556,'WetLitterbags placem_collection'!$K$4:$K$500,0)),"")</f>
        <v/>
      </c>
      <c r="AC556" s="110" t="str">
        <f>IFERROR(INDEX('WetLitterbags placem_collection'!$A$3:$A$500,MATCH($A556,'WetLitterbags placem_collection'!$O$4:$O$500,0)),"")</f>
        <v/>
      </c>
      <c r="AD556" s="110">
        <f>IFERROR(INDEX('WetLitterbags placem_collection'!$A$3:$A$500,MATCH($A556,'WetLitterbags placem_collection'!$M$4:$M$500,0)),"")</f>
        <v>169</v>
      </c>
      <c r="AE556" s="110" t="str">
        <f>IFERROR(INDEX('WetLitterbags placem_collection'!$A$3:$A$500,MATCH($A556,'WetLitterbags placem_collection'!$Q$4:$Q$500,0)),"")</f>
        <v/>
      </c>
    </row>
    <row r="557" spans="1:31">
      <c r="A557" s="197" t="s">
        <v>810</v>
      </c>
      <c r="C557" s="201">
        <v>165</v>
      </c>
      <c r="D557" s="201">
        <v>1.4888999999999999</v>
      </c>
      <c r="E557" s="201">
        <v>10.677</v>
      </c>
      <c r="F557" s="201">
        <v>0.2185</v>
      </c>
      <c r="G557" s="201">
        <f t="shared" si="42"/>
        <v>10.8955</v>
      </c>
      <c r="H557" s="201">
        <v>10.682600000000001</v>
      </c>
      <c r="I557" s="201">
        <f t="shared" ref="I557:I588" si="46">(G557-H557)</f>
        <v>0.21289999999999942</v>
      </c>
      <c r="J557" s="201">
        <f t="shared" si="43"/>
        <v>5.6000000000005767E-3</v>
      </c>
      <c r="K557" s="280">
        <f t="shared" si="44"/>
        <v>2.562929061785161</v>
      </c>
      <c r="L557" s="201">
        <v>18</v>
      </c>
      <c r="M557" s="203">
        <v>43164.628472222219</v>
      </c>
      <c r="N557" s="203">
        <v>43164.795138888891</v>
      </c>
      <c r="O557" s="197" t="s">
        <v>2550</v>
      </c>
      <c r="P557"/>
      <c r="Q557"/>
      <c r="AB557" s="110" t="str">
        <f>IFERROR(INDEX('WetLitterbags placem_collection'!$A$3:$A$500,MATCH(A557,'WetLitterbags placem_collection'!$K$4:$K$500,0)),"")</f>
        <v/>
      </c>
      <c r="AC557" s="110" t="str">
        <f>IFERROR(INDEX('WetLitterbags placem_collection'!$A$3:$A$500,MATCH($A557,'WetLitterbags placem_collection'!$O$4:$O$500,0)),"")</f>
        <v/>
      </c>
      <c r="AD557" s="110">
        <f>IFERROR(INDEX('WetLitterbags placem_collection'!$A$3:$A$500,MATCH($A557,'WetLitterbags placem_collection'!$M$4:$M$500,0)),"")</f>
        <v>164</v>
      </c>
      <c r="AE557" s="110" t="str">
        <f>IFERROR(INDEX('WetLitterbags placem_collection'!$A$3:$A$500,MATCH($A557,'WetLitterbags placem_collection'!$Q$4:$Q$500,0)),"")</f>
        <v/>
      </c>
    </row>
    <row r="558" spans="1:31">
      <c r="A558" s="197" t="s">
        <v>808</v>
      </c>
      <c r="C558" s="201">
        <v>65</v>
      </c>
      <c r="D558" s="201">
        <v>1.3767</v>
      </c>
      <c r="E558" s="202">
        <v>9.8209999999999997</v>
      </c>
      <c r="F558" s="202">
        <v>0.20030000000000001</v>
      </c>
      <c r="G558" s="201">
        <f t="shared" si="42"/>
        <v>10.0213</v>
      </c>
      <c r="H558" s="201">
        <v>9.8289000000000009</v>
      </c>
      <c r="I558" s="201">
        <f t="shared" si="46"/>
        <v>0.19239999999999924</v>
      </c>
      <c r="J558" s="201">
        <f t="shared" si="43"/>
        <v>7.9000000000007675E-3</v>
      </c>
      <c r="K558" s="280">
        <f t="shared" si="44"/>
        <v>3.9440838741890998</v>
      </c>
      <c r="L558" s="201">
        <v>1</v>
      </c>
      <c r="M558" s="205">
        <v>43199</v>
      </c>
      <c r="N558" s="205">
        <v>43199</v>
      </c>
      <c r="O558" s="201"/>
      <c r="P558" s="201" t="s">
        <v>2584</v>
      </c>
      <c r="AB558" s="110" t="str">
        <f>IFERROR(INDEX('WetLitterbags placem_collection'!$A$3:$A$500,MATCH(A558,'WetLitterbags placem_collection'!$K$4:$K$500,0)),"")</f>
        <v/>
      </c>
      <c r="AC558" s="110" t="str">
        <f>IFERROR(INDEX('WetLitterbags placem_collection'!$A$3:$A$500,MATCH($A558,'WetLitterbags placem_collection'!$O$4:$O$500,0)),"")</f>
        <v/>
      </c>
      <c r="AD558" s="110" t="str">
        <f>IFERROR(INDEX('WetLitterbags placem_collection'!$A$3:$A$500,MATCH($A558,'WetLitterbags placem_collection'!$M$4:$M$500,0)),"")</f>
        <v/>
      </c>
      <c r="AE558" s="110">
        <f>IFERROR(INDEX('WetLitterbags placem_collection'!$A$3:$A$500,MATCH($A558,'WetLitterbags placem_collection'!$Q$4:$Q$500,0)),"")</f>
        <v>64</v>
      </c>
    </row>
    <row r="559" spans="1:31">
      <c r="A559" s="201" t="s">
        <v>807</v>
      </c>
      <c r="C559" s="181">
        <v>204</v>
      </c>
      <c r="D559" s="197">
        <v>1.3375999999999999</v>
      </c>
      <c r="E559" s="197">
        <v>7.0744999999999996</v>
      </c>
      <c r="F559" s="197">
        <v>0.20680000000000001</v>
      </c>
      <c r="G559" s="197">
        <f t="shared" si="42"/>
        <v>7.2812999999999999</v>
      </c>
      <c r="H559" s="197">
        <v>7.0857999999999999</v>
      </c>
      <c r="I559" s="197">
        <f t="shared" si="46"/>
        <v>0.19550000000000001</v>
      </c>
      <c r="J559" s="201">
        <f t="shared" si="43"/>
        <v>1.1300000000000004E-2</v>
      </c>
      <c r="K559" s="280">
        <f t="shared" si="44"/>
        <v>5.4642166344294019</v>
      </c>
      <c r="L559" s="197">
        <v>9</v>
      </c>
      <c r="M559" s="207">
        <v>43160.520833333336</v>
      </c>
      <c r="N559" s="207">
        <v>43160.6875</v>
      </c>
      <c r="O559" s="197" t="s">
        <v>2550</v>
      </c>
      <c r="AB559" s="110" t="str">
        <f>IFERROR(INDEX('WetLitterbags placem_collection'!$A$3:$A$500,MATCH(A559,'WetLitterbags placem_collection'!$K$4:$K$500,0)),"")</f>
        <v/>
      </c>
      <c r="AC559" s="110" t="str">
        <f>IFERROR(INDEX('WetLitterbags placem_collection'!$A$3:$A$500,MATCH($A559,'WetLitterbags placem_collection'!$O$4:$O$500,0)),"")</f>
        <v/>
      </c>
      <c r="AD559" s="110">
        <f>IFERROR(INDEX('WetLitterbags placem_collection'!$A$3:$A$500,MATCH($A559,'WetLitterbags placem_collection'!$M$4:$M$500,0)),"")</f>
        <v>203</v>
      </c>
      <c r="AE559" s="110" t="str">
        <f>IFERROR(INDEX('WetLitterbags placem_collection'!$A$3:$A$500,MATCH($A559,'WetLitterbags placem_collection'!$Q$4:$Q$500,0)),"")</f>
        <v/>
      </c>
    </row>
    <row r="560" spans="1:31">
      <c r="A560" s="197" t="s">
        <v>805</v>
      </c>
      <c r="C560" s="198">
        <v>191</v>
      </c>
      <c r="D560" s="197">
        <v>1.4473</v>
      </c>
      <c r="E560" s="202">
        <v>9.1560000000000006</v>
      </c>
      <c r="F560" s="202">
        <v>0.20430000000000001</v>
      </c>
      <c r="G560" s="201">
        <f t="shared" si="42"/>
        <v>9.3603000000000005</v>
      </c>
      <c r="H560" s="201">
        <v>9.1599000000000004</v>
      </c>
      <c r="I560" s="201">
        <f t="shared" si="46"/>
        <v>0.20040000000000013</v>
      </c>
      <c r="J560" s="201">
        <f t="shared" si="43"/>
        <v>3.8999999999998758E-3</v>
      </c>
      <c r="K560" s="280">
        <f t="shared" si="44"/>
        <v>1.9089574155652842</v>
      </c>
      <c r="L560" s="201">
        <v>21</v>
      </c>
      <c r="AB560" s="110" t="str">
        <f>IFERROR(INDEX('WetLitterbags placem_collection'!$A$3:$A$500,MATCH(A560,'WetLitterbags placem_collection'!$K$4:$K$500,0)),"")</f>
        <v/>
      </c>
      <c r="AC560" s="110" t="str">
        <f>IFERROR(INDEX('WetLitterbags placem_collection'!$A$3:$A$500,MATCH($A560,'WetLitterbags placem_collection'!$O$4:$O$500,0)),"")</f>
        <v/>
      </c>
      <c r="AD560" s="110">
        <f>IFERROR(INDEX('WetLitterbags placem_collection'!$A$3:$A$500,MATCH($A560,'WetLitterbags placem_collection'!$M$4:$M$500,0)),"")</f>
        <v>190</v>
      </c>
      <c r="AE560" s="110" t="str">
        <f>IFERROR(INDEX('WetLitterbags placem_collection'!$A$3:$A$500,MATCH($A560,'WetLitterbags placem_collection'!$Q$4:$Q$500,0)),"")</f>
        <v/>
      </c>
    </row>
    <row r="561" spans="1:31">
      <c r="A561" s="197" t="s">
        <v>802</v>
      </c>
      <c r="C561" s="201">
        <v>199</v>
      </c>
      <c r="D561" s="202">
        <v>1.3551</v>
      </c>
      <c r="E561" s="202">
        <v>10.743499999999999</v>
      </c>
      <c r="F561" s="201">
        <v>0.20610000000000001</v>
      </c>
      <c r="G561" s="201">
        <f t="shared" si="42"/>
        <v>10.949599999999998</v>
      </c>
      <c r="H561" s="201">
        <v>10.750999999999999</v>
      </c>
      <c r="I561" s="201">
        <f t="shared" si="46"/>
        <v>0.198599999999999</v>
      </c>
      <c r="J561" s="201">
        <f t="shared" si="43"/>
        <v>7.5000000000010059E-3</v>
      </c>
      <c r="K561" s="280">
        <f t="shared" si="44"/>
        <v>3.6390101892290181</v>
      </c>
      <c r="L561" s="201">
        <v>2</v>
      </c>
      <c r="M561" s="201"/>
      <c r="N561" s="201"/>
      <c r="O561" s="201"/>
      <c r="P561" s="201"/>
      <c r="AB561" s="110" t="str">
        <f>IFERROR(INDEX('WetLitterbags placem_collection'!$A$3:$A$500,MATCH(A561,'WetLitterbags placem_collection'!$K$4:$K$500,0)),"")</f>
        <v/>
      </c>
      <c r="AC561" s="110" t="str">
        <f>IFERROR(INDEX('WetLitterbags placem_collection'!$A$3:$A$500,MATCH($A561,'WetLitterbags placem_collection'!$O$4:$O$500,0)),"")</f>
        <v/>
      </c>
      <c r="AD561" s="110">
        <f>IFERROR(INDEX('WetLitterbags placem_collection'!$A$3:$A$500,MATCH($A561,'WetLitterbags placem_collection'!$M$4:$M$500,0)),"")</f>
        <v>198</v>
      </c>
      <c r="AE561" s="110" t="str">
        <f>IFERROR(INDEX('WetLitterbags placem_collection'!$A$3:$A$500,MATCH($A561,'WetLitterbags placem_collection'!$Q$4:$Q$500,0)),"")</f>
        <v/>
      </c>
    </row>
    <row r="562" spans="1:31">
      <c r="A562" s="201" t="s">
        <v>1107</v>
      </c>
      <c r="C562" s="201">
        <v>137</v>
      </c>
      <c r="D562" s="202">
        <v>1.3187</v>
      </c>
      <c r="E562" s="201">
        <v>8.0467999999999993</v>
      </c>
      <c r="F562" s="202">
        <v>0.2026</v>
      </c>
      <c r="G562" s="201">
        <f t="shared" si="42"/>
        <v>8.2493999999999996</v>
      </c>
      <c r="H562" s="201">
        <v>8.0627999999999993</v>
      </c>
      <c r="I562" s="201">
        <f t="shared" si="46"/>
        <v>0.18660000000000032</v>
      </c>
      <c r="J562" s="201">
        <f t="shared" si="43"/>
        <v>1.5999999999999681E-2</v>
      </c>
      <c r="K562" s="280">
        <f t="shared" si="44"/>
        <v>7.897334649555618</v>
      </c>
      <c r="L562" s="201">
        <v>26</v>
      </c>
      <c r="M562" s="205">
        <v>43206</v>
      </c>
      <c r="N562" s="205">
        <v>43206</v>
      </c>
      <c r="O562" s="201"/>
      <c r="P562" s="201"/>
      <c r="AB562" s="110" t="str">
        <f>IFERROR(INDEX('WetLitterbags placem_collection'!$A$3:$A$500,MATCH(A562,'WetLitterbags placem_collection'!$K$4:$K$500,0)),"")</f>
        <v/>
      </c>
      <c r="AC562" s="110" t="str">
        <f>IFERROR(INDEX('WetLitterbags placem_collection'!$A$3:$A$500,MATCH($A562,'WetLitterbags placem_collection'!$O$4:$O$500,0)),"")</f>
        <v/>
      </c>
      <c r="AD562" s="110">
        <f>IFERROR(INDEX('WetLitterbags placem_collection'!$A$3:$A$500,MATCH($A562,'WetLitterbags placem_collection'!$M$4:$M$500,0)),"")</f>
        <v>136</v>
      </c>
      <c r="AE562" s="110" t="str">
        <f>IFERROR(INDEX('WetLitterbags placem_collection'!$A$3:$A$500,MATCH($A562,'WetLitterbags placem_collection'!$Q$4:$Q$500,0)),"")</f>
        <v/>
      </c>
    </row>
    <row r="563" spans="1:31">
      <c r="A563" s="197" t="s">
        <v>801</v>
      </c>
      <c r="C563" s="197">
        <v>210</v>
      </c>
      <c r="D563" s="197">
        <v>1.3895</v>
      </c>
      <c r="E563" s="201">
        <v>8.1191999999999993</v>
      </c>
      <c r="F563" s="202">
        <v>0.20680000000000001</v>
      </c>
      <c r="G563" s="201">
        <f t="shared" ref="G563:G626" si="47">E563+F563</f>
        <v>8.3259999999999987</v>
      </c>
      <c r="H563" s="201">
        <v>8.141</v>
      </c>
      <c r="I563" s="201">
        <f t="shared" si="46"/>
        <v>0.18499999999999872</v>
      </c>
      <c r="J563" s="201">
        <f t="shared" ref="J563:J626" si="48">F563-I563</f>
        <v>2.1800000000001291E-2</v>
      </c>
      <c r="K563" s="280">
        <f t="shared" ref="K563:K626" si="49">(J563/F563)*100</f>
        <v>10.541586073501591</v>
      </c>
      <c r="L563" s="201">
        <v>42</v>
      </c>
      <c r="M563" s="204">
        <v>43212</v>
      </c>
      <c r="AB563" s="110" t="str">
        <f>IFERROR(INDEX('WetLitterbags placem_collection'!$A$3:$A$500,MATCH(A563,'WetLitterbags placem_collection'!$K$4:$K$500,0)),"")</f>
        <v/>
      </c>
      <c r="AC563" s="110" t="str">
        <f>IFERROR(INDEX('WetLitterbags placem_collection'!$A$3:$A$500,MATCH($A563,'WetLitterbags placem_collection'!$O$4:$O$500,0)),"")</f>
        <v/>
      </c>
      <c r="AD563" s="110">
        <f>IFERROR(INDEX('WetLitterbags placem_collection'!$A$3:$A$500,MATCH($A563,'WetLitterbags placem_collection'!$M$4:$M$500,0)),"")</f>
        <v>209</v>
      </c>
      <c r="AE563" s="110" t="str">
        <f>IFERROR(INDEX('WetLitterbags placem_collection'!$A$3:$A$500,MATCH($A563,'WetLitterbags placem_collection'!$Q$4:$Q$500,0)),"")</f>
        <v/>
      </c>
    </row>
    <row r="564" spans="1:31">
      <c r="A564" s="201" t="s">
        <v>800</v>
      </c>
      <c r="C564" s="201">
        <v>163</v>
      </c>
      <c r="D564" s="201">
        <v>1.4843</v>
      </c>
      <c r="E564" s="202">
        <v>9.6784999999999997</v>
      </c>
      <c r="F564" s="202">
        <v>0.20050000000000001</v>
      </c>
      <c r="G564" s="201">
        <f t="shared" si="47"/>
        <v>9.8789999999999996</v>
      </c>
      <c r="H564" s="201">
        <v>9.6830999999999996</v>
      </c>
      <c r="I564" s="201">
        <f t="shared" si="46"/>
        <v>0.19589999999999996</v>
      </c>
      <c r="J564" s="201">
        <f t="shared" si="48"/>
        <v>4.6000000000000485E-3</v>
      </c>
      <c r="K564" s="280">
        <f t="shared" si="49"/>
        <v>2.2942643391521438</v>
      </c>
      <c r="L564" s="201">
        <v>28</v>
      </c>
      <c r="M564" s="207">
        <v>43186.458333333336</v>
      </c>
      <c r="N564" s="207">
        <v>43186.625</v>
      </c>
      <c r="O564" s="197" t="s">
        <v>2550</v>
      </c>
      <c r="P564" s="201"/>
      <c r="AB564" s="110" t="str">
        <f>IFERROR(INDEX('WetLitterbags placem_collection'!$A$3:$A$500,MATCH(A564,'WetLitterbags placem_collection'!$K$4:$K$500,0)),"")</f>
        <v/>
      </c>
      <c r="AC564" s="110" t="str">
        <f>IFERROR(INDEX('WetLitterbags placem_collection'!$A$3:$A$500,MATCH($A564,'WetLitterbags placem_collection'!$O$4:$O$500,0)),"")</f>
        <v/>
      </c>
      <c r="AD564" s="110" t="str">
        <f>IFERROR(INDEX('WetLitterbags placem_collection'!$A$3:$A$500,MATCH($A564,'WetLitterbags placem_collection'!$M$4:$M$500,0)),"")</f>
        <v/>
      </c>
      <c r="AE564" s="110">
        <f>IFERROR(INDEX('WetLitterbags placem_collection'!$A$3:$A$500,MATCH($A564,'WetLitterbags placem_collection'!$Q$4:$Q$500,0)),"")</f>
        <v>162</v>
      </c>
    </row>
    <row r="565" spans="1:31">
      <c r="A565" s="197" t="s">
        <v>799</v>
      </c>
      <c r="C565" s="198">
        <v>203</v>
      </c>
      <c r="D565" s="201">
        <v>1.3754999999999999</v>
      </c>
      <c r="E565" s="202">
        <v>7.7732999999999999</v>
      </c>
      <c r="F565" s="202">
        <v>0.20039999999999999</v>
      </c>
      <c r="G565" s="201">
        <f t="shared" si="47"/>
        <v>7.9737</v>
      </c>
      <c r="H565" s="201">
        <v>7.7805999999999997</v>
      </c>
      <c r="I565" s="201">
        <f t="shared" si="46"/>
        <v>0.19310000000000027</v>
      </c>
      <c r="J565" s="201">
        <f t="shared" si="48"/>
        <v>7.2999999999997234E-3</v>
      </c>
      <c r="K565" s="280">
        <f t="shared" si="49"/>
        <v>3.642714570858145</v>
      </c>
      <c r="L565" s="201">
        <v>25</v>
      </c>
      <c r="M565" s="204">
        <v>43213</v>
      </c>
      <c r="N565" s="204">
        <v>43213</v>
      </c>
      <c r="AB565" s="110" t="str">
        <f>IFERROR(INDEX('WetLitterbags placem_collection'!$A$3:$A$500,MATCH(A565,'WetLitterbags placem_collection'!$K$4:$K$500,0)),"")</f>
        <v/>
      </c>
      <c r="AC565" s="110" t="str">
        <f>IFERROR(INDEX('WetLitterbags placem_collection'!$A$3:$A$500,MATCH($A565,'WetLitterbags placem_collection'!$O$4:$O$500,0)),"")</f>
        <v/>
      </c>
      <c r="AD565" s="110" t="str">
        <f>IFERROR(INDEX('WetLitterbags placem_collection'!$A$3:$A$500,MATCH($A565,'WetLitterbags placem_collection'!$M$4:$M$500,0)),"")</f>
        <v/>
      </c>
      <c r="AE565" s="110">
        <f>IFERROR(INDEX('WetLitterbags placem_collection'!$A$3:$A$500,MATCH($A565,'WetLitterbags placem_collection'!$Q$4:$Q$500,0)),"")</f>
        <v>202</v>
      </c>
    </row>
    <row r="566" spans="1:31">
      <c r="A566" s="202" t="s">
        <v>798</v>
      </c>
      <c r="C566" s="201">
        <v>91</v>
      </c>
      <c r="D566" s="201">
        <v>0.48569999999999985</v>
      </c>
      <c r="E566" s="201">
        <v>7.1898</v>
      </c>
      <c r="F566" s="201">
        <v>0.2072</v>
      </c>
      <c r="G566" s="201">
        <f t="shared" si="47"/>
        <v>7.3970000000000002</v>
      </c>
      <c r="H566" s="201">
        <v>7.3638000000000003</v>
      </c>
      <c r="I566" s="201">
        <f t="shared" si="46"/>
        <v>3.3199999999999896E-2</v>
      </c>
      <c r="J566" s="201">
        <f t="shared" si="48"/>
        <v>0.1740000000000001</v>
      </c>
      <c r="K566" s="280">
        <f t="shared" si="49"/>
        <v>83.97683397683403</v>
      </c>
      <c r="L566" s="201">
        <v>8</v>
      </c>
      <c r="M566" s="205">
        <v>43173</v>
      </c>
      <c r="N566" s="205">
        <v>43173</v>
      </c>
      <c r="O566" s="201" t="s">
        <v>2556</v>
      </c>
      <c r="P566" s="201" t="s">
        <v>2555</v>
      </c>
      <c r="AB566" s="110" t="str">
        <f>IFERROR(INDEX('WetLitterbags placem_collection'!$A$3:$A$500,MATCH(A566,'WetLitterbags placem_collection'!$K$4:$K$500,0)),"")</f>
        <v/>
      </c>
      <c r="AC566" s="110" t="str">
        <f>IFERROR(INDEX('WetLitterbags placem_collection'!$A$3:$A$500,MATCH($A566,'WetLitterbags placem_collection'!$O$4:$O$500,0)),"")</f>
        <v/>
      </c>
      <c r="AD566" s="110">
        <f>IFERROR(INDEX('WetLitterbags placem_collection'!$A$3:$A$500,MATCH($A566,'WetLitterbags placem_collection'!$M$4:$M$500,0)),"")</f>
        <v>90</v>
      </c>
      <c r="AE566" s="110" t="str">
        <f>IFERROR(INDEX('WetLitterbags placem_collection'!$A$3:$A$500,MATCH($A566,'WetLitterbags placem_collection'!$Q$4:$Q$500,0)),"")</f>
        <v/>
      </c>
    </row>
    <row r="567" spans="1:31">
      <c r="A567" s="206" t="s">
        <v>797</v>
      </c>
      <c r="C567" s="201">
        <v>208</v>
      </c>
      <c r="D567" s="201">
        <v>1.2427999999999999</v>
      </c>
      <c r="E567" s="201">
        <v>7.4835000000000003</v>
      </c>
      <c r="F567" s="201">
        <v>0.20280000000000001</v>
      </c>
      <c r="G567" s="201">
        <f t="shared" si="47"/>
        <v>7.6863000000000001</v>
      </c>
      <c r="H567" s="201">
        <v>7.5007999999999999</v>
      </c>
      <c r="I567" s="201">
        <f t="shared" si="46"/>
        <v>0.18550000000000022</v>
      </c>
      <c r="J567" s="201">
        <f t="shared" si="48"/>
        <v>1.7299999999999788E-2</v>
      </c>
      <c r="K567" s="280">
        <f t="shared" si="49"/>
        <v>8.5305719921103496</v>
      </c>
      <c r="L567" s="201">
        <v>6</v>
      </c>
      <c r="M567" s="203">
        <v>43171.520833333336</v>
      </c>
      <c r="N567" s="203">
        <v>43171.6875</v>
      </c>
      <c r="O567" s="197" t="s">
        <v>2550</v>
      </c>
      <c r="P567" s="201"/>
      <c r="AB567" s="110" t="str">
        <f>IFERROR(INDEX('WetLitterbags placem_collection'!$A$3:$A$500,MATCH(A567,'WetLitterbags placem_collection'!$K$4:$K$500,0)),"")</f>
        <v/>
      </c>
      <c r="AC567" s="110" t="str">
        <f>IFERROR(INDEX('WetLitterbags placem_collection'!$A$3:$A$500,MATCH($A567,'WetLitterbags placem_collection'!$O$4:$O$500,0)),"")</f>
        <v/>
      </c>
      <c r="AD567" s="110">
        <f>IFERROR(INDEX('WetLitterbags placem_collection'!$A$3:$A$500,MATCH($A567,'WetLitterbags placem_collection'!$M$4:$M$500,0)),"")</f>
        <v>207</v>
      </c>
      <c r="AE567" s="110" t="str">
        <f>IFERROR(INDEX('WetLitterbags placem_collection'!$A$3:$A$500,MATCH($A567,'WetLitterbags placem_collection'!$Q$4:$Q$500,0)),"")</f>
        <v/>
      </c>
    </row>
    <row r="568" spans="1:31">
      <c r="A568" s="206" t="s">
        <v>795</v>
      </c>
      <c r="C568" s="201">
        <v>192</v>
      </c>
      <c r="D568" s="201">
        <v>1.4165000000000001</v>
      </c>
      <c r="E568" s="202">
        <v>10.697800000000001</v>
      </c>
      <c r="F568" s="202">
        <v>0.20599999999999999</v>
      </c>
      <c r="G568" s="201">
        <f t="shared" si="47"/>
        <v>10.9038</v>
      </c>
      <c r="H568" s="201">
        <v>10.7037</v>
      </c>
      <c r="I568" s="201">
        <f t="shared" si="46"/>
        <v>0.20010000000000083</v>
      </c>
      <c r="J568" s="201">
        <f t="shared" si="48"/>
        <v>5.8999999999991559E-3</v>
      </c>
      <c r="K568" s="280">
        <f t="shared" si="49"/>
        <v>2.8640776699025032</v>
      </c>
      <c r="L568" s="201">
        <v>14</v>
      </c>
      <c r="M568" s="207">
        <v>43185.385416666664</v>
      </c>
      <c r="N568" s="201"/>
      <c r="O568" s="201" t="s">
        <v>2556</v>
      </c>
      <c r="P568" s="201"/>
      <c r="AB568" s="110" t="str">
        <f>IFERROR(INDEX('WetLitterbags placem_collection'!$A$3:$A$500,MATCH(A568,'WetLitterbags placem_collection'!$K$4:$K$500,0)),"")</f>
        <v/>
      </c>
      <c r="AC568" s="110" t="str">
        <f>IFERROR(INDEX('WetLitterbags placem_collection'!$A$3:$A$500,MATCH($A568,'WetLitterbags placem_collection'!$O$4:$O$500,0)),"")</f>
        <v/>
      </c>
      <c r="AD568" s="110" t="str">
        <f>IFERROR(INDEX('WetLitterbags placem_collection'!$A$3:$A$500,MATCH($A568,'WetLitterbags placem_collection'!$M$4:$M$500,0)),"")</f>
        <v/>
      </c>
      <c r="AE568" s="110">
        <f>IFERROR(INDEX('WetLitterbags placem_collection'!$A$3:$A$500,MATCH($A568,'WetLitterbags placem_collection'!$Q$4:$Q$500,0)),"")</f>
        <v>191</v>
      </c>
    </row>
    <row r="569" spans="1:31">
      <c r="A569" s="197" t="s">
        <v>792</v>
      </c>
      <c r="C569" s="198">
        <v>29</v>
      </c>
      <c r="D569" s="197">
        <v>1.2602</v>
      </c>
      <c r="E569" s="201">
        <v>7.7144000000000004</v>
      </c>
      <c r="F569" s="202">
        <v>0.2044</v>
      </c>
      <c r="G569" s="201">
        <f t="shared" si="47"/>
        <v>7.9188000000000001</v>
      </c>
      <c r="H569" s="201">
        <v>7.7206999999999999</v>
      </c>
      <c r="I569" s="201">
        <f t="shared" si="46"/>
        <v>0.19810000000000016</v>
      </c>
      <c r="J569" s="201">
        <f t="shared" si="48"/>
        <v>6.2999999999998335E-3</v>
      </c>
      <c r="K569" s="280">
        <f t="shared" si="49"/>
        <v>3.0821917808218364</v>
      </c>
      <c r="L569" s="201">
        <v>17</v>
      </c>
      <c r="M569" s="204">
        <v>43213</v>
      </c>
      <c r="N569" s="204">
        <v>43213</v>
      </c>
      <c r="AB569" s="110" t="str">
        <f>IFERROR(INDEX('WetLitterbags placem_collection'!$A$3:$A$500,MATCH(A569,'WetLitterbags placem_collection'!$K$4:$K$500,0)),"")</f>
        <v/>
      </c>
      <c r="AC569" s="110" t="str">
        <f>IFERROR(INDEX('WetLitterbags placem_collection'!$A$3:$A$500,MATCH($A569,'WetLitterbags placem_collection'!$O$4:$O$500,0)),"")</f>
        <v/>
      </c>
      <c r="AD569" s="110" t="str">
        <f>IFERROR(INDEX('WetLitterbags placem_collection'!$A$3:$A$500,MATCH($A569,'WetLitterbags placem_collection'!$M$4:$M$500,0)),"")</f>
        <v/>
      </c>
      <c r="AE569" s="110">
        <f>IFERROR(INDEX('WetLitterbags placem_collection'!$A$3:$A$500,MATCH($A569,'WetLitterbags placem_collection'!$Q$4:$Q$500,0)),"")</f>
        <v>28</v>
      </c>
    </row>
    <row r="570" spans="1:31">
      <c r="A570" s="201" t="s">
        <v>1106</v>
      </c>
      <c r="C570" s="201">
        <v>157</v>
      </c>
      <c r="D570" s="201">
        <v>1.6922999999999999</v>
      </c>
      <c r="E570" s="202">
        <v>7.8589000000000002</v>
      </c>
      <c r="F570" s="202">
        <v>0.2026</v>
      </c>
      <c r="G570" s="201">
        <f t="shared" si="47"/>
        <v>8.0615000000000006</v>
      </c>
      <c r="H570" s="201">
        <v>7.8792</v>
      </c>
      <c r="I570" s="201">
        <f t="shared" si="46"/>
        <v>0.18230000000000057</v>
      </c>
      <c r="J570" s="201">
        <f t="shared" si="48"/>
        <v>2.029999999999943E-2</v>
      </c>
      <c r="K570" s="280">
        <f t="shared" si="49"/>
        <v>10.019743336623607</v>
      </c>
      <c r="L570" s="201">
        <v>26</v>
      </c>
      <c r="M570" s="207">
        <v>43185.385416666664</v>
      </c>
      <c r="N570" s="201"/>
      <c r="O570" s="201" t="s">
        <v>2556</v>
      </c>
      <c r="P570" s="201"/>
      <c r="AB570" s="110" t="str">
        <f>IFERROR(INDEX('WetLitterbags placem_collection'!$A$3:$A$500,MATCH(A570,'WetLitterbags placem_collection'!$K$4:$K$500,0)),"")</f>
        <v/>
      </c>
      <c r="AC570" s="110" t="str">
        <f>IFERROR(INDEX('WetLitterbags placem_collection'!$A$3:$A$500,MATCH($A570,'WetLitterbags placem_collection'!$O$4:$O$500,0)),"")</f>
        <v/>
      </c>
      <c r="AD570" s="110" t="str">
        <f>IFERROR(INDEX('WetLitterbags placem_collection'!$A$3:$A$500,MATCH($A570,'WetLitterbags placem_collection'!$M$4:$M$500,0)),"")</f>
        <v/>
      </c>
      <c r="AE570" s="110">
        <f>IFERROR(INDEX('WetLitterbags placem_collection'!$A$3:$A$500,MATCH($A570,'WetLitterbags placem_collection'!$Q$4:$Q$500,0)),"")</f>
        <v>156</v>
      </c>
    </row>
    <row r="571" spans="1:31">
      <c r="A571" s="201" t="s">
        <v>787</v>
      </c>
      <c r="C571" s="201">
        <v>189</v>
      </c>
      <c r="D571" s="202">
        <v>1.5351999999999999</v>
      </c>
      <c r="E571" s="202">
        <v>9.7731999999999992</v>
      </c>
      <c r="F571" s="202">
        <v>0.20169999999999999</v>
      </c>
      <c r="G571" s="201">
        <f t="shared" si="47"/>
        <v>9.9748999999999999</v>
      </c>
      <c r="H571" s="201">
        <v>9.7782</v>
      </c>
      <c r="I571" s="201">
        <f t="shared" si="46"/>
        <v>0.19669999999999987</v>
      </c>
      <c r="J571" s="201">
        <f t="shared" si="48"/>
        <v>5.0000000000001155E-3</v>
      </c>
      <c r="K571" s="280">
        <f t="shared" si="49"/>
        <v>2.4789291026277223</v>
      </c>
      <c r="L571" s="201">
        <v>14</v>
      </c>
      <c r="M571" s="201"/>
      <c r="N571" s="201"/>
      <c r="O571" s="201"/>
      <c r="P571" s="201"/>
      <c r="AB571" s="110" t="str">
        <f>IFERROR(INDEX('WetLitterbags placem_collection'!$A$3:$A$500,MATCH(A571,'WetLitterbags placem_collection'!$K$4:$K$500,0)),"")</f>
        <v/>
      </c>
      <c r="AC571" s="110" t="str">
        <f>IFERROR(INDEX('WetLitterbags placem_collection'!$A$3:$A$500,MATCH($A571,'WetLitterbags placem_collection'!$O$4:$O$500,0)),"")</f>
        <v/>
      </c>
      <c r="AD571" s="110">
        <f>IFERROR(INDEX('WetLitterbags placem_collection'!$A$3:$A$500,MATCH($A571,'WetLitterbags placem_collection'!$M$4:$M$500,0)),"")</f>
        <v>188</v>
      </c>
      <c r="AE571" s="110" t="str">
        <f>IFERROR(INDEX('WetLitterbags placem_collection'!$A$3:$A$500,MATCH($A571,'WetLitterbags placem_collection'!$Q$4:$Q$500,0)),"")</f>
        <v/>
      </c>
    </row>
    <row r="572" spans="1:31">
      <c r="A572" s="201" t="s">
        <v>785</v>
      </c>
      <c r="C572" s="201">
        <v>219</v>
      </c>
      <c r="D572" s="201">
        <v>1.2475000000000001</v>
      </c>
      <c r="E572" s="201">
        <v>9.3215000000000003</v>
      </c>
      <c r="F572" s="201">
        <v>0.2087</v>
      </c>
      <c r="G572" s="201">
        <f t="shared" si="47"/>
        <v>9.5302000000000007</v>
      </c>
      <c r="H572" s="201">
        <v>9.3369999999999997</v>
      </c>
      <c r="I572" s="201">
        <f t="shared" si="46"/>
        <v>0.19320000000000093</v>
      </c>
      <c r="J572" s="201">
        <f t="shared" si="48"/>
        <v>1.549999999999907E-2</v>
      </c>
      <c r="K572" s="280">
        <f t="shared" si="49"/>
        <v>7.426928605653603</v>
      </c>
      <c r="L572" s="201">
        <v>9</v>
      </c>
      <c r="M572" s="203">
        <v>43164.628472222219</v>
      </c>
      <c r="N572" s="203">
        <v>43164.795138888891</v>
      </c>
      <c r="O572" s="197" t="s">
        <v>2550</v>
      </c>
      <c r="P572" s="201"/>
      <c r="AB572" s="110" t="str">
        <f>IFERROR(INDEX('WetLitterbags placem_collection'!$A$3:$A$500,MATCH(A572,'WetLitterbags placem_collection'!$K$4:$K$500,0)),"")</f>
        <v/>
      </c>
      <c r="AC572" s="110" t="str">
        <f>IFERROR(INDEX('WetLitterbags placem_collection'!$A$3:$A$500,MATCH($A572,'WetLitterbags placem_collection'!$O$4:$O$500,0)),"")</f>
        <v/>
      </c>
      <c r="AD572" s="110" t="str">
        <f>IFERROR(INDEX('WetLitterbags placem_collection'!$A$3:$A$500,MATCH($A572,'WetLitterbags placem_collection'!$M$4:$M$500,0)),"")</f>
        <v/>
      </c>
      <c r="AE572" s="110">
        <f>IFERROR(INDEX('WetLitterbags placem_collection'!$A$3:$A$500,MATCH($A572,'WetLitterbags placem_collection'!$Q$4:$Q$500,0)),"")</f>
        <v>218</v>
      </c>
    </row>
    <row r="573" spans="1:31">
      <c r="A573" s="197" t="s">
        <v>782</v>
      </c>
      <c r="C573" s="198">
        <v>200</v>
      </c>
      <c r="D573" s="197">
        <v>1.3246</v>
      </c>
      <c r="E573" s="202">
        <v>11.055</v>
      </c>
      <c r="F573" s="202">
        <v>0.20599999999999999</v>
      </c>
      <c r="G573" s="201">
        <f t="shared" si="47"/>
        <v>11.260999999999999</v>
      </c>
      <c r="H573" s="201">
        <v>11.0633</v>
      </c>
      <c r="I573" s="201">
        <f t="shared" si="46"/>
        <v>0.19769999999999932</v>
      </c>
      <c r="J573" s="201">
        <f t="shared" si="48"/>
        <v>8.300000000000668E-3</v>
      </c>
      <c r="K573" s="280">
        <f t="shared" si="49"/>
        <v>4.0291262135925576</v>
      </c>
      <c r="L573" s="201">
        <v>19</v>
      </c>
      <c r="AB573" s="110" t="str">
        <f>IFERROR(INDEX('WetLitterbags placem_collection'!$A$3:$A$500,MATCH(A573,'WetLitterbags placem_collection'!$K$4:$K$500,0)),"")</f>
        <v/>
      </c>
      <c r="AC573" s="110" t="str">
        <f>IFERROR(INDEX('WetLitterbags placem_collection'!$A$3:$A$500,MATCH($A573,'WetLitterbags placem_collection'!$O$4:$O$500,0)),"")</f>
        <v/>
      </c>
      <c r="AD573" s="110" t="str">
        <f>IFERROR(INDEX('WetLitterbags placem_collection'!$A$3:$A$500,MATCH($A573,'WetLitterbags placem_collection'!$M$4:$M$500,0)),"")</f>
        <v/>
      </c>
      <c r="AE573" s="110">
        <f>IFERROR(INDEX('WetLitterbags placem_collection'!$A$3:$A$500,MATCH($A573,'WetLitterbags placem_collection'!$Q$4:$Q$500,0)),"")</f>
        <v>199</v>
      </c>
    </row>
    <row r="574" spans="1:31">
      <c r="A574" s="201" t="s">
        <v>781</v>
      </c>
      <c r="C574" s="201">
        <v>95</v>
      </c>
      <c r="D574" s="201">
        <f>0.3847+F574</f>
        <v>0.51400000000000001</v>
      </c>
      <c r="E574" s="202">
        <v>7.8590999999999998</v>
      </c>
      <c r="F574" s="202">
        <v>0.1293</v>
      </c>
      <c r="G574" s="201">
        <f t="shared" si="47"/>
        <v>7.9883999999999995</v>
      </c>
      <c r="H574" s="201">
        <v>7.9745999999999997</v>
      </c>
      <c r="I574" s="201">
        <f t="shared" si="46"/>
        <v>1.3799999999999812E-2</v>
      </c>
      <c r="J574" s="201">
        <f t="shared" si="48"/>
        <v>0.11550000000000019</v>
      </c>
      <c r="K574" s="280">
        <f t="shared" si="49"/>
        <v>89.327146171693883</v>
      </c>
      <c r="L574" s="201">
        <v>15</v>
      </c>
      <c r="M574" s="205">
        <v>43174</v>
      </c>
      <c r="N574" s="205">
        <v>43174</v>
      </c>
      <c r="O574" s="201" t="s">
        <v>2556</v>
      </c>
      <c r="P574" s="201" t="s">
        <v>2551</v>
      </c>
      <c r="AB574" s="110" t="str">
        <f>IFERROR(INDEX('WetLitterbags placem_collection'!$A$3:$A$500,MATCH(A574,'WetLitterbags placem_collection'!$K$4:$K$500,0)),"")</f>
        <v/>
      </c>
      <c r="AC574" s="110" t="str">
        <f>IFERROR(INDEX('WetLitterbags placem_collection'!$A$3:$A$500,MATCH($A574,'WetLitterbags placem_collection'!$O$4:$O$500,0)),"")</f>
        <v/>
      </c>
      <c r="AD574" s="110">
        <f>IFERROR(INDEX('WetLitterbags placem_collection'!$A$3:$A$500,MATCH($A574,'WetLitterbags placem_collection'!$M$4:$M$500,0)),"")</f>
        <v>94</v>
      </c>
      <c r="AE574" s="110" t="str">
        <f>IFERROR(INDEX('WetLitterbags placem_collection'!$A$3:$A$500,MATCH($A574,'WetLitterbags placem_collection'!$Q$4:$Q$500,0)),"")</f>
        <v/>
      </c>
    </row>
    <row r="575" spans="1:31">
      <c r="A575" s="197" t="s">
        <v>779</v>
      </c>
      <c r="C575" s="198">
        <v>196</v>
      </c>
      <c r="D575" s="197">
        <v>1.2983</v>
      </c>
      <c r="E575" s="202">
        <v>9.9158000000000008</v>
      </c>
      <c r="F575" s="202">
        <v>0.20319999999999999</v>
      </c>
      <c r="G575" s="201">
        <f t="shared" si="47"/>
        <v>10.119000000000002</v>
      </c>
      <c r="H575" s="201">
        <v>9.9232999999999993</v>
      </c>
      <c r="I575" s="201">
        <f t="shared" si="46"/>
        <v>0.19570000000000221</v>
      </c>
      <c r="J575" s="201">
        <f t="shared" si="48"/>
        <v>7.4999999999977862E-3</v>
      </c>
      <c r="K575" s="280">
        <f t="shared" si="49"/>
        <v>3.690944881888675</v>
      </c>
      <c r="L575" s="201">
        <v>13</v>
      </c>
      <c r="M575" s="204">
        <v>43221</v>
      </c>
      <c r="N575" s="204">
        <v>43221</v>
      </c>
      <c r="AB575" s="110" t="str">
        <f>IFERROR(INDEX('WetLitterbags placem_collection'!$A$3:$A$500,MATCH(A575,'WetLitterbags placem_collection'!$K$4:$K$500,0)),"")</f>
        <v/>
      </c>
      <c r="AC575" s="110" t="str">
        <f>IFERROR(INDEX('WetLitterbags placem_collection'!$A$3:$A$500,MATCH($A575,'WetLitterbags placem_collection'!$O$4:$O$500,0)),"")</f>
        <v/>
      </c>
      <c r="AD575" s="110" t="str">
        <f>IFERROR(INDEX('WetLitterbags placem_collection'!$A$3:$A$500,MATCH($A575,'WetLitterbags placem_collection'!$M$4:$M$500,0)),"")</f>
        <v/>
      </c>
      <c r="AE575" s="110">
        <f>IFERROR(INDEX('WetLitterbags placem_collection'!$A$3:$A$500,MATCH($A575,'WetLitterbags placem_collection'!$Q$4:$Q$500,0)),"")</f>
        <v>195</v>
      </c>
    </row>
    <row r="576" spans="1:31">
      <c r="A576" s="197" t="s">
        <v>778</v>
      </c>
      <c r="C576" s="197">
        <v>22</v>
      </c>
      <c r="D576" s="197">
        <v>1.2951999999999999</v>
      </c>
      <c r="E576" s="202">
        <v>8.0641999999999996</v>
      </c>
      <c r="F576" s="202">
        <v>0.2024</v>
      </c>
      <c r="G576" s="201">
        <f t="shared" si="47"/>
        <v>8.2666000000000004</v>
      </c>
      <c r="H576" s="201">
        <v>8.0713000000000008</v>
      </c>
      <c r="I576" s="201">
        <f t="shared" si="46"/>
        <v>0.19529999999999959</v>
      </c>
      <c r="J576" s="201">
        <f t="shared" si="48"/>
        <v>7.1000000000004115E-3</v>
      </c>
      <c r="K576" s="280">
        <f t="shared" si="49"/>
        <v>3.5079051383401243</v>
      </c>
      <c r="L576" s="201">
        <v>37</v>
      </c>
      <c r="M576" s="204">
        <v>43221</v>
      </c>
      <c r="N576" s="204">
        <v>43221</v>
      </c>
      <c r="AB576" s="110" t="str">
        <f>IFERROR(INDEX('WetLitterbags placem_collection'!$A$3:$A$500,MATCH(A576,'WetLitterbags placem_collection'!$K$4:$K$500,0)),"")</f>
        <v/>
      </c>
      <c r="AC576" s="110" t="str">
        <f>IFERROR(INDEX('WetLitterbags placem_collection'!$A$3:$A$500,MATCH($A576,'WetLitterbags placem_collection'!$O$4:$O$500,0)),"")</f>
        <v/>
      </c>
      <c r="AD576" s="110">
        <f>IFERROR(INDEX('WetLitterbags placem_collection'!$A$3:$A$500,MATCH($A576,'WetLitterbags placem_collection'!$M$4:$M$500,0)),"")</f>
        <v>21</v>
      </c>
      <c r="AE576" s="110" t="str">
        <f>IFERROR(INDEX('WetLitterbags placem_collection'!$A$3:$A$500,MATCH($A576,'WetLitterbags placem_collection'!$Q$4:$Q$500,0)),"")</f>
        <v/>
      </c>
    </row>
    <row r="577" spans="1:31">
      <c r="A577" s="197" t="s">
        <v>777</v>
      </c>
      <c r="C577" s="197">
        <v>193</v>
      </c>
      <c r="D577" s="197">
        <v>1.1823999999999999</v>
      </c>
      <c r="E577" s="202">
        <v>8.7326999999999995</v>
      </c>
      <c r="F577" s="202">
        <v>0.2051</v>
      </c>
      <c r="G577" s="201">
        <f t="shared" si="47"/>
        <v>8.9377999999999993</v>
      </c>
      <c r="H577" s="201">
        <v>8.7398000000000007</v>
      </c>
      <c r="I577" s="201">
        <f t="shared" si="46"/>
        <v>0.19799999999999862</v>
      </c>
      <c r="J577" s="201">
        <f t="shared" si="48"/>
        <v>7.100000000001383E-3</v>
      </c>
      <c r="K577" s="280">
        <f t="shared" si="49"/>
        <v>3.461725987323931</v>
      </c>
      <c r="L577" s="201">
        <v>5</v>
      </c>
      <c r="AB577" s="110" t="str">
        <f>IFERROR(INDEX('WetLitterbags placem_collection'!$A$3:$A$500,MATCH(A577,'WetLitterbags placem_collection'!$K$4:$K$500,0)),"")</f>
        <v/>
      </c>
      <c r="AC577" s="110" t="str">
        <f>IFERROR(INDEX('WetLitterbags placem_collection'!$A$3:$A$500,MATCH($A577,'WetLitterbags placem_collection'!$O$4:$O$500,0)),"")</f>
        <v/>
      </c>
      <c r="AD577" s="110" t="str">
        <f>IFERROR(INDEX('WetLitterbags placem_collection'!$A$3:$A$500,MATCH($A577,'WetLitterbags placem_collection'!$M$4:$M$500,0)),"")</f>
        <v/>
      </c>
      <c r="AE577" s="110">
        <f>IFERROR(INDEX('WetLitterbags placem_collection'!$A$3:$A$500,MATCH($A577,'WetLitterbags placem_collection'!$Q$4:$Q$500,0)),"")</f>
        <v>192</v>
      </c>
    </row>
    <row r="578" spans="1:31">
      <c r="A578" s="197" t="s">
        <v>774</v>
      </c>
      <c r="C578" s="201">
        <v>199</v>
      </c>
      <c r="D578" s="202">
        <v>1.4128000000000001</v>
      </c>
      <c r="E578" s="202">
        <v>10.702299999999999</v>
      </c>
      <c r="F578" s="202">
        <v>0.20180000000000001</v>
      </c>
      <c r="G578" s="201">
        <f t="shared" si="47"/>
        <v>10.9041</v>
      </c>
      <c r="H578" s="201">
        <v>10.708</v>
      </c>
      <c r="I578" s="201">
        <f t="shared" si="46"/>
        <v>0.1960999999999995</v>
      </c>
      <c r="J578" s="201">
        <f t="shared" si="48"/>
        <v>5.7000000000005102E-3</v>
      </c>
      <c r="K578" s="280">
        <f t="shared" si="49"/>
        <v>2.8245787908823141</v>
      </c>
      <c r="L578" s="201">
        <v>1</v>
      </c>
      <c r="O578" s="201"/>
      <c r="P578" s="201" t="s">
        <v>2557</v>
      </c>
      <c r="AB578" s="110" t="str">
        <f>IFERROR(INDEX('WetLitterbags placem_collection'!$A$3:$A$500,MATCH(A578,'WetLitterbags placem_collection'!$K$4:$K$500,0)),"")</f>
        <v/>
      </c>
      <c r="AC578" s="110" t="str">
        <f>IFERROR(INDEX('WetLitterbags placem_collection'!$A$3:$A$500,MATCH($A578,'WetLitterbags placem_collection'!$O$4:$O$500,0)),"")</f>
        <v/>
      </c>
      <c r="AD578" s="110" t="str">
        <f>IFERROR(INDEX('WetLitterbags placem_collection'!$A$3:$A$500,MATCH($A578,'WetLitterbags placem_collection'!$M$4:$M$500,0)),"")</f>
        <v/>
      </c>
      <c r="AE578" s="110" t="str">
        <f>IFERROR(INDEX('WetLitterbags placem_collection'!$A$3:$A$500,MATCH($A578,'WetLitterbags placem_collection'!$Q$4:$Q$500,0)),"")</f>
        <v/>
      </c>
    </row>
    <row r="579" spans="1:31">
      <c r="A579" s="206" t="s">
        <v>773</v>
      </c>
      <c r="C579" s="201">
        <v>82</v>
      </c>
      <c r="D579" s="201">
        <v>1.448</v>
      </c>
      <c r="E579" s="202">
        <v>8.0456000000000003</v>
      </c>
      <c r="F579" s="202">
        <v>0.20610000000000001</v>
      </c>
      <c r="G579" s="201">
        <f t="shared" si="47"/>
        <v>8.2516999999999996</v>
      </c>
      <c r="H579" s="201">
        <v>8.0540000000000003</v>
      </c>
      <c r="I579" s="201">
        <f t="shared" si="46"/>
        <v>0.19769999999999932</v>
      </c>
      <c r="J579" s="201">
        <f t="shared" si="48"/>
        <v>8.4000000000006847E-3</v>
      </c>
      <c r="K579" s="280">
        <f t="shared" si="49"/>
        <v>4.0756914119362859</v>
      </c>
      <c r="L579" s="201">
        <v>17</v>
      </c>
      <c r="M579" s="205">
        <v>43197</v>
      </c>
      <c r="N579" s="205">
        <v>43197</v>
      </c>
      <c r="O579" s="201"/>
      <c r="P579" s="201" t="s">
        <v>2581</v>
      </c>
      <c r="AB579" s="110" t="str">
        <f>IFERROR(INDEX('WetLitterbags placem_collection'!$A$3:$A$500,MATCH(A579,'WetLitterbags placem_collection'!$K$4:$K$500,0)),"")</f>
        <v/>
      </c>
      <c r="AC579" s="110" t="str">
        <f>IFERROR(INDEX('WetLitterbags placem_collection'!$A$3:$A$500,MATCH($A579,'WetLitterbags placem_collection'!$O$4:$O$500,0)),"")</f>
        <v/>
      </c>
      <c r="AD579" s="110" t="str">
        <f>IFERROR(INDEX('WetLitterbags placem_collection'!$A$3:$A$500,MATCH($A579,'WetLitterbags placem_collection'!$M$4:$M$500,0)),"")</f>
        <v/>
      </c>
      <c r="AE579" s="110">
        <f>IFERROR(INDEX('WetLitterbags placem_collection'!$A$3:$A$500,MATCH($A579,'WetLitterbags placem_collection'!$Q$4:$Q$500,0)),"")</f>
        <v>81</v>
      </c>
    </row>
    <row r="580" spans="1:31">
      <c r="A580" s="206" t="s">
        <v>1104</v>
      </c>
      <c r="C580" s="201">
        <v>114</v>
      </c>
      <c r="D580" s="202">
        <v>1.2744</v>
      </c>
      <c r="E580" s="202">
        <v>7.9939</v>
      </c>
      <c r="F580" s="202">
        <v>0.19969999999999999</v>
      </c>
      <c r="G580" s="201">
        <f t="shared" si="47"/>
        <v>8.1936</v>
      </c>
      <c r="H580" s="201">
        <v>8.0173000000000005</v>
      </c>
      <c r="I580" s="201">
        <f t="shared" si="46"/>
        <v>0.17629999999999946</v>
      </c>
      <c r="J580" s="201">
        <f t="shared" si="48"/>
        <v>2.3400000000000531E-2</v>
      </c>
      <c r="K580" s="280">
        <f t="shared" si="49"/>
        <v>11.717576364547087</v>
      </c>
      <c r="L580" s="201">
        <v>25</v>
      </c>
      <c r="M580" s="203">
        <v>43181.645833333336</v>
      </c>
      <c r="N580" s="203">
        <v>43181.833333333336</v>
      </c>
      <c r="O580" s="201" t="s">
        <v>2556</v>
      </c>
      <c r="P580" s="206"/>
      <c r="AB580" s="110" t="str">
        <f>IFERROR(INDEX('WetLitterbags placem_collection'!$A$3:$A$500,MATCH(A580,'WetLitterbags placem_collection'!$K$4:$K$500,0)),"")</f>
        <v/>
      </c>
      <c r="AC580" s="110" t="str">
        <f>IFERROR(INDEX('WetLitterbags placem_collection'!$A$3:$A$500,MATCH($A580,'WetLitterbags placem_collection'!$O$4:$O$500,0)),"")</f>
        <v/>
      </c>
      <c r="AD580" s="110" t="str">
        <f>IFERROR(INDEX('WetLitterbags placem_collection'!$A$3:$A$500,MATCH($A580,'WetLitterbags placem_collection'!$M$4:$M$500,0)),"")</f>
        <v/>
      </c>
      <c r="AE580" s="110">
        <f>IFERROR(INDEX('WetLitterbags placem_collection'!$A$3:$A$500,MATCH($A580,'WetLitterbags placem_collection'!$Q$4:$Q$500,0)),"")</f>
        <v>113</v>
      </c>
    </row>
    <row r="581" spans="1:31">
      <c r="A581" s="197" t="s">
        <v>771</v>
      </c>
      <c r="C581" s="198">
        <v>197</v>
      </c>
      <c r="D581" s="197">
        <v>1.2739</v>
      </c>
      <c r="E581" s="202">
        <v>8.0947999999999993</v>
      </c>
      <c r="F581" s="202">
        <v>0.20519999999999999</v>
      </c>
      <c r="G581" s="201">
        <f t="shared" si="47"/>
        <v>8.2999999999999989</v>
      </c>
      <c r="H581" s="201">
        <v>8.1052</v>
      </c>
      <c r="I581" s="201">
        <f t="shared" si="46"/>
        <v>0.19479999999999897</v>
      </c>
      <c r="J581" s="201">
        <f t="shared" si="48"/>
        <v>1.040000000000102E-2</v>
      </c>
      <c r="K581" s="280">
        <f t="shared" si="49"/>
        <v>5.0682261208581973</v>
      </c>
      <c r="L581" s="201">
        <v>22</v>
      </c>
      <c r="AB581" s="110" t="str">
        <f>IFERROR(INDEX('WetLitterbags placem_collection'!$A$3:$A$500,MATCH(A581,'WetLitterbags placem_collection'!$K$4:$K$500,0)),"")</f>
        <v/>
      </c>
      <c r="AC581" s="110" t="str">
        <f>IFERROR(INDEX('WetLitterbags placem_collection'!$A$3:$A$500,MATCH($A581,'WetLitterbags placem_collection'!$O$4:$O$500,0)),"")</f>
        <v/>
      </c>
      <c r="AD581" s="110" t="str">
        <f>IFERROR(INDEX('WetLitterbags placem_collection'!$A$3:$A$500,MATCH($A581,'WetLitterbags placem_collection'!$M$4:$M$500,0)),"")</f>
        <v/>
      </c>
      <c r="AE581" s="110">
        <f>IFERROR(INDEX('WetLitterbags placem_collection'!$A$3:$A$500,MATCH($A581,'WetLitterbags placem_collection'!$Q$4:$Q$500,0)),"")</f>
        <v>196</v>
      </c>
    </row>
    <row r="582" spans="1:31">
      <c r="A582" s="206" t="s">
        <v>770</v>
      </c>
      <c r="C582" s="201">
        <v>42</v>
      </c>
      <c r="D582" s="202">
        <v>1.3915999999999999</v>
      </c>
      <c r="E582" s="201">
        <v>7.8391000000000002</v>
      </c>
      <c r="F582" s="202">
        <v>0.20280000000000001</v>
      </c>
      <c r="G582" s="201">
        <f t="shared" si="47"/>
        <v>8.0419</v>
      </c>
      <c r="H582" s="201">
        <v>7.8445</v>
      </c>
      <c r="I582" s="201">
        <f t="shared" si="46"/>
        <v>0.19740000000000002</v>
      </c>
      <c r="J582" s="201">
        <f t="shared" si="48"/>
        <v>5.3999999999999881E-3</v>
      </c>
      <c r="K582" s="280">
        <f t="shared" si="49"/>
        <v>2.6627218934911183</v>
      </c>
      <c r="L582" s="201">
        <v>10</v>
      </c>
      <c r="M582" s="205">
        <v>43206</v>
      </c>
      <c r="N582" s="205">
        <v>43206</v>
      </c>
      <c r="O582" s="201"/>
      <c r="P582" s="201"/>
      <c r="AB582" s="110" t="str">
        <f>IFERROR(INDEX('WetLitterbags placem_collection'!$A$3:$A$500,MATCH(A582,'WetLitterbags placem_collection'!$K$4:$K$500,0)),"")</f>
        <v/>
      </c>
      <c r="AC582" s="110" t="str">
        <f>IFERROR(INDEX('WetLitterbags placem_collection'!$A$3:$A$500,MATCH($A582,'WetLitterbags placem_collection'!$O$4:$O$500,0)),"")</f>
        <v/>
      </c>
      <c r="AD582" s="110">
        <f>IFERROR(INDEX('WetLitterbags placem_collection'!$A$3:$A$500,MATCH($A582,'WetLitterbags placem_collection'!$M$4:$M$500,0)),"")</f>
        <v>41</v>
      </c>
      <c r="AE582" s="110" t="str">
        <f>IFERROR(INDEX('WetLitterbags placem_collection'!$A$3:$A$500,MATCH($A582,'WetLitterbags placem_collection'!$Q$4:$Q$500,0)),"")</f>
        <v/>
      </c>
    </row>
    <row r="583" spans="1:31">
      <c r="A583" s="197" t="s">
        <v>769</v>
      </c>
      <c r="C583" s="198">
        <v>203</v>
      </c>
      <c r="D583" s="197">
        <v>1.3894</v>
      </c>
      <c r="E583" s="202">
        <v>9.1971000000000007</v>
      </c>
      <c r="F583" s="202">
        <v>0.20019999999999999</v>
      </c>
      <c r="G583" s="201">
        <f t="shared" si="47"/>
        <v>9.3973000000000013</v>
      </c>
      <c r="H583" s="201">
        <v>9.2055000000000007</v>
      </c>
      <c r="I583" s="201">
        <f t="shared" si="46"/>
        <v>0.19180000000000064</v>
      </c>
      <c r="J583" s="201">
        <f t="shared" si="48"/>
        <v>8.3999999999993524E-3</v>
      </c>
      <c r="K583" s="280">
        <f t="shared" si="49"/>
        <v>4.1958041958038725</v>
      </c>
      <c r="L583" s="201">
        <v>18</v>
      </c>
      <c r="M583" s="204">
        <v>43221</v>
      </c>
      <c r="N583" s="204">
        <v>43221</v>
      </c>
      <c r="AB583" s="110" t="str">
        <f>IFERROR(INDEX('WetLitterbags placem_collection'!$A$3:$A$500,MATCH(A583,'WetLitterbags placem_collection'!$K$4:$K$500,0)),"")</f>
        <v/>
      </c>
      <c r="AC583" s="110" t="str">
        <f>IFERROR(INDEX('WetLitterbags placem_collection'!$A$3:$A$500,MATCH($A583,'WetLitterbags placem_collection'!$O$4:$O$500,0)),"")</f>
        <v/>
      </c>
      <c r="AD583" s="110">
        <f>IFERROR(INDEX('WetLitterbags placem_collection'!$A$3:$A$500,MATCH($A583,'WetLitterbags placem_collection'!$M$4:$M$500,0)),"")</f>
        <v>202</v>
      </c>
      <c r="AE583" s="110" t="str">
        <f>IFERROR(INDEX('WetLitterbags placem_collection'!$A$3:$A$500,MATCH($A583,'WetLitterbags placem_collection'!$Q$4:$Q$500,0)),"")</f>
        <v/>
      </c>
    </row>
    <row r="584" spans="1:31">
      <c r="A584" s="197" t="s">
        <v>766</v>
      </c>
      <c r="C584" s="198">
        <v>196</v>
      </c>
      <c r="D584" s="197">
        <v>1.1523000000000001</v>
      </c>
      <c r="E584" s="201">
        <v>10.0762</v>
      </c>
      <c r="F584" s="202">
        <v>0.20669999999999999</v>
      </c>
      <c r="G584" s="201">
        <f t="shared" si="47"/>
        <v>10.2829</v>
      </c>
      <c r="H584" s="201">
        <v>10.086600000000001</v>
      </c>
      <c r="I584" s="201">
        <f t="shared" si="46"/>
        <v>0.19629999999999903</v>
      </c>
      <c r="J584" s="201">
        <f t="shared" si="48"/>
        <v>1.0400000000000964E-2</v>
      </c>
      <c r="K584" s="280">
        <f t="shared" si="49"/>
        <v>5.0314465408809701</v>
      </c>
      <c r="L584" s="201">
        <v>4</v>
      </c>
      <c r="M584" s="204">
        <v>43212</v>
      </c>
      <c r="AB584" s="110" t="str">
        <f>IFERROR(INDEX('WetLitterbags placem_collection'!$A$3:$A$500,MATCH(A584,'WetLitterbags placem_collection'!$K$4:$K$500,0)),"")</f>
        <v/>
      </c>
      <c r="AC584" s="110" t="str">
        <f>IFERROR(INDEX('WetLitterbags placem_collection'!$A$3:$A$500,MATCH($A584,'WetLitterbags placem_collection'!$O$4:$O$500,0)),"")</f>
        <v/>
      </c>
      <c r="AD584" s="110">
        <f>IFERROR(INDEX('WetLitterbags placem_collection'!$A$3:$A$500,MATCH($A584,'WetLitterbags placem_collection'!$M$4:$M$500,0)),"")</f>
        <v>195</v>
      </c>
      <c r="AE584" s="110" t="str">
        <f>IFERROR(INDEX('WetLitterbags placem_collection'!$A$3:$A$500,MATCH($A584,'WetLitterbags placem_collection'!$Q$4:$Q$500,0)),"")</f>
        <v/>
      </c>
    </row>
    <row r="585" spans="1:31">
      <c r="A585" s="197" t="s">
        <v>765</v>
      </c>
      <c r="C585" s="197">
        <v>43</v>
      </c>
      <c r="D585" s="197">
        <v>1.1131</v>
      </c>
      <c r="E585" s="197">
        <v>8.8632000000000009</v>
      </c>
      <c r="F585" s="197">
        <v>0.20799999999999999</v>
      </c>
      <c r="G585" s="197">
        <f t="shared" si="47"/>
        <v>9.071200000000001</v>
      </c>
      <c r="H585" s="197">
        <v>8.8773</v>
      </c>
      <c r="I585" s="197">
        <f t="shared" si="46"/>
        <v>0.19390000000000107</v>
      </c>
      <c r="J585" s="201">
        <f t="shared" si="48"/>
        <v>1.4099999999998919E-2</v>
      </c>
      <c r="K585" s="280">
        <f t="shared" si="49"/>
        <v>6.7788461538456346</v>
      </c>
      <c r="L585" s="197">
        <v>13</v>
      </c>
      <c r="M585" s="197" t="s">
        <v>2586</v>
      </c>
      <c r="N585" s="197" t="s">
        <v>2585</v>
      </c>
      <c r="O585" s="197" t="s">
        <v>2550</v>
      </c>
      <c r="AB585" s="110" t="str">
        <f>IFERROR(INDEX('WetLitterbags placem_collection'!$A$3:$A$500,MATCH(A585,'WetLitterbags placem_collection'!$K$4:$K$500,0)),"")</f>
        <v/>
      </c>
      <c r="AC585" s="110" t="str">
        <f>IFERROR(INDEX('WetLitterbags placem_collection'!$A$3:$A$500,MATCH($A585,'WetLitterbags placem_collection'!$O$4:$O$500,0)),"")</f>
        <v/>
      </c>
      <c r="AD585" s="110">
        <f>IFERROR(INDEX('WetLitterbags placem_collection'!$A$3:$A$500,MATCH($A585,'WetLitterbags placem_collection'!$M$4:$M$500,0)),"")</f>
        <v>42</v>
      </c>
      <c r="AE585" s="110" t="str">
        <f>IFERROR(INDEX('WetLitterbags placem_collection'!$A$3:$A$500,MATCH($A585,'WetLitterbags placem_collection'!$Q$4:$Q$500,0)),"")</f>
        <v/>
      </c>
    </row>
    <row r="586" spans="1:31">
      <c r="A586" s="201" t="s">
        <v>763</v>
      </c>
      <c r="C586" s="201">
        <v>195</v>
      </c>
      <c r="D586" s="201">
        <v>1.2686999999999999</v>
      </c>
      <c r="E586" s="201">
        <v>8.7335999999999991</v>
      </c>
      <c r="F586" s="201">
        <v>0.2026</v>
      </c>
      <c r="G586" s="201">
        <f t="shared" si="47"/>
        <v>8.9361999999999995</v>
      </c>
      <c r="H586" s="201">
        <v>8.7361000000000004</v>
      </c>
      <c r="I586" s="201">
        <f t="shared" si="46"/>
        <v>0.20009999999999906</v>
      </c>
      <c r="J586" s="201">
        <f t="shared" si="48"/>
        <v>2.5000000000009459E-3</v>
      </c>
      <c r="K586" s="280">
        <f t="shared" si="49"/>
        <v>1.2339585389935566</v>
      </c>
      <c r="L586" s="201">
        <v>14</v>
      </c>
      <c r="M586" s="203">
        <v>43164.628472222219</v>
      </c>
      <c r="N586" s="203">
        <v>43164.795138888891</v>
      </c>
      <c r="O586" s="197" t="s">
        <v>2550</v>
      </c>
      <c r="P586" s="201"/>
      <c r="AB586" s="110" t="str">
        <f>IFERROR(INDEX('WetLitterbags placem_collection'!$A$3:$A$500,MATCH(A586,'WetLitterbags placem_collection'!$K$4:$K$500,0)),"")</f>
        <v/>
      </c>
      <c r="AC586" s="110" t="str">
        <f>IFERROR(INDEX('WetLitterbags placem_collection'!$A$3:$A$500,MATCH($A586,'WetLitterbags placem_collection'!$O$4:$O$500,0)),"")</f>
        <v/>
      </c>
      <c r="AD586" s="110">
        <f>IFERROR(INDEX('WetLitterbags placem_collection'!$A$3:$A$500,MATCH($A586,'WetLitterbags placem_collection'!$M$4:$M$500,0)),"")</f>
        <v>194</v>
      </c>
      <c r="AE586" s="110" t="str">
        <f>IFERROR(INDEX('WetLitterbags placem_collection'!$A$3:$A$500,MATCH($A586,'WetLitterbags placem_collection'!$Q$4:$Q$500,0)),"")</f>
        <v/>
      </c>
    </row>
    <row r="587" spans="1:31">
      <c r="A587" s="197" t="s">
        <v>1103</v>
      </c>
      <c r="C587" s="198">
        <v>5</v>
      </c>
      <c r="D587" s="197">
        <v>1.0426</v>
      </c>
      <c r="E587" s="202">
        <v>9.4855999999999998</v>
      </c>
      <c r="F587" s="202">
        <v>0.20319999999999999</v>
      </c>
      <c r="G587" s="201">
        <f t="shared" si="47"/>
        <v>9.6888000000000005</v>
      </c>
      <c r="H587" s="201">
        <v>9.4974000000000007</v>
      </c>
      <c r="I587" s="201">
        <f t="shared" si="46"/>
        <v>0.19139999999999979</v>
      </c>
      <c r="J587" s="201">
        <f t="shared" si="48"/>
        <v>1.1800000000000199E-2</v>
      </c>
      <c r="K587" s="280">
        <f t="shared" si="49"/>
        <v>5.8070866141733264</v>
      </c>
      <c r="L587" s="201">
        <v>38</v>
      </c>
      <c r="M587" s="204">
        <v>43221</v>
      </c>
      <c r="N587" s="204">
        <v>43221</v>
      </c>
      <c r="AB587" s="110" t="str">
        <f>IFERROR(INDEX('WetLitterbags placem_collection'!$A$3:$A$500,MATCH(A587,'WetLitterbags placem_collection'!$K$4:$K$500,0)),"")</f>
        <v/>
      </c>
      <c r="AC587" s="110" t="str">
        <f>IFERROR(INDEX('WetLitterbags placem_collection'!$A$3:$A$500,MATCH($A587,'WetLitterbags placem_collection'!$O$4:$O$500,0)),"")</f>
        <v/>
      </c>
      <c r="AD587" s="110" t="str">
        <f>IFERROR(INDEX('WetLitterbags placem_collection'!$A$3:$A$500,MATCH($A587,'WetLitterbags placem_collection'!$M$4:$M$500,0)),"")</f>
        <v/>
      </c>
      <c r="AE587" s="110">
        <f>IFERROR(INDEX('WetLitterbags placem_collection'!$A$3:$A$500,MATCH($A587,'WetLitterbags placem_collection'!$Q$4:$Q$500,0)),"")</f>
        <v>4</v>
      </c>
    </row>
    <row r="588" spans="1:31">
      <c r="A588" s="206" t="s">
        <v>761</v>
      </c>
      <c r="C588" s="201">
        <v>17</v>
      </c>
      <c r="D588" s="201">
        <v>1.4234</v>
      </c>
      <c r="E588" s="201">
        <v>7.4806999999999997</v>
      </c>
      <c r="F588" s="202">
        <v>0.19939999999999999</v>
      </c>
      <c r="G588" s="201">
        <f t="shared" si="47"/>
        <v>7.6800999999999995</v>
      </c>
      <c r="H588" s="201">
        <v>7.4874000000000001</v>
      </c>
      <c r="I588" s="201">
        <f t="shared" si="46"/>
        <v>0.19269999999999943</v>
      </c>
      <c r="J588" s="201">
        <f t="shared" si="48"/>
        <v>6.7000000000005666E-3</v>
      </c>
      <c r="K588" s="280">
        <f t="shared" si="49"/>
        <v>3.3600802407224508</v>
      </c>
      <c r="L588" s="201">
        <v>26</v>
      </c>
      <c r="M588" s="205">
        <v>43211</v>
      </c>
      <c r="AB588" s="110" t="str">
        <f>IFERROR(INDEX('WetLitterbags placem_collection'!$A$3:$A$500,MATCH(A588,'WetLitterbags placem_collection'!$K$4:$K$500,0)),"")</f>
        <v/>
      </c>
      <c r="AC588" s="110" t="str">
        <f>IFERROR(INDEX('WetLitterbags placem_collection'!$A$3:$A$500,MATCH($A588,'WetLitterbags placem_collection'!$O$4:$O$500,0)),"")</f>
        <v/>
      </c>
      <c r="AD588" s="110" t="str">
        <f>IFERROR(INDEX('WetLitterbags placem_collection'!$A$3:$A$500,MATCH($A588,'WetLitterbags placem_collection'!$M$4:$M$500,0)),"")</f>
        <v/>
      </c>
      <c r="AE588" s="110">
        <f>IFERROR(INDEX('WetLitterbags placem_collection'!$A$3:$A$500,MATCH($A588,'WetLitterbags placem_collection'!$Q$4:$Q$500,0)),"")</f>
        <v>16</v>
      </c>
    </row>
    <row r="589" spans="1:31">
      <c r="A589" s="202" t="s">
        <v>760</v>
      </c>
      <c r="C589" s="201">
        <v>211</v>
      </c>
      <c r="D589" s="201">
        <v>1.2363</v>
      </c>
      <c r="E589" s="201">
        <v>8.0954999999999995</v>
      </c>
      <c r="F589" s="201">
        <v>0.20369999999999999</v>
      </c>
      <c r="G589" s="201">
        <f t="shared" si="47"/>
        <v>8.299199999999999</v>
      </c>
      <c r="H589" s="201">
        <v>8.1160999999999994</v>
      </c>
      <c r="I589" s="201">
        <f t="shared" ref="I589:I590" si="50">(G589-H589)</f>
        <v>0.1830999999999996</v>
      </c>
      <c r="J589" s="201">
        <f t="shared" si="48"/>
        <v>2.0600000000000396E-2</v>
      </c>
      <c r="K589" s="280">
        <f t="shared" si="49"/>
        <v>10.112911143839174</v>
      </c>
      <c r="L589" s="201">
        <v>13</v>
      </c>
      <c r="M589" s="205">
        <v>43173</v>
      </c>
      <c r="N589" s="205">
        <v>43173</v>
      </c>
      <c r="O589" s="201" t="s">
        <v>2556</v>
      </c>
      <c r="P589" s="201" t="s">
        <v>2555</v>
      </c>
      <c r="AB589" s="110" t="str">
        <f>IFERROR(INDEX('WetLitterbags placem_collection'!$A$3:$A$500,MATCH(A589,'WetLitterbags placem_collection'!$K$4:$K$500,0)),"")</f>
        <v/>
      </c>
      <c r="AC589" s="110" t="str">
        <f>IFERROR(INDEX('WetLitterbags placem_collection'!$A$3:$A$500,MATCH($A589,'WetLitterbags placem_collection'!$O$4:$O$500,0)),"")</f>
        <v/>
      </c>
      <c r="AD589" s="110">
        <f>IFERROR(INDEX('WetLitterbags placem_collection'!$A$3:$A$500,MATCH($A589,'WetLitterbags placem_collection'!$M$4:$M$500,0)),"")</f>
        <v>210</v>
      </c>
      <c r="AE589" s="110" t="str">
        <f>IFERROR(INDEX('WetLitterbags placem_collection'!$A$3:$A$500,MATCH($A589,'WetLitterbags placem_collection'!$Q$4:$Q$500,0)),"")</f>
        <v/>
      </c>
    </row>
    <row r="590" spans="1:31">
      <c r="A590" s="206" t="s">
        <v>759</v>
      </c>
      <c r="C590" s="197">
        <v>14</v>
      </c>
      <c r="D590" s="202">
        <v>1.4352</v>
      </c>
      <c r="E590" s="202">
        <v>9.0213000000000001</v>
      </c>
      <c r="F590" s="202">
        <v>0.20810000000000001</v>
      </c>
      <c r="G590" s="201">
        <f t="shared" si="47"/>
        <v>9.2294</v>
      </c>
      <c r="H590" s="201">
        <v>9.2042000000000002</v>
      </c>
      <c r="I590" s="201">
        <f t="shared" si="50"/>
        <v>2.5199999999999889E-2</v>
      </c>
      <c r="J590" s="201">
        <f t="shared" si="48"/>
        <v>0.18290000000000012</v>
      </c>
      <c r="K590" s="280">
        <f t="shared" si="49"/>
        <v>87.890437289764591</v>
      </c>
      <c r="L590" s="201">
        <v>25</v>
      </c>
      <c r="M590" s="205">
        <v>43199</v>
      </c>
      <c r="N590" s="205">
        <v>43199</v>
      </c>
      <c r="O590" s="201"/>
      <c r="P590" s="201"/>
      <c r="AB590" s="110" t="str">
        <f>IFERROR(INDEX('WetLitterbags placem_collection'!$A$3:$A$500,MATCH(A590,'WetLitterbags placem_collection'!$K$4:$K$500,0)),"")</f>
        <v/>
      </c>
      <c r="AC590" s="110" t="str">
        <f>IFERROR(INDEX('WetLitterbags placem_collection'!$A$3:$A$500,MATCH($A590,'WetLitterbags placem_collection'!$O$4:$O$500,0)),"")</f>
        <v/>
      </c>
      <c r="AD590" s="110">
        <f>IFERROR(INDEX('WetLitterbags placem_collection'!$A$3:$A$500,MATCH($A590,'WetLitterbags placem_collection'!$M$4:$M$500,0)),"")</f>
        <v>13</v>
      </c>
      <c r="AE590" s="110" t="str">
        <f>IFERROR(INDEX('WetLitterbags placem_collection'!$A$3:$A$500,MATCH($A590,'WetLitterbags placem_collection'!$Q$4:$Q$500,0)),"")</f>
        <v/>
      </c>
    </row>
    <row r="591" spans="1:31">
      <c r="A591" t="s">
        <v>758</v>
      </c>
      <c r="C591">
        <v>214</v>
      </c>
      <c r="D591">
        <v>1.3544</v>
      </c>
      <c r="E591">
        <v>7.8731</v>
      </c>
      <c r="F591">
        <v>0.21</v>
      </c>
      <c r="G591">
        <f t="shared" si="47"/>
        <v>8.0831</v>
      </c>
      <c r="H591">
        <v>7.883</v>
      </c>
      <c r="I591">
        <f>G591-H591</f>
        <v>0.20009999999999994</v>
      </c>
      <c r="J591">
        <f t="shared" si="48"/>
        <v>9.9000000000000477E-3</v>
      </c>
      <c r="K591" s="280">
        <f t="shared" si="49"/>
        <v>4.7142857142857366</v>
      </c>
      <c r="L591" s="201">
        <v>6</v>
      </c>
      <c r="M591" s="203">
        <v>43164.628472222219</v>
      </c>
      <c r="N591" s="203">
        <v>43164.795138888891</v>
      </c>
      <c r="O591" s="197" t="s">
        <v>2550</v>
      </c>
      <c r="P591"/>
      <c r="AB591" s="110" t="str">
        <f>IFERROR(INDEX('WetLitterbags placem_collection'!$A$3:$A$500,MATCH(A591,'WetLitterbags placem_collection'!$K$4:$K$500,0)),"")</f>
        <v/>
      </c>
      <c r="AC591" s="110" t="str">
        <f>IFERROR(INDEX('WetLitterbags placem_collection'!$A$3:$A$500,MATCH($A591,'WetLitterbags placem_collection'!$O$4:$O$500,0)),"")</f>
        <v/>
      </c>
      <c r="AD591" s="110">
        <f>IFERROR(INDEX('WetLitterbags placem_collection'!$A$3:$A$500,MATCH($A591,'WetLitterbags placem_collection'!$M$4:$M$500,0)),"")</f>
        <v>213</v>
      </c>
      <c r="AE591" s="110" t="str">
        <f>IFERROR(INDEX('WetLitterbags placem_collection'!$A$3:$A$500,MATCH($A591,'WetLitterbags placem_collection'!$Q$4:$Q$500,0)),"")</f>
        <v/>
      </c>
    </row>
    <row r="592" spans="1:31">
      <c r="A592" s="206" t="s">
        <v>757</v>
      </c>
      <c r="C592" s="201">
        <v>174</v>
      </c>
      <c r="D592" s="201">
        <v>1.5111000000000001</v>
      </c>
      <c r="E592" s="202">
        <v>8.4430999999999994</v>
      </c>
      <c r="F592" s="202">
        <v>0.2092</v>
      </c>
      <c r="G592" s="201">
        <f t="shared" si="47"/>
        <v>8.6522999999999985</v>
      </c>
      <c r="H592" s="201">
        <v>8.4474999999999998</v>
      </c>
      <c r="I592" s="201">
        <f t="shared" ref="I592:I623" si="51">(G592-H592)</f>
        <v>0.20479999999999876</v>
      </c>
      <c r="J592" s="201">
        <f t="shared" si="48"/>
        <v>4.4000000000012363E-3</v>
      </c>
      <c r="K592" s="280">
        <f t="shared" si="49"/>
        <v>2.1032504780120633</v>
      </c>
      <c r="L592" s="201">
        <v>7</v>
      </c>
      <c r="M592" s="207">
        <v>43186.458333333336</v>
      </c>
      <c r="N592" s="207">
        <v>43186.625</v>
      </c>
      <c r="O592" s="197" t="s">
        <v>2550</v>
      </c>
      <c r="P592" s="201"/>
      <c r="AB592" s="110" t="str">
        <f>IFERROR(INDEX('WetLitterbags placem_collection'!$A$3:$A$500,MATCH(A592,'WetLitterbags placem_collection'!$K$4:$K$500,0)),"")</f>
        <v/>
      </c>
      <c r="AC592" s="110" t="str">
        <f>IFERROR(INDEX('WetLitterbags placem_collection'!$A$3:$A$500,MATCH($A592,'WetLitterbags placem_collection'!$O$4:$O$500,0)),"")</f>
        <v/>
      </c>
      <c r="AD592" s="110" t="str">
        <f>IFERROR(INDEX('WetLitterbags placem_collection'!$A$3:$A$500,MATCH($A592,'WetLitterbags placem_collection'!$M$4:$M$500,0)),"")</f>
        <v/>
      </c>
      <c r="AE592" s="110">
        <f>IFERROR(INDEX('WetLitterbags placem_collection'!$A$3:$A$500,MATCH($A592,'WetLitterbags placem_collection'!$Q$4:$Q$500,0)),"")</f>
        <v>173</v>
      </c>
    </row>
    <row r="593" spans="1:31">
      <c r="A593" s="197" t="s">
        <v>755</v>
      </c>
      <c r="C593" s="198">
        <v>29</v>
      </c>
      <c r="D593" s="197">
        <v>1.3573</v>
      </c>
      <c r="E593" s="197">
        <v>9.3175000000000008</v>
      </c>
      <c r="F593" s="202">
        <v>0.20549999999999999</v>
      </c>
      <c r="G593" s="201">
        <f t="shared" si="47"/>
        <v>9.5230000000000015</v>
      </c>
      <c r="H593" s="201">
        <v>9.3400999999999996</v>
      </c>
      <c r="I593" s="201">
        <f t="shared" si="51"/>
        <v>0.18290000000000184</v>
      </c>
      <c r="J593" s="201">
        <f t="shared" si="48"/>
        <v>2.2599999999998149E-2</v>
      </c>
      <c r="K593" s="280">
        <f t="shared" si="49"/>
        <v>10.99756690997477</v>
      </c>
      <c r="L593" s="201">
        <v>2</v>
      </c>
      <c r="AB593" s="110" t="str">
        <f>IFERROR(INDEX('WetLitterbags placem_collection'!$A$3:$A$500,MATCH(A593,'WetLitterbags placem_collection'!$K$4:$K$500,0)),"")</f>
        <v/>
      </c>
      <c r="AC593" s="110" t="str">
        <f>IFERROR(INDEX('WetLitterbags placem_collection'!$A$3:$A$500,MATCH($A593,'WetLitterbags placem_collection'!$O$4:$O$500,0)),"")</f>
        <v/>
      </c>
      <c r="AD593" s="110">
        <f>IFERROR(INDEX('WetLitterbags placem_collection'!$A$3:$A$500,MATCH($A593,'WetLitterbags placem_collection'!$M$4:$M$500,0)),"")</f>
        <v>28</v>
      </c>
      <c r="AE593" s="110" t="str">
        <f>IFERROR(INDEX('WetLitterbags placem_collection'!$A$3:$A$500,MATCH($A593,'WetLitterbags placem_collection'!$Q$4:$Q$500,0)),"")</f>
        <v/>
      </c>
    </row>
    <row r="594" spans="1:31">
      <c r="A594" s="197" t="s">
        <v>754</v>
      </c>
      <c r="C594" s="198">
        <v>191</v>
      </c>
      <c r="D594" s="197">
        <v>1.4354</v>
      </c>
      <c r="E594" s="202">
        <v>7.0750999999999999</v>
      </c>
      <c r="F594" s="202">
        <v>0.20080000000000001</v>
      </c>
      <c r="G594" s="201">
        <f t="shared" si="47"/>
        <v>7.2759</v>
      </c>
      <c r="H594" s="201">
        <v>7.0793999999999997</v>
      </c>
      <c r="I594" s="201">
        <f t="shared" si="51"/>
        <v>0.19650000000000034</v>
      </c>
      <c r="J594" s="201">
        <f t="shared" si="48"/>
        <v>4.2999999999996652E-3</v>
      </c>
      <c r="K594" s="280">
        <f t="shared" si="49"/>
        <v>2.1414342629480405</v>
      </c>
      <c r="L594" s="201">
        <v>13</v>
      </c>
      <c r="AB594" s="110" t="str">
        <f>IFERROR(INDEX('WetLitterbags placem_collection'!$A$3:$A$500,MATCH(A594,'WetLitterbags placem_collection'!$K$4:$K$500,0)),"")</f>
        <v/>
      </c>
      <c r="AC594" s="110" t="str">
        <f>IFERROR(INDEX('WetLitterbags placem_collection'!$A$3:$A$500,MATCH($A594,'WetLitterbags placem_collection'!$O$4:$O$500,0)),"")</f>
        <v/>
      </c>
      <c r="AD594" s="110" t="str">
        <f>IFERROR(INDEX('WetLitterbags placem_collection'!$A$3:$A$500,MATCH($A594,'WetLitterbags placem_collection'!$M$4:$M$500,0)),"")</f>
        <v/>
      </c>
      <c r="AE594" s="110">
        <f>IFERROR(INDEX('WetLitterbags placem_collection'!$A$3:$A$500,MATCH($A594,'WetLitterbags placem_collection'!$Q$4:$Q$500,0)),"")</f>
        <v>190</v>
      </c>
    </row>
    <row r="595" spans="1:31">
      <c r="A595" s="206" t="s">
        <v>1102</v>
      </c>
      <c r="C595" s="201">
        <v>124</v>
      </c>
      <c r="D595" s="201">
        <v>1.2157</v>
      </c>
      <c r="E595" s="202">
        <v>11.4542</v>
      </c>
      <c r="F595" s="202">
        <v>0.20200000000000001</v>
      </c>
      <c r="G595" s="201">
        <f t="shared" si="47"/>
        <v>11.6562</v>
      </c>
      <c r="H595" s="201">
        <v>11.4687</v>
      </c>
      <c r="I595" s="201">
        <f t="shared" si="51"/>
        <v>0.1875</v>
      </c>
      <c r="J595" s="201">
        <f t="shared" si="48"/>
        <v>1.4500000000000013E-2</v>
      </c>
      <c r="K595" s="280">
        <f t="shared" si="49"/>
        <v>7.1782178217821846</v>
      </c>
      <c r="L595" s="201">
        <v>7</v>
      </c>
      <c r="M595" s="207">
        <v>43185.385416666664</v>
      </c>
      <c r="N595" s="201"/>
      <c r="O595" s="201" t="s">
        <v>2556</v>
      </c>
      <c r="P595" s="201"/>
      <c r="AB595" s="110" t="str">
        <f>IFERROR(INDEX('WetLitterbags placem_collection'!$A$3:$A$500,MATCH(A595,'WetLitterbags placem_collection'!$K$4:$K$500,0)),"")</f>
        <v/>
      </c>
      <c r="AC595" s="110" t="str">
        <f>IFERROR(INDEX('WetLitterbags placem_collection'!$A$3:$A$500,MATCH($A595,'WetLitterbags placem_collection'!$O$4:$O$500,0)),"")</f>
        <v/>
      </c>
      <c r="AD595" s="110">
        <f>IFERROR(INDEX('WetLitterbags placem_collection'!$A$3:$A$500,MATCH($A595,'WetLitterbags placem_collection'!$M$4:$M$500,0)),"")</f>
        <v>123</v>
      </c>
      <c r="AE595" s="110" t="str">
        <f>IFERROR(INDEX('WetLitterbags placem_collection'!$A$3:$A$500,MATCH($A595,'WetLitterbags placem_collection'!$Q$4:$Q$500,0)),"")</f>
        <v/>
      </c>
    </row>
    <row r="596" spans="1:31">
      <c r="A596" s="197" t="s">
        <v>751</v>
      </c>
      <c r="C596" s="201">
        <v>60</v>
      </c>
      <c r="D596" s="201">
        <v>1.3048</v>
      </c>
      <c r="E596" s="201">
        <v>8.8451000000000004</v>
      </c>
      <c r="F596" s="201">
        <v>0.20810000000000001</v>
      </c>
      <c r="G596" s="201">
        <f t="shared" si="47"/>
        <v>9.0532000000000004</v>
      </c>
      <c r="H596" s="201">
        <v>8.8652999999999995</v>
      </c>
      <c r="I596" s="201">
        <f t="shared" si="51"/>
        <v>0.18790000000000084</v>
      </c>
      <c r="J596" s="201">
        <f t="shared" si="48"/>
        <v>2.0199999999999163E-2</v>
      </c>
      <c r="K596" s="280">
        <f t="shared" si="49"/>
        <v>9.7068716962994532</v>
      </c>
      <c r="L596" s="201">
        <v>22</v>
      </c>
      <c r="M596" s="205">
        <v>43173</v>
      </c>
      <c r="N596" s="205">
        <v>43173</v>
      </c>
      <c r="O596" s="201" t="s">
        <v>2556</v>
      </c>
      <c r="P596" s="201" t="s">
        <v>2555</v>
      </c>
      <c r="AB596" s="110" t="str">
        <f>IFERROR(INDEX('WetLitterbags placem_collection'!$A$3:$A$500,MATCH(A596,'WetLitterbags placem_collection'!$K$4:$K$500,0)),"")</f>
        <v/>
      </c>
      <c r="AC596" s="110" t="str">
        <f>IFERROR(INDEX('WetLitterbags placem_collection'!$A$3:$A$500,MATCH($A596,'WetLitterbags placem_collection'!$O$4:$O$500,0)),"")</f>
        <v/>
      </c>
      <c r="AD596" s="110" t="str">
        <f>IFERROR(INDEX('WetLitterbags placem_collection'!$A$3:$A$500,MATCH($A596,'WetLitterbags placem_collection'!$M$4:$M$500,0)),"")</f>
        <v/>
      </c>
      <c r="AE596" s="110">
        <f>IFERROR(INDEX('WetLitterbags placem_collection'!$A$3:$A$500,MATCH($A596,'WetLitterbags placem_collection'!$Q$4:$Q$500,0)),"")</f>
        <v>59</v>
      </c>
    </row>
    <row r="597" spans="1:31">
      <c r="A597" s="201" t="s">
        <v>750</v>
      </c>
      <c r="C597" s="201">
        <v>85</v>
      </c>
      <c r="D597" s="201">
        <v>1.3975</v>
      </c>
      <c r="E597" s="202">
        <v>7.1887999999999996</v>
      </c>
      <c r="F597" s="202">
        <v>0.20019999999999999</v>
      </c>
      <c r="G597" s="201">
        <f t="shared" si="47"/>
        <v>7.3889999999999993</v>
      </c>
      <c r="H597" s="201">
        <v>7.1961000000000004</v>
      </c>
      <c r="I597" s="201">
        <f t="shared" si="51"/>
        <v>0.19289999999999896</v>
      </c>
      <c r="J597" s="201">
        <f t="shared" si="48"/>
        <v>7.3000000000010279E-3</v>
      </c>
      <c r="K597" s="280">
        <f t="shared" si="49"/>
        <v>3.6463536463541599</v>
      </c>
      <c r="L597" s="201">
        <v>40</v>
      </c>
      <c r="M597" s="207">
        <v>43186.458333333336</v>
      </c>
      <c r="N597" s="207">
        <v>43186.625</v>
      </c>
      <c r="O597" s="197" t="s">
        <v>2550</v>
      </c>
      <c r="P597" s="201"/>
      <c r="AB597" s="110" t="str">
        <f>IFERROR(INDEX('WetLitterbags placem_collection'!$A$3:$A$500,MATCH(A597,'WetLitterbags placem_collection'!$K$4:$K$500,0)),"")</f>
        <v/>
      </c>
      <c r="AC597" s="110" t="str">
        <f>IFERROR(INDEX('WetLitterbags placem_collection'!$A$3:$A$500,MATCH($A597,'WetLitterbags placem_collection'!$O$4:$O$500,0)),"")</f>
        <v/>
      </c>
      <c r="AD597" s="110" t="str">
        <f>IFERROR(INDEX('WetLitterbags placem_collection'!$A$3:$A$500,MATCH($A597,'WetLitterbags placem_collection'!$M$4:$M$500,0)),"")</f>
        <v/>
      </c>
      <c r="AE597" s="110">
        <f>IFERROR(INDEX('WetLitterbags placem_collection'!$A$3:$A$500,MATCH($A597,'WetLitterbags placem_collection'!$Q$4:$Q$500,0)),"")</f>
        <v>84</v>
      </c>
    </row>
    <row r="598" spans="1:31">
      <c r="A598" s="197" t="s">
        <v>749</v>
      </c>
      <c r="C598" s="198">
        <v>210</v>
      </c>
      <c r="D598" s="197">
        <v>1.4152</v>
      </c>
      <c r="E598" s="202">
        <v>8.1193000000000008</v>
      </c>
      <c r="F598" s="202">
        <v>0.2087</v>
      </c>
      <c r="G598" s="201">
        <f t="shared" si="47"/>
        <v>8.3280000000000012</v>
      </c>
      <c r="H598" s="201">
        <v>8.1370000000000005</v>
      </c>
      <c r="I598" s="201">
        <f t="shared" si="51"/>
        <v>0.19100000000000072</v>
      </c>
      <c r="J598" s="201">
        <f t="shared" si="48"/>
        <v>1.7699999999999272E-2</v>
      </c>
      <c r="K598" s="280">
        <f t="shared" si="49"/>
        <v>8.4810733109723397</v>
      </c>
      <c r="L598" s="201">
        <v>3</v>
      </c>
      <c r="AB598" s="110" t="str">
        <f>IFERROR(INDEX('WetLitterbags placem_collection'!$A$3:$A$500,MATCH(A598,'WetLitterbags placem_collection'!$K$4:$K$500,0)),"")</f>
        <v/>
      </c>
      <c r="AC598" s="110" t="str">
        <f>IFERROR(INDEX('WetLitterbags placem_collection'!$A$3:$A$500,MATCH($A598,'WetLitterbags placem_collection'!$O$4:$O$500,0)),"")</f>
        <v/>
      </c>
      <c r="AD598" s="110" t="str">
        <f>IFERROR(INDEX('WetLitterbags placem_collection'!$A$3:$A$500,MATCH($A598,'WetLitterbags placem_collection'!$M$4:$M$500,0)),"")</f>
        <v/>
      </c>
      <c r="AE598" s="110">
        <f>IFERROR(INDEX('WetLitterbags placem_collection'!$A$3:$A$500,MATCH($A598,'WetLitterbags placem_collection'!$Q$4:$Q$500,0)),"")</f>
        <v>209</v>
      </c>
    </row>
    <row r="599" spans="1:31">
      <c r="A599" s="197" t="s">
        <v>748</v>
      </c>
      <c r="C599" s="198">
        <v>73</v>
      </c>
      <c r="D599" s="197">
        <v>1.4407000000000001</v>
      </c>
      <c r="E599" s="201">
        <v>11.746499999999999</v>
      </c>
      <c r="F599" s="202">
        <v>0.2059</v>
      </c>
      <c r="G599" s="201">
        <f t="shared" si="47"/>
        <v>11.952399999999999</v>
      </c>
      <c r="H599" s="201">
        <v>11.7516</v>
      </c>
      <c r="I599" s="201">
        <f t="shared" si="51"/>
        <v>0.2007999999999992</v>
      </c>
      <c r="J599" s="201">
        <f t="shared" si="48"/>
        <v>5.1000000000007983E-3</v>
      </c>
      <c r="K599" s="280">
        <f t="shared" si="49"/>
        <v>2.4769305488104898</v>
      </c>
      <c r="L599" s="201">
        <v>6</v>
      </c>
      <c r="M599" s="204">
        <v>43212</v>
      </c>
      <c r="AB599" s="110" t="str">
        <f>IFERROR(INDEX('WetLitterbags placem_collection'!$A$3:$A$500,MATCH(A599,'WetLitterbags placem_collection'!$K$4:$K$500,0)),"")</f>
        <v/>
      </c>
      <c r="AC599" s="110" t="str">
        <f>IFERROR(INDEX('WetLitterbags placem_collection'!$A$3:$A$500,MATCH($A599,'WetLitterbags placem_collection'!$O$4:$O$500,0)),"")</f>
        <v/>
      </c>
      <c r="AD599" s="110" t="str">
        <f>IFERROR(INDEX('WetLitterbags placem_collection'!$A$3:$A$500,MATCH($A599,'WetLitterbags placem_collection'!$M$4:$M$500,0)),"")</f>
        <v/>
      </c>
      <c r="AE599" s="110">
        <f>IFERROR(INDEX('WetLitterbags placem_collection'!$A$3:$A$500,MATCH($A599,'WetLitterbags placem_collection'!$Q$4:$Q$500,0)),"")</f>
        <v>72</v>
      </c>
    </row>
    <row r="600" spans="1:31">
      <c r="A600" s="197" t="s">
        <v>746</v>
      </c>
      <c r="C600" s="198">
        <v>201</v>
      </c>
      <c r="D600" s="197">
        <v>1.3948</v>
      </c>
      <c r="E600" s="201">
        <v>10.5029</v>
      </c>
      <c r="F600" s="202">
        <v>0.20250000000000001</v>
      </c>
      <c r="G600" s="201">
        <f t="shared" si="47"/>
        <v>10.705400000000001</v>
      </c>
      <c r="H600" s="201">
        <v>10.509</v>
      </c>
      <c r="I600" s="201">
        <f t="shared" si="51"/>
        <v>0.19640000000000057</v>
      </c>
      <c r="J600" s="201">
        <f t="shared" si="48"/>
        <v>6.0999999999994392E-3</v>
      </c>
      <c r="K600" s="280">
        <f t="shared" si="49"/>
        <v>3.0123456790120686</v>
      </c>
      <c r="L600" s="201">
        <v>9</v>
      </c>
      <c r="M600" s="204">
        <v>43212</v>
      </c>
      <c r="AB600" s="110" t="str">
        <f>IFERROR(INDEX('WetLitterbags placem_collection'!$A$3:$A$500,MATCH(A600,'WetLitterbags placem_collection'!$K$4:$K$500,0)),"")</f>
        <v/>
      </c>
      <c r="AC600" s="110" t="str">
        <f>IFERROR(INDEX('WetLitterbags placem_collection'!$A$3:$A$500,MATCH($A600,'WetLitterbags placem_collection'!$O$4:$O$500,0)),"")</f>
        <v/>
      </c>
      <c r="AD600" s="110" t="str">
        <f>IFERROR(INDEX('WetLitterbags placem_collection'!$A$3:$A$500,MATCH($A600,'WetLitterbags placem_collection'!$M$4:$M$500,0)),"")</f>
        <v/>
      </c>
      <c r="AE600" s="110">
        <f>IFERROR(INDEX('WetLitterbags placem_collection'!$A$3:$A$500,MATCH($A600,'WetLitterbags placem_collection'!$Q$4:$Q$500,0)),"")</f>
        <v>200</v>
      </c>
    </row>
    <row r="601" spans="1:31">
      <c r="A601" s="197" t="s">
        <v>745</v>
      </c>
      <c r="C601" s="198">
        <v>32</v>
      </c>
      <c r="D601" s="197">
        <v>1.0985</v>
      </c>
      <c r="E601" s="202">
        <v>10.8552</v>
      </c>
      <c r="F601" s="202">
        <v>0.2059</v>
      </c>
      <c r="G601" s="201">
        <f t="shared" si="47"/>
        <v>11.0611</v>
      </c>
      <c r="H601" s="201">
        <v>10.870799999999999</v>
      </c>
      <c r="I601" s="201">
        <f t="shared" si="51"/>
        <v>0.19030000000000058</v>
      </c>
      <c r="J601" s="201">
        <f t="shared" si="48"/>
        <v>1.559999999999942E-2</v>
      </c>
      <c r="K601" s="280">
        <f t="shared" si="49"/>
        <v>7.5764934434188538</v>
      </c>
      <c r="L601" s="201">
        <v>25</v>
      </c>
      <c r="AB601" s="110" t="str">
        <f>IFERROR(INDEX('WetLitterbags placem_collection'!$A$3:$A$500,MATCH(A601,'WetLitterbags placem_collection'!$K$4:$K$500,0)),"")</f>
        <v/>
      </c>
      <c r="AC601" s="110" t="str">
        <f>IFERROR(INDEX('WetLitterbags placem_collection'!$A$3:$A$500,MATCH($A601,'WetLitterbags placem_collection'!$O$4:$O$500,0)),"")</f>
        <v/>
      </c>
      <c r="AD601" s="110">
        <f>IFERROR(INDEX('WetLitterbags placem_collection'!$A$3:$A$500,MATCH($A601,'WetLitterbags placem_collection'!$M$4:$M$500,0)),"")</f>
        <v>31</v>
      </c>
      <c r="AE601" s="110" t="str">
        <f>IFERROR(INDEX('WetLitterbags placem_collection'!$A$3:$A$500,MATCH($A601,'WetLitterbags placem_collection'!$Q$4:$Q$500,0)),"")</f>
        <v/>
      </c>
    </row>
    <row r="602" spans="1:31">
      <c r="A602" s="201" t="s">
        <v>743</v>
      </c>
      <c r="C602" s="201">
        <v>7</v>
      </c>
      <c r="D602" s="197">
        <v>1.2833000000000001</v>
      </c>
      <c r="E602" s="202">
        <v>10.7433</v>
      </c>
      <c r="F602" s="202">
        <v>0.19950000000000001</v>
      </c>
      <c r="G602" s="201">
        <f t="shared" si="47"/>
        <v>10.9428</v>
      </c>
      <c r="H602" s="201">
        <v>10.7507</v>
      </c>
      <c r="I602" s="201">
        <f t="shared" si="51"/>
        <v>0.19209999999999994</v>
      </c>
      <c r="J602" s="201">
        <f t="shared" si="48"/>
        <v>7.4000000000000732E-3</v>
      </c>
      <c r="K602" s="280">
        <f t="shared" si="49"/>
        <v>3.7092731829574301</v>
      </c>
      <c r="L602" s="201">
        <v>2</v>
      </c>
      <c r="M602" s="207">
        <v>43185.385416666664</v>
      </c>
      <c r="N602" s="201"/>
      <c r="O602" s="201" t="s">
        <v>2556</v>
      </c>
      <c r="P602" s="201"/>
      <c r="AB602" s="110" t="str">
        <f>IFERROR(INDEX('WetLitterbags placem_collection'!$A$3:$A$500,MATCH(A602,'WetLitterbags placem_collection'!$K$4:$K$500,0)),"")</f>
        <v/>
      </c>
      <c r="AC602" s="110" t="str">
        <f>IFERROR(INDEX('WetLitterbags placem_collection'!$A$3:$A$500,MATCH($A602,'WetLitterbags placem_collection'!$O$4:$O$500,0)),"")</f>
        <v/>
      </c>
      <c r="AD602" s="110" t="str">
        <f>IFERROR(INDEX('WetLitterbags placem_collection'!$A$3:$A$500,MATCH($A602,'WetLitterbags placem_collection'!$M$4:$M$500,0)),"")</f>
        <v/>
      </c>
      <c r="AE602" s="110">
        <f>IFERROR(INDEX('WetLitterbags placem_collection'!$A$3:$A$500,MATCH($A602,'WetLitterbags placem_collection'!$Q$4:$Q$500,0)),"")</f>
        <v>6</v>
      </c>
    </row>
    <row r="603" spans="1:31">
      <c r="A603" s="206" t="s">
        <v>1137</v>
      </c>
      <c r="C603" s="197">
        <v>92</v>
      </c>
      <c r="D603" s="201">
        <v>1.4371</v>
      </c>
      <c r="E603" s="202">
        <v>11.903600000000001</v>
      </c>
      <c r="F603" s="202">
        <v>0.2074</v>
      </c>
      <c r="G603" s="201">
        <f t="shared" si="47"/>
        <v>12.111000000000001</v>
      </c>
      <c r="H603" s="201">
        <v>11.9087</v>
      </c>
      <c r="I603" s="201">
        <f t="shared" si="51"/>
        <v>0.20230000000000103</v>
      </c>
      <c r="J603" s="201">
        <f t="shared" si="48"/>
        <v>5.0999999999989665E-3</v>
      </c>
      <c r="K603" s="280">
        <f t="shared" si="49"/>
        <v>2.4590163934421247</v>
      </c>
      <c r="L603" s="201">
        <v>14</v>
      </c>
      <c r="M603" s="207">
        <v>43186.458333333336</v>
      </c>
      <c r="N603" s="207">
        <v>43186.625</v>
      </c>
      <c r="O603" s="197" t="s">
        <v>2550</v>
      </c>
      <c r="P603" s="201" t="s">
        <v>2578</v>
      </c>
      <c r="AB603" s="110" t="str">
        <f>IFERROR(INDEX('WetLitterbags placem_collection'!$A$3:$A$500,MATCH(A603,'WetLitterbags placem_collection'!$K$4:$K$500,0)),"")</f>
        <v/>
      </c>
      <c r="AC603" s="110" t="str">
        <f>IFERROR(INDEX('WetLitterbags placem_collection'!$A$3:$A$500,MATCH($A603,'WetLitterbags placem_collection'!$O$4:$O$500,0)),"")</f>
        <v/>
      </c>
      <c r="AD603" s="110" t="str">
        <f>IFERROR(INDEX('WetLitterbags placem_collection'!$A$3:$A$500,MATCH($A603,'WetLitterbags placem_collection'!$M$4:$M$500,0)),"")</f>
        <v/>
      </c>
      <c r="AE603" s="110">
        <f>IFERROR(INDEX('WetLitterbags placem_collection'!$A$3:$A$500,MATCH($A603,'WetLitterbags placem_collection'!$Q$4:$Q$500,0)),"")</f>
        <v>91</v>
      </c>
    </row>
    <row r="604" spans="1:31">
      <c r="A604" s="202" t="s">
        <v>1101</v>
      </c>
      <c r="C604" s="201">
        <v>145</v>
      </c>
      <c r="D604" s="201">
        <v>1.3506999999999998</v>
      </c>
      <c r="E604" s="201">
        <v>8.2186000000000003</v>
      </c>
      <c r="F604" s="201">
        <v>0.20599999999999999</v>
      </c>
      <c r="G604" s="201">
        <f t="shared" si="47"/>
        <v>8.4245999999999999</v>
      </c>
      <c r="H604" s="201">
        <v>8.2359000000000009</v>
      </c>
      <c r="I604" s="201">
        <f t="shared" si="51"/>
        <v>0.18869999999999898</v>
      </c>
      <c r="J604" s="201">
        <f t="shared" si="48"/>
        <v>1.7300000000001009E-2</v>
      </c>
      <c r="K604" s="280">
        <f t="shared" si="49"/>
        <v>8.3980582524276741</v>
      </c>
      <c r="L604" s="201">
        <v>26</v>
      </c>
      <c r="M604" s="205">
        <v>43173</v>
      </c>
      <c r="N604" s="205">
        <v>43173</v>
      </c>
      <c r="O604" s="201" t="s">
        <v>2556</v>
      </c>
      <c r="P604" s="201" t="s">
        <v>2555</v>
      </c>
      <c r="AB604" s="110" t="str">
        <f>IFERROR(INDEX('WetLitterbags placem_collection'!$A$3:$A$500,MATCH(A604,'WetLitterbags placem_collection'!$K$4:$K$500,0)),"")</f>
        <v/>
      </c>
      <c r="AC604" s="110" t="str">
        <f>IFERROR(INDEX('WetLitterbags placem_collection'!$A$3:$A$500,MATCH($A604,'WetLitterbags placem_collection'!$O$4:$O$500,0)),"")</f>
        <v/>
      </c>
      <c r="AD604" s="110" t="str">
        <f>IFERROR(INDEX('WetLitterbags placem_collection'!$A$3:$A$500,MATCH($A604,'WetLitterbags placem_collection'!$M$4:$M$500,0)),"")</f>
        <v/>
      </c>
      <c r="AE604" s="110">
        <f>IFERROR(INDEX('WetLitterbags placem_collection'!$A$3:$A$500,MATCH($A604,'WetLitterbags placem_collection'!$Q$4:$Q$500,0)),"")</f>
        <v>144</v>
      </c>
    </row>
    <row r="605" spans="1:31">
      <c r="A605" s="201" t="s">
        <v>738</v>
      </c>
      <c r="C605" s="201">
        <v>169</v>
      </c>
      <c r="D605" s="201">
        <v>1.4878</v>
      </c>
      <c r="E605" s="201">
        <v>7.7732000000000001</v>
      </c>
      <c r="F605" s="202">
        <v>0.20669999999999999</v>
      </c>
      <c r="G605" s="201">
        <f t="shared" si="47"/>
        <v>7.9798999999999998</v>
      </c>
      <c r="H605" s="197">
        <v>7.7808000000000002</v>
      </c>
      <c r="I605" s="197">
        <f t="shared" si="51"/>
        <v>0.19909999999999961</v>
      </c>
      <c r="J605" s="201">
        <f t="shared" si="48"/>
        <v>7.6000000000003842E-3</v>
      </c>
      <c r="K605" s="280">
        <f t="shared" si="49"/>
        <v>3.6768263183359386</v>
      </c>
      <c r="L605" s="201">
        <v>21</v>
      </c>
      <c r="M605" s="205">
        <v>43187</v>
      </c>
      <c r="N605" s="205">
        <v>43187</v>
      </c>
      <c r="O605" s="201"/>
      <c r="P605" s="201"/>
      <c r="AB605" s="110" t="str">
        <f>IFERROR(INDEX('WetLitterbags placem_collection'!$A$3:$A$500,MATCH(A605,'WetLitterbags placem_collection'!$K$4:$K$500,0)),"")</f>
        <v/>
      </c>
      <c r="AC605" s="110" t="str">
        <f>IFERROR(INDEX('WetLitterbags placem_collection'!$A$3:$A$500,MATCH($A605,'WetLitterbags placem_collection'!$O$4:$O$500,0)),"")</f>
        <v/>
      </c>
      <c r="AD605" s="110" t="str">
        <f>IFERROR(INDEX('WetLitterbags placem_collection'!$A$3:$A$500,MATCH($A605,'WetLitterbags placem_collection'!$M$4:$M$500,0)),"")</f>
        <v/>
      </c>
      <c r="AE605" s="110">
        <f>IFERROR(INDEX('WetLitterbags placem_collection'!$A$3:$A$500,MATCH($A605,'WetLitterbags placem_collection'!$Q$4:$Q$500,0)),"")</f>
        <v>168</v>
      </c>
    </row>
    <row r="606" spans="1:31">
      <c r="A606" s="197" t="s">
        <v>735</v>
      </c>
      <c r="C606" s="197">
        <v>8</v>
      </c>
      <c r="D606" s="197">
        <v>1.2090000000000001</v>
      </c>
      <c r="E606" s="197">
        <v>7.0926999999999998</v>
      </c>
      <c r="F606" s="197">
        <v>0.2056</v>
      </c>
      <c r="G606" s="197">
        <f t="shared" si="47"/>
        <v>7.2982999999999993</v>
      </c>
      <c r="H606" s="197">
        <v>7.0979000000000001</v>
      </c>
      <c r="I606" s="197">
        <f t="shared" si="51"/>
        <v>0.20039999999999925</v>
      </c>
      <c r="J606" s="201">
        <f t="shared" si="48"/>
        <v>5.2000000000007596E-3</v>
      </c>
      <c r="K606" s="280">
        <f t="shared" si="49"/>
        <v>2.5291828793778013</v>
      </c>
      <c r="L606" s="197">
        <v>2</v>
      </c>
      <c r="M606" s="197" t="s">
        <v>2586</v>
      </c>
      <c r="N606" s="197" t="s">
        <v>2585</v>
      </c>
      <c r="O606" s="197" t="s">
        <v>2550</v>
      </c>
      <c r="AB606" s="110" t="str">
        <f>IFERROR(INDEX('WetLitterbags placem_collection'!$A$3:$A$500,MATCH(A606,'WetLitterbags placem_collection'!$K$4:$K$500,0)),"")</f>
        <v/>
      </c>
      <c r="AC606" s="110" t="str">
        <f>IFERROR(INDEX('WetLitterbags placem_collection'!$A$3:$A$500,MATCH($A606,'WetLitterbags placem_collection'!$O$4:$O$500,0)),"")</f>
        <v/>
      </c>
      <c r="AD606" s="110">
        <f>IFERROR(INDEX('WetLitterbags placem_collection'!$A$3:$A$500,MATCH($A606,'WetLitterbags placem_collection'!$M$4:$M$500,0)),"")</f>
        <v>7</v>
      </c>
      <c r="AE606" s="110" t="str">
        <f>IFERROR(INDEX('WetLitterbags placem_collection'!$A$3:$A$500,MATCH($A606,'WetLitterbags placem_collection'!$Q$4:$Q$500,0)),"")</f>
        <v/>
      </c>
    </row>
    <row r="607" spans="1:31">
      <c r="A607" s="197" t="s">
        <v>1100</v>
      </c>
      <c r="C607" s="197">
        <v>112</v>
      </c>
      <c r="D607" s="197">
        <v>1.4342999999999999</v>
      </c>
      <c r="E607" s="197">
        <v>19.091799999999999</v>
      </c>
      <c r="F607" s="197">
        <v>0.20430000000000001</v>
      </c>
      <c r="G607" s="197">
        <f t="shared" si="47"/>
        <v>19.296099999999999</v>
      </c>
      <c r="H607" s="197">
        <v>19.106100000000001</v>
      </c>
      <c r="I607" s="197">
        <f t="shared" si="51"/>
        <v>0.18999999999999773</v>
      </c>
      <c r="J607" s="201">
        <f t="shared" si="48"/>
        <v>1.4300000000002283E-2</v>
      </c>
      <c r="K607" s="280">
        <f t="shared" si="49"/>
        <v>6.9995105237407165</v>
      </c>
      <c r="L607" s="197">
        <v>10</v>
      </c>
      <c r="M607" s="197" t="s">
        <v>2576</v>
      </c>
      <c r="N607" s="197">
        <v>43153.729166666664</v>
      </c>
      <c r="O607" s="197" t="s">
        <v>2550</v>
      </c>
      <c r="P607" s="197" t="s">
        <v>2574</v>
      </c>
      <c r="AB607" s="110" t="str">
        <f>IFERROR(INDEX('WetLitterbags placem_collection'!$A$3:$A$500,MATCH(A607,'WetLitterbags placem_collection'!$K$4:$K$500,0)),"")</f>
        <v/>
      </c>
      <c r="AC607" s="110" t="str">
        <f>IFERROR(INDEX('WetLitterbags placem_collection'!$A$3:$A$500,MATCH($A607,'WetLitterbags placem_collection'!$O$4:$O$500,0)),"")</f>
        <v/>
      </c>
      <c r="AD607" s="110">
        <f>IFERROR(INDEX('WetLitterbags placem_collection'!$A$3:$A$500,MATCH($A607,'WetLitterbags placem_collection'!$M$4:$M$500,0)),"")</f>
        <v>111</v>
      </c>
      <c r="AE607" s="110" t="str">
        <f>IFERROR(INDEX('WetLitterbags placem_collection'!$A$3:$A$500,MATCH($A607,'WetLitterbags placem_collection'!$Q$4:$Q$500,0)),"")</f>
        <v/>
      </c>
    </row>
    <row r="608" spans="1:31">
      <c r="A608" s="201" t="s">
        <v>731</v>
      </c>
      <c r="C608" s="201">
        <v>217</v>
      </c>
      <c r="D608" s="201">
        <v>1.2276</v>
      </c>
      <c r="E608" s="201">
        <v>9.1377000000000006</v>
      </c>
      <c r="F608" s="202">
        <v>0.2034</v>
      </c>
      <c r="G608" s="201">
        <f t="shared" si="47"/>
        <v>9.3411000000000008</v>
      </c>
      <c r="H608" s="201">
        <v>9.1463999999999999</v>
      </c>
      <c r="I608" s="201">
        <f t="shared" si="51"/>
        <v>0.19470000000000098</v>
      </c>
      <c r="J608" s="201">
        <f t="shared" si="48"/>
        <v>8.6999999999990141E-3</v>
      </c>
      <c r="K608" s="280">
        <f t="shared" si="49"/>
        <v>4.277286135692731</v>
      </c>
      <c r="L608" s="201">
        <v>3</v>
      </c>
      <c r="M608" s="205">
        <v>43211</v>
      </c>
      <c r="N608" s="201"/>
      <c r="O608" s="201"/>
      <c r="P608" s="201"/>
      <c r="AB608" s="110" t="str">
        <f>IFERROR(INDEX('WetLitterbags placem_collection'!$A$3:$A$500,MATCH(A608,'WetLitterbags placem_collection'!$K$4:$K$500,0)),"")</f>
        <v/>
      </c>
      <c r="AC608" s="110" t="str">
        <f>IFERROR(INDEX('WetLitterbags placem_collection'!$A$3:$A$500,MATCH($A608,'WetLitterbags placem_collection'!$O$4:$O$500,0)),"")</f>
        <v/>
      </c>
      <c r="AD608" s="110" t="str">
        <f>IFERROR(INDEX('WetLitterbags placem_collection'!$A$3:$A$500,MATCH($A608,'WetLitterbags placem_collection'!$M$4:$M$500,0)),"")</f>
        <v/>
      </c>
      <c r="AE608" s="110">
        <f>IFERROR(INDEX('WetLitterbags placem_collection'!$A$3:$A$500,MATCH($A608,'WetLitterbags placem_collection'!$Q$4:$Q$500,0)),"")</f>
        <v>216</v>
      </c>
    </row>
    <row r="609" spans="1:31">
      <c r="A609" s="197" t="s">
        <v>730</v>
      </c>
      <c r="C609" s="201">
        <v>165</v>
      </c>
      <c r="D609" s="201">
        <v>1.4901</v>
      </c>
      <c r="E609" s="201">
        <v>8.0657999999999994</v>
      </c>
      <c r="F609" s="201">
        <v>0.2082</v>
      </c>
      <c r="G609" s="201">
        <f t="shared" si="47"/>
        <v>8.2739999999999991</v>
      </c>
      <c r="H609" s="201">
        <v>8.0698000000000008</v>
      </c>
      <c r="I609" s="201">
        <f t="shared" si="51"/>
        <v>0.20419999999999838</v>
      </c>
      <c r="J609" s="201">
        <f t="shared" si="48"/>
        <v>4.0000000000016134E-3</v>
      </c>
      <c r="K609" s="280">
        <f t="shared" si="49"/>
        <v>1.9212295869364138</v>
      </c>
      <c r="L609" s="201">
        <v>17</v>
      </c>
      <c r="M609" s="203">
        <v>43164.628472222219</v>
      </c>
      <c r="N609" s="203">
        <v>43164.795138888891</v>
      </c>
      <c r="O609" s="197" t="s">
        <v>2550</v>
      </c>
      <c r="P609" s="201"/>
      <c r="AB609" s="110" t="str">
        <f>IFERROR(INDEX('WetLitterbags placem_collection'!$A$3:$A$500,MATCH(A609,'WetLitterbags placem_collection'!$K$4:$K$500,0)),"")</f>
        <v/>
      </c>
      <c r="AC609" s="110" t="str">
        <f>IFERROR(INDEX('WetLitterbags placem_collection'!$A$3:$A$500,MATCH($A609,'WetLitterbags placem_collection'!$O$4:$O$500,0)),"")</f>
        <v/>
      </c>
      <c r="AD609" s="110" t="str">
        <f>IFERROR(INDEX('WetLitterbags placem_collection'!$A$3:$A$500,MATCH($A609,'WetLitterbags placem_collection'!$M$4:$M$500,0)),"")</f>
        <v/>
      </c>
      <c r="AE609" s="110">
        <f>IFERROR(INDEX('WetLitterbags placem_collection'!$A$3:$A$500,MATCH($A609,'WetLitterbags placem_collection'!$Q$4:$Q$500,0)),"")</f>
        <v>164</v>
      </c>
    </row>
    <row r="610" spans="1:31">
      <c r="A610" s="206" t="s">
        <v>729</v>
      </c>
      <c r="C610" s="201">
        <v>214</v>
      </c>
      <c r="D610" s="201">
        <v>1.2703</v>
      </c>
      <c r="E610" s="201">
        <v>8.9997000000000007</v>
      </c>
      <c r="F610" s="201">
        <v>0.2001</v>
      </c>
      <c r="G610" s="201">
        <f t="shared" si="47"/>
        <v>9.1998000000000015</v>
      </c>
      <c r="H610" s="201">
        <v>9.0108999999999995</v>
      </c>
      <c r="I610" s="201">
        <f t="shared" si="51"/>
        <v>0.18890000000000207</v>
      </c>
      <c r="J610" s="201">
        <f t="shared" si="48"/>
        <v>1.1199999999997934E-2</v>
      </c>
      <c r="K610" s="280">
        <f t="shared" si="49"/>
        <v>5.5972013992993173</v>
      </c>
      <c r="L610" s="201">
        <v>5</v>
      </c>
      <c r="M610" s="203">
        <v>43164.628472222219</v>
      </c>
      <c r="N610" s="203">
        <v>43164.795138888891</v>
      </c>
      <c r="O610" s="197" t="s">
        <v>2550</v>
      </c>
      <c r="P610" s="201"/>
      <c r="AB610" s="110" t="str">
        <f>IFERROR(INDEX('WetLitterbags placem_collection'!$A$3:$A$500,MATCH(A610,'WetLitterbags placem_collection'!$K$4:$K$500,0)),"")</f>
        <v/>
      </c>
      <c r="AC610" s="110" t="str">
        <f>IFERROR(INDEX('WetLitterbags placem_collection'!$A$3:$A$500,MATCH($A610,'WetLitterbags placem_collection'!$O$4:$O$500,0)),"")</f>
        <v/>
      </c>
      <c r="AD610" s="110" t="str">
        <f>IFERROR(INDEX('WetLitterbags placem_collection'!$A$3:$A$500,MATCH($A610,'WetLitterbags placem_collection'!$M$4:$M$500,0)),"")</f>
        <v/>
      </c>
      <c r="AE610" s="110">
        <f>IFERROR(INDEX('WetLitterbags placem_collection'!$A$3:$A$500,MATCH($A610,'WetLitterbags placem_collection'!$Q$4:$Q$500,0)),"")</f>
        <v>213</v>
      </c>
    </row>
    <row r="611" spans="1:31">
      <c r="A611" s="201" t="s">
        <v>727</v>
      </c>
      <c r="C611" s="201">
        <v>69</v>
      </c>
      <c r="D611" s="202">
        <v>2.0773000000000001</v>
      </c>
      <c r="E611" s="202">
        <v>8.0951000000000004</v>
      </c>
      <c r="F611" s="202">
        <v>0.20949999999999999</v>
      </c>
      <c r="G611" s="201">
        <f t="shared" si="47"/>
        <v>8.3046000000000006</v>
      </c>
      <c r="H611" s="201">
        <v>8.1296999999999997</v>
      </c>
      <c r="I611" s="201">
        <f t="shared" si="51"/>
        <v>0.17490000000000094</v>
      </c>
      <c r="J611" s="201">
        <f t="shared" si="48"/>
        <v>3.4599999999999048E-2</v>
      </c>
      <c r="K611" s="280">
        <f t="shared" si="49"/>
        <v>16.515513126491193</v>
      </c>
      <c r="L611" s="201">
        <v>18</v>
      </c>
      <c r="M611" s="203">
        <v>43181.645833333336</v>
      </c>
      <c r="N611" s="203">
        <v>43181.833333333336</v>
      </c>
      <c r="O611" s="201" t="s">
        <v>2556</v>
      </c>
      <c r="P611" s="201"/>
      <c r="AB611" s="110" t="str">
        <f>IFERROR(INDEX('WetLitterbags placem_collection'!$A$3:$A$500,MATCH(A611,'WetLitterbags placem_collection'!$K$4:$K$500,0)),"")</f>
        <v/>
      </c>
      <c r="AC611" s="110" t="str">
        <f>IFERROR(INDEX('WetLitterbags placem_collection'!$A$3:$A$500,MATCH($A611,'WetLitterbags placem_collection'!$O$4:$O$500,0)),"")</f>
        <v/>
      </c>
      <c r="AD611" s="110">
        <f>IFERROR(INDEX('WetLitterbags placem_collection'!$A$3:$A$500,MATCH($A611,'WetLitterbags placem_collection'!$M$4:$M$500,0)),"")</f>
        <v>68</v>
      </c>
      <c r="AE611" s="110" t="str">
        <f>IFERROR(INDEX('WetLitterbags placem_collection'!$A$3:$A$500,MATCH($A611,'WetLitterbags placem_collection'!$Q$4:$Q$500,0)),"")</f>
        <v/>
      </c>
    </row>
    <row r="612" spans="1:31">
      <c r="A612" s="201" t="s">
        <v>726</v>
      </c>
      <c r="B612" s="201"/>
      <c r="C612" s="201">
        <v>15</v>
      </c>
      <c r="D612" s="201">
        <v>2.4432999999999998</v>
      </c>
      <c r="E612" s="202">
        <v>7.7142999999999997</v>
      </c>
      <c r="F612" s="202">
        <v>0.20319999999999999</v>
      </c>
      <c r="G612" s="201">
        <f t="shared" si="47"/>
        <v>7.9174999999999995</v>
      </c>
      <c r="H612" s="201">
        <v>7.8741000000000003</v>
      </c>
      <c r="I612" s="201">
        <f t="shared" si="51"/>
        <v>4.3399999999999217E-2</v>
      </c>
      <c r="J612" s="201">
        <f t="shared" si="48"/>
        <v>0.15980000000000077</v>
      </c>
      <c r="K612" s="280">
        <f t="shared" si="49"/>
        <v>78.641732283464947</v>
      </c>
      <c r="L612" s="201">
        <v>31</v>
      </c>
      <c r="M612" s="207">
        <v>43185.385416666664</v>
      </c>
      <c r="N612" s="201"/>
      <c r="O612" s="201" t="s">
        <v>2556</v>
      </c>
      <c r="P612" s="201"/>
      <c r="Q612" s="201"/>
      <c r="R612" s="201"/>
      <c r="S612" s="201"/>
      <c r="T612" s="201"/>
      <c r="U612" s="201"/>
      <c r="V612" s="201"/>
      <c r="W612" s="201"/>
      <c r="AB612" s="110" t="str">
        <f>IFERROR(INDEX('WetLitterbags placem_collection'!$A$3:$A$500,MATCH(A612,'WetLitterbags placem_collection'!$K$4:$K$500,0)),"")</f>
        <v/>
      </c>
      <c r="AC612" s="110" t="str">
        <f>IFERROR(INDEX('WetLitterbags placem_collection'!$A$3:$A$500,MATCH($A612,'WetLitterbags placem_collection'!$O$4:$O$500,0)),"")</f>
        <v/>
      </c>
      <c r="AD612" s="110">
        <f>IFERROR(INDEX('WetLitterbags placem_collection'!$A$3:$A$500,MATCH($A612,'WetLitterbags placem_collection'!$M$4:$M$500,0)),"")</f>
        <v>14</v>
      </c>
      <c r="AE612" s="110" t="str">
        <f>IFERROR(INDEX('WetLitterbags placem_collection'!$A$3:$A$500,MATCH($A612,'WetLitterbags placem_collection'!$Q$4:$Q$500,0)),"")</f>
        <v/>
      </c>
    </row>
    <row r="613" spans="1:31">
      <c r="A613" s="206" t="s">
        <v>724</v>
      </c>
      <c r="C613" s="201">
        <v>84</v>
      </c>
      <c r="D613" s="201">
        <v>1.3305</v>
      </c>
      <c r="E613" s="202">
        <v>9.1560000000000006</v>
      </c>
      <c r="F613" s="202">
        <v>0.2016</v>
      </c>
      <c r="G613" s="201">
        <f t="shared" si="47"/>
        <v>9.3576000000000015</v>
      </c>
      <c r="H613" s="201">
        <v>9.1707999999999998</v>
      </c>
      <c r="I613" s="201">
        <f t="shared" si="51"/>
        <v>0.18680000000000163</v>
      </c>
      <c r="J613" s="201">
        <f t="shared" si="48"/>
        <v>1.479999999999837E-2</v>
      </c>
      <c r="K613" s="280">
        <f t="shared" si="49"/>
        <v>7.3412698412690327</v>
      </c>
      <c r="L613" s="201">
        <v>3</v>
      </c>
      <c r="M613" s="207">
        <v>43186.458333333336</v>
      </c>
      <c r="N613" s="207">
        <v>43186.625</v>
      </c>
      <c r="O613" s="197" t="s">
        <v>2550</v>
      </c>
      <c r="P613" s="201"/>
      <c r="AB613" s="110" t="str">
        <f>IFERROR(INDEX('WetLitterbags placem_collection'!$A$3:$A$500,MATCH(A613,'WetLitterbags placem_collection'!$K$4:$K$500,0)),"")</f>
        <v/>
      </c>
      <c r="AC613" s="110" t="str">
        <f>IFERROR(INDEX('WetLitterbags placem_collection'!$A$3:$A$500,MATCH($A613,'WetLitterbags placem_collection'!$O$4:$O$500,0)),"")</f>
        <v/>
      </c>
      <c r="AD613" s="110" t="str">
        <f>IFERROR(INDEX('WetLitterbags placem_collection'!$A$3:$A$500,MATCH($A613,'WetLitterbags placem_collection'!$M$4:$M$500,0)),"")</f>
        <v/>
      </c>
      <c r="AE613" s="110">
        <f>IFERROR(INDEX('WetLitterbags placem_collection'!$A$3:$A$500,MATCH($A613,'WetLitterbags placem_collection'!$Q$4:$Q$500,0)),"")</f>
        <v>83</v>
      </c>
    </row>
    <row r="614" spans="1:31">
      <c r="A614" s="197" t="s">
        <v>723</v>
      </c>
      <c r="C614" s="197">
        <v>128</v>
      </c>
      <c r="D614" s="197">
        <v>1.1819999999999999</v>
      </c>
      <c r="E614" s="197">
        <v>8.7603000000000009</v>
      </c>
      <c r="F614" s="197">
        <v>0.20549999999999999</v>
      </c>
      <c r="G614" s="197">
        <f t="shared" si="47"/>
        <v>8.9658000000000015</v>
      </c>
      <c r="H614" s="197">
        <v>8.7693999999999992</v>
      </c>
      <c r="I614" s="197">
        <f t="shared" si="51"/>
        <v>0.19640000000000235</v>
      </c>
      <c r="J614" s="201">
        <f t="shared" si="48"/>
        <v>9.0999999999976378E-3</v>
      </c>
      <c r="K614" s="280">
        <f t="shared" si="49"/>
        <v>4.4282238442810895</v>
      </c>
      <c r="L614" s="197">
        <v>7</v>
      </c>
      <c r="M614" s="197">
        <v>43157.395833333336</v>
      </c>
      <c r="N614" s="197">
        <v>43157.569444444445</v>
      </c>
      <c r="O614" s="197" t="s">
        <v>2550</v>
      </c>
      <c r="AB614" s="110" t="str">
        <f>IFERROR(INDEX('WetLitterbags placem_collection'!$A$3:$A$500,MATCH(A614,'WetLitterbags placem_collection'!$K$4:$K$500,0)),"")</f>
        <v/>
      </c>
      <c r="AC614" s="110" t="str">
        <f>IFERROR(INDEX('WetLitterbags placem_collection'!$A$3:$A$500,MATCH($A614,'WetLitterbags placem_collection'!$O$4:$O$500,0)),"")</f>
        <v/>
      </c>
      <c r="AD614" s="110" t="str">
        <f>IFERROR(INDEX('WetLitterbags placem_collection'!$A$3:$A$500,MATCH($A614,'WetLitterbags placem_collection'!$M$4:$M$500,0)),"")</f>
        <v/>
      </c>
      <c r="AE614" s="110">
        <f>IFERROR(INDEX('WetLitterbags placem_collection'!$A$3:$A$500,MATCH($A614,'WetLitterbags placem_collection'!$Q$4:$Q$500,0)),"")</f>
        <v>127</v>
      </c>
    </row>
    <row r="615" spans="1:31">
      <c r="A615" s="206" t="s">
        <v>721</v>
      </c>
      <c r="C615" s="201">
        <v>40</v>
      </c>
      <c r="D615" s="201">
        <v>1.4009</v>
      </c>
      <c r="E615" s="201">
        <v>11.2585</v>
      </c>
      <c r="F615" s="202">
        <v>0.2006</v>
      </c>
      <c r="G615" s="201">
        <f t="shared" si="47"/>
        <v>11.459099999999999</v>
      </c>
      <c r="H615" s="201">
        <v>11.2681</v>
      </c>
      <c r="I615" s="201">
        <f t="shared" si="51"/>
        <v>0.19099999999999895</v>
      </c>
      <c r="J615" s="201">
        <f t="shared" si="48"/>
        <v>9.6000000000010521E-3</v>
      </c>
      <c r="K615" s="280">
        <f t="shared" si="49"/>
        <v>4.7856430707881614</v>
      </c>
      <c r="L615" s="201">
        <v>7</v>
      </c>
      <c r="M615" s="205">
        <v>43211</v>
      </c>
      <c r="N615" s="201"/>
      <c r="O615" s="201"/>
      <c r="P615" s="201"/>
      <c r="AB615" s="110" t="str">
        <f>IFERROR(INDEX('WetLitterbags placem_collection'!$A$3:$A$500,MATCH(A615,'WetLitterbags placem_collection'!$K$4:$K$500,0)),"")</f>
        <v/>
      </c>
      <c r="AC615" s="110" t="str">
        <f>IFERROR(INDEX('WetLitterbags placem_collection'!$A$3:$A$500,MATCH($A615,'WetLitterbags placem_collection'!$O$4:$O$500,0)),"")</f>
        <v/>
      </c>
      <c r="AD615" s="110" t="str">
        <f>IFERROR(INDEX('WetLitterbags placem_collection'!$A$3:$A$500,MATCH($A615,'WetLitterbags placem_collection'!$M$4:$M$500,0)),"")</f>
        <v/>
      </c>
      <c r="AE615" s="110">
        <f>IFERROR(INDEX('WetLitterbags placem_collection'!$A$3:$A$500,MATCH($A615,'WetLitterbags placem_collection'!$Q$4:$Q$500,0)),"")</f>
        <v>39</v>
      </c>
    </row>
    <row r="616" spans="1:31">
      <c r="A616" s="206" t="s">
        <v>720</v>
      </c>
      <c r="C616" s="201">
        <v>160</v>
      </c>
      <c r="D616" s="201">
        <v>1.4998</v>
      </c>
      <c r="E616" s="201">
        <v>7.0930999999999997</v>
      </c>
      <c r="F616" s="202">
        <v>0.20030000000000001</v>
      </c>
      <c r="G616" s="201">
        <f t="shared" si="47"/>
        <v>7.2934000000000001</v>
      </c>
      <c r="H616" s="201">
        <v>7.1029</v>
      </c>
      <c r="I616" s="201">
        <f t="shared" si="51"/>
        <v>0.19050000000000011</v>
      </c>
      <c r="J616" s="201">
        <f t="shared" si="48"/>
        <v>9.7999999999998921E-3</v>
      </c>
      <c r="K616" s="280">
        <f t="shared" si="49"/>
        <v>4.8926610084872157</v>
      </c>
      <c r="L616" s="201">
        <v>16</v>
      </c>
      <c r="M616" s="205">
        <v>43211</v>
      </c>
      <c r="AB616" s="110" t="str">
        <f>IFERROR(INDEX('WetLitterbags placem_collection'!$A$3:$A$500,MATCH(A616,'WetLitterbags placem_collection'!$K$4:$K$500,0)),"")</f>
        <v/>
      </c>
      <c r="AC616" s="110" t="str">
        <f>IFERROR(INDEX('WetLitterbags placem_collection'!$A$3:$A$500,MATCH($A616,'WetLitterbags placem_collection'!$O$4:$O$500,0)),"")</f>
        <v/>
      </c>
      <c r="AD616" s="110">
        <f>IFERROR(INDEX('WetLitterbags placem_collection'!$A$3:$A$500,MATCH($A616,'WetLitterbags placem_collection'!$M$4:$M$500,0)),"")</f>
        <v>159</v>
      </c>
      <c r="AE616" s="110" t="str">
        <f>IFERROR(INDEX('WetLitterbags placem_collection'!$A$3:$A$500,MATCH($A616,'WetLitterbags placem_collection'!$Q$4:$Q$500,0)),"")</f>
        <v/>
      </c>
    </row>
    <row r="617" spans="1:31">
      <c r="A617" s="197" t="s">
        <v>718</v>
      </c>
      <c r="C617" s="201">
        <v>63</v>
      </c>
      <c r="D617" s="202">
        <v>1.3973</v>
      </c>
      <c r="E617" s="202">
        <v>10.415800000000001</v>
      </c>
      <c r="F617" s="202">
        <v>0.2077</v>
      </c>
      <c r="G617" s="201">
        <f t="shared" si="47"/>
        <v>10.6235</v>
      </c>
      <c r="H617" s="201">
        <v>10.432499999999999</v>
      </c>
      <c r="I617" s="201">
        <f t="shared" si="51"/>
        <v>0.19100000000000072</v>
      </c>
      <c r="J617" s="201">
        <f t="shared" si="48"/>
        <v>1.6699999999999271E-2</v>
      </c>
      <c r="K617" s="280">
        <f t="shared" si="49"/>
        <v>8.0404429465571852</v>
      </c>
      <c r="L617" s="201">
        <v>5</v>
      </c>
      <c r="M617" s="201"/>
      <c r="N617" s="201"/>
      <c r="O617" s="201"/>
      <c r="P617" s="201"/>
      <c r="AB617" s="110" t="str">
        <f>IFERROR(INDEX('WetLitterbags placem_collection'!$A$3:$A$500,MATCH(A617,'WetLitterbags placem_collection'!$K$4:$K$500,0)),"")</f>
        <v/>
      </c>
      <c r="AC617" s="110" t="str">
        <f>IFERROR(INDEX('WetLitterbags placem_collection'!$A$3:$A$500,MATCH($A617,'WetLitterbags placem_collection'!$O$4:$O$500,0)),"")</f>
        <v/>
      </c>
      <c r="AD617" s="110" t="str">
        <f>IFERROR(INDEX('WetLitterbags placem_collection'!$A$3:$A$500,MATCH($A617,'WetLitterbags placem_collection'!$M$4:$M$500,0)),"")</f>
        <v/>
      </c>
      <c r="AE617" s="110">
        <f>IFERROR(INDEX('WetLitterbags placem_collection'!$A$3:$A$500,MATCH($A617,'WetLitterbags placem_collection'!$Q$4:$Q$500,0)),"")</f>
        <v>62</v>
      </c>
    </row>
    <row r="618" spans="1:31">
      <c r="A618" s="201" t="s">
        <v>717</v>
      </c>
      <c r="C618" s="201">
        <v>127</v>
      </c>
      <c r="D618" s="202">
        <v>1.2995000000000001</v>
      </c>
      <c r="E618" s="201">
        <v>8.9579000000000004</v>
      </c>
      <c r="F618" s="202">
        <v>0.20699999999999999</v>
      </c>
      <c r="G618" s="201">
        <f t="shared" si="47"/>
        <v>9.1649000000000012</v>
      </c>
      <c r="H618" s="201">
        <v>8.9731000000000005</v>
      </c>
      <c r="I618" s="201">
        <f t="shared" si="51"/>
        <v>0.19180000000000064</v>
      </c>
      <c r="J618" s="201">
        <f t="shared" si="48"/>
        <v>1.5199999999999353E-2</v>
      </c>
      <c r="K618" s="280">
        <f t="shared" si="49"/>
        <v>7.3429951690818136</v>
      </c>
      <c r="L618" s="201">
        <v>5</v>
      </c>
      <c r="M618" s="205">
        <v>43206</v>
      </c>
      <c r="N618" s="205">
        <v>43206</v>
      </c>
      <c r="O618" s="201"/>
      <c r="P618" s="201"/>
      <c r="AB618" s="110" t="str">
        <f>IFERROR(INDEX('WetLitterbags placem_collection'!$A$3:$A$500,MATCH(A618,'WetLitterbags placem_collection'!$K$4:$K$500,0)),"")</f>
        <v/>
      </c>
      <c r="AC618" s="110" t="str">
        <f>IFERROR(INDEX('WetLitterbags placem_collection'!$A$3:$A$500,MATCH($A618,'WetLitterbags placem_collection'!$O$4:$O$500,0)),"")</f>
        <v/>
      </c>
      <c r="AD618" s="110" t="str">
        <f>IFERROR(INDEX('WetLitterbags placem_collection'!$A$3:$A$500,MATCH($A618,'WetLitterbags placem_collection'!$M$4:$M$500,0)),"")</f>
        <v/>
      </c>
      <c r="AE618" s="110">
        <f>IFERROR(INDEX('WetLitterbags placem_collection'!$A$3:$A$500,MATCH($A618,'WetLitterbags placem_collection'!$Q$4:$Q$500,0)),"")</f>
        <v>126</v>
      </c>
    </row>
    <row r="619" spans="1:31">
      <c r="A619" s="206" t="s">
        <v>715</v>
      </c>
      <c r="C619" s="201">
        <v>138</v>
      </c>
      <c r="D619" s="201">
        <v>1.3494999999999999</v>
      </c>
      <c r="E619" s="202">
        <v>11.089</v>
      </c>
      <c r="F619" s="202">
        <v>0.2021</v>
      </c>
      <c r="G619" s="201">
        <f t="shared" si="47"/>
        <v>11.2911</v>
      </c>
      <c r="H619" s="201">
        <v>11.098699999999999</v>
      </c>
      <c r="I619" s="201">
        <f t="shared" si="51"/>
        <v>0.19240000000000101</v>
      </c>
      <c r="J619" s="201">
        <f t="shared" si="48"/>
        <v>9.6999999999989872E-3</v>
      </c>
      <c r="K619" s="280">
        <f t="shared" si="49"/>
        <v>4.7996041563577378</v>
      </c>
      <c r="L619" s="201">
        <v>33</v>
      </c>
      <c r="M619" s="207">
        <v>43186.458333333336</v>
      </c>
      <c r="N619" s="207">
        <v>43186.625</v>
      </c>
      <c r="O619" s="197" t="s">
        <v>2550</v>
      </c>
      <c r="P619" s="201"/>
      <c r="AB619" s="110" t="str">
        <f>IFERROR(INDEX('WetLitterbags placem_collection'!$A$3:$A$500,MATCH(A619,'WetLitterbags placem_collection'!$K$4:$K$500,0)),"")</f>
        <v/>
      </c>
      <c r="AC619" s="110" t="str">
        <f>IFERROR(INDEX('WetLitterbags placem_collection'!$A$3:$A$500,MATCH($A619,'WetLitterbags placem_collection'!$O$4:$O$500,0)),"")</f>
        <v/>
      </c>
      <c r="AD619" s="110">
        <f>IFERROR(INDEX('WetLitterbags placem_collection'!$A$3:$A$500,MATCH($A619,'WetLitterbags placem_collection'!$M$4:$M$500,0)),"")</f>
        <v>137</v>
      </c>
      <c r="AE619" s="110" t="str">
        <f>IFERROR(INDEX('WetLitterbags placem_collection'!$A$3:$A$500,MATCH($A619,'WetLitterbags placem_collection'!$Q$4:$Q$500,0)),"")</f>
        <v/>
      </c>
    </row>
    <row r="620" spans="1:31">
      <c r="A620" s="197" t="s">
        <v>714</v>
      </c>
      <c r="C620" s="198">
        <v>187</v>
      </c>
      <c r="D620" s="197">
        <v>1.4764999999999999</v>
      </c>
      <c r="E620" s="202">
        <v>10.7433</v>
      </c>
      <c r="F620" s="202">
        <v>0.2056</v>
      </c>
      <c r="G620" s="201">
        <f t="shared" si="47"/>
        <v>10.9489</v>
      </c>
      <c r="H620" s="201">
        <v>10.747299999999999</v>
      </c>
      <c r="I620" s="201">
        <f t="shared" si="51"/>
        <v>0.20160000000000089</v>
      </c>
      <c r="J620" s="201">
        <f t="shared" si="48"/>
        <v>3.9999999999991154E-3</v>
      </c>
      <c r="K620" s="280">
        <f t="shared" si="49"/>
        <v>1.9455252918283636</v>
      </c>
      <c r="L620" s="201">
        <v>18</v>
      </c>
      <c r="AB620" s="110" t="str">
        <f>IFERROR(INDEX('WetLitterbags placem_collection'!$A$3:$A$500,MATCH(A620,'WetLitterbags placem_collection'!$K$4:$K$500,0)),"")</f>
        <v/>
      </c>
      <c r="AC620" s="110" t="str">
        <f>IFERROR(INDEX('WetLitterbags placem_collection'!$A$3:$A$500,MATCH($A620,'WetLitterbags placem_collection'!$O$4:$O$500,0)),"")</f>
        <v/>
      </c>
      <c r="AD620" s="110">
        <f>IFERROR(INDEX('WetLitterbags placem_collection'!$A$3:$A$500,MATCH($A620,'WetLitterbags placem_collection'!$M$4:$M$500,0)),"")</f>
        <v>186</v>
      </c>
      <c r="AE620" s="110" t="str">
        <f>IFERROR(INDEX('WetLitterbags placem_collection'!$A$3:$A$500,MATCH($A620,'WetLitterbags placem_collection'!$Q$4:$Q$500,0)),"")</f>
        <v/>
      </c>
    </row>
    <row r="621" spans="1:31">
      <c r="A621" s="201" t="s">
        <v>713</v>
      </c>
      <c r="C621" s="201">
        <v>113</v>
      </c>
      <c r="D621" s="201">
        <v>1.3206</v>
      </c>
      <c r="E621" s="201">
        <v>8.1677</v>
      </c>
      <c r="F621" s="202">
        <v>0.20169999999999999</v>
      </c>
      <c r="G621" s="201">
        <f t="shared" si="47"/>
        <v>8.3694000000000006</v>
      </c>
      <c r="H621" s="197">
        <v>8.3503000000000007</v>
      </c>
      <c r="I621" s="197">
        <f t="shared" si="51"/>
        <v>1.9099999999999895E-2</v>
      </c>
      <c r="J621" s="201">
        <f t="shared" si="48"/>
        <v>0.1826000000000001</v>
      </c>
      <c r="K621" s="280">
        <f t="shared" si="49"/>
        <v>90.530490827962367</v>
      </c>
      <c r="L621" s="201">
        <v>18</v>
      </c>
      <c r="M621" s="205">
        <v>43187</v>
      </c>
      <c r="N621" s="205">
        <v>43187</v>
      </c>
      <c r="O621" s="201"/>
      <c r="P621" s="201" t="s">
        <v>2577</v>
      </c>
      <c r="AB621" s="110" t="str">
        <f>IFERROR(INDEX('WetLitterbags placem_collection'!$A$3:$A$500,MATCH(A621,'WetLitterbags placem_collection'!$K$4:$K$500,0)),"")</f>
        <v/>
      </c>
      <c r="AC621" s="110" t="str">
        <f>IFERROR(INDEX('WetLitterbags placem_collection'!$A$3:$A$500,MATCH($A621,'WetLitterbags placem_collection'!$O$4:$O$500,0)),"")</f>
        <v/>
      </c>
      <c r="AD621" s="110">
        <f>IFERROR(INDEX('WetLitterbags placem_collection'!$A$3:$A$500,MATCH($A621,'WetLitterbags placem_collection'!$M$4:$M$500,0)),"")</f>
        <v>112</v>
      </c>
      <c r="AE621" s="110" t="str">
        <f>IFERROR(INDEX('WetLitterbags placem_collection'!$A$3:$A$500,MATCH($A621,'WetLitterbags placem_collection'!$Q$4:$Q$500,0)),"")</f>
        <v/>
      </c>
    </row>
    <row r="622" spans="1:31">
      <c r="A622" s="206" t="s">
        <v>712</v>
      </c>
      <c r="C622" s="201">
        <v>122</v>
      </c>
      <c r="D622" s="201">
        <v>0.999</v>
      </c>
      <c r="E622" s="202">
        <v>8.3536999999999999</v>
      </c>
      <c r="F622" s="202">
        <v>0.20200000000000001</v>
      </c>
      <c r="G622" s="201">
        <f t="shared" si="47"/>
        <v>8.5556999999999999</v>
      </c>
      <c r="H622" s="201">
        <v>8.3711000000000002</v>
      </c>
      <c r="I622" s="201">
        <f t="shared" si="51"/>
        <v>0.18459999999999965</v>
      </c>
      <c r="J622" s="201">
        <f t="shared" si="48"/>
        <v>1.740000000000036E-2</v>
      </c>
      <c r="K622" s="280">
        <f t="shared" si="49"/>
        <v>8.6138613861387903</v>
      </c>
      <c r="L622" s="201">
        <v>5</v>
      </c>
      <c r="M622" s="203">
        <v>43181.645833333336</v>
      </c>
      <c r="N622" s="203">
        <v>43181.833333333336</v>
      </c>
      <c r="O622" s="201" t="s">
        <v>2556</v>
      </c>
      <c r="P622" s="201"/>
      <c r="AB622" s="110" t="str">
        <f>IFERROR(INDEX('WetLitterbags placem_collection'!$A$3:$A$500,MATCH(A622,'WetLitterbags placem_collection'!$K$4:$K$500,0)),"")</f>
        <v/>
      </c>
      <c r="AC622" s="110" t="str">
        <f>IFERROR(INDEX('WetLitterbags placem_collection'!$A$3:$A$500,MATCH($A622,'WetLitterbags placem_collection'!$O$4:$O$500,0)),"")</f>
        <v/>
      </c>
      <c r="AD622" s="110" t="str">
        <f>IFERROR(INDEX('WetLitterbags placem_collection'!$A$3:$A$500,MATCH($A622,'WetLitterbags placem_collection'!$M$4:$M$500,0)),"")</f>
        <v/>
      </c>
      <c r="AE622" s="110">
        <f>IFERROR(INDEX('WetLitterbags placem_collection'!$A$3:$A$500,MATCH($A622,'WetLitterbags placem_collection'!$Q$4:$Q$500,0)),"")</f>
        <v>121</v>
      </c>
    </row>
    <row r="623" spans="1:31">
      <c r="A623" s="201" t="s">
        <v>711</v>
      </c>
      <c r="C623" s="201">
        <v>103</v>
      </c>
      <c r="D623" s="202">
        <v>1.373</v>
      </c>
      <c r="E623" s="201">
        <v>11.033200000000001</v>
      </c>
      <c r="F623" s="202">
        <v>0.2046</v>
      </c>
      <c r="G623" s="201">
        <f t="shared" si="47"/>
        <v>11.2378</v>
      </c>
      <c r="H623" s="201">
        <v>11.042899999999999</v>
      </c>
      <c r="I623" s="201">
        <f t="shared" si="51"/>
        <v>0.19490000000000052</v>
      </c>
      <c r="J623" s="201">
        <f t="shared" si="48"/>
        <v>9.6999999999994868E-3</v>
      </c>
      <c r="K623" s="280">
        <f t="shared" si="49"/>
        <v>4.7409579667641673</v>
      </c>
      <c r="L623" s="201">
        <v>26</v>
      </c>
      <c r="N623" s="201"/>
      <c r="O623" s="201"/>
      <c r="P623" s="201"/>
      <c r="AB623" s="110" t="str">
        <f>IFERROR(INDEX('WetLitterbags placem_collection'!$A$3:$A$500,MATCH(A623,'WetLitterbags placem_collection'!$K$4:$K$500,0)),"")</f>
        <v/>
      </c>
      <c r="AC623" s="110" t="str">
        <f>IFERROR(INDEX('WetLitterbags placem_collection'!$A$3:$A$500,MATCH($A623,'WetLitterbags placem_collection'!$O$4:$O$500,0)),"")</f>
        <v/>
      </c>
      <c r="AD623" s="110">
        <f>IFERROR(INDEX('WetLitterbags placem_collection'!$A$3:$A$500,MATCH($A623,'WetLitterbags placem_collection'!$M$4:$M$500,0)),"")</f>
        <v>102</v>
      </c>
      <c r="AE623" s="110" t="str">
        <f>IFERROR(INDEX('WetLitterbags placem_collection'!$A$3:$A$500,MATCH($A623,'WetLitterbags placem_collection'!$Q$4:$Q$500,0)),"")</f>
        <v/>
      </c>
    </row>
    <row r="624" spans="1:31">
      <c r="A624" s="201" t="s">
        <v>709</v>
      </c>
      <c r="C624" s="201">
        <v>135</v>
      </c>
      <c r="D624" s="201">
        <f>1.1861+F624</f>
        <v>1.3946999999999998</v>
      </c>
      <c r="E624" s="202">
        <v>10.51</v>
      </c>
      <c r="F624" s="202">
        <v>0.20860000000000001</v>
      </c>
      <c r="G624" s="201">
        <f t="shared" si="47"/>
        <v>10.7186</v>
      </c>
      <c r="H624" s="201">
        <v>10.5381</v>
      </c>
      <c r="I624" s="201">
        <f t="shared" ref="I624:I655" si="52">(G624-H624)</f>
        <v>0.18050000000000033</v>
      </c>
      <c r="J624" s="201">
        <f t="shared" si="48"/>
        <v>2.8099999999999681E-2</v>
      </c>
      <c r="K624" s="280">
        <f t="shared" si="49"/>
        <v>13.470757430488819</v>
      </c>
      <c r="L624" s="201">
        <v>25</v>
      </c>
      <c r="M624" s="205">
        <v>43174</v>
      </c>
      <c r="N624" s="205">
        <v>43174</v>
      </c>
      <c r="O624" s="201" t="s">
        <v>2556</v>
      </c>
      <c r="P624" s="201" t="s">
        <v>2551</v>
      </c>
      <c r="AB624" s="110" t="str">
        <f>IFERROR(INDEX('WetLitterbags placem_collection'!$A$3:$A$500,MATCH(A624,'WetLitterbags placem_collection'!$K$4:$K$500,0)),"")</f>
        <v/>
      </c>
      <c r="AC624" s="110" t="str">
        <f>IFERROR(INDEX('WetLitterbags placem_collection'!$A$3:$A$500,MATCH($A624,'WetLitterbags placem_collection'!$O$4:$O$500,0)),"")</f>
        <v/>
      </c>
      <c r="AD624" s="110">
        <f>IFERROR(INDEX('WetLitterbags placem_collection'!$A$3:$A$500,MATCH($A624,'WetLitterbags placem_collection'!$M$4:$M$500,0)),"")</f>
        <v>134</v>
      </c>
      <c r="AE624" s="110" t="str">
        <f>IFERROR(INDEX('WetLitterbags placem_collection'!$A$3:$A$500,MATCH($A624,'WetLitterbags placem_collection'!$Q$4:$Q$500,0)),"")</f>
        <v/>
      </c>
    </row>
    <row r="625" spans="1:31">
      <c r="A625" s="206" t="s">
        <v>708</v>
      </c>
      <c r="C625" s="201">
        <v>130</v>
      </c>
      <c r="D625" s="202">
        <v>1.2664</v>
      </c>
      <c r="E625" s="202">
        <v>9.4850999999999992</v>
      </c>
      <c r="F625" s="202">
        <v>0.20419999999999999</v>
      </c>
      <c r="G625" s="201">
        <f t="shared" si="47"/>
        <v>9.6892999999999994</v>
      </c>
      <c r="H625" s="201">
        <v>9.4955999999999996</v>
      </c>
      <c r="I625" s="201">
        <f t="shared" si="52"/>
        <v>0.19369999999999976</v>
      </c>
      <c r="J625" s="201">
        <f t="shared" si="48"/>
        <v>1.0500000000000231E-2</v>
      </c>
      <c r="K625" s="280">
        <f t="shared" si="49"/>
        <v>5.1420176297748439</v>
      </c>
      <c r="L625" s="201">
        <v>33</v>
      </c>
      <c r="M625" s="203">
        <v>43181.645833333336</v>
      </c>
      <c r="N625" s="203">
        <v>43181.833333333336</v>
      </c>
      <c r="O625" s="201" t="s">
        <v>2556</v>
      </c>
      <c r="P625" s="201"/>
      <c r="AB625" s="110" t="str">
        <f>IFERROR(INDEX('WetLitterbags placem_collection'!$A$3:$A$500,MATCH(A625,'WetLitterbags placem_collection'!$K$4:$K$500,0)),"")</f>
        <v/>
      </c>
      <c r="AC625" s="110" t="str">
        <f>IFERROR(INDEX('WetLitterbags placem_collection'!$A$3:$A$500,MATCH($A625,'WetLitterbags placem_collection'!$O$4:$O$500,0)),"")</f>
        <v/>
      </c>
      <c r="AD625" s="110" t="str">
        <f>IFERROR(INDEX('WetLitterbags placem_collection'!$A$3:$A$500,MATCH($A625,'WetLitterbags placem_collection'!$M$4:$M$500,0)),"")</f>
        <v/>
      </c>
      <c r="AE625" s="110">
        <f>IFERROR(INDEX('WetLitterbags placem_collection'!$A$3:$A$500,MATCH($A625,'WetLitterbags placem_collection'!$Q$4:$Q$500,0)),"")</f>
        <v>129</v>
      </c>
    </row>
    <row r="626" spans="1:31">
      <c r="A626" s="197" t="s">
        <v>707</v>
      </c>
      <c r="C626" s="198">
        <v>215</v>
      </c>
      <c r="D626" s="197">
        <v>1.3608</v>
      </c>
      <c r="E626" s="202">
        <v>11.003299999999999</v>
      </c>
      <c r="F626" s="202">
        <v>0.20480000000000001</v>
      </c>
      <c r="G626" s="201">
        <f t="shared" si="47"/>
        <v>11.2081</v>
      </c>
      <c r="H626" s="201">
        <v>11.0077</v>
      </c>
      <c r="I626" s="201">
        <f t="shared" si="52"/>
        <v>0.20040000000000013</v>
      </c>
      <c r="J626" s="201">
        <f t="shared" si="48"/>
        <v>4.3999999999998762E-3</v>
      </c>
      <c r="K626" s="280">
        <f t="shared" si="49"/>
        <v>2.1484374999999396</v>
      </c>
      <c r="L626" s="201">
        <v>20</v>
      </c>
      <c r="AB626" s="110" t="str">
        <f>IFERROR(INDEX('WetLitterbags placem_collection'!$A$3:$A$500,MATCH(A626,'WetLitterbags placem_collection'!$K$4:$K$500,0)),"")</f>
        <v/>
      </c>
      <c r="AC626" s="110" t="str">
        <f>IFERROR(INDEX('WetLitterbags placem_collection'!$A$3:$A$500,MATCH($A626,'WetLitterbags placem_collection'!$O$4:$O$500,0)),"")</f>
        <v/>
      </c>
      <c r="AD626" s="110" t="str">
        <f>IFERROR(INDEX('WetLitterbags placem_collection'!$A$3:$A$500,MATCH($A626,'WetLitterbags placem_collection'!$M$4:$M$500,0)),"")</f>
        <v/>
      </c>
      <c r="AE626" s="110">
        <f>IFERROR(INDEX('WetLitterbags placem_collection'!$A$3:$A$500,MATCH($A626,'WetLitterbags placem_collection'!$Q$4:$Q$500,0)),"")</f>
        <v>214</v>
      </c>
    </row>
    <row r="627" spans="1:31">
      <c r="A627" s="197" t="s">
        <v>706</v>
      </c>
      <c r="C627" s="197">
        <v>57</v>
      </c>
      <c r="D627" s="197">
        <v>1.2402</v>
      </c>
      <c r="E627" s="201">
        <v>7.7739000000000003</v>
      </c>
      <c r="F627" s="202">
        <v>0.2036</v>
      </c>
      <c r="G627" s="201">
        <f t="shared" ref="G627:G690" si="53">E627+F627</f>
        <v>7.9775</v>
      </c>
      <c r="H627" s="201">
        <v>7.7888999999999999</v>
      </c>
      <c r="I627" s="201">
        <f t="shared" si="52"/>
        <v>0.1886000000000001</v>
      </c>
      <c r="J627" s="201">
        <f t="shared" ref="J627:J690" si="54">F627-I627</f>
        <v>1.4999999999999902E-2</v>
      </c>
      <c r="K627" s="280">
        <f t="shared" ref="K627:K690" si="55">(J627/F627)*100</f>
        <v>7.3673870333987725</v>
      </c>
      <c r="L627" s="201">
        <v>23</v>
      </c>
      <c r="M627" s="204">
        <v>43212</v>
      </c>
      <c r="U627" s="113" t="s">
        <v>2588</v>
      </c>
      <c r="V627" s="197">
        <v>0.98780000000000001</v>
      </c>
      <c r="W627" s="197">
        <f>(V627-$T$175+F625)</f>
        <v>1.1919999999999999</v>
      </c>
      <c r="AB627" s="110" t="str">
        <f>IFERROR(INDEX('WetLitterbags placem_collection'!$A$3:$A$500,MATCH(A627,'WetLitterbags placem_collection'!$K$4:$K$500,0)),"")</f>
        <v/>
      </c>
      <c r="AC627" s="110" t="str">
        <f>IFERROR(INDEX('WetLitterbags placem_collection'!$A$3:$A$500,MATCH($A627,'WetLitterbags placem_collection'!$O$4:$O$500,0)),"")</f>
        <v/>
      </c>
      <c r="AD627" s="110" t="str">
        <f>IFERROR(INDEX('WetLitterbags placem_collection'!$A$3:$A$500,MATCH($A627,'WetLitterbags placem_collection'!$M$4:$M$500,0)),"")</f>
        <v/>
      </c>
      <c r="AE627" s="110">
        <f>IFERROR(INDEX('WetLitterbags placem_collection'!$A$3:$A$500,MATCH($A627,'WetLitterbags placem_collection'!$Q$4:$Q$500,0)),"")</f>
        <v>56</v>
      </c>
    </row>
    <row r="628" spans="1:31">
      <c r="A628" s="197" t="s">
        <v>705</v>
      </c>
      <c r="C628" s="198">
        <v>28</v>
      </c>
      <c r="D628" s="197">
        <v>1.2867</v>
      </c>
      <c r="E628" s="202">
        <v>11.862</v>
      </c>
      <c r="F628" s="202">
        <v>0.20119999999999999</v>
      </c>
      <c r="G628" s="201">
        <f t="shared" si="53"/>
        <v>12.0632</v>
      </c>
      <c r="H628" s="201">
        <v>11.8704</v>
      </c>
      <c r="I628" s="201">
        <f t="shared" si="52"/>
        <v>0.19280000000000008</v>
      </c>
      <c r="J628" s="201">
        <f t="shared" si="54"/>
        <v>8.3999999999999075E-3</v>
      </c>
      <c r="K628" s="280">
        <f t="shared" si="55"/>
        <v>4.1749502982106899</v>
      </c>
      <c r="L628" s="201">
        <v>29</v>
      </c>
      <c r="AB628" s="110" t="str">
        <f>IFERROR(INDEX('WetLitterbags placem_collection'!$A$3:$A$500,MATCH(A628,'WetLitterbags placem_collection'!$K$4:$K$500,0)),"")</f>
        <v/>
      </c>
      <c r="AC628" s="110" t="str">
        <f>IFERROR(INDEX('WetLitterbags placem_collection'!$A$3:$A$500,MATCH($A628,'WetLitterbags placem_collection'!$O$4:$O$500,0)),"")</f>
        <v/>
      </c>
      <c r="AD628" s="110">
        <f>IFERROR(INDEX('WetLitterbags placem_collection'!$A$3:$A$500,MATCH($A628,'WetLitterbags placem_collection'!$M$4:$M$500,0)),"")</f>
        <v>27</v>
      </c>
      <c r="AE628" s="110" t="str">
        <f>IFERROR(INDEX('WetLitterbags placem_collection'!$A$3:$A$500,MATCH($A628,'WetLitterbags placem_collection'!$Q$4:$Q$500,0)),"")</f>
        <v/>
      </c>
    </row>
    <row r="629" spans="1:31">
      <c r="A629" s="197" t="s">
        <v>704</v>
      </c>
      <c r="C629" s="197">
        <v>39</v>
      </c>
      <c r="D629" s="197">
        <v>1.2641</v>
      </c>
      <c r="E629" s="197">
        <v>9.1565999999999992</v>
      </c>
      <c r="F629" s="197">
        <v>0.20469999999999999</v>
      </c>
      <c r="G629" s="197">
        <f t="shared" si="53"/>
        <v>9.3613</v>
      </c>
      <c r="H629" s="197">
        <v>9.1640999999999995</v>
      </c>
      <c r="I629" s="197">
        <f t="shared" si="52"/>
        <v>0.19720000000000049</v>
      </c>
      <c r="J629" s="201">
        <f t="shared" si="54"/>
        <v>7.4999999999995071E-3</v>
      </c>
      <c r="K629" s="280">
        <f t="shared" si="55"/>
        <v>3.6638983878844686</v>
      </c>
      <c r="L629" s="197">
        <v>25</v>
      </c>
      <c r="M629" s="197" t="s">
        <v>2586</v>
      </c>
      <c r="N629" s="197" t="s">
        <v>2585</v>
      </c>
      <c r="O629" s="197" t="s">
        <v>2550</v>
      </c>
      <c r="AB629" s="110" t="str">
        <f>IFERROR(INDEX('WetLitterbags placem_collection'!$A$3:$A$500,MATCH(A629,'WetLitterbags placem_collection'!$K$4:$K$500,0)),"")</f>
        <v/>
      </c>
      <c r="AC629" s="110" t="str">
        <f>IFERROR(INDEX('WetLitterbags placem_collection'!$A$3:$A$500,MATCH($A629,'WetLitterbags placem_collection'!$O$4:$O$500,0)),"")</f>
        <v/>
      </c>
      <c r="AD629" s="110">
        <f>IFERROR(INDEX('WetLitterbags placem_collection'!$A$3:$A$500,MATCH($A629,'WetLitterbags placem_collection'!$M$4:$M$500,0)),"")</f>
        <v>38</v>
      </c>
      <c r="AE629" s="110" t="str">
        <f>IFERROR(INDEX('WetLitterbags placem_collection'!$A$3:$A$500,MATCH($A629,'WetLitterbags placem_collection'!$Q$4:$Q$500,0)),"")</f>
        <v/>
      </c>
    </row>
    <row r="630" spans="1:31">
      <c r="A630" s="197" t="s">
        <v>1097</v>
      </c>
      <c r="C630" s="197">
        <v>67</v>
      </c>
      <c r="D630" s="197">
        <v>1.3154999999999999</v>
      </c>
      <c r="E630" s="197">
        <v>11.055400000000001</v>
      </c>
      <c r="F630" s="197">
        <v>0.20250000000000001</v>
      </c>
      <c r="G630" s="197">
        <f t="shared" si="53"/>
        <v>11.257900000000001</v>
      </c>
      <c r="H630" s="197">
        <v>11.0619</v>
      </c>
      <c r="I630" s="197">
        <f t="shared" si="52"/>
        <v>0.19600000000000151</v>
      </c>
      <c r="J630" s="201">
        <f t="shared" si="54"/>
        <v>6.499999999998507E-3</v>
      </c>
      <c r="K630" s="280">
        <f t="shared" si="55"/>
        <v>3.2098765432091394</v>
      </c>
      <c r="L630" s="197">
        <v>1</v>
      </c>
      <c r="M630" s="197" t="s">
        <v>2580</v>
      </c>
      <c r="N630" s="197" t="s">
        <v>2579</v>
      </c>
      <c r="O630" s="197" t="s">
        <v>2556</v>
      </c>
      <c r="AB630" s="110" t="str">
        <f>IFERROR(INDEX('WetLitterbags placem_collection'!$A$3:$A$500,MATCH(A630,'WetLitterbags placem_collection'!$K$4:$K$500,0)),"")</f>
        <v/>
      </c>
      <c r="AC630" s="110" t="str">
        <f>IFERROR(INDEX('WetLitterbags placem_collection'!$A$3:$A$500,MATCH($A630,'WetLitterbags placem_collection'!$O$4:$O$500,0)),"")</f>
        <v/>
      </c>
      <c r="AD630" s="110" t="str">
        <f>IFERROR(INDEX('WetLitterbags placem_collection'!$A$3:$A$500,MATCH($A630,'WetLitterbags placem_collection'!$M$4:$M$500,0)),"")</f>
        <v/>
      </c>
      <c r="AE630" s="110">
        <f>IFERROR(INDEX('WetLitterbags placem_collection'!$A$3:$A$500,MATCH($A630,'WetLitterbags placem_collection'!$Q$4:$Q$500,0)),"")</f>
        <v>66</v>
      </c>
    </row>
    <row r="631" spans="1:31">
      <c r="A631" s="197" t="s">
        <v>701</v>
      </c>
      <c r="C631" s="198">
        <v>153</v>
      </c>
      <c r="D631" s="197">
        <v>1.4160999999999999</v>
      </c>
      <c r="E631" s="202">
        <v>7.5282</v>
      </c>
      <c r="F631" s="202">
        <v>0.2014</v>
      </c>
      <c r="G631" s="201">
        <f t="shared" si="53"/>
        <v>7.7295999999999996</v>
      </c>
      <c r="H631" s="201">
        <v>7.5362999999999998</v>
      </c>
      <c r="I631" s="201">
        <f t="shared" si="52"/>
        <v>0.19329999999999981</v>
      </c>
      <c r="J631" s="201">
        <f t="shared" si="54"/>
        <v>8.1000000000001904E-3</v>
      </c>
      <c r="K631" s="280">
        <f t="shared" si="55"/>
        <v>4.0218470705065492</v>
      </c>
      <c r="L631" s="201">
        <v>15</v>
      </c>
      <c r="M631" s="204">
        <v>43221</v>
      </c>
      <c r="N631" s="204">
        <v>43221</v>
      </c>
      <c r="P631" s="197" t="s">
        <v>2566</v>
      </c>
      <c r="AB631" s="110" t="str">
        <f>IFERROR(INDEX('WetLitterbags placem_collection'!$A$3:$A$500,MATCH(A631,'WetLitterbags placem_collection'!$K$4:$K$500,0)),"")</f>
        <v/>
      </c>
      <c r="AC631" s="110" t="str">
        <f>IFERROR(INDEX('WetLitterbags placem_collection'!$A$3:$A$500,MATCH($A631,'WetLitterbags placem_collection'!$O$4:$O$500,0)),"")</f>
        <v/>
      </c>
      <c r="AD631" s="110" t="str">
        <f>IFERROR(INDEX('WetLitterbags placem_collection'!$A$3:$A$500,MATCH($A631,'WetLitterbags placem_collection'!$M$4:$M$500,0)),"")</f>
        <v/>
      </c>
      <c r="AE631" s="110">
        <f>IFERROR(INDEX('WetLitterbags placem_collection'!$A$3:$A$500,MATCH($A631,'WetLitterbags placem_collection'!$Q$4:$Q$500,0)),"")</f>
        <v>152</v>
      </c>
    </row>
    <row r="632" spans="1:31">
      <c r="A632" s="197" t="s">
        <v>699</v>
      </c>
      <c r="C632" s="197">
        <v>218</v>
      </c>
      <c r="D632" s="197">
        <v>1.1541999999999999</v>
      </c>
      <c r="E632" s="201">
        <v>10.743499999999999</v>
      </c>
      <c r="F632" s="202">
        <v>0.2031</v>
      </c>
      <c r="G632" s="201">
        <f t="shared" si="53"/>
        <v>10.946599999999998</v>
      </c>
      <c r="H632" s="201">
        <v>10.757199999999999</v>
      </c>
      <c r="I632" s="201">
        <f t="shared" si="52"/>
        <v>0.18939999999999912</v>
      </c>
      <c r="J632" s="201">
        <f t="shared" si="54"/>
        <v>1.3700000000000878E-2</v>
      </c>
      <c r="K632" s="280">
        <f t="shared" si="55"/>
        <v>6.7454455933042237</v>
      </c>
      <c r="L632" s="201">
        <v>15</v>
      </c>
      <c r="M632" s="204">
        <v>43212</v>
      </c>
      <c r="AB632" s="110" t="str">
        <f>IFERROR(INDEX('WetLitterbags placem_collection'!$A$3:$A$500,MATCH(A632,'WetLitterbags placem_collection'!$K$4:$K$500,0)),"")</f>
        <v/>
      </c>
      <c r="AC632" s="110" t="str">
        <f>IFERROR(INDEX('WetLitterbags placem_collection'!$A$3:$A$500,MATCH($A632,'WetLitterbags placem_collection'!$O$4:$O$500,0)),"")</f>
        <v/>
      </c>
      <c r="AD632" s="110">
        <f>IFERROR(INDEX('WetLitterbags placem_collection'!$A$3:$A$500,MATCH($A632,'WetLitterbags placem_collection'!$M$4:$M$500,0)),"")</f>
        <v>217</v>
      </c>
      <c r="AE632" s="110" t="str">
        <f>IFERROR(INDEX('WetLitterbags placem_collection'!$A$3:$A$500,MATCH($A632,'WetLitterbags placem_collection'!$Q$4:$Q$500,0)),"")</f>
        <v/>
      </c>
    </row>
    <row r="633" spans="1:31">
      <c r="A633" s="197" t="s">
        <v>697</v>
      </c>
      <c r="C633" s="198">
        <v>182</v>
      </c>
      <c r="D633" s="197">
        <v>1.5347999999999999</v>
      </c>
      <c r="E633" s="201">
        <v>9.0031999999999996</v>
      </c>
      <c r="F633" s="202">
        <v>0.20280000000000001</v>
      </c>
      <c r="G633" s="201">
        <f t="shared" si="53"/>
        <v>9.2059999999999995</v>
      </c>
      <c r="H633" s="201">
        <v>9.0077999999999996</v>
      </c>
      <c r="I633" s="201">
        <f t="shared" si="52"/>
        <v>0.19819999999999993</v>
      </c>
      <c r="J633" s="201">
        <f t="shared" si="54"/>
        <v>4.6000000000000763E-3</v>
      </c>
      <c r="K633" s="280">
        <f t="shared" si="55"/>
        <v>2.2682445759369214</v>
      </c>
      <c r="L633" s="201">
        <v>11</v>
      </c>
      <c r="M633" s="204">
        <v>43212</v>
      </c>
      <c r="AB633" s="110" t="str">
        <f>IFERROR(INDEX('WetLitterbags placem_collection'!$A$3:$A$500,MATCH(A633,'WetLitterbags placem_collection'!$K$4:$K$500,0)),"")</f>
        <v/>
      </c>
      <c r="AC633" s="110" t="str">
        <f>IFERROR(INDEX('WetLitterbags placem_collection'!$A$3:$A$500,MATCH($A633,'WetLitterbags placem_collection'!$O$4:$O$500,0)),"")</f>
        <v/>
      </c>
      <c r="AD633" s="110">
        <f>IFERROR(INDEX('WetLitterbags placem_collection'!$A$3:$A$500,MATCH($A633,'WetLitterbags placem_collection'!$M$4:$M$500,0)),"")</f>
        <v>181</v>
      </c>
      <c r="AE633" s="110" t="str">
        <f>IFERROR(INDEX('WetLitterbags placem_collection'!$A$3:$A$500,MATCH($A633,'WetLitterbags placem_collection'!$Q$4:$Q$500,0)),"")</f>
        <v/>
      </c>
    </row>
    <row r="634" spans="1:31">
      <c r="A634" s="197" t="s">
        <v>695</v>
      </c>
      <c r="C634" s="197">
        <v>11</v>
      </c>
      <c r="D634" s="197">
        <v>1.1929000000000001</v>
      </c>
      <c r="E634" s="202">
        <v>7.5284000000000004</v>
      </c>
      <c r="F634" s="202">
        <v>0.20280000000000001</v>
      </c>
      <c r="G634" s="201">
        <f t="shared" si="53"/>
        <v>7.7312000000000003</v>
      </c>
      <c r="H634" s="201">
        <v>7.5388999999999999</v>
      </c>
      <c r="I634" s="201">
        <f t="shared" si="52"/>
        <v>0.19230000000000036</v>
      </c>
      <c r="J634" s="201">
        <f t="shared" si="54"/>
        <v>1.0499999999999649E-2</v>
      </c>
      <c r="K634" s="280">
        <f t="shared" si="55"/>
        <v>5.1775147928992347</v>
      </c>
      <c r="L634" s="201">
        <v>7</v>
      </c>
      <c r="AB634" s="110" t="str">
        <f>IFERROR(INDEX('WetLitterbags placem_collection'!$A$3:$A$500,MATCH(A634,'WetLitterbags placem_collection'!$K$4:$K$500,0)),"")</f>
        <v/>
      </c>
      <c r="AC634" s="110" t="str">
        <f>IFERROR(INDEX('WetLitterbags placem_collection'!$A$3:$A$500,MATCH($A634,'WetLitterbags placem_collection'!$O$4:$O$500,0)),"")</f>
        <v/>
      </c>
      <c r="AD634" s="110">
        <f>IFERROR(INDEX('WetLitterbags placem_collection'!$A$3:$A$500,MATCH($A634,'WetLitterbags placem_collection'!$M$4:$M$500,0)),"")</f>
        <v>10</v>
      </c>
      <c r="AE634" s="110" t="str">
        <f>IFERROR(INDEX('WetLitterbags placem_collection'!$A$3:$A$500,MATCH($A634,'WetLitterbags placem_collection'!$Q$4:$Q$500,0)),"")</f>
        <v/>
      </c>
    </row>
    <row r="635" spans="1:31">
      <c r="A635" s="201" t="s">
        <v>694</v>
      </c>
      <c r="C635" s="201">
        <v>151</v>
      </c>
      <c r="D635" s="197">
        <v>1.4498</v>
      </c>
      <c r="E635" s="197">
        <v>11.8634</v>
      </c>
      <c r="F635" s="197">
        <v>0.20419999999999999</v>
      </c>
      <c r="G635" s="197">
        <f t="shared" si="53"/>
        <v>12.067600000000001</v>
      </c>
      <c r="H635" s="197">
        <v>11.8766</v>
      </c>
      <c r="I635" s="197">
        <f t="shared" si="52"/>
        <v>0.19100000000000072</v>
      </c>
      <c r="J635" s="201">
        <f t="shared" si="54"/>
        <v>1.3199999999999268E-2</v>
      </c>
      <c r="K635" s="280">
        <f t="shared" si="55"/>
        <v>6.4642507345735885</v>
      </c>
      <c r="L635" s="197">
        <v>11</v>
      </c>
      <c r="M635" s="207">
        <v>43160.520833333336</v>
      </c>
      <c r="N635" s="207">
        <v>43160.6875</v>
      </c>
      <c r="O635" s="197" t="s">
        <v>2550</v>
      </c>
      <c r="AB635" s="110" t="str">
        <f>IFERROR(INDEX('WetLitterbags placem_collection'!$A$3:$A$500,MATCH(A635,'WetLitterbags placem_collection'!$K$4:$K$500,0)),"")</f>
        <v/>
      </c>
      <c r="AC635" s="110" t="str">
        <f>IFERROR(INDEX('WetLitterbags placem_collection'!$A$3:$A$500,MATCH($A635,'WetLitterbags placem_collection'!$O$4:$O$500,0)),"")</f>
        <v/>
      </c>
      <c r="AD635" s="110">
        <f>IFERROR(INDEX('WetLitterbags placem_collection'!$A$3:$A$500,MATCH($A635,'WetLitterbags placem_collection'!$M$4:$M$500,0)),"")</f>
        <v>150</v>
      </c>
      <c r="AE635" s="110" t="str">
        <f>IFERROR(INDEX('WetLitterbags placem_collection'!$A$3:$A$500,MATCH($A635,'WetLitterbags placem_collection'!$Q$4:$Q$500,0)),"")</f>
        <v/>
      </c>
    </row>
    <row r="636" spans="1:31">
      <c r="A636" s="197" t="s">
        <v>693</v>
      </c>
      <c r="C636" s="197">
        <v>62</v>
      </c>
      <c r="D636" s="197">
        <v>1.2890999999999999</v>
      </c>
      <c r="E636" s="197">
        <v>9.0016999999999996</v>
      </c>
      <c r="F636" s="197">
        <v>0.2016</v>
      </c>
      <c r="G636" s="197">
        <f t="shared" si="53"/>
        <v>9.2032999999999987</v>
      </c>
      <c r="H636" s="197">
        <v>9.0152999999999999</v>
      </c>
      <c r="I636" s="197">
        <f t="shared" si="52"/>
        <v>0.18799999999999883</v>
      </c>
      <c r="J636" s="201">
        <f t="shared" si="54"/>
        <v>1.3600000000001167E-2</v>
      </c>
      <c r="K636" s="280">
        <f t="shared" si="55"/>
        <v>6.7460317460323242</v>
      </c>
      <c r="L636" s="197">
        <v>43</v>
      </c>
      <c r="M636" s="197" t="s">
        <v>2586</v>
      </c>
      <c r="N636" s="197" t="s">
        <v>2585</v>
      </c>
      <c r="O636" s="197" t="s">
        <v>2550</v>
      </c>
      <c r="AB636" s="110" t="str">
        <f>IFERROR(INDEX('WetLitterbags placem_collection'!$A$3:$A$500,MATCH(A636,'WetLitterbags placem_collection'!$K$4:$K$500,0)),"")</f>
        <v/>
      </c>
      <c r="AC636" s="110" t="str">
        <f>IFERROR(INDEX('WetLitterbags placem_collection'!$A$3:$A$500,MATCH($A636,'WetLitterbags placem_collection'!$O$4:$O$500,0)),"")</f>
        <v/>
      </c>
      <c r="AD636" s="110" t="str">
        <f>IFERROR(INDEX('WetLitterbags placem_collection'!$A$3:$A$500,MATCH($A636,'WetLitterbags placem_collection'!$M$4:$M$500,0)),"")</f>
        <v/>
      </c>
      <c r="AE636" s="110">
        <f>IFERROR(INDEX('WetLitterbags placem_collection'!$A$3:$A$500,MATCH($A636,'WetLitterbags placem_collection'!$Q$4:$Q$500,0)),"")</f>
        <v>61</v>
      </c>
    </row>
    <row r="637" spans="1:31">
      <c r="A637" s="206" t="s">
        <v>692</v>
      </c>
      <c r="C637" s="201">
        <v>208</v>
      </c>
      <c r="D637" s="201">
        <v>1.3623000000000001</v>
      </c>
      <c r="E637" s="201">
        <v>8.9587000000000003</v>
      </c>
      <c r="F637" s="201">
        <v>0.20549999999999999</v>
      </c>
      <c r="G637" s="201">
        <f t="shared" si="53"/>
        <v>9.164200000000001</v>
      </c>
      <c r="H637" s="201">
        <v>8.9741999999999997</v>
      </c>
      <c r="I637" s="201">
        <f t="shared" si="52"/>
        <v>0.19000000000000128</v>
      </c>
      <c r="J637" s="201">
        <f t="shared" si="54"/>
        <v>1.5499999999998709E-2</v>
      </c>
      <c r="K637" s="280">
        <f t="shared" si="55"/>
        <v>7.5425790754251629</v>
      </c>
      <c r="L637" s="201">
        <v>5</v>
      </c>
      <c r="M637" s="203">
        <v>43171.520833333336</v>
      </c>
      <c r="N637" s="203">
        <v>43171.6875</v>
      </c>
      <c r="O637" s="197" t="s">
        <v>2550</v>
      </c>
      <c r="P637" s="201"/>
      <c r="AB637" s="110" t="str">
        <f>IFERROR(INDEX('WetLitterbags placem_collection'!$A$3:$A$500,MATCH(A637,'WetLitterbags placem_collection'!$K$4:$K$500,0)),"")</f>
        <v/>
      </c>
      <c r="AC637" s="110" t="str">
        <f>IFERROR(INDEX('WetLitterbags placem_collection'!$A$3:$A$500,MATCH($A637,'WetLitterbags placem_collection'!$O$4:$O$500,0)),"")</f>
        <v/>
      </c>
      <c r="AD637" s="110" t="str">
        <f>IFERROR(INDEX('WetLitterbags placem_collection'!$A$3:$A$500,MATCH($A637,'WetLitterbags placem_collection'!$M$4:$M$500,0)),"")</f>
        <v/>
      </c>
      <c r="AE637" s="110">
        <f>IFERROR(INDEX('WetLitterbags placem_collection'!$A$3:$A$500,MATCH($A637,'WetLitterbags placem_collection'!$Q$4:$Q$500,0)),"")</f>
        <v>207</v>
      </c>
    </row>
    <row r="638" spans="1:31">
      <c r="A638" s="197" t="s">
        <v>1096</v>
      </c>
      <c r="C638" s="198">
        <v>22</v>
      </c>
      <c r="D638" s="197">
        <v>1.2706999999999999</v>
      </c>
      <c r="E638" s="202">
        <v>9.0211000000000006</v>
      </c>
      <c r="F638" s="202">
        <v>0.20119999999999999</v>
      </c>
      <c r="G638" s="201">
        <f t="shared" si="53"/>
        <v>9.2223000000000006</v>
      </c>
      <c r="H638" s="201">
        <v>9.0279000000000007</v>
      </c>
      <c r="I638" s="201">
        <f t="shared" si="52"/>
        <v>0.19439999999999991</v>
      </c>
      <c r="J638" s="201">
        <f t="shared" si="54"/>
        <v>6.8000000000000838E-3</v>
      </c>
      <c r="K638" s="280">
        <f t="shared" si="55"/>
        <v>3.3797216699801611</v>
      </c>
      <c r="L638" s="201">
        <v>21</v>
      </c>
      <c r="M638" s="204">
        <v>43221</v>
      </c>
      <c r="N638" s="204">
        <v>43221</v>
      </c>
      <c r="AB638" s="110" t="str">
        <f>IFERROR(INDEX('WetLitterbags placem_collection'!$A$3:$A$500,MATCH(A638,'WetLitterbags placem_collection'!$K$4:$K$500,0)),"")</f>
        <v/>
      </c>
      <c r="AC638" s="110" t="str">
        <f>IFERROR(INDEX('WetLitterbags placem_collection'!$A$3:$A$500,MATCH($A638,'WetLitterbags placem_collection'!$O$4:$O$500,0)),"")</f>
        <v/>
      </c>
      <c r="AD638" s="110" t="str">
        <f>IFERROR(INDEX('WetLitterbags placem_collection'!$A$3:$A$500,MATCH($A638,'WetLitterbags placem_collection'!$M$4:$M$500,0)),"")</f>
        <v/>
      </c>
      <c r="AE638" s="110">
        <f>IFERROR(INDEX('WetLitterbags placem_collection'!$A$3:$A$500,MATCH($A638,'WetLitterbags placem_collection'!$Q$4:$Q$500,0)),"")</f>
        <v>21</v>
      </c>
    </row>
    <row r="639" spans="1:31">
      <c r="A639" s="197" t="s">
        <v>691</v>
      </c>
      <c r="C639" s="198">
        <v>13</v>
      </c>
      <c r="D639" s="197">
        <v>0.71840000000000004</v>
      </c>
      <c r="E639" s="197">
        <v>7.1901999999999999</v>
      </c>
      <c r="F639" s="202">
        <v>0.2009</v>
      </c>
      <c r="G639" s="201">
        <f t="shared" si="53"/>
        <v>7.3910999999999998</v>
      </c>
      <c r="H639" s="201">
        <v>7.2729999999999997</v>
      </c>
      <c r="I639" s="201">
        <f t="shared" si="52"/>
        <v>0.11810000000000009</v>
      </c>
      <c r="J639" s="201">
        <f t="shared" si="54"/>
        <v>8.2799999999999901E-2</v>
      </c>
      <c r="K639" s="280">
        <f t="shared" si="55"/>
        <v>41.214534594325485</v>
      </c>
      <c r="L639" s="201">
        <v>16</v>
      </c>
      <c r="AB639" s="110" t="str">
        <f>IFERROR(INDEX('WetLitterbags placem_collection'!$A$3:$A$500,MATCH(A639,'WetLitterbags placem_collection'!$K$4:$K$500,0)),"")</f>
        <v/>
      </c>
      <c r="AC639" s="110" t="str">
        <f>IFERROR(INDEX('WetLitterbags placem_collection'!$A$3:$A$500,MATCH($A639,'WetLitterbags placem_collection'!$O$4:$O$500,0)),"")</f>
        <v/>
      </c>
      <c r="AD639" s="110">
        <f>IFERROR(INDEX('WetLitterbags placem_collection'!$A$3:$A$500,MATCH($A639,'WetLitterbags placem_collection'!$M$4:$M$500,0)),"")</f>
        <v>12</v>
      </c>
      <c r="AE639" s="110" t="str">
        <f>IFERROR(INDEX('WetLitterbags placem_collection'!$A$3:$A$500,MATCH($A639,'WetLitterbags placem_collection'!$Q$4:$Q$500,0)),"")</f>
        <v/>
      </c>
    </row>
    <row r="640" spans="1:31">
      <c r="A640" s="201" t="s">
        <v>690</v>
      </c>
      <c r="C640" s="201">
        <v>171</v>
      </c>
      <c r="D640" s="201">
        <v>1.3996</v>
      </c>
      <c r="E640" s="201">
        <v>7.5286</v>
      </c>
      <c r="F640" s="201">
        <v>0.20319999999999999</v>
      </c>
      <c r="G640" s="201">
        <f t="shared" si="53"/>
        <v>7.7317999999999998</v>
      </c>
      <c r="H640" s="201">
        <v>7.5320999999999998</v>
      </c>
      <c r="I640" s="201">
        <f t="shared" si="52"/>
        <v>0.19969999999999999</v>
      </c>
      <c r="J640" s="201">
        <f t="shared" si="54"/>
        <v>3.5000000000000031E-3</v>
      </c>
      <c r="K640" s="280">
        <f t="shared" si="55"/>
        <v>1.7224409448818911</v>
      </c>
      <c r="L640" s="201">
        <v>8</v>
      </c>
      <c r="M640" s="205">
        <v>43174</v>
      </c>
      <c r="N640" s="205">
        <v>43174</v>
      </c>
      <c r="O640" s="201" t="s">
        <v>2556</v>
      </c>
      <c r="P640" s="201" t="s">
        <v>2551</v>
      </c>
      <c r="AB640" s="110" t="str">
        <f>IFERROR(INDEX('WetLitterbags placem_collection'!$A$3:$A$500,MATCH(A640,'WetLitterbags placem_collection'!$K$4:$K$500,0)),"")</f>
        <v/>
      </c>
      <c r="AC640" s="110" t="str">
        <f>IFERROR(INDEX('WetLitterbags placem_collection'!$A$3:$A$500,MATCH($A640,'WetLitterbags placem_collection'!$O$4:$O$500,0)),"")</f>
        <v/>
      </c>
      <c r="AD640" s="110" t="str">
        <f>IFERROR(INDEX('WetLitterbags placem_collection'!$A$3:$A$500,MATCH($A640,'WetLitterbags placem_collection'!$M$4:$M$500,0)),"")</f>
        <v/>
      </c>
      <c r="AE640" s="110">
        <f>IFERROR(INDEX('WetLitterbags placem_collection'!$A$3:$A$500,MATCH($A640,'WetLitterbags placem_collection'!$Q$4:$Q$500,0)),"")</f>
        <v>170</v>
      </c>
    </row>
    <row r="641" spans="1:31">
      <c r="A641" s="201" t="s">
        <v>689</v>
      </c>
      <c r="C641" s="197">
        <v>33</v>
      </c>
      <c r="D641" s="201">
        <v>1.3465</v>
      </c>
      <c r="E641" s="202">
        <v>10.415800000000001</v>
      </c>
      <c r="F641" s="202">
        <v>0.20080000000000001</v>
      </c>
      <c r="G641" s="201">
        <f t="shared" si="53"/>
        <v>10.6166</v>
      </c>
      <c r="H641" s="201">
        <v>10.424899999999999</v>
      </c>
      <c r="I641" s="201">
        <f t="shared" si="52"/>
        <v>0.19170000000000087</v>
      </c>
      <c r="J641" s="201">
        <f t="shared" si="54"/>
        <v>9.0999999999991366E-3</v>
      </c>
      <c r="K641" s="280">
        <f t="shared" si="55"/>
        <v>4.5318725099597295</v>
      </c>
      <c r="L641" s="201">
        <v>17</v>
      </c>
      <c r="M641" s="207">
        <v>43186.458333333336</v>
      </c>
      <c r="N641" s="207">
        <v>43186.625</v>
      </c>
      <c r="O641" s="197" t="s">
        <v>2550</v>
      </c>
      <c r="P641" s="201" t="s">
        <v>2597</v>
      </c>
      <c r="AB641" s="110" t="str">
        <f>IFERROR(INDEX('WetLitterbags placem_collection'!$A$3:$A$500,MATCH(A641,'WetLitterbags placem_collection'!$K$4:$K$500,0)),"")</f>
        <v/>
      </c>
      <c r="AC641" s="110" t="str">
        <f>IFERROR(INDEX('WetLitterbags placem_collection'!$A$3:$A$500,MATCH($A641,'WetLitterbags placem_collection'!$O$4:$O$500,0)),"")</f>
        <v/>
      </c>
      <c r="AD641" s="110" t="str">
        <f>IFERROR(INDEX('WetLitterbags placem_collection'!$A$3:$A$500,MATCH($A641,'WetLitterbags placem_collection'!$M$4:$M$500,0)),"")</f>
        <v/>
      </c>
      <c r="AE641" s="110">
        <f>IFERROR(INDEX('WetLitterbags placem_collection'!$A$3:$A$500,MATCH($A641,'WetLitterbags placem_collection'!$Q$4:$Q$500,0)),"")</f>
        <v>32</v>
      </c>
    </row>
    <row r="642" spans="1:31">
      <c r="A642" s="201" t="s">
        <v>685</v>
      </c>
      <c r="C642" s="201">
        <v>143</v>
      </c>
      <c r="D642" s="201">
        <v>1.3918999999999999</v>
      </c>
      <c r="E642" s="201">
        <v>7.8449999999999998</v>
      </c>
      <c r="F642" s="201">
        <v>0.2056</v>
      </c>
      <c r="G642" s="201">
        <f t="shared" si="53"/>
        <v>8.0505999999999993</v>
      </c>
      <c r="H642" s="201">
        <v>7.8487</v>
      </c>
      <c r="I642" s="201">
        <f t="shared" si="52"/>
        <v>0.2018999999999993</v>
      </c>
      <c r="J642" s="201">
        <f t="shared" si="54"/>
        <v>3.7000000000007027E-3</v>
      </c>
      <c r="K642" s="280">
        <f t="shared" si="55"/>
        <v>1.7996108949419758</v>
      </c>
      <c r="L642" s="201">
        <v>10</v>
      </c>
      <c r="M642" s="203">
        <v>43171.520833333336</v>
      </c>
      <c r="N642" s="203">
        <v>43171.6875</v>
      </c>
      <c r="O642" s="197" t="s">
        <v>2550</v>
      </c>
      <c r="P642" s="201"/>
      <c r="AB642" s="110" t="str">
        <f>IFERROR(INDEX('WetLitterbags placem_collection'!$A$3:$A$500,MATCH(A642,'WetLitterbags placem_collection'!$K$4:$K$500,0)),"")</f>
        <v/>
      </c>
      <c r="AC642" s="110" t="str">
        <f>IFERROR(INDEX('WetLitterbags placem_collection'!$A$3:$A$500,MATCH($A642,'WetLitterbags placem_collection'!$O$4:$O$500,0)),"")</f>
        <v/>
      </c>
      <c r="AD642" s="110">
        <f>IFERROR(INDEX('WetLitterbags placem_collection'!$A$3:$A$500,MATCH($A642,'WetLitterbags placem_collection'!$M$4:$M$500,0)),"")</f>
        <v>142</v>
      </c>
      <c r="AE642" s="110" t="str">
        <f>IFERROR(INDEX('WetLitterbags placem_collection'!$A$3:$A$500,MATCH($A642,'WetLitterbags placem_collection'!$Q$4:$Q$500,0)),"")</f>
        <v/>
      </c>
    </row>
    <row r="643" spans="1:31">
      <c r="A643" s="206" t="s">
        <v>684</v>
      </c>
      <c r="C643" s="201">
        <v>216</v>
      </c>
      <c r="D643" s="201">
        <v>1.3617999999999999</v>
      </c>
      <c r="E643" s="201">
        <v>9.5545000000000009</v>
      </c>
      <c r="F643" s="202">
        <v>0.2094</v>
      </c>
      <c r="G643" s="201">
        <f t="shared" si="53"/>
        <v>9.7639000000000014</v>
      </c>
      <c r="H643" s="201">
        <v>9.5614000000000008</v>
      </c>
      <c r="I643" s="201">
        <f t="shared" si="52"/>
        <v>0.20250000000000057</v>
      </c>
      <c r="J643" s="201">
        <f t="shared" si="54"/>
        <v>6.8999999999994344E-3</v>
      </c>
      <c r="K643" s="280">
        <f t="shared" si="55"/>
        <v>3.2951289398278099</v>
      </c>
      <c r="L643" s="201">
        <v>22</v>
      </c>
      <c r="M643" s="205">
        <v>43211</v>
      </c>
      <c r="P643" s="197" t="s">
        <v>2554</v>
      </c>
      <c r="AB643" s="110" t="str">
        <f>IFERROR(INDEX('WetLitterbags placem_collection'!$A$3:$A$500,MATCH(A643,'WetLitterbags placem_collection'!$K$4:$K$500,0)),"")</f>
        <v/>
      </c>
      <c r="AC643" s="110" t="str">
        <f>IFERROR(INDEX('WetLitterbags placem_collection'!$A$3:$A$500,MATCH($A643,'WetLitterbags placem_collection'!$O$4:$O$500,0)),"")</f>
        <v/>
      </c>
      <c r="AD643" s="110" t="str">
        <f>IFERROR(INDEX('WetLitterbags placem_collection'!$A$3:$A$500,MATCH($A643,'WetLitterbags placem_collection'!$M$4:$M$500,0)),"")</f>
        <v/>
      </c>
      <c r="AE643" s="110">
        <f>IFERROR(INDEX('WetLitterbags placem_collection'!$A$3:$A$500,MATCH($A643,'WetLitterbags placem_collection'!$Q$4:$Q$500,0)),"")</f>
        <v>215</v>
      </c>
    </row>
    <row r="644" spans="1:31">
      <c r="A644" s="202" t="s">
        <v>683</v>
      </c>
      <c r="C644" s="201">
        <v>175</v>
      </c>
      <c r="D644" s="201">
        <v>0.44899999999999984</v>
      </c>
      <c r="E644" s="201">
        <v>7.3536999999999999</v>
      </c>
      <c r="F644" s="201">
        <v>0.19980000000000001</v>
      </c>
      <c r="G644" s="201">
        <f t="shared" si="53"/>
        <v>7.5534999999999997</v>
      </c>
      <c r="H644" s="201">
        <v>7.4848999999999997</v>
      </c>
      <c r="I644" s="201">
        <f t="shared" si="52"/>
        <v>6.8599999999999994E-2</v>
      </c>
      <c r="J644" s="201">
        <f t="shared" si="54"/>
        <v>0.13120000000000001</v>
      </c>
      <c r="K644" s="280">
        <f t="shared" si="55"/>
        <v>65.665665665665671</v>
      </c>
      <c r="L644" s="201">
        <v>4</v>
      </c>
      <c r="M644" s="205">
        <v>43173</v>
      </c>
      <c r="N644" s="205">
        <v>43173</v>
      </c>
      <c r="O644" s="201" t="s">
        <v>2556</v>
      </c>
      <c r="P644" s="201" t="s">
        <v>2555</v>
      </c>
      <c r="AB644" s="110" t="str">
        <f>IFERROR(INDEX('WetLitterbags placem_collection'!$A$3:$A$500,MATCH(A644,'WetLitterbags placem_collection'!$K$4:$K$500,0)),"")</f>
        <v/>
      </c>
      <c r="AC644" s="110" t="str">
        <f>IFERROR(INDEX('WetLitterbags placem_collection'!$A$3:$A$500,MATCH($A644,'WetLitterbags placem_collection'!$O$4:$O$500,0)),"")</f>
        <v/>
      </c>
      <c r="AD644" s="110">
        <f>IFERROR(INDEX('WetLitterbags placem_collection'!$A$3:$A$500,MATCH($A644,'WetLitterbags placem_collection'!$M$4:$M$500,0)),"")</f>
        <v>174</v>
      </c>
      <c r="AE644" s="110" t="str">
        <f>IFERROR(INDEX('WetLitterbags placem_collection'!$A$3:$A$500,MATCH($A644,'WetLitterbags placem_collection'!$Q$4:$Q$500,0)),"")</f>
        <v/>
      </c>
    </row>
    <row r="645" spans="1:31">
      <c r="A645" s="206" t="s">
        <v>682</v>
      </c>
      <c r="C645" s="201">
        <v>116</v>
      </c>
      <c r="D645" s="202">
        <v>0.47</v>
      </c>
      <c r="E645" s="202">
        <v>8.7736999999999998</v>
      </c>
      <c r="F645" s="202">
        <v>0.2011</v>
      </c>
      <c r="G645" s="201">
        <f t="shared" si="53"/>
        <v>8.9748000000000001</v>
      </c>
      <c r="H645" s="201">
        <v>8.9442000000000004</v>
      </c>
      <c r="I645" s="201">
        <f t="shared" si="52"/>
        <v>3.0599999999999739E-2</v>
      </c>
      <c r="J645" s="201">
        <f t="shared" si="54"/>
        <v>0.17050000000000026</v>
      </c>
      <c r="K645" s="280">
        <f t="shared" si="55"/>
        <v>84.783689706613757</v>
      </c>
      <c r="L645" s="201">
        <v>14</v>
      </c>
      <c r="M645" s="203">
        <v>43181.645833333336</v>
      </c>
      <c r="N645" s="203">
        <v>43181.833333333336</v>
      </c>
      <c r="O645" s="201" t="s">
        <v>2556</v>
      </c>
      <c r="P645" s="201" t="s">
        <v>2573</v>
      </c>
      <c r="AB645" s="110" t="str">
        <f>IFERROR(INDEX('WetLitterbags placem_collection'!$A$3:$A$500,MATCH(A645,'WetLitterbags placem_collection'!$K$4:$K$500,0)),"")</f>
        <v/>
      </c>
      <c r="AC645" s="110" t="str">
        <f>IFERROR(INDEX('WetLitterbags placem_collection'!$A$3:$A$500,MATCH($A645,'WetLitterbags placem_collection'!$O$4:$O$500,0)),"")</f>
        <v/>
      </c>
      <c r="AD645" s="110">
        <f>IFERROR(INDEX('WetLitterbags placem_collection'!$A$3:$A$500,MATCH($A645,'WetLitterbags placem_collection'!$M$4:$M$500,0)),"")</f>
        <v>115</v>
      </c>
      <c r="AE645" s="110" t="str">
        <f>IFERROR(INDEX('WetLitterbags placem_collection'!$A$3:$A$500,MATCH($A645,'WetLitterbags placem_collection'!$Q$4:$Q$500,0)),"")</f>
        <v/>
      </c>
    </row>
    <row r="646" spans="1:31">
      <c r="A646" s="206" t="s">
        <v>680</v>
      </c>
      <c r="C646" s="201">
        <v>160</v>
      </c>
      <c r="D646" s="201">
        <v>1.5044999999999999</v>
      </c>
      <c r="E646" s="201">
        <v>7.3540000000000001</v>
      </c>
      <c r="F646" s="202">
        <v>0.2009</v>
      </c>
      <c r="G646" s="201">
        <f t="shared" si="53"/>
        <v>7.5548999999999999</v>
      </c>
      <c r="H646" s="201">
        <v>7.3624000000000001</v>
      </c>
      <c r="I646" s="201">
        <f t="shared" si="52"/>
        <v>0.19249999999999989</v>
      </c>
      <c r="J646" s="201">
        <f t="shared" si="54"/>
        <v>8.4000000000001018E-3</v>
      </c>
      <c r="K646" s="280">
        <f t="shared" si="55"/>
        <v>4.181184668989598</v>
      </c>
      <c r="L646" s="201">
        <v>15</v>
      </c>
      <c r="M646" s="205">
        <v>43211</v>
      </c>
      <c r="AB646" s="110" t="str">
        <f>IFERROR(INDEX('WetLitterbags placem_collection'!$A$3:$A$500,MATCH(A646,'WetLitterbags placem_collection'!$K$4:$K$500,0)),"")</f>
        <v/>
      </c>
      <c r="AC646" s="110" t="str">
        <f>IFERROR(INDEX('WetLitterbags placem_collection'!$A$3:$A$500,MATCH($A646,'WetLitterbags placem_collection'!$O$4:$O$500,0)),"")</f>
        <v/>
      </c>
      <c r="AD646" s="110" t="str">
        <f>IFERROR(INDEX('WetLitterbags placem_collection'!$A$3:$A$500,MATCH($A646,'WetLitterbags placem_collection'!$M$4:$M$500,0)),"")</f>
        <v/>
      </c>
      <c r="AE646" s="110">
        <f>IFERROR(INDEX('WetLitterbags placem_collection'!$A$3:$A$500,MATCH($A646,'WetLitterbags placem_collection'!$Q$4:$Q$500,0)),"")</f>
        <v>159</v>
      </c>
    </row>
    <row r="647" spans="1:31">
      <c r="A647" s="197" t="s">
        <v>679</v>
      </c>
      <c r="C647" s="198">
        <v>110</v>
      </c>
      <c r="D647" s="197">
        <v>1.347</v>
      </c>
      <c r="E647" s="202">
        <v>7.4805999999999999</v>
      </c>
      <c r="F647" s="202">
        <v>0.2064</v>
      </c>
      <c r="G647" s="201">
        <f t="shared" si="53"/>
        <v>7.6870000000000003</v>
      </c>
      <c r="H647" s="201">
        <v>7.4957000000000003</v>
      </c>
      <c r="I647" s="201">
        <f t="shared" si="52"/>
        <v>0.19130000000000003</v>
      </c>
      <c r="J647" s="201">
        <f t="shared" si="54"/>
        <v>1.5099999999999975E-2</v>
      </c>
      <c r="K647" s="280">
        <f t="shared" si="55"/>
        <v>7.3158914728682047</v>
      </c>
      <c r="L647" s="201">
        <v>32</v>
      </c>
      <c r="AB647" s="110" t="str">
        <f>IFERROR(INDEX('WetLitterbags placem_collection'!$A$3:$A$500,MATCH(A647,'WetLitterbags placem_collection'!$K$4:$K$500,0)),"")</f>
        <v/>
      </c>
      <c r="AC647" s="110" t="str">
        <f>IFERROR(INDEX('WetLitterbags placem_collection'!$A$3:$A$500,MATCH($A647,'WetLitterbags placem_collection'!$O$4:$O$500,0)),"")</f>
        <v/>
      </c>
      <c r="AD647" s="110">
        <f>IFERROR(INDEX('WetLitterbags placem_collection'!$A$3:$A$500,MATCH($A647,'WetLitterbags placem_collection'!$M$4:$M$500,0)),"")</f>
        <v>109</v>
      </c>
      <c r="AE647" s="110" t="str">
        <f>IFERROR(INDEX('WetLitterbags placem_collection'!$A$3:$A$500,MATCH($A647,'WetLitterbags placem_collection'!$Q$4:$Q$500,0)),"")</f>
        <v/>
      </c>
    </row>
    <row r="648" spans="1:31">
      <c r="A648" s="201" t="s">
        <v>678</v>
      </c>
      <c r="C648" s="201">
        <v>198</v>
      </c>
      <c r="D648" s="201">
        <v>1.319</v>
      </c>
      <c r="E648" s="201">
        <v>7.8014000000000001</v>
      </c>
      <c r="F648" s="201">
        <v>0.20369999999999999</v>
      </c>
      <c r="G648" s="201">
        <f t="shared" si="53"/>
        <v>8.0051000000000005</v>
      </c>
      <c r="H648" s="201">
        <v>7.8170999999999999</v>
      </c>
      <c r="I648" s="201">
        <f t="shared" si="52"/>
        <v>0.18800000000000061</v>
      </c>
      <c r="J648" s="201">
        <f t="shared" si="54"/>
        <v>1.5699999999999381E-2</v>
      </c>
      <c r="K648" s="280">
        <f t="shared" si="55"/>
        <v>7.7074128620517337</v>
      </c>
      <c r="L648" s="201">
        <v>22</v>
      </c>
      <c r="M648" s="203">
        <v>43164.628472222219</v>
      </c>
      <c r="N648" s="203">
        <v>43164.795138888891</v>
      </c>
      <c r="O648" s="197" t="s">
        <v>2550</v>
      </c>
      <c r="P648" s="201"/>
      <c r="AB648" s="110" t="str">
        <f>IFERROR(INDEX('WetLitterbags placem_collection'!$A$3:$A$500,MATCH(A648,'WetLitterbags placem_collection'!$K$4:$K$500,0)),"")</f>
        <v/>
      </c>
      <c r="AC648" s="110" t="str">
        <f>IFERROR(INDEX('WetLitterbags placem_collection'!$A$3:$A$500,MATCH($A648,'WetLitterbags placem_collection'!$O$4:$O$500,0)),"")</f>
        <v/>
      </c>
      <c r="AD648" s="110">
        <f>IFERROR(INDEX('WetLitterbags placem_collection'!$A$3:$A$500,MATCH($A648,'WetLitterbags placem_collection'!$M$4:$M$500,0)),"")</f>
        <v>197</v>
      </c>
      <c r="AE648" s="110" t="str">
        <f>IFERROR(INDEX('WetLitterbags placem_collection'!$A$3:$A$500,MATCH($A648,'WetLitterbags placem_collection'!$Q$4:$Q$500,0)),"")</f>
        <v/>
      </c>
    </row>
    <row r="649" spans="1:31">
      <c r="A649" s="206" t="s">
        <v>677</v>
      </c>
      <c r="C649" s="201">
        <v>156</v>
      </c>
      <c r="D649" s="201">
        <v>1.5392999999999999</v>
      </c>
      <c r="E649" s="201">
        <v>19.650400000000001</v>
      </c>
      <c r="F649" s="201">
        <v>0.2051</v>
      </c>
      <c r="G649" s="201">
        <f t="shared" si="53"/>
        <v>19.855500000000003</v>
      </c>
      <c r="H649" s="201">
        <v>19.668600000000001</v>
      </c>
      <c r="I649" s="201">
        <f t="shared" si="52"/>
        <v>0.1869000000000014</v>
      </c>
      <c r="J649" s="201">
        <f t="shared" si="54"/>
        <v>1.8199999999998606E-2</v>
      </c>
      <c r="K649" s="280">
        <f t="shared" si="55"/>
        <v>8.8737201365180916</v>
      </c>
      <c r="L649" s="201">
        <v>13</v>
      </c>
      <c r="M649" s="203">
        <v>43171.520833333336</v>
      </c>
      <c r="N649" s="203">
        <v>43171.6875</v>
      </c>
      <c r="O649" s="197" t="s">
        <v>2550</v>
      </c>
      <c r="P649" s="201"/>
      <c r="AB649" s="110" t="str">
        <f>IFERROR(INDEX('WetLitterbags placem_collection'!$A$3:$A$500,MATCH(A649,'WetLitterbags placem_collection'!$K$4:$K$500,0)),"")</f>
        <v/>
      </c>
      <c r="AC649" s="110" t="str">
        <f>IFERROR(INDEX('WetLitterbags placem_collection'!$A$3:$A$500,MATCH($A649,'WetLitterbags placem_collection'!$O$4:$O$500,0)),"")</f>
        <v/>
      </c>
      <c r="AD649" s="110" t="str">
        <f>IFERROR(INDEX('WetLitterbags placem_collection'!$A$3:$A$500,MATCH($A649,'WetLitterbags placem_collection'!$M$4:$M$500,0)),"")</f>
        <v/>
      </c>
      <c r="AE649" s="110">
        <f>IFERROR(INDEX('WetLitterbags placem_collection'!$A$3:$A$500,MATCH($A649,'WetLitterbags placem_collection'!$Q$4:$Q$500,0)),"")</f>
        <v>155</v>
      </c>
    </row>
    <row r="650" spans="1:31">
      <c r="A650" s="197" t="s">
        <v>676</v>
      </c>
      <c r="C650" s="197">
        <v>141</v>
      </c>
      <c r="D650" s="197">
        <v>1.4510000000000001</v>
      </c>
      <c r="E650" s="197">
        <v>11.263299999999999</v>
      </c>
      <c r="F650" s="197">
        <v>0.20349999999999999</v>
      </c>
      <c r="G650" s="197">
        <f t="shared" si="53"/>
        <v>11.466799999999999</v>
      </c>
      <c r="H650" s="197">
        <v>11.267899999999999</v>
      </c>
      <c r="I650" s="197">
        <f t="shared" si="52"/>
        <v>0.19890000000000008</v>
      </c>
      <c r="J650" s="201">
        <f t="shared" si="54"/>
        <v>4.5999999999999097E-3</v>
      </c>
      <c r="K650" s="280">
        <f t="shared" si="55"/>
        <v>2.2604422604422161</v>
      </c>
      <c r="L650" s="197">
        <v>9</v>
      </c>
      <c r="M650" s="197">
        <v>43157.527777777781</v>
      </c>
      <c r="N650" s="197">
        <v>43157.694444444445</v>
      </c>
      <c r="O650" s="197" t="s">
        <v>2556</v>
      </c>
      <c r="AB650" s="110" t="str">
        <f>IFERROR(INDEX('WetLitterbags placem_collection'!$A$3:$A$500,MATCH(A650,'WetLitterbags placem_collection'!$K$4:$K$500,0)),"")</f>
        <v/>
      </c>
      <c r="AC650" s="110" t="str">
        <f>IFERROR(INDEX('WetLitterbags placem_collection'!$A$3:$A$500,MATCH($A650,'WetLitterbags placem_collection'!$O$4:$O$500,0)),"")</f>
        <v/>
      </c>
      <c r="AD650" s="110" t="str">
        <f>IFERROR(INDEX('WetLitterbags placem_collection'!$A$3:$A$500,MATCH($A650,'WetLitterbags placem_collection'!$M$4:$M$500,0)),"")</f>
        <v/>
      </c>
      <c r="AE650" s="110">
        <f>IFERROR(INDEX('WetLitterbags placem_collection'!$A$3:$A$500,MATCH($A650,'WetLitterbags placem_collection'!$Q$4:$Q$500,0)),"")</f>
        <v>140</v>
      </c>
    </row>
    <row r="651" spans="1:31">
      <c r="A651" s="201" t="s">
        <v>675</v>
      </c>
      <c r="C651" s="201">
        <v>123</v>
      </c>
      <c r="D651" s="201">
        <v>1.3335999999999999</v>
      </c>
      <c r="E651" s="202">
        <v>11.054</v>
      </c>
      <c r="F651" s="202">
        <v>0.20019999999999999</v>
      </c>
      <c r="G651" s="201">
        <f t="shared" si="53"/>
        <v>11.254200000000001</v>
      </c>
      <c r="H651" s="201">
        <v>11.0619</v>
      </c>
      <c r="I651" s="201">
        <f t="shared" si="52"/>
        <v>0.19230000000000125</v>
      </c>
      <c r="J651" s="201">
        <f t="shared" si="54"/>
        <v>7.8999999999987414E-3</v>
      </c>
      <c r="K651" s="280">
        <f t="shared" si="55"/>
        <v>3.9460539460533175</v>
      </c>
      <c r="L651" s="201">
        <v>13</v>
      </c>
      <c r="M651" s="205">
        <v>43199</v>
      </c>
      <c r="N651" s="205">
        <v>43199</v>
      </c>
      <c r="O651" s="201"/>
      <c r="P651" s="201"/>
      <c r="AB651" s="110" t="str">
        <f>IFERROR(INDEX('WetLitterbags placem_collection'!$A$3:$A$500,MATCH(A651,'WetLitterbags placem_collection'!$K$4:$K$500,0)),"")</f>
        <v/>
      </c>
      <c r="AC651" s="110" t="str">
        <f>IFERROR(INDEX('WetLitterbags placem_collection'!$A$3:$A$500,MATCH($A651,'WetLitterbags placem_collection'!$O$4:$O$500,0)),"")</f>
        <v/>
      </c>
      <c r="AD651" s="110" t="str">
        <f>IFERROR(INDEX('WetLitterbags placem_collection'!$A$3:$A$500,MATCH($A651,'WetLitterbags placem_collection'!$M$4:$M$500,0)),"")</f>
        <v/>
      </c>
      <c r="AE651" s="110">
        <f>IFERROR(INDEX('WetLitterbags placem_collection'!$A$3:$A$500,MATCH($A651,'WetLitterbags placem_collection'!$Q$4:$Q$500,0)),"")</f>
        <v>122</v>
      </c>
    </row>
    <row r="652" spans="1:31">
      <c r="A652" s="206" t="s">
        <v>674</v>
      </c>
      <c r="C652" s="201">
        <v>134</v>
      </c>
      <c r="D652" s="201">
        <v>1.3554999999999999</v>
      </c>
      <c r="E652" s="202">
        <v>9.3423999999999996</v>
      </c>
      <c r="F652" s="202">
        <v>0.20219999999999999</v>
      </c>
      <c r="G652" s="201">
        <f t="shared" si="53"/>
        <v>9.5445999999999991</v>
      </c>
      <c r="H652" s="201">
        <v>9.3493999999999993</v>
      </c>
      <c r="I652" s="201">
        <f t="shared" si="52"/>
        <v>0.19519999999999982</v>
      </c>
      <c r="J652" s="201">
        <f t="shared" si="54"/>
        <v>7.0000000000001728E-3</v>
      </c>
      <c r="K652" s="280">
        <f t="shared" si="55"/>
        <v>3.4619188921860404</v>
      </c>
      <c r="L652" s="201">
        <v>9</v>
      </c>
      <c r="M652" s="205">
        <v>43197</v>
      </c>
      <c r="N652" s="205">
        <v>43197</v>
      </c>
      <c r="O652" s="201"/>
      <c r="P652" s="201"/>
      <c r="AB652" s="110" t="str">
        <f>IFERROR(INDEX('WetLitterbags placem_collection'!$A$3:$A$500,MATCH(A652,'WetLitterbags placem_collection'!$K$4:$K$500,0)),"")</f>
        <v/>
      </c>
      <c r="AC652" s="110" t="str">
        <f>IFERROR(INDEX('WetLitterbags placem_collection'!$A$3:$A$500,MATCH($A652,'WetLitterbags placem_collection'!$O$4:$O$500,0)),"")</f>
        <v/>
      </c>
      <c r="AD652" s="110" t="str">
        <f>IFERROR(INDEX('WetLitterbags placem_collection'!$A$3:$A$500,MATCH($A652,'WetLitterbags placem_collection'!$M$4:$M$500,0)),"")</f>
        <v/>
      </c>
      <c r="AE652" s="110">
        <f>IFERROR(INDEX('WetLitterbags placem_collection'!$A$3:$A$500,MATCH($A652,'WetLitterbags placem_collection'!$Q$4:$Q$500,0)),"")</f>
        <v>133</v>
      </c>
    </row>
    <row r="653" spans="1:31">
      <c r="A653" s="201" t="s">
        <v>673</v>
      </c>
      <c r="C653" s="201">
        <v>146</v>
      </c>
      <c r="D653" s="197">
        <v>1.4504999999999999</v>
      </c>
      <c r="E653" s="201">
        <v>8.8605999999999998</v>
      </c>
      <c r="F653" s="202">
        <v>0.19750000000000001</v>
      </c>
      <c r="G653" s="201">
        <f t="shared" si="53"/>
        <v>9.0580999999999996</v>
      </c>
      <c r="H653" s="201">
        <v>8.8713999999999995</v>
      </c>
      <c r="I653" s="201">
        <f t="shared" si="52"/>
        <v>0.18670000000000009</v>
      </c>
      <c r="J653" s="201">
        <f t="shared" si="54"/>
        <v>1.0799999999999921E-2</v>
      </c>
      <c r="K653" s="280">
        <f t="shared" si="55"/>
        <v>5.4683544303797067</v>
      </c>
      <c r="L653" s="201">
        <v>1</v>
      </c>
      <c r="M653" s="205">
        <v>43211</v>
      </c>
      <c r="N653" s="201"/>
      <c r="O653" s="201"/>
      <c r="P653" s="201"/>
      <c r="AB653" s="110" t="str">
        <f>IFERROR(INDEX('WetLitterbags placem_collection'!$A$3:$A$500,MATCH(A653,'WetLitterbags placem_collection'!$K$4:$K$500,0)),"")</f>
        <v/>
      </c>
      <c r="AC653" s="110" t="str">
        <f>IFERROR(INDEX('WetLitterbags placem_collection'!$A$3:$A$500,MATCH($A653,'WetLitterbags placem_collection'!$O$4:$O$500,0)),"")</f>
        <v/>
      </c>
      <c r="AD653" s="110" t="str">
        <f>IFERROR(INDEX('WetLitterbags placem_collection'!$A$3:$A$500,MATCH($A653,'WetLitterbags placem_collection'!$M$4:$M$500,0)),"")</f>
        <v/>
      </c>
      <c r="AE653" s="110">
        <f>IFERROR(INDEX('WetLitterbags placem_collection'!$A$3:$A$500,MATCH($A653,'WetLitterbags placem_collection'!$Q$4:$Q$500,0)),"")</f>
        <v>145</v>
      </c>
    </row>
    <row r="654" spans="1:31">
      <c r="A654" s="197" t="s">
        <v>672</v>
      </c>
      <c r="C654" s="197">
        <v>45</v>
      </c>
      <c r="D654" s="197">
        <v>1.3515999999999999</v>
      </c>
      <c r="E654" s="197">
        <v>8.7325999999999997</v>
      </c>
      <c r="F654" s="197">
        <v>0.20710000000000001</v>
      </c>
      <c r="G654" s="197">
        <f t="shared" si="53"/>
        <v>8.9397000000000002</v>
      </c>
      <c r="H654" s="197">
        <v>8.7399000000000004</v>
      </c>
      <c r="I654" s="197">
        <f t="shared" si="52"/>
        <v>0.19979999999999976</v>
      </c>
      <c r="J654" s="201">
        <f t="shared" si="54"/>
        <v>7.3000000000002507E-3</v>
      </c>
      <c r="K654" s="280">
        <f t="shared" si="55"/>
        <v>3.5248672139064463</v>
      </c>
      <c r="L654" s="197">
        <v>16</v>
      </c>
      <c r="M654" s="197" t="s">
        <v>2586</v>
      </c>
      <c r="N654" s="197" t="s">
        <v>2585</v>
      </c>
      <c r="O654" s="197" t="s">
        <v>2550</v>
      </c>
      <c r="AB654" s="110" t="str">
        <f>IFERROR(INDEX('WetLitterbags placem_collection'!$A$3:$A$500,MATCH(A654,'WetLitterbags placem_collection'!$K$4:$K$500,0)),"")</f>
        <v/>
      </c>
      <c r="AC654" s="110" t="str">
        <f>IFERROR(INDEX('WetLitterbags placem_collection'!$A$3:$A$500,MATCH($A654,'WetLitterbags placem_collection'!$O$4:$O$500,0)),"")</f>
        <v/>
      </c>
      <c r="AD654" s="110">
        <f>IFERROR(INDEX('WetLitterbags placem_collection'!$A$3:$A$500,MATCH($A654,'WetLitterbags placem_collection'!$M$4:$M$500,0)),"")</f>
        <v>44</v>
      </c>
      <c r="AE654" s="110" t="str">
        <f>IFERROR(INDEX('WetLitterbags placem_collection'!$A$3:$A$500,MATCH($A654,'WetLitterbags placem_collection'!$Q$4:$Q$500,0)),"")</f>
        <v/>
      </c>
    </row>
    <row r="655" spans="1:31">
      <c r="A655" s="201" t="s">
        <v>671</v>
      </c>
      <c r="C655" s="201">
        <v>177</v>
      </c>
      <c r="D655" s="201">
        <v>1.419</v>
      </c>
      <c r="E655" s="201">
        <v>11.8626</v>
      </c>
      <c r="F655" s="202">
        <v>0.20669999999999999</v>
      </c>
      <c r="G655" s="201">
        <f t="shared" si="53"/>
        <v>12.0693</v>
      </c>
      <c r="H655" s="201">
        <v>11.8675</v>
      </c>
      <c r="I655" s="201">
        <f t="shared" si="52"/>
        <v>0.20180000000000042</v>
      </c>
      <c r="J655" s="201">
        <f t="shared" si="54"/>
        <v>4.8999999999995714E-3</v>
      </c>
      <c r="K655" s="280">
        <f t="shared" si="55"/>
        <v>2.3705853894531068</v>
      </c>
      <c r="L655" s="201">
        <v>36</v>
      </c>
      <c r="M655" s="205">
        <v>43187</v>
      </c>
      <c r="N655" s="205">
        <v>43187</v>
      </c>
      <c r="O655" s="201"/>
      <c r="P655" s="201"/>
      <c r="AB655" s="110" t="str">
        <f>IFERROR(INDEX('WetLitterbags placem_collection'!$A$3:$A$500,MATCH(A655,'WetLitterbags placem_collection'!$K$4:$K$500,0)),"")</f>
        <v/>
      </c>
      <c r="AC655" s="110" t="str">
        <f>IFERROR(INDEX('WetLitterbags placem_collection'!$A$3:$A$500,MATCH($A655,'WetLitterbags placem_collection'!$O$4:$O$500,0)),"")</f>
        <v/>
      </c>
      <c r="AD655" s="110" t="str">
        <f>IFERROR(INDEX('WetLitterbags placem_collection'!$A$3:$A$500,MATCH($A655,'WetLitterbags placem_collection'!$M$4:$M$500,0)),"")</f>
        <v/>
      </c>
      <c r="AE655" s="110">
        <f>IFERROR(INDEX('WetLitterbags placem_collection'!$A$3:$A$500,MATCH($A655,'WetLitterbags placem_collection'!$Q$4:$Q$500,0)),"")</f>
        <v>176</v>
      </c>
    </row>
    <row r="656" spans="1:31">
      <c r="A656" s="206" t="s">
        <v>670</v>
      </c>
      <c r="C656" s="201">
        <v>124</v>
      </c>
      <c r="D656" s="201">
        <v>1.2547999999999999</v>
      </c>
      <c r="E656" s="202">
        <v>9.9168000000000003</v>
      </c>
      <c r="F656" s="202">
        <v>0.20200000000000001</v>
      </c>
      <c r="G656" s="201">
        <f t="shared" si="53"/>
        <v>10.1188</v>
      </c>
      <c r="H656" s="201">
        <v>9.9244000000000003</v>
      </c>
      <c r="I656" s="201">
        <f t="shared" ref="I656:I687" si="56">(G656-H656)</f>
        <v>0.19439999999999991</v>
      </c>
      <c r="J656" s="201">
        <f t="shared" si="54"/>
        <v>7.6000000000001067E-3</v>
      </c>
      <c r="K656" s="280">
        <f t="shared" si="55"/>
        <v>3.762376237623815</v>
      </c>
      <c r="L656" s="201">
        <v>6</v>
      </c>
      <c r="M656" s="207">
        <v>43185.385416666664</v>
      </c>
      <c r="N656" s="201"/>
      <c r="O656" s="201" t="s">
        <v>2556</v>
      </c>
      <c r="P656" s="201"/>
      <c r="AB656" s="110" t="str">
        <f>IFERROR(INDEX('WetLitterbags placem_collection'!$A$3:$A$500,MATCH(A656,'WetLitterbags placem_collection'!$K$4:$K$500,0)),"")</f>
        <v/>
      </c>
      <c r="AC656" s="110" t="str">
        <f>IFERROR(INDEX('WetLitterbags placem_collection'!$A$3:$A$500,MATCH($A656,'WetLitterbags placem_collection'!$O$4:$O$500,0)),"")</f>
        <v/>
      </c>
      <c r="AD656" s="110" t="str">
        <f>IFERROR(INDEX('WetLitterbags placem_collection'!$A$3:$A$500,MATCH($A656,'WetLitterbags placem_collection'!$M$4:$M$500,0)),"")</f>
        <v/>
      </c>
      <c r="AE656" s="110">
        <f>IFERROR(INDEX('WetLitterbags placem_collection'!$A$3:$A$500,MATCH($A656,'WetLitterbags placem_collection'!$Q$4:$Q$500,0)),"")</f>
        <v>123</v>
      </c>
    </row>
    <row r="657" spans="1:31">
      <c r="A657" s="197" t="s">
        <v>667</v>
      </c>
      <c r="C657" s="197">
        <v>136</v>
      </c>
      <c r="D657" s="197">
        <v>1.3257000000000001</v>
      </c>
      <c r="E657" s="197">
        <v>8.7744</v>
      </c>
      <c r="F657" s="197">
        <v>0.2024</v>
      </c>
      <c r="G657" s="197">
        <f t="shared" si="53"/>
        <v>8.9768000000000008</v>
      </c>
      <c r="H657" s="197">
        <v>8.7845999999999993</v>
      </c>
      <c r="I657" s="197">
        <f t="shared" si="56"/>
        <v>0.19220000000000148</v>
      </c>
      <c r="J657" s="201">
        <f t="shared" si="54"/>
        <v>1.0199999999998516E-2</v>
      </c>
      <c r="K657" s="280">
        <f t="shared" si="55"/>
        <v>5.0395256916988718</v>
      </c>
      <c r="L657" s="197">
        <v>4</v>
      </c>
      <c r="M657" s="197">
        <v>43157.527777777781</v>
      </c>
      <c r="N657" s="197">
        <v>43157.694444444445</v>
      </c>
      <c r="O657" s="197" t="s">
        <v>2556</v>
      </c>
      <c r="AB657" s="110" t="str">
        <f>IFERROR(INDEX('WetLitterbags placem_collection'!$A$3:$A$500,MATCH(A657,'WetLitterbags placem_collection'!$K$4:$K$500,0)),"")</f>
        <v/>
      </c>
      <c r="AC657" s="110" t="str">
        <f>IFERROR(INDEX('WetLitterbags placem_collection'!$A$3:$A$500,MATCH($A657,'WetLitterbags placem_collection'!$O$4:$O$500,0)),"")</f>
        <v/>
      </c>
      <c r="AD657" s="110">
        <f>IFERROR(INDEX('WetLitterbags placem_collection'!$A$3:$A$500,MATCH($A657,'WetLitterbags placem_collection'!$M$4:$M$500,0)),"")</f>
        <v>135</v>
      </c>
      <c r="AE657" s="110" t="str">
        <f>IFERROR(INDEX('WetLitterbags placem_collection'!$A$3:$A$500,MATCH($A657,'WetLitterbags placem_collection'!$Q$4:$Q$500,0)),"")</f>
        <v/>
      </c>
    </row>
    <row r="658" spans="1:31">
      <c r="A658" s="201" t="s">
        <v>666</v>
      </c>
      <c r="C658" s="201">
        <v>104</v>
      </c>
      <c r="D658" s="201">
        <f>1.0694+F658</f>
        <v>1.2726999999999999</v>
      </c>
      <c r="E658" s="202">
        <v>8.7025000000000006</v>
      </c>
      <c r="F658" s="202">
        <v>0.20330000000000001</v>
      </c>
      <c r="G658" s="201">
        <f t="shared" si="53"/>
        <v>8.905800000000001</v>
      </c>
      <c r="H658" s="201">
        <v>8.7212999999999994</v>
      </c>
      <c r="I658" s="201">
        <f t="shared" si="56"/>
        <v>0.18450000000000166</v>
      </c>
      <c r="J658" s="201">
        <f t="shared" si="54"/>
        <v>1.8799999999998346E-2</v>
      </c>
      <c r="K658" s="280">
        <f t="shared" si="55"/>
        <v>9.2474176094433584</v>
      </c>
      <c r="L658" s="201">
        <v>29</v>
      </c>
      <c r="M658" s="205">
        <v>43174</v>
      </c>
      <c r="N658" s="205">
        <v>43174</v>
      </c>
      <c r="O658" s="201" t="s">
        <v>2556</v>
      </c>
      <c r="P658" s="201" t="s">
        <v>2551</v>
      </c>
      <c r="AB658" s="110" t="str">
        <f>IFERROR(INDEX('WetLitterbags placem_collection'!$A$3:$A$500,MATCH(A658,'WetLitterbags placem_collection'!$K$4:$K$500,0)),"")</f>
        <v/>
      </c>
      <c r="AC658" s="110" t="str">
        <f>IFERROR(INDEX('WetLitterbags placem_collection'!$A$3:$A$500,MATCH($A658,'WetLitterbags placem_collection'!$O$4:$O$500,0)),"")</f>
        <v/>
      </c>
      <c r="AD658" s="110" t="str">
        <f>IFERROR(INDEX('WetLitterbags placem_collection'!$A$3:$A$500,MATCH($A658,'WetLitterbags placem_collection'!$M$4:$M$500,0)),"")</f>
        <v/>
      </c>
      <c r="AE658" s="110">
        <f>IFERROR(INDEX('WetLitterbags placem_collection'!$A$3:$A$500,MATCH($A658,'WetLitterbags placem_collection'!$Q$4:$Q$500,0)),"")</f>
        <v>103</v>
      </c>
    </row>
    <row r="659" spans="1:31">
      <c r="A659" s="206" t="s">
        <v>664</v>
      </c>
      <c r="C659" s="201">
        <v>132</v>
      </c>
      <c r="D659" s="201">
        <v>1.3210999999999999</v>
      </c>
      <c r="E659" s="201">
        <v>7.3539000000000003</v>
      </c>
      <c r="F659" s="201">
        <v>0.20399999999999999</v>
      </c>
      <c r="G659" s="201">
        <f t="shared" si="53"/>
        <v>7.5579000000000001</v>
      </c>
      <c r="H659" s="201">
        <v>7.3631000000000002</v>
      </c>
      <c r="I659" s="201">
        <f t="shared" si="56"/>
        <v>0.19479999999999986</v>
      </c>
      <c r="J659" s="201">
        <f t="shared" si="54"/>
        <v>9.2000000000001247E-3</v>
      </c>
      <c r="K659" s="280">
        <f t="shared" si="55"/>
        <v>4.5098039215686896</v>
      </c>
      <c r="L659" s="201">
        <v>13</v>
      </c>
      <c r="M659" s="205">
        <v>43188</v>
      </c>
      <c r="N659" s="205">
        <v>43188</v>
      </c>
      <c r="O659" s="201"/>
      <c r="P659" s="201"/>
      <c r="AB659" s="110" t="str">
        <f>IFERROR(INDEX('WetLitterbags placem_collection'!$A$3:$A$500,MATCH(A659,'WetLitterbags placem_collection'!$K$4:$K$500,0)),"")</f>
        <v/>
      </c>
      <c r="AC659" s="110" t="str">
        <f>IFERROR(INDEX('WetLitterbags placem_collection'!$A$3:$A$500,MATCH($A659,'WetLitterbags placem_collection'!$O$4:$O$500,0)),"")</f>
        <v/>
      </c>
      <c r="AD659" s="110" t="str">
        <f>IFERROR(INDEX('WetLitterbags placem_collection'!$A$3:$A$500,MATCH($A659,'WetLitterbags placem_collection'!$M$4:$M$500,0)),"")</f>
        <v/>
      </c>
      <c r="AE659" s="110">
        <f>IFERROR(INDEX('WetLitterbags placem_collection'!$A$3:$A$500,MATCH($A659,'WetLitterbags placem_collection'!$Q$4:$Q$500,0)),"")</f>
        <v>131</v>
      </c>
    </row>
    <row r="660" spans="1:31">
      <c r="A660" s="197" t="s">
        <v>662</v>
      </c>
      <c r="C660" s="198">
        <v>153</v>
      </c>
      <c r="D660" s="197">
        <v>1.0609</v>
      </c>
      <c r="E660" s="197">
        <v>11.171900000000001</v>
      </c>
      <c r="F660" s="197">
        <v>0.20050000000000001</v>
      </c>
      <c r="G660" s="201">
        <f t="shared" si="53"/>
        <v>11.372400000000001</v>
      </c>
      <c r="H660" s="201">
        <v>11.3263</v>
      </c>
      <c r="I660" s="201">
        <f t="shared" si="56"/>
        <v>4.6100000000000918E-2</v>
      </c>
      <c r="J660" s="201">
        <f t="shared" si="54"/>
        <v>0.15439999999999909</v>
      </c>
      <c r="K660" s="280">
        <f t="shared" si="55"/>
        <v>77.007481296757646</v>
      </c>
      <c r="L660" s="201">
        <v>21</v>
      </c>
      <c r="P660" s="197" t="s">
        <v>2565</v>
      </c>
      <c r="AB660" s="110" t="str">
        <f>IFERROR(INDEX('WetLitterbags placem_collection'!$A$3:$A$500,MATCH(A660,'WetLitterbags placem_collection'!$K$4:$K$500,0)),"")</f>
        <v/>
      </c>
      <c r="AC660" s="110" t="str">
        <f>IFERROR(INDEX('WetLitterbags placem_collection'!$A$3:$A$500,MATCH($A660,'WetLitterbags placem_collection'!$O$4:$O$500,0)),"")</f>
        <v/>
      </c>
      <c r="AD660" s="110">
        <f>IFERROR(INDEX('WetLitterbags placem_collection'!$A$3:$A$500,MATCH($A660,'WetLitterbags placem_collection'!$M$4:$M$500,0)),"")</f>
        <v>152</v>
      </c>
      <c r="AE660" s="110" t="str">
        <f>IFERROR(INDEX('WetLitterbags placem_collection'!$A$3:$A$500,MATCH($A660,'WetLitterbags placem_collection'!$Q$4:$Q$500,0)),"")</f>
        <v/>
      </c>
    </row>
    <row r="661" spans="1:31">
      <c r="A661" s="197" t="s">
        <v>1093</v>
      </c>
      <c r="C661" s="197">
        <v>58</v>
      </c>
      <c r="D661" s="197">
        <v>0.42230000000000001</v>
      </c>
      <c r="E661" s="197">
        <v>7.8784999999999998</v>
      </c>
      <c r="F661" s="197">
        <v>0.1961</v>
      </c>
      <c r="G661" s="197">
        <f t="shared" si="53"/>
        <v>8.0746000000000002</v>
      </c>
      <c r="H661" s="197">
        <v>7.9294000000000002</v>
      </c>
      <c r="I661" s="197">
        <f t="shared" si="56"/>
        <v>0.1452</v>
      </c>
      <c r="J661" s="201">
        <f t="shared" si="54"/>
        <v>5.0900000000000001E-2</v>
      </c>
      <c r="K661" s="280">
        <f t="shared" si="55"/>
        <v>25.956144824069355</v>
      </c>
      <c r="L661" s="197">
        <v>36</v>
      </c>
      <c r="M661" s="197" t="s">
        <v>2586</v>
      </c>
      <c r="N661" s="197" t="s">
        <v>2585</v>
      </c>
      <c r="O661" s="197" t="s">
        <v>2550</v>
      </c>
      <c r="U661" s="202" t="s">
        <v>1417</v>
      </c>
      <c r="V661" s="197">
        <v>1.024</v>
      </c>
      <c r="W661" s="197">
        <f>(V661-$T$175+F659)</f>
        <v>1.228</v>
      </c>
      <c r="AB661" s="110" t="str">
        <f>IFERROR(INDEX('WetLitterbags placem_collection'!$A$3:$A$500,MATCH(A661,'WetLitterbags placem_collection'!$K$4:$K$500,0)),"")</f>
        <v/>
      </c>
      <c r="AC661" s="110" t="str">
        <f>IFERROR(INDEX('WetLitterbags placem_collection'!$A$3:$A$500,MATCH($A661,'WetLitterbags placem_collection'!$O$4:$O$500,0)),"")</f>
        <v/>
      </c>
      <c r="AD661" s="110">
        <f>IFERROR(INDEX('WetLitterbags placem_collection'!$A$3:$A$500,MATCH($A661,'WetLitterbags placem_collection'!$M$4:$M$500,0)),"")</f>
        <v>57</v>
      </c>
      <c r="AE661" s="110" t="str">
        <f>IFERROR(INDEX('WetLitterbags placem_collection'!$A$3:$A$500,MATCH($A661,'WetLitterbags placem_collection'!$Q$4:$Q$500,0)),"")</f>
        <v/>
      </c>
    </row>
    <row r="662" spans="1:31">
      <c r="A662" s="206" t="s">
        <v>661</v>
      </c>
      <c r="C662" s="201">
        <v>116</v>
      </c>
      <c r="D662" s="206">
        <v>1.2506999999999999</v>
      </c>
      <c r="E662" s="202">
        <v>7.7732000000000001</v>
      </c>
      <c r="F662" s="202">
        <v>0.20030000000000001</v>
      </c>
      <c r="G662" s="201">
        <f t="shared" si="53"/>
        <v>7.9735000000000005</v>
      </c>
      <c r="H662" s="201">
        <v>7.7914000000000003</v>
      </c>
      <c r="I662" s="201">
        <f t="shared" si="56"/>
        <v>0.18210000000000015</v>
      </c>
      <c r="J662" s="201">
        <f t="shared" si="54"/>
        <v>1.8199999999999855E-2</v>
      </c>
      <c r="K662" s="280">
        <f t="shared" si="55"/>
        <v>9.0863704443334274</v>
      </c>
      <c r="L662" s="201">
        <v>13</v>
      </c>
      <c r="M662" s="203">
        <v>43181.645833333336</v>
      </c>
      <c r="N662" s="203">
        <v>43181.833333333336</v>
      </c>
      <c r="O662" s="201" t="s">
        <v>2556</v>
      </c>
      <c r="P662" s="201"/>
      <c r="AB662" s="110" t="str">
        <f>IFERROR(INDEX('WetLitterbags placem_collection'!$A$3:$A$500,MATCH(A662,'WetLitterbags placem_collection'!$K$4:$K$500,0)),"")</f>
        <v/>
      </c>
      <c r="AC662" s="110" t="str">
        <f>IFERROR(INDEX('WetLitterbags placem_collection'!$A$3:$A$500,MATCH($A662,'WetLitterbags placem_collection'!$O$4:$O$500,0)),"")</f>
        <v/>
      </c>
      <c r="AD662" s="110" t="str">
        <f>IFERROR(INDEX('WetLitterbags placem_collection'!$A$3:$A$500,MATCH($A662,'WetLitterbags placem_collection'!$M$4:$M$500,0)),"")</f>
        <v/>
      </c>
      <c r="AE662" s="110">
        <f>IFERROR(INDEX('WetLitterbags placem_collection'!$A$3:$A$500,MATCH($A662,'WetLitterbags placem_collection'!$Q$4:$Q$500,0)),"")</f>
        <v>115</v>
      </c>
    </row>
    <row r="663" spans="1:31">
      <c r="A663" s="202" t="s">
        <v>660</v>
      </c>
      <c r="C663" s="201">
        <v>175</v>
      </c>
      <c r="D663" s="201">
        <v>1.4577</v>
      </c>
      <c r="E663" s="201">
        <v>8.7330000000000005</v>
      </c>
      <c r="F663" s="201">
        <v>0.20499999999999999</v>
      </c>
      <c r="G663" s="201">
        <f t="shared" si="53"/>
        <v>8.9380000000000006</v>
      </c>
      <c r="H663" s="201">
        <v>8.7789000000000001</v>
      </c>
      <c r="I663" s="201">
        <f t="shared" si="56"/>
        <v>0.15910000000000046</v>
      </c>
      <c r="J663" s="201">
        <f t="shared" si="54"/>
        <v>4.5899999999999525E-2</v>
      </c>
      <c r="K663" s="280">
        <f t="shared" si="55"/>
        <v>22.390243902438794</v>
      </c>
      <c r="L663" s="201">
        <v>2</v>
      </c>
      <c r="M663" s="205">
        <v>43173</v>
      </c>
      <c r="N663" s="205">
        <v>43173</v>
      </c>
      <c r="O663" s="201" t="s">
        <v>2556</v>
      </c>
      <c r="P663" s="201"/>
      <c r="AB663" s="110" t="str">
        <f>IFERROR(INDEX('WetLitterbags placem_collection'!$A$3:$A$500,MATCH(A663,'WetLitterbags placem_collection'!$K$4:$K$500,0)),"")</f>
        <v/>
      </c>
      <c r="AC663" s="110" t="str">
        <f>IFERROR(INDEX('WetLitterbags placem_collection'!$A$3:$A$500,MATCH($A663,'WetLitterbags placem_collection'!$O$4:$O$500,0)),"")</f>
        <v/>
      </c>
      <c r="AD663" s="110" t="str">
        <f>IFERROR(INDEX('WetLitterbags placem_collection'!$A$3:$A$500,MATCH($A663,'WetLitterbags placem_collection'!$M$4:$M$500,0)),"")</f>
        <v/>
      </c>
      <c r="AE663" s="110">
        <f>IFERROR(INDEX('WetLitterbags placem_collection'!$A$3:$A$500,MATCH($A663,'WetLitterbags placem_collection'!$Q$4:$Q$500,0)),"")</f>
        <v>174</v>
      </c>
    </row>
    <row r="664" spans="1:31">
      <c r="A664" s="197" t="s">
        <v>659</v>
      </c>
      <c r="C664" s="198">
        <v>101</v>
      </c>
      <c r="D664" s="197">
        <v>1.4098999999999999</v>
      </c>
      <c r="E664" s="202">
        <v>11.0875</v>
      </c>
      <c r="F664" s="202">
        <v>0.20599999999999999</v>
      </c>
      <c r="G664" s="201">
        <f t="shared" si="53"/>
        <v>11.2935</v>
      </c>
      <c r="H664" s="201">
        <v>11.106</v>
      </c>
      <c r="I664" s="201">
        <f t="shared" si="56"/>
        <v>0.1875</v>
      </c>
      <c r="J664" s="201">
        <f t="shared" si="54"/>
        <v>1.8499999999999989E-2</v>
      </c>
      <c r="K664" s="280">
        <f t="shared" si="55"/>
        <v>8.9805825242718385</v>
      </c>
      <c r="L664" s="201">
        <v>30</v>
      </c>
      <c r="M664" s="204">
        <v>43221</v>
      </c>
      <c r="N664" s="204">
        <v>43221</v>
      </c>
      <c r="AB664" s="110" t="str">
        <f>IFERROR(INDEX('WetLitterbags placem_collection'!$A$3:$A$500,MATCH(A664,'WetLitterbags placem_collection'!$K$4:$K$500,0)),"")</f>
        <v/>
      </c>
      <c r="AC664" s="110" t="str">
        <f>IFERROR(INDEX('WetLitterbags placem_collection'!$A$3:$A$500,MATCH($A664,'WetLitterbags placem_collection'!$O$4:$O$500,0)),"")</f>
        <v/>
      </c>
      <c r="AD664" s="110">
        <f>IFERROR(INDEX('WetLitterbags placem_collection'!$A$3:$A$500,MATCH($A664,'WetLitterbags placem_collection'!$M$4:$M$500,0)),"")</f>
        <v>100</v>
      </c>
      <c r="AE664" s="110" t="str">
        <f>IFERROR(INDEX('WetLitterbags placem_collection'!$A$3:$A$500,MATCH($A664,'WetLitterbags placem_collection'!$Q$4:$Q$500,0)),"")</f>
        <v/>
      </c>
    </row>
    <row r="665" spans="1:31">
      <c r="A665" s="201" t="s">
        <v>658</v>
      </c>
      <c r="C665" s="201">
        <v>137</v>
      </c>
      <c r="D665" s="202">
        <v>1.4925999999999999</v>
      </c>
      <c r="E665" s="201">
        <v>7.9610000000000003</v>
      </c>
      <c r="F665" s="202">
        <v>0.2049</v>
      </c>
      <c r="G665" s="201">
        <f t="shared" si="53"/>
        <v>8.1659000000000006</v>
      </c>
      <c r="H665" s="201">
        <v>7.9843000000000002</v>
      </c>
      <c r="I665" s="201">
        <f t="shared" si="56"/>
        <v>0.18160000000000043</v>
      </c>
      <c r="J665" s="201">
        <f t="shared" si="54"/>
        <v>2.3299999999999571E-2</v>
      </c>
      <c r="K665" s="280">
        <f t="shared" si="55"/>
        <v>11.371400683259917</v>
      </c>
      <c r="L665" s="201">
        <v>25</v>
      </c>
      <c r="M665" s="205">
        <v>43206</v>
      </c>
      <c r="N665" s="205">
        <v>43206</v>
      </c>
      <c r="O665" s="201"/>
      <c r="P665" s="201"/>
      <c r="AB665" s="110" t="str">
        <f>IFERROR(INDEX('WetLitterbags placem_collection'!$A$3:$A$500,MATCH(A665,'WetLitterbags placem_collection'!$K$4:$K$500,0)),"")</f>
        <v/>
      </c>
      <c r="AC665" s="110" t="str">
        <f>IFERROR(INDEX('WetLitterbags placem_collection'!$A$3:$A$500,MATCH($A665,'WetLitterbags placem_collection'!$O$4:$O$500,0)),"")</f>
        <v/>
      </c>
      <c r="AD665" s="110" t="str">
        <f>IFERROR(INDEX('WetLitterbags placem_collection'!$A$3:$A$500,MATCH($A665,'WetLitterbags placem_collection'!$M$4:$M$500,0)),"")</f>
        <v/>
      </c>
      <c r="AE665" s="110">
        <f>IFERROR(INDEX('WetLitterbags placem_collection'!$A$3:$A$500,MATCH($A665,'WetLitterbags placem_collection'!$Q$4:$Q$500,0)),"")</f>
        <v>136</v>
      </c>
    </row>
    <row r="666" spans="1:31">
      <c r="A666" s="201" t="s">
        <v>657</v>
      </c>
      <c r="C666" s="201">
        <v>155</v>
      </c>
      <c r="D666" s="202">
        <v>1.4883</v>
      </c>
      <c r="E666" s="201">
        <v>11.0893</v>
      </c>
      <c r="F666" s="202">
        <v>0.2026</v>
      </c>
      <c r="G666" s="201">
        <f t="shared" si="53"/>
        <v>11.2919</v>
      </c>
      <c r="H666" s="201">
        <v>11.1092</v>
      </c>
      <c r="I666" s="201">
        <f t="shared" si="56"/>
        <v>0.18270000000000053</v>
      </c>
      <c r="J666" s="201">
        <f t="shared" si="54"/>
        <v>1.9899999999999474E-2</v>
      </c>
      <c r="K666" s="280">
        <f t="shared" si="55"/>
        <v>9.822309970384735</v>
      </c>
      <c r="L666" s="201">
        <v>22</v>
      </c>
      <c r="M666" s="205">
        <v>43206</v>
      </c>
      <c r="N666" s="205">
        <v>43206</v>
      </c>
      <c r="O666" s="201"/>
      <c r="P666" s="201"/>
      <c r="AB666" s="110" t="str">
        <f>IFERROR(INDEX('WetLitterbags placem_collection'!$A$3:$A$500,MATCH(A666,'WetLitterbags placem_collection'!$K$4:$K$500,0)),"")</f>
        <v/>
      </c>
      <c r="AC666" s="110" t="str">
        <f>IFERROR(INDEX('WetLitterbags placem_collection'!$A$3:$A$500,MATCH($A666,'WetLitterbags placem_collection'!$O$4:$O$500,0)),"")</f>
        <v/>
      </c>
      <c r="AD666" s="110">
        <f>IFERROR(INDEX('WetLitterbags placem_collection'!$A$3:$A$500,MATCH($A666,'WetLitterbags placem_collection'!$M$4:$M$500,0)),"")</f>
        <v>154</v>
      </c>
      <c r="AE666" s="110" t="str">
        <f>IFERROR(INDEX('WetLitterbags placem_collection'!$A$3:$A$500,MATCH($A666,'WetLitterbags placem_collection'!$Q$4:$Q$500,0)),"")</f>
        <v/>
      </c>
    </row>
    <row r="667" spans="1:31">
      <c r="A667" s="206" t="s">
        <v>656</v>
      </c>
      <c r="C667" s="201">
        <v>154</v>
      </c>
      <c r="D667" s="201">
        <v>1.516</v>
      </c>
      <c r="E667" s="202">
        <v>7.0930999999999997</v>
      </c>
      <c r="F667" s="202">
        <v>0.20630000000000001</v>
      </c>
      <c r="G667" s="201">
        <f t="shared" si="53"/>
        <v>7.2993999999999994</v>
      </c>
      <c r="H667" s="201">
        <v>7.1177000000000001</v>
      </c>
      <c r="I667" s="201">
        <f t="shared" si="56"/>
        <v>0.18169999999999931</v>
      </c>
      <c r="J667" s="201">
        <f t="shared" si="54"/>
        <v>2.4600000000000705E-2</v>
      </c>
      <c r="K667" s="280">
        <f t="shared" si="55"/>
        <v>11.924381968008097</v>
      </c>
      <c r="L667" s="201">
        <v>24</v>
      </c>
      <c r="M667" s="207">
        <v>43186.458333333336</v>
      </c>
      <c r="N667" s="207">
        <v>43186.625</v>
      </c>
      <c r="O667" s="197" t="s">
        <v>2550</v>
      </c>
      <c r="P667" s="201"/>
      <c r="AB667" s="110" t="str">
        <f>IFERROR(INDEX('WetLitterbags placem_collection'!$A$3:$A$500,MATCH(A667,'WetLitterbags placem_collection'!$K$4:$K$500,0)),"")</f>
        <v/>
      </c>
      <c r="AC667" s="110" t="str">
        <f>IFERROR(INDEX('WetLitterbags placem_collection'!$A$3:$A$500,MATCH($A667,'WetLitterbags placem_collection'!$O$4:$O$500,0)),"")</f>
        <v/>
      </c>
      <c r="AD667" s="110" t="str">
        <f>IFERROR(INDEX('WetLitterbags placem_collection'!$A$3:$A$500,MATCH($A667,'WetLitterbags placem_collection'!$M$4:$M$500,0)),"")</f>
        <v/>
      </c>
      <c r="AE667" s="110">
        <f>IFERROR(INDEX('WetLitterbags placem_collection'!$A$3:$A$500,MATCH($A667,'WetLitterbags placem_collection'!$Q$4:$Q$500,0)),"")</f>
        <v>153</v>
      </c>
    </row>
    <row r="668" spans="1:31">
      <c r="A668" s="201" t="s">
        <v>655</v>
      </c>
      <c r="C668" s="201">
        <v>125</v>
      </c>
      <c r="D668" s="201">
        <v>1.1584000000000001</v>
      </c>
      <c r="E668" s="202">
        <v>8.7596000000000007</v>
      </c>
      <c r="F668" s="202">
        <v>0.2006</v>
      </c>
      <c r="G668" s="201">
        <f t="shared" si="53"/>
        <v>8.9602000000000004</v>
      </c>
      <c r="H668" s="201">
        <v>8.7681000000000004</v>
      </c>
      <c r="I668" s="201">
        <f t="shared" si="56"/>
        <v>0.19209999999999994</v>
      </c>
      <c r="J668" s="201">
        <f t="shared" si="54"/>
        <v>8.5000000000000631E-3</v>
      </c>
      <c r="K668" s="280">
        <f t="shared" si="55"/>
        <v>4.2372881355932517</v>
      </c>
      <c r="L668" s="201">
        <v>13</v>
      </c>
      <c r="M668" s="205">
        <v>43197</v>
      </c>
      <c r="N668" s="205">
        <v>43197</v>
      </c>
      <c r="O668" s="201"/>
      <c r="P668" s="201"/>
      <c r="AB668" s="110" t="str">
        <f>IFERROR(INDEX('WetLitterbags placem_collection'!$A$3:$A$500,MATCH(A668,'WetLitterbags placem_collection'!$K$4:$K$500,0)),"")</f>
        <v/>
      </c>
      <c r="AC668" s="110" t="str">
        <f>IFERROR(INDEX('WetLitterbags placem_collection'!$A$3:$A$500,MATCH($A668,'WetLitterbags placem_collection'!$O$4:$O$500,0)),"")</f>
        <v/>
      </c>
      <c r="AD668" s="110" t="str">
        <f>IFERROR(INDEX('WetLitterbags placem_collection'!$A$3:$A$500,MATCH($A668,'WetLitterbags placem_collection'!$M$4:$M$500,0)),"")</f>
        <v/>
      </c>
      <c r="AE668" s="110">
        <f>IFERROR(INDEX('WetLitterbags placem_collection'!$A$3:$A$500,MATCH($A668,'WetLitterbags placem_collection'!$Q$4:$Q$500,0)),"")</f>
        <v>124</v>
      </c>
    </row>
    <row r="669" spans="1:31">
      <c r="A669" s="201" t="s">
        <v>654</v>
      </c>
      <c r="C669" s="201">
        <v>111</v>
      </c>
      <c r="D669" s="197">
        <v>1.3611</v>
      </c>
      <c r="E669" s="202">
        <v>7.9935999999999998</v>
      </c>
      <c r="F669" s="202">
        <v>0.20330000000000001</v>
      </c>
      <c r="G669" s="201">
        <f t="shared" si="53"/>
        <v>8.1968999999999994</v>
      </c>
      <c r="H669" s="201">
        <v>8.0063999999999993</v>
      </c>
      <c r="I669" s="201">
        <f t="shared" si="56"/>
        <v>0.19050000000000011</v>
      </c>
      <c r="J669" s="201">
        <f t="shared" si="54"/>
        <v>1.2799999999999895E-2</v>
      </c>
      <c r="K669" s="280">
        <f t="shared" si="55"/>
        <v>6.2961141170683206</v>
      </c>
      <c r="L669" s="201">
        <v>44</v>
      </c>
      <c r="M669" s="207">
        <v>43186.458333333336</v>
      </c>
      <c r="N669" s="207">
        <v>43186.625</v>
      </c>
      <c r="O669" s="197" t="s">
        <v>2550</v>
      </c>
      <c r="P669" s="201"/>
      <c r="AB669" s="110" t="str">
        <f>IFERROR(INDEX('WetLitterbags placem_collection'!$A$3:$A$500,MATCH(A669,'WetLitterbags placem_collection'!$K$4:$K$500,0)),"")</f>
        <v/>
      </c>
      <c r="AC669" s="110" t="str">
        <f>IFERROR(INDEX('WetLitterbags placem_collection'!$A$3:$A$500,MATCH($A669,'WetLitterbags placem_collection'!$O$4:$O$500,0)),"")</f>
        <v/>
      </c>
      <c r="AD669" s="110" t="str">
        <f>IFERROR(INDEX('WetLitterbags placem_collection'!$A$3:$A$500,MATCH($A669,'WetLitterbags placem_collection'!$M$4:$M$500,0)),"")</f>
        <v/>
      </c>
      <c r="AE669" s="110">
        <f>IFERROR(INDEX('WetLitterbags placem_collection'!$A$3:$A$500,MATCH($A669,'WetLitterbags placem_collection'!$Q$4:$Q$500,0)),"")</f>
        <v>110</v>
      </c>
    </row>
    <row r="670" spans="1:31">
      <c r="A670" s="201" t="s">
        <v>653</v>
      </c>
      <c r="C670" s="201">
        <v>178</v>
      </c>
      <c r="D670" s="197">
        <v>1.4132</v>
      </c>
      <c r="E670" s="197">
        <v>7.9055999999999997</v>
      </c>
      <c r="F670" s="197">
        <v>0.2019</v>
      </c>
      <c r="G670" s="197">
        <f t="shared" si="53"/>
        <v>8.1074999999999999</v>
      </c>
      <c r="H670" s="197">
        <v>7.9097999999999997</v>
      </c>
      <c r="I670" s="197">
        <f t="shared" si="56"/>
        <v>0.19770000000000021</v>
      </c>
      <c r="J670" s="201">
        <f t="shared" si="54"/>
        <v>4.1999999999997872E-3</v>
      </c>
      <c r="K670" s="280">
        <f t="shared" si="55"/>
        <v>2.0802377414560613</v>
      </c>
      <c r="L670" s="197">
        <v>14</v>
      </c>
      <c r="M670" s="207">
        <v>43160.520833333336</v>
      </c>
      <c r="N670" s="207">
        <v>43160.6875</v>
      </c>
      <c r="O670" s="197" t="s">
        <v>2550</v>
      </c>
      <c r="AB670" s="110" t="str">
        <f>IFERROR(INDEX('WetLitterbags placem_collection'!$A$3:$A$500,MATCH(A670,'WetLitterbags placem_collection'!$K$4:$K$500,0)),"")</f>
        <v/>
      </c>
      <c r="AC670" s="110" t="str">
        <f>IFERROR(INDEX('WetLitterbags placem_collection'!$A$3:$A$500,MATCH($A670,'WetLitterbags placem_collection'!$O$4:$O$500,0)),"")</f>
        <v/>
      </c>
      <c r="AD670" s="110" t="str">
        <f>IFERROR(INDEX('WetLitterbags placem_collection'!$A$3:$A$500,MATCH($A670,'WetLitterbags placem_collection'!$M$4:$M$500,0)),"")</f>
        <v/>
      </c>
      <c r="AE670" s="110">
        <f>IFERROR(INDEX('WetLitterbags placem_collection'!$A$3:$A$500,MATCH($A670,'WetLitterbags placem_collection'!$Q$4:$Q$500,0)),"")</f>
        <v>177</v>
      </c>
    </row>
    <row r="671" spans="1:31">
      <c r="A671" s="206" t="s">
        <v>652</v>
      </c>
      <c r="C671" s="201">
        <v>98</v>
      </c>
      <c r="D671" s="201">
        <v>1.3002</v>
      </c>
      <c r="E671" s="202">
        <v>10.500999999999999</v>
      </c>
      <c r="F671" s="202">
        <v>0.2019</v>
      </c>
      <c r="G671" s="201">
        <f t="shared" si="53"/>
        <v>10.7029</v>
      </c>
      <c r="H671" s="201">
        <v>10.5266</v>
      </c>
      <c r="I671" s="201">
        <f t="shared" si="56"/>
        <v>0.17629999999999946</v>
      </c>
      <c r="J671" s="201">
        <f t="shared" si="54"/>
        <v>2.5600000000000539E-2</v>
      </c>
      <c r="K671" s="280">
        <f t="shared" si="55"/>
        <v>12.679544328875947</v>
      </c>
      <c r="L671" s="201">
        <v>23</v>
      </c>
      <c r="M671" s="207">
        <v>43185.385416666664</v>
      </c>
      <c r="N671" s="201"/>
      <c r="O671" s="201" t="s">
        <v>2556</v>
      </c>
      <c r="P671" s="201"/>
      <c r="AB671" s="110" t="str">
        <f>IFERROR(INDEX('WetLitterbags placem_collection'!$A$3:$A$500,MATCH(A671,'WetLitterbags placem_collection'!$K$4:$K$500,0)),"")</f>
        <v/>
      </c>
      <c r="AC671" s="110" t="str">
        <f>IFERROR(INDEX('WetLitterbags placem_collection'!$A$3:$A$500,MATCH($A671,'WetLitterbags placem_collection'!$O$4:$O$500,0)),"")</f>
        <v/>
      </c>
      <c r="AD671" s="110">
        <f>IFERROR(INDEX('WetLitterbags placem_collection'!$A$3:$A$500,MATCH($A671,'WetLitterbags placem_collection'!$M$4:$M$500,0)),"")</f>
        <v>97</v>
      </c>
      <c r="AE671" s="110" t="str">
        <f>IFERROR(INDEX('WetLitterbags placem_collection'!$A$3:$A$500,MATCH($A671,'WetLitterbags placem_collection'!$Q$4:$Q$500,0)),"")</f>
        <v/>
      </c>
    </row>
    <row r="672" spans="1:31">
      <c r="A672" s="206" t="s">
        <v>1092</v>
      </c>
      <c r="C672" s="201">
        <v>84</v>
      </c>
      <c r="D672" s="201">
        <v>1.3726</v>
      </c>
      <c r="E672" s="202">
        <v>8.8621999999999996</v>
      </c>
      <c r="F672" s="202">
        <v>0.2051</v>
      </c>
      <c r="G672" s="201">
        <f t="shared" si="53"/>
        <v>9.0672999999999995</v>
      </c>
      <c r="H672" s="201">
        <v>8.8803000000000001</v>
      </c>
      <c r="I672" s="201">
        <f t="shared" si="56"/>
        <v>0.18699999999999939</v>
      </c>
      <c r="J672" s="201">
        <f t="shared" si="54"/>
        <v>1.8100000000000616E-2</v>
      </c>
      <c r="K672" s="280">
        <f t="shared" si="55"/>
        <v>8.8249634324722646</v>
      </c>
      <c r="L672" s="201">
        <v>4</v>
      </c>
      <c r="M672" s="207">
        <v>43186.458333333336</v>
      </c>
      <c r="N672" s="207">
        <v>43186.625</v>
      </c>
      <c r="O672" s="197" t="s">
        <v>2550</v>
      </c>
      <c r="P672" s="201"/>
      <c r="AB672" s="110" t="str">
        <f>IFERROR(INDEX('WetLitterbags placem_collection'!$A$3:$A$500,MATCH(A672,'WetLitterbags placem_collection'!$K$4:$K$500,0)),"")</f>
        <v/>
      </c>
      <c r="AC672" s="110" t="str">
        <f>IFERROR(INDEX('WetLitterbags placem_collection'!$A$3:$A$500,MATCH($A672,'WetLitterbags placem_collection'!$O$4:$O$500,0)),"")</f>
        <v/>
      </c>
      <c r="AD672" s="110">
        <f>IFERROR(INDEX('WetLitterbags placem_collection'!$A$3:$A$500,MATCH($A672,'WetLitterbags placem_collection'!$M$4:$M$500,0)),"")</f>
        <v>83</v>
      </c>
      <c r="AE672" s="110" t="str">
        <f>IFERROR(INDEX('WetLitterbags placem_collection'!$A$3:$A$500,MATCH($A672,'WetLitterbags placem_collection'!$Q$4:$Q$500,0)),"")</f>
        <v/>
      </c>
    </row>
    <row r="673" spans="1:31">
      <c r="A673" s="202" t="s">
        <v>651</v>
      </c>
      <c r="C673" s="201">
        <v>176</v>
      </c>
      <c r="D673" s="201">
        <v>1.4691999999999998</v>
      </c>
      <c r="E673" s="201">
        <v>8.9580000000000002</v>
      </c>
      <c r="F673" s="201">
        <v>0.20050000000000001</v>
      </c>
      <c r="G673" s="201">
        <f t="shared" si="53"/>
        <v>9.1585000000000001</v>
      </c>
      <c r="H673" s="201">
        <v>8.9633000000000003</v>
      </c>
      <c r="I673" s="201">
        <f t="shared" si="56"/>
        <v>0.19519999999999982</v>
      </c>
      <c r="J673" s="201">
        <f t="shared" si="54"/>
        <v>5.3000000000001934E-3</v>
      </c>
      <c r="K673" s="280">
        <f t="shared" si="55"/>
        <v>2.6433915211971035</v>
      </c>
      <c r="L673" s="201">
        <v>17</v>
      </c>
      <c r="M673" s="205">
        <v>43173</v>
      </c>
      <c r="N673" s="205">
        <v>43173</v>
      </c>
      <c r="O673" s="201" t="s">
        <v>2556</v>
      </c>
      <c r="P673" s="201" t="s">
        <v>2555</v>
      </c>
      <c r="AB673" s="110" t="str">
        <f>IFERROR(INDEX('WetLitterbags placem_collection'!$A$3:$A$500,MATCH(A673,'WetLitterbags placem_collection'!$K$4:$K$500,0)),"")</f>
        <v/>
      </c>
      <c r="AC673" s="110" t="str">
        <f>IFERROR(INDEX('WetLitterbags placem_collection'!$A$3:$A$500,MATCH($A673,'WetLitterbags placem_collection'!$O$4:$O$500,0)),"")</f>
        <v/>
      </c>
      <c r="AD673" s="110" t="str">
        <f>IFERROR(INDEX('WetLitterbags placem_collection'!$A$3:$A$500,MATCH($A673,'WetLitterbags placem_collection'!$M$4:$M$500,0)),"")</f>
        <v/>
      </c>
      <c r="AE673" s="110">
        <f>IFERROR(INDEX('WetLitterbags placem_collection'!$A$3:$A$500,MATCH($A673,'WetLitterbags placem_collection'!$Q$4:$Q$500,0)),"")</f>
        <v>175</v>
      </c>
    </row>
    <row r="674" spans="1:31">
      <c r="A674" s="197" t="s">
        <v>649</v>
      </c>
      <c r="C674" s="197">
        <v>146</v>
      </c>
      <c r="D674" s="197">
        <v>1.4488000000000001</v>
      </c>
      <c r="E674" s="197">
        <v>9.3224</v>
      </c>
      <c r="F674" s="197">
        <v>0.2069</v>
      </c>
      <c r="G674" s="197">
        <f t="shared" si="53"/>
        <v>9.5292999999999992</v>
      </c>
      <c r="H674" s="197">
        <v>9.3308</v>
      </c>
      <c r="I674" s="197">
        <f t="shared" si="56"/>
        <v>0.19849999999999923</v>
      </c>
      <c r="J674" s="201">
        <f t="shared" si="54"/>
        <v>8.400000000000768E-3</v>
      </c>
      <c r="K674" s="280">
        <f t="shared" si="55"/>
        <v>4.0599323344614637</v>
      </c>
      <c r="L674" s="197">
        <v>13</v>
      </c>
      <c r="M674" s="197">
        <v>43157.527777777781</v>
      </c>
      <c r="N674" s="197">
        <v>43157.694444444445</v>
      </c>
      <c r="O674" s="197" t="s">
        <v>2556</v>
      </c>
      <c r="AB674" s="110" t="str">
        <f>IFERROR(INDEX('WetLitterbags placem_collection'!$A$3:$A$500,MATCH(A674,'WetLitterbags placem_collection'!$K$4:$K$500,0)),"")</f>
        <v/>
      </c>
      <c r="AC674" s="110" t="str">
        <f>IFERROR(INDEX('WetLitterbags placem_collection'!$A$3:$A$500,MATCH($A674,'WetLitterbags placem_collection'!$O$4:$O$500,0)),"")</f>
        <v/>
      </c>
      <c r="AD674" s="110">
        <f>IFERROR(INDEX('WetLitterbags placem_collection'!$A$3:$A$500,MATCH($A674,'WetLitterbags placem_collection'!$M$4:$M$500,0)),"")</f>
        <v>145</v>
      </c>
      <c r="AE674" s="110" t="str">
        <f>IFERROR(INDEX('WetLitterbags placem_collection'!$A$3:$A$500,MATCH($A674,'WetLitterbags placem_collection'!$Q$4:$Q$500,0)),"")</f>
        <v/>
      </c>
    </row>
    <row r="675" spans="1:31">
      <c r="A675" s="201" t="s">
        <v>647</v>
      </c>
      <c r="C675" s="201">
        <v>103</v>
      </c>
      <c r="D675" s="202">
        <v>1.4354</v>
      </c>
      <c r="E675" s="201">
        <v>7.7148000000000003</v>
      </c>
      <c r="F675" s="202">
        <v>0.2031</v>
      </c>
      <c r="G675" s="201">
        <f t="shared" si="53"/>
        <v>7.9179000000000004</v>
      </c>
      <c r="H675" s="201">
        <v>7.7256</v>
      </c>
      <c r="I675" s="201">
        <f t="shared" si="56"/>
        <v>0.19230000000000036</v>
      </c>
      <c r="J675" s="201">
        <f t="shared" si="54"/>
        <v>1.0799999999999643E-2</v>
      </c>
      <c r="K675" s="280">
        <f t="shared" si="55"/>
        <v>5.3175775480057332</v>
      </c>
      <c r="L675" s="201">
        <v>25</v>
      </c>
      <c r="M675" s="201"/>
      <c r="N675" s="201"/>
      <c r="O675" s="201"/>
      <c r="P675" s="201"/>
      <c r="AB675" s="110" t="str">
        <f>IFERROR(INDEX('WetLitterbags placem_collection'!$A$3:$A$500,MATCH(A675,'WetLitterbags placem_collection'!$K$4:$K$500,0)),"")</f>
        <v/>
      </c>
      <c r="AC675" s="110" t="str">
        <f>IFERROR(INDEX('WetLitterbags placem_collection'!$A$3:$A$500,MATCH($A675,'WetLitterbags placem_collection'!$O$4:$O$500,0)),"")</f>
        <v/>
      </c>
      <c r="AD675" s="110" t="str">
        <f>IFERROR(INDEX('WetLitterbags placem_collection'!$A$3:$A$500,MATCH($A675,'WetLitterbags placem_collection'!$M$4:$M$500,0)),"")</f>
        <v/>
      </c>
      <c r="AE675" s="110">
        <f>IFERROR(INDEX('WetLitterbags placem_collection'!$A$3:$A$500,MATCH($A675,'WetLitterbags placem_collection'!$Q$4:$Q$500,0)),"")</f>
        <v>102</v>
      </c>
    </row>
    <row r="676" spans="1:31">
      <c r="A676" s="206" t="s">
        <v>646</v>
      </c>
      <c r="C676" s="201">
        <v>118</v>
      </c>
      <c r="D676" s="202">
        <v>1.0033000000000001</v>
      </c>
      <c r="E676" s="202">
        <v>9.0030999999999999</v>
      </c>
      <c r="F676" s="202">
        <v>0.20230000000000001</v>
      </c>
      <c r="G676" s="201">
        <f t="shared" si="53"/>
        <v>9.2053999999999991</v>
      </c>
      <c r="H676" s="201">
        <v>9.1862999999999992</v>
      </c>
      <c r="I676" s="201">
        <f t="shared" si="56"/>
        <v>1.9099999999999895E-2</v>
      </c>
      <c r="J676" s="201">
        <f t="shared" si="54"/>
        <v>0.18320000000000011</v>
      </c>
      <c r="K676" s="280">
        <f t="shared" si="55"/>
        <v>90.558576371725209</v>
      </c>
      <c r="L676" s="201">
        <v>18</v>
      </c>
      <c r="M676" s="201"/>
      <c r="N676" s="201"/>
      <c r="O676" s="201"/>
      <c r="P676" s="201"/>
      <c r="AB676" s="110" t="str">
        <f>IFERROR(INDEX('WetLitterbags placem_collection'!$A$3:$A$500,MATCH(A676,'WetLitterbags placem_collection'!$K$4:$K$500,0)),"")</f>
        <v/>
      </c>
      <c r="AC676" s="110" t="str">
        <f>IFERROR(INDEX('WetLitterbags placem_collection'!$A$3:$A$500,MATCH($A676,'WetLitterbags placem_collection'!$O$4:$O$500,0)),"")</f>
        <v/>
      </c>
      <c r="AD676" s="110">
        <f>IFERROR(INDEX('WetLitterbags placem_collection'!$A$3:$A$500,MATCH($A676,'WetLitterbags placem_collection'!$M$4:$M$500,0)),"")</f>
        <v>117</v>
      </c>
      <c r="AE676" s="110" t="str">
        <f>IFERROR(INDEX('WetLitterbags placem_collection'!$A$3:$A$500,MATCH($A676,'WetLitterbags placem_collection'!$Q$4:$Q$500,0)),"")</f>
        <v/>
      </c>
    </row>
    <row r="677" spans="1:31">
      <c r="A677" s="197" t="s">
        <v>645</v>
      </c>
      <c r="C677" s="197">
        <v>99</v>
      </c>
      <c r="D677" s="197">
        <v>1.2661</v>
      </c>
      <c r="E677" s="197">
        <v>20.849900000000002</v>
      </c>
      <c r="F677" s="197">
        <v>0.2036</v>
      </c>
      <c r="G677" s="197">
        <f t="shared" si="53"/>
        <v>21.053500000000003</v>
      </c>
      <c r="H677" s="197">
        <v>20.864799999999999</v>
      </c>
      <c r="I677" s="197">
        <f t="shared" si="56"/>
        <v>0.18870000000000431</v>
      </c>
      <c r="J677" s="201">
        <f t="shared" si="54"/>
        <v>1.4899999999995694E-2</v>
      </c>
      <c r="K677" s="280">
        <f t="shared" si="55"/>
        <v>7.3182711198407153</v>
      </c>
      <c r="L677" s="197">
        <v>2</v>
      </c>
      <c r="M677" s="197" t="s">
        <v>2576</v>
      </c>
      <c r="N677" s="197">
        <v>43153.729166666664</v>
      </c>
      <c r="O677" s="197" t="s">
        <v>2550</v>
      </c>
      <c r="P677" s="197" t="s">
        <v>2574</v>
      </c>
      <c r="AB677" s="110" t="str">
        <f>IFERROR(INDEX('WetLitterbags placem_collection'!$A$3:$A$500,MATCH(A677,'WetLitterbags placem_collection'!$K$4:$K$500,0)),"")</f>
        <v/>
      </c>
      <c r="AC677" s="110" t="str">
        <f>IFERROR(INDEX('WetLitterbags placem_collection'!$A$3:$A$500,MATCH($A677,'WetLitterbags placem_collection'!$O$4:$O$500,0)),"")</f>
        <v/>
      </c>
      <c r="AD677" s="110" t="str">
        <f>IFERROR(INDEX('WetLitterbags placem_collection'!$A$3:$A$500,MATCH($A677,'WetLitterbags placem_collection'!$M$4:$M$500,0)),"")</f>
        <v/>
      </c>
      <c r="AE677" s="110">
        <f>IFERROR(INDEX('WetLitterbags placem_collection'!$A$3:$A$500,MATCH($A677,'WetLitterbags placem_collection'!$Q$4:$Q$500,0)),"")</f>
        <v>98</v>
      </c>
    </row>
    <row r="678" spans="1:31">
      <c r="A678" s="206" t="s">
        <v>644</v>
      </c>
      <c r="C678" s="201">
        <v>100</v>
      </c>
      <c r="D678" s="201">
        <v>1.3843000000000001</v>
      </c>
      <c r="E678" s="201">
        <v>10.5207</v>
      </c>
      <c r="F678" s="201">
        <v>0.20019999999999999</v>
      </c>
      <c r="G678" s="201">
        <f t="shared" si="53"/>
        <v>10.7209</v>
      </c>
      <c r="H678" s="201">
        <v>10.535399999999999</v>
      </c>
      <c r="I678" s="201">
        <f t="shared" si="56"/>
        <v>0.18550000000000111</v>
      </c>
      <c r="J678" s="201">
        <f t="shared" si="54"/>
        <v>1.4699999999998881E-2</v>
      </c>
      <c r="K678" s="280">
        <f t="shared" si="55"/>
        <v>7.3426573426567847</v>
      </c>
      <c r="L678" s="201">
        <v>17</v>
      </c>
      <c r="M678" s="205">
        <v>43188</v>
      </c>
      <c r="N678" s="205">
        <v>43188</v>
      </c>
      <c r="O678" s="201"/>
      <c r="P678" s="201" t="s">
        <v>2571</v>
      </c>
      <c r="AB678" s="110" t="str">
        <f>IFERROR(INDEX('WetLitterbags placem_collection'!$A$3:$A$500,MATCH(A678,'WetLitterbags placem_collection'!$K$4:$K$500,0)),"")</f>
        <v/>
      </c>
      <c r="AC678" s="110" t="str">
        <f>IFERROR(INDEX('WetLitterbags placem_collection'!$A$3:$A$500,MATCH($A678,'WetLitterbags placem_collection'!$O$4:$O$500,0)),"")</f>
        <v/>
      </c>
      <c r="AD678" s="110" t="str">
        <f>IFERROR(INDEX('WetLitterbags placem_collection'!$A$3:$A$500,MATCH($A678,'WetLitterbags placem_collection'!$M$4:$M$500,0)),"")</f>
        <v/>
      </c>
      <c r="AE678" s="110">
        <f>IFERROR(INDEX('WetLitterbags placem_collection'!$A$3:$A$500,MATCH($A678,'WetLitterbags placem_collection'!$Q$4:$Q$500,0)),"")</f>
        <v>99</v>
      </c>
    </row>
    <row r="679" spans="1:31">
      <c r="A679" s="197" t="s">
        <v>1091</v>
      </c>
      <c r="C679" s="197">
        <v>20</v>
      </c>
      <c r="D679" s="197">
        <v>1.2549999999999999</v>
      </c>
      <c r="E679" s="197">
        <v>7.8014000000000001</v>
      </c>
      <c r="F679" s="197">
        <v>0.19969999999999999</v>
      </c>
      <c r="G679" s="197">
        <f t="shared" si="53"/>
        <v>8.001100000000001</v>
      </c>
      <c r="H679" s="197">
        <v>7.8182</v>
      </c>
      <c r="I679" s="197">
        <f t="shared" si="56"/>
        <v>0.18290000000000095</v>
      </c>
      <c r="J679" s="201">
        <f t="shared" si="54"/>
        <v>1.6799999999999038E-2</v>
      </c>
      <c r="K679" s="280">
        <f t="shared" si="55"/>
        <v>8.4126189283921065</v>
      </c>
      <c r="L679" s="197">
        <v>5</v>
      </c>
      <c r="M679" s="197" t="s">
        <v>2586</v>
      </c>
      <c r="N679" s="197" t="s">
        <v>2585</v>
      </c>
      <c r="O679" s="197" t="s">
        <v>2550</v>
      </c>
      <c r="AB679" s="110" t="str">
        <f>IFERROR(INDEX('WetLitterbags placem_collection'!$A$3:$A$500,MATCH(A679,'WetLitterbags placem_collection'!$K$4:$K$500,0)),"")</f>
        <v/>
      </c>
      <c r="AC679" s="110" t="str">
        <f>IFERROR(INDEX('WetLitterbags placem_collection'!$A$3:$A$500,MATCH($A679,'WetLitterbags placem_collection'!$O$4:$O$500,0)),"")</f>
        <v/>
      </c>
      <c r="AD679" s="110">
        <f>IFERROR(INDEX('WetLitterbags placem_collection'!$A$3:$A$500,MATCH($A679,'WetLitterbags placem_collection'!$M$4:$M$500,0)),"")</f>
        <v>19</v>
      </c>
      <c r="AE679" s="110" t="str">
        <f>IFERROR(INDEX('WetLitterbags placem_collection'!$A$3:$A$500,MATCH($A679,'WetLitterbags placem_collection'!$Q$4:$Q$500,0)),"")</f>
        <v/>
      </c>
    </row>
    <row r="680" spans="1:31">
      <c r="A680" s="206" t="s">
        <v>641</v>
      </c>
      <c r="C680" s="201">
        <v>100</v>
      </c>
      <c r="D680" s="201">
        <v>1.4661999999999999</v>
      </c>
      <c r="E680" s="201">
        <v>11.443099999999999</v>
      </c>
      <c r="F680" s="201">
        <v>0.20030000000000001</v>
      </c>
      <c r="G680" s="201">
        <f t="shared" si="53"/>
        <v>11.6434</v>
      </c>
      <c r="H680" s="201">
        <v>11.4878</v>
      </c>
      <c r="I680" s="201">
        <f t="shared" si="56"/>
        <v>0.15559999999999974</v>
      </c>
      <c r="J680" s="201">
        <f t="shared" si="54"/>
        <v>4.4700000000000267E-2</v>
      </c>
      <c r="K680" s="280">
        <f t="shared" si="55"/>
        <v>22.316525212181858</v>
      </c>
      <c r="L680" s="201">
        <v>18</v>
      </c>
      <c r="M680" s="205">
        <v>43188</v>
      </c>
      <c r="N680" s="205">
        <v>43188</v>
      </c>
      <c r="O680" s="201"/>
      <c r="P680" s="201"/>
      <c r="AB680" s="110" t="str">
        <f>IFERROR(INDEX('WetLitterbags placem_collection'!$A$3:$A$500,MATCH(A680,'WetLitterbags placem_collection'!$K$4:$K$500,0)),"")</f>
        <v/>
      </c>
      <c r="AC680" s="110" t="str">
        <f>IFERROR(INDEX('WetLitterbags placem_collection'!$A$3:$A$500,MATCH($A680,'WetLitterbags placem_collection'!$O$4:$O$500,0)),"")</f>
        <v/>
      </c>
      <c r="AD680" s="110">
        <f>IFERROR(INDEX('WetLitterbags placem_collection'!$A$3:$A$500,MATCH($A680,'WetLitterbags placem_collection'!$M$4:$M$500,0)),"")</f>
        <v>99</v>
      </c>
      <c r="AE680" s="110" t="str">
        <f>IFERROR(INDEX('WetLitterbags placem_collection'!$A$3:$A$500,MATCH($A680,'WetLitterbags placem_collection'!$Q$4:$Q$500,0)),"")</f>
        <v/>
      </c>
    </row>
    <row r="681" spans="1:31">
      <c r="A681" s="202" t="s">
        <v>640</v>
      </c>
      <c r="C681" s="201">
        <v>75</v>
      </c>
      <c r="D681" s="201">
        <v>0.14589999999999992</v>
      </c>
      <c r="E681" s="201">
        <v>7.0928000000000004</v>
      </c>
      <c r="F681" s="201">
        <v>8.6699999999999999E-2</v>
      </c>
      <c r="G681" s="201">
        <f t="shared" si="53"/>
        <v>7.1795000000000009</v>
      </c>
      <c r="H681" s="201">
        <v>7.1658999999999997</v>
      </c>
      <c r="I681" s="201">
        <f t="shared" si="56"/>
        <v>1.3600000000001167E-2</v>
      </c>
      <c r="J681" s="201">
        <f t="shared" si="54"/>
        <v>7.3099999999998833E-2</v>
      </c>
      <c r="K681" s="280">
        <f t="shared" si="55"/>
        <v>84.313725490194741</v>
      </c>
      <c r="L681" s="201">
        <v>9</v>
      </c>
      <c r="M681" s="205">
        <v>43173</v>
      </c>
      <c r="N681" s="205">
        <v>43173</v>
      </c>
      <c r="O681" s="201" t="s">
        <v>2556</v>
      </c>
      <c r="P681" s="201" t="s">
        <v>2555</v>
      </c>
      <c r="AB681" s="110" t="str">
        <f>IFERROR(INDEX('WetLitterbags placem_collection'!$A$3:$A$500,MATCH(A681,'WetLitterbags placem_collection'!$K$4:$K$500,0)),"")</f>
        <v/>
      </c>
      <c r="AC681" s="110" t="str">
        <f>IFERROR(INDEX('WetLitterbags placem_collection'!$A$3:$A$500,MATCH($A681,'WetLitterbags placem_collection'!$O$4:$O$500,0)),"")</f>
        <v/>
      </c>
      <c r="AD681" s="110">
        <f>IFERROR(INDEX('WetLitterbags placem_collection'!$A$3:$A$500,MATCH($A681,'WetLitterbags placem_collection'!$M$4:$M$500,0)),"")</f>
        <v>75</v>
      </c>
      <c r="AE681" s="110" t="str">
        <f>IFERROR(INDEX('WetLitterbags placem_collection'!$A$3:$A$500,MATCH($A681,'WetLitterbags placem_collection'!$Q$4:$Q$500,0)),"")</f>
        <v/>
      </c>
    </row>
    <row r="682" spans="1:31">
      <c r="A682" s="197" t="s">
        <v>639</v>
      </c>
      <c r="C682" s="198">
        <v>5</v>
      </c>
      <c r="D682" s="197">
        <v>1.161</v>
      </c>
      <c r="E682" s="202">
        <v>8.0639000000000003</v>
      </c>
      <c r="F682" s="202">
        <v>0.2034</v>
      </c>
      <c r="G682" s="201">
        <f t="shared" si="53"/>
        <v>8.2673000000000005</v>
      </c>
      <c r="H682" s="201">
        <v>8.0732999999999997</v>
      </c>
      <c r="I682" s="201">
        <f t="shared" si="56"/>
        <v>0.19400000000000084</v>
      </c>
      <c r="J682" s="201">
        <f t="shared" si="54"/>
        <v>9.399999999999159E-3</v>
      </c>
      <c r="K682" s="280">
        <f t="shared" si="55"/>
        <v>4.6214355948865089</v>
      </c>
      <c r="L682" s="201">
        <v>12</v>
      </c>
      <c r="AB682" s="110" t="str">
        <f>IFERROR(INDEX('WetLitterbags placem_collection'!$A$3:$A$500,MATCH(A682,'WetLitterbags placem_collection'!$K$4:$K$500,0)),"")</f>
        <v/>
      </c>
      <c r="AC682" s="110" t="str">
        <f>IFERROR(INDEX('WetLitterbags placem_collection'!$A$3:$A$500,MATCH($A682,'WetLitterbags placem_collection'!$O$4:$O$500,0)),"")</f>
        <v/>
      </c>
      <c r="AD682" s="110">
        <f>IFERROR(INDEX('WetLitterbags placem_collection'!$A$3:$A$500,MATCH($A682,'WetLitterbags placem_collection'!$M$4:$M$500,0)),"")</f>
        <v>4</v>
      </c>
      <c r="AE682" s="110" t="str">
        <f>IFERROR(INDEX('WetLitterbags placem_collection'!$A$3:$A$500,MATCH($A682,'WetLitterbags placem_collection'!$Q$4:$Q$500,0)),"")</f>
        <v/>
      </c>
    </row>
    <row r="683" spans="1:31">
      <c r="A683" s="201" t="s">
        <v>637</v>
      </c>
      <c r="C683" s="201">
        <v>151</v>
      </c>
      <c r="D683" s="197">
        <v>1.5096000000000001</v>
      </c>
      <c r="E683" s="197">
        <v>8.0462000000000007</v>
      </c>
      <c r="F683" s="197">
        <v>0.20319999999999999</v>
      </c>
      <c r="G683" s="197">
        <f t="shared" si="53"/>
        <v>8.2494000000000014</v>
      </c>
      <c r="H683" s="197">
        <v>8.0591000000000008</v>
      </c>
      <c r="I683" s="197">
        <f t="shared" si="56"/>
        <v>0.19030000000000058</v>
      </c>
      <c r="J683" s="201">
        <f t="shared" si="54"/>
        <v>1.2899999999999412E-2</v>
      </c>
      <c r="K683" s="280">
        <f t="shared" si="55"/>
        <v>6.3484251968501049</v>
      </c>
      <c r="L683" s="197">
        <v>10</v>
      </c>
      <c r="M683" s="207">
        <v>43160.520833333336</v>
      </c>
      <c r="N683" s="207">
        <v>43160.6875</v>
      </c>
      <c r="O683" s="197" t="s">
        <v>2550</v>
      </c>
      <c r="P683" s="197" t="s">
        <v>2567</v>
      </c>
      <c r="AB683" s="110" t="str">
        <f>IFERROR(INDEX('WetLitterbags placem_collection'!$A$3:$A$500,MATCH(A683,'WetLitterbags placem_collection'!$K$4:$K$500,0)),"")</f>
        <v/>
      </c>
      <c r="AC683" s="110" t="str">
        <f>IFERROR(INDEX('WetLitterbags placem_collection'!$A$3:$A$500,MATCH($A683,'WetLitterbags placem_collection'!$O$4:$O$500,0)),"")</f>
        <v/>
      </c>
      <c r="AD683" s="110" t="str">
        <f>IFERROR(INDEX('WetLitterbags placem_collection'!$A$3:$A$500,MATCH($A683,'WetLitterbags placem_collection'!$M$4:$M$500,0)),"")</f>
        <v/>
      </c>
      <c r="AE683" s="110">
        <f>IFERROR(INDEX('WetLitterbags placem_collection'!$A$3:$A$500,MATCH($A683,'WetLitterbags placem_collection'!$Q$4:$Q$500,0)),"")</f>
        <v>150</v>
      </c>
    </row>
    <row r="684" spans="1:31">
      <c r="A684" s="201" t="s">
        <v>636</v>
      </c>
      <c r="C684" s="201">
        <v>111</v>
      </c>
      <c r="D684" s="201">
        <v>1.4012</v>
      </c>
      <c r="E684" s="202">
        <v>9.1372999999999998</v>
      </c>
      <c r="F684" s="202">
        <v>0.20200000000000001</v>
      </c>
      <c r="G684" s="201">
        <f t="shared" si="53"/>
        <v>9.3392999999999997</v>
      </c>
      <c r="H684" s="201">
        <v>9.1549999999999994</v>
      </c>
      <c r="I684" s="201">
        <f t="shared" si="56"/>
        <v>0.18430000000000035</v>
      </c>
      <c r="J684" s="201">
        <f t="shared" si="54"/>
        <v>1.769999999999966E-2</v>
      </c>
      <c r="K684" s="280">
        <f t="shared" si="55"/>
        <v>8.7623762376235934</v>
      </c>
      <c r="L684" s="201">
        <v>45</v>
      </c>
      <c r="M684" s="207">
        <v>43186.458333333336</v>
      </c>
      <c r="N684" s="207">
        <v>43186.625</v>
      </c>
      <c r="O684" s="197" t="s">
        <v>2550</v>
      </c>
      <c r="P684" s="201"/>
      <c r="AB684" s="110" t="str">
        <f>IFERROR(INDEX('WetLitterbags placem_collection'!$A$3:$A$500,MATCH(A684,'WetLitterbags placem_collection'!$K$4:$K$500,0)),"")</f>
        <v/>
      </c>
      <c r="AC684" s="110" t="str">
        <f>IFERROR(INDEX('WetLitterbags placem_collection'!$A$3:$A$500,MATCH($A684,'WetLitterbags placem_collection'!$O$4:$O$500,0)),"")</f>
        <v/>
      </c>
      <c r="AD684" s="110">
        <f>IFERROR(INDEX('WetLitterbags placem_collection'!$A$3:$A$500,MATCH($A684,'WetLitterbags placem_collection'!$M$4:$M$500,0)),"")</f>
        <v>110</v>
      </c>
      <c r="AE684" s="110" t="str">
        <f>IFERROR(INDEX('WetLitterbags placem_collection'!$A$3:$A$500,MATCH($A684,'WetLitterbags placem_collection'!$Q$4:$Q$500,0)),"")</f>
        <v/>
      </c>
    </row>
    <row r="685" spans="1:31">
      <c r="A685" s="201" t="s">
        <v>635</v>
      </c>
      <c r="C685" s="201">
        <v>127</v>
      </c>
      <c r="D685" s="202">
        <v>1.2198</v>
      </c>
      <c r="E685" s="201">
        <v>7.8014000000000001</v>
      </c>
      <c r="F685" s="202">
        <v>0.20469999999999999</v>
      </c>
      <c r="G685" s="201">
        <f t="shared" si="53"/>
        <v>8.0061</v>
      </c>
      <c r="H685" s="201">
        <v>7.8133999999999997</v>
      </c>
      <c r="I685" s="201">
        <f t="shared" si="56"/>
        <v>0.19270000000000032</v>
      </c>
      <c r="J685" s="201">
        <f t="shared" si="54"/>
        <v>1.1999999999999678E-2</v>
      </c>
      <c r="K685" s="280">
        <f t="shared" si="55"/>
        <v>5.8622374206153776</v>
      </c>
      <c r="L685" s="201">
        <v>6</v>
      </c>
      <c r="M685" s="205">
        <v>43206</v>
      </c>
      <c r="N685" s="205">
        <v>43206</v>
      </c>
      <c r="O685" s="201"/>
      <c r="P685" s="201"/>
      <c r="AB685" s="110" t="str">
        <f>IFERROR(INDEX('WetLitterbags placem_collection'!$A$3:$A$500,MATCH(A685,'WetLitterbags placem_collection'!$K$4:$K$500,0)),"")</f>
        <v/>
      </c>
      <c r="AC685" s="110" t="str">
        <f>IFERROR(INDEX('WetLitterbags placem_collection'!$A$3:$A$500,MATCH($A685,'WetLitterbags placem_collection'!$O$4:$O$500,0)),"")</f>
        <v/>
      </c>
      <c r="AD685" s="110">
        <f>IFERROR(INDEX('WetLitterbags placem_collection'!$A$3:$A$500,MATCH($A685,'WetLitterbags placem_collection'!$M$4:$M$500,0)),"")</f>
        <v>126</v>
      </c>
      <c r="AE685" s="110" t="str">
        <f>IFERROR(INDEX('WetLitterbags placem_collection'!$A$3:$A$500,MATCH($A685,'WetLitterbags placem_collection'!$Q$4:$Q$500,0)),"")</f>
        <v/>
      </c>
    </row>
    <row r="686" spans="1:31">
      <c r="A686" s="197" t="s">
        <v>634</v>
      </c>
      <c r="C686" s="198">
        <v>30</v>
      </c>
      <c r="D686" s="197">
        <v>1.1287</v>
      </c>
      <c r="E686" s="202">
        <v>9.5541999999999998</v>
      </c>
      <c r="F686" s="202">
        <v>0.20119999999999999</v>
      </c>
      <c r="G686" s="201">
        <f t="shared" si="53"/>
        <v>9.7553999999999998</v>
      </c>
      <c r="H686" s="201">
        <v>9.5639000000000003</v>
      </c>
      <c r="I686" s="201">
        <f t="shared" si="56"/>
        <v>0.19149999999999956</v>
      </c>
      <c r="J686" s="201">
        <f t="shared" si="54"/>
        <v>9.7000000000004305E-3</v>
      </c>
      <c r="K686" s="280">
        <f t="shared" si="55"/>
        <v>4.821073558648326</v>
      </c>
      <c r="L686" s="201">
        <v>9</v>
      </c>
      <c r="AB686" s="110" t="str">
        <f>IFERROR(INDEX('WetLitterbags placem_collection'!$A$3:$A$500,MATCH(A686,'WetLitterbags placem_collection'!$K$4:$K$500,0)),"")</f>
        <v/>
      </c>
      <c r="AC686" s="110" t="str">
        <f>IFERROR(INDEX('WetLitterbags placem_collection'!$A$3:$A$500,MATCH($A686,'WetLitterbags placem_collection'!$O$4:$O$500,0)),"")</f>
        <v/>
      </c>
      <c r="AD686" s="110">
        <f>IFERROR(INDEX('WetLitterbags placem_collection'!$A$3:$A$500,MATCH($A686,'WetLitterbags placem_collection'!$M$4:$M$500,0)),"")</f>
        <v>29</v>
      </c>
      <c r="AE686" s="110" t="str">
        <f>IFERROR(INDEX('WetLitterbags placem_collection'!$A$3:$A$500,MATCH($A686,'WetLitterbags placem_collection'!$Q$4:$Q$500,0)),"")</f>
        <v/>
      </c>
    </row>
    <row r="687" spans="1:31">
      <c r="A687" s="197" t="s">
        <v>633</v>
      </c>
      <c r="C687" s="198">
        <v>4</v>
      </c>
      <c r="D687" s="197">
        <v>1.1405000000000001</v>
      </c>
      <c r="E687" s="201">
        <v>7.0750999999999999</v>
      </c>
      <c r="F687" s="202">
        <v>0.20169999999999999</v>
      </c>
      <c r="G687" s="201">
        <f t="shared" si="53"/>
        <v>7.2767999999999997</v>
      </c>
      <c r="H687" s="201">
        <v>7.0850999999999997</v>
      </c>
      <c r="I687" s="201">
        <f t="shared" si="56"/>
        <v>0.19169999999999998</v>
      </c>
      <c r="J687" s="201">
        <f t="shared" si="54"/>
        <v>1.0000000000000009E-2</v>
      </c>
      <c r="K687" s="280">
        <f t="shared" si="55"/>
        <v>4.9578582052553344</v>
      </c>
      <c r="L687" s="201">
        <v>1</v>
      </c>
      <c r="M687" s="204">
        <v>43212</v>
      </c>
      <c r="N687" s="204">
        <v>43212</v>
      </c>
      <c r="AB687" s="110" t="str">
        <f>IFERROR(INDEX('WetLitterbags placem_collection'!$A$3:$A$500,MATCH(A687,'WetLitterbags placem_collection'!$K$4:$K$500,0)),"")</f>
        <v/>
      </c>
      <c r="AC687" s="110" t="str">
        <f>IFERROR(INDEX('WetLitterbags placem_collection'!$A$3:$A$500,MATCH($A687,'WetLitterbags placem_collection'!$O$4:$O$500,0)),"")</f>
        <v/>
      </c>
      <c r="AD687" s="110" t="str">
        <f>IFERROR(INDEX('WetLitterbags placem_collection'!$A$3:$A$500,MATCH($A687,'WetLitterbags placem_collection'!$M$4:$M$500,0)),"")</f>
        <v/>
      </c>
      <c r="AE687" s="110">
        <f>IFERROR(INDEX('WetLitterbags placem_collection'!$A$3:$A$500,MATCH($A687,'WetLitterbags placem_collection'!$Q$4:$Q$500,0)),"")</f>
        <v>3</v>
      </c>
    </row>
    <row r="688" spans="1:31">
      <c r="A688" s="206" t="s">
        <v>632</v>
      </c>
      <c r="C688" s="201">
        <v>108</v>
      </c>
      <c r="D688" s="201">
        <v>1.3947000000000001</v>
      </c>
      <c r="E688" s="202">
        <v>8.3542000000000005</v>
      </c>
      <c r="F688" s="202">
        <v>0.20860000000000001</v>
      </c>
      <c r="G688" s="201">
        <f t="shared" si="53"/>
        <v>8.5628000000000011</v>
      </c>
      <c r="H688" s="201">
        <v>8.3659999999999997</v>
      </c>
      <c r="I688" s="201">
        <f t="shared" ref="I688:I706" si="57">(G688-H688)</f>
        <v>0.19680000000000142</v>
      </c>
      <c r="J688" s="201">
        <f t="shared" si="54"/>
        <v>1.1799999999998589E-2</v>
      </c>
      <c r="K688" s="280">
        <f t="shared" si="55"/>
        <v>5.6567593480338392</v>
      </c>
      <c r="L688" s="201">
        <v>36</v>
      </c>
      <c r="M688" s="207">
        <v>43186.458333333336</v>
      </c>
      <c r="N688" s="207">
        <v>43186.625</v>
      </c>
      <c r="O688" s="197" t="s">
        <v>2550</v>
      </c>
      <c r="P688" s="201"/>
      <c r="AB688" s="110" t="str">
        <f>IFERROR(INDEX('WetLitterbags placem_collection'!$A$3:$A$500,MATCH(A688,'WetLitterbags placem_collection'!$K$4:$K$500,0)),"")</f>
        <v/>
      </c>
      <c r="AC688" s="110" t="str">
        <f>IFERROR(INDEX('WetLitterbags placem_collection'!$A$3:$A$500,MATCH($A688,'WetLitterbags placem_collection'!$O$4:$O$500,0)),"")</f>
        <v/>
      </c>
      <c r="AD688" s="110" t="str">
        <f>IFERROR(INDEX('WetLitterbags placem_collection'!$A$3:$A$500,MATCH($A688,'WetLitterbags placem_collection'!$M$4:$M$500,0)),"")</f>
        <v/>
      </c>
      <c r="AE688" s="110">
        <f>IFERROR(INDEX('WetLitterbags placem_collection'!$A$3:$A$500,MATCH($A688,'WetLitterbags placem_collection'!$Q$4:$Q$500,0)),"")</f>
        <v>107</v>
      </c>
    </row>
    <row r="689" spans="1:31">
      <c r="A689" s="206" t="s">
        <v>1090</v>
      </c>
      <c r="C689" s="201">
        <v>185</v>
      </c>
      <c r="D689" s="201">
        <v>1.5618000000000001</v>
      </c>
      <c r="E689" s="201">
        <v>11.055300000000001</v>
      </c>
      <c r="F689" s="202">
        <v>0.20119999999999999</v>
      </c>
      <c r="G689" s="201">
        <f t="shared" si="53"/>
        <v>11.256500000000001</v>
      </c>
      <c r="H689" s="201">
        <v>11.0595</v>
      </c>
      <c r="I689" s="201">
        <f t="shared" si="57"/>
        <v>0.19700000000000095</v>
      </c>
      <c r="J689" s="201">
        <f t="shared" si="54"/>
        <v>4.1999999999990378E-3</v>
      </c>
      <c r="K689" s="280">
        <f t="shared" si="55"/>
        <v>2.0874751491048897</v>
      </c>
      <c r="L689" s="201">
        <v>29</v>
      </c>
      <c r="M689" s="205">
        <v>43211</v>
      </c>
      <c r="AB689" s="110" t="str">
        <f>IFERROR(INDEX('WetLitterbags placem_collection'!$A$3:$A$500,MATCH(A689,'WetLitterbags placem_collection'!$K$4:$K$500,0)),"")</f>
        <v/>
      </c>
      <c r="AC689" s="110" t="str">
        <f>IFERROR(INDEX('WetLitterbags placem_collection'!$A$3:$A$500,MATCH($A689,'WetLitterbags placem_collection'!$O$4:$O$500,0)),"")</f>
        <v/>
      </c>
      <c r="AD689" s="110">
        <f>IFERROR(INDEX('WetLitterbags placem_collection'!$A$3:$A$500,MATCH($A689,'WetLitterbags placem_collection'!$M$4:$M$500,0)),"")</f>
        <v>184</v>
      </c>
      <c r="AE689" s="110" t="str">
        <f>IFERROR(INDEX('WetLitterbags placem_collection'!$A$3:$A$500,MATCH($A689,'WetLitterbags placem_collection'!$Q$4:$Q$500,0)),"")</f>
        <v/>
      </c>
    </row>
    <row r="690" spans="1:31">
      <c r="A690" s="201" t="s">
        <v>631</v>
      </c>
      <c r="C690" s="201">
        <v>107</v>
      </c>
      <c r="D690" s="201">
        <v>1.3418000000000001</v>
      </c>
      <c r="E690" s="202">
        <v>9.3185000000000002</v>
      </c>
      <c r="F690" s="201">
        <v>0.1996</v>
      </c>
      <c r="G690" s="201">
        <f t="shared" si="53"/>
        <v>9.5181000000000004</v>
      </c>
      <c r="H690" s="201">
        <v>9.3290000000000006</v>
      </c>
      <c r="I690" s="201">
        <f t="shared" si="57"/>
        <v>0.18909999999999982</v>
      </c>
      <c r="J690" s="201">
        <f t="shared" si="54"/>
        <v>1.0500000000000176E-2</v>
      </c>
      <c r="K690" s="280">
        <f t="shared" si="55"/>
        <v>5.2605210420842559</v>
      </c>
      <c r="L690" s="201">
        <v>2</v>
      </c>
      <c r="M690" s="203">
        <v>43178.395833333336</v>
      </c>
      <c r="N690" s="203">
        <v>43178.5625</v>
      </c>
      <c r="O690" s="197" t="s">
        <v>2550</v>
      </c>
      <c r="P690" s="201" t="s">
        <v>2551</v>
      </c>
      <c r="AB690" s="110" t="str">
        <f>IFERROR(INDEX('WetLitterbags placem_collection'!$A$3:$A$500,MATCH(A690,'WetLitterbags placem_collection'!$K$4:$K$500,0)),"")</f>
        <v/>
      </c>
      <c r="AC690" s="110" t="str">
        <f>IFERROR(INDEX('WetLitterbags placem_collection'!$A$3:$A$500,MATCH($A690,'WetLitterbags placem_collection'!$O$4:$O$500,0)),"")</f>
        <v/>
      </c>
      <c r="AD690" s="110" t="str">
        <f>IFERROR(INDEX('WetLitterbags placem_collection'!$A$3:$A$500,MATCH($A690,'WetLitterbags placem_collection'!$M$4:$M$500,0)),"")</f>
        <v/>
      </c>
      <c r="AE690" s="110">
        <f>IFERROR(INDEX('WetLitterbags placem_collection'!$A$3:$A$500,MATCH($A690,'WetLitterbags placem_collection'!$Q$4:$Q$500,0)),"")</f>
        <v>106</v>
      </c>
    </row>
    <row r="691" spans="1:31">
      <c r="A691" s="202" t="s">
        <v>630</v>
      </c>
      <c r="C691" s="201">
        <v>117</v>
      </c>
      <c r="D691" s="201">
        <v>0.30729999999999985</v>
      </c>
      <c r="E691" s="201">
        <v>7.3170000000000002</v>
      </c>
      <c r="F691" s="201">
        <v>0.20619999999999999</v>
      </c>
      <c r="G691" s="201">
        <f t="shared" ref="G691:G754" si="58">E691+F691</f>
        <v>7.5232000000000001</v>
      </c>
      <c r="H691" s="201">
        <v>7.5031999999999996</v>
      </c>
      <c r="I691" s="201">
        <f t="shared" si="57"/>
        <v>2.0000000000000462E-2</v>
      </c>
      <c r="J691" s="201">
        <f t="shared" ref="J691:J754" si="59">F691-I691</f>
        <v>0.18619999999999953</v>
      </c>
      <c r="K691" s="280">
        <f t="shared" ref="K691:K754" si="60">(J691/F691)*100</f>
        <v>90.300678952473106</v>
      </c>
      <c r="L691" s="201">
        <v>31</v>
      </c>
      <c r="M691" s="205">
        <v>43173</v>
      </c>
      <c r="N691" s="205">
        <v>43173</v>
      </c>
      <c r="O691" s="201" t="s">
        <v>2556</v>
      </c>
      <c r="P691" s="201" t="s">
        <v>2555</v>
      </c>
      <c r="AB691" s="110" t="str">
        <f>IFERROR(INDEX('WetLitterbags placem_collection'!$A$3:$A$500,MATCH(A691,'WetLitterbags placem_collection'!$K$4:$K$500,0)),"")</f>
        <v/>
      </c>
      <c r="AC691" s="110" t="str">
        <f>IFERROR(INDEX('WetLitterbags placem_collection'!$A$3:$A$500,MATCH($A691,'WetLitterbags placem_collection'!$O$4:$O$500,0)),"")</f>
        <v/>
      </c>
      <c r="AD691" s="110">
        <f>IFERROR(INDEX('WetLitterbags placem_collection'!$A$3:$A$500,MATCH($A691,'WetLitterbags placem_collection'!$M$4:$M$500,0)),"")</f>
        <v>116</v>
      </c>
      <c r="AE691" s="110" t="str">
        <f>IFERROR(INDEX('WetLitterbags placem_collection'!$A$3:$A$500,MATCH($A691,'WetLitterbags placem_collection'!$Q$4:$Q$500,0)),"")</f>
        <v/>
      </c>
    </row>
    <row r="692" spans="1:31">
      <c r="A692" s="197" t="s">
        <v>629</v>
      </c>
      <c r="C692" s="197">
        <v>8</v>
      </c>
      <c r="D692" s="197">
        <v>1.252</v>
      </c>
      <c r="E692" s="197">
        <v>9.0211000000000006</v>
      </c>
      <c r="F692" s="197">
        <v>0.20599999999999999</v>
      </c>
      <c r="G692" s="197">
        <f t="shared" si="58"/>
        <v>9.2271000000000001</v>
      </c>
      <c r="H692" s="197">
        <v>9.0273000000000003</v>
      </c>
      <c r="I692" s="197">
        <f t="shared" si="57"/>
        <v>0.19979999999999976</v>
      </c>
      <c r="J692" s="201">
        <f t="shared" si="59"/>
        <v>6.2000000000002331E-3</v>
      </c>
      <c r="K692" s="280">
        <f t="shared" si="60"/>
        <v>3.0097087378641909</v>
      </c>
      <c r="L692" s="197">
        <v>1</v>
      </c>
      <c r="M692" s="197" t="s">
        <v>2586</v>
      </c>
      <c r="N692" s="197" t="s">
        <v>2585</v>
      </c>
      <c r="O692" s="197" t="s">
        <v>2550</v>
      </c>
      <c r="P692" s="197" t="s">
        <v>2599</v>
      </c>
      <c r="AB692" s="110" t="str">
        <f>IFERROR(INDEX('WetLitterbags placem_collection'!$A$3:$A$500,MATCH(A692,'WetLitterbags placem_collection'!$K$4:$K$500,0)),"")</f>
        <v/>
      </c>
      <c r="AC692" s="110" t="str">
        <f>IFERROR(INDEX('WetLitterbags placem_collection'!$A$3:$A$500,MATCH($A692,'WetLitterbags placem_collection'!$O$4:$O$500,0)),"")</f>
        <v/>
      </c>
      <c r="AD692" s="110" t="str">
        <f>IFERROR(INDEX('WetLitterbags placem_collection'!$A$3:$A$500,MATCH($A692,'WetLitterbags placem_collection'!$M$4:$M$500,0)),"")</f>
        <v/>
      </c>
      <c r="AE692" s="110">
        <f>IFERROR(INDEX('WetLitterbags placem_collection'!$A$3:$A$500,MATCH($A692,'WetLitterbags placem_collection'!$Q$4:$Q$500,0)),"")</f>
        <v>7</v>
      </c>
    </row>
    <row r="693" spans="1:31">
      <c r="A693" s="197" t="s">
        <v>628</v>
      </c>
      <c r="C693" s="197">
        <v>52</v>
      </c>
      <c r="D693" s="197">
        <v>1.3608</v>
      </c>
      <c r="E693" s="197">
        <v>8.0957000000000008</v>
      </c>
      <c r="F693" s="197">
        <v>0.20680000000000001</v>
      </c>
      <c r="G693" s="197">
        <f t="shared" si="58"/>
        <v>8.3025000000000002</v>
      </c>
      <c r="H693" s="197">
        <v>8.1186000000000007</v>
      </c>
      <c r="I693" s="197">
        <f t="shared" si="57"/>
        <v>0.18389999999999951</v>
      </c>
      <c r="J693" s="201">
        <f t="shared" si="59"/>
        <v>2.2900000000000503E-2</v>
      </c>
      <c r="K693" s="280">
        <f t="shared" si="60"/>
        <v>11.073500967118232</v>
      </c>
      <c r="L693" s="197">
        <v>33</v>
      </c>
      <c r="M693" s="197" t="s">
        <v>2586</v>
      </c>
      <c r="N693" s="197" t="s">
        <v>2585</v>
      </c>
      <c r="O693" s="197" t="s">
        <v>2550</v>
      </c>
      <c r="U693" s="202" t="s">
        <v>1634</v>
      </c>
      <c r="V693" s="197">
        <v>1.1235999999999999</v>
      </c>
      <c r="W693" s="197">
        <f>(V693-$T$175+F691)</f>
        <v>1.3297999999999999</v>
      </c>
      <c r="AB693" s="110" t="str">
        <f>IFERROR(INDEX('WetLitterbags placem_collection'!$A$3:$A$500,MATCH(A693,'WetLitterbags placem_collection'!$K$4:$K$500,0)),"")</f>
        <v/>
      </c>
      <c r="AC693" s="110" t="str">
        <f>IFERROR(INDEX('WetLitterbags placem_collection'!$A$3:$A$500,MATCH($A693,'WetLitterbags placem_collection'!$O$4:$O$500,0)),"")</f>
        <v/>
      </c>
      <c r="AD693" s="110">
        <f>IFERROR(INDEX('WetLitterbags placem_collection'!$A$3:$A$500,MATCH($A693,'WetLitterbags placem_collection'!$M$4:$M$500,0)),"")</f>
        <v>51</v>
      </c>
      <c r="AE693" s="110" t="str">
        <f>IFERROR(INDEX('WetLitterbags placem_collection'!$A$3:$A$500,MATCH($A693,'WetLitterbags placem_collection'!$Q$4:$Q$500,0)),"")</f>
        <v/>
      </c>
    </row>
    <row r="694" spans="1:31">
      <c r="A694" s="197" t="s">
        <v>626</v>
      </c>
      <c r="C694" s="198">
        <v>10</v>
      </c>
      <c r="D694" s="197">
        <v>1.1661999999999999</v>
      </c>
      <c r="E694" s="202">
        <v>8.4440000000000008</v>
      </c>
      <c r="F694" s="202">
        <v>0.20230000000000001</v>
      </c>
      <c r="G694" s="201">
        <f t="shared" si="58"/>
        <v>8.6463000000000001</v>
      </c>
      <c r="H694" s="201">
        <v>8.4525000000000006</v>
      </c>
      <c r="I694" s="201">
        <f t="shared" si="57"/>
        <v>0.19379999999999953</v>
      </c>
      <c r="J694" s="201">
        <f t="shared" si="59"/>
        <v>8.5000000000004794E-3</v>
      </c>
      <c r="K694" s="280">
        <f t="shared" si="60"/>
        <v>4.2016806722691449</v>
      </c>
      <c r="L694" s="201">
        <v>20</v>
      </c>
      <c r="M694" s="204">
        <v>43221</v>
      </c>
      <c r="N694" s="204">
        <v>43221</v>
      </c>
      <c r="AB694" s="110" t="str">
        <f>IFERROR(INDEX('WetLitterbags placem_collection'!$A$3:$A$500,MATCH(A694,'WetLitterbags placem_collection'!$K$4:$K$500,0)),"")</f>
        <v/>
      </c>
      <c r="AC694" s="110" t="str">
        <f>IFERROR(INDEX('WetLitterbags placem_collection'!$A$3:$A$500,MATCH($A694,'WetLitterbags placem_collection'!$O$4:$O$500,0)),"")</f>
        <v/>
      </c>
      <c r="AD694" s="110" t="str">
        <f>IFERROR(INDEX('WetLitterbags placem_collection'!$A$3:$A$500,MATCH($A694,'WetLitterbags placem_collection'!$M$4:$M$500,0)),"")</f>
        <v/>
      </c>
      <c r="AE694" s="110">
        <f>IFERROR(INDEX('WetLitterbags placem_collection'!$A$3:$A$500,MATCH($A694,'WetLitterbags placem_collection'!$Q$4:$Q$500,0)),"")</f>
        <v>9</v>
      </c>
    </row>
    <row r="695" spans="1:31">
      <c r="A695" s="197" t="s">
        <v>624</v>
      </c>
      <c r="C695" s="197">
        <v>90</v>
      </c>
      <c r="D695" s="197">
        <v>1.8949</v>
      </c>
      <c r="E695" s="197">
        <v>21.210999999999999</v>
      </c>
      <c r="F695" s="197">
        <v>0.20669999999999999</v>
      </c>
      <c r="G695" s="197">
        <f t="shared" si="58"/>
        <v>21.4177</v>
      </c>
      <c r="H695" s="197">
        <v>21.2576</v>
      </c>
      <c r="I695" s="197">
        <f t="shared" si="57"/>
        <v>0.16009999999999991</v>
      </c>
      <c r="J695" s="201">
        <f t="shared" si="59"/>
        <v>4.6600000000000086E-2</v>
      </c>
      <c r="K695" s="280">
        <f t="shared" si="60"/>
        <v>22.544750846637683</v>
      </c>
      <c r="L695" s="197">
        <v>18</v>
      </c>
      <c r="M695" s="197" t="s">
        <v>2580</v>
      </c>
      <c r="N695" s="197" t="s">
        <v>2579</v>
      </c>
      <c r="O695" s="197" t="s">
        <v>2556</v>
      </c>
      <c r="AB695" s="110" t="str">
        <f>IFERROR(INDEX('WetLitterbags placem_collection'!$A$3:$A$500,MATCH(A695,'WetLitterbags placem_collection'!$K$4:$K$500,0)),"")</f>
        <v/>
      </c>
      <c r="AC695" s="110" t="str">
        <f>IFERROR(INDEX('WetLitterbags placem_collection'!$A$3:$A$500,MATCH($A695,'WetLitterbags placem_collection'!$O$4:$O$500,0)),"")</f>
        <v/>
      </c>
      <c r="AD695" s="110" t="str">
        <f>IFERROR(INDEX('WetLitterbags placem_collection'!$A$3:$A$500,MATCH($A695,'WetLitterbags placem_collection'!$M$4:$M$500,0)),"")</f>
        <v/>
      </c>
      <c r="AE695" s="110">
        <f>IFERROR(INDEX('WetLitterbags placem_collection'!$A$3:$A$500,MATCH($A695,'WetLitterbags placem_collection'!$Q$4:$Q$500,0)),"")</f>
        <v>89</v>
      </c>
    </row>
    <row r="696" spans="1:31">
      <c r="A696" s="197" t="s">
        <v>622</v>
      </c>
      <c r="C696" s="197">
        <v>16</v>
      </c>
      <c r="D696" s="197">
        <v>1.2048000000000001</v>
      </c>
      <c r="E696" s="202">
        <v>11.4437</v>
      </c>
      <c r="F696" s="202">
        <v>0.20610000000000001</v>
      </c>
      <c r="G696" s="201">
        <f t="shared" si="58"/>
        <v>11.649799999999999</v>
      </c>
      <c r="H696" s="201">
        <v>11.4558</v>
      </c>
      <c r="I696" s="201">
        <f t="shared" si="57"/>
        <v>0.19399999999999906</v>
      </c>
      <c r="J696" s="201">
        <f t="shared" si="59"/>
        <v>1.2100000000000943E-2</v>
      </c>
      <c r="K696" s="280">
        <f t="shared" si="60"/>
        <v>5.8709364386224854</v>
      </c>
      <c r="L696" s="201">
        <v>32</v>
      </c>
      <c r="M696" s="204">
        <v>43221</v>
      </c>
      <c r="N696" s="204">
        <v>43221</v>
      </c>
      <c r="AB696" s="110" t="str">
        <f>IFERROR(INDEX('WetLitterbags placem_collection'!$A$3:$A$500,MATCH(A696,'WetLitterbags placem_collection'!$K$4:$K$500,0)),"")</f>
        <v/>
      </c>
      <c r="AC696" s="110" t="str">
        <f>IFERROR(INDEX('WetLitterbags placem_collection'!$A$3:$A$500,MATCH($A696,'WetLitterbags placem_collection'!$O$4:$O$500,0)),"")</f>
        <v/>
      </c>
      <c r="AD696" s="110">
        <f>IFERROR(INDEX('WetLitterbags placem_collection'!$A$3:$A$500,MATCH($A696,'WetLitterbags placem_collection'!$M$4:$M$500,0)),"")</f>
        <v>15</v>
      </c>
      <c r="AE696" s="110" t="str">
        <f>IFERROR(INDEX('WetLitterbags placem_collection'!$A$3:$A$500,MATCH($A696,'WetLitterbags placem_collection'!$Q$4:$Q$500,0)),"")</f>
        <v/>
      </c>
    </row>
    <row r="697" spans="1:31">
      <c r="A697" s="201" t="s">
        <v>621</v>
      </c>
      <c r="C697" s="201">
        <v>129</v>
      </c>
      <c r="D697" s="201">
        <v>1.3351999999999999</v>
      </c>
      <c r="E697" s="202">
        <v>8.8605</v>
      </c>
      <c r="F697" s="202">
        <v>0.20200000000000001</v>
      </c>
      <c r="G697" s="201">
        <f t="shared" si="58"/>
        <v>9.0625</v>
      </c>
      <c r="H697" s="201">
        <v>8.8718000000000004</v>
      </c>
      <c r="I697" s="201">
        <f t="shared" si="57"/>
        <v>0.19069999999999965</v>
      </c>
      <c r="J697" s="201">
        <f t="shared" si="59"/>
        <v>1.1300000000000365E-2</v>
      </c>
      <c r="K697" s="280">
        <f t="shared" si="60"/>
        <v>5.5940594059407749</v>
      </c>
      <c r="L697" s="201">
        <v>12</v>
      </c>
      <c r="M697" s="205">
        <v>43174</v>
      </c>
      <c r="N697" s="205">
        <v>43174</v>
      </c>
      <c r="O697" s="201" t="s">
        <v>2556</v>
      </c>
      <c r="P697" s="201" t="s">
        <v>2551</v>
      </c>
      <c r="AB697" s="110" t="str">
        <f>IFERROR(INDEX('WetLitterbags placem_collection'!$A$3:$A$500,MATCH(A697,'WetLitterbags placem_collection'!$K$4:$K$500,0)),"")</f>
        <v/>
      </c>
      <c r="AC697" s="110" t="str">
        <f>IFERROR(INDEX('WetLitterbags placem_collection'!$A$3:$A$500,MATCH($A697,'WetLitterbags placem_collection'!$O$4:$O$500,0)),"")</f>
        <v/>
      </c>
      <c r="AD697" s="110" t="str">
        <f>IFERROR(INDEX('WetLitterbags placem_collection'!$A$3:$A$500,MATCH($A697,'WetLitterbags placem_collection'!$M$4:$M$500,0)),"")</f>
        <v/>
      </c>
      <c r="AE697" s="110">
        <f>IFERROR(INDEX('WetLitterbags placem_collection'!$A$3:$A$500,MATCH($A697,'WetLitterbags placem_collection'!$Q$4:$Q$500,0)),"")</f>
        <v>128</v>
      </c>
    </row>
    <row r="698" spans="1:31">
      <c r="A698" s="201" t="s">
        <v>620</v>
      </c>
      <c r="C698" s="201">
        <v>41</v>
      </c>
      <c r="D698" s="202">
        <v>1.2992999999999999</v>
      </c>
      <c r="E698" s="201">
        <v>10.271699999999999</v>
      </c>
      <c r="F698" s="202">
        <v>0.20369999999999999</v>
      </c>
      <c r="G698" s="201">
        <f t="shared" si="58"/>
        <v>10.475399999999999</v>
      </c>
      <c r="H698" s="201">
        <v>10.2857</v>
      </c>
      <c r="I698" s="201">
        <f t="shared" si="57"/>
        <v>0.18969999999999843</v>
      </c>
      <c r="J698" s="201">
        <f t="shared" si="59"/>
        <v>1.4000000000001567E-2</v>
      </c>
      <c r="K698" s="280">
        <f t="shared" si="60"/>
        <v>6.8728522336777456</v>
      </c>
      <c r="L698" s="201">
        <v>30</v>
      </c>
      <c r="M698" s="201"/>
      <c r="N698" s="201"/>
      <c r="O698" s="201"/>
      <c r="P698" s="201"/>
      <c r="AB698" s="110" t="str">
        <f>IFERROR(INDEX('WetLitterbags placem_collection'!$A$3:$A$500,MATCH(A698,'WetLitterbags placem_collection'!$K$4:$K$500,0)),"")</f>
        <v/>
      </c>
      <c r="AC698" s="110" t="str">
        <f>IFERROR(INDEX('WetLitterbags placem_collection'!$A$3:$A$500,MATCH($A698,'WetLitterbags placem_collection'!$O$4:$O$500,0)),"")</f>
        <v/>
      </c>
      <c r="AD698" s="110">
        <f>IFERROR(INDEX('WetLitterbags placem_collection'!$A$3:$A$500,MATCH($A698,'WetLitterbags placem_collection'!$M$4:$M$500,0)),"")</f>
        <v>40</v>
      </c>
      <c r="AE698" s="110" t="str">
        <f>IFERROR(INDEX('WetLitterbags placem_collection'!$A$3:$A$500,MATCH($A698,'WetLitterbags placem_collection'!$Q$4:$Q$500,0)),"")</f>
        <v/>
      </c>
    </row>
    <row r="699" spans="1:31">
      <c r="A699" s="197" t="s">
        <v>619</v>
      </c>
      <c r="C699" s="197">
        <v>115</v>
      </c>
      <c r="D699" s="197">
        <v>1.1588000000000001</v>
      </c>
      <c r="E699" s="197">
        <v>18.116499999999998</v>
      </c>
      <c r="F699" s="197">
        <v>0.2036</v>
      </c>
      <c r="G699" s="197">
        <f t="shared" si="58"/>
        <v>18.3201</v>
      </c>
      <c r="H699" s="197">
        <v>18.124500000000001</v>
      </c>
      <c r="I699" s="197">
        <f t="shared" si="57"/>
        <v>0.19559999999999889</v>
      </c>
      <c r="J699" s="201">
        <f t="shared" si="59"/>
        <v>8.0000000000011173E-3</v>
      </c>
      <c r="K699" s="280">
        <f t="shared" si="60"/>
        <v>3.9292730844799202</v>
      </c>
      <c r="L699" s="197">
        <v>15</v>
      </c>
      <c r="M699" s="197" t="s">
        <v>2576</v>
      </c>
      <c r="N699" s="197">
        <v>43153.729166666664</v>
      </c>
      <c r="O699" s="197" t="s">
        <v>2550</v>
      </c>
      <c r="P699" s="197" t="s">
        <v>2574</v>
      </c>
      <c r="AB699" s="110" t="str">
        <f>IFERROR(INDEX('WetLitterbags placem_collection'!$A$3:$A$500,MATCH(A699,'WetLitterbags placem_collection'!$K$4:$K$500,0)),"")</f>
        <v/>
      </c>
      <c r="AC699" s="110" t="str">
        <f>IFERROR(INDEX('WetLitterbags placem_collection'!$A$3:$A$500,MATCH($A699,'WetLitterbags placem_collection'!$O$4:$O$500,0)),"")</f>
        <v/>
      </c>
      <c r="AD699" s="110" t="str">
        <f>IFERROR(INDEX('WetLitterbags placem_collection'!$A$3:$A$500,MATCH($A699,'WetLitterbags placem_collection'!$M$4:$M$500,0)),"")</f>
        <v/>
      </c>
      <c r="AE699" s="110">
        <f>IFERROR(INDEX('WetLitterbags placem_collection'!$A$3:$A$500,MATCH($A699,'WetLitterbags placem_collection'!$Q$4:$Q$500,0)),"")</f>
        <v>114</v>
      </c>
    </row>
    <row r="700" spans="1:31">
      <c r="A700" t="s">
        <v>618</v>
      </c>
      <c r="D700" s="197">
        <v>1.3698999999999999</v>
      </c>
      <c r="E700" s="202">
        <v>11.089399999999999</v>
      </c>
      <c r="F700" s="202">
        <v>0.2064</v>
      </c>
      <c r="G700" s="201">
        <f t="shared" si="58"/>
        <v>11.2958</v>
      </c>
      <c r="H700" s="201">
        <v>11.0945</v>
      </c>
      <c r="I700" s="201">
        <f t="shared" si="57"/>
        <v>0.20129999999999981</v>
      </c>
      <c r="J700" s="201">
        <f t="shared" si="59"/>
        <v>5.1000000000001877E-3</v>
      </c>
      <c r="K700" s="280">
        <f t="shared" si="60"/>
        <v>2.4709302325582305</v>
      </c>
      <c r="L700" s="201">
        <v>4</v>
      </c>
      <c r="AB700" s="110" t="str">
        <f>IFERROR(INDEX('WetLitterbags placem_collection'!$A$3:$A$500,MATCH(A700,'WetLitterbags placem_collection'!$K$4:$K$500,0)),"")</f>
        <v/>
      </c>
      <c r="AC700" s="110" t="str">
        <f>IFERROR(INDEX('WetLitterbags placem_collection'!$A$3:$A$500,MATCH($A700,'WetLitterbags placem_collection'!$O$4:$O$500,0)),"")</f>
        <v/>
      </c>
      <c r="AD700" s="110">
        <f>IFERROR(INDEX('WetLitterbags placem_collection'!$A$3:$A$500,MATCH($A700,'WetLitterbags placem_collection'!$M$4:$M$500,0)),"")</f>
        <v>187</v>
      </c>
      <c r="AE700" s="110" t="str">
        <f>IFERROR(INDEX('WetLitterbags placem_collection'!$A$3:$A$500,MATCH($A700,'WetLitterbags placem_collection'!$Q$4:$Q$500,0)),"")</f>
        <v/>
      </c>
    </row>
    <row r="701" spans="1:31">
      <c r="A701" s="197" t="s">
        <v>617</v>
      </c>
      <c r="C701" s="197">
        <v>133</v>
      </c>
      <c r="D701" s="197">
        <v>1.3261000000000001</v>
      </c>
      <c r="E701" s="197">
        <v>8.8665000000000003</v>
      </c>
      <c r="F701" s="197">
        <v>0.1983</v>
      </c>
      <c r="G701" s="197">
        <f t="shared" si="58"/>
        <v>9.0648</v>
      </c>
      <c r="H701" s="197">
        <v>8.8714999999999993</v>
      </c>
      <c r="I701" s="197">
        <f t="shared" si="57"/>
        <v>0.19330000000000069</v>
      </c>
      <c r="J701" s="201">
        <f t="shared" si="59"/>
        <v>4.9999999999993106E-3</v>
      </c>
      <c r="K701" s="280">
        <f t="shared" si="60"/>
        <v>2.521432173474186</v>
      </c>
      <c r="L701" s="197">
        <v>14</v>
      </c>
      <c r="M701" s="197">
        <v>43157.395833333336</v>
      </c>
      <c r="N701" s="197">
        <v>43157.569444444445</v>
      </c>
      <c r="O701" s="197" t="s">
        <v>2550</v>
      </c>
      <c r="AB701" s="110" t="str">
        <f>IFERROR(INDEX('WetLitterbags placem_collection'!$A$3:$A$500,MATCH(A701,'WetLitterbags placem_collection'!$K$4:$K$500,0)),"")</f>
        <v/>
      </c>
      <c r="AC701" s="110" t="str">
        <f>IFERROR(INDEX('WetLitterbags placem_collection'!$A$3:$A$500,MATCH($A701,'WetLitterbags placem_collection'!$O$4:$O$500,0)),"")</f>
        <v/>
      </c>
      <c r="AD701" s="110">
        <f>IFERROR(INDEX('WetLitterbags placem_collection'!$A$3:$A$500,MATCH($A701,'WetLitterbags placem_collection'!$M$4:$M$500,0)),"")</f>
        <v>132</v>
      </c>
      <c r="AE701" s="110" t="str">
        <f>IFERROR(INDEX('WetLitterbags placem_collection'!$A$3:$A$500,MATCH($A701,'WetLitterbags placem_collection'!$Q$4:$Q$500,0)),"")</f>
        <v/>
      </c>
    </row>
    <row r="702" spans="1:31">
      <c r="A702" s="201" t="s">
        <v>616</v>
      </c>
      <c r="C702" s="201">
        <v>65</v>
      </c>
      <c r="D702" s="201">
        <v>1.4464999999999999</v>
      </c>
      <c r="E702" s="202">
        <v>11.002800000000001</v>
      </c>
      <c r="F702" s="202">
        <v>0.20530000000000001</v>
      </c>
      <c r="G702" s="201">
        <f t="shared" si="58"/>
        <v>11.2081</v>
      </c>
      <c r="H702" s="201">
        <v>11.010999999999999</v>
      </c>
      <c r="I702" s="201">
        <f t="shared" si="57"/>
        <v>0.19710000000000072</v>
      </c>
      <c r="J702" s="201">
        <f t="shared" si="59"/>
        <v>8.1999999999992912E-3</v>
      </c>
      <c r="K702" s="280">
        <f t="shared" si="60"/>
        <v>3.9941548952748618</v>
      </c>
      <c r="L702" s="201">
        <v>2</v>
      </c>
      <c r="M702" s="205">
        <v>43199</v>
      </c>
      <c r="N702" s="205">
        <v>43199</v>
      </c>
      <c r="O702" s="201"/>
      <c r="P702" s="201"/>
      <c r="AB702" s="110" t="str">
        <f>IFERROR(INDEX('WetLitterbags placem_collection'!$A$3:$A$500,MATCH(A702,'WetLitterbags placem_collection'!$K$4:$K$500,0)),"")</f>
        <v/>
      </c>
      <c r="AC702" s="110" t="str">
        <f>IFERROR(INDEX('WetLitterbags placem_collection'!$A$3:$A$500,MATCH($A702,'WetLitterbags placem_collection'!$O$4:$O$500,0)),"")</f>
        <v/>
      </c>
      <c r="AD702" s="110">
        <f>IFERROR(INDEX('WetLitterbags placem_collection'!$A$3:$A$500,MATCH($A702,'WetLitterbags placem_collection'!$M$4:$M$500,0)),"")</f>
        <v>64</v>
      </c>
      <c r="AE702" s="110" t="str">
        <f>IFERROR(INDEX('WetLitterbags placem_collection'!$A$3:$A$500,MATCH($A702,'WetLitterbags placem_collection'!$Q$4:$Q$500,0)),"")</f>
        <v/>
      </c>
    </row>
    <row r="703" spans="1:31">
      <c r="A703" s="201" t="s">
        <v>615</v>
      </c>
      <c r="C703" s="201">
        <v>119</v>
      </c>
      <c r="D703" s="201">
        <v>1.0528</v>
      </c>
      <c r="E703" s="202">
        <v>8.7311999999999994</v>
      </c>
      <c r="F703" s="202">
        <v>0.2072</v>
      </c>
      <c r="G703" s="201">
        <f t="shared" si="58"/>
        <v>8.9383999999999997</v>
      </c>
      <c r="H703" s="201">
        <v>8.7446000000000002</v>
      </c>
      <c r="I703" s="201">
        <f t="shared" si="57"/>
        <v>0.19379999999999953</v>
      </c>
      <c r="J703" s="201">
        <f t="shared" si="59"/>
        <v>1.3400000000000467E-2</v>
      </c>
      <c r="K703" s="280">
        <f t="shared" si="60"/>
        <v>6.4671814671816925</v>
      </c>
      <c r="L703" s="201">
        <v>25</v>
      </c>
      <c r="M703" s="205">
        <v>43197</v>
      </c>
      <c r="N703" s="205">
        <v>43197</v>
      </c>
      <c r="O703" s="201"/>
      <c r="P703" s="201"/>
      <c r="AB703" s="110" t="str">
        <f>IFERROR(INDEX('WetLitterbags placem_collection'!$A$3:$A$500,MATCH(A703,'WetLitterbags placem_collection'!$K$4:$K$500,0)),"")</f>
        <v/>
      </c>
      <c r="AC703" s="110" t="str">
        <f>IFERROR(INDEX('WetLitterbags placem_collection'!$A$3:$A$500,MATCH($A703,'WetLitterbags placem_collection'!$O$4:$O$500,0)),"")</f>
        <v/>
      </c>
      <c r="AD703" s="110" t="str">
        <f>IFERROR(INDEX('WetLitterbags placem_collection'!$A$3:$A$500,MATCH($A703,'WetLitterbags placem_collection'!$M$4:$M$500,0)),"")</f>
        <v/>
      </c>
      <c r="AE703" s="110">
        <f>IFERROR(INDEX('WetLitterbags placem_collection'!$A$3:$A$500,MATCH($A703,'WetLitterbags placem_collection'!$Q$4:$Q$500,0)),"")</f>
        <v>118</v>
      </c>
    </row>
    <row r="704" spans="1:31">
      <c r="A704" s="197" t="s">
        <v>614</v>
      </c>
      <c r="C704" s="198">
        <v>2</v>
      </c>
      <c r="D704" s="197">
        <v>1.1162000000000001</v>
      </c>
      <c r="E704" s="202">
        <v>9.0031999999999996</v>
      </c>
      <c r="F704" s="202">
        <v>0.20030000000000001</v>
      </c>
      <c r="G704" s="201">
        <f t="shared" si="58"/>
        <v>9.2035</v>
      </c>
      <c r="H704" s="201">
        <v>9.0121000000000002</v>
      </c>
      <c r="I704" s="201">
        <f t="shared" si="57"/>
        <v>0.19139999999999979</v>
      </c>
      <c r="J704" s="201">
        <f t="shared" si="59"/>
        <v>8.9000000000002133E-3</v>
      </c>
      <c r="K704" s="280">
        <f t="shared" si="60"/>
        <v>4.4433349975038503</v>
      </c>
      <c r="L704" s="201">
        <v>24</v>
      </c>
      <c r="T704" s="204"/>
      <c r="U704" s="204"/>
      <c r="AB704" s="110" t="str">
        <f>IFERROR(INDEX('WetLitterbags placem_collection'!$A$3:$A$500,MATCH(A704,'WetLitterbags placem_collection'!$K$4:$K$500,0)),"")</f>
        <v/>
      </c>
      <c r="AC704" s="110" t="str">
        <f>IFERROR(INDEX('WetLitterbags placem_collection'!$A$3:$A$500,MATCH($A704,'WetLitterbags placem_collection'!$O$4:$O$500,0)),"")</f>
        <v/>
      </c>
      <c r="AD704" s="110" t="str">
        <f>IFERROR(INDEX('WetLitterbags placem_collection'!$A$3:$A$500,MATCH($A704,'WetLitterbags placem_collection'!$M$4:$M$500,0)),"")</f>
        <v/>
      </c>
      <c r="AE704" s="110">
        <f>IFERROR(INDEX('WetLitterbags placem_collection'!$A$3:$A$500,MATCH($A704,'WetLitterbags placem_collection'!$Q$4:$Q$500,0)),"")</f>
        <v>1</v>
      </c>
    </row>
    <row r="705" spans="1:31">
      <c r="A705" s="197" t="s">
        <v>613</v>
      </c>
      <c r="C705" s="197">
        <v>71</v>
      </c>
      <c r="D705" s="197">
        <v>1.3772</v>
      </c>
      <c r="E705" s="202">
        <v>9.1972000000000005</v>
      </c>
      <c r="F705" s="202">
        <v>0.20080000000000001</v>
      </c>
      <c r="G705" s="201">
        <f t="shared" si="58"/>
        <v>9.3979999999999997</v>
      </c>
      <c r="H705" s="201">
        <v>9.2026000000000003</v>
      </c>
      <c r="I705" s="201">
        <f t="shared" si="57"/>
        <v>0.19539999999999935</v>
      </c>
      <c r="J705" s="201">
        <f t="shared" si="59"/>
        <v>5.4000000000006543E-3</v>
      </c>
      <c r="K705" s="280">
        <f t="shared" si="60"/>
        <v>2.689243027888772</v>
      </c>
      <c r="L705" s="201">
        <v>4</v>
      </c>
      <c r="AB705" s="110" t="str">
        <f>IFERROR(INDEX('WetLitterbags placem_collection'!$A$3:$A$500,MATCH(A705,'WetLitterbags placem_collection'!$K$4:$K$500,0)),"")</f>
        <v/>
      </c>
      <c r="AC705" s="110" t="str">
        <f>IFERROR(INDEX('WetLitterbags placem_collection'!$A$3:$A$500,MATCH($A705,'WetLitterbags placem_collection'!$O$4:$O$500,0)),"")</f>
        <v/>
      </c>
      <c r="AD705" s="110" t="str">
        <f>IFERROR(INDEX('WetLitterbags placem_collection'!$A$3:$A$500,MATCH($A705,'WetLitterbags placem_collection'!$M$4:$M$500,0)),"")</f>
        <v/>
      </c>
      <c r="AE705" s="110">
        <f>IFERROR(INDEX('WetLitterbags placem_collection'!$A$3:$A$500,MATCH($A705,'WetLitterbags placem_collection'!$Q$4:$Q$500,0)),"")</f>
        <v>70</v>
      </c>
    </row>
    <row r="706" spans="1:31">
      <c r="A706" s="197" t="s">
        <v>612</v>
      </c>
      <c r="C706" s="198">
        <v>21</v>
      </c>
      <c r="D706" s="197">
        <v>1.2070000000000001</v>
      </c>
      <c r="E706" s="202">
        <v>7.8015999999999996</v>
      </c>
      <c r="F706" s="202">
        <v>0.20019999999999999</v>
      </c>
      <c r="G706" s="201">
        <f t="shared" si="58"/>
        <v>8.0017999999999994</v>
      </c>
      <c r="H706" s="201">
        <v>7.8155999999999999</v>
      </c>
      <c r="I706" s="201">
        <f t="shared" si="57"/>
        <v>0.18619999999999948</v>
      </c>
      <c r="J706" s="201">
        <f t="shared" si="59"/>
        <v>1.4000000000000512E-2</v>
      </c>
      <c r="K706" s="280">
        <f t="shared" si="60"/>
        <v>6.9930069930072492</v>
      </c>
      <c r="L706" s="201">
        <v>6</v>
      </c>
      <c r="AB706" s="110" t="str">
        <f>IFERROR(INDEX('WetLitterbags placem_collection'!$A$3:$A$500,MATCH(A706,'WetLitterbags placem_collection'!$K$4:$K$500,0)),"")</f>
        <v/>
      </c>
      <c r="AC706" s="110" t="str">
        <f>IFERROR(INDEX('WetLitterbags placem_collection'!$A$3:$A$500,MATCH($A706,'WetLitterbags placem_collection'!$O$4:$O$500,0)),"")</f>
        <v/>
      </c>
      <c r="AD706" s="110">
        <f>IFERROR(INDEX('WetLitterbags placem_collection'!$A$3:$A$500,MATCH($A706,'WetLitterbags placem_collection'!$M$4:$M$500,0)),"")</f>
        <v>20</v>
      </c>
      <c r="AE706" s="110" t="str">
        <f>IFERROR(INDEX('WetLitterbags placem_collection'!$A$3:$A$500,MATCH($A706,'WetLitterbags placem_collection'!$Q$4:$Q$500,0)),"")</f>
        <v/>
      </c>
    </row>
    <row r="707" spans="1:31">
      <c r="A707" t="s">
        <v>611</v>
      </c>
      <c r="C707">
        <v>112</v>
      </c>
      <c r="D707">
        <v>1.3818999999999999</v>
      </c>
      <c r="E707">
        <v>8.7741000000000007</v>
      </c>
      <c r="F707">
        <v>0.2107</v>
      </c>
      <c r="G707">
        <f t="shared" si="58"/>
        <v>8.9847999999999999</v>
      </c>
      <c r="H707">
        <v>8.7838999999999992</v>
      </c>
      <c r="I707">
        <f>G707-H707</f>
        <v>0.20090000000000074</v>
      </c>
      <c r="J707">
        <f t="shared" si="59"/>
        <v>9.7999999999992538E-3</v>
      </c>
      <c r="K707" s="280">
        <f t="shared" si="60"/>
        <v>4.6511627906973203</v>
      </c>
      <c r="L707">
        <v>11</v>
      </c>
      <c r="M707" t="s">
        <v>2576</v>
      </c>
      <c r="N707">
        <v>43153.729166666664</v>
      </c>
      <c r="O707" t="s">
        <v>2550</v>
      </c>
      <c r="P707" t="s">
        <v>2574</v>
      </c>
      <c r="Q707"/>
      <c r="AB707" s="110" t="str">
        <f>IFERROR(INDEX('WetLitterbags placem_collection'!$A$3:$A$500,MATCH(A707,'WetLitterbags placem_collection'!$K$4:$K$500,0)),"")</f>
        <v/>
      </c>
      <c r="AC707" s="110" t="str">
        <f>IFERROR(INDEX('WetLitterbags placem_collection'!$A$3:$A$500,MATCH($A707,'WetLitterbags placem_collection'!$O$4:$O$500,0)),"")</f>
        <v/>
      </c>
      <c r="AD707" s="110" t="str">
        <f>IFERROR(INDEX('WetLitterbags placem_collection'!$A$3:$A$500,MATCH($A707,'WetLitterbags placem_collection'!$M$4:$M$500,0)),"")</f>
        <v/>
      </c>
      <c r="AE707" s="110">
        <f>IFERROR(INDEX('WetLitterbags placem_collection'!$A$3:$A$500,MATCH($A707,'WetLitterbags placem_collection'!$Q$4:$Q$500,0)),"")</f>
        <v>111</v>
      </c>
    </row>
    <row r="708" spans="1:31">
      <c r="A708" s="201" t="s">
        <v>610</v>
      </c>
      <c r="C708" s="201">
        <v>7</v>
      </c>
      <c r="D708" s="201">
        <v>1.2060999999999999</v>
      </c>
      <c r="E708" s="202">
        <v>10.9216</v>
      </c>
      <c r="F708" s="202">
        <v>0.20549999999999999</v>
      </c>
      <c r="G708" s="201">
        <f t="shared" si="58"/>
        <v>11.1271</v>
      </c>
      <c r="H708" s="201">
        <v>10.928100000000001</v>
      </c>
      <c r="I708" s="201">
        <f t="shared" ref="I708:I739" si="61">(G708-H708)</f>
        <v>0.19899999999999984</v>
      </c>
      <c r="J708" s="201">
        <f t="shared" si="59"/>
        <v>6.5000000000001446E-3</v>
      </c>
      <c r="K708" s="280">
        <f t="shared" si="60"/>
        <v>3.1630170316302406</v>
      </c>
      <c r="L708" s="201">
        <v>3</v>
      </c>
      <c r="M708" s="207">
        <v>43185.385416666664</v>
      </c>
      <c r="N708" s="201"/>
      <c r="O708" s="201" t="s">
        <v>2556</v>
      </c>
      <c r="P708" s="201"/>
      <c r="AB708" s="110" t="str">
        <f>IFERROR(INDEX('WetLitterbags placem_collection'!$A$3:$A$500,MATCH(A708,'WetLitterbags placem_collection'!$K$4:$K$500,0)),"")</f>
        <v/>
      </c>
      <c r="AC708" s="110" t="str">
        <f>IFERROR(INDEX('WetLitterbags placem_collection'!$A$3:$A$500,MATCH($A708,'WetLitterbags placem_collection'!$O$4:$O$500,0)),"")</f>
        <v/>
      </c>
      <c r="AD708" s="110">
        <f>IFERROR(INDEX('WetLitterbags placem_collection'!$A$3:$A$500,MATCH($A708,'WetLitterbags placem_collection'!$M$4:$M$500,0)),"")</f>
        <v>6</v>
      </c>
      <c r="AE708" s="110" t="str">
        <f>IFERROR(INDEX('WetLitterbags placem_collection'!$A$3:$A$500,MATCH($A708,'WetLitterbags placem_collection'!$Q$4:$Q$500,0)),"")</f>
        <v/>
      </c>
    </row>
    <row r="709" spans="1:31">
      <c r="A709" s="201" t="s">
        <v>609</v>
      </c>
      <c r="C709" s="201">
        <v>121</v>
      </c>
      <c r="D709" s="201">
        <v>1.419</v>
      </c>
      <c r="E709" s="201">
        <v>10.0755</v>
      </c>
      <c r="F709" s="201">
        <v>0.2034</v>
      </c>
      <c r="G709" s="201">
        <f t="shared" si="58"/>
        <v>10.2789</v>
      </c>
      <c r="H709" s="201">
        <v>10.0906</v>
      </c>
      <c r="I709" s="201">
        <f t="shared" si="61"/>
        <v>0.18829999999999991</v>
      </c>
      <c r="J709" s="201">
        <f t="shared" si="59"/>
        <v>1.5100000000000086E-2</v>
      </c>
      <c r="K709" s="280">
        <f t="shared" si="60"/>
        <v>7.423795476892864</v>
      </c>
      <c r="L709" s="201">
        <v>10</v>
      </c>
      <c r="M709" s="205">
        <v>43188</v>
      </c>
      <c r="N709" s="205">
        <v>43188</v>
      </c>
      <c r="O709" s="201"/>
      <c r="P709" s="201"/>
      <c r="AB709" s="110" t="str">
        <f>IFERROR(INDEX('WetLitterbags placem_collection'!$A$3:$A$500,MATCH(A709,'WetLitterbags placem_collection'!$K$4:$K$500,0)),"")</f>
        <v/>
      </c>
      <c r="AC709" s="110" t="str">
        <f>IFERROR(INDEX('WetLitterbags placem_collection'!$A$3:$A$500,MATCH($A709,'WetLitterbags placem_collection'!$O$4:$O$500,0)),"")</f>
        <v/>
      </c>
      <c r="AD709" s="110">
        <f>IFERROR(INDEX('WetLitterbags placem_collection'!$A$3:$A$500,MATCH($A709,'WetLitterbags placem_collection'!$M$4:$M$500,0)),"")</f>
        <v>120</v>
      </c>
      <c r="AE709" s="110" t="str">
        <f>IFERROR(INDEX('WetLitterbags placem_collection'!$A$3:$A$500,MATCH($A709,'WetLitterbags placem_collection'!$Q$4:$Q$500,0)),"")</f>
        <v/>
      </c>
    </row>
    <row r="710" spans="1:31">
      <c r="A710" s="197" t="s">
        <v>608</v>
      </c>
      <c r="C710" s="198">
        <v>149</v>
      </c>
      <c r="D710" s="197">
        <v>1.5586</v>
      </c>
      <c r="E710" s="201">
        <v>11.0868</v>
      </c>
      <c r="F710" s="202">
        <v>0.20100000000000001</v>
      </c>
      <c r="G710" s="201">
        <f t="shared" si="58"/>
        <v>11.287800000000001</v>
      </c>
      <c r="H710" s="201">
        <v>11.11</v>
      </c>
      <c r="I710" s="201">
        <f t="shared" si="61"/>
        <v>0.17780000000000129</v>
      </c>
      <c r="J710" s="201">
        <f t="shared" si="59"/>
        <v>2.3199999999998722E-2</v>
      </c>
      <c r="K710" s="280">
        <f t="shared" si="60"/>
        <v>11.542288557213293</v>
      </c>
      <c r="L710" s="201">
        <v>21</v>
      </c>
      <c r="M710" s="204">
        <v>43212</v>
      </c>
      <c r="AB710" s="110" t="str">
        <f>IFERROR(INDEX('WetLitterbags placem_collection'!$A$3:$A$500,MATCH(A710,'WetLitterbags placem_collection'!$K$4:$K$500,0)),"")</f>
        <v/>
      </c>
      <c r="AC710" s="110" t="str">
        <f>IFERROR(INDEX('WetLitterbags placem_collection'!$A$3:$A$500,MATCH($A710,'WetLitterbags placem_collection'!$O$4:$O$500,0)),"")</f>
        <v/>
      </c>
      <c r="AD710" s="110" t="str">
        <f>IFERROR(INDEX('WetLitterbags placem_collection'!$A$3:$A$500,MATCH($A710,'WetLitterbags placem_collection'!$M$4:$M$500,0)),"")</f>
        <v/>
      </c>
      <c r="AE710" s="110">
        <f>IFERROR(INDEX('WetLitterbags placem_collection'!$A$3:$A$500,MATCH($A710,'WetLitterbags placem_collection'!$Q$4:$Q$500,0)),"")</f>
        <v>148</v>
      </c>
    </row>
    <row r="711" spans="1:31">
      <c r="A711" s="206" t="s">
        <v>607</v>
      </c>
      <c r="C711" s="201">
        <v>168</v>
      </c>
      <c r="D711" s="201">
        <v>1.4766999999999999</v>
      </c>
      <c r="E711" s="202">
        <v>10.539199999999999</v>
      </c>
      <c r="F711" s="202">
        <v>0.20269999999999999</v>
      </c>
      <c r="G711" s="201">
        <f t="shared" si="58"/>
        <v>10.741899999999999</v>
      </c>
      <c r="H711" s="201">
        <v>10.543200000000001</v>
      </c>
      <c r="I711" s="201">
        <f t="shared" si="61"/>
        <v>0.19869999999999877</v>
      </c>
      <c r="J711" s="201">
        <f t="shared" si="59"/>
        <v>4.0000000000012248E-3</v>
      </c>
      <c r="K711" s="280">
        <f t="shared" si="60"/>
        <v>1.9733596447958683</v>
      </c>
      <c r="L711" s="201">
        <v>11</v>
      </c>
      <c r="M711" s="207">
        <v>43185.385416666664</v>
      </c>
      <c r="N711" s="201"/>
      <c r="O711" s="201" t="s">
        <v>2556</v>
      </c>
      <c r="P711" s="201"/>
      <c r="AB711" s="110" t="str">
        <f>IFERROR(INDEX('WetLitterbags placem_collection'!$A$3:$A$500,MATCH(A711,'WetLitterbags placem_collection'!$K$4:$K$500,0)),"")</f>
        <v/>
      </c>
      <c r="AC711" s="110" t="str">
        <f>IFERROR(INDEX('WetLitterbags placem_collection'!$A$3:$A$500,MATCH($A711,'WetLitterbags placem_collection'!$O$4:$O$500,0)),"")</f>
        <v/>
      </c>
      <c r="AD711" s="110">
        <f>IFERROR(INDEX('WetLitterbags placem_collection'!$A$3:$A$500,MATCH($A711,'WetLitterbags placem_collection'!$M$4:$M$500,0)),"")</f>
        <v>167</v>
      </c>
      <c r="AE711" s="110" t="str">
        <f>IFERROR(INDEX('WetLitterbags placem_collection'!$A$3:$A$500,MATCH($A711,'WetLitterbags placem_collection'!$Q$4:$Q$500,0)),"")</f>
        <v/>
      </c>
    </row>
    <row r="712" spans="1:31">
      <c r="A712" s="206" t="s">
        <v>606</v>
      </c>
      <c r="C712" s="201">
        <v>140</v>
      </c>
      <c r="D712" s="201">
        <v>1.3013999999999999</v>
      </c>
      <c r="E712" s="201">
        <v>9.3427000000000007</v>
      </c>
      <c r="F712" s="201">
        <v>0.2026</v>
      </c>
      <c r="G712" s="201">
        <f t="shared" si="58"/>
        <v>9.545300000000001</v>
      </c>
      <c r="H712" s="201">
        <v>9.3559999999999999</v>
      </c>
      <c r="I712" s="201">
        <f t="shared" si="61"/>
        <v>0.18930000000000113</v>
      </c>
      <c r="J712" s="201">
        <f t="shared" si="59"/>
        <v>1.3299999999998868E-2</v>
      </c>
      <c r="K712" s="280">
        <f t="shared" si="60"/>
        <v>6.5646594274426793</v>
      </c>
      <c r="L712" s="201">
        <v>2</v>
      </c>
      <c r="M712" s="203">
        <v>43164.628472222219</v>
      </c>
      <c r="N712" s="203">
        <v>43164.795138888891</v>
      </c>
      <c r="O712" s="197" t="s">
        <v>2550</v>
      </c>
      <c r="P712" s="201"/>
      <c r="AB712" s="110" t="str">
        <f>IFERROR(INDEX('WetLitterbags placem_collection'!$A$3:$A$500,MATCH(A712,'WetLitterbags placem_collection'!$K$4:$K$500,0)),"")</f>
        <v/>
      </c>
      <c r="AC712" s="110" t="str">
        <f>IFERROR(INDEX('WetLitterbags placem_collection'!$A$3:$A$500,MATCH($A712,'WetLitterbags placem_collection'!$O$4:$O$500,0)),"")</f>
        <v/>
      </c>
      <c r="AD712" s="110">
        <f>IFERROR(INDEX('WetLitterbags placem_collection'!$A$3:$A$500,MATCH($A712,'WetLitterbags placem_collection'!$M$4:$M$500,0)),"")</f>
        <v>139</v>
      </c>
      <c r="AE712" s="110" t="str">
        <f>IFERROR(INDEX('WetLitterbags placem_collection'!$A$3:$A$500,MATCH($A712,'WetLitterbags placem_collection'!$Q$4:$Q$500,0)),"")</f>
        <v/>
      </c>
    </row>
    <row r="713" spans="1:31">
      <c r="A713" s="201" t="s">
        <v>606</v>
      </c>
      <c r="C713" s="201">
        <v>172</v>
      </c>
      <c r="D713" s="201">
        <f>1.3431+F713</f>
        <v>1.5443</v>
      </c>
      <c r="E713" s="202">
        <v>9.2363999999999997</v>
      </c>
      <c r="F713" s="202">
        <v>0.20119999999999999</v>
      </c>
      <c r="G713" s="201">
        <f t="shared" si="58"/>
        <v>9.4375999999999998</v>
      </c>
      <c r="H713" s="201">
        <v>9.2407000000000004</v>
      </c>
      <c r="I713" s="201">
        <f t="shared" si="61"/>
        <v>0.19689999999999941</v>
      </c>
      <c r="J713" s="201">
        <f t="shared" si="59"/>
        <v>4.3000000000005811E-3</v>
      </c>
      <c r="K713" s="280">
        <f t="shared" si="60"/>
        <v>2.1371769383700703</v>
      </c>
      <c r="L713" s="201">
        <v>20</v>
      </c>
      <c r="M713" s="205">
        <v>43174</v>
      </c>
      <c r="N713" s="205">
        <v>43174</v>
      </c>
      <c r="O713" s="201" t="s">
        <v>2556</v>
      </c>
      <c r="P713" s="201" t="s">
        <v>2551</v>
      </c>
      <c r="AB713" s="110" t="str">
        <f>IFERROR(INDEX('WetLitterbags placem_collection'!$A$3:$A$500,MATCH(A713,'WetLitterbags placem_collection'!$K$4:$K$500,0)),"")</f>
        <v/>
      </c>
      <c r="AC713" s="110" t="str">
        <f>IFERROR(INDEX('WetLitterbags placem_collection'!$A$3:$A$500,MATCH($A713,'WetLitterbags placem_collection'!$O$4:$O$500,0)),"")</f>
        <v/>
      </c>
      <c r="AD713" s="110">
        <f>IFERROR(INDEX('WetLitterbags placem_collection'!$A$3:$A$500,MATCH($A713,'WetLitterbags placem_collection'!$M$4:$M$500,0)),"")</f>
        <v>139</v>
      </c>
      <c r="AE713" s="110" t="str">
        <f>IFERROR(INDEX('WetLitterbags placem_collection'!$A$3:$A$500,MATCH($A713,'WetLitterbags placem_collection'!$Q$4:$Q$500,0)),"")</f>
        <v/>
      </c>
    </row>
    <row r="714" spans="1:31">
      <c r="A714" s="206" t="s">
        <v>605</v>
      </c>
      <c r="C714" s="201">
        <v>132</v>
      </c>
      <c r="D714" s="201">
        <v>1.2561</v>
      </c>
      <c r="E714" s="201">
        <v>9.2353000000000005</v>
      </c>
      <c r="F714" s="201">
        <v>0.20530000000000001</v>
      </c>
      <c r="G714" s="201">
        <f t="shared" si="58"/>
        <v>9.4405999999999999</v>
      </c>
      <c r="H714" s="201">
        <v>9.4237000000000002</v>
      </c>
      <c r="I714" s="201">
        <f t="shared" si="61"/>
        <v>1.6899999999999693E-2</v>
      </c>
      <c r="J714" s="201">
        <f t="shared" si="59"/>
        <v>0.18840000000000032</v>
      </c>
      <c r="K714" s="280">
        <f t="shared" si="60"/>
        <v>91.768144179250029</v>
      </c>
      <c r="L714" s="201">
        <v>14</v>
      </c>
      <c r="M714" s="205">
        <v>43188</v>
      </c>
      <c r="N714" s="205">
        <v>43188</v>
      </c>
      <c r="O714" s="201"/>
      <c r="P714" s="201"/>
      <c r="AB714" s="110" t="str">
        <f>IFERROR(INDEX('WetLitterbags placem_collection'!$A$3:$A$500,MATCH(A714,'WetLitterbags placem_collection'!$K$4:$K$500,0)),"")</f>
        <v/>
      </c>
      <c r="AC714" s="110" t="str">
        <f>IFERROR(INDEX('WetLitterbags placem_collection'!$A$3:$A$500,MATCH($A714,'WetLitterbags placem_collection'!$O$4:$O$500,0)),"")</f>
        <v/>
      </c>
      <c r="AD714" s="110">
        <f>IFERROR(INDEX('WetLitterbags placem_collection'!$A$3:$A$500,MATCH($A714,'WetLitterbags placem_collection'!$M$4:$M$500,0)),"")</f>
        <v>131</v>
      </c>
      <c r="AE714" s="110" t="str">
        <f>IFERROR(INDEX('WetLitterbags placem_collection'!$A$3:$A$500,MATCH($A714,'WetLitterbags placem_collection'!$Q$4:$Q$500,0)),"")</f>
        <v/>
      </c>
    </row>
    <row r="715" spans="1:31">
      <c r="A715" s="197" t="s">
        <v>604</v>
      </c>
      <c r="C715" s="198">
        <v>182</v>
      </c>
      <c r="D715" s="197">
        <v>1.5063</v>
      </c>
      <c r="E715" s="202">
        <v>7.7148000000000003</v>
      </c>
      <c r="F715" s="202">
        <v>0.20039999999999999</v>
      </c>
      <c r="G715" s="201">
        <f t="shared" si="58"/>
        <v>7.9152000000000005</v>
      </c>
      <c r="H715" s="201">
        <v>7.7190000000000003</v>
      </c>
      <c r="I715" s="201">
        <f t="shared" si="61"/>
        <v>0.19620000000000015</v>
      </c>
      <c r="J715" s="201">
        <f t="shared" si="59"/>
        <v>4.1999999999998427E-3</v>
      </c>
      <c r="K715" s="280">
        <f t="shared" si="60"/>
        <v>2.0958083832334542</v>
      </c>
      <c r="L715" s="201">
        <v>12</v>
      </c>
      <c r="AB715" s="110" t="str">
        <f>IFERROR(INDEX('WetLitterbags placem_collection'!$A$3:$A$500,MATCH(A715,'WetLitterbags placem_collection'!$K$4:$K$500,0)),"")</f>
        <v/>
      </c>
      <c r="AC715" s="110" t="str">
        <f>IFERROR(INDEX('WetLitterbags placem_collection'!$A$3:$A$500,MATCH($A715,'WetLitterbags placem_collection'!$O$4:$O$500,0)),"")</f>
        <v/>
      </c>
      <c r="AD715" s="110" t="str">
        <f>IFERROR(INDEX('WetLitterbags placem_collection'!$A$3:$A$500,MATCH($A715,'WetLitterbags placem_collection'!$M$4:$M$500,0)),"")</f>
        <v/>
      </c>
      <c r="AE715" s="110">
        <f>IFERROR(INDEX('WetLitterbags placem_collection'!$A$3:$A$500,MATCH($A715,'WetLitterbags placem_collection'!$Q$4:$Q$500,0)),"")</f>
        <v>181</v>
      </c>
    </row>
    <row r="716" spans="1:31">
      <c r="A716" s="201" t="s">
        <v>603</v>
      </c>
      <c r="C716" s="201">
        <v>139</v>
      </c>
      <c r="D716" s="201">
        <v>1.1411</v>
      </c>
      <c r="E716" s="202">
        <v>9.5542999999999996</v>
      </c>
      <c r="F716" s="202">
        <v>0.20119999999999999</v>
      </c>
      <c r="G716" s="201">
        <f t="shared" si="58"/>
        <v>9.7554999999999996</v>
      </c>
      <c r="H716" s="201">
        <v>9.5751000000000008</v>
      </c>
      <c r="I716" s="201">
        <f t="shared" si="61"/>
        <v>0.18039999999999878</v>
      </c>
      <c r="J716" s="201">
        <f t="shared" si="59"/>
        <v>2.0800000000001206E-2</v>
      </c>
      <c r="K716" s="280">
        <f t="shared" si="60"/>
        <v>10.337972166998611</v>
      </c>
      <c r="L716" s="201">
        <v>6</v>
      </c>
      <c r="M716" s="205">
        <v>43199</v>
      </c>
      <c r="N716" s="205">
        <v>43199</v>
      </c>
      <c r="O716" s="201"/>
      <c r="P716" s="201"/>
      <c r="AB716" s="110" t="str">
        <f>IFERROR(INDEX('WetLitterbags placem_collection'!$A$3:$A$500,MATCH(A716,'WetLitterbags placem_collection'!$K$4:$K$500,0)),"")</f>
        <v/>
      </c>
      <c r="AC716" s="110" t="str">
        <f>IFERROR(INDEX('WetLitterbags placem_collection'!$A$3:$A$500,MATCH($A716,'WetLitterbags placem_collection'!$O$4:$O$500,0)),"")</f>
        <v/>
      </c>
      <c r="AD716" s="110" t="str">
        <f>IFERROR(INDEX('WetLitterbags placem_collection'!$A$3:$A$500,MATCH($A716,'WetLitterbags placem_collection'!$M$4:$M$500,0)),"")</f>
        <v/>
      </c>
      <c r="AE716" s="110">
        <f>IFERROR(INDEX('WetLitterbags placem_collection'!$A$3:$A$500,MATCH($A716,'WetLitterbags placem_collection'!$Q$4:$Q$500,0)),"")</f>
        <v>138</v>
      </c>
    </row>
    <row r="717" spans="1:31">
      <c r="A717" s="197" t="s">
        <v>602</v>
      </c>
      <c r="C717" s="197">
        <v>185</v>
      </c>
      <c r="D717" s="197">
        <v>1.538</v>
      </c>
      <c r="E717" s="201">
        <v>10.7933</v>
      </c>
      <c r="F717" s="202">
        <v>0.20069999999999999</v>
      </c>
      <c r="G717" s="201">
        <f t="shared" si="58"/>
        <v>10.994</v>
      </c>
      <c r="H717" s="201">
        <v>10.7965</v>
      </c>
      <c r="I717" s="201">
        <f t="shared" si="61"/>
        <v>0.19749999999999979</v>
      </c>
      <c r="J717" s="201">
        <f t="shared" si="59"/>
        <v>3.2000000000002027E-3</v>
      </c>
      <c r="K717" s="280">
        <f t="shared" si="60"/>
        <v>1.5944195316393635</v>
      </c>
      <c r="L717" s="201">
        <v>32</v>
      </c>
      <c r="M717" s="204">
        <v>43212</v>
      </c>
      <c r="AB717" s="110" t="str">
        <f>IFERROR(INDEX('WetLitterbags placem_collection'!$A$3:$A$500,MATCH(A717,'WetLitterbags placem_collection'!$K$4:$K$500,0)),"")</f>
        <v/>
      </c>
      <c r="AC717" s="110" t="str">
        <f>IFERROR(INDEX('WetLitterbags placem_collection'!$A$3:$A$500,MATCH($A717,'WetLitterbags placem_collection'!$O$4:$O$500,0)),"")</f>
        <v/>
      </c>
      <c r="AD717" s="110" t="str">
        <f>IFERROR(INDEX('WetLitterbags placem_collection'!$A$3:$A$500,MATCH($A717,'WetLitterbags placem_collection'!$M$4:$M$500,0)),"")</f>
        <v/>
      </c>
      <c r="AE717" s="110">
        <f>IFERROR(INDEX('WetLitterbags placem_collection'!$A$3:$A$500,MATCH($A717,'WetLitterbags placem_collection'!$Q$4:$Q$500,0)),"")</f>
        <v>184</v>
      </c>
    </row>
    <row r="718" spans="1:31">
      <c r="A718" s="197" t="s">
        <v>601</v>
      </c>
      <c r="C718" s="197">
        <v>105</v>
      </c>
      <c r="D718" s="197">
        <v>1.5065999999999999</v>
      </c>
      <c r="E718" s="197">
        <v>20.017700000000001</v>
      </c>
      <c r="F718" s="197">
        <v>0.20130000000000001</v>
      </c>
      <c r="G718" s="197">
        <f t="shared" si="58"/>
        <v>20.219000000000001</v>
      </c>
      <c r="H718" s="197">
        <v>20.029299999999999</v>
      </c>
      <c r="I718" s="197">
        <f t="shared" si="61"/>
        <v>0.18970000000000198</v>
      </c>
      <c r="J718" s="201">
        <f t="shared" si="59"/>
        <v>1.1599999999998029E-2</v>
      </c>
      <c r="K718" s="280">
        <f t="shared" si="60"/>
        <v>5.7625434674605209</v>
      </c>
      <c r="L718" s="197">
        <v>6</v>
      </c>
      <c r="M718" s="197" t="s">
        <v>2576</v>
      </c>
      <c r="N718" s="197">
        <v>43153.729166666664</v>
      </c>
      <c r="O718" s="197" t="s">
        <v>2550</v>
      </c>
      <c r="P718" s="197" t="s">
        <v>2574</v>
      </c>
      <c r="AB718" s="110" t="str">
        <f>IFERROR(INDEX('WetLitterbags placem_collection'!$A$3:$A$500,MATCH(A718,'WetLitterbags placem_collection'!$K$4:$K$500,0)),"")</f>
        <v/>
      </c>
      <c r="AC718" s="110" t="str">
        <f>IFERROR(INDEX('WetLitterbags placem_collection'!$A$3:$A$500,MATCH($A718,'WetLitterbags placem_collection'!$O$4:$O$500,0)),"")</f>
        <v/>
      </c>
      <c r="AD718" s="110" t="str">
        <f>IFERROR(INDEX('WetLitterbags placem_collection'!$A$3:$A$500,MATCH($A718,'WetLitterbags placem_collection'!$M$4:$M$500,0)),"")</f>
        <v/>
      </c>
      <c r="AE718" s="110">
        <f>IFERROR(INDEX('WetLitterbags placem_collection'!$A$3:$A$500,MATCH($A718,'WetLitterbags placem_collection'!$Q$4:$Q$500,0)),"")</f>
        <v>104</v>
      </c>
    </row>
    <row r="719" spans="1:31">
      <c r="A719" s="197" t="s">
        <v>600</v>
      </c>
      <c r="C719" s="201">
        <v>184</v>
      </c>
      <c r="D719" s="197">
        <v>1.5148999999999999</v>
      </c>
      <c r="E719" s="201">
        <v>11.4434</v>
      </c>
      <c r="F719" s="202">
        <v>0.20369999999999999</v>
      </c>
      <c r="G719" s="201">
        <f t="shared" si="58"/>
        <v>11.6471</v>
      </c>
      <c r="H719" s="201">
        <v>11.448700000000001</v>
      </c>
      <c r="I719" s="201">
        <f t="shared" si="61"/>
        <v>0.19839999999999947</v>
      </c>
      <c r="J719" s="201">
        <f t="shared" si="59"/>
        <v>5.3000000000005265E-3</v>
      </c>
      <c r="K719" s="280">
        <f t="shared" si="60"/>
        <v>2.6018654884636851</v>
      </c>
      <c r="L719" s="201">
        <v>36</v>
      </c>
      <c r="M719" s="205">
        <v>43211</v>
      </c>
      <c r="AB719" s="110" t="str">
        <f>IFERROR(INDEX('WetLitterbags placem_collection'!$A$3:$A$500,MATCH(A719,'WetLitterbags placem_collection'!$K$4:$K$500,0)),"")</f>
        <v/>
      </c>
      <c r="AC719" s="110" t="str">
        <f>IFERROR(INDEX('WetLitterbags placem_collection'!$A$3:$A$500,MATCH($A719,'WetLitterbags placem_collection'!$O$4:$O$500,0)),"")</f>
        <v/>
      </c>
      <c r="AD719" s="110">
        <f>IFERROR(INDEX('WetLitterbags placem_collection'!$A$3:$A$500,MATCH($A719,'WetLitterbags placem_collection'!$M$4:$M$500,0)),"")</f>
        <v>183</v>
      </c>
      <c r="AE719" s="110" t="str">
        <f>IFERROR(INDEX('WetLitterbags placem_collection'!$A$3:$A$500,MATCH($A719,'WetLitterbags placem_collection'!$Q$4:$Q$500,0)),"")</f>
        <v/>
      </c>
    </row>
    <row r="720" spans="1:31">
      <c r="A720" s="197" t="s">
        <v>599</v>
      </c>
      <c r="C720" s="197">
        <v>17</v>
      </c>
      <c r="D720" s="197">
        <v>1.3929</v>
      </c>
      <c r="E720" s="201">
        <v>7.3167999999999997</v>
      </c>
      <c r="F720" s="202">
        <v>0.2092</v>
      </c>
      <c r="G720" s="201">
        <f t="shared" si="58"/>
        <v>7.5259999999999998</v>
      </c>
      <c r="H720" s="201">
        <v>7.3322000000000003</v>
      </c>
      <c r="I720" s="201">
        <f t="shared" si="61"/>
        <v>0.19379999999999953</v>
      </c>
      <c r="J720" s="201">
        <f t="shared" si="59"/>
        <v>1.5400000000000469E-2</v>
      </c>
      <c r="K720" s="280">
        <f t="shared" si="60"/>
        <v>7.361376673040378</v>
      </c>
      <c r="L720" s="201">
        <v>13</v>
      </c>
      <c r="M720" s="204">
        <v>43213</v>
      </c>
      <c r="N720" s="204">
        <v>43213</v>
      </c>
      <c r="AB720" s="110" t="str">
        <f>IFERROR(INDEX('WetLitterbags placem_collection'!$A$3:$A$500,MATCH(A720,'WetLitterbags placem_collection'!$K$4:$K$500,0)),"")</f>
        <v/>
      </c>
      <c r="AC720" s="110" t="str">
        <f>IFERROR(INDEX('WetLitterbags placem_collection'!$A$3:$A$500,MATCH($A720,'WetLitterbags placem_collection'!$O$4:$O$500,0)),"")</f>
        <v/>
      </c>
      <c r="AD720" s="110">
        <f>IFERROR(INDEX('WetLitterbags placem_collection'!$A$3:$A$500,MATCH($A720,'WetLitterbags placem_collection'!$M$4:$M$500,0)),"")</f>
        <v>16</v>
      </c>
      <c r="AE720" s="110" t="str">
        <f>IFERROR(INDEX('WetLitterbags placem_collection'!$A$3:$A$500,MATCH($A720,'WetLitterbags placem_collection'!$Q$4:$Q$500,0)),"")</f>
        <v/>
      </c>
    </row>
    <row r="721" spans="1:31">
      <c r="A721" s="197" t="s">
        <v>598</v>
      </c>
      <c r="C721" s="197">
        <v>136</v>
      </c>
      <c r="D721" s="197">
        <v>1.3183</v>
      </c>
      <c r="E721" s="197">
        <v>8.7314000000000007</v>
      </c>
      <c r="F721" s="197">
        <v>0.20480000000000001</v>
      </c>
      <c r="G721" s="197">
        <f t="shared" si="58"/>
        <v>8.9362000000000013</v>
      </c>
      <c r="H721" s="197">
        <v>8.7448999999999995</v>
      </c>
      <c r="I721" s="197">
        <f t="shared" si="61"/>
        <v>0.1913000000000018</v>
      </c>
      <c r="J721" s="201">
        <f t="shared" si="59"/>
        <v>1.3499999999998208E-2</v>
      </c>
      <c r="K721" s="280">
        <f t="shared" si="60"/>
        <v>6.5917968749991243</v>
      </c>
      <c r="L721" s="197">
        <v>5</v>
      </c>
      <c r="M721" s="197">
        <v>43157.527777777781</v>
      </c>
      <c r="N721" s="197">
        <v>43157.694444444445</v>
      </c>
      <c r="O721" s="197" t="s">
        <v>2556</v>
      </c>
      <c r="AB721" s="110" t="str">
        <f>IFERROR(INDEX('WetLitterbags placem_collection'!$A$3:$A$500,MATCH(A721,'WetLitterbags placem_collection'!$K$4:$K$500,0)),"")</f>
        <v/>
      </c>
      <c r="AC721" s="110" t="str">
        <f>IFERROR(INDEX('WetLitterbags placem_collection'!$A$3:$A$500,MATCH($A721,'WetLitterbags placem_collection'!$O$4:$O$500,0)),"")</f>
        <v/>
      </c>
      <c r="AD721" s="110" t="str">
        <f>IFERROR(INDEX('WetLitterbags placem_collection'!$A$3:$A$500,MATCH($A721,'WetLitterbags placem_collection'!$M$4:$M$500,0)),"")</f>
        <v/>
      </c>
      <c r="AE721" s="110">
        <f>IFERROR(INDEX('WetLitterbags placem_collection'!$A$3:$A$500,MATCH($A721,'WetLitterbags placem_collection'!$Q$4:$Q$500,0)),"")</f>
        <v>135</v>
      </c>
    </row>
    <row r="722" spans="1:31">
      <c r="A722" s="206" t="s">
        <v>597</v>
      </c>
      <c r="C722" s="201">
        <v>118</v>
      </c>
      <c r="D722" s="202">
        <v>1.3688</v>
      </c>
      <c r="E722" s="202">
        <v>7.8598999999999997</v>
      </c>
      <c r="F722" s="202">
        <v>0.19980000000000001</v>
      </c>
      <c r="G722" s="201">
        <f t="shared" si="58"/>
        <v>8.0596999999999994</v>
      </c>
      <c r="H722" s="201">
        <v>7.8691000000000004</v>
      </c>
      <c r="I722" s="201">
        <f t="shared" si="61"/>
        <v>0.19059999999999899</v>
      </c>
      <c r="J722" s="201">
        <f t="shared" si="59"/>
        <v>9.2000000000010129E-3</v>
      </c>
      <c r="K722" s="280">
        <f t="shared" si="60"/>
        <v>4.604604604605111</v>
      </c>
      <c r="L722" s="201">
        <v>17</v>
      </c>
      <c r="M722" s="201"/>
      <c r="N722" s="201"/>
      <c r="O722" s="201"/>
      <c r="P722" s="201"/>
      <c r="AB722" s="110" t="str">
        <f>IFERROR(INDEX('WetLitterbags placem_collection'!$A$3:$A$500,MATCH(A722,'WetLitterbags placem_collection'!$K$4:$K$500,0)),"")</f>
        <v/>
      </c>
      <c r="AC722" s="110" t="str">
        <f>IFERROR(INDEX('WetLitterbags placem_collection'!$A$3:$A$500,MATCH($A722,'WetLitterbags placem_collection'!$O$4:$O$500,0)),"")</f>
        <v/>
      </c>
      <c r="AD722" s="110" t="str">
        <f>IFERROR(INDEX('WetLitterbags placem_collection'!$A$3:$A$500,MATCH($A722,'WetLitterbags placem_collection'!$M$4:$M$500,0)),"")</f>
        <v/>
      </c>
      <c r="AE722" s="110">
        <f>IFERROR(INDEX('WetLitterbags placem_collection'!$A$3:$A$500,MATCH($A722,'WetLitterbags placem_collection'!$Q$4:$Q$500,0)),"")</f>
        <v>117</v>
      </c>
    </row>
    <row r="723" spans="1:31">
      <c r="A723" s="197" t="s">
        <v>596</v>
      </c>
      <c r="C723" s="198">
        <v>149</v>
      </c>
      <c r="D723" s="197">
        <v>1.4964999999999999</v>
      </c>
      <c r="E723" s="201">
        <v>7.9055</v>
      </c>
      <c r="F723" s="202">
        <v>0.20230000000000001</v>
      </c>
      <c r="G723" s="201">
        <f t="shared" si="58"/>
        <v>8.1077999999999992</v>
      </c>
      <c r="H723" s="201">
        <v>7.9234999999999998</v>
      </c>
      <c r="I723" s="201">
        <f t="shared" si="61"/>
        <v>0.18429999999999946</v>
      </c>
      <c r="J723" s="201">
        <f t="shared" si="59"/>
        <v>1.8000000000000543E-2</v>
      </c>
      <c r="K723" s="280">
        <f t="shared" si="60"/>
        <v>8.8976767177461902</v>
      </c>
      <c r="L723" s="201">
        <v>40</v>
      </c>
      <c r="M723" s="204">
        <v>43212</v>
      </c>
      <c r="P723" s="197" t="s">
        <v>2568</v>
      </c>
      <c r="AB723" s="110" t="str">
        <f>IFERROR(INDEX('WetLitterbags placem_collection'!$A$3:$A$500,MATCH(A723,'WetLitterbags placem_collection'!$K$4:$K$500,0)),"")</f>
        <v/>
      </c>
      <c r="AC723" s="110" t="str">
        <f>IFERROR(INDEX('WetLitterbags placem_collection'!$A$3:$A$500,MATCH($A723,'WetLitterbags placem_collection'!$O$4:$O$500,0)),"")</f>
        <v/>
      </c>
      <c r="AD723" s="110">
        <f>IFERROR(INDEX('WetLitterbags placem_collection'!$A$3:$A$500,MATCH($A723,'WetLitterbags placem_collection'!$M$4:$M$500,0)),"")</f>
        <v>148</v>
      </c>
      <c r="AE723" s="110" t="str">
        <f>IFERROR(INDEX('WetLitterbags placem_collection'!$A$3:$A$500,MATCH($A723,'WetLitterbags placem_collection'!$Q$4:$Q$500,0)),"")</f>
        <v/>
      </c>
    </row>
    <row r="724" spans="1:31">
      <c r="A724" s="197" t="s">
        <v>595</v>
      </c>
      <c r="C724" s="197">
        <v>72</v>
      </c>
      <c r="D724" s="197">
        <v>1.3431999999999999</v>
      </c>
      <c r="E724" s="197">
        <v>11.1196</v>
      </c>
      <c r="F724" s="202">
        <v>0.20330000000000001</v>
      </c>
      <c r="G724" s="201">
        <f t="shared" si="58"/>
        <v>11.322900000000001</v>
      </c>
      <c r="H724" s="201">
        <v>11.1311</v>
      </c>
      <c r="I724" s="201">
        <f t="shared" si="61"/>
        <v>0.19180000000000064</v>
      </c>
      <c r="J724" s="201">
        <f t="shared" si="59"/>
        <v>1.1499999999999372E-2</v>
      </c>
      <c r="K724" s="280">
        <f t="shared" si="60"/>
        <v>5.6566650270533065</v>
      </c>
      <c r="L724" s="201">
        <v>18</v>
      </c>
      <c r="P724" s="197" t="s">
        <v>2557</v>
      </c>
      <c r="AB724" s="110" t="str">
        <f>IFERROR(INDEX('WetLitterbags placem_collection'!$A$3:$A$500,MATCH(A724,'WetLitterbags placem_collection'!$K$4:$K$500,0)),"")</f>
        <v/>
      </c>
      <c r="AC724" s="110" t="str">
        <f>IFERROR(INDEX('WetLitterbags placem_collection'!$A$3:$A$500,MATCH($A724,'WetLitterbags placem_collection'!$O$4:$O$500,0)),"")</f>
        <v/>
      </c>
      <c r="AD724" s="110">
        <f>IFERROR(INDEX('WetLitterbags placem_collection'!$A$3:$A$500,MATCH($A724,'WetLitterbags placem_collection'!$M$4:$M$500,0)),"")</f>
        <v>71</v>
      </c>
      <c r="AE724" s="110" t="str">
        <f>IFERROR(INDEX('WetLitterbags placem_collection'!$A$3:$A$500,MATCH($A724,'WetLitterbags placem_collection'!$Q$4:$Q$500,0)),"")</f>
        <v/>
      </c>
    </row>
    <row r="725" spans="1:31">
      <c r="A725" s="201" t="s">
        <v>594</v>
      </c>
      <c r="C725" s="201">
        <v>95</v>
      </c>
      <c r="D725" s="197">
        <v>2.7208999999999999</v>
      </c>
      <c r="E725" s="202">
        <v>11.9041</v>
      </c>
      <c r="F725" s="202">
        <v>0.2029</v>
      </c>
      <c r="G725" s="201">
        <f t="shared" si="58"/>
        <v>12.106999999999999</v>
      </c>
      <c r="H725" s="201">
        <v>11.9305</v>
      </c>
      <c r="I725" s="201">
        <f t="shared" si="61"/>
        <v>0.17649999999999899</v>
      </c>
      <c r="J725" s="201">
        <f t="shared" si="59"/>
        <v>2.6400000000001006E-2</v>
      </c>
      <c r="K725" s="280">
        <f t="shared" si="60"/>
        <v>13.011335633317401</v>
      </c>
      <c r="L725" s="201">
        <v>16</v>
      </c>
      <c r="M725" s="205">
        <v>43174</v>
      </c>
      <c r="N725" s="205">
        <v>43174</v>
      </c>
      <c r="O725" s="201" t="s">
        <v>2556</v>
      </c>
      <c r="P725" s="201" t="s">
        <v>2551</v>
      </c>
      <c r="AB725" s="110" t="str">
        <f>IFERROR(INDEX('WetLitterbags placem_collection'!$A$3:$A$500,MATCH(A725,'WetLitterbags placem_collection'!$K$4:$K$500,0)),"")</f>
        <v/>
      </c>
      <c r="AC725" s="110" t="str">
        <f>IFERROR(INDEX('WetLitterbags placem_collection'!$A$3:$A$500,MATCH($A725,'WetLitterbags placem_collection'!$O$4:$O$500,0)),"")</f>
        <v/>
      </c>
      <c r="AD725" s="110" t="str">
        <f>IFERROR(INDEX('WetLitterbags placem_collection'!$A$3:$A$500,MATCH($A725,'WetLitterbags placem_collection'!$M$4:$M$500,0)),"")</f>
        <v/>
      </c>
      <c r="AE725" s="110">
        <f>IFERROR(INDEX('WetLitterbags placem_collection'!$A$3:$A$500,MATCH($A725,'WetLitterbags placem_collection'!$Q$4:$Q$500,0)),"")</f>
        <v>94</v>
      </c>
    </row>
    <row r="726" spans="1:31">
      <c r="A726" s="197" t="s">
        <v>593</v>
      </c>
      <c r="C726" s="197">
        <v>105</v>
      </c>
      <c r="D726" s="197">
        <v>1.5258</v>
      </c>
      <c r="E726" s="197">
        <v>20.898399999999999</v>
      </c>
      <c r="F726" s="197">
        <v>0.2021</v>
      </c>
      <c r="G726" s="197">
        <f t="shared" si="58"/>
        <v>21.1005</v>
      </c>
      <c r="H726" s="197">
        <v>20.931699999999999</v>
      </c>
      <c r="I726" s="197">
        <f t="shared" si="61"/>
        <v>0.16880000000000095</v>
      </c>
      <c r="J726" s="201">
        <f t="shared" si="59"/>
        <v>3.3299999999999053E-2</v>
      </c>
      <c r="K726" s="280">
        <f t="shared" si="60"/>
        <v>16.476991588322143</v>
      </c>
      <c r="L726" s="197">
        <v>7</v>
      </c>
      <c r="M726" s="197" t="s">
        <v>2576</v>
      </c>
      <c r="N726" s="197">
        <v>43153.729166666664</v>
      </c>
      <c r="O726" s="197" t="s">
        <v>2550</v>
      </c>
      <c r="P726" s="197" t="s">
        <v>2574</v>
      </c>
      <c r="AB726" s="110" t="str">
        <f>IFERROR(INDEX('WetLitterbags placem_collection'!$A$3:$A$500,MATCH(A726,'WetLitterbags placem_collection'!$K$4:$K$500,0)),"")</f>
        <v/>
      </c>
      <c r="AC726" s="110" t="str">
        <f>IFERROR(INDEX('WetLitterbags placem_collection'!$A$3:$A$500,MATCH($A726,'WetLitterbags placem_collection'!$O$4:$O$500,0)),"")</f>
        <v/>
      </c>
      <c r="AD726" s="110">
        <f>IFERROR(INDEX('WetLitterbags placem_collection'!$A$3:$A$500,MATCH($A726,'WetLitterbags placem_collection'!$M$4:$M$500,0)),"")</f>
        <v>104</v>
      </c>
      <c r="AE726" s="110" t="str">
        <f>IFERROR(INDEX('WetLitterbags placem_collection'!$A$3:$A$500,MATCH($A726,'WetLitterbags placem_collection'!$Q$4:$Q$500,0)),"")</f>
        <v/>
      </c>
    </row>
    <row r="727" spans="1:31">
      <c r="A727" s="197" t="s">
        <v>592</v>
      </c>
      <c r="C727" s="197">
        <v>99</v>
      </c>
      <c r="D727" s="197">
        <v>1.3541000000000001</v>
      </c>
      <c r="E727" s="197">
        <v>20.781099999999999</v>
      </c>
      <c r="F727" s="197">
        <v>0.20880000000000001</v>
      </c>
      <c r="G727" s="197">
        <f t="shared" si="58"/>
        <v>20.989899999999999</v>
      </c>
      <c r="H727" s="197">
        <v>20.7882</v>
      </c>
      <c r="I727" s="197">
        <f t="shared" si="61"/>
        <v>0.20169999999999888</v>
      </c>
      <c r="J727" s="201">
        <f t="shared" si="59"/>
        <v>7.1000000000011332E-3</v>
      </c>
      <c r="K727" s="280">
        <f t="shared" si="60"/>
        <v>3.4003831417629944</v>
      </c>
      <c r="L727" s="197">
        <v>3</v>
      </c>
      <c r="M727" s="197" t="s">
        <v>2576</v>
      </c>
      <c r="N727" s="197">
        <v>43153.729166666664</v>
      </c>
      <c r="O727" s="197" t="s">
        <v>2550</v>
      </c>
      <c r="P727" s="197" t="s">
        <v>2574</v>
      </c>
      <c r="AB727" s="110" t="str">
        <f>IFERROR(INDEX('WetLitterbags placem_collection'!$A$3:$A$500,MATCH(A727,'WetLitterbags placem_collection'!$K$4:$K$500,0)),"")</f>
        <v/>
      </c>
      <c r="AC727" s="110" t="str">
        <f>IFERROR(INDEX('WetLitterbags placem_collection'!$A$3:$A$500,MATCH($A727,'WetLitterbags placem_collection'!$O$4:$O$500,0)),"")</f>
        <v/>
      </c>
      <c r="AD727" s="110">
        <f>IFERROR(INDEX('WetLitterbags placem_collection'!$A$3:$A$500,MATCH($A727,'WetLitterbags placem_collection'!$M$4:$M$500,0)),"")</f>
        <v>98</v>
      </c>
      <c r="AE727" s="110" t="str">
        <f>IFERROR(INDEX('WetLitterbags placem_collection'!$A$3:$A$500,MATCH($A727,'WetLitterbags placem_collection'!$Q$4:$Q$500,0)),"")</f>
        <v/>
      </c>
    </row>
    <row r="728" spans="1:31">
      <c r="A728" s="206" t="s">
        <v>2531</v>
      </c>
      <c r="C728" s="201">
        <v>110</v>
      </c>
      <c r="D728" s="201">
        <v>1.2992999999999999</v>
      </c>
      <c r="E728" s="201">
        <v>10.5213</v>
      </c>
      <c r="F728" s="202">
        <v>0.2064</v>
      </c>
      <c r="G728" s="201">
        <f t="shared" si="58"/>
        <v>10.7277</v>
      </c>
      <c r="H728" s="201">
        <v>10.5314</v>
      </c>
      <c r="I728" s="201">
        <f t="shared" si="61"/>
        <v>0.19630000000000081</v>
      </c>
      <c r="J728" s="201">
        <f t="shared" si="59"/>
        <v>1.0099999999999193E-2</v>
      </c>
      <c r="K728" s="280">
        <f t="shared" si="60"/>
        <v>4.8934108527127869</v>
      </c>
      <c r="L728" s="201">
        <v>27</v>
      </c>
      <c r="M728" s="205">
        <v>43211</v>
      </c>
      <c r="AB728" s="110" t="str">
        <f>IFERROR(INDEX('WetLitterbags placem_collection'!$A$3:$A$500,MATCH(A728,'WetLitterbags placem_collection'!$K$4:$K$500,0)),"")</f>
        <v/>
      </c>
      <c r="AC728" s="110" t="str">
        <f>IFERROR(INDEX('WetLitterbags placem_collection'!$A$3:$A$500,MATCH($A728,'WetLitterbags placem_collection'!$O$4:$O$500,0)),"")</f>
        <v/>
      </c>
      <c r="AD728" s="110" t="str">
        <f>IFERROR(INDEX('WetLitterbags placem_collection'!$A$3:$A$500,MATCH($A728,'WetLitterbags placem_collection'!$M$4:$M$500,0)),"")</f>
        <v/>
      </c>
      <c r="AE728" s="110">
        <f>IFERROR(INDEX('WetLitterbags placem_collection'!$A$3:$A$500,MATCH($A728,'WetLitterbags placem_collection'!$Q$4:$Q$500,0)),"")</f>
        <v>109</v>
      </c>
    </row>
    <row r="729" spans="1:31">
      <c r="A729" s="201" t="s">
        <v>2496</v>
      </c>
      <c r="C729" s="201">
        <v>55</v>
      </c>
      <c r="D729" s="201">
        <v>1.2990999999999999</v>
      </c>
      <c r="E729" s="201">
        <v>10.901400000000001</v>
      </c>
      <c r="F729" s="202">
        <v>0.20949999999999999</v>
      </c>
      <c r="G729" s="201">
        <f t="shared" si="58"/>
        <v>11.110900000000001</v>
      </c>
      <c r="H729" s="201">
        <v>10.9238</v>
      </c>
      <c r="I729" s="201">
        <f t="shared" si="61"/>
        <v>0.18710000000000093</v>
      </c>
      <c r="J729" s="201">
        <f t="shared" si="59"/>
        <v>2.239999999999906E-2</v>
      </c>
      <c r="K729" s="280">
        <f t="shared" si="60"/>
        <v>10.692124105011484</v>
      </c>
      <c r="L729" s="201">
        <v>15</v>
      </c>
      <c r="M729" s="205">
        <v>43187</v>
      </c>
      <c r="N729" s="205">
        <v>43187</v>
      </c>
      <c r="O729" s="201"/>
      <c r="P729" s="201"/>
      <c r="U729" s="202" t="s">
        <v>1254</v>
      </c>
      <c r="V729" s="197">
        <v>1.0869</v>
      </c>
      <c r="W729" s="197">
        <f>(V729-$T$175+F727)</f>
        <v>1.2957000000000001</v>
      </c>
      <c r="AB729" s="110" t="str">
        <f>IFERROR(INDEX('WetLitterbags placem_collection'!$A$3:$A$500,MATCH(A729,'WetLitterbags placem_collection'!$K$4:$K$500,0)),"")</f>
        <v/>
      </c>
      <c r="AC729" s="110" t="str">
        <f>IFERROR(INDEX('WetLitterbags placem_collection'!$A$3:$A$500,MATCH($A729,'WetLitterbags placem_collection'!$O$4:$O$500,0)),"")</f>
        <v/>
      </c>
      <c r="AD729" s="110" t="str">
        <f>IFERROR(INDEX('WetLitterbags placem_collection'!$A$3:$A$500,MATCH($A729,'WetLitterbags placem_collection'!$M$4:$M$500,0)),"")</f>
        <v/>
      </c>
      <c r="AE729" s="110">
        <f>IFERROR(INDEX('WetLitterbags placem_collection'!$A$3:$A$500,MATCH($A729,'WetLitterbags placem_collection'!$Q$4:$Q$500,0)),"")</f>
        <v>54</v>
      </c>
    </row>
    <row r="730" spans="1:31">
      <c r="A730" s="197" t="s">
        <v>1086</v>
      </c>
      <c r="C730" s="197">
        <v>126</v>
      </c>
      <c r="D730" s="197">
        <v>1.2043999999999999</v>
      </c>
      <c r="E730" s="197">
        <v>10.855700000000001</v>
      </c>
      <c r="F730" s="197">
        <v>0.20710000000000001</v>
      </c>
      <c r="G730" s="197">
        <f t="shared" si="58"/>
        <v>11.062800000000001</v>
      </c>
      <c r="H730" s="197">
        <v>10.863799999999999</v>
      </c>
      <c r="I730" s="197">
        <f t="shared" si="61"/>
        <v>0.19900000000000162</v>
      </c>
      <c r="J730" s="201">
        <f t="shared" si="59"/>
        <v>8.0999999999983863E-3</v>
      </c>
      <c r="K730" s="280">
        <f t="shared" si="60"/>
        <v>3.9111540318678832</v>
      </c>
      <c r="L730" s="197">
        <v>1</v>
      </c>
      <c r="M730" s="197">
        <v>43157.527777777781</v>
      </c>
      <c r="N730" s="197">
        <v>43157.694444444445</v>
      </c>
      <c r="O730" s="197" t="s">
        <v>2556</v>
      </c>
      <c r="AB730" s="110" t="str">
        <f>IFERROR(INDEX('WetLitterbags placem_collection'!$A$3:$A$500,MATCH(A730,'WetLitterbags placem_collection'!$K$4:$K$500,0)),"")</f>
        <v/>
      </c>
      <c r="AC730" s="110" t="str">
        <f>IFERROR(INDEX('WetLitterbags placem_collection'!$A$3:$A$500,MATCH($A730,'WetLitterbags placem_collection'!$O$4:$O$500,0)),"")</f>
        <v/>
      </c>
      <c r="AD730" s="110" t="str">
        <f>IFERROR(INDEX('WetLitterbags placem_collection'!$A$3:$A$500,MATCH($A730,'WetLitterbags placem_collection'!$M$4:$M$500,0)),"")</f>
        <v/>
      </c>
      <c r="AE730" s="110">
        <f>IFERROR(INDEX('WetLitterbags placem_collection'!$A$3:$A$500,MATCH($A730,'WetLitterbags placem_collection'!$Q$4:$Q$500,0)),"")</f>
        <v>125</v>
      </c>
    </row>
    <row r="731" spans="1:31">
      <c r="A731" s="206" t="s">
        <v>591</v>
      </c>
      <c r="C731" s="201">
        <v>64</v>
      </c>
      <c r="D731" s="202">
        <v>1.4125000000000001</v>
      </c>
      <c r="E731" s="201">
        <v>9.7211999999999996</v>
      </c>
      <c r="F731" s="202">
        <v>0.2026</v>
      </c>
      <c r="G731" s="201">
        <f t="shared" si="58"/>
        <v>9.9238</v>
      </c>
      <c r="H731" s="201">
        <v>9.7532999999999994</v>
      </c>
      <c r="I731" s="201">
        <f t="shared" si="61"/>
        <v>0.17050000000000054</v>
      </c>
      <c r="J731" s="201">
        <f t="shared" si="59"/>
        <v>3.2099999999999462E-2</v>
      </c>
      <c r="K731" s="280">
        <f t="shared" si="60"/>
        <v>15.844027640671007</v>
      </c>
      <c r="L731" s="201">
        <v>17</v>
      </c>
      <c r="M731" s="205">
        <v>43206</v>
      </c>
      <c r="N731" s="205">
        <v>43206</v>
      </c>
      <c r="O731" s="201"/>
      <c r="P731" s="201"/>
      <c r="AB731" s="110" t="str">
        <f>IFERROR(INDEX('WetLitterbags placem_collection'!$A$3:$A$500,MATCH(A731,'WetLitterbags placem_collection'!$K$4:$K$500,0)),"")</f>
        <v/>
      </c>
      <c r="AC731" s="110" t="str">
        <f>IFERROR(INDEX('WetLitterbags placem_collection'!$A$3:$A$500,MATCH($A731,'WetLitterbags placem_collection'!$O$4:$O$500,0)),"")</f>
        <v/>
      </c>
      <c r="AD731" s="110" t="str">
        <f>IFERROR(INDEX('WetLitterbags placem_collection'!$A$3:$A$500,MATCH($A731,'WetLitterbags placem_collection'!$M$4:$M$500,0)),"")</f>
        <v/>
      </c>
      <c r="AE731" s="110">
        <f>IFERROR(INDEX('WetLitterbags placem_collection'!$A$3:$A$500,MATCH($A731,'WetLitterbags placem_collection'!$Q$4:$Q$500,0)),"")</f>
        <v>63</v>
      </c>
    </row>
    <row r="732" spans="1:31">
      <c r="A732" s="197" t="s">
        <v>589</v>
      </c>
      <c r="C732" s="197">
        <v>106</v>
      </c>
      <c r="D732" s="197">
        <v>1.4557</v>
      </c>
      <c r="E732" s="197">
        <v>8.0465</v>
      </c>
      <c r="F732" s="197">
        <v>0.19600000000000001</v>
      </c>
      <c r="G732" s="197">
        <f t="shared" si="58"/>
        <v>8.2424999999999997</v>
      </c>
      <c r="H732" s="197">
        <v>8.0646000000000004</v>
      </c>
      <c r="I732" s="197">
        <f t="shared" si="61"/>
        <v>0.17789999999999928</v>
      </c>
      <c r="J732" s="201">
        <f t="shared" si="59"/>
        <v>1.8100000000000727E-2</v>
      </c>
      <c r="K732" s="280">
        <f t="shared" si="60"/>
        <v>9.2346938775513898</v>
      </c>
      <c r="L732" s="197">
        <v>4</v>
      </c>
      <c r="M732" s="197">
        <v>43157.395833333336</v>
      </c>
      <c r="N732" s="197">
        <v>43157.569444444445</v>
      </c>
      <c r="O732" s="197" t="s">
        <v>2550</v>
      </c>
      <c r="AB732" s="110" t="str">
        <f>IFERROR(INDEX('WetLitterbags placem_collection'!$A$3:$A$500,MATCH(A732,'WetLitterbags placem_collection'!$K$4:$K$500,0)),"")</f>
        <v/>
      </c>
      <c r="AC732" s="110" t="str">
        <f>IFERROR(INDEX('WetLitterbags placem_collection'!$A$3:$A$500,MATCH($A732,'WetLitterbags placem_collection'!$O$4:$O$500,0)),"")</f>
        <v/>
      </c>
      <c r="AD732" s="110">
        <f>IFERROR(INDEX('WetLitterbags placem_collection'!$A$3:$A$500,MATCH($A732,'WetLitterbags placem_collection'!$M$4:$M$500,0)),"")</f>
        <v>108</v>
      </c>
      <c r="AE732" s="110" t="str">
        <f>IFERROR(INDEX('WetLitterbags placem_collection'!$A$3:$A$500,MATCH($A732,'WetLitterbags placem_collection'!$Q$4:$Q$500,0)),"")</f>
        <v/>
      </c>
    </row>
    <row r="733" spans="1:31">
      <c r="A733" s="197" t="s">
        <v>588</v>
      </c>
      <c r="C733" s="197">
        <v>115</v>
      </c>
      <c r="D733" s="197">
        <v>0.5464</v>
      </c>
      <c r="E733" s="197">
        <v>19.7163</v>
      </c>
      <c r="F733" s="197">
        <v>0.19450000000000001</v>
      </c>
      <c r="G733" s="197">
        <f t="shared" si="58"/>
        <v>19.910800000000002</v>
      </c>
      <c r="H733" s="197">
        <v>19.8947</v>
      </c>
      <c r="I733" s="197">
        <f t="shared" si="61"/>
        <v>1.6100000000001558E-2</v>
      </c>
      <c r="J733" s="201">
        <f t="shared" si="59"/>
        <v>0.17839999999999845</v>
      </c>
      <c r="K733" s="280">
        <f t="shared" si="60"/>
        <v>91.722365038559602</v>
      </c>
      <c r="L733" s="197">
        <v>14</v>
      </c>
      <c r="M733" s="197" t="s">
        <v>2576</v>
      </c>
      <c r="N733" s="197">
        <v>43153.729166666664</v>
      </c>
      <c r="O733" s="197" t="s">
        <v>2550</v>
      </c>
      <c r="P733" s="197" t="s">
        <v>2574</v>
      </c>
      <c r="AB733" s="110" t="str">
        <f>IFERROR(INDEX('WetLitterbags placem_collection'!$A$3:$A$500,MATCH(A733,'WetLitterbags placem_collection'!$K$4:$K$500,0)),"")</f>
        <v/>
      </c>
      <c r="AC733" s="110" t="str">
        <f>IFERROR(INDEX('WetLitterbags placem_collection'!$A$3:$A$500,MATCH($A733,'WetLitterbags placem_collection'!$O$4:$O$500,0)),"")</f>
        <v/>
      </c>
      <c r="AD733" s="110">
        <f>IFERROR(INDEX('WetLitterbags placem_collection'!$A$3:$A$500,MATCH($A733,'WetLitterbags placem_collection'!$M$4:$M$500,0)),"")</f>
        <v>114</v>
      </c>
      <c r="AE733" s="110" t="str">
        <f>IFERROR(INDEX('WetLitterbags placem_collection'!$A$3:$A$500,MATCH($A733,'WetLitterbags placem_collection'!$Q$4:$Q$500,0)),"")</f>
        <v/>
      </c>
    </row>
    <row r="734" spans="1:31">
      <c r="A734" s="197" t="s">
        <v>587</v>
      </c>
      <c r="C734" s="197">
        <v>128</v>
      </c>
      <c r="D734" s="197">
        <v>1.8813</v>
      </c>
      <c r="E734" s="197">
        <v>8.1418999999999997</v>
      </c>
      <c r="F734" s="197">
        <v>0.20810000000000001</v>
      </c>
      <c r="G734" s="197">
        <f t="shared" si="58"/>
        <v>8.35</v>
      </c>
      <c r="H734" s="197">
        <v>8.2802000000000007</v>
      </c>
      <c r="I734" s="197">
        <f t="shared" si="61"/>
        <v>6.9799999999998974E-2</v>
      </c>
      <c r="J734" s="201">
        <f t="shared" si="59"/>
        <v>0.13830000000000103</v>
      </c>
      <c r="K734" s="280">
        <f t="shared" si="60"/>
        <v>66.458433445459406</v>
      </c>
      <c r="L734" s="197">
        <v>8</v>
      </c>
      <c r="M734" s="197">
        <v>43157.395833333336</v>
      </c>
      <c r="N734" s="197">
        <v>43157.569444444445</v>
      </c>
      <c r="O734" s="197" t="s">
        <v>2550</v>
      </c>
      <c r="AB734" s="110" t="str">
        <f>IFERROR(INDEX('WetLitterbags placem_collection'!$A$3:$A$500,MATCH(A734,'WetLitterbags placem_collection'!$K$4:$K$500,0)),"")</f>
        <v/>
      </c>
      <c r="AC734" s="110" t="str">
        <f>IFERROR(INDEX('WetLitterbags placem_collection'!$A$3:$A$500,MATCH($A734,'WetLitterbags placem_collection'!$O$4:$O$500,0)),"")</f>
        <v/>
      </c>
      <c r="AD734" s="110">
        <f>IFERROR(INDEX('WetLitterbags placem_collection'!$A$3:$A$500,MATCH($A734,'WetLitterbags placem_collection'!$M$4:$M$500,0)),"")</f>
        <v>127</v>
      </c>
      <c r="AE734" s="110" t="str">
        <f>IFERROR(INDEX('WetLitterbags placem_collection'!$A$3:$A$500,MATCH($A734,'WetLitterbags placem_collection'!$Q$4:$Q$500,0)),"")</f>
        <v/>
      </c>
    </row>
    <row r="735" spans="1:31">
      <c r="A735" s="197" t="s">
        <v>586</v>
      </c>
      <c r="C735" s="198">
        <v>184</v>
      </c>
      <c r="D735" s="197">
        <v>1.5008999999999999</v>
      </c>
      <c r="E735" s="202">
        <v>11.055300000000001</v>
      </c>
      <c r="F735" s="202">
        <v>0.2036</v>
      </c>
      <c r="G735" s="201">
        <f t="shared" si="58"/>
        <v>11.258900000000001</v>
      </c>
      <c r="H735" s="201">
        <v>11.0609</v>
      </c>
      <c r="I735" s="201">
        <f t="shared" si="61"/>
        <v>0.1980000000000004</v>
      </c>
      <c r="J735" s="201">
        <f t="shared" si="59"/>
        <v>5.5999999999996053E-3</v>
      </c>
      <c r="K735" s="280">
        <f t="shared" si="60"/>
        <v>2.750491159135366</v>
      </c>
      <c r="L735" s="201">
        <v>3</v>
      </c>
      <c r="M735" s="204">
        <v>43221</v>
      </c>
      <c r="N735" s="204">
        <v>43221</v>
      </c>
      <c r="AB735" s="110" t="str">
        <f>IFERROR(INDEX('WetLitterbags placem_collection'!$A$3:$A$500,MATCH(A735,'WetLitterbags placem_collection'!$K$4:$K$500,0)),"")</f>
        <v/>
      </c>
      <c r="AC735" s="110" t="str">
        <f>IFERROR(INDEX('WetLitterbags placem_collection'!$A$3:$A$500,MATCH($A735,'WetLitterbags placem_collection'!$O$4:$O$500,0)),"")</f>
        <v/>
      </c>
      <c r="AD735" s="110" t="str">
        <f>IFERROR(INDEX('WetLitterbags placem_collection'!$A$3:$A$500,MATCH($A735,'WetLitterbags placem_collection'!$M$4:$M$500,0)),"")</f>
        <v/>
      </c>
      <c r="AE735" s="110">
        <f>IFERROR(INDEX('WetLitterbags placem_collection'!$A$3:$A$500,MATCH($A735,'WetLitterbags placem_collection'!$Q$4:$Q$500,0)),"")</f>
        <v>183</v>
      </c>
    </row>
    <row r="736" spans="1:31">
      <c r="A736" s="201" t="s">
        <v>585</v>
      </c>
      <c r="C736" s="201">
        <v>155</v>
      </c>
      <c r="D736" s="202">
        <v>1.3769</v>
      </c>
      <c r="E736" s="201">
        <v>8.7598000000000003</v>
      </c>
      <c r="F736" s="202">
        <v>0.20030000000000001</v>
      </c>
      <c r="G736" s="201">
        <f t="shared" si="58"/>
        <v>8.9601000000000006</v>
      </c>
      <c r="H736" s="201">
        <v>8.7750000000000004</v>
      </c>
      <c r="I736" s="201">
        <f t="shared" si="61"/>
        <v>0.18510000000000026</v>
      </c>
      <c r="J736" s="201">
        <f t="shared" si="59"/>
        <v>1.5199999999999741E-2</v>
      </c>
      <c r="K736" s="280">
        <f t="shared" si="60"/>
        <v>7.5886170743882877</v>
      </c>
      <c r="L736" s="201">
        <v>21</v>
      </c>
      <c r="M736" s="205">
        <v>43206</v>
      </c>
      <c r="N736" s="205">
        <v>43206</v>
      </c>
      <c r="O736" s="201"/>
      <c r="P736" s="201" t="s">
        <v>2564</v>
      </c>
      <c r="AB736" s="110" t="str">
        <f>IFERROR(INDEX('WetLitterbags placem_collection'!$A$3:$A$500,MATCH(A736,'WetLitterbags placem_collection'!$K$4:$K$500,0)),"")</f>
        <v/>
      </c>
      <c r="AC736" s="110" t="str">
        <f>IFERROR(INDEX('WetLitterbags placem_collection'!$A$3:$A$500,MATCH($A736,'WetLitterbags placem_collection'!$O$4:$O$500,0)),"")</f>
        <v/>
      </c>
      <c r="AD736" s="110" t="str">
        <f>IFERROR(INDEX('WetLitterbags placem_collection'!$A$3:$A$500,MATCH($A736,'WetLitterbags placem_collection'!$M$4:$M$500,0)),"")</f>
        <v/>
      </c>
      <c r="AE736" s="110">
        <f>IFERROR(INDEX('WetLitterbags placem_collection'!$A$3:$A$500,MATCH($A736,'WetLitterbags placem_collection'!$Q$4:$Q$500,0)),"")</f>
        <v>154</v>
      </c>
    </row>
    <row r="737" spans="1:31">
      <c r="A737" s="206" t="s">
        <v>584</v>
      </c>
      <c r="C737" s="201">
        <v>186</v>
      </c>
      <c r="D737" s="201">
        <v>1.514</v>
      </c>
      <c r="E737" s="201">
        <v>10.697900000000001</v>
      </c>
      <c r="F737" s="202">
        <v>0.20419999999999999</v>
      </c>
      <c r="G737" s="201">
        <f t="shared" si="58"/>
        <v>10.902100000000001</v>
      </c>
      <c r="H737" s="201">
        <v>10.702299999999999</v>
      </c>
      <c r="I737" s="201">
        <f t="shared" si="61"/>
        <v>0.19980000000000153</v>
      </c>
      <c r="J737" s="201">
        <f t="shared" si="59"/>
        <v>4.3999999999984607E-3</v>
      </c>
      <c r="K737" s="280">
        <f t="shared" si="60"/>
        <v>2.1547502448572287</v>
      </c>
      <c r="L737" s="201">
        <v>29</v>
      </c>
      <c r="M737" s="205">
        <v>43187</v>
      </c>
      <c r="N737" s="205">
        <v>43187</v>
      </c>
      <c r="O737" s="201"/>
      <c r="P737" s="201"/>
      <c r="AB737" s="110" t="str">
        <f>IFERROR(INDEX('WetLitterbags placem_collection'!$A$3:$A$500,MATCH(A737,'WetLitterbags placem_collection'!$K$4:$K$500,0)),"")</f>
        <v/>
      </c>
      <c r="AC737" s="110" t="str">
        <f>IFERROR(INDEX('WetLitterbags placem_collection'!$A$3:$A$500,MATCH($A737,'WetLitterbags placem_collection'!$O$4:$O$500,0)),"")</f>
        <v/>
      </c>
      <c r="AD737" s="110">
        <f>IFERROR(INDEX('WetLitterbags placem_collection'!$A$3:$A$500,MATCH($A737,'WetLitterbags placem_collection'!$M$4:$M$500,0)),"")</f>
        <v>185</v>
      </c>
      <c r="AE737" s="110" t="str">
        <f>IFERROR(INDEX('WetLitterbags placem_collection'!$A$3:$A$500,MATCH($A737,'WetLitterbags placem_collection'!$Q$4:$Q$500,0)),"")</f>
        <v/>
      </c>
    </row>
    <row r="738" spans="1:31">
      <c r="A738" s="201" t="s">
        <v>583</v>
      </c>
      <c r="C738" s="201">
        <v>171</v>
      </c>
      <c r="D738" s="201">
        <v>1.3822000000000001</v>
      </c>
      <c r="E738" s="202">
        <v>8.7588000000000008</v>
      </c>
      <c r="F738" s="202">
        <v>0.20580000000000001</v>
      </c>
      <c r="G738" s="201">
        <f t="shared" si="58"/>
        <v>8.9646000000000008</v>
      </c>
      <c r="H738" s="201">
        <v>8.7649000000000008</v>
      </c>
      <c r="I738" s="201">
        <f t="shared" si="61"/>
        <v>0.19969999999999999</v>
      </c>
      <c r="J738" s="201">
        <f t="shared" si="59"/>
        <v>6.1000000000000221E-3</v>
      </c>
      <c r="K738" s="280">
        <f t="shared" si="60"/>
        <v>2.9640427599611376</v>
      </c>
      <c r="L738" s="201">
        <v>9</v>
      </c>
      <c r="M738" s="205">
        <v>43174</v>
      </c>
      <c r="N738" s="205">
        <v>43174</v>
      </c>
      <c r="O738" s="201" t="s">
        <v>2556</v>
      </c>
      <c r="P738" s="201" t="s">
        <v>2551</v>
      </c>
      <c r="AB738" s="110" t="str">
        <f>IFERROR(INDEX('WetLitterbags placem_collection'!$A$3:$A$500,MATCH(A738,'WetLitterbags placem_collection'!$K$4:$K$500,0)),"")</f>
        <v/>
      </c>
      <c r="AC738" s="110" t="str">
        <f>IFERROR(INDEX('WetLitterbags placem_collection'!$A$3:$A$500,MATCH($A738,'WetLitterbags placem_collection'!$O$4:$O$500,0)),"")</f>
        <v/>
      </c>
      <c r="AD738" s="110">
        <f>IFERROR(INDEX('WetLitterbags placem_collection'!$A$3:$A$500,MATCH($A738,'WetLitterbags placem_collection'!$M$4:$M$500,0)),"")</f>
        <v>170</v>
      </c>
      <c r="AE738" s="110" t="str">
        <f>IFERROR(INDEX('WetLitterbags placem_collection'!$A$3:$A$500,MATCH($A738,'WetLitterbags placem_collection'!$Q$4:$Q$500,0)),"")</f>
        <v/>
      </c>
    </row>
    <row r="739" spans="1:31">
      <c r="A739" s="206" t="s">
        <v>582</v>
      </c>
      <c r="C739" s="201">
        <v>140</v>
      </c>
      <c r="D739" s="201">
        <v>1.4224000000000001</v>
      </c>
      <c r="E739" s="201">
        <v>8.4426000000000005</v>
      </c>
      <c r="F739" s="201">
        <v>0.2099</v>
      </c>
      <c r="G739" s="201">
        <f t="shared" si="58"/>
        <v>8.6524999999999999</v>
      </c>
      <c r="H739" s="201">
        <v>8.4672999999999998</v>
      </c>
      <c r="I739" s="201">
        <f t="shared" si="61"/>
        <v>0.18520000000000003</v>
      </c>
      <c r="J739" s="201">
        <f t="shared" si="59"/>
        <v>2.4699999999999972E-2</v>
      </c>
      <c r="K739" s="280">
        <f t="shared" si="60"/>
        <v>11.767508337303465</v>
      </c>
      <c r="L739" s="201">
        <v>1</v>
      </c>
      <c r="M739" s="203">
        <v>43164.628472222219</v>
      </c>
      <c r="N739" s="203">
        <v>43164.795138888891</v>
      </c>
      <c r="O739" s="197" t="s">
        <v>2550</v>
      </c>
      <c r="P739" s="201"/>
      <c r="AB739" s="110" t="str">
        <f>IFERROR(INDEX('WetLitterbags placem_collection'!$A$3:$A$500,MATCH(A739,'WetLitterbags placem_collection'!$K$4:$K$500,0)),"")</f>
        <v/>
      </c>
      <c r="AC739" s="110" t="str">
        <f>IFERROR(INDEX('WetLitterbags placem_collection'!$A$3:$A$500,MATCH($A739,'WetLitterbags placem_collection'!$O$4:$O$500,0)),"")</f>
        <v/>
      </c>
      <c r="AD739" s="110" t="str">
        <f>IFERROR(INDEX('WetLitterbags placem_collection'!$A$3:$A$500,MATCH($A739,'WetLitterbags placem_collection'!$M$4:$M$500,0)),"")</f>
        <v/>
      </c>
      <c r="AE739" s="110">
        <f>IFERROR(INDEX('WetLitterbags placem_collection'!$A$3:$A$500,MATCH($A739,'WetLitterbags placem_collection'!$Q$4:$Q$500,0)),"")</f>
        <v>139</v>
      </c>
    </row>
    <row r="740" spans="1:31">
      <c r="A740" s="197" t="s">
        <v>1085</v>
      </c>
      <c r="C740" s="197">
        <v>79</v>
      </c>
      <c r="D740" s="197">
        <v>1.4087000000000001</v>
      </c>
      <c r="E740" s="197">
        <v>19.805900000000001</v>
      </c>
      <c r="F740" s="197">
        <v>0.19109999999999999</v>
      </c>
      <c r="G740" s="197">
        <f t="shared" si="58"/>
        <v>19.997</v>
      </c>
      <c r="H740" s="197">
        <v>19.8095</v>
      </c>
      <c r="I740" s="197">
        <f t="shared" ref="I740:I771" si="62">(G740-H740)</f>
        <v>0.1875</v>
      </c>
      <c r="J740" s="201">
        <f t="shared" si="59"/>
        <v>3.5999999999999921E-3</v>
      </c>
      <c r="K740" s="280">
        <f t="shared" si="60"/>
        <v>1.8838304552590228</v>
      </c>
      <c r="L740" s="197">
        <v>21</v>
      </c>
      <c r="M740" s="197" t="s">
        <v>2580</v>
      </c>
      <c r="N740" s="197" t="s">
        <v>2579</v>
      </c>
      <c r="O740" s="197" t="s">
        <v>2556</v>
      </c>
      <c r="AB740" s="110" t="str">
        <f>IFERROR(INDEX('WetLitterbags placem_collection'!$A$3:$A$500,MATCH(A740,'WetLitterbags placem_collection'!$K$4:$K$500,0)),"")</f>
        <v/>
      </c>
      <c r="AC740" s="110" t="str">
        <f>IFERROR(INDEX('WetLitterbags placem_collection'!$A$3:$A$500,MATCH($A740,'WetLitterbags placem_collection'!$O$4:$O$500,0)),"")</f>
        <v/>
      </c>
      <c r="AD740" s="110" t="str">
        <f>IFERROR(INDEX('WetLitterbags placem_collection'!$A$3:$A$500,MATCH($A740,'WetLitterbags placem_collection'!$M$4:$M$500,0)),"")</f>
        <v/>
      </c>
      <c r="AE740" s="110">
        <f>IFERROR(INDEX('WetLitterbags placem_collection'!$A$3:$A$500,MATCH($A740,'WetLitterbags placem_collection'!$Q$4:$Q$500,0)),"")</f>
        <v>78</v>
      </c>
    </row>
    <row r="741" spans="1:31">
      <c r="A741" s="201" t="s">
        <v>581</v>
      </c>
      <c r="C741" s="201">
        <v>125</v>
      </c>
      <c r="D741" s="201">
        <v>0.8</v>
      </c>
      <c r="E741" s="202">
        <v>8.7681000000000004</v>
      </c>
      <c r="F741" s="202">
        <v>0.2019</v>
      </c>
      <c r="G741" s="201">
        <f t="shared" si="58"/>
        <v>8.9700000000000006</v>
      </c>
      <c r="H741" s="201">
        <v>8.9550000000000001</v>
      </c>
      <c r="I741" s="201">
        <f t="shared" si="62"/>
        <v>1.5000000000000568E-2</v>
      </c>
      <c r="J741" s="201">
        <f t="shared" si="59"/>
        <v>0.18689999999999943</v>
      </c>
      <c r="K741" s="280">
        <f t="shared" si="60"/>
        <v>92.570579494799119</v>
      </c>
      <c r="L741" s="201">
        <v>14</v>
      </c>
      <c r="M741" s="205">
        <v>43197</v>
      </c>
      <c r="N741" s="205">
        <v>43197</v>
      </c>
      <c r="O741" s="201"/>
      <c r="P741" s="201"/>
      <c r="AB741" s="110" t="str">
        <f>IFERROR(INDEX('WetLitterbags placem_collection'!$A$3:$A$500,MATCH(A741,'WetLitterbags placem_collection'!$K$4:$K$500,0)),"")</f>
        <v/>
      </c>
      <c r="AC741" s="110" t="str">
        <f>IFERROR(INDEX('WetLitterbags placem_collection'!$A$3:$A$500,MATCH($A741,'WetLitterbags placem_collection'!$O$4:$O$500,0)),"")</f>
        <v/>
      </c>
      <c r="AD741" s="110">
        <f>IFERROR(INDEX('WetLitterbags placem_collection'!$A$3:$A$500,MATCH($A741,'WetLitterbags placem_collection'!$M$4:$M$500,0)),"")</f>
        <v>124</v>
      </c>
      <c r="AE741" s="110" t="str">
        <f>IFERROR(INDEX('WetLitterbags placem_collection'!$A$3:$A$500,MATCH($A741,'WetLitterbags placem_collection'!$Q$4:$Q$500,0)),"")</f>
        <v/>
      </c>
    </row>
    <row r="742" spans="1:31">
      <c r="A742" s="206" t="s">
        <v>580</v>
      </c>
      <c r="C742" s="201">
        <v>98</v>
      </c>
      <c r="D742" s="201">
        <v>1.3828</v>
      </c>
      <c r="E742" s="202">
        <v>11.8628</v>
      </c>
      <c r="F742" s="202">
        <v>0.2011</v>
      </c>
      <c r="G742" s="201">
        <f t="shared" si="58"/>
        <v>12.0639</v>
      </c>
      <c r="H742" s="201">
        <v>11.887499999999999</v>
      </c>
      <c r="I742" s="201">
        <f t="shared" si="62"/>
        <v>0.176400000000001</v>
      </c>
      <c r="J742" s="201">
        <f t="shared" si="59"/>
        <v>2.4699999999999001E-2</v>
      </c>
      <c r="K742" s="280">
        <f t="shared" si="60"/>
        <v>12.28244654400746</v>
      </c>
      <c r="L742" s="201">
        <v>22</v>
      </c>
      <c r="M742" s="207">
        <v>43185.385416666664</v>
      </c>
      <c r="N742" s="201"/>
      <c r="O742" s="201" t="s">
        <v>2556</v>
      </c>
      <c r="P742" s="201"/>
      <c r="AB742" s="110" t="str">
        <f>IFERROR(INDEX('WetLitterbags placem_collection'!$A$3:$A$500,MATCH(A742,'WetLitterbags placem_collection'!$K$4:$K$500,0)),"")</f>
        <v/>
      </c>
      <c r="AC742" s="110" t="str">
        <f>IFERROR(INDEX('WetLitterbags placem_collection'!$A$3:$A$500,MATCH($A742,'WetLitterbags placem_collection'!$O$4:$O$500,0)),"")</f>
        <v/>
      </c>
      <c r="AD742" s="110" t="str">
        <f>IFERROR(INDEX('WetLitterbags placem_collection'!$A$3:$A$500,MATCH($A742,'WetLitterbags placem_collection'!$M$4:$M$500,0)),"")</f>
        <v/>
      </c>
      <c r="AE742" s="110">
        <f>IFERROR(INDEX('WetLitterbags placem_collection'!$A$3:$A$500,MATCH($A742,'WetLitterbags placem_collection'!$Q$4:$Q$500,0)),"")</f>
        <v>97</v>
      </c>
    </row>
    <row r="743" spans="1:31">
      <c r="A743" s="201" t="s">
        <v>578</v>
      </c>
      <c r="C743" s="201">
        <v>139</v>
      </c>
      <c r="D743" s="201">
        <v>1.9558</v>
      </c>
      <c r="E743" s="202">
        <v>8.7025000000000006</v>
      </c>
      <c r="F743" s="202">
        <v>0.2029</v>
      </c>
      <c r="G743" s="201">
        <f t="shared" si="58"/>
        <v>8.9054000000000002</v>
      </c>
      <c r="H743" s="201">
        <v>8.8855000000000004</v>
      </c>
      <c r="I743" s="201">
        <f t="shared" si="62"/>
        <v>1.9899999999999807E-2</v>
      </c>
      <c r="J743" s="201">
        <f t="shared" si="59"/>
        <v>0.18300000000000019</v>
      </c>
      <c r="K743" s="280">
        <f t="shared" si="60"/>
        <v>90.192212912765001</v>
      </c>
      <c r="L743" s="201">
        <v>5</v>
      </c>
      <c r="M743" s="205">
        <v>43199</v>
      </c>
      <c r="N743" s="205">
        <v>43199</v>
      </c>
      <c r="O743" s="201"/>
      <c r="P743" s="201"/>
      <c r="AB743" s="110" t="str">
        <f>IFERROR(INDEX('WetLitterbags placem_collection'!$A$3:$A$500,MATCH(A743,'WetLitterbags placem_collection'!$K$4:$K$500,0)),"")</f>
        <v/>
      </c>
      <c r="AC743" s="110" t="str">
        <f>IFERROR(INDEX('WetLitterbags placem_collection'!$A$3:$A$500,MATCH($A743,'WetLitterbags placem_collection'!$O$4:$O$500,0)),"")</f>
        <v/>
      </c>
      <c r="AD743" s="110">
        <f>IFERROR(INDEX('WetLitterbags placem_collection'!$A$3:$A$500,MATCH($A743,'WetLitterbags placem_collection'!$M$4:$M$500,0)),"")</f>
        <v>138</v>
      </c>
      <c r="AE743" s="110" t="str">
        <f>IFERROR(INDEX('WetLitterbags placem_collection'!$A$3:$A$500,MATCH($A743,'WetLitterbags placem_collection'!$Q$4:$Q$500,0)),"")</f>
        <v/>
      </c>
    </row>
    <row r="744" spans="1:31">
      <c r="A744" s="201" t="s">
        <v>577</v>
      </c>
      <c r="C744" s="201">
        <v>121</v>
      </c>
      <c r="D744" s="201">
        <v>1.2749999999999999</v>
      </c>
      <c r="E744" s="201">
        <v>9.2199000000000009</v>
      </c>
      <c r="F744" s="201">
        <v>0.2009</v>
      </c>
      <c r="G744" s="201">
        <f t="shared" si="58"/>
        <v>9.4208000000000016</v>
      </c>
      <c r="H744" s="201">
        <v>9.2349999999999994</v>
      </c>
      <c r="I744" s="201">
        <f t="shared" si="62"/>
        <v>0.18580000000000219</v>
      </c>
      <c r="J744" s="201">
        <f t="shared" si="59"/>
        <v>1.509999999999781E-2</v>
      </c>
      <c r="K744" s="280">
        <f t="shared" si="60"/>
        <v>7.5161772025872624</v>
      </c>
      <c r="L744" s="201">
        <v>9</v>
      </c>
      <c r="M744" s="205">
        <v>43188</v>
      </c>
      <c r="N744" s="205">
        <v>43188</v>
      </c>
      <c r="O744" s="201"/>
      <c r="P744" s="201"/>
      <c r="AB744" s="110" t="str">
        <f>IFERROR(INDEX('WetLitterbags placem_collection'!$A$3:$A$500,MATCH(A744,'WetLitterbags placem_collection'!$K$4:$K$500,0)),"")</f>
        <v/>
      </c>
      <c r="AC744" s="110" t="str">
        <f>IFERROR(INDEX('WetLitterbags placem_collection'!$A$3:$A$500,MATCH($A744,'WetLitterbags placem_collection'!$O$4:$O$500,0)),"")</f>
        <v/>
      </c>
      <c r="AD744" s="110" t="str">
        <f>IFERROR(INDEX('WetLitterbags placem_collection'!$A$3:$A$500,MATCH($A744,'WetLitterbags placem_collection'!$M$4:$M$500,0)),"")</f>
        <v/>
      </c>
      <c r="AE744" s="110">
        <f>IFERROR(INDEX('WetLitterbags placem_collection'!$A$3:$A$500,MATCH($A744,'WetLitterbags placem_collection'!$Q$4:$Q$500,0)),"")</f>
        <v>120</v>
      </c>
    </row>
    <row r="745" spans="1:31">
      <c r="A745" s="206" t="s">
        <v>575</v>
      </c>
      <c r="C745" s="201">
        <v>19</v>
      </c>
      <c r="D745" s="201">
        <v>1.2431000000000001</v>
      </c>
      <c r="E745" s="201">
        <v>11.0016</v>
      </c>
      <c r="F745" s="202">
        <v>0.20380000000000001</v>
      </c>
      <c r="G745" s="201">
        <f t="shared" si="58"/>
        <v>11.205399999999999</v>
      </c>
      <c r="H745" s="201">
        <v>11.018800000000001</v>
      </c>
      <c r="I745" s="201">
        <f t="shared" si="62"/>
        <v>0.18659999999999854</v>
      </c>
      <c r="J745" s="201">
        <f t="shared" si="59"/>
        <v>1.7200000000001464E-2</v>
      </c>
      <c r="K745" s="280">
        <f t="shared" si="60"/>
        <v>8.439646712463917</v>
      </c>
      <c r="L745" s="201">
        <v>30</v>
      </c>
      <c r="M745" s="205">
        <v>43211</v>
      </c>
      <c r="AB745" s="110" t="str">
        <f>IFERROR(INDEX('WetLitterbags placem_collection'!$A$3:$A$500,MATCH(A745,'WetLitterbags placem_collection'!$K$4:$K$500,0)),"")</f>
        <v/>
      </c>
      <c r="AC745" s="110" t="str">
        <f>IFERROR(INDEX('WetLitterbags placem_collection'!$A$3:$A$500,MATCH($A745,'WetLitterbags placem_collection'!$O$4:$O$500,0)),"")</f>
        <v/>
      </c>
      <c r="AD745" s="110" t="str">
        <f>IFERROR(INDEX('WetLitterbags placem_collection'!$A$3:$A$500,MATCH($A745,'WetLitterbags placem_collection'!$M$4:$M$500,0)),"")</f>
        <v/>
      </c>
      <c r="AE745" s="110">
        <f>IFERROR(INDEX('WetLitterbags placem_collection'!$A$3:$A$500,MATCH($A745,'WetLitterbags placem_collection'!$Q$4:$Q$500,0)),"")</f>
        <v>18</v>
      </c>
    </row>
    <row r="746" spans="1:31">
      <c r="A746" s="201" t="s">
        <v>574</v>
      </c>
      <c r="C746" s="201">
        <v>143</v>
      </c>
      <c r="D746" s="201">
        <v>1.3491</v>
      </c>
      <c r="E746" s="201">
        <v>8.3584999999999994</v>
      </c>
      <c r="F746" s="201">
        <v>0.2049</v>
      </c>
      <c r="G746" s="201">
        <f t="shared" si="58"/>
        <v>8.5633999999999997</v>
      </c>
      <c r="H746" s="201">
        <v>8.3665000000000003</v>
      </c>
      <c r="I746" s="201">
        <f t="shared" si="62"/>
        <v>0.19689999999999941</v>
      </c>
      <c r="J746" s="201">
        <f t="shared" si="59"/>
        <v>8.00000000000059E-3</v>
      </c>
      <c r="K746" s="280">
        <f t="shared" si="60"/>
        <v>3.9043435822355246</v>
      </c>
      <c r="L746" s="201">
        <v>9</v>
      </c>
      <c r="M746" s="203">
        <v>43171.520833333336</v>
      </c>
      <c r="N746" s="203">
        <v>43171.6875</v>
      </c>
      <c r="O746" s="197" t="s">
        <v>2550</v>
      </c>
      <c r="P746" s="201"/>
      <c r="AB746" s="110" t="str">
        <f>IFERROR(INDEX('WetLitterbags placem_collection'!$A$3:$A$500,MATCH(A746,'WetLitterbags placem_collection'!$K$4:$K$500,0)),"")</f>
        <v/>
      </c>
      <c r="AC746" s="110" t="str">
        <f>IFERROR(INDEX('WetLitterbags placem_collection'!$A$3:$A$500,MATCH($A746,'WetLitterbags placem_collection'!$O$4:$O$500,0)),"")</f>
        <v/>
      </c>
      <c r="AD746" s="110" t="str">
        <f>IFERROR(INDEX('WetLitterbags placem_collection'!$A$3:$A$500,MATCH($A746,'WetLitterbags placem_collection'!$M$4:$M$500,0)),"")</f>
        <v/>
      </c>
      <c r="AE746" s="110">
        <f>IFERROR(INDEX('WetLitterbags placem_collection'!$A$3:$A$500,MATCH($A746,'WetLitterbags placem_collection'!$Q$4:$Q$500,0)),"")</f>
        <v>142</v>
      </c>
    </row>
    <row r="747" spans="1:31">
      <c r="A747" s="206" t="s">
        <v>572</v>
      </c>
      <c r="C747" s="201">
        <v>102</v>
      </c>
      <c r="D747" s="201">
        <v>1.405</v>
      </c>
      <c r="E747" s="202">
        <v>8.1679999999999993</v>
      </c>
      <c r="F747" s="202">
        <v>0.2009</v>
      </c>
      <c r="G747" s="201">
        <f t="shared" si="58"/>
        <v>8.3689</v>
      </c>
      <c r="H747" s="201">
        <v>8.1808999999999994</v>
      </c>
      <c r="I747" s="201">
        <f t="shared" si="62"/>
        <v>0.18800000000000061</v>
      </c>
      <c r="J747" s="201">
        <f t="shared" si="59"/>
        <v>1.2899999999999384E-2</v>
      </c>
      <c r="K747" s="280">
        <f t="shared" si="60"/>
        <v>6.4211050273764974</v>
      </c>
      <c r="L747" s="201">
        <v>2</v>
      </c>
      <c r="M747" s="203">
        <v>43181.645833333336</v>
      </c>
      <c r="N747" s="203">
        <v>43181.833333333336</v>
      </c>
      <c r="O747" s="201" t="s">
        <v>2556</v>
      </c>
      <c r="P747" s="201"/>
      <c r="AB747" s="110" t="str">
        <f>IFERROR(INDEX('WetLitterbags placem_collection'!$A$3:$A$500,MATCH(A747,'WetLitterbags placem_collection'!$K$4:$K$500,0)),"")</f>
        <v/>
      </c>
      <c r="AC747" s="110" t="str">
        <f>IFERROR(INDEX('WetLitterbags placem_collection'!$A$3:$A$500,MATCH($A747,'WetLitterbags placem_collection'!$O$4:$O$500,0)),"")</f>
        <v/>
      </c>
      <c r="AD747" s="110">
        <f>IFERROR(INDEX('WetLitterbags placem_collection'!$A$3:$A$500,MATCH($A747,'WetLitterbags placem_collection'!$M$4:$M$500,0)),"")</f>
        <v>101</v>
      </c>
      <c r="AE747" s="110" t="str">
        <f>IFERROR(INDEX('WetLitterbags placem_collection'!$A$3:$A$500,MATCH($A747,'WetLitterbags placem_collection'!$Q$4:$Q$500,0)),"")</f>
        <v/>
      </c>
    </row>
    <row r="748" spans="1:31">
      <c r="A748" s="206" t="s">
        <v>571</v>
      </c>
      <c r="C748" s="201">
        <v>158</v>
      </c>
      <c r="D748" s="202">
        <v>1.4619</v>
      </c>
      <c r="E748" s="202">
        <v>10.124499999999999</v>
      </c>
      <c r="F748" s="202">
        <v>0.1996</v>
      </c>
      <c r="G748" s="201">
        <f t="shared" si="58"/>
        <v>10.3241</v>
      </c>
      <c r="H748" s="201">
        <v>10.1335</v>
      </c>
      <c r="I748" s="201">
        <f t="shared" si="62"/>
        <v>0.19059999999999988</v>
      </c>
      <c r="J748" s="201">
        <f t="shared" si="59"/>
        <v>9.000000000000119E-3</v>
      </c>
      <c r="K748" s="280">
        <f t="shared" si="60"/>
        <v>4.5090180360722032</v>
      </c>
      <c r="L748" s="201">
        <v>20</v>
      </c>
      <c r="M748" s="205">
        <v>43199</v>
      </c>
      <c r="N748" s="205">
        <v>43199</v>
      </c>
      <c r="O748" s="201"/>
      <c r="P748" s="201"/>
      <c r="AB748" s="110" t="str">
        <f>IFERROR(INDEX('WetLitterbags placem_collection'!$A$3:$A$500,MATCH(A748,'WetLitterbags placem_collection'!$K$4:$K$500,0)),"")</f>
        <v/>
      </c>
      <c r="AC748" s="110" t="str">
        <f>IFERROR(INDEX('WetLitterbags placem_collection'!$A$3:$A$500,MATCH($A748,'WetLitterbags placem_collection'!$O$4:$O$500,0)),"")</f>
        <v/>
      </c>
      <c r="AD748" s="110" t="str">
        <f>IFERROR(INDEX('WetLitterbags placem_collection'!$A$3:$A$500,MATCH($A748,'WetLitterbags placem_collection'!$M$4:$M$500,0)),"")</f>
        <v/>
      </c>
      <c r="AE748" s="110">
        <f>IFERROR(INDEX('WetLitterbags placem_collection'!$A$3:$A$500,MATCH($A748,'WetLitterbags placem_collection'!$Q$4:$Q$500,0)),"")</f>
        <v>157</v>
      </c>
    </row>
    <row r="749" spans="1:31">
      <c r="A749" s="206" t="s">
        <v>570</v>
      </c>
      <c r="C749" s="201">
        <v>144</v>
      </c>
      <c r="D749" s="201">
        <v>1.0775999999999999</v>
      </c>
      <c r="E749" s="202">
        <v>7.7736000000000001</v>
      </c>
      <c r="F749" s="202">
        <v>0.20749999999999999</v>
      </c>
      <c r="G749" s="201">
        <f t="shared" si="58"/>
        <v>7.9810999999999996</v>
      </c>
      <c r="H749" s="201">
        <v>7.9349999999999996</v>
      </c>
      <c r="I749" s="201">
        <f t="shared" si="62"/>
        <v>4.610000000000003E-2</v>
      </c>
      <c r="J749" s="201">
        <f t="shared" si="59"/>
        <v>0.16139999999999996</v>
      </c>
      <c r="K749" s="280">
        <f t="shared" si="60"/>
        <v>77.783132530120469</v>
      </c>
      <c r="L749" s="201">
        <v>2</v>
      </c>
      <c r="M749" s="205">
        <v>43197</v>
      </c>
      <c r="N749" s="205">
        <v>43197</v>
      </c>
      <c r="O749" s="201"/>
      <c r="P749" s="201"/>
      <c r="AB749" s="110" t="str">
        <f>IFERROR(INDEX('WetLitterbags placem_collection'!$A$3:$A$500,MATCH(A749,'WetLitterbags placem_collection'!$K$4:$K$500,0)),"")</f>
        <v/>
      </c>
      <c r="AC749" s="110" t="str">
        <f>IFERROR(INDEX('WetLitterbags placem_collection'!$A$3:$A$500,MATCH($A749,'WetLitterbags placem_collection'!$O$4:$O$500,0)),"")</f>
        <v/>
      </c>
      <c r="AD749" s="110">
        <f>IFERROR(INDEX('WetLitterbags placem_collection'!$A$3:$A$500,MATCH($A749,'WetLitterbags placem_collection'!$M$4:$M$500,0)),"")</f>
        <v>143</v>
      </c>
      <c r="AE749" s="110" t="str">
        <f>IFERROR(INDEX('WetLitterbags placem_collection'!$A$3:$A$500,MATCH($A749,'WetLitterbags placem_collection'!$Q$4:$Q$500,0)),"")</f>
        <v/>
      </c>
    </row>
    <row r="750" spans="1:31">
      <c r="A750" s="206" t="s">
        <v>569</v>
      </c>
      <c r="C750" s="201">
        <v>150</v>
      </c>
      <c r="D750" s="201">
        <v>1.2972999999999999</v>
      </c>
      <c r="E750" s="202">
        <v>9.1969999999999992</v>
      </c>
      <c r="F750" s="202">
        <v>0.20180000000000001</v>
      </c>
      <c r="G750" s="201">
        <f t="shared" si="58"/>
        <v>9.3987999999999996</v>
      </c>
      <c r="H750" s="201">
        <v>9.2114999999999991</v>
      </c>
      <c r="I750" s="201">
        <f t="shared" si="62"/>
        <v>0.18730000000000047</v>
      </c>
      <c r="J750" s="201">
        <f t="shared" si="59"/>
        <v>1.4499999999999541E-2</v>
      </c>
      <c r="K750" s="280">
        <f t="shared" si="60"/>
        <v>7.1853320118927355</v>
      </c>
      <c r="L750" s="201">
        <v>9</v>
      </c>
      <c r="M750" s="205">
        <v>43199</v>
      </c>
      <c r="N750" s="205">
        <v>43199</v>
      </c>
      <c r="O750" s="201"/>
      <c r="P750" s="201"/>
      <c r="AB750" s="110" t="str">
        <f>IFERROR(INDEX('WetLitterbags placem_collection'!$A$3:$A$500,MATCH(A750,'WetLitterbags placem_collection'!$K$4:$K$500,0)),"")</f>
        <v/>
      </c>
      <c r="AC750" s="110" t="str">
        <f>IFERROR(INDEX('WetLitterbags placem_collection'!$A$3:$A$500,MATCH($A750,'WetLitterbags placem_collection'!$O$4:$O$500,0)),"")</f>
        <v/>
      </c>
      <c r="AD750" s="110" t="str">
        <f>IFERROR(INDEX('WetLitterbags placem_collection'!$A$3:$A$500,MATCH($A750,'WetLitterbags placem_collection'!$M$4:$M$500,0)),"")</f>
        <v/>
      </c>
      <c r="AE750" s="110">
        <f>IFERROR(INDEX('WetLitterbags placem_collection'!$A$3:$A$500,MATCH($A750,'WetLitterbags placem_collection'!$Q$4:$Q$500,0)),"")</f>
        <v>149</v>
      </c>
    </row>
    <row r="751" spans="1:31">
      <c r="A751" s="201" t="s">
        <v>568</v>
      </c>
      <c r="C751" s="201">
        <v>147</v>
      </c>
      <c r="D751" s="201">
        <v>1.5023</v>
      </c>
      <c r="E751" s="202">
        <v>9.7204999999999995</v>
      </c>
      <c r="F751" s="202">
        <v>0.20680000000000001</v>
      </c>
      <c r="G751" s="201">
        <f t="shared" si="58"/>
        <v>9.9272999999999989</v>
      </c>
      <c r="H751" s="201">
        <v>9.7386999999999997</v>
      </c>
      <c r="I751" s="201">
        <f t="shared" si="62"/>
        <v>0.18859999999999921</v>
      </c>
      <c r="J751" s="201">
        <f t="shared" si="59"/>
        <v>1.8200000000000799E-2</v>
      </c>
      <c r="K751" s="280">
        <f t="shared" si="60"/>
        <v>8.8007736943911006</v>
      </c>
      <c r="L751" s="201">
        <v>22</v>
      </c>
      <c r="M751" s="205">
        <v>43197</v>
      </c>
      <c r="N751" s="205">
        <v>43197</v>
      </c>
      <c r="O751" s="201"/>
      <c r="P751" s="201"/>
      <c r="AB751" s="110" t="str">
        <f>IFERROR(INDEX('WetLitterbags placem_collection'!$A$3:$A$500,MATCH(A751,'WetLitterbags placem_collection'!$K$4:$K$500,0)),"")</f>
        <v/>
      </c>
      <c r="AC751" s="110" t="str">
        <f>IFERROR(INDEX('WetLitterbags placem_collection'!$A$3:$A$500,MATCH($A751,'WetLitterbags placem_collection'!$O$4:$O$500,0)),"")</f>
        <v/>
      </c>
      <c r="AD751" s="110">
        <f>IFERROR(INDEX('WetLitterbags placem_collection'!$A$3:$A$500,MATCH($A751,'WetLitterbags placem_collection'!$M$4:$M$500,0)),"")</f>
        <v>146</v>
      </c>
      <c r="AE751" s="110" t="str">
        <f>IFERROR(INDEX('WetLitterbags placem_collection'!$A$3:$A$500,MATCH($A751,'WetLitterbags placem_collection'!$Q$4:$Q$500,0)),"")</f>
        <v/>
      </c>
    </row>
    <row r="752" spans="1:31">
      <c r="A752" s="201" t="s">
        <v>567</v>
      </c>
      <c r="C752" s="201">
        <v>107</v>
      </c>
      <c r="D752" s="201">
        <v>1.4400999999999999</v>
      </c>
      <c r="E752" s="202">
        <v>9.5545000000000009</v>
      </c>
      <c r="F752" s="202">
        <v>0.20649999999999999</v>
      </c>
      <c r="G752" s="201">
        <f t="shared" si="58"/>
        <v>9.761000000000001</v>
      </c>
      <c r="H752" s="201">
        <v>9.5670000000000002</v>
      </c>
      <c r="I752" s="201">
        <f t="shared" si="62"/>
        <v>0.19400000000000084</v>
      </c>
      <c r="J752" s="201">
        <f t="shared" si="59"/>
        <v>1.2499999999999151E-2</v>
      </c>
      <c r="K752" s="280">
        <f t="shared" si="60"/>
        <v>6.0532687651327608</v>
      </c>
      <c r="L752" s="201">
        <v>3</v>
      </c>
      <c r="M752" s="203">
        <v>43178.395833333336</v>
      </c>
      <c r="N752" s="203">
        <v>43178.5625</v>
      </c>
      <c r="O752" s="197" t="s">
        <v>2550</v>
      </c>
      <c r="P752" s="201"/>
      <c r="AB752" s="110" t="str">
        <f>IFERROR(INDEX('WetLitterbags placem_collection'!$A$3:$A$500,MATCH(A752,'WetLitterbags placem_collection'!$K$4:$K$500,0)),"")</f>
        <v/>
      </c>
      <c r="AC752" s="110" t="str">
        <f>IFERROR(INDEX('WetLitterbags placem_collection'!$A$3:$A$500,MATCH($A752,'WetLitterbags placem_collection'!$O$4:$O$500,0)),"")</f>
        <v/>
      </c>
      <c r="AD752" s="110">
        <f>IFERROR(INDEX('WetLitterbags placem_collection'!$A$3:$A$500,MATCH($A752,'WetLitterbags placem_collection'!$M$4:$M$500,0)),"")</f>
        <v>106</v>
      </c>
      <c r="AE752" s="110" t="str">
        <f>IFERROR(INDEX('WetLitterbags placem_collection'!$A$3:$A$500,MATCH($A752,'WetLitterbags placem_collection'!$Q$4:$Q$500,0)),"")</f>
        <v/>
      </c>
    </row>
    <row r="753" spans="1:31">
      <c r="A753" s="201" t="s">
        <v>566</v>
      </c>
      <c r="C753" s="201">
        <v>123</v>
      </c>
      <c r="D753" s="201">
        <f>1.2391+F753</f>
        <v>1.4423000000000001</v>
      </c>
      <c r="E753" s="202">
        <v>9.0521999999999991</v>
      </c>
      <c r="F753" s="202">
        <v>0.20319999999999999</v>
      </c>
      <c r="G753" s="201">
        <f t="shared" si="58"/>
        <v>9.2553999999999998</v>
      </c>
      <c r="H753" s="201">
        <v>9.1052</v>
      </c>
      <c r="I753" s="201">
        <f t="shared" si="62"/>
        <v>0.15019999999999989</v>
      </c>
      <c r="J753" s="201">
        <f t="shared" si="59"/>
        <v>5.3000000000000103E-2</v>
      </c>
      <c r="K753" s="280">
        <f t="shared" si="60"/>
        <v>26.082677165354383</v>
      </c>
      <c r="L753" s="201">
        <v>23</v>
      </c>
      <c r="M753" s="205">
        <v>43174</v>
      </c>
      <c r="N753" s="205">
        <v>43174</v>
      </c>
      <c r="O753" s="201" t="s">
        <v>2556</v>
      </c>
      <c r="P753" s="201" t="s">
        <v>2551</v>
      </c>
      <c r="AB753" s="110" t="str">
        <f>IFERROR(INDEX('WetLitterbags placem_collection'!$A$3:$A$500,MATCH(A753,'WetLitterbags placem_collection'!$K$4:$K$500,0)),"")</f>
        <v/>
      </c>
      <c r="AC753" s="110" t="str">
        <f>IFERROR(INDEX('WetLitterbags placem_collection'!$A$3:$A$500,MATCH($A753,'WetLitterbags placem_collection'!$O$4:$O$500,0)),"")</f>
        <v/>
      </c>
      <c r="AD753" s="110">
        <f>IFERROR(INDEX('WetLitterbags placem_collection'!$A$3:$A$500,MATCH($A753,'WetLitterbags placem_collection'!$M$4:$M$500,0)),"")</f>
        <v>122</v>
      </c>
      <c r="AE753" s="110" t="str">
        <f>IFERROR(INDEX('WetLitterbags placem_collection'!$A$3:$A$500,MATCH($A753,'WetLitterbags placem_collection'!$Q$4:$Q$500,0)),"")</f>
        <v/>
      </c>
    </row>
    <row r="754" spans="1:31">
      <c r="A754" s="197" t="s">
        <v>565</v>
      </c>
      <c r="C754" s="198">
        <v>97</v>
      </c>
      <c r="D754" s="197">
        <v>1.4582999999999999</v>
      </c>
      <c r="E754" s="202">
        <v>9.5541</v>
      </c>
      <c r="F754" s="202">
        <v>0.2014</v>
      </c>
      <c r="G754" s="201">
        <f t="shared" si="58"/>
        <v>9.7554999999999996</v>
      </c>
      <c r="H754" s="201">
        <v>9.5710999999999995</v>
      </c>
      <c r="I754" s="201">
        <f t="shared" si="62"/>
        <v>0.18440000000000012</v>
      </c>
      <c r="J754" s="201">
        <f t="shared" si="59"/>
        <v>1.6999999999999876E-2</v>
      </c>
      <c r="K754" s="280">
        <f t="shared" si="60"/>
        <v>8.4409136047665729</v>
      </c>
      <c r="L754" s="201">
        <v>10</v>
      </c>
      <c r="M754" s="204">
        <v>43221</v>
      </c>
      <c r="N754" s="204">
        <v>43221</v>
      </c>
      <c r="AB754" s="110" t="str">
        <f>IFERROR(INDEX('WetLitterbags placem_collection'!$A$3:$A$500,MATCH(A754,'WetLitterbags placem_collection'!$K$4:$K$500,0)),"")</f>
        <v/>
      </c>
      <c r="AC754" s="110" t="str">
        <f>IFERROR(INDEX('WetLitterbags placem_collection'!$A$3:$A$500,MATCH($A754,'WetLitterbags placem_collection'!$O$4:$O$500,0)),"")</f>
        <v/>
      </c>
      <c r="AD754" s="110" t="str">
        <f>IFERROR(INDEX('WetLitterbags placem_collection'!$A$3:$A$500,MATCH($A754,'WetLitterbags placem_collection'!$M$4:$M$500,0)),"")</f>
        <v/>
      </c>
      <c r="AE754" s="110">
        <f>IFERROR(INDEX('WetLitterbags placem_collection'!$A$3:$A$500,MATCH($A754,'WetLitterbags placem_collection'!$Q$4:$Q$500,0)),"")</f>
        <v>96</v>
      </c>
    </row>
    <row r="755" spans="1:31">
      <c r="A755" s="201" t="s">
        <v>564</v>
      </c>
      <c r="C755" s="201">
        <v>104</v>
      </c>
      <c r="D755" s="201">
        <f>1.0315+F755</f>
        <v>1.2391000000000001</v>
      </c>
      <c r="E755" s="202">
        <v>10.702400000000001</v>
      </c>
      <c r="F755" s="202">
        <v>0.20760000000000001</v>
      </c>
      <c r="G755" s="201">
        <f t="shared" ref="G755:G812" si="63">E755+F755</f>
        <v>10.91</v>
      </c>
      <c r="H755" s="201">
        <v>10.7156</v>
      </c>
      <c r="I755" s="201">
        <f t="shared" si="62"/>
        <v>0.19439999999999991</v>
      </c>
      <c r="J755" s="201">
        <f t="shared" ref="J755:J812" si="64">F755-I755</f>
        <v>1.3200000000000101E-2</v>
      </c>
      <c r="K755" s="280">
        <f t="shared" ref="K755:K812" si="65">(J755/F755)*100</f>
        <v>6.3583815028902215</v>
      </c>
      <c r="L755" s="201">
        <v>30</v>
      </c>
      <c r="M755" s="205">
        <v>43174</v>
      </c>
      <c r="N755" s="205">
        <v>43174</v>
      </c>
      <c r="O755" s="201" t="s">
        <v>2556</v>
      </c>
      <c r="P755" s="201" t="s">
        <v>2551</v>
      </c>
      <c r="AB755" s="110" t="str">
        <f>IFERROR(INDEX('WetLitterbags placem_collection'!$A$3:$A$500,MATCH(A755,'WetLitterbags placem_collection'!$K$4:$K$500,0)),"")</f>
        <v/>
      </c>
      <c r="AC755" s="110" t="str">
        <f>IFERROR(INDEX('WetLitterbags placem_collection'!$A$3:$A$500,MATCH($A755,'WetLitterbags placem_collection'!$O$4:$O$500,0)),"")</f>
        <v/>
      </c>
      <c r="AD755" s="110">
        <f>IFERROR(INDEX('WetLitterbags placem_collection'!$A$3:$A$500,MATCH($A755,'WetLitterbags placem_collection'!$M$4:$M$500,0)),"")</f>
        <v>103</v>
      </c>
      <c r="AE755" s="110" t="str">
        <f>IFERROR(INDEX('WetLitterbags placem_collection'!$A$3:$A$500,MATCH($A755,'WetLitterbags placem_collection'!$Q$4:$Q$500,0)),"")</f>
        <v/>
      </c>
    </row>
    <row r="756" spans="1:31">
      <c r="A756" s="201" t="s">
        <v>563</v>
      </c>
      <c r="C756" s="201">
        <v>113</v>
      </c>
      <c r="D756" s="201">
        <v>1.1912</v>
      </c>
      <c r="E756" s="201">
        <v>10.7927</v>
      </c>
      <c r="F756" s="202">
        <v>0.20369999999999999</v>
      </c>
      <c r="G756" s="201">
        <f t="shared" si="63"/>
        <v>10.9964</v>
      </c>
      <c r="H756" s="201">
        <v>10.8179</v>
      </c>
      <c r="I756" s="201">
        <f t="shared" si="62"/>
        <v>0.17849999999999966</v>
      </c>
      <c r="J756" s="201">
        <f t="shared" si="64"/>
        <v>2.5200000000000333E-2</v>
      </c>
      <c r="K756" s="280">
        <f t="shared" si="65"/>
        <v>12.371134020618721</v>
      </c>
      <c r="L756" s="201">
        <v>17</v>
      </c>
      <c r="M756" s="205">
        <v>43187</v>
      </c>
      <c r="N756" s="205">
        <v>43187</v>
      </c>
      <c r="O756" s="201"/>
      <c r="P756" s="201"/>
      <c r="AB756" s="110" t="str">
        <f>IFERROR(INDEX('WetLitterbags placem_collection'!$A$3:$A$500,MATCH(A756,'WetLitterbags placem_collection'!$K$4:$K$500,0)),"")</f>
        <v/>
      </c>
      <c r="AC756" s="110" t="str">
        <f>IFERROR(INDEX('WetLitterbags placem_collection'!$A$3:$A$500,MATCH($A756,'WetLitterbags placem_collection'!$O$4:$O$500,0)),"")</f>
        <v/>
      </c>
      <c r="AD756" s="110" t="str">
        <f>IFERROR(INDEX('WetLitterbags placem_collection'!$A$3:$A$500,MATCH($A756,'WetLitterbags placem_collection'!$M$4:$M$500,0)),"")</f>
        <v/>
      </c>
      <c r="AE756" s="110">
        <f>IFERROR(INDEX('WetLitterbags placem_collection'!$A$3:$A$500,MATCH($A756,'WetLitterbags placem_collection'!$Q$4:$Q$500,0)),"")</f>
        <v>112</v>
      </c>
    </row>
    <row r="757" spans="1:31">
      <c r="A757" s="197" t="s">
        <v>562</v>
      </c>
      <c r="C757" s="197">
        <v>152</v>
      </c>
      <c r="D757" s="197">
        <v>1.2967</v>
      </c>
      <c r="E757" s="201">
        <v>7.8011999999999997</v>
      </c>
      <c r="F757" s="202">
        <v>0.19989999999999999</v>
      </c>
      <c r="G757" s="201">
        <f t="shared" si="63"/>
        <v>8.0010999999999992</v>
      </c>
      <c r="H757" s="201">
        <v>7.8114999999999997</v>
      </c>
      <c r="I757" s="201">
        <f t="shared" si="62"/>
        <v>0.18959999999999955</v>
      </c>
      <c r="J757" s="201">
        <f t="shared" si="64"/>
        <v>1.0300000000000448E-2</v>
      </c>
      <c r="K757" s="280">
        <f t="shared" si="65"/>
        <v>5.1525762881442967</v>
      </c>
      <c r="L757" s="201">
        <v>5</v>
      </c>
      <c r="M757" s="204">
        <v>43213</v>
      </c>
      <c r="N757" s="204">
        <v>43213</v>
      </c>
      <c r="AB757" s="110" t="str">
        <f>IFERROR(INDEX('WetLitterbags placem_collection'!$A$3:$A$500,MATCH(A757,'WetLitterbags placem_collection'!$K$4:$K$500,0)),"")</f>
        <v/>
      </c>
      <c r="AC757" s="110" t="str">
        <f>IFERROR(INDEX('WetLitterbags placem_collection'!$A$3:$A$500,MATCH($A757,'WetLitterbags placem_collection'!$O$4:$O$500,0)),"")</f>
        <v/>
      </c>
      <c r="AD757" s="110" t="str">
        <f>IFERROR(INDEX('WetLitterbags placem_collection'!$A$3:$A$500,MATCH($A757,'WetLitterbags placem_collection'!$M$4:$M$500,0)),"")</f>
        <v/>
      </c>
      <c r="AE757" s="110">
        <f>IFERROR(INDEX('WetLitterbags placem_collection'!$A$3:$A$500,MATCH($A757,'WetLitterbags placem_collection'!$Q$4:$Q$500,0)),"")</f>
        <v>151</v>
      </c>
    </row>
    <row r="758" spans="1:31">
      <c r="A758" s="206" t="s">
        <v>1083</v>
      </c>
      <c r="C758" s="201">
        <v>56</v>
      </c>
      <c r="D758" s="202">
        <v>1.3449</v>
      </c>
      <c r="E758" s="202">
        <v>10.855499999999999</v>
      </c>
      <c r="F758" s="202">
        <v>0.20399999999999999</v>
      </c>
      <c r="G758" s="201">
        <f t="shared" si="63"/>
        <v>11.0595</v>
      </c>
      <c r="H758" s="201">
        <v>10.8619</v>
      </c>
      <c r="I758" s="201">
        <f t="shared" si="62"/>
        <v>0.19759999999999955</v>
      </c>
      <c r="J758" s="201">
        <f t="shared" si="64"/>
        <v>6.4000000000004331E-3</v>
      </c>
      <c r="K758" s="280">
        <f t="shared" si="65"/>
        <v>3.1372549019609965</v>
      </c>
      <c r="L758" s="201">
        <v>9</v>
      </c>
      <c r="M758" s="201"/>
      <c r="N758" s="201"/>
      <c r="O758" s="201"/>
      <c r="P758" s="201"/>
      <c r="U758" s="202" t="s">
        <v>651</v>
      </c>
      <c r="V758" s="197">
        <v>1.8968</v>
      </c>
      <c r="W758" s="197">
        <f>(V758-$T$175+F756)</f>
        <v>2.1005000000000003</v>
      </c>
      <c r="AB758" s="110" t="str">
        <f>IFERROR(INDEX('WetLitterbags placem_collection'!$A$3:$A$500,MATCH(A758,'WetLitterbags placem_collection'!$K$4:$K$500,0)),"")</f>
        <v/>
      </c>
      <c r="AC758" s="110" t="str">
        <f>IFERROR(INDEX('WetLitterbags placem_collection'!$A$3:$A$500,MATCH($A758,'WetLitterbags placem_collection'!$O$4:$O$500,0)),"")</f>
        <v/>
      </c>
      <c r="AD758" s="110" t="str">
        <f>IFERROR(INDEX('WetLitterbags placem_collection'!$A$3:$A$500,MATCH($A758,'WetLitterbags placem_collection'!$M$4:$M$500,0)),"")</f>
        <v/>
      </c>
      <c r="AE758" s="110">
        <f>IFERROR(INDEX('WetLitterbags placem_collection'!$A$3:$A$500,MATCH($A758,'WetLitterbags placem_collection'!$Q$4:$Q$500,0)),"")</f>
        <v>55</v>
      </c>
    </row>
    <row r="759" spans="1:31">
      <c r="A759" s="197" t="s">
        <v>561</v>
      </c>
      <c r="C759" s="198">
        <v>187</v>
      </c>
      <c r="D759" s="197">
        <v>1.4157999999999999</v>
      </c>
      <c r="E759" s="202">
        <v>8.7024000000000008</v>
      </c>
      <c r="F759" s="202">
        <v>0.2056</v>
      </c>
      <c r="G759" s="201">
        <f t="shared" si="63"/>
        <v>8.9080000000000013</v>
      </c>
      <c r="H759" s="201">
        <v>8.7066999999999997</v>
      </c>
      <c r="I759" s="201">
        <f t="shared" si="62"/>
        <v>0.20130000000000159</v>
      </c>
      <c r="J759" s="201">
        <f t="shared" si="64"/>
        <v>4.2999999999984162E-3</v>
      </c>
      <c r="K759" s="280">
        <f t="shared" si="65"/>
        <v>2.0914396887151829</v>
      </c>
      <c r="L759" s="201">
        <v>12</v>
      </c>
      <c r="AB759" s="110" t="str">
        <f>IFERROR(INDEX('WetLitterbags placem_collection'!$A$3:$A$500,MATCH(A759,'WetLitterbags placem_collection'!$K$4:$K$500,0)),"")</f>
        <v/>
      </c>
      <c r="AC759" s="110" t="str">
        <f>IFERROR(INDEX('WetLitterbags placem_collection'!$A$3:$A$500,MATCH($A759,'WetLitterbags placem_collection'!$O$4:$O$500,0)),"")</f>
        <v/>
      </c>
      <c r="AD759" s="110" t="str">
        <f>IFERROR(INDEX('WetLitterbags placem_collection'!$A$3:$A$500,MATCH($A759,'WetLitterbags placem_collection'!$M$4:$M$500,0)),"")</f>
        <v/>
      </c>
      <c r="AE759" s="110">
        <f>IFERROR(INDEX('WetLitterbags placem_collection'!$A$3:$A$500,MATCH($A759,'WetLitterbags placem_collection'!$Q$4:$Q$500,0)),"")</f>
        <v>186</v>
      </c>
    </row>
    <row r="760" spans="1:31">
      <c r="A760" s="197" t="s">
        <v>560</v>
      </c>
      <c r="C760" s="197">
        <v>141</v>
      </c>
      <c r="D760" s="197">
        <v>0.91259999999999997</v>
      </c>
      <c r="E760" s="197">
        <v>7.9127000000000001</v>
      </c>
      <c r="F760" s="197">
        <v>0.20449999999999999</v>
      </c>
      <c r="G760" s="197">
        <f t="shared" si="63"/>
        <v>8.1172000000000004</v>
      </c>
      <c r="H760" s="197">
        <v>8.0922999999999998</v>
      </c>
      <c r="I760" s="197">
        <f t="shared" si="62"/>
        <v>2.4900000000000588E-2</v>
      </c>
      <c r="J760" s="201">
        <f t="shared" si="64"/>
        <v>0.1795999999999994</v>
      </c>
      <c r="K760" s="280">
        <f t="shared" si="65"/>
        <v>87.823960880195301</v>
      </c>
      <c r="L760" s="197">
        <v>8</v>
      </c>
      <c r="M760" s="197">
        <v>43157.527777777781</v>
      </c>
      <c r="N760" s="197">
        <v>43157.694444444445</v>
      </c>
      <c r="O760" s="197" t="s">
        <v>2556</v>
      </c>
      <c r="AB760" s="110" t="str">
        <f>IFERROR(INDEX('WetLitterbags placem_collection'!$A$3:$A$500,MATCH(A760,'WetLitterbags placem_collection'!$K$4:$K$500,0)),"")</f>
        <v/>
      </c>
      <c r="AC760" s="110" t="str">
        <f>IFERROR(INDEX('WetLitterbags placem_collection'!$A$3:$A$500,MATCH($A760,'WetLitterbags placem_collection'!$O$4:$O$500,0)),"")</f>
        <v/>
      </c>
      <c r="AD760" s="110">
        <f>IFERROR(INDEX('WetLitterbags placem_collection'!$A$3:$A$500,MATCH($A760,'WetLitterbags placem_collection'!$M$4:$M$500,0)),"")</f>
        <v>140</v>
      </c>
      <c r="AE760" s="110" t="str">
        <f>IFERROR(INDEX('WetLitterbags placem_collection'!$A$3:$A$500,MATCH($A760,'WetLitterbags placem_collection'!$Q$4:$Q$500,0)),"")</f>
        <v/>
      </c>
    </row>
    <row r="761" spans="1:31">
      <c r="A761" s="201" t="s">
        <v>559</v>
      </c>
      <c r="C761" s="201">
        <v>147</v>
      </c>
      <c r="D761" s="201">
        <v>1.4904999999999999</v>
      </c>
      <c r="E761" s="202">
        <v>8.3656000000000006</v>
      </c>
      <c r="F761" s="201">
        <v>0.20660000000000001</v>
      </c>
      <c r="G761" s="201">
        <f t="shared" si="63"/>
        <v>8.5722000000000005</v>
      </c>
      <c r="H761" s="201">
        <v>8.3682999999999996</v>
      </c>
      <c r="I761" s="201">
        <f t="shared" si="62"/>
        <v>0.20390000000000086</v>
      </c>
      <c r="J761" s="201">
        <f t="shared" si="64"/>
        <v>2.6999999999991475E-3</v>
      </c>
      <c r="K761" s="280">
        <f t="shared" si="65"/>
        <v>1.3068731848979416</v>
      </c>
      <c r="L761" s="201">
        <v>21</v>
      </c>
      <c r="M761" s="205">
        <v>43197</v>
      </c>
      <c r="N761" s="205">
        <v>43197</v>
      </c>
      <c r="O761" s="201"/>
      <c r="P761" s="201"/>
      <c r="AB761" s="110" t="str">
        <f>IFERROR(INDEX('WetLitterbags placem_collection'!$A$3:$A$500,MATCH(A761,'WetLitterbags placem_collection'!$K$4:$K$500,0)),"")</f>
        <v/>
      </c>
      <c r="AC761" s="110" t="str">
        <f>IFERROR(INDEX('WetLitterbags placem_collection'!$A$3:$A$500,MATCH($A761,'WetLitterbags placem_collection'!$O$4:$O$500,0)),"")</f>
        <v/>
      </c>
      <c r="AD761" s="110" t="str">
        <f>IFERROR(INDEX('WetLitterbags placem_collection'!$A$3:$A$500,MATCH($A761,'WetLitterbags placem_collection'!$M$4:$M$500,0)),"")</f>
        <v/>
      </c>
      <c r="AE761" s="110">
        <f>IFERROR(INDEX('WetLitterbags placem_collection'!$A$3:$A$500,MATCH($A761,'WetLitterbags placem_collection'!$Q$4:$Q$500,0)),"")</f>
        <v>146</v>
      </c>
    </row>
    <row r="762" spans="1:31">
      <c r="A762" s="201" t="s">
        <v>558</v>
      </c>
      <c r="C762" s="201">
        <v>170</v>
      </c>
      <c r="D762" s="201">
        <v>1.4823</v>
      </c>
      <c r="E762" s="201">
        <v>7.8014000000000001</v>
      </c>
      <c r="F762" s="202">
        <v>0.2001</v>
      </c>
      <c r="G762" s="201">
        <f t="shared" si="63"/>
        <v>8.0015000000000001</v>
      </c>
      <c r="H762" s="201">
        <v>7.8061999999999996</v>
      </c>
      <c r="I762" s="201">
        <f t="shared" si="62"/>
        <v>0.19530000000000047</v>
      </c>
      <c r="J762" s="201">
        <f t="shared" si="64"/>
        <v>4.7999999999995269E-3</v>
      </c>
      <c r="K762" s="280">
        <f t="shared" si="65"/>
        <v>2.3988005996999138</v>
      </c>
      <c r="L762" s="201">
        <v>1</v>
      </c>
      <c r="M762" s="205">
        <v>43187</v>
      </c>
      <c r="N762" s="205">
        <v>43187</v>
      </c>
      <c r="O762" s="201"/>
      <c r="P762" s="201"/>
      <c r="AB762" s="110" t="str">
        <f>IFERROR(INDEX('WetLitterbags placem_collection'!$A$3:$A$500,MATCH(A762,'WetLitterbags placem_collection'!$K$4:$K$500,0)),"")</f>
        <v/>
      </c>
      <c r="AC762" s="110" t="str">
        <f>IFERROR(INDEX('WetLitterbags placem_collection'!$A$3:$A$500,MATCH($A762,'WetLitterbags placem_collection'!$O$4:$O$500,0)),"")</f>
        <v/>
      </c>
      <c r="AD762" s="110" t="str">
        <f>IFERROR(INDEX('WetLitterbags placem_collection'!$A$3:$A$500,MATCH($A762,'WetLitterbags placem_collection'!$M$4:$M$500,0)),"")</f>
        <v/>
      </c>
      <c r="AE762" s="110">
        <f>IFERROR(INDEX('WetLitterbags placem_collection'!$A$3:$A$500,MATCH($A762,'WetLitterbags placem_collection'!$Q$4:$Q$500,0)),"")</f>
        <v>169</v>
      </c>
    </row>
    <row r="763" spans="1:31">
      <c r="A763" s="206" t="s">
        <v>556</v>
      </c>
      <c r="C763" s="201">
        <v>130</v>
      </c>
      <c r="D763" s="202">
        <v>1.3573</v>
      </c>
      <c r="E763" s="202">
        <v>11.0893</v>
      </c>
      <c r="F763" s="202">
        <v>0.2024</v>
      </c>
      <c r="G763" s="201">
        <f t="shared" si="63"/>
        <v>11.291700000000001</v>
      </c>
      <c r="H763" s="201">
        <v>11.0992</v>
      </c>
      <c r="I763" s="201">
        <f t="shared" si="62"/>
        <v>0.19250000000000078</v>
      </c>
      <c r="J763" s="201">
        <f t="shared" si="64"/>
        <v>9.899999999999215E-3</v>
      </c>
      <c r="K763" s="280">
        <f t="shared" si="65"/>
        <v>4.8913043478256997</v>
      </c>
      <c r="L763" s="201">
        <v>34</v>
      </c>
      <c r="M763" s="203">
        <v>43181.645833333336</v>
      </c>
      <c r="N763" s="203">
        <v>43181.833333333336</v>
      </c>
      <c r="O763" s="201" t="s">
        <v>2556</v>
      </c>
      <c r="P763" s="201"/>
      <c r="AB763" s="110" t="str">
        <f>IFERROR(INDEX('WetLitterbags placem_collection'!$A$3:$A$500,MATCH(A763,'WetLitterbags placem_collection'!$K$4:$K$500,0)),"")</f>
        <v/>
      </c>
      <c r="AC763" s="110" t="str">
        <f>IFERROR(INDEX('WetLitterbags placem_collection'!$A$3:$A$500,MATCH($A763,'WetLitterbags placem_collection'!$O$4:$O$500,0)),"")</f>
        <v/>
      </c>
      <c r="AD763" s="110">
        <f>IFERROR(INDEX('WetLitterbags placem_collection'!$A$3:$A$500,MATCH($A763,'WetLitterbags placem_collection'!$M$4:$M$500,0)),"")</f>
        <v>129</v>
      </c>
      <c r="AE763" s="110" t="str">
        <f>IFERROR(INDEX('WetLitterbags placem_collection'!$A$3:$A$500,MATCH($A763,'WetLitterbags placem_collection'!$Q$4:$Q$500,0)),"")</f>
        <v/>
      </c>
    </row>
    <row r="764" spans="1:31">
      <c r="A764" s="197" t="s">
        <v>554</v>
      </c>
      <c r="C764" s="198">
        <v>181</v>
      </c>
      <c r="D764" s="197">
        <v>1.2970999999999999</v>
      </c>
      <c r="E764" s="202">
        <v>9.5193999999999992</v>
      </c>
      <c r="F764" s="202">
        <v>0.2026</v>
      </c>
      <c r="G764" s="201">
        <f t="shared" si="63"/>
        <v>9.7219999999999995</v>
      </c>
      <c r="H764" s="201">
        <v>9.5234000000000005</v>
      </c>
      <c r="I764" s="201">
        <f t="shared" si="62"/>
        <v>0.198599999999999</v>
      </c>
      <c r="J764" s="201">
        <f t="shared" si="64"/>
        <v>4.0000000000010028E-3</v>
      </c>
      <c r="K764" s="280">
        <f t="shared" si="65"/>
        <v>1.9743336623894387</v>
      </c>
      <c r="L764" s="201">
        <v>6</v>
      </c>
      <c r="M764" s="204">
        <v>43221</v>
      </c>
      <c r="N764" s="204">
        <v>43221</v>
      </c>
      <c r="AB764" s="110" t="str">
        <f>IFERROR(INDEX('WetLitterbags placem_collection'!$A$3:$A$500,MATCH(A764,'WetLitterbags placem_collection'!$K$4:$K$500,0)),"")</f>
        <v/>
      </c>
      <c r="AC764" s="110" t="str">
        <f>IFERROR(INDEX('WetLitterbags placem_collection'!$A$3:$A$500,MATCH($A764,'WetLitterbags placem_collection'!$O$4:$O$500,0)),"")</f>
        <v/>
      </c>
      <c r="AD764" s="110">
        <f>IFERROR(INDEX('WetLitterbags placem_collection'!$A$3:$A$500,MATCH($A764,'WetLitterbags placem_collection'!$M$4:$M$500,0)),"")</f>
        <v>180</v>
      </c>
      <c r="AE764" s="110" t="str">
        <f>IFERROR(INDEX('WetLitterbags placem_collection'!$A$3:$A$500,MATCH($A764,'WetLitterbags placem_collection'!$Q$4:$Q$500,0)),"")</f>
        <v/>
      </c>
    </row>
    <row r="765" spans="1:31">
      <c r="A765" s="197" t="s">
        <v>553</v>
      </c>
      <c r="C765" s="197">
        <v>96</v>
      </c>
      <c r="D765" s="197">
        <v>0.6855</v>
      </c>
      <c r="E765" s="201">
        <v>7.4751000000000003</v>
      </c>
      <c r="F765" s="202">
        <v>0.2011</v>
      </c>
      <c r="G765" s="201">
        <f t="shared" si="63"/>
        <v>7.6762000000000006</v>
      </c>
      <c r="H765" s="201">
        <v>7.4874999999999998</v>
      </c>
      <c r="I765" s="201">
        <f t="shared" si="62"/>
        <v>0.18870000000000076</v>
      </c>
      <c r="J765" s="201">
        <f t="shared" si="64"/>
        <v>1.2399999999999245E-2</v>
      </c>
      <c r="K765" s="280">
        <f t="shared" si="65"/>
        <v>6.1660865241169791</v>
      </c>
      <c r="L765" s="201">
        <v>41</v>
      </c>
      <c r="M765" s="205">
        <v>43211</v>
      </c>
      <c r="AB765" s="110" t="str">
        <f>IFERROR(INDEX('WetLitterbags placem_collection'!$A$3:$A$500,MATCH(A765,'WetLitterbags placem_collection'!$K$4:$K$500,0)),"")</f>
        <v/>
      </c>
      <c r="AC765" s="110" t="str">
        <f>IFERROR(INDEX('WetLitterbags placem_collection'!$A$3:$A$500,MATCH($A765,'WetLitterbags placem_collection'!$O$4:$O$500,0)),"")</f>
        <v/>
      </c>
      <c r="AD765" s="110" t="str">
        <f>IFERROR(INDEX('WetLitterbags placem_collection'!$A$3:$A$500,MATCH($A765,'WetLitterbags placem_collection'!$M$4:$M$500,0)),"")</f>
        <v/>
      </c>
      <c r="AE765" s="110">
        <f>IFERROR(INDEX('WetLitterbags placem_collection'!$A$3:$A$500,MATCH($A765,'WetLitterbags placem_collection'!$Q$4:$Q$500,0)),"")</f>
        <v>95</v>
      </c>
    </row>
    <row r="766" spans="1:31">
      <c r="A766" s="202" t="s">
        <v>552</v>
      </c>
      <c r="C766" s="201">
        <v>211</v>
      </c>
      <c r="D766" s="201">
        <v>1.3182999999999998</v>
      </c>
      <c r="E766" s="201">
        <v>7.8391999999999999</v>
      </c>
      <c r="F766" s="201">
        <v>0.20230000000000001</v>
      </c>
      <c r="G766" s="201">
        <f t="shared" si="63"/>
        <v>8.0414999999999992</v>
      </c>
      <c r="H766" s="201">
        <v>7.8541999999999996</v>
      </c>
      <c r="I766" s="201">
        <f t="shared" si="62"/>
        <v>0.18729999999999958</v>
      </c>
      <c r="J766" s="201">
        <f t="shared" si="64"/>
        <v>1.500000000000043E-2</v>
      </c>
      <c r="K766" s="280">
        <f t="shared" si="65"/>
        <v>7.414730598121813</v>
      </c>
      <c r="L766" s="201">
        <v>16</v>
      </c>
      <c r="M766" s="205">
        <v>43173</v>
      </c>
      <c r="N766" s="205">
        <v>43173</v>
      </c>
      <c r="O766" s="201" t="s">
        <v>2556</v>
      </c>
      <c r="P766" s="201" t="s">
        <v>2555</v>
      </c>
      <c r="AB766" s="110" t="str">
        <f>IFERROR(INDEX('WetLitterbags placem_collection'!$A$3:$A$500,MATCH(A766,'WetLitterbags placem_collection'!$K$4:$K$500,0)),"")</f>
        <v/>
      </c>
      <c r="AC766" s="110" t="str">
        <f>IFERROR(INDEX('WetLitterbags placem_collection'!$A$3:$A$500,MATCH($A766,'WetLitterbags placem_collection'!$O$4:$O$500,0)),"")</f>
        <v/>
      </c>
      <c r="AD766" s="110" t="str">
        <f>IFERROR(INDEX('WetLitterbags placem_collection'!$A$3:$A$500,MATCH($A766,'WetLitterbags placem_collection'!$M$4:$M$500,0)),"")</f>
        <v/>
      </c>
      <c r="AE766" s="110">
        <f>IFERROR(INDEX('WetLitterbags placem_collection'!$A$3:$A$500,MATCH($A766,'WetLitterbags placem_collection'!$Q$4:$Q$500,0)),"")</f>
        <v>210</v>
      </c>
    </row>
    <row r="767" spans="1:31">
      <c r="A767" s="197" t="s">
        <v>1082</v>
      </c>
      <c r="C767" s="198">
        <v>6</v>
      </c>
      <c r="D767" s="197">
        <v>1.2786</v>
      </c>
      <c r="E767" s="202">
        <v>9.8865999999999996</v>
      </c>
      <c r="F767" s="202">
        <v>0.20319999999999999</v>
      </c>
      <c r="G767" s="201">
        <f t="shared" si="63"/>
        <v>10.0898</v>
      </c>
      <c r="H767" s="201">
        <v>9.8975000000000009</v>
      </c>
      <c r="I767" s="201">
        <f t="shared" si="62"/>
        <v>0.19229999999999947</v>
      </c>
      <c r="J767" s="201">
        <f t="shared" si="64"/>
        <v>1.090000000000052E-2</v>
      </c>
      <c r="K767" s="280">
        <f t="shared" si="65"/>
        <v>5.3641732283467132</v>
      </c>
      <c r="L767" s="201">
        <v>17</v>
      </c>
      <c r="AB767" s="110" t="str">
        <f>IFERROR(INDEX('WetLitterbags placem_collection'!$A$3:$A$500,MATCH(A767,'WetLitterbags placem_collection'!$K$4:$K$500,0)),"")</f>
        <v/>
      </c>
      <c r="AC767" s="110" t="str">
        <f>IFERROR(INDEX('WetLitterbags placem_collection'!$A$3:$A$500,MATCH($A767,'WetLitterbags placem_collection'!$O$4:$O$500,0)),"")</f>
        <v/>
      </c>
      <c r="AD767" s="110" t="str">
        <f>IFERROR(INDEX('WetLitterbags placem_collection'!$A$3:$A$500,MATCH($A767,'WetLitterbags placem_collection'!$M$4:$M$500,0)),"")</f>
        <v/>
      </c>
      <c r="AE767" s="110">
        <f>IFERROR(INDEX('WetLitterbags placem_collection'!$A$3:$A$500,MATCH($A767,'WetLitterbags placem_collection'!$Q$4:$Q$500,0)),"")</f>
        <v>5</v>
      </c>
    </row>
    <row r="768" spans="1:31">
      <c r="A768" s="206" t="s">
        <v>551</v>
      </c>
      <c r="C768" s="201">
        <v>106</v>
      </c>
      <c r="D768" s="202">
        <v>1.4161999999999999</v>
      </c>
      <c r="E768" s="202">
        <v>10.617699999999999</v>
      </c>
      <c r="F768" s="202">
        <v>0.2074</v>
      </c>
      <c r="G768" s="201">
        <f t="shared" si="63"/>
        <v>10.825099999999999</v>
      </c>
      <c r="H768" s="201">
        <v>10.6386</v>
      </c>
      <c r="I768" s="201">
        <f t="shared" si="62"/>
        <v>0.18649999999999878</v>
      </c>
      <c r="J768" s="201">
        <f t="shared" si="64"/>
        <v>2.0900000000001223E-2</v>
      </c>
      <c r="K768" s="280">
        <f t="shared" si="65"/>
        <v>10.077145612343887</v>
      </c>
      <c r="L768" s="201">
        <v>38</v>
      </c>
      <c r="M768" s="203">
        <v>43181.645833333336</v>
      </c>
      <c r="N768" s="203">
        <v>43181.833333333336</v>
      </c>
      <c r="O768" s="201" t="s">
        <v>2556</v>
      </c>
      <c r="P768" s="201"/>
      <c r="AB768" s="110" t="str">
        <f>IFERROR(INDEX('WetLitterbags placem_collection'!$A$3:$A$500,MATCH(A768,'WetLitterbags placem_collection'!$K$4:$K$500,0)),"")</f>
        <v/>
      </c>
      <c r="AC768" s="110" t="str">
        <f>IFERROR(INDEX('WetLitterbags placem_collection'!$A$3:$A$500,MATCH($A768,'WetLitterbags placem_collection'!$O$4:$O$500,0)),"")</f>
        <v/>
      </c>
      <c r="AD768" s="110">
        <f>IFERROR(INDEX('WetLitterbags placem_collection'!$A$3:$A$500,MATCH($A768,'WetLitterbags placem_collection'!$M$4:$M$500,0)),"")</f>
        <v>105</v>
      </c>
      <c r="AE768" s="110" t="str">
        <f>IFERROR(INDEX('WetLitterbags placem_collection'!$A$3:$A$500,MATCH($A768,'WetLitterbags placem_collection'!$Q$4:$Q$500,0)),"")</f>
        <v/>
      </c>
    </row>
    <row r="769" spans="1:31">
      <c r="A769" s="197" t="s">
        <v>550</v>
      </c>
      <c r="C769" s="197">
        <v>152</v>
      </c>
      <c r="D769" s="197">
        <v>1.4439</v>
      </c>
      <c r="E769" s="201">
        <v>10.510199999999999</v>
      </c>
      <c r="F769" s="202">
        <v>0.20830000000000001</v>
      </c>
      <c r="G769" s="201">
        <f t="shared" si="63"/>
        <v>10.718499999999999</v>
      </c>
      <c r="H769" s="201">
        <v>10.5229</v>
      </c>
      <c r="I769" s="201">
        <f t="shared" si="62"/>
        <v>0.19559999999999889</v>
      </c>
      <c r="J769" s="201">
        <f t="shared" si="64"/>
        <v>1.2700000000001127E-2</v>
      </c>
      <c r="K769" s="280">
        <f t="shared" si="65"/>
        <v>6.0969755160831145</v>
      </c>
      <c r="L769" s="201">
        <v>18</v>
      </c>
      <c r="M769" s="204">
        <v>43212</v>
      </c>
      <c r="AB769" s="110" t="str">
        <f>IFERROR(INDEX('WetLitterbags placem_collection'!$A$3:$A$500,MATCH(A769,'WetLitterbags placem_collection'!$K$4:$K$500,0)),"")</f>
        <v/>
      </c>
      <c r="AC769" s="110" t="str">
        <f>IFERROR(INDEX('WetLitterbags placem_collection'!$A$3:$A$500,MATCH($A769,'WetLitterbags placem_collection'!$O$4:$O$500,0)),"")</f>
        <v/>
      </c>
      <c r="AD769" s="110">
        <f>IFERROR(INDEX('WetLitterbags placem_collection'!$A$3:$A$500,MATCH($A769,'WetLitterbags placem_collection'!$M$4:$M$500,0)),"")</f>
        <v>151</v>
      </c>
      <c r="AE769" s="110" t="str">
        <f>IFERROR(INDEX('WetLitterbags placem_collection'!$A$3:$A$500,MATCH($A769,'WetLitterbags placem_collection'!$Q$4:$Q$500,0)),"")</f>
        <v/>
      </c>
    </row>
    <row r="770" spans="1:31">
      <c r="A770" s="197" t="s">
        <v>549</v>
      </c>
      <c r="C770" s="197">
        <v>131</v>
      </c>
      <c r="D770" s="197">
        <v>1.3476999999999999</v>
      </c>
      <c r="E770" s="197">
        <v>7.9635999999999996</v>
      </c>
      <c r="F770" s="197">
        <v>0.21010000000000001</v>
      </c>
      <c r="G770" s="197">
        <f t="shared" si="63"/>
        <v>8.1737000000000002</v>
      </c>
      <c r="H770" s="197">
        <v>7.9714999999999998</v>
      </c>
      <c r="I770" s="197">
        <f t="shared" si="62"/>
        <v>0.20220000000000038</v>
      </c>
      <c r="J770" s="201">
        <f t="shared" si="64"/>
        <v>7.8999999999996295E-3</v>
      </c>
      <c r="K770" s="280">
        <f t="shared" si="65"/>
        <v>3.7601142313182434</v>
      </c>
      <c r="L770" s="197">
        <v>11</v>
      </c>
      <c r="M770" s="197">
        <v>43157.395833333336</v>
      </c>
      <c r="N770" s="197">
        <v>43157.569444444445</v>
      </c>
      <c r="O770" s="197" t="s">
        <v>2550</v>
      </c>
      <c r="AB770" s="110" t="str">
        <f>IFERROR(INDEX('WetLitterbags placem_collection'!$A$3:$A$500,MATCH(A770,'WetLitterbags placem_collection'!$K$4:$K$500,0)),"")</f>
        <v/>
      </c>
      <c r="AC770" s="110" t="str">
        <f>IFERROR(INDEX('WetLitterbags placem_collection'!$A$3:$A$500,MATCH($A770,'WetLitterbags placem_collection'!$O$4:$O$500,0)),"")</f>
        <v/>
      </c>
      <c r="AD770" s="110" t="str">
        <f>IFERROR(INDEX('WetLitterbags placem_collection'!$A$3:$A$500,MATCH($A770,'WetLitterbags placem_collection'!$M$4:$M$500,0)),"")</f>
        <v/>
      </c>
      <c r="AE770" s="110">
        <f>IFERROR(INDEX('WetLitterbags placem_collection'!$A$3:$A$500,MATCH($A770,'WetLitterbags placem_collection'!$Q$4:$Q$500,0)),"")</f>
        <v>130</v>
      </c>
    </row>
    <row r="771" spans="1:31">
      <c r="A771" s="206" t="s">
        <v>548</v>
      </c>
      <c r="C771" s="201">
        <v>106</v>
      </c>
      <c r="D771" s="202">
        <v>1.4716</v>
      </c>
      <c r="E771" s="202">
        <v>10.313599999999999</v>
      </c>
      <c r="F771" s="202">
        <v>0.20150000000000001</v>
      </c>
      <c r="G771" s="201">
        <f t="shared" si="63"/>
        <v>10.515099999999999</v>
      </c>
      <c r="H771" s="201">
        <v>10.3238</v>
      </c>
      <c r="I771" s="201">
        <f t="shared" si="62"/>
        <v>0.19129999999999825</v>
      </c>
      <c r="J771" s="201">
        <f t="shared" si="64"/>
        <v>1.0200000000001763E-2</v>
      </c>
      <c r="K771" s="280">
        <f t="shared" si="65"/>
        <v>5.062034739454969</v>
      </c>
      <c r="L771" s="201">
        <v>37</v>
      </c>
      <c r="M771" s="203">
        <v>43181.645833333336</v>
      </c>
      <c r="N771" s="203">
        <v>43181.833333333336</v>
      </c>
      <c r="O771" s="201" t="s">
        <v>2556</v>
      </c>
      <c r="P771" s="201"/>
      <c r="AB771" s="110" t="str">
        <f>IFERROR(INDEX('WetLitterbags placem_collection'!$A$3:$A$500,MATCH(A771,'WetLitterbags placem_collection'!$K$4:$K$500,0)),"")</f>
        <v/>
      </c>
      <c r="AC771" s="110" t="str">
        <f>IFERROR(INDEX('WetLitterbags placem_collection'!$A$3:$A$500,MATCH($A771,'WetLitterbags placem_collection'!$O$4:$O$500,0)),"")</f>
        <v/>
      </c>
      <c r="AD771" s="110" t="str">
        <f>IFERROR(INDEX('WetLitterbags placem_collection'!$A$3:$A$500,MATCH($A771,'WetLitterbags placem_collection'!$M$4:$M$500,0)),"")</f>
        <v/>
      </c>
      <c r="AE771" s="110">
        <f>IFERROR(INDEX('WetLitterbags placem_collection'!$A$3:$A$500,MATCH($A771,'WetLitterbags placem_collection'!$Q$4:$Q$500,0)),"")</f>
        <v>105</v>
      </c>
    </row>
    <row r="772" spans="1:31">
      <c r="A772" s="206" t="s">
        <v>547</v>
      </c>
      <c r="C772" s="201">
        <v>120</v>
      </c>
      <c r="D772" s="201">
        <v>1.1739999999999999</v>
      </c>
      <c r="E772" s="201">
        <v>7.9604999999999997</v>
      </c>
      <c r="F772" s="201">
        <v>0.20899999999999999</v>
      </c>
      <c r="G772" s="201">
        <f t="shared" si="63"/>
        <v>8.1694999999999993</v>
      </c>
      <c r="H772" s="201">
        <v>7.9695999999999998</v>
      </c>
      <c r="I772" s="201">
        <f t="shared" ref="I772:I803" si="66">(G772-H772)</f>
        <v>0.19989999999999952</v>
      </c>
      <c r="J772" s="201">
        <f t="shared" si="64"/>
        <v>9.1000000000004688E-3</v>
      </c>
      <c r="K772" s="280">
        <f t="shared" si="65"/>
        <v>4.3540669856461571</v>
      </c>
      <c r="L772" s="201">
        <v>5</v>
      </c>
      <c r="M772" s="205">
        <v>43174</v>
      </c>
      <c r="N772" s="205">
        <v>43174</v>
      </c>
      <c r="O772" s="201" t="s">
        <v>2556</v>
      </c>
      <c r="P772" s="201" t="s">
        <v>2551</v>
      </c>
      <c r="AB772" s="110" t="str">
        <f>IFERROR(INDEX('WetLitterbags placem_collection'!$A$3:$A$500,MATCH(A772,'WetLitterbags placem_collection'!$K$4:$K$500,0)),"")</f>
        <v/>
      </c>
      <c r="AC772" s="110" t="str">
        <f>IFERROR(INDEX('WetLitterbags placem_collection'!$A$3:$A$500,MATCH($A772,'WetLitterbags placem_collection'!$O$4:$O$500,0)),"")</f>
        <v/>
      </c>
      <c r="AD772" s="110" t="str">
        <f>IFERROR(INDEX('WetLitterbags placem_collection'!$A$3:$A$500,MATCH($A772,'WetLitterbags placem_collection'!$M$4:$M$500,0)),"")</f>
        <v/>
      </c>
      <c r="AE772" s="110">
        <f>IFERROR(INDEX('WetLitterbags placem_collection'!$A$3:$A$500,MATCH($A772,'WetLitterbags placem_collection'!$Q$4:$Q$500,0)),"")</f>
        <v>119</v>
      </c>
    </row>
    <row r="773" spans="1:31">
      <c r="A773" s="201" t="s">
        <v>545</v>
      </c>
      <c r="C773" s="201">
        <v>135</v>
      </c>
      <c r="D773" s="201">
        <f>1.0489+F773</f>
        <v>1.2515999999999998</v>
      </c>
      <c r="E773" s="202">
        <v>10.415699999999999</v>
      </c>
      <c r="F773" s="202">
        <v>0.20269999999999999</v>
      </c>
      <c r="G773" s="201">
        <f t="shared" si="63"/>
        <v>10.618399999999999</v>
      </c>
      <c r="H773" s="201">
        <v>10.4298</v>
      </c>
      <c r="I773" s="201">
        <f t="shared" si="66"/>
        <v>0.18859999999999921</v>
      </c>
      <c r="J773" s="201">
        <f t="shared" si="64"/>
        <v>1.4100000000000779E-2</v>
      </c>
      <c r="K773" s="280">
        <f t="shared" si="65"/>
        <v>6.95609274790369</v>
      </c>
      <c r="L773" s="201">
        <v>24</v>
      </c>
      <c r="M773" s="205">
        <v>43174</v>
      </c>
      <c r="N773" s="205">
        <v>43174</v>
      </c>
      <c r="O773" s="201" t="s">
        <v>2556</v>
      </c>
      <c r="P773" s="201" t="s">
        <v>2551</v>
      </c>
      <c r="AB773" s="110" t="str">
        <f>IFERROR(INDEX('WetLitterbags placem_collection'!$A$3:$A$500,MATCH(A773,'WetLitterbags placem_collection'!$K$4:$K$500,0)),"")</f>
        <v/>
      </c>
      <c r="AC773" s="110" t="str">
        <f>IFERROR(INDEX('WetLitterbags placem_collection'!$A$3:$A$500,MATCH($A773,'WetLitterbags placem_collection'!$O$4:$O$500,0)),"")</f>
        <v/>
      </c>
      <c r="AD773" s="110" t="str">
        <f>IFERROR(INDEX('WetLitterbags placem_collection'!$A$3:$A$500,MATCH($A773,'WetLitterbags placem_collection'!$M$4:$M$500,0)),"")</f>
        <v/>
      </c>
      <c r="AE773" s="110">
        <f>IFERROR(INDEX('WetLitterbags placem_collection'!$A$3:$A$500,MATCH($A773,'WetLitterbags placem_collection'!$Q$4:$Q$500,0)),"")</f>
        <v>134</v>
      </c>
    </row>
    <row r="774" spans="1:31">
      <c r="A774" s="197" t="s">
        <v>544</v>
      </c>
      <c r="C774" s="197">
        <v>133</v>
      </c>
      <c r="D774" s="197">
        <v>1.3281000000000001</v>
      </c>
      <c r="E774" s="197">
        <v>9.1540999999999997</v>
      </c>
      <c r="F774" s="197">
        <v>0.2009</v>
      </c>
      <c r="G774" s="197">
        <f t="shared" si="63"/>
        <v>9.3550000000000004</v>
      </c>
      <c r="H774" s="197">
        <v>9.1696000000000009</v>
      </c>
      <c r="I774" s="197">
        <f t="shared" si="66"/>
        <v>0.18539999999999957</v>
      </c>
      <c r="J774" s="201">
        <f t="shared" si="64"/>
        <v>1.550000000000043E-2</v>
      </c>
      <c r="K774" s="280">
        <f t="shared" si="65"/>
        <v>7.7152812344452117</v>
      </c>
      <c r="L774" s="197">
        <v>15</v>
      </c>
      <c r="M774" s="197">
        <v>43157.395833333336</v>
      </c>
      <c r="N774" s="197">
        <v>43157.569444444445</v>
      </c>
      <c r="O774" s="197" t="s">
        <v>2550</v>
      </c>
      <c r="AB774" s="110" t="str">
        <f>IFERROR(INDEX('WetLitterbags placem_collection'!$A$3:$A$500,MATCH(A774,'WetLitterbags placem_collection'!$K$4:$K$500,0)),"")</f>
        <v/>
      </c>
      <c r="AC774" s="110" t="str">
        <f>IFERROR(INDEX('WetLitterbags placem_collection'!$A$3:$A$500,MATCH($A774,'WetLitterbags placem_collection'!$O$4:$O$500,0)),"")</f>
        <v/>
      </c>
      <c r="AD774" s="110" t="str">
        <f>IFERROR(INDEX('WetLitterbags placem_collection'!$A$3:$A$500,MATCH($A774,'WetLitterbags placem_collection'!$M$4:$M$500,0)),"")</f>
        <v/>
      </c>
      <c r="AE774" s="110">
        <f>IFERROR(INDEX('WetLitterbags placem_collection'!$A$3:$A$500,MATCH($A774,'WetLitterbags placem_collection'!$Q$4:$Q$500,0)),"")</f>
        <v>132</v>
      </c>
    </row>
    <row r="775" spans="1:31">
      <c r="A775" s="206" t="s">
        <v>543</v>
      </c>
      <c r="C775" s="201">
        <v>156</v>
      </c>
      <c r="D775" s="201">
        <v>1.5407</v>
      </c>
      <c r="E775" s="201">
        <v>7.9958</v>
      </c>
      <c r="F775" s="201">
        <v>0.2024</v>
      </c>
      <c r="G775" s="201">
        <f t="shared" si="63"/>
        <v>8.1981999999999999</v>
      </c>
      <c r="H775" s="201">
        <v>8.0113000000000003</v>
      </c>
      <c r="I775" s="201">
        <f t="shared" si="66"/>
        <v>0.18689999999999962</v>
      </c>
      <c r="J775" s="201">
        <f t="shared" si="64"/>
        <v>1.5500000000000375E-2</v>
      </c>
      <c r="K775" s="280">
        <f t="shared" si="65"/>
        <v>7.6581027667986037</v>
      </c>
      <c r="L775" s="201">
        <v>14</v>
      </c>
      <c r="M775" s="203">
        <v>43171.520833333336</v>
      </c>
      <c r="N775" s="203">
        <v>43171.6875</v>
      </c>
      <c r="O775" s="197" t="s">
        <v>2550</v>
      </c>
      <c r="P775" s="201"/>
      <c r="AB775" s="110" t="str">
        <f>IFERROR(INDEX('WetLitterbags placem_collection'!$A$3:$A$500,MATCH(A775,'WetLitterbags placem_collection'!$K$4:$K$500,0)),"")</f>
        <v/>
      </c>
      <c r="AC775" s="110" t="str">
        <f>IFERROR(INDEX('WetLitterbags placem_collection'!$A$3:$A$500,MATCH($A775,'WetLitterbags placem_collection'!$O$4:$O$500,0)),"")</f>
        <v/>
      </c>
      <c r="AD775" s="110">
        <f>IFERROR(INDEX('WetLitterbags placem_collection'!$A$3:$A$500,MATCH($A775,'WetLitterbags placem_collection'!$M$4:$M$500,0)),"")</f>
        <v>155</v>
      </c>
      <c r="AE775" s="110" t="str">
        <f>IFERROR(INDEX('WetLitterbags placem_collection'!$A$3:$A$500,MATCH($A775,'WetLitterbags placem_collection'!$Q$4:$Q$500,0)),"")</f>
        <v/>
      </c>
    </row>
    <row r="776" spans="1:31">
      <c r="A776" s="197" t="s">
        <v>1135</v>
      </c>
      <c r="C776" s="197">
        <v>44</v>
      </c>
      <c r="D776" s="197">
        <v>1.2974000000000001</v>
      </c>
      <c r="E776" s="197">
        <v>8.0890000000000004</v>
      </c>
      <c r="F776" s="197">
        <v>0.20369999999999999</v>
      </c>
      <c r="G776" s="197">
        <f t="shared" si="63"/>
        <v>8.2927</v>
      </c>
      <c r="H776" s="197">
        <v>8.0968999999999998</v>
      </c>
      <c r="I776" s="197">
        <f t="shared" si="66"/>
        <v>0.1958000000000002</v>
      </c>
      <c r="J776" s="201">
        <f t="shared" si="64"/>
        <v>7.8999999999997961E-3</v>
      </c>
      <c r="K776" s="280">
        <f t="shared" si="65"/>
        <v>3.8782523318604794</v>
      </c>
      <c r="L776" s="197">
        <v>28</v>
      </c>
      <c r="M776" s="197" t="s">
        <v>2586</v>
      </c>
      <c r="N776" s="197" t="s">
        <v>2585</v>
      </c>
      <c r="O776" s="197" t="s">
        <v>2550</v>
      </c>
      <c r="AB776" s="110" t="str">
        <f>IFERROR(INDEX('WetLitterbags placem_collection'!$A$3:$A$500,MATCH(A776,'WetLitterbags placem_collection'!$K$4:$K$500,0)),"")</f>
        <v/>
      </c>
      <c r="AC776" s="110" t="str">
        <f>IFERROR(INDEX('WetLitterbags placem_collection'!$A$3:$A$500,MATCH($A776,'WetLitterbags placem_collection'!$O$4:$O$500,0)),"")</f>
        <v/>
      </c>
      <c r="AD776" s="110" t="str">
        <f>IFERROR(INDEX('WetLitterbags placem_collection'!$A$3:$A$500,MATCH($A776,'WetLitterbags placem_collection'!$M$4:$M$500,0)),"")</f>
        <v/>
      </c>
      <c r="AE776" s="110">
        <f>IFERROR(INDEX('WetLitterbags placem_collection'!$A$3:$A$500,MATCH($A776,'WetLitterbags placem_collection'!$Q$4:$Q$500,0)),"")</f>
        <v>43</v>
      </c>
    </row>
    <row r="777" spans="1:31">
      <c r="A777" s="206" t="s">
        <v>1081</v>
      </c>
      <c r="C777" s="201">
        <v>56</v>
      </c>
      <c r="D777" s="202">
        <v>1.1222000000000001</v>
      </c>
      <c r="E777" s="202">
        <v>9.1564999999999994</v>
      </c>
      <c r="F777" s="202">
        <v>0.20069999999999999</v>
      </c>
      <c r="G777" s="201">
        <f t="shared" si="63"/>
        <v>9.3571999999999989</v>
      </c>
      <c r="H777" s="201">
        <v>9.3376999999999999</v>
      </c>
      <c r="I777" s="201">
        <f t="shared" si="66"/>
        <v>1.9499999999998963E-2</v>
      </c>
      <c r="J777" s="201">
        <f t="shared" si="64"/>
        <v>0.18120000000000103</v>
      </c>
      <c r="K777" s="280">
        <f t="shared" si="65"/>
        <v>90.284005979073754</v>
      </c>
      <c r="L777" s="201">
        <v>10</v>
      </c>
      <c r="M777" s="201"/>
      <c r="N777" s="201"/>
      <c r="O777" s="201"/>
      <c r="P777" s="201"/>
      <c r="U777" s="202" t="s">
        <v>1580</v>
      </c>
      <c r="V777" s="197">
        <v>0.85450000000000004</v>
      </c>
      <c r="W777" s="197">
        <f>(V777-$T$175+F775)</f>
        <v>1.0569</v>
      </c>
      <c r="AB777" s="110" t="str">
        <f>IFERROR(INDEX('WetLitterbags placem_collection'!$A$3:$A$500,MATCH(A777,'WetLitterbags placem_collection'!$K$4:$K$500,0)),"")</f>
        <v/>
      </c>
      <c r="AC777" s="110" t="str">
        <f>IFERROR(INDEX('WetLitterbags placem_collection'!$A$3:$A$500,MATCH($A777,'WetLitterbags placem_collection'!$O$4:$O$500,0)),"")</f>
        <v/>
      </c>
      <c r="AD777" s="110">
        <f>IFERROR(INDEX('WetLitterbags placem_collection'!$A$3:$A$500,MATCH($A777,'WetLitterbags placem_collection'!$M$4:$M$500,0)),"")</f>
        <v>55</v>
      </c>
      <c r="AE777" s="110" t="str">
        <f>IFERROR(INDEX('WetLitterbags placem_collection'!$A$3:$A$500,MATCH($A777,'WetLitterbags placem_collection'!$Q$4:$Q$500,0)),"")</f>
        <v/>
      </c>
    </row>
    <row r="778" spans="1:31">
      <c r="A778" s="206" t="s">
        <v>541</v>
      </c>
      <c r="C778" s="201">
        <v>134</v>
      </c>
      <c r="D778" s="201">
        <v>1.1697</v>
      </c>
      <c r="E778" s="202">
        <v>8.8617000000000008</v>
      </c>
      <c r="F778" s="202">
        <v>0.20449999999999999</v>
      </c>
      <c r="G778" s="201">
        <f t="shared" si="63"/>
        <v>9.0662000000000003</v>
      </c>
      <c r="H778" s="201">
        <v>8.8765999999999998</v>
      </c>
      <c r="I778" s="201">
        <f t="shared" si="66"/>
        <v>0.18960000000000043</v>
      </c>
      <c r="J778" s="201">
        <f t="shared" si="64"/>
        <v>1.4899999999999552E-2</v>
      </c>
      <c r="K778" s="280">
        <f t="shared" si="65"/>
        <v>7.2860635696819331</v>
      </c>
      <c r="L778" s="201">
        <v>10</v>
      </c>
      <c r="M778" s="205">
        <v>43197</v>
      </c>
      <c r="N778" s="205">
        <v>43197</v>
      </c>
      <c r="O778" s="201"/>
      <c r="P778" s="201"/>
      <c r="AB778" s="110" t="str">
        <f>IFERROR(INDEX('WetLitterbags placem_collection'!$A$3:$A$500,MATCH(A778,'WetLitterbags placem_collection'!$K$4:$K$500,0)),"")</f>
        <v/>
      </c>
      <c r="AC778" s="110" t="str">
        <f>IFERROR(INDEX('WetLitterbags placem_collection'!$A$3:$A$500,MATCH($A778,'WetLitterbags placem_collection'!$O$4:$O$500,0)),"")</f>
        <v/>
      </c>
      <c r="AD778" s="110">
        <f>IFERROR(INDEX('WetLitterbags placem_collection'!$A$3:$A$500,MATCH($A778,'WetLitterbags placem_collection'!$M$4:$M$500,0)),"")</f>
        <v>133</v>
      </c>
      <c r="AE778" s="110" t="str">
        <f>IFERROR(INDEX('WetLitterbags placem_collection'!$A$3:$A$500,MATCH($A778,'WetLitterbags placem_collection'!$Q$4:$Q$500,0)),"")</f>
        <v/>
      </c>
    </row>
    <row r="779" spans="1:31">
      <c r="A779" s="197" t="s">
        <v>539</v>
      </c>
      <c r="C779" s="197">
        <v>114</v>
      </c>
      <c r="D779" s="197">
        <v>2.7837999999999998</v>
      </c>
      <c r="E779" s="202">
        <v>10.1225</v>
      </c>
      <c r="F779" s="202">
        <v>0.20619999999999999</v>
      </c>
      <c r="G779" s="197">
        <f t="shared" si="63"/>
        <v>10.328700000000001</v>
      </c>
      <c r="H779" s="201">
        <v>10.3186</v>
      </c>
      <c r="I779" s="201">
        <f t="shared" si="66"/>
        <v>1.010000000000133E-2</v>
      </c>
      <c r="J779" s="201">
        <f t="shared" si="64"/>
        <v>0.19609999999999866</v>
      </c>
      <c r="K779" s="280">
        <f t="shared" si="65"/>
        <v>95.101842870998382</v>
      </c>
      <c r="L779" s="197">
        <v>1</v>
      </c>
      <c r="M779" s="207">
        <v>43185.385416666664</v>
      </c>
      <c r="O779" s="201" t="s">
        <v>2556</v>
      </c>
      <c r="P779" s="201"/>
      <c r="AB779" s="110" t="str">
        <f>IFERROR(INDEX('WetLitterbags placem_collection'!$A$3:$A$500,MATCH(A779,'WetLitterbags placem_collection'!$K$4:$K$500,0)),"")</f>
        <v/>
      </c>
      <c r="AC779" s="110" t="str">
        <f>IFERROR(INDEX('WetLitterbags placem_collection'!$A$3:$A$500,MATCH($A779,'WetLitterbags placem_collection'!$O$4:$O$500,0)),"")</f>
        <v/>
      </c>
      <c r="AD779" s="110">
        <f>IFERROR(INDEX('WetLitterbags placem_collection'!$A$3:$A$500,MATCH($A779,'WetLitterbags placem_collection'!$M$4:$M$500,0)),"")</f>
        <v>113</v>
      </c>
      <c r="AE779" s="110" t="str">
        <f>IFERROR(INDEX('WetLitterbags placem_collection'!$A$3:$A$500,MATCH($A779,'WetLitterbags placem_collection'!$Q$4:$Q$500,0)),"")</f>
        <v/>
      </c>
    </row>
    <row r="780" spans="1:31">
      <c r="A780" s="197" t="s">
        <v>1079</v>
      </c>
      <c r="C780" s="197">
        <v>86</v>
      </c>
      <c r="D780" s="197">
        <v>1.4595</v>
      </c>
      <c r="E780" s="197">
        <v>21.2059</v>
      </c>
      <c r="F780" s="197">
        <v>0.20219999999999999</v>
      </c>
      <c r="G780" s="197">
        <f t="shared" si="63"/>
        <v>21.408100000000001</v>
      </c>
      <c r="H780" s="197">
        <v>21.263200000000001</v>
      </c>
      <c r="I780" s="197">
        <f t="shared" si="66"/>
        <v>0.14489999999999981</v>
      </c>
      <c r="J780" s="201">
        <f t="shared" si="64"/>
        <v>5.7300000000000184E-2</v>
      </c>
      <c r="K780" s="280">
        <f t="shared" si="65"/>
        <v>28.338278931750832</v>
      </c>
      <c r="L780" s="197">
        <v>11</v>
      </c>
      <c r="M780" s="197" t="s">
        <v>2580</v>
      </c>
      <c r="N780" s="197" t="s">
        <v>2579</v>
      </c>
      <c r="O780" s="197" t="s">
        <v>2556</v>
      </c>
      <c r="AB780" s="110" t="str">
        <f>IFERROR(INDEX('WetLitterbags placem_collection'!$A$3:$A$500,MATCH(A780,'WetLitterbags placem_collection'!$K$4:$K$500,0)),"")</f>
        <v/>
      </c>
      <c r="AC780" s="110" t="str">
        <f>IFERROR(INDEX('WetLitterbags placem_collection'!$A$3:$A$500,MATCH($A780,'WetLitterbags placem_collection'!$O$4:$O$500,0)),"")</f>
        <v/>
      </c>
      <c r="AD780" s="110" t="str">
        <f>IFERROR(INDEX('WetLitterbags placem_collection'!$A$3:$A$500,MATCH($A780,'WetLitterbags placem_collection'!$M$4:$M$500,0)),"")</f>
        <v/>
      </c>
      <c r="AE780" s="110">
        <f>IFERROR(INDEX('WetLitterbags placem_collection'!$A$3:$A$500,MATCH($A780,'WetLitterbags placem_collection'!$Q$4:$Q$500,0)),"")</f>
        <v>85</v>
      </c>
    </row>
    <row r="781" spans="1:31">
      <c r="A781" s="201" t="s">
        <v>1078</v>
      </c>
      <c r="C781" s="201">
        <v>37</v>
      </c>
      <c r="D781" s="201">
        <v>0.86729999999999996</v>
      </c>
      <c r="E781" s="201">
        <v>9.9171999999999993</v>
      </c>
      <c r="F781" s="201">
        <v>0.20399999999999999</v>
      </c>
      <c r="G781" s="201">
        <f t="shared" si="63"/>
        <v>10.1212</v>
      </c>
      <c r="H781" s="201">
        <v>10.0619</v>
      </c>
      <c r="I781" s="201">
        <f t="shared" si="66"/>
        <v>5.9300000000000352E-2</v>
      </c>
      <c r="J781" s="201">
        <f t="shared" si="64"/>
        <v>0.14469999999999963</v>
      </c>
      <c r="K781" s="280">
        <f t="shared" si="65"/>
        <v>70.931372549019429</v>
      </c>
      <c r="L781" s="201">
        <v>22</v>
      </c>
      <c r="M781" s="205">
        <v>43188</v>
      </c>
      <c r="N781" s="205">
        <v>43188</v>
      </c>
      <c r="O781" s="201"/>
      <c r="P781" s="201"/>
      <c r="AB781" s="110" t="str">
        <f>IFERROR(INDEX('WetLitterbags placem_collection'!$A$3:$A$500,MATCH(A781,'WetLitterbags placem_collection'!$K$4:$K$500,0)),"")</f>
        <v/>
      </c>
      <c r="AC781" s="110" t="str">
        <f>IFERROR(INDEX('WetLitterbags placem_collection'!$A$3:$A$500,MATCH($A781,'WetLitterbags placem_collection'!$O$4:$O$500,0)),"")</f>
        <v/>
      </c>
      <c r="AD781" s="110">
        <f>IFERROR(INDEX('WetLitterbags placem_collection'!$A$3:$A$500,MATCH($A781,'WetLitterbags placem_collection'!$M$4:$M$500,0)),"")</f>
        <v>36</v>
      </c>
      <c r="AE781" s="110" t="str">
        <f>IFERROR(INDEX('WetLitterbags placem_collection'!$A$3:$A$500,MATCH($A781,'WetLitterbags placem_collection'!$Q$4:$Q$500,0)),"")</f>
        <v/>
      </c>
    </row>
    <row r="782" spans="1:31">
      <c r="A782" s="201" t="s">
        <v>1077</v>
      </c>
      <c r="C782" s="201">
        <v>35</v>
      </c>
      <c r="D782" s="202">
        <v>1.3553999999999999</v>
      </c>
      <c r="E782" s="201">
        <v>11.0875</v>
      </c>
      <c r="F782" s="202">
        <v>0.2036</v>
      </c>
      <c r="G782" s="201">
        <f t="shared" si="63"/>
        <v>11.2911</v>
      </c>
      <c r="H782" s="201">
        <v>11.0983</v>
      </c>
      <c r="I782" s="201">
        <f t="shared" si="66"/>
        <v>0.19280000000000008</v>
      </c>
      <c r="J782" s="201">
        <f t="shared" si="64"/>
        <v>1.0799999999999921E-2</v>
      </c>
      <c r="K782" s="280">
        <f t="shared" si="65"/>
        <v>5.3045186640471123</v>
      </c>
      <c r="L782" s="201">
        <v>14</v>
      </c>
      <c r="M782" s="205">
        <v>43206</v>
      </c>
      <c r="N782" s="205">
        <v>43206</v>
      </c>
      <c r="O782" s="201"/>
      <c r="P782" s="201"/>
      <c r="AB782" s="110" t="str">
        <f>IFERROR(INDEX('WetLitterbags placem_collection'!$A$3:$A$500,MATCH(A782,'WetLitterbags placem_collection'!$K$4:$K$500,0)),"")</f>
        <v/>
      </c>
      <c r="AC782" s="110" t="str">
        <f>IFERROR(INDEX('WetLitterbags placem_collection'!$A$3:$A$500,MATCH($A782,'WetLitterbags placem_collection'!$O$4:$O$500,0)),"")</f>
        <v/>
      </c>
      <c r="AD782" s="110">
        <f>IFERROR(INDEX('WetLitterbags placem_collection'!$A$3:$A$500,MATCH($A782,'WetLitterbags placem_collection'!$M$4:$M$500,0)),"")</f>
        <v>34</v>
      </c>
      <c r="AE782" s="110" t="str">
        <f>IFERROR(INDEX('WetLitterbags placem_collection'!$A$3:$A$500,MATCH($A782,'WetLitterbags placem_collection'!$Q$4:$Q$500,0)),"")</f>
        <v/>
      </c>
    </row>
    <row r="783" spans="1:31">
      <c r="A783" s="197" t="s">
        <v>1076</v>
      </c>
      <c r="C783" s="197">
        <v>39</v>
      </c>
      <c r="D783" s="197">
        <v>1.2951999999999999</v>
      </c>
      <c r="E783" s="197">
        <v>8.3538999999999994</v>
      </c>
      <c r="F783" s="197">
        <v>0.2019</v>
      </c>
      <c r="G783" s="197">
        <f t="shared" si="63"/>
        <v>8.5557999999999996</v>
      </c>
      <c r="H783" s="197">
        <v>8.3606999999999996</v>
      </c>
      <c r="I783" s="197">
        <f t="shared" si="66"/>
        <v>0.19510000000000005</v>
      </c>
      <c r="J783" s="201">
        <f t="shared" si="64"/>
        <v>6.799999999999945E-3</v>
      </c>
      <c r="K783" s="280">
        <f t="shared" si="65"/>
        <v>3.3680039623575757</v>
      </c>
      <c r="L783" s="197">
        <v>24</v>
      </c>
      <c r="M783" s="197" t="s">
        <v>2586</v>
      </c>
      <c r="N783" s="197" t="s">
        <v>2585</v>
      </c>
      <c r="O783" s="197" t="s">
        <v>2550</v>
      </c>
      <c r="AB783" s="110" t="str">
        <f>IFERROR(INDEX('WetLitterbags placem_collection'!$A$3:$A$500,MATCH(A783,'WetLitterbags placem_collection'!$K$4:$K$500,0)),"")</f>
        <v/>
      </c>
      <c r="AC783" s="110" t="str">
        <f>IFERROR(INDEX('WetLitterbags placem_collection'!$A$3:$A$500,MATCH($A783,'WetLitterbags placem_collection'!$O$4:$O$500,0)),"")</f>
        <v/>
      </c>
      <c r="AD783" s="110" t="str">
        <f>IFERROR(INDEX('WetLitterbags placem_collection'!$A$3:$A$500,MATCH($A783,'WetLitterbags placem_collection'!$M$4:$M$500,0)),"")</f>
        <v/>
      </c>
      <c r="AE783" s="110">
        <f>IFERROR(INDEX('WetLitterbags placem_collection'!$A$3:$A$500,MATCH($A783,'WetLitterbags placem_collection'!$Q$4:$Q$500,0)),"")</f>
        <v>38</v>
      </c>
    </row>
    <row r="784" spans="1:31">
      <c r="A784" s="197" t="s">
        <v>1073</v>
      </c>
      <c r="C784" s="197">
        <v>80</v>
      </c>
      <c r="D784" s="197">
        <v>1.389</v>
      </c>
      <c r="E784" s="197">
        <v>11.8589</v>
      </c>
      <c r="F784" s="197">
        <v>0.2056</v>
      </c>
      <c r="G784" s="197">
        <f t="shared" si="63"/>
        <v>12.064500000000001</v>
      </c>
      <c r="H784" s="197">
        <v>11.8802</v>
      </c>
      <c r="I784" s="197">
        <f t="shared" si="66"/>
        <v>0.18430000000000035</v>
      </c>
      <c r="J784" s="201">
        <f t="shared" si="64"/>
        <v>2.1299999999999653E-2</v>
      </c>
      <c r="K784" s="280">
        <f t="shared" si="65"/>
        <v>10.359922178988159</v>
      </c>
      <c r="L784" s="197">
        <v>8</v>
      </c>
      <c r="M784" s="197" t="s">
        <v>2580</v>
      </c>
      <c r="N784" s="197" t="s">
        <v>2579</v>
      </c>
      <c r="O784" s="197" t="s">
        <v>2556</v>
      </c>
      <c r="AB784" s="110" t="str">
        <f>IFERROR(INDEX('WetLitterbags placem_collection'!$A$3:$A$500,MATCH(A784,'WetLitterbags placem_collection'!$K$4:$K$500,0)),"")</f>
        <v/>
      </c>
      <c r="AC784" s="110" t="str">
        <f>IFERROR(INDEX('WetLitterbags placem_collection'!$A$3:$A$500,MATCH($A784,'WetLitterbags placem_collection'!$O$4:$O$500,0)),"")</f>
        <v/>
      </c>
      <c r="AD784" s="110" t="str">
        <f>IFERROR(INDEX('WetLitterbags placem_collection'!$A$3:$A$500,MATCH($A784,'WetLitterbags placem_collection'!$M$4:$M$500,0)),"")</f>
        <v/>
      </c>
      <c r="AE784" s="110">
        <f>IFERROR(INDEX('WetLitterbags placem_collection'!$A$3:$A$500,MATCH($A784,'WetLitterbags placem_collection'!$Q$4:$Q$500,0)),"")</f>
        <v>79</v>
      </c>
    </row>
    <row r="785" spans="1:31">
      <c r="A785" s="201" t="s">
        <v>1072</v>
      </c>
      <c r="C785" s="201">
        <v>35</v>
      </c>
      <c r="D785" s="202">
        <v>1.2358</v>
      </c>
      <c r="E785" s="201">
        <v>10.739100000000001</v>
      </c>
      <c r="F785" s="202">
        <v>0.2031</v>
      </c>
      <c r="G785" s="201">
        <f t="shared" si="63"/>
        <v>10.9422</v>
      </c>
      <c r="H785" s="201">
        <v>10.754</v>
      </c>
      <c r="I785" s="201">
        <f t="shared" si="66"/>
        <v>0.18820000000000014</v>
      </c>
      <c r="J785" s="201">
        <f t="shared" si="64"/>
        <v>1.4899999999999858E-2</v>
      </c>
      <c r="K785" s="280">
        <f t="shared" si="65"/>
        <v>7.3362875430821557</v>
      </c>
      <c r="L785" s="201">
        <v>13</v>
      </c>
      <c r="M785" s="205">
        <v>43206</v>
      </c>
      <c r="N785" s="205">
        <v>43206</v>
      </c>
      <c r="O785" s="201"/>
      <c r="P785" s="201"/>
      <c r="AB785" s="110" t="str">
        <f>IFERROR(INDEX('WetLitterbags placem_collection'!$A$3:$A$500,MATCH(A785,'WetLitterbags placem_collection'!$K$4:$K$500,0)),"")</f>
        <v/>
      </c>
      <c r="AC785" s="110" t="str">
        <f>IFERROR(INDEX('WetLitterbags placem_collection'!$A$3:$A$500,MATCH($A785,'WetLitterbags placem_collection'!$O$4:$O$500,0)),"")</f>
        <v/>
      </c>
      <c r="AD785" s="110" t="str">
        <f>IFERROR(INDEX('WetLitterbags placem_collection'!$A$3:$A$500,MATCH($A785,'WetLitterbags placem_collection'!$M$4:$M$500,0)),"")</f>
        <v/>
      </c>
      <c r="AE785" s="110">
        <f>IFERROR(INDEX('WetLitterbags placem_collection'!$A$3:$A$500,MATCH($A785,'WetLitterbags placem_collection'!$Q$4:$Q$500,0)),"")</f>
        <v>34</v>
      </c>
    </row>
    <row r="786" spans="1:31">
      <c r="A786" s="206" t="s">
        <v>1134</v>
      </c>
      <c r="C786" s="201">
        <v>150</v>
      </c>
      <c r="D786" s="201">
        <v>1.4441999999999999</v>
      </c>
      <c r="E786" s="202">
        <v>7.4745999999999997</v>
      </c>
      <c r="F786" s="202">
        <v>0.2051</v>
      </c>
      <c r="G786" s="201">
        <f t="shared" si="63"/>
        <v>7.6796999999999995</v>
      </c>
      <c r="H786" s="201">
        <v>7.4954999999999998</v>
      </c>
      <c r="I786" s="201">
        <f t="shared" si="66"/>
        <v>0.1841999999999997</v>
      </c>
      <c r="J786" s="201">
        <f t="shared" si="64"/>
        <v>2.0900000000000307E-2</v>
      </c>
      <c r="K786" s="280">
        <f t="shared" si="65"/>
        <v>10.190151145782695</v>
      </c>
      <c r="L786" s="201">
        <v>10</v>
      </c>
      <c r="M786" s="205">
        <v>43199</v>
      </c>
      <c r="N786" s="205">
        <v>43199</v>
      </c>
      <c r="O786" s="201"/>
      <c r="P786" s="201"/>
      <c r="AB786" s="110" t="str">
        <f>IFERROR(INDEX('WetLitterbags placem_collection'!$A$3:$A$500,MATCH(A786,'WetLitterbags placem_collection'!$K$4:$K$500,0)),"")</f>
        <v/>
      </c>
      <c r="AC786" s="110" t="str">
        <f>IFERROR(INDEX('WetLitterbags placem_collection'!$A$3:$A$500,MATCH($A786,'WetLitterbags placem_collection'!$O$4:$O$500,0)),"")</f>
        <v/>
      </c>
      <c r="AD786" s="110">
        <f>IFERROR(INDEX('WetLitterbags placem_collection'!$A$3:$A$500,MATCH($A786,'WetLitterbags placem_collection'!$M$4:$M$500,0)),"")</f>
        <v>149</v>
      </c>
      <c r="AE786" s="110" t="str">
        <f>IFERROR(INDEX('WetLitterbags placem_collection'!$A$3:$A$500,MATCH($A786,'WetLitterbags placem_collection'!$Q$4:$Q$500,0)),"")</f>
        <v/>
      </c>
    </row>
    <row r="787" spans="1:31">
      <c r="A787" s="197" t="s">
        <v>1070</v>
      </c>
      <c r="C787" s="197">
        <v>24</v>
      </c>
      <c r="D787" s="197">
        <v>1.0868</v>
      </c>
      <c r="E787" s="197">
        <v>10.1241</v>
      </c>
      <c r="F787" s="202">
        <v>0.20150000000000001</v>
      </c>
      <c r="G787" s="201">
        <f t="shared" si="63"/>
        <v>10.3256</v>
      </c>
      <c r="H787" s="201">
        <v>10.1355</v>
      </c>
      <c r="I787" s="201">
        <f t="shared" si="66"/>
        <v>0.19009999999999927</v>
      </c>
      <c r="J787" s="201">
        <f t="shared" si="64"/>
        <v>1.1400000000000743E-2</v>
      </c>
      <c r="K787" s="280">
        <f t="shared" si="65"/>
        <v>5.6575682382137682</v>
      </c>
      <c r="L787" s="201">
        <v>1</v>
      </c>
      <c r="AB787" s="110" t="str">
        <f>IFERROR(INDEX('WetLitterbags placem_collection'!$A$3:$A$500,MATCH(A787,'WetLitterbags placem_collection'!$K$4:$K$500,0)),"")</f>
        <v/>
      </c>
      <c r="AC787" s="110" t="str">
        <f>IFERROR(INDEX('WetLitterbags placem_collection'!$A$3:$A$500,MATCH($A787,'WetLitterbags placem_collection'!$O$4:$O$500,0)),"")</f>
        <v/>
      </c>
      <c r="AD787" s="110" t="str">
        <f>IFERROR(INDEX('WetLitterbags placem_collection'!$A$3:$A$500,MATCH($A787,'WetLitterbags placem_collection'!$M$4:$M$500,0)),"")</f>
        <v/>
      </c>
      <c r="AE787" s="110">
        <f>IFERROR(INDEX('WetLitterbags placem_collection'!$A$3:$A$500,MATCH($A787,'WetLitterbags placem_collection'!$Q$4:$Q$500,0)),"")</f>
        <v>23</v>
      </c>
    </row>
    <row r="788" spans="1:31">
      <c r="A788" s="206" t="s">
        <v>1069</v>
      </c>
      <c r="C788" s="201">
        <v>48</v>
      </c>
      <c r="D788" s="201">
        <v>1.3627</v>
      </c>
      <c r="E788" s="201">
        <v>10.5657</v>
      </c>
      <c r="F788" s="202">
        <v>0.20580000000000001</v>
      </c>
      <c r="G788" s="201">
        <f t="shared" si="63"/>
        <v>10.7715</v>
      </c>
      <c r="H788" s="201">
        <v>10.5753</v>
      </c>
      <c r="I788" s="201">
        <f t="shared" si="66"/>
        <v>0.19619999999999926</v>
      </c>
      <c r="J788" s="201">
        <f t="shared" si="64"/>
        <v>9.6000000000007468E-3</v>
      </c>
      <c r="K788" s="280">
        <f t="shared" si="65"/>
        <v>4.6647230320703335</v>
      </c>
      <c r="L788" s="201">
        <v>12</v>
      </c>
      <c r="M788" s="205">
        <v>43211</v>
      </c>
      <c r="S788" s="197" t="s">
        <v>2593</v>
      </c>
      <c r="T788" s="197" t="s">
        <v>2592</v>
      </c>
      <c r="U788" s="197" t="s">
        <v>2591</v>
      </c>
      <c r="V788" s="197" t="s">
        <v>2590</v>
      </c>
      <c r="W788" s="197" t="s">
        <v>2589</v>
      </c>
      <c r="AB788" s="110" t="str">
        <f>IFERROR(INDEX('WetLitterbags placem_collection'!$A$3:$A$500,MATCH(A788,'WetLitterbags placem_collection'!$K$4:$K$500,0)),"")</f>
        <v/>
      </c>
      <c r="AC788" s="110" t="str">
        <f>IFERROR(INDEX('WetLitterbags placem_collection'!$A$3:$A$500,MATCH($A788,'WetLitterbags placem_collection'!$O$4:$O$500,0)),"")</f>
        <v/>
      </c>
      <c r="AD788" s="110">
        <f>IFERROR(INDEX('WetLitterbags placem_collection'!$A$3:$A$500,MATCH($A788,'WetLitterbags placem_collection'!$M$4:$M$500,0)),"")</f>
        <v>47</v>
      </c>
      <c r="AE788" s="110" t="str">
        <f>IFERROR(INDEX('WetLitterbags placem_collection'!$A$3:$A$500,MATCH($A788,'WetLitterbags placem_collection'!$Q$4:$Q$500,0)),"")</f>
        <v/>
      </c>
    </row>
    <row r="789" spans="1:31">
      <c r="A789" s="202" t="s">
        <v>1068</v>
      </c>
      <c r="C789" s="201">
        <v>91</v>
      </c>
      <c r="D789" s="201">
        <v>1.4371999999999998</v>
      </c>
      <c r="E789" s="201">
        <v>11.7471</v>
      </c>
      <c r="F789" s="201">
        <v>0.2006</v>
      </c>
      <c r="G789" s="201">
        <f t="shared" si="63"/>
        <v>11.947699999999999</v>
      </c>
      <c r="H789" s="201">
        <v>11.7536</v>
      </c>
      <c r="I789" s="201">
        <f t="shared" si="66"/>
        <v>0.19409999999999883</v>
      </c>
      <c r="J789" s="201">
        <f t="shared" si="64"/>
        <v>6.5000000000011715E-3</v>
      </c>
      <c r="K789" s="280">
        <f t="shared" si="65"/>
        <v>3.2402791625130467</v>
      </c>
      <c r="L789" s="201">
        <v>6</v>
      </c>
      <c r="M789" s="205">
        <v>43173</v>
      </c>
      <c r="N789" s="205">
        <v>43173</v>
      </c>
      <c r="O789" s="201" t="s">
        <v>2556</v>
      </c>
      <c r="P789" s="201" t="s">
        <v>2555</v>
      </c>
      <c r="AB789" s="110" t="str">
        <f>IFERROR(INDEX('WetLitterbags placem_collection'!$A$3:$A$500,MATCH(A789,'WetLitterbags placem_collection'!$K$4:$K$500,0)),"")</f>
        <v/>
      </c>
      <c r="AC789" s="110" t="str">
        <f>IFERROR(INDEX('WetLitterbags placem_collection'!$A$3:$A$500,MATCH($A789,'WetLitterbags placem_collection'!$O$4:$O$500,0)),"")</f>
        <v/>
      </c>
      <c r="AD789" s="110" t="str">
        <f>IFERROR(INDEX('WetLitterbags placem_collection'!$A$3:$A$500,MATCH($A789,'WetLitterbags placem_collection'!$M$4:$M$500,0)),"")</f>
        <v/>
      </c>
      <c r="AE789" s="110">
        <f>IFERROR(INDEX('WetLitterbags placem_collection'!$A$3:$A$500,MATCH($A789,'WetLitterbags placem_collection'!$Q$4:$Q$500,0)),"")</f>
        <v>90</v>
      </c>
    </row>
    <row r="790" spans="1:31">
      <c r="A790" s="197" t="s">
        <v>1067</v>
      </c>
      <c r="C790" s="197">
        <v>45</v>
      </c>
      <c r="D790" s="197">
        <v>1.3643000000000001</v>
      </c>
      <c r="E790" s="197">
        <v>11.904500000000001</v>
      </c>
      <c r="F790" s="197">
        <v>0.2029</v>
      </c>
      <c r="G790" s="197">
        <f t="shared" si="63"/>
        <v>12.1074</v>
      </c>
      <c r="H790" s="197">
        <v>11.9108</v>
      </c>
      <c r="I790" s="197">
        <f t="shared" si="66"/>
        <v>0.19660000000000011</v>
      </c>
      <c r="J790" s="201">
        <f t="shared" si="64"/>
        <v>6.299999999999889E-3</v>
      </c>
      <c r="K790" s="280">
        <f t="shared" si="65"/>
        <v>3.1049778215869339</v>
      </c>
      <c r="L790" s="197">
        <v>17</v>
      </c>
      <c r="M790" s="197" t="s">
        <v>2586</v>
      </c>
      <c r="N790" s="197" t="s">
        <v>2585</v>
      </c>
      <c r="O790" s="197" t="s">
        <v>2550</v>
      </c>
      <c r="AB790" s="110" t="str">
        <f>IFERROR(INDEX('WetLitterbags placem_collection'!$A$3:$A$500,MATCH(A790,'WetLitterbags placem_collection'!$K$4:$K$500,0)),"")</f>
        <v/>
      </c>
      <c r="AC790" s="110" t="str">
        <f>IFERROR(INDEX('WetLitterbags placem_collection'!$A$3:$A$500,MATCH($A790,'WetLitterbags placem_collection'!$O$4:$O$500,0)),"")</f>
        <v/>
      </c>
      <c r="AD790" s="110" t="str">
        <f>IFERROR(INDEX('WetLitterbags placem_collection'!$A$3:$A$500,MATCH($A790,'WetLitterbags placem_collection'!$M$4:$M$500,0)),"")</f>
        <v/>
      </c>
      <c r="AE790" s="110">
        <f>IFERROR(INDEX('WetLitterbags placem_collection'!$A$3:$A$500,MATCH($A790,'WetLitterbags placem_collection'!$Q$4:$Q$500,0)),"")</f>
        <v>44</v>
      </c>
    </row>
    <row r="791" spans="1:31">
      <c r="A791" s="197" t="s">
        <v>1065</v>
      </c>
      <c r="C791" s="201">
        <v>47</v>
      </c>
      <c r="D791" s="201">
        <v>1.4326000000000001</v>
      </c>
      <c r="E791" s="201">
        <v>8.8602000000000007</v>
      </c>
      <c r="F791" s="202">
        <v>0.20269999999999999</v>
      </c>
      <c r="G791" s="201">
        <f t="shared" si="63"/>
        <v>9.0629000000000008</v>
      </c>
      <c r="H791" s="201">
        <v>8.8664000000000005</v>
      </c>
      <c r="I791" s="201">
        <f t="shared" si="66"/>
        <v>0.19650000000000034</v>
      </c>
      <c r="J791" s="201">
        <f t="shared" si="64"/>
        <v>6.1999999999996502E-3</v>
      </c>
      <c r="K791" s="280">
        <f t="shared" si="65"/>
        <v>3.0587074494324868</v>
      </c>
      <c r="L791" s="201">
        <v>19</v>
      </c>
      <c r="M791" s="205">
        <v>43211</v>
      </c>
      <c r="AB791" s="110" t="str">
        <f>IFERROR(INDEX('WetLitterbags placem_collection'!$A$3:$A$500,MATCH(A791,'WetLitterbags placem_collection'!$K$4:$K$500,0)),"")</f>
        <v/>
      </c>
      <c r="AC791" s="110" t="str">
        <f>IFERROR(INDEX('WetLitterbags placem_collection'!$A$3:$A$500,MATCH($A791,'WetLitterbags placem_collection'!$O$4:$O$500,0)),"")</f>
        <v/>
      </c>
      <c r="AD791" s="110" t="str">
        <f>IFERROR(INDEX('WetLitterbags placem_collection'!$A$3:$A$500,MATCH($A791,'WetLitterbags placem_collection'!$M$4:$M$500,0)),"")</f>
        <v/>
      </c>
      <c r="AE791" s="110">
        <f>IFERROR(INDEX('WetLitterbags placem_collection'!$A$3:$A$500,MATCH($A791,'WetLitterbags placem_collection'!$Q$4:$Q$500,0)),"")</f>
        <v>46</v>
      </c>
    </row>
    <row r="792" spans="1:31">
      <c r="A792" s="201" t="s">
        <v>1064</v>
      </c>
      <c r="C792" s="201">
        <v>41</v>
      </c>
      <c r="D792" s="202">
        <v>1.3088</v>
      </c>
      <c r="E792" s="201">
        <v>10.698399999999999</v>
      </c>
      <c r="F792" s="202">
        <v>0.19989999999999999</v>
      </c>
      <c r="G792" s="201">
        <f t="shared" si="63"/>
        <v>10.898299999999999</v>
      </c>
      <c r="H792" s="201">
        <v>10.7105</v>
      </c>
      <c r="I792" s="201">
        <f t="shared" si="66"/>
        <v>0.1877999999999993</v>
      </c>
      <c r="J792" s="201">
        <f t="shared" si="64"/>
        <v>1.2100000000000694E-2</v>
      </c>
      <c r="K792" s="280">
        <f t="shared" si="65"/>
        <v>6.0530265132569756</v>
      </c>
      <c r="L792" s="201">
        <v>29</v>
      </c>
      <c r="M792" s="201"/>
      <c r="N792" s="201"/>
      <c r="O792" s="201"/>
      <c r="P792" s="201"/>
      <c r="AB792" s="110" t="str">
        <f>IFERROR(INDEX('WetLitterbags placem_collection'!$A$3:$A$500,MATCH(A792,'WetLitterbags placem_collection'!$K$4:$K$500,0)),"")</f>
        <v/>
      </c>
      <c r="AC792" s="110" t="str">
        <f>IFERROR(INDEX('WetLitterbags placem_collection'!$A$3:$A$500,MATCH($A792,'WetLitterbags placem_collection'!$O$4:$O$500,0)),"")</f>
        <v/>
      </c>
      <c r="AD792" s="110" t="str">
        <f>IFERROR(INDEX('WetLitterbags placem_collection'!$A$3:$A$500,MATCH($A792,'WetLitterbags placem_collection'!$M$4:$M$500,0)),"")</f>
        <v/>
      </c>
      <c r="AE792" s="110">
        <f>IFERROR(INDEX('WetLitterbags placem_collection'!$A$3:$A$500,MATCH($A792,'WetLitterbags placem_collection'!$Q$4:$Q$500,0)),"")</f>
        <v>40</v>
      </c>
    </row>
    <row r="793" spans="1:31">
      <c r="A793" s="202" t="s">
        <v>1063</v>
      </c>
      <c r="C793" s="201">
        <v>60</v>
      </c>
      <c r="D793" s="201">
        <v>1.3980999999999999</v>
      </c>
      <c r="E793" s="201">
        <v>10.856299999999999</v>
      </c>
      <c r="F793" s="201">
        <v>0.2044</v>
      </c>
      <c r="G793" s="201">
        <f t="shared" si="63"/>
        <v>11.060699999999999</v>
      </c>
      <c r="H793" s="201">
        <v>10.8682</v>
      </c>
      <c r="I793" s="201">
        <f t="shared" si="66"/>
        <v>0.19249999999999901</v>
      </c>
      <c r="J793" s="201">
        <f t="shared" si="64"/>
        <v>1.1900000000000993E-2</v>
      </c>
      <c r="K793" s="280">
        <f t="shared" si="65"/>
        <v>5.8219178082196645</v>
      </c>
      <c r="L793" s="201">
        <v>23</v>
      </c>
      <c r="M793" s="205">
        <v>43173</v>
      </c>
      <c r="N793" s="205">
        <v>43173</v>
      </c>
      <c r="O793" s="201" t="s">
        <v>2556</v>
      </c>
      <c r="P793" s="201" t="s">
        <v>2555</v>
      </c>
      <c r="AB793" s="110" t="str">
        <f>IFERROR(INDEX('WetLitterbags placem_collection'!$A$3:$A$500,MATCH(A793,'WetLitterbags placem_collection'!$K$4:$K$500,0)),"")</f>
        <v/>
      </c>
      <c r="AC793" s="110" t="str">
        <f>IFERROR(INDEX('WetLitterbags placem_collection'!$A$3:$A$500,MATCH($A793,'WetLitterbags placem_collection'!$O$4:$O$500,0)),"")</f>
        <v/>
      </c>
      <c r="AD793" s="110">
        <f>IFERROR(INDEX('WetLitterbags placem_collection'!$A$3:$A$500,MATCH($A793,'WetLitterbags placem_collection'!$M$4:$M$500,0)),"")</f>
        <v>59</v>
      </c>
      <c r="AE793" s="110" t="str">
        <f>IFERROR(INDEX('WetLitterbags placem_collection'!$A$3:$A$500,MATCH($A793,'WetLitterbags placem_collection'!$Q$4:$Q$500,0)),"")</f>
        <v/>
      </c>
    </row>
    <row r="794" spans="1:31">
      <c r="A794" t="s">
        <v>1062</v>
      </c>
      <c r="C794" s="198"/>
      <c r="D794" s="197">
        <v>1.1731</v>
      </c>
      <c r="E794" s="202">
        <v>10.738300000000001</v>
      </c>
      <c r="F794" s="202">
        <v>0.20169999999999999</v>
      </c>
      <c r="G794" s="201">
        <f t="shared" si="63"/>
        <v>10.940000000000001</v>
      </c>
      <c r="H794" s="201">
        <v>10.751899999999999</v>
      </c>
      <c r="I794" s="201">
        <f t="shared" si="66"/>
        <v>0.18810000000000215</v>
      </c>
      <c r="J794" s="201">
        <f t="shared" si="64"/>
        <v>1.3599999999997836E-2</v>
      </c>
      <c r="K794" s="280">
        <f t="shared" si="65"/>
        <v>6.7426871591461754</v>
      </c>
      <c r="L794" s="201">
        <v>9</v>
      </c>
      <c r="AB794" s="110" t="str">
        <f>IFERROR(INDEX('WetLitterbags placem_collection'!$A$3:$A$500,MATCH(A794,'WetLitterbags placem_collection'!$K$4:$K$500,0)),"")</f>
        <v/>
      </c>
      <c r="AC794" s="110" t="str">
        <f>IFERROR(INDEX('WetLitterbags placem_collection'!$A$3:$A$500,MATCH($A794,'WetLitterbags placem_collection'!$O$4:$O$500,0)),"")</f>
        <v/>
      </c>
      <c r="AD794" s="110" t="str">
        <f>IFERROR(INDEX('WetLitterbags placem_collection'!$A$3:$A$500,MATCH($A794,'WetLitterbags placem_collection'!$M$4:$M$500,0)),"")</f>
        <v/>
      </c>
      <c r="AE794" s="110">
        <f>IFERROR(INDEX('WetLitterbags placem_collection'!$A$3:$A$500,MATCH($A794,'WetLitterbags placem_collection'!$Q$4:$Q$500,0)),"")</f>
        <v>20</v>
      </c>
    </row>
    <row r="795" spans="1:31">
      <c r="A795" s="206" t="s">
        <v>1133</v>
      </c>
      <c r="C795" s="201">
        <v>108</v>
      </c>
      <c r="D795" s="201">
        <v>1.2354000000000001</v>
      </c>
      <c r="E795" s="202">
        <v>9.7255000000000003</v>
      </c>
      <c r="F795" s="202">
        <v>0.20080000000000001</v>
      </c>
      <c r="G795" s="201">
        <f t="shared" si="63"/>
        <v>9.9262999999999995</v>
      </c>
      <c r="H795" s="201">
        <v>9.7420000000000009</v>
      </c>
      <c r="I795" s="201">
        <f t="shared" si="66"/>
        <v>0.18429999999999858</v>
      </c>
      <c r="J795" s="201">
        <f t="shared" si="64"/>
        <v>1.650000000000143E-2</v>
      </c>
      <c r="K795" s="280">
        <f t="shared" si="65"/>
        <v>8.2171314741042973</v>
      </c>
      <c r="L795" s="201">
        <v>37</v>
      </c>
      <c r="M795" s="207">
        <v>43186.458333333336</v>
      </c>
      <c r="N795" s="207">
        <v>43186.625</v>
      </c>
      <c r="O795" s="197" t="s">
        <v>2550</v>
      </c>
      <c r="P795" s="201"/>
      <c r="AB795" s="110" t="str">
        <f>IFERROR(INDEX('WetLitterbags placem_collection'!$A$3:$A$500,MATCH(A795,'WetLitterbags placem_collection'!$K$4:$K$500,0)),"")</f>
        <v/>
      </c>
      <c r="AC795" s="110" t="str">
        <f>IFERROR(INDEX('WetLitterbags placem_collection'!$A$3:$A$500,MATCH($A795,'WetLitterbags placem_collection'!$O$4:$O$500,0)),"")</f>
        <v/>
      </c>
      <c r="AD795" s="110">
        <f>IFERROR(INDEX('WetLitterbags placem_collection'!$A$3:$A$500,MATCH($A795,'WetLitterbags placem_collection'!$M$4:$M$500,0)),"")</f>
        <v>107</v>
      </c>
      <c r="AE795" s="110" t="str">
        <f>IFERROR(INDEX('WetLitterbags placem_collection'!$A$3:$A$500,MATCH($A795,'WetLitterbags placem_collection'!$Q$4:$Q$500,0)),"")</f>
        <v/>
      </c>
    </row>
    <row r="796" spans="1:31">
      <c r="A796" s="206" t="s">
        <v>1060</v>
      </c>
      <c r="C796" s="201">
        <v>42</v>
      </c>
      <c r="D796" s="202">
        <v>1.2764</v>
      </c>
      <c r="E796" s="201">
        <v>8.8452000000000002</v>
      </c>
      <c r="F796" s="202">
        <v>0.2077</v>
      </c>
      <c r="G796" s="201">
        <f t="shared" si="63"/>
        <v>9.0529000000000011</v>
      </c>
      <c r="H796" s="201">
        <v>8.8504000000000005</v>
      </c>
      <c r="I796" s="201">
        <f t="shared" si="66"/>
        <v>0.20250000000000057</v>
      </c>
      <c r="J796" s="201">
        <f t="shared" si="64"/>
        <v>5.1999999999994273E-3</v>
      </c>
      <c r="K796" s="280">
        <f t="shared" si="65"/>
        <v>2.5036109773709327</v>
      </c>
      <c r="L796" s="201">
        <v>9</v>
      </c>
      <c r="M796" s="205">
        <v>43206</v>
      </c>
      <c r="N796" s="205">
        <v>43206</v>
      </c>
      <c r="O796" s="201"/>
      <c r="P796" s="201"/>
      <c r="AB796" s="110" t="str">
        <f>IFERROR(INDEX('WetLitterbags placem_collection'!$A$3:$A$500,MATCH(A796,'WetLitterbags placem_collection'!$K$4:$K$500,0)),"")</f>
        <v/>
      </c>
      <c r="AC796" s="110" t="str">
        <f>IFERROR(INDEX('WetLitterbags placem_collection'!$A$3:$A$500,MATCH($A796,'WetLitterbags placem_collection'!$O$4:$O$500,0)),"")</f>
        <v/>
      </c>
      <c r="AD796" s="110" t="str">
        <f>IFERROR(INDEX('WetLitterbags placem_collection'!$A$3:$A$500,MATCH($A796,'WetLitterbags placem_collection'!$M$4:$M$500,0)),"")</f>
        <v/>
      </c>
      <c r="AE796" s="110">
        <f>IFERROR(INDEX('WetLitterbags placem_collection'!$A$3:$A$500,MATCH($A796,'WetLitterbags placem_collection'!$Q$4:$Q$500,0)),"")</f>
        <v>41</v>
      </c>
    </row>
    <row r="797" spans="1:31">
      <c r="A797" s="197" t="s">
        <v>1059</v>
      </c>
      <c r="C797" s="198">
        <v>19</v>
      </c>
      <c r="D797" s="197">
        <v>1.2534000000000001</v>
      </c>
      <c r="E797" s="201">
        <v>10.7026</v>
      </c>
      <c r="F797" s="202">
        <v>0.20430000000000001</v>
      </c>
      <c r="G797" s="201">
        <f t="shared" si="63"/>
        <v>10.9069</v>
      </c>
      <c r="H797" s="201">
        <v>10.725099999999999</v>
      </c>
      <c r="I797" s="201">
        <f t="shared" si="66"/>
        <v>0.18180000000000085</v>
      </c>
      <c r="J797" s="201">
        <f t="shared" si="64"/>
        <v>2.249999999999916E-2</v>
      </c>
      <c r="K797" s="280">
        <f t="shared" si="65"/>
        <v>11.013215859030426</v>
      </c>
      <c r="L797" s="201">
        <v>12</v>
      </c>
      <c r="M797" s="204">
        <v>43213</v>
      </c>
      <c r="N797" s="204">
        <v>43213</v>
      </c>
      <c r="AB797" s="110" t="str">
        <f>IFERROR(INDEX('WetLitterbags placem_collection'!$A$3:$A$500,MATCH(A797,'WetLitterbags placem_collection'!$K$4:$K$500,0)),"")</f>
        <v/>
      </c>
      <c r="AC797" s="110" t="str">
        <f>IFERROR(INDEX('WetLitterbags placem_collection'!$A$3:$A$500,MATCH($A797,'WetLitterbags placem_collection'!$O$4:$O$500,0)),"")</f>
        <v/>
      </c>
      <c r="AD797" s="110">
        <f>IFERROR(INDEX('WetLitterbags placem_collection'!$A$3:$A$500,MATCH($A797,'WetLitterbags placem_collection'!$M$4:$M$500,0)),"")</f>
        <v>18</v>
      </c>
      <c r="AE797" s="110" t="str">
        <f>IFERROR(INDEX('WetLitterbags placem_collection'!$A$3:$A$500,MATCH($A797,'WetLitterbags placem_collection'!$Q$4:$Q$500,0)),"")</f>
        <v/>
      </c>
    </row>
    <row r="798" spans="1:31">
      <c r="A798" s="206" t="s">
        <v>1058</v>
      </c>
      <c r="C798" s="201">
        <v>82</v>
      </c>
      <c r="D798" s="201">
        <v>1.3147</v>
      </c>
      <c r="E798" s="202">
        <v>7.5293999999999999</v>
      </c>
      <c r="F798" s="202">
        <v>0.19600000000000001</v>
      </c>
      <c r="G798" s="201">
        <f t="shared" si="63"/>
        <v>7.7253999999999996</v>
      </c>
      <c r="H798" s="201">
        <v>7.5391000000000004</v>
      </c>
      <c r="I798" s="201">
        <f t="shared" si="66"/>
        <v>0.18629999999999924</v>
      </c>
      <c r="J798" s="201">
        <f t="shared" si="64"/>
        <v>9.7000000000007636E-3</v>
      </c>
      <c r="K798" s="280">
        <f t="shared" si="65"/>
        <v>4.9489795918371247</v>
      </c>
      <c r="L798" s="201">
        <v>18</v>
      </c>
      <c r="M798" s="205">
        <v>43197</v>
      </c>
      <c r="N798" s="205">
        <v>43197</v>
      </c>
      <c r="O798" s="201"/>
      <c r="P798" s="201"/>
      <c r="AB798" s="110" t="str">
        <f>IFERROR(INDEX('WetLitterbags placem_collection'!$A$3:$A$500,MATCH(A798,'WetLitterbags placem_collection'!$K$4:$K$500,0)),"")</f>
        <v/>
      </c>
      <c r="AC798" s="110" t="str">
        <f>IFERROR(INDEX('WetLitterbags placem_collection'!$A$3:$A$500,MATCH($A798,'WetLitterbags placem_collection'!$O$4:$O$500,0)),"")</f>
        <v/>
      </c>
      <c r="AD798" s="110">
        <f>IFERROR(INDEX('WetLitterbags placem_collection'!$A$3:$A$500,MATCH($A798,'WetLitterbags placem_collection'!$M$4:$M$500,0)),"")</f>
        <v>81</v>
      </c>
      <c r="AE798" s="110" t="str">
        <f>IFERROR(INDEX('WetLitterbags placem_collection'!$A$3:$A$500,MATCH($A798,'WetLitterbags placem_collection'!$Q$4:$Q$500,0)),"")</f>
        <v/>
      </c>
    </row>
    <row r="799" spans="1:31">
      <c r="A799" s="201" t="s">
        <v>1056</v>
      </c>
      <c r="C799" s="201">
        <v>51</v>
      </c>
      <c r="D799" s="202">
        <v>1.3381000000000001</v>
      </c>
      <c r="E799" s="201">
        <v>11.171900000000001</v>
      </c>
      <c r="F799" s="202">
        <v>0.20830000000000001</v>
      </c>
      <c r="G799" s="201">
        <f t="shared" si="63"/>
        <v>11.3802</v>
      </c>
      <c r="H799" s="201">
        <v>11.1844</v>
      </c>
      <c r="I799" s="201">
        <f t="shared" si="66"/>
        <v>0.1958000000000002</v>
      </c>
      <c r="J799" s="201">
        <f t="shared" si="64"/>
        <v>1.2499999999999817E-2</v>
      </c>
      <c r="K799" s="280">
        <f t="shared" si="65"/>
        <v>6.0009601536244919</v>
      </c>
      <c r="L799" s="201">
        <v>22</v>
      </c>
      <c r="M799" s="201"/>
      <c r="N799" s="201"/>
      <c r="O799" s="201"/>
      <c r="P799" s="201"/>
      <c r="R799" s="197">
        <v>8</v>
      </c>
      <c r="S799" s="197">
        <v>0.62719999999999998</v>
      </c>
      <c r="U799" s="202" t="s">
        <v>798</v>
      </c>
      <c r="V799" s="197">
        <v>0.90659999999999996</v>
      </c>
      <c r="W799" s="197">
        <f>(V799-$T$175+F797)</f>
        <v>1.1109</v>
      </c>
      <c r="AB799" s="110" t="str">
        <f>IFERROR(INDEX('WetLitterbags placem_collection'!$A$3:$A$500,MATCH(A799,'WetLitterbags placem_collection'!$K$4:$K$500,0)),"")</f>
        <v/>
      </c>
      <c r="AC799" s="110" t="str">
        <f>IFERROR(INDEX('WetLitterbags placem_collection'!$A$3:$A$500,MATCH($A799,'WetLitterbags placem_collection'!$O$4:$O$500,0)),"")</f>
        <v/>
      </c>
      <c r="AD799" s="110">
        <f>IFERROR(INDEX('WetLitterbags placem_collection'!$A$3:$A$500,MATCH($A799,'WetLitterbags placem_collection'!$M$4:$M$500,0)),"")</f>
        <v>50</v>
      </c>
      <c r="AE799" s="110" t="str">
        <f>IFERROR(INDEX('WetLitterbags placem_collection'!$A$3:$A$500,MATCH($A799,'WetLitterbags placem_collection'!$Q$4:$Q$500,0)),"")</f>
        <v/>
      </c>
    </row>
    <row r="800" spans="1:31">
      <c r="A800" s="206" t="s">
        <v>1054</v>
      </c>
      <c r="C800" s="201">
        <v>38</v>
      </c>
      <c r="D800" s="201">
        <v>0.86399999999999999</v>
      </c>
      <c r="E800" s="201">
        <v>9.1971000000000007</v>
      </c>
      <c r="F800" s="201">
        <v>0.2087</v>
      </c>
      <c r="G800" s="201">
        <f t="shared" si="63"/>
        <v>9.405800000000001</v>
      </c>
      <c r="H800" s="201">
        <v>9.2425999999999995</v>
      </c>
      <c r="I800" s="201">
        <f t="shared" si="66"/>
        <v>0.16320000000000157</v>
      </c>
      <c r="J800" s="201">
        <f t="shared" si="64"/>
        <v>4.5499999999998431E-2</v>
      </c>
      <c r="K800" s="280">
        <f t="shared" si="65"/>
        <v>21.801629132725651</v>
      </c>
      <c r="L800" s="201">
        <v>27</v>
      </c>
      <c r="M800" s="205">
        <v>43188</v>
      </c>
      <c r="N800" s="205">
        <v>43188</v>
      </c>
      <c r="O800" s="201"/>
      <c r="P800" s="201"/>
      <c r="AB800" s="110" t="str">
        <f>IFERROR(INDEX('WetLitterbags placem_collection'!$A$3:$A$500,MATCH(A800,'WetLitterbags placem_collection'!$K$4:$K$500,0)),"")</f>
        <v/>
      </c>
      <c r="AC800" s="110" t="str">
        <f>IFERROR(INDEX('WetLitterbags placem_collection'!$A$3:$A$500,MATCH($A800,'WetLitterbags placem_collection'!$O$4:$O$500,0)),"")</f>
        <v/>
      </c>
      <c r="AD800" s="110">
        <f>IFERROR(INDEX('WetLitterbags placem_collection'!$A$3:$A$500,MATCH($A800,'WetLitterbags placem_collection'!$M$4:$M$500,0)),"")</f>
        <v>37</v>
      </c>
      <c r="AE800" s="110" t="str">
        <f>IFERROR(INDEX('WetLitterbags placem_collection'!$A$3:$A$500,MATCH($A800,'WetLitterbags placem_collection'!$Q$4:$Q$500,0)),"")</f>
        <v/>
      </c>
    </row>
    <row r="801" spans="1:31">
      <c r="A801" s="201" t="s">
        <v>1053</v>
      </c>
      <c r="C801" s="201">
        <v>213</v>
      </c>
      <c r="D801" s="201">
        <v>1.2839</v>
      </c>
      <c r="E801" s="201">
        <v>11.054600000000001</v>
      </c>
      <c r="F801" s="201">
        <v>0.20619999999999999</v>
      </c>
      <c r="G801" s="201">
        <f t="shared" si="63"/>
        <v>11.260800000000001</v>
      </c>
      <c r="H801" s="201">
        <v>11.0619</v>
      </c>
      <c r="I801" s="201">
        <f t="shared" si="66"/>
        <v>0.19890000000000185</v>
      </c>
      <c r="J801" s="201">
        <f t="shared" si="64"/>
        <v>7.2999999999981413E-3</v>
      </c>
      <c r="K801" s="280">
        <f t="shared" si="65"/>
        <v>3.5402521823463347</v>
      </c>
      <c r="L801" s="201">
        <v>6</v>
      </c>
      <c r="M801" s="205">
        <v>43188</v>
      </c>
      <c r="N801" s="205">
        <v>43188</v>
      </c>
      <c r="O801" s="201"/>
      <c r="P801" s="201"/>
      <c r="AB801" s="110" t="str">
        <f>IFERROR(INDEX('WetLitterbags placem_collection'!$A$3:$A$500,MATCH(A801,'WetLitterbags placem_collection'!$K$4:$K$500,0)),"")</f>
        <v/>
      </c>
      <c r="AC801" s="110" t="str">
        <f>IFERROR(INDEX('WetLitterbags placem_collection'!$A$3:$A$500,MATCH($A801,'WetLitterbags placem_collection'!$O$4:$O$500,0)),"")</f>
        <v/>
      </c>
      <c r="AD801" s="110">
        <f>IFERROR(INDEX('WetLitterbags placem_collection'!$A$3:$A$500,MATCH($A801,'WetLitterbags placem_collection'!$M$4:$M$500,0)),"")</f>
        <v>212</v>
      </c>
      <c r="AE801" s="110" t="str">
        <f>IFERROR(INDEX('WetLitterbags placem_collection'!$A$3:$A$500,MATCH($A801,'WetLitterbags placem_collection'!$Q$4:$Q$500,0)),"")</f>
        <v/>
      </c>
    </row>
    <row r="802" spans="1:31">
      <c r="A802" s="201" t="s">
        <v>1052</v>
      </c>
      <c r="C802" s="201">
        <v>37</v>
      </c>
      <c r="D802" s="201">
        <v>1.1639999999999999</v>
      </c>
      <c r="E802" s="201">
        <v>8.7021999999999995</v>
      </c>
      <c r="F802" s="201">
        <v>0.20430000000000001</v>
      </c>
      <c r="G802" s="201">
        <f t="shared" si="63"/>
        <v>8.9064999999999994</v>
      </c>
      <c r="H802" s="201">
        <v>8.7190999999999992</v>
      </c>
      <c r="I802" s="201">
        <f t="shared" si="66"/>
        <v>0.18740000000000023</v>
      </c>
      <c r="J802" s="201">
        <f t="shared" si="64"/>
        <v>1.6899999999999776E-2</v>
      </c>
      <c r="K802" s="280">
        <f t="shared" si="65"/>
        <v>8.2721488007830519</v>
      </c>
      <c r="L802" s="201">
        <v>21</v>
      </c>
      <c r="M802" s="205">
        <v>43188</v>
      </c>
      <c r="N802" s="205">
        <v>43188</v>
      </c>
      <c r="O802" s="201"/>
      <c r="P802" s="201"/>
      <c r="AB802" s="110" t="str">
        <f>IFERROR(INDEX('WetLitterbags placem_collection'!$A$3:$A$500,MATCH(A802,'WetLitterbags placem_collection'!$K$4:$K$500,0)),"")</f>
        <v/>
      </c>
      <c r="AC802" s="110" t="str">
        <f>IFERROR(INDEX('WetLitterbags placem_collection'!$A$3:$A$500,MATCH($A802,'WetLitterbags placem_collection'!$O$4:$O$500,0)),"")</f>
        <v/>
      </c>
      <c r="AD802" s="110" t="str">
        <f>IFERROR(INDEX('WetLitterbags placem_collection'!$A$3:$A$500,MATCH($A802,'WetLitterbags placem_collection'!$M$4:$M$500,0)),"")</f>
        <v/>
      </c>
      <c r="AE802" s="110">
        <f>IFERROR(INDEX('WetLitterbags placem_collection'!$A$3:$A$500,MATCH($A802,'WetLitterbags placem_collection'!$Q$4:$Q$500,0)),"")</f>
        <v>36</v>
      </c>
    </row>
    <row r="803" spans="1:31">
      <c r="A803" s="206" t="s">
        <v>1132</v>
      </c>
      <c r="C803" s="201">
        <v>68</v>
      </c>
      <c r="D803" s="201">
        <v>1.4452</v>
      </c>
      <c r="E803" s="202">
        <v>9.9170999999999996</v>
      </c>
      <c r="F803" s="202">
        <v>0.20019999999999999</v>
      </c>
      <c r="G803" s="201">
        <f t="shared" si="63"/>
        <v>10.1173</v>
      </c>
      <c r="H803" s="201">
        <v>9.9295000000000009</v>
      </c>
      <c r="I803" s="201">
        <f t="shared" si="66"/>
        <v>0.1877999999999993</v>
      </c>
      <c r="J803" s="201">
        <f t="shared" si="64"/>
        <v>1.2400000000000688E-2</v>
      </c>
      <c r="K803" s="280">
        <f t="shared" si="65"/>
        <v>6.1938061938065374</v>
      </c>
      <c r="L803" s="201">
        <v>17</v>
      </c>
      <c r="M803" s="205">
        <v>43199</v>
      </c>
      <c r="N803" s="205">
        <v>43199</v>
      </c>
      <c r="O803" s="201"/>
      <c r="P803" s="201"/>
      <c r="AB803" s="110" t="str">
        <f>IFERROR(INDEX('WetLitterbags placem_collection'!$A$3:$A$500,MATCH(A803,'WetLitterbags placem_collection'!$K$4:$K$500,0)),"")</f>
        <v/>
      </c>
      <c r="AC803" s="110" t="str">
        <f>IFERROR(INDEX('WetLitterbags placem_collection'!$A$3:$A$500,MATCH($A803,'WetLitterbags placem_collection'!$O$4:$O$500,0)),"")</f>
        <v/>
      </c>
      <c r="AD803" s="110" t="str">
        <f>IFERROR(INDEX('WetLitterbags placem_collection'!$A$3:$A$500,MATCH($A803,'WetLitterbags placem_collection'!$M$4:$M$500,0)),"")</f>
        <v/>
      </c>
      <c r="AE803" s="110">
        <f>IFERROR(INDEX('WetLitterbags placem_collection'!$A$3:$A$500,MATCH($A803,'WetLitterbags placem_collection'!$Q$4:$Q$500,0)),"")</f>
        <v>67</v>
      </c>
    </row>
    <row r="804" spans="1:31">
      <c r="A804" s="197" t="s">
        <v>1050</v>
      </c>
      <c r="C804" s="197">
        <v>10</v>
      </c>
      <c r="D804" s="197">
        <v>1.1454</v>
      </c>
      <c r="E804" s="202">
        <v>10.503299999999999</v>
      </c>
      <c r="F804" s="202">
        <v>0.20660000000000001</v>
      </c>
      <c r="G804" s="201">
        <f t="shared" si="63"/>
        <v>10.709899999999999</v>
      </c>
      <c r="H804" s="201">
        <v>10.5123</v>
      </c>
      <c r="I804" s="201">
        <f t="shared" ref="I804:I812" si="67">(G804-H804)</f>
        <v>0.19759999999999955</v>
      </c>
      <c r="J804" s="201">
        <f t="shared" si="64"/>
        <v>9.0000000000004521E-3</v>
      </c>
      <c r="K804" s="280">
        <f t="shared" si="65"/>
        <v>4.3562439496613994</v>
      </c>
      <c r="L804" s="201">
        <v>28</v>
      </c>
      <c r="AB804" s="110" t="str">
        <f>IFERROR(INDEX('WetLitterbags placem_collection'!$A$3:$A$500,MATCH(A804,'WetLitterbags placem_collection'!$K$4:$K$500,0)),"")</f>
        <v/>
      </c>
      <c r="AC804" s="110" t="str">
        <f>IFERROR(INDEX('WetLitterbags placem_collection'!$A$3:$A$500,MATCH($A804,'WetLitterbags placem_collection'!$O$4:$O$500,0)),"")</f>
        <v/>
      </c>
      <c r="AD804" s="110">
        <f>IFERROR(INDEX('WetLitterbags placem_collection'!$A$3:$A$500,MATCH($A804,'WetLitterbags placem_collection'!$M$4:$M$500,0)),"")</f>
        <v>9</v>
      </c>
      <c r="AE804" s="110" t="str">
        <f>IFERROR(INDEX('WetLitterbags placem_collection'!$A$3:$A$500,MATCH($A804,'WetLitterbags placem_collection'!$Q$4:$Q$500,0)),"")</f>
        <v/>
      </c>
    </row>
    <row r="805" spans="1:31">
      <c r="A805" s="201" t="s">
        <v>1049</v>
      </c>
      <c r="C805" s="201">
        <v>205</v>
      </c>
      <c r="D805" s="197">
        <v>1.4713000000000001</v>
      </c>
      <c r="E805" s="197">
        <v>11.2583</v>
      </c>
      <c r="F805" s="197">
        <v>0.2029</v>
      </c>
      <c r="G805" s="197">
        <f t="shared" si="63"/>
        <v>11.4612</v>
      </c>
      <c r="H805" s="197">
        <v>11.267799999999999</v>
      </c>
      <c r="I805" s="197">
        <f t="shared" si="67"/>
        <v>0.19340000000000046</v>
      </c>
      <c r="J805" s="201">
        <f t="shared" si="64"/>
        <v>9.4999999999995366E-3</v>
      </c>
      <c r="K805" s="280">
        <f t="shared" si="65"/>
        <v>4.6821094135039614</v>
      </c>
      <c r="L805" s="197">
        <v>5</v>
      </c>
      <c r="M805" s="207">
        <v>43160.520833333336</v>
      </c>
      <c r="N805" s="207">
        <v>43160.6875</v>
      </c>
      <c r="O805" s="197" t="s">
        <v>2550</v>
      </c>
      <c r="AB805" s="110" t="str">
        <f>IFERROR(INDEX('WetLitterbags placem_collection'!$A$3:$A$500,MATCH(A805,'WetLitterbags placem_collection'!$K$4:$K$500,0)),"")</f>
        <v/>
      </c>
      <c r="AC805" s="110" t="str">
        <f>IFERROR(INDEX('WetLitterbags placem_collection'!$A$3:$A$500,MATCH($A805,'WetLitterbags placem_collection'!$O$4:$O$500,0)),"")</f>
        <v/>
      </c>
      <c r="AD805" s="110" t="str">
        <f>IFERROR(INDEX('WetLitterbags placem_collection'!$A$3:$A$500,MATCH($A805,'WetLitterbags placem_collection'!$M$4:$M$500,0)),"")</f>
        <v/>
      </c>
      <c r="AE805" s="110">
        <f>IFERROR(INDEX('WetLitterbags placem_collection'!$A$3:$A$500,MATCH($A805,'WetLitterbags placem_collection'!$Q$4:$Q$500,0)),"")</f>
        <v>204</v>
      </c>
    </row>
    <row r="806" spans="1:31">
      <c r="A806" s="206" t="s">
        <v>1048</v>
      </c>
      <c r="C806" s="201">
        <v>212</v>
      </c>
      <c r="D806" s="201">
        <v>1.35</v>
      </c>
      <c r="E806" s="201">
        <v>9.1357999999999997</v>
      </c>
      <c r="F806" s="201">
        <v>0.2059</v>
      </c>
      <c r="G806" s="201">
        <f t="shared" si="63"/>
        <v>9.3416999999999994</v>
      </c>
      <c r="H806" s="201">
        <v>9.1507000000000005</v>
      </c>
      <c r="I806" s="201">
        <f t="shared" si="67"/>
        <v>0.19099999999999895</v>
      </c>
      <c r="J806" s="201">
        <f t="shared" si="64"/>
        <v>1.4900000000001051E-2</v>
      </c>
      <c r="K806" s="280">
        <f t="shared" si="65"/>
        <v>7.2365225837790437</v>
      </c>
      <c r="L806" s="201">
        <v>2</v>
      </c>
      <c r="M806" s="203">
        <v>43171.520833333336</v>
      </c>
      <c r="N806" s="203">
        <v>43171.6875</v>
      </c>
      <c r="O806" s="197" t="s">
        <v>2550</v>
      </c>
      <c r="P806" s="201"/>
      <c r="AB806" s="110" t="str">
        <f>IFERROR(INDEX('WetLitterbags placem_collection'!$A$3:$A$500,MATCH(A806,'WetLitterbags placem_collection'!$K$4:$K$500,0)),"")</f>
        <v/>
      </c>
      <c r="AC806" s="110" t="str">
        <f>IFERROR(INDEX('WetLitterbags placem_collection'!$A$3:$A$500,MATCH($A806,'WetLitterbags placem_collection'!$O$4:$O$500,0)),"")</f>
        <v/>
      </c>
      <c r="AD806" s="110">
        <f>IFERROR(INDEX('WetLitterbags placem_collection'!$A$3:$A$500,MATCH($A806,'WetLitterbags placem_collection'!$M$4:$M$500,0)),"")</f>
        <v>211</v>
      </c>
      <c r="AE806" s="110" t="str">
        <f>IFERROR(INDEX('WetLitterbags placem_collection'!$A$3:$A$500,MATCH($A806,'WetLitterbags placem_collection'!$Q$4:$Q$500,0)),"")</f>
        <v/>
      </c>
    </row>
    <row r="807" spans="1:31">
      <c r="A807" s="197" t="s">
        <v>1047</v>
      </c>
      <c r="C807" s="197">
        <v>90</v>
      </c>
      <c r="D807" s="197">
        <v>1.4928999999999999</v>
      </c>
      <c r="E807" s="197">
        <v>19.389199999999999</v>
      </c>
      <c r="F807" s="197">
        <v>0.20150000000000001</v>
      </c>
      <c r="G807" s="197">
        <f t="shared" si="63"/>
        <v>19.590699999999998</v>
      </c>
      <c r="H807" s="197">
        <v>19.397400000000001</v>
      </c>
      <c r="I807" s="197">
        <f t="shared" si="67"/>
        <v>0.19329999999999714</v>
      </c>
      <c r="J807" s="201">
        <f t="shared" si="64"/>
        <v>8.2000000000028717E-3</v>
      </c>
      <c r="K807" s="280">
        <f t="shared" si="65"/>
        <v>4.0694789081900105</v>
      </c>
      <c r="L807" s="197">
        <v>17</v>
      </c>
      <c r="M807" s="197" t="s">
        <v>2580</v>
      </c>
      <c r="N807" s="197" t="s">
        <v>2579</v>
      </c>
      <c r="O807" s="197" t="s">
        <v>2556</v>
      </c>
      <c r="AB807" s="110" t="str">
        <f>IFERROR(INDEX('WetLitterbags placem_collection'!$A$3:$A$500,MATCH(A807,'WetLitterbags placem_collection'!$K$4:$K$500,0)),"")</f>
        <v/>
      </c>
      <c r="AC807" s="110" t="str">
        <f>IFERROR(INDEX('WetLitterbags placem_collection'!$A$3:$A$500,MATCH($A807,'WetLitterbags placem_collection'!$O$4:$O$500,0)),"")</f>
        <v/>
      </c>
      <c r="AD807" s="110">
        <f>IFERROR(INDEX('WetLitterbags placem_collection'!$A$3:$A$500,MATCH($A807,'WetLitterbags placem_collection'!$M$4:$M$500,0)),"")</f>
        <v>89</v>
      </c>
      <c r="AE807" s="110" t="str">
        <f>IFERROR(INDEX('WetLitterbags placem_collection'!$A$3:$A$500,MATCH($A807,'WetLitterbags placem_collection'!$Q$4:$Q$500,0)),"")</f>
        <v/>
      </c>
    </row>
    <row r="808" spans="1:31">
      <c r="A808" s="197" t="s">
        <v>1046</v>
      </c>
      <c r="C808" s="198">
        <v>71</v>
      </c>
      <c r="D808" s="197">
        <v>1.4065000000000001</v>
      </c>
      <c r="E808" s="201">
        <v>10.144600000000001</v>
      </c>
      <c r="F808" s="202">
        <v>0.20150000000000001</v>
      </c>
      <c r="G808" s="201">
        <f t="shared" si="63"/>
        <v>10.3461</v>
      </c>
      <c r="H808" s="201">
        <v>10.151199999999999</v>
      </c>
      <c r="I808" s="201">
        <f t="shared" si="67"/>
        <v>0.19490000000000052</v>
      </c>
      <c r="J808" s="201">
        <f t="shared" si="64"/>
        <v>6.5999999999994952E-3</v>
      </c>
      <c r="K808" s="280">
        <f t="shared" si="65"/>
        <v>3.275434243175928</v>
      </c>
      <c r="L808" s="201">
        <v>24</v>
      </c>
      <c r="M808" s="204">
        <v>43212</v>
      </c>
      <c r="AB808" s="110" t="str">
        <f>IFERROR(INDEX('WetLitterbags placem_collection'!$A$3:$A$500,MATCH(A808,'WetLitterbags placem_collection'!$K$4:$K$500,0)),"")</f>
        <v/>
      </c>
      <c r="AC808" s="110" t="str">
        <f>IFERROR(INDEX('WetLitterbags placem_collection'!$A$3:$A$500,MATCH($A808,'WetLitterbags placem_collection'!$O$4:$O$500,0)),"")</f>
        <v/>
      </c>
      <c r="AD808" s="110">
        <f>IFERROR(INDEX('WetLitterbags placem_collection'!$A$3:$A$500,MATCH($A808,'WetLitterbags placem_collection'!$M$4:$M$500,0)),"")</f>
        <v>70</v>
      </c>
      <c r="AE808" s="110" t="str">
        <f>IFERROR(INDEX('WetLitterbags placem_collection'!$A$3:$A$500,MATCH($A808,'WetLitterbags placem_collection'!$Q$4:$Q$500,0)),"")</f>
        <v/>
      </c>
    </row>
    <row r="809" spans="1:31">
      <c r="A809" s="201" t="s">
        <v>1045</v>
      </c>
      <c r="C809" s="201">
        <v>163</v>
      </c>
      <c r="D809" s="201">
        <v>1.4429000000000001</v>
      </c>
      <c r="E809" s="202">
        <v>9.3186999999999998</v>
      </c>
      <c r="F809" s="202">
        <v>0.2014</v>
      </c>
      <c r="G809" s="201">
        <f t="shared" si="63"/>
        <v>9.5200999999999993</v>
      </c>
      <c r="H809" s="201">
        <v>9.3233999999999995</v>
      </c>
      <c r="I809" s="201">
        <f t="shared" si="67"/>
        <v>0.19669999999999987</v>
      </c>
      <c r="J809" s="201">
        <f t="shared" si="64"/>
        <v>4.7000000000001207E-3</v>
      </c>
      <c r="K809" s="280">
        <f t="shared" si="65"/>
        <v>2.3336643495531879</v>
      </c>
      <c r="L809" s="201">
        <v>29</v>
      </c>
      <c r="M809" s="207">
        <v>43186.458333333336</v>
      </c>
      <c r="N809" s="207">
        <v>43186.625</v>
      </c>
      <c r="O809" s="197" t="s">
        <v>2550</v>
      </c>
      <c r="P809" s="201"/>
      <c r="AB809" s="110" t="str">
        <f>IFERROR(INDEX('WetLitterbags placem_collection'!$A$3:$A$500,MATCH(A809,'WetLitterbags placem_collection'!$K$4:$K$500,0)),"")</f>
        <v/>
      </c>
      <c r="AC809" s="110" t="str">
        <f>IFERROR(INDEX('WetLitterbags placem_collection'!$A$3:$A$500,MATCH($A809,'WetLitterbags placem_collection'!$O$4:$O$500,0)),"")</f>
        <v/>
      </c>
      <c r="AD809" s="110">
        <f>IFERROR(INDEX('WetLitterbags placem_collection'!$A$3:$A$500,MATCH($A809,'WetLitterbags placem_collection'!$M$4:$M$500,0)),"")</f>
        <v>162</v>
      </c>
      <c r="AE809" s="110" t="str">
        <f>IFERROR(INDEX('WetLitterbags placem_collection'!$A$3:$A$500,MATCH($A809,'WetLitterbags placem_collection'!$Q$4:$Q$500,0)),"")</f>
        <v/>
      </c>
    </row>
    <row r="810" spans="1:31">
      <c r="A810" s="206" t="s">
        <v>1044</v>
      </c>
      <c r="C810" s="201">
        <v>36</v>
      </c>
      <c r="D810" s="202">
        <v>1.4216</v>
      </c>
      <c r="E810" s="202">
        <v>10.076000000000001</v>
      </c>
      <c r="F810" s="202">
        <v>0.20599999999999999</v>
      </c>
      <c r="G810" s="201">
        <f t="shared" si="63"/>
        <v>10.282</v>
      </c>
      <c r="H810" s="201">
        <v>10.080299999999999</v>
      </c>
      <c r="I810" s="201">
        <f t="shared" si="67"/>
        <v>0.20170000000000066</v>
      </c>
      <c r="J810" s="201">
        <f t="shared" si="64"/>
        <v>4.2999999999993321E-3</v>
      </c>
      <c r="K810" s="280">
        <f t="shared" si="65"/>
        <v>2.0873786407763748</v>
      </c>
      <c r="L810" s="201">
        <v>21</v>
      </c>
      <c r="M810" s="205">
        <v>43199</v>
      </c>
      <c r="N810" s="205">
        <v>43199</v>
      </c>
      <c r="O810" s="201"/>
      <c r="P810" s="201"/>
      <c r="AB810" s="110" t="str">
        <f>IFERROR(INDEX('WetLitterbags placem_collection'!$A$3:$A$500,MATCH(A810,'WetLitterbags placem_collection'!$K$4:$K$500,0)),"")</f>
        <v/>
      </c>
      <c r="AC810" s="110" t="str">
        <f>IFERROR(INDEX('WetLitterbags placem_collection'!$A$3:$A$500,MATCH($A810,'WetLitterbags placem_collection'!$O$4:$O$500,0)),"")</f>
        <v/>
      </c>
      <c r="AD810" s="110" t="str">
        <f>IFERROR(INDEX('WetLitterbags placem_collection'!$A$3:$A$500,MATCH($A810,'WetLitterbags placem_collection'!$M$4:$M$500,0)),"")</f>
        <v/>
      </c>
      <c r="AE810" s="110">
        <f>IFERROR(INDEX('WetLitterbags placem_collection'!$A$3:$A$500,MATCH($A810,'WetLitterbags placem_collection'!$Q$4:$Q$500,0)),"")</f>
        <v>35</v>
      </c>
    </row>
    <row r="811" spans="1:31">
      <c r="A811" s="201" t="s">
        <v>1042</v>
      </c>
      <c r="B811" s="201"/>
      <c r="C811" s="201">
        <v>15</v>
      </c>
      <c r="D811" s="201">
        <v>1.1295999999999999</v>
      </c>
      <c r="E811" s="202">
        <v>8.7022999999999993</v>
      </c>
      <c r="F811" s="202">
        <v>0.20130000000000001</v>
      </c>
      <c r="G811" s="201">
        <f t="shared" si="63"/>
        <v>8.9035999999999991</v>
      </c>
      <c r="H811" s="201">
        <v>8.7178000000000004</v>
      </c>
      <c r="I811" s="201">
        <f t="shared" si="67"/>
        <v>0.18579999999999863</v>
      </c>
      <c r="J811" s="201">
        <f t="shared" si="64"/>
        <v>1.5500000000001374E-2</v>
      </c>
      <c r="K811" s="280">
        <f t="shared" si="65"/>
        <v>7.6999503229018247</v>
      </c>
      <c r="L811" s="201">
        <v>30</v>
      </c>
      <c r="M811" s="207">
        <v>43185.385416666664</v>
      </c>
      <c r="N811" s="201"/>
      <c r="O811" s="201" t="s">
        <v>2556</v>
      </c>
      <c r="P811" s="201"/>
      <c r="Q811" s="201"/>
      <c r="R811" s="201"/>
      <c r="S811" s="201"/>
      <c r="T811" s="201"/>
      <c r="U811" s="201"/>
      <c r="V811" s="201"/>
      <c r="W811" s="201"/>
      <c r="AB811" s="110" t="str">
        <f>IFERROR(INDEX('WetLitterbags placem_collection'!$A$3:$A$500,MATCH(A811,'WetLitterbags placem_collection'!$K$4:$K$500,0)),"")</f>
        <v/>
      </c>
      <c r="AC811" s="110" t="str">
        <f>IFERROR(INDEX('WetLitterbags placem_collection'!$A$3:$A$500,MATCH($A811,'WetLitterbags placem_collection'!$O$4:$O$500,0)),"")</f>
        <v/>
      </c>
      <c r="AD811" s="110" t="str">
        <f>IFERROR(INDEX('WetLitterbags placem_collection'!$A$3:$A$500,MATCH($A811,'WetLitterbags placem_collection'!$M$4:$M$500,0)),"")</f>
        <v/>
      </c>
      <c r="AE811" s="110">
        <f>IFERROR(INDEX('WetLitterbags placem_collection'!$A$3:$A$500,MATCH($A811,'WetLitterbags placem_collection'!$Q$4:$Q$500,0)),"")</f>
        <v>14</v>
      </c>
    </row>
    <row r="812" spans="1:31">
      <c r="A812" s="113" t="s">
        <v>2538</v>
      </c>
      <c r="C812" s="198"/>
      <c r="D812" s="197">
        <v>1.2074</v>
      </c>
      <c r="E812" s="197">
        <v>9.0214999999999996</v>
      </c>
      <c r="F812" s="202">
        <v>0.2011</v>
      </c>
      <c r="G812" s="201">
        <f t="shared" si="63"/>
        <v>9.2225999999999999</v>
      </c>
      <c r="H812" s="201">
        <v>9.0272000000000006</v>
      </c>
      <c r="I812" s="201">
        <f t="shared" si="67"/>
        <v>0.19539999999999935</v>
      </c>
      <c r="J812" s="201">
        <f t="shared" si="64"/>
        <v>5.700000000000649E-3</v>
      </c>
      <c r="K812" s="280">
        <f t="shared" si="65"/>
        <v>2.8344107409252359</v>
      </c>
      <c r="L812" s="201">
        <v>24</v>
      </c>
      <c r="AB812" s="110" t="str">
        <f>IFERROR(INDEX('WetLitterbags placem_collection'!$A$3:$A$500,MATCH(A812,'WetLitterbags placem_collection'!$K$4:$K$500,0)),"")</f>
        <v/>
      </c>
      <c r="AC812" s="110" t="str">
        <f>IFERROR(INDEX('WetLitterbags placem_collection'!$A$3:$A$500,MATCH($A812,'WetLitterbags placem_collection'!$O$4:$O$500,0)),"")</f>
        <v/>
      </c>
      <c r="AD812" s="110" t="str">
        <f>IFERROR(INDEX('WetLitterbags placem_collection'!$A$3:$A$500,MATCH($A812,'WetLitterbags placem_collection'!$M$4:$M$500,0)),"")</f>
        <v/>
      </c>
      <c r="AE812" s="110" t="str">
        <f>IFERROR(INDEX('WetLitterbags placem_collection'!$A$3:$A$500,MATCH($A812,'WetLitterbags placem_collection'!$Q$4:$Q$500,0)),"")</f>
        <v/>
      </c>
    </row>
    <row r="813" spans="1:31">
      <c r="AB813" s="110" t="str">
        <f>IFERROR(INDEX('WetLitterbags placem_collection'!$A$3:$A$500,MATCH(A813,'WetLitterbags placem_collection'!$K$4:$K$500,0)),"")</f>
        <v/>
      </c>
      <c r="AC813" s="110" t="str">
        <f>IFERROR(INDEX('WetLitterbags placem_collection'!$A$3:$A$500,MATCH($A813,'WetLitterbags placem_collection'!$O$4:$O$500,0)),"")</f>
        <v/>
      </c>
      <c r="AD813" s="110" t="str">
        <f>IFERROR(INDEX('WetLitterbags placem_collection'!$A$3:$A$500,MATCH($A813,'WetLitterbags placem_collection'!$M$4:$M$500,0)),"")</f>
        <v/>
      </c>
      <c r="AE813" s="110" t="str">
        <f>IFERROR(INDEX('WetLitterbags placem_collection'!$A$3:$A$500,MATCH($A813,'WetLitterbags placem_collection'!$Q$4:$Q$500,0)),"")</f>
        <v/>
      </c>
    </row>
    <row r="814" spans="1:31">
      <c r="AB814" s="110" t="str">
        <f>IFERROR(INDEX('WetLitterbags placem_collection'!$A$3:$A$500,MATCH(A814,'WetLitterbags placem_collection'!$K$4:$K$500,0)),"")</f>
        <v/>
      </c>
      <c r="AC814" s="110" t="str">
        <f>IFERROR(INDEX('WetLitterbags placem_collection'!$A$3:$A$500,MATCH($A814,'WetLitterbags placem_collection'!$O$4:$O$500,0)),"")</f>
        <v/>
      </c>
      <c r="AD814" s="110" t="str">
        <f>IFERROR(INDEX('WetLitterbags placem_collection'!$A$3:$A$500,MATCH($A814,'WetLitterbags placem_collection'!$M$4:$M$500,0)),"")</f>
        <v/>
      </c>
      <c r="AE814" s="110" t="str">
        <f>IFERROR(INDEX('WetLitterbags placem_collection'!$A$3:$A$500,MATCH($A814,'WetLitterbags placem_collection'!$Q$4:$Q$500,0)),"")</f>
        <v/>
      </c>
    </row>
    <row r="815" spans="1:31">
      <c r="AB815" s="110" t="str">
        <f>IFERROR(INDEX('WetLitterbags placem_collection'!$A$3:$A$500,MATCH(A815,'WetLitterbags placem_collection'!$K$4:$K$500,0)),"")</f>
        <v/>
      </c>
      <c r="AC815" s="110" t="str">
        <f>IFERROR(INDEX('WetLitterbags placem_collection'!$A$3:$A$500,MATCH($A815,'WetLitterbags placem_collection'!$O$4:$O$500,0)),"")</f>
        <v/>
      </c>
      <c r="AD815" s="110" t="str">
        <f>IFERROR(INDEX('WetLitterbags placem_collection'!$A$3:$A$500,MATCH($A815,'WetLitterbags placem_collection'!$M$4:$M$500,0)),"")</f>
        <v/>
      </c>
      <c r="AE815" s="110" t="str">
        <f>IFERROR(INDEX('WetLitterbags placem_collection'!$A$3:$A$500,MATCH($A815,'WetLitterbags placem_collection'!$Q$4:$Q$500,0)),"")</f>
        <v/>
      </c>
    </row>
    <row r="816" spans="1:31">
      <c r="AB816" s="110" t="str">
        <f>IFERROR(INDEX('WetLitterbags placem_collection'!$A$3:$A$500,MATCH(A816,'WetLitterbags placem_collection'!$K$4:$K$500,0)),"")</f>
        <v/>
      </c>
      <c r="AC816" s="110" t="str">
        <f>IFERROR(INDEX('WetLitterbags placem_collection'!$A$3:$A$500,MATCH($A816,'WetLitterbags placem_collection'!$O$4:$O$500,0)),"")</f>
        <v/>
      </c>
      <c r="AD816" s="110" t="str">
        <f>IFERROR(INDEX('WetLitterbags placem_collection'!$A$3:$A$500,MATCH($A816,'WetLitterbags placem_collection'!$M$4:$M$500,0)),"")</f>
        <v/>
      </c>
      <c r="AE816" s="110" t="str">
        <f>IFERROR(INDEX('WetLitterbags placem_collection'!$A$3:$A$500,MATCH($A816,'WetLitterbags placem_collection'!$Q$4:$Q$500,0)),"")</f>
        <v/>
      </c>
    </row>
    <row r="817" spans="28:31">
      <c r="AB817" s="110" t="str">
        <f>IFERROR(INDEX('WetLitterbags placem_collection'!$A$3:$A$500,MATCH(A817,'WetLitterbags placem_collection'!$K$4:$K$500,0)),"")</f>
        <v/>
      </c>
      <c r="AC817" s="110" t="str">
        <f>IFERROR(INDEX('WetLitterbags placem_collection'!$A$3:$A$500,MATCH($A817,'WetLitterbags placem_collection'!$O$4:$O$500,0)),"")</f>
        <v/>
      </c>
      <c r="AD817" s="110" t="str">
        <f>IFERROR(INDEX('WetLitterbags placem_collection'!$A$3:$A$500,MATCH($A817,'WetLitterbags placem_collection'!$M$4:$M$500,0)),"")</f>
        <v/>
      </c>
      <c r="AE817" s="110" t="str">
        <f>IFERROR(INDEX('WetLitterbags placem_collection'!$A$3:$A$500,MATCH($A817,'WetLitterbags placem_collection'!$Q$4:$Q$500,0)),"")</f>
        <v/>
      </c>
    </row>
    <row r="818" spans="28:31">
      <c r="AB818" s="110" t="str">
        <f>IFERROR(INDEX('WetLitterbags placem_collection'!$A$3:$A$500,MATCH(A818,'WetLitterbags placem_collection'!$K$4:$K$500,0)),"")</f>
        <v/>
      </c>
      <c r="AC818" s="110" t="str">
        <f>IFERROR(INDEX('WetLitterbags placem_collection'!$A$3:$A$500,MATCH($A818,'WetLitterbags placem_collection'!$O$4:$O$500,0)),"")</f>
        <v/>
      </c>
      <c r="AD818" s="110" t="str">
        <f>IFERROR(INDEX('WetLitterbags placem_collection'!$A$3:$A$500,MATCH($A818,'WetLitterbags placem_collection'!$M$4:$M$500,0)),"")</f>
        <v/>
      </c>
      <c r="AE818" s="110" t="str">
        <f>IFERROR(INDEX('WetLitterbags placem_collection'!$A$3:$A$500,MATCH($A818,'WetLitterbags placem_collection'!$Q$4:$Q$500,0)),"")</f>
        <v/>
      </c>
    </row>
    <row r="819" spans="28:31">
      <c r="AB819" s="110" t="str">
        <f>IFERROR(INDEX('WetLitterbags placem_collection'!$A$3:$A$500,MATCH(A819,'WetLitterbags placem_collection'!$K$4:$K$500,0)),"")</f>
        <v/>
      </c>
      <c r="AC819" s="110" t="str">
        <f>IFERROR(INDEX('WetLitterbags placem_collection'!$A$3:$A$500,MATCH($A819,'WetLitterbags placem_collection'!$O$4:$O$500,0)),"")</f>
        <v/>
      </c>
      <c r="AD819" s="110" t="str">
        <f>IFERROR(INDEX('WetLitterbags placem_collection'!$A$3:$A$500,MATCH($A819,'WetLitterbags placem_collection'!$M$4:$M$500,0)),"")</f>
        <v/>
      </c>
      <c r="AE819" s="110" t="str">
        <f>IFERROR(INDEX('WetLitterbags placem_collection'!$A$3:$A$500,MATCH($A819,'WetLitterbags placem_collection'!$Q$4:$Q$500,0)),"")</f>
        <v/>
      </c>
    </row>
  </sheetData>
  <sortState ref="A2:W812">
    <sortCondition ref="A2:A812"/>
    <sortCondition ref="C2:C81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D3" activePane="bottomRight" state="frozen"/>
      <selection pane="topRight" activeCell="D1" sqref="D1"/>
      <selection pane="bottomLeft" activeCell="A3" sqref="A3"/>
      <selection pane="bottomRight" activeCell="K20" sqref="K20"/>
    </sheetView>
  </sheetViews>
  <sheetFormatPr baseColWidth="10" defaultColWidth="11.44140625" defaultRowHeight="14.4"/>
  <cols>
    <col min="3" max="3" width="14.6640625" customWidth="1"/>
    <col min="27" max="27" width="24.44140625" customWidth="1"/>
    <col min="30" max="30" width="37.77734375" customWidth="1"/>
  </cols>
  <sheetData>
    <row r="1" spans="1:41">
      <c r="A1" s="118" t="s">
        <v>2164</v>
      </c>
      <c r="B1" s="119" t="s">
        <v>2643</v>
      </c>
      <c r="C1" s="119" t="s">
        <v>2166</v>
      </c>
      <c r="D1" s="119" t="s">
        <v>2641</v>
      </c>
      <c r="E1" s="117" t="s">
        <v>1141</v>
      </c>
      <c r="F1" s="117" t="s">
        <v>2168</v>
      </c>
      <c r="G1" s="117" t="s">
        <v>1141</v>
      </c>
      <c r="H1" s="117" t="s">
        <v>2168</v>
      </c>
      <c r="I1" s="117" t="s">
        <v>2169</v>
      </c>
      <c r="J1" s="117" t="s">
        <v>1147</v>
      </c>
      <c r="K1" s="117"/>
      <c r="L1" s="117" t="s">
        <v>298</v>
      </c>
      <c r="M1" s="117"/>
      <c r="N1" s="117" t="s">
        <v>2170</v>
      </c>
      <c r="O1" s="117"/>
      <c r="P1" s="117" t="s">
        <v>2171</v>
      </c>
      <c r="Q1" s="117"/>
      <c r="R1" s="118" t="s">
        <v>2172</v>
      </c>
      <c r="S1" s="118" t="s">
        <v>2173</v>
      </c>
      <c r="T1" s="118" t="s">
        <v>2172</v>
      </c>
      <c r="U1" s="118" t="s">
        <v>2173</v>
      </c>
      <c r="V1" s="119" t="s">
        <v>1147</v>
      </c>
      <c r="W1" s="119" t="s">
        <v>298</v>
      </c>
      <c r="X1" s="119" t="s">
        <v>2174</v>
      </c>
      <c r="Y1" s="119" t="s">
        <v>2171</v>
      </c>
      <c r="Z1" s="120" t="s">
        <v>2175</v>
      </c>
      <c r="AA1" s="120" t="s">
        <v>3377</v>
      </c>
      <c r="AB1" s="120" t="s">
        <v>2175</v>
      </c>
      <c r="AC1" s="120" t="s">
        <v>3650</v>
      </c>
      <c r="AD1" s="155"/>
      <c r="AE1" s="158"/>
      <c r="AH1" t="s">
        <v>2473</v>
      </c>
    </row>
    <row r="2" spans="1:41">
      <c r="A2" s="135" t="s">
        <v>2154</v>
      </c>
      <c r="B2" s="135"/>
      <c r="C2" s="135"/>
      <c r="D2" s="135"/>
      <c r="E2" s="135" t="s">
        <v>2155</v>
      </c>
      <c r="F2" s="135"/>
      <c r="G2" s="135" t="s">
        <v>2156</v>
      </c>
      <c r="H2" s="135"/>
      <c r="I2" s="117" t="s">
        <v>2157</v>
      </c>
      <c r="J2" s="135" t="s">
        <v>2158</v>
      </c>
      <c r="K2" s="135"/>
      <c r="L2" s="135" t="s">
        <v>2158</v>
      </c>
      <c r="M2" s="135"/>
      <c r="N2" s="135" t="s">
        <v>2158</v>
      </c>
      <c r="O2" s="135"/>
      <c r="P2" s="135" t="s">
        <v>2158</v>
      </c>
      <c r="Q2" s="135"/>
      <c r="R2" s="135" t="s">
        <v>2459</v>
      </c>
      <c r="S2" s="135"/>
      <c r="T2" s="135" t="s">
        <v>2458</v>
      </c>
      <c r="U2" s="135"/>
      <c r="V2" s="147" t="s">
        <v>2159</v>
      </c>
      <c r="W2" s="147"/>
      <c r="X2" s="147"/>
      <c r="Y2" s="147"/>
      <c r="Z2" s="150" t="s">
        <v>2160</v>
      </c>
      <c r="AA2" s="150"/>
      <c r="AB2" s="150" t="s">
        <v>2161</v>
      </c>
      <c r="AC2" s="150"/>
      <c r="AD2" s="155" t="s">
        <v>2162</v>
      </c>
      <c r="AE2" s="158" t="s">
        <v>2163</v>
      </c>
      <c r="AH2" s="166" t="s">
        <v>2456</v>
      </c>
      <c r="AI2" t="s">
        <v>2477</v>
      </c>
      <c r="AJ2" s="166" t="s">
        <v>2474</v>
      </c>
      <c r="AK2" t="s">
        <v>2477</v>
      </c>
      <c r="AL2" s="166"/>
      <c r="AM2" s="166"/>
      <c r="AN2" s="166"/>
      <c r="AO2" s="166"/>
    </row>
    <row r="3" spans="1:41">
      <c r="A3" s="134">
        <v>1</v>
      </c>
      <c r="B3" s="136" t="s">
        <v>2176</v>
      </c>
      <c r="C3" s="136" t="s">
        <v>2177</v>
      </c>
      <c r="D3" s="137" t="s">
        <v>2178</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2179</v>
      </c>
      <c r="W3" s="148" t="s">
        <v>2179</v>
      </c>
      <c r="X3" s="126"/>
      <c r="Y3" s="126"/>
      <c r="Z3" s="146">
        <v>41</v>
      </c>
      <c r="AA3" s="149" t="s">
        <v>2180</v>
      </c>
      <c r="AB3" s="161">
        <v>26.4</v>
      </c>
      <c r="AC3" s="149">
        <v>1</v>
      </c>
      <c r="AD3" s="154" t="s">
        <v>2181</v>
      </c>
      <c r="AE3" s="163" t="s">
        <v>2182</v>
      </c>
      <c r="AH3" s="138">
        <f t="shared" ref="AH3:AH66" si="0">J3</f>
        <v>436</v>
      </c>
      <c r="AI3" t="b">
        <f>COUNTIF($AH$3:$AH$443, AH3)&gt;1</f>
        <v>0</v>
      </c>
      <c r="AJ3" s="142">
        <f t="shared" ref="AJ3:AJ66" si="1">L3</f>
        <v>17</v>
      </c>
      <c r="AK3" t="b">
        <f>COUNTIF($AJ$3:$AJ$443, AJ3)&gt;1</f>
        <v>0</v>
      </c>
    </row>
    <row r="4" spans="1:41">
      <c r="A4" s="121">
        <v>2</v>
      </c>
      <c r="B4" s="122" t="s">
        <v>2176</v>
      </c>
      <c r="C4" s="122" t="s">
        <v>2183</v>
      </c>
      <c r="D4" s="122" t="s">
        <v>2178</v>
      </c>
      <c r="E4" s="140">
        <v>42766</v>
      </c>
      <c r="F4" s="125">
        <v>0.52083333333333337</v>
      </c>
      <c r="G4" s="124">
        <v>42818</v>
      </c>
      <c r="H4" s="125">
        <v>0.38194444444444442</v>
      </c>
      <c r="I4" s="123">
        <v>855</v>
      </c>
      <c r="J4" s="123">
        <v>568</v>
      </c>
      <c r="K4" s="142" t="str">
        <f>_xlfn.TEXTJOIN(,TRUE, "G",J4)</f>
        <v>G568</v>
      </c>
      <c r="L4" s="123">
        <v>121</v>
      </c>
      <c r="M4" s="142" t="str">
        <f t="shared" ref="M4:M67" si="2">_xlfn.TEXTJOIN(,TRUE, "R",L4)</f>
        <v>R121</v>
      </c>
      <c r="N4" s="123">
        <v>737</v>
      </c>
      <c r="O4" s="142" t="str">
        <f t="shared" ref="O4:O67" si="3">_xlfn.TEXTJOIN(,TRUE, "G",N4)</f>
        <v>G737</v>
      </c>
      <c r="P4" s="123">
        <v>527</v>
      </c>
      <c r="Q4" s="142" t="str">
        <f t="shared" ref="Q4:Q67" si="4">_xlfn.TEXTJOIN(,TRUE, "R",P4)</f>
        <v>R527</v>
      </c>
      <c r="R4" s="123">
        <v>23.5</v>
      </c>
      <c r="S4" s="123">
        <v>17.399999999999999</v>
      </c>
      <c r="T4" s="128">
        <v>26.3</v>
      </c>
      <c r="U4" s="123">
        <v>8.8000000000000007</v>
      </c>
      <c r="V4" s="126"/>
      <c r="W4" s="126"/>
      <c r="X4" s="126"/>
      <c r="Y4" s="126"/>
      <c r="Z4" s="123">
        <v>39.799999999999997</v>
      </c>
      <c r="AA4" s="126" t="s">
        <v>2180</v>
      </c>
      <c r="AB4" s="153">
        <v>22.4</v>
      </c>
      <c r="AC4" s="162">
        <v>1</v>
      </c>
      <c r="AD4" s="153"/>
      <c r="AE4" s="156" t="s">
        <v>3376</v>
      </c>
      <c r="AH4" s="123">
        <f t="shared" si="0"/>
        <v>568</v>
      </c>
      <c r="AI4" t="b">
        <f t="shared" ref="AI4:AI67" si="5">COUNTIF($AH$3:$AH$443, AH4)&gt;1</f>
        <v>0</v>
      </c>
      <c r="AJ4" s="123">
        <f t="shared" si="1"/>
        <v>121</v>
      </c>
      <c r="AK4" t="b">
        <f t="shared" ref="AK4:AK67" si="6">COUNTIF($AJ$3:$AJ$443, AJ4)&gt;1</f>
        <v>0</v>
      </c>
    </row>
    <row r="5" spans="1:41">
      <c r="A5" s="169">
        <v>3</v>
      </c>
      <c r="B5" s="170" t="s">
        <v>2176</v>
      </c>
      <c r="C5" s="170" t="s">
        <v>2184</v>
      </c>
      <c r="D5" s="170" t="s">
        <v>2178</v>
      </c>
      <c r="E5" s="173">
        <v>42766</v>
      </c>
      <c r="F5" s="174">
        <v>0.52430555555555558</v>
      </c>
      <c r="G5" s="169"/>
      <c r="H5" s="169"/>
      <c r="I5" s="169">
        <v>856</v>
      </c>
      <c r="J5" s="169">
        <v>631</v>
      </c>
      <c r="K5" s="142" t="str">
        <f t="shared" ref="K5:K67" si="7">_xlfn.TEXTJOIN(,TRUE, "G",J5)</f>
        <v>G631</v>
      </c>
      <c r="L5" s="169">
        <v>158</v>
      </c>
      <c r="M5" s="142" t="str">
        <f t="shared" si="2"/>
        <v>R158</v>
      </c>
      <c r="N5" s="169">
        <v>661</v>
      </c>
      <c r="O5" s="142" t="str">
        <f t="shared" si="3"/>
        <v>G661</v>
      </c>
      <c r="P5" s="169">
        <v>498</v>
      </c>
      <c r="Q5" s="142" t="str">
        <f t="shared" si="4"/>
        <v>R498</v>
      </c>
      <c r="R5" s="169">
        <v>24.7</v>
      </c>
      <c r="S5" s="169">
        <v>17.399999999999999</v>
      </c>
      <c r="T5" s="175"/>
      <c r="U5" s="169">
        <v>11.9</v>
      </c>
      <c r="V5" s="172"/>
      <c r="W5" s="172"/>
      <c r="X5" s="172"/>
      <c r="Y5" s="172"/>
      <c r="Z5" s="169"/>
      <c r="AA5" s="172"/>
      <c r="AB5" s="169"/>
      <c r="AC5" s="172"/>
      <c r="AD5" s="169"/>
      <c r="AE5" t="s">
        <v>2185</v>
      </c>
      <c r="AH5" s="123">
        <f t="shared" si="0"/>
        <v>631</v>
      </c>
      <c r="AI5" t="b">
        <f t="shared" si="5"/>
        <v>0</v>
      </c>
      <c r="AJ5" s="123">
        <f t="shared" si="1"/>
        <v>158</v>
      </c>
      <c r="AK5" t="b">
        <f t="shared" si="6"/>
        <v>0</v>
      </c>
    </row>
    <row r="6" spans="1:41">
      <c r="A6" s="121">
        <v>4</v>
      </c>
      <c r="B6" s="122" t="s">
        <v>2176</v>
      </c>
      <c r="C6" s="122" t="s">
        <v>2186</v>
      </c>
      <c r="D6" s="122" t="s">
        <v>2178</v>
      </c>
      <c r="E6" s="140">
        <v>42766</v>
      </c>
      <c r="F6" s="125">
        <v>0.52777777777777779</v>
      </c>
      <c r="G6" s="124">
        <v>42818</v>
      </c>
      <c r="H6" s="125">
        <v>0.375</v>
      </c>
      <c r="I6" s="123">
        <v>857</v>
      </c>
      <c r="J6" s="123">
        <v>652</v>
      </c>
      <c r="K6" s="142" t="str">
        <f t="shared" si="7"/>
        <v>G652</v>
      </c>
      <c r="L6" s="123">
        <v>115</v>
      </c>
      <c r="M6" s="142" t="str">
        <f t="shared" si="2"/>
        <v>R115</v>
      </c>
      <c r="N6" s="123">
        <v>532</v>
      </c>
      <c r="O6" s="142" t="str">
        <f t="shared" si="3"/>
        <v>G532</v>
      </c>
      <c r="P6" s="123">
        <v>508</v>
      </c>
      <c r="Q6" s="142" t="str">
        <f t="shared" si="4"/>
        <v>R508</v>
      </c>
      <c r="R6" s="123">
        <v>25.4</v>
      </c>
      <c r="S6" s="123">
        <v>17.399999999999999</v>
      </c>
      <c r="T6" s="127">
        <v>25.7</v>
      </c>
      <c r="U6" s="123"/>
      <c r="V6" s="126"/>
      <c r="W6" s="126" t="s">
        <v>2187</v>
      </c>
      <c r="X6" s="126"/>
      <c r="Y6" s="126"/>
      <c r="Z6" s="123"/>
      <c r="AA6" s="151"/>
      <c r="AB6" s="123"/>
      <c r="AC6" s="126"/>
      <c r="AD6" s="123"/>
      <c r="AE6" s="157" t="s">
        <v>2188</v>
      </c>
      <c r="AH6" s="123">
        <f t="shared" si="0"/>
        <v>652</v>
      </c>
      <c r="AI6" t="b">
        <f t="shared" si="5"/>
        <v>0</v>
      </c>
      <c r="AJ6" s="123">
        <f t="shared" si="1"/>
        <v>115</v>
      </c>
      <c r="AK6" t="b">
        <f t="shared" si="6"/>
        <v>0</v>
      </c>
    </row>
    <row r="7" spans="1:41">
      <c r="A7" s="121">
        <v>5</v>
      </c>
      <c r="B7" s="122" t="s">
        <v>2176</v>
      </c>
      <c r="C7" s="122" t="s">
        <v>2189</v>
      </c>
      <c r="D7" s="122" t="s">
        <v>2178</v>
      </c>
      <c r="E7" s="140">
        <v>42766</v>
      </c>
      <c r="F7" s="125">
        <v>0.53125</v>
      </c>
      <c r="G7" s="124">
        <v>42818</v>
      </c>
      <c r="H7" s="125">
        <v>0.375</v>
      </c>
      <c r="I7" s="123">
        <v>858</v>
      </c>
      <c r="J7" s="123">
        <v>497</v>
      </c>
      <c r="K7" s="142" t="str">
        <f t="shared" si="7"/>
        <v>G497</v>
      </c>
      <c r="L7" s="123">
        <v>502</v>
      </c>
      <c r="M7" s="142" t="str">
        <f t="shared" si="2"/>
        <v>R502</v>
      </c>
      <c r="N7" s="123">
        <v>577</v>
      </c>
      <c r="O7" s="142" t="str">
        <f t="shared" si="3"/>
        <v>G577</v>
      </c>
      <c r="P7" s="123">
        <v>38</v>
      </c>
      <c r="Q7" s="142" t="str">
        <f t="shared" si="4"/>
        <v>R38</v>
      </c>
      <c r="R7" s="123">
        <v>24.3</v>
      </c>
      <c r="S7" s="123">
        <v>13.8</v>
      </c>
      <c r="T7" s="127">
        <v>25.9</v>
      </c>
      <c r="U7" s="123">
        <v>10.4</v>
      </c>
      <c r="V7" s="126"/>
      <c r="W7" s="126"/>
      <c r="X7" s="126"/>
      <c r="Y7" s="126"/>
      <c r="Z7" s="123">
        <v>36.4</v>
      </c>
      <c r="AA7" s="126" t="s">
        <v>2180</v>
      </c>
      <c r="AB7" s="123">
        <v>28.4</v>
      </c>
      <c r="AC7" s="126">
        <v>1</v>
      </c>
      <c r="AD7" s="123"/>
      <c r="AH7" s="123">
        <f t="shared" si="0"/>
        <v>497</v>
      </c>
      <c r="AI7" t="b">
        <f t="shared" si="5"/>
        <v>0</v>
      </c>
      <c r="AJ7" s="123">
        <f t="shared" si="1"/>
        <v>502</v>
      </c>
      <c r="AK7" t="b">
        <f t="shared" si="6"/>
        <v>0</v>
      </c>
    </row>
    <row r="8" spans="1:41">
      <c r="A8" s="121">
        <v>6</v>
      </c>
      <c r="B8" s="122" t="s">
        <v>2176</v>
      </c>
      <c r="C8" s="122" t="s">
        <v>2190</v>
      </c>
      <c r="D8" s="122" t="s">
        <v>2178</v>
      </c>
      <c r="E8" s="140">
        <v>42766</v>
      </c>
      <c r="F8" s="125">
        <v>0.53125</v>
      </c>
      <c r="G8" s="124">
        <v>42818</v>
      </c>
      <c r="H8" s="125">
        <v>0.38541666666666669</v>
      </c>
      <c r="I8" s="123">
        <v>859</v>
      </c>
      <c r="J8" s="123">
        <v>447</v>
      </c>
      <c r="K8" s="142" t="str">
        <f t="shared" si="7"/>
        <v>G447</v>
      </c>
      <c r="L8" s="123">
        <v>177</v>
      </c>
      <c r="M8" s="142" t="str">
        <f t="shared" si="2"/>
        <v>R177</v>
      </c>
      <c r="N8" s="123">
        <v>634</v>
      </c>
      <c r="O8" s="142" t="str">
        <f t="shared" si="3"/>
        <v>G634</v>
      </c>
      <c r="P8" s="123">
        <v>59</v>
      </c>
      <c r="Q8" s="142" t="str">
        <f t="shared" si="4"/>
        <v>R59</v>
      </c>
      <c r="R8" s="123">
        <v>23.4</v>
      </c>
      <c r="S8" s="123">
        <v>13.8</v>
      </c>
      <c r="T8" s="123">
        <v>26.8</v>
      </c>
      <c r="U8" s="123">
        <v>13.1</v>
      </c>
      <c r="V8" s="126"/>
      <c r="W8" s="126" t="s">
        <v>2187</v>
      </c>
      <c r="X8" s="126" t="s">
        <v>2187</v>
      </c>
      <c r="Y8" s="126" t="s">
        <v>2187</v>
      </c>
      <c r="Z8" s="92">
        <v>31</v>
      </c>
      <c r="AA8" s="152" t="s">
        <v>2180</v>
      </c>
      <c r="AB8" s="123">
        <v>32.4</v>
      </c>
      <c r="AC8" s="126">
        <v>1</v>
      </c>
      <c r="AD8" s="123"/>
      <c r="AE8" s="144"/>
      <c r="AH8" s="123">
        <f t="shared" si="0"/>
        <v>447</v>
      </c>
      <c r="AI8" t="b">
        <f t="shared" si="5"/>
        <v>0</v>
      </c>
      <c r="AJ8" s="123">
        <f t="shared" si="1"/>
        <v>177</v>
      </c>
      <c r="AK8" t="b">
        <f t="shared" si="6"/>
        <v>0</v>
      </c>
    </row>
    <row r="9" spans="1:41">
      <c r="A9" s="121">
        <v>7</v>
      </c>
      <c r="B9" s="122" t="s">
        <v>2176</v>
      </c>
      <c r="C9" s="122" t="s">
        <v>2191</v>
      </c>
      <c r="D9" s="122" t="s">
        <v>2178</v>
      </c>
      <c r="E9" s="140">
        <v>42766</v>
      </c>
      <c r="F9" s="125">
        <v>0.53125</v>
      </c>
      <c r="G9" s="124">
        <v>42818</v>
      </c>
      <c r="H9" s="125">
        <v>0.3888888888888889</v>
      </c>
      <c r="I9" s="123">
        <v>860</v>
      </c>
      <c r="J9" s="123">
        <v>452</v>
      </c>
      <c r="K9" s="142" t="str">
        <f t="shared" si="7"/>
        <v>G452</v>
      </c>
      <c r="L9" s="123">
        <v>531</v>
      </c>
      <c r="M9" s="142" t="str">
        <f t="shared" si="2"/>
        <v>R531</v>
      </c>
      <c r="N9" s="123">
        <v>665</v>
      </c>
      <c r="O9" s="142" t="str">
        <f t="shared" si="3"/>
        <v>G665</v>
      </c>
      <c r="P9" s="123">
        <v>398</v>
      </c>
      <c r="Q9" s="142" t="str">
        <f t="shared" si="4"/>
        <v>R398</v>
      </c>
      <c r="R9" s="123">
        <v>26.4</v>
      </c>
      <c r="S9" s="123">
        <v>9.8000000000000007</v>
      </c>
      <c r="T9" s="123">
        <v>26</v>
      </c>
      <c r="U9" s="123">
        <v>9.9</v>
      </c>
      <c r="V9" s="126"/>
      <c r="W9" s="126"/>
      <c r="X9" s="126" t="s">
        <v>2187</v>
      </c>
      <c r="Y9" s="126" t="s">
        <v>2187</v>
      </c>
      <c r="Z9" s="123">
        <v>43.4</v>
      </c>
      <c r="AA9" s="126" t="s">
        <v>2180</v>
      </c>
      <c r="AB9" s="123">
        <v>36</v>
      </c>
      <c r="AC9" s="126">
        <v>1</v>
      </c>
      <c r="AD9" s="123"/>
      <c r="AH9" s="123">
        <f t="shared" si="0"/>
        <v>452</v>
      </c>
      <c r="AI9" t="b">
        <f t="shared" si="5"/>
        <v>0</v>
      </c>
      <c r="AJ9" s="123">
        <f t="shared" si="1"/>
        <v>531</v>
      </c>
      <c r="AK9" t="b">
        <f t="shared" si="6"/>
        <v>0</v>
      </c>
    </row>
    <row r="10" spans="1:41">
      <c r="A10" s="121">
        <v>8</v>
      </c>
      <c r="B10" s="122" t="s">
        <v>2176</v>
      </c>
      <c r="C10" s="122" t="s">
        <v>2192</v>
      </c>
      <c r="D10" s="122" t="s">
        <v>2178</v>
      </c>
      <c r="E10" s="140">
        <v>42766</v>
      </c>
      <c r="F10" s="125">
        <v>0.53472222222222221</v>
      </c>
      <c r="G10" s="124">
        <v>42818</v>
      </c>
      <c r="H10" s="125">
        <v>0.38541666666666669</v>
      </c>
      <c r="I10" s="123">
        <v>861</v>
      </c>
      <c r="J10" s="123">
        <v>389</v>
      </c>
      <c r="K10" s="142" t="str">
        <f t="shared" si="7"/>
        <v>G389</v>
      </c>
      <c r="L10" s="123">
        <v>406</v>
      </c>
      <c r="M10" s="142" t="str">
        <f t="shared" si="2"/>
        <v>R406</v>
      </c>
      <c r="N10" s="123">
        <v>701</v>
      </c>
      <c r="O10" s="142" t="str">
        <f t="shared" si="3"/>
        <v>G701</v>
      </c>
      <c r="P10" s="123">
        <v>512</v>
      </c>
      <c r="Q10" s="142" t="str">
        <f t="shared" si="4"/>
        <v>R512</v>
      </c>
      <c r="R10" s="123">
        <v>24.9</v>
      </c>
      <c r="S10" s="123">
        <v>12.4</v>
      </c>
      <c r="T10" s="123">
        <v>26.1</v>
      </c>
      <c r="U10" s="123">
        <v>8.8000000000000007</v>
      </c>
      <c r="V10" s="126" t="s">
        <v>2179</v>
      </c>
      <c r="W10" s="126" t="s">
        <v>2187</v>
      </c>
      <c r="X10" s="126"/>
      <c r="Y10" s="126"/>
      <c r="Z10" s="123">
        <v>38.4</v>
      </c>
      <c r="AA10" s="126" t="s">
        <v>2180</v>
      </c>
      <c r="AB10" s="123">
        <v>36</v>
      </c>
      <c r="AC10" s="126"/>
      <c r="AD10" s="123"/>
      <c r="AH10" s="123">
        <f t="shared" si="0"/>
        <v>389</v>
      </c>
      <c r="AI10" t="b">
        <f t="shared" si="5"/>
        <v>0</v>
      </c>
      <c r="AJ10" s="123">
        <f t="shared" si="1"/>
        <v>406</v>
      </c>
      <c r="AK10" t="b">
        <f t="shared" si="6"/>
        <v>0</v>
      </c>
    </row>
    <row r="11" spans="1:41">
      <c r="A11" s="121">
        <v>9</v>
      </c>
      <c r="B11" s="122" t="s">
        <v>2176</v>
      </c>
      <c r="C11" s="122" t="s">
        <v>2193</v>
      </c>
      <c r="D11" s="122" t="s">
        <v>2194</v>
      </c>
      <c r="E11" s="140">
        <v>42766</v>
      </c>
      <c r="F11" s="125">
        <v>0.64027777777777783</v>
      </c>
      <c r="G11" s="124">
        <v>42818</v>
      </c>
      <c r="H11" s="125">
        <v>0.40625</v>
      </c>
      <c r="I11" s="123">
        <v>862</v>
      </c>
      <c r="J11">
        <v>514</v>
      </c>
      <c r="K11" s="142" t="str">
        <f t="shared" si="7"/>
        <v>G514</v>
      </c>
      <c r="L11" s="123">
        <v>169</v>
      </c>
      <c r="M11" s="142" t="str">
        <f t="shared" si="2"/>
        <v>R169</v>
      </c>
      <c r="N11" s="123">
        <v>476</v>
      </c>
      <c r="O11" s="142" t="str">
        <f t="shared" si="3"/>
        <v>G476</v>
      </c>
      <c r="P11" s="123">
        <v>101</v>
      </c>
      <c r="Q11" s="142" t="str">
        <f t="shared" si="4"/>
        <v>R101</v>
      </c>
      <c r="R11" s="123">
        <v>22.6</v>
      </c>
      <c r="S11" s="123">
        <v>19.5</v>
      </c>
      <c r="T11" s="123">
        <v>26.2</v>
      </c>
      <c r="U11" s="123">
        <v>9.5</v>
      </c>
      <c r="V11" s="126" t="s">
        <v>2187</v>
      </c>
      <c r="W11" s="126" t="s">
        <v>2195</v>
      </c>
      <c r="X11" s="126"/>
      <c r="Y11" s="126"/>
      <c r="Z11" s="123">
        <v>28.4</v>
      </c>
      <c r="AA11" s="126" t="s">
        <v>2180</v>
      </c>
      <c r="AB11" s="123">
        <v>10.8</v>
      </c>
      <c r="AC11" s="126">
        <v>0</v>
      </c>
      <c r="AD11" s="123"/>
      <c r="AH11" s="123">
        <f t="shared" si="0"/>
        <v>514</v>
      </c>
      <c r="AI11" t="b">
        <f t="shared" si="5"/>
        <v>0</v>
      </c>
      <c r="AJ11" s="123">
        <f t="shared" si="1"/>
        <v>169</v>
      </c>
      <c r="AK11" t="b">
        <f t="shared" si="6"/>
        <v>0</v>
      </c>
    </row>
    <row r="12" spans="1:41">
      <c r="A12" s="121">
        <v>10</v>
      </c>
      <c r="B12" s="122" t="s">
        <v>2176</v>
      </c>
      <c r="C12" s="122" t="s">
        <v>2196</v>
      </c>
      <c r="D12" s="122" t="s">
        <v>2194</v>
      </c>
      <c r="E12" s="140">
        <v>42766</v>
      </c>
      <c r="F12" s="125">
        <v>0.64236111111111105</v>
      </c>
      <c r="G12" s="124">
        <v>42818</v>
      </c>
      <c r="H12" s="125">
        <v>0.41666666666666669</v>
      </c>
      <c r="I12" s="123">
        <v>863</v>
      </c>
      <c r="J12" s="123">
        <v>286</v>
      </c>
      <c r="K12" s="142" t="str">
        <f t="shared" si="7"/>
        <v>G286</v>
      </c>
      <c r="L12" s="123">
        <v>91</v>
      </c>
      <c r="M12" s="142" t="str">
        <f t="shared" si="2"/>
        <v>R91</v>
      </c>
      <c r="N12" s="123">
        <v>606</v>
      </c>
      <c r="O12" s="142" t="str">
        <f t="shared" si="3"/>
        <v>G606</v>
      </c>
      <c r="P12" s="123">
        <v>515</v>
      </c>
      <c r="Q12" s="142" t="str">
        <f t="shared" si="4"/>
        <v>R515</v>
      </c>
      <c r="R12" s="123">
        <v>22.2</v>
      </c>
      <c r="S12" s="123">
        <v>20.7</v>
      </c>
      <c r="T12" s="123">
        <v>26.4</v>
      </c>
      <c r="U12" s="123">
        <v>8.6</v>
      </c>
      <c r="V12" s="126"/>
      <c r="W12" s="126"/>
      <c r="X12" s="126"/>
      <c r="Y12" s="126"/>
      <c r="Z12" s="123">
        <v>30</v>
      </c>
      <c r="AA12" s="126" t="s">
        <v>2180</v>
      </c>
      <c r="AB12" s="123">
        <v>16.8</v>
      </c>
      <c r="AC12" s="126">
        <v>0</v>
      </c>
      <c r="AD12" s="123"/>
      <c r="AH12" s="123">
        <f t="shared" si="0"/>
        <v>286</v>
      </c>
      <c r="AI12" t="b">
        <f t="shared" si="5"/>
        <v>0</v>
      </c>
      <c r="AJ12" s="123">
        <f t="shared" si="1"/>
        <v>91</v>
      </c>
      <c r="AK12" t="b">
        <f t="shared" si="6"/>
        <v>0</v>
      </c>
    </row>
    <row r="13" spans="1:41">
      <c r="A13" s="121">
        <v>11</v>
      </c>
      <c r="B13" s="122" t="s">
        <v>2176</v>
      </c>
      <c r="C13" s="122" t="s">
        <v>2197</v>
      </c>
      <c r="D13" s="122" t="s">
        <v>2194</v>
      </c>
      <c r="E13" s="140">
        <v>42766</v>
      </c>
      <c r="F13" s="125">
        <v>0.64583333333333337</v>
      </c>
      <c r="G13" s="124">
        <v>42818</v>
      </c>
      <c r="H13" s="125">
        <v>0.4236111111111111</v>
      </c>
      <c r="I13" s="123">
        <v>864</v>
      </c>
      <c r="J13" s="123">
        <v>543</v>
      </c>
      <c r="K13" s="142" t="str">
        <f t="shared" si="7"/>
        <v>G543</v>
      </c>
      <c r="L13" s="129">
        <v>446</v>
      </c>
      <c r="M13" s="142" t="str">
        <f t="shared" si="2"/>
        <v>R446</v>
      </c>
      <c r="N13" s="123">
        <v>523</v>
      </c>
      <c r="O13" s="142" t="str">
        <f t="shared" si="3"/>
        <v>G523</v>
      </c>
      <c r="P13" s="123">
        <v>2</v>
      </c>
      <c r="Q13" s="142" t="str">
        <f t="shared" si="4"/>
        <v>R2</v>
      </c>
      <c r="R13" s="123">
        <v>22.3</v>
      </c>
      <c r="S13" s="123">
        <v>31.2</v>
      </c>
      <c r="T13" s="123">
        <v>25.8</v>
      </c>
      <c r="U13" s="123">
        <v>11</v>
      </c>
      <c r="V13" s="126" t="s">
        <v>2187</v>
      </c>
      <c r="W13" s="126"/>
      <c r="X13" s="126"/>
      <c r="Y13" s="126"/>
      <c r="Z13" s="123">
        <v>24.4</v>
      </c>
      <c r="AA13" s="126" t="s">
        <v>2180</v>
      </c>
      <c r="AB13" s="123">
        <v>11.4</v>
      </c>
      <c r="AC13" s="126">
        <v>0</v>
      </c>
      <c r="AD13" s="123"/>
      <c r="AH13" s="123">
        <f t="shared" si="0"/>
        <v>543</v>
      </c>
      <c r="AI13" t="b">
        <f t="shared" si="5"/>
        <v>0</v>
      </c>
      <c r="AJ13" s="129">
        <f t="shared" si="1"/>
        <v>446</v>
      </c>
      <c r="AK13" t="b">
        <f t="shared" si="6"/>
        <v>0</v>
      </c>
    </row>
    <row r="14" spans="1:41">
      <c r="A14" s="169">
        <v>12</v>
      </c>
      <c r="B14" s="170" t="s">
        <v>2176</v>
      </c>
      <c r="C14" s="170" t="s">
        <v>2198</v>
      </c>
      <c r="D14" s="170" t="s">
        <v>2194</v>
      </c>
      <c r="E14" s="173">
        <v>42766</v>
      </c>
      <c r="F14" s="174">
        <v>0.64930555555555558</v>
      </c>
      <c r="G14" s="169"/>
      <c r="H14" s="169"/>
      <c r="I14" s="169">
        <v>865</v>
      </c>
      <c r="J14" s="169">
        <v>590</v>
      </c>
      <c r="K14" s="142" t="str">
        <f t="shared" si="7"/>
        <v>G590</v>
      </c>
      <c r="L14" s="169">
        <v>409</v>
      </c>
      <c r="M14" s="142" t="str">
        <f t="shared" si="2"/>
        <v>R409</v>
      </c>
      <c r="N14" s="169">
        <v>490</v>
      </c>
      <c r="O14" s="142" t="str">
        <f t="shared" si="3"/>
        <v>G490</v>
      </c>
      <c r="P14" s="169">
        <v>123</v>
      </c>
      <c r="Q14" s="142" t="str">
        <f t="shared" si="4"/>
        <v>R123</v>
      </c>
      <c r="R14" s="169">
        <v>21.7</v>
      </c>
      <c r="S14" s="169">
        <v>25.8</v>
      </c>
      <c r="T14" s="169"/>
      <c r="U14" s="169"/>
      <c r="V14" s="172"/>
      <c r="W14" s="172"/>
      <c r="X14" s="172"/>
      <c r="Y14" s="172"/>
      <c r="Z14" s="169"/>
      <c r="AA14" s="172"/>
      <c r="AB14" s="169"/>
      <c r="AC14" s="172"/>
      <c r="AD14" s="169"/>
      <c r="AH14" s="123">
        <f t="shared" si="0"/>
        <v>590</v>
      </c>
      <c r="AI14" t="b">
        <f t="shared" si="5"/>
        <v>0</v>
      </c>
      <c r="AJ14" s="123">
        <f t="shared" si="1"/>
        <v>409</v>
      </c>
      <c r="AK14" t="b">
        <f t="shared" si="6"/>
        <v>0</v>
      </c>
    </row>
    <row r="15" spans="1:41">
      <c r="A15" s="121">
        <v>13</v>
      </c>
      <c r="B15" s="122" t="s">
        <v>2176</v>
      </c>
      <c r="C15" s="122" t="s">
        <v>2199</v>
      </c>
      <c r="D15" s="122" t="s">
        <v>2194</v>
      </c>
      <c r="E15" s="140">
        <v>42766</v>
      </c>
      <c r="F15" s="125">
        <v>0.65277777777777779</v>
      </c>
      <c r="G15" s="124">
        <v>42818</v>
      </c>
      <c r="H15" s="125">
        <v>0.41666666666666669</v>
      </c>
      <c r="I15" s="123">
        <v>866</v>
      </c>
      <c r="J15" s="123">
        <v>595</v>
      </c>
      <c r="K15" s="142" t="str">
        <f t="shared" si="7"/>
        <v>G595</v>
      </c>
      <c r="L15" s="123">
        <v>450</v>
      </c>
      <c r="M15" s="142" t="str">
        <f t="shared" si="2"/>
        <v>R450</v>
      </c>
      <c r="N15" s="123">
        <v>241</v>
      </c>
      <c r="O15" s="142" t="str">
        <f t="shared" si="3"/>
        <v>G241</v>
      </c>
      <c r="P15" s="123">
        <v>3</v>
      </c>
      <c r="Q15" s="142" t="str">
        <f t="shared" si="4"/>
        <v>R3</v>
      </c>
      <c r="R15" s="123">
        <v>22.1</v>
      </c>
      <c r="S15" s="123">
        <v>31.1</v>
      </c>
      <c r="T15" s="123">
        <v>24.7</v>
      </c>
      <c r="U15" s="123">
        <v>10.5</v>
      </c>
      <c r="V15" s="126" t="s">
        <v>2179</v>
      </c>
      <c r="W15" s="126" t="s">
        <v>2200</v>
      </c>
      <c r="X15" s="126"/>
      <c r="Y15" s="126"/>
      <c r="Z15" s="123">
        <v>31</v>
      </c>
      <c r="AA15" s="126" t="s">
        <v>2180</v>
      </c>
      <c r="AB15" s="123">
        <v>11.4</v>
      </c>
      <c r="AC15" s="126">
        <v>0</v>
      </c>
      <c r="AD15" s="123"/>
      <c r="AH15" s="123">
        <f t="shared" si="0"/>
        <v>595</v>
      </c>
      <c r="AI15" t="b">
        <f t="shared" si="5"/>
        <v>0</v>
      </c>
      <c r="AJ15" s="123">
        <f t="shared" si="1"/>
        <v>450</v>
      </c>
      <c r="AK15" t="b">
        <f t="shared" si="6"/>
        <v>0</v>
      </c>
    </row>
    <row r="16" spans="1:41">
      <c r="A16" s="121">
        <v>14</v>
      </c>
      <c r="B16" s="122" t="s">
        <v>2176</v>
      </c>
      <c r="C16" s="122" t="s">
        <v>2201</v>
      </c>
      <c r="D16" s="122" t="s">
        <v>2194</v>
      </c>
      <c r="E16" s="140">
        <v>42766</v>
      </c>
      <c r="F16" s="125">
        <v>0.65347222222222223</v>
      </c>
      <c r="G16" s="124">
        <v>42818</v>
      </c>
      <c r="H16" s="125">
        <v>0.4201388888888889</v>
      </c>
      <c r="I16" s="123">
        <v>867</v>
      </c>
      <c r="J16" s="123">
        <v>609</v>
      </c>
      <c r="K16" s="142" t="str">
        <f t="shared" si="7"/>
        <v>G609</v>
      </c>
      <c r="L16" s="123">
        <v>382</v>
      </c>
      <c r="M16" s="142" t="str">
        <f t="shared" si="2"/>
        <v>R382</v>
      </c>
      <c r="N16" s="129">
        <v>503</v>
      </c>
      <c r="O16" s="142" t="str">
        <f t="shared" si="3"/>
        <v>G503</v>
      </c>
      <c r="P16" s="123">
        <v>282</v>
      </c>
      <c r="Q16" s="142" t="str">
        <f t="shared" si="4"/>
        <v>R282</v>
      </c>
      <c r="R16" s="123">
        <v>21.7</v>
      </c>
      <c r="S16" s="123">
        <v>22.4</v>
      </c>
      <c r="T16" s="123">
        <v>26.5</v>
      </c>
      <c r="U16" s="123">
        <v>9</v>
      </c>
      <c r="V16" s="126"/>
      <c r="W16" s="126" t="s">
        <v>2200</v>
      </c>
      <c r="X16" s="126"/>
      <c r="Y16" s="126"/>
      <c r="Z16" s="123">
        <v>42.4</v>
      </c>
      <c r="AA16" s="126" t="s">
        <v>2180</v>
      </c>
      <c r="AB16" s="123">
        <v>28.4</v>
      </c>
      <c r="AC16" s="126">
        <v>0</v>
      </c>
      <c r="AD16" s="123"/>
      <c r="AH16" s="123">
        <f t="shared" si="0"/>
        <v>609</v>
      </c>
      <c r="AI16" t="b">
        <f t="shared" si="5"/>
        <v>0</v>
      </c>
      <c r="AJ16" s="123">
        <f t="shared" si="1"/>
        <v>382</v>
      </c>
      <c r="AK16" t="b">
        <f t="shared" si="6"/>
        <v>0</v>
      </c>
    </row>
    <row r="17" spans="1:37">
      <c r="A17" s="121">
        <v>15</v>
      </c>
      <c r="B17" s="122" t="s">
        <v>2176</v>
      </c>
      <c r="C17" s="122" t="s">
        <v>2202</v>
      </c>
      <c r="D17" s="122" t="s">
        <v>2194</v>
      </c>
      <c r="E17" s="140">
        <v>42766</v>
      </c>
      <c r="F17" s="125">
        <v>0.65972222222222221</v>
      </c>
      <c r="G17" s="124">
        <v>42818</v>
      </c>
      <c r="H17" s="125">
        <v>0.40972222222222227</v>
      </c>
      <c r="I17" s="123">
        <v>868</v>
      </c>
      <c r="J17" s="123">
        <v>222</v>
      </c>
      <c r="K17" s="142" t="str">
        <f t="shared" si="7"/>
        <v>G222</v>
      </c>
      <c r="L17" s="123">
        <v>415</v>
      </c>
      <c r="M17" s="142" t="str">
        <f t="shared" si="2"/>
        <v>R415</v>
      </c>
      <c r="N17" s="123">
        <v>685</v>
      </c>
      <c r="O17" s="142" t="str">
        <f t="shared" si="3"/>
        <v>G685</v>
      </c>
      <c r="P17" s="123">
        <v>99</v>
      </c>
      <c r="Q17" s="142" t="str">
        <f t="shared" si="4"/>
        <v>R99</v>
      </c>
      <c r="R17" s="123">
        <v>21.9</v>
      </c>
      <c r="S17" s="123">
        <v>35.1</v>
      </c>
      <c r="T17" s="123">
        <v>26</v>
      </c>
      <c r="U17" s="123">
        <v>12.7</v>
      </c>
      <c r="V17" s="126"/>
      <c r="W17" s="126" t="s">
        <v>2203</v>
      </c>
      <c r="X17" s="126" t="s">
        <v>2187</v>
      </c>
      <c r="Y17" s="126" t="s">
        <v>2187</v>
      </c>
      <c r="Z17" s="123">
        <v>30.4</v>
      </c>
      <c r="AA17" s="126" t="s">
        <v>2180</v>
      </c>
      <c r="AB17" s="123">
        <v>15.8</v>
      </c>
      <c r="AC17" s="126">
        <v>0</v>
      </c>
      <c r="AD17" s="123" t="s">
        <v>2204</v>
      </c>
      <c r="AE17" s="92"/>
      <c r="AH17" s="123">
        <f t="shared" si="0"/>
        <v>222</v>
      </c>
      <c r="AI17" t="b">
        <f t="shared" si="5"/>
        <v>0</v>
      </c>
      <c r="AJ17" s="123">
        <f t="shared" si="1"/>
        <v>415</v>
      </c>
      <c r="AK17" t="b">
        <f t="shared" si="6"/>
        <v>0</v>
      </c>
    </row>
    <row r="18" spans="1:37">
      <c r="A18" s="121">
        <v>16</v>
      </c>
      <c r="B18" s="122" t="s">
        <v>2176</v>
      </c>
      <c r="C18" s="122" t="s">
        <v>2205</v>
      </c>
      <c r="D18" s="122" t="s">
        <v>2194</v>
      </c>
      <c r="E18" s="140">
        <v>42766</v>
      </c>
      <c r="F18" s="125">
        <v>0.66319444444444442</v>
      </c>
      <c r="G18" s="124">
        <v>42818</v>
      </c>
      <c r="H18" s="125">
        <v>0.43055555555555558</v>
      </c>
      <c r="I18" s="123">
        <v>869</v>
      </c>
      <c r="J18" s="123">
        <v>405</v>
      </c>
      <c r="K18" s="142" t="str">
        <f t="shared" si="7"/>
        <v>G405</v>
      </c>
      <c r="L18" s="123">
        <v>519</v>
      </c>
      <c r="M18" s="142" t="str">
        <f t="shared" si="2"/>
        <v>R519</v>
      </c>
      <c r="N18" s="123">
        <v>644</v>
      </c>
      <c r="O18" s="142" t="str">
        <f t="shared" si="3"/>
        <v>G644</v>
      </c>
      <c r="P18" s="123">
        <v>154</v>
      </c>
      <c r="Q18" s="142" t="str">
        <f t="shared" si="4"/>
        <v>R154</v>
      </c>
      <c r="R18" s="123">
        <v>22.3</v>
      </c>
      <c r="S18" s="123">
        <v>22.3</v>
      </c>
      <c r="T18" s="123">
        <v>25.8</v>
      </c>
      <c r="U18" s="123">
        <v>12.7</v>
      </c>
      <c r="V18" s="126" t="s">
        <v>2206</v>
      </c>
      <c r="W18" s="126" t="s">
        <v>2206</v>
      </c>
      <c r="X18" s="126" t="s">
        <v>2187</v>
      </c>
      <c r="Y18" s="126" t="s">
        <v>2187</v>
      </c>
      <c r="Z18" s="123">
        <v>12.4</v>
      </c>
      <c r="AA18" s="126" t="s">
        <v>2180</v>
      </c>
      <c r="AB18" s="123">
        <v>8</v>
      </c>
      <c r="AC18" s="126">
        <v>0</v>
      </c>
      <c r="AD18" s="123"/>
      <c r="AH18" s="123">
        <f t="shared" si="0"/>
        <v>405</v>
      </c>
      <c r="AI18" t="b">
        <f t="shared" si="5"/>
        <v>0</v>
      </c>
      <c r="AJ18" s="123">
        <f t="shared" si="1"/>
        <v>519</v>
      </c>
      <c r="AK18" t="b">
        <f t="shared" si="6"/>
        <v>0</v>
      </c>
    </row>
    <row r="19" spans="1:37">
      <c r="A19" s="121">
        <v>17</v>
      </c>
      <c r="B19" s="122" t="s">
        <v>2176</v>
      </c>
      <c r="C19" s="122" t="s">
        <v>2207</v>
      </c>
      <c r="D19" s="122" t="s">
        <v>2208</v>
      </c>
      <c r="E19" s="124">
        <v>42767</v>
      </c>
      <c r="F19" s="125">
        <v>0.30208333333333331</v>
      </c>
      <c r="G19" s="124">
        <v>42818</v>
      </c>
      <c r="H19" s="125">
        <v>0.34027777777777773</v>
      </c>
      <c r="I19" s="123">
        <v>870</v>
      </c>
      <c r="J19" s="123">
        <v>571</v>
      </c>
      <c r="K19" s="142" t="str">
        <f t="shared" si="7"/>
        <v>G571</v>
      </c>
      <c r="L19" s="123">
        <v>542</v>
      </c>
      <c r="M19" s="142" t="str">
        <f t="shared" si="2"/>
        <v>R542</v>
      </c>
      <c r="N19" s="123">
        <v>648</v>
      </c>
      <c r="O19" s="142" t="str">
        <f t="shared" si="3"/>
        <v>G648</v>
      </c>
      <c r="P19" s="123">
        <v>380</v>
      </c>
      <c r="Q19" s="142" t="str">
        <f t="shared" si="4"/>
        <v>R380</v>
      </c>
      <c r="R19" s="123">
        <v>19.600000000000001</v>
      </c>
      <c r="S19" s="123">
        <v>37.4</v>
      </c>
      <c r="T19" s="123">
        <v>23.1</v>
      </c>
      <c r="U19" s="123">
        <v>34.4</v>
      </c>
      <c r="V19" s="126"/>
      <c r="W19" s="126" t="s">
        <v>2187</v>
      </c>
      <c r="X19" s="126" t="s">
        <v>2187</v>
      </c>
      <c r="Y19" s="126" t="s">
        <v>2187</v>
      </c>
      <c r="Z19" s="123"/>
      <c r="AA19" s="123"/>
      <c r="AB19" s="123"/>
      <c r="AC19" s="123"/>
      <c r="AD19" s="123" t="s">
        <v>2209</v>
      </c>
      <c r="AH19" s="123">
        <f t="shared" si="0"/>
        <v>571</v>
      </c>
      <c r="AI19" t="b">
        <f t="shared" si="5"/>
        <v>0</v>
      </c>
      <c r="AJ19" s="123">
        <f t="shared" si="1"/>
        <v>542</v>
      </c>
      <c r="AK19" t="b">
        <f t="shared" si="6"/>
        <v>0</v>
      </c>
    </row>
    <row r="20" spans="1:37">
      <c r="A20" s="121">
        <v>18</v>
      </c>
      <c r="B20" s="122" t="s">
        <v>2176</v>
      </c>
      <c r="C20" s="122" t="s">
        <v>2210</v>
      </c>
      <c r="D20" s="122" t="s">
        <v>2208</v>
      </c>
      <c r="E20" s="124">
        <v>42767</v>
      </c>
      <c r="F20" s="125">
        <v>0.30555555555555552</v>
      </c>
      <c r="G20" s="124">
        <v>42818</v>
      </c>
      <c r="H20" s="125">
        <v>0.3576388888888889</v>
      </c>
      <c r="I20" s="123">
        <v>871</v>
      </c>
      <c r="J20" s="123">
        <v>419</v>
      </c>
      <c r="K20" s="142" t="str">
        <f t="shared" si="7"/>
        <v>G419</v>
      </c>
      <c r="L20" s="123">
        <v>128</v>
      </c>
      <c r="M20" s="142" t="str">
        <f t="shared" si="2"/>
        <v>R128</v>
      </c>
      <c r="N20" s="123">
        <v>573</v>
      </c>
      <c r="O20" s="142" t="str">
        <f t="shared" si="3"/>
        <v>G573</v>
      </c>
      <c r="P20" s="123">
        <v>274</v>
      </c>
      <c r="Q20" s="142" t="str">
        <f t="shared" si="4"/>
        <v>R274</v>
      </c>
      <c r="R20" s="123">
        <v>19.399999999999999</v>
      </c>
      <c r="S20" s="123">
        <v>38.4</v>
      </c>
      <c r="T20" s="123">
        <v>23.3</v>
      </c>
      <c r="U20" s="123">
        <v>35.5</v>
      </c>
      <c r="V20" s="126" t="s">
        <v>2187</v>
      </c>
      <c r="W20" s="126"/>
      <c r="X20" s="126" t="s">
        <v>2187</v>
      </c>
      <c r="Y20" s="126" t="s">
        <v>2187</v>
      </c>
      <c r="Z20" s="123"/>
      <c r="AA20" s="123"/>
      <c r="AB20" s="123"/>
      <c r="AC20" s="123"/>
      <c r="AD20" s="123" t="s">
        <v>2209</v>
      </c>
      <c r="AH20" s="123">
        <f t="shared" si="0"/>
        <v>419</v>
      </c>
      <c r="AI20" t="b">
        <f t="shared" si="5"/>
        <v>0</v>
      </c>
      <c r="AJ20" s="123">
        <f t="shared" si="1"/>
        <v>128</v>
      </c>
      <c r="AK20" t="b">
        <f t="shared" si="6"/>
        <v>0</v>
      </c>
    </row>
    <row r="21" spans="1:37">
      <c r="A21" s="121">
        <v>19</v>
      </c>
      <c r="B21" s="122" t="s">
        <v>2176</v>
      </c>
      <c r="C21" s="122" t="s">
        <v>2211</v>
      </c>
      <c r="D21" s="122" t="s">
        <v>2208</v>
      </c>
      <c r="E21" s="124">
        <v>42767</v>
      </c>
      <c r="F21" s="125">
        <v>0.30555555555555552</v>
      </c>
      <c r="G21" s="124">
        <v>42818</v>
      </c>
      <c r="H21" s="125">
        <v>0.3611111111111111</v>
      </c>
      <c r="I21" s="123">
        <v>872</v>
      </c>
      <c r="J21" s="123">
        <v>240</v>
      </c>
      <c r="K21" s="142" t="str">
        <f t="shared" si="7"/>
        <v>G240</v>
      </c>
      <c r="L21" s="123">
        <v>82</v>
      </c>
      <c r="M21" s="142" t="str">
        <f t="shared" si="2"/>
        <v>R82</v>
      </c>
      <c r="N21" s="123">
        <v>639</v>
      </c>
      <c r="O21" s="142" t="str">
        <f t="shared" si="3"/>
        <v>G639</v>
      </c>
      <c r="P21" s="123">
        <v>566</v>
      </c>
      <c r="Q21" s="142" t="str">
        <f t="shared" si="4"/>
        <v>R566</v>
      </c>
      <c r="R21" s="123">
        <v>18.899999999999999</v>
      </c>
      <c r="S21" s="123">
        <v>41.2</v>
      </c>
      <c r="T21" s="123">
        <v>23.3</v>
      </c>
      <c r="U21" s="123">
        <v>37.4</v>
      </c>
      <c r="V21" s="126"/>
      <c r="W21" s="126"/>
      <c r="X21" s="126"/>
      <c r="Y21" s="126"/>
      <c r="Z21" s="123"/>
      <c r="AA21" s="123"/>
      <c r="AB21" s="123"/>
      <c r="AC21" s="123"/>
      <c r="AD21" s="123" t="s">
        <v>2209</v>
      </c>
      <c r="AH21" s="123">
        <f t="shared" si="0"/>
        <v>240</v>
      </c>
      <c r="AI21" t="b">
        <f t="shared" si="5"/>
        <v>0</v>
      </c>
      <c r="AJ21" s="123">
        <f t="shared" si="1"/>
        <v>82</v>
      </c>
      <c r="AK21" t="b">
        <f t="shared" si="6"/>
        <v>0</v>
      </c>
    </row>
    <row r="22" spans="1:37">
      <c r="A22" s="121">
        <v>20</v>
      </c>
      <c r="B22" s="122" t="s">
        <v>2176</v>
      </c>
      <c r="C22" s="122" t="s">
        <v>2212</v>
      </c>
      <c r="D22" s="122" t="s">
        <v>2208</v>
      </c>
      <c r="E22" s="124">
        <v>42767</v>
      </c>
      <c r="F22" s="125">
        <v>0.30902777777777779</v>
      </c>
      <c r="G22" s="124">
        <v>42818</v>
      </c>
      <c r="H22" s="125">
        <v>0.36388888888888887</v>
      </c>
      <c r="I22" s="123">
        <v>873</v>
      </c>
      <c r="J22" s="123">
        <v>524</v>
      </c>
      <c r="K22" s="142" t="str">
        <f t="shared" si="7"/>
        <v>G524</v>
      </c>
      <c r="L22" s="123">
        <v>50</v>
      </c>
      <c r="M22" s="142" t="str">
        <f t="shared" si="2"/>
        <v>R50</v>
      </c>
      <c r="N22" s="123">
        <v>505</v>
      </c>
      <c r="O22" s="142" t="str">
        <f t="shared" si="3"/>
        <v>G505</v>
      </c>
      <c r="P22" s="123">
        <v>110</v>
      </c>
      <c r="Q22" s="142" t="str">
        <f t="shared" si="4"/>
        <v>R110</v>
      </c>
      <c r="R22" s="123">
        <v>19</v>
      </c>
      <c r="S22" s="123">
        <v>43.1</v>
      </c>
      <c r="T22" s="123">
        <v>23.7</v>
      </c>
      <c r="U22" s="123">
        <v>37</v>
      </c>
      <c r="V22" s="126"/>
      <c r="W22" s="126"/>
      <c r="X22" s="126"/>
      <c r="Y22" s="126"/>
      <c r="Z22" s="123"/>
      <c r="AA22" s="123"/>
      <c r="AB22" s="123"/>
      <c r="AC22" s="123"/>
      <c r="AD22" s="123" t="s">
        <v>2209</v>
      </c>
      <c r="AH22" s="123">
        <f t="shared" si="0"/>
        <v>524</v>
      </c>
      <c r="AI22" t="b">
        <f t="shared" si="5"/>
        <v>0</v>
      </c>
      <c r="AJ22" s="123">
        <f t="shared" si="1"/>
        <v>50</v>
      </c>
      <c r="AK22" t="b">
        <f t="shared" si="6"/>
        <v>0</v>
      </c>
    </row>
    <row r="23" spans="1:37" ht="13.95" customHeight="1">
      <c r="A23" s="121">
        <v>21</v>
      </c>
      <c r="B23" s="122" t="s">
        <v>2176</v>
      </c>
      <c r="C23" s="122" t="s">
        <v>2213</v>
      </c>
      <c r="D23" s="122" t="s">
        <v>2208</v>
      </c>
      <c r="E23" s="124">
        <v>42767</v>
      </c>
      <c r="F23" s="125">
        <v>0.3125</v>
      </c>
      <c r="G23" s="124">
        <v>42818</v>
      </c>
      <c r="H23" s="125">
        <v>0.35416666666666669</v>
      </c>
      <c r="I23" s="123">
        <v>874</v>
      </c>
      <c r="J23" s="123">
        <v>699</v>
      </c>
      <c r="K23" s="142" t="str">
        <f t="shared" si="7"/>
        <v>G699</v>
      </c>
      <c r="L23" s="123">
        <v>529</v>
      </c>
      <c r="M23" s="142" t="str">
        <f t="shared" si="2"/>
        <v>R529</v>
      </c>
      <c r="N23" s="123">
        <v>721</v>
      </c>
      <c r="O23" s="142" t="str">
        <f t="shared" si="3"/>
        <v>G721</v>
      </c>
      <c r="P23" s="123">
        <v>79</v>
      </c>
      <c r="Q23" s="142" t="str">
        <f t="shared" si="4"/>
        <v>R79</v>
      </c>
      <c r="R23" s="123">
        <v>19</v>
      </c>
      <c r="S23" s="123">
        <v>33.700000000000003</v>
      </c>
      <c r="T23" s="123">
        <v>22.2</v>
      </c>
      <c r="U23" s="123">
        <v>34.6</v>
      </c>
      <c r="V23" s="126" t="s">
        <v>2187</v>
      </c>
      <c r="W23" s="126" t="s">
        <v>2187</v>
      </c>
      <c r="X23" s="126"/>
      <c r="Y23" s="126"/>
      <c r="Z23" s="123"/>
      <c r="AA23" s="123"/>
      <c r="AB23" s="123"/>
      <c r="AC23" s="123"/>
      <c r="AD23" s="130" t="s">
        <v>2667</v>
      </c>
      <c r="AH23" s="123">
        <f t="shared" si="0"/>
        <v>699</v>
      </c>
      <c r="AI23" t="b">
        <f t="shared" si="5"/>
        <v>0</v>
      </c>
      <c r="AJ23" s="123">
        <f t="shared" si="1"/>
        <v>529</v>
      </c>
      <c r="AK23" t="b">
        <f t="shared" si="6"/>
        <v>0</v>
      </c>
    </row>
    <row r="24" spans="1:37">
      <c r="A24" s="121">
        <v>22</v>
      </c>
      <c r="B24" s="122" t="s">
        <v>2176</v>
      </c>
      <c r="C24" s="122" t="s">
        <v>2214</v>
      </c>
      <c r="D24" s="122" t="s">
        <v>2208</v>
      </c>
      <c r="E24" s="124">
        <v>42767</v>
      </c>
      <c r="F24" s="125">
        <v>0.31597222222222221</v>
      </c>
      <c r="G24" s="124">
        <v>42818</v>
      </c>
      <c r="H24" s="125">
        <v>0.37152777777777773</v>
      </c>
      <c r="I24" s="123">
        <v>876</v>
      </c>
      <c r="J24" s="123">
        <v>575</v>
      </c>
      <c r="K24" s="142" t="str">
        <f t="shared" si="7"/>
        <v>G575</v>
      </c>
      <c r="L24" s="123">
        <v>363</v>
      </c>
      <c r="M24" s="142" t="str">
        <f t="shared" si="2"/>
        <v>R363</v>
      </c>
      <c r="N24" s="123">
        <v>552</v>
      </c>
      <c r="O24" s="142" t="str">
        <f t="shared" si="3"/>
        <v>G552</v>
      </c>
      <c r="P24" s="123">
        <v>45</v>
      </c>
      <c r="Q24" s="142" t="str">
        <f t="shared" si="4"/>
        <v>R45</v>
      </c>
      <c r="R24" s="123">
        <v>19.100000000000001</v>
      </c>
      <c r="S24" s="123">
        <v>38.1</v>
      </c>
      <c r="T24" s="123">
        <v>23.9</v>
      </c>
      <c r="U24" s="123">
        <v>31</v>
      </c>
      <c r="V24" s="126" t="s">
        <v>2187</v>
      </c>
      <c r="W24" s="126"/>
      <c r="X24" s="126"/>
      <c r="Y24" s="126"/>
      <c r="Z24" s="123"/>
      <c r="AA24" s="123"/>
      <c r="AB24" s="123"/>
      <c r="AC24" s="123"/>
      <c r="AD24" s="123" t="s">
        <v>2209</v>
      </c>
      <c r="AH24" s="123">
        <f t="shared" si="0"/>
        <v>575</v>
      </c>
      <c r="AI24" t="b">
        <f t="shared" si="5"/>
        <v>0</v>
      </c>
      <c r="AJ24" s="123">
        <f t="shared" si="1"/>
        <v>363</v>
      </c>
      <c r="AK24" t="b">
        <f t="shared" si="6"/>
        <v>0</v>
      </c>
    </row>
    <row r="25" spans="1:37">
      <c r="A25" s="121">
        <v>23</v>
      </c>
      <c r="B25" s="122" t="s">
        <v>2176</v>
      </c>
      <c r="C25" s="122" t="s">
        <v>2215</v>
      </c>
      <c r="D25" s="122" t="s">
        <v>2208</v>
      </c>
      <c r="E25" s="124">
        <v>42767</v>
      </c>
      <c r="F25" s="125">
        <v>0.31597222222222221</v>
      </c>
      <c r="G25" s="124">
        <v>42818</v>
      </c>
      <c r="H25" s="125">
        <v>0.33333333333333331</v>
      </c>
      <c r="I25" s="123">
        <v>875</v>
      </c>
      <c r="J25" s="123">
        <v>492</v>
      </c>
      <c r="K25" s="142" t="str">
        <f t="shared" si="7"/>
        <v>G492</v>
      </c>
      <c r="L25" s="123">
        <v>190</v>
      </c>
      <c r="M25" s="142" t="str">
        <f t="shared" si="2"/>
        <v>R190</v>
      </c>
      <c r="N25" s="123">
        <v>456</v>
      </c>
      <c r="O25" s="142" t="str">
        <f t="shared" si="3"/>
        <v>G456</v>
      </c>
      <c r="P25" s="123">
        <v>132</v>
      </c>
      <c r="Q25" s="142" t="str">
        <f t="shared" si="4"/>
        <v>R132</v>
      </c>
      <c r="R25" s="123">
        <v>19.100000000000001</v>
      </c>
      <c r="S25" s="123">
        <v>37.200000000000003</v>
      </c>
      <c r="T25" s="123">
        <v>22.2</v>
      </c>
      <c r="U25" s="123">
        <v>31.8</v>
      </c>
      <c r="V25" s="126" t="s">
        <v>2187</v>
      </c>
      <c r="W25" s="126"/>
      <c r="X25" s="126"/>
      <c r="Y25" s="126"/>
      <c r="Z25" s="123"/>
      <c r="AA25" s="123"/>
      <c r="AB25" s="123"/>
      <c r="AC25" s="123"/>
      <c r="AD25" s="123" t="s">
        <v>2209</v>
      </c>
      <c r="AH25" s="123">
        <f t="shared" si="0"/>
        <v>492</v>
      </c>
      <c r="AI25" t="b">
        <f t="shared" si="5"/>
        <v>0</v>
      </c>
      <c r="AJ25" s="123">
        <f t="shared" si="1"/>
        <v>190</v>
      </c>
      <c r="AK25" t="b">
        <f t="shared" si="6"/>
        <v>0</v>
      </c>
    </row>
    <row r="26" spans="1:37">
      <c r="A26" s="121">
        <v>24</v>
      </c>
      <c r="B26" s="122" t="s">
        <v>2176</v>
      </c>
      <c r="C26" s="122" t="s">
        <v>2216</v>
      </c>
      <c r="D26" s="122" t="s">
        <v>2208</v>
      </c>
      <c r="E26" s="124">
        <v>42767</v>
      </c>
      <c r="F26" s="125">
        <v>0.31944444444444448</v>
      </c>
      <c r="G26" s="124">
        <v>42818</v>
      </c>
      <c r="H26" s="125">
        <v>0.34722222222222227</v>
      </c>
      <c r="I26" s="123">
        <v>877</v>
      </c>
      <c r="J26" s="123">
        <v>813</v>
      </c>
      <c r="K26" s="142" t="str">
        <f t="shared" si="7"/>
        <v>G813</v>
      </c>
      <c r="L26" s="123">
        <v>144</v>
      </c>
      <c r="M26" s="142" t="str">
        <f t="shared" si="2"/>
        <v>R144</v>
      </c>
      <c r="N26" s="123">
        <v>421</v>
      </c>
      <c r="O26" s="142" t="str">
        <f t="shared" si="3"/>
        <v>G421</v>
      </c>
      <c r="P26" s="123">
        <v>71</v>
      </c>
      <c r="Q26" s="142" t="str">
        <f t="shared" si="4"/>
        <v>R71</v>
      </c>
      <c r="R26" s="123">
        <v>18.899999999999999</v>
      </c>
      <c r="S26" s="123">
        <v>39.9</v>
      </c>
      <c r="T26" s="123">
        <v>23.3</v>
      </c>
      <c r="U26" s="123">
        <v>34</v>
      </c>
      <c r="V26" s="126" t="s">
        <v>2187</v>
      </c>
      <c r="W26" s="126" t="s">
        <v>2187</v>
      </c>
      <c r="X26" s="126"/>
      <c r="Y26" s="126"/>
      <c r="Z26" s="123"/>
      <c r="AA26" s="123"/>
      <c r="AB26" s="123"/>
      <c r="AC26" s="123"/>
      <c r="AD26" s="123" t="s">
        <v>2209</v>
      </c>
      <c r="AH26" s="123">
        <f t="shared" si="0"/>
        <v>813</v>
      </c>
      <c r="AI26" t="b">
        <f t="shared" si="5"/>
        <v>0</v>
      </c>
      <c r="AJ26" s="123">
        <f t="shared" si="1"/>
        <v>144</v>
      </c>
      <c r="AK26" t="b">
        <f t="shared" si="6"/>
        <v>0</v>
      </c>
    </row>
    <row r="27" spans="1:37">
      <c r="A27" s="121">
        <v>25</v>
      </c>
      <c r="B27" s="122" t="s">
        <v>2176</v>
      </c>
      <c r="C27" s="122" t="s">
        <v>2217</v>
      </c>
      <c r="D27" s="122" t="s">
        <v>2218</v>
      </c>
      <c r="E27" s="124">
        <v>42767</v>
      </c>
      <c r="F27" s="125">
        <v>0.31944444444444448</v>
      </c>
      <c r="G27" s="124">
        <v>42818</v>
      </c>
      <c r="H27" s="125">
        <v>0.3888888888888889</v>
      </c>
      <c r="I27" s="123">
        <v>878</v>
      </c>
      <c r="J27" s="123">
        <v>406</v>
      </c>
      <c r="K27" s="142" t="str">
        <f t="shared" si="7"/>
        <v>G406</v>
      </c>
      <c r="L27" s="123">
        <v>279</v>
      </c>
      <c r="M27" s="142" t="str">
        <f t="shared" si="2"/>
        <v>R279</v>
      </c>
      <c r="N27" s="123">
        <v>864</v>
      </c>
      <c r="O27" s="142" t="str">
        <f t="shared" si="3"/>
        <v>G864</v>
      </c>
      <c r="P27" s="123">
        <v>104</v>
      </c>
      <c r="Q27" s="142" t="str">
        <f t="shared" si="4"/>
        <v>R104</v>
      </c>
      <c r="R27" s="123">
        <v>19</v>
      </c>
      <c r="S27" s="123">
        <v>39.700000000000003</v>
      </c>
      <c r="T27" s="123">
        <v>23.7</v>
      </c>
      <c r="U27" s="123">
        <v>34</v>
      </c>
      <c r="V27" s="126"/>
      <c r="W27" s="126"/>
      <c r="X27" s="126"/>
      <c r="Y27" s="126"/>
      <c r="Z27" s="123"/>
      <c r="AA27" s="123"/>
      <c r="AB27" s="123"/>
      <c r="AC27" s="123"/>
      <c r="AD27" s="123" t="s">
        <v>2209</v>
      </c>
      <c r="AH27" s="123">
        <f t="shared" si="0"/>
        <v>406</v>
      </c>
      <c r="AI27" t="b">
        <f t="shared" si="5"/>
        <v>0</v>
      </c>
      <c r="AJ27" s="123">
        <f t="shared" si="1"/>
        <v>279</v>
      </c>
      <c r="AK27" t="b">
        <f t="shared" si="6"/>
        <v>0</v>
      </c>
    </row>
    <row r="28" spans="1:37">
      <c r="A28" s="121">
        <v>26</v>
      </c>
      <c r="B28" s="122" t="s">
        <v>2176</v>
      </c>
      <c r="C28" s="122" t="s">
        <v>2219</v>
      </c>
      <c r="D28" s="122" t="s">
        <v>2218</v>
      </c>
      <c r="E28" s="124">
        <v>42767</v>
      </c>
      <c r="F28" s="125">
        <v>0.32291666666666669</v>
      </c>
      <c r="G28" s="124">
        <v>42818</v>
      </c>
      <c r="H28" s="125">
        <v>0.37847222222222227</v>
      </c>
      <c r="I28" s="123">
        <v>879</v>
      </c>
      <c r="J28" s="123">
        <v>651</v>
      </c>
      <c r="K28" s="142" t="str">
        <f t="shared" si="7"/>
        <v>G651</v>
      </c>
      <c r="L28" s="123">
        <v>148</v>
      </c>
      <c r="M28" s="142" t="str">
        <f t="shared" si="2"/>
        <v>R148</v>
      </c>
      <c r="N28" s="123">
        <v>506</v>
      </c>
      <c r="O28" s="142" t="str">
        <f t="shared" si="3"/>
        <v>G506</v>
      </c>
      <c r="P28" s="123">
        <v>189</v>
      </c>
      <c r="Q28" s="142" t="str">
        <f t="shared" si="4"/>
        <v>R189</v>
      </c>
      <c r="R28" s="123">
        <v>18.7</v>
      </c>
      <c r="S28" s="123">
        <v>38</v>
      </c>
      <c r="T28" s="123">
        <v>22.7</v>
      </c>
      <c r="U28" s="123">
        <v>24.6</v>
      </c>
      <c r="V28" s="126" t="s">
        <v>2187</v>
      </c>
      <c r="W28" s="126"/>
      <c r="X28" s="126"/>
      <c r="Y28" s="126"/>
      <c r="Z28" s="123"/>
      <c r="AA28" s="123"/>
      <c r="AB28" s="123"/>
      <c r="AC28" s="123"/>
      <c r="AD28" s="123" t="s">
        <v>2209</v>
      </c>
      <c r="AH28" s="123">
        <f t="shared" si="0"/>
        <v>651</v>
      </c>
      <c r="AI28" t="b">
        <f t="shared" si="5"/>
        <v>0</v>
      </c>
      <c r="AJ28" s="123">
        <f t="shared" si="1"/>
        <v>148</v>
      </c>
      <c r="AK28" t="b">
        <f t="shared" si="6"/>
        <v>0</v>
      </c>
    </row>
    <row r="29" spans="1:37">
      <c r="A29" s="121">
        <v>27</v>
      </c>
      <c r="B29" s="122" t="s">
        <v>2176</v>
      </c>
      <c r="C29" s="122" t="s">
        <v>2220</v>
      </c>
      <c r="D29" s="122" t="s">
        <v>2218</v>
      </c>
      <c r="E29" s="124">
        <v>42767</v>
      </c>
      <c r="F29" s="125">
        <v>0.32291666666666669</v>
      </c>
      <c r="G29" s="124">
        <v>42818</v>
      </c>
      <c r="H29" s="125">
        <v>0.38194444444444442</v>
      </c>
      <c r="I29" s="123">
        <v>880</v>
      </c>
      <c r="J29" s="123">
        <v>583</v>
      </c>
      <c r="K29" s="142" t="str">
        <f t="shared" si="7"/>
        <v>G583</v>
      </c>
      <c r="L29" s="123">
        <v>112</v>
      </c>
      <c r="M29" s="142" t="str">
        <f t="shared" si="2"/>
        <v>R112</v>
      </c>
      <c r="N29" s="123">
        <v>449</v>
      </c>
      <c r="O29" s="142" t="str">
        <f t="shared" si="3"/>
        <v>G449</v>
      </c>
      <c r="P29" s="123">
        <v>217</v>
      </c>
      <c r="Q29" s="142" t="str">
        <f t="shared" si="4"/>
        <v>R217</v>
      </c>
      <c r="R29" s="123">
        <v>19</v>
      </c>
      <c r="S29" s="123">
        <v>36.700000000000003</v>
      </c>
      <c r="T29" s="123">
        <v>23.8</v>
      </c>
      <c r="U29" s="123">
        <v>21.1</v>
      </c>
      <c r="V29" s="126"/>
      <c r="W29" s="126"/>
      <c r="X29" s="126"/>
      <c r="Y29" s="126"/>
      <c r="Z29" s="123"/>
      <c r="AA29" s="123"/>
      <c r="AB29" s="123"/>
      <c r="AC29" s="123"/>
      <c r="AD29" s="123" t="s">
        <v>2209</v>
      </c>
      <c r="AH29" s="123">
        <f t="shared" si="0"/>
        <v>583</v>
      </c>
      <c r="AI29" t="b">
        <f t="shared" si="5"/>
        <v>0</v>
      </c>
      <c r="AJ29" s="123">
        <f t="shared" si="1"/>
        <v>112</v>
      </c>
      <c r="AK29" t="b">
        <f t="shared" si="6"/>
        <v>0</v>
      </c>
    </row>
    <row r="30" spans="1:37">
      <c r="A30" s="121">
        <v>28</v>
      </c>
      <c r="B30" s="122" t="s">
        <v>2176</v>
      </c>
      <c r="C30" s="122" t="s">
        <v>2221</v>
      </c>
      <c r="D30" s="122" t="s">
        <v>2218</v>
      </c>
      <c r="E30" s="124">
        <v>42767</v>
      </c>
      <c r="F30" s="125">
        <v>0.3263888888888889</v>
      </c>
      <c r="G30" s="124">
        <v>42818</v>
      </c>
      <c r="H30" s="125">
        <v>0.38194444444444442</v>
      </c>
      <c r="I30" s="123">
        <v>881</v>
      </c>
      <c r="J30" s="123">
        <v>702</v>
      </c>
      <c r="K30" s="142" t="str">
        <f t="shared" si="7"/>
        <v>G702</v>
      </c>
      <c r="L30" s="123">
        <v>436</v>
      </c>
      <c r="M30" s="142" t="str">
        <f t="shared" si="2"/>
        <v>R436</v>
      </c>
      <c r="N30" s="123">
        <v>502</v>
      </c>
      <c r="O30" s="142" t="str">
        <f t="shared" si="3"/>
        <v>G502</v>
      </c>
      <c r="P30" s="123">
        <v>172</v>
      </c>
      <c r="Q30" s="142" t="str">
        <f t="shared" si="4"/>
        <v>R172</v>
      </c>
      <c r="R30" s="123">
        <v>19.399999999999999</v>
      </c>
      <c r="S30" s="123">
        <v>41.5</v>
      </c>
      <c r="T30" s="123">
        <v>21.8</v>
      </c>
      <c r="U30" s="123">
        <v>25.3</v>
      </c>
      <c r="V30" s="126"/>
      <c r="W30" s="126"/>
      <c r="X30" s="126"/>
      <c r="Y30" s="126"/>
      <c r="Z30" s="123"/>
      <c r="AA30" s="123"/>
      <c r="AB30" s="123"/>
      <c r="AC30" s="123"/>
      <c r="AD30" s="123" t="s">
        <v>2209</v>
      </c>
      <c r="AH30" s="123">
        <f t="shared" si="0"/>
        <v>702</v>
      </c>
      <c r="AI30" t="b">
        <f t="shared" si="5"/>
        <v>0</v>
      </c>
      <c r="AJ30" s="123">
        <f t="shared" si="1"/>
        <v>436</v>
      </c>
      <c r="AK30" t="b">
        <f t="shared" si="6"/>
        <v>0</v>
      </c>
    </row>
    <row r="31" spans="1:37">
      <c r="A31" s="121">
        <v>29</v>
      </c>
      <c r="B31" s="122" t="s">
        <v>2176</v>
      </c>
      <c r="C31" s="122" t="s">
        <v>2222</v>
      </c>
      <c r="D31" s="122" t="s">
        <v>2218</v>
      </c>
      <c r="E31" s="124">
        <v>42767</v>
      </c>
      <c r="F31" s="125">
        <v>0.3263888888888889</v>
      </c>
      <c r="G31" s="124">
        <v>42818</v>
      </c>
      <c r="H31" s="125">
        <v>0.3923611111111111</v>
      </c>
      <c r="I31" s="123">
        <v>882</v>
      </c>
      <c r="J31" s="123">
        <v>838</v>
      </c>
      <c r="K31" s="142" t="str">
        <f t="shared" si="7"/>
        <v>G838</v>
      </c>
      <c r="L31" s="123">
        <v>386</v>
      </c>
      <c r="M31" s="142" t="str">
        <f t="shared" si="2"/>
        <v>R386</v>
      </c>
      <c r="N31" s="123">
        <v>345</v>
      </c>
      <c r="O31" s="142" t="str">
        <f t="shared" si="3"/>
        <v>G345</v>
      </c>
      <c r="P31" s="123">
        <v>349</v>
      </c>
      <c r="Q31" s="142" t="str">
        <f t="shared" si="4"/>
        <v>R349</v>
      </c>
      <c r="R31" s="123">
        <v>18.899999999999999</v>
      </c>
      <c r="S31" s="123">
        <v>32.5</v>
      </c>
      <c r="T31" s="123">
        <v>23.2</v>
      </c>
      <c r="U31" s="123">
        <v>24.3</v>
      </c>
      <c r="V31" s="126" t="s">
        <v>2187</v>
      </c>
      <c r="W31" s="126" t="s">
        <v>2206</v>
      </c>
      <c r="X31" s="126"/>
      <c r="Y31" s="126"/>
      <c r="Z31" s="123"/>
      <c r="AA31" s="123"/>
      <c r="AB31" s="123"/>
      <c r="AC31" s="123"/>
      <c r="AD31" s="123" t="s">
        <v>2209</v>
      </c>
      <c r="AH31" s="123">
        <f t="shared" si="0"/>
        <v>838</v>
      </c>
      <c r="AI31" t="b">
        <f t="shared" si="5"/>
        <v>0</v>
      </c>
      <c r="AJ31" s="123">
        <f t="shared" si="1"/>
        <v>386</v>
      </c>
      <c r="AK31" t="b">
        <f t="shared" si="6"/>
        <v>0</v>
      </c>
    </row>
    <row r="32" spans="1:37">
      <c r="A32" s="121">
        <v>30</v>
      </c>
      <c r="B32" s="122" t="s">
        <v>2176</v>
      </c>
      <c r="C32" s="122" t="s">
        <v>2223</v>
      </c>
      <c r="D32" s="122" t="s">
        <v>2218</v>
      </c>
      <c r="E32" s="124">
        <v>42767</v>
      </c>
      <c r="F32" s="125">
        <v>0.3298611111111111</v>
      </c>
      <c r="G32" s="124">
        <v>42818</v>
      </c>
      <c r="H32" s="125">
        <v>0.3923611111111111</v>
      </c>
      <c r="I32" s="123">
        <v>883</v>
      </c>
      <c r="J32" s="123">
        <v>518</v>
      </c>
      <c r="K32" s="142" t="str">
        <f t="shared" si="7"/>
        <v>G518</v>
      </c>
      <c r="L32">
        <v>507</v>
      </c>
      <c r="M32" s="142" t="str">
        <f t="shared" si="2"/>
        <v>R507</v>
      </c>
      <c r="N32" s="123">
        <v>500</v>
      </c>
      <c r="O32" s="142" t="str">
        <f t="shared" si="3"/>
        <v>G500</v>
      </c>
      <c r="P32" s="123">
        <v>296</v>
      </c>
      <c r="Q32" s="142" t="str">
        <f t="shared" si="4"/>
        <v>R296</v>
      </c>
      <c r="R32" s="123">
        <v>18.7</v>
      </c>
      <c r="S32" s="123">
        <v>30.7</v>
      </c>
      <c r="T32" s="123">
        <v>22.7</v>
      </c>
      <c r="U32" s="123">
        <v>23.1</v>
      </c>
      <c r="V32" s="126" t="s">
        <v>2187</v>
      </c>
      <c r="W32" s="126" t="s">
        <v>2187</v>
      </c>
      <c r="X32" s="126"/>
      <c r="Y32" s="126"/>
      <c r="Z32" s="123"/>
      <c r="AA32" s="123"/>
      <c r="AB32" s="123"/>
      <c r="AC32" s="123"/>
      <c r="AD32" s="123" t="s">
        <v>2209</v>
      </c>
      <c r="AH32" s="123">
        <f t="shared" si="0"/>
        <v>518</v>
      </c>
      <c r="AI32" t="b">
        <f t="shared" si="5"/>
        <v>0</v>
      </c>
      <c r="AJ32" s="123">
        <f t="shared" si="1"/>
        <v>507</v>
      </c>
      <c r="AK32" t="b">
        <f t="shared" si="6"/>
        <v>0</v>
      </c>
    </row>
    <row r="33" spans="1:37">
      <c r="A33" s="121">
        <v>31</v>
      </c>
      <c r="B33" s="122" t="s">
        <v>2176</v>
      </c>
      <c r="C33" s="122" t="s">
        <v>2224</v>
      </c>
      <c r="D33" s="122" t="s">
        <v>2218</v>
      </c>
      <c r="E33" s="124">
        <v>42767</v>
      </c>
      <c r="F33" s="125">
        <v>0.3298611111111111</v>
      </c>
      <c r="G33" s="124">
        <v>42818</v>
      </c>
      <c r="H33" s="125">
        <v>0.39583333333333331</v>
      </c>
      <c r="I33" s="123">
        <v>884</v>
      </c>
      <c r="J33" s="129">
        <v>404</v>
      </c>
      <c r="K33" s="142" t="str">
        <f t="shared" si="7"/>
        <v>G404</v>
      </c>
      <c r="L33" s="123">
        <v>141</v>
      </c>
      <c r="M33" s="142" t="str">
        <f t="shared" si="2"/>
        <v>R141</v>
      </c>
      <c r="N33" s="123">
        <v>521</v>
      </c>
      <c r="O33" s="142" t="str">
        <f t="shared" si="3"/>
        <v>G521</v>
      </c>
      <c r="P33" s="123">
        <v>323</v>
      </c>
      <c r="Q33" s="142" t="str">
        <f t="shared" si="4"/>
        <v>R323</v>
      </c>
      <c r="R33" s="123">
        <v>19.8</v>
      </c>
      <c r="S33" s="123">
        <v>36.6</v>
      </c>
      <c r="T33" s="123">
        <v>22.1</v>
      </c>
      <c r="U33" s="123">
        <v>29.4</v>
      </c>
      <c r="V33" s="126" t="s">
        <v>2187</v>
      </c>
      <c r="W33" s="126" t="s">
        <v>2187</v>
      </c>
      <c r="X33" s="126" t="s">
        <v>2187</v>
      </c>
      <c r="Y33" s="126" t="s">
        <v>2187</v>
      </c>
      <c r="Z33" s="123"/>
      <c r="AA33" s="123"/>
      <c r="AB33" s="123"/>
      <c r="AC33" s="123"/>
      <c r="AD33" s="123" t="s">
        <v>2209</v>
      </c>
      <c r="AH33" s="129">
        <f t="shared" si="0"/>
        <v>404</v>
      </c>
      <c r="AI33" t="b">
        <f t="shared" si="5"/>
        <v>0</v>
      </c>
      <c r="AJ33" s="123">
        <f t="shared" si="1"/>
        <v>141</v>
      </c>
      <c r="AK33" t="b">
        <f t="shared" si="6"/>
        <v>0</v>
      </c>
    </row>
    <row r="34" spans="1:37">
      <c r="A34" s="121">
        <v>32</v>
      </c>
      <c r="B34" s="122" t="s">
        <v>2176</v>
      </c>
      <c r="C34" s="122" t="s">
        <v>2225</v>
      </c>
      <c r="D34" s="122" t="s">
        <v>2218</v>
      </c>
      <c r="E34" s="124">
        <v>42767</v>
      </c>
      <c r="F34" s="125">
        <v>0.33333333333333331</v>
      </c>
      <c r="G34" s="124">
        <v>42818</v>
      </c>
      <c r="H34" s="125">
        <v>0.38541666666666669</v>
      </c>
      <c r="I34" s="123">
        <v>885</v>
      </c>
      <c r="J34" s="123">
        <v>527</v>
      </c>
      <c r="K34" s="142" t="str">
        <f t="shared" si="7"/>
        <v>G527</v>
      </c>
      <c r="L34" s="123">
        <v>396</v>
      </c>
      <c r="M34" s="142" t="str">
        <f t="shared" si="2"/>
        <v>R396</v>
      </c>
      <c r="N34" s="123">
        <v>201</v>
      </c>
      <c r="O34" s="142" t="str">
        <f t="shared" si="3"/>
        <v>G201</v>
      </c>
      <c r="P34" s="123">
        <v>156</v>
      </c>
      <c r="Q34" s="142" t="str">
        <f t="shared" si="4"/>
        <v>R156</v>
      </c>
      <c r="R34" s="123">
        <v>18.8</v>
      </c>
      <c r="S34" s="123">
        <v>36.299999999999997</v>
      </c>
      <c r="T34" s="123">
        <v>23</v>
      </c>
      <c r="U34" s="123">
        <v>29.4</v>
      </c>
      <c r="V34" s="126" t="s">
        <v>2187</v>
      </c>
      <c r="W34" s="126" t="s">
        <v>2187</v>
      </c>
      <c r="X34" s="126" t="s">
        <v>2187</v>
      </c>
      <c r="Y34" s="126" t="s">
        <v>2187</v>
      </c>
      <c r="Z34" s="123"/>
      <c r="AA34" s="123"/>
      <c r="AB34" s="123"/>
      <c r="AC34" s="123"/>
      <c r="AD34" s="123" t="s">
        <v>2209</v>
      </c>
      <c r="AH34" s="123">
        <f t="shared" si="0"/>
        <v>527</v>
      </c>
      <c r="AI34" t="b">
        <f t="shared" si="5"/>
        <v>0</v>
      </c>
      <c r="AJ34" s="123">
        <f t="shared" si="1"/>
        <v>396</v>
      </c>
      <c r="AK34" t="b">
        <f t="shared" si="6"/>
        <v>0</v>
      </c>
    </row>
    <row r="35" spans="1:37">
      <c r="A35" s="121">
        <v>33</v>
      </c>
      <c r="B35" s="122" t="s">
        <v>2176</v>
      </c>
      <c r="C35" s="122" t="s">
        <v>2226</v>
      </c>
      <c r="D35" s="122" t="s">
        <v>2227</v>
      </c>
      <c r="E35" s="124">
        <v>42765</v>
      </c>
      <c r="F35" s="125">
        <v>0.67361111111111116</v>
      </c>
      <c r="G35" s="124">
        <v>42820</v>
      </c>
      <c r="H35" s="125">
        <v>0.4548611111111111</v>
      </c>
      <c r="I35" s="123">
        <v>813</v>
      </c>
      <c r="J35" s="123">
        <v>366</v>
      </c>
      <c r="K35" s="142" t="str">
        <f t="shared" si="7"/>
        <v>G366</v>
      </c>
      <c r="L35" s="123">
        <v>109</v>
      </c>
      <c r="M35" s="142" t="str">
        <f t="shared" si="2"/>
        <v>R109</v>
      </c>
      <c r="N35" s="123">
        <v>556</v>
      </c>
      <c r="O35" s="142" t="str">
        <f t="shared" si="3"/>
        <v>G556</v>
      </c>
      <c r="P35" s="123">
        <v>452</v>
      </c>
      <c r="Q35" s="142" t="str">
        <f t="shared" si="4"/>
        <v>R452</v>
      </c>
      <c r="R35" s="123">
        <v>25.1</v>
      </c>
      <c r="S35" s="123">
        <v>30.5</v>
      </c>
      <c r="T35" s="123">
        <v>25.4</v>
      </c>
      <c r="U35" s="123"/>
      <c r="V35" s="126" t="s">
        <v>2187</v>
      </c>
      <c r="W35" s="126" t="s">
        <v>2195</v>
      </c>
      <c r="X35" s="126" t="s">
        <v>2187</v>
      </c>
      <c r="Y35" s="126" t="s">
        <v>2187</v>
      </c>
      <c r="Z35" s="123">
        <v>17.2</v>
      </c>
      <c r="AA35" s="126" t="s">
        <v>2228</v>
      </c>
      <c r="AB35" s="123">
        <v>9.5</v>
      </c>
      <c r="AC35" s="126">
        <v>0</v>
      </c>
      <c r="AD35" s="123"/>
      <c r="AH35" s="123">
        <f t="shared" si="0"/>
        <v>366</v>
      </c>
      <c r="AI35" t="b">
        <f t="shared" si="5"/>
        <v>0</v>
      </c>
      <c r="AJ35" s="123">
        <f t="shared" si="1"/>
        <v>109</v>
      </c>
      <c r="AK35" t="b">
        <f t="shared" si="6"/>
        <v>0</v>
      </c>
    </row>
    <row r="36" spans="1:37">
      <c r="A36" s="121">
        <v>34</v>
      </c>
      <c r="B36" s="122" t="s">
        <v>2176</v>
      </c>
      <c r="C36" s="122" t="s">
        <v>2229</v>
      </c>
      <c r="D36" s="122" t="s">
        <v>2227</v>
      </c>
      <c r="E36" s="124">
        <v>42765</v>
      </c>
      <c r="F36" s="125">
        <v>0.71875</v>
      </c>
      <c r="G36" s="124">
        <v>42820</v>
      </c>
      <c r="H36" s="125">
        <v>0.4513888888888889</v>
      </c>
      <c r="I36" s="123">
        <v>822</v>
      </c>
      <c r="J36" s="123">
        <v>516</v>
      </c>
      <c r="K36" s="142" t="str">
        <f t="shared" si="7"/>
        <v>G516</v>
      </c>
      <c r="L36" s="123">
        <v>153</v>
      </c>
      <c r="M36" s="142" t="str">
        <f t="shared" si="2"/>
        <v>R153</v>
      </c>
      <c r="N36" s="123">
        <v>649</v>
      </c>
      <c r="O36" s="142" t="str">
        <f t="shared" si="3"/>
        <v>G649</v>
      </c>
      <c r="P36" s="123">
        <v>24</v>
      </c>
      <c r="Q36" s="142" t="str">
        <f t="shared" si="4"/>
        <v>R24</v>
      </c>
      <c r="R36" s="123">
        <v>24.6</v>
      </c>
      <c r="S36" s="123">
        <v>21</v>
      </c>
      <c r="T36" s="123">
        <v>26.5</v>
      </c>
      <c r="U36" s="123"/>
      <c r="V36" s="126" t="s">
        <v>2230</v>
      </c>
      <c r="W36" s="126" t="s">
        <v>2195</v>
      </c>
      <c r="X36" s="126" t="s">
        <v>2187</v>
      </c>
      <c r="Y36" s="126" t="s">
        <v>2187</v>
      </c>
      <c r="Z36" s="123">
        <v>14.2</v>
      </c>
      <c r="AA36" s="126" t="s">
        <v>2228</v>
      </c>
      <c r="AB36" s="123">
        <v>6.5</v>
      </c>
      <c r="AC36" s="126">
        <v>0</v>
      </c>
      <c r="AD36" s="123" t="s">
        <v>2231</v>
      </c>
      <c r="AH36" s="123">
        <f t="shared" si="0"/>
        <v>516</v>
      </c>
      <c r="AI36" t="b">
        <f t="shared" si="5"/>
        <v>0</v>
      </c>
      <c r="AJ36" s="123">
        <f t="shared" si="1"/>
        <v>153</v>
      </c>
      <c r="AK36" t="b">
        <f t="shared" si="6"/>
        <v>0</v>
      </c>
    </row>
    <row r="37" spans="1:37">
      <c r="A37" s="121">
        <v>35</v>
      </c>
      <c r="B37" s="122" t="s">
        <v>2176</v>
      </c>
      <c r="C37" s="122" t="s">
        <v>2232</v>
      </c>
      <c r="D37" s="122" t="s">
        <v>2227</v>
      </c>
      <c r="E37" s="124">
        <v>42765</v>
      </c>
      <c r="F37" s="125">
        <v>0.71875</v>
      </c>
      <c r="G37" s="124">
        <v>42820</v>
      </c>
      <c r="H37" s="125">
        <v>0.44444444444444442</v>
      </c>
      <c r="I37" s="123">
        <v>823</v>
      </c>
      <c r="J37" s="123">
        <v>670</v>
      </c>
      <c r="K37" s="142" t="str">
        <f t="shared" si="7"/>
        <v>G670</v>
      </c>
      <c r="L37" s="123">
        <v>64</v>
      </c>
      <c r="M37" s="142" t="str">
        <f t="shared" si="2"/>
        <v>R64</v>
      </c>
      <c r="N37" s="123">
        <v>732</v>
      </c>
      <c r="O37" s="142" t="str">
        <f t="shared" si="3"/>
        <v>G732</v>
      </c>
      <c r="P37" s="123">
        <v>69</v>
      </c>
      <c r="Q37" s="142" t="str">
        <f t="shared" si="4"/>
        <v>R69</v>
      </c>
      <c r="R37" s="123">
        <v>24.2</v>
      </c>
      <c r="S37" s="123">
        <v>10.9</v>
      </c>
      <c r="T37" s="123">
        <v>24.7</v>
      </c>
      <c r="U37" s="123"/>
      <c r="V37" s="126"/>
      <c r="W37" s="126"/>
      <c r="X37" s="126" t="s">
        <v>2187</v>
      </c>
      <c r="Y37" s="126" t="s">
        <v>2187</v>
      </c>
      <c r="Z37" s="123">
        <v>10.6</v>
      </c>
      <c r="AA37" s="126" t="s">
        <v>2228</v>
      </c>
      <c r="AB37" s="123">
        <v>0.7</v>
      </c>
      <c r="AC37" s="126">
        <v>0</v>
      </c>
      <c r="AD37" s="123"/>
      <c r="AH37" s="123">
        <f t="shared" si="0"/>
        <v>670</v>
      </c>
      <c r="AI37" t="b">
        <f t="shared" si="5"/>
        <v>0</v>
      </c>
      <c r="AJ37" s="123">
        <f t="shared" si="1"/>
        <v>64</v>
      </c>
      <c r="AK37" t="b">
        <f t="shared" si="6"/>
        <v>0</v>
      </c>
    </row>
    <row r="38" spans="1:37">
      <c r="A38" s="121">
        <v>36</v>
      </c>
      <c r="B38" s="122" t="s">
        <v>2176</v>
      </c>
      <c r="C38" s="122" t="s">
        <v>2233</v>
      </c>
      <c r="D38" s="122" t="s">
        <v>2227</v>
      </c>
      <c r="E38" s="124">
        <v>42765</v>
      </c>
      <c r="F38" s="125">
        <v>0.74305555555555547</v>
      </c>
      <c r="G38" s="124">
        <v>42820</v>
      </c>
      <c r="H38" s="125">
        <v>0.4375</v>
      </c>
      <c r="I38" s="123">
        <v>824</v>
      </c>
      <c r="J38" s="123">
        <v>507</v>
      </c>
      <c r="K38" s="142" t="str">
        <f t="shared" si="7"/>
        <v>G507</v>
      </c>
      <c r="L38" s="123">
        <v>126</v>
      </c>
      <c r="M38" s="142" t="str">
        <f t="shared" si="2"/>
        <v>R126</v>
      </c>
      <c r="N38" s="123">
        <v>550</v>
      </c>
      <c r="O38" s="142" t="str">
        <f t="shared" si="3"/>
        <v>G550</v>
      </c>
      <c r="P38" s="123">
        <v>97</v>
      </c>
      <c r="Q38" s="142" t="str">
        <f t="shared" si="4"/>
        <v>R97</v>
      </c>
      <c r="R38" s="123">
        <v>24.8</v>
      </c>
      <c r="S38" s="123">
        <v>14.1</v>
      </c>
      <c r="T38" s="123">
        <v>24.7</v>
      </c>
      <c r="U38" s="123"/>
      <c r="V38" s="126" t="s">
        <v>2187</v>
      </c>
      <c r="W38" s="126" t="s">
        <v>2234</v>
      </c>
      <c r="X38" s="126" t="s">
        <v>2187</v>
      </c>
      <c r="Y38" s="126" t="s">
        <v>2187</v>
      </c>
      <c r="Z38" s="123">
        <v>4.9000000000000004</v>
      </c>
      <c r="AA38" s="126" t="s">
        <v>2228</v>
      </c>
      <c r="AB38" s="123">
        <v>3.3</v>
      </c>
      <c r="AC38" s="126">
        <v>1</v>
      </c>
      <c r="AD38" s="123"/>
      <c r="AH38" s="123">
        <f t="shared" si="0"/>
        <v>507</v>
      </c>
      <c r="AI38" t="b">
        <f t="shared" si="5"/>
        <v>0</v>
      </c>
      <c r="AJ38" s="123">
        <f t="shared" si="1"/>
        <v>126</v>
      </c>
      <c r="AK38" t="b">
        <f t="shared" si="6"/>
        <v>0</v>
      </c>
    </row>
    <row r="39" spans="1:37">
      <c r="A39" s="121">
        <v>37</v>
      </c>
      <c r="B39" s="122" t="s">
        <v>2176</v>
      </c>
      <c r="C39" s="122" t="s">
        <v>2235</v>
      </c>
      <c r="D39" s="122" t="s">
        <v>2227</v>
      </c>
      <c r="E39" s="124">
        <v>42765</v>
      </c>
      <c r="F39" s="125">
        <v>0.74652777777777779</v>
      </c>
      <c r="G39" s="124">
        <v>42820</v>
      </c>
      <c r="H39" s="125">
        <v>0.375</v>
      </c>
      <c r="I39" s="123">
        <v>825</v>
      </c>
      <c r="J39" s="123">
        <v>359</v>
      </c>
      <c r="K39" s="142" t="str">
        <f t="shared" si="7"/>
        <v>G359</v>
      </c>
      <c r="L39" s="123">
        <v>63</v>
      </c>
      <c r="M39" s="142" t="str">
        <f t="shared" si="2"/>
        <v>R63</v>
      </c>
      <c r="N39" s="123">
        <v>528</v>
      </c>
      <c r="O39" s="142" t="str">
        <f t="shared" si="3"/>
        <v>G528</v>
      </c>
      <c r="P39" s="123">
        <v>89</v>
      </c>
      <c r="Q39" s="142" t="str">
        <f t="shared" si="4"/>
        <v>R89</v>
      </c>
      <c r="R39" s="123">
        <v>24.8</v>
      </c>
      <c r="S39" s="123">
        <v>16.2</v>
      </c>
      <c r="T39" s="123">
        <v>24.3</v>
      </c>
      <c r="U39" s="123">
        <v>22.4</v>
      </c>
      <c r="V39" s="126" t="s">
        <v>2195</v>
      </c>
      <c r="W39" s="126" t="s">
        <v>2236</v>
      </c>
      <c r="X39" s="126" t="s">
        <v>2187</v>
      </c>
      <c r="Y39" s="126" t="s">
        <v>2187</v>
      </c>
      <c r="Z39" s="123">
        <v>27.8</v>
      </c>
      <c r="AA39" s="126" t="s">
        <v>2228</v>
      </c>
      <c r="AB39" s="123">
        <v>8.3000000000000007</v>
      </c>
      <c r="AC39" s="123">
        <v>0</v>
      </c>
      <c r="AD39" s="123"/>
      <c r="AH39" s="123">
        <f t="shared" si="0"/>
        <v>359</v>
      </c>
      <c r="AI39" t="b">
        <f t="shared" si="5"/>
        <v>0</v>
      </c>
      <c r="AJ39" s="123">
        <f t="shared" si="1"/>
        <v>63</v>
      </c>
      <c r="AK39" t="b">
        <f t="shared" si="6"/>
        <v>0</v>
      </c>
    </row>
    <row r="40" spans="1:37">
      <c r="A40" s="121">
        <v>38</v>
      </c>
      <c r="B40" s="122" t="s">
        <v>2176</v>
      </c>
      <c r="C40" s="122" t="s">
        <v>2237</v>
      </c>
      <c r="D40" s="122" t="s">
        <v>2227</v>
      </c>
      <c r="E40" s="124">
        <v>42765</v>
      </c>
      <c r="F40" s="125">
        <v>0.71875</v>
      </c>
      <c r="G40" s="124">
        <v>42820</v>
      </c>
      <c r="H40" s="125">
        <v>0.38194444444444442</v>
      </c>
      <c r="I40" s="123">
        <v>826</v>
      </c>
      <c r="J40" s="123">
        <v>499</v>
      </c>
      <c r="K40" s="142" t="str">
        <f t="shared" si="7"/>
        <v>G499</v>
      </c>
      <c r="L40" s="123">
        <v>87</v>
      </c>
      <c r="M40" s="142" t="str">
        <f t="shared" si="2"/>
        <v>R87</v>
      </c>
      <c r="N40" s="123">
        <v>703</v>
      </c>
      <c r="O40" s="142" t="str">
        <f t="shared" si="3"/>
        <v>G703</v>
      </c>
      <c r="P40" s="129">
        <v>147</v>
      </c>
      <c r="Q40" s="142" t="str">
        <f t="shared" si="4"/>
        <v>R147</v>
      </c>
      <c r="R40" s="129">
        <v>23.2</v>
      </c>
      <c r="S40" s="129">
        <v>20.9</v>
      </c>
      <c r="T40" s="123">
        <v>25</v>
      </c>
      <c r="U40" s="123"/>
      <c r="V40" s="126" t="s">
        <v>2203</v>
      </c>
      <c r="W40" s="126" t="s">
        <v>2238</v>
      </c>
      <c r="X40" s="126" t="s">
        <v>2187</v>
      </c>
      <c r="Y40" s="126"/>
      <c r="Z40" s="123">
        <v>20.399999999999999</v>
      </c>
      <c r="AA40" s="126" t="s">
        <v>2250</v>
      </c>
      <c r="AB40" s="123">
        <v>2</v>
      </c>
      <c r="AC40" s="123">
        <v>0</v>
      </c>
      <c r="AD40" s="123"/>
      <c r="AH40" s="123">
        <f t="shared" si="0"/>
        <v>499</v>
      </c>
      <c r="AI40" t="b">
        <f t="shared" si="5"/>
        <v>0</v>
      </c>
      <c r="AJ40" s="123">
        <f t="shared" si="1"/>
        <v>87</v>
      </c>
      <c r="AK40" t="b">
        <f t="shared" si="6"/>
        <v>0</v>
      </c>
    </row>
    <row r="41" spans="1:37">
      <c r="A41" s="121">
        <v>39</v>
      </c>
      <c r="B41" s="122" t="s">
        <v>2176</v>
      </c>
      <c r="C41" s="122" t="s">
        <v>2239</v>
      </c>
      <c r="D41" s="122" t="s">
        <v>2227</v>
      </c>
      <c r="E41" s="124">
        <v>42765</v>
      </c>
      <c r="F41" s="125">
        <v>0.75</v>
      </c>
      <c r="G41" s="124">
        <v>42820</v>
      </c>
      <c r="H41" s="125">
        <v>0.39930555555555558</v>
      </c>
      <c r="I41" s="123">
        <v>827</v>
      </c>
      <c r="J41" s="123">
        <v>214</v>
      </c>
      <c r="K41" s="142" t="str">
        <f t="shared" si="7"/>
        <v>G214</v>
      </c>
      <c r="L41" s="123">
        <v>437</v>
      </c>
      <c r="M41" s="142" t="str">
        <f t="shared" si="2"/>
        <v>R437</v>
      </c>
      <c r="N41" s="123">
        <v>566</v>
      </c>
      <c r="O41" s="142" t="str">
        <f t="shared" si="3"/>
        <v>G566</v>
      </c>
      <c r="P41" s="123">
        <v>65</v>
      </c>
      <c r="Q41" s="142" t="str">
        <f t="shared" si="4"/>
        <v>R65</v>
      </c>
      <c r="R41" s="123">
        <v>23.7</v>
      </c>
      <c r="S41" s="123">
        <v>26.9</v>
      </c>
      <c r="T41" s="123">
        <v>22.9</v>
      </c>
      <c r="U41" s="123"/>
      <c r="V41" s="126" t="s">
        <v>2187</v>
      </c>
      <c r="W41" s="126" t="s">
        <v>2187</v>
      </c>
      <c r="X41" s="126" t="s">
        <v>2187</v>
      </c>
      <c r="Y41" s="126" t="s">
        <v>2187</v>
      </c>
      <c r="Z41" s="123">
        <v>18</v>
      </c>
      <c r="AA41" s="126" t="s">
        <v>2228</v>
      </c>
      <c r="AB41" s="123">
        <v>2.4</v>
      </c>
      <c r="AC41" s="123">
        <v>1</v>
      </c>
      <c r="AD41" s="123" t="s">
        <v>2240</v>
      </c>
      <c r="AE41" s="92"/>
      <c r="AH41" s="123">
        <f t="shared" si="0"/>
        <v>214</v>
      </c>
      <c r="AI41" t="b">
        <f t="shared" si="5"/>
        <v>0</v>
      </c>
      <c r="AJ41" s="123">
        <f t="shared" si="1"/>
        <v>437</v>
      </c>
      <c r="AK41" t="b">
        <f t="shared" si="6"/>
        <v>0</v>
      </c>
    </row>
    <row r="42" spans="1:37">
      <c r="A42" s="121">
        <v>40</v>
      </c>
      <c r="B42" s="122" t="s">
        <v>2176</v>
      </c>
      <c r="C42" s="122" t="s">
        <v>2241</v>
      </c>
      <c r="D42" s="122" t="s">
        <v>2227</v>
      </c>
      <c r="E42" s="124">
        <v>42765</v>
      </c>
      <c r="F42" s="125">
        <v>0.75347222222222221</v>
      </c>
      <c r="G42" s="124">
        <v>42820</v>
      </c>
      <c r="H42" s="125">
        <v>0.40625</v>
      </c>
      <c r="I42" s="123">
        <v>828</v>
      </c>
      <c r="J42" s="123">
        <v>582</v>
      </c>
      <c r="K42" s="142" t="str">
        <f t="shared" si="7"/>
        <v>G582</v>
      </c>
      <c r="L42" s="123">
        <v>114</v>
      </c>
      <c r="M42" s="142" t="str">
        <f t="shared" si="2"/>
        <v>R114</v>
      </c>
      <c r="N42" s="123">
        <v>619</v>
      </c>
      <c r="O42" s="142" t="str">
        <f t="shared" si="3"/>
        <v>G619</v>
      </c>
      <c r="P42" s="123">
        <v>420</v>
      </c>
      <c r="Q42" s="142" t="str">
        <f t="shared" si="4"/>
        <v>R420</v>
      </c>
      <c r="R42" s="123">
        <v>24.3</v>
      </c>
      <c r="S42" s="123">
        <v>31.9</v>
      </c>
      <c r="T42" s="123">
        <v>23.5</v>
      </c>
      <c r="U42" s="123"/>
      <c r="V42" s="126" t="s">
        <v>2179</v>
      </c>
      <c r="W42" s="126" t="s">
        <v>2179</v>
      </c>
      <c r="X42" s="126" t="s">
        <v>2187</v>
      </c>
      <c r="Y42" s="126"/>
      <c r="Z42" s="123">
        <v>19.3</v>
      </c>
      <c r="AA42" s="123" t="s">
        <v>2228</v>
      </c>
      <c r="AB42" s="123">
        <v>8.6999999999999993</v>
      </c>
      <c r="AC42" s="123">
        <v>0</v>
      </c>
      <c r="AD42" s="123" t="s">
        <v>2242</v>
      </c>
      <c r="AH42" s="123">
        <f t="shared" si="0"/>
        <v>582</v>
      </c>
      <c r="AI42" t="b">
        <f t="shared" si="5"/>
        <v>0</v>
      </c>
      <c r="AJ42" s="123">
        <f t="shared" si="1"/>
        <v>114</v>
      </c>
      <c r="AK42" t="b">
        <f t="shared" si="6"/>
        <v>0</v>
      </c>
    </row>
    <row r="43" spans="1:37">
      <c r="A43" s="121">
        <v>41</v>
      </c>
      <c r="B43" s="122" t="s">
        <v>2176</v>
      </c>
      <c r="C43" s="122" t="s">
        <v>2243</v>
      </c>
      <c r="D43" s="122" t="s">
        <v>2244</v>
      </c>
      <c r="E43" s="124">
        <v>42766</v>
      </c>
      <c r="F43" s="125">
        <v>0.40972222222222227</v>
      </c>
      <c r="G43" s="124">
        <v>42820</v>
      </c>
      <c r="H43" s="125">
        <v>0.52083333333333337</v>
      </c>
      <c r="I43" s="123">
        <v>830</v>
      </c>
      <c r="J43" s="123">
        <v>453</v>
      </c>
      <c r="K43" s="142" t="str">
        <f t="shared" si="7"/>
        <v>G453</v>
      </c>
      <c r="L43" s="123">
        <v>521</v>
      </c>
      <c r="M43" s="142" t="str">
        <f t="shared" si="2"/>
        <v>R521</v>
      </c>
      <c r="N43" s="123">
        <v>626</v>
      </c>
      <c r="O43" s="142" t="str">
        <f t="shared" si="3"/>
        <v>G626</v>
      </c>
      <c r="P43" s="123">
        <v>77</v>
      </c>
      <c r="Q43" s="142" t="str">
        <f t="shared" si="4"/>
        <v>R77</v>
      </c>
      <c r="R43" s="123">
        <v>20.9</v>
      </c>
      <c r="S43" s="123">
        <v>21.9</v>
      </c>
      <c r="T43" s="123">
        <v>28.1</v>
      </c>
      <c r="U43" s="123"/>
      <c r="V43" s="126" t="s">
        <v>2200</v>
      </c>
      <c r="W43" s="126"/>
      <c r="X43" s="126" t="s">
        <v>2187</v>
      </c>
      <c r="Y43" s="126" t="s">
        <v>2187</v>
      </c>
      <c r="Z43" s="123">
        <v>19.100000000000001</v>
      </c>
      <c r="AA43" s="123" t="s">
        <v>2228</v>
      </c>
      <c r="AB43" s="123">
        <v>4</v>
      </c>
      <c r="AC43" s="123">
        <v>0</v>
      </c>
      <c r="AD43" s="123"/>
      <c r="AH43" s="123">
        <f t="shared" si="0"/>
        <v>453</v>
      </c>
      <c r="AI43" t="b">
        <f t="shared" si="5"/>
        <v>0</v>
      </c>
      <c r="AJ43" s="123">
        <f t="shared" si="1"/>
        <v>521</v>
      </c>
      <c r="AK43" t="b">
        <f t="shared" si="6"/>
        <v>0</v>
      </c>
    </row>
    <row r="44" spans="1:37">
      <c r="A44" s="121">
        <v>42</v>
      </c>
      <c r="B44" s="122" t="s">
        <v>2176</v>
      </c>
      <c r="C44" s="122" t="s">
        <v>2245</v>
      </c>
      <c r="D44" s="122" t="s">
        <v>2244</v>
      </c>
      <c r="E44" s="124">
        <v>42766</v>
      </c>
      <c r="F44" s="125">
        <v>0.41319444444444442</v>
      </c>
      <c r="G44" s="124">
        <v>42820</v>
      </c>
      <c r="H44" s="125">
        <v>0.47222222222222227</v>
      </c>
      <c r="I44" s="123">
        <v>831</v>
      </c>
      <c r="J44" s="123">
        <v>764</v>
      </c>
      <c r="K44" s="142" t="str">
        <f t="shared" si="7"/>
        <v>G764</v>
      </c>
      <c r="L44" s="123">
        <v>371</v>
      </c>
      <c r="M44" s="142" t="str">
        <f t="shared" si="2"/>
        <v>R371</v>
      </c>
      <c r="N44" s="123">
        <v>437</v>
      </c>
      <c r="O44" s="142" t="str">
        <f t="shared" si="3"/>
        <v>G437</v>
      </c>
      <c r="P44" s="123">
        <v>81</v>
      </c>
      <c r="Q44" s="142" t="str">
        <f t="shared" si="4"/>
        <v>R81</v>
      </c>
      <c r="R44" s="123">
        <v>20.3</v>
      </c>
      <c r="S44" s="123">
        <v>19</v>
      </c>
      <c r="T44" s="123">
        <v>25.6</v>
      </c>
      <c r="U44" s="123"/>
      <c r="V44" s="123" t="s">
        <v>2179</v>
      </c>
      <c r="W44" s="126"/>
      <c r="X44" s="126"/>
      <c r="Y44" s="126"/>
      <c r="Z44" s="123">
        <v>12.7</v>
      </c>
      <c r="AA44" s="123" t="s">
        <v>2228</v>
      </c>
      <c r="AB44" s="123">
        <v>5.9</v>
      </c>
      <c r="AC44" s="123">
        <v>0</v>
      </c>
      <c r="AD44" s="123" t="s">
        <v>2246</v>
      </c>
      <c r="AH44" s="123">
        <f t="shared" si="0"/>
        <v>764</v>
      </c>
      <c r="AI44" t="b">
        <f t="shared" si="5"/>
        <v>0</v>
      </c>
      <c r="AJ44" s="123">
        <f t="shared" si="1"/>
        <v>371</v>
      </c>
      <c r="AK44" t="b">
        <f t="shared" si="6"/>
        <v>0</v>
      </c>
    </row>
    <row r="45" spans="1:37">
      <c r="A45" s="121">
        <v>43</v>
      </c>
      <c r="B45" s="122" t="s">
        <v>2176</v>
      </c>
      <c r="C45" s="122" t="s">
        <v>2247</v>
      </c>
      <c r="D45" s="122" t="s">
        <v>2244</v>
      </c>
      <c r="E45" s="124">
        <v>42766</v>
      </c>
      <c r="F45" s="125">
        <v>0.41666666666666669</v>
      </c>
      <c r="G45" s="124">
        <v>42820</v>
      </c>
      <c r="H45" s="125">
        <v>0.47916666666666669</v>
      </c>
      <c r="I45" s="123">
        <v>832</v>
      </c>
      <c r="J45" s="123">
        <v>690</v>
      </c>
      <c r="K45" s="142" t="str">
        <f t="shared" si="7"/>
        <v>G690</v>
      </c>
      <c r="L45" s="123">
        <v>376</v>
      </c>
      <c r="M45" s="142" t="str">
        <f t="shared" si="2"/>
        <v>R376</v>
      </c>
      <c r="N45" s="123">
        <v>643</v>
      </c>
      <c r="O45" s="142" t="str">
        <f t="shared" si="3"/>
        <v>G643</v>
      </c>
      <c r="P45" s="123">
        <v>117</v>
      </c>
      <c r="Q45" s="142" t="str">
        <f t="shared" si="4"/>
        <v>R117</v>
      </c>
      <c r="R45" s="123">
        <v>20.9</v>
      </c>
      <c r="S45" s="123">
        <v>18.3</v>
      </c>
      <c r="T45" s="123">
        <v>22.7</v>
      </c>
      <c r="U45" s="123"/>
      <c r="V45" s="123" t="s">
        <v>2206</v>
      </c>
      <c r="W45" s="126" t="s">
        <v>2195</v>
      </c>
      <c r="X45" s="126" t="s">
        <v>2187</v>
      </c>
      <c r="Y45" s="126" t="s">
        <v>2187</v>
      </c>
      <c r="Z45" s="123">
        <v>26.3</v>
      </c>
      <c r="AA45" s="123" t="s">
        <v>2228</v>
      </c>
      <c r="AB45" s="123">
        <v>5</v>
      </c>
      <c r="AC45" s="123">
        <v>0</v>
      </c>
      <c r="AD45" s="123"/>
      <c r="AH45" s="123">
        <f t="shared" si="0"/>
        <v>690</v>
      </c>
      <c r="AI45" t="b">
        <f t="shared" si="5"/>
        <v>0</v>
      </c>
      <c r="AJ45" s="123">
        <f t="shared" si="1"/>
        <v>376</v>
      </c>
      <c r="AK45" t="b">
        <f t="shared" si="6"/>
        <v>0</v>
      </c>
    </row>
    <row r="46" spans="1:37">
      <c r="A46" s="121">
        <v>44</v>
      </c>
      <c r="B46" s="122" t="s">
        <v>2176</v>
      </c>
      <c r="C46" s="122" t="s">
        <v>2248</v>
      </c>
      <c r="D46" s="122" t="s">
        <v>2244</v>
      </c>
      <c r="E46" s="124">
        <v>42766</v>
      </c>
      <c r="F46" s="125">
        <v>0.42708333333333331</v>
      </c>
      <c r="G46" s="124">
        <v>42820</v>
      </c>
      <c r="H46" s="125">
        <v>0.51736111111111105</v>
      </c>
      <c r="I46" s="123">
        <v>1142</v>
      </c>
      <c r="J46" s="123">
        <v>774</v>
      </c>
      <c r="K46" s="142" t="str">
        <f t="shared" si="7"/>
        <v>G774</v>
      </c>
      <c r="L46" s="123">
        <v>166</v>
      </c>
      <c r="M46" s="142" t="str">
        <f t="shared" si="2"/>
        <v>R166</v>
      </c>
      <c r="N46">
        <v>283</v>
      </c>
      <c r="O46" s="142" t="str">
        <f t="shared" si="3"/>
        <v>G283</v>
      </c>
      <c r="P46" s="123">
        <v>6</v>
      </c>
      <c r="Q46" s="142" t="str">
        <f t="shared" si="4"/>
        <v>R6</v>
      </c>
      <c r="R46" s="123">
        <v>20.9</v>
      </c>
      <c r="S46" s="123">
        <v>20.6</v>
      </c>
      <c r="T46" s="123">
        <v>24.4</v>
      </c>
      <c r="U46" s="123"/>
      <c r="V46" s="123" t="s">
        <v>2187</v>
      </c>
      <c r="W46" s="126" t="s">
        <v>2187</v>
      </c>
      <c r="X46" s="126" t="s">
        <v>2187</v>
      </c>
      <c r="Y46" s="126"/>
      <c r="Z46" s="123">
        <v>39.200000000000003</v>
      </c>
      <c r="AA46" s="123" t="s">
        <v>2228</v>
      </c>
      <c r="AB46" s="123">
        <v>2.6</v>
      </c>
      <c r="AC46" s="123">
        <v>0</v>
      </c>
      <c r="AD46" s="123"/>
      <c r="AH46" s="123">
        <f t="shared" si="0"/>
        <v>774</v>
      </c>
      <c r="AI46" t="b">
        <f t="shared" si="5"/>
        <v>0</v>
      </c>
      <c r="AJ46" s="123">
        <f t="shared" si="1"/>
        <v>166</v>
      </c>
      <c r="AK46" t="b">
        <f t="shared" si="6"/>
        <v>0</v>
      </c>
    </row>
    <row r="47" spans="1:37">
      <c r="A47" s="121">
        <v>45</v>
      </c>
      <c r="B47" s="122" t="s">
        <v>2176</v>
      </c>
      <c r="C47" s="122" t="s">
        <v>2249</v>
      </c>
      <c r="D47" s="122" t="s">
        <v>2244</v>
      </c>
      <c r="E47" s="124">
        <v>42766</v>
      </c>
      <c r="F47" s="125">
        <v>0.43055555555555558</v>
      </c>
      <c r="G47" s="124">
        <v>42820</v>
      </c>
      <c r="H47" s="125">
        <v>0.48958333333333331</v>
      </c>
      <c r="I47" s="123">
        <v>1147</v>
      </c>
      <c r="J47" s="123">
        <v>519</v>
      </c>
      <c r="K47" s="142" t="str">
        <f t="shared" si="7"/>
        <v>G519</v>
      </c>
      <c r="L47" s="123">
        <v>469</v>
      </c>
      <c r="M47" s="142" t="str">
        <f t="shared" si="2"/>
        <v>R469</v>
      </c>
      <c r="N47" s="123">
        <v>602</v>
      </c>
      <c r="O47" s="142" t="str">
        <f t="shared" si="3"/>
        <v>G602</v>
      </c>
      <c r="P47" s="123">
        <v>74</v>
      </c>
      <c r="Q47" s="142" t="str">
        <f t="shared" si="4"/>
        <v>R74</v>
      </c>
      <c r="R47" s="123">
        <v>20.100000000000001</v>
      </c>
      <c r="S47" s="123">
        <v>24.4</v>
      </c>
      <c r="T47" s="123">
        <v>24.2</v>
      </c>
      <c r="U47" s="123"/>
      <c r="V47" s="123" t="s">
        <v>2187</v>
      </c>
      <c r="W47" s="126"/>
      <c r="X47" s="126" t="s">
        <v>2187</v>
      </c>
      <c r="Y47" s="126"/>
      <c r="Z47" s="123">
        <v>9.3000000000000007</v>
      </c>
      <c r="AA47" s="123" t="s">
        <v>2250</v>
      </c>
      <c r="AB47" s="123">
        <v>2.2999999999999998</v>
      </c>
      <c r="AC47" s="123">
        <v>0</v>
      </c>
      <c r="AD47" s="123"/>
      <c r="AH47" s="123">
        <f t="shared" si="0"/>
        <v>519</v>
      </c>
      <c r="AI47" t="b">
        <f t="shared" si="5"/>
        <v>0</v>
      </c>
      <c r="AJ47" s="123">
        <f t="shared" si="1"/>
        <v>469</v>
      </c>
      <c r="AK47" t="b">
        <f t="shared" si="6"/>
        <v>0</v>
      </c>
    </row>
    <row r="48" spans="1:37">
      <c r="A48" s="169">
        <v>46</v>
      </c>
      <c r="B48" s="170" t="s">
        <v>2176</v>
      </c>
      <c r="C48" s="170" t="s">
        <v>2251</v>
      </c>
      <c r="D48" s="170" t="s">
        <v>2244</v>
      </c>
      <c r="E48" s="171">
        <v>42766</v>
      </c>
      <c r="F48" s="174">
        <v>0.43402777777777773</v>
      </c>
      <c r="G48" s="171">
        <v>42820</v>
      </c>
      <c r="H48" s="169"/>
      <c r="I48" s="169">
        <v>835</v>
      </c>
      <c r="J48" s="169">
        <v>635</v>
      </c>
      <c r="K48" s="142" t="str">
        <f t="shared" si="7"/>
        <v>G635</v>
      </c>
      <c r="L48" s="169">
        <v>86</v>
      </c>
      <c r="M48" s="142" t="str">
        <f t="shared" si="2"/>
        <v>R86</v>
      </c>
      <c r="N48" s="169">
        <v>427</v>
      </c>
      <c r="O48" s="142" t="str">
        <f t="shared" si="3"/>
        <v>G427</v>
      </c>
      <c r="P48" s="169">
        <v>102</v>
      </c>
      <c r="Q48" s="142" t="str">
        <f t="shared" si="4"/>
        <v>R102</v>
      </c>
      <c r="R48" s="169">
        <v>20.100000000000001</v>
      </c>
      <c r="S48" s="169">
        <v>22.5</v>
      </c>
      <c r="T48" s="169"/>
      <c r="U48" s="169"/>
      <c r="V48" s="169"/>
      <c r="W48" s="172"/>
      <c r="X48" s="172"/>
      <c r="Y48" s="172"/>
      <c r="Z48" s="169"/>
      <c r="AA48" s="169"/>
      <c r="AB48" s="169"/>
      <c r="AC48" s="169"/>
      <c r="AD48" s="169"/>
      <c r="AH48" s="123">
        <f t="shared" si="0"/>
        <v>635</v>
      </c>
      <c r="AI48" t="b">
        <f t="shared" si="5"/>
        <v>0</v>
      </c>
      <c r="AJ48" s="123">
        <f t="shared" si="1"/>
        <v>86</v>
      </c>
      <c r="AK48" t="b">
        <f t="shared" si="6"/>
        <v>0</v>
      </c>
    </row>
    <row r="49" spans="1:37">
      <c r="A49" s="121">
        <v>47</v>
      </c>
      <c r="B49" s="122" t="s">
        <v>2176</v>
      </c>
      <c r="C49" s="122" t="s">
        <v>2252</v>
      </c>
      <c r="D49" s="122" t="s">
        <v>2244</v>
      </c>
      <c r="E49" s="124">
        <v>42766</v>
      </c>
      <c r="F49" s="125">
        <v>0.4375</v>
      </c>
      <c r="G49" s="124">
        <v>42820</v>
      </c>
      <c r="H49" s="125">
        <v>0.50347222222222221</v>
      </c>
      <c r="I49" s="123">
        <v>836</v>
      </c>
      <c r="J49" s="123">
        <v>539</v>
      </c>
      <c r="K49" s="142" t="str">
        <f t="shared" si="7"/>
        <v>G539</v>
      </c>
      <c r="L49" s="123">
        <v>146</v>
      </c>
      <c r="M49" s="142" t="str">
        <f t="shared" si="2"/>
        <v>R146</v>
      </c>
      <c r="N49" s="123">
        <v>512</v>
      </c>
      <c r="O49" s="142" t="str">
        <f t="shared" si="3"/>
        <v>G512</v>
      </c>
      <c r="P49" s="123">
        <v>76</v>
      </c>
      <c r="Q49" s="142" t="str">
        <f t="shared" si="4"/>
        <v>R76</v>
      </c>
      <c r="R49" s="123">
        <v>20.3</v>
      </c>
      <c r="S49" s="123">
        <v>23.7</v>
      </c>
      <c r="T49" s="123">
        <v>24.9</v>
      </c>
      <c r="U49" s="123"/>
      <c r="V49" s="123" t="s">
        <v>2187</v>
      </c>
      <c r="W49" s="126" t="s">
        <v>2206</v>
      </c>
      <c r="X49" s="126" t="s">
        <v>2187</v>
      </c>
      <c r="Y49" s="126"/>
      <c r="Z49" s="123">
        <v>5.2</v>
      </c>
      <c r="AA49" s="123" t="s">
        <v>2228</v>
      </c>
      <c r="AB49" s="123">
        <v>5.2</v>
      </c>
      <c r="AC49" s="123">
        <v>0</v>
      </c>
      <c r="AD49" s="123" t="s">
        <v>2253</v>
      </c>
      <c r="AH49" s="123">
        <f t="shared" si="0"/>
        <v>539</v>
      </c>
      <c r="AI49" t="b">
        <f t="shared" si="5"/>
        <v>0</v>
      </c>
      <c r="AJ49" s="123">
        <f t="shared" si="1"/>
        <v>146</v>
      </c>
      <c r="AK49" t="b">
        <f t="shared" si="6"/>
        <v>0</v>
      </c>
    </row>
    <row r="50" spans="1:37">
      <c r="A50" s="121">
        <v>48</v>
      </c>
      <c r="B50" s="122" t="s">
        <v>2176</v>
      </c>
      <c r="C50" s="122" t="s">
        <v>2254</v>
      </c>
      <c r="D50" s="122" t="s">
        <v>2244</v>
      </c>
      <c r="E50" s="124">
        <v>42766</v>
      </c>
      <c r="F50" s="125">
        <v>0.44097222222222227</v>
      </c>
      <c r="G50" s="124">
        <v>42820</v>
      </c>
      <c r="H50" s="125">
        <v>0.50694444444444442</v>
      </c>
      <c r="I50" s="123">
        <v>837</v>
      </c>
      <c r="J50" s="123">
        <v>679</v>
      </c>
      <c r="K50" s="142" t="str">
        <f t="shared" si="7"/>
        <v>G679</v>
      </c>
      <c r="L50" s="123">
        <v>72</v>
      </c>
      <c r="M50" s="142" t="str">
        <f t="shared" si="2"/>
        <v>R72</v>
      </c>
      <c r="N50" s="123">
        <v>299</v>
      </c>
      <c r="O50" s="142" t="str">
        <f t="shared" si="3"/>
        <v>G299</v>
      </c>
      <c r="P50" s="123">
        <v>107</v>
      </c>
      <c r="Q50" s="142" t="str">
        <f t="shared" si="4"/>
        <v>R107</v>
      </c>
      <c r="R50" s="123">
        <v>20.5</v>
      </c>
      <c r="S50" s="123">
        <v>21.8</v>
      </c>
      <c r="T50" s="123">
        <v>22.8</v>
      </c>
      <c r="U50" s="123"/>
      <c r="V50" s="123" t="s">
        <v>2187</v>
      </c>
      <c r="W50" s="126" t="s">
        <v>2187</v>
      </c>
      <c r="X50" s="126" t="s">
        <v>2187</v>
      </c>
      <c r="Y50" s="126"/>
      <c r="Z50" s="123">
        <v>27.2</v>
      </c>
      <c r="AA50" s="123" t="s">
        <v>2180</v>
      </c>
      <c r="AB50" s="123">
        <v>7.3</v>
      </c>
      <c r="AC50" s="123">
        <v>0</v>
      </c>
      <c r="AD50" s="123"/>
      <c r="AH50" s="123">
        <f t="shared" si="0"/>
        <v>679</v>
      </c>
      <c r="AI50" t="b">
        <f t="shared" si="5"/>
        <v>0</v>
      </c>
      <c r="AJ50" s="123">
        <f t="shared" si="1"/>
        <v>72</v>
      </c>
      <c r="AK50" t="b">
        <f t="shared" si="6"/>
        <v>0</v>
      </c>
    </row>
    <row r="51" spans="1:37">
      <c r="A51" s="121">
        <v>49</v>
      </c>
      <c r="B51" s="122" t="s">
        <v>2176</v>
      </c>
      <c r="C51" s="122" t="s">
        <v>2255</v>
      </c>
      <c r="D51" s="122" t="s">
        <v>2256</v>
      </c>
      <c r="E51" s="124">
        <v>42766</v>
      </c>
      <c r="F51" s="125">
        <v>0.4513888888888889</v>
      </c>
      <c r="G51" s="124">
        <v>42820</v>
      </c>
      <c r="H51" s="125">
        <v>0.625</v>
      </c>
      <c r="I51" s="123">
        <v>838</v>
      </c>
      <c r="J51" s="123">
        <v>346</v>
      </c>
      <c r="K51" s="142" t="str">
        <f t="shared" si="7"/>
        <v>G346</v>
      </c>
      <c r="L51" s="123">
        <v>28</v>
      </c>
      <c r="M51" s="142" t="str">
        <f t="shared" si="2"/>
        <v>R28</v>
      </c>
      <c r="N51" s="123">
        <v>739</v>
      </c>
      <c r="O51" s="142" t="str">
        <f t="shared" si="3"/>
        <v>G739</v>
      </c>
      <c r="P51" s="123">
        <v>155</v>
      </c>
      <c r="Q51" s="142" t="str">
        <f t="shared" si="4"/>
        <v>R155</v>
      </c>
      <c r="R51" s="123">
        <v>22</v>
      </c>
      <c r="S51" s="123">
        <v>26.2</v>
      </c>
      <c r="T51" s="123">
        <v>31.1</v>
      </c>
      <c r="U51" s="123"/>
      <c r="V51" s="123" t="s">
        <v>2187</v>
      </c>
      <c r="W51" s="126" t="s">
        <v>2206</v>
      </c>
      <c r="X51" s="126" t="s">
        <v>2187</v>
      </c>
      <c r="Y51" s="126" t="s">
        <v>2187</v>
      </c>
      <c r="Z51" s="123">
        <v>36</v>
      </c>
      <c r="AA51" s="123" t="s">
        <v>2180</v>
      </c>
      <c r="AB51" s="123">
        <v>10.4</v>
      </c>
      <c r="AC51" s="123">
        <v>1</v>
      </c>
      <c r="AD51" s="123" t="s">
        <v>2253</v>
      </c>
      <c r="AH51" s="123">
        <f t="shared" si="0"/>
        <v>346</v>
      </c>
      <c r="AI51" t="b">
        <f t="shared" si="5"/>
        <v>0</v>
      </c>
      <c r="AJ51" s="123">
        <f t="shared" si="1"/>
        <v>28</v>
      </c>
      <c r="AK51" t="b">
        <f t="shared" si="6"/>
        <v>0</v>
      </c>
    </row>
    <row r="52" spans="1:37">
      <c r="A52" s="121">
        <v>50</v>
      </c>
      <c r="B52" s="122" t="s">
        <v>2176</v>
      </c>
      <c r="C52" s="122" t="s">
        <v>2257</v>
      </c>
      <c r="D52" s="122" t="s">
        <v>2256</v>
      </c>
      <c r="E52" s="124">
        <v>42766</v>
      </c>
      <c r="F52" s="125">
        <v>0.4548611111111111</v>
      </c>
      <c r="G52" s="124">
        <v>42820</v>
      </c>
      <c r="H52" s="123"/>
      <c r="I52" s="123">
        <v>839</v>
      </c>
      <c r="J52" s="123">
        <v>418</v>
      </c>
      <c r="K52" s="142" t="str">
        <f t="shared" si="7"/>
        <v>G418</v>
      </c>
      <c r="L52" s="123">
        <v>5</v>
      </c>
      <c r="M52" s="142" t="str">
        <f t="shared" si="2"/>
        <v>R5</v>
      </c>
      <c r="N52" s="123">
        <v>559</v>
      </c>
      <c r="O52" s="142" t="str">
        <f t="shared" si="3"/>
        <v>G559</v>
      </c>
      <c r="P52" s="123">
        <v>98</v>
      </c>
      <c r="Q52" s="142" t="str">
        <f t="shared" si="4"/>
        <v>R98</v>
      </c>
      <c r="R52" s="123">
        <v>22.4</v>
      </c>
      <c r="S52" s="123">
        <v>31.4</v>
      </c>
      <c r="T52" s="123"/>
      <c r="U52" s="123"/>
      <c r="V52" s="123"/>
      <c r="W52" s="126"/>
      <c r="X52" s="126"/>
      <c r="Y52" s="126"/>
      <c r="Z52" s="123">
        <v>22.5</v>
      </c>
      <c r="AA52" s="123" t="s">
        <v>2180</v>
      </c>
      <c r="AB52" s="123">
        <v>10</v>
      </c>
      <c r="AC52" s="123">
        <v>1</v>
      </c>
      <c r="AD52" s="123"/>
      <c r="AH52" s="123">
        <f t="shared" si="0"/>
        <v>418</v>
      </c>
      <c r="AI52" t="b">
        <f t="shared" si="5"/>
        <v>0</v>
      </c>
      <c r="AJ52" s="123">
        <f t="shared" si="1"/>
        <v>5</v>
      </c>
      <c r="AK52" t="b">
        <f t="shared" si="6"/>
        <v>0</v>
      </c>
    </row>
    <row r="53" spans="1:37">
      <c r="A53" s="121">
        <v>51</v>
      </c>
      <c r="B53" s="122" t="s">
        <v>2176</v>
      </c>
      <c r="C53" s="122" t="s">
        <v>2258</v>
      </c>
      <c r="D53" s="122" t="s">
        <v>2256</v>
      </c>
      <c r="E53" s="124">
        <v>42766</v>
      </c>
      <c r="F53" s="125">
        <v>0.45833333333333331</v>
      </c>
      <c r="G53" s="124">
        <v>42820</v>
      </c>
      <c r="H53" s="125">
        <v>0.63888888888888895</v>
      </c>
      <c r="I53" s="123">
        <v>840</v>
      </c>
      <c r="J53" s="123">
        <v>548</v>
      </c>
      <c r="K53" s="142" t="str">
        <f t="shared" si="7"/>
        <v>G548</v>
      </c>
      <c r="L53" s="123">
        <v>85</v>
      </c>
      <c r="M53" s="142" t="str">
        <f t="shared" si="2"/>
        <v>R85</v>
      </c>
      <c r="N53" s="123">
        <v>856</v>
      </c>
      <c r="O53" s="142" t="str">
        <f t="shared" si="3"/>
        <v>G856</v>
      </c>
      <c r="P53" s="123">
        <v>29</v>
      </c>
      <c r="Q53" s="142" t="str">
        <f t="shared" si="4"/>
        <v>R29</v>
      </c>
      <c r="R53" s="123">
        <v>22.8</v>
      </c>
      <c r="S53" s="123">
        <v>20.2</v>
      </c>
      <c r="T53" s="123">
        <v>32</v>
      </c>
      <c r="U53" s="123"/>
      <c r="V53" s="123" t="s">
        <v>2187</v>
      </c>
      <c r="W53" s="126" t="s">
        <v>2187</v>
      </c>
      <c r="X53" s="126" t="s">
        <v>2187</v>
      </c>
      <c r="Y53" s="126" t="s">
        <v>2187</v>
      </c>
      <c r="Z53" s="123">
        <v>18</v>
      </c>
      <c r="AA53" s="123" t="s">
        <v>2250</v>
      </c>
      <c r="AB53" s="123">
        <v>3</v>
      </c>
      <c r="AC53" s="123">
        <v>0</v>
      </c>
      <c r="AD53" s="123"/>
      <c r="AH53" s="123">
        <f t="shared" si="0"/>
        <v>548</v>
      </c>
      <c r="AI53" t="b">
        <f t="shared" si="5"/>
        <v>0</v>
      </c>
      <c r="AJ53" s="123">
        <f t="shared" si="1"/>
        <v>85</v>
      </c>
      <c r="AK53" t="b">
        <f t="shared" si="6"/>
        <v>0</v>
      </c>
    </row>
    <row r="54" spans="1:37">
      <c r="A54" s="121">
        <v>52</v>
      </c>
      <c r="B54" s="122" t="s">
        <v>2176</v>
      </c>
      <c r="C54" s="122" t="s">
        <v>2259</v>
      </c>
      <c r="D54" s="122" t="s">
        <v>2256</v>
      </c>
      <c r="E54" s="124">
        <v>42766</v>
      </c>
      <c r="F54" s="125">
        <v>0.46180555555555558</v>
      </c>
      <c r="G54" s="124">
        <v>42820</v>
      </c>
      <c r="H54" s="125">
        <v>0.64583333333333337</v>
      </c>
      <c r="I54" s="123">
        <v>841</v>
      </c>
      <c r="J54" s="123">
        <v>638</v>
      </c>
      <c r="K54" s="142" t="str">
        <f t="shared" si="7"/>
        <v>G638</v>
      </c>
      <c r="L54" s="123">
        <v>513</v>
      </c>
      <c r="M54" s="142" t="str">
        <f t="shared" si="2"/>
        <v>R513</v>
      </c>
      <c r="N54" s="123">
        <v>599</v>
      </c>
      <c r="O54" s="142" t="str">
        <f t="shared" si="3"/>
        <v>G599</v>
      </c>
      <c r="P54" s="123">
        <v>312</v>
      </c>
      <c r="Q54" s="142" t="str">
        <f t="shared" si="4"/>
        <v>R312</v>
      </c>
      <c r="R54" s="123">
        <v>22.2</v>
      </c>
      <c r="S54" s="123">
        <v>29.8</v>
      </c>
      <c r="T54" s="123">
        <v>29.4</v>
      </c>
      <c r="U54" s="123"/>
      <c r="V54" s="123" t="s">
        <v>2206</v>
      </c>
      <c r="W54" s="126" t="s">
        <v>2179</v>
      </c>
      <c r="X54" s="126" t="s">
        <v>2187</v>
      </c>
      <c r="Y54" s="126" t="s">
        <v>2187</v>
      </c>
      <c r="Z54" s="123">
        <v>67</v>
      </c>
      <c r="AA54" s="123" t="s">
        <v>2180</v>
      </c>
      <c r="AB54" s="123">
        <v>13.4</v>
      </c>
      <c r="AC54" s="123">
        <v>1</v>
      </c>
      <c r="AD54" s="123" t="s">
        <v>2253</v>
      </c>
      <c r="AH54" s="123">
        <f t="shared" si="0"/>
        <v>638</v>
      </c>
      <c r="AI54" t="b">
        <f t="shared" si="5"/>
        <v>0</v>
      </c>
      <c r="AJ54" s="123">
        <f t="shared" si="1"/>
        <v>513</v>
      </c>
      <c r="AK54" t="b">
        <f t="shared" si="6"/>
        <v>0</v>
      </c>
    </row>
    <row r="55" spans="1:37">
      <c r="A55" s="169">
        <v>53</v>
      </c>
      <c r="B55" s="170" t="s">
        <v>2176</v>
      </c>
      <c r="C55" s="170" t="s">
        <v>2260</v>
      </c>
      <c r="D55" s="170" t="s">
        <v>2256</v>
      </c>
      <c r="E55" s="171">
        <v>42766</v>
      </c>
      <c r="F55" s="174">
        <v>0.46527777777777773</v>
      </c>
      <c r="G55" s="171">
        <v>42820</v>
      </c>
      <c r="H55" s="169"/>
      <c r="I55" s="169">
        <v>842</v>
      </c>
      <c r="J55" s="169">
        <v>426</v>
      </c>
      <c r="K55" s="142" t="str">
        <f t="shared" si="7"/>
        <v>G426</v>
      </c>
      <c r="L55" s="169">
        <v>399</v>
      </c>
      <c r="M55" s="142" t="str">
        <f t="shared" si="2"/>
        <v>R399</v>
      </c>
      <c r="N55" s="169">
        <v>683</v>
      </c>
      <c r="O55" s="142" t="str">
        <f t="shared" si="3"/>
        <v>G683</v>
      </c>
      <c r="P55" s="169">
        <v>113</v>
      </c>
      <c r="Q55" s="142" t="str">
        <f t="shared" si="4"/>
        <v>R113</v>
      </c>
      <c r="R55" s="169">
        <v>22.2</v>
      </c>
      <c r="S55" s="169">
        <v>20.2</v>
      </c>
      <c r="T55" s="169"/>
      <c r="U55" s="169"/>
      <c r="V55" s="169"/>
      <c r="W55" s="172"/>
      <c r="X55" s="172"/>
      <c r="Y55" s="172"/>
      <c r="Z55" s="169"/>
      <c r="AA55" s="169"/>
      <c r="AB55" s="169"/>
      <c r="AC55" s="169"/>
      <c r="AD55" s="169"/>
      <c r="AH55" s="123">
        <f t="shared" si="0"/>
        <v>426</v>
      </c>
      <c r="AI55" t="b">
        <f t="shared" si="5"/>
        <v>0</v>
      </c>
      <c r="AJ55" s="123">
        <f t="shared" si="1"/>
        <v>399</v>
      </c>
      <c r="AK55" t="b">
        <f t="shared" si="6"/>
        <v>0</v>
      </c>
    </row>
    <row r="56" spans="1:37">
      <c r="A56" s="169">
        <v>54</v>
      </c>
      <c r="B56" s="170" t="s">
        <v>2176</v>
      </c>
      <c r="C56" s="170" t="s">
        <v>2261</v>
      </c>
      <c r="D56" s="170" t="s">
        <v>2256</v>
      </c>
      <c r="E56" s="171">
        <v>42766</v>
      </c>
      <c r="F56" s="174">
        <v>0.46875</v>
      </c>
      <c r="G56" s="171">
        <v>42820</v>
      </c>
      <c r="H56" s="169"/>
      <c r="I56" s="169">
        <v>843</v>
      </c>
      <c r="J56" s="169">
        <v>589</v>
      </c>
      <c r="K56" s="142" t="str">
        <f t="shared" si="7"/>
        <v>G589</v>
      </c>
      <c r="L56" s="169">
        <v>400</v>
      </c>
      <c r="M56" s="142" t="str">
        <f t="shared" si="2"/>
        <v>R400</v>
      </c>
      <c r="N56" s="169">
        <v>288</v>
      </c>
      <c r="O56" s="142" t="str">
        <f t="shared" si="3"/>
        <v>G288</v>
      </c>
      <c r="P56" s="169">
        <v>441</v>
      </c>
      <c r="Q56" s="142" t="str">
        <f t="shared" si="4"/>
        <v>R441</v>
      </c>
      <c r="R56" s="169">
        <v>22.2</v>
      </c>
      <c r="S56" s="169">
        <v>30.1</v>
      </c>
      <c r="T56" s="169"/>
      <c r="U56" s="169"/>
      <c r="V56" s="169"/>
      <c r="W56" s="172"/>
      <c r="X56" s="172"/>
      <c r="Y56" s="172"/>
      <c r="Z56" s="169"/>
      <c r="AA56" s="169"/>
      <c r="AB56" s="169"/>
      <c r="AC56" s="169"/>
      <c r="AD56" s="169"/>
      <c r="AH56" s="123">
        <f t="shared" si="0"/>
        <v>589</v>
      </c>
      <c r="AI56" t="b">
        <f t="shared" si="5"/>
        <v>0</v>
      </c>
      <c r="AJ56" s="123">
        <f t="shared" si="1"/>
        <v>400</v>
      </c>
      <c r="AK56" t="b">
        <f t="shared" si="6"/>
        <v>0</v>
      </c>
    </row>
    <row r="57" spans="1:37">
      <c r="A57" s="121">
        <v>55</v>
      </c>
      <c r="B57" s="122" t="s">
        <v>2176</v>
      </c>
      <c r="C57" s="122" t="s">
        <v>2262</v>
      </c>
      <c r="D57" s="122" t="s">
        <v>2256</v>
      </c>
      <c r="E57" s="124">
        <v>42766</v>
      </c>
      <c r="F57" s="125">
        <v>0.47222222222222227</v>
      </c>
      <c r="G57" s="124">
        <v>42820</v>
      </c>
      <c r="H57" s="125">
        <v>0.63194444444444442</v>
      </c>
      <c r="I57" s="123">
        <v>844</v>
      </c>
      <c r="J57" s="123">
        <v>622</v>
      </c>
      <c r="K57" s="142" t="str">
        <f t="shared" si="7"/>
        <v>G622</v>
      </c>
      <c r="L57">
        <v>19</v>
      </c>
      <c r="M57" s="142" t="str">
        <f t="shared" si="2"/>
        <v>R19</v>
      </c>
      <c r="N57" s="123">
        <v>616</v>
      </c>
      <c r="O57" s="142" t="str">
        <f t="shared" si="3"/>
        <v>G616</v>
      </c>
      <c r="P57" t="s">
        <v>2498</v>
      </c>
      <c r="Q57" s="142" t="str">
        <f t="shared" si="4"/>
        <v>R54b</v>
      </c>
      <c r="R57" s="123">
        <v>22.1</v>
      </c>
      <c r="S57" s="123">
        <v>33</v>
      </c>
      <c r="T57" s="123">
        <v>29.7</v>
      </c>
      <c r="U57" s="123"/>
      <c r="V57" s="123"/>
      <c r="W57" s="126" t="s">
        <v>2179</v>
      </c>
      <c r="X57" s="126" t="s">
        <v>2187</v>
      </c>
      <c r="Y57" s="126"/>
      <c r="Z57" s="123">
        <v>45</v>
      </c>
      <c r="AA57" s="123" t="s">
        <v>2180</v>
      </c>
      <c r="AB57" s="123">
        <v>15.8</v>
      </c>
      <c r="AC57" s="123">
        <v>1</v>
      </c>
      <c r="AD57" s="123"/>
      <c r="AH57" s="123">
        <f t="shared" si="0"/>
        <v>622</v>
      </c>
      <c r="AI57" t="b">
        <f t="shared" si="5"/>
        <v>0</v>
      </c>
      <c r="AJ57" s="129">
        <f t="shared" si="1"/>
        <v>19</v>
      </c>
      <c r="AK57" s="113" t="b">
        <f t="shared" si="6"/>
        <v>0</v>
      </c>
    </row>
    <row r="58" spans="1:37">
      <c r="A58" s="121">
        <v>56</v>
      </c>
      <c r="B58" s="122" t="s">
        <v>2176</v>
      </c>
      <c r="C58" s="122" t="s">
        <v>2263</v>
      </c>
      <c r="D58" s="122" t="s">
        <v>2256</v>
      </c>
      <c r="E58" s="124">
        <v>42766</v>
      </c>
      <c r="F58" s="125">
        <v>0.47222222222222227</v>
      </c>
      <c r="G58" s="124">
        <v>42820</v>
      </c>
      <c r="H58" s="125">
        <v>0.65625</v>
      </c>
      <c r="I58" s="123">
        <v>845</v>
      </c>
      <c r="J58" s="178">
        <v>538</v>
      </c>
      <c r="K58" s="142" t="str">
        <f t="shared" si="7"/>
        <v>G538</v>
      </c>
      <c r="L58" s="123">
        <v>60</v>
      </c>
      <c r="M58" s="142" t="str">
        <f t="shared" si="2"/>
        <v>R60</v>
      </c>
      <c r="N58" s="123">
        <v>557</v>
      </c>
      <c r="O58" s="142" t="str">
        <f t="shared" si="3"/>
        <v>G557</v>
      </c>
      <c r="P58" s="123">
        <v>58</v>
      </c>
      <c r="Q58" s="142" t="str">
        <f t="shared" si="4"/>
        <v>R58</v>
      </c>
      <c r="R58" s="123">
        <v>22</v>
      </c>
      <c r="S58" s="123">
        <v>29.5</v>
      </c>
      <c r="T58" s="92">
        <v>33.200000000000003</v>
      </c>
      <c r="U58" s="123"/>
      <c r="V58" s="123" t="s">
        <v>2200</v>
      </c>
      <c r="W58" s="126" t="s">
        <v>2195</v>
      </c>
      <c r="X58" s="126" t="s">
        <v>2187</v>
      </c>
      <c r="Y58" s="126"/>
      <c r="Z58" s="123">
        <v>30.8</v>
      </c>
      <c r="AA58" s="123" t="s">
        <v>2180</v>
      </c>
      <c r="AB58" s="123">
        <v>15.4</v>
      </c>
      <c r="AC58" s="123">
        <v>0</v>
      </c>
      <c r="AD58" s="123"/>
      <c r="AH58" s="165">
        <f t="shared" si="0"/>
        <v>538</v>
      </c>
      <c r="AI58" s="113" t="b">
        <f t="shared" si="5"/>
        <v>0</v>
      </c>
      <c r="AJ58" s="123">
        <f t="shared" si="1"/>
        <v>60</v>
      </c>
      <c r="AK58" t="b">
        <f t="shared" si="6"/>
        <v>0</v>
      </c>
    </row>
    <row r="59" spans="1:37">
      <c r="A59" s="121">
        <v>57</v>
      </c>
      <c r="B59" s="122" t="s">
        <v>2176</v>
      </c>
      <c r="C59" s="131" t="s">
        <v>2264</v>
      </c>
      <c r="D59" s="122" t="s">
        <v>2265</v>
      </c>
      <c r="E59" s="124">
        <v>42766</v>
      </c>
      <c r="F59" s="125">
        <v>0.47916666666666669</v>
      </c>
      <c r="G59" s="124">
        <v>42820</v>
      </c>
      <c r="H59" s="125">
        <v>0.59722222222222221</v>
      </c>
      <c r="I59" s="123">
        <v>1150</v>
      </c>
      <c r="J59">
        <v>546</v>
      </c>
      <c r="K59" s="142" t="str">
        <f t="shared" si="7"/>
        <v>G546</v>
      </c>
      <c r="L59" s="123">
        <v>161</v>
      </c>
      <c r="M59" s="142" t="str">
        <f t="shared" si="2"/>
        <v>R161</v>
      </c>
      <c r="N59" s="123">
        <v>618</v>
      </c>
      <c r="O59" s="142" t="str">
        <f t="shared" si="3"/>
        <v>G618</v>
      </c>
      <c r="P59" s="123">
        <v>435</v>
      </c>
      <c r="Q59" s="142" t="str">
        <f t="shared" si="4"/>
        <v>R435</v>
      </c>
      <c r="R59" s="123">
        <v>21.7</v>
      </c>
      <c r="S59" s="123">
        <v>31.6</v>
      </c>
      <c r="T59" s="123">
        <v>32.1</v>
      </c>
      <c r="U59" s="123"/>
      <c r="V59" s="123" t="s">
        <v>2187</v>
      </c>
      <c r="W59" s="126" t="s">
        <v>2206</v>
      </c>
      <c r="X59" s="126" t="s">
        <v>2187</v>
      </c>
      <c r="Y59" s="126" t="s">
        <v>2187</v>
      </c>
      <c r="Z59" s="123">
        <v>28.4</v>
      </c>
      <c r="AA59" s="123" t="s">
        <v>2250</v>
      </c>
      <c r="AB59" s="123">
        <v>3.3</v>
      </c>
      <c r="AC59" s="123">
        <v>1</v>
      </c>
      <c r="AD59" s="123" t="s">
        <v>2266</v>
      </c>
      <c r="AH59" s="165">
        <f t="shared" si="0"/>
        <v>546</v>
      </c>
      <c r="AI59" s="113" t="b">
        <f t="shared" si="5"/>
        <v>0</v>
      </c>
      <c r="AJ59" s="123">
        <f t="shared" si="1"/>
        <v>161</v>
      </c>
      <c r="AK59" t="b">
        <f t="shared" si="6"/>
        <v>0</v>
      </c>
    </row>
    <row r="60" spans="1:37">
      <c r="A60" s="121">
        <v>58</v>
      </c>
      <c r="B60" s="122" t="s">
        <v>2176</v>
      </c>
      <c r="C60" s="131" t="s">
        <v>2267</v>
      </c>
      <c r="D60" s="122" t="s">
        <v>2265</v>
      </c>
      <c r="E60" s="124">
        <v>42766</v>
      </c>
      <c r="F60" s="125">
        <v>0.4826388888888889</v>
      </c>
      <c r="G60" s="124">
        <v>42820</v>
      </c>
      <c r="H60" s="125">
        <v>0.56597222222222221</v>
      </c>
      <c r="I60" s="123">
        <v>1148</v>
      </c>
      <c r="J60" s="123">
        <v>513</v>
      </c>
      <c r="K60" s="142" t="str">
        <f t="shared" si="7"/>
        <v>G513</v>
      </c>
      <c r="L60" s="123">
        <v>48</v>
      </c>
      <c r="M60" s="142" t="str">
        <f t="shared" si="2"/>
        <v>R48</v>
      </c>
      <c r="N60" s="123">
        <v>593</v>
      </c>
      <c r="O60" s="142" t="str">
        <f t="shared" si="3"/>
        <v>G593</v>
      </c>
      <c r="P60" s="123">
        <v>31</v>
      </c>
      <c r="Q60" s="142" t="str">
        <f t="shared" si="4"/>
        <v>R31</v>
      </c>
      <c r="R60" s="123">
        <v>22.6</v>
      </c>
      <c r="S60" s="123">
        <v>31.6</v>
      </c>
      <c r="T60" s="123">
        <v>30.8</v>
      </c>
      <c r="U60" s="123"/>
      <c r="V60" s="123" t="s">
        <v>2200</v>
      </c>
      <c r="W60" s="126" t="s">
        <v>2179</v>
      </c>
      <c r="X60" s="126" t="s">
        <v>2187</v>
      </c>
      <c r="Y60" s="126"/>
      <c r="Z60" s="123">
        <v>54.4</v>
      </c>
      <c r="AA60" s="123" t="s">
        <v>2250</v>
      </c>
      <c r="AB60" s="123">
        <v>1.4</v>
      </c>
      <c r="AC60" s="123">
        <v>0</v>
      </c>
      <c r="AD60" s="123"/>
      <c r="AH60" s="123">
        <f t="shared" si="0"/>
        <v>513</v>
      </c>
      <c r="AI60" t="b">
        <f t="shared" si="5"/>
        <v>0</v>
      </c>
      <c r="AJ60" s="123">
        <f t="shared" si="1"/>
        <v>48</v>
      </c>
      <c r="AK60" t="b">
        <f t="shared" si="6"/>
        <v>0</v>
      </c>
    </row>
    <row r="61" spans="1:37">
      <c r="A61" s="121">
        <v>59</v>
      </c>
      <c r="B61" s="122" t="s">
        <v>2176</v>
      </c>
      <c r="C61" s="131" t="s">
        <v>2268</v>
      </c>
      <c r="D61" s="122" t="s">
        <v>2265</v>
      </c>
      <c r="E61" s="124">
        <v>42766</v>
      </c>
      <c r="F61" s="125">
        <v>0.4861111111111111</v>
      </c>
      <c r="G61" s="124">
        <v>42820</v>
      </c>
      <c r="H61" s="125">
        <v>0.60416666666666663</v>
      </c>
      <c r="I61" s="123">
        <v>848</v>
      </c>
      <c r="J61" s="123">
        <v>489</v>
      </c>
      <c r="K61" s="142" t="str">
        <f t="shared" si="7"/>
        <v>G489</v>
      </c>
      <c r="L61" s="123">
        <v>23</v>
      </c>
      <c r="M61" s="142" t="str">
        <f t="shared" si="2"/>
        <v>R23</v>
      </c>
      <c r="N61" s="123">
        <v>600</v>
      </c>
      <c r="O61" s="142" t="str">
        <f t="shared" si="3"/>
        <v>G600</v>
      </c>
      <c r="P61" s="123">
        <v>120</v>
      </c>
      <c r="Q61" s="142" t="str">
        <f t="shared" si="4"/>
        <v>R120</v>
      </c>
      <c r="R61" s="123">
        <v>22.4</v>
      </c>
      <c r="S61" s="123">
        <v>27.9</v>
      </c>
      <c r="T61" s="123">
        <v>31.7</v>
      </c>
      <c r="U61" s="123"/>
      <c r="V61" s="123"/>
      <c r="W61" s="126"/>
      <c r="X61" s="126"/>
      <c r="Y61" s="126"/>
      <c r="Z61" s="123">
        <v>46</v>
      </c>
      <c r="AA61" s="123" t="s">
        <v>2250</v>
      </c>
      <c r="AB61" s="123">
        <v>3.3</v>
      </c>
      <c r="AC61" s="123">
        <v>0</v>
      </c>
      <c r="AD61" s="123"/>
      <c r="AH61" s="123">
        <f t="shared" si="0"/>
        <v>489</v>
      </c>
      <c r="AI61" t="b">
        <f t="shared" si="5"/>
        <v>0</v>
      </c>
      <c r="AJ61" s="123">
        <f t="shared" si="1"/>
        <v>23</v>
      </c>
      <c r="AK61" t="b">
        <f t="shared" si="6"/>
        <v>0</v>
      </c>
    </row>
    <row r="62" spans="1:37">
      <c r="A62" s="121">
        <v>60</v>
      </c>
      <c r="B62" s="122" t="s">
        <v>2176</v>
      </c>
      <c r="C62" s="131" t="s">
        <v>2269</v>
      </c>
      <c r="D62" s="122" t="s">
        <v>2265</v>
      </c>
      <c r="E62" s="124">
        <v>42766</v>
      </c>
      <c r="F62" s="125">
        <v>0.48958333333333331</v>
      </c>
      <c r="G62" s="124">
        <v>42820</v>
      </c>
      <c r="H62" s="125">
        <v>0.57638888888888895</v>
      </c>
      <c r="I62" s="123">
        <v>849</v>
      </c>
      <c r="J62" s="123">
        <v>633</v>
      </c>
      <c r="K62" s="142" t="str">
        <f t="shared" si="7"/>
        <v>G633</v>
      </c>
      <c r="L62" s="123">
        <v>78</v>
      </c>
      <c r="M62" s="142" t="str">
        <f t="shared" si="2"/>
        <v>R78</v>
      </c>
      <c r="N62" s="123">
        <v>535</v>
      </c>
      <c r="O62" s="142" t="str">
        <f t="shared" si="3"/>
        <v>G535</v>
      </c>
      <c r="P62" s="123">
        <v>390</v>
      </c>
      <c r="Q62" s="142" t="str">
        <f t="shared" si="4"/>
        <v>R390</v>
      </c>
      <c r="R62" s="123">
        <v>23.5</v>
      </c>
      <c r="S62" s="123">
        <v>22.5</v>
      </c>
      <c r="T62" s="123">
        <v>33.700000000000003</v>
      </c>
      <c r="U62" s="123"/>
      <c r="V62" s="123" t="s">
        <v>2187</v>
      </c>
      <c r="W62" s="126"/>
      <c r="X62" s="126"/>
      <c r="Y62" s="126" t="s">
        <v>2179</v>
      </c>
      <c r="Z62" s="123">
        <v>10.199999999999999</v>
      </c>
      <c r="AA62" s="123" t="s">
        <v>2250</v>
      </c>
      <c r="AB62" s="123">
        <v>2.4</v>
      </c>
      <c r="AC62" s="123">
        <v>0</v>
      </c>
      <c r="AD62" s="123" t="s">
        <v>2270</v>
      </c>
      <c r="AH62" s="123">
        <f t="shared" si="0"/>
        <v>633</v>
      </c>
      <c r="AI62" t="b">
        <f t="shared" si="5"/>
        <v>0</v>
      </c>
      <c r="AJ62" s="123">
        <f t="shared" si="1"/>
        <v>78</v>
      </c>
      <c r="AK62" t="b">
        <f t="shared" si="6"/>
        <v>0</v>
      </c>
    </row>
    <row r="63" spans="1:37">
      <c r="A63" s="121">
        <v>61</v>
      </c>
      <c r="B63" s="122" t="s">
        <v>2176</v>
      </c>
      <c r="C63" s="131" t="s">
        <v>2271</v>
      </c>
      <c r="D63" s="122" t="s">
        <v>2265</v>
      </c>
      <c r="E63" s="124">
        <v>42766</v>
      </c>
      <c r="F63" s="125">
        <v>0.49305555555555558</v>
      </c>
      <c r="G63" s="124">
        <v>42820</v>
      </c>
      <c r="H63" s="125">
        <v>0.58333333333333337</v>
      </c>
      <c r="I63" s="123">
        <v>1149</v>
      </c>
      <c r="J63" s="123">
        <v>541</v>
      </c>
      <c r="K63" s="142" t="str">
        <f t="shared" si="7"/>
        <v>G541</v>
      </c>
      <c r="L63" s="123">
        <v>42</v>
      </c>
      <c r="M63" s="142" t="str">
        <f t="shared" si="2"/>
        <v>R42</v>
      </c>
      <c r="N63" s="123">
        <v>391</v>
      </c>
      <c r="O63" s="142" t="str">
        <f t="shared" si="3"/>
        <v>G391</v>
      </c>
      <c r="P63" s="123">
        <v>143</v>
      </c>
      <c r="Q63" s="142" t="str">
        <f t="shared" si="4"/>
        <v>R143</v>
      </c>
      <c r="R63" s="123">
        <v>22.7</v>
      </c>
      <c r="S63" s="123">
        <v>20.399999999999999</v>
      </c>
      <c r="T63" s="123">
        <v>32.200000000000003</v>
      </c>
      <c r="U63" s="123"/>
      <c r="V63" s="123" t="s">
        <v>2195</v>
      </c>
      <c r="W63" s="126" t="s">
        <v>2195</v>
      </c>
      <c r="X63" s="126" t="s">
        <v>2187</v>
      </c>
      <c r="Y63" s="126"/>
      <c r="Z63" s="123">
        <v>34.200000000000003</v>
      </c>
      <c r="AA63" s="123" t="s">
        <v>2250</v>
      </c>
      <c r="AB63" s="123">
        <v>5.6</v>
      </c>
      <c r="AC63" s="123">
        <v>0</v>
      </c>
      <c r="AD63" s="123"/>
      <c r="AH63" s="123">
        <f t="shared" si="0"/>
        <v>541</v>
      </c>
      <c r="AI63" t="b">
        <f t="shared" si="5"/>
        <v>0</v>
      </c>
      <c r="AJ63" s="123">
        <f t="shared" si="1"/>
        <v>42</v>
      </c>
      <c r="AK63" t="b">
        <f t="shared" si="6"/>
        <v>0</v>
      </c>
    </row>
    <row r="64" spans="1:37">
      <c r="A64" s="121">
        <v>62</v>
      </c>
      <c r="B64" s="122" t="s">
        <v>2176</v>
      </c>
      <c r="C64" s="131" t="s">
        <v>2272</v>
      </c>
      <c r="D64" s="122" t="s">
        <v>2265</v>
      </c>
      <c r="E64" s="124">
        <v>42766</v>
      </c>
      <c r="F64" s="125">
        <v>0.49305555555555558</v>
      </c>
      <c r="G64" s="124">
        <v>42820</v>
      </c>
      <c r="H64" s="125">
        <v>0.58680555555555558</v>
      </c>
      <c r="I64" s="123">
        <v>1151</v>
      </c>
      <c r="J64" s="123">
        <v>565</v>
      </c>
      <c r="K64" s="142" t="str">
        <f t="shared" si="7"/>
        <v>G565</v>
      </c>
      <c r="L64" s="123">
        <v>119</v>
      </c>
      <c r="M64" s="142" t="str">
        <f t="shared" si="2"/>
        <v>R119</v>
      </c>
      <c r="N64" s="123">
        <v>445</v>
      </c>
      <c r="O64" s="142" t="str">
        <f t="shared" si="3"/>
        <v>G445</v>
      </c>
      <c r="P64" s="123">
        <v>448</v>
      </c>
      <c r="Q64" s="142" t="str">
        <f t="shared" si="4"/>
        <v>R448</v>
      </c>
      <c r="R64" s="123">
        <v>22.7</v>
      </c>
      <c r="S64" s="123">
        <v>24.7</v>
      </c>
      <c r="T64" s="123">
        <v>30.9</v>
      </c>
      <c r="U64" s="123"/>
      <c r="V64" s="123" t="s">
        <v>2179</v>
      </c>
      <c r="W64" s="126" t="s">
        <v>2179</v>
      </c>
      <c r="X64" s="126"/>
      <c r="Y64" s="126"/>
      <c r="Z64" s="123">
        <v>40.4</v>
      </c>
      <c r="AA64" s="123" t="s">
        <v>2250</v>
      </c>
      <c r="AB64" s="123">
        <v>4.2</v>
      </c>
      <c r="AC64" s="123">
        <v>0</v>
      </c>
      <c r="AD64" s="123" t="s">
        <v>2273</v>
      </c>
      <c r="AH64" s="123">
        <f t="shared" si="0"/>
        <v>565</v>
      </c>
      <c r="AI64" t="b">
        <f t="shared" si="5"/>
        <v>0</v>
      </c>
      <c r="AJ64" s="123">
        <f t="shared" si="1"/>
        <v>119</v>
      </c>
      <c r="AK64" t="b">
        <f t="shared" si="6"/>
        <v>0</v>
      </c>
    </row>
    <row r="65" spans="1:37">
      <c r="A65" s="121">
        <v>63</v>
      </c>
      <c r="B65" s="122" t="s">
        <v>2176</v>
      </c>
      <c r="C65" s="131" t="s">
        <v>2274</v>
      </c>
      <c r="D65" s="122" t="s">
        <v>2265</v>
      </c>
      <c r="E65" s="124">
        <v>42766</v>
      </c>
      <c r="F65" s="125">
        <v>0.49652777777777773</v>
      </c>
      <c r="G65" s="124">
        <v>42820</v>
      </c>
      <c r="H65" s="125">
        <v>0.55902777777777779</v>
      </c>
      <c r="I65" s="123">
        <v>852</v>
      </c>
      <c r="J65" s="123">
        <v>387</v>
      </c>
      <c r="K65" s="142" t="str">
        <f t="shared" si="7"/>
        <v>G387</v>
      </c>
      <c r="L65" s="123">
        <v>185</v>
      </c>
      <c r="M65" s="142" t="str">
        <f t="shared" si="2"/>
        <v>R185</v>
      </c>
      <c r="N65" s="123">
        <v>440</v>
      </c>
      <c r="O65" s="142" t="str">
        <f t="shared" si="3"/>
        <v>G440</v>
      </c>
      <c r="P65" s="123">
        <v>423</v>
      </c>
      <c r="Q65" s="142" t="str">
        <f t="shared" si="4"/>
        <v>R423</v>
      </c>
      <c r="R65" s="123">
        <v>25.6</v>
      </c>
      <c r="S65" s="123">
        <v>22.9</v>
      </c>
      <c r="T65" s="123">
        <v>30.9</v>
      </c>
      <c r="U65" s="123"/>
      <c r="V65" s="123" t="s">
        <v>2187</v>
      </c>
      <c r="W65" s="126" t="s">
        <v>2187</v>
      </c>
      <c r="X65" s="126" t="s">
        <v>2187</v>
      </c>
      <c r="Y65" s="126" t="s">
        <v>2187</v>
      </c>
      <c r="Z65" s="123">
        <v>45</v>
      </c>
      <c r="AA65" s="123" t="s">
        <v>2250</v>
      </c>
      <c r="AB65" s="123">
        <v>4.9000000000000004</v>
      </c>
      <c r="AC65" s="123">
        <v>0</v>
      </c>
      <c r="AD65" s="123"/>
      <c r="AH65" s="123">
        <f t="shared" si="0"/>
        <v>387</v>
      </c>
      <c r="AI65" t="b">
        <f t="shared" si="5"/>
        <v>0</v>
      </c>
      <c r="AJ65" s="123">
        <f t="shared" si="1"/>
        <v>185</v>
      </c>
      <c r="AK65" t="b">
        <f t="shared" si="6"/>
        <v>0</v>
      </c>
    </row>
    <row r="66" spans="1:37">
      <c r="A66" s="121">
        <v>64</v>
      </c>
      <c r="B66" s="122" t="s">
        <v>2176</v>
      </c>
      <c r="C66" s="131" t="s">
        <v>2275</v>
      </c>
      <c r="D66" s="122" t="s">
        <v>2265</v>
      </c>
      <c r="E66" s="124">
        <v>42766</v>
      </c>
      <c r="F66" s="125">
        <v>0.50694444444444442</v>
      </c>
      <c r="G66" s="124">
        <v>42820</v>
      </c>
      <c r="H66" s="125">
        <v>0.60763888888888895</v>
      </c>
      <c r="I66" s="123">
        <v>853</v>
      </c>
      <c r="J66" s="129">
        <v>554</v>
      </c>
      <c r="K66" s="142" t="str">
        <f t="shared" si="7"/>
        <v>G554</v>
      </c>
      <c r="L66" s="123">
        <v>159</v>
      </c>
      <c r="M66" s="142" t="str">
        <f t="shared" si="2"/>
        <v>R159</v>
      </c>
      <c r="N66" s="123">
        <v>673</v>
      </c>
      <c r="O66" s="142" t="str">
        <f t="shared" si="3"/>
        <v>G673</v>
      </c>
      <c r="P66" s="129">
        <v>550</v>
      </c>
      <c r="Q66" s="142" t="str">
        <f t="shared" si="4"/>
        <v>R550</v>
      </c>
      <c r="R66" s="129">
        <v>22.7</v>
      </c>
      <c r="S66" s="129">
        <v>34.6</v>
      </c>
      <c r="T66" s="123"/>
      <c r="U66" s="123"/>
      <c r="V66" s="123" t="s">
        <v>2206</v>
      </c>
      <c r="W66" s="126" t="s">
        <v>2195</v>
      </c>
      <c r="X66" s="126"/>
      <c r="Y66" s="126"/>
      <c r="Z66" s="123">
        <v>22.8</v>
      </c>
      <c r="AA66" s="123" t="s">
        <v>2250</v>
      </c>
      <c r="AB66" s="123">
        <v>3</v>
      </c>
      <c r="AC66" s="123">
        <v>1</v>
      </c>
      <c r="AD66" s="123"/>
      <c r="AH66" s="129">
        <f t="shared" si="0"/>
        <v>554</v>
      </c>
      <c r="AI66" t="b">
        <f t="shared" si="5"/>
        <v>0</v>
      </c>
      <c r="AJ66" s="123">
        <f t="shared" si="1"/>
        <v>159</v>
      </c>
      <c r="AK66" t="b">
        <f t="shared" si="6"/>
        <v>0</v>
      </c>
    </row>
    <row r="67" spans="1:37">
      <c r="A67" s="121">
        <v>65</v>
      </c>
      <c r="B67" s="122" t="s">
        <v>2276</v>
      </c>
      <c r="C67" s="122" t="s">
        <v>2277</v>
      </c>
      <c r="D67" s="122" t="s">
        <v>2278</v>
      </c>
      <c r="E67" s="124">
        <v>42767</v>
      </c>
      <c r="F67" s="125">
        <v>0.51041666666666663</v>
      </c>
      <c r="G67" s="124">
        <v>42818</v>
      </c>
      <c r="H67" s="125">
        <v>0.4375</v>
      </c>
      <c r="I67" s="123">
        <v>906</v>
      </c>
      <c r="J67" s="123">
        <v>614</v>
      </c>
      <c r="K67" s="142" t="str">
        <f t="shared" si="7"/>
        <v>G614</v>
      </c>
      <c r="L67" s="123">
        <v>525</v>
      </c>
      <c r="M67" s="142" t="str">
        <f t="shared" si="2"/>
        <v>R525</v>
      </c>
      <c r="N67" s="123">
        <v>700</v>
      </c>
      <c r="O67" s="142" t="str">
        <f t="shared" si="3"/>
        <v>G700</v>
      </c>
      <c r="P67" s="123">
        <v>333</v>
      </c>
      <c r="Q67" s="142" t="str">
        <f t="shared" si="4"/>
        <v>R333</v>
      </c>
      <c r="R67" s="123">
        <v>22.5</v>
      </c>
      <c r="S67" s="123">
        <v>35.6</v>
      </c>
      <c r="T67" s="123">
        <v>23</v>
      </c>
      <c r="U67" s="123">
        <v>29</v>
      </c>
      <c r="V67" s="123" t="s">
        <v>2187</v>
      </c>
      <c r="W67" s="126"/>
      <c r="X67" s="126" t="s">
        <v>2187</v>
      </c>
      <c r="Y67" s="126" t="s">
        <v>2187</v>
      </c>
      <c r="Z67" s="123">
        <v>13.8</v>
      </c>
      <c r="AA67" s="123" t="s">
        <v>2250</v>
      </c>
      <c r="AB67" s="123">
        <v>13.8</v>
      </c>
      <c r="AC67" s="123">
        <v>1</v>
      </c>
      <c r="AD67" s="123"/>
      <c r="AH67" s="123">
        <f t="shared" ref="AH67:AH130" si="8">J67</f>
        <v>614</v>
      </c>
      <c r="AI67" t="b">
        <f t="shared" si="5"/>
        <v>0</v>
      </c>
      <c r="AJ67" s="123">
        <f t="shared" ref="AJ67:AJ130" si="9">L67</f>
        <v>525</v>
      </c>
      <c r="AK67" t="b">
        <f t="shared" si="6"/>
        <v>0</v>
      </c>
    </row>
    <row r="68" spans="1:37">
      <c r="A68" s="121">
        <v>66</v>
      </c>
      <c r="B68" s="122" t="s">
        <v>2276</v>
      </c>
      <c r="C68" s="122" t="s">
        <v>2279</v>
      </c>
      <c r="D68" s="122" t="s">
        <v>2278</v>
      </c>
      <c r="E68" s="124">
        <v>42767</v>
      </c>
      <c r="F68" s="125">
        <v>0.51388888888888895</v>
      </c>
      <c r="G68" s="124">
        <v>42818</v>
      </c>
      <c r="H68" s="125">
        <v>0.51388888888888895</v>
      </c>
      <c r="I68" s="123">
        <v>1096</v>
      </c>
      <c r="J68" s="123">
        <v>282</v>
      </c>
      <c r="K68" s="142" t="str">
        <f t="shared" ref="K68:K131" si="10">_xlfn.TEXTJOIN(,TRUE, "G",J68)</f>
        <v>G282</v>
      </c>
      <c r="L68" s="123">
        <v>150</v>
      </c>
      <c r="M68" s="142" t="str">
        <f t="shared" ref="M68:M131" si="11">_xlfn.TEXTJOIN(,TRUE, "R",L68)</f>
        <v>R150</v>
      </c>
      <c r="N68" s="123">
        <v>760</v>
      </c>
      <c r="O68" s="142" t="str">
        <f t="shared" ref="O68:O131" si="12">_xlfn.TEXTJOIN(,TRUE, "G",N68)</f>
        <v>G760</v>
      </c>
      <c r="P68" s="123">
        <v>252</v>
      </c>
      <c r="Q68" s="142" t="str">
        <f t="shared" ref="Q68:Q131" si="13">_xlfn.TEXTJOIN(,TRUE, "R",P68)</f>
        <v>R252</v>
      </c>
      <c r="R68" s="123">
        <v>22.4</v>
      </c>
      <c r="S68" s="123">
        <v>39.9</v>
      </c>
      <c r="T68" s="123">
        <v>21.5</v>
      </c>
      <c r="U68" s="123">
        <v>21.3</v>
      </c>
      <c r="V68" s="123" t="s">
        <v>2187</v>
      </c>
      <c r="W68" s="126" t="s">
        <v>2179</v>
      </c>
      <c r="X68" s="126" t="s">
        <v>2187</v>
      </c>
      <c r="Y68" s="126"/>
      <c r="Z68" s="123">
        <v>19.8</v>
      </c>
      <c r="AA68" s="123" t="s">
        <v>2250</v>
      </c>
      <c r="AB68" s="123">
        <v>8</v>
      </c>
      <c r="AC68" s="123">
        <v>1</v>
      </c>
      <c r="AD68" s="123"/>
      <c r="AH68" s="123">
        <f t="shared" si="8"/>
        <v>282</v>
      </c>
      <c r="AI68" t="b">
        <f t="shared" ref="AI68:AI131" si="14">COUNTIF($AH$3:$AH$443, AH68)&gt;1</f>
        <v>0</v>
      </c>
      <c r="AJ68" s="123">
        <f t="shared" si="9"/>
        <v>150</v>
      </c>
      <c r="AK68" t="b">
        <f t="shared" ref="AK68:AK131" si="15">COUNTIF($AJ$3:$AJ$443, AJ68)&gt;1</f>
        <v>0</v>
      </c>
    </row>
    <row r="69" spans="1:37">
      <c r="A69" s="121">
        <v>67</v>
      </c>
      <c r="B69" s="122" t="s">
        <v>2276</v>
      </c>
      <c r="C69" s="122" t="s">
        <v>2280</v>
      </c>
      <c r="D69" s="122" t="s">
        <v>2278</v>
      </c>
      <c r="E69" s="124">
        <v>42767</v>
      </c>
      <c r="F69" s="125">
        <v>0.51736111111111105</v>
      </c>
      <c r="G69" s="124">
        <v>42818</v>
      </c>
      <c r="H69" s="125">
        <v>0.4548611111111111</v>
      </c>
      <c r="I69" s="123">
        <v>908</v>
      </c>
      <c r="J69" s="123">
        <v>450</v>
      </c>
      <c r="K69" s="142" t="str">
        <f t="shared" si="10"/>
        <v>G450</v>
      </c>
      <c r="L69" s="123">
        <v>165</v>
      </c>
      <c r="M69" s="142" t="str">
        <f t="shared" si="11"/>
        <v>R165</v>
      </c>
      <c r="N69" s="123">
        <v>660</v>
      </c>
      <c r="O69" s="142" t="str">
        <f t="shared" si="12"/>
        <v>G660</v>
      </c>
      <c r="P69" s="123">
        <v>44</v>
      </c>
      <c r="Q69" s="142" t="str">
        <f t="shared" si="13"/>
        <v>R44</v>
      </c>
      <c r="R69" s="123">
        <v>19.899999999999999</v>
      </c>
      <c r="S69" s="123">
        <v>36.799999999999997</v>
      </c>
      <c r="T69" s="123">
        <v>21.5</v>
      </c>
      <c r="U69" s="123">
        <v>23</v>
      </c>
      <c r="V69" s="123" t="s">
        <v>2206</v>
      </c>
      <c r="W69" s="126"/>
      <c r="X69" s="126" t="s">
        <v>2187</v>
      </c>
      <c r="Y69" s="126"/>
      <c r="Z69" s="123">
        <v>5.5</v>
      </c>
      <c r="AA69" s="123" t="s">
        <v>2250</v>
      </c>
      <c r="AB69" s="123">
        <v>5.5</v>
      </c>
      <c r="AC69" s="123">
        <v>1</v>
      </c>
      <c r="AD69" s="123"/>
      <c r="AH69" s="123">
        <f t="shared" si="8"/>
        <v>450</v>
      </c>
      <c r="AI69" t="b">
        <f t="shared" si="14"/>
        <v>0</v>
      </c>
      <c r="AJ69" s="123">
        <f t="shared" si="9"/>
        <v>165</v>
      </c>
      <c r="AK69" t="b">
        <f t="shared" si="15"/>
        <v>0</v>
      </c>
    </row>
    <row r="70" spans="1:37">
      <c r="A70" s="121">
        <v>68</v>
      </c>
      <c r="B70" s="122" t="s">
        <v>2276</v>
      </c>
      <c r="C70" s="122" t="s">
        <v>2281</v>
      </c>
      <c r="D70" s="122" t="s">
        <v>2278</v>
      </c>
      <c r="E70" s="124">
        <v>42767</v>
      </c>
      <c r="F70" s="125">
        <v>0.52083333333333337</v>
      </c>
      <c r="G70" s="124">
        <v>42818</v>
      </c>
      <c r="H70" s="125">
        <v>0.53611111111111109</v>
      </c>
      <c r="I70" s="123">
        <v>1102</v>
      </c>
      <c r="J70" s="123">
        <v>269</v>
      </c>
      <c r="K70" s="142" t="str">
        <f t="shared" si="10"/>
        <v>G269</v>
      </c>
      <c r="L70" s="123">
        <v>129</v>
      </c>
      <c r="M70" s="142" t="str">
        <f t="shared" si="11"/>
        <v>R129</v>
      </c>
      <c r="N70" s="123">
        <v>477</v>
      </c>
      <c r="O70" s="142" t="str">
        <f t="shared" si="12"/>
        <v>G477</v>
      </c>
      <c r="P70" s="123">
        <v>9</v>
      </c>
      <c r="Q70" s="142" t="str">
        <f t="shared" si="13"/>
        <v>R9</v>
      </c>
      <c r="R70" s="123">
        <v>20.5</v>
      </c>
      <c r="S70" s="164">
        <v>37.6</v>
      </c>
      <c r="T70" s="123">
        <v>21.9</v>
      </c>
      <c r="U70" s="123">
        <v>22.1</v>
      </c>
      <c r="V70" s="123" t="s">
        <v>2187</v>
      </c>
      <c r="W70" s="126"/>
      <c r="X70" s="126" t="s">
        <v>2187</v>
      </c>
      <c r="Y70" s="126"/>
      <c r="Z70" s="123">
        <v>23.4</v>
      </c>
      <c r="AA70" s="123" t="s">
        <v>2250</v>
      </c>
      <c r="AB70" s="123">
        <v>9.6999999999999993</v>
      </c>
      <c r="AC70" s="123">
        <v>1</v>
      </c>
      <c r="AD70" s="123"/>
      <c r="AH70" s="123">
        <f t="shared" si="8"/>
        <v>269</v>
      </c>
      <c r="AI70" t="b">
        <f t="shared" si="14"/>
        <v>0</v>
      </c>
      <c r="AJ70" s="123">
        <f t="shared" si="9"/>
        <v>129</v>
      </c>
      <c r="AK70" t="b">
        <f t="shared" si="15"/>
        <v>0</v>
      </c>
    </row>
    <row r="71" spans="1:37">
      <c r="A71" s="121">
        <v>69</v>
      </c>
      <c r="B71" s="122" t="s">
        <v>2276</v>
      </c>
      <c r="C71" s="122" t="s">
        <v>2282</v>
      </c>
      <c r="D71" s="122" t="s">
        <v>2278</v>
      </c>
      <c r="E71" s="124">
        <v>42767</v>
      </c>
      <c r="F71" s="125">
        <v>0.52430555555555558</v>
      </c>
      <c r="G71" s="124">
        <v>42818</v>
      </c>
      <c r="H71" s="125">
        <v>0.47916666666666669</v>
      </c>
      <c r="I71" s="123">
        <v>910</v>
      </c>
      <c r="J71" s="123">
        <v>448</v>
      </c>
      <c r="K71" s="142" t="str">
        <f t="shared" si="10"/>
        <v>G448</v>
      </c>
      <c r="L71" s="123">
        <v>414</v>
      </c>
      <c r="M71" s="142" t="str">
        <f t="shared" si="11"/>
        <v>R414</v>
      </c>
      <c r="N71" s="123">
        <v>386</v>
      </c>
      <c r="O71" s="142" t="str">
        <f t="shared" si="12"/>
        <v>G386</v>
      </c>
      <c r="P71" s="123">
        <v>251</v>
      </c>
      <c r="Q71" s="142" t="str">
        <f t="shared" si="13"/>
        <v>R251</v>
      </c>
      <c r="R71" s="123">
        <v>23.6</v>
      </c>
      <c r="S71" s="123">
        <v>37.9</v>
      </c>
      <c r="T71" s="123">
        <v>23.3</v>
      </c>
      <c r="U71" s="123">
        <v>24.6</v>
      </c>
      <c r="V71" s="123"/>
      <c r="W71" s="126"/>
      <c r="X71" s="126" t="s">
        <v>2187</v>
      </c>
      <c r="Y71" s="126" t="s">
        <v>2187</v>
      </c>
      <c r="Z71" s="123">
        <v>24.4</v>
      </c>
      <c r="AA71" s="123" t="s">
        <v>2250</v>
      </c>
      <c r="AB71" s="123">
        <v>14.4</v>
      </c>
      <c r="AC71" s="123">
        <v>1</v>
      </c>
      <c r="AD71" s="123"/>
      <c r="AH71" s="123">
        <f t="shared" si="8"/>
        <v>448</v>
      </c>
      <c r="AI71" t="b">
        <f t="shared" si="14"/>
        <v>0</v>
      </c>
      <c r="AJ71" s="123">
        <f t="shared" si="9"/>
        <v>414</v>
      </c>
      <c r="AK71" t="b">
        <f t="shared" si="15"/>
        <v>0</v>
      </c>
    </row>
    <row r="72" spans="1:37">
      <c r="A72" s="121">
        <v>70</v>
      </c>
      <c r="B72" s="122" t="s">
        <v>2276</v>
      </c>
      <c r="C72" s="122" t="s">
        <v>2283</v>
      </c>
      <c r="D72" s="122" t="s">
        <v>2278</v>
      </c>
      <c r="E72" s="124">
        <v>42767</v>
      </c>
      <c r="F72" s="125">
        <v>0.52777777777777779</v>
      </c>
      <c r="G72" s="124">
        <v>42818</v>
      </c>
      <c r="H72" s="125">
        <v>0.48958333333333331</v>
      </c>
      <c r="I72" s="123">
        <v>911</v>
      </c>
      <c r="J72" s="178">
        <v>358</v>
      </c>
      <c r="K72" s="142" t="str">
        <f t="shared" si="10"/>
        <v>G358</v>
      </c>
      <c r="L72" s="123">
        <v>151</v>
      </c>
      <c r="M72" s="142" t="str">
        <f t="shared" si="11"/>
        <v>R151</v>
      </c>
      <c r="N72" s="129">
        <v>414</v>
      </c>
      <c r="O72" s="142" t="str">
        <f t="shared" si="12"/>
        <v>G414</v>
      </c>
      <c r="P72" s="123">
        <v>266</v>
      </c>
      <c r="Q72" s="142" t="str">
        <f t="shared" si="13"/>
        <v>R266</v>
      </c>
      <c r="R72" s="123">
        <v>22.5</v>
      </c>
      <c r="S72" s="123">
        <v>40.799999999999997</v>
      </c>
      <c r="T72" s="123">
        <v>24.9</v>
      </c>
      <c r="U72" s="123">
        <v>23.5</v>
      </c>
      <c r="V72" s="123" t="s">
        <v>2230</v>
      </c>
      <c r="W72" s="126" t="s">
        <v>2230</v>
      </c>
      <c r="X72" s="126" t="s">
        <v>2187</v>
      </c>
      <c r="Y72" s="126" t="s">
        <v>2187</v>
      </c>
      <c r="Z72" s="123">
        <v>28</v>
      </c>
      <c r="AA72" s="123" t="s">
        <v>2250</v>
      </c>
      <c r="AB72" s="123">
        <v>15</v>
      </c>
      <c r="AC72" s="123">
        <v>0</v>
      </c>
      <c r="AD72" s="123"/>
      <c r="AH72" s="123">
        <f t="shared" si="8"/>
        <v>358</v>
      </c>
      <c r="AI72" s="113" t="b">
        <f t="shared" si="14"/>
        <v>0</v>
      </c>
      <c r="AJ72" s="123">
        <f t="shared" si="9"/>
        <v>151</v>
      </c>
      <c r="AK72" t="b">
        <f t="shared" si="15"/>
        <v>0</v>
      </c>
    </row>
    <row r="73" spans="1:37">
      <c r="A73" s="121">
        <v>71</v>
      </c>
      <c r="B73" s="122" t="s">
        <v>2276</v>
      </c>
      <c r="C73" s="122" t="s">
        <v>2284</v>
      </c>
      <c r="D73" s="122" t="s">
        <v>2278</v>
      </c>
      <c r="E73" s="124">
        <v>42767</v>
      </c>
      <c r="F73" s="125">
        <v>0.52777777777777779</v>
      </c>
      <c r="G73" s="124">
        <v>42818</v>
      </c>
      <c r="H73" s="125">
        <v>0.5</v>
      </c>
      <c r="I73" s="123">
        <v>912</v>
      </c>
      <c r="J73" s="123">
        <v>511</v>
      </c>
      <c r="K73" s="142" t="str">
        <f t="shared" si="10"/>
        <v>G511</v>
      </c>
      <c r="L73" s="123">
        <v>95</v>
      </c>
      <c r="M73" s="142" t="str">
        <f t="shared" si="11"/>
        <v>R95</v>
      </c>
      <c r="N73" s="123">
        <v>459</v>
      </c>
      <c r="O73" s="142" t="str">
        <f t="shared" si="12"/>
        <v>G459</v>
      </c>
      <c r="P73" s="123">
        <v>528</v>
      </c>
      <c r="Q73" s="142" t="str">
        <f t="shared" si="13"/>
        <v>R528</v>
      </c>
      <c r="R73" s="123">
        <v>21</v>
      </c>
      <c r="S73" s="123">
        <v>35.1</v>
      </c>
      <c r="T73" s="123">
        <v>22.9</v>
      </c>
      <c r="U73" s="123">
        <v>23.6</v>
      </c>
      <c r="V73" s="123" t="s">
        <v>2187</v>
      </c>
      <c r="W73" s="126" t="s">
        <v>2187</v>
      </c>
      <c r="X73" s="126" t="s">
        <v>2187</v>
      </c>
      <c r="Y73" s="126"/>
      <c r="Z73" s="123">
        <v>32</v>
      </c>
      <c r="AA73" s="123" t="s">
        <v>2250</v>
      </c>
      <c r="AB73" s="123">
        <v>15.5</v>
      </c>
      <c r="AC73" s="123">
        <v>1</v>
      </c>
      <c r="AD73" s="123"/>
      <c r="AH73" s="123">
        <f t="shared" si="8"/>
        <v>511</v>
      </c>
      <c r="AI73" t="b">
        <f t="shared" si="14"/>
        <v>0</v>
      </c>
      <c r="AJ73" s="123">
        <f t="shared" si="9"/>
        <v>95</v>
      </c>
      <c r="AK73" t="b">
        <f t="shared" si="15"/>
        <v>0</v>
      </c>
    </row>
    <row r="74" spans="1:37">
      <c r="A74" s="121">
        <v>72</v>
      </c>
      <c r="B74" s="122" t="s">
        <v>2276</v>
      </c>
      <c r="C74" s="122" t="s">
        <v>2285</v>
      </c>
      <c r="D74" s="122" t="s">
        <v>2278</v>
      </c>
      <c r="E74" s="124">
        <v>42767</v>
      </c>
      <c r="F74" s="125">
        <v>0.53125</v>
      </c>
      <c r="G74" s="124">
        <v>42818</v>
      </c>
      <c r="H74" s="125">
        <v>0.50347222222222221</v>
      </c>
      <c r="I74" s="123">
        <v>913</v>
      </c>
      <c r="J74" s="123">
        <v>383</v>
      </c>
      <c r="K74" s="142" t="str">
        <f t="shared" si="10"/>
        <v>G383</v>
      </c>
      <c r="L74" s="123">
        <v>546</v>
      </c>
      <c r="M74" s="142" t="str">
        <f t="shared" si="11"/>
        <v>R546</v>
      </c>
      <c r="N74" s="123">
        <v>627</v>
      </c>
      <c r="O74" s="142" t="str">
        <f t="shared" si="12"/>
        <v>G627</v>
      </c>
      <c r="P74" s="178">
        <v>14</v>
      </c>
      <c r="Q74" s="142" t="str">
        <f t="shared" si="13"/>
        <v>R14</v>
      </c>
      <c r="R74" s="164">
        <v>21.2</v>
      </c>
      <c r="S74" s="164">
        <v>37.799999999999997</v>
      </c>
      <c r="T74" s="123">
        <v>22.6</v>
      </c>
      <c r="U74" s="123">
        <v>26.2</v>
      </c>
      <c r="V74" s="123" t="s">
        <v>2187</v>
      </c>
      <c r="W74" s="126"/>
      <c r="X74" s="126" t="s">
        <v>2187</v>
      </c>
      <c r="Y74" s="126"/>
      <c r="Z74" s="123">
        <v>44</v>
      </c>
      <c r="AA74" s="123" t="s">
        <v>2250</v>
      </c>
      <c r="AB74" s="123">
        <v>2.6</v>
      </c>
      <c r="AC74" s="123">
        <v>1</v>
      </c>
      <c r="AD74" s="123" t="s">
        <v>2253</v>
      </c>
      <c r="AH74" s="123">
        <f t="shared" si="8"/>
        <v>383</v>
      </c>
      <c r="AI74" t="b">
        <f t="shared" si="14"/>
        <v>0</v>
      </c>
      <c r="AJ74" s="123">
        <f t="shared" si="9"/>
        <v>546</v>
      </c>
      <c r="AK74" t="b">
        <f t="shared" si="15"/>
        <v>0</v>
      </c>
    </row>
    <row r="75" spans="1:37">
      <c r="A75" s="121">
        <v>73</v>
      </c>
      <c r="B75" s="122" t="s">
        <v>2276</v>
      </c>
      <c r="C75" s="122" t="s">
        <v>2286</v>
      </c>
      <c r="D75" s="122" t="s">
        <v>2287</v>
      </c>
      <c r="E75" s="124">
        <v>42767</v>
      </c>
      <c r="F75" s="125">
        <v>0.54166666666666663</v>
      </c>
      <c r="G75" s="124">
        <v>42818</v>
      </c>
      <c r="H75" s="125">
        <v>0.57291666666666663</v>
      </c>
      <c r="I75" s="123">
        <v>1132</v>
      </c>
      <c r="J75" s="123">
        <v>549</v>
      </c>
      <c r="K75" s="142" t="str">
        <f t="shared" si="10"/>
        <v>G549</v>
      </c>
      <c r="L75" s="123">
        <v>438</v>
      </c>
      <c r="M75" s="142" t="str">
        <f t="shared" si="11"/>
        <v>R438</v>
      </c>
      <c r="N75" s="123">
        <v>498</v>
      </c>
      <c r="O75" s="142" t="str">
        <f t="shared" si="12"/>
        <v>G498</v>
      </c>
      <c r="P75" s="123">
        <v>393</v>
      </c>
      <c r="Q75" s="142" t="str">
        <f t="shared" si="13"/>
        <v>R393</v>
      </c>
      <c r="R75" s="123">
        <v>23.1</v>
      </c>
      <c r="S75" s="123">
        <v>35.200000000000003</v>
      </c>
      <c r="T75" s="123">
        <v>29.2</v>
      </c>
      <c r="U75" s="123">
        <v>20.5</v>
      </c>
      <c r="V75" s="123" t="s">
        <v>2206</v>
      </c>
      <c r="W75" s="126" t="s">
        <v>2206</v>
      </c>
      <c r="X75" s="126" t="s">
        <v>2187</v>
      </c>
      <c r="Y75" s="126" t="s">
        <v>2187</v>
      </c>
      <c r="Z75" s="123">
        <v>10</v>
      </c>
      <c r="AA75" s="123" t="s">
        <v>2180</v>
      </c>
      <c r="AB75" s="123">
        <v>9.1</v>
      </c>
      <c r="AC75" s="123">
        <v>1</v>
      </c>
      <c r="AD75" s="123"/>
      <c r="AH75" s="123">
        <f t="shared" si="8"/>
        <v>549</v>
      </c>
      <c r="AI75" t="b">
        <f t="shared" si="14"/>
        <v>0</v>
      </c>
      <c r="AJ75" s="123">
        <f t="shared" si="9"/>
        <v>438</v>
      </c>
      <c r="AK75" t="b">
        <f t="shared" si="15"/>
        <v>0</v>
      </c>
    </row>
    <row r="76" spans="1:37">
      <c r="A76" s="121">
        <v>74</v>
      </c>
      <c r="B76" s="122" t="s">
        <v>2276</v>
      </c>
      <c r="C76" s="122" t="s">
        <v>2288</v>
      </c>
      <c r="D76" s="122" t="s">
        <v>2287</v>
      </c>
      <c r="E76" s="124">
        <v>42767</v>
      </c>
      <c r="F76" s="125">
        <v>0.54166666666666663</v>
      </c>
      <c r="G76" s="124">
        <v>42818</v>
      </c>
      <c r="H76" s="125">
        <v>0.55555555555555558</v>
      </c>
      <c r="I76" s="123">
        <v>1129</v>
      </c>
      <c r="J76" s="123">
        <v>605</v>
      </c>
      <c r="K76" s="142" t="str">
        <f t="shared" si="10"/>
        <v>G605</v>
      </c>
      <c r="L76" s="123">
        <v>122</v>
      </c>
      <c r="M76" s="142" t="str">
        <f t="shared" si="11"/>
        <v>R122</v>
      </c>
      <c r="N76" s="123">
        <v>579</v>
      </c>
      <c r="O76" s="142" t="str">
        <f t="shared" si="12"/>
        <v>G579</v>
      </c>
      <c r="P76" s="123">
        <v>138</v>
      </c>
      <c r="Q76" s="142" t="str">
        <f t="shared" si="13"/>
        <v>R138</v>
      </c>
      <c r="R76" s="123">
        <v>23</v>
      </c>
      <c r="S76" s="123">
        <v>29</v>
      </c>
      <c r="T76" s="123">
        <v>25.7</v>
      </c>
      <c r="U76" s="123">
        <v>20.3</v>
      </c>
      <c r="V76" s="123" t="s">
        <v>2206</v>
      </c>
      <c r="W76" s="126" t="s">
        <v>2195</v>
      </c>
      <c r="X76" s="126" t="s">
        <v>2187</v>
      </c>
      <c r="Y76" s="126"/>
      <c r="Z76" s="123">
        <v>9.4</v>
      </c>
      <c r="AA76" s="123" t="s">
        <v>2180</v>
      </c>
      <c r="AB76" s="123">
        <v>7.7</v>
      </c>
      <c r="AC76" s="123">
        <v>1</v>
      </c>
      <c r="AD76" s="123"/>
      <c r="AH76" s="123">
        <f t="shared" si="8"/>
        <v>605</v>
      </c>
      <c r="AI76" t="b">
        <f t="shared" si="14"/>
        <v>0</v>
      </c>
      <c r="AJ76" s="123">
        <f t="shared" si="9"/>
        <v>122</v>
      </c>
      <c r="AK76" t="b">
        <f t="shared" si="15"/>
        <v>0</v>
      </c>
    </row>
    <row r="77" spans="1:37">
      <c r="A77" s="121">
        <v>75</v>
      </c>
      <c r="B77" s="122" t="s">
        <v>2276</v>
      </c>
      <c r="C77" s="122" t="s">
        <v>2289</v>
      </c>
      <c r="D77" s="122" t="s">
        <v>2287</v>
      </c>
      <c r="E77" s="124">
        <v>42767</v>
      </c>
      <c r="F77" s="125">
        <v>0.54513888888888895</v>
      </c>
      <c r="G77" s="124">
        <v>42818</v>
      </c>
      <c r="H77" s="125">
        <v>0.625</v>
      </c>
      <c r="I77" s="123">
        <v>1133</v>
      </c>
      <c r="J77" s="123">
        <v>408</v>
      </c>
      <c r="K77" s="142" t="str">
        <f t="shared" si="10"/>
        <v>G408</v>
      </c>
      <c r="L77" s="123">
        <v>404</v>
      </c>
      <c r="M77" s="142" t="str">
        <f t="shared" si="11"/>
        <v>R404</v>
      </c>
      <c r="N77" s="123">
        <v>373</v>
      </c>
      <c r="O77" s="142" t="str">
        <f t="shared" si="12"/>
        <v>G373</v>
      </c>
      <c r="P77">
        <v>311</v>
      </c>
      <c r="Q77" s="142" t="str">
        <f t="shared" si="13"/>
        <v>R311</v>
      </c>
      <c r="R77" s="123">
        <v>20.8</v>
      </c>
      <c r="S77" s="123">
        <v>34.200000000000003</v>
      </c>
      <c r="T77" s="123">
        <v>30.5</v>
      </c>
      <c r="U77" s="123">
        <v>20.100000000000001</v>
      </c>
      <c r="V77" s="123" t="s">
        <v>2206</v>
      </c>
      <c r="W77" s="126" t="s">
        <v>2200</v>
      </c>
      <c r="X77" s="126" t="s">
        <v>2187</v>
      </c>
      <c r="Y77" s="126"/>
      <c r="Z77" s="123">
        <v>13.8</v>
      </c>
      <c r="AA77" s="123" t="s">
        <v>2250</v>
      </c>
      <c r="AB77" s="123">
        <v>6.1</v>
      </c>
      <c r="AC77" s="123">
        <v>0</v>
      </c>
      <c r="AD77" s="123"/>
      <c r="AH77" s="123">
        <f t="shared" si="8"/>
        <v>408</v>
      </c>
      <c r="AI77" t="b">
        <f t="shared" si="14"/>
        <v>0</v>
      </c>
      <c r="AJ77" s="123">
        <f t="shared" si="9"/>
        <v>404</v>
      </c>
      <c r="AK77" t="b">
        <f t="shared" si="15"/>
        <v>0</v>
      </c>
    </row>
    <row r="78" spans="1:37">
      <c r="A78" s="121">
        <v>76</v>
      </c>
      <c r="B78" s="122" t="s">
        <v>2276</v>
      </c>
      <c r="C78" s="122" t="s">
        <v>2290</v>
      </c>
      <c r="D78" s="122" t="s">
        <v>2287</v>
      </c>
      <c r="E78" s="124">
        <v>42767</v>
      </c>
      <c r="F78" s="125">
        <v>0.54861111111111105</v>
      </c>
      <c r="G78" s="124">
        <v>42818</v>
      </c>
      <c r="H78" s="125">
        <v>0.58333333333333337</v>
      </c>
      <c r="I78" s="123">
        <v>917</v>
      </c>
      <c r="J78">
        <v>416</v>
      </c>
      <c r="K78" s="142" t="str">
        <f t="shared" si="10"/>
        <v>G416</v>
      </c>
      <c r="L78" s="123">
        <v>501</v>
      </c>
      <c r="M78" s="142" t="str">
        <f t="shared" si="11"/>
        <v>R501</v>
      </c>
      <c r="N78" s="123">
        <v>603</v>
      </c>
      <c r="O78" s="142" t="str">
        <f t="shared" si="12"/>
        <v>G603</v>
      </c>
      <c r="P78" s="123">
        <v>183</v>
      </c>
      <c r="Q78" s="142" t="str">
        <f t="shared" si="13"/>
        <v>R183</v>
      </c>
      <c r="R78" s="123">
        <v>22.4</v>
      </c>
      <c r="S78" s="123">
        <v>34.1</v>
      </c>
      <c r="T78" s="123">
        <v>25</v>
      </c>
      <c r="U78" s="123">
        <v>19.5</v>
      </c>
      <c r="V78" s="123" t="s">
        <v>2179</v>
      </c>
      <c r="W78" s="126" t="s">
        <v>2179</v>
      </c>
      <c r="X78" s="126" t="s">
        <v>2187</v>
      </c>
      <c r="Y78" s="126"/>
      <c r="Z78" s="123">
        <v>19.3</v>
      </c>
      <c r="AA78" s="123" t="s">
        <v>2180</v>
      </c>
      <c r="AB78" s="123">
        <v>6.7</v>
      </c>
      <c r="AC78" s="123">
        <v>1</v>
      </c>
      <c r="AD78" s="123"/>
      <c r="AH78" s="129">
        <f t="shared" si="8"/>
        <v>416</v>
      </c>
      <c r="AI78" t="b">
        <f t="shared" si="14"/>
        <v>0</v>
      </c>
      <c r="AJ78" s="123">
        <f t="shared" si="9"/>
        <v>501</v>
      </c>
      <c r="AK78" t="b">
        <f t="shared" si="15"/>
        <v>0</v>
      </c>
    </row>
    <row r="79" spans="1:37">
      <c r="A79" s="121">
        <v>77</v>
      </c>
      <c r="B79" s="122" t="s">
        <v>2276</v>
      </c>
      <c r="C79" s="122" t="s">
        <v>2291</v>
      </c>
      <c r="D79" s="122" t="s">
        <v>2287</v>
      </c>
      <c r="E79" s="124">
        <v>42767</v>
      </c>
      <c r="F79" s="125">
        <v>0.55208333333333337</v>
      </c>
      <c r="G79" s="124">
        <v>42818</v>
      </c>
      <c r="H79" s="125">
        <v>0.67708333333333337</v>
      </c>
      <c r="I79" s="123">
        <v>1134</v>
      </c>
      <c r="J79">
        <v>594</v>
      </c>
      <c r="K79" s="142" t="str">
        <f t="shared" si="10"/>
        <v>G594</v>
      </c>
      <c r="L79" s="123">
        <v>137</v>
      </c>
      <c r="M79" s="142" t="str">
        <f t="shared" si="11"/>
        <v>R137</v>
      </c>
      <c r="N79" s="123">
        <v>509</v>
      </c>
      <c r="O79" s="142" t="str">
        <f t="shared" si="12"/>
        <v>G509</v>
      </c>
      <c r="P79" s="123">
        <v>228</v>
      </c>
      <c r="Q79" s="142" t="str">
        <f t="shared" si="13"/>
        <v>R228</v>
      </c>
      <c r="R79" s="123">
        <v>23.6</v>
      </c>
      <c r="S79" s="123">
        <v>27.6</v>
      </c>
      <c r="T79" s="123">
        <v>28.3</v>
      </c>
      <c r="U79" s="123">
        <v>24.3</v>
      </c>
      <c r="V79" s="123" t="s">
        <v>2187</v>
      </c>
      <c r="W79" s="126" t="s">
        <v>2187</v>
      </c>
      <c r="X79" s="126" t="s">
        <v>2187</v>
      </c>
      <c r="Y79" s="126"/>
      <c r="Z79" s="123">
        <v>9.8000000000000007</v>
      </c>
      <c r="AA79" s="123" t="s">
        <v>2250</v>
      </c>
      <c r="AB79" s="123">
        <v>3.1</v>
      </c>
      <c r="AC79" s="123">
        <v>1</v>
      </c>
      <c r="AD79" s="123"/>
      <c r="AH79" s="123">
        <f t="shared" si="8"/>
        <v>594</v>
      </c>
      <c r="AI79" t="b">
        <f t="shared" si="14"/>
        <v>0</v>
      </c>
      <c r="AJ79" s="123">
        <f t="shared" si="9"/>
        <v>137</v>
      </c>
      <c r="AK79" t="b">
        <f t="shared" si="15"/>
        <v>0</v>
      </c>
    </row>
    <row r="80" spans="1:37">
      <c r="A80" s="121">
        <v>78</v>
      </c>
      <c r="B80" s="122" t="s">
        <v>2276</v>
      </c>
      <c r="C80" s="122" t="s">
        <v>2292</v>
      </c>
      <c r="D80" s="122" t="s">
        <v>2287</v>
      </c>
      <c r="E80" s="124">
        <v>42767</v>
      </c>
      <c r="F80" s="125">
        <v>0.55208333333333337</v>
      </c>
      <c r="G80" s="124">
        <v>42818</v>
      </c>
      <c r="H80" s="125">
        <v>0.66319444444444442</v>
      </c>
      <c r="I80" s="123">
        <v>1135</v>
      </c>
      <c r="J80" s="123">
        <v>460</v>
      </c>
      <c r="K80" s="142" t="str">
        <f t="shared" si="10"/>
        <v>G460</v>
      </c>
      <c r="L80" s="123">
        <v>278</v>
      </c>
      <c r="M80" s="142" t="str">
        <f t="shared" si="11"/>
        <v>R278</v>
      </c>
      <c r="N80" s="123">
        <v>446</v>
      </c>
      <c r="O80" s="142" t="str">
        <f t="shared" si="12"/>
        <v>G446</v>
      </c>
      <c r="P80" s="123">
        <v>100</v>
      </c>
      <c r="Q80" s="142" t="str">
        <f t="shared" si="13"/>
        <v>R100</v>
      </c>
      <c r="R80" s="123">
        <v>23.5</v>
      </c>
      <c r="S80" s="123">
        <v>27.7</v>
      </c>
      <c r="T80" s="123">
        <v>32</v>
      </c>
      <c r="U80" s="123">
        <v>20.6</v>
      </c>
      <c r="V80" s="123" t="s">
        <v>2187</v>
      </c>
      <c r="W80" s="126" t="s">
        <v>2187</v>
      </c>
      <c r="X80" s="126" t="s">
        <v>2187</v>
      </c>
      <c r="Y80" s="126"/>
      <c r="Z80" s="123">
        <v>15.4</v>
      </c>
      <c r="AA80" s="123" t="s">
        <v>2180</v>
      </c>
      <c r="AB80" s="123">
        <v>10.4</v>
      </c>
      <c r="AC80" s="123">
        <v>1</v>
      </c>
      <c r="AD80" s="123"/>
      <c r="AH80" s="123">
        <f t="shared" si="8"/>
        <v>460</v>
      </c>
      <c r="AI80" t="b">
        <f t="shared" si="14"/>
        <v>0</v>
      </c>
      <c r="AJ80" s="123">
        <f t="shared" si="9"/>
        <v>278</v>
      </c>
      <c r="AK80" t="b">
        <f t="shared" si="15"/>
        <v>0</v>
      </c>
    </row>
    <row r="81" spans="1:37">
      <c r="A81" s="121">
        <v>79</v>
      </c>
      <c r="B81" s="122" t="s">
        <v>2276</v>
      </c>
      <c r="C81" s="122" t="s">
        <v>2293</v>
      </c>
      <c r="D81" s="122" t="s">
        <v>2287</v>
      </c>
      <c r="E81" s="124">
        <v>42767</v>
      </c>
      <c r="F81" s="125">
        <v>0.55555555555555558</v>
      </c>
      <c r="G81" s="124">
        <v>42818</v>
      </c>
      <c r="H81" s="125">
        <v>0.60416666666666663</v>
      </c>
      <c r="I81" s="123">
        <v>920</v>
      </c>
      <c r="J81" s="123">
        <v>217</v>
      </c>
      <c r="K81" s="142" t="str">
        <f t="shared" si="10"/>
        <v>G217</v>
      </c>
      <c r="L81" s="123">
        <v>235</v>
      </c>
      <c r="M81" s="142" t="str">
        <f t="shared" si="11"/>
        <v>R235</v>
      </c>
      <c r="N81" s="123">
        <v>249</v>
      </c>
      <c r="O81" s="142" t="str">
        <f t="shared" si="12"/>
        <v>G249</v>
      </c>
      <c r="P81" s="123">
        <v>56</v>
      </c>
      <c r="Q81" s="142" t="str">
        <f t="shared" si="13"/>
        <v>R56</v>
      </c>
      <c r="R81" s="123">
        <v>21.9</v>
      </c>
      <c r="S81" s="123">
        <v>35.299999999999997</v>
      </c>
      <c r="T81" s="123">
        <v>30.6</v>
      </c>
      <c r="U81" s="123">
        <v>18.5</v>
      </c>
      <c r="V81" s="123" t="s">
        <v>2187</v>
      </c>
      <c r="W81" s="126" t="s">
        <v>2187</v>
      </c>
      <c r="X81" s="126" t="s">
        <v>2187</v>
      </c>
      <c r="Y81" s="126"/>
      <c r="Z81" s="123">
        <v>5</v>
      </c>
      <c r="AA81" s="123" t="s">
        <v>2228</v>
      </c>
      <c r="AB81" s="123">
        <v>3</v>
      </c>
      <c r="AC81" s="123">
        <v>1</v>
      </c>
      <c r="AD81" s="123"/>
      <c r="AH81" s="123">
        <f t="shared" si="8"/>
        <v>217</v>
      </c>
      <c r="AI81" t="b">
        <f t="shared" si="14"/>
        <v>0</v>
      </c>
      <c r="AJ81" s="123">
        <f t="shared" si="9"/>
        <v>235</v>
      </c>
      <c r="AK81" t="b">
        <f t="shared" si="15"/>
        <v>0</v>
      </c>
    </row>
    <row r="82" spans="1:37">
      <c r="A82" s="121">
        <v>80</v>
      </c>
      <c r="B82" s="122" t="s">
        <v>2276</v>
      </c>
      <c r="C82" s="122" t="s">
        <v>2294</v>
      </c>
      <c r="D82" s="122" t="s">
        <v>2287</v>
      </c>
      <c r="E82" s="124">
        <v>42767</v>
      </c>
      <c r="F82" s="125">
        <v>0.5625</v>
      </c>
      <c r="G82" s="124">
        <v>42818</v>
      </c>
      <c r="H82" s="125">
        <v>0.61458333333333337</v>
      </c>
      <c r="I82" s="123">
        <v>1103</v>
      </c>
      <c r="J82" s="123">
        <v>607</v>
      </c>
      <c r="K82" s="142" t="str">
        <f t="shared" si="10"/>
        <v>G607</v>
      </c>
      <c r="L82" s="123">
        <v>181</v>
      </c>
      <c r="M82" s="142" t="str">
        <f t="shared" si="11"/>
        <v>R181</v>
      </c>
      <c r="N82" s="123">
        <v>474</v>
      </c>
      <c r="O82" s="142" t="str">
        <f t="shared" si="12"/>
        <v>G474</v>
      </c>
      <c r="P82" s="129">
        <v>68</v>
      </c>
      <c r="Q82" s="142" t="str">
        <f t="shared" si="13"/>
        <v>R68</v>
      </c>
      <c r="R82" s="123">
        <v>23.1</v>
      </c>
      <c r="S82" s="123">
        <v>35.200000000000003</v>
      </c>
      <c r="T82" s="123">
        <v>31.8</v>
      </c>
      <c r="U82" s="123">
        <v>21.9</v>
      </c>
      <c r="V82" s="123" t="s">
        <v>2195</v>
      </c>
      <c r="W82" s="126" t="s">
        <v>2179</v>
      </c>
      <c r="X82" s="126" t="s">
        <v>2187</v>
      </c>
      <c r="Y82" s="126"/>
      <c r="Z82" s="123">
        <v>12.4</v>
      </c>
      <c r="AA82" s="123" t="s">
        <v>2250</v>
      </c>
      <c r="AB82" s="123">
        <v>2.7</v>
      </c>
      <c r="AC82" s="123">
        <v>1</v>
      </c>
      <c r="AD82" s="123"/>
      <c r="AH82" s="123">
        <f t="shared" si="8"/>
        <v>607</v>
      </c>
      <c r="AI82" t="b">
        <f t="shared" si="14"/>
        <v>0</v>
      </c>
      <c r="AJ82" s="123">
        <f t="shared" si="9"/>
        <v>181</v>
      </c>
      <c r="AK82" t="b">
        <f t="shared" si="15"/>
        <v>0</v>
      </c>
    </row>
    <row r="83" spans="1:37">
      <c r="A83" s="121">
        <v>81</v>
      </c>
      <c r="B83" s="122" t="s">
        <v>2276</v>
      </c>
      <c r="C83" s="122" t="s">
        <v>2295</v>
      </c>
      <c r="D83" s="122" t="s">
        <v>2296</v>
      </c>
      <c r="E83" s="124">
        <v>42767</v>
      </c>
      <c r="F83" s="125">
        <v>0.4548611111111111</v>
      </c>
      <c r="G83" s="124">
        <v>42818</v>
      </c>
      <c r="H83" s="125">
        <v>0.69444444444444453</v>
      </c>
      <c r="I83" s="123">
        <v>892</v>
      </c>
      <c r="J83" s="123">
        <v>542</v>
      </c>
      <c r="K83" s="142" t="str">
        <f t="shared" si="10"/>
        <v>G542</v>
      </c>
      <c r="L83" s="123">
        <v>187</v>
      </c>
      <c r="M83" s="142" t="str">
        <f t="shared" si="11"/>
        <v>R187</v>
      </c>
      <c r="N83" s="123">
        <v>475</v>
      </c>
      <c r="O83" s="142" t="str">
        <f t="shared" si="12"/>
        <v>G475</v>
      </c>
      <c r="P83" s="123">
        <v>293</v>
      </c>
      <c r="Q83" s="142" t="str">
        <f t="shared" si="13"/>
        <v>R293</v>
      </c>
      <c r="R83" s="129">
        <v>22.8</v>
      </c>
      <c r="S83" s="129">
        <v>29.4</v>
      </c>
      <c r="T83" s="123">
        <v>30.5</v>
      </c>
      <c r="U83" s="123">
        <v>23.3</v>
      </c>
      <c r="V83" s="123" t="s">
        <v>2200</v>
      </c>
      <c r="W83" s="126"/>
      <c r="X83" s="126" t="s">
        <v>2187</v>
      </c>
      <c r="Y83" s="126" t="s">
        <v>2187</v>
      </c>
      <c r="Z83" s="123">
        <v>13.3</v>
      </c>
      <c r="AA83" s="123" t="s">
        <v>2250</v>
      </c>
      <c r="AB83" s="123">
        <v>6.2</v>
      </c>
      <c r="AC83" s="123">
        <v>0</v>
      </c>
      <c r="AD83" s="123"/>
      <c r="AH83" s="123">
        <f t="shared" si="8"/>
        <v>542</v>
      </c>
      <c r="AI83" t="b">
        <f t="shared" si="14"/>
        <v>0</v>
      </c>
      <c r="AJ83" s="123">
        <f t="shared" si="9"/>
        <v>187</v>
      </c>
      <c r="AK83" t="b">
        <f t="shared" si="15"/>
        <v>0</v>
      </c>
    </row>
    <row r="84" spans="1:37">
      <c r="A84" s="121">
        <v>82</v>
      </c>
      <c r="B84" s="122" t="s">
        <v>2276</v>
      </c>
      <c r="C84" s="122" t="s">
        <v>2298</v>
      </c>
      <c r="D84" s="122" t="s">
        <v>2296</v>
      </c>
      <c r="E84" s="124">
        <v>42767</v>
      </c>
      <c r="F84" s="125">
        <v>0.45833333333333331</v>
      </c>
      <c r="G84" s="124">
        <v>42819</v>
      </c>
      <c r="H84" s="125">
        <v>0.54861111111111105</v>
      </c>
      <c r="I84" s="123">
        <v>1128</v>
      </c>
      <c r="J84" s="123">
        <v>536</v>
      </c>
      <c r="K84" s="142" t="str">
        <f t="shared" si="10"/>
        <v>G536</v>
      </c>
      <c r="L84" s="123">
        <v>83</v>
      </c>
      <c r="M84" s="142" t="str">
        <f t="shared" si="11"/>
        <v>R83</v>
      </c>
      <c r="N84" s="123">
        <v>840</v>
      </c>
      <c r="O84" s="142" t="str">
        <f t="shared" si="12"/>
        <v>G840</v>
      </c>
      <c r="P84" s="123">
        <v>368</v>
      </c>
      <c r="Q84" s="142" t="str">
        <f t="shared" si="13"/>
        <v>R368</v>
      </c>
      <c r="R84" s="123">
        <v>22.1</v>
      </c>
      <c r="S84" s="123">
        <v>34.6</v>
      </c>
      <c r="T84" s="123">
        <v>24</v>
      </c>
      <c r="U84" s="123">
        <v>18.600000000000001</v>
      </c>
      <c r="V84" s="123" t="s">
        <v>2200</v>
      </c>
      <c r="W84" s="126" t="s">
        <v>2200</v>
      </c>
      <c r="X84" s="126" t="s">
        <v>2187</v>
      </c>
      <c r="Y84" s="126"/>
      <c r="Z84" s="123">
        <v>16.600000000000001</v>
      </c>
      <c r="AA84" s="123" t="s">
        <v>2250</v>
      </c>
      <c r="AB84" s="123">
        <v>2.4</v>
      </c>
      <c r="AC84" s="123"/>
      <c r="AD84" s="123"/>
      <c r="AH84" s="123">
        <f t="shared" si="8"/>
        <v>536</v>
      </c>
      <c r="AI84" t="b">
        <f t="shared" si="14"/>
        <v>0</v>
      </c>
      <c r="AJ84" s="123">
        <f t="shared" si="9"/>
        <v>83</v>
      </c>
      <c r="AK84" t="b">
        <f t="shared" si="15"/>
        <v>0</v>
      </c>
    </row>
    <row r="85" spans="1:37">
      <c r="A85" s="121">
        <v>83</v>
      </c>
      <c r="B85" s="122" t="s">
        <v>2276</v>
      </c>
      <c r="C85" s="122" t="s">
        <v>2299</v>
      </c>
      <c r="D85" s="122" t="s">
        <v>2296</v>
      </c>
      <c r="E85" s="124">
        <v>42767</v>
      </c>
      <c r="F85" s="125">
        <v>0.43402777777777773</v>
      </c>
      <c r="G85" s="124">
        <v>42819</v>
      </c>
      <c r="H85" s="125">
        <v>0.70833333333333337</v>
      </c>
      <c r="I85" s="123">
        <v>886</v>
      </c>
      <c r="J85" s="123">
        <v>494</v>
      </c>
      <c r="K85" s="142" t="str">
        <f t="shared" si="10"/>
        <v>G494</v>
      </c>
      <c r="L85" s="123">
        <v>134</v>
      </c>
      <c r="M85" s="142" t="str">
        <f t="shared" si="11"/>
        <v>R134</v>
      </c>
      <c r="N85" s="123">
        <v>298</v>
      </c>
      <c r="O85" s="142" t="str">
        <f t="shared" si="12"/>
        <v>G298</v>
      </c>
      <c r="P85" s="123">
        <v>22</v>
      </c>
      <c r="Q85" s="142" t="str">
        <f t="shared" si="13"/>
        <v>R22</v>
      </c>
      <c r="R85" s="123">
        <v>20.5</v>
      </c>
      <c r="S85" s="123">
        <v>37.299999999999997</v>
      </c>
      <c r="T85" s="123">
        <v>29.6</v>
      </c>
      <c r="U85" s="123">
        <v>22.9</v>
      </c>
      <c r="V85" s="123" t="s">
        <v>2187</v>
      </c>
      <c r="W85" s="126" t="s">
        <v>2179</v>
      </c>
      <c r="X85" s="126" t="s">
        <v>2187</v>
      </c>
      <c r="Y85" s="126"/>
      <c r="Z85" s="123">
        <v>42</v>
      </c>
      <c r="AA85" s="123" t="s">
        <v>2180</v>
      </c>
      <c r="AB85" s="123">
        <v>6.4</v>
      </c>
      <c r="AC85" s="123">
        <v>1</v>
      </c>
      <c r="AD85" s="123"/>
      <c r="AH85" s="123">
        <f t="shared" si="8"/>
        <v>494</v>
      </c>
      <c r="AI85" t="b">
        <f t="shared" si="14"/>
        <v>0</v>
      </c>
      <c r="AJ85" s="123">
        <f t="shared" si="9"/>
        <v>134</v>
      </c>
      <c r="AK85" t="b">
        <f t="shared" si="15"/>
        <v>0</v>
      </c>
    </row>
    <row r="86" spans="1:37">
      <c r="A86" s="121">
        <v>84</v>
      </c>
      <c r="B86" s="122" t="s">
        <v>2276</v>
      </c>
      <c r="C86" s="122" t="s">
        <v>2300</v>
      </c>
      <c r="D86" s="122" t="s">
        <v>2296</v>
      </c>
      <c r="E86" s="124">
        <v>42767</v>
      </c>
      <c r="F86" s="125">
        <v>0.4375</v>
      </c>
      <c r="G86" s="124">
        <v>42819</v>
      </c>
      <c r="H86" s="125">
        <v>0.71527777777777779</v>
      </c>
      <c r="I86" s="123">
        <v>887</v>
      </c>
      <c r="J86" s="132">
        <v>291</v>
      </c>
      <c r="K86" s="142" t="str">
        <f t="shared" si="10"/>
        <v>G291</v>
      </c>
      <c r="L86" s="123">
        <v>49</v>
      </c>
      <c r="M86" s="142" t="str">
        <f t="shared" si="11"/>
        <v>R49</v>
      </c>
      <c r="N86" s="123">
        <v>520</v>
      </c>
      <c r="O86" s="142" t="str">
        <f t="shared" si="12"/>
        <v>G520</v>
      </c>
      <c r="P86" s="123">
        <v>417</v>
      </c>
      <c r="Q86" s="142" t="str">
        <f t="shared" si="13"/>
        <v>R417</v>
      </c>
      <c r="R86" s="123">
        <v>19.8</v>
      </c>
      <c r="S86" s="123">
        <v>33.6</v>
      </c>
      <c r="T86" s="123">
        <v>27.4</v>
      </c>
      <c r="U86" s="123">
        <v>21.9</v>
      </c>
      <c r="V86" s="123" t="s">
        <v>2187</v>
      </c>
      <c r="W86" s="126" t="s">
        <v>2187</v>
      </c>
      <c r="X86" s="126" t="s">
        <v>2187</v>
      </c>
      <c r="Y86" s="126" t="s">
        <v>2187</v>
      </c>
      <c r="Z86" s="123">
        <v>55.8</v>
      </c>
      <c r="AA86" s="123" t="s">
        <v>2180</v>
      </c>
      <c r="AB86" s="123">
        <v>5.5</v>
      </c>
      <c r="AC86" s="123">
        <v>1</v>
      </c>
      <c r="AD86" s="123"/>
      <c r="AH86" s="129">
        <f t="shared" si="8"/>
        <v>291</v>
      </c>
      <c r="AI86" t="b">
        <f t="shared" si="14"/>
        <v>0</v>
      </c>
      <c r="AJ86" s="123">
        <f t="shared" si="9"/>
        <v>49</v>
      </c>
      <c r="AK86" t="b">
        <f t="shared" si="15"/>
        <v>0</v>
      </c>
    </row>
    <row r="87" spans="1:37">
      <c r="A87" s="121">
        <v>85</v>
      </c>
      <c r="B87" s="122" t="s">
        <v>2276</v>
      </c>
      <c r="C87" s="122" t="s">
        <v>2301</v>
      </c>
      <c r="D87" s="122" t="s">
        <v>2296</v>
      </c>
      <c r="E87" s="124">
        <v>42767</v>
      </c>
      <c r="F87" s="125">
        <v>0.44097222222222227</v>
      </c>
      <c r="G87" s="124">
        <v>42819</v>
      </c>
      <c r="H87" s="125">
        <v>0.71875</v>
      </c>
      <c r="I87" s="123">
        <v>888</v>
      </c>
      <c r="J87" s="123">
        <v>308</v>
      </c>
      <c r="K87" s="142" t="str">
        <f t="shared" si="10"/>
        <v>G308</v>
      </c>
      <c r="L87" s="123">
        <v>315</v>
      </c>
      <c r="M87" s="142" t="str">
        <f t="shared" si="11"/>
        <v>R315</v>
      </c>
      <c r="N87" s="123">
        <v>441</v>
      </c>
      <c r="O87" s="142" t="str">
        <f t="shared" si="12"/>
        <v>G441</v>
      </c>
      <c r="P87" s="123">
        <v>391</v>
      </c>
      <c r="Q87" s="142" t="str">
        <f t="shared" si="13"/>
        <v>R391</v>
      </c>
      <c r="R87" s="123">
        <v>20.2</v>
      </c>
      <c r="S87" s="123">
        <v>33.5</v>
      </c>
      <c r="T87" s="123">
        <v>26.1</v>
      </c>
      <c r="U87" s="123">
        <v>19.600000000000001</v>
      </c>
      <c r="V87" s="123" t="s">
        <v>2206</v>
      </c>
      <c r="W87" s="126" t="s">
        <v>2203</v>
      </c>
      <c r="X87" s="126" t="s">
        <v>2187</v>
      </c>
      <c r="Y87" s="126"/>
      <c r="Z87" s="123">
        <v>3.8</v>
      </c>
      <c r="AA87" s="123" t="s">
        <v>2250</v>
      </c>
      <c r="AB87" s="123">
        <v>8.6</v>
      </c>
      <c r="AC87" s="123">
        <v>0</v>
      </c>
      <c r="AD87" s="123"/>
      <c r="AH87" s="123">
        <f t="shared" si="8"/>
        <v>308</v>
      </c>
      <c r="AI87" t="b">
        <f t="shared" si="14"/>
        <v>0</v>
      </c>
      <c r="AJ87" s="123">
        <f t="shared" si="9"/>
        <v>315</v>
      </c>
      <c r="AK87" t="b">
        <f t="shared" si="15"/>
        <v>0</v>
      </c>
    </row>
    <row r="88" spans="1:37">
      <c r="A88" s="121">
        <v>86</v>
      </c>
      <c r="B88" s="122" t="s">
        <v>2276</v>
      </c>
      <c r="C88" s="122" t="s">
        <v>2302</v>
      </c>
      <c r="D88" s="122" t="s">
        <v>2296</v>
      </c>
      <c r="E88" s="124">
        <v>42767</v>
      </c>
      <c r="F88" s="125">
        <v>0.44444444444444442</v>
      </c>
      <c r="G88" s="124">
        <v>42819</v>
      </c>
      <c r="H88" s="125">
        <v>0.72916666666666663</v>
      </c>
      <c r="I88" s="123">
        <v>889</v>
      </c>
      <c r="J88" s="123">
        <v>723</v>
      </c>
      <c r="K88" s="142" t="str">
        <f t="shared" si="10"/>
        <v>G723</v>
      </c>
      <c r="L88" s="123">
        <v>1</v>
      </c>
      <c r="M88" s="142" t="str">
        <f t="shared" si="11"/>
        <v>R1</v>
      </c>
      <c r="N88" s="123">
        <v>561</v>
      </c>
      <c r="O88" s="142" t="str">
        <f t="shared" si="12"/>
        <v>G561</v>
      </c>
      <c r="P88" s="123">
        <v>62</v>
      </c>
      <c r="Q88" s="142" t="str">
        <f t="shared" si="13"/>
        <v>R62</v>
      </c>
      <c r="R88" s="123">
        <v>21.2</v>
      </c>
      <c r="S88" s="123">
        <v>29.3</v>
      </c>
      <c r="T88" s="123">
        <v>30.4</v>
      </c>
      <c r="U88" s="123">
        <v>18.8</v>
      </c>
      <c r="V88" s="123" t="s">
        <v>2187</v>
      </c>
      <c r="W88" s="126" t="s">
        <v>2230</v>
      </c>
      <c r="X88" s="126" t="s">
        <v>2187</v>
      </c>
      <c r="Y88" s="126"/>
      <c r="Z88" s="123">
        <v>7.5</v>
      </c>
      <c r="AA88" s="123" t="s">
        <v>2250</v>
      </c>
      <c r="AB88" s="123">
        <v>3.7</v>
      </c>
      <c r="AC88" s="123">
        <v>0</v>
      </c>
      <c r="AD88" s="123"/>
      <c r="AH88" s="123">
        <f t="shared" si="8"/>
        <v>723</v>
      </c>
      <c r="AI88" t="b">
        <f t="shared" si="14"/>
        <v>0</v>
      </c>
      <c r="AJ88" s="123">
        <f t="shared" si="9"/>
        <v>1</v>
      </c>
      <c r="AK88" t="b">
        <f t="shared" si="15"/>
        <v>0</v>
      </c>
    </row>
    <row r="89" spans="1:37">
      <c r="A89" s="121">
        <v>87</v>
      </c>
      <c r="B89" s="122" t="s">
        <v>2276</v>
      </c>
      <c r="C89" s="122" t="s">
        <v>2303</v>
      </c>
      <c r="D89" s="122" t="s">
        <v>2296</v>
      </c>
      <c r="E89" s="124">
        <v>42767</v>
      </c>
      <c r="F89" s="125">
        <v>0.4513888888888889</v>
      </c>
      <c r="G89" s="124">
        <v>42819</v>
      </c>
      <c r="H89" s="125">
        <v>0.55555555555555558</v>
      </c>
      <c r="I89" s="123">
        <v>890</v>
      </c>
      <c r="J89" s="123">
        <v>628</v>
      </c>
      <c r="K89" s="142" t="str">
        <f t="shared" si="10"/>
        <v>G628</v>
      </c>
      <c r="L89" s="123">
        <v>408</v>
      </c>
      <c r="M89" s="142" t="str">
        <f t="shared" si="11"/>
        <v>R408</v>
      </c>
      <c r="N89" s="123">
        <v>632</v>
      </c>
      <c r="O89" s="142" t="str">
        <f t="shared" si="12"/>
        <v>G632</v>
      </c>
      <c r="P89" s="123">
        <v>329</v>
      </c>
      <c r="Q89" s="142" t="str">
        <f t="shared" si="13"/>
        <v>R329</v>
      </c>
      <c r="R89" s="123">
        <v>20.100000000000001</v>
      </c>
      <c r="S89" s="123">
        <v>29.3</v>
      </c>
      <c r="T89" s="123">
        <v>23</v>
      </c>
      <c r="U89" s="123">
        <v>22.4</v>
      </c>
      <c r="V89" s="123" t="s">
        <v>2203</v>
      </c>
      <c r="W89" s="126" t="s">
        <v>2234</v>
      </c>
      <c r="X89" s="126" t="s">
        <v>2187</v>
      </c>
      <c r="Y89" s="126"/>
      <c r="Z89" s="123">
        <v>12.6</v>
      </c>
      <c r="AA89" s="123" t="s">
        <v>2250</v>
      </c>
      <c r="AB89" s="123">
        <v>7.5</v>
      </c>
      <c r="AC89" s="123">
        <v>1</v>
      </c>
      <c r="AD89" s="123"/>
      <c r="AH89" s="123">
        <f t="shared" si="8"/>
        <v>628</v>
      </c>
      <c r="AI89" t="b">
        <f t="shared" si="14"/>
        <v>0</v>
      </c>
      <c r="AJ89" s="123">
        <f t="shared" si="9"/>
        <v>408</v>
      </c>
      <c r="AK89" t="b">
        <f t="shared" si="15"/>
        <v>0</v>
      </c>
    </row>
    <row r="90" spans="1:37">
      <c r="A90" s="169">
        <v>88</v>
      </c>
      <c r="B90" s="170" t="s">
        <v>2276</v>
      </c>
      <c r="C90" s="170" t="s">
        <v>2304</v>
      </c>
      <c r="D90" s="170" t="s">
        <v>2296</v>
      </c>
      <c r="E90" s="171">
        <v>42767</v>
      </c>
      <c r="F90" s="174">
        <v>0.4513888888888889</v>
      </c>
      <c r="G90" s="169"/>
      <c r="H90" s="169"/>
      <c r="I90" s="169">
        <v>891</v>
      </c>
      <c r="J90" s="169">
        <v>569</v>
      </c>
      <c r="K90" s="142" t="str">
        <f t="shared" si="10"/>
        <v>G569</v>
      </c>
      <c r="L90" s="169">
        <v>385</v>
      </c>
      <c r="M90" s="142" t="str">
        <f t="shared" si="11"/>
        <v>R385</v>
      </c>
      <c r="N90" s="169">
        <v>611</v>
      </c>
      <c r="O90" s="142" t="str">
        <f t="shared" si="12"/>
        <v>G611</v>
      </c>
      <c r="P90" s="169">
        <v>288</v>
      </c>
      <c r="Q90" s="142" t="str">
        <f t="shared" si="13"/>
        <v>R288</v>
      </c>
      <c r="R90" s="169">
        <v>21.4</v>
      </c>
      <c r="S90" s="169">
        <v>29.7</v>
      </c>
      <c r="T90" s="169"/>
      <c r="U90" s="169"/>
      <c r="V90" s="169"/>
      <c r="W90" s="172"/>
      <c r="X90" s="172"/>
      <c r="Y90" s="172"/>
      <c r="Z90" s="169"/>
      <c r="AA90" s="169"/>
      <c r="AB90" s="169"/>
      <c r="AC90" s="169"/>
      <c r="AD90" s="169"/>
      <c r="AH90">
        <f t="shared" si="8"/>
        <v>569</v>
      </c>
      <c r="AI90" t="b">
        <f t="shared" si="14"/>
        <v>0</v>
      </c>
      <c r="AJ90">
        <f t="shared" si="9"/>
        <v>385</v>
      </c>
      <c r="AK90" t="b">
        <f t="shared" si="15"/>
        <v>0</v>
      </c>
    </row>
    <row r="91" spans="1:37">
      <c r="A91" s="121">
        <v>89</v>
      </c>
      <c r="B91" s="122" t="s">
        <v>2276</v>
      </c>
      <c r="C91" s="122" t="s">
        <v>2305</v>
      </c>
      <c r="D91" s="122" t="s">
        <v>2306</v>
      </c>
      <c r="E91" s="124">
        <v>42767</v>
      </c>
      <c r="F91" s="125">
        <v>0.4861111111111111</v>
      </c>
      <c r="G91" s="124">
        <v>42819</v>
      </c>
      <c r="H91" s="125">
        <v>0.42708333333333331</v>
      </c>
      <c r="I91" s="123">
        <v>898</v>
      </c>
      <c r="J91" s="123">
        <v>339</v>
      </c>
      <c r="K91" s="142" t="str">
        <f t="shared" si="10"/>
        <v>G339</v>
      </c>
      <c r="L91" s="123">
        <v>196</v>
      </c>
      <c r="M91" s="142" t="str">
        <f t="shared" si="11"/>
        <v>R196</v>
      </c>
      <c r="N91" s="123">
        <v>469</v>
      </c>
      <c r="O91" s="142" t="str">
        <f t="shared" si="12"/>
        <v>G469</v>
      </c>
      <c r="P91" s="123">
        <v>171</v>
      </c>
      <c r="Q91" s="142" t="str">
        <f t="shared" si="13"/>
        <v>R171</v>
      </c>
      <c r="R91" s="123">
        <v>24</v>
      </c>
      <c r="S91" s="123">
        <v>23.2</v>
      </c>
      <c r="T91" s="123">
        <v>24.9</v>
      </c>
      <c r="U91" s="123">
        <v>18.7</v>
      </c>
      <c r="V91" s="123"/>
      <c r="W91" s="126" t="s">
        <v>2200</v>
      </c>
      <c r="X91" s="126" t="s">
        <v>2187</v>
      </c>
      <c r="Y91" s="126"/>
      <c r="Z91" s="123">
        <v>35.799999999999997</v>
      </c>
      <c r="AA91" s="123" t="s">
        <v>2250</v>
      </c>
      <c r="AB91" s="123">
        <v>7.3</v>
      </c>
      <c r="AC91" s="123">
        <v>0</v>
      </c>
      <c r="AD91" s="123"/>
      <c r="AH91" s="123">
        <f t="shared" si="8"/>
        <v>339</v>
      </c>
      <c r="AI91" t="b">
        <f t="shared" si="14"/>
        <v>0</v>
      </c>
      <c r="AJ91" s="123">
        <f t="shared" si="9"/>
        <v>196</v>
      </c>
      <c r="AK91" t="b">
        <f t="shared" si="15"/>
        <v>0</v>
      </c>
    </row>
    <row r="92" spans="1:37">
      <c r="A92" s="121">
        <v>90</v>
      </c>
      <c r="B92" s="122" t="s">
        <v>2276</v>
      </c>
      <c r="C92" s="122" t="s">
        <v>2307</v>
      </c>
      <c r="D92" s="122" t="s">
        <v>2306</v>
      </c>
      <c r="E92" s="124">
        <v>42767</v>
      </c>
      <c r="F92" s="125">
        <v>0.4861111111111111</v>
      </c>
      <c r="G92" s="124">
        <v>42819</v>
      </c>
      <c r="H92" s="125">
        <v>0.43055555555555558</v>
      </c>
      <c r="I92" s="123">
        <v>899</v>
      </c>
      <c r="J92" s="123">
        <v>592</v>
      </c>
      <c r="K92" s="142" t="str">
        <f t="shared" si="10"/>
        <v>G592</v>
      </c>
      <c r="L92" s="123">
        <v>94</v>
      </c>
      <c r="M92" s="142" t="str">
        <f t="shared" si="11"/>
        <v>R94</v>
      </c>
      <c r="N92" s="123">
        <v>355</v>
      </c>
      <c r="O92" s="142" t="str">
        <f t="shared" si="12"/>
        <v>G355</v>
      </c>
      <c r="P92">
        <v>517</v>
      </c>
      <c r="Q92" s="142" t="str">
        <f t="shared" si="13"/>
        <v>R517</v>
      </c>
      <c r="R92" s="123">
        <v>23.5</v>
      </c>
      <c r="S92" s="123">
        <v>30.4</v>
      </c>
      <c r="T92" s="123">
        <v>24.2</v>
      </c>
      <c r="U92" s="123">
        <v>24.6</v>
      </c>
      <c r="V92" s="123"/>
      <c r="W92" s="126" t="s">
        <v>2187</v>
      </c>
      <c r="X92" s="126"/>
      <c r="Y92" s="126" t="s">
        <v>2187</v>
      </c>
      <c r="Z92" s="123">
        <v>30.4</v>
      </c>
      <c r="AA92" s="123" t="s">
        <v>2250</v>
      </c>
      <c r="AB92" s="123">
        <v>7.7</v>
      </c>
      <c r="AC92" s="123">
        <v>0</v>
      </c>
      <c r="AD92" s="123"/>
      <c r="AH92" s="123">
        <f t="shared" si="8"/>
        <v>592</v>
      </c>
      <c r="AI92" t="b">
        <f t="shared" si="14"/>
        <v>0</v>
      </c>
      <c r="AJ92" s="123">
        <f t="shared" si="9"/>
        <v>94</v>
      </c>
      <c r="AK92" t="b">
        <f t="shared" si="15"/>
        <v>0</v>
      </c>
    </row>
    <row r="93" spans="1:37">
      <c r="A93" s="121">
        <v>91</v>
      </c>
      <c r="B93" s="122" t="s">
        <v>2276</v>
      </c>
      <c r="C93" s="122" t="s">
        <v>2308</v>
      </c>
      <c r="D93" s="122" t="s">
        <v>2306</v>
      </c>
      <c r="E93" s="124">
        <v>42767</v>
      </c>
      <c r="F93" s="125">
        <v>0.48958333333333331</v>
      </c>
      <c r="G93" s="124">
        <v>42819</v>
      </c>
      <c r="H93" s="125">
        <v>0.45833333333333331</v>
      </c>
      <c r="I93" s="123">
        <v>900</v>
      </c>
      <c r="J93">
        <v>472</v>
      </c>
      <c r="K93" s="142" t="str">
        <f t="shared" si="10"/>
        <v>G472</v>
      </c>
      <c r="L93" s="123">
        <v>343</v>
      </c>
      <c r="M93" s="142" t="str">
        <f t="shared" si="11"/>
        <v>R343</v>
      </c>
      <c r="N93" s="123">
        <v>547</v>
      </c>
      <c r="O93" s="142" t="str">
        <f t="shared" si="12"/>
        <v>G547</v>
      </c>
      <c r="P93" s="123">
        <v>73</v>
      </c>
      <c r="Q93" s="142" t="str">
        <f t="shared" si="13"/>
        <v>R73</v>
      </c>
      <c r="R93" s="123">
        <v>23.9</v>
      </c>
      <c r="S93" s="123">
        <v>30.9</v>
      </c>
      <c r="T93" s="123">
        <v>24.8</v>
      </c>
      <c r="U93" s="123">
        <v>21.9</v>
      </c>
      <c r="V93" s="123" t="s">
        <v>2206</v>
      </c>
      <c r="W93" s="126" t="s">
        <v>2195</v>
      </c>
      <c r="X93" s="126" t="s">
        <v>2187</v>
      </c>
      <c r="Y93" s="126"/>
      <c r="Z93" s="123">
        <v>39.4</v>
      </c>
      <c r="AA93" s="123" t="s">
        <v>2250</v>
      </c>
      <c r="AB93" s="123">
        <v>6.1</v>
      </c>
      <c r="AC93" s="123">
        <v>1</v>
      </c>
      <c r="AD93" s="123"/>
      <c r="AH93">
        <f t="shared" si="8"/>
        <v>472</v>
      </c>
      <c r="AI93" t="b">
        <f t="shared" si="14"/>
        <v>0</v>
      </c>
      <c r="AJ93" s="123">
        <f t="shared" si="9"/>
        <v>343</v>
      </c>
      <c r="AK93" t="b">
        <f t="shared" si="15"/>
        <v>0</v>
      </c>
    </row>
    <row r="94" spans="1:37">
      <c r="A94" s="121">
        <v>92</v>
      </c>
      <c r="B94" s="122" t="s">
        <v>2276</v>
      </c>
      <c r="C94" s="122" t="s">
        <v>2309</v>
      </c>
      <c r="D94" s="122" t="s">
        <v>2306</v>
      </c>
      <c r="E94" s="124">
        <v>42767</v>
      </c>
      <c r="F94" s="125">
        <v>0.49305555555555558</v>
      </c>
      <c r="G94" s="124">
        <v>42819</v>
      </c>
      <c r="H94" s="125">
        <v>0.40277777777777773</v>
      </c>
      <c r="I94" s="123">
        <v>901</v>
      </c>
      <c r="J94" s="123">
        <v>529</v>
      </c>
      <c r="K94" s="142" t="str">
        <f t="shared" si="10"/>
        <v>G529</v>
      </c>
      <c r="L94" s="123">
        <v>445</v>
      </c>
      <c r="M94" s="142" t="str">
        <f t="shared" si="11"/>
        <v>R445</v>
      </c>
      <c r="N94" s="123">
        <v>763</v>
      </c>
      <c r="O94" s="142" t="str">
        <f t="shared" si="12"/>
        <v>G763</v>
      </c>
      <c r="P94" s="129">
        <v>4</v>
      </c>
      <c r="Q94" s="142" t="str">
        <f t="shared" si="13"/>
        <v>R4</v>
      </c>
      <c r="R94" s="129">
        <v>22.3</v>
      </c>
      <c r="S94" s="129">
        <v>31.7</v>
      </c>
      <c r="T94" s="123">
        <v>22.9</v>
      </c>
      <c r="U94" s="123">
        <v>21.2</v>
      </c>
      <c r="V94" s="123" t="s">
        <v>2195</v>
      </c>
      <c r="W94" s="126" t="s">
        <v>2195</v>
      </c>
      <c r="X94" s="126" t="s">
        <v>2187</v>
      </c>
      <c r="Y94" s="126" t="s">
        <v>2187</v>
      </c>
      <c r="Z94" s="123">
        <v>24.8</v>
      </c>
      <c r="AA94" s="123" t="s">
        <v>2250</v>
      </c>
      <c r="AB94" s="123">
        <v>7.7</v>
      </c>
      <c r="AC94" s="123">
        <v>1</v>
      </c>
      <c r="AD94" s="123"/>
      <c r="AH94" s="123">
        <f t="shared" si="8"/>
        <v>529</v>
      </c>
      <c r="AI94" t="b">
        <f t="shared" si="14"/>
        <v>0</v>
      </c>
      <c r="AJ94" s="123">
        <f t="shared" si="9"/>
        <v>445</v>
      </c>
      <c r="AK94" t="b">
        <f t="shared" si="15"/>
        <v>0</v>
      </c>
    </row>
    <row r="95" spans="1:37">
      <c r="A95" s="121">
        <v>93</v>
      </c>
      <c r="B95" s="122" t="s">
        <v>2276</v>
      </c>
      <c r="C95" s="122" t="s">
        <v>2310</v>
      </c>
      <c r="D95" s="122" t="s">
        <v>2306</v>
      </c>
      <c r="E95" s="124">
        <v>42767</v>
      </c>
      <c r="F95" s="125">
        <v>0.49652777777777773</v>
      </c>
      <c r="G95" s="124">
        <v>42819</v>
      </c>
      <c r="H95" s="125">
        <v>0.4375</v>
      </c>
      <c r="I95" s="123">
        <v>902</v>
      </c>
      <c r="J95" s="123">
        <v>636</v>
      </c>
      <c r="K95" s="142" t="str">
        <f t="shared" si="10"/>
        <v>G636</v>
      </c>
      <c r="L95" s="123">
        <v>12</v>
      </c>
      <c r="M95" s="142" t="str">
        <f t="shared" si="11"/>
        <v>R12</v>
      </c>
      <c r="N95" s="123">
        <v>424</v>
      </c>
      <c r="O95" s="142" t="str">
        <f t="shared" si="12"/>
        <v>G424</v>
      </c>
      <c r="P95" s="123">
        <v>136</v>
      </c>
      <c r="Q95" s="142" t="str">
        <f t="shared" si="13"/>
        <v>R136</v>
      </c>
      <c r="R95" s="123">
        <v>22.9</v>
      </c>
      <c r="S95" s="123">
        <v>29.6</v>
      </c>
      <c r="T95" s="123">
        <v>24.1</v>
      </c>
      <c r="U95" s="123">
        <v>20.9</v>
      </c>
      <c r="V95" s="123" t="s">
        <v>2187</v>
      </c>
      <c r="W95" s="126" t="s">
        <v>2179</v>
      </c>
      <c r="X95" s="126" t="s">
        <v>2187</v>
      </c>
      <c r="Y95" s="126" t="s">
        <v>2187</v>
      </c>
      <c r="Z95" s="123">
        <v>40</v>
      </c>
      <c r="AA95" s="123" t="s">
        <v>2250</v>
      </c>
      <c r="AB95" s="123">
        <v>6.6</v>
      </c>
      <c r="AC95" s="123">
        <v>1</v>
      </c>
      <c r="AD95" s="123"/>
      <c r="AH95" s="123">
        <f t="shared" si="8"/>
        <v>636</v>
      </c>
      <c r="AI95" t="b">
        <f t="shared" si="14"/>
        <v>0</v>
      </c>
      <c r="AJ95" s="123">
        <f t="shared" si="9"/>
        <v>12</v>
      </c>
      <c r="AK95" t="b">
        <f t="shared" si="15"/>
        <v>0</v>
      </c>
    </row>
    <row r="96" spans="1:37">
      <c r="A96" s="169">
        <v>94</v>
      </c>
      <c r="B96" s="170" t="s">
        <v>2276</v>
      </c>
      <c r="C96" s="170" t="s">
        <v>2311</v>
      </c>
      <c r="D96" s="170" t="s">
        <v>2306</v>
      </c>
      <c r="E96" s="171">
        <v>42767</v>
      </c>
      <c r="F96" s="174">
        <v>0.5</v>
      </c>
      <c r="G96" s="171"/>
      <c r="H96" s="169"/>
      <c r="I96" s="169">
        <v>903</v>
      </c>
      <c r="J96" s="169">
        <v>534</v>
      </c>
      <c r="K96" s="142" t="str">
        <f t="shared" si="10"/>
        <v>G534</v>
      </c>
      <c r="L96" s="169">
        <v>244</v>
      </c>
      <c r="M96" s="142" t="str">
        <f t="shared" si="11"/>
        <v>R244</v>
      </c>
      <c r="N96" s="169">
        <v>588</v>
      </c>
      <c r="O96" s="142" t="str">
        <f t="shared" si="12"/>
        <v>G588</v>
      </c>
      <c r="P96" s="169">
        <v>358</v>
      </c>
      <c r="Q96" s="142" t="str">
        <f t="shared" si="13"/>
        <v>R358</v>
      </c>
      <c r="R96" s="169">
        <v>22</v>
      </c>
      <c r="S96" s="169">
        <v>36.200000000000003</v>
      </c>
      <c r="T96" s="169"/>
      <c r="U96" s="169"/>
      <c r="V96" s="169"/>
      <c r="W96" s="172"/>
      <c r="X96" s="172"/>
      <c r="Y96" s="172"/>
      <c r="Z96" s="169"/>
      <c r="AA96" s="169"/>
      <c r="AB96" s="169"/>
      <c r="AC96" s="169"/>
      <c r="AD96" s="169"/>
      <c r="AH96">
        <f t="shared" si="8"/>
        <v>534</v>
      </c>
      <c r="AI96" t="b">
        <f t="shared" si="14"/>
        <v>0</v>
      </c>
      <c r="AJ96">
        <f t="shared" si="9"/>
        <v>244</v>
      </c>
      <c r="AK96" t="b">
        <f t="shared" si="15"/>
        <v>0</v>
      </c>
    </row>
    <row r="97" spans="1:37">
      <c r="A97" s="121">
        <v>95</v>
      </c>
      <c r="B97" s="122" t="s">
        <v>2276</v>
      </c>
      <c r="C97" s="122" t="s">
        <v>2312</v>
      </c>
      <c r="D97" s="122" t="s">
        <v>2306</v>
      </c>
      <c r="E97" s="124">
        <v>42767</v>
      </c>
      <c r="F97" s="125">
        <v>0.5</v>
      </c>
      <c r="G97" s="124">
        <v>42819</v>
      </c>
      <c r="H97" s="125">
        <v>0.44444444444444442</v>
      </c>
      <c r="I97" s="123">
        <v>904</v>
      </c>
      <c r="J97" s="123">
        <v>641</v>
      </c>
      <c r="K97" s="142" t="str">
        <f t="shared" si="10"/>
        <v>G641</v>
      </c>
      <c r="L97" s="123">
        <v>360</v>
      </c>
      <c r="M97" s="142" t="str">
        <f t="shared" si="11"/>
        <v>R360</v>
      </c>
      <c r="N97" s="123">
        <v>486</v>
      </c>
      <c r="O97" s="142" t="str">
        <f t="shared" si="12"/>
        <v>G486</v>
      </c>
      <c r="P97" s="123">
        <v>547</v>
      </c>
      <c r="Q97" s="142" t="str">
        <f t="shared" si="13"/>
        <v>R547</v>
      </c>
      <c r="R97" s="123">
        <v>23</v>
      </c>
      <c r="S97" s="123">
        <v>37.6</v>
      </c>
      <c r="T97" s="123">
        <v>23.4</v>
      </c>
      <c r="U97" s="123">
        <v>20.100000000000001</v>
      </c>
      <c r="V97" s="123" t="s">
        <v>2230</v>
      </c>
      <c r="W97" s="126" t="s">
        <v>2200</v>
      </c>
      <c r="X97" s="126" t="s">
        <v>2187</v>
      </c>
      <c r="Y97" s="126" t="s">
        <v>2187</v>
      </c>
      <c r="Z97" s="123">
        <v>15.2</v>
      </c>
      <c r="AA97" s="123" t="s">
        <v>2250</v>
      </c>
      <c r="AB97" s="123">
        <v>5.4</v>
      </c>
      <c r="AC97" s="123">
        <v>0</v>
      </c>
      <c r="AD97" s="123"/>
      <c r="AH97" s="123">
        <f t="shared" si="8"/>
        <v>641</v>
      </c>
      <c r="AI97" t="b">
        <f t="shared" si="14"/>
        <v>0</v>
      </c>
      <c r="AJ97" s="123">
        <f t="shared" si="9"/>
        <v>360</v>
      </c>
      <c r="AK97" t="b">
        <f t="shared" si="15"/>
        <v>0</v>
      </c>
    </row>
    <row r="98" spans="1:37">
      <c r="A98" s="121">
        <v>96</v>
      </c>
      <c r="B98" s="122" t="s">
        <v>2276</v>
      </c>
      <c r="C98" s="122" t="s">
        <v>2313</v>
      </c>
      <c r="D98" s="122" t="s">
        <v>2306</v>
      </c>
      <c r="E98" s="124">
        <v>42767</v>
      </c>
      <c r="F98" s="125">
        <v>0.50347222222222221</v>
      </c>
      <c r="G98" s="124">
        <v>42819</v>
      </c>
      <c r="H98" s="125">
        <v>0.4513888888888889</v>
      </c>
      <c r="I98" s="123">
        <v>905</v>
      </c>
      <c r="J98" s="123">
        <v>479</v>
      </c>
      <c r="K98" s="142" t="str">
        <f t="shared" si="10"/>
        <v>G479</v>
      </c>
      <c r="L98" s="123">
        <v>318</v>
      </c>
      <c r="M98" s="142" t="str">
        <f t="shared" si="11"/>
        <v>R318</v>
      </c>
      <c r="N98" s="123">
        <v>545</v>
      </c>
      <c r="O98" s="142" t="str">
        <f t="shared" si="12"/>
        <v>G545</v>
      </c>
      <c r="P98" s="123">
        <v>588</v>
      </c>
      <c r="Q98" s="142" t="str">
        <f t="shared" si="13"/>
        <v>R588</v>
      </c>
      <c r="R98" s="123">
        <v>24.6</v>
      </c>
      <c r="S98" s="123">
        <v>13.2</v>
      </c>
      <c r="T98" s="123">
        <v>24</v>
      </c>
      <c r="U98" s="123">
        <v>20.399999999999999</v>
      </c>
      <c r="V98" s="123" t="s">
        <v>2187</v>
      </c>
      <c r="W98" s="126" t="s">
        <v>2195</v>
      </c>
      <c r="X98" s="126" t="s">
        <v>2187</v>
      </c>
      <c r="Y98" s="126"/>
      <c r="Z98" s="123">
        <v>34.4</v>
      </c>
      <c r="AA98" s="123" t="s">
        <v>2250</v>
      </c>
      <c r="AB98" s="123">
        <v>4</v>
      </c>
      <c r="AC98" s="123">
        <v>0</v>
      </c>
      <c r="AD98" s="123"/>
      <c r="AH98" s="123">
        <f t="shared" si="8"/>
        <v>479</v>
      </c>
      <c r="AI98" t="b">
        <f t="shared" si="14"/>
        <v>0</v>
      </c>
      <c r="AJ98" s="123">
        <f t="shared" si="9"/>
        <v>318</v>
      </c>
      <c r="AK98" t="b">
        <f t="shared" si="15"/>
        <v>0</v>
      </c>
    </row>
    <row r="99" spans="1:37">
      <c r="A99" s="121">
        <v>97</v>
      </c>
      <c r="B99" s="122" t="s">
        <v>2666</v>
      </c>
      <c r="C99" s="122" t="s">
        <v>2315</v>
      </c>
      <c r="D99" s="122" t="s">
        <v>2178</v>
      </c>
      <c r="E99" s="124">
        <v>42762</v>
      </c>
      <c r="F99" s="125">
        <v>0.61111111111111105</v>
      </c>
      <c r="G99" s="124">
        <v>42816</v>
      </c>
      <c r="H99" s="125">
        <v>0.53472222222222221</v>
      </c>
      <c r="I99" s="123">
        <v>718</v>
      </c>
      <c r="J99" s="123">
        <v>741</v>
      </c>
      <c r="K99" s="142" t="str">
        <f t="shared" si="10"/>
        <v>G741</v>
      </c>
      <c r="L99" s="123">
        <v>518</v>
      </c>
      <c r="M99" s="142" t="str">
        <f t="shared" si="11"/>
        <v>R518</v>
      </c>
      <c r="N99" s="123">
        <v>847</v>
      </c>
      <c r="O99" s="142" t="str">
        <f t="shared" si="12"/>
        <v>G847</v>
      </c>
      <c r="P99" s="123">
        <v>576</v>
      </c>
      <c r="Q99" s="142" t="str">
        <f t="shared" si="13"/>
        <v>R576</v>
      </c>
      <c r="R99" s="123">
        <v>30.3</v>
      </c>
      <c r="S99" s="123">
        <v>10</v>
      </c>
      <c r="T99" s="123">
        <v>27.2</v>
      </c>
      <c r="U99" s="123">
        <v>28.5</v>
      </c>
      <c r="V99" s="123"/>
      <c r="W99" s="126" t="s">
        <v>2195</v>
      </c>
      <c r="X99" s="126"/>
      <c r="Y99" s="126"/>
      <c r="Z99" s="123">
        <v>8.9</v>
      </c>
      <c r="AA99" s="123" t="s">
        <v>2228</v>
      </c>
      <c r="AB99" s="123">
        <v>2.4</v>
      </c>
      <c r="AC99" s="123">
        <v>1</v>
      </c>
      <c r="AD99" s="123"/>
      <c r="AH99" s="123">
        <f t="shared" si="8"/>
        <v>741</v>
      </c>
      <c r="AI99" t="b">
        <f t="shared" si="14"/>
        <v>0</v>
      </c>
      <c r="AJ99" s="123">
        <f t="shared" si="9"/>
        <v>518</v>
      </c>
      <c r="AK99" t="b">
        <f t="shared" si="15"/>
        <v>0</v>
      </c>
    </row>
    <row r="100" spans="1:37">
      <c r="A100" s="121">
        <v>98</v>
      </c>
      <c r="B100" s="122" t="s">
        <v>2666</v>
      </c>
      <c r="C100" s="122" t="s">
        <v>2316</v>
      </c>
      <c r="D100" s="122" t="s">
        <v>2178</v>
      </c>
      <c r="E100" s="124">
        <v>42762</v>
      </c>
      <c r="F100" s="125">
        <v>0.61111111111111105</v>
      </c>
      <c r="G100" s="124">
        <v>42816</v>
      </c>
      <c r="H100" s="125">
        <v>0.53819444444444442</v>
      </c>
      <c r="I100" s="123">
        <v>719</v>
      </c>
      <c r="J100" s="123">
        <v>610</v>
      </c>
      <c r="K100" s="142" t="str">
        <f t="shared" si="10"/>
        <v>G610</v>
      </c>
      <c r="L100" s="123">
        <v>489</v>
      </c>
      <c r="M100" s="142" t="str">
        <f t="shared" si="11"/>
        <v>R489</v>
      </c>
      <c r="N100" s="123">
        <v>730</v>
      </c>
      <c r="O100" s="142" t="str">
        <f t="shared" si="12"/>
        <v>G730</v>
      </c>
      <c r="P100" s="123">
        <v>561</v>
      </c>
      <c r="Q100" s="142" t="str">
        <f t="shared" si="13"/>
        <v>R561</v>
      </c>
      <c r="R100" s="123">
        <v>32.6</v>
      </c>
      <c r="S100" s="123">
        <v>9.8000000000000007</v>
      </c>
      <c r="T100" s="123">
        <v>27.1</v>
      </c>
      <c r="U100" s="123">
        <v>34.700000000000003</v>
      </c>
      <c r="V100" s="123"/>
      <c r="W100" s="126"/>
      <c r="X100" s="126"/>
      <c r="Y100" s="126"/>
      <c r="Z100" s="123">
        <v>4.45</v>
      </c>
      <c r="AA100" s="123" t="s">
        <v>2228</v>
      </c>
      <c r="AB100" s="123">
        <v>7.8</v>
      </c>
      <c r="AC100" s="123">
        <v>1</v>
      </c>
      <c r="AD100" s="123"/>
      <c r="AH100" s="123">
        <f t="shared" si="8"/>
        <v>610</v>
      </c>
      <c r="AI100" t="b">
        <f t="shared" si="14"/>
        <v>0</v>
      </c>
      <c r="AJ100" s="123">
        <f t="shared" si="9"/>
        <v>489</v>
      </c>
      <c r="AK100" t="b">
        <f t="shared" si="15"/>
        <v>0</v>
      </c>
    </row>
    <row r="101" spans="1:37">
      <c r="A101" s="121">
        <v>99</v>
      </c>
      <c r="B101" s="122" t="s">
        <v>2666</v>
      </c>
      <c r="C101" s="122" t="s">
        <v>2317</v>
      </c>
      <c r="D101" s="122" t="s">
        <v>2178</v>
      </c>
      <c r="E101" s="124">
        <v>42762</v>
      </c>
      <c r="F101" s="125">
        <v>0.61458333333333337</v>
      </c>
      <c r="G101" s="124">
        <v>42816</v>
      </c>
      <c r="H101" s="125">
        <v>0.54166666666666663</v>
      </c>
      <c r="I101" s="123">
        <v>720</v>
      </c>
      <c r="J101" s="123">
        <v>765</v>
      </c>
      <c r="K101" s="142" t="str">
        <f t="shared" si="10"/>
        <v>G765</v>
      </c>
      <c r="L101" s="123">
        <v>549</v>
      </c>
      <c r="M101" s="142" t="str">
        <f t="shared" si="11"/>
        <v>R549</v>
      </c>
      <c r="N101" s="123">
        <v>691</v>
      </c>
      <c r="O101" s="142" t="str">
        <f t="shared" si="12"/>
        <v>G691</v>
      </c>
      <c r="P101" s="123">
        <v>496</v>
      </c>
      <c r="Q101" s="142" t="str">
        <f t="shared" si="13"/>
        <v>R496</v>
      </c>
      <c r="R101" s="123">
        <v>35.6</v>
      </c>
      <c r="S101" s="123">
        <v>8.9</v>
      </c>
      <c r="T101" s="123">
        <v>26.1</v>
      </c>
      <c r="U101" s="123">
        <v>27</v>
      </c>
      <c r="V101" s="123" t="s">
        <v>2187</v>
      </c>
      <c r="W101" s="126" t="s">
        <v>2187</v>
      </c>
      <c r="X101" s="126"/>
      <c r="Y101" s="126"/>
      <c r="Z101" s="123">
        <v>2.2999999999999998</v>
      </c>
      <c r="AA101" s="123" t="s">
        <v>2228</v>
      </c>
      <c r="AB101" s="123">
        <v>5.0999999999999996</v>
      </c>
      <c r="AC101" s="123">
        <v>0</v>
      </c>
      <c r="AD101" s="123"/>
      <c r="AH101" s="123">
        <f t="shared" si="8"/>
        <v>765</v>
      </c>
      <c r="AI101" t="b">
        <f t="shared" si="14"/>
        <v>0</v>
      </c>
      <c r="AJ101" s="123">
        <f t="shared" si="9"/>
        <v>549</v>
      </c>
      <c r="AK101" t="b">
        <f t="shared" si="15"/>
        <v>0</v>
      </c>
    </row>
    <row r="102" spans="1:37">
      <c r="A102" s="121">
        <v>100</v>
      </c>
      <c r="B102" s="122" t="s">
        <v>2666</v>
      </c>
      <c r="C102" s="122" t="s">
        <v>2318</v>
      </c>
      <c r="D102" s="122" t="s">
        <v>2178</v>
      </c>
      <c r="E102" s="124">
        <v>42762</v>
      </c>
      <c r="F102" s="125">
        <v>0.61805555555555558</v>
      </c>
      <c r="G102" s="124">
        <v>42816</v>
      </c>
      <c r="H102" s="125">
        <v>0.54513888888888895</v>
      </c>
      <c r="I102" s="123">
        <v>721</v>
      </c>
      <c r="J102" s="123">
        <v>728</v>
      </c>
      <c r="K102" s="142" t="str">
        <f t="shared" si="10"/>
        <v>G728</v>
      </c>
      <c r="L102" s="123">
        <v>500</v>
      </c>
      <c r="M102" s="142" t="str">
        <f t="shared" si="11"/>
        <v>R500</v>
      </c>
      <c r="N102" s="123">
        <v>828</v>
      </c>
      <c r="O102" s="142" t="str">
        <f t="shared" si="12"/>
        <v>G828</v>
      </c>
      <c r="P102" s="123">
        <v>497</v>
      </c>
      <c r="Q102" s="142" t="str">
        <f t="shared" si="13"/>
        <v>R497</v>
      </c>
      <c r="R102" s="123">
        <v>34.4</v>
      </c>
      <c r="S102" s="123">
        <v>8.9</v>
      </c>
      <c r="T102" s="123">
        <v>25.3</v>
      </c>
      <c r="U102" s="123">
        <v>24.1</v>
      </c>
      <c r="V102" s="123" t="s">
        <v>2319</v>
      </c>
      <c r="W102" s="126" t="s">
        <v>2195</v>
      </c>
      <c r="X102" s="126"/>
      <c r="Y102" s="126"/>
      <c r="Z102" s="123">
        <v>15</v>
      </c>
      <c r="AA102" s="123" t="s">
        <v>2228</v>
      </c>
      <c r="AB102" s="123">
        <v>1.6</v>
      </c>
      <c r="AC102" s="123">
        <v>1</v>
      </c>
      <c r="AD102" s="123"/>
      <c r="AH102" s="123">
        <f t="shared" si="8"/>
        <v>728</v>
      </c>
      <c r="AI102" t="b">
        <f t="shared" si="14"/>
        <v>0</v>
      </c>
      <c r="AJ102" s="123">
        <f t="shared" si="9"/>
        <v>500</v>
      </c>
      <c r="AK102" t="b">
        <f t="shared" si="15"/>
        <v>0</v>
      </c>
    </row>
    <row r="103" spans="1:37">
      <c r="A103" s="121">
        <v>101</v>
      </c>
      <c r="B103" s="122" t="s">
        <v>2666</v>
      </c>
      <c r="C103" s="122" t="s">
        <v>2320</v>
      </c>
      <c r="D103" s="122" t="s">
        <v>2178</v>
      </c>
      <c r="E103" s="124">
        <v>42762</v>
      </c>
      <c r="F103" s="125">
        <v>0.61805555555555558</v>
      </c>
      <c r="G103" s="124">
        <v>42816</v>
      </c>
      <c r="H103" s="125">
        <v>0.54861111111111105</v>
      </c>
      <c r="I103" s="123">
        <v>722</v>
      </c>
      <c r="J103" s="123">
        <v>808</v>
      </c>
      <c r="K103" s="142" t="str">
        <f t="shared" si="10"/>
        <v>G808</v>
      </c>
      <c r="L103" s="123">
        <v>482</v>
      </c>
      <c r="M103" s="142" t="str">
        <f t="shared" si="11"/>
        <v>R482</v>
      </c>
      <c r="N103" s="123">
        <v>875</v>
      </c>
      <c r="O103" s="142" t="str">
        <f t="shared" si="12"/>
        <v>G875</v>
      </c>
      <c r="P103" s="123">
        <v>10</v>
      </c>
      <c r="Q103" s="142" t="str">
        <f t="shared" si="13"/>
        <v>R10</v>
      </c>
      <c r="R103" s="123">
        <v>34.700000000000003</v>
      </c>
      <c r="S103" s="123">
        <v>11.3</v>
      </c>
      <c r="T103" s="123">
        <v>27.6</v>
      </c>
      <c r="U103" s="123">
        <v>33.799999999999997</v>
      </c>
      <c r="V103" s="123" t="s">
        <v>2179</v>
      </c>
      <c r="W103" s="126"/>
      <c r="X103" s="126"/>
      <c r="Y103" s="126"/>
      <c r="Z103" s="123">
        <v>17</v>
      </c>
      <c r="AA103" s="123" t="s">
        <v>2228</v>
      </c>
      <c r="AB103" s="123">
        <v>4.3499999999999996</v>
      </c>
      <c r="AC103" s="123">
        <v>1</v>
      </c>
      <c r="AD103" s="123"/>
      <c r="AH103" s="123">
        <f t="shared" si="8"/>
        <v>808</v>
      </c>
      <c r="AI103" t="b">
        <f t="shared" si="14"/>
        <v>0</v>
      </c>
      <c r="AJ103" s="123">
        <f t="shared" si="9"/>
        <v>482</v>
      </c>
      <c r="AK103" t="b">
        <f t="shared" si="15"/>
        <v>0</v>
      </c>
    </row>
    <row r="104" spans="1:37">
      <c r="A104" s="121">
        <v>102</v>
      </c>
      <c r="B104" s="122" t="s">
        <v>2666</v>
      </c>
      <c r="C104" s="122" t="s">
        <v>2321</v>
      </c>
      <c r="D104" s="122" t="s">
        <v>2178</v>
      </c>
      <c r="E104" s="124">
        <v>42762</v>
      </c>
      <c r="F104" s="125">
        <v>0.62152777777777779</v>
      </c>
      <c r="G104" s="124">
        <v>42816</v>
      </c>
      <c r="H104" s="125">
        <v>0.54861111111111105</v>
      </c>
      <c r="I104" s="123">
        <v>723</v>
      </c>
      <c r="J104" s="123">
        <v>892</v>
      </c>
      <c r="K104" s="142" t="str">
        <f t="shared" si="10"/>
        <v>G892</v>
      </c>
      <c r="L104" s="123">
        <v>569</v>
      </c>
      <c r="M104" s="142" t="str">
        <f t="shared" si="11"/>
        <v>R569</v>
      </c>
      <c r="N104" s="123">
        <v>824</v>
      </c>
      <c r="O104" s="142" t="str">
        <f t="shared" si="12"/>
        <v>G824</v>
      </c>
      <c r="P104" s="123">
        <v>26</v>
      </c>
      <c r="Q104" s="142" t="str">
        <f t="shared" si="13"/>
        <v>R26</v>
      </c>
      <c r="R104" s="123">
        <v>36.6</v>
      </c>
      <c r="S104" s="123">
        <v>7.4</v>
      </c>
      <c r="T104" s="123">
        <v>27</v>
      </c>
      <c r="U104" s="123">
        <v>34.799999999999997</v>
      </c>
      <c r="V104" s="123"/>
      <c r="W104" s="126"/>
      <c r="X104" s="126"/>
      <c r="Y104" s="126"/>
      <c r="Z104" s="123">
        <v>21</v>
      </c>
      <c r="AA104" s="123" t="s">
        <v>2228</v>
      </c>
      <c r="AB104" s="123">
        <v>7.7</v>
      </c>
      <c r="AC104" s="123">
        <v>1</v>
      </c>
      <c r="AD104" s="123"/>
      <c r="AH104" s="123">
        <f t="shared" si="8"/>
        <v>892</v>
      </c>
      <c r="AI104" t="b">
        <f t="shared" si="14"/>
        <v>0</v>
      </c>
      <c r="AJ104" s="123">
        <f t="shared" si="9"/>
        <v>569</v>
      </c>
      <c r="AK104" t="b">
        <f t="shared" si="15"/>
        <v>0</v>
      </c>
    </row>
    <row r="105" spans="1:37">
      <c r="A105" s="121">
        <v>103</v>
      </c>
      <c r="B105" s="122" t="s">
        <v>2666</v>
      </c>
      <c r="C105" s="122" t="s">
        <v>2322</v>
      </c>
      <c r="D105" s="122" t="s">
        <v>2178</v>
      </c>
      <c r="E105" s="124">
        <v>42762</v>
      </c>
      <c r="F105" s="125">
        <v>0.62152777777777779</v>
      </c>
      <c r="G105" s="124">
        <v>42816</v>
      </c>
      <c r="H105" s="125">
        <v>0.54861111111111105</v>
      </c>
      <c r="I105" s="123">
        <v>724</v>
      </c>
      <c r="J105" s="123">
        <v>869</v>
      </c>
      <c r="K105" s="142" t="str">
        <f t="shared" si="10"/>
        <v>G869</v>
      </c>
      <c r="L105" s="123">
        <v>430</v>
      </c>
      <c r="M105" s="142" t="str">
        <f t="shared" si="11"/>
        <v>R430</v>
      </c>
      <c r="N105" s="123">
        <v>692</v>
      </c>
      <c r="O105" s="142" t="str">
        <f t="shared" si="12"/>
        <v>G692</v>
      </c>
      <c r="P105" s="123">
        <v>494</v>
      </c>
      <c r="Q105" s="142" t="str">
        <f t="shared" si="13"/>
        <v>R494</v>
      </c>
      <c r="R105" s="123">
        <v>34.299999999999997</v>
      </c>
      <c r="S105" s="123">
        <v>9.8000000000000007</v>
      </c>
      <c r="T105" s="123">
        <v>26.2</v>
      </c>
      <c r="U105" s="123">
        <v>31.1</v>
      </c>
      <c r="V105" s="123"/>
      <c r="W105" s="126"/>
      <c r="X105" s="126"/>
      <c r="Y105" s="126" t="s">
        <v>2187</v>
      </c>
      <c r="Z105" s="123">
        <v>16</v>
      </c>
      <c r="AA105" s="123" t="s">
        <v>2228</v>
      </c>
      <c r="AB105" s="123">
        <v>3.25</v>
      </c>
      <c r="AC105" s="123">
        <v>1</v>
      </c>
      <c r="AD105" s="123"/>
      <c r="AE105" s="92"/>
      <c r="AH105" s="123">
        <f t="shared" si="8"/>
        <v>869</v>
      </c>
      <c r="AI105" t="b">
        <f t="shared" si="14"/>
        <v>0</v>
      </c>
      <c r="AJ105" s="123">
        <f t="shared" si="9"/>
        <v>430</v>
      </c>
      <c r="AK105" t="b">
        <f t="shared" si="15"/>
        <v>0</v>
      </c>
    </row>
    <row r="106" spans="1:37">
      <c r="A106" s="121">
        <v>104</v>
      </c>
      <c r="B106" s="122" t="s">
        <v>2666</v>
      </c>
      <c r="C106" s="122" t="s">
        <v>2323</v>
      </c>
      <c r="D106" s="122" t="s">
        <v>2178</v>
      </c>
      <c r="E106" s="124">
        <v>42762</v>
      </c>
      <c r="F106" s="125">
        <v>0.625</v>
      </c>
      <c r="G106" s="124">
        <v>42816</v>
      </c>
      <c r="H106" s="125">
        <v>0.54861111111111105</v>
      </c>
      <c r="I106" s="123">
        <v>725</v>
      </c>
      <c r="J106" s="123">
        <v>881</v>
      </c>
      <c r="K106" s="142" t="str">
        <f t="shared" si="10"/>
        <v>G881</v>
      </c>
      <c r="L106" s="123">
        <v>577</v>
      </c>
      <c r="M106" s="142" t="str">
        <f t="shared" si="11"/>
        <v>R577</v>
      </c>
      <c r="N106" s="123">
        <v>806</v>
      </c>
      <c r="O106" s="142" t="str">
        <f t="shared" si="12"/>
        <v>G806</v>
      </c>
      <c r="P106" s="123">
        <v>475</v>
      </c>
      <c r="Q106" s="142" t="str">
        <f t="shared" si="13"/>
        <v>R475</v>
      </c>
      <c r="R106" s="123">
        <v>32.5</v>
      </c>
      <c r="S106" s="123">
        <v>10</v>
      </c>
      <c r="T106" s="123">
        <v>26.1</v>
      </c>
      <c r="U106" s="123">
        <v>33.200000000000003</v>
      </c>
      <c r="V106" s="123"/>
      <c r="W106" s="126"/>
      <c r="X106" s="126"/>
      <c r="Y106" s="126"/>
      <c r="Z106" s="123">
        <v>17</v>
      </c>
      <c r="AA106" s="123" t="s">
        <v>2228</v>
      </c>
      <c r="AB106" s="123">
        <v>10.5</v>
      </c>
      <c r="AC106" s="123">
        <v>1</v>
      </c>
      <c r="AD106" s="123"/>
      <c r="AH106" s="123">
        <f t="shared" si="8"/>
        <v>881</v>
      </c>
      <c r="AI106" t="b">
        <f t="shared" si="14"/>
        <v>0</v>
      </c>
      <c r="AJ106" s="123">
        <f t="shared" si="9"/>
        <v>577</v>
      </c>
      <c r="AK106" t="b">
        <f t="shared" si="15"/>
        <v>0</v>
      </c>
    </row>
    <row r="107" spans="1:37">
      <c r="A107" s="121">
        <v>105</v>
      </c>
      <c r="B107" s="122" t="s">
        <v>2666</v>
      </c>
      <c r="C107" s="122" t="s">
        <v>2324</v>
      </c>
      <c r="D107" s="122" t="s">
        <v>2194</v>
      </c>
      <c r="E107" s="124">
        <v>42762</v>
      </c>
      <c r="F107" s="125">
        <v>0.63194444444444442</v>
      </c>
      <c r="G107" s="124">
        <v>42816</v>
      </c>
      <c r="H107" s="125">
        <v>0.52083333333333337</v>
      </c>
      <c r="I107" s="123">
        <v>726</v>
      </c>
      <c r="J107" s="123">
        <v>729</v>
      </c>
      <c r="K107" s="142" t="str">
        <f t="shared" si="10"/>
        <v>G729</v>
      </c>
      <c r="L107" s="123">
        <v>548</v>
      </c>
      <c r="M107" s="142" t="str">
        <f t="shared" si="11"/>
        <v>R548</v>
      </c>
      <c r="N107" s="123">
        <v>861</v>
      </c>
      <c r="O107" s="142" t="str">
        <f t="shared" si="12"/>
        <v>G861</v>
      </c>
      <c r="P107">
        <v>540</v>
      </c>
      <c r="Q107" s="142" t="str">
        <f t="shared" si="13"/>
        <v>R540</v>
      </c>
      <c r="R107" s="123">
        <v>36.200000000000003</v>
      </c>
      <c r="S107" s="123">
        <v>4.5999999999999996</v>
      </c>
      <c r="T107" s="123">
        <v>28.1</v>
      </c>
      <c r="U107" s="123">
        <v>18.100000000000001</v>
      </c>
      <c r="V107" s="123"/>
      <c r="W107" s="126" t="s">
        <v>2187</v>
      </c>
      <c r="X107" s="126"/>
      <c r="Y107" s="126" t="s">
        <v>2187</v>
      </c>
      <c r="Z107" s="123">
        <v>23.5</v>
      </c>
      <c r="AA107" s="123" t="s">
        <v>2180</v>
      </c>
      <c r="AB107" s="123">
        <v>5.5</v>
      </c>
      <c r="AC107" s="123">
        <v>0</v>
      </c>
      <c r="AD107" s="123"/>
      <c r="AH107" s="123">
        <f t="shared" si="8"/>
        <v>729</v>
      </c>
      <c r="AI107" t="b">
        <f t="shared" si="14"/>
        <v>0</v>
      </c>
      <c r="AJ107" s="123">
        <f t="shared" si="9"/>
        <v>548</v>
      </c>
      <c r="AK107" t="b">
        <f t="shared" si="15"/>
        <v>0</v>
      </c>
    </row>
    <row r="108" spans="1:37">
      <c r="A108" s="121">
        <v>106</v>
      </c>
      <c r="B108" s="122" t="s">
        <v>2666</v>
      </c>
      <c r="C108" s="122" t="s">
        <v>2325</v>
      </c>
      <c r="D108" s="122" t="s">
        <v>2194</v>
      </c>
      <c r="E108" s="124">
        <v>42762</v>
      </c>
      <c r="F108" s="125">
        <v>0.63194444444444442</v>
      </c>
      <c r="G108" s="124">
        <v>42816</v>
      </c>
      <c r="H108" s="125">
        <v>0.51736111111111105</v>
      </c>
      <c r="I108" s="123">
        <v>727</v>
      </c>
      <c r="J108" s="123">
        <v>837</v>
      </c>
      <c r="K108" s="142" t="str">
        <f t="shared" si="10"/>
        <v>G837</v>
      </c>
      <c r="L108" s="123">
        <v>590</v>
      </c>
      <c r="M108" s="142" t="str">
        <f t="shared" si="11"/>
        <v>R590</v>
      </c>
      <c r="N108" s="123">
        <v>738</v>
      </c>
      <c r="O108" s="142" t="str">
        <f t="shared" si="12"/>
        <v>G738</v>
      </c>
      <c r="P108" s="123">
        <v>593</v>
      </c>
      <c r="Q108" s="142" t="str">
        <f t="shared" si="13"/>
        <v>R593</v>
      </c>
      <c r="R108" s="123">
        <v>37.1</v>
      </c>
      <c r="S108" s="123">
        <v>8.3000000000000007</v>
      </c>
      <c r="T108" s="123">
        <v>28.8</v>
      </c>
      <c r="U108" s="123">
        <v>16.5</v>
      </c>
      <c r="V108" s="123" t="s">
        <v>2187</v>
      </c>
      <c r="W108" s="126" t="s">
        <v>2187</v>
      </c>
      <c r="X108" s="126" t="s">
        <v>2187</v>
      </c>
      <c r="Y108" s="126" t="s">
        <v>2187</v>
      </c>
      <c r="Z108" s="123">
        <v>17</v>
      </c>
      <c r="AA108" s="123" t="s">
        <v>2180</v>
      </c>
      <c r="AB108" s="123">
        <v>8.6</v>
      </c>
      <c r="AC108" s="123">
        <v>0</v>
      </c>
      <c r="AD108" s="123"/>
      <c r="AH108" s="123">
        <f t="shared" si="8"/>
        <v>837</v>
      </c>
      <c r="AI108" t="b">
        <f t="shared" si="14"/>
        <v>0</v>
      </c>
      <c r="AJ108" s="123">
        <f t="shared" si="9"/>
        <v>590</v>
      </c>
      <c r="AK108" t="b">
        <f t="shared" si="15"/>
        <v>0</v>
      </c>
    </row>
    <row r="109" spans="1:37">
      <c r="A109" s="121">
        <v>107</v>
      </c>
      <c r="B109" s="122" t="s">
        <v>2666</v>
      </c>
      <c r="C109" s="122" t="s">
        <v>2326</v>
      </c>
      <c r="D109" s="122" t="s">
        <v>2194</v>
      </c>
      <c r="E109" s="124">
        <v>42762</v>
      </c>
      <c r="F109" s="125">
        <v>0.63541666666666663</v>
      </c>
      <c r="G109" s="124">
        <v>42816</v>
      </c>
      <c r="H109" s="125">
        <v>0.52430555555555558</v>
      </c>
      <c r="I109" s="123">
        <v>728</v>
      </c>
      <c r="J109" s="123">
        <v>688</v>
      </c>
      <c r="K109" s="142" t="str">
        <f t="shared" si="10"/>
        <v>G688</v>
      </c>
      <c r="L109" s="123">
        <v>574</v>
      </c>
      <c r="M109" s="142" t="str">
        <f t="shared" si="11"/>
        <v>R574</v>
      </c>
      <c r="N109" s="123">
        <v>676</v>
      </c>
      <c r="O109" s="142" t="str">
        <f t="shared" si="12"/>
        <v>G676</v>
      </c>
      <c r="P109" s="123">
        <v>510</v>
      </c>
      <c r="Q109" s="142" t="str">
        <f t="shared" si="13"/>
        <v>R510</v>
      </c>
      <c r="R109" s="123">
        <v>35.299999999999997</v>
      </c>
      <c r="S109" s="123">
        <v>4.7</v>
      </c>
      <c r="T109" s="123">
        <v>29.6</v>
      </c>
      <c r="U109" s="123">
        <v>17.899999999999999</v>
      </c>
      <c r="V109" s="123" t="s">
        <v>2187</v>
      </c>
      <c r="W109" s="126"/>
      <c r="X109" s="126" t="s">
        <v>2187</v>
      </c>
      <c r="Y109" s="126"/>
      <c r="Z109" s="123">
        <v>15.5</v>
      </c>
      <c r="AA109" s="123" t="s">
        <v>2180</v>
      </c>
      <c r="AB109" s="123">
        <v>3.85</v>
      </c>
      <c r="AC109" s="123">
        <v>0</v>
      </c>
      <c r="AD109" s="123"/>
      <c r="AH109" s="123">
        <f t="shared" si="8"/>
        <v>688</v>
      </c>
      <c r="AI109" t="b">
        <f t="shared" si="14"/>
        <v>0</v>
      </c>
      <c r="AJ109" s="123">
        <f t="shared" si="9"/>
        <v>574</v>
      </c>
      <c r="AK109" t="b">
        <f t="shared" si="15"/>
        <v>0</v>
      </c>
    </row>
    <row r="110" spans="1:37">
      <c r="A110" s="121">
        <v>108</v>
      </c>
      <c r="B110" s="122" t="s">
        <v>2666</v>
      </c>
      <c r="C110" s="122" t="s">
        <v>2327</v>
      </c>
      <c r="D110" s="122" t="s">
        <v>2194</v>
      </c>
      <c r="E110" s="124">
        <v>42762</v>
      </c>
      <c r="F110" s="125">
        <v>0.63541666666666663</v>
      </c>
      <c r="G110" s="124">
        <v>42816</v>
      </c>
      <c r="H110" s="125">
        <v>0.52430555555555558</v>
      </c>
      <c r="I110" s="123">
        <v>729</v>
      </c>
      <c r="J110" s="123">
        <v>883</v>
      </c>
      <c r="K110" s="142" t="str">
        <f t="shared" si="10"/>
        <v>G883</v>
      </c>
      <c r="L110" s="123">
        <v>8</v>
      </c>
      <c r="M110" s="142" t="str">
        <f t="shared" si="11"/>
        <v>R8</v>
      </c>
      <c r="N110" s="123">
        <v>845</v>
      </c>
      <c r="O110" s="142" t="str">
        <f t="shared" si="12"/>
        <v>G845</v>
      </c>
      <c r="P110" s="123">
        <v>509</v>
      </c>
      <c r="Q110" s="142" t="str">
        <f t="shared" si="13"/>
        <v>R509</v>
      </c>
      <c r="R110" s="123">
        <v>35.1</v>
      </c>
      <c r="S110" s="123">
        <v>5.5</v>
      </c>
      <c r="T110" s="123">
        <v>28</v>
      </c>
      <c r="U110" s="123">
        <v>24.7</v>
      </c>
      <c r="V110" s="123" t="s">
        <v>2187</v>
      </c>
      <c r="W110" s="126" t="s">
        <v>2179</v>
      </c>
      <c r="X110" s="126" t="s">
        <v>2187</v>
      </c>
      <c r="Y110" s="126" t="s">
        <v>2187</v>
      </c>
      <c r="Z110" s="123">
        <v>22.5</v>
      </c>
      <c r="AA110" s="123" t="s">
        <v>2180</v>
      </c>
      <c r="AB110" s="123">
        <v>9.6999999999999993</v>
      </c>
      <c r="AC110" s="123">
        <v>0</v>
      </c>
      <c r="AD110" s="123" t="s">
        <v>2328</v>
      </c>
      <c r="AH110" s="123">
        <f t="shared" si="8"/>
        <v>883</v>
      </c>
      <c r="AI110" t="b">
        <f t="shared" si="14"/>
        <v>0</v>
      </c>
      <c r="AJ110" s="123">
        <f t="shared" si="9"/>
        <v>8</v>
      </c>
      <c r="AK110" t="b">
        <f t="shared" si="15"/>
        <v>0</v>
      </c>
    </row>
    <row r="111" spans="1:37">
      <c r="A111" s="121">
        <v>109</v>
      </c>
      <c r="B111" s="122" t="s">
        <v>2666</v>
      </c>
      <c r="C111" s="122" t="s">
        <v>2329</v>
      </c>
      <c r="D111" s="122" t="s">
        <v>2194</v>
      </c>
      <c r="E111" s="124">
        <v>42762</v>
      </c>
      <c r="F111" s="125">
        <v>0.63888888888888895</v>
      </c>
      <c r="G111" s="124">
        <v>42816</v>
      </c>
      <c r="H111" s="125">
        <v>0.52847222222222223</v>
      </c>
      <c r="I111" s="123">
        <v>730</v>
      </c>
      <c r="J111" s="123">
        <v>704</v>
      </c>
      <c r="K111" s="142" t="str">
        <f t="shared" si="10"/>
        <v>G704</v>
      </c>
      <c r="L111" s="123">
        <v>552</v>
      </c>
      <c r="M111" s="142" t="str">
        <f t="shared" si="11"/>
        <v>R552</v>
      </c>
      <c r="N111" s="123">
        <v>887</v>
      </c>
      <c r="O111" s="142" t="str">
        <f t="shared" si="12"/>
        <v>G887</v>
      </c>
      <c r="P111" s="123">
        <v>33</v>
      </c>
      <c r="Q111" s="142" t="str">
        <f t="shared" si="13"/>
        <v>R33</v>
      </c>
      <c r="R111" s="123">
        <v>38.200000000000003</v>
      </c>
      <c r="S111" s="123">
        <v>8.3000000000000007</v>
      </c>
      <c r="T111" s="123">
        <v>28.8</v>
      </c>
      <c r="U111" s="123">
        <v>9.6999999999999993</v>
      </c>
      <c r="V111" s="123" t="s">
        <v>2179</v>
      </c>
      <c r="W111" s="126"/>
      <c r="X111" s="126"/>
      <c r="Y111" s="126"/>
      <c r="Z111" s="123">
        <v>22.5</v>
      </c>
      <c r="AA111" s="123" t="s">
        <v>2180</v>
      </c>
      <c r="AB111" s="123">
        <v>10.5</v>
      </c>
      <c r="AC111" s="123">
        <v>0</v>
      </c>
      <c r="AD111" s="123"/>
      <c r="AH111" s="123">
        <f t="shared" si="8"/>
        <v>704</v>
      </c>
      <c r="AI111" t="b">
        <f t="shared" si="14"/>
        <v>0</v>
      </c>
      <c r="AJ111" s="123">
        <f t="shared" si="9"/>
        <v>552</v>
      </c>
      <c r="AK111" t="b">
        <f t="shared" si="15"/>
        <v>0</v>
      </c>
    </row>
    <row r="112" spans="1:37">
      <c r="A112" s="121">
        <v>110</v>
      </c>
      <c r="B112" s="122" t="s">
        <v>2666</v>
      </c>
      <c r="C112" s="122" t="s">
        <v>2330</v>
      </c>
      <c r="D112" s="122" t="s">
        <v>2194</v>
      </c>
      <c r="E112" s="124">
        <v>42762</v>
      </c>
      <c r="F112" s="125">
        <v>0.64236111111111105</v>
      </c>
      <c r="G112" s="124">
        <v>42816</v>
      </c>
      <c r="H112" s="125">
        <v>0.51388888888888895</v>
      </c>
      <c r="I112" s="123">
        <v>731</v>
      </c>
      <c r="J112" s="123">
        <v>742</v>
      </c>
      <c r="K112" s="142" t="str">
        <f t="shared" si="10"/>
        <v>G742</v>
      </c>
      <c r="L112" s="123">
        <v>462</v>
      </c>
      <c r="M112" s="142" t="str">
        <f t="shared" si="11"/>
        <v>R462</v>
      </c>
      <c r="N112" s="178">
        <v>882</v>
      </c>
      <c r="O112" s="142" t="str">
        <f t="shared" si="12"/>
        <v>G882</v>
      </c>
      <c r="P112" t="s">
        <v>2497</v>
      </c>
      <c r="Q112" s="142" t="str">
        <f t="shared" si="13"/>
        <v>R54a</v>
      </c>
      <c r="R112" s="123">
        <v>33.6</v>
      </c>
      <c r="S112" s="123">
        <v>9.3000000000000007</v>
      </c>
      <c r="T112" s="123">
        <v>27.4</v>
      </c>
      <c r="U112" s="123">
        <v>24.6</v>
      </c>
      <c r="V112" s="123"/>
      <c r="W112" s="126"/>
      <c r="X112" s="126"/>
      <c r="Y112" s="126" t="s">
        <v>2187</v>
      </c>
      <c r="Z112" s="123">
        <v>22.5</v>
      </c>
      <c r="AA112" s="123" t="s">
        <v>2180</v>
      </c>
      <c r="AB112" s="123">
        <v>5.75</v>
      </c>
      <c r="AC112" s="123">
        <v>0</v>
      </c>
      <c r="AD112" s="123"/>
      <c r="AH112" s="123">
        <f t="shared" si="8"/>
        <v>742</v>
      </c>
      <c r="AI112" t="b">
        <f t="shared" si="14"/>
        <v>0</v>
      </c>
      <c r="AJ112" s="123">
        <f t="shared" si="9"/>
        <v>462</v>
      </c>
      <c r="AK112" t="b">
        <f t="shared" si="15"/>
        <v>0</v>
      </c>
    </row>
    <row r="113" spans="1:37">
      <c r="A113" s="121">
        <v>111</v>
      </c>
      <c r="B113" s="122" t="s">
        <v>2666</v>
      </c>
      <c r="C113" s="122" t="s">
        <v>2331</v>
      </c>
      <c r="D113" s="122" t="s">
        <v>2194</v>
      </c>
      <c r="E113" s="124">
        <v>42762</v>
      </c>
      <c r="F113" s="125">
        <v>0.64236111111111105</v>
      </c>
      <c r="G113" s="124">
        <v>42816</v>
      </c>
      <c r="H113" s="125">
        <v>0.53125</v>
      </c>
      <c r="I113" s="123">
        <v>732</v>
      </c>
      <c r="J113" s="123">
        <v>831</v>
      </c>
      <c r="K113" s="142" t="str">
        <f t="shared" si="10"/>
        <v>G831</v>
      </c>
      <c r="L113" s="123">
        <v>505</v>
      </c>
      <c r="M113" s="142" t="str">
        <f t="shared" si="11"/>
        <v>R505</v>
      </c>
      <c r="N113" s="123">
        <v>695</v>
      </c>
      <c r="O113" s="142" t="str">
        <f t="shared" si="12"/>
        <v>G695</v>
      </c>
      <c r="P113" s="123">
        <v>487</v>
      </c>
      <c r="Q113" s="142" t="str">
        <f t="shared" si="13"/>
        <v>R487</v>
      </c>
      <c r="R113" s="123">
        <v>35.9</v>
      </c>
      <c r="S113" s="123">
        <v>9.5</v>
      </c>
      <c r="T113" s="123">
        <v>29.4</v>
      </c>
      <c r="U113" s="123">
        <v>12.7</v>
      </c>
      <c r="V113" s="123"/>
      <c r="W113" s="126"/>
      <c r="X113" s="126" t="s">
        <v>2187</v>
      </c>
      <c r="Y113" s="126"/>
      <c r="Z113" s="123">
        <v>26</v>
      </c>
      <c r="AA113" s="123" t="s">
        <v>2180</v>
      </c>
      <c r="AB113" s="123">
        <v>6.1</v>
      </c>
      <c r="AC113" s="123">
        <v>0</v>
      </c>
      <c r="AD113" s="123"/>
      <c r="AH113" s="123">
        <f t="shared" si="8"/>
        <v>831</v>
      </c>
      <c r="AI113" t="b">
        <f t="shared" si="14"/>
        <v>0</v>
      </c>
      <c r="AJ113" s="123">
        <f t="shared" si="9"/>
        <v>505</v>
      </c>
      <c r="AK113" t="b">
        <f t="shared" si="15"/>
        <v>0</v>
      </c>
    </row>
    <row r="114" spans="1:37">
      <c r="A114" s="121">
        <v>112</v>
      </c>
      <c r="B114" s="122" t="s">
        <v>2666</v>
      </c>
      <c r="C114" s="122" t="s">
        <v>2332</v>
      </c>
      <c r="D114" s="122" t="s">
        <v>2194</v>
      </c>
      <c r="E114" s="124">
        <v>42762</v>
      </c>
      <c r="F114" s="125">
        <v>0.64583333333333337</v>
      </c>
      <c r="G114" s="124">
        <v>42816</v>
      </c>
      <c r="H114" s="125">
        <v>0.53472222222222221</v>
      </c>
      <c r="I114" s="123">
        <v>733</v>
      </c>
      <c r="J114" s="123">
        <v>899</v>
      </c>
      <c r="K114" s="142" t="str">
        <f t="shared" si="10"/>
        <v>G899</v>
      </c>
      <c r="L114" s="123">
        <v>41</v>
      </c>
      <c r="M114" s="142" t="str">
        <f t="shared" si="11"/>
        <v>R41</v>
      </c>
      <c r="N114" s="123">
        <v>852</v>
      </c>
      <c r="O114" s="142" t="str">
        <f t="shared" si="12"/>
        <v>G852</v>
      </c>
      <c r="P114" s="123">
        <v>530</v>
      </c>
      <c r="Q114" s="142" t="str">
        <f t="shared" si="13"/>
        <v>R530</v>
      </c>
      <c r="R114" s="123">
        <v>34.200000000000003</v>
      </c>
      <c r="S114" s="123">
        <v>8.6999999999999993</v>
      </c>
      <c r="T114" s="123">
        <v>28.7</v>
      </c>
      <c r="U114" s="123">
        <v>21.7</v>
      </c>
      <c r="V114" s="123" t="s">
        <v>2179</v>
      </c>
      <c r="W114" s="126" t="s">
        <v>2187</v>
      </c>
      <c r="X114" s="126"/>
      <c r="Y114" s="126"/>
      <c r="Z114" s="123">
        <v>15</v>
      </c>
      <c r="AA114" s="123" t="s">
        <v>2180</v>
      </c>
      <c r="AB114" s="123">
        <v>11.5</v>
      </c>
      <c r="AC114" s="123">
        <v>0</v>
      </c>
      <c r="AD114" s="123"/>
      <c r="AH114" s="123">
        <f t="shared" si="8"/>
        <v>899</v>
      </c>
      <c r="AI114" t="b">
        <f t="shared" si="14"/>
        <v>0</v>
      </c>
      <c r="AJ114" s="123">
        <f t="shared" si="9"/>
        <v>41</v>
      </c>
      <c r="AK114" t="b">
        <f t="shared" si="15"/>
        <v>0</v>
      </c>
    </row>
    <row r="115" spans="1:37">
      <c r="A115" s="121">
        <v>113</v>
      </c>
      <c r="B115" s="122" t="s">
        <v>2666</v>
      </c>
      <c r="C115" s="122" t="s">
        <v>2333</v>
      </c>
      <c r="D115" s="122" t="s">
        <v>2208</v>
      </c>
      <c r="E115" s="124">
        <v>42762</v>
      </c>
      <c r="F115" s="125">
        <v>0.67708333333333337</v>
      </c>
      <c r="G115" s="124">
        <v>42816</v>
      </c>
      <c r="H115" s="124"/>
      <c r="I115" s="123">
        <v>739</v>
      </c>
      <c r="J115" s="123">
        <v>724</v>
      </c>
      <c r="K115" s="142" t="str">
        <f t="shared" si="10"/>
        <v>G724</v>
      </c>
      <c r="L115" s="123">
        <v>428</v>
      </c>
      <c r="M115" s="142" t="str">
        <f t="shared" si="11"/>
        <v>R428</v>
      </c>
      <c r="N115" s="123">
        <v>769</v>
      </c>
      <c r="O115" s="142" t="str">
        <f t="shared" si="12"/>
        <v>G769</v>
      </c>
      <c r="P115" s="123">
        <v>578</v>
      </c>
      <c r="Q115" s="142" t="str">
        <f t="shared" si="13"/>
        <v>R578</v>
      </c>
      <c r="R115" s="123">
        <v>32.299999999999997</v>
      </c>
      <c r="S115" s="123">
        <v>7.7</v>
      </c>
      <c r="T115" s="123">
        <v>32.5</v>
      </c>
      <c r="U115" s="123">
        <v>9.6999999999999993</v>
      </c>
      <c r="V115" s="123" t="s">
        <v>2234</v>
      </c>
      <c r="W115" s="126" t="s">
        <v>2200</v>
      </c>
      <c r="X115" s="126" t="s">
        <v>2187</v>
      </c>
      <c r="Y115" s="126" t="s">
        <v>2187</v>
      </c>
      <c r="Z115" s="123">
        <v>88.5</v>
      </c>
      <c r="AA115" s="123" t="s">
        <v>2228</v>
      </c>
      <c r="AB115" s="123">
        <v>26</v>
      </c>
      <c r="AC115" s="123">
        <v>0</v>
      </c>
      <c r="AD115" s="123"/>
      <c r="AH115" s="123">
        <f t="shared" si="8"/>
        <v>724</v>
      </c>
      <c r="AI115" t="b">
        <f t="shared" si="14"/>
        <v>0</v>
      </c>
      <c r="AJ115" s="123">
        <f t="shared" si="9"/>
        <v>428</v>
      </c>
      <c r="AK115" t="b">
        <f t="shared" si="15"/>
        <v>0</v>
      </c>
    </row>
    <row r="116" spans="1:37">
      <c r="A116" s="121">
        <v>114</v>
      </c>
      <c r="B116" s="122" t="s">
        <v>2666</v>
      </c>
      <c r="C116" s="122" t="s">
        <v>2334</v>
      </c>
      <c r="D116" s="122" t="s">
        <v>2208</v>
      </c>
      <c r="E116" s="124">
        <v>42762</v>
      </c>
      <c r="F116" s="125">
        <v>0.67708333333333337</v>
      </c>
      <c r="G116" s="124">
        <v>42816</v>
      </c>
      <c r="H116" s="125">
        <v>0.72916666666666663</v>
      </c>
      <c r="I116" s="123">
        <v>740</v>
      </c>
      <c r="J116" s="123">
        <v>803</v>
      </c>
      <c r="K116" s="142" t="str">
        <f t="shared" si="10"/>
        <v>G803</v>
      </c>
      <c r="L116" s="123">
        <v>601</v>
      </c>
      <c r="M116" s="142" t="str">
        <f t="shared" si="11"/>
        <v>R601</v>
      </c>
      <c r="N116" s="123">
        <v>889</v>
      </c>
      <c r="O116" s="142" t="str">
        <f t="shared" si="12"/>
        <v>G889</v>
      </c>
      <c r="P116" s="123">
        <v>37</v>
      </c>
      <c r="Q116" s="142" t="str">
        <f t="shared" si="13"/>
        <v>R37</v>
      </c>
      <c r="R116" s="123">
        <v>30.6</v>
      </c>
      <c r="S116" s="123">
        <v>8.1</v>
      </c>
      <c r="T116" s="123">
        <v>30.3</v>
      </c>
      <c r="U116" s="145">
        <v>17.7</v>
      </c>
      <c r="V116" s="126" t="s">
        <v>2200</v>
      </c>
      <c r="W116" s="126" t="s">
        <v>2200</v>
      </c>
      <c r="X116" s="126" t="s">
        <v>2187</v>
      </c>
      <c r="Y116" s="123"/>
      <c r="Z116" s="123">
        <v>87.5</v>
      </c>
      <c r="AA116" s="123" t="s">
        <v>2228</v>
      </c>
      <c r="AB116" s="123">
        <v>16.5</v>
      </c>
      <c r="AC116" s="123">
        <v>0</v>
      </c>
      <c r="AD116" s="123"/>
      <c r="AH116" s="123">
        <f t="shared" si="8"/>
        <v>803</v>
      </c>
      <c r="AI116" t="b">
        <f t="shared" si="14"/>
        <v>0</v>
      </c>
      <c r="AJ116" s="123">
        <f t="shared" si="9"/>
        <v>601</v>
      </c>
      <c r="AK116" t="b">
        <f t="shared" si="15"/>
        <v>0</v>
      </c>
    </row>
    <row r="117" spans="1:37">
      <c r="A117" s="121">
        <v>115</v>
      </c>
      <c r="B117" s="122" t="s">
        <v>2666</v>
      </c>
      <c r="C117" s="122" t="s">
        <v>2335</v>
      </c>
      <c r="D117" s="122" t="s">
        <v>2208</v>
      </c>
      <c r="E117" s="124">
        <v>42762</v>
      </c>
      <c r="F117" s="125">
        <v>0.6875</v>
      </c>
      <c r="G117" s="124">
        <v>42816</v>
      </c>
      <c r="H117" s="125">
        <v>0.72916666666666663</v>
      </c>
      <c r="I117" s="123">
        <v>741</v>
      </c>
      <c r="J117" s="123">
        <v>693</v>
      </c>
      <c r="K117" s="142" t="str">
        <f t="shared" si="10"/>
        <v>G693</v>
      </c>
      <c r="L117" s="123">
        <v>553</v>
      </c>
      <c r="M117" s="142" t="str">
        <f t="shared" si="11"/>
        <v>R553</v>
      </c>
      <c r="N117" s="123">
        <v>778</v>
      </c>
      <c r="O117" s="142" t="str">
        <f t="shared" si="12"/>
        <v>G778</v>
      </c>
      <c r="P117" s="123">
        <v>522</v>
      </c>
      <c r="Q117" s="142" t="str">
        <f t="shared" si="13"/>
        <v>R522</v>
      </c>
      <c r="R117" s="123">
        <v>32.9</v>
      </c>
      <c r="S117" s="123">
        <v>8.6999999999999993</v>
      </c>
      <c r="T117" s="123">
        <v>30.5</v>
      </c>
      <c r="U117" s="123">
        <v>11.2</v>
      </c>
      <c r="V117" s="126" t="s">
        <v>2187</v>
      </c>
      <c r="W117" s="126" t="s">
        <v>2200</v>
      </c>
      <c r="X117" s="126" t="s">
        <v>2187</v>
      </c>
      <c r="Y117" s="123" t="s">
        <v>2187</v>
      </c>
      <c r="Z117" s="123">
        <v>79.5</v>
      </c>
      <c r="AA117" s="123" t="s">
        <v>2228</v>
      </c>
      <c r="AB117" s="123">
        <v>19</v>
      </c>
      <c r="AC117" s="123">
        <v>1</v>
      </c>
      <c r="AD117" s="123"/>
      <c r="AH117" s="123">
        <f t="shared" si="8"/>
        <v>693</v>
      </c>
      <c r="AI117" t="b">
        <f t="shared" si="14"/>
        <v>0</v>
      </c>
      <c r="AJ117" s="123">
        <f t="shared" si="9"/>
        <v>553</v>
      </c>
      <c r="AK117" t="b">
        <f t="shared" si="15"/>
        <v>0</v>
      </c>
    </row>
    <row r="118" spans="1:37">
      <c r="A118" s="121">
        <v>116</v>
      </c>
      <c r="B118" s="122" t="s">
        <v>2666</v>
      </c>
      <c r="C118" s="122" t="s">
        <v>2336</v>
      </c>
      <c r="D118" s="122" t="s">
        <v>2208</v>
      </c>
      <c r="E118" s="124">
        <v>42762</v>
      </c>
      <c r="F118" s="125">
        <v>0.6875</v>
      </c>
      <c r="G118" s="124">
        <v>42816</v>
      </c>
      <c r="H118" s="125">
        <v>0.72569444444444453</v>
      </c>
      <c r="I118" s="123">
        <v>742</v>
      </c>
      <c r="J118" s="123">
        <v>897</v>
      </c>
      <c r="K118" s="142" t="str">
        <f t="shared" si="10"/>
        <v>G897</v>
      </c>
      <c r="L118" s="123">
        <v>459</v>
      </c>
      <c r="M118" s="142" t="str">
        <f t="shared" si="11"/>
        <v>R459</v>
      </c>
      <c r="N118" s="123">
        <v>563</v>
      </c>
      <c r="O118" s="142" t="str">
        <f t="shared" si="12"/>
        <v>G563</v>
      </c>
      <c r="P118" s="123">
        <v>480</v>
      </c>
      <c r="Q118" s="142" t="str">
        <f t="shared" si="13"/>
        <v>R480</v>
      </c>
      <c r="R118" s="123">
        <v>20.8</v>
      </c>
      <c r="S118" s="123">
        <v>7.4</v>
      </c>
      <c r="T118" s="123">
        <v>30.4</v>
      </c>
      <c r="U118" s="144">
        <v>10.1</v>
      </c>
      <c r="V118" s="126"/>
      <c r="W118" s="126" t="s">
        <v>2200</v>
      </c>
      <c r="X118" s="126" t="s">
        <v>2187</v>
      </c>
      <c r="Y118" s="123" t="s">
        <v>2187</v>
      </c>
      <c r="Z118" s="123">
        <v>76</v>
      </c>
      <c r="AA118" s="123" t="s">
        <v>2228</v>
      </c>
      <c r="AB118" s="123">
        <v>22.5</v>
      </c>
      <c r="AC118" s="123">
        <v>1</v>
      </c>
      <c r="AD118" s="123"/>
      <c r="AH118" s="123">
        <f t="shared" si="8"/>
        <v>897</v>
      </c>
      <c r="AI118" t="b">
        <f t="shared" si="14"/>
        <v>0</v>
      </c>
      <c r="AJ118" s="123">
        <f t="shared" si="9"/>
        <v>459</v>
      </c>
      <c r="AK118" t="b">
        <f t="shared" si="15"/>
        <v>0</v>
      </c>
    </row>
    <row r="119" spans="1:37">
      <c r="A119" s="121">
        <v>117</v>
      </c>
      <c r="B119" s="122" t="s">
        <v>2666</v>
      </c>
      <c r="C119" s="122" t="s">
        <v>2337</v>
      </c>
      <c r="D119" s="122" t="s">
        <v>2208</v>
      </c>
      <c r="E119" s="124">
        <v>42762</v>
      </c>
      <c r="F119" s="125">
        <v>0.70833333333333337</v>
      </c>
      <c r="G119" s="124">
        <v>42816</v>
      </c>
      <c r="H119" s="125">
        <v>0.72222222222222221</v>
      </c>
      <c r="I119" s="123">
        <v>743</v>
      </c>
      <c r="J119" s="123">
        <v>789</v>
      </c>
      <c r="K119" s="142" t="str">
        <f t="shared" si="10"/>
        <v>G789</v>
      </c>
      <c r="L119" s="123">
        <v>511</v>
      </c>
      <c r="M119" s="142" t="str">
        <f t="shared" si="11"/>
        <v>R511</v>
      </c>
      <c r="N119" s="123">
        <v>901</v>
      </c>
      <c r="O119" s="142" t="str">
        <f t="shared" si="12"/>
        <v>G901</v>
      </c>
      <c r="P119" s="123">
        <v>565</v>
      </c>
      <c r="Q119" s="142" t="str">
        <f t="shared" si="13"/>
        <v>R565</v>
      </c>
      <c r="R119" s="123">
        <v>31.6</v>
      </c>
      <c r="S119" s="123">
        <v>5.6</v>
      </c>
      <c r="T119" s="123">
        <v>31.9</v>
      </c>
      <c r="U119" s="123">
        <v>5.8</v>
      </c>
      <c r="V119" s="126" t="s">
        <v>2206</v>
      </c>
      <c r="W119" s="126" t="s">
        <v>2206</v>
      </c>
      <c r="X119" s="126" t="s">
        <v>2187</v>
      </c>
      <c r="Y119" s="123"/>
      <c r="Z119" s="123">
        <v>76</v>
      </c>
      <c r="AA119" s="123" t="s">
        <v>2228</v>
      </c>
      <c r="AB119" s="123">
        <v>23.5</v>
      </c>
      <c r="AC119" s="123">
        <v>1</v>
      </c>
      <c r="AD119" s="123"/>
      <c r="AH119" s="123">
        <f t="shared" si="8"/>
        <v>789</v>
      </c>
      <c r="AI119" t="b">
        <f t="shared" si="14"/>
        <v>0</v>
      </c>
      <c r="AJ119" s="123">
        <f t="shared" si="9"/>
        <v>511</v>
      </c>
      <c r="AK119" t="b">
        <f t="shared" si="15"/>
        <v>0</v>
      </c>
    </row>
    <row r="120" spans="1:37">
      <c r="A120" s="121">
        <v>118</v>
      </c>
      <c r="B120" s="122" t="s">
        <v>2666</v>
      </c>
      <c r="C120" s="122" t="s">
        <v>2338</v>
      </c>
      <c r="D120" s="122" t="s">
        <v>2208</v>
      </c>
      <c r="E120" s="124">
        <v>42762</v>
      </c>
      <c r="F120" s="125">
        <v>0.70833333333333337</v>
      </c>
      <c r="G120" s="124">
        <v>42816</v>
      </c>
      <c r="H120" s="125">
        <v>0.71875</v>
      </c>
      <c r="I120" s="123">
        <v>744</v>
      </c>
      <c r="J120" s="123">
        <v>681</v>
      </c>
      <c r="K120" s="142" t="str">
        <f t="shared" si="10"/>
        <v>G681</v>
      </c>
      <c r="L120" s="123">
        <v>495</v>
      </c>
      <c r="M120" s="142" t="str">
        <f t="shared" si="11"/>
        <v>R495</v>
      </c>
      <c r="N120" s="123">
        <v>791</v>
      </c>
      <c r="O120" s="142" t="str">
        <f t="shared" si="12"/>
        <v>G791</v>
      </c>
      <c r="P120" s="123">
        <v>544</v>
      </c>
      <c r="Q120" s="142" t="str">
        <f t="shared" si="13"/>
        <v>R544</v>
      </c>
      <c r="R120" s="123">
        <v>32</v>
      </c>
      <c r="S120" s="123">
        <v>6.7</v>
      </c>
      <c r="T120" s="123">
        <v>29.7</v>
      </c>
      <c r="U120" s="123">
        <v>14.7</v>
      </c>
      <c r="V120" s="126" t="s">
        <v>2230</v>
      </c>
      <c r="W120" s="126" t="s">
        <v>2179</v>
      </c>
      <c r="X120" s="126" t="s">
        <v>2187</v>
      </c>
      <c r="Y120" s="123"/>
      <c r="Z120" s="123">
        <v>70.5</v>
      </c>
      <c r="AA120" s="123" t="s">
        <v>2228</v>
      </c>
      <c r="AB120" s="123">
        <v>17.5</v>
      </c>
      <c r="AC120" s="123">
        <v>1</v>
      </c>
      <c r="AD120" s="123"/>
      <c r="AH120" s="123">
        <f t="shared" si="8"/>
        <v>681</v>
      </c>
      <c r="AI120" t="b">
        <f t="shared" si="14"/>
        <v>0</v>
      </c>
      <c r="AJ120" s="123">
        <f t="shared" si="9"/>
        <v>495</v>
      </c>
      <c r="AK120" t="b">
        <f t="shared" si="15"/>
        <v>0</v>
      </c>
    </row>
    <row r="121" spans="1:37">
      <c r="A121" s="121">
        <v>119</v>
      </c>
      <c r="B121" s="122" t="s">
        <v>2666</v>
      </c>
      <c r="C121" s="122" t="s">
        <v>2339</v>
      </c>
      <c r="D121" s="122" t="s">
        <v>2208</v>
      </c>
      <c r="E121" s="124">
        <v>42762</v>
      </c>
      <c r="F121" s="125">
        <v>0.70833333333333337</v>
      </c>
      <c r="G121" s="124">
        <v>42816</v>
      </c>
      <c r="H121" s="125">
        <v>0.71875</v>
      </c>
      <c r="I121" s="123">
        <v>745</v>
      </c>
      <c r="J121" s="123">
        <v>657</v>
      </c>
      <c r="K121" s="142" t="str">
        <f t="shared" si="10"/>
        <v>G657</v>
      </c>
      <c r="L121" s="123">
        <v>584</v>
      </c>
      <c r="M121" s="142" t="str">
        <f t="shared" si="11"/>
        <v>R584</v>
      </c>
      <c r="N121" s="123">
        <v>802</v>
      </c>
      <c r="O121" s="142" t="str">
        <f t="shared" si="12"/>
        <v>G802</v>
      </c>
      <c r="P121" s="123">
        <v>526</v>
      </c>
      <c r="Q121" s="142" t="str">
        <f t="shared" si="13"/>
        <v>R526</v>
      </c>
      <c r="R121" s="123">
        <v>29.8</v>
      </c>
      <c r="S121" s="123">
        <v>8</v>
      </c>
      <c r="T121" s="123">
        <v>31.1</v>
      </c>
      <c r="U121" s="123">
        <v>14.1</v>
      </c>
      <c r="V121" s="126" t="s">
        <v>2187</v>
      </c>
      <c r="W121" s="126" t="s">
        <v>2179</v>
      </c>
      <c r="X121" s="126" t="s">
        <v>2187</v>
      </c>
      <c r="Y121" s="123" t="s">
        <v>2187</v>
      </c>
      <c r="Z121" s="123">
        <v>74.5</v>
      </c>
      <c r="AA121" s="123" t="s">
        <v>2228</v>
      </c>
      <c r="AB121" s="123">
        <v>18.5</v>
      </c>
      <c r="AC121" s="123">
        <v>1</v>
      </c>
      <c r="AD121" s="123"/>
      <c r="AH121" s="123">
        <f t="shared" si="8"/>
        <v>657</v>
      </c>
      <c r="AI121" t="b">
        <f t="shared" si="14"/>
        <v>0</v>
      </c>
      <c r="AJ121" s="123">
        <f t="shared" si="9"/>
        <v>584</v>
      </c>
      <c r="AK121" t="b">
        <f t="shared" si="15"/>
        <v>0</v>
      </c>
    </row>
    <row r="122" spans="1:37">
      <c r="A122" s="121">
        <v>120</v>
      </c>
      <c r="B122" s="122" t="s">
        <v>2666</v>
      </c>
      <c r="C122" s="122" t="s">
        <v>2340</v>
      </c>
      <c r="D122" s="122" t="s">
        <v>2208</v>
      </c>
      <c r="E122" s="124">
        <v>42762</v>
      </c>
      <c r="F122" s="125">
        <v>0.70833333333333337</v>
      </c>
      <c r="G122" s="124">
        <v>42816</v>
      </c>
      <c r="H122" s="125">
        <v>0.73263888888888884</v>
      </c>
      <c r="I122" s="123">
        <v>746</v>
      </c>
      <c r="J122" s="123">
        <v>758</v>
      </c>
      <c r="K122" s="142" t="str">
        <f t="shared" si="10"/>
        <v>G758</v>
      </c>
      <c r="L122" s="123">
        <v>454</v>
      </c>
      <c r="M122" s="142" t="str">
        <f t="shared" si="11"/>
        <v>R454</v>
      </c>
      <c r="N122" s="123">
        <v>698</v>
      </c>
      <c r="O122" s="142" t="str">
        <f t="shared" si="12"/>
        <v>G698</v>
      </c>
      <c r="P122" s="123">
        <v>594</v>
      </c>
      <c r="Q122" s="142" t="str">
        <f t="shared" si="13"/>
        <v>R594</v>
      </c>
      <c r="R122" s="123">
        <v>30.2</v>
      </c>
      <c r="S122" s="123">
        <v>9.4</v>
      </c>
      <c r="T122" s="123">
        <v>30.4</v>
      </c>
      <c r="U122" s="123">
        <v>20.5</v>
      </c>
      <c r="V122" s="126" t="s">
        <v>2179</v>
      </c>
      <c r="W122" s="126" t="s">
        <v>2179</v>
      </c>
      <c r="X122" s="126"/>
      <c r="Y122" s="123" t="s">
        <v>2187</v>
      </c>
      <c r="Z122" s="123">
        <v>98.5</v>
      </c>
      <c r="AA122" s="123" t="s">
        <v>2228</v>
      </c>
      <c r="AB122" s="123">
        <v>19</v>
      </c>
      <c r="AC122" s="123">
        <v>0</v>
      </c>
      <c r="AD122" s="123"/>
      <c r="AH122" s="123">
        <f t="shared" si="8"/>
        <v>758</v>
      </c>
      <c r="AI122" t="b">
        <f t="shared" si="14"/>
        <v>0</v>
      </c>
      <c r="AJ122" s="123">
        <f t="shared" si="9"/>
        <v>454</v>
      </c>
      <c r="AK122" t="b">
        <f t="shared" si="15"/>
        <v>0</v>
      </c>
    </row>
    <row r="123" spans="1:37">
      <c r="A123" s="121">
        <v>121</v>
      </c>
      <c r="B123" s="122" t="s">
        <v>2666</v>
      </c>
      <c r="C123" s="122" t="s">
        <v>2341</v>
      </c>
      <c r="D123" s="122" t="s">
        <v>2218</v>
      </c>
      <c r="E123" s="124">
        <v>42762</v>
      </c>
      <c r="F123" s="125">
        <v>0.71527777777777779</v>
      </c>
      <c r="G123" s="124">
        <v>42816</v>
      </c>
      <c r="H123" s="125">
        <v>0.73611111111111116</v>
      </c>
      <c r="I123" s="123">
        <v>748</v>
      </c>
      <c r="J123" s="123">
        <v>666</v>
      </c>
      <c r="K123" s="142" t="str">
        <f t="shared" si="10"/>
        <v>G666</v>
      </c>
      <c r="L123" s="123">
        <v>532</v>
      </c>
      <c r="M123" s="142" t="str">
        <f t="shared" si="11"/>
        <v>R532</v>
      </c>
      <c r="N123" s="123">
        <v>825</v>
      </c>
      <c r="O123" s="142" t="str">
        <f t="shared" si="12"/>
        <v>G825</v>
      </c>
      <c r="P123" s="123">
        <v>564</v>
      </c>
      <c r="Q123" s="142" t="str">
        <f t="shared" si="13"/>
        <v>R564</v>
      </c>
      <c r="R123" s="123">
        <v>32.4</v>
      </c>
      <c r="S123" s="123">
        <v>6.6</v>
      </c>
      <c r="T123" s="123">
        <v>29.1</v>
      </c>
      <c r="U123" s="123">
        <v>12.5</v>
      </c>
      <c r="V123" s="126" t="s">
        <v>2187</v>
      </c>
      <c r="W123" s="126" t="s">
        <v>2234</v>
      </c>
      <c r="X123" s="126" t="s">
        <v>2187</v>
      </c>
      <c r="Y123" s="123" t="s">
        <v>2187</v>
      </c>
      <c r="Z123" s="123">
        <v>63</v>
      </c>
      <c r="AA123" s="123" t="s">
        <v>2228</v>
      </c>
      <c r="AB123" s="123">
        <v>9.65</v>
      </c>
      <c r="AC123" s="123">
        <v>0</v>
      </c>
      <c r="AD123" s="123"/>
      <c r="AH123" s="123">
        <f t="shared" si="8"/>
        <v>666</v>
      </c>
      <c r="AI123" t="b">
        <f t="shared" si="14"/>
        <v>0</v>
      </c>
      <c r="AJ123" s="123">
        <f t="shared" si="9"/>
        <v>532</v>
      </c>
      <c r="AK123" t="b">
        <f t="shared" si="15"/>
        <v>0</v>
      </c>
    </row>
    <row r="124" spans="1:37">
      <c r="A124" s="121">
        <v>122</v>
      </c>
      <c r="B124" s="122" t="s">
        <v>2666</v>
      </c>
      <c r="C124" s="122" t="s">
        <v>2342</v>
      </c>
      <c r="D124" s="122" t="s">
        <v>2218</v>
      </c>
      <c r="E124" s="124">
        <v>42762</v>
      </c>
      <c r="F124" s="125">
        <v>0.71875</v>
      </c>
      <c r="G124" s="124">
        <v>42816</v>
      </c>
      <c r="H124" s="125">
        <v>0.73958333333333337</v>
      </c>
      <c r="I124" s="123">
        <v>749</v>
      </c>
      <c r="J124" s="123">
        <v>860</v>
      </c>
      <c r="K124" s="142" t="str">
        <f t="shared" si="10"/>
        <v>G860</v>
      </c>
      <c r="L124" s="123">
        <v>11</v>
      </c>
      <c r="M124" s="142" t="str">
        <f t="shared" si="11"/>
        <v>R11</v>
      </c>
      <c r="N124" s="123">
        <v>839</v>
      </c>
      <c r="O124" s="142" t="str">
        <f t="shared" si="12"/>
        <v>G839</v>
      </c>
      <c r="P124" s="123">
        <v>429</v>
      </c>
      <c r="Q124" s="142" t="str">
        <f t="shared" si="13"/>
        <v>R429</v>
      </c>
      <c r="R124" s="123">
        <v>33.700000000000003</v>
      </c>
      <c r="S124" s="123">
        <v>8.5</v>
      </c>
      <c r="T124" s="123">
        <v>27.6</v>
      </c>
      <c r="U124" s="123">
        <v>15.1</v>
      </c>
      <c r="V124" s="126" t="s">
        <v>2206</v>
      </c>
      <c r="W124" s="126" t="s">
        <v>2187</v>
      </c>
      <c r="X124" s="126" t="s">
        <v>2187</v>
      </c>
      <c r="Y124" s="123" t="s">
        <v>2187</v>
      </c>
      <c r="Z124" s="123">
        <v>53</v>
      </c>
      <c r="AA124" s="123" t="s">
        <v>2228</v>
      </c>
      <c r="AB124" s="123">
        <v>3.1</v>
      </c>
      <c r="AC124" s="123">
        <v>0</v>
      </c>
      <c r="AD124" s="123"/>
      <c r="AH124" s="123">
        <f t="shared" si="8"/>
        <v>860</v>
      </c>
      <c r="AI124" t="b">
        <f t="shared" si="14"/>
        <v>0</v>
      </c>
      <c r="AJ124" s="123">
        <f t="shared" si="9"/>
        <v>11</v>
      </c>
      <c r="AK124" t="b">
        <f t="shared" si="15"/>
        <v>0</v>
      </c>
    </row>
    <row r="125" spans="1:37">
      <c r="A125" s="121">
        <v>123</v>
      </c>
      <c r="B125" s="122" t="s">
        <v>2666</v>
      </c>
      <c r="C125" s="122" t="s">
        <v>2343</v>
      </c>
      <c r="D125" s="122" t="s">
        <v>2218</v>
      </c>
      <c r="E125" s="124">
        <v>42762</v>
      </c>
      <c r="F125" s="125">
        <v>0.72569444444444453</v>
      </c>
      <c r="G125" s="124">
        <v>42816</v>
      </c>
      <c r="H125" s="125">
        <v>0.75</v>
      </c>
      <c r="I125" s="123">
        <v>751</v>
      </c>
      <c r="J125" s="123">
        <v>694</v>
      </c>
      <c r="K125" s="142" t="str">
        <f t="shared" si="10"/>
        <v>G694</v>
      </c>
      <c r="L125" s="129">
        <v>575</v>
      </c>
      <c r="M125" s="142" t="str">
        <f t="shared" si="11"/>
        <v>R575</v>
      </c>
      <c r="N125" s="123">
        <v>895</v>
      </c>
      <c r="O125" s="142" t="str">
        <f t="shared" si="12"/>
        <v>G895</v>
      </c>
      <c r="P125" s="123">
        <v>466</v>
      </c>
      <c r="Q125" s="142" t="str">
        <f t="shared" si="13"/>
        <v>R466</v>
      </c>
      <c r="R125" s="123">
        <v>33.200000000000003</v>
      </c>
      <c r="S125" s="123">
        <v>11.4</v>
      </c>
      <c r="T125" s="123">
        <v>30.5</v>
      </c>
      <c r="U125" s="123">
        <v>15</v>
      </c>
      <c r="V125" s="126" t="s">
        <v>2187</v>
      </c>
      <c r="W125" s="126" t="s">
        <v>2195</v>
      </c>
      <c r="X125" s="126"/>
      <c r="Y125" s="123"/>
      <c r="Z125" s="123">
        <v>51</v>
      </c>
      <c r="AA125" s="123" t="s">
        <v>2228</v>
      </c>
      <c r="AB125" s="123">
        <v>3.9</v>
      </c>
      <c r="AC125" s="123">
        <v>1</v>
      </c>
      <c r="AD125" s="123" t="s">
        <v>2344</v>
      </c>
      <c r="AH125" s="123">
        <f t="shared" si="8"/>
        <v>694</v>
      </c>
      <c r="AI125" t="b">
        <f t="shared" si="14"/>
        <v>0</v>
      </c>
      <c r="AJ125" s="132">
        <f t="shared" si="9"/>
        <v>575</v>
      </c>
      <c r="AK125" t="b">
        <f t="shared" si="15"/>
        <v>0</v>
      </c>
    </row>
    <row r="126" spans="1:37">
      <c r="A126" s="121">
        <v>124</v>
      </c>
      <c r="B126" s="122" t="s">
        <v>2666</v>
      </c>
      <c r="C126" s="122" t="s">
        <v>2345</v>
      </c>
      <c r="D126" s="122" t="s">
        <v>2218</v>
      </c>
      <c r="E126" s="124">
        <v>42762</v>
      </c>
      <c r="F126" s="125">
        <v>0.72569444444444453</v>
      </c>
      <c r="G126" s="124">
        <v>42816</v>
      </c>
      <c r="H126" s="125">
        <v>0.75</v>
      </c>
      <c r="I126" s="123">
        <v>750</v>
      </c>
      <c r="J126" s="123">
        <v>867</v>
      </c>
      <c r="K126" s="142" t="str">
        <f t="shared" si="10"/>
        <v>G867</v>
      </c>
      <c r="L126" s="123">
        <v>39</v>
      </c>
      <c r="M126" s="142" t="str">
        <f t="shared" si="11"/>
        <v>R39</v>
      </c>
      <c r="N126" s="123">
        <v>682</v>
      </c>
      <c r="O126" s="142" t="str">
        <f t="shared" si="12"/>
        <v>G682</v>
      </c>
      <c r="P126" s="123">
        <v>471</v>
      </c>
      <c r="Q126" s="142" t="str">
        <f t="shared" si="13"/>
        <v>R471</v>
      </c>
      <c r="R126" s="123">
        <v>31.4</v>
      </c>
      <c r="S126" s="123">
        <v>11.1</v>
      </c>
      <c r="T126" s="123">
        <v>30.8</v>
      </c>
      <c r="U126" s="123">
        <v>25.3</v>
      </c>
      <c r="V126" s="126" t="s">
        <v>2200</v>
      </c>
      <c r="W126" s="126" t="s">
        <v>2187</v>
      </c>
      <c r="X126" s="126"/>
      <c r="Y126" s="123"/>
      <c r="Z126" s="123">
        <v>47</v>
      </c>
      <c r="AA126" s="123" t="s">
        <v>2228</v>
      </c>
      <c r="AB126" s="123">
        <v>5.45</v>
      </c>
      <c r="AC126" s="123">
        <v>1</v>
      </c>
      <c r="AD126" s="123"/>
      <c r="AH126" s="123">
        <f t="shared" si="8"/>
        <v>867</v>
      </c>
      <c r="AI126" t="b">
        <f t="shared" si="14"/>
        <v>0</v>
      </c>
      <c r="AJ126" s="123">
        <f t="shared" si="9"/>
        <v>39</v>
      </c>
      <c r="AK126" t="b">
        <f t="shared" si="15"/>
        <v>0</v>
      </c>
    </row>
    <row r="127" spans="1:37">
      <c r="A127" s="121">
        <v>125</v>
      </c>
      <c r="B127" s="122" t="s">
        <v>2666</v>
      </c>
      <c r="C127" s="122" t="s">
        <v>2346</v>
      </c>
      <c r="D127" s="122" t="s">
        <v>2218</v>
      </c>
      <c r="E127" s="124">
        <v>42762</v>
      </c>
      <c r="F127" s="125">
        <v>0.72569444444444453</v>
      </c>
      <c r="G127" s="124">
        <v>42816</v>
      </c>
      <c r="H127" s="125">
        <v>0.74305555555555547</v>
      </c>
      <c r="I127" s="123">
        <v>752</v>
      </c>
      <c r="J127" s="123">
        <v>793</v>
      </c>
      <c r="K127" s="142" t="str">
        <f t="shared" si="10"/>
        <v>G793</v>
      </c>
      <c r="L127" s="123">
        <v>560</v>
      </c>
      <c r="M127" s="142" t="str">
        <f t="shared" si="11"/>
        <v>R560</v>
      </c>
      <c r="N127" s="123">
        <v>740</v>
      </c>
      <c r="O127" s="142" t="str">
        <f t="shared" si="12"/>
        <v>G740</v>
      </c>
      <c r="P127" s="123">
        <v>486</v>
      </c>
      <c r="Q127" s="142" t="str">
        <f t="shared" si="13"/>
        <v>R486</v>
      </c>
      <c r="R127" s="123">
        <v>31.8</v>
      </c>
      <c r="S127" s="123">
        <v>12.3</v>
      </c>
      <c r="T127" s="123">
        <v>32.299999999999997</v>
      </c>
      <c r="U127" s="123">
        <v>26.2</v>
      </c>
      <c r="V127" s="126" t="s">
        <v>2200</v>
      </c>
      <c r="W127" s="126" t="s">
        <v>2200</v>
      </c>
      <c r="X127" s="126" t="s">
        <v>2187</v>
      </c>
      <c r="Y127" s="123" t="s">
        <v>2187</v>
      </c>
      <c r="Z127" s="123">
        <v>43</v>
      </c>
      <c r="AA127" s="123" t="s">
        <v>2228</v>
      </c>
      <c r="AB127" s="123">
        <v>9.3000000000000007</v>
      </c>
      <c r="AC127" s="123">
        <v>1</v>
      </c>
      <c r="AD127" s="123"/>
      <c r="AH127" s="123">
        <f t="shared" si="8"/>
        <v>793</v>
      </c>
      <c r="AI127" t="b">
        <f t="shared" si="14"/>
        <v>0</v>
      </c>
      <c r="AJ127" s="123">
        <f t="shared" si="9"/>
        <v>560</v>
      </c>
      <c r="AK127" t="b">
        <f t="shared" si="15"/>
        <v>0</v>
      </c>
    </row>
    <row r="128" spans="1:37">
      <c r="A128" s="121">
        <v>126</v>
      </c>
      <c r="B128" s="122" t="s">
        <v>2666</v>
      </c>
      <c r="C128" s="122" t="s">
        <v>2347</v>
      </c>
      <c r="D128" s="122" t="s">
        <v>2218</v>
      </c>
      <c r="E128" s="124">
        <v>42762</v>
      </c>
      <c r="F128" s="125">
        <v>0.72916666666666663</v>
      </c>
      <c r="G128" s="124">
        <v>42816</v>
      </c>
      <c r="H128" s="125">
        <v>0.74652777777777779</v>
      </c>
      <c r="I128" s="123">
        <v>753</v>
      </c>
      <c r="J128" s="123">
        <v>749</v>
      </c>
      <c r="K128" s="142" t="str">
        <f t="shared" si="10"/>
        <v>G749</v>
      </c>
      <c r="L128" s="123">
        <v>562</v>
      </c>
      <c r="M128" s="142" t="str">
        <f t="shared" si="11"/>
        <v>R562</v>
      </c>
      <c r="N128" s="123">
        <v>841</v>
      </c>
      <c r="O128" s="142" t="str">
        <f t="shared" si="12"/>
        <v>G841</v>
      </c>
      <c r="P128" s="129">
        <v>55</v>
      </c>
      <c r="Q128" s="142" t="str">
        <f t="shared" si="13"/>
        <v>R55</v>
      </c>
      <c r="R128" s="129">
        <v>31.5</v>
      </c>
      <c r="S128" s="129">
        <v>10.5</v>
      </c>
      <c r="T128" s="123">
        <v>32.5</v>
      </c>
      <c r="U128" s="123">
        <v>22.8</v>
      </c>
      <c r="V128" s="126" t="s">
        <v>2200</v>
      </c>
      <c r="W128" s="126"/>
      <c r="X128" s="126" t="s">
        <v>2187</v>
      </c>
      <c r="Y128" s="123" t="s">
        <v>2187</v>
      </c>
      <c r="Z128" s="123">
        <v>40</v>
      </c>
      <c r="AA128" s="123" t="s">
        <v>2228</v>
      </c>
      <c r="AB128" s="123">
        <v>10.85</v>
      </c>
      <c r="AC128" s="123">
        <v>1</v>
      </c>
      <c r="AD128" s="123"/>
      <c r="AH128" s="123">
        <f t="shared" si="8"/>
        <v>749</v>
      </c>
      <c r="AI128" t="b">
        <f t="shared" si="14"/>
        <v>0</v>
      </c>
      <c r="AJ128" s="123">
        <f t="shared" si="9"/>
        <v>562</v>
      </c>
      <c r="AK128" t="b">
        <f t="shared" si="15"/>
        <v>0</v>
      </c>
    </row>
    <row r="129" spans="1:37">
      <c r="A129" s="121">
        <v>127</v>
      </c>
      <c r="B129" s="122" t="s">
        <v>2666</v>
      </c>
      <c r="C129" s="122" t="s">
        <v>2348</v>
      </c>
      <c r="D129" s="122" t="s">
        <v>2218</v>
      </c>
      <c r="E129" s="124">
        <v>42762</v>
      </c>
      <c r="F129" s="125">
        <v>0.73263888888888884</v>
      </c>
      <c r="G129" s="124">
        <v>42816</v>
      </c>
      <c r="H129" s="125">
        <v>0.75347222222222221</v>
      </c>
      <c r="I129" s="123">
        <v>754</v>
      </c>
      <c r="J129" s="123">
        <v>898</v>
      </c>
      <c r="K129" s="142" t="str">
        <f t="shared" si="10"/>
        <v>G898</v>
      </c>
      <c r="L129" s="123">
        <v>506</v>
      </c>
      <c r="M129" s="142" t="str">
        <f t="shared" si="11"/>
        <v>R506</v>
      </c>
      <c r="N129" s="123">
        <v>687</v>
      </c>
      <c r="O129" s="142" t="str">
        <f t="shared" si="12"/>
        <v>G687</v>
      </c>
      <c r="P129" s="123">
        <v>424</v>
      </c>
      <c r="Q129" s="142" t="str">
        <f t="shared" si="13"/>
        <v>R424</v>
      </c>
      <c r="R129" s="123">
        <v>31.3</v>
      </c>
      <c r="S129" s="123">
        <v>10.5</v>
      </c>
      <c r="T129" s="123">
        <v>31.8</v>
      </c>
      <c r="U129" s="123">
        <v>21.1</v>
      </c>
      <c r="V129" s="126" t="s">
        <v>2200</v>
      </c>
      <c r="W129" s="126"/>
      <c r="X129" s="126" t="s">
        <v>2187</v>
      </c>
      <c r="Y129" s="123" t="s">
        <v>2187</v>
      </c>
      <c r="Z129" s="123">
        <v>58</v>
      </c>
      <c r="AA129" s="123" t="s">
        <v>2228</v>
      </c>
      <c r="AB129" s="123">
        <v>5.35</v>
      </c>
      <c r="AC129" s="123">
        <v>1</v>
      </c>
      <c r="AD129" s="123"/>
      <c r="AH129" s="123">
        <f t="shared" si="8"/>
        <v>898</v>
      </c>
      <c r="AI129" t="b">
        <f t="shared" si="14"/>
        <v>0</v>
      </c>
      <c r="AJ129" s="123">
        <f t="shared" si="9"/>
        <v>506</v>
      </c>
      <c r="AK129" t="b">
        <f t="shared" si="15"/>
        <v>0</v>
      </c>
    </row>
    <row r="130" spans="1:37">
      <c r="A130" s="121">
        <v>128</v>
      </c>
      <c r="B130" s="122" t="s">
        <v>2666</v>
      </c>
      <c r="C130" s="122" t="s">
        <v>2349</v>
      </c>
      <c r="D130" s="122" t="s">
        <v>2218</v>
      </c>
      <c r="E130" s="124">
        <v>42762</v>
      </c>
      <c r="F130" s="125">
        <v>0.73263888888888884</v>
      </c>
      <c r="G130" s="124">
        <v>42816</v>
      </c>
      <c r="H130" s="123"/>
      <c r="I130" s="123">
        <v>755</v>
      </c>
      <c r="J130" s="123">
        <v>834</v>
      </c>
      <c r="K130" s="142" t="str">
        <f t="shared" si="10"/>
        <v>G834</v>
      </c>
      <c r="L130" s="123">
        <v>554</v>
      </c>
      <c r="M130" s="142" t="str">
        <f t="shared" si="11"/>
        <v>R554</v>
      </c>
      <c r="N130" s="123">
        <v>833</v>
      </c>
      <c r="O130" s="142" t="str">
        <f t="shared" si="12"/>
        <v>G833</v>
      </c>
      <c r="P130" s="123">
        <v>418</v>
      </c>
      <c r="Q130" s="142" t="str">
        <f t="shared" si="13"/>
        <v>R418</v>
      </c>
      <c r="R130" s="123">
        <v>32.700000000000003</v>
      </c>
      <c r="S130" s="123">
        <v>8.9</v>
      </c>
      <c r="T130" s="123">
        <v>30.6</v>
      </c>
      <c r="U130" s="123">
        <v>7.4</v>
      </c>
      <c r="V130" s="126" t="s">
        <v>2187</v>
      </c>
      <c r="W130" s="126" t="s">
        <v>2203</v>
      </c>
      <c r="X130" s="126" t="s">
        <v>2187</v>
      </c>
      <c r="Y130" s="123" t="s">
        <v>2187</v>
      </c>
      <c r="Z130" s="123">
        <v>44</v>
      </c>
      <c r="AA130" s="123" t="s">
        <v>2228</v>
      </c>
      <c r="AB130" s="123">
        <v>10.9</v>
      </c>
      <c r="AC130" s="123">
        <v>0</v>
      </c>
      <c r="AD130" s="123"/>
      <c r="AH130" s="123">
        <f t="shared" si="8"/>
        <v>834</v>
      </c>
      <c r="AI130" t="b">
        <f t="shared" si="14"/>
        <v>0</v>
      </c>
      <c r="AJ130" s="123">
        <f t="shared" si="9"/>
        <v>554</v>
      </c>
      <c r="AK130" t="b">
        <f t="shared" si="15"/>
        <v>0</v>
      </c>
    </row>
    <row r="131" spans="1:37">
      <c r="A131" s="121">
        <v>129</v>
      </c>
      <c r="B131" s="122" t="s">
        <v>2666</v>
      </c>
      <c r="C131" s="122" t="s">
        <v>2350</v>
      </c>
      <c r="D131" s="122" t="s">
        <v>2227</v>
      </c>
      <c r="E131" s="124">
        <v>42762</v>
      </c>
      <c r="F131" s="125">
        <v>0.36805555555555558</v>
      </c>
      <c r="G131" s="124">
        <v>42816</v>
      </c>
      <c r="H131" s="125">
        <v>0.59375</v>
      </c>
      <c r="I131" s="123">
        <v>669</v>
      </c>
      <c r="J131" s="123">
        <v>819</v>
      </c>
      <c r="K131" s="142" t="str">
        <f t="shared" si="10"/>
        <v>G819</v>
      </c>
      <c r="L131" s="123">
        <v>46</v>
      </c>
      <c r="M131" s="142" t="str">
        <f t="shared" si="11"/>
        <v>R46</v>
      </c>
      <c r="N131" s="123">
        <v>888</v>
      </c>
      <c r="O131" s="142" t="str">
        <f t="shared" si="12"/>
        <v>G888</v>
      </c>
      <c r="P131" s="123">
        <v>520</v>
      </c>
      <c r="Q131" s="142" t="str">
        <f t="shared" si="13"/>
        <v>R520</v>
      </c>
      <c r="R131" s="123">
        <v>25</v>
      </c>
      <c r="S131" s="123">
        <v>7.1</v>
      </c>
      <c r="T131" s="123">
        <v>31</v>
      </c>
      <c r="U131" s="123">
        <v>23</v>
      </c>
      <c r="V131" s="126"/>
      <c r="W131" s="126" t="s">
        <v>2179</v>
      </c>
      <c r="X131" s="126" t="s">
        <v>2187</v>
      </c>
      <c r="Y131" s="123"/>
      <c r="Z131" s="123">
        <v>2.4</v>
      </c>
      <c r="AA131" s="123" t="s">
        <v>2250</v>
      </c>
      <c r="AB131" s="123">
        <v>2.4</v>
      </c>
      <c r="AC131" s="123">
        <v>1</v>
      </c>
      <c r="AD131" s="123"/>
      <c r="AH131" s="123">
        <f t="shared" ref="AH131:AH194" si="16">J131</f>
        <v>819</v>
      </c>
      <c r="AI131" t="b">
        <f t="shared" si="14"/>
        <v>0</v>
      </c>
      <c r="AJ131" s="123">
        <f t="shared" ref="AJ131:AJ194" si="17">L131</f>
        <v>46</v>
      </c>
      <c r="AK131" t="b">
        <f t="shared" si="15"/>
        <v>0</v>
      </c>
    </row>
    <row r="132" spans="1:37">
      <c r="A132" s="121">
        <v>130</v>
      </c>
      <c r="B132" s="122" t="s">
        <v>2666</v>
      </c>
      <c r="C132" s="122" t="s">
        <v>2351</v>
      </c>
      <c r="D132" s="122" t="s">
        <v>2227</v>
      </c>
      <c r="E132" s="124">
        <v>42762</v>
      </c>
      <c r="F132" s="125">
        <v>0.36805555555555558</v>
      </c>
      <c r="G132" s="124">
        <v>42816</v>
      </c>
      <c r="H132" s="125">
        <v>0.60069444444444442</v>
      </c>
      <c r="I132" s="123">
        <v>670</v>
      </c>
      <c r="J132" s="123">
        <v>830</v>
      </c>
      <c r="K132" s="142" t="str">
        <f t="shared" ref="K132:K195" si="18">_xlfn.TEXTJOIN(,TRUE, "G",J132)</f>
        <v>G830</v>
      </c>
      <c r="L132" s="123">
        <v>585</v>
      </c>
      <c r="M132" s="142" t="str">
        <f t="shared" ref="M132:M195" si="19">_xlfn.TEXTJOIN(,TRUE, "R",L132)</f>
        <v>R585</v>
      </c>
      <c r="N132" s="123">
        <v>708</v>
      </c>
      <c r="O132" s="142" t="str">
        <f t="shared" ref="O132:O195" si="20">_xlfn.TEXTJOIN(,TRUE, "G",N132)</f>
        <v>G708</v>
      </c>
      <c r="P132" s="123">
        <v>433</v>
      </c>
      <c r="Q132" s="142" t="str">
        <f t="shared" ref="Q132:Q195" si="21">_xlfn.TEXTJOIN(,TRUE, "R",P132)</f>
        <v>R433</v>
      </c>
      <c r="R132" s="123">
        <v>25</v>
      </c>
      <c r="S132" s="123">
        <v>6.4</v>
      </c>
      <c r="T132" s="123">
        <v>32</v>
      </c>
      <c r="U132" s="123">
        <v>26.2</v>
      </c>
      <c r="V132" s="126" t="s">
        <v>2187</v>
      </c>
      <c r="W132" s="126"/>
      <c r="X132" s="126"/>
      <c r="Y132" s="123"/>
      <c r="Z132" s="123">
        <v>3.5</v>
      </c>
      <c r="AA132" s="123" t="s">
        <v>2250</v>
      </c>
      <c r="AB132" s="123">
        <v>2.1</v>
      </c>
      <c r="AC132" s="123">
        <v>0</v>
      </c>
      <c r="AD132" s="123"/>
      <c r="AH132" s="123">
        <f t="shared" si="16"/>
        <v>830</v>
      </c>
      <c r="AI132" t="b">
        <f t="shared" ref="AI132:AI195" si="22">COUNTIF($AH$3:$AH$443, AH132)&gt;1</f>
        <v>0</v>
      </c>
      <c r="AJ132" s="123">
        <f t="shared" si="17"/>
        <v>585</v>
      </c>
      <c r="AK132" t="b">
        <f t="shared" ref="AK132:AK195" si="23">COUNTIF($AJ$3:$AJ$443, AJ132)&gt;1</f>
        <v>0</v>
      </c>
    </row>
    <row r="133" spans="1:37">
      <c r="A133" s="121">
        <v>131</v>
      </c>
      <c r="B133" s="122" t="s">
        <v>2666</v>
      </c>
      <c r="C133" s="122" t="s">
        <v>2352</v>
      </c>
      <c r="D133" s="122" t="s">
        <v>2227</v>
      </c>
      <c r="E133" s="124">
        <v>42762</v>
      </c>
      <c r="F133" s="125">
        <v>0.37152777777777773</v>
      </c>
      <c r="G133" s="124">
        <v>42816</v>
      </c>
      <c r="H133" s="125">
        <v>0.60416666666666663</v>
      </c>
      <c r="I133" s="123">
        <v>672</v>
      </c>
      <c r="J133" s="123">
        <v>746</v>
      </c>
      <c r="K133" s="142" t="str">
        <f t="shared" si="18"/>
        <v>G746</v>
      </c>
      <c r="L133" s="123">
        <v>476</v>
      </c>
      <c r="M133" s="142" t="str">
        <f t="shared" si="19"/>
        <v>R476</v>
      </c>
      <c r="N133" s="123">
        <v>768</v>
      </c>
      <c r="O133" s="142" t="str">
        <f t="shared" si="20"/>
        <v>G768</v>
      </c>
      <c r="P133" s="123">
        <v>592</v>
      </c>
      <c r="Q133" s="142" t="str">
        <f t="shared" si="21"/>
        <v>R592</v>
      </c>
      <c r="R133" s="123">
        <v>24.7</v>
      </c>
      <c r="S133" s="123">
        <v>2.5</v>
      </c>
      <c r="T133" s="123">
        <v>33.200000000000003</v>
      </c>
      <c r="U133" s="123">
        <v>16.100000000000001</v>
      </c>
      <c r="V133" s="126" t="s">
        <v>2179</v>
      </c>
      <c r="W133" s="126" t="s">
        <v>2195</v>
      </c>
      <c r="X133" s="126"/>
      <c r="Y133" s="123"/>
      <c r="Z133" s="123">
        <v>7.5</v>
      </c>
      <c r="AA133" s="123" t="s">
        <v>2250</v>
      </c>
      <c r="AB133" s="123">
        <v>4.5</v>
      </c>
      <c r="AC133" s="123">
        <v>0</v>
      </c>
      <c r="AD133" s="123"/>
      <c r="AH133" s="123">
        <f t="shared" si="16"/>
        <v>746</v>
      </c>
      <c r="AI133" t="b">
        <f t="shared" si="22"/>
        <v>0</v>
      </c>
      <c r="AJ133" s="123">
        <f t="shared" si="17"/>
        <v>476</v>
      </c>
      <c r="AK133" t="b">
        <f t="shared" si="23"/>
        <v>0</v>
      </c>
    </row>
    <row r="134" spans="1:37">
      <c r="A134" s="121">
        <v>132</v>
      </c>
      <c r="B134" s="122" t="s">
        <v>2666</v>
      </c>
      <c r="C134" s="122" t="s">
        <v>2353</v>
      </c>
      <c r="D134" s="122" t="s">
        <v>2227</v>
      </c>
      <c r="E134" s="124">
        <v>42762</v>
      </c>
      <c r="F134" s="125">
        <v>0.37847222222222227</v>
      </c>
      <c r="G134" s="124">
        <v>42816</v>
      </c>
      <c r="H134" s="125">
        <v>0.64583333333333337</v>
      </c>
      <c r="I134" s="123">
        <v>1077</v>
      </c>
      <c r="J134" s="123">
        <v>725</v>
      </c>
      <c r="K134" s="142" t="str">
        <f t="shared" si="18"/>
        <v>G725</v>
      </c>
      <c r="L134" s="123">
        <v>536</v>
      </c>
      <c r="M134" s="142" t="str">
        <f t="shared" si="19"/>
        <v>R536</v>
      </c>
      <c r="N134" s="123">
        <v>779</v>
      </c>
      <c r="O134" s="142" t="str">
        <f t="shared" si="20"/>
        <v>G779</v>
      </c>
      <c r="P134" s="123">
        <v>477</v>
      </c>
      <c r="Q134" s="142" t="str">
        <f t="shared" si="21"/>
        <v>R477</v>
      </c>
      <c r="R134" s="123">
        <v>24.5</v>
      </c>
      <c r="S134" s="123">
        <v>7.6</v>
      </c>
      <c r="T134" s="123">
        <v>33.4</v>
      </c>
      <c r="U134" s="123">
        <v>29.5</v>
      </c>
      <c r="V134" s="126"/>
      <c r="W134" s="126" t="s">
        <v>2195</v>
      </c>
      <c r="X134" s="126"/>
      <c r="Y134" s="123"/>
      <c r="Z134" s="123">
        <v>9.8000000000000007</v>
      </c>
      <c r="AA134" s="123" t="s">
        <v>2228</v>
      </c>
      <c r="AB134" s="123">
        <v>0.7</v>
      </c>
      <c r="AC134" s="123">
        <v>1</v>
      </c>
      <c r="AD134" s="123"/>
      <c r="AH134" s="123">
        <f t="shared" si="16"/>
        <v>725</v>
      </c>
      <c r="AI134" t="b">
        <f t="shared" si="22"/>
        <v>0</v>
      </c>
      <c r="AJ134" s="123">
        <f t="shared" si="17"/>
        <v>536</v>
      </c>
      <c r="AK134" t="b">
        <f t="shared" si="23"/>
        <v>0</v>
      </c>
    </row>
    <row r="135" spans="1:37">
      <c r="A135" s="121">
        <v>133</v>
      </c>
      <c r="B135" s="122" t="s">
        <v>2666</v>
      </c>
      <c r="C135" s="122" t="s">
        <v>2354</v>
      </c>
      <c r="D135" s="122" t="s">
        <v>2227</v>
      </c>
      <c r="E135" s="124">
        <v>42762</v>
      </c>
      <c r="F135" s="125">
        <v>0.3888888888888889</v>
      </c>
      <c r="G135" s="124">
        <v>42816</v>
      </c>
      <c r="H135" s="125">
        <v>0.625</v>
      </c>
      <c r="I135" s="123">
        <v>674</v>
      </c>
      <c r="J135" s="123">
        <v>846</v>
      </c>
      <c r="K135" s="142" t="str">
        <f t="shared" si="18"/>
        <v>G846</v>
      </c>
      <c r="L135" s="123">
        <v>524</v>
      </c>
      <c r="M135" s="142" t="str">
        <f t="shared" si="19"/>
        <v>R524</v>
      </c>
      <c r="N135" s="123">
        <v>799</v>
      </c>
      <c r="O135" s="142" t="str">
        <f t="shared" si="20"/>
        <v>G799</v>
      </c>
      <c r="P135" s="123">
        <v>597</v>
      </c>
      <c r="Q135" s="142" t="str">
        <f t="shared" si="21"/>
        <v>R597</v>
      </c>
      <c r="R135" s="123">
        <v>23.9</v>
      </c>
      <c r="S135" s="123">
        <v>6.1</v>
      </c>
      <c r="T135" s="123">
        <v>38.799999999999997</v>
      </c>
      <c r="U135" s="123">
        <v>20.7</v>
      </c>
      <c r="V135" s="126"/>
      <c r="W135" s="126"/>
      <c r="X135" s="126"/>
      <c r="Y135" s="123"/>
      <c r="Z135" s="123">
        <v>10</v>
      </c>
      <c r="AA135" s="123" t="s">
        <v>2250</v>
      </c>
      <c r="AB135" s="123">
        <v>2.2000000000000002</v>
      </c>
      <c r="AC135" s="123">
        <v>1</v>
      </c>
      <c r="AD135" s="123"/>
      <c r="AH135" s="123">
        <f t="shared" si="16"/>
        <v>846</v>
      </c>
      <c r="AI135" t="b">
        <f t="shared" si="22"/>
        <v>0</v>
      </c>
      <c r="AJ135" s="123">
        <f t="shared" si="17"/>
        <v>524</v>
      </c>
      <c r="AK135" t="b">
        <f t="shared" si="23"/>
        <v>0</v>
      </c>
    </row>
    <row r="136" spans="1:37">
      <c r="A136" s="121">
        <v>134</v>
      </c>
      <c r="B136" s="122" t="s">
        <v>2666</v>
      </c>
      <c r="C136" s="122" t="s">
        <v>2355</v>
      </c>
      <c r="D136" s="122" t="s">
        <v>2227</v>
      </c>
      <c r="E136" s="124">
        <v>42762</v>
      </c>
      <c r="F136" s="125">
        <v>0.3888888888888889</v>
      </c>
      <c r="G136" s="124">
        <v>42816</v>
      </c>
      <c r="H136" s="125">
        <v>0.63194444444444442</v>
      </c>
      <c r="I136" s="123">
        <v>675</v>
      </c>
      <c r="J136" s="123">
        <v>756</v>
      </c>
      <c r="K136" s="142" t="str">
        <f t="shared" si="18"/>
        <v>G756</v>
      </c>
      <c r="L136" s="123">
        <v>600</v>
      </c>
      <c r="M136" s="142" t="str">
        <f t="shared" si="19"/>
        <v>R600</v>
      </c>
      <c r="N136" s="123">
        <v>820</v>
      </c>
      <c r="O136" s="142" t="str">
        <f t="shared" si="20"/>
        <v>G820</v>
      </c>
      <c r="P136" s="123">
        <v>467</v>
      </c>
      <c r="Q136" s="142" t="str">
        <f t="shared" si="21"/>
        <v>R467</v>
      </c>
      <c r="R136" s="123">
        <v>23.7</v>
      </c>
      <c r="S136" s="123">
        <v>4.0999999999999996</v>
      </c>
      <c r="T136" s="123">
        <v>36.6</v>
      </c>
      <c r="U136" s="123">
        <v>21.3</v>
      </c>
      <c r="V136" s="126" t="s">
        <v>2187</v>
      </c>
      <c r="W136" s="126"/>
      <c r="X136" s="126"/>
      <c r="Y136" s="123"/>
      <c r="Z136" s="123">
        <v>15.4</v>
      </c>
      <c r="AA136" s="123" t="s">
        <v>2250</v>
      </c>
      <c r="AB136" s="123">
        <v>1.1000000000000001</v>
      </c>
      <c r="AC136" s="123">
        <v>1</v>
      </c>
      <c r="AD136" s="123"/>
      <c r="AH136" s="123">
        <f t="shared" si="16"/>
        <v>756</v>
      </c>
      <c r="AI136" t="b">
        <f t="shared" si="22"/>
        <v>0</v>
      </c>
      <c r="AJ136" s="123">
        <f t="shared" si="17"/>
        <v>600</v>
      </c>
      <c r="AK136" t="b">
        <f t="shared" si="23"/>
        <v>0</v>
      </c>
    </row>
    <row r="137" spans="1:37">
      <c r="A137" s="121">
        <v>135</v>
      </c>
      <c r="B137" s="122" t="s">
        <v>2666</v>
      </c>
      <c r="C137" s="122" t="s">
        <v>2356</v>
      </c>
      <c r="D137" s="122" t="s">
        <v>2227</v>
      </c>
      <c r="E137" s="124">
        <v>42762</v>
      </c>
      <c r="F137" s="125">
        <v>0.3888888888888889</v>
      </c>
      <c r="G137" s="124">
        <v>42816</v>
      </c>
      <c r="H137" s="125">
        <v>0.63888888888888895</v>
      </c>
      <c r="I137" s="123">
        <v>677</v>
      </c>
      <c r="J137" s="123">
        <v>745</v>
      </c>
      <c r="K137" s="142" t="str">
        <f t="shared" si="18"/>
        <v>G745</v>
      </c>
      <c r="L137" s="123">
        <v>432</v>
      </c>
      <c r="M137" s="142" t="str">
        <f t="shared" si="19"/>
        <v>R432</v>
      </c>
      <c r="N137" s="123">
        <v>842</v>
      </c>
      <c r="O137" s="142" t="str">
        <f t="shared" si="20"/>
        <v>G842</v>
      </c>
      <c r="P137" s="123">
        <v>596</v>
      </c>
      <c r="Q137" s="142" t="str">
        <f t="shared" si="21"/>
        <v>R596</v>
      </c>
      <c r="R137" s="123">
        <v>25.2</v>
      </c>
      <c r="S137" s="123">
        <v>4.0999999999999996</v>
      </c>
      <c r="T137" s="123">
        <v>34.1</v>
      </c>
      <c r="U137" s="123">
        <v>24.9</v>
      </c>
      <c r="V137" s="126" t="s">
        <v>2187</v>
      </c>
      <c r="W137" s="126" t="s">
        <v>2187</v>
      </c>
      <c r="X137" s="126"/>
      <c r="Y137" s="123"/>
      <c r="Z137" s="123">
        <v>5.6</v>
      </c>
      <c r="AA137" s="123" t="s">
        <v>2250</v>
      </c>
      <c r="AB137" s="123">
        <v>2.1</v>
      </c>
      <c r="AC137" s="123">
        <v>1</v>
      </c>
      <c r="AD137" s="123"/>
      <c r="AH137" s="123">
        <f t="shared" si="16"/>
        <v>745</v>
      </c>
      <c r="AI137" t="b">
        <f t="shared" si="22"/>
        <v>0</v>
      </c>
      <c r="AJ137" s="123">
        <f t="shared" si="17"/>
        <v>432</v>
      </c>
      <c r="AK137" t="b">
        <f t="shared" si="23"/>
        <v>0</v>
      </c>
    </row>
    <row r="138" spans="1:37">
      <c r="A138" s="121">
        <v>136</v>
      </c>
      <c r="B138" s="122" t="s">
        <v>2666</v>
      </c>
      <c r="C138" s="122" t="s">
        <v>2357</v>
      </c>
      <c r="D138" s="122" t="s">
        <v>2227</v>
      </c>
      <c r="E138" s="124">
        <v>42762</v>
      </c>
      <c r="F138" s="125">
        <v>0.39583333333333331</v>
      </c>
      <c r="G138" s="124">
        <v>42816</v>
      </c>
      <c r="H138" s="125">
        <v>0.63888888888888895</v>
      </c>
      <c r="I138" s="123">
        <v>678</v>
      </c>
      <c r="J138" s="123">
        <v>832</v>
      </c>
      <c r="K138" s="142" t="str">
        <f t="shared" si="18"/>
        <v>G832</v>
      </c>
      <c r="L138" s="123">
        <v>474</v>
      </c>
      <c r="M138" s="142" t="str">
        <f t="shared" si="19"/>
        <v>R474</v>
      </c>
      <c r="N138" s="123">
        <v>747</v>
      </c>
      <c r="O138" s="142" t="str">
        <f t="shared" si="20"/>
        <v>G747</v>
      </c>
      <c r="P138" s="123">
        <v>543</v>
      </c>
      <c r="Q138" s="142" t="str">
        <f t="shared" si="21"/>
        <v>R543</v>
      </c>
      <c r="R138" s="123">
        <v>25.2</v>
      </c>
      <c r="S138" s="123">
        <v>8.6999999999999993</v>
      </c>
      <c r="T138" s="123">
        <v>36</v>
      </c>
      <c r="U138" s="123">
        <v>20.6</v>
      </c>
      <c r="V138" s="126" t="s">
        <v>2187</v>
      </c>
      <c r="W138" s="126" t="s">
        <v>2187</v>
      </c>
      <c r="X138" s="126" t="s">
        <v>2187</v>
      </c>
      <c r="Y138" s="123" t="s">
        <v>2187</v>
      </c>
      <c r="Z138" s="123">
        <v>16.3</v>
      </c>
      <c r="AA138" s="123" t="s">
        <v>2228</v>
      </c>
      <c r="AB138" s="123">
        <v>2.2999999999999998</v>
      </c>
      <c r="AC138" s="123">
        <v>1</v>
      </c>
      <c r="AD138" s="123"/>
      <c r="AH138" s="123">
        <f t="shared" si="16"/>
        <v>832</v>
      </c>
      <c r="AI138" t="b">
        <f t="shared" si="22"/>
        <v>0</v>
      </c>
      <c r="AJ138" s="123">
        <f t="shared" si="17"/>
        <v>474</v>
      </c>
      <c r="AK138" t="b">
        <f t="shared" si="23"/>
        <v>0</v>
      </c>
    </row>
    <row r="139" spans="1:37">
      <c r="A139" s="121">
        <v>137</v>
      </c>
      <c r="B139" s="122" t="s">
        <v>2666</v>
      </c>
      <c r="C139" s="122" t="s">
        <v>2358</v>
      </c>
      <c r="D139" s="122" t="s">
        <v>2244</v>
      </c>
      <c r="E139" s="124">
        <v>42762</v>
      </c>
      <c r="F139" s="125">
        <v>0.41666666666666669</v>
      </c>
      <c r="G139" s="124">
        <v>42816</v>
      </c>
      <c r="H139" s="125">
        <v>0.67361111111111116</v>
      </c>
      <c r="I139" s="123">
        <v>681</v>
      </c>
      <c r="J139" s="123">
        <v>805</v>
      </c>
      <c r="K139" s="142" t="str">
        <f t="shared" si="18"/>
        <v>G805</v>
      </c>
      <c r="L139" s="123">
        <v>34</v>
      </c>
      <c r="M139" s="142" t="str">
        <f t="shared" si="19"/>
        <v>R34</v>
      </c>
      <c r="N139" s="123">
        <v>857</v>
      </c>
      <c r="O139" s="142" t="str">
        <f t="shared" si="20"/>
        <v>G857</v>
      </c>
      <c r="P139" s="123">
        <v>483</v>
      </c>
      <c r="Q139" s="142" t="str">
        <f t="shared" si="21"/>
        <v>R483</v>
      </c>
      <c r="R139" s="123">
        <v>26.3</v>
      </c>
      <c r="S139" s="123">
        <v>1.5</v>
      </c>
      <c r="T139" s="123">
        <v>30.7</v>
      </c>
      <c r="U139" s="123">
        <v>29.5</v>
      </c>
      <c r="V139" s="126" t="s">
        <v>2187</v>
      </c>
      <c r="W139" s="126" t="s">
        <v>2319</v>
      </c>
      <c r="X139" s="126"/>
      <c r="Y139" s="123"/>
      <c r="Z139" s="123">
        <v>32.4</v>
      </c>
      <c r="AA139" s="123" t="s">
        <v>2228</v>
      </c>
      <c r="AB139" s="123">
        <v>1.2</v>
      </c>
      <c r="AC139" s="123">
        <v>1</v>
      </c>
      <c r="AD139" s="123"/>
      <c r="AH139" s="123">
        <f t="shared" si="16"/>
        <v>805</v>
      </c>
      <c r="AI139" t="b">
        <f t="shared" si="22"/>
        <v>0</v>
      </c>
      <c r="AJ139" s="123">
        <f t="shared" si="17"/>
        <v>34</v>
      </c>
      <c r="AK139" t="b">
        <f t="shared" si="23"/>
        <v>0</v>
      </c>
    </row>
    <row r="140" spans="1:37">
      <c r="A140" s="121">
        <v>138</v>
      </c>
      <c r="B140" s="122" t="s">
        <v>2666</v>
      </c>
      <c r="C140" s="122" t="s">
        <v>2359</v>
      </c>
      <c r="D140" s="122" t="s">
        <v>2244</v>
      </c>
      <c r="E140" s="124">
        <v>42762</v>
      </c>
      <c r="F140" s="125">
        <v>0.4201388888888889</v>
      </c>
      <c r="G140" s="124">
        <v>42816</v>
      </c>
      <c r="H140" s="125">
        <v>0.67708333333333337</v>
      </c>
      <c r="I140" s="123">
        <v>682</v>
      </c>
      <c r="J140" s="123">
        <v>815</v>
      </c>
      <c r="K140" s="142" t="str">
        <f t="shared" si="18"/>
        <v>G815</v>
      </c>
      <c r="L140" s="123">
        <v>426</v>
      </c>
      <c r="M140" s="142" t="str">
        <f t="shared" si="19"/>
        <v>R426</v>
      </c>
      <c r="N140" s="123">
        <v>623</v>
      </c>
      <c r="O140" s="142" t="str">
        <f t="shared" si="20"/>
        <v>G623</v>
      </c>
      <c r="P140" s="123">
        <v>21</v>
      </c>
      <c r="Q140" s="142" t="str">
        <f t="shared" si="21"/>
        <v>R21</v>
      </c>
      <c r="R140" s="123">
        <v>24.8</v>
      </c>
      <c r="S140" s="123">
        <v>6.9</v>
      </c>
      <c r="T140" s="123">
        <v>33.9</v>
      </c>
      <c r="U140" s="123">
        <v>24.1</v>
      </c>
      <c r="V140" s="126" t="s">
        <v>2187</v>
      </c>
      <c r="W140" s="126"/>
      <c r="X140" s="126" t="s">
        <v>2187</v>
      </c>
      <c r="Y140" s="123"/>
      <c r="Z140" s="123">
        <v>26.4</v>
      </c>
      <c r="AA140" s="123" t="s">
        <v>2228</v>
      </c>
      <c r="AB140" s="123">
        <v>2.8</v>
      </c>
      <c r="AC140" s="123">
        <v>1</v>
      </c>
      <c r="AD140" s="123"/>
      <c r="AH140" s="123">
        <f t="shared" si="16"/>
        <v>815</v>
      </c>
      <c r="AI140" t="b">
        <f t="shared" si="22"/>
        <v>0</v>
      </c>
      <c r="AJ140" s="123">
        <f t="shared" si="17"/>
        <v>426</v>
      </c>
      <c r="AK140" t="b">
        <f t="shared" si="23"/>
        <v>0</v>
      </c>
    </row>
    <row r="141" spans="1:37">
      <c r="A141" s="121">
        <v>139</v>
      </c>
      <c r="B141" s="122" t="s">
        <v>2666</v>
      </c>
      <c r="C141" s="122" t="s">
        <v>2360</v>
      </c>
      <c r="D141" s="122" t="s">
        <v>2244</v>
      </c>
      <c r="E141" s="124">
        <v>42762</v>
      </c>
      <c r="F141" s="125">
        <v>0.4236111111111111</v>
      </c>
      <c r="G141" s="124">
        <v>42816</v>
      </c>
      <c r="H141" s="125">
        <v>0.68055555555555547</v>
      </c>
      <c r="I141" s="123">
        <v>683</v>
      </c>
      <c r="J141" s="129">
        <v>798</v>
      </c>
      <c r="K141" s="142" t="str">
        <f t="shared" si="18"/>
        <v>G798</v>
      </c>
      <c r="L141" s="123">
        <v>563</v>
      </c>
      <c r="M141" s="142" t="str">
        <f t="shared" si="19"/>
        <v>R563</v>
      </c>
      <c r="N141" s="123">
        <v>880</v>
      </c>
      <c r="O141" s="142" t="str">
        <f t="shared" si="20"/>
        <v>G880</v>
      </c>
      <c r="P141" s="123">
        <v>538</v>
      </c>
      <c r="Q141" s="142" t="str">
        <f t="shared" si="21"/>
        <v>R538</v>
      </c>
      <c r="R141" s="123">
        <v>26.7</v>
      </c>
      <c r="S141" s="123">
        <v>4.9000000000000004</v>
      </c>
      <c r="T141" s="123">
        <v>30.6</v>
      </c>
      <c r="U141" s="123">
        <v>28.8</v>
      </c>
      <c r="V141" s="126"/>
      <c r="W141" s="126" t="s">
        <v>2361</v>
      </c>
      <c r="X141" s="126" t="s">
        <v>2187</v>
      </c>
      <c r="Y141" s="123"/>
      <c r="Z141" s="123">
        <v>19.399999999999999</v>
      </c>
      <c r="AA141" s="123" t="s">
        <v>2228</v>
      </c>
      <c r="AB141" s="123">
        <v>5.7</v>
      </c>
      <c r="AC141" s="123">
        <v>1</v>
      </c>
      <c r="AD141" s="123"/>
      <c r="AH141" s="129">
        <f t="shared" si="16"/>
        <v>798</v>
      </c>
      <c r="AI141" t="b">
        <f t="shared" si="22"/>
        <v>0</v>
      </c>
      <c r="AJ141" s="123">
        <f t="shared" si="17"/>
        <v>563</v>
      </c>
      <c r="AK141" t="b">
        <f t="shared" si="23"/>
        <v>0</v>
      </c>
    </row>
    <row r="142" spans="1:37">
      <c r="A142" s="121">
        <v>140</v>
      </c>
      <c r="B142" s="122" t="s">
        <v>2666</v>
      </c>
      <c r="C142" s="122" t="s">
        <v>2362</v>
      </c>
      <c r="D142" s="122" t="s">
        <v>2244</v>
      </c>
      <c r="E142" s="124">
        <v>42762</v>
      </c>
      <c r="F142" s="125">
        <v>0.43055555555555558</v>
      </c>
      <c r="G142" s="124">
        <v>42816</v>
      </c>
      <c r="H142" s="125">
        <v>0.68402777777777779</v>
      </c>
      <c r="I142" s="123">
        <v>684</v>
      </c>
      <c r="J142" s="123">
        <v>787</v>
      </c>
      <c r="K142" s="142" t="str">
        <f t="shared" si="18"/>
        <v>G787</v>
      </c>
      <c r="L142" s="123">
        <v>535</v>
      </c>
      <c r="M142" s="142" t="str">
        <f t="shared" si="19"/>
        <v>R535</v>
      </c>
      <c r="N142" s="123">
        <v>706</v>
      </c>
      <c r="O142" s="142" t="str">
        <f t="shared" si="20"/>
        <v>G706</v>
      </c>
      <c r="P142" s="123">
        <v>559</v>
      </c>
      <c r="Q142" s="142" t="str">
        <f t="shared" si="21"/>
        <v>R559</v>
      </c>
      <c r="R142" s="123">
        <v>27.6</v>
      </c>
      <c r="S142" s="123">
        <v>3.1</v>
      </c>
      <c r="T142" s="123">
        <v>34.1</v>
      </c>
      <c r="U142" s="123">
        <v>20</v>
      </c>
      <c r="V142" s="126"/>
      <c r="W142" s="126" t="s">
        <v>2187</v>
      </c>
      <c r="X142" s="126"/>
      <c r="Y142" s="123"/>
      <c r="Z142" s="123">
        <v>33.4</v>
      </c>
      <c r="AA142" s="123" t="s">
        <v>2228</v>
      </c>
      <c r="AB142" s="123">
        <v>1.4</v>
      </c>
      <c r="AC142" s="123">
        <v>1</v>
      </c>
      <c r="AD142" s="123"/>
      <c r="AH142" s="123">
        <f t="shared" si="16"/>
        <v>787</v>
      </c>
      <c r="AI142" t="b">
        <f t="shared" si="22"/>
        <v>0</v>
      </c>
      <c r="AJ142" s="123">
        <f t="shared" si="17"/>
        <v>535</v>
      </c>
      <c r="AK142" t="b">
        <f t="shared" si="23"/>
        <v>0</v>
      </c>
    </row>
    <row r="143" spans="1:37">
      <c r="A143" s="121">
        <v>141</v>
      </c>
      <c r="B143" s="122" t="s">
        <v>2666</v>
      </c>
      <c r="C143" s="122" t="s">
        <v>2363</v>
      </c>
      <c r="D143" s="122" t="s">
        <v>2244</v>
      </c>
      <c r="E143" s="124">
        <v>42762</v>
      </c>
      <c r="F143" s="125">
        <v>0.43402777777777773</v>
      </c>
      <c r="G143" s="124">
        <v>42816</v>
      </c>
      <c r="H143" s="125">
        <v>0.6875</v>
      </c>
      <c r="I143" s="123">
        <v>685</v>
      </c>
      <c r="J143" s="123">
        <v>900</v>
      </c>
      <c r="K143" s="142" t="str">
        <f t="shared" si="18"/>
        <v>G900</v>
      </c>
      <c r="L143" s="123">
        <v>581</v>
      </c>
      <c r="M143" s="142" t="str">
        <f t="shared" si="19"/>
        <v>R581</v>
      </c>
      <c r="N143" s="123">
        <v>775</v>
      </c>
      <c r="O143" s="142" t="str">
        <f t="shared" si="20"/>
        <v>G775</v>
      </c>
      <c r="P143" s="123">
        <v>465</v>
      </c>
      <c r="Q143" s="142" t="str">
        <f t="shared" si="21"/>
        <v>R465</v>
      </c>
      <c r="R143" s="123">
        <v>26.1</v>
      </c>
      <c r="S143" s="123">
        <v>5.3</v>
      </c>
      <c r="T143" s="123">
        <v>35.4</v>
      </c>
      <c r="U143" s="123">
        <v>14.1</v>
      </c>
      <c r="V143" s="126" t="s">
        <v>2206</v>
      </c>
      <c r="W143" s="126" t="s">
        <v>2203</v>
      </c>
      <c r="X143" s="126"/>
      <c r="Y143" s="123"/>
      <c r="Z143" s="123">
        <v>28.4</v>
      </c>
      <c r="AA143" s="123" t="s">
        <v>2228</v>
      </c>
      <c r="AB143" s="123">
        <v>1.4</v>
      </c>
      <c r="AC143" s="123">
        <v>1</v>
      </c>
      <c r="AD143" s="123"/>
      <c r="AH143" s="123">
        <f t="shared" si="16"/>
        <v>900</v>
      </c>
      <c r="AI143" t="b">
        <f t="shared" si="22"/>
        <v>0</v>
      </c>
      <c r="AJ143" s="123">
        <f t="shared" si="17"/>
        <v>581</v>
      </c>
      <c r="AK143" t="b">
        <f t="shared" si="23"/>
        <v>0</v>
      </c>
    </row>
    <row r="144" spans="1:37">
      <c r="A144" s="121">
        <v>142</v>
      </c>
      <c r="B144" s="122" t="s">
        <v>2666</v>
      </c>
      <c r="C144" s="122" t="s">
        <v>2364</v>
      </c>
      <c r="D144" s="122" t="s">
        <v>2244</v>
      </c>
      <c r="E144" s="124">
        <v>42762</v>
      </c>
      <c r="F144" s="125">
        <v>0.44097222222222227</v>
      </c>
      <c r="G144" s="124">
        <v>42816</v>
      </c>
      <c r="H144" s="125">
        <v>0.69444444444444453</v>
      </c>
      <c r="I144" s="123">
        <v>686</v>
      </c>
      <c r="J144" s="123">
        <v>817</v>
      </c>
      <c r="K144" s="142" t="str">
        <f t="shared" si="18"/>
        <v>G817</v>
      </c>
      <c r="L144" s="123">
        <v>460</v>
      </c>
      <c r="M144" s="142" t="str">
        <f t="shared" si="19"/>
        <v>R460</v>
      </c>
      <c r="N144" s="123">
        <v>850</v>
      </c>
      <c r="O144" s="142" t="str">
        <f t="shared" si="20"/>
        <v>G850</v>
      </c>
      <c r="P144" s="123">
        <v>503</v>
      </c>
      <c r="Q144" s="142" t="str">
        <f t="shared" si="21"/>
        <v>R503</v>
      </c>
      <c r="R144" s="123">
        <v>28.5</v>
      </c>
      <c r="S144" s="123">
        <v>7.4</v>
      </c>
      <c r="T144" s="123">
        <v>29</v>
      </c>
      <c r="U144" s="123">
        <v>23.6</v>
      </c>
      <c r="V144" s="126" t="s">
        <v>2179</v>
      </c>
      <c r="W144" s="126" t="s">
        <v>2179</v>
      </c>
      <c r="X144" s="126"/>
      <c r="Y144" s="123" t="s">
        <v>2187</v>
      </c>
      <c r="Z144" s="123">
        <v>33.799999999999997</v>
      </c>
      <c r="AA144" s="123" t="s">
        <v>2228</v>
      </c>
      <c r="AB144" s="123">
        <v>1.7</v>
      </c>
      <c r="AC144" s="123">
        <v>1</v>
      </c>
      <c r="AD144" s="123"/>
      <c r="AH144" s="123">
        <f t="shared" si="16"/>
        <v>817</v>
      </c>
      <c r="AI144" t="b">
        <f t="shared" si="22"/>
        <v>0</v>
      </c>
      <c r="AJ144" s="123">
        <f t="shared" si="17"/>
        <v>460</v>
      </c>
      <c r="AK144" t="b">
        <f t="shared" si="23"/>
        <v>0</v>
      </c>
    </row>
    <row r="145" spans="1:37">
      <c r="A145" s="121">
        <v>143</v>
      </c>
      <c r="B145" s="122" t="s">
        <v>2666</v>
      </c>
      <c r="C145" s="122" t="s">
        <v>2365</v>
      </c>
      <c r="D145" s="122" t="s">
        <v>2244</v>
      </c>
      <c r="E145" s="124">
        <v>42762</v>
      </c>
      <c r="F145" s="125">
        <v>0.44444444444444442</v>
      </c>
      <c r="G145" s="124">
        <v>42816</v>
      </c>
      <c r="H145" s="125">
        <v>0.69791666666666663</v>
      </c>
      <c r="I145" s="123">
        <v>687</v>
      </c>
      <c r="J145" s="123">
        <v>836</v>
      </c>
      <c r="K145" s="142" t="str">
        <f t="shared" si="18"/>
        <v>G836</v>
      </c>
      <c r="L145" s="123">
        <v>456</v>
      </c>
      <c r="M145" s="142" t="str">
        <f t="shared" si="19"/>
        <v>R456</v>
      </c>
      <c r="N145" s="123">
        <v>697</v>
      </c>
      <c r="O145" s="142" t="str">
        <f t="shared" si="20"/>
        <v>G697</v>
      </c>
      <c r="P145" s="123">
        <v>567</v>
      </c>
      <c r="Q145" s="142" t="str">
        <f t="shared" si="21"/>
        <v>R567</v>
      </c>
      <c r="R145" s="123">
        <v>29</v>
      </c>
      <c r="S145" s="123">
        <v>5.6</v>
      </c>
      <c r="T145" s="123">
        <v>32.799999999999997</v>
      </c>
      <c r="U145" s="123">
        <v>23.4</v>
      </c>
      <c r="V145" s="126" t="s">
        <v>2187</v>
      </c>
      <c r="W145" s="126"/>
      <c r="X145" s="126" t="s">
        <v>2187</v>
      </c>
      <c r="Y145" s="123"/>
      <c r="Z145" s="123">
        <v>23.4</v>
      </c>
      <c r="AA145" s="123" t="s">
        <v>2228</v>
      </c>
      <c r="AB145" s="123">
        <v>2</v>
      </c>
      <c r="AC145" s="123">
        <v>1</v>
      </c>
      <c r="AD145" s="123"/>
      <c r="AH145" s="123">
        <f t="shared" si="16"/>
        <v>836</v>
      </c>
      <c r="AI145" t="b">
        <f t="shared" si="22"/>
        <v>0</v>
      </c>
      <c r="AJ145" s="123">
        <f t="shared" si="17"/>
        <v>456</v>
      </c>
      <c r="AK145" t="b">
        <f t="shared" si="23"/>
        <v>0</v>
      </c>
    </row>
    <row r="146" spans="1:37">
      <c r="A146" s="121">
        <v>144</v>
      </c>
      <c r="B146" s="122" t="s">
        <v>2666</v>
      </c>
      <c r="C146" s="122" t="s">
        <v>2366</v>
      </c>
      <c r="D146" s="122" t="s">
        <v>2244</v>
      </c>
      <c r="E146" s="124">
        <v>42762</v>
      </c>
      <c r="F146" s="125">
        <v>0.44791666666666669</v>
      </c>
      <c r="G146" s="124">
        <v>42816</v>
      </c>
      <c r="H146" s="125">
        <v>0.70138888888888884</v>
      </c>
      <c r="I146" s="123">
        <v>688</v>
      </c>
      <c r="J146" s="123">
        <v>784</v>
      </c>
      <c r="K146" s="142" t="str">
        <f t="shared" si="18"/>
        <v>G784</v>
      </c>
      <c r="L146" s="123">
        <v>571</v>
      </c>
      <c r="M146" s="142" t="str">
        <f t="shared" si="19"/>
        <v>R571</v>
      </c>
      <c r="N146" s="123">
        <v>894</v>
      </c>
      <c r="O146" s="142" t="str">
        <f t="shared" si="20"/>
        <v>G894</v>
      </c>
      <c r="P146" s="123">
        <v>15</v>
      </c>
      <c r="Q146" s="142" t="str">
        <f t="shared" si="21"/>
        <v>R15</v>
      </c>
      <c r="R146" s="123">
        <v>28.3</v>
      </c>
      <c r="S146" s="123">
        <v>6.5</v>
      </c>
      <c r="T146" s="123">
        <v>34.5</v>
      </c>
      <c r="U146" s="123">
        <v>27.8</v>
      </c>
      <c r="V146" s="126" t="s">
        <v>2187</v>
      </c>
      <c r="W146" s="126" t="s">
        <v>2179</v>
      </c>
      <c r="X146" s="126" t="s">
        <v>2187</v>
      </c>
      <c r="Y146" s="123"/>
      <c r="Z146" s="123">
        <v>19.8</v>
      </c>
      <c r="AA146" s="123" t="s">
        <v>2228</v>
      </c>
      <c r="AB146" s="123">
        <v>2.5</v>
      </c>
      <c r="AC146" s="123">
        <v>1</v>
      </c>
      <c r="AD146" s="123"/>
      <c r="AH146" s="123">
        <f t="shared" si="16"/>
        <v>784</v>
      </c>
      <c r="AI146" t="b">
        <f t="shared" si="22"/>
        <v>0</v>
      </c>
      <c r="AJ146" s="123">
        <f t="shared" si="17"/>
        <v>571</v>
      </c>
      <c r="AK146" t="b">
        <f t="shared" si="23"/>
        <v>0</v>
      </c>
    </row>
    <row r="147" spans="1:37">
      <c r="A147" s="121">
        <v>145</v>
      </c>
      <c r="B147" s="122" t="s">
        <v>2666</v>
      </c>
      <c r="C147" s="122" t="s">
        <v>2367</v>
      </c>
      <c r="D147" s="122" t="s">
        <v>2256</v>
      </c>
      <c r="E147" s="124">
        <v>42762</v>
      </c>
      <c r="F147" s="125">
        <v>0.4548611111111111</v>
      </c>
      <c r="G147" s="124">
        <v>42815</v>
      </c>
      <c r="H147" s="125">
        <v>0.69097222222222221</v>
      </c>
      <c r="I147" s="123">
        <v>698</v>
      </c>
      <c r="J147" s="123">
        <v>902</v>
      </c>
      <c r="K147" s="142" t="str">
        <f t="shared" si="18"/>
        <v>G902</v>
      </c>
      <c r="L147" s="123">
        <v>27</v>
      </c>
      <c r="M147" s="142" t="str">
        <f t="shared" si="19"/>
        <v>R27</v>
      </c>
      <c r="N147" s="129">
        <v>653</v>
      </c>
      <c r="O147" s="142" t="str">
        <f t="shared" si="20"/>
        <v>G653</v>
      </c>
      <c r="P147" s="123">
        <v>40</v>
      </c>
      <c r="Q147" s="142" t="str">
        <f t="shared" si="21"/>
        <v>R40</v>
      </c>
      <c r="R147" s="123">
        <v>27.4</v>
      </c>
      <c r="S147" s="123">
        <v>16.8</v>
      </c>
      <c r="T147" s="123">
        <v>34.4</v>
      </c>
      <c r="U147" s="123">
        <v>37.6</v>
      </c>
      <c r="V147" s="123" t="s">
        <v>2187</v>
      </c>
      <c r="W147" s="126"/>
      <c r="X147" s="126"/>
      <c r="Y147" s="126"/>
      <c r="Z147" s="123">
        <v>13</v>
      </c>
      <c r="AA147" s="123" t="s">
        <v>2250</v>
      </c>
      <c r="AB147" s="123">
        <v>3.95</v>
      </c>
      <c r="AC147" s="123">
        <v>0</v>
      </c>
      <c r="AD147" s="123"/>
      <c r="AH147" s="123">
        <f t="shared" si="16"/>
        <v>902</v>
      </c>
      <c r="AI147" t="b">
        <f t="shared" si="22"/>
        <v>0</v>
      </c>
      <c r="AJ147" s="123">
        <f t="shared" si="17"/>
        <v>27</v>
      </c>
      <c r="AK147" t="b">
        <f t="shared" si="23"/>
        <v>0</v>
      </c>
    </row>
    <row r="148" spans="1:37">
      <c r="A148" s="121">
        <v>146</v>
      </c>
      <c r="B148" s="122" t="s">
        <v>2666</v>
      </c>
      <c r="C148" s="122" t="s">
        <v>2368</v>
      </c>
      <c r="D148" s="122" t="s">
        <v>2256</v>
      </c>
      <c r="E148" s="124">
        <v>42762</v>
      </c>
      <c r="F148" s="125">
        <v>0.5</v>
      </c>
      <c r="G148" s="124">
        <v>42815</v>
      </c>
      <c r="H148" s="125">
        <v>0.69444444444444453</v>
      </c>
      <c r="I148" s="123">
        <v>699</v>
      </c>
      <c r="J148" s="123">
        <v>689</v>
      </c>
      <c r="K148" s="142" t="str">
        <f t="shared" si="18"/>
        <v>G689</v>
      </c>
      <c r="L148" s="123">
        <v>492</v>
      </c>
      <c r="M148" s="142" t="str">
        <f t="shared" si="19"/>
        <v>R492</v>
      </c>
      <c r="N148" s="123">
        <v>762</v>
      </c>
      <c r="O148" s="142" t="str">
        <f t="shared" si="20"/>
        <v>G762</v>
      </c>
      <c r="P148" s="123">
        <v>468</v>
      </c>
      <c r="Q148" s="142" t="str">
        <f t="shared" si="21"/>
        <v>R468</v>
      </c>
      <c r="R148" s="123">
        <v>27.2</v>
      </c>
      <c r="S148" s="123">
        <v>15.7</v>
      </c>
      <c r="T148" s="123">
        <v>33.9</v>
      </c>
      <c r="U148" s="123">
        <v>29.6</v>
      </c>
      <c r="V148" s="123" t="s">
        <v>2206</v>
      </c>
      <c r="W148" s="126"/>
      <c r="X148" s="126" t="s">
        <v>2187</v>
      </c>
      <c r="Y148" s="126"/>
      <c r="Z148" s="123">
        <v>17.7</v>
      </c>
      <c r="AA148" s="123" t="s">
        <v>2250</v>
      </c>
      <c r="AB148" s="123">
        <v>2.75</v>
      </c>
      <c r="AC148" s="123">
        <v>1</v>
      </c>
      <c r="AD148" s="123"/>
      <c r="AH148" s="123">
        <f t="shared" si="16"/>
        <v>689</v>
      </c>
      <c r="AI148" t="b">
        <f t="shared" si="22"/>
        <v>0</v>
      </c>
      <c r="AJ148" s="123">
        <f t="shared" si="17"/>
        <v>492</v>
      </c>
      <c r="AK148" t="b">
        <f t="shared" si="23"/>
        <v>0</v>
      </c>
    </row>
    <row r="149" spans="1:37">
      <c r="A149" s="121">
        <v>147</v>
      </c>
      <c r="B149" s="122" t="s">
        <v>2666</v>
      </c>
      <c r="C149" s="122" t="s">
        <v>2369</v>
      </c>
      <c r="D149" s="122" t="s">
        <v>2256</v>
      </c>
      <c r="E149" s="124">
        <v>42762</v>
      </c>
      <c r="F149" s="125">
        <v>0.50347222222222221</v>
      </c>
      <c r="G149" s="124">
        <v>42816</v>
      </c>
      <c r="H149" s="125">
        <v>0.70138888888888884</v>
      </c>
      <c r="I149" s="123">
        <v>700</v>
      </c>
      <c r="J149" s="123">
        <v>678</v>
      </c>
      <c r="K149" s="142" t="str">
        <f t="shared" si="18"/>
        <v>G678</v>
      </c>
      <c r="L149" s="123">
        <v>573</v>
      </c>
      <c r="M149" s="142" t="str">
        <f t="shared" si="19"/>
        <v>R573</v>
      </c>
      <c r="N149" s="123">
        <v>878</v>
      </c>
      <c r="O149" s="142" t="str">
        <f t="shared" si="20"/>
        <v>G878</v>
      </c>
      <c r="P149" s="123">
        <v>582</v>
      </c>
      <c r="Q149" s="142" t="str">
        <f t="shared" si="21"/>
        <v>R582</v>
      </c>
      <c r="R149" s="123">
        <v>27.3</v>
      </c>
      <c r="S149" s="123">
        <v>9.6</v>
      </c>
      <c r="T149" s="123">
        <v>32.5</v>
      </c>
      <c r="U149" s="123">
        <v>37.1</v>
      </c>
      <c r="V149" s="123"/>
      <c r="W149" s="126"/>
      <c r="X149" s="126"/>
      <c r="Y149" s="126"/>
      <c r="Z149" s="123">
        <v>19</v>
      </c>
      <c r="AA149" s="123" t="s">
        <v>2180</v>
      </c>
      <c r="AB149" s="123">
        <v>3.6</v>
      </c>
      <c r="AC149" s="123">
        <v>1</v>
      </c>
      <c r="AD149" s="123"/>
      <c r="AH149" s="123">
        <f t="shared" si="16"/>
        <v>678</v>
      </c>
      <c r="AI149" t="b">
        <f t="shared" si="22"/>
        <v>0</v>
      </c>
      <c r="AJ149" s="123">
        <f t="shared" si="17"/>
        <v>573</v>
      </c>
      <c r="AK149" t="b">
        <f t="shared" si="23"/>
        <v>0</v>
      </c>
    </row>
    <row r="150" spans="1:37">
      <c r="A150" s="121">
        <v>148</v>
      </c>
      <c r="B150" s="122" t="s">
        <v>2666</v>
      </c>
      <c r="C150" s="122" t="s">
        <v>2370</v>
      </c>
      <c r="D150" s="122" t="s">
        <v>2256</v>
      </c>
      <c r="E150" s="124">
        <v>42762</v>
      </c>
      <c r="F150" s="125">
        <v>0.50694444444444442</v>
      </c>
      <c r="G150" s="124">
        <v>42816</v>
      </c>
      <c r="H150" s="125">
        <v>0.37847222222222227</v>
      </c>
      <c r="I150" s="123">
        <v>701</v>
      </c>
      <c r="J150" s="123">
        <v>835</v>
      </c>
      <c r="K150" s="142" t="str">
        <f t="shared" si="18"/>
        <v>G835</v>
      </c>
      <c r="L150" s="123">
        <v>472</v>
      </c>
      <c r="M150" s="142" t="str">
        <f t="shared" si="19"/>
        <v>R472</v>
      </c>
      <c r="N150" s="123">
        <v>807</v>
      </c>
      <c r="O150" s="142" t="str">
        <f t="shared" si="20"/>
        <v>G807</v>
      </c>
      <c r="P150" s="123">
        <v>20</v>
      </c>
      <c r="Q150" s="142" t="str">
        <f t="shared" si="21"/>
        <v>R20</v>
      </c>
      <c r="R150" s="123">
        <v>27.4</v>
      </c>
      <c r="S150" s="123">
        <v>18.100000000000001</v>
      </c>
      <c r="T150" s="123">
        <v>23.2</v>
      </c>
      <c r="U150" s="123">
        <v>38.299999999999997</v>
      </c>
      <c r="V150" s="123" t="s">
        <v>2179</v>
      </c>
      <c r="W150" s="126" t="s">
        <v>2179</v>
      </c>
      <c r="X150" s="126" t="s">
        <v>2187</v>
      </c>
      <c r="Y150" s="126"/>
      <c r="Z150" s="123">
        <v>17.489999999999998</v>
      </c>
      <c r="AA150" s="123" t="s">
        <v>2180</v>
      </c>
      <c r="AB150" s="123">
        <v>4.9000000000000004</v>
      </c>
      <c r="AC150" s="123">
        <v>1</v>
      </c>
      <c r="AD150" s="123"/>
      <c r="AH150" s="123">
        <f t="shared" si="16"/>
        <v>835</v>
      </c>
      <c r="AI150" t="b">
        <f t="shared" si="22"/>
        <v>0</v>
      </c>
      <c r="AJ150" s="123">
        <f t="shared" si="17"/>
        <v>472</v>
      </c>
      <c r="AK150" t="b">
        <f t="shared" si="23"/>
        <v>0</v>
      </c>
    </row>
    <row r="151" spans="1:37">
      <c r="A151" s="121">
        <v>149</v>
      </c>
      <c r="B151" s="122" t="s">
        <v>2666</v>
      </c>
      <c r="C151" s="122" t="s">
        <v>2371</v>
      </c>
      <c r="D151" s="122" t="s">
        <v>2256</v>
      </c>
      <c r="E151" s="124">
        <v>42762</v>
      </c>
      <c r="F151" s="125">
        <v>0.51041666666666663</v>
      </c>
      <c r="G151" s="124">
        <v>42816</v>
      </c>
      <c r="H151" s="125">
        <v>0.38541666666666669</v>
      </c>
      <c r="I151" s="123">
        <v>702</v>
      </c>
      <c r="J151" s="129">
        <v>733</v>
      </c>
      <c r="K151" s="142" t="str">
        <f t="shared" si="18"/>
        <v>G733</v>
      </c>
      <c r="L151" s="123">
        <v>545</v>
      </c>
      <c r="M151" s="142" t="str">
        <f t="shared" si="19"/>
        <v>R545</v>
      </c>
      <c r="N151" s="123">
        <v>696</v>
      </c>
      <c r="O151" s="142" t="str">
        <f t="shared" si="20"/>
        <v>G696</v>
      </c>
      <c r="P151" s="123">
        <v>533</v>
      </c>
      <c r="Q151" s="142" t="str">
        <f t="shared" si="21"/>
        <v>R533</v>
      </c>
      <c r="R151" s="123">
        <v>29.7</v>
      </c>
      <c r="S151" s="123">
        <v>11.7</v>
      </c>
      <c r="T151" s="123">
        <v>24.1</v>
      </c>
      <c r="U151" s="123">
        <v>39.1</v>
      </c>
      <c r="V151" s="123"/>
      <c r="W151" s="126"/>
      <c r="X151" s="126"/>
      <c r="Y151" s="126"/>
      <c r="Z151" s="123">
        <v>13</v>
      </c>
      <c r="AA151" s="123" t="s">
        <v>2180</v>
      </c>
      <c r="AB151" s="123">
        <v>2.8</v>
      </c>
      <c r="AC151" s="123">
        <v>1</v>
      </c>
      <c r="AD151" s="123"/>
      <c r="AH151" s="129">
        <f t="shared" si="16"/>
        <v>733</v>
      </c>
      <c r="AI151" t="b">
        <f t="shared" si="22"/>
        <v>0</v>
      </c>
      <c r="AJ151" s="123">
        <f t="shared" si="17"/>
        <v>545</v>
      </c>
      <c r="AK151" t="b">
        <f t="shared" si="23"/>
        <v>0</v>
      </c>
    </row>
    <row r="152" spans="1:37">
      <c r="A152" s="121">
        <v>150</v>
      </c>
      <c r="B152" s="122" t="s">
        <v>2666</v>
      </c>
      <c r="C152" s="122" t="s">
        <v>2372</v>
      </c>
      <c r="D152" s="122" t="s">
        <v>2256</v>
      </c>
      <c r="E152" s="124">
        <v>42762</v>
      </c>
      <c r="F152" s="125">
        <v>0.51388888888888895</v>
      </c>
      <c r="G152" s="124">
        <v>42816</v>
      </c>
      <c r="H152" s="125">
        <v>0.3923611111111111</v>
      </c>
      <c r="I152" s="123">
        <v>703</v>
      </c>
      <c r="J152" s="123">
        <v>658</v>
      </c>
      <c r="K152" s="142" t="str">
        <f t="shared" si="18"/>
        <v>G658</v>
      </c>
      <c r="L152" s="123">
        <v>7</v>
      </c>
      <c r="M152" s="142" t="str">
        <f t="shared" si="19"/>
        <v>R7</v>
      </c>
      <c r="N152" s="123">
        <v>801</v>
      </c>
      <c r="O152" s="142" t="str">
        <f t="shared" si="20"/>
        <v>G801</v>
      </c>
      <c r="P152" s="123">
        <v>572</v>
      </c>
      <c r="Q152" s="142" t="str">
        <f t="shared" si="21"/>
        <v>R572</v>
      </c>
      <c r="R152" s="123">
        <v>26.5</v>
      </c>
      <c r="S152" s="123">
        <v>9.1</v>
      </c>
      <c r="T152" s="123">
        <v>23</v>
      </c>
      <c r="U152" s="123">
        <v>36</v>
      </c>
      <c r="V152" s="123"/>
      <c r="W152" s="126"/>
      <c r="X152" s="126"/>
      <c r="Y152" s="126"/>
      <c r="Z152" s="123">
        <v>19</v>
      </c>
      <c r="AA152" s="123" t="s">
        <v>2250</v>
      </c>
      <c r="AB152" s="123">
        <v>2.75</v>
      </c>
      <c r="AC152" s="123">
        <v>0</v>
      </c>
      <c r="AD152" s="123"/>
      <c r="AH152" s="123">
        <f t="shared" si="16"/>
        <v>658</v>
      </c>
      <c r="AI152" t="b">
        <f t="shared" si="22"/>
        <v>0</v>
      </c>
      <c r="AJ152" s="123">
        <f t="shared" si="17"/>
        <v>7</v>
      </c>
      <c r="AK152" t="b">
        <f t="shared" si="23"/>
        <v>0</v>
      </c>
    </row>
    <row r="153" spans="1:37">
      <c r="A153" s="121">
        <v>151</v>
      </c>
      <c r="B153" s="122" t="s">
        <v>2666</v>
      </c>
      <c r="C153" s="122" t="s">
        <v>2373</v>
      </c>
      <c r="D153" s="122" t="s">
        <v>2256</v>
      </c>
      <c r="E153" s="124">
        <v>42762</v>
      </c>
      <c r="F153" s="125">
        <v>0.52083333333333337</v>
      </c>
      <c r="G153" s="124">
        <v>42816</v>
      </c>
      <c r="H153" s="125">
        <v>0.39930555555555558</v>
      </c>
      <c r="I153" s="123">
        <v>704</v>
      </c>
      <c r="J153" s="123">
        <v>567</v>
      </c>
      <c r="K153" s="142" t="str">
        <f t="shared" si="18"/>
        <v>G567</v>
      </c>
      <c r="L153" s="123">
        <v>447</v>
      </c>
      <c r="M153" s="142" t="str">
        <f t="shared" si="19"/>
        <v>R447</v>
      </c>
      <c r="N153" s="123">
        <v>647</v>
      </c>
      <c r="O153" s="142" t="str">
        <f t="shared" si="20"/>
        <v>G647</v>
      </c>
      <c r="P153" s="123">
        <v>504</v>
      </c>
      <c r="Q153" s="142" t="str">
        <f t="shared" si="21"/>
        <v>R504</v>
      </c>
      <c r="R153" s="123">
        <v>29</v>
      </c>
      <c r="S153" s="123">
        <v>17.3</v>
      </c>
      <c r="T153" s="123">
        <v>24</v>
      </c>
      <c r="U153" s="123">
        <v>34.799999999999997</v>
      </c>
      <c r="V153" s="123" t="s">
        <v>2187</v>
      </c>
      <c r="W153" s="126"/>
      <c r="X153" s="126" t="s">
        <v>2187</v>
      </c>
      <c r="Y153" s="126"/>
      <c r="Z153" s="123">
        <v>7.9</v>
      </c>
      <c r="AA153" s="123" t="s">
        <v>2250</v>
      </c>
      <c r="AB153" s="123">
        <v>1.4</v>
      </c>
      <c r="AC153" s="123">
        <v>1</v>
      </c>
      <c r="AD153" s="123"/>
      <c r="AH153" s="123">
        <f t="shared" si="16"/>
        <v>567</v>
      </c>
      <c r="AI153" t="b">
        <f t="shared" si="22"/>
        <v>0</v>
      </c>
      <c r="AJ153" s="123">
        <f t="shared" si="17"/>
        <v>447</v>
      </c>
      <c r="AK153" t="b">
        <f t="shared" si="23"/>
        <v>0</v>
      </c>
    </row>
    <row r="154" spans="1:37">
      <c r="A154" s="121">
        <v>152</v>
      </c>
      <c r="B154" s="122" t="s">
        <v>2666</v>
      </c>
      <c r="C154" s="122" t="s">
        <v>2374</v>
      </c>
      <c r="D154" s="122" t="s">
        <v>2256</v>
      </c>
      <c r="E154" s="124">
        <v>42762</v>
      </c>
      <c r="F154" s="125">
        <v>0.52430555555555558</v>
      </c>
      <c r="G154" s="124">
        <v>42816</v>
      </c>
      <c r="H154" s="125">
        <v>0.40625</v>
      </c>
      <c r="I154" s="123">
        <v>705</v>
      </c>
      <c r="J154" s="123">
        <v>853</v>
      </c>
      <c r="K154" s="142" t="str">
        <f t="shared" si="18"/>
        <v>G853</v>
      </c>
      <c r="L154" s="123">
        <v>591</v>
      </c>
      <c r="M154" s="142" t="str">
        <f t="shared" si="19"/>
        <v>R591</v>
      </c>
      <c r="N154" s="123">
        <v>744</v>
      </c>
      <c r="O154" s="142" t="str">
        <f t="shared" si="20"/>
        <v>G744</v>
      </c>
      <c r="P154" s="123">
        <v>579</v>
      </c>
      <c r="Q154" s="142" t="str">
        <f t="shared" si="21"/>
        <v>R579</v>
      </c>
      <c r="R154" s="123">
        <v>24.9</v>
      </c>
      <c r="S154" s="123">
        <v>10</v>
      </c>
      <c r="T154" s="123">
        <v>22.5</v>
      </c>
      <c r="U154" s="123">
        <v>27.6</v>
      </c>
      <c r="V154" s="123"/>
      <c r="W154" s="126" t="s">
        <v>2187</v>
      </c>
      <c r="X154" s="126" t="s">
        <v>2187</v>
      </c>
      <c r="Y154" s="126"/>
      <c r="Z154" s="123">
        <v>15</v>
      </c>
      <c r="AA154" s="123" t="s">
        <v>2180</v>
      </c>
      <c r="AB154" s="123">
        <v>2.2000000000000002</v>
      </c>
      <c r="AC154" s="123">
        <v>0</v>
      </c>
      <c r="AD154" s="123" t="s">
        <v>2375</v>
      </c>
      <c r="AH154" s="123">
        <f t="shared" si="16"/>
        <v>853</v>
      </c>
      <c r="AI154" t="b">
        <f t="shared" si="22"/>
        <v>0</v>
      </c>
      <c r="AJ154" s="123">
        <f t="shared" si="17"/>
        <v>591</v>
      </c>
      <c r="AK154" t="b">
        <f t="shared" si="23"/>
        <v>0</v>
      </c>
    </row>
    <row r="155" spans="1:37">
      <c r="A155" s="121">
        <v>153</v>
      </c>
      <c r="B155" s="122" t="s">
        <v>2666</v>
      </c>
      <c r="C155" s="122" t="s">
        <v>2376</v>
      </c>
      <c r="D155" s="122" t="s">
        <v>2265</v>
      </c>
      <c r="E155" s="124">
        <v>42762</v>
      </c>
      <c r="F155" s="125">
        <v>0.53125</v>
      </c>
      <c r="G155" s="124">
        <v>42816</v>
      </c>
      <c r="H155" s="125">
        <v>0.41666666666666669</v>
      </c>
      <c r="I155" s="123">
        <v>710</v>
      </c>
      <c r="J155" s="123">
        <v>800</v>
      </c>
      <c r="K155" s="142" t="str">
        <f t="shared" si="18"/>
        <v>G800</v>
      </c>
      <c r="L155" s="123">
        <v>479</v>
      </c>
      <c r="M155" s="142" t="str">
        <f t="shared" si="19"/>
        <v>R479</v>
      </c>
      <c r="N155" s="123">
        <v>885</v>
      </c>
      <c r="O155" s="142" t="str">
        <f t="shared" si="20"/>
        <v>G885</v>
      </c>
      <c r="P155" s="123">
        <v>440</v>
      </c>
      <c r="Q155" s="142" t="str">
        <f t="shared" si="21"/>
        <v>R440</v>
      </c>
      <c r="R155" s="123">
        <v>28.6</v>
      </c>
      <c r="S155" s="123">
        <v>11.4</v>
      </c>
      <c r="T155" s="123">
        <v>24.8</v>
      </c>
      <c r="U155" s="123">
        <v>31.3</v>
      </c>
      <c r="V155" s="123" t="s">
        <v>2187</v>
      </c>
      <c r="W155" s="126" t="s">
        <v>2200</v>
      </c>
      <c r="X155" s="126" t="s">
        <v>2187</v>
      </c>
      <c r="Y155" s="126"/>
      <c r="Z155" s="123">
        <v>16.399999999999999</v>
      </c>
      <c r="AA155" s="123" t="s">
        <v>2228</v>
      </c>
      <c r="AB155" s="123">
        <v>2.1</v>
      </c>
      <c r="AC155" s="123">
        <v>0</v>
      </c>
      <c r="AD155" s="123"/>
      <c r="AH155" s="123">
        <f t="shared" si="16"/>
        <v>800</v>
      </c>
      <c r="AI155" t="b">
        <f t="shared" si="22"/>
        <v>0</v>
      </c>
      <c r="AJ155" s="123">
        <f t="shared" si="17"/>
        <v>479</v>
      </c>
      <c r="AK155" t="b">
        <f t="shared" si="23"/>
        <v>0</v>
      </c>
    </row>
    <row r="156" spans="1:37">
      <c r="A156" s="121">
        <v>154</v>
      </c>
      <c r="B156" s="122" t="s">
        <v>2666</v>
      </c>
      <c r="C156" s="122" t="s">
        <v>2377</v>
      </c>
      <c r="D156" s="122" t="s">
        <v>2265</v>
      </c>
      <c r="E156" s="124">
        <v>42762</v>
      </c>
      <c r="F156" s="125">
        <v>0.53819444444444442</v>
      </c>
      <c r="G156" s="124">
        <v>42816</v>
      </c>
      <c r="H156" s="125">
        <v>0.4236111111111111</v>
      </c>
      <c r="I156" s="123">
        <v>711</v>
      </c>
      <c r="J156" s="123">
        <v>675</v>
      </c>
      <c r="K156" s="142" t="str">
        <f t="shared" si="18"/>
        <v>G675</v>
      </c>
      <c r="L156" s="123">
        <v>493</v>
      </c>
      <c r="M156" s="142" t="str">
        <f t="shared" si="19"/>
        <v>R493</v>
      </c>
      <c r="N156" s="123">
        <v>684</v>
      </c>
      <c r="O156" s="142" t="str">
        <f t="shared" si="20"/>
        <v>G684</v>
      </c>
      <c r="P156" s="123">
        <v>485</v>
      </c>
      <c r="Q156" s="142" t="str">
        <f t="shared" si="21"/>
        <v>R485</v>
      </c>
      <c r="R156" s="123">
        <v>28.5</v>
      </c>
      <c r="S156" s="123">
        <v>7.8</v>
      </c>
      <c r="T156" s="123">
        <v>22.9</v>
      </c>
      <c r="U156" s="123">
        <v>39.200000000000003</v>
      </c>
      <c r="V156" s="123" t="s">
        <v>2195</v>
      </c>
      <c r="W156" s="126" t="s">
        <v>2195</v>
      </c>
      <c r="X156" s="126" t="s">
        <v>2187</v>
      </c>
      <c r="Y156" s="126"/>
      <c r="Z156" s="123">
        <v>9</v>
      </c>
      <c r="AA156" s="123" t="s">
        <v>2228</v>
      </c>
      <c r="AB156" s="123">
        <v>2.15</v>
      </c>
      <c r="AC156" s="123">
        <v>0</v>
      </c>
      <c r="AD156" s="123"/>
      <c r="AH156" s="123">
        <f t="shared" si="16"/>
        <v>675</v>
      </c>
      <c r="AI156" t="b">
        <f t="shared" si="22"/>
        <v>0</v>
      </c>
      <c r="AJ156" s="123">
        <f t="shared" si="17"/>
        <v>493</v>
      </c>
      <c r="AK156" t="b">
        <f t="shared" si="23"/>
        <v>0</v>
      </c>
    </row>
    <row r="157" spans="1:37">
      <c r="A157" s="121">
        <v>155</v>
      </c>
      <c r="B157" s="122" t="s">
        <v>2666</v>
      </c>
      <c r="C157" s="122" t="s">
        <v>2378</v>
      </c>
      <c r="D157" s="122" t="s">
        <v>2265</v>
      </c>
      <c r="E157" s="124">
        <v>42762</v>
      </c>
      <c r="F157" s="125">
        <v>0.54166666666666663</v>
      </c>
      <c r="G157" s="124">
        <v>42816</v>
      </c>
      <c r="H157" s="125">
        <v>0.43055555555555558</v>
      </c>
      <c r="I157" s="123">
        <v>712</v>
      </c>
      <c r="J157" s="123">
        <v>859</v>
      </c>
      <c r="K157" s="142" t="str">
        <f t="shared" si="18"/>
        <v>G859</v>
      </c>
      <c r="L157" s="123">
        <v>484</v>
      </c>
      <c r="M157" s="142" t="str">
        <f t="shared" si="19"/>
        <v>R484</v>
      </c>
      <c r="N157" s="123">
        <v>827</v>
      </c>
      <c r="O157" s="142" t="str">
        <f t="shared" si="20"/>
        <v>G827</v>
      </c>
      <c r="P157" s="123">
        <v>556</v>
      </c>
      <c r="Q157" s="142" t="str">
        <f t="shared" si="21"/>
        <v>R556</v>
      </c>
      <c r="R157" s="123">
        <v>30.4</v>
      </c>
      <c r="S157" s="123">
        <v>14.8</v>
      </c>
      <c r="T157" s="123">
        <v>23.2</v>
      </c>
      <c r="U157" s="123">
        <v>32.700000000000003</v>
      </c>
      <c r="V157" s="123" t="s">
        <v>2187</v>
      </c>
      <c r="W157" s="126" t="s">
        <v>2187</v>
      </c>
      <c r="X157" s="126"/>
      <c r="Y157" s="126"/>
      <c r="Z157" s="123">
        <v>11</v>
      </c>
      <c r="AA157" s="123" t="s">
        <v>2228</v>
      </c>
      <c r="AB157" s="123">
        <v>1.2</v>
      </c>
      <c r="AC157" s="123">
        <v>0</v>
      </c>
      <c r="AD157" s="123"/>
      <c r="AH157" s="123">
        <f t="shared" si="16"/>
        <v>859</v>
      </c>
      <c r="AI157" t="b">
        <f t="shared" si="22"/>
        <v>0</v>
      </c>
      <c r="AJ157" s="123">
        <f t="shared" si="17"/>
        <v>484</v>
      </c>
      <c r="AK157" t="b">
        <f t="shared" si="23"/>
        <v>0</v>
      </c>
    </row>
    <row r="158" spans="1:37">
      <c r="A158" s="121">
        <v>156</v>
      </c>
      <c r="B158" s="122" t="s">
        <v>2666</v>
      </c>
      <c r="C158" s="122" t="s">
        <v>2379</v>
      </c>
      <c r="D158" s="122" t="s">
        <v>2265</v>
      </c>
      <c r="E158" s="124">
        <v>42762</v>
      </c>
      <c r="F158" s="125">
        <v>0.54513888888888895</v>
      </c>
      <c r="G158" s="124">
        <v>42816</v>
      </c>
      <c r="H158" s="125">
        <v>0.4375</v>
      </c>
      <c r="I158" s="123">
        <v>713</v>
      </c>
      <c r="J158" s="123">
        <v>654</v>
      </c>
      <c r="K158" s="142" t="str">
        <f t="shared" si="18"/>
        <v>G654</v>
      </c>
      <c r="L158" s="123">
        <v>598</v>
      </c>
      <c r="M158" s="142" t="str">
        <f t="shared" si="19"/>
        <v>R598</v>
      </c>
      <c r="N158" s="123">
        <v>667</v>
      </c>
      <c r="O158" s="142" t="str">
        <f t="shared" si="20"/>
        <v>G667</v>
      </c>
      <c r="P158" s="123">
        <v>464</v>
      </c>
      <c r="Q158" s="142" t="str">
        <f t="shared" si="21"/>
        <v>R464</v>
      </c>
      <c r="R158" s="123">
        <v>29.5</v>
      </c>
      <c r="S158" s="123">
        <v>10.8</v>
      </c>
      <c r="T158" s="123">
        <v>24.4</v>
      </c>
      <c r="U158" s="123">
        <v>32.6</v>
      </c>
      <c r="V158" s="123" t="s">
        <v>2179</v>
      </c>
      <c r="W158" s="126" t="s">
        <v>2187</v>
      </c>
      <c r="X158" s="126" t="s">
        <v>2187</v>
      </c>
      <c r="Y158" s="126" t="s">
        <v>2187</v>
      </c>
      <c r="Z158" s="123">
        <v>9.1</v>
      </c>
      <c r="AA158" s="123" t="s">
        <v>2250</v>
      </c>
      <c r="AB158" s="123">
        <v>1.55</v>
      </c>
      <c r="AC158" s="123">
        <v>0</v>
      </c>
      <c r="AD158" s="123" t="s">
        <v>2380</v>
      </c>
      <c r="AH158" s="123">
        <f t="shared" si="16"/>
        <v>654</v>
      </c>
      <c r="AI158" t="b">
        <f t="shared" si="22"/>
        <v>0</v>
      </c>
      <c r="AJ158" s="123">
        <f t="shared" si="17"/>
        <v>598</v>
      </c>
      <c r="AK158" t="b">
        <f t="shared" si="23"/>
        <v>0</v>
      </c>
    </row>
    <row r="159" spans="1:37">
      <c r="A159" s="121">
        <v>157</v>
      </c>
      <c r="B159" s="122" t="s">
        <v>2666</v>
      </c>
      <c r="C159" s="122" t="s">
        <v>2381</v>
      </c>
      <c r="D159" s="122" t="s">
        <v>2265</v>
      </c>
      <c r="E159" s="124">
        <v>42762</v>
      </c>
      <c r="F159" s="125">
        <v>0.54513888888888895</v>
      </c>
      <c r="G159" s="124">
        <v>42816</v>
      </c>
      <c r="H159" s="125">
        <v>0.44097222222222227</v>
      </c>
      <c r="I159" s="123">
        <v>714</v>
      </c>
      <c r="J159" s="123">
        <v>890</v>
      </c>
      <c r="K159" s="142" t="str">
        <f t="shared" si="18"/>
        <v>G890</v>
      </c>
      <c r="L159" s="123">
        <v>30</v>
      </c>
      <c r="M159" s="142" t="str">
        <f t="shared" si="19"/>
        <v>R30</v>
      </c>
      <c r="N159" s="123">
        <v>777</v>
      </c>
      <c r="O159" s="142" t="str">
        <f t="shared" si="20"/>
        <v>G777</v>
      </c>
      <c r="P159" s="123">
        <v>35</v>
      </c>
      <c r="Q159" s="142" t="str">
        <f t="shared" si="21"/>
        <v>R35</v>
      </c>
      <c r="R159" s="123">
        <v>32</v>
      </c>
      <c r="S159" s="123">
        <v>10.199999999999999</v>
      </c>
      <c r="T159" s="123">
        <v>26.4</v>
      </c>
      <c r="U159" s="123">
        <v>35</v>
      </c>
      <c r="V159" s="123" t="s">
        <v>2187</v>
      </c>
      <c r="W159" s="126" t="s">
        <v>2234</v>
      </c>
      <c r="X159" s="126" t="s">
        <v>2187</v>
      </c>
      <c r="Y159" s="126"/>
      <c r="Z159" s="123">
        <v>7.7</v>
      </c>
      <c r="AA159" s="123" t="s">
        <v>2250</v>
      </c>
      <c r="AB159" s="123">
        <v>2.2999999999999998</v>
      </c>
      <c r="AC159" s="123">
        <v>0</v>
      </c>
      <c r="AD159" s="123"/>
      <c r="AH159" s="123">
        <f t="shared" si="16"/>
        <v>890</v>
      </c>
      <c r="AI159" t="b">
        <f t="shared" si="22"/>
        <v>0</v>
      </c>
      <c r="AJ159" s="123">
        <f t="shared" si="17"/>
        <v>30</v>
      </c>
      <c r="AK159" t="b">
        <f t="shared" si="23"/>
        <v>0</v>
      </c>
    </row>
    <row r="160" spans="1:37">
      <c r="A160" s="121">
        <v>158</v>
      </c>
      <c r="B160" s="122" t="s">
        <v>2666</v>
      </c>
      <c r="C160" s="122" t="s">
        <v>2382</v>
      </c>
      <c r="D160" s="122" t="s">
        <v>2265</v>
      </c>
      <c r="E160" s="124">
        <v>42762</v>
      </c>
      <c r="F160" s="125">
        <v>0.55208333333333337</v>
      </c>
      <c r="G160" s="124">
        <v>42816</v>
      </c>
      <c r="H160" s="125">
        <v>0.44791666666666669</v>
      </c>
      <c r="I160" s="123">
        <v>715</v>
      </c>
      <c r="J160" s="123">
        <v>576</v>
      </c>
      <c r="K160" s="142" t="str">
        <f t="shared" si="18"/>
        <v>G576</v>
      </c>
      <c r="L160" s="123">
        <v>16</v>
      </c>
      <c r="M160" s="142" t="str">
        <f t="shared" si="19"/>
        <v>R16</v>
      </c>
      <c r="N160" s="123">
        <v>884</v>
      </c>
      <c r="O160" s="142" t="str">
        <f t="shared" si="20"/>
        <v>G884</v>
      </c>
      <c r="P160" s="123">
        <v>570</v>
      </c>
      <c r="Q160" s="142" t="str">
        <f t="shared" si="21"/>
        <v>R570</v>
      </c>
      <c r="R160" s="123">
        <v>27.4</v>
      </c>
      <c r="S160" s="123">
        <v>12.4</v>
      </c>
      <c r="T160" s="123">
        <v>25.3</v>
      </c>
      <c r="U160" s="123">
        <v>32.5</v>
      </c>
      <c r="V160" s="123" t="s">
        <v>2206</v>
      </c>
      <c r="W160" s="126" t="s">
        <v>2187</v>
      </c>
      <c r="X160" s="126" t="s">
        <v>2187</v>
      </c>
      <c r="Y160" s="126"/>
      <c r="Z160" s="123">
        <v>4.3</v>
      </c>
      <c r="AA160" s="123" t="s">
        <v>2250</v>
      </c>
      <c r="AB160" s="123">
        <v>1.9</v>
      </c>
      <c r="AC160" s="123">
        <v>0</v>
      </c>
      <c r="AD160" s="123"/>
      <c r="AH160" s="123">
        <f t="shared" si="16"/>
        <v>576</v>
      </c>
      <c r="AI160" t="b">
        <f t="shared" si="22"/>
        <v>0</v>
      </c>
      <c r="AJ160" s="123">
        <f t="shared" si="17"/>
        <v>16</v>
      </c>
      <c r="AK160" t="b">
        <f t="shared" si="23"/>
        <v>0</v>
      </c>
    </row>
    <row r="161" spans="1:37">
      <c r="A161" s="169">
        <v>159</v>
      </c>
      <c r="B161" s="170" t="s">
        <v>2666</v>
      </c>
      <c r="C161" s="170" t="s">
        <v>2383</v>
      </c>
      <c r="D161" s="170" t="s">
        <v>2265</v>
      </c>
      <c r="E161" s="171">
        <v>42762</v>
      </c>
      <c r="F161" s="174">
        <v>0.55555555555555558</v>
      </c>
      <c r="G161" s="171">
        <v>42816</v>
      </c>
      <c r="H161" s="169"/>
      <c r="I161" s="169">
        <v>716</v>
      </c>
      <c r="J161" s="169">
        <v>829</v>
      </c>
      <c r="K161" s="142" t="str">
        <f t="shared" si="18"/>
        <v>G829</v>
      </c>
      <c r="L161" s="169">
        <v>499</v>
      </c>
      <c r="M161" s="142" t="str">
        <f t="shared" si="19"/>
        <v>R499</v>
      </c>
      <c r="N161" s="169">
        <v>731</v>
      </c>
      <c r="O161" s="142" t="str">
        <f t="shared" si="20"/>
        <v>G731</v>
      </c>
      <c r="P161" s="169">
        <v>439</v>
      </c>
      <c r="Q161" s="142" t="str">
        <f t="shared" si="21"/>
        <v>R439</v>
      </c>
      <c r="R161" s="169">
        <v>28</v>
      </c>
      <c r="S161" s="169">
        <v>14.4</v>
      </c>
      <c r="T161" s="169"/>
      <c r="U161" s="169"/>
      <c r="V161" s="169"/>
      <c r="W161" s="169"/>
      <c r="X161" s="169"/>
      <c r="Y161" s="169"/>
      <c r="Z161" s="169">
        <v>0</v>
      </c>
      <c r="AA161" s="169" t="s">
        <v>2228</v>
      </c>
      <c r="AB161" s="169">
        <v>2.65</v>
      </c>
      <c r="AC161" s="169">
        <v>1</v>
      </c>
      <c r="AD161" s="169"/>
      <c r="AH161" s="123">
        <f t="shared" si="16"/>
        <v>829</v>
      </c>
      <c r="AI161" t="b">
        <f t="shared" si="22"/>
        <v>0</v>
      </c>
      <c r="AJ161" s="123">
        <f t="shared" si="17"/>
        <v>499</v>
      </c>
      <c r="AK161" t="b">
        <f t="shared" si="23"/>
        <v>0</v>
      </c>
    </row>
    <row r="162" spans="1:37">
      <c r="A162" s="121">
        <v>160</v>
      </c>
      <c r="B162" s="122" t="s">
        <v>2666</v>
      </c>
      <c r="C162" s="122" t="s">
        <v>2384</v>
      </c>
      <c r="D162" s="122" t="s">
        <v>2265</v>
      </c>
      <c r="E162" s="124">
        <v>42762</v>
      </c>
      <c r="F162" s="125">
        <v>0.55555555555555558</v>
      </c>
      <c r="G162" s="124">
        <v>42816</v>
      </c>
      <c r="H162" s="125">
        <v>0.46875</v>
      </c>
      <c r="I162" s="123">
        <v>717</v>
      </c>
      <c r="J162" s="123">
        <v>809</v>
      </c>
      <c r="K162" s="142" t="str">
        <f t="shared" si="18"/>
        <v>G809</v>
      </c>
      <c r="L162" s="123">
        <v>421</v>
      </c>
      <c r="M162" s="142" t="str">
        <f t="shared" si="19"/>
        <v>R421</v>
      </c>
      <c r="N162" s="123">
        <v>876</v>
      </c>
      <c r="O162" s="142" t="str">
        <f t="shared" si="20"/>
        <v>G876</v>
      </c>
      <c r="P162" s="123">
        <v>461</v>
      </c>
      <c r="Q162" s="142" t="str">
        <f t="shared" si="21"/>
        <v>R461</v>
      </c>
      <c r="R162" s="123">
        <v>28.7</v>
      </c>
      <c r="S162" s="123">
        <v>12.1</v>
      </c>
      <c r="T162" s="123">
        <v>25.6</v>
      </c>
      <c r="U162" s="123">
        <v>20.9</v>
      </c>
      <c r="V162" s="123" t="s">
        <v>2187</v>
      </c>
      <c r="W162" s="126" t="s">
        <v>2187</v>
      </c>
      <c r="X162" s="126" t="s">
        <v>2187</v>
      </c>
      <c r="Y162" s="126"/>
      <c r="Z162" s="123">
        <v>10.8</v>
      </c>
      <c r="AA162" s="123" t="s">
        <v>2250</v>
      </c>
      <c r="AB162" s="123">
        <v>0.8</v>
      </c>
      <c r="AC162" s="123">
        <v>0</v>
      </c>
      <c r="AD162" s="123"/>
      <c r="AH162" s="123">
        <f t="shared" si="16"/>
        <v>809</v>
      </c>
      <c r="AI162" t="b">
        <f t="shared" si="22"/>
        <v>0</v>
      </c>
      <c r="AJ162" s="123">
        <f t="shared" si="17"/>
        <v>421</v>
      </c>
      <c r="AK162" t="b">
        <f t="shared" si="23"/>
        <v>0</v>
      </c>
    </row>
    <row r="163" spans="1:37">
      <c r="A163" s="121">
        <v>161</v>
      </c>
      <c r="B163" s="122" t="s">
        <v>2385</v>
      </c>
      <c r="C163" s="122" t="s">
        <v>2386</v>
      </c>
      <c r="D163" s="122" t="s">
        <v>2278</v>
      </c>
      <c r="E163" s="124">
        <v>42763</v>
      </c>
      <c r="F163" s="125">
        <v>0.44097222222222227</v>
      </c>
      <c r="G163" s="124">
        <v>42814</v>
      </c>
      <c r="H163" s="125">
        <v>0.55902777777777779</v>
      </c>
      <c r="I163" s="123">
        <v>756</v>
      </c>
      <c r="J163" s="123">
        <v>252</v>
      </c>
      <c r="K163" s="142" t="str">
        <f t="shared" si="18"/>
        <v>G252</v>
      </c>
      <c r="L163" s="123">
        <v>124</v>
      </c>
      <c r="M163" s="142" t="str">
        <f t="shared" si="19"/>
        <v>R124</v>
      </c>
      <c r="N163" s="123">
        <v>351</v>
      </c>
      <c r="O163" s="142" t="str">
        <f t="shared" si="20"/>
        <v>G351</v>
      </c>
      <c r="P163" s="123">
        <v>253</v>
      </c>
      <c r="Q163" s="142" t="str">
        <f t="shared" si="21"/>
        <v>R253</v>
      </c>
      <c r="R163" s="123">
        <v>26</v>
      </c>
      <c r="S163" s="123">
        <v>18.600000000000001</v>
      </c>
      <c r="T163" s="123">
        <v>41.2</v>
      </c>
      <c r="U163" s="123">
        <v>3.6</v>
      </c>
      <c r="V163" s="123"/>
      <c r="W163" s="126"/>
      <c r="X163" s="126"/>
      <c r="Y163" s="126"/>
      <c r="Z163" s="123">
        <v>35.799999999999997</v>
      </c>
      <c r="AA163" s="123" t="s">
        <v>2180</v>
      </c>
      <c r="AB163" s="123">
        <v>7.6</v>
      </c>
      <c r="AC163" s="123">
        <v>0</v>
      </c>
      <c r="AD163" s="123"/>
      <c r="AH163" s="123">
        <f t="shared" si="16"/>
        <v>252</v>
      </c>
      <c r="AI163" t="b">
        <f t="shared" si="22"/>
        <v>0</v>
      </c>
      <c r="AJ163" s="123">
        <f t="shared" si="17"/>
        <v>124</v>
      </c>
      <c r="AK163" t="b">
        <f t="shared" si="23"/>
        <v>0</v>
      </c>
    </row>
    <row r="164" spans="1:37">
      <c r="A164" s="121">
        <v>162</v>
      </c>
      <c r="B164" s="122" t="s">
        <v>2385</v>
      </c>
      <c r="C164" s="122" t="s">
        <v>2387</v>
      </c>
      <c r="D164" s="122" t="s">
        <v>2278</v>
      </c>
      <c r="E164" s="124">
        <v>42763</v>
      </c>
      <c r="F164" s="125">
        <v>0.44791666666666669</v>
      </c>
      <c r="G164" s="124">
        <v>42814</v>
      </c>
      <c r="H164" s="125">
        <v>0.56458333333333333</v>
      </c>
      <c r="I164" s="123">
        <v>757</v>
      </c>
      <c r="J164" s="123">
        <v>385</v>
      </c>
      <c r="K164" s="142" t="str">
        <f t="shared" si="18"/>
        <v>G385</v>
      </c>
      <c r="L164" s="123">
        <v>202</v>
      </c>
      <c r="M164" s="142" t="str">
        <f t="shared" si="19"/>
        <v>R202</v>
      </c>
      <c r="N164" s="123">
        <v>442</v>
      </c>
      <c r="O164" s="142" t="str">
        <f t="shared" si="20"/>
        <v>G442</v>
      </c>
      <c r="P164" s="123">
        <v>285</v>
      </c>
      <c r="Q164" s="142" t="str">
        <f t="shared" si="21"/>
        <v>R285</v>
      </c>
      <c r="R164" s="123">
        <v>27.2</v>
      </c>
      <c r="S164" s="123">
        <v>14.6</v>
      </c>
      <c r="T164" s="123">
        <v>41.7</v>
      </c>
      <c r="U164" s="123">
        <v>4.0999999999999996</v>
      </c>
      <c r="V164" s="123"/>
      <c r="W164" s="126" t="s">
        <v>2179</v>
      </c>
      <c r="X164" s="126"/>
      <c r="Y164" s="126" t="s">
        <v>2187</v>
      </c>
      <c r="Z164" s="123">
        <v>31.4</v>
      </c>
      <c r="AA164" s="123" t="s">
        <v>2180</v>
      </c>
      <c r="AB164" s="123">
        <v>4.0999999999999996</v>
      </c>
      <c r="AC164" s="123">
        <v>0</v>
      </c>
      <c r="AD164" s="123"/>
      <c r="AH164" s="123">
        <f t="shared" si="16"/>
        <v>385</v>
      </c>
      <c r="AI164" t="b">
        <f t="shared" si="22"/>
        <v>0</v>
      </c>
      <c r="AJ164" s="123">
        <f t="shared" si="17"/>
        <v>202</v>
      </c>
      <c r="AK164" t="b">
        <f t="shared" si="23"/>
        <v>0</v>
      </c>
    </row>
    <row r="165" spans="1:37">
      <c r="A165" s="121">
        <v>163</v>
      </c>
      <c r="B165" s="122" t="s">
        <v>2385</v>
      </c>
      <c r="C165" s="122" t="s">
        <v>2388</v>
      </c>
      <c r="D165" s="122" t="s">
        <v>2278</v>
      </c>
      <c r="E165" s="124">
        <v>42763</v>
      </c>
      <c r="F165" s="125">
        <v>0.45833333333333331</v>
      </c>
      <c r="G165" s="124">
        <v>42814</v>
      </c>
      <c r="H165" s="125">
        <v>0.57291666666666663</v>
      </c>
      <c r="I165" s="123">
        <v>758</v>
      </c>
      <c r="J165" s="123">
        <v>202</v>
      </c>
      <c r="K165" s="142" t="str">
        <f t="shared" si="18"/>
        <v>G202</v>
      </c>
      <c r="L165" s="123">
        <v>96</v>
      </c>
      <c r="M165" s="142" t="str">
        <f t="shared" si="19"/>
        <v>R96</v>
      </c>
      <c r="N165" s="123">
        <v>743</v>
      </c>
      <c r="O165" s="142" t="str">
        <f t="shared" si="20"/>
        <v>G743</v>
      </c>
      <c r="P165" s="123">
        <v>341</v>
      </c>
      <c r="Q165" s="142" t="str">
        <f t="shared" si="21"/>
        <v>R341</v>
      </c>
      <c r="R165" s="123">
        <v>27.4</v>
      </c>
      <c r="S165" s="164">
        <v>14.2</v>
      </c>
      <c r="T165" s="123">
        <v>39.6</v>
      </c>
      <c r="U165" s="123">
        <v>4.4000000000000004</v>
      </c>
      <c r="V165" s="123" t="s">
        <v>2179</v>
      </c>
      <c r="W165" s="126"/>
      <c r="X165" s="126"/>
      <c r="Y165" s="126"/>
      <c r="Z165" s="123">
        <v>28.8</v>
      </c>
      <c r="AA165" s="123" t="s">
        <v>2180</v>
      </c>
      <c r="AB165" s="123">
        <v>7.8</v>
      </c>
      <c r="AC165" s="123">
        <v>0</v>
      </c>
      <c r="AD165" s="123"/>
      <c r="AE165" s="92"/>
      <c r="AH165" s="123">
        <f t="shared" si="16"/>
        <v>202</v>
      </c>
      <c r="AI165" t="b">
        <f t="shared" si="22"/>
        <v>0</v>
      </c>
      <c r="AJ165" s="123">
        <f t="shared" si="17"/>
        <v>96</v>
      </c>
      <c r="AK165" t="b">
        <f t="shared" si="23"/>
        <v>0</v>
      </c>
    </row>
    <row r="166" spans="1:37">
      <c r="A166" s="121">
        <v>164</v>
      </c>
      <c r="B166" s="122" t="s">
        <v>2385</v>
      </c>
      <c r="C166" s="122" t="s">
        <v>2389</v>
      </c>
      <c r="D166" s="122" t="s">
        <v>2278</v>
      </c>
      <c r="E166" s="124">
        <v>42763</v>
      </c>
      <c r="F166" s="125">
        <v>0.46180555555555558</v>
      </c>
      <c r="G166" s="124">
        <v>42814</v>
      </c>
      <c r="H166" s="125">
        <v>0.57986111111111105</v>
      </c>
      <c r="I166" s="123">
        <v>759</v>
      </c>
      <c r="J166" s="123">
        <v>686</v>
      </c>
      <c r="K166" s="142" t="str">
        <f t="shared" si="18"/>
        <v>G686</v>
      </c>
      <c r="L166" s="123">
        <v>317</v>
      </c>
      <c r="M166" s="142" t="str">
        <f t="shared" si="19"/>
        <v>R317</v>
      </c>
      <c r="N166" s="123">
        <v>390</v>
      </c>
      <c r="O166" s="142" t="str">
        <f t="shared" si="20"/>
        <v>G390</v>
      </c>
      <c r="P166" s="129">
        <v>264</v>
      </c>
      <c r="Q166" s="142" t="str">
        <f t="shared" si="21"/>
        <v>R264</v>
      </c>
      <c r="R166" s="123">
        <v>27.4</v>
      </c>
      <c r="S166" s="123">
        <v>15.2</v>
      </c>
      <c r="T166" s="164">
        <v>40.200000000000003</v>
      </c>
      <c r="U166" s="123">
        <v>3.3</v>
      </c>
      <c r="V166" s="123"/>
      <c r="W166" s="126"/>
      <c r="X166" s="126"/>
      <c r="Y166" s="126"/>
      <c r="Z166" s="123">
        <v>20.8</v>
      </c>
      <c r="AA166" s="123" t="s">
        <v>2180</v>
      </c>
      <c r="AB166" s="123">
        <v>9.5</v>
      </c>
      <c r="AC166" s="123">
        <v>0</v>
      </c>
      <c r="AD166" s="123"/>
      <c r="AH166" s="123">
        <f t="shared" si="16"/>
        <v>686</v>
      </c>
      <c r="AI166" t="b">
        <f t="shared" si="22"/>
        <v>0</v>
      </c>
      <c r="AJ166" s="123">
        <f t="shared" si="17"/>
        <v>317</v>
      </c>
      <c r="AK166" t="b">
        <f t="shared" si="23"/>
        <v>0</v>
      </c>
    </row>
    <row r="167" spans="1:37">
      <c r="A167" s="121">
        <v>165</v>
      </c>
      <c r="B167" s="122" t="s">
        <v>2385</v>
      </c>
      <c r="C167" s="122" t="s">
        <v>2390</v>
      </c>
      <c r="D167" s="122" t="s">
        <v>2278</v>
      </c>
      <c r="E167" s="124">
        <v>42763</v>
      </c>
      <c r="F167" s="125">
        <v>0.46527777777777773</v>
      </c>
      <c r="G167" s="124">
        <v>42814</v>
      </c>
      <c r="H167" s="125">
        <v>0.59027777777777779</v>
      </c>
      <c r="I167" s="123">
        <v>760</v>
      </c>
      <c r="J167" s="123">
        <v>368</v>
      </c>
      <c r="K167" s="142" t="str">
        <f t="shared" si="18"/>
        <v>G368</v>
      </c>
      <c r="L167" s="123">
        <v>331</v>
      </c>
      <c r="M167" s="142" t="str">
        <f t="shared" si="19"/>
        <v>R331</v>
      </c>
      <c r="N167" s="123">
        <v>810</v>
      </c>
      <c r="O167" s="142" t="str">
        <f t="shared" si="20"/>
        <v>G810</v>
      </c>
      <c r="P167" s="123">
        <v>411</v>
      </c>
      <c r="Q167" s="142" t="str">
        <f t="shared" si="21"/>
        <v>R411</v>
      </c>
      <c r="R167" s="123">
        <v>24.7</v>
      </c>
      <c r="S167" s="123">
        <v>19.2</v>
      </c>
      <c r="T167" s="123">
        <v>38.299999999999997</v>
      </c>
      <c r="U167" s="123">
        <v>4.8</v>
      </c>
      <c r="V167" s="123"/>
      <c r="W167" s="126" t="s">
        <v>2179</v>
      </c>
      <c r="X167" s="126"/>
      <c r="Y167" s="126"/>
      <c r="Z167" s="123">
        <v>13.8</v>
      </c>
      <c r="AA167" s="123" t="s">
        <v>2180</v>
      </c>
      <c r="AB167" s="123">
        <v>10.4</v>
      </c>
      <c r="AC167" s="123">
        <v>0</v>
      </c>
      <c r="AD167" s="123"/>
      <c r="AH167" s="123">
        <f t="shared" si="16"/>
        <v>368</v>
      </c>
      <c r="AI167" t="b">
        <f t="shared" si="22"/>
        <v>0</v>
      </c>
      <c r="AJ167" s="123">
        <f t="shared" si="17"/>
        <v>331</v>
      </c>
      <c r="AK167" t="b">
        <f t="shared" si="23"/>
        <v>0</v>
      </c>
    </row>
    <row r="168" spans="1:37">
      <c r="A168" s="121">
        <v>166</v>
      </c>
      <c r="B168" s="122" t="s">
        <v>2385</v>
      </c>
      <c r="C168" s="122" t="s">
        <v>2391</v>
      </c>
      <c r="D168" s="122" t="s">
        <v>2278</v>
      </c>
      <c r="E168" s="124">
        <v>42763</v>
      </c>
      <c r="F168" s="125">
        <v>0.46875</v>
      </c>
      <c r="G168" s="124">
        <v>42814</v>
      </c>
      <c r="H168" s="125">
        <v>0.59722222222222221</v>
      </c>
      <c r="I168" s="123">
        <v>761</v>
      </c>
      <c r="J168" s="123">
        <v>334</v>
      </c>
      <c r="K168" s="142" t="str">
        <f t="shared" si="18"/>
        <v>G334</v>
      </c>
      <c r="L168" s="123">
        <v>287</v>
      </c>
      <c r="M168" s="142" t="str">
        <f t="shared" si="19"/>
        <v>R287</v>
      </c>
      <c r="N168" s="123">
        <v>287</v>
      </c>
      <c r="O168" s="142" t="str">
        <f t="shared" si="20"/>
        <v>G287</v>
      </c>
      <c r="P168" s="123">
        <v>259</v>
      </c>
      <c r="Q168" s="142" t="str">
        <f t="shared" si="21"/>
        <v>R259</v>
      </c>
      <c r="R168" s="123">
        <v>25.6</v>
      </c>
      <c r="S168" s="123">
        <v>18.3</v>
      </c>
      <c r="T168" s="123">
        <v>37.4</v>
      </c>
      <c r="U168" s="123">
        <v>3.7</v>
      </c>
      <c r="V168" s="123"/>
      <c r="W168" s="126"/>
      <c r="X168" s="126"/>
      <c r="Y168" s="126"/>
      <c r="Z168" s="123">
        <v>4.7</v>
      </c>
      <c r="AA168" s="123" t="s">
        <v>2180</v>
      </c>
      <c r="AB168" s="123">
        <v>2.1</v>
      </c>
      <c r="AC168" s="123">
        <v>0</v>
      </c>
      <c r="AD168" s="123" t="s">
        <v>2392</v>
      </c>
      <c r="AH168" s="123">
        <f t="shared" si="16"/>
        <v>334</v>
      </c>
      <c r="AI168" t="b">
        <f t="shared" si="22"/>
        <v>0</v>
      </c>
      <c r="AJ168" s="123">
        <f t="shared" si="17"/>
        <v>287</v>
      </c>
      <c r="AK168" t="b">
        <f t="shared" si="23"/>
        <v>0</v>
      </c>
    </row>
    <row r="169" spans="1:37">
      <c r="A169" s="121">
        <v>167</v>
      </c>
      <c r="B169" s="122" t="s">
        <v>2385</v>
      </c>
      <c r="C169" s="122" t="s">
        <v>2393</v>
      </c>
      <c r="D169" s="122" t="s">
        <v>2278</v>
      </c>
      <c r="E169" s="124">
        <v>42763</v>
      </c>
      <c r="F169" s="125">
        <v>0.47569444444444442</v>
      </c>
      <c r="G169" s="124">
        <v>42814</v>
      </c>
      <c r="H169" s="125">
        <v>0.60416666666666663</v>
      </c>
      <c r="I169" s="123">
        <v>762</v>
      </c>
      <c r="J169" s="123">
        <v>429</v>
      </c>
      <c r="K169" s="142" t="str">
        <f t="shared" si="18"/>
        <v>G429</v>
      </c>
      <c r="L169" s="123">
        <v>255</v>
      </c>
      <c r="M169" s="142" t="str">
        <f t="shared" si="19"/>
        <v>R255</v>
      </c>
      <c r="N169" s="123">
        <v>443</v>
      </c>
      <c r="O169" s="142" t="str">
        <f t="shared" si="20"/>
        <v>G443</v>
      </c>
      <c r="P169" s="123">
        <v>215</v>
      </c>
      <c r="Q169" s="142" t="str">
        <f t="shared" si="21"/>
        <v>R215</v>
      </c>
      <c r="R169" s="123">
        <v>26.7</v>
      </c>
      <c r="S169" s="123">
        <v>16</v>
      </c>
      <c r="T169" s="123">
        <v>35.299999999999997</v>
      </c>
      <c r="U169" s="123">
        <v>4.9000000000000004</v>
      </c>
      <c r="V169" s="123"/>
      <c r="W169" s="126"/>
      <c r="X169" s="126"/>
      <c r="Y169" s="126"/>
      <c r="Z169" s="123">
        <v>4.2</v>
      </c>
      <c r="AA169" s="123" t="s">
        <v>2180</v>
      </c>
      <c r="AB169" s="123">
        <v>5.6</v>
      </c>
      <c r="AC169" s="123">
        <v>1</v>
      </c>
      <c r="AD169" s="123"/>
      <c r="AH169" s="123">
        <f t="shared" si="16"/>
        <v>429</v>
      </c>
      <c r="AI169" t="b">
        <f t="shared" si="22"/>
        <v>0</v>
      </c>
      <c r="AJ169" s="123">
        <f t="shared" si="17"/>
        <v>255</v>
      </c>
      <c r="AK169" t="b">
        <f t="shared" si="23"/>
        <v>0</v>
      </c>
    </row>
    <row r="170" spans="1:37">
      <c r="A170" s="121">
        <v>168</v>
      </c>
      <c r="B170" s="122" t="s">
        <v>2385</v>
      </c>
      <c r="C170" s="122" t="s">
        <v>2394</v>
      </c>
      <c r="D170" s="122" t="s">
        <v>2278</v>
      </c>
      <c r="E170" s="124">
        <v>42763</v>
      </c>
      <c r="F170" s="125">
        <v>0.47916666666666669</v>
      </c>
      <c r="G170" s="124">
        <v>42814</v>
      </c>
      <c r="H170" s="125">
        <v>0.61111111111111105</v>
      </c>
      <c r="I170" s="123">
        <v>763</v>
      </c>
      <c r="J170" s="123">
        <v>461</v>
      </c>
      <c r="K170" s="142" t="str">
        <f t="shared" si="18"/>
        <v>G461</v>
      </c>
      <c r="L170" s="123">
        <v>534</v>
      </c>
      <c r="M170" s="142" t="str">
        <f t="shared" si="19"/>
        <v>R534</v>
      </c>
      <c r="N170" s="123">
        <v>680</v>
      </c>
      <c r="O170" s="142" t="str">
        <f t="shared" si="20"/>
        <v>G680</v>
      </c>
      <c r="P170" s="123">
        <v>322</v>
      </c>
      <c r="Q170" s="142" t="str">
        <f t="shared" si="21"/>
        <v>R322</v>
      </c>
      <c r="R170" s="123">
        <v>27.7</v>
      </c>
      <c r="S170" s="123">
        <v>17.399999999999999</v>
      </c>
      <c r="T170" s="123">
        <v>38.9</v>
      </c>
      <c r="U170" s="123">
        <v>5.0999999999999996</v>
      </c>
      <c r="V170" s="123" t="s">
        <v>2195</v>
      </c>
      <c r="W170" s="126"/>
      <c r="X170" s="126"/>
      <c r="Y170" s="126"/>
      <c r="Z170" s="123">
        <v>46</v>
      </c>
      <c r="AA170" s="123" t="s">
        <v>2180</v>
      </c>
      <c r="AB170" s="123">
        <v>2.4</v>
      </c>
      <c r="AC170" s="123">
        <v>0</v>
      </c>
      <c r="AD170" s="123"/>
      <c r="AH170" s="123">
        <f t="shared" si="16"/>
        <v>461</v>
      </c>
      <c r="AI170" t="b">
        <f t="shared" si="22"/>
        <v>0</v>
      </c>
      <c r="AJ170" s="123">
        <f t="shared" si="17"/>
        <v>534</v>
      </c>
      <c r="AK170" t="b">
        <f t="shared" si="23"/>
        <v>0</v>
      </c>
    </row>
    <row r="171" spans="1:37">
      <c r="A171" s="121">
        <v>169</v>
      </c>
      <c r="B171" s="122" t="s">
        <v>2385</v>
      </c>
      <c r="C171" s="122" t="s">
        <v>2395</v>
      </c>
      <c r="D171" s="122" t="s">
        <v>2287</v>
      </c>
      <c r="E171" s="124">
        <v>42763</v>
      </c>
      <c r="F171" s="125">
        <v>0.50694444444444442</v>
      </c>
      <c r="G171" s="124">
        <v>42814</v>
      </c>
      <c r="H171" s="125">
        <v>0.63888888888888895</v>
      </c>
      <c r="I171" s="123">
        <v>782</v>
      </c>
      <c r="J171" s="123">
        <v>425</v>
      </c>
      <c r="K171" s="142" t="str">
        <f t="shared" si="18"/>
        <v>G425</v>
      </c>
      <c r="L171" s="123">
        <v>453</v>
      </c>
      <c r="M171" s="142" t="str">
        <f t="shared" si="19"/>
        <v>R453</v>
      </c>
      <c r="N171" s="123">
        <v>496</v>
      </c>
      <c r="O171" s="142" t="str">
        <f t="shared" si="20"/>
        <v>G496</v>
      </c>
      <c r="P171" s="123">
        <v>403</v>
      </c>
      <c r="Q171" s="142" t="str">
        <f t="shared" si="21"/>
        <v>R403</v>
      </c>
      <c r="R171" s="123">
        <v>30.2</v>
      </c>
      <c r="S171" s="123">
        <v>14.5</v>
      </c>
      <c r="T171" s="123">
        <v>42.2</v>
      </c>
      <c r="U171" s="123">
        <v>4.8</v>
      </c>
      <c r="V171" s="123"/>
      <c r="W171" s="126" t="s">
        <v>2195</v>
      </c>
      <c r="X171" s="126"/>
      <c r="Y171" s="126"/>
      <c r="Z171" s="123">
        <v>11.4</v>
      </c>
      <c r="AA171" s="123" t="s">
        <v>2250</v>
      </c>
      <c r="AB171" s="123">
        <v>8.1999999999999993</v>
      </c>
      <c r="AC171" s="123">
        <v>1</v>
      </c>
      <c r="AD171" s="123" t="s">
        <v>3157</v>
      </c>
      <c r="AH171" s="123">
        <f t="shared" si="16"/>
        <v>425</v>
      </c>
      <c r="AI171" t="b">
        <f t="shared" si="22"/>
        <v>0</v>
      </c>
      <c r="AJ171" s="123">
        <f t="shared" si="17"/>
        <v>453</v>
      </c>
      <c r="AK171" t="b">
        <f t="shared" si="23"/>
        <v>0</v>
      </c>
    </row>
    <row r="172" spans="1:37">
      <c r="A172" s="121">
        <v>170</v>
      </c>
      <c r="B172" s="122" t="s">
        <v>2385</v>
      </c>
      <c r="C172" s="122" t="s">
        <v>2396</v>
      </c>
      <c r="D172" s="122" t="s">
        <v>2287</v>
      </c>
      <c r="E172" s="124">
        <v>42763</v>
      </c>
      <c r="F172" s="125">
        <v>0.51388888888888895</v>
      </c>
      <c r="G172" s="124">
        <v>42814</v>
      </c>
      <c r="H172" s="125">
        <v>0.64930555555555558</v>
      </c>
      <c r="I172" s="123">
        <v>783</v>
      </c>
      <c r="J172" s="123">
        <v>433</v>
      </c>
      <c r="K172" s="142" t="str">
        <f t="shared" si="18"/>
        <v>G433</v>
      </c>
      <c r="L172" s="123">
        <v>330</v>
      </c>
      <c r="M172" s="142" t="str">
        <f t="shared" si="19"/>
        <v>R330</v>
      </c>
      <c r="N172" s="123">
        <v>674</v>
      </c>
      <c r="O172" s="142" t="str">
        <f t="shared" si="20"/>
        <v>G674</v>
      </c>
      <c r="P172" s="123">
        <v>583</v>
      </c>
      <c r="Q172" s="142" t="str">
        <f t="shared" si="21"/>
        <v>R583</v>
      </c>
      <c r="R172" s="123">
        <v>27.9</v>
      </c>
      <c r="S172" s="123">
        <v>7.7</v>
      </c>
      <c r="T172" s="123">
        <v>39.299999999999997</v>
      </c>
      <c r="U172" s="123">
        <v>8.5</v>
      </c>
      <c r="V172" s="123"/>
      <c r="W172" s="126"/>
      <c r="X172" s="126"/>
      <c r="Y172" s="126"/>
      <c r="Z172" s="123">
        <v>15.8</v>
      </c>
      <c r="AA172" s="123" t="s">
        <v>2250</v>
      </c>
      <c r="AB172" s="123">
        <v>7.7</v>
      </c>
      <c r="AC172" s="123">
        <v>1</v>
      </c>
      <c r="AD172" s="123"/>
      <c r="AH172" s="123">
        <f t="shared" si="16"/>
        <v>433</v>
      </c>
      <c r="AI172" t="b">
        <f t="shared" si="22"/>
        <v>0</v>
      </c>
      <c r="AJ172" s="123">
        <f t="shared" si="17"/>
        <v>330</v>
      </c>
      <c r="AK172" t="b">
        <f t="shared" si="23"/>
        <v>0</v>
      </c>
    </row>
    <row r="173" spans="1:37">
      <c r="A173" s="121">
        <v>171</v>
      </c>
      <c r="B173" s="122" t="s">
        <v>2385</v>
      </c>
      <c r="C173" s="122" t="s">
        <v>2397</v>
      </c>
      <c r="D173" s="122" t="s">
        <v>2287</v>
      </c>
      <c r="E173" s="124">
        <v>42763</v>
      </c>
      <c r="F173" s="125">
        <v>0.52083333333333337</v>
      </c>
      <c r="G173" s="124">
        <v>42814</v>
      </c>
      <c r="H173" s="125">
        <v>0.65277777777777779</v>
      </c>
      <c r="I173" s="123">
        <v>784</v>
      </c>
      <c r="J173" s="123">
        <v>656</v>
      </c>
      <c r="K173" s="142" t="str">
        <f t="shared" si="18"/>
        <v>G656</v>
      </c>
      <c r="L173" s="123">
        <v>558</v>
      </c>
      <c r="M173" s="142" t="str">
        <f t="shared" si="19"/>
        <v>R558</v>
      </c>
      <c r="N173" s="123">
        <v>504</v>
      </c>
      <c r="O173" s="142" t="str">
        <f t="shared" si="20"/>
        <v>G504</v>
      </c>
      <c r="P173" s="123">
        <v>451</v>
      </c>
      <c r="Q173" s="142" t="str">
        <f t="shared" si="21"/>
        <v>R451</v>
      </c>
      <c r="R173" s="123">
        <v>28.9</v>
      </c>
      <c r="S173" s="123">
        <v>15.1</v>
      </c>
      <c r="T173" s="123">
        <v>39.4</v>
      </c>
      <c r="U173" s="123">
        <v>5.9</v>
      </c>
      <c r="V173" s="123" t="s">
        <v>2187</v>
      </c>
      <c r="W173" s="126"/>
      <c r="X173" s="126"/>
      <c r="Y173" s="126"/>
      <c r="Z173" s="123">
        <v>7.6</v>
      </c>
      <c r="AA173" s="123" t="s">
        <v>2250</v>
      </c>
      <c r="AB173" s="123">
        <v>13.4</v>
      </c>
      <c r="AC173" s="123">
        <v>1</v>
      </c>
      <c r="AD173" s="123"/>
      <c r="AH173" s="123">
        <f t="shared" si="16"/>
        <v>656</v>
      </c>
      <c r="AI173" t="b">
        <f t="shared" si="22"/>
        <v>0</v>
      </c>
      <c r="AJ173" s="123">
        <f t="shared" si="17"/>
        <v>558</v>
      </c>
      <c r="AK173" t="b">
        <f t="shared" si="23"/>
        <v>0</v>
      </c>
    </row>
    <row r="174" spans="1:37">
      <c r="A174" s="121">
        <v>172</v>
      </c>
      <c r="B174" s="122" t="s">
        <v>2385</v>
      </c>
      <c r="C174" s="122" t="s">
        <v>2398</v>
      </c>
      <c r="D174" s="122" t="s">
        <v>2287</v>
      </c>
      <c r="E174" s="124">
        <v>42763</v>
      </c>
      <c r="F174" s="125">
        <v>0.53125</v>
      </c>
      <c r="G174" s="124">
        <v>42814</v>
      </c>
      <c r="H174" s="125">
        <v>0.65972222222222221</v>
      </c>
      <c r="I174" s="123">
        <v>789</v>
      </c>
      <c r="J174" s="123">
        <v>281</v>
      </c>
      <c r="K174" s="142" t="str">
        <f t="shared" si="18"/>
        <v>G281</v>
      </c>
      <c r="L174" s="123">
        <v>157</v>
      </c>
      <c r="M174" s="142" t="str">
        <f t="shared" si="19"/>
        <v>R157</v>
      </c>
      <c r="N174" s="123">
        <v>439</v>
      </c>
      <c r="O174" s="142" t="str">
        <f t="shared" si="20"/>
        <v>G439</v>
      </c>
      <c r="P174" s="123">
        <v>353</v>
      </c>
      <c r="Q174" s="142" t="str">
        <f t="shared" si="21"/>
        <v>R353</v>
      </c>
      <c r="R174" s="123">
        <v>29.8</v>
      </c>
      <c r="S174" s="123">
        <v>14.2</v>
      </c>
      <c r="T174" s="123">
        <v>40.4</v>
      </c>
      <c r="U174" s="123">
        <v>5.0999999999999996</v>
      </c>
      <c r="V174" s="123" t="s">
        <v>2187</v>
      </c>
      <c r="W174" s="126" t="s">
        <v>2187</v>
      </c>
      <c r="X174" s="126"/>
      <c r="Y174" s="126"/>
      <c r="Z174" s="123">
        <v>28.4</v>
      </c>
      <c r="AA174" s="123" t="s">
        <v>2228</v>
      </c>
      <c r="AB174" s="123">
        <v>3.3</v>
      </c>
      <c r="AC174" s="123">
        <v>1</v>
      </c>
      <c r="AD174" s="123"/>
      <c r="AH174" s="123">
        <f t="shared" si="16"/>
        <v>281</v>
      </c>
      <c r="AI174" t="b">
        <f t="shared" si="22"/>
        <v>0</v>
      </c>
      <c r="AJ174" s="123">
        <f t="shared" si="17"/>
        <v>157</v>
      </c>
      <c r="AK174" t="b">
        <f t="shared" si="23"/>
        <v>0</v>
      </c>
    </row>
    <row r="175" spans="1:37">
      <c r="A175" s="121">
        <v>173</v>
      </c>
      <c r="B175" s="122" t="s">
        <v>2385</v>
      </c>
      <c r="C175" s="122" t="s">
        <v>2399</v>
      </c>
      <c r="D175" s="122" t="s">
        <v>2287</v>
      </c>
      <c r="E175" s="124">
        <v>42763</v>
      </c>
      <c r="F175" s="125">
        <v>0.54166666666666663</v>
      </c>
      <c r="G175" s="124">
        <v>42814</v>
      </c>
      <c r="H175" s="125">
        <v>0.66666666666666663</v>
      </c>
      <c r="I175" s="123">
        <v>790</v>
      </c>
      <c r="J175" s="123">
        <v>216</v>
      </c>
      <c r="K175" s="142" t="str">
        <f t="shared" si="18"/>
        <v>G216</v>
      </c>
      <c r="L175" s="123">
        <v>57</v>
      </c>
      <c r="M175" s="142" t="str">
        <f t="shared" si="19"/>
        <v>R57</v>
      </c>
      <c r="N175" s="123">
        <v>865</v>
      </c>
      <c r="O175" s="142" t="str">
        <f t="shared" si="20"/>
        <v>G865</v>
      </c>
      <c r="P175" s="123">
        <v>105</v>
      </c>
      <c r="Q175" s="142" t="str">
        <f t="shared" si="21"/>
        <v>R105</v>
      </c>
      <c r="R175" s="123">
        <v>30.9</v>
      </c>
      <c r="S175" s="123">
        <v>17.600000000000001</v>
      </c>
      <c r="T175" s="123">
        <v>41.8</v>
      </c>
      <c r="U175" s="123">
        <v>3.3</v>
      </c>
      <c r="V175" s="123" t="s">
        <v>2187</v>
      </c>
      <c r="W175" s="126" t="s">
        <v>2195</v>
      </c>
      <c r="X175" s="126"/>
      <c r="Y175" s="126"/>
      <c r="Z175" s="123">
        <v>12.4</v>
      </c>
      <c r="AA175" s="123" t="s">
        <v>2250</v>
      </c>
      <c r="AB175" s="123">
        <v>15.4</v>
      </c>
      <c r="AC175" s="123">
        <v>0</v>
      </c>
      <c r="AD175" s="123" t="s">
        <v>3157</v>
      </c>
      <c r="AH175" s="123">
        <f t="shared" si="16"/>
        <v>216</v>
      </c>
      <c r="AI175" t="b">
        <f t="shared" si="22"/>
        <v>0</v>
      </c>
      <c r="AJ175" s="123">
        <f t="shared" si="17"/>
        <v>57</v>
      </c>
      <c r="AK175" t="b">
        <f t="shared" si="23"/>
        <v>0</v>
      </c>
    </row>
    <row r="176" spans="1:37">
      <c r="A176" s="121">
        <v>174</v>
      </c>
      <c r="B176" s="122" t="s">
        <v>2385</v>
      </c>
      <c r="C176" s="122" t="s">
        <v>2400</v>
      </c>
      <c r="D176" s="122" t="s">
        <v>2287</v>
      </c>
      <c r="E176" s="124">
        <v>42763</v>
      </c>
      <c r="F176" s="125">
        <v>0.54166666666666663</v>
      </c>
      <c r="G176" s="124">
        <v>42814</v>
      </c>
      <c r="H176" s="125">
        <v>0.67361111111111116</v>
      </c>
      <c r="I176" s="123">
        <v>791</v>
      </c>
      <c r="J176" s="123">
        <v>655</v>
      </c>
      <c r="K176" s="142" t="str">
        <f t="shared" si="18"/>
        <v>G655</v>
      </c>
      <c r="L176" s="123">
        <v>307</v>
      </c>
      <c r="M176" s="142" t="str">
        <f t="shared" si="19"/>
        <v>R307</v>
      </c>
      <c r="N176" s="123">
        <v>736</v>
      </c>
      <c r="O176" s="142" t="str">
        <f t="shared" si="20"/>
        <v>G736</v>
      </c>
      <c r="P176" s="123">
        <v>384</v>
      </c>
      <c r="Q176" s="142" t="str">
        <f t="shared" si="21"/>
        <v>R384</v>
      </c>
      <c r="R176" s="123">
        <v>30.8</v>
      </c>
      <c r="S176" s="123">
        <v>22</v>
      </c>
      <c r="T176" s="123">
        <v>38.9</v>
      </c>
      <c r="U176" s="123">
        <v>13.5</v>
      </c>
      <c r="V176" s="123" t="s">
        <v>2187</v>
      </c>
      <c r="W176" s="126" t="s">
        <v>2187</v>
      </c>
      <c r="X176" s="126"/>
      <c r="Y176" s="126"/>
      <c r="Z176" s="123">
        <v>7.4</v>
      </c>
      <c r="AA176" s="123" t="s">
        <v>2250</v>
      </c>
      <c r="AB176" s="123">
        <v>7.4</v>
      </c>
      <c r="AC176" s="123">
        <v>0</v>
      </c>
      <c r="AD176" s="123"/>
      <c r="AH176" s="123">
        <f t="shared" si="16"/>
        <v>655</v>
      </c>
      <c r="AI176" t="b">
        <f t="shared" si="22"/>
        <v>0</v>
      </c>
      <c r="AJ176" s="123">
        <f t="shared" si="17"/>
        <v>307</v>
      </c>
      <c r="AK176" t="b">
        <f t="shared" si="23"/>
        <v>0</v>
      </c>
    </row>
    <row r="177" spans="1:37">
      <c r="A177" s="121">
        <v>175</v>
      </c>
      <c r="B177" s="122" t="s">
        <v>2385</v>
      </c>
      <c r="C177" s="122" t="s">
        <v>2401</v>
      </c>
      <c r="D177" s="122" t="s">
        <v>2287</v>
      </c>
      <c r="E177" s="124">
        <v>42763</v>
      </c>
      <c r="F177" s="125">
        <v>0.54166666666666663</v>
      </c>
      <c r="G177" s="124">
        <v>42814</v>
      </c>
      <c r="H177" s="125">
        <v>0.67708333333333337</v>
      </c>
      <c r="I177" s="123">
        <v>792</v>
      </c>
      <c r="J177" s="123">
        <v>457</v>
      </c>
      <c r="K177" s="142" t="str">
        <f t="shared" si="18"/>
        <v>G457</v>
      </c>
      <c r="L177" s="123">
        <v>458</v>
      </c>
      <c r="M177" s="142" t="str">
        <f t="shared" si="19"/>
        <v>R458</v>
      </c>
      <c r="N177" s="123">
        <v>792</v>
      </c>
      <c r="O177" s="142" t="str">
        <f t="shared" si="20"/>
        <v>G792</v>
      </c>
      <c r="P177" s="123">
        <v>481</v>
      </c>
      <c r="Q177" s="142" t="str">
        <f t="shared" si="21"/>
        <v>R481</v>
      </c>
      <c r="R177" s="123">
        <v>31.1</v>
      </c>
      <c r="S177" s="123">
        <v>17.8</v>
      </c>
      <c r="T177" s="123">
        <v>41.4</v>
      </c>
      <c r="U177" s="123">
        <v>5.3</v>
      </c>
      <c r="V177" s="123"/>
      <c r="W177" s="126" t="s">
        <v>2195</v>
      </c>
      <c r="X177" s="126"/>
      <c r="Y177" s="126"/>
      <c r="Z177" s="123">
        <v>9.8000000000000007</v>
      </c>
      <c r="AA177" s="123" t="s">
        <v>2250</v>
      </c>
      <c r="AB177" s="123">
        <v>15.4</v>
      </c>
      <c r="AC177" s="123">
        <v>1</v>
      </c>
      <c r="AD177" s="123"/>
      <c r="AH177" s="123">
        <f t="shared" si="16"/>
        <v>457</v>
      </c>
      <c r="AI177" t="b">
        <f t="shared" si="22"/>
        <v>0</v>
      </c>
      <c r="AJ177" s="123">
        <f t="shared" si="17"/>
        <v>458</v>
      </c>
      <c r="AK177" t="b">
        <f t="shared" si="23"/>
        <v>0</v>
      </c>
    </row>
    <row r="178" spans="1:37">
      <c r="A178" s="121">
        <v>176</v>
      </c>
      <c r="B178" s="122" t="s">
        <v>2385</v>
      </c>
      <c r="C178" s="122" t="s">
        <v>2402</v>
      </c>
      <c r="D178" s="122" t="s">
        <v>2287</v>
      </c>
      <c r="E178" s="124">
        <v>42763</v>
      </c>
      <c r="F178" s="125">
        <v>0.54513888888888895</v>
      </c>
      <c r="G178" s="124">
        <v>42814</v>
      </c>
      <c r="H178" s="125">
        <v>0.68402777777777779</v>
      </c>
      <c r="I178" s="123">
        <v>793</v>
      </c>
      <c r="J178" s="123">
        <v>454</v>
      </c>
      <c r="K178" s="142" t="str">
        <f t="shared" si="18"/>
        <v>G454</v>
      </c>
      <c r="L178" s="123">
        <v>326</v>
      </c>
      <c r="M178" s="142" t="str">
        <f t="shared" si="19"/>
        <v>R326</v>
      </c>
      <c r="N178" s="123">
        <v>470</v>
      </c>
      <c r="O178" s="142" t="str">
        <f t="shared" si="20"/>
        <v>G470</v>
      </c>
      <c r="P178" s="123">
        <v>490</v>
      </c>
      <c r="Q178" s="142" t="str">
        <f t="shared" si="21"/>
        <v>R490</v>
      </c>
      <c r="R178" s="123">
        <v>29.9</v>
      </c>
      <c r="S178" s="123">
        <v>16.5</v>
      </c>
      <c r="T178" s="123">
        <v>38.4</v>
      </c>
      <c r="U178" s="123">
        <v>6.3</v>
      </c>
      <c r="V178" s="123"/>
      <c r="W178" s="126"/>
      <c r="X178" s="126"/>
      <c r="Y178" s="126"/>
      <c r="Z178" s="123">
        <v>6.9</v>
      </c>
      <c r="AA178" s="123" t="s">
        <v>2250</v>
      </c>
      <c r="AB178" s="123">
        <v>6.8</v>
      </c>
      <c r="AC178" s="123">
        <v>0</v>
      </c>
      <c r="AD178" s="123"/>
      <c r="AH178" s="123">
        <f t="shared" si="16"/>
        <v>454</v>
      </c>
      <c r="AI178" t="b">
        <f t="shared" si="22"/>
        <v>0</v>
      </c>
      <c r="AJ178" s="123">
        <f t="shared" si="17"/>
        <v>326</v>
      </c>
      <c r="AK178" t="b">
        <f t="shared" si="23"/>
        <v>0</v>
      </c>
    </row>
    <row r="179" spans="1:37">
      <c r="A179" s="121">
        <v>177</v>
      </c>
      <c r="B179" s="122" t="s">
        <v>2385</v>
      </c>
      <c r="C179" s="122" t="s">
        <v>2403</v>
      </c>
      <c r="D179" s="122" t="s">
        <v>2296</v>
      </c>
      <c r="E179" s="124">
        <v>42763</v>
      </c>
      <c r="F179" s="125">
        <v>0.57986111111111105</v>
      </c>
      <c r="G179" s="124">
        <v>42815</v>
      </c>
      <c r="H179" s="125">
        <v>0.45833333333333331</v>
      </c>
      <c r="I179" s="123">
        <v>794</v>
      </c>
      <c r="J179" s="123">
        <v>362</v>
      </c>
      <c r="K179" s="142" t="str">
        <f t="shared" si="18"/>
        <v>G362</v>
      </c>
      <c r="L179" s="123">
        <v>262</v>
      </c>
      <c r="M179" s="142" t="str">
        <f t="shared" si="19"/>
        <v>R262</v>
      </c>
      <c r="N179" s="123">
        <v>483</v>
      </c>
      <c r="O179" s="142" t="str">
        <f t="shared" si="20"/>
        <v>G483</v>
      </c>
      <c r="P179" s="123">
        <v>470</v>
      </c>
      <c r="Q179" s="142" t="str">
        <f t="shared" si="21"/>
        <v>R470</v>
      </c>
      <c r="R179" s="123">
        <v>31.8</v>
      </c>
      <c r="S179" s="123">
        <v>25.1</v>
      </c>
      <c r="T179" s="123">
        <v>32.4</v>
      </c>
      <c r="U179" s="123">
        <v>13.3</v>
      </c>
      <c r="V179" s="123"/>
      <c r="W179" s="126" t="s">
        <v>2234</v>
      </c>
      <c r="X179" s="126"/>
      <c r="Y179" s="126"/>
      <c r="Z179" s="123">
        <v>25.8</v>
      </c>
      <c r="AA179" s="123" t="s">
        <v>2250</v>
      </c>
      <c r="AB179" s="123">
        <v>17.8</v>
      </c>
      <c r="AC179" s="123">
        <v>0</v>
      </c>
      <c r="AD179" s="123"/>
      <c r="AH179" s="123">
        <f t="shared" si="16"/>
        <v>362</v>
      </c>
      <c r="AI179" t="b">
        <f t="shared" si="22"/>
        <v>0</v>
      </c>
      <c r="AJ179" s="123">
        <f t="shared" si="17"/>
        <v>262</v>
      </c>
      <c r="AK179" t="b">
        <f t="shared" si="23"/>
        <v>0</v>
      </c>
    </row>
    <row r="180" spans="1:37">
      <c r="A180" s="121">
        <v>178</v>
      </c>
      <c r="B180" s="122" t="s">
        <v>2385</v>
      </c>
      <c r="C180" s="122" t="s">
        <v>2404</v>
      </c>
      <c r="D180" s="122" t="s">
        <v>2296</v>
      </c>
      <c r="E180" s="124">
        <v>42763</v>
      </c>
      <c r="F180" s="125">
        <v>0.59027777777777779</v>
      </c>
      <c r="G180" s="124">
        <v>42815</v>
      </c>
      <c r="H180" s="125">
        <v>0.46527777777777773</v>
      </c>
      <c r="I180" s="123">
        <v>795</v>
      </c>
      <c r="J180" s="129">
        <v>781</v>
      </c>
      <c r="K180" s="142" t="str">
        <f t="shared" si="18"/>
        <v>G781</v>
      </c>
      <c r="L180" s="123">
        <v>309</v>
      </c>
      <c r="M180" s="142" t="str">
        <f t="shared" si="19"/>
        <v>R309</v>
      </c>
      <c r="N180" s="123">
        <v>893</v>
      </c>
      <c r="O180" s="142" t="str">
        <f t="shared" si="20"/>
        <v>G893</v>
      </c>
      <c r="P180" s="123">
        <v>488</v>
      </c>
      <c r="Q180" s="142" t="str">
        <f t="shared" si="21"/>
        <v>R488</v>
      </c>
      <c r="R180" s="123">
        <v>31.1</v>
      </c>
      <c r="S180" s="123">
        <v>26.2</v>
      </c>
      <c r="T180" s="123">
        <v>34.799999999999997</v>
      </c>
      <c r="U180" s="123">
        <v>8.1</v>
      </c>
      <c r="V180" s="123" t="s">
        <v>2195</v>
      </c>
      <c r="W180" s="126"/>
      <c r="X180" s="126" t="s">
        <v>2187</v>
      </c>
      <c r="Y180" s="126"/>
      <c r="Z180" s="123">
        <v>18.8</v>
      </c>
      <c r="AA180" s="123" t="s">
        <v>2250</v>
      </c>
      <c r="AB180" s="123">
        <v>15.4</v>
      </c>
      <c r="AC180" s="123">
        <v>1</v>
      </c>
      <c r="AD180" s="123"/>
      <c r="AH180" s="129">
        <f t="shared" si="16"/>
        <v>781</v>
      </c>
      <c r="AI180" t="b">
        <f t="shared" si="22"/>
        <v>0</v>
      </c>
      <c r="AJ180" s="123">
        <f t="shared" si="17"/>
        <v>309</v>
      </c>
      <c r="AK180" t="b">
        <f t="shared" si="23"/>
        <v>0</v>
      </c>
    </row>
    <row r="181" spans="1:37">
      <c r="A181" s="121">
        <v>179</v>
      </c>
      <c r="B181" s="122" t="s">
        <v>2385</v>
      </c>
      <c r="C181" s="122" t="s">
        <v>2405</v>
      </c>
      <c r="D181" s="122" t="s">
        <v>2296</v>
      </c>
      <c r="E181" s="124">
        <v>42763</v>
      </c>
      <c r="F181" s="125">
        <v>0.59027777777777779</v>
      </c>
      <c r="G181" s="124">
        <v>42815</v>
      </c>
      <c r="H181" s="125">
        <v>0.46875</v>
      </c>
      <c r="I181" s="123">
        <v>796</v>
      </c>
      <c r="J181" s="123">
        <v>451</v>
      </c>
      <c r="K181" s="142" t="str">
        <f t="shared" si="18"/>
        <v>G451</v>
      </c>
      <c r="L181" s="123">
        <v>32</v>
      </c>
      <c r="M181" s="142" t="str">
        <f t="shared" si="19"/>
        <v>R32</v>
      </c>
      <c r="N181" s="123">
        <v>826</v>
      </c>
      <c r="O181" s="142" t="str">
        <f t="shared" si="20"/>
        <v>G826</v>
      </c>
      <c r="P181" s="123">
        <v>273</v>
      </c>
      <c r="Q181" s="142" t="str">
        <f t="shared" si="21"/>
        <v>R273</v>
      </c>
      <c r="R181" s="123">
        <v>31.1</v>
      </c>
      <c r="S181" s="123">
        <v>22.5</v>
      </c>
      <c r="T181" s="123">
        <v>33.200000000000003</v>
      </c>
      <c r="U181" s="123">
        <v>7.1</v>
      </c>
      <c r="V181" s="123" t="s">
        <v>2187</v>
      </c>
      <c r="W181" s="126" t="s">
        <v>2187</v>
      </c>
      <c r="X181" s="126"/>
      <c r="Y181" s="126"/>
      <c r="Z181" s="123">
        <v>15.4</v>
      </c>
      <c r="AA181" s="123" t="s">
        <v>2250</v>
      </c>
      <c r="AB181" s="123">
        <v>11.8</v>
      </c>
      <c r="AC181" s="123">
        <v>1</v>
      </c>
      <c r="AD181" s="123"/>
      <c r="AH181" s="123">
        <f t="shared" si="16"/>
        <v>451</v>
      </c>
      <c r="AI181" t="b">
        <f t="shared" si="22"/>
        <v>0</v>
      </c>
      <c r="AJ181" s="123">
        <f t="shared" si="17"/>
        <v>32</v>
      </c>
      <c r="AK181" t="b">
        <f t="shared" si="23"/>
        <v>0</v>
      </c>
    </row>
    <row r="182" spans="1:37">
      <c r="A182" s="121">
        <v>180</v>
      </c>
      <c r="B182" s="122" t="s">
        <v>2385</v>
      </c>
      <c r="C182" s="122" t="s">
        <v>2406</v>
      </c>
      <c r="D182" s="122" t="s">
        <v>2296</v>
      </c>
      <c r="E182" s="124">
        <v>42763</v>
      </c>
      <c r="F182" s="125">
        <v>0.59375</v>
      </c>
      <c r="G182" s="124">
        <v>42815</v>
      </c>
      <c r="H182" s="125">
        <v>0.47916666666666669</v>
      </c>
      <c r="I182" s="123">
        <v>797</v>
      </c>
      <c r="J182" s="123">
        <v>360</v>
      </c>
      <c r="K182" s="142" t="str">
        <f t="shared" si="18"/>
        <v>G360</v>
      </c>
      <c r="L182" s="123">
        <v>268</v>
      </c>
      <c r="M182" s="142" t="str">
        <f t="shared" si="19"/>
        <v>R268</v>
      </c>
      <c r="N182" s="123">
        <v>783</v>
      </c>
      <c r="O182" s="142" t="str">
        <f t="shared" si="20"/>
        <v>G783</v>
      </c>
      <c r="P182" s="123">
        <v>301</v>
      </c>
      <c r="Q182" s="142" t="str">
        <f t="shared" si="21"/>
        <v>R301</v>
      </c>
      <c r="R182" s="123">
        <v>31.3</v>
      </c>
      <c r="S182" s="123">
        <v>20.399999999999999</v>
      </c>
      <c r="T182" s="123">
        <v>33.6</v>
      </c>
      <c r="U182" s="123">
        <v>5.3</v>
      </c>
      <c r="V182" s="123"/>
      <c r="W182" s="126"/>
      <c r="X182" s="126"/>
      <c r="Y182" s="126" t="s">
        <v>2187</v>
      </c>
      <c r="Z182" s="123">
        <v>35</v>
      </c>
      <c r="AA182" s="123" t="s">
        <v>2250</v>
      </c>
      <c r="AB182" s="123">
        <v>8.3000000000000007</v>
      </c>
      <c r="AC182" s="123">
        <v>0</v>
      </c>
      <c r="AD182" s="123"/>
      <c r="AH182" s="123">
        <f t="shared" si="16"/>
        <v>360</v>
      </c>
      <c r="AI182" t="b">
        <f t="shared" si="22"/>
        <v>0</v>
      </c>
      <c r="AJ182" s="123">
        <f t="shared" si="17"/>
        <v>268</v>
      </c>
      <c r="AK182" t="b">
        <f t="shared" si="23"/>
        <v>0</v>
      </c>
    </row>
    <row r="183" spans="1:37">
      <c r="A183" s="121">
        <v>181</v>
      </c>
      <c r="B183" s="122" t="s">
        <v>2385</v>
      </c>
      <c r="C183" s="122" t="s">
        <v>2407</v>
      </c>
      <c r="D183" s="122" t="s">
        <v>2296</v>
      </c>
      <c r="E183" s="124">
        <v>42763</v>
      </c>
      <c r="F183" s="125">
        <v>0.59722222222222221</v>
      </c>
      <c r="G183" s="124">
        <v>42815</v>
      </c>
      <c r="H183" s="125">
        <v>0.4826388888888889</v>
      </c>
      <c r="I183" s="123">
        <v>798</v>
      </c>
      <c r="J183" s="123">
        <v>458</v>
      </c>
      <c r="K183" s="142" t="str">
        <f t="shared" si="18"/>
        <v>G458</v>
      </c>
      <c r="L183" s="123">
        <v>587</v>
      </c>
      <c r="M183" s="142" t="str">
        <f t="shared" si="19"/>
        <v>R587</v>
      </c>
      <c r="N183" s="123">
        <v>551</v>
      </c>
      <c r="O183" s="142" t="str">
        <f t="shared" si="20"/>
        <v>G551</v>
      </c>
      <c r="P183" s="123">
        <v>291</v>
      </c>
      <c r="Q183" s="142" t="str">
        <f t="shared" si="21"/>
        <v>R291</v>
      </c>
      <c r="R183" s="123">
        <v>32.200000000000003</v>
      </c>
      <c r="S183" s="123">
        <v>19.8</v>
      </c>
      <c r="T183" s="123">
        <v>33.1</v>
      </c>
      <c r="U183" s="123">
        <v>7.7</v>
      </c>
      <c r="V183" s="123"/>
      <c r="W183" s="126"/>
      <c r="X183" s="126"/>
      <c r="Y183" s="126"/>
      <c r="Z183" s="123">
        <v>15.8</v>
      </c>
      <c r="AA183" s="123" t="s">
        <v>2250</v>
      </c>
      <c r="AB183" s="123">
        <v>11.4</v>
      </c>
      <c r="AC183" s="123">
        <v>1</v>
      </c>
      <c r="AD183" s="123"/>
      <c r="AH183" s="123">
        <f t="shared" si="16"/>
        <v>458</v>
      </c>
      <c r="AI183" t="b">
        <f t="shared" si="22"/>
        <v>0</v>
      </c>
      <c r="AJ183" s="123">
        <f t="shared" si="17"/>
        <v>587</v>
      </c>
      <c r="AK183" t="b">
        <f t="shared" si="23"/>
        <v>0</v>
      </c>
    </row>
    <row r="184" spans="1:37">
      <c r="A184" s="121">
        <v>182</v>
      </c>
      <c r="B184" s="122" t="s">
        <v>2385</v>
      </c>
      <c r="C184" s="122" t="s">
        <v>2408</v>
      </c>
      <c r="D184" s="122" t="s">
        <v>2296</v>
      </c>
      <c r="E184" s="124">
        <v>42763</v>
      </c>
      <c r="F184" s="125">
        <v>0.60069444444444442</v>
      </c>
      <c r="G184" s="124">
        <v>42815</v>
      </c>
      <c r="H184" s="125">
        <v>0.4861111111111111</v>
      </c>
      <c r="I184" s="123">
        <v>799</v>
      </c>
      <c r="J184" s="123">
        <v>403</v>
      </c>
      <c r="K184" s="142" t="str">
        <f t="shared" si="18"/>
        <v>G403</v>
      </c>
      <c r="L184" s="123">
        <v>444</v>
      </c>
      <c r="M184" s="142" t="str">
        <f t="shared" si="19"/>
        <v>R444</v>
      </c>
      <c r="N184" s="123">
        <v>818</v>
      </c>
      <c r="O184" s="142" t="str">
        <f t="shared" si="20"/>
        <v>G818</v>
      </c>
      <c r="P184" s="123">
        <v>537</v>
      </c>
      <c r="Q184" s="142" t="str">
        <f t="shared" si="21"/>
        <v>R537</v>
      </c>
      <c r="R184" s="123">
        <v>33.4</v>
      </c>
      <c r="S184" s="123">
        <v>16</v>
      </c>
      <c r="T184" s="123">
        <v>33.200000000000003</v>
      </c>
      <c r="U184" s="123">
        <v>7.1</v>
      </c>
      <c r="V184" s="123" t="s">
        <v>2206</v>
      </c>
      <c r="W184" s="126"/>
      <c r="X184" s="126"/>
      <c r="Y184" s="126"/>
      <c r="Z184" s="123">
        <v>15.8</v>
      </c>
      <c r="AA184" s="123" t="s">
        <v>2250</v>
      </c>
      <c r="AB184" s="123">
        <v>8.8000000000000007</v>
      </c>
      <c r="AC184" s="123">
        <v>1</v>
      </c>
      <c r="AD184" s="123"/>
      <c r="AH184" s="123">
        <f t="shared" si="16"/>
        <v>403</v>
      </c>
      <c r="AI184" t="b">
        <f t="shared" si="22"/>
        <v>0</v>
      </c>
      <c r="AJ184" s="123">
        <f t="shared" si="17"/>
        <v>444</v>
      </c>
      <c r="AK184" t="b">
        <f t="shared" si="23"/>
        <v>0</v>
      </c>
    </row>
    <row r="185" spans="1:37">
      <c r="A185" s="121">
        <v>183</v>
      </c>
      <c r="B185" s="122" t="s">
        <v>2385</v>
      </c>
      <c r="C185" s="122" t="s">
        <v>2409</v>
      </c>
      <c r="D185" s="122" t="s">
        <v>2296</v>
      </c>
      <c r="E185" s="124">
        <v>42763</v>
      </c>
      <c r="F185" s="125">
        <v>0.60416666666666663</v>
      </c>
      <c r="G185" s="124">
        <v>42815</v>
      </c>
      <c r="H185" s="125">
        <v>0.49305555555555558</v>
      </c>
      <c r="I185" s="123">
        <v>800</v>
      </c>
      <c r="J185" s="123">
        <v>585</v>
      </c>
      <c r="K185" s="142" t="str">
        <f t="shared" si="18"/>
        <v>G585</v>
      </c>
      <c r="L185" s="123">
        <v>568</v>
      </c>
      <c r="M185" s="142" t="str">
        <f t="shared" si="19"/>
        <v>R568</v>
      </c>
      <c r="N185" s="123">
        <v>896</v>
      </c>
      <c r="O185" s="142" t="str">
        <f t="shared" si="20"/>
        <v>G896</v>
      </c>
      <c r="P185" s="123">
        <v>290</v>
      </c>
      <c r="Q185" s="142" t="str">
        <f t="shared" si="21"/>
        <v>R290</v>
      </c>
      <c r="R185" s="123">
        <v>32.799999999999997</v>
      </c>
      <c r="S185" s="123">
        <v>21.1</v>
      </c>
      <c r="T185" s="123">
        <v>34.200000000000003</v>
      </c>
      <c r="U185" s="123">
        <v>5.7</v>
      </c>
      <c r="V185" s="123" t="s">
        <v>2319</v>
      </c>
      <c r="W185" s="126" t="s">
        <v>2238</v>
      </c>
      <c r="X185" s="126"/>
      <c r="Y185" s="126"/>
      <c r="Z185" s="123">
        <v>35.799999999999997</v>
      </c>
      <c r="AA185" s="123" t="s">
        <v>2228</v>
      </c>
      <c r="AB185" s="123">
        <v>11.4</v>
      </c>
      <c r="AC185" s="123">
        <v>1</v>
      </c>
      <c r="AD185" s="123"/>
      <c r="AH185" s="123">
        <f t="shared" si="16"/>
        <v>585</v>
      </c>
      <c r="AI185" t="b">
        <f t="shared" si="22"/>
        <v>0</v>
      </c>
      <c r="AJ185" s="123">
        <f t="shared" si="17"/>
        <v>568</v>
      </c>
      <c r="AK185" t="b">
        <f t="shared" si="23"/>
        <v>0</v>
      </c>
    </row>
    <row r="186" spans="1:37">
      <c r="A186" s="121">
        <v>184</v>
      </c>
      <c r="B186" s="122" t="s">
        <v>2385</v>
      </c>
      <c r="C186" s="122" t="s">
        <v>2410</v>
      </c>
      <c r="D186" s="122" t="s">
        <v>2296</v>
      </c>
      <c r="E186" s="124">
        <v>42763</v>
      </c>
      <c r="F186" s="125">
        <v>0.61111111111111105</v>
      </c>
      <c r="G186" s="124">
        <v>42815</v>
      </c>
      <c r="H186" s="125">
        <v>0.5</v>
      </c>
      <c r="I186" s="123">
        <v>801</v>
      </c>
      <c r="J186" s="123">
        <v>669</v>
      </c>
      <c r="K186" s="142" t="str">
        <f t="shared" si="18"/>
        <v>G669</v>
      </c>
      <c r="L186" s="129">
        <v>541</v>
      </c>
      <c r="M186" s="142" t="str">
        <f t="shared" si="19"/>
        <v>R541</v>
      </c>
      <c r="N186" s="123">
        <v>337</v>
      </c>
      <c r="O186" s="142" t="str">
        <f t="shared" si="20"/>
        <v>G337</v>
      </c>
      <c r="P186" s="123">
        <v>555</v>
      </c>
      <c r="Q186" s="142" t="str">
        <f t="shared" si="21"/>
        <v>R555</v>
      </c>
      <c r="R186" s="123">
        <v>27.3</v>
      </c>
      <c r="S186" s="123">
        <v>19</v>
      </c>
      <c r="T186" s="123">
        <v>32.6</v>
      </c>
      <c r="U186" s="123">
        <v>7.6</v>
      </c>
      <c r="V186" s="123" t="s">
        <v>2187</v>
      </c>
      <c r="W186" s="126"/>
      <c r="X186" s="126" t="s">
        <v>2179</v>
      </c>
      <c r="Y186" s="126"/>
      <c r="Z186" s="123">
        <v>16.399999999999999</v>
      </c>
      <c r="AA186" s="123" t="s">
        <v>2250</v>
      </c>
      <c r="AB186" s="123">
        <v>3.7</v>
      </c>
      <c r="AC186" s="123">
        <v>0</v>
      </c>
      <c r="AD186" s="123" t="s">
        <v>2411</v>
      </c>
      <c r="AH186" s="123">
        <f t="shared" si="16"/>
        <v>669</v>
      </c>
      <c r="AI186" t="b">
        <f t="shared" si="22"/>
        <v>0</v>
      </c>
      <c r="AJ186" s="129">
        <f t="shared" si="17"/>
        <v>541</v>
      </c>
      <c r="AK186" t="b">
        <f t="shared" si="23"/>
        <v>0</v>
      </c>
    </row>
    <row r="187" spans="1:37">
      <c r="A187" s="121">
        <v>185</v>
      </c>
      <c r="B187" s="122" t="s">
        <v>2385</v>
      </c>
      <c r="C187" s="122" t="s">
        <v>2412</v>
      </c>
      <c r="D187" s="122" t="s">
        <v>2306</v>
      </c>
      <c r="E187" s="124">
        <v>42763</v>
      </c>
      <c r="F187" s="125">
        <v>0.61805555555555558</v>
      </c>
      <c r="G187" s="124">
        <v>42815</v>
      </c>
      <c r="H187" s="125">
        <v>0.55555555555555558</v>
      </c>
      <c r="I187" s="123">
        <v>802</v>
      </c>
      <c r="J187" s="123">
        <v>423</v>
      </c>
      <c r="K187" s="142" t="str">
        <f t="shared" si="18"/>
        <v>G423</v>
      </c>
      <c r="L187" s="123">
        <v>51</v>
      </c>
      <c r="M187" s="142" t="str">
        <f t="shared" si="19"/>
        <v>R51</v>
      </c>
      <c r="N187" s="123">
        <v>564</v>
      </c>
      <c r="O187" s="142" t="str">
        <f t="shared" si="20"/>
        <v>G564</v>
      </c>
      <c r="P187" s="123">
        <v>539</v>
      </c>
      <c r="Q187" s="142" t="str">
        <f t="shared" si="21"/>
        <v>R539</v>
      </c>
      <c r="R187" s="123">
        <v>32.1</v>
      </c>
      <c r="S187" s="123">
        <v>26.1</v>
      </c>
      <c r="T187" s="123">
        <v>38.700000000000003</v>
      </c>
      <c r="U187" s="123">
        <v>9.6</v>
      </c>
      <c r="V187" s="123"/>
      <c r="W187" s="126" t="s">
        <v>2195</v>
      </c>
      <c r="X187" s="126"/>
      <c r="Y187" s="126"/>
      <c r="Z187" s="123">
        <v>29.4</v>
      </c>
      <c r="AA187" s="123" t="s">
        <v>2250</v>
      </c>
      <c r="AB187" s="123">
        <v>9.8000000000000007</v>
      </c>
      <c r="AC187" s="123">
        <v>0</v>
      </c>
      <c r="AD187" s="123"/>
      <c r="AH187" s="123">
        <f t="shared" si="16"/>
        <v>423</v>
      </c>
      <c r="AI187" t="b">
        <f t="shared" si="22"/>
        <v>0</v>
      </c>
      <c r="AJ187" s="123">
        <f t="shared" si="17"/>
        <v>51</v>
      </c>
      <c r="AK187" t="b">
        <f t="shared" si="23"/>
        <v>0</v>
      </c>
    </row>
    <row r="188" spans="1:37">
      <c r="A188" s="121">
        <v>186</v>
      </c>
      <c r="B188" s="122" t="s">
        <v>2385</v>
      </c>
      <c r="C188" s="122" t="s">
        <v>2413</v>
      </c>
      <c r="D188" s="122" t="s">
        <v>2306</v>
      </c>
      <c r="E188" s="124">
        <v>42763</v>
      </c>
      <c r="F188" s="125">
        <v>0.625</v>
      </c>
      <c r="G188" s="124">
        <v>42815</v>
      </c>
      <c r="H188" s="125">
        <v>0.5625</v>
      </c>
      <c r="I188" s="123">
        <v>803</v>
      </c>
      <c r="J188" s="123">
        <v>544</v>
      </c>
      <c r="K188" s="142" t="str">
        <f t="shared" si="18"/>
        <v>G544</v>
      </c>
      <c r="L188" s="123">
        <v>557</v>
      </c>
      <c r="M188" s="142" t="str">
        <f t="shared" si="19"/>
        <v>R557</v>
      </c>
      <c r="N188" s="123">
        <v>608</v>
      </c>
      <c r="O188" s="142" t="str">
        <f t="shared" si="20"/>
        <v>G608</v>
      </c>
      <c r="P188" s="123">
        <v>186</v>
      </c>
      <c r="Q188" s="142" t="str">
        <f t="shared" si="21"/>
        <v>R186</v>
      </c>
      <c r="R188" s="123">
        <v>31.3</v>
      </c>
      <c r="S188" s="123">
        <v>26.8</v>
      </c>
      <c r="T188" s="123">
        <v>36.5</v>
      </c>
      <c r="U188" s="123">
        <v>7</v>
      </c>
      <c r="V188" s="123" t="s">
        <v>2187</v>
      </c>
      <c r="W188" s="126" t="s">
        <v>2179</v>
      </c>
      <c r="X188" s="126"/>
      <c r="Y188" s="126"/>
      <c r="Z188" s="123">
        <v>45.4</v>
      </c>
      <c r="AA188" s="123" t="s">
        <v>2250</v>
      </c>
      <c r="AB188" s="123">
        <v>11.4</v>
      </c>
      <c r="AC188" s="123">
        <v>0</v>
      </c>
      <c r="AD188" s="123"/>
      <c r="AH188" s="123">
        <f t="shared" si="16"/>
        <v>544</v>
      </c>
      <c r="AI188" t="b">
        <f t="shared" si="22"/>
        <v>0</v>
      </c>
      <c r="AJ188" s="123">
        <f t="shared" si="17"/>
        <v>557</v>
      </c>
      <c r="AK188" t="b">
        <f t="shared" si="23"/>
        <v>0</v>
      </c>
    </row>
    <row r="189" spans="1:37">
      <c r="A189" s="121">
        <v>187</v>
      </c>
      <c r="B189" s="122" t="s">
        <v>2385</v>
      </c>
      <c r="C189" s="122" t="s">
        <v>2414</v>
      </c>
      <c r="D189" s="122" t="s">
        <v>2306</v>
      </c>
      <c r="E189" s="124">
        <v>42763</v>
      </c>
      <c r="F189" s="125">
        <v>0.62847222222222221</v>
      </c>
      <c r="G189" s="124">
        <v>42815</v>
      </c>
      <c r="H189" s="125">
        <v>0.56944444444444442</v>
      </c>
      <c r="I189" s="123">
        <v>804</v>
      </c>
      <c r="J189" s="123">
        <v>620</v>
      </c>
      <c r="K189" s="142" t="str">
        <f t="shared" si="18"/>
        <v>G620</v>
      </c>
      <c r="L189" s="123">
        <v>427</v>
      </c>
      <c r="M189" s="142" t="str">
        <f t="shared" si="19"/>
        <v>R427</v>
      </c>
      <c r="N189" s="123">
        <v>365</v>
      </c>
      <c r="O189" s="142" t="str">
        <f t="shared" si="20"/>
        <v>G365</v>
      </c>
      <c r="P189" s="183">
        <v>580</v>
      </c>
      <c r="Q189" s="142" t="str">
        <f t="shared" si="21"/>
        <v>R580</v>
      </c>
      <c r="R189" s="241">
        <v>31.3</v>
      </c>
      <c r="S189" s="241">
        <v>18.2</v>
      </c>
      <c r="T189" s="123">
        <v>34.700000000000003</v>
      </c>
      <c r="U189" s="123">
        <v>10.199999999999999</v>
      </c>
      <c r="V189" s="123"/>
      <c r="W189" s="126"/>
      <c r="X189" s="126"/>
      <c r="Y189" s="126"/>
      <c r="Z189" s="123">
        <v>39.4</v>
      </c>
      <c r="AA189" s="123" t="s">
        <v>2250</v>
      </c>
      <c r="AB189" s="123">
        <v>0.6</v>
      </c>
      <c r="AC189" s="123">
        <v>1</v>
      </c>
      <c r="AD189" s="123"/>
      <c r="AH189" s="123">
        <f t="shared" si="16"/>
        <v>620</v>
      </c>
      <c r="AI189" t="b">
        <f t="shared" si="22"/>
        <v>0</v>
      </c>
      <c r="AJ189" s="123">
        <f t="shared" si="17"/>
        <v>427</v>
      </c>
      <c r="AK189" t="b">
        <f t="shared" si="23"/>
        <v>0</v>
      </c>
    </row>
    <row r="190" spans="1:37">
      <c r="A190" s="121">
        <v>188</v>
      </c>
      <c r="B190" s="122" t="s">
        <v>2385</v>
      </c>
      <c r="C190" s="122" t="s">
        <v>2415</v>
      </c>
      <c r="D190" s="122" t="s">
        <v>2306</v>
      </c>
      <c r="E190" s="124">
        <v>42763</v>
      </c>
      <c r="F190" s="125">
        <v>0.63888888888888895</v>
      </c>
      <c r="G190" s="124">
        <v>42815</v>
      </c>
      <c r="H190" s="125">
        <v>0.57291666666666663</v>
      </c>
      <c r="I190" s="123">
        <v>805</v>
      </c>
      <c r="J190" s="123">
        <v>420</v>
      </c>
      <c r="K190" s="142" t="str">
        <f t="shared" si="18"/>
        <v>G420</v>
      </c>
      <c r="L190" s="123">
        <v>523</v>
      </c>
      <c r="M190" s="142" t="str">
        <f t="shared" si="19"/>
        <v>R523</v>
      </c>
      <c r="N190" s="123">
        <v>375</v>
      </c>
      <c r="O190" s="142" t="str">
        <f t="shared" si="20"/>
        <v>G375</v>
      </c>
      <c r="P190" s="123">
        <v>222</v>
      </c>
      <c r="Q190" s="142" t="str">
        <f t="shared" si="21"/>
        <v>R222</v>
      </c>
      <c r="R190" s="123">
        <v>31.8</v>
      </c>
      <c r="S190" s="123">
        <v>10.6</v>
      </c>
      <c r="T190" s="123">
        <v>36.5</v>
      </c>
      <c r="U190" s="123">
        <v>10.3</v>
      </c>
      <c r="V190" s="123" t="s">
        <v>2179</v>
      </c>
      <c r="W190" s="126" t="s">
        <v>2203</v>
      </c>
      <c r="X190" s="126"/>
      <c r="Y190" s="126"/>
      <c r="Z190" s="123">
        <v>14.4</v>
      </c>
      <c r="AA190" s="123" t="s">
        <v>2250</v>
      </c>
      <c r="AB190" s="123">
        <v>2.2999999999999998</v>
      </c>
      <c r="AC190" s="123">
        <v>0</v>
      </c>
      <c r="AD190" s="123" t="s">
        <v>2416</v>
      </c>
      <c r="AH190" s="123">
        <f t="shared" si="16"/>
        <v>420</v>
      </c>
      <c r="AI190" t="b">
        <f t="shared" si="22"/>
        <v>0</v>
      </c>
      <c r="AJ190" s="123">
        <f t="shared" si="17"/>
        <v>523</v>
      </c>
      <c r="AK190" t="b">
        <f t="shared" si="23"/>
        <v>0</v>
      </c>
    </row>
    <row r="191" spans="1:37">
      <c r="A191" s="121">
        <v>189</v>
      </c>
      <c r="B191" s="122" t="s">
        <v>2385</v>
      </c>
      <c r="C191" s="122" t="s">
        <v>2417</v>
      </c>
      <c r="D191" s="122" t="s">
        <v>2306</v>
      </c>
      <c r="E191" s="124">
        <v>42763</v>
      </c>
      <c r="F191" s="125">
        <v>0.64583333333333337</v>
      </c>
      <c r="G191" s="124">
        <v>42815</v>
      </c>
      <c r="H191" s="125">
        <v>0.57986111111111105</v>
      </c>
      <c r="I191" s="123">
        <v>806</v>
      </c>
      <c r="J191" s="129">
        <v>367</v>
      </c>
      <c r="K191" s="142" t="str">
        <f t="shared" si="18"/>
        <v>G367</v>
      </c>
      <c r="L191" s="123">
        <v>354</v>
      </c>
      <c r="M191" s="142" t="str">
        <f t="shared" si="19"/>
        <v>R354</v>
      </c>
      <c r="N191" s="123">
        <v>537</v>
      </c>
      <c r="O191" s="142" t="str">
        <f t="shared" si="20"/>
        <v>G537</v>
      </c>
      <c r="P191" s="123">
        <v>216</v>
      </c>
      <c r="Q191" s="142" t="str">
        <f t="shared" si="21"/>
        <v>R216</v>
      </c>
      <c r="R191" s="123">
        <v>27.3</v>
      </c>
      <c r="S191" s="123">
        <v>19.7</v>
      </c>
      <c r="T191" s="123">
        <v>33.9</v>
      </c>
      <c r="U191" s="123">
        <v>7.5</v>
      </c>
      <c r="V191" s="123" t="s">
        <v>2234</v>
      </c>
      <c r="W191" s="126" t="s">
        <v>2187</v>
      </c>
      <c r="X191" s="126"/>
      <c r="Y191" s="126" t="s">
        <v>2187</v>
      </c>
      <c r="Z191" s="123">
        <v>7</v>
      </c>
      <c r="AA191" s="123" t="s">
        <v>2250</v>
      </c>
      <c r="AB191" s="123">
        <v>0.6</v>
      </c>
      <c r="AC191" s="123">
        <v>1</v>
      </c>
      <c r="AD191" s="123"/>
      <c r="AH191" s="129">
        <f t="shared" si="16"/>
        <v>367</v>
      </c>
      <c r="AI191" t="b">
        <f t="shared" si="22"/>
        <v>0</v>
      </c>
      <c r="AJ191" s="123">
        <f t="shared" si="17"/>
        <v>354</v>
      </c>
      <c r="AK191" t="b">
        <f t="shared" si="23"/>
        <v>0</v>
      </c>
    </row>
    <row r="192" spans="1:37">
      <c r="A192" s="121">
        <v>190</v>
      </c>
      <c r="B192" s="122" t="s">
        <v>2385</v>
      </c>
      <c r="C192" s="122" t="s">
        <v>2418</v>
      </c>
      <c r="D192" s="122" t="s">
        <v>2306</v>
      </c>
      <c r="E192" s="124">
        <v>42763</v>
      </c>
      <c r="F192" s="125">
        <v>0.64583333333333337</v>
      </c>
      <c r="G192" s="124">
        <v>42815</v>
      </c>
      <c r="H192" s="125">
        <v>0.58680555555555558</v>
      </c>
      <c r="I192" s="123">
        <v>807</v>
      </c>
      <c r="J192" s="123">
        <v>526</v>
      </c>
      <c r="K192" s="142" t="str">
        <f t="shared" si="18"/>
        <v>G526</v>
      </c>
      <c r="L192" s="123">
        <v>164</v>
      </c>
      <c r="M192" s="142" t="str">
        <f t="shared" si="19"/>
        <v>R164</v>
      </c>
      <c r="N192" s="123">
        <v>393</v>
      </c>
      <c r="O192" s="142" t="str">
        <f t="shared" si="20"/>
        <v>G393</v>
      </c>
      <c r="P192" s="123">
        <v>232</v>
      </c>
      <c r="Q192" s="142" t="str">
        <f t="shared" si="21"/>
        <v>R232</v>
      </c>
      <c r="R192" s="123">
        <v>31.4</v>
      </c>
      <c r="S192" s="123">
        <v>15.3</v>
      </c>
      <c r="T192" s="123">
        <v>36.700000000000003</v>
      </c>
      <c r="U192" s="123">
        <v>11.8</v>
      </c>
      <c r="V192" s="123"/>
      <c r="W192" s="126" t="s">
        <v>2195</v>
      </c>
      <c r="X192" s="126"/>
      <c r="Y192" s="126"/>
      <c r="Z192" s="123">
        <v>17.399999999999999</v>
      </c>
      <c r="AA192" s="123" t="s">
        <v>2250</v>
      </c>
      <c r="AB192" s="123">
        <v>9.5</v>
      </c>
      <c r="AC192" s="123">
        <v>0</v>
      </c>
      <c r="AD192" s="123"/>
      <c r="AH192" s="123">
        <f t="shared" si="16"/>
        <v>526</v>
      </c>
      <c r="AI192" t="b">
        <f t="shared" si="22"/>
        <v>0</v>
      </c>
      <c r="AJ192" s="123">
        <f t="shared" si="17"/>
        <v>164</v>
      </c>
      <c r="AK192" t="b">
        <f t="shared" si="23"/>
        <v>0</v>
      </c>
    </row>
    <row r="193" spans="1:37">
      <c r="A193" s="121">
        <v>191</v>
      </c>
      <c r="B193" s="122" t="s">
        <v>2385</v>
      </c>
      <c r="C193" s="122" t="s">
        <v>2419</v>
      </c>
      <c r="D193" s="122" t="s">
        <v>2306</v>
      </c>
      <c r="E193" s="124">
        <v>42763</v>
      </c>
      <c r="F193" s="125">
        <v>0.66319444444444442</v>
      </c>
      <c r="G193" s="124">
        <v>42815</v>
      </c>
      <c r="H193" s="125">
        <v>0.59027777777777779</v>
      </c>
      <c r="I193" s="123">
        <v>808</v>
      </c>
      <c r="J193" s="123">
        <v>522</v>
      </c>
      <c r="K193" s="142" t="str">
        <f t="shared" si="18"/>
        <v>G522</v>
      </c>
      <c r="L193" s="123">
        <v>336</v>
      </c>
      <c r="M193" s="142" t="str">
        <f t="shared" si="19"/>
        <v>R336</v>
      </c>
      <c r="N193" s="123">
        <v>417</v>
      </c>
      <c r="O193" s="142" t="str">
        <f t="shared" si="20"/>
        <v>G417</v>
      </c>
      <c r="P193" s="123">
        <v>387</v>
      </c>
      <c r="Q193" s="142" t="str">
        <f t="shared" si="21"/>
        <v>R387</v>
      </c>
      <c r="R193" s="123">
        <v>31.5</v>
      </c>
      <c r="S193" s="123">
        <v>15.4</v>
      </c>
      <c r="T193" s="123">
        <v>38.5</v>
      </c>
      <c r="U193" s="123">
        <v>9.3000000000000007</v>
      </c>
      <c r="V193" s="123"/>
      <c r="W193" s="126" t="s">
        <v>2195</v>
      </c>
      <c r="X193" s="126"/>
      <c r="Y193" s="126"/>
      <c r="Z193" s="123">
        <v>29.8</v>
      </c>
      <c r="AA193" s="123" t="s">
        <v>2250</v>
      </c>
      <c r="AB193" s="123">
        <v>12.4</v>
      </c>
      <c r="AC193" s="123">
        <v>0</v>
      </c>
      <c r="AD193" s="123"/>
      <c r="AH193" s="123">
        <f t="shared" si="16"/>
        <v>522</v>
      </c>
      <c r="AI193" t="b">
        <f t="shared" si="22"/>
        <v>0</v>
      </c>
      <c r="AJ193" s="123">
        <f t="shared" si="17"/>
        <v>336</v>
      </c>
      <c r="AK193" t="b">
        <f t="shared" si="23"/>
        <v>0</v>
      </c>
    </row>
    <row r="194" spans="1:37">
      <c r="A194" s="121">
        <v>192</v>
      </c>
      <c r="B194" s="122" t="s">
        <v>2385</v>
      </c>
      <c r="C194" s="122" t="s">
        <v>2420</v>
      </c>
      <c r="D194" s="122" t="s">
        <v>2306</v>
      </c>
      <c r="E194" s="124">
        <v>42763</v>
      </c>
      <c r="F194" s="125">
        <v>0.64930555555555558</v>
      </c>
      <c r="G194" s="124">
        <v>42815</v>
      </c>
      <c r="H194" s="125">
        <v>0.59722222222222221</v>
      </c>
      <c r="I194" s="123">
        <v>809</v>
      </c>
      <c r="J194" s="123">
        <v>591</v>
      </c>
      <c r="K194" s="142" t="str">
        <f t="shared" si="18"/>
        <v>G591</v>
      </c>
      <c r="L194" s="123">
        <v>263</v>
      </c>
      <c r="M194" s="142" t="str">
        <f t="shared" si="19"/>
        <v>R263</v>
      </c>
      <c r="N194" s="129">
        <v>297</v>
      </c>
      <c r="O194" s="142" t="str">
        <f t="shared" si="20"/>
        <v>G297</v>
      </c>
      <c r="P194" s="123">
        <v>346</v>
      </c>
      <c r="Q194" s="142" t="str">
        <f t="shared" si="21"/>
        <v>R346</v>
      </c>
      <c r="R194" s="123">
        <v>33.1</v>
      </c>
      <c r="S194" s="123">
        <v>8.6999999999999993</v>
      </c>
      <c r="T194" s="123">
        <v>33.5</v>
      </c>
      <c r="U194" s="123">
        <v>9.8000000000000007</v>
      </c>
      <c r="V194" s="123"/>
      <c r="W194" s="126" t="s">
        <v>2195</v>
      </c>
      <c r="X194" s="126"/>
      <c r="Y194" s="126"/>
      <c r="Z194" s="123">
        <v>37.799999999999997</v>
      </c>
      <c r="AA194" s="123" t="s">
        <v>2250</v>
      </c>
      <c r="AB194" s="123">
        <v>3.6</v>
      </c>
      <c r="AC194" s="123">
        <v>0</v>
      </c>
      <c r="AD194" s="123"/>
      <c r="AH194" s="123">
        <f t="shared" si="16"/>
        <v>591</v>
      </c>
      <c r="AI194" t="b">
        <f t="shared" si="22"/>
        <v>0</v>
      </c>
      <c r="AJ194" s="123">
        <f t="shared" si="17"/>
        <v>263</v>
      </c>
      <c r="AK194" t="b">
        <f t="shared" si="23"/>
        <v>0</v>
      </c>
    </row>
    <row r="195" spans="1:37">
      <c r="A195" s="121">
        <v>193</v>
      </c>
      <c r="B195" s="133" t="s">
        <v>2176</v>
      </c>
      <c r="C195" s="133" t="s">
        <v>2445</v>
      </c>
      <c r="D195" s="122" t="s">
        <v>2455</v>
      </c>
      <c r="E195" s="124">
        <v>42769</v>
      </c>
      <c r="F195" s="125">
        <v>0.4375</v>
      </c>
      <c r="G195" s="124">
        <v>42813</v>
      </c>
      <c r="H195" s="125">
        <v>0.68055555555555547</v>
      </c>
      <c r="I195" s="123">
        <v>933</v>
      </c>
      <c r="J195" s="123">
        <v>863</v>
      </c>
      <c r="K195" s="142" t="str">
        <f t="shared" si="18"/>
        <v>G863</v>
      </c>
      <c r="L195" s="123">
        <v>125</v>
      </c>
      <c r="M195" s="142" t="str">
        <f t="shared" si="19"/>
        <v>R125</v>
      </c>
      <c r="N195" s="123">
        <v>584</v>
      </c>
      <c r="O195" s="142" t="str">
        <f t="shared" si="20"/>
        <v>G584</v>
      </c>
      <c r="P195" s="123">
        <v>364</v>
      </c>
      <c r="Q195" s="142" t="str">
        <f t="shared" si="21"/>
        <v>R364</v>
      </c>
      <c r="R195" s="123">
        <v>23.9</v>
      </c>
      <c r="S195" s="123">
        <v>28</v>
      </c>
      <c r="T195" s="123">
        <v>34</v>
      </c>
      <c r="U195" s="123">
        <v>16.8</v>
      </c>
      <c r="V195" s="123" t="s">
        <v>2187</v>
      </c>
      <c r="W195" s="126"/>
      <c r="X195" s="126" t="s">
        <v>2187</v>
      </c>
      <c r="Y195" s="126"/>
      <c r="Z195" s="123">
        <v>12.2</v>
      </c>
      <c r="AA195" s="123" t="s">
        <v>2250</v>
      </c>
      <c r="AB195" s="123">
        <v>15.2</v>
      </c>
      <c r="AC195" s="123">
        <v>1</v>
      </c>
      <c r="AD195" s="123"/>
      <c r="AH195" s="123">
        <f t="shared" ref="AH195:AH222" si="24">J195</f>
        <v>863</v>
      </c>
      <c r="AI195" t="b">
        <f t="shared" si="22"/>
        <v>0</v>
      </c>
      <c r="AJ195" s="123">
        <f t="shared" ref="AJ195:AJ222" si="25">L195</f>
        <v>125</v>
      </c>
      <c r="AK195" t="b">
        <f t="shared" si="23"/>
        <v>0</v>
      </c>
    </row>
    <row r="196" spans="1:37">
      <c r="A196" s="121">
        <v>194</v>
      </c>
      <c r="B196" s="133" t="s">
        <v>2176</v>
      </c>
      <c r="C196" s="133" t="s">
        <v>2438</v>
      </c>
      <c r="D196" s="133" t="s">
        <v>2454</v>
      </c>
      <c r="E196" s="124">
        <v>42769</v>
      </c>
      <c r="F196" s="125">
        <v>0.41319444444444442</v>
      </c>
      <c r="G196" s="124">
        <v>42813</v>
      </c>
      <c r="H196" s="125">
        <v>0.71875</v>
      </c>
      <c r="I196" s="123">
        <v>929</v>
      </c>
      <c r="J196" s="123">
        <v>615</v>
      </c>
      <c r="K196" s="142" t="str">
        <f t="shared" ref="K196:K222" si="26">_xlfn.TEXTJOIN(,TRUE, "G",J196)</f>
        <v>G615</v>
      </c>
      <c r="L196" s="123">
        <v>289</v>
      </c>
      <c r="M196" s="142" t="str">
        <f t="shared" ref="M196:M222" si="27">_xlfn.TEXTJOIN(,TRUE, "R",L196)</f>
        <v>R289</v>
      </c>
      <c r="N196" s="123">
        <v>713</v>
      </c>
      <c r="O196" s="142" t="str">
        <f t="shared" ref="O196:O222" si="28">_xlfn.TEXTJOIN(,TRUE, "G",N196)</f>
        <v>G713</v>
      </c>
      <c r="P196" s="123">
        <v>167</v>
      </c>
      <c r="Q196" s="142" t="str">
        <f t="shared" ref="Q196:Q222" si="29">_xlfn.TEXTJOIN(,TRUE, "R",P196)</f>
        <v>R167</v>
      </c>
      <c r="R196" s="123">
        <v>23.9</v>
      </c>
      <c r="S196" s="123">
        <v>25.1</v>
      </c>
      <c r="T196" s="123">
        <v>34.700000000000003</v>
      </c>
      <c r="U196" s="123">
        <v>14.1</v>
      </c>
      <c r="V196" s="123" t="s">
        <v>2187</v>
      </c>
      <c r="W196" s="126" t="s">
        <v>2187</v>
      </c>
      <c r="X196" s="126" t="s">
        <v>2187</v>
      </c>
      <c r="Y196" s="126" t="s">
        <v>2187</v>
      </c>
      <c r="Z196" s="123">
        <v>7.9</v>
      </c>
      <c r="AA196" s="123" t="s">
        <v>2250</v>
      </c>
      <c r="AB196" s="123">
        <v>7.9</v>
      </c>
      <c r="AC196" s="123">
        <v>1</v>
      </c>
      <c r="AD196" s="123"/>
      <c r="AH196" s="123">
        <f t="shared" si="24"/>
        <v>615</v>
      </c>
      <c r="AI196" t="b">
        <f t="shared" ref="AI196:AI259" si="30">COUNTIF($AH$3:$AH$443, AH196)&gt;1</f>
        <v>0</v>
      </c>
      <c r="AJ196" s="123">
        <f t="shared" si="25"/>
        <v>289</v>
      </c>
      <c r="AK196" t="b">
        <f t="shared" ref="AK196:AK259" si="31">COUNTIF($AJ$3:$AJ$443, AJ196)&gt;1</f>
        <v>0</v>
      </c>
    </row>
    <row r="197" spans="1:37">
      <c r="A197" s="121">
        <v>195</v>
      </c>
      <c r="B197" s="133" t="s">
        <v>2176</v>
      </c>
      <c r="C197" s="133" t="s">
        <v>2430</v>
      </c>
      <c r="D197" s="133" t="s">
        <v>2453</v>
      </c>
      <c r="E197" s="124">
        <v>42769</v>
      </c>
      <c r="F197" s="125">
        <v>0.46180555555555558</v>
      </c>
      <c r="G197" s="124">
        <v>42814</v>
      </c>
      <c r="H197" s="125">
        <v>0.42708333333333331</v>
      </c>
      <c r="I197" s="123">
        <v>935</v>
      </c>
      <c r="J197" s="123">
        <v>821</v>
      </c>
      <c r="K197" s="142" t="str">
        <f t="shared" si="26"/>
        <v>G821</v>
      </c>
      <c r="L197" s="123">
        <v>378</v>
      </c>
      <c r="M197" s="142" t="str">
        <f t="shared" si="27"/>
        <v>R378</v>
      </c>
      <c r="N197" s="123">
        <v>525</v>
      </c>
      <c r="O197" s="142" t="str">
        <f t="shared" si="28"/>
        <v>G525</v>
      </c>
      <c r="P197" s="123">
        <v>25</v>
      </c>
      <c r="Q197" s="142" t="str">
        <f t="shared" si="29"/>
        <v>R25</v>
      </c>
      <c r="R197" s="123">
        <v>25.3</v>
      </c>
      <c r="S197" s="123">
        <v>26.7</v>
      </c>
      <c r="T197" s="129">
        <v>23.4</v>
      </c>
      <c r="U197" s="129">
        <v>32.700000000000003</v>
      </c>
      <c r="V197" s="123" t="s">
        <v>2187</v>
      </c>
      <c r="W197" s="126" t="s">
        <v>2234</v>
      </c>
      <c r="X197" s="126" t="s">
        <v>2187</v>
      </c>
      <c r="Y197" s="126"/>
      <c r="Z197" s="123">
        <v>5.13</v>
      </c>
      <c r="AA197" s="123" t="s">
        <v>2250</v>
      </c>
      <c r="AB197" s="123">
        <v>5.13</v>
      </c>
      <c r="AC197" s="123">
        <v>1</v>
      </c>
      <c r="AD197" s="123"/>
      <c r="AH197" s="123">
        <f t="shared" si="24"/>
        <v>821</v>
      </c>
      <c r="AI197" t="b">
        <f t="shared" si="30"/>
        <v>0</v>
      </c>
      <c r="AJ197" s="123">
        <f t="shared" si="25"/>
        <v>378</v>
      </c>
      <c r="AK197" t="b">
        <f t="shared" si="31"/>
        <v>0</v>
      </c>
    </row>
    <row r="198" spans="1:37">
      <c r="A198" s="121">
        <v>196</v>
      </c>
      <c r="B198" s="133" t="s">
        <v>2176</v>
      </c>
      <c r="C198" s="122" t="s">
        <v>2421</v>
      </c>
      <c r="D198" s="133" t="s">
        <v>2452</v>
      </c>
      <c r="E198" s="124">
        <v>42769</v>
      </c>
      <c r="F198" s="125">
        <v>0.44791666666666669</v>
      </c>
      <c r="G198" s="124">
        <v>42814</v>
      </c>
      <c r="H198" s="125">
        <v>0.39583333333333331</v>
      </c>
      <c r="I198" s="123">
        <v>934</v>
      </c>
      <c r="J198" s="123">
        <v>754</v>
      </c>
      <c r="K198" s="142" t="str">
        <f t="shared" si="26"/>
        <v>G754</v>
      </c>
      <c r="L198" s="123">
        <v>375</v>
      </c>
      <c r="M198" s="142" t="str">
        <f t="shared" si="27"/>
        <v>R375</v>
      </c>
      <c r="N198" s="123">
        <v>886</v>
      </c>
      <c r="O198" s="142" t="str">
        <f t="shared" si="28"/>
        <v>G886</v>
      </c>
      <c r="P198" s="123">
        <v>362</v>
      </c>
      <c r="Q198" s="142" t="str">
        <f t="shared" si="29"/>
        <v>R362</v>
      </c>
      <c r="R198" s="123">
        <v>26.9</v>
      </c>
      <c r="S198" s="123">
        <v>20.100000000000001</v>
      </c>
      <c r="T198" s="123">
        <v>23.6</v>
      </c>
      <c r="U198" s="123">
        <v>27.4</v>
      </c>
      <c r="V198" s="123" t="s">
        <v>2187</v>
      </c>
      <c r="W198" s="126"/>
      <c r="X198" s="126"/>
      <c r="Y198" s="126"/>
      <c r="Z198" s="123">
        <v>17.399999999999999</v>
      </c>
      <c r="AA198" s="123" t="s">
        <v>2250</v>
      </c>
      <c r="AB198" s="123">
        <v>13.8</v>
      </c>
      <c r="AC198" s="123">
        <v>1</v>
      </c>
      <c r="AD198" s="123" t="s">
        <v>2422</v>
      </c>
      <c r="AH198" s="123">
        <f t="shared" si="24"/>
        <v>754</v>
      </c>
      <c r="AI198" t="b">
        <f t="shared" si="30"/>
        <v>0</v>
      </c>
      <c r="AJ198" s="123">
        <f t="shared" si="25"/>
        <v>375</v>
      </c>
      <c r="AK198" t="b">
        <f t="shared" si="31"/>
        <v>0</v>
      </c>
    </row>
    <row r="199" spans="1:37">
      <c r="A199" s="121">
        <v>197</v>
      </c>
      <c r="B199" s="133" t="s">
        <v>2176</v>
      </c>
      <c r="C199" s="133" t="s">
        <v>2431</v>
      </c>
      <c r="D199" s="133" t="s">
        <v>2453</v>
      </c>
      <c r="E199" s="124">
        <v>42769</v>
      </c>
      <c r="F199" s="125">
        <v>0.45833333333333331</v>
      </c>
      <c r="G199" s="124">
        <v>42814</v>
      </c>
      <c r="H199" s="125">
        <v>0.42708333333333331</v>
      </c>
      <c r="I199" s="123">
        <v>935</v>
      </c>
      <c r="J199" s="123">
        <v>715</v>
      </c>
      <c r="K199" s="142" t="str">
        <f t="shared" si="26"/>
        <v>G715</v>
      </c>
      <c r="L199" s="123">
        <v>219</v>
      </c>
      <c r="M199" s="142" t="str">
        <f t="shared" si="27"/>
        <v>R219</v>
      </c>
      <c r="N199" s="123">
        <v>388</v>
      </c>
      <c r="O199" s="142" t="str">
        <f t="shared" si="28"/>
        <v>G388</v>
      </c>
      <c r="P199" s="123">
        <v>370</v>
      </c>
      <c r="Q199" s="142" t="str">
        <f t="shared" si="29"/>
        <v>R370</v>
      </c>
      <c r="R199" s="123">
        <v>24.5</v>
      </c>
      <c r="S199" s="123">
        <v>26.6</v>
      </c>
      <c r="T199" s="143">
        <v>24.3</v>
      </c>
      <c r="U199" s="129">
        <v>19.100000000000001</v>
      </c>
      <c r="V199" s="123" t="s">
        <v>2187</v>
      </c>
      <c r="W199" s="126" t="s">
        <v>2230</v>
      </c>
      <c r="X199" s="126" t="s">
        <v>2187</v>
      </c>
      <c r="Y199" s="126" t="s">
        <v>2187</v>
      </c>
      <c r="Z199" s="123">
        <v>5.13</v>
      </c>
      <c r="AA199" s="123" t="s">
        <v>2250</v>
      </c>
      <c r="AB199" s="123">
        <v>5.13</v>
      </c>
      <c r="AC199" s="123">
        <v>1</v>
      </c>
      <c r="AD199" s="123"/>
      <c r="AH199" s="123">
        <f t="shared" si="24"/>
        <v>715</v>
      </c>
      <c r="AI199" t="b">
        <f t="shared" si="30"/>
        <v>0</v>
      </c>
      <c r="AJ199" s="123">
        <f t="shared" si="25"/>
        <v>219</v>
      </c>
      <c r="AK199" t="b">
        <f t="shared" si="31"/>
        <v>0</v>
      </c>
    </row>
    <row r="200" spans="1:37">
      <c r="A200" s="121">
        <v>198</v>
      </c>
      <c r="B200" s="133" t="s">
        <v>2176</v>
      </c>
      <c r="C200" s="133" t="s">
        <v>2439</v>
      </c>
      <c r="D200" s="133" t="s">
        <v>2454</v>
      </c>
      <c r="E200" s="124">
        <v>42769</v>
      </c>
      <c r="F200" s="125">
        <v>0.40625</v>
      </c>
      <c r="G200" s="124">
        <v>42813</v>
      </c>
      <c r="H200" s="125">
        <v>0.71875</v>
      </c>
      <c r="I200" s="123">
        <v>929</v>
      </c>
      <c r="J200" s="123">
        <v>785</v>
      </c>
      <c r="K200" s="142" t="str">
        <f t="shared" si="26"/>
        <v>G785</v>
      </c>
      <c r="L200" s="123">
        <v>463</v>
      </c>
      <c r="M200" s="142" t="str">
        <f t="shared" si="27"/>
        <v>R463</v>
      </c>
      <c r="N200" s="123">
        <v>462</v>
      </c>
      <c r="O200" s="142" t="str">
        <f t="shared" si="28"/>
        <v>G462</v>
      </c>
      <c r="P200" s="123">
        <v>168</v>
      </c>
      <c r="Q200" s="142" t="str">
        <f t="shared" si="29"/>
        <v>R168</v>
      </c>
      <c r="R200" s="123">
        <v>22.9</v>
      </c>
      <c r="S200" s="123">
        <v>26.9</v>
      </c>
      <c r="T200" s="123">
        <v>32</v>
      </c>
      <c r="U200" s="123">
        <v>14.9</v>
      </c>
      <c r="V200" s="123" t="s">
        <v>2187</v>
      </c>
      <c r="W200" s="126"/>
      <c r="X200" s="126" t="s">
        <v>2187</v>
      </c>
      <c r="Y200" s="126" t="s">
        <v>2187</v>
      </c>
      <c r="Z200" s="123">
        <v>7.9</v>
      </c>
      <c r="AA200" s="123" t="s">
        <v>2250</v>
      </c>
      <c r="AB200" s="123">
        <v>7.9</v>
      </c>
      <c r="AC200" s="123">
        <v>1</v>
      </c>
      <c r="AD200" s="123"/>
      <c r="AH200" s="123">
        <f t="shared" si="24"/>
        <v>785</v>
      </c>
      <c r="AI200" t="b">
        <f t="shared" si="30"/>
        <v>0</v>
      </c>
      <c r="AJ200" s="123">
        <f t="shared" si="25"/>
        <v>463</v>
      </c>
      <c r="AK200" t="b">
        <f t="shared" si="31"/>
        <v>0</v>
      </c>
    </row>
    <row r="201" spans="1:37">
      <c r="A201" s="121">
        <v>199</v>
      </c>
      <c r="B201" s="133" t="s">
        <v>2176</v>
      </c>
      <c r="C201" s="133" t="s">
        <v>2423</v>
      </c>
      <c r="D201" s="133" t="s">
        <v>2452</v>
      </c>
      <c r="E201" s="124">
        <v>42769</v>
      </c>
      <c r="F201" s="125">
        <v>0.44444444444444442</v>
      </c>
      <c r="G201" s="124">
        <v>42814</v>
      </c>
      <c r="H201" s="125">
        <v>0.39583333333333331</v>
      </c>
      <c r="I201" s="123">
        <v>934</v>
      </c>
      <c r="J201" s="123">
        <v>877</v>
      </c>
      <c r="K201" s="142" t="str">
        <f t="shared" si="26"/>
        <v>G877</v>
      </c>
      <c r="L201" s="123">
        <v>339</v>
      </c>
      <c r="M201" s="142" t="str">
        <f t="shared" si="27"/>
        <v>R339</v>
      </c>
      <c r="N201" s="123">
        <v>712</v>
      </c>
      <c r="O201" s="142" t="str">
        <f t="shared" si="28"/>
        <v>G712</v>
      </c>
      <c r="P201" s="123">
        <v>369</v>
      </c>
      <c r="Q201" s="142" t="str">
        <f t="shared" si="29"/>
        <v>R369</v>
      </c>
      <c r="R201" s="123">
        <v>25.4</v>
      </c>
      <c r="S201" s="123">
        <v>26.6</v>
      </c>
      <c r="T201" s="123">
        <v>23.7</v>
      </c>
      <c r="U201" s="123">
        <v>9.6999999999999993</v>
      </c>
      <c r="V201" s="123" t="s">
        <v>2187</v>
      </c>
      <c r="W201" s="126" t="s">
        <v>2187</v>
      </c>
      <c r="X201" s="126"/>
      <c r="Y201" s="126" t="s">
        <v>2187</v>
      </c>
      <c r="Z201" s="123">
        <v>17.399999999999999</v>
      </c>
      <c r="AA201" s="123" t="s">
        <v>2250</v>
      </c>
      <c r="AB201" s="123">
        <v>13.8</v>
      </c>
      <c r="AC201" s="123">
        <v>1</v>
      </c>
      <c r="AD201" s="123"/>
      <c r="AH201" s="123">
        <f t="shared" si="24"/>
        <v>877</v>
      </c>
      <c r="AI201" t="b">
        <f t="shared" si="30"/>
        <v>0</v>
      </c>
      <c r="AJ201" s="123">
        <f t="shared" si="25"/>
        <v>339</v>
      </c>
      <c r="AK201" t="b">
        <f t="shared" si="31"/>
        <v>0</v>
      </c>
    </row>
    <row r="202" spans="1:37">
      <c r="A202" s="121">
        <v>200</v>
      </c>
      <c r="B202" s="133" t="s">
        <v>2176</v>
      </c>
      <c r="C202" s="133" t="s">
        <v>2446</v>
      </c>
      <c r="D202" s="122" t="s">
        <v>2455</v>
      </c>
      <c r="E202" s="124">
        <v>42769</v>
      </c>
      <c r="F202" s="125">
        <v>0.44097222222222227</v>
      </c>
      <c r="G202" s="124">
        <v>42813</v>
      </c>
      <c r="H202" s="125">
        <v>0.68055555555555547</v>
      </c>
      <c r="I202" s="123">
        <v>933</v>
      </c>
      <c r="J202" s="123">
        <v>816</v>
      </c>
      <c r="K202" s="142" t="str">
        <f t="shared" si="26"/>
        <v>G816</v>
      </c>
      <c r="L202" s="123">
        <v>303</v>
      </c>
      <c r="M202" s="142" t="str">
        <f t="shared" si="27"/>
        <v>R303</v>
      </c>
      <c r="N202" s="123">
        <v>709</v>
      </c>
      <c r="O202" s="142" t="str">
        <f t="shared" si="28"/>
        <v>G709</v>
      </c>
      <c r="P202" s="123">
        <v>359</v>
      </c>
      <c r="Q202" s="142" t="str">
        <f t="shared" si="29"/>
        <v>R359</v>
      </c>
      <c r="R202" s="123">
        <v>25.7</v>
      </c>
      <c r="S202" s="123">
        <v>27.2</v>
      </c>
      <c r="T202" s="123">
        <v>30.1</v>
      </c>
      <c r="U202" s="123">
        <v>18.399999999999999</v>
      </c>
      <c r="V202" s="123" t="s">
        <v>2187</v>
      </c>
      <c r="W202" s="126" t="s">
        <v>2187</v>
      </c>
      <c r="X202" s="126" t="s">
        <v>2187</v>
      </c>
      <c r="Y202" s="126" t="s">
        <v>2187</v>
      </c>
      <c r="Z202" s="123">
        <v>12.2</v>
      </c>
      <c r="AA202" s="123" t="s">
        <v>2250</v>
      </c>
      <c r="AB202" s="123">
        <v>15.2</v>
      </c>
      <c r="AC202" s="123">
        <v>1</v>
      </c>
      <c r="AD202" s="123"/>
      <c r="AH202" s="123">
        <f t="shared" si="24"/>
        <v>816</v>
      </c>
      <c r="AI202" t="b">
        <f t="shared" si="30"/>
        <v>0</v>
      </c>
      <c r="AJ202" s="123">
        <f t="shared" si="25"/>
        <v>303</v>
      </c>
      <c r="AK202" t="b">
        <f t="shared" si="31"/>
        <v>0</v>
      </c>
    </row>
    <row r="203" spans="1:37">
      <c r="A203" s="121">
        <v>201</v>
      </c>
      <c r="B203" s="133" t="s">
        <v>2276</v>
      </c>
      <c r="C203" s="133" t="s">
        <v>2447</v>
      </c>
      <c r="D203" s="122" t="s">
        <v>2455</v>
      </c>
      <c r="E203" s="124">
        <v>42769</v>
      </c>
      <c r="F203" s="125">
        <v>0.47916666666666669</v>
      </c>
      <c r="G203" s="124">
        <v>42813</v>
      </c>
      <c r="H203" s="125">
        <v>0.68055555555555547</v>
      </c>
      <c r="I203" s="123">
        <v>933</v>
      </c>
      <c r="J203" s="123">
        <v>811</v>
      </c>
      <c r="K203" s="142" t="str">
        <f t="shared" si="26"/>
        <v>G811</v>
      </c>
      <c r="L203" s="123">
        <v>218</v>
      </c>
      <c r="M203" s="142" t="str">
        <f t="shared" si="27"/>
        <v>R218</v>
      </c>
      <c r="N203" s="123">
        <v>707</v>
      </c>
      <c r="O203" s="142" t="str">
        <f t="shared" si="28"/>
        <v>G707</v>
      </c>
      <c r="P203" s="123">
        <v>395</v>
      </c>
      <c r="Q203" s="142" t="str">
        <f t="shared" si="29"/>
        <v>R395</v>
      </c>
      <c r="R203" s="123">
        <v>25.6</v>
      </c>
      <c r="S203" s="123">
        <v>25.1</v>
      </c>
      <c r="T203" s="123">
        <v>30.4</v>
      </c>
      <c r="U203" s="123">
        <v>18.899999999999999</v>
      </c>
      <c r="V203" s="123" t="s">
        <v>2187</v>
      </c>
      <c r="W203" s="126" t="s">
        <v>2187</v>
      </c>
      <c r="X203" s="126" t="s">
        <v>2187</v>
      </c>
      <c r="Y203" s="126"/>
      <c r="Z203" s="123">
        <v>12.2</v>
      </c>
      <c r="AA203" s="123" t="s">
        <v>2250</v>
      </c>
      <c r="AB203" s="123">
        <v>15.2</v>
      </c>
      <c r="AC203" s="123">
        <v>1</v>
      </c>
      <c r="AD203" s="123"/>
      <c r="AH203" s="123">
        <f t="shared" si="24"/>
        <v>811</v>
      </c>
      <c r="AI203" t="b">
        <f t="shared" si="30"/>
        <v>0</v>
      </c>
      <c r="AJ203" s="123">
        <f t="shared" si="25"/>
        <v>218</v>
      </c>
      <c r="AK203" t="b">
        <f t="shared" si="31"/>
        <v>0</v>
      </c>
    </row>
    <row r="204" spans="1:37">
      <c r="A204" s="121">
        <v>202</v>
      </c>
      <c r="B204" s="133" t="s">
        <v>2276</v>
      </c>
      <c r="C204" s="133" t="s">
        <v>2424</v>
      </c>
      <c r="D204" s="133" t="s">
        <v>2452</v>
      </c>
      <c r="E204" s="124">
        <v>42769</v>
      </c>
      <c r="F204" s="125">
        <v>0.44791666666666669</v>
      </c>
      <c r="G204" s="124">
        <v>42814</v>
      </c>
      <c r="H204" s="125">
        <v>0.39583333333333331</v>
      </c>
      <c r="I204" s="123">
        <v>934</v>
      </c>
      <c r="J204" s="123">
        <v>773</v>
      </c>
      <c r="K204" s="142" t="str">
        <f t="shared" si="26"/>
        <v>G773</v>
      </c>
      <c r="L204" s="123">
        <v>135</v>
      </c>
      <c r="M204" s="142" t="str">
        <f t="shared" si="27"/>
        <v>R135</v>
      </c>
      <c r="N204" s="123">
        <v>770</v>
      </c>
      <c r="O204" s="142" t="str">
        <f t="shared" si="28"/>
        <v>G770</v>
      </c>
      <c r="P204" s="123">
        <v>182</v>
      </c>
      <c r="Q204" s="142" t="str">
        <f t="shared" si="29"/>
        <v>R182</v>
      </c>
      <c r="R204" s="123">
        <v>24.9</v>
      </c>
      <c r="S204" s="123">
        <v>24.9</v>
      </c>
      <c r="T204" s="123">
        <v>23.3</v>
      </c>
      <c r="U204" s="123">
        <v>16.399999999999999</v>
      </c>
      <c r="V204" s="123" t="s">
        <v>2187</v>
      </c>
      <c r="W204" s="126" t="s">
        <v>2187</v>
      </c>
      <c r="X204" s="126" t="s">
        <v>2187</v>
      </c>
      <c r="Y204" s="126"/>
      <c r="Z204" s="123">
        <v>17.399999999999999</v>
      </c>
      <c r="AA204" s="123" t="s">
        <v>2250</v>
      </c>
      <c r="AB204" s="123">
        <v>13.8</v>
      </c>
      <c r="AC204" s="123">
        <v>1</v>
      </c>
      <c r="AD204" s="123"/>
      <c r="AH204" s="123">
        <f t="shared" si="24"/>
        <v>773</v>
      </c>
      <c r="AI204" t="b">
        <f t="shared" si="30"/>
        <v>0</v>
      </c>
      <c r="AJ204" s="123">
        <f t="shared" si="25"/>
        <v>135</v>
      </c>
      <c r="AK204" t="b">
        <f t="shared" si="31"/>
        <v>0</v>
      </c>
    </row>
    <row r="205" spans="1:37">
      <c r="A205" s="121">
        <v>203</v>
      </c>
      <c r="B205" s="133" t="s">
        <v>2276</v>
      </c>
      <c r="C205" s="133" t="s">
        <v>2433</v>
      </c>
      <c r="D205" s="133" t="s">
        <v>2453</v>
      </c>
      <c r="E205" s="124">
        <v>42769</v>
      </c>
      <c r="F205" s="125">
        <v>0.47222222222222227</v>
      </c>
      <c r="G205" s="124">
        <v>42814</v>
      </c>
      <c r="H205" s="125">
        <v>0.42708333333333331</v>
      </c>
      <c r="I205" s="123">
        <v>935</v>
      </c>
      <c r="J205" s="123">
        <v>645</v>
      </c>
      <c r="K205" s="142" t="str">
        <f t="shared" si="26"/>
        <v>G645</v>
      </c>
      <c r="L205" s="123">
        <v>372</v>
      </c>
      <c r="M205" s="142" t="str">
        <f t="shared" si="27"/>
        <v>R372</v>
      </c>
      <c r="N205" s="123">
        <v>753</v>
      </c>
      <c r="O205" s="142" t="str">
        <f t="shared" si="28"/>
        <v>G753</v>
      </c>
      <c r="P205" s="123">
        <v>342</v>
      </c>
      <c r="Q205" s="142" t="str">
        <f t="shared" si="29"/>
        <v>R342</v>
      </c>
      <c r="R205" s="144">
        <v>25.7</v>
      </c>
      <c r="S205" s="144">
        <v>30.7</v>
      </c>
      <c r="T205" s="159">
        <v>31.1</v>
      </c>
      <c r="U205" s="129">
        <v>23.3</v>
      </c>
      <c r="V205" s="123" t="s">
        <v>2187</v>
      </c>
      <c r="W205" s="126" t="s">
        <v>2179</v>
      </c>
      <c r="X205" s="126" t="s">
        <v>2187</v>
      </c>
      <c r="Y205" s="126"/>
      <c r="Z205" s="123">
        <v>5.13</v>
      </c>
      <c r="AA205" s="123" t="s">
        <v>2250</v>
      </c>
      <c r="AB205" s="123">
        <v>5.13</v>
      </c>
      <c r="AC205" s="123">
        <v>1</v>
      </c>
      <c r="AD205" s="123"/>
      <c r="AH205" s="123">
        <f t="shared" si="24"/>
        <v>645</v>
      </c>
      <c r="AI205" t="b">
        <f t="shared" si="30"/>
        <v>0</v>
      </c>
      <c r="AJ205" s="123">
        <f t="shared" si="25"/>
        <v>372</v>
      </c>
      <c r="AK205" t="b">
        <f t="shared" si="31"/>
        <v>0</v>
      </c>
    </row>
    <row r="206" spans="1:37">
      <c r="A206" s="121">
        <v>204</v>
      </c>
      <c r="B206" s="133" t="s">
        <v>2276</v>
      </c>
      <c r="C206" s="133" t="s">
        <v>2440</v>
      </c>
      <c r="D206" s="133" t="s">
        <v>2454</v>
      </c>
      <c r="E206" s="124">
        <v>42769</v>
      </c>
      <c r="F206" s="125">
        <v>0.46875</v>
      </c>
      <c r="G206" s="124">
        <v>42813</v>
      </c>
      <c r="H206" s="125">
        <v>0.71875</v>
      </c>
      <c r="I206" s="123">
        <v>935</v>
      </c>
      <c r="J206" s="123">
        <v>814</v>
      </c>
      <c r="K206" s="123" t="str">
        <f t="shared" si="26"/>
        <v>G814</v>
      </c>
      <c r="L206" s="123">
        <v>334</v>
      </c>
      <c r="M206" s="123" t="str">
        <f t="shared" si="27"/>
        <v>R334</v>
      </c>
      <c r="N206" s="123">
        <v>640</v>
      </c>
      <c r="O206" s="123" t="str">
        <f t="shared" si="28"/>
        <v>G640</v>
      </c>
      <c r="P206" s="123">
        <v>139</v>
      </c>
      <c r="Q206" s="123" t="str">
        <f t="shared" si="29"/>
        <v>R139</v>
      </c>
      <c r="R206" s="123">
        <v>29.2</v>
      </c>
      <c r="S206" s="123">
        <v>26.8</v>
      </c>
      <c r="T206" s="123">
        <v>32.700000000000003</v>
      </c>
      <c r="U206" s="123">
        <v>16.399999999999999</v>
      </c>
      <c r="V206" s="123" t="s">
        <v>2187</v>
      </c>
      <c r="W206" s="126" t="s">
        <v>2187</v>
      </c>
      <c r="X206" s="126" t="s">
        <v>2187</v>
      </c>
      <c r="Y206" s="126"/>
      <c r="Z206" s="123">
        <v>7.9</v>
      </c>
      <c r="AA206" s="123" t="s">
        <v>2250</v>
      </c>
      <c r="AB206" s="123">
        <v>7.9</v>
      </c>
      <c r="AC206" s="123">
        <v>1</v>
      </c>
      <c r="AD206" s="123"/>
      <c r="AH206" s="123">
        <f t="shared" si="24"/>
        <v>814</v>
      </c>
      <c r="AI206" s="113" t="b">
        <f t="shared" si="30"/>
        <v>0</v>
      </c>
      <c r="AJ206" s="123">
        <f t="shared" si="25"/>
        <v>334</v>
      </c>
      <c r="AK206" s="113" t="b">
        <f t="shared" si="31"/>
        <v>0</v>
      </c>
    </row>
    <row r="207" spans="1:37">
      <c r="A207" s="121">
        <v>205</v>
      </c>
      <c r="B207" s="133" t="s">
        <v>2666</v>
      </c>
      <c r="C207" s="133" t="s">
        <v>2434</v>
      </c>
      <c r="D207" s="133" t="s">
        <v>2453</v>
      </c>
      <c r="E207" s="124">
        <v>42769</v>
      </c>
      <c r="F207" s="125">
        <v>0.46180555555555558</v>
      </c>
      <c r="G207" s="124">
        <v>42814</v>
      </c>
      <c r="H207" s="125">
        <v>0.42708333333333331</v>
      </c>
      <c r="I207" s="123">
        <v>935</v>
      </c>
      <c r="J207" s="123">
        <v>621</v>
      </c>
      <c r="K207" s="142" t="str">
        <f t="shared" si="26"/>
        <v>G621</v>
      </c>
      <c r="L207" s="123">
        <v>265</v>
      </c>
      <c r="M207" s="142" t="str">
        <f t="shared" si="27"/>
        <v>R265</v>
      </c>
      <c r="N207" s="123">
        <v>668</v>
      </c>
      <c r="O207" s="142" t="str">
        <f t="shared" si="28"/>
        <v>G668</v>
      </c>
      <c r="P207" s="123">
        <v>92</v>
      </c>
      <c r="Q207" s="142" t="str">
        <f t="shared" si="29"/>
        <v>R92</v>
      </c>
      <c r="R207" s="123">
        <v>29.4</v>
      </c>
      <c r="S207" s="123">
        <v>25.5</v>
      </c>
      <c r="T207" s="129">
        <v>23.2</v>
      </c>
      <c r="U207" s="129">
        <v>23.4</v>
      </c>
      <c r="V207" s="123" t="s">
        <v>2200</v>
      </c>
      <c r="W207" s="126" t="s">
        <v>2187</v>
      </c>
      <c r="X207" s="126" t="s">
        <v>2187</v>
      </c>
      <c r="Y207" s="126"/>
      <c r="Z207" s="123">
        <v>5.13</v>
      </c>
      <c r="AA207" s="123" t="s">
        <v>2250</v>
      </c>
      <c r="AB207" s="123">
        <v>5.13</v>
      </c>
      <c r="AC207" s="123">
        <v>1</v>
      </c>
      <c r="AD207" s="123"/>
      <c r="AE207" s="164" t="s">
        <v>2432</v>
      </c>
      <c r="AH207" s="123">
        <f t="shared" si="24"/>
        <v>621</v>
      </c>
      <c r="AI207" s="113" t="b">
        <f t="shared" si="30"/>
        <v>0</v>
      </c>
      <c r="AJ207" s="123">
        <f t="shared" si="25"/>
        <v>265</v>
      </c>
      <c r="AK207" s="113" t="b">
        <f t="shared" si="31"/>
        <v>0</v>
      </c>
    </row>
    <row r="208" spans="1:37">
      <c r="A208" s="121">
        <v>206</v>
      </c>
      <c r="B208" s="133" t="s">
        <v>2666</v>
      </c>
      <c r="C208" s="133" t="s">
        <v>2425</v>
      </c>
      <c r="D208" s="133" t="s">
        <v>2452</v>
      </c>
      <c r="E208" s="124">
        <v>42769</v>
      </c>
      <c r="F208" s="125">
        <v>0.44791666666666669</v>
      </c>
      <c r="G208" s="124">
        <v>42814</v>
      </c>
      <c r="H208" s="125">
        <v>0.39583333333333331</v>
      </c>
      <c r="I208" s="123">
        <v>934</v>
      </c>
      <c r="J208" s="123">
        <v>677</v>
      </c>
      <c r="K208" s="142" t="str">
        <f t="shared" si="26"/>
        <v>G677</v>
      </c>
      <c r="L208" s="123">
        <v>234</v>
      </c>
      <c r="M208" s="142" t="str">
        <f t="shared" si="27"/>
        <v>R234</v>
      </c>
      <c r="N208" s="123">
        <v>891</v>
      </c>
      <c r="O208" s="142" t="str">
        <f t="shared" si="28"/>
        <v>G891</v>
      </c>
      <c r="P208" s="123">
        <v>328</v>
      </c>
      <c r="Q208" s="142" t="str">
        <f t="shared" si="29"/>
        <v>R328</v>
      </c>
      <c r="R208" s="123">
        <v>24.2</v>
      </c>
      <c r="S208" s="123">
        <v>25.7</v>
      </c>
      <c r="T208" s="123">
        <v>24.1</v>
      </c>
      <c r="U208" s="123">
        <v>12.4</v>
      </c>
      <c r="V208" s="123" t="s">
        <v>2187</v>
      </c>
      <c r="W208" s="126"/>
      <c r="X208" s="126" t="s">
        <v>2187</v>
      </c>
      <c r="Y208" s="126" t="s">
        <v>2187</v>
      </c>
      <c r="Z208" s="123">
        <v>17.399999999999999</v>
      </c>
      <c r="AA208" s="123" t="s">
        <v>2250</v>
      </c>
      <c r="AB208" s="123">
        <v>13.8</v>
      </c>
      <c r="AC208" s="123">
        <v>1</v>
      </c>
      <c r="AD208" s="123"/>
      <c r="AH208" s="123">
        <f t="shared" si="24"/>
        <v>677</v>
      </c>
      <c r="AI208" t="b">
        <f t="shared" si="30"/>
        <v>0</v>
      </c>
      <c r="AJ208" s="123">
        <f t="shared" si="25"/>
        <v>234</v>
      </c>
      <c r="AK208" t="b">
        <f t="shared" si="31"/>
        <v>0</v>
      </c>
    </row>
    <row r="209" spans="1:37">
      <c r="A209" s="121">
        <v>207</v>
      </c>
      <c r="B209" s="133" t="s">
        <v>2666</v>
      </c>
      <c r="C209" s="133" t="s">
        <v>2448</v>
      </c>
      <c r="D209" s="122" t="s">
        <v>2455</v>
      </c>
      <c r="E209" s="124">
        <v>42769</v>
      </c>
      <c r="F209" s="125">
        <v>0.43055555555555558</v>
      </c>
      <c r="G209" s="124">
        <v>42813</v>
      </c>
      <c r="H209" s="125">
        <v>0.68055555555555547</v>
      </c>
      <c r="I209" s="123">
        <v>933</v>
      </c>
      <c r="J209" s="123">
        <v>574</v>
      </c>
      <c r="K209" s="142" t="str">
        <f t="shared" si="26"/>
        <v>G574</v>
      </c>
      <c r="L209" s="123">
        <v>258</v>
      </c>
      <c r="M209" s="142" t="str">
        <f t="shared" si="27"/>
        <v>R258</v>
      </c>
      <c r="N209" s="123">
        <v>540</v>
      </c>
      <c r="O209" s="142" t="str">
        <f t="shared" si="28"/>
        <v>G540</v>
      </c>
      <c r="P209" s="123">
        <v>149</v>
      </c>
      <c r="Q209" s="142" t="str">
        <f t="shared" si="29"/>
        <v>R149</v>
      </c>
      <c r="R209" s="123">
        <v>25</v>
      </c>
      <c r="S209" s="123">
        <v>23.3</v>
      </c>
      <c r="T209" s="123">
        <v>33.1</v>
      </c>
      <c r="U209" s="123">
        <v>16.3</v>
      </c>
      <c r="V209" s="123" t="s">
        <v>2187</v>
      </c>
      <c r="W209" s="126" t="s">
        <v>2195</v>
      </c>
      <c r="X209" s="126" t="s">
        <v>2187</v>
      </c>
      <c r="Y209" s="126"/>
      <c r="Z209" s="123">
        <v>12.2</v>
      </c>
      <c r="AA209" s="123" t="s">
        <v>2250</v>
      </c>
      <c r="AB209" s="123">
        <v>15.2</v>
      </c>
      <c r="AC209" s="123">
        <v>1</v>
      </c>
      <c r="AD209" s="123"/>
      <c r="AH209" s="123">
        <f t="shared" si="24"/>
        <v>574</v>
      </c>
      <c r="AI209" t="b">
        <f t="shared" si="30"/>
        <v>0</v>
      </c>
      <c r="AJ209" s="123">
        <f t="shared" si="25"/>
        <v>258</v>
      </c>
      <c r="AK209" t="b">
        <f t="shared" si="31"/>
        <v>0</v>
      </c>
    </row>
    <row r="210" spans="1:37">
      <c r="A210" s="121">
        <v>208</v>
      </c>
      <c r="B210" s="133" t="s">
        <v>2666</v>
      </c>
      <c r="C210" s="133" t="s">
        <v>2441</v>
      </c>
      <c r="D210" s="133" t="s">
        <v>2454</v>
      </c>
      <c r="E210" s="124">
        <v>42769</v>
      </c>
      <c r="F210" s="125">
        <v>0.40972222222222227</v>
      </c>
      <c r="G210" s="124">
        <v>42813</v>
      </c>
      <c r="H210" s="125">
        <v>0.71875</v>
      </c>
      <c r="I210" s="123">
        <v>929</v>
      </c>
      <c r="J210" s="123">
        <v>710</v>
      </c>
      <c r="K210" s="142" t="str">
        <f t="shared" si="26"/>
        <v>G710</v>
      </c>
      <c r="L210" s="123">
        <v>344</v>
      </c>
      <c r="M210" s="142" t="str">
        <f t="shared" si="27"/>
        <v>R344</v>
      </c>
      <c r="N210" s="123">
        <v>508</v>
      </c>
      <c r="O210" s="142" t="str">
        <f t="shared" si="28"/>
        <v>G508</v>
      </c>
      <c r="P210" s="123">
        <v>449</v>
      </c>
      <c r="Q210" s="142" t="str">
        <f t="shared" si="29"/>
        <v>R449</v>
      </c>
      <c r="R210" s="123">
        <v>23</v>
      </c>
      <c r="S210" s="123">
        <v>28.1</v>
      </c>
      <c r="T210" s="123">
        <v>31.9</v>
      </c>
      <c r="U210" s="123">
        <v>16.3</v>
      </c>
      <c r="V210" s="123" t="s">
        <v>2187</v>
      </c>
      <c r="W210" s="126" t="s">
        <v>2187</v>
      </c>
      <c r="X210" s="126" t="s">
        <v>2187</v>
      </c>
      <c r="Y210" s="126" t="s">
        <v>2187</v>
      </c>
      <c r="Z210" s="123">
        <v>7.9</v>
      </c>
      <c r="AA210" s="123" t="s">
        <v>2250</v>
      </c>
      <c r="AB210" s="123">
        <v>7.9</v>
      </c>
      <c r="AC210" s="123">
        <v>1</v>
      </c>
      <c r="AD210" s="123"/>
      <c r="AH210" s="123">
        <f t="shared" si="24"/>
        <v>710</v>
      </c>
      <c r="AI210" t="b">
        <f t="shared" si="30"/>
        <v>0</v>
      </c>
      <c r="AJ210" s="123">
        <f t="shared" si="25"/>
        <v>344</v>
      </c>
      <c r="AK210" t="b">
        <f t="shared" si="31"/>
        <v>0</v>
      </c>
    </row>
    <row r="211" spans="1:37">
      <c r="A211" s="121">
        <v>209</v>
      </c>
      <c r="B211" s="133" t="s">
        <v>2666</v>
      </c>
      <c r="C211" s="133" t="s">
        <v>2435</v>
      </c>
      <c r="D211" s="133" t="s">
        <v>2453</v>
      </c>
      <c r="E211" s="124">
        <v>42769</v>
      </c>
      <c r="F211" s="125">
        <v>0.45833333333333331</v>
      </c>
      <c r="G211" s="124">
        <v>42814</v>
      </c>
      <c r="H211" s="125">
        <v>0.42708333333333331</v>
      </c>
      <c r="I211" s="123">
        <v>935</v>
      </c>
      <c r="J211" s="123">
        <v>604</v>
      </c>
      <c r="K211" s="142" t="str">
        <f t="shared" si="26"/>
        <v>G604</v>
      </c>
      <c r="L211" s="123">
        <v>271</v>
      </c>
      <c r="M211" s="142" t="str">
        <f t="shared" si="27"/>
        <v>R271</v>
      </c>
      <c r="N211" s="123">
        <v>637</v>
      </c>
      <c r="O211" s="142" t="str">
        <f t="shared" si="28"/>
        <v>G637</v>
      </c>
      <c r="P211" s="123">
        <v>142</v>
      </c>
      <c r="Q211" s="142" t="str">
        <f t="shared" si="29"/>
        <v>R142</v>
      </c>
      <c r="R211" s="123">
        <v>25.8</v>
      </c>
      <c r="S211" s="123">
        <v>29.9</v>
      </c>
      <c r="T211" s="129">
        <v>23</v>
      </c>
      <c r="U211" s="129">
        <v>19.100000000000001</v>
      </c>
      <c r="V211" s="123" t="s">
        <v>2187</v>
      </c>
      <c r="W211" s="126" t="s">
        <v>2187</v>
      </c>
      <c r="X211" s="126" t="s">
        <v>2234</v>
      </c>
      <c r="Y211" s="126" t="s">
        <v>2187</v>
      </c>
      <c r="Z211" s="123">
        <v>5.13</v>
      </c>
      <c r="AA211" s="123" t="s">
        <v>2250</v>
      </c>
      <c r="AB211" s="123">
        <v>5.13</v>
      </c>
      <c r="AC211" s="123">
        <v>1</v>
      </c>
      <c r="AD211" s="123"/>
      <c r="AH211" s="123">
        <f t="shared" si="24"/>
        <v>604</v>
      </c>
      <c r="AI211" t="b">
        <f t="shared" si="30"/>
        <v>0</v>
      </c>
      <c r="AJ211" s="123">
        <f t="shared" si="25"/>
        <v>271</v>
      </c>
      <c r="AK211" t="b">
        <f t="shared" si="31"/>
        <v>0</v>
      </c>
    </row>
    <row r="212" spans="1:37">
      <c r="A212" s="121">
        <v>210</v>
      </c>
      <c r="B212" s="133" t="s">
        <v>2666</v>
      </c>
      <c r="C212" s="133" t="s">
        <v>2449</v>
      </c>
      <c r="D212" s="122" t="s">
        <v>2455</v>
      </c>
      <c r="E212" s="124">
        <v>42769</v>
      </c>
      <c r="F212" s="125">
        <v>0.43055555555555558</v>
      </c>
      <c r="G212" s="124">
        <v>42813</v>
      </c>
      <c r="H212" s="125">
        <v>0.68055555555555547</v>
      </c>
      <c r="I212" s="123">
        <v>933</v>
      </c>
      <c r="J212" s="123">
        <v>871</v>
      </c>
      <c r="K212" s="142" t="str">
        <f t="shared" si="26"/>
        <v>G871</v>
      </c>
      <c r="L212" s="123">
        <v>340</v>
      </c>
      <c r="M212" s="142" t="str">
        <f t="shared" si="27"/>
        <v>R340</v>
      </c>
      <c r="N212" s="123">
        <v>720</v>
      </c>
      <c r="O212" s="142" t="str">
        <f t="shared" si="28"/>
        <v>G720</v>
      </c>
      <c r="P212" s="123">
        <v>392</v>
      </c>
      <c r="Q212" s="142" t="str">
        <f t="shared" si="29"/>
        <v>R392</v>
      </c>
      <c r="R212" s="123">
        <v>24.6</v>
      </c>
      <c r="S212" s="123">
        <v>26.3</v>
      </c>
      <c r="T212" s="123">
        <v>32.200000000000003</v>
      </c>
      <c r="U212" s="123">
        <v>18.5</v>
      </c>
      <c r="V212" s="123" t="s">
        <v>2187</v>
      </c>
      <c r="W212" s="126" t="s">
        <v>2187</v>
      </c>
      <c r="X212" s="126" t="s">
        <v>2187</v>
      </c>
      <c r="Y212" s="126"/>
      <c r="Z212" s="123">
        <v>12.2</v>
      </c>
      <c r="AA212" s="123" t="s">
        <v>2250</v>
      </c>
      <c r="AB212" s="123">
        <v>15.2</v>
      </c>
      <c r="AC212" s="123">
        <v>1</v>
      </c>
      <c r="AD212" s="123"/>
      <c r="AH212" s="123">
        <f t="shared" si="24"/>
        <v>871</v>
      </c>
      <c r="AI212" t="b">
        <f t="shared" si="30"/>
        <v>0</v>
      </c>
      <c r="AJ212" s="123">
        <f t="shared" si="25"/>
        <v>340</v>
      </c>
      <c r="AK212" t="b">
        <f t="shared" si="31"/>
        <v>0</v>
      </c>
    </row>
    <row r="213" spans="1:37">
      <c r="A213" s="121">
        <v>211</v>
      </c>
      <c r="B213" s="133" t="s">
        <v>2666</v>
      </c>
      <c r="C213" s="133" t="s">
        <v>2426</v>
      </c>
      <c r="D213" s="133" t="s">
        <v>2452</v>
      </c>
      <c r="E213" s="124">
        <v>42769</v>
      </c>
      <c r="F213" s="125">
        <v>0.44444444444444442</v>
      </c>
      <c r="G213" s="124">
        <v>42814</v>
      </c>
      <c r="H213" s="125">
        <v>0.39583333333333331</v>
      </c>
      <c r="I213" s="123">
        <v>934</v>
      </c>
      <c r="J213" s="123">
        <v>822</v>
      </c>
      <c r="K213" s="142" t="str">
        <f t="shared" si="26"/>
        <v>G822</v>
      </c>
      <c r="L213" s="123">
        <v>381</v>
      </c>
      <c r="M213" s="142" t="str">
        <f t="shared" si="27"/>
        <v>R381</v>
      </c>
      <c r="N213" s="123">
        <v>796</v>
      </c>
      <c r="O213" s="142" t="str">
        <f t="shared" si="28"/>
        <v>G796</v>
      </c>
      <c r="P213" s="123">
        <v>589</v>
      </c>
      <c r="Q213" s="142" t="str">
        <f t="shared" si="29"/>
        <v>R589</v>
      </c>
      <c r="R213" s="123">
        <v>24.4</v>
      </c>
      <c r="S213" s="123">
        <v>23.1</v>
      </c>
      <c r="T213" s="123">
        <v>23.5</v>
      </c>
      <c r="U213" s="123">
        <v>10.6</v>
      </c>
      <c r="V213" s="123" t="s">
        <v>2187</v>
      </c>
      <c r="W213" s="126" t="s">
        <v>2187</v>
      </c>
      <c r="X213" s="126" t="s">
        <v>2187</v>
      </c>
      <c r="Y213" s="126" t="s">
        <v>2187</v>
      </c>
      <c r="Z213" s="123">
        <v>17.399999999999999</v>
      </c>
      <c r="AA213" s="123" t="s">
        <v>2250</v>
      </c>
      <c r="AB213" s="123">
        <v>13.8</v>
      </c>
      <c r="AC213" s="123">
        <v>1</v>
      </c>
      <c r="AD213" s="123"/>
      <c r="AH213" s="123">
        <f t="shared" si="24"/>
        <v>822</v>
      </c>
      <c r="AI213" t="b">
        <f t="shared" si="30"/>
        <v>0</v>
      </c>
      <c r="AJ213" s="123">
        <f t="shared" si="25"/>
        <v>381</v>
      </c>
      <c r="AK213" t="b">
        <f t="shared" si="31"/>
        <v>0</v>
      </c>
    </row>
    <row r="214" spans="1:37">
      <c r="A214" s="121">
        <v>212</v>
      </c>
      <c r="B214" s="133" t="s">
        <v>2666</v>
      </c>
      <c r="C214" s="133" t="s">
        <v>2442</v>
      </c>
      <c r="D214" s="133" t="s">
        <v>2454</v>
      </c>
      <c r="E214" s="124">
        <v>42769</v>
      </c>
      <c r="F214" s="125">
        <v>0.39930555555555558</v>
      </c>
      <c r="G214" s="124">
        <v>42813</v>
      </c>
      <c r="H214" s="125">
        <v>0.71875</v>
      </c>
      <c r="I214" s="123">
        <v>929</v>
      </c>
      <c r="J214" s="123">
        <v>786</v>
      </c>
      <c r="K214" s="142" t="str">
        <f t="shared" si="26"/>
        <v>G786</v>
      </c>
      <c r="L214" s="123">
        <v>93</v>
      </c>
      <c r="M214" s="142" t="str">
        <f t="shared" si="27"/>
        <v>R93</v>
      </c>
      <c r="N214" s="123">
        <v>560</v>
      </c>
      <c r="O214" s="142" t="str">
        <f t="shared" si="28"/>
        <v>G560</v>
      </c>
      <c r="P214" s="123">
        <v>130</v>
      </c>
      <c r="Q214" s="142" t="str">
        <f t="shared" si="29"/>
        <v>R130</v>
      </c>
      <c r="R214" s="123">
        <v>23.3</v>
      </c>
      <c r="S214" s="123">
        <v>28.5</v>
      </c>
      <c r="T214" s="123">
        <v>31.6</v>
      </c>
      <c r="U214" s="123">
        <v>16.399999999999999</v>
      </c>
      <c r="V214" s="123"/>
      <c r="W214" s="126" t="s">
        <v>2234</v>
      </c>
      <c r="X214" s="126" t="s">
        <v>2187</v>
      </c>
      <c r="Y214" s="126" t="s">
        <v>2187</v>
      </c>
      <c r="Z214" s="123">
        <v>7.9</v>
      </c>
      <c r="AA214" s="123" t="s">
        <v>2250</v>
      </c>
      <c r="AB214" s="123">
        <v>7.9</v>
      </c>
      <c r="AC214" s="123">
        <v>1</v>
      </c>
      <c r="AD214" s="123"/>
      <c r="AH214" s="123">
        <f t="shared" si="24"/>
        <v>786</v>
      </c>
      <c r="AI214" t="b">
        <f t="shared" si="30"/>
        <v>0</v>
      </c>
      <c r="AJ214" s="123">
        <f t="shared" si="25"/>
        <v>93</v>
      </c>
      <c r="AK214" t="b">
        <f t="shared" si="31"/>
        <v>0</v>
      </c>
    </row>
    <row r="215" spans="1:37">
      <c r="A215" s="121">
        <v>213</v>
      </c>
      <c r="B215" s="133" t="s">
        <v>2385</v>
      </c>
      <c r="C215" s="133" t="s">
        <v>2450</v>
      </c>
      <c r="D215" s="122" t="s">
        <v>2455</v>
      </c>
      <c r="E215" s="124">
        <v>42769</v>
      </c>
      <c r="F215" s="125">
        <v>0.4375</v>
      </c>
      <c r="G215" s="124">
        <v>42813</v>
      </c>
      <c r="H215" s="125">
        <v>0.68055555555555547</v>
      </c>
      <c r="I215" s="123">
        <v>933</v>
      </c>
      <c r="J215" s="123">
        <v>572</v>
      </c>
      <c r="K215" s="142" t="str">
        <f t="shared" si="26"/>
        <v>G572</v>
      </c>
      <c r="L215" s="123">
        <v>88</v>
      </c>
      <c r="M215" s="142" t="str">
        <f t="shared" si="27"/>
        <v>R88</v>
      </c>
      <c r="N215" s="123">
        <v>716</v>
      </c>
      <c r="O215" s="142" t="str">
        <f t="shared" si="28"/>
        <v>G716</v>
      </c>
      <c r="P215" s="123">
        <v>111</v>
      </c>
      <c r="Q215" s="142" t="str">
        <f t="shared" si="29"/>
        <v>R111</v>
      </c>
      <c r="R215" s="123">
        <v>25</v>
      </c>
      <c r="S215" s="123">
        <v>24</v>
      </c>
      <c r="T215" s="123">
        <v>31.3</v>
      </c>
      <c r="U215" s="123">
        <v>15.5</v>
      </c>
      <c r="V215" s="123" t="s">
        <v>2187</v>
      </c>
      <c r="W215" s="126" t="s">
        <v>2187</v>
      </c>
      <c r="X215" s="126" t="s">
        <v>2187</v>
      </c>
      <c r="Y215" s="126"/>
      <c r="Z215" s="123">
        <v>12.2</v>
      </c>
      <c r="AA215" s="123" t="s">
        <v>2250</v>
      </c>
      <c r="AB215" s="123">
        <v>15.2</v>
      </c>
      <c r="AC215" s="123">
        <v>1</v>
      </c>
      <c r="AD215" s="123"/>
      <c r="AH215" s="123">
        <f t="shared" si="24"/>
        <v>572</v>
      </c>
      <c r="AI215" t="b">
        <f t="shared" si="30"/>
        <v>0</v>
      </c>
      <c r="AJ215" s="123">
        <f t="shared" si="25"/>
        <v>88</v>
      </c>
      <c r="AK215" t="b">
        <f t="shared" si="31"/>
        <v>0</v>
      </c>
    </row>
    <row r="216" spans="1:37">
      <c r="A216" s="121">
        <v>214</v>
      </c>
      <c r="B216" s="133" t="s">
        <v>2385</v>
      </c>
      <c r="C216" s="133" t="s">
        <v>2443</v>
      </c>
      <c r="D216" s="133" t="s">
        <v>2454</v>
      </c>
      <c r="E216" s="124">
        <v>42769</v>
      </c>
      <c r="F216" s="125">
        <v>0.41319444444444442</v>
      </c>
      <c r="G216" s="124">
        <v>42813</v>
      </c>
      <c r="H216" s="125">
        <v>0.71875</v>
      </c>
      <c r="I216" s="123">
        <v>929</v>
      </c>
      <c r="J216" s="123">
        <v>761</v>
      </c>
      <c r="K216" s="142" t="str">
        <f t="shared" si="26"/>
        <v>G761</v>
      </c>
      <c r="L216" s="123">
        <v>383</v>
      </c>
      <c r="M216" s="142" t="str">
        <f t="shared" si="27"/>
        <v>R383</v>
      </c>
      <c r="N216" s="123">
        <v>581</v>
      </c>
      <c r="O216" s="142" t="str">
        <f t="shared" si="28"/>
        <v>G581</v>
      </c>
      <c r="P216" s="123">
        <v>412</v>
      </c>
      <c r="Q216" s="142" t="str">
        <f t="shared" si="29"/>
        <v>R412</v>
      </c>
      <c r="R216" s="123">
        <v>24.2</v>
      </c>
      <c r="S216" s="123">
        <v>26.9</v>
      </c>
      <c r="T216" s="123">
        <v>34.200000000000003</v>
      </c>
      <c r="U216" s="123">
        <v>12</v>
      </c>
      <c r="V216" s="123" t="s">
        <v>2187</v>
      </c>
      <c r="W216" s="126" t="s">
        <v>2187</v>
      </c>
      <c r="X216" s="126" t="s">
        <v>2187</v>
      </c>
      <c r="Y216" s="126" t="s">
        <v>2187</v>
      </c>
      <c r="Z216" s="123">
        <v>7.9</v>
      </c>
      <c r="AA216" s="123" t="s">
        <v>2250</v>
      </c>
      <c r="AB216" s="123">
        <v>7.9</v>
      </c>
      <c r="AC216" s="123">
        <v>1</v>
      </c>
      <c r="AD216" s="123"/>
      <c r="AH216" s="123">
        <f t="shared" si="24"/>
        <v>761</v>
      </c>
      <c r="AI216" t="b">
        <f t="shared" si="30"/>
        <v>0</v>
      </c>
      <c r="AJ216" s="123">
        <f t="shared" si="25"/>
        <v>383</v>
      </c>
      <c r="AK216" t="b">
        <f t="shared" si="31"/>
        <v>0</v>
      </c>
    </row>
    <row r="217" spans="1:37">
      <c r="A217" s="121">
        <v>215</v>
      </c>
      <c r="B217" s="133" t="s">
        <v>2385</v>
      </c>
      <c r="C217" s="133" t="s">
        <v>2427</v>
      </c>
      <c r="D217" s="133" t="s">
        <v>2452</v>
      </c>
      <c r="E217" s="124">
        <v>42769</v>
      </c>
      <c r="F217" s="125">
        <v>0.47916666666666669</v>
      </c>
      <c r="G217" s="124">
        <v>42814</v>
      </c>
      <c r="H217" s="125">
        <v>0.39583333333333331</v>
      </c>
      <c r="I217" s="123">
        <v>934</v>
      </c>
      <c r="J217" s="123">
        <v>858</v>
      </c>
      <c r="K217" s="142" t="str">
        <f t="shared" si="26"/>
        <v>G858</v>
      </c>
      <c r="L217" s="123">
        <v>145</v>
      </c>
      <c r="M217" s="142" t="str">
        <f t="shared" si="27"/>
        <v>R145</v>
      </c>
      <c r="N217" s="123">
        <v>718</v>
      </c>
      <c r="O217" s="142" t="str">
        <f t="shared" si="28"/>
        <v>G718</v>
      </c>
      <c r="P217" s="123">
        <v>434</v>
      </c>
      <c r="Q217" s="142" t="str">
        <f t="shared" si="29"/>
        <v>R434</v>
      </c>
      <c r="R217" s="123">
        <v>27.6</v>
      </c>
      <c r="S217" s="123">
        <v>27.2</v>
      </c>
      <c r="T217" s="123">
        <v>24.9</v>
      </c>
      <c r="U217" s="123">
        <v>13.4</v>
      </c>
      <c r="V217" s="123" t="s">
        <v>2187</v>
      </c>
      <c r="W217" s="126"/>
      <c r="X217" s="126" t="s">
        <v>2187</v>
      </c>
      <c r="Y217" s="126" t="s">
        <v>2187</v>
      </c>
      <c r="Z217" s="123">
        <v>17.399999999999999</v>
      </c>
      <c r="AA217" s="123" t="s">
        <v>2250</v>
      </c>
      <c r="AB217" s="123">
        <v>13.8</v>
      </c>
      <c r="AC217" s="123">
        <v>1</v>
      </c>
      <c r="AD217" s="123"/>
      <c r="AH217" s="123">
        <f t="shared" si="24"/>
        <v>858</v>
      </c>
      <c r="AI217" t="b">
        <f t="shared" si="30"/>
        <v>0</v>
      </c>
      <c r="AJ217" s="123">
        <f t="shared" si="25"/>
        <v>145</v>
      </c>
      <c r="AK217" t="b">
        <f t="shared" si="31"/>
        <v>0</v>
      </c>
    </row>
    <row r="218" spans="1:37">
      <c r="A218" s="121">
        <v>216</v>
      </c>
      <c r="B218" s="133" t="s">
        <v>2385</v>
      </c>
      <c r="C218" s="133" t="s">
        <v>2436</v>
      </c>
      <c r="D218" s="133" t="s">
        <v>2453</v>
      </c>
      <c r="E218" s="124">
        <v>42769</v>
      </c>
      <c r="F218" s="125">
        <v>0.46180555555555558</v>
      </c>
      <c r="G218" s="124">
        <v>42814</v>
      </c>
      <c r="H218" s="125">
        <v>0.42708333333333331</v>
      </c>
      <c r="I218" s="123">
        <v>935</v>
      </c>
      <c r="J218" s="123">
        <v>755</v>
      </c>
      <c r="K218" s="142" t="str">
        <f t="shared" si="26"/>
        <v>G755</v>
      </c>
      <c r="L218" s="123">
        <v>241</v>
      </c>
      <c r="M218" s="142" t="str">
        <f t="shared" si="27"/>
        <v>R241</v>
      </c>
      <c r="N218" s="123">
        <v>613</v>
      </c>
      <c r="O218" s="142" t="str">
        <f t="shared" si="28"/>
        <v>G613</v>
      </c>
      <c r="P218" s="123">
        <v>457</v>
      </c>
      <c r="Q218" s="142" t="str">
        <f t="shared" si="29"/>
        <v>R457</v>
      </c>
      <c r="R218" s="123">
        <v>25.6</v>
      </c>
      <c r="S218" s="123">
        <v>25.3</v>
      </c>
      <c r="T218" s="129">
        <v>24.5</v>
      </c>
      <c r="U218" s="129">
        <v>16</v>
      </c>
      <c r="V218" s="123" t="s">
        <v>2230</v>
      </c>
      <c r="W218" s="126" t="s">
        <v>2179</v>
      </c>
      <c r="X218" s="126" t="s">
        <v>2187</v>
      </c>
      <c r="Y218" s="126" t="s">
        <v>2187</v>
      </c>
      <c r="Z218" s="123">
        <v>5.13</v>
      </c>
      <c r="AA218" s="123" t="s">
        <v>2250</v>
      </c>
      <c r="AB218" s="123">
        <v>5.13</v>
      </c>
      <c r="AC218" s="123">
        <v>1</v>
      </c>
      <c r="AD218" s="123"/>
      <c r="AH218" s="123">
        <f t="shared" si="24"/>
        <v>755</v>
      </c>
      <c r="AI218" t="b">
        <f t="shared" si="30"/>
        <v>0</v>
      </c>
      <c r="AJ218" s="123">
        <f t="shared" si="25"/>
        <v>241</v>
      </c>
      <c r="AK218" t="b">
        <f t="shared" si="31"/>
        <v>0</v>
      </c>
    </row>
    <row r="219" spans="1:37">
      <c r="A219" s="121">
        <v>217</v>
      </c>
      <c r="B219" s="133" t="s">
        <v>2428</v>
      </c>
      <c r="C219" s="133" t="s">
        <v>2429</v>
      </c>
      <c r="D219" s="133" t="s">
        <v>2452</v>
      </c>
      <c r="E219" s="124">
        <v>42769</v>
      </c>
      <c r="F219" s="125">
        <v>0.4513888888888889</v>
      </c>
      <c r="G219" s="124">
        <v>42814</v>
      </c>
      <c r="H219" s="125">
        <v>0.39583333333333331</v>
      </c>
      <c r="I219" s="123">
        <v>934</v>
      </c>
      <c r="J219" s="123">
        <v>795</v>
      </c>
      <c r="K219" s="142" t="str">
        <f t="shared" si="26"/>
        <v>G795</v>
      </c>
      <c r="L219" s="123">
        <v>302</v>
      </c>
      <c r="M219" s="142" t="str">
        <f t="shared" si="27"/>
        <v>R302</v>
      </c>
      <c r="N219" s="123">
        <v>804</v>
      </c>
      <c r="O219" s="142" t="str">
        <f t="shared" si="28"/>
        <v>G804</v>
      </c>
      <c r="P219" s="123">
        <v>410</v>
      </c>
      <c r="Q219" s="142" t="str">
        <f t="shared" si="29"/>
        <v>R410</v>
      </c>
      <c r="R219" s="123">
        <v>26.7</v>
      </c>
      <c r="S219" s="123">
        <v>24.4</v>
      </c>
      <c r="T219" s="123">
        <v>24.3</v>
      </c>
      <c r="U219" s="123">
        <v>15.7</v>
      </c>
      <c r="V219" s="123" t="s">
        <v>2187</v>
      </c>
      <c r="W219" s="126" t="s">
        <v>2187</v>
      </c>
      <c r="X219" s="126" t="s">
        <v>2187</v>
      </c>
      <c r="Y219" s="126"/>
      <c r="Z219" s="123">
        <v>17.399999999999999</v>
      </c>
      <c r="AA219" s="123" t="s">
        <v>2250</v>
      </c>
      <c r="AB219" s="123">
        <v>13.8</v>
      </c>
      <c r="AC219" s="123">
        <v>1</v>
      </c>
      <c r="AD219" s="123"/>
      <c r="AH219" s="123">
        <f t="shared" si="24"/>
        <v>795</v>
      </c>
      <c r="AI219" t="b">
        <f t="shared" si="30"/>
        <v>0</v>
      </c>
      <c r="AJ219" s="123">
        <f t="shared" si="25"/>
        <v>302</v>
      </c>
      <c r="AK219" t="b">
        <f t="shared" si="31"/>
        <v>0</v>
      </c>
    </row>
    <row r="220" spans="1:37">
      <c r="A220" s="121">
        <v>218</v>
      </c>
      <c r="B220" s="133" t="s">
        <v>2428</v>
      </c>
      <c r="C220" s="133" t="s">
        <v>2437</v>
      </c>
      <c r="D220" s="133" t="s">
        <v>2453</v>
      </c>
      <c r="E220" s="124">
        <v>42769</v>
      </c>
      <c r="F220" s="125">
        <v>0.47222222222222227</v>
      </c>
      <c r="G220" s="124">
        <v>42814</v>
      </c>
      <c r="H220" s="125">
        <v>0.42708333333333331</v>
      </c>
      <c r="I220" s="123">
        <v>935</v>
      </c>
      <c r="J220" s="123">
        <v>251</v>
      </c>
      <c r="K220" s="142" t="str">
        <f t="shared" si="26"/>
        <v>G251</v>
      </c>
      <c r="L220" s="123">
        <v>442</v>
      </c>
      <c r="M220" s="142" t="str">
        <f t="shared" si="27"/>
        <v>R442</v>
      </c>
      <c r="N220" s="123">
        <v>587</v>
      </c>
      <c r="O220" s="142" t="str">
        <f t="shared" si="28"/>
        <v>G587</v>
      </c>
      <c r="P220" s="123">
        <v>103</v>
      </c>
      <c r="Q220" s="142" t="str">
        <f t="shared" si="29"/>
        <v>R103</v>
      </c>
      <c r="R220" s="123">
        <v>25.5</v>
      </c>
      <c r="S220" s="123">
        <v>24.7</v>
      </c>
      <c r="T220" s="129">
        <v>23.5</v>
      </c>
      <c r="U220" s="129">
        <v>19.5</v>
      </c>
      <c r="V220" s="123" t="s">
        <v>2187</v>
      </c>
      <c r="W220" s="126" t="s">
        <v>2187</v>
      </c>
      <c r="X220" s="126" t="s">
        <v>2187</v>
      </c>
      <c r="Y220" s="126" t="s">
        <v>2187</v>
      </c>
      <c r="Z220" s="123">
        <v>5.13</v>
      </c>
      <c r="AA220" s="123" t="s">
        <v>2250</v>
      </c>
      <c r="AB220" s="123">
        <v>5.13</v>
      </c>
      <c r="AC220" s="123">
        <v>1</v>
      </c>
      <c r="AD220" s="123"/>
      <c r="AH220" s="123">
        <f t="shared" si="24"/>
        <v>251</v>
      </c>
      <c r="AI220" t="b">
        <f t="shared" si="30"/>
        <v>0</v>
      </c>
      <c r="AJ220" s="123">
        <f t="shared" si="25"/>
        <v>442</v>
      </c>
      <c r="AK220" t="b">
        <f t="shared" si="31"/>
        <v>0</v>
      </c>
    </row>
    <row r="221" spans="1:37">
      <c r="A221" s="121">
        <v>219</v>
      </c>
      <c r="B221" s="133" t="s">
        <v>2428</v>
      </c>
      <c r="C221" s="133" t="s">
        <v>2444</v>
      </c>
      <c r="D221" s="133" t="s">
        <v>2454</v>
      </c>
      <c r="E221" s="124">
        <v>42769</v>
      </c>
      <c r="F221" s="125">
        <v>0.40972222222222227</v>
      </c>
      <c r="G221" s="124">
        <v>42813</v>
      </c>
      <c r="H221" s="125">
        <v>0.71875</v>
      </c>
      <c r="I221" s="123">
        <v>929</v>
      </c>
      <c r="J221" s="164">
        <v>727</v>
      </c>
      <c r="K221" s="142" t="str">
        <f t="shared" si="26"/>
        <v>G727</v>
      </c>
      <c r="L221" s="164">
        <v>176</v>
      </c>
      <c r="M221" s="142" t="str">
        <f t="shared" si="27"/>
        <v>R176</v>
      </c>
      <c r="N221" s="164">
        <v>491</v>
      </c>
      <c r="O221" s="142" t="str">
        <f t="shared" si="28"/>
        <v>G491</v>
      </c>
      <c r="P221" s="164">
        <v>356</v>
      </c>
      <c r="Q221" s="142" t="str">
        <f t="shared" si="29"/>
        <v>R356</v>
      </c>
      <c r="R221" s="123">
        <v>23.3</v>
      </c>
      <c r="S221" s="123">
        <v>29.5</v>
      </c>
      <c r="T221" s="123">
        <v>31.8</v>
      </c>
      <c r="U221" s="123">
        <v>14</v>
      </c>
      <c r="V221" s="123" t="s">
        <v>2200</v>
      </c>
      <c r="W221" s="126" t="s">
        <v>2187</v>
      </c>
      <c r="X221" s="126" t="s">
        <v>2187</v>
      </c>
      <c r="Y221" s="126"/>
      <c r="Z221" s="123">
        <v>7.9</v>
      </c>
      <c r="AA221" s="123" t="s">
        <v>2250</v>
      </c>
      <c r="AB221" s="123">
        <v>7.9</v>
      </c>
      <c r="AC221" s="123">
        <v>1</v>
      </c>
      <c r="AD221" s="123"/>
      <c r="AH221" s="123">
        <f t="shared" si="24"/>
        <v>727</v>
      </c>
      <c r="AI221" t="b">
        <f t="shared" si="30"/>
        <v>0</v>
      </c>
      <c r="AJ221" s="123">
        <f t="shared" si="25"/>
        <v>176</v>
      </c>
      <c r="AK221" t="b">
        <f t="shared" si="31"/>
        <v>0</v>
      </c>
    </row>
    <row r="222" spans="1:37">
      <c r="A222" s="121">
        <v>220</v>
      </c>
      <c r="B222" s="133" t="s">
        <v>2428</v>
      </c>
      <c r="C222" s="133" t="s">
        <v>2451</v>
      </c>
      <c r="D222" s="122" t="s">
        <v>2455</v>
      </c>
      <c r="E222" s="124">
        <v>42769</v>
      </c>
      <c r="F222" s="125">
        <v>0.4375</v>
      </c>
      <c r="G222" s="124">
        <v>42813</v>
      </c>
      <c r="H222" s="125">
        <v>0.68055555555555547</v>
      </c>
      <c r="I222" s="123">
        <v>933</v>
      </c>
      <c r="J222" s="123">
        <v>782</v>
      </c>
      <c r="K222" s="142" t="str">
        <f t="shared" si="26"/>
        <v>G782</v>
      </c>
      <c r="L222" s="123">
        <v>250</v>
      </c>
      <c r="M222" s="142" t="str">
        <f t="shared" si="27"/>
        <v>R250</v>
      </c>
      <c r="N222" s="123">
        <v>849</v>
      </c>
      <c r="O222" s="142" t="str">
        <f t="shared" si="28"/>
        <v>G849</v>
      </c>
      <c r="P222" s="123">
        <v>319</v>
      </c>
      <c r="Q222" s="142" t="str">
        <f t="shared" si="29"/>
        <v>R319</v>
      </c>
      <c r="R222" s="123">
        <v>23.8</v>
      </c>
      <c r="S222" s="123">
        <v>25.9</v>
      </c>
      <c r="T222" s="123">
        <v>32.1</v>
      </c>
      <c r="U222" s="123">
        <v>15.8</v>
      </c>
      <c r="V222" s="123" t="s">
        <v>2187</v>
      </c>
      <c r="W222" s="126" t="s">
        <v>2179</v>
      </c>
      <c r="X222" s="126" t="s">
        <v>2187</v>
      </c>
      <c r="Y222" s="126"/>
      <c r="Z222" s="123">
        <v>12.2</v>
      </c>
      <c r="AA222" s="123" t="s">
        <v>2250</v>
      </c>
      <c r="AB222" s="123">
        <v>15.2</v>
      </c>
      <c r="AC222" s="123">
        <v>1</v>
      </c>
      <c r="AD222" s="123"/>
      <c r="AH222" s="123">
        <f t="shared" si="24"/>
        <v>782</v>
      </c>
      <c r="AI222" t="b">
        <f t="shared" si="30"/>
        <v>0</v>
      </c>
      <c r="AJ222" s="123">
        <f t="shared" si="25"/>
        <v>250</v>
      </c>
      <c r="AK222" t="b">
        <f t="shared" si="31"/>
        <v>0</v>
      </c>
    </row>
    <row r="223" spans="1:37">
      <c r="A223" s="118" t="s">
        <v>2164</v>
      </c>
      <c r="B223" s="119" t="s">
        <v>2165</v>
      </c>
      <c r="C223" s="119" t="s">
        <v>2166</v>
      </c>
      <c r="D223" s="119" t="s">
        <v>2167</v>
      </c>
      <c r="E223" s="117" t="s">
        <v>1141</v>
      </c>
      <c r="F223" s="117" t="s">
        <v>2168</v>
      </c>
      <c r="G223" s="117" t="s">
        <v>1141</v>
      </c>
      <c r="H223" s="117" t="s">
        <v>2168</v>
      </c>
      <c r="I223" s="117" t="s">
        <v>2169</v>
      </c>
      <c r="J223" s="117" t="s">
        <v>1147</v>
      </c>
      <c r="K223" s="117"/>
      <c r="L223" s="117" t="s">
        <v>298</v>
      </c>
      <c r="M223" s="117"/>
      <c r="N223" s="117" t="s">
        <v>2170</v>
      </c>
      <c r="O223" s="117"/>
      <c r="P223" s="117" t="s">
        <v>2171</v>
      </c>
      <c r="Q223" s="117"/>
      <c r="R223" s="118" t="s">
        <v>2172</v>
      </c>
      <c r="S223" s="118" t="s">
        <v>2173</v>
      </c>
      <c r="T223" s="118" t="s">
        <v>2172</v>
      </c>
      <c r="U223" s="118" t="s">
        <v>2173</v>
      </c>
      <c r="V223" s="119" t="s">
        <v>1147</v>
      </c>
      <c r="W223" s="119" t="s">
        <v>298</v>
      </c>
      <c r="X223" s="119" t="s">
        <v>2174</v>
      </c>
      <c r="Y223" s="119" t="s">
        <v>2171</v>
      </c>
      <c r="Z223" s="120" t="s">
        <v>2175</v>
      </c>
      <c r="AA223" s="120" t="s">
        <v>3158</v>
      </c>
      <c r="AB223" s="120" t="s">
        <v>2175</v>
      </c>
      <c r="AC223" s="120" t="s">
        <v>3156</v>
      </c>
      <c r="AD223" s="155"/>
      <c r="AE223" s="158"/>
      <c r="AH223" s="166" t="s">
        <v>2475</v>
      </c>
      <c r="AI223" t="b">
        <f t="shared" si="30"/>
        <v>0</v>
      </c>
      <c r="AJ223" s="166" t="s">
        <v>2476</v>
      </c>
      <c r="AK223" t="b">
        <f t="shared" si="31"/>
        <v>0</v>
      </c>
    </row>
    <row r="224" spans="1:37">
      <c r="A224" s="135" t="s">
        <v>2154</v>
      </c>
      <c r="B224" s="135"/>
      <c r="C224" s="135"/>
      <c r="D224" s="135"/>
      <c r="E224" s="135" t="s">
        <v>2155</v>
      </c>
      <c r="F224" s="135"/>
      <c r="G224" s="135" t="s">
        <v>2156</v>
      </c>
      <c r="H224" s="135"/>
      <c r="I224" s="117" t="s">
        <v>2157</v>
      </c>
      <c r="J224" s="135" t="s">
        <v>2158</v>
      </c>
      <c r="K224" s="135"/>
      <c r="L224" s="135"/>
      <c r="M224" s="135"/>
      <c r="N224" s="135"/>
      <c r="O224" s="135"/>
      <c r="P224" s="135"/>
      <c r="Q224" s="135"/>
      <c r="R224" s="135" t="s">
        <v>2459</v>
      </c>
      <c r="S224" s="135"/>
      <c r="T224" s="135" t="s">
        <v>2458</v>
      </c>
      <c r="U224" s="135"/>
      <c r="V224" s="147" t="s">
        <v>2159</v>
      </c>
      <c r="W224" s="147"/>
      <c r="X224" s="147"/>
      <c r="Y224" s="147"/>
      <c r="Z224" s="150" t="s">
        <v>2160</v>
      </c>
      <c r="AA224" s="150"/>
      <c r="AB224" s="150" t="s">
        <v>2161</v>
      </c>
      <c r="AC224" s="150"/>
      <c r="AD224" s="155" t="s">
        <v>2162</v>
      </c>
      <c r="AE224" s="158" t="s">
        <v>2163</v>
      </c>
      <c r="AH224" s="142">
        <f t="shared" ref="AH224" si="32">N3</f>
        <v>752</v>
      </c>
      <c r="AI224" t="b">
        <f t="shared" si="30"/>
        <v>0</v>
      </c>
      <c r="AJ224" s="139">
        <f t="shared" ref="AJ224" si="33">P3</f>
        <v>133</v>
      </c>
      <c r="AK224" t="b">
        <f t="shared" si="31"/>
        <v>0</v>
      </c>
    </row>
    <row r="225" spans="1:37">
      <c r="AH225" s="123">
        <f t="shared" ref="AH225:AH256" si="34">N4</f>
        <v>737</v>
      </c>
      <c r="AI225" t="b">
        <f t="shared" si="30"/>
        <v>0</v>
      </c>
      <c r="AJ225" s="123">
        <f t="shared" ref="AJ225:AJ256" si="35">P4</f>
        <v>527</v>
      </c>
      <c r="AK225" t="b">
        <f t="shared" si="31"/>
        <v>0</v>
      </c>
    </row>
    <row r="226" spans="1:37">
      <c r="A226" t="s">
        <v>2478</v>
      </c>
      <c r="AH226" s="123">
        <f t="shared" si="34"/>
        <v>661</v>
      </c>
      <c r="AI226" t="b">
        <f t="shared" si="30"/>
        <v>0</v>
      </c>
      <c r="AJ226" s="123">
        <f t="shared" si="35"/>
        <v>498</v>
      </c>
      <c r="AK226" t="b">
        <f t="shared" si="31"/>
        <v>0</v>
      </c>
    </row>
    <row r="227" spans="1:37">
      <c r="AH227" s="123">
        <f t="shared" si="34"/>
        <v>532</v>
      </c>
      <c r="AI227" t="b">
        <f t="shared" si="30"/>
        <v>0</v>
      </c>
      <c r="AJ227" s="123">
        <f t="shared" si="35"/>
        <v>508</v>
      </c>
      <c r="AK227" t="b">
        <f t="shared" si="31"/>
        <v>0</v>
      </c>
    </row>
    <row r="228" spans="1:37">
      <c r="AH228" s="123">
        <f t="shared" si="34"/>
        <v>577</v>
      </c>
      <c r="AI228" t="b">
        <f t="shared" si="30"/>
        <v>0</v>
      </c>
      <c r="AJ228" s="123">
        <f t="shared" si="35"/>
        <v>38</v>
      </c>
      <c r="AK228" t="b">
        <f t="shared" si="31"/>
        <v>0</v>
      </c>
    </row>
    <row r="229" spans="1:37">
      <c r="AH229" s="123">
        <f t="shared" si="34"/>
        <v>634</v>
      </c>
      <c r="AI229" t="b">
        <f t="shared" si="30"/>
        <v>0</v>
      </c>
      <c r="AJ229" s="123">
        <f t="shared" si="35"/>
        <v>59</v>
      </c>
      <c r="AK229" t="b">
        <f t="shared" si="31"/>
        <v>0</v>
      </c>
    </row>
    <row r="230" spans="1:37">
      <c r="AH230" s="123">
        <f t="shared" si="34"/>
        <v>665</v>
      </c>
      <c r="AI230" t="b">
        <f t="shared" si="30"/>
        <v>0</v>
      </c>
      <c r="AJ230" s="123">
        <f t="shared" si="35"/>
        <v>398</v>
      </c>
      <c r="AK230" t="b">
        <f t="shared" si="31"/>
        <v>0</v>
      </c>
    </row>
    <row r="231" spans="1:37">
      <c r="AH231" s="123">
        <f t="shared" si="34"/>
        <v>701</v>
      </c>
      <c r="AI231" t="b">
        <f t="shared" si="30"/>
        <v>0</v>
      </c>
      <c r="AJ231" s="123">
        <f t="shared" si="35"/>
        <v>512</v>
      </c>
      <c r="AK231" t="b">
        <f t="shared" si="31"/>
        <v>0</v>
      </c>
    </row>
    <row r="232" spans="1:37">
      <c r="AH232" s="123">
        <f t="shared" si="34"/>
        <v>476</v>
      </c>
      <c r="AI232" t="b">
        <f t="shared" si="30"/>
        <v>0</v>
      </c>
      <c r="AJ232" s="123">
        <f t="shared" si="35"/>
        <v>101</v>
      </c>
      <c r="AK232" t="b">
        <f t="shared" si="31"/>
        <v>0</v>
      </c>
    </row>
    <row r="233" spans="1:37">
      <c r="AH233" s="123">
        <f t="shared" si="34"/>
        <v>606</v>
      </c>
      <c r="AI233" t="b">
        <f t="shared" si="30"/>
        <v>0</v>
      </c>
      <c r="AJ233" s="123">
        <f t="shared" si="35"/>
        <v>515</v>
      </c>
      <c r="AK233" t="b">
        <f t="shared" si="31"/>
        <v>0</v>
      </c>
    </row>
    <row r="234" spans="1:37">
      <c r="AH234" s="123">
        <f t="shared" si="34"/>
        <v>523</v>
      </c>
      <c r="AI234" t="b">
        <f t="shared" si="30"/>
        <v>0</v>
      </c>
      <c r="AJ234" s="123">
        <f t="shared" si="35"/>
        <v>2</v>
      </c>
      <c r="AK234" t="b">
        <f t="shared" si="31"/>
        <v>0</v>
      </c>
    </row>
    <row r="235" spans="1:37">
      <c r="AH235" s="123">
        <f t="shared" si="34"/>
        <v>490</v>
      </c>
      <c r="AI235" t="b">
        <f t="shared" si="30"/>
        <v>0</v>
      </c>
      <c r="AJ235" s="123">
        <f t="shared" si="35"/>
        <v>123</v>
      </c>
      <c r="AK235" t="b">
        <f t="shared" si="31"/>
        <v>0</v>
      </c>
    </row>
    <row r="236" spans="1:37">
      <c r="AH236" s="123">
        <f t="shared" si="34"/>
        <v>241</v>
      </c>
      <c r="AI236" t="b">
        <f t="shared" si="30"/>
        <v>0</v>
      </c>
      <c r="AJ236" s="123">
        <f t="shared" si="35"/>
        <v>3</v>
      </c>
      <c r="AK236" t="b">
        <f t="shared" si="31"/>
        <v>0</v>
      </c>
    </row>
    <row r="237" spans="1:37">
      <c r="AH237" s="129">
        <f t="shared" si="34"/>
        <v>503</v>
      </c>
      <c r="AI237" t="b">
        <f t="shared" si="30"/>
        <v>0</v>
      </c>
      <c r="AJ237" s="123">
        <f t="shared" si="35"/>
        <v>282</v>
      </c>
      <c r="AK237" t="b">
        <f t="shared" si="31"/>
        <v>0</v>
      </c>
    </row>
    <row r="238" spans="1:37">
      <c r="AH238" s="123">
        <f t="shared" si="34"/>
        <v>685</v>
      </c>
      <c r="AI238" t="b">
        <f t="shared" si="30"/>
        <v>0</v>
      </c>
      <c r="AJ238" s="123">
        <f t="shared" si="35"/>
        <v>99</v>
      </c>
      <c r="AK238" t="b">
        <f t="shared" si="31"/>
        <v>0</v>
      </c>
    </row>
    <row r="239" spans="1:37">
      <c r="AH239" s="123">
        <f t="shared" si="34"/>
        <v>644</v>
      </c>
      <c r="AI239" t="b">
        <f t="shared" si="30"/>
        <v>0</v>
      </c>
      <c r="AJ239" s="123">
        <f t="shared" si="35"/>
        <v>154</v>
      </c>
      <c r="AK239" t="b">
        <f t="shared" si="31"/>
        <v>0</v>
      </c>
    </row>
    <row r="240" spans="1:37">
      <c r="AH240" s="123">
        <f t="shared" si="34"/>
        <v>648</v>
      </c>
      <c r="AI240" t="b">
        <f t="shared" si="30"/>
        <v>0</v>
      </c>
      <c r="AJ240" s="123">
        <f t="shared" si="35"/>
        <v>380</v>
      </c>
      <c r="AK240" t="b">
        <f t="shared" si="31"/>
        <v>0</v>
      </c>
    </row>
    <row r="241" spans="2:37">
      <c r="AH241" s="123">
        <f t="shared" si="34"/>
        <v>573</v>
      </c>
      <c r="AI241" t="b">
        <f t="shared" si="30"/>
        <v>0</v>
      </c>
      <c r="AJ241" s="123">
        <f t="shared" si="35"/>
        <v>274</v>
      </c>
      <c r="AK241" t="b">
        <f t="shared" si="31"/>
        <v>0</v>
      </c>
    </row>
    <row r="242" spans="2:37">
      <c r="AH242" s="123">
        <f t="shared" si="34"/>
        <v>639</v>
      </c>
      <c r="AI242" t="b">
        <f t="shared" si="30"/>
        <v>0</v>
      </c>
      <c r="AJ242" s="123">
        <f t="shared" si="35"/>
        <v>566</v>
      </c>
      <c r="AK242" t="b">
        <f t="shared" si="31"/>
        <v>0</v>
      </c>
    </row>
    <row r="243" spans="2:37">
      <c r="AH243" s="123">
        <f t="shared" si="34"/>
        <v>505</v>
      </c>
      <c r="AI243" t="b">
        <f t="shared" si="30"/>
        <v>0</v>
      </c>
      <c r="AJ243" s="123">
        <f t="shared" si="35"/>
        <v>110</v>
      </c>
      <c r="AK243" t="b">
        <f t="shared" si="31"/>
        <v>0</v>
      </c>
    </row>
    <row r="244" spans="2:37">
      <c r="AH244" s="123">
        <f t="shared" si="34"/>
        <v>721</v>
      </c>
      <c r="AI244" t="b">
        <f t="shared" si="30"/>
        <v>0</v>
      </c>
      <c r="AJ244" s="165">
        <f t="shared" si="35"/>
        <v>79</v>
      </c>
      <c r="AK244" s="113" t="b">
        <f t="shared" si="31"/>
        <v>0</v>
      </c>
    </row>
    <row r="245" spans="2:37">
      <c r="AH245" s="123">
        <f t="shared" si="34"/>
        <v>552</v>
      </c>
      <c r="AI245" t="b">
        <f t="shared" si="30"/>
        <v>0</v>
      </c>
      <c r="AJ245" s="123">
        <f t="shared" si="35"/>
        <v>45</v>
      </c>
      <c r="AK245" t="b">
        <f t="shared" si="31"/>
        <v>0</v>
      </c>
    </row>
    <row r="246" spans="2:37">
      <c r="AH246" s="123">
        <f t="shared" si="34"/>
        <v>456</v>
      </c>
      <c r="AI246" t="b">
        <f t="shared" si="30"/>
        <v>0</v>
      </c>
      <c r="AJ246" s="123">
        <f t="shared" si="35"/>
        <v>132</v>
      </c>
      <c r="AK246" t="b">
        <f t="shared" si="31"/>
        <v>0</v>
      </c>
    </row>
    <row r="247" spans="2:37">
      <c r="AH247" s="123">
        <f t="shared" si="34"/>
        <v>421</v>
      </c>
      <c r="AI247" t="b">
        <f t="shared" si="30"/>
        <v>0</v>
      </c>
      <c r="AJ247" s="123">
        <f t="shared" si="35"/>
        <v>71</v>
      </c>
      <c r="AK247" t="b">
        <f t="shared" si="31"/>
        <v>0</v>
      </c>
    </row>
    <row r="248" spans="2:37">
      <c r="AH248" s="123">
        <f t="shared" si="34"/>
        <v>864</v>
      </c>
      <c r="AI248" t="b">
        <f t="shared" si="30"/>
        <v>0</v>
      </c>
      <c r="AJ248" s="123">
        <f t="shared" si="35"/>
        <v>104</v>
      </c>
      <c r="AK248" t="b">
        <f t="shared" si="31"/>
        <v>0</v>
      </c>
    </row>
    <row r="249" spans="2:37">
      <c r="AH249" s="123">
        <f t="shared" si="34"/>
        <v>506</v>
      </c>
      <c r="AI249" t="b">
        <f t="shared" si="30"/>
        <v>0</v>
      </c>
      <c r="AJ249" s="123">
        <f t="shared" si="35"/>
        <v>189</v>
      </c>
      <c r="AK249" t="b">
        <f t="shared" si="31"/>
        <v>0</v>
      </c>
    </row>
    <row r="250" spans="2:37">
      <c r="AH250" s="123">
        <f t="shared" si="34"/>
        <v>449</v>
      </c>
      <c r="AI250" t="b">
        <f t="shared" si="30"/>
        <v>0</v>
      </c>
      <c r="AJ250" s="123">
        <f t="shared" si="35"/>
        <v>217</v>
      </c>
      <c r="AK250" t="b">
        <f t="shared" si="31"/>
        <v>0</v>
      </c>
    </row>
    <row r="251" spans="2:37">
      <c r="AH251" s="123">
        <f t="shared" si="34"/>
        <v>502</v>
      </c>
      <c r="AI251" t="b">
        <f t="shared" si="30"/>
        <v>0</v>
      </c>
      <c r="AJ251" s="123">
        <f t="shared" si="35"/>
        <v>172</v>
      </c>
      <c r="AK251" t="b">
        <f t="shared" si="31"/>
        <v>0</v>
      </c>
    </row>
    <row r="252" spans="2:37">
      <c r="AH252" s="123">
        <f t="shared" si="34"/>
        <v>345</v>
      </c>
      <c r="AI252" t="b">
        <f t="shared" si="30"/>
        <v>0</v>
      </c>
      <c r="AJ252" s="123">
        <f t="shared" si="35"/>
        <v>349</v>
      </c>
      <c r="AK252" t="b">
        <f t="shared" si="31"/>
        <v>0</v>
      </c>
    </row>
    <row r="253" spans="2:37">
      <c r="AH253" s="123">
        <f t="shared" si="34"/>
        <v>500</v>
      </c>
      <c r="AI253" t="b">
        <f t="shared" si="30"/>
        <v>0</v>
      </c>
      <c r="AJ253" s="123">
        <f t="shared" si="35"/>
        <v>296</v>
      </c>
      <c r="AK253" t="b">
        <f t="shared" si="31"/>
        <v>0</v>
      </c>
    </row>
    <row r="254" spans="2:37">
      <c r="AH254" s="123">
        <f t="shared" si="34"/>
        <v>521</v>
      </c>
      <c r="AI254" t="b">
        <f t="shared" si="30"/>
        <v>0</v>
      </c>
      <c r="AJ254" s="123">
        <f t="shared" si="35"/>
        <v>323</v>
      </c>
      <c r="AK254" t="b">
        <f t="shared" si="31"/>
        <v>0</v>
      </c>
    </row>
    <row r="255" spans="2:37">
      <c r="B255" s="92"/>
      <c r="C255" s="92"/>
      <c r="D255" s="92"/>
      <c r="E255" s="92"/>
      <c r="F255" s="92"/>
      <c r="G255" s="92"/>
      <c r="AH255" s="123">
        <f t="shared" si="34"/>
        <v>201</v>
      </c>
      <c r="AI255" t="b">
        <f t="shared" si="30"/>
        <v>0</v>
      </c>
      <c r="AJ255" s="123">
        <f t="shared" si="35"/>
        <v>156</v>
      </c>
      <c r="AK255" t="b">
        <f t="shared" si="31"/>
        <v>0</v>
      </c>
    </row>
    <row r="256" spans="2:37">
      <c r="AH256" s="123">
        <f t="shared" si="34"/>
        <v>556</v>
      </c>
      <c r="AI256" t="b">
        <f t="shared" si="30"/>
        <v>0</v>
      </c>
      <c r="AJ256" s="123">
        <f t="shared" si="35"/>
        <v>452</v>
      </c>
      <c r="AK256" t="b">
        <f t="shared" si="31"/>
        <v>0</v>
      </c>
    </row>
    <row r="257" spans="34:37">
      <c r="AH257" s="123">
        <f t="shared" ref="AH257:AH288" si="36">N36</f>
        <v>649</v>
      </c>
      <c r="AI257" t="b">
        <f t="shared" si="30"/>
        <v>0</v>
      </c>
      <c r="AJ257" s="123">
        <f t="shared" ref="AJ257:AJ288" si="37">P36</f>
        <v>24</v>
      </c>
      <c r="AK257" t="b">
        <f t="shared" si="31"/>
        <v>0</v>
      </c>
    </row>
    <row r="258" spans="34:37">
      <c r="AH258" s="123">
        <f t="shared" si="36"/>
        <v>732</v>
      </c>
      <c r="AI258" t="b">
        <f t="shared" si="30"/>
        <v>0</v>
      </c>
      <c r="AJ258" s="123">
        <f t="shared" si="37"/>
        <v>69</v>
      </c>
      <c r="AK258" t="b">
        <f t="shared" si="31"/>
        <v>0</v>
      </c>
    </row>
    <row r="259" spans="34:37">
      <c r="AH259" s="123">
        <f t="shared" si="36"/>
        <v>550</v>
      </c>
      <c r="AI259" t="b">
        <f t="shared" si="30"/>
        <v>0</v>
      </c>
      <c r="AJ259" s="123">
        <f t="shared" si="37"/>
        <v>97</v>
      </c>
      <c r="AK259" t="b">
        <f t="shared" si="31"/>
        <v>0</v>
      </c>
    </row>
    <row r="260" spans="34:37">
      <c r="AH260" s="123">
        <f t="shared" si="36"/>
        <v>528</v>
      </c>
      <c r="AI260" t="b">
        <f t="shared" ref="AI260:AI323" si="38">COUNTIF($AH$3:$AH$443, AH260)&gt;1</f>
        <v>0</v>
      </c>
      <c r="AJ260" s="123">
        <f t="shared" si="37"/>
        <v>89</v>
      </c>
      <c r="AK260" t="b">
        <f t="shared" ref="AK260:AK323" si="39">COUNTIF($AJ$3:$AJ$443, AJ260)&gt;1</f>
        <v>0</v>
      </c>
    </row>
    <row r="261" spans="34:37">
      <c r="AH261" s="123">
        <f t="shared" si="36"/>
        <v>703</v>
      </c>
      <c r="AI261" t="b">
        <f t="shared" si="38"/>
        <v>0</v>
      </c>
      <c r="AJ261" s="129">
        <f t="shared" si="37"/>
        <v>147</v>
      </c>
      <c r="AK261" t="b">
        <f t="shared" si="39"/>
        <v>0</v>
      </c>
    </row>
    <row r="262" spans="34:37">
      <c r="AH262" s="123">
        <f t="shared" si="36"/>
        <v>566</v>
      </c>
      <c r="AI262" t="b">
        <f t="shared" si="38"/>
        <v>0</v>
      </c>
      <c r="AJ262" s="123">
        <f t="shared" si="37"/>
        <v>65</v>
      </c>
      <c r="AK262" t="b">
        <f t="shared" si="39"/>
        <v>0</v>
      </c>
    </row>
    <row r="263" spans="34:37">
      <c r="AH263" s="123">
        <f t="shared" si="36"/>
        <v>619</v>
      </c>
      <c r="AI263" t="b">
        <f t="shared" si="38"/>
        <v>0</v>
      </c>
      <c r="AJ263" s="123">
        <f t="shared" si="37"/>
        <v>420</v>
      </c>
      <c r="AK263" t="b">
        <f t="shared" si="39"/>
        <v>0</v>
      </c>
    </row>
    <row r="264" spans="34:37">
      <c r="AH264" s="123">
        <f t="shared" si="36"/>
        <v>626</v>
      </c>
      <c r="AI264" t="b">
        <f t="shared" si="38"/>
        <v>0</v>
      </c>
      <c r="AJ264" s="123">
        <f t="shared" si="37"/>
        <v>77</v>
      </c>
      <c r="AK264" t="b">
        <f t="shared" si="39"/>
        <v>0</v>
      </c>
    </row>
    <row r="265" spans="34:37">
      <c r="AH265" s="123">
        <f t="shared" si="36"/>
        <v>437</v>
      </c>
      <c r="AI265" t="b">
        <f t="shared" si="38"/>
        <v>0</v>
      </c>
      <c r="AJ265" s="123">
        <f t="shared" si="37"/>
        <v>81</v>
      </c>
      <c r="AK265" t="b">
        <f t="shared" si="39"/>
        <v>0</v>
      </c>
    </row>
    <row r="266" spans="34:37">
      <c r="AH266" s="123">
        <f t="shared" si="36"/>
        <v>643</v>
      </c>
      <c r="AI266" t="b">
        <f t="shared" si="38"/>
        <v>0</v>
      </c>
      <c r="AJ266" s="123">
        <f t="shared" si="37"/>
        <v>117</v>
      </c>
      <c r="AK266" t="b">
        <f t="shared" si="39"/>
        <v>0</v>
      </c>
    </row>
    <row r="267" spans="34:37">
      <c r="AH267" s="123">
        <f t="shared" si="36"/>
        <v>283</v>
      </c>
      <c r="AI267" t="b">
        <f t="shared" si="38"/>
        <v>0</v>
      </c>
      <c r="AJ267" s="123">
        <f t="shared" si="37"/>
        <v>6</v>
      </c>
      <c r="AK267" t="b">
        <f t="shared" si="39"/>
        <v>0</v>
      </c>
    </row>
    <row r="268" spans="34:37">
      <c r="AH268" s="123">
        <f t="shared" si="36"/>
        <v>602</v>
      </c>
      <c r="AI268" t="b">
        <f t="shared" si="38"/>
        <v>0</v>
      </c>
      <c r="AJ268" s="123">
        <f t="shared" si="37"/>
        <v>74</v>
      </c>
      <c r="AK268" t="b">
        <f t="shared" si="39"/>
        <v>0</v>
      </c>
    </row>
    <row r="269" spans="34:37">
      <c r="AH269" s="123">
        <f t="shared" si="36"/>
        <v>427</v>
      </c>
      <c r="AI269" t="b">
        <f t="shared" si="38"/>
        <v>0</v>
      </c>
      <c r="AJ269" s="123">
        <f t="shared" si="37"/>
        <v>102</v>
      </c>
      <c r="AK269" t="b">
        <f t="shared" si="39"/>
        <v>0</v>
      </c>
    </row>
    <row r="270" spans="34:37">
      <c r="AH270" s="123">
        <f t="shared" si="36"/>
        <v>512</v>
      </c>
      <c r="AI270" t="b">
        <f t="shared" si="38"/>
        <v>0</v>
      </c>
      <c r="AJ270" s="123">
        <f t="shared" si="37"/>
        <v>76</v>
      </c>
      <c r="AK270" t="b">
        <f t="shared" si="39"/>
        <v>0</v>
      </c>
    </row>
    <row r="271" spans="34:37">
      <c r="AH271" s="123">
        <f t="shared" si="36"/>
        <v>299</v>
      </c>
      <c r="AI271" t="b">
        <f t="shared" si="38"/>
        <v>0</v>
      </c>
      <c r="AJ271" s="123">
        <f t="shared" si="37"/>
        <v>107</v>
      </c>
      <c r="AK271" t="b">
        <f t="shared" si="39"/>
        <v>0</v>
      </c>
    </row>
    <row r="272" spans="34:37">
      <c r="AH272" s="123">
        <f t="shared" si="36"/>
        <v>739</v>
      </c>
      <c r="AI272" t="b">
        <f t="shared" si="38"/>
        <v>0</v>
      </c>
      <c r="AJ272" s="123">
        <f t="shared" si="37"/>
        <v>155</v>
      </c>
      <c r="AK272" t="b">
        <f t="shared" si="39"/>
        <v>0</v>
      </c>
    </row>
    <row r="273" spans="34:37">
      <c r="AH273" s="123">
        <f t="shared" si="36"/>
        <v>559</v>
      </c>
      <c r="AI273" t="b">
        <f t="shared" si="38"/>
        <v>0</v>
      </c>
      <c r="AJ273" s="123">
        <f t="shared" si="37"/>
        <v>98</v>
      </c>
      <c r="AK273" t="b">
        <f t="shared" si="39"/>
        <v>0</v>
      </c>
    </row>
    <row r="274" spans="34:37">
      <c r="AH274" s="123">
        <f t="shared" si="36"/>
        <v>856</v>
      </c>
      <c r="AI274" t="b">
        <f t="shared" si="38"/>
        <v>0</v>
      </c>
      <c r="AJ274" s="123">
        <f t="shared" si="37"/>
        <v>29</v>
      </c>
      <c r="AK274" t="b">
        <f t="shared" si="39"/>
        <v>0</v>
      </c>
    </row>
    <row r="275" spans="34:37">
      <c r="AH275" s="123">
        <f t="shared" si="36"/>
        <v>599</v>
      </c>
      <c r="AI275" t="b">
        <f t="shared" si="38"/>
        <v>0</v>
      </c>
      <c r="AJ275" s="123">
        <f t="shared" si="37"/>
        <v>312</v>
      </c>
      <c r="AK275" t="b">
        <f t="shared" si="39"/>
        <v>0</v>
      </c>
    </row>
    <row r="276" spans="34:37">
      <c r="AH276" s="123">
        <f t="shared" si="36"/>
        <v>683</v>
      </c>
      <c r="AI276" t="b">
        <f t="shared" si="38"/>
        <v>0</v>
      </c>
      <c r="AJ276" s="123">
        <f t="shared" si="37"/>
        <v>113</v>
      </c>
      <c r="AK276" t="b">
        <f t="shared" si="39"/>
        <v>0</v>
      </c>
    </row>
    <row r="277" spans="34:37">
      <c r="AH277" s="123">
        <f t="shared" si="36"/>
        <v>288</v>
      </c>
      <c r="AI277" t="b">
        <f t="shared" si="38"/>
        <v>0</v>
      </c>
      <c r="AJ277" s="123">
        <f t="shared" si="37"/>
        <v>441</v>
      </c>
      <c r="AK277" t="b">
        <f t="shared" si="39"/>
        <v>0</v>
      </c>
    </row>
    <row r="278" spans="34:37">
      <c r="AH278" s="123">
        <f t="shared" si="36"/>
        <v>616</v>
      </c>
      <c r="AI278" t="b">
        <f t="shared" si="38"/>
        <v>0</v>
      </c>
      <c r="AJ278" s="123" t="str">
        <f t="shared" si="37"/>
        <v>54b</v>
      </c>
      <c r="AK278" s="113" t="b">
        <f t="shared" si="39"/>
        <v>0</v>
      </c>
    </row>
    <row r="279" spans="34:37">
      <c r="AH279" s="123">
        <f t="shared" si="36"/>
        <v>557</v>
      </c>
      <c r="AI279" t="b">
        <f t="shared" si="38"/>
        <v>0</v>
      </c>
      <c r="AJ279" s="123">
        <f t="shared" si="37"/>
        <v>58</v>
      </c>
      <c r="AK279" t="b">
        <f t="shared" si="39"/>
        <v>0</v>
      </c>
    </row>
    <row r="280" spans="34:37">
      <c r="AH280" s="123">
        <f t="shared" si="36"/>
        <v>618</v>
      </c>
      <c r="AI280" t="b">
        <f t="shared" si="38"/>
        <v>0</v>
      </c>
      <c r="AJ280" s="123">
        <f t="shared" si="37"/>
        <v>435</v>
      </c>
      <c r="AK280" t="b">
        <f t="shared" si="39"/>
        <v>0</v>
      </c>
    </row>
    <row r="281" spans="34:37">
      <c r="AH281" s="123">
        <f t="shared" si="36"/>
        <v>593</v>
      </c>
      <c r="AI281" t="b">
        <f t="shared" si="38"/>
        <v>0</v>
      </c>
      <c r="AJ281" s="123">
        <f t="shared" si="37"/>
        <v>31</v>
      </c>
      <c r="AK281" t="b">
        <f t="shared" si="39"/>
        <v>0</v>
      </c>
    </row>
    <row r="282" spans="34:37">
      <c r="AH282" s="123">
        <f t="shared" si="36"/>
        <v>600</v>
      </c>
      <c r="AI282" t="b">
        <f t="shared" si="38"/>
        <v>0</v>
      </c>
      <c r="AJ282" s="123">
        <f t="shared" si="37"/>
        <v>120</v>
      </c>
      <c r="AK282" t="b">
        <f t="shared" si="39"/>
        <v>0</v>
      </c>
    </row>
    <row r="283" spans="34:37">
      <c r="AH283" s="123">
        <f t="shared" si="36"/>
        <v>535</v>
      </c>
      <c r="AI283" t="b">
        <f t="shared" si="38"/>
        <v>0</v>
      </c>
      <c r="AJ283" s="123">
        <f t="shared" si="37"/>
        <v>390</v>
      </c>
      <c r="AK283" t="b">
        <f t="shared" si="39"/>
        <v>0</v>
      </c>
    </row>
    <row r="284" spans="34:37">
      <c r="AH284" s="123">
        <f t="shared" si="36"/>
        <v>391</v>
      </c>
      <c r="AI284" t="b">
        <f t="shared" si="38"/>
        <v>0</v>
      </c>
      <c r="AJ284" s="123">
        <f t="shared" si="37"/>
        <v>143</v>
      </c>
      <c r="AK284" t="b">
        <f t="shared" si="39"/>
        <v>0</v>
      </c>
    </row>
    <row r="285" spans="34:37">
      <c r="AH285" s="123">
        <f t="shared" si="36"/>
        <v>445</v>
      </c>
      <c r="AI285" t="b">
        <f t="shared" si="38"/>
        <v>0</v>
      </c>
      <c r="AJ285" s="123">
        <f t="shared" si="37"/>
        <v>448</v>
      </c>
      <c r="AK285" t="b">
        <f t="shared" si="39"/>
        <v>0</v>
      </c>
    </row>
    <row r="286" spans="34:37">
      <c r="AH286" s="123">
        <f t="shared" si="36"/>
        <v>440</v>
      </c>
      <c r="AI286" t="b">
        <f t="shared" si="38"/>
        <v>0</v>
      </c>
      <c r="AJ286" s="123">
        <f t="shared" si="37"/>
        <v>423</v>
      </c>
      <c r="AK286" t="b">
        <f t="shared" si="39"/>
        <v>0</v>
      </c>
    </row>
    <row r="287" spans="34:37">
      <c r="AH287" s="123">
        <f t="shared" si="36"/>
        <v>673</v>
      </c>
      <c r="AI287" t="b">
        <f t="shared" si="38"/>
        <v>0</v>
      </c>
      <c r="AJ287" s="129">
        <f t="shared" si="37"/>
        <v>550</v>
      </c>
      <c r="AK287" t="b">
        <f t="shared" si="39"/>
        <v>0</v>
      </c>
    </row>
    <row r="288" spans="34:37">
      <c r="AH288" s="123">
        <f t="shared" si="36"/>
        <v>700</v>
      </c>
      <c r="AI288" t="b">
        <f t="shared" si="38"/>
        <v>0</v>
      </c>
      <c r="AJ288" s="123">
        <f t="shared" si="37"/>
        <v>333</v>
      </c>
      <c r="AK288" t="b">
        <f t="shared" si="39"/>
        <v>0</v>
      </c>
    </row>
    <row r="289" spans="34:37">
      <c r="AH289" s="123">
        <f t="shared" ref="AH289" si="40">N68</f>
        <v>760</v>
      </c>
      <c r="AI289" t="b">
        <f t="shared" si="38"/>
        <v>0</v>
      </c>
      <c r="AJ289" s="123">
        <f t="shared" ref="AJ289" si="41">P68</f>
        <v>252</v>
      </c>
      <c r="AK289" t="b">
        <f t="shared" si="39"/>
        <v>0</v>
      </c>
    </row>
    <row r="290" spans="34:37">
      <c r="AH290" s="123">
        <f t="shared" ref="AH290:AH351" si="42">N69</f>
        <v>660</v>
      </c>
      <c r="AI290" t="b">
        <f t="shared" si="38"/>
        <v>0</v>
      </c>
      <c r="AJ290" s="123">
        <f t="shared" ref="AJ290:AJ351" si="43">P69</f>
        <v>44</v>
      </c>
      <c r="AK290" t="b">
        <f t="shared" si="39"/>
        <v>0</v>
      </c>
    </row>
    <row r="291" spans="34:37">
      <c r="AH291" s="123">
        <f t="shared" si="42"/>
        <v>477</v>
      </c>
      <c r="AI291" t="b">
        <f t="shared" si="38"/>
        <v>0</v>
      </c>
      <c r="AJ291" s="123">
        <f t="shared" si="43"/>
        <v>9</v>
      </c>
      <c r="AK291" t="b">
        <f t="shared" si="39"/>
        <v>0</v>
      </c>
    </row>
    <row r="292" spans="34:37">
      <c r="AH292" s="123">
        <f t="shared" si="42"/>
        <v>386</v>
      </c>
      <c r="AI292" t="b">
        <f t="shared" si="38"/>
        <v>0</v>
      </c>
      <c r="AJ292" s="123">
        <f t="shared" si="43"/>
        <v>251</v>
      </c>
      <c r="AK292" t="b">
        <f t="shared" si="39"/>
        <v>0</v>
      </c>
    </row>
    <row r="293" spans="34:37">
      <c r="AH293" s="129">
        <f t="shared" si="42"/>
        <v>414</v>
      </c>
      <c r="AI293" t="b">
        <f t="shared" si="38"/>
        <v>0</v>
      </c>
      <c r="AJ293" s="123">
        <f t="shared" si="43"/>
        <v>266</v>
      </c>
      <c r="AK293" t="b">
        <f t="shared" si="39"/>
        <v>0</v>
      </c>
    </row>
    <row r="294" spans="34:37">
      <c r="AH294" s="123">
        <f t="shared" si="42"/>
        <v>459</v>
      </c>
      <c r="AI294" t="b">
        <f t="shared" si="38"/>
        <v>0</v>
      </c>
      <c r="AJ294" s="123">
        <f t="shared" si="43"/>
        <v>528</v>
      </c>
      <c r="AK294" t="b">
        <f t="shared" si="39"/>
        <v>0</v>
      </c>
    </row>
    <row r="295" spans="34:37">
      <c r="AH295" s="123">
        <f t="shared" si="42"/>
        <v>627</v>
      </c>
      <c r="AI295" t="b">
        <f t="shared" si="38"/>
        <v>0</v>
      </c>
      <c r="AJ295" s="123">
        <f t="shared" si="43"/>
        <v>14</v>
      </c>
      <c r="AK295" t="b">
        <f t="shared" si="39"/>
        <v>0</v>
      </c>
    </row>
    <row r="296" spans="34:37">
      <c r="AH296" s="123">
        <f t="shared" si="42"/>
        <v>498</v>
      </c>
      <c r="AI296" t="b">
        <f t="shared" si="38"/>
        <v>0</v>
      </c>
      <c r="AJ296" s="123">
        <f t="shared" si="43"/>
        <v>393</v>
      </c>
      <c r="AK296" t="b">
        <f t="shared" si="39"/>
        <v>0</v>
      </c>
    </row>
    <row r="297" spans="34:37">
      <c r="AH297" s="123">
        <f t="shared" si="42"/>
        <v>579</v>
      </c>
      <c r="AI297" t="b">
        <f t="shared" si="38"/>
        <v>0</v>
      </c>
      <c r="AJ297" s="123">
        <f t="shared" si="43"/>
        <v>138</v>
      </c>
      <c r="AK297" t="b">
        <f t="shared" si="39"/>
        <v>0</v>
      </c>
    </row>
    <row r="298" spans="34:37">
      <c r="AH298" s="123">
        <f t="shared" si="42"/>
        <v>373</v>
      </c>
      <c r="AI298" t="b">
        <f t="shared" si="38"/>
        <v>0</v>
      </c>
      <c r="AJ298" s="123">
        <f t="shared" si="43"/>
        <v>311</v>
      </c>
      <c r="AK298" t="b">
        <f t="shared" si="39"/>
        <v>0</v>
      </c>
    </row>
    <row r="299" spans="34:37">
      <c r="AH299" s="123">
        <f t="shared" si="42"/>
        <v>603</v>
      </c>
      <c r="AI299" t="b">
        <f t="shared" si="38"/>
        <v>0</v>
      </c>
      <c r="AJ299" s="123">
        <f t="shared" si="43"/>
        <v>183</v>
      </c>
      <c r="AK299" t="b">
        <f t="shared" si="39"/>
        <v>0</v>
      </c>
    </row>
    <row r="300" spans="34:37">
      <c r="AH300" s="123">
        <f t="shared" si="42"/>
        <v>509</v>
      </c>
      <c r="AI300" t="b">
        <f t="shared" si="38"/>
        <v>0</v>
      </c>
      <c r="AJ300" s="123">
        <f t="shared" si="43"/>
        <v>228</v>
      </c>
      <c r="AK300" t="b">
        <f t="shared" si="39"/>
        <v>0</v>
      </c>
    </row>
    <row r="301" spans="34:37">
      <c r="AH301" s="123">
        <f t="shared" si="42"/>
        <v>446</v>
      </c>
      <c r="AI301" t="b">
        <f t="shared" si="38"/>
        <v>0</v>
      </c>
      <c r="AJ301" s="123">
        <f t="shared" si="43"/>
        <v>100</v>
      </c>
      <c r="AK301" t="b">
        <f t="shared" si="39"/>
        <v>0</v>
      </c>
    </row>
    <row r="302" spans="34:37">
      <c r="AH302" s="123">
        <f t="shared" si="42"/>
        <v>249</v>
      </c>
      <c r="AI302" t="b">
        <f t="shared" si="38"/>
        <v>0</v>
      </c>
      <c r="AJ302" s="123">
        <f t="shared" si="43"/>
        <v>56</v>
      </c>
      <c r="AK302" t="b">
        <f t="shared" si="39"/>
        <v>0</v>
      </c>
    </row>
    <row r="303" spans="34:37">
      <c r="AH303" s="123">
        <f t="shared" si="42"/>
        <v>474</v>
      </c>
      <c r="AI303" t="b">
        <f t="shared" si="38"/>
        <v>0</v>
      </c>
      <c r="AJ303" s="132">
        <f t="shared" si="43"/>
        <v>68</v>
      </c>
      <c r="AK303" t="b">
        <f t="shared" si="39"/>
        <v>0</v>
      </c>
    </row>
    <row r="304" spans="34:37">
      <c r="AH304" s="123">
        <f t="shared" si="42"/>
        <v>475</v>
      </c>
      <c r="AI304" t="b">
        <f t="shared" si="38"/>
        <v>0</v>
      </c>
      <c r="AJ304" s="123">
        <f t="shared" si="43"/>
        <v>293</v>
      </c>
      <c r="AK304" t="b">
        <f t="shared" si="39"/>
        <v>0</v>
      </c>
    </row>
    <row r="305" spans="34:37">
      <c r="AH305" s="123">
        <f t="shared" si="42"/>
        <v>840</v>
      </c>
      <c r="AI305" t="b">
        <f t="shared" si="38"/>
        <v>0</v>
      </c>
      <c r="AJ305" s="123">
        <f t="shared" si="43"/>
        <v>368</v>
      </c>
      <c r="AK305" t="b">
        <f t="shared" si="39"/>
        <v>0</v>
      </c>
    </row>
    <row r="306" spans="34:37">
      <c r="AH306" s="123">
        <f t="shared" si="42"/>
        <v>298</v>
      </c>
      <c r="AI306" t="b">
        <f t="shared" si="38"/>
        <v>0</v>
      </c>
      <c r="AJ306" s="123">
        <f t="shared" si="43"/>
        <v>22</v>
      </c>
      <c r="AK306" t="b">
        <f t="shared" si="39"/>
        <v>0</v>
      </c>
    </row>
    <row r="307" spans="34:37">
      <c r="AH307" s="123">
        <f t="shared" si="42"/>
        <v>520</v>
      </c>
      <c r="AI307" t="b">
        <f t="shared" si="38"/>
        <v>0</v>
      </c>
      <c r="AJ307" s="123">
        <f t="shared" si="43"/>
        <v>417</v>
      </c>
      <c r="AK307" t="b">
        <f t="shared" si="39"/>
        <v>0</v>
      </c>
    </row>
    <row r="308" spans="34:37">
      <c r="AH308" s="123">
        <f t="shared" si="42"/>
        <v>441</v>
      </c>
      <c r="AI308" t="b">
        <f t="shared" si="38"/>
        <v>0</v>
      </c>
      <c r="AJ308" s="123">
        <f t="shared" si="43"/>
        <v>391</v>
      </c>
      <c r="AK308" t="b">
        <f t="shared" si="39"/>
        <v>0</v>
      </c>
    </row>
    <row r="309" spans="34:37">
      <c r="AH309" s="123">
        <f t="shared" si="42"/>
        <v>561</v>
      </c>
      <c r="AI309" t="b">
        <f t="shared" si="38"/>
        <v>0</v>
      </c>
      <c r="AJ309" s="123">
        <f t="shared" si="43"/>
        <v>62</v>
      </c>
      <c r="AK309" t="b">
        <f t="shared" si="39"/>
        <v>0</v>
      </c>
    </row>
    <row r="310" spans="34:37">
      <c r="AH310" s="123">
        <f t="shared" si="42"/>
        <v>632</v>
      </c>
      <c r="AI310" t="b">
        <f t="shared" si="38"/>
        <v>0</v>
      </c>
      <c r="AJ310" s="123">
        <f t="shared" si="43"/>
        <v>329</v>
      </c>
      <c r="AK310" t="b">
        <f t="shared" si="39"/>
        <v>0</v>
      </c>
    </row>
    <row r="311" spans="34:37">
      <c r="AH311">
        <f t="shared" si="42"/>
        <v>611</v>
      </c>
      <c r="AI311" t="b">
        <f t="shared" si="38"/>
        <v>0</v>
      </c>
      <c r="AJ311">
        <f t="shared" si="43"/>
        <v>288</v>
      </c>
      <c r="AK311" t="b">
        <f t="shared" si="39"/>
        <v>0</v>
      </c>
    </row>
    <row r="312" spans="34:37">
      <c r="AH312" s="123">
        <f t="shared" si="42"/>
        <v>469</v>
      </c>
      <c r="AI312" t="b">
        <f t="shared" si="38"/>
        <v>0</v>
      </c>
      <c r="AJ312" s="123">
        <f t="shared" si="43"/>
        <v>171</v>
      </c>
      <c r="AK312" t="b">
        <f t="shared" si="39"/>
        <v>0</v>
      </c>
    </row>
    <row r="313" spans="34:37">
      <c r="AH313" s="123">
        <f t="shared" si="42"/>
        <v>355</v>
      </c>
      <c r="AI313" t="b">
        <f t="shared" si="38"/>
        <v>0</v>
      </c>
      <c r="AJ313" s="123">
        <f t="shared" si="43"/>
        <v>517</v>
      </c>
      <c r="AK313" t="b">
        <f t="shared" si="39"/>
        <v>0</v>
      </c>
    </row>
    <row r="314" spans="34:37">
      <c r="AH314" s="123">
        <f t="shared" si="42"/>
        <v>547</v>
      </c>
      <c r="AI314" t="b">
        <f t="shared" si="38"/>
        <v>0</v>
      </c>
      <c r="AJ314" s="123">
        <f t="shared" si="43"/>
        <v>73</v>
      </c>
      <c r="AK314" t="b">
        <f t="shared" si="39"/>
        <v>0</v>
      </c>
    </row>
    <row r="315" spans="34:37">
      <c r="AH315" s="123">
        <f t="shared" si="42"/>
        <v>763</v>
      </c>
      <c r="AI315" t="b">
        <f t="shared" si="38"/>
        <v>0</v>
      </c>
      <c r="AJ315" s="132">
        <f t="shared" si="43"/>
        <v>4</v>
      </c>
      <c r="AK315" t="b">
        <f t="shared" si="39"/>
        <v>0</v>
      </c>
    </row>
    <row r="316" spans="34:37">
      <c r="AH316" s="123">
        <f t="shared" si="42"/>
        <v>424</v>
      </c>
      <c r="AI316" t="b">
        <f t="shared" si="38"/>
        <v>0</v>
      </c>
      <c r="AJ316" s="123">
        <f t="shared" si="43"/>
        <v>136</v>
      </c>
      <c r="AK316" t="b">
        <f t="shared" si="39"/>
        <v>0</v>
      </c>
    </row>
    <row r="317" spans="34:37">
      <c r="AH317">
        <f t="shared" si="42"/>
        <v>588</v>
      </c>
      <c r="AI317" t="b">
        <f t="shared" si="38"/>
        <v>0</v>
      </c>
      <c r="AJ317">
        <f t="shared" si="43"/>
        <v>358</v>
      </c>
      <c r="AK317" t="b">
        <f t="shared" si="39"/>
        <v>0</v>
      </c>
    </row>
    <row r="318" spans="34:37">
      <c r="AH318" s="123">
        <f t="shared" si="42"/>
        <v>486</v>
      </c>
      <c r="AI318" t="b">
        <f t="shared" si="38"/>
        <v>0</v>
      </c>
      <c r="AJ318" s="123">
        <f t="shared" si="43"/>
        <v>547</v>
      </c>
      <c r="AK318" t="b">
        <f t="shared" si="39"/>
        <v>0</v>
      </c>
    </row>
    <row r="319" spans="34:37">
      <c r="AH319" s="123">
        <f t="shared" si="42"/>
        <v>545</v>
      </c>
      <c r="AI319" t="b">
        <f t="shared" si="38"/>
        <v>0</v>
      </c>
      <c r="AJ319" s="123">
        <f t="shared" si="43"/>
        <v>588</v>
      </c>
      <c r="AK319" t="b">
        <f t="shared" si="39"/>
        <v>0</v>
      </c>
    </row>
    <row r="320" spans="34:37">
      <c r="AH320" s="123">
        <f t="shared" si="42"/>
        <v>847</v>
      </c>
      <c r="AI320" t="b">
        <f t="shared" si="38"/>
        <v>0</v>
      </c>
      <c r="AJ320" s="123">
        <f t="shared" si="43"/>
        <v>576</v>
      </c>
      <c r="AK320" t="b">
        <f t="shared" si="39"/>
        <v>0</v>
      </c>
    </row>
    <row r="321" spans="4:37">
      <c r="AH321" s="123">
        <f t="shared" si="42"/>
        <v>730</v>
      </c>
      <c r="AI321" t="b">
        <f t="shared" si="38"/>
        <v>0</v>
      </c>
      <c r="AJ321" s="123">
        <f t="shared" si="43"/>
        <v>561</v>
      </c>
      <c r="AK321" t="b">
        <f t="shared" si="39"/>
        <v>0</v>
      </c>
    </row>
    <row r="322" spans="4:37">
      <c r="AH322" s="123">
        <f t="shared" si="42"/>
        <v>691</v>
      </c>
      <c r="AI322" t="b">
        <f t="shared" si="38"/>
        <v>0</v>
      </c>
      <c r="AJ322" s="123">
        <f t="shared" si="43"/>
        <v>496</v>
      </c>
      <c r="AK322" t="b">
        <f t="shared" si="39"/>
        <v>0</v>
      </c>
    </row>
    <row r="323" spans="4:37">
      <c r="AH323" s="123">
        <f t="shared" si="42"/>
        <v>828</v>
      </c>
      <c r="AI323" t="b">
        <f t="shared" si="38"/>
        <v>0</v>
      </c>
      <c r="AJ323" s="123">
        <f t="shared" si="43"/>
        <v>497</v>
      </c>
      <c r="AK323" t="b">
        <f t="shared" si="39"/>
        <v>0</v>
      </c>
    </row>
    <row r="324" spans="4:37">
      <c r="AH324" s="123">
        <f t="shared" si="42"/>
        <v>875</v>
      </c>
      <c r="AI324" t="b">
        <f t="shared" ref="AI324:AI387" si="44">COUNTIF($AH$3:$AH$443, AH324)&gt;1</f>
        <v>0</v>
      </c>
      <c r="AJ324" s="123">
        <f t="shared" si="43"/>
        <v>10</v>
      </c>
      <c r="AK324" t="b">
        <f t="shared" ref="AK324:AK387" si="45">COUNTIF($AJ$3:$AJ$443, AJ324)&gt;1</f>
        <v>0</v>
      </c>
    </row>
    <row r="325" spans="4:37">
      <c r="AH325" s="123">
        <f t="shared" si="42"/>
        <v>824</v>
      </c>
      <c r="AI325" t="b">
        <f t="shared" si="44"/>
        <v>0</v>
      </c>
      <c r="AJ325" s="123">
        <f t="shared" si="43"/>
        <v>26</v>
      </c>
      <c r="AK325" t="b">
        <f t="shared" si="45"/>
        <v>0</v>
      </c>
    </row>
    <row r="326" spans="4:37">
      <c r="AH326" s="123">
        <f t="shared" si="42"/>
        <v>692</v>
      </c>
      <c r="AI326" t="b">
        <f t="shared" si="44"/>
        <v>0</v>
      </c>
      <c r="AJ326" s="123">
        <f t="shared" si="43"/>
        <v>494</v>
      </c>
      <c r="AK326" t="b">
        <f t="shared" si="45"/>
        <v>0</v>
      </c>
    </row>
    <row r="327" spans="4:37">
      <c r="AH327" s="123">
        <f t="shared" si="42"/>
        <v>806</v>
      </c>
      <c r="AI327" t="b">
        <f t="shared" si="44"/>
        <v>0</v>
      </c>
      <c r="AJ327" s="123">
        <f t="shared" si="43"/>
        <v>475</v>
      </c>
      <c r="AK327" t="b">
        <f t="shared" si="45"/>
        <v>0</v>
      </c>
    </row>
    <row r="328" spans="4:37">
      <c r="AH328" s="123">
        <f t="shared" si="42"/>
        <v>861</v>
      </c>
      <c r="AI328" t="b">
        <f t="shared" si="44"/>
        <v>0</v>
      </c>
      <c r="AJ328" s="123">
        <f t="shared" si="43"/>
        <v>540</v>
      </c>
      <c r="AK328" t="b">
        <f t="shared" si="45"/>
        <v>0</v>
      </c>
    </row>
    <row r="329" spans="4:37">
      <c r="AH329" s="123">
        <f t="shared" si="42"/>
        <v>738</v>
      </c>
      <c r="AI329" t="b">
        <f t="shared" si="44"/>
        <v>0</v>
      </c>
      <c r="AJ329" s="123">
        <f t="shared" si="43"/>
        <v>593</v>
      </c>
      <c r="AK329" t="b">
        <f t="shared" si="45"/>
        <v>0</v>
      </c>
    </row>
    <row r="330" spans="4:37">
      <c r="AH330" s="123">
        <f t="shared" si="42"/>
        <v>676</v>
      </c>
      <c r="AI330" t="b">
        <f t="shared" si="44"/>
        <v>0</v>
      </c>
      <c r="AJ330" s="123">
        <f t="shared" si="43"/>
        <v>510</v>
      </c>
      <c r="AK330" t="b">
        <f t="shared" si="45"/>
        <v>0</v>
      </c>
    </row>
    <row r="331" spans="4:37">
      <c r="AH331" s="123">
        <f t="shared" si="42"/>
        <v>845</v>
      </c>
      <c r="AI331" t="b">
        <f t="shared" si="44"/>
        <v>0</v>
      </c>
      <c r="AJ331" s="123">
        <f t="shared" si="43"/>
        <v>509</v>
      </c>
      <c r="AK331" t="b">
        <f t="shared" si="45"/>
        <v>0</v>
      </c>
    </row>
    <row r="332" spans="4:37">
      <c r="AH332" s="123">
        <f t="shared" si="42"/>
        <v>887</v>
      </c>
      <c r="AI332" t="b">
        <f t="shared" si="44"/>
        <v>0</v>
      </c>
      <c r="AJ332" s="123">
        <f t="shared" si="43"/>
        <v>33</v>
      </c>
      <c r="AK332" t="b">
        <f t="shared" si="45"/>
        <v>0</v>
      </c>
    </row>
    <row r="333" spans="4:37">
      <c r="AH333" s="123">
        <f t="shared" si="42"/>
        <v>882</v>
      </c>
      <c r="AI333" t="b">
        <f t="shared" si="44"/>
        <v>0</v>
      </c>
      <c r="AJ333" s="123" t="str">
        <f t="shared" si="43"/>
        <v>54a</v>
      </c>
      <c r="AK333" s="113" t="b">
        <f t="shared" si="45"/>
        <v>0</v>
      </c>
    </row>
    <row r="334" spans="4:37">
      <c r="AH334" s="123">
        <f t="shared" si="42"/>
        <v>695</v>
      </c>
      <c r="AI334" t="b">
        <f t="shared" si="44"/>
        <v>0</v>
      </c>
      <c r="AJ334" s="123">
        <f t="shared" si="43"/>
        <v>487</v>
      </c>
      <c r="AK334" t="b">
        <f t="shared" si="45"/>
        <v>0</v>
      </c>
    </row>
    <row r="335" spans="4:37">
      <c r="D335" t="s">
        <v>3649</v>
      </c>
      <c r="AH335" s="123">
        <f t="shared" si="42"/>
        <v>852</v>
      </c>
      <c r="AI335" t="b">
        <f t="shared" si="44"/>
        <v>0</v>
      </c>
      <c r="AJ335" s="123">
        <f t="shared" si="43"/>
        <v>530</v>
      </c>
      <c r="AK335" t="b">
        <f t="shared" si="45"/>
        <v>0</v>
      </c>
    </row>
    <row r="336" spans="4:37">
      <c r="D336" s="122" t="s">
        <v>2455</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2187</v>
      </c>
      <c r="W336" s="126"/>
      <c r="X336" s="126" t="s">
        <v>2187</v>
      </c>
      <c r="Y336" s="126"/>
      <c r="Z336" s="123">
        <v>12.2</v>
      </c>
      <c r="AA336" s="123" t="s">
        <v>2250</v>
      </c>
      <c r="AB336" s="123">
        <v>15.2</v>
      </c>
      <c r="AC336" s="123">
        <v>1</v>
      </c>
      <c r="AD336" s="123"/>
      <c r="AH336" s="123">
        <f t="shared" si="42"/>
        <v>769</v>
      </c>
      <c r="AI336" t="b">
        <f t="shared" si="44"/>
        <v>0</v>
      </c>
      <c r="AJ336" s="123">
        <f t="shared" si="43"/>
        <v>578</v>
      </c>
      <c r="AK336" t="b">
        <f t="shared" si="45"/>
        <v>0</v>
      </c>
    </row>
    <row r="337" spans="4:37">
      <c r="D337" s="133" t="s">
        <v>2454</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2187</v>
      </c>
      <c r="W337" s="126" t="s">
        <v>2187</v>
      </c>
      <c r="X337" s="126" t="s">
        <v>2187</v>
      </c>
      <c r="Y337" s="126" t="s">
        <v>2187</v>
      </c>
      <c r="Z337" s="123">
        <v>7.9</v>
      </c>
      <c r="AA337" s="123" t="s">
        <v>2250</v>
      </c>
      <c r="AB337" s="123">
        <v>7.9</v>
      </c>
      <c r="AC337" s="123">
        <v>1</v>
      </c>
      <c r="AD337" s="123"/>
      <c r="AH337" s="123">
        <f t="shared" si="42"/>
        <v>889</v>
      </c>
      <c r="AI337" t="b">
        <f t="shared" si="44"/>
        <v>0</v>
      </c>
      <c r="AJ337" s="123">
        <f t="shared" si="43"/>
        <v>37</v>
      </c>
      <c r="AK337" t="b">
        <f t="shared" si="45"/>
        <v>0</v>
      </c>
    </row>
    <row r="338" spans="4:37">
      <c r="D338" s="133" t="s">
        <v>2453</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2187</v>
      </c>
      <c r="W338" s="126" t="s">
        <v>2234</v>
      </c>
      <c r="X338" s="126" t="s">
        <v>2187</v>
      </c>
      <c r="Y338" s="126"/>
      <c r="Z338" s="123">
        <v>5.13</v>
      </c>
      <c r="AA338" s="123" t="s">
        <v>2250</v>
      </c>
      <c r="AB338" s="123">
        <v>5.13</v>
      </c>
      <c r="AC338" s="123">
        <v>1</v>
      </c>
      <c r="AD338" s="123"/>
      <c r="AH338" s="123">
        <f t="shared" si="42"/>
        <v>778</v>
      </c>
      <c r="AI338" t="b">
        <f t="shared" si="44"/>
        <v>0</v>
      </c>
      <c r="AJ338" s="123">
        <f t="shared" si="43"/>
        <v>522</v>
      </c>
      <c r="AK338" t="b">
        <f t="shared" si="45"/>
        <v>0</v>
      </c>
    </row>
    <row r="339" spans="4:37">
      <c r="D339" s="133" t="s">
        <v>2452</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2187</v>
      </c>
      <c r="W339" s="126"/>
      <c r="X339" s="126"/>
      <c r="Y339" s="126"/>
      <c r="Z339" s="123">
        <v>17.399999999999999</v>
      </c>
      <c r="AA339" s="123" t="s">
        <v>2250</v>
      </c>
      <c r="AB339" s="123">
        <v>13.8</v>
      </c>
      <c r="AC339" s="123">
        <v>1</v>
      </c>
      <c r="AD339" s="123" t="s">
        <v>2422</v>
      </c>
      <c r="AH339" s="123">
        <f t="shared" si="42"/>
        <v>563</v>
      </c>
      <c r="AI339" t="b">
        <f t="shared" si="44"/>
        <v>0</v>
      </c>
      <c r="AJ339" s="123">
        <f t="shared" si="43"/>
        <v>480</v>
      </c>
      <c r="AK339" t="b">
        <f t="shared" si="45"/>
        <v>0</v>
      </c>
    </row>
    <row r="340" spans="4:37">
      <c r="D340" s="133" t="s">
        <v>2453</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2187</v>
      </c>
      <c r="W340" s="126" t="s">
        <v>2230</v>
      </c>
      <c r="X340" s="126" t="s">
        <v>2187</v>
      </c>
      <c r="Y340" s="126" t="s">
        <v>2187</v>
      </c>
      <c r="Z340" s="123">
        <v>5.13</v>
      </c>
      <c r="AA340" s="123" t="s">
        <v>2250</v>
      </c>
      <c r="AB340" s="123">
        <v>5.13</v>
      </c>
      <c r="AC340" s="123">
        <v>1</v>
      </c>
      <c r="AD340" s="123"/>
      <c r="AH340" s="123">
        <f t="shared" si="42"/>
        <v>901</v>
      </c>
      <c r="AI340" t="b">
        <f t="shared" si="44"/>
        <v>0</v>
      </c>
      <c r="AJ340" s="123">
        <f t="shared" si="43"/>
        <v>565</v>
      </c>
      <c r="AK340" t="b">
        <f t="shared" si="45"/>
        <v>0</v>
      </c>
    </row>
    <row r="341" spans="4:37">
      <c r="D341" s="133" t="s">
        <v>2454</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2187</v>
      </c>
      <c r="W341" s="126"/>
      <c r="X341" s="126" t="s">
        <v>2187</v>
      </c>
      <c r="Y341" s="126" t="s">
        <v>2187</v>
      </c>
      <c r="Z341" s="123">
        <v>7.9</v>
      </c>
      <c r="AA341" s="123" t="s">
        <v>2250</v>
      </c>
      <c r="AB341" s="123">
        <v>7.9</v>
      </c>
      <c r="AC341" s="123">
        <v>1</v>
      </c>
      <c r="AD341" s="123"/>
      <c r="AH341" s="123">
        <f t="shared" si="42"/>
        <v>791</v>
      </c>
      <c r="AI341" t="b">
        <f t="shared" si="44"/>
        <v>0</v>
      </c>
      <c r="AJ341" s="123">
        <f t="shared" si="43"/>
        <v>544</v>
      </c>
      <c r="AK341" t="b">
        <f t="shared" si="45"/>
        <v>0</v>
      </c>
    </row>
    <row r="342" spans="4:37">
      <c r="D342" s="133" t="s">
        <v>2452</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2187</v>
      </c>
      <c r="W342" s="126" t="s">
        <v>2187</v>
      </c>
      <c r="X342" s="126"/>
      <c r="Y342" s="126" t="s">
        <v>2187</v>
      </c>
      <c r="Z342" s="123">
        <v>17.399999999999999</v>
      </c>
      <c r="AA342" s="123" t="s">
        <v>2250</v>
      </c>
      <c r="AB342" s="123">
        <v>13.8</v>
      </c>
      <c r="AC342" s="123">
        <v>1</v>
      </c>
      <c r="AD342" s="123"/>
      <c r="AH342" s="123">
        <f t="shared" si="42"/>
        <v>802</v>
      </c>
      <c r="AI342" t="b">
        <f t="shared" si="44"/>
        <v>0</v>
      </c>
      <c r="AJ342" s="123">
        <f t="shared" si="43"/>
        <v>526</v>
      </c>
      <c r="AK342" t="b">
        <f t="shared" si="45"/>
        <v>0</v>
      </c>
    </row>
    <row r="343" spans="4:37">
      <c r="D343" s="122" t="s">
        <v>2455</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2187</v>
      </c>
      <c r="W343" s="126" t="s">
        <v>2187</v>
      </c>
      <c r="X343" s="126" t="s">
        <v>2187</v>
      </c>
      <c r="Y343" s="126" t="s">
        <v>2187</v>
      </c>
      <c r="Z343" s="123">
        <v>12.2</v>
      </c>
      <c r="AA343" s="123" t="s">
        <v>2250</v>
      </c>
      <c r="AB343" s="123">
        <v>15.2</v>
      </c>
      <c r="AC343" s="123">
        <v>1</v>
      </c>
      <c r="AD343" s="123"/>
      <c r="AH343" s="123">
        <f t="shared" si="42"/>
        <v>698</v>
      </c>
      <c r="AI343" t="b">
        <f t="shared" si="44"/>
        <v>0</v>
      </c>
      <c r="AJ343" s="123">
        <f t="shared" si="43"/>
        <v>594</v>
      </c>
      <c r="AK343" t="b">
        <f t="shared" si="45"/>
        <v>0</v>
      </c>
    </row>
    <row r="344" spans="4:37">
      <c r="D344" s="122" t="s">
        <v>2455</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2187</v>
      </c>
      <c r="W344" s="126" t="s">
        <v>2187</v>
      </c>
      <c r="X344" s="126" t="s">
        <v>2187</v>
      </c>
      <c r="Y344" s="126"/>
      <c r="Z344" s="123">
        <v>12.2</v>
      </c>
      <c r="AA344" s="123" t="s">
        <v>2250</v>
      </c>
      <c r="AB344" s="123">
        <v>15.2</v>
      </c>
      <c r="AC344" s="123">
        <v>1</v>
      </c>
      <c r="AD344" s="123"/>
      <c r="AH344" s="123">
        <f t="shared" si="42"/>
        <v>825</v>
      </c>
      <c r="AI344" t="b">
        <f t="shared" si="44"/>
        <v>0</v>
      </c>
      <c r="AJ344" s="123">
        <f t="shared" si="43"/>
        <v>564</v>
      </c>
      <c r="AK344" t="b">
        <f t="shared" si="45"/>
        <v>0</v>
      </c>
    </row>
    <row r="345" spans="4:37">
      <c r="D345" s="133" t="s">
        <v>2452</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2187</v>
      </c>
      <c r="W345" s="126" t="s">
        <v>2187</v>
      </c>
      <c r="X345" s="126" t="s">
        <v>2187</v>
      </c>
      <c r="Y345" s="126"/>
      <c r="Z345" s="123">
        <v>17.399999999999999</v>
      </c>
      <c r="AA345" s="123" t="s">
        <v>2250</v>
      </c>
      <c r="AB345" s="123">
        <v>13.8</v>
      </c>
      <c r="AC345" s="123">
        <v>1</v>
      </c>
      <c r="AD345" s="123"/>
      <c r="AH345" s="123">
        <f t="shared" si="42"/>
        <v>839</v>
      </c>
      <c r="AI345" t="b">
        <f t="shared" si="44"/>
        <v>0</v>
      </c>
      <c r="AJ345" s="123">
        <f t="shared" si="43"/>
        <v>429</v>
      </c>
      <c r="AK345" t="b">
        <f t="shared" si="45"/>
        <v>0</v>
      </c>
    </row>
    <row r="346" spans="4:37">
      <c r="D346" s="133" t="s">
        <v>2453</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2187</v>
      </c>
      <c r="W346" s="126" t="s">
        <v>2179</v>
      </c>
      <c r="X346" s="126" t="s">
        <v>2187</v>
      </c>
      <c r="Y346" s="126"/>
      <c r="Z346" s="123">
        <v>5.13</v>
      </c>
      <c r="AA346" s="123" t="s">
        <v>2250</v>
      </c>
      <c r="AB346" s="123">
        <v>5.13</v>
      </c>
      <c r="AC346" s="123">
        <v>1</v>
      </c>
      <c r="AD346" s="123"/>
      <c r="AH346" s="123">
        <f t="shared" si="42"/>
        <v>895</v>
      </c>
      <c r="AI346" t="b">
        <f t="shared" si="44"/>
        <v>0</v>
      </c>
      <c r="AJ346" s="123">
        <f t="shared" si="43"/>
        <v>466</v>
      </c>
      <c r="AK346" t="b">
        <f t="shared" si="45"/>
        <v>0</v>
      </c>
    </row>
    <row r="347" spans="4:37">
      <c r="D347" s="133" t="s">
        <v>2454</v>
      </c>
      <c r="E347" s="124">
        <v>42769</v>
      </c>
      <c r="F347" s="123"/>
      <c r="G347" s="124">
        <v>42844</v>
      </c>
      <c r="H347" s="124"/>
      <c r="I347" s="125">
        <v>0.71875</v>
      </c>
      <c r="J347" s="125"/>
      <c r="K347" s="123">
        <v>929</v>
      </c>
      <c r="L347" s="123"/>
      <c r="M347" s="165">
        <v>814</v>
      </c>
      <c r="N347" s="165"/>
      <c r="O347" s="165">
        <v>334</v>
      </c>
      <c r="P347" s="165">
        <v>640</v>
      </c>
      <c r="Q347" s="165">
        <v>139</v>
      </c>
      <c r="R347" s="123"/>
      <c r="S347" s="123"/>
      <c r="T347" s="123">
        <v>32.700000000000003</v>
      </c>
      <c r="U347" s="123">
        <v>16.399999999999999</v>
      </c>
      <c r="V347" s="123" t="s">
        <v>2187</v>
      </c>
      <c r="W347" s="126" t="s">
        <v>2187</v>
      </c>
      <c r="X347" s="126" t="s">
        <v>2187</v>
      </c>
      <c r="Y347" s="126"/>
      <c r="Z347" s="123">
        <v>7.9</v>
      </c>
      <c r="AA347" s="123" t="s">
        <v>2250</v>
      </c>
      <c r="AB347" s="123">
        <v>7.9</v>
      </c>
      <c r="AC347" s="123">
        <v>1</v>
      </c>
      <c r="AD347" s="123"/>
      <c r="AH347" s="123">
        <f t="shared" si="42"/>
        <v>682</v>
      </c>
      <c r="AI347" t="b">
        <f t="shared" si="44"/>
        <v>0</v>
      </c>
      <c r="AJ347" s="123">
        <f t="shared" si="43"/>
        <v>471</v>
      </c>
      <c r="AK347" t="b">
        <f t="shared" si="45"/>
        <v>0</v>
      </c>
    </row>
    <row r="348" spans="4:37">
      <c r="D348" s="133" t="s">
        <v>2453</v>
      </c>
      <c r="E348" s="124">
        <v>42769</v>
      </c>
      <c r="F348" s="123"/>
      <c r="G348" s="124">
        <v>42845</v>
      </c>
      <c r="H348" s="124"/>
      <c r="I348" s="125">
        <v>0.42708333333333331</v>
      </c>
      <c r="J348" s="125"/>
      <c r="K348" s="123">
        <v>935</v>
      </c>
      <c r="L348" s="123"/>
      <c r="M348" s="165">
        <v>814</v>
      </c>
      <c r="N348" s="165"/>
      <c r="O348" s="165">
        <v>334</v>
      </c>
      <c r="P348" s="165">
        <v>640</v>
      </c>
      <c r="Q348" s="165">
        <v>139</v>
      </c>
      <c r="R348" s="123"/>
      <c r="S348" s="123"/>
      <c r="T348" s="129">
        <v>23.2</v>
      </c>
      <c r="U348" s="129">
        <v>23.4</v>
      </c>
      <c r="V348" s="123" t="s">
        <v>2200</v>
      </c>
      <c r="W348" s="126" t="s">
        <v>2187</v>
      </c>
      <c r="X348" s="126" t="s">
        <v>2187</v>
      </c>
      <c r="Y348" s="126"/>
      <c r="Z348" s="123">
        <v>5.13</v>
      </c>
      <c r="AA348" s="123" t="s">
        <v>2250</v>
      </c>
      <c r="AB348" s="123">
        <v>5.13</v>
      </c>
      <c r="AC348" s="123">
        <v>1</v>
      </c>
      <c r="AD348" s="123"/>
      <c r="AH348" s="123">
        <f t="shared" si="42"/>
        <v>740</v>
      </c>
      <c r="AI348" t="b">
        <f t="shared" si="44"/>
        <v>0</v>
      </c>
      <c r="AJ348" s="123">
        <f t="shared" si="43"/>
        <v>486</v>
      </c>
      <c r="AK348" t="b">
        <f t="shared" si="45"/>
        <v>0</v>
      </c>
    </row>
    <row r="349" spans="4:37">
      <c r="D349" s="133" t="s">
        <v>2452</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2187</v>
      </c>
      <c r="W349" s="126"/>
      <c r="X349" s="126" t="s">
        <v>2187</v>
      </c>
      <c r="Y349" s="126" t="s">
        <v>2187</v>
      </c>
      <c r="Z349" s="123">
        <v>17.399999999999999</v>
      </c>
      <c r="AA349" s="123" t="s">
        <v>2250</v>
      </c>
      <c r="AB349" s="123">
        <v>13.8</v>
      </c>
      <c r="AC349" s="123">
        <v>1</v>
      </c>
      <c r="AD349" s="123"/>
      <c r="AH349" s="123">
        <f t="shared" si="42"/>
        <v>841</v>
      </c>
      <c r="AI349" t="b">
        <f t="shared" si="44"/>
        <v>0</v>
      </c>
      <c r="AJ349" s="129">
        <f t="shared" si="43"/>
        <v>55</v>
      </c>
      <c r="AK349" t="b">
        <f t="shared" si="45"/>
        <v>0</v>
      </c>
    </row>
    <row r="350" spans="4:37">
      <c r="D350" s="122" t="s">
        <v>2455</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2187</v>
      </c>
      <c r="W350" s="126" t="s">
        <v>2195</v>
      </c>
      <c r="X350" s="126" t="s">
        <v>2187</v>
      </c>
      <c r="Y350" s="126"/>
      <c r="Z350" s="123">
        <v>12.2</v>
      </c>
      <c r="AA350" s="123" t="s">
        <v>2250</v>
      </c>
      <c r="AB350" s="123">
        <v>15.2</v>
      </c>
      <c r="AC350" s="123">
        <v>1</v>
      </c>
      <c r="AD350" s="123"/>
      <c r="AH350" s="123">
        <f t="shared" si="42"/>
        <v>687</v>
      </c>
      <c r="AI350" t="b">
        <f t="shared" si="44"/>
        <v>0</v>
      </c>
      <c r="AJ350" s="123">
        <f t="shared" si="43"/>
        <v>424</v>
      </c>
      <c r="AK350" t="b">
        <f t="shared" si="45"/>
        <v>0</v>
      </c>
    </row>
    <row r="351" spans="4:37">
      <c r="D351" s="133" t="s">
        <v>2454</v>
      </c>
      <c r="E351" s="124">
        <v>42769</v>
      </c>
      <c r="F351" s="123"/>
      <c r="G351" s="124">
        <v>42844</v>
      </c>
      <c r="H351" s="124"/>
      <c r="I351" s="125">
        <v>0.71875</v>
      </c>
      <c r="J351" s="125"/>
      <c r="K351" s="123">
        <v>929</v>
      </c>
      <c r="L351" s="123"/>
      <c r="M351" s="123">
        <v>574</v>
      </c>
      <c r="N351" s="123"/>
      <c r="O351" s="123">
        <v>258</v>
      </c>
      <c r="P351" s="165">
        <v>540</v>
      </c>
      <c r="Q351" s="123">
        <v>149</v>
      </c>
      <c r="R351" s="123"/>
      <c r="S351" s="123"/>
      <c r="T351" s="123">
        <v>31.9</v>
      </c>
      <c r="U351" s="123">
        <v>16.3</v>
      </c>
      <c r="V351" s="123" t="s">
        <v>2187</v>
      </c>
      <c r="W351" s="126" t="s">
        <v>2187</v>
      </c>
      <c r="X351" s="126" t="s">
        <v>2187</v>
      </c>
      <c r="Y351" s="126" t="s">
        <v>2187</v>
      </c>
      <c r="Z351" s="123">
        <v>7.9</v>
      </c>
      <c r="AA351" s="123" t="s">
        <v>2250</v>
      </c>
      <c r="AB351" s="123">
        <v>7.9</v>
      </c>
      <c r="AC351" s="123">
        <v>1</v>
      </c>
      <c r="AD351" s="123"/>
      <c r="AH351" s="123">
        <f t="shared" si="42"/>
        <v>833</v>
      </c>
      <c r="AI351" t="b">
        <f t="shared" si="44"/>
        <v>0</v>
      </c>
      <c r="AJ351" s="123">
        <f t="shared" si="43"/>
        <v>418</v>
      </c>
      <c r="AK351" t="b">
        <f t="shared" si="45"/>
        <v>0</v>
      </c>
    </row>
    <row r="352" spans="4:37">
      <c r="D352" s="133" t="s">
        <v>2453</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2187</v>
      </c>
      <c r="W352" s="126" t="s">
        <v>2187</v>
      </c>
      <c r="X352" s="126" t="s">
        <v>2234</v>
      </c>
      <c r="Y352" s="126" t="s">
        <v>2187</v>
      </c>
      <c r="Z352" s="123">
        <v>5.13</v>
      </c>
      <c r="AA352" s="123" t="s">
        <v>2250</v>
      </c>
      <c r="AB352" s="123">
        <v>5.13</v>
      </c>
      <c r="AC352" s="123">
        <v>1</v>
      </c>
      <c r="AD352" s="123"/>
      <c r="AH352" s="123">
        <f t="shared" ref="AH352:AH415" si="46">N131</f>
        <v>888</v>
      </c>
      <c r="AI352" t="b">
        <f t="shared" si="44"/>
        <v>0</v>
      </c>
      <c r="AJ352" s="123">
        <f t="shared" ref="AJ352:AJ415" si="47">P131</f>
        <v>520</v>
      </c>
      <c r="AK352" t="b">
        <f t="shared" si="45"/>
        <v>0</v>
      </c>
    </row>
    <row r="353" spans="4:37">
      <c r="D353" s="122" t="s">
        <v>2455</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2187</v>
      </c>
      <c r="W353" s="126" t="s">
        <v>2187</v>
      </c>
      <c r="X353" s="126" t="s">
        <v>2187</v>
      </c>
      <c r="Y353" s="126"/>
      <c r="Z353" s="123">
        <v>12.2</v>
      </c>
      <c r="AA353" s="123" t="s">
        <v>2250</v>
      </c>
      <c r="AB353" s="123">
        <v>15.2</v>
      </c>
      <c r="AC353" s="123">
        <v>1</v>
      </c>
      <c r="AD353" s="123"/>
      <c r="AH353" s="123">
        <f t="shared" si="46"/>
        <v>708</v>
      </c>
      <c r="AI353" t="b">
        <f t="shared" si="44"/>
        <v>0</v>
      </c>
      <c r="AJ353" s="123">
        <f t="shared" si="47"/>
        <v>433</v>
      </c>
      <c r="AK353" t="b">
        <f t="shared" si="45"/>
        <v>0</v>
      </c>
    </row>
    <row r="354" spans="4:37">
      <c r="D354" s="133" t="s">
        <v>2452</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2187</v>
      </c>
      <c r="W354" s="126" t="s">
        <v>2187</v>
      </c>
      <c r="X354" s="126" t="s">
        <v>2187</v>
      </c>
      <c r="Y354" s="126" t="s">
        <v>2187</v>
      </c>
      <c r="Z354" s="123">
        <v>17.399999999999999</v>
      </c>
      <c r="AA354" s="123" t="s">
        <v>2250</v>
      </c>
      <c r="AB354" s="123">
        <v>13.8</v>
      </c>
      <c r="AC354" s="123">
        <v>1</v>
      </c>
      <c r="AD354" s="123"/>
      <c r="AH354" s="123">
        <f t="shared" si="46"/>
        <v>768</v>
      </c>
      <c r="AI354" t="b">
        <f t="shared" si="44"/>
        <v>0</v>
      </c>
      <c r="AJ354" s="123">
        <f t="shared" si="47"/>
        <v>592</v>
      </c>
      <c r="AK354" t="b">
        <f t="shared" si="45"/>
        <v>0</v>
      </c>
    </row>
    <row r="355" spans="4:37">
      <c r="D355" s="133" t="s">
        <v>2454</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2234</v>
      </c>
      <c r="X355" s="126" t="s">
        <v>2187</v>
      </c>
      <c r="Y355" s="126" t="s">
        <v>2187</v>
      </c>
      <c r="Z355" s="123">
        <v>7.9</v>
      </c>
      <c r="AA355" s="123" t="s">
        <v>2250</v>
      </c>
      <c r="AB355" s="123">
        <v>7.9</v>
      </c>
      <c r="AC355" s="123">
        <v>1</v>
      </c>
      <c r="AD355" s="123"/>
      <c r="AH355" s="123">
        <f t="shared" si="46"/>
        <v>779</v>
      </c>
      <c r="AI355" t="b">
        <f t="shared" si="44"/>
        <v>0</v>
      </c>
      <c r="AJ355" s="123">
        <f t="shared" si="47"/>
        <v>477</v>
      </c>
      <c r="AK355" t="b">
        <f t="shared" si="45"/>
        <v>0</v>
      </c>
    </row>
    <row r="356" spans="4:37">
      <c r="D356" s="122" t="s">
        <v>2455</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2187</v>
      </c>
      <c r="W356" s="126" t="s">
        <v>2187</v>
      </c>
      <c r="X356" s="126" t="s">
        <v>2187</v>
      </c>
      <c r="Y356" s="126"/>
      <c r="Z356" s="123">
        <v>12.2</v>
      </c>
      <c r="AA356" s="123" t="s">
        <v>2250</v>
      </c>
      <c r="AB356" s="123">
        <v>15.2</v>
      </c>
      <c r="AC356" s="123">
        <v>1</v>
      </c>
      <c r="AD356" s="123"/>
      <c r="AH356" s="123">
        <f t="shared" si="46"/>
        <v>799</v>
      </c>
      <c r="AI356" t="b">
        <f t="shared" si="44"/>
        <v>0</v>
      </c>
      <c r="AJ356" s="123">
        <f t="shared" si="47"/>
        <v>597</v>
      </c>
      <c r="AK356" t="b">
        <f t="shared" si="45"/>
        <v>0</v>
      </c>
    </row>
    <row r="357" spans="4:37">
      <c r="D357" s="133" t="s">
        <v>2454</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2187</v>
      </c>
      <c r="W357" s="126" t="s">
        <v>2187</v>
      </c>
      <c r="X357" s="126" t="s">
        <v>2187</v>
      </c>
      <c r="Y357" s="126" t="s">
        <v>2187</v>
      </c>
      <c r="Z357" s="123">
        <v>7.9</v>
      </c>
      <c r="AA357" s="123" t="s">
        <v>2250</v>
      </c>
      <c r="AB357" s="123">
        <v>7.9</v>
      </c>
      <c r="AC357" s="123">
        <v>1</v>
      </c>
      <c r="AD357" s="123"/>
      <c r="AH357" s="123">
        <f t="shared" si="46"/>
        <v>820</v>
      </c>
      <c r="AI357" t="b">
        <f t="shared" si="44"/>
        <v>0</v>
      </c>
      <c r="AJ357" s="123">
        <f t="shared" si="47"/>
        <v>467</v>
      </c>
      <c r="AK357" t="b">
        <f t="shared" si="45"/>
        <v>0</v>
      </c>
    </row>
    <row r="358" spans="4:37">
      <c r="D358" s="133" t="s">
        <v>2452</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2187</v>
      </c>
      <c r="W358" s="126"/>
      <c r="X358" s="126" t="s">
        <v>2187</v>
      </c>
      <c r="Y358" s="126" t="s">
        <v>2187</v>
      </c>
      <c r="Z358" s="123">
        <v>17.399999999999999</v>
      </c>
      <c r="AA358" s="123" t="s">
        <v>2250</v>
      </c>
      <c r="AB358" s="123">
        <v>13.8</v>
      </c>
      <c r="AC358" s="123">
        <v>1</v>
      </c>
      <c r="AD358" s="123"/>
      <c r="AH358" s="123">
        <f t="shared" si="46"/>
        <v>842</v>
      </c>
      <c r="AI358" t="b">
        <f t="shared" si="44"/>
        <v>0</v>
      </c>
      <c r="AJ358" s="123">
        <f t="shared" si="47"/>
        <v>596</v>
      </c>
      <c r="AK358" t="b">
        <f t="shared" si="45"/>
        <v>0</v>
      </c>
    </row>
    <row r="359" spans="4:37">
      <c r="D359" s="133" t="s">
        <v>2453</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2230</v>
      </c>
      <c r="W359" s="126" t="s">
        <v>2179</v>
      </c>
      <c r="X359" s="126" t="s">
        <v>2187</v>
      </c>
      <c r="Y359" s="126" t="s">
        <v>2187</v>
      </c>
      <c r="Z359" s="123">
        <v>5.13</v>
      </c>
      <c r="AA359" s="123" t="s">
        <v>2250</v>
      </c>
      <c r="AB359" s="123">
        <v>5.13</v>
      </c>
      <c r="AC359" s="123">
        <v>1</v>
      </c>
      <c r="AD359" s="123"/>
      <c r="AH359" s="123">
        <f t="shared" si="46"/>
        <v>747</v>
      </c>
      <c r="AI359" t="b">
        <f t="shared" si="44"/>
        <v>0</v>
      </c>
      <c r="AJ359" s="123">
        <f t="shared" si="47"/>
        <v>543</v>
      </c>
      <c r="AK359" t="b">
        <f t="shared" si="45"/>
        <v>0</v>
      </c>
    </row>
    <row r="360" spans="4:37">
      <c r="D360" s="133" t="s">
        <v>2452</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2187</v>
      </c>
      <c r="W360" s="126" t="s">
        <v>2187</v>
      </c>
      <c r="X360" s="126" t="s">
        <v>2187</v>
      </c>
      <c r="Y360" s="126"/>
      <c r="Z360" s="123">
        <v>17.399999999999999</v>
      </c>
      <c r="AA360" s="123" t="s">
        <v>2250</v>
      </c>
      <c r="AB360" s="123">
        <v>13.8</v>
      </c>
      <c r="AC360" s="123">
        <v>1</v>
      </c>
      <c r="AD360" s="123"/>
      <c r="AH360" s="123">
        <f t="shared" si="46"/>
        <v>857</v>
      </c>
      <c r="AI360" t="b">
        <f t="shared" si="44"/>
        <v>0</v>
      </c>
      <c r="AJ360" s="123">
        <f t="shared" si="47"/>
        <v>483</v>
      </c>
      <c r="AK360" t="b">
        <f t="shared" si="45"/>
        <v>0</v>
      </c>
    </row>
    <row r="361" spans="4:37">
      <c r="D361" s="133" t="s">
        <v>2453</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2187</v>
      </c>
      <c r="W361" s="126" t="s">
        <v>2187</v>
      </c>
      <c r="X361" s="126" t="s">
        <v>2187</v>
      </c>
      <c r="Y361" s="126" t="s">
        <v>2187</v>
      </c>
      <c r="Z361" s="123">
        <v>5.13</v>
      </c>
      <c r="AA361" s="123" t="s">
        <v>2250</v>
      </c>
      <c r="AB361" s="123">
        <v>5.13</v>
      </c>
      <c r="AC361" s="123">
        <v>1</v>
      </c>
      <c r="AD361" s="123"/>
      <c r="AH361" s="123">
        <f t="shared" si="46"/>
        <v>623</v>
      </c>
      <c r="AI361" t="b">
        <f t="shared" si="44"/>
        <v>0</v>
      </c>
      <c r="AJ361" s="123">
        <f t="shared" si="47"/>
        <v>21</v>
      </c>
      <c r="AK361" t="b">
        <f t="shared" si="45"/>
        <v>0</v>
      </c>
    </row>
    <row r="362" spans="4:37">
      <c r="D362" s="133" t="s">
        <v>2454</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2200</v>
      </c>
      <c r="W362" s="126" t="s">
        <v>2187</v>
      </c>
      <c r="X362" s="126" t="s">
        <v>2187</v>
      </c>
      <c r="Y362" s="126"/>
      <c r="Z362" s="123">
        <v>7.9</v>
      </c>
      <c r="AA362" s="123" t="s">
        <v>2250</v>
      </c>
      <c r="AB362" s="123">
        <v>7.9</v>
      </c>
      <c r="AC362" s="123">
        <v>1</v>
      </c>
      <c r="AD362" s="123"/>
      <c r="AH362" s="123">
        <f t="shared" si="46"/>
        <v>880</v>
      </c>
      <c r="AI362" t="b">
        <f t="shared" si="44"/>
        <v>0</v>
      </c>
      <c r="AJ362" s="123">
        <f t="shared" si="47"/>
        <v>538</v>
      </c>
      <c r="AK362" t="b">
        <f t="shared" si="45"/>
        <v>0</v>
      </c>
    </row>
    <row r="363" spans="4:37">
      <c r="D363" s="122" t="s">
        <v>2455</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2187</v>
      </c>
      <c r="W363" s="126" t="s">
        <v>2179</v>
      </c>
      <c r="X363" s="126" t="s">
        <v>2187</v>
      </c>
      <c r="Y363" s="126"/>
      <c r="Z363" s="123">
        <v>12.2</v>
      </c>
      <c r="AA363" s="123" t="s">
        <v>2250</v>
      </c>
      <c r="AB363" s="123">
        <v>15.2</v>
      </c>
      <c r="AC363" s="123">
        <v>1</v>
      </c>
      <c r="AD363" s="123"/>
      <c r="AH363" s="123">
        <f t="shared" si="46"/>
        <v>706</v>
      </c>
      <c r="AI363" t="b">
        <f t="shared" si="44"/>
        <v>0</v>
      </c>
      <c r="AJ363" s="123">
        <f t="shared" si="47"/>
        <v>559</v>
      </c>
      <c r="AK363" t="b">
        <f t="shared" si="45"/>
        <v>0</v>
      </c>
    </row>
    <row r="364" spans="4:37">
      <c r="AH364" s="123">
        <f t="shared" si="46"/>
        <v>775</v>
      </c>
      <c r="AI364" t="b">
        <f t="shared" si="44"/>
        <v>0</v>
      </c>
      <c r="AJ364" s="123">
        <f t="shared" si="47"/>
        <v>465</v>
      </c>
      <c r="AK364" t="b">
        <f t="shared" si="45"/>
        <v>0</v>
      </c>
    </row>
    <row r="365" spans="4:37">
      <c r="AH365" s="123">
        <f t="shared" si="46"/>
        <v>850</v>
      </c>
      <c r="AI365" t="b">
        <f t="shared" si="44"/>
        <v>0</v>
      </c>
      <c r="AJ365" s="123">
        <f t="shared" si="47"/>
        <v>503</v>
      </c>
      <c r="AK365" t="b">
        <f t="shared" si="45"/>
        <v>0</v>
      </c>
    </row>
    <row r="366" spans="4:37">
      <c r="AH366" s="123">
        <f t="shared" si="46"/>
        <v>697</v>
      </c>
      <c r="AI366" t="b">
        <f t="shared" si="44"/>
        <v>0</v>
      </c>
      <c r="AJ366" s="123">
        <f t="shared" si="47"/>
        <v>567</v>
      </c>
      <c r="AK366" t="b">
        <f t="shared" si="45"/>
        <v>0</v>
      </c>
    </row>
    <row r="367" spans="4:37">
      <c r="AH367" s="123">
        <f t="shared" si="46"/>
        <v>894</v>
      </c>
      <c r="AI367" t="b">
        <f t="shared" si="44"/>
        <v>0</v>
      </c>
      <c r="AJ367" s="123">
        <f t="shared" si="47"/>
        <v>15</v>
      </c>
      <c r="AK367" t="b">
        <f t="shared" si="45"/>
        <v>0</v>
      </c>
    </row>
    <row r="368" spans="4:37">
      <c r="AH368" s="129">
        <f t="shared" si="46"/>
        <v>653</v>
      </c>
      <c r="AI368" t="b">
        <f t="shared" si="44"/>
        <v>0</v>
      </c>
      <c r="AJ368" s="123">
        <f t="shared" si="47"/>
        <v>40</v>
      </c>
      <c r="AK368" t="b">
        <f t="shared" si="45"/>
        <v>0</v>
      </c>
    </row>
    <row r="369" spans="34:37">
      <c r="AH369" s="123">
        <f t="shared" si="46"/>
        <v>762</v>
      </c>
      <c r="AI369" t="b">
        <f t="shared" si="44"/>
        <v>0</v>
      </c>
      <c r="AJ369" s="123">
        <f t="shared" si="47"/>
        <v>468</v>
      </c>
      <c r="AK369" t="b">
        <f t="shared" si="45"/>
        <v>0</v>
      </c>
    </row>
    <row r="370" spans="34:37">
      <c r="AH370" s="123">
        <f t="shared" si="46"/>
        <v>878</v>
      </c>
      <c r="AI370" t="b">
        <f t="shared" si="44"/>
        <v>0</v>
      </c>
      <c r="AJ370" s="123">
        <f t="shared" si="47"/>
        <v>582</v>
      </c>
      <c r="AK370" t="b">
        <f t="shared" si="45"/>
        <v>0</v>
      </c>
    </row>
    <row r="371" spans="34:37">
      <c r="AH371" s="123">
        <f t="shared" si="46"/>
        <v>807</v>
      </c>
      <c r="AI371" t="b">
        <f t="shared" si="44"/>
        <v>0</v>
      </c>
      <c r="AJ371" s="123">
        <f t="shared" si="47"/>
        <v>20</v>
      </c>
      <c r="AK371" t="b">
        <f t="shared" si="45"/>
        <v>0</v>
      </c>
    </row>
    <row r="372" spans="34:37">
      <c r="AH372" s="123">
        <f t="shared" si="46"/>
        <v>696</v>
      </c>
      <c r="AI372" t="b">
        <f t="shared" si="44"/>
        <v>0</v>
      </c>
      <c r="AJ372" s="123">
        <f t="shared" si="47"/>
        <v>533</v>
      </c>
      <c r="AK372" t="b">
        <f t="shared" si="45"/>
        <v>0</v>
      </c>
    </row>
    <row r="373" spans="34:37">
      <c r="AH373" s="123">
        <f t="shared" si="46"/>
        <v>801</v>
      </c>
      <c r="AI373" t="b">
        <f t="shared" si="44"/>
        <v>0</v>
      </c>
      <c r="AJ373" s="123">
        <f t="shared" si="47"/>
        <v>572</v>
      </c>
      <c r="AK373" t="b">
        <f t="shared" si="45"/>
        <v>0</v>
      </c>
    </row>
    <row r="374" spans="34:37">
      <c r="AH374" s="123">
        <f t="shared" si="46"/>
        <v>647</v>
      </c>
      <c r="AI374" t="b">
        <f t="shared" si="44"/>
        <v>0</v>
      </c>
      <c r="AJ374" s="123">
        <f t="shared" si="47"/>
        <v>504</v>
      </c>
      <c r="AK374" t="b">
        <f t="shared" si="45"/>
        <v>0</v>
      </c>
    </row>
    <row r="375" spans="34:37">
      <c r="AH375" s="123">
        <f t="shared" si="46"/>
        <v>744</v>
      </c>
      <c r="AI375" t="b">
        <f t="shared" si="44"/>
        <v>0</v>
      </c>
      <c r="AJ375" s="123">
        <f t="shared" si="47"/>
        <v>579</v>
      </c>
      <c r="AK375" t="b">
        <f t="shared" si="45"/>
        <v>0</v>
      </c>
    </row>
    <row r="376" spans="34:37">
      <c r="AH376" s="123">
        <f t="shared" si="46"/>
        <v>885</v>
      </c>
      <c r="AI376" t="b">
        <f t="shared" si="44"/>
        <v>0</v>
      </c>
      <c r="AJ376" s="123">
        <f t="shared" si="47"/>
        <v>440</v>
      </c>
      <c r="AK376" t="b">
        <f t="shared" si="45"/>
        <v>0</v>
      </c>
    </row>
    <row r="377" spans="34:37">
      <c r="AH377" s="123">
        <f t="shared" si="46"/>
        <v>684</v>
      </c>
      <c r="AI377" t="b">
        <f t="shared" si="44"/>
        <v>0</v>
      </c>
      <c r="AJ377" s="123">
        <f t="shared" si="47"/>
        <v>485</v>
      </c>
      <c r="AK377" t="b">
        <f t="shared" si="45"/>
        <v>0</v>
      </c>
    </row>
    <row r="378" spans="34:37">
      <c r="AH378" s="123">
        <f t="shared" si="46"/>
        <v>827</v>
      </c>
      <c r="AI378" t="b">
        <f t="shared" si="44"/>
        <v>0</v>
      </c>
      <c r="AJ378" s="123">
        <f t="shared" si="47"/>
        <v>556</v>
      </c>
      <c r="AK378" t="b">
        <f t="shared" si="45"/>
        <v>0</v>
      </c>
    </row>
    <row r="379" spans="34:37">
      <c r="AH379" s="123">
        <f t="shared" si="46"/>
        <v>667</v>
      </c>
      <c r="AI379" t="b">
        <f t="shared" si="44"/>
        <v>0</v>
      </c>
      <c r="AJ379" s="123">
        <f t="shared" si="47"/>
        <v>464</v>
      </c>
      <c r="AK379" t="b">
        <f t="shared" si="45"/>
        <v>0</v>
      </c>
    </row>
    <row r="380" spans="34:37">
      <c r="AH380" s="123">
        <f t="shared" si="46"/>
        <v>777</v>
      </c>
      <c r="AI380" t="b">
        <f t="shared" si="44"/>
        <v>0</v>
      </c>
      <c r="AJ380" s="123">
        <f t="shared" si="47"/>
        <v>35</v>
      </c>
      <c r="AK380" t="b">
        <f t="shared" si="45"/>
        <v>0</v>
      </c>
    </row>
    <row r="381" spans="34:37">
      <c r="AH381" s="123">
        <f t="shared" si="46"/>
        <v>884</v>
      </c>
      <c r="AI381" t="b">
        <f t="shared" si="44"/>
        <v>0</v>
      </c>
      <c r="AJ381" s="123">
        <f t="shared" si="47"/>
        <v>570</v>
      </c>
      <c r="AK381" t="b">
        <f t="shared" si="45"/>
        <v>0</v>
      </c>
    </row>
    <row r="382" spans="34:37">
      <c r="AH382" s="123">
        <f t="shared" si="46"/>
        <v>731</v>
      </c>
      <c r="AI382" t="b">
        <f t="shared" si="44"/>
        <v>0</v>
      </c>
      <c r="AJ382" s="123">
        <f t="shared" si="47"/>
        <v>439</v>
      </c>
      <c r="AK382" t="b">
        <f t="shared" si="45"/>
        <v>0</v>
      </c>
    </row>
    <row r="383" spans="34:37">
      <c r="AH383" s="123">
        <f t="shared" si="46"/>
        <v>876</v>
      </c>
      <c r="AI383" t="b">
        <f t="shared" si="44"/>
        <v>0</v>
      </c>
      <c r="AJ383" s="123">
        <f t="shared" si="47"/>
        <v>461</v>
      </c>
      <c r="AK383" t="b">
        <f t="shared" si="45"/>
        <v>0</v>
      </c>
    </row>
    <row r="384" spans="34:37">
      <c r="AH384" s="123">
        <f t="shared" si="46"/>
        <v>351</v>
      </c>
      <c r="AI384" t="b">
        <f t="shared" si="44"/>
        <v>0</v>
      </c>
      <c r="AJ384" s="123">
        <f t="shared" si="47"/>
        <v>253</v>
      </c>
      <c r="AK384" t="b">
        <f t="shared" si="45"/>
        <v>0</v>
      </c>
    </row>
    <row r="385" spans="34:37">
      <c r="AH385" s="123">
        <f t="shared" si="46"/>
        <v>442</v>
      </c>
      <c r="AI385" t="b">
        <f t="shared" si="44"/>
        <v>0</v>
      </c>
      <c r="AJ385" s="123">
        <f t="shared" si="47"/>
        <v>285</v>
      </c>
      <c r="AK385" t="b">
        <f t="shared" si="45"/>
        <v>0</v>
      </c>
    </row>
    <row r="386" spans="34:37">
      <c r="AH386" s="123">
        <f t="shared" si="46"/>
        <v>743</v>
      </c>
      <c r="AI386" t="b">
        <f t="shared" si="44"/>
        <v>0</v>
      </c>
      <c r="AJ386" s="123">
        <f t="shared" si="47"/>
        <v>341</v>
      </c>
      <c r="AK386" t="b">
        <f t="shared" si="45"/>
        <v>0</v>
      </c>
    </row>
    <row r="387" spans="34:37">
      <c r="AH387" s="123">
        <f t="shared" si="46"/>
        <v>390</v>
      </c>
      <c r="AI387" t="b">
        <f t="shared" si="44"/>
        <v>0</v>
      </c>
      <c r="AJ387" s="129">
        <f t="shared" si="47"/>
        <v>264</v>
      </c>
      <c r="AK387" t="b">
        <f t="shared" si="45"/>
        <v>0</v>
      </c>
    </row>
    <row r="388" spans="34:37">
      <c r="AH388" s="123">
        <f t="shared" si="46"/>
        <v>810</v>
      </c>
      <c r="AI388" t="b">
        <f t="shared" ref="AI388:AI443" si="48">COUNTIF($AH$3:$AH$443, AH388)&gt;1</f>
        <v>0</v>
      </c>
      <c r="AJ388" s="123">
        <f t="shared" si="47"/>
        <v>411</v>
      </c>
      <c r="AK388" t="b">
        <f t="shared" ref="AK388:AK443" si="49">COUNTIF($AJ$3:$AJ$443, AJ388)&gt;1</f>
        <v>0</v>
      </c>
    </row>
    <row r="389" spans="34:37">
      <c r="AH389" s="123">
        <f t="shared" si="46"/>
        <v>287</v>
      </c>
      <c r="AI389" t="b">
        <f t="shared" si="48"/>
        <v>0</v>
      </c>
      <c r="AJ389" s="123">
        <f t="shared" si="47"/>
        <v>259</v>
      </c>
      <c r="AK389" t="b">
        <f t="shared" si="49"/>
        <v>0</v>
      </c>
    </row>
    <row r="390" spans="34:37">
      <c r="AH390" s="123">
        <f t="shared" si="46"/>
        <v>443</v>
      </c>
      <c r="AI390" t="b">
        <f t="shared" si="48"/>
        <v>0</v>
      </c>
      <c r="AJ390" s="123">
        <f t="shared" si="47"/>
        <v>215</v>
      </c>
      <c r="AK390" t="b">
        <f t="shared" si="49"/>
        <v>0</v>
      </c>
    </row>
    <row r="391" spans="34:37">
      <c r="AH391" s="123">
        <f t="shared" si="46"/>
        <v>680</v>
      </c>
      <c r="AI391" t="b">
        <f t="shared" si="48"/>
        <v>0</v>
      </c>
      <c r="AJ391" s="123">
        <f t="shared" si="47"/>
        <v>322</v>
      </c>
      <c r="AK391" t="b">
        <f t="shared" si="49"/>
        <v>0</v>
      </c>
    </row>
    <row r="392" spans="34:37">
      <c r="AH392" s="123">
        <f t="shared" si="46"/>
        <v>496</v>
      </c>
      <c r="AI392" t="b">
        <f t="shared" si="48"/>
        <v>0</v>
      </c>
      <c r="AJ392" s="123">
        <f t="shared" si="47"/>
        <v>403</v>
      </c>
      <c r="AK392" t="b">
        <f t="shared" si="49"/>
        <v>0</v>
      </c>
    </row>
    <row r="393" spans="34:37">
      <c r="AH393" s="123">
        <f t="shared" si="46"/>
        <v>674</v>
      </c>
      <c r="AI393" t="b">
        <f t="shared" si="48"/>
        <v>0</v>
      </c>
      <c r="AJ393" s="123">
        <f t="shared" si="47"/>
        <v>583</v>
      </c>
      <c r="AK393" t="b">
        <f t="shared" si="49"/>
        <v>0</v>
      </c>
    </row>
    <row r="394" spans="34:37">
      <c r="AH394" s="123">
        <f t="shared" si="46"/>
        <v>504</v>
      </c>
      <c r="AI394" t="b">
        <f t="shared" si="48"/>
        <v>0</v>
      </c>
      <c r="AJ394" s="123">
        <f t="shared" si="47"/>
        <v>451</v>
      </c>
      <c r="AK394" t="b">
        <f t="shared" si="49"/>
        <v>0</v>
      </c>
    </row>
    <row r="395" spans="34:37">
      <c r="AH395" s="123">
        <f t="shared" si="46"/>
        <v>439</v>
      </c>
      <c r="AI395" t="b">
        <f t="shared" si="48"/>
        <v>0</v>
      </c>
      <c r="AJ395" s="123">
        <f t="shared" si="47"/>
        <v>353</v>
      </c>
      <c r="AK395" t="b">
        <f t="shared" si="49"/>
        <v>0</v>
      </c>
    </row>
    <row r="396" spans="34:37">
      <c r="AH396" s="123">
        <f t="shared" si="46"/>
        <v>865</v>
      </c>
      <c r="AI396" t="b">
        <f t="shared" si="48"/>
        <v>0</v>
      </c>
      <c r="AJ396" s="123">
        <f t="shared" si="47"/>
        <v>105</v>
      </c>
      <c r="AK396" t="b">
        <f t="shared" si="49"/>
        <v>0</v>
      </c>
    </row>
    <row r="397" spans="34:37">
      <c r="AH397" s="123">
        <f t="shared" si="46"/>
        <v>736</v>
      </c>
      <c r="AI397" t="b">
        <f t="shared" si="48"/>
        <v>0</v>
      </c>
      <c r="AJ397" s="123">
        <f t="shared" si="47"/>
        <v>384</v>
      </c>
      <c r="AK397" t="b">
        <f t="shared" si="49"/>
        <v>0</v>
      </c>
    </row>
    <row r="398" spans="34:37">
      <c r="AH398" s="123">
        <f t="shared" si="46"/>
        <v>792</v>
      </c>
      <c r="AI398" t="b">
        <f t="shared" si="48"/>
        <v>0</v>
      </c>
      <c r="AJ398" s="123">
        <f t="shared" si="47"/>
        <v>481</v>
      </c>
      <c r="AK398" t="b">
        <f t="shared" si="49"/>
        <v>0</v>
      </c>
    </row>
    <row r="399" spans="34:37">
      <c r="AH399" s="123">
        <f t="shared" si="46"/>
        <v>470</v>
      </c>
      <c r="AI399" t="b">
        <f t="shared" si="48"/>
        <v>0</v>
      </c>
      <c r="AJ399" s="123">
        <f t="shared" si="47"/>
        <v>490</v>
      </c>
      <c r="AK399" t="b">
        <f t="shared" si="49"/>
        <v>0</v>
      </c>
    </row>
    <row r="400" spans="34:37">
      <c r="AH400" s="123">
        <f t="shared" si="46"/>
        <v>483</v>
      </c>
      <c r="AI400" t="b">
        <f t="shared" si="48"/>
        <v>0</v>
      </c>
      <c r="AJ400" s="123">
        <f t="shared" si="47"/>
        <v>470</v>
      </c>
      <c r="AK400" t="b">
        <f t="shared" si="49"/>
        <v>0</v>
      </c>
    </row>
    <row r="401" spans="34:37">
      <c r="AH401" s="123">
        <f t="shared" si="46"/>
        <v>893</v>
      </c>
      <c r="AI401" t="b">
        <f t="shared" si="48"/>
        <v>0</v>
      </c>
      <c r="AJ401" s="123">
        <f t="shared" si="47"/>
        <v>488</v>
      </c>
      <c r="AK401" t="b">
        <f t="shared" si="49"/>
        <v>0</v>
      </c>
    </row>
    <row r="402" spans="34:37">
      <c r="AH402" s="123">
        <f t="shared" si="46"/>
        <v>826</v>
      </c>
      <c r="AI402" t="b">
        <f t="shared" si="48"/>
        <v>0</v>
      </c>
      <c r="AJ402" s="123">
        <f t="shared" si="47"/>
        <v>273</v>
      </c>
      <c r="AK402" t="b">
        <f t="shared" si="49"/>
        <v>0</v>
      </c>
    </row>
    <row r="403" spans="34:37">
      <c r="AH403" s="123">
        <f t="shared" si="46"/>
        <v>783</v>
      </c>
      <c r="AI403" t="b">
        <f t="shared" si="48"/>
        <v>0</v>
      </c>
      <c r="AJ403" s="123">
        <f t="shared" si="47"/>
        <v>301</v>
      </c>
      <c r="AK403" t="b">
        <f t="shared" si="49"/>
        <v>0</v>
      </c>
    </row>
    <row r="404" spans="34:37">
      <c r="AH404" s="123">
        <f t="shared" si="46"/>
        <v>551</v>
      </c>
      <c r="AI404" t="b">
        <f t="shared" si="48"/>
        <v>0</v>
      </c>
      <c r="AJ404" s="123">
        <f t="shared" si="47"/>
        <v>291</v>
      </c>
      <c r="AK404" t="b">
        <f t="shared" si="49"/>
        <v>0</v>
      </c>
    </row>
    <row r="405" spans="34:37">
      <c r="AH405" s="123">
        <f t="shared" si="46"/>
        <v>818</v>
      </c>
      <c r="AI405" t="b">
        <f t="shared" si="48"/>
        <v>0</v>
      </c>
      <c r="AJ405" s="123">
        <f t="shared" si="47"/>
        <v>537</v>
      </c>
      <c r="AK405" t="b">
        <f t="shared" si="49"/>
        <v>0</v>
      </c>
    </row>
    <row r="406" spans="34:37">
      <c r="AH406" s="123">
        <f t="shared" si="46"/>
        <v>896</v>
      </c>
      <c r="AI406" t="b">
        <f t="shared" si="48"/>
        <v>0</v>
      </c>
      <c r="AJ406" s="123">
        <f t="shared" si="47"/>
        <v>290</v>
      </c>
      <c r="AK406" t="b">
        <f t="shared" si="49"/>
        <v>0</v>
      </c>
    </row>
    <row r="407" spans="34:37">
      <c r="AH407" s="123">
        <f t="shared" si="46"/>
        <v>337</v>
      </c>
      <c r="AI407" t="b">
        <f t="shared" si="48"/>
        <v>0</v>
      </c>
      <c r="AJ407" s="123">
        <f t="shared" si="47"/>
        <v>555</v>
      </c>
      <c r="AK407" t="b">
        <f t="shared" si="49"/>
        <v>0</v>
      </c>
    </row>
    <row r="408" spans="34:37">
      <c r="AH408" s="123">
        <f t="shared" si="46"/>
        <v>564</v>
      </c>
      <c r="AI408" t="b">
        <f t="shared" si="48"/>
        <v>0</v>
      </c>
      <c r="AJ408" s="123">
        <f t="shared" si="47"/>
        <v>539</v>
      </c>
      <c r="AK408" t="b">
        <f t="shared" si="49"/>
        <v>0</v>
      </c>
    </row>
    <row r="409" spans="34:37">
      <c r="AH409" s="123">
        <f t="shared" si="46"/>
        <v>608</v>
      </c>
      <c r="AI409" t="b">
        <f t="shared" si="48"/>
        <v>0</v>
      </c>
      <c r="AJ409" s="123">
        <f t="shared" si="47"/>
        <v>186</v>
      </c>
      <c r="AK409" t="b">
        <f t="shared" si="49"/>
        <v>0</v>
      </c>
    </row>
    <row r="410" spans="34:37">
      <c r="AH410" s="123">
        <f t="shared" si="46"/>
        <v>365</v>
      </c>
      <c r="AI410" t="b">
        <f t="shared" si="48"/>
        <v>0</v>
      </c>
      <c r="AJ410" s="121">
        <f t="shared" si="47"/>
        <v>580</v>
      </c>
      <c r="AK410" t="b">
        <f t="shared" si="49"/>
        <v>0</v>
      </c>
    </row>
    <row r="411" spans="34:37">
      <c r="AH411" s="123">
        <f t="shared" si="46"/>
        <v>375</v>
      </c>
      <c r="AI411" t="b">
        <f t="shared" si="48"/>
        <v>0</v>
      </c>
      <c r="AJ411" s="123">
        <f t="shared" si="47"/>
        <v>222</v>
      </c>
      <c r="AK411" t="b">
        <f t="shared" si="49"/>
        <v>0</v>
      </c>
    </row>
    <row r="412" spans="34:37">
      <c r="AH412" s="123">
        <f t="shared" si="46"/>
        <v>537</v>
      </c>
      <c r="AI412" t="b">
        <f t="shared" si="48"/>
        <v>0</v>
      </c>
      <c r="AJ412" s="123">
        <f t="shared" si="47"/>
        <v>216</v>
      </c>
      <c r="AK412" t="b">
        <f t="shared" si="49"/>
        <v>0</v>
      </c>
    </row>
    <row r="413" spans="34:37">
      <c r="AH413" s="123">
        <f t="shared" si="46"/>
        <v>393</v>
      </c>
      <c r="AI413" t="b">
        <f t="shared" si="48"/>
        <v>0</v>
      </c>
      <c r="AJ413" s="123">
        <f t="shared" si="47"/>
        <v>232</v>
      </c>
      <c r="AK413" t="b">
        <f t="shared" si="49"/>
        <v>0</v>
      </c>
    </row>
    <row r="414" spans="34:37">
      <c r="AH414" s="123">
        <f t="shared" si="46"/>
        <v>417</v>
      </c>
      <c r="AI414" t="b">
        <f t="shared" si="48"/>
        <v>0</v>
      </c>
      <c r="AJ414" s="123">
        <f t="shared" si="47"/>
        <v>387</v>
      </c>
      <c r="AK414" t="b">
        <f t="shared" si="49"/>
        <v>0</v>
      </c>
    </row>
    <row r="415" spans="34:37">
      <c r="AH415" s="129">
        <f t="shared" si="46"/>
        <v>297</v>
      </c>
      <c r="AI415" t="b">
        <f t="shared" si="48"/>
        <v>0</v>
      </c>
      <c r="AJ415" s="123">
        <f t="shared" si="47"/>
        <v>346</v>
      </c>
      <c r="AK415" t="b">
        <f t="shared" si="49"/>
        <v>0</v>
      </c>
    </row>
    <row r="416" spans="34:37">
      <c r="AH416" s="123">
        <f t="shared" ref="AH416:AH443" si="50">N195</f>
        <v>584</v>
      </c>
      <c r="AI416" t="b">
        <f t="shared" si="48"/>
        <v>0</v>
      </c>
      <c r="AJ416" s="123">
        <f t="shared" ref="AJ416:AJ443" si="51">P195</f>
        <v>364</v>
      </c>
      <c r="AK416" t="b">
        <f t="shared" si="49"/>
        <v>0</v>
      </c>
    </row>
    <row r="417" spans="34:37">
      <c r="AH417" s="123">
        <f t="shared" si="50"/>
        <v>713</v>
      </c>
      <c r="AI417" t="b">
        <f t="shared" si="48"/>
        <v>0</v>
      </c>
      <c r="AJ417" s="123">
        <f t="shared" si="51"/>
        <v>167</v>
      </c>
      <c r="AK417" t="b">
        <f t="shared" si="49"/>
        <v>0</v>
      </c>
    </row>
    <row r="418" spans="34:37">
      <c r="AH418" s="123">
        <f t="shared" si="50"/>
        <v>525</v>
      </c>
      <c r="AI418" t="b">
        <f t="shared" si="48"/>
        <v>0</v>
      </c>
      <c r="AJ418" s="123">
        <f t="shared" si="51"/>
        <v>25</v>
      </c>
      <c r="AK418" t="b">
        <f t="shared" si="49"/>
        <v>0</v>
      </c>
    </row>
    <row r="419" spans="34:37">
      <c r="AH419" s="123">
        <f t="shared" si="50"/>
        <v>886</v>
      </c>
      <c r="AI419" t="b">
        <f t="shared" si="48"/>
        <v>0</v>
      </c>
      <c r="AJ419" s="123">
        <f t="shared" si="51"/>
        <v>362</v>
      </c>
      <c r="AK419" t="b">
        <f t="shared" si="49"/>
        <v>0</v>
      </c>
    </row>
    <row r="420" spans="34:37">
      <c r="AH420" s="123">
        <f t="shared" si="50"/>
        <v>388</v>
      </c>
      <c r="AI420" t="b">
        <f t="shared" si="48"/>
        <v>0</v>
      </c>
      <c r="AJ420" s="123">
        <f t="shared" si="51"/>
        <v>370</v>
      </c>
      <c r="AK420" t="b">
        <f t="shared" si="49"/>
        <v>0</v>
      </c>
    </row>
    <row r="421" spans="34:37">
      <c r="AH421" s="123">
        <f t="shared" si="50"/>
        <v>462</v>
      </c>
      <c r="AI421" t="b">
        <f t="shared" si="48"/>
        <v>0</v>
      </c>
      <c r="AJ421" s="123">
        <f t="shared" si="51"/>
        <v>168</v>
      </c>
      <c r="AK421" t="b">
        <f t="shared" si="49"/>
        <v>0</v>
      </c>
    </row>
    <row r="422" spans="34:37">
      <c r="AH422" s="123">
        <f t="shared" si="50"/>
        <v>712</v>
      </c>
      <c r="AI422" t="b">
        <f t="shared" si="48"/>
        <v>0</v>
      </c>
      <c r="AJ422" s="123">
        <f t="shared" si="51"/>
        <v>369</v>
      </c>
      <c r="AK422" t="b">
        <f t="shared" si="49"/>
        <v>0</v>
      </c>
    </row>
    <row r="423" spans="34:37">
      <c r="AH423" s="123">
        <f t="shared" si="50"/>
        <v>709</v>
      </c>
      <c r="AI423" t="b">
        <f t="shared" si="48"/>
        <v>0</v>
      </c>
      <c r="AJ423" s="123">
        <f t="shared" si="51"/>
        <v>359</v>
      </c>
      <c r="AK423" t="b">
        <f t="shared" si="49"/>
        <v>0</v>
      </c>
    </row>
    <row r="424" spans="34:37">
      <c r="AH424" s="123">
        <f t="shared" si="50"/>
        <v>707</v>
      </c>
      <c r="AI424" t="b">
        <f t="shared" si="48"/>
        <v>0</v>
      </c>
      <c r="AJ424" s="123">
        <f t="shared" si="51"/>
        <v>395</v>
      </c>
      <c r="AK424" t="b">
        <f t="shared" si="49"/>
        <v>0</v>
      </c>
    </row>
    <row r="425" spans="34:37">
      <c r="AH425" s="123">
        <f t="shared" si="50"/>
        <v>770</v>
      </c>
      <c r="AI425" t="b">
        <f t="shared" si="48"/>
        <v>0</v>
      </c>
      <c r="AJ425" s="123">
        <f t="shared" si="51"/>
        <v>182</v>
      </c>
      <c r="AK425" t="b">
        <f t="shared" si="49"/>
        <v>0</v>
      </c>
    </row>
    <row r="426" spans="34:37">
      <c r="AH426" s="123">
        <f t="shared" si="50"/>
        <v>753</v>
      </c>
      <c r="AI426" t="b">
        <f t="shared" si="48"/>
        <v>0</v>
      </c>
      <c r="AJ426" s="123">
        <f t="shared" si="51"/>
        <v>342</v>
      </c>
      <c r="AK426" t="b">
        <f t="shared" si="49"/>
        <v>0</v>
      </c>
    </row>
    <row r="427" spans="34:37">
      <c r="AH427" s="123">
        <f t="shared" si="50"/>
        <v>640</v>
      </c>
      <c r="AI427" t="b">
        <f t="shared" si="48"/>
        <v>0</v>
      </c>
      <c r="AJ427" s="123">
        <f t="shared" si="51"/>
        <v>139</v>
      </c>
      <c r="AK427" t="b">
        <f t="shared" si="49"/>
        <v>0</v>
      </c>
    </row>
    <row r="428" spans="34:37">
      <c r="AH428" s="123">
        <f t="shared" si="50"/>
        <v>668</v>
      </c>
      <c r="AI428" t="b">
        <f t="shared" si="48"/>
        <v>0</v>
      </c>
      <c r="AJ428" s="123">
        <f t="shared" si="51"/>
        <v>92</v>
      </c>
      <c r="AK428" t="b">
        <f t="shared" si="49"/>
        <v>0</v>
      </c>
    </row>
    <row r="429" spans="34:37">
      <c r="AH429" s="123">
        <f t="shared" si="50"/>
        <v>891</v>
      </c>
      <c r="AI429" t="b">
        <f t="shared" si="48"/>
        <v>0</v>
      </c>
      <c r="AJ429" s="123">
        <f t="shared" si="51"/>
        <v>328</v>
      </c>
      <c r="AK429" t="b">
        <f t="shared" si="49"/>
        <v>0</v>
      </c>
    </row>
    <row r="430" spans="34:37">
      <c r="AH430" s="123">
        <f t="shared" si="50"/>
        <v>540</v>
      </c>
      <c r="AI430" s="113" t="b">
        <f t="shared" si="48"/>
        <v>0</v>
      </c>
      <c r="AJ430" s="123">
        <f t="shared" si="51"/>
        <v>149</v>
      </c>
      <c r="AK430" t="b">
        <f t="shared" si="49"/>
        <v>0</v>
      </c>
    </row>
    <row r="431" spans="34:37">
      <c r="AH431" s="123">
        <f t="shared" si="50"/>
        <v>508</v>
      </c>
      <c r="AI431" t="b">
        <f t="shared" si="48"/>
        <v>0</v>
      </c>
      <c r="AJ431" s="123">
        <f t="shared" si="51"/>
        <v>449</v>
      </c>
      <c r="AK431" t="b">
        <f t="shared" si="49"/>
        <v>0</v>
      </c>
    </row>
    <row r="432" spans="34:37">
      <c r="AH432" s="123">
        <f t="shared" si="50"/>
        <v>637</v>
      </c>
      <c r="AI432" t="b">
        <f t="shared" si="48"/>
        <v>0</v>
      </c>
      <c r="AJ432" s="123">
        <f t="shared" si="51"/>
        <v>142</v>
      </c>
      <c r="AK432" t="b">
        <f t="shared" si="49"/>
        <v>0</v>
      </c>
    </row>
    <row r="433" spans="34:37">
      <c r="AH433" s="123">
        <f t="shared" si="50"/>
        <v>720</v>
      </c>
      <c r="AI433" t="b">
        <f t="shared" si="48"/>
        <v>0</v>
      </c>
      <c r="AJ433" s="123">
        <f t="shared" si="51"/>
        <v>392</v>
      </c>
      <c r="AK433" t="b">
        <f t="shared" si="49"/>
        <v>0</v>
      </c>
    </row>
    <row r="434" spans="34:37">
      <c r="AH434" s="123">
        <f t="shared" si="50"/>
        <v>796</v>
      </c>
      <c r="AI434" t="b">
        <f t="shared" si="48"/>
        <v>0</v>
      </c>
      <c r="AJ434" s="123">
        <f t="shared" si="51"/>
        <v>589</v>
      </c>
      <c r="AK434" t="b">
        <f t="shared" si="49"/>
        <v>0</v>
      </c>
    </row>
    <row r="435" spans="34:37">
      <c r="AH435" s="123">
        <f t="shared" si="50"/>
        <v>560</v>
      </c>
      <c r="AI435" t="b">
        <f t="shared" si="48"/>
        <v>0</v>
      </c>
      <c r="AJ435" s="123">
        <f t="shared" si="51"/>
        <v>130</v>
      </c>
      <c r="AK435" t="b">
        <f t="shared" si="49"/>
        <v>0</v>
      </c>
    </row>
    <row r="436" spans="34:37">
      <c r="AH436" s="123">
        <f t="shared" si="50"/>
        <v>716</v>
      </c>
      <c r="AI436" t="b">
        <f t="shared" si="48"/>
        <v>0</v>
      </c>
      <c r="AJ436" s="123">
        <f t="shared" si="51"/>
        <v>111</v>
      </c>
      <c r="AK436" t="b">
        <f t="shared" si="49"/>
        <v>0</v>
      </c>
    </row>
    <row r="437" spans="34:37">
      <c r="AH437" s="123">
        <f t="shared" si="50"/>
        <v>581</v>
      </c>
      <c r="AI437" t="b">
        <f t="shared" si="48"/>
        <v>0</v>
      </c>
      <c r="AJ437" s="123">
        <f t="shared" si="51"/>
        <v>412</v>
      </c>
      <c r="AK437" t="b">
        <f t="shared" si="49"/>
        <v>0</v>
      </c>
    </row>
    <row r="438" spans="34:37">
      <c r="AH438" s="123">
        <f t="shared" si="50"/>
        <v>718</v>
      </c>
      <c r="AI438" t="b">
        <f t="shared" si="48"/>
        <v>0</v>
      </c>
      <c r="AJ438" s="123">
        <f t="shared" si="51"/>
        <v>434</v>
      </c>
      <c r="AK438" t="b">
        <f t="shared" si="49"/>
        <v>0</v>
      </c>
    </row>
    <row r="439" spans="34:37">
      <c r="AH439" s="123">
        <f t="shared" si="50"/>
        <v>613</v>
      </c>
      <c r="AI439" t="b">
        <f t="shared" si="48"/>
        <v>0</v>
      </c>
      <c r="AJ439" s="123">
        <f t="shared" si="51"/>
        <v>457</v>
      </c>
      <c r="AK439" t="b">
        <f t="shared" si="49"/>
        <v>0</v>
      </c>
    </row>
    <row r="440" spans="34:37">
      <c r="AH440" s="123">
        <f t="shared" si="50"/>
        <v>804</v>
      </c>
      <c r="AI440" t="b">
        <f t="shared" si="48"/>
        <v>0</v>
      </c>
      <c r="AJ440" s="123">
        <f t="shared" si="51"/>
        <v>410</v>
      </c>
      <c r="AK440" t="b">
        <f t="shared" si="49"/>
        <v>0</v>
      </c>
    </row>
    <row r="441" spans="34:37">
      <c r="AH441" s="123">
        <f t="shared" si="50"/>
        <v>587</v>
      </c>
      <c r="AI441" t="b">
        <f t="shared" si="48"/>
        <v>0</v>
      </c>
      <c r="AJ441" s="123">
        <f t="shared" si="51"/>
        <v>103</v>
      </c>
      <c r="AK441" t="b">
        <f t="shared" si="49"/>
        <v>0</v>
      </c>
    </row>
    <row r="442" spans="34:37">
      <c r="AH442" s="123">
        <f t="shared" si="50"/>
        <v>491</v>
      </c>
      <c r="AI442" t="b">
        <f t="shared" si="48"/>
        <v>0</v>
      </c>
      <c r="AJ442" s="123">
        <f t="shared" si="51"/>
        <v>356</v>
      </c>
      <c r="AK442" t="b">
        <f t="shared" si="49"/>
        <v>0</v>
      </c>
    </row>
    <row r="443" spans="34:37">
      <c r="AH443" s="123">
        <f t="shared" si="50"/>
        <v>849</v>
      </c>
      <c r="AI443" t="b">
        <f t="shared" si="48"/>
        <v>0</v>
      </c>
      <c r="AJ443" s="123">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1"/>
  <sheetViews>
    <sheetView topLeftCell="A662" zoomScale="85" zoomScaleNormal="85" workbookViewId="0">
      <selection activeCell="A696" sqref="A696"/>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2149</v>
      </c>
      <c r="C1" s="111" t="s">
        <v>2148</v>
      </c>
      <c r="D1" s="111" t="s">
        <v>2147</v>
      </c>
      <c r="E1" s="111" t="s">
        <v>1141</v>
      </c>
      <c r="F1" s="111" t="s">
        <v>2166</v>
      </c>
      <c r="H1" s="111" t="s">
        <v>2471</v>
      </c>
      <c r="I1" s="111" t="s">
        <v>2470</v>
      </c>
      <c r="N1" s="111" t="s">
        <v>3922</v>
      </c>
      <c r="T1" s="394" t="s">
        <v>2153</v>
      </c>
      <c r="U1" s="395"/>
      <c r="V1" s="395"/>
      <c r="W1" s="395"/>
      <c r="X1" s="395"/>
      <c r="Y1" s="395"/>
      <c r="Z1" s="395"/>
      <c r="AA1" s="395"/>
      <c r="AB1" s="110" t="s">
        <v>2152</v>
      </c>
      <c r="AC1" s="110" t="s">
        <v>2151</v>
      </c>
      <c r="AE1" s="110" t="s">
        <v>2150</v>
      </c>
    </row>
    <row r="2" spans="1:31" ht="13.95" customHeight="1">
      <c r="H2" s="110">
        <f>COUNTIF(D3:D840, "*soil*")</f>
        <v>30</v>
      </c>
      <c r="I2" s="110">
        <f>COUNTIF(D3:D840, "*empty*")</f>
        <v>32</v>
      </c>
    </row>
    <row r="3" spans="1:31" ht="13.95" customHeight="1">
      <c r="A3" s="110" t="s">
        <v>1896</v>
      </c>
      <c r="B3" s="110" t="s">
        <v>2077</v>
      </c>
      <c r="C3" s="110">
        <v>0.59470000000000001</v>
      </c>
      <c r="D3" s="110" t="s">
        <v>2115</v>
      </c>
      <c r="E3" s="112">
        <v>43119</v>
      </c>
    </row>
    <row r="4" spans="1:31" ht="13.95" customHeight="1">
      <c r="A4" s="110" t="s">
        <v>1849</v>
      </c>
      <c r="B4" s="110" t="s">
        <v>2077</v>
      </c>
      <c r="C4" s="110">
        <v>0.67359999999999998</v>
      </c>
      <c r="E4" s="112">
        <v>43122</v>
      </c>
      <c r="N4" s="110" t="str">
        <f>IFERROR(INDEX('WetLitterbags placem_collection'!$A$3:$A$500,MATCH(A4,'WetLitterbags placem_collection'!$K$4:$K$500,0)),"")</f>
        <v/>
      </c>
      <c r="O4" s="110">
        <f>IFERROR(INDEX('WetLitterbags placem_collection'!$A$3:$A$500,MATCH(A4,'WetLitterbags placem_collection'!$O$4:$O$500,0)),"")</f>
        <v>31</v>
      </c>
      <c r="P4" s="110" t="str">
        <f>IFERROR(INDEX('WetLitterbags placem_collection'!$A$3:$A$500,MATCH(A4,'WetLitterbags placem_collection'!$M$4:$M$500,0)),"")</f>
        <v/>
      </c>
      <c r="Q4" s="110" t="str">
        <f>IFERROR(INDEX('WetLitterbags placem_collection'!$A$3:$A$500,MATCH(A4,'WetLitterbags placem_collection'!$Q$4:$Q$500,0)),"")</f>
        <v/>
      </c>
    </row>
    <row r="5" spans="1:31" ht="13.95" customHeight="1">
      <c r="A5" s="110" t="s">
        <v>1848</v>
      </c>
      <c r="B5" s="110">
        <v>163</v>
      </c>
      <c r="C5" s="110">
        <v>0.64500000000000002</v>
      </c>
      <c r="E5" s="112">
        <v>42881</v>
      </c>
      <c r="N5" s="110">
        <f>IFERROR(INDEX('WetLitterbags placem_collection'!$A$3:$A$500,MATCH(A5,'WetLitterbags placem_collection'!$K$4:$K$500,0)),"")</f>
        <v>162</v>
      </c>
      <c r="O5" s="110" t="str">
        <f>IFERROR(INDEX('WetLitterbags placem_collection'!$A$3:$A$500,MATCH(A5,'WetLitterbags placem_collection'!$O$4:$O$500,0)),"")</f>
        <v/>
      </c>
      <c r="P5" s="110" t="str">
        <f>IFERROR(INDEX('WetLitterbags placem_collection'!$A$3:$A$500,MATCH(A5,'WetLitterbags placem_collection'!$M$4:$M$500,0)),"")</f>
        <v/>
      </c>
      <c r="Q5" s="110" t="str">
        <f>IFERROR(INDEX('WetLitterbags placem_collection'!$A$3:$A$500,MATCH(A5,'WetLitterbags placem_collection'!$Q$4:$Q$500,0)),"")</f>
        <v/>
      </c>
    </row>
    <row r="6" spans="1:31" ht="13.95" customHeight="1">
      <c r="A6" s="110" t="s">
        <v>1836</v>
      </c>
      <c r="B6" s="110">
        <v>39</v>
      </c>
      <c r="C6" s="110">
        <v>0.8327</v>
      </c>
      <c r="E6" s="112">
        <v>43123</v>
      </c>
      <c r="N6" s="110">
        <f>IFERROR(INDEX('WetLitterbags placem_collection'!$A$3:$A$500,MATCH(A6,'WetLitterbags placem_collection'!$K$4:$K$500,0)),"")</f>
        <v>38</v>
      </c>
      <c r="O6" s="110" t="str">
        <f>IFERROR(INDEX('WetLitterbags placem_collection'!$A$3:$A$500,MATCH(A6,'WetLitterbags placem_collection'!$O$4:$O$500,0)),"")</f>
        <v/>
      </c>
      <c r="P6" s="110" t="str">
        <f>IFERROR(INDEX('WetLitterbags placem_collection'!$A$3:$A$500,MATCH(A6,'WetLitterbags placem_collection'!$M$4:$M$500,0)),"")</f>
        <v/>
      </c>
      <c r="Q6" s="110" t="str">
        <f>IFERROR(INDEX('WetLitterbags placem_collection'!$A$3:$A$500,MATCH(A6,'WetLitterbags placem_collection'!$Q$4:$Q$500,0)),"")</f>
        <v/>
      </c>
    </row>
    <row r="7" spans="1:31" ht="13.95" customHeight="1">
      <c r="A7" s="110" t="s">
        <v>1834</v>
      </c>
      <c r="B7" s="110">
        <v>173</v>
      </c>
      <c r="C7" s="110">
        <v>0.57999999999999996</v>
      </c>
      <c r="E7" s="112">
        <v>42879</v>
      </c>
      <c r="N7" s="110">
        <f>IFERROR(INDEX('WetLitterbags placem_collection'!$A$3:$A$500,MATCH(A7,'WetLitterbags placem_collection'!$K$4:$K$500,0)),"")</f>
        <v>172</v>
      </c>
      <c r="O7" s="110" t="str">
        <f>IFERROR(INDEX('WetLitterbags placem_collection'!$A$3:$A$500,MATCH(A7,'WetLitterbags placem_collection'!$O$4:$O$500,0)),"")</f>
        <v/>
      </c>
      <c r="P7" s="110" t="str">
        <f>IFERROR(INDEX('WetLitterbags placem_collection'!$A$3:$A$500,MATCH(A7,'WetLitterbags placem_collection'!$M$4:$M$500,0)),"")</f>
        <v/>
      </c>
      <c r="Q7" s="110" t="str">
        <f>IFERROR(INDEX('WetLitterbags placem_collection'!$A$3:$A$500,MATCH(A7,'WetLitterbags placem_collection'!$Q$4:$Q$500,0)),"")</f>
        <v/>
      </c>
    </row>
    <row r="8" spans="1:31" ht="13.95" customHeight="1">
      <c r="A8" s="110" t="s">
        <v>1833</v>
      </c>
      <c r="B8" s="110">
        <v>79</v>
      </c>
      <c r="C8" s="110">
        <v>0.85370000000000001</v>
      </c>
      <c r="E8" s="112">
        <v>43125</v>
      </c>
      <c r="G8" s="113"/>
      <c r="H8" s="113"/>
      <c r="I8" s="113"/>
      <c r="N8" s="110">
        <f>IFERROR(INDEX('WetLitterbags placem_collection'!$A$3:$A$500,MATCH(A8,'WetLitterbags placem_collection'!$K$4:$K$500,0)),"")</f>
        <v>78</v>
      </c>
      <c r="O8" s="110" t="str">
        <f>IFERROR(INDEX('WetLitterbags placem_collection'!$A$3:$A$500,MATCH(A8,'WetLitterbags placem_collection'!$O$4:$O$500,0)),"")</f>
        <v/>
      </c>
      <c r="P8" s="110" t="str">
        <f>IFERROR(INDEX('WetLitterbags placem_collection'!$A$3:$A$500,MATCH(A8,'WetLitterbags placem_collection'!$M$4:$M$500,0)),"")</f>
        <v/>
      </c>
      <c r="Q8" s="110" t="str">
        <f>IFERROR(INDEX('WetLitterbags placem_collection'!$A$3:$A$500,MATCH(A8,'WetLitterbags placem_collection'!$Q$4:$Q$500,0)),"")</f>
        <v/>
      </c>
    </row>
    <row r="9" spans="1:31" ht="13.95" customHeight="1">
      <c r="A9" s="110" t="s">
        <v>1828</v>
      </c>
      <c r="B9" s="110">
        <v>15</v>
      </c>
      <c r="C9" s="110">
        <v>0.67100000000000004</v>
      </c>
      <c r="E9" s="112">
        <v>42879</v>
      </c>
      <c r="N9" s="110">
        <f>IFERROR(INDEX('WetLitterbags placem_collection'!$A$3:$A$500,MATCH(A9,'WetLitterbags placem_collection'!$K$4:$K$500,0)),"")</f>
        <v>14</v>
      </c>
      <c r="O9" s="110" t="str">
        <f>IFERROR(INDEX('WetLitterbags placem_collection'!$A$3:$A$500,MATCH(A9,'WetLitterbags placem_collection'!$O$4:$O$500,0)),"")</f>
        <v/>
      </c>
      <c r="P9" s="110" t="str">
        <f>IFERROR(INDEX('WetLitterbags placem_collection'!$A$3:$A$500,MATCH(A9,'WetLitterbags placem_collection'!$M$4:$M$500,0)),"")</f>
        <v/>
      </c>
      <c r="Q9" s="110" t="str">
        <f>IFERROR(INDEX('WetLitterbags placem_collection'!$A$3:$A$500,MATCH(A9,'WetLitterbags placem_collection'!$Q$4:$Q$500,0)),"")</f>
        <v/>
      </c>
    </row>
    <row r="10" spans="1:31" ht="13.95" customHeight="1">
      <c r="A10" s="110" t="s">
        <v>1810</v>
      </c>
      <c r="B10" s="110" t="s">
        <v>2077</v>
      </c>
      <c r="C10" s="110">
        <v>0.88690000000000002</v>
      </c>
      <c r="E10" s="112">
        <v>43122</v>
      </c>
      <c r="N10" s="110">
        <f>IFERROR(INDEX('WetLitterbags placem_collection'!$A$3:$A$500,MATCH(A10,'WetLitterbags placem_collection'!$K$4:$K$500,0)),"")</f>
        <v>18</v>
      </c>
      <c r="O10" s="110" t="str">
        <f>IFERROR(INDEX('WetLitterbags placem_collection'!$A$3:$A$500,MATCH(A10,'WetLitterbags placem_collection'!$O$4:$O$500,0)),"")</f>
        <v/>
      </c>
      <c r="P10" s="110" t="str">
        <f>IFERROR(INDEX('WetLitterbags placem_collection'!$A$3:$A$500,MATCH(A10,'WetLitterbags placem_collection'!$M$4:$M$500,0)),"")</f>
        <v/>
      </c>
      <c r="Q10" s="110" t="str">
        <f>IFERROR(INDEX('WetLitterbags placem_collection'!$A$3:$A$500,MATCH(A10,'WetLitterbags placem_collection'!$Q$4:$Q$500,0)),"")</f>
        <v/>
      </c>
    </row>
    <row r="11" spans="1:31" ht="13.95" customHeight="1">
      <c r="A11" s="110" t="s">
        <v>1809</v>
      </c>
      <c r="B11" s="110" t="s">
        <v>2077</v>
      </c>
      <c r="C11" s="110">
        <v>0.52059999999999995</v>
      </c>
      <c r="E11" s="112">
        <v>43122</v>
      </c>
      <c r="N11" s="110" t="str">
        <f>IFERROR(INDEX('WetLitterbags placem_collection'!$A$3:$A$500,MATCH(A11,'WetLitterbags placem_collection'!$K$4:$K$500,0)),"")</f>
        <v/>
      </c>
      <c r="O11" s="110">
        <f>IFERROR(INDEX('WetLitterbags placem_collection'!$A$3:$A$500,MATCH(A11,'WetLitterbags placem_collection'!$O$4:$O$500,0)),"")</f>
        <v>12</v>
      </c>
      <c r="P11" s="110" t="str">
        <f>IFERROR(INDEX('WetLitterbags placem_collection'!$A$3:$A$500,MATCH(A11,'WetLitterbags placem_collection'!$M$4:$M$500,0)),"")</f>
        <v/>
      </c>
      <c r="Q11" s="110" t="str">
        <f>IFERROR(INDEX('WetLitterbags placem_collection'!$A$3:$A$500,MATCH(A11,'WetLitterbags placem_collection'!$Q$4:$Q$500,0)),"")</f>
        <v/>
      </c>
    </row>
    <row r="12" spans="1:31" ht="13.95" customHeight="1">
      <c r="A12" s="110" t="s">
        <v>1801</v>
      </c>
      <c r="B12" s="110">
        <v>79</v>
      </c>
      <c r="C12" s="110">
        <v>0.97550000000000003</v>
      </c>
      <c r="D12" s="110" t="s">
        <v>2079</v>
      </c>
      <c r="E12" s="112">
        <v>43125</v>
      </c>
      <c r="N12" s="110" t="str">
        <f>IFERROR(INDEX('WetLitterbags placem_collection'!$A$3:$A$500,MATCH(A12,'WetLitterbags placem_collection'!$K$4:$K$500,0)),"")</f>
        <v/>
      </c>
      <c r="O12" s="110">
        <f>IFERROR(INDEX('WetLitterbags placem_collection'!$A$3:$A$500,MATCH(A12,'WetLitterbags placem_collection'!$O$4:$O$500,0)),"")</f>
        <v>78</v>
      </c>
      <c r="P12" s="110" t="str">
        <f>IFERROR(INDEX('WetLitterbags placem_collection'!$A$3:$A$500,MATCH(A12,'WetLitterbags placem_collection'!$M$4:$M$500,0)),"")</f>
        <v/>
      </c>
      <c r="Q12" s="110" t="str">
        <f>IFERROR(INDEX('WetLitterbags placem_collection'!$A$3:$A$500,MATCH(A12,'WetLitterbags placem_collection'!$Q$4:$Q$500,0)),"")</f>
        <v/>
      </c>
    </row>
    <row r="13" spans="1:31" ht="13.95" customHeight="1">
      <c r="A13" s="110" t="s">
        <v>1799</v>
      </c>
      <c r="B13" s="110" t="s">
        <v>2077</v>
      </c>
      <c r="C13" s="110">
        <v>0.75700000000000001</v>
      </c>
      <c r="E13" s="112">
        <v>43119</v>
      </c>
      <c r="N13" s="110">
        <f>IFERROR(INDEX('WetLitterbags placem_collection'!$A$3:$A$500,MATCH(A13,'WetLitterbags placem_collection'!$K$4:$K$500,0)),"")</f>
        <v>217</v>
      </c>
      <c r="O13" s="110" t="str">
        <f>IFERROR(INDEX('WetLitterbags placem_collection'!$A$3:$A$500,MATCH(A13,'WetLitterbags placem_collection'!$O$4:$O$500,0)),"")</f>
        <v/>
      </c>
      <c r="P13" s="110" t="str">
        <f>IFERROR(INDEX('WetLitterbags placem_collection'!$A$3:$A$500,MATCH(A13,'WetLitterbags placem_collection'!$M$4:$M$500,0)),"")</f>
        <v/>
      </c>
      <c r="Q13" s="110" t="str">
        <f>IFERROR(INDEX('WetLitterbags placem_collection'!$A$3:$A$500,MATCH(A13,'WetLitterbags placem_collection'!$Q$4:$Q$500,0)),"")</f>
        <v/>
      </c>
    </row>
    <row r="14" spans="1:31" ht="13.95" customHeight="1">
      <c r="A14" s="179" t="s">
        <v>1781</v>
      </c>
      <c r="B14" s="110">
        <v>68</v>
      </c>
      <c r="C14" s="110">
        <v>1.018</v>
      </c>
      <c r="E14" s="112">
        <v>42879</v>
      </c>
      <c r="N14" s="110">
        <f>IFERROR(INDEX('WetLitterbags placem_collection'!$A$3:$A$500,MATCH(A14,'WetLitterbags placem_collection'!$K$4:$K$500,0)),"")</f>
        <v>67</v>
      </c>
      <c r="O14" s="110" t="str">
        <f>IFERROR(INDEX('WetLitterbags placem_collection'!$A$3:$A$500,MATCH(A14,'WetLitterbags placem_collection'!$O$4:$O$500,0)),"")</f>
        <v/>
      </c>
      <c r="P14" s="110" t="str">
        <f>IFERROR(INDEX('WetLitterbags placem_collection'!$A$3:$A$500,MATCH(A14,'WetLitterbags placem_collection'!$M$4:$M$500,0)),"")</f>
        <v/>
      </c>
      <c r="Q14" s="110" t="str">
        <f>IFERROR(INDEX('WetLitterbags placem_collection'!$A$3:$A$500,MATCH(A14,'WetLitterbags placem_collection'!$Q$4:$Q$500,0)),"")</f>
        <v/>
      </c>
    </row>
    <row r="15" spans="1:31" ht="13.95" customHeight="1">
      <c r="A15" s="110" t="s">
        <v>1769</v>
      </c>
      <c r="B15" s="110">
        <v>172</v>
      </c>
      <c r="C15" s="110">
        <v>0.69520000000000004</v>
      </c>
      <c r="E15" s="112">
        <v>43123</v>
      </c>
      <c r="N15" s="110">
        <f>IFERROR(INDEX('WetLitterbags placem_collection'!$A$3:$A$500,MATCH(A15,'WetLitterbags placem_collection'!$K$4:$K$500,0)),"")</f>
        <v>171</v>
      </c>
      <c r="O15" s="110" t="str">
        <f>IFERROR(INDEX('WetLitterbags placem_collection'!$A$3:$A$500,MATCH(A15,'WetLitterbags placem_collection'!$O$4:$O$500,0)),"")</f>
        <v/>
      </c>
      <c r="P15" s="110" t="str">
        <f>IFERROR(INDEX('WetLitterbags placem_collection'!$A$3:$A$500,MATCH(A15,'WetLitterbags placem_collection'!$M$4:$M$500,0)),"")</f>
        <v/>
      </c>
      <c r="Q15" s="110" t="str">
        <f>IFERROR(INDEX('WetLitterbags placem_collection'!$A$3:$A$500,MATCH(A15,'WetLitterbags placem_collection'!$Q$4:$Q$500,0)),"")</f>
        <v/>
      </c>
    </row>
    <row r="16" spans="1:31" ht="13.95" customHeight="1">
      <c r="A16" s="110" t="s">
        <v>1768</v>
      </c>
      <c r="B16" s="110" t="s">
        <v>2077</v>
      </c>
      <c r="C16" s="110">
        <v>1.1456</v>
      </c>
      <c r="E16" s="112">
        <v>43119</v>
      </c>
      <c r="N16" s="110">
        <f>IFERROR(INDEX('WetLitterbags placem_collection'!$A$3:$A$500,MATCH(A16,'WetLitterbags placem_collection'!$K$4:$K$500,0)),"")</f>
        <v>65</v>
      </c>
      <c r="O16" s="110" t="str">
        <f>IFERROR(INDEX('WetLitterbags placem_collection'!$A$3:$A$500,MATCH(A16,'WetLitterbags placem_collection'!$O$4:$O$500,0)),"")</f>
        <v/>
      </c>
      <c r="P16" s="110" t="str">
        <f>IFERROR(INDEX('WetLitterbags placem_collection'!$A$3:$A$500,MATCH(A16,'WetLitterbags placem_collection'!$M$4:$M$500,0)),"")</f>
        <v/>
      </c>
      <c r="Q16" s="110" t="str">
        <f>IFERROR(INDEX('WetLitterbags placem_collection'!$A$3:$A$500,MATCH(A16,'WetLitterbags placem_collection'!$Q$4:$Q$500,0)),"")</f>
        <v/>
      </c>
    </row>
    <row r="17" spans="1:17" ht="13.95" customHeight="1">
      <c r="A17" s="110" t="s">
        <v>1767</v>
      </c>
      <c r="B17" s="110">
        <v>44</v>
      </c>
      <c r="C17" s="110">
        <v>0.80830000000000002</v>
      </c>
      <c r="D17" s="110" t="s">
        <v>2079</v>
      </c>
      <c r="E17" s="112">
        <v>43125</v>
      </c>
      <c r="N17" s="110" t="str">
        <f>IFERROR(INDEX('WetLitterbags placem_collection'!$A$3:$A$500,MATCH(A17,'WetLitterbags placem_collection'!$K$4:$K$500,0)),"")</f>
        <v/>
      </c>
      <c r="O17" s="110">
        <f>IFERROR(INDEX('WetLitterbags placem_collection'!$A$3:$A$500,MATCH(A17,'WetLitterbags placem_collection'!$O$4:$O$500,0)),"")</f>
        <v>43</v>
      </c>
      <c r="P17" s="110" t="str">
        <f>IFERROR(INDEX('WetLitterbags placem_collection'!$A$3:$A$500,MATCH(A17,'WetLitterbags placem_collection'!$M$4:$M$500,0)),"")</f>
        <v/>
      </c>
      <c r="Q17" s="110" t="str">
        <f>IFERROR(INDEX('WetLitterbags placem_collection'!$A$3:$A$500,MATCH(A17,'WetLitterbags placem_collection'!$Q$4:$Q$500,0)),"")</f>
        <v/>
      </c>
    </row>
    <row r="18" spans="1:17" ht="13.95" customHeight="1">
      <c r="A18" s="110" t="s">
        <v>1764</v>
      </c>
      <c r="B18" s="110" t="s">
        <v>2077</v>
      </c>
      <c r="C18" s="110">
        <v>0.80200000000000005</v>
      </c>
      <c r="E18" s="112">
        <v>43119</v>
      </c>
      <c r="N18" s="110">
        <f>IFERROR(INDEX('WetLitterbags placem_collection'!$A$3:$A$500,MATCH(A18,'WetLitterbags placem_collection'!$K$4:$K$500,0)),"")</f>
        <v>9</v>
      </c>
      <c r="O18" s="110" t="str">
        <f>IFERROR(INDEX('WetLitterbags placem_collection'!$A$3:$A$500,MATCH(A18,'WetLitterbags placem_collection'!$O$4:$O$500,0)),"")</f>
        <v/>
      </c>
      <c r="P18" s="110" t="str">
        <f>IFERROR(INDEX('WetLitterbags placem_collection'!$A$3:$A$500,MATCH(A18,'WetLitterbags placem_collection'!$M$4:$M$500,0)),"")</f>
        <v/>
      </c>
      <c r="Q18" s="110" t="str">
        <f>IFERROR(INDEX('WetLitterbags placem_collection'!$A$3:$A$500,MATCH(A18,'WetLitterbags placem_collection'!$Q$4:$Q$500,0)),"")</f>
        <v/>
      </c>
    </row>
    <row r="19" spans="1:17" ht="13.95" customHeight="1">
      <c r="A19" s="110" t="s">
        <v>1763</v>
      </c>
      <c r="B19" s="110" t="s">
        <v>2077</v>
      </c>
      <c r="C19" s="110">
        <v>0.72240000000000004</v>
      </c>
      <c r="E19" s="112">
        <v>43119</v>
      </c>
      <c r="N19" s="110" t="str">
        <f>IFERROR(INDEX('WetLitterbags placem_collection'!$A$3:$A$500,MATCH(A19,'WetLitterbags placem_collection'!$K$4:$K$500,0)),"")</f>
        <v/>
      </c>
      <c r="O19" s="110">
        <f>IFERROR(INDEX('WetLitterbags placem_collection'!$A$3:$A$500,MATCH(A19,'WetLitterbags placem_collection'!$O$4:$O$500,0)),"")</f>
        <v>165</v>
      </c>
      <c r="P19" s="110" t="str">
        <f>IFERROR(INDEX('WetLitterbags placem_collection'!$A$3:$A$500,MATCH(A19,'WetLitterbags placem_collection'!$M$4:$M$500,0)),"")</f>
        <v/>
      </c>
      <c r="Q19" s="110" t="str">
        <f>IFERROR(INDEX('WetLitterbags placem_collection'!$A$3:$A$500,MATCH(A19,'WetLitterbags placem_collection'!$Q$4:$Q$500,0)),"")</f>
        <v/>
      </c>
    </row>
    <row r="20" spans="1:17" ht="13.95" customHeight="1">
      <c r="A20" s="110" t="s">
        <v>1759</v>
      </c>
      <c r="B20" s="110">
        <v>84</v>
      </c>
      <c r="C20" s="110">
        <v>0.90300000000000002</v>
      </c>
      <c r="E20" s="112">
        <v>42881</v>
      </c>
      <c r="N20" s="110">
        <f>IFERROR(INDEX('WetLitterbags placem_collection'!$A$3:$A$500,MATCH(A20,'WetLitterbags placem_collection'!$K$4:$K$500,0)),"")</f>
        <v>83</v>
      </c>
      <c r="O20" s="110" t="str">
        <f>IFERROR(INDEX('WetLitterbags placem_collection'!$A$3:$A$500,MATCH(A20,'WetLitterbags placem_collection'!$O$4:$O$500,0)),"")</f>
        <v/>
      </c>
      <c r="P20" s="110" t="str">
        <f>IFERROR(INDEX('WetLitterbags placem_collection'!$A$3:$A$500,MATCH(A20,'WetLitterbags placem_collection'!$M$4:$M$500,0)),"")</f>
        <v/>
      </c>
      <c r="Q20" s="110" t="str">
        <f>IFERROR(INDEX('WetLitterbags placem_collection'!$A$3:$A$500,MATCH(A20,'WetLitterbags placem_collection'!$Q$4:$Q$500,0)),"")</f>
        <v/>
      </c>
    </row>
    <row r="21" spans="1:17" ht="13.95" customHeight="1">
      <c r="A21" s="110" t="s">
        <v>1753</v>
      </c>
      <c r="B21" s="110">
        <v>192</v>
      </c>
      <c r="C21" s="110">
        <v>0.60899999999999999</v>
      </c>
      <c r="E21" s="112">
        <v>42881</v>
      </c>
      <c r="N21" s="110" t="str">
        <f>IFERROR(INDEX('WetLitterbags placem_collection'!$A$3:$A$500,MATCH(A21,'WetLitterbags placem_collection'!$K$4:$K$500,0)),"")</f>
        <v/>
      </c>
      <c r="O21" s="110">
        <f>IFERROR(INDEX('WetLitterbags placem_collection'!$A$3:$A$500,MATCH(A21,'WetLitterbags placem_collection'!$O$4:$O$500,0)),"")</f>
        <v>191</v>
      </c>
      <c r="P21" s="110" t="str">
        <f>IFERROR(INDEX('WetLitterbags placem_collection'!$A$3:$A$500,MATCH(A21,'WetLitterbags placem_collection'!$M$4:$M$500,0)),"")</f>
        <v/>
      </c>
      <c r="Q21" s="110" t="str">
        <f>IFERROR(INDEX('WetLitterbags placem_collection'!$A$3:$A$500,MATCH(A21,'WetLitterbags placem_collection'!$Q$4:$Q$500,0)),"")</f>
        <v/>
      </c>
    </row>
    <row r="22" spans="1:17" ht="13.95" customHeight="1">
      <c r="A22" s="179" t="s">
        <v>1752</v>
      </c>
      <c r="B22" s="110">
        <v>83</v>
      </c>
      <c r="C22" s="110">
        <v>0.88800000000000001</v>
      </c>
      <c r="E22" s="112">
        <v>42881</v>
      </c>
      <c r="N22" s="110" t="str">
        <f>IFERROR(INDEX('WetLitterbags placem_collection'!$A$3:$A$500,MATCH(A22,'WetLitterbags placem_collection'!$K$4:$K$500,0)),"")</f>
        <v/>
      </c>
      <c r="O22" s="110">
        <f>IFERROR(INDEX('WetLitterbags placem_collection'!$A$3:$A$500,MATCH(A22,'WetLitterbags placem_collection'!$O$4:$O$500,0)),"")</f>
        <v>82</v>
      </c>
      <c r="P22" s="110" t="str">
        <f>IFERROR(INDEX('WetLitterbags placem_collection'!$A$3:$A$500,MATCH(A22,'WetLitterbags placem_collection'!$M$4:$M$500,0)),"")</f>
        <v/>
      </c>
      <c r="Q22" s="110" t="str">
        <f>IFERROR(INDEX('WetLitterbags placem_collection'!$A$3:$A$500,MATCH(A22,'WetLitterbags placem_collection'!$Q$4:$Q$500,0)),"")</f>
        <v/>
      </c>
    </row>
    <row r="23" spans="1:17" ht="13.95" customHeight="1">
      <c r="A23" s="110" t="s">
        <v>1751</v>
      </c>
      <c r="B23" s="110">
        <v>46</v>
      </c>
      <c r="C23" s="110">
        <v>0.88100000000000001</v>
      </c>
      <c r="E23" s="112">
        <v>42881</v>
      </c>
      <c r="N23" s="110" t="str">
        <f>IFERROR(INDEX('WetLitterbags placem_collection'!$A$3:$A$500,MATCH(A23,'WetLitterbags placem_collection'!$K$4:$K$500,0)),"")</f>
        <v/>
      </c>
      <c r="O23" s="110">
        <f>IFERROR(INDEX('WetLitterbags placem_collection'!$A$3:$A$500,MATCH(A23,'WetLitterbags placem_collection'!$O$4:$O$500,0)),"")</f>
        <v>47</v>
      </c>
      <c r="P23" s="110" t="str">
        <f>IFERROR(INDEX('WetLitterbags placem_collection'!$A$3:$A$500,MATCH(A23,'WetLitterbags placem_collection'!$M$4:$M$500,0)),"")</f>
        <v/>
      </c>
      <c r="Q23" s="110" t="str">
        <f>IFERROR(INDEX('WetLitterbags placem_collection'!$A$3:$A$500,MATCH(A23,'WetLitterbags placem_collection'!$Q$4:$Q$500,0)),"")</f>
        <v/>
      </c>
    </row>
    <row r="24" spans="1:17" ht="13.95" customHeight="1">
      <c r="A24" s="403" t="s">
        <v>1742</v>
      </c>
      <c r="B24" s="110">
        <v>85</v>
      </c>
      <c r="C24" s="110">
        <v>1.256</v>
      </c>
      <c r="E24" s="112">
        <v>42878</v>
      </c>
      <c r="N24" s="110">
        <f>IFERROR(INDEX('WetLitterbags placem_collection'!$A$3:$A$500,MATCH(A24,'WetLitterbags placem_collection'!$K$4:$K$500,0)),"")</f>
        <v>84</v>
      </c>
      <c r="O24" s="110" t="str">
        <f>IFERROR(INDEX('WetLitterbags placem_collection'!$A$3:$A$500,MATCH(A24,'WetLitterbags placem_collection'!$O$4:$O$500,0)),"")</f>
        <v/>
      </c>
      <c r="P24" s="110" t="str">
        <f>IFERROR(INDEX('WetLitterbags placem_collection'!$A$3:$A$500,MATCH(A24,'WetLitterbags placem_collection'!$M$4:$M$500,0)),"")</f>
        <v/>
      </c>
      <c r="Q24" s="110" t="str">
        <f>IFERROR(INDEX('WetLitterbags placem_collection'!$A$3:$A$500,MATCH(A24,'WetLitterbags placem_collection'!$Q$4:$Q$500,0)),"")</f>
        <v/>
      </c>
    </row>
    <row r="25" spans="1:17" ht="13.95" customHeight="1">
      <c r="A25" s="110" t="s">
        <v>1716</v>
      </c>
      <c r="B25" s="110" t="s">
        <v>2083</v>
      </c>
      <c r="C25" s="110">
        <v>0.80800000000000005</v>
      </c>
      <c r="D25" s="110" t="s">
        <v>2102</v>
      </c>
      <c r="E25" s="112">
        <v>43125</v>
      </c>
      <c r="N25" s="110">
        <f>IFERROR(INDEX('WetLitterbags placem_collection'!$A$3:$A$500,MATCH(A25,'WetLitterbags placem_collection'!$K$4:$K$500,0)),"")</f>
        <v>165</v>
      </c>
      <c r="O25" s="110" t="str">
        <f>IFERROR(INDEX('WetLitterbags placem_collection'!$A$3:$A$500,MATCH(A25,'WetLitterbags placem_collection'!$O$4:$O$500,0)),"")</f>
        <v/>
      </c>
      <c r="P25" s="110" t="str">
        <f>IFERROR(INDEX('WetLitterbags placem_collection'!$A$3:$A$500,MATCH(A25,'WetLitterbags placem_collection'!$M$4:$M$500,0)),"")</f>
        <v/>
      </c>
      <c r="Q25" s="110" t="str">
        <f>IFERROR(INDEX('WetLitterbags placem_collection'!$A$3:$A$500,MATCH(A25,'WetLitterbags placem_collection'!$Q$4:$Q$500,0)),"")</f>
        <v/>
      </c>
    </row>
    <row r="26" spans="1:17" ht="13.95" customHeight="1">
      <c r="A26" s="110" t="s">
        <v>1713</v>
      </c>
      <c r="B26" s="110" t="s">
        <v>2083</v>
      </c>
      <c r="C26" s="110">
        <v>0.63060000000000005</v>
      </c>
      <c r="D26" s="167" t="s">
        <v>2467</v>
      </c>
      <c r="E26" s="112">
        <v>43125</v>
      </c>
      <c r="N26" s="110" t="str">
        <f>IFERROR(INDEX('WetLitterbags placem_collection'!$A$3:$A$500,MATCH(A26,'WetLitterbags placem_collection'!$K$4:$K$500,0)),"")</f>
        <v/>
      </c>
      <c r="O26" s="110">
        <f>IFERROR(INDEX('WetLitterbags placem_collection'!$A$3:$A$500,MATCH(A26,'WetLitterbags placem_collection'!$O$4:$O$500,0)),"")</f>
        <v>183</v>
      </c>
      <c r="P26" s="110" t="str">
        <f>IFERROR(INDEX('WetLitterbags placem_collection'!$A$3:$A$500,MATCH(A26,'WetLitterbags placem_collection'!$M$4:$M$500,0)),"")</f>
        <v/>
      </c>
      <c r="Q26" s="110" t="str">
        <f>IFERROR(INDEX('WetLitterbags placem_collection'!$A$3:$A$500,MATCH(A26,'WetLitterbags placem_collection'!$Q$4:$Q$500,0)),"")</f>
        <v/>
      </c>
    </row>
    <row r="27" spans="1:17" ht="13.95" customHeight="1">
      <c r="A27" s="110" t="s">
        <v>1705</v>
      </c>
      <c r="B27" s="110" t="s">
        <v>2077</v>
      </c>
      <c r="C27" s="110">
        <v>0.64829999999999999</v>
      </c>
      <c r="E27" s="112">
        <v>43119</v>
      </c>
      <c r="N27" s="110" t="str">
        <f>IFERROR(INDEX('WetLitterbags placem_collection'!$A$3:$A$500,MATCH(A27,'WetLitterbags placem_collection'!$K$4:$K$500,0)),"")</f>
        <v/>
      </c>
      <c r="O27" s="110">
        <f>IFERROR(INDEX('WetLitterbags placem_collection'!$A$3:$A$500,MATCH(A27,'WetLitterbags placem_collection'!$O$4:$O$500,0)),"")</f>
        <v>28</v>
      </c>
      <c r="P27" s="110" t="str">
        <f>IFERROR(INDEX('WetLitterbags placem_collection'!$A$3:$A$500,MATCH(A27,'WetLitterbags placem_collection'!$M$4:$M$500,0)),"")</f>
        <v/>
      </c>
      <c r="Q27" s="110" t="str">
        <f>IFERROR(INDEX('WetLitterbags placem_collection'!$A$3:$A$500,MATCH(A27,'WetLitterbags placem_collection'!$Q$4:$Q$500,0)),"")</f>
        <v/>
      </c>
    </row>
    <row r="28" spans="1:17" ht="13.95" customHeight="1">
      <c r="A28" s="110" t="s">
        <v>1704</v>
      </c>
      <c r="B28" s="110" t="s">
        <v>2077</v>
      </c>
      <c r="C28" s="110">
        <v>1.0001</v>
      </c>
      <c r="E28" s="112">
        <v>43116</v>
      </c>
      <c r="H28" s="111"/>
      <c r="N28" s="110">
        <f>IFERROR(INDEX('WetLitterbags placem_collection'!$A$3:$A$500,MATCH(A28,'WetLitterbags placem_collection'!$K$4:$K$500,0)),"")</f>
        <v>48</v>
      </c>
      <c r="O28" s="110" t="str">
        <f>IFERROR(INDEX('WetLitterbags placem_collection'!$A$3:$A$500,MATCH(A28,'WetLitterbags placem_collection'!$O$4:$O$500,0)),"")</f>
        <v/>
      </c>
      <c r="P28" s="110" t="str">
        <f>IFERROR(INDEX('WetLitterbags placem_collection'!$A$3:$A$500,MATCH(A28,'WetLitterbags placem_collection'!$M$4:$M$500,0)),"")</f>
        <v/>
      </c>
      <c r="Q28" s="110" t="str">
        <f>IFERROR(INDEX('WetLitterbags placem_collection'!$A$3:$A$500,MATCH(A28,'WetLitterbags placem_collection'!$Q$4:$Q$500,0)),"")</f>
        <v/>
      </c>
    </row>
    <row r="29" spans="1:17" ht="13.95" customHeight="1">
      <c r="A29" s="403" t="s">
        <v>1551</v>
      </c>
      <c r="B29" s="110">
        <v>38</v>
      </c>
      <c r="C29" s="110">
        <v>1.4741</v>
      </c>
      <c r="E29" s="112">
        <v>43122</v>
      </c>
      <c r="N29" s="110">
        <f>IFERROR(INDEX('WetLitterbags placem_collection'!$A$3:$A$500,MATCH(A29,'WetLitterbags placem_collection'!$K$4:$K$500,0)),"")</f>
        <v>37</v>
      </c>
      <c r="O29" s="110" t="str">
        <f>IFERROR(INDEX('WetLitterbags placem_collection'!$A$3:$A$500,MATCH(A29,'WetLitterbags placem_collection'!$O$4:$O$500,0)),"")</f>
        <v/>
      </c>
      <c r="P29" s="110" t="str">
        <f>IFERROR(INDEX('WetLitterbags placem_collection'!$A$3:$A$500,MATCH(A29,'WetLitterbags placem_collection'!$M$4:$M$500,0)),"")</f>
        <v/>
      </c>
      <c r="Q29" s="110" t="str">
        <f>IFERROR(INDEX('WetLitterbags placem_collection'!$A$3:$A$500,MATCH(A29,'WetLitterbags placem_collection'!$Q$4:$Q$500,0)),"")</f>
        <v/>
      </c>
    </row>
    <row r="30" spans="1:17" ht="13.95" customHeight="1">
      <c r="A30" s="110" t="s">
        <v>1699</v>
      </c>
      <c r="B30" s="110">
        <v>161</v>
      </c>
      <c r="C30" s="110">
        <v>0.58709999999999996</v>
      </c>
      <c r="E30" s="112">
        <v>43125</v>
      </c>
      <c r="N30" s="110" t="str">
        <f>IFERROR(INDEX('WetLitterbags placem_collection'!$A$3:$A$500,MATCH(A30,'WetLitterbags placem_collection'!$K$4:$K$500,0)),"")</f>
        <v/>
      </c>
      <c r="O30" s="110">
        <f>IFERROR(INDEX('WetLitterbags placem_collection'!$A$3:$A$500,MATCH(A30,'WetLitterbags placem_collection'!$O$4:$O$500,0)),"")</f>
        <v>160</v>
      </c>
      <c r="P30" s="110" t="str">
        <f>IFERROR(INDEX('WetLitterbags placem_collection'!$A$3:$A$500,MATCH(A30,'WetLitterbags placem_collection'!$M$4:$M$500,0)),"")</f>
        <v/>
      </c>
      <c r="Q30" s="110" t="str">
        <f>IFERROR(INDEX('WetLitterbags placem_collection'!$A$3:$A$500,MATCH(A30,'WetLitterbags placem_collection'!$Q$4:$Q$500,0)),"")</f>
        <v/>
      </c>
    </row>
    <row r="31" spans="1:17" ht="13.95" customHeight="1">
      <c r="A31" s="110" t="s">
        <v>1698</v>
      </c>
      <c r="B31" s="110">
        <v>161</v>
      </c>
      <c r="C31" s="110">
        <v>0.57509999999999994</v>
      </c>
      <c r="E31" s="112">
        <v>43125</v>
      </c>
      <c r="N31" s="110" t="str">
        <f>IFERROR(INDEX('WetLitterbags placem_collection'!$A$3:$A$500,MATCH(A31,'WetLitterbags placem_collection'!$K$4:$K$500,0)),"")</f>
        <v/>
      </c>
      <c r="O31" s="110" t="str">
        <f>IFERROR(INDEX('WetLitterbags placem_collection'!$A$3:$A$500,MATCH(A31,'WetLitterbags placem_collection'!$O$4:$O$500,0)),"")</f>
        <v/>
      </c>
      <c r="P31" s="110" t="str">
        <f>IFERROR(INDEX('WetLitterbags placem_collection'!$A$3:$A$500,MATCH(A31,'WetLitterbags placem_collection'!$M$4:$M$500,0)),"")</f>
        <v/>
      </c>
      <c r="Q31" s="110" t="str">
        <f>IFERROR(INDEX('WetLitterbags placem_collection'!$A$3:$A$500,MATCH(A31,'WetLitterbags placem_collection'!$Q$4:$Q$500,0)),"")</f>
        <v/>
      </c>
    </row>
    <row r="32" spans="1:17" ht="13.95" customHeight="1">
      <c r="A32" s="110" t="s">
        <v>1695</v>
      </c>
      <c r="B32" s="110">
        <v>90</v>
      </c>
      <c r="C32" s="110">
        <v>0.78380000000000005</v>
      </c>
      <c r="E32" s="112">
        <v>43125</v>
      </c>
      <c r="N32" s="110" t="str">
        <f>IFERROR(INDEX('WetLitterbags placem_collection'!$A$3:$A$500,MATCH(A32,'WetLitterbags placem_collection'!$K$4:$K$500,0)),"")</f>
        <v/>
      </c>
      <c r="O32" s="110">
        <f>IFERROR(INDEX('WetLitterbags placem_collection'!$A$3:$A$500,MATCH(A32,'WetLitterbags placem_collection'!$O$4:$O$500,0)),"")</f>
        <v>89</v>
      </c>
      <c r="P32" s="110" t="str">
        <f>IFERROR(INDEX('WetLitterbags placem_collection'!$A$3:$A$500,MATCH(A32,'WetLitterbags placem_collection'!$M$4:$M$500,0)),"")</f>
        <v/>
      </c>
      <c r="Q32" s="110" t="str">
        <f>IFERROR(INDEX('WetLitterbags placem_collection'!$A$3:$A$500,MATCH(A32,'WetLitterbags placem_collection'!$Q$4:$Q$500,0)),"")</f>
        <v/>
      </c>
    </row>
    <row r="33" spans="1:17" ht="13.95" customHeight="1">
      <c r="A33" s="445" t="s">
        <v>1494</v>
      </c>
      <c r="B33" s="110">
        <v>33</v>
      </c>
      <c r="C33" s="110">
        <v>0.64400000000000002</v>
      </c>
      <c r="E33" s="112">
        <v>42881</v>
      </c>
      <c r="N33" s="110" t="str">
        <f>IFERROR(INDEX('WetLitterbags placem_collection'!$A$3:$A$500,MATCH(A33,'WetLitterbags placem_collection'!$K$4:$K$500,0)),"")</f>
        <v/>
      </c>
      <c r="O33" s="110">
        <f>IFERROR(INDEX('WetLitterbags placem_collection'!$A$3:$A$500,MATCH(A33,'WetLitterbags placem_collection'!$O$4:$O$500,0)),"")</f>
        <v>32</v>
      </c>
      <c r="P33" s="110" t="str">
        <f>IFERROR(INDEX('WetLitterbags placem_collection'!$A$3:$A$500,MATCH(A33,'WetLitterbags placem_collection'!$M$4:$M$500,0)),"")</f>
        <v/>
      </c>
      <c r="Q33" s="110" t="str">
        <f>IFERROR(INDEX('WetLitterbags placem_collection'!$A$3:$A$500,MATCH(A33,'WetLitterbags placem_collection'!$Q$4:$Q$500,0)),"")</f>
        <v/>
      </c>
    </row>
    <row r="34" spans="1:17" ht="13.95" customHeight="1">
      <c r="A34" s="179" t="s">
        <v>1692</v>
      </c>
      <c r="B34">
        <v>70</v>
      </c>
      <c r="C34" s="110">
        <v>0.84299999999999997</v>
      </c>
      <c r="E34" s="112">
        <v>42878</v>
      </c>
      <c r="N34" s="110">
        <f>IFERROR(INDEX('WetLitterbags placem_collection'!$A$3:$A$500,MATCH(A34,'WetLitterbags placem_collection'!$K$4:$K$500,0)),"")</f>
        <v>69</v>
      </c>
      <c r="O34" s="110" t="str">
        <f>IFERROR(INDEX('WetLitterbags placem_collection'!$A$3:$A$500,MATCH(A34,'WetLitterbags placem_collection'!$O$4:$O$500,0)),"")</f>
        <v/>
      </c>
      <c r="P34" s="110" t="str">
        <f>IFERROR(INDEX('WetLitterbags placem_collection'!$A$3:$A$500,MATCH(A34,'WetLitterbags placem_collection'!$M$4:$M$500,0)),"")</f>
        <v/>
      </c>
      <c r="Q34" s="110" t="str">
        <f>IFERROR(INDEX('WetLitterbags placem_collection'!$A$3:$A$500,MATCH(A34,'WetLitterbags placem_collection'!$Q$4:$Q$500,0)),"")</f>
        <v/>
      </c>
    </row>
    <row r="35" spans="1:17" ht="13.95" customHeight="1">
      <c r="A35" s="110" t="s">
        <v>1691</v>
      </c>
      <c r="B35" s="110">
        <v>37</v>
      </c>
      <c r="C35" s="110">
        <v>0.94699999999999995</v>
      </c>
      <c r="E35" s="112">
        <v>42881</v>
      </c>
      <c r="N35" s="110">
        <f>IFERROR(INDEX('WetLitterbags placem_collection'!$A$3:$A$500,MATCH(A35,'WetLitterbags placem_collection'!$K$4:$K$500,0)),"")</f>
        <v>36</v>
      </c>
      <c r="O35" s="110" t="str">
        <f>IFERROR(INDEX('WetLitterbags placem_collection'!$A$3:$A$500,MATCH(A35,'WetLitterbags placem_collection'!$O$4:$O$500,0)),"")</f>
        <v/>
      </c>
      <c r="P35" s="110" t="str">
        <f>IFERROR(INDEX('WetLitterbags placem_collection'!$A$3:$A$500,MATCH(A35,'WetLitterbags placem_collection'!$M$4:$M$500,0)),"")</f>
        <v/>
      </c>
      <c r="Q35" s="110" t="str">
        <f>IFERROR(INDEX('WetLitterbags placem_collection'!$A$3:$A$500,MATCH(A35,'WetLitterbags placem_collection'!$Q$4:$Q$500,0)),"")</f>
        <v/>
      </c>
    </row>
    <row r="36" spans="1:17" ht="13.95" customHeight="1">
      <c r="A36" s="110" t="s">
        <v>1690</v>
      </c>
      <c r="B36" s="110">
        <v>180</v>
      </c>
      <c r="C36" s="110">
        <v>0.62219999999999998</v>
      </c>
      <c r="E36" s="112">
        <v>43116</v>
      </c>
      <c r="N36" s="110">
        <f>IFERROR(INDEX('WetLitterbags placem_collection'!$A$3:$A$500,MATCH(A36,'WetLitterbags placem_collection'!$K$4:$K$500,0)),"")</f>
        <v>179</v>
      </c>
      <c r="O36" s="110" t="str">
        <f>IFERROR(INDEX('WetLitterbags placem_collection'!$A$3:$A$500,MATCH(A36,'WetLitterbags placem_collection'!$O$4:$O$500,0)),"")</f>
        <v/>
      </c>
      <c r="P36" s="110" t="str">
        <f>IFERROR(INDEX('WetLitterbags placem_collection'!$A$3:$A$500,MATCH(A36,'WetLitterbags placem_collection'!$M$4:$M$500,0)),"")</f>
        <v/>
      </c>
      <c r="Q36" s="110" t="str">
        <f>IFERROR(INDEX('WetLitterbags placem_collection'!$A$3:$A$500,MATCH(A36,'WetLitterbags placem_collection'!$Q$4:$Q$500,0)),"")</f>
        <v/>
      </c>
    </row>
    <row r="37" spans="1:17" ht="13.95" customHeight="1">
      <c r="A37" s="110" t="s">
        <v>1685</v>
      </c>
      <c r="B37" s="110" t="s">
        <v>2077</v>
      </c>
      <c r="C37" s="110">
        <v>0.6714</v>
      </c>
      <c r="E37" s="112">
        <v>43116</v>
      </c>
      <c r="N37" s="110" t="str">
        <f>IFERROR(INDEX('WetLitterbags placem_collection'!$A$3:$A$500,MATCH(A37,'WetLitterbags placem_collection'!$K$4:$K$500,0)),"")</f>
        <v/>
      </c>
      <c r="O37" s="110">
        <f>IFERROR(INDEX('WetLitterbags placem_collection'!$A$3:$A$500,MATCH(A37,'WetLitterbags placem_collection'!$O$4:$O$500,0)),"")</f>
        <v>186</v>
      </c>
      <c r="P37" s="110" t="str">
        <f>IFERROR(INDEX('WetLitterbags placem_collection'!$A$3:$A$500,MATCH(A37,'WetLitterbags placem_collection'!$M$4:$M$500,0)),"")</f>
        <v/>
      </c>
      <c r="Q37" s="110" t="str">
        <f>IFERROR(INDEX('WetLitterbags placem_collection'!$A$3:$A$500,MATCH(A37,'WetLitterbags placem_collection'!$Q$4:$Q$500,0)),"")</f>
        <v/>
      </c>
    </row>
    <row r="38" spans="1:17" ht="13.95" customHeight="1">
      <c r="A38" s="110" t="s">
        <v>1684</v>
      </c>
      <c r="B38" s="110">
        <v>33</v>
      </c>
      <c r="C38" s="110">
        <v>0.76700000000000002</v>
      </c>
      <c r="E38" s="112">
        <v>42881</v>
      </c>
      <c r="N38" s="110">
        <f>IFERROR(INDEX('WetLitterbags placem_collection'!$A$3:$A$500,MATCH(A38,'WetLitterbags placem_collection'!$K$4:$K$500,0)),"")</f>
        <v>32</v>
      </c>
      <c r="O38" s="110" t="str">
        <f>IFERROR(INDEX('WetLitterbags placem_collection'!$A$3:$A$500,MATCH(A38,'WetLitterbags placem_collection'!$O$4:$O$500,0)),"")</f>
        <v/>
      </c>
      <c r="P38" s="110" t="str">
        <f>IFERROR(INDEX('WetLitterbags placem_collection'!$A$3:$A$500,MATCH(A38,'WetLitterbags placem_collection'!$M$4:$M$500,0)),"")</f>
        <v/>
      </c>
      <c r="Q38" s="110" t="str">
        <f>IFERROR(INDEX('WetLitterbags placem_collection'!$A$3:$A$500,MATCH(A38,'WetLitterbags placem_collection'!$Q$4:$Q$500,0)),"")</f>
        <v/>
      </c>
    </row>
    <row r="39" spans="1:17" ht="13.95" customHeight="1">
      <c r="A39" s="110" t="s">
        <v>1683</v>
      </c>
      <c r="B39" s="110">
        <v>189</v>
      </c>
      <c r="C39" s="110">
        <v>0.80840000000000001</v>
      </c>
      <c r="E39" s="112">
        <v>43125</v>
      </c>
      <c r="N39" s="110">
        <f>IFERROR(INDEX('WetLitterbags placem_collection'!$A$3:$A$500,MATCH(A39,'WetLitterbags placem_collection'!$K$4:$K$500,0)),"")</f>
        <v>188</v>
      </c>
      <c r="O39" s="110" t="str">
        <f>IFERROR(INDEX('WetLitterbags placem_collection'!$A$3:$A$500,MATCH(A39,'WetLitterbags placem_collection'!$O$4:$O$500,0)),"")</f>
        <v/>
      </c>
      <c r="P39" s="110" t="str">
        <f>IFERROR(INDEX('WetLitterbags placem_collection'!$A$3:$A$500,MATCH(A39,'WetLitterbags placem_collection'!$M$4:$M$500,0)),"")</f>
        <v/>
      </c>
      <c r="Q39" s="110" t="str">
        <f>IFERROR(INDEX('WetLitterbags placem_collection'!$A$3:$A$500,MATCH(A39,'WetLitterbags placem_collection'!$Q$4:$Q$500,0)),"")</f>
        <v/>
      </c>
    </row>
    <row r="40" spans="1:17" ht="13.95" customHeight="1">
      <c r="A40" s="110" t="s">
        <v>1682</v>
      </c>
      <c r="B40" s="110">
        <v>165</v>
      </c>
      <c r="C40" s="110">
        <v>0.72699999999999998</v>
      </c>
      <c r="E40" s="112">
        <v>42878</v>
      </c>
      <c r="N40" s="110">
        <f>IFERROR(INDEX('WetLitterbags placem_collection'!$A$3:$A$500,MATCH(A40,'WetLitterbags placem_collection'!$K$4:$K$500,0)),"")</f>
        <v>164</v>
      </c>
      <c r="O40" s="110" t="str">
        <f>IFERROR(INDEX('WetLitterbags placem_collection'!$A$3:$A$500,MATCH(A40,'WetLitterbags placem_collection'!$O$4:$O$500,0)),"")</f>
        <v/>
      </c>
      <c r="P40" s="110" t="str">
        <f>IFERROR(INDEX('WetLitterbags placem_collection'!$A$3:$A$500,MATCH(A40,'WetLitterbags placem_collection'!$M$4:$M$500,0)),"")</f>
        <v/>
      </c>
      <c r="Q40" s="110" t="str">
        <f>IFERROR(INDEX('WetLitterbags placem_collection'!$A$3:$A$500,MATCH(A40,'WetLitterbags placem_collection'!$Q$4:$Q$500,0)),"")</f>
        <v/>
      </c>
    </row>
    <row r="41" spans="1:17" ht="13.95" customHeight="1">
      <c r="A41" s="110" t="s">
        <v>1677</v>
      </c>
      <c r="B41" s="110" t="s">
        <v>2077</v>
      </c>
      <c r="C41" s="110">
        <v>0.93330000000000002</v>
      </c>
      <c r="E41" s="112">
        <v>43122</v>
      </c>
      <c r="N41" s="110" t="str">
        <f>IFERROR(INDEX('WetLitterbags placem_collection'!$A$3:$A$500,MATCH(A41,'WetLitterbags placem_collection'!$K$4:$K$500,0)),"")</f>
        <v/>
      </c>
      <c r="O41" s="110">
        <f>IFERROR(INDEX('WetLitterbags placem_collection'!$A$3:$A$500,MATCH(A41,'WetLitterbags placem_collection'!$O$4:$O$500,0)),"")</f>
        <v>74</v>
      </c>
      <c r="P41" s="110" t="str">
        <f>IFERROR(INDEX('WetLitterbags placem_collection'!$A$3:$A$500,MATCH(A41,'WetLitterbags placem_collection'!$M$4:$M$500,0)),"")</f>
        <v/>
      </c>
      <c r="Q41" s="110" t="str">
        <f>IFERROR(INDEX('WetLitterbags placem_collection'!$A$3:$A$500,MATCH(A41,'WetLitterbags placem_collection'!$Q$4:$Q$500,0)),"")</f>
        <v/>
      </c>
    </row>
    <row r="42" spans="1:17" ht="13.95" customHeight="1">
      <c r="A42" s="110" t="s">
        <v>1675</v>
      </c>
      <c r="B42" s="110" t="s">
        <v>2077</v>
      </c>
      <c r="C42" s="110">
        <v>0.55700000000000005</v>
      </c>
      <c r="E42" s="112">
        <v>43122</v>
      </c>
      <c r="N42" s="110" t="str">
        <f>IFERROR(INDEX('WetLitterbags placem_collection'!$A$3:$A$500,MATCH(A42,'WetLitterbags placem_collection'!$K$4:$K$500,0)),"")</f>
        <v/>
      </c>
      <c r="O42" s="110">
        <f>IFERROR(INDEX('WetLitterbags placem_collection'!$A$3:$A$500,MATCH(A42,'WetLitterbags placem_collection'!$O$4:$O$500,0)),"")</f>
        <v>187</v>
      </c>
      <c r="P42" s="110" t="str">
        <f>IFERROR(INDEX('WetLitterbags placem_collection'!$A$3:$A$500,MATCH(A42,'WetLitterbags placem_collection'!$M$4:$M$500,0)),"")</f>
        <v/>
      </c>
      <c r="Q42" s="110" t="str">
        <f>IFERROR(INDEX('WetLitterbags placem_collection'!$A$3:$A$500,MATCH(A42,'WetLitterbags placem_collection'!$Q$4:$Q$500,0)),"")</f>
        <v/>
      </c>
    </row>
    <row r="43" spans="1:17" ht="13.95" customHeight="1">
      <c r="A43" s="445" t="s">
        <v>1219</v>
      </c>
      <c r="B43" s="110">
        <v>111</v>
      </c>
      <c r="C43" s="110">
        <v>0.66200000000000003</v>
      </c>
      <c r="D43" s="110" t="s">
        <v>2051</v>
      </c>
      <c r="E43" s="112">
        <v>42879</v>
      </c>
      <c r="N43" s="110">
        <f>IFERROR(INDEX('WetLitterbags placem_collection'!$A$3:$A$500,MATCH(A43,'WetLitterbags placem_collection'!$K$4:$K$500,0)),"")</f>
        <v>110</v>
      </c>
      <c r="O43" s="110" t="str">
        <f>IFERROR(INDEX('WetLitterbags placem_collection'!$A$3:$A$500,MATCH(A43,'WetLitterbags placem_collection'!$O$4:$O$500,0)),"")</f>
        <v/>
      </c>
      <c r="P43" s="110" t="str">
        <f>IFERROR(INDEX('WetLitterbags placem_collection'!$A$3:$A$500,MATCH(A43,'WetLitterbags placem_collection'!$M$4:$M$500,0)),"")</f>
        <v/>
      </c>
      <c r="Q43" s="110" t="str">
        <f>IFERROR(INDEX('WetLitterbags placem_collection'!$A$3:$A$500,MATCH(A43,'WetLitterbags placem_collection'!$Q$4:$Q$500,0)),"")</f>
        <v/>
      </c>
    </row>
    <row r="44" spans="1:17" ht="13.95" customHeight="1">
      <c r="A44" s="110" t="s">
        <v>1667</v>
      </c>
      <c r="B44" s="110" t="s">
        <v>2077</v>
      </c>
      <c r="C44" s="110">
        <v>0.82550000000000001</v>
      </c>
      <c r="D44" s="110" t="s">
        <v>2115</v>
      </c>
      <c r="E44" s="112">
        <v>43119</v>
      </c>
      <c r="N44" s="110">
        <f>IFERROR(INDEX('WetLitterbags placem_collection'!$A$3:$A$500,MATCH(A44,'WetLitterbags placem_collection'!$K$4:$K$500,0)),"")</f>
        <v>71</v>
      </c>
      <c r="O44" s="110" t="str">
        <f>IFERROR(INDEX('WetLitterbags placem_collection'!$A$3:$A$500,MATCH(A44,'WetLitterbags placem_collection'!$O$4:$O$500,0)),"")</f>
        <v/>
      </c>
      <c r="P44" s="110" t="str">
        <f>IFERROR(INDEX('WetLitterbags placem_collection'!$A$3:$A$500,MATCH(A44,'WetLitterbags placem_collection'!$M$4:$M$500,0)),"")</f>
        <v/>
      </c>
      <c r="Q44" s="110" t="str">
        <f>IFERROR(INDEX('WetLitterbags placem_collection'!$A$3:$A$500,MATCH(A44,'WetLitterbags placem_collection'!$Q$4:$Q$500,0)),"")</f>
        <v/>
      </c>
    </row>
    <row r="45" spans="1:17" ht="13.95" customHeight="1">
      <c r="A45" s="110" t="s">
        <v>1665</v>
      </c>
      <c r="B45" s="110" t="s">
        <v>2077</v>
      </c>
      <c r="C45" s="110">
        <v>0.62280000000000002</v>
      </c>
      <c r="E45" s="112">
        <v>43122</v>
      </c>
      <c r="N45" s="110">
        <f>IFERROR(INDEX('WetLitterbags placem_collection'!$A$3:$A$500,MATCH(A45,'WetLitterbags placem_collection'!$K$4:$K$500,0)),"")</f>
        <v>161</v>
      </c>
      <c r="O45" s="110" t="str">
        <f>IFERROR(INDEX('WetLitterbags placem_collection'!$A$3:$A$500,MATCH(A45,'WetLitterbags placem_collection'!$O$4:$O$500,0)),"")</f>
        <v/>
      </c>
      <c r="P45" s="110" t="str">
        <f>IFERROR(INDEX('WetLitterbags placem_collection'!$A$3:$A$500,MATCH(A45,'WetLitterbags placem_collection'!$M$4:$M$500,0)),"")</f>
        <v/>
      </c>
      <c r="Q45" s="110" t="str">
        <f>IFERROR(INDEX('WetLitterbags placem_collection'!$A$3:$A$500,MATCH(A45,'WetLitterbags placem_collection'!$Q$4:$Q$500,0)),"")</f>
        <v/>
      </c>
    </row>
    <row r="46" spans="1:17" ht="13.95" customHeight="1">
      <c r="A46" s="110" t="s">
        <v>1664</v>
      </c>
      <c r="B46" s="110">
        <v>69</v>
      </c>
      <c r="C46" s="110">
        <v>0.98899999999999999</v>
      </c>
      <c r="E46" s="112">
        <v>42881</v>
      </c>
      <c r="N46" s="110" t="str">
        <f>IFERROR(INDEX('WetLitterbags placem_collection'!$A$3:$A$500,MATCH(A46,'WetLitterbags placem_collection'!$K$4:$K$500,0)),"")</f>
        <v/>
      </c>
      <c r="O46" s="110">
        <f>IFERROR(INDEX('WetLitterbags placem_collection'!$A$3:$A$500,MATCH(A46,'WetLitterbags placem_collection'!$O$4:$O$500,0)),"")</f>
        <v>68</v>
      </c>
      <c r="P46" s="110" t="str">
        <f>IFERROR(INDEX('WetLitterbags placem_collection'!$A$3:$A$500,MATCH(A46,'WetLitterbags placem_collection'!$M$4:$M$500,0)),"")</f>
        <v/>
      </c>
      <c r="Q46" s="110" t="str">
        <f>IFERROR(INDEX('WetLitterbags placem_collection'!$A$3:$A$500,MATCH(A46,'WetLitterbags placem_collection'!$Q$4:$Q$500,0)),"")</f>
        <v/>
      </c>
    </row>
    <row r="47" spans="1:17" ht="13.95" customHeight="1">
      <c r="A47" s="110" t="s">
        <v>1663</v>
      </c>
      <c r="B47" s="110">
        <v>63</v>
      </c>
      <c r="C47" s="110">
        <v>1.083</v>
      </c>
      <c r="E47" s="112">
        <v>42879</v>
      </c>
      <c r="N47" s="110">
        <f>IFERROR(INDEX('WetLitterbags placem_collection'!$A$3:$A$500,MATCH(A47,'WetLitterbags placem_collection'!$K$4:$K$500,0)),"")</f>
        <v>62</v>
      </c>
      <c r="O47" s="110" t="str">
        <f>IFERROR(INDEX('WetLitterbags placem_collection'!$A$3:$A$500,MATCH(A47,'WetLitterbags placem_collection'!$O$4:$O$500,0)),"")</f>
        <v/>
      </c>
      <c r="P47" s="110" t="str">
        <f>IFERROR(INDEX('WetLitterbags placem_collection'!$A$3:$A$500,MATCH(A47,'WetLitterbags placem_collection'!$M$4:$M$500,0)),"")</f>
        <v/>
      </c>
      <c r="Q47" s="110" t="str">
        <f>IFERROR(INDEX('WetLitterbags placem_collection'!$A$3:$A$500,MATCH(A47,'WetLitterbags placem_collection'!$Q$4:$Q$500,0)),"")</f>
        <v/>
      </c>
    </row>
    <row r="48" spans="1:17" ht="13.95" customHeight="1">
      <c r="A48" s="110" t="s">
        <v>1662</v>
      </c>
      <c r="B48" s="110" t="s">
        <v>2077</v>
      </c>
      <c r="C48" s="110">
        <v>0.7046</v>
      </c>
      <c r="E48" s="112">
        <v>43122</v>
      </c>
      <c r="N48" s="110" t="str">
        <f>IFERROR(INDEX('WetLitterbags placem_collection'!$A$3:$A$500,MATCH(A48,'WetLitterbags placem_collection'!$K$4:$K$500,0)),"")</f>
        <v/>
      </c>
      <c r="O48" s="110">
        <f>IFERROR(INDEX('WetLitterbags placem_collection'!$A$3:$A$500,MATCH(A48,'WetLitterbags placem_collection'!$O$4:$O$500,0)),"")</f>
        <v>196</v>
      </c>
      <c r="P48" s="110" t="str">
        <f>IFERROR(INDEX('WetLitterbags placem_collection'!$A$3:$A$500,MATCH(A48,'WetLitterbags placem_collection'!$M$4:$M$500,0)),"")</f>
        <v/>
      </c>
      <c r="Q48" s="110" t="str">
        <f>IFERROR(INDEX('WetLitterbags placem_collection'!$A$3:$A$500,MATCH(A48,'WetLitterbags placem_collection'!$Q$4:$Q$500,0)),"")</f>
        <v/>
      </c>
    </row>
    <row r="49" spans="1:17" ht="13.95" customHeight="1">
      <c r="A49" s="110" t="s">
        <v>1661</v>
      </c>
      <c r="B49" s="110" t="s">
        <v>2077</v>
      </c>
      <c r="C49" s="110">
        <v>0.61950000000000005</v>
      </c>
      <c r="E49" s="112">
        <v>43123</v>
      </c>
      <c r="N49" s="110">
        <f>IFERROR(INDEX('WetLitterbags placem_collection'!$A$3:$A$500,MATCH(A49,'WetLitterbags placem_collection'!$K$4:$K$500,0)),"")</f>
        <v>7</v>
      </c>
      <c r="O49" s="110" t="str">
        <f>IFERROR(INDEX('WetLitterbags placem_collection'!$A$3:$A$500,MATCH(A49,'WetLitterbags placem_collection'!$O$4:$O$500,0)),"")</f>
        <v/>
      </c>
      <c r="P49" s="110" t="str">
        <f>IFERROR(INDEX('WetLitterbags placem_collection'!$A$3:$A$500,MATCH(A49,'WetLitterbags placem_collection'!$M$4:$M$500,0)),"")</f>
        <v/>
      </c>
      <c r="Q49" s="110" t="str">
        <f>IFERROR(INDEX('WetLitterbags placem_collection'!$A$3:$A$500,MATCH(A49,'WetLitterbags placem_collection'!$Q$4:$Q$500,0)),"")</f>
        <v/>
      </c>
    </row>
    <row r="50" spans="1:17" ht="13.95" customHeight="1">
      <c r="A50" s="110" t="s">
        <v>1660</v>
      </c>
      <c r="B50" s="110">
        <v>64</v>
      </c>
      <c r="C50" s="110">
        <v>0.63800000000000001</v>
      </c>
      <c r="E50" s="112">
        <v>42879</v>
      </c>
      <c r="N50" s="110" t="str">
        <f>IFERROR(INDEX('WetLitterbags placem_collection'!$A$3:$A$500,MATCH(A50,'WetLitterbags placem_collection'!$K$4:$K$500,0)),"")</f>
        <v/>
      </c>
      <c r="O50" s="110">
        <f>IFERROR(INDEX('WetLitterbags placem_collection'!$A$3:$A$500,MATCH(A50,'WetLitterbags placem_collection'!$O$4:$O$500,0)),"")</f>
        <v>163</v>
      </c>
      <c r="P50" s="110" t="str">
        <f>IFERROR(INDEX('WetLitterbags placem_collection'!$A$3:$A$500,MATCH(A50,'WetLitterbags placem_collection'!$M$4:$M$500,0)),"")</f>
        <v/>
      </c>
      <c r="Q50" s="110" t="str">
        <f>IFERROR(INDEX('WetLitterbags placem_collection'!$A$3:$A$500,MATCH(A50,'WetLitterbags placem_collection'!$Q$4:$Q$500,0)),"")</f>
        <v/>
      </c>
    </row>
    <row r="51" spans="1:17" ht="13.95" customHeight="1">
      <c r="A51" s="110" t="s">
        <v>1659</v>
      </c>
      <c r="B51" s="110">
        <v>61</v>
      </c>
      <c r="C51" s="110">
        <v>0.628</v>
      </c>
      <c r="E51" s="112">
        <v>42878</v>
      </c>
      <c r="N51" s="110" t="str">
        <f>IFERROR(INDEX('WetLitterbags placem_collection'!$A$3:$A$500,MATCH(A51,'WetLitterbags placem_collection'!$K$4:$K$500,0)),"")</f>
        <v/>
      </c>
      <c r="O51" s="110">
        <f>IFERROR(INDEX('WetLitterbags placem_collection'!$A$3:$A$500,MATCH(A51,'WetLitterbags placem_collection'!$O$4:$O$500,0)),"")</f>
        <v>60</v>
      </c>
      <c r="P51" s="110" t="str">
        <f>IFERROR(INDEX('WetLitterbags placem_collection'!$A$3:$A$500,MATCH(A51,'WetLitterbags placem_collection'!$M$4:$M$500,0)),"")</f>
        <v/>
      </c>
      <c r="Q51" s="110" t="str">
        <f>IFERROR(INDEX('WetLitterbags placem_collection'!$A$3:$A$500,MATCH(A51,'WetLitterbags placem_collection'!$Q$4:$Q$500,0)),"")</f>
        <v/>
      </c>
    </row>
    <row r="52" spans="1:17" ht="13.95" customHeight="1">
      <c r="A52" s="110" t="s">
        <v>1657</v>
      </c>
      <c r="B52" s="110" t="s">
        <v>2077</v>
      </c>
      <c r="C52" s="110">
        <v>0.62090000000000001</v>
      </c>
      <c r="E52" s="112">
        <v>43119</v>
      </c>
      <c r="N52" s="110" t="str">
        <f>IFERROR(INDEX('WetLitterbags placem_collection'!$A$3:$A$500,MATCH(A52,'WetLitterbags placem_collection'!$K$4:$K$500,0)),"")</f>
        <v/>
      </c>
      <c r="O52" s="110">
        <f>IFERROR(INDEX('WetLitterbags placem_collection'!$A$3:$A$500,MATCH(A52,'WetLitterbags placem_collection'!$O$4:$O$500,0)),"")</f>
        <v>189</v>
      </c>
      <c r="P52" s="110" t="str">
        <f>IFERROR(INDEX('WetLitterbags placem_collection'!$A$3:$A$500,MATCH(A52,'WetLitterbags placem_collection'!$M$4:$M$500,0)),"")</f>
        <v/>
      </c>
      <c r="Q52" s="110" t="str">
        <f>IFERROR(INDEX('WetLitterbags placem_collection'!$A$3:$A$500,MATCH(A52,'WetLitterbags placem_collection'!$Q$4:$Q$500,0)),"")</f>
        <v/>
      </c>
    </row>
    <row r="53" spans="1:17" ht="13.95" customHeight="1">
      <c r="A53" s="110" t="s">
        <v>1647</v>
      </c>
      <c r="B53" s="110" t="s">
        <v>2077</v>
      </c>
      <c r="C53" s="110">
        <v>0.69440000000000002</v>
      </c>
      <c r="E53" s="112">
        <v>43116</v>
      </c>
      <c r="N53" s="110">
        <f>IFERROR(INDEX('WetLitterbags placem_collection'!$A$3:$A$500,MATCH(A53,'WetLitterbags placem_collection'!$K$4:$K$500,0)),"")</f>
        <v>181</v>
      </c>
      <c r="O53" s="110" t="str">
        <f>IFERROR(INDEX('WetLitterbags placem_collection'!$A$3:$A$500,MATCH(A53,'WetLitterbags placem_collection'!$O$4:$O$500,0)),"")</f>
        <v/>
      </c>
      <c r="P53" s="110" t="str">
        <f>IFERROR(INDEX('WetLitterbags placem_collection'!$A$3:$A$500,MATCH(A53,'WetLitterbags placem_collection'!$M$4:$M$500,0)),"")</f>
        <v/>
      </c>
      <c r="Q53" s="110" t="str">
        <f>IFERROR(INDEX('WetLitterbags placem_collection'!$A$3:$A$500,MATCH(A53,'WetLitterbags placem_collection'!$Q$4:$Q$500,0)),"")</f>
        <v/>
      </c>
    </row>
    <row r="54" spans="1:17" ht="13.95" customHeight="1">
      <c r="A54" s="110" t="s">
        <v>1646</v>
      </c>
      <c r="B54" s="110" t="s">
        <v>2077</v>
      </c>
      <c r="C54" s="110">
        <v>0.75349999999999995</v>
      </c>
      <c r="E54" s="112">
        <v>43119</v>
      </c>
      <c r="N54" s="110">
        <f>IFERROR(INDEX('WetLitterbags placem_collection'!$A$3:$A$500,MATCH(A54,'WetLitterbags placem_collection'!$K$4:$K$500,0)),"")</f>
        <v>30</v>
      </c>
      <c r="O54" s="110" t="str">
        <f>IFERROR(INDEX('WetLitterbags placem_collection'!$A$3:$A$500,MATCH(A54,'WetLitterbags placem_collection'!$O$4:$O$500,0)),"")</f>
        <v/>
      </c>
      <c r="P54" s="110" t="str">
        <f>IFERROR(INDEX('WetLitterbags placem_collection'!$A$3:$A$500,MATCH(A54,'WetLitterbags placem_collection'!$M$4:$M$500,0)),"")</f>
        <v/>
      </c>
      <c r="Q54" s="110" t="str">
        <f>IFERROR(INDEX('WetLitterbags placem_collection'!$A$3:$A$500,MATCH(A54,'WetLitterbags placem_collection'!$Q$4:$Q$500,0)),"")</f>
        <v/>
      </c>
    </row>
    <row r="55" spans="1:17" ht="13.95" customHeight="1">
      <c r="A55" s="110" t="s">
        <v>1645</v>
      </c>
      <c r="B55" s="110" t="s">
        <v>2083</v>
      </c>
      <c r="C55" s="110">
        <v>0.70150000000000001</v>
      </c>
      <c r="D55" s="110" t="s">
        <v>2071</v>
      </c>
      <c r="E55" s="112">
        <v>43125</v>
      </c>
      <c r="N55" s="110">
        <f>IFERROR(INDEX('WetLitterbags placem_collection'!$A$3:$A$500,MATCH(A55,'WetLitterbags placem_collection'!$K$4:$K$500,0)),"")</f>
        <v>15</v>
      </c>
      <c r="O55" s="110" t="str">
        <f>IFERROR(INDEX('WetLitterbags placem_collection'!$A$3:$A$500,MATCH(A55,'WetLitterbags placem_collection'!$O$4:$O$500,0)),"")</f>
        <v/>
      </c>
      <c r="P55" s="110" t="str">
        <f>IFERROR(INDEX('WetLitterbags placem_collection'!$A$3:$A$500,MATCH(A55,'WetLitterbags placem_collection'!$M$4:$M$500,0)),"")</f>
        <v/>
      </c>
      <c r="Q55" s="110" t="str">
        <f>IFERROR(INDEX('WetLitterbags placem_collection'!$A$3:$A$500,MATCH(A55,'WetLitterbags placem_collection'!$Q$4:$Q$500,0)),"")</f>
        <v/>
      </c>
    </row>
    <row r="56" spans="1:17" ht="13.95" customHeight="1">
      <c r="A56" s="110" t="s">
        <v>1644</v>
      </c>
      <c r="B56" s="110" t="s">
        <v>2077</v>
      </c>
      <c r="C56" s="110">
        <v>0.68400000000000005</v>
      </c>
      <c r="E56" s="112">
        <v>43122</v>
      </c>
      <c r="N56" s="110">
        <f>IFERROR(INDEX('WetLitterbags placem_collection'!$A$3:$A$500,MATCH(A56,'WetLitterbags placem_collection'!$K$4:$K$500,0)),"")</f>
        <v>24</v>
      </c>
      <c r="O56" s="110" t="str">
        <f>IFERROR(INDEX('WetLitterbags placem_collection'!$A$3:$A$500,MATCH(A56,'WetLitterbags placem_collection'!$O$4:$O$500,0)),"")</f>
        <v/>
      </c>
      <c r="P56" s="110" t="str">
        <f>IFERROR(INDEX('WetLitterbags placem_collection'!$A$3:$A$500,MATCH(A56,'WetLitterbags placem_collection'!$M$4:$M$500,0)),"")</f>
        <v/>
      </c>
      <c r="Q56" s="110" t="str">
        <f>IFERROR(INDEX('WetLitterbags placem_collection'!$A$3:$A$500,MATCH(A56,'WetLitterbags placem_collection'!$Q$4:$Q$500,0)),"")</f>
        <v/>
      </c>
    </row>
    <row r="57" spans="1:17" ht="13.95" customHeight="1">
      <c r="A57" s="110" t="s">
        <v>1642</v>
      </c>
      <c r="B57" s="110" t="s">
        <v>2083</v>
      </c>
      <c r="C57" s="110">
        <v>0.85780000000000001</v>
      </c>
      <c r="D57" s="110" t="s">
        <v>2099</v>
      </c>
      <c r="E57" s="112">
        <v>43125</v>
      </c>
      <c r="N57" s="110">
        <f>IFERROR(INDEX('WetLitterbags placem_collection'!$A$3:$A$500,MATCH(A57,'WetLitterbags placem_collection'!$K$4:$K$500,0)),"")</f>
        <v>74</v>
      </c>
      <c r="O57" s="110" t="str">
        <f>IFERROR(INDEX('WetLitterbags placem_collection'!$A$3:$A$500,MATCH(A57,'WetLitterbags placem_collection'!$O$4:$O$500,0)),"")</f>
        <v/>
      </c>
      <c r="P57" s="110" t="str">
        <f>IFERROR(INDEX('WetLitterbags placem_collection'!$A$3:$A$500,MATCH(A57,'WetLitterbags placem_collection'!$M$4:$M$500,0)),"")</f>
        <v/>
      </c>
      <c r="Q57" s="110" t="str">
        <f>IFERROR(INDEX('WetLitterbags placem_collection'!$A$3:$A$500,MATCH(A57,'WetLitterbags placem_collection'!$Q$4:$Q$500,0)),"")</f>
        <v/>
      </c>
    </row>
    <row r="58" spans="1:17" ht="13.95" customHeight="1">
      <c r="A58" s="179" t="s">
        <v>1636</v>
      </c>
      <c r="B58">
        <v>70</v>
      </c>
      <c r="C58" s="110">
        <v>0.84099999999999997</v>
      </c>
      <c r="E58" s="112">
        <v>42878</v>
      </c>
      <c r="N58" s="110" t="str">
        <f>IFERROR(INDEX('WetLitterbags placem_collection'!$A$3:$A$500,MATCH(A58,'WetLitterbags placem_collection'!$K$4:$K$500,0)),"")</f>
        <v/>
      </c>
      <c r="O58" s="110">
        <f>IFERROR(INDEX('WetLitterbags placem_collection'!$A$3:$A$500,MATCH(A58,'WetLitterbags placem_collection'!$O$4:$O$500,0)),"")</f>
        <v>69</v>
      </c>
      <c r="P58" s="110" t="str">
        <f>IFERROR(INDEX('WetLitterbags placem_collection'!$A$3:$A$500,MATCH(A58,'WetLitterbags placem_collection'!$M$4:$M$500,0)),"")</f>
        <v/>
      </c>
      <c r="Q58" s="110" t="str">
        <f>IFERROR(INDEX('WetLitterbags placem_collection'!$A$3:$A$500,MATCH(A58,'WetLitterbags placem_collection'!$Q$4:$Q$500,0)),"")</f>
        <v/>
      </c>
    </row>
    <row r="59" spans="1:17" ht="13.95" customHeight="1">
      <c r="A59" s="110" t="s">
        <v>1634</v>
      </c>
      <c r="B59" s="110">
        <v>75</v>
      </c>
      <c r="C59" s="110">
        <v>0.94399999999999995</v>
      </c>
      <c r="D59" s="110" t="s">
        <v>2058</v>
      </c>
      <c r="E59" s="112">
        <v>42881</v>
      </c>
      <c r="N59" s="110">
        <f>IFERROR(INDEX('WetLitterbags placem_collection'!$A$3:$A$500,MATCH(A59,'WetLitterbags placem_collection'!$K$4:$K$500,0)),"")</f>
        <v>75</v>
      </c>
      <c r="O59" s="110" t="str">
        <f>IFERROR(INDEX('WetLitterbags placem_collection'!$A$3:$A$500,MATCH(A59,'WetLitterbags placem_collection'!$O$4:$O$500,0)),"")</f>
        <v/>
      </c>
      <c r="P59" s="110" t="str">
        <f>IFERROR(INDEX('WetLitterbags placem_collection'!$A$3:$A$500,MATCH(A59,'WetLitterbags placem_collection'!$M$4:$M$500,0)),"")</f>
        <v/>
      </c>
      <c r="Q59" s="110" t="str">
        <f>IFERROR(INDEX('WetLitterbags placem_collection'!$A$3:$A$500,MATCH(A59,'WetLitterbags placem_collection'!$Q$4:$Q$500,0)),"")</f>
        <v/>
      </c>
    </row>
    <row r="60" spans="1:17" ht="13.95" customHeight="1">
      <c r="A60" s="110" t="s">
        <v>1633</v>
      </c>
      <c r="B60" s="110" t="s">
        <v>2077</v>
      </c>
      <c r="C60" s="110">
        <v>0.62309999999999999</v>
      </c>
      <c r="E60" s="112">
        <v>43119</v>
      </c>
      <c r="N60" s="110" t="str">
        <f>IFERROR(INDEX('WetLitterbags placem_collection'!$A$3:$A$500,MATCH(A60,'WetLitterbags placem_collection'!$K$4:$K$500,0)),"")</f>
        <v/>
      </c>
      <c r="O60" s="110">
        <f>IFERROR(INDEX('WetLitterbags placem_collection'!$A$3:$A$500,MATCH(A60,'WetLitterbags placem_collection'!$O$4:$O$500,0)),"")</f>
        <v>190</v>
      </c>
      <c r="P60" s="110" t="str">
        <f>IFERROR(INDEX('WetLitterbags placem_collection'!$A$3:$A$500,MATCH(A60,'WetLitterbags placem_collection'!$M$4:$M$500,0)),"")</f>
        <v/>
      </c>
      <c r="Q60" s="110" t="str">
        <f>IFERROR(INDEX('WetLitterbags placem_collection'!$A$3:$A$500,MATCH(A60,'WetLitterbags placem_collection'!$Q$4:$Q$500,0)),"")</f>
        <v/>
      </c>
    </row>
    <row r="61" spans="1:17" ht="13.95" customHeight="1">
      <c r="A61" s="110" t="s">
        <v>1631</v>
      </c>
      <c r="B61" s="110">
        <v>18</v>
      </c>
      <c r="C61" s="110">
        <v>0.79100000000000004</v>
      </c>
      <c r="E61" s="112">
        <v>42879</v>
      </c>
      <c r="N61" s="110">
        <f>IFERROR(INDEX('WetLitterbags placem_collection'!$A$3:$A$500,MATCH(A61,'WetLitterbags placem_collection'!$K$4:$K$500,0)),"")</f>
        <v>17</v>
      </c>
      <c r="O61" s="110" t="str">
        <f>IFERROR(INDEX('WetLitterbags placem_collection'!$A$3:$A$500,MATCH(A61,'WetLitterbags placem_collection'!$O$4:$O$500,0)),"")</f>
        <v/>
      </c>
      <c r="P61" s="110" t="str">
        <f>IFERROR(INDEX('WetLitterbags placem_collection'!$A$3:$A$500,MATCH(A61,'WetLitterbags placem_collection'!$M$4:$M$500,0)),"")</f>
        <v/>
      </c>
      <c r="Q61" s="110" t="str">
        <f>IFERROR(INDEX('WetLitterbags placem_collection'!$A$3:$A$500,MATCH(A61,'WetLitterbags placem_collection'!$Q$4:$Q$500,0)),"")</f>
        <v/>
      </c>
    </row>
    <row r="62" spans="1:17" ht="13.95" customHeight="1">
      <c r="A62" s="110" t="s">
        <v>1630</v>
      </c>
      <c r="B62" s="110" t="s">
        <v>2083</v>
      </c>
      <c r="C62" s="110">
        <v>0.29980000000000001</v>
      </c>
      <c r="D62" s="167" t="s">
        <v>2468</v>
      </c>
      <c r="E62" s="112">
        <v>43125</v>
      </c>
      <c r="N62" s="110">
        <f>IFERROR(INDEX('WetLitterbags placem_collection'!$A$3:$A$500,MATCH(A62,'WetLitterbags placem_collection'!$K$4:$K$500,0)),"")</f>
        <v>187</v>
      </c>
      <c r="O62" s="110" t="str">
        <f>IFERROR(INDEX('WetLitterbags placem_collection'!$A$3:$A$500,MATCH(A62,'WetLitterbags placem_collection'!$O$4:$O$500,0)),"")</f>
        <v/>
      </c>
      <c r="P62" s="110" t="str">
        <f>IFERROR(INDEX('WetLitterbags placem_collection'!$A$3:$A$500,MATCH(A62,'WetLitterbags placem_collection'!$M$4:$M$500,0)),"")</f>
        <v/>
      </c>
      <c r="Q62" s="110" t="str">
        <f>IFERROR(INDEX('WetLitterbags placem_collection'!$A$3:$A$500,MATCH(A62,'WetLitterbags placem_collection'!$Q$4:$Q$500,0)),"")</f>
        <v/>
      </c>
    </row>
    <row r="63" spans="1:17" ht="13.95" customHeight="1">
      <c r="A63" s="110" t="s">
        <v>1629</v>
      </c>
      <c r="B63" s="110">
        <v>24</v>
      </c>
      <c r="C63" s="110">
        <v>0.67</v>
      </c>
      <c r="E63" s="112">
        <v>43119</v>
      </c>
      <c r="N63" s="110" t="str">
        <f>IFERROR(INDEX('WetLitterbags placem_collection'!$A$3:$A$500,MATCH(A63,'WetLitterbags placem_collection'!$K$4:$K$500,0)),"")</f>
        <v/>
      </c>
      <c r="O63" s="110">
        <f>IFERROR(INDEX('WetLitterbags placem_collection'!$A$3:$A$500,MATCH(A63,'WetLitterbags placem_collection'!$O$4:$O$500,0)),"")</f>
        <v>23</v>
      </c>
      <c r="P63" s="110" t="str">
        <f>IFERROR(INDEX('WetLitterbags placem_collection'!$A$3:$A$500,MATCH(A63,'WetLitterbags placem_collection'!$M$4:$M$500,0)),"")</f>
        <v/>
      </c>
      <c r="Q63" s="110" t="str">
        <f>IFERROR(INDEX('WetLitterbags placem_collection'!$A$3:$A$500,MATCH(A63,'WetLitterbags placem_collection'!$Q$4:$Q$500,0)),"")</f>
        <v/>
      </c>
    </row>
    <row r="64" spans="1:17" ht="13.95" customHeight="1">
      <c r="A64" s="110" t="s">
        <v>1627</v>
      </c>
      <c r="B64" s="110" t="s">
        <v>2077</v>
      </c>
      <c r="C64" s="110">
        <v>0.62319999999999998</v>
      </c>
      <c r="E64" s="112">
        <v>43116</v>
      </c>
      <c r="N64" s="110">
        <f>IFERROR(INDEX('WetLitterbags placem_collection'!$A$3:$A$500,MATCH(A64,'WetLitterbags placem_collection'!$K$4:$K$500,0)),"")</f>
        <v>184</v>
      </c>
      <c r="O64" s="110" t="str">
        <f>IFERROR(INDEX('WetLitterbags placem_collection'!$A$3:$A$500,MATCH(A64,'WetLitterbags placem_collection'!$O$4:$O$500,0)),"")</f>
        <v/>
      </c>
      <c r="P64" s="110" t="str">
        <f>IFERROR(INDEX('WetLitterbags placem_collection'!$A$3:$A$500,MATCH(A64,'WetLitterbags placem_collection'!$M$4:$M$500,0)),"")</f>
        <v/>
      </c>
      <c r="Q64" s="110" t="str">
        <f>IFERROR(INDEX('WetLitterbags placem_collection'!$A$3:$A$500,MATCH(A64,'WetLitterbags placem_collection'!$Q$4:$Q$500,0)),"")</f>
        <v/>
      </c>
    </row>
    <row r="65" spans="1:17" ht="13.95" customHeight="1">
      <c r="A65" s="110" t="s">
        <v>1626</v>
      </c>
      <c r="B65" s="110" t="s">
        <v>2077</v>
      </c>
      <c r="C65" s="110">
        <v>0.66039999999999999</v>
      </c>
      <c r="E65" s="112">
        <v>43119</v>
      </c>
      <c r="N65" s="110" t="str">
        <f>IFERROR(INDEX('WetLitterbags placem_collection'!$A$3:$A$500,MATCH(A65,'WetLitterbags placem_collection'!$K$4:$K$500,0)),"")</f>
        <v/>
      </c>
      <c r="O65" s="110">
        <f>IFERROR(INDEX('WetLitterbags placem_collection'!$A$3:$A$500,MATCH(A65,'WetLitterbags placem_collection'!$O$4:$O$500,0)),"")</f>
        <v>92</v>
      </c>
      <c r="P65" s="110" t="str">
        <f>IFERROR(INDEX('WetLitterbags placem_collection'!$A$3:$A$500,MATCH(A65,'WetLitterbags placem_collection'!$M$4:$M$500,0)),"")</f>
        <v/>
      </c>
      <c r="Q65" s="110" t="str">
        <f>IFERROR(INDEX('WetLitterbags placem_collection'!$A$3:$A$500,MATCH(A65,'WetLitterbags placem_collection'!$Q$4:$Q$500,0)),"")</f>
        <v/>
      </c>
    </row>
    <row r="66" spans="1:17" ht="13.95" customHeight="1">
      <c r="A66" s="110" t="s">
        <v>1625</v>
      </c>
      <c r="B66" s="110">
        <v>169</v>
      </c>
      <c r="C66" s="110">
        <v>0.65800000000000003</v>
      </c>
      <c r="E66" s="112">
        <v>42879</v>
      </c>
      <c r="N66" s="110">
        <f>IFERROR(INDEX('WetLitterbags placem_collection'!$A$3:$A$500,MATCH(A66,'WetLitterbags placem_collection'!$K$4:$K$500,0)),"")</f>
        <v>168</v>
      </c>
      <c r="O66" s="110" t="str">
        <f>IFERROR(INDEX('WetLitterbags placem_collection'!$A$3:$A$500,MATCH(A66,'WetLitterbags placem_collection'!$O$4:$O$500,0)),"")</f>
        <v/>
      </c>
      <c r="P66" s="110" t="str">
        <f>IFERROR(INDEX('WetLitterbags placem_collection'!$A$3:$A$500,MATCH(A66,'WetLitterbags placem_collection'!$M$4:$M$500,0)),"")</f>
        <v/>
      </c>
      <c r="Q66" s="110" t="str">
        <f>IFERROR(INDEX('WetLitterbags placem_collection'!$A$3:$A$500,MATCH(A66,'WetLitterbags placem_collection'!$Q$4:$Q$500,0)),"")</f>
        <v/>
      </c>
    </row>
    <row r="67" spans="1:17" ht="13.95" customHeight="1">
      <c r="A67" s="110" t="s">
        <v>1621</v>
      </c>
      <c r="B67" s="110">
        <v>167</v>
      </c>
      <c r="C67" s="110">
        <v>0.64529999999999998</v>
      </c>
      <c r="D67" s="110" t="s">
        <v>2115</v>
      </c>
      <c r="E67" s="112">
        <v>43122</v>
      </c>
      <c r="N67" s="110">
        <f>IFERROR(INDEX('WetLitterbags placem_collection'!$A$3:$A$500,MATCH(A67,'WetLitterbags placem_collection'!$K$4:$K$500,0)),"")</f>
        <v>166</v>
      </c>
      <c r="O67" s="110" t="str">
        <f>IFERROR(INDEX('WetLitterbags placem_collection'!$A$3:$A$500,MATCH(A67,'WetLitterbags placem_collection'!$O$4:$O$500,0)),"")</f>
        <v/>
      </c>
      <c r="P67" s="110" t="str">
        <f>IFERROR(INDEX('WetLitterbags placem_collection'!$A$3:$A$500,MATCH(A67,'WetLitterbags placem_collection'!$M$4:$M$500,0)),"")</f>
        <v/>
      </c>
      <c r="Q67" s="110" t="str">
        <f>IFERROR(INDEX('WetLitterbags placem_collection'!$A$3:$A$500,MATCH(A67,'WetLitterbags placem_collection'!$Q$4:$Q$500,0)),"")</f>
        <v/>
      </c>
    </row>
    <row r="68" spans="1:17" ht="13.95" customHeight="1">
      <c r="A68" t="s">
        <v>1617</v>
      </c>
      <c r="B68" s="110">
        <v>170</v>
      </c>
      <c r="C68" s="110">
        <v>0.64800000000000002</v>
      </c>
      <c r="E68" s="112">
        <v>42878</v>
      </c>
      <c r="N68" s="110">
        <f>IFERROR(INDEX('WetLitterbags placem_collection'!$A$3:$A$500,MATCH(A68,'WetLitterbags placem_collection'!$K$4:$K$500,0)),"")</f>
        <v>169</v>
      </c>
      <c r="O68" s="110" t="str">
        <f>IFERROR(INDEX('WetLitterbags placem_collection'!$A$3:$A$500,MATCH(A68,'WetLitterbags placem_collection'!$O$4:$O$500,0)),"")</f>
        <v/>
      </c>
      <c r="P68" s="110" t="str">
        <f>IFERROR(INDEX('WetLitterbags placem_collection'!$A$3:$A$500,MATCH(A68,'WetLitterbags placem_collection'!$M$4:$M$500,0)),"")</f>
        <v/>
      </c>
      <c r="Q68" s="110" t="str">
        <f>IFERROR(INDEX('WetLitterbags placem_collection'!$A$3:$A$500,MATCH(A68,'WetLitterbags placem_collection'!$Q$4:$Q$500,0)),"")</f>
        <v/>
      </c>
    </row>
    <row r="69" spans="1:17" ht="13.95" customHeight="1">
      <c r="A69" s="110" t="s">
        <v>1614</v>
      </c>
      <c r="B69" s="110" t="s">
        <v>2083</v>
      </c>
      <c r="C69" s="110">
        <v>0.43290000000000001</v>
      </c>
      <c r="D69" s="110" t="s">
        <v>2101</v>
      </c>
      <c r="E69" s="112">
        <v>43125</v>
      </c>
      <c r="N69" s="110" t="str">
        <f>IFERROR(INDEX('WetLitterbags placem_collection'!$A$3:$A$500,MATCH(A69,'WetLitterbags placem_collection'!$K$4:$K$500,0)),"")</f>
        <v/>
      </c>
      <c r="O69" s="110" t="str">
        <f>IFERROR(INDEX('WetLitterbags placem_collection'!$A$3:$A$500,MATCH(A69,'WetLitterbags placem_collection'!$O$4:$O$500,0)),"")</f>
        <v/>
      </c>
      <c r="P69" s="110" t="str">
        <f>IFERROR(INDEX('WetLitterbags placem_collection'!$A$3:$A$500,MATCH(A69,'WetLitterbags placem_collection'!$M$4:$M$500,0)),"")</f>
        <v/>
      </c>
      <c r="Q69" s="110" t="str">
        <f>IFERROR(INDEX('WetLitterbags placem_collection'!$A$3:$A$500,MATCH(A69,'WetLitterbags placem_collection'!$Q$4:$Q$500,0)),"")</f>
        <v/>
      </c>
    </row>
    <row r="70" spans="1:17" ht="13.95" customHeight="1">
      <c r="A70" s="110" t="s">
        <v>1613</v>
      </c>
      <c r="B70" s="110">
        <v>42</v>
      </c>
      <c r="C70" s="110">
        <v>0.64</v>
      </c>
      <c r="E70" s="112">
        <v>42881</v>
      </c>
      <c r="N70" s="110" t="str">
        <f>IFERROR(INDEX('WetLitterbags placem_collection'!$A$3:$A$500,MATCH(A70,'WetLitterbags placem_collection'!$K$4:$K$500,0)),"")</f>
        <v/>
      </c>
      <c r="O70" s="110">
        <f>IFERROR(INDEX('WetLitterbags placem_collection'!$A$3:$A$500,MATCH(A70,'WetLitterbags placem_collection'!$O$4:$O$500,0)),"")</f>
        <v>41</v>
      </c>
      <c r="P70" s="110" t="str">
        <f>IFERROR(INDEX('WetLitterbags placem_collection'!$A$3:$A$500,MATCH(A70,'WetLitterbags placem_collection'!$M$4:$M$500,0)),"")</f>
        <v/>
      </c>
      <c r="Q70" s="110" t="str">
        <f>IFERROR(INDEX('WetLitterbags placem_collection'!$A$3:$A$500,MATCH(A70,'WetLitterbags placem_collection'!$Q$4:$Q$500,0)),"")</f>
        <v/>
      </c>
    </row>
    <row r="71" spans="1:17" ht="13.95" customHeight="1">
      <c r="A71" s="110" t="s">
        <v>1611</v>
      </c>
      <c r="B71" s="110">
        <v>172</v>
      </c>
      <c r="C71" s="110">
        <v>0.59599999999999997</v>
      </c>
      <c r="E71" s="112">
        <v>43123</v>
      </c>
      <c r="N71" s="110" t="str">
        <f>IFERROR(INDEX('WetLitterbags placem_collection'!$A$3:$A$500,MATCH(A71,'WetLitterbags placem_collection'!$K$4:$K$500,0)),"")</f>
        <v/>
      </c>
      <c r="O71" s="110">
        <f>IFERROR(INDEX('WetLitterbags placem_collection'!$A$3:$A$500,MATCH(A71,'WetLitterbags placem_collection'!$O$4:$O$500,0)),"")</f>
        <v>171</v>
      </c>
      <c r="P71" s="110" t="str">
        <f>IFERROR(INDEX('WetLitterbags placem_collection'!$A$3:$A$500,MATCH(A71,'WetLitterbags placem_collection'!$M$4:$M$500,0)),"")</f>
        <v/>
      </c>
      <c r="Q71" s="110" t="str">
        <f>IFERROR(INDEX('WetLitterbags placem_collection'!$A$3:$A$500,MATCH(A71,'WetLitterbags placem_collection'!$Q$4:$Q$500,0)),"")</f>
        <v/>
      </c>
    </row>
    <row r="72" spans="1:17" ht="13.95" customHeight="1">
      <c r="A72" s="110" t="s">
        <v>1610</v>
      </c>
      <c r="B72" s="110">
        <v>63</v>
      </c>
      <c r="C72" s="110">
        <v>0.94199999999999995</v>
      </c>
      <c r="E72" s="112">
        <v>42879</v>
      </c>
      <c r="N72" s="110" t="str">
        <f>IFERROR(INDEX('WetLitterbags placem_collection'!$A$3:$A$500,MATCH(A72,'WetLitterbags placem_collection'!$K$4:$K$500,0)),"")</f>
        <v/>
      </c>
      <c r="O72" s="110">
        <f>IFERROR(INDEX('WetLitterbags placem_collection'!$A$3:$A$500,MATCH(A72,'WetLitterbags placem_collection'!$O$4:$O$500,0)),"")</f>
        <v>62</v>
      </c>
      <c r="P72" s="110" t="str">
        <f>IFERROR(INDEX('WetLitterbags placem_collection'!$A$3:$A$500,MATCH(A72,'WetLitterbags placem_collection'!$M$4:$M$500,0)),"")</f>
        <v/>
      </c>
      <c r="Q72" s="110" t="str">
        <f>IFERROR(INDEX('WetLitterbags placem_collection'!$A$3:$A$500,MATCH(A72,'WetLitterbags placem_collection'!$Q$4:$Q$500,0)),"")</f>
        <v/>
      </c>
    </row>
    <row r="73" spans="1:17" ht="13.95" customHeight="1">
      <c r="A73" s="110" t="s">
        <v>1609</v>
      </c>
      <c r="B73" s="110">
        <v>85</v>
      </c>
      <c r="C73" s="110">
        <v>0.96599999999999997</v>
      </c>
      <c r="E73" s="112">
        <v>42878</v>
      </c>
      <c r="N73" s="110" t="str">
        <f>IFERROR(INDEX('WetLitterbags placem_collection'!$A$3:$A$500,MATCH(A73,'WetLitterbags placem_collection'!$K$4:$K$500,0)),"")</f>
        <v/>
      </c>
      <c r="O73" s="110">
        <f>IFERROR(INDEX('WetLitterbags placem_collection'!$A$3:$A$500,MATCH(A73,'WetLitterbags placem_collection'!$O$4:$O$500,0)),"")</f>
        <v>84</v>
      </c>
      <c r="P73" s="110" t="str">
        <f>IFERROR(INDEX('WetLitterbags placem_collection'!$A$3:$A$500,MATCH(A73,'WetLitterbags placem_collection'!$M$4:$M$500,0)),"")</f>
        <v/>
      </c>
      <c r="Q73" s="110" t="str">
        <f>IFERROR(INDEX('WetLitterbags placem_collection'!$A$3:$A$500,MATCH(A73,'WetLitterbags placem_collection'!$Q$4:$Q$500,0)),"")</f>
        <v/>
      </c>
    </row>
    <row r="74" spans="1:17" ht="13.95" customHeight="1">
      <c r="A74" s="110" t="s">
        <v>1608</v>
      </c>
      <c r="B74" s="110" t="s">
        <v>2077</v>
      </c>
      <c r="C74" s="110">
        <v>0.66290000000000004</v>
      </c>
      <c r="E74" s="112">
        <v>43116</v>
      </c>
      <c r="N74" s="110" t="str">
        <f>IFERROR(INDEX('WetLitterbags placem_collection'!$A$3:$A$500,MATCH(A74,'WetLitterbags placem_collection'!$K$4:$K$500,0)),"")</f>
        <v/>
      </c>
      <c r="O74" s="110">
        <f>IFERROR(INDEX('WetLitterbags placem_collection'!$A$3:$A$500,MATCH(A74,'WetLitterbags placem_collection'!$O$4:$O$500,0)),"")</f>
        <v>161</v>
      </c>
      <c r="P74" s="110" t="str">
        <f>IFERROR(INDEX('WetLitterbags placem_collection'!$A$3:$A$500,MATCH(A74,'WetLitterbags placem_collection'!$M$4:$M$500,0)),"")</f>
        <v/>
      </c>
      <c r="Q74" s="110" t="str">
        <f>IFERROR(INDEX('WetLitterbags placem_collection'!$A$3:$A$500,MATCH(A74,'WetLitterbags placem_collection'!$Q$4:$Q$500,0)),"")</f>
        <v/>
      </c>
    </row>
    <row r="75" spans="1:17" ht="13.95" customHeight="1">
      <c r="A75" s="110" t="s">
        <v>1607</v>
      </c>
      <c r="B75" s="110" t="s">
        <v>2077</v>
      </c>
      <c r="C75" s="110">
        <v>0.69789999999999996</v>
      </c>
      <c r="E75" s="112">
        <v>43116</v>
      </c>
      <c r="N75" s="110" t="str">
        <f>IFERROR(INDEX('WetLitterbags placem_collection'!$A$3:$A$500,MATCH(A75,'WetLitterbags placem_collection'!$K$4:$K$500,0)),"")</f>
        <v/>
      </c>
      <c r="O75" s="110">
        <f>IFERROR(INDEX('WetLitterbags placem_collection'!$A$3:$A$500,MATCH(A75,'WetLitterbags placem_collection'!$O$4:$O$500,0)),"")</f>
        <v>166</v>
      </c>
      <c r="P75" s="110" t="str">
        <f>IFERROR(INDEX('WetLitterbags placem_collection'!$A$3:$A$500,MATCH(A75,'WetLitterbags placem_collection'!$M$4:$M$500,0)),"")</f>
        <v/>
      </c>
      <c r="Q75" s="110" t="str">
        <f>IFERROR(INDEX('WetLitterbags placem_collection'!$A$3:$A$500,MATCH(A75,'WetLitterbags placem_collection'!$Q$4:$Q$500,0)),"")</f>
        <v/>
      </c>
    </row>
    <row r="76" spans="1:17" ht="13.95" customHeight="1">
      <c r="A76" s="110" t="s">
        <v>1605</v>
      </c>
      <c r="B76" s="110">
        <v>62</v>
      </c>
      <c r="C76" s="110">
        <v>0.80569999999999997</v>
      </c>
      <c r="E76" s="112">
        <v>43125</v>
      </c>
      <c r="N76" s="110" t="str">
        <f>IFERROR(INDEX('WetLitterbags placem_collection'!$A$3:$A$500,MATCH(A76,'WetLitterbags placem_collection'!$K$4:$K$500,0)),"")</f>
        <v/>
      </c>
      <c r="O76" s="110">
        <f>IFERROR(INDEX('WetLitterbags placem_collection'!$A$3:$A$500,MATCH(A76,'WetLitterbags placem_collection'!$O$4:$O$500,0)),"")</f>
        <v>61</v>
      </c>
      <c r="P76" s="110" t="str">
        <f>IFERROR(INDEX('WetLitterbags placem_collection'!$A$3:$A$500,MATCH(A76,'WetLitterbags placem_collection'!$M$4:$M$500,0)),"")</f>
        <v/>
      </c>
      <c r="Q76" s="110" t="str">
        <f>IFERROR(INDEX('WetLitterbags placem_collection'!$A$3:$A$500,MATCH(A76,'WetLitterbags placem_collection'!$Q$4:$Q$500,0)),"")</f>
        <v/>
      </c>
    </row>
    <row r="77" spans="1:17" ht="13.95" customHeight="1">
      <c r="A77" s="110" t="s">
        <v>1604</v>
      </c>
      <c r="B77" s="110" t="s">
        <v>2077</v>
      </c>
      <c r="C77" s="110">
        <v>0.77859999999999996</v>
      </c>
      <c r="E77" s="112">
        <v>43122</v>
      </c>
      <c r="N77" s="110" t="str">
        <f>IFERROR(INDEX('WetLitterbags placem_collection'!$A$3:$A$500,MATCH(A77,'WetLitterbags placem_collection'!$K$4:$K$500,0)),"")</f>
        <v/>
      </c>
      <c r="O77" s="110">
        <f>IFERROR(INDEX('WetLitterbags placem_collection'!$A$3:$A$500,MATCH(A77,'WetLitterbags placem_collection'!$O$4:$O$500,0)),"")</f>
        <v>77</v>
      </c>
      <c r="P77" s="110" t="str">
        <f>IFERROR(INDEX('WetLitterbags placem_collection'!$A$3:$A$500,MATCH(A77,'WetLitterbags placem_collection'!$M$4:$M$500,0)),"")</f>
        <v/>
      </c>
      <c r="Q77" s="110" t="str">
        <f>IFERROR(INDEX('WetLitterbags placem_collection'!$A$3:$A$500,MATCH(A77,'WetLitterbags placem_collection'!$Q$4:$Q$500,0)),"")</f>
        <v/>
      </c>
    </row>
    <row r="78" spans="1:17" ht="13.95" customHeight="1">
      <c r="A78" s="110" t="s">
        <v>1603</v>
      </c>
      <c r="B78" s="110" t="s">
        <v>2077</v>
      </c>
      <c r="C78" s="110">
        <v>0.67749999999999999</v>
      </c>
      <c r="E78" s="112">
        <v>43116</v>
      </c>
      <c r="N78" s="110">
        <f>IFERROR(INDEX('WetLitterbags placem_collection'!$A$3:$A$500,MATCH(A78,'WetLitterbags placem_collection'!$K$4:$K$500,0)),"")</f>
        <v>5</v>
      </c>
      <c r="O78" s="110" t="str">
        <f>IFERROR(INDEX('WetLitterbags placem_collection'!$A$3:$A$500,MATCH(A78,'WetLitterbags placem_collection'!$O$4:$O$500,0)),"")</f>
        <v/>
      </c>
      <c r="P78" s="110" t="str">
        <f>IFERROR(INDEX('WetLitterbags placem_collection'!$A$3:$A$500,MATCH(A78,'WetLitterbags placem_collection'!$M$4:$M$500,0)),"")</f>
        <v/>
      </c>
      <c r="Q78" s="110" t="str">
        <f>IFERROR(INDEX('WetLitterbags placem_collection'!$A$3:$A$500,MATCH(A78,'WetLitterbags placem_collection'!$Q$4:$Q$500,0)),"")</f>
        <v/>
      </c>
    </row>
    <row r="79" spans="1:17" ht="13.95" customHeight="1">
      <c r="A79" s="110" t="s">
        <v>1602</v>
      </c>
      <c r="B79" s="110">
        <v>69</v>
      </c>
      <c r="C79" s="222" t="s">
        <v>2057</v>
      </c>
      <c r="D79" s="110" t="s">
        <v>2059</v>
      </c>
      <c r="E79" s="112">
        <v>42881</v>
      </c>
      <c r="N79" s="110">
        <f>IFERROR(INDEX('WetLitterbags placem_collection'!$A$3:$A$500,MATCH(A79,'WetLitterbags placem_collection'!$K$4:$K$500,0)),"")</f>
        <v>68</v>
      </c>
      <c r="O79" s="110" t="str">
        <f>IFERROR(INDEX('WetLitterbags placem_collection'!$A$3:$A$500,MATCH(A79,'WetLitterbags placem_collection'!$O$4:$O$500,0)),"")</f>
        <v/>
      </c>
      <c r="P79" s="110" t="str">
        <f>IFERROR(INDEX('WetLitterbags placem_collection'!$A$3:$A$500,MATCH(A79,'WetLitterbags placem_collection'!$M$4:$M$500,0)),"")</f>
        <v/>
      </c>
      <c r="Q79" s="110" t="str">
        <f>IFERROR(INDEX('WetLitterbags placem_collection'!$A$3:$A$500,MATCH(A79,'WetLitterbags placem_collection'!$Q$4:$Q$500,0)),"")</f>
        <v/>
      </c>
    </row>
    <row r="80" spans="1:17" ht="13.95" customHeight="1">
      <c r="A80" s="110" t="s">
        <v>1601</v>
      </c>
      <c r="B80" s="110">
        <v>27</v>
      </c>
      <c r="C80" s="110">
        <v>0.73760000000000003</v>
      </c>
      <c r="E80" s="112">
        <v>43122</v>
      </c>
      <c r="N80" s="110" t="str">
        <f>IFERROR(INDEX('WetLitterbags placem_collection'!$A$3:$A$500,MATCH(A80,'WetLitterbags placem_collection'!$K$4:$K$500,0)),"")</f>
        <v/>
      </c>
      <c r="O80" s="110">
        <f>IFERROR(INDEX('WetLitterbags placem_collection'!$A$3:$A$500,MATCH(A80,'WetLitterbags placem_collection'!$O$4:$O$500,0)),"")</f>
        <v>26</v>
      </c>
      <c r="P80" s="110" t="str">
        <f>IFERROR(INDEX('WetLitterbags placem_collection'!$A$3:$A$500,MATCH(A80,'WetLitterbags placem_collection'!$M$4:$M$500,0)),"")</f>
        <v/>
      </c>
      <c r="Q80" s="110" t="str">
        <f>IFERROR(INDEX('WetLitterbags placem_collection'!$A$3:$A$500,MATCH(A80,'WetLitterbags placem_collection'!$Q$4:$Q$500,0)),"")</f>
        <v/>
      </c>
    </row>
    <row r="81" spans="1:17" ht="13.95" customHeight="1">
      <c r="A81" s="110" t="s">
        <v>1600</v>
      </c>
      <c r="B81" s="110">
        <v>67</v>
      </c>
      <c r="C81" s="110">
        <v>0.89059999999999995</v>
      </c>
      <c r="E81" s="112">
        <v>43125</v>
      </c>
      <c r="N81" s="110">
        <f>IFERROR(INDEX('WetLitterbags placem_collection'!$A$3:$A$500,MATCH(A81,'WetLitterbags placem_collection'!$K$4:$K$500,0)),"")</f>
        <v>66</v>
      </c>
      <c r="O81" s="110" t="str">
        <f>IFERROR(INDEX('WetLitterbags placem_collection'!$A$3:$A$500,MATCH(A81,'WetLitterbags placem_collection'!$O$4:$O$500,0)),"")</f>
        <v/>
      </c>
      <c r="P81" s="110" t="str">
        <f>IFERROR(INDEX('WetLitterbags placem_collection'!$A$3:$A$500,MATCH(A81,'WetLitterbags placem_collection'!$M$4:$M$500,0)),"")</f>
        <v/>
      </c>
      <c r="Q81" s="110" t="str">
        <f>IFERROR(INDEX('WetLitterbags placem_collection'!$A$3:$A$500,MATCH(A81,'WetLitterbags placem_collection'!$Q$4:$Q$500,0)),"")</f>
        <v/>
      </c>
    </row>
    <row r="82" spans="1:17" ht="13.95" customHeight="1">
      <c r="A82" s="110" t="s">
        <v>1599</v>
      </c>
      <c r="B82" s="110" t="s">
        <v>2077</v>
      </c>
      <c r="C82" s="110">
        <v>0.60329999999999995</v>
      </c>
      <c r="E82" s="112">
        <v>43122</v>
      </c>
      <c r="J82" s="111"/>
      <c r="K82" s="111" t="s">
        <v>2472</v>
      </c>
      <c r="L82" s="110" t="s">
        <v>2472</v>
      </c>
      <c r="N82" s="110">
        <f>IFERROR(INDEX('WetLitterbags placem_collection'!$A$3:$A$500,MATCH(A82,'WetLitterbags placem_collection'!$K$4:$K$500,0)),"")</f>
        <v>178</v>
      </c>
      <c r="O82" s="110" t="str">
        <f>IFERROR(INDEX('WetLitterbags placem_collection'!$A$3:$A$500,MATCH(A82,'WetLitterbags placem_collection'!$O$4:$O$500,0)),"")</f>
        <v/>
      </c>
      <c r="P82" s="110" t="str">
        <f>IFERROR(INDEX('WetLitterbags placem_collection'!$A$3:$A$500,MATCH(A82,'WetLitterbags placem_collection'!$M$4:$M$500,0)),"")</f>
        <v/>
      </c>
      <c r="Q82" s="110" t="str">
        <f>IFERROR(INDEX('WetLitterbags placem_collection'!$A$3:$A$500,MATCH(A82,'WetLitterbags placem_collection'!$Q$4:$Q$500,0)),"")</f>
        <v/>
      </c>
    </row>
    <row r="83" spans="1:17" ht="13.95" customHeight="1">
      <c r="A83" s="110" t="s">
        <v>1598</v>
      </c>
      <c r="B83" s="110">
        <v>7</v>
      </c>
      <c r="C83" s="110">
        <v>0.67900000000000005</v>
      </c>
      <c r="E83" s="112">
        <v>42879</v>
      </c>
      <c r="N83" s="110">
        <f>IFERROR(INDEX('WetLitterbags placem_collection'!$A$3:$A$500,MATCH(A83,'WetLitterbags placem_collection'!$K$4:$K$500,0)),"")</f>
        <v>6</v>
      </c>
      <c r="O83" s="110" t="str">
        <f>IFERROR(INDEX('WetLitterbags placem_collection'!$A$3:$A$500,MATCH(A83,'WetLitterbags placem_collection'!$O$4:$O$500,0)),"")</f>
        <v/>
      </c>
      <c r="P83" s="110" t="str">
        <f>IFERROR(INDEX('WetLitterbags placem_collection'!$A$3:$A$500,MATCH(A83,'WetLitterbags placem_collection'!$M$4:$M$500,0)),"")</f>
        <v/>
      </c>
      <c r="Q83" s="110" t="str">
        <f>IFERROR(INDEX('WetLitterbags placem_collection'!$A$3:$A$500,MATCH(A83,'WetLitterbags placem_collection'!$Q$4:$Q$500,0)),"")</f>
        <v/>
      </c>
    </row>
    <row r="84" spans="1:17" ht="13.95" customHeight="1">
      <c r="A84" s="110" t="s">
        <v>1597</v>
      </c>
      <c r="B84" s="110">
        <v>41</v>
      </c>
      <c r="C84" s="110">
        <v>1.0509999999999999</v>
      </c>
      <c r="E84" s="112">
        <v>42879</v>
      </c>
      <c r="N84" s="110">
        <f>IFERROR(INDEX('WetLitterbags placem_collection'!$A$3:$A$500,MATCH(A84,'WetLitterbags placem_collection'!$K$4:$K$500,0)),"")</f>
        <v>40</v>
      </c>
      <c r="O84" s="110" t="str">
        <f>IFERROR(INDEX('WetLitterbags placem_collection'!$A$3:$A$500,MATCH(A84,'WetLitterbags placem_collection'!$O$4:$O$500,0)),"")</f>
        <v/>
      </c>
      <c r="P84" s="110" t="str">
        <f>IFERROR(INDEX('WetLitterbags placem_collection'!$A$3:$A$500,MATCH(A84,'WetLitterbags placem_collection'!$M$4:$M$500,0)),"")</f>
        <v/>
      </c>
      <c r="Q84" s="110" t="str">
        <f>IFERROR(INDEX('WetLitterbags placem_collection'!$A$3:$A$500,MATCH(A84,'WetLitterbags placem_collection'!$Q$4:$Q$500,0)),"")</f>
        <v/>
      </c>
    </row>
    <row r="85" spans="1:17" ht="13.95" customHeight="1">
      <c r="A85" s="110" t="s">
        <v>1596</v>
      </c>
      <c r="B85" s="110">
        <v>176</v>
      </c>
      <c r="C85" s="110">
        <v>0.63900000000000001</v>
      </c>
      <c r="E85" s="112">
        <v>42879</v>
      </c>
      <c r="N85" s="110">
        <f>IFERROR(INDEX('WetLitterbags placem_collection'!$A$3:$A$500,MATCH(A85,'WetLitterbags placem_collection'!$K$4:$K$500,0)),"")</f>
        <v>175</v>
      </c>
      <c r="O85" s="110" t="str">
        <f>IFERROR(INDEX('WetLitterbags placem_collection'!$A$3:$A$500,MATCH(A85,'WetLitterbags placem_collection'!$O$4:$O$500,0)),"")</f>
        <v/>
      </c>
      <c r="P85" s="110" t="str">
        <f>IFERROR(INDEX('WetLitterbags placem_collection'!$A$3:$A$500,MATCH(A85,'WetLitterbags placem_collection'!$M$4:$M$500,0)),"")</f>
        <v/>
      </c>
      <c r="Q85" s="110" t="str">
        <f>IFERROR(INDEX('WetLitterbags placem_collection'!$A$3:$A$500,MATCH(A85,'WetLitterbags placem_collection'!$Q$4:$Q$500,0)),"")</f>
        <v/>
      </c>
    </row>
    <row r="86" spans="1:17" ht="13.95" customHeight="1">
      <c r="A86" s="110" t="s">
        <v>1594</v>
      </c>
      <c r="B86" s="110">
        <v>23</v>
      </c>
      <c r="C86" s="110">
        <v>0.72629999999999995</v>
      </c>
      <c r="E86" s="112">
        <v>43123</v>
      </c>
      <c r="N86" s="110" t="str">
        <f>IFERROR(INDEX('WetLitterbags placem_collection'!$A$3:$A$500,MATCH(A86,'WetLitterbags placem_collection'!$K$4:$K$500,0)),"")</f>
        <v/>
      </c>
      <c r="O86" s="110">
        <f>IFERROR(INDEX('WetLitterbags placem_collection'!$A$3:$A$500,MATCH(A86,'WetLitterbags placem_collection'!$O$4:$O$500,0)),"")</f>
        <v>22</v>
      </c>
      <c r="P86" s="110" t="str">
        <f>IFERROR(INDEX('WetLitterbags placem_collection'!$A$3:$A$500,MATCH(A86,'WetLitterbags placem_collection'!$M$4:$M$500,0)),"")</f>
        <v/>
      </c>
      <c r="Q86" s="110" t="str">
        <f>IFERROR(INDEX('WetLitterbags placem_collection'!$A$3:$A$500,MATCH(A86,'WetLitterbags placem_collection'!$Q$4:$Q$500,0)),"")</f>
        <v/>
      </c>
    </row>
    <row r="87" spans="1:17" ht="13.95" customHeight="1">
      <c r="A87" s="110" t="s">
        <v>1593</v>
      </c>
      <c r="B87" s="110">
        <v>175</v>
      </c>
      <c r="C87" s="110">
        <v>0.68200000000000005</v>
      </c>
      <c r="E87" s="112">
        <v>42879</v>
      </c>
      <c r="N87" s="110">
        <f>IFERROR(INDEX('WetLitterbags placem_collection'!$A$3:$A$500,MATCH(A87,'WetLitterbags placem_collection'!$K$4:$K$500,0)),"")</f>
        <v>174</v>
      </c>
      <c r="O87" s="110" t="str">
        <f>IFERROR(INDEX('WetLitterbags placem_collection'!$A$3:$A$500,MATCH(A87,'WetLitterbags placem_collection'!$O$4:$O$500,0)),"")</f>
        <v/>
      </c>
      <c r="P87" s="110" t="str">
        <f>IFERROR(INDEX('WetLitterbags placem_collection'!$A$3:$A$500,MATCH(A87,'WetLitterbags placem_collection'!$M$4:$M$500,0)),"")</f>
        <v/>
      </c>
      <c r="Q87" s="110" t="str">
        <f>IFERROR(INDEX('WetLitterbags placem_collection'!$A$3:$A$500,MATCH(A87,'WetLitterbags placem_collection'!$Q$4:$Q$500,0)),"")</f>
        <v/>
      </c>
    </row>
    <row r="88" spans="1:17" ht="13.95" customHeight="1">
      <c r="A88" s="110" t="s">
        <v>1592</v>
      </c>
      <c r="B88" s="110" t="s">
        <v>2083</v>
      </c>
      <c r="C88" s="110">
        <v>0.57499999999999996</v>
      </c>
      <c r="E88" s="112">
        <v>43125</v>
      </c>
      <c r="N88" s="110">
        <f>IFERROR(INDEX('WetLitterbags placem_collection'!$A$3:$A$500,MATCH(A88,'WetLitterbags placem_collection'!$K$4:$K$500,0)),"")</f>
        <v>180</v>
      </c>
      <c r="O88" s="110" t="str">
        <f>IFERROR(INDEX('WetLitterbags placem_collection'!$A$3:$A$500,MATCH(A88,'WetLitterbags placem_collection'!$O$4:$O$500,0)),"")</f>
        <v/>
      </c>
      <c r="P88" s="110" t="str">
        <f>IFERROR(INDEX('WetLitterbags placem_collection'!$A$3:$A$500,MATCH(A88,'WetLitterbags placem_collection'!$M$4:$M$500,0)),"")</f>
        <v/>
      </c>
      <c r="Q88" s="110" t="str">
        <f>IFERROR(INDEX('WetLitterbags placem_collection'!$A$3:$A$500,MATCH(A88,'WetLitterbags placem_collection'!$Q$4:$Q$500,0)),"")</f>
        <v/>
      </c>
    </row>
    <row r="89" spans="1:17" ht="13.95" customHeight="1">
      <c r="A89" s="110" t="s">
        <v>1591</v>
      </c>
      <c r="B89" s="110" t="s">
        <v>2077</v>
      </c>
      <c r="C89" s="110">
        <v>0.89149999999999996</v>
      </c>
      <c r="E89" s="112">
        <v>43116</v>
      </c>
      <c r="N89" s="110" t="str">
        <f>IFERROR(INDEX('WetLitterbags placem_collection'!$A$3:$A$500,MATCH(A89,'WetLitterbags placem_collection'!$K$4:$K$500,0)),"")</f>
        <v/>
      </c>
      <c r="O89" s="110">
        <f>IFERROR(INDEX('WetLitterbags placem_collection'!$A$3:$A$500,MATCH(A89,'WetLitterbags placem_collection'!$O$4:$O$500,0)),"")</f>
        <v>70</v>
      </c>
      <c r="P89" s="110" t="str">
        <f>IFERROR(INDEX('WetLitterbags placem_collection'!$A$3:$A$500,MATCH(A89,'WetLitterbags placem_collection'!$M$4:$M$500,0)),"")</f>
        <v/>
      </c>
      <c r="Q89" s="110" t="str">
        <f>IFERROR(INDEX('WetLitterbags placem_collection'!$A$3:$A$500,MATCH(A89,'WetLitterbags placem_collection'!$Q$4:$Q$500,0)),"")</f>
        <v/>
      </c>
    </row>
    <row r="90" spans="1:17" ht="13.95" customHeight="1">
      <c r="A90" s="110" t="s">
        <v>1590</v>
      </c>
      <c r="B90" s="110" t="s">
        <v>2077</v>
      </c>
      <c r="C90" s="110">
        <v>0.90669999999999995</v>
      </c>
      <c r="E90" s="112">
        <v>43116</v>
      </c>
      <c r="N90" s="110">
        <f>IFERROR(INDEX('WetLitterbags placem_collection'!$A$3:$A$500,MATCH(A90,'WetLitterbags placem_collection'!$K$4:$K$500,0)),"")</f>
        <v>77</v>
      </c>
      <c r="O90" s="110" t="str">
        <f>IFERROR(INDEX('WetLitterbags placem_collection'!$A$3:$A$500,MATCH(A90,'WetLitterbags placem_collection'!$O$4:$O$500,0)),"")</f>
        <v/>
      </c>
      <c r="P90" s="110" t="str">
        <f>IFERROR(INDEX('WetLitterbags placem_collection'!$A$3:$A$500,MATCH(A90,'WetLitterbags placem_collection'!$M$4:$M$500,0)),"")</f>
        <v/>
      </c>
      <c r="Q90" s="110" t="str">
        <f>IFERROR(INDEX('WetLitterbags placem_collection'!$A$3:$A$500,MATCH(A90,'WetLitterbags placem_collection'!$Q$4:$Q$500,0)),"")</f>
        <v/>
      </c>
    </row>
    <row r="91" spans="1:17" ht="13.95" customHeight="1">
      <c r="A91" s="110" t="s">
        <v>1589</v>
      </c>
      <c r="B91" s="110">
        <v>168</v>
      </c>
      <c r="C91" s="110">
        <v>0.79400000000000004</v>
      </c>
      <c r="E91" s="112">
        <v>42881</v>
      </c>
      <c r="N91" s="110">
        <f>IFERROR(INDEX('WetLitterbags placem_collection'!$A$3:$A$500,MATCH(A91,'WetLitterbags placem_collection'!$K$4:$K$500,0)),"")</f>
        <v>167</v>
      </c>
      <c r="O91" s="110" t="str">
        <f>IFERROR(INDEX('WetLitterbags placem_collection'!$A$3:$A$500,MATCH(A91,'WetLitterbags placem_collection'!$O$4:$O$500,0)),"")</f>
        <v/>
      </c>
      <c r="P91" s="110" t="str">
        <f>IFERROR(INDEX('WetLitterbags placem_collection'!$A$3:$A$500,MATCH(A91,'WetLitterbags placem_collection'!$M$4:$M$500,0)),"")</f>
        <v/>
      </c>
      <c r="Q91" s="110" t="str">
        <f>IFERROR(INDEX('WetLitterbags placem_collection'!$A$3:$A$500,MATCH(A91,'WetLitterbags placem_collection'!$Q$4:$Q$500,0)),"")</f>
        <v/>
      </c>
    </row>
    <row r="92" spans="1:17" ht="13.95" customHeight="1">
      <c r="A92" s="110" t="s">
        <v>1588</v>
      </c>
      <c r="B92" s="110">
        <v>198</v>
      </c>
      <c r="C92" s="110">
        <v>0.71250000000000002</v>
      </c>
      <c r="E92" s="112">
        <v>43125</v>
      </c>
      <c r="N92" s="110" t="str">
        <f>IFERROR(INDEX('WetLitterbags placem_collection'!$A$3:$A$500,MATCH(A92,'WetLitterbags placem_collection'!$K$4:$K$500,0)),"")</f>
        <v/>
      </c>
      <c r="O92" s="110">
        <f>IFERROR(INDEX('WetLitterbags placem_collection'!$A$3:$A$500,MATCH(A92,'WetLitterbags placem_collection'!$O$4:$O$500,0)),"")</f>
        <v>197</v>
      </c>
      <c r="P92" s="110" t="str">
        <f>IFERROR(INDEX('WetLitterbags placem_collection'!$A$3:$A$500,MATCH(A92,'WetLitterbags placem_collection'!$M$4:$M$500,0)),"")</f>
        <v/>
      </c>
      <c r="Q92" s="110" t="str">
        <f>IFERROR(INDEX('WetLitterbags placem_collection'!$A$3:$A$500,MATCH(A92,'WetLitterbags placem_collection'!$Q$4:$Q$500,0)),"")</f>
        <v/>
      </c>
    </row>
    <row r="93" spans="1:17" ht="13.95" customHeight="1">
      <c r="A93" s="182" t="s">
        <v>1581</v>
      </c>
      <c r="B93" s="110">
        <v>89</v>
      </c>
      <c r="C93" s="110">
        <v>1.5169999999999999</v>
      </c>
      <c r="E93" s="112">
        <v>42879</v>
      </c>
      <c r="N93" s="110" t="str">
        <f>IFERROR(INDEX('WetLitterbags placem_collection'!$A$3:$A$500,MATCH(A93,'WetLitterbags placem_collection'!$K$4:$K$500,0)),"")</f>
        <v/>
      </c>
      <c r="O93" s="110">
        <f>IFERROR(INDEX('WetLitterbags placem_collection'!$A$3:$A$500,MATCH(A93,'WetLitterbags placem_collection'!$O$4:$O$500,0)),"")</f>
        <v>88</v>
      </c>
      <c r="P93" s="110" t="str">
        <f>IFERROR(INDEX('WetLitterbags placem_collection'!$A$3:$A$500,MATCH(A93,'WetLitterbags placem_collection'!$M$4:$M$500,0)),"")</f>
        <v/>
      </c>
      <c r="Q93" s="110" t="str">
        <f>IFERROR(INDEX('WetLitterbags placem_collection'!$A$3:$A$500,MATCH(A93,'WetLitterbags placem_collection'!$Q$4:$Q$500,0)),"")</f>
        <v/>
      </c>
    </row>
    <row r="94" spans="1:17" ht="13.95" customHeight="1">
      <c r="A94" s="110" t="s">
        <v>1580</v>
      </c>
      <c r="B94" s="110">
        <v>176</v>
      </c>
      <c r="C94" s="110">
        <v>0.60299999999999998</v>
      </c>
      <c r="E94" s="112">
        <v>42879</v>
      </c>
      <c r="N94" s="110" t="str">
        <f>IFERROR(INDEX('WetLitterbags placem_collection'!$A$3:$A$500,MATCH(A94,'WetLitterbags placem_collection'!$K$4:$K$500,0)),"")</f>
        <v/>
      </c>
      <c r="O94" s="110">
        <f>IFERROR(INDEX('WetLitterbags placem_collection'!$A$3:$A$500,MATCH(A94,'WetLitterbags placem_collection'!$O$4:$O$500,0)),"")</f>
        <v>175</v>
      </c>
      <c r="P94" s="110" t="str">
        <f>IFERROR(INDEX('WetLitterbags placem_collection'!$A$3:$A$500,MATCH(A94,'WetLitterbags placem_collection'!$M$4:$M$500,0)),"")</f>
        <v/>
      </c>
      <c r="Q94" s="110" t="str">
        <f>IFERROR(INDEX('WetLitterbags placem_collection'!$A$3:$A$500,MATCH(A94,'WetLitterbags placem_collection'!$Q$4:$Q$500,0)),"")</f>
        <v/>
      </c>
    </row>
    <row r="95" spans="1:17" ht="13.95" customHeight="1">
      <c r="A95" s="110" t="s">
        <v>1578</v>
      </c>
      <c r="B95" s="110">
        <v>91</v>
      </c>
      <c r="C95" s="110">
        <v>0.76100000000000001</v>
      </c>
      <c r="E95" s="112">
        <v>42878</v>
      </c>
      <c r="N95" s="110">
        <f>IFERROR(INDEX('WetLitterbags placem_collection'!$A$3:$A$500,MATCH(A95,'WetLitterbags placem_collection'!$K$4:$K$500,0)),"")</f>
        <v>90</v>
      </c>
      <c r="O95" s="110" t="str">
        <f>IFERROR(INDEX('WetLitterbags placem_collection'!$A$3:$A$500,MATCH(A95,'WetLitterbags placem_collection'!$O$4:$O$500,0)),"")</f>
        <v/>
      </c>
      <c r="P95" s="110" t="str">
        <f>IFERROR(INDEX('WetLitterbags placem_collection'!$A$3:$A$500,MATCH(A95,'WetLitterbags placem_collection'!$M$4:$M$500,0)),"")</f>
        <v/>
      </c>
      <c r="Q95" s="110" t="str">
        <f>IFERROR(INDEX('WetLitterbags placem_collection'!$A$3:$A$500,MATCH(A95,'WetLitterbags placem_collection'!$Q$4:$Q$500,0)),"")</f>
        <v/>
      </c>
    </row>
    <row r="96" spans="1:17" ht="13.95" customHeight="1">
      <c r="A96" s="113" t="s">
        <v>1576</v>
      </c>
      <c r="B96" s="113">
        <v>80</v>
      </c>
      <c r="C96" s="113">
        <v>1.0009999999999999</v>
      </c>
      <c r="D96" s="113" t="s">
        <v>2144</v>
      </c>
      <c r="E96" s="112">
        <v>42878</v>
      </c>
      <c r="N96" s="110" t="str">
        <f>IFERROR(INDEX('WetLitterbags placem_collection'!$A$3:$A$500,MATCH(A96,'WetLitterbags placem_collection'!$K$4:$K$500,0)),"")</f>
        <v/>
      </c>
      <c r="O96" s="110">
        <f>IFERROR(INDEX('WetLitterbags placem_collection'!$A$3:$A$500,MATCH(A96,'WetLitterbags placem_collection'!$O$4:$O$500,0)),"")</f>
        <v>79</v>
      </c>
      <c r="P96" s="110" t="str">
        <f>IFERROR(INDEX('WetLitterbags placem_collection'!$A$3:$A$500,MATCH(A96,'WetLitterbags placem_collection'!$M$4:$M$500,0)),"")</f>
        <v/>
      </c>
      <c r="Q96" s="110" t="str">
        <f>IFERROR(INDEX('WetLitterbags placem_collection'!$A$3:$A$500,MATCH(A96,'WetLitterbags placem_collection'!$Q$4:$Q$500,0)),"")</f>
        <v/>
      </c>
    </row>
    <row r="97" spans="1:17" ht="13.95" customHeight="1">
      <c r="A97" s="110" t="s">
        <v>1575</v>
      </c>
      <c r="B97" s="110">
        <v>81</v>
      </c>
      <c r="C97" s="110">
        <v>0.65200000000000002</v>
      </c>
      <c r="E97" s="112">
        <v>42881</v>
      </c>
      <c r="N97" s="110" t="str">
        <f>IFERROR(INDEX('WetLitterbags placem_collection'!$A$3:$A$500,MATCH(A97,'WetLitterbags placem_collection'!$K$4:$K$500,0)),"")</f>
        <v/>
      </c>
      <c r="O97" s="110">
        <f>IFERROR(INDEX('WetLitterbags placem_collection'!$A$3:$A$500,MATCH(A97,'WetLitterbags placem_collection'!$O$4:$O$500,0)),"")</f>
        <v>80</v>
      </c>
      <c r="P97" s="110" t="str">
        <f>IFERROR(INDEX('WetLitterbags placem_collection'!$A$3:$A$500,MATCH(A97,'WetLitterbags placem_collection'!$M$4:$M$500,0)),"")</f>
        <v/>
      </c>
      <c r="Q97" s="110" t="str">
        <f>IFERROR(INDEX('WetLitterbags placem_collection'!$A$3:$A$500,MATCH(A97,'WetLitterbags placem_collection'!$Q$4:$Q$500,0)),"")</f>
        <v/>
      </c>
    </row>
    <row r="98" spans="1:17" ht="13.95" customHeight="1">
      <c r="A98" s="110" t="s">
        <v>1574</v>
      </c>
      <c r="B98" s="110" t="s">
        <v>2077</v>
      </c>
      <c r="C98" s="110">
        <v>0.66479999999999995</v>
      </c>
      <c r="E98" s="112">
        <v>43116</v>
      </c>
      <c r="N98" s="110" t="str">
        <f>IFERROR(INDEX('WetLitterbags placem_collection'!$A$3:$A$500,MATCH(A98,'WetLitterbags placem_collection'!$K$4:$K$500,0)),"")</f>
        <v/>
      </c>
      <c r="O98" s="110">
        <f>IFERROR(INDEX('WetLitterbags placem_collection'!$A$3:$A$500,MATCH(A98,'WetLitterbags placem_collection'!$O$4:$O$500,0)),"")</f>
        <v>8</v>
      </c>
      <c r="P98" s="110" t="str">
        <f>IFERROR(INDEX('WetLitterbags placem_collection'!$A$3:$A$500,MATCH(A98,'WetLitterbags placem_collection'!$M$4:$M$500,0)),"")</f>
        <v/>
      </c>
      <c r="Q98" s="110" t="str">
        <f>IFERROR(INDEX('WetLitterbags placem_collection'!$A$3:$A$500,MATCH(A98,'WetLitterbags placem_collection'!$Q$4:$Q$500,0)),"")</f>
        <v/>
      </c>
    </row>
    <row r="99" spans="1:17" ht="13.95" customHeight="1">
      <c r="A99" s="179" t="s">
        <v>1573</v>
      </c>
      <c r="B99" s="110">
        <v>68</v>
      </c>
      <c r="C99" s="110">
        <v>0.90500000000000003</v>
      </c>
      <c r="E99" s="112">
        <v>42879</v>
      </c>
      <c r="N99" s="110" t="str">
        <f>IFERROR(INDEX('WetLitterbags placem_collection'!$A$3:$A$500,MATCH(A99,'WetLitterbags placem_collection'!$K$4:$K$500,0)),"")</f>
        <v/>
      </c>
      <c r="O99" s="110">
        <f>IFERROR(INDEX('WetLitterbags placem_collection'!$A$3:$A$500,MATCH(A99,'WetLitterbags placem_collection'!$O$4:$O$500,0)),"")</f>
        <v>67</v>
      </c>
      <c r="P99" s="110" t="str">
        <f>IFERROR(INDEX('WetLitterbags placem_collection'!$A$3:$A$500,MATCH(A99,'WetLitterbags placem_collection'!$M$4:$M$500,0)),"")</f>
        <v/>
      </c>
      <c r="Q99" s="110" t="str">
        <f>IFERROR(INDEX('WetLitterbags placem_collection'!$A$3:$A$500,MATCH(A99,'WetLitterbags placem_collection'!$Q$4:$Q$500,0)),"")</f>
        <v/>
      </c>
    </row>
    <row r="100" spans="1:17" ht="13.95" customHeight="1">
      <c r="A100" s="110" t="s">
        <v>1571</v>
      </c>
      <c r="B100" s="110" t="s">
        <v>2077</v>
      </c>
      <c r="C100" s="110">
        <v>0.90410000000000001</v>
      </c>
      <c r="D100" s="110" t="s">
        <v>2120</v>
      </c>
      <c r="E100" s="112">
        <v>43122</v>
      </c>
      <c r="N100" s="110">
        <f>IFERROR(INDEX('WetLitterbags placem_collection'!$A$3:$A$500,MATCH(A100,'WetLitterbags placem_collection'!$K$4:$K$500,0)),"")</f>
        <v>95</v>
      </c>
      <c r="O100" s="110" t="str">
        <f>IFERROR(INDEX('WetLitterbags placem_collection'!$A$3:$A$500,MATCH(A100,'WetLitterbags placem_collection'!$O$4:$O$500,0)),"")</f>
        <v/>
      </c>
      <c r="P100" s="110" t="str">
        <f>IFERROR(INDEX('WetLitterbags placem_collection'!$A$3:$A$500,MATCH(A100,'WetLitterbags placem_collection'!$M$4:$M$500,0)),"")</f>
        <v/>
      </c>
      <c r="Q100" s="110" t="str">
        <f>IFERROR(INDEX('WetLitterbags placem_collection'!$A$3:$A$500,MATCH(A100,'WetLitterbags placem_collection'!$Q$4:$Q$500,0)),"")</f>
        <v/>
      </c>
    </row>
    <row r="101" spans="1:17" ht="13.95" customHeight="1">
      <c r="A101" s="110" t="s">
        <v>1570</v>
      </c>
      <c r="B101" s="110">
        <v>116</v>
      </c>
      <c r="C101" s="110">
        <v>1.4859</v>
      </c>
      <c r="E101" s="112">
        <v>43125</v>
      </c>
      <c r="N101" s="110" t="str">
        <f>IFERROR(INDEX('WetLitterbags placem_collection'!$A$3:$A$500,MATCH(A101,'WetLitterbags placem_collection'!$K$4:$K$500,0)),"")</f>
        <v/>
      </c>
      <c r="O101" s="110" t="str">
        <f>IFERROR(INDEX('WetLitterbags placem_collection'!$A$3:$A$500,MATCH(A101,'WetLitterbags placem_collection'!$O$4:$O$500,0)),"")</f>
        <v/>
      </c>
      <c r="P101" s="110" t="str">
        <f>IFERROR(INDEX('WetLitterbags placem_collection'!$A$3:$A$500,MATCH(A101,'WetLitterbags placem_collection'!$M$4:$M$500,0)),"")</f>
        <v/>
      </c>
      <c r="Q101" s="110" t="str">
        <f>IFERROR(INDEX('WetLitterbags placem_collection'!$A$3:$A$500,MATCH(A101,'WetLitterbags placem_collection'!$Q$4:$Q$500,0)),"")</f>
        <v/>
      </c>
    </row>
    <row r="102" spans="1:17" ht="13.95" customHeight="1">
      <c r="A102" s="445" t="s">
        <v>1208</v>
      </c>
      <c r="B102" s="110">
        <v>135</v>
      </c>
      <c r="C102" s="110">
        <v>0.56399999999999995</v>
      </c>
      <c r="E102" s="112">
        <v>42881</v>
      </c>
      <c r="N102" s="110" t="str">
        <f>IFERROR(INDEX('WetLitterbags placem_collection'!$A$3:$A$500,MATCH(A102,'WetLitterbags placem_collection'!$K$4:$K$500,0)),"")</f>
        <v/>
      </c>
      <c r="O102" s="110">
        <f>IFERROR(INDEX('WetLitterbags placem_collection'!$A$3:$A$500,MATCH(A102,'WetLitterbags placem_collection'!$O$4:$O$500,0)),"")</f>
        <v>134</v>
      </c>
      <c r="P102" s="110" t="str">
        <f>IFERROR(INDEX('WetLitterbags placem_collection'!$A$3:$A$500,MATCH(A102,'WetLitterbags placem_collection'!$M$4:$M$500,0)),"")</f>
        <v/>
      </c>
      <c r="Q102" s="110" t="str">
        <f>IFERROR(INDEX('WetLitterbags placem_collection'!$A$3:$A$500,MATCH(A102,'WetLitterbags placem_collection'!$Q$4:$Q$500,0)),"")</f>
        <v/>
      </c>
    </row>
    <row r="103" spans="1:17" ht="13.95" customHeight="1">
      <c r="A103" s="110" t="s">
        <v>1567</v>
      </c>
      <c r="B103" s="110">
        <v>177</v>
      </c>
      <c r="C103" s="110">
        <v>0.58399999999999996</v>
      </c>
      <c r="E103" s="112">
        <v>42881</v>
      </c>
      <c r="N103" s="110" t="str">
        <f>IFERROR(INDEX('WetLitterbags placem_collection'!$A$3:$A$500,MATCH(A103,'WetLitterbags placem_collection'!$K$4:$K$500,0)),"")</f>
        <v/>
      </c>
      <c r="O103" s="110">
        <f>IFERROR(INDEX('WetLitterbags placem_collection'!$A$3:$A$500,MATCH(A103,'WetLitterbags placem_collection'!$O$4:$O$500,0)),"")</f>
        <v>176</v>
      </c>
      <c r="P103" s="110" t="str">
        <f>IFERROR(INDEX('WetLitterbags placem_collection'!$A$3:$A$500,MATCH(A103,'WetLitterbags placem_collection'!$M$4:$M$500,0)),"")</f>
        <v/>
      </c>
      <c r="Q103" s="110" t="str">
        <f>IFERROR(INDEX('WetLitterbags placem_collection'!$A$3:$A$500,MATCH(A103,'WetLitterbags placem_collection'!$Q$4:$Q$500,0)),"")</f>
        <v/>
      </c>
    </row>
    <row r="104" spans="1:17" ht="13.95" customHeight="1">
      <c r="A104" s="403" t="s">
        <v>1564</v>
      </c>
      <c r="B104" s="110">
        <v>95</v>
      </c>
      <c r="C104" s="110">
        <v>0.90400000000000003</v>
      </c>
      <c r="E104" s="112">
        <v>42879</v>
      </c>
      <c r="N104" s="110" t="str">
        <f>IFERROR(INDEX('WetLitterbags placem_collection'!$A$3:$A$500,MATCH(A104,'WetLitterbags placem_collection'!$K$4:$K$500,0)),"")</f>
        <v/>
      </c>
      <c r="O104" s="110">
        <f>IFERROR(INDEX('WetLitterbags placem_collection'!$A$3:$A$500,MATCH(A104,'WetLitterbags placem_collection'!$O$4:$O$500,0)),"")</f>
        <v>94</v>
      </c>
      <c r="P104" s="110" t="str">
        <f>IFERROR(INDEX('WetLitterbags placem_collection'!$A$3:$A$500,MATCH(A104,'WetLitterbags placem_collection'!$M$4:$M$500,0)),"")</f>
        <v/>
      </c>
      <c r="Q104" s="110" t="str">
        <f>IFERROR(INDEX('WetLitterbags placem_collection'!$A$3:$A$500,MATCH(A104,'WetLitterbags placem_collection'!$Q$4:$Q$500,0)),"")</f>
        <v/>
      </c>
    </row>
    <row r="105" spans="1:17" ht="13.95" customHeight="1">
      <c r="A105" s="182" t="s">
        <v>1561</v>
      </c>
      <c r="B105">
        <v>59</v>
      </c>
      <c r="C105" s="110">
        <v>0.88400000000000001</v>
      </c>
      <c r="D105"/>
      <c r="E105" s="112">
        <v>42878</v>
      </c>
      <c r="N105" s="110">
        <f>IFERROR(INDEX('WetLitterbags placem_collection'!$A$3:$A$500,MATCH(A105,'WetLitterbags placem_collection'!$K$4:$K$500,0)),"")</f>
        <v>58</v>
      </c>
      <c r="O105" s="110" t="str">
        <f>IFERROR(INDEX('WetLitterbags placem_collection'!$A$3:$A$500,MATCH(A105,'WetLitterbags placem_collection'!$O$4:$O$500,0)),"")</f>
        <v/>
      </c>
      <c r="P105" s="110" t="str">
        <f>IFERROR(INDEX('WetLitterbags placem_collection'!$A$3:$A$500,MATCH(A105,'WetLitterbags placem_collection'!$M$4:$M$500,0)),"")</f>
        <v/>
      </c>
      <c r="Q105" s="110" t="str">
        <f>IFERROR(INDEX('WetLitterbags placem_collection'!$A$3:$A$500,MATCH(A105,'WetLitterbags placem_collection'!$Q$4:$Q$500,0)),"")</f>
        <v/>
      </c>
    </row>
    <row r="106" spans="1:17" ht="13.95" customHeight="1">
      <c r="A106" s="110" t="s">
        <v>1559</v>
      </c>
      <c r="B106" s="110">
        <v>219</v>
      </c>
      <c r="C106" s="110">
        <v>0.65569999999999995</v>
      </c>
      <c r="E106" s="112">
        <v>43125</v>
      </c>
      <c r="N106" s="110" t="str">
        <f>IFERROR(INDEX('WetLitterbags placem_collection'!$A$3:$A$500,MATCH(A106,'WetLitterbags placem_collection'!$K$4:$K$500,0)),"")</f>
        <v/>
      </c>
      <c r="O106" s="110">
        <f>IFERROR(INDEX('WetLitterbags placem_collection'!$A$3:$A$500,MATCH(A106,'WetLitterbags placem_collection'!$O$4:$O$500,0)),"")</f>
        <v>218</v>
      </c>
      <c r="P106" s="110" t="str">
        <f>IFERROR(INDEX('WetLitterbags placem_collection'!$A$3:$A$500,MATCH(A106,'WetLitterbags placem_collection'!$M$4:$M$500,0)),"")</f>
        <v/>
      </c>
      <c r="Q106" s="110" t="str">
        <f>IFERROR(INDEX('WetLitterbags placem_collection'!$A$3:$A$500,MATCH(A106,'WetLitterbags placem_collection'!$Q$4:$Q$500,0)),"")</f>
        <v/>
      </c>
    </row>
    <row r="107" spans="1:17" ht="13.95" customHeight="1">
      <c r="A107" s="182" t="s">
        <v>1558</v>
      </c>
      <c r="B107" s="110">
        <v>23</v>
      </c>
      <c r="C107" s="110">
        <v>0.76959999999999995</v>
      </c>
      <c r="E107" s="112">
        <v>43123</v>
      </c>
      <c r="N107" s="110">
        <f>IFERROR(INDEX('WetLitterbags placem_collection'!$A$3:$A$500,MATCH(A107,'WetLitterbags placem_collection'!$K$4:$K$500,0)),"")</f>
        <v>22</v>
      </c>
      <c r="O107" s="110" t="str">
        <f>IFERROR(INDEX('WetLitterbags placem_collection'!$A$3:$A$500,MATCH(A107,'WetLitterbags placem_collection'!$O$4:$O$500,0)),"")</f>
        <v/>
      </c>
      <c r="P107" s="110" t="str">
        <f>IFERROR(INDEX('WetLitterbags placem_collection'!$A$3:$A$500,MATCH(A107,'WetLitterbags placem_collection'!$M$4:$M$500,0)),"")</f>
        <v/>
      </c>
      <c r="Q107" s="110" t="str">
        <f>IFERROR(INDEX('WetLitterbags placem_collection'!$A$3:$A$500,MATCH(A107,'WetLitterbags placem_collection'!$Q$4:$Q$500,0)),"")</f>
        <v/>
      </c>
    </row>
    <row r="108" spans="1:17" ht="13.95" customHeight="1">
      <c r="A108" s="110" t="s">
        <v>1556</v>
      </c>
      <c r="B108" s="110">
        <v>83</v>
      </c>
      <c r="C108" s="110">
        <v>0.90200000000000002</v>
      </c>
      <c r="E108" s="112">
        <v>42881</v>
      </c>
      <c r="N108" s="110">
        <f>IFERROR(INDEX('WetLitterbags placem_collection'!$A$3:$A$500,MATCH(A108,'WetLitterbags placem_collection'!$K$4:$K$500,0)),"")</f>
        <v>82</v>
      </c>
      <c r="O108" s="110" t="str">
        <f>IFERROR(INDEX('WetLitterbags placem_collection'!$A$3:$A$500,MATCH(A108,'WetLitterbags placem_collection'!$O$4:$O$500,0)),"")</f>
        <v/>
      </c>
      <c r="P108" s="110" t="str">
        <f>IFERROR(INDEX('WetLitterbags placem_collection'!$A$3:$A$500,MATCH(A108,'WetLitterbags placem_collection'!$M$4:$M$500,0)),"")</f>
        <v/>
      </c>
      <c r="Q108" s="110" t="str">
        <f>IFERROR(INDEX('WetLitterbags placem_collection'!$A$3:$A$500,MATCH(A108,'WetLitterbags placem_collection'!$Q$4:$Q$500,0)),"")</f>
        <v/>
      </c>
    </row>
    <row r="109" spans="1:17" ht="13.95" customHeight="1">
      <c r="A109" s="110" t="s">
        <v>1554</v>
      </c>
      <c r="B109" s="110">
        <v>169</v>
      </c>
      <c r="C109" s="110">
        <v>0.57199999999999995</v>
      </c>
      <c r="E109" s="112">
        <v>42879</v>
      </c>
      <c r="N109" s="110" t="str">
        <f>IFERROR(INDEX('WetLitterbags placem_collection'!$A$3:$A$500,MATCH(A109,'WetLitterbags placem_collection'!$K$4:$K$500,0)),"")</f>
        <v/>
      </c>
      <c r="O109" s="110">
        <f>IFERROR(INDEX('WetLitterbags placem_collection'!$A$3:$A$500,MATCH(A109,'WetLitterbags placem_collection'!$O$4:$O$500,0)),"")</f>
        <v>168</v>
      </c>
      <c r="P109" s="110" t="str">
        <f>IFERROR(INDEX('WetLitterbags placem_collection'!$A$3:$A$500,MATCH(A109,'WetLitterbags placem_collection'!$M$4:$M$500,0)),"")</f>
        <v/>
      </c>
      <c r="Q109" s="110" t="str">
        <f>IFERROR(INDEX('WetLitterbags placem_collection'!$A$3:$A$500,MATCH(A109,'WetLitterbags placem_collection'!$Q$4:$Q$500,0)),"")</f>
        <v/>
      </c>
    </row>
    <row r="110" spans="1:17" ht="13.95" customHeight="1">
      <c r="A110" s="110" t="s">
        <v>1553</v>
      </c>
      <c r="B110" s="110" t="s">
        <v>2077</v>
      </c>
      <c r="C110" s="110">
        <v>0.46</v>
      </c>
      <c r="E110" s="112">
        <v>43122</v>
      </c>
      <c r="N110" s="110">
        <f>IFERROR(INDEX('WetLitterbags placem_collection'!$A$3:$A$500,MATCH(A110,'WetLitterbags placem_collection'!$K$4:$K$500,0)),"")</f>
        <v>4</v>
      </c>
      <c r="O110" s="110" t="str">
        <f>IFERROR(INDEX('WetLitterbags placem_collection'!$A$3:$A$500,MATCH(A110,'WetLitterbags placem_collection'!$O$4:$O$500,0)),"")</f>
        <v/>
      </c>
      <c r="P110" s="110" t="str">
        <f>IFERROR(INDEX('WetLitterbags placem_collection'!$A$3:$A$500,MATCH(A110,'WetLitterbags placem_collection'!$M$4:$M$500,0)),"")</f>
        <v/>
      </c>
      <c r="Q110" s="110" t="str">
        <f>IFERROR(INDEX('WetLitterbags placem_collection'!$A$3:$A$500,MATCH(A110,'WetLitterbags placem_collection'!$Q$4:$Q$500,0)),"")</f>
        <v/>
      </c>
    </row>
    <row r="111" spans="1:17" ht="13.95" customHeight="1">
      <c r="A111" s="110" t="s">
        <v>1552</v>
      </c>
      <c r="B111" s="110" t="s">
        <v>2077</v>
      </c>
      <c r="C111" s="110">
        <v>0.73209999999999997</v>
      </c>
      <c r="E111" s="112">
        <v>43119</v>
      </c>
      <c r="N111" s="110" t="str">
        <f>IFERROR(INDEX('WetLitterbags placem_collection'!$A$3:$A$500,MATCH(A111,'WetLitterbags placem_collection'!$K$4:$K$500,0)),"")</f>
        <v/>
      </c>
      <c r="O111" s="110">
        <f>IFERROR(INDEX('WetLitterbags placem_collection'!$A$3:$A$500,MATCH(A111,'WetLitterbags placem_collection'!$O$4:$O$500,0)),"")</f>
        <v>72</v>
      </c>
      <c r="P111" s="110" t="str">
        <f>IFERROR(INDEX('WetLitterbags placem_collection'!$A$3:$A$500,MATCH(A111,'WetLitterbags placem_collection'!$M$4:$M$500,0)),"")</f>
        <v/>
      </c>
      <c r="Q111" s="110" t="str">
        <f>IFERROR(INDEX('WetLitterbags placem_collection'!$A$3:$A$500,MATCH(A111,'WetLitterbags placem_collection'!$Q$4:$Q$500,0)),"")</f>
        <v/>
      </c>
    </row>
    <row r="112" spans="1:17" ht="13.95" customHeight="1">
      <c r="A112" s="110" t="s">
        <v>1550</v>
      </c>
      <c r="B112" s="110" t="s">
        <v>2077</v>
      </c>
      <c r="C112" s="110">
        <v>0.61909999999999998</v>
      </c>
      <c r="D112" s="110" t="s">
        <v>2126</v>
      </c>
      <c r="E112" s="112">
        <v>43122</v>
      </c>
      <c r="N112" s="110" t="str">
        <f>IFERROR(INDEX('WetLitterbags placem_collection'!$A$3:$A$500,MATCH(A112,'WetLitterbags placem_collection'!$K$4:$K$500,0)),"")</f>
        <v/>
      </c>
      <c r="O112" s="110">
        <f>IFERROR(INDEX('WetLitterbags placem_collection'!$A$3:$A$500,MATCH(A112,'WetLitterbags placem_collection'!$O$4:$O$500,0)),"")</f>
        <v>29</v>
      </c>
      <c r="P112" s="110" t="str">
        <f>IFERROR(INDEX('WetLitterbags placem_collection'!$A$3:$A$500,MATCH(A112,'WetLitterbags placem_collection'!$M$4:$M$500,0)),"")</f>
        <v/>
      </c>
      <c r="Q112" s="110" t="str">
        <f>IFERROR(INDEX('WetLitterbags placem_collection'!$A$3:$A$500,MATCH(A112,'WetLitterbags placem_collection'!$Q$4:$Q$500,0)),"")</f>
        <v/>
      </c>
    </row>
    <row r="113" spans="1:17" ht="13.95" customHeight="1">
      <c r="A113" s="110" t="s">
        <v>1548</v>
      </c>
      <c r="B113" s="110" t="s">
        <v>2077</v>
      </c>
      <c r="C113" s="110">
        <v>0.60960000000000003</v>
      </c>
      <c r="E113" s="112">
        <v>43122</v>
      </c>
      <c r="N113" s="110" t="str">
        <f>IFERROR(INDEX('WetLitterbags placem_collection'!$A$3:$A$500,MATCH(A113,'WetLitterbags placem_collection'!$K$4:$K$500,0)),"")</f>
        <v/>
      </c>
      <c r="O113" s="110">
        <f>IFERROR(INDEX('WetLitterbags placem_collection'!$A$3:$A$500,MATCH(A113,'WetLitterbags placem_collection'!$O$4:$O$500,0)),"")</f>
        <v>27</v>
      </c>
      <c r="P113" s="110" t="str">
        <f>IFERROR(INDEX('WetLitterbags placem_collection'!$A$3:$A$500,MATCH(A113,'WetLitterbags placem_collection'!$M$4:$M$500,0)),"")</f>
        <v/>
      </c>
      <c r="Q113" s="110" t="str">
        <f>IFERROR(INDEX('WetLitterbags placem_collection'!$A$3:$A$500,MATCH(A113,'WetLitterbags placem_collection'!$Q$4:$Q$500,0)),"")</f>
        <v/>
      </c>
    </row>
    <row r="114" spans="1:17" ht="13.95" customHeight="1">
      <c r="A114" s="110" t="s">
        <v>1547</v>
      </c>
      <c r="B114" s="110">
        <v>14</v>
      </c>
      <c r="C114" s="110">
        <v>0.501</v>
      </c>
      <c r="E114" s="112">
        <v>42881</v>
      </c>
      <c r="N114" s="110" t="str">
        <f>IFERROR(INDEX('WetLitterbags placem_collection'!$A$3:$A$500,MATCH(A114,'WetLitterbags placem_collection'!$K$4:$K$500,0)),"")</f>
        <v/>
      </c>
      <c r="O114" s="110">
        <f>IFERROR(INDEX('WetLitterbags placem_collection'!$A$3:$A$500,MATCH(A114,'WetLitterbags placem_collection'!$O$4:$O$500,0)),"")</f>
        <v>13</v>
      </c>
      <c r="P114" s="110" t="str">
        <f>IFERROR(INDEX('WetLitterbags placem_collection'!$A$3:$A$500,MATCH(A114,'WetLitterbags placem_collection'!$M$4:$M$500,0)),"")</f>
        <v/>
      </c>
      <c r="Q114" s="110" t="str">
        <f>IFERROR(INDEX('WetLitterbags placem_collection'!$A$3:$A$500,MATCH(A114,'WetLitterbags placem_collection'!$Q$4:$Q$500,0)),"")</f>
        <v/>
      </c>
    </row>
    <row r="115" spans="1:17" ht="13.95" customHeight="1">
      <c r="A115" s="110" t="s">
        <v>1546</v>
      </c>
      <c r="B115" s="110">
        <v>171</v>
      </c>
      <c r="C115" s="110">
        <v>0.53500000000000003</v>
      </c>
      <c r="E115" s="112">
        <v>42878</v>
      </c>
      <c r="N115" s="110" t="str">
        <f>IFERROR(INDEX('WetLitterbags placem_collection'!$A$3:$A$500,MATCH(A115,'WetLitterbags placem_collection'!$K$4:$K$500,0)),"")</f>
        <v/>
      </c>
      <c r="O115" s="110">
        <f>IFERROR(INDEX('WetLitterbags placem_collection'!$A$3:$A$500,MATCH(A115,'WetLitterbags placem_collection'!$O$4:$O$500,0)),"")</f>
        <v>170</v>
      </c>
      <c r="P115" s="110" t="str">
        <f>IFERROR(INDEX('WetLitterbags placem_collection'!$A$3:$A$500,MATCH(A115,'WetLitterbags placem_collection'!$M$4:$M$500,0)),"")</f>
        <v/>
      </c>
      <c r="Q115" s="110" t="str">
        <f>IFERROR(INDEX('WetLitterbags placem_collection'!$A$3:$A$500,MATCH(A115,'WetLitterbags placem_collection'!$Q$4:$Q$500,0)),"")</f>
        <v/>
      </c>
    </row>
    <row r="116" spans="1:17" ht="13.95" customHeight="1">
      <c r="A116" s="110" t="s">
        <v>1545</v>
      </c>
      <c r="B116" s="110">
        <v>20</v>
      </c>
      <c r="C116" s="110">
        <v>0.70330000000000004</v>
      </c>
      <c r="E116" s="112">
        <v>43125</v>
      </c>
      <c r="N116" s="110" t="str">
        <f>IFERROR(INDEX('WetLitterbags placem_collection'!$A$3:$A$500,MATCH(A116,'WetLitterbags placem_collection'!$K$4:$K$500,0)),"")</f>
        <v/>
      </c>
      <c r="O116" s="110">
        <f>IFERROR(INDEX('WetLitterbags placem_collection'!$A$3:$A$500,MATCH(A116,'WetLitterbags placem_collection'!$O$4:$O$500,0)),"")</f>
        <v>19</v>
      </c>
      <c r="P116" s="110" t="str">
        <f>IFERROR(INDEX('WetLitterbags placem_collection'!$A$3:$A$500,MATCH(A116,'WetLitterbags placem_collection'!$M$4:$M$500,0)),"")</f>
        <v/>
      </c>
      <c r="Q116" s="110" t="str">
        <f>IFERROR(INDEX('WetLitterbags placem_collection'!$A$3:$A$500,MATCH(A116,'WetLitterbags placem_collection'!$Q$4:$Q$500,0)),"")</f>
        <v/>
      </c>
    </row>
    <row r="117" spans="1:17" ht="13.95" customHeight="1">
      <c r="A117" s="110" t="s">
        <v>1544</v>
      </c>
      <c r="B117" s="110" t="s">
        <v>2077</v>
      </c>
      <c r="C117" s="110">
        <v>0.67589999999999995</v>
      </c>
      <c r="D117" s="110" t="s">
        <v>2129</v>
      </c>
      <c r="E117" s="112">
        <v>43122</v>
      </c>
      <c r="N117" s="110" t="str">
        <f>IFERROR(INDEX('WetLitterbags placem_collection'!$A$3:$A$500,MATCH(A117,'WetLitterbags placem_collection'!$K$4:$K$500,0)),"")</f>
        <v/>
      </c>
      <c r="O117" s="110">
        <f>IFERROR(INDEX('WetLitterbags placem_collection'!$A$3:$A$500,MATCH(A117,'WetLitterbags placem_collection'!$O$4:$O$500,0)),"")</f>
        <v>25</v>
      </c>
      <c r="P117" s="110" t="str">
        <f>IFERROR(INDEX('WetLitterbags placem_collection'!$A$3:$A$500,MATCH(A117,'WetLitterbags placem_collection'!$M$4:$M$500,0)),"")</f>
        <v/>
      </c>
      <c r="Q117" s="110" t="str">
        <f>IFERROR(INDEX('WetLitterbags placem_collection'!$A$3:$A$500,MATCH(A117,'WetLitterbags placem_collection'!$Q$4:$Q$500,0)),"")</f>
        <v/>
      </c>
    </row>
    <row r="118" spans="1:17" ht="13.95" customHeight="1">
      <c r="A118" s="110" t="s">
        <v>1543</v>
      </c>
      <c r="B118">
        <v>36</v>
      </c>
      <c r="C118" s="110">
        <v>0.68100000000000005</v>
      </c>
      <c r="E118" s="112">
        <v>42881</v>
      </c>
      <c r="N118" s="110">
        <f>IFERROR(INDEX('WetLitterbags placem_collection'!$A$3:$A$500,MATCH(A118,'WetLitterbags placem_collection'!$K$4:$K$500,0)),"")</f>
        <v>35</v>
      </c>
      <c r="O118" s="110" t="str">
        <f>IFERROR(INDEX('WetLitterbags placem_collection'!$A$3:$A$500,MATCH(A118,'WetLitterbags placem_collection'!$O$4:$O$500,0)),"")</f>
        <v/>
      </c>
      <c r="P118" s="110" t="str">
        <f>IFERROR(INDEX('WetLitterbags placem_collection'!$A$3:$A$500,MATCH(A118,'WetLitterbags placem_collection'!$M$4:$M$500,0)),"")</f>
        <v/>
      </c>
      <c r="Q118" s="110" t="str">
        <f>IFERROR(INDEX('WetLitterbags placem_collection'!$A$3:$A$500,MATCH(A118,'WetLitterbags placem_collection'!$Q$4:$Q$500,0)),"")</f>
        <v/>
      </c>
    </row>
    <row r="119" spans="1:17" ht="13.95" customHeight="1">
      <c r="A119" s="110" t="s">
        <v>1542</v>
      </c>
      <c r="B119" s="110">
        <v>208</v>
      </c>
      <c r="C119" s="110">
        <v>0.84599999999999997</v>
      </c>
      <c r="E119" s="112">
        <v>42879</v>
      </c>
      <c r="N119" s="110" t="str">
        <f>IFERROR(INDEX('WetLitterbags placem_collection'!$A$3:$A$500,MATCH(A119,'WetLitterbags placem_collection'!$K$4:$K$500,0)),"")</f>
        <v/>
      </c>
      <c r="O119" s="110">
        <f>IFERROR(INDEX('WetLitterbags placem_collection'!$A$3:$A$500,MATCH(A119,'WetLitterbags placem_collection'!$O$4:$O$500,0)),"")</f>
        <v>207</v>
      </c>
      <c r="P119" s="110" t="str">
        <f>IFERROR(INDEX('WetLitterbags placem_collection'!$A$3:$A$500,MATCH(A119,'WetLitterbags placem_collection'!$M$4:$M$500,0)),"")</f>
        <v/>
      </c>
      <c r="Q119" s="110" t="str">
        <f>IFERROR(INDEX('WetLitterbags placem_collection'!$A$3:$A$500,MATCH(A119,'WetLitterbags placem_collection'!$Q$4:$Q$500,0)),"")</f>
        <v/>
      </c>
    </row>
    <row r="120" spans="1:17" ht="13.95" customHeight="1">
      <c r="A120" s="110" t="s">
        <v>1539</v>
      </c>
      <c r="B120" s="110" t="s">
        <v>2077</v>
      </c>
      <c r="C120" s="110">
        <v>0.83740000000000003</v>
      </c>
      <c r="D120" s="110" t="s">
        <v>2115</v>
      </c>
      <c r="E120" s="112">
        <v>43119</v>
      </c>
      <c r="N120" s="110">
        <f>IFERROR(INDEX('WetLitterbags placem_collection'!$A$3:$A$500,MATCH(A120,'WetLitterbags placem_collection'!$K$4:$K$500,0)),"")</f>
        <v>70</v>
      </c>
      <c r="O120" s="110" t="str">
        <f>IFERROR(INDEX('WetLitterbags placem_collection'!$A$3:$A$500,MATCH(A120,'WetLitterbags placem_collection'!$O$4:$O$500,0)),"")</f>
        <v/>
      </c>
      <c r="P120" s="110" t="str">
        <f>IFERROR(INDEX('WetLitterbags placem_collection'!$A$3:$A$500,MATCH(A120,'WetLitterbags placem_collection'!$M$4:$M$500,0)),"")</f>
        <v/>
      </c>
      <c r="Q120" s="110" t="str">
        <f>IFERROR(INDEX('WetLitterbags placem_collection'!$A$3:$A$500,MATCH(A120,'WetLitterbags placem_collection'!$Q$4:$Q$500,0)),"")</f>
        <v/>
      </c>
    </row>
    <row r="121" spans="1:17" ht="13.95" customHeight="1">
      <c r="A121" s="110" t="s">
        <v>1538</v>
      </c>
      <c r="B121">
        <v>47</v>
      </c>
      <c r="C121" s="110">
        <v>0.77500000000000002</v>
      </c>
      <c r="E121" s="112">
        <v>42879</v>
      </c>
      <c r="N121" s="110" t="str">
        <f>IFERROR(INDEX('WetLitterbags placem_collection'!$A$3:$A$500,MATCH(A121,'WetLitterbags placem_collection'!$K$4:$K$500,0)),"")</f>
        <v/>
      </c>
      <c r="O121" s="110">
        <f>IFERROR(INDEX('WetLitterbags placem_collection'!$A$3:$A$500,MATCH(A121,'WetLitterbags placem_collection'!$O$4:$O$500,0)),"")</f>
        <v>46</v>
      </c>
      <c r="P121" s="110" t="str">
        <f>IFERROR(INDEX('WetLitterbags placem_collection'!$A$3:$A$500,MATCH(A121,'WetLitterbags placem_collection'!$M$4:$M$500,0)),"")</f>
        <v/>
      </c>
      <c r="Q121" s="110" t="str">
        <f>IFERROR(INDEX('WetLitterbags placem_collection'!$A$3:$A$500,MATCH(A121,'WetLitterbags placem_collection'!$Q$4:$Q$500,0)),"")</f>
        <v/>
      </c>
    </row>
    <row r="122" spans="1:17" ht="13.95" customHeight="1">
      <c r="A122" s="110" t="s">
        <v>1537</v>
      </c>
      <c r="B122" s="110">
        <v>58</v>
      </c>
      <c r="C122" s="110">
        <v>0.93279999999999996</v>
      </c>
      <c r="D122" s="110" t="s">
        <v>2114</v>
      </c>
      <c r="E122" s="112">
        <v>43123</v>
      </c>
      <c r="N122" s="110">
        <f>IFERROR(INDEX('WetLitterbags placem_collection'!$A$3:$A$500,MATCH(A122,'WetLitterbags placem_collection'!$K$4:$K$500,0)),"")</f>
        <v>57</v>
      </c>
      <c r="O122" s="110" t="str">
        <f>IFERROR(INDEX('WetLitterbags placem_collection'!$A$3:$A$500,MATCH(A122,'WetLitterbags placem_collection'!$O$4:$O$500,0)),"")</f>
        <v/>
      </c>
      <c r="P122" s="110" t="str">
        <f>IFERROR(INDEX('WetLitterbags placem_collection'!$A$3:$A$500,MATCH(A122,'WetLitterbags placem_collection'!$M$4:$M$500,0)),"")</f>
        <v/>
      </c>
      <c r="Q122" s="110" t="str">
        <f>IFERROR(INDEX('WetLitterbags placem_collection'!$A$3:$A$500,MATCH(A122,'WetLitterbags placem_collection'!$Q$4:$Q$500,0)),"")</f>
        <v/>
      </c>
    </row>
    <row r="123" spans="1:17" ht="13.95" customHeight="1">
      <c r="A123" s="110" t="s">
        <v>1534</v>
      </c>
      <c r="B123" s="110">
        <v>34</v>
      </c>
      <c r="C123" s="110">
        <v>0.87270000000000003</v>
      </c>
      <c r="D123" s="110" t="s">
        <v>2086</v>
      </c>
      <c r="E123" s="112">
        <v>43125</v>
      </c>
      <c r="N123" s="110">
        <f>IFERROR(INDEX('WetLitterbags placem_collection'!$A$3:$A$500,MATCH(A123,'WetLitterbags placem_collection'!$K$4:$K$500,0)),"")</f>
        <v>33</v>
      </c>
      <c r="O123" s="110" t="str">
        <f>IFERROR(INDEX('WetLitterbags placem_collection'!$A$3:$A$500,MATCH(A123,'WetLitterbags placem_collection'!$O$4:$O$500,0)),"")</f>
        <v/>
      </c>
      <c r="P123" s="110" t="str">
        <f>IFERROR(INDEX('WetLitterbags placem_collection'!$A$3:$A$500,MATCH(A123,'WetLitterbags placem_collection'!$M$4:$M$500,0)),"")</f>
        <v/>
      </c>
      <c r="Q123" s="110" t="str">
        <f>IFERROR(INDEX('WetLitterbags placem_collection'!$A$3:$A$500,MATCH(A123,'WetLitterbags placem_collection'!$Q$4:$Q$500,0)),"")</f>
        <v/>
      </c>
    </row>
    <row r="124" spans="1:17" ht="13.95" customHeight="1">
      <c r="A124" s="110" t="s">
        <v>1532</v>
      </c>
      <c r="B124" s="110" t="s">
        <v>2077</v>
      </c>
      <c r="C124" s="110">
        <v>0.68200000000000005</v>
      </c>
      <c r="E124" s="112">
        <v>43122</v>
      </c>
      <c r="N124" s="110">
        <f>IFERROR(INDEX('WetLitterbags placem_collection'!$A$3:$A$500,MATCH(A124,'WetLitterbags placem_collection'!$K$4:$K$500,0)),"")</f>
        <v>29</v>
      </c>
      <c r="O124" s="110" t="str">
        <f>IFERROR(INDEX('WetLitterbags placem_collection'!$A$3:$A$500,MATCH(A124,'WetLitterbags placem_collection'!$O$4:$O$500,0)),"")</f>
        <v/>
      </c>
      <c r="P124" s="110" t="str">
        <f>IFERROR(INDEX('WetLitterbags placem_collection'!$A$3:$A$500,MATCH(A124,'WetLitterbags placem_collection'!$M$4:$M$500,0)),"")</f>
        <v/>
      </c>
      <c r="Q124" s="110" t="str">
        <f>IFERROR(INDEX('WetLitterbags placem_collection'!$A$3:$A$500,MATCH(A124,'WetLitterbags placem_collection'!$Q$4:$Q$500,0)),"")</f>
        <v/>
      </c>
    </row>
    <row r="125" spans="1:17" ht="13.95" customHeight="1">
      <c r="A125" s="110" t="s">
        <v>1531</v>
      </c>
      <c r="B125" s="110">
        <v>45</v>
      </c>
      <c r="C125" s="110">
        <v>0.77569999999999995</v>
      </c>
      <c r="D125" s="110" t="s">
        <v>2112</v>
      </c>
      <c r="E125" s="112">
        <v>43123</v>
      </c>
      <c r="N125" s="110">
        <f>IFERROR(INDEX('WetLitterbags placem_collection'!$A$3:$A$500,MATCH(A125,'WetLitterbags placem_collection'!$K$4:$K$500,0)),"")</f>
        <v>44</v>
      </c>
      <c r="O125" s="110" t="str">
        <f>IFERROR(INDEX('WetLitterbags placem_collection'!$A$3:$A$500,MATCH(A125,'WetLitterbags placem_collection'!$O$4:$O$500,0)),"")</f>
        <v/>
      </c>
      <c r="P125" s="110" t="str">
        <f>IFERROR(INDEX('WetLitterbags placem_collection'!$A$3:$A$500,MATCH(A125,'WetLitterbags placem_collection'!$M$4:$M$500,0)),"")</f>
        <v/>
      </c>
      <c r="Q125" s="110" t="str">
        <f>IFERROR(INDEX('WetLitterbags placem_collection'!$A$3:$A$500,MATCH(A125,'WetLitterbags placem_collection'!$Q$4:$Q$500,0)),"")</f>
        <v/>
      </c>
    </row>
    <row r="126" spans="1:17" ht="13.95" customHeight="1">
      <c r="A126" s="110" t="s">
        <v>1530</v>
      </c>
      <c r="B126" s="110">
        <v>84</v>
      </c>
      <c r="C126" s="110">
        <v>0.81299999999999994</v>
      </c>
      <c r="E126" s="112">
        <v>42881</v>
      </c>
      <c r="N126" s="110" t="str">
        <f>IFERROR(INDEX('WetLitterbags placem_collection'!$A$3:$A$500,MATCH(A126,'WetLitterbags placem_collection'!$K$4:$K$500,0)),"")</f>
        <v/>
      </c>
      <c r="O126" s="110">
        <f>IFERROR(INDEX('WetLitterbags placem_collection'!$A$3:$A$500,MATCH(A126,'WetLitterbags placem_collection'!$O$4:$O$500,0)),"")</f>
        <v>83</v>
      </c>
      <c r="P126" s="110" t="str">
        <f>IFERROR(INDEX('WetLitterbags placem_collection'!$A$3:$A$500,MATCH(A126,'WetLitterbags placem_collection'!$M$4:$M$500,0)),"")</f>
        <v/>
      </c>
      <c r="Q126" s="110" t="str">
        <f>IFERROR(INDEX('WetLitterbags placem_collection'!$A$3:$A$500,MATCH(A126,'WetLitterbags placem_collection'!$Q$4:$Q$500,0)),"")</f>
        <v/>
      </c>
    </row>
    <row r="127" spans="1:17" ht="13.95" customHeight="1">
      <c r="A127" s="110" t="s">
        <v>1529</v>
      </c>
      <c r="B127" s="110" t="s">
        <v>2077</v>
      </c>
      <c r="C127" s="110">
        <v>0.71479999999999999</v>
      </c>
      <c r="E127" s="112">
        <v>43119</v>
      </c>
      <c r="N127" s="110" t="str">
        <f>IFERROR(INDEX('WetLitterbags placem_collection'!$A$3:$A$500,MATCH(A127,'WetLitterbags placem_collection'!$K$4:$K$500,0)),"")</f>
        <v/>
      </c>
      <c r="O127" s="110">
        <f>IFERROR(INDEX('WetLitterbags placem_collection'!$A$3:$A$500,MATCH(A127,'WetLitterbags placem_collection'!$O$4:$O$500,0)),"")</f>
        <v>30</v>
      </c>
      <c r="P127" s="110" t="str">
        <f>IFERROR(INDEX('WetLitterbags placem_collection'!$A$3:$A$500,MATCH(A127,'WetLitterbags placem_collection'!$M$4:$M$500,0)),"")</f>
        <v/>
      </c>
      <c r="Q127" s="110" t="str">
        <f>IFERROR(INDEX('WetLitterbags placem_collection'!$A$3:$A$500,MATCH(A127,'WetLitterbags placem_collection'!$Q$4:$Q$500,0)),"")</f>
        <v/>
      </c>
    </row>
    <row r="128" spans="1:17" ht="13.95" customHeight="1">
      <c r="A128" s="110" t="s">
        <v>1528</v>
      </c>
      <c r="B128" s="110" t="s">
        <v>2077</v>
      </c>
      <c r="C128" s="110">
        <v>0.628</v>
      </c>
      <c r="E128" s="112">
        <v>43119</v>
      </c>
      <c r="N128" s="110">
        <f>IFERROR(INDEX('WetLitterbags placem_collection'!$A$3:$A$500,MATCH(A128,'WetLitterbags placem_collection'!$K$4:$K$500,0)),"")</f>
        <v>190</v>
      </c>
      <c r="O128" s="110" t="str">
        <f>IFERROR(INDEX('WetLitterbags placem_collection'!$A$3:$A$500,MATCH(A128,'WetLitterbags placem_collection'!$O$4:$O$500,0)),"")</f>
        <v/>
      </c>
      <c r="P128" s="110" t="str">
        <f>IFERROR(INDEX('WetLitterbags placem_collection'!$A$3:$A$500,MATCH(A128,'WetLitterbags placem_collection'!$M$4:$M$500,0)),"")</f>
        <v/>
      </c>
      <c r="Q128" s="110" t="str">
        <f>IFERROR(INDEX('WetLitterbags placem_collection'!$A$3:$A$500,MATCH(A128,'WetLitterbags placem_collection'!$Q$4:$Q$500,0)),"")</f>
        <v/>
      </c>
    </row>
    <row r="129" spans="1:17" ht="13.95" customHeight="1">
      <c r="A129" s="110" t="s">
        <v>1527</v>
      </c>
      <c r="B129" s="110" t="s">
        <v>2077</v>
      </c>
      <c r="C129" s="110">
        <v>0.63119999999999998</v>
      </c>
      <c r="E129" s="112">
        <v>43122</v>
      </c>
      <c r="N129" s="110" t="str">
        <f>IFERROR(INDEX('WetLitterbags placem_collection'!$A$3:$A$500,MATCH(A129,'WetLitterbags placem_collection'!$K$4:$K$500,0)),"")</f>
        <v/>
      </c>
      <c r="O129" s="110">
        <f>IFERROR(INDEX('WetLitterbags placem_collection'!$A$3:$A$500,MATCH(A129,'WetLitterbags placem_collection'!$O$4:$O$500,0)),"")</f>
        <v>10</v>
      </c>
      <c r="P129" s="110" t="str">
        <f>IFERROR(INDEX('WetLitterbags placem_collection'!$A$3:$A$500,MATCH(A129,'WetLitterbags placem_collection'!$M$4:$M$500,0)),"")</f>
        <v/>
      </c>
      <c r="Q129" s="110" t="str">
        <f>IFERROR(INDEX('WetLitterbags placem_collection'!$A$3:$A$500,MATCH(A129,'WetLitterbags placem_collection'!$Q$4:$Q$500,0)),"")</f>
        <v/>
      </c>
    </row>
    <row r="130" spans="1:17" ht="13.95" customHeight="1">
      <c r="A130" s="110" t="s">
        <v>1526</v>
      </c>
      <c r="B130" s="110">
        <v>20</v>
      </c>
      <c r="C130" s="110">
        <v>0.71609999999999996</v>
      </c>
      <c r="E130" s="112">
        <v>43125</v>
      </c>
      <c r="N130" s="110">
        <f>IFERROR(INDEX('WetLitterbags placem_collection'!$A$3:$A$500,MATCH(A130,'WetLitterbags placem_collection'!$K$4:$K$500,0)),"")</f>
        <v>19</v>
      </c>
      <c r="O130" s="110" t="str">
        <f>IFERROR(INDEX('WetLitterbags placem_collection'!$A$3:$A$500,MATCH(A130,'WetLitterbags placem_collection'!$O$4:$O$500,0)),"")</f>
        <v/>
      </c>
      <c r="P130" s="110" t="str">
        <f>IFERROR(INDEX('WetLitterbags placem_collection'!$A$3:$A$500,MATCH(A130,'WetLitterbags placem_collection'!$M$4:$M$500,0)),"")</f>
        <v/>
      </c>
      <c r="Q130" s="110" t="str">
        <f>IFERROR(INDEX('WetLitterbags placem_collection'!$A$3:$A$500,MATCH(A130,'WetLitterbags placem_collection'!$Q$4:$Q$500,0)),"")</f>
        <v/>
      </c>
    </row>
    <row r="131" spans="1:17" ht="13.95" customHeight="1">
      <c r="A131" s="110" t="s">
        <v>1525</v>
      </c>
      <c r="B131" s="110">
        <v>195</v>
      </c>
      <c r="C131" s="110">
        <v>0.67859999999999998</v>
      </c>
      <c r="E131" s="112">
        <v>43125</v>
      </c>
      <c r="N131" s="110" t="str">
        <f>IFERROR(INDEX('WetLitterbags placem_collection'!$A$3:$A$500,MATCH(A131,'WetLitterbags placem_collection'!$K$4:$K$500,0)),"")</f>
        <v/>
      </c>
      <c r="O131" s="110">
        <f>IFERROR(INDEX('WetLitterbags placem_collection'!$A$3:$A$500,MATCH(A131,'WetLitterbags placem_collection'!$O$4:$O$500,0)),"")</f>
        <v>194</v>
      </c>
      <c r="P131" s="110" t="str">
        <f>IFERROR(INDEX('WetLitterbags placem_collection'!$A$3:$A$500,MATCH(A131,'WetLitterbags placem_collection'!$M$4:$M$500,0)),"")</f>
        <v/>
      </c>
      <c r="Q131" s="110" t="str">
        <f>IFERROR(INDEX('WetLitterbags placem_collection'!$A$3:$A$500,MATCH(A131,'WetLitterbags placem_collection'!$Q$4:$Q$500,0)),"")</f>
        <v/>
      </c>
    </row>
    <row r="132" spans="1:17" ht="13.95" customHeight="1">
      <c r="A132" s="110" t="s">
        <v>1524</v>
      </c>
      <c r="B132" s="110" t="s">
        <v>2077</v>
      </c>
      <c r="C132" s="110">
        <v>0.61960000000000004</v>
      </c>
      <c r="E132" s="112">
        <v>43122</v>
      </c>
      <c r="N132" s="110">
        <f>IFERROR(INDEX('WetLitterbags placem_collection'!$A$3:$A$500,MATCH(A132,'WetLitterbags placem_collection'!$K$4:$K$500,0)),"")</f>
        <v>189</v>
      </c>
      <c r="O132" s="110" t="str">
        <f>IFERROR(INDEX('WetLitterbags placem_collection'!$A$3:$A$500,MATCH(A132,'WetLitterbags placem_collection'!$O$4:$O$500,0)),"")</f>
        <v/>
      </c>
      <c r="P132" s="110" t="str">
        <f>IFERROR(INDEX('WetLitterbags placem_collection'!$A$3:$A$500,MATCH(A132,'WetLitterbags placem_collection'!$M$4:$M$500,0)),"")</f>
        <v/>
      </c>
      <c r="Q132" s="110" t="str">
        <f>IFERROR(INDEX('WetLitterbags placem_collection'!$A$3:$A$500,MATCH(A132,'WetLitterbags placem_collection'!$Q$4:$Q$500,0)),"")</f>
        <v/>
      </c>
    </row>
    <row r="133" spans="1:17" ht="13.95" customHeight="1">
      <c r="A133" s="110" t="s">
        <v>1523</v>
      </c>
      <c r="B133" s="110" t="s">
        <v>2077</v>
      </c>
      <c r="C133" s="110">
        <v>0.66439999999999999</v>
      </c>
      <c r="E133" s="112">
        <v>43122</v>
      </c>
      <c r="N133" s="110">
        <f>IFERROR(INDEX('WetLitterbags placem_collection'!$A$3:$A$500,MATCH(A133,'WetLitterbags placem_collection'!$K$4:$K$500,0)),"")</f>
        <v>31</v>
      </c>
      <c r="O133" s="110" t="str">
        <f>IFERROR(INDEX('WetLitterbags placem_collection'!$A$3:$A$500,MATCH(A133,'WetLitterbags placem_collection'!$O$4:$O$500,0)),"")</f>
        <v/>
      </c>
      <c r="P133" s="110" t="str">
        <f>IFERROR(INDEX('WetLitterbags placem_collection'!$A$3:$A$500,MATCH(A133,'WetLitterbags placem_collection'!$M$4:$M$500,0)),"")</f>
        <v/>
      </c>
      <c r="Q133" s="110" t="str">
        <f>IFERROR(INDEX('WetLitterbags placem_collection'!$A$3:$A$500,MATCH(A133,'WetLitterbags placem_collection'!$Q$4:$Q$500,0)),"")</f>
        <v/>
      </c>
    </row>
    <row r="134" spans="1:17" ht="13.95" customHeight="1">
      <c r="A134" s="110" t="s">
        <v>1522</v>
      </c>
      <c r="B134" s="110">
        <v>37</v>
      </c>
      <c r="C134" s="110">
        <v>0.89600000000000002</v>
      </c>
      <c r="E134" s="112">
        <v>42881</v>
      </c>
      <c r="N134" s="110" t="str">
        <f>IFERROR(INDEX('WetLitterbags placem_collection'!$A$3:$A$500,MATCH(A134,'WetLitterbags placem_collection'!$K$4:$K$500,0)),"")</f>
        <v/>
      </c>
      <c r="O134" s="110">
        <f>IFERROR(INDEX('WetLitterbags placem_collection'!$A$3:$A$500,MATCH(A134,'WetLitterbags placem_collection'!$O$4:$O$500,0)),"")</f>
        <v>36</v>
      </c>
      <c r="P134" s="110" t="str">
        <f>IFERROR(INDEX('WetLitterbags placem_collection'!$A$3:$A$500,MATCH(A134,'WetLitterbags placem_collection'!$M$4:$M$500,0)),"")</f>
        <v/>
      </c>
      <c r="Q134" s="110" t="str">
        <f>IFERROR(INDEX('WetLitterbags placem_collection'!$A$3:$A$500,MATCH(A134,'WetLitterbags placem_collection'!$Q$4:$Q$500,0)),"")</f>
        <v/>
      </c>
    </row>
    <row r="135" spans="1:17" ht="13.95" customHeight="1">
      <c r="A135" s="110" t="s">
        <v>1521</v>
      </c>
      <c r="B135" s="110">
        <v>92</v>
      </c>
      <c r="C135" s="110">
        <v>0.76500000000000001</v>
      </c>
      <c r="E135" s="112">
        <v>42879</v>
      </c>
      <c r="N135" s="110">
        <f>IFERROR(INDEX('WetLitterbags placem_collection'!$A$3:$A$500,MATCH(A135,'WetLitterbags placem_collection'!$K$4:$K$500,0)),"")</f>
        <v>91</v>
      </c>
      <c r="O135" s="110" t="str">
        <f>IFERROR(INDEX('WetLitterbags placem_collection'!$A$3:$A$500,MATCH(A135,'WetLitterbags placem_collection'!$O$4:$O$500,0)),"")</f>
        <v/>
      </c>
      <c r="P135" s="110" t="str">
        <f>IFERROR(INDEX('WetLitterbags placem_collection'!$A$3:$A$500,MATCH(A135,'WetLitterbags placem_collection'!$M$4:$M$500,0)),"")</f>
        <v/>
      </c>
      <c r="Q135" s="110" t="str">
        <f>IFERROR(INDEX('WetLitterbags placem_collection'!$A$3:$A$500,MATCH(A135,'WetLitterbags placem_collection'!$Q$4:$Q$500,0)),"")</f>
        <v/>
      </c>
    </row>
    <row r="136" spans="1:17" ht="13.95" customHeight="1">
      <c r="A136" s="110" t="s">
        <v>1518</v>
      </c>
      <c r="B136" s="110" t="s">
        <v>2077</v>
      </c>
      <c r="C136" s="110">
        <v>0.55969999999999998</v>
      </c>
      <c r="E136" s="112">
        <v>43122</v>
      </c>
      <c r="N136" s="110" t="str">
        <f>IFERROR(INDEX('WetLitterbags placem_collection'!$A$3:$A$500,MATCH(A136,'WetLitterbags placem_collection'!$K$4:$K$500,0)),"")</f>
        <v/>
      </c>
      <c r="O136" s="110">
        <f>IFERROR(INDEX('WetLitterbags placem_collection'!$A$3:$A$500,MATCH(A136,'WetLitterbags placem_collection'!$O$4:$O$500,0)),"")</f>
        <v>3</v>
      </c>
      <c r="P136" s="110" t="str">
        <f>IFERROR(INDEX('WetLitterbags placem_collection'!$A$3:$A$500,MATCH(A136,'WetLitterbags placem_collection'!$M$4:$M$500,0)),"")</f>
        <v/>
      </c>
      <c r="Q136" s="110" t="str">
        <f>IFERROR(INDEX('WetLitterbags placem_collection'!$A$3:$A$500,MATCH(A136,'WetLitterbags placem_collection'!$Q$4:$Q$500,0)),"")</f>
        <v/>
      </c>
    </row>
    <row r="137" spans="1:17" ht="13.95" customHeight="1">
      <c r="A137" t="s">
        <v>1515</v>
      </c>
      <c r="B137">
        <v>60</v>
      </c>
      <c r="C137">
        <v>0.78</v>
      </c>
      <c r="D137" t="s">
        <v>2072</v>
      </c>
      <c r="E137" s="112">
        <v>42879</v>
      </c>
      <c r="N137" s="110" t="str">
        <f>IFERROR(INDEX('WetLitterbags placem_collection'!$A$3:$A$500,MATCH(A137,'WetLitterbags placem_collection'!$K$4:$K$500,0)),"")</f>
        <v/>
      </c>
      <c r="O137" s="110">
        <f>IFERROR(INDEX('WetLitterbags placem_collection'!$A$3:$A$500,MATCH(A137,'WetLitterbags placem_collection'!$O$4:$O$500,0)),"")</f>
        <v>59</v>
      </c>
      <c r="P137" s="110" t="str">
        <f>IFERROR(INDEX('WetLitterbags placem_collection'!$A$3:$A$500,MATCH(A137,'WetLitterbags placem_collection'!$M$4:$M$500,0)),"")</f>
        <v/>
      </c>
      <c r="Q137" s="110" t="str">
        <f>IFERROR(INDEX('WetLitterbags placem_collection'!$A$3:$A$500,MATCH(A137,'WetLitterbags placem_collection'!$Q$4:$Q$500,0)),"")</f>
        <v/>
      </c>
    </row>
    <row r="138" spans="1:17" ht="13.95" customHeight="1">
      <c r="A138" s="110" t="s">
        <v>1514</v>
      </c>
      <c r="B138" s="110">
        <v>82</v>
      </c>
      <c r="C138" s="110">
        <v>0.748</v>
      </c>
      <c r="D138" s="110" t="s">
        <v>2070</v>
      </c>
      <c r="E138" s="112">
        <v>42879</v>
      </c>
      <c r="N138" s="110">
        <f>IFERROR(INDEX('WetLitterbags placem_collection'!$A$3:$A$500,MATCH(A138,'WetLitterbags placem_collection'!$K$4:$K$500,0)),"")</f>
        <v>81</v>
      </c>
      <c r="O138" s="110" t="str">
        <f>IFERROR(INDEX('WetLitterbags placem_collection'!$A$3:$A$500,MATCH(A138,'WetLitterbags placem_collection'!$O$4:$O$500,0)),"")</f>
        <v/>
      </c>
      <c r="P138" s="110" t="str">
        <f>IFERROR(INDEX('WetLitterbags placem_collection'!$A$3:$A$500,MATCH(A138,'WetLitterbags placem_collection'!$M$4:$M$500,0)),"")</f>
        <v/>
      </c>
      <c r="Q138" s="110" t="str">
        <f>IFERROR(INDEX('WetLitterbags placem_collection'!$A$3:$A$500,MATCH(A138,'WetLitterbags placem_collection'!$Q$4:$Q$500,0)),"")</f>
        <v/>
      </c>
    </row>
    <row r="139" spans="1:17" ht="13.95" customHeight="1">
      <c r="A139" s="110" t="s">
        <v>1513</v>
      </c>
      <c r="B139" s="110">
        <v>189</v>
      </c>
      <c r="C139" s="110">
        <v>0.72030000000000005</v>
      </c>
      <c r="E139" s="112">
        <v>43125</v>
      </c>
      <c r="N139" s="110" t="str">
        <f>IFERROR(INDEX('WetLitterbags placem_collection'!$A$3:$A$500,MATCH(A139,'WetLitterbags placem_collection'!$K$4:$K$500,0)),"")</f>
        <v/>
      </c>
      <c r="O139" s="110">
        <f>IFERROR(INDEX('WetLitterbags placem_collection'!$A$3:$A$500,MATCH(A139,'WetLitterbags placem_collection'!$O$4:$O$500,0)),"")</f>
        <v>188</v>
      </c>
      <c r="P139" s="110" t="str">
        <f>IFERROR(INDEX('WetLitterbags placem_collection'!$A$3:$A$500,MATCH(A139,'WetLitterbags placem_collection'!$M$4:$M$500,0)),"")</f>
        <v/>
      </c>
      <c r="Q139" s="110" t="str">
        <f>IFERROR(INDEX('WetLitterbags placem_collection'!$A$3:$A$500,MATCH(A139,'WetLitterbags placem_collection'!$Q$4:$Q$500,0)),"")</f>
        <v/>
      </c>
    </row>
    <row r="140" spans="1:17" ht="13.95" customHeight="1">
      <c r="A140" s="110" t="s">
        <v>1512</v>
      </c>
      <c r="B140" s="110">
        <v>56</v>
      </c>
      <c r="C140" s="110">
        <v>0.81</v>
      </c>
      <c r="E140" s="112">
        <v>42881</v>
      </c>
      <c r="N140" s="110">
        <f>IFERROR(INDEX('WetLitterbags placem_collection'!$A$3:$A$500,MATCH(A140,'WetLitterbags placem_collection'!$K$4:$K$500,0)),"")</f>
        <v>55</v>
      </c>
      <c r="O140" s="110" t="str">
        <f>IFERROR(INDEX('WetLitterbags placem_collection'!$A$3:$A$500,MATCH(A140,'WetLitterbags placem_collection'!$O$4:$O$500,0)),"")</f>
        <v/>
      </c>
      <c r="P140" s="110" t="str">
        <f>IFERROR(INDEX('WetLitterbags placem_collection'!$A$3:$A$500,MATCH(A140,'WetLitterbags placem_collection'!$M$4:$M$500,0)),"")</f>
        <v/>
      </c>
      <c r="Q140" s="110" t="str">
        <f>IFERROR(INDEX('WetLitterbags placem_collection'!$A$3:$A$500,MATCH(A140,'WetLitterbags placem_collection'!$Q$4:$Q$500,0)),"")</f>
        <v/>
      </c>
    </row>
    <row r="141" spans="1:17" ht="13.95" customHeight="1">
      <c r="A141" s="110" t="s">
        <v>1511</v>
      </c>
      <c r="B141">
        <v>47</v>
      </c>
      <c r="C141" s="110">
        <v>0.80700000000000005</v>
      </c>
      <c r="E141" s="112">
        <v>42879</v>
      </c>
      <c r="N141" s="110">
        <f>IFERROR(INDEX('WetLitterbags placem_collection'!$A$3:$A$500,MATCH(A141,'WetLitterbags placem_collection'!$K$4:$K$500,0)),"")</f>
        <v>46</v>
      </c>
      <c r="O141" s="110" t="str">
        <f>IFERROR(INDEX('WetLitterbags placem_collection'!$A$3:$A$500,MATCH(A141,'WetLitterbags placem_collection'!$O$4:$O$500,0)),"")</f>
        <v/>
      </c>
      <c r="P141" s="110" t="str">
        <f>IFERROR(INDEX('WetLitterbags placem_collection'!$A$3:$A$500,MATCH(A141,'WetLitterbags placem_collection'!$M$4:$M$500,0)),"")</f>
        <v/>
      </c>
      <c r="Q141" s="110" t="str">
        <f>IFERROR(INDEX('WetLitterbags placem_collection'!$A$3:$A$500,MATCH(A141,'WetLitterbags placem_collection'!$Q$4:$Q$500,0)),"")</f>
        <v/>
      </c>
    </row>
    <row r="142" spans="1:17" ht="13.95" customHeight="1">
      <c r="A142" s="110" t="s">
        <v>1510</v>
      </c>
      <c r="B142" s="113">
        <v>206</v>
      </c>
      <c r="C142" s="110">
        <v>0.73299999999999998</v>
      </c>
      <c r="E142" s="112">
        <v>42879</v>
      </c>
      <c r="N142" s="110" t="str">
        <f>IFERROR(INDEX('WetLitterbags placem_collection'!$A$3:$A$500,MATCH(A142,'WetLitterbags placem_collection'!$K$4:$K$500,0)),"")</f>
        <v/>
      </c>
      <c r="O142" s="110">
        <f>IFERROR(INDEX('WetLitterbags placem_collection'!$A$3:$A$500,MATCH(A142,'WetLitterbags placem_collection'!$O$4:$O$500,0)),"")</f>
        <v>206</v>
      </c>
      <c r="P142" s="110" t="str">
        <f>IFERROR(INDEX('WetLitterbags placem_collection'!$A$3:$A$500,MATCH(A142,'WetLitterbags placem_collection'!$M$4:$M$500,0)),"")</f>
        <v/>
      </c>
      <c r="Q142" s="110" t="str">
        <f>IFERROR(INDEX('WetLitterbags placem_collection'!$A$3:$A$500,MATCH(A142,'WetLitterbags placem_collection'!$Q$4:$Q$500,0)),"")</f>
        <v/>
      </c>
    </row>
    <row r="143" spans="1:17" ht="13.95" customHeight="1">
      <c r="A143" s="179" t="s">
        <v>1509</v>
      </c>
      <c r="B143" s="110">
        <v>61</v>
      </c>
      <c r="C143">
        <v>0.78600000000000003</v>
      </c>
      <c r="D143"/>
      <c r="E143" s="112">
        <v>42878</v>
      </c>
      <c r="N143" s="110">
        <f>IFERROR(INDEX('WetLitterbags placem_collection'!$A$3:$A$500,MATCH(A143,'WetLitterbags placem_collection'!$K$4:$K$500,0)),"")</f>
        <v>60</v>
      </c>
      <c r="O143" s="110" t="str">
        <f>IFERROR(INDEX('WetLitterbags placem_collection'!$A$3:$A$500,MATCH(A143,'WetLitterbags placem_collection'!$O$4:$O$500,0)),"")</f>
        <v/>
      </c>
      <c r="P143" s="110" t="str">
        <f>IFERROR(INDEX('WetLitterbags placem_collection'!$A$3:$A$500,MATCH(A143,'WetLitterbags placem_collection'!$M$4:$M$500,0)),"")</f>
        <v/>
      </c>
      <c r="Q143" s="110" t="str">
        <f>IFERROR(INDEX('WetLitterbags placem_collection'!$A$3:$A$500,MATCH(A143,'WetLitterbags placem_collection'!$Q$4:$Q$500,0)),"")</f>
        <v/>
      </c>
    </row>
    <row r="144" spans="1:17" ht="13.95" customHeight="1">
      <c r="A144" s="110" t="s">
        <v>1508</v>
      </c>
      <c r="B144" s="110">
        <v>81</v>
      </c>
      <c r="C144" s="110">
        <v>0.85099999999999998</v>
      </c>
      <c r="E144" s="112">
        <v>42881</v>
      </c>
      <c r="N144" s="110">
        <f>IFERROR(INDEX('WetLitterbags placem_collection'!$A$3:$A$500,MATCH(A144,'WetLitterbags placem_collection'!$K$4:$K$500,0)),"")</f>
        <v>80</v>
      </c>
      <c r="O144" s="110" t="str">
        <f>IFERROR(INDEX('WetLitterbags placem_collection'!$A$3:$A$500,MATCH(A144,'WetLitterbags placem_collection'!$O$4:$O$500,0)),"")</f>
        <v/>
      </c>
      <c r="P144" s="110" t="str">
        <f>IFERROR(INDEX('WetLitterbags placem_collection'!$A$3:$A$500,MATCH(A144,'WetLitterbags placem_collection'!$M$4:$M$500,0)),"")</f>
        <v/>
      </c>
      <c r="Q144" s="110" t="str">
        <f>IFERROR(INDEX('WetLitterbags placem_collection'!$A$3:$A$500,MATCH(A144,'WetLitterbags placem_collection'!$Q$4:$Q$500,0)),"")</f>
        <v/>
      </c>
    </row>
    <row r="145" spans="1:17" ht="13.95" customHeight="1">
      <c r="A145" s="110" t="s">
        <v>1507</v>
      </c>
      <c r="B145" s="110" t="s">
        <v>2077</v>
      </c>
      <c r="C145" s="110">
        <v>0.71650000000000003</v>
      </c>
      <c r="E145" s="112">
        <v>43119</v>
      </c>
      <c r="N145" s="110">
        <f>IFERROR(INDEX('WetLitterbags placem_collection'!$A$3:$A$500,MATCH(A145,'WetLitterbags placem_collection'!$K$4:$K$500,0)),"")</f>
        <v>10</v>
      </c>
      <c r="O145" s="110" t="str">
        <f>IFERROR(INDEX('WetLitterbags placem_collection'!$A$3:$A$500,MATCH(A145,'WetLitterbags placem_collection'!$O$4:$O$500,0)),"")</f>
        <v/>
      </c>
      <c r="P145" s="110" t="str">
        <f>IFERROR(INDEX('WetLitterbags placem_collection'!$A$3:$A$500,MATCH(A145,'WetLitterbags placem_collection'!$M$4:$M$500,0)),"")</f>
        <v/>
      </c>
      <c r="Q145" s="110" t="str">
        <f>IFERROR(INDEX('WetLitterbags placem_collection'!$A$3:$A$500,MATCH(A145,'WetLitterbags placem_collection'!$Q$4:$Q$500,0)),"")</f>
        <v/>
      </c>
    </row>
    <row r="146" spans="1:17" ht="13.95" customHeight="1">
      <c r="A146" s="110" t="s">
        <v>1506</v>
      </c>
      <c r="B146" s="181">
        <v>186</v>
      </c>
      <c r="C146" s="110">
        <v>0.69</v>
      </c>
      <c r="E146" s="112">
        <v>42878</v>
      </c>
      <c r="N146" s="110">
        <f>IFERROR(INDEX('WetLitterbags placem_collection'!$A$3:$A$500,MATCH(A146,'WetLitterbags placem_collection'!$K$4:$K$500,0)),"")</f>
        <v>185</v>
      </c>
      <c r="O146" s="110" t="str">
        <f>IFERROR(INDEX('WetLitterbags placem_collection'!$A$3:$A$500,MATCH(A146,'WetLitterbags placem_collection'!$O$4:$O$500,0)),"")</f>
        <v/>
      </c>
      <c r="P146" s="110" t="str">
        <f>IFERROR(INDEX('WetLitterbags placem_collection'!$A$3:$A$500,MATCH(A146,'WetLitterbags placem_collection'!$M$4:$M$500,0)),"")</f>
        <v/>
      </c>
      <c r="Q146" s="110" t="str">
        <f>IFERROR(INDEX('WetLitterbags placem_collection'!$A$3:$A$500,MATCH(A146,'WetLitterbags placem_collection'!$Q$4:$Q$500,0)),"")</f>
        <v/>
      </c>
    </row>
    <row r="147" spans="1:17" ht="13.95" customHeight="1">
      <c r="A147" s="110" t="s">
        <v>1505</v>
      </c>
      <c r="B147" s="110" t="s">
        <v>2077</v>
      </c>
      <c r="C147" s="110">
        <v>0.73950000000000005</v>
      </c>
      <c r="D147" s="110" t="s">
        <v>2115</v>
      </c>
      <c r="E147" s="112">
        <v>43122</v>
      </c>
      <c r="N147" s="110" t="str">
        <f>IFERROR(INDEX('WetLitterbags placem_collection'!$A$3:$A$500,MATCH(A147,'WetLitterbags placem_collection'!$K$4:$K$500,0)),"")</f>
        <v/>
      </c>
      <c r="O147" s="110">
        <f>IFERROR(INDEX('WetLitterbags placem_collection'!$A$3:$A$500,MATCH(A147,'WetLitterbags placem_collection'!$O$4:$O$500,0)),"")</f>
        <v>95</v>
      </c>
      <c r="P147" s="110" t="str">
        <f>IFERROR(INDEX('WetLitterbags placem_collection'!$A$3:$A$500,MATCH(A147,'WetLitterbags placem_collection'!$M$4:$M$500,0)),"")</f>
        <v/>
      </c>
      <c r="Q147" s="110" t="str">
        <f>IFERROR(INDEX('WetLitterbags placem_collection'!$A$3:$A$500,MATCH(A147,'WetLitterbags placem_collection'!$Q$4:$Q$500,0)),"")</f>
        <v/>
      </c>
    </row>
    <row r="148" spans="1:17" ht="13.95" customHeight="1">
      <c r="A148" s="110" t="s">
        <v>1504</v>
      </c>
      <c r="B148" s="110">
        <v>57</v>
      </c>
      <c r="C148" s="110">
        <v>0.88660000000000005</v>
      </c>
      <c r="E148" s="112">
        <v>43122</v>
      </c>
      <c r="N148" s="110">
        <f>IFERROR(INDEX('WetLitterbags placem_collection'!$A$3:$A$500,MATCH(A148,'WetLitterbags placem_collection'!$K$4:$K$500,0)),"")</f>
        <v>56</v>
      </c>
      <c r="O148" s="110" t="str">
        <f>IFERROR(INDEX('WetLitterbags placem_collection'!$A$3:$A$500,MATCH(A148,'WetLitterbags placem_collection'!$O$4:$O$500,0)),"")</f>
        <v/>
      </c>
      <c r="P148" s="110" t="str">
        <f>IFERROR(INDEX('WetLitterbags placem_collection'!$A$3:$A$500,MATCH(A148,'WetLitterbags placem_collection'!$M$4:$M$500,0)),"")</f>
        <v/>
      </c>
      <c r="Q148" s="110" t="str">
        <f>IFERROR(INDEX('WetLitterbags placem_collection'!$A$3:$A$500,MATCH(A148,'WetLitterbags placem_collection'!$Q$4:$Q$500,0)),"")</f>
        <v/>
      </c>
    </row>
    <row r="149" spans="1:17" ht="13.95" customHeight="1">
      <c r="A149" s="110" t="s">
        <v>1503</v>
      </c>
      <c r="B149" s="110">
        <v>91</v>
      </c>
      <c r="C149" s="110">
        <v>1.069</v>
      </c>
      <c r="E149" s="112">
        <v>42878</v>
      </c>
      <c r="N149" s="110" t="str">
        <f>IFERROR(INDEX('WetLitterbags placem_collection'!$A$3:$A$500,MATCH(A149,'WetLitterbags placem_collection'!$K$4:$K$500,0)),"")</f>
        <v/>
      </c>
      <c r="O149" s="110">
        <f>IFERROR(INDEX('WetLitterbags placem_collection'!$A$3:$A$500,MATCH(A149,'WetLitterbags placem_collection'!$O$4:$O$500,0)),"")</f>
        <v>90</v>
      </c>
      <c r="P149" s="110" t="str">
        <f>IFERROR(INDEX('WetLitterbags placem_collection'!$A$3:$A$500,MATCH(A149,'WetLitterbags placem_collection'!$M$4:$M$500,0)),"")</f>
        <v/>
      </c>
      <c r="Q149" s="110" t="str">
        <f>IFERROR(INDEX('WetLitterbags placem_collection'!$A$3:$A$500,MATCH(A149,'WetLitterbags placem_collection'!$Q$4:$Q$500,0)),"")</f>
        <v/>
      </c>
    </row>
    <row r="150" spans="1:17" ht="13.95" customHeight="1">
      <c r="A150" s="110" t="s">
        <v>1502</v>
      </c>
      <c r="B150" s="110">
        <v>51</v>
      </c>
      <c r="C150" s="110">
        <v>0.86399999999999999</v>
      </c>
      <c r="E150" s="112">
        <v>42881</v>
      </c>
      <c r="N150" s="110">
        <f>IFERROR(INDEX('WetLitterbags placem_collection'!$A$3:$A$500,MATCH(A150,'WetLitterbags placem_collection'!$K$4:$K$500,0)),"")</f>
        <v>50</v>
      </c>
      <c r="O150" s="110" t="str">
        <f>IFERROR(INDEX('WetLitterbags placem_collection'!$A$3:$A$500,MATCH(A150,'WetLitterbags placem_collection'!$O$4:$O$500,0)),"")</f>
        <v/>
      </c>
      <c r="P150" s="110" t="str">
        <f>IFERROR(INDEX('WetLitterbags placem_collection'!$A$3:$A$500,MATCH(A150,'WetLitterbags placem_collection'!$M$4:$M$500,0)),"")</f>
        <v/>
      </c>
      <c r="Q150" s="110" t="str">
        <f>IFERROR(INDEX('WetLitterbags placem_collection'!$A$3:$A$500,MATCH(A150,'WetLitterbags placem_collection'!$Q$4:$Q$500,0)),"")</f>
        <v/>
      </c>
    </row>
    <row r="151" spans="1:17" ht="13.95" customHeight="1">
      <c r="A151" s="110" t="s">
        <v>1501</v>
      </c>
      <c r="B151" s="110" t="s">
        <v>2083</v>
      </c>
      <c r="C151" s="110">
        <v>0.74199999999999999</v>
      </c>
      <c r="D151" s="110" t="s">
        <v>2095</v>
      </c>
      <c r="E151" s="112">
        <v>43125</v>
      </c>
      <c r="N151" s="110">
        <f>IFERROR(INDEX('WetLitterbags placem_collection'!$A$3:$A$500,MATCH(A151,'WetLitterbags placem_collection'!$K$4:$K$500,0)),"")</f>
        <v>72</v>
      </c>
      <c r="O151" s="110" t="str">
        <f>IFERROR(INDEX('WetLitterbags placem_collection'!$A$3:$A$500,MATCH(A151,'WetLitterbags placem_collection'!$O$4:$O$500,0)),"")</f>
        <v/>
      </c>
      <c r="P151" s="110" t="str">
        <f>IFERROR(INDEX('WetLitterbags placem_collection'!$A$3:$A$500,MATCH(A151,'WetLitterbags placem_collection'!$M$4:$M$500,0)),"")</f>
        <v/>
      </c>
      <c r="Q151" s="110" t="str">
        <f>IFERROR(INDEX('WetLitterbags placem_collection'!$A$3:$A$500,MATCH(A151,'WetLitterbags placem_collection'!$Q$4:$Q$500,0)),"")</f>
        <v/>
      </c>
    </row>
    <row r="152" spans="1:17" ht="13.95" customHeight="1">
      <c r="A152" s="110" t="s">
        <v>1500</v>
      </c>
      <c r="B152">
        <v>36</v>
      </c>
      <c r="C152" s="110">
        <v>0.72199999999999998</v>
      </c>
      <c r="E152" s="112">
        <v>42881</v>
      </c>
      <c r="N152" s="110" t="str">
        <f>IFERROR(INDEX('WetLitterbags placem_collection'!$A$3:$A$500,MATCH(A152,'WetLitterbags placem_collection'!$K$4:$K$500,0)),"")</f>
        <v/>
      </c>
      <c r="O152" s="110">
        <f>IFERROR(INDEX('WetLitterbags placem_collection'!$A$3:$A$500,MATCH(A152,'WetLitterbags placem_collection'!$O$4:$O$500,0)),"")</f>
        <v>35</v>
      </c>
      <c r="P152" s="110" t="str">
        <f>IFERROR(INDEX('WetLitterbags placem_collection'!$A$3:$A$500,MATCH(A152,'WetLitterbags placem_collection'!$M$4:$M$500,0)),"")</f>
        <v/>
      </c>
      <c r="Q152" s="110" t="str">
        <f>IFERROR(INDEX('WetLitterbags placem_collection'!$A$3:$A$500,MATCH(A152,'WetLitterbags placem_collection'!$Q$4:$Q$500,0)),"")</f>
        <v/>
      </c>
    </row>
    <row r="153" spans="1:17" ht="13.95" customHeight="1">
      <c r="A153" s="110" t="s">
        <v>1499</v>
      </c>
      <c r="B153" s="110" t="s">
        <v>2077</v>
      </c>
      <c r="C153" s="110">
        <v>0.61199999999999999</v>
      </c>
      <c r="E153" s="112">
        <v>43122</v>
      </c>
      <c r="N153" s="110" t="str">
        <f>IFERROR(INDEX('WetLitterbags placem_collection'!$A$3:$A$500,MATCH(A153,'WetLitterbags placem_collection'!$K$4:$K$500,0)),"")</f>
        <v/>
      </c>
      <c r="O153" s="110">
        <f>IFERROR(INDEX('WetLitterbags placem_collection'!$A$3:$A$500,MATCH(A153,'WetLitterbags placem_collection'!$O$4:$O$500,0)),"")</f>
        <v>180</v>
      </c>
      <c r="P153" s="110" t="str">
        <f>IFERROR(INDEX('WetLitterbags placem_collection'!$A$3:$A$500,MATCH(A153,'WetLitterbags placem_collection'!$M$4:$M$500,0)),"")</f>
        <v/>
      </c>
      <c r="Q153" s="110" t="str">
        <f>IFERROR(INDEX('WetLitterbags placem_collection'!$A$3:$A$500,MATCH(A153,'WetLitterbags placem_collection'!$Q$4:$Q$500,0)),"")</f>
        <v/>
      </c>
    </row>
    <row r="154" spans="1:17" ht="13.95" customHeight="1">
      <c r="A154" s="110" t="s">
        <v>1498</v>
      </c>
      <c r="B154" s="110" t="s">
        <v>2077</v>
      </c>
      <c r="C154" s="110">
        <v>0.75929999999999997</v>
      </c>
      <c r="D154" s="110" t="s">
        <v>2128</v>
      </c>
      <c r="E154" s="112">
        <v>43122</v>
      </c>
      <c r="N154" s="110" t="str">
        <f>IFERROR(INDEX('WetLitterbags placem_collection'!$A$3:$A$500,MATCH(A154,'WetLitterbags placem_collection'!$K$4:$K$500,0)),"")</f>
        <v/>
      </c>
      <c r="O154" s="110">
        <f>IFERROR(INDEX('WetLitterbags placem_collection'!$A$3:$A$500,MATCH(A154,'WetLitterbags placem_collection'!$O$4:$O$500,0)),"")</f>
        <v>21</v>
      </c>
      <c r="P154" s="110" t="str">
        <f>IFERROR(INDEX('WetLitterbags placem_collection'!$A$3:$A$500,MATCH(A154,'WetLitterbags placem_collection'!$M$4:$M$500,0)),"")</f>
        <v/>
      </c>
      <c r="Q154" s="110" t="str">
        <f>IFERROR(INDEX('WetLitterbags placem_collection'!$A$3:$A$500,MATCH(A154,'WetLitterbags placem_collection'!$Q$4:$Q$500,0)),"")</f>
        <v/>
      </c>
    </row>
    <row r="155" spans="1:17" ht="13.95" customHeight="1">
      <c r="A155" s="179" t="s">
        <v>1496</v>
      </c>
      <c r="B155" s="110">
        <v>64</v>
      </c>
      <c r="C155" s="181">
        <v>1.29</v>
      </c>
      <c r="D155" s="181" t="s">
        <v>2139</v>
      </c>
      <c r="E155" s="112">
        <v>42878</v>
      </c>
      <c r="N155" s="110">
        <f>IFERROR(INDEX('WetLitterbags placem_collection'!$A$3:$A$500,MATCH(A155,'WetLitterbags placem_collection'!$K$4:$K$500,0)),"")</f>
        <v>63</v>
      </c>
      <c r="O155" s="110" t="str">
        <f>IFERROR(INDEX('WetLitterbags placem_collection'!$A$3:$A$500,MATCH(A155,'WetLitterbags placem_collection'!$O$4:$O$500,0)),"")</f>
        <v/>
      </c>
      <c r="P155" s="110" t="str">
        <f>IFERROR(INDEX('WetLitterbags placem_collection'!$A$3:$A$500,MATCH(A155,'WetLitterbags placem_collection'!$M$4:$M$500,0)),"")</f>
        <v/>
      </c>
      <c r="Q155" s="110" t="str">
        <f>IFERROR(INDEX('WetLitterbags placem_collection'!$A$3:$A$500,MATCH(A155,'WetLitterbags placem_collection'!$Q$4:$Q$500,0)),"")</f>
        <v/>
      </c>
    </row>
    <row r="156" spans="1:17" ht="13.95" customHeight="1">
      <c r="A156" s="179" t="s">
        <v>1493</v>
      </c>
      <c r="B156" s="110">
        <v>56</v>
      </c>
      <c r="C156" s="110">
        <v>0.74399999999999999</v>
      </c>
      <c r="E156" s="112">
        <v>42881</v>
      </c>
      <c r="N156" s="110" t="str">
        <f>IFERROR(INDEX('WetLitterbags placem_collection'!$A$3:$A$500,MATCH(A156,'WetLitterbags placem_collection'!$K$4:$K$500,0)),"")</f>
        <v/>
      </c>
      <c r="O156" s="110">
        <f>IFERROR(INDEX('WetLitterbags placem_collection'!$A$3:$A$500,MATCH(A156,'WetLitterbags placem_collection'!$O$4:$O$500,0)),"")</f>
        <v>55</v>
      </c>
      <c r="P156" s="110" t="str">
        <f>IFERROR(INDEX('WetLitterbags placem_collection'!$A$3:$A$500,MATCH(A156,'WetLitterbags placem_collection'!$M$4:$M$500,0)),"")</f>
        <v/>
      </c>
      <c r="Q156" s="110" t="str">
        <f>IFERROR(INDEX('WetLitterbags placem_collection'!$A$3:$A$500,MATCH(A156,'WetLitterbags placem_collection'!$Q$4:$Q$500,0)),"")</f>
        <v/>
      </c>
    </row>
    <row r="157" spans="1:17" ht="13.95" customHeight="1">
      <c r="A157" s="110" t="s">
        <v>1490</v>
      </c>
      <c r="B157" s="110">
        <v>212</v>
      </c>
      <c r="C157" s="110">
        <v>1.4097999999999999</v>
      </c>
      <c r="E157" s="112">
        <v>43123</v>
      </c>
      <c r="N157" s="110" t="str">
        <f>IFERROR(INDEX('WetLitterbags placem_collection'!$A$3:$A$500,MATCH(A157,'WetLitterbags placem_collection'!$K$4:$K$500,0)),"")</f>
        <v/>
      </c>
      <c r="O157" s="110">
        <f>IFERROR(INDEX('WetLitterbags placem_collection'!$A$3:$A$500,MATCH(A157,'WetLitterbags placem_collection'!$O$4:$O$500,0)),"")</f>
        <v>211</v>
      </c>
      <c r="P157" s="110" t="str">
        <f>IFERROR(INDEX('WetLitterbags placem_collection'!$A$3:$A$500,MATCH(A157,'WetLitterbags placem_collection'!$M$4:$M$500,0)),"")</f>
        <v/>
      </c>
      <c r="Q157" s="110" t="str">
        <f>IFERROR(INDEX('WetLitterbags placem_collection'!$A$3:$A$500,MATCH(A157,'WetLitterbags placem_collection'!$Q$4:$Q$500,0)),"")</f>
        <v/>
      </c>
    </row>
    <row r="158" spans="1:17" ht="13.95" customHeight="1">
      <c r="A158" s="110" t="s">
        <v>1489</v>
      </c>
      <c r="B158" s="110">
        <v>86</v>
      </c>
      <c r="C158" s="110">
        <v>0.74650000000000005</v>
      </c>
      <c r="E158" s="112">
        <v>43123</v>
      </c>
      <c r="N158" s="110" t="str">
        <f>IFERROR(INDEX('WetLitterbags placem_collection'!$A$3:$A$500,MATCH(A158,'WetLitterbags placem_collection'!$K$4:$K$500,0)),"")</f>
        <v/>
      </c>
      <c r="O158" s="110">
        <f>IFERROR(INDEX('WetLitterbags placem_collection'!$A$3:$A$500,MATCH(A158,'WetLitterbags placem_collection'!$O$4:$O$500,0)),"")</f>
        <v>85</v>
      </c>
      <c r="P158" s="110" t="str">
        <f>IFERROR(INDEX('WetLitterbags placem_collection'!$A$3:$A$500,MATCH(A158,'WetLitterbags placem_collection'!$M$4:$M$500,0)),"")</f>
        <v/>
      </c>
      <c r="Q158" s="110" t="str">
        <f>IFERROR(INDEX('WetLitterbags placem_collection'!$A$3:$A$500,MATCH(A158,'WetLitterbags placem_collection'!$Q$4:$Q$500,0)),"")</f>
        <v/>
      </c>
    </row>
    <row r="159" spans="1:17" ht="13.95" customHeight="1">
      <c r="A159" s="403" t="s">
        <v>1688</v>
      </c>
      <c r="B159" s="110">
        <v>177</v>
      </c>
      <c r="C159" s="110">
        <v>0.61299999999999999</v>
      </c>
      <c r="E159" s="112">
        <v>42881</v>
      </c>
      <c r="N159" s="110">
        <f>IFERROR(INDEX('WetLitterbags placem_collection'!$A$3:$A$500,MATCH(A159,'WetLitterbags placem_collection'!$K$4:$K$500,0)),"")</f>
        <v>176</v>
      </c>
      <c r="O159" s="110" t="str">
        <f>IFERROR(INDEX('WetLitterbags placem_collection'!$A$3:$A$500,MATCH(A159,'WetLitterbags placem_collection'!$O$4:$O$500,0)),"")</f>
        <v/>
      </c>
      <c r="P159" s="110" t="str">
        <f>IFERROR(INDEX('WetLitterbags placem_collection'!$A$3:$A$500,MATCH(A159,'WetLitterbags placem_collection'!$M$4:$M$500,0)),"")</f>
        <v/>
      </c>
      <c r="Q159" s="110" t="str">
        <f>IFERROR(INDEX('WetLitterbags placem_collection'!$A$3:$A$500,MATCH(A159,'WetLitterbags placem_collection'!$Q$4:$Q$500,0)),"")</f>
        <v/>
      </c>
    </row>
    <row r="160" spans="1:17" ht="13.95" customHeight="1">
      <c r="A160" s="110" t="s">
        <v>1487</v>
      </c>
      <c r="B160" s="110">
        <v>116</v>
      </c>
      <c r="C160" s="110">
        <v>0.61660000000000004</v>
      </c>
      <c r="E160" s="112">
        <v>43125</v>
      </c>
      <c r="N160" s="110" t="str">
        <f>IFERROR(INDEX('WetLitterbags placem_collection'!$A$3:$A$500,MATCH(A160,'WetLitterbags placem_collection'!$K$4:$K$500,0)),"")</f>
        <v/>
      </c>
      <c r="O160" s="110">
        <f>IFERROR(INDEX('WetLitterbags placem_collection'!$A$3:$A$500,MATCH(A160,'WetLitterbags placem_collection'!$O$4:$O$500,0)),"")</f>
        <v>115</v>
      </c>
      <c r="P160" s="110" t="str">
        <f>IFERROR(INDEX('WetLitterbags placem_collection'!$A$3:$A$500,MATCH(A160,'WetLitterbags placem_collection'!$M$4:$M$500,0)),"")</f>
        <v/>
      </c>
      <c r="Q160" s="110" t="str">
        <f>IFERROR(INDEX('WetLitterbags placem_collection'!$A$3:$A$500,MATCH(A160,'WetLitterbags placem_collection'!$Q$4:$Q$500,0)),"")</f>
        <v/>
      </c>
    </row>
    <row r="161" spans="1:17" ht="13.95" customHeight="1">
      <c r="A161" s="110" t="s">
        <v>1486</v>
      </c>
      <c r="B161" s="110" t="s">
        <v>2077</v>
      </c>
      <c r="C161" s="110">
        <v>0.626</v>
      </c>
      <c r="E161" s="112">
        <v>43122</v>
      </c>
      <c r="N161" s="110" t="str">
        <f>IFERROR(INDEX('WetLitterbags placem_collection'!$A$3:$A$500,MATCH(A161,'WetLitterbags placem_collection'!$K$4:$K$500,0)),"")</f>
        <v/>
      </c>
      <c r="O161" s="110">
        <f>IFERROR(INDEX('WetLitterbags placem_collection'!$A$3:$A$500,MATCH(A161,'WetLitterbags placem_collection'!$O$4:$O$500,0)),"")</f>
        <v>184</v>
      </c>
      <c r="P161" s="110" t="str">
        <f>IFERROR(INDEX('WetLitterbags placem_collection'!$A$3:$A$500,MATCH(A161,'WetLitterbags placem_collection'!$M$4:$M$500,0)),"")</f>
        <v/>
      </c>
      <c r="Q161" s="110" t="str">
        <f>IFERROR(INDEX('WetLitterbags placem_collection'!$A$3:$A$500,MATCH(A161,'WetLitterbags placem_collection'!$Q$4:$Q$500,0)),"")</f>
        <v/>
      </c>
    </row>
    <row r="162" spans="1:17" ht="13.95" customHeight="1">
      <c r="A162" s="110" t="s">
        <v>1485</v>
      </c>
      <c r="B162" s="110">
        <v>62</v>
      </c>
      <c r="C162" s="110">
        <v>0.9224</v>
      </c>
      <c r="D162" s="110" t="s">
        <v>2110</v>
      </c>
      <c r="E162" s="112">
        <v>43125</v>
      </c>
      <c r="N162" s="110">
        <f>IFERROR(INDEX('WetLitterbags placem_collection'!$A$3:$A$500,MATCH(A162,'WetLitterbags placem_collection'!$K$4:$K$500,0)),"")</f>
        <v>61</v>
      </c>
      <c r="O162" s="110" t="str">
        <f>IFERROR(INDEX('WetLitterbags placem_collection'!$A$3:$A$500,MATCH(A162,'WetLitterbags placem_collection'!$O$4:$O$500,0)),"")</f>
        <v/>
      </c>
      <c r="P162" s="110" t="str">
        <f>IFERROR(INDEX('WetLitterbags placem_collection'!$A$3:$A$500,MATCH(A162,'WetLitterbags placem_collection'!$M$4:$M$500,0)),"")</f>
        <v/>
      </c>
      <c r="Q162" s="110" t="str">
        <f>IFERROR(INDEX('WetLitterbags placem_collection'!$A$3:$A$500,MATCH(A162,'WetLitterbags placem_collection'!$Q$4:$Q$500,0)),"")</f>
        <v/>
      </c>
    </row>
    <row r="163" spans="1:17" ht="13.95" customHeight="1">
      <c r="A163" t="s">
        <v>1484</v>
      </c>
      <c r="B163" s="110">
        <v>39</v>
      </c>
      <c r="C163" s="110">
        <v>0.78520000000000001</v>
      </c>
      <c r="E163" s="112">
        <v>43123</v>
      </c>
      <c r="N163" s="110" t="str">
        <f>IFERROR(INDEX('WetLitterbags placem_collection'!$A$3:$A$500,MATCH(A163,'WetLitterbags placem_collection'!$K$4:$K$500,0)),"")</f>
        <v/>
      </c>
      <c r="O163" s="110">
        <f>IFERROR(INDEX('WetLitterbags placem_collection'!$A$3:$A$500,MATCH(A163,'WetLitterbags placem_collection'!$O$4:$O$500,0)),"")</f>
        <v>38</v>
      </c>
      <c r="P163" s="110" t="str">
        <f>IFERROR(INDEX('WetLitterbags placem_collection'!$A$3:$A$500,MATCH(A163,'WetLitterbags placem_collection'!$M$4:$M$500,0)),"")</f>
        <v/>
      </c>
      <c r="Q163" s="110" t="str">
        <f>IFERROR(INDEX('WetLitterbags placem_collection'!$A$3:$A$500,MATCH(A163,'WetLitterbags placem_collection'!$Q$4:$Q$500,0)),"")</f>
        <v/>
      </c>
    </row>
    <row r="164" spans="1:17" ht="13.95" customHeight="1">
      <c r="A164" s="110" t="s">
        <v>1483</v>
      </c>
      <c r="B164" s="110">
        <v>151</v>
      </c>
      <c r="C164" s="110">
        <v>0.86499999999999999</v>
      </c>
      <c r="E164" s="112">
        <v>42879</v>
      </c>
      <c r="N164" s="110">
        <f>IFERROR(INDEX('WetLitterbags placem_collection'!$A$3:$A$500,MATCH(A164,'WetLitterbags placem_collection'!$K$4:$K$500,0)),"")</f>
        <v>150</v>
      </c>
      <c r="O164" s="110" t="str">
        <f>IFERROR(INDEX('WetLitterbags placem_collection'!$A$3:$A$500,MATCH(A164,'WetLitterbags placem_collection'!$O$4:$O$500,0)),"")</f>
        <v/>
      </c>
      <c r="P164" s="110" t="str">
        <f>IFERROR(INDEX('WetLitterbags placem_collection'!$A$3:$A$500,MATCH(A164,'WetLitterbags placem_collection'!$M$4:$M$500,0)),"")</f>
        <v/>
      </c>
      <c r="Q164" s="110" t="str">
        <f>IFERROR(INDEX('WetLitterbags placem_collection'!$A$3:$A$500,MATCH(A164,'WetLitterbags placem_collection'!$Q$4:$Q$500,0)),"")</f>
        <v/>
      </c>
    </row>
    <row r="165" spans="1:17" ht="13.95" customHeight="1">
      <c r="A165" s="110" t="s">
        <v>1482</v>
      </c>
      <c r="B165" s="110" t="s">
        <v>2077</v>
      </c>
      <c r="C165" s="110">
        <v>0.629</v>
      </c>
      <c r="E165" s="112">
        <v>43122</v>
      </c>
      <c r="N165" s="110">
        <f>IFERROR(INDEX('WetLitterbags placem_collection'!$A$3:$A$500,MATCH(A165,'WetLitterbags placem_collection'!$K$4:$K$500,0)),"")</f>
        <v>1</v>
      </c>
      <c r="O165" s="110" t="str">
        <f>IFERROR(INDEX('WetLitterbags placem_collection'!$A$3:$A$500,MATCH(A165,'WetLitterbags placem_collection'!$O$4:$O$500,0)),"")</f>
        <v/>
      </c>
      <c r="P165" s="110" t="str">
        <f>IFERROR(INDEX('WetLitterbags placem_collection'!$A$3:$A$500,MATCH(A165,'WetLitterbags placem_collection'!$M$4:$M$500,0)),"")</f>
        <v/>
      </c>
      <c r="Q165" s="110" t="str">
        <f>IFERROR(INDEX('WetLitterbags placem_collection'!$A$3:$A$500,MATCH(A165,'WetLitterbags placem_collection'!$Q$4:$Q$500,0)),"")</f>
        <v/>
      </c>
    </row>
    <row r="166" spans="1:17" ht="13.95" customHeight="1">
      <c r="A166" s="445" t="s">
        <v>1541</v>
      </c>
      <c r="B166" s="110">
        <v>77</v>
      </c>
      <c r="C166" s="110">
        <v>1.012</v>
      </c>
      <c r="E166" s="112">
        <v>42879</v>
      </c>
      <c r="N166" s="110" t="str">
        <f>IFERROR(INDEX('WetLitterbags placem_collection'!$A$3:$A$500,MATCH(A166,'WetLitterbags placem_collection'!$K$4:$K$500,0)),"")</f>
        <v/>
      </c>
      <c r="O166" s="110">
        <f>IFERROR(INDEX('WetLitterbags placem_collection'!$A$3:$A$500,MATCH(A166,'WetLitterbags placem_collection'!$O$4:$O$500,0)),"")</f>
        <v>76</v>
      </c>
      <c r="P166" s="110" t="str">
        <f>IFERROR(INDEX('WetLitterbags placem_collection'!$A$3:$A$500,MATCH(A166,'WetLitterbags placem_collection'!$M$4:$M$500,0)),"")</f>
        <v/>
      </c>
      <c r="Q166" s="110" t="str">
        <f>IFERROR(INDEX('WetLitterbags placem_collection'!$A$3:$A$500,MATCH(A166,'WetLitterbags placem_collection'!$Q$4:$Q$500,0)),"")</f>
        <v/>
      </c>
    </row>
    <row r="167" spans="1:17" ht="13.95" customHeight="1">
      <c r="A167" s="110" t="s">
        <v>1479</v>
      </c>
      <c r="B167" s="110" t="s">
        <v>2077</v>
      </c>
      <c r="C167" s="110">
        <v>0.67520000000000002</v>
      </c>
      <c r="E167" s="112">
        <v>43119</v>
      </c>
      <c r="N167" s="110">
        <f>IFERROR(INDEX('WetLitterbags placem_collection'!$A$3:$A$500,MATCH(A167,'WetLitterbags placem_collection'!$K$4:$K$500,0)),"")</f>
        <v>16</v>
      </c>
      <c r="O167" s="110" t="str">
        <f>IFERROR(INDEX('WetLitterbags placem_collection'!$A$3:$A$500,MATCH(A167,'WetLitterbags placem_collection'!$O$4:$O$500,0)),"")</f>
        <v/>
      </c>
      <c r="P167" s="110" t="str">
        <f>IFERROR(INDEX('WetLitterbags placem_collection'!$A$3:$A$500,MATCH(A167,'WetLitterbags placem_collection'!$M$4:$M$500,0)),"")</f>
        <v/>
      </c>
      <c r="Q167" s="110" t="str">
        <f>IFERROR(INDEX('WetLitterbags placem_collection'!$A$3:$A$500,MATCH(A167,'WetLitterbags placem_collection'!$Q$4:$Q$500,0)),"")</f>
        <v/>
      </c>
    </row>
    <row r="168" spans="1:17" ht="13.95" customHeight="1">
      <c r="A168" s="110" t="s">
        <v>1478</v>
      </c>
      <c r="B168" s="110">
        <v>213</v>
      </c>
      <c r="C168" s="110">
        <v>0.71399999999999997</v>
      </c>
      <c r="E168" s="112">
        <v>42881</v>
      </c>
      <c r="N168" s="110">
        <f>IFERROR(INDEX('WetLitterbags placem_collection'!$A$3:$A$500,MATCH(A168,'WetLitterbags placem_collection'!$K$4:$K$500,0)),"")</f>
        <v>212</v>
      </c>
      <c r="O168" s="110" t="str">
        <f>IFERROR(INDEX('WetLitterbags placem_collection'!$A$3:$A$500,MATCH(A168,'WetLitterbags placem_collection'!$O$4:$O$500,0)),"")</f>
        <v/>
      </c>
      <c r="P168" s="110" t="str">
        <f>IFERROR(INDEX('WetLitterbags placem_collection'!$A$3:$A$500,MATCH(A168,'WetLitterbags placem_collection'!$M$4:$M$500,0)),"")</f>
        <v/>
      </c>
      <c r="Q168" s="110" t="str">
        <f>IFERROR(INDEX('WetLitterbags placem_collection'!$A$3:$A$500,MATCH(A168,'WetLitterbags placem_collection'!$Q$4:$Q$500,0)),"")</f>
        <v/>
      </c>
    </row>
    <row r="169" spans="1:17" ht="13.95" customHeight="1">
      <c r="A169" s="110" t="s">
        <v>1477</v>
      </c>
      <c r="B169" s="110">
        <v>18</v>
      </c>
      <c r="C169" s="110">
        <v>0.72099999999999997</v>
      </c>
      <c r="E169" s="112">
        <v>42879</v>
      </c>
      <c r="N169" s="110" t="str">
        <f>IFERROR(INDEX('WetLitterbags placem_collection'!$A$3:$A$500,MATCH(A169,'WetLitterbags placem_collection'!$K$4:$K$500,0)),"")</f>
        <v/>
      </c>
      <c r="O169" s="110">
        <f>IFERROR(INDEX('WetLitterbags placem_collection'!$A$3:$A$500,MATCH(A169,'WetLitterbags placem_collection'!$O$4:$O$500,0)),"")</f>
        <v>17</v>
      </c>
      <c r="P169" s="110" t="str">
        <f>IFERROR(INDEX('WetLitterbags placem_collection'!$A$3:$A$500,MATCH(A169,'WetLitterbags placem_collection'!$M$4:$M$500,0)),"")</f>
        <v/>
      </c>
      <c r="Q169" s="110" t="str">
        <f>IFERROR(INDEX('WetLitterbags placem_collection'!$A$3:$A$500,MATCH(A169,'WetLitterbags placem_collection'!$Q$4:$Q$500,0)),"")</f>
        <v/>
      </c>
    </row>
    <row r="170" spans="1:17" ht="13.95" customHeight="1">
      <c r="A170" s="110" t="s">
        <v>1476</v>
      </c>
      <c r="B170" s="113">
        <v>206</v>
      </c>
      <c r="C170" s="110">
        <v>0.77700000000000002</v>
      </c>
      <c r="E170" s="112">
        <v>42879</v>
      </c>
      <c r="N170" s="110">
        <f>IFERROR(INDEX('WetLitterbags placem_collection'!$A$3:$A$500,MATCH(A170,'WetLitterbags placem_collection'!$K$4:$K$500,0)),"")</f>
        <v>206</v>
      </c>
      <c r="O170" s="110" t="str">
        <f>IFERROR(INDEX('WetLitterbags placem_collection'!$A$3:$A$500,MATCH(A170,'WetLitterbags placem_collection'!$O$4:$O$500,0)),"")</f>
        <v/>
      </c>
      <c r="P170" s="110" t="str">
        <f>IFERROR(INDEX('WetLitterbags placem_collection'!$A$3:$A$500,MATCH(A170,'WetLitterbags placem_collection'!$M$4:$M$500,0)),"")</f>
        <v/>
      </c>
      <c r="Q170" s="110" t="str">
        <f>IFERROR(INDEX('WetLitterbags placem_collection'!$A$3:$A$500,MATCH(A170,'WetLitterbags placem_collection'!$Q$4:$Q$500,0)),"")</f>
        <v/>
      </c>
    </row>
    <row r="171" spans="1:17" ht="13.95" customHeight="1">
      <c r="A171" s="110" t="s">
        <v>1475</v>
      </c>
      <c r="B171" s="110" t="s">
        <v>2077</v>
      </c>
      <c r="C171" s="110">
        <v>0.74019999999999997</v>
      </c>
      <c r="E171" s="112">
        <v>43122</v>
      </c>
      <c r="N171" s="110">
        <f>IFERROR(INDEX('WetLitterbags placem_collection'!$A$3:$A$500,MATCH(A171,'WetLitterbags placem_collection'!$K$4:$K$500,0)),"")</f>
        <v>21</v>
      </c>
      <c r="O171" s="110" t="str">
        <f>IFERROR(INDEX('WetLitterbags placem_collection'!$A$3:$A$500,MATCH(A171,'WetLitterbags placem_collection'!$O$4:$O$500,0)),"")</f>
        <v/>
      </c>
      <c r="P171" s="110" t="str">
        <f>IFERROR(INDEX('WetLitterbags placem_collection'!$A$3:$A$500,MATCH(A171,'WetLitterbags placem_collection'!$M$4:$M$500,0)),"")</f>
        <v/>
      </c>
      <c r="Q171" s="110" t="str">
        <f>IFERROR(INDEX('WetLitterbags placem_collection'!$A$3:$A$500,MATCH(A171,'WetLitterbags placem_collection'!$Q$4:$Q$500,0)),"")</f>
        <v/>
      </c>
    </row>
    <row r="172" spans="1:17" ht="13.95" customHeight="1">
      <c r="A172" t="s">
        <v>1474</v>
      </c>
      <c r="B172" s="110">
        <v>158</v>
      </c>
      <c r="C172" s="110">
        <v>0.26600000000000001</v>
      </c>
      <c r="D172" s="110" t="s">
        <v>2068</v>
      </c>
      <c r="E172" s="112">
        <v>42879</v>
      </c>
      <c r="N172" s="110">
        <f>IFERROR(INDEX('WetLitterbags placem_collection'!$A$3:$A$500,MATCH(A172,'WetLitterbags placem_collection'!$K$4:$K$500,0)),"")</f>
        <v>157</v>
      </c>
      <c r="O172" s="110" t="str">
        <f>IFERROR(INDEX('WetLitterbags placem_collection'!$A$3:$A$500,MATCH(A172,'WetLitterbags placem_collection'!$O$4:$O$500,0)),"")</f>
        <v/>
      </c>
      <c r="P172" s="110" t="str">
        <f>IFERROR(INDEX('WetLitterbags placem_collection'!$A$3:$A$500,MATCH(A172,'WetLitterbags placem_collection'!$M$4:$M$500,0)),"")</f>
        <v/>
      </c>
      <c r="Q172" s="110" t="str">
        <f>IFERROR(INDEX('WetLitterbags placem_collection'!$A$3:$A$500,MATCH(A172,'WetLitterbags placem_collection'!$Q$4:$Q$500,0)),"")</f>
        <v/>
      </c>
    </row>
    <row r="173" spans="1:17" ht="13.95" customHeight="1">
      <c r="A173" s="110" t="s">
        <v>1473</v>
      </c>
      <c r="B173" s="110" t="s">
        <v>2077</v>
      </c>
      <c r="C173" s="110">
        <v>0.41870000000000002</v>
      </c>
      <c r="E173" s="112">
        <v>43122</v>
      </c>
      <c r="N173" s="110" t="str">
        <f>IFERROR(INDEX('WetLitterbags placem_collection'!$A$3:$A$500,MATCH(A173,'WetLitterbags placem_collection'!$K$4:$K$500,0)),"")</f>
        <v/>
      </c>
      <c r="O173" s="110">
        <f>IFERROR(INDEX('WetLitterbags placem_collection'!$A$3:$A$500,MATCH(A173,'WetLitterbags placem_collection'!$O$4:$O$500,0)),"")</f>
        <v>4</v>
      </c>
      <c r="P173" s="110" t="str">
        <f>IFERROR(INDEX('WetLitterbags placem_collection'!$A$3:$A$500,MATCH(A173,'WetLitterbags placem_collection'!$M$4:$M$500,0)),"")</f>
        <v/>
      </c>
      <c r="Q173" s="110" t="str">
        <f>IFERROR(INDEX('WetLitterbags placem_collection'!$A$3:$A$500,MATCH(A173,'WetLitterbags placem_collection'!$Q$4:$Q$500,0)),"")</f>
        <v/>
      </c>
    </row>
    <row r="174" spans="1:17" ht="13.95" customHeight="1">
      <c r="A174" t="s">
        <v>1471</v>
      </c>
      <c r="B174" s="110">
        <v>74</v>
      </c>
      <c r="C174" s="110">
        <v>0.74199999999999999</v>
      </c>
      <c r="E174" s="112">
        <v>42879</v>
      </c>
      <c r="N174" s="110" t="str">
        <f>IFERROR(INDEX('WetLitterbags placem_collection'!$A$3:$A$500,MATCH(A174,'WetLitterbags placem_collection'!$K$4:$K$500,0)),"")</f>
        <v/>
      </c>
      <c r="O174" s="110">
        <f>IFERROR(INDEX('WetLitterbags placem_collection'!$A$3:$A$500,MATCH(A174,'WetLitterbags placem_collection'!$O$4:$O$500,0)),"")</f>
        <v>73</v>
      </c>
      <c r="P174" s="110" t="str">
        <f>IFERROR(INDEX('WetLitterbags placem_collection'!$A$3:$A$500,MATCH(A174,'WetLitterbags placem_collection'!$M$4:$M$500,0)),"")</f>
        <v/>
      </c>
      <c r="Q174" s="110" t="str">
        <f>IFERROR(INDEX('WetLitterbags placem_collection'!$A$3:$A$500,MATCH(A174,'WetLitterbags placem_collection'!$Q$4:$Q$500,0)),"")</f>
        <v/>
      </c>
    </row>
    <row r="175" spans="1:17" ht="13.95" customHeight="1">
      <c r="A175" s="110" t="s">
        <v>1469</v>
      </c>
      <c r="B175" s="110">
        <v>214</v>
      </c>
      <c r="C175" s="110">
        <v>0.63400000000000001</v>
      </c>
      <c r="E175" s="112">
        <v>42878</v>
      </c>
      <c r="N175" s="110" t="str">
        <f>IFERROR(INDEX('WetLitterbags placem_collection'!$A$3:$A$500,MATCH(A175,'WetLitterbags placem_collection'!$K$4:$K$500,0)),"")</f>
        <v/>
      </c>
      <c r="O175" s="110">
        <f>IFERROR(INDEX('WetLitterbags placem_collection'!$A$3:$A$500,MATCH(A175,'WetLitterbags placem_collection'!$O$4:$O$500,0)),"")</f>
        <v>213</v>
      </c>
      <c r="P175" s="110" t="str">
        <f>IFERROR(INDEX('WetLitterbags placem_collection'!$A$3:$A$500,MATCH(A175,'WetLitterbags placem_collection'!$M$4:$M$500,0)),"")</f>
        <v/>
      </c>
      <c r="Q175" s="110" t="str">
        <f>IFERROR(INDEX('WetLitterbags placem_collection'!$A$3:$A$500,MATCH(A175,'WetLitterbags placem_collection'!$Q$4:$Q$500,0)),"")</f>
        <v/>
      </c>
    </row>
    <row r="176" spans="1:17" ht="13.95" customHeight="1">
      <c r="A176" s="110" t="s">
        <v>1468</v>
      </c>
      <c r="B176" s="110">
        <v>40</v>
      </c>
      <c r="C176" s="110">
        <v>0.89800000000000002</v>
      </c>
      <c r="E176" s="112">
        <v>42881</v>
      </c>
      <c r="N176" s="110">
        <f>IFERROR(INDEX('WetLitterbags placem_collection'!$A$3:$A$500,MATCH(A176,'WetLitterbags placem_collection'!$K$4:$K$500,0)),"")</f>
        <v>39</v>
      </c>
      <c r="O176" s="110" t="str">
        <f>IFERROR(INDEX('WetLitterbags placem_collection'!$A$3:$A$500,MATCH(A176,'WetLitterbags placem_collection'!$O$4:$O$500,0)),"")</f>
        <v/>
      </c>
      <c r="P176" s="110" t="str">
        <f>IFERROR(INDEX('WetLitterbags placem_collection'!$A$3:$A$500,MATCH(A176,'WetLitterbags placem_collection'!$M$4:$M$500,0)),"")</f>
        <v/>
      </c>
      <c r="Q176" s="110" t="str">
        <f>IFERROR(INDEX('WetLitterbags placem_collection'!$A$3:$A$500,MATCH(A176,'WetLitterbags placem_collection'!$Q$4:$Q$500,0)),"")</f>
        <v/>
      </c>
    </row>
    <row r="177" spans="1:17" ht="13.95" customHeight="1">
      <c r="A177" s="110" t="s">
        <v>1467</v>
      </c>
      <c r="B177" s="110" t="s">
        <v>2077</v>
      </c>
      <c r="C177" s="110">
        <v>0.66169999999999995</v>
      </c>
      <c r="E177" s="112">
        <v>43122</v>
      </c>
      <c r="N177" s="110">
        <f>IFERROR(INDEX('WetLitterbags placem_collection'!$A$3:$A$500,MATCH(A177,'WetLitterbags placem_collection'!$K$4:$K$500,0)),"")</f>
        <v>26</v>
      </c>
      <c r="O177" s="110" t="str">
        <f>IFERROR(INDEX('WetLitterbags placem_collection'!$A$3:$A$500,MATCH(A177,'WetLitterbags placem_collection'!$O$4:$O$500,0)),"")</f>
        <v/>
      </c>
      <c r="P177" s="110" t="str">
        <f>IFERROR(INDEX('WetLitterbags placem_collection'!$A$3:$A$500,MATCH(A177,'WetLitterbags placem_collection'!$M$4:$M$500,0)),"")</f>
        <v/>
      </c>
      <c r="Q177" s="110" t="str">
        <f>IFERROR(INDEX('WetLitterbags placem_collection'!$A$3:$A$500,MATCH(A177,'WetLitterbags placem_collection'!$Q$4:$Q$500,0)),"")</f>
        <v/>
      </c>
    </row>
    <row r="178" spans="1:17" ht="13.95" customHeight="1">
      <c r="A178" s="110" t="s">
        <v>1466</v>
      </c>
      <c r="B178" s="110" t="s">
        <v>2077</v>
      </c>
      <c r="C178" s="110">
        <v>0.63959999999999995</v>
      </c>
      <c r="E178" s="112">
        <v>43122</v>
      </c>
      <c r="N178" s="110" t="str">
        <f>IFERROR(INDEX('WetLitterbags placem_collection'!$A$3:$A$500,MATCH(A178,'WetLitterbags placem_collection'!$K$4:$K$500,0)),"")</f>
        <v/>
      </c>
      <c r="O178" s="110">
        <f>IFERROR(INDEX('WetLitterbags placem_collection'!$A$3:$A$500,MATCH(A178,'WetLitterbags placem_collection'!$O$4:$O$500,0)),"")</f>
        <v>192</v>
      </c>
      <c r="P178" s="110" t="str">
        <f>IFERROR(INDEX('WetLitterbags placem_collection'!$A$3:$A$500,MATCH(A178,'WetLitterbags placem_collection'!$M$4:$M$500,0)),"")</f>
        <v/>
      </c>
      <c r="Q178" s="110" t="str">
        <f>IFERROR(INDEX('WetLitterbags placem_collection'!$A$3:$A$500,MATCH(A178,'WetLitterbags placem_collection'!$Q$4:$Q$500,0)),"")</f>
        <v/>
      </c>
    </row>
    <row r="179" spans="1:17" ht="13.95" customHeight="1">
      <c r="A179" s="110" t="s">
        <v>1465</v>
      </c>
      <c r="B179" s="110">
        <v>183</v>
      </c>
      <c r="C179" s="110">
        <v>0.71799999999999997</v>
      </c>
      <c r="E179" s="112">
        <v>42881</v>
      </c>
      <c r="N179" s="110">
        <f>IFERROR(INDEX('WetLitterbags placem_collection'!$A$3:$A$500,MATCH(A179,'WetLitterbags placem_collection'!$K$4:$K$500,0)),"")</f>
        <v>182</v>
      </c>
      <c r="O179" s="110" t="str">
        <f>IFERROR(INDEX('WetLitterbags placem_collection'!$A$3:$A$500,MATCH(A179,'WetLitterbags placem_collection'!$O$4:$O$500,0)),"")</f>
        <v/>
      </c>
      <c r="P179" s="110" t="str">
        <f>IFERROR(INDEX('WetLitterbags placem_collection'!$A$3:$A$500,MATCH(A179,'WetLitterbags placem_collection'!$M$4:$M$500,0)),"")</f>
        <v/>
      </c>
      <c r="Q179" s="110" t="str">
        <f>IFERROR(INDEX('WetLitterbags placem_collection'!$A$3:$A$500,MATCH(A179,'WetLitterbags placem_collection'!$Q$4:$Q$500,0)),"")</f>
        <v/>
      </c>
    </row>
    <row r="180" spans="1:17" ht="13.95" customHeight="1">
      <c r="A180" s="110" t="s">
        <v>1463</v>
      </c>
      <c r="B180" s="110" t="s">
        <v>2077</v>
      </c>
      <c r="C180" s="110">
        <v>0.7167</v>
      </c>
      <c r="E180" s="112">
        <v>43122</v>
      </c>
      <c r="N180" s="110" t="str">
        <f>IFERROR(INDEX('WetLitterbags placem_collection'!$A$3:$A$500,MATCH(A180,'WetLitterbags placem_collection'!$K$4:$K$500,0)),"")</f>
        <v/>
      </c>
      <c r="O180" s="110">
        <f>IFERROR(INDEX('WetLitterbags placem_collection'!$A$3:$A$500,MATCH(A180,'WetLitterbags placem_collection'!$O$4:$O$500,0)),"")</f>
        <v>217</v>
      </c>
      <c r="P180" s="110" t="str">
        <f>IFERROR(INDEX('WetLitterbags placem_collection'!$A$3:$A$500,MATCH(A180,'WetLitterbags placem_collection'!$M$4:$M$500,0)),"")</f>
        <v/>
      </c>
      <c r="Q180" s="110" t="str">
        <f>IFERROR(INDEX('WetLitterbags placem_collection'!$A$3:$A$500,MATCH(A180,'WetLitterbags placem_collection'!$Q$4:$Q$500,0)),"")</f>
        <v/>
      </c>
    </row>
    <row r="181" spans="1:17" ht="13.95" customHeight="1">
      <c r="A181" s="110" t="s">
        <v>1459</v>
      </c>
      <c r="B181" s="110">
        <v>192</v>
      </c>
      <c r="C181" s="110">
        <v>0.66100000000000003</v>
      </c>
      <c r="E181" s="112">
        <v>42881</v>
      </c>
      <c r="N181" s="110">
        <f>IFERROR(INDEX('WetLitterbags placem_collection'!$A$3:$A$500,MATCH(A181,'WetLitterbags placem_collection'!$K$4:$K$500,0)),"")</f>
        <v>191</v>
      </c>
      <c r="O181" s="110" t="str">
        <f>IFERROR(INDEX('WetLitterbags placem_collection'!$A$3:$A$500,MATCH(A181,'WetLitterbags placem_collection'!$O$4:$O$500,0)),"")</f>
        <v/>
      </c>
      <c r="P181" s="110" t="str">
        <f>IFERROR(INDEX('WetLitterbags placem_collection'!$A$3:$A$500,MATCH(A181,'WetLitterbags placem_collection'!$M$4:$M$500,0)),"")</f>
        <v/>
      </c>
      <c r="Q181" s="110" t="str">
        <f>IFERROR(INDEX('WetLitterbags placem_collection'!$A$3:$A$500,MATCH(A181,'WetLitterbags placem_collection'!$Q$4:$Q$500,0)),"")</f>
        <v/>
      </c>
    </row>
    <row r="182" spans="1:17" ht="13.95" customHeight="1">
      <c r="A182" s="110" t="s">
        <v>1458</v>
      </c>
      <c r="B182" s="110">
        <v>90</v>
      </c>
      <c r="C182" s="110">
        <v>1.0779000000000001</v>
      </c>
      <c r="D182" s="167" t="s">
        <v>2469</v>
      </c>
      <c r="E182" s="112">
        <v>43125</v>
      </c>
      <c r="N182" s="110">
        <f>IFERROR(INDEX('WetLitterbags placem_collection'!$A$3:$A$500,MATCH(A182,'WetLitterbags placem_collection'!$K$4:$K$500,0)),"")</f>
        <v>89</v>
      </c>
      <c r="O182" s="110" t="str">
        <f>IFERROR(INDEX('WetLitterbags placem_collection'!$A$3:$A$500,MATCH(A182,'WetLitterbags placem_collection'!$O$4:$O$500,0)),"")</f>
        <v/>
      </c>
      <c r="P182" s="110" t="str">
        <f>IFERROR(INDEX('WetLitterbags placem_collection'!$A$3:$A$500,MATCH(A182,'WetLitterbags placem_collection'!$M$4:$M$500,0)),"")</f>
        <v/>
      </c>
      <c r="Q182" s="110" t="str">
        <f>IFERROR(INDEX('WetLitterbags placem_collection'!$A$3:$A$500,MATCH(A182,'WetLitterbags placem_collection'!$Q$4:$Q$500,0)),"")</f>
        <v/>
      </c>
    </row>
    <row r="183" spans="1:17" ht="13.95" customHeight="1">
      <c r="A183" s="110" t="s">
        <v>1457</v>
      </c>
      <c r="B183" s="110">
        <v>58</v>
      </c>
      <c r="C183" s="110">
        <v>0.97009999999999996</v>
      </c>
      <c r="E183" s="112">
        <v>43123</v>
      </c>
      <c r="N183" s="110" t="str">
        <f>IFERROR(INDEX('WetLitterbags placem_collection'!$A$3:$A$500,MATCH(A183,'WetLitterbags placem_collection'!$K$4:$K$500,0)),"")</f>
        <v/>
      </c>
      <c r="O183" s="110">
        <f>IFERROR(INDEX('WetLitterbags placem_collection'!$A$3:$A$500,MATCH(A183,'WetLitterbags placem_collection'!$O$4:$O$500,0)),"")</f>
        <v>57</v>
      </c>
      <c r="P183" s="110" t="str">
        <f>IFERROR(INDEX('WetLitterbags placem_collection'!$A$3:$A$500,MATCH(A183,'WetLitterbags placem_collection'!$M$4:$M$500,0)),"")</f>
        <v/>
      </c>
      <c r="Q183" s="110" t="str">
        <f>IFERROR(INDEX('WetLitterbags placem_collection'!$A$3:$A$500,MATCH(A183,'WetLitterbags placem_collection'!$Q$4:$Q$500,0)),"")</f>
        <v/>
      </c>
    </row>
    <row r="184" spans="1:17" ht="13.95" customHeight="1">
      <c r="A184" s="110" t="s">
        <v>1456</v>
      </c>
      <c r="B184" s="110">
        <v>77</v>
      </c>
      <c r="C184" s="110">
        <v>0.94699999999999995</v>
      </c>
      <c r="E184" s="112">
        <v>42879</v>
      </c>
      <c r="N184" s="110">
        <f>IFERROR(INDEX('WetLitterbags placem_collection'!$A$3:$A$500,MATCH(A184,'WetLitterbags placem_collection'!$K$4:$K$500,0)),"")</f>
        <v>76</v>
      </c>
      <c r="O184" s="110" t="str">
        <f>IFERROR(INDEX('WetLitterbags placem_collection'!$A$3:$A$500,MATCH(A184,'WetLitterbags placem_collection'!$O$4:$O$500,0)),"")</f>
        <v/>
      </c>
      <c r="P184" s="110" t="str">
        <f>IFERROR(INDEX('WetLitterbags placem_collection'!$A$3:$A$500,MATCH(A184,'WetLitterbags placem_collection'!$M$4:$M$500,0)),"")</f>
        <v/>
      </c>
      <c r="Q184" s="110" t="str">
        <f>IFERROR(INDEX('WetLitterbags placem_collection'!$A$3:$A$500,MATCH(A184,'WetLitterbags placem_collection'!$Q$4:$Q$500,0)),"")</f>
        <v/>
      </c>
    </row>
    <row r="185" spans="1:17" ht="13.95" customHeight="1">
      <c r="A185" s="110" t="s">
        <v>1455</v>
      </c>
      <c r="B185" s="110" t="s">
        <v>2083</v>
      </c>
      <c r="C185" s="110">
        <v>0.62809999999999999</v>
      </c>
      <c r="D185" s="110" t="s">
        <v>2091</v>
      </c>
      <c r="E185" s="112">
        <v>43125</v>
      </c>
      <c r="G185"/>
      <c r="N185" s="110">
        <f>IFERROR(INDEX('WetLitterbags placem_collection'!$A$3:$A$500,MATCH(A185,'WetLitterbags placem_collection'!$K$4:$K$500,0)),"")</f>
        <v>12</v>
      </c>
      <c r="O185" s="110" t="str">
        <f>IFERROR(INDEX('WetLitterbags placem_collection'!$A$3:$A$500,MATCH(A185,'WetLitterbags placem_collection'!$O$4:$O$500,0)),"")</f>
        <v/>
      </c>
      <c r="P185" s="110" t="str">
        <f>IFERROR(INDEX('WetLitterbags placem_collection'!$A$3:$A$500,MATCH(A185,'WetLitterbags placem_collection'!$M$4:$M$500,0)),"")</f>
        <v/>
      </c>
      <c r="Q185" s="110" t="str">
        <f>IFERROR(INDEX('WetLitterbags placem_collection'!$A$3:$A$500,MATCH(A185,'WetLitterbags placem_collection'!$Q$4:$Q$500,0)),"")</f>
        <v/>
      </c>
    </row>
    <row r="186" spans="1:17" ht="13.95" customHeight="1">
      <c r="A186" s="110" t="s">
        <v>1451</v>
      </c>
      <c r="B186" s="110">
        <v>52</v>
      </c>
      <c r="C186" s="110">
        <v>0.88200000000000001</v>
      </c>
      <c r="E186" s="112">
        <v>42878</v>
      </c>
      <c r="G186"/>
      <c r="N186" s="110" t="str">
        <f>IFERROR(INDEX('WetLitterbags placem_collection'!$A$3:$A$500,MATCH(A186,'WetLitterbags placem_collection'!$K$4:$K$500,0)),"")</f>
        <v/>
      </c>
      <c r="O186" s="110">
        <f>IFERROR(INDEX('WetLitterbags placem_collection'!$A$3:$A$500,MATCH(A186,'WetLitterbags placem_collection'!$O$4:$O$500,0)),"")</f>
        <v>51</v>
      </c>
      <c r="P186" s="110" t="str">
        <f>IFERROR(INDEX('WetLitterbags placem_collection'!$A$3:$A$500,MATCH(A186,'WetLitterbags placem_collection'!$M$4:$M$500,0)),"")</f>
        <v/>
      </c>
      <c r="Q186" s="110" t="str">
        <f>IFERROR(INDEX('WetLitterbags placem_collection'!$A$3:$A$500,MATCH(A186,'WetLitterbags placem_collection'!$Q$4:$Q$500,0)),"")</f>
        <v/>
      </c>
    </row>
    <row r="187" spans="1:17" ht="13.95" customHeight="1">
      <c r="A187" s="110" t="s">
        <v>1450</v>
      </c>
      <c r="B187">
        <v>59</v>
      </c>
      <c r="C187" s="110">
        <v>0.90200000000000002</v>
      </c>
      <c r="E187" s="112">
        <v>42878</v>
      </c>
      <c r="G187"/>
      <c r="N187" s="110" t="str">
        <f>IFERROR(INDEX('WetLitterbags placem_collection'!$A$3:$A$500,MATCH(A187,'WetLitterbags placem_collection'!$K$4:$K$500,0)),"")</f>
        <v/>
      </c>
      <c r="O187" s="110">
        <f>IFERROR(INDEX('WetLitterbags placem_collection'!$A$3:$A$500,MATCH(A187,'WetLitterbags placem_collection'!$O$4:$O$500,0)),"")</f>
        <v>58</v>
      </c>
      <c r="P187" s="110" t="str">
        <f>IFERROR(INDEX('WetLitterbags placem_collection'!$A$3:$A$500,MATCH(A187,'WetLitterbags placem_collection'!$M$4:$M$500,0)),"")</f>
        <v/>
      </c>
      <c r="Q187" s="110" t="str">
        <f>IFERROR(INDEX('WetLitterbags placem_collection'!$A$3:$A$500,MATCH(A187,'WetLitterbags placem_collection'!$Q$4:$Q$500,0)),"")</f>
        <v/>
      </c>
    </row>
    <row r="188" spans="1:17" ht="13.95" customHeight="1">
      <c r="A188" s="110" t="s">
        <v>1448</v>
      </c>
      <c r="B188" s="110">
        <v>45</v>
      </c>
      <c r="C188" s="110">
        <v>0.77400000000000002</v>
      </c>
      <c r="E188" s="112">
        <v>43123</v>
      </c>
      <c r="G188"/>
      <c r="N188" s="110" t="str">
        <f>IFERROR(INDEX('WetLitterbags placem_collection'!$A$3:$A$500,MATCH(A188,'WetLitterbags placem_collection'!$K$4:$K$500,0)),"")</f>
        <v/>
      </c>
      <c r="O188" s="110">
        <f>IFERROR(INDEX('WetLitterbags placem_collection'!$A$3:$A$500,MATCH(A188,'WetLitterbags placem_collection'!$O$4:$O$500,0)),"")</f>
        <v>44</v>
      </c>
      <c r="P188" s="110" t="str">
        <f>IFERROR(INDEX('WetLitterbags placem_collection'!$A$3:$A$500,MATCH(A188,'WetLitterbags placem_collection'!$M$4:$M$500,0)),"")</f>
        <v/>
      </c>
      <c r="Q188" s="110" t="str">
        <f>IFERROR(INDEX('WetLitterbags placem_collection'!$A$3:$A$500,MATCH(A188,'WetLitterbags placem_collection'!$Q$4:$Q$500,0)),"")</f>
        <v/>
      </c>
    </row>
    <row r="189" spans="1:17" ht="13.95" customHeight="1">
      <c r="A189" s="110" t="s">
        <v>1447</v>
      </c>
      <c r="B189" s="110">
        <v>75</v>
      </c>
      <c r="C189" s="110">
        <v>0.82299999999999995</v>
      </c>
      <c r="E189" s="112">
        <v>42881</v>
      </c>
      <c r="G189" s="180" t="s">
        <v>2066</v>
      </c>
      <c r="N189" s="110" t="str">
        <f>IFERROR(INDEX('WetLitterbags placem_collection'!$A$3:$A$500,MATCH(A189,'WetLitterbags placem_collection'!$K$4:$K$500,0)),"")</f>
        <v/>
      </c>
      <c r="O189" s="110">
        <f>IFERROR(INDEX('WetLitterbags placem_collection'!$A$3:$A$500,MATCH(A189,'WetLitterbags placem_collection'!$O$4:$O$500,0)),"")</f>
        <v>75</v>
      </c>
      <c r="P189" s="110" t="str">
        <f>IFERROR(INDEX('WetLitterbags placem_collection'!$A$3:$A$500,MATCH(A189,'WetLitterbags placem_collection'!$M$4:$M$500,0)),"")</f>
        <v/>
      </c>
      <c r="Q189" s="110" t="str">
        <f>IFERROR(INDEX('WetLitterbags placem_collection'!$A$3:$A$500,MATCH(A189,'WetLitterbags placem_collection'!$Q$4:$Q$500,0)),"")</f>
        <v/>
      </c>
    </row>
    <row r="190" spans="1:17" ht="13.95" customHeight="1">
      <c r="A190" s="110" t="s">
        <v>1446</v>
      </c>
      <c r="B190" s="110">
        <v>209</v>
      </c>
      <c r="C190" s="110">
        <v>0.748</v>
      </c>
      <c r="E190" s="112">
        <v>42878</v>
      </c>
      <c r="G190" s="180" t="s">
        <v>2066</v>
      </c>
      <c r="N190" s="110">
        <f>IFERROR(INDEX('WetLitterbags placem_collection'!$A$3:$A$500,MATCH(A190,'WetLitterbags placem_collection'!$K$4:$K$500,0)),"")</f>
        <v>208</v>
      </c>
      <c r="O190" s="110" t="str">
        <f>IFERROR(INDEX('WetLitterbags placem_collection'!$A$3:$A$500,MATCH(A190,'WetLitterbags placem_collection'!$O$4:$O$500,0)),"")</f>
        <v/>
      </c>
      <c r="P190" s="110" t="str">
        <f>IFERROR(INDEX('WetLitterbags placem_collection'!$A$3:$A$500,MATCH(A190,'WetLitterbags placem_collection'!$M$4:$M$500,0)),"")</f>
        <v/>
      </c>
      <c r="Q190" s="110" t="str">
        <f>IFERROR(INDEX('WetLitterbags placem_collection'!$A$3:$A$500,MATCH(A190,'WetLitterbags placem_collection'!$Q$4:$Q$500,0)),"")</f>
        <v/>
      </c>
    </row>
    <row r="191" spans="1:17" ht="13.95" customHeight="1">
      <c r="A191" s="110" t="s">
        <v>1445</v>
      </c>
      <c r="B191" s="110">
        <v>74</v>
      </c>
      <c r="C191" s="110">
        <v>1.1950000000000001</v>
      </c>
      <c r="D191" s="110" t="s">
        <v>2073</v>
      </c>
      <c r="E191" s="112">
        <v>42879</v>
      </c>
      <c r="G191" s="113" t="s">
        <v>2066</v>
      </c>
      <c r="H191" s="113"/>
      <c r="I191" s="113"/>
      <c r="N191" s="110">
        <f>IFERROR(INDEX('WetLitterbags placem_collection'!$A$3:$A$500,MATCH(A191,'WetLitterbags placem_collection'!$K$4:$K$500,0)),"")</f>
        <v>73</v>
      </c>
      <c r="O191" s="110" t="str">
        <f>IFERROR(INDEX('WetLitterbags placem_collection'!$A$3:$A$500,MATCH(A191,'WetLitterbags placem_collection'!$O$4:$O$500,0)),"")</f>
        <v/>
      </c>
      <c r="P191" s="110" t="str">
        <f>IFERROR(INDEX('WetLitterbags placem_collection'!$A$3:$A$500,MATCH(A191,'WetLitterbags placem_collection'!$M$4:$M$500,0)),"")</f>
        <v/>
      </c>
      <c r="Q191" s="110" t="str">
        <f>IFERROR(INDEX('WetLitterbags placem_collection'!$A$3:$A$500,MATCH(A191,'WetLitterbags placem_collection'!$Q$4:$Q$500,0)),"")</f>
        <v/>
      </c>
    </row>
    <row r="192" spans="1:17" ht="13.95" customHeight="1">
      <c r="A192" s="110" t="s">
        <v>1444</v>
      </c>
      <c r="B192" s="110" t="s">
        <v>2077</v>
      </c>
      <c r="C192" s="110">
        <v>0.63539999999999996</v>
      </c>
      <c r="E192" s="112">
        <v>43122</v>
      </c>
      <c r="N192" s="110" t="str">
        <f>IFERROR(INDEX('WetLitterbags placem_collection'!$A$3:$A$500,MATCH(A192,'WetLitterbags placem_collection'!$K$4:$K$500,0)),"")</f>
        <v/>
      </c>
      <c r="O192" s="110">
        <f>IFERROR(INDEX('WetLitterbags placem_collection'!$A$3:$A$500,MATCH(A192,'WetLitterbags placem_collection'!$O$4:$O$500,0)),"")</f>
        <v>9</v>
      </c>
      <c r="P192" s="110" t="str">
        <f>IFERROR(INDEX('WetLitterbags placem_collection'!$A$3:$A$500,MATCH(A192,'WetLitterbags placem_collection'!$M$4:$M$500,0)),"")</f>
        <v/>
      </c>
      <c r="Q192" s="110" t="str">
        <f>IFERROR(INDEX('WetLitterbags placem_collection'!$A$3:$A$500,MATCH(A192,'WetLitterbags placem_collection'!$Q$4:$Q$500,0)),"")</f>
        <v/>
      </c>
    </row>
    <row r="193" spans="1:17" ht="13.95" customHeight="1">
      <c r="A193" s="113" t="s">
        <v>1443</v>
      </c>
      <c r="B193" s="113">
        <v>80</v>
      </c>
      <c r="C193" s="113">
        <v>0.92400000000000004</v>
      </c>
      <c r="D193" s="113" t="s">
        <v>2143</v>
      </c>
      <c r="E193" s="112">
        <v>42878</v>
      </c>
      <c r="N193" s="110">
        <f>IFERROR(INDEX('WetLitterbags placem_collection'!$A$3:$A$500,MATCH(A193,'WetLitterbags placem_collection'!$K$4:$K$500,0)),"")</f>
        <v>79</v>
      </c>
      <c r="O193" s="110" t="str">
        <f>IFERROR(INDEX('WetLitterbags placem_collection'!$A$3:$A$500,MATCH(A193,'WetLitterbags placem_collection'!$O$4:$O$500,0)),"")</f>
        <v/>
      </c>
      <c r="P193" s="110" t="str">
        <f>IFERROR(INDEX('WetLitterbags placem_collection'!$A$3:$A$500,MATCH(A193,'WetLitterbags placem_collection'!$M$4:$M$500,0)),"")</f>
        <v/>
      </c>
      <c r="Q193" s="110" t="str">
        <f>IFERROR(INDEX('WetLitterbags placem_collection'!$A$3:$A$500,MATCH(A193,'WetLitterbags placem_collection'!$Q$4:$Q$500,0)),"")</f>
        <v/>
      </c>
    </row>
    <row r="194" spans="1:17" ht="13.95" customHeight="1">
      <c r="A194" s="110" t="s">
        <v>1441</v>
      </c>
      <c r="B194" s="110">
        <v>14</v>
      </c>
      <c r="C194" s="110">
        <v>0.498</v>
      </c>
      <c r="E194" s="112">
        <v>42881</v>
      </c>
      <c r="N194" s="110">
        <f>IFERROR(INDEX('WetLitterbags placem_collection'!$A$3:$A$500,MATCH(A194,'WetLitterbags placem_collection'!$K$4:$K$500,0)),"")</f>
        <v>13</v>
      </c>
      <c r="O194" s="110" t="str">
        <f>IFERROR(INDEX('WetLitterbags placem_collection'!$A$3:$A$500,MATCH(A194,'WetLitterbags placem_collection'!$O$4:$O$500,0)),"")</f>
        <v/>
      </c>
      <c r="P194" s="110" t="str">
        <f>IFERROR(INDEX('WetLitterbags placem_collection'!$A$3:$A$500,MATCH(A194,'WetLitterbags placem_collection'!$M$4:$M$500,0)),"")</f>
        <v/>
      </c>
      <c r="Q194" s="110" t="str">
        <f>IFERROR(INDEX('WetLitterbags placem_collection'!$A$3:$A$500,MATCH(A194,'WetLitterbags placem_collection'!$Q$4:$Q$500,0)),"")</f>
        <v/>
      </c>
    </row>
    <row r="195" spans="1:17" ht="13.95" customHeight="1">
      <c r="A195" s="110" t="s">
        <v>1440</v>
      </c>
      <c r="B195" s="110">
        <v>98</v>
      </c>
      <c r="C195" s="110">
        <v>0.56599999999999995</v>
      </c>
      <c r="E195" s="112">
        <v>42881</v>
      </c>
      <c r="N195" s="110">
        <f>IFERROR(INDEX('WetLitterbags placem_collection'!$A$3:$A$500,MATCH(A195,'WetLitterbags placem_collection'!$K$4:$K$500,0)),"")</f>
        <v>97</v>
      </c>
      <c r="O195" s="110" t="str">
        <f>IFERROR(INDEX('WetLitterbags placem_collection'!$A$3:$A$500,MATCH(A195,'WetLitterbags placem_collection'!$O$4:$O$500,0)),"")</f>
        <v/>
      </c>
      <c r="P195" s="110" t="str">
        <f>IFERROR(INDEX('WetLitterbags placem_collection'!$A$3:$A$500,MATCH(A195,'WetLitterbags placem_collection'!$M$4:$M$500,0)),"")</f>
        <v/>
      </c>
      <c r="Q195" s="110" t="str">
        <f>IFERROR(INDEX('WetLitterbags placem_collection'!$A$3:$A$500,MATCH(A195,'WetLitterbags placem_collection'!$Q$4:$Q$500,0)),"")</f>
        <v/>
      </c>
    </row>
    <row r="196" spans="1:17" ht="13.95" customHeight="1">
      <c r="A196" s="110" t="s">
        <v>1437</v>
      </c>
      <c r="B196" s="110">
        <v>216</v>
      </c>
      <c r="C196" s="110">
        <v>0.82499999999999996</v>
      </c>
      <c r="E196" s="112">
        <v>42879</v>
      </c>
      <c r="N196" s="110" t="str">
        <f>IFERROR(INDEX('WetLitterbags placem_collection'!$A$3:$A$500,MATCH(A196,'WetLitterbags placem_collection'!$K$4:$K$500,0)),"")</f>
        <v/>
      </c>
      <c r="O196" s="110">
        <f>IFERROR(INDEX('WetLitterbags placem_collection'!$A$3:$A$500,MATCH(A196,'WetLitterbags placem_collection'!$O$4:$O$500,0)),"")</f>
        <v>215</v>
      </c>
      <c r="P196" s="110" t="str">
        <f>IFERROR(INDEX('WetLitterbags placem_collection'!$A$3:$A$500,MATCH(A196,'WetLitterbags placem_collection'!$M$4:$M$500,0)),"")</f>
        <v/>
      </c>
      <c r="Q196" s="110" t="str">
        <f>IFERROR(INDEX('WetLitterbags placem_collection'!$A$3:$A$500,MATCH(A196,'WetLitterbags placem_collection'!$Q$4:$Q$500,0)),"")</f>
        <v/>
      </c>
    </row>
    <row r="197" spans="1:17" ht="13.95" customHeight="1">
      <c r="A197" s="110" t="s">
        <v>1436</v>
      </c>
      <c r="B197" s="110">
        <v>65</v>
      </c>
      <c r="C197" s="110">
        <v>0.96099999999999997</v>
      </c>
      <c r="E197" s="112">
        <v>42879</v>
      </c>
      <c r="N197" s="110">
        <f>IFERROR(INDEX('WetLitterbags placem_collection'!$A$3:$A$500,MATCH(A197,'WetLitterbags placem_collection'!$K$4:$K$500,0)),"")</f>
        <v>64</v>
      </c>
      <c r="O197" s="110" t="str">
        <f>IFERROR(INDEX('WetLitterbags placem_collection'!$A$3:$A$500,MATCH(A197,'WetLitterbags placem_collection'!$O$4:$O$500,0)),"")</f>
        <v/>
      </c>
      <c r="P197" s="110" t="str">
        <f>IFERROR(INDEX('WetLitterbags placem_collection'!$A$3:$A$500,MATCH(A197,'WetLitterbags placem_collection'!$M$4:$M$500,0)),"")</f>
        <v/>
      </c>
      <c r="Q197" s="110" t="str">
        <f>IFERROR(INDEX('WetLitterbags placem_collection'!$A$3:$A$500,MATCH(A197,'WetLitterbags placem_collection'!$Q$4:$Q$500,0)),"")</f>
        <v/>
      </c>
    </row>
    <row r="198" spans="1:17" ht="13.95" customHeight="1">
      <c r="A198" s="179" t="s">
        <v>1434</v>
      </c>
      <c r="B198" s="110">
        <v>55</v>
      </c>
      <c r="C198" s="110">
        <v>0.93200000000000005</v>
      </c>
      <c r="D198" s="110" t="s">
        <v>2132</v>
      </c>
      <c r="E198" s="112">
        <v>42878</v>
      </c>
      <c r="N198" s="110" t="str">
        <f>IFERROR(INDEX('WetLitterbags placem_collection'!$A$3:$A$500,MATCH(A198,'WetLitterbags placem_collection'!$K$4:$K$500,0)),"")</f>
        <v/>
      </c>
      <c r="O198" s="110">
        <f>IFERROR(INDEX('WetLitterbags placem_collection'!$A$3:$A$500,MATCH(A198,'WetLitterbags placem_collection'!$O$4:$O$500,0)),"")</f>
        <v>54</v>
      </c>
      <c r="P198" s="110" t="str">
        <f>IFERROR(INDEX('WetLitterbags placem_collection'!$A$3:$A$500,MATCH(A198,'WetLitterbags placem_collection'!$M$4:$M$500,0)),"")</f>
        <v/>
      </c>
      <c r="Q198" s="110" t="str">
        <f>IFERROR(INDEX('WetLitterbags placem_collection'!$A$3:$A$500,MATCH(A198,'WetLitterbags placem_collection'!$Q$4:$Q$500,0)),"")</f>
        <v/>
      </c>
    </row>
    <row r="199" spans="1:17" ht="13.95" customHeight="1">
      <c r="A199" s="110" t="s">
        <v>1432</v>
      </c>
      <c r="B199" s="110">
        <v>57</v>
      </c>
      <c r="C199" s="110">
        <v>0.88129999999999997</v>
      </c>
      <c r="E199" s="112">
        <v>43119</v>
      </c>
      <c r="N199" s="110" t="str">
        <f>IFERROR(INDEX('WetLitterbags placem_collection'!$A$3:$A$500,MATCH(A199,'WetLitterbags placem_collection'!$K$4:$K$500,0)),"")</f>
        <v/>
      </c>
      <c r="O199" s="110">
        <f>IFERROR(INDEX('WetLitterbags placem_collection'!$A$3:$A$500,MATCH(A199,'WetLitterbags placem_collection'!$O$4:$O$500,0)),"")</f>
        <v>56</v>
      </c>
      <c r="P199" s="110" t="str">
        <f>IFERROR(INDEX('WetLitterbags placem_collection'!$A$3:$A$500,MATCH(A199,'WetLitterbags placem_collection'!$M$4:$M$500,0)),"")</f>
        <v/>
      </c>
      <c r="Q199" s="110" t="str">
        <f>IFERROR(INDEX('WetLitterbags placem_collection'!$A$3:$A$500,MATCH(A199,'WetLitterbags placem_collection'!$Q$4:$Q$500,0)),"")</f>
        <v/>
      </c>
    </row>
    <row r="200" spans="1:17" ht="13.95" customHeight="1">
      <c r="A200" s="110" t="s">
        <v>1431</v>
      </c>
      <c r="B200" s="110">
        <v>40</v>
      </c>
      <c r="C200" s="110">
        <v>0.70599999999999996</v>
      </c>
      <c r="E200" s="112">
        <v>42881</v>
      </c>
      <c r="N200" s="110" t="str">
        <f>IFERROR(INDEX('WetLitterbags placem_collection'!$A$3:$A$500,MATCH(A200,'WetLitterbags placem_collection'!$K$4:$K$500,0)),"")</f>
        <v/>
      </c>
      <c r="O200" s="110">
        <f>IFERROR(INDEX('WetLitterbags placem_collection'!$A$3:$A$500,MATCH(A200,'WetLitterbags placem_collection'!$O$4:$O$500,0)),"")</f>
        <v>39</v>
      </c>
      <c r="P200" s="110" t="str">
        <f>IFERROR(INDEX('WetLitterbags placem_collection'!$A$3:$A$500,MATCH(A200,'WetLitterbags placem_collection'!$M$4:$M$500,0)),"")</f>
        <v/>
      </c>
      <c r="Q200" s="110" t="str">
        <f>IFERROR(INDEX('WetLitterbags placem_collection'!$A$3:$A$500,MATCH(A200,'WetLitterbags placem_collection'!$Q$4:$Q$500,0)),"")</f>
        <v/>
      </c>
    </row>
    <row r="201" spans="1:17" ht="13.95" customHeight="1">
      <c r="A201" s="110" t="s">
        <v>1430</v>
      </c>
      <c r="B201" s="110" t="s">
        <v>2077</v>
      </c>
      <c r="C201" s="110">
        <v>0.59950000000000003</v>
      </c>
      <c r="E201" s="112">
        <v>43116</v>
      </c>
      <c r="N201" s="110">
        <f>IFERROR(INDEX('WetLitterbags placem_collection'!$A$3:$A$500,MATCH(A201,'WetLitterbags placem_collection'!$K$4:$K$500,0)),"")</f>
        <v>186</v>
      </c>
      <c r="O201" s="110" t="str">
        <f>IFERROR(INDEX('WetLitterbags placem_collection'!$A$3:$A$500,MATCH(A201,'WetLitterbags placem_collection'!$O$4:$O$500,0)),"")</f>
        <v/>
      </c>
      <c r="P201" s="110" t="str">
        <f>IFERROR(INDEX('WetLitterbags placem_collection'!$A$3:$A$500,MATCH(A201,'WetLitterbags placem_collection'!$M$4:$M$500,0)),"")</f>
        <v/>
      </c>
      <c r="Q201" s="110" t="str">
        <f>IFERROR(INDEX('WetLitterbags placem_collection'!$A$3:$A$500,MATCH(A201,'WetLitterbags placem_collection'!$Q$4:$Q$500,0)),"")</f>
        <v/>
      </c>
    </row>
    <row r="202" spans="1:17" ht="13.95" customHeight="1">
      <c r="A202" s="110" t="s">
        <v>1429</v>
      </c>
      <c r="B202" s="110">
        <v>205</v>
      </c>
      <c r="C202" s="110">
        <v>0.74099999999999999</v>
      </c>
      <c r="D202" s="110" t="s">
        <v>2117</v>
      </c>
      <c r="E202" s="112">
        <v>43123</v>
      </c>
      <c r="N202" s="110">
        <f>IFERROR(INDEX('WetLitterbags placem_collection'!$A$3:$A$500,MATCH(A202,'WetLitterbags placem_collection'!$K$4:$K$500,0)),"")</f>
        <v>204</v>
      </c>
      <c r="O202" s="110" t="str">
        <f>IFERROR(INDEX('WetLitterbags placem_collection'!$A$3:$A$500,MATCH(A202,'WetLitterbags placem_collection'!$O$4:$O$500,0)),"")</f>
        <v/>
      </c>
      <c r="P202" s="110" t="str">
        <f>IFERROR(INDEX('WetLitterbags placem_collection'!$A$3:$A$500,MATCH(A202,'WetLitterbags placem_collection'!$M$4:$M$500,0)),"")</f>
        <v/>
      </c>
      <c r="Q202" s="110" t="str">
        <f>IFERROR(INDEX('WetLitterbags placem_collection'!$A$3:$A$500,MATCH(A202,'WetLitterbags placem_collection'!$Q$4:$Q$500,0)),"")</f>
        <v/>
      </c>
    </row>
    <row r="203" spans="1:17" ht="13.95" customHeight="1">
      <c r="A203" s="110" t="s">
        <v>1427</v>
      </c>
      <c r="B203" s="110">
        <v>138</v>
      </c>
      <c r="C203" s="110">
        <v>0.64800000000000002</v>
      </c>
      <c r="E203" s="112">
        <v>42879</v>
      </c>
      <c r="N203" s="110" t="str">
        <f>IFERROR(INDEX('WetLitterbags placem_collection'!$A$3:$A$500,MATCH(A203,'WetLitterbags placem_collection'!$K$4:$K$500,0)),"")</f>
        <v/>
      </c>
      <c r="O203" s="110">
        <f>IFERROR(INDEX('WetLitterbags placem_collection'!$A$3:$A$500,MATCH(A203,'WetLitterbags placem_collection'!$O$4:$O$500,0)),"")</f>
        <v>137</v>
      </c>
      <c r="P203" s="110" t="str">
        <f>IFERROR(INDEX('WetLitterbags placem_collection'!$A$3:$A$500,MATCH(A203,'WetLitterbags placem_collection'!$M$4:$M$500,0)),"")</f>
        <v/>
      </c>
      <c r="Q203" s="110" t="str">
        <f>IFERROR(INDEX('WetLitterbags placem_collection'!$A$3:$A$500,MATCH(A203,'WetLitterbags placem_collection'!$Q$4:$Q$500,0)),"")</f>
        <v/>
      </c>
    </row>
    <row r="204" spans="1:17" ht="13.95" customHeight="1">
      <c r="A204" s="110" t="s">
        <v>1423</v>
      </c>
      <c r="B204" s="110" t="s">
        <v>2077</v>
      </c>
      <c r="C204" s="110">
        <v>0.86350000000000005</v>
      </c>
      <c r="E204" s="112">
        <v>43122</v>
      </c>
      <c r="N204" s="110" t="str">
        <f>IFERROR(INDEX('WetLitterbags placem_collection'!$A$3:$A$500,MATCH(A204,'WetLitterbags placem_collection'!$K$4:$K$500,0)),"")</f>
        <v/>
      </c>
      <c r="O204" s="110">
        <f>IFERROR(INDEX('WetLitterbags placem_collection'!$A$3:$A$500,MATCH(A204,'WetLitterbags placem_collection'!$O$4:$O$500,0)),"")</f>
        <v>71</v>
      </c>
      <c r="P204" s="110" t="str">
        <f>IFERROR(INDEX('WetLitterbags placem_collection'!$A$3:$A$500,MATCH(A204,'WetLitterbags placem_collection'!$M$4:$M$500,0)),"")</f>
        <v/>
      </c>
      <c r="Q204" s="110" t="str">
        <f>IFERROR(INDEX('WetLitterbags placem_collection'!$A$3:$A$500,MATCH(A204,'WetLitterbags placem_collection'!$Q$4:$Q$500,0)),"")</f>
        <v/>
      </c>
    </row>
    <row r="205" spans="1:17" ht="13.95" customHeight="1">
      <c r="A205" s="110" t="s">
        <v>1422</v>
      </c>
      <c r="B205" s="110">
        <v>87</v>
      </c>
      <c r="C205" s="110">
        <v>0.8639</v>
      </c>
      <c r="E205" s="112">
        <v>43125</v>
      </c>
      <c r="N205" s="110">
        <f>IFERROR(INDEX('WetLitterbags placem_collection'!$A$3:$A$500,MATCH(A205,'WetLitterbags placem_collection'!$K$4:$K$500,0)),"")</f>
        <v>86</v>
      </c>
      <c r="O205" s="110" t="str">
        <f>IFERROR(INDEX('WetLitterbags placem_collection'!$A$3:$A$500,MATCH(A205,'WetLitterbags placem_collection'!$O$4:$O$500,0)),"")</f>
        <v/>
      </c>
      <c r="P205" s="110" t="str">
        <f>IFERROR(INDEX('WetLitterbags placem_collection'!$A$3:$A$500,MATCH(A205,'WetLitterbags placem_collection'!$M$4:$M$500,0)),"")</f>
        <v/>
      </c>
      <c r="Q205" s="110" t="str">
        <f>IFERROR(INDEX('WetLitterbags placem_collection'!$A$3:$A$500,MATCH(A205,'WetLitterbags placem_collection'!$Q$4:$Q$500,0)),"")</f>
        <v/>
      </c>
    </row>
    <row r="206" spans="1:17" ht="13.95" customHeight="1">
      <c r="A206" s="110" t="s">
        <v>1418</v>
      </c>
      <c r="B206" s="110">
        <v>87</v>
      </c>
      <c r="C206" s="110">
        <v>0.81640000000000001</v>
      </c>
      <c r="E206" s="112">
        <v>43125</v>
      </c>
      <c r="N206" s="110" t="str">
        <f>IFERROR(INDEX('WetLitterbags placem_collection'!$A$3:$A$500,MATCH(A206,'WetLitterbags placem_collection'!$K$4:$K$500,0)),"")</f>
        <v/>
      </c>
      <c r="O206" s="110">
        <f>IFERROR(INDEX('WetLitterbags placem_collection'!$A$3:$A$500,MATCH(A206,'WetLitterbags placem_collection'!$O$4:$O$500,0)),"")</f>
        <v>86</v>
      </c>
      <c r="P206" s="110" t="str">
        <f>IFERROR(INDEX('WetLitterbags placem_collection'!$A$3:$A$500,MATCH(A206,'WetLitterbags placem_collection'!$M$4:$M$500,0)),"")</f>
        <v/>
      </c>
      <c r="Q206" s="110" t="str">
        <f>IFERROR(INDEX('WetLitterbags placem_collection'!$A$3:$A$500,MATCH(A206,'WetLitterbags placem_collection'!$Q$4:$Q$500,0)),"")</f>
        <v/>
      </c>
    </row>
    <row r="207" spans="1:17" ht="13.95" customHeight="1">
      <c r="A207" s="110" t="s">
        <v>1417</v>
      </c>
      <c r="B207" s="110">
        <v>60</v>
      </c>
      <c r="C207" s="110">
        <v>0.874</v>
      </c>
      <c r="E207" s="112">
        <v>42879</v>
      </c>
      <c r="N207" s="110">
        <f>IFERROR(INDEX('WetLitterbags placem_collection'!$A$3:$A$500,MATCH(A207,'WetLitterbags placem_collection'!$K$4:$K$500,0)),"")</f>
        <v>59</v>
      </c>
      <c r="O207" s="110" t="str">
        <f>IFERROR(INDEX('WetLitterbags placem_collection'!$A$3:$A$500,MATCH(A207,'WetLitterbags placem_collection'!$O$4:$O$500,0)),"")</f>
        <v/>
      </c>
      <c r="P207" s="110" t="str">
        <f>IFERROR(INDEX('WetLitterbags placem_collection'!$A$3:$A$500,MATCH(A207,'WetLitterbags placem_collection'!$M$4:$M$500,0)),"")</f>
        <v/>
      </c>
      <c r="Q207" s="110" t="str">
        <f>IFERROR(INDEX('WetLitterbags placem_collection'!$A$3:$A$500,MATCH(A207,'WetLitterbags placem_collection'!$Q$4:$Q$500,0)),"")</f>
        <v/>
      </c>
    </row>
    <row r="208" spans="1:17" ht="13.95" customHeight="1">
      <c r="A208" s="110" t="s">
        <v>1416</v>
      </c>
      <c r="B208" s="110" t="s">
        <v>2077</v>
      </c>
      <c r="C208" s="110">
        <v>0.60129999999999995</v>
      </c>
      <c r="E208" s="112">
        <v>43122</v>
      </c>
      <c r="N208" s="110" t="str">
        <f>IFERROR(INDEX('WetLitterbags placem_collection'!$A$3:$A$500,MATCH(A208,'WetLitterbags placem_collection'!$K$4:$K$500,0)),"")</f>
        <v/>
      </c>
      <c r="O208" s="110">
        <f>IFERROR(INDEX('WetLitterbags placem_collection'!$A$3:$A$500,MATCH(A208,'WetLitterbags placem_collection'!$O$4:$O$500,0)),"")</f>
        <v>5</v>
      </c>
      <c r="P208" s="110" t="str">
        <f>IFERROR(INDEX('WetLitterbags placem_collection'!$A$3:$A$500,MATCH(A208,'WetLitterbags placem_collection'!$M$4:$M$500,0)),"")</f>
        <v/>
      </c>
      <c r="Q208" s="110" t="str">
        <f>IFERROR(INDEX('WetLitterbags placem_collection'!$A$3:$A$500,MATCH(A208,'WetLitterbags placem_collection'!$Q$4:$Q$500,0)),"")</f>
        <v/>
      </c>
    </row>
    <row r="209" spans="1:17" ht="13.95" customHeight="1">
      <c r="A209" s="110" t="s">
        <v>1414</v>
      </c>
      <c r="B209" s="110" t="s">
        <v>2077</v>
      </c>
      <c r="C209" s="110">
        <v>0.79630000000000001</v>
      </c>
      <c r="E209" s="112">
        <v>43119</v>
      </c>
      <c r="N209" s="110">
        <f>IFERROR(INDEX('WetLitterbags placem_collection'!$A$3:$A$500,MATCH(A209,'WetLitterbags placem_collection'!$K$4:$K$500,0)),"")</f>
        <v>92</v>
      </c>
      <c r="O209" s="110" t="str">
        <f>IFERROR(INDEX('WetLitterbags placem_collection'!$A$3:$A$500,MATCH(A209,'WetLitterbags placem_collection'!$O$4:$O$500,0)),"")</f>
        <v/>
      </c>
      <c r="P209" s="110" t="str">
        <f>IFERROR(INDEX('WetLitterbags placem_collection'!$A$3:$A$500,MATCH(A209,'WetLitterbags placem_collection'!$M$4:$M$500,0)),"")</f>
        <v/>
      </c>
      <c r="Q209" s="110" t="str">
        <f>IFERROR(INDEX('WetLitterbags placem_collection'!$A$3:$A$500,MATCH(A209,'WetLitterbags placem_collection'!$Q$4:$Q$500,0)),"")</f>
        <v/>
      </c>
    </row>
    <row r="210" spans="1:17" ht="13.95" customHeight="1">
      <c r="A210" s="179" t="s">
        <v>1413</v>
      </c>
      <c r="B210" s="110">
        <v>209</v>
      </c>
      <c r="C210" s="110">
        <v>0.86399999999999999</v>
      </c>
      <c r="E210" s="112">
        <v>42878</v>
      </c>
      <c r="N210" s="110" t="str">
        <f>IFERROR(INDEX('WetLitterbags placem_collection'!$A$3:$A$500,MATCH(A210,'WetLitterbags placem_collection'!$K$4:$K$500,0)),"")</f>
        <v/>
      </c>
      <c r="O210" s="110">
        <f>IFERROR(INDEX('WetLitterbags placem_collection'!$A$3:$A$500,MATCH(A210,'WetLitterbags placem_collection'!$O$4:$O$500,0)),"")</f>
        <v>208</v>
      </c>
      <c r="P210" s="110" t="str">
        <f>IFERROR(INDEX('WetLitterbags placem_collection'!$A$3:$A$500,MATCH(A210,'WetLitterbags placem_collection'!$M$4:$M$500,0)),"")</f>
        <v/>
      </c>
      <c r="Q210" s="110" t="str">
        <f>IFERROR(INDEX('WetLitterbags placem_collection'!$A$3:$A$500,MATCH(A210,'WetLitterbags placem_collection'!$Q$4:$Q$500,0)),"")</f>
        <v/>
      </c>
    </row>
    <row r="211" spans="1:17" ht="13.95" customHeight="1">
      <c r="A211" s="110" t="s">
        <v>1412</v>
      </c>
      <c r="B211" s="110">
        <v>52</v>
      </c>
      <c r="C211" s="110">
        <v>1.075</v>
      </c>
      <c r="E211" s="112">
        <v>42878</v>
      </c>
      <c r="N211" s="110">
        <f>IFERROR(INDEX('WetLitterbags placem_collection'!$A$3:$A$500,MATCH(A211,'WetLitterbags placem_collection'!$K$4:$K$500,0)),"")</f>
        <v>51</v>
      </c>
      <c r="O211" s="110" t="str">
        <f>IFERROR(INDEX('WetLitterbags placem_collection'!$A$3:$A$500,MATCH(A211,'WetLitterbags placem_collection'!$O$4:$O$500,0)),"")</f>
        <v/>
      </c>
      <c r="P211" s="110" t="str">
        <f>IFERROR(INDEX('WetLitterbags placem_collection'!$A$3:$A$500,MATCH(A211,'WetLitterbags placem_collection'!$M$4:$M$500,0)),"")</f>
        <v/>
      </c>
      <c r="Q211" s="110" t="str">
        <f>IFERROR(INDEX('WetLitterbags placem_collection'!$A$3:$A$500,MATCH(A211,'WetLitterbags placem_collection'!$Q$4:$Q$500,0)),"")</f>
        <v/>
      </c>
    </row>
    <row r="212" spans="1:17" ht="13.95" customHeight="1">
      <c r="A212" s="110" t="s">
        <v>1411</v>
      </c>
      <c r="B212" s="110" t="s">
        <v>2077</v>
      </c>
      <c r="C212" s="110">
        <v>0.89200000000000002</v>
      </c>
      <c r="E212" s="112">
        <v>43122</v>
      </c>
      <c r="N212" s="110" t="str">
        <f>IFERROR(INDEX('WetLitterbags placem_collection'!$A$3:$A$500,MATCH(A212,'WetLitterbags placem_collection'!$K$4:$K$500,0)),"")</f>
        <v/>
      </c>
      <c r="O212" s="110">
        <f>IFERROR(INDEX('WetLitterbags placem_collection'!$A$3:$A$500,MATCH(A212,'WetLitterbags placem_collection'!$O$4:$O$500,0)),"")</f>
        <v>18</v>
      </c>
      <c r="P212" s="110" t="str">
        <f>IFERROR(INDEX('WetLitterbags placem_collection'!$A$3:$A$500,MATCH(A212,'WetLitterbags placem_collection'!$M$4:$M$500,0)),"")</f>
        <v/>
      </c>
      <c r="Q212" s="110" t="str">
        <f>IFERROR(INDEX('WetLitterbags placem_collection'!$A$3:$A$500,MATCH(A212,'WetLitterbags placem_collection'!$Q$4:$Q$500,0)),"")</f>
        <v/>
      </c>
    </row>
    <row r="213" spans="1:17" ht="13.95" customHeight="1">
      <c r="A213" s="110" t="s">
        <v>1410</v>
      </c>
      <c r="B213" s="110" t="s">
        <v>2077</v>
      </c>
      <c r="C213" s="110">
        <v>0.72450000000000003</v>
      </c>
      <c r="E213" s="112">
        <v>43119</v>
      </c>
      <c r="N213" s="110" t="str">
        <f>IFERROR(INDEX('WetLitterbags placem_collection'!$A$3:$A$500,MATCH(A213,'WetLitterbags placem_collection'!$K$4:$K$500,0)),"")</f>
        <v/>
      </c>
      <c r="O213" s="110">
        <f>IFERROR(INDEX('WetLitterbags placem_collection'!$A$3:$A$500,MATCH(A213,'WetLitterbags placem_collection'!$O$4:$O$500,0)),"")</f>
        <v>203</v>
      </c>
      <c r="P213" s="110" t="str">
        <f>IFERROR(INDEX('WetLitterbags placem_collection'!$A$3:$A$500,MATCH(A213,'WetLitterbags placem_collection'!$M$4:$M$500,0)),"")</f>
        <v/>
      </c>
      <c r="Q213" s="110" t="str">
        <f>IFERROR(INDEX('WetLitterbags placem_collection'!$A$3:$A$500,MATCH(A213,'WetLitterbags placem_collection'!$Q$4:$Q$500,0)),"")</f>
        <v/>
      </c>
    </row>
    <row r="214" spans="1:17" ht="13.95" customHeight="1">
      <c r="A214" s="110" t="s">
        <v>1409</v>
      </c>
      <c r="B214" s="110">
        <v>95</v>
      </c>
      <c r="C214" s="110">
        <v>1.254</v>
      </c>
      <c r="E214" s="112">
        <v>42879</v>
      </c>
      <c r="N214" s="110">
        <f>IFERROR(INDEX('WetLitterbags placem_collection'!$A$3:$A$500,MATCH(A214,'WetLitterbags placem_collection'!$K$4:$K$500,0)),"")</f>
        <v>94</v>
      </c>
      <c r="O214" s="110" t="str">
        <f>IFERROR(INDEX('WetLitterbags placem_collection'!$A$3:$A$500,MATCH(A214,'WetLitterbags placem_collection'!$O$4:$O$500,0)),"")</f>
        <v/>
      </c>
      <c r="P214" s="110" t="str">
        <f>IFERROR(INDEX('WetLitterbags placem_collection'!$A$3:$A$500,MATCH(A214,'WetLitterbags placem_collection'!$M$4:$M$500,0)),"")</f>
        <v/>
      </c>
      <c r="Q214" s="110" t="str">
        <f>IFERROR(INDEX('WetLitterbags placem_collection'!$A$3:$A$500,MATCH(A214,'WetLitterbags placem_collection'!$Q$4:$Q$500,0)),"")</f>
        <v/>
      </c>
    </row>
    <row r="215" spans="1:17" ht="13.95" customHeight="1">
      <c r="A215" s="110" t="s">
        <v>1407</v>
      </c>
      <c r="B215" s="110">
        <v>43</v>
      </c>
      <c r="C215" s="110">
        <v>0.74509999999999998</v>
      </c>
      <c r="E215" s="112">
        <v>43123</v>
      </c>
      <c r="N215" s="110" t="str">
        <f>IFERROR(INDEX('WetLitterbags placem_collection'!$A$3:$A$500,MATCH(A215,'WetLitterbags placem_collection'!$K$4:$K$500,0)),"")</f>
        <v/>
      </c>
      <c r="O215" s="110">
        <f>IFERROR(INDEX('WetLitterbags placem_collection'!$A$3:$A$500,MATCH(A215,'WetLitterbags placem_collection'!$O$4:$O$500,0)),"")</f>
        <v>42</v>
      </c>
      <c r="P215" s="110" t="str">
        <f>IFERROR(INDEX('WetLitterbags placem_collection'!$A$3:$A$500,MATCH(A215,'WetLitterbags placem_collection'!$M$4:$M$500,0)),"")</f>
        <v/>
      </c>
      <c r="Q215" s="110" t="str">
        <f>IFERROR(INDEX('WetLitterbags placem_collection'!$A$3:$A$500,MATCH(A215,'WetLitterbags placem_collection'!$Q$4:$Q$500,0)),"")</f>
        <v/>
      </c>
    </row>
    <row r="216" spans="1:17" ht="13.95" customHeight="1">
      <c r="A216" s="110" t="s">
        <v>1406</v>
      </c>
      <c r="B216" s="110" t="s">
        <v>2077</v>
      </c>
      <c r="C216" s="110">
        <v>0.65410000000000001</v>
      </c>
      <c r="D216" s="110" t="s">
        <v>2120</v>
      </c>
      <c r="E216" s="112">
        <v>43122</v>
      </c>
      <c r="N216" s="110" t="str">
        <f>IFERROR(INDEX('WetLitterbags placem_collection'!$A$3:$A$500,MATCH(A216,'WetLitterbags placem_collection'!$K$4:$K$500,0)),"")</f>
        <v/>
      </c>
      <c r="O216" s="110">
        <f>IFERROR(INDEX('WetLitterbags placem_collection'!$A$3:$A$500,MATCH(A216,'WetLitterbags placem_collection'!$O$4:$O$500,0)),"")</f>
        <v>15</v>
      </c>
      <c r="P216" s="110" t="str">
        <f>IFERROR(INDEX('WetLitterbags placem_collection'!$A$3:$A$500,MATCH(A216,'WetLitterbags placem_collection'!$M$4:$M$500,0)),"")</f>
        <v/>
      </c>
      <c r="Q216" s="110" t="str">
        <f>IFERROR(INDEX('WetLitterbags placem_collection'!$A$3:$A$500,MATCH(A216,'WetLitterbags placem_collection'!$Q$4:$Q$500,0)),"")</f>
        <v/>
      </c>
    </row>
    <row r="217" spans="1:17" ht="13.95" customHeight="1">
      <c r="A217" s="110" t="s">
        <v>1405</v>
      </c>
      <c r="B217" s="110" t="s">
        <v>2077</v>
      </c>
      <c r="C217" s="110">
        <v>0.80930000000000002</v>
      </c>
      <c r="E217" s="112">
        <v>43116</v>
      </c>
      <c r="N217" s="110">
        <f>IFERROR(INDEX('WetLitterbags placem_collection'!$A$3:$A$500,MATCH(A217,'WetLitterbags placem_collection'!$K$4:$K$500,0)),"")</f>
        <v>202</v>
      </c>
      <c r="O217" s="110" t="str">
        <f>IFERROR(INDEX('WetLitterbags placem_collection'!$A$3:$A$500,MATCH(A217,'WetLitterbags placem_collection'!$O$4:$O$500,0)),"")</f>
        <v/>
      </c>
      <c r="P217" s="110" t="str">
        <f>IFERROR(INDEX('WetLitterbags placem_collection'!$A$3:$A$500,MATCH(A217,'WetLitterbags placem_collection'!$M$4:$M$500,0)),"")</f>
        <v/>
      </c>
      <c r="Q217" s="110" t="str">
        <f>IFERROR(INDEX('WetLitterbags placem_collection'!$A$3:$A$500,MATCH(A217,'WetLitterbags placem_collection'!$Q$4:$Q$500,0)),"")</f>
        <v/>
      </c>
    </row>
    <row r="218" spans="1:17" ht="13.95" customHeight="1">
      <c r="A218" s="110" t="s">
        <v>1403</v>
      </c>
      <c r="B218" s="110">
        <v>151</v>
      </c>
      <c r="C218" s="110">
        <v>0.78700000000000003</v>
      </c>
      <c r="E218" s="112">
        <v>42879</v>
      </c>
      <c r="N218" s="110" t="str">
        <f>IFERROR(INDEX('WetLitterbags placem_collection'!$A$3:$A$500,MATCH(A218,'WetLitterbags placem_collection'!$K$4:$K$500,0)),"")</f>
        <v/>
      </c>
      <c r="O218" s="110">
        <f>IFERROR(INDEX('WetLitterbags placem_collection'!$A$3:$A$500,MATCH(A218,'WetLitterbags placem_collection'!$O$4:$O$500,0)),"")</f>
        <v>150</v>
      </c>
      <c r="P218" s="110" t="str">
        <f>IFERROR(INDEX('WetLitterbags placem_collection'!$A$3:$A$500,MATCH(A218,'WetLitterbags placem_collection'!$M$4:$M$500,0)),"")</f>
        <v/>
      </c>
      <c r="Q218" s="110" t="str">
        <f>IFERROR(INDEX('WetLitterbags placem_collection'!$A$3:$A$500,MATCH(A218,'WetLitterbags placem_collection'!$Q$4:$Q$500,0)),"")</f>
        <v/>
      </c>
    </row>
    <row r="219" spans="1:17" ht="13.95" customHeight="1">
      <c r="A219" s="110" t="s">
        <v>1402</v>
      </c>
      <c r="B219" s="110" t="s">
        <v>2077</v>
      </c>
      <c r="C219" s="110">
        <v>0.6905</v>
      </c>
      <c r="E219" s="112">
        <v>43122</v>
      </c>
      <c r="N219" s="110" t="str">
        <f>IFERROR(INDEX('WetLitterbags placem_collection'!$A$3:$A$500,MATCH(A219,'WetLitterbags placem_collection'!$K$4:$K$500,0)),"")</f>
        <v/>
      </c>
      <c r="O219" s="110">
        <f>IFERROR(INDEX('WetLitterbags placem_collection'!$A$3:$A$500,MATCH(A219,'WetLitterbags placem_collection'!$O$4:$O$500,0)),"")</f>
        <v>16</v>
      </c>
      <c r="P219" s="110" t="str">
        <f>IFERROR(INDEX('WetLitterbags placem_collection'!$A$3:$A$500,MATCH(A219,'WetLitterbags placem_collection'!$M$4:$M$500,0)),"")</f>
        <v/>
      </c>
      <c r="Q219" s="110" t="str">
        <f>IFERROR(INDEX('WetLitterbags placem_collection'!$A$3:$A$500,MATCH(A219,'WetLitterbags placem_collection'!$Q$4:$Q$500,0)),"")</f>
        <v/>
      </c>
    </row>
    <row r="220" spans="1:17" ht="13.95" customHeight="1">
      <c r="A220" s="110" t="s">
        <v>1401</v>
      </c>
      <c r="B220" s="110">
        <v>34</v>
      </c>
      <c r="C220" s="110">
        <v>0.80259999999999998</v>
      </c>
      <c r="D220" s="110" t="s">
        <v>2085</v>
      </c>
      <c r="E220" s="112">
        <v>43125</v>
      </c>
      <c r="N220" s="110" t="str">
        <f>IFERROR(INDEX('WetLitterbags placem_collection'!$A$3:$A$500,MATCH(A220,'WetLitterbags placem_collection'!$K$4:$K$500,0)),"")</f>
        <v/>
      </c>
      <c r="O220" s="110">
        <f>IFERROR(INDEX('WetLitterbags placem_collection'!$A$3:$A$500,MATCH(A220,'WetLitterbags placem_collection'!$O$4:$O$500,0)),"")</f>
        <v>33</v>
      </c>
      <c r="P220" s="110" t="str">
        <f>IFERROR(INDEX('WetLitterbags placem_collection'!$A$3:$A$500,MATCH(A220,'WetLitterbags placem_collection'!$M$4:$M$500,0)),"")</f>
        <v/>
      </c>
      <c r="Q220" s="110" t="str">
        <f>IFERROR(INDEX('WetLitterbags placem_collection'!$A$3:$A$500,MATCH(A220,'WetLitterbags placem_collection'!$Q$4:$Q$500,0)),"")</f>
        <v/>
      </c>
    </row>
    <row r="221" spans="1:17" ht="13.95" customHeight="1">
      <c r="A221" s="110" t="s">
        <v>1399</v>
      </c>
      <c r="B221" s="110" t="s">
        <v>2077</v>
      </c>
      <c r="C221" s="110">
        <v>0.77580000000000005</v>
      </c>
      <c r="E221" s="112">
        <v>43116</v>
      </c>
      <c r="N221" s="110">
        <f>IFERROR(INDEX('WetLitterbags placem_collection'!$A$3:$A$500,MATCH(A221,'WetLitterbags placem_collection'!$K$4:$K$500,0)),"")</f>
        <v>25</v>
      </c>
      <c r="O221" s="110" t="str">
        <f>IFERROR(INDEX('WetLitterbags placem_collection'!$A$3:$A$500,MATCH(A221,'WetLitterbags placem_collection'!$O$4:$O$500,0)),"")</f>
        <v/>
      </c>
      <c r="P221" s="110" t="str">
        <f>IFERROR(INDEX('WetLitterbags placem_collection'!$A$3:$A$500,MATCH(A221,'WetLitterbags placem_collection'!$M$4:$M$500,0)),"")</f>
        <v/>
      </c>
      <c r="Q221" s="110" t="str">
        <f>IFERROR(INDEX('WetLitterbags placem_collection'!$A$3:$A$500,MATCH(A221,'WetLitterbags placem_collection'!$Q$4:$Q$500,0)),"")</f>
        <v/>
      </c>
    </row>
    <row r="222" spans="1:17" ht="13.95" customHeight="1">
      <c r="A222" s="110" t="s">
        <v>1397</v>
      </c>
      <c r="B222" s="110">
        <v>145</v>
      </c>
      <c r="C222" s="110">
        <v>0.69799999999999995</v>
      </c>
      <c r="E222" s="112">
        <v>42878</v>
      </c>
      <c r="N222" s="110" t="str">
        <f>IFERROR(INDEX('WetLitterbags placem_collection'!$A$3:$A$500,MATCH(A222,'WetLitterbags placem_collection'!$K$4:$K$500,0)),"")</f>
        <v/>
      </c>
      <c r="O222" s="110">
        <f>IFERROR(INDEX('WetLitterbags placem_collection'!$A$3:$A$500,MATCH(A222,'WetLitterbags placem_collection'!$O$4:$O$500,0)),"")</f>
        <v>144</v>
      </c>
      <c r="P222" s="110" t="str">
        <f>IFERROR(INDEX('WetLitterbags placem_collection'!$A$3:$A$500,MATCH(A222,'WetLitterbags placem_collection'!$M$4:$M$500,0)),"")</f>
        <v/>
      </c>
      <c r="Q222" s="110" t="str">
        <f>IFERROR(INDEX('WetLitterbags placem_collection'!$A$3:$A$500,MATCH(A222,'WetLitterbags placem_collection'!$Q$4:$Q$500,0)),"")</f>
        <v/>
      </c>
    </row>
    <row r="223" spans="1:17" ht="13.95" customHeight="1">
      <c r="A223" s="110" t="s">
        <v>1396</v>
      </c>
      <c r="B223" s="110">
        <v>156</v>
      </c>
      <c r="C223" s="110">
        <v>0.73799999999999999</v>
      </c>
      <c r="E223" s="112">
        <v>42879</v>
      </c>
      <c r="N223" s="110">
        <f>IFERROR(INDEX('WetLitterbags placem_collection'!$A$3:$A$500,MATCH(A223,'WetLitterbags placem_collection'!$K$4:$K$500,0)),"")</f>
        <v>155</v>
      </c>
      <c r="O223" s="110" t="str">
        <f>IFERROR(INDEX('WetLitterbags placem_collection'!$A$3:$A$500,MATCH(A223,'WetLitterbags placem_collection'!$O$4:$O$500,0)),"")</f>
        <v/>
      </c>
      <c r="P223" s="110" t="str">
        <f>IFERROR(INDEX('WetLitterbags placem_collection'!$A$3:$A$500,MATCH(A223,'WetLitterbags placem_collection'!$M$4:$M$500,0)),"")</f>
        <v/>
      </c>
      <c r="Q223" s="110" t="str">
        <f>IFERROR(INDEX('WetLitterbags placem_collection'!$A$3:$A$500,MATCH(A223,'WetLitterbags placem_collection'!$Q$4:$Q$500,0)),"")</f>
        <v/>
      </c>
    </row>
    <row r="224" spans="1:17" ht="13.95" customHeight="1">
      <c r="A224" s="182" t="s">
        <v>1395</v>
      </c>
      <c r="B224" s="110">
        <v>174</v>
      </c>
      <c r="C224" s="110">
        <v>0.68300000000000005</v>
      </c>
      <c r="E224" s="112">
        <v>42881</v>
      </c>
      <c r="N224" s="110">
        <f>IFERROR(INDEX('WetLitterbags placem_collection'!$A$3:$A$500,MATCH(A224,'WetLitterbags placem_collection'!$K$4:$K$500,0)),"")</f>
        <v>173</v>
      </c>
      <c r="O224" s="110" t="str">
        <f>IFERROR(INDEX('WetLitterbags placem_collection'!$A$3:$A$500,MATCH(A224,'WetLitterbags placem_collection'!$O$4:$O$500,0)),"")</f>
        <v/>
      </c>
      <c r="P224" s="110" t="str">
        <f>IFERROR(INDEX('WetLitterbags placem_collection'!$A$3:$A$500,MATCH(A224,'WetLitterbags placem_collection'!$M$4:$M$500,0)),"")</f>
        <v/>
      </c>
      <c r="Q224" s="110" t="str">
        <f>IFERROR(INDEX('WetLitterbags placem_collection'!$A$3:$A$500,MATCH(A224,'WetLitterbags placem_collection'!$Q$4:$Q$500,0)),"")</f>
        <v/>
      </c>
    </row>
    <row r="225" spans="1:17" ht="13.95" customHeight="1">
      <c r="A225" s="110" t="s">
        <v>1394</v>
      </c>
      <c r="B225" s="110">
        <v>171</v>
      </c>
      <c r="C225" s="110">
        <v>0.63100000000000001</v>
      </c>
      <c r="E225" s="112">
        <v>42878</v>
      </c>
      <c r="N225" s="110">
        <f>IFERROR(INDEX('WetLitterbags placem_collection'!$A$3:$A$500,MATCH(A225,'WetLitterbags placem_collection'!$K$4:$K$500,0)),"")</f>
        <v>170</v>
      </c>
      <c r="O225" s="110" t="str">
        <f>IFERROR(INDEX('WetLitterbags placem_collection'!$A$3:$A$500,MATCH(A225,'WetLitterbags placem_collection'!$O$4:$O$500,0)),"")</f>
        <v/>
      </c>
      <c r="P225" s="110" t="str">
        <f>IFERROR(INDEX('WetLitterbags placem_collection'!$A$3:$A$500,MATCH(A225,'WetLitterbags placem_collection'!$M$4:$M$500,0)),"")</f>
        <v/>
      </c>
      <c r="Q225" s="110" t="str">
        <f>IFERROR(INDEX('WetLitterbags placem_collection'!$A$3:$A$500,MATCH(A225,'WetLitterbags placem_collection'!$Q$4:$Q$500,0)),"")</f>
        <v/>
      </c>
    </row>
    <row r="226" spans="1:17" ht="13.95" customHeight="1">
      <c r="A226" s="110" t="s">
        <v>1393</v>
      </c>
      <c r="B226" s="110">
        <v>119</v>
      </c>
      <c r="C226" s="110">
        <v>0.70099999999999996</v>
      </c>
      <c r="D226"/>
      <c r="E226" s="112">
        <v>42881</v>
      </c>
      <c r="N226" s="110">
        <f>IFERROR(INDEX('WetLitterbags placem_collection'!$A$3:$A$500,MATCH(A226,'WetLitterbags placem_collection'!$K$4:$K$500,0)),"")</f>
        <v>118</v>
      </c>
      <c r="O226" s="110" t="str">
        <f>IFERROR(INDEX('WetLitterbags placem_collection'!$A$3:$A$500,MATCH(A226,'WetLitterbags placem_collection'!$O$4:$O$500,0)),"")</f>
        <v/>
      </c>
      <c r="P226" s="110" t="str">
        <f>IFERROR(INDEX('WetLitterbags placem_collection'!$A$3:$A$500,MATCH(A226,'WetLitterbags placem_collection'!$M$4:$M$500,0)),"")</f>
        <v/>
      </c>
      <c r="Q226" s="110" t="str">
        <f>IFERROR(INDEX('WetLitterbags placem_collection'!$A$3:$A$500,MATCH(A226,'WetLitterbags placem_collection'!$Q$4:$Q$500,0)),"")</f>
        <v/>
      </c>
    </row>
    <row r="227" spans="1:17" ht="13.95" customHeight="1">
      <c r="A227" s="110" t="s">
        <v>1392</v>
      </c>
      <c r="B227" s="110">
        <v>150</v>
      </c>
      <c r="C227" s="110">
        <v>0.71799999999999997</v>
      </c>
      <c r="E227" s="112">
        <v>42879</v>
      </c>
      <c r="N227" s="110">
        <f>IFERROR(INDEX('WetLitterbags placem_collection'!$A$3:$A$500,MATCH(A227,'WetLitterbags placem_collection'!$K$4:$K$500,0)),"")</f>
        <v>149</v>
      </c>
      <c r="O227" s="110" t="str">
        <f>IFERROR(INDEX('WetLitterbags placem_collection'!$A$3:$A$500,MATCH(A227,'WetLitterbags placem_collection'!$O$4:$O$500,0)),"")</f>
        <v/>
      </c>
      <c r="P227" s="110" t="str">
        <f>IFERROR(INDEX('WetLitterbags placem_collection'!$A$3:$A$500,MATCH(A227,'WetLitterbags placem_collection'!$M$4:$M$500,0)),"")</f>
        <v/>
      </c>
      <c r="Q227" s="110" t="str">
        <f>IFERROR(INDEX('WetLitterbags placem_collection'!$A$3:$A$500,MATCH(A227,'WetLitterbags placem_collection'!$Q$4:$Q$500,0)),"")</f>
        <v/>
      </c>
    </row>
    <row r="228" spans="1:17" ht="13.95" customHeight="1">
      <c r="A228" s="110" t="s">
        <v>1390</v>
      </c>
      <c r="B228" s="110">
        <v>67</v>
      </c>
      <c r="C228" s="110">
        <v>0.92510000000000003</v>
      </c>
      <c r="E228" s="112">
        <v>43125</v>
      </c>
      <c r="N228" s="110" t="str">
        <f>IFERROR(INDEX('WetLitterbags placem_collection'!$A$3:$A$500,MATCH(A228,'WetLitterbags placem_collection'!$K$4:$K$500,0)),"")</f>
        <v/>
      </c>
      <c r="O228" s="110">
        <f>IFERROR(INDEX('WetLitterbags placem_collection'!$A$3:$A$500,MATCH(A228,'WetLitterbags placem_collection'!$O$4:$O$500,0)),"")</f>
        <v>66</v>
      </c>
      <c r="P228" s="110" t="str">
        <f>IFERROR(INDEX('WetLitterbags placem_collection'!$A$3:$A$500,MATCH(A228,'WetLitterbags placem_collection'!$M$4:$M$500,0)),"")</f>
        <v/>
      </c>
      <c r="Q228" s="110" t="str">
        <f>IFERROR(INDEX('WetLitterbags placem_collection'!$A$3:$A$500,MATCH(A228,'WetLitterbags placem_collection'!$Q$4:$Q$500,0)),"")</f>
        <v/>
      </c>
    </row>
    <row r="229" spans="1:17" ht="13.95" customHeight="1">
      <c r="A229" s="110" t="s">
        <v>1385</v>
      </c>
      <c r="B229" s="110">
        <v>7</v>
      </c>
      <c r="C229" s="110">
        <v>0.56399999999999995</v>
      </c>
      <c r="E229" s="112">
        <v>42879</v>
      </c>
      <c r="N229" s="110" t="str">
        <f>IFERROR(INDEX('WetLitterbags placem_collection'!$A$3:$A$500,MATCH(A229,'WetLitterbags placem_collection'!$K$4:$K$500,0)),"")</f>
        <v/>
      </c>
      <c r="O229" s="110">
        <f>IFERROR(INDEX('WetLitterbags placem_collection'!$A$3:$A$500,MATCH(A229,'WetLitterbags placem_collection'!$O$4:$O$500,0)),"")</f>
        <v>6</v>
      </c>
      <c r="P229" s="110" t="str">
        <f>IFERROR(INDEX('WetLitterbags placem_collection'!$A$3:$A$500,MATCH(A229,'WetLitterbags placem_collection'!$M$4:$M$500,0)),"")</f>
        <v/>
      </c>
      <c r="Q229" s="110" t="str">
        <f>IFERROR(INDEX('WetLitterbags placem_collection'!$A$3:$A$500,MATCH(A229,'WetLitterbags placem_collection'!$Q$4:$Q$500,0)),"")</f>
        <v/>
      </c>
    </row>
    <row r="230" spans="1:17" ht="13.95" customHeight="1">
      <c r="A230" s="110" t="s">
        <v>1384</v>
      </c>
      <c r="B230" s="110">
        <v>121</v>
      </c>
      <c r="C230" s="110">
        <v>0.63500000000000001</v>
      </c>
      <c r="E230" s="112">
        <v>42879</v>
      </c>
      <c r="N230" s="110">
        <f>IFERROR(INDEX('WetLitterbags placem_collection'!$A$3:$A$500,MATCH(A230,'WetLitterbags placem_collection'!$K$4:$K$500,0)),"")</f>
        <v>120</v>
      </c>
      <c r="O230" s="110" t="str">
        <f>IFERROR(INDEX('WetLitterbags placem_collection'!$A$3:$A$500,MATCH(A230,'WetLitterbags placem_collection'!$O$4:$O$500,0)),"")</f>
        <v/>
      </c>
      <c r="P230" s="110" t="str">
        <f>IFERROR(INDEX('WetLitterbags placem_collection'!$A$3:$A$500,MATCH(A230,'WetLitterbags placem_collection'!$M$4:$M$500,0)),"")</f>
        <v/>
      </c>
      <c r="Q230" s="110" t="str">
        <f>IFERROR(INDEX('WetLitterbags placem_collection'!$A$3:$A$500,MATCH(A230,'WetLitterbags placem_collection'!$Q$4:$Q$500,0)),"")</f>
        <v/>
      </c>
    </row>
    <row r="231" spans="1:17" ht="13.95" customHeight="1">
      <c r="A231" s="110" t="s">
        <v>1383</v>
      </c>
      <c r="B231" s="110">
        <v>156</v>
      </c>
      <c r="C231" s="110">
        <v>0.65800000000000003</v>
      </c>
      <c r="E231" s="112">
        <v>42879</v>
      </c>
      <c r="N231" s="110" t="str">
        <f>IFERROR(INDEX('WetLitterbags placem_collection'!$A$3:$A$500,MATCH(A231,'WetLitterbags placem_collection'!$K$4:$K$500,0)),"")</f>
        <v/>
      </c>
      <c r="O231" s="110">
        <f>IFERROR(INDEX('WetLitterbags placem_collection'!$A$3:$A$500,MATCH(A231,'WetLitterbags placem_collection'!$O$4:$O$500,0)),"")</f>
        <v>155</v>
      </c>
      <c r="P231" s="110" t="str">
        <f>IFERROR(INDEX('WetLitterbags placem_collection'!$A$3:$A$500,MATCH(A231,'WetLitterbags placem_collection'!$M$4:$M$500,0)),"")</f>
        <v/>
      </c>
      <c r="Q231" s="110" t="str">
        <f>IFERROR(INDEX('WetLitterbags placem_collection'!$A$3:$A$500,MATCH(A231,'WetLitterbags placem_collection'!$Q$4:$Q$500,0)),"")</f>
        <v/>
      </c>
    </row>
    <row r="232" spans="1:17" ht="13.95" customHeight="1">
      <c r="A232" s="110" t="s">
        <v>1382</v>
      </c>
      <c r="B232" s="110">
        <v>205</v>
      </c>
      <c r="C232" s="110">
        <v>0.71</v>
      </c>
      <c r="E232" s="112">
        <v>43123</v>
      </c>
      <c r="N232" s="110" t="str">
        <f>IFERROR(INDEX('WetLitterbags placem_collection'!$A$3:$A$500,MATCH(A232,'WetLitterbags placem_collection'!$K$4:$K$500,0)),"")</f>
        <v/>
      </c>
      <c r="O232" s="110">
        <f>IFERROR(INDEX('WetLitterbags placem_collection'!$A$3:$A$500,MATCH(A232,'WetLitterbags placem_collection'!$O$4:$O$500,0)),"")</f>
        <v>204</v>
      </c>
      <c r="P232" s="110" t="str">
        <f>IFERROR(INDEX('WetLitterbags placem_collection'!$A$3:$A$500,MATCH(A232,'WetLitterbags placem_collection'!$M$4:$M$500,0)),"")</f>
        <v/>
      </c>
      <c r="Q232" s="110" t="str">
        <f>IFERROR(INDEX('WetLitterbags placem_collection'!$A$3:$A$500,MATCH(A232,'WetLitterbags placem_collection'!$Q$4:$Q$500,0)),"")</f>
        <v/>
      </c>
    </row>
    <row r="233" spans="1:17" ht="13.95" customHeight="1">
      <c r="A233" s="110" t="s">
        <v>1381</v>
      </c>
      <c r="B233" s="110" t="s">
        <v>2077</v>
      </c>
      <c r="C233" s="110">
        <v>0.7097</v>
      </c>
      <c r="D233" s="110" t="s">
        <v>2115</v>
      </c>
      <c r="E233" s="112">
        <v>43116</v>
      </c>
      <c r="N233" s="110">
        <f>IFERROR(INDEX('WetLitterbags placem_collection'!$A$3:$A$500,MATCH(A233,'WetLitterbags placem_collection'!$K$4:$K$500,0)),"")</f>
        <v>183</v>
      </c>
      <c r="O233" s="110" t="str">
        <f>IFERROR(INDEX('WetLitterbags placem_collection'!$A$3:$A$500,MATCH(A233,'WetLitterbags placem_collection'!$O$4:$O$500,0)),"")</f>
        <v/>
      </c>
      <c r="P233" s="110" t="str">
        <f>IFERROR(INDEX('WetLitterbags placem_collection'!$A$3:$A$500,MATCH(A233,'WetLitterbags placem_collection'!$M$4:$M$500,0)),"")</f>
        <v/>
      </c>
      <c r="Q233" s="110" t="str">
        <f>IFERROR(INDEX('WetLitterbags placem_collection'!$A$3:$A$500,MATCH(A233,'WetLitterbags placem_collection'!$Q$4:$Q$500,0)),"")</f>
        <v/>
      </c>
    </row>
    <row r="234" spans="1:17" ht="13.95" customHeight="1">
      <c r="A234" s="110" t="s">
        <v>1380</v>
      </c>
      <c r="B234" s="110">
        <v>35</v>
      </c>
      <c r="C234" s="110">
        <v>0.81699999999999995</v>
      </c>
      <c r="D234" s="110" t="s">
        <v>2051</v>
      </c>
      <c r="E234" s="112">
        <v>42879</v>
      </c>
      <c r="N234" s="110">
        <f>IFERROR(INDEX('WetLitterbags placem_collection'!$A$3:$A$500,MATCH(A234,'WetLitterbags placem_collection'!$K$4:$K$500,0)),"")</f>
        <v>34</v>
      </c>
      <c r="O234" s="110" t="str">
        <f>IFERROR(INDEX('WetLitterbags placem_collection'!$A$3:$A$500,MATCH(A234,'WetLitterbags placem_collection'!$O$4:$O$500,0)),"")</f>
        <v/>
      </c>
      <c r="P234" s="110" t="str">
        <f>IFERROR(INDEX('WetLitterbags placem_collection'!$A$3:$A$500,MATCH(A234,'WetLitterbags placem_collection'!$M$4:$M$500,0)),"")</f>
        <v/>
      </c>
      <c r="Q234" s="110" t="str">
        <f>IFERROR(INDEX('WetLitterbags placem_collection'!$A$3:$A$500,MATCH(A234,'WetLitterbags placem_collection'!$Q$4:$Q$500,0)),"")</f>
        <v/>
      </c>
    </row>
    <row r="235" spans="1:17" ht="13.95" customHeight="1">
      <c r="A235" s="110" t="s">
        <v>1377</v>
      </c>
      <c r="B235" s="110">
        <v>64</v>
      </c>
      <c r="C235" s="110">
        <v>1.0449999999999999</v>
      </c>
      <c r="E235" s="112">
        <v>42878</v>
      </c>
      <c r="N235" s="110" t="str">
        <f>IFERROR(INDEX('WetLitterbags placem_collection'!$A$3:$A$500,MATCH(A235,'WetLitterbags placem_collection'!$K$4:$K$500,0)),"")</f>
        <v/>
      </c>
      <c r="O235" s="110">
        <f>IFERROR(INDEX('WetLitterbags placem_collection'!$A$3:$A$500,MATCH(A235,'WetLitterbags placem_collection'!$O$4:$O$500,0)),"")</f>
        <v>63</v>
      </c>
      <c r="P235" s="110" t="str">
        <f>IFERROR(INDEX('WetLitterbags placem_collection'!$A$3:$A$500,MATCH(A235,'WetLitterbags placem_collection'!$M$4:$M$500,0)),"")</f>
        <v/>
      </c>
      <c r="Q235" s="110" t="str">
        <f>IFERROR(INDEX('WetLitterbags placem_collection'!$A$3:$A$500,MATCH(A235,'WetLitterbags placem_collection'!$Q$4:$Q$500,0)),"")</f>
        <v/>
      </c>
    </row>
    <row r="236" spans="1:17" ht="13.95" customHeight="1">
      <c r="A236" t="s">
        <v>1376</v>
      </c>
      <c r="B236" s="110">
        <v>170</v>
      </c>
      <c r="C236" s="110">
        <v>0.61299999999999999</v>
      </c>
      <c r="E236" s="112">
        <v>42878</v>
      </c>
      <c r="N236" s="110" t="str">
        <f>IFERROR(INDEX('WetLitterbags placem_collection'!$A$3:$A$500,MATCH(A236,'WetLitterbags placem_collection'!$K$4:$K$500,0)),"")</f>
        <v/>
      </c>
      <c r="O236" s="110">
        <f>IFERROR(INDEX('WetLitterbags placem_collection'!$A$3:$A$500,MATCH(A236,'WetLitterbags placem_collection'!$O$4:$O$500,0)),"")</f>
        <v>169</v>
      </c>
      <c r="P236" s="110" t="str">
        <f>IFERROR(INDEX('WetLitterbags placem_collection'!$A$3:$A$500,MATCH(A236,'WetLitterbags placem_collection'!$M$4:$M$500,0)),"")</f>
        <v/>
      </c>
      <c r="Q236" s="110" t="str">
        <f>IFERROR(INDEX('WetLitterbags placem_collection'!$A$3:$A$500,MATCH(A236,'WetLitterbags placem_collection'!$Q$4:$Q$500,0)),"")</f>
        <v/>
      </c>
    </row>
    <row r="237" spans="1:17" ht="13.95" customHeight="1">
      <c r="A237" s="110" t="s">
        <v>1375</v>
      </c>
      <c r="B237" s="110">
        <v>154</v>
      </c>
      <c r="C237" s="110">
        <v>0.61299999999999999</v>
      </c>
      <c r="D237" s="110" t="s">
        <v>2058</v>
      </c>
      <c r="E237" s="112">
        <v>42881</v>
      </c>
      <c r="N237" s="110">
        <f>IFERROR(INDEX('WetLitterbags placem_collection'!$A$3:$A$500,MATCH(A237,'WetLitterbags placem_collection'!$K$4:$K$500,0)),"")</f>
        <v>153</v>
      </c>
      <c r="O237" s="110" t="str">
        <f>IFERROR(INDEX('WetLitterbags placem_collection'!$A$3:$A$500,MATCH(A237,'WetLitterbags placem_collection'!$O$4:$O$500,0)),"")</f>
        <v/>
      </c>
      <c r="P237" s="110" t="str">
        <f>IFERROR(INDEX('WetLitterbags placem_collection'!$A$3:$A$500,MATCH(A237,'WetLitterbags placem_collection'!$M$4:$M$500,0)),"")</f>
        <v/>
      </c>
      <c r="Q237" s="110" t="str">
        <f>IFERROR(INDEX('WetLitterbags placem_collection'!$A$3:$A$500,MATCH(A237,'WetLitterbags placem_collection'!$Q$4:$Q$500,0)),"")</f>
        <v/>
      </c>
    </row>
    <row r="238" spans="1:17" ht="13.95" customHeight="1">
      <c r="A238" s="110" t="s">
        <v>1374</v>
      </c>
      <c r="B238" s="110">
        <v>107</v>
      </c>
      <c r="C238" s="110">
        <v>0.67630000000000001</v>
      </c>
      <c r="E238" s="112">
        <v>43125</v>
      </c>
      <c r="N238" s="110" t="str">
        <f>IFERROR(INDEX('WetLitterbags placem_collection'!$A$3:$A$500,MATCH(A238,'WetLitterbags placem_collection'!$K$4:$K$500,0)),"")</f>
        <v/>
      </c>
      <c r="O238" s="110">
        <f>IFERROR(INDEX('WetLitterbags placem_collection'!$A$3:$A$500,MATCH(A238,'WetLitterbags placem_collection'!$O$4:$O$500,0)),"")</f>
        <v>106</v>
      </c>
      <c r="P238" s="110" t="str">
        <f>IFERROR(INDEX('WetLitterbags placem_collection'!$A$3:$A$500,MATCH(A238,'WetLitterbags placem_collection'!$M$4:$M$500,0)),"")</f>
        <v/>
      </c>
      <c r="Q238" s="110" t="str">
        <f>IFERROR(INDEX('WetLitterbags placem_collection'!$A$3:$A$500,MATCH(A238,'WetLitterbags placem_collection'!$Q$4:$Q$500,0)),"")</f>
        <v/>
      </c>
    </row>
    <row r="239" spans="1:17" ht="13.95" customHeight="1">
      <c r="A239" s="110" t="s">
        <v>1373</v>
      </c>
      <c r="B239" s="110">
        <v>207</v>
      </c>
      <c r="C239" s="110">
        <v>0.85699999999999998</v>
      </c>
      <c r="E239" s="112">
        <v>42879</v>
      </c>
      <c r="N239" s="110">
        <f>IFERROR(INDEX('WetLitterbags placem_collection'!$A$3:$A$500,MATCH(A239,'WetLitterbags placem_collection'!$K$4:$K$500,0)),"")</f>
        <v>205</v>
      </c>
      <c r="O239" s="110" t="str">
        <f>IFERROR(INDEX('WetLitterbags placem_collection'!$A$3:$A$500,MATCH(A239,'WetLitterbags placem_collection'!$O$4:$O$500,0)),"")</f>
        <v/>
      </c>
      <c r="P239" s="110" t="str">
        <f>IFERROR(INDEX('WetLitterbags placem_collection'!$A$3:$A$500,MATCH(A239,'WetLitterbags placem_collection'!$M$4:$M$500,0)),"")</f>
        <v/>
      </c>
      <c r="Q239" s="110" t="str">
        <f>IFERROR(INDEX('WetLitterbags placem_collection'!$A$3:$A$500,MATCH(A239,'WetLitterbags placem_collection'!$Q$4:$Q$500,0)),"")</f>
        <v/>
      </c>
    </row>
    <row r="240" spans="1:17" ht="13.95" customHeight="1">
      <c r="A240" s="110" t="s">
        <v>1372</v>
      </c>
      <c r="B240" s="110">
        <v>147</v>
      </c>
      <c r="C240" s="110">
        <v>0.70199999999999996</v>
      </c>
      <c r="D240" s="110" t="s">
        <v>2119</v>
      </c>
      <c r="E240" s="112">
        <v>42878</v>
      </c>
      <c r="N240" s="110">
        <f>IFERROR(INDEX('WetLitterbags placem_collection'!$A$3:$A$500,MATCH(A240,'WetLitterbags placem_collection'!$K$4:$K$500,0)),"")</f>
        <v>146</v>
      </c>
      <c r="O240" s="110" t="str">
        <f>IFERROR(INDEX('WetLitterbags placem_collection'!$A$3:$A$500,MATCH(A240,'WetLitterbags placem_collection'!$O$4:$O$500,0)),"")</f>
        <v/>
      </c>
      <c r="P240" s="110" t="str">
        <f>IFERROR(INDEX('WetLitterbags placem_collection'!$A$3:$A$500,MATCH(A240,'WetLitterbags placem_collection'!$M$4:$M$500,0)),"")</f>
        <v/>
      </c>
      <c r="Q240" s="110" t="str">
        <f>IFERROR(INDEX('WetLitterbags placem_collection'!$A$3:$A$500,MATCH(A240,'WetLitterbags placem_collection'!$Q$4:$Q$500,0)),"")</f>
        <v/>
      </c>
    </row>
    <row r="241" spans="1:17" ht="13.95" customHeight="1">
      <c r="A241" s="110" t="s">
        <v>1371</v>
      </c>
      <c r="B241" s="110">
        <v>46</v>
      </c>
      <c r="C241" s="110">
        <v>0.83199999999999996</v>
      </c>
      <c r="E241" s="112">
        <v>42881</v>
      </c>
      <c r="N241" s="110">
        <f>IFERROR(INDEX('WetLitterbags placem_collection'!$A$3:$A$500,MATCH(A241,'WetLitterbags placem_collection'!$K$4:$K$500,0)),"")</f>
        <v>47</v>
      </c>
      <c r="O241" s="110" t="str">
        <f>IFERROR(INDEX('WetLitterbags placem_collection'!$A$3:$A$500,MATCH(A241,'WetLitterbags placem_collection'!$O$4:$O$500,0)),"")</f>
        <v/>
      </c>
      <c r="P241" s="110" t="str">
        <f>IFERROR(INDEX('WetLitterbags placem_collection'!$A$3:$A$500,MATCH(A241,'WetLitterbags placem_collection'!$M$4:$M$500,0)),"")</f>
        <v/>
      </c>
      <c r="Q241" s="110" t="str">
        <f>IFERROR(INDEX('WetLitterbags placem_collection'!$A$3:$A$500,MATCH(A241,'WetLitterbags placem_collection'!$Q$4:$Q$500,0)),"")</f>
        <v/>
      </c>
    </row>
    <row r="242" spans="1:17" ht="13.95" customHeight="1">
      <c r="A242" s="110" t="s">
        <v>1370</v>
      </c>
      <c r="B242" s="110">
        <v>168</v>
      </c>
      <c r="C242" s="110">
        <v>0.998</v>
      </c>
      <c r="E242" s="112">
        <v>42881</v>
      </c>
      <c r="N242" s="110" t="str">
        <f>IFERROR(INDEX('WetLitterbags placem_collection'!$A$3:$A$500,MATCH(A242,'WetLitterbags placem_collection'!$K$4:$K$500,0)),"")</f>
        <v/>
      </c>
      <c r="O242" s="110">
        <f>IFERROR(INDEX('WetLitterbags placem_collection'!$A$3:$A$500,MATCH(A242,'WetLitterbags placem_collection'!$O$4:$O$500,0)),"")</f>
        <v>167</v>
      </c>
      <c r="P242" s="110" t="str">
        <f>IFERROR(INDEX('WetLitterbags placem_collection'!$A$3:$A$500,MATCH(A242,'WetLitterbags placem_collection'!$M$4:$M$500,0)),"")</f>
        <v/>
      </c>
      <c r="Q242" s="110" t="str">
        <f>IFERROR(INDEX('WetLitterbags placem_collection'!$A$3:$A$500,MATCH(A242,'WetLitterbags placem_collection'!$Q$4:$Q$500,0)),"")</f>
        <v/>
      </c>
    </row>
    <row r="243" spans="1:17" ht="13.95" customHeight="1">
      <c r="A243" s="110" t="s">
        <v>1369</v>
      </c>
      <c r="B243" s="110">
        <v>118</v>
      </c>
      <c r="C243" s="110">
        <v>0.56799999999999995</v>
      </c>
      <c r="E243" s="112">
        <v>42879</v>
      </c>
      <c r="N243" s="110">
        <f>IFERROR(INDEX('WetLitterbags placem_collection'!$A$3:$A$500,MATCH(A243,'WetLitterbags placem_collection'!$K$4:$K$500,0)),"")</f>
        <v>117</v>
      </c>
      <c r="O243" s="110" t="str">
        <f>IFERROR(INDEX('WetLitterbags placem_collection'!$A$3:$A$500,MATCH(A243,'WetLitterbags placem_collection'!$O$4:$O$500,0)),"")</f>
        <v/>
      </c>
      <c r="P243" s="110" t="str">
        <f>IFERROR(INDEX('WetLitterbags placem_collection'!$A$3:$A$500,MATCH(A243,'WetLitterbags placem_collection'!$M$4:$M$500,0)),"")</f>
        <v/>
      </c>
      <c r="Q243" s="110" t="str">
        <f>IFERROR(INDEX('WetLitterbags placem_collection'!$A$3:$A$500,MATCH(A243,'WetLitterbags placem_collection'!$Q$4:$Q$500,0)),"")</f>
        <v/>
      </c>
    </row>
    <row r="244" spans="1:17" ht="13.95" customHeight="1">
      <c r="A244" s="110" t="s">
        <v>1368</v>
      </c>
      <c r="B244" s="110">
        <v>124</v>
      </c>
      <c r="C244" s="110">
        <v>0.61199999999999999</v>
      </c>
      <c r="E244" s="112">
        <v>42881</v>
      </c>
      <c r="N244" s="110" t="str">
        <f>IFERROR(INDEX('WetLitterbags placem_collection'!$A$3:$A$500,MATCH(A244,'WetLitterbags placem_collection'!$K$4:$K$500,0)),"")</f>
        <v/>
      </c>
      <c r="O244" s="110">
        <f>IFERROR(INDEX('WetLitterbags placem_collection'!$A$3:$A$500,MATCH(A244,'WetLitterbags placem_collection'!$O$4:$O$500,0)),"")</f>
        <v>123</v>
      </c>
      <c r="P244" s="110" t="str">
        <f>IFERROR(INDEX('WetLitterbags placem_collection'!$A$3:$A$500,MATCH(A244,'WetLitterbags placem_collection'!$M$4:$M$500,0)),"")</f>
        <v/>
      </c>
      <c r="Q244" s="110" t="str">
        <f>IFERROR(INDEX('WetLitterbags placem_collection'!$A$3:$A$500,MATCH(A244,'WetLitterbags placem_collection'!$Q$4:$Q$500,0)),"")</f>
        <v/>
      </c>
    </row>
    <row r="245" spans="1:17" ht="13.95" customHeight="1">
      <c r="A245" s="110" t="s">
        <v>1366</v>
      </c>
      <c r="B245" s="110">
        <v>154</v>
      </c>
      <c r="C245" s="110">
        <v>0.60499999999999998</v>
      </c>
      <c r="E245" s="112">
        <v>42881</v>
      </c>
      <c r="N245" s="110" t="str">
        <f>IFERROR(INDEX('WetLitterbags placem_collection'!$A$3:$A$500,MATCH(A245,'WetLitterbags placem_collection'!$K$4:$K$500,0)),"")</f>
        <v/>
      </c>
      <c r="O245" s="110">
        <f>IFERROR(INDEX('WetLitterbags placem_collection'!$A$3:$A$500,MATCH(A245,'WetLitterbags placem_collection'!$O$4:$O$500,0)),"")</f>
        <v>153</v>
      </c>
      <c r="P245" s="110" t="str">
        <f>IFERROR(INDEX('WetLitterbags placem_collection'!$A$3:$A$500,MATCH(A245,'WetLitterbags placem_collection'!$M$4:$M$500,0)),"")</f>
        <v/>
      </c>
      <c r="Q245" s="110" t="str">
        <f>IFERROR(INDEX('WetLitterbags placem_collection'!$A$3:$A$500,MATCH(A245,'WetLitterbags placem_collection'!$Q$4:$Q$500,0)),"")</f>
        <v/>
      </c>
    </row>
    <row r="246" spans="1:17" ht="13.95" customHeight="1">
      <c r="A246" s="110" t="s">
        <v>1365</v>
      </c>
      <c r="B246" s="110">
        <v>15</v>
      </c>
      <c r="C246" s="110">
        <v>0.72199999999999998</v>
      </c>
      <c r="E246" s="112">
        <v>42879</v>
      </c>
      <c r="N246" s="110" t="str">
        <f>IFERROR(INDEX('WetLitterbags placem_collection'!$A$3:$A$500,MATCH(A246,'WetLitterbags placem_collection'!$K$4:$K$500,0)),"")</f>
        <v/>
      </c>
      <c r="O246" s="110">
        <f>IFERROR(INDEX('WetLitterbags placem_collection'!$A$3:$A$500,MATCH(A246,'WetLitterbags placem_collection'!$O$4:$O$500,0)),"")</f>
        <v>14</v>
      </c>
      <c r="P246" s="110" t="str">
        <f>IFERROR(INDEX('WetLitterbags placem_collection'!$A$3:$A$500,MATCH(A246,'WetLitterbags placem_collection'!$M$4:$M$500,0)),"")</f>
        <v/>
      </c>
      <c r="Q246" s="110" t="str">
        <f>IFERROR(INDEX('WetLitterbags placem_collection'!$A$3:$A$500,MATCH(A246,'WetLitterbags placem_collection'!$Q$4:$Q$500,0)),"")</f>
        <v/>
      </c>
    </row>
    <row r="247" spans="1:17" ht="13.95" customHeight="1">
      <c r="A247" s="110" t="s">
        <v>1364</v>
      </c>
      <c r="B247" s="110">
        <v>64</v>
      </c>
      <c r="C247" s="110">
        <v>0.628</v>
      </c>
      <c r="E247" s="112">
        <v>42879</v>
      </c>
      <c r="N247" s="110">
        <f>IFERROR(INDEX('WetLitterbags placem_collection'!$A$3:$A$500,MATCH(A247,'WetLitterbags placem_collection'!$K$4:$K$500,0)),"")</f>
        <v>163</v>
      </c>
      <c r="O247" s="110" t="str">
        <f>IFERROR(INDEX('WetLitterbags placem_collection'!$A$3:$A$500,MATCH(A247,'WetLitterbags placem_collection'!$O$4:$O$500,0)),"")</f>
        <v/>
      </c>
      <c r="P247" s="110" t="str">
        <f>IFERROR(INDEX('WetLitterbags placem_collection'!$A$3:$A$500,MATCH(A247,'WetLitterbags placem_collection'!$M$4:$M$500,0)),"")</f>
        <v/>
      </c>
      <c r="Q247" s="110" t="str">
        <f>IFERROR(INDEX('WetLitterbags placem_collection'!$A$3:$A$500,MATCH(A247,'WetLitterbags placem_collection'!$Q$4:$Q$500,0)),"")</f>
        <v/>
      </c>
    </row>
    <row r="248" spans="1:17" ht="13.95" customHeight="1">
      <c r="A248" s="110" t="s">
        <v>1363</v>
      </c>
      <c r="B248" s="110">
        <v>127</v>
      </c>
      <c r="C248" s="110">
        <v>0.57699999999999996</v>
      </c>
      <c r="E248" s="112">
        <v>42879</v>
      </c>
      <c r="N248" s="110" t="str">
        <f>IFERROR(INDEX('WetLitterbags placem_collection'!$A$3:$A$500,MATCH(A248,'WetLitterbags placem_collection'!$K$4:$K$500,0)),"")</f>
        <v/>
      </c>
      <c r="O248" s="110">
        <f>IFERROR(INDEX('WetLitterbags placem_collection'!$A$3:$A$500,MATCH(A248,'WetLitterbags placem_collection'!$O$4:$O$500,0)),"")</f>
        <v>126</v>
      </c>
      <c r="P248" s="110" t="str">
        <f>IFERROR(INDEX('WetLitterbags placem_collection'!$A$3:$A$500,MATCH(A248,'WetLitterbags placem_collection'!$M$4:$M$500,0)),"")</f>
        <v/>
      </c>
      <c r="Q248" s="110" t="str">
        <f>IFERROR(INDEX('WetLitterbags placem_collection'!$A$3:$A$500,MATCH(A248,'WetLitterbags placem_collection'!$Q$4:$Q$500,0)),"")</f>
        <v/>
      </c>
    </row>
    <row r="249" spans="1:17" ht="13.95" customHeight="1">
      <c r="A249" s="110" t="s">
        <v>1362</v>
      </c>
      <c r="B249" s="110">
        <v>107</v>
      </c>
      <c r="C249" s="110">
        <v>0.60899999999999999</v>
      </c>
      <c r="E249" s="112">
        <v>43125</v>
      </c>
      <c r="N249" s="110">
        <f>IFERROR(INDEX('WetLitterbags placem_collection'!$A$3:$A$500,MATCH(A249,'WetLitterbags placem_collection'!$K$4:$K$500,0)),"")</f>
        <v>106</v>
      </c>
      <c r="O249" s="110" t="str">
        <f>IFERROR(INDEX('WetLitterbags placem_collection'!$A$3:$A$500,MATCH(A249,'WetLitterbags placem_collection'!$O$4:$O$500,0)),"")</f>
        <v/>
      </c>
      <c r="P249" s="110" t="str">
        <f>IFERROR(INDEX('WetLitterbags placem_collection'!$A$3:$A$500,MATCH(A249,'WetLitterbags placem_collection'!$M$4:$M$500,0)),"")</f>
        <v/>
      </c>
      <c r="Q249" s="110" t="str">
        <f>IFERROR(INDEX('WetLitterbags placem_collection'!$A$3:$A$500,MATCH(A249,'WetLitterbags placem_collection'!$Q$4:$Q$500,0)),"")</f>
        <v/>
      </c>
    </row>
    <row r="250" spans="1:17" ht="13.95" customHeight="1">
      <c r="A250" s="110" t="s">
        <v>1361</v>
      </c>
      <c r="B250" s="110">
        <v>146</v>
      </c>
      <c r="C250" s="110">
        <v>0.52200000000000002</v>
      </c>
      <c r="D250" s="110" t="s">
        <v>2115</v>
      </c>
      <c r="E250" s="112">
        <v>42878</v>
      </c>
      <c r="N250" s="110">
        <f>IFERROR(INDEX('WetLitterbags placem_collection'!$A$3:$A$500,MATCH(A250,'WetLitterbags placem_collection'!$K$4:$K$500,0)),"")</f>
        <v>145</v>
      </c>
      <c r="O250" s="110" t="str">
        <f>IFERROR(INDEX('WetLitterbags placem_collection'!$A$3:$A$500,MATCH(A250,'WetLitterbags placem_collection'!$O$4:$O$500,0)),"")</f>
        <v/>
      </c>
      <c r="P250" s="110" t="str">
        <f>IFERROR(INDEX('WetLitterbags placem_collection'!$A$3:$A$500,MATCH(A250,'WetLitterbags placem_collection'!$M$4:$M$500,0)),"")</f>
        <v/>
      </c>
      <c r="Q250" s="110" t="str">
        <f>IFERROR(INDEX('WetLitterbags placem_collection'!$A$3:$A$500,MATCH(A250,'WetLitterbags placem_collection'!$Q$4:$Q$500,0)),"")</f>
        <v/>
      </c>
    </row>
    <row r="251" spans="1:17" ht="13.95" customHeight="1">
      <c r="A251" s="110" t="s">
        <v>1360</v>
      </c>
      <c r="B251" s="110">
        <v>43</v>
      </c>
      <c r="C251" s="110">
        <v>0.71519999999999995</v>
      </c>
      <c r="D251" s="110" t="s">
        <v>2118</v>
      </c>
      <c r="E251" s="112">
        <v>43123</v>
      </c>
      <c r="N251" s="110">
        <f>IFERROR(INDEX('WetLitterbags placem_collection'!$A$3:$A$500,MATCH(A251,'WetLitterbags placem_collection'!$K$4:$K$500,0)),"")</f>
        <v>42</v>
      </c>
      <c r="O251" s="110" t="str">
        <f>IFERROR(INDEX('WetLitterbags placem_collection'!$A$3:$A$500,MATCH(A251,'WetLitterbags placem_collection'!$O$4:$O$500,0)),"")</f>
        <v/>
      </c>
      <c r="P251" s="110" t="str">
        <f>IFERROR(INDEX('WetLitterbags placem_collection'!$A$3:$A$500,MATCH(A251,'WetLitterbags placem_collection'!$M$4:$M$500,0)),"")</f>
        <v/>
      </c>
      <c r="Q251" s="110" t="str">
        <f>IFERROR(INDEX('WetLitterbags placem_collection'!$A$3:$A$500,MATCH(A251,'WetLitterbags placem_collection'!$Q$4:$Q$500,0)),"")</f>
        <v/>
      </c>
    </row>
    <row r="252" spans="1:17" ht="13.95" customHeight="1">
      <c r="A252" s="110" t="s">
        <v>1359</v>
      </c>
      <c r="B252" s="110">
        <v>99</v>
      </c>
      <c r="C252" s="110">
        <v>0.52829999999999999</v>
      </c>
      <c r="D252" s="110" t="s">
        <v>2119</v>
      </c>
      <c r="E252" s="112">
        <v>43123</v>
      </c>
      <c r="N252" s="110" t="str">
        <f>IFERROR(INDEX('WetLitterbags placem_collection'!$A$3:$A$500,MATCH(A252,'WetLitterbags placem_collection'!$K$4:$K$500,0)),"")</f>
        <v/>
      </c>
      <c r="O252" s="110">
        <f>IFERROR(INDEX('WetLitterbags placem_collection'!$A$3:$A$500,MATCH(A252,'WetLitterbags placem_collection'!$O$4:$O$500,0)),"")</f>
        <v>98</v>
      </c>
      <c r="P252" s="110" t="str">
        <f>IFERROR(INDEX('WetLitterbags placem_collection'!$A$3:$A$500,MATCH(A252,'WetLitterbags placem_collection'!$M$4:$M$500,0)),"")</f>
        <v/>
      </c>
      <c r="Q252" s="110" t="str">
        <f>IFERROR(INDEX('WetLitterbags placem_collection'!$A$3:$A$500,MATCH(A252,'WetLitterbags placem_collection'!$Q$4:$Q$500,0)),"")</f>
        <v/>
      </c>
    </row>
    <row r="253" spans="1:17" ht="13.95" customHeight="1">
      <c r="A253" s="110" t="s">
        <v>1358</v>
      </c>
      <c r="B253" s="110">
        <v>103</v>
      </c>
      <c r="C253" s="110">
        <v>0.58699999999999997</v>
      </c>
      <c r="E253" s="112">
        <v>42881</v>
      </c>
      <c r="N253" s="110" t="str">
        <f>IFERROR(INDEX('WetLitterbags placem_collection'!$A$3:$A$500,MATCH(A253,'WetLitterbags placem_collection'!$K$4:$K$500,0)),"")</f>
        <v/>
      </c>
      <c r="O253" s="110">
        <f>IFERROR(INDEX('WetLitterbags placem_collection'!$A$3:$A$500,MATCH(A253,'WetLitterbags placem_collection'!$O$4:$O$500,0)),"")</f>
        <v>102</v>
      </c>
      <c r="P253" s="110" t="str">
        <f>IFERROR(INDEX('WetLitterbags placem_collection'!$A$3:$A$500,MATCH(A253,'WetLitterbags placem_collection'!$M$4:$M$500,0)),"")</f>
        <v/>
      </c>
      <c r="Q253" s="110" t="str">
        <f>IFERROR(INDEX('WetLitterbags placem_collection'!$A$3:$A$500,MATCH(A253,'WetLitterbags placem_collection'!$Q$4:$Q$500,0)),"")</f>
        <v/>
      </c>
    </row>
    <row r="254" spans="1:17" ht="13.95" customHeight="1">
      <c r="A254" s="110" t="s">
        <v>1357</v>
      </c>
      <c r="B254" s="110">
        <v>115</v>
      </c>
      <c r="C254" s="110">
        <v>0.63400000000000001</v>
      </c>
      <c r="E254" s="112">
        <v>43125</v>
      </c>
      <c r="N254" s="110">
        <f>IFERROR(INDEX('WetLitterbags placem_collection'!$A$3:$A$500,MATCH(A254,'WetLitterbags placem_collection'!$K$4:$K$500,0)),"")</f>
        <v>114</v>
      </c>
      <c r="O254" s="110" t="str">
        <f>IFERROR(INDEX('WetLitterbags placem_collection'!$A$3:$A$500,MATCH(A254,'WetLitterbags placem_collection'!$O$4:$O$500,0)),"")</f>
        <v/>
      </c>
      <c r="P254" s="110" t="str">
        <f>IFERROR(INDEX('WetLitterbags placem_collection'!$A$3:$A$500,MATCH(A254,'WetLitterbags placem_collection'!$M$4:$M$500,0)),"")</f>
        <v/>
      </c>
      <c r="Q254" s="110" t="str">
        <f>IFERROR(INDEX('WetLitterbags placem_collection'!$A$3:$A$500,MATCH(A254,'WetLitterbags placem_collection'!$Q$4:$Q$500,0)),"")</f>
        <v/>
      </c>
    </row>
    <row r="255" spans="1:17" ht="13.95" customHeight="1">
      <c r="A255" s="110" t="s">
        <v>1356</v>
      </c>
      <c r="B255">
        <v>123</v>
      </c>
      <c r="C255" s="110">
        <v>0.622</v>
      </c>
      <c r="E255" s="112">
        <v>42879</v>
      </c>
      <c r="N255" s="110">
        <f>IFERROR(INDEX('WetLitterbags placem_collection'!$A$3:$A$500,MATCH(A255,'WetLitterbags placem_collection'!$K$4:$K$500,0)),"")</f>
        <v>122</v>
      </c>
      <c r="O255" s="110" t="str">
        <f>IFERROR(INDEX('WetLitterbags placem_collection'!$A$3:$A$500,MATCH(A255,'WetLitterbags placem_collection'!$O$4:$O$500,0)),"")</f>
        <v/>
      </c>
      <c r="P255" s="110" t="str">
        <f>IFERROR(INDEX('WetLitterbags placem_collection'!$A$3:$A$500,MATCH(A255,'WetLitterbags placem_collection'!$M$4:$M$500,0)),"")</f>
        <v/>
      </c>
      <c r="Q255" s="110" t="str">
        <f>IFERROR(INDEX('WetLitterbags placem_collection'!$A$3:$A$500,MATCH(A255,'WetLitterbags placem_collection'!$Q$4:$Q$500,0)),"")</f>
        <v/>
      </c>
    </row>
    <row r="256" spans="1:17" ht="13.95" customHeight="1">
      <c r="A256" s="110" t="s">
        <v>1355</v>
      </c>
      <c r="B256" s="110">
        <v>111</v>
      </c>
      <c r="C256" s="110">
        <v>0.621</v>
      </c>
      <c r="E256" s="112">
        <v>42879</v>
      </c>
      <c r="N256" s="110" t="str">
        <f>IFERROR(INDEX('WetLitterbags placem_collection'!$A$3:$A$500,MATCH(A256,'WetLitterbags placem_collection'!$K$4:$K$500,0)),"")</f>
        <v/>
      </c>
      <c r="O256" s="110">
        <f>IFERROR(INDEX('WetLitterbags placem_collection'!$A$3:$A$500,MATCH(A256,'WetLitterbags placem_collection'!$O$4:$O$500,0)),"")</f>
        <v>110</v>
      </c>
      <c r="P256" s="110" t="str">
        <f>IFERROR(INDEX('WetLitterbags placem_collection'!$A$3:$A$500,MATCH(A256,'WetLitterbags placem_collection'!$M$4:$M$500,0)),"")</f>
        <v/>
      </c>
      <c r="Q256" s="110" t="str">
        <f>IFERROR(INDEX('WetLitterbags placem_collection'!$A$3:$A$500,MATCH(A256,'WetLitterbags placem_collection'!$Q$4:$Q$500,0)),"")</f>
        <v/>
      </c>
    </row>
    <row r="257" spans="1:17" ht="13.95" customHeight="1">
      <c r="A257" s="110" t="s">
        <v>1354</v>
      </c>
      <c r="B257" s="110" t="s">
        <v>2077</v>
      </c>
      <c r="C257" s="110">
        <v>0.82469999999999999</v>
      </c>
      <c r="E257" s="112">
        <v>43119</v>
      </c>
      <c r="N257" s="110" t="str">
        <f>IFERROR(INDEX('WetLitterbags placem_collection'!$A$3:$A$500,MATCH(A257,'WetLitterbags placem_collection'!$K$4:$K$500,0)),"")</f>
        <v/>
      </c>
      <c r="O257" s="110">
        <f>IFERROR(INDEX('WetLitterbags placem_collection'!$A$3:$A$500,MATCH(A257,'WetLitterbags placem_collection'!$O$4:$O$500,0)),"")</f>
        <v>148</v>
      </c>
      <c r="P257" s="110" t="str">
        <f>IFERROR(INDEX('WetLitterbags placem_collection'!$A$3:$A$500,MATCH(A257,'WetLitterbags placem_collection'!$M$4:$M$500,0)),"")</f>
        <v/>
      </c>
      <c r="Q257" s="110" t="str">
        <f>IFERROR(INDEX('WetLitterbags placem_collection'!$A$3:$A$500,MATCH(A257,'WetLitterbags placem_collection'!$Q$4:$Q$500,0)),"")</f>
        <v/>
      </c>
    </row>
    <row r="258" spans="1:17" ht="13.95" customHeight="1">
      <c r="A258" s="110" t="s">
        <v>1353</v>
      </c>
      <c r="B258" s="110">
        <v>143</v>
      </c>
      <c r="C258" s="110">
        <v>0.67500000000000004</v>
      </c>
      <c r="E258" s="112">
        <v>43125</v>
      </c>
      <c r="N258" s="110" t="str">
        <f>IFERROR(INDEX('WetLitterbags placem_collection'!$A$3:$A$500,MATCH(A258,'WetLitterbags placem_collection'!$K$4:$K$500,0)),"")</f>
        <v/>
      </c>
      <c r="O258" s="110">
        <f>IFERROR(INDEX('WetLitterbags placem_collection'!$A$3:$A$500,MATCH(A258,'WetLitterbags placem_collection'!$O$4:$O$500,0)),"")</f>
        <v>142</v>
      </c>
      <c r="P258" s="110" t="str">
        <f>IFERROR(INDEX('WetLitterbags placem_collection'!$A$3:$A$500,MATCH(A258,'WetLitterbags placem_collection'!$M$4:$M$500,0)),"")</f>
        <v/>
      </c>
      <c r="Q258" s="110" t="str">
        <f>IFERROR(INDEX('WetLitterbags placem_collection'!$A$3:$A$500,MATCH(A258,'WetLitterbags placem_collection'!$Q$4:$Q$500,0)),"")</f>
        <v/>
      </c>
    </row>
    <row r="259" spans="1:17" ht="13.95" customHeight="1">
      <c r="A259" s="110" t="s">
        <v>1352</v>
      </c>
      <c r="B259" s="110">
        <v>120</v>
      </c>
      <c r="C259" s="110">
        <v>0.55310000000000004</v>
      </c>
      <c r="E259" s="112">
        <v>43125</v>
      </c>
      <c r="N259" s="110" t="str">
        <f>IFERROR(INDEX('WetLitterbags placem_collection'!$A$3:$A$500,MATCH(A259,'WetLitterbags placem_collection'!$K$4:$K$500,0)),"")</f>
        <v/>
      </c>
      <c r="O259" s="110">
        <f>IFERROR(INDEX('WetLitterbags placem_collection'!$A$3:$A$500,MATCH(A259,'WetLitterbags placem_collection'!$O$4:$O$500,0)),"")</f>
        <v>119</v>
      </c>
      <c r="P259" s="110" t="str">
        <f>IFERROR(INDEX('WetLitterbags placem_collection'!$A$3:$A$500,MATCH(A259,'WetLitterbags placem_collection'!$M$4:$M$500,0)),"")</f>
        <v/>
      </c>
      <c r="Q259" s="110" t="str">
        <f>IFERROR(INDEX('WetLitterbags placem_collection'!$A$3:$A$500,MATCH(A259,'WetLitterbags placem_collection'!$Q$4:$Q$500,0)),"")</f>
        <v/>
      </c>
    </row>
    <row r="260" spans="1:17" ht="13.95" customHeight="1">
      <c r="A260" s="110" t="s">
        <v>1351</v>
      </c>
      <c r="B260" s="110">
        <v>21</v>
      </c>
      <c r="C260" s="110">
        <v>0.7389</v>
      </c>
      <c r="E260" s="112">
        <v>43122</v>
      </c>
      <c r="N260" s="110">
        <f>IFERROR(INDEX('WetLitterbags placem_collection'!$A$3:$A$500,MATCH(A260,'WetLitterbags placem_collection'!$K$4:$K$500,0)),"")</f>
        <v>20</v>
      </c>
      <c r="O260" s="110" t="str">
        <f>IFERROR(INDEX('WetLitterbags placem_collection'!$A$3:$A$500,MATCH(A260,'WetLitterbags placem_collection'!$O$4:$O$500,0)),"")</f>
        <v/>
      </c>
      <c r="P260" s="110" t="str">
        <f>IFERROR(INDEX('WetLitterbags placem_collection'!$A$3:$A$500,MATCH(A260,'WetLitterbags placem_collection'!$M$4:$M$500,0)),"")</f>
        <v/>
      </c>
      <c r="Q260" s="110" t="str">
        <f>IFERROR(INDEX('WetLitterbags placem_collection'!$A$3:$A$500,MATCH(A260,'WetLitterbags placem_collection'!$Q$4:$Q$500,0)),"")</f>
        <v/>
      </c>
    </row>
    <row r="261" spans="1:17" ht="13.95" customHeight="1">
      <c r="A261" s="110" t="s">
        <v>1350</v>
      </c>
      <c r="B261" s="110">
        <v>65</v>
      </c>
      <c r="C261" s="110">
        <v>0.82299999999999995</v>
      </c>
      <c r="E261" s="112">
        <v>42879</v>
      </c>
      <c r="N261" s="110" t="str">
        <f>IFERROR(INDEX('WetLitterbags placem_collection'!$A$3:$A$500,MATCH(A261,'WetLitterbags placem_collection'!$K$4:$K$500,0)),"")</f>
        <v/>
      </c>
      <c r="O261" s="110">
        <f>IFERROR(INDEX('WetLitterbags placem_collection'!$A$3:$A$500,MATCH(A261,'WetLitterbags placem_collection'!$O$4:$O$500,0)),"")</f>
        <v>64</v>
      </c>
      <c r="P261" s="110" t="str">
        <f>IFERROR(INDEX('WetLitterbags placem_collection'!$A$3:$A$500,MATCH(A261,'WetLitterbags placem_collection'!$M$4:$M$500,0)),"")</f>
        <v/>
      </c>
      <c r="Q261" s="110" t="str">
        <f>IFERROR(INDEX('WetLitterbags placem_collection'!$A$3:$A$500,MATCH(A261,'WetLitterbags placem_collection'!$Q$4:$Q$500,0)),"")</f>
        <v/>
      </c>
    </row>
    <row r="262" spans="1:17" ht="13.95" customHeight="1">
      <c r="A262" s="110" t="s">
        <v>1349</v>
      </c>
      <c r="B262" s="110" t="s">
        <v>2077</v>
      </c>
      <c r="C262" s="110">
        <v>0.59260000000000002</v>
      </c>
      <c r="E262" s="112">
        <v>43123</v>
      </c>
      <c r="N262" s="110" t="str">
        <f>IFERROR(INDEX('WetLitterbags placem_collection'!$A$3:$A$500,MATCH(A262,'WetLitterbags placem_collection'!$K$4:$K$500,0)),"")</f>
        <v/>
      </c>
      <c r="O262" s="110">
        <f>IFERROR(INDEX('WetLitterbags placem_collection'!$A$3:$A$500,MATCH(A262,'WetLitterbags placem_collection'!$O$4:$O$500,0)),"")</f>
        <v>7</v>
      </c>
      <c r="P262" s="110" t="str">
        <f>IFERROR(INDEX('WetLitterbags placem_collection'!$A$3:$A$500,MATCH(A262,'WetLitterbags placem_collection'!$M$4:$M$500,0)),"")</f>
        <v/>
      </c>
      <c r="Q262" s="110" t="str">
        <f>IFERROR(INDEX('WetLitterbags placem_collection'!$A$3:$A$500,MATCH(A262,'WetLitterbags placem_collection'!$Q$4:$Q$500,0)),"")</f>
        <v/>
      </c>
    </row>
    <row r="263" spans="1:17" ht="13.95" customHeight="1">
      <c r="A263" s="110" t="s">
        <v>1348</v>
      </c>
      <c r="B263" s="110" t="s">
        <v>2077</v>
      </c>
      <c r="C263" s="110">
        <v>0.73699999999999999</v>
      </c>
      <c r="E263" s="112">
        <v>43122</v>
      </c>
      <c r="N263" s="110">
        <f>IFERROR(INDEX('WetLitterbags placem_collection'!$A$3:$A$500,MATCH(A263,'WetLitterbags placem_collection'!$K$4:$K$500,0)),"")</f>
        <v>27</v>
      </c>
      <c r="O263" s="110" t="str">
        <f>IFERROR(INDEX('WetLitterbags placem_collection'!$A$3:$A$500,MATCH(A263,'WetLitterbags placem_collection'!$O$4:$O$500,0)),"")</f>
        <v/>
      </c>
      <c r="P263" s="110" t="str">
        <f>IFERROR(INDEX('WetLitterbags placem_collection'!$A$3:$A$500,MATCH(A263,'WetLitterbags placem_collection'!$M$4:$M$500,0)),"")</f>
        <v/>
      </c>
      <c r="Q263" s="110" t="str">
        <f>IFERROR(INDEX('WetLitterbags placem_collection'!$A$3:$A$500,MATCH(A263,'WetLitterbags placem_collection'!$Q$4:$Q$500,0)),"")</f>
        <v/>
      </c>
    </row>
    <row r="264" spans="1:17" ht="13.95" customHeight="1">
      <c r="A264" s="110" t="s">
        <v>1347</v>
      </c>
      <c r="B264" s="110">
        <v>38</v>
      </c>
      <c r="C264" s="110">
        <v>0.81899999999999995</v>
      </c>
      <c r="E264" s="112">
        <v>42881</v>
      </c>
      <c r="N264" s="110" t="str">
        <f>IFERROR(INDEX('WetLitterbags placem_collection'!$A$3:$A$500,MATCH(A264,'WetLitterbags placem_collection'!$K$4:$K$500,0)),"")</f>
        <v/>
      </c>
      <c r="O264" s="110">
        <f>IFERROR(INDEX('WetLitterbags placem_collection'!$A$3:$A$500,MATCH(A264,'WetLitterbags placem_collection'!$O$4:$O$500,0)),"")</f>
        <v>37</v>
      </c>
      <c r="P264" s="110" t="str">
        <f>IFERROR(INDEX('WetLitterbags placem_collection'!$A$3:$A$500,MATCH(A264,'WetLitterbags placem_collection'!$M$4:$M$500,0)),"")</f>
        <v/>
      </c>
      <c r="Q264" s="110" t="str">
        <f>IFERROR(INDEX('WetLitterbags placem_collection'!$A$3:$A$500,MATCH(A264,'WetLitterbags placem_collection'!$Q$4:$Q$500,0)),"")</f>
        <v/>
      </c>
    </row>
    <row r="265" spans="1:17" ht="13.95" customHeight="1">
      <c r="A265" s="110" t="s">
        <v>1346</v>
      </c>
      <c r="B265" s="110">
        <v>109</v>
      </c>
      <c r="C265" s="110">
        <v>0.63019999999999998</v>
      </c>
      <c r="E265" s="112">
        <v>43125</v>
      </c>
      <c r="N265" s="110">
        <f>IFERROR(INDEX('WetLitterbags placem_collection'!$A$3:$A$500,MATCH(A265,'WetLitterbags placem_collection'!$K$4:$K$500,0)),"")</f>
        <v>108</v>
      </c>
      <c r="O265" s="110" t="str">
        <f>IFERROR(INDEX('WetLitterbags placem_collection'!$A$3:$A$500,MATCH(A265,'WetLitterbags placem_collection'!$O$4:$O$500,0)),"")</f>
        <v/>
      </c>
      <c r="P265" s="110" t="str">
        <f>IFERROR(INDEX('WetLitterbags placem_collection'!$A$3:$A$500,MATCH(A265,'WetLitterbags placem_collection'!$M$4:$M$500,0)),"")</f>
        <v/>
      </c>
      <c r="Q265" s="110" t="str">
        <f>IFERROR(INDEX('WetLitterbags placem_collection'!$A$3:$A$500,MATCH(A265,'WetLitterbags placem_collection'!$Q$4:$Q$500,0)),"")</f>
        <v/>
      </c>
    </row>
    <row r="266" spans="1:17" ht="13.95" customHeight="1">
      <c r="A266" s="110" t="s">
        <v>1344</v>
      </c>
      <c r="B266" s="110">
        <v>140</v>
      </c>
      <c r="C266" s="110">
        <v>0.60780000000000001</v>
      </c>
      <c r="E266" s="112">
        <v>43125</v>
      </c>
      <c r="N266" s="110" t="str">
        <f>IFERROR(INDEX('WetLitterbags placem_collection'!$A$3:$A$500,MATCH(A266,'WetLitterbags placem_collection'!$K$4:$K$500,0)),"")</f>
        <v/>
      </c>
      <c r="O266" s="110">
        <f>IFERROR(INDEX('WetLitterbags placem_collection'!$A$3:$A$500,MATCH(A266,'WetLitterbags placem_collection'!$O$4:$O$500,0)),"")</f>
        <v>139</v>
      </c>
      <c r="P266" s="110" t="str">
        <f>IFERROR(INDEX('WetLitterbags placem_collection'!$A$3:$A$500,MATCH(A266,'WetLitterbags placem_collection'!$M$4:$M$500,0)),"")</f>
        <v/>
      </c>
      <c r="Q266" s="110" t="str">
        <f>IFERROR(INDEX('WetLitterbags placem_collection'!$A$3:$A$500,MATCH(A266,'WetLitterbags placem_collection'!$Q$4:$Q$500,0)),"")</f>
        <v/>
      </c>
    </row>
    <row r="267" spans="1:17" ht="13.95" customHeight="1">
      <c r="A267" s="110" t="s">
        <v>1343</v>
      </c>
      <c r="B267" s="110">
        <v>201</v>
      </c>
      <c r="C267" s="110">
        <v>0.63959999999999995</v>
      </c>
      <c r="D267" s="110" t="s">
        <v>2124</v>
      </c>
      <c r="E267" s="112">
        <v>43122</v>
      </c>
      <c r="N267" s="110" t="str">
        <f>IFERROR(INDEX('WetLitterbags placem_collection'!$A$3:$A$500,MATCH(A267,'WetLitterbags placem_collection'!$K$4:$K$500,0)),"")</f>
        <v/>
      </c>
      <c r="O267" s="110">
        <f>IFERROR(INDEX('WetLitterbags placem_collection'!$A$3:$A$500,MATCH(A267,'WetLitterbags placem_collection'!$O$4:$O$500,0)),"")</f>
        <v>200</v>
      </c>
      <c r="P267" s="110" t="str">
        <f>IFERROR(INDEX('WetLitterbags placem_collection'!$A$3:$A$500,MATCH(A267,'WetLitterbags placem_collection'!$M$4:$M$500,0)),"")</f>
        <v/>
      </c>
      <c r="Q267" s="110" t="str">
        <f>IFERROR(INDEX('WetLitterbags placem_collection'!$A$3:$A$500,MATCH(A267,'WetLitterbags placem_collection'!$Q$4:$Q$500,0)),"")</f>
        <v/>
      </c>
    </row>
    <row r="268" spans="1:17" ht="13.95" customHeight="1">
      <c r="A268" s="182" t="s">
        <v>1342</v>
      </c>
      <c r="B268" s="110">
        <v>130</v>
      </c>
      <c r="C268" s="110">
        <v>0.56599999999999995</v>
      </c>
      <c r="E268" s="112">
        <v>42879</v>
      </c>
      <c r="N268" s="110" t="str">
        <f>IFERROR(INDEX('WetLitterbags placem_collection'!$A$3:$A$500,MATCH(A268,'WetLitterbags placem_collection'!$K$4:$K$500,0)),"")</f>
        <v/>
      </c>
      <c r="O268" s="110">
        <f>IFERROR(INDEX('WetLitterbags placem_collection'!$A$3:$A$500,MATCH(A268,'WetLitterbags placem_collection'!$O$4:$O$500,0)),"")</f>
        <v>129</v>
      </c>
      <c r="P268" s="110" t="str">
        <f>IFERROR(INDEX('WetLitterbags placem_collection'!$A$3:$A$500,MATCH(A268,'WetLitterbags placem_collection'!$M$4:$M$500,0)),"")</f>
        <v/>
      </c>
      <c r="Q268" s="110" t="str">
        <f>IFERROR(INDEX('WetLitterbags placem_collection'!$A$3:$A$500,MATCH(A268,'WetLitterbags placem_collection'!$Q$4:$Q$500,0)),"")</f>
        <v/>
      </c>
    </row>
    <row r="269" spans="1:17" ht="13.95" customHeight="1">
      <c r="A269" s="110" t="s">
        <v>1341</v>
      </c>
      <c r="B269" s="110" t="s">
        <v>2077</v>
      </c>
      <c r="C269" s="110">
        <v>0.56469999999999998</v>
      </c>
      <c r="D269" s="110" t="s">
        <v>2115</v>
      </c>
      <c r="E269" s="112">
        <v>43122</v>
      </c>
      <c r="N269" s="110" t="str">
        <f>IFERROR(INDEX('WetLitterbags placem_collection'!$A$3:$A$500,MATCH(A269,'WetLitterbags placem_collection'!$K$4:$K$500,0)),"")</f>
        <v/>
      </c>
      <c r="O269" s="110">
        <f>IFERROR(INDEX('WetLitterbags placem_collection'!$A$3:$A$500,MATCH(A269,'WetLitterbags placem_collection'!$O$4:$O$500,0)),"")</f>
        <v>199</v>
      </c>
      <c r="P269" s="110" t="str">
        <f>IFERROR(INDEX('WetLitterbags placem_collection'!$A$3:$A$500,MATCH(A269,'WetLitterbags placem_collection'!$M$4:$M$500,0)),"")</f>
        <v/>
      </c>
      <c r="Q269" s="110" t="str">
        <f>IFERROR(INDEX('WetLitterbags placem_collection'!$A$3:$A$500,MATCH(A269,'WetLitterbags placem_collection'!$Q$4:$Q$500,0)),"")</f>
        <v/>
      </c>
    </row>
    <row r="270" spans="1:17" ht="13.95" customHeight="1">
      <c r="A270" s="110" t="s">
        <v>1340</v>
      </c>
      <c r="B270" s="110">
        <v>208</v>
      </c>
      <c r="C270" s="110">
        <v>0.91</v>
      </c>
      <c r="E270" s="112">
        <v>42879</v>
      </c>
      <c r="N270" s="110">
        <f>IFERROR(INDEX('WetLitterbags placem_collection'!$A$3:$A$500,MATCH(A270,'WetLitterbags placem_collection'!$K$4:$K$500,0)),"")</f>
        <v>207</v>
      </c>
      <c r="O270" s="110" t="str">
        <f>IFERROR(INDEX('WetLitterbags placem_collection'!$A$3:$A$500,MATCH(A270,'WetLitterbags placem_collection'!$O$4:$O$500,0)),"")</f>
        <v/>
      </c>
      <c r="P270" s="110" t="str">
        <f>IFERROR(INDEX('WetLitterbags placem_collection'!$A$3:$A$500,MATCH(A270,'WetLitterbags placem_collection'!$M$4:$M$500,0)),"")</f>
        <v/>
      </c>
      <c r="Q270" s="110" t="str">
        <f>IFERROR(INDEX('WetLitterbags placem_collection'!$A$3:$A$500,MATCH(A270,'WetLitterbags placem_collection'!$Q$4:$Q$500,0)),"")</f>
        <v/>
      </c>
    </row>
    <row r="271" spans="1:17" ht="13.95" customHeight="1">
      <c r="A271" s="110" t="s">
        <v>1338</v>
      </c>
      <c r="B271" s="110">
        <v>109</v>
      </c>
      <c r="C271" s="110">
        <v>0.65500000000000003</v>
      </c>
      <c r="E271" s="112">
        <v>42881</v>
      </c>
      <c r="N271" s="110" t="str">
        <f>IFERROR(INDEX('WetLitterbags placem_collection'!$A$3:$A$500,MATCH(A271,'WetLitterbags placem_collection'!$K$4:$K$500,0)),"")</f>
        <v/>
      </c>
      <c r="O271" s="110">
        <f>IFERROR(INDEX('WetLitterbags placem_collection'!$A$3:$A$500,MATCH(A271,'WetLitterbags placem_collection'!$O$4:$O$500,0)),"")</f>
        <v>198</v>
      </c>
      <c r="P271" s="110" t="str">
        <f>IFERROR(INDEX('WetLitterbags placem_collection'!$A$3:$A$500,MATCH(A271,'WetLitterbags placem_collection'!$M$4:$M$500,0)),"")</f>
        <v/>
      </c>
      <c r="Q271" s="110" t="str">
        <f>IFERROR(INDEX('WetLitterbags placem_collection'!$A$3:$A$500,MATCH(A271,'WetLitterbags placem_collection'!$Q$4:$Q$500,0)),"")</f>
        <v/>
      </c>
    </row>
    <row r="272" spans="1:17" ht="13.95" customHeight="1">
      <c r="A272" s="110" t="s">
        <v>1337</v>
      </c>
      <c r="B272" s="110">
        <v>104</v>
      </c>
      <c r="C272" s="110">
        <v>0.63500000000000001</v>
      </c>
      <c r="E272" s="112">
        <v>42881</v>
      </c>
      <c r="N272" s="110" t="str">
        <f>IFERROR(INDEX('WetLitterbags placem_collection'!$A$3:$A$500,MATCH(A272,'WetLitterbags placem_collection'!$K$4:$K$500,0)),"")</f>
        <v/>
      </c>
      <c r="O272" s="110">
        <f>IFERROR(INDEX('WetLitterbags placem_collection'!$A$3:$A$500,MATCH(A272,'WetLitterbags placem_collection'!$O$4:$O$500,0)),"")</f>
        <v>193</v>
      </c>
      <c r="P272" s="110" t="str">
        <f>IFERROR(INDEX('WetLitterbags placem_collection'!$A$3:$A$500,MATCH(A272,'WetLitterbags placem_collection'!$M$4:$M$500,0)),"")</f>
        <v/>
      </c>
      <c r="Q272" s="110" t="str">
        <f>IFERROR(INDEX('WetLitterbags placem_collection'!$A$3:$A$500,MATCH(A272,'WetLitterbags placem_collection'!$Q$4:$Q$500,0)),"")</f>
        <v/>
      </c>
    </row>
    <row r="273" spans="1:17" ht="13.95" customHeight="1">
      <c r="A273" s="110" t="s">
        <v>1335</v>
      </c>
      <c r="B273" s="110" t="s">
        <v>2077</v>
      </c>
      <c r="C273" s="110">
        <v>0.69089999999999996</v>
      </c>
      <c r="D273" s="110" t="s">
        <v>2124</v>
      </c>
      <c r="E273" s="112">
        <v>43122</v>
      </c>
      <c r="N273" s="110">
        <f>IFERROR(INDEX('WetLitterbags placem_collection'!$A$3:$A$500,MATCH(A273,'WetLitterbags placem_collection'!$K$4:$K$500,0)),"")</f>
        <v>196</v>
      </c>
      <c r="O273" s="110" t="str">
        <f>IFERROR(INDEX('WetLitterbags placem_collection'!$A$3:$A$500,MATCH(A273,'WetLitterbags placem_collection'!$O$4:$O$500,0)),"")</f>
        <v/>
      </c>
      <c r="P273" s="110" t="str">
        <f>IFERROR(INDEX('WetLitterbags placem_collection'!$A$3:$A$500,MATCH(A273,'WetLitterbags placem_collection'!$M$4:$M$500,0)),"")</f>
        <v/>
      </c>
      <c r="Q273" s="110" t="str">
        <f>IFERROR(INDEX('WetLitterbags placem_collection'!$A$3:$A$500,MATCH(A273,'WetLitterbags placem_collection'!$Q$4:$Q$500,0)),"")</f>
        <v/>
      </c>
    </row>
    <row r="274" spans="1:17" ht="13.95" customHeight="1">
      <c r="A274" s="110" t="s">
        <v>1334</v>
      </c>
      <c r="B274" s="110">
        <v>213</v>
      </c>
      <c r="C274" s="110">
        <v>0.83</v>
      </c>
      <c r="E274" s="112">
        <v>42881</v>
      </c>
      <c r="N274" s="110" t="str">
        <f>IFERROR(INDEX('WetLitterbags placem_collection'!$A$3:$A$500,MATCH(A274,'WetLitterbags placem_collection'!$K$4:$K$500,0)),"")</f>
        <v/>
      </c>
      <c r="O274" s="110">
        <f>IFERROR(INDEX('WetLitterbags placem_collection'!$A$3:$A$500,MATCH(A274,'WetLitterbags placem_collection'!$O$4:$O$500,0)),"")</f>
        <v>212</v>
      </c>
      <c r="P274" s="110" t="str">
        <f>IFERROR(INDEX('WetLitterbags placem_collection'!$A$3:$A$500,MATCH(A274,'WetLitterbags placem_collection'!$M$4:$M$500,0)),"")</f>
        <v/>
      </c>
      <c r="Q274" s="110" t="str">
        <f>IFERROR(INDEX('WetLitterbags placem_collection'!$A$3:$A$500,MATCH(A274,'WetLitterbags placem_collection'!$Q$4:$Q$500,0)),"")</f>
        <v/>
      </c>
    </row>
    <row r="275" spans="1:17" ht="13.95" customHeight="1">
      <c r="A275" s="110" t="s">
        <v>1332</v>
      </c>
      <c r="B275" s="110" t="s">
        <v>2077</v>
      </c>
      <c r="C275" s="110">
        <v>0.67769999999999997</v>
      </c>
      <c r="E275" s="112">
        <v>43122</v>
      </c>
      <c r="N275" s="110" t="str">
        <f>IFERROR(INDEX('WetLitterbags placem_collection'!$A$3:$A$500,MATCH(A275,'WetLitterbags placem_collection'!$K$4:$K$500,0)),"")</f>
        <v/>
      </c>
      <c r="O275" s="110">
        <f>IFERROR(INDEX('WetLitterbags placem_collection'!$A$3:$A$500,MATCH(A275,'WetLitterbags placem_collection'!$O$4:$O$500,0)),"")</f>
        <v>214</v>
      </c>
      <c r="P275" s="110" t="str">
        <f>IFERROR(INDEX('WetLitterbags placem_collection'!$A$3:$A$500,MATCH(A275,'WetLitterbags placem_collection'!$M$4:$M$500,0)),"")</f>
        <v/>
      </c>
      <c r="Q275" s="110" t="str">
        <f>IFERROR(INDEX('WetLitterbags placem_collection'!$A$3:$A$500,MATCH(A275,'WetLitterbags placem_collection'!$Q$4:$Q$500,0)),"")</f>
        <v/>
      </c>
    </row>
    <row r="276" spans="1:17" ht="13.95" customHeight="1">
      <c r="A276" s="110" t="s">
        <v>1330</v>
      </c>
      <c r="B276" s="110" t="s">
        <v>2077</v>
      </c>
      <c r="C276" s="110">
        <v>0.72160000000000002</v>
      </c>
      <c r="D276" s="110" t="s">
        <v>2129</v>
      </c>
      <c r="E276" s="112">
        <v>43122</v>
      </c>
      <c r="N276" s="110" t="str">
        <f>IFERROR(INDEX('WetLitterbags placem_collection'!$A$3:$A$500,MATCH(A276,'WetLitterbags placem_collection'!$K$4:$K$500,0)),"")</f>
        <v/>
      </c>
      <c r="O276" s="110">
        <f>IFERROR(INDEX('WetLitterbags placem_collection'!$A$3:$A$500,MATCH(A276,'WetLitterbags placem_collection'!$O$4:$O$500,0)),"")</f>
        <v>209</v>
      </c>
      <c r="P276" s="110" t="str">
        <f>IFERROR(INDEX('WetLitterbags placem_collection'!$A$3:$A$500,MATCH(A276,'WetLitterbags placem_collection'!$M$4:$M$500,0)),"")</f>
        <v/>
      </c>
      <c r="Q276" s="110" t="str">
        <f>IFERROR(INDEX('WetLitterbags placem_collection'!$A$3:$A$500,MATCH(A276,'WetLitterbags placem_collection'!$Q$4:$Q$500,0)),"")</f>
        <v/>
      </c>
    </row>
    <row r="277" spans="1:17" ht="13.95" customHeight="1">
      <c r="A277" s="110" t="s">
        <v>1329</v>
      </c>
      <c r="B277" s="110">
        <v>21</v>
      </c>
      <c r="C277" s="110">
        <v>0.66739999999999999</v>
      </c>
      <c r="E277" s="112">
        <v>43122</v>
      </c>
      <c r="N277" s="110" t="str">
        <f>IFERROR(INDEX('WetLitterbags placem_collection'!$A$3:$A$500,MATCH(A277,'WetLitterbags placem_collection'!$K$4:$K$500,0)),"")</f>
        <v/>
      </c>
      <c r="O277" s="110">
        <f>IFERROR(INDEX('WetLitterbags placem_collection'!$A$3:$A$500,MATCH(A277,'WetLitterbags placem_collection'!$O$4:$O$500,0)),"")</f>
        <v>20</v>
      </c>
      <c r="P277" s="110" t="str">
        <f>IFERROR(INDEX('WetLitterbags placem_collection'!$A$3:$A$500,MATCH(A277,'WetLitterbags placem_collection'!$M$4:$M$500,0)),"")</f>
        <v/>
      </c>
      <c r="Q277" s="110" t="str">
        <f>IFERROR(INDEX('WetLitterbags placem_collection'!$A$3:$A$500,MATCH(A277,'WetLitterbags placem_collection'!$Q$4:$Q$500,0)),"")</f>
        <v/>
      </c>
    </row>
    <row r="278" spans="1:17" ht="13.95" customHeight="1">
      <c r="A278" s="110" t="s">
        <v>1327</v>
      </c>
      <c r="B278" s="110">
        <v>86</v>
      </c>
      <c r="C278" s="110">
        <v>0.78249999999999997</v>
      </c>
      <c r="E278" s="112">
        <v>43123</v>
      </c>
      <c r="N278" s="110">
        <f>IFERROR(INDEX('WetLitterbags placem_collection'!$A$3:$A$500,MATCH(A278,'WetLitterbags placem_collection'!$K$4:$K$500,0)),"")</f>
        <v>85</v>
      </c>
      <c r="O278" s="110" t="str">
        <f>IFERROR(INDEX('WetLitterbags placem_collection'!$A$3:$A$500,MATCH(A278,'WetLitterbags placem_collection'!$O$4:$O$500,0)),"")</f>
        <v/>
      </c>
      <c r="P278" s="110" t="str">
        <f>IFERROR(INDEX('WetLitterbags placem_collection'!$A$3:$A$500,MATCH(A278,'WetLitterbags placem_collection'!$M$4:$M$500,0)),"")</f>
        <v/>
      </c>
      <c r="Q278" s="110" t="str">
        <f>IFERROR(INDEX('WetLitterbags placem_collection'!$A$3:$A$500,MATCH(A278,'WetLitterbags placem_collection'!$Q$4:$Q$500,0)),"")</f>
        <v/>
      </c>
    </row>
    <row r="279" spans="1:17" ht="13.95" customHeight="1">
      <c r="A279" t="s">
        <v>1326</v>
      </c>
      <c r="B279" s="110">
        <v>113</v>
      </c>
      <c r="C279" s="110">
        <v>0.61099999999999999</v>
      </c>
      <c r="E279" s="112">
        <v>42878</v>
      </c>
      <c r="N279" s="110">
        <f>IFERROR(INDEX('WetLitterbags placem_collection'!$A$3:$A$500,MATCH(A279,'WetLitterbags placem_collection'!$K$4:$K$500,0)),"")</f>
        <v>112</v>
      </c>
      <c r="O279" s="110" t="str">
        <f>IFERROR(INDEX('WetLitterbags placem_collection'!$A$3:$A$500,MATCH(A279,'WetLitterbags placem_collection'!$O$4:$O$500,0)),"")</f>
        <v/>
      </c>
      <c r="P279" s="110" t="str">
        <f>IFERROR(INDEX('WetLitterbags placem_collection'!$A$3:$A$500,MATCH(A279,'WetLitterbags placem_collection'!$M$4:$M$500,0)),"")</f>
        <v/>
      </c>
      <c r="Q279" s="110" t="str">
        <f>IFERROR(INDEX('WetLitterbags placem_collection'!$A$3:$A$500,MATCH(A279,'WetLitterbags placem_collection'!$Q$4:$Q$500,0)),"")</f>
        <v/>
      </c>
    </row>
    <row r="280" spans="1:17" ht="13.95" customHeight="1">
      <c r="A280" s="110" t="s">
        <v>1325</v>
      </c>
      <c r="B280" s="110">
        <v>132</v>
      </c>
      <c r="C280" s="110">
        <v>0.56820000000000004</v>
      </c>
      <c r="D280" s="110" t="s">
        <v>2106</v>
      </c>
      <c r="E280" s="112">
        <v>43125</v>
      </c>
      <c r="N280" s="110">
        <f>IFERROR(INDEX('WetLitterbags placem_collection'!$A$3:$A$500,MATCH(A280,'WetLitterbags placem_collection'!$K$4:$K$500,0)),"")</f>
        <v>131</v>
      </c>
      <c r="O280" s="110" t="str">
        <f>IFERROR(INDEX('WetLitterbags placem_collection'!$A$3:$A$500,MATCH(A280,'WetLitterbags placem_collection'!$O$4:$O$500,0)),"")</f>
        <v/>
      </c>
      <c r="P280" s="110" t="str">
        <f>IFERROR(INDEX('WetLitterbags placem_collection'!$A$3:$A$500,MATCH(A280,'WetLitterbags placem_collection'!$M$4:$M$500,0)),"")</f>
        <v/>
      </c>
      <c r="Q280" s="110" t="str">
        <f>IFERROR(INDEX('WetLitterbags placem_collection'!$A$3:$A$500,MATCH(A280,'WetLitterbags placem_collection'!$Q$4:$Q$500,0)),"")</f>
        <v/>
      </c>
    </row>
    <row r="281" spans="1:17" ht="13.95" customHeight="1">
      <c r="A281" s="110" t="s">
        <v>1323</v>
      </c>
      <c r="B281" s="110">
        <v>219</v>
      </c>
      <c r="C281" s="110">
        <v>0.70650000000000002</v>
      </c>
      <c r="D281" s="110" t="s">
        <v>2082</v>
      </c>
      <c r="E281" s="112">
        <v>43125</v>
      </c>
      <c r="N281" s="110">
        <f>IFERROR(INDEX('WetLitterbags placem_collection'!$A$3:$A$500,MATCH(A281,'WetLitterbags placem_collection'!$K$4:$K$500,0)),"")</f>
        <v>218</v>
      </c>
      <c r="O281" s="110" t="str">
        <f>IFERROR(INDEX('WetLitterbags placem_collection'!$A$3:$A$500,MATCH(A281,'WetLitterbags placem_collection'!$O$4:$O$500,0)),"")</f>
        <v/>
      </c>
      <c r="P281" s="110" t="str">
        <f>IFERROR(INDEX('WetLitterbags placem_collection'!$A$3:$A$500,MATCH(A281,'WetLitterbags placem_collection'!$M$4:$M$500,0)),"")</f>
        <v/>
      </c>
      <c r="Q281" s="110" t="str">
        <f>IFERROR(INDEX('WetLitterbags placem_collection'!$A$3:$A$500,MATCH(A281,'WetLitterbags placem_collection'!$Q$4:$Q$500,0)),"")</f>
        <v/>
      </c>
    </row>
    <row r="282" spans="1:17" ht="13.95" customHeight="1">
      <c r="A282" s="110" t="s">
        <v>1322</v>
      </c>
      <c r="B282" s="110">
        <v>100</v>
      </c>
      <c r="C282" s="110">
        <v>0.59699999999999998</v>
      </c>
      <c r="E282" s="112">
        <v>42881</v>
      </c>
      <c r="N282" s="110">
        <f>IFERROR(INDEX('WetLitterbags placem_collection'!$A$3:$A$500,MATCH(A282,'WetLitterbags placem_collection'!$K$4:$K$500,0)),"")</f>
        <v>99</v>
      </c>
      <c r="O282" s="110" t="str">
        <f>IFERROR(INDEX('WetLitterbags placem_collection'!$A$3:$A$500,MATCH(A282,'WetLitterbags placem_collection'!$O$4:$O$500,0)),"")</f>
        <v/>
      </c>
      <c r="P282" s="110" t="str">
        <f>IFERROR(INDEX('WetLitterbags placem_collection'!$A$3:$A$500,MATCH(A282,'WetLitterbags placem_collection'!$M$4:$M$500,0)),"")</f>
        <v/>
      </c>
      <c r="Q282" s="110" t="str">
        <f>IFERROR(INDEX('WetLitterbags placem_collection'!$A$3:$A$500,MATCH(A282,'WetLitterbags placem_collection'!$Q$4:$Q$500,0)),"")</f>
        <v/>
      </c>
    </row>
    <row r="283" spans="1:17" ht="13.95" customHeight="1">
      <c r="A283" s="110" t="s">
        <v>1321</v>
      </c>
      <c r="B283" s="110">
        <v>105</v>
      </c>
      <c r="C283" s="110">
        <v>0.72399999999999998</v>
      </c>
      <c r="E283" s="112">
        <v>42879</v>
      </c>
      <c r="N283" s="110">
        <f>IFERROR(INDEX('WetLitterbags placem_collection'!$A$3:$A$500,MATCH(A283,'WetLitterbags placem_collection'!$K$4:$K$500,0)),"")</f>
        <v>104</v>
      </c>
      <c r="O283" s="110" t="str">
        <f>IFERROR(INDEX('WetLitterbags placem_collection'!$A$3:$A$500,MATCH(A283,'WetLitterbags placem_collection'!$O$4:$O$500,0)),"")</f>
        <v/>
      </c>
      <c r="P283" s="110" t="str">
        <f>IFERROR(INDEX('WetLitterbags placem_collection'!$A$3:$A$500,MATCH(A283,'WetLitterbags placem_collection'!$M$4:$M$500,0)),"")</f>
        <v/>
      </c>
      <c r="Q283" s="110" t="str">
        <f>IFERROR(INDEX('WetLitterbags placem_collection'!$A$3:$A$500,MATCH(A283,'WetLitterbags placem_collection'!$Q$4:$Q$500,0)),"")</f>
        <v/>
      </c>
    </row>
    <row r="284" spans="1:17" ht="13.95" customHeight="1">
      <c r="A284" s="110" t="s">
        <v>1320</v>
      </c>
      <c r="B284" s="110">
        <v>98</v>
      </c>
      <c r="C284" s="110">
        <v>0.629</v>
      </c>
      <c r="E284" s="112">
        <v>42881</v>
      </c>
      <c r="N284" s="110" t="str">
        <f>IFERROR(INDEX('WetLitterbags placem_collection'!$A$3:$A$500,MATCH(A284,'WetLitterbags placem_collection'!$K$4:$K$500,0)),"")</f>
        <v/>
      </c>
      <c r="O284" s="110">
        <f>IFERROR(INDEX('WetLitterbags placem_collection'!$A$3:$A$500,MATCH(A284,'WetLitterbags placem_collection'!$O$4:$O$500,0)),"")</f>
        <v>97</v>
      </c>
      <c r="P284" s="110" t="str">
        <f>IFERROR(INDEX('WetLitterbags placem_collection'!$A$3:$A$500,MATCH(A284,'WetLitterbags placem_collection'!$M$4:$M$500,0)),"")</f>
        <v/>
      </c>
      <c r="Q284" s="110" t="str">
        <f>IFERROR(INDEX('WetLitterbags placem_collection'!$A$3:$A$500,MATCH(A284,'WetLitterbags placem_collection'!$Q$4:$Q$500,0)),"")</f>
        <v/>
      </c>
    </row>
    <row r="285" spans="1:17" ht="13.95" customHeight="1">
      <c r="A285" t="s">
        <v>1318</v>
      </c>
      <c r="B285" s="110">
        <v>35</v>
      </c>
      <c r="C285" s="110">
        <v>0.71699999999999997</v>
      </c>
      <c r="D285" s="110" t="s">
        <v>2065</v>
      </c>
      <c r="E285" s="112">
        <v>42879</v>
      </c>
      <c r="N285" s="110" t="str">
        <f>IFERROR(INDEX('WetLitterbags placem_collection'!$A$3:$A$500,MATCH(A285,'WetLitterbags placem_collection'!$K$4:$K$500,0)),"")</f>
        <v/>
      </c>
      <c r="O285" s="110">
        <f>IFERROR(INDEX('WetLitterbags placem_collection'!$A$3:$A$500,MATCH(A285,'WetLitterbags placem_collection'!$O$4:$O$500,0)),"")</f>
        <v>34</v>
      </c>
      <c r="P285" s="110" t="str">
        <f>IFERROR(INDEX('WetLitterbags placem_collection'!$A$3:$A$500,MATCH(A285,'WetLitterbags placem_collection'!$M$4:$M$500,0)),"")</f>
        <v/>
      </c>
      <c r="Q285" s="110" t="str">
        <f>IFERROR(INDEX('WetLitterbags placem_collection'!$A$3:$A$500,MATCH(A285,'WetLitterbags placem_collection'!$Q$4:$Q$500,0)),"")</f>
        <v/>
      </c>
    </row>
    <row r="286" spans="1:17" ht="13.95" customHeight="1">
      <c r="A286" s="110" t="s">
        <v>1317</v>
      </c>
      <c r="B286" s="110" t="s">
        <v>2077</v>
      </c>
      <c r="C286" s="110">
        <v>0.73760000000000003</v>
      </c>
      <c r="D286" s="110" t="s">
        <v>2125</v>
      </c>
      <c r="E286" s="112">
        <v>43122</v>
      </c>
      <c r="N286" s="110">
        <f>IFERROR(INDEX('WetLitterbags placem_collection'!$A$3:$A$500,MATCH(A286,'WetLitterbags placem_collection'!$K$4:$K$500,0)),"")</f>
        <v>148</v>
      </c>
      <c r="O286" s="110" t="str">
        <f>IFERROR(INDEX('WetLitterbags placem_collection'!$A$3:$A$500,MATCH(A286,'WetLitterbags placem_collection'!$O$4:$O$500,0)),"")</f>
        <v/>
      </c>
      <c r="P286" s="110" t="str">
        <f>IFERROR(INDEX('WetLitterbags placem_collection'!$A$3:$A$500,MATCH(A286,'WetLitterbags placem_collection'!$M$4:$M$500,0)),"")</f>
        <v/>
      </c>
      <c r="Q286" s="110" t="str">
        <f>IFERROR(INDEX('WetLitterbags placem_collection'!$A$3:$A$500,MATCH(A286,'WetLitterbags placem_collection'!$Q$4:$Q$500,0)),"")</f>
        <v/>
      </c>
    </row>
    <row r="287" spans="1:17" ht="13.95" customHeight="1">
      <c r="A287" s="110" t="s">
        <v>1314</v>
      </c>
      <c r="B287" s="110">
        <v>174</v>
      </c>
      <c r="C287" s="110">
        <v>0.63500000000000001</v>
      </c>
      <c r="E287" s="112">
        <v>42881</v>
      </c>
      <c r="N287" s="110" t="str">
        <f>IFERROR(INDEX('WetLitterbags placem_collection'!$A$3:$A$500,MATCH(A287,'WetLitterbags placem_collection'!$K$4:$K$500,0)),"")</f>
        <v/>
      </c>
      <c r="O287" s="110">
        <f>IFERROR(INDEX('WetLitterbags placem_collection'!$A$3:$A$500,MATCH(A287,'WetLitterbags placem_collection'!$O$4:$O$500,0)),"")</f>
        <v>173</v>
      </c>
      <c r="P287" s="110" t="str">
        <f>IFERROR(INDEX('WetLitterbags placem_collection'!$A$3:$A$500,MATCH(A287,'WetLitterbags placem_collection'!$M$4:$M$500,0)),"")</f>
        <v/>
      </c>
      <c r="Q287" s="110" t="str">
        <f>IFERROR(INDEX('WetLitterbags placem_collection'!$A$3:$A$500,MATCH(A287,'WetLitterbags placem_collection'!$Q$4:$Q$500,0)),"")</f>
        <v/>
      </c>
    </row>
    <row r="288" spans="1:17" ht="13.95" customHeight="1">
      <c r="A288" s="110" t="s">
        <v>1313</v>
      </c>
      <c r="B288" s="110" t="s">
        <v>2077</v>
      </c>
      <c r="C288" s="110">
        <v>0.57869999999999999</v>
      </c>
      <c r="E288" s="112">
        <v>43122</v>
      </c>
      <c r="N288" s="110" t="str">
        <f>IFERROR(INDEX('WetLitterbags placem_collection'!$A$3:$A$500,MATCH(A288,'WetLitterbags placem_collection'!$K$4:$K$500,0)),"")</f>
        <v/>
      </c>
      <c r="O288" s="110">
        <f>IFERROR(INDEX('WetLitterbags placem_collection'!$A$3:$A$500,MATCH(A288,'WetLitterbags placem_collection'!$O$4:$O$500,0)),"")</f>
        <v>1</v>
      </c>
      <c r="P288" s="110" t="str">
        <f>IFERROR(INDEX('WetLitterbags placem_collection'!$A$3:$A$500,MATCH(A288,'WetLitterbags placem_collection'!$M$4:$M$500,0)),"")</f>
        <v/>
      </c>
      <c r="Q288" s="110" t="str">
        <f>IFERROR(INDEX('WetLitterbags placem_collection'!$A$3:$A$500,MATCH(A288,'WetLitterbags placem_collection'!$Q$4:$Q$500,0)),"")</f>
        <v/>
      </c>
    </row>
    <row r="289" spans="1:17" ht="13.95" customHeight="1">
      <c r="A289" s="110" t="s">
        <v>1312</v>
      </c>
      <c r="B289" s="110" t="s">
        <v>2057</v>
      </c>
      <c r="C289" s="110">
        <v>0.626</v>
      </c>
      <c r="E289" s="112">
        <v>42881</v>
      </c>
      <c r="N289" s="110" t="str">
        <f>IFERROR(INDEX('WetLitterbags placem_collection'!$A$3:$A$500,MATCH(A289,'WetLitterbags placem_collection'!$K$4:$K$500,0)),"")</f>
        <v/>
      </c>
      <c r="O289" s="110">
        <f>IFERROR(INDEX('WetLitterbags placem_collection'!$A$3:$A$500,MATCH(A289,'WetLitterbags placem_collection'!$O$4:$O$500,0)),"")</f>
        <v>105</v>
      </c>
      <c r="P289" s="110" t="str">
        <f>IFERROR(INDEX('WetLitterbags placem_collection'!$A$3:$A$500,MATCH(A289,'WetLitterbags placem_collection'!$M$4:$M$500,0)),"")</f>
        <v/>
      </c>
      <c r="Q289" s="110" t="str">
        <f>IFERROR(INDEX('WetLitterbags placem_collection'!$A$3:$A$500,MATCH(A289,'WetLitterbags placem_collection'!$Q$4:$Q$500,0)),"")</f>
        <v/>
      </c>
    </row>
    <row r="290" spans="1:17" ht="13.95" customHeight="1">
      <c r="A290" s="110" t="s">
        <v>1311</v>
      </c>
      <c r="B290" s="110" t="s">
        <v>2077</v>
      </c>
      <c r="C290" s="110">
        <v>0.87490000000000001</v>
      </c>
      <c r="E290" s="112">
        <v>43119</v>
      </c>
      <c r="N290" s="110" t="str">
        <f>IFERROR(INDEX('WetLitterbags placem_collection'!$A$3:$A$500,MATCH(A290,'WetLitterbags placem_collection'!$K$4:$K$500,0)),"")</f>
        <v/>
      </c>
      <c r="O290" s="110">
        <f>IFERROR(INDEX('WetLitterbags placem_collection'!$A$3:$A$500,MATCH(A290,'WetLitterbags placem_collection'!$O$4:$O$500,0)),"")</f>
        <v>48</v>
      </c>
      <c r="P290" s="110" t="str">
        <f>IFERROR(INDEX('WetLitterbags placem_collection'!$A$3:$A$500,MATCH(A290,'WetLitterbags placem_collection'!$M$4:$M$500,0)),"")</f>
        <v/>
      </c>
      <c r="Q290" s="110" t="str">
        <f>IFERROR(INDEX('WetLitterbags placem_collection'!$A$3:$A$500,MATCH(A290,'WetLitterbags placem_collection'!$Q$4:$Q$500,0)),"")</f>
        <v/>
      </c>
    </row>
    <row r="291" spans="1:17" ht="13.95" customHeight="1">
      <c r="A291" s="110" t="s">
        <v>1310</v>
      </c>
      <c r="B291" s="110">
        <v>125</v>
      </c>
      <c r="C291" s="110">
        <v>0.60099999999999998</v>
      </c>
      <c r="E291" s="112">
        <v>42881</v>
      </c>
      <c r="N291" s="110" t="str">
        <f>IFERROR(INDEX('WetLitterbags placem_collection'!$A$3:$A$500,MATCH(A291,'WetLitterbags placem_collection'!$K$4:$K$500,0)),"")</f>
        <v/>
      </c>
      <c r="O291" s="110">
        <f>IFERROR(INDEX('WetLitterbags placem_collection'!$A$3:$A$500,MATCH(A291,'WetLitterbags placem_collection'!$O$4:$O$500,0)),"")</f>
        <v>124</v>
      </c>
      <c r="P291" s="110" t="str">
        <f>IFERROR(INDEX('WetLitterbags placem_collection'!$A$3:$A$500,MATCH(A291,'WetLitterbags placem_collection'!$M$4:$M$500,0)),"")</f>
        <v/>
      </c>
      <c r="Q291" s="110" t="str">
        <f>IFERROR(INDEX('WetLitterbags placem_collection'!$A$3:$A$500,MATCH(A291,'WetLitterbags placem_collection'!$Q$4:$Q$500,0)),"")</f>
        <v/>
      </c>
    </row>
    <row r="292" spans="1:17" ht="13.95" customHeight="1">
      <c r="A292" s="110" t="s">
        <v>1309</v>
      </c>
      <c r="B292" s="110" t="s">
        <v>2077</v>
      </c>
      <c r="C292" s="110">
        <v>0.60680000000000001</v>
      </c>
      <c r="E292" s="112">
        <v>43122</v>
      </c>
      <c r="N292" s="110">
        <f>IFERROR(INDEX('WetLitterbags placem_collection'!$A$3:$A$500,MATCH(A292,'WetLitterbags placem_collection'!$K$4:$K$500,0)),"")</f>
        <v>96</v>
      </c>
      <c r="O292" s="110" t="str">
        <f>IFERROR(INDEX('WetLitterbags placem_collection'!$A$3:$A$500,MATCH(A292,'WetLitterbags placem_collection'!$O$4:$O$500,0)),"")</f>
        <v/>
      </c>
      <c r="P292" s="110" t="str">
        <f>IFERROR(INDEX('WetLitterbags placem_collection'!$A$3:$A$500,MATCH(A292,'WetLitterbags placem_collection'!$M$4:$M$500,0)),"")</f>
        <v/>
      </c>
      <c r="Q292" s="110" t="str">
        <f>IFERROR(INDEX('WetLitterbags placem_collection'!$A$3:$A$500,MATCH(A292,'WetLitterbags placem_collection'!$Q$4:$Q$500,0)),"")</f>
        <v/>
      </c>
    </row>
    <row r="293" spans="1:17" ht="13.95" customHeight="1">
      <c r="A293" s="110" t="s">
        <v>1308</v>
      </c>
      <c r="B293" s="110" t="s">
        <v>2077</v>
      </c>
      <c r="C293" s="110">
        <v>0.57879999999999998</v>
      </c>
      <c r="D293" s="110" t="s">
        <v>2115</v>
      </c>
      <c r="E293" s="112">
        <v>43119</v>
      </c>
      <c r="N293" s="110">
        <f>IFERROR(INDEX('WetLitterbags placem_collection'!$A$3:$A$500,MATCH(A293,'WetLitterbags placem_collection'!$K$4:$K$500,0)),"")</f>
        <v>109</v>
      </c>
      <c r="O293" s="110" t="str">
        <f>IFERROR(INDEX('WetLitterbags placem_collection'!$A$3:$A$500,MATCH(A293,'WetLitterbags placem_collection'!$O$4:$O$500,0)),"")</f>
        <v/>
      </c>
      <c r="P293" s="110" t="str">
        <f>IFERROR(INDEX('WetLitterbags placem_collection'!$A$3:$A$500,MATCH(A293,'WetLitterbags placem_collection'!$M$4:$M$500,0)),"")</f>
        <v/>
      </c>
      <c r="Q293" s="110" t="str">
        <f>IFERROR(INDEX('WetLitterbags placem_collection'!$A$3:$A$500,MATCH(A293,'WetLitterbags placem_collection'!$Q$4:$Q$500,0)),"")</f>
        <v/>
      </c>
    </row>
    <row r="294" spans="1:17" ht="13.95" customHeight="1">
      <c r="A294" s="110" t="s">
        <v>1307</v>
      </c>
      <c r="B294" s="110">
        <v>163</v>
      </c>
      <c r="C294" s="110">
        <v>0.68700000000000006</v>
      </c>
      <c r="E294" s="112">
        <v>42881</v>
      </c>
      <c r="N294" s="110" t="str">
        <f>IFERROR(INDEX('WetLitterbags placem_collection'!$A$3:$A$500,MATCH(A294,'WetLitterbags placem_collection'!$K$4:$K$500,0)),"")</f>
        <v/>
      </c>
      <c r="O294" s="110">
        <f>IFERROR(INDEX('WetLitterbags placem_collection'!$A$3:$A$500,MATCH(A294,'WetLitterbags placem_collection'!$O$4:$O$500,0)),"")</f>
        <v>162</v>
      </c>
      <c r="P294" s="110" t="str">
        <f>IFERROR(INDEX('WetLitterbags placem_collection'!$A$3:$A$500,MATCH(A294,'WetLitterbags placem_collection'!$M$4:$M$500,0)),"")</f>
        <v/>
      </c>
      <c r="Q294" s="110" t="str">
        <f>IFERROR(INDEX('WetLitterbags placem_collection'!$A$3:$A$500,MATCH(A294,'WetLitterbags placem_collection'!$Q$4:$Q$500,0)),"")</f>
        <v/>
      </c>
    </row>
    <row r="295" spans="1:17" ht="13.95" customHeight="1">
      <c r="A295" s="110" t="s">
        <v>1306</v>
      </c>
      <c r="B295" s="110" t="s">
        <v>2077</v>
      </c>
      <c r="C295" s="110">
        <v>0.62919999999999998</v>
      </c>
      <c r="E295" s="112">
        <v>43119</v>
      </c>
      <c r="N295" s="110" t="str">
        <f>IFERROR(INDEX('WetLitterbags placem_collection'!$A$3:$A$500,MATCH(A295,'WetLitterbags placem_collection'!$K$4:$K$500,0)),"")</f>
        <v/>
      </c>
      <c r="O295" s="110">
        <f>IFERROR(INDEX('WetLitterbags placem_collection'!$A$3:$A$500,MATCH(A295,'WetLitterbags placem_collection'!$O$4:$O$500,0)),"")</f>
        <v>151</v>
      </c>
      <c r="P295" s="110" t="str">
        <f>IFERROR(INDEX('WetLitterbags placem_collection'!$A$3:$A$500,MATCH(A295,'WetLitterbags placem_collection'!$M$4:$M$500,0)),"")</f>
        <v/>
      </c>
      <c r="Q295" s="110" t="str">
        <f>IFERROR(INDEX('WetLitterbags placem_collection'!$A$3:$A$500,MATCH(A295,'WetLitterbags placem_collection'!$Q$4:$Q$500,0)),"")</f>
        <v/>
      </c>
    </row>
    <row r="296" spans="1:17" ht="13.95" customHeight="1">
      <c r="A296" s="110" t="s">
        <v>1305</v>
      </c>
      <c r="B296" s="110">
        <v>135</v>
      </c>
      <c r="C296" s="110">
        <v>0.61099999999999999</v>
      </c>
      <c r="E296" s="112">
        <v>42881</v>
      </c>
      <c r="N296" s="110">
        <f>IFERROR(INDEX('WetLitterbags placem_collection'!$A$3:$A$500,MATCH(A296,'WetLitterbags placem_collection'!$K$4:$K$500,0)),"")</f>
        <v>134</v>
      </c>
      <c r="O296" s="110" t="str">
        <f>IFERROR(INDEX('WetLitterbags placem_collection'!$A$3:$A$500,MATCH(A296,'WetLitterbags placem_collection'!$O$4:$O$500,0)),"")</f>
        <v/>
      </c>
      <c r="P296" s="110" t="str">
        <f>IFERROR(INDEX('WetLitterbags placem_collection'!$A$3:$A$500,MATCH(A296,'WetLitterbags placem_collection'!$M$4:$M$500,0)),"")</f>
        <v/>
      </c>
      <c r="Q296" s="110" t="str">
        <f>IFERROR(INDEX('WetLitterbags placem_collection'!$A$3:$A$500,MATCH(A296,'WetLitterbags placem_collection'!$Q$4:$Q$500,0)),"")</f>
        <v/>
      </c>
    </row>
    <row r="297" spans="1:17" ht="13.95" customHeight="1">
      <c r="A297" s="110" t="s">
        <v>1304</v>
      </c>
      <c r="B297" s="110">
        <v>131</v>
      </c>
      <c r="C297" s="110">
        <v>0.6613</v>
      </c>
      <c r="D297" s="110" t="s">
        <v>2104</v>
      </c>
      <c r="E297" s="112">
        <v>43125</v>
      </c>
      <c r="N297" s="110">
        <f>IFERROR(INDEX('WetLitterbags placem_collection'!$A$3:$A$500,MATCH(A297,'WetLitterbags placem_collection'!$K$4:$K$500,0)),"")</f>
        <v>130</v>
      </c>
      <c r="O297" s="110" t="str">
        <f>IFERROR(INDEX('WetLitterbags placem_collection'!$A$3:$A$500,MATCH(A297,'WetLitterbags placem_collection'!$O$4:$O$500,0)),"")</f>
        <v/>
      </c>
      <c r="P297" s="110" t="str">
        <f>IFERROR(INDEX('WetLitterbags placem_collection'!$A$3:$A$500,MATCH(A297,'WetLitterbags placem_collection'!$M$4:$M$500,0)),"")</f>
        <v/>
      </c>
      <c r="Q297" s="110" t="str">
        <f>IFERROR(INDEX('WetLitterbags placem_collection'!$A$3:$A$500,MATCH(A297,'WetLitterbags placem_collection'!$Q$4:$Q$500,0)),"")</f>
        <v/>
      </c>
    </row>
    <row r="298" spans="1:17" ht="13.95" customHeight="1">
      <c r="A298" s="110" t="s">
        <v>1303</v>
      </c>
      <c r="B298" s="110">
        <v>136</v>
      </c>
      <c r="C298" s="110">
        <v>0.59630000000000005</v>
      </c>
      <c r="E298" s="112">
        <v>43125</v>
      </c>
      <c r="N298" s="110" t="str">
        <f>IFERROR(INDEX('WetLitterbags placem_collection'!$A$3:$A$500,MATCH(A298,'WetLitterbags placem_collection'!$K$4:$K$500,0)),"")</f>
        <v/>
      </c>
      <c r="O298" s="110">
        <f>IFERROR(INDEX('WetLitterbags placem_collection'!$A$3:$A$500,MATCH(A298,'WetLitterbags placem_collection'!$O$4:$O$500,0)),"")</f>
        <v>135</v>
      </c>
      <c r="P298" s="110" t="str">
        <f>IFERROR(INDEX('WetLitterbags placem_collection'!$A$3:$A$500,MATCH(A298,'WetLitterbags placem_collection'!$M$4:$M$500,0)),"")</f>
        <v/>
      </c>
      <c r="Q298" s="110" t="str">
        <f>IFERROR(INDEX('WetLitterbags placem_collection'!$A$3:$A$500,MATCH(A298,'WetLitterbags placem_collection'!$Q$4:$Q$500,0)),"")</f>
        <v/>
      </c>
    </row>
    <row r="299" spans="1:17" ht="13.95" customHeight="1">
      <c r="A299" s="110" t="s">
        <v>1301</v>
      </c>
      <c r="B299" s="110">
        <v>126</v>
      </c>
      <c r="C299" s="110">
        <v>0.67800000000000005</v>
      </c>
      <c r="D299" s="110" t="s">
        <v>2142</v>
      </c>
      <c r="E299" s="112">
        <v>42878</v>
      </c>
      <c r="N299" s="110">
        <f>IFERROR(INDEX('WetLitterbags placem_collection'!$A$3:$A$500,MATCH(A299,'WetLitterbags placem_collection'!$K$4:$K$500,0)),"")</f>
        <v>125</v>
      </c>
      <c r="O299" s="110" t="str">
        <f>IFERROR(INDEX('WetLitterbags placem_collection'!$A$3:$A$500,MATCH(A299,'WetLitterbags placem_collection'!$O$4:$O$500,0)),"")</f>
        <v/>
      </c>
      <c r="P299" s="110" t="str">
        <f>IFERROR(INDEX('WetLitterbags placem_collection'!$A$3:$A$500,MATCH(A299,'WetLitterbags placem_collection'!$M$4:$M$500,0)),"")</f>
        <v/>
      </c>
      <c r="Q299" s="110" t="str">
        <f>IFERROR(INDEX('WetLitterbags placem_collection'!$A$3:$A$500,MATCH(A299,'WetLitterbags placem_collection'!$Q$4:$Q$500,0)),"")</f>
        <v/>
      </c>
    </row>
    <row r="300" spans="1:17" ht="13.95" customHeight="1">
      <c r="A300" s="110" t="s">
        <v>1298</v>
      </c>
      <c r="B300" s="110" t="s">
        <v>2077</v>
      </c>
      <c r="C300" s="110">
        <v>0.47</v>
      </c>
      <c r="E300" s="112">
        <v>43122</v>
      </c>
      <c r="N300" s="110" t="str">
        <f>IFERROR(INDEX('WetLitterbags placem_collection'!$A$3:$A$500,MATCH(A300,'WetLitterbags placem_collection'!$K$4:$K$500,0)),"")</f>
        <v/>
      </c>
      <c r="O300" s="110" t="str">
        <f>IFERROR(INDEX('WetLitterbags placem_collection'!$A$3:$A$500,MATCH(A300,'WetLitterbags placem_collection'!$O$4:$O$500,0)),"")</f>
        <v/>
      </c>
      <c r="P300" s="110" t="str">
        <f>IFERROR(INDEX('WetLitterbags placem_collection'!$A$3:$A$500,MATCH(A300,'WetLitterbags placem_collection'!$M$4:$M$500,0)),"")</f>
        <v/>
      </c>
      <c r="Q300" s="110" t="str">
        <f>IFERROR(INDEX('WetLitterbags placem_collection'!$A$3:$A$500,MATCH(A300,'WetLitterbags placem_collection'!$Q$4:$Q$500,0)),"")</f>
        <v/>
      </c>
    </row>
    <row r="301" spans="1:17" ht="13.95" customHeight="1">
      <c r="A301" s="110" t="s">
        <v>1297</v>
      </c>
      <c r="B301" s="110" t="s">
        <v>2077</v>
      </c>
      <c r="C301" s="110">
        <v>0.7681</v>
      </c>
      <c r="E301" s="112">
        <v>43119</v>
      </c>
      <c r="N301" s="110" t="str">
        <f>IFERROR(INDEX('WetLitterbags placem_collection'!$A$3:$A$500,MATCH(A301,'WetLitterbags placem_collection'!$K$4:$K$500,0)),"")</f>
        <v/>
      </c>
      <c r="O301" s="110">
        <f>IFERROR(INDEX('WetLitterbags placem_collection'!$A$3:$A$500,MATCH(A301,'WetLitterbags placem_collection'!$O$4:$O$500,0)),"")</f>
        <v>202</v>
      </c>
      <c r="P301" s="110" t="str">
        <f>IFERROR(INDEX('WetLitterbags placem_collection'!$A$3:$A$500,MATCH(A301,'WetLitterbags placem_collection'!$M$4:$M$500,0)),"")</f>
        <v/>
      </c>
      <c r="Q301" s="110" t="str">
        <f>IFERROR(INDEX('WetLitterbags placem_collection'!$A$3:$A$500,MATCH(A301,'WetLitterbags placem_collection'!$Q$4:$Q$500,0)),"")</f>
        <v/>
      </c>
    </row>
    <row r="302" spans="1:17" ht="13.95" customHeight="1">
      <c r="A302" s="110" t="s">
        <v>1296</v>
      </c>
      <c r="B302" s="110" t="s">
        <v>2077</v>
      </c>
      <c r="C302" s="110">
        <v>0.6452</v>
      </c>
      <c r="D302" s="110" t="s">
        <v>2115</v>
      </c>
      <c r="E302" s="112">
        <v>43119</v>
      </c>
      <c r="N302" s="110">
        <f>IFERROR(INDEX('WetLitterbags placem_collection'!$A$3:$A$500,MATCH(A302,'WetLitterbags placem_collection'!$K$4:$K$500,0)),"")</f>
        <v>195</v>
      </c>
      <c r="O302" s="110" t="str">
        <f>IFERROR(INDEX('WetLitterbags placem_collection'!$A$3:$A$500,MATCH(A302,'WetLitterbags placem_collection'!$O$4:$O$500,0)),"")</f>
        <v/>
      </c>
      <c r="P302" s="110" t="str">
        <f>IFERROR(INDEX('WetLitterbags placem_collection'!$A$3:$A$500,MATCH(A302,'WetLitterbags placem_collection'!$M$4:$M$500,0)),"")</f>
        <v/>
      </c>
      <c r="Q302" s="110" t="str">
        <f>IFERROR(INDEX('WetLitterbags placem_collection'!$A$3:$A$500,MATCH(A302,'WetLitterbags placem_collection'!$Q$4:$Q$500,0)),"")</f>
        <v/>
      </c>
    </row>
    <row r="303" spans="1:17" ht="13.95" customHeight="1">
      <c r="A303" s="110" t="s">
        <v>1295</v>
      </c>
      <c r="B303" s="110">
        <v>216</v>
      </c>
      <c r="C303" s="110">
        <v>0.88700000000000001</v>
      </c>
      <c r="E303" s="112">
        <v>42879</v>
      </c>
      <c r="N303" s="110">
        <f>IFERROR(INDEX('WetLitterbags placem_collection'!$A$3:$A$500,MATCH(A303,'WetLitterbags placem_collection'!$K$4:$K$500,0)),"")</f>
        <v>215</v>
      </c>
      <c r="O303" s="110" t="str">
        <f>IFERROR(INDEX('WetLitterbags placem_collection'!$A$3:$A$500,MATCH(A303,'WetLitterbags placem_collection'!$O$4:$O$500,0)),"")</f>
        <v/>
      </c>
      <c r="P303" s="110" t="str">
        <f>IFERROR(INDEX('WetLitterbags placem_collection'!$A$3:$A$500,MATCH(A303,'WetLitterbags placem_collection'!$M$4:$M$500,0)),"")</f>
        <v/>
      </c>
      <c r="Q303" s="110" t="str">
        <f>IFERROR(INDEX('WetLitterbags placem_collection'!$A$3:$A$500,MATCH(A303,'WetLitterbags placem_collection'!$Q$4:$Q$500,0)),"")</f>
        <v/>
      </c>
    </row>
    <row r="304" spans="1:17" ht="13.95" customHeight="1">
      <c r="A304" s="110" t="s">
        <v>1294</v>
      </c>
      <c r="B304" s="110">
        <v>134</v>
      </c>
      <c r="C304" s="110">
        <v>0.69399999999999995</v>
      </c>
      <c r="E304" s="112">
        <v>42881</v>
      </c>
      <c r="N304" s="110">
        <f>IFERROR(INDEX('WetLitterbags placem_collection'!$A$3:$A$500,MATCH(A304,'WetLitterbags placem_collection'!$K$4:$K$500,0)),"")</f>
        <v>133</v>
      </c>
      <c r="O304" s="110" t="str">
        <f>IFERROR(INDEX('WetLitterbags placem_collection'!$A$3:$A$500,MATCH(A304,'WetLitterbags placem_collection'!$O$4:$O$500,0)),"")</f>
        <v/>
      </c>
      <c r="P304" s="110" t="str">
        <f>IFERROR(INDEX('WetLitterbags placem_collection'!$A$3:$A$500,MATCH(A304,'WetLitterbags placem_collection'!$M$4:$M$500,0)),"")</f>
        <v/>
      </c>
      <c r="Q304" s="110" t="str">
        <f>IFERROR(INDEX('WetLitterbags placem_collection'!$A$3:$A$500,MATCH(A304,'WetLitterbags placem_collection'!$Q$4:$Q$500,0)),"")</f>
        <v/>
      </c>
    </row>
    <row r="305" spans="1:17" ht="13.95" customHeight="1">
      <c r="A305" s="110" t="s">
        <v>1292</v>
      </c>
      <c r="B305" s="110">
        <v>120</v>
      </c>
      <c r="C305" s="110">
        <v>0.67110000000000003</v>
      </c>
      <c r="D305" s="110" t="s">
        <v>2109</v>
      </c>
      <c r="E305" s="112">
        <v>43125</v>
      </c>
      <c r="N305" s="110">
        <f>IFERROR(INDEX('WetLitterbags placem_collection'!$A$3:$A$500,MATCH(A305,'WetLitterbags placem_collection'!$K$4:$K$500,0)),"")</f>
        <v>119</v>
      </c>
      <c r="O305" s="110" t="str">
        <f>IFERROR(INDEX('WetLitterbags placem_collection'!$A$3:$A$500,MATCH(A305,'WetLitterbags placem_collection'!$O$4:$O$500,0)),"")</f>
        <v/>
      </c>
      <c r="P305" s="110" t="str">
        <f>IFERROR(INDEX('WetLitterbags placem_collection'!$A$3:$A$500,MATCH(A305,'WetLitterbags placem_collection'!$M$4:$M$500,0)),"")</f>
        <v/>
      </c>
      <c r="Q305" s="110" t="str">
        <f>IFERROR(INDEX('WetLitterbags placem_collection'!$A$3:$A$500,MATCH(A305,'WetLitterbags placem_collection'!$Q$4:$Q$500,0)),"")</f>
        <v/>
      </c>
    </row>
    <row r="306" spans="1:17" ht="13.95" customHeight="1">
      <c r="A306" s="110" t="s">
        <v>1290</v>
      </c>
      <c r="B306" s="110" t="s">
        <v>2077</v>
      </c>
      <c r="C306" s="110">
        <v>0.93500000000000005</v>
      </c>
      <c r="E306" s="112">
        <v>43122</v>
      </c>
      <c r="N306" s="110" t="str">
        <f>IFERROR(INDEX('WetLitterbags placem_collection'!$A$3:$A$500,MATCH(A306,'WetLitterbags placem_collection'!$K$4:$K$500,0)),"")</f>
        <v/>
      </c>
      <c r="O306" s="110">
        <f>IFERROR(INDEX('WetLitterbags placem_collection'!$A$3:$A$500,MATCH(A306,'WetLitterbags placem_collection'!$O$4:$O$500,0)),"")</f>
        <v>65</v>
      </c>
      <c r="P306" s="110" t="str">
        <f>IFERROR(INDEX('WetLitterbags placem_collection'!$A$3:$A$500,MATCH(A306,'WetLitterbags placem_collection'!$M$4:$M$500,0)),"")</f>
        <v/>
      </c>
      <c r="Q306" s="110" t="str">
        <f>IFERROR(INDEX('WetLitterbags placem_collection'!$A$3:$A$500,MATCH(A306,'WetLitterbags placem_collection'!$Q$4:$Q$500,0)),"")</f>
        <v/>
      </c>
    </row>
    <row r="307" spans="1:17" ht="13.95" customHeight="1">
      <c r="A307" s="110" t="s">
        <v>1289</v>
      </c>
      <c r="B307" s="110">
        <v>214</v>
      </c>
      <c r="C307" s="110">
        <v>0.71299999999999997</v>
      </c>
      <c r="E307" s="112">
        <v>42878</v>
      </c>
      <c r="N307" s="110">
        <f>IFERROR(INDEX('WetLitterbags placem_collection'!$A$3:$A$500,MATCH(A307,'WetLitterbags placem_collection'!$K$4:$K$500,0)),"")</f>
        <v>213</v>
      </c>
      <c r="O307" s="110" t="str">
        <f>IFERROR(INDEX('WetLitterbags placem_collection'!$A$3:$A$500,MATCH(A307,'WetLitterbags placem_collection'!$O$4:$O$500,0)),"")</f>
        <v/>
      </c>
      <c r="P307" s="110" t="str">
        <f>IFERROR(INDEX('WetLitterbags placem_collection'!$A$3:$A$500,MATCH(A307,'WetLitterbags placem_collection'!$M$4:$M$500,0)),"")</f>
        <v/>
      </c>
      <c r="Q307" s="110" t="str">
        <f>IFERROR(INDEX('WetLitterbags placem_collection'!$A$3:$A$500,MATCH(A307,'WetLitterbags placem_collection'!$Q$4:$Q$500,0)),"")</f>
        <v/>
      </c>
    </row>
    <row r="308" spans="1:17" ht="13.95" customHeight="1">
      <c r="A308" s="110" t="s">
        <v>1288</v>
      </c>
      <c r="B308" s="110">
        <v>146</v>
      </c>
      <c r="C308" s="110">
        <v>0.59199999999999997</v>
      </c>
      <c r="D308" s="110" t="s">
        <v>2125</v>
      </c>
      <c r="E308" s="112">
        <v>42878</v>
      </c>
      <c r="N308" s="110" t="str">
        <f>IFERROR(INDEX('WetLitterbags placem_collection'!$A$3:$A$500,MATCH(A308,'WetLitterbags placem_collection'!$K$4:$K$500,0)),"")</f>
        <v/>
      </c>
      <c r="O308" s="110">
        <f>IFERROR(INDEX('WetLitterbags placem_collection'!$A$3:$A$500,MATCH(A308,'WetLitterbags placem_collection'!$O$4:$O$500,0)),"")</f>
        <v>145</v>
      </c>
      <c r="P308" s="110" t="str">
        <f>IFERROR(INDEX('WetLitterbags placem_collection'!$A$3:$A$500,MATCH(A308,'WetLitterbags placem_collection'!$M$4:$M$500,0)),"")</f>
        <v/>
      </c>
      <c r="Q308" s="110" t="str">
        <f>IFERROR(INDEX('WetLitterbags placem_collection'!$A$3:$A$500,MATCH(A308,'WetLitterbags placem_collection'!$Q$4:$Q$500,0)),"")</f>
        <v/>
      </c>
    </row>
    <row r="309" spans="1:17" ht="13.95" customHeight="1">
      <c r="A309" s="110" t="s">
        <v>1286</v>
      </c>
      <c r="B309" s="110">
        <v>42</v>
      </c>
      <c r="C309" s="110">
        <v>0.72199999999999998</v>
      </c>
      <c r="E309" s="112">
        <v>42881</v>
      </c>
      <c r="N309" s="110">
        <f>IFERROR(INDEX('WetLitterbags placem_collection'!$A$3:$A$500,MATCH(A309,'WetLitterbags placem_collection'!$K$4:$K$500,0)),"")</f>
        <v>41</v>
      </c>
      <c r="O309" s="110" t="str">
        <f>IFERROR(INDEX('WetLitterbags placem_collection'!$A$3:$A$500,MATCH(A309,'WetLitterbags placem_collection'!$O$4:$O$500,0)),"")</f>
        <v/>
      </c>
      <c r="P309" s="110" t="str">
        <f>IFERROR(INDEX('WetLitterbags placem_collection'!$A$3:$A$500,MATCH(A309,'WetLitterbags placem_collection'!$M$4:$M$500,0)),"")</f>
        <v/>
      </c>
      <c r="Q309" s="110" t="str">
        <f>IFERROR(INDEX('WetLitterbags placem_collection'!$A$3:$A$500,MATCH(A309,'WetLitterbags placem_collection'!$Q$4:$Q$500,0)),"")</f>
        <v/>
      </c>
    </row>
    <row r="310" spans="1:17" ht="13.95" customHeight="1">
      <c r="A310" s="110" t="s">
        <v>1285</v>
      </c>
      <c r="B310" s="110">
        <v>99</v>
      </c>
      <c r="C310" s="110">
        <v>0.65149999999999997</v>
      </c>
      <c r="E310" s="112">
        <v>43123</v>
      </c>
      <c r="N310" s="110">
        <f>IFERROR(INDEX('WetLitterbags placem_collection'!$A$3:$A$500,MATCH(A310,'WetLitterbags placem_collection'!$K$4:$K$500,0)),"")</f>
        <v>98</v>
      </c>
      <c r="O310" s="110" t="str">
        <f>IFERROR(INDEX('WetLitterbags placem_collection'!$A$3:$A$500,MATCH(A310,'WetLitterbags placem_collection'!$O$4:$O$500,0)),"")</f>
        <v/>
      </c>
      <c r="P310" s="110" t="str">
        <f>IFERROR(INDEX('WetLitterbags placem_collection'!$A$3:$A$500,MATCH(A310,'WetLitterbags placem_collection'!$M$4:$M$500,0)),"")</f>
        <v/>
      </c>
      <c r="Q310" s="110" t="str">
        <f>IFERROR(INDEX('WetLitterbags placem_collection'!$A$3:$A$500,MATCH(A310,'WetLitterbags placem_collection'!$Q$4:$Q$500,0)),"")</f>
        <v/>
      </c>
    </row>
    <row r="311" spans="1:17" ht="13.95" customHeight="1">
      <c r="A311" s="110" t="s">
        <v>1282</v>
      </c>
      <c r="B311" s="110">
        <v>131</v>
      </c>
      <c r="C311" s="110">
        <v>0.62819999999999998</v>
      </c>
      <c r="E311" s="112">
        <v>43125</v>
      </c>
      <c r="N311" s="110" t="str">
        <f>IFERROR(INDEX('WetLitterbags placem_collection'!$A$3:$A$500,MATCH(A311,'WetLitterbags placem_collection'!$K$4:$K$500,0)),"")</f>
        <v/>
      </c>
      <c r="O311" s="110">
        <f>IFERROR(INDEX('WetLitterbags placem_collection'!$A$3:$A$500,MATCH(A311,'WetLitterbags placem_collection'!$O$4:$O$500,0)),"")</f>
        <v>130</v>
      </c>
      <c r="P311" s="110" t="str">
        <f>IFERROR(INDEX('WetLitterbags placem_collection'!$A$3:$A$500,MATCH(A311,'WetLitterbags placem_collection'!$M$4:$M$500,0)),"")</f>
        <v/>
      </c>
      <c r="Q311" s="110" t="str">
        <f>IFERROR(INDEX('WetLitterbags placem_collection'!$A$3:$A$500,MATCH(A311,'WetLitterbags placem_collection'!$Q$4:$Q$500,0)),"")</f>
        <v/>
      </c>
    </row>
    <row r="312" spans="1:17" ht="13.95" customHeight="1">
      <c r="A312" s="110" t="s">
        <v>1281</v>
      </c>
      <c r="B312" s="110">
        <v>113</v>
      </c>
      <c r="C312" s="110">
        <v>0.70799999999999996</v>
      </c>
      <c r="E312" s="112">
        <v>42878</v>
      </c>
      <c r="N312" s="110" t="str">
        <f>IFERROR(INDEX('WetLitterbags placem_collection'!$A$3:$A$500,MATCH(A312,'WetLitterbags placem_collection'!$K$4:$K$500,0)),"")</f>
        <v/>
      </c>
      <c r="O312" s="110">
        <f>IFERROR(INDEX('WetLitterbags placem_collection'!$A$3:$A$500,MATCH(A312,'WetLitterbags placem_collection'!$O$4:$O$500,0)),"")</f>
        <v>112</v>
      </c>
      <c r="P312" s="110" t="str">
        <f>IFERROR(INDEX('WetLitterbags placem_collection'!$A$3:$A$500,MATCH(A312,'WetLitterbags placem_collection'!$M$4:$M$500,0)),"")</f>
        <v/>
      </c>
      <c r="Q312" s="110" t="str">
        <f>IFERROR(INDEX('WetLitterbags placem_collection'!$A$3:$A$500,MATCH(A312,'WetLitterbags placem_collection'!$Q$4:$Q$500,0)),"")</f>
        <v/>
      </c>
    </row>
    <row r="313" spans="1:17" ht="13.95" customHeight="1">
      <c r="A313" s="110" t="s">
        <v>1280</v>
      </c>
      <c r="B313" s="110">
        <v>202</v>
      </c>
      <c r="C313" s="110">
        <v>0.98199999999999998</v>
      </c>
      <c r="D313" s="110" t="s">
        <v>2050</v>
      </c>
      <c r="E313" s="112">
        <v>42881</v>
      </c>
      <c r="N313" s="110" t="str">
        <f>IFERROR(INDEX('WetLitterbags placem_collection'!$A$3:$A$500,MATCH(A313,'WetLitterbags placem_collection'!$K$4:$K$500,0)),"")</f>
        <v/>
      </c>
      <c r="O313" s="110">
        <f>IFERROR(INDEX('WetLitterbags placem_collection'!$A$3:$A$500,MATCH(A313,'WetLitterbags placem_collection'!$O$4:$O$500,0)),"")</f>
        <v>201</v>
      </c>
      <c r="P313" s="110" t="str">
        <f>IFERROR(INDEX('WetLitterbags placem_collection'!$A$3:$A$500,MATCH(A313,'WetLitterbags placem_collection'!$M$4:$M$500,0)),"")</f>
        <v/>
      </c>
      <c r="Q313" s="110" t="str">
        <f>IFERROR(INDEX('WetLitterbags placem_collection'!$A$3:$A$500,MATCH(A313,'WetLitterbags placem_collection'!$Q$4:$Q$500,0)),"")</f>
        <v/>
      </c>
    </row>
    <row r="314" spans="1:17" ht="13.95" customHeight="1">
      <c r="A314" s="110" t="s">
        <v>1278</v>
      </c>
      <c r="B314" s="110">
        <v>175</v>
      </c>
      <c r="C314" s="110">
        <v>0.58099999999999996</v>
      </c>
      <c r="E314" s="112">
        <v>42879</v>
      </c>
      <c r="N314" s="110" t="str">
        <f>IFERROR(INDEX('WetLitterbags placem_collection'!$A$3:$A$500,MATCH(A314,'WetLitterbags placem_collection'!$K$4:$K$500,0)),"")</f>
        <v/>
      </c>
      <c r="O314" s="110" t="str">
        <f>IFERROR(INDEX('WetLitterbags placem_collection'!$A$3:$A$500,MATCH(A314,'WetLitterbags placem_collection'!$O$4:$O$500,0)),"")</f>
        <v/>
      </c>
      <c r="P314" s="110" t="str">
        <f>IFERROR(INDEX('WetLitterbags placem_collection'!$A$3:$A$500,MATCH(A314,'WetLitterbags placem_collection'!$M$4:$M$500,0)),"")</f>
        <v/>
      </c>
      <c r="Q314" s="110" t="str">
        <f>IFERROR(INDEX('WetLitterbags placem_collection'!$A$3:$A$500,MATCH(A314,'WetLitterbags placem_collection'!$Q$4:$Q$500,0)),"")</f>
        <v/>
      </c>
    </row>
    <row r="315" spans="1:17" ht="13.95" customHeight="1">
      <c r="A315" s="110" t="s">
        <v>1277</v>
      </c>
      <c r="B315" s="110">
        <v>202</v>
      </c>
      <c r="C315" s="110">
        <v>0.84</v>
      </c>
      <c r="E315" s="112">
        <v>42881</v>
      </c>
      <c r="N315" s="110">
        <f>IFERROR(INDEX('WetLitterbags placem_collection'!$A$3:$A$500,MATCH(A315,'WetLitterbags placem_collection'!$K$4:$K$500,0)),"")</f>
        <v>201</v>
      </c>
      <c r="O315" s="110" t="str">
        <f>IFERROR(INDEX('WetLitterbags placem_collection'!$A$3:$A$500,MATCH(A315,'WetLitterbags placem_collection'!$O$4:$O$500,0)),"")</f>
        <v/>
      </c>
      <c r="P315" s="110" t="str">
        <f>IFERROR(INDEX('WetLitterbags placem_collection'!$A$3:$A$500,MATCH(A315,'WetLitterbags placem_collection'!$M$4:$M$500,0)),"")</f>
        <v/>
      </c>
      <c r="Q315" s="110" t="str">
        <f>IFERROR(INDEX('WetLitterbags placem_collection'!$A$3:$A$500,MATCH(A315,'WetLitterbags placem_collection'!$Q$4:$Q$500,0)),"")</f>
        <v/>
      </c>
    </row>
    <row r="316" spans="1:17" ht="13.95" customHeight="1">
      <c r="A316" s="110" t="s">
        <v>1276</v>
      </c>
      <c r="B316" s="110">
        <v>44</v>
      </c>
      <c r="C316" s="110">
        <v>0.89559999999999995</v>
      </c>
      <c r="D316" s="110" t="s">
        <v>2079</v>
      </c>
      <c r="E316" s="112">
        <v>43125</v>
      </c>
      <c r="N316" s="110">
        <f>IFERROR(INDEX('WetLitterbags placem_collection'!$A$3:$A$500,MATCH(A316,'WetLitterbags placem_collection'!$K$4:$K$500,0)),"")</f>
        <v>43</v>
      </c>
      <c r="O316" s="110" t="str">
        <f>IFERROR(INDEX('WetLitterbags placem_collection'!$A$3:$A$500,MATCH(A316,'WetLitterbags placem_collection'!$O$4:$O$500,0)),"")</f>
        <v/>
      </c>
      <c r="P316" s="110" t="str">
        <f>IFERROR(INDEX('WetLitterbags placem_collection'!$A$3:$A$500,MATCH(A316,'WetLitterbags placem_collection'!$M$4:$M$500,0)),"")</f>
        <v/>
      </c>
      <c r="Q316" s="110" t="str">
        <f>IFERROR(INDEX('WetLitterbags placem_collection'!$A$3:$A$500,MATCH(A316,'WetLitterbags placem_collection'!$Q$4:$Q$500,0)),"")</f>
        <v/>
      </c>
    </row>
    <row r="317" spans="1:17" ht="13.95" customHeight="1">
      <c r="A317" t="s">
        <v>1275</v>
      </c>
      <c r="B317" s="110">
        <v>141</v>
      </c>
      <c r="C317" s="110">
        <v>0.69099999999999995</v>
      </c>
      <c r="E317" s="112">
        <v>42878</v>
      </c>
      <c r="N317" s="110" t="str">
        <f>IFERROR(INDEX('WetLitterbags placem_collection'!$A$3:$A$500,MATCH(A317,'WetLitterbags placem_collection'!$K$4:$K$500,0)),"")</f>
        <v/>
      </c>
      <c r="O317" s="110">
        <f>IFERROR(INDEX('WetLitterbags placem_collection'!$A$3:$A$500,MATCH(A317,'WetLitterbags placem_collection'!$O$4:$O$500,0)),"")</f>
        <v>140</v>
      </c>
      <c r="P317" s="110" t="str">
        <f>IFERROR(INDEX('WetLitterbags placem_collection'!$A$3:$A$500,MATCH(A317,'WetLitterbags placem_collection'!$M$4:$M$500,0)),"")</f>
        <v/>
      </c>
      <c r="Q317" s="110" t="str">
        <f>IFERROR(INDEX('WetLitterbags placem_collection'!$A$3:$A$500,MATCH(A317,'WetLitterbags placem_collection'!$Q$4:$Q$500,0)),"")</f>
        <v/>
      </c>
    </row>
    <row r="318" spans="1:17" ht="13.95" customHeight="1">
      <c r="A318" s="110" t="s">
        <v>1273</v>
      </c>
      <c r="B318" s="110">
        <v>157</v>
      </c>
      <c r="C318" s="110">
        <v>0.70499999999999996</v>
      </c>
      <c r="D318" s="110" t="s">
        <v>2050</v>
      </c>
      <c r="E318" s="112">
        <v>42879</v>
      </c>
      <c r="N318" s="110" t="str">
        <f>IFERROR(INDEX('WetLitterbags placem_collection'!$A$3:$A$500,MATCH(A318,'WetLitterbags placem_collection'!$K$4:$K$500,0)),"")</f>
        <v/>
      </c>
      <c r="O318" s="110">
        <f>IFERROR(INDEX('WetLitterbags placem_collection'!$A$3:$A$500,MATCH(A318,'WetLitterbags placem_collection'!$O$4:$O$500,0)),"")</f>
        <v>156</v>
      </c>
      <c r="P318" s="110" t="str">
        <f>IFERROR(INDEX('WetLitterbags placem_collection'!$A$3:$A$500,MATCH(A318,'WetLitterbags placem_collection'!$M$4:$M$500,0)),"")</f>
        <v/>
      </c>
      <c r="Q318" s="110" t="str">
        <f>IFERROR(INDEX('WetLitterbags placem_collection'!$A$3:$A$500,MATCH(A318,'WetLitterbags placem_collection'!$Q$4:$Q$500,0)),"")</f>
        <v/>
      </c>
    </row>
    <row r="319" spans="1:17" ht="13.95" customHeight="1">
      <c r="A319" s="110" t="s">
        <v>1272</v>
      </c>
      <c r="B319" s="110">
        <v>115</v>
      </c>
      <c r="C319" s="110">
        <v>0.73709999999999998</v>
      </c>
      <c r="E319" s="112">
        <v>43125</v>
      </c>
      <c r="N319" s="110" t="str">
        <f>IFERROR(INDEX('WetLitterbags placem_collection'!$A$3:$A$500,MATCH(A319,'WetLitterbags placem_collection'!$K$4:$K$500,0)),"")</f>
        <v/>
      </c>
      <c r="O319" s="110">
        <f>IFERROR(INDEX('WetLitterbags placem_collection'!$A$3:$A$500,MATCH(A319,'WetLitterbags placem_collection'!$O$4:$O$500,0)),"")</f>
        <v>114</v>
      </c>
      <c r="P319" s="110" t="str">
        <f>IFERROR(INDEX('WetLitterbags placem_collection'!$A$3:$A$500,MATCH(A319,'WetLitterbags placem_collection'!$M$4:$M$500,0)),"")</f>
        <v/>
      </c>
      <c r="Q319" s="110" t="str">
        <f>IFERROR(INDEX('WetLitterbags placem_collection'!$A$3:$A$500,MATCH(A319,'WetLitterbags placem_collection'!$Q$4:$Q$500,0)),"")</f>
        <v/>
      </c>
    </row>
    <row r="320" spans="1:17" ht="13.95" customHeight="1">
      <c r="A320" s="110" t="s">
        <v>1271</v>
      </c>
      <c r="B320" s="110">
        <v>132</v>
      </c>
      <c r="C320" s="110">
        <v>0.63490000000000002</v>
      </c>
      <c r="E320" s="112">
        <v>43125</v>
      </c>
      <c r="N320" s="110" t="str">
        <f>IFERROR(INDEX('WetLitterbags placem_collection'!$A$3:$A$500,MATCH(A320,'WetLitterbags placem_collection'!$K$4:$K$500,0)),"")</f>
        <v/>
      </c>
      <c r="O320" s="110">
        <f>IFERROR(INDEX('WetLitterbags placem_collection'!$A$3:$A$500,MATCH(A320,'WetLitterbags placem_collection'!$O$4:$O$500,0)),"")</f>
        <v>131</v>
      </c>
      <c r="P320" s="110" t="str">
        <f>IFERROR(INDEX('WetLitterbags placem_collection'!$A$3:$A$500,MATCH(A320,'WetLitterbags placem_collection'!$M$4:$M$500,0)),"")</f>
        <v/>
      </c>
      <c r="Q320" s="110" t="str">
        <f>IFERROR(INDEX('WetLitterbags placem_collection'!$A$3:$A$500,MATCH(A320,'WetLitterbags placem_collection'!$Q$4:$Q$500,0)),"")</f>
        <v/>
      </c>
    </row>
    <row r="321" spans="1:17" ht="13.95" customHeight="1">
      <c r="A321" s="110" t="s">
        <v>1269</v>
      </c>
      <c r="B321" s="110">
        <v>178</v>
      </c>
      <c r="C321" s="110">
        <v>0.62549999999999994</v>
      </c>
      <c r="D321" s="110" t="s">
        <v>2090</v>
      </c>
      <c r="E321" s="112">
        <v>43125</v>
      </c>
      <c r="N321" s="110">
        <f>IFERROR(INDEX('WetLitterbags placem_collection'!$A$3:$A$500,MATCH(A321,'WetLitterbags placem_collection'!$K$4:$K$500,0)),"")</f>
        <v>177</v>
      </c>
      <c r="O321" s="110" t="str">
        <f>IFERROR(INDEX('WetLitterbags placem_collection'!$A$3:$A$500,MATCH(A321,'WetLitterbags placem_collection'!$O$4:$O$500,0)),"")</f>
        <v/>
      </c>
      <c r="P321" s="110" t="str">
        <f>IFERROR(INDEX('WetLitterbags placem_collection'!$A$3:$A$500,MATCH(A321,'WetLitterbags placem_collection'!$M$4:$M$500,0)),"")</f>
        <v/>
      </c>
      <c r="Q321" s="110" t="str">
        <f>IFERROR(INDEX('WetLitterbags placem_collection'!$A$3:$A$500,MATCH(A321,'WetLitterbags placem_collection'!$Q$4:$Q$500,0)),"")</f>
        <v/>
      </c>
    </row>
    <row r="322" spans="1:17" ht="13.95" customHeight="1">
      <c r="A322" s="110" t="s">
        <v>1268</v>
      </c>
      <c r="B322" s="110" t="s">
        <v>2077</v>
      </c>
      <c r="C322" s="110">
        <v>0.6169</v>
      </c>
      <c r="D322" s="110" t="s">
        <v>2124</v>
      </c>
      <c r="E322" s="112">
        <v>43122</v>
      </c>
      <c r="N322" s="110">
        <f>IFERROR(INDEX('WetLitterbags placem_collection'!$A$3:$A$500,MATCH(A322,'WetLitterbags placem_collection'!$K$4:$K$500,0)),"")</f>
        <v>219</v>
      </c>
      <c r="O322" s="110" t="str">
        <f>IFERROR(INDEX('WetLitterbags placem_collection'!$A$3:$A$500,MATCH(A322,'WetLitterbags placem_collection'!$O$4:$O$500,0)),"")</f>
        <v/>
      </c>
      <c r="P322" s="110" t="str">
        <f>IFERROR(INDEX('WetLitterbags placem_collection'!$A$3:$A$500,MATCH(A322,'WetLitterbags placem_collection'!$M$4:$M$500,0)),"")</f>
        <v/>
      </c>
      <c r="Q322" s="110" t="str">
        <f>IFERROR(INDEX('WetLitterbags placem_collection'!$A$3:$A$500,MATCH(A322,'WetLitterbags placem_collection'!$Q$4:$Q$500,0)),"")</f>
        <v/>
      </c>
    </row>
    <row r="323" spans="1:17" ht="13.95" customHeight="1">
      <c r="A323" s="110" t="s">
        <v>1267</v>
      </c>
      <c r="B323" s="110">
        <v>180</v>
      </c>
      <c r="C323" s="110">
        <v>0.627</v>
      </c>
      <c r="E323" s="112">
        <v>43119</v>
      </c>
      <c r="N323" s="110" t="str">
        <f>IFERROR(INDEX('WetLitterbags placem_collection'!$A$3:$A$500,MATCH(A323,'WetLitterbags placem_collection'!$K$4:$K$500,0)),"")</f>
        <v/>
      </c>
      <c r="O323" s="110">
        <f>IFERROR(INDEX('WetLitterbags placem_collection'!$A$3:$A$500,MATCH(A323,'WetLitterbags placem_collection'!$O$4:$O$500,0)),"")</f>
        <v>179</v>
      </c>
      <c r="P323" s="110" t="str">
        <f>IFERROR(INDEX('WetLitterbags placem_collection'!$A$3:$A$500,MATCH(A323,'WetLitterbags placem_collection'!$M$4:$M$500,0)),"")</f>
        <v/>
      </c>
      <c r="Q323" s="110" t="str">
        <f>IFERROR(INDEX('WetLitterbags placem_collection'!$A$3:$A$500,MATCH(A323,'WetLitterbags placem_collection'!$Q$4:$Q$500,0)),"")</f>
        <v/>
      </c>
    </row>
    <row r="324" spans="1:17" ht="13.95" customHeight="1">
      <c r="A324" s="110" t="s">
        <v>1266</v>
      </c>
      <c r="B324" s="110">
        <v>144</v>
      </c>
      <c r="C324" s="110">
        <v>0.78500000000000003</v>
      </c>
      <c r="E324" s="112">
        <v>42881</v>
      </c>
      <c r="N324" s="110">
        <f>IFERROR(INDEX('WetLitterbags placem_collection'!$A$3:$A$500,MATCH(A324,'WetLitterbags placem_collection'!$K$4:$K$500,0)),"")</f>
        <v>143</v>
      </c>
      <c r="O324" s="110" t="str">
        <f>IFERROR(INDEX('WetLitterbags placem_collection'!$A$3:$A$500,MATCH(A324,'WetLitterbags placem_collection'!$O$4:$O$500,0)),"")</f>
        <v/>
      </c>
      <c r="P324" s="110" t="str">
        <f>IFERROR(INDEX('WetLitterbags placem_collection'!$A$3:$A$500,MATCH(A324,'WetLitterbags placem_collection'!$M$4:$M$500,0)),"")</f>
        <v/>
      </c>
      <c r="Q324" s="110" t="str">
        <f>IFERROR(INDEX('WetLitterbags placem_collection'!$A$3:$A$500,MATCH(A324,'WetLitterbags placem_collection'!$Q$4:$Q$500,0)),"")</f>
        <v/>
      </c>
    </row>
    <row r="325" spans="1:17" ht="13.95" customHeight="1">
      <c r="A325" s="110" t="s">
        <v>1265</v>
      </c>
      <c r="B325" s="110">
        <v>198</v>
      </c>
      <c r="C325" s="110">
        <v>0.64690000000000003</v>
      </c>
      <c r="E325" s="112">
        <v>43125</v>
      </c>
      <c r="N325" s="110">
        <f>IFERROR(INDEX('WetLitterbags placem_collection'!$A$3:$A$500,MATCH(A325,'WetLitterbags placem_collection'!$K$4:$K$500,0)),"")</f>
        <v>197</v>
      </c>
      <c r="O325" s="110" t="str">
        <f>IFERROR(INDEX('WetLitterbags placem_collection'!$A$3:$A$500,MATCH(A325,'WetLitterbags placem_collection'!$O$4:$O$500,0)),"")</f>
        <v/>
      </c>
      <c r="P325" s="110" t="str">
        <f>IFERROR(INDEX('WetLitterbags placem_collection'!$A$3:$A$500,MATCH(A325,'WetLitterbags placem_collection'!$M$4:$M$500,0)),"")</f>
        <v/>
      </c>
      <c r="Q325" s="110" t="str">
        <f>IFERROR(INDEX('WetLitterbags placem_collection'!$A$3:$A$500,MATCH(A325,'WetLitterbags placem_collection'!$Q$4:$Q$500,0)),"")</f>
        <v/>
      </c>
    </row>
    <row r="326" spans="1:17" ht="13.95" customHeight="1">
      <c r="A326" s="110" t="s">
        <v>1264</v>
      </c>
      <c r="B326" s="110">
        <v>212</v>
      </c>
      <c r="C326" s="110">
        <v>0.86439999999999995</v>
      </c>
      <c r="E326" s="112">
        <v>43123</v>
      </c>
      <c r="N326" s="110">
        <f>IFERROR(INDEX('WetLitterbags placem_collection'!$A$3:$A$500,MATCH(A326,'WetLitterbags placem_collection'!$K$4:$K$500,0)),"")</f>
        <v>211</v>
      </c>
      <c r="O326" s="110" t="str">
        <f>IFERROR(INDEX('WetLitterbags placem_collection'!$A$3:$A$500,MATCH(A326,'WetLitterbags placem_collection'!$O$4:$O$500,0)),"")</f>
        <v/>
      </c>
      <c r="P326" s="110" t="str">
        <f>IFERROR(INDEX('WetLitterbags placem_collection'!$A$3:$A$500,MATCH(A326,'WetLitterbags placem_collection'!$M$4:$M$500,0)),"")</f>
        <v/>
      </c>
      <c r="Q326" s="110" t="str">
        <f>IFERROR(INDEX('WetLitterbags placem_collection'!$A$3:$A$500,MATCH(A326,'WetLitterbags placem_collection'!$Q$4:$Q$500,0)),"")</f>
        <v/>
      </c>
    </row>
    <row r="327" spans="1:17" ht="13.95" customHeight="1">
      <c r="A327" s="110" t="s">
        <v>1263</v>
      </c>
      <c r="B327" s="110">
        <v>140</v>
      </c>
      <c r="C327" s="110">
        <v>0.67869999999999997</v>
      </c>
      <c r="E327" s="112">
        <v>43125</v>
      </c>
      <c r="N327" s="110">
        <f>IFERROR(INDEX('WetLitterbags placem_collection'!$A$3:$A$500,MATCH(A327,'WetLitterbags placem_collection'!$K$4:$K$500,0)),"")</f>
        <v>139</v>
      </c>
      <c r="O327" s="110" t="str">
        <f>IFERROR(INDEX('WetLitterbags placem_collection'!$A$3:$A$500,MATCH(A327,'WetLitterbags placem_collection'!$O$4:$O$500,0)),"")</f>
        <v/>
      </c>
      <c r="P327" s="110" t="str">
        <f>IFERROR(INDEX('WetLitterbags placem_collection'!$A$3:$A$500,MATCH(A327,'WetLitterbags placem_collection'!$M$4:$M$500,0)),"")</f>
        <v/>
      </c>
      <c r="Q327" s="110" t="str">
        <f>IFERROR(INDEX('WetLitterbags placem_collection'!$A$3:$A$500,MATCH(A327,'WetLitterbags placem_collection'!$Q$4:$Q$500,0)),"")</f>
        <v/>
      </c>
    </row>
    <row r="328" spans="1:17" ht="13.95" customHeight="1">
      <c r="A328" s="179" t="s">
        <v>1261</v>
      </c>
      <c r="B328" s="110">
        <v>117</v>
      </c>
      <c r="C328" s="110">
        <v>0.79800000000000004</v>
      </c>
      <c r="D328" s="110" t="s">
        <v>2071</v>
      </c>
      <c r="E328" s="112">
        <v>42878</v>
      </c>
      <c r="N328" s="110">
        <f>IFERROR(INDEX('WetLitterbags placem_collection'!$A$3:$A$500,MATCH(A328,'WetLitterbags placem_collection'!$K$4:$K$500,0)),"")</f>
        <v>116</v>
      </c>
      <c r="O328" s="110" t="str">
        <f>IFERROR(INDEX('WetLitterbags placem_collection'!$A$3:$A$500,MATCH(A328,'WetLitterbags placem_collection'!$O$4:$O$500,0)),"")</f>
        <v/>
      </c>
      <c r="P328" s="110" t="str">
        <f>IFERROR(INDEX('WetLitterbags placem_collection'!$A$3:$A$500,MATCH(A328,'WetLitterbags placem_collection'!$M$4:$M$500,0)),"")</f>
        <v/>
      </c>
      <c r="Q328" s="110" t="str">
        <f>IFERROR(INDEX('WetLitterbags placem_collection'!$A$3:$A$500,MATCH(A328,'WetLitterbags placem_collection'!$Q$4:$Q$500,0)),"")</f>
        <v/>
      </c>
    </row>
    <row r="329" spans="1:17" ht="13.95" customHeight="1">
      <c r="A329" s="275" t="s">
        <v>1259</v>
      </c>
      <c r="B329" s="110">
        <v>118</v>
      </c>
      <c r="C329" s="110">
        <v>0.64600000000000002</v>
      </c>
      <c r="E329" s="112">
        <v>42879</v>
      </c>
      <c r="N329" s="110" t="str">
        <f>IFERROR(INDEX('WetLitterbags placem_collection'!$A$3:$A$500,MATCH(A329,'WetLitterbags placem_collection'!$K$4:$K$500,0)),"")</f>
        <v/>
      </c>
      <c r="O329" s="110">
        <f>IFERROR(INDEX('WetLitterbags placem_collection'!$A$3:$A$500,MATCH(A329,'WetLitterbags placem_collection'!$O$4:$O$500,0)),"")</f>
        <v>117</v>
      </c>
      <c r="P329" s="110" t="str">
        <f>IFERROR(INDEX('WetLitterbags placem_collection'!$A$3:$A$500,MATCH(A329,'WetLitterbags placem_collection'!$M$4:$M$500,0)),"")</f>
        <v/>
      </c>
      <c r="Q329" s="110" t="str">
        <f>IFERROR(INDEX('WetLitterbags placem_collection'!$A$3:$A$500,MATCH(A329,'WetLitterbags placem_collection'!$Q$4:$Q$500,0)),"")</f>
        <v/>
      </c>
    </row>
    <row r="330" spans="1:17" ht="13.95" customHeight="1">
      <c r="A330" s="110" t="s">
        <v>1257</v>
      </c>
      <c r="B330" s="110">
        <v>125</v>
      </c>
      <c r="C330" s="110">
        <v>0.77200000000000002</v>
      </c>
      <c r="E330" s="112">
        <v>42881</v>
      </c>
      <c r="N330" s="110">
        <f>IFERROR(INDEX('WetLitterbags placem_collection'!$A$3:$A$500,MATCH(A330,'WetLitterbags placem_collection'!$K$4:$K$500,0)),"")</f>
        <v>124</v>
      </c>
      <c r="O330" s="110" t="str">
        <f>IFERROR(INDEX('WetLitterbags placem_collection'!$A$3:$A$500,MATCH(A330,'WetLitterbags placem_collection'!$O$4:$O$500,0)),"")</f>
        <v/>
      </c>
      <c r="P330" s="110" t="str">
        <f>IFERROR(INDEX('WetLitterbags placem_collection'!$A$3:$A$500,MATCH(A330,'WetLitterbags placem_collection'!$M$4:$M$500,0)),"")</f>
        <v/>
      </c>
      <c r="Q330" s="110" t="str">
        <f>IFERROR(INDEX('WetLitterbags placem_collection'!$A$3:$A$500,MATCH(A330,'WetLitterbags placem_collection'!$Q$4:$Q$500,0)),"")</f>
        <v/>
      </c>
    </row>
    <row r="331" spans="1:17" ht="13.95" customHeight="1">
      <c r="A331" s="110" t="s">
        <v>1255</v>
      </c>
      <c r="B331" s="110">
        <v>217</v>
      </c>
      <c r="C331" s="110">
        <v>0.78100000000000003</v>
      </c>
      <c r="E331" s="112">
        <v>42881</v>
      </c>
      <c r="N331" s="110">
        <f>IFERROR(INDEX('WetLitterbags placem_collection'!$A$3:$A$500,MATCH(A331,'WetLitterbags placem_collection'!$K$4:$K$500,0)),"")</f>
        <v>216</v>
      </c>
      <c r="O331" s="110" t="str">
        <f>IFERROR(INDEX('WetLitterbags placem_collection'!$A$3:$A$500,MATCH(A331,'WetLitterbags placem_collection'!$O$4:$O$500,0)),"")</f>
        <v/>
      </c>
      <c r="P331" s="110" t="str">
        <f>IFERROR(INDEX('WetLitterbags placem_collection'!$A$3:$A$500,MATCH(A331,'WetLitterbags placem_collection'!$M$4:$M$500,0)),"")</f>
        <v/>
      </c>
      <c r="Q331" s="110" t="str">
        <f>IFERROR(INDEX('WetLitterbags placem_collection'!$A$3:$A$500,MATCH(A331,'WetLitterbags placem_collection'!$Q$4:$Q$500,0)),"")</f>
        <v/>
      </c>
    </row>
    <row r="332" spans="1:17" ht="13.95" customHeight="1">
      <c r="A332" s="110" t="s">
        <v>1254</v>
      </c>
      <c r="B332" s="110">
        <v>221</v>
      </c>
      <c r="C332" s="110">
        <v>0.67200000000000004</v>
      </c>
      <c r="E332" s="112">
        <v>42878</v>
      </c>
      <c r="N332" s="110" t="str">
        <f>IFERROR(INDEX('WetLitterbags placem_collection'!$A$3:$A$500,MATCH(A332,'WetLitterbags placem_collection'!$K$4:$K$500,0)),"")</f>
        <v/>
      </c>
      <c r="O332" s="110">
        <f>IFERROR(INDEX('WetLitterbags placem_collection'!$A$3:$A$500,MATCH(A332,'WetLitterbags placem_collection'!$O$4:$O$500,0)),"")</f>
        <v>210</v>
      </c>
      <c r="P332" s="110" t="str">
        <f>IFERROR(INDEX('WetLitterbags placem_collection'!$A$3:$A$500,MATCH(A332,'WetLitterbags placem_collection'!$M$4:$M$500,0)),"")</f>
        <v/>
      </c>
      <c r="Q332" s="110" t="str">
        <f>IFERROR(INDEX('WetLitterbags placem_collection'!$A$3:$A$500,MATCH(A332,'WetLitterbags placem_collection'!$Q$4:$Q$500,0)),"")</f>
        <v/>
      </c>
    </row>
    <row r="333" spans="1:17" ht="13.95" customHeight="1">
      <c r="A333" s="179" t="s">
        <v>1252</v>
      </c>
      <c r="B333" s="110">
        <v>139</v>
      </c>
      <c r="C333" s="110">
        <v>0.73499999999999999</v>
      </c>
      <c r="E333" s="112">
        <v>42878</v>
      </c>
      <c r="N333" s="110">
        <f>IFERROR(INDEX('WetLitterbags placem_collection'!$A$3:$A$500,MATCH(A333,'WetLitterbags placem_collection'!$K$4:$K$500,0)),"")</f>
        <v>138</v>
      </c>
      <c r="O333" s="110" t="str">
        <f>IFERROR(INDEX('WetLitterbags placem_collection'!$A$3:$A$500,MATCH(A333,'WetLitterbags placem_collection'!$O$4:$O$500,0)),"")</f>
        <v/>
      </c>
      <c r="P333" s="110" t="str">
        <f>IFERROR(INDEX('WetLitterbags placem_collection'!$A$3:$A$500,MATCH(A333,'WetLitterbags placem_collection'!$M$4:$M$500,0)),"")</f>
        <v/>
      </c>
      <c r="Q333" s="110" t="str">
        <f>IFERROR(INDEX('WetLitterbags placem_collection'!$A$3:$A$500,MATCH(A333,'WetLitterbags placem_collection'!$Q$4:$Q$500,0)),"")</f>
        <v/>
      </c>
    </row>
    <row r="334" spans="1:17" ht="13.95" customHeight="1">
      <c r="A334" s="110" t="s">
        <v>1251</v>
      </c>
      <c r="B334" s="110" t="s">
        <v>2077</v>
      </c>
      <c r="C334" s="110">
        <v>0.63380000000000003</v>
      </c>
      <c r="E334" s="112">
        <v>43123</v>
      </c>
      <c r="N334" s="110" t="str">
        <f>IFERROR(INDEX('WetLitterbags placem_collection'!$A$3:$A$500,MATCH(A334,'WetLitterbags placem_collection'!$K$4:$K$500,0)),"")</f>
        <v/>
      </c>
      <c r="O334" s="110">
        <f>IFERROR(INDEX('WetLitterbags placem_collection'!$A$3:$A$500,MATCH(A334,'WetLitterbags placem_collection'!$O$4:$O$500,0)),"")</f>
        <v>132</v>
      </c>
      <c r="P334" s="110" t="str">
        <f>IFERROR(INDEX('WetLitterbags placem_collection'!$A$3:$A$500,MATCH(A334,'WetLitterbags placem_collection'!$M$4:$M$500,0)),"")</f>
        <v/>
      </c>
      <c r="Q334" s="110" t="str">
        <f>IFERROR(INDEX('WetLitterbags placem_collection'!$A$3:$A$500,MATCH(A334,'WetLitterbags placem_collection'!$Q$4:$Q$500,0)),"")</f>
        <v/>
      </c>
    </row>
    <row r="335" spans="1:17" ht="13.95" customHeight="1">
      <c r="A335" s="110" t="s">
        <v>1250</v>
      </c>
      <c r="B335" s="110" t="s">
        <v>2077</v>
      </c>
      <c r="C335" s="110">
        <v>0.58630000000000004</v>
      </c>
      <c r="E335" s="112">
        <v>43116</v>
      </c>
      <c r="N335" s="110">
        <f>IFERROR(INDEX('WetLitterbags placem_collection'!$A$3:$A$500,MATCH(A335,'WetLitterbags placem_collection'!$K$4:$K$500,0)),"")</f>
        <v>152</v>
      </c>
      <c r="O335" s="110" t="str">
        <f>IFERROR(INDEX('WetLitterbags placem_collection'!$A$3:$A$500,MATCH(A335,'WetLitterbags placem_collection'!$O$4:$O$500,0)),"")</f>
        <v/>
      </c>
      <c r="P335" s="110" t="str">
        <f>IFERROR(INDEX('WetLitterbags placem_collection'!$A$3:$A$500,MATCH(A335,'WetLitterbags placem_collection'!$M$4:$M$500,0)),"")</f>
        <v/>
      </c>
      <c r="Q335" s="110" t="str">
        <f>IFERROR(INDEX('WetLitterbags placem_collection'!$A$3:$A$500,MATCH(A335,'WetLitterbags placem_collection'!$Q$4:$Q$500,0)),"")</f>
        <v/>
      </c>
    </row>
    <row r="336" spans="1:17" ht="13.95" customHeight="1">
      <c r="A336" s="110" t="s">
        <v>1249</v>
      </c>
      <c r="B336" s="110">
        <v>150</v>
      </c>
      <c r="C336" s="110">
        <v>0.60099999999999998</v>
      </c>
      <c r="E336" s="112">
        <v>42879</v>
      </c>
      <c r="N336" s="110" t="str">
        <f>IFERROR(INDEX('WetLitterbags placem_collection'!$A$3:$A$500,MATCH(A336,'WetLitterbags placem_collection'!$K$4:$K$500,0)),"")</f>
        <v/>
      </c>
      <c r="O336" s="110">
        <f>IFERROR(INDEX('WetLitterbags placem_collection'!$A$3:$A$500,MATCH(A336,'WetLitterbags placem_collection'!$O$4:$O$500,0)),"")</f>
        <v>149</v>
      </c>
      <c r="P336" s="110" t="str">
        <f>IFERROR(INDEX('WetLitterbags placem_collection'!$A$3:$A$500,MATCH(A336,'WetLitterbags placem_collection'!$M$4:$M$500,0)),"")</f>
        <v/>
      </c>
      <c r="Q336" s="110" t="str">
        <f>IFERROR(INDEX('WetLitterbags placem_collection'!$A$3:$A$500,MATCH(A336,'WetLitterbags placem_collection'!$Q$4:$Q$500,0)),"")</f>
        <v/>
      </c>
    </row>
    <row r="337" spans="1:17" ht="13.95" customHeight="1">
      <c r="A337" s="110" t="s">
        <v>1248</v>
      </c>
      <c r="B337" s="110">
        <v>119</v>
      </c>
      <c r="C337" s="110">
        <v>0.65200000000000002</v>
      </c>
      <c r="D337"/>
      <c r="E337" s="112">
        <v>42881</v>
      </c>
      <c r="N337" s="110" t="str">
        <f>IFERROR(INDEX('WetLitterbags placem_collection'!$A$3:$A$500,MATCH(A337,'WetLitterbags placem_collection'!$K$4:$K$500,0)),"")</f>
        <v/>
      </c>
      <c r="O337" s="110">
        <f>IFERROR(INDEX('WetLitterbags placem_collection'!$A$3:$A$500,MATCH(A337,'WetLitterbags placem_collection'!$O$4:$O$500,0)),"")</f>
        <v>118</v>
      </c>
      <c r="P337" s="110" t="str">
        <f>IFERROR(INDEX('WetLitterbags placem_collection'!$A$3:$A$500,MATCH(A337,'WetLitterbags placem_collection'!$M$4:$M$500,0)),"")</f>
        <v/>
      </c>
      <c r="Q337" s="110" t="str">
        <f>IFERROR(INDEX('WetLitterbags placem_collection'!$A$3:$A$500,MATCH(A337,'WetLitterbags placem_collection'!$Q$4:$Q$500,0)),"")</f>
        <v/>
      </c>
    </row>
    <row r="338" spans="1:17" ht="13.95" customHeight="1">
      <c r="A338" s="179" t="s">
        <v>1247</v>
      </c>
      <c r="B338" s="110">
        <v>114</v>
      </c>
      <c r="C338" s="110">
        <v>0.64300000000000002</v>
      </c>
      <c r="E338" s="112">
        <v>42878</v>
      </c>
      <c r="N338" s="110">
        <f>IFERROR(INDEX('WetLitterbags placem_collection'!$A$3:$A$500,MATCH(A338,'WetLitterbags placem_collection'!$K$4:$K$500,0)),"")</f>
        <v>113</v>
      </c>
      <c r="O338" s="110" t="str">
        <f>IFERROR(INDEX('WetLitterbags placem_collection'!$A$3:$A$500,MATCH(A338,'WetLitterbags placem_collection'!$O$4:$O$500,0)),"")</f>
        <v/>
      </c>
      <c r="P338" s="110" t="str">
        <f>IFERROR(INDEX('WetLitterbags placem_collection'!$A$3:$A$500,MATCH(A338,'WetLitterbags placem_collection'!$M$4:$M$500,0)),"")</f>
        <v/>
      </c>
      <c r="Q338" s="110" t="str">
        <f>IFERROR(INDEX('WetLitterbags placem_collection'!$A$3:$A$500,MATCH(A338,'WetLitterbags placem_collection'!$Q$4:$Q$500,0)),"")</f>
        <v/>
      </c>
    </row>
    <row r="339" spans="1:17" ht="13.95" customHeight="1">
      <c r="A339" s="110" t="s">
        <v>1246</v>
      </c>
      <c r="B339" s="110">
        <v>217</v>
      </c>
      <c r="C339" s="110">
        <v>0.66200000000000003</v>
      </c>
      <c r="E339" s="112">
        <v>42881</v>
      </c>
      <c r="N339" s="110" t="str">
        <f>IFERROR(INDEX('WetLitterbags placem_collection'!$A$3:$A$500,MATCH(A339,'WetLitterbags placem_collection'!$K$4:$K$500,0)),"")</f>
        <v/>
      </c>
      <c r="O339" s="110">
        <f>IFERROR(INDEX('WetLitterbags placem_collection'!$A$3:$A$500,MATCH(A339,'WetLitterbags placem_collection'!$O$4:$O$500,0)),"")</f>
        <v>216</v>
      </c>
      <c r="P339" s="110" t="str">
        <f>IFERROR(INDEX('WetLitterbags placem_collection'!$A$3:$A$500,MATCH(A339,'WetLitterbags placem_collection'!$M$4:$M$500,0)),"")</f>
        <v/>
      </c>
      <c r="Q339" s="110" t="str">
        <f>IFERROR(INDEX('WetLitterbags placem_collection'!$A$3:$A$500,MATCH(A339,'WetLitterbags placem_collection'!$Q$4:$Q$500,0)),"")</f>
        <v/>
      </c>
    </row>
    <row r="340" spans="1:17" ht="13.95" customHeight="1">
      <c r="A340" s="110" t="s">
        <v>1245</v>
      </c>
      <c r="B340" s="110">
        <v>137</v>
      </c>
      <c r="C340" s="110">
        <v>1.5740000000000001</v>
      </c>
      <c r="D340" s="110" t="s">
        <v>2051</v>
      </c>
      <c r="E340" s="112">
        <v>42879</v>
      </c>
      <c r="N340" s="110">
        <f>IFERROR(INDEX('WetLitterbags placem_collection'!$A$3:$A$500,MATCH(A340,'WetLitterbags placem_collection'!$K$4:$K$500,0)),"")</f>
        <v>136</v>
      </c>
      <c r="O340" s="110" t="str">
        <f>IFERROR(INDEX('WetLitterbags placem_collection'!$A$3:$A$500,MATCH(A340,'WetLitterbags placem_collection'!$O$4:$O$500,0)),"")</f>
        <v/>
      </c>
      <c r="P340" s="110" t="str">
        <f>IFERROR(INDEX('WetLitterbags placem_collection'!$A$3:$A$500,MATCH(A340,'WetLitterbags placem_collection'!$M$4:$M$500,0)),"")</f>
        <v/>
      </c>
      <c r="Q340" s="110" t="str">
        <f>IFERROR(INDEX('WetLitterbags placem_collection'!$A$3:$A$500,MATCH(A340,'WetLitterbags placem_collection'!$Q$4:$Q$500,0)),"")</f>
        <v/>
      </c>
    </row>
    <row r="341" spans="1:17" ht="13.95" customHeight="1">
      <c r="A341" s="110" t="s">
        <v>1244</v>
      </c>
      <c r="B341" s="110">
        <v>104</v>
      </c>
      <c r="C341" s="110">
        <v>0.72499999999999998</v>
      </c>
      <c r="E341" s="112">
        <v>42878</v>
      </c>
      <c r="N341" s="110" t="str">
        <f>IFERROR(INDEX('WetLitterbags placem_collection'!$A$3:$A$500,MATCH(A341,'WetLitterbags placem_collection'!$K$4:$K$500,0)),"")</f>
        <v/>
      </c>
      <c r="O341" s="110">
        <f>IFERROR(INDEX('WetLitterbags placem_collection'!$A$3:$A$500,MATCH(A341,'WetLitterbags placem_collection'!$O$4:$O$500,0)),"")</f>
        <v>103</v>
      </c>
      <c r="P341" s="110" t="str">
        <f>IFERROR(INDEX('WetLitterbags placem_collection'!$A$3:$A$500,MATCH(A341,'WetLitterbags placem_collection'!$M$4:$M$500,0)),"")</f>
        <v/>
      </c>
      <c r="Q341" s="110" t="str">
        <f>IFERROR(INDEX('WetLitterbags placem_collection'!$A$3:$A$500,MATCH(A341,'WetLitterbags placem_collection'!$Q$4:$Q$500,0)),"")</f>
        <v/>
      </c>
    </row>
    <row r="342" spans="1:17" ht="13.95" customHeight="1">
      <c r="A342" s="110" t="s">
        <v>1243</v>
      </c>
      <c r="B342" s="110" t="s">
        <v>2077</v>
      </c>
      <c r="C342" s="110">
        <v>0.74309999999999998</v>
      </c>
      <c r="E342" s="112">
        <v>43125</v>
      </c>
      <c r="N342" s="110" t="str">
        <f>IFERROR(INDEX('WetLitterbags placem_collection'!$A$3:$A$500,MATCH(A342,'WetLitterbags placem_collection'!$K$4:$K$500,0)),"")</f>
        <v/>
      </c>
      <c r="O342" s="110">
        <f>IFERROR(INDEX('WetLitterbags placem_collection'!$A$3:$A$500,MATCH(A342,'WetLitterbags placem_collection'!$O$4:$O$500,0)),"")</f>
        <v>147</v>
      </c>
      <c r="P342" s="110" t="str">
        <f>IFERROR(INDEX('WetLitterbags placem_collection'!$A$3:$A$500,MATCH(A342,'WetLitterbags placem_collection'!$M$4:$M$500,0)),"")</f>
        <v/>
      </c>
      <c r="Q342" s="110" t="str">
        <f>IFERROR(INDEX('WetLitterbags placem_collection'!$A$3:$A$500,MATCH(A342,'WetLitterbags placem_collection'!$Q$4:$Q$500,0)),"")</f>
        <v/>
      </c>
    </row>
    <row r="343" spans="1:17" ht="13.95" customHeight="1">
      <c r="A343" s="110" t="s">
        <v>1242</v>
      </c>
      <c r="B343" s="110" t="s">
        <v>2083</v>
      </c>
      <c r="C343" s="110">
        <v>0.54810000000000003</v>
      </c>
      <c r="E343" s="112">
        <v>43125</v>
      </c>
      <c r="N343" s="110">
        <f>IFERROR(INDEX('WetLitterbags placem_collection'!$A$3:$A$500,MATCH(A343,'WetLitterbags placem_collection'!$K$4:$K$500,0)),"")</f>
        <v>100</v>
      </c>
      <c r="O343" s="110" t="str">
        <f>IFERROR(INDEX('WetLitterbags placem_collection'!$A$3:$A$500,MATCH(A343,'WetLitterbags placem_collection'!$O$4:$O$500,0)),"")</f>
        <v/>
      </c>
      <c r="P343" s="110" t="str">
        <f>IFERROR(INDEX('WetLitterbags placem_collection'!$A$3:$A$500,MATCH(A343,'WetLitterbags placem_collection'!$M$4:$M$500,0)),"")</f>
        <v/>
      </c>
      <c r="Q343" s="110" t="str">
        <f>IFERROR(INDEX('WetLitterbags placem_collection'!$A$3:$A$500,MATCH(A343,'WetLitterbags placem_collection'!$Q$4:$Q$500,0)),"")</f>
        <v/>
      </c>
    </row>
    <row r="344" spans="1:17" ht="13.95" customHeight="1">
      <c r="A344" s="182" t="s">
        <v>1241</v>
      </c>
      <c r="B344" s="110">
        <v>160</v>
      </c>
      <c r="C344" s="110">
        <v>0.72</v>
      </c>
      <c r="E344" s="112">
        <v>42879</v>
      </c>
      <c r="N344" s="110">
        <f>IFERROR(INDEX('WetLitterbags placem_collection'!$A$3:$A$500,MATCH(A344,'WetLitterbags placem_collection'!$K$4:$K$500,0)),"")</f>
        <v>159</v>
      </c>
      <c r="O344" s="110" t="str">
        <f>IFERROR(INDEX('WetLitterbags placem_collection'!$A$3:$A$500,MATCH(A344,'WetLitterbags placem_collection'!$O$4:$O$500,0)),"")</f>
        <v/>
      </c>
      <c r="P344" s="110" t="str">
        <f>IFERROR(INDEX('WetLitterbags placem_collection'!$A$3:$A$500,MATCH(A344,'WetLitterbags placem_collection'!$M$4:$M$500,0)),"")</f>
        <v/>
      </c>
      <c r="Q344" s="110" t="str">
        <f>IFERROR(INDEX('WetLitterbags placem_collection'!$A$3:$A$500,MATCH(A344,'WetLitterbags placem_collection'!$Q$4:$Q$500,0)),"")</f>
        <v/>
      </c>
    </row>
    <row r="345" spans="1:17" ht="13.95" customHeight="1">
      <c r="A345" s="110" t="s">
        <v>1240</v>
      </c>
      <c r="B345" s="110">
        <v>165</v>
      </c>
      <c r="C345" s="110">
        <v>0.64800000000000002</v>
      </c>
      <c r="E345" s="112">
        <v>42878</v>
      </c>
      <c r="N345" s="110" t="str">
        <f>IFERROR(INDEX('WetLitterbags placem_collection'!$A$3:$A$500,MATCH(A345,'WetLitterbags placem_collection'!$K$4:$K$500,0)),"")</f>
        <v/>
      </c>
      <c r="O345" s="110">
        <f>IFERROR(INDEX('WetLitterbags placem_collection'!$A$3:$A$500,MATCH(A345,'WetLitterbags placem_collection'!$O$4:$O$500,0)),"")</f>
        <v>164</v>
      </c>
      <c r="P345" s="110" t="str">
        <f>IFERROR(INDEX('WetLitterbags placem_collection'!$A$3:$A$500,MATCH(A345,'WetLitterbags placem_collection'!$M$4:$M$500,0)),"")</f>
        <v/>
      </c>
      <c r="Q345" s="110" t="str">
        <f>IFERROR(INDEX('WetLitterbags placem_collection'!$A$3:$A$500,MATCH(A345,'WetLitterbags placem_collection'!$Q$4:$Q$500,0)),"")</f>
        <v/>
      </c>
    </row>
    <row r="346" spans="1:17" ht="13.95" customHeight="1">
      <c r="A346" t="s">
        <v>1239</v>
      </c>
      <c r="B346">
        <v>201</v>
      </c>
      <c r="C346">
        <v>0.56630000000000003</v>
      </c>
      <c r="D346" t="s">
        <v>2121</v>
      </c>
      <c r="E346" s="112">
        <v>43122</v>
      </c>
      <c r="N346" s="110">
        <f>IFERROR(INDEX('WetLitterbags placem_collection'!$A$3:$A$500,MATCH(A346,'WetLitterbags placem_collection'!$K$4:$K$500,0)),"")</f>
        <v>200</v>
      </c>
      <c r="O346" s="110" t="str">
        <f>IFERROR(INDEX('WetLitterbags placem_collection'!$A$3:$A$500,MATCH(A346,'WetLitterbags placem_collection'!$O$4:$O$500,0)),"")</f>
        <v/>
      </c>
      <c r="P346" s="110" t="str">
        <f>IFERROR(INDEX('WetLitterbags placem_collection'!$A$3:$A$500,MATCH(A346,'WetLitterbags placem_collection'!$M$4:$M$500,0)),"")</f>
        <v/>
      </c>
      <c r="Q346" s="110" t="str">
        <f>IFERROR(INDEX('WetLitterbags placem_collection'!$A$3:$A$500,MATCH(A346,'WetLitterbags placem_collection'!$Q$4:$Q$500,0)),"")</f>
        <v/>
      </c>
    </row>
    <row r="347" spans="1:17" ht="13.95" customHeight="1">
      <c r="A347" s="110" t="s">
        <v>1237</v>
      </c>
      <c r="B347" s="110">
        <v>24</v>
      </c>
      <c r="C347" s="110">
        <v>0.74790000000000001</v>
      </c>
      <c r="E347" s="112">
        <v>43122</v>
      </c>
      <c r="N347" s="110">
        <f>IFERROR(INDEX('WetLitterbags placem_collection'!$A$3:$A$500,MATCH(A347,'WetLitterbags placem_collection'!$K$4:$K$500,0)),"")</f>
        <v>23</v>
      </c>
      <c r="O347" s="110" t="str">
        <f>IFERROR(INDEX('WetLitterbags placem_collection'!$A$3:$A$500,MATCH(A347,'WetLitterbags placem_collection'!$O$4:$O$500,0)),"")</f>
        <v/>
      </c>
      <c r="P347" s="110" t="str">
        <f>IFERROR(INDEX('WetLitterbags placem_collection'!$A$3:$A$500,MATCH(A347,'WetLitterbags placem_collection'!$M$4:$M$500,0)),"")</f>
        <v/>
      </c>
      <c r="Q347" s="110" t="str">
        <f>IFERROR(INDEX('WetLitterbags placem_collection'!$A$3:$A$500,MATCH(A347,'WetLitterbags placem_collection'!$Q$4:$Q$500,0)),"")</f>
        <v/>
      </c>
    </row>
    <row r="348" spans="1:17" ht="13.95" customHeight="1">
      <c r="A348" s="110" t="s">
        <v>1236</v>
      </c>
      <c r="B348" s="110" t="s">
        <v>2077</v>
      </c>
      <c r="C348" s="110">
        <v>0.68300000000000005</v>
      </c>
      <c r="E348" s="112">
        <v>43122</v>
      </c>
      <c r="N348" s="110">
        <f>IFERROR(INDEX('WetLitterbags placem_collection'!$A$3:$A$500,MATCH(A348,'WetLitterbags placem_collection'!$K$4:$K$500,0)),"")</f>
        <v>203</v>
      </c>
      <c r="O348" s="110" t="str">
        <f>IFERROR(INDEX('WetLitterbags placem_collection'!$A$3:$A$500,MATCH(A348,'WetLitterbags placem_collection'!$O$4:$O$500,0)),"")</f>
        <v/>
      </c>
      <c r="P348" s="110" t="str">
        <f>IFERROR(INDEX('WetLitterbags placem_collection'!$A$3:$A$500,MATCH(A348,'WetLitterbags placem_collection'!$M$4:$M$500,0)),"")</f>
        <v/>
      </c>
      <c r="Q348" s="110" t="str">
        <f>IFERROR(INDEX('WetLitterbags placem_collection'!$A$3:$A$500,MATCH(A348,'WetLitterbags placem_collection'!$Q$4:$Q$500,0)),"")</f>
        <v/>
      </c>
    </row>
    <row r="349" spans="1:17" ht="13.95" customHeight="1">
      <c r="A349" s="110" t="s">
        <v>1235</v>
      </c>
      <c r="B349" s="110">
        <v>138</v>
      </c>
      <c r="C349" s="110">
        <v>0.64300000000000002</v>
      </c>
      <c r="E349" s="112">
        <v>42879</v>
      </c>
      <c r="N349" s="110">
        <f>IFERROR(INDEX('WetLitterbags placem_collection'!$A$3:$A$500,MATCH(A349,'WetLitterbags placem_collection'!$K$4:$K$500,0)),"")</f>
        <v>137</v>
      </c>
      <c r="O349" s="110" t="str">
        <f>IFERROR(INDEX('WetLitterbags placem_collection'!$A$3:$A$500,MATCH(A349,'WetLitterbags placem_collection'!$O$4:$O$500,0)),"")</f>
        <v/>
      </c>
      <c r="P349" s="110" t="str">
        <f>IFERROR(INDEX('WetLitterbags placem_collection'!$A$3:$A$500,MATCH(A349,'WetLitterbags placem_collection'!$M$4:$M$500,0)),"")</f>
        <v/>
      </c>
      <c r="Q349" s="110" t="str">
        <f>IFERROR(INDEX('WetLitterbags placem_collection'!$A$3:$A$500,MATCH(A349,'WetLitterbags placem_collection'!$Q$4:$Q$500,0)),"")</f>
        <v/>
      </c>
    </row>
    <row r="350" spans="1:17" ht="13.95" customHeight="1">
      <c r="A350" s="110" t="s">
        <v>1234</v>
      </c>
      <c r="B350" s="110" t="s">
        <v>2077</v>
      </c>
      <c r="C350" s="110">
        <v>0.67120000000000002</v>
      </c>
      <c r="D350" s="110" t="s">
        <v>2124</v>
      </c>
      <c r="E350" s="112">
        <v>43122</v>
      </c>
      <c r="N350" s="110">
        <f>IFERROR(INDEX('WetLitterbags placem_collection'!$A$3:$A$500,MATCH(A350,'WetLitterbags placem_collection'!$K$4:$K$500,0)),"")</f>
        <v>199</v>
      </c>
      <c r="O350" s="110" t="str">
        <f>IFERROR(INDEX('WetLitterbags placem_collection'!$A$3:$A$500,MATCH(A350,'WetLitterbags placem_collection'!$O$4:$O$500,0)),"")</f>
        <v/>
      </c>
      <c r="P350" s="110" t="str">
        <f>IFERROR(INDEX('WetLitterbags placem_collection'!$A$3:$A$500,MATCH(A350,'WetLitterbags placem_collection'!$M$4:$M$500,0)),"")</f>
        <v/>
      </c>
      <c r="Q350" s="110" t="str">
        <f>IFERROR(INDEX('WetLitterbags placem_collection'!$A$3:$A$500,MATCH(A350,'WetLitterbags placem_collection'!$Q$4:$Q$500,0)),"")</f>
        <v/>
      </c>
    </row>
    <row r="351" spans="1:17" ht="13.95" customHeight="1">
      <c r="A351" s="110" t="s">
        <v>1233</v>
      </c>
      <c r="B351" s="110">
        <v>142</v>
      </c>
      <c r="C351" s="222" t="s">
        <v>2057</v>
      </c>
      <c r="D351" s="110" t="s">
        <v>2056</v>
      </c>
      <c r="E351" s="112">
        <v>42881</v>
      </c>
      <c r="N351" s="110">
        <f>IFERROR(INDEX('WetLitterbags placem_collection'!$A$3:$A$500,MATCH(A351,'WetLitterbags placem_collection'!$K$4:$K$500,0)),"")</f>
        <v>141</v>
      </c>
      <c r="O351" s="110" t="str">
        <f>IFERROR(INDEX('WetLitterbags placem_collection'!$A$3:$A$500,MATCH(A351,'WetLitterbags placem_collection'!$O$4:$O$500,0)),"")</f>
        <v/>
      </c>
      <c r="P351" s="110" t="str">
        <f>IFERROR(INDEX('WetLitterbags placem_collection'!$A$3:$A$500,MATCH(A351,'WetLitterbags placem_collection'!$M$4:$M$500,0)),"")</f>
        <v/>
      </c>
      <c r="Q351" s="110" t="str">
        <f>IFERROR(INDEX('WetLitterbags placem_collection'!$A$3:$A$500,MATCH(A351,'WetLitterbags placem_collection'!$Q$4:$Q$500,0)),"")</f>
        <v/>
      </c>
    </row>
    <row r="352" spans="1:17" ht="13.95" customHeight="1">
      <c r="A352" s="110" t="s">
        <v>1232</v>
      </c>
      <c r="B352" s="110" t="s">
        <v>2077</v>
      </c>
      <c r="C352" s="110">
        <v>0.60450000000000004</v>
      </c>
      <c r="E352" s="112">
        <v>43119</v>
      </c>
      <c r="N352" s="110" t="str">
        <f>IFERROR(INDEX('WetLitterbags placem_collection'!$A$3:$A$500,MATCH(A352,'WetLitterbags placem_collection'!$K$4:$K$500,0)),"")</f>
        <v/>
      </c>
      <c r="O352" s="110">
        <f>IFERROR(INDEX('WetLitterbags placem_collection'!$A$3:$A$500,MATCH(A352,'WetLitterbags placem_collection'!$O$4:$O$500,0)),"")</f>
        <v>181</v>
      </c>
      <c r="P352" s="110" t="str">
        <f>IFERROR(INDEX('WetLitterbags placem_collection'!$A$3:$A$500,MATCH(A352,'WetLitterbags placem_collection'!$M$4:$M$500,0)),"")</f>
        <v/>
      </c>
      <c r="Q352" s="110" t="str">
        <f>IFERROR(INDEX('WetLitterbags placem_collection'!$A$3:$A$500,MATCH(A352,'WetLitterbags placem_collection'!$Q$4:$Q$500,0)),"")</f>
        <v/>
      </c>
    </row>
    <row r="353" spans="1:17" ht="13.95" customHeight="1">
      <c r="A353" s="110" t="s">
        <v>1231</v>
      </c>
      <c r="B353" s="110">
        <v>129</v>
      </c>
      <c r="C353" s="110">
        <v>0.59719999999999995</v>
      </c>
      <c r="E353" s="112">
        <v>43125</v>
      </c>
      <c r="N353" s="110">
        <f>IFERROR(INDEX('WetLitterbags placem_collection'!$A$3:$A$500,MATCH(A353,'WetLitterbags placem_collection'!$K$4:$K$500,0)),"")</f>
        <v>128</v>
      </c>
      <c r="O353" s="110" t="str">
        <f>IFERROR(INDEX('WetLitterbags placem_collection'!$A$3:$A$500,MATCH(A353,'WetLitterbags placem_collection'!$O$4:$O$500,0)),"")</f>
        <v/>
      </c>
      <c r="P353" s="110" t="str">
        <f>IFERROR(INDEX('WetLitterbags placem_collection'!$A$3:$A$500,MATCH(A353,'WetLitterbags placem_collection'!$M$4:$M$500,0)),"")</f>
        <v/>
      </c>
      <c r="Q353" s="110" t="str">
        <f>IFERROR(INDEX('WetLitterbags placem_collection'!$A$3:$A$500,MATCH(A353,'WetLitterbags placem_collection'!$Q$4:$Q$500,0)),"")</f>
        <v/>
      </c>
    </row>
    <row r="354" spans="1:17" ht="13.95" customHeight="1">
      <c r="A354" s="110" t="s">
        <v>1230</v>
      </c>
      <c r="B354" s="110">
        <v>134</v>
      </c>
      <c r="C354" s="110">
        <v>0.53400000000000003</v>
      </c>
      <c r="D354" s="110" t="s">
        <v>2050</v>
      </c>
      <c r="E354" s="112">
        <v>42881</v>
      </c>
      <c r="N354" s="110" t="str">
        <f>IFERROR(INDEX('WetLitterbags placem_collection'!$A$3:$A$500,MATCH(A354,'WetLitterbags placem_collection'!$K$4:$K$500,0)),"")</f>
        <v/>
      </c>
      <c r="O354" s="110">
        <f>IFERROR(INDEX('WetLitterbags placem_collection'!$A$3:$A$500,MATCH(A354,'WetLitterbags placem_collection'!$O$4:$O$500,0)),"")</f>
        <v>133</v>
      </c>
      <c r="P354" s="110" t="str">
        <f>IFERROR(INDEX('WetLitterbags placem_collection'!$A$3:$A$500,MATCH(A354,'WetLitterbags placem_collection'!$M$4:$M$500,0)),"")</f>
        <v/>
      </c>
      <c r="Q354" s="110" t="str">
        <f>IFERROR(INDEX('WetLitterbags placem_collection'!$A$3:$A$500,MATCH(A354,'WetLitterbags placem_collection'!$Q$4:$Q$500,0)),"")</f>
        <v/>
      </c>
    </row>
    <row r="355" spans="1:17" ht="13.95" customHeight="1">
      <c r="A355" s="110" t="s">
        <v>1229</v>
      </c>
      <c r="B355" s="110">
        <v>195</v>
      </c>
      <c r="C355" s="110">
        <v>0.7641</v>
      </c>
      <c r="D355" s="110" t="s">
        <v>2085</v>
      </c>
      <c r="E355" s="112">
        <v>43125</v>
      </c>
      <c r="N355" s="110">
        <f>IFERROR(INDEX('WetLitterbags placem_collection'!$A$3:$A$500,MATCH(A355,'WetLitterbags placem_collection'!$K$4:$K$500,0)),"")</f>
        <v>194</v>
      </c>
      <c r="O355" s="110" t="str">
        <f>IFERROR(INDEX('WetLitterbags placem_collection'!$A$3:$A$500,MATCH(A355,'WetLitterbags placem_collection'!$O$4:$O$500,0)),"")</f>
        <v/>
      </c>
      <c r="P355" s="110" t="str">
        <f>IFERROR(INDEX('WetLitterbags placem_collection'!$A$3:$A$500,MATCH(A355,'WetLitterbags placem_collection'!$M$4:$M$500,0)),"")</f>
        <v/>
      </c>
      <c r="Q355" s="110" t="str">
        <f>IFERROR(INDEX('WetLitterbags placem_collection'!$A$3:$A$500,MATCH(A355,'WetLitterbags placem_collection'!$Q$4:$Q$500,0)),"")</f>
        <v/>
      </c>
    </row>
    <row r="356" spans="1:17" ht="13.95" customHeight="1">
      <c r="A356" s="110" t="s">
        <v>1228</v>
      </c>
      <c r="B356" s="110">
        <v>221</v>
      </c>
      <c r="C356" s="110">
        <v>0.85699999999999998</v>
      </c>
      <c r="D356" s="110" t="s">
        <v>2136</v>
      </c>
      <c r="E356" s="112">
        <v>42878</v>
      </c>
      <c r="N356" s="110">
        <f>IFERROR(INDEX('WetLitterbags placem_collection'!$A$3:$A$500,MATCH(A356,'WetLitterbags placem_collection'!$K$4:$K$500,0)),"")</f>
        <v>210</v>
      </c>
      <c r="O356" s="110" t="str">
        <f>IFERROR(INDEX('WetLitterbags placem_collection'!$A$3:$A$500,MATCH(A356,'WetLitterbags placem_collection'!$O$4:$O$500,0)),"")</f>
        <v/>
      </c>
      <c r="P356" s="110" t="str">
        <f>IFERROR(INDEX('WetLitterbags placem_collection'!$A$3:$A$500,MATCH(A356,'WetLitterbags placem_collection'!$M$4:$M$500,0)),"")</f>
        <v/>
      </c>
      <c r="Q356" s="110" t="str">
        <f>IFERROR(INDEX('WetLitterbags placem_collection'!$A$3:$A$500,MATCH(A356,'WetLitterbags placem_collection'!$Q$4:$Q$500,0)),"")</f>
        <v/>
      </c>
    </row>
    <row r="357" spans="1:17" ht="13.95" customHeight="1">
      <c r="A357" s="110" t="s">
        <v>1226</v>
      </c>
      <c r="B357" s="110">
        <v>155</v>
      </c>
      <c r="C357" s="110">
        <v>0.63800000000000001</v>
      </c>
      <c r="E357" s="112">
        <v>42879</v>
      </c>
      <c r="N357" s="110" t="str">
        <f>IFERROR(INDEX('WetLitterbags placem_collection'!$A$3:$A$500,MATCH(A357,'WetLitterbags placem_collection'!$K$4:$K$500,0)),"")</f>
        <v/>
      </c>
      <c r="O357" s="110">
        <f>IFERROR(INDEX('WetLitterbags placem_collection'!$A$3:$A$500,MATCH(A357,'WetLitterbags placem_collection'!$O$4:$O$500,0)),"")</f>
        <v>101</v>
      </c>
      <c r="P357" s="110" t="str">
        <f>IFERROR(INDEX('WetLitterbags placem_collection'!$A$3:$A$500,MATCH(A357,'WetLitterbags placem_collection'!$M$4:$M$500,0)),"")</f>
        <v/>
      </c>
      <c r="Q357" s="110" t="str">
        <f>IFERROR(INDEX('WetLitterbags placem_collection'!$A$3:$A$500,MATCH(A357,'WetLitterbags placem_collection'!$Q$4:$Q$500,0)),"")</f>
        <v/>
      </c>
    </row>
    <row r="358" spans="1:17" ht="13.95" customHeight="1">
      <c r="A358" s="110" t="s">
        <v>1225</v>
      </c>
      <c r="B358" s="110">
        <v>121</v>
      </c>
      <c r="C358" s="110">
        <v>0.61199999999999999</v>
      </c>
      <c r="E358" s="112">
        <v>42879</v>
      </c>
      <c r="N358" s="110" t="str">
        <f>IFERROR(INDEX('WetLitterbags placem_collection'!$A$3:$A$500,MATCH(A358,'WetLitterbags placem_collection'!$K$4:$K$500,0)),"")</f>
        <v/>
      </c>
      <c r="O358" s="110">
        <f>IFERROR(INDEX('WetLitterbags placem_collection'!$A$3:$A$500,MATCH(A358,'WetLitterbags placem_collection'!$O$4:$O$500,0)),"")</f>
        <v>120</v>
      </c>
      <c r="P358" s="110" t="str">
        <f>IFERROR(INDEX('WetLitterbags placem_collection'!$A$3:$A$500,MATCH(A358,'WetLitterbags placem_collection'!$M$4:$M$500,0)),"")</f>
        <v/>
      </c>
      <c r="Q358" s="110" t="str">
        <f>IFERROR(INDEX('WetLitterbags placem_collection'!$A$3:$A$500,MATCH(A358,'WetLitterbags placem_collection'!$Q$4:$Q$500,0)),"")</f>
        <v/>
      </c>
    </row>
    <row r="359" spans="1:17" ht="13.95" customHeight="1">
      <c r="A359" s="110" t="s">
        <v>1224</v>
      </c>
      <c r="B359" s="110" t="s">
        <v>2077</v>
      </c>
      <c r="C359" s="110">
        <v>0.60060000000000002</v>
      </c>
      <c r="E359" s="112">
        <v>43119</v>
      </c>
      <c r="N359" s="110" t="str">
        <f>IFERROR(INDEX('WetLitterbags placem_collection'!$A$3:$A$500,MATCH(A359,'WetLitterbags placem_collection'!$K$4:$K$500,0)),"")</f>
        <v/>
      </c>
      <c r="O359" s="110">
        <f>IFERROR(INDEX('WetLitterbags placem_collection'!$A$3:$A$500,MATCH(A359,'WetLitterbags placem_collection'!$O$4:$O$500,0)),"")</f>
        <v>178</v>
      </c>
      <c r="P359" s="110" t="str">
        <f>IFERROR(INDEX('WetLitterbags placem_collection'!$A$3:$A$500,MATCH(A359,'WetLitterbags placem_collection'!$M$4:$M$500,0)),"")</f>
        <v/>
      </c>
      <c r="Q359" s="110" t="str">
        <f>IFERROR(INDEX('WetLitterbags placem_collection'!$A$3:$A$500,MATCH(A359,'WetLitterbags placem_collection'!$Q$4:$Q$500,0)),"")</f>
        <v/>
      </c>
    </row>
    <row r="360" spans="1:17" ht="13.95" customHeight="1">
      <c r="A360" s="182" t="s">
        <v>1222</v>
      </c>
      <c r="B360" s="110">
        <v>100</v>
      </c>
      <c r="C360" s="110">
        <v>0.57399999999999995</v>
      </c>
      <c r="E360" s="112">
        <v>42881</v>
      </c>
      <c r="N360" s="110" t="str">
        <f>IFERROR(INDEX('WetLitterbags placem_collection'!$A$3:$A$500,MATCH(A360,'WetLitterbags placem_collection'!$K$4:$K$500,0)),"")</f>
        <v/>
      </c>
      <c r="O360" s="110">
        <f>IFERROR(INDEX('WetLitterbags placem_collection'!$A$3:$A$500,MATCH(A360,'WetLitterbags placem_collection'!$O$4:$O$500,0)),"")</f>
        <v>99</v>
      </c>
      <c r="P360" s="110" t="str">
        <f>IFERROR(INDEX('WetLitterbags placem_collection'!$A$3:$A$500,MATCH(A360,'WetLitterbags placem_collection'!$M$4:$M$500,0)),"")</f>
        <v/>
      </c>
      <c r="Q360" s="110" t="str">
        <f>IFERROR(INDEX('WetLitterbags placem_collection'!$A$3:$A$500,MATCH(A360,'WetLitterbags placem_collection'!$Q$4:$Q$500,0)),"")</f>
        <v/>
      </c>
    </row>
    <row r="361" spans="1:17" ht="13.95" customHeight="1">
      <c r="A361" s="110" t="s">
        <v>1221</v>
      </c>
      <c r="B361" s="110">
        <v>102</v>
      </c>
      <c r="C361" s="110">
        <v>0.56499999999999995</v>
      </c>
      <c r="E361" s="112">
        <v>42881</v>
      </c>
      <c r="N361" s="110">
        <f>IFERROR(INDEX('WetLitterbags placem_collection'!$A$3:$A$500,MATCH(A361,'WetLitterbags placem_collection'!$K$4:$K$500,0)),"")</f>
        <v>158</v>
      </c>
      <c r="O361" s="110" t="str">
        <f>IFERROR(INDEX('WetLitterbags placem_collection'!$A$3:$A$500,MATCH(A361,'WetLitterbags placem_collection'!$O$4:$O$500,0)),"")</f>
        <v/>
      </c>
      <c r="P361" s="110" t="str">
        <f>IFERROR(INDEX('WetLitterbags placem_collection'!$A$3:$A$500,MATCH(A361,'WetLitterbags placem_collection'!$M$4:$M$500,0)),"")</f>
        <v/>
      </c>
      <c r="Q361" s="110" t="str">
        <f>IFERROR(INDEX('WetLitterbags placem_collection'!$A$3:$A$500,MATCH(A361,'WetLitterbags placem_collection'!$Q$4:$Q$500,0)),"")</f>
        <v/>
      </c>
    </row>
    <row r="362" spans="1:17" ht="13.95" customHeight="1">
      <c r="A362" s="110" t="s">
        <v>1220</v>
      </c>
      <c r="B362" s="110">
        <v>130</v>
      </c>
      <c r="C362" s="110">
        <v>0.54</v>
      </c>
      <c r="E362" s="112">
        <v>42879</v>
      </c>
      <c r="N362" s="110">
        <f>IFERROR(INDEX('WetLitterbags placem_collection'!$A$3:$A$500,MATCH(A362,'WetLitterbags placem_collection'!$K$4:$K$500,0)),"")</f>
        <v>129</v>
      </c>
      <c r="O362" s="110" t="str">
        <f>IFERROR(INDEX('WetLitterbags placem_collection'!$A$3:$A$500,MATCH(A362,'WetLitterbags placem_collection'!$O$4:$O$500,0)),"")</f>
        <v/>
      </c>
      <c r="P362" s="110" t="str">
        <f>IFERROR(INDEX('WetLitterbags placem_collection'!$A$3:$A$500,MATCH(A362,'WetLitterbags placem_collection'!$M$4:$M$500,0)),"")</f>
        <v/>
      </c>
      <c r="Q362" s="110" t="str">
        <f>IFERROR(INDEX('WetLitterbags placem_collection'!$A$3:$A$500,MATCH(A362,'WetLitterbags placem_collection'!$Q$4:$Q$500,0)),"")</f>
        <v/>
      </c>
    </row>
    <row r="363" spans="1:17" ht="13.95" customHeight="1">
      <c r="A363" s="110" t="s">
        <v>1218</v>
      </c>
      <c r="B363" s="110">
        <v>136</v>
      </c>
      <c r="C363" s="110">
        <v>0.5796</v>
      </c>
      <c r="E363" s="112">
        <v>43125</v>
      </c>
      <c r="N363" s="110">
        <f>IFERROR(INDEX('WetLitterbags placem_collection'!$A$3:$A$500,MATCH(A363,'WetLitterbags placem_collection'!$K$4:$K$500,0)),"")</f>
        <v>135</v>
      </c>
      <c r="O363" s="110" t="str">
        <f>IFERROR(INDEX('WetLitterbags placem_collection'!$A$3:$A$500,MATCH(A363,'WetLitterbags placem_collection'!$O$4:$O$500,0)),"")</f>
        <v/>
      </c>
      <c r="P363" s="110" t="str">
        <f>IFERROR(INDEX('WetLitterbags placem_collection'!$A$3:$A$500,MATCH(A363,'WetLitterbags placem_collection'!$M$4:$M$500,0)),"")</f>
        <v/>
      </c>
      <c r="Q363" s="110" t="str">
        <f>IFERROR(INDEX('WetLitterbags placem_collection'!$A$3:$A$500,MATCH(A363,'WetLitterbags placem_collection'!$Q$4:$Q$500,0)),"")</f>
        <v/>
      </c>
    </row>
    <row r="364" spans="1:17" ht="13.95" customHeight="1">
      <c r="A364" s="182" t="s">
        <v>1217</v>
      </c>
      <c r="B364" s="110">
        <v>128</v>
      </c>
      <c r="C364" s="110">
        <v>0.57199999999999995</v>
      </c>
      <c r="E364" s="112">
        <v>42879</v>
      </c>
      <c r="N364" s="110" t="str">
        <f>IFERROR(INDEX('WetLitterbags placem_collection'!$A$3:$A$500,MATCH(A364,'WetLitterbags placem_collection'!$K$4:$K$500,0)),"")</f>
        <v/>
      </c>
      <c r="O364" s="110">
        <f>IFERROR(INDEX('WetLitterbags placem_collection'!$A$3:$A$500,MATCH(A364,'WetLitterbags placem_collection'!$O$4:$O$500,0)),"")</f>
        <v>127</v>
      </c>
      <c r="P364" s="110" t="str">
        <f>IFERROR(INDEX('WetLitterbags placem_collection'!$A$3:$A$500,MATCH(A364,'WetLitterbags placem_collection'!$M$4:$M$500,0)),"")</f>
        <v/>
      </c>
      <c r="Q364" s="110" t="str">
        <f>IFERROR(INDEX('WetLitterbags placem_collection'!$A$3:$A$500,MATCH(A364,'WetLitterbags placem_collection'!$Q$4:$Q$500,0)),"")</f>
        <v/>
      </c>
    </row>
    <row r="365" spans="1:17" ht="13.95" customHeight="1">
      <c r="A365" s="110" t="s">
        <v>1216</v>
      </c>
      <c r="B365" s="110">
        <v>128</v>
      </c>
      <c r="C365" s="110">
        <v>0.54500000000000004</v>
      </c>
      <c r="E365" s="112">
        <v>42879</v>
      </c>
      <c r="N365" s="110">
        <f>IFERROR(INDEX('WetLitterbags placem_collection'!$A$3:$A$500,MATCH(A365,'WetLitterbags placem_collection'!$K$4:$K$500,0)),"")</f>
        <v>127</v>
      </c>
      <c r="O365" s="110" t="str">
        <f>IFERROR(INDEX('WetLitterbags placem_collection'!$A$3:$A$500,MATCH(A365,'WetLitterbags placem_collection'!$O$4:$O$500,0)),"")</f>
        <v/>
      </c>
      <c r="P365" s="110" t="str">
        <f>IFERROR(INDEX('WetLitterbags placem_collection'!$A$3:$A$500,MATCH(A365,'WetLitterbags placem_collection'!$M$4:$M$500,0)),"")</f>
        <v/>
      </c>
      <c r="Q365" s="110" t="str">
        <f>IFERROR(INDEX('WetLitterbags placem_collection'!$A$3:$A$500,MATCH(A365,'WetLitterbags placem_collection'!$Q$4:$Q$500,0)),"")</f>
        <v/>
      </c>
    </row>
    <row r="366" spans="1:17" ht="13.95" customHeight="1">
      <c r="A366" s="182" t="s">
        <v>1215</v>
      </c>
      <c r="B366" s="110" t="s">
        <v>2077</v>
      </c>
      <c r="C366" s="110">
        <v>0.24560000000000001</v>
      </c>
      <c r="D366" s="110" t="s">
        <v>2076</v>
      </c>
      <c r="E366" s="112">
        <v>43125</v>
      </c>
      <c r="N366" s="110">
        <f>IFERROR(INDEX('WetLitterbags placem_collection'!$A$3:$A$500,MATCH(A366,'WetLitterbags placem_collection'!$K$4:$K$500,0)),"")</f>
        <v>147</v>
      </c>
      <c r="O366" s="110" t="str">
        <f>IFERROR(INDEX('WetLitterbags placem_collection'!$A$3:$A$500,MATCH(A366,'WetLitterbags placem_collection'!$O$4:$O$500,0)),"")</f>
        <v/>
      </c>
      <c r="P366" s="110" t="str">
        <f>IFERROR(INDEX('WetLitterbags placem_collection'!$A$3:$A$500,MATCH(A366,'WetLitterbags placem_collection'!$M$4:$M$500,0)),"")</f>
        <v/>
      </c>
      <c r="Q366" s="110" t="str">
        <f>IFERROR(INDEX('WetLitterbags placem_collection'!$A$3:$A$500,MATCH(A366,'WetLitterbags placem_collection'!$Q$4:$Q$500,0)),"")</f>
        <v/>
      </c>
    </row>
    <row r="367" spans="1:17" ht="13.95" customHeight="1">
      <c r="A367" s="110" t="s">
        <v>1214</v>
      </c>
      <c r="B367" s="110">
        <v>143</v>
      </c>
      <c r="C367" s="110">
        <v>0.60970000000000002</v>
      </c>
      <c r="E367" s="112">
        <v>43125</v>
      </c>
      <c r="N367" s="110">
        <f>IFERROR(INDEX('WetLitterbags placem_collection'!$A$3:$A$500,MATCH(A367,'WetLitterbags placem_collection'!$K$4:$K$500,0)),"")</f>
        <v>142</v>
      </c>
      <c r="O367" s="110" t="str">
        <f>IFERROR(INDEX('WetLitterbags placem_collection'!$A$3:$A$500,MATCH(A367,'WetLitterbags placem_collection'!$O$4:$O$500,0)),"")</f>
        <v/>
      </c>
      <c r="P367" s="110" t="str">
        <f>IFERROR(INDEX('WetLitterbags placem_collection'!$A$3:$A$500,MATCH(A367,'WetLitterbags placem_collection'!$M$4:$M$500,0)),"")</f>
        <v/>
      </c>
      <c r="Q367" s="110" t="str">
        <f>IFERROR(INDEX('WetLitterbags placem_collection'!$A$3:$A$500,MATCH(A367,'WetLitterbags placem_collection'!$Q$4:$Q$500,0)),"")</f>
        <v/>
      </c>
    </row>
    <row r="368" spans="1:17" ht="13.95" customHeight="1">
      <c r="A368" t="s">
        <v>1213</v>
      </c>
      <c r="B368" s="110" t="s">
        <v>2057</v>
      </c>
      <c r="C368" s="110">
        <v>0.62</v>
      </c>
      <c r="E368" s="112">
        <v>42881</v>
      </c>
      <c r="N368" s="110">
        <f>IFERROR(INDEX('WetLitterbags placem_collection'!$A$3:$A$500,MATCH(A368,'WetLitterbags placem_collection'!$K$4:$K$500,0)),"")</f>
        <v>105</v>
      </c>
      <c r="O368" s="110" t="str">
        <f>IFERROR(INDEX('WetLitterbags placem_collection'!$A$3:$A$500,MATCH(A368,'WetLitterbags placem_collection'!$O$4:$O$500,0)),"")</f>
        <v/>
      </c>
      <c r="P368" s="110" t="str">
        <f>IFERROR(INDEX('WetLitterbags placem_collection'!$A$3:$A$500,MATCH(A368,'WetLitterbags placem_collection'!$M$4:$M$500,0)),"")</f>
        <v/>
      </c>
      <c r="Q368" s="110" t="str">
        <f>IFERROR(INDEX('WetLitterbags placem_collection'!$A$3:$A$500,MATCH(A368,'WetLitterbags placem_collection'!$Q$4:$Q$500,0)),"")</f>
        <v/>
      </c>
    </row>
    <row r="369" spans="1:17" ht="13.95" customHeight="1">
      <c r="A369" s="110" t="s">
        <v>1212</v>
      </c>
      <c r="B369" s="110" t="s">
        <v>2077</v>
      </c>
      <c r="C369" s="110">
        <v>0.70830000000000004</v>
      </c>
      <c r="E369" s="112">
        <v>43116</v>
      </c>
      <c r="N369" s="110">
        <f>IFERROR(INDEX('WetLitterbags placem_collection'!$A$3:$A$500,MATCH(A369,'WetLitterbags placem_collection'!$K$4:$K$500,0)),"")</f>
        <v>28</v>
      </c>
      <c r="O369" s="110" t="str">
        <f>IFERROR(INDEX('WetLitterbags placem_collection'!$A$3:$A$500,MATCH(A369,'WetLitterbags placem_collection'!$O$4:$O$500,0)),"")</f>
        <v/>
      </c>
      <c r="P369" s="110" t="str">
        <f>IFERROR(INDEX('WetLitterbags placem_collection'!$A$3:$A$500,MATCH(A369,'WetLitterbags placem_collection'!$M$4:$M$500,0)),"")</f>
        <v/>
      </c>
      <c r="Q369" s="110" t="str">
        <f>IFERROR(INDEX('WetLitterbags placem_collection'!$A$3:$A$500,MATCH(A369,'WetLitterbags placem_collection'!$Q$4:$Q$500,0)),"")</f>
        <v/>
      </c>
    </row>
    <row r="370" spans="1:17" ht="13.95" customHeight="1">
      <c r="A370" s="110" t="s">
        <v>1211</v>
      </c>
      <c r="B370" s="110">
        <v>122</v>
      </c>
      <c r="C370" s="110">
        <v>0.64200000000000002</v>
      </c>
      <c r="E370" s="112">
        <v>42878</v>
      </c>
      <c r="N370" s="110" t="str">
        <f>IFERROR(INDEX('WetLitterbags placem_collection'!$A$3:$A$500,MATCH(A370,'WetLitterbags placem_collection'!$K$4:$K$500,0)),"")</f>
        <v/>
      </c>
      <c r="O370" s="110">
        <f>IFERROR(INDEX('WetLitterbags placem_collection'!$A$3:$A$500,MATCH(A370,'WetLitterbags placem_collection'!$O$4:$O$500,0)),"")</f>
        <v>121</v>
      </c>
      <c r="P370" s="110" t="str">
        <f>IFERROR(INDEX('WetLitterbags placem_collection'!$A$3:$A$500,MATCH(A370,'WetLitterbags placem_collection'!$M$4:$M$500,0)),"")</f>
        <v/>
      </c>
      <c r="Q370" s="110" t="str">
        <f>IFERROR(INDEX('WetLitterbags placem_collection'!$A$3:$A$500,MATCH(A370,'WetLitterbags placem_collection'!$Q$4:$Q$500,0)),"")</f>
        <v/>
      </c>
    </row>
    <row r="371" spans="1:17" ht="13.95" customHeight="1">
      <c r="A371" s="110" t="s">
        <v>1210</v>
      </c>
      <c r="B371" s="110">
        <v>82</v>
      </c>
      <c r="C371" s="110">
        <v>0.74299999999999999</v>
      </c>
      <c r="E371" s="112">
        <v>42879</v>
      </c>
      <c r="N371" s="110" t="str">
        <f>IFERROR(INDEX('WetLitterbags placem_collection'!$A$3:$A$500,MATCH(A371,'WetLitterbags placem_collection'!$K$4:$K$500,0)),"")</f>
        <v/>
      </c>
      <c r="O371" s="110">
        <f>IFERROR(INDEX('WetLitterbags placem_collection'!$A$3:$A$500,MATCH(A371,'WetLitterbags placem_collection'!$O$4:$O$500,0)),"")</f>
        <v>81</v>
      </c>
      <c r="P371" s="110" t="str">
        <f>IFERROR(INDEX('WetLitterbags placem_collection'!$A$3:$A$500,MATCH(A371,'WetLitterbags placem_collection'!$M$4:$M$500,0)),"")</f>
        <v/>
      </c>
      <c r="Q371" s="110" t="str">
        <f>IFERROR(INDEX('WetLitterbags placem_collection'!$A$3:$A$500,MATCH(A371,'WetLitterbags placem_collection'!$Q$4:$Q$500,0)),"")</f>
        <v/>
      </c>
    </row>
    <row r="372" spans="1:17" ht="13.95" customHeight="1">
      <c r="A372" s="110" t="s">
        <v>1209</v>
      </c>
      <c r="B372" s="110">
        <v>126</v>
      </c>
      <c r="C372" s="110">
        <v>0.58499999999999996</v>
      </c>
      <c r="E372" s="112">
        <v>42878</v>
      </c>
      <c r="N372" s="110" t="str">
        <f>IFERROR(INDEX('WetLitterbags placem_collection'!$A$3:$A$500,MATCH(A372,'WetLitterbags placem_collection'!$K$4:$K$500,0)),"")</f>
        <v/>
      </c>
      <c r="O372" s="110">
        <f>IFERROR(INDEX('WetLitterbags placem_collection'!$A$3:$A$500,MATCH(A372,'WetLitterbags placem_collection'!$O$4:$O$500,0)),"")</f>
        <v>125</v>
      </c>
      <c r="P372" s="110" t="str">
        <f>IFERROR(INDEX('WetLitterbags placem_collection'!$A$3:$A$500,MATCH(A372,'WetLitterbags placem_collection'!$M$4:$M$500,0)),"")</f>
        <v/>
      </c>
      <c r="Q372" s="110" t="str">
        <f>IFERROR(INDEX('WetLitterbags placem_collection'!$A$3:$A$500,MATCH(A372,'WetLitterbags placem_collection'!$Q$4:$Q$500,0)),"")</f>
        <v/>
      </c>
    </row>
    <row r="373" spans="1:17" ht="13.95" customHeight="1">
      <c r="A373" s="182" t="s">
        <v>1205</v>
      </c>
      <c r="B373" s="110">
        <v>108</v>
      </c>
      <c r="C373" s="110">
        <v>0.57699999999999996</v>
      </c>
      <c r="E373" s="112">
        <v>42881</v>
      </c>
      <c r="N373" s="110" t="str">
        <f>IFERROR(INDEX('WetLitterbags placem_collection'!$A$3:$A$500,MATCH(A373,'WetLitterbags placem_collection'!$K$4:$K$500,0)),"")</f>
        <v/>
      </c>
      <c r="O373" s="110">
        <f>IFERROR(INDEX('WetLitterbags placem_collection'!$A$3:$A$500,MATCH(A373,'WetLitterbags placem_collection'!$O$4:$O$500,0)),"")</f>
        <v>107</v>
      </c>
      <c r="P373" s="110" t="str">
        <f>IFERROR(INDEX('WetLitterbags placem_collection'!$A$3:$A$500,MATCH(A373,'WetLitterbags placem_collection'!$M$4:$M$500,0)),"")</f>
        <v/>
      </c>
      <c r="Q373" s="110" t="str">
        <f>IFERROR(INDEX('WetLitterbags placem_collection'!$A$3:$A$500,MATCH(A373,'WetLitterbags placem_collection'!$Q$4:$Q$500,0)),"")</f>
        <v/>
      </c>
    </row>
    <row r="374" spans="1:17" ht="13.95" customHeight="1">
      <c r="A374" s="110" t="s">
        <v>1204</v>
      </c>
      <c r="B374" s="110" t="s">
        <v>2077</v>
      </c>
      <c r="C374" s="110">
        <v>0.59309999999999996</v>
      </c>
      <c r="E374" s="112">
        <v>43123</v>
      </c>
      <c r="N374" s="110">
        <f>IFERROR(INDEX('WetLitterbags placem_collection'!$A$3:$A$500,MATCH(A374,'WetLitterbags placem_collection'!$K$4:$K$500,0)),"")</f>
        <v>132</v>
      </c>
      <c r="O374" s="110" t="str">
        <f>IFERROR(INDEX('WetLitterbags placem_collection'!$A$3:$A$500,MATCH(A374,'WetLitterbags placem_collection'!$O$4:$O$500,0)),"")</f>
        <v/>
      </c>
      <c r="P374" s="110" t="str">
        <f>IFERROR(INDEX('WetLitterbags placem_collection'!$A$3:$A$500,MATCH(A374,'WetLitterbags placem_collection'!$M$4:$M$500,0)),"")</f>
        <v/>
      </c>
      <c r="Q374" s="110" t="str">
        <f>IFERROR(INDEX('WetLitterbags placem_collection'!$A$3:$A$500,MATCH(A374,'WetLitterbags placem_collection'!$Q$4:$Q$500,0)),"")</f>
        <v/>
      </c>
    </row>
    <row r="375" spans="1:17" ht="13.95" customHeight="1">
      <c r="A375" s="110" t="s">
        <v>1203</v>
      </c>
      <c r="B375" s="110" t="s">
        <v>2077</v>
      </c>
      <c r="C375" s="110">
        <v>0.61809999999999998</v>
      </c>
      <c r="E375" s="112">
        <v>43122</v>
      </c>
      <c r="N375" s="110" t="str">
        <f>IFERROR(INDEX('WetLitterbags placem_collection'!$A$3:$A$500,MATCH(A375,'WetLitterbags placem_collection'!$K$4:$K$500,0)),"")</f>
        <v/>
      </c>
      <c r="O375" s="110">
        <f>IFERROR(INDEX('WetLitterbags placem_collection'!$A$3:$A$500,MATCH(A375,'WetLitterbags placem_collection'!$O$4:$O$500,0)),"")</f>
        <v>96</v>
      </c>
      <c r="P375" s="110" t="str">
        <f>IFERROR(INDEX('WetLitterbags placem_collection'!$A$3:$A$500,MATCH(A375,'WetLitterbags placem_collection'!$M$4:$M$500,0)),"")</f>
        <v/>
      </c>
      <c r="Q375" s="110" t="str">
        <f>IFERROR(INDEX('WetLitterbags placem_collection'!$A$3:$A$500,MATCH(A375,'WetLitterbags placem_collection'!$Q$4:$Q$500,0)),"")</f>
        <v/>
      </c>
    </row>
    <row r="376" spans="1:17" ht="13.95" customHeight="1">
      <c r="A376" s="110" t="s">
        <v>1201</v>
      </c>
      <c r="B376" s="110" t="s">
        <v>2077</v>
      </c>
      <c r="C376" s="110">
        <v>0.65239999999999998</v>
      </c>
      <c r="E376" s="112">
        <v>43122</v>
      </c>
      <c r="N376" s="110" t="str">
        <f>IFERROR(INDEX('WetLitterbags placem_collection'!$A$3:$A$500,MATCH(A376,'WetLitterbags placem_collection'!$K$4:$K$500,0)),"")</f>
        <v/>
      </c>
      <c r="O376" s="110">
        <f>IFERROR(INDEX('WetLitterbags placem_collection'!$A$3:$A$500,MATCH(A376,'WetLitterbags placem_collection'!$O$4:$O$500,0)),"")</f>
        <v>219</v>
      </c>
      <c r="P376" s="110" t="str">
        <f>IFERROR(INDEX('WetLitterbags placem_collection'!$A$3:$A$500,MATCH(A376,'WetLitterbags placem_collection'!$M$4:$M$500,0)),"")</f>
        <v/>
      </c>
      <c r="Q376" s="110" t="str">
        <f>IFERROR(INDEX('WetLitterbags placem_collection'!$A$3:$A$500,MATCH(A376,'WetLitterbags placem_collection'!$Q$4:$Q$500,0)),"")</f>
        <v/>
      </c>
    </row>
    <row r="377" spans="1:17" ht="13.95" customHeight="1">
      <c r="A377" s="445" t="s">
        <v>1200</v>
      </c>
      <c r="B377" s="110">
        <v>142</v>
      </c>
      <c r="C377" s="110">
        <v>0.78500000000000003</v>
      </c>
      <c r="E377" s="112">
        <v>42881</v>
      </c>
      <c r="N377" s="110" t="str">
        <f>IFERROR(INDEX('WetLitterbags placem_collection'!$A$3:$A$500,MATCH(A377,'WetLitterbags placem_collection'!$K$4:$K$500,0)),"")</f>
        <v/>
      </c>
      <c r="O377" s="110">
        <f>IFERROR(INDEX('WetLitterbags placem_collection'!$A$3:$A$500,MATCH(A377,'WetLitterbags placem_collection'!$O$4:$O$500,0)),"")</f>
        <v>141</v>
      </c>
      <c r="P377" s="110" t="str">
        <f>IFERROR(INDEX('WetLitterbags placem_collection'!$A$3:$A$500,MATCH(A377,'WetLitterbags placem_collection'!$M$4:$M$500,0)),"")</f>
        <v/>
      </c>
      <c r="Q377" s="110" t="str">
        <f>IFERROR(INDEX('WetLitterbags placem_collection'!$A$3:$A$500,MATCH(A377,'WetLitterbags placem_collection'!$Q$4:$Q$500,0)),"")</f>
        <v/>
      </c>
    </row>
    <row r="378" spans="1:17" ht="13.95" customHeight="1">
      <c r="A378" t="s">
        <v>1198</v>
      </c>
      <c r="B378" s="110">
        <v>112</v>
      </c>
      <c r="C378" s="110">
        <v>0.69799999999999995</v>
      </c>
      <c r="E378" s="112">
        <v>42878</v>
      </c>
      <c r="N378" s="110" t="str">
        <f>IFERROR(INDEX('WetLitterbags placem_collection'!$A$3:$A$500,MATCH(A378,'WetLitterbags placem_collection'!$K$4:$K$500,0)),"")</f>
        <v/>
      </c>
      <c r="O378" s="110">
        <f>IFERROR(INDEX('WetLitterbags placem_collection'!$A$3:$A$500,MATCH(A378,'WetLitterbags placem_collection'!$O$4:$O$500,0)),"")</f>
        <v>111</v>
      </c>
      <c r="P378" s="110" t="str">
        <f>IFERROR(INDEX('WetLitterbags placem_collection'!$A$3:$A$500,MATCH(A378,'WetLitterbags placem_collection'!$M$4:$M$500,0)),"")</f>
        <v/>
      </c>
      <c r="Q378" s="110" t="str">
        <f>IFERROR(INDEX('WetLitterbags placem_collection'!$A$3:$A$500,MATCH(A378,'WetLitterbags placem_collection'!$Q$4:$Q$500,0)),"")</f>
        <v/>
      </c>
    </row>
    <row r="379" spans="1:17" ht="13.95" customHeight="1">
      <c r="A379" s="110" t="s">
        <v>1197</v>
      </c>
      <c r="B379" s="110" t="s">
        <v>2077</v>
      </c>
      <c r="C379" s="110">
        <v>0.58509999999999995</v>
      </c>
      <c r="E379" s="112">
        <v>43119</v>
      </c>
      <c r="N379" s="110">
        <f>IFERROR(INDEX('WetLitterbags placem_collection'!$A$3:$A$500,MATCH(A379,'WetLitterbags placem_collection'!$K$4:$K$500,0)),"")</f>
        <v>151</v>
      </c>
      <c r="O379" s="110" t="str">
        <f>IFERROR(INDEX('WetLitterbags placem_collection'!$A$3:$A$500,MATCH(A379,'WetLitterbags placem_collection'!$O$4:$O$500,0)),"")</f>
        <v/>
      </c>
      <c r="P379" s="110" t="str">
        <f>IFERROR(INDEX('WetLitterbags placem_collection'!$A$3:$A$500,MATCH(A379,'WetLitterbags placem_collection'!$M$4:$M$500,0)),"")</f>
        <v/>
      </c>
      <c r="Q379" s="110" t="str">
        <f>IFERROR(INDEX('WetLitterbags placem_collection'!$A$3:$A$500,MATCH(A379,'WetLitterbags placem_collection'!$Q$4:$Q$500,0)),"")</f>
        <v/>
      </c>
    </row>
    <row r="380" spans="1:17" ht="13.95" customHeight="1">
      <c r="A380" s="110" t="s">
        <v>1194</v>
      </c>
      <c r="B380" s="110">
        <v>51</v>
      </c>
      <c r="C380" s="110">
        <v>0.77600000000000002</v>
      </c>
      <c r="E380" s="112">
        <v>42881</v>
      </c>
      <c r="N380" s="110" t="str">
        <f>IFERROR(INDEX('WetLitterbags placem_collection'!$A$3:$A$500,MATCH(A380,'WetLitterbags placem_collection'!$K$4:$K$500,0)),"")</f>
        <v/>
      </c>
      <c r="O380" s="110">
        <f>IFERROR(INDEX('WetLitterbags placem_collection'!$A$3:$A$500,MATCH(A380,'WetLitterbags placem_collection'!$O$4:$O$500,0)),"")</f>
        <v>50</v>
      </c>
      <c r="P380" s="110" t="str">
        <f>IFERROR(INDEX('WetLitterbags placem_collection'!$A$3:$A$500,MATCH(A380,'WetLitterbags placem_collection'!$M$4:$M$500,0)),"")</f>
        <v/>
      </c>
      <c r="Q380" s="110" t="str">
        <f>IFERROR(INDEX('WetLitterbags placem_collection'!$A$3:$A$500,MATCH(A380,'WetLitterbags placem_collection'!$Q$4:$Q$500,0)),"")</f>
        <v/>
      </c>
    </row>
    <row r="381" spans="1:17" ht="13.95" customHeight="1">
      <c r="A381" s="110" t="s">
        <v>1193</v>
      </c>
      <c r="B381" s="110">
        <v>137</v>
      </c>
      <c r="C381" s="110">
        <v>0.6</v>
      </c>
      <c r="E381" s="112">
        <v>42879</v>
      </c>
      <c r="N381" s="110" t="str">
        <f>IFERROR(INDEX('WetLitterbags placem_collection'!$A$3:$A$500,MATCH(A381,'WetLitterbags placem_collection'!$K$4:$K$500,0)),"")</f>
        <v/>
      </c>
      <c r="O381" s="110">
        <f>IFERROR(INDEX('WetLitterbags placem_collection'!$A$3:$A$500,MATCH(A381,'WetLitterbags placem_collection'!$O$4:$O$500,0)),"")</f>
        <v>136</v>
      </c>
      <c r="P381" s="110" t="str">
        <f>IFERROR(INDEX('WetLitterbags placem_collection'!$A$3:$A$500,MATCH(A381,'WetLitterbags placem_collection'!$M$4:$M$500,0)),"")</f>
        <v/>
      </c>
      <c r="Q381" s="110" t="str">
        <f>IFERROR(INDEX('WetLitterbags placem_collection'!$A$3:$A$500,MATCH(A381,'WetLitterbags placem_collection'!$Q$4:$Q$500,0)),"")</f>
        <v/>
      </c>
    </row>
    <row r="382" spans="1:17" ht="13.95" customHeight="1">
      <c r="A382" s="110" t="s">
        <v>1192</v>
      </c>
      <c r="B382" s="110" t="s">
        <v>2077</v>
      </c>
      <c r="C382" s="110">
        <v>0.69730000000000003</v>
      </c>
      <c r="E382" s="112">
        <v>43116</v>
      </c>
      <c r="N382" s="110">
        <f>IFERROR(INDEX('WetLitterbags placem_collection'!$A$3:$A$500,MATCH(A382,'WetLitterbags placem_collection'!$K$4:$K$500,0)),"")</f>
        <v>214</v>
      </c>
      <c r="O382" s="110" t="str">
        <f>IFERROR(INDEX('WetLitterbags placem_collection'!$A$3:$A$500,MATCH(A382,'WetLitterbags placem_collection'!$O$4:$O$500,0)),"")</f>
        <v/>
      </c>
      <c r="P382" s="110" t="str">
        <f>IFERROR(INDEX('WetLitterbags placem_collection'!$A$3:$A$500,MATCH(A382,'WetLitterbags placem_collection'!$M$4:$M$500,0)),"")</f>
        <v/>
      </c>
      <c r="Q382" s="110" t="str">
        <f>IFERROR(INDEX('WetLitterbags placem_collection'!$A$3:$A$500,MATCH(A382,'WetLitterbags placem_collection'!$Q$4:$Q$500,0)),"")</f>
        <v/>
      </c>
    </row>
    <row r="383" spans="1:17" ht="13.95" customHeight="1">
      <c r="A383" s="110" t="s">
        <v>1191</v>
      </c>
      <c r="B383" s="110">
        <v>155</v>
      </c>
      <c r="C383" s="110">
        <v>0.71599999999999997</v>
      </c>
      <c r="E383" s="112">
        <v>42879</v>
      </c>
      <c r="N383" s="110">
        <f>IFERROR(INDEX('WetLitterbags placem_collection'!$A$3:$A$500,MATCH(A383,'WetLitterbags placem_collection'!$K$4:$K$500,0)),"")</f>
        <v>154</v>
      </c>
      <c r="O383" s="110" t="str">
        <f>IFERROR(INDEX('WetLitterbags placem_collection'!$A$3:$A$500,MATCH(A383,'WetLitterbags placem_collection'!$O$4:$O$500,0)),"")</f>
        <v/>
      </c>
      <c r="P383" s="110" t="str">
        <f>IFERROR(INDEX('WetLitterbags placem_collection'!$A$3:$A$500,MATCH(A383,'WetLitterbags placem_collection'!$M$4:$M$500,0)),"")</f>
        <v/>
      </c>
      <c r="Q383" s="110" t="str">
        <f>IFERROR(INDEX('WetLitterbags placem_collection'!$A$3:$A$500,MATCH(A383,'WetLitterbags placem_collection'!$Q$4:$Q$500,0)),"")</f>
        <v/>
      </c>
    </row>
    <row r="384" spans="1:17" ht="13.95" customHeight="1">
      <c r="A384" s="110" t="s">
        <v>1190</v>
      </c>
      <c r="B384" s="110">
        <v>122</v>
      </c>
      <c r="C384" s="110">
        <v>0.76800000000000002</v>
      </c>
      <c r="D384" s="110" t="s">
        <v>2071</v>
      </c>
      <c r="E384" s="112">
        <v>42878</v>
      </c>
      <c r="N384" s="110">
        <f>IFERROR(INDEX('WetLitterbags placem_collection'!$A$3:$A$500,MATCH(A384,'WetLitterbags placem_collection'!$K$4:$K$500,0)),"")</f>
        <v>121</v>
      </c>
      <c r="O384" s="110" t="str">
        <f>IFERROR(INDEX('WetLitterbags placem_collection'!$A$3:$A$500,MATCH(A384,'WetLitterbags placem_collection'!$O$4:$O$500,0)),"")</f>
        <v/>
      </c>
      <c r="P384" s="110" t="str">
        <f>IFERROR(INDEX('WetLitterbags placem_collection'!$A$3:$A$500,MATCH(A384,'WetLitterbags placem_collection'!$M$4:$M$500,0)),"")</f>
        <v/>
      </c>
      <c r="Q384" s="110" t="str">
        <f>IFERROR(INDEX('WetLitterbags placem_collection'!$A$3:$A$500,MATCH(A384,'WetLitterbags placem_collection'!$Q$4:$Q$500,0)),"")</f>
        <v/>
      </c>
    </row>
    <row r="385" spans="1:17" ht="13.95" customHeight="1">
      <c r="A385" s="110" t="s">
        <v>1189</v>
      </c>
      <c r="B385" s="110">
        <v>105</v>
      </c>
      <c r="C385" s="110">
        <v>0.626</v>
      </c>
      <c r="E385" s="112">
        <v>42879</v>
      </c>
      <c r="N385" s="110" t="str">
        <f>IFERROR(INDEX('WetLitterbags placem_collection'!$A$3:$A$500,MATCH(A385,'WetLitterbags placem_collection'!$K$4:$K$500,0)),"")</f>
        <v/>
      </c>
      <c r="O385" s="110">
        <f>IFERROR(INDEX('WetLitterbags placem_collection'!$A$3:$A$500,MATCH(A385,'WetLitterbags placem_collection'!$O$4:$O$500,0)),"")</f>
        <v>104</v>
      </c>
      <c r="P385" s="110" t="str">
        <f>IFERROR(INDEX('WetLitterbags placem_collection'!$A$3:$A$500,MATCH(A385,'WetLitterbags placem_collection'!$M$4:$M$500,0)),"")</f>
        <v/>
      </c>
      <c r="Q385" s="110" t="str">
        <f>IFERROR(INDEX('WetLitterbags placem_collection'!$A$3:$A$500,MATCH(A385,'WetLitterbags placem_collection'!$Q$4:$Q$500,0)),"")</f>
        <v/>
      </c>
    </row>
    <row r="386" spans="1:17" ht="13.95" customHeight="1">
      <c r="A386" s="110" t="s">
        <v>1188</v>
      </c>
      <c r="B386" s="110">
        <v>124</v>
      </c>
      <c r="C386" s="110">
        <v>0.84799999999999998</v>
      </c>
      <c r="E386" s="112">
        <v>42881</v>
      </c>
      <c r="N386" s="110" t="str">
        <f>IFERROR(INDEX('WetLitterbags placem_collection'!$A$3:$A$500,MATCH(A386,'WetLitterbags placem_collection'!$K$4:$K$500,0)),"")</f>
        <v/>
      </c>
      <c r="O386" s="110" t="str">
        <f>IFERROR(INDEX('WetLitterbags placem_collection'!$A$3:$A$500,MATCH(A386,'WetLitterbags placem_collection'!$O$4:$O$500,0)),"")</f>
        <v/>
      </c>
      <c r="P386" s="110" t="str">
        <f>IFERROR(INDEX('WetLitterbags placem_collection'!$A$3:$A$500,MATCH(A386,'WetLitterbags placem_collection'!$M$4:$M$500,0)),"")</f>
        <v/>
      </c>
      <c r="Q386" s="110" t="str">
        <f>IFERROR(INDEX('WetLitterbags placem_collection'!$A$3:$A$500,MATCH(A386,'WetLitterbags placem_collection'!$Q$4:$Q$500,0)),"")</f>
        <v/>
      </c>
    </row>
    <row r="387" spans="1:17" ht="13.95" customHeight="1">
      <c r="A387" s="110" t="s">
        <v>1187</v>
      </c>
      <c r="B387" s="110" t="s">
        <v>2077</v>
      </c>
      <c r="C387" s="110">
        <v>0.64890000000000003</v>
      </c>
      <c r="E387" s="112">
        <v>43122</v>
      </c>
      <c r="N387" s="110">
        <f>IFERROR(INDEX('WetLitterbags placem_collection'!$A$3:$A$500,MATCH(A387,'WetLitterbags placem_collection'!$K$4:$K$500,0)),"")</f>
        <v>192</v>
      </c>
      <c r="O387" s="110" t="str">
        <f>IFERROR(INDEX('WetLitterbags placem_collection'!$A$3:$A$500,MATCH(A387,'WetLitterbags placem_collection'!$O$4:$O$500,0)),"")</f>
        <v/>
      </c>
      <c r="P387" s="110" t="str">
        <f>IFERROR(INDEX('WetLitterbags placem_collection'!$A$3:$A$500,MATCH(A387,'WetLitterbags placem_collection'!$M$4:$M$500,0)),"")</f>
        <v/>
      </c>
      <c r="Q387" s="110" t="str">
        <f>IFERROR(INDEX('WetLitterbags placem_collection'!$A$3:$A$500,MATCH(A387,'WetLitterbags placem_collection'!$Q$4:$Q$500,0)),"")</f>
        <v/>
      </c>
    </row>
    <row r="388" spans="1:17" ht="13.95" customHeight="1">
      <c r="A388" s="110" t="s">
        <v>1186</v>
      </c>
      <c r="B388" s="110" t="s">
        <v>2077</v>
      </c>
      <c r="C388" s="116">
        <v>0.65839999999999999</v>
      </c>
      <c r="E388" s="112">
        <v>43116</v>
      </c>
      <c r="N388" s="110" t="str">
        <f>IFERROR(INDEX('WetLitterbags placem_collection'!$A$3:$A$500,MATCH(A388,'WetLitterbags placem_collection'!$K$4:$K$500,0)),"")</f>
        <v/>
      </c>
      <c r="O388" s="110">
        <f>IFERROR(INDEX('WetLitterbags placem_collection'!$A$3:$A$500,MATCH(A388,'WetLitterbags placem_collection'!$O$4:$O$500,0)),"")</f>
        <v>24</v>
      </c>
      <c r="P388" s="110" t="str">
        <f>IFERROR(INDEX('WetLitterbags placem_collection'!$A$3:$A$500,MATCH(A388,'WetLitterbags placem_collection'!$M$4:$M$500,0)),"")</f>
        <v/>
      </c>
      <c r="Q388" s="110" t="str">
        <f>IFERROR(INDEX('WetLitterbags placem_collection'!$A$3:$A$500,MATCH(A388,'WetLitterbags placem_collection'!$Q$4:$Q$500,0)),"")</f>
        <v/>
      </c>
    </row>
    <row r="389" spans="1:17" ht="13.95" customHeight="1">
      <c r="A389" s="110" t="s">
        <v>1185</v>
      </c>
      <c r="B389" s="110">
        <v>173</v>
      </c>
      <c r="C389" s="110">
        <v>0.65549999999999997</v>
      </c>
      <c r="E389" s="112">
        <v>42879</v>
      </c>
      <c r="N389" s="110" t="str">
        <f>IFERROR(INDEX('WetLitterbags placem_collection'!$A$3:$A$500,MATCH(A389,'WetLitterbags placem_collection'!$K$4:$K$500,0)),"")</f>
        <v/>
      </c>
      <c r="O389" s="110">
        <f>IFERROR(INDEX('WetLitterbags placem_collection'!$A$3:$A$500,MATCH(A389,'WetLitterbags placem_collection'!$O$4:$O$500,0)),"")</f>
        <v>172</v>
      </c>
      <c r="P389" s="110" t="str">
        <f>IFERROR(INDEX('WetLitterbags placem_collection'!$A$3:$A$500,MATCH(A389,'WetLitterbags placem_collection'!$M$4:$M$500,0)),"")</f>
        <v/>
      </c>
      <c r="Q389" s="110" t="str">
        <f>IFERROR(INDEX('WetLitterbags placem_collection'!$A$3:$A$500,MATCH(A389,'WetLitterbags placem_collection'!$Q$4:$Q$500,0)),"")</f>
        <v/>
      </c>
    </row>
    <row r="390" spans="1:17" ht="13.95" customHeight="1">
      <c r="A390" s="110" t="s">
        <v>1181</v>
      </c>
      <c r="B390" s="110">
        <v>103</v>
      </c>
      <c r="C390" s="110">
        <v>0.55800000000000005</v>
      </c>
      <c r="E390" s="112">
        <v>42881</v>
      </c>
      <c r="N390" s="110">
        <f>IFERROR(INDEX('WetLitterbags placem_collection'!$A$3:$A$500,MATCH(A390,'WetLitterbags placem_collection'!$K$4:$K$500,0)),"")</f>
        <v>102</v>
      </c>
      <c r="O390" s="110" t="str">
        <f>IFERROR(INDEX('WetLitterbags placem_collection'!$A$3:$A$500,MATCH(A390,'WetLitterbags placem_collection'!$O$4:$O$500,0)),"")</f>
        <v/>
      </c>
      <c r="P390" s="110" t="str">
        <f>IFERROR(INDEX('WetLitterbags placem_collection'!$A$3:$A$500,MATCH(A390,'WetLitterbags placem_collection'!$M$4:$M$500,0)),"")</f>
        <v/>
      </c>
      <c r="Q390" s="110" t="str">
        <f>IFERROR(INDEX('WetLitterbags placem_collection'!$A$3:$A$500,MATCH(A390,'WetLitterbags placem_collection'!$Q$4:$Q$500,0)),"")</f>
        <v/>
      </c>
    </row>
    <row r="391" spans="1:17" ht="13.95" customHeight="1">
      <c r="A391" s="110" t="s">
        <v>1179</v>
      </c>
      <c r="B391" s="110" t="s">
        <v>2077</v>
      </c>
      <c r="C391" s="110">
        <v>0.83130000000000004</v>
      </c>
      <c r="D391" s="110" t="s">
        <v>2074</v>
      </c>
      <c r="E391" s="112">
        <v>43122</v>
      </c>
      <c r="N391" s="110">
        <f>IFERROR(INDEX('WetLitterbags placem_collection'!$A$3:$A$500,MATCH(A391,'WetLitterbags placem_collection'!$K$4:$K$500,0)),"")</f>
        <v>209</v>
      </c>
      <c r="O391" s="110" t="str">
        <f>IFERROR(INDEX('WetLitterbags placem_collection'!$A$3:$A$500,MATCH(A391,'WetLitterbags placem_collection'!$O$4:$O$500,0)),"")</f>
        <v/>
      </c>
      <c r="P391" s="110" t="str">
        <f>IFERROR(INDEX('WetLitterbags placem_collection'!$A$3:$A$500,MATCH(A391,'WetLitterbags placem_collection'!$M$4:$M$500,0)),"")</f>
        <v/>
      </c>
      <c r="Q391" s="110" t="str">
        <f>IFERROR(INDEX('WetLitterbags placem_collection'!$A$3:$A$500,MATCH(A391,'WetLitterbags placem_collection'!$Q$4:$Q$500,0)),"")</f>
        <v/>
      </c>
    </row>
    <row r="392" spans="1:17" ht="13.95" customHeight="1">
      <c r="A392" s="110" t="s">
        <v>1175</v>
      </c>
      <c r="B392" s="110" t="s">
        <v>2077</v>
      </c>
      <c r="C392" s="110">
        <v>0.62450000000000006</v>
      </c>
      <c r="E392" s="112">
        <v>43122</v>
      </c>
      <c r="N392" s="110" t="str">
        <f>IFERROR(INDEX('WetLitterbags placem_collection'!$A$3:$A$500,MATCH(A392,'WetLitterbags placem_collection'!$K$4:$K$500,0)),"")</f>
        <v/>
      </c>
      <c r="O392" s="110">
        <f>IFERROR(INDEX('WetLitterbags placem_collection'!$A$3:$A$500,MATCH(A392,'WetLitterbags placem_collection'!$O$4:$O$500,0)),"")</f>
        <v>100</v>
      </c>
      <c r="P392" s="110" t="str">
        <f>IFERROR(INDEX('WetLitterbags placem_collection'!$A$3:$A$500,MATCH(A392,'WetLitterbags placem_collection'!$M$4:$M$500,0)),"")</f>
        <v/>
      </c>
      <c r="Q392" s="110" t="str">
        <f>IFERROR(INDEX('WetLitterbags placem_collection'!$A$3:$A$500,MATCH(A392,'WetLitterbags placem_collection'!$Q$4:$Q$500,0)),"")</f>
        <v/>
      </c>
    </row>
    <row r="393" spans="1:17" ht="13.95" customHeight="1">
      <c r="A393" s="110" t="s">
        <v>1174</v>
      </c>
      <c r="B393" s="110">
        <v>160</v>
      </c>
      <c r="C393" s="110">
        <v>0.68100000000000005</v>
      </c>
      <c r="E393" s="112">
        <v>42879</v>
      </c>
      <c r="N393" s="110" t="str">
        <f>IFERROR(INDEX('WetLitterbags placem_collection'!$A$3:$A$500,MATCH(A393,'WetLitterbags placem_collection'!$K$4:$K$500,0)),"")</f>
        <v/>
      </c>
      <c r="O393" s="110">
        <f>IFERROR(INDEX('WetLitterbags placem_collection'!$A$3:$A$500,MATCH(A393,'WetLitterbags placem_collection'!$O$4:$O$500,0)),"")</f>
        <v>159</v>
      </c>
      <c r="P393" s="110" t="str">
        <f>IFERROR(INDEX('WetLitterbags placem_collection'!$A$3:$A$500,MATCH(A393,'WetLitterbags placem_collection'!$M$4:$M$500,0)),"")</f>
        <v/>
      </c>
      <c r="Q393" s="110" t="str">
        <f>IFERROR(INDEX('WetLitterbags placem_collection'!$A$3:$A$500,MATCH(A393,'WetLitterbags placem_collection'!$Q$4:$Q$500,0)),"")</f>
        <v/>
      </c>
    </row>
    <row r="394" spans="1:17" ht="13.95" customHeight="1">
      <c r="A394" s="110" t="s">
        <v>1173</v>
      </c>
      <c r="B394" s="110">
        <v>109</v>
      </c>
      <c r="C394" s="110">
        <v>0.67900000000000005</v>
      </c>
      <c r="E394" s="112">
        <v>42881</v>
      </c>
      <c r="N394" s="110">
        <f>IFERROR(INDEX('WetLitterbags placem_collection'!$A$3:$A$500,MATCH(A394,'WetLitterbags placem_collection'!$K$4:$K$500,0)),"")</f>
        <v>198</v>
      </c>
      <c r="O394" s="110" t="str">
        <f>IFERROR(INDEX('WetLitterbags placem_collection'!$A$3:$A$500,MATCH(A394,'WetLitterbags placem_collection'!$O$4:$O$500,0)),"")</f>
        <v/>
      </c>
      <c r="P394" s="110" t="str">
        <f>IFERROR(INDEX('WetLitterbags placem_collection'!$A$3:$A$500,MATCH(A394,'WetLitterbags placem_collection'!$M$4:$M$500,0)),"")</f>
        <v/>
      </c>
      <c r="Q394" s="110" t="str">
        <f>IFERROR(INDEX('WetLitterbags placem_collection'!$A$3:$A$500,MATCH(A394,'WetLitterbags placem_collection'!$Q$4:$Q$500,0)),"")</f>
        <v/>
      </c>
    </row>
    <row r="395" spans="1:17" ht="13.95" customHeight="1">
      <c r="A395" s="110" t="s">
        <v>1172</v>
      </c>
      <c r="B395" s="110">
        <v>147</v>
      </c>
      <c r="C395" s="110">
        <v>0.628</v>
      </c>
      <c r="D395" s="110" t="s">
        <v>2137</v>
      </c>
      <c r="E395" s="112">
        <v>42878</v>
      </c>
      <c r="N395" s="110" t="str">
        <f>IFERROR(INDEX('WetLitterbags placem_collection'!$A$3:$A$500,MATCH(A395,'WetLitterbags placem_collection'!$K$4:$K$500,0)),"")</f>
        <v/>
      </c>
      <c r="O395" s="110">
        <f>IFERROR(INDEX('WetLitterbags placem_collection'!$A$3:$A$500,MATCH(A395,'WetLitterbags placem_collection'!$O$4:$O$500,0)),"")</f>
        <v>146</v>
      </c>
      <c r="P395" s="110" t="str">
        <f>IFERROR(INDEX('WetLitterbags placem_collection'!$A$3:$A$500,MATCH(A395,'WetLitterbags placem_collection'!$M$4:$M$500,0)),"")</f>
        <v/>
      </c>
      <c r="Q395" s="110" t="str">
        <f>IFERROR(INDEX('WetLitterbags placem_collection'!$A$3:$A$500,MATCH(A395,'WetLitterbags placem_collection'!$Q$4:$Q$500,0)),"")</f>
        <v/>
      </c>
    </row>
    <row r="396" spans="1:17" ht="13.95" customHeight="1">
      <c r="A396" s="110" t="s">
        <v>1170</v>
      </c>
      <c r="B396" s="110">
        <v>139</v>
      </c>
      <c r="C396" s="110">
        <v>0.73599999999999999</v>
      </c>
      <c r="E396" s="112">
        <v>42878</v>
      </c>
      <c r="N396" s="110" t="str">
        <f>IFERROR(INDEX('WetLitterbags placem_collection'!$A$3:$A$500,MATCH(A396,'WetLitterbags placem_collection'!$K$4:$K$500,0)),"")</f>
        <v/>
      </c>
      <c r="O396" s="110">
        <f>IFERROR(INDEX('WetLitterbags placem_collection'!$A$3:$A$500,MATCH(A396,'WetLitterbags placem_collection'!$O$4:$O$500,0)),"")</f>
        <v>138</v>
      </c>
      <c r="P396" s="110" t="str">
        <f>IFERROR(INDEX('WetLitterbags placem_collection'!$A$3:$A$500,MATCH(A396,'WetLitterbags placem_collection'!$M$4:$M$500,0)),"")</f>
        <v/>
      </c>
      <c r="Q396" s="110" t="str">
        <f>IFERROR(INDEX('WetLitterbags placem_collection'!$A$3:$A$500,MATCH(A396,'WetLitterbags placem_collection'!$Q$4:$Q$500,0)),"")</f>
        <v/>
      </c>
    </row>
    <row r="397" spans="1:17" ht="13.95" customHeight="1">
      <c r="A397" s="110" t="s">
        <v>1169</v>
      </c>
      <c r="B397" s="110">
        <v>104</v>
      </c>
      <c r="C397" s="110">
        <v>0.61</v>
      </c>
      <c r="E397" s="112">
        <v>42878</v>
      </c>
      <c r="N397" s="110">
        <f>IFERROR(INDEX('WetLitterbags placem_collection'!$A$3:$A$500,MATCH(A397,'WetLitterbags placem_collection'!$K$4:$K$500,0)),"")</f>
        <v>103</v>
      </c>
      <c r="O397" s="110" t="str">
        <f>IFERROR(INDEX('WetLitterbags placem_collection'!$A$3:$A$500,MATCH(A397,'WetLitterbags placem_collection'!$O$4:$O$500,0)),"")</f>
        <v/>
      </c>
      <c r="P397" s="110" t="str">
        <f>IFERROR(INDEX('WetLitterbags placem_collection'!$A$3:$A$500,MATCH(A397,'WetLitterbags placem_collection'!$M$4:$M$500,0)),"")</f>
        <v/>
      </c>
      <c r="Q397" s="110" t="str">
        <f>IFERROR(INDEX('WetLitterbags placem_collection'!$A$3:$A$500,MATCH(A397,'WetLitterbags placem_collection'!$Q$4:$Q$500,0)),"")</f>
        <v/>
      </c>
    </row>
    <row r="398" spans="1:17" ht="13.95" customHeight="1">
      <c r="A398" s="179" t="s">
        <v>1168</v>
      </c>
      <c r="B398" s="110" t="s">
        <v>2077</v>
      </c>
      <c r="C398" s="110">
        <v>0.56669999999999998</v>
      </c>
      <c r="D398" s="110" t="s">
        <v>2115</v>
      </c>
      <c r="E398" s="112">
        <v>43119</v>
      </c>
      <c r="N398" s="110" t="str">
        <f>IFERROR(INDEX('WetLitterbags placem_collection'!$A$3:$A$500,MATCH(A398,'WetLitterbags placem_collection'!$K$4:$K$500,0)),"")</f>
        <v/>
      </c>
      <c r="O398" s="110">
        <f>IFERROR(INDEX('WetLitterbags placem_collection'!$A$3:$A$500,MATCH(A398,'WetLitterbags placem_collection'!$O$4:$O$500,0)),"")</f>
        <v>109</v>
      </c>
      <c r="P398" s="110" t="str">
        <f>IFERROR(INDEX('WetLitterbags placem_collection'!$A$3:$A$500,MATCH(A398,'WetLitterbags placem_collection'!$M$4:$M$500,0)),"")</f>
        <v/>
      </c>
      <c r="Q398" s="110" t="str">
        <f>IFERROR(INDEX('WetLitterbags placem_collection'!$A$3:$A$500,MATCH(A398,'WetLitterbags placem_collection'!$Q$4:$Q$500,0)),"")</f>
        <v/>
      </c>
    </row>
    <row r="399" spans="1:17" ht="13.95" customHeight="1">
      <c r="A399" s="110" t="s">
        <v>1167</v>
      </c>
      <c r="B399" s="110">
        <v>108</v>
      </c>
      <c r="C399" s="110">
        <v>0.67200000000000004</v>
      </c>
      <c r="E399" s="112">
        <v>42881</v>
      </c>
      <c r="N399" s="110">
        <f>IFERROR(INDEX('WetLitterbags placem_collection'!$A$3:$A$500,MATCH(A399,'WetLitterbags placem_collection'!$K$4:$K$500,0)),"")</f>
        <v>107</v>
      </c>
      <c r="O399" s="110" t="str">
        <f>IFERROR(INDEX('WetLitterbags placem_collection'!$A$3:$A$500,MATCH(A399,'WetLitterbags placem_collection'!$O$4:$O$500,0)),"")</f>
        <v/>
      </c>
      <c r="P399" s="110" t="str">
        <f>IFERROR(INDEX('WetLitterbags placem_collection'!$A$3:$A$500,MATCH(A399,'WetLitterbags placem_collection'!$M$4:$M$500,0)),"")</f>
        <v/>
      </c>
      <c r="Q399" s="110" t="str">
        <f>IFERROR(INDEX('WetLitterbags placem_collection'!$A$3:$A$500,MATCH(A399,'WetLitterbags placem_collection'!$Q$4:$Q$500,0)),"")</f>
        <v/>
      </c>
    </row>
    <row r="400" spans="1:17" ht="13.95" customHeight="1">
      <c r="A400" s="110" t="s">
        <v>1166</v>
      </c>
      <c r="B400" s="110">
        <v>158</v>
      </c>
      <c r="C400" s="110">
        <v>0.629</v>
      </c>
      <c r="D400" s="110" t="s">
        <v>2050</v>
      </c>
      <c r="E400" s="112">
        <v>42879</v>
      </c>
      <c r="N400" s="110" t="str">
        <f>IFERROR(INDEX('WetLitterbags placem_collection'!$A$3:$A$500,MATCH(A400,'WetLitterbags placem_collection'!$K$4:$K$500,0)),"")</f>
        <v/>
      </c>
      <c r="O400" s="110">
        <f>IFERROR(INDEX('WetLitterbags placem_collection'!$A$3:$A$500,MATCH(A400,'WetLitterbags placem_collection'!$O$4:$O$500,0)),"")</f>
        <v>157</v>
      </c>
      <c r="P400" s="110" t="str">
        <f>IFERROR(INDEX('WetLitterbags placem_collection'!$A$3:$A$500,MATCH(A400,'WetLitterbags placem_collection'!$M$4:$M$500,0)),"")</f>
        <v/>
      </c>
      <c r="Q400" s="110" t="str">
        <f>IFERROR(INDEX('WetLitterbags placem_collection'!$A$3:$A$500,MATCH(A400,'WetLitterbags placem_collection'!$Q$4:$Q$500,0)),"")</f>
        <v/>
      </c>
    </row>
    <row r="401" spans="1:17" ht="13.95" customHeight="1">
      <c r="A401" s="110" t="s">
        <v>1165</v>
      </c>
      <c r="B401" s="110" t="s">
        <v>2077</v>
      </c>
      <c r="C401" s="110">
        <v>0.5756</v>
      </c>
      <c r="E401" s="112">
        <v>43122</v>
      </c>
      <c r="N401" s="110" t="str">
        <f>IFERROR(INDEX('WetLitterbags placem_collection'!$A$3:$A$500,MATCH(A401,'WetLitterbags placem_collection'!$K$4:$K$500,0)),"")</f>
        <v/>
      </c>
      <c r="O401" s="110">
        <f>IFERROR(INDEX('WetLitterbags placem_collection'!$A$3:$A$500,MATCH(A401,'WetLitterbags placem_collection'!$O$4:$O$500,0)),"")</f>
        <v>152</v>
      </c>
      <c r="P401" s="110" t="str">
        <f>IFERROR(INDEX('WetLitterbags placem_collection'!$A$3:$A$500,MATCH(A401,'WetLitterbags placem_collection'!$M$4:$M$500,0)),"")</f>
        <v/>
      </c>
      <c r="Q401" s="110" t="str">
        <f>IFERROR(INDEX('WetLitterbags placem_collection'!$A$3:$A$500,MATCH(A401,'WetLitterbags placem_collection'!$Q$4:$Q$500,0)),"")</f>
        <v/>
      </c>
    </row>
    <row r="402" spans="1:17" ht="13.95" customHeight="1">
      <c r="A402" s="110" t="s">
        <v>1164</v>
      </c>
      <c r="B402" s="110" t="s">
        <v>2077</v>
      </c>
      <c r="C402" s="110">
        <v>0.58389999999999997</v>
      </c>
      <c r="E402" s="112">
        <v>43119</v>
      </c>
      <c r="N402" s="110" t="str">
        <f>IFERROR(INDEX('WetLitterbags placem_collection'!$A$3:$A$500,MATCH(A402,'WetLitterbags placem_collection'!$K$4:$K$500,0)),"")</f>
        <v/>
      </c>
      <c r="O402" s="110">
        <f>IFERROR(INDEX('WetLitterbags placem_collection'!$A$3:$A$500,MATCH(A402,'WetLitterbags placem_collection'!$O$4:$O$500,0)),"")</f>
        <v>195</v>
      </c>
      <c r="P402" s="110" t="str">
        <f>IFERROR(INDEX('WetLitterbags placem_collection'!$A$3:$A$500,MATCH(A402,'WetLitterbags placem_collection'!$M$4:$M$500,0)),"")</f>
        <v/>
      </c>
      <c r="Q402" s="110" t="str">
        <f>IFERROR(INDEX('WetLitterbags placem_collection'!$A$3:$A$500,MATCH(A402,'WetLitterbags placem_collection'!$Q$4:$Q$500,0)),"")</f>
        <v/>
      </c>
    </row>
    <row r="403" spans="1:17" ht="13.95" customHeight="1">
      <c r="A403" s="110" t="s">
        <v>1163</v>
      </c>
      <c r="B403" s="110">
        <v>109</v>
      </c>
      <c r="C403" s="110">
        <v>0.64870000000000005</v>
      </c>
      <c r="E403" s="112">
        <v>43125</v>
      </c>
      <c r="N403" s="110" t="str">
        <f>IFERROR(INDEX('WetLitterbags placem_collection'!$A$3:$A$500,MATCH(A403,'WetLitterbags placem_collection'!$K$4:$K$500,0)),"")</f>
        <v/>
      </c>
      <c r="O403" s="110">
        <f>IFERROR(INDEX('WetLitterbags placem_collection'!$A$3:$A$500,MATCH(A403,'WetLitterbags placem_collection'!$O$4:$O$500,0)),"")</f>
        <v>108</v>
      </c>
      <c r="P403" s="110" t="str">
        <f>IFERROR(INDEX('WetLitterbags placem_collection'!$A$3:$A$500,MATCH(A403,'WetLitterbags placem_collection'!$M$4:$M$500,0)),"")</f>
        <v/>
      </c>
      <c r="Q403" s="110" t="str">
        <f>IFERROR(INDEX('WetLitterbags placem_collection'!$A$3:$A$500,MATCH(A403,'WetLitterbags placem_collection'!$Q$4:$Q$500,0)),"")</f>
        <v/>
      </c>
    </row>
    <row r="404" spans="1:17" ht="13.95" customHeight="1">
      <c r="A404" s="110" t="s">
        <v>1162</v>
      </c>
      <c r="B404" s="110">
        <v>129</v>
      </c>
      <c r="C404" s="110">
        <v>0.59440000000000004</v>
      </c>
      <c r="E404" s="112">
        <v>43125</v>
      </c>
      <c r="N404" s="110" t="str">
        <f>IFERROR(INDEX('WetLitterbags placem_collection'!$A$3:$A$500,MATCH(A404,'WetLitterbags placem_collection'!$K$4:$K$500,0)),"")</f>
        <v/>
      </c>
      <c r="O404" s="110">
        <f>IFERROR(INDEX('WetLitterbags placem_collection'!$A$3:$A$500,MATCH(A404,'WetLitterbags placem_collection'!$O$4:$O$500,0)),"")</f>
        <v>128</v>
      </c>
      <c r="P404" s="110" t="str">
        <f>IFERROR(INDEX('WetLitterbags placem_collection'!$A$3:$A$500,MATCH(A404,'WetLitterbags placem_collection'!$M$4:$M$500,0)),"")</f>
        <v/>
      </c>
      <c r="Q404" s="110" t="str">
        <f>IFERROR(INDEX('WetLitterbags placem_collection'!$A$3:$A$500,MATCH(A404,'WetLitterbags placem_collection'!$Q$4:$Q$500,0)),"")</f>
        <v/>
      </c>
    </row>
    <row r="405" spans="1:17" ht="13.95" customHeight="1">
      <c r="A405" s="110" t="s">
        <v>1161</v>
      </c>
      <c r="B405" s="110">
        <v>114</v>
      </c>
      <c r="C405" s="110">
        <v>0.65700000000000003</v>
      </c>
      <c r="E405" s="112">
        <v>42878</v>
      </c>
      <c r="N405" s="110" t="str">
        <f>IFERROR(INDEX('WetLitterbags placem_collection'!$A$3:$A$500,MATCH(A405,'WetLitterbags placem_collection'!$K$4:$K$500,0)),"")</f>
        <v/>
      </c>
      <c r="O405" s="110">
        <f>IFERROR(INDEX('WetLitterbags placem_collection'!$A$3:$A$500,MATCH(A405,'WetLitterbags placem_collection'!$O$4:$O$500,0)),"")</f>
        <v>113</v>
      </c>
      <c r="P405" s="110" t="str">
        <f>IFERROR(INDEX('WetLitterbags placem_collection'!$A$3:$A$500,MATCH(A405,'WetLitterbags placem_collection'!$M$4:$M$500,0)),"")</f>
        <v/>
      </c>
      <c r="Q405" s="110" t="str">
        <f>IFERROR(INDEX('WetLitterbags placem_collection'!$A$3:$A$500,MATCH(A405,'WetLitterbags placem_collection'!$Q$4:$Q$500,0)),"")</f>
        <v/>
      </c>
    </row>
    <row r="406" spans="1:17" ht="13.95" customHeight="1">
      <c r="A406" s="110" t="s">
        <v>1160</v>
      </c>
      <c r="B406" s="110">
        <v>157</v>
      </c>
      <c r="C406" s="110">
        <v>0.74099999999999999</v>
      </c>
      <c r="E406" s="112">
        <v>42879</v>
      </c>
      <c r="N406" s="110">
        <f>IFERROR(INDEX('WetLitterbags placem_collection'!$A$3:$A$500,MATCH(A406,'WetLitterbags placem_collection'!$K$4:$K$500,0)),"")</f>
        <v>156</v>
      </c>
      <c r="O406" s="110" t="str">
        <f>IFERROR(INDEX('WetLitterbags placem_collection'!$A$3:$A$500,MATCH(A406,'WetLitterbags placem_collection'!$O$4:$O$500,0)),"")</f>
        <v/>
      </c>
      <c r="P406" s="110" t="str">
        <f>IFERROR(INDEX('WetLitterbags placem_collection'!$A$3:$A$500,MATCH(A406,'WetLitterbags placem_collection'!$M$4:$M$500,0)),"")</f>
        <v/>
      </c>
      <c r="Q406" s="110" t="str">
        <f>IFERROR(INDEX('WetLitterbags placem_collection'!$A$3:$A$500,MATCH(A406,'WetLitterbags placem_collection'!$Q$4:$Q$500,0)),"")</f>
        <v/>
      </c>
    </row>
    <row r="407" spans="1:17" ht="13.95" customHeight="1">
      <c r="A407" s="110" t="s">
        <v>1159</v>
      </c>
      <c r="B407" s="110">
        <v>207</v>
      </c>
      <c r="C407" s="110">
        <v>0.70199999999999996</v>
      </c>
      <c r="E407" s="112">
        <v>42879</v>
      </c>
      <c r="N407" s="110" t="str">
        <f>IFERROR(INDEX('WetLitterbags placem_collection'!$A$3:$A$500,MATCH(A407,'WetLitterbags placem_collection'!$K$4:$K$500,0)),"")</f>
        <v/>
      </c>
      <c r="O407" s="110">
        <f>IFERROR(INDEX('WetLitterbags placem_collection'!$A$3:$A$500,MATCH(A407,'WetLitterbags placem_collection'!$O$4:$O$500,0)),"")</f>
        <v>205</v>
      </c>
      <c r="P407" s="110" t="str">
        <f>IFERROR(INDEX('WetLitterbags placem_collection'!$A$3:$A$500,MATCH(A407,'WetLitterbags placem_collection'!$M$4:$M$500,0)),"")</f>
        <v/>
      </c>
      <c r="Q407" s="110" t="str">
        <f>IFERROR(INDEX('WetLitterbags placem_collection'!$A$3:$A$500,MATCH(A407,'WetLitterbags placem_collection'!$Q$4:$Q$500,0)),"")</f>
        <v/>
      </c>
    </row>
    <row r="408" spans="1:17" ht="13.95" customHeight="1">
      <c r="A408" s="110" t="s">
        <v>1158</v>
      </c>
      <c r="B408" s="110">
        <v>102</v>
      </c>
      <c r="C408" s="110">
        <v>0.63100000000000001</v>
      </c>
      <c r="E408" s="112">
        <v>42881</v>
      </c>
      <c r="N408" s="110">
        <f>IFERROR(INDEX('WetLitterbags placem_collection'!$A$3:$A$500,MATCH(A408,'WetLitterbags placem_collection'!$K$4:$K$500,0)),"")</f>
        <v>101</v>
      </c>
      <c r="O408" s="110" t="str">
        <f>IFERROR(INDEX('WetLitterbags placem_collection'!$A$3:$A$500,MATCH(A408,'WetLitterbags placem_collection'!$O$4:$O$500,0)),"")</f>
        <v/>
      </c>
      <c r="P408" s="110" t="str">
        <f>IFERROR(INDEX('WetLitterbags placem_collection'!$A$3:$A$500,MATCH(A408,'WetLitterbags placem_collection'!$M$4:$M$500,0)),"")</f>
        <v/>
      </c>
      <c r="Q408" s="110" t="str">
        <f>IFERROR(INDEX('WetLitterbags placem_collection'!$A$3:$A$500,MATCH(A408,'WetLitterbags placem_collection'!$Q$4:$Q$500,0)),"")</f>
        <v/>
      </c>
    </row>
    <row r="409" spans="1:17" ht="13.95" customHeight="1">
      <c r="A409" s="110" t="s">
        <v>1157</v>
      </c>
      <c r="B409" s="110">
        <v>178</v>
      </c>
      <c r="C409" s="110">
        <v>0.60699999999999998</v>
      </c>
      <c r="D409" s="110" t="s">
        <v>2089</v>
      </c>
      <c r="E409" s="112">
        <v>43125</v>
      </c>
      <c r="N409" s="110" t="str">
        <f>IFERROR(INDEX('WetLitterbags placem_collection'!$A$3:$A$500,MATCH(A409,'WetLitterbags placem_collection'!$K$4:$K$500,0)),"")</f>
        <v/>
      </c>
      <c r="O409" s="110">
        <f>IFERROR(INDEX('WetLitterbags placem_collection'!$A$3:$A$500,MATCH(A409,'WetLitterbags placem_collection'!$O$4:$O$500,0)),"")</f>
        <v>177</v>
      </c>
      <c r="P409" s="110" t="str">
        <f>IFERROR(INDEX('WetLitterbags placem_collection'!$A$3:$A$500,MATCH(A409,'WetLitterbags placem_collection'!$M$4:$M$500,0)),"")</f>
        <v/>
      </c>
      <c r="Q409" s="110" t="str">
        <f>IFERROR(INDEX('WetLitterbags placem_collection'!$A$3:$A$500,MATCH(A409,'WetLitterbags placem_collection'!$Q$4:$Q$500,0)),"")</f>
        <v/>
      </c>
    </row>
    <row r="410" spans="1:17" ht="13.95" customHeight="1">
      <c r="A410" s="110" t="s">
        <v>1156</v>
      </c>
      <c r="B410" s="110">
        <v>144</v>
      </c>
      <c r="C410" s="110">
        <v>0.68200000000000005</v>
      </c>
      <c r="E410" s="112">
        <v>42881</v>
      </c>
      <c r="N410" s="110" t="str">
        <f>IFERROR(INDEX('WetLitterbags placem_collection'!$A$3:$A$500,MATCH(A410,'WetLitterbags placem_collection'!$K$4:$K$500,0)),"")</f>
        <v/>
      </c>
      <c r="O410" s="110">
        <f>IFERROR(INDEX('WetLitterbags placem_collection'!$A$3:$A$500,MATCH(A410,'WetLitterbags placem_collection'!$O$4:$O$500,0)),"")</f>
        <v>143</v>
      </c>
      <c r="P410" s="110" t="str">
        <f>IFERROR(INDEX('WetLitterbags placem_collection'!$A$3:$A$500,MATCH(A410,'WetLitterbags placem_collection'!$M$4:$M$500,0)),"")</f>
        <v/>
      </c>
      <c r="Q410" s="110" t="str">
        <f>IFERROR(INDEX('WetLitterbags placem_collection'!$A$3:$A$500,MATCH(A410,'WetLitterbags placem_collection'!$Q$4:$Q$500,0)),"")</f>
        <v/>
      </c>
    </row>
    <row r="411" spans="1:17" ht="13.95" customHeight="1">
      <c r="A411" s="110" t="s">
        <v>1155</v>
      </c>
      <c r="B411">
        <v>123</v>
      </c>
      <c r="C411" s="110">
        <v>0.878</v>
      </c>
      <c r="E411" s="112">
        <v>42879</v>
      </c>
      <c r="N411" s="110" t="str">
        <f>IFERROR(INDEX('WetLitterbags placem_collection'!$A$3:$A$500,MATCH(A411,'WetLitterbags placem_collection'!$K$4:$K$500,0)),"")</f>
        <v/>
      </c>
      <c r="O411" s="110">
        <f>IFERROR(INDEX('WetLitterbags placem_collection'!$A$3:$A$500,MATCH(A411,'WetLitterbags placem_collection'!$O$4:$O$500,0)),"")</f>
        <v>122</v>
      </c>
      <c r="P411" s="110" t="str">
        <f>IFERROR(INDEX('WetLitterbags placem_collection'!$A$3:$A$500,MATCH(A411,'WetLitterbags placem_collection'!$M$4:$M$500,0)),"")</f>
        <v/>
      </c>
      <c r="Q411" s="110" t="str">
        <f>IFERROR(INDEX('WetLitterbags placem_collection'!$A$3:$A$500,MATCH(A411,'WetLitterbags placem_collection'!$Q$4:$Q$500,0)),"")</f>
        <v/>
      </c>
    </row>
    <row r="412" spans="1:17" ht="13.95" customHeight="1">
      <c r="A412" s="110" t="s">
        <v>1154</v>
      </c>
      <c r="B412" s="110">
        <v>183</v>
      </c>
      <c r="C412" s="110">
        <v>0.61</v>
      </c>
      <c r="E412" s="112">
        <v>42881</v>
      </c>
      <c r="N412" s="110" t="str">
        <f>IFERROR(INDEX('WetLitterbags placem_collection'!$A$3:$A$500,MATCH(A412,'WetLitterbags placem_collection'!$K$4:$K$500,0)),"")</f>
        <v/>
      </c>
      <c r="O412" s="110">
        <f>IFERROR(INDEX('WetLitterbags placem_collection'!$A$3:$A$500,MATCH(A412,'WetLitterbags placem_collection'!$O$4:$O$500,0)),"")</f>
        <v>182</v>
      </c>
      <c r="P412" s="110" t="str">
        <f>IFERROR(INDEX('WetLitterbags placem_collection'!$A$3:$A$500,MATCH(A412,'WetLitterbags placem_collection'!$M$4:$M$500,0)),"")</f>
        <v/>
      </c>
      <c r="Q412" s="110" t="str">
        <f>IFERROR(INDEX('WetLitterbags placem_collection'!$A$3:$A$500,MATCH(A412,'WetLitterbags placem_collection'!$Q$4:$Q$500,0)),"")</f>
        <v/>
      </c>
    </row>
    <row r="413" spans="1:17" ht="13.95" customHeight="1">
      <c r="A413" s="110" t="s">
        <v>1153</v>
      </c>
      <c r="B413" s="110">
        <v>116</v>
      </c>
      <c r="C413" s="110">
        <v>0.67869999999999997</v>
      </c>
      <c r="E413" s="112">
        <v>43125</v>
      </c>
      <c r="N413" s="110">
        <f>IFERROR(INDEX('WetLitterbags placem_collection'!$A$3:$A$500,MATCH(A413,'WetLitterbags placem_collection'!$K$4:$K$500,0)),"")</f>
        <v>115</v>
      </c>
      <c r="O413" s="110" t="str">
        <f>IFERROR(INDEX('WetLitterbags placem_collection'!$A$3:$A$500,MATCH(A413,'WetLitterbags placem_collection'!$O$4:$O$500,0)),"")</f>
        <v/>
      </c>
      <c r="P413" s="110" t="str">
        <f>IFERROR(INDEX('WetLitterbags placem_collection'!$A$3:$A$500,MATCH(A413,'WetLitterbags placem_collection'!$M$4:$M$500,0)),"")</f>
        <v/>
      </c>
      <c r="Q413" s="110" t="str">
        <f>IFERROR(INDEX('WetLitterbags placem_collection'!$A$3:$A$500,MATCH(A413,'WetLitterbags placem_collection'!$Q$4:$Q$500,0)),"")</f>
        <v/>
      </c>
    </row>
    <row r="414" spans="1:17" ht="13.95" customHeight="1">
      <c r="A414" s="110" t="s">
        <v>1152</v>
      </c>
      <c r="B414" s="110">
        <v>127</v>
      </c>
      <c r="C414" s="110">
        <v>0.59099999999999997</v>
      </c>
      <c r="E414" s="112">
        <v>42879</v>
      </c>
      <c r="N414" s="110">
        <f>IFERROR(INDEX('WetLitterbags placem_collection'!$A$3:$A$500,MATCH(A414,'WetLitterbags placem_collection'!$K$4:$K$500,0)),"")</f>
        <v>126</v>
      </c>
      <c r="O414" s="110" t="str">
        <f>IFERROR(INDEX('WetLitterbags placem_collection'!$A$3:$A$500,MATCH(A414,'WetLitterbags placem_collection'!$O$4:$O$500,0)),"")</f>
        <v/>
      </c>
      <c r="P414" s="110" t="str">
        <f>IFERROR(INDEX('WetLitterbags placem_collection'!$A$3:$A$500,MATCH(A414,'WetLitterbags placem_collection'!$M$4:$M$500,0)),"")</f>
        <v/>
      </c>
      <c r="Q414" s="110" t="str">
        <f>IFERROR(INDEX('WetLitterbags placem_collection'!$A$3:$A$500,MATCH(A414,'WetLitterbags placem_collection'!$Q$4:$Q$500,0)),"")</f>
        <v/>
      </c>
    </row>
    <row r="415" spans="1:17" ht="13.95" customHeight="1">
      <c r="A415" s="110" t="s">
        <v>1151</v>
      </c>
      <c r="B415" s="110">
        <v>112</v>
      </c>
      <c r="C415" s="110">
        <v>0.71899999999999997</v>
      </c>
      <c r="D415" s="110" t="s">
        <v>2071</v>
      </c>
      <c r="E415" s="112">
        <v>42878</v>
      </c>
      <c r="N415" s="110">
        <f>IFERROR(INDEX('WetLitterbags placem_collection'!$A$3:$A$500,MATCH(A415,'WetLitterbags placem_collection'!$K$4:$K$500,0)),"")</f>
        <v>111</v>
      </c>
      <c r="O415" s="110" t="str">
        <f>IFERROR(INDEX('WetLitterbags placem_collection'!$A$3:$A$500,MATCH(A415,'WetLitterbags placem_collection'!$O$4:$O$500,0)),"")</f>
        <v/>
      </c>
      <c r="P415" s="110" t="str">
        <f>IFERROR(INDEX('WetLitterbags placem_collection'!$A$3:$A$500,MATCH(A415,'WetLitterbags placem_collection'!$M$4:$M$500,0)),"")</f>
        <v/>
      </c>
      <c r="Q415" s="110" t="str">
        <f>IFERROR(INDEX('WetLitterbags placem_collection'!$A$3:$A$500,MATCH(A415,'WetLitterbags placem_collection'!$Q$4:$Q$500,0)),"")</f>
        <v/>
      </c>
    </row>
    <row r="416" spans="1:17" ht="13.95" customHeight="1">
      <c r="A416" s="179" t="s">
        <v>1150</v>
      </c>
      <c r="B416" s="110">
        <v>141</v>
      </c>
      <c r="C416">
        <v>1.5369999999999999</v>
      </c>
      <c r="E416" s="112">
        <v>42878</v>
      </c>
      <c r="N416" s="110">
        <f>IFERROR(INDEX('WetLitterbags placem_collection'!$A$3:$A$500,MATCH(A416,'WetLitterbags placem_collection'!$K$4:$K$500,0)),"")</f>
        <v>140</v>
      </c>
      <c r="O416" s="110" t="str">
        <f>IFERROR(INDEX('WetLitterbags placem_collection'!$A$3:$A$500,MATCH(A416,'WetLitterbags placem_collection'!$O$4:$O$500,0)),"")</f>
        <v/>
      </c>
      <c r="P416" s="110" t="str">
        <f>IFERROR(INDEX('WetLitterbags placem_collection'!$A$3:$A$500,MATCH(A416,'WetLitterbags placem_collection'!$M$4:$M$500,0)),"")</f>
        <v/>
      </c>
      <c r="Q416" s="110" t="str">
        <f>IFERROR(INDEX('WetLitterbags placem_collection'!$A$3:$A$500,MATCH(A416,'WetLitterbags placem_collection'!$Q$4:$Q$500,0)),"")</f>
        <v/>
      </c>
    </row>
    <row r="417" spans="1:17" ht="13.95" customHeight="1">
      <c r="A417" s="110" t="s">
        <v>1149</v>
      </c>
      <c r="B417" s="110">
        <v>117</v>
      </c>
      <c r="C417" s="110">
        <v>0.621</v>
      </c>
      <c r="E417" s="112">
        <v>42878</v>
      </c>
      <c r="N417" s="110" t="str">
        <f>IFERROR(INDEX('WetLitterbags placem_collection'!$A$3:$A$500,MATCH(A417,'WetLitterbags placem_collection'!$K$4:$K$500,0)),"")</f>
        <v/>
      </c>
      <c r="O417" s="110">
        <f>IFERROR(INDEX('WetLitterbags placem_collection'!$A$3:$A$500,MATCH(A417,'WetLitterbags placem_collection'!$O$4:$O$500,0)),"")</f>
        <v>116</v>
      </c>
      <c r="P417" s="110" t="str">
        <f>IFERROR(INDEX('WetLitterbags placem_collection'!$A$3:$A$500,MATCH(A417,'WetLitterbags placem_collection'!$M$4:$M$500,0)),"")</f>
        <v/>
      </c>
      <c r="Q417" s="110" t="str">
        <f>IFERROR(INDEX('WetLitterbags placem_collection'!$A$3:$A$500,MATCH(A417,'WetLitterbags placem_collection'!$Q$4:$Q$500,0)),"")</f>
        <v/>
      </c>
    </row>
    <row r="418" spans="1:17" ht="13.95" customHeight="1">
      <c r="A418" s="184" t="s">
        <v>1148</v>
      </c>
      <c r="B418" s="110">
        <v>145</v>
      </c>
      <c r="C418" s="110">
        <v>0.79200000000000004</v>
      </c>
      <c r="E418" s="112">
        <v>42878</v>
      </c>
      <c r="N418" s="110">
        <f>IFERROR(INDEX('WetLitterbags placem_collection'!$A$3:$A$500,MATCH(A418,'WetLitterbags placem_collection'!$K$4:$K$500,0)),"")</f>
        <v>144</v>
      </c>
      <c r="O418" s="110" t="str">
        <f>IFERROR(INDEX('WetLitterbags placem_collection'!$A$3:$A$500,MATCH(A418,'WetLitterbags placem_collection'!$O$4:$O$500,0)),"")</f>
        <v/>
      </c>
      <c r="P418" s="110" t="str">
        <f>IFERROR(INDEX('WetLitterbags placem_collection'!$A$3:$A$500,MATCH(A418,'WetLitterbags placem_collection'!$M$4:$M$500,0)),"")</f>
        <v/>
      </c>
      <c r="Q418" s="110" t="str">
        <f>IFERROR(INDEX('WetLitterbags placem_collection'!$A$3:$A$500,MATCH(A418,'WetLitterbags placem_collection'!$Q$4:$Q$500,0)),"")</f>
        <v/>
      </c>
    </row>
    <row r="419" spans="1:17" ht="13.95" customHeight="1">
      <c r="A419" s="110" t="s">
        <v>2461</v>
      </c>
      <c r="B419" s="110">
        <v>173</v>
      </c>
      <c r="C419" s="110">
        <v>7.1999999999999995E-2</v>
      </c>
      <c r="D419" s="110" t="s">
        <v>2062</v>
      </c>
      <c r="E419" s="112">
        <v>42879</v>
      </c>
      <c r="N419" s="110" t="str">
        <f>IFERROR(INDEX('WetLitterbags placem_collection'!$A$3:$A$500,MATCH(A419,'WetLitterbags placem_collection'!$K$4:$K$500,0)),"")</f>
        <v/>
      </c>
      <c r="O419" s="110" t="str">
        <f>IFERROR(INDEX('WetLitterbags placem_collection'!$A$3:$A$500,MATCH(A419,'WetLitterbags placem_collection'!$O$4:$O$500,0)),"")</f>
        <v/>
      </c>
      <c r="P419" s="110" t="str">
        <f>IFERROR(INDEX('WetLitterbags placem_collection'!$A$3:$A$500,MATCH(A419,'WetLitterbags placem_collection'!$M$4:$M$500,0)),"")</f>
        <v/>
      </c>
      <c r="Q419" s="110" t="str">
        <f>IFERROR(INDEX('WetLitterbags placem_collection'!$A$3:$A$500,MATCH(A419,'WetLitterbags placem_collection'!$Q$4:$Q$500,0)),"")</f>
        <v/>
      </c>
    </row>
    <row r="420" spans="1:17" ht="13.95" customHeight="1">
      <c r="A420" s="113" t="s">
        <v>2054</v>
      </c>
      <c r="B420" s="113">
        <v>142</v>
      </c>
      <c r="C420" s="113">
        <v>1.0640000000000001</v>
      </c>
      <c r="D420" s="113" t="s">
        <v>2053</v>
      </c>
      <c r="E420" s="112">
        <v>42881</v>
      </c>
      <c r="J420" s="113"/>
      <c r="L420" s="113"/>
      <c r="N420" s="110" t="str">
        <f>IFERROR(INDEX('WetLitterbags placem_collection'!$A$3:$A$500,MATCH(A420,'WetLitterbags placem_collection'!$K$4:$K$500,0)),"")</f>
        <v/>
      </c>
      <c r="O420" s="110" t="str">
        <f>IFERROR(INDEX('WetLitterbags placem_collection'!$A$3:$A$500,MATCH(A420,'WetLitterbags placem_collection'!$O$4:$O$500,0)),"")</f>
        <v/>
      </c>
      <c r="P420" s="110" t="str">
        <f>IFERROR(INDEX('WetLitterbags placem_collection'!$A$3:$A$500,MATCH(A420,'WetLitterbags placem_collection'!$M$4:$M$500,0)),"")</f>
        <v/>
      </c>
      <c r="Q420" s="110" t="str">
        <f>IFERROR(INDEX('WetLitterbags placem_collection'!$A$3:$A$500,MATCH(A420,'WetLitterbags placem_collection'!$Q$4:$Q$500,0)),"")</f>
        <v/>
      </c>
    </row>
    <row r="421" spans="1:17" ht="13.95" customHeight="1">
      <c r="A421" s="110" t="s">
        <v>1140</v>
      </c>
      <c r="B421" s="110">
        <v>86</v>
      </c>
      <c r="C421" s="110">
        <v>0.38169999999999998</v>
      </c>
      <c r="D421" s="110" t="s">
        <v>2113</v>
      </c>
      <c r="E421" s="112">
        <v>43123</v>
      </c>
      <c r="N421" s="110" t="str">
        <f>IFERROR(INDEX('WetLitterbags placem_collection'!$A$3:$A$500,MATCH(A421,'WetLitterbags placem_collection'!$K$4:$K$500,0)),"")</f>
        <v/>
      </c>
      <c r="O421" s="110" t="str">
        <f>IFERROR(INDEX('WetLitterbags placem_collection'!$A$3:$A$500,MATCH(A421,'WetLitterbags placem_collection'!$O$4:$O$500,0)),"")</f>
        <v/>
      </c>
      <c r="P421" s="110">
        <f>IFERROR(INDEX('WetLitterbags placem_collection'!$A$3:$A$500,MATCH(A421,'WetLitterbags placem_collection'!$M$4:$M$500,0)),"")</f>
        <v>85</v>
      </c>
      <c r="Q421" s="110" t="str">
        <f>IFERROR(INDEX('WetLitterbags placem_collection'!$A$3:$A$500,MATCH(A421,'WetLitterbags placem_collection'!$Q$4:$Q$500,0)),"")</f>
        <v/>
      </c>
    </row>
    <row r="422" spans="1:17" ht="13.95" customHeight="1">
      <c r="A422" s="110" t="s">
        <v>1131</v>
      </c>
      <c r="B422" s="110" t="s">
        <v>2077</v>
      </c>
      <c r="C422" s="110">
        <f>1.5348+0.0339</f>
        <v>1.5687</v>
      </c>
      <c r="D422" s="110" t="s">
        <v>2122</v>
      </c>
      <c r="E422" s="112">
        <v>43122</v>
      </c>
      <c r="N422" s="110" t="str">
        <f>IFERROR(INDEX('WetLitterbags placem_collection'!$A$3:$A$500,MATCH(A422,'WetLitterbags placem_collection'!$K$4:$K$500,0)),"")</f>
        <v/>
      </c>
      <c r="O422" s="110" t="str">
        <f>IFERROR(INDEX('WetLitterbags placem_collection'!$A$3:$A$500,MATCH(A422,'WetLitterbags placem_collection'!$O$4:$O$500,0)),"")</f>
        <v/>
      </c>
      <c r="P422" s="110" t="str">
        <f>IFERROR(INDEX('WetLitterbags placem_collection'!$A$3:$A$500,MATCH(A422,'WetLitterbags placem_collection'!$M$4:$M$500,0)),"")</f>
        <v/>
      </c>
      <c r="Q422" s="110">
        <f>IFERROR(INDEX('WetLitterbags placem_collection'!$A$3:$A$500,MATCH(A422,'WetLitterbags placem_collection'!$Q$4:$Q$500,0)),"")</f>
        <v>100</v>
      </c>
    </row>
    <row r="423" spans="1:17" ht="13.95" customHeight="1">
      <c r="A423" s="110" t="s">
        <v>1041</v>
      </c>
      <c r="B423" s="110" t="s">
        <v>2077</v>
      </c>
      <c r="C423" s="110">
        <v>1.7222999999999999</v>
      </c>
      <c r="E423" s="112">
        <v>43119</v>
      </c>
      <c r="N423" s="110" t="str">
        <f>IFERROR(INDEX('WetLitterbags placem_collection'!$A$3:$A$500,MATCH(A423,'WetLitterbags placem_collection'!$K$4:$K$500,0)),"")</f>
        <v/>
      </c>
      <c r="O423" s="110" t="str">
        <f>IFERROR(INDEX('WetLitterbags placem_collection'!$A$3:$A$500,MATCH(A423,'WetLitterbags placem_collection'!$O$4:$O$500,0)),"")</f>
        <v/>
      </c>
      <c r="P423" s="110" t="str">
        <f>IFERROR(INDEX('WetLitterbags placem_collection'!$A$3:$A$500,MATCH(A423,'WetLitterbags placem_collection'!$M$4:$M$500,0)),"")</f>
        <v/>
      </c>
      <c r="Q423" s="110">
        <f>IFERROR(INDEX('WetLitterbags placem_collection'!$A$3:$A$500,MATCH(A423,'WetLitterbags placem_collection'!$Q$4:$Q$500,0)),"")</f>
        <v>77</v>
      </c>
    </row>
    <row r="424" spans="1:17" ht="13.95" customHeight="1">
      <c r="A424" s="110" t="s">
        <v>1040</v>
      </c>
      <c r="B424" s="110" t="s">
        <v>2077</v>
      </c>
      <c r="C424" s="110">
        <v>1.5383</v>
      </c>
      <c r="E424" s="112">
        <v>43122</v>
      </c>
      <c r="N424" s="110" t="str">
        <f>IFERROR(INDEX('WetLitterbags placem_collection'!$A$3:$A$500,MATCH(A424,'WetLitterbags placem_collection'!$K$4:$K$500,0)),"")</f>
        <v/>
      </c>
      <c r="O424" s="110" t="str">
        <f>IFERROR(INDEX('WetLitterbags placem_collection'!$A$3:$A$500,MATCH(A424,'WetLitterbags placem_collection'!$O$4:$O$500,0)),"")</f>
        <v/>
      </c>
      <c r="P424" s="110" t="str">
        <f>IFERROR(INDEX('WetLitterbags placem_collection'!$A$3:$A$500,MATCH(A424,'WetLitterbags placem_collection'!$M$4:$M$500,0)),"")</f>
        <v/>
      </c>
      <c r="Q424" s="110">
        <f>IFERROR(INDEX('WetLitterbags placem_collection'!$A$3:$A$500,MATCH(A424,'WetLitterbags placem_collection'!$Q$4:$Q$500,0)),"")</f>
        <v>8</v>
      </c>
    </row>
    <row r="425" spans="1:17" ht="13.95" customHeight="1">
      <c r="A425" s="110" t="s">
        <v>1038</v>
      </c>
      <c r="B425" s="110" t="s">
        <v>2077</v>
      </c>
      <c r="C425" s="110">
        <v>1.4296</v>
      </c>
      <c r="E425" s="112">
        <v>43116</v>
      </c>
      <c r="N425" s="110" t="str">
        <f>IFERROR(INDEX('WetLitterbags placem_collection'!$A$3:$A$500,MATCH(A425,'WetLitterbags placem_collection'!$K$4:$K$500,0)),"")</f>
        <v/>
      </c>
      <c r="O425" s="110" t="str">
        <f>IFERROR(INDEX('WetLitterbags placem_collection'!$A$3:$A$500,MATCH(A425,'WetLitterbags placem_collection'!$O$4:$O$500,0)),"")</f>
        <v/>
      </c>
      <c r="P425" s="110" t="str">
        <f>IFERROR(INDEX('WetLitterbags placem_collection'!$A$3:$A$500,MATCH(A425,'WetLitterbags placem_collection'!$M$4:$M$500,0)),"")</f>
        <v/>
      </c>
      <c r="Q425" s="110">
        <f>IFERROR(INDEX('WetLitterbags placem_collection'!$A$3:$A$500,MATCH(A425,'WetLitterbags placem_collection'!$Q$4:$Q$500,0)),"")</f>
        <v>217</v>
      </c>
    </row>
    <row r="426" spans="1:17" ht="13.95" customHeight="1">
      <c r="A426" s="110" t="s">
        <v>1037</v>
      </c>
      <c r="B426" s="110" t="s">
        <v>2077</v>
      </c>
      <c r="C426" s="110">
        <v>1.4184000000000001</v>
      </c>
      <c r="E426" s="112">
        <v>43119</v>
      </c>
      <c r="N426" s="110" t="str">
        <f>IFERROR(INDEX('WetLitterbags placem_collection'!$A$3:$A$500,MATCH(A426,'WetLitterbags placem_collection'!$K$4:$K$500,0)),"")</f>
        <v/>
      </c>
      <c r="O426" s="110" t="str">
        <f>IFERROR(INDEX('WetLitterbags placem_collection'!$A$3:$A$500,MATCH(A426,'WetLitterbags placem_collection'!$O$4:$O$500,0)),"")</f>
        <v/>
      </c>
      <c r="P426" s="110" t="str">
        <f>IFERROR(INDEX('WetLitterbags placem_collection'!$A$3:$A$500,MATCH(A426,'WetLitterbags placem_collection'!$M$4:$M$500,0)),"")</f>
        <v/>
      </c>
      <c r="Q426" s="110">
        <f>IFERROR(INDEX('WetLitterbags placem_collection'!$A$3:$A$500,MATCH(A426,'WetLitterbags placem_collection'!$Q$4:$Q$500,0)),"")</f>
        <v>24</v>
      </c>
    </row>
    <row r="427" spans="1:17" ht="13.95" customHeight="1">
      <c r="A427" s="110" t="s">
        <v>1036</v>
      </c>
      <c r="B427" s="110">
        <v>173</v>
      </c>
      <c r="C427" s="110">
        <v>1.6919999999999999</v>
      </c>
      <c r="E427" s="112">
        <v>42879</v>
      </c>
      <c r="N427" s="110" t="str">
        <f>IFERROR(INDEX('WetLitterbags placem_collection'!$A$3:$A$500,MATCH(A427,'WetLitterbags placem_collection'!$K$4:$K$500,0)),"")</f>
        <v/>
      </c>
      <c r="O427" s="110" t="str">
        <f>IFERROR(INDEX('WetLitterbags placem_collection'!$A$3:$A$500,MATCH(A427,'WetLitterbags placem_collection'!$O$4:$O$500,0)),"")</f>
        <v/>
      </c>
      <c r="P427" s="110" t="str">
        <f>IFERROR(INDEX('WetLitterbags placem_collection'!$A$3:$A$500,MATCH(A427,'WetLitterbags placem_collection'!$M$4:$M$500,0)),"")</f>
        <v/>
      </c>
      <c r="Q427" s="110">
        <f>IFERROR(INDEX('WetLitterbags placem_collection'!$A$3:$A$500,MATCH(A427,'WetLitterbags placem_collection'!$Q$4:$Q$500,0)),"")</f>
        <v>172</v>
      </c>
    </row>
    <row r="428" spans="1:17" ht="13.95" customHeight="1">
      <c r="A428" s="110" t="s">
        <v>1034</v>
      </c>
      <c r="B428" s="110">
        <v>46</v>
      </c>
      <c r="C428" s="110">
        <v>1.5349999999999999</v>
      </c>
      <c r="E428" s="112">
        <v>42881</v>
      </c>
      <c r="N428" s="110" t="str">
        <f>IFERROR(INDEX('WetLitterbags placem_collection'!$A$3:$A$500,MATCH(A428,'WetLitterbags placem_collection'!$K$4:$K$500,0)),"")</f>
        <v/>
      </c>
      <c r="O428" s="110" t="str">
        <f>IFERROR(INDEX('WetLitterbags placem_collection'!$A$3:$A$500,MATCH(A428,'WetLitterbags placem_collection'!$O$4:$O$500,0)),"")</f>
        <v/>
      </c>
      <c r="P428" s="110" t="str">
        <f>IFERROR(INDEX('WetLitterbags placem_collection'!$A$3:$A$500,MATCH(A428,'WetLitterbags placem_collection'!$M$4:$M$500,0)),"")</f>
        <v/>
      </c>
      <c r="Q428" s="110">
        <f>IFERROR(INDEX('WetLitterbags placem_collection'!$A$3:$A$500,MATCH(A428,'WetLitterbags placem_collection'!$Q$4:$Q$500,0)),"")</f>
        <v>47</v>
      </c>
    </row>
    <row r="429" spans="1:17" ht="13.95" customHeight="1">
      <c r="A429" s="167" t="s">
        <v>1032</v>
      </c>
      <c r="B429" s="110">
        <v>33</v>
      </c>
      <c r="C429" s="110">
        <v>0.41499999999999998</v>
      </c>
      <c r="D429" s="110" t="s">
        <v>2052</v>
      </c>
      <c r="E429" s="112">
        <v>42881</v>
      </c>
      <c r="N429" s="110" t="str">
        <f>IFERROR(INDEX('WetLitterbags placem_collection'!$A$3:$A$500,MATCH(A429,'WetLitterbags placem_collection'!$K$4:$K$500,0)),"")</f>
        <v/>
      </c>
      <c r="O429" s="110" t="str">
        <f>IFERROR(INDEX('WetLitterbags placem_collection'!$A$3:$A$500,MATCH(A429,'WetLitterbags placem_collection'!$O$4:$O$500,0)),"")</f>
        <v/>
      </c>
      <c r="P429" s="110">
        <f>IFERROR(INDEX('WetLitterbags placem_collection'!$A$3:$A$500,MATCH(A429,'WetLitterbags placem_collection'!$M$4:$M$500,0)),"")</f>
        <v>32</v>
      </c>
      <c r="Q429" s="110" t="str">
        <f>IFERROR(INDEX('WetLitterbags placem_collection'!$A$3:$A$500,MATCH(A429,'WetLitterbags placem_collection'!$Q$4:$Q$500,0)),"")</f>
        <v/>
      </c>
    </row>
    <row r="430" spans="1:17" ht="13.95" customHeight="1">
      <c r="A430" s="110" t="s">
        <v>1130</v>
      </c>
      <c r="B430" s="110">
        <v>122</v>
      </c>
      <c r="C430" s="110">
        <v>1.25</v>
      </c>
      <c r="E430" s="112">
        <v>42878</v>
      </c>
      <c r="N430" s="110" t="str">
        <f>IFERROR(INDEX('WetLitterbags placem_collection'!$A$3:$A$500,MATCH(A430,'WetLitterbags placem_collection'!$K$4:$K$500,0)),"")</f>
        <v/>
      </c>
      <c r="O430" s="110" t="str">
        <f>IFERROR(INDEX('WetLitterbags placem_collection'!$A$3:$A$500,MATCH(A430,'WetLitterbags placem_collection'!$O$4:$O$500,0)),"")</f>
        <v/>
      </c>
      <c r="P430" s="110">
        <f>IFERROR(INDEX('WetLitterbags placem_collection'!$A$3:$A$500,MATCH(A430,'WetLitterbags placem_collection'!$M$4:$M$500,0)),"")</f>
        <v>121</v>
      </c>
      <c r="Q430" s="110" t="str">
        <f>IFERROR(INDEX('WetLitterbags placem_collection'!$A$3:$A$500,MATCH(A430,'WetLitterbags placem_collection'!$Q$4:$Q$500,0)),"")</f>
        <v/>
      </c>
    </row>
    <row r="431" spans="1:17" ht="13.95" customHeight="1">
      <c r="A431" s="110" t="s">
        <v>1031</v>
      </c>
      <c r="B431" s="110">
        <v>20</v>
      </c>
      <c r="C431" s="110">
        <v>1.6778999999999999</v>
      </c>
      <c r="E431" s="112">
        <v>43125</v>
      </c>
      <c r="N431" s="110" t="str">
        <f>IFERROR(INDEX('WetLitterbags placem_collection'!$A$3:$A$500,MATCH(A431,'WetLitterbags placem_collection'!$K$4:$K$500,0)),"")</f>
        <v/>
      </c>
      <c r="O431" s="110" t="str">
        <f>IFERROR(INDEX('WetLitterbags placem_collection'!$A$3:$A$500,MATCH(A431,'WetLitterbags placem_collection'!$O$4:$O$500,0)),"")</f>
        <v/>
      </c>
      <c r="P431" s="110" t="str">
        <f>IFERROR(INDEX('WetLitterbags placem_collection'!$A$3:$A$500,MATCH(A431,'WetLitterbags placem_collection'!$M$4:$M$500,0)),"")</f>
        <v/>
      </c>
      <c r="Q431" s="110">
        <f>IFERROR(INDEX('WetLitterbags placem_collection'!$A$3:$A$500,MATCH(A431,'WetLitterbags placem_collection'!$Q$4:$Q$500,0)),"")</f>
        <v>19</v>
      </c>
    </row>
    <row r="432" spans="1:17" ht="13.95" customHeight="1">
      <c r="A432" s="110" t="s">
        <v>1030</v>
      </c>
      <c r="B432" s="110">
        <v>213</v>
      </c>
      <c r="C432" s="110">
        <v>1.587</v>
      </c>
      <c r="E432" s="112">
        <v>42881</v>
      </c>
      <c r="N432" s="110" t="str">
        <f>IFERROR(INDEX('WetLitterbags placem_collection'!$A$3:$A$500,MATCH(A432,'WetLitterbags placem_collection'!$K$4:$K$500,0)),"")</f>
        <v/>
      </c>
      <c r="O432" s="110" t="str">
        <f>IFERROR(INDEX('WetLitterbags placem_collection'!$A$3:$A$500,MATCH(A432,'WetLitterbags placem_collection'!$O$4:$O$500,0)),"")</f>
        <v/>
      </c>
      <c r="P432" s="110" t="str">
        <f>IFERROR(INDEX('WetLitterbags placem_collection'!$A$3:$A$500,MATCH(A432,'WetLitterbags placem_collection'!$M$4:$M$500,0)),"")</f>
        <v/>
      </c>
      <c r="Q432" s="110">
        <f>IFERROR(INDEX('WetLitterbags placem_collection'!$A$3:$A$500,MATCH(A432,'WetLitterbags placem_collection'!$Q$4:$Q$500,0)),"")</f>
        <v>212</v>
      </c>
    </row>
    <row r="433" spans="1:17" ht="13.95" customHeight="1">
      <c r="A433" s="110" t="s">
        <v>1029</v>
      </c>
      <c r="B433" s="110" t="s">
        <v>2077</v>
      </c>
      <c r="C433" s="110">
        <v>1.3584000000000001</v>
      </c>
      <c r="E433" s="112">
        <v>43122</v>
      </c>
      <c r="N433" s="110" t="str">
        <f>IFERROR(INDEX('WetLitterbags placem_collection'!$A$3:$A$500,MATCH(A433,'WetLitterbags placem_collection'!$K$4:$K$500,0)),"")</f>
        <v/>
      </c>
      <c r="O433" s="110" t="str">
        <f>IFERROR(INDEX('WetLitterbags placem_collection'!$A$3:$A$500,MATCH(A433,'WetLitterbags placem_collection'!$O$4:$O$500,0)),"")</f>
        <v/>
      </c>
      <c r="P433" s="110">
        <f>IFERROR(INDEX('WetLitterbags placem_collection'!$A$3:$A$500,MATCH(A433,'WetLitterbags placem_collection'!$M$4:$M$500,0)),"")</f>
        <v>26</v>
      </c>
      <c r="Q433" s="110" t="str">
        <f>IFERROR(INDEX('WetLitterbags placem_collection'!$A$3:$A$500,MATCH(A433,'WetLitterbags placem_collection'!$Q$4:$Q$500,0)),"")</f>
        <v/>
      </c>
    </row>
    <row r="434" spans="1:17" ht="13.95" customHeight="1">
      <c r="A434" s="110" t="s">
        <v>1027</v>
      </c>
      <c r="B434" s="110">
        <v>40</v>
      </c>
      <c r="C434" s="110">
        <v>2.2269999999999999</v>
      </c>
      <c r="E434" s="112">
        <v>42881</v>
      </c>
      <c r="N434" s="110" t="str">
        <f>IFERROR(INDEX('WetLitterbags placem_collection'!$A$3:$A$500,MATCH(A434,'WetLitterbags placem_collection'!$K$4:$K$500,0)),"")</f>
        <v/>
      </c>
      <c r="O434" s="110" t="str">
        <f>IFERROR(INDEX('WetLitterbags placem_collection'!$A$3:$A$500,MATCH(A434,'WetLitterbags placem_collection'!$O$4:$O$500,0)),"")</f>
        <v/>
      </c>
      <c r="P434" s="110">
        <f>IFERROR(INDEX('WetLitterbags placem_collection'!$A$3:$A$500,MATCH(A434,'WetLitterbags placem_collection'!$M$4:$M$500,0)),"")</f>
        <v>39</v>
      </c>
      <c r="Q434" s="110" t="str">
        <f>IFERROR(INDEX('WetLitterbags placem_collection'!$A$3:$A$500,MATCH(A434,'WetLitterbags placem_collection'!$Q$4:$Q$500,0)),"")</f>
        <v/>
      </c>
    </row>
    <row r="435" spans="1:17" ht="13.95" customHeight="1">
      <c r="A435" s="110" t="s">
        <v>1026</v>
      </c>
      <c r="B435" s="110" t="s">
        <v>2077</v>
      </c>
      <c r="C435" s="110">
        <v>1.4075</v>
      </c>
      <c r="D435" s="110" t="s">
        <v>2127</v>
      </c>
      <c r="E435" s="112">
        <v>43122</v>
      </c>
      <c r="N435" s="110" t="str">
        <f>IFERROR(INDEX('WetLitterbags placem_collection'!$A$3:$A$500,MATCH(A435,'WetLitterbags placem_collection'!$K$4:$K$500,0)),"")</f>
        <v/>
      </c>
      <c r="O435" s="110" t="str">
        <f>IFERROR(INDEX('WetLitterbags placem_collection'!$A$3:$A$500,MATCH(A435,'WetLitterbags placem_collection'!$O$4:$O$500,0)),"")</f>
        <v/>
      </c>
      <c r="P435" s="110">
        <f>IFERROR(INDEX('WetLitterbags placem_collection'!$A$3:$A$500,MATCH(A435,'WetLitterbags placem_collection'!$M$4:$M$500,0)),"")</f>
        <v>3</v>
      </c>
      <c r="Q435" s="110" t="str">
        <f>IFERROR(INDEX('WetLitterbags placem_collection'!$A$3:$A$500,MATCH(A435,'WetLitterbags placem_collection'!$Q$4:$Q$500,0)),"")</f>
        <v/>
      </c>
    </row>
    <row r="436" spans="1:17" ht="13.95" customHeight="1">
      <c r="A436" s="110" t="s">
        <v>1024</v>
      </c>
      <c r="B436" s="110">
        <v>43</v>
      </c>
      <c r="C436" s="110">
        <v>1.6155999999999999</v>
      </c>
      <c r="E436" s="112">
        <v>43123</v>
      </c>
      <c r="N436" s="110" t="str">
        <f>IFERROR(INDEX('WetLitterbags placem_collection'!$A$3:$A$500,MATCH(A436,'WetLitterbags placem_collection'!$K$4:$K$500,0)),"")</f>
        <v/>
      </c>
      <c r="O436" s="110" t="str">
        <f>IFERROR(INDEX('WetLitterbags placem_collection'!$A$3:$A$500,MATCH(A436,'WetLitterbags placem_collection'!$O$4:$O$500,0)),"")</f>
        <v/>
      </c>
      <c r="P436" s="110" t="str">
        <f>IFERROR(INDEX('WetLitterbags placem_collection'!$A$3:$A$500,MATCH(A436,'WetLitterbags placem_collection'!$M$4:$M$500,0)),"")</f>
        <v/>
      </c>
      <c r="Q436" s="110">
        <f>IFERROR(INDEX('WetLitterbags placem_collection'!$A$3:$A$500,MATCH(A436,'WetLitterbags placem_collection'!$Q$4:$Q$500,0)),"")</f>
        <v>42</v>
      </c>
    </row>
    <row r="437" spans="1:17" ht="13.95" customHeight="1">
      <c r="A437" s="110" t="s">
        <v>1022</v>
      </c>
      <c r="B437" s="110">
        <v>62</v>
      </c>
      <c r="C437" s="110">
        <f>3.3076-1.6702</f>
        <v>1.6374</v>
      </c>
      <c r="D437" s="167" t="s">
        <v>2464</v>
      </c>
      <c r="E437" s="112">
        <v>43125</v>
      </c>
      <c r="N437" s="110" t="str">
        <f>IFERROR(INDEX('WetLitterbags placem_collection'!$A$3:$A$500,MATCH(A437,'WetLitterbags placem_collection'!$K$4:$K$500,0)),"")</f>
        <v/>
      </c>
      <c r="O437" s="110" t="str">
        <f>IFERROR(INDEX('WetLitterbags placem_collection'!$A$3:$A$500,MATCH(A437,'WetLitterbags placem_collection'!$O$4:$O$500,0)),"")</f>
        <v/>
      </c>
      <c r="P437" s="110">
        <f>IFERROR(INDEX('WetLitterbags placem_collection'!$A$3:$A$500,MATCH(A437,'WetLitterbags placem_collection'!$M$4:$M$500,0)),"")</f>
        <v>61</v>
      </c>
      <c r="Q437" s="110" t="str">
        <f>IFERROR(INDEX('WetLitterbags placem_collection'!$A$3:$A$500,MATCH(A437,'WetLitterbags placem_collection'!$Q$4:$Q$500,0)),"")</f>
        <v/>
      </c>
    </row>
    <row r="438" spans="1:17" ht="13.95" customHeight="1">
      <c r="A438" s="110" t="s">
        <v>1129</v>
      </c>
      <c r="B438" s="110" t="s">
        <v>2077</v>
      </c>
      <c r="C438" s="110">
        <v>0.17</v>
      </c>
      <c r="D438" s="110" t="s">
        <v>2145</v>
      </c>
      <c r="E438" s="112">
        <v>43119</v>
      </c>
      <c r="N438" s="110" t="str">
        <f>IFERROR(INDEX('WetLitterbags placem_collection'!$A$3:$A$500,MATCH(A438,'WetLitterbags placem_collection'!$K$4:$K$500,0)),"")</f>
        <v/>
      </c>
      <c r="O438" s="110" t="str">
        <f>IFERROR(INDEX('WetLitterbags placem_collection'!$A$3:$A$500,MATCH(A438,'WetLitterbags placem_collection'!$O$4:$O$500,0)),"")</f>
        <v/>
      </c>
      <c r="P438" s="110">
        <f>IFERROR(INDEX('WetLitterbags placem_collection'!$A$3:$A$500,MATCH(A438,'WetLitterbags placem_collection'!$M$4:$M$500,0)),"")</f>
        <v>92</v>
      </c>
      <c r="Q438" s="110" t="str">
        <f>IFERROR(INDEX('WetLitterbags placem_collection'!$A$3:$A$500,MATCH(A438,'WetLitterbags placem_collection'!$Q$4:$Q$500,0)),"")</f>
        <v/>
      </c>
    </row>
    <row r="439" spans="1:17" ht="13.95" customHeight="1">
      <c r="A439" s="110" t="s">
        <v>1021</v>
      </c>
      <c r="B439">
        <v>59</v>
      </c>
      <c r="C439" s="110">
        <v>1.4690000000000001</v>
      </c>
      <c r="D439" s="110" t="s">
        <v>2132</v>
      </c>
      <c r="E439" s="112">
        <v>42878</v>
      </c>
      <c r="N439" s="110" t="str">
        <f>IFERROR(INDEX('WetLitterbags placem_collection'!$A$3:$A$500,MATCH(A439,'WetLitterbags placem_collection'!$K$4:$K$500,0)),"")</f>
        <v/>
      </c>
      <c r="O439" s="110" t="str">
        <f>IFERROR(INDEX('WetLitterbags placem_collection'!$A$3:$A$500,MATCH(A439,'WetLitterbags placem_collection'!$O$4:$O$500,0)),"")</f>
        <v/>
      </c>
      <c r="P439" s="110" t="str">
        <f>IFERROR(INDEX('WetLitterbags placem_collection'!$A$3:$A$500,MATCH(A439,'WetLitterbags placem_collection'!$M$4:$M$500,0)),"")</f>
        <v/>
      </c>
      <c r="Q439" s="110">
        <f>IFERROR(INDEX('WetLitterbags placem_collection'!$A$3:$A$500,MATCH(A439,'WetLitterbags placem_collection'!$Q$4:$Q$500,0)),"")</f>
        <v>58</v>
      </c>
    </row>
    <row r="440" spans="1:17" ht="13.95" customHeight="1">
      <c r="A440" s="110" t="s">
        <v>1020</v>
      </c>
      <c r="B440" s="110" t="s">
        <v>2077</v>
      </c>
      <c r="C440" s="110">
        <v>1.3073999999999999</v>
      </c>
      <c r="E440" s="112">
        <v>43122</v>
      </c>
      <c r="N440" s="110" t="str">
        <f>IFERROR(INDEX('WetLitterbags placem_collection'!$A$3:$A$500,MATCH(A440,'WetLitterbags placem_collection'!$K$4:$K$500,0)),"")</f>
        <v/>
      </c>
      <c r="O440" s="110" t="str">
        <f>IFERROR(INDEX('WetLitterbags placem_collection'!$A$3:$A$500,MATCH(A440,'WetLitterbags placem_collection'!$O$4:$O$500,0)),"")</f>
        <v/>
      </c>
      <c r="P440" s="110">
        <f>IFERROR(INDEX('WetLitterbags placem_collection'!$A$3:$A$500,MATCH(A440,'WetLitterbags placem_collection'!$M$4:$M$500,0)),"")</f>
        <v>1</v>
      </c>
      <c r="Q440" s="110" t="str">
        <f>IFERROR(INDEX('WetLitterbags placem_collection'!$A$3:$A$500,MATCH(A440,'WetLitterbags placem_collection'!$Q$4:$Q$500,0)),"")</f>
        <v/>
      </c>
    </row>
    <row r="441" spans="1:17" ht="13.95" customHeight="1">
      <c r="A441" t="s">
        <v>1019</v>
      </c>
      <c r="B441" s="110">
        <v>74</v>
      </c>
      <c r="C441" s="110">
        <v>0.35499999999999998</v>
      </c>
      <c r="D441" s="110" t="s">
        <v>2075</v>
      </c>
      <c r="E441" s="112">
        <v>42879</v>
      </c>
      <c r="N441" s="110" t="str">
        <f>IFERROR(INDEX('WetLitterbags placem_collection'!$A$3:$A$500,MATCH(A441,'WetLitterbags placem_collection'!$K$4:$K$500,0)),"")</f>
        <v/>
      </c>
      <c r="O441" s="110" t="str">
        <f>IFERROR(INDEX('WetLitterbags placem_collection'!$A$3:$A$500,MATCH(A441,'WetLitterbags placem_collection'!$O$4:$O$500,0)),"")</f>
        <v/>
      </c>
      <c r="P441" s="110">
        <f>IFERROR(INDEX('WetLitterbags placem_collection'!$A$3:$A$500,MATCH(A441,'WetLitterbags placem_collection'!$M$4:$M$500,0)),"")</f>
        <v>73</v>
      </c>
      <c r="Q441" s="110" t="str">
        <f>IFERROR(INDEX('WetLitterbags placem_collection'!$A$3:$A$500,MATCH(A441,'WetLitterbags placem_collection'!$Q$4:$Q$500,0)),"")</f>
        <v/>
      </c>
    </row>
    <row r="442" spans="1:17" ht="13.95" customHeight="1">
      <c r="A442" s="110" t="s">
        <v>1017</v>
      </c>
      <c r="B442" s="110">
        <v>161</v>
      </c>
      <c r="C442" s="110">
        <v>1.6863999999999999</v>
      </c>
      <c r="E442" s="112">
        <v>43125</v>
      </c>
      <c r="N442" s="110" t="str">
        <f>IFERROR(INDEX('WetLitterbags placem_collection'!$A$3:$A$500,MATCH(A442,'WetLitterbags placem_collection'!$K$4:$K$500,0)),"")</f>
        <v/>
      </c>
      <c r="O442" s="110" t="str">
        <f>IFERROR(INDEX('WetLitterbags placem_collection'!$A$3:$A$500,MATCH(A442,'WetLitterbags placem_collection'!$O$4:$O$500,0)),"")</f>
        <v/>
      </c>
      <c r="P442" s="110">
        <f>IFERROR(INDEX('WetLitterbags placem_collection'!$A$3:$A$500,MATCH(A442,'WetLitterbags placem_collection'!$M$4:$M$500,0)),"")</f>
        <v>160</v>
      </c>
      <c r="Q442" s="110" t="str">
        <f>IFERROR(INDEX('WetLitterbags placem_collection'!$A$3:$A$500,MATCH(A442,'WetLitterbags placem_collection'!$Q$4:$Q$500,0)),"")</f>
        <v/>
      </c>
    </row>
    <row r="443" spans="1:17" ht="13.95" customHeight="1">
      <c r="A443" s="110" t="s">
        <v>1016</v>
      </c>
      <c r="B443" s="110" t="s">
        <v>2077</v>
      </c>
      <c r="C443" s="110">
        <v>1.2266999999999999</v>
      </c>
      <c r="E443" s="112">
        <v>43116</v>
      </c>
      <c r="N443" s="110" t="str">
        <f>IFERROR(INDEX('WetLitterbags placem_collection'!$A$3:$A$500,MATCH(A443,'WetLitterbags placem_collection'!$K$4:$K$500,0)),"")</f>
        <v/>
      </c>
      <c r="O443" s="110" t="str">
        <f>IFERROR(INDEX('WetLitterbags placem_collection'!$A$3:$A$500,MATCH(A443,'WetLitterbags placem_collection'!$O$4:$O$500,0)),"")</f>
        <v/>
      </c>
      <c r="P443" s="110">
        <f>IFERROR(INDEX('WetLitterbags placem_collection'!$A$3:$A$500,MATCH(A443,'WetLitterbags placem_collection'!$M$4:$M$500,0)),"")</f>
        <v>192</v>
      </c>
      <c r="Q443" s="110" t="str">
        <f>IFERROR(INDEX('WetLitterbags placem_collection'!$A$3:$A$500,MATCH(A443,'WetLitterbags placem_collection'!$Q$4:$Q$500,0)),"")</f>
        <v/>
      </c>
    </row>
    <row r="444" spans="1:17" ht="13.95" customHeight="1">
      <c r="A444" s="110" t="s">
        <v>1015</v>
      </c>
      <c r="B444" s="110" t="s">
        <v>2057</v>
      </c>
      <c r="C444" s="110">
        <v>1.6180000000000001</v>
      </c>
      <c r="E444" s="112">
        <v>42881</v>
      </c>
      <c r="N444" s="110" t="str">
        <f>IFERROR(INDEX('WetLitterbags placem_collection'!$A$3:$A$500,MATCH(A444,'WetLitterbags placem_collection'!$K$4:$K$500,0)),"")</f>
        <v/>
      </c>
      <c r="O444" s="110" t="str">
        <f>IFERROR(INDEX('WetLitterbags placem_collection'!$A$3:$A$500,MATCH(A444,'WetLitterbags placem_collection'!$O$4:$O$500,0)),"")</f>
        <v/>
      </c>
      <c r="P444" s="110">
        <f>IFERROR(INDEX('WetLitterbags placem_collection'!$A$3:$A$500,MATCH(A444,'WetLitterbags placem_collection'!$M$4:$M$500,0)),"")</f>
        <v>35</v>
      </c>
      <c r="Q444" s="110" t="str">
        <f>IFERROR(INDEX('WetLitterbags placem_collection'!$A$3:$A$500,MATCH(A444,'WetLitterbags placem_collection'!$Q$4:$Q$500,0)),"")</f>
        <v/>
      </c>
    </row>
    <row r="445" spans="1:17" ht="13.95" customHeight="1">
      <c r="A445" s="167" t="s">
        <v>1013</v>
      </c>
      <c r="B445" s="110">
        <v>18</v>
      </c>
      <c r="C445" s="110">
        <v>1.79</v>
      </c>
      <c r="E445" s="112">
        <v>42879</v>
      </c>
      <c r="N445" s="110" t="str">
        <f>IFERROR(INDEX('WetLitterbags placem_collection'!$A$3:$A$500,MATCH(A445,'WetLitterbags placem_collection'!$K$4:$K$500,0)),"")</f>
        <v/>
      </c>
      <c r="O445" s="110" t="str">
        <f>IFERROR(INDEX('WetLitterbags placem_collection'!$A$3:$A$500,MATCH(A445,'WetLitterbags placem_collection'!$O$4:$O$500,0)),"")</f>
        <v/>
      </c>
      <c r="P445" s="110">
        <f>IFERROR(INDEX('WetLitterbags placem_collection'!$A$3:$A$500,MATCH(A445,'WetLitterbags placem_collection'!$M$4:$M$500,0)),"")</f>
        <v>17</v>
      </c>
      <c r="Q445" s="110" t="str">
        <f>IFERROR(INDEX('WetLitterbags placem_collection'!$A$3:$A$500,MATCH(A445,'WetLitterbags placem_collection'!$Q$4:$Q$500,0)),"")</f>
        <v/>
      </c>
    </row>
    <row r="446" spans="1:17" ht="13.95" customHeight="1">
      <c r="A446" t="s">
        <v>1012</v>
      </c>
      <c r="B446" s="110">
        <v>68</v>
      </c>
      <c r="C446" s="110">
        <v>1.885</v>
      </c>
      <c r="E446" s="112">
        <v>42879</v>
      </c>
      <c r="N446" s="110" t="str">
        <f>IFERROR(INDEX('WetLitterbags placem_collection'!$A$3:$A$500,MATCH(A446,'WetLitterbags placem_collection'!$K$4:$K$500,0)),"")</f>
        <v/>
      </c>
      <c r="O446" s="110" t="str">
        <f>IFERROR(INDEX('WetLitterbags placem_collection'!$A$3:$A$500,MATCH(A446,'WetLitterbags placem_collection'!$O$4:$O$500,0)),"")</f>
        <v/>
      </c>
      <c r="P446" s="110">
        <f>IFERROR(INDEX('WetLitterbags placem_collection'!$A$3:$A$500,MATCH(A446,'WetLitterbags placem_collection'!$M$4:$M$500,0)),"")</f>
        <v>67</v>
      </c>
      <c r="Q446" s="110" t="str">
        <f>IFERROR(INDEX('WetLitterbags placem_collection'!$A$3:$A$500,MATCH(A446,'WetLitterbags placem_collection'!$Q$4:$Q$500,0)),"")</f>
        <v/>
      </c>
    </row>
    <row r="447" spans="1:17" ht="13.95" customHeight="1">
      <c r="A447" s="110" t="s">
        <v>1011</v>
      </c>
      <c r="B447" s="110">
        <v>212</v>
      </c>
      <c r="C447" s="110">
        <v>1.6712</v>
      </c>
      <c r="E447" s="112">
        <v>43123</v>
      </c>
      <c r="N447" s="110" t="str">
        <f>IFERROR(INDEX('WetLitterbags placem_collection'!$A$3:$A$500,MATCH(A447,'WetLitterbags placem_collection'!$K$4:$K$500,0)),"")</f>
        <v/>
      </c>
      <c r="O447" s="110" t="str">
        <f>IFERROR(INDEX('WetLitterbags placem_collection'!$A$3:$A$500,MATCH(A447,'WetLitterbags placem_collection'!$O$4:$O$500,0)),"")</f>
        <v/>
      </c>
      <c r="P447" s="110" t="str">
        <f>IFERROR(INDEX('WetLitterbags placem_collection'!$A$3:$A$500,MATCH(A447,'WetLitterbags placem_collection'!$M$4:$M$500,0)),"")</f>
        <v/>
      </c>
      <c r="Q447" s="110">
        <f>IFERROR(INDEX('WetLitterbags placem_collection'!$A$3:$A$500,MATCH(A447,'WetLitterbags placem_collection'!$Q$4:$Q$500,0)),"")</f>
        <v>211</v>
      </c>
    </row>
    <row r="448" spans="1:17" ht="13.95" customHeight="1">
      <c r="A448" s="110" t="s">
        <v>1009</v>
      </c>
      <c r="B448" s="110">
        <v>23</v>
      </c>
      <c r="C448" s="110">
        <v>1.5238</v>
      </c>
      <c r="E448" s="112">
        <v>43123</v>
      </c>
      <c r="N448" s="110" t="str">
        <f>IFERROR(INDEX('WetLitterbags placem_collection'!$A$3:$A$500,MATCH(A448,'WetLitterbags placem_collection'!$K$4:$K$500,0)),"")</f>
        <v/>
      </c>
      <c r="O448" s="110" t="str">
        <f>IFERROR(INDEX('WetLitterbags placem_collection'!$A$3:$A$500,MATCH(A448,'WetLitterbags placem_collection'!$O$4:$O$500,0)),"")</f>
        <v/>
      </c>
      <c r="P448" s="110" t="str">
        <f>IFERROR(INDEX('WetLitterbags placem_collection'!$A$3:$A$500,MATCH(A448,'WetLitterbags placem_collection'!$M$4:$M$500,0)),"")</f>
        <v/>
      </c>
      <c r="Q448" s="110">
        <f>IFERROR(INDEX('WetLitterbags placem_collection'!$A$3:$A$500,MATCH(A448,'WetLitterbags placem_collection'!$Q$4:$Q$500,0)),"")</f>
        <v>22</v>
      </c>
    </row>
    <row r="449" spans="1:17" ht="13.95" customHeight="1">
      <c r="A449" s="110" t="s">
        <v>1008</v>
      </c>
      <c r="B449" s="110" t="s">
        <v>2077</v>
      </c>
      <c r="C449" s="110">
        <v>1.4104000000000001</v>
      </c>
      <c r="E449" s="112">
        <v>43122</v>
      </c>
      <c r="N449" s="110" t="str">
        <f>IFERROR(INDEX('WetLitterbags placem_collection'!$A$3:$A$500,MATCH(A449,'WetLitterbags placem_collection'!$K$4:$K$500,0)),"")</f>
        <v/>
      </c>
      <c r="O449" s="110" t="str">
        <f>IFERROR(INDEX('WetLitterbags placem_collection'!$A$3:$A$500,MATCH(A449,'WetLitterbags placem_collection'!$O$4:$O$500,0)),"")</f>
        <v/>
      </c>
      <c r="P449" s="110" t="str">
        <f>IFERROR(INDEX('WetLitterbags placem_collection'!$A$3:$A$500,MATCH(A449,'WetLitterbags placem_collection'!$M$4:$M$500,0)),"")</f>
        <v/>
      </c>
      <c r="Q449" s="110" t="str">
        <f>IFERROR(INDEX('WetLitterbags placem_collection'!$A$3:$A$500,MATCH(A449,'WetLitterbags placem_collection'!$Q$4:$Q$500,0)),"")</f>
        <v/>
      </c>
    </row>
    <row r="450" spans="1:17" ht="13.95" customHeight="1">
      <c r="A450" s="110" t="s">
        <v>1007</v>
      </c>
      <c r="B450" s="110">
        <v>83</v>
      </c>
      <c r="C450" s="110">
        <v>0.98799999999999999</v>
      </c>
      <c r="D450" s="110" t="s">
        <v>2058</v>
      </c>
      <c r="E450" s="112">
        <v>42881</v>
      </c>
      <c r="N450" s="110" t="str">
        <f>IFERROR(INDEX('WetLitterbags placem_collection'!$A$3:$A$500,MATCH(A450,'WetLitterbags placem_collection'!$K$4:$K$500,0)),"")</f>
        <v/>
      </c>
      <c r="O450" s="110" t="str">
        <f>IFERROR(INDEX('WetLitterbags placem_collection'!$A$3:$A$500,MATCH(A450,'WetLitterbags placem_collection'!$O$4:$O$500,0)),"")</f>
        <v/>
      </c>
      <c r="P450" s="110">
        <f>IFERROR(INDEX('WetLitterbags placem_collection'!$A$3:$A$500,MATCH(A450,'WetLitterbags placem_collection'!$M$4:$M$500,0)),"")</f>
        <v>82</v>
      </c>
      <c r="Q450" s="110" t="str">
        <f>IFERROR(INDEX('WetLitterbags placem_collection'!$A$3:$A$500,MATCH(A450,'WetLitterbags placem_collection'!$Q$4:$Q$500,0)),"")</f>
        <v/>
      </c>
    </row>
    <row r="451" spans="1:17" ht="13.95" customHeight="1">
      <c r="A451" s="110" t="s">
        <v>1006</v>
      </c>
      <c r="B451" s="110">
        <v>202</v>
      </c>
      <c r="C451" s="110">
        <v>1.6419999999999999</v>
      </c>
      <c r="E451" s="112">
        <v>42881</v>
      </c>
      <c r="N451" s="110" t="str">
        <f>IFERROR(INDEX('WetLitterbags placem_collection'!$A$3:$A$500,MATCH(A451,'WetLitterbags placem_collection'!$K$4:$K$500,0)),"")</f>
        <v/>
      </c>
      <c r="O451" s="110" t="str">
        <f>IFERROR(INDEX('WetLitterbags placem_collection'!$A$3:$A$500,MATCH(A451,'WetLitterbags placem_collection'!$O$4:$O$500,0)),"")</f>
        <v/>
      </c>
      <c r="P451" s="110">
        <f>IFERROR(INDEX('WetLitterbags placem_collection'!$A$3:$A$500,MATCH(A451,'WetLitterbags placem_collection'!$M$4:$M$500,0)),"")</f>
        <v>201</v>
      </c>
      <c r="Q451" s="110" t="str">
        <f>IFERROR(INDEX('WetLitterbags placem_collection'!$A$3:$A$500,MATCH(A451,'WetLitterbags placem_collection'!$Q$4:$Q$500,0)),"")</f>
        <v/>
      </c>
    </row>
    <row r="452" spans="1:17" ht="13.95" customHeight="1">
      <c r="A452" s="110" t="s">
        <v>1005</v>
      </c>
      <c r="B452" s="110" t="s">
        <v>2077</v>
      </c>
      <c r="C452" s="110">
        <v>1.6368</v>
      </c>
      <c r="E452" s="112">
        <v>43116</v>
      </c>
      <c r="N452" s="110" t="str">
        <f>IFERROR(INDEX('WetLitterbags placem_collection'!$A$3:$A$500,MATCH(A452,'WetLitterbags placem_collection'!$K$4:$K$500,0)),"")</f>
        <v/>
      </c>
      <c r="O452" s="110" t="str">
        <f>IFERROR(INDEX('WetLitterbags placem_collection'!$A$3:$A$500,MATCH(A452,'WetLitterbags placem_collection'!$O$4:$O$500,0)),"")</f>
        <v/>
      </c>
      <c r="P452" s="110" t="str">
        <f>IFERROR(INDEX('WetLitterbags placem_collection'!$A$3:$A$500,MATCH(A452,'WetLitterbags placem_collection'!$M$4:$M$500,0)),"")</f>
        <v/>
      </c>
      <c r="Q452" s="110">
        <f>IFERROR(INDEX('WetLitterbags placem_collection'!$A$3:$A$500,MATCH(A452,'WetLitterbags placem_collection'!$Q$4:$Q$500,0)),"")</f>
        <v>92</v>
      </c>
    </row>
    <row r="453" spans="1:17" ht="13.95" customHeight="1">
      <c r="A453" s="110" t="s">
        <v>1004</v>
      </c>
      <c r="B453" s="110">
        <v>77</v>
      </c>
      <c r="C453" s="110">
        <v>1.698</v>
      </c>
      <c r="E453" s="112">
        <v>42879</v>
      </c>
      <c r="N453" s="110" t="str">
        <f>IFERROR(INDEX('WetLitterbags placem_collection'!$A$3:$A$500,MATCH(A453,'WetLitterbags placem_collection'!$K$4:$K$500,0)),"")</f>
        <v/>
      </c>
      <c r="O453" s="110" t="str">
        <f>IFERROR(INDEX('WetLitterbags placem_collection'!$A$3:$A$500,MATCH(A453,'WetLitterbags placem_collection'!$O$4:$O$500,0)),"")</f>
        <v/>
      </c>
      <c r="P453" s="110">
        <f>IFERROR(INDEX('WetLitterbags placem_collection'!$A$3:$A$500,MATCH(A453,'WetLitterbags placem_collection'!$M$4:$M$500,0)),"")</f>
        <v>76</v>
      </c>
      <c r="Q453" s="110" t="str">
        <f>IFERROR(INDEX('WetLitterbags placem_collection'!$A$3:$A$500,MATCH(A453,'WetLitterbags placem_collection'!$Q$4:$Q$500,0)),"")</f>
        <v/>
      </c>
    </row>
    <row r="454" spans="1:17" ht="13.95" customHeight="1">
      <c r="A454" t="s">
        <v>1003</v>
      </c>
      <c r="B454" s="110">
        <v>74</v>
      </c>
      <c r="C454" s="110">
        <v>1.6850000000000001</v>
      </c>
      <c r="D454" s="110" t="s">
        <v>2074</v>
      </c>
      <c r="E454" s="112">
        <v>42879</v>
      </c>
      <c r="N454" s="110" t="str">
        <f>IFERROR(INDEX('WetLitterbags placem_collection'!$A$3:$A$500,MATCH(A454,'WetLitterbags placem_collection'!$K$4:$K$500,0)),"")</f>
        <v/>
      </c>
      <c r="O454" s="110" t="str">
        <f>IFERROR(INDEX('WetLitterbags placem_collection'!$A$3:$A$500,MATCH(A454,'WetLitterbags placem_collection'!$O$4:$O$500,0)),"")</f>
        <v/>
      </c>
      <c r="P454" s="110" t="str">
        <f>IFERROR(INDEX('WetLitterbags placem_collection'!$A$3:$A$500,MATCH(A454,'WetLitterbags placem_collection'!$M$4:$M$500,0)),"")</f>
        <v/>
      </c>
      <c r="Q454" s="110">
        <f>IFERROR(INDEX('WetLitterbags placem_collection'!$A$3:$A$500,MATCH(A454,'WetLitterbags placem_collection'!$Q$4:$Q$500,0)),"")</f>
        <v>73</v>
      </c>
    </row>
    <row r="455" spans="1:17" ht="13.95" customHeight="1">
      <c r="A455" s="110" t="s">
        <v>1002</v>
      </c>
      <c r="B455" s="110" t="s">
        <v>2077</v>
      </c>
      <c r="C455" s="110">
        <v>1.6255999999999999</v>
      </c>
      <c r="E455" s="112">
        <v>43116</v>
      </c>
      <c r="N455" s="110" t="str">
        <f>IFERROR(INDEX('WetLitterbags placem_collection'!$A$3:$A$500,MATCH(A455,'WetLitterbags placem_collection'!$K$4:$K$500,0)),"")</f>
        <v/>
      </c>
      <c r="O455" s="110" t="str">
        <f>IFERROR(INDEX('WetLitterbags placem_collection'!$A$3:$A$500,MATCH(A455,'WetLitterbags placem_collection'!$O$4:$O$500,0)),"")</f>
        <v/>
      </c>
      <c r="P455" s="110" t="str">
        <f>IFERROR(INDEX('WetLitterbags placem_collection'!$A$3:$A$500,MATCH(A455,'WetLitterbags placem_collection'!$M$4:$M$500,0)),"")</f>
        <v/>
      </c>
      <c r="Q455" s="110">
        <f>IFERROR(INDEX('WetLitterbags placem_collection'!$A$3:$A$500,MATCH(A455,'WetLitterbags placem_collection'!$Q$4:$Q$500,0)),"")</f>
        <v>203</v>
      </c>
    </row>
    <row r="456" spans="1:17" ht="13.95" customHeight="1">
      <c r="A456" s="110" t="s">
        <v>1127</v>
      </c>
      <c r="B456" s="110" t="s">
        <v>2077</v>
      </c>
      <c r="C456" s="110">
        <v>1.5603</v>
      </c>
      <c r="E456" s="112">
        <v>43116</v>
      </c>
      <c r="N456" s="110" t="str">
        <f>IFERROR(INDEX('WetLitterbags placem_collection'!$A$3:$A$500,MATCH(A456,'WetLitterbags placem_collection'!$K$4:$K$500,0)),"")</f>
        <v/>
      </c>
      <c r="O456" s="110" t="str">
        <f>IFERROR(INDEX('WetLitterbags placem_collection'!$A$3:$A$500,MATCH(A456,'WetLitterbags placem_collection'!$O$4:$O$500,0)),"")</f>
        <v/>
      </c>
      <c r="P456" s="110" t="str">
        <f>IFERROR(INDEX('WetLitterbags placem_collection'!$A$3:$A$500,MATCH(A456,'WetLitterbags placem_collection'!$M$4:$M$500,0)),"")</f>
        <v/>
      </c>
      <c r="Q456" s="110">
        <f>IFERROR(INDEX('WetLitterbags placem_collection'!$A$3:$A$500,MATCH(A456,'WetLitterbags placem_collection'!$Q$4:$Q$500,0)),"")</f>
        <v>71</v>
      </c>
    </row>
    <row r="457" spans="1:17" ht="13.95" customHeight="1">
      <c r="A457" s="110" t="s">
        <v>1000</v>
      </c>
      <c r="B457" s="110" t="s">
        <v>2077</v>
      </c>
      <c r="C457" s="110">
        <v>1.3197000000000001</v>
      </c>
      <c r="E457" s="112">
        <v>43122</v>
      </c>
      <c r="N457" s="110" t="str">
        <f>IFERROR(INDEX('WetLitterbags placem_collection'!$A$3:$A$500,MATCH(A457,'WetLitterbags placem_collection'!$K$4:$K$500,0)),"")</f>
        <v/>
      </c>
      <c r="O457" s="110" t="str">
        <f>IFERROR(INDEX('WetLitterbags placem_collection'!$A$3:$A$500,MATCH(A457,'WetLitterbags placem_collection'!$O$4:$O$500,0)),"")</f>
        <v/>
      </c>
      <c r="P457" s="110">
        <f>IFERROR(INDEX('WetLitterbags placem_collection'!$A$3:$A$500,MATCH(A457,'WetLitterbags placem_collection'!$M$4:$M$500,0)),"")</f>
        <v>30</v>
      </c>
      <c r="Q457" s="110" t="str">
        <f>IFERROR(INDEX('WetLitterbags placem_collection'!$A$3:$A$500,MATCH(A457,'WetLitterbags placem_collection'!$Q$4:$Q$500,0)),"")</f>
        <v/>
      </c>
    </row>
    <row r="458" spans="1:17" ht="13.95" customHeight="1">
      <c r="A458" s="168" t="s">
        <v>999</v>
      </c>
      <c r="B458" s="110">
        <v>209</v>
      </c>
      <c r="C458" s="110">
        <v>1.5780000000000001</v>
      </c>
      <c r="E458" s="112">
        <v>42878</v>
      </c>
      <c r="N458" s="110" t="str">
        <f>IFERROR(INDEX('WetLitterbags placem_collection'!$A$3:$A$500,MATCH(A458,'WetLitterbags placem_collection'!$K$4:$K$500,0)),"")</f>
        <v/>
      </c>
      <c r="O458" s="110" t="str">
        <f>IFERROR(INDEX('WetLitterbags placem_collection'!$A$3:$A$500,MATCH(A458,'WetLitterbags placem_collection'!$O$4:$O$500,0)),"")</f>
        <v/>
      </c>
      <c r="P458" s="110" t="str">
        <f>IFERROR(INDEX('WetLitterbags placem_collection'!$A$3:$A$500,MATCH(A458,'WetLitterbags placem_collection'!$M$4:$M$500,0)),"")</f>
        <v/>
      </c>
      <c r="Q458" s="110">
        <f>IFERROR(INDEX('WetLitterbags placem_collection'!$A$3:$A$500,MATCH(A458,'WetLitterbags placem_collection'!$Q$4:$Q$500,0)),"")</f>
        <v>208</v>
      </c>
    </row>
    <row r="459" spans="1:17" ht="13.95" customHeight="1">
      <c r="A459" s="110" t="s">
        <v>998</v>
      </c>
      <c r="B459" s="110">
        <v>61</v>
      </c>
      <c r="C459" s="110">
        <v>1.581</v>
      </c>
      <c r="E459" s="112">
        <v>42878</v>
      </c>
      <c r="N459" s="110" t="str">
        <f>IFERROR(INDEX('WetLitterbags placem_collection'!$A$3:$A$500,MATCH(A459,'WetLitterbags placem_collection'!$K$4:$K$500,0)),"")</f>
        <v/>
      </c>
      <c r="O459" s="110" t="str">
        <f>IFERROR(INDEX('WetLitterbags placem_collection'!$A$3:$A$500,MATCH(A459,'WetLitterbags placem_collection'!$O$4:$O$500,0)),"")</f>
        <v/>
      </c>
      <c r="P459" s="110" t="str">
        <f>IFERROR(INDEX('WetLitterbags placem_collection'!$A$3:$A$500,MATCH(A459,'WetLitterbags placem_collection'!$M$4:$M$500,0)),"")</f>
        <v/>
      </c>
      <c r="Q459" s="110">
        <f>IFERROR(INDEX('WetLitterbags placem_collection'!$A$3:$A$500,MATCH(A459,'WetLitterbags placem_collection'!$Q$4:$Q$500,0)),"")</f>
        <v>60</v>
      </c>
    </row>
    <row r="460" spans="1:17" ht="13.95" customHeight="1">
      <c r="A460" s="110" t="s">
        <v>997</v>
      </c>
      <c r="B460" s="110">
        <v>24</v>
      </c>
      <c r="C460" s="110">
        <v>1.6077999999999999</v>
      </c>
      <c r="E460" s="112">
        <v>43116</v>
      </c>
      <c r="N460" s="110" t="str">
        <f>IFERROR(INDEX('WetLitterbags placem_collection'!$A$3:$A$500,MATCH(A460,'WetLitterbags placem_collection'!$K$4:$K$500,0)),"")</f>
        <v/>
      </c>
      <c r="O460" s="110" t="str">
        <f>IFERROR(INDEX('WetLitterbags placem_collection'!$A$3:$A$500,MATCH(A460,'WetLitterbags placem_collection'!$O$4:$O$500,0)),"")</f>
        <v/>
      </c>
      <c r="P460" s="110">
        <f>IFERROR(INDEX('WetLitterbags placem_collection'!$A$3:$A$500,MATCH(A460,'WetLitterbags placem_collection'!$M$4:$M$500,0)),"")</f>
        <v>23</v>
      </c>
      <c r="Q460" s="110" t="str">
        <f>IFERROR(INDEX('WetLitterbags placem_collection'!$A$3:$A$500,MATCH(A460,'WetLitterbags placem_collection'!$Q$4:$Q$500,0)),"")</f>
        <v/>
      </c>
    </row>
    <row r="461" spans="1:17" ht="13.95" customHeight="1">
      <c r="A461" s="110" t="s">
        <v>996</v>
      </c>
      <c r="B461" s="110" t="s">
        <v>2077</v>
      </c>
      <c r="C461" s="110">
        <v>1.5481</v>
      </c>
      <c r="E461" s="112">
        <v>43122</v>
      </c>
      <c r="N461" s="110" t="str">
        <f>IFERROR(INDEX('WetLitterbags placem_collection'!$A$3:$A$500,MATCH(A461,'WetLitterbags placem_collection'!$K$4:$K$500,0)),"")</f>
        <v/>
      </c>
      <c r="O461" s="110" t="str">
        <f>IFERROR(INDEX('WetLitterbags placem_collection'!$A$3:$A$500,MATCH(A461,'WetLitterbags placem_collection'!$O$4:$O$500,0)),"")</f>
        <v/>
      </c>
      <c r="P461" s="110">
        <f>IFERROR(INDEX('WetLitterbags placem_collection'!$A$3:$A$500,MATCH(A461,'WetLitterbags placem_collection'!$M$4:$M$500,0)),"")</f>
        <v>214</v>
      </c>
      <c r="Q461" s="110" t="str">
        <f>IFERROR(INDEX('WetLitterbags placem_collection'!$A$3:$A$500,MATCH(A461,'WetLitterbags placem_collection'!$Q$4:$Q$500,0)),"")</f>
        <v/>
      </c>
    </row>
    <row r="462" spans="1:17" ht="13.95" customHeight="1">
      <c r="A462" s="110" t="s">
        <v>995</v>
      </c>
      <c r="B462" s="110" t="s">
        <v>2057</v>
      </c>
      <c r="C462" s="110">
        <v>1.651</v>
      </c>
      <c r="E462" s="112">
        <v>42881</v>
      </c>
      <c r="N462" s="110" t="str">
        <f>IFERROR(INDEX('WetLitterbags placem_collection'!$A$3:$A$500,MATCH(A462,'WetLitterbags placem_collection'!$K$4:$K$500,0)),"")</f>
        <v/>
      </c>
      <c r="O462" s="110" t="str">
        <f>IFERROR(INDEX('WetLitterbags placem_collection'!$A$3:$A$500,MATCH(A462,'WetLitterbags placem_collection'!$O$4:$O$500,0)),"")</f>
        <v/>
      </c>
      <c r="P462" s="110">
        <f>IFERROR(INDEX('WetLitterbags placem_collection'!$A$3:$A$500,MATCH(A462,'WetLitterbags placem_collection'!$M$4:$M$500,0)),"")</f>
        <v>46</v>
      </c>
      <c r="Q462" s="110" t="str">
        <f>IFERROR(INDEX('WetLitterbags placem_collection'!$A$3:$A$500,MATCH(A462,'WetLitterbags placem_collection'!$Q$4:$Q$500,0)),"")</f>
        <v/>
      </c>
    </row>
    <row r="463" spans="1:17" ht="13.95" customHeight="1">
      <c r="A463" s="110" t="s">
        <v>994</v>
      </c>
      <c r="B463" s="110">
        <v>38</v>
      </c>
      <c r="C463" s="110">
        <v>1.381</v>
      </c>
      <c r="E463" s="112">
        <v>42881</v>
      </c>
      <c r="N463" s="110" t="str">
        <f>IFERROR(INDEX('WetLitterbags placem_collection'!$A$3:$A$500,MATCH(A463,'WetLitterbags placem_collection'!$K$4:$K$500,0)),"")</f>
        <v/>
      </c>
      <c r="O463" s="110" t="str">
        <f>IFERROR(INDEX('WetLitterbags placem_collection'!$A$3:$A$500,MATCH(A463,'WetLitterbags placem_collection'!$O$4:$O$500,0)),"")</f>
        <v/>
      </c>
      <c r="P463" s="110" t="str">
        <f>IFERROR(INDEX('WetLitterbags placem_collection'!$A$3:$A$500,MATCH(A463,'WetLitterbags placem_collection'!$M$4:$M$500,0)),"")</f>
        <v/>
      </c>
      <c r="Q463" s="110">
        <f>IFERROR(INDEX('WetLitterbags placem_collection'!$A$3:$A$500,MATCH(A463,'WetLitterbags placem_collection'!$Q$4:$Q$500,0)),"")</f>
        <v>37</v>
      </c>
    </row>
    <row r="464" spans="1:17" ht="13.95" customHeight="1">
      <c r="A464" s="110" t="s">
        <v>993</v>
      </c>
      <c r="B464" s="110" t="s">
        <v>2077</v>
      </c>
      <c r="C464" s="110">
        <v>1.5741000000000001</v>
      </c>
      <c r="E464" s="112">
        <v>43122</v>
      </c>
      <c r="N464" s="110" t="str">
        <f>IFERROR(INDEX('WetLitterbags placem_collection'!$A$3:$A$500,MATCH(A464,'WetLitterbags placem_collection'!$K$4:$K$500,0)),"")</f>
        <v/>
      </c>
      <c r="O464" s="110" t="str">
        <f>IFERROR(INDEX('WetLitterbags placem_collection'!$A$3:$A$500,MATCH(A464,'WetLitterbags placem_collection'!$O$4:$O$500,0)),"")</f>
        <v/>
      </c>
      <c r="P464" s="110">
        <f>IFERROR(INDEX('WetLitterbags placem_collection'!$A$3:$A$500,MATCH(A464,'WetLitterbags placem_collection'!$M$4:$M$500,0)),"")</f>
        <v>25</v>
      </c>
      <c r="Q464" s="110" t="str">
        <f>IFERROR(INDEX('WetLitterbags placem_collection'!$A$3:$A$500,MATCH(A464,'WetLitterbags placem_collection'!$Q$4:$Q$500,0)),"")</f>
        <v/>
      </c>
    </row>
    <row r="465" spans="1:17" ht="13.95" customHeight="1">
      <c r="A465" s="110" t="s">
        <v>992</v>
      </c>
      <c r="B465" s="113">
        <v>206</v>
      </c>
      <c r="C465" s="110">
        <v>1.401</v>
      </c>
      <c r="E465" s="112">
        <v>42879</v>
      </c>
      <c r="N465" s="110" t="str">
        <f>IFERROR(INDEX('WetLitterbags placem_collection'!$A$3:$A$500,MATCH(A465,'WetLitterbags placem_collection'!$K$4:$K$500,0)),"")</f>
        <v/>
      </c>
      <c r="O465" s="110" t="str">
        <f>IFERROR(INDEX('WetLitterbags placem_collection'!$A$3:$A$500,MATCH(A465,'WetLitterbags placem_collection'!$O$4:$O$500,0)),"")</f>
        <v/>
      </c>
      <c r="P465" s="110" t="str">
        <f>IFERROR(INDEX('WetLitterbags placem_collection'!$A$3:$A$500,MATCH(A465,'WetLitterbags placem_collection'!$M$4:$M$500,0)),"")</f>
        <v/>
      </c>
      <c r="Q465" s="110">
        <f>IFERROR(INDEX('WetLitterbags placem_collection'!$A$3:$A$500,MATCH(A465,'WetLitterbags placem_collection'!$Q$4:$Q$500,0)),"")</f>
        <v>206</v>
      </c>
    </row>
    <row r="466" spans="1:17" ht="13.95" customHeight="1">
      <c r="A466" s="110" t="s">
        <v>1126</v>
      </c>
      <c r="B466" s="110">
        <v>144</v>
      </c>
      <c r="C466" s="110">
        <v>1.7290000000000001</v>
      </c>
      <c r="E466" s="112">
        <v>42881</v>
      </c>
      <c r="N466" s="110" t="str">
        <f>IFERROR(INDEX('WetLitterbags placem_collection'!$A$3:$A$500,MATCH(A466,'WetLitterbags placem_collection'!$K$4:$K$500,0)),"")</f>
        <v/>
      </c>
      <c r="O466" s="110" t="str">
        <f>IFERROR(INDEX('WetLitterbags placem_collection'!$A$3:$A$500,MATCH(A466,'WetLitterbags placem_collection'!$O$4:$O$500,0)),"")</f>
        <v/>
      </c>
      <c r="P466" s="110" t="str">
        <f>IFERROR(INDEX('WetLitterbags placem_collection'!$A$3:$A$500,MATCH(A466,'WetLitterbags placem_collection'!$M$4:$M$500,0)),"")</f>
        <v/>
      </c>
      <c r="Q466" s="110">
        <f>IFERROR(INDEX('WetLitterbags placem_collection'!$A$3:$A$500,MATCH(A466,'WetLitterbags placem_collection'!$Q$4:$Q$500,0)),"")</f>
        <v>143</v>
      </c>
    </row>
    <row r="467" spans="1:17" ht="13.95" customHeight="1">
      <c r="A467" s="110" t="s">
        <v>991</v>
      </c>
      <c r="B467" s="110" t="s">
        <v>2077</v>
      </c>
      <c r="C467" s="110">
        <v>0.21360000000000001</v>
      </c>
      <c r="D467" s="110" t="s">
        <v>2113</v>
      </c>
      <c r="E467" s="112">
        <v>43122</v>
      </c>
      <c r="N467" s="110" t="str">
        <f>IFERROR(INDEX('WetLitterbags placem_collection'!$A$3:$A$500,MATCH(A467,'WetLitterbags placem_collection'!$K$4:$K$500,0)),"")</f>
        <v/>
      </c>
      <c r="O467" s="110" t="str">
        <f>IFERROR(INDEX('WetLitterbags placem_collection'!$A$3:$A$500,MATCH(A467,'WetLitterbags placem_collection'!$O$4:$O$500,0)),"")</f>
        <v/>
      </c>
      <c r="P467" s="110">
        <f>IFERROR(INDEX('WetLitterbags placem_collection'!$A$3:$A$500,MATCH(A467,'WetLitterbags placem_collection'!$M$4:$M$500,0)),"")</f>
        <v>65</v>
      </c>
      <c r="Q467" s="110" t="str">
        <f>IFERROR(INDEX('WetLitterbags placem_collection'!$A$3:$A$500,MATCH(A467,'WetLitterbags placem_collection'!$Q$4:$Q$500,0)),"")</f>
        <v/>
      </c>
    </row>
    <row r="468" spans="1:17" ht="13.95" customHeight="1">
      <c r="A468" s="110" t="s">
        <v>990</v>
      </c>
      <c r="B468">
        <v>70</v>
      </c>
      <c r="C468" s="110">
        <v>1.536</v>
      </c>
      <c r="E468" s="112">
        <v>42878</v>
      </c>
      <c r="N468" s="110" t="str">
        <f>IFERROR(INDEX('WetLitterbags placem_collection'!$A$3:$A$500,MATCH(A468,'WetLitterbags placem_collection'!$K$4:$K$500,0)),"")</f>
        <v/>
      </c>
      <c r="O468" s="110" t="str">
        <f>IFERROR(INDEX('WetLitterbags placem_collection'!$A$3:$A$500,MATCH(A468,'WetLitterbags placem_collection'!$O$4:$O$500,0)),"")</f>
        <v/>
      </c>
      <c r="P468" s="110">
        <f>IFERROR(INDEX('WetLitterbags placem_collection'!$A$3:$A$500,MATCH(A468,'WetLitterbags placem_collection'!$M$4:$M$500,0)),"")</f>
        <v>69</v>
      </c>
      <c r="Q468" s="110" t="str">
        <f>IFERROR(INDEX('WetLitterbags placem_collection'!$A$3:$A$500,MATCH(A468,'WetLitterbags placem_collection'!$Q$4:$Q$500,0)),"")</f>
        <v/>
      </c>
    </row>
    <row r="469" spans="1:17" ht="13.95" customHeight="1">
      <c r="A469" s="110" t="s">
        <v>988</v>
      </c>
      <c r="B469" s="110">
        <v>34</v>
      </c>
      <c r="C469" s="110">
        <v>0.34520000000000001</v>
      </c>
      <c r="D469" s="110" t="s">
        <v>2084</v>
      </c>
      <c r="E469" s="112">
        <v>43125</v>
      </c>
      <c r="N469" s="110" t="str">
        <f>IFERROR(INDEX('WetLitterbags placem_collection'!$A$3:$A$500,MATCH(A469,'WetLitterbags placem_collection'!$K$4:$K$500,0)),"")</f>
        <v/>
      </c>
      <c r="O469" s="110" t="str">
        <f>IFERROR(INDEX('WetLitterbags placem_collection'!$A$3:$A$500,MATCH(A469,'WetLitterbags placem_collection'!$O$4:$O$500,0)),"")</f>
        <v/>
      </c>
      <c r="P469" s="110">
        <f>IFERROR(INDEX('WetLitterbags placem_collection'!$A$3:$A$500,MATCH(A469,'WetLitterbags placem_collection'!$M$4:$M$500,0)),"")</f>
        <v>33</v>
      </c>
      <c r="Q469" s="110" t="str">
        <f>IFERROR(INDEX('WetLitterbags placem_collection'!$A$3:$A$500,MATCH(A469,'WetLitterbags placem_collection'!$Q$4:$Q$500,0)),"")</f>
        <v/>
      </c>
    </row>
    <row r="470" spans="1:17" ht="13.95" customHeight="1">
      <c r="A470" s="110" t="s">
        <v>987</v>
      </c>
      <c r="B470" s="110" t="s">
        <v>2077</v>
      </c>
      <c r="C470" s="110">
        <v>1.421</v>
      </c>
      <c r="E470" s="112">
        <v>43122</v>
      </c>
      <c r="N470" s="110" t="str">
        <f>IFERROR(INDEX('WetLitterbags placem_collection'!$A$3:$A$500,MATCH(A470,'WetLitterbags placem_collection'!$K$4:$K$500,0)),"")</f>
        <v/>
      </c>
      <c r="O470" s="110" t="str">
        <f>IFERROR(INDEX('WetLitterbags placem_collection'!$A$3:$A$500,MATCH(A470,'WetLitterbags placem_collection'!$O$4:$O$500,0)),"")</f>
        <v/>
      </c>
      <c r="P470" s="110" t="str">
        <f>IFERROR(INDEX('WetLitterbags placem_collection'!$A$3:$A$500,MATCH(A470,'WetLitterbags placem_collection'!$M$4:$M$500,0)),"")</f>
        <v/>
      </c>
      <c r="Q470" s="110">
        <f>IFERROR(INDEX('WetLitterbags placem_collection'!$A$3:$A$500,MATCH(A470,'WetLitterbags placem_collection'!$Q$4:$Q$500,0)),"")</f>
        <v>15</v>
      </c>
    </row>
    <row r="471" spans="1:17" ht="13.95" customHeight="1">
      <c r="A471" s="110" t="s">
        <v>986</v>
      </c>
      <c r="B471" s="110" t="s">
        <v>2077</v>
      </c>
      <c r="C471" s="110">
        <v>1.5909</v>
      </c>
      <c r="E471" s="112">
        <v>43119</v>
      </c>
      <c r="N471" s="110" t="str">
        <f>IFERROR(INDEX('WetLitterbags placem_collection'!$A$3:$A$500,MATCH(A471,'WetLitterbags placem_collection'!$K$4:$K$500,0)),"")</f>
        <v/>
      </c>
      <c r="O471" s="110" t="str">
        <f>IFERROR(INDEX('WetLitterbags placem_collection'!$A$3:$A$500,MATCH(A471,'WetLitterbags placem_collection'!$O$4:$O$500,0)),"")</f>
        <v/>
      </c>
      <c r="P471" s="110" t="str">
        <f>IFERROR(INDEX('WetLitterbags placem_collection'!$A$3:$A$500,MATCH(A471,'WetLitterbags placem_collection'!$M$4:$M$500,0)),"")</f>
        <v/>
      </c>
      <c r="Q471" s="110">
        <f>IFERROR(INDEX('WetLitterbags placem_collection'!$A$3:$A$500,MATCH(A471,'WetLitterbags placem_collection'!$Q$4:$Q$500,0)),"")</f>
        <v>48</v>
      </c>
    </row>
    <row r="472" spans="1:17" ht="13.95" customHeight="1">
      <c r="A472" s="110" t="s">
        <v>985</v>
      </c>
      <c r="B472" s="110" t="s">
        <v>2077</v>
      </c>
      <c r="C472" s="110">
        <v>1.2625999999999999</v>
      </c>
      <c r="E472" s="112">
        <v>43122</v>
      </c>
      <c r="N472" s="110" t="str">
        <f>IFERROR(INDEX('WetLitterbags placem_collection'!$A$3:$A$500,MATCH(A472,'WetLitterbags placem_collection'!$K$4:$K$500,0)),"")</f>
        <v/>
      </c>
      <c r="O472" s="110" t="str">
        <f>IFERROR(INDEX('WetLitterbags placem_collection'!$A$3:$A$500,MATCH(A472,'WetLitterbags placem_collection'!$O$4:$O$500,0)),"")</f>
        <v/>
      </c>
      <c r="P472" s="110" t="str">
        <f>IFERROR(INDEX('WetLitterbags placem_collection'!$A$3:$A$500,MATCH(A472,'WetLitterbags placem_collection'!$M$4:$M$500,0)),"")</f>
        <v/>
      </c>
      <c r="Q472" s="110">
        <f>IFERROR(INDEX('WetLitterbags placem_collection'!$A$3:$A$500,MATCH(A472,'WetLitterbags placem_collection'!$Q$4:$Q$500,0)),"")</f>
        <v>31</v>
      </c>
    </row>
    <row r="473" spans="1:17" ht="13.95" customHeight="1">
      <c r="A473" s="110" t="s">
        <v>984</v>
      </c>
      <c r="B473" s="110">
        <v>172</v>
      </c>
      <c r="C473" s="110">
        <f>1.6466+0.0316</f>
        <v>1.6782000000000001</v>
      </c>
      <c r="E473" s="112">
        <v>43123</v>
      </c>
      <c r="N473" s="110" t="str">
        <f>IFERROR(INDEX('WetLitterbags placem_collection'!$A$3:$A$500,MATCH(A473,'WetLitterbags placem_collection'!$K$4:$K$500,0)),"")</f>
        <v/>
      </c>
      <c r="O473" s="110" t="str">
        <f>IFERROR(INDEX('WetLitterbags placem_collection'!$A$3:$A$500,MATCH(A473,'WetLitterbags placem_collection'!$O$4:$O$500,0)),"")</f>
        <v/>
      </c>
      <c r="P473" s="110">
        <f>IFERROR(INDEX('WetLitterbags placem_collection'!$A$3:$A$500,MATCH(A473,'WetLitterbags placem_collection'!$M$4:$M$500,0)),"")</f>
        <v>171</v>
      </c>
      <c r="Q473" s="110" t="str">
        <f>IFERROR(INDEX('WetLitterbags placem_collection'!$A$3:$A$500,MATCH(A473,'WetLitterbags placem_collection'!$Q$4:$Q$500,0)),"")</f>
        <v/>
      </c>
    </row>
    <row r="474" spans="1:17" ht="13.95" customHeight="1">
      <c r="A474" s="110" t="s">
        <v>982</v>
      </c>
      <c r="B474" s="110">
        <v>64</v>
      </c>
      <c r="C474" s="110">
        <v>1.3160000000000001</v>
      </c>
      <c r="D474" s="110" t="s">
        <v>2140</v>
      </c>
      <c r="E474" s="112">
        <v>42878</v>
      </c>
      <c r="N474" s="110" t="str">
        <f>IFERROR(INDEX('WetLitterbags placem_collection'!$A$3:$A$500,MATCH(A474,'WetLitterbags placem_collection'!$K$4:$K$500,0)),"")</f>
        <v/>
      </c>
      <c r="O474" s="110" t="str">
        <f>IFERROR(INDEX('WetLitterbags placem_collection'!$A$3:$A$500,MATCH(A474,'WetLitterbags placem_collection'!$O$4:$O$500,0)),"")</f>
        <v/>
      </c>
      <c r="P474" s="110">
        <f>IFERROR(INDEX('WetLitterbags placem_collection'!$A$3:$A$500,MATCH(A474,'WetLitterbags placem_collection'!$M$4:$M$500,0)),"")</f>
        <v>63</v>
      </c>
      <c r="Q474" s="110" t="str">
        <f>IFERROR(INDEX('WetLitterbags placem_collection'!$A$3:$A$500,MATCH(A474,'WetLitterbags placem_collection'!$Q$4:$Q$500,0)),"")</f>
        <v/>
      </c>
    </row>
    <row r="475" spans="1:17" ht="13.95" customHeight="1">
      <c r="A475" s="110" t="s">
        <v>1125</v>
      </c>
      <c r="B475" s="110">
        <v>158</v>
      </c>
      <c r="C475" s="110">
        <v>1.786</v>
      </c>
      <c r="D475" s="110" t="s">
        <v>2051</v>
      </c>
      <c r="E475" s="112">
        <v>42879</v>
      </c>
      <c r="N475" s="110" t="str">
        <f>IFERROR(INDEX('WetLitterbags placem_collection'!$A$3:$A$500,MATCH(A475,'WetLitterbags placem_collection'!$K$4:$K$500,0)),"")</f>
        <v/>
      </c>
      <c r="O475" s="110" t="str">
        <f>IFERROR(INDEX('WetLitterbags placem_collection'!$A$3:$A$500,MATCH(A475,'WetLitterbags placem_collection'!$O$4:$O$500,0)),"")</f>
        <v/>
      </c>
      <c r="P475" s="110">
        <f>IFERROR(INDEX('WetLitterbags placem_collection'!$A$3:$A$500,MATCH(A475,'WetLitterbags placem_collection'!$M$4:$M$500,0)),"")</f>
        <v>157</v>
      </c>
      <c r="Q475" s="110" t="str">
        <f>IFERROR(INDEX('WetLitterbags placem_collection'!$A$3:$A$500,MATCH(A475,'WetLitterbags placem_collection'!$Q$4:$Q$500,0)),"")</f>
        <v/>
      </c>
    </row>
    <row r="476" spans="1:17" ht="13.95" customHeight="1">
      <c r="A476" s="110" t="s">
        <v>980</v>
      </c>
      <c r="B476" s="110">
        <v>57</v>
      </c>
      <c r="C476" s="110">
        <v>1.266</v>
      </c>
      <c r="D476" s="110" t="s">
        <v>2092</v>
      </c>
      <c r="E476" s="112">
        <v>43125</v>
      </c>
      <c r="N476" s="110" t="str">
        <f>IFERROR(INDEX('WetLitterbags placem_collection'!$A$3:$A$500,MATCH(A476,'WetLitterbags placem_collection'!$K$4:$K$500,0)),"")</f>
        <v/>
      </c>
      <c r="O476" s="110" t="str">
        <f>IFERROR(INDEX('WetLitterbags placem_collection'!$A$3:$A$500,MATCH(A476,'WetLitterbags placem_collection'!$O$4:$O$500,0)),"")</f>
        <v/>
      </c>
      <c r="P476" s="110">
        <f>IFERROR(INDEX('WetLitterbags placem_collection'!$A$3:$A$500,MATCH(A476,'WetLitterbags placem_collection'!$M$4:$M$500,0)),"")</f>
        <v>56</v>
      </c>
      <c r="Q476" s="110" t="str">
        <f>IFERROR(INDEX('WetLitterbags placem_collection'!$A$3:$A$500,MATCH(A476,'WetLitterbags placem_collection'!$Q$4:$Q$500,0)),"")</f>
        <v/>
      </c>
    </row>
    <row r="477" spans="1:17" ht="13.95" customHeight="1">
      <c r="A477" s="110" t="s">
        <v>977</v>
      </c>
      <c r="B477" s="110" t="s">
        <v>2077</v>
      </c>
      <c r="C477" s="110">
        <v>1.6649</v>
      </c>
      <c r="E477" s="112">
        <v>43122</v>
      </c>
      <c r="N477" s="110" t="str">
        <f>IFERROR(INDEX('WetLitterbags placem_collection'!$A$3:$A$500,MATCH(A477,'WetLitterbags placem_collection'!$K$4:$K$500,0)),"")</f>
        <v/>
      </c>
      <c r="O477" s="110" t="str">
        <f>IFERROR(INDEX('WetLitterbags placem_collection'!$A$3:$A$500,MATCH(A477,'WetLitterbags placem_collection'!$O$4:$O$500,0)),"")</f>
        <v/>
      </c>
      <c r="P477" s="110">
        <f>IFERROR(INDEX('WetLitterbags placem_collection'!$A$3:$A$500,MATCH(A477,'WetLitterbags placem_collection'!$M$4:$M$500,0)),"")</f>
        <v>189</v>
      </c>
      <c r="Q477" s="110" t="str">
        <f>IFERROR(INDEX('WetLitterbags placem_collection'!$A$3:$A$500,MATCH(A477,'WetLitterbags placem_collection'!$Q$4:$Q$500,0)),"")</f>
        <v/>
      </c>
    </row>
    <row r="478" spans="1:17" ht="13.95" customHeight="1">
      <c r="A478" s="110" t="s">
        <v>976</v>
      </c>
      <c r="B478" s="110">
        <v>67</v>
      </c>
      <c r="C478" s="110">
        <v>1.4942</v>
      </c>
      <c r="E478" s="112">
        <v>43125</v>
      </c>
      <c r="N478" s="110" t="str">
        <f>IFERROR(INDEX('WetLitterbags placem_collection'!$A$3:$A$500,MATCH(A478,'WetLitterbags placem_collection'!$K$4:$K$500,0)),"")</f>
        <v/>
      </c>
      <c r="O478" s="110" t="str">
        <f>IFERROR(INDEX('WetLitterbags placem_collection'!$A$3:$A$500,MATCH(A478,'WetLitterbags placem_collection'!$O$4:$O$500,0)),"")</f>
        <v/>
      </c>
      <c r="P478" s="110">
        <f>IFERROR(INDEX('WetLitterbags placem_collection'!$A$3:$A$500,MATCH(A478,'WetLitterbags placem_collection'!$M$4:$M$500,0)),"")</f>
        <v>66</v>
      </c>
      <c r="Q478" s="110" t="str">
        <f>IFERROR(INDEX('WetLitterbags placem_collection'!$A$3:$A$500,MATCH(A478,'WetLitterbags placem_collection'!$Q$4:$Q$500,0)),"")</f>
        <v/>
      </c>
    </row>
    <row r="479" spans="1:17" ht="13.95" customHeight="1">
      <c r="A479" s="110" t="s">
        <v>975</v>
      </c>
      <c r="B479" s="110">
        <v>44</v>
      </c>
      <c r="C479" s="110">
        <v>1.6101000000000001</v>
      </c>
      <c r="E479" s="112">
        <v>43125</v>
      </c>
      <c r="N479" s="110" t="str">
        <f>IFERROR(INDEX('WetLitterbags placem_collection'!$A$3:$A$500,MATCH(A479,'WetLitterbags placem_collection'!$K$4:$K$500,0)),"")</f>
        <v/>
      </c>
      <c r="O479" s="110" t="str">
        <f>IFERROR(INDEX('WetLitterbags placem_collection'!$A$3:$A$500,MATCH(A479,'WetLitterbags placem_collection'!$O$4:$O$500,0)),"")</f>
        <v/>
      </c>
      <c r="P479" s="110">
        <f>IFERROR(INDEX('WetLitterbags placem_collection'!$A$3:$A$500,MATCH(A479,'WetLitterbags placem_collection'!$M$4:$M$500,0)),"")</f>
        <v>43</v>
      </c>
      <c r="Q479" s="110" t="str">
        <f>IFERROR(INDEX('WetLitterbags placem_collection'!$A$3:$A$500,MATCH(A479,'WetLitterbags placem_collection'!$Q$4:$Q$500,0)),"")</f>
        <v/>
      </c>
    </row>
    <row r="480" spans="1:17" ht="13.95" customHeight="1">
      <c r="A480" s="110" t="s">
        <v>974</v>
      </c>
      <c r="B480" s="110">
        <v>104</v>
      </c>
      <c r="C480" s="110">
        <v>1.4750000000000001</v>
      </c>
      <c r="E480" s="112">
        <v>42881</v>
      </c>
      <c r="N480" s="110" t="str">
        <f>IFERROR(INDEX('WetLitterbags placem_collection'!$A$3:$A$500,MATCH(A480,'WetLitterbags placem_collection'!$K$4:$K$500,0)),"")</f>
        <v/>
      </c>
      <c r="O480" s="110" t="str">
        <f>IFERROR(INDEX('WetLitterbags placem_collection'!$A$3:$A$500,MATCH(A480,'WetLitterbags placem_collection'!$O$4:$O$500,0)),"")</f>
        <v/>
      </c>
      <c r="P480" s="110" t="str">
        <f>IFERROR(INDEX('WetLitterbags placem_collection'!$A$3:$A$500,MATCH(A480,'WetLitterbags placem_collection'!$M$4:$M$500,0)),"")</f>
        <v/>
      </c>
      <c r="Q480" s="110">
        <f>IFERROR(INDEX('WetLitterbags placem_collection'!$A$3:$A$500,MATCH(A480,'WetLitterbags placem_collection'!$Q$4:$Q$500,0)),"")</f>
        <v>193</v>
      </c>
    </row>
    <row r="481" spans="1:17" ht="13.95" customHeight="1">
      <c r="A481" s="110" t="s">
        <v>973</v>
      </c>
      <c r="B481" s="110">
        <v>198</v>
      </c>
      <c r="C481" s="110">
        <v>1.5734999999999999</v>
      </c>
      <c r="E481" s="112">
        <v>43125</v>
      </c>
      <c r="N481" s="110" t="str">
        <f>IFERROR(INDEX('WetLitterbags placem_collection'!$A$3:$A$500,MATCH(A481,'WetLitterbags placem_collection'!$K$4:$K$500,0)),"")</f>
        <v/>
      </c>
      <c r="O481" s="110" t="str">
        <f>IFERROR(INDEX('WetLitterbags placem_collection'!$A$3:$A$500,MATCH(A481,'WetLitterbags placem_collection'!$O$4:$O$500,0)),"")</f>
        <v/>
      </c>
      <c r="P481" s="110" t="str">
        <f>IFERROR(INDEX('WetLitterbags placem_collection'!$A$3:$A$500,MATCH(A481,'WetLitterbags placem_collection'!$M$4:$M$500,0)),"")</f>
        <v/>
      </c>
      <c r="Q481" s="110">
        <f>IFERROR(INDEX('WetLitterbags placem_collection'!$A$3:$A$500,MATCH(A481,'WetLitterbags placem_collection'!$Q$4:$Q$500,0)),"")</f>
        <v>197</v>
      </c>
    </row>
    <row r="482" spans="1:17" ht="13.95" customHeight="1">
      <c r="A482" s="110" t="s">
        <v>972</v>
      </c>
      <c r="B482" s="110" t="s">
        <v>2083</v>
      </c>
      <c r="C482" s="110">
        <v>2.8336999999999999</v>
      </c>
      <c r="D482" s="110" t="s">
        <v>2100</v>
      </c>
      <c r="E482" s="112">
        <v>43125</v>
      </c>
      <c r="N482" s="110" t="str">
        <f>IFERROR(INDEX('WetLitterbags placem_collection'!$A$3:$A$500,MATCH(A482,'WetLitterbags placem_collection'!$K$4:$K$500,0)),"")</f>
        <v/>
      </c>
      <c r="O482" s="110" t="str">
        <f>IFERROR(INDEX('WetLitterbags placem_collection'!$A$3:$A$500,MATCH(A482,'WetLitterbags placem_collection'!$O$4:$O$500,0)),"")</f>
        <v/>
      </c>
      <c r="P482" s="110">
        <f>IFERROR(INDEX('WetLitterbags placem_collection'!$A$3:$A$500,MATCH(A482,'WetLitterbags placem_collection'!$M$4:$M$500,0)),"")</f>
        <v>8</v>
      </c>
      <c r="Q482" s="110" t="str">
        <f>IFERROR(INDEX('WetLitterbags placem_collection'!$A$3:$A$500,MATCH(A482,'WetLitterbags placem_collection'!$Q$4:$Q$500,0)),"")</f>
        <v/>
      </c>
    </row>
    <row r="483" spans="1:17" ht="13.95" customHeight="1">
      <c r="A483" s="110" t="s">
        <v>1124</v>
      </c>
      <c r="B483" s="110" t="s">
        <v>2083</v>
      </c>
      <c r="C483" s="110">
        <v>1.0208999999999999</v>
      </c>
      <c r="D483" s="167" t="s">
        <v>2465</v>
      </c>
      <c r="E483" s="112">
        <v>43125</v>
      </c>
      <c r="N483" s="110" t="str">
        <f>IFERROR(INDEX('WetLitterbags placem_collection'!$A$3:$A$500,MATCH(A483,'WetLitterbags placem_collection'!$K$4:$K$500,0)),"")</f>
        <v/>
      </c>
      <c r="O483" s="110" t="str">
        <f>IFERROR(INDEX('WetLitterbags placem_collection'!$A$3:$A$500,MATCH(A483,'WetLitterbags placem_collection'!$O$4:$O$500,0)),"")</f>
        <v/>
      </c>
      <c r="P483" s="110" t="str">
        <f>IFERROR(INDEX('WetLitterbags placem_collection'!$A$3:$A$500,MATCH(A483,'WetLitterbags placem_collection'!$M$4:$M$500,0)),"")</f>
        <v/>
      </c>
      <c r="Q483" s="110" t="str">
        <f>IFERROR(INDEX('WetLitterbags placem_collection'!$A$3:$A$500,MATCH(A483,'WetLitterbags placem_collection'!$Q$4:$Q$500,0)),"")</f>
        <v/>
      </c>
    </row>
    <row r="484" spans="1:17" ht="13.95" customHeight="1">
      <c r="A484" s="110" t="s">
        <v>970</v>
      </c>
      <c r="B484" s="110">
        <v>89</v>
      </c>
      <c r="C484" s="110">
        <v>2.0529999999999999</v>
      </c>
      <c r="E484" s="112">
        <v>42879</v>
      </c>
      <c r="N484" s="110" t="str">
        <f>IFERROR(INDEX('WetLitterbags placem_collection'!$A$3:$A$500,MATCH(A484,'WetLitterbags placem_collection'!$K$4:$K$500,0)),"")</f>
        <v/>
      </c>
      <c r="O484" s="110" t="str">
        <f>IFERROR(INDEX('WetLitterbags placem_collection'!$A$3:$A$500,MATCH(A484,'WetLitterbags placem_collection'!$O$4:$O$500,0)),"")</f>
        <v/>
      </c>
      <c r="P484" s="110" t="str">
        <f>IFERROR(INDEX('WetLitterbags placem_collection'!$A$3:$A$500,MATCH(A484,'WetLitterbags placem_collection'!$M$4:$M$500,0)),"")</f>
        <v/>
      </c>
      <c r="Q484" s="110">
        <f>IFERROR(INDEX('WetLitterbags placem_collection'!$A$3:$A$500,MATCH(A484,'WetLitterbags placem_collection'!$Q$4:$Q$500,0)),"")</f>
        <v>88</v>
      </c>
    </row>
    <row r="485" spans="1:17" ht="13.95" customHeight="1">
      <c r="A485" s="110" t="s">
        <v>969</v>
      </c>
      <c r="B485" s="110" t="s">
        <v>2077</v>
      </c>
      <c r="C485" s="110">
        <v>1.4665999999999999</v>
      </c>
      <c r="E485" s="112">
        <v>43122</v>
      </c>
      <c r="N485" s="110" t="str">
        <f>IFERROR(INDEX('WetLitterbags placem_collection'!$A$3:$A$500,MATCH(A485,'WetLitterbags placem_collection'!$K$4:$K$500,0)),"")</f>
        <v/>
      </c>
      <c r="O485" s="110" t="str">
        <f>IFERROR(INDEX('WetLitterbags placem_collection'!$A$3:$A$500,MATCH(A485,'WetLitterbags placem_collection'!$O$4:$O$500,0)),"")</f>
        <v/>
      </c>
      <c r="P485" s="110" t="str">
        <f>IFERROR(INDEX('WetLitterbags placem_collection'!$A$3:$A$500,MATCH(A485,'WetLitterbags placem_collection'!$M$4:$M$500,0)),"")</f>
        <v/>
      </c>
      <c r="Q485" s="110">
        <f>IFERROR(INDEX('WetLitterbags placem_collection'!$A$3:$A$500,MATCH(A485,'WetLitterbags placem_collection'!$Q$4:$Q$500,0)),"")</f>
        <v>27</v>
      </c>
    </row>
    <row r="486" spans="1:17" ht="13.95" customHeight="1">
      <c r="A486" s="110" t="s">
        <v>965</v>
      </c>
      <c r="B486" s="110">
        <v>219</v>
      </c>
      <c r="C486" s="110">
        <v>1.4293</v>
      </c>
      <c r="E486" s="112">
        <v>43125</v>
      </c>
      <c r="N486" s="110" t="str">
        <f>IFERROR(INDEX('WetLitterbags placem_collection'!$A$3:$A$500,MATCH(A486,'WetLitterbags placem_collection'!$K$4:$K$500,0)),"")</f>
        <v/>
      </c>
      <c r="O486" s="110" t="str">
        <f>IFERROR(INDEX('WetLitterbags placem_collection'!$A$3:$A$500,MATCH(A486,'WetLitterbags placem_collection'!$O$4:$O$500,0)),"")</f>
        <v/>
      </c>
      <c r="P486" s="110">
        <f>IFERROR(INDEX('WetLitterbags placem_collection'!$A$3:$A$500,MATCH(A486,'WetLitterbags placem_collection'!$M$4:$M$500,0)),"")</f>
        <v>218</v>
      </c>
      <c r="Q486" s="110" t="str">
        <f>IFERROR(INDEX('WetLitterbags placem_collection'!$A$3:$A$500,MATCH(A486,'WetLitterbags placem_collection'!$Q$4:$Q$500,0)),"")</f>
        <v/>
      </c>
    </row>
    <row r="487" spans="1:17" ht="13.95" customHeight="1">
      <c r="A487" s="110" t="s">
        <v>964</v>
      </c>
      <c r="B487" s="110" t="s">
        <v>2077</v>
      </c>
      <c r="C487" s="110">
        <v>1.4271</v>
      </c>
      <c r="E487" s="112">
        <v>43122</v>
      </c>
      <c r="N487" s="110" t="str">
        <f>IFERROR(INDEX('WetLitterbags placem_collection'!$A$3:$A$500,MATCH(A487,'WetLitterbags placem_collection'!$K$4:$K$500,0)),"")</f>
        <v/>
      </c>
      <c r="O487" s="110" t="str">
        <f>IFERROR(INDEX('WetLitterbags placem_collection'!$A$3:$A$500,MATCH(A487,'WetLitterbags placem_collection'!$O$4:$O$500,0)),"")</f>
        <v/>
      </c>
      <c r="P487" s="110">
        <f>IFERROR(INDEX('WetLitterbags placem_collection'!$A$3:$A$500,MATCH(A487,'WetLitterbags placem_collection'!$M$4:$M$500,0)),"")</f>
        <v>5</v>
      </c>
      <c r="Q487" s="110" t="str">
        <f>IFERROR(INDEX('WetLitterbags placem_collection'!$A$3:$A$500,MATCH(A487,'WetLitterbags placem_collection'!$Q$4:$Q$500,0)),"")</f>
        <v/>
      </c>
    </row>
    <row r="488" spans="1:17" ht="13.95" customHeight="1">
      <c r="A488" s="110" t="s">
        <v>960</v>
      </c>
      <c r="B488" s="110">
        <v>80</v>
      </c>
      <c r="C488" s="110">
        <v>0.23799999999999999</v>
      </c>
      <c r="D488" s="110" t="s">
        <v>2145</v>
      </c>
      <c r="E488" s="112">
        <v>42878</v>
      </c>
      <c r="N488" s="110" t="str">
        <f>IFERROR(INDEX('WetLitterbags placem_collection'!$A$3:$A$500,MATCH(A488,'WetLitterbags placem_collection'!$K$4:$K$500,0)),"")</f>
        <v/>
      </c>
      <c r="O488" s="110" t="str">
        <f>IFERROR(INDEX('WetLitterbags placem_collection'!$A$3:$A$500,MATCH(A488,'WetLitterbags placem_collection'!$O$4:$O$500,0)),"")</f>
        <v/>
      </c>
      <c r="P488" s="110">
        <f>IFERROR(INDEX('WetLitterbags placem_collection'!$A$3:$A$500,MATCH(A488,'WetLitterbags placem_collection'!$M$4:$M$500,0)),"")</f>
        <v>79</v>
      </c>
      <c r="Q488" s="110" t="str">
        <f>IFERROR(INDEX('WetLitterbags placem_collection'!$A$3:$A$500,MATCH(A488,'WetLitterbags placem_collection'!$Q$4:$Q$500,0)),"")</f>
        <v/>
      </c>
    </row>
    <row r="489" spans="1:17" ht="13.95" customHeight="1">
      <c r="A489" s="110" t="s">
        <v>959</v>
      </c>
      <c r="B489" s="110">
        <v>202</v>
      </c>
      <c r="C489" s="110">
        <v>1.679</v>
      </c>
      <c r="E489" s="112">
        <v>42881</v>
      </c>
      <c r="N489" s="110" t="str">
        <f>IFERROR(INDEX('WetLitterbags placem_collection'!$A$3:$A$500,MATCH(A489,'WetLitterbags placem_collection'!$K$4:$K$500,0)),"")</f>
        <v/>
      </c>
      <c r="O489" s="110" t="str">
        <f>IFERROR(INDEX('WetLitterbags placem_collection'!$A$3:$A$500,MATCH(A489,'WetLitterbags placem_collection'!$O$4:$O$500,0)),"")</f>
        <v/>
      </c>
      <c r="P489" s="110" t="str">
        <f>IFERROR(INDEX('WetLitterbags placem_collection'!$A$3:$A$500,MATCH(A489,'WetLitterbags placem_collection'!$M$4:$M$500,0)),"")</f>
        <v/>
      </c>
      <c r="Q489" s="110">
        <f>IFERROR(INDEX('WetLitterbags placem_collection'!$A$3:$A$500,MATCH(A489,'WetLitterbags placem_collection'!$Q$4:$Q$500,0)),"")</f>
        <v>201</v>
      </c>
    </row>
    <row r="490" spans="1:17" ht="13.95" customHeight="1">
      <c r="A490" s="110" t="s">
        <v>958</v>
      </c>
      <c r="B490" s="110">
        <v>75</v>
      </c>
      <c r="C490" s="110">
        <v>1.7490000000000001</v>
      </c>
      <c r="E490" s="112">
        <v>42881</v>
      </c>
      <c r="N490" s="110" t="str">
        <f>IFERROR(INDEX('WetLitterbags placem_collection'!$A$3:$A$500,MATCH(A490,'WetLitterbags placem_collection'!$K$4:$K$500,0)),"")</f>
        <v/>
      </c>
      <c r="O490" s="110" t="str">
        <f>IFERROR(INDEX('WetLitterbags placem_collection'!$A$3:$A$500,MATCH(A490,'WetLitterbags placem_collection'!$O$4:$O$500,0)),"")</f>
        <v/>
      </c>
      <c r="P490" s="110" t="str">
        <f>IFERROR(INDEX('WetLitterbags placem_collection'!$A$3:$A$500,MATCH(A490,'WetLitterbags placem_collection'!$M$4:$M$500,0)),"")</f>
        <v/>
      </c>
      <c r="Q490" s="110">
        <f>IFERROR(INDEX('WetLitterbags placem_collection'!$A$3:$A$500,MATCH(A490,'WetLitterbags placem_collection'!$Q$4:$Q$500,0)),"")</f>
        <v>75</v>
      </c>
    </row>
    <row r="491" spans="1:17" ht="13.95" customHeight="1">
      <c r="A491" s="110" t="s">
        <v>956</v>
      </c>
      <c r="B491" s="110">
        <v>63</v>
      </c>
      <c r="C491" s="110">
        <v>1.6850000000000001</v>
      </c>
      <c r="E491" s="112">
        <v>42879</v>
      </c>
      <c r="N491" s="110" t="str">
        <f>IFERROR(INDEX('WetLitterbags placem_collection'!$A$3:$A$500,MATCH(A491,'WetLitterbags placem_collection'!$K$4:$K$500,0)),"")</f>
        <v/>
      </c>
      <c r="O491" s="110" t="str">
        <f>IFERROR(INDEX('WetLitterbags placem_collection'!$A$3:$A$500,MATCH(A491,'WetLitterbags placem_collection'!$O$4:$O$500,0)),"")</f>
        <v/>
      </c>
      <c r="P491" s="110">
        <f>IFERROR(INDEX('WetLitterbags placem_collection'!$A$3:$A$500,MATCH(A491,'WetLitterbags placem_collection'!$M$4:$M$500,0)),"")</f>
        <v>62</v>
      </c>
      <c r="Q491" s="110" t="str">
        <f>IFERROR(INDEX('WetLitterbags placem_collection'!$A$3:$A$500,MATCH(A491,'WetLitterbags placem_collection'!$Q$4:$Q$500,0)),"")</f>
        <v/>
      </c>
    </row>
    <row r="492" spans="1:17" ht="13.95" customHeight="1">
      <c r="A492" s="110" t="s">
        <v>955</v>
      </c>
      <c r="B492" s="181">
        <v>186</v>
      </c>
      <c r="C492" s="110">
        <v>1.7809999999999999</v>
      </c>
      <c r="E492" s="112">
        <v>42878</v>
      </c>
      <c r="N492" s="110" t="str">
        <f>IFERROR(INDEX('WetLitterbags placem_collection'!$A$3:$A$500,MATCH(A492,'WetLitterbags placem_collection'!$K$4:$K$500,0)),"")</f>
        <v/>
      </c>
      <c r="O492" s="110" t="str">
        <f>IFERROR(INDEX('WetLitterbags placem_collection'!$A$3:$A$500,MATCH(A492,'WetLitterbags placem_collection'!$O$4:$O$500,0)),"")</f>
        <v/>
      </c>
      <c r="P492" s="110" t="str">
        <f>IFERROR(INDEX('WetLitterbags placem_collection'!$A$3:$A$500,MATCH(A492,'WetLitterbags placem_collection'!$M$4:$M$500,0)),"")</f>
        <v/>
      </c>
      <c r="Q492" s="110">
        <f>IFERROR(INDEX('WetLitterbags placem_collection'!$A$3:$A$500,MATCH(A492,'WetLitterbags placem_collection'!$Q$4:$Q$500,0)),"")</f>
        <v>185</v>
      </c>
    </row>
    <row r="493" spans="1:17" ht="13.95" customHeight="1">
      <c r="A493" s="110" t="s">
        <v>954</v>
      </c>
      <c r="B493" s="110">
        <v>81</v>
      </c>
      <c r="C493" s="110">
        <v>1.8420000000000001</v>
      </c>
      <c r="E493" s="112">
        <v>42881</v>
      </c>
      <c r="N493" s="110" t="str">
        <f>IFERROR(INDEX('WetLitterbags placem_collection'!$A$3:$A$500,MATCH(A493,'WetLitterbags placem_collection'!$K$4:$K$500,0)),"")</f>
        <v/>
      </c>
      <c r="O493" s="110" t="str">
        <f>IFERROR(INDEX('WetLitterbags placem_collection'!$A$3:$A$500,MATCH(A493,'WetLitterbags placem_collection'!$O$4:$O$500,0)),"")</f>
        <v/>
      </c>
      <c r="P493" s="110">
        <f>IFERROR(INDEX('WetLitterbags placem_collection'!$A$3:$A$500,MATCH(A493,'WetLitterbags placem_collection'!$M$4:$M$500,0)),"")</f>
        <v>80</v>
      </c>
      <c r="Q493" s="110" t="str">
        <f>IFERROR(INDEX('WetLitterbags placem_collection'!$A$3:$A$500,MATCH(A493,'WetLitterbags placem_collection'!$Q$4:$Q$500,0)),"")</f>
        <v/>
      </c>
    </row>
    <row r="494" spans="1:17" ht="13.95" customHeight="1">
      <c r="A494" s="110" t="s">
        <v>952</v>
      </c>
      <c r="B494" s="110" t="s">
        <v>2077</v>
      </c>
      <c r="C494" s="110">
        <v>1.464</v>
      </c>
      <c r="E494" s="112">
        <v>43116</v>
      </c>
      <c r="N494" s="110" t="str">
        <f>IFERROR(INDEX('WetLitterbags placem_collection'!$A$3:$A$500,MATCH(A494,'WetLitterbags placem_collection'!$K$4:$K$500,0)),"")</f>
        <v/>
      </c>
      <c r="O494" s="110" t="str">
        <f>IFERROR(INDEX('WetLitterbags placem_collection'!$A$3:$A$500,MATCH(A494,'WetLitterbags placem_collection'!$O$4:$O$500,0)),"")</f>
        <v/>
      </c>
      <c r="P494" s="110" t="str">
        <f>IFERROR(INDEX('WetLitterbags placem_collection'!$A$3:$A$500,MATCH(A494,'WetLitterbags placem_collection'!$M$4:$M$500,0)),"")</f>
        <v/>
      </c>
      <c r="Q494" s="110">
        <f>IFERROR(INDEX('WetLitterbags placem_collection'!$A$3:$A$500,MATCH(A494,'WetLitterbags placem_collection'!$Q$4:$Q$500,0)),"")</f>
        <v>25</v>
      </c>
    </row>
    <row r="495" spans="1:17" ht="13.95" customHeight="1">
      <c r="A495" s="179" t="s">
        <v>1122</v>
      </c>
      <c r="B495" s="110">
        <v>55</v>
      </c>
      <c r="C495" s="110">
        <v>0.22600000000000001</v>
      </c>
      <c r="D495" s="110" t="s">
        <v>2133</v>
      </c>
      <c r="E495" s="112">
        <v>42878</v>
      </c>
      <c r="N495" s="110" t="str">
        <f>IFERROR(INDEX('WetLitterbags placem_collection'!$A$3:$A$500,MATCH(A495,'WetLitterbags placem_collection'!$K$4:$K$500,0)),"")</f>
        <v/>
      </c>
      <c r="O495" s="110" t="str">
        <f>IFERROR(INDEX('WetLitterbags placem_collection'!$A$3:$A$500,MATCH(A495,'WetLitterbags placem_collection'!$O$4:$O$500,0)),"")</f>
        <v/>
      </c>
      <c r="P495" s="110">
        <f>IFERROR(INDEX('WetLitterbags placem_collection'!$A$3:$A$500,MATCH(A495,'WetLitterbags placem_collection'!$M$4:$M$500,0)),"")</f>
        <v>54</v>
      </c>
      <c r="Q495" s="110" t="str">
        <f>IFERROR(INDEX('WetLitterbags placem_collection'!$A$3:$A$500,MATCH(A495,'WetLitterbags placem_collection'!$Q$4:$Q$500,0)),"")</f>
        <v/>
      </c>
    </row>
    <row r="496" spans="1:17" ht="13.95" customHeight="1">
      <c r="A496" s="110" t="s">
        <v>951</v>
      </c>
      <c r="B496" s="110">
        <v>23</v>
      </c>
      <c r="C496" s="110">
        <v>1.5019</v>
      </c>
      <c r="E496" s="112">
        <v>43123</v>
      </c>
      <c r="N496" s="110" t="str">
        <f>IFERROR(INDEX('WetLitterbags placem_collection'!$A$3:$A$500,MATCH(A496,'WetLitterbags placem_collection'!$K$4:$K$500,0)),"")</f>
        <v/>
      </c>
      <c r="O496" s="110" t="str">
        <f>IFERROR(INDEX('WetLitterbags placem_collection'!$A$3:$A$500,MATCH(A496,'WetLitterbags placem_collection'!$O$4:$O$500,0)),"")</f>
        <v/>
      </c>
      <c r="P496" s="110">
        <f>IFERROR(INDEX('WetLitterbags placem_collection'!$A$3:$A$500,MATCH(A496,'WetLitterbags placem_collection'!$M$4:$M$500,0)),"")</f>
        <v>22</v>
      </c>
      <c r="Q496" s="110" t="str">
        <f>IFERROR(INDEX('WetLitterbags placem_collection'!$A$3:$A$500,MATCH(A496,'WetLitterbags placem_collection'!$Q$4:$Q$500,0)),"")</f>
        <v/>
      </c>
    </row>
    <row r="497" spans="1:17" ht="13.95" customHeight="1">
      <c r="A497" s="110" t="s">
        <v>945</v>
      </c>
      <c r="B497" s="110">
        <v>89</v>
      </c>
      <c r="C497" s="110">
        <v>0.17399999999999999</v>
      </c>
      <c r="D497" s="110" t="s">
        <v>2067</v>
      </c>
      <c r="E497" s="112">
        <v>42879</v>
      </c>
      <c r="N497" s="110" t="str">
        <f>IFERROR(INDEX('WetLitterbags placem_collection'!$A$3:$A$500,MATCH(A497,'WetLitterbags placem_collection'!$K$4:$K$500,0)),"")</f>
        <v/>
      </c>
      <c r="O497" s="110" t="str">
        <f>IFERROR(INDEX('WetLitterbags placem_collection'!$A$3:$A$500,MATCH(A497,'WetLitterbags placem_collection'!$O$4:$O$500,0)),"")</f>
        <v/>
      </c>
      <c r="P497" s="110">
        <f>IFERROR(INDEX('WetLitterbags placem_collection'!$A$3:$A$500,MATCH(A497,'WetLitterbags placem_collection'!$M$4:$M$500,0)),"")</f>
        <v>88</v>
      </c>
      <c r="Q497" s="110" t="str">
        <f>IFERROR(INDEX('WetLitterbags placem_collection'!$A$3:$A$500,MATCH(A497,'WetLitterbags placem_collection'!$Q$4:$Q$500,0)),"")</f>
        <v/>
      </c>
    </row>
    <row r="498" spans="1:17" ht="13.95" customHeight="1">
      <c r="A498" s="110" t="s">
        <v>1139</v>
      </c>
      <c r="B498" s="110" t="s">
        <v>2077</v>
      </c>
      <c r="C498" s="110">
        <v>1.43</v>
      </c>
      <c r="E498" s="112">
        <v>43119</v>
      </c>
      <c r="N498" s="110" t="str">
        <f>IFERROR(INDEX('WetLitterbags placem_collection'!$A$3:$A$500,MATCH(A498,'WetLitterbags placem_collection'!$K$4:$K$500,0)),"")</f>
        <v/>
      </c>
      <c r="O498" s="110" t="str">
        <f>IFERROR(INDEX('WetLitterbags placem_collection'!$A$3:$A$500,MATCH(A498,'WetLitterbags placem_collection'!$O$4:$O$500,0)),"")</f>
        <v/>
      </c>
      <c r="P498" s="110" t="str">
        <f>IFERROR(INDEX('WetLitterbags placem_collection'!$A$3:$A$500,MATCH(A498,'WetLitterbags placem_collection'!$M$4:$M$500,0)),"")</f>
        <v/>
      </c>
      <c r="Q498" s="110">
        <f>IFERROR(INDEX('WetLitterbags placem_collection'!$A$3:$A$500,MATCH(A498,'WetLitterbags placem_collection'!$Q$4:$Q$500,0)),"")</f>
        <v>10</v>
      </c>
    </row>
    <row r="499" spans="1:17" ht="13.95" customHeight="1">
      <c r="A499" s="110" t="s">
        <v>1121</v>
      </c>
      <c r="B499" s="110" t="s">
        <v>2077</v>
      </c>
      <c r="C499" s="110">
        <v>1.6375999999999999</v>
      </c>
      <c r="E499" s="112">
        <v>43125</v>
      </c>
      <c r="N499" s="110" t="str">
        <f>IFERROR(INDEX('WetLitterbags placem_collection'!$A$3:$A$500,MATCH(A499,'WetLitterbags placem_collection'!$K$4:$K$500,0)),"")</f>
        <v/>
      </c>
      <c r="O499" s="110" t="str">
        <f>IFERROR(INDEX('WetLitterbags placem_collection'!$A$3:$A$500,MATCH(A499,'WetLitterbags placem_collection'!$O$4:$O$500,0)),"")</f>
        <v/>
      </c>
      <c r="P499" s="110" t="str">
        <f>IFERROR(INDEX('WetLitterbags placem_collection'!$A$3:$A$500,MATCH(A499,'WetLitterbags placem_collection'!$M$4:$M$500,0)),"")</f>
        <v/>
      </c>
      <c r="Q499" s="110">
        <f>IFERROR(INDEX('WetLitterbags placem_collection'!$A$3:$A$500,MATCH(A499,'WetLitterbags placem_collection'!$Q$4:$Q$500,0)),"")</f>
        <v>147</v>
      </c>
    </row>
    <row r="500" spans="1:17" ht="13.95" customHeight="1">
      <c r="A500" s="110" t="s">
        <v>939</v>
      </c>
      <c r="B500" s="110" t="s">
        <v>2083</v>
      </c>
      <c r="C500" s="110">
        <v>0.52</v>
      </c>
      <c r="D500" s="110" t="s">
        <v>2141</v>
      </c>
      <c r="E500" s="112">
        <v>42878</v>
      </c>
      <c r="N500" s="110" t="str">
        <f>IFERROR(INDEX('WetLitterbags placem_collection'!$A$3:$A$500,MATCH(A500,'WetLitterbags placem_collection'!$K$4:$K$500,0)),"")</f>
        <v/>
      </c>
      <c r="O500" s="110" t="str">
        <f>IFERROR(INDEX('WetLitterbags placem_collection'!$A$3:$A$500,MATCH(A500,'WetLitterbags placem_collection'!$O$4:$O$500,0)),"")</f>
        <v/>
      </c>
      <c r="P500" s="110">
        <f>IFERROR(INDEX('WetLitterbags placem_collection'!$A$3:$A$500,MATCH(A500,'WetLitterbags placem_collection'!$M$4:$M$500,0)),"")</f>
        <v>161</v>
      </c>
      <c r="Q500" s="110" t="str">
        <f>IFERROR(INDEX('WetLitterbags placem_collection'!$A$3:$A$500,MATCH(A500,'WetLitterbags placem_collection'!$Q$4:$Q$500,0)),"")</f>
        <v/>
      </c>
    </row>
    <row r="501" spans="1:17" ht="13.95" customHeight="1">
      <c r="A501" s="110" t="s">
        <v>1120</v>
      </c>
      <c r="B501" s="110">
        <v>138</v>
      </c>
      <c r="C501" s="110">
        <v>1.522</v>
      </c>
      <c r="E501" s="112">
        <v>42879</v>
      </c>
      <c r="N501" s="110" t="str">
        <f>IFERROR(INDEX('WetLitterbags placem_collection'!$A$3:$A$500,MATCH(A501,'WetLitterbags placem_collection'!$K$4:$K$500,0)),"")</f>
        <v/>
      </c>
      <c r="O501" s="110" t="str">
        <f>IFERROR(INDEX('WetLitterbags placem_collection'!$A$3:$A$500,MATCH(A501,'WetLitterbags placem_collection'!$O$4:$O$500,0)),"")</f>
        <v/>
      </c>
      <c r="P501" s="110" t="str">
        <f>IFERROR(INDEX('WetLitterbags placem_collection'!$A$3:$A$500,MATCH(A501,'WetLitterbags placem_collection'!$M$4:$M$500,0)),"")</f>
        <v/>
      </c>
      <c r="Q501" s="110">
        <f>IFERROR(INDEX('WetLitterbags placem_collection'!$A$3:$A$500,MATCH(A501,'WetLitterbags placem_collection'!$Q$4:$Q$500,0)),"")</f>
        <v>137</v>
      </c>
    </row>
    <row r="502" spans="1:17" ht="13.95" customHeight="1">
      <c r="A502" s="110" t="s">
        <v>926</v>
      </c>
      <c r="B502" s="110" t="s">
        <v>2077</v>
      </c>
      <c r="C502" s="110">
        <v>1.7432000000000001</v>
      </c>
      <c r="E502" s="112">
        <v>43116</v>
      </c>
      <c r="N502" s="110" t="str">
        <f>IFERROR(INDEX('WetLitterbags placem_collection'!$A$3:$A$500,MATCH(A502,'WetLitterbags placem_collection'!$K$4:$K$500,0)),"")</f>
        <v/>
      </c>
      <c r="O502" s="110" t="str">
        <f>IFERROR(INDEX('WetLitterbags placem_collection'!$A$3:$A$500,MATCH(A502,'WetLitterbags placem_collection'!$O$4:$O$500,0)),"")</f>
        <v/>
      </c>
      <c r="P502" s="110" t="str">
        <f>IFERROR(INDEX('WetLitterbags placem_collection'!$A$3:$A$500,MATCH(A502,'WetLitterbags placem_collection'!$M$4:$M$500,0)),"")</f>
        <v/>
      </c>
      <c r="Q502" s="110">
        <f>IFERROR(INDEX('WetLitterbags placem_collection'!$A$3:$A$500,MATCH(A502,'WetLitterbags placem_collection'!$Q$4:$Q$500,0)),"")</f>
        <v>166</v>
      </c>
    </row>
    <row r="503" spans="1:17" ht="13.95" customHeight="1">
      <c r="A503" s="110" t="s">
        <v>925</v>
      </c>
      <c r="B503" s="110">
        <v>189</v>
      </c>
      <c r="C503" s="110">
        <v>1.6973</v>
      </c>
      <c r="E503" s="112">
        <v>43125</v>
      </c>
      <c r="N503" s="110" t="str">
        <f>IFERROR(INDEX('WetLitterbags placem_collection'!$A$3:$A$500,MATCH(A503,'WetLitterbags placem_collection'!$K$4:$K$500,0)),"")</f>
        <v/>
      </c>
      <c r="O503" s="110" t="str">
        <f>IFERROR(INDEX('WetLitterbags placem_collection'!$A$3:$A$500,MATCH(A503,'WetLitterbags placem_collection'!$O$4:$O$500,0)),"")</f>
        <v/>
      </c>
      <c r="P503" s="110" t="str">
        <f>IFERROR(INDEX('WetLitterbags placem_collection'!$A$3:$A$500,MATCH(A503,'WetLitterbags placem_collection'!$M$4:$M$500,0)),"")</f>
        <v/>
      </c>
      <c r="Q503" s="110">
        <f>IFERROR(INDEX('WetLitterbags placem_collection'!$A$3:$A$500,MATCH(A503,'WetLitterbags placem_collection'!$Q$4:$Q$500,0)),"")</f>
        <v>188</v>
      </c>
    </row>
    <row r="504" spans="1:17" ht="13.95" customHeight="1">
      <c r="A504" s="110" t="s">
        <v>924</v>
      </c>
      <c r="B504" s="110" t="s">
        <v>2077</v>
      </c>
      <c r="C504" s="110">
        <v>1.5392999999999999</v>
      </c>
      <c r="E504" s="112">
        <v>43119</v>
      </c>
      <c r="N504" s="110" t="str">
        <f>IFERROR(INDEX('WetLitterbags placem_collection'!$A$3:$A$500,MATCH(A504,'WetLitterbags placem_collection'!$K$4:$K$500,0)),"")</f>
        <v/>
      </c>
      <c r="O504" s="110" t="str">
        <f>IFERROR(INDEX('WetLitterbags placem_collection'!$A$3:$A$500,MATCH(A504,'WetLitterbags placem_collection'!$O$4:$O$500,0)),"")</f>
        <v/>
      </c>
      <c r="P504" s="110" t="str">
        <f>IFERROR(INDEX('WetLitterbags placem_collection'!$A$3:$A$500,MATCH(A504,'WetLitterbags placem_collection'!$M$4:$M$500,0)),"")</f>
        <v/>
      </c>
      <c r="Q504" s="110">
        <f>IFERROR(INDEX('WetLitterbags placem_collection'!$A$3:$A$500,MATCH(A504,'WetLitterbags placem_collection'!$Q$4:$Q$500,0)),"")</f>
        <v>26</v>
      </c>
    </row>
    <row r="505" spans="1:17" ht="13.95" customHeight="1">
      <c r="A505" s="110" t="s">
        <v>923</v>
      </c>
      <c r="B505" s="110">
        <v>201</v>
      </c>
      <c r="C505" s="110">
        <v>1.5928</v>
      </c>
      <c r="D505" s="110" t="s">
        <v>2115</v>
      </c>
      <c r="E505" s="112">
        <v>43116</v>
      </c>
      <c r="N505" s="110" t="str">
        <f>IFERROR(INDEX('WetLitterbags placem_collection'!$A$3:$A$500,MATCH(A505,'WetLitterbags placem_collection'!$K$4:$K$500,0)),"")</f>
        <v/>
      </c>
      <c r="O505" s="110" t="str">
        <f>IFERROR(INDEX('WetLitterbags placem_collection'!$A$3:$A$500,MATCH(A505,'WetLitterbags placem_collection'!$O$4:$O$500,0)),"")</f>
        <v/>
      </c>
      <c r="P505" s="110">
        <f>IFERROR(INDEX('WetLitterbags placem_collection'!$A$3:$A$500,MATCH(A505,'WetLitterbags placem_collection'!$M$4:$M$500,0)),"")</f>
        <v>200</v>
      </c>
      <c r="Q505" s="110" t="str">
        <f>IFERROR(INDEX('WetLitterbags placem_collection'!$A$3:$A$500,MATCH(A505,'WetLitterbags placem_collection'!$Q$4:$Q$500,0)),"")</f>
        <v/>
      </c>
    </row>
    <row r="506" spans="1:17" ht="13.95" customHeight="1">
      <c r="A506" s="110" t="s">
        <v>922</v>
      </c>
      <c r="B506" s="110" t="s">
        <v>2083</v>
      </c>
      <c r="C506" s="110">
        <v>1.5786</v>
      </c>
      <c r="D506" s="110" t="s">
        <v>2096</v>
      </c>
      <c r="E506" s="112">
        <v>43125</v>
      </c>
      <c r="N506" s="110" t="str">
        <f>IFERROR(INDEX('WetLitterbags placem_collection'!$A$3:$A$500,MATCH(A506,'WetLitterbags placem_collection'!$K$4:$K$500,0)),"")</f>
        <v/>
      </c>
      <c r="O506" s="110" t="str">
        <f>IFERROR(INDEX('WetLitterbags placem_collection'!$A$3:$A$500,MATCH(A506,'WetLitterbags placem_collection'!$O$4:$O$500,0)),"")</f>
        <v/>
      </c>
      <c r="P506" s="110">
        <f>IFERROR(INDEX('WetLitterbags placem_collection'!$A$3:$A$500,MATCH(A506,'WetLitterbags placem_collection'!$M$4:$M$500,0)),"")</f>
        <v>196</v>
      </c>
      <c r="Q506" s="110" t="str">
        <f>IFERROR(INDEX('WetLitterbags placem_collection'!$A$3:$A$500,MATCH(A506,'WetLitterbags placem_collection'!$Q$4:$Q$500,0)),"")</f>
        <v/>
      </c>
    </row>
    <row r="507" spans="1:17" ht="13.95" customHeight="1">
      <c r="A507" s="110" t="s">
        <v>1119</v>
      </c>
      <c r="B507" s="110">
        <v>83</v>
      </c>
      <c r="C507" s="110">
        <v>1.637</v>
      </c>
      <c r="E507" s="112">
        <v>42881</v>
      </c>
      <c r="N507" s="110" t="str">
        <f>IFERROR(INDEX('WetLitterbags placem_collection'!$A$3:$A$500,MATCH(A507,'WetLitterbags placem_collection'!$K$4:$K$500,0)),"")</f>
        <v/>
      </c>
      <c r="O507" s="110" t="str">
        <f>IFERROR(INDEX('WetLitterbags placem_collection'!$A$3:$A$500,MATCH(A507,'WetLitterbags placem_collection'!$O$4:$O$500,0)),"")</f>
        <v/>
      </c>
      <c r="P507" s="110" t="str">
        <f>IFERROR(INDEX('WetLitterbags placem_collection'!$A$3:$A$500,MATCH(A507,'WetLitterbags placem_collection'!$M$4:$M$500,0)),"")</f>
        <v/>
      </c>
      <c r="Q507" s="110">
        <f>IFERROR(INDEX('WetLitterbags placem_collection'!$A$3:$A$500,MATCH(A507,'WetLitterbags placem_collection'!$Q$4:$Q$500,0)),"")</f>
        <v>82</v>
      </c>
    </row>
    <row r="508" spans="1:17" ht="13.95" customHeight="1">
      <c r="A508" s="110" t="s">
        <v>919</v>
      </c>
      <c r="B508" s="110" t="s">
        <v>2077</v>
      </c>
      <c r="C508" s="110">
        <v>1.5732999999999999</v>
      </c>
      <c r="D508" s="110" t="s">
        <v>2125</v>
      </c>
      <c r="E508" s="112">
        <v>43122</v>
      </c>
      <c r="N508" s="110" t="str">
        <f>IFERROR(INDEX('WetLitterbags placem_collection'!$A$3:$A$500,MATCH(A508,'WetLitterbags placem_collection'!$K$4:$K$500,0)),"")</f>
        <v/>
      </c>
      <c r="O508" s="110" t="str">
        <f>IFERROR(INDEX('WetLitterbags placem_collection'!$A$3:$A$500,MATCH(A508,'WetLitterbags placem_collection'!$O$4:$O$500,0)),"")</f>
        <v/>
      </c>
      <c r="P508" s="110" t="str">
        <f>IFERROR(INDEX('WetLitterbags placem_collection'!$A$3:$A$500,MATCH(A508,'WetLitterbags placem_collection'!$M$4:$M$500,0)),"")</f>
        <v/>
      </c>
      <c r="Q508" s="110">
        <f>IFERROR(INDEX('WetLitterbags placem_collection'!$A$3:$A$500,MATCH(A508,'WetLitterbags placem_collection'!$Q$4:$Q$500,0)),"")</f>
        <v>187</v>
      </c>
    </row>
    <row r="509" spans="1:17" ht="13.95" customHeight="1">
      <c r="A509" s="182" t="s">
        <v>913</v>
      </c>
      <c r="B509" s="110">
        <v>77</v>
      </c>
      <c r="C509" s="110">
        <v>2.2429999999999999</v>
      </c>
      <c r="E509" s="112">
        <v>42879</v>
      </c>
      <c r="N509" s="110" t="str">
        <f>IFERROR(INDEX('WetLitterbags placem_collection'!$A$3:$A$500,MATCH(A509,'WetLitterbags placem_collection'!$K$4:$K$500,0)),"")</f>
        <v/>
      </c>
      <c r="O509" s="110" t="str">
        <f>IFERROR(INDEX('WetLitterbags placem_collection'!$A$3:$A$500,MATCH(A509,'WetLitterbags placem_collection'!$O$4:$O$500,0)),"")</f>
        <v/>
      </c>
      <c r="P509" s="110" t="str">
        <f>IFERROR(INDEX('WetLitterbags placem_collection'!$A$3:$A$500,MATCH(A509,'WetLitterbags placem_collection'!$M$4:$M$500,0)),"")</f>
        <v/>
      </c>
      <c r="Q509" s="110">
        <f>IFERROR(INDEX('WetLitterbags placem_collection'!$A$3:$A$500,MATCH(A509,'WetLitterbags placem_collection'!$Q$4:$Q$500,0)),"")</f>
        <v>76</v>
      </c>
    </row>
    <row r="510" spans="1:17" ht="13.95" customHeight="1">
      <c r="A510" s="110" t="s">
        <v>1118</v>
      </c>
      <c r="B510">
        <v>59</v>
      </c>
      <c r="C510" s="110">
        <v>1.38</v>
      </c>
      <c r="D510" s="110" t="s">
        <v>2134</v>
      </c>
      <c r="E510" s="112">
        <v>42878</v>
      </c>
      <c r="N510" s="110" t="str">
        <f>IFERROR(INDEX('WetLitterbags placem_collection'!$A$3:$A$500,MATCH(A510,'WetLitterbags placem_collection'!$K$4:$K$500,0)),"")</f>
        <v/>
      </c>
      <c r="O510" s="110" t="str">
        <f>IFERROR(INDEX('WetLitterbags placem_collection'!$A$3:$A$500,MATCH(A510,'WetLitterbags placem_collection'!$O$4:$O$500,0)),"")</f>
        <v/>
      </c>
      <c r="P510" s="110">
        <f>IFERROR(INDEX('WetLitterbags placem_collection'!$A$3:$A$500,MATCH(A510,'WetLitterbags placem_collection'!$M$4:$M$500,0)),"")</f>
        <v>58</v>
      </c>
      <c r="Q510" s="110" t="str">
        <f>IFERROR(INDEX('WetLitterbags placem_collection'!$A$3:$A$500,MATCH(A510,'WetLitterbags placem_collection'!$Q$4:$Q$500,0)),"")</f>
        <v/>
      </c>
    </row>
    <row r="511" spans="1:17" ht="13.95" customHeight="1">
      <c r="A511" s="110" t="s">
        <v>909</v>
      </c>
      <c r="B511" s="110" t="s">
        <v>2077</v>
      </c>
      <c r="C511" s="110">
        <v>1.7355</v>
      </c>
      <c r="E511" s="112">
        <v>43119</v>
      </c>
      <c r="N511" s="110" t="str">
        <f>IFERROR(INDEX('WetLitterbags placem_collection'!$A$3:$A$500,MATCH(A511,'WetLitterbags placem_collection'!$K$4:$K$500,0)),"")</f>
        <v/>
      </c>
      <c r="O511" s="110" t="str">
        <f>IFERROR(INDEX('WetLitterbags placem_collection'!$A$3:$A$500,MATCH(A511,'WetLitterbags placem_collection'!$O$4:$O$500,0)),"")</f>
        <v/>
      </c>
      <c r="P511" s="110" t="str">
        <f>IFERROR(INDEX('WetLitterbags placem_collection'!$A$3:$A$500,MATCH(A511,'WetLitterbags placem_collection'!$M$4:$M$500,0)),"")</f>
        <v/>
      </c>
      <c r="Q511" s="110">
        <f>IFERROR(INDEX('WetLitterbags placem_collection'!$A$3:$A$500,MATCH(A511,'WetLitterbags placem_collection'!$Q$4:$Q$500,0)),"")</f>
        <v>189</v>
      </c>
    </row>
    <row r="512" spans="1:17" ht="13.95" customHeight="1">
      <c r="A512" s="110" t="s">
        <v>907</v>
      </c>
      <c r="B512" s="110">
        <v>207</v>
      </c>
      <c r="C512" s="110">
        <v>1.7410000000000001</v>
      </c>
      <c r="E512" s="112">
        <v>42879</v>
      </c>
      <c r="N512" s="110" t="str">
        <f>IFERROR(INDEX('WetLitterbags placem_collection'!$A$3:$A$500,MATCH(A512,'WetLitterbags placem_collection'!$K$4:$K$500,0)),"")</f>
        <v/>
      </c>
      <c r="O512" s="110" t="str">
        <f>IFERROR(INDEX('WetLitterbags placem_collection'!$A$3:$A$500,MATCH(A512,'WetLitterbags placem_collection'!$O$4:$O$500,0)),"")</f>
        <v/>
      </c>
      <c r="P512" s="110">
        <f>IFERROR(INDEX('WetLitterbags placem_collection'!$A$3:$A$500,MATCH(A512,'WetLitterbags placem_collection'!$M$4:$M$500,0)),"")</f>
        <v>205</v>
      </c>
      <c r="Q512" s="110" t="str">
        <f>IFERROR(INDEX('WetLitterbags placem_collection'!$A$3:$A$500,MATCH(A512,'WetLitterbags placem_collection'!$Q$4:$Q$500,0)),"")</f>
        <v/>
      </c>
    </row>
    <row r="513" spans="1:17" ht="13.95" customHeight="1">
      <c r="A513" s="110" t="s">
        <v>906</v>
      </c>
      <c r="B513" s="110">
        <v>79</v>
      </c>
      <c r="C513" s="110">
        <v>1.5528</v>
      </c>
      <c r="E513" s="112">
        <v>43125</v>
      </c>
      <c r="N513" s="110" t="str">
        <f>IFERROR(INDEX('WetLitterbags placem_collection'!$A$3:$A$500,MATCH(A513,'WetLitterbags placem_collection'!$K$4:$K$500,0)),"")</f>
        <v/>
      </c>
      <c r="O513" s="110" t="str">
        <f>IFERROR(INDEX('WetLitterbags placem_collection'!$A$3:$A$500,MATCH(A513,'WetLitterbags placem_collection'!$O$4:$O$500,0)),"")</f>
        <v/>
      </c>
      <c r="P513" s="110">
        <f>IFERROR(INDEX('WetLitterbags placem_collection'!$A$3:$A$500,MATCH(A513,'WetLitterbags placem_collection'!$M$4:$M$500,0)),"")</f>
        <v>78</v>
      </c>
      <c r="Q513" s="110" t="str">
        <f>IFERROR(INDEX('WetLitterbags placem_collection'!$A$3:$A$500,MATCH(A513,'WetLitterbags placem_collection'!$Q$4:$Q$500,0)),"")</f>
        <v/>
      </c>
    </row>
    <row r="514" spans="1:17" ht="13.95" customHeight="1">
      <c r="A514" s="110" t="s">
        <v>1117</v>
      </c>
      <c r="B514" s="110">
        <v>34</v>
      </c>
      <c r="C514" s="110">
        <v>1.4662999999999999</v>
      </c>
      <c r="E514" s="112">
        <v>43125</v>
      </c>
      <c r="N514" s="110" t="str">
        <f>IFERROR(INDEX('WetLitterbags placem_collection'!$A$3:$A$500,MATCH(A514,'WetLitterbags placem_collection'!$K$4:$K$500,0)),"")</f>
        <v/>
      </c>
      <c r="O514" s="110" t="str">
        <f>IFERROR(INDEX('WetLitterbags placem_collection'!$A$3:$A$500,MATCH(A514,'WetLitterbags placem_collection'!$O$4:$O$500,0)),"")</f>
        <v/>
      </c>
      <c r="P514" s="110" t="str">
        <f>IFERROR(INDEX('WetLitterbags placem_collection'!$A$3:$A$500,MATCH(A514,'WetLitterbags placem_collection'!$M$4:$M$500,0)),"")</f>
        <v/>
      </c>
      <c r="Q514" s="110">
        <f>IFERROR(INDEX('WetLitterbags placem_collection'!$A$3:$A$500,MATCH(A514,'WetLitterbags placem_collection'!$Q$4:$Q$500,0)),"")</f>
        <v>33</v>
      </c>
    </row>
    <row r="515" spans="1:17" ht="13.95" customHeight="1">
      <c r="A515" s="110" t="s">
        <v>900</v>
      </c>
      <c r="B515" s="110">
        <v>216</v>
      </c>
      <c r="C515" s="110">
        <v>1.5349999999999999</v>
      </c>
      <c r="E515" s="112">
        <v>42879</v>
      </c>
      <c r="N515" s="110" t="str">
        <f>IFERROR(INDEX('WetLitterbags placem_collection'!$A$3:$A$500,MATCH(A515,'WetLitterbags placem_collection'!$K$4:$K$500,0)),"")</f>
        <v/>
      </c>
      <c r="O515" s="110" t="str">
        <f>IFERROR(INDEX('WetLitterbags placem_collection'!$A$3:$A$500,MATCH(A515,'WetLitterbags placem_collection'!$O$4:$O$500,0)),"")</f>
        <v/>
      </c>
      <c r="P515" s="110">
        <f>IFERROR(INDEX('WetLitterbags placem_collection'!$A$3:$A$500,MATCH(A515,'WetLitterbags placem_collection'!$M$4:$M$500,0)),"")</f>
        <v>215</v>
      </c>
      <c r="Q515" s="110" t="str">
        <f>IFERROR(INDEX('WetLitterbags placem_collection'!$A$3:$A$500,MATCH(A515,'WetLitterbags placem_collection'!$Q$4:$Q$500,0)),"")</f>
        <v/>
      </c>
    </row>
    <row r="516" spans="1:17" ht="13.95" customHeight="1">
      <c r="A516" s="110" t="s">
        <v>1116</v>
      </c>
      <c r="B516" s="110">
        <v>195</v>
      </c>
      <c r="C516" s="110">
        <v>1.3527</v>
      </c>
      <c r="E516" s="112">
        <v>43125</v>
      </c>
      <c r="N516" s="110" t="str">
        <f>IFERROR(INDEX('WetLitterbags placem_collection'!$A$3:$A$500,MATCH(A516,'WetLitterbags placem_collection'!$K$4:$K$500,0)),"")</f>
        <v/>
      </c>
      <c r="O516" s="110" t="str">
        <f>IFERROR(INDEX('WetLitterbags placem_collection'!$A$3:$A$500,MATCH(A516,'WetLitterbags placem_collection'!$O$4:$O$500,0)),"")</f>
        <v/>
      </c>
      <c r="P516" s="110" t="str">
        <f>IFERROR(INDEX('WetLitterbags placem_collection'!$A$3:$A$500,MATCH(A516,'WetLitterbags placem_collection'!$M$4:$M$500,0)),"")</f>
        <v/>
      </c>
      <c r="Q516" s="110">
        <f>IFERROR(INDEX('WetLitterbags placem_collection'!$A$3:$A$500,MATCH(A516,'WetLitterbags placem_collection'!$Q$4:$Q$500,0)),"")</f>
        <v>194</v>
      </c>
    </row>
    <row r="517" spans="1:17" ht="13.95" customHeight="1">
      <c r="A517" s="110" t="s">
        <v>891</v>
      </c>
      <c r="B517" s="110" t="s">
        <v>2077</v>
      </c>
      <c r="C517" s="110">
        <v>1.5303</v>
      </c>
      <c r="E517" s="112">
        <v>43122</v>
      </c>
      <c r="N517" s="110" t="str">
        <f>IFERROR(INDEX('WetLitterbags placem_collection'!$A$3:$A$500,MATCH(A517,'WetLitterbags placem_collection'!$K$4:$K$500,0)),"")</f>
        <v/>
      </c>
      <c r="O517" s="110" t="str">
        <f>IFERROR(INDEX('WetLitterbags placem_collection'!$A$3:$A$500,MATCH(A517,'WetLitterbags placem_collection'!$O$4:$O$500,0)),"")</f>
        <v/>
      </c>
      <c r="P517" s="110">
        <f>IFERROR(INDEX('WetLitterbags placem_collection'!$A$3:$A$500,MATCH(A517,'WetLitterbags placem_collection'!$M$4:$M$500,0)),"")</f>
        <v>219</v>
      </c>
      <c r="Q517" s="110" t="str">
        <f>IFERROR(INDEX('WetLitterbags placem_collection'!$A$3:$A$500,MATCH(A517,'WetLitterbags placem_collection'!$Q$4:$Q$500,0)),"")</f>
        <v/>
      </c>
    </row>
    <row r="518" spans="1:17" ht="13.95" customHeight="1">
      <c r="A518" s="110" t="s">
        <v>890</v>
      </c>
      <c r="B518" s="110">
        <v>69</v>
      </c>
      <c r="C518" s="110">
        <v>1.8979999999999999</v>
      </c>
      <c r="E518" s="112">
        <v>42881</v>
      </c>
      <c r="N518" s="110" t="str">
        <f>IFERROR(INDEX('WetLitterbags placem_collection'!$A$3:$A$500,MATCH(A518,'WetLitterbags placem_collection'!$K$4:$K$500,0)),"")</f>
        <v/>
      </c>
      <c r="O518" s="110" t="str">
        <f>IFERROR(INDEX('WetLitterbags placem_collection'!$A$3:$A$500,MATCH(A518,'WetLitterbags placem_collection'!$O$4:$O$500,0)),"")</f>
        <v/>
      </c>
      <c r="P518" s="110" t="str">
        <f>IFERROR(INDEX('WetLitterbags placem_collection'!$A$3:$A$500,MATCH(A518,'WetLitterbags placem_collection'!$M$4:$M$500,0)),"")</f>
        <v/>
      </c>
      <c r="Q518" s="110">
        <f>IFERROR(INDEX('WetLitterbags placem_collection'!$A$3:$A$500,MATCH(A518,'WetLitterbags placem_collection'!$Q$4:$Q$500,0)),"")</f>
        <v>68</v>
      </c>
    </row>
    <row r="519" spans="1:17" ht="13.95" customHeight="1">
      <c r="A519" s="110" t="s">
        <v>889</v>
      </c>
      <c r="B519" s="110" t="s">
        <v>2077</v>
      </c>
      <c r="C519" s="110">
        <v>1.6584000000000001</v>
      </c>
      <c r="E519" s="112">
        <v>43116</v>
      </c>
      <c r="N519" s="110" t="str">
        <f>IFERROR(INDEX('WetLitterbags placem_collection'!$A$3:$A$500,MATCH(A519,'WetLitterbags placem_collection'!$K$4:$K$500,0)),"")</f>
        <v/>
      </c>
      <c r="O519" s="110" t="str">
        <f>IFERROR(INDEX('WetLitterbags placem_collection'!$A$3:$A$500,MATCH(A519,'WetLitterbags placem_collection'!$O$4:$O$500,0)),"")</f>
        <v/>
      </c>
      <c r="P519" s="110" t="str">
        <f>IFERROR(INDEX('WetLitterbags placem_collection'!$A$3:$A$500,MATCH(A519,'WetLitterbags placem_collection'!$M$4:$M$500,0)),"")</f>
        <v/>
      </c>
      <c r="Q519" s="110">
        <f>IFERROR(INDEX('WetLitterbags placem_collection'!$A$3:$A$500,MATCH(A519,'WetLitterbags placem_collection'!$Q$4:$Q$500,0)),"")</f>
        <v>65</v>
      </c>
    </row>
    <row r="520" spans="1:17" ht="13.95" customHeight="1">
      <c r="A520" s="110" t="s">
        <v>888</v>
      </c>
      <c r="B520" s="110">
        <v>161</v>
      </c>
      <c r="C520" s="110">
        <v>1.7033</v>
      </c>
      <c r="E520" s="112">
        <v>43125</v>
      </c>
      <c r="N520" s="110" t="str">
        <f>IFERROR(INDEX('WetLitterbags placem_collection'!$A$3:$A$500,MATCH(A520,'WetLitterbags placem_collection'!$K$4:$K$500,0)),"")</f>
        <v/>
      </c>
      <c r="O520" s="110" t="str">
        <f>IFERROR(INDEX('WetLitterbags placem_collection'!$A$3:$A$500,MATCH(A520,'WetLitterbags placem_collection'!$O$4:$O$500,0)),"")</f>
        <v/>
      </c>
      <c r="P520" s="110" t="str">
        <f>IFERROR(INDEX('WetLitterbags placem_collection'!$A$3:$A$500,MATCH(A520,'WetLitterbags placem_collection'!$M$4:$M$500,0)),"")</f>
        <v/>
      </c>
      <c r="Q520" s="110">
        <f>IFERROR(INDEX('WetLitterbags placem_collection'!$A$3:$A$500,MATCH(A520,'WetLitterbags placem_collection'!$Q$4:$Q$500,0)),"")</f>
        <v>160</v>
      </c>
    </row>
    <row r="521" spans="1:17" ht="13.95" customHeight="1">
      <c r="A521" s="110" t="s">
        <v>886</v>
      </c>
      <c r="B521" s="110" t="s">
        <v>2077</v>
      </c>
      <c r="C521" s="110">
        <v>1.7073</v>
      </c>
      <c r="D521" s="110" t="s">
        <v>2120</v>
      </c>
      <c r="E521" s="112">
        <v>43122</v>
      </c>
      <c r="N521" s="110" t="str">
        <f>IFERROR(INDEX('WetLitterbags placem_collection'!$A$3:$A$500,MATCH(A521,'WetLitterbags placem_collection'!$K$4:$K$500,0)),"")</f>
        <v/>
      </c>
      <c r="O521" s="110" t="str">
        <f>IFERROR(INDEX('WetLitterbags placem_collection'!$A$3:$A$500,MATCH(A521,'WetLitterbags placem_collection'!$O$4:$O$500,0)),"")</f>
        <v/>
      </c>
      <c r="P521" s="110">
        <f>IFERROR(INDEX('WetLitterbags placem_collection'!$A$3:$A$500,MATCH(A521,'WetLitterbags placem_collection'!$M$4:$M$500,0)),"")</f>
        <v>166</v>
      </c>
      <c r="Q521" s="110" t="str">
        <f>IFERROR(INDEX('WetLitterbags placem_collection'!$A$3:$A$500,MATCH(A521,'WetLitterbags placem_collection'!$Q$4:$Q$500,0)),"")</f>
        <v/>
      </c>
    </row>
    <row r="522" spans="1:17" ht="13.95" customHeight="1">
      <c r="A522" s="110" t="s">
        <v>883</v>
      </c>
      <c r="B522" s="113">
        <v>206</v>
      </c>
      <c r="C522" s="110">
        <v>1.5820000000000001</v>
      </c>
      <c r="E522" s="112">
        <v>42879</v>
      </c>
      <c r="N522" s="110" t="str">
        <f>IFERROR(INDEX('WetLitterbags placem_collection'!$A$3:$A$500,MATCH(A522,'WetLitterbags placem_collection'!$K$4:$K$500,0)),"")</f>
        <v/>
      </c>
      <c r="O522" s="110" t="str">
        <f>IFERROR(INDEX('WetLitterbags placem_collection'!$A$3:$A$500,MATCH(A522,'WetLitterbags placem_collection'!$O$4:$O$500,0)),"")</f>
        <v/>
      </c>
      <c r="P522" s="110">
        <f>IFERROR(INDEX('WetLitterbags placem_collection'!$A$3:$A$500,MATCH(A522,'WetLitterbags placem_collection'!$M$4:$M$500,0)),"")</f>
        <v>206</v>
      </c>
      <c r="Q522" s="110" t="str">
        <f>IFERROR(INDEX('WetLitterbags placem_collection'!$A$3:$A$500,MATCH(A522,'WetLitterbags placem_collection'!$Q$4:$Q$500,0)),"")</f>
        <v/>
      </c>
    </row>
    <row r="523" spans="1:17" ht="13.95" customHeight="1">
      <c r="A523" s="110" t="s">
        <v>882</v>
      </c>
      <c r="B523" s="110" t="s">
        <v>2077</v>
      </c>
      <c r="C523" s="110">
        <v>1.7169000000000001</v>
      </c>
      <c r="E523" s="112">
        <v>43122</v>
      </c>
      <c r="N523" s="110" t="str">
        <f>IFERROR(INDEX('WetLitterbags placem_collection'!$A$3:$A$500,MATCH(A523,'WetLitterbags placem_collection'!$K$4:$K$500,0)),"")</f>
        <v/>
      </c>
      <c r="O523" s="110" t="str">
        <f>IFERROR(INDEX('WetLitterbags placem_collection'!$A$3:$A$500,MATCH(A523,'WetLitterbags placem_collection'!$O$4:$O$500,0)),"")</f>
        <v/>
      </c>
      <c r="P523" s="110" t="str">
        <f>IFERROR(INDEX('WetLitterbags placem_collection'!$A$3:$A$500,MATCH(A523,'WetLitterbags placem_collection'!$M$4:$M$500,0)),"")</f>
        <v/>
      </c>
      <c r="Q523" s="110">
        <f>IFERROR(INDEX('WetLitterbags placem_collection'!$A$3:$A$500,MATCH(A523,'WetLitterbags placem_collection'!$Q$4:$Q$500,0)),"")</f>
        <v>165</v>
      </c>
    </row>
    <row r="524" spans="1:17" ht="13.95" customHeight="1">
      <c r="A524" s="110" t="s">
        <v>1115</v>
      </c>
      <c r="B524" s="110">
        <v>102</v>
      </c>
      <c r="C524" s="110">
        <v>1.6240000000000001</v>
      </c>
      <c r="E524" s="112">
        <v>42881</v>
      </c>
      <c r="N524" s="110" t="str">
        <f>IFERROR(INDEX('WetLitterbags placem_collection'!$A$3:$A$500,MATCH(A524,'WetLitterbags placem_collection'!$K$4:$K$500,0)),"")</f>
        <v/>
      </c>
      <c r="O524" s="110" t="str">
        <f>IFERROR(INDEX('WetLitterbags placem_collection'!$A$3:$A$500,MATCH(A524,'WetLitterbags placem_collection'!$O$4:$O$500,0)),"")</f>
        <v/>
      </c>
      <c r="P524" s="110" t="str">
        <f>IFERROR(INDEX('WetLitterbags placem_collection'!$A$3:$A$500,MATCH(A524,'WetLitterbags placem_collection'!$M$4:$M$500,0)),"")</f>
        <v/>
      </c>
      <c r="Q524" s="110">
        <f>IFERROR(INDEX('WetLitterbags placem_collection'!$A$3:$A$500,MATCH(A524,'WetLitterbags placem_collection'!$Q$4:$Q$500,0)),"")</f>
        <v>101</v>
      </c>
    </row>
    <row r="525" spans="1:17" ht="13.95" customHeight="1">
      <c r="A525" s="110" t="s">
        <v>879</v>
      </c>
      <c r="B525" s="110">
        <v>177</v>
      </c>
      <c r="C525" s="110">
        <v>1.671</v>
      </c>
      <c r="E525" s="112">
        <v>42881</v>
      </c>
      <c r="N525" s="110" t="str">
        <f>IFERROR(INDEX('WetLitterbags placem_collection'!$A$3:$A$500,MATCH(A525,'WetLitterbags placem_collection'!$K$4:$K$500,0)),"")</f>
        <v/>
      </c>
      <c r="O525" s="110" t="str">
        <f>IFERROR(INDEX('WetLitterbags placem_collection'!$A$3:$A$500,MATCH(A525,'WetLitterbags placem_collection'!$O$4:$O$500,0)),"")</f>
        <v/>
      </c>
      <c r="P525" s="110">
        <f>IFERROR(INDEX('WetLitterbags placem_collection'!$A$3:$A$500,MATCH(A525,'WetLitterbags placem_collection'!$M$4:$M$500,0)),"")</f>
        <v>176</v>
      </c>
      <c r="Q525" s="110" t="str">
        <f>IFERROR(INDEX('WetLitterbags placem_collection'!$A$3:$A$500,MATCH(A525,'WetLitterbags placem_collection'!$Q$4:$Q$500,0)),"")</f>
        <v/>
      </c>
    </row>
    <row r="526" spans="1:17" ht="13.95" customHeight="1">
      <c r="A526" s="110" t="s">
        <v>878</v>
      </c>
      <c r="B526" s="110">
        <v>192</v>
      </c>
      <c r="C526" s="110">
        <v>1.0369999999999999</v>
      </c>
      <c r="E526" s="112">
        <v>42881</v>
      </c>
      <c r="N526" s="110" t="str">
        <f>IFERROR(INDEX('WetLitterbags placem_collection'!$A$3:$A$500,MATCH(A526,'WetLitterbags placem_collection'!$K$4:$K$500,0)),"")</f>
        <v/>
      </c>
      <c r="O526" s="110" t="str">
        <f>IFERROR(INDEX('WetLitterbags placem_collection'!$A$3:$A$500,MATCH(A526,'WetLitterbags placem_collection'!$O$4:$O$500,0)),"")</f>
        <v/>
      </c>
      <c r="P526" s="110">
        <f>IFERROR(INDEX('WetLitterbags placem_collection'!$A$3:$A$500,MATCH(A526,'WetLitterbags placem_collection'!$M$4:$M$500,0)),"")</f>
        <v>191</v>
      </c>
      <c r="Q526" s="110" t="str">
        <f>IFERROR(INDEX('WetLitterbags placem_collection'!$A$3:$A$500,MATCH(A526,'WetLitterbags placem_collection'!$Q$4:$Q$500,0)),"")</f>
        <v/>
      </c>
    </row>
    <row r="527" spans="1:17" ht="13.95" customHeight="1">
      <c r="A527" s="110" t="s">
        <v>877</v>
      </c>
      <c r="B527" s="110">
        <v>64</v>
      </c>
      <c r="C527" s="110">
        <v>1.7050000000000001</v>
      </c>
      <c r="E527" s="112">
        <v>42879</v>
      </c>
      <c r="N527" s="110" t="str">
        <f>IFERROR(INDEX('WetLitterbags placem_collection'!$A$3:$A$500,MATCH(A527,'WetLitterbags placem_collection'!$K$4:$K$500,0)),"")</f>
        <v/>
      </c>
      <c r="O527" s="110" t="str">
        <f>IFERROR(INDEX('WetLitterbags placem_collection'!$A$3:$A$500,MATCH(A527,'WetLitterbags placem_collection'!$O$4:$O$500,0)),"")</f>
        <v/>
      </c>
      <c r="P527" s="110" t="str">
        <f>IFERROR(INDEX('WetLitterbags placem_collection'!$A$3:$A$500,MATCH(A527,'WetLitterbags placem_collection'!$M$4:$M$500,0)),"")</f>
        <v/>
      </c>
      <c r="Q527" s="110">
        <f>IFERROR(INDEX('WetLitterbags placem_collection'!$A$3:$A$500,MATCH(A527,'WetLitterbags placem_collection'!$Q$4:$Q$500,0)),"")</f>
        <v>163</v>
      </c>
    </row>
    <row r="528" spans="1:17" ht="13.95" customHeight="1">
      <c r="A528" s="110" t="s">
        <v>876</v>
      </c>
      <c r="B528" s="110">
        <v>205</v>
      </c>
      <c r="C528" s="110">
        <v>1.6680999999999999</v>
      </c>
      <c r="D528" s="110" t="s">
        <v>2079</v>
      </c>
      <c r="E528" s="112">
        <v>43123</v>
      </c>
      <c r="N528" s="110" t="str">
        <f>IFERROR(INDEX('WetLitterbags placem_collection'!$A$3:$A$500,MATCH(A528,'WetLitterbags placem_collection'!$K$4:$K$500,0)),"")</f>
        <v/>
      </c>
      <c r="O528" s="110" t="str">
        <f>IFERROR(INDEX('WetLitterbags placem_collection'!$A$3:$A$500,MATCH(A528,'WetLitterbags placem_collection'!$O$4:$O$500,0)),"")</f>
        <v/>
      </c>
      <c r="P528" s="110">
        <f>IFERROR(INDEX('WetLitterbags placem_collection'!$A$3:$A$500,MATCH(A528,'WetLitterbags placem_collection'!$M$4:$M$500,0)),"")</f>
        <v>204</v>
      </c>
      <c r="Q528" s="110" t="str">
        <f>IFERROR(INDEX('WetLitterbags placem_collection'!$A$3:$A$500,MATCH(A528,'WetLitterbags placem_collection'!$Q$4:$Q$500,0)),"")</f>
        <v/>
      </c>
    </row>
    <row r="529" spans="1:17" ht="13.95" customHeight="1">
      <c r="A529" s="110" t="s">
        <v>875</v>
      </c>
      <c r="B529">
        <v>70</v>
      </c>
      <c r="C529" s="110">
        <v>1.599</v>
      </c>
      <c r="E529" s="112">
        <v>42878</v>
      </c>
      <c r="N529" s="110" t="str">
        <f>IFERROR(INDEX('WetLitterbags placem_collection'!$A$3:$A$500,MATCH(A529,'WetLitterbags placem_collection'!$K$4:$K$500,0)),"")</f>
        <v/>
      </c>
      <c r="O529" s="110" t="str">
        <f>IFERROR(INDEX('WetLitterbags placem_collection'!$A$3:$A$500,MATCH(A529,'WetLitterbags placem_collection'!$O$4:$O$500,0)),"")</f>
        <v/>
      </c>
      <c r="P529" s="110" t="str">
        <f>IFERROR(INDEX('WetLitterbags placem_collection'!$A$3:$A$500,MATCH(A529,'WetLitterbags placem_collection'!$M$4:$M$500,0)),"")</f>
        <v/>
      </c>
      <c r="Q529" s="110">
        <f>IFERROR(INDEX('WetLitterbags placem_collection'!$A$3:$A$500,MATCH(A529,'WetLitterbags placem_collection'!$Q$4:$Q$500,0)),"")</f>
        <v>69</v>
      </c>
    </row>
    <row r="530" spans="1:17" ht="13.95" customHeight="1">
      <c r="A530" s="110" t="s">
        <v>873</v>
      </c>
      <c r="B530" s="110">
        <v>180</v>
      </c>
      <c r="C530" s="110">
        <v>1.6403000000000001</v>
      </c>
      <c r="E530" s="112">
        <v>43119</v>
      </c>
      <c r="N530" s="110" t="str">
        <f>IFERROR(INDEX('WetLitterbags placem_collection'!$A$3:$A$500,MATCH(A530,'WetLitterbags placem_collection'!$K$4:$K$500,0)),"")</f>
        <v/>
      </c>
      <c r="O530" s="110" t="str">
        <f>IFERROR(INDEX('WetLitterbags placem_collection'!$A$3:$A$500,MATCH(A530,'WetLitterbags placem_collection'!$O$4:$O$500,0)),"")</f>
        <v/>
      </c>
      <c r="P530" s="110">
        <f>IFERROR(INDEX('WetLitterbags placem_collection'!$A$3:$A$500,MATCH(A530,'WetLitterbags placem_collection'!$M$4:$M$500,0)),"")</f>
        <v>179</v>
      </c>
      <c r="Q530" s="110" t="str">
        <f>IFERROR(INDEX('WetLitterbags placem_collection'!$A$3:$A$500,MATCH(A530,'WetLitterbags placem_collection'!$Q$4:$Q$500,0)),"")</f>
        <v/>
      </c>
    </row>
    <row r="531" spans="1:17" ht="13.95" customHeight="1">
      <c r="A531" s="110" t="s">
        <v>1114</v>
      </c>
      <c r="B531" s="110">
        <v>145</v>
      </c>
      <c r="C531" s="110">
        <v>1.6830000000000001</v>
      </c>
      <c r="E531" s="112">
        <v>42878</v>
      </c>
      <c r="N531" s="110" t="str">
        <f>IFERROR(INDEX('WetLitterbags placem_collection'!$A$3:$A$500,MATCH(A531,'WetLitterbags placem_collection'!$K$4:$K$500,0)),"")</f>
        <v/>
      </c>
      <c r="O531" s="110" t="str">
        <f>IFERROR(INDEX('WetLitterbags placem_collection'!$A$3:$A$500,MATCH(A531,'WetLitterbags placem_collection'!$O$4:$O$500,0)),"")</f>
        <v/>
      </c>
      <c r="P531" s="110">
        <f>IFERROR(INDEX('WetLitterbags placem_collection'!$A$3:$A$500,MATCH(A531,'WetLitterbags placem_collection'!$M$4:$M$500,0)),"")</f>
        <v>144</v>
      </c>
      <c r="Q531" s="110" t="str">
        <f>IFERROR(INDEX('WetLitterbags placem_collection'!$A$3:$A$500,MATCH(A531,'WetLitterbags placem_collection'!$Q$4:$Q$500,0)),"")</f>
        <v/>
      </c>
    </row>
    <row r="532" spans="1:17" ht="13.95" customHeight="1">
      <c r="A532" s="110" t="s">
        <v>870</v>
      </c>
      <c r="B532" s="110">
        <v>209</v>
      </c>
      <c r="C532" s="110">
        <v>1.754</v>
      </c>
      <c r="E532" s="112">
        <v>42878</v>
      </c>
      <c r="N532" s="110" t="str">
        <f>IFERROR(INDEX('WetLitterbags placem_collection'!$A$3:$A$500,MATCH(A532,'WetLitterbags placem_collection'!$K$4:$K$500,0)),"")</f>
        <v/>
      </c>
      <c r="O532" s="110" t="str">
        <f>IFERROR(INDEX('WetLitterbags placem_collection'!$A$3:$A$500,MATCH(A532,'WetLitterbags placem_collection'!$O$4:$O$500,0)),"")</f>
        <v/>
      </c>
      <c r="P532" s="110">
        <f>IFERROR(INDEX('WetLitterbags placem_collection'!$A$3:$A$500,MATCH(A532,'WetLitterbags placem_collection'!$M$4:$M$500,0)),"")</f>
        <v>208</v>
      </c>
      <c r="Q532" s="110" t="str">
        <f>IFERROR(INDEX('WetLitterbags placem_collection'!$A$3:$A$500,MATCH(A532,'WetLitterbags placem_collection'!$Q$4:$Q$500,0)),"")</f>
        <v/>
      </c>
    </row>
    <row r="533" spans="1:17" ht="13.95" customHeight="1">
      <c r="A533" s="110" t="s">
        <v>868</v>
      </c>
      <c r="B533" s="110" t="s">
        <v>2077</v>
      </c>
      <c r="C533" s="110">
        <v>1.655</v>
      </c>
      <c r="E533" s="112">
        <v>43122</v>
      </c>
      <c r="N533" s="110" t="str">
        <f>IFERROR(INDEX('WetLitterbags placem_collection'!$A$3:$A$500,MATCH(A533,'WetLitterbags placem_collection'!$K$4:$K$500,0)),"")</f>
        <v/>
      </c>
      <c r="O533" s="110" t="str">
        <f>IFERROR(INDEX('WetLitterbags placem_collection'!$A$3:$A$500,MATCH(A533,'WetLitterbags placem_collection'!$O$4:$O$500,0)),"")</f>
        <v/>
      </c>
      <c r="P533" s="110" t="str">
        <f>IFERROR(INDEX('WetLitterbags placem_collection'!$A$3:$A$500,MATCH(A533,'WetLitterbags placem_collection'!$M$4:$M$500,0)),"")</f>
        <v/>
      </c>
      <c r="Q533" s="110">
        <f>IFERROR(INDEX('WetLitterbags placem_collection'!$A$3:$A$500,MATCH(A533,'WetLitterbags placem_collection'!$Q$4:$Q$500,0)),"")</f>
        <v>178</v>
      </c>
    </row>
    <row r="534" spans="1:17" ht="13.95" customHeight="1">
      <c r="A534" s="110" t="s">
        <v>867</v>
      </c>
      <c r="B534" s="110">
        <v>18</v>
      </c>
      <c r="C534" s="110">
        <v>1.6060000000000001</v>
      </c>
      <c r="E534" s="112">
        <v>42879</v>
      </c>
      <c r="N534" s="110" t="str">
        <f>IFERROR(INDEX('WetLitterbags placem_collection'!$A$3:$A$500,MATCH(A534,'WetLitterbags placem_collection'!$K$4:$K$500,0)),"")</f>
        <v/>
      </c>
      <c r="O534" s="110" t="str">
        <f>IFERROR(INDEX('WetLitterbags placem_collection'!$A$3:$A$500,MATCH(A534,'WetLitterbags placem_collection'!$O$4:$O$500,0)),"")</f>
        <v/>
      </c>
      <c r="P534" s="110" t="str">
        <f>IFERROR(INDEX('WetLitterbags placem_collection'!$A$3:$A$500,MATCH(A534,'WetLitterbags placem_collection'!$M$4:$M$500,0)),"")</f>
        <v/>
      </c>
      <c r="Q534" s="110">
        <f>IFERROR(INDEX('WetLitterbags placem_collection'!$A$3:$A$500,MATCH(A534,'WetLitterbags placem_collection'!$Q$4:$Q$500,0)),"")</f>
        <v>17</v>
      </c>
    </row>
    <row r="535" spans="1:17" ht="13.95" customHeight="1">
      <c r="A535" s="110" t="s">
        <v>863</v>
      </c>
      <c r="B535" s="110" t="s">
        <v>2077</v>
      </c>
      <c r="C535" s="110">
        <v>1.6845000000000001</v>
      </c>
      <c r="E535" s="112">
        <v>43122</v>
      </c>
      <c r="G535" s="110" t="s">
        <v>2066</v>
      </c>
      <c r="N535" s="110" t="str">
        <f>IFERROR(INDEX('WetLitterbags placem_collection'!$A$3:$A$500,MATCH(A535,'WetLitterbags placem_collection'!$K$4:$K$500,0)),"")</f>
        <v/>
      </c>
      <c r="O535" s="110" t="str">
        <f>IFERROR(INDEX('WetLitterbags placem_collection'!$A$3:$A$500,MATCH(A535,'WetLitterbags placem_collection'!$O$4:$O$500,0)),"")</f>
        <v/>
      </c>
      <c r="P535" s="110">
        <f>IFERROR(INDEX('WetLitterbags placem_collection'!$A$3:$A$500,MATCH(A535,'WetLitterbags placem_collection'!$M$4:$M$500,0)),"")</f>
        <v>77</v>
      </c>
      <c r="Q535" s="110" t="str">
        <f>IFERROR(INDEX('WetLitterbags placem_collection'!$A$3:$A$500,MATCH(A535,'WetLitterbags placem_collection'!$Q$4:$Q$500,0)),"")</f>
        <v/>
      </c>
    </row>
    <row r="536" spans="1:17" ht="13.95" customHeight="1">
      <c r="A536" s="110" t="s">
        <v>1113</v>
      </c>
      <c r="B536" s="110" t="s">
        <v>2083</v>
      </c>
      <c r="C536" s="110">
        <v>1.5992999999999999</v>
      </c>
      <c r="D536" s="110" t="s">
        <v>2082</v>
      </c>
      <c r="E536" s="112">
        <v>43125</v>
      </c>
      <c r="G536" s="110" t="s">
        <v>2066</v>
      </c>
      <c r="N536" s="110" t="str">
        <f>IFERROR(INDEX('WetLitterbags placem_collection'!$A$3:$A$500,MATCH(A536,'WetLitterbags placem_collection'!$K$4:$K$500,0)),"")</f>
        <v/>
      </c>
      <c r="O536" s="110" t="str">
        <f>IFERROR(INDEX('WetLitterbags placem_collection'!$A$3:$A$500,MATCH(A536,'WetLitterbags placem_collection'!$O$4:$O$500,0)),"")</f>
        <v/>
      </c>
      <c r="P536" s="110">
        <f>IFERROR(INDEX('WetLitterbags placem_collection'!$A$3:$A$500,MATCH(A536,'WetLitterbags placem_collection'!$M$4:$M$500,0)),"")</f>
        <v>48</v>
      </c>
      <c r="Q536" s="110" t="str">
        <f>IFERROR(INDEX('WetLitterbags placem_collection'!$A$3:$A$500,MATCH(A536,'WetLitterbags placem_collection'!$Q$4:$Q$500,0)),"")</f>
        <v/>
      </c>
    </row>
    <row r="537" spans="1:17" ht="13.95" customHeight="1">
      <c r="A537" s="110" t="s">
        <v>859</v>
      </c>
      <c r="B537" s="110">
        <v>14</v>
      </c>
      <c r="C537" s="110">
        <v>1.5669999999999999</v>
      </c>
      <c r="E537" s="112">
        <v>42881</v>
      </c>
      <c r="G537" s="110" t="s">
        <v>2066</v>
      </c>
      <c r="N537" s="110" t="str">
        <f>IFERROR(INDEX('WetLitterbags placem_collection'!$A$3:$A$500,MATCH(A537,'WetLitterbags placem_collection'!$K$4:$K$500,0)),"")</f>
        <v/>
      </c>
      <c r="O537" s="110" t="str">
        <f>IFERROR(INDEX('WetLitterbags placem_collection'!$A$3:$A$500,MATCH(A537,'WetLitterbags placem_collection'!$O$4:$O$500,0)),"")</f>
        <v/>
      </c>
      <c r="P537" s="110" t="str">
        <f>IFERROR(INDEX('WetLitterbags placem_collection'!$A$3:$A$500,MATCH(A537,'WetLitterbags placem_collection'!$M$4:$M$500,0)),"")</f>
        <v/>
      </c>
      <c r="Q537" s="110">
        <f>IFERROR(INDEX('WetLitterbags placem_collection'!$A$3:$A$500,MATCH(A537,'WetLitterbags placem_collection'!$Q$4:$Q$500,0)),"")</f>
        <v>13</v>
      </c>
    </row>
    <row r="538" spans="1:17" ht="13.95" customHeight="1">
      <c r="A538" s="110" t="s">
        <v>856</v>
      </c>
      <c r="B538" s="110" t="s">
        <v>2077</v>
      </c>
      <c r="C538" s="110">
        <v>1.6621999999999999</v>
      </c>
      <c r="E538" s="112">
        <v>43116</v>
      </c>
      <c r="G538" s="110" t="s">
        <v>2066</v>
      </c>
      <c r="N538" s="110" t="str">
        <f>IFERROR(INDEX('WetLitterbags placem_collection'!$A$3:$A$500,MATCH(A538,'WetLitterbags placem_collection'!$K$4:$K$500,0)),"")</f>
        <v/>
      </c>
      <c r="O538" s="110" t="str">
        <f>IFERROR(INDEX('WetLitterbags placem_collection'!$A$3:$A$500,MATCH(A538,'WetLitterbags placem_collection'!$O$4:$O$500,0)),"")</f>
        <v/>
      </c>
      <c r="P538" s="110" t="str">
        <f>IFERROR(INDEX('WetLitterbags placem_collection'!$A$3:$A$500,MATCH(A538,'WetLitterbags placem_collection'!$M$4:$M$500,0)),"")</f>
        <v/>
      </c>
      <c r="Q538" s="110">
        <f>IFERROR(INDEX('WetLitterbags placem_collection'!$A$3:$A$500,MATCH(A538,'WetLitterbags placem_collection'!$Q$4:$Q$500,0)),"")</f>
        <v>161</v>
      </c>
    </row>
    <row r="539" spans="1:17" ht="13.95" customHeight="1">
      <c r="A539" s="110" t="s">
        <v>854</v>
      </c>
      <c r="B539" s="110" t="s">
        <v>2077</v>
      </c>
      <c r="C539" s="110">
        <v>1.6496999999999999</v>
      </c>
      <c r="D539" s="110" t="s">
        <v>2115</v>
      </c>
      <c r="E539" s="112">
        <v>43119</v>
      </c>
      <c r="G539" s="110" t="s">
        <v>2066</v>
      </c>
      <c r="N539" s="110" t="str">
        <f>IFERROR(INDEX('WetLitterbags placem_collection'!$A$3:$A$500,MATCH(A539,'WetLitterbags placem_collection'!$K$4:$K$500,0)),"")</f>
        <v/>
      </c>
      <c r="O539" s="110" t="str">
        <f>IFERROR(INDEX('WetLitterbags placem_collection'!$A$3:$A$500,MATCH(A539,'WetLitterbags placem_collection'!$O$4:$O$500,0)),"")</f>
        <v/>
      </c>
      <c r="P539" s="110">
        <f>IFERROR(INDEX('WetLitterbags placem_collection'!$A$3:$A$500,MATCH(A539,'WetLitterbags placem_collection'!$M$4:$M$500,0)),"")</f>
        <v>165</v>
      </c>
      <c r="Q539" s="110" t="str">
        <f>IFERROR(INDEX('WetLitterbags placem_collection'!$A$3:$A$500,MATCH(A539,'WetLitterbags placem_collection'!$Q$4:$Q$500,0)),"")</f>
        <v/>
      </c>
    </row>
    <row r="540" spans="1:17" ht="13.95" customHeight="1">
      <c r="A540" s="110" t="s">
        <v>852</v>
      </c>
      <c r="B540" s="110">
        <v>104</v>
      </c>
      <c r="C540" s="110">
        <v>1.512</v>
      </c>
      <c r="E540" s="112">
        <v>42881</v>
      </c>
      <c r="G540" s="110" t="s">
        <v>2066</v>
      </c>
      <c r="N540" s="110" t="str">
        <f>IFERROR(INDEX('WetLitterbags placem_collection'!$A$3:$A$500,MATCH(A540,'WetLitterbags placem_collection'!$K$4:$K$500,0)),"")</f>
        <v/>
      </c>
      <c r="O540" s="110" t="str">
        <f>IFERROR(INDEX('WetLitterbags placem_collection'!$A$3:$A$500,MATCH(A540,'WetLitterbags placem_collection'!$O$4:$O$500,0)),"")</f>
        <v/>
      </c>
      <c r="P540" s="110">
        <f>IFERROR(INDEX('WetLitterbags placem_collection'!$A$3:$A$500,MATCH(A540,'WetLitterbags placem_collection'!$M$4:$M$500,0)),"")</f>
        <v>193</v>
      </c>
      <c r="Q540" s="110" t="str">
        <f>IFERROR(INDEX('WetLitterbags placem_collection'!$A$3:$A$500,MATCH(A540,'WetLitterbags placem_collection'!$Q$4:$Q$500,0)),"")</f>
        <v/>
      </c>
    </row>
    <row r="541" spans="1:17" ht="13.95" customHeight="1">
      <c r="A541" s="110" t="s">
        <v>1112</v>
      </c>
      <c r="B541" s="110">
        <v>51</v>
      </c>
      <c r="C541" s="110">
        <v>1.4950000000000001</v>
      </c>
      <c r="E541" s="112">
        <v>42881</v>
      </c>
      <c r="N541" s="110" t="str">
        <f>IFERROR(INDEX('WetLitterbags placem_collection'!$A$3:$A$500,MATCH(A541,'WetLitterbags placem_collection'!$K$4:$K$500,0)),"")</f>
        <v/>
      </c>
      <c r="O541" s="110" t="str">
        <f>IFERROR(INDEX('WetLitterbags placem_collection'!$A$3:$A$500,MATCH(A541,'WetLitterbags placem_collection'!$O$4:$O$500,0)),"")</f>
        <v/>
      </c>
      <c r="P541" s="110" t="str">
        <f>IFERROR(INDEX('WetLitterbags placem_collection'!$A$3:$A$500,MATCH(A541,'WetLitterbags placem_collection'!$M$4:$M$500,0)),"")</f>
        <v/>
      </c>
      <c r="Q541" s="110">
        <f>IFERROR(INDEX('WetLitterbags placem_collection'!$A$3:$A$500,MATCH(A541,'WetLitterbags placem_collection'!$Q$4:$Q$500,0)),"")</f>
        <v>50</v>
      </c>
    </row>
    <row r="542" spans="1:17" ht="13.95" customHeight="1">
      <c r="A542" s="110" t="s">
        <v>851</v>
      </c>
      <c r="B542" s="110">
        <v>183</v>
      </c>
      <c r="C542" s="110">
        <v>1.7310000000000001</v>
      </c>
      <c r="E542" s="112">
        <v>42881</v>
      </c>
      <c r="N542" s="110" t="str">
        <f>IFERROR(INDEX('WetLitterbags placem_collection'!$A$3:$A$500,MATCH(A542,'WetLitterbags placem_collection'!$K$4:$K$500,0)),"")</f>
        <v/>
      </c>
      <c r="O542" s="110" t="str">
        <f>IFERROR(INDEX('WetLitterbags placem_collection'!$A$3:$A$500,MATCH(A542,'WetLitterbags placem_collection'!$O$4:$O$500,0)),"")</f>
        <v/>
      </c>
      <c r="P542" s="110" t="str">
        <f>IFERROR(INDEX('WetLitterbags placem_collection'!$A$3:$A$500,MATCH(A542,'WetLitterbags placem_collection'!$M$4:$M$500,0)),"")</f>
        <v/>
      </c>
      <c r="Q542" s="110">
        <f>IFERROR(INDEX('WetLitterbags placem_collection'!$A$3:$A$500,MATCH(A542,'WetLitterbags placem_collection'!$Q$4:$Q$500,0)),"")</f>
        <v>182</v>
      </c>
    </row>
    <row r="543" spans="1:17" ht="13.95" customHeight="1">
      <c r="A543" s="110" t="s">
        <v>850</v>
      </c>
      <c r="B543" s="110" t="s">
        <v>2077</v>
      </c>
      <c r="C543" s="110">
        <v>1.6970000000000001</v>
      </c>
      <c r="E543" s="112">
        <v>43116</v>
      </c>
      <c r="N543" s="110" t="str">
        <f>IFERROR(INDEX('WetLitterbags placem_collection'!$A$3:$A$500,MATCH(A543,'WetLitterbags placem_collection'!$K$4:$K$500,0)),"")</f>
        <v/>
      </c>
      <c r="O543" s="110" t="str">
        <f>IFERROR(INDEX('WetLitterbags placem_collection'!$A$3:$A$500,MATCH(A543,'WetLitterbags placem_collection'!$O$4:$O$500,0)),"")</f>
        <v/>
      </c>
      <c r="P543" s="110" t="str">
        <f>IFERROR(INDEX('WetLitterbags placem_collection'!$A$3:$A$500,MATCH(A543,'WetLitterbags placem_collection'!$M$4:$M$500,0)),"")</f>
        <v/>
      </c>
      <c r="Q543" s="110">
        <f>IFERROR(INDEX('WetLitterbags placem_collection'!$A$3:$A$500,MATCH(A543,'WetLitterbags placem_collection'!$Q$4:$Q$500,0)),"")</f>
        <v>180</v>
      </c>
    </row>
    <row r="544" spans="1:17" ht="13.95" customHeight="1">
      <c r="A544" s="110" t="s">
        <v>848</v>
      </c>
      <c r="B544" s="110">
        <v>81</v>
      </c>
      <c r="C544" s="110">
        <v>1.736</v>
      </c>
      <c r="D544" s="110" t="s">
        <v>2050</v>
      </c>
      <c r="E544" s="112">
        <v>42881</v>
      </c>
      <c r="N544" s="110" t="str">
        <f>IFERROR(INDEX('WetLitterbags placem_collection'!$A$3:$A$500,MATCH(A544,'WetLitterbags placem_collection'!$K$4:$K$500,0)),"")</f>
        <v/>
      </c>
      <c r="O544" s="110" t="str">
        <f>IFERROR(INDEX('WetLitterbags placem_collection'!$A$3:$A$500,MATCH(A544,'WetLitterbags placem_collection'!$O$4:$O$500,0)),"")</f>
        <v/>
      </c>
      <c r="P544" s="110" t="str">
        <f>IFERROR(INDEX('WetLitterbags placem_collection'!$A$3:$A$500,MATCH(A544,'WetLitterbags placem_collection'!$M$4:$M$500,0)),"")</f>
        <v/>
      </c>
      <c r="Q544" s="110">
        <f>IFERROR(INDEX('WetLitterbags placem_collection'!$A$3:$A$500,MATCH(A544,'WetLitterbags placem_collection'!$Q$4:$Q$500,0)),"")</f>
        <v>80</v>
      </c>
    </row>
    <row r="545" spans="1:17" ht="13.95" customHeight="1">
      <c r="A545" s="110" t="s">
        <v>845</v>
      </c>
      <c r="B545" s="110" t="s">
        <v>2077</v>
      </c>
      <c r="C545" s="110">
        <v>1.3653</v>
      </c>
      <c r="E545" s="112">
        <v>43119</v>
      </c>
      <c r="N545" s="110" t="str">
        <f>IFERROR(INDEX('WetLitterbags placem_collection'!$A$3:$A$500,MATCH(A545,'WetLitterbags placem_collection'!$K$4:$K$500,0)),"")</f>
        <v/>
      </c>
      <c r="O545" s="110" t="str">
        <f>IFERROR(INDEX('WetLitterbags placem_collection'!$A$3:$A$500,MATCH(A545,'WetLitterbags placem_collection'!$O$4:$O$500,0)),"")</f>
        <v/>
      </c>
      <c r="P545" s="110" t="str">
        <f>IFERROR(INDEX('WetLitterbags placem_collection'!$A$3:$A$500,MATCH(A545,'WetLitterbags placem_collection'!$M$4:$M$500,0)),"")</f>
        <v/>
      </c>
      <c r="Q545" s="110">
        <f>IFERROR(INDEX('WetLitterbags placem_collection'!$A$3:$A$500,MATCH(A545,'WetLitterbags placem_collection'!$Q$4:$Q$500,0)),"")</f>
        <v>29</v>
      </c>
    </row>
    <row r="546" spans="1:17" ht="13.95" customHeight="1">
      <c r="A546" s="110" t="s">
        <v>1138</v>
      </c>
      <c r="B546" s="110" t="s">
        <v>2077</v>
      </c>
      <c r="C546" s="110">
        <v>1.4899</v>
      </c>
      <c r="E546" s="112">
        <v>43122</v>
      </c>
      <c r="N546" s="110" t="str">
        <f>IFERROR(INDEX('WetLitterbags placem_collection'!$A$3:$A$500,MATCH(A546,'WetLitterbags placem_collection'!$K$4:$K$500,0)),"")</f>
        <v/>
      </c>
      <c r="O546" s="110" t="str">
        <f>IFERROR(INDEX('WetLitterbags placem_collection'!$A$3:$A$500,MATCH(A546,'WetLitterbags placem_collection'!$O$4:$O$500,0)),"")</f>
        <v/>
      </c>
      <c r="P546" s="110" t="str">
        <f>IFERROR(INDEX('WetLitterbags placem_collection'!$A$3:$A$500,MATCH(A546,'WetLitterbags placem_collection'!$M$4:$M$500,0)),"")</f>
        <v/>
      </c>
      <c r="Q546" s="110">
        <f>IFERROR(INDEX('WetLitterbags placem_collection'!$A$3:$A$500,MATCH(A546,'WetLitterbags placem_collection'!$Q$4:$Q$500,0)),"")</f>
        <v>12</v>
      </c>
    </row>
    <row r="547" spans="1:17" ht="13.95" customHeight="1">
      <c r="A547" s="110" t="s">
        <v>1111</v>
      </c>
      <c r="B547" s="110">
        <v>157</v>
      </c>
      <c r="C547" s="110">
        <v>1.825</v>
      </c>
      <c r="E547" s="112">
        <v>42879</v>
      </c>
      <c r="N547" s="110" t="str">
        <f>IFERROR(INDEX('WetLitterbags placem_collection'!$A$3:$A$500,MATCH(A547,'WetLitterbags placem_collection'!$K$4:$K$500,0)),"")</f>
        <v/>
      </c>
      <c r="O547" s="110" t="str">
        <f>IFERROR(INDEX('WetLitterbags placem_collection'!$A$3:$A$500,MATCH(A547,'WetLitterbags placem_collection'!$O$4:$O$500,0)),"")</f>
        <v/>
      </c>
      <c r="P547" s="110">
        <f>IFERROR(INDEX('WetLitterbags placem_collection'!$A$3:$A$500,MATCH(A547,'WetLitterbags placem_collection'!$M$4:$M$500,0)),"")</f>
        <v>156</v>
      </c>
      <c r="Q547" s="110" t="str">
        <f>IFERROR(INDEX('WetLitterbags placem_collection'!$A$3:$A$500,MATCH(A547,'WetLitterbags placem_collection'!$Q$4:$Q$500,0)),"")</f>
        <v/>
      </c>
    </row>
    <row r="548" spans="1:17" ht="13.95" customHeight="1">
      <c r="A548" s="110" t="s">
        <v>840</v>
      </c>
      <c r="B548" s="110">
        <v>180</v>
      </c>
      <c r="C548" s="110">
        <v>1.6709000000000001</v>
      </c>
      <c r="D548" s="110" t="s">
        <v>2119</v>
      </c>
      <c r="E548" s="112">
        <v>43119</v>
      </c>
      <c r="N548" s="110" t="str">
        <f>IFERROR(INDEX('WetLitterbags placem_collection'!$A$3:$A$500,MATCH(A548,'WetLitterbags placem_collection'!$K$4:$K$500,0)),"")</f>
        <v/>
      </c>
      <c r="O548" s="110" t="str">
        <f>IFERROR(INDEX('WetLitterbags placem_collection'!$A$3:$A$500,MATCH(A548,'WetLitterbags placem_collection'!$O$4:$O$500,0)),"")</f>
        <v/>
      </c>
      <c r="P548" s="110" t="str">
        <f>IFERROR(INDEX('WetLitterbags placem_collection'!$A$3:$A$500,MATCH(A548,'WetLitterbags placem_collection'!$M$4:$M$500,0)),"")</f>
        <v/>
      </c>
      <c r="Q548" s="110">
        <f>IFERROR(INDEX('WetLitterbags placem_collection'!$A$3:$A$500,MATCH(A548,'WetLitterbags placem_collection'!$Q$4:$Q$500,0)),"")</f>
        <v>179</v>
      </c>
    </row>
    <row r="549" spans="1:17" ht="13.95" customHeight="1">
      <c r="A549" s="110" t="s">
        <v>839</v>
      </c>
      <c r="B549" s="110">
        <v>217</v>
      </c>
      <c r="C549" s="110">
        <v>1.38</v>
      </c>
      <c r="E549" s="112">
        <v>42881</v>
      </c>
      <c r="N549" s="110" t="str">
        <f>IFERROR(INDEX('WetLitterbags placem_collection'!$A$3:$A$500,MATCH(A549,'WetLitterbags placem_collection'!$K$4:$K$500,0)),"")</f>
        <v/>
      </c>
      <c r="O549" s="110" t="str">
        <f>IFERROR(INDEX('WetLitterbags placem_collection'!$A$3:$A$500,MATCH(A549,'WetLitterbags placem_collection'!$O$4:$O$500,0)),"")</f>
        <v/>
      </c>
      <c r="P549" s="110">
        <f>IFERROR(INDEX('WetLitterbags placem_collection'!$A$3:$A$500,MATCH(A549,'WetLitterbags placem_collection'!$M$4:$M$500,0)),"")</f>
        <v>216</v>
      </c>
      <c r="Q549" s="110" t="str">
        <f>IFERROR(INDEX('WetLitterbags placem_collection'!$A$3:$A$500,MATCH(A549,'WetLitterbags placem_collection'!$Q$4:$Q$500,0)),"")</f>
        <v/>
      </c>
    </row>
    <row r="550" spans="1:17" ht="13.95" customHeight="1">
      <c r="A550" s="110" t="s">
        <v>838</v>
      </c>
      <c r="B550" s="110" t="s">
        <v>2077</v>
      </c>
      <c r="C550" s="110">
        <v>1.5651999999999999</v>
      </c>
      <c r="D550" s="110" t="s">
        <v>2115</v>
      </c>
      <c r="E550" s="112">
        <v>43116</v>
      </c>
      <c r="N550" s="110" t="str">
        <f>IFERROR(INDEX('WetLitterbags placem_collection'!$A$3:$A$500,MATCH(A550,'WetLitterbags placem_collection'!$K$4:$K$500,0)),"")</f>
        <v/>
      </c>
      <c r="O550" s="110" t="str">
        <f>IFERROR(INDEX('WetLitterbags placem_collection'!$A$3:$A$500,MATCH(A550,'WetLitterbags placem_collection'!$O$4:$O$500,0)),"")</f>
        <v/>
      </c>
      <c r="P550" s="110">
        <f>IFERROR(INDEX('WetLitterbags placem_collection'!$A$3:$A$500,MATCH(A550,'WetLitterbags placem_collection'!$M$4:$M$500,0)),"")</f>
        <v>199</v>
      </c>
      <c r="Q550" s="110" t="str">
        <f>IFERROR(INDEX('WetLitterbags placem_collection'!$A$3:$A$500,MATCH(A550,'WetLitterbags placem_collection'!$Q$4:$Q$500,0)),"")</f>
        <v/>
      </c>
    </row>
    <row r="551" spans="1:17" ht="13.95" customHeight="1">
      <c r="A551" s="110" t="s">
        <v>834</v>
      </c>
      <c r="B551" s="110">
        <v>174</v>
      </c>
      <c r="C551" s="110">
        <v>1.724</v>
      </c>
      <c r="E551" s="112">
        <v>42881</v>
      </c>
      <c r="N551" s="110" t="str">
        <f>IFERROR(INDEX('WetLitterbags placem_collection'!$A$3:$A$500,MATCH(A551,'WetLitterbags placem_collection'!$K$4:$K$500,0)),"")</f>
        <v/>
      </c>
      <c r="O551" s="110" t="str">
        <f>IFERROR(INDEX('WetLitterbags placem_collection'!$A$3:$A$500,MATCH(A551,'WetLitterbags placem_collection'!$O$4:$O$500,0)),"")</f>
        <v/>
      </c>
      <c r="P551" s="110">
        <f>IFERROR(INDEX('WetLitterbags placem_collection'!$A$3:$A$500,MATCH(A551,'WetLitterbags placem_collection'!$M$4:$M$500,0)),"")</f>
        <v>173</v>
      </c>
      <c r="Q551" s="110" t="str">
        <f>IFERROR(INDEX('WetLitterbags placem_collection'!$A$3:$A$500,MATCH(A551,'WetLitterbags placem_collection'!$Q$4:$Q$500,0)),"")</f>
        <v/>
      </c>
    </row>
    <row r="552" spans="1:17" ht="13.95" customHeight="1">
      <c r="A552" s="110" t="s">
        <v>832</v>
      </c>
      <c r="B552" s="110">
        <v>178</v>
      </c>
      <c r="C552" s="110">
        <v>1.6866000000000001</v>
      </c>
      <c r="D552" s="110" t="s">
        <v>2089</v>
      </c>
      <c r="E552" s="112">
        <v>43125</v>
      </c>
      <c r="N552" s="110" t="str">
        <f>IFERROR(INDEX('WetLitterbags placem_collection'!$A$3:$A$500,MATCH(A552,'WetLitterbags placem_collection'!$K$4:$K$500,0)),"")</f>
        <v/>
      </c>
      <c r="O552" s="110" t="str">
        <f>IFERROR(INDEX('WetLitterbags placem_collection'!$A$3:$A$500,MATCH(A552,'WetLitterbags placem_collection'!$O$4:$O$500,0)),"")</f>
        <v/>
      </c>
      <c r="P552" s="110">
        <f>IFERROR(INDEX('WetLitterbags placem_collection'!$A$3:$A$500,MATCH(A552,'WetLitterbags placem_collection'!$M$4:$M$500,0)),"")</f>
        <v>177</v>
      </c>
      <c r="Q552" s="110" t="str">
        <f>IFERROR(INDEX('WetLitterbags placem_collection'!$A$3:$A$500,MATCH(A552,'WetLitterbags placem_collection'!$Q$4:$Q$500,0)),"")</f>
        <v/>
      </c>
    </row>
    <row r="553" spans="1:17" ht="13.95" customHeight="1">
      <c r="A553" s="110" t="s">
        <v>1110</v>
      </c>
      <c r="B553" s="110">
        <v>58</v>
      </c>
      <c r="C553" s="110">
        <v>1.1857</v>
      </c>
      <c r="E553" s="112">
        <v>43123</v>
      </c>
      <c r="N553" s="110" t="str">
        <f>IFERROR(INDEX('WetLitterbags placem_collection'!$A$3:$A$500,MATCH(A553,'WetLitterbags placem_collection'!$K$4:$K$500,0)),"")</f>
        <v/>
      </c>
      <c r="O553" s="110" t="str">
        <f>IFERROR(INDEX('WetLitterbags placem_collection'!$A$3:$A$500,MATCH(A553,'WetLitterbags placem_collection'!$O$4:$O$500,0)),"")</f>
        <v/>
      </c>
      <c r="P553" s="110" t="str">
        <f>IFERROR(INDEX('WetLitterbags placem_collection'!$A$3:$A$500,MATCH(A553,'WetLitterbags placem_collection'!$M$4:$M$500,0)),"")</f>
        <v/>
      </c>
      <c r="Q553" s="110">
        <f>IFERROR(INDEX('WetLitterbags placem_collection'!$A$3:$A$500,MATCH(A553,'WetLitterbags placem_collection'!$Q$4:$Q$500,0)),"")</f>
        <v>57</v>
      </c>
    </row>
    <row r="554" spans="1:17" ht="13.95" customHeight="1">
      <c r="A554" s="110" t="s">
        <v>830</v>
      </c>
      <c r="B554" s="110" t="s">
        <v>2077</v>
      </c>
      <c r="C554" s="110">
        <v>1.6715</v>
      </c>
      <c r="E554" s="112">
        <v>43116</v>
      </c>
      <c r="N554" s="110" t="str">
        <f>IFERROR(INDEX('WetLitterbags placem_collection'!$A$3:$A$500,MATCH(A554,'WetLitterbags placem_collection'!$K$4:$K$500,0)),"")</f>
        <v/>
      </c>
      <c r="O554" s="110" t="str">
        <f>IFERROR(INDEX('WetLitterbags placem_collection'!$A$3:$A$500,MATCH(A554,'WetLitterbags placem_collection'!$O$4:$O$500,0)),"")</f>
        <v/>
      </c>
      <c r="P554" s="110" t="str">
        <f>IFERROR(INDEX('WetLitterbags placem_collection'!$A$3:$A$500,MATCH(A554,'WetLitterbags placem_collection'!$M$4:$M$500,0)),"")</f>
        <v/>
      </c>
      <c r="Q554" s="110">
        <f>IFERROR(INDEX('WetLitterbags placem_collection'!$A$3:$A$500,MATCH(A554,'WetLitterbags placem_collection'!$Q$4:$Q$500,0)),"")</f>
        <v>74</v>
      </c>
    </row>
    <row r="555" spans="1:17" ht="13.95" customHeight="1">
      <c r="A555" s="110" t="s">
        <v>829</v>
      </c>
      <c r="B555" s="110">
        <v>52</v>
      </c>
      <c r="C555" s="110">
        <v>1.546</v>
      </c>
      <c r="E555" s="112">
        <v>42878</v>
      </c>
      <c r="N555" s="110" t="str">
        <f>IFERROR(INDEX('WetLitterbags placem_collection'!$A$3:$A$500,MATCH(A555,'WetLitterbags placem_collection'!$K$4:$K$500,0)),"")</f>
        <v/>
      </c>
      <c r="O555" s="110" t="str">
        <f>IFERROR(INDEX('WetLitterbags placem_collection'!$A$3:$A$500,MATCH(A555,'WetLitterbags placem_collection'!$O$4:$O$500,0)),"")</f>
        <v/>
      </c>
      <c r="P555" s="110" t="str">
        <f>IFERROR(INDEX('WetLitterbags placem_collection'!$A$3:$A$500,MATCH(A555,'WetLitterbags placem_collection'!$M$4:$M$500,0)),"")</f>
        <v/>
      </c>
      <c r="Q555" s="110">
        <f>IFERROR(INDEX('WetLitterbags placem_collection'!$A$3:$A$500,MATCH(A555,'WetLitterbags placem_collection'!$Q$4:$Q$500,0)),"")</f>
        <v>51</v>
      </c>
    </row>
    <row r="556" spans="1:17" ht="13.95" customHeight="1">
      <c r="A556" s="110" t="s">
        <v>826</v>
      </c>
      <c r="B556" s="110">
        <v>85</v>
      </c>
      <c r="C556" s="110">
        <v>1.4850000000000001</v>
      </c>
      <c r="E556" s="112">
        <v>42878</v>
      </c>
      <c r="N556" s="110" t="str">
        <f>IFERROR(INDEX('WetLitterbags placem_collection'!$A$3:$A$500,MATCH(A556,'WetLitterbags placem_collection'!$K$4:$K$500,0)),"")</f>
        <v/>
      </c>
      <c r="O556" s="110" t="str">
        <f>IFERROR(INDEX('WetLitterbags placem_collection'!$A$3:$A$500,MATCH(A556,'WetLitterbags placem_collection'!$O$4:$O$500,0)),"")</f>
        <v/>
      </c>
      <c r="P556" s="110">
        <f>IFERROR(INDEX('WetLitterbags placem_collection'!$A$3:$A$500,MATCH(A556,'WetLitterbags placem_collection'!$M$4:$M$500,0)),"")</f>
        <v>84</v>
      </c>
      <c r="Q556" s="110" t="str">
        <f>IFERROR(INDEX('WetLitterbags placem_collection'!$A$3:$A$500,MATCH(A556,'WetLitterbags placem_collection'!$Q$4:$Q$500,0)),"")</f>
        <v/>
      </c>
    </row>
    <row r="557" spans="1:17" ht="13.95" customHeight="1">
      <c r="A557" s="110" t="s">
        <v>824</v>
      </c>
      <c r="B557" s="110">
        <v>64</v>
      </c>
      <c r="C557" s="110">
        <v>1.7210000000000001</v>
      </c>
      <c r="E557" s="112">
        <v>42879</v>
      </c>
      <c r="N557" s="110" t="str">
        <f>IFERROR(INDEX('WetLitterbags placem_collection'!$A$3:$A$500,MATCH(A557,'WetLitterbags placem_collection'!$K$4:$K$500,0)),"")</f>
        <v/>
      </c>
      <c r="O557" s="110" t="str">
        <f>IFERROR(INDEX('WetLitterbags placem_collection'!$A$3:$A$500,MATCH(A557,'WetLitterbags placem_collection'!$O$4:$O$500,0)),"")</f>
        <v/>
      </c>
      <c r="P557" s="110">
        <f>IFERROR(INDEX('WetLitterbags placem_collection'!$A$3:$A$500,MATCH(A557,'WetLitterbags placem_collection'!$M$4:$M$500,0)),"")</f>
        <v>163</v>
      </c>
      <c r="Q557" s="110" t="str">
        <f>IFERROR(INDEX('WetLitterbags placem_collection'!$A$3:$A$500,MATCH(A557,'WetLitterbags placem_collection'!$Q$4:$Q$500,0)),"")</f>
        <v/>
      </c>
    </row>
    <row r="558" spans="1:17" ht="13.95" customHeight="1">
      <c r="A558" s="110" t="s">
        <v>823</v>
      </c>
      <c r="B558" s="110" t="s">
        <v>2083</v>
      </c>
      <c r="C558" s="110">
        <v>1.748</v>
      </c>
      <c r="D558" s="110" t="s">
        <v>2094</v>
      </c>
      <c r="E558" s="112">
        <v>43125</v>
      </c>
      <c r="N558" s="110" t="str">
        <f>IFERROR(INDEX('WetLitterbags placem_collection'!$A$3:$A$500,MATCH(A558,'WetLitterbags placem_collection'!$K$4:$K$500,0)),"")</f>
        <v/>
      </c>
      <c r="O558" s="110" t="str">
        <f>IFERROR(INDEX('WetLitterbags placem_collection'!$A$3:$A$500,MATCH(A558,'WetLitterbags placem_collection'!$O$4:$O$500,0)),"")</f>
        <v/>
      </c>
      <c r="P558" s="110">
        <f>IFERROR(INDEX('WetLitterbags placem_collection'!$A$3:$A$500,MATCH(A558,'WetLitterbags placem_collection'!$M$4:$M$500,0)),"")</f>
        <v>95</v>
      </c>
      <c r="Q558" s="110" t="str">
        <f>IFERROR(INDEX('WetLitterbags placem_collection'!$A$3:$A$500,MATCH(A558,'WetLitterbags placem_collection'!$Q$4:$Q$500,0)),"")</f>
        <v/>
      </c>
    </row>
    <row r="559" spans="1:17" ht="13.95" customHeight="1">
      <c r="A559" s="110" t="s">
        <v>822</v>
      </c>
      <c r="B559" s="110" t="s">
        <v>2077</v>
      </c>
      <c r="C559" s="110">
        <v>1.5328999999999999</v>
      </c>
      <c r="E559" s="112">
        <v>43122</v>
      </c>
      <c r="N559" s="110" t="str">
        <f>IFERROR(INDEX('WetLitterbags placem_collection'!$A$3:$A$500,MATCH(A559,'WetLitterbags placem_collection'!$K$4:$K$500,0)),"")</f>
        <v/>
      </c>
      <c r="O559" s="110" t="str">
        <f>IFERROR(INDEX('WetLitterbags placem_collection'!$A$3:$A$500,MATCH(A559,'WetLitterbags placem_collection'!$O$4:$O$500,0)),"")</f>
        <v/>
      </c>
      <c r="P559" s="110" t="str">
        <f>IFERROR(INDEX('WetLitterbags placem_collection'!$A$3:$A$500,MATCH(A559,'WetLitterbags placem_collection'!$M$4:$M$500,0)),"")</f>
        <v/>
      </c>
      <c r="Q559" s="110">
        <f>IFERROR(INDEX('WetLitterbags placem_collection'!$A$3:$A$500,MATCH(A559,'WetLitterbags placem_collection'!$Q$4:$Q$500,0)),"")</f>
        <v>219</v>
      </c>
    </row>
    <row r="560" spans="1:17" ht="13.95" customHeight="1">
      <c r="A560" s="110" t="s">
        <v>1109</v>
      </c>
      <c r="B560" s="110" t="s">
        <v>2077</v>
      </c>
      <c r="C560" s="110">
        <v>1.6146</v>
      </c>
      <c r="D560" s="110" t="s">
        <v>2125</v>
      </c>
      <c r="E560" s="112">
        <v>43122</v>
      </c>
      <c r="N560" s="110" t="str">
        <f>IFERROR(INDEX('WetLitterbags placem_collection'!$A$3:$A$500,MATCH(A560,'WetLitterbags placem_collection'!$K$4:$K$500,0)),"")</f>
        <v/>
      </c>
      <c r="O560" s="110" t="str">
        <f>IFERROR(INDEX('WetLitterbags placem_collection'!$A$3:$A$500,MATCH(A560,'WetLitterbags placem_collection'!$O$4:$O$500,0)),"")</f>
        <v/>
      </c>
      <c r="P560" s="110">
        <f>IFERROR(INDEX('WetLitterbags placem_collection'!$A$3:$A$500,MATCH(A560,'WetLitterbags placem_collection'!$M$4:$M$500,0)),"")</f>
        <v>178</v>
      </c>
      <c r="Q560" s="110" t="str">
        <f>IFERROR(INDEX('WetLitterbags placem_collection'!$A$3:$A$500,MATCH(A560,'WetLitterbags placem_collection'!$Q$4:$Q$500,0)),"")</f>
        <v/>
      </c>
    </row>
    <row r="561" spans="1:17" ht="13.95" customHeight="1">
      <c r="A561" s="110" t="s">
        <v>819</v>
      </c>
      <c r="B561" s="110">
        <v>168</v>
      </c>
      <c r="C561" s="110">
        <v>1.6950000000000001</v>
      </c>
      <c r="E561" s="112">
        <v>42881</v>
      </c>
      <c r="N561" s="110" t="str">
        <f>IFERROR(INDEX('WetLitterbags placem_collection'!$A$3:$A$500,MATCH(A561,'WetLitterbags placem_collection'!$K$4:$K$500,0)),"")</f>
        <v/>
      </c>
      <c r="O561" s="110" t="str">
        <f>IFERROR(INDEX('WetLitterbags placem_collection'!$A$3:$A$500,MATCH(A561,'WetLitterbags placem_collection'!$O$4:$O$500,0)),"")</f>
        <v/>
      </c>
      <c r="P561" s="110" t="str">
        <f>IFERROR(INDEX('WetLitterbags placem_collection'!$A$3:$A$500,MATCH(A561,'WetLitterbags placem_collection'!$M$4:$M$500,0)),"")</f>
        <v/>
      </c>
      <c r="Q561" s="110">
        <f>IFERROR(INDEX('WetLitterbags placem_collection'!$A$3:$A$500,MATCH(A561,'WetLitterbags placem_collection'!$Q$4:$Q$500,0)),"")</f>
        <v>167</v>
      </c>
    </row>
    <row r="562" spans="1:17" ht="13.95" customHeight="1">
      <c r="A562" s="110" t="s">
        <v>818</v>
      </c>
      <c r="B562" s="110" t="s">
        <v>2077</v>
      </c>
      <c r="C562" s="110">
        <v>1.425</v>
      </c>
      <c r="D562" s="110" t="s">
        <v>2123</v>
      </c>
      <c r="E562" s="112">
        <v>43122</v>
      </c>
      <c r="N562" s="110" t="str">
        <f>IFERROR(INDEX('WetLitterbags placem_collection'!$A$3:$A$500,MATCH(A562,'WetLitterbags placem_collection'!$K$4:$K$500,0)),"")</f>
        <v/>
      </c>
      <c r="O562" s="110" t="str">
        <f>IFERROR(INDEX('WetLitterbags placem_collection'!$A$3:$A$500,MATCH(A562,'WetLitterbags placem_collection'!$O$4:$O$500,0)),"")</f>
        <v/>
      </c>
      <c r="P562" s="110" t="str">
        <f>IFERROR(INDEX('WetLitterbags placem_collection'!$A$3:$A$500,MATCH(A562,'WetLitterbags placem_collection'!$M$4:$M$500,0)),"")</f>
        <v/>
      </c>
      <c r="Q562" s="110">
        <f>IFERROR(INDEX('WetLitterbags placem_collection'!$A$3:$A$500,MATCH(A562,'WetLitterbags placem_collection'!$Q$4:$Q$500,0)),"")</f>
        <v>30</v>
      </c>
    </row>
    <row r="563" spans="1:17" ht="13.95" customHeight="1">
      <c r="A563" s="110" t="s">
        <v>815</v>
      </c>
      <c r="B563" s="110">
        <v>176</v>
      </c>
      <c r="C563" s="110">
        <v>1.694</v>
      </c>
      <c r="E563" s="112">
        <v>42879</v>
      </c>
      <c r="N563" s="110" t="str">
        <f>IFERROR(INDEX('WetLitterbags placem_collection'!$A$3:$A$500,MATCH(A563,'WetLitterbags placem_collection'!$K$4:$K$500,0)),"")</f>
        <v/>
      </c>
      <c r="O563" s="110" t="str">
        <f>IFERROR(INDEX('WetLitterbags placem_collection'!$A$3:$A$500,MATCH(A563,'WetLitterbags placem_collection'!$O$4:$O$500,0)),"")</f>
        <v/>
      </c>
      <c r="P563" s="110">
        <f>IFERROR(INDEX('WetLitterbags placem_collection'!$A$3:$A$500,MATCH(A563,'WetLitterbags placem_collection'!$M$4:$M$500,0)),"")</f>
        <v>175</v>
      </c>
      <c r="Q563" s="110" t="str">
        <f>IFERROR(INDEX('WetLitterbags placem_collection'!$A$3:$A$500,MATCH(A563,'WetLitterbags placem_collection'!$Q$4:$Q$500,0)),"")</f>
        <v/>
      </c>
    </row>
    <row r="564" spans="1:17" ht="13.95" customHeight="1">
      <c r="A564" s="110" t="s">
        <v>813</v>
      </c>
      <c r="B564" s="110">
        <v>207</v>
      </c>
      <c r="C564" s="110">
        <v>1.609</v>
      </c>
      <c r="E564" s="112">
        <v>42879</v>
      </c>
      <c r="N564" s="110" t="str">
        <f>IFERROR(INDEX('WetLitterbags placem_collection'!$A$3:$A$500,MATCH(A564,'WetLitterbags placem_collection'!$K$4:$K$500,0)),"")</f>
        <v/>
      </c>
      <c r="O564" s="110" t="str">
        <f>IFERROR(INDEX('WetLitterbags placem_collection'!$A$3:$A$500,MATCH(A564,'WetLitterbags placem_collection'!$O$4:$O$500,0)),"")</f>
        <v/>
      </c>
      <c r="P564" s="110" t="str">
        <f>IFERROR(INDEX('WetLitterbags placem_collection'!$A$3:$A$500,MATCH(A564,'WetLitterbags placem_collection'!$M$4:$M$500,0)),"")</f>
        <v/>
      </c>
      <c r="Q564" s="110">
        <f>IFERROR(INDEX('WetLitterbags placem_collection'!$A$3:$A$500,MATCH(A564,'WetLitterbags placem_collection'!$Q$4:$Q$500,0)),"")</f>
        <v>205</v>
      </c>
    </row>
    <row r="565" spans="1:17" ht="13.95" customHeight="1">
      <c r="A565" s="110" t="s">
        <v>812</v>
      </c>
      <c r="B565" s="110">
        <v>87</v>
      </c>
      <c r="C565" s="110">
        <v>1.7085999999999999</v>
      </c>
      <c r="E565" s="112">
        <v>43125</v>
      </c>
      <c r="N565" s="110" t="str">
        <f>IFERROR(INDEX('WetLitterbags placem_collection'!$A$3:$A$500,MATCH(A565,'WetLitterbags placem_collection'!$K$4:$K$500,0)),"")</f>
        <v/>
      </c>
      <c r="O565" s="110" t="str">
        <f>IFERROR(INDEX('WetLitterbags placem_collection'!$A$3:$A$500,MATCH(A565,'WetLitterbags placem_collection'!$O$4:$O$500,0)),"")</f>
        <v/>
      </c>
      <c r="P565" s="110" t="str">
        <f>IFERROR(INDEX('WetLitterbags placem_collection'!$A$3:$A$500,MATCH(A565,'WetLitterbags placem_collection'!$M$4:$M$500,0)),"")</f>
        <v/>
      </c>
      <c r="Q565" s="110">
        <f>IFERROR(INDEX('WetLitterbags placem_collection'!$A$3:$A$500,MATCH(A565,'WetLitterbags placem_collection'!$Q$4:$Q$500,0)),"")</f>
        <v>86</v>
      </c>
    </row>
    <row r="566" spans="1:17" ht="13.95" customHeight="1">
      <c r="A566" s="110" t="s">
        <v>1108</v>
      </c>
      <c r="B566" s="110">
        <v>109</v>
      </c>
      <c r="C566" s="110">
        <v>1.5922000000000001</v>
      </c>
      <c r="E566" s="112">
        <v>43125</v>
      </c>
      <c r="N566" s="110" t="str">
        <f>IFERROR(INDEX('WetLitterbags placem_collection'!$A$3:$A$500,MATCH(A566,'WetLitterbags placem_collection'!$K$4:$K$500,0)),"")</f>
        <v/>
      </c>
      <c r="O566" s="110" t="str">
        <f>IFERROR(INDEX('WetLitterbags placem_collection'!$A$3:$A$500,MATCH(A566,'WetLitterbags placem_collection'!$O$4:$O$500,0)),"")</f>
        <v/>
      </c>
      <c r="P566" s="110" t="str">
        <f>IFERROR(INDEX('WetLitterbags placem_collection'!$A$3:$A$500,MATCH(A566,'WetLitterbags placem_collection'!$M$4:$M$500,0)),"")</f>
        <v/>
      </c>
      <c r="Q566" s="110">
        <f>IFERROR(INDEX('WetLitterbags placem_collection'!$A$3:$A$500,MATCH(A566,'WetLitterbags placem_collection'!$Q$4:$Q$500,0)),"")</f>
        <v>108</v>
      </c>
    </row>
    <row r="567" spans="1:17" ht="13.95" customHeight="1">
      <c r="A567" s="110" t="s">
        <v>811</v>
      </c>
      <c r="B567" s="110">
        <v>170</v>
      </c>
      <c r="C567" s="110">
        <v>1.7769999999999999</v>
      </c>
      <c r="E567" s="112">
        <v>42878</v>
      </c>
      <c r="N567" s="110" t="str">
        <f>IFERROR(INDEX('WetLitterbags placem_collection'!$A$3:$A$500,MATCH(A567,'WetLitterbags placem_collection'!$K$4:$K$500,0)),"")</f>
        <v/>
      </c>
      <c r="O567" s="110" t="str">
        <f>IFERROR(INDEX('WetLitterbags placem_collection'!$A$3:$A$500,MATCH(A567,'WetLitterbags placem_collection'!$O$4:$O$500,0)),"")</f>
        <v/>
      </c>
      <c r="P567" s="110">
        <f>IFERROR(INDEX('WetLitterbags placem_collection'!$A$3:$A$500,MATCH(A567,'WetLitterbags placem_collection'!$M$4:$M$500,0)),"")</f>
        <v>169</v>
      </c>
      <c r="Q567" s="110" t="str">
        <f>IFERROR(INDEX('WetLitterbags placem_collection'!$A$3:$A$500,MATCH(A567,'WetLitterbags placem_collection'!$Q$4:$Q$500,0)),"")</f>
        <v/>
      </c>
    </row>
    <row r="568" spans="1:17" ht="13.95" customHeight="1">
      <c r="A568" s="110" t="s">
        <v>810</v>
      </c>
      <c r="B568" s="110">
        <v>165</v>
      </c>
      <c r="C568" s="110">
        <v>1.724</v>
      </c>
      <c r="E568" s="112">
        <v>42878</v>
      </c>
      <c r="N568" s="110" t="str">
        <f>IFERROR(INDEX('WetLitterbags placem_collection'!$A$3:$A$500,MATCH(A568,'WetLitterbags placem_collection'!$K$4:$K$500,0)),"")</f>
        <v/>
      </c>
      <c r="O568" s="110" t="str">
        <f>IFERROR(INDEX('WetLitterbags placem_collection'!$A$3:$A$500,MATCH(A568,'WetLitterbags placem_collection'!$O$4:$O$500,0)),"")</f>
        <v/>
      </c>
      <c r="P568" s="110">
        <f>IFERROR(INDEX('WetLitterbags placem_collection'!$A$3:$A$500,MATCH(A568,'WetLitterbags placem_collection'!$M$4:$M$500,0)),"")</f>
        <v>164</v>
      </c>
      <c r="Q568" s="110" t="str">
        <f>IFERROR(INDEX('WetLitterbags placem_collection'!$A$3:$A$500,MATCH(A568,'WetLitterbags placem_collection'!$Q$4:$Q$500,0)),"")</f>
        <v/>
      </c>
    </row>
    <row r="569" spans="1:17" ht="13.95" customHeight="1">
      <c r="A569" s="110" t="s">
        <v>808</v>
      </c>
      <c r="B569" s="110">
        <v>65</v>
      </c>
      <c r="C569" s="110">
        <v>1.6319999999999999</v>
      </c>
      <c r="E569" s="112">
        <v>42879</v>
      </c>
      <c r="N569" s="110" t="str">
        <f>IFERROR(INDEX('WetLitterbags placem_collection'!$A$3:$A$500,MATCH(A569,'WetLitterbags placem_collection'!$K$4:$K$500,0)),"")</f>
        <v/>
      </c>
      <c r="O569" s="110" t="str">
        <f>IFERROR(INDEX('WetLitterbags placem_collection'!$A$3:$A$500,MATCH(A569,'WetLitterbags placem_collection'!$O$4:$O$500,0)),"")</f>
        <v/>
      </c>
      <c r="P569" s="110" t="str">
        <f>IFERROR(INDEX('WetLitterbags placem_collection'!$A$3:$A$500,MATCH(A569,'WetLitterbags placem_collection'!$M$4:$M$500,0)),"")</f>
        <v/>
      </c>
      <c r="Q569" s="110">
        <f>IFERROR(INDEX('WetLitterbags placem_collection'!$A$3:$A$500,MATCH(A569,'WetLitterbags placem_collection'!$Q$4:$Q$500,0)),"")</f>
        <v>64</v>
      </c>
    </row>
    <row r="570" spans="1:17" ht="13.95" customHeight="1">
      <c r="A570" s="110" t="s">
        <v>807</v>
      </c>
      <c r="B570" s="110" t="s">
        <v>2063</v>
      </c>
      <c r="C570" s="110">
        <v>1.544</v>
      </c>
      <c r="E570" s="112">
        <v>42879</v>
      </c>
      <c r="N570" s="110" t="str">
        <f>IFERROR(INDEX('WetLitterbags placem_collection'!$A$3:$A$500,MATCH(A570,'WetLitterbags placem_collection'!$K$4:$K$500,0)),"")</f>
        <v/>
      </c>
      <c r="O570" s="110" t="str">
        <f>IFERROR(INDEX('WetLitterbags placem_collection'!$A$3:$A$500,MATCH(A570,'WetLitterbags placem_collection'!$O$4:$O$500,0)),"")</f>
        <v/>
      </c>
      <c r="P570" s="110">
        <f>IFERROR(INDEX('WetLitterbags placem_collection'!$A$3:$A$500,MATCH(A570,'WetLitterbags placem_collection'!$M$4:$M$500,0)),"")</f>
        <v>203</v>
      </c>
      <c r="Q570" s="110" t="str">
        <f>IFERROR(INDEX('WetLitterbags placem_collection'!$A$3:$A$500,MATCH(A570,'WetLitterbags placem_collection'!$Q$4:$Q$500,0)),"")</f>
        <v/>
      </c>
    </row>
    <row r="571" spans="1:17" ht="13.95" customHeight="1">
      <c r="A571" s="110" t="s">
        <v>805</v>
      </c>
      <c r="B571" s="110" t="s">
        <v>2077</v>
      </c>
      <c r="C571" s="110">
        <v>1.671</v>
      </c>
      <c r="E571" s="112">
        <v>43122</v>
      </c>
      <c r="N571" s="110" t="str">
        <f>IFERROR(INDEX('WetLitterbags placem_collection'!$A$3:$A$500,MATCH(A571,'WetLitterbags placem_collection'!$K$4:$K$500,0)),"")</f>
        <v/>
      </c>
      <c r="O571" s="110" t="str">
        <f>IFERROR(INDEX('WetLitterbags placem_collection'!$A$3:$A$500,MATCH(A571,'WetLitterbags placem_collection'!$O$4:$O$500,0)),"")</f>
        <v/>
      </c>
      <c r="P571" s="110">
        <f>IFERROR(INDEX('WetLitterbags placem_collection'!$A$3:$A$500,MATCH(A571,'WetLitterbags placem_collection'!$M$4:$M$500,0)),"")</f>
        <v>190</v>
      </c>
      <c r="Q571" s="110" t="str">
        <f>IFERROR(INDEX('WetLitterbags placem_collection'!$A$3:$A$500,MATCH(A571,'WetLitterbags placem_collection'!$Q$4:$Q$500,0)),"")</f>
        <v/>
      </c>
    </row>
    <row r="572" spans="1:17" ht="13.95" customHeight="1">
      <c r="A572" s="110" t="s">
        <v>802</v>
      </c>
      <c r="B572" s="110">
        <v>109</v>
      </c>
      <c r="C572" s="110">
        <v>1.6160000000000001</v>
      </c>
      <c r="E572" s="112">
        <v>42881</v>
      </c>
      <c r="N572" s="110" t="str">
        <f>IFERROR(INDEX('WetLitterbags placem_collection'!$A$3:$A$500,MATCH(A572,'WetLitterbags placem_collection'!$K$4:$K$500,0)),"")</f>
        <v/>
      </c>
      <c r="O572" s="110" t="str">
        <f>IFERROR(INDEX('WetLitterbags placem_collection'!$A$3:$A$500,MATCH(A572,'WetLitterbags placem_collection'!$O$4:$O$500,0)),"")</f>
        <v/>
      </c>
      <c r="P572" s="110">
        <f>IFERROR(INDEX('WetLitterbags placem_collection'!$A$3:$A$500,MATCH(A572,'WetLitterbags placem_collection'!$M$4:$M$500,0)),"")</f>
        <v>198</v>
      </c>
      <c r="Q572" s="110" t="str">
        <f>IFERROR(INDEX('WetLitterbags placem_collection'!$A$3:$A$500,MATCH(A572,'WetLitterbags placem_collection'!$Q$4:$Q$500,0)),"")</f>
        <v/>
      </c>
    </row>
    <row r="573" spans="1:17" ht="13.95" customHeight="1">
      <c r="A573" s="110" t="s">
        <v>1107</v>
      </c>
      <c r="B573" s="110">
        <v>137</v>
      </c>
      <c r="C573" s="110">
        <v>1.571</v>
      </c>
      <c r="E573" s="112">
        <v>42879</v>
      </c>
      <c r="N573" s="110" t="str">
        <f>IFERROR(INDEX('WetLitterbags placem_collection'!$A$3:$A$500,MATCH(A573,'WetLitterbags placem_collection'!$K$4:$K$500,0)),"")</f>
        <v/>
      </c>
      <c r="O573" s="110" t="str">
        <f>IFERROR(INDEX('WetLitterbags placem_collection'!$A$3:$A$500,MATCH(A573,'WetLitterbags placem_collection'!$O$4:$O$500,0)),"")</f>
        <v/>
      </c>
      <c r="P573" s="110">
        <f>IFERROR(INDEX('WetLitterbags placem_collection'!$A$3:$A$500,MATCH(A573,'WetLitterbags placem_collection'!$M$4:$M$500,0)),"")</f>
        <v>136</v>
      </c>
      <c r="Q573" s="110" t="str">
        <f>IFERROR(INDEX('WetLitterbags placem_collection'!$A$3:$A$500,MATCH(A573,'WetLitterbags placem_collection'!$Q$4:$Q$500,0)),"")</f>
        <v/>
      </c>
    </row>
    <row r="574" spans="1:17" ht="13.95" customHeight="1">
      <c r="A574" s="110" t="s">
        <v>801</v>
      </c>
      <c r="B574" s="110" t="s">
        <v>2077</v>
      </c>
      <c r="C574" s="110">
        <v>1.6197999999999999</v>
      </c>
      <c r="E574" s="112">
        <v>43119</v>
      </c>
      <c r="N574" s="110" t="str">
        <f>IFERROR(INDEX('WetLitterbags placem_collection'!$A$3:$A$500,MATCH(A574,'WetLitterbags placem_collection'!$K$4:$K$500,0)),"")</f>
        <v/>
      </c>
      <c r="O574" s="110" t="str">
        <f>IFERROR(INDEX('WetLitterbags placem_collection'!$A$3:$A$500,MATCH(A574,'WetLitterbags placem_collection'!$O$4:$O$500,0)),"")</f>
        <v/>
      </c>
      <c r="P574" s="110">
        <f>IFERROR(INDEX('WetLitterbags placem_collection'!$A$3:$A$500,MATCH(A574,'WetLitterbags placem_collection'!$M$4:$M$500,0)),"")</f>
        <v>209</v>
      </c>
      <c r="Q574" s="110" t="str">
        <f>IFERROR(INDEX('WetLitterbags placem_collection'!$A$3:$A$500,MATCH(A574,'WetLitterbags placem_collection'!$Q$4:$Q$500,0)),"")</f>
        <v/>
      </c>
    </row>
    <row r="575" spans="1:17" ht="13.95" customHeight="1">
      <c r="A575" s="110" t="s">
        <v>800</v>
      </c>
      <c r="B575" s="110">
        <v>163</v>
      </c>
      <c r="C575" s="110">
        <v>1.738</v>
      </c>
      <c r="E575" s="112">
        <v>42881</v>
      </c>
      <c r="N575" s="110" t="str">
        <f>IFERROR(INDEX('WetLitterbags placem_collection'!$A$3:$A$500,MATCH(A575,'WetLitterbags placem_collection'!$K$4:$K$500,0)),"")</f>
        <v/>
      </c>
      <c r="O575" s="110" t="str">
        <f>IFERROR(INDEX('WetLitterbags placem_collection'!$A$3:$A$500,MATCH(A575,'WetLitterbags placem_collection'!$O$4:$O$500,0)),"")</f>
        <v/>
      </c>
      <c r="P575" s="110" t="str">
        <f>IFERROR(INDEX('WetLitterbags placem_collection'!$A$3:$A$500,MATCH(A575,'WetLitterbags placem_collection'!$M$4:$M$500,0)),"")</f>
        <v/>
      </c>
      <c r="Q575" s="110">
        <f>IFERROR(INDEX('WetLitterbags placem_collection'!$A$3:$A$500,MATCH(A575,'WetLitterbags placem_collection'!$Q$4:$Q$500,0)),"")</f>
        <v>162</v>
      </c>
    </row>
    <row r="576" spans="1:17" ht="13.95" customHeight="1">
      <c r="A576" s="110" t="s">
        <v>799</v>
      </c>
      <c r="B576" s="110" t="s">
        <v>2077</v>
      </c>
      <c r="C576" s="110">
        <v>1.5906</v>
      </c>
      <c r="E576" s="112">
        <v>43119</v>
      </c>
      <c r="N576" s="110" t="str">
        <f>IFERROR(INDEX('WetLitterbags placem_collection'!$A$3:$A$500,MATCH(A576,'WetLitterbags placem_collection'!$K$4:$K$500,0)),"")</f>
        <v/>
      </c>
      <c r="O576" s="110" t="str">
        <f>IFERROR(INDEX('WetLitterbags placem_collection'!$A$3:$A$500,MATCH(A576,'WetLitterbags placem_collection'!$O$4:$O$500,0)),"")</f>
        <v/>
      </c>
      <c r="P576" s="110" t="str">
        <f>IFERROR(INDEX('WetLitterbags placem_collection'!$A$3:$A$500,MATCH(A576,'WetLitterbags placem_collection'!$M$4:$M$500,0)),"")</f>
        <v/>
      </c>
      <c r="Q576" s="110">
        <f>IFERROR(INDEX('WetLitterbags placem_collection'!$A$3:$A$500,MATCH(A576,'WetLitterbags placem_collection'!$Q$4:$Q$500,0)),"")</f>
        <v>202</v>
      </c>
    </row>
    <row r="577" spans="1:17" ht="13.95" customHeight="1">
      <c r="A577" s="110" t="s">
        <v>798</v>
      </c>
      <c r="B577" s="110">
        <v>91</v>
      </c>
      <c r="C577" s="110">
        <v>0.16200000000000001</v>
      </c>
      <c r="D577" s="110" t="s">
        <v>2135</v>
      </c>
      <c r="E577" s="112">
        <v>42878</v>
      </c>
      <c r="N577" s="110" t="str">
        <f>IFERROR(INDEX('WetLitterbags placem_collection'!$A$3:$A$500,MATCH(A577,'WetLitterbags placem_collection'!$K$4:$K$500,0)),"")</f>
        <v/>
      </c>
      <c r="O577" s="110" t="str">
        <f>IFERROR(INDEX('WetLitterbags placem_collection'!$A$3:$A$500,MATCH(A577,'WetLitterbags placem_collection'!$O$4:$O$500,0)),"")</f>
        <v/>
      </c>
      <c r="P577" s="110">
        <f>IFERROR(INDEX('WetLitterbags placem_collection'!$A$3:$A$500,MATCH(A577,'WetLitterbags placem_collection'!$M$4:$M$500,0)),"")</f>
        <v>90</v>
      </c>
      <c r="Q577" s="110" t="str">
        <f>IFERROR(INDEX('WetLitterbags placem_collection'!$A$3:$A$500,MATCH(A577,'WetLitterbags placem_collection'!$Q$4:$Q$500,0)),"")</f>
        <v/>
      </c>
    </row>
    <row r="578" spans="1:17" ht="13.95" customHeight="1">
      <c r="A578" s="110" t="s">
        <v>797</v>
      </c>
      <c r="B578" s="110">
        <v>208</v>
      </c>
      <c r="C578" s="110">
        <v>1.476</v>
      </c>
      <c r="E578" s="112">
        <v>42879</v>
      </c>
      <c r="N578" s="110" t="str">
        <f>IFERROR(INDEX('WetLitterbags placem_collection'!$A$3:$A$500,MATCH(A578,'WetLitterbags placem_collection'!$K$4:$K$500,0)),"")</f>
        <v/>
      </c>
      <c r="O578" s="110" t="str">
        <f>IFERROR(INDEX('WetLitterbags placem_collection'!$A$3:$A$500,MATCH(A578,'WetLitterbags placem_collection'!$O$4:$O$500,0)),"")</f>
        <v/>
      </c>
      <c r="P578" s="110">
        <f>IFERROR(INDEX('WetLitterbags placem_collection'!$A$3:$A$500,MATCH(A578,'WetLitterbags placem_collection'!$M$4:$M$500,0)),"")</f>
        <v>207</v>
      </c>
      <c r="Q578" s="110" t="str">
        <f>IFERROR(INDEX('WetLitterbags placem_collection'!$A$3:$A$500,MATCH(A578,'WetLitterbags placem_collection'!$Q$4:$Q$500,0)),"")</f>
        <v/>
      </c>
    </row>
    <row r="579" spans="1:17" ht="13.95" customHeight="1">
      <c r="A579" s="110" t="s">
        <v>795</v>
      </c>
      <c r="B579" s="110">
        <v>192</v>
      </c>
      <c r="C579" s="110">
        <v>1.6679999999999999</v>
      </c>
      <c r="E579" s="112">
        <v>42881</v>
      </c>
      <c r="N579" s="110" t="str">
        <f>IFERROR(INDEX('WetLitterbags placem_collection'!$A$3:$A$500,MATCH(A579,'WetLitterbags placem_collection'!$K$4:$K$500,0)),"")</f>
        <v/>
      </c>
      <c r="O579" s="110" t="str">
        <f>IFERROR(INDEX('WetLitterbags placem_collection'!$A$3:$A$500,MATCH(A579,'WetLitterbags placem_collection'!$O$4:$O$500,0)),"")</f>
        <v/>
      </c>
      <c r="P579" s="110" t="str">
        <f>IFERROR(INDEX('WetLitterbags placem_collection'!$A$3:$A$500,MATCH(A579,'WetLitterbags placem_collection'!$M$4:$M$500,0)),"")</f>
        <v/>
      </c>
      <c r="Q579" s="110">
        <f>IFERROR(INDEX('WetLitterbags placem_collection'!$A$3:$A$500,MATCH(A579,'WetLitterbags placem_collection'!$Q$4:$Q$500,0)),"")</f>
        <v>191</v>
      </c>
    </row>
    <row r="580" spans="1:17" ht="13.95" customHeight="1">
      <c r="A580" s="110" t="s">
        <v>1106</v>
      </c>
      <c r="B580" s="110">
        <v>157</v>
      </c>
      <c r="C580" s="110">
        <v>1.994</v>
      </c>
      <c r="E580" s="112">
        <v>42879</v>
      </c>
      <c r="N580" s="110" t="str">
        <f>IFERROR(INDEX('WetLitterbags placem_collection'!$A$3:$A$500,MATCH(A580,'WetLitterbags placem_collection'!$K$4:$K$500,0)),"")</f>
        <v/>
      </c>
      <c r="O580" s="110" t="str">
        <f>IFERROR(INDEX('WetLitterbags placem_collection'!$A$3:$A$500,MATCH(A580,'WetLitterbags placem_collection'!$O$4:$O$500,0)),"")</f>
        <v/>
      </c>
      <c r="P580" s="110" t="str">
        <f>IFERROR(INDEX('WetLitterbags placem_collection'!$A$3:$A$500,MATCH(A580,'WetLitterbags placem_collection'!$M$4:$M$500,0)),"")</f>
        <v/>
      </c>
      <c r="Q580" s="110">
        <f>IFERROR(INDEX('WetLitterbags placem_collection'!$A$3:$A$500,MATCH(A580,'WetLitterbags placem_collection'!$Q$4:$Q$500,0)),"")</f>
        <v>156</v>
      </c>
    </row>
    <row r="581" spans="1:17" ht="13.95" customHeight="1">
      <c r="A581" s="110" t="s">
        <v>788</v>
      </c>
      <c r="B581" s="110">
        <v>172</v>
      </c>
      <c r="C581" s="110">
        <v>1.7694000000000001</v>
      </c>
      <c r="E581" s="112">
        <v>43123</v>
      </c>
      <c r="N581" s="110" t="str">
        <f>IFERROR(INDEX('WetLitterbags placem_collection'!$A$3:$A$500,MATCH(A581,'WetLitterbags placem_collection'!$K$4:$K$500,0)),"")</f>
        <v/>
      </c>
      <c r="O581" s="110" t="str">
        <f>IFERROR(INDEX('WetLitterbags placem_collection'!$A$3:$A$500,MATCH(A581,'WetLitterbags placem_collection'!$O$4:$O$500,0)),"")</f>
        <v/>
      </c>
      <c r="P581" s="110" t="str">
        <f>IFERROR(INDEX('WetLitterbags placem_collection'!$A$3:$A$500,MATCH(A581,'WetLitterbags placem_collection'!$M$4:$M$500,0)),"")</f>
        <v/>
      </c>
      <c r="Q581" s="110">
        <f>IFERROR(INDEX('WetLitterbags placem_collection'!$A$3:$A$500,MATCH(A581,'WetLitterbags placem_collection'!$Q$4:$Q$500,0)),"")</f>
        <v>171</v>
      </c>
    </row>
    <row r="582" spans="1:17" ht="13.95" customHeight="1">
      <c r="A582" s="110" t="s">
        <v>787</v>
      </c>
      <c r="B582" s="110">
        <v>189</v>
      </c>
      <c r="C582" s="110">
        <v>1.7630999999999999</v>
      </c>
      <c r="E582" s="112">
        <v>43125</v>
      </c>
      <c r="N582" s="110" t="str">
        <f>IFERROR(INDEX('WetLitterbags placem_collection'!$A$3:$A$500,MATCH(A582,'WetLitterbags placem_collection'!$K$4:$K$500,0)),"")</f>
        <v/>
      </c>
      <c r="O582" s="110" t="str">
        <f>IFERROR(INDEX('WetLitterbags placem_collection'!$A$3:$A$500,MATCH(A582,'WetLitterbags placem_collection'!$O$4:$O$500,0)),"")</f>
        <v/>
      </c>
      <c r="P582" s="110">
        <f>IFERROR(INDEX('WetLitterbags placem_collection'!$A$3:$A$500,MATCH(A582,'WetLitterbags placem_collection'!$M$4:$M$500,0)),"")</f>
        <v>188</v>
      </c>
      <c r="Q582" s="110" t="str">
        <f>IFERROR(INDEX('WetLitterbags placem_collection'!$A$3:$A$500,MATCH(A582,'WetLitterbags placem_collection'!$Q$4:$Q$500,0)),"")</f>
        <v/>
      </c>
    </row>
    <row r="583" spans="1:17" ht="13.95" customHeight="1">
      <c r="A583" s="110" t="s">
        <v>785</v>
      </c>
      <c r="B583" s="110">
        <v>219</v>
      </c>
      <c r="C583" s="110">
        <v>1.4823</v>
      </c>
      <c r="E583" s="112">
        <v>43125</v>
      </c>
      <c r="N583" s="110" t="str">
        <f>IFERROR(INDEX('WetLitterbags placem_collection'!$A$3:$A$500,MATCH(A583,'WetLitterbags placem_collection'!$K$4:$K$500,0)),"")</f>
        <v/>
      </c>
      <c r="O583" s="110" t="str">
        <f>IFERROR(INDEX('WetLitterbags placem_collection'!$A$3:$A$500,MATCH(A583,'WetLitterbags placem_collection'!$O$4:$O$500,0)),"")</f>
        <v/>
      </c>
      <c r="P583" s="110" t="str">
        <f>IFERROR(INDEX('WetLitterbags placem_collection'!$A$3:$A$500,MATCH(A583,'WetLitterbags placem_collection'!$M$4:$M$500,0)),"")</f>
        <v/>
      </c>
      <c r="Q583" s="110">
        <f>IFERROR(INDEX('WetLitterbags placem_collection'!$A$3:$A$500,MATCH(A583,'WetLitterbags placem_collection'!$Q$4:$Q$500,0)),"")</f>
        <v>218</v>
      </c>
    </row>
    <row r="584" spans="1:17" ht="13.95" customHeight="1">
      <c r="A584" s="110" t="s">
        <v>782</v>
      </c>
      <c r="B584" s="110" t="s">
        <v>2077</v>
      </c>
      <c r="C584" s="110">
        <v>1.4882</v>
      </c>
      <c r="D584" s="110" t="s">
        <v>2125</v>
      </c>
      <c r="E584" s="112">
        <v>43122</v>
      </c>
      <c r="N584" s="110" t="str">
        <f>IFERROR(INDEX('WetLitterbags placem_collection'!$A$3:$A$500,MATCH(A584,'WetLitterbags placem_collection'!$K$4:$K$500,0)),"")</f>
        <v/>
      </c>
      <c r="O584" s="110" t="str">
        <f>IFERROR(INDEX('WetLitterbags placem_collection'!$A$3:$A$500,MATCH(A584,'WetLitterbags placem_collection'!$O$4:$O$500,0)),"")</f>
        <v/>
      </c>
      <c r="P584" s="110" t="str">
        <f>IFERROR(INDEX('WetLitterbags placem_collection'!$A$3:$A$500,MATCH(A584,'WetLitterbags placem_collection'!$M$4:$M$500,0)),"")</f>
        <v/>
      </c>
      <c r="Q584" s="110">
        <f>IFERROR(INDEX('WetLitterbags placem_collection'!$A$3:$A$500,MATCH(A584,'WetLitterbags placem_collection'!$Q$4:$Q$500,0)),"")</f>
        <v>199</v>
      </c>
    </row>
    <row r="585" spans="1:17" ht="13.95" customHeight="1">
      <c r="A585" s="110" t="s">
        <v>781</v>
      </c>
      <c r="B585" s="110">
        <v>95</v>
      </c>
      <c r="C585" s="110">
        <v>0.45800000000000002</v>
      </c>
      <c r="D585" s="110" t="s">
        <v>2055</v>
      </c>
      <c r="E585" s="112">
        <v>42879</v>
      </c>
      <c r="N585" s="110" t="str">
        <f>IFERROR(INDEX('WetLitterbags placem_collection'!$A$3:$A$500,MATCH(A585,'WetLitterbags placem_collection'!$K$4:$K$500,0)),"")</f>
        <v/>
      </c>
      <c r="O585" s="110" t="str">
        <f>IFERROR(INDEX('WetLitterbags placem_collection'!$A$3:$A$500,MATCH(A585,'WetLitterbags placem_collection'!$O$4:$O$500,0)),"")</f>
        <v/>
      </c>
      <c r="P585" s="110">
        <f>IFERROR(INDEX('WetLitterbags placem_collection'!$A$3:$A$500,MATCH(A585,'WetLitterbags placem_collection'!$M$4:$M$500,0)),"")</f>
        <v>94</v>
      </c>
      <c r="Q585" s="110" t="str">
        <f>IFERROR(INDEX('WetLitterbags placem_collection'!$A$3:$A$500,MATCH(A585,'WetLitterbags placem_collection'!$Q$4:$Q$500,0)),"")</f>
        <v/>
      </c>
    </row>
    <row r="586" spans="1:17" ht="13.95" customHeight="1">
      <c r="A586" s="110" t="s">
        <v>779</v>
      </c>
      <c r="B586" s="110" t="s">
        <v>2077</v>
      </c>
      <c r="C586" s="110">
        <v>1.5253000000000001</v>
      </c>
      <c r="E586" s="112">
        <v>43122</v>
      </c>
      <c r="N586" s="110" t="str">
        <f>IFERROR(INDEX('WetLitterbags placem_collection'!$A$3:$A$500,MATCH(A586,'WetLitterbags placem_collection'!$K$4:$K$500,0)),"")</f>
        <v/>
      </c>
      <c r="O586" s="110" t="str">
        <f>IFERROR(INDEX('WetLitterbags placem_collection'!$A$3:$A$500,MATCH(A586,'WetLitterbags placem_collection'!$O$4:$O$500,0)),"")</f>
        <v/>
      </c>
      <c r="P586" s="110" t="str">
        <f>IFERROR(INDEX('WetLitterbags placem_collection'!$A$3:$A$500,MATCH(A586,'WetLitterbags placem_collection'!$M$4:$M$500,0)),"")</f>
        <v/>
      </c>
      <c r="Q586" s="110">
        <f>IFERROR(INDEX('WetLitterbags placem_collection'!$A$3:$A$500,MATCH(A586,'WetLitterbags placem_collection'!$Q$4:$Q$500,0)),"")</f>
        <v>195</v>
      </c>
    </row>
    <row r="587" spans="1:17" ht="13.95" customHeight="1">
      <c r="A587" s="110" t="s">
        <v>778</v>
      </c>
      <c r="B587" s="110" t="s">
        <v>2077</v>
      </c>
      <c r="C587" s="110">
        <v>1.5164</v>
      </c>
      <c r="E587" s="112">
        <v>43122</v>
      </c>
      <c r="N587" s="110" t="str">
        <f>IFERROR(INDEX('WetLitterbags placem_collection'!$A$3:$A$500,MATCH(A587,'WetLitterbags placem_collection'!$K$4:$K$500,0)),"")</f>
        <v/>
      </c>
      <c r="O587" s="110" t="str">
        <f>IFERROR(INDEX('WetLitterbags placem_collection'!$A$3:$A$500,MATCH(A587,'WetLitterbags placem_collection'!$O$4:$O$500,0)),"")</f>
        <v/>
      </c>
      <c r="P587" s="110">
        <f>IFERROR(INDEX('WetLitterbags placem_collection'!$A$3:$A$500,MATCH(A587,'WetLitterbags placem_collection'!$M$4:$M$500,0)),"")</f>
        <v>21</v>
      </c>
      <c r="Q587" s="110" t="str">
        <f>IFERROR(INDEX('WetLitterbags placem_collection'!$A$3:$A$500,MATCH(A587,'WetLitterbags placem_collection'!$Q$4:$Q$500,0)),"")</f>
        <v/>
      </c>
    </row>
    <row r="588" spans="1:17" ht="13.95" customHeight="1">
      <c r="A588" s="110" t="s">
        <v>777</v>
      </c>
      <c r="B588" s="110" t="s">
        <v>2077</v>
      </c>
      <c r="C588" s="110">
        <v>1.3913</v>
      </c>
      <c r="E588" s="112">
        <v>43122</v>
      </c>
      <c r="N588" s="110" t="str">
        <f>IFERROR(INDEX('WetLitterbags placem_collection'!$A$3:$A$500,MATCH(A588,'WetLitterbags placem_collection'!$K$4:$K$500,0)),"")</f>
        <v/>
      </c>
      <c r="O588" s="110" t="str">
        <f>IFERROR(INDEX('WetLitterbags placem_collection'!$A$3:$A$500,MATCH(A588,'WetLitterbags placem_collection'!$O$4:$O$500,0)),"")</f>
        <v/>
      </c>
      <c r="P588" s="110" t="str">
        <f>IFERROR(INDEX('WetLitterbags placem_collection'!$A$3:$A$500,MATCH(A588,'WetLitterbags placem_collection'!$M$4:$M$500,0)),"")</f>
        <v/>
      </c>
      <c r="Q588" s="110">
        <f>IFERROR(INDEX('WetLitterbags placem_collection'!$A$3:$A$500,MATCH(A588,'WetLitterbags placem_collection'!$Q$4:$Q$500,0)),"")</f>
        <v>192</v>
      </c>
    </row>
    <row r="589" spans="1:17" ht="13.95" customHeight="1">
      <c r="A589" s="110" t="s">
        <v>773</v>
      </c>
      <c r="B589" s="110">
        <v>82</v>
      </c>
      <c r="C589" s="110">
        <v>1.704</v>
      </c>
      <c r="E589" s="112">
        <v>42879</v>
      </c>
      <c r="N589" s="110" t="str">
        <f>IFERROR(INDEX('WetLitterbags placem_collection'!$A$3:$A$500,MATCH(A589,'WetLitterbags placem_collection'!$K$4:$K$500,0)),"")</f>
        <v/>
      </c>
      <c r="O589" s="110" t="str">
        <f>IFERROR(INDEX('WetLitterbags placem_collection'!$A$3:$A$500,MATCH(A589,'WetLitterbags placem_collection'!$O$4:$O$500,0)),"")</f>
        <v/>
      </c>
      <c r="P589" s="110" t="str">
        <f>IFERROR(INDEX('WetLitterbags placem_collection'!$A$3:$A$500,MATCH(A589,'WetLitterbags placem_collection'!$M$4:$M$500,0)),"")</f>
        <v/>
      </c>
      <c r="Q589" s="110">
        <f>IFERROR(INDEX('WetLitterbags placem_collection'!$A$3:$A$500,MATCH(A589,'WetLitterbags placem_collection'!$Q$4:$Q$500,0)),"")</f>
        <v>81</v>
      </c>
    </row>
    <row r="590" spans="1:17" ht="13.95" customHeight="1">
      <c r="A590" s="110" t="s">
        <v>1104</v>
      </c>
      <c r="B590" s="110">
        <v>114</v>
      </c>
      <c r="C590" s="110">
        <v>1.504</v>
      </c>
      <c r="E590" s="112">
        <v>42878</v>
      </c>
      <c r="N590" s="110" t="str">
        <f>IFERROR(INDEX('WetLitterbags placem_collection'!$A$3:$A$500,MATCH(A590,'WetLitterbags placem_collection'!$K$4:$K$500,0)),"")</f>
        <v/>
      </c>
      <c r="O590" s="110" t="str">
        <f>IFERROR(INDEX('WetLitterbags placem_collection'!$A$3:$A$500,MATCH(A590,'WetLitterbags placem_collection'!$O$4:$O$500,0)),"")</f>
        <v/>
      </c>
      <c r="P590" s="110" t="str">
        <f>IFERROR(INDEX('WetLitterbags placem_collection'!$A$3:$A$500,MATCH(A590,'WetLitterbags placem_collection'!$M$4:$M$500,0)),"")</f>
        <v/>
      </c>
      <c r="Q590" s="110">
        <f>IFERROR(INDEX('WetLitterbags placem_collection'!$A$3:$A$500,MATCH(A590,'WetLitterbags placem_collection'!$Q$4:$Q$500,0)),"")</f>
        <v>113</v>
      </c>
    </row>
    <row r="591" spans="1:17" ht="13.95" customHeight="1">
      <c r="A591" s="110" t="s">
        <v>771</v>
      </c>
      <c r="B591" s="110" t="s">
        <v>2077</v>
      </c>
      <c r="C591" s="110">
        <v>1.488</v>
      </c>
      <c r="E591" s="112">
        <v>43122</v>
      </c>
      <c r="N591" s="110" t="str">
        <f>IFERROR(INDEX('WetLitterbags placem_collection'!$A$3:$A$500,MATCH(A591,'WetLitterbags placem_collection'!$K$4:$K$500,0)),"")</f>
        <v/>
      </c>
      <c r="O591" s="110" t="str">
        <f>IFERROR(INDEX('WetLitterbags placem_collection'!$A$3:$A$500,MATCH(A591,'WetLitterbags placem_collection'!$O$4:$O$500,0)),"")</f>
        <v/>
      </c>
      <c r="P591" s="110" t="str">
        <f>IFERROR(INDEX('WetLitterbags placem_collection'!$A$3:$A$500,MATCH(A591,'WetLitterbags placem_collection'!$M$4:$M$500,0)),"")</f>
        <v/>
      </c>
      <c r="Q591" s="110">
        <f>IFERROR(INDEX('WetLitterbags placem_collection'!$A$3:$A$500,MATCH(A591,'WetLitterbags placem_collection'!$Q$4:$Q$500,0)),"")</f>
        <v>196</v>
      </c>
    </row>
    <row r="592" spans="1:17" ht="13.95" customHeight="1">
      <c r="A592" s="110" t="s">
        <v>770</v>
      </c>
      <c r="B592" s="110">
        <v>42</v>
      </c>
      <c r="C592" s="110">
        <v>1.649</v>
      </c>
      <c r="E592" s="112">
        <v>42881</v>
      </c>
      <c r="N592" s="110" t="str">
        <f>IFERROR(INDEX('WetLitterbags placem_collection'!$A$3:$A$500,MATCH(A592,'WetLitterbags placem_collection'!$K$4:$K$500,0)),"")</f>
        <v/>
      </c>
      <c r="O592" s="110" t="str">
        <f>IFERROR(INDEX('WetLitterbags placem_collection'!$A$3:$A$500,MATCH(A592,'WetLitterbags placem_collection'!$O$4:$O$500,0)),"")</f>
        <v/>
      </c>
      <c r="P592" s="110">
        <f>IFERROR(INDEX('WetLitterbags placem_collection'!$A$3:$A$500,MATCH(A592,'WetLitterbags placem_collection'!$M$4:$M$500,0)),"")</f>
        <v>41</v>
      </c>
      <c r="Q592" s="110" t="str">
        <f>IFERROR(INDEX('WetLitterbags placem_collection'!$A$3:$A$500,MATCH(A592,'WetLitterbags placem_collection'!$Q$4:$Q$500,0)),"")</f>
        <v/>
      </c>
    </row>
    <row r="593" spans="1:17" ht="13.95" customHeight="1">
      <c r="A593" s="110" t="s">
        <v>769</v>
      </c>
      <c r="B593" s="110" t="s">
        <v>2077</v>
      </c>
      <c r="C593" s="110">
        <v>1.6213</v>
      </c>
      <c r="E593" s="112">
        <v>43119</v>
      </c>
      <c r="N593" s="110" t="str">
        <f>IFERROR(INDEX('WetLitterbags placem_collection'!$A$3:$A$500,MATCH(A593,'WetLitterbags placem_collection'!$K$4:$K$500,0)),"")</f>
        <v/>
      </c>
      <c r="O593" s="110" t="str">
        <f>IFERROR(INDEX('WetLitterbags placem_collection'!$A$3:$A$500,MATCH(A593,'WetLitterbags placem_collection'!$O$4:$O$500,0)),"")</f>
        <v/>
      </c>
      <c r="P593" s="110">
        <f>IFERROR(INDEX('WetLitterbags placem_collection'!$A$3:$A$500,MATCH(A593,'WetLitterbags placem_collection'!$M$4:$M$500,0)),"")</f>
        <v>202</v>
      </c>
      <c r="Q593" s="110" t="str">
        <f>IFERROR(INDEX('WetLitterbags placem_collection'!$A$3:$A$500,MATCH(A593,'WetLitterbags placem_collection'!$Q$4:$Q$500,0)),"")</f>
        <v/>
      </c>
    </row>
    <row r="594" spans="1:17" ht="13.95" customHeight="1">
      <c r="A594" s="110" t="s">
        <v>766</v>
      </c>
      <c r="B594" s="110" t="s">
        <v>2077</v>
      </c>
      <c r="C594" s="110">
        <v>1.3742000000000001</v>
      </c>
      <c r="E594" s="112">
        <v>43116</v>
      </c>
      <c r="N594" s="110" t="str">
        <f>IFERROR(INDEX('WetLitterbags placem_collection'!$A$3:$A$500,MATCH(A594,'WetLitterbags placem_collection'!$K$4:$K$500,0)),"")</f>
        <v/>
      </c>
      <c r="O594" s="110" t="str">
        <f>IFERROR(INDEX('WetLitterbags placem_collection'!$A$3:$A$500,MATCH(A594,'WetLitterbags placem_collection'!$O$4:$O$500,0)),"")</f>
        <v/>
      </c>
      <c r="P594" s="110">
        <f>IFERROR(INDEX('WetLitterbags placem_collection'!$A$3:$A$500,MATCH(A594,'WetLitterbags placem_collection'!$M$4:$M$500,0)),"")</f>
        <v>195</v>
      </c>
      <c r="Q594" s="110" t="str">
        <f>IFERROR(INDEX('WetLitterbags placem_collection'!$A$3:$A$500,MATCH(A594,'WetLitterbags placem_collection'!$Q$4:$Q$500,0)),"")</f>
        <v/>
      </c>
    </row>
    <row r="595" spans="1:17" ht="13.95" customHeight="1">
      <c r="A595" s="168" t="s">
        <v>765</v>
      </c>
      <c r="B595" s="110">
        <v>43</v>
      </c>
      <c r="C595" s="110">
        <v>1.3532999999999999</v>
      </c>
      <c r="D595" s="167" t="s">
        <v>2462</v>
      </c>
      <c r="E595" s="112">
        <v>43123</v>
      </c>
      <c r="N595" s="110" t="str">
        <f>IFERROR(INDEX('WetLitterbags placem_collection'!$A$3:$A$500,MATCH(A595,'WetLitterbags placem_collection'!$K$4:$K$500,0)),"")</f>
        <v/>
      </c>
      <c r="O595" s="110" t="str">
        <f>IFERROR(INDEX('WetLitterbags placem_collection'!$A$3:$A$500,MATCH(A595,'WetLitterbags placem_collection'!$O$4:$O$500,0)),"")</f>
        <v/>
      </c>
      <c r="P595" s="110">
        <f>IFERROR(INDEX('WetLitterbags placem_collection'!$A$3:$A$500,MATCH(A595,'WetLitterbags placem_collection'!$M$4:$M$500,0)),"")</f>
        <v>42</v>
      </c>
      <c r="Q595" s="110" t="str">
        <f>IFERROR(INDEX('WetLitterbags placem_collection'!$A$3:$A$500,MATCH(A595,'WetLitterbags placem_collection'!$Q$4:$Q$500,0)),"")</f>
        <v/>
      </c>
    </row>
    <row r="596" spans="1:17" ht="13.95" customHeight="1">
      <c r="A596" s="110" t="s">
        <v>763</v>
      </c>
      <c r="B596" s="110">
        <v>195</v>
      </c>
      <c r="C596" s="110">
        <v>1.5296000000000001</v>
      </c>
      <c r="D596" s="110" t="s">
        <v>2087</v>
      </c>
      <c r="E596" s="112">
        <v>43125</v>
      </c>
      <c r="N596" s="110" t="str">
        <f>IFERROR(INDEX('WetLitterbags placem_collection'!$A$3:$A$500,MATCH(A596,'WetLitterbags placem_collection'!$K$4:$K$500,0)),"")</f>
        <v/>
      </c>
      <c r="O596" s="110" t="str">
        <f>IFERROR(INDEX('WetLitterbags placem_collection'!$A$3:$A$500,MATCH(A596,'WetLitterbags placem_collection'!$O$4:$O$500,0)),"")</f>
        <v/>
      </c>
      <c r="P596" s="110">
        <f>IFERROR(INDEX('WetLitterbags placem_collection'!$A$3:$A$500,MATCH(A596,'WetLitterbags placem_collection'!$M$4:$M$500,0)),"")</f>
        <v>194</v>
      </c>
      <c r="Q596" s="110" t="str">
        <f>IFERROR(INDEX('WetLitterbags placem_collection'!$A$3:$A$500,MATCH(A596,'WetLitterbags placem_collection'!$Q$4:$Q$500,0)),"")</f>
        <v/>
      </c>
    </row>
    <row r="597" spans="1:17" ht="13.95" customHeight="1">
      <c r="A597" s="110" t="s">
        <v>1103</v>
      </c>
      <c r="B597" s="110" t="s">
        <v>2077</v>
      </c>
      <c r="C597" s="110">
        <v>1.2627999999999999</v>
      </c>
      <c r="E597" s="112">
        <v>43122</v>
      </c>
      <c r="N597" s="110" t="str">
        <f>IFERROR(INDEX('WetLitterbags placem_collection'!$A$3:$A$500,MATCH(A597,'WetLitterbags placem_collection'!$K$4:$K$500,0)),"")</f>
        <v/>
      </c>
      <c r="O597" s="110" t="str">
        <f>IFERROR(INDEX('WetLitterbags placem_collection'!$A$3:$A$500,MATCH(A597,'WetLitterbags placem_collection'!$O$4:$O$500,0)),"")</f>
        <v/>
      </c>
      <c r="P597" s="110" t="str">
        <f>IFERROR(INDEX('WetLitterbags placem_collection'!$A$3:$A$500,MATCH(A597,'WetLitterbags placem_collection'!$M$4:$M$500,0)),"")</f>
        <v/>
      </c>
      <c r="Q597" s="110">
        <f>IFERROR(INDEX('WetLitterbags placem_collection'!$A$3:$A$500,MATCH(A597,'WetLitterbags placem_collection'!$Q$4:$Q$500,0)),"")</f>
        <v>4</v>
      </c>
    </row>
    <row r="598" spans="1:17" ht="13.95" customHeight="1">
      <c r="A598" s="110" t="s">
        <v>761</v>
      </c>
      <c r="B598" s="110" t="s">
        <v>2077</v>
      </c>
      <c r="C598" s="110">
        <v>1.6271</v>
      </c>
      <c r="D598" s="110" t="s">
        <v>2119</v>
      </c>
      <c r="E598" s="112">
        <v>43116</v>
      </c>
      <c r="N598" s="110" t="str">
        <f>IFERROR(INDEX('WetLitterbags placem_collection'!$A$3:$A$500,MATCH(A598,'WetLitterbags placem_collection'!$K$4:$K$500,0)),"")</f>
        <v/>
      </c>
      <c r="O598" s="110" t="str">
        <f>IFERROR(INDEX('WetLitterbags placem_collection'!$A$3:$A$500,MATCH(A598,'WetLitterbags placem_collection'!$O$4:$O$500,0)),"")</f>
        <v/>
      </c>
      <c r="P598" s="110" t="str">
        <f>IFERROR(INDEX('WetLitterbags placem_collection'!$A$3:$A$500,MATCH(A598,'WetLitterbags placem_collection'!$M$4:$M$500,0)),"")</f>
        <v/>
      </c>
      <c r="Q598" s="110">
        <f>IFERROR(INDEX('WetLitterbags placem_collection'!$A$3:$A$500,MATCH(A598,'WetLitterbags placem_collection'!$Q$4:$Q$500,0)),"")</f>
        <v>16</v>
      </c>
    </row>
    <row r="599" spans="1:17" ht="13.95" customHeight="1">
      <c r="A599" s="110" t="s">
        <v>760</v>
      </c>
      <c r="B599" s="110">
        <v>221</v>
      </c>
      <c r="C599" s="110">
        <v>1.528</v>
      </c>
      <c r="E599" s="112">
        <v>42878</v>
      </c>
      <c r="J599" s="113"/>
      <c r="L599" s="113"/>
      <c r="N599" s="110" t="str">
        <f>IFERROR(INDEX('WetLitterbags placem_collection'!$A$3:$A$500,MATCH(A599,'WetLitterbags placem_collection'!$K$4:$K$500,0)),"")</f>
        <v/>
      </c>
      <c r="O599" s="110" t="str">
        <f>IFERROR(INDEX('WetLitterbags placem_collection'!$A$3:$A$500,MATCH(A599,'WetLitterbags placem_collection'!$O$4:$O$500,0)),"")</f>
        <v/>
      </c>
      <c r="P599" s="110">
        <f>IFERROR(INDEX('WetLitterbags placem_collection'!$A$3:$A$500,MATCH(A599,'WetLitterbags placem_collection'!$M$4:$M$500,0)),"")</f>
        <v>210</v>
      </c>
      <c r="Q599" s="110" t="str">
        <f>IFERROR(INDEX('WetLitterbags placem_collection'!$A$3:$A$500,MATCH(A599,'WetLitterbags placem_collection'!$Q$4:$Q$500,0)),"")</f>
        <v/>
      </c>
    </row>
    <row r="600" spans="1:17" ht="13.95" customHeight="1">
      <c r="A600" s="110" t="s">
        <v>759</v>
      </c>
      <c r="B600" s="110">
        <v>14</v>
      </c>
      <c r="C600" s="110">
        <v>1.794</v>
      </c>
      <c r="E600" s="112">
        <v>42881</v>
      </c>
      <c r="N600" s="110" t="str">
        <f>IFERROR(INDEX('WetLitterbags placem_collection'!$A$3:$A$500,MATCH(A600,'WetLitterbags placem_collection'!$K$4:$K$500,0)),"")</f>
        <v/>
      </c>
      <c r="O600" s="110" t="str">
        <f>IFERROR(INDEX('WetLitterbags placem_collection'!$A$3:$A$500,MATCH(A600,'WetLitterbags placem_collection'!$O$4:$O$500,0)),"")</f>
        <v/>
      </c>
      <c r="P600" s="110">
        <f>IFERROR(INDEX('WetLitterbags placem_collection'!$A$3:$A$500,MATCH(A600,'WetLitterbags placem_collection'!$M$4:$M$500,0)),"")</f>
        <v>13</v>
      </c>
      <c r="Q600" s="110" t="str">
        <f>IFERROR(INDEX('WetLitterbags placem_collection'!$A$3:$A$500,MATCH(A600,'WetLitterbags placem_collection'!$Q$4:$Q$500,0)),"")</f>
        <v/>
      </c>
    </row>
    <row r="601" spans="1:17" ht="13.95" customHeight="1">
      <c r="A601" s="110" t="s">
        <v>758</v>
      </c>
      <c r="B601" s="110">
        <v>214</v>
      </c>
      <c r="C601" s="110">
        <v>1.587</v>
      </c>
      <c r="E601" s="112">
        <v>42878</v>
      </c>
      <c r="G601" s="113" t="s">
        <v>2066</v>
      </c>
      <c r="N601" s="110" t="str">
        <f>IFERROR(INDEX('WetLitterbags placem_collection'!$A$3:$A$500,MATCH(A601,'WetLitterbags placem_collection'!$K$4:$K$500,0)),"")</f>
        <v/>
      </c>
      <c r="O601" s="110" t="str">
        <f>IFERROR(INDEX('WetLitterbags placem_collection'!$A$3:$A$500,MATCH(A601,'WetLitterbags placem_collection'!$O$4:$O$500,0)),"")</f>
        <v/>
      </c>
      <c r="P601" s="110">
        <f>IFERROR(INDEX('WetLitterbags placem_collection'!$A$3:$A$500,MATCH(A601,'WetLitterbags placem_collection'!$M$4:$M$500,0)),"")</f>
        <v>213</v>
      </c>
      <c r="Q601" s="110" t="str">
        <f>IFERROR(INDEX('WetLitterbags placem_collection'!$A$3:$A$500,MATCH(A601,'WetLitterbags placem_collection'!$Q$4:$Q$500,0)),"")</f>
        <v/>
      </c>
    </row>
    <row r="602" spans="1:17" ht="13.95" customHeight="1">
      <c r="A602" s="110" t="s">
        <v>757</v>
      </c>
      <c r="B602" s="110">
        <v>174</v>
      </c>
      <c r="C602" s="110">
        <v>1.772</v>
      </c>
      <c r="E602" s="112">
        <v>42881</v>
      </c>
      <c r="G602" s="113" t="s">
        <v>2066</v>
      </c>
      <c r="N602" s="110" t="str">
        <f>IFERROR(INDEX('WetLitterbags placem_collection'!$A$3:$A$500,MATCH(A602,'WetLitterbags placem_collection'!$K$4:$K$500,0)),"")</f>
        <v/>
      </c>
      <c r="O602" s="110" t="str">
        <f>IFERROR(INDEX('WetLitterbags placem_collection'!$A$3:$A$500,MATCH(A602,'WetLitterbags placem_collection'!$O$4:$O$500,0)),"")</f>
        <v/>
      </c>
      <c r="P602" s="110" t="str">
        <f>IFERROR(INDEX('WetLitterbags placem_collection'!$A$3:$A$500,MATCH(A602,'WetLitterbags placem_collection'!$M$4:$M$500,0)),"")</f>
        <v/>
      </c>
      <c r="Q602" s="110">
        <f>IFERROR(INDEX('WetLitterbags placem_collection'!$A$3:$A$500,MATCH(A602,'WetLitterbags placem_collection'!$Q$4:$Q$500,0)),"")</f>
        <v>173</v>
      </c>
    </row>
    <row r="603" spans="1:17" ht="13.95" customHeight="1">
      <c r="A603" s="110" t="s">
        <v>755</v>
      </c>
      <c r="B603" s="110" t="s">
        <v>2083</v>
      </c>
      <c r="C603" s="110">
        <v>1.5941000000000001</v>
      </c>
      <c r="D603" s="167" t="s">
        <v>2466</v>
      </c>
      <c r="E603" s="112">
        <v>43125</v>
      </c>
      <c r="G603" s="113" t="s">
        <v>2066</v>
      </c>
      <c r="N603" s="110" t="str">
        <f>IFERROR(INDEX('WetLitterbags placem_collection'!$A$3:$A$500,MATCH(A603,'WetLitterbags placem_collection'!$K$4:$K$500,0)),"")</f>
        <v/>
      </c>
      <c r="O603" s="110" t="str">
        <f>IFERROR(INDEX('WetLitterbags placem_collection'!$A$3:$A$500,MATCH(A603,'WetLitterbags placem_collection'!$O$4:$O$500,0)),"")</f>
        <v/>
      </c>
      <c r="P603" s="110">
        <f>IFERROR(INDEX('WetLitterbags placem_collection'!$A$3:$A$500,MATCH(A603,'WetLitterbags placem_collection'!$M$4:$M$500,0)),"")</f>
        <v>28</v>
      </c>
      <c r="Q603" s="110" t="str">
        <f>IFERROR(INDEX('WetLitterbags placem_collection'!$A$3:$A$500,MATCH(A603,'WetLitterbags placem_collection'!$Q$4:$Q$500,0)),"")</f>
        <v/>
      </c>
    </row>
    <row r="604" spans="1:17" ht="13.95" customHeight="1">
      <c r="A604" s="113" t="s">
        <v>2060</v>
      </c>
      <c r="B604" s="110">
        <v>109</v>
      </c>
      <c r="C604" s="110">
        <v>1.667</v>
      </c>
      <c r="E604" s="112">
        <v>42881</v>
      </c>
      <c r="N604" s="110" t="str">
        <f>IFERROR(INDEX('WetLitterbags placem_collection'!$A$3:$A$500,MATCH(A604,'WetLitterbags placem_collection'!$K$4:$K$500,0)),"")</f>
        <v/>
      </c>
      <c r="O604" s="110" t="str">
        <f>IFERROR(INDEX('WetLitterbags placem_collection'!$A$3:$A$500,MATCH(A604,'WetLitterbags placem_collection'!$O$4:$O$500,0)),"")</f>
        <v/>
      </c>
      <c r="P604" s="110" t="str">
        <f>IFERROR(INDEX('WetLitterbags placem_collection'!$A$3:$A$500,MATCH(A604,'WetLitterbags placem_collection'!$M$4:$M$500,0)),"")</f>
        <v/>
      </c>
      <c r="Q604" s="110" t="str">
        <f>IFERROR(INDEX('WetLitterbags placem_collection'!$A$3:$A$500,MATCH(A604,'WetLitterbags placem_collection'!$Q$4:$Q$500,0)),"")</f>
        <v/>
      </c>
    </row>
    <row r="605" spans="1:17" ht="13.95" customHeight="1">
      <c r="A605" s="110" t="s">
        <v>754</v>
      </c>
      <c r="B605" s="110" t="s">
        <v>2077</v>
      </c>
      <c r="C605" s="110">
        <v>1.6520999999999999</v>
      </c>
      <c r="E605" s="112">
        <v>43122</v>
      </c>
      <c r="N605" s="110" t="str">
        <f>IFERROR(INDEX('WetLitterbags placem_collection'!$A$3:$A$500,MATCH(A605,'WetLitterbags placem_collection'!$K$4:$K$500,0)),"")</f>
        <v/>
      </c>
      <c r="O605" s="110" t="str">
        <f>IFERROR(INDEX('WetLitterbags placem_collection'!$A$3:$A$500,MATCH(A605,'WetLitterbags placem_collection'!$O$4:$O$500,0)),"")</f>
        <v/>
      </c>
      <c r="P605" s="110" t="str">
        <f>IFERROR(INDEX('WetLitterbags placem_collection'!$A$3:$A$500,MATCH(A605,'WetLitterbags placem_collection'!$M$4:$M$500,0)),"")</f>
        <v/>
      </c>
      <c r="Q605" s="110">
        <f>IFERROR(INDEX('WetLitterbags placem_collection'!$A$3:$A$500,MATCH(A605,'WetLitterbags placem_collection'!$Q$4:$Q$500,0)),"")</f>
        <v>190</v>
      </c>
    </row>
    <row r="606" spans="1:17" ht="13.95" customHeight="1">
      <c r="A606" s="110" t="s">
        <v>1102</v>
      </c>
      <c r="B606" s="110">
        <v>124</v>
      </c>
      <c r="C606" s="110">
        <v>1.4910000000000001</v>
      </c>
      <c r="E606" s="112">
        <v>42881</v>
      </c>
      <c r="N606" s="110" t="str">
        <f>IFERROR(INDEX('WetLitterbags placem_collection'!$A$3:$A$500,MATCH(A606,'WetLitterbags placem_collection'!$K$4:$K$500,0)),"")</f>
        <v/>
      </c>
      <c r="O606" s="110" t="str">
        <f>IFERROR(INDEX('WetLitterbags placem_collection'!$A$3:$A$500,MATCH(A606,'WetLitterbags placem_collection'!$O$4:$O$500,0)),"")</f>
        <v/>
      </c>
      <c r="P606" s="110">
        <f>IFERROR(INDEX('WetLitterbags placem_collection'!$A$3:$A$500,MATCH(A606,'WetLitterbags placem_collection'!$M$4:$M$500,0)),"")</f>
        <v>123</v>
      </c>
      <c r="Q606" s="110" t="str">
        <f>IFERROR(INDEX('WetLitterbags placem_collection'!$A$3:$A$500,MATCH(A606,'WetLitterbags placem_collection'!$Q$4:$Q$500,0)),"")</f>
        <v/>
      </c>
    </row>
    <row r="607" spans="1:17" ht="13.95" customHeight="1">
      <c r="A607" t="s">
        <v>751</v>
      </c>
      <c r="B607" s="110">
        <v>60</v>
      </c>
      <c r="C607" s="110">
        <v>1.5309999999999999</v>
      </c>
      <c r="D607" s="110" t="s">
        <v>2071</v>
      </c>
      <c r="E607" s="112">
        <v>42879</v>
      </c>
      <c r="N607" s="110" t="str">
        <f>IFERROR(INDEX('WetLitterbags placem_collection'!$A$3:$A$500,MATCH(A607,'WetLitterbags placem_collection'!$K$4:$K$500,0)),"")</f>
        <v/>
      </c>
      <c r="O607" s="110" t="str">
        <f>IFERROR(INDEX('WetLitterbags placem_collection'!$A$3:$A$500,MATCH(A607,'WetLitterbags placem_collection'!$O$4:$O$500,0)),"")</f>
        <v/>
      </c>
      <c r="P607" s="110" t="str">
        <f>IFERROR(INDEX('WetLitterbags placem_collection'!$A$3:$A$500,MATCH(A607,'WetLitterbags placem_collection'!$M$4:$M$500,0)),"")</f>
        <v/>
      </c>
      <c r="Q607" s="110">
        <f>IFERROR(INDEX('WetLitterbags placem_collection'!$A$3:$A$500,MATCH(A607,'WetLitterbags placem_collection'!$Q$4:$Q$500,0)),"")</f>
        <v>59</v>
      </c>
    </row>
    <row r="608" spans="1:17" ht="13.95" customHeight="1">
      <c r="A608" s="110" t="s">
        <v>750</v>
      </c>
      <c r="B608" s="110">
        <v>85</v>
      </c>
      <c r="C608" s="110">
        <v>1.6220000000000001</v>
      </c>
      <c r="E608" s="112">
        <v>42878</v>
      </c>
      <c r="N608" s="110" t="str">
        <f>IFERROR(INDEX('WetLitterbags placem_collection'!$A$3:$A$500,MATCH(A608,'WetLitterbags placem_collection'!$K$4:$K$500,0)),"")</f>
        <v/>
      </c>
      <c r="O608" s="110" t="str">
        <f>IFERROR(INDEX('WetLitterbags placem_collection'!$A$3:$A$500,MATCH(A608,'WetLitterbags placem_collection'!$O$4:$O$500,0)),"")</f>
        <v/>
      </c>
      <c r="P608" s="110" t="str">
        <f>IFERROR(INDEX('WetLitterbags placem_collection'!$A$3:$A$500,MATCH(A608,'WetLitterbags placem_collection'!$M$4:$M$500,0)),"")</f>
        <v/>
      </c>
      <c r="Q608" s="110">
        <f>IFERROR(INDEX('WetLitterbags placem_collection'!$A$3:$A$500,MATCH(A608,'WetLitterbags placem_collection'!$Q$4:$Q$500,0)),"")</f>
        <v>84</v>
      </c>
    </row>
    <row r="609" spans="1:17" ht="13.95" customHeight="1">
      <c r="A609" s="110" t="s">
        <v>749</v>
      </c>
      <c r="B609" s="110" t="s">
        <v>2077</v>
      </c>
      <c r="C609" s="110">
        <v>1.6165</v>
      </c>
      <c r="E609" s="112">
        <v>43122</v>
      </c>
      <c r="N609" s="110" t="str">
        <f>IFERROR(INDEX('WetLitterbags placem_collection'!$A$3:$A$500,MATCH(A609,'WetLitterbags placem_collection'!$K$4:$K$500,0)),"")</f>
        <v/>
      </c>
      <c r="O609" s="110" t="str">
        <f>IFERROR(INDEX('WetLitterbags placem_collection'!$A$3:$A$500,MATCH(A609,'WetLitterbags placem_collection'!$O$4:$O$500,0)),"")</f>
        <v/>
      </c>
      <c r="P609" s="110" t="str">
        <f>IFERROR(INDEX('WetLitterbags placem_collection'!$A$3:$A$500,MATCH(A609,'WetLitterbags placem_collection'!$M$4:$M$500,0)),"")</f>
        <v/>
      </c>
      <c r="Q609" s="110">
        <f>IFERROR(INDEX('WetLitterbags placem_collection'!$A$3:$A$500,MATCH(A609,'WetLitterbags placem_collection'!$Q$4:$Q$500,0)),"")</f>
        <v>209</v>
      </c>
    </row>
    <row r="610" spans="1:17" ht="13.95" customHeight="1">
      <c r="A610" s="110" t="s">
        <v>748</v>
      </c>
      <c r="B610" s="110" t="s">
        <v>2077</v>
      </c>
      <c r="C610" s="110">
        <v>1.6598999999999999</v>
      </c>
      <c r="E610" s="112">
        <v>43116</v>
      </c>
      <c r="N610" s="110" t="str">
        <f>IFERROR(INDEX('WetLitterbags placem_collection'!$A$3:$A$500,MATCH(A610,'WetLitterbags placem_collection'!$K$4:$K$500,0)),"")</f>
        <v/>
      </c>
      <c r="O610" s="110" t="str">
        <f>IFERROR(INDEX('WetLitterbags placem_collection'!$A$3:$A$500,MATCH(A610,'WetLitterbags placem_collection'!$O$4:$O$500,0)),"")</f>
        <v/>
      </c>
      <c r="P610" s="110" t="str">
        <f>IFERROR(INDEX('WetLitterbags placem_collection'!$A$3:$A$500,MATCH(A610,'WetLitterbags placem_collection'!$M$4:$M$500,0)),"")</f>
        <v/>
      </c>
      <c r="Q610" s="110">
        <f>IFERROR(INDEX('WetLitterbags placem_collection'!$A$3:$A$500,MATCH(A610,'WetLitterbags placem_collection'!$Q$4:$Q$500,0)),"")</f>
        <v>72</v>
      </c>
    </row>
    <row r="611" spans="1:17" ht="13.95" customHeight="1">
      <c r="A611" s="110" t="s">
        <v>746</v>
      </c>
      <c r="B611" s="110">
        <v>201</v>
      </c>
      <c r="C611" s="110">
        <v>1.5786</v>
      </c>
      <c r="D611" s="110" t="s">
        <v>2115</v>
      </c>
      <c r="E611" s="112">
        <v>43116</v>
      </c>
      <c r="N611" s="110" t="str">
        <f>IFERROR(INDEX('WetLitterbags placem_collection'!$A$3:$A$500,MATCH(A611,'WetLitterbags placem_collection'!$K$4:$K$500,0)),"")</f>
        <v/>
      </c>
      <c r="O611" s="110" t="str">
        <f>IFERROR(INDEX('WetLitterbags placem_collection'!$A$3:$A$500,MATCH(A611,'WetLitterbags placem_collection'!$O$4:$O$500,0)),"")</f>
        <v/>
      </c>
      <c r="P611" s="110" t="str">
        <f>IFERROR(INDEX('WetLitterbags placem_collection'!$A$3:$A$500,MATCH(A611,'WetLitterbags placem_collection'!$M$4:$M$500,0)),"")</f>
        <v/>
      </c>
      <c r="Q611" s="110">
        <f>IFERROR(INDEX('WetLitterbags placem_collection'!$A$3:$A$500,MATCH(A611,'WetLitterbags placem_collection'!$Q$4:$Q$500,0)),"")</f>
        <v>200</v>
      </c>
    </row>
    <row r="612" spans="1:17" ht="13.95" customHeight="1">
      <c r="A612" s="110" t="s">
        <v>745</v>
      </c>
      <c r="B612" s="110" t="s">
        <v>2077</v>
      </c>
      <c r="C612" s="110">
        <v>1.3464</v>
      </c>
      <c r="E612" s="112">
        <v>43122</v>
      </c>
      <c r="N612" s="110" t="str">
        <f>IFERROR(INDEX('WetLitterbags placem_collection'!$A$3:$A$500,MATCH(A612,'WetLitterbags placem_collection'!$K$4:$K$500,0)),"")</f>
        <v/>
      </c>
      <c r="O612" s="110" t="str">
        <f>IFERROR(INDEX('WetLitterbags placem_collection'!$A$3:$A$500,MATCH(A612,'WetLitterbags placem_collection'!$O$4:$O$500,0)),"")</f>
        <v/>
      </c>
      <c r="P612" s="110">
        <f>IFERROR(INDEX('WetLitterbags placem_collection'!$A$3:$A$500,MATCH(A612,'WetLitterbags placem_collection'!$M$4:$M$500,0)),"")</f>
        <v>31</v>
      </c>
      <c r="Q612" s="110" t="str">
        <f>IFERROR(INDEX('WetLitterbags placem_collection'!$A$3:$A$500,MATCH(A612,'WetLitterbags placem_collection'!$Q$4:$Q$500,0)),"")</f>
        <v/>
      </c>
    </row>
    <row r="613" spans="1:17" ht="13.95" customHeight="1">
      <c r="A613" s="110" t="s">
        <v>743</v>
      </c>
      <c r="B613" s="110">
        <v>7</v>
      </c>
      <c r="C613" s="110">
        <v>1.518</v>
      </c>
      <c r="E613" s="112">
        <v>42879</v>
      </c>
      <c r="N613" s="110" t="str">
        <f>IFERROR(INDEX('WetLitterbags placem_collection'!$A$3:$A$500,MATCH(A613,'WetLitterbags placem_collection'!$K$4:$K$500,0)),"")</f>
        <v/>
      </c>
      <c r="O613" s="110" t="str">
        <f>IFERROR(INDEX('WetLitterbags placem_collection'!$A$3:$A$500,MATCH(A613,'WetLitterbags placem_collection'!$O$4:$O$500,0)),"")</f>
        <v/>
      </c>
      <c r="P613" s="110" t="str">
        <f>IFERROR(INDEX('WetLitterbags placem_collection'!$A$3:$A$500,MATCH(A613,'WetLitterbags placem_collection'!$M$4:$M$500,0)),"")</f>
        <v/>
      </c>
      <c r="Q613" s="110">
        <f>IFERROR(INDEX('WetLitterbags placem_collection'!$A$3:$A$500,MATCH(A613,'WetLitterbags placem_collection'!$Q$4:$Q$500,0)),"")</f>
        <v>6</v>
      </c>
    </row>
    <row r="614" spans="1:17" ht="13.95" customHeight="1">
      <c r="A614" s="110" t="s">
        <v>1137</v>
      </c>
      <c r="B614" s="110">
        <v>92</v>
      </c>
      <c r="C614" s="110">
        <v>1.6779999999999999</v>
      </c>
      <c r="E614" s="112">
        <v>42879</v>
      </c>
      <c r="N614" s="110" t="str">
        <f>IFERROR(INDEX('WetLitterbags placem_collection'!$A$3:$A$500,MATCH(A614,'WetLitterbags placem_collection'!$K$4:$K$500,0)),"")</f>
        <v/>
      </c>
      <c r="O614" s="110" t="str">
        <f>IFERROR(INDEX('WetLitterbags placem_collection'!$A$3:$A$500,MATCH(A614,'WetLitterbags placem_collection'!$O$4:$O$500,0)),"")</f>
        <v/>
      </c>
      <c r="P614" s="110" t="str">
        <f>IFERROR(INDEX('WetLitterbags placem_collection'!$A$3:$A$500,MATCH(A614,'WetLitterbags placem_collection'!$M$4:$M$500,0)),"")</f>
        <v/>
      </c>
      <c r="Q614" s="110">
        <f>IFERROR(INDEX('WetLitterbags placem_collection'!$A$3:$A$500,MATCH(A614,'WetLitterbags placem_collection'!$Q$4:$Q$500,0)),"")</f>
        <v>91</v>
      </c>
    </row>
    <row r="615" spans="1:17" ht="13.95" customHeight="1">
      <c r="A615" s="110" t="s">
        <v>1101</v>
      </c>
      <c r="B615" s="110">
        <v>145</v>
      </c>
      <c r="C615" s="110">
        <v>1.589</v>
      </c>
      <c r="E615" s="112">
        <v>42878</v>
      </c>
      <c r="N615" s="110" t="str">
        <f>IFERROR(INDEX('WetLitterbags placem_collection'!$A$3:$A$500,MATCH(A615,'WetLitterbags placem_collection'!$K$4:$K$500,0)),"")</f>
        <v/>
      </c>
      <c r="O615" s="110" t="str">
        <f>IFERROR(INDEX('WetLitterbags placem_collection'!$A$3:$A$500,MATCH(A615,'WetLitterbags placem_collection'!$O$4:$O$500,0)),"")</f>
        <v/>
      </c>
      <c r="P615" s="110" t="str">
        <f>IFERROR(INDEX('WetLitterbags placem_collection'!$A$3:$A$500,MATCH(A615,'WetLitterbags placem_collection'!$M$4:$M$500,0)),"")</f>
        <v/>
      </c>
      <c r="Q615" s="110">
        <f>IFERROR(INDEX('WetLitterbags placem_collection'!$A$3:$A$500,MATCH(A615,'WetLitterbags placem_collection'!$Q$4:$Q$500,0)),"")</f>
        <v>144</v>
      </c>
    </row>
    <row r="616" spans="1:17" ht="13.95" customHeight="1">
      <c r="A616" s="110" t="s">
        <v>738</v>
      </c>
      <c r="B616" s="110">
        <v>169</v>
      </c>
      <c r="C616" s="110">
        <v>1.736</v>
      </c>
      <c r="E616" s="112">
        <v>42879</v>
      </c>
      <c r="N616" s="110" t="str">
        <f>IFERROR(INDEX('WetLitterbags placem_collection'!$A$3:$A$500,MATCH(A616,'WetLitterbags placem_collection'!$K$4:$K$500,0)),"")</f>
        <v/>
      </c>
      <c r="O616" s="110" t="str">
        <f>IFERROR(INDEX('WetLitterbags placem_collection'!$A$3:$A$500,MATCH(A616,'WetLitterbags placem_collection'!$O$4:$O$500,0)),"")</f>
        <v/>
      </c>
      <c r="P616" s="110" t="str">
        <f>IFERROR(INDEX('WetLitterbags placem_collection'!$A$3:$A$500,MATCH(A616,'WetLitterbags placem_collection'!$M$4:$M$500,0)),"")</f>
        <v/>
      </c>
      <c r="Q616" s="110">
        <f>IFERROR(INDEX('WetLitterbags placem_collection'!$A$3:$A$500,MATCH(A616,'WetLitterbags placem_collection'!$Q$4:$Q$500,0)),"")</f>
        <v>168</v>
      </c>
    </row>
    <row r="617" spans="1:17" ht="13.95" customHeight="1">
      <c r="A617" s="110" t="s">
        <v>737</v>
      </c>
      <c r="B617" s="110" t="s">
        <v>2077</v>
      </c>
      <c r="C617" s="110">
        <v>0.15579999999999999</v>
      </c>
      <c r="D617" s="110" t="s">
        <v>2145</v>
      </c>
      <c r="E617" s="112">
        <v>43116</v>
      </c>
      <c r="N617" s="110" t="str">
        <f>IFERROR(INDEX('WetLitterbags placem_collection'!$A$3:$A$500,MATCH(A617,'WetLitterbags placem_collection'!$K$4:$K$500,0)),"")</f>
        <v/>
      </c>
      <c r="O617" s="110" t="str">
        <f>IFERROR(INDEX('WetLitterbags placem_collection'!$A$3:$A$500,MATCH(A617,'WetLitterbags placem_collection'!$O$4:$O$500,0)),"")</f>
        <v/>
      </c>
      <c r="P617" s="110">
        <f>IFERROR(INDEX('WetLitterbags placem_collection'!$A$3:$A$500,MATCH(A617,'WetLitterbags placem_collection'!$M$4:$M$500,0)),"")</f>
        <v>74</v>
      </c>
      <c r="Q617" s="110" t="str">
        <f>IFERROR(INDEX('WetLitterbags placem_collection'!$A$3:$A$500,MATCH(A617,'WetLitterbags placem_collection'!$Q$4:$Q$500,0)),"")</f>
        <v/>
      </c>
    </row>
    <row r="618" spans="1:17" ht="13.95" customHeight="1">
      <c r="A618" s="110" t="s">
        <v>735</v>
      </c>
      <c r="B618" s="110" t="s">
        <v>2077</v>
      </c>
      <c r="C618" s="110">
        <v>1.4278999999999999</v>
      </c>
      <c r="E618" s="112">
        <v>43123</v>
      </c>
      <c r="N618" s="110" t="str">
        <f>IFERROR(INDEX('WetLitterbags placem_collection'!$A$3:$A$500,MATCH(A618,'WetLitterbags placem_collection'!$K$4:$K$500,0)),"")</f>
        <v/>
      </c>
      <c r="O618" s="110" t="str">
        <f>IFERROR(INDEX('WetLitterbags placem_collection'!$A$3:$A$500,MATCH(A618,'WetLitterbags placem_collection'!$O$4:$O$500,0)),"")</f>
        <v/>
      </c>
      <c r="P618" s="110">
        <f>IFERROR(INDEX('WetLitterbags placem_collection'!$A$3:$A$500,MATCH(A618,'WetLitterbags placem_collection'!$M$4:$M$500,0)),"")</f>
        <v>7</v>
      </c>
      <c r="Q618" s="110" t="str">
        <f>IFERROR(INDEX('WetLitterbags placem_collection'!$A$3:$A$500,MATCH(A618,'WetLitterbags placem_collection'!$Q$4:$Q$500,0)),"")</f>
        <v/>
      </c>
    </row>
    <row r="619" spans="1:17" ht="13.95" customHeight="1">
      <c r="A619" s="110" t="s">
        <v>733</v>
      </c>
      <c r="B619" s="110">
        <v>87</v>
      </c>
      <c r="C619" s="110">
        <v>0.3599</v>
      </c>
      <c r="D619" s="110" t="s">
        <v>2105</v>
      </c>
      <c r="E619" s="112">
        <v>43125</v>
      </c>
      <c r="N619" s="110" t="str">
        <f>IFERROR(INDEX('WetLitterbags placem_collection'!$A$3:$A$500,MATCH(A619,'WetLitterbags placem_collection'!$K$4:$K$500,0)),"")</f>
        <v/>
      </c>
      <c r="O619" s="110" t="str">
        <f>IFERROR(INDEX('WetLitterbags placem_collection'!$A$3:$A$500,MATCH(A619,'WetLitterbags placem_collection'!$O$4:$O$500,0)),"")</f>
        <v/>
      </c>
      <c r="P619" s="110">
        <f>IFERROR(INDEX('WetLitterbags placem_collection'!$A$3:$A$500,MATCH(A619,'WetLitterbags placem_collection'!$M$4:$M$500,0)),"")</f>
        <v>86</v>
      </c>
      <c r="Q619" s="110" t="str">
        <f>IFERROR(INDEX('WetLitterbags placem_collection'!$A$3:$A$500,MATCH(A619,'WetLitterbags placem_collection'!$Q$4:$Q$500,0)),"")</f>
        <v/>
      </c>
    </row>
    <row r="620" spans="1:17" ht="13.95" customHeight="1">
      <c r="A620" s="110" t="s">
        <v>1100</v>
      </c>
      <c r="B620" s="110">
        <v>112</v>
      </c>
      <c r="C620" s="110">
        <v>1.6910000000000001</v>
      </c>
      <c r="E620" s="112">
        <v>42878</v>
      </c>
      <c r="N620" s="110" t="str">
        <f>IFERROR(INDEX('WetLitterbags placem_collection'!$A$3:$A$500,MATCH(A620,'WetLitterbags placem_collection'!$K$4:$K$500,0)),"")</f>
        <v/>
      </c>
      <c r="O620" s="110" t="str">
        <f>IFERROR(INDEX('WetLitterbags placem_collection'!$A$3:$A$500,MATCH(A620,'WetLitterbags placem_collection'!$O$4:$O$500,0)),"")</f>
        <v/>
      </c>
      <c r="P620" s="110">
        <f>IFERROR(INDEX('WetLitterbags placem_collection'!$A$3:$A$500,MATCH(A620,'WetLitterbags placem_collection'!$M$4:$M$500,0)),"")</f>
        <v>111</v>
      </c>
      <c r="Q620" s="110" t="str">
        <f>IFERROR(INDEX('WetLitterbags placem_collection'!$A$3:$A$500,MATCH(A620,'WetLitterbags placem_collection'!$Q$4:$Q$500,0)),"")</f>
        <v/>
      </c>
    </row>
    <row r="621" spans="1:17" ht="13.95" customHeight="1">
      <c r="A621" s="110" t="s">
        <v>731</v>
      </c>
      <c r="B621" s="110">
        <v>217</v>
      </c>
      <c r="C621" s="110">
        <v>1.488</v>
      </c>
      <c r="E621" s="112">
        <v>42881</v>
      </c>
      <c r="N621" s="110" t="str">
        <f>IFERROR(INDEX('WetLitterbags placem_collection'!$A$3:$A$500,MATCH(A621,'WetLitterbags placem_collection'!$K$4:$K$500,0)),"")</f>
        <v/>
      </c>
      <c r="O621" s="110" t="str">
        <f>IFERROR(INDEX('WetLitterbags placem_collection'!$A$3:$A$500,MATCH(A621,'WetLitterbags placem_collection'!$O$4:$O$500,0)),"")</f>
        <v/>
      </c>
      <c r="P621" s="110" t="str">
        <f>IFERROR(INDEX('WetLitterbags placem_collection'!$A$3:$A$500,MATCH(A621,'WetLitterbags placem_collection'!$M$4:$M$500,0)),"")</f>
        <v/>
      </c>
      <c r="Q621" s="110">
        <f>IFERROR(INDEX('WetLitterbags placem_collection'!$A$3:$A$500,MATCH(A621,'WetLitterbags placem_collection'!$Q$4:$Q$500,0)),"")</f>
        <v>216</v>
      </c>
    </row>
    <row r="622" spans="1:17" ht="13.95" customHeight="1">
      <c r="A622" s="110" t="s">
        <v>730</v>
      </c>
      <c r="B622" s="110">
        <v>165</v>
      </c>
      <c r="C622" s="110">
        <v>1.728</v>
      </c>
      <c r="E622" s="112">
        <v>42878</v>
      </c>
      <c r="N622" s="110" t="str">
        <f>IFERROR(INDEX('WetLitterbags placem_collection'!$A$3:$A$500,MATCH(A622,'WetLitterbags placem_collection'!$K$4:$K$500,0)),"")</f>
        <v/>
      </c>
      <c r="O622" s="110" t="str">
        <f>IFERROR(INDEX('WetLitterbags placem_collection'!$A$3:$A$500,MATCH(A622,'WetLitterbags placem_collection'!$O$4:$O$500,0)),"")</f>
        <v/>
      </c>
      <c r="P622" s="110" t="str">
        <f>IFERROR(INDEX('WetLitterbags placem_collection'!$A$3:$A$500,MATCH(A622,'WetLitterbags placem_collection'!$M$4:$M$500,0)),"")</f>
        <v/>
      </c>
      <c r="Q622" s="110">
        <f>IFERROR(INDEX('WetLitterbags placem_collection'!$A$3:$A$500,MATCH(A622,'WetLitterbags placem_collection'!$Q$4:$Q$500,0)),"")</f>
        <v>164</v>
      </c>
    </row>
    <row r="623" spans="1:17" ht="13.95" customHeight="1">
      <c r="A623" s="110" t="s">
        <v>729</v>
      </c>
      <c r="B623" s="110">
        <v>214</v>
      </c>
      <c r="C623" s="110">
        <v>1.4850000000000001</v>
      </c>
      <c r="E623" s="112">
        <v>42878</v>
      </c>
      <c r="N623" s="110" t="str">
        <f>IFERROR(INDEX('WetLitterbags placem_collection'!$A$3:$A$500,MATCH(A623,'WetLitterbags placem_collection'!$K$4:$K$500,0)),"")</f>
        <v/>
      </c>
      <c r="O623" s="110" t="str">
        <f>IFERROR(INDEX('WetLitterbags placem_collection'!$A$3:$A$500,MATCH(A623,'WetLitterbags placem_collection'!$O$4:$O$500,0)),"")</f>
        <v/>
      </c>
      <c r="P623" s="110" t="str">
        <f>IFERROR(INDEX('WetLitterbags placem_collection'!$A$3:$A$500,MATCH(A623,'WetLitterbags placem_collection'!$M$4:$M$500,0)),"")</f>
        <v/>
      </c>
      <c r="Q623" s="110">
        <f>IFERROR(INDEX('WetLitterbags placem_collection'!$A$3:$A$500,MATCH(A623,'WetLitterbags placem_collection'!$Q$4:$Q$500,0)),"")</f>
        <v>213</v>
      </c>
    </row>
    <row r="624" spans="1:17" ht="13.95" customHeight="1">
      <c r="A624" s="110" t="s">
        <v>727</v>
      </c>
      <c r="B624" s="110">
        <v>69</v>
      </c>
      <c r="C624" s="110">
        <v>2.403</v>
      </c>
      <c r="E624" s="112">
        <v>42881</v>
      </c>
      <c r="N624" s="110" t="str">
        <f>IFERROR(INDEX('WetLitterbags placem_collection'!$A$3:$A$500,MATCH(A624,'WetLitterbags placem_collection'!$K$4:$K$500,0)),"")</f>
        <v/>
      </c>
      <c r="O624" s="110" t="str">
        <f>IFERROR(INDEX('WetLitterbags placem_collection'!$A$3:$A$500,MATCH(A624,'WetLitterbags placem_collection'!$O$4:$O$500,0)),"")</f>
        <v/>
      </c>
      <c r="P624" s="110">
        <f>IFERROR(INDEX('WetLitterbags placem_collection'!$A$3:$A$500,MATCH(A624,'WetLitterbags placem_collection'!$M$4:$M$500,0)),"")</f>
        <v>68</v>
      </c>
      <c r="Q624" s="110" t="str">
        <f>IFERROR(INDEX('WetLitterbags placem_collection'!$A$3:$A$500,MATCH(A624,'WetLitterbags placem_collection'!$Q$4:$Q$500,0)),"")</f>
        <v/>
      </c>
    </row>
    <row r="625" spans="1:17" ht="13.95" customHeight="1">
      <c r="A625" s="110" t="s">
        <v>726</v>
      </c>
      <c r="B625" s="110">
        <v>15</v>
      </c>
      <c r="C625" s="110">
        <v>2.96</v>
      </c>
      <c r="D625" s="110" t="s">
        <v>2069</v>
      </c>
      <c r="E625" s="112">
        <v>42879</v>
      </c>
      <c r="N625" s="110" t="str">
        <f>IFERROR(INDEX('WetLitterbags placem_collection'!$A$3:$A$500,MATCH(A625,'WetLitterbags placem_collection'!$K$4:$K$500,0)),"")</f>
        <v/>
      </c>
      <c r="O625" s="110" t="str">
        <f>IFERROR(INDEX('WetLitterbags placem_collection'!$A$3:$A$500,MATCH(A625,'WetLitterbags placem_collection'!$O$4:$O$500,0)),"")</f>
        <v/>
      </c>
      <c r="P625" s="110">
        <f>IFERROR(INDEX('WetLitterbags placem_collection'!$A$3:$A$500,MATCH(A625,'WetLitterbags placem_collection'!$M$4:$M$500,0)),"")</f>
        <v>14</v>
      </c>
      <c r="Q625" s="110" t="str">
        <f>IFERROR(INDEX('WetLitterbags placem_collection'!$A$3:$A$500,MATCH(A625,'WetLitterbags placem_collection'!$Q$4:$Q$500,0)),"")</f>
        <v/>
      </c>
    </row>
    <row r="626" spans="1:17" ht="13.95" customHeight="1">
      <c r="A626" s="110" t="s">
        <v>724</v>
      </c>
      <c r="B626" s="110">
        <v>84</v>
      </c>
      <c r="C626" s="110">
        <v>1.5820000000000001</v>
      </c>
      <c r="E626" s="112">
        <v>42881</v>
      </c>
      <c r="N626" s="110" t="str">
        <f>IFERROR(INDEX('WetLitterbags placem_collection'!$A$3:$A$500,MATCH(A626,'WetLitterbags placem_collection'!$K$4:$K$500,0)),"")</f>
        <v/>
      </c>
      <c r="O626" s="110" t="str">
        <f>IFERROR(INDEX('WetLitterbags placem_collection'!$A$3:$A$500,MATCH(A626,'WetLitterbags placem_collection'!$O$4:$O$500,0)),"")</f>
        <v/>
      </c>
      <c r="P626" s="110" t="str">
        <f>IFERROR(INDEX('WetLitterbags placem_collection'!$A$3:$A$500,MATCH(A626,'WetLitterbags placem_collection'!$M$4:$M$500,0)),"")</f>
        <v/>
      </c>
      <c r="Q626" s="110">
        <f>IFERROR(INDEX('WetLitterbags placem_collection'!$A$3:$A$500,MATCH(A626,'WetLitterbags placem_collection'!$Q$4:$Q$500,0)),"")</f>
        <v>83</v>
      </c>
    </row>
    <row r="627" spans="1:17" ht="13.95" customHeight="1">
      <c r="A627" s="110" t="s">
        <v>723</v>
      </c>
      <c r="B627" s="110">
        <v>128</v>
      </c>
      <c r="C627" s="110">
        <v>1.4119999999999999</v>
      </c>
      <c r="E627" s="112">
        <v>42879</v>
      </c>
      <c r="N627" s="110" t="str">
        <f>IFERROR(INDEX('WetLitterbags placem_collection'!$A$3:$A$500,MATCH(A627,'WetLitterbags placem_collection'!$K$4:$K$500,0)),"")</f>
        <v/>
      </c>
      <c r="O627" s="110" t="str">
        <f>IFERROR(INDEX('WetLitterbags placem_collection'!$A$3:$A$500,MATCH(A627,'WetLitterbags placem_collection'!$O$4:$O$500,0)),"")</f>
        <v/>
      </c>
      <c r="P627" s="110" t="str">
        <f>IFERROR(INDEX('WetLitterbags placem_collection'!$A$3:$A$500,MATCH(A627,'WetLitterbags placem_collection'!$M$4:$M$500,0)),"")</f>
        <v/>
      </c>
      <c r="Q627" s="110">
        <f>IFERROR(INDEX('WetLitterbags placem_collection'!$A$3:$A$500,MATCH(A627,'WetLitterbags placem_collection'!$Q$4:$Q$500,0)),"")</f>
        <v>127</v>
      </c>
    </row>
    <row r="628" spans="1:17" ht="13.95" customHeight="1">
      <c r="A628" s="110" t="s">
        <v>1099</v>
      </c>
      <c r="B628" s="110">
        <v>61</v>
      </c>
      <c r="C628" s="110">
        <v>0.182</v>
      </c>
      <c r="D628" s="110" t="s">
        <v>2084</v>
      </c>
      <c r="E628" s="112">
        <v>42878</v>
      </c>
      <c r="N628" s="110" t="str">
        <f>IFERROR(INDEX('WetLitterbags placem_collection'!$A$3:$A$500,MATCH(A628,'WetLitterbags placem_collection'!$K$4:$K$500,0)),"")</f>
        <v/>
      </c>
      <c r="O628" s="110" t="str">
        <f>IFERROR(INDEX('WetLitterbags placem_collection'!$A$3:$A$500,MATCH(A628,'WetLitterbags placem_collection'!$O$4:$O$500,0)),"")</f>
        <v/>
      </c>
      <c r="P628" s="110">
        <f>IFERROR(INDEX('WetLitterbags placem_collection'!$A$3:$A$500,MATCH(A628,'WetLitterbags placem_collection'!$M$4:$M$500,0)),"")</f>
        <v>60</v>
      </c>
      <c r="Q628" s="110" t="str">
        <f>IFERROR(INDEX('WetLitterbags placem_collection'!$A$3:$A$500,MATCH(A628,'WetLitterbags placem_collection'!$Q$4:$Q$500,0)),"")</f>
        <v/>
      </c>
    </row>
    <row r="629" spans="1:17" ht="13.95" customHeight="1">
      <c r="A629" s="110" t="s">
        <v>721</v>
      </c>
      <c r="B629" s="110">
        <v>40</v>
      </c>
      <c r="C629" s="110">
        <v>1.66</v>
      </c>
      <c r="E629" s="112">
        <v>42881</v>
      </c>
      <c r="N629" s="110" t="str">
        <f>IFERROR(INDEX('WetLitterbags placem_collection'!$A$3:$A$500,MATCH(A629,'WetLitterbags placem_collection'!$K$4:$K$500,0)),"")</f>
        <v/>
      </c>
      <c r="O629" s="110" t="str">
        <f>IFERROR(INDEX('WetLitterbags placem_collection'!$A$3:$A$500,MATCH(A629,'WetLitterbags placem_collection'!$O$4:$O$500,0)),"")</f>
        <v/>
      </c>
      <c r="P629" s="110" t="str">
        <f>IFERROR(INDEX('WetLitterbags placem_collection'!$A$3:$A$500,MATCH(A629,'WetLitterbags placem_collection'!$M$4:$M$500,0)),"")</f>
        <v/>
      </c>
      <c r="Q629" s="110">
        <f>IFERROR(INDEX('WetLitterbags placem_collection'!$A$3:$A$500,MATCH(A629,'WetLitterbags placem_collection'!$Q$4:$Q$500,0)),"")</f>
        <v>39</v>
      </c>
    </row>
    <row r="630" spans="1:17" ht="13.95" customHeight="1">
      <c r="A630" s="110" t="s">
        <v>720</v>
      </c>
      <c r="B630" s="110">
        <v>160</v>
      </c>
      <c r="C630" s="110">
        <v>1.744</v>
      </c>
      <c r="E630" s="112">
        <v>42879</v>
      </c>
      <c r="N630" s="110" t="str">
        <f>IFERROR(INDEX('WetLitterbags placem_collection'!$A$3:$A$500,MATCH(A630,'WetLitterbags placem_collection'!$K$4:$K$500,0)),"")</f>
        <v/>
      </c>
      <c r="O630" s="110" t="str">
        <f>IFERROR(INDEX('WetLitterbags placem_collection'!$A$3:$A$500,MATCH(A630,'WetLitterbags placem_collection'!$O$4:$O$500,0)),"")</f>
        <v/>
      </c>
      <c r="P630" s="110">
        <f>IFERROR(INDEX('WetLitterbags placem_collection'!$A$3:$A$500,MATCH(A630,'WetLitterbags placem_collection'!$M$4:$M$500,0)),"")</f>
        <v>159</v>
      </c>
      <c r="Q630" s="110" t="str">
        <f>IFERROR(INDEX('WetLitterbags placem_collection'!$A$3:$A$500,MATCH(A630,'WetLitterbags placem_collection'!$Q$4:$Q$500,0)),"")</f>
        <v/>
      </c>
    </row>
    <row r="631" spans="1:17" ht="13.95" customHeight="1">
      <c r="A631" s="110" t="s">
        <v>718</v>
      </c>
      <c r="B631" s="110">
        <v>63</v>
      </c>
      <c r="C631" s="110">
        <v>1.6359999999999999</v>
      </c>
      <c r="E631" s="112">
        <v>42879</v>
      </c>
      <c r="N631" s="110" t="str">
        <f>IFERROR(INDEX('WetLitterbags placem_collection'!$A$3:$A$500,MATCH(A631,'WetLitterbags placem_collection'!$K$4:$K$500,0)),"")</f>
        <v/>
      </c>
      <c r="O631" s="110" t="str">
        <f>IFERROR(INDEX('WetLitterbags placem_collection'!$A$3:$A$500,MATCH(A631,'WetLitterbags placem_collection'!$O$4:$O$500,0)),"")</f>
        <v/>
      </c>
      <c r="P631" s="110" t="str">
        <f>IFERROR(INDEX('WetLitterbags placem_collection'!$A$3:$A$500,MATCH(A631,'WetLitterbags placem_collection'!$M$4:$M$500,0)),"")</f>
        <v/>
      </c>
      <c r="Q631" s="110">
        <f>IFERROR(INDEX('WetLitterbags placem_collection'!$A$3:$A$500,MATCH(A631,'WetLitterbags placem_collection'!$Q$4:$Q$500,0)),"")</f>
        <v>62</v>
      </c>
    </row>
    <row r="632" spans="1:17" ht="13.95" customHeight="1">
      <c r="A632" s="110" t="s">
        <v>717</v>
      </c>
      <c r="B632" s="110">
        <v>127</v>
      </c>
      <c r="C632" s="110">
        <v>1.552</v>
      </c>
      <c r="E632" s="112">
        <v>42879</v>
      </c>
      <c r="N632" s="110" t="str">
        <f>IFERROR(INDEX('WetLitterbags placem_collection'!$A$3:$A$500,MATCH(A632,'WetLitterbags placem_collection'!$K$4:$K$500,0)),"")</f>
        <v/>
      </c>
      <c r="O632" s="110" t="str">
        <f>IFERROR(INDEX('WetLitterbags placem_collection'!$A$3:$A$500,MATCH(A632,'WetLitterbags placem_collection'!$O$4:$O$500,0)),"")</f>
        <v/>
      </c>
      <c r="P632" s="110" t="str">
        <f>IFERROR(INDEX('WetLitterbags placem_collection'!$A$3:$A$500,MATCH(A632,'WetLitterbags placem_collection'!$M$4:$M$500,0)),"")</f>
        <v/>
      </c>
      <c r="Q632" s="110">
        <f>IFERROR(INDEX('WetLitterbags placem_collection'!$A$3:$A$500,MATCH(A632,'WetLitterbags placem_collection'!$Q$4:$Q$500,0)),"")</f>
        <v>126</v>
      </c>
    </row>
    <row r="633" spans="1:17" ht="13.95" customHeight="1">
      <c r="A633" s="110" t="s">
        <v>715</v>
      </c>
      <c r="B633" s="110">
        <v>138</v>
      </c>
      <c r="C633" s="110">
        <v>1.613</v>
      </c>
      <c r="E633" s="112">
        <v>42879</v>
      </c>
      <c r="N633" s="110" t="str">
        <f>IFERROR(INDEX('WetLitterbags placem_collection'!$A$3:$A$500,MATCH(A633,'WetLitterbags placem_collection'!$K$4:$K$500,0)),"")</f>
        <v/>
      </c>
      <c r="O633" s="110" t="str">
        <f>IFERROR(INDEX('WetLitterbags placem_collection'!$A$3:$A$500,MATCH(A633,'WetLitterbags placem_collection'!$O$4:$O$500,0)),"")</f>
        <v/>
      </c>
      <c r="P633" s="110">
        <f>IFERROR(INDEX('WetLitterbags placem_collection'!$A$3:$A$500,MATCH(A633,'WetLitterbags placem_collection'!$M$4:$M$500,0)),"")</f>
        <v>137</v>
      </c>
      <c r="Q633" s="110" t="str">
        <f>IFERROR(INDEX('WetLitterbags placem_collection'!$A$3:$A$500,MATCH(A633,'WetLitterbags placem_collection'!$Q$4:$Q$500,0)),"")</f>
        <v/>
      </c>
    </row>
    <row r="634" spans="1:17" ht="13.95" customHeight="1">
      <c r="A634" s="110" t="s">
        <v>714</v>
      </c>
      <c r="B634" s="110" t="s">
        <v>2077</v>
      </c>
      <c r="C634" s="110">
        <v>1.6979</v>
      </c>
      <c r="E634" s="112">
        <v>43119</v>
      </c>
      <c r="N634" s="110" t="str">
        <f>IFERROR(INDEX('WetLitterbags placem_collection'!$A$3:$A$500,MATCH(A634,'WetLitterbags placem_collection'!$K$4:$K$500,0)),"")</f>
        <v/>
      </c>
      <c r="O634" s="110" t="str">
        <f>IFERROR(INDEX('WetLitterbags placem_collection'!$A$3:$A$500,MATCH(A634,'WetLitterbags placem_collection'!$O$4:$O$500,0)),"")</f>
        <v/>
      </c>
      <c r="P634" s="110">
        <f>IFERROR(INDEX('WetLitterbags placem_collection'!$A$3:$A$500,MATCH(A634,'WetLitterbags placem_collection'!$M$4:$M$500,0)),"")</f>
        <v>186</v>
      </c>
      <c r="Q634" s="110" t="str">
        <f>IFERROR(INDEX('WetLitterbags placem_collection'!$A$3:$A$500,MATCH(A634,'WetLitterbags placem_collection'!$Q$4:$Q$500,0)),"")</f>
        <v/>
      </c>
    </row>
    <row r="635" spans="1:17" ht="13.95" customHeight="1">
      <c r="A635" s="110" t="s">
        <v>713</v>
      </c>
      <c r="B635" s="110">
        <v>113</v>
      </c>
      <c r="C635" s="110">
        <v>1.768</v>
      </c>
      <c r="E635" s="112">
        <v>42878</v>
      </c>
      <c r="N635" s="110" t="str">
        <f>IFERROR(INDEX('WetLitterbags placem_collection'!$A$3:$A$500,MATCH(A635,'WetLitterbags placem_collection'!$K$4:$K$500,0)),"")</f>
        <v/>
      </c>
      <c r="O635" s="110" t="str">
        <f>IFERROR(INDEX('WetLitterbags placem_collection'!$A$3:$A$500,MATCH(A635,'WetLitterbags placem_collection'!$O$4:$O$500,0)),"")</f>
        <v/>
      </c>
      <c r="P635" s="110">
        <f>IFERROR(INDEX('WetLitterbags placem_collection'!$A$3:$A$500,MATCH(A635,'WetLitterbags placem_collection'!$M$4:$M$500,0)),"")</f>
        <v>112</v>
      </c>
      <c r="Q635" s="110" t="str">
        <f>IFERROR(INDEX('WetLitterbags placem_collection'!$A$3:$A$500,MATCH(A635,'WetLitterbags placem_collection'!$Q$4:$Q$500,0)),"")</f>
        <v/>
      </c>
    </row>
    <row r="636" spans="1:17" ht="13.95" customHeight="1">
      <c r="A636" s="110" t="s">
        <v>712</v>
      </c>
      <c r="B636" s="110">
        <v>122</v>
      </c>
      <c r="C636" s="110">
        <v>1.2190000000000001</v>
      </c>
      <c r="E636" s="112">
        <v>42878</v>
      </c>
      <c r="N636" s="110" t="str">
        <f>IFERROR(INDEX('WetLitterbags placem_collection'!$A$3:$A$500,MATCH(A636,'WetLitterbags placem_collection'!$K$4:$K$500,0)),"")</f>
        <v/>
      </c>
      <c r="O636" s="110" t="str">
        <f>IFERROR(INDEX('WetLitterbags placem_collection'!$A$3:$A$500,MATCH(A636,'WetLitterbags placem_collection'!$O$4:$O$500,0)),"")</f>
        <v/>
      </c>
      <c r="P636" s="110" t="str">
        <f>IFERROR(INDEX('WetLitterbags placem_collection'!$A$3:$A$500,MATCH(A636,'WetLitterbags placem_collection'!$M$4:$M$500,0)),"")</f>
        <v/>
      </c>
      <c r="Q636" s="110">
        <f>IFERROR(INDEX('WetLitterbags placem_collection'!$A$3:$A$500,MATCH(A636,'WetLitterbags placem_collection'!$Q$4:$Q$500,0)),"")</f>
        <v>121</v>
      </c>
    </row>
    <row r="637" spans="1:17" ht="13.95" customHeight="1">
      <c r="A637" s="110" t="s">
        <v>711</v>
      </c>
      <c r="B637" s="110">
        <v>103</v>
      </c>
      <c r="C637" s="110">
        <v>1.629</v>
      </c>
      <c r="E637" s="112">
        <v>42881</v>
      </c>
      <c r="N637" s="110" t="str">
        <f>IFERROR(INDEX('WetLitterbags placem_collection'!$A$3:$A$500,MATCH(A637,'WetLitterbags placem_collection'!$K$4:$K$500,0)),"")</f>
        <v/>
      </c>
      <c r="O637" s="110" t="str">
        <f>IFERROR(INDEX('WetLitterbags placem_collection'!$A$3:$A$500,MATCH(A637,'WetLitterbags placem_collection'!$O$4:$O$500,0)),"")</f>
        <v/>
      </c>
      <c r="P637" s="110">
        <f>IFERROR(INDEX('WetLitterbags placem_collection'!$A$3:$A$500,MATCH(A637,'WetLitterbags placem_collection'!$M$4:$M$500,0)),"")</f>
        <v>102</v>
      </c>
      <c r="Q637" s="110" t="str">
        <f>IFERROR(INDEX('WetLitterbags placem_collection'!$A$3:$A$500,MATCH(A637,'WetLitterbags placem_collection'!$Q$4:$Q$500,0)),"")</f>
        <v/>
      </c>
    </row>
    <row r="638" spans="1:17" ht="13.95" customHeight="1">
      <c r="A638" s="110" t="s">
        <v>709</v>
      </c>
      <c r="B638" s="110">
        <v>135</v>
      </c>
      <c r="C638" s="110">
        <v>1.6830000000000001</v>
      </c>
      <c r="E638" s="112">
        <v>42881</v>
      </c>
      <c r="N638" s="110" t="str">
        <f>IFERROR(INDEX('WetLitterbags placem_collection'!$A$3:$A$500,MATCH(A638,'WetLitterbags placem_collection'!$K$4:$K$500,0)),"")</f>
        <v/>
      </c>
      <c r="O638" s="110" t="str">
        <f>IFERROR(INDEX('WetLitterbags placem_collection'!$A$3:$A$500,MATCH(A638,'WetLitterbags placem_collection'!$O$4:$O$500,0)),"")</f>
        <v/>
      </c>
      <c r="P638" s="110">
        <f>IFERROR(INDEX('WetLitterbags placem_collection'!$A$3:$A$500,MATCH(A638,'WetLitterbags placem_collection'!$M$4:$M$500,0)),"")</f>
        <v>134</v>
      </c>
      <c r="Q638" s="110" t="str">
        <f>IFERROR(INDEX('WetLitterbags placem_collection'!$A$3:$A$500,MATCH(A638,'WetLitterbags placem_collection'!$Q$4:$Q$500,0)),"")</f>
        <v/>
      </c>
    </row>
    <row r="639" spans="1:17" ht="13.95" customHeight="1">
      <c r="A639" s="110" t="s">
        <v>708</v>
      </c>
      <c r="B639" s="110">
        <v>130</v>
      </c>
      <c r="C639" s="110">
        <v>1.5069999999999999</v>
      </c>
      <c r="E639" s="112">
        <v>42879</v>
      </c>
      <c r="N639" s="110" t="str">
        <f>IFERROR(INDEX('WetLitterbags placem_collection'!$A$3:$A$500,MATCH(A639,'WetLitterbags placem_collection'!$K$4:$K$500,0)),"")</f>
        <v/>
      </c>
      <c r="O639" s="110" t="str">
        <f>IFERROR(INDEX('WetLitterbags placem_collection'!$A$3:$A$500,MATCH(A639,'WetLitterbags placem_collection'!$O$4:$O$500,0)),"")</f>
        <v/>
      </c>
      <c r="P639" s="110" t="str">
        <f>IFERROR(INDEX('WetLitterbags placem_collection'!$A$3:$A$500,MATCH(A639,'WetLitterbags placem_collection'!$M$4:$M$500,0)),"")</f>
        <v/>
      </c>
      <c r="Q639" s="110">
        <f>IFERROR(INDEX('WetLitterbags placem_collection'!$A$3:$A$500,MATCH(A639,'WetLitterbags placem_collection'!$Q$4:$Q$500,0)),"")</f>
        <v>129</v>
      </c>
    </row>
    <row r="640" spans="1:17" ht="13.95" customHeight="1">
      <c r="A640" s="110" t="s">
        <v>707</v>
      </c>
      <c r="B640" s="110" t="s">
        <v>2077</v>
      </c>
      <c r="C640" s="110">
        <v>1.5467</v>
      </c>
      <c r="E640" s="112">
        <v>43122</v>
      </c>
      <c r="N640" s="110" t="str">
        <f>IFERROR(INDEX('WetLitterbags placem_collection'!$A$3:$A$500,MATCH(A640,'WetLitterbags placem_collection'!$K$4:$K$500,0)),"")</f>
        <v/>
      </c>
      <c r="O640" s="110" t="str">
        <f>IFERROR(INDEX('WetLitterbags placem_collection'!$A$3:$A$500,MATCH(A640,'WetLitterbags placem_collection'!$O$4:$O$500,0)),"")</f>
        <v/>
      </c>
      <c r="P640" s="110" t="str">
        <f>IFERROR(INDEX('WetLitterbags placem_collection'!$A$3:$A$500,MATCH(A640,'WetLitterbags placem_collection'!$M$4:$M$500,0)),"")</f>
        <v/>
      </c>
      <c r="Q640" s="110">
        <f>IFERROR(INDEX('WetLitterbags placem_collection'!$A$3:$A$500,MATCH(A640,'WetLitterbags placem_collection'!$Q$4:$Q$500,0)),"")</f>
        <v>214</v>
      </c>
    </row>
    <row r="641" spans="1:17" ht="13.95" customHeight="1">
      <c r="A641" s="110" t="s">
        <v>706</v>
      </c>
      <c r="B641" s="110">
        <v>57</v>
      </c>
      <c r="C641" s="116">
        <v>1.4594</v>
      </c>
      <c r="E641" s="112">
        <v>43116</v>
      </c>
      <c r="N641" s="110" t="str">
        <f>IFERROR(INDEX('WetLitterbags placem_collection'!$A$3:$A$500,MATCH(A641,'WetLitterbags placem_collection'!$K$4:$K$500,0)),"")</f>
        <v/>
      </c>
      <c r="O641" s="110" t="str">
        <f>IFERROR(INDEX('WetLitterbags placem_collection'!$A$3:$A$500,MATCH(A641,'WetLitterbags placem_collection'!$O$4:$O$500,0)),"")</f>
        <v/>
      </c>
      <c r="P641" s="110" t="str">
        <f>IFERROR(INDEX('WetLitterbags placem_collection'!$A$3:$A$500,MATCH(A641,'WetLitterbags placem_collection'!$M$4:$M$500,0)),"")</f>
        <v/>
      </c>
      <c r="Q641" s="110">
        <f>IFERROR(INDEX('WetLitterbags placem_collection'!$A$3:$A$500,MATCH(A641,'WetLitterbags placem_collection'!$Q$4:$Q$500,0)),"")</f>
        <v>56</v>
      </c>
    </row>
    <row r="642" spans="1:17" ht="13.95" customHeight="1">
      <c r="A642" s="110" t="s">
        <v>705</v>
      </c>
      <c r="B642" s="110" t="s">
        <v>2077</v>
      </c>
      <c r="C642" s="110">
        <v>1.5295000000000001</v>
      </c>
      <c r="E642" s="112">
        <v>43122</v>
      </c>
      <c r="N642" s="110" t="str">
        <f>IFERROR(INDEX('WetLitterbags placem_collection'!$A$3:$A$500,MATCH(A642,'WetLitterbags placem_collection'!$K$4:$K$500,0)),"")</f>
        <v/>
      </c>
      <c r="O642" s="110" t="str">
        <f>IFERROR(INDEX('WetLitterbags placem_collection'!$A$3:$A$500,MATCH(A642,'WetLitterbags placem_collection'!$O$4:$O$500,0)),"")</f>
        <v/>
      </c>
      <c r="P642" s="110">
        <f>IFERROR(INDEX('WetLitterbags placem_collection'!$A$3:$A$500,MATCH(A642,'WetLitterbags placem_collection'!$M$4:$M$500,0)),"")</f>
        <v>27</v>
      </c>
      <c r="Q642" s="110" t="str">
        <f>IFERROR(INDEX('WetLitterbags placem_collection'!$A$3:$A$500,MATCH(A642,'WetLitterbags placem_collection'!$Q$4:$Q$500,0)),"")</f>
        <v/>
      </c>
    </row>
    <row r="643" spans="1:17" ht="13.95" customHeight="1">
      <c r="A643" s="110" t="s">
        <v>704</v>
      </c>
      <c r="B643" s="110">
        <v>39</v>
      </c>
      <c r="C643" s="110">
        <v>1.4531000000000001</v>
      </c>
      <c r="D643" s="110" t="s">
        <v>2115</v>
      </c>
      <c r="E643" s="112">
        <v>43123</v>
      </c>
      <c r="N643" s="110" t="str">
        <f>IFERROR(INDEX('WetLitterbags placem_collection'!$A$3:$A$500,MATCH(A643,'WetLitterbags placem_collection'!$K$4:$K$500,0)),"")</f>
        <v/>
      </c>
      <c r="O643" s="110" t="str">
        <f>IFERROR(INDEX('WetLitterbags placem_collection'!$A$3:$A$500,MATCH(A643,'WetLitterbags placem_collection'!$O$4:$O$500,0)),"")</f>
        <v/>
      </c>
      <c r="P643" s="110">
        <f>IFERROR(INDEX('WetLitterbags placem_collection'!$A$3:$A$500,MATCH(A643,'WetLitterbags placem_collection'!$M$4:$M$500,0)),"")</f>
        <v>38</v>
      </c>
      <c r="Q643" s="110" t="str">
        <f>IFERROR(INDEX('WetLitterbags placem_collection'!$A$3:$A$500,MATCH(A643,'WetLitterbags placem_collection'!$Q$4:$Q$500,0)),"")</f>
        <v/>
      </c>
    </row>
    <row r="644" spans="1:17" ht="13.95" customHeight="1">
      <c r="A644" s="110" t="s">
        <v>703</v>
      </c>
      <c r="B644" s="110" t="s">
        <v>2077</v>
      </c>
      <c r="C644" s="110">
        <v>0.17480000000000001</v>
      </c>
      <c r="D644" s="110" t="s">
        <v>2145</v>
      </c>
      <c r="E644" s="112">
        <v>43116</v>
      </c>
      <c r="N644" s="110" t="str">
        <f>IFERROR(INDEX('WetLitterbags placem_collection'!$A$3:$A$500,MATCH(A644,'WetLitterbags placem_collection'!$K$4:$K$500,0)),"")</f>
        <v/>
      </c>
      <c r="O644" s="110" t="str">
        <f>IFERROR(INDEX('WetLitterbags placem_collection'!$A$3:$A$500,MATCH(A644,'WetLitterbags placem_collection'!$O$4:$O$500,0)),"")</f>
        <v/>
      </c>
      <c r="P644" s="110">
        <f>IFERROR(INDEX('WetLitterbags placem_collection'!$A$3:$A$500,MATCH(A644,'WetLitterbags placem_collection'!$M$4:$M$500,0)),"")</f>
        <v>72</v>
      </c>
      <c r="Q644" s="110" t="str">
        <f>IFERROR(INDEX('WetLitterbags placem_collection'!$A$3:$A$500,MATCH(A644,'WetLitterbags placem_collection'!$Q$4:$Q$500,0)),"")</f>
        <v/>
      </c>
    </row>
    <row r="645" spans="1:17" ht="13.95" customHeight="1">
      <c r="A645" s="110" t="s">
        <v>1097</v>
      </c>
      <c r="B645" s="110">
        <v>67</v>
      </c>
      <c r="C645" s="110">
        <v>1.5427999999999999</v>
      </c>
      <c r="E645" s="112">
        <v>43125</v>
      </c>
      <c r="N645" s="110" t="str">
        <f>IFERROR(INDEX('WetLitterbags placem_collection'!$A$3:$A$500,MATCH(A645,'WetLitterbags placem_collection'!$K$4:$K$500,0)),"")</f>
        <v/>
      </c>
      <c r="O645" s="110" t="str">
        <f>IFERROR(INDEX('WetLitterbags placem_collection'!$A$3:$A$500,MATCH(A645,'WetLitterbags placem_collection'!$O$4:$O$500,0)),"")</f>
        <v/>
      </c>
      <c r="P645" s="110" t="str">
        <f>IFERROR(INDEX('WetLitterbags placem_collection'!$A$3:$A$500,MATCH(A645,'WetLitterbags placem_collection'!$M$4:$M$500,0)),"")</f>
        <v/>
      </c>
      <c r="Q645" s="110">
        <f>IFERROR(INDEX('WetLitterbags placem_collection'!$A$3:$A$500,MATCH(A645,'WetLitterbags placem_collection'!$Q$4:$Q$500,0)),"")</f>
        <v>66</v>
      </c>
    </row>
    <row r="646" spans="1:17" ht="13.95" customHeight="1">
      <c r="A646" s="110" t="s">
        <v>701</v>
      </c>
      <c r="B646" s="110" t="s">
        <v>2077</v>
      </c>
      <c r="C646" s="110">
        <v>1.6322000000000001</v>
      </c>
      <c r="E646" s="112">
        <v>43116</v>
      </c>
      <c r="N646" s="110" t="str">
        <f>IFERROR(INDEX('WetLitterbags placem_collection'!$A$3:$A$500,MATCH(A646,'WetLitterbags placem_collection'!$K$4:$K$500,0)),"")</f>
        <v/>
      </c>
      <c r="O646" s="110" t="str">
        <f>IFERROR(INDEX('WetLitterbags placem_collection'!$A$3:$A$500,MATCH(A646,'WetLitterbags placem_collection'!$O$4:$O$500,0)),"")</f>
        <v/>
      </c>
      <c r="P646" s="110" t="str">
        <f>IFERROR(INDEX('WetLitterbags placem_collection'!$A$3:$A$500,MATCH(A646,'WetLitterbags placem_collection'!$M$4:$M$500,0)),"")</f>
        <v/>
      </c>
      <c r="Q646" s="110">
        <f>IFERROR(INDEX('WetLitterbags placem_collection'!$A$3:$A$500,MATCH(A646,'WetLitterbags placem_collection'!$Q$4:$Q$500,0)),"")</f>
        <v>152</v>
      </c>
    </row>
    <row r="647" spans="1:17" ht="13.95" customHeight="1">
      <c r="A647" s="110" t="s">
        <v>699</v>
      </c>
      <c r="B647" s="110" t="s">
        <v>2077</v>
      </c>
      <c r="C647" s="110">
        <v>1.3831</v>
      </c>
      <c r="E647" s="112">
        <v>43116</v>
      </c>
      <c r="N647" s="110" t="str">
        <f>IFERROR(INDEX('WetLitterbags placem_collection'!$A$3:$A$500,MATCH(A647,'WetLitterbags placem_collection'!$K$4:$K$500,0)),"")</f>
        <v/>
      </c>
      <c r="O647" s="110" t="str">
        <f>IFERROR(INDEX('WetLitterbags placem_collection'!$A$3:$A$500,MATCH(A647,'WetLitterbags placem_collection'!$O$4:$O$500,0)),"")</f>
        <v/>
      </c>
      <c r="P647" s="110">
        <f>IFERROR(INDEX('WetLitterbags placem_collection'!$A$3:$A$500,MATCH(A647,'WetLitterbags placem_collection'!$M$4:$M$500,0)),"")</f>
        <v>217</v>
      </c>
      <c r="Q647" s="110" t="str">
        <f>IFERROR(INDEX('WetLitterbags placem_collection'!$A$3:$A$500,MATCH(A647,'WetLitterbags placem_collection'!$Q$4:$Q$500,0)),"")</f>
        <v/>
      </c>
    </row>
    <row r="648" spans="1:17" ht="13.95" customHeight="1">
      <c r="A648" s="110" t="s">
        <v>697</v>
      </c>
      <c r="B648" s="110" t="s">
        <v>2077</v>
      </c>
      <c r="C648" s="110">
        <v>1.7522</v>
      </c>
      <c r="E648" s="112">
        <v>43116</v>
      </c>
      <c r="N648" s="110" t="str">
        <f>IFERROR(INDEX('WetLitterbags placem_collection'!$A$3:$A$500,MATCH(A648,'WetLitterbags placem_collection'!$K$4:$K$500,0)),"")</f>
        <v/>
      </c>
      <c r="O648" s="110" t="str">
        <f>IFERROR(INDEX('WetLitterbags placem_collection'!$A$3:$A$500,MATCH(A648,'WetLitterbags placem_collection'!$O$4:$O$500,0)),"")</f>
        <v/>
      </c>
      <c r="P648" s="110">
        <f>IFERROR(INDEX('WetLitterbags placem_collection'!$A$3:$A$500,MATCH(A648,'WetLitterbags placem_collection'!$M$4:$M$500,0)),"")</f>
        <v>181</v>
      </c>
      <c r="Q648" s="110" t="str">
        <f>IFERROR(INDEX('WetLitterbags placem_collection'!$A$3:$A$500,MATCH(A648,'WetLitterbags placem_collection'!$Q$4:$Q$500,0)),"")</f>
        <v/>
      </c>
    </row>
    <row r="649" spans="1:17" ht="13.95" customHeight="1">
      <c r="A649" s="110" t="s">
        <v>696</v>
      </c>
      <c r="B649" s="110">
        <v>92</v>
      </c>
      <c r="C649" s="110">
        <v>0.31</v>
      </c>
      <c r="E649" s="112">
        <v>42879</v>
      </c>
      <c r="N649" s="110" t="str">
        <f>IFERROR(INDEX('WetLitterbags placem_collection'!$A$3:$A$500,MATCH(A649,'WetLitterbags placem_collection'!$K$4:$K$500,0)),"")</f>
        <v/>
      </c>
      <c r="O649" s="110" t="str">
        <f>IFERROR(INDEX('WetLitterbags placem_collection'!$A$3:$A$500,MATCH(A649,'WetLitterbags placem_collection'!$O$4:$O$500,0)),"")</f>
        <v/>
      </c>
      <c r="P649" s="110">
        <f>IFERROR(INDEX('WetLitterbags placem_collection'!$A$3:$A$500,MATCH(A649,'WetLitterbags placem_collection'!$M$4:$M$500,0)),"")</f>
        <v>91</v>
      </c>
      <c r="Q649" s="110" t="str">
        <f>IFERROR(INDEX('WetLitterbags placem_collection'!$A$3:$A$500,MATCH(A649,'WetLitterbags placem_collection'!$Q$4:$Q$500,0)),"")</f>
        <v/>
      </c>
    </row>
    <row r="650" spans="1:17" ht="13.95" customHeight="1">
      <c r="A650" s="110" t="s">
        <v>695</v>
      </c>
      <c r="B650" s="110" t="s">
        <v>2077</v>
      </c>
      <c r="C650" s="110">
        <v>1.4224000000000001</v>
      </c>
      <c r="E650" s="112">
        <v>43122</v>
      </c>
      <c r="N650" s="110" t="str">
        <f>IFERROR(INDEX('WetLitterbags placem_collection'!$A$3:$A$500,MATCH(A650,'WetLitterbags placem_collection'!$K$4:$K$500,0)),"")</f>
        <v/>
      </c>
      <c r="O650" s="110" t="str">
        <f>IFERROR(INDEX('WetLitterbags placem_collection'!$A$3:$A$500,MATCH(A650,'WetLitterbags placem_collection'!$O$4:$O$500,0)),"")</f>
        <v/>
      </c>
      <c r="P650" s="110">
        <f>IFERROR(INDEX('WetLitterbags placem_collection'!$A$3:$A$500,MATCH(A650,'WetLitterbags placem_collection'!$M$4:$M$500,0)),"")</f>
        <v>10</v>
      </c>
      <c r="Q650" s="110" t="str">
        <f>IFERROR(INDEX('WetLitterbags placem_collection'!$A$3:$A$500,MATCH(A650,'WetLitterbags placem_collection'!$Q$4:$Q$500,0)),"")</f>
        <v/>
      </c>
    </row>
    <row r="651" spans="1:17" ht="13.95" customHeight="1">
      <c r="A651" s="110" t="s">
        <v>694</v>
      </c>
      <c r="B651" s="110">
        <v>151</v>
      </c>
      <c r="C651" s="110">
        <v>1.782</v>
      </c>
      <c r="E651" s="112">
        <v>42879</v>
      </c>
      <c r="N651" s="110" t="str">
        <f>IFERROR(INDEX('WetLitterbags placem_collection'!$A$3:$A$500,MATCH(A651,'WetLitterbags placem_collection'!$K$4:$K$500,0)),"")</f>
        <v/>
      </c>
      <c r="O651" s="110" t="str">
        <f>IFERROR(INDEX('WetLitterbags placem_collection'!$A$3:$A$500,MATCH(A651,'WetLitterbags placem_collection'!$O$4:$O$500,0)),"")</f>
        <v/>
      </c>
      <c r="P651" s="110">
        <f>IFERROR(INDEX('WetLitterbags placem_collection'!$A$3:$A$500,MATCH(A651,'WetLitterbags placem_collection'!$M$4:$M$500,0)),"")</f>
        <v>150</v>
      </c>
      <c r="Q651" s="110" t="str">
        <f>IFERROR(INDEX('WetLitterbags placem_collection'!$A$3:$A$500,MATCH(A651,'WetLitterbags placem_collection'!$Q$4:$Q$500,0)),"")</f>
        <v/>
      </c>
    </row>
    <row r="652" spans="1:17" ht="13.95" customHeight="1">
      <c r="A652" s="110" t="s">
        <v>693</v>
      </c>
      <c r="B652" s="110">
        <v>62</v>
      </c>
      <c r="C652" s="110">
        <v>1.5379</v>
      </c>
      <c r="E652" s="112">
        <v>43125</v>
      </c>
      <c r="N652" s="110" t="str">
        <f>IFERROR(INDEX('WetLitterbags placem_collection'!$A$3:$A$500,MATCH(A652,'WetLitterbags placem_collection'!$K$4:$K$500,0)),"")</f>
        <v/>
      </c>
      <c r="O652" s="110" t="str">
        <f>IFERROR(INDEX('WetLitterbags placem_collection'!$A$3:$A$500,MATCH(A652,'WetLitterbags placem_collection'!$O$4:$O$500,0)),"")</f>
        <v/>
      </c>
      <c r="P652" s="110" t="str">
        <f>IFERROR(INDEX('WetLitterbags placem_collection'!$A$3:$A$500,MATCH(A652,'WetLitterbags placem_collection'!$M$4:$M$500,0)),"")</f>
        <v/>
      </c>
      <c r="Q652" s="110">
        <f>IFERROR(INDEX('WetLitterbags placem_collection'!$A$3:$A$500,MATCH(A652,'WetLitterbags placem_collection'!$Q$4:$Q$500,0)),"")</f>
        <v>61</v>
      </c>
    </row>
    <row r="653" spans="1:17" ht="13.95" customHeight="1">
      <c r="A653" s="110" t="s">
        <v>692</v>
      </c>
      <c r="B653" s="110">
        <v>208</v>
      </c>
      <c r="C653" s="110">
        <v>1.611</v>
      </c>
      <c r="E653" s="112">
        <v>42879</v>
      </c>
      <c r="N653" s="110" t="str">
        <f>IFERROR(INDEX('WetLitterbags placem_collection'!$A$3:$A$500,MATCH(A653,'WetLitterbags placem_collection'!$K$4:$K$500,0)),"")</f>
        <v/>
      </c>
      <c r="O653" s="110" t="str">
        <f>IFERROR(INDEX('WetLitterbags placem_collection'!$A$3:$A$500,MATCH(A653,'WetLitterbags placem_collection'!$O$4:$O$500,0)),"")</f>
        <v/>
      </c>
      <c r="P653" s="110" t="str">
        <f>IFERROR(INDEX('WetLitterbags placem_collection'!$A$3:$A$500,MATCH(A653,'WetLitterbags placem_collection'!$M$4:$M$500,0)),"")</f>
        <v/>
      </c>
      <c r="Q653" s="110">
        <f>IFERROR(INDEX('WetLitterbags placem_collection'!$A$3:$A$500,MATCH(A653,'WetLitterbags placem_collection'!$Q$4:$Q$500,0)),"")</f>
        <v>207</v>
      </c>
    </row>
    <row r="654" spans="1:17" ht="13.95" customHeight="1">
      <c r="A654" s="110" t="s">
        <v>1096</v>
      </c>
      <c r="B654" s="110" t="s">
        <v>2077</v>
      </c>
      <c r="C654" s="110">
        <v>1.4908999999999999</v>
      </c>
      <c r="E654" s="112">
        <v>43119</v>
      </c>
      <c r="N654" s="110" t="str">
        <f>IFERROR(INDEX('WetLitterbags placem_collection'!$A$3:$A$500,MATCH(A654,'WetLitterbags placem_collection'!$K$4:$K$500,0)),"")</f>
        <v/>
      </c>
      <c r="O654" s="110" t="str">
        <f>IFERROR(INDEX('WetLitterbags placem_collection'!$A$3:$A$500,MATCH(A654,'WetLitterbags placem_collection'!$O$4:$O$500,0)),"")</f>
        <v/>
      </c>
      <c r="P654" s="110" t="str">
        <f>IFERROR(INDEX('WetLitterbags placem_collection'!$A$3:$A$500,MATCH(A654,'WetLitterbags placem_collection'!$M$4:$M$500,0)),"")</f>
        <v/>
      </c>
      <c r="Q654" s="110">
        <f>IFERROR(INDEX('WetLitterbags placem_collection'!$A$3:$A$500,MATCH(A654,'WetLitterbags placem_collection'!$Q$4:$Q$500,0)),"")</f>
        <v>21</v>
      </c>
    </row>
    <row r="655" spans="1:17" ht="13.95" customHeight="1">
      <c r="A655" s="110" t="s">
        <v>691</v>
      </c>
      <c r="B655" s="110" t="s">
        <v>2083</v>
      </c>
      <c r="C655" s="110">
        <v>0.91920000000000002</v>
      </c>
      <c r="D655" s="110" t="s">
        <v>2097</v>
      </c>
      <c r="E655" s="112">
        <v>43125</v>
      </c>
      <c r="N655" s="110" t="str">
        <f>IFERROR(INDEX('WetLitterbags placem_collection'!$A$3:$A$500,MATCH(A655,'WetLitterbags placem_collection'!$K$4:$K$500,0)),"")</f>
        <v/>
      </c>
      <c r="O655" s="110" t="str">
        <f>IFERROR(INDEX('WetLitterbags placem_collection'!$A$3:$A$500,MATCH(A655,'WetLitterbags placem_collection'!$O$4:$O$500,0)),"")</f>
        <v/>
      </c>
      <c r="P655" s="110">
        <f>IFERROR(INDEX('WetLitterbags placem_collection'!$A$3:$A$500,MATCH(A655,'WetLitterbags placem_collection'!$M$4:$M$500,0)),"")</f>
        <v>12</v>
      </c>
      <c r="Q655" s="110" t="str">
        <f>IFERROR(INDEX('WetLitterbags placem_collection'!$A$3:$A$500,MATCH(A655,'WetLitterbags placem_collection'!$Q$4:$Q$500,0)),"")</f>
        <v/>
      </c>
    </row>
    <row r="656" spans="1:17" ht="13.95" customHeight="1">
      <c r="A656" s="110" t="s">
        <v>690</v>
      </c>
      <c r="B656" s="110">
        <v>171</v>
      </c>
      <c r="C656" s="110">
        <v>1.629</v>
      </c>
      <c r="E656" s="112">
        <v>42878</v>
      </c>
      <c r="N656" s="110" t="str">
        <f>IFERROR(INDEX('WetLitterbags placem_collection'!$A$3:$A$500,MATCH(A656,'WetLitterbags placem_collection'!$K$4:$K$500,0)),"")</f>
        <v/>
      </c>
      <c r="O656" s="110" t="str">
        <f>IFERROR(INDEX('WetLitterbags placem_collection'!$A$3:$A$500,MATCH(A656,'WetLitterbags placem_collection'!$O$4:$O$500,0)),"")</f>
        <v/>
      </c>
      <c r="P656" s="110" t="str">
        <f>IFERROR(INDEX('WetLitterbags placem_collection'!$A$3:$A$500,MATCH(A656,'WetLitterbags placem_collection'!$M$4:$M$500,0)),"")</f>
        <v/>
      </c>
      <c r="Q656" s="110">
        <f>IFERROR(INDEX('WetLitterbags placem_collection'!$A$3:$A$500,MATCH(A656,'WetLitterbags placem_collection'!$Q$4:$Q$500,0)),"")</f>
        <v>170</v>
      </c>
    </row>
    <row r="657" spans="1:17" ht="13.95" customHeight="1">
      <c r="A657" s="110" t="s">
        <v>689</v>
      </c>
      <c r="B657" s="110">
        <v>33</v>
      </c>
      <c r="C657" s="110">
        <v>1.6020000000000001</v>
      </c>
      <c r="E657" s="112">
        <v>42881</v>
      </c>
      <c r="N657" s="110" t="str">
        <f>IFERROR(INDEX('WetLitterbags placem_collection'!$A$3:$A$500,MATCH(A657,'WetLitterbags placem_collection'!$K$4:$K$500,0)),"")</f>
        <v/>
      </c>
      <c r="O657" s="110" t="str">
        <f>IFERROR(INDEX('WetLitterbags placem_collection'!$A$3:$A$500,MATCH(A657,'WetLitterbags placem_collection'!$O$4:$O$500,0)),"")</f>
        <v/>
      </c>
      <c r="P657" s="110" t="str">
        <f>IFERROR(INDEX('WetLitterbags placem_collection'!$A$3:$A$500,MATCH(A657,'WetLitterbags placem_collection'!$M$4:$M$500,0)),"")</f>
        <v/>
      </c>
      <c r="Q657" s="110">
        <f>IFERROR(INDEX('WetLitterbags placem_collection'!$A$3:$A$500,MATCH(A657,'WetLitterbags placem_collection'!$Q$4:$Q$500,0)),"")</f>
        <v>32</v>
      </c>
    </row>
    <row r="658" spans="1:17" ht="13.95" customHeight="1">
      <c r="A658" s="110" t="s">
        <v>688</v>
      </c>
      <c r="B658" s="110">
        <v>169</v>
      </c>
      <c r="C658" s="110">
        <v>0.14299999999999999</v>
      </c>
      <c r="D658" s="110" t="s">
        <v>2055</v>
      </c>
      <c r="E658" s="112">
        <v>42879</v>
      </c>
      <c r="N658" s="110" t="str">
        <f>IFERROR(INDEX('WetLitterbags placem_collection'!$A$3:$A$500,MATCH(A658,'WetLitterbags placem_collection'!$K$4:$K$500,0)),"")</f>
        <v/>
      </c>
      <c r="O658" s="110" t="str">
        <f>IFERROR(INDEX('WetLitterbags placem_collection'!$A$3:$A$500,MATCH(A658,'WetLitterbags placem_collection'!$O$4:$O$500,0)),"")</f>
        <v/>
      </c>
      <c r="P658" s="110">
        <f>IFERROR(INDEX('WetLitterbags placem_collection'!$A$3:$A$500,MATCH(A658,'WetLitterbags placem_collection'!$M$4:$M$500,0)),"")</f>
        <v>168</v>
      </c>
      <c r="Q658" s="110" t="str">
        <f>IFERROR(INDEX('WetLitterbags placem_collection'!$A$3:$A$500,MATCH(A658,'WetLitterbags placem_collection'!$Q$4:$Q$500,0)),"")</f>
        <v/>
      </c>
    </row>
    <row r="659" spans="1:17" ht="13.95" customHeight="1">
      <c r="A659" s="110" t="s">
        <v>687</v>
      </c>
      <c r="B659" s="110">
        <v>120</v>
      </c>
      <c r="C659" s="110">
        <v>0.3876</v>
      </c>
      <c r="D659" s="110" t="s">
        <v>2108</v>
      </c>
      <c r="E659" s="112">
        <v>43125</v>
      </c>
      <c r="N659" s="110" t="str">
        <f>IFERROR(INDEX('WetLitterbags placem_collection'!$A$3:$A$500,MATCH(A659,'WetLitterbags placem_collection'!$K$4:$K$500,0)),"")</f>
        <v/>
      </c>
      <c r="O659" s="110" t="str">
        <f>IFERROR(INDEX('WetLitterbags placem_collection'!$A$3:$A$500,MATCH(A659,'WetLitterbags placem_collection'!$O$4:$O$500,0)),"")</f>
        <v/>
      </c>
      <c r="P659" s="110">
        <f>IFERROR(INDEX('WetLitterbags placem_collection'!$A$3:$A$500,MATCH(A659,'WetLitterbags placem_collection'!$M$4:$M$500,0)),"")</f>
        <v>119</v>
      </c>
      <c r="Q659" s="110" t="str">
        <f>IFERROR(INDEX('WetLitterbags placem_collection'!$A$3:$A$500,MATCH(A659,'WetLitterbags placem_collection'!$Q$4:$Q$500,0)),"")</f>
        <v/>
      </c>
    </row>
    <row r="660" spans="1:17" ht="13.95" customHeight="1">
      <c r="A660" s="110" t="s">
        <v>685</v>
      </c>
      <c r="B660" s="110">
        <v>143</v>
      </c>
      <c r="C660" s="110">
        <v>1.6178999999999999</v>
      </c>
      <c r="E660" s="112">
        <v>43125</v>
      </c>
      <c r="N660" s="110" t="str">
        <f>IFERROR(INDEX('WetLitterbags placem_collection'!$A$3:$A$500,MATCH(A660,'WetLitterbags placem_collection'!$K$4:$K$500,0)),"")</f>
        <v/>
      </c>
      <c r="O660" s="110" t="str">
        <f>IFERROR(INDEX('WetLitterbags placem_collection'!$A$3:$A$500,MATCH(A660,'WetLitterbags placem_collection'!$O$4:$O$500,0)),"")</f>
        <v/>
      </c>
      <c r="P660" s="110">
        <f>IFERROR(INDEX('WetLitterbags placem_collection'!$A$3:$A$500,MATCH(A660,'WetLitterbags placem_collection'!$M$4:$M$500,0)),"")</f>
        <v>142</v>
      </c>
      <c r="Q660" s="110" t="str">
        <f>IFERROR(INDEX('WetLitterbags placem_collection'!$A$3:$A$500,MATCH(A660,'WetLitterbags placem_collection'!$Q$4:$Q$500,0)),"")</f>
        <v/>
      </c>
    </row>
    <row r="661" spans="1:17" ht="13.95" customHeight="1">
      <c r="A661" s="182" t="s">
        <v>684</v>
      </c>
      <c r="B661" s="110">
        <v>216</v>
      </c>
      <c r="C661" s="110">
        <v>1.5940000000000001</v>
      </c>
      <c r="E661" s="112">
        <v>42879</v>
      </c>
      <c r="N661" s="110" t="str">
        <f>IFERROR(INDEX('WetLitterbags placem_collection'!$A$3:$A$500,MATCH(A661,'WetLitterbags placem_collection'!$K$4:$K$500,0)),"")</f>
        <v/>
      </c>
      <c r="O661" s="110" t="str">
        <f>IFERROR(INDEX('WetLitterbags placem_collection'!$A$3:$A$500,MATCH(A661,'WetLitterbags placem_collection'!$O$4:$O$500,0)),"")</f>
        <v/>
      </c>
      <c r="P661" s="110" t="str">
        <f>IFERROR(INDEX('WetLitterbags placem_collection'!$A$3:$A$500,MATCH(A661,'WetLitterbags placem_collection'!$M$4:$M$500,0)),"")</f>
        <v/>
      </c>
      <c r="Q661" s="110">
        <f>IFERROR(INDEX('WetLitterbags placem_collection'!$A$3:$A$500,MATCH(A661,'WetLitterbags placem_collection'!$Q$4:$Q$500,0)),"")</f>
        <v>215</v>
      </c>
    </row>
    <row r="662" spans="1:17" ht="13.95" customHeight="1">
      <c r="A662" s="110" t="s">
        <v>683</v>
      </c>
      <c r="B662" s="110">
        <v>175</v>
      </c>
      <c r="C662" s="110">
        <v>0.61699999999999999</v>
      </c>
      <c r="E662" s="112">
        <v>42879</v>
      </c>
      <c r="N662" s="110" t="str">
        <f>IFERROR(INDEX('WetLitterbags placem_collection'!$A$3:$A$500,MATCH(A662,'WetLitterbags placem_collection'!$K$4:$K$500,0)),"")</f>
        <v/>
      </c>
      <c r="O662" s="110" t="str">
        <f>IFERROR(INDEX('WetLitterbags placem_collection'!$A$3:$A$500,MATCH(A662,'WetLitterbags placem_collection'!$O$4:$O$500,0)),"")</f>
        <v/>
      </c>
      <c r="P662" s="110">
        <f>IFERROR(INDEX('WetLitterbags placem_collection'!$A$3:$A$500,MATCH(A662,'WetLitterbags placem_collection'!$M$4:$M$500,0)),"")</f>
        <v>174</v>
      </c>
      <c r="Q662" s="110" t="str">
        <f>IFERROR(INDEX('WetLitterbags placem_collection'!$A$3:$A$500,MATCH(A662,'WetLitterbags placem_collection'!$Q$4:$Q$500,0)),"")</f>
        <v/>
      </c>
    </row>
    <row r="663" spans="1:17" ht="13.95" customHeight="1">
      <c r="A663" s="110" t="s">
        <v>682</v>
      </c>
      <c r="B663" s="110">
        <v>116</v>
      </c>
      <c r="C663" s="110">
        <v>0.68710000000000004</v>
      </c>
      <c r="D663" s="110" t="s">
        <v>2080</v>
      </c>
      <c r="E663" s="112">
        <v>43125</v>
      </c>
      <c r="N663" s="110" t="str">
        <f>IFERROR(INDEX('WetLitterbags placem_collection'!$A$3:$A$500,MATCH(A663,'WetLitterbags placem_collection'!$K$4:$K$500,0)),"")</f>
        <v/>
      </c>
      <c r="O663" s="110" t="str">
        <f>IFERROR(INDEX('WetLitterbags placem_collection'!$A$3:$A$500,MATCH(A663,'WetLitterbags placem_collection'!$O$4:$O$500,0)),"")</f>
        <v/>
      </c>
      <c r="P663" s="110">
        <f>IFERROR(INDEX('WetLitterbags placem_collection'!$A$3:$A$500,MATCH(A663,'WetLitterbags placem_collection'!$M$4:$M$500,0)),"")</f>
        <v>115</v>
      </c>
      <c r="Q663" s="110" t="str">
        <f>IFERROR(INDEX('WetLitterbags placem_collection'!$A$3:$A$500,MATCH(A663,'WetLitterbags placem_collection'!$Q$4:$Q$500,0)),"")</f>
        <v/>
      </c>
    </row>
    <row r="664" spans="1:17" ht="13.95" customHeight="1">
      <c r="A664" s="110" t="s">
        <v>1095</v>
      </c>
      <c r="B664" s="110">
        <v>129</v>
      </c>
      <c r="C664" s="110">
        <v>0.48970000000000002</v>
      </c>
      <c r="D664" s="110" t="s">
        <v>2081</v>
      </c>
      <c r="E664" s="112">
        <v>43125</v>
      </c>
      <c r="N664" s="110" t="str">
        <f>IFERROR(INDEX('WetLitterbags placem_collection'!$A$3:$A$500,MATCH(A664,'WetLitterbags placem_collection'!$K$4:$K$500,0)),"")</f>
        <v/>
      </c>
      <c r="O664" s="110" t="str">
        <f>IFERROR(INDEX('WetLitterbags placem_collection'!$A$3:$A$500,MATCH(A664,'WetLitterbags placem_collection'!$O$4:$O$500,0)),"")</f>
        <v/>
      </c>
      <c r="P664" s="110">
        <f>IFERROR(INDEX('WetLitterbags placem_collection'!$A$3:$A$500,MATCH(A664,'WetLitterbags placem_collection'!$M$4:$M$500,0)),"")</f>
        <v>128</v>
      </c>
      <c r="Q664" s="110" t="str">
        <f>IFERROR(INDEX('WetLitterbags placem_collection'!$A$3:$A$500,MATCH(A664,'WetLitterbags placem_collection'!$Q$4:$Q$500,0)),"")</f>
        <v/>
      </c>
    </row>
    <row r="665" spans="1:17" ht="13.95" customHeight="1">
      <c r="A665" s="182" t="s">
        <v>681</v>
      </c>
      <c r="B665" s="110">
        <v>142</v>
      </c>
      <c r="C665" s="110">
        <v>0.14299999999999999</v>
      </c>
      <c r="D665" s="110" t="s">
        <v>2055</v>
      </c>
      <c r="E665" s="112">
        <v>42881</v>
      </c>
      <c r="N665" s="110" t="str">
        <f>IFERROR(INDEX('WetLitterbags placem_collection'!$A$3:$A$500,MATCH(A665,'WetLitterbags placem_collection'!$K$4:$K$500,0)),"")</f>
        <v/>
      </c>
      <c r="O665" s="110" t="str">
        <f>IFERROR(INDEX('WetLitterbags placem_collection'!$A$3:$A$500,MATCH(A665,'WetLitterbags placem_collection'!$O$4:$O$500,0)),"")</f>
        <v/>
      </c>
      <c r="P665" s="110">
        <f>IFERROR(INDEX('WetLitterbags placem_collection'!$A$3:$A$500,MATCH(A665,'WetLitterbags placem_collection'!$M$4:$M$500,0)),"")</f>
        <v>141</v>
      </c>
      <c r="Q665" s="110" t="str">
        <f>IFERROR(INDEX('WetLitterbags placem_collection'!$A$3:$A$500,MATCH(A665,'WetLitterbags placem_collection'!$Q$4:$Q$500,0)),"")</f>
        <v/>
      </c>
    </row>
    <row r="666" spans="1:17" ht="13.95" customHeight="1">
      <c r="A666" s="110" t="s">
        <v>680</v>
      </c>
      <c r="B666" s="110">
        <v>160</v>
      </c>
      <c r="C666" s="110">
        <v>1.744</v>
      </c>
      <c r="E666" s="112">
        <v>42879</v>
      </c>
      <c r="N666" s="110" t="str">
        <f>IFERROR(INDEX('WetLitterbags placem_collection'!$A$3:$A$500,MATCH(A666,'WetLitterbags placem_collection'!$K$4:$K$500,0)),"")</f>
        <v/>
      </c>
      <c r="O666" s="110" t="str">
        <f>IFERROR(INDEX('WetLitterbags placem_collection'!$A$3:$A$500,MATCH(A666,'WetLitterbags placem_collection'!$O$4:$O$500,0)),"")</f>
        <v/>
      </c>
      <c r="P666" s="110" t="str">
        <f>IFERROR(INDEX('WetLitterbags placem_collection'!$A$3:$A$500,MATCH(A666,'WetLitterbags placem_collection'!$M$4:$M$500,0)),"")</f>
        <v/>
      </c>
      <c r="Q666" s="110">
        <f>IFERROR(INDEX('WetLitterbags placem_collection'!$A$3:$A$500,MATCH(A666,'WetLitterbags placem_collection'!$Q$4:$Q$500,0)),"")</f>
        <v>159</v>
      </c>
    </row>
    <row r="667" spans="1:17" ht="13.95" customHeight="1">
      <c r="A667" s="110" t="s">
        <v>679</v>
      </c>
      <c r="B667" s="110" t="s">
        <v>2077</v>
      </c>
      <c r="C667" s="110">
        <v>1.5465</v>
      </c>
      <c r="D667" s="110" t="s">
        <v>2120</v>
      </c>
      <c r="E667" s="112">
        <v>43122</v>
      </c>
      <c r="N667" s="110" t="str">
        <f>IFERROR(INDEX('WetLitterbags placem_collection'!$A$3:$A$500,MATCH(A667,'WetLitterbags placem_collection'!$K$4:$K$500,0)),"")</f>
        <v/>
      </c>
      <c r="O667" s="110" t="str">
        <f>IFERROR(INDEX('WetLitterbags placem_collection'!$A$3:$A$500,MATCH(A667,'WetLitterbags placem_collection'!$O$4:$O$500,0)),"")</f>
        <v/>
      </c>
      <c r="P667" s="110">
        <f>IFERROR(INDEX('WetLitterbags placem_collection'!$A$3:$A$500,MATCH(A667,'WetLitterbags placem_collection'!$M$4:$M$500,0)),"")</f>
        <v>109</v>
      </c>
      <c r="Q667" s="110" t="str">
        <f>IFERROR(INDEX('WetLitterbags placem_collection'!$A$3:$A$500,MATCH(A667,'WetLitterbags placem_collection'!$Q$4:$Q$500,0)),"")</f>
        <v/>
      </c>
    </row>
    <row r="668" spans="1:17" ht="13.95" customHeight="1">
      <c r="A668" s="110" t="s">
        <v>678</v>
      </c>
      <c r="B668" s="110">
        <v>198</v>
      </c>
      <c r="C668" s="110">
        <v>1.5485</v>
      </c>
      <c r="E668" s="112">
        <v>43125</v>
      </c>
      <c r="N668" s="110" t="str">
        <f>IFERROR(INDEX('WetLitterbags placem_collection'!$A$3:$A$500,MATCH(A668,'WetLitterbags placem_collection'!$K$4:$K$500,0)),"")</f>
        <v/>
      </c>
      <c r="O668" s="110" t="str">
        <f>IFERROR(INDEX('WetLitterbags placem_collection'!$A$3:$A$500,MATCH(A668,'WetLitterbags placem_collection'!$O$4:$O$500,0)),"")</f>
        <v/>
      </c>
      <c r="P668" s="110">
        <f>IFERROR(INDEX('WetLitterbags placem_collection'!$A$3:$A$500,MATCH(A668,'WetLitterbags placem_collection'!$M$4:$M$500,0)),"")</f>
        <v>197</v>
      </c>
      <c r="Q668" s="110" t="str">
        <f>IFERROR(INDEX('WetLitterbags placem_collection'!$A$3:$A$500,MATCH(A668,'WetLitterbags placem_collection'!$Q$4:$Q$500,0)),"")</f>
        <v/>
      </c>
    </row>
    <row r="669" spans="1:17" ht="13.95" customHeight="1">
      <c r="A669" s="110" t="s">
        <v>677</v>
      </c>
      <c r="B669" s="110">
        <v>156</v>
      </c>
      <c r="C669" s="110">
        <v>1.802</v>
      </c>
      <c r="E669" s="112">
        <v>42879</v>
      </c>
      <c r="N669" s="110" t="str">
        <f>IFERROR(INDEX('WetLitterbags placem_collection'!$A$3:$A$500,MATCH(A669,'WetLitterbags placem_collection'!$K$4:$K$500,0)),"")</f>
        <v/>
      </c>
      <c r="O669" s="110" t="str">
        <f>IFERROR(INDEX('WetLitterbags placem_collection'!$A$3:$A$500,MATCH(A669,'WetLitterbags placem_collection'!$O$4:$O$500,0)),"")</f>
        <v/>
      </c>
      <c r="P669" s="110" t="str">
        <f>IFERROR(INDEX('WetLitterbags placem_collection'!$A$3:$A$500,MATCH(A669,'WetLitterbags placem_collection'!$M$4:$M$500,0)),"")</f>
        <v/>
      </c>
      <c r="Q669" s="110">
        <f>IFERROR(INDEX('WetLitterbags placem_collection'!$A$3:$A$500,MATCH(A669,'WetLitterbags placem_collection'!$Q$4:$Q$500,0)),"")</f>
        <v>155</v>
      </c>
    </row>
    <row r="670" spans="1:17" ht="13.95" customHeight="1">
      <c r="A670" s="110" t="s">
        <v>676</v>
      </c>
      <c r="B670" s="110">
        <v>141</v>
      </c>
      <c r="C670" s="110">
        <v>1.6759999999999999</v>
      </c>
      <c r="E670" s="112">
        <v>42878</v>
      </c>
      <c r="N670" s="110" t="str">
        <f>IFERROR(INDEX('WetLitterbags placem_collection'!$A$3:$A$500,MATCH(A670,'WetLitterbags placem_collection'!$K$4:$K$500,0)),"")</f>
        <v/>
      </c>
      <c r="O670" s="110" t="str">
        <f>IFERROR(INDEX('WetLitterbags placem_collection'!$A$3:$A$500,MATCH(A670,'WetLitterbags placem_collection'!$O$4:$O$500,0)),"")</f>
        <v/>
      </c>
      <c r="P670" s="110" t="str">
        <f>IFERROR(INDEX('WetLitterbags placem_collection'!$A$3:$A$500,MATCH(A670,'WetLitterbags placem_collection'!$M$4:$M$500,0)),"")</f>
        <v/>
      </c>
      <c r="Q670" s="110">
        <f>IFERROR(INDEX('WetLitterbags placem_collection'!$A$3:$A$500,MATCH(A670,'WetLitterbags placem_collection'!$Q$4:$Q$500,0)),"")</f>
        <v>140</v>
      </c>
    </row>
    <row r="671" spans="1:17" ht="13.95" customHeight="1">
      <c r="A671" s="110" t="s">
        <v>675</v>
      </c>
      <c r="B671">
        <v>123</v>
      </c>
      <c r="C671" s="110">
        <v>1.5760000000000001</v>
      </c>
      <c r="E671" s="112">
        <v>42879</v>
      </c>
      <c r="N671" s="110" t="str">
        <f>IFERROR(INDEX('WetLitterbags placem_collection'!$A$3:$A$500,MATCH(A671,'WetLitterbags placem_collection'!$K$4:$K$500,0)),"")</f>
        <v/>
      </c>
      <c r="O671" s="110" t="str">
        <f>IFERROR(INDEX('WetLitterbags placem_collection'!$A$3:$A$500,MATCH(A671,'WetLitterbags placem_collection'!$O$4:$O$500,0)),"")</f>
        <v/>
      </c>
      <c r="P671" s="110" t="str">
        <f>IFERROR(INDEX('WetLitterbags placem_collection'!$A$3:$A$500,MATCH(A671,'WetLitterbags placem_collection'!$M$4:$M$500,0)),"")</f>
        <v/>
      </c>
      <c r="Q671" s="110">
        <f>IFERROR(INDEX('WetLitterbags placem_collection'!$A$3:$A$500,MATCH(A671,'WetLitterbags placem_collection'!$Q$4:$Q$500,0)),"")</f>
        <v>122</v>
      </c>
    </row>
    <row r="672" spans="1:17" ht="13.95" customHeight="1">
      <c r="A672" s="110" t="s">
        <v>674</v>
      </c>
      <c r="B672" s="110">
        <v>134</v>
      </c>
      <c r="C672" s="110">
        <v>1.591</v>
      </c>
      <c r="E672" s="112">
        <v>42881</v>
      </c>
      <c r="N672" s="110" t="str">
        <f>IFERROR(INDEX('WetLitterbags placem_collection'!$A$3:$A$500,MATCH(A672,'WetLitterbags placem_collection'!$K$4:$K$500,0)),"")</f>
        <v/>
      </c>
      <c r="O672" s="110" t="str">
        <f>IFERROR(INDEX('WetLitterbags placem_collection'!$A$3:$A$500,MATCH(A672,'WetLitterbags placem_collection'!$O$4:$O$500,0)),"")</f>
        <v/>
      </c>
      <c r="P672" s="110" t="str">
        <f>IFERROR(INDEX('WetLitterbags placem_collection'!$A$3:$A$500,MATCH(A672,'WetLitterbags placem_collection'!$M$4:$M$500,0)),"")</f>
        <v/>
      </c>
      <c r="Q672" s="110">
        <f>IFERROR(INDEX('WetLitterbags placem_collection'!$A$3:$A$500,MATCH(A672,'WetLitterbags placem_collection'!$Q$4:$Q$500,0)),"")</f>
        <v>133</v>
      </c>
    </row>
    <row r="673" spans="1:17" ht="13.95" customHeight="1">
      <c r="A673" s="110" t="s">
        <v>673</v>
      </c>
      <c r="B673" s="110">
        <v>146</v>
      </c>
      <c r="C673" s="110">
        <v>1.657</v>
      </c>
      <c r="E673" s="112">
        <v>42878</v>
      </c>
      <c r="N673" s="110" t="str">
        <f>IFERROR(INDEX('WetLitterbags placem_collection'!$A$3:$A$500,MATCH(A673,'WetLitterbags placem_collection'!$K$4:$K$500,0)),"")</f>
        <v/>
      </c>
      <c r="O673" s="110" t="str">
        <f>IFERROR(INDEX('WetLitterbags placem_collection'!$A$3:$A$500,MATCH(A673,'WetLitterbags placem_collection'!$O$4:$O$500,0)),"")</f>
        <v/>
      </c>
      <c r="P673" s="110" t="str">
        <f>IFERROR(INDEX('WetLitterbags placem_collection'!$A$3:$A$500,MATCH(A673,'WetLitterbags placem_collection'!$M$4:$M$500,0)),"")</f>
        <v/>
      </c>
      <c r="Q673" s="110">
        <f>IFERROR(INDEX('WetLitterbags placem_collection'!$A$3:$A$500,MATCH(A673,'WetLitterbags placem_collection'!$Q$4:$Q$500,0)),"")</f>
        <v>145</v>
      </c>
    </row>
    <row r="674" spans="1:17" ht="13.95" customHeight="1">
      <c r="A674" s="110" t="s">
        <v>672</v>
      </c>
      <c r="B674" s="110">
        <v>45</v>
      </c>
      <c r="C674" s="110">
        <v>1.5804</v>
      </c>
      <c r="E674" s="112">
        <v>43123</v>
      </c>
      <c r="N674" s="110" t="str">
        <f>IFERROR(INDEX('WetLitterbags placem_collection'!$A$3:$A$500,MATCH(A674,'WetLitterbags placem_collection'!$K$4:$K$500,0)),"")</f>
        <v/>
      </c>
      <c r="O674" s="110" t="str">
        <f>IFERROR(INDEX('WetLitterbags placem_collection'!$A$3:$A$500,MATCH(A674,'WetLitterbags placem_collection'!$O$4:$O$500,0)),"")</f>
        <v/>
      </c>
      <c r="P674" s="110">
        <f>IFERROR(INDEX('WetLitterbags placem_collection'!$A$3:$A$500,MATCH(A674,'WetLitterbags placem_collection'!$M$4:$M$500,0)),"")</f>
        <v>44</v>
      </c>
      <c r="Q674" s="110" t="str">
        <f>IFERROR(INDEX('WetLitterbags placem_collection'!$A$3:$A$500,MATCH(A674,'WetLitterbags placem_collection'!$Q$4:$Q$500,0)),"")</f>
        <v/>
      </c>
    </row>
    <row r="675" spans="1:17" ht="13.95" customHeight="1">
      <c r="A675" s="110" t="s">
        <v>671</v>
      </c>
      <c r="B675" s="110">
        <v>177</v>
      </c>
      <c r="C675" s="110">
        <v>1.677</v>
      </c>
      <c r="E675" s="112">
        <v>42881</v>
      </c>
      <c r="N675" s="110" t="str">
        <f>IFERROR(INDEX('WetLitterbags placem_collection'!$A$3:$A$500,MATCH(A675,'WetLitterbags placem_collection'!$K$4:$K$500,0)),"")</f>
        <v/>
      </c>
      <c r="O675" s="110" t="str">
        <f>IFERROR(INDEX('WetLitterbags placem_collection'!$A$3:$A$500,MATCH(A675,'WetLitterbags placem_collection'!$O$4:$O$500,0)),"")</f>
        <v/>
      </c>
      <c r="P675" s="110" t="str">
        <f>IFERROR(INDEX('WetLitterbags placem_collection'!$A$3:$A$500,MATCH(A675,'WetLitterbags placem_collection'!$M$4:$M$500,0)),"")</f>
        <v/>
      </c>
      <c r="Q675" s="110">
        <f>IFERROR(INDEX('WetLitterbags placem_collection'!$A$3:$A$500,MATCH(A675,'WetLitterbags placem_collection'!$Q$4:$Q$500,0)),"")</f>
        <v>176</v>
      </c>
    </row>
    <row r="676" spans="1:17" ht="13.95" customHeight="1">
      <c r="A676" s="110" t="s">
        <v>670</v>
      </c>
      <c r="B676" s="110">
        <v>124</v>
      </c>
      <c r="C676" s="110">
        <v>1.518</v>
      </c>
      <c r="E676" s="112">
        <v>42881</v>
      </c>
      <c r="N676" s="110" t="str">
        <f>IFERROR(INDEX('WetLitterbags placem_collection'!$A$3:$A$500,MATCH(A676,'WetLitterbags placem_collection'!$K$4:$K$500,0)),"")</f>
        <v/>
      </c>
      <c r="O676" s="110" t="str">
        <f>IFERROR(INDEX('WetLitterbags placem_collection'!$A$3:$A$500,MATCH(A676,'WetLitterbags placem_collection'!$O$4:$O$500,0)),"")</f>
        <v/>
      </c>
      <c r="P676" s="110" t="str">
        <f>IFERROR(INDEX('WetLitterbags placem_collection'!$A$3:$A$500,MATCH(A676,'WetLitterbags placem_collection'!$M$4:$M$500,0)),"")</f>
        <v/>
      </c>
      <c r="Q676" s="110">
        <f>IFERROR(INDEX('WetLitterbags placem_collection'!$A$3:$A$500,MATCH(A676,'WetLitterbags placem_collection'!$Q$4:$Q$500,0)),"")</f>
        <v>123</v>
      </c>
    </row>
    <row r="677" spans="1:17" ht="13.95" customHeight="1">
      <c r="A677" s="110" t="s">
        <v>669</v>
      </c>
      <c r="B677" s="110" t="s">
        <v>2077</v>
      </c>
      <c r="C677" s="110">
        <v>0.37559999999999999</v>
      </c>
      <c r="D677" s="110" t="s">
        <v>2078</v>
      </c>
      <c r="E677" s="112">
        <v>43125</v>
      </c>
      <c r="N677" s="110" t="str">
        <f>IFERROR(INDEX('WetLitterbags placem_collection'!$A$3:$A$500,MATCH(A677,'WetLitterbags placem_collection'!$K$4:$K$500,0)),"")</f>
        <v/>
      </c>
      <c r="O677" s="110" t="str">
        <f>IFERROR(INDEX('WetLitterbags placem_collection'!$A$3:$A$500,MATCH(A677,'WetLitterbags placem_collection'!$O$4:$O$500,0)),"")</f>
        <v/>
      </c>
      <c r="P677" s="110">
        <f>IFERROR(INDEX('WetLitterbags placem_collection'!$A$3:$A$500,MATCH(A677,'WetLitterbags placem_collection'!$M$4:$M$500,0)),"")</f>
        <v>147</v>
      </c>
      <c r="Q677" s="110" t="str">
        <f>IFERROR(INDEX('WetLitterbags placem_collection'!$A$3:$A$500,MATCH(A677,'WetLitterbags placem_collection'!$Q$4:$Q$500,0)),"")</f>
        <v/>
      </c>
    </row>
    <row r="678" spans="1:17" ht="13.95" customHeight="1">
      <c r="A678" s="110" t="s">
        <v>667</v>
      </c>
      <c r="B678" s="110">
        <v>136</v>
      </c>
      <c r="C678" s="110">
        <v>1.5827</v>
      </c>
      <c r="E678" s="112">
        <v>43125</v>
      </c>
      <c r="N678" s="110" t="str">
        <f>IFERROR(INDEX('WetLitterbags placem_collection'!$A$3:$A$500,MATCH(A678,'WetLitterbags placem_collection'!$K$4:$K$500,0)),"")</f>
        <v/>
      </c>
      <c r="O678" s="110" t="str">
        <f>IFERROR(INDEX('WetLitterbags placem_collection'!$A$3:$A$500,MATCH(A678,'WetLitterbags placem_collection'!$O$4:$O$500,0)),"")</f>
        <v/>
      </c>
      <c r="P678" s="110">
        <f>IFERROR(INDEX('WetLitterbags placem_collection'!$A$3:$A$500,MATCH(A678,'WetLitterbags placem_collection'!$M$4:$M$500,0)),"")</f>
        <v>135</v>
      </c>
      <c r="Q678" s="110" t="str">
        <f>IFERROR(INDEX('WetLitterbags placem_collection'!$A$3:$A$500,MATCH(A678,'WetLitterbags placem_collection'!$Q$4:$Q$500,0)),"")</f>
        <v/>
      </c>
    </row>
    <row r="679" spans="1:17" ht="13.95" customHeight="1">
      <c r="A679" s="110" t="s">
        <v>666</v>
      </c>
      <c r="B679" s="110">
        <v>104</v>
      </c>
      <c r="C679" s="110">
        <v>1.4970000000000001</v>
      </c>
      <c r="E679" s="112">
        <v>42878</v>
      </c>
      <c r="N679" s="110" t="str">
        <f>IFERROR(INDEX('WetLitterbags placem_collection'!$A$3:$A$500,MATCH(A679,'WetLitterbags placem_collection'!$K$4:$K$500,0)),"")</f>
        <v/>
      </c>
      <c r="O679" s="110" t="str">
        <f>IFERROR(INDEX('WetLitterbags placem_collection'!$A$3:$A$500,MATCH(A679,'WetLitterbags placem_collection'!$O$4:$O$500,0)),"")</f>
        <v/>
      </c>
      <c r="P679" s="110" t="str">
        <f>IFERROR(INDEX('WetLitterbags placem_collection'!$A$3:$A$500,MATCH(A679,'WetLitterbags placem_collection'!$M$4:$M$500,0)),"")</f>
        <v/>
      </c>
      <c r="Q679" s="110">
        <f>IFERROR(INDEX('WetLitterbags placem_collection'!$A$3:$A$500,MATCH(A679,'WetLitterbags placem_collection'!$Q$4:$Q$500,0)),"")</f>
        <v>103</v>
      </c>
    </row>
    <row r="680" spans="1:17" ht="13.95" customHeight="1">
      <c r="A680" s="110" t="s">
        <v>665</v>
      </c>
      <c r="B680" s="110">
        <v>131</v>
      </c>
      <c r="C680" s="110">
        <v>0.64019999999999999</v>
      </c>
      <c r="D680" s="110" t="s">
        <v>2103</v>
      </c>
      <c r="E680" s="112">
        <v>43125</v>
      </c>
      <c r="N680" s="110" t="str">
        <f>IFERROR(INDEX('WetLitterbags placem_collection'!$A$3:$A$500,MATCH(A680,'WetLitterbags placem_collection'!$K$4:$K$500,0)),"")</f>
        <v/>
      </c>
      <c r="O680" s="110" t="str">
        <f>IFERROR(INDEX('WetLitterbags placem_collection'!$A$3:$A$500,MATCH(A680,'WetLitterbags placem_collection'!$O$4:$O$500,0)),"")</f>
        <v/>
      </c>
      <c r="P680" s="110">
        <f>IFERROR(INDEX('WetLitterbags placem_collection'!$A$3:$A$500,MATCH(A680,'WetLitterbags placem_collection'!$M$4:$M$500,0)),"")</f>
        <v>130</v>
      </c>
      <c r="Q680" s="110" t="str">
        <f>IFERROR(INDEX('WetLitterbags placem_collection'!$A$3:$A$500,MATCH(A680,'WetLitterbags placem_collection'!$Q$4:$Q$500,0)),"")</f>
        <v/>
      </c>
    </row>
    <row r="681" spans="1:17" ht="13.95" customHeight="1">
      <c r="A681" s="110" t="s">
        <v>664</v>
      </c>
      <c r="B681" s="110">
        <v>132</v>
      </c>
      <c r="C681" s="110">
        <v>1.573</v>
      </c>
      <c r="E681" s="112">
        <v>43125</v>
      </c>
      <c r="N681" s="110" t="str">
        <f>IFERROR(INDEX('WetLitterbags placem_collection'!$A$3:$A$500,MATCH(A681,'WetLitterbags placem_collection'!$K$4:$K$500,0)),"")</f>
        <v/>
      </c>
      <c r="O681" s="110" t="str">
        <f>IFERROR(INDEX('WetLitterbags placem_collection'!$A$3:$A$500,MATCH(A681,'WetLitterbags placem_collection'!$O$4:$O$500,0)),"")</f>
        <v/>
      </c>
      <c r="P681" s="110" t="str">
        <f>IFERROR(INDEX('WetLitterbags placem_collection'!$A$3:$A$500,MATCH(A681,'WetLitterbags placem_collection'!$M$4:$M$500,0)),"")</f>
        <v/>
      </c>
      <c r="Q681" s="110">
        <f>IFERROR(INDEX('WetLitterbags placem_collection'!$A$3:$A$500,MATCH(A681,'WetLitterbags placem_collection'!$Q$4:$Q$500,0)),"")</f>
        <v>131</v>
      </c>
    </row>
    <row r="682" spans="1:17" ht="13.95" customHeight="1">
      <c r="A682" t="s">
        <v>662</v>
      </c>
      <c r="B682" s="110" t="s">
        <v>2083</v>
      </c>
      <c r="C682" s="110">
        <v>1.2541</v>
      </c>
      <c r="D682" s="110" t="s">
        <v>2071</v>
      </c>
      <c r="E682" s="112">
        <v>43125</v>
      </c>
      <c r="N682" s="110" t="str">
        <f>IFERROR(INDEX('WetLitterbags placem_collection'!$A$3:$A$500,MATCH(A682,'WetLitterbags placem_collection'!$K$4:$K$500,0)),"")</f>
        <v/>
      </c>
      <c r="O682" s="110" t="str">
        <f>IFERROR(INDEX('WetLitterbags placem_collection'!$A$3:$A$500,MATCH(A682,'WetLitterbags placem_collection'!$O$4:$O$500,0)),"")</f>
        <v/>
      </c>
      <c r="P682" s="110">
        <f>IFERROR(INDEX('WetLitterbags placem_collection'!$A$3:$A$500,MATCH(A682,'WetLitterbags placem_collection'!$M$4:$M$500,0)),"")</f>
        <v>152</v>
      </c>
      <c r="Q682" s="110" t="str">
        <f>IFERROR(INDEX('WetLitterbags placem_collection'!$A$3:$A$500,MATCH(A682,'WetLitterbags placem_collection'!$Q$4:$Q$500,0)),"")</f>
        <v/>
      </c>
    </row>
    <row r="683" spans="1:17" ht="13.95" customHeight="1">
      <c r="A683" s="184" t="s">
        <v>1093</v>
      </c>
      <c r="B683" s="110">
        <v>58</v>
      </c>
      <c r="C683" s="110">
        <v>0.74880000000000002</v>
      </c>
      <c r="D683" s="167" t="s">
        <v>2463</v>
      </c>
      <c r="E683" s="112">
        <v>43123</v>
      </c>
      <c r="N683" s="110" t="str">
        <f>IFERROR(INDEX('WetLitterbags placem_collection'!$A$3:$A$500,MATCH(A683,'WetLitterbags placem_collection'!$K$4:$K$500,0)),"")</f>
        <v/>
      </c>
      <c r="O683" s="110" t="str">
        <f>IFERROR(INDEX('WetLitterbags placem_collection'!$A$3:$A$500,MATCH(A683,'WetLitterbags placem_collection'!$O$4:$O$500,0)),"")</f>
        <v/>
      </c>
      <c r="P683" s="110">
        <f>IFERROR(INDEX('WetLitterbags placem_collection'!$A$3:$A$500,MATCH(A683,'WetLitterbags placem_collection'!$M$4:$M$500,0)),"")</f>
        <v>57</v>
      </c>
      <c r="Q683" s="110" t="str">
        <f>IFERROR(INDEX('WetLitterbags placem_collection'!$A$3:$A$500,MATCH(A683,'WetLitterbags placem_collection'!$Q$4:$Q$500,0)),"")</f>
        <v/>
      </c>
    </row>
    <row r="684" spans="1:17" ht="13.95" customHeight="1">
      <c r="A684" s="110" t="s">
        <v>661</v>
      </c>
      <c r="B684" s="110">
        <v>125</v>
      </c>
      <c r="C684" s="110">
        <v>1.389</v>
      </c>
      <c r="E684" s="112">
        <v>42881</v>
      </c>
      <c r="N684" s="110" t="str">
        <f>IFERROR(INDEX('WetLitterbags placem_collection'!$A$3:$A$500,MATCH(A684,'WetLitterbags placem_collection'!$K$4:$K$500,0)),"")</f>
        <v/>
      </c>
      <c r="O684" s="110" t="str">
        <f>IFERROR(INDEX('WetLitterbags placem_collection'!$A$3:$A$500,MATCH(A684,'WetLitterbags placem_collection'!$O$4:$O$500,0)),"")</f>
        <v/>
      </c>
      <c r="P684" s="110" t="str">
        <f>IFERROR(INDEX('WetLitterbags placem_collection'!$A$3:$A$500,MATCH(A684,'WetLitterbags placem_collection'!$M$4:$M$500,0)),"")</f>
        <v/>
      </c>
      <c r="Q684" s="110">
        <f>IFERROR(INDEX('WetLitterbags placem_collection'!$A$3:$A$500,MATCH(A684,'WetLitterbags placem_collection'!$Q$4:$Q$500,0)),"")</f>
        <v>115</v>
      </c>
    </row>
    <row r="685" spans="1:17" ht="13.95" customHeight="1">
      <c r="A685" s="110" t="s">
        <v>660</v>
      </c>
      <c r="B685" s="110">
        <v>175</v>
      </c>
      <c r="C685" s="110">
        <v>1.681</v>
      </c>
      <c r="E685" s="112">
        <v>42879</v>
      </c>
      <c r="N685" s="110" t="str">
        <f>IFERROR(INDEX('WetLitterbags placem_collection'!$A$3:$A$500,MATCH(A685,'WetLitterbags placem_collection'!$K$4:$K$500,0)),"")</f>
        <v/>
      </c>
      <c r="O685" s="110" t="str">
        <f>IFERROR(INDEX('WetLitterbags placem_collection'!$A$3:$A$500,MATCH(A685,'WetLitterbags placem_collection'!$O$4:$O$500,0)),"")</f>
        <v/>
      </c>
      <c r="P685" s="110" t="str">
        <f>IFERROR(INDEX('WetLitterbags placem_collection'!$A$3:$A$500,MATCH(A685,'WetLitterbags placem_collection'!$M$4:$M$500,0)),"")</f>
        <v/>
      </c>
      <c r="Q685" s="110">
        <f>IFERROR(INDEX('WetLitterbags placem_collection'!$A$3:$A$500,MATCH(A685,'WetLitterbags placem_collection'!$Q$4:$Q$500,0)),"")</f>
        <v>174</v>
      </c>
    </row>
    <row r="686" spans="1:17" ht="13.95" customHeight="1">
      <c r="A686" s="110" t="s">
        <v>659</v>
      </c>
      <c r="B686" s="110" t="s">
        <v>2077</v>
      </c>
      <c r="C686" s="110">
        <v>1.6348</v>
      </c>
      <c r="E686" s="112">
        <v>43122</v>
      </c>
      <c r="N686" s="110" t="str">
        <f>IFERROR(INDEX('WetLitterbags placem_collection'!$A$3:$A$500,MATCH(A686,'WetLitterbags placem_collection'!$K$4:$K$500,0)),"")</f>
        <v/>
      </c>
      <c r="O686" s="110" t="str">
        <f>IFERROR(INDEX('WetLitterbags placem_collection'!$A$3:$A$500,MATCH(A686,'WetLitterbags placem_collection'!$O$4:$O$500,0)),"")</f>
        <v/>
      </c>
      <c r="P686" s="110">
        <f>IFERROR(INDEX('WetLitterbags placem_collection'!$A$3:$A$500,MATCH(A686,'WetLitterbags placem_collection'!$M$4:$M$500,0)),"")</f>
        <v>100</v>
      </c>
      <c r="Q686" s="110" t="str">
        <f>IFERROR(INDEX('WetLitterbags placem_collection'!$A$3:$A$500,MATCH(A686,'WetLitterbags placem_collection'!$Q$4:$Q$500,0)),"")</f>
        <v/>
      </c>
    </row>
    <row r="687" spans="1:17" ht="13.95" customHeight="1">
      <c r="A687" s="110" t="s">
        <v>658</v>
      </c>
      <c r="B687" s="110">
        <v>137</v>
      </c>
      <c r="C687" s="110">
        <v>1.778</v>
      </c>
      <c r="E687" s="112">
        <v>42879</v>
      </c>
      <c r="N687" s="110" t="str">
        <f>IFERROR(INDEX('WetLitterbags placem_collection'!$A$3:$A$500,MATCH(A687,'WetLitterbags placem_collection'!$K$4:$K$500,0)),"")</f>
        <v/>
      </c>
      <c r="O687" s="110" t="str">
        <f>IFERROR(INDEX('WetLitterbags placem_collection'!$A$3:$A$500,MATCH(A687,'WetLitterbags placem_collection'!$O$4:$O$500,0)),"")</f>
        <v/>
      </c>
      <c r="P687" s="110" t="str">
        <f>IFERROR(INDEX('WetLitterbags placem_collection'!$A$3:$A$500,MATCH(A687,'WetLitterbags placem_collection'!$M$4:$M$500,0)),"")</f>
        <v/>
      </c>
      <c r="Q687" s="110">
        <f>IFERROR(INDEX('WetLitterbags placem_collection'!$A$3:$A$500,MATCH(A687,'WetLitterbags placem_collection'!$Q$4:$Q$500,0)),"")</f>
        <v>136</v>
      </c>
    </row>
    <row r="688" spans="1:17" ht="13.95" customHeight="1">
      <c r="A688" s="110" t="s">
        <v>657</v>
      </c>
      <c r="B688" s="110">
        <v>155</v>
      </c>
      <c r="C688" s="110">
        <v>1.7509999999999999</v>
      </c>
      <c r="E688" s="112">
        <v>42879</v>
      </c>
      <c r="N688" s="110" t="str">
        <f>IFERROR(INDEX('WetLitterbags placem_collection'!$A$3:$A$500,MATCH(A688,'WetLitterbags placem_collection'!$K$4:$K$500,0)),"")</f>
        <v/>
      </c>
      <c r="O688" s="110" t="str">
        <f>IFERROR(INDEX('WetLitterbags placem_collection'!$A$3:$A$500,MATCH(A688,'WetLitterbags placem_collection'!$O$4:$O$500,0)),"")</f>
        <v/>
      </c>
      <c r="P688" s="110">
        <f>IFERROR(INDEX('WetLitterbags placem_collection'!$A$3:$A$500,MATCH(A688,'WetLitterbags placem_collection'!$M$4:$M$500,0)),"")</f>
        <v>154</v>
      </c>
      <c r="Q688" s="110" t="str">
        <f>IFERROR(INDEX('WetLitterbags placem_collection'!$A$3:$A$500,MATCH(A688,'WetLitterbags placem_collection'!$Q$4:$Q$500,0)),"")</f>
        <v/>
      </c>
    </row>
    <row r="689" spans="1:17" ht="13.95" customHeight="1">
      <c r="A689" s="110" t="s">
        <v>656</v>
      </c>
      <c r="B689" s="110">
        <v>154</v>
      </c>
      <c r="C689" s="110">
        <v>1.839</v>
      </c>
      <c r="E689" s="112">
        <v>42881</v>
      </c>
      <c r="N689" s="110" t="str">
        <f>IFERROR(INDEX('WetLitterbags placem_collection'!$A$3:$A$500,MATCH(A689,'WetLitterbags placem_collection'!$K$4:$K$500,0)),"")</f>
        <v/>
      </c>
      <c r="O689" s="110" t="str">
        <f>IFERROR(INDEX('WetLitterbags placem_collection'!$A$3:$A$500,MATCH(A689,'WetLitterbags placem_collection'!$O$4:$O$500,0)),"")</f>
        <v/>
      </c>
      <c r="P689" s="110" t="str">
        <f>IFERROR(INDEX('WetLitterbags placem_collection'!$A$3:$A$500,MATCH(A689,'WetLitterbags placem_collection'!$M$4:$M$500,0)),"")</f>
        <v/>
      </c>
      <c r="Q689" s="110">
        <f>IFERROR(INDEX('WetLitterbags placem_collection'!$A$3:$A$500,MATCH(A689,'WetLitterbags placem_collection'!$Q$4:$Q$500,0)),"")</f>
        <v>153</v>
      </c>
    </row>
    <row r="690" spans="1:17" ht="13.95" customHeight="1">
      <c r="A690" s="110" t="s">
        <v>654</v>
      </c>
      <c r="B690" s="110">
        <v>111</v>
      </c>
      <c r="C690" s="110">
        <v>1.609</v>
      </c>
      <c r="E690" s="112">
        <v>42879</v>
      </c>
      <c r="N690" s="110" t="str">
        <f>IFERROR(INDEX('WetLitterbags placem_collection'!$A$3:$A$500,MATCH(A690,'WetLitterbags placem_collection'!$K$4:$K$500,0)),"")</f>
        <v/>
      </c>
      <c r="O690" s="110" t="str">
        <f>IFERROR(INDEX('WetLitterbags placem_collection'!$A$3:$A$500,MATCH(A690,'WetLitterbags placem_collection'!$O$4:$O$500,0)),"")</f>
        <v/>
      </c>
      <c r="P690" s="110" t="str">
        <f>IFERROR(INDEX('WetLitterbags placem_collection'!$A$3:$A$500,MATCH(A690,'WetLitterbags placem_collection'!$M$4:$M$500,0)),"")</f>
        <v/>
      </c>
      <c r="Q690" s="110">
        <f>IFERROR(INDEX('WetLitterbags placem_collection'!$A$3:$A$500,MATCH(A690,'WetLitterbags placem_collection'!$Q$4:$Q$500,0)),"")</f>
        <v>110</v>
      </c>
    </row>
    <row r="691" spans="1:17" ht="13.95" customHeight="1">
      <c r="A691" s="110" t="s">
        <v>653</v>
      </c>
      <c r="B691" s="110">
        <v>178</v>
      </c>
      <c r="C691" s="110">
        <v>1.6446000000000001</v>
      </c>
      <c r="E691" s="112">
        <v>43125</v>
      </c>
      <c r="N691" s="110" t="str">
        <f>IFERROR(INDEX('WetLitterbags placem_collection'!$A$3:$A$500,MATCH(A691,'WetLitterbags placem_collection'!$K$4:$K$500,0)),"")</f>
        <v/>
      </c>
      <c r="O691" s="110" t="str">
        <f>IFERROR(INDEX('WetLitterbags placem_collection'!$A$3:$A$500,MATCH(A691,'WetLitterbags placem_collection'!$O$4:$O$500,0)),"")</f>
        <v/>
      </c>
      <c r="P691" s="110" t="str">
        <f>IFERROR(INDEX('WetLitterbags placem_collection'!$A$3:$A$500,MATCH(A691,'WetLitterbags placem_collection'!$M$4:$M$500,0)),"")</f>
        <v/>
      </c>
      <c r="Q691" s="110">
        <f>IFERROR(INDEX('WetLitterbags placem_collection'!$A$3:$A$500,MATCH(A691,'WetLitterbags placem_collection'!$Q$4:$Q$500,0)),"")</f>
        <v>177</v>
      </c>
    </row>
    <row r="692" spans="1:17" ht="13.95" customHeight="1">
      <c r="A692" s="110" t="s">
        <v>652</v>
      </c>
      <c r="B692" s="110">
        <v>98</v>
      </c>
      <c r="C692" s="110">
        <v>1.5389999999999999</v>
      </c>
      <c r="E692" s="112">
        <v>42881</v>
      </c>
      <c r="N692" s="110" t="str">
        <f>IFERROR(INDEX('WetLitterbags placem_collection'!$A$3:$A$500,MATCH(A692,'WetLitterbags placem_collection'!$K$4:$K$500,0)),"")</f>
        <v/>
      </c>
      <c r="O692" s="110" t="str">
        <f>IFERROR(INDEX('WetLitterbags placem_collection'!$A$3:$A$500,MATCH(A692,'WetLitterbags placem_collection'!$O$4:$O$500,0)),"")</f>
        <v/>
      </c>
      <c r="P692" s="110">
        <f>IFERROR(INDEX('WetLitterbags placem_collection'!$A$3:$A$500,MATCH(A692,'WetLitterbags placem_collection'!$M$4:$M$500,0)),"")</f>
        <v>97</v>
      </c>
      <c r="Q692" s="110" t="str">
        <f>IFERROR(INDEX('WetLitterbags placem_collection'!$A$3:$A$500,MATCH(A692,'WetLitterbags placem_collection'!$Q$4:$Q$500,0)),"")</f>
        <v/>
      </c>
    </row>
    <row r="693" spans="1:17" ht="13.95" customHeight="1">
      <c r="A693" s="110" t="s">
        <v>1092</v>
      </c>
      <c r="B693" s="110">
        <v>84</v>
      </c>
      <c r="C693" s="110">
        <v>1.6379999999999999</v>
      </c>
      <c r="D693" s="110" t="s">
        <v>2050</v>
      </c>
      <c r="E693" s="112">
        <v>42881</v>
      </c>
      <c r="N693" s="110" t="str">
        <f>IFERROR(INDEX('WetLitterbags placem_collection'!$A$3:$A$500,MATCH(A693,'WetLitterbags placem_collection'!$K$4:$K$500,0)),"")</f>
        <v/>
      </c>
      <c r="O693" s="110" t="str">
        <f>IFERROR(INDEX('WetLitterbags placem_collection'!$A$3:$A$500,MATCH(A693,'WetLitterbags placem_collection'!$O$4:$O$500,0)),"")</f>
        <v/>
      </c>
      <c r="P693" s="110">
        <f>IFERROR(INDEX('WetLitterbags placem_collection'!$A$3:$A$500,MATCH(A693,'WetLitterbags placem_collection'!$M$4:$M$500,0)),"")</f>
        <v>83</v>
      </c>
      <c r="Q693" s="110" t="str">
        <f>IFERROR(INDEX('WetLitterbags placem_collection'!$A$3:$A$500,MATCH(A693,'WetLitterbags placem_collection'!$Q$4:$Q$500,0)),"")</f>
        <v/>
      </c>
    </row>
    <row r="694" spans="1:17" ht="13.95" customHeight="1">
      <c r="A694" s="110" t="s">
        <v>651</v>
      </c>
      <c r="B694" s="110">
        <v>176</v>
      </c>
      <c r="C694" s="110">
        <v>1.7070000000000001</v>
      </c>
      <c r="E694" s="112">
        <v>42879</v>
      </c>
      <c r="N694" s="110" t="str">
        <f>IFERROR(INDEX('WetLitterbags placem_collection'!$A$3:$A$500,MATCH(A694,'WetLitterbags placem_collection'!$K$4:$K$500,0)),"")</f>
        <v/>
      </c>
      <c r="O694" s="110" t="str">
        <f>IFERROR(INDEX('WetLitterbags placem_collection'!$A$3:$A$500,MATCH(A694,'WetLitterbags placem_collection'!$O$4:$O$500,0)),"")</f>
        <v/>
      </c>
      <c r="P694" s="110" t="str">
        <f>IFERROR(INDEX('WetLitterbags placem_collection'!$A$3:$A$500,MATCH(A694,'WetLitterbags placem_collection'!$M$4:$M$500,0)),"")</f>
        <v/>
      </c>
      <c r="Q694" s="110">
        <f>IFERROR(INDEX('WetLitterbags placem_collection'!$A$3:$A$500,MATCH(A694,'WetLitterbags placem_collection'!$Q$4:$Q$500,0)),"")</f>
        <v>175</v>
      </c>
    </row>
    <row r="695" spans="1:17" ht="13.95" customHeight="1">
      <c r="A695" s="110" t="s">
        <v>649</v>
      </c>
      <c r="B695" s="110">
        <v>146</v>
      </c>
      <c r="C695" s="110">
        <v>1.6579999999999999</v>
      </c>
      <c r="D695" s="110" t="s">
        <v>2125</v>
      </c>
      <c r="E695" s="112">
        <v>42878</v>
      </c>
      <c r="N695" s="110" t="str">
        <f>IFERROR(INDEX('WetLitterbags placem_collection'!$A$3:$A$500,MATCH(A695,'WetLitterbags placem_collection'!$K$4:$K$500,0)),"")</f>
        <v/>
      </c>
      <c r="O695" s="110" t="str">
        <f>IFERROR(INDEX('WetLitterbags placem_collection'!$A$3:$A$500,MATCH(A695,'WetLitterbags placem_collection'!$O$4:$O$500,0)),"")</f>
        <v/>
      </c>
      <c r="P695" s="110">
        <f>IFERROR(INDEX('WetLitterbags placem_collection'!$A$3:$A$500,MATCH(A695,'WetLitterbags placem_collection'!$M$4:$M$500,0)),"")</f>
        <v>145</v>
      </c>
      <c r="Q695" s="110" t="str">
        <f>IFERROR(INDEX('WetLitterbags placem_collection'!$A$3:$A$500,MATCH(A695,'WetLitterbags placem_collection'!$Q$4:$Q$500,0)),"")</f>
        <v/>
      </c>
    </row>
    <row r="696" spans="1:17" ht="13.95" customHeight="1">
      <c r="A696" s="110" t="s">
        <v>648</v>
      </c>
      <c r="B696" s="110">
        <v>154</v>
      </c>
      <c r="C696" s="110">
        <v>0.69099999999999995</v>
      </c>
      <c r="D696" s="110" t="s">
        <v>2061</v>
      </c>
      <c r="E696" s="112">
        <v>42881</v>
      </c>
      <c r="N696" s="110" t="str">
        <f>IFERROR(INDEX('WetLitterbags placem_collection'!$A$3:$A$500,MATCH(A696,'WetLitterbags placem_collection'!$K$4:$K$500,0)),"")</f>
        <v/>
      </c>
      <c r="O696" s="110" t="str">
        <f>IFERROR(INDEX('WetLitterbags placem_collection'!$A$3:$A$500,MATCH(A696,'WetLitterbags placem_collection'!$O$4:$O$500,0)),"")</f>
        <v/>
      </c>
      <c r="P696" s="110">
        <f>IFERROR(INDEX('WetLitterbags placem_collection'!$A$3:$A$500,MATCH(A696,'WetLitterbags placem_collection'!$M$4:$M$500,0)),"")</f>
        <v>153</v>
      </c>
      <c r="Q696" s="110" t="str">
        <f>IFERROR(INDEX('WetLitterbags placem_collection'!$A$3:$A$500,MATCH(A696,'WetLitterbags placem_collection'!$Q$4:$Q$500,0)),"")</f>
        <v/>
      </c>
    </row>
    <row r="697" spans="1:17" ht="13.95" customHeight="1">
      <c r="A697" s="110" t="s">
        <v>647</v>
      </c>
      <c r="B697" s="110">
        <v>103</v>
      </c>
      <c r="C697" s="110">
        <v>1.6919999999999999</v>
      </c>
      <c r="E697" s="112">
        <v>42881</v>
      </c>
      <c r="N697" s="110" t="str">
        <f>IFERROR(INDEX('WetLitterbags placem_collection'!$A$3:$A$500,MATCH(A697,'WetLitterbags placem_collection'!$K$4:$K$500,0)),"")</f>
        <v/>
      </c>
      <c r="O697" s="110" t="str">
        <f>IFERROR(INDEX('WetLitterbags placem_collection'!$A$3:$A$500,MATCH(A697,'WetLitterbags placem_collection'!$O$4:$O$500,0)),"")</f>
        <v/>
      </c>
      <c r="P697" s="110" t="str">
        <f>IFERROR(INDEX('WetLitterbags placem_collection'!$A$3:$A$500,MATCH(A697,'WetLitterbags placem_collection'!$M$4:$M$500,0)),"")</f>
        <v/>
      </c>
      <c r="Q697" s="110">
        <f>IFERROR(INDEX('WetLitterbags placem_collection'!$A$3:$A$500,MATCH(A697,'WetLitterbags placem_collection'!$Q$4:$Q$500,0)),"")</f>
        <v>102</v>
      </c>
    </row>
    <row r="698" spans="1:17" ht="13.95" customHeight="1">
      <c r="A698" s="110" t="s">
        <v>646</v>
      </c>
      <c r="B698" s="110">
        <v>118</v>
      </c>
      <c r="C698" s="110">
        <v>1.468</v>
      </c>
      <c r="E698" s="112">
        <v>42879</v>
      </c>
      <c r="N698" s="110" t="str">
        <f>IFERROR(INDEX('WetLitterbags placem_collection'!$A$3:$A$500,MATCH(A698,'WetLitterbags placem_collection'!$K$4:$K$500,0)),"")</f>
        <v/>
      </c>
      <c r="O698" s="110" t="str">
        <f>IFERROR(INDEX('WetLitterbags placem_collection'!$A$3:$A$500,MATCH(A698,'WetLitterbags placem_collection'!$O$4:$O$500,0)),"")</f>
        <v/>
      </c>
      <c r="P698" s="110">
        <f>IFERROR(INDEX('WetLitterbags placem_collection'!$A$3:$A$500,MATCH(A698,'WetLitterbags placem_collection'!$M$4:$M$500,0)),"")</f>
        <v>117</v>
      </c>
      <c r="Q698" s="110" t="str">
        <f>IFERROR(INDEX('WetLitterbags placem_collection'!$A$3:$A$500,MATCH(A698,'WetLitterbags placem_collection'!$Q$4:$Q$500,0)),"")</f>
        <v/>
      </c>
    </row>
    <row r="699" spans="1:17" ht="13.95" customHeight="1">
      <c r="A699" s="110" t="s">
        <v>645</v>
      </c>
      <c r="B699" s="110">
        <v>99</v>
      </c>
      <c r="C699" s="110">
        <v>1.5016</v>
      </c>
      <c r="E699" s="112">
        <v>43123</v>
      </c>
      <c r="N699" s="110" t="str">
        <f>IFERROR(INDEX('WetLitterbags placem_collection'!$A$3:$A$500,MATCH(A699,'WetLitterbags placem_collection'!$K$4:$K$500,0)),"")</f>
        <v/>
      </c>
      <c r="O699" s="110" t="str">
        <f>IFERROR(INDEX('WetLitterbags placem_collection'!$A$3:$A$500,MATCH(A699,'WetLitterbags placem_collection'!$O$4:$O$500,0)),"")</f>
        <v/>
      </c>
      <c r="P699" s="110" t="str">
        <f>IFERROR(INDEX('WetLitterbags placem_collection'!$A$3:$A$500,MATCH(A699,'WetLitterbags placem_collection'!$M$4:$M$500,0)),"")</f>
        <v/>
      </c>
      <c r="Q699" s="110">
        <f>IFERROR(INDEX('WetLitterbags placem_collection'!$A$3:$A$500,MATCH(A699,'WetLitterbags placem_collection'!$Q$4:$Q$500,0)),"")</f>
        <v>98</v>
      </c>
    </row>
    <row r="700" spans="1:17" ht="13.95" customHeight="1">
      <c r="A700" s="110" t="s">
        <v>644</v>
      </c>
      <c r="B700" s="110">
        <v>100</v>
      </c>
      <c r="C700" s="110">
        <v>1.66</v>
      </c>
      <c r="E700" s="112">
        <v>42881</v>
      </c>
      <c r="N700" s="110" t="str">
        <f>IFERROR(INDEX('WetLitterbags placem_collection'!$A$3:$A$500,MATCH(A700,'WetLitterbags placem_collection'!$K$4:$K$500,0)),"")</f>
        <v/>
      </c>
      <c r="O700" s="110" t="str">
        <f>IFERROR(INDEX('WetLitterbags placem_collection'!$A$3:$A$500,MATCH(A700,'WetLitterbags placem_collection'!$O$4:$O$500,0)),"")</f>
        <v/>
      </c>
      <c r="P700" s="110" t="str">
        <f>IFERROR(INDEX('WetLitterbags placem_collection'!$A$3:$A$500,MATCH(A700,'WetLitterbags placem_collection'!$M$4:$M$500,0)),"")</f>
        <v/>
      </c>
      <c r="Q700" s="110">
        <f>IFERROR(INDEX('WetLitterbags placem_collection'!$A$3:$A$500,MATCH(A700,'WetLitterbags placem_collection'!$Q$4:$Q$500,0)),"")</f>
        <v>99</v>
      </c>
    </row>
    <row r="701" spans="1:17" ht="13.95" customHeight="1">
      <c r="A701" s="110" t="s">
        <v>1091</v>
      </c>
      <c r="B701" s="110">
        <v>20</v>
      </c>
      <c r="C701" s="110">
        <v>1.51</v>
      </c>
      <c r="E701" s="112">
        <v>43125</v>
      </c>
      <c r="N701" s="110" t="str">
        <f>IFERROR(INDEX('WetLitterbags placem_collection'!$A$3:$A$500,MATCH(A701,'WetLitterbags placem_collection'!$K$4:$K$500,0)),"")</f>
        <v/>
      </c>
      <c r="O701" s="110" t="str">
        <f>IFERROR(INDEX('WetLitterbags placem_collection'!$A$3:$A$500,MATCH(A701,'WetLitterbags placem_collection'!$O$4:$O$500,0)),"")</f>
        <v/>
      </c>
      <c r="P701" s="110">
        <f>IFERROR(INDEX('WetLitterbags placem_collection'!$A$3:$A$500,MATCH(A701,'WetLitterbags placem_collection'!$M$4:$M$500,0)),"")</f>
        <v>19</v>
      </c>
      <c r="Q701" s="110" t="str">
        <f>IFERROR(INDEX('WetLitterbags placem_collection'!$A$3:$A$500,MATCH(A701,'WetLitterbags placem_collection'!$Q$4:$Q$500,0)),"")</f>
        <v/>
      </c>
    </row>
    <row r="702" spans="1:17" ht="13.95" customHeight="1">
      <c r="A702" s="110" t="s">
        <v>641</v>
      </c>
      <c r="B702" s="110">
        <v>100</v>
      </c>
      <c r="C702" s="110">
        <v>1.764</v>
      </c>
      <c r="D702" s="110" t="s">
        <v>2050</v>
      </c>
      <c r="E702" s="112">
        <v>42881</v>
      </c>
      <c r="N702" s="110" t="str">
        <f>IFERROR(INDEX('WetLitterbags placem_collection'!$A$3:$A$500,MATCH(A702,'WetLitterbags placem_collection'!$K$4:$K$500,0)),"")</f>
        <v/>
      </c>
      <c r="O702" s="110" t="str">
        <f>IFERROR(INDEX('WetLitterbags placem_collection'!$A$3:$A$500,MATCH(A702,'WetLitterbags placem_collection'!$O$4:$O$500,0)),"")</f>
        <v/>
      </c>
      <c r="P702" s="110">
        <f>IFERROR(INDEX('WetLitterbags placem_collection'!$A$3:$A$500,MATCH(A702,'WetLitterbags placem_collection'!$M$4:$M$500,0)),"")</f>
        <v>99</v>
      </c>
      <c r="Q702" s="110" t="str">
        <f>IFERROR(INDEX('WetLitterbags placem_collection'!$A$3:$A$500,MATCH(A702,'WetLitterbags placem_collection'!$Q$4:$Q$500,0)),"")</f>
        <v/>
      </c>
    </row>
    <row r="703" spans="1:17" ht="13.95" customHeight="1">
      <c r="A703" s="182" t="s">
        <v>640</v>
      </c>
      <c r="B703" s="110">
        <v>75</v>
      </c>
      <c r="C703" s="110">
        <v>0.29499999999999998</v>
      </c>
      <c r="D703" s="110" t="s">
        <v>2055</v>
      </c>
      <c r="E703" s="112">
        <v>42881</v>
      </c>
      <c r="N703" s="110" t="str">
        <f>IFERROR(INDEX('WetLitterbags placem_collection'!$A$3:$A$500,MATCH(A703,'WetLitterbags placem_collection'!$K$4:$K$500,0)),"")</f>
        <v/>
      </c>
      <c r="O703" s="110" t="str">
        <f>IFERROR(INDEX('WetLitterbags placem_collection'!$A$3:$A$500,MATCH(A703,'WetLitterbags placem_collection'!$O$4:$O$500,0)),"")</f>
        <v/>
      </c>
      <c r="P703" s="110">
        <f>IFERROR(INDEX('WetLitterbags placem_collection'!$A$3:$A$500,MATCH(A703,'WetLitterbags placem_collection'!$M$4:$M$500,0)),"")</f>
        <v>75</v>
      </c>
      <c r="Q703" s="110" t="str">
        <f>IFERROR(INDEX('WetLitterbags placem_collection'!$A$3:$A$500,MATCH(A703,'WetLitterbags placem_collection'!$Q$4:$Q$500,0)),"")</f>
        <v/>
      </c>
    </row>
    <row r="704" spans="1:17" ht="13.95" customHeight="1">
      <c r="A704" s="110" t="s">
        <v>639</v>
      </c>
      <c r="B704" s="110" t="s">
        <v>2077</v>
      </c>
      <c r="C704" s="110">
        <v>1.3823000000000001</v>
      </c>
      <c r="E704" s="112">
        <v>43122</v>
      </c>
      <c r="N704" s="110" t="str">
        <f>IFERROR(INDEX('WetLitterbags placem_collection'!$A$3:$A$500,MATCH(A704,'WetLitterbags placem_collection'!$K$4:$K$500,0)),"")</f>
        <v/>
      </c>
      <c r="O704" s="110" t="str">
        <f>IFERROR(INDEX('WetLitterbags placem_collection'!$A$3:$A$500,MATCH(A704,'WetLitterbags placem_collection'!$O$4:$O$500,0)),"")</f>
        <v/>
      </c>
      <c r="P704" s="110">
        <f>IFERROR(INDEX('WetLitterbags placem_collection'!$A$3:$A$500,MATCH(A704,'WetLitterbags placem_collection'!$M$4:$M$500,0)),"")</f>
        <v>4</v>
      </c>
      <c r="Q704" s="110" t="str">
        <f>IFERROR(INDEX('WetLitterbags placem_collection'!$A$3:$A$500,MATCH(A704,'WetLitterbags placem_collection'!$Q$4:$Q$500,0)),"")</f>
        <v/>
      </c>
    </row>
    <row r="705" spans="1:17" ht="13.95" customHeight="1">
      <c r="A705" s="110" t="s">
        <v>637</v>
      </c>
      <c r="B705" s="110">
        <v>151</v>
      </c>
      <c r="C705" s="110">
        <v>1.798</v>
      </c>
      <c r="E705" s="112">
        <v>42879</v>
      </c>
      <c r="N705" s="110" t="str">
        <f>IFERROR(INDEX('WetLitterbags placem_collection'!$A$3:$A$500,MATCH(A705,'WetLitterbags placem_collection'!$K$4:$K$500,0)),"")</f>
        <v/>
      </c>
      <c r="O705" s="110" t="str">
        <f>IFERROR(INDEX('WetLitterbags placem_collection'!$A$3:$A$500,MATCH(A705,'WetLitterbags placem_collection'!$O$4:$O$500,0)),"")</f>
        <v/>
      </c>
      <c r="P705" s="110" t="str">
        <f>IFERROR(INDEX('WetLitterbags placem_collection'!$A$3:$A$500,MATCH(A705,'WetLitterbags placem_collection'!$M$4:$M$500,0)),"")</f>
        <v/>
      </c>
      <c r="Q705" s="110">
        <f>IFERROR(INDEX('WetLitterbags placem_collection'!$A$3:$A$500,MATCH(A705,'WetLitterbags placem_collection'!$Q$4:$Q$500,0)),"")</f>
        <v>150</v>
      </c>
    </row>
    <row r="706" spans="1:17" ht="13.95" customHeight="1">
      <c r="A706" s="110" t="s">
        <v>636</v>
      </c>
      <c r="B706" s="110">
        <v>111</v>
      </c>
      <c r="C706" s="110">
        <v>1.673</v>
      </c>
      <c r="E706" s="112">
        <v>42879</v>
      </c>
      <c r="N706" s="110" t="str">
        <f>IFERROR(INDEX('WetLitterbags placem_collection'!$A$3:$A$500,MATCH(A706,'WetLitterbags placem_collection'!$K$4:$K$500,0)),"")</f>
        <v/>
      </c>
      <c r="O706" s="110" t="str">
        <f>IFERROR(INDEX('WetLitterbags placem_collection'!$A$3:$A$500,MATCH(A706,'WetLitterbags placem_collection'!$O$4:$O$500,0)),"")</f>
        <v/>
      </c>
      <c r="P706" s="110">
        <f>IFERROR(INDEX('WetLitterbags placem_collection'!$A$3:$A$500,MATCH(A706,'WetLitterbags placem_collection'!$M$4:$M$500,0)),"")</f>
        <v>110</v>
      </c>
      <c r="Q706" s="110" t="str">
        <f>IFERROR(INDEX('WetLitterbags placem_collection'!$A$3:$A$500,MATCH(A706,'WetLitterbags placem_collection'!$Q$4:$Q$500,0)),"")</f>
        <v/>
      </c>
    </row>
    <row r="707" spans="1:17" ht="13.95" customHeight="1">
      <c r="A707" s="182" t="s">
        <v>635</v>
      </c>
      <c r="B707" s="110">
        <v>127</v>
      </c>
      <c r="C707" s="110">
        <v>1.4710000000000001</v>
      </c>
      <c r="E707" s="112">
        <v>42879</v>
      </c>
      <c r="N707" s="110" t="str">
        <f>IFERROR(INDEX('WetLitterbags placem_collection'!$A$3:$A$500,MATCH(A707,'WetLitterbags placem_collection'!$K$4:$K$500,0)),"")</f>
        <v/>
      </c>
      <c r="O707" s="110" t="str">
        <f>IFERROR(INDEX('WetLitterbags placem_collection'!$A$3:$A$500,MATCH(A707,'WetLitterbags placem_collection'!$O$4:$O$500,0)),"")</f>
        <v/>
      </c>
      <c r="P707" s="110">
        <f>IFERROR(INDEX('WetLitterbags placem_collection'!$A$3:$A$500,MATCH(A707,'WetLitterbags placem_collection'!$M$4:$M$500,0)),"")</f>
        <v>126</v>
      </c>
      <c r="Q707" s="110" t="str">
        <f>IFERROR(INDEX('WetLitterbags placem_collection'!$A$3:$A$500,MATCH(A707,'WetLitterbags placem_collection'!$Q$4:$Q$500,0)),"")</f>
        <v/>
      </c>
    </row>
    <row r="708" spans="1:17" ht="13.95" customHeight="1">
      <c r="A708" s="110" t="s">
        <v>634</v>
      </c>
      <c r="B708" s="110" t="s">
        <v>2077</v>
      </c>
      <c r="C708" s="110">
        <v>1.3523000000000001</v>
      </c>
      <c r="E708" s="112">
        <v>43122</v>
      </c>
      <c r="N708" s="110" t="str">
        <f>IFERROR(INDEX('WetLitterbags placem_collection'!$A$3:$A$500,MATCH(A708,'WetLitterbags placem_collection'!$K$4:$K$500,0)),"")</f>
        <v/>
      </c>
      <c r="O708" s="110" t="str">
        <f>IFERROR(INDEX('WetLitterbags placem_collection'!$A$3:$A$500,MATCH(A708,'WetLitterbags placem_collection'!$O$4:$O$500,0)),"")</f>
        <v/>
      </c>
      <c r="P708" s="110">
        <f>IFERROR(INDEX('WetLitterbags placem_collection'!$A$3:$A$500,MATCH(A708,'WetLitterbags placem_collection'!$M$4:$M$500,0)),"")</f>
        <v>29</v>
      </c>
      <c r="Q708" s="110" t="str">
        <f>IFERROR(INDEX('WetLitterbags placem_collection'!$A$3:$A$500,MATCH(A708,'WetLitterbags placem_collection'!$Q$4:$Q$500,0)),"")</f>
        <v/>
      </c>
    </row>
    <row r="709" spans="1:17" ht="13.95" customHeight="1">
      <c r="A709" s="110" t="s">
        <v>633</v>
      </c>
      <c r="B709" s="110" t="s">
        <v>2077</v>
      </c>
      <c r="C709" s="110">
        <v>1.3392999999999999</v>
      </c>
      <c r="D709" s="110" t="s">
        <v>2119</v>
      </c>
      <c r="E709" s="112">
        <v>43116</v>
      </c>
      <c r="N709" s="110" t="str">
        <f>IFERROR(INDEX('WetLitterbags placem_collection'!$A$3:$A$500,MATCH(A709,'WetLitterbags placem_collection'!$K$4:$K$500,0)),"")</f>
        <v/>
      </c>
      <c r="O709" s="110" t="str">
        <f>IFERROR(INDEX('WetLitterbags placem_collection'!$A$3:$A$500,MATCH(A709,'WetLitterbags placem_collection'!$O$4:$O$500,0)),"")</f>
        <v/>
      </c>
      <c r="P709" s="110" t="str">
        <f>IFERROR(INDEX('WetLitterbags placem_collection'!$A$3:$A$500,MATCH(A709,'WetLitterbags placem_collection'!$M$4:$M$500,0)),"")</f>
        <v/>
      </c>
      <c r="Q709" s="110">
        <f>IFERROR(INDEX('WetLitterbags placem_collection'!$A$3:$A$500,MATCH(A709,'WetLitterbags placem_collection'!$Q$4:$Q$500,0)),"")</f>
        <v>3</v>
      </c>
    </row>
    <row r="710" spans="1:17" ht="13.95" customHeight="1">
      <c r="A710" s="110" t="s">
        <v>632</v>
      </c>
      <c r="B710" s="110">
        <v>108</v>
      </c>
      <c r="C710" s="110">
        <v>1.6739999999999999</v>
      </c>
      <c r="E710" s="112">
        <v>42881</v>
      </c>
      <c r="N710" s="110" t="str">
        <f>IFERROR(INDEX('WetLitterbags placem_collection'!$A$3:$A$500,MATCH(A710,'WetLitterbags placem_collection'!$K$4:$K$500,0)),"")</f>
        <v/>
      </c>
      <c r="O710" s="110" t="str">
        <f>IFERROR(INDEX('WetLitterbags placem_collection'!$A$3:$A$500,MATCH(A710,'WetLitterbags placem_collection'!$O$4:$O$500,0)),"")</f>
        <v/>
      </c>
      <c r="P710" s="110" t="str">
        <f>IFERROR(INDEX('WetLitterbags placem_collection'!$A$3:$A$500,MATCH(A710,'WetLitterbags placem_collection'!$M$4:$M$500,0)),"")</f>
        <v/>
      </c>
      <c r="Q710" s="110">
        <f>IFERROR(INDEX('WetLitterbags placem_collection'!$A$3:$A$500,MATCH(A710,'WetLitterbags placem_collection'!$Q$4:$Q$500,0)),"")</f>
        <v>107</v>
      </c>
    </row>
    <row r="711" spans="1:17" ht="13.95" customHeight="1">
      <c r="A711" s="110" t="s">
        <v>1090</v>
      </c>
      <c r="B711" s="110" t="s">
        <v>2077</v>
      </c>
      <c r="C711" s="110">
        <v>1.7762</v>
      </c>
      <c r="E711" s="112">
        <v>43116</v>
      </c>
      <c r="N711" s="110" t="str">
        <f>IFERROR(INDEX('WetLitterbags placem_collection'!$A$3:$A$500,MATCH(A711,'WetLitterbags placem_collection'!$K$4:$K$500,0)),"")</f>
        <v/>
      </c>
      <c r="O711" s="110" t="str">
        <f>IFERROR(INDEX('WetLitterbags placem_collection'!$A$3:$A$500,MATCH(A711,'WetLitterbags placem_collection'!$O$4:$O$500,0)),"")</f>
        <v/>
      </c>
      <c r="P711" s="110">
        <f>IFERROR(INDEX('WetLitterbags placem_collection'!$A$3:$A$500,MATCH(A711,'WetLitterbags placem_collection'!$M$4:$M$500,0)),"")</f>
        <v>184</v>
      </c>
      <c r="Q711" s="110" t="str">
        <f>IFERROR(INDEX('WetLitterbags placem_collection'!$A$3:$A$500,MATCH(A711,'WetLitterbags placem_collection'!$Q$4:$Q$500,0)),"")</f>
        <v/>
      </c>
    </row>
    <row r="712" spans="1:17" ht="13.95" customHeight="1">
      <c r="A712" s="110" t="s">
        <v>631</v>
      </c>
      <c r="B712" s="110">
        <v>107</v>
      </c>
      <c r="C712" s="110">
        <v>1.5944</v>
      </c>
      <c r="D712" s="110" t="s">
        <v>2088</v>
      </c>
      <c r="E712" s="112">
        <v>43125</v>
      </c>
      <c r="N712" s="110" t="str">
        <f>IFERROR(INDEX('WetLitterbags placem_collection'!$A$3:$A$500,MATCH(A712,'WetLitterbags placem_collection'!$K$4:$K$500,0)),"")</f>
        <v/>
      </c>
      <c r="O712" s="110" t="str">
        <f>IFERROR(INDEX('WetLitterbags placem_collection'!$A$3:$A$500,MATCH(A712,'WetLitterbags placem_collection'!$O$4:$O$500,0)),"")</f>
        <v/>
      </c>
      <c r="P712" s="110" t="str">
        <f>IFERROR(INDEX('WetLitterbags placem_collection'!$A$3:$A$500,MATCH(A712,'WetLitterbags placem_collection'!$M$4:$M$500,0)),"")</f>
        <v/>
      </c>
      <c r="Q712" s="110">
        <f>IFERROR(INDEX('WetLitterbags placem_collection'!$A$3:$A$500,MATCH(A712,'WetLitterbags placem_collection'!$Q$4:$Q$500,0)),"")</f>
        <v>106</v>
      </c>
    </row>
    <row r="713" spans="1:17" ht="13.95" customHeight="1">
      <c r="A713" s="110" t="s">
        <v>630</v>
      </c>
      <c r="B713" s="110">
        <v>117</v>
      </c>
      <c r="C713" s="110">
        <v>0.39700000000000002</v>
      </c>
      <c r="D713" s="110" t="s">
        <v>2084</v>
      </c>
      <c r="E713" s="112">
        <v>42878</v>
      </c>
      <c r="N713" s="110" t="str">
        <f>IFERROR(INDEX('WetLitterbags placem_collection'!$A$3:$A$500,MATCH(A713,'WetLitterbags placem_collection'!$K$4:$K$500,0)),"")</f>
        <v/>
      </c>
      <c r="O713" s="110" t="str">
        <f>IFERROR(INDEX('WetLitterbags placem_collection'!$A$3:$A$500,MATCH(A713,'WetLitterbags placem_collection'!$O$4:$O$500,0)),"")</f>
        <v/>
      </c>
      <c r="P713" s="110">
        <f>IFERROR(INDEX('WetLitterbags placem_collection'!$A$3:$A$500,MATCH(A713,'WetLitterbags placem_collection'!$M$4:$M$500,0)),"")</f>
        <v>116</v>
      </c>
      <c r="Q713" s="110" t="str">
        <f>IFERROR(INDEX('WetLitterbags placem_collection'!$A$3:$A$500,MATCH(A713,'WetLitterbags placem_collection'!$Q$4:$Q$500,0)),"")</f>
        <v/>
      </c>
    </row>
    <row r="714" spans="1:17" ht="13.95" customHeight="1">
      <c r="A714" s="110" t="s">
        <v>629</v>
      </c>
      <c r="B714" s="110" t="s">
        <v>2077</v>
      </c>
      <c r="C714" s="110">
        <v>1.4733000000000001</v>
      </c>
      <c r="E714" s="112">
        <v>43123</v>
      </c>
      <c r="N714" s="110" t="str">
        <f>IFERROR(INDEX('WetLitterbags placem_collection'!$A$3:$A$500,MATCH(A714,'WetLitterbags placem_collection'!$K$4:$K$500,0)),"")</f>
        <v/>
      </c>
      <c r="O714" s="110" t="str">
        <f>IFERROR(INDEX('WetLitterbags placem_collection'!$A$3:$A$500,MATCH(A714,'WetLitterbags placem_collection'!$O$4:$O$500,0)),"")</f>
        <v/>
      </c>
      <c r="P714" s="110" t="str">
        <f>IFERROR(INDEX('WetLitterbags placem_collection'!$A$3:$A$500,MATCH(A714,'WetLitterbags placem_collection'!$M$4:$M$500,0)),"")</f>
        <v/>
      </c>
      <c r="Q714" s="110">
        <f>IFERROR(INDEX('WetLitterbags placem_collection'!$A$3:$A$500,MATCH(A714,'WetLitterbags placem_collection'!$Q$4:$Q$500,0)),"")</f>
        <v>7</v>
      </c>
    </row>
    <row r="715" spans="1:17" ht="13.95" customHeight="1">
      <c r="A715" s="110" t="s">
        <v>628</v>
      </c>
      <c r="B715" s="110">
        <v>52</v>
      </c>
      <c r="C715" s="110">
        <v>1.6279999999999999</v>
      </c>
      <c r="E715" s="112">
        <v>42878</v>
      </c>
      <c r="N715" s="110" t="str">
        <f>IFERROR(INDEX('WetLitterbags placem_collection'!$A$3:$A$500,MATCH(A715,'WetLitterbags placem_collection'!$K$4:$K$500,0)),"")</f>
        <v/>
      </c>
      <c r="O715" s="110" t="str">
        <f>IFERROR(INDEX('WetLitterbags placem_collection'!$A$3:$A$500,MATCH(A715,'WetLitterbags placem_collection'!$O$4:$O$500,0)),"")</f>
        <v/>
      </c>
      <c r="P715" s="110">
        <f>IFERROR(INDEX('WetLitterbags placem_collection'!$A$3:$A$500,MATCH(A715,'WetLitterbags placem_collection'!$M$4:$M$500,0)),"")</f>
        <v>51</v>
      </c>
      <c r="Q715" s="110" t="str">
        <f>IFERROR(INDEX('WetLitterbags placem_collection'!$A$3:$A$500,MATCH(A715,'WetLitterbags placem_collection'!$Q$4:$Q$500,0)),"")</f>
        <v/>
      </c>
    </row>
    <row r="716" spans="1:17" ht="13.95" customHeight="1">
      <c r="A716" s="110" t="s">
        <v>626</v>
      </c>
      <c r="B716" s="110" t="s">
        <v>2077</v>
      </c>
      <c r="C716" s="110">
        <v>1.3853</v>
      </c>
      <c r="E716" s="112">
        <v>43119</v>
      </c>
      <c r="N716" s="110" t="str">
        <f>IFERROR(INDEX('WetLitterbags placem_collection'!$A$3:$A$500,MATCH(A716,'WetLitterbags placem_collection'!$K$4:$K$500,0)),"")</f>
        <v/>
      </c>
      <c r="O716" s="110" t="str">
        <f>IFERROR(INDEX('WetLitterbags placem_collection'!$A$3:$A$500,MATCH(A716,'WetLitterbags placem_collection'!$O$4:$O$500,0)),"")</f>
        <v/>
      </c>
      <c r="P716" s="110" t="str">
        <f>IFERROR(INDEX('WetLitterbags placem_collection'!$A$3:$A$500,MATCH(A716,'WetLitterbags placem_collection'!$M$4:$M$500,0)),"")</f>
        <v/>
      </c>
      <c r="Q716" s="110">
        <f>IFERROR(INDEX('WetLitterbags placem_collection'!$A$3:$A$500,MATCH(A716,'WetLitterbags placem_collection'!$Q$4:$Q$500,0)),"")</f>
        <v>9</v>
      </c>
    </row>
    <row r="717" spans="1:17" ht="13.95" customHeight="1">
      <c r="A717" s="110" t="s">
        <v>625</v>
      </c>
      <c r="B717" s="110" t="s">
        <v>2083</v>
      </c>
      <c r="C717" s="110">
        <v>1.5403</v>
      </c>
      <c r="D717" s="110" t="s">
        <v>2093</v>
      </c>
      <c r="E717" s="112">
        <v>43125</v>
      </c>
      <c r="N717" s="110" t="str">
        <f>IFERROR(INDEX('WetLitterbags placem_collection'!$A$3:$A$500,MATCH(A717,'WetLitterbags placem_collection'!$K$4:$K$500,0)),"")</f>
        <v/>
      </c>
      <c r="O717" s="110" t="str">
        <f>IFERROR(INDEX('WetLitterbags placem_collection'!$A$3:$A$500,MATCH(A717,'WetLitterbags placem_collection'!$O$4:$O$500,0)),"")</f>
        <v/>
      </c>
      <c r="P717" s="110" t="str">
        <f>IFERROR(INDEX('WetLitterbags placem_collection'!$A$3:$A$500,MATCH(A717,'WetLitterbags placem_collection'!$M$4:$M$500,0)),"")</f>
        <v/>
      </c>
      <c r="Q717" s="110" t="str">
        <f>IFERROR(INDEX('WetLitterbags placem_collection'!$A$3:$A$500,MATCH(A717,'WetLitterbags placem_collection'!$Q$4:$Q$500,0)),"")</f>
        <v/>
      </c>
    </row>
    <row r="718" spans="1:17" ht="13.95" customHeight="1">
      <c r="A718" s="110" t="s">
        <v>624</v>
      </c>
      <c r="B718" s="110">
        <v>90</v>
      </c>
      <c r="C718" s="110">
        <v>2.2749000000000001</v>
      </c>
      <c r="D718" s="167" t="s">
        <v>2469</v>
      </c>
      <c r="E718" s="112">
        <v>43125</v>
      </c>
      <c r="N718" s="110" t="str">
        <f>IFERROR(INDEX('WetLitterbags placem_collection'!$A$3:$A$500,MATCH(A718,'WetLitterbags placem_collection'!$K$4:$K$500,0)),"")</f>
        <v/>
      </c>
      <c r="O718" s="110" t="str">
        <f>IFERROR(INDEX('WetLitterbags placem_collection'!$A$3:$A$500,MATCH(A718,'WetLitterbags placem_collection'!$O$4:$O$500,0)),"")</f>
        <v/>
      </c>
      <c r="P718" s="110" t="str">
        <f>IFERROR(INDEX('WetLitterbags placem_collection'!$A$3:$A$500,MATCH(A718,'WetLitterbags placem_collection'!$M$4:$M$500,0)),"")</f>
        <v/>
      </c>
      <c r="Q718" s="110">
        <f>IFERROR(INDEX('WetLitterbags placem_collection'!$A$3:$A$500,MATCH(A718,'WetLitterbags placem_collection'!$Q$4:$Q$500,0)),"")</f>
        <v>89</v>
      </c>
    </row>
    <row r="719" spans="1:17" ht="13.95" customHeight="1">
      <c r="A719" s="110" t="s">
        <v>623</v>
      </c>
      <c r="B719" s="110" t="s">
        <v>2077</v>
      </c>
      <c r="D719" s="110" t="s">
        <v>2146</v>
      </c>
      <c r="E719" s="112">
        <v>43116</v>
      </c>
      <c r="N719" s="110" t="str">
        <f>IFERROR(INDEX('WetLitterbags placem_collection'!$A$3:$A$500,MATCH(A719,'WetLitterbags placem_collection'!$K$4:$K$500,0)),"")</f>
        <v/>
      </c>
      <c r="O719" s="110" t="str">
        <f>IFERROR(INDEX('WetLitterbags placem_collection'!$A$3:$A$500,MATCH(A719,'WetLitterbags placem_collection'!$O$4:$O$500,0)),"")</f>
        <v/>
      </c>
      <c r="P719" s="110">
        <f>IFERROR(INDEX('WetLitterbags placem_collection'!$A$3:$A$500,MATCH(A719,'WetLitterbags placem_collection'!$M$4:$M$500,0)),"")</f>
        <v>96</v>
      </c>
      <c r="Q719" s="110" t="str">
        <f>IFERROR(INDEX('WetLitterbags placem_collection'!$A$3:$A$500,MATCH(A719,'WetLitterbags placem_collection'!$Q$4:$Q$500,0)),"")</f>
        <v/>
      </c>
    </row>
    <row r="720" spans="1:17" ht="13.95" customHeight="1">
      <c r="A720" s="110" t="s">
        <v>622</v>
      </c>
      <c r="B720" s="110" t="s">
        <v>2077</v>
      </c>
      <c r="C720" s="110">
        <v>1.4281999999999999</v>
      </c>
      <c r="E720" s="112">
        <v>43122</v>
      </c>
      <c r="N720" s="110" t="str">
        <f>IFERROR(INDEX('WetLitterbags placem_collection'!$A$3:$A$500,MATCH(A720,'WetLitterbags placem_collection'!$K$4:$K$500,0)),"")</f>
        <v/>
      </c>
      <c r="O720" s="110" t="str">
        <f>IFERROR(INDEX('WetLitterbags placem_collection'!$A$3:$A$500,MATCH(A720,'WetLitterbags placem_collection'!$O$4:$O$500,0)),"")</f>
        <v/>
      </c>
      <c r="P720" s="110">
        <f>IFERROR(INDEX('WetLitterbags placem_collection'!$A$3:$A$500,MATCH(A720,'WetLitterbags placem_collection'!$M$4:$M$500,0)),"")</f>
        <v>15</v>
      </c>
      <c r="Q720" s="110" t="str">
        <f>IFERROR(INDEX('WetLitterbags placem_collection'!$A$3:$A$500,MATCH(A720,'WetLitterbags placem_collection'!$Q$4:$Q$500,0)),"")</f>
        <v/>
      </c>
    </row>
    <row r="721" spans="1:17" ht="13.95" customHeight="1">
      <c r="A721" s="110" t="s">
        <v>621</v>
      </c>
      <c r="B721" s="110">
        <v>129</v>
      </c>
      <c r="C721" s="110">
        <v>1.5878000000000001</v>
      </c>
      <c r="E721" s="112">
        <v>43125</v>
      </c>
      <c r="N721" s="110" t="str">
        <f>IFERROR(INDEX('WetLitterbags placem_collection'!$A$3:$A$500,MATCH(A721,'WetLitterbags placem_collection'!$K$4:$K$500,0)),"")</f>
        <v/>
      </c>
      <c r="O721" s="110" t="str">
        <f>IFERROR(INDEX('WetLitterbags placem_collection'!$A$3:$A$500,MATCH(A721,'WetLitterbags placem_collection'!$O$4:$O$500,0)),"")</f>
        <v/>
      </c>
      <c r="P721" s="110" t="str">
        <f>IFERROR(INDEX('WetLitterbags placem_collection'!$A$3:$A$500,MATCH(A721,'WetLitterbags placem_collection'!$M$4:$M$500,0)),"")</f>
        <v/>
      </c>
      <c r="Q721" s="110">
        <f>IFERROR(INDEX('WetLitterbags placem_collection'!$A$3:$A$500,MATCH(A721,'WetLitterbags placem_collection'!$Q$4:$Q$500,0)),"")</f>
        <v>128</v>
      </c>
    </row>
    <row r="722" spans="1:17" ht="13.95" customHeight="1">
      <c r="A722" s="110" t="s">
        <v>620</v>
      </c>
      <c r="B722" s="110">
        <v>41</v>
      </c>
      <c r="C722" s="110">
        <v>1.512</v>
      </c>
      <c r="D722" s="110" t="s">
        <v>2070</v>
      </c>
      <c r="E722" s="112">
        <v>42879</v>
      </c>
      <c r="N722" s="110" t="str">
        <f>IFERROR(INDEX('WetLitterbags placem_collection'!$A$3:$A$500,MATCH(A722,'WetLitterbags placem_collection'!$K$4:$K$500,0)),"")</f>
        <v/>
      </c>
      <c r="O722" s="110" t="str">
        <f>IFERROR(INDEX('WetLitterbags placem_collection'!$A$3:$A$500,MATCH(A722,'WetLitterbags placem_collection'!$O$4:$O$500,0)),"")</f>
        <v/>
      </c>
      <c r="P722" s="110">
        <f>IFERROR(INDEX('WetLitterbags placem_collection'!$A$3:$A$500,MATCH(A722,'WetLitterbags placem_collection'!$M$4:$M$500,0)),"")</f>
        <v>40</v>
      </c>
      <c r="Q722" s="110" t="str">
        <f>IFERROR(INDEX('WetLitterbags placem_collection'!$A$3:$A$500,MATCH(A722,'WetLitterbags placem_collection'!$Q$4:$Q$500,0)),"")</f>
        <v/>
      </c>
    </row>
    <row r="723" spans="1:17" ht="13.95" customHeight="1">
      <c r="A723" s="110" t="s">
        <v>619</v>
      </c>
      <c r="B723" s="110">
        <v>115</v>
      </c>
      <c r="C723" s="110">
        <v>1.401</v>
      </c>
      <c r="E723" s="112">
        <v>43125</v>
      </c>
      <c r="N723" s="110" t="str">
        <f>IFERROR(INDEX('WetLitterbags placem_collection'!$A$3:$A$500,MATCH(A723,'WetLitterbags placem_collection'!$K$4:$K$500,0)),"")</f>
        <v/>
      </c>
      <c r="O723" s="110" t="str">
        <f>IFERROR(INDEX('WetLitterbags placem_collection'!$A$3:$A$500,MATCH(A723,'WetLitterbags placem_collection'!$O$4:$O$500,0)),"")</f>
        <v/>
      </c>
      <c r="P723" s="110" t="str">
        <f>IFERROR(INDEX('WetLitterbags placem_collection'!$A$3:$A$500,MATCH(A723,'WetLitterbags placem_collection'!$M$4:$M$500,0)),"")</f>
        <v/>
      </c>
      <c r="Q723" s="110">
        <f>IFERROR(INDEX('WetLitterbags placem_collection'!$A$3:$A$500,MATCH(A723,'WetLitterbags placem_collection'!$Q$4:$Q$500,0)),"")</f>
        <v>114</v>
      </c>
    </row>
    <row r="724" spans="1:17" ht="13.95" customHeight="1">
      <c r="A724" s="110" t="s">
        <v>618</v>
      </c>
      <c r="B724" s="110" t="s">
        <v>2077</v>
      </c>
      <c r="C724" s="110">
        <v>1.54</v>
      </c>
      <c r="D724" s="110" t="s">
        <v>2120</v>
      </c>
      <c r="E724" s="112">
        <v>43122</v>
      </c>
      <c r="N724" s="110" t="str">
        <f>IFERROR(INDEX('WetLitterbags placem_collection'!$A$3:$A$500,MATCH(A724,'WetLitterbags placem_collection'!$K$4:$K$500,0)),"")</f>
        <v/>
      </c>
      <c r="O724" s="110" t="str">
        <f>IFERROR(INDEX('WetLitterbags placem_collection'!$A$3:$A$500,MATCH(A724,'WetLitterbags placem_collection'!$O$4:$O$500,0)),"")</f>
        <v/>
      </c>
      <c r="P724" s="110">
        <f>IFERROR(INDEX('WetLitterbags placem_collection'!$A$3:$A$500,MATCH(A724,'WetLitterbags placem_collection'!$M$4:$M$500,0)),"")</f>
        <v>187</v>
      </c>
      <c r="Q724" s="110" t="str">
        <f>IFERROR(INDEX('WetLitterbags placem_collection'!$A$3:$A$500,MATCH(A724,'WetLitterbags placem_collection'!$Q$4:$Q$500,0)),"")</f>
        <v/>
      </c>
    </row>
    <row r="725" spans="1:17" ht="13.95" customHeight="1">
      <c r="A725" s="110" t="s">
        <v>617</v>
      </c>
      <c r="B725" s="110" t="s">
        <v>2077</v>
      </c>
      <c r="C725" s="110">
        <v>1.5687</v>
      </c>
      <c r="E725" s="112">
        <v>43123</v>
      </c>
      <c r="N725" s="110" t="str">
        <f>IFERROR(INDEX('WetLitterbags placem_collection'!$A$3:$A$500,MATCH(A725,'WetLitterbags placem_collection'!$K$4:$K$500,0)),"")</f>
        <v/>
      </c>
      <c r="O725" s="110" t="str">
        <f>IFERROR(INDEX('WetLitterbags placem_collection'!$A$3:$A$500,MATCH(A725,'WetLitterbags placem_collection'!$O$4:$O$500,0)),"")</f>
        <v/>
      </c>
      <c r="P725" s="110">
        <f>IFERROR(INDEX('WetLitterbags placem_collection'!$A$3:$A$500,MATCH(A725,'WetLitterbags placem_collection'!$M$4:$M$500,0)),"")</f>
        <v>132</v>
      </c>
      <c r="Q725" s="110" t="str">
        <f>IFERROR(INDEX('WetLitterbags placem_collection'!$A$3:$A$500,MATCH(A725,'WetLitterbags placem_collection'!$Q$4:$Q$500,0)),"")</f>
        <v/>
      </c>
    </row>
    <row r="726" spans="1:17" ht="13.95" customHeight="1">
      <c r="A726" s="110" t="s">
        <v>616</v>
      </c>
      <c r="B726" s="110">
        <v>65</v>
      </c>
      <c r="C726" s="110">
        <v>1.704</v>
      </c>
      <c r="E726" s="112">
        <v>42879</v>
      </c>
      <c r="N726" s="110" t="str">
        <f>IFERROR(INDEX('WetLitterbags placem_collection'!$A$3:$A$500,MATCH(A726,'WetLitterbags placem_collection'!$K$4:$K$500,0)),"")</f>
        <v/>
      </c>
      <c r="O726" s="110" t="str">
        <f>IFERROR(INDEX('WetLitterbags placem_collection'!$A$3:$A$500,MATCH(A726,'WetLitterbags placem_collection'!$O$4:$O$500,0)),"")</f>
        <v/>
      </c>
      <c r="P726" s="110">
        <f>IFERROR(INDEX('WetLitterbags placem_collection'!$A$3:$A$500,MATCH(A726,'WetLitterbags placem_collection'!$M$4:$M$500,0)),"")</f>
        <v>64</v>
      </c>
      <c r="Q726" s="110" t="str">
        <f>IFERROR(INDEX('WetLitterbags placem_collection'!$A$3:$A$500,MATCH(A726,'WetLitterbags placem_collection'!$Q$4:$Q$500,0)),"")</f>
        <v/>
      </c>
    </row>
    <row r="727" spans="1:17" ht="13.95" customHeight="1">
      <c r="A727" s="110" t="s">
        <v>615</v>
      </c>
      <c r="B727" s="110">
        <v>119</v>
      </c>
      <c r="C727" s="110">
        <v>1.3</v>
      </c>
      <c r="D727"/>
      <c r="E727" s="112">
        <v>42881</v>
      </c>
      <c r="N727" s="110" t="str">
        <f>IFERROR(INDEX('WetLitterbags placem_collection'!$A$3:$A$500,MATCH(A727,'WetLitterbags placem_collection'!$K$4:$K$500,0)),"")</f>
        <v/>
      </c>
      <c r="O727" s="110" t="str">
        <f>IFERROR(INDEX('WetLitterbags placem_collection'!$A$3:$A$500,MATCH(A727,'WetLitterbags placem_collection'!$O$4:$O$500,0)),"")</f>
        <v/>
      </c>
      <c r="P727" s="110" t="str">
        <f>IFERROR(INDEX('WetLitterbags placem_collection'!$A$3:$A$500,MATCH(A727,'WetLitterbags placem_collection'!$M$4:$M$500,0)),"")</f>
        <v/>
      </c>
      <c r="Q727" s="110">
        <f>IFERROR(INDEX('WetLitterbags placem_collection'!$A$3:$A$500,MATCH(A727,'WetLitterbags placem_collection'!$Q$4:$Q$500,0)),"")</f>
        <v>118</v>
      </c>
    </row>
    <row r="728" spans="1:17" ht="13.95" customHeight="1">
      <c r="A728" s="110" t="s">
        <v>614</v>
      </c>
      <c r="B728" s="110" t="s">
        <v>2077</v>
      </c>
      <c r="C728" s="110">
        <v>1.3275999999999999</v>
      </c>
      <c r="E728" s="112">
        <v>43122</v>
      </c>
      <c r="N728" s="110" t="str">
        <f>IFERROR(INDEX('WetLitterbags placem_collection'!$A$3:$A$500,MATCH(A728,'WetLitterbags placem_collection'!$K$4:$K$500,0)),"")</f>
        <v/>
      </c>
      <c r="O728" s="110" t="str">
        <f>IFERROR(INDEX('WetLitterbags placem_collection'!$A$3:$A$500,MATCH(A728,'WetLitterbags placem_collection'!$O$4:$O$500,0)),"")</f>
        <v/>
      </c>
      <c r="P728" s="110" t="str">
        <f>IFERROR(INDEX('WetLitterbags placem_collection'!$A$3:$A$500,MATCH(A728,'WetLitterbags placem_collection'!$M$4:$M$500,0)),"")</f>
        <v/>
      </c>
      <c r="Q728" s="110">
        <f>IFERROR(INDEX('WetLitterbags placem_collection'!$A$3:$A$500,MATCH(A728,'WetLitterbags placem_collection'!$Q$4:$Q$500,0)),"")</f>
        <v>1</v>
      </c>
    </row>
    <row r="729" spans="1:17" ht="13.95" customHeight="1">
      <c r="A729" s="110" t="s">
        <v>613</v>
      </c>
      <c r="B729" s="110" t="s">
        <v>2077</v>
      </c>
      <c r="C729" s="110">
        <v>1.5779000000000001</v>
      </c>
      <c r="E729" s="112">
        <v>43122</v>
      </c>
      <c r="N729" s="110" t="str">
        <f>IFERROR(INDEX('WetLitterbags placem_collection'!$A$3:$A$500,MATCH(A729,'WetLitterbags placem_collection'!$K$4:$K$500,0)),"")</f>
        <v/>
      </c>
      <c r="O729" s="110" t="str">
        <f>IFERROR(INDEX('WetLitterbags placem_collection'!$A$3:$A$500,MATCH(A729,'WetLitterbags placem_collection'!$O$4:$O$500,0)),"")</f>
        <v/>
      </c>
      <c r="P729" s="110" t="str">
        <f>IFERROR(INDEX('WetLitterbags placem_collection'!$A$3:$A$500,MATCH(A729,'WetLitterbags placem_collection'!$M$4:$M$500,0)),"")</f>
        <v/>
      </c>
      <c r="Q729" s="110">
        <f>IFERROR(INDEX('WetLitterbags placem_collection'!$A$3:$A$500,MATCH(A729,'WetLitterbags placem_collection'!$Q$4:$Q$500,0)),"")</f>
        <v>70</v>
      </c>
    </row>
    <row r="730" spans="1:17" ht="13.95" customHeight="1">
      <c r="A730" s="110" t="s">
        <v>612</v>
      </c>
      <c r="B730" s="110">
        <v>21</v>
      </c>
      <c r="C730" s="110">
        <v>1.4387000000000001</v>
      </c>
      <c r="E730" s="112">
        <v>43122</v>
      </c>
      <c r="N730" s="110" t="str">
        <f>IFERROR(INDEX('WetLitterbags placem_collection'!$A$3:$A$500,MATCH(A730,'WetLitterbags placem_collection'!$K$4:$K$500,0)),"")</f>
        <v/>
      </c>
      <c r="O730" s="110" t="str">
        <f>IFERROR(INDEX('WetLitterbags placem_collection'!$A$3:$A$500,MATCH(A730,'WetLitterbags placem_collection'!$O$4:$O$500,0)),"")</f>
        <v/>
      </c>
      <c r="P730" s="110">
        <f>IFERROR(INDEX('WetLitterbags placem_collection'!$A$3:$A$500,MATCH(A730,'WetLitterbags placem_collection'!$M$4:$M$500,0)),"")</f>
        <v>20</v>
      </c>
      <c r="Q730" s="110" t="str">
        <f>IFERROR(INDEX('WetLitterbags placem_collection'!$A$3:$A$500,MATCH(A730,'WetLitterbags placem_collection'!$Q$4:$Q$500,0)),"")</f>
        <v/>
      </c>
    </row>
    <row r="731" spans="1:17" ht="13.95" customHeight="1">
      <c r="A731" s="110" t="s">
        <v>611</v>
      </c>
      <c r="B731" s="110">
        <v>112</v>
      </c>
      <c r="C731" s="110">
        <v>1.627</v>
      </c>
      <c r="E731" s="112">
        <v>42878</v>
      </c>
      <c r="N731" s="110" t="str">
        <f>IFERROR(INDEX('WetLitterbags placem_collection'!$A$3:$A$500,MATCH(A731,'WetLitterbags placem_collection'!$K$4:$K$500,0)),"")</f>
        <v/>
      </c>
      <c r="O731" s="110" t="str">
        <f>IFERROR(INDEX('WetLitterbags placem_collection'!$A$3:$A$500,MATCH(A731,'WetLitterbags placem_collection'!$O$4:$O$500,0)),"")</f>
        <v/>
      </c>
      <c r="P731" s="110" t="str">
        <f>IFERROR(INDEX('WetLitterbags placem_collection'!$A$3:$A$500,MATCH(A731,'WetLitterbags placem_collection'!$M$4:$M$500,0)),"")</f>
        <v/>
      </c>
      <c r="Q731" s="110">
        <f>IFERROR(INDEX('WetLitterbags placem_collection'!$A$3:$A$500,MATCH(A731,'WetLitterbags placem_collection'!$Q$4:$Q$500,0)),"")</f>
        <v>111</v>
      </c>
    </row>
    <row r="732" spans="1:17" ht="13.95" customHeight="1">
      <c r="A732" s="110" t="s">
        <v>610</v>
      </c>
      <c r="B732" s="110">
        <v>7</v>
      </c>
      <c r="C732" s="110">
        <v>1.4430000000000001</v>
      </c>
      <c r="E732" s="112">
        <v>42879</v>
      </c>
      <c r="N732" s="110" t="str">
        <f>IFERROR(INDEX('WetLitterbags placem_collection'!$A$3:$A$500,MATCH(A732,'WetLitterbags placem_collection'!$K$4:$K$500,0)),"")</f>
        <v/>
      </c>
      <c r="O732" s="110" t="str">
        <f>IFERROR(INDEX('WetLitterbags placem_collection'!$A$3:$A$500,MATCH(A732,'WetLitterbags placem_collection'!$O$4:$O$500,0)),"")</f>
        <v/>
      </c>
      <c r="P732" s="110">
        <f>IFERROR(INDEX('WetLitterbags placem_collection'!$A$3:$A$500,MATCH(A732,'WetLitterbags placem_collection'!$M$4:$M$500,0)),"")</f>
        <v>6</v>
      </c>
      <c r="Q732" s="110" t="str">
        <f>IFERROR(INDEX('WetLitterbags placem_collection'!$A$3:$A$500,MATCH(A732,'WetLitterbags placem_collection'!$Q$4:$Q$500,0)),"")</f>
        <v/>
      </c>
    </row>
    <row r="733" spans="1:17" ht="13.95" customHeight="1">
      <c r="A733" s="110" t="s">
        <v>609</v>
      </c>
      <c r="B733" s="110">
        <v>121</v>
      </c>
      <c r="C733" s="110">
        <v>1.7050000000000001</v>
      </c>
      <c r="E733" s="112">
        <v>42879</v>
      </c>
      <c r="N733" s="110" t="str">
        <f>IFERROR(INDEX('WetLitterbags placem_collection'!$A$3:$A$500,MATCH(A733,'WetLitterbags placem_collection'!$K$4:$K$500,0)),"")</f>
        <v/>
      </c>
      <c r="O733" s="110" t="str">
        <f>IFERROR(INDEX('WetLitterbags placem_collection'!$A$3:$A$500,MATCH(A733,'WetLitterbags placem_collection'!$O$4:$O$500,0)),"")</f>
        <v/>
      </c>
      <c r="P733" s="110">
        <f>IFERROR(INDEX('WetLitterbags placem_collection'!$A$3:$A$500,MATCH(A733,'WetLitterbags placem_collection'!$M$4:$M$500,0)),"")</f>
        <v>120</v>
      </c>
      <c r="Q733" s="110" t="str">
        <f>IFERROR(INDEX('WetLitterbags placem_collection'!$A$3:$A$500,MATCH(A733,'WetLitterbags placem_collection'!$Q$4:$Q$500,0)),"")</f>
        <v/>
      </c>
    </row>
    <row r="734" spans="1:17" ht="13.95" customHeight="1">
      <c r="A734" s="110" t="s">
        <v>608</v>
      </c>
      <c r="B734" s="110" t="s">
        <v>2077</v>
      </c>
      <c r="C734" s="110">
        <v>1.7899</v>
      </c>
      <c r="D734" s="110" t="s">
        <v>2115</v>
      </c>
      <c r="E734" s="112">
        <v>43116</v>
      </c>
      <c r="N734" s="110" t="str">
        <f>IFERROR(INDEX('WetLitterbags placem_collection'!$A$3:$A$500,MATCH(A734,'WetLitterbags placem_collection'!$K$4:$K$500,0)),"")</f>
        <v/>
      </c>
      <c r="O734" s="110" t="str">
        <f>IFERROR(INDEX('WetLitterbags placem_collection'!$A$3:$A$500,MATCH(A734,'WetLitterbags placem_collection'!$O$4:$O$500,0)),"")</f>
        <v/>
      </c>
      <c r="P734" s="110" t="str">
        <f>IFERROR(INDEX('WetLitterbags placem_collection'!$A$3:$A$500,MATCH(A734,'WetLitterbags placem_collection'!$M$4:$M$500,0)),"")</f>
        <v/>
      </c>
      <c r="Q734" s="110">
        <f>IFERROR(INDEX('WetLitterbags placem_collection'!$A$3:$A$500,MATCH(A734,'WetLitterbags placem_collection'!$Q$4:$Q$500,0)),"")</f>
        <v>148</v>
      </c>
    </row>
    <row r="735" spans="1:17" ht="13.95" customHeight="1">
      <c r="A735" s="110" t="s">
        <v>607</v>
      </c>
      <c r="B735" s="110">
        <v>168</v>
      </c>
      <c r="C735" s="110">
        <v>1.722</v>
      </c>
      <c r="E735" s="112">
        <v>42881</v>
      </c>
      <c r="N735" s="110" t="str">
        <f>IFERROR(INDEX('WetLitterbags placem_collection'!$A$3:$A$500,MATCH(A735,'WetLitterbags placem_collection'!$K$4:$K$500,0)),"")</f>
        <v/>
      </c>
      <c r="O735" s="110" t="str">
        <f>IFERROR(INDEX('WetLitterbags placem_collection'!$A$3:$A$500,MATCH(A735,'WetLitterbags placem_collection'!$O$4:$O$500,0)),"")</f>
        <v/>
      </c>
      <c r="P735" s="110">
        <f>IFERROR(INDEX('WetLitterbags placem_collection'!$A$3:$A$500,MATCH(A735,'WetLitterbags placem_collection'!$M$4:$M$500,0)),"")</f>
        <v>167</v>
      </c>
      <c r="Q735" s="110" t="str">
        <f>IFERROR(INDEX('WetLitterbags placem_collection'!$A$3:$A$500,MATCH(A735,'WetLitterbags placem_collection'!$Q$4:$Q$500,0)),"")</f>
        <v/>
      </c>
    </row>
    <row r="736" spans="1:17" ht="13.95" customHeight="1">
      <c r="A736" s="110" t="s">
        <v>606</v>
      </c>
      <c r="B736" s="110">
        <v>140</v>
      </c>
      <c r="C736" s="110">
        <v>1.5517000000000001</v>
      </c>
      <c r="E736" s="112">
        <v>43125</v>
      </c>
      <c r="N736" s="110" t="str">
        <f>IFERROR(INDEX('WetLitterbags placem_collection'!$A$3:$A$500,MATCH(A736,'WetLitterbags placem_collection'!$K$4:$K$500,0)),"")</f>
        <v/>
      </c>
      <c r="O736" s="110" t="str">
        <f>IFERROR(INDEX('WetLitterbags placem_collection'!$A$3:$A$500,MATCH(A736,'WetLitterbags placem_collection'!$O$4:$O$500,0)),"")</f>
        <v/>
      </c>
      <c r="P736" s="110">
        <f>IFERROR(INDEX('WetLitterbags placem_collection'!$A$3:$A$500,MATCH(A736,'WetLitterbags placem_collection'!$M$4:$M$500,0)),"")</f>
        <v>139</v>
      </c>
      <c r="Q736" s="110" t="str">
        <f>IFERROR(INDEX('WetLitterbags placem_collection'!$A$3:$A$500,MATCH(A736,'WetLitterbags placem_collection'!$Q$4:$Q$500,0)),"")</f>
        <v/>
      </c>
    </row>
    <row r="737" spans="1:17" ht="13.95" customHeight="1">
      <c r="A737" s="110" t="s">
        <v>605</v>
      </c>
      <c r="B737" s="110">
        <v>132</v>
      </c>
      <c r="C737" s="110">
        <v>1.593</v>
      </c>
      <c r="D737" s="110" t="s">
        <v>2107</v>
      </c>
      <c r="E737" s="112">
        <v>43125</v>
      </c>
      <c r="N737" s="110" t="str">
        <f>IFERROR(INDEX('WetLitterbags placem_collection'!$A$3:$A$500,MATCH(A737,'WetLitterbags placem_collection'!$K$4:$K$500,0)),"")</f>
        <v/>
      </c>
      <c r="O737" s="110" t="str">
        <f>IFERROR(INDEX('WetLitterbags placem_collection'!$A$3:$A$500,MATCH(A737,'WetLitterbags placem_collection'!$O$4:$O$500,0)),"")</f>
        <v/>
      </c>
      <c r="P737" s="110">
        <f>IFERROR(INDEX('WetLitterbags placem_collection'!$A$3:$A$500,MATCH(A737,'WetLitterbags placem_collection'!$M$4:$M$500,0)),"")</f>
        <v>131</v>
      </c>
      <c r="Q737" s="110" t="str">
        <f>IFERROR(INDEX('WetLitterbags placem_collection'!$A$3:$A$500,MATCH(A737,'WetLitterbags placem_collection'!$Q$4:$Q$500,0)),"")</f>
        <v/>
      </c>
    </row>
    <row r="738" spans="1:17" ht="13.95" customHeight="1">
      <c r="A738" s="110" t="s">
        <v>604</v>
      </c>
      <c r="B738" s="110" t="s">
        <v>2077</v>
      </c>
      <c r="C738" s="110">
        <v>1.7152000000000001</v>
      </c>
      <c r="E738" s="112">
        <v>43119</v>
      </c>
      <c r="N738" s="110" t="str">
        <f>IFERROR(INDEX('WetLitterbags placem_collection'!$A$3:$A$500,MATCH(A738,'WetLitterbags placem_collection'!$K$4:$K$500,0)),"")</f>
        <v/>
      </c>
      <c r="O738" s="110" t="str">
        <f>IFERROR(INDEX('WetLitterbags placem_collection'!$A$3:$A$500,MATCH(A738,'WetLitterbags placem_collection'!$O$4:$O$500,0)),"")</f>
        <v/>
      </c>
      <c r="P738" s="110" t="str">
        <f>IFERROR(INDEX('WetLitterbags placem_collection'!$A$3:$A$500,MATCH(A738,'WetLitterbags placem_collection'!$M$4:$M$500,0)),"")</f>
        <v/>
      </c>
      <c r="Q738" s="110">
        <f>IFERROR(INDEX('WetLitterbags placem_collection'!$A$3:$A$500,MATCH(A738,'WetLitterbags placem_collection'!$Q$4:$Q$500,0)),"")</f>
        <v>181</v>
      </c>
    </row>
    <row r="739" spans="1:17" ht="13.95" customHeight="1">
      <c r="A739" s="110" t="s">
        <v>603</v>
      </c>
      <c r="B739" s="110">
        <v>139</v>
      </c>
      <c r="C739" s="110">
        <v>1.415</v>
      </c>
      <c r="E739" s="112">
        <v>42878</v>
      </c>
      <c r="N739" s="110" t="str">
        <f>IFERROR(INDEX('WetLitterbags placem_collection'!$A$3:$A$500,MATCH(A739,'WetLitterbags placem_collection'!$K$4:$K$500,0)),"")</f>
        <v/>
      </c>
      <c r="O739" s="110" t="str">
        <f>IFERROR(INDEX('WetLitterbags placem_collection'!$A$3:$A$500,MATCH(A739,'WetLitterbags placem_collection'!$O$4:$O$500,0)),"")</f>
        <v/>
      </c>
      <c r="P739" s="110" t="str">
        <f>IFERROR(INDEX('WetLitterbags placem_collection'!$A$3:$A$500,MATCH(A739,'WetLitterbags placem_collection'!$M$4:$M$500,0)),"")</f>
        <v/>
      </c>
      <c r="Q739" s="110">
        <f>IFERROR(INDEX('WetLitterbags placem_collection'!$A$3:$A$500,MATCH(A739,'WetLitterbags placem_collection'!$Q$4:$Q$500,0)),"")</f>
        <v>138</v>
      </c>
    </row>
    <row r="740" spans="1:17" ht="13.95" customHeight="1">
      <c r="A740" s="110" t="s">
        <v>602</v>
      </c>
      <c r="B740" s="110" t="s">
        <v>2077</v>
      </c>
      <c r="C740" s="110">
        <v>1.7513000000000001</v>
      </c>
      <c r="E740" s="112">
        <v>43116</v>
      </c>
      <c r="N740" s="110" t="str">
        <f>IFERROR(INDEX('WetLitterbags placem_collection'!$A$3:$A$500,MATCH(A740,'WetLitterbags placem_collection'!$K$4:$K$500,0)),"")</f>
        <v/>
      </c>
      <c r="O740" s="110" t="str">
        <f>IFERROR(INDEX('WetLitterbags placem_collection'!$A$3:$A$500,MATCH(A740,'WetLitterbags placem_collection'!$O$4:$O$500,0)),"")</f>
        <v/>
      </c>
      <c r="P740" s="110" t="str">
        <f>IFERROR(INDEX('WetLitterbags placem_collection'!$A$3:$A$500,MATCH(A740,'WetLitterbags placem_collection'!$M$4:$M$500,0)),"")</f>
        <v/>
      </c>
      <c r="Q740" s="110">
        <f>IFERROR(INDEX('WetLitterbags placem_collection'!$A$3:$A$500,MATCH(A740,'WetLitterbags placem_collection'!$Q$4:$Q$500,0)),"")</f>
        <v>184</v>
      </c>
    </row>
    <row r="741" spans="1:17" ht="13.95" customHeight="1">
      <c r="A741" s="110" t="s">
        <v>601</v>
      </c>
      <c r="B741" s="110">
        <v>105</v>
      </c>
      <c r="C741" s="110">
        <v>1.8080000000000001</v>
      </c>
      <c r="E741" s="112">
        <v>42879</v>
      </c>
      <c r="N741" s="110" t="str">
        <f>IFERROR(INDEX('WetLitterbags placem_collection'!$A$3:$A$500,MATCH(A741,'WetLitterbags placem_collection'!$K$4:$K$500,0)),"")</f>
        <v/>
      </c>
      <c r="O741" s="110" t="str">
        <f>IFERROR(INDEX('WetLitterbags placem_collection'!$A$3:$A$500,MATCH(A741,'WetLitterbags placem_collection'!$O$4:$O$500,0)),"")</f>
        <v/>
      </c>
      <c r="P741" s="110" t="str">
        <f>IFERROR(INDEX('WetLitterbags placem_collection'!$A$3:$A$500,MATCH(A741,'WetLitterbags placem_collection'!$M$4:$M$500,0)),"")</f>
        <v/>
      </c>
      <c r="Q741" s="110">
        <f>IFERROR(INDEX('WetLitterbags placem_collection'!$A$3:$A$500,MATCH(A741,'WetLitterbags placem_collection'!$Q$4:$Q$500,0)),"")</f>
        <v>104</v>
      </c>
    </row>
    <row r="742" spans="1:17" ht="13.95" customHeight="1">
      <c r="A742" s="110" t="s">
        <v>600</v>
      </c>
      <c r="B742" s="110" t="s">
        <v>2077</v>
      </c>
      <c r="C742" s="110">
        <v>1.7278</v>
      </c>
      <c r="E742" s="112">
        <v>43116</v>
      </c>
      <c r="N742" s="110" t="str">
        <f>IFERROR(INDEX('WetLitterbags placem_collection'!$A$3:$A$500,MATCH(A742,'WetLitterbags placem_collection'!$K$4:$K$500,0)),"")</f>
        <v/>
      </c>
      <c r="O742" s="110" t="str">
        <f>IFERROR(INDEX('WetLitterbags placem_collection'!$A$3:$A$500,MATCH(A742,'WetLitterbags placem_collection'!$O$4:$O$500,0)),"")</f>
        <v/>
      </c>
      <c r="P742" s="110">
        <f>IFERROR(INDEX('WetLitterbags placem_collection'!$A$3:$A$500,MATCH(A742,'WetLitterbags placem_collection'!$M$4:$M$500,0)),"")</f>
        <v>183</v>
      </c>
      <c r="Q742" s="110" t="str">
        <f>IFERROR(INDEX('WetLitterbags placem_collection'!$A$3:$A$500,MATCH(A742,'WetLitterbags placem_collection'!$Q$4:$Q$500,0)),"")</f>
        <v/>
      </c>
    </row>
    <row r="743" spans="1:17" ht="13.95" customHeight="1">
      <c r="A743" s="110" t="s">
        <v>599</v>
      </c>
      <c r="B743" s="110" t="s">
        <v>2077</v>
      </c>
      <c r="C743" s="110">
        <v>1.6227</v>
      </c>
      <c r="E743" s="112">
        <v>43119</v>
      </c>
      <c r="N743" s="110" t="str">
        <f>IFERROR(INDEX('WetLitterbags placem_collection'!$A$3:$A$500,MATCH(A743,'WetLitterbags placem_collection'!$K$4:$K$500,0)),"")</f>
        <v/>
      </c>
      <c r="O743" s="110" t="str">
        <f>IFERROR(INDEX('WetLitterbags placem_collection'!$A$3:$A$500,MATCH(A743,'WetLitterbags placem_collection'!$O$4:$O$500,0)),"")</f>
        <v/>
      </c>
      <c r="P743" s="110">
        <f>IFERROR(INDEX('WetLitterbags placem_collection'!$A$3:$A$500,MATCH(A743,'WetLitterbags placem_collection'!$M$4:$M$500,0)),"")</f>
        <v>16</v>
      </c>
      <c r="Q743" s="110" t="str">
        <f>IFERROR(INDEX('WetLitterbags placem_collection'!$A$3:$A$500,MATCH(A743,'WetLitterbags placem_collection'!$Q$4:$Q$500,0)),"")</f>
        <v/>
      </c>
    </row>
    <row r="744" spans="1:17" ht="13.95" customHeight="1">
      <c r="A744" s="110" t="s">
        <v>598</v>
      </c>
      <c r="B744" s="110">
        <v>136</v>
      </c>
      <c r="C744" s="110">
        <v>1.5604</v>
      </c>
      <c r="E744" s="112">
        <v>43125</v>
      </c>
      <c r="N744" s="110" t="str">
        <f>IFERROR(INDEX('WetLitterbags placem_collection'!$A$3:$A$500,MATCH(A744,'WetLitterbags placem_collection'!$K$4:$K$500,0)),"")</f>
        <v/>
      </c>
      <c r="O744" s="110" t="str">
        <f>IFERROR(INDEX('WetLitterbags placem_collection'!$A$3:$A$500,MATCH(A744,'WetLitterbags placem_collection'!$O$4:$O$500,0)),"")</f>
        <v/>
      </c>
      <c r="P744" s="110" t="str">
        <f>IFERROR(INDEX('WetLitterbags placem_collection'!$A$3:$A$500,MATCH(A744,'WetLitterbags placem_collection'!$M$4:$M$500,0)),"")</f>
        <v/>
      </c>
      <c r="Q744" s="110">
        <f>IFERROR(INDEX('WetLitterbags placem_collection'!$A$3:$A$500,MATCH(A744,'WetLitterbags placem_collection'!$Q$4:$Q$500,0)),"")</f>
        <v>135</v>
      </c>
    </row>
    <row r="745" spans="1:17" ht="13.95" customHeight="1">
      <c r="A745" s="110" t="s">
        <v>597</v>
      </c>
      <c r="B745" s="110">
        <v>118</v>
      </c>
      <c r="C745" s="110">
        <v>1.599</v>
      </c>
      <c r="E745" s="112">
        <v>42879</v>
      </c>
      <c r="N745" s="110" t="str">
        <f>IFERROR(INDEX('WetLitterbags placem_collection'!$A$3:$A$500,MATCH(A745,'WetLitterbags placem_collection'!$K$4:$K$500,0)),"")</f>
        <v/>
      </c>
      <c r="O745" s="110" t="str">
        <f>IFERROR(INDEX('WetLitterbags placem_collection'!$A$3:$A$500,MATCH(A745,'WetLitterbags placem_collection'!$O$4:$O$500,0)),"")</f>
        <v/>
      </c>
      <c r="P745" s="110" t="str">
        <f>IFERROR(INDEX('WetLitterbags placem_collection'!$A$3:$A$500,MATCH(A745,'WetLitterbags placem_collection'!$M$4:$M$500,0)),"")</f>
        <v/>
      </c>
      <c r="Q745" s="110">
        <f>IFERROR(INDEX('WetLitterbags placem_collection'!$A$3:$A$500,MATCH(A745,'WetLitterbags placem_collection'!$Q$4:$Q$500,0)),"")</f>
        <v>117</v>
      </c>
    </row>
    <row r="746" spans="1:17" ht="13.95" customHeight="1">
      <c r="A746" s="110" t="s">
        <v>596</v>
      </c>
      <c r="B746" s="110" t="s">
        <v>2077</v>
      </c>
      <c r="C746" s="110">
        <v>1.7096</v>
      </c>
      <c r="D746" s="110" t="s">
        <v>2115</v>
      </c>
      <c r="E746" s="112">
        <v>43119</v>
      </c>
      <c r="N746" s="110" t="str">
        <f>IFERROR(INDEX('WetLitterbags placem_collection'!$A$3:$A$500,MATCH(A746,'WetLitterbags placem_collection'!$K$4:$K$500,0)),"")</f>
        <v/>
      </c>
      <c r="O746" s="110" t="str">
        <f>IFERROR(INDEX('WetLitterbags placem_collection'!$A$3:$A$500,MATCH(A746,'WetLitterbags placem_collection'!$O$4:$O$500,0)),"")</f>
        <v/>
      </c>
      <c r="P746" s="110">
        <f>IFERROR(INDEX('WetLitterbags placem_collection'!$A$3:$A$500,MATCH(A746,'WetLitterbags placem_collection'!$M$4:$M$500,0)),"")</f>
        <v>148</v>
      </c>
      <c r="Q746" s="110" t="str">
        <f>IFERROR(INDEX('WetLitterbags placem_collection'!$A$3:$A$500,MATCH(A746,'WetLitterbags placem_collection'!$Q$4:$Q$500,0)),"")</f>
        <v/>
      </c>
    </row>
    <row r="747" spans="1:17" ht="13.95" customHeight="1">
      <c r="A747" s="110" t="s">
        <v>594</v>
      </c>
      <c r="B747" s="110">
        <v>95</v>
      </c>
      <c r="C747" s="110">
        <v>1.5620000000000001</v>
      </c>
      <c r="E747" s="112">
        <v>42879</v>
      </c>
      <c r="N747" s="110" t="str">
        <f>IFERROR(INDEX('WetLitterbags placem_collection'!$A$3:$A$500,MATCH(A747,'WetLitterbags placem_collection'!$K$4:$K$500,0)),"")</f>
        <v/>
      </c>
      <c r="O747" s="110" t="str">
        <f>IFERROR(INDEX('WetLitterbags placem_collection'!$A$3:$A$500,MATCH(A747,'WetLitterbags placem_collection'!$O$4:$O$500,0)),"")</f>
        <v/>
      </c>
      <c r="P747" s="110" t="str">
        <f>IFERROR(INDEX('WetLitterbags placem_collection'!$A$3:$A$500,MATCH(A747,'WetLitterbags placem_collection'!$M$4:$M$500,0)),"")</f>
        <v/>
      </c>
      <c r="Q747" s="110">
        <f>IFERROR(INDEX('WetLitterbags placem_collection'!$A$3:$A$500,MATCH(A747,'WetLitterbags placem_collection'!$Q$4:$Q$500,0)),"")</f>
        <v>94</v>
      </c>
    </row>
    <row r="748" spans="1:17" ht="13.95" customHeight="1">
      <c r="A748" s="110" t="s">
        <v>593</v>
      </c>
      <c r="B748" s="110">
        <v>105</v>
      </c>
      <c r="C748" s="110">
        <v>1.859</v>
      </c>
      <c r="E748" s="112">
        <v>42879</v>
      </c>
      <c r="N748" s="110" t="str">
        <f>IFERROR(INDEX('WetLitterbags placem_collection'!$A$3:$A$500,MATCH(A748,'WetLitterbags placem_collection'!$K$4:$K$500,0)),"")</f>
        <v/>
      </c>
      <c r="O748" s="110" t="str">
        <f>IFERROR(INDEX('WetLitterbags placem_collection'!$A$3:$A$500,MATCH(A748,'WetLitterbags placem_collection'!$O$4:$O$500,0)),"")</f>
        <v/>
      </c>
      <c r="P748" s="110">
        <f>IFERROR(INDEX('WetLitterbags placem_collection'!$A$3:$A$500,MATCH(A748,'WetLitterbags placem_collection'!$M$4:$M$500,0)),"")</f>
        <v>104</v>
      </c>
      <c r="Q748" s="110" t="str">
        <f>IFERROR(INDEX('WetLitterbags placem_collection'!$A$3:$A$500,MATCH(A748,'WetLitterbags placem_collection'!$Q$4:$Q$500,0)),"")</f>
        <v/>
      </c>
    </row>
    <row r="749" spans="1:17" ht="13.95" customHeight="1">
      <c r="A749" s="110" t="s">
        <v>592</v>
      </c>
      <c r="B749" s="110">
        <v>99</v>
      </c>
      <c r="C749" s="110">
        <v>1.5992</v>
      </c>
      <c r="E749" s="112">
        <v>43123</v>
      </c>
      <c r="N749" s="110" t="str">
        <f>IFERROR(INDEX('WetLitterbags placem_collection'!$A$3:$A$500,MATCH(A749,'WetLitterbags placem_collection'!$K$4:$K$500,0)),"")</f>
        <v/>
      </c>
      <c r="O749" s="110" t="str">
        <f>IFERROR(INDEX('WetLitterbags placem_collection'!$A$3:$A$500,MATCH(A749,'WetLitterbags placem_collection'!$O$4:$O$500,0)),"")</f>
        <v/>
      </c>
      <c r="P749" s="110">
        <f>IFERROR(INDEX('WetLitterbags placem_collection'!$A$3:$A$500,MATCH(A749,'WetLitterbags placem_collection'!$M$4:$M$500,0)),"")</f>
        <v>98</v>
      </c>
      <c r="Q749" s="110" t="str">
        <f>IFERROR(INDEX('WetLitterbags placem_collection'!$A$3:$A$500,MATCH(A749,'WetLitterbags placem_collection'!$Q$4:$Q$500,0)),"")</f>
        <v/>
      </c>
    </row>
    <row r="750" spans="1:17" ht="13.95" customHeight="1">
      <c r="A750" s="113" t="s">
        <v>2495</v>
      </c>
      <c r="B750" s="113" t="s">
        <v>2077</v>
      </c>
      <c r="C750" s="113">
        <v>1.4870000000000001</v>
      </c>
      <c r="D750" s="113" t="s">
        <v>2115</v>
      </c>
      <c r="E750" s="114">
        <v>43116</v>
      </c>
      <c r="F750" s="113"/>
      <c r="N750" s="110" t="str">
        <f>IFERROR(INDEX('WetLitterbags placem_collection'!$A$3:$A$500,MATCH(A750,'WetLitterbags placem_collection'!$K$4:$K$500,0)),"")</f>
        <v/>
      </c>
      <c r="O750" s="110" t="str">
        <f>IFERROR(INDEX('WetLitterbags placem_collection'!$A$3:$A$500,MATCH(A750,'WetLitterbags placem_collection'!$O$4:$O$500,0)),"")</f>
        <v/>
      </c>
      <c r="P750" s="110" t="str">
        <f>IFERROR(INDEX('WetLitterbags placem_collection'!$A$3:$A$500,MATCH(A750,'WetLitterbags placem_collection'!$M$4:$M$500,0)),"")</f>
        <v/>
      </c>
      <c r="Q750" s="110">
        <f>IFERROR(INDEX('WetLitterbags placem_collection'!$A$3:$A$500,MATCH(A750,'WetLitterbags placem_collection'!$Q$4:$Q$500,0)),"")</f>
        <v>109</v>
      </c>
    </row>
    <row r="751" spans="1:17" ht="13.95" customHeight="1">
      <c r="A751" s="113" t="s">
        <v>2496</v>
      </c>
      <c r="B751" s="113">
        <v>55</v>
      </c>
      <c r="C751" s="113">
        <v>1.5207999999999999</v>
      </c>
      <c r="D751" s="113"/>
      <c r="E751" s="114">
        <v>42878</v>
      </c>
      <c r="F751" s="113"/>
      <c r="N751" s="110" t="str">
        <f>IFERROR(INDEX('WetLitterbags placem_collection'!$A$3:$A$500,MATCH(A751,'WetLitterbags placem_collection'!$K$4:$K$500,0)),"")</f>
        <v/>
      </c>
      <c r="O751" s="110" t="str">
        <f>IFERROR(INDEX('WetLitterbags placem_collection'!$A$3:$A$500,MATCH(A751,'WetLitterbags placem_collection'!$O$4:$O$500,0)),"")</f>
        <v/>
      </c>
      <c r="P751" s="110" t="str">
        <f>IFERROR(INDEX('WetLitterbags placem_collection'!$A$3:$A$500,MATCH(A751,'WetLitterbags placem_collection'!$M$4:$M$500,0)),"")</f>
        <v/>
      </c>
      <c r="Q751" s="110">
        <f>IFERROR(INDEX('WetLitterbags placem_collection'!$A$3:$A$500,MATCH(A751,'WetLitterbags placem_collection'!$Q$4:$Q$500,0)),"")</f>
        <v>54</v>
      </c>
    </row>
    <row r="752" spans="1:17" ht="13.95" customHeight="1">
      <c r="A752" s="110" t="s">
        <v>1086</v>
      </c>
      <c r="B752" s="110">
        <v>126</v>
      </c>
      <c r="C752" s="110">
        <v>1.4419999999999999</v>
      </c>
      <c r="E752" s="112">
        <v>42878</v>
      </c>
      <c r="N752" s="110" t="str">
        <f>IFERROR(INDEX('WetLitterbags placem_collection'!$A$3:$A$500,MATCH(A752,'WetLitterbags placem_collection'!$K$4:$K$500,0)),"")</f>
        <v/>
      </c>
      <c r="O752" s="110" t="str">
        <f>IFERROR(INDEX('WetLitterbags placem_collection'!$A$3:$A$500,MATCH(A752,'WetLitterbags placem_collection'!$O$4:$O$500,0)),"")</f>
        <v/>
      </c>
      <c r="P752" s="110" t="str">
        <f>IFERROR(INDEX('WetLitterbags placem_collection'!$A$3:$A$500,MATCH(A752,'WetLitterbags placem_collection'!$M$4:$M$500,0)),"")</f>
        <v/>
      </c>
      <c r="Q752" s="110">
        <f>IFERROR(INDEX('WetLitterbags placem_collection'!$A$3:$A$500,MATCH(A752,'WetLitterbags placem_collection'!$Q$4:$Q$500,0)),"")</f>
        <v>125</v>
      </c>
    </row>
    <row r="753" spans="1:17" ht="13.95" customHeight="1">
      <c r="A753" s="110" t="s">
        <v>591</v>
      </c>
      <c r="B753" s="110">
        <v>64</v>
      </c>
      <c r="C753" s="110">
        <v>1.6930000000000001</v>
      </c>
      <c r="E753" s="112">
        <v>42878</v>
      </c>
      <c r="N753" s="110" t="str">
        <f>IFERROR(INDEX('WetLitterbags placem_collection'!$A$3:$A$500,MATCH(A753,'WetLitterbags placem_collection'!$K$4:$K$500,0)),"")</f>
        <v/>
      </c>
      <c r="O753" s="110" t="str">
        <f>IFERROR(INDEX('WetLitterbags placem_collection'!$A$3:$A$500,MATCH(A753,'WetLitterbags placem_collection'!$O$4:$O$500,0)),"")</f>
        <v/>
      </c>
      <c r="P753" s="110" t="str">
        <f>IFERROR(INDEX('WetLitterbags placem_collection'!$A$3:$A$500,MATCH(A753,'WetLitterbags placem_collection'!$M$4:$M$500,0)),"")</f>
        <v/>
      </c>
      <c r="Q753" s="110">
        <f>IFERROR(INDEX('WetLitterbags placem_collection'!$A$3:$A$500,MATCH(A753,'WetLitterbags placem_collection'!$Q$4:$Q$500,0)),"")</f>
        <v>63</v>
      </c>
    </row>
    <row r="754" spans="1:17" ht="13.95" customHeight="1">
      <c r="A754" s="110" t="s">
        <v>589</v>
      </c>
      <c r="B754" s="110">
        <v>109</v>
      </c>
      <c r="C754" s="110">
        <v>1.7532000000000001</v>
      </c>
      <c r="E754" s="112">
        <v>43125</v>
      </c>
      <c r="N754" s="110" t="str">
        <f>IFERROR(INDEX('WetLitterbags placem_collection'!$A$3:$A$500,MATCH(A754,'WetLitterbags placem_collection'!$K$4:$K$500,0)),"")</f>
        <v/>
      </c>
      <c r="O754" s="110" t="str">
        <f>IFERROR(INDEX('WetLitterbags placem_collection'!$A$3:$A$500,MATCH(A754,'WetLitterbags placem_collection'!$O$4:$O$500,0)),"")</f>
        <v/>
      </c>
      <c r="P754" s="110">
        <f>IFERROR(INDEX('WetLitterbags placem_collection'!$A$3:$A$500,MATCH(A754,'WetLitterbags placem_collection'!$M$4:$M$500,0)),"")</f>
        <v>108</v>
      </c>
      <c r="Q754" s="110" t="str">
        <f>IFERROR(INDEX('WetLitterbags placem_collection'!$A$3:$A$500,MATCH(A754,'WetLitterbags placem_collection'!$Q$4:$Q$500,0)),"")</f>
        <v/>
      </c>
    </row>
    <row r="755" spans="1:17" ht="13.95" customHeight="1">
      <c r="A755" s="110" t="s">
        <v>588</v>
      </c>
      <c r="B755" s="110">
        <v>115</v>
      </c>
      <c r="C755" s="110">
        <v>0.99990000000000001</v>
      </c>
      <c r="D755" s="115" t="s">
        <v>2111</v>
      </c>
      <c r="E755" s="112">
        <v>43125</v>
      </c>
      <c r="N755" s="110" t="str">
        <f>IFERROR(INDEX('WetLitterbags placem_collection'!$A$3:$A$500,MATCH(A755,'WetLitterbags placem_collection'!$K$4:$K$500,0)),"")</f>
        <v/>
      </c>
      <c r="O755" s="110" t="str">
        <f>IFERROR(INDEX('WetLitterbags placem_collection'!$A$3:$A$500,MATCH(A755,'WetLitterbags placem_collection'!$O$4:$O$500,0)),"")</f>
        <v/>
      </c>
      <c r="P755" s="110">
        <f>IFERROR(INDEX('WetLitterbags placem_collection'!$A$3:$A$500,MATCH(A755,'WetLitterbags placem_collection'!$M$4:$M$500,0)),"")</f>
        <v>114</v>
      </c>
      <c r="Q755" s="110" t="str">
        <f>IFERROR(INDEX('WetLitterbags placem_collection'!$A$3:$A$500,MATCH(A755,'WetLitterbags placem_collection'!$Q$4:$Q$500,0)),"")</f>
        <v/>
      </c>
    </row>
    <row r="756" spans="1:17" ht="13.95" customHeight="1">
      <c r="A756" s="110" t="s">
        <v>587</v>
      </c>
      <c r="B756" s="110">
        <v>128</v>
      </c>
      <c r="C756" s="110">
        <v>2.5259999999999998</v>
      </c>
      <c r="D756" s="110" t="s">
        <v>2071</v>
      </c>
      <c r="E756" s="112">
        <v>42879</v>
      </c>
      <c r="N756" s="110" t="str">
        <f>IFERROR(INDEX('WetLitterbags placem_collection'!$A$3:$A$500,MATCH(A756,'WetLitterbags placem_collection'!$K$4:$K$500,0)),"")</f>
        <v/>
      </c>
      <c r="O756" s="110" t="str">
        <f>IFERROR(INDEX('WetLitterbags placem_collection'!$A$3:$A$500,MATCH(A756,'WetLitterbags placem_collection'!$O$4:$O$500,0)),"")</f>
        <v/>
      </c>
      <c r="P756" s="110">
        <f>IFERROR(INDEX('WetLitterbags placem_collection'!$A$3:$A$500,MATCH(A756,'WetLitterbags placem_collection'!$M$4:$M$500,0)),"")</f>
        <v>127</v>
      </c>
      <c r="Q756" s="110" t="str">
        <f>IFERROR(INDEX('WetLitterbags placem_collection'!$A$3:$A$500,MATCH(A756,'WetLitterbags placem_collection'!$Q$4:$Q$500,0)),"")</f>
        <v/>
      </c>
    </row>
    <row r="757" spans="1:17" ht="13.95" customHeight="1">
      <c r="A757" s="110" t="s">
        <v>586</v>
      </c>
      <c r="B757" s="110" t="s">
        <v>2077</v>
      </c>
      <c r="C757" s="110">
        <v>1.7096</v>
      </c>
      <c r="E757" s="112">
        <v>43119</v>
      </c>
      <c r="N757" s="110" t="str">
        <f>IFERROR(INDEX('WetLitterbags placem_collection'!$A$3:$A$500,MATCH(A757,'WetLitterbags placem_collection'!$K$4:$K$500,0)),"")</f>
        <v/>
      </c>
      <c r="O757" s="110" t="str">
        <f>IFERROR(INDEX('WetLitterbags placem_collection'!$A$3:$A$500,MATCH(A757,'WetLitterbags placem_collection'!$O$4:$O$500,0)),"")</f>
        <v/>
      </c>
      <c r="P757" s="110" t="str">
        <f>IFERROR(INDEX('WetLitterbags placem_collection'!$A$3:$A$500,MATCH(A757,'WetLitterbags placem_collection'!$M$4:$M$500,0)),"")</f>
        <v/>
      </c>
      <c r="Q757" s="110">
        <f>IFERROR(INDEX('WetLitterbags placem_collection'!$A$3:$A$500,MATCH(A757,'WetLitterbags placem_collection'!$Q$4:$Q$500,0)),"")</f>
        <v>183</v>
      </c>
    </row>
    <row r="758" spans="1:17" ht="13.95" customHeight="1">
      <c r="A758" s="110" t="s">
        <v>585</v>
      </c>
      <c r="B758" s="110">
        <v>155</v>
      </c>
      <c r="C758" s="110">
        <v>1.643</v>
      </c>
      <c r="E758" s="112">
        <v>42879</v>
      </c>
      <c r="N758" s="110" t="str">
        <f>IFERROR(INDEX('WetLitterbags placem_collection'!$A$3:$A$500,MATCH(A758,'WetLitterbags placem_collection'!$K$4:$K$500,0)),"")</f>
        <v/>
      </c>
      <c r="O758" s="110" t="str">
        <f>IFERROR(INDEX('WetLitterbags placem_collection'!$A$3:$A$500,MATCH(A758,'WetLitterbags placem_collection'!$O$4:$O$500,0)),"")</f>
        <v/>
      </c>
      <c r="P758" s="110" t="str">
        <f>IFERROR(INDEX('WetLitterbags placem_collection'!$A$3:$A$500,MATCH(A758,'WetLitterbags placem_collection'!$M$4:$M$500,0)),"")</f>
        <v/>
      </c>
      <c r="Q758" s="110">
        <f>IFERROR(INDEX('WetLitterbags placem_collection'!$A$3:$A$500,MATCH(A758,'WetLitterbags placem_collection'!$Q$4:$Q$500,0)),"")</f>
        <v>154</v>
      </c>
    </row>
    <row r="759" spans="1:17" ht="13.95" customHeight="1">
      <c r="A759" s="110" t="s">
        <v>584</v>
      </c>
      <c r="B759" s="181">
        <v>186</v>
      </c>
      <c r="C759" s="110">
        <v>1.7509999999999999</v>
      </c>
      <c r="E759" s="112">
        <v>42878</v>
      </c>
      <c r="N759" s="110" t="str">
        <f>IFERROR(INDEX('WetLitterbags placem_collection'!$A$3:$A$500,MATCH(A759,'WetLitterbags placem_collection'!$K$4:$K$500,0)),"")</f>
        <v/>
      </c>
      <c r="O759" s="110" t="str">
        <f>IFERROR(INDEX('WetLitterbags placem_collection'!$A$3:$A$500,MATCH(A759,'WetLitterbags placem_collection'!$O$4:$O$500,0)),"")</f>
        <v/>
      </c>
      <c r="P759" s="110">
        <f>IFERROR(INDEX('WetLitterbags placem_collection'!$A$3:$A$500,MATCH(A759,'WetLitterbags placem_collection'!$M$4:$M$500,0)),"")</f>
        <v>185</v>
      </c>
      <c r="Q759" s="110" t="str">
        <f>IFERROR(INDEX('WetLitterbags placem_collection'!$A$3:$A$500,MATCH(A759,'WetLitterbags placem_collection'!$Q$4:$Q$500,0)),"")</f>
        <v/>
      </c>
    </row>
    <row r="760" spans="1:17" ht="13.95" customHeight="1">
      <c r="A760" s="110" t="s">
        <v>583</v>
      </c>
      <c r="B760" s="110">
        <v>171</v>
      </c>
      <c r="C760" s="110">
        <v>1.61</v>
      </c>
      <c r="E760" s="112">
        <v>42878</v>
      </c>
      <c r="N760" s="110" t="str">
        <f>IFERROR(INDEX('WetLitterbags placem_collection'!$A$3:$A$500,MATCH(A760,'WetLitterbags placem_collection'!$K$4:$K$500,0)),"")</f>
        <v/>
      </c>
      <c r="O760" s="110" t="str">
        <f>IFERROR(INDEX('WetLitterbags placem_collection'!$A$3:$A$500,MATCH(A760,'WetLitterbags placem_collection'!$O$4:$O$500,0)),"")</f>
        <v/>
      </c>
      <c r="P760" s="110">
        <f>IFERROR(INDEX('WetLitterbags placem_collection'!$A$3:$A$500,MATCH(A760,'WetLitterbags placem_collection'!$M$4:$M$500,0)),"")</f>
        <v>170</v>
      </c>
      <c r="Q760" s="110" t="str">
        <f>IFERROR(INDEX('WetLitterbags placem_collection'!$A$3:$A$500,MATCH(A760,'WetLitterbags placem_collection'!$Q$4:$Q$500,0)),"")</f>
        <v/>
      </c>
    </row>
    <row r="761" spans="1:17" ht="13.95" customHeight="1">
      <c r="A761" s="110" t="s">
        <v>582</v>
      </c>
      <c r="B761" s="110">
        <v>140</v>
      </c>
      <c r="C761" s="110">
        <v>1.6634</v>
      </c>
      <c r="E761" s="112">
        <v>43125</v>
      </c>
      <c r="N761" s="110" t="str">
        <f>IFERROR(INDEX('WetLitterbags placem_collection'!$A$3:$A$500,MATCH(A761,'WetLitterbags placem_collection'!$K$4:$K$500,0)),"")</f>
        <v/>
      </c>
      <c r="O761" s="110" t="str">
        <f>IFERROR(INDEX('WetLitterbags placem_collection'!$A$3:$A$500,MATCH(A761,'WetLitterbags placem_collection'!$O$4:$O$500,0)),"")</f>
        <v/>
      </c>
      <c r="P761" s="110" t="str">
        <f>IFERROR(INDEX('WetLitterbags placem_collection'!$A$3:$A$500,MATCH(A761,'WetLitterbags placem_collection'!$M$4:$M$500,0)),"")</f>
        <v/>
      </c>
      <c r="Q761" s="110">
        <f>IFERROR(INDEX('WetLitterbags placem_collection'!$A$3:$A$500,MATCH(A761,'WetLitterbags placem_collection'!$Q$4:$Q$500,0)),"")</f>
        <v>139</v>
      </c>
    </row>
    <row r="762" spans="1:17" ht="13.95" customHeight="1">
      <c r="A762" s="110" t="s">
        <v>1085</v>
      </c>
      <c r="B762" s="110">
        <v>79</v>
      </c>
      <c r="C762" s="110">
        <v>1.6438999999999999</v>
      </c>
      <c r="E762" s="112">
        <v>43125</v>
      </c>
      <c r="N762" s="110" t="str">
        <f>IFERROR(INDEX('WetLitterbags placem_collection'!$A$3:$A$500,MATCH(A762,'WetLitterbags placem_collection'!$K$4:$K$500,0)),"")</f>
        <v/>
      </c>
      <c r="O762" s="110" t="str">
        <f>IFERROR(INDEX('WetLitterbags placem_collection'!$A$3:$A$500,MATCH(A762,'WetLitterbags placem_collection'!$O$4:$O$500,0)),"")</f>
        <v/>
      </c>
      <c r="P762" s="110" t="str">
        <f>IFERROR(INDEX('WetLitterbags placem_collection'!$A$3:$A$500,MATCH(A762,'WetLitterbags placem_collection'!$M$4:$M$500,0)),"")</f>
        <v/>
      </c>
      <c r="Q762" s="110">
        <f>IFERROR(INDEX('WetLitterbags placem_collection'!$A$3:$A$500,MATCH(A762,'WetLitterbags placem_collection'!$Q$4:$Q$500,0)),"")</f>
        <v>78</v>
      </c>
    </row>
    <row r="763" spans="1:17" ht="13.95" customHeight="1">
      <c r="A763" s="110" t="s">
        <v>581</v>
      </c>
      <c r="B763" s="110">
        <v>125</v>
      </c>
      <c r="C763" s="110">
        <v>1.254</v>
      </c>
      <c r="D763" s="110" t="s">
        <v>2058</v>
      </c>
      <c r="E763" s="112">
        <v>42881</v>
      </c>
      <c r="N763" s="110" t="str">
        <f>IFERROR(INDEX('WetLitterbags placem_collection'!$A$3:$A$500,MATCH(A763,'WetLitterbags placem_collection'!$K$4:$K$500,0)),"")</f>
        <v/>
      </c>
      <c r="O763" s="110" t="str">
        <f>IFERROR(INDEX('WetLitterbags placem_collection'!$A$3:$A$500,MATCH(A763,'WetLitterbags placem_collection'!$O$4:$O$500,0)),"")</f>
        <v/>
      </c>
      <c r="P763" s="110">
        <f>IFERROR(INDEX('WetLitterbags placem_collection'!$A$3:$A$500,MATCH(A763,'WetLitterbags placem_collection'!$M$4:$M$500,0)),"")</f>
        <v>124</v>
      </c>
      <c r="Q763" s="110" t="str">
        <f>IFERROR(INDEX('WetLitterbags placem_collection'!$A$3:$A$500,MATCH(A763,'WetLitterbags placem_collection'!$Q$4:$Q$500,0)),"")</f>
        <v/>
      </c>
    </row>
    <row r="764" spans="1:17" ht="13.95" customHeight="1">
      <c r="A764" s="110" t="s">
        <v>580</v>
      </c>
      <c r="B764" s="110">
        <v>98</v>
      </c>
      <c r="C764" s="110">
        <v>1.661</v>
      </c>
      <c r="E764" s="112">
        <v>42881</v>
      </c>
      <c r="N764" s="110" t="str">
        <f>IFERROR(INDEX('WetLitterbags placem_collection'!$A$3:$A$500,MATCH(A764,'WetLitterbags placem_collection'!$K$4:$K$500,0)),"")</f>
        <v/>
      </c>
      <c r="O764" s="110" t="str">
        <f>IFERROR(INDEX('WetLitterbags placem_collection'!$A$3:$A$500,MATCH(A764,'WetLitterbags placem_collection'!$O$4:$O$500,0)),"")</f>
        <v/>
      </c>
      <c r="P764" s="110" t="str">
        <f>IFERROR(INDEX('WetLitterbags placem_collection'!$A$3:$A$500,MATCH(A764,'WetLitterbags placem_collection'!$M$4:$M$500,0)),"")</f>
        <v/>
      </c>
      <c r="Q764" s="110">
        <f>IFERROR(INDEX('WetLitterbags placem_collection'!$A$3:$A$500,MATCH(A764,'WetLitterbags placem_collection'!$Q$4:$Q$500,0)),"")</f>
        <v>97</v>
      </c>
    </row>
    <row r="765" spans="1:17" ht="13.95" customHeight="1">
      <c r="A765" s="110" t="s">
        <v>579</v>
      </c>
      <c r="B765" s="110">
        <v>126</v>
      </c>
      <c r="C765" s="110">
        <v>0.17599999999999999</v>
      </c>
      <c r="D765" s="110" t="s">
        <v>2084</v>
      </c>
      <c r="E765" s="112">
        <v>42878</v>
      </c>
      <c r="N765" s="110" t="str">
        <f>IFERROR(INDEX('WetLitterbags placem_collection'!$A$3:$A$500,MATCH(A765,'WetLitterbags placem_collection'!$K$4:$K$500,0)),"")</f>
        <v/>
      </c>
      <c r="O765" s="110" t="str">
        <f>IFERROR(INDEX('WetLitterbags placem_collection'!$A$3:$A$500,MATCH(A765,'WetLitterbags placem_collection'!$O$4:$O$500,0)),"")</f>
        <v/>
      </c>
      <c r="P765" s="110">
        <f>IFERROR(INDEX('WetLitterbags placem_collection'!$A$3:$A$500,MATCH(A765,'WetLitterbags placem_collection'!$M$4:$M$500,0)),"")</f>
        <v>125</v>
      </c>
      <c r="Q765" s="110" t="str">
        <f>IFERROR(INDEX('WetLitterbags placem_collection'!$A$3:$A$500,MATCH(A765,'WetLitterbags placem_collection'!$Q$4:$Q$500,0)),"")</f>
        <v/>
      </c>
    </row>
    <row r="766" spans="1:17" ht="13.95" customHeight="1">
      <c r="A766" s="110" t="s">
        <v>578</v>
      </c>
      <c r="B766" s="110">
        <v>139</v>
      </c>
      <c r="C766" s="110">
        <v>2.5009999999999999</v>
      </c>
      <c r="D766" s="110" t="s">
        <v>2131</v>
      </c>
      <c r="E766" s="112">
        <v>42878</v>
      </c>
      <c r="N766" s="110" t="str">
        <f>IFERROR(INDEX('WetLitterbags placem_collection'!$A$3:$A$500,MATCH(A766,'WetLitterbags placem_collection'!$K$4:$K$500,0)),"")</f>
        <v/>
      </c>
      <c r="O766" s="110" t="str">
        <f>IFERROR(INDEX('WetLitterbags placem_collection'!$A$3:$A$500,MATCH(A766,'WetLitterbags placem_collection'!$O$4:$O$500,0)),"")</f>
        <v/>
      </c>
      <c r="P766" s="110">
        <f>IFERROR(INDEX('WetLitterbags placem_collection'!$A$3:$A$500,MATCH(A766,'WetLitterbags placem_collection'!$M$4:$M$500,0)),"")</f>
        <v>138</v>
      </c>
      <c r="Q766" s="110" t="str">
        <f>IFERROR(INDEX('WetLitterbags placem_collection'!$A$3:$A$500,MATCH(A766,'WetLitterbags placem_collection'!$Q$4:$Q$500,0)),"")</f>
        <v/>
      </c>
    </row>
    <row r="767" spans="1:17" ht="13.95" customHeight="1">
      <c r="A767" s="182" t="s">
        <v>577</v>
      </c>
      <c r="B767" s="110">
        <v>121</v>
      </c>
      <c r="C767" s="110">
        <v>1.53</v>
      </c>
      <c r="E767" s="112">
        <v>42879</v>
      </c>
      <c r="N767" s="110" t="str">
        <f>IFERROR(INDEX('WetLitterbags placem_collection'!$A$3:$A$500,MATCH(A767,'WetLitterbags placem_collection'!$K$4:$K$500,0)),"")</f>
        <v/>
      </c>
      <c r="O767" s="110" t="str">
        <f>IFERROR(INDEX('WetLitterbags placem_collection'!$A$3:$A$500,MATCH(A767,'WetLitterbags placem_collection'!$O$4:$O$500,0)),"")</f>
        <v/>
      </c>
      <c r="P767" s="110" t="str">
        <f>IFERROR(INDEX('WetLitterbags placem_collection'!$A$3:$A$500,MATCH(A767,'WetLitterbags placem_collection'!$M$4:$M$500,0)),"")</f>
        <v/>
      </c>
      <c r="Q767" s="110">
        <f>IFERROR(INDEX('WetLitterbags placem_collection'!$A$3:$A$500,MATCH(A767,'WetLitterbags placem_collection'!$Q$4:$Q$500,0)),"")</f>
        <v>120</v>
      </c>
    </row>
    <row r="768" spans="1:17" ht="13.95" customHeight="1">
      <c r="A768" s="110" t="s">
        <v>576</v>
      </c>
      <c r="B768" s="110">
        <v>117</v>
      </c>
      <c r="C768" s="110">
        <v>1.343</v>
      </c>
      <c r="E768" s="112">
        <v>42878</v>
      </c>
      <c r="N768" s="110" t="str">
        <f>IFERROR(INDEX('WetLitterbags placem_collection'!$A$3:$A$500,MATCH(A768,'WetLitterbags placem_collection'!$K$4:$K$500,0)),"")</f>
        <v/>
      </c>
      <c r="O768" s="110" t="str">
        <f>IFERROR(INDEX('WetLitterbags placem_collection'!$A$3:$A$500,MATCH(A768,'WetLitterbags placem_collection'!$O$4:$O$500,0)),"")</f>
        <v/>
      </c>
      <c r="P768" s="110" t="str">
        <f>IFERROR(INDEX('WetLitterbags placem_collection'!$A$3:$A$500,MATCH(A768,'WetLitterbags placem_collection'!$M$4:$M$500,0)),"")</f>
        <v/>
      </c>
      <c r="Q768" s="110">
        <f>IFERROR(INDEX('WetLitterbags placem_collection'!$A$3:$A$500,MATCH(A768,'WetLitterbags placem_collection'!$Q$4:$Q$500,0)),"")</f>
        <v>116</v>
      </c>
    </row>
    <row r="769" spans="1:17" ht="13.95" customHeight="1">
      <c r="A769" s="110" t="s">
        <v>575</v>
      </c>
      <c r="B769" s="110" t="s">
        <v>2077</v>
      </c>
      <c r="C769" s="110">
        <v>1.4496</v>
      </c>
      <c r="E769" s="112">
        <v>43116</v>
      </c>
      <c r="N769" s="110" t="str">
        <f>IFERROR(INDEX('WetLitterbags placem_collection'!$A$3:$A$500,MATCH(A769,'WetLitterbags placem_collection'!$K$4:$K$500,0)),"")</f>
        <v/>
      </c>
      <c r="O769" s="110" t="str">
        <f>IFERROR(INDEX('WetLitterbags placem_collection'!$A$3:$A$500,MATCH(A769,'WetLitterbags placem_collection'!$O$4:$O$500,0)),"")</f>
        <v/>
      </c>
      <c r="P769" s="110" t="str">
        <f>IFERROR(INDEX('WetLitterbags placem_collection'!$A$3:$A$500,MATCH(A769,'WetLitterbags placem_collection'!$M$4:$M$500,0)),"")</f>
        <v/>
      </c>
      <c r="Q769" s="110">
        <f>IFERROR(INDEX('WetLitterbags placem_collection'!$A$3:$A$500,MATCH(A769,'WetLitterbags placem_collection'!$Q$4:$Q$500,0)),"")</f>
        <v>18</v>
      </c>
    </row>
    <row r="770" spans="1:17" ht="13.95" customHeight="1">
      <c r="A770" s="110" t="s">
        <v>574</v>
      </c>
      <c r="B770" s="110">
        <v>143</v>
      </c>
      <c r="C770" s="110">
        <v>1.5908</v>
      </c>
      <c r="E770" s="112">
        <v>43125</v>
      </c>
      <c r="N770" s="110" t="str">
        <f>IFERROR(INDEX('WetLitterbags placem_collection'!$A$3:$A$500,MATCH(A770,'WetLitterbags placem_collection'!$K$4:$K$500,0)),"")</f>
        <v/>
      </c>
      <c r="O770" s="110" t="str">
        <f>IFERROR(INDEX('WetLitterbags placem_collection'!$A$3:$A$500,MATCH(A770,'WetLitterbags placem_collection'!$O$4:$O$500,0)),"")</f>
        <v/>
      </c>
      <c r="P770" s="110" t="str">
        <f>IFERROR(INDEX('WetLitterbags placem_collection'!$A$3:$A$500,MATCH(A770,'WetLitterbags placem_collection'!$M$4:$M$500,0)),"")</f>
        <v/>
      </c>
      <c r="Q770" s="110">
        <f>IFERROR(INDEX('WetLitterbags placem_collection'!$A$3:$A$500,MATCH(A770,'WetLitterbags placem_collection'!$Q$4:$Q$500,0)),"")</f>
        <v>142</v>
      </c>
    </row>
    <row r="771" spans="1:17" ht="13.95" customHeight="1">
      <c r="A771" s="110" t="s">
        <v>573</v>
      </c>
      <c r="B771" s="110">
        <v>183</v>
      </c>
      <c r="C771" s="110">
        <v>0.30299999999999999</v>
      </c>
      <c r="D771" s="110" t="s">
        <v>2055</v>
      </c>
      <c r="E771" s="112">
        <v>42881</v>
      </c>
      <c r="N771" s="110" t="str">
        <f>IFERROR(INDEX('WetLitterbags placem_collection'!$A$3:$A$500,MATCH(A771,'WetLitterbags placem_collection'!$K$4:$K$500,0)),"")</f>
        <v/>
      </c>
      <c r="O771" s="110" t="str">
        <f>IFERROR(INDEX('WetLitterbags placem_collection'!$A$3:$A$500,MATCH(A771,'WetLitterbags placem_collection'!$O$4:$O$500,0)),"")</f>
        <v/>
      </c>
      <c r="P771" s="110">
        <f>IFERROR(INDEX('WetLitterbags placem_collection'!$A$3:$A$500,MATCH(A771,'WetLitterbags placem_collection'!$M$4:$M$500,0)),"")</f>
        <v>182</v>
      </c>
      <c r="Q771" s="110" t="str">
        <f>IFERROR(INDEX('WetLitterbags placem_collection'!$A$3:$A$500,MATCH(A771,'WetLitterbags placem_collection'!$Q$4:$Q$500,0)),"")</f>
        <v/>
      </c>
    </row>
    <row r="772" spans="1:17" ht="13.95" customHeight="1">
      <c r="A772" s="110" t="s">
        <v>572</v>
      </c>
      <c r="B772" s="110">
        <v>102</v>
      </c>
      <c r="C772" s="110">
        <v>1.655</v>
      </c>
      <c r="D772" s="110" t="s">
        <v>2051</v>
      </c>
      <c r="E772" s="112">
        <v>42881</v>
      </c>
      <c r="N772" s="110" t="str">
        <f>IFERROR(INDEX('WetLitterbags placem_collection'!$A$3:$A$500,MATCH(A772,'WetLitterbags placem_collection'!$K$4:$K$500,0)),"")</f>
        <v/>
      </c>
      <c r="O772" s="110" t="str">
        <f>IFERROR(INDEX('WetLitterbags placem_collection'!$A$3:$A$500,MATCH(A772,'WetLitterbags placem_collection'!$O$4:$O$500,0)),"")</f>
        <v/>
      </c>
      <c r="P772" s="110">
        <f>IFERROR(INDEX('WetLitterbags placem_collection'!$A$3:$A$500,MATCH(A772,'WetLitterbags placem_collection'!$M$4:$M$500,0)),"")</f>
        <v>101</v>
      </c>
      <c r="Q772" s="110" t="str">
        <f>IFERROR(INDEX('WetLitterbags placem_collection'!$A$3:$A$500,MATCH(A772,'WetLitterbags placem_collection'!$Q$4:$Q$500,0)),"")</f>
        <v/>
      </c>
    </row>
    <row r="773" spans="1:17" ht="13.95" customHeight="1">
      <c r="A773" s="179" t="s">
        <v>571</v>
      </c>
      <c r="B773" s="110">
        <v>158</v>
      </c>
      <c r="C773" s="110">
        <v>1.718</v>
      </c>
      <c r="E773" s="112">
        <v>42879</v>
      </c>
      <c r="N773" s="110" t="str">
        <f>IFERROR(INDEX('WetLitterbags placem_collection'!$A$3:$A$500,MATCH(A773,'WetLitterbags placem_collection'!$K$4:$K$500,0)),"")</f>
        <v/>
      </c>
      <c r="O773" s="110" t="str">
        <f>IFERROR(INDEX('WetLitterbags placem_collection'!$A$3:$A$500,MATCH(A773,'WetLitterbags placem_collection'!$O$4:$O$500,0)),"")</f>
        <v/>
      </c>
      <c r="P773" s="110" t="str">
        <f>IFERROR(INDEX('WetLitterbags placem_collection'!$A$3:$A$500,MATCH(A773,'WetLitterbags placem_collection'!$M$4:$M$500,0)),"")</f>
        <v/>
      </c>
      <c r="Q773" s="110">
        <f>IFERROR(INDEX('WetLitterbags placem_collection'!$A$3:$A$500,MATCH(A773,'WetLitterbags placem_collection'!$Q$4:$Q$500,0)),"")</f>
        <v>157</v>
      </c>
    </row>
    <row r="774" spans="1:17" ht="13.95" customHeight="1">
      <c r="A774" s="182" t="s">
        <v>570</v>
      </c>
      <c r="B774" s="110">
        <v>144</v>
      </c>
      <c r="C774" s="110">
        <v>1.365</v>
      </c>
      <c r="E774" s="112">
        <v>42881</v>
      </c>
      <c r="N774" s="110" t="str">
        <f>IFERROR(INDEX('WetLitterbags placem_collection'!$A$3:$A$500,MATCH(A774,'WetLitterbags placem_collection'!$K$4:$K$500,0)),"")</f>
        <v/>
      </c>
      <c r="O774" s="110" t="str">
        <f>IFERROR(INDEX('WetLitterbags placem_collection'!$A$3:$A$500,MATCH(A774,'WetLitterbags placem_collection'!$O$4:$O$500,0)),"")</f>
        <v/>
      </c>
      <c r="P774" s="110">
        <f>IFERROR(INDEX('WetLitterbags placem_collection'!$A$3:$A$500,MATCH(A774,'WetLitterbags placem_collection'!$M$4:$M$500,0)),"")</f>
        <v>143</v>
      </c>
      <c r="Q774" s="110" t="str">
        <f>IFERROR(INDEX('WetLitterbags placem_collection'!$A$3:$A$500,MATCH(A774,'WetLitterbags placem_collection'!$Q$4:$Q$500,0)),"")</f>
        <v/>
      </c>
    </row>
    <row r="775" spans="1:17" ht="13.95" customHeight="1">
      <c r="A775" s="110" t="s">
        <v>569</v>
      </c>
      <c r="B775" s="110">
        <v>150</v>
      </c>
      <c r="C775" s="110">
        <v>1.5680000000000001</v>
      </c>
      <c r="E775" s="112">
        <v>42879</v>
      </c>
      <c r="N775" s="110" t="str">
        <f>IFERROR(INDEX('WetLitterbags placem_collection'!$A$3:$A$500,MATCH(A775,'WetLitterbags placem_collection'!$K$4:$K$500,0)),"")</f>
        <v/>
      </c>
      <c r="O775" s="110" t="str">
        <f>IFERROR(INDEX('WetLitterbags placem_collection'!$A$3:$A$500,MATCH(A775,'WetLitterbags placem_collection'!$O$4:$O$500,0)),"")</f>
        <v/>
      </c>
      <c r="P775" s="110" t="str">
        <f>IFERROR(INDEX('WetLitterbags placem_collection'!$A$3:$A$500,MATCH(A775,'WetLitterbags placem_collection'!$M$4:$M$500,0)),"")</f>
        <v/>
      </c>
      <c r="Q775" s="110">
        <f>IFERROR(INDEX('WetLitterbags placem_collection'!$A$3:$A$500,MATCH(A775,'WetLitterbags placem_collection'!$Q$4:$Q$500,0)),"")</f>
        <v>149</v>
      </c>
    </row>
    <row r="776" spans="1:17" ht="13.95" customHeight="1">
      <c r="A776" s="179" t="s">
        <v>568</v>
      </c>
      <c r="B776" s="110">
        <v>147</v>
      </c>
      <c r="C776" s="110">
        <v>1.746</v>
      </c>
      <c r="D776" s="110" t="s">
        <v>2138</v>
      </c>
      <c r="E776" s="112">
        <v>42878</v>
      </c>
      <c r="N776" s="110" t="str">
        <f>IFERROR(INDEX('WetLitterbags placem_collection'!$A$3:$A$500,MATCH(A776,'WetLitterbags placem_collection'!$K$4:$K$500,0)),"")</f>
        <v/>
      </c>
      <c r="O776" s="110" t="str">
        <f>IFERROR(INDEX('WetLitterbags placem_collection'!$A$3:$A$500,MATCH(A776,'WetLitterbags placem_collection'!$O$4:$O$500,0)),"")</f>
        <v/>
      </c>
      <c r="P776" s="110">
        <f>IFERROR(INDEX('WetLitterbags placem_collection'!$A$3:$A$500,MATCH(A776,'WetLitterbags placem_collection'!$M$4:$M$500,0)),"")</f>
        <v>146</v>
      </c>
      <c r="Q776" s="110" t="str">
        <f>IFERROR(INDEX('WetLitterbags placem_collection'!$A$3:$A$500,MATCH(A776,'WetLitterbags placem_collection'!$Q$4:$Q$500,0)),"")</f>
        <v/>
      </c>
    </row>
    <row r="777" spans="1:17" ht="13.95" customHeight="1">
      <c r="A777" s="110" t="s">
        <v>567</v>
      </c>
      <c r="B777" s="110">
        <v>107</v>
      </c>
      <c r="C777" s="110">
        <v>1.706</v>
      </c>
      <c r="E777" s="112">
        <v>43125</v>
      </c>
      <c r="N777" s="110" t="str">
        <f>IFERROR(INDEX('WetLitterbags placem_collection'!$A$3:$A$500,MATCH(A777,'WetLitterbags placem_collection'!$K$4:$K$500,0)),"")</f>
        <v/>
      </c>
      <c r="O777" s="110" t="str">
        <f>IFERROR(INDEX('WetLitterbags placem_collection'!$A$3:$A$500,MATCH(A777,'WetLitterbags placem_collection'!$O$4:$O$500,0)),"")</f>
        <v/>
      </c>
      <c r="P777" s="110">
        <f>IFERROR(INDEX('WetLitterbags placem_collection'!$A$3:$A$500,MATCH(A777,'WetLitterbags placem_collection'!$M$4:$M$500,0)),"")</f>
        <v>106</v>
      </c>
      <c r="Q777" s="110" t="str">
        <f>IFERROR(INDEX('WetLitterbags placem_collection'!$A$3:$A$500,MATCH(A777,'WetLitterbags placem_collection'!$Q$4:$Q$500,0)),"")</f>
        <v/>
      </c>
    </row>
    <row r="778" spans="1:17" ht="13.95" customHeight="1">
      <c r="A778" s="110" t="s">
        <v>566</v>
      </c>
      <c r="B778" s="110" t="s">
        <v>2077</v>
      </c>
      <c r="C778" s="110">
        <v>1.6872</v>
      </c>
      <c r="D778" s="110" t="s">
        <v>2116</v>
      </c>
      <c r="E778" s="112">
        <v>43123</v>
      </c>
      <c r="N778" s="110" t="str">
        <f>IFERROR(INDEX('WetLitterbags placem_collection'!$A$3:$A$500,MATCH(A778,'WetLitterbags placem_collection'!$K$4:$K$500,0)),"")</f>
        <v/>
      </c>
      <c r="O778" s="110" t="str">
        <f>IFERROR(INDEX('WetLitterbags placem_collection'!$A$3:$A$500,MATCH(A778,'WetLitterbags placem_collection'!$O$4:$O$500,0)),"")</f>
        <v/>
      </c>
      <c r="P778" s="110">
        <f>IFERROR(INDEX('WetLitterbags placem_collection'!$A$3:$A$500,MATCH(A778,'WetLitterbags placem_collection'!$M$4:$M$500,0)),"")</f>
        <v>122</v>
      </c>
      <c r="Q778" s="110" t="str">
        <f>IFERROR(INDEX('WetLitterbags placem_collection'!$A$3:$A$500,MATCH(A778,'WetLitterbags placem_collection'!$Q$4:$Q$500,0)),"")</f>
        <v/>
      </c>
    </row>
    <row r="779" spans="1:17" ht="13.95" customHeight="1">
      <c r="A779" s="110" t="s">
        <v>564</v>
      </c>
      <c r="B779" s="110">
        <v>104</v>
      </c>
      <c r="C779" s="110">
        <v>1.4470000000000001</v>
      </c>
      <c r="D779" s="110" t="s">
        <v>2115</v>
      </c>
      <c r="E779" s="112">
        <v>42878</v>
      </c>
      <c r="N779" s="110" t="str">
        <f>IFERROR(INDEX('WetLitterbags placem_collection'!$A$3:$A$500,MATCH(A779,'WetLitterbags placem_collection'!$K$4:$K$500,0)),"")</f>
        <v/>
      </c>
      <c r="O779" s="110" t="str">
        <f>IFERROR(INDEX('WetLitterbags placem_collection'!$A$3:$A$500,MATCH(A779,'WetLitterbags placem_collection'!$O$4:$O$500,0)),"")</f>
        <v/>
      </c>
      <c r="P779" s="110">
        <f>IFERROR(INDEX('WetLitterbags placem_collection'!$A$3:$A$500,MATCH(A779,'WetLitterbags placem_collection'!$M$4:$M$500,0)),"")</f>
        <v>103</v>
      </c>
      <c r="Q779" s="110" t="str">
        <f>IFERROR(INDEX('WetLitterbags placem_collection'!$A$3:$A$500,MATCH(A779,'WetLitterbags placem_collection'!$Q$4:$Q$500,0)),"")</f>
        <v/>
      </c>
    </row>
    <row r="780" spans="1:17" ht="13.95" customHeight="1">
      <c r="A780" s="113" t="s">
        <v>563</v>
      </c>
      <c r="B780" s="110">
        <v>113</v>
      </c>
      <c r="C780" s="110">
        <v>1.421</v>
      </c>
      <c r="E780" s="112">
        <v>42878</v>
      </c>
      <c r="N780" s="110" t="str">
        <f>IFERROR(INDEX('WetLitterbags placem_collection'!$A$3:$A$500,MATCH(A780,'WetLitterbags placem_collection'!$K$4:$K$500,0)),"")</f>
        <v/>
      </c>
      <c r="O780" s="110" t="str">
        <f>IFERROR(INDEX('WetLitterbags placem_collection'!$A$3:$A$500,MATCH(A780,'WetLitterbags placem_collection'!$O$4:$O$500,0)),"")</f>
        <v/>
      </c>
      <c r="P780" s="110" t="str">
        <f>IFERROR(INDEX('WetLitterbags placem_collection'!$A$3:$A$500,MATCH(A780,'WetLitterbags placem_collection'!$M$4:$M$500,0)),"")</f>
        <v/>
      </c>
      <c r="Q780" s="110">
        <f>IFERROR(INDEX('WetLitterbags placem_collection'!$A$3:$A$500,MATCH(A780,'WetLitterbags placem_collection'!$Q$4:$Q$500,0)),"")</f>
        <v>112</v>
      </c>
    </row>
    <row r="781" spans="1:17" ht="13.95" customHeight="1">
      <c r="A781" s="113" t="s">
        <v>563</v>
      </c>
      <c r="B781" s="110" t="s">
        <v>2077</v>
      </c>
      <c r="C781" s="110">
        <v>1.6898</v>
      </c>
      <c r="E781" s="112">
        <v>43122</v>
      </c>
      <c r="N781" s="110" t="str">
        <f>IFERROR(INDEX('WetLitterbags placem_collection'!$A$3:$A$500,MATCH(A781,'WetLitterbags placem_collection'!$K$4:$K$500,0)),"")</f>
        <v/>
      </c>
      <c r="O781" s="110" t="str">
        <f>IFERROR(INDEX('WetLitterbags placem_collection'!$A$3:$A$500,MATCH(A781,'WetLitterbags placem_collection'!$O$4:$O$500,0)),"")</f>
        <v/>
      </c>
      <c r="P781" s="110" t="str">
        <f>IFERROR(INDEX('WetLitterbags placem_collection'!$A$3:$A$500,MATCH(A781,'WetLitterbags placem_collection'!$M$4:$M$500,0)),"")</f>
        <v/>
      </c>
      <c r="Q781" s="110">
        <f>IFERROR(INDEX('WetLitterbags placem_collection'!$A$3:$A$500,MATCH(A781,'WetLitterbags placem_collection'!$Q$4:$Q$500,0)),"")</f>
        <v>112</v>
      </c>
    </row>
    <row r="782" spans="1:17" ht="13.95" customHeight="1">
      <c r="A782" s="110" t="s">
        <v>562</v>
      </c>
      <c r="B782" s="110" t="s">
        <v>2077</v>
      </c>
      <c r="C782" s="110">
        <v>1.5234000000000001</v>
      </c>
      <c r="E782" s="112">
        <v>43116</v>
      </c>
      <c r="N782" s="110" t="str">
        <f>IFERROR(INDEX('WetLitterbags placem_collection'!$A$3:$A$500,MATCH(A782,'WetLitterbags placem_collection'!$K$4:$K$500,0)),"")</f>
        <v/>
      </c>
      <c r="O782" s="110" t="str">
        <f>IFERROR(INDEX('WetLitterbags placem_collection'!$A$3:$A$500,MATCH(A782,'WetLitterbags placem_collection'!$O$4:$O$500,0)),"")</f>
        <v/>
      </c>
      <c r="P782" s="110" t="str">
        <f>IFERROR(INDEX('WetLitterbags placem_collection'!$A$3:$A$500,MATCH(A782,'WetLitterbags placem_collection'!$M$4:$M$500,0)),"")</f>
        <v/>
      </c>
      <c r="Q782" s="110">
        <f>IFERROR(INDEX('WetLitterbags placem_collection'!$A$3:$A$500,MATCH(A782,'WetLitterbags placem_collection'!$Q$4:$Q$500,0)),"")</f>
        <v>151</v>
      </c>
    </row>
    <row r="783" spans="1:17" ht="13.95" customHeight="1">
      <c r="A783" s="110" t="s">
        <v>1083</v>
      </c>
      <c r="B783" s="110">
        <v>56</v>
      </c>
      <c r="C783" s="110">
        <v>1.5980000000000001</v>
      </c>
      <c r="E783" s="112">
        <v>42881</v>
      </c>
      <c r="N783" s="110" t="str">
        <f>IFERROR(INDEX('WetLitterbags placem_collection'!$A$3:$A$500,MATCH(A783,'WetLitterbags placem_collection'!$K$4:$K$500,0)),"")</f>
        <v/>
      </c>
      <c r="O783" s="110" t="str">
        <f>IFERROR(INDEX('WetLitterbags placem_collection'!$A$3:$A$500,MATCH(A783,'WetLitterbags placem_collection'!$O$4:$O$500,0)),"")</f>
        <v/>
      </c>
      <c r="P783" s="110" t="str">
        <f>IFERROR(INDEX('WetLitterbags placem_collection'!$A$3:$A$500,MATCH(A783,'WetLitterbags placem_collection'!$M$4:$M$500,0)),"")</f>
        <v/>
      </c>
      <c r="Q783" s="110">
        <f>IFERROR(INDEX('WetLitterbags placem_collection'!$A$3:$A$500,MATCH(A783,'WetLitterbags placem_collection'!$Q$4:$Q$500,0)),"")</f>
        <v>55</v>
      </c>
    </row>
    <row r="784" spans="1:17" ht="13.95" customHeight="1">
      <c r="A784" s="110" t="s">
        <v>561</v>
      </c>
      <c r="B784" s="110" t="s">
        <v>2077</v>
      </c>
      <c r="C784" s="110">
        <v>1.6225000000000001</v>
      </c>
      <c r="E784" s="112">
        <v>43119</v>
      </c>
      <c r="N784" s="110" t="str">
        <f>IFERROR(INDEX('WetLitterbags placem_collection'!$A$3:$A$500,MATCH(A784,'WetLitterbags placem_collection'!$K$4:$K$500,0)),"")</f>
        <v/>
      </c>
      <c r="O784" s="110" t="str">
        <f>IFERROR(INDEX('WetLitterbags placem_collection'!$A$3:$A$500,MATCH(A784,'WetLitterbags placem_collection'!$O$4:$O$500,0)),"")</f>
        <v/>
      </c>
      <c r="P784" s="110" t="str">
        <f>IFERROR(INDEX('WetLitterbags placem_collection'!$A$3:$A$500,MATCH(A784,'WetLitterbags placem_collection'!$M$4:$M$500,0)),"")</f>
        <v/>
      </c>
      <c r="Q784" s="110">
        <f>IFERROR(INDEX('WetLitterbags placem_collection'!$A$3:$A$500,MATCH(A784,'WetLitterbags placem_collection'!$Q$4:$Q$500,0)),"")</f>
        <v>186</v>
      </c>
    </row>
    <row r="785" spans="1:17" ht="13.95" customHeight="1">
      <c r="A785" s="110" t="s">
        <v>560</v>
      </c>
      <c r="B785" s="110">
        <v>141</v>
      </c>
      <c r="C785" s="110">
        <v>1.2849999999999999</v>
      </c>
      <c r="D785" s="110" t="s">
        <v>2130</v>
      </c>
      <c r="E785" s="112">
        <v>42878</v>
      </c>
      <c r="N785" s="110" t="str">
        <f>IFERROR(INDEX('WetLitterbags placem_collection'!$A$3:$A$500,MATCH(A785,'WetLitterbags placem_collection'!$K$4:$K$500,0)),"")</f>
        <v/>
      </c>
      <c r="O785" s="110" t="str">
        <f>IFERROR(INDEX('WetLitterbags placem_collection'!$A$3:$A$500,MATCH(A785,'WetLitterbags placem_collection'!$O$4:$O$500,0)),"")</f>
        <v/>
      </c>
      <c r="P785" s="110">
        <f>IFERROR(INDEX('WetLitterbags placem_collection'!$A$3:$A$500,MATCH(A785,'WetLitterbags placem_collection'!$M$4:$M$500,0)),"")</f>
        <v>140</v>
      </c>
      <c r="Q785" s="110" t="str">
        <f>IFERROR(INDEX('WetLitterbags placem_collection'!$A$3:$A$500,MATCH(A785,'WetLitterbags placem_collection'!$Q$4:$Q$500,0)),"")</f>
        <v/>
      </c>
    </row>
    <row r="786" spans="1:17" ht="13.95" customHeight="1">
      <c r="A786" s="110" t="s">
        <v>559</v>
      </c>
      <c r="B786" s="110">
        <v>147</v>
      </c>
      <c r="C786" s="110">
        <v>1.742</v>
      </c>
      <c r="D786" s="110" t="s">
        <v>2074</v>
      </c>
      <c r="E786" s="112">
        <v>42878</v>
      </c>
      <c r="N786" s="110" t="str">
        <f>IFERROR(INDEX('WetLitterbags placem_collection'!$A$3:$A$500,MATCH(A786,'WetLitterbags placem_collection'!$K$4:$K$500,0)),"")</f>
        <v/>
      </c>
      <c r="O786" s="110" t="str">
        <f>IFERROR(INDEX('WetLitterbags placem_collection'!$A$3:$A$500,MATCH(A786,'WetLitterbags placem_collection'!$O$4:$O$500,0)),"")</f>
        <v/>
      </c>
      <c r="P786" s="110" t="str">
        <f>IFERROR(INDEX('WetLitterbags placem_collection'!$A$3:$A$500,MATCH(A786,'WetLitterbags placem_collection'!$M$4:$M$500,0)),"")</f>
        <v/>
      </c>
      <c r="Q786" s="110">
        <f>IFERROR(INDEX('WetLitterbags placem_collection'!$A$3:$A$500,MATCH(A786,'WetLitterbags placem_collection'!$Q$4:$Q$500,0)),"")</f>
        <v>146</v>
      </c>
    </row>
    <row r="787" spans="1:17" ht="13.95" customHeight="1">
      <c r="A787" s="110" t="s">
        <v>558</v>
      </c>
      <c r="B787" s="110">
        <v>170</v>
      </c>
      <c r="C787" s="110">
        <v>1.71</v>
      </c>
      <c r="E787" s="112">
        <v>42878</v>
      </c>
      <c r="N787" s="110" t="str">
        <f>IFERROR(INDEX('WetLitterbags placem_collection'!$A$3:$A$500,MATCH(A787,'WetLitterbags placem_collection'!$K$4:$K$500,0)),"")</f>
        <v/>
      </c>
      <c r="O787" s="110" t="str">
        <f>IFERROR(INDEX('WetLitterbags placem_collection'!$A$3:$A$500,MATCH(A787,'WetLitterbags placem_collection'!$O$4:$O$500,0)),"")</f>
        <v/>
      </c>
      <c r="P787" s="110" t="str">
        <f>IFERROR(INDEX('WetLitterbags placem_collection'!$A$3:$A$500,MATCH(A787,'WetLitterbags placem_collection'!$M$4:$M$500,0)),"")</f>
        <v/>
      </c>
      <c r="Q787" s="110">
        <f>IFERROR(INDEX('WetLitterbags placem_collection'!$A$3:$A$500,MATCH(A787,'WetLitterbags placem_collection'!$Q$4:$Q$500,0)),"")</f>
        <v>169</v>
      </c>
    </row>
    <row r="788" spans="1:17" ht="13.95" customHeight="1">
      <c r="A788" s="179" t="s">
        <v>557</v>
      </c>
      <c r="B788" s="110">
        <v>119</v>
      </c>
      <c r="C788" s="110">
        <v>0.435</v>
      </c>
      <c r="D788"/>
      <c r="E788" s="112">
        <v>42881</v>
      </c>
      <c r="N788" s="110" t="str">
        <f>IFERROR(INDEX('WetLitterbags placem_collection'!$A$3:$A$500,MATCH(A788,'WetLitterbags placem_collection'!$K$4:$K$500,0)),"")</f>
        <v/>
      </c>
      <c r="O788" s="110" t="str">
        <f>IFERROR(INDEX('WetLitterbags placem_collection'!$A$3:$A$500,MATCH(A788,'WetLitterbags placem_collection'!$O$4:$O$500,0)),"")</f>
        <v/>
      </c>
      <c r="P788" s="110">
        <f>IFERROR(INDEX('WetLitterbags placem_collection'!$A$3:$A$500,MATCH(A788,'WetLitterbags placem_collection'!$M$4:$M$500,0)),"")</f>
        <v>118</v>
      </c>
      <c r="Q788" s="110" t="str">
        <f>IFERROR(INDEX('WetLitterbags placem_collection'!$A$3:$A$500,MATCH(A788,'WetLitterbags placem_collection'!$Q$4:$Q$500,0)),"")</f>
        <v/>
      </c>
    </row>
    <row r="789" spans="1:17" ht="13.95" customHeight="1">
      <c r="A789" s="110" t="s">
        <v>556</v>
      </c>
      <c r="B789" s="110">
        <v>130</v>
      </c>
      <c r="C789" s="110">
        <v>1.6379999999999999</v>
      </c>
      <c r="E789" s="112">
        <v>42879</v>
      </c>
      <c r="N789" s="110" t="str">
        <f>IFERROR(INDEX('WetLitterbags placem_collection'!$A$3:$A$500,MATCH(A789,'WetLitterbags placem_collection'!$K$4:$K$500,0)),"")</f>
        <v/>
      </c>
      <c r="O789" s="110" t="str">
        <f>IFERROR(INDEX('WetLitterbags placem_collection'!$A$3:$A$500,MATCH(A789,'WetLitterbags placem_collection'!$O$4:$O$500,0)),"")</f>
        <v/>
      </c>
      <c r="P789" s="110">
        <f>IFERROR(INDEX('WetLitterbags placem_collection'!$A$3:$A$500,MATCH(A789,'WetLitterbags placem_collection'!$M$4:$M$500,0)),"")</f>
        <v>129</v>
      </c>
      <c r="Q789" s="110" t="str">
        <f>IFERROR(INDEX('WetLitterbags placem_collection'!$A$3:$A$500,MATCH(A789,'WetLitterbags placem_collection'!$Q$4:$Q$500,0)),"")</f>
        <v/>
      </c>
    </row>
    <row r="790" spans="1:17" ht="13.95" customHeight="1">
      <c r="A790" s="110" t="s">
        <v>554</v>
      </c>
      <c r="B790" s="110" t="s">
        <v>2077</v>
      </c>
      <c r="C790" s="110">
        <v>1.5119</v>
      </c>
      <c r="E790" s="112">
        <v>43122</v>
      </c>
      <c r="N790" s="110" t="str">
        <f>IFERROR(INDEX('WetLitterbags placem_collection'!$A$3:$A$500,MATCH(A790,'WetLitterbags placem_collection'!$K$4:$K$500,0)),"")</f>
        <v/>
      </c>
      <c r="O790" s="110" t="str">
        <f>IFERROR(INDEX('WetLitterbags placem_collection'!$A$3:$A$500,MATCH(A790,'WetLitterbags placem_collection'!$O$4:$O$500,0)),"")</f>
        <v/>
      </c>
      <c r="P790" s="110">
        <f>IFERROR(INDEX('WetLitterbags placem_collection'!$A$3:$A$500,MATCH(A790,'WetLitterbags placem_collection'!$M$4:$M$500,0)),"")</f>
        <v>180</v>
      </c>
      <c r="Q790" s="110" t="str">
        <f>IFERROR(INDEX('WetLitterbags placem_collection'!$A$3:$A$500,MATCH(A790,'WetLitterbags placem_collection'!$Q$4:$Q$500,0)),"")</f>
        <v/>
      </c>
    </row>
    <row r="791" spans="1:17" ht="13.95" customHeight="1">
      <c r="A791" s="110" t="s">
        <v>553</v>
      </c>
      <c r="B791" s="110" t="s">
        <v>2077</v>
      </c>
      <c r="C791" s="110">
        <v>0.87350000000000005</v>
      </c>
      <c r="E791" s="112">
        <v>43116</v>
      </c>
      <c r="N791" s="110" t="str">
        <f>IFERROR(INDEX('WetLitterbags placem_collection'!$A$3:$A$500,MATCH(A791,'WetLitterbags placem_collection'!$K$4:$K$500,0)),"")</f>
        <v/>
      </c>
      <c r="O791" s="110" t="str">
        <f>IFERROR(INDEX('WetLitterbags placem_collection'!$A$3:$A$500,MATCH(A791,'WetLitterbags placem_collection'!$O$4:$O$500,0)),"")</f>
        <v/>
      </c>
      <c r="P791" s="110" t="str">
        <f>IFERROR(INDEX('WetLitterbags placem_collection'!$A$3:$A$500,MATCH(A791,'WetLitterbags placem_collection'!$M$4:$M$500,0)),"")</f>
        <v/>
      </c>
      <c r="Q791" s="110">
        <f>IFERROR(INDEX('WetLitterbags placem_collection'!$A$3:$A$500,MATCH(A791,'WetLitterbags placem_collection'!$Q$4:$Q$500,0)),"")</f>
        <v>95</v>
      </c>
    </row>
    <row r="792" spans="1:17" ht="13.95" customHeight="1">
      <c r="A792" s="110" t="s">
        <v>552</v>
      </c>
      <c r="B792" s="110">
        <v>221</v>
      </c>
      <c r="C792" s="110">
        <v>1.5489999999999999</v>
      </c>
      <c r="E792" s="112">
        <v>42878</v>
      </c>
      <c r="N792" s="110" t="str">
        <f>IFERROR(INDEX('WetLitterbags placem_collection'!$A$3:$A$500,MATCH(A792,'WetLitterbags placem_collection'!$K$4:$K$500,0)),"")</f>
        <v/>
      </c>
      <c r="O792" s="110" t="str">
        <f>IFERROR(INDEX('WetLitterbags placem_collection'!$A$3:$A$500,MATCH(A792,'WetLitterbags placem_collection'!$O$4:$O$500,0)),"")</f>
        <v/>
      </c>
      <c r="P792" s="110" t="str">
        <f>IFERROR(INDEX('WetLitterbags placem_collection'!$A$3:$A$500,MATCH(A792,'WetLitterbags placem_collection'!$M$4:$M$500,0)),"")</f>
        <v/>
      </c>
      <c r="Q792" s="110">
        <f>IFERROR(INDEX('WetLitterbags placem_collection'!$A$3:$A$500,MATCH(A792,'WetLitterbags placem_collection'!$Q$4:$Q$500,0)),"")</f>
        <v>210</v>
      </c>
    </row>
    <row r="793" spans="1:17" ht="13.95" customHeight="1">
      <c r="A793" s="110" t="s">
        <v>1082</v>
      </c>
      <c r="B793" s="110" t="s">
        <v>2077</v>
      </c>
      <c r="C793" s="110">
        <v>1.4990000000000001</v>
      </c>
      <c r="E793" s="112">
        <v>43122</v>
      </c>
      <c r="N793" s="110" t="str">
        <f>IFERROR(INDEX('WetLitterbags placem_collection'!$A$3:$A$500,MATCH(A793,'WetLitterbags placem_collection'!$K$4:$K$500,0)),"")</f>
        <v/>
      </c>
      <c r="O793" s="110" t="str">
        <f>IFERROR(INDEX('WetLitterbags placem_collection'!$A$3:$A$500,MATCH(A793,'WetLitterbags placem_collection'!$O$4:$O$500,0)),"")</f>
        <v/>
      </c>
      <c r="P793" s="110" t="str">
        <f>IFERROR(INDEX('WetLitterbags placem_collection'!$A$3:$A$500,MATCH(A793,'WetLitterbags placem_collection'!$M$4:$M$500,0)),"")</f>
        <v/>
      </c>
      <c r="Q793" s="110">
        <f>IFERROR(INDEX('WetLitterbags placem_collection'!$A$3:$A$500,MATCH(A793,'WetLitterbags placem_collection'!$Q$4:$Q$500,0)),"")</f>
        <v>5</v>
      </c>
    </row>
    <row r="794" spans="1:17" ht="13.95" customHeight="1">
      <c r="A794" s="110" t="s">
        <v>551</v>
      </c>
      <c r="B794" s="110" t="s">
        <v>2057</v>
      </c>
      <c r="C794" s="110">
        <v>1.7769999999999999</v>
      </c>
      <c r="E794" s="112">
        <v>42881</v>
      </c>
      <c r="N794" s="110" t="str">
        <f>IFERROR(INDEX('WetLitterbags placem_collection'!$A$3:$A$500,MATCH(A794,'WetLitterbags placem_collection'!$K$4:$K$500,0)),"")</f>
        <v/>
      </c>
      <c r="O794" s="110" t="str">
        <f>IFERROR(INDEX('WetLitterbags placem_collection'!$A$3:$A$500,MATCH(A794,'WetLitterbags placem_collection'!$O$4:$O$500,0)),"")</f>
        <v/>
      </c>
      <c r="P794" s="110">
        <f>IFERROR(INDEX('WetLitterbags placem_collection'!$A$3:$A$500,MATCH(A794,'WetLitterbags placem_collection'!$M$4:$M$500,0)),"")</f>
        <v>105</v>
      </c>
      <c r="Q794" s="110" t="str">
        <f>IFERROR(INDEX('WetLitterbags placem_collection'!$A$3:$A$500,MATCH(A794,'WetLitterbags placem_collection'!$Q$4:$Q$500,0)),"")</f>
        <v/>
      </c>
    </row>
    <row r="795" spans="1:17" ht="13.95" customHeight="1">
      <c r="A795" s="110" t="s">
        <v>550</v>
      </c>
      <c r="B795" s="110" t="s">
        <v>2077</v>
      </c>
      <c r="C795" s="110">
        <v>1.6958</v>
      </c>
      <c r="E795" s="112">
        <v>43116</v>
      </c>
      <c r="N795" s="110" t="str">
        <f>IFERROR(INDEX('WetLitterbags placem_collection'!$A$3:$A$500,MATCH(A795,'WetLitterbags placem_collection'!$K$4:$K$500,0)),"")</f>
        <v/>
      </c>
      <c r="O795" s="110" t="str">
        <f>IFERROR(INDEX('WetLitterbags placem_collection'!$A$3:$A$500,MATCH(A795,'WetLitterbags placem_collection'!$O$4:$O$500,0)),"")</f>
        <v/>
      </c>
      <c r="P795" s="110">
        <f>IFERROR(INDEX('WetLitterbags placem_collection'!$A$3:$A$500,MATCH(A795,'WetLitterbags placem_collection'!$M$4:$M$500,0)),"")</f>
        <v>151</v>
      </c>
      <c r="Q795" s="110" t="str">
        <f>IFERROR(INDEX('WetLitterbags placem_collection'!$A$3:$A$500,MATCH(A795,'WetLitterbags placem_collection'!$Q$4:$Q$500,0)),"")</f>
        <v/>
      </c>
    </row>
    <row r="796" spans="1:17" ht="13.95" customHeight="1">
      <c r="A796" s="110" t="s">
        <v>549</v>
      </c>
      <c r="B796" s="110">
        <v>131</v>
      </c>
      <c r="C796" s="110">
        <v>1.6073999999999999</v>
      </c>
      <c r="E796" s="112">
        <v>43125</v>
      </c>
      <c r="N796" s="110" t="str">
        <f>IFERROR(INDEX('WetLitterbags placem_collection'!$A$3:$A$500,MATCH(A796,'WetLitterbags placem_collection'!$K$4:$K$500,0)),"")</f>
        <v/>
      </c>
      <c r="O796" s="110" t="str">
        <f>IFERROR(INDEX('WetLitterbags placem_collection'!$A$3:$A$500,MATCH(A796,'WetLitterbags placem_collection'!$O$4:$O$500,0)),"")</f>
        <v/>
      </c>
      <c r="P796" s="110" t="str">
        <f>IFERROR(INDEX('WetLitterbags placem_collection'!$A$3:$A$500,MATCH(A796,'WetLitterbags placem_collection'!$M$4:$M$500,0)),"")</f>
        <v/>
      </c>
      <c r="Q796" s="110">
        <f>IFERROR(INDEX('WetLitterbags placem_collection'!$A$3:$A$500,MATCH(A796,'WetLitterbags placem_collection'!$Q$4:$Q$500,0)),"")</f>
        <v>130</v>
      </c>
    </row>
    <row r="797" spans="1:17" ht="13.95" customHeight="1">
      <c r="A797" s="110" t="s">
        <v>548</v>
      </c>
      <c r="B797" s="110" t="s">
        <v>2057</v>
      </c>
      <c r="C797" s="110">
        <v>1.7729999999999999</v>
      </c>
      <c r="E797" s="112">
        <v>42881</v>
      </c>
      <c r="N797" s="110" t="str">
        <f>IFERROR(INDEX('WetLitterbags placem_collection'!$A$3:$A$500,MATCH(A797,'WetLitterbags placem_collection'!$K$4:$K$500,0)),"")</f>
        <v/>
      </c>
      <c r="O797" s="110" t="str">
        <f>IFERROR(INDEX('WetLitterbags placem_collection'!$A$3:$A$500,MATCH(A797,'WetLitterbags placem_collection'!$O$4:$O$500,0)),"")</f>
        <v/>
      </c>
      <c r="P797" s="110" t="str">
        <f>IFERROR(INDEX('WetLitterbags placem_collection'!$A$3:$A$500,MATCH(A797,'WetLitterbags placem_collection'!$M$4:$M$500,0)),"")</f>
        <v/>
      </c>
      <c r="Q797" s="110">
        <f>IFERROR(INDEX('WetLitterbags placem_collection'!$A$3:$A$500,MATCH(A797,'WetLitterbags placem_collection'!$Q$4:$Q$500,0)),"")</f>
        <v>105</v>
      </c>
    </row>
    <row r="798" spans="1:17" ht="13.95" customHeight="1">
      <c r="A798" s="110" t="s">
        <v>547</v>
      </c>
      <c r="B798" s="110">
        <v>120</v>
      </c>
      <c r="C798" s="110">
        <v>1.4142999999999999</v>
      </c>
      <c r="E798" s="112">
        <v>43125</v>
      </c>
      <c r="N798" s="110" t="str">
        <f>IFERROR(INDEX('WetLitterbags placem_collection'!$A$3:$A$500,MATCH(A798,'WetLitterbags placem_collection'!$K$4:$K$500,0)),"")</f>
        <v/>
      </c>
      <c r="O798" s="110" t="str">
        <f>IFERROR(INDEX('WetLitterbags placem_collection'!$A$3:$A$500,MATCH(A798,'WetLitterbags placem_collection'!$O$4:$O$500,0)),"")</f>
        <v/>
      </c>
      <c r="P798" s="110" t="str">
        <f>IFERROR(INDEX('WetLitterbags placem_collection'!$A$3:$A$500,MATCH(A798,'WetLitterbags placem_collection'!$M$4:$M$500,0)),"")</f>
        <v/>
      </c>
      <c r="Q798" s="110">
        <f>IFERROR(INDEX('WetLitterbags placem_collection'!$A$3:$A$500,MATCH(A798,'WetLitterbags placem_collection'!$Q$4:$Q$500,0)),"")</f>
        <v>119</v>
      </c>
    </row>
    <row r="799" spans="1:17" ht="13.95" customHeight="1">
      <c r="A799" s="110" t="s">
        <v>545</v>
      </c>
      <c r="B799" s="110">
        <v>135</v>
      </c>
      <c r="C799" s="110">
        <v>1.512</v>
      </c>
      <c r="E799" s="112">
        <v>42881</v>
      </c>
      <c r="N799" s="110" t="str">
        <f>IFERROR(INDEX('WetLitterbags placem_collection'!$A$3:$A$500,MATCH(A799,'WetLitterbags placem_collection'!$K$4:$K$500,0)),"")</f>
        <v/>
      </c>
      <c r="O799" s="110" t="str">
        <f>IFERROR(INDEX('WetLitterbags placem_collection'!$A$3:$A$500,MATCH(A799,'WetLitterbags placem_collection'!$O$4:$O$500,0)),"")</f>
        <v/>
      </c>
      <c r="P799" s="110" t="str">
        <f>IFERROR(INDEX('WetLitterbags placem_collection'!$A$3:$A$500,MATCH(A799,'WetLitterbags placem_collection'!$M$4:$M$500,0)),"")</f>
        <v/>
      </c>
      <c r="Q799" s="110">
        <f>IFERROR(INDEX('WetLitterbags placem_collection'!$A$3:$A$500,MATCH(A799,'WetLitterbags placem_collection'!$Q$4:$Q$500,0)),"")</f>
        <v>134</v>
      </c>
    </row>
    <row r="800" spans="1:17" ht="13.95" customHeight="1">
      <c r="A800" s="110" t="s">
        <v>544</v>
      </c>
      <c r="B800" s="110" t="s">
        <v>2077</v>
      </c>
      <c r="C800" s="110">
        <v>1.5714999999999999</v>
      </c>
      <c r="E800" s="112">
        <v>43123</v>
      </c>
      <c r="N800" s="110" t="str">
        <f>IFERROR(INDEX('WetLitterbags placem_collection'!$A$3:$A$500,MATCH(A800,'WetLitterbags placem_collection'!$K$4:$K$500,0)),"")</f>
        <v/>
      </c>
      <c r="O800" s="110" t="str">
        <f>IFERROR(INDEX('WetLitterbags placem_collection'!$A$3:$A$500,MATCH(A800,'WetLitterbags placem_collection'!$O$4:$O$500,0)),"")</f>
        <v/>
      </c>
      <c r="P800" s="110" t="str">
        <f>IFERROR(INDEX('WetLitterbags placem_collection'!$A$3:$A$500,MATCH(A800,'WetLitterbags placem_collection'!$M$4:$M$500,0)),"")</f>
        <v/>
      </c>
      <c r="Q800" s="110">
        <f>IFERROR(INDEX('WetLitterbags placem_collection'!$A$3:$A$500,MATCH(A800,'WetLitterbags placem_collection'!$Q$4:$Q$500,0)),"")</f>
        <v>132</v>
      </c>
    </row>
    <row r="801" spans="1:17" ht="13.95" customHeight="1">
      <c r="A801" s="110" t="s">
        <v>543</v>
      </c>
      <c r="B801" s="110">
        <v>156</v>
      </c>
      <c r="C801" s="110">
        <v>1.8080000000000001</v>
      </c>
      <c r="E801" s="112">
        <v>42879</v>
      </c>
      <c r="N801" s="110" t="str">
        <f>IFERROR(INDEX('WetLitterbags placem_collection'!$A$3:$A$500,MATCH(A801,'WetLitterbags placem_collection'!$K$4:$K$500,0)),"")</f>
        <v/>
      </c>
      <c r="O801" s="110" t="str">
        <f>IFERROR(INDEX('WetLitterbags placem_collection'!$A$3:$A$500,MATCH(A801,'WetLitterbags placem_collection'!$O$4:$O$500,0)),"")</f>
        <v/>
      </c>
      <c r="P801" s="110">
        <f>IFERROR(INDEX('WetLitterbags placem_collection'!$A$3:$A$500,MATCH(A801,'WetLitterbags placem_collection'!$M$4:$M$500,0)),"")</f>
        <v>155</v>
      </c>
      <c r="Q801" s="110" t="str">
        <f>IFERROR(INDEX('WetLitterbags placem_collection'!$A$3:$A$500,MATCH(A801,'WetLitterbags placem_collection'!$Q$4:$Q$500,0)),"")</f>
        <v/>
      </c>
    </row>
    <row r="802" spans="1:17" ht="13.95" customHeight="1">
      <c r="A802" s="110" t="s">
        <v>1135</v>
      </c>
      <c r="B802" s="110">
        <v>44</v>
      </c>
      <c r="C802" s="110">
        <v>1.5294000000000001</v>
      </c>
      <c r="E802" s="112">
        <v>43125</v>
      </c>
      <c r="N802" s="110" t="str">
        <f>IFERROR(INDEX('WetLitterbags placem_collection'!$A$3:$A$500,MATCH(A802,'WetLitterbags placem_collection'!$K$4:$K$500,0)),"")</f>
        <v/>
      </c>
      <c r="O802" s="110" t="str">
        <f>IFERROR(INDEX('WetLitterbags placem_collection'!$A$3:$A$500,MATCH(A802,'WetLitterbags placem_collection'!$O$4:$O$500,0)),"")</f>
        <v/>
      </c>
      <c r="P802" s="110" t="str">
        <f>IFERROR(INDEX('WetLitterbags placem_collection'!$A$3:$A$500,MATCH(A802,'WetLitterbags placem_collection'!$M$4:$M$500,0)),"")</f>
        <v/>
      </c>
      <c r="Q802" s="110">
        <f>IFERROR(INDEX('WetLitterbags placem_collection'!$A$3:$A$500,MATCH(A802,'WetLitterbags placem_collection'!$Q$4:$Q$500,0)),"")</f>
        <v>43</v>
      </c>
    </row>
    <row r="803" spans="1:17" ht="13.95" customHeight="1">
      <c r="A803" s="179" t="s">
        <v>1081</v>
      </c>
      <c r="B803" s="110">
        <v>56</v>
      </c>
      <c r="C803" s="110">
        <v>2.2909999999999999</v>
      </c>
      <c r="D803" s="110" t="s">
        <v>2058</v>
      </c>
      <c r="E803" s="112">
        <v>42881</v>
      </c>
      <c r="N803" s="110" t="str">
        <f>IFERROR(INDEX('WetLitterbags placem_collection'!$A$3:$A$500,MATCH(A803,'WetLitterbags placem_collection'!$K$4:$K$500,0)),"")</f>
        <v/>
      </c>
      <c r="O803" s="110" t="str">
        <f>IFERROR(INDEX('WetLitterbags placem_collection'!$A$3:$A$500,MATCH(A803,'WetLitterbags placem_collection'!$O$4:$O$500,0)),"")</f>
        <v/>
      </c>
      <c r="P803" s="110">
        <f>IFERROR(INDEX('WetLitterbags placem_collection'!$A$3:$A$500,MATCH(A803,'WetLitterbags placem_collection'!$M$4:$M$500,0)),"")</f>
        <v>55</v>
      </c>
      <c r="Q803" s="110" t="str">
        <f>IFERROR(INDEX('WetLitterbags placem_collection'!$A$3:$A$500,MATCH(A803,'WetLitterbags placem_collection'!$Q$4:$Q$500,0)),"")</f>
        <v/>
      </c>
    </row>
    <row r="804" spans="1:17" ht="13.95" customHeight="1">
      <c r="A804" s="110" t="s">
        <v>541</v>
      </c>
      <c r="B804" s="110">
        <v>134</v>
      </c>
      <c r="C804" s="110">
        <v>1.4419999999999999</v>
      </c>
      <c r="E804" s="112">
        <v>42881</v>
      </c>
      <c r="N804" s="110" t="str">
        <f>IFERROR(INDEX('WetLitterbags placem_collection'!$A$3:$A$500,MATCH(A804,'WetLitterbags placem_collection'!$K$4:$K$500,0)),"")</f>
        <v/>
      </c>
      <c r="O804" s="110" t="str">
        <f>IFERROR(INDEX('WetLitterbags placem_collection'!$A$3:$A$500,MATCH(A804,'WetLitterbags placem_collection'!$O$4:$O$500,0)),"")</f>
        <v/>
      </c>
      <c r="P804" s="110">
        <f>IFERROR(INDEX('WetLitterbags placem_collection'!$A$3:$A$500,MATCH(A804,'WetLitterbags placem_collection'!$M$4:$M$500,0)),"")</f>
        <v>133</v>
      </c>
      <c r="Q804" s="110" t="str">
        <f>IFERROR(INDEX('WetLitterbags placem_collection'!$A$3:$A$500,MATCH(A804,'WetLitterbags placem_collection'!$Q$4:$Q$500,0)),"")</f>
        <v/>
      </c>
    </row>
    <row r="805" spans="1:17" ht="13.95" customHeight="1">
      <c r="A805" s="110" t="s">
        <v>539</v>
      </c>
      <c r="B805" s="110">
        <v>114</v>
      </c>
      <c r="C805" s="110">
        <v>2.7930000000000001</v>
      </c>
      <c r="D805" s="110" t="s">
        <v>2071</v>
      </c>
      <c r="E805" s="112">
        <v>42878</v>
      </c>
      <c r="N805" s="110" t="str">
        <f>IFERROR(INDEX('WetLitterbags placem_collection'!$A$3:$A$500,MATCH(A805,'WetLitterbags placem_collection'!$K$4:$K$500,0)),"")</f>
        <v/>
      </c>
      <c r="O805" s="110" t="str">
        <f>IFERROR(INDEX('WetLitterbags placem_collection'!$A$3:$A$500,MATCH(A805,'WetLitterbags placem_collection'!$O$4:$O$500,0)),"")</f>
        <v/>
      </c>
      <c r="P805" s="110">
        <f>IFERROR(INDEX('WetLitterbags placem_collection'!$A$3:$A$500,MATCH(A805,'WetLitterbags placem_collection'!$M$4:$M$500,0)),"")</f>
        <v>113</v>
      </c>
      <c r="Q805" s="110" t="str">
        <f>IFERROR(INDEX('WetLitterbags placem_collection'!$A$3:$A$500,MATCH(A805,'WetLitterbags placem_collection'!$Q$4:$Q$500,0)),"")</f>
        <v/>
      </c>
    </row>
    <row r="806" spans="1:17" ht="13.95" customHeight="1">
      <c r="A806" s="110" t="s">
        <v>531</v>
      </c>
      <c r="B806" s="181">
        <v>186</v>
      </c>
      <c r="C806" s="110">
        <v>0.61599999999999999</v>
      </c>
      <c r="E806" s="112">
        <v>42878</v>
      </c>
      <c r="N806" s="110" t="str">
        <f>IFERROR(INDEX('WetLitterbags placem_collection'!$A$3:$A$500,MATCH(A806,'WetLitterbags placem_collection'!$K$4:$K$500,0)),"")</f>
        <v/>
      </c>
      <c r="O806" s="110" t="str">
        <f>IFERROR(INDEX('WetLitterbags placem_collection'!$A$3:$A$500,MATCH(A806,'WetLitterbags placem_collection'!$O$4:$O$500,0)),"")</f>
        <v/>
      </c>
      <c r="P806" s="110" t="str">
        <f>IFERROR(INDEX('WetLitterbags placem_collection'!$A$3:$A$500,MATCH(A806,'WetLitterbags placem_collection'!$M$4:$M$500,0)),"")</f>
        <v/>
      </c>
      <c r="Q806" s="110" t="str">
        <f>IFERROR(INDEX('WetLitterbags placem_collection'!$A$3:$A$500,MATCH(A806,'WetLitterbags placem_collection'!$Q$4:$Q$500,0)),"")</f>
        <v/>
      </c>
    </row>
    <row r="807" spans="1:17" ht="13.95" customHeight="1">
      <c r="A807" s="110" t="s">
        <v>524</v>
      </c>
      <c r="B807" s="110">
        <v>104</v>
      </c>
      <c r="C807" s="110">
        <v>0.64100000000000001</v>
      </c>
      <c r="E807" s="112">
        <v>42881</v>
      </c>
      <c r="N807" s="110" t="str">
        <f>IFERROR(INDEX('WetLitterbags placem_collection'!$A$3:$A$500,MATCH(A807,'WetLitterbags placem_collection'!$K$4:$K$500,0)),"")</f>
        <v/>
      </c>
      <c r="O807" s="110" t="str">
        <f>IFERROR(INDEX('WetLitterbags placem_collection'!$A$3:$A$500,MATCH(A807,'WetLitterbags placem_collection'!$O$4:$O$500,0)),"")</f>
        <v/>
      </c>
      <c r="P807" s="110" t="str">
        <f>IFERROR(INDEX('WetLitterbags placem_collection'!$A$3:$A$500,MATCH(A807,'WetLitterbags placem_collection'!$M$4:$M$500,0)),"")</f>
        <v/>
      </c>
      <c r="Q807" s="110" t="str">
        <f>IFERROR(INDEX('WetLitterbags placem_collection'!$A$3:$A$500,MATCH(A807,'WetLitterbags placem_collection'!$Q$4:$Q$500,0)),"")</f>
        <v/>
      </c>
    </row>
    <row r="808" spans="1:17" ht="13.95" customHeight="1">
      <c r="A808" s="110" t="s">
        <v>1079</v>
      </c>
      <c r="B808" s="110">
        <v>86</v>
      </c>
      <c r="C808" s="110">
        <v>1.6786000000000001</v>
      </c>
      <c r="E808" s="112">
        <v>43123</v>
      </c>
      <c r="N808" s="110" t="str">
        <f>IFERROR(INDEX('WetLitterbags placem_collection'!$A$3:$A$500,MATCH(A808,'WetLitterbags placem_collection'!$K$4:$K$500,0)),"")</f>
        <v/>
      </c>
      <c r="O808" s="110" t="str">
        <f>IFERROR(INDEX('WetLitterbags placem_collection'!$A$3:$A$500,MATCH(A808,'WetLitterbags placem_collection'!$O$4:$O$500,0)),"")</f>
        <v/>
      </c>
      <c r="P808" s="110" t="str">
        <f>IFERROR(INDEX('WetLitterbags placem_collection'!$A$3:$A$500,MATCH(A808,'WetLitterbags placem_collection'!$M$4:$M$500,0)),"")</f>
        <v/>
      </c>
      <c r="Q808" s="110">
        <f>IFERROR(INDEX('WetLitterbags placem_collection'!$A$3:$A$500,MATCH(A808,'WetLitterbags placem_collection'!$Q$4:$Q$500,0)),"")</f>
        <v>85</v>
      </c>
    </row>
    <row r="809" spans="1:17" ht="13.95" customHeight="1">
      <c r="A809" s="110" t="s">
        <v>513</v>
      </c>
      <c r="B809" s="110">
        <v>41</v>
      </c>
      <c r="C809" s="110">
        <v>0.82899999999999996</v>
      </c>
      <c r="E809" s="112">
        <v>42879</v>
      </c>
      <c r="N809" s="110" t="str">
        <f>IFERROR(INDEX('WetLitterbags placem_collection'!$A$3:$A$500,MATCH(A809,'WetLitterbags placem_collection'!$K$4:$K$500,0)),"")</f>
        <v/>
      </c>
      <c r="O809" s="110" t="str">
        <f>IFERROR(INDEX('WetLitterbags placem_collection'!$A$3:$A$500,MATCH(A809,'WetLitterbags placem_collection'!$O$4:$O$500,0)),"")</f>
        <v/>
      </c>
      <c r="P809" s="110" t="str">
        <f>IFERROR(INDEX('WetLitterbags placem_collection'!$A$3:$A$500,MATCH(A809,'WetLitterbags placem_collection'!$M$4:$M$500,0)),"")</f>
        <v/>
      </c>
      <c r="Q809" s="110" t="str">
        <f>IFERROR(INDEX('WetLitterbags placem_collection'!$A$3:$A$500,MATCH(A809,'WetLitterbags placem_collection'!$Q$4:$Q$500,0)),"")</f>
        <v/>
      </c>
    </row>
    <row r="810" spans="1:17" ht="13.95" customHeight="1">
      <c r="A810" s="110" t="s">
        <v>1078</v>
      </c>
      <c r="B810" s="110">
        <v>37</v>
      </c>
      <c r="C810" s="110">
        <v>1.3620000000000001</v>
      </c>
      <c r="D810" s="110" t="s">
        <v>2058</v>
      </c>
      <c r="E810" s="112">
        <v>42881</v>
      </c>
      <c r="N810" s="110" t="str">
        <f>IFERROR(INDEX('WetLitterbags placem_collection'!$A$3:$A$500,MATCH(A810,'WetLitterbags placem_collection'!$K$4:$K$500,0)),"")</f>
        <v/>
      </c>
      <c r="O810" s="110" t="str">
        <f>IFERROR(INDEX('WetLitterbags placem_collection'!$A$3:$A$500,MATCH(A810,'WetLitterbags placem_collection'!$O$4:$O$500,0)),"")</f>
        <v/>
      </c>
      <c r="P810" s="110">
        <f>IFERROR(INDEX('WetLitterbags placem_collection'!$A$3:$A$500,MATCH(A810,'WetLitterbags placem_collection'!$M$4:$M$500,0)),"")</f>
        <v>36</v>
      </c>
      <c r="Q810" s="110" t="str">
        <f>IFERROR(INDEX('WetLitterbags placem_collection'!$A$3:$A$500,MATCH(A810,'WetLitterbags placem_collection'!$Q$4:$Q$500,0)),"")</f>
        <v/>
      </c>
    </row>
    <row r="811" spans="1:17" ht="13.95" customHeight="1">
      <c r="A811" s="110" t="s">
        <v>1077</v>
      </c>
      <c r="B811" s="110">
        <v>35</v>
      </c>
      <c r="C811" s="110">
        <v>1.615</v>
      </c>
      <c r="E811" s="112">
        <v>42879</v>
      </c>
      <c r="N811" s="110" t="str">
        <f>IFERROR(INDEX('WetLitterbags placem_collection'!$A$3:$A$500,MATCH(A811,'WetLitterbags placem_collection'!$K$4:$K$500,0)),"")</f>
        <v/>
      </c>
      <c r="O811" s="110" t="str">
        <f>IFERROR(INDEX('WetLitterbags placem_collection'!$A$3:$A$500,MATCH(A811,'WetLitterbags placem_collection'!$O$4:$O$500,0)),"")</f>
        <v/>
      </c>
      <c r="P811" s="110">
        <f>IFERROR(INDEX('WetLitterbags placem_collection'!$A$3:$A$500,MATCH(A811,'WetLitterbags placem_collection'!$M$4:$M$500,0)),"")</f>
        <v>34</v>
      </c>
      <c r="Q811" s="110" t="str">
        <f>IFERROR(INDEX('WetLitterbags placem_collection'!$A$3:$A$500,MATCH(A811,'WetLitterbags placem_collection'!$Q$4:$Q$500,0)),"")</f>
        <v/>
      </c>
    </row>
    <row r="812" spans="1:17" ht="13.95" customHeight="1">
      <c r="A812" s="110" t="s">
        <v>1076</v>
      </c>
      <c r="B812" s="110">
        <v>39</v>
      </c>
      <c r="C812" s="110">
        <v>1.5185</v>
      </c>
      <c r="E812" s="112">
        <v>43123</v>
      </c>
      <c r="N812" s="110" t="str">
        <f>IFERROR(INDEX('WetLitterbags placem_collection'!$A$3:$A$500,MATCH(A812,'WetLitterbags placem_collection'!$K$4:$K$500,0)),"")</f>
        <v/>
      </c>
      <c r="O812" s="110" t="str">
        <f>IFERROR(INDEX('WetLitterbags placem_collection'!$A$3:$A$500,MATCH(A812,'WetLitterbags placem_collection'!$O$4:$O$500,0)),"")</f>
        <v/>
      </c>
      <c r="P812" s="110" t="str">
        <f>IFERROR(INDEX('WetLitterbags placem_collection'!$A$3:$A$500,MATCH(A812,'WetLitterbags placem_collection'!$M$4:$M$500,0)),"")</f>
        <v/>
      </c>
      <c r="Q812" s="110">
        <f>IFERROR(INDEX('WetLitterbags placem_collection'!$A$3:$A$500,MATCH(A812,'WetLitterbags placem_collection'!$Q$4:$Q$500,0)),"")</f>
        <v>38</v>
      </c>
    </row>
    <row r="813" spans="1:17" ht="13.95" customHeight="1">
      <c r="A813" s="110" t="s">
        <v>1073</v>
      </c>
      <c r="B813" s="110">
        <v>80</v>
      </c>
      <c r="C813" s="110">
        <v>1.639</v>
      </c>
      <c r="E813" s="112">
        <v>42878</v>
      </c>
      <c r="N813" s="110" t="str">
        <f>IFERROR(INDEX('WetLitterbags placem_collection'!$A$3:$A$500,MATCH(A813,'WetLitterbags placem_collection'!$K$4:$K$500,0)),"")</f>
        <v/>
      </c>
      <c r="O813" s="110" t="str">
        <f>IFERROR(INDEX('WetLitterbags placem_collection'!$A$3:$A$500,MATCH(A813,'WetLitterbags placem_collection'!$O$4:$O$500,0)),"")</f>
        <v/>
      </c>
      <c r="P813" s="110" t="str">
        <f>IFERROR(INDEX('WetLitterbags placem_collection'!$A$3:$A$500,MATCH(A813,'WetLitterbags placem_collection'!$M$4:$M$500,0)),"")</f>
        <v/>
      </c>
      <c r="Q813" s="110">
        <f>IFERROR(INDEX('WetLitterbags placem_collection'!$A$3:$A$500,MATCH(A813,'WetLitterbags placem_collection'!$Q$4:$Q$500,0)),"")</f>
        <v>79</v>
      </c>
    </row>
    <row r="814" spans="1:17" ht="13.95" customHeight="1">
      <c r="A814" s="110" t="s">
        <v>1072</v>
      </c>
      <c r="B814" s="110">
        <v>35</v>
      </c>
      <c r="C814" s="110">
        <v>1.498</v>
      </c>
      <c r="E814" s="112">
        <v>42879</v>
      </c>
      <c r="N814" s="110" t="str">
        <f>IFERROR(INDEX('WetLitterbags placem_collection'!$A$3:$A$500,MATCH(A814,'WetLitterbags placem_collection'!$K$4:$K$500,0)),"")</f>
        <v/>
      </c>
      <c r="O814" s="110" t="str">
        <f>IFERROR(INDEX('WetLitterbags placem_collection'!$A$3:$A$500,MATCH(A814,'WetLitterbags placem_collection'!$O$4:$O$500,0)),"")</f>
        <v/>
      </c>
      <c r="P814" s="110" t="str">
        <f>IFERROR(INDEX('WetLitterbags placem_collection'!$A$3:$A$500,MATCH(A814,'WetLitterbags placem_collection'!$M$4:$M$500,0)),"")</f>
        <v/>
      </c>
      <c r="Q814" s="110">
        <f>IFERROR(INDEX('WetLitterbags placem_collection'!$A$3:$A$500,MATCH(A814,'WetLitterbags placem_collection'!$Q$4:$Q$500,0)),"")</f>
        <v>34</v>
      </c>
    </row>
    <row r="815" spans="1:17" ht="13.95" customHeight="1">
      <c r="A815" s="110" t="s">
        <v>1134</v>
      </c>
      <c r="B815" s="110">
        <v>150</v>
      </c>
      <c r="C815" s="110">
        <v>1.718</v>
      </c>
      <c r="D815" s="110" t="s">
        <v>2064</v>
      </c>
      <c r="E815" s="112">
        <v>42879</v>
      </c>
      <c r="N815" s="110" t="str">
        <f>IFERROR(INDEX('WetLitterbags placem_collection'!$A$3:$A$500,MATCH(A815,'WetLitterbags placem_collection'!$K$4:$K$500,0)),"")</f>
        <v/>
      </c>
      <c r="O815" s="110" t="str">
        <f>IFERROR(INDEX('WetLitterbags placem_collection'!$A$3:$A$500,MATCH(A815,'WetLitterbags placem_collection'!$O$4:$O$500,0)),"")</f>
        <v/>
      </c>
      <c r="P815" s="110">
        <f>IFERROR(INDEX('WetLitterbags placem_collection'!$A$3:$A$500,MATCH(A815,'WetLitterbags placem_collection'!$M$4:$M$500,0)),"")</f>
        <v>149</v>
      </c>
      <c r="Q815" s="110" t="str">
        <f>IFERROR(INDEX('WetLitterbags placem_collection'!$A$3:$A$500,MATCH(A815,'WetLitterbags placem_collection'!$Q$4:$Q$500,0)),"")</f>
        <v/>
      </c>
    </row>
    <row r="816" spans="1:17" ht="13.95" customHeight="1">
      <c r="A816" s="110" t="s">
        <v>1070</v>
      </c>
      <c r="B816" s="110">
        <v>24</v>
      </c>
      <c r="C816" s="110">
        <v>1.3083</v>
      </c>
      <c r="D816" s="110" t="s">
        <v>2098</v>
      </c>
      <c r="E816" s="112">
        <v>43125</v>
      </c>
      <c r="N816" s="110" t="str">
        <f>IFERROR(INDEX('WetLitterbags placem_collection'!$A$3:$A$500,MATCH(A816,'WetLitterbags placem_collection'!$K$4:$K$500,0)),"")</f>
        <v/>
      </c>
      <c r="O816" s="110" t="str">
        <f>IFERROR(INDEX('WetLitterbags placem_collection'!$A$3:$A$500,MATCH(A816,'WetLitterbags placem_collection'!$O$4:$O$500,0)),"")</f>
        <v/>
      </c>
      <c r="P816" s="110" t="str">
        <f>IFERROR(INDEX('WetLitterbags placem_collection'!$A$3:$A$500,MATCH(A816,'WetLitterbags placem_collection'!$M$4:$M$500,0)),"")</f>
        <v/>
      </c>
      <c r="Q816" s="110">
        <f>IFERROR(INDEX('WetLitterbags placem_collection'!$A$3:$A$500,MATCH(A816,'WetLitterbags placem_collection'!$Q$4:$Q$500,0)),"")</f>
        <v>23</v>
      </c>
    </row>
    <row r="817" spans="1:17" ht="13.95" customHeight="1">
      <c r="A817" s="110" t="s">
        <v>1069</v>
      </c>
      <c r="B817" s="110">
        <v>46</v>
      </c>
      <c r="C817" s="110">
        <v>1.6359999999999999</v>
      </c>
      <c r="E817" s="112">
        <v>42881</v>
      </c>
      <c r="N817" s="110" t="str">
        <f>IFERROR(INDEX('WetLitterbags placem_collection'!$A$3:$A$500,MATCH(A817,'WetLitterbags placem_collection'!$K$4:$K$500,0)),"")</f>
        <v/>
      </c>
      <c r="O817" s="110" t="str">
        <f>IFERROR(INDEX('WetLitterbags placem_collection'!$A$3:$A$500,MATCH(A817,'WetLitterbags placem_collection'!$O$4:$O$500,0)),"")</f>
        <v/>
      </c>
      <c r="P817" s="110">
        <f>IFERROR(INDEX('WetLitterbags placem_collection'!$A$3:$A$500,MATCH(A817,'WetLitterbags placem_collection'!$M$4:$M$500,0)),"")</f>
        <v>47</v>
      </c>
      <c r="Q817" s="110" t="str">
        <f>IFERROR(INDEX('WetLitterbags placem_collection'!$A$3:$A$500,MATCH(A817,'WetLitterbags placem_collection'!$Q$4:$Q$500,0)),"")</f>
        <v/>
      </c>
    </row>
    <row r="818" spans="1:17" ht="13.95" customHeight="1">
      <c r="A818" s="110" t="s">
        <v>1068</v>
      </c>
      <c r="B818" s="110">
        <v>91</v>
      </c>
      <c r="C818" s="110">
        <v>1.663</v>
      </c>
      <c r="E818" s="112">
        <v>42878</v>
      </c>
      <c r="N818" s="110" t="str">
        <f>IFERROR(INDEX('WetLitterbags placem_collection'!$A$3:$A$500,MATCH(A818,'WetLitterbags placem_collection'!$K$4:$K$500,0)),"")</f>
        <v/>
      </c>
      <c r="O818" s="110" t="str">
        <f>IFERROR(INDEX('WetLitterbags placem_collection'!$A$3:$A$500,MATCH(A818,'WetLitterbags placem_collection'!$O$4:$O$500,0)),"")</f>
        <v/>
      </c>
      <c r="P818" s="110" t="str">
        <f>IFERROR(INDEX('WetLitterbags placem_collection'!$A$3:$A$500,MATCH(A818,'WetLitterbags placem_collection'!$M$4:$M$500,0)),"")</f>
        <v/>
      </c>
      <c r="Q818" s="110">
        <f>IFERROR(INDEX('WetLitterbags placem_collection'!$A$3:$A$500,MATCH(A818,'WetLitterbags placem_collection'!$Q$4:$Q$500,0)),"")</f>
        <v>90</v>
      </c>
    </row>
    <row r="819" spans="1:17" ht="13.95" customHeight="1">
      <c r="A819" s="110" t="s">
        <v>1067</v>
      </c>
      <c r="B819" s="110">
        <v>45</v>
      </c>
      <c r="C819" s="110">
        <v>1.5923</v>
      </c>
      <c r="E819" s="112">
        <v>43123</v>
      </c>
      <c r="N819" s="110" t="str">
        <f>IFERROR(INDEX('WetLitterbags placem_collection'!$A$3:$A$500,MATCH(A819,'WetLitterbags placem_collection'!$K$4:$K$500,0)),"")</f>
        <v/>
      </c>
      <c r="O819" s="110" t="str">
        <f>IFERROR(INDEX('WetLitterbags placem_collection'!$A$3:$A$500,MATCH(A819,'WetLitterbags placem_collection'!$O$4:$O$500,0)),"")</f>
        <v/>
      </c>
      <c r="P819" s="110" t="str">
        <f>IFERROR(INDEX('WetLitterbags placem_collection'!$A$3:$A$500,MATCH(A819,'WetLitterbags placem_collection'!$M$4:$M$500,0)),"")</f>
        <v/>
      </c>
      <c r="Q819" s="110">
        <f>IFERROR(INDEX('WetLitterbags placem_collection'!$A$3:$A$500,MATCH(A819,'WetLitterbags placem_collection'!$Q$4:$Q$500,0)),"")</f>
        <v>44</v>
      </c>
    </row>
    <row r="820" spans="1:17" ht="13.95" customHeight="1">
      <c r="A820" s="110" t="s">
        <v>1065</v>
      </c>
      <c r="B820">
        <v>47</v>
      </c>
      <c r="C820" s="110">
        <v>1.665</v>
      </c>
      <c r="E820" s="112">
        <v>42879</v>
      </c>
      <c r="N820" s="110" t="str">
        <f>IFERROR(INDEX('WetLitterbags placem_collection'!$A$3:$A$500,MATCH(A820,'WetLitterbags placem_collection'!$K$4:$K$500,0)),"")</f>
        <v/>
      </c>
      <c r="O820" s="110" t="str">
        <f>IFERROR(INDEX('WetLitterbags placem_collection'!$A$3:$A$500,MATCH(A820,'WetLitterbags placem_collection'!$O$4:$O$500,0)),"")</f>
        <v/>
      </c>
      <c r="P820" s="110" t="str">
        <f>IFERROR(INDEX('WetLitterbags placem_collection'!$A$3:$A$500,MATCH(A820,'WetLitterbags placem_collection'!$M$4:$M$500,0)),"")</f>
        <v/>
      </c>
      <c r="Q820" s="110">
        <f>IFERROR(INDEX('WetLitterbags placem_collection'!$A$3:$A$500,MATCH(A820,'WetLitterbags placem_collection'!$Q$4:$Q$500,0)),"")</f>
        <v>46</v>
      </c>
    </row>
    <row r="821" spans="1:17" ht="13.95" customHeight="1">
      <c r="A821" s="110" t="s">
        <v>376</v>
      </c>
      <c r="B821" s="110">
        <v>92</v>
      </c>
      <c r="C821" s="110">
        <v>1.448</v>
      </c>
      <c r="E821" s="112">
        <v>42879</v>
      </c>
      <c r="N821" s="110" t="str">
        <f>IFERROR(INDEX('WetLitterbags placem_collection'!$A$3:$A$500,MATCH(A821,'WetLitterbags placem_collection'!$K$4:$K$500,0)),"")</f>
        <v/>
      </c>
      <c r="O821" s="110" t="str">
        <f>IFERROR(INDEX('WetLitterbags placem_collection'!$A$3:$A$500,MATCH(A821,'WetLitterbags placem_collection'!$O$4:$O$500,0)),"")</f>
        <v/>
      </c>
      <c r="P821" s="110" t="str">
        <f>IFERROR(INDEX('WetLitterbags placem_collection'!$A$3:$A$500,MATCH(A821,'WetLitterbags placem_collection'!$M$4:$M$500,0)),"")</f>
        <v/>
      </c>
      <c r="Q821" s="110" t="str">
        <f>IFERROR(INDEX('WetLitterbags placem_collection'!$A$3:$A$500,MATCH(A821,'WetLitterbags placem_collection'!$Q$4:$Q$500,0)),"")</f>
        <v/>
      </c>
    </row>
    <row r="822" spans="1:17" ht="13.95" customHeight="1">
      <c r="A822" s="110" t="s">
        <v>1064</v>
      </c>
      <c r="B822" s="110">
        <v>41</v>
      </c>
      <c r="C822" s="110">
        <v>1.5429999999999999</v>
      </c>
      <c r="E822" s="112">
        <v>42879</v>
      </c>
      <c r="N822" s="110" t="str">
        <f>IFERROR(INDEX('WetLitterbags placem_collection'!$A$3:$A$500,MATCH(A822,'WetLitterbags placem_collection'!$K$4:$K$500,0)),"")</f>
        <v/>
      </c>
      <c r="O822" s="110" t="str">
        <f>IFERROR(INDEX('WetLitterbags placem_collection'!$A$3:$A$500,MATCH(A822,'WetLitterbags placem_collection'!$O$4:$O$500,0)),"")</f>
        <v/>
      </c>
      <c r="P822" s="110" t="str">
        <f>IFERROR(INDEX('WetLitterbags placem_collection'!$A$3:$A$500,MATCH(A822,'WetLitterbags placem_collection'!$M$4:$M$500,0)),"")</f>
        <v/>
      </c>
      <c r="Q822" s="110">
        <f>IFERROR(INDEX('WetLitterbags placem_collection'!$A$3:$A$500,MATCH(A822,'WetLitterbags placem_collection'!$Q$4:$Q$500,0)),"")</f>
        <v>40</v>
      </c>
    </row>
    <row r="823" spans="1:17" ht="13.95" customHeight="1">
      <c r="A823" s="110" t="s">
        <v>1063</v>
      </c>
      <c r="B823" s="110">
        <v>60</v>
      </c>
      <c r="C823" s="110">
        <v>1.665</v>
      </c>
      <c r="E823" s="112">
        <v>42879</v>
      </c>
      <c r="N823" s="110" t="str">
        <f>IFERROR(INDEX('WetLitterbags placem_collection'!$A$3:$A$500,MATCH(A823,'WetLitterbags placem_collection'!$K$4:$K$500,0)),"")</f>
        <v/>
      </c>
      <c r="O823" s="110" t="str">
        <f>IFERROR(INDEX('WetLitterbags placem_collection'!$A$3:$A$500,MATCH(A823,'WetLitterbags placem_collection'!$O$4:$O$500,0)),"")</f>
        <v/>
      </c>
      <c r="P823" s="110">
        <f>IFERROR(INDEX('WetLitterbags placem_collection'!$A$3:$A$500,MATCH(A823,'WetLitterbags placem_collection'!$M$4:$M$500,0)),"")</f>
        <v>59</v>
      </c>
      <c r="Q823" s="110" t="str">
        <f>IFERROR(INDEX('WetLitterbags placem_collection'!$A$3:$A$500,MATCH(A823,'WetLitterbags placem_collection'!$Q$4:$Q$500,0)),"")</f>
        <v/>
      </c>
    </row>
    <row r="824" spans="1:17" ht="13.95" customHeight="1">
      <c r="A824" s="110" t="s">
        <v>1062</v>
      </c>
      <c r="B824" s="110">
        <v>21</v>
      </c>
      <c r="C824" s="110">
        <v>1.4087000000000001</v>
      </c>
      <c r="E824" s="112">
        <v>43116</v>
      </c>
      <c r="N824" s="110" t="str">
        <f>IFERROR(INDEX('WetLitterbags placem_collection'!$A$3:$A$500,MATCH(A824,'WetLitterbags placem_collection'!$K$4:$K$500,0)),"")</f>
        <v/>
      </c>
      <c r="O824" s="110" t="str">
        <f>IFERROR(INDEX('WetLitterbags placem_collection'!$A$3:$A$500,MATCH(A824,'WetLitterbags placem_collection'!$O$4:$O$500,0)),"")</f>
        <v/>
      </c>
      <c r="P824" s="110" t="str">
        <f>IFERROR(INDEX('WetLitterbags placem_collection'!$A$3:$A$500,MATCH(A824,'WetLitterbags placem_collection'!$M$4:$M$500,0)),"")</f>
        <v/>
      </c>
      <c r="Q824" s="110">
        <f>IFERROR(INDEX('WetLitterbags placem_collection'!$A$3:$A$500,MATCH(A824,'WetLitterbags placem_collection'!$Q$4:$Q$500,0)),"")</f>
        <v>20</v>
      </c>
    </row>
    <row r="825" spans="1:17" ht="13.95" customHeight="1">
      <c r="A825" s="110" t="s">
        <v>1133</v>
      </c>
      <c r="B825" s="110">
        <v>108</v>
      </c>
      <c r="C825" s="110">
        <v>1.536</v>
      </c>
      <c r="E825" s="112">
        <v>42881</v>
      </c>
      <c r="N825" s="110" t="str">
        <f>IFERROR(INDEX('WetLitterbags placem_collection'!$A$3:$A$500,MATCH(A825,'WetLitterbags placem_collection'!$K$4:$K$500,0)),"")</f>
        <v/>
      </c>
      <c r="O825" s="110" t="str">
        <f>IFERROR(INDEX('WetLitterbags placem_collection'!$A$3:$A$500,MATCH(A825,'WetLitterbags placem_collection'!$O$4:$O$500,0)),"")</f>
        <v/>
      </c>
      <c r="P825" s="110">
        <f>IFERROR(INDEX('WetLitterbags placem_collection'!$A$3:$A$500,MATCH(A825,'WetLitterbags placem_collection'!$M$4:$M$500,0)),"")</f>
        <v>107</v>
      </c>
      <c r="Q825" s="110" t="str">
        <f>IFERROR(INDEX('WetLitterbags placem_collection'!$A$3:$A$500,MATCH(A825,'WetLitterbags placem_collection'!$Q$4:$Q$500,0)),"")</f>
        <v/>
      </c>
    </row>
    <row r="826" spans="1:17" ht="13.95" customHeight="1">
      <c r="A826" s="110" t="s">
        <v>1060</v>
      </c>
      <c r="B826" s="110">
        <v>42</v>
      </c>
      <c r="C826" s="110">
        <v>1.528</v>
      </c>
      <c r="E826" s="112">
        <v>42881</v>
      </c>
      <c r="N826" s="110" t="str">
        <f>IFERROR(INDEX('WetLitterbags placem_collection'!$A$3:$A$500,MATCH(A826,'WetLitterbags placem_collection'!$K$4:$K$500,0)),"")</f>
        <v/>
      </c>
      <c r="O826" s="110" t="str">
        <f>IFERROR(INDEX('WetLitterbags placem_collection'!$A$3:$A$500,MATCH(A826,'WetLitterbags placem_collection'!$O$4:$O$500,0)),"")</f>
        <v/>
      </c>
      <c r="P826" s="110" t="str">
        <f>IFERROR(INDEX('WetLitterbags placem_collection'!$A$3:$A$500,MATCH(A826,'WetLitterbags placem_collection'!$M$4:$M$500,0)),"")</f>
        <v/>
      </c>
      <c r="Q826" s="110">
        <f>IFERROR(INDEX('WetLitterbags placem_collection'!$A$3:$A$500,MATCH(A826,'WetLitterbags placem_collection'!$Q$4:$Q$500,0)),"")</f>
        <v>41</v>
      </c>
    </row>
    <row r="827" spans="1:17" ht="13.95" customHeight="1">
      <c r="A827" s="110" t="s">
        <v>1059</v>
      </c>
      <c r="B827" s="110" t="s">
        <v>2077</v>
      </c>
      <c r="C827" s="110">
        <v>1.514</v>
      </c>
      <c r="E827" s="112">
        <v>43122</v>
      </c>
      <c r="N827" s="110" t="str">
        <f>IFERROR(INDEX('WetLitterbags placem_collection'!$A$3:$A$500,MATCH(A827,'WetLitterbags placem_collection'!$K$4:$K$500,0)),"")</f>
        <v/>
      </c>
      <c r="O827" s="110" t="str">
        <f>IFERROR(INDEX('WetLitterbags placem_collection'!$A$3:$A$500,MATCH(A827,'WetLitterbags placem_collection'!$O$4:$O$500,0)),"")</f>
        <v/>
      </c>
      <c r="P827" s="110">
        <f>IFERROR(INDEX('WetLitterbags placem_collection'!$A$3:$A$500,MATCH(A827,'WetLitterbags placem_collection'!$M$4:$M$500,0)),"")</f>
        <v>18</v>
      </c>
      <c r="Q827" s="110" t="str">
        <f>IFERROR(INDEX('WetLitterbags placem_collection'!$A$3:$A$500,MATCH(A827,'WetLitterbags placem_collection'!$Q$4:$Q$500,0)),"")</f>
        <v/>
      </c>
    </row>
    <row r="828" spans="1:17" ht="13.95" customHeight="1">
      <c r="A828" s="110" t="s">
        <v>1058</v>
      </c>
      <c r="B828" s="110">
        <v>82</v>
      </c>
      <c r="C828" s="110">
        <v>1.5940000000000001</v>
      </c>
      <c r="E828" s="112">
        <v>42879</v>
      </c>
      <c r="N828" s="110" t="str">
        <f>IFERROR(INDEX('WetLitterbags placem_collection'!$A$3:$A$500,MATCH(A828,'WetLitterbags placem_collection'!$K$4:$K$500,0)),"")</f>
        <v/>
      </c>
      <c r="O828" s="110" t="str">
        <f>IFERROR(INDEX('WetLitterbags placem_collection'!$A$3:$A$500,MATCH(A828,'WetLitterbags placem_collection'!$O$4:$O$500,0)),"")</f>
        <v/>
      </c>
      <c r="P828" s="110">
        <f>IFERROR(INDEX('WetLitterbags placem_collection'!$A$3:$A$500,MATCH(A828,'WetLitterbags placem_collection'!$M$4:$M$500,0)),"")</f>
        <v>81</v>
      </c>
      <c r="Q828" s="110" t="str">
        <f>IFERROR(INDEX('WetLitterbags placem_collection'!$A$3:$A$500,MATCH(A828,'WetLitterbags placem_collection'!$Q$4:$Q$500,0)),"")</f>
        <v/>
      </c>
    </row>
    <row r="829" spans="1:17" ht="13.95" customHeight="1">
      <c r="A829" s="110" t="s">
        <v>1056</v>
      </c>
      <c r="B829" s="110">
        <v>51</v>
      </c>
      <c r="C829" s="110">
        <v>1.599</v>
      </c>
      <c r="E829" s="112">
        <v>42881</v>
      </c>
      <c r="N829" s="110" t="str">
        <f>IFERROR(INDEX('WetLitterbags placem_collection'!$A$3:$A$500,MATCH(A829,'WetLitterbags placem_collection'!$K$4:$K$500,0)),"")</f>
        <v/>
      </c>
      <c r="O829" s="110" t="str">
        <f>IFERROR(INDEX('WetLitterbags placem_collection'!$A$3:$A$500,MATCH(A829,'WetLitterbags placem_collection'!$O$4:$O$500,0)),"")</f>
        <v/>
      </c>
      <c r="P829" s="110">
        <f>IFERROR(INDEX('WetLitterbags placem_collection'!$A$3:$A$500,MATCH(A829,'WetLitterbags placem_collection'!$M$4:$M$500,0)),"")</f>
        <v>50</v>
      </c>
      <c r="Q829" s="110" t="str">
        <f>IFERROR(INDEX('WetLitterbags placem_collection'!$A$3:$A$500,MATCH(A829,'WetLitterbags placem_collection'!$Q$4:$Q$500,0)),"")</f>
        <v/>
      </c>
    </row>
    <row r="830" spans="1:17" ht="13.95" customHeight="1">
      <c r="A830" s="110" t="s">
        <v>1054</v>
      </c>
      <c r="B830" s="110">
        <v>38</v>
      </c>
      <c r="C830" s="110">
        <v>1.1399999999999999</v>
      </c>
      <c r="E830" s="112">
        <v>42881</v>
      </c>
      <c r="N830" s="110" t="str">
        <f>IFERROR(INDEX('WetLitterbags placem_collection'!$A$3:$A$500,MATCH(A830,'WetLitterbags placem_collection'!$K$4:$K$500,0)),"")</f>
        <v/>
      </c>
      <c r="O830" s="110" t="str">
        <f>IFERROR(INDEX('WetLitterbags placem_collection'!$A$3:$A$500,MATCH(A830,'WetLitterbags placem_collection'!$O$4:$O$500,0)),"")</f>
        <v/>
      </c>
      <c r="P830" s="110">
        <f>IFERROR(INDEX('WetLitterbags placem_collection'!$A$3:$A$500,MATCH(A830,'WetLitterbags placem_collection'!$M$4:$M$500,0)),"")</f>
        <v>37</v>
      </c>
      <c r="Q830" s="110" t="str">
        <f>IFERROR(INDEX('WetLitterbags placem_collection'!$A$3:$A$500,MATCH(A830,'WetLitterbags placem_collection'!$Q$4:$Q$500,0)),"")</f>
        <v/>
      </c>
    </row>
    <row r="831" spans="1:17" ht="13.95" customHeight="1">
      <c r="A831" s="110" t="s">
        <v>1053</v>
      </c>
      <c r="B831" s="110">
        <v>213</v>
      </c>
      <c r="C831" s="110">
        <v>1.542</v>
      </c>
      <c r="E831" s="112">
        <v>42881</v>
      </c>
      <c r="N831" s="110" t="str">
        <f>IFERROR(INDEX('WetLitterbags placem_collection'!$A$3:$A$500,MATCH(A831,'WetLitterbags placem_collection'!$K$4:$K$500,0)),"")</f>
        <v/>
      </c>
      <c r="O831" s="110" t="str">
        <f>IFERROR(INDEX('WetLitterbags placem_collection'!$A$3:$A$500,MATCH(A831,'WetLitterbags placem_collection'!$O$4:$O$500,0)),"")</f>
        <v/>
      </c>
      <c r="P831" s="110">
        <f>IFERROR(INDEX('WetLitterbags placem_collection'!$A$3:$A$500,MATCH(A831,'WetLitterbags placem_collection'!$M$4:$M$500,0)),"")</f>
        <v>212</v>
      </c>
      <c r="Q831" s="110" t="str">
        <f>IFERROR(INDEX('WetLitterbags placem_collection'!$A$3:$A$500,MATCH(A831,'WetLitterbags placem_collection'!$Q$4:$Q$500,0)),"")</f>
        <v/>
      </c>
    </row>
    <row r="832" spans="1:17" ht="13.95" customHeight="1">
      <c r="A832" s="110" t="s">
        <v>1052</v>
      </c>
      <c r="B832" s="110">
        <v>37</v>
      </c>
      <c r="C832" s="110">
        <v>1.425</v>
      </c>
      <c r="E832" s="112">
        <v>42881</v>
      </c>
      <c r="N832" s="110" t="str">
        <f>IFERROR(INDEX('WetLitterbags placem_collection'!$A$3:$A$500,MATCH(A832,'WetLitterbags placem_collection'!$K$4:$K$500,0)),"")</f>
        <v/>
      </c>
      <c r="O832" s="110" t="str">
        <f>IFERROR(INDEX('WetLitterbags placem_collection'!$A$3:$A$500,MATCH(A832,'WetLitterbags placem_collection'!$O$4:$O$500,0)),"")</f>
        <v/>
      </c>
      <c r="P832" s="110" t="str">
        <f>IFERROR(INDEX('WetLitterbags placem_collection'!$A$3:$A$500,MATCH(A832,'WetLitterbags placem_collection'!$M$4:$M$500,0)),"")</f>
        <v/>
      </c>
      <c r="Q832" s="110">
        <f>IFERROR(INDEX('WetLitterbags placem_collection'!$A$3:$A$500,MATCH(A832,'WetLitterbags placem_collection'!$Q$4:$Q$500,0)),"")</f>
        <v>36</v>
      </c>
    </row>
    <row r="833" spans="1:17" ht="13.95" customHeight="1">
      <c r="A833" s="110" t="s">
        <v>1132</v>
      </c>
      <c r="B833" s="110">
        <v>68</v>
      </c>
      <c r="C833" s="110">
        <v>1.7050000000000001</v>
      </c>
      <c r="E833" s="112">
        <v>42879</v>
      </c>
      <c r="N833" s="110" t="str">
        <f>IFERROR(INDEX('WetLitterbags placem_collection'!$A$3:$A$500,MATCH(A833,'WetLitterbags placem_collection'!$K$4:$K$500,0)),"")</f>
        <v/>
      </c>
      <c r="O833" s="110" t="str">
        <f>IFERROR(INDEX('WetLitterbags placem_collection'!$A$3:$A$500,MATCH(A833,'WetLitterbags placem_collection'!$O$4:$O$500,0)),"")</f>
        <v/>
      </c>
      <c r="P833" s="110" t="str">
        <f>IFERROR(INDEX('WetLitterbags placem_collection'!$A$3:$A$500,MATCH(A833,'WetLitterbags placem_collection'!$M$4:$M$500,0)),"")</f>
        <v/>
      </c>
      <c r="Q833" s="110">
        <f>IFERROR(INDEX('WetLitterbags placem_collection'!$A$3:$A$500,MATCH(A833,'WetLitterbags placem_collection'!$Q$4:$Q$500,0)),"")</f>
        <v>67</v>
      </c>
    </row>
    <row r="834" spans="1:17" ht="13.95" customHeight="1">
      <c r="A834" s="110" t="s">
        <v>1050</v>
      </c>
      <c r="B834" s="110" t="s">
        <v>2077</v>
      </c>
      <c r="C834" s="110">
        <v>1.3628</v>
      </c>
      <c r="E834" s="112">
        <v>43122</v>
      </c>
      <c r="N834" s="110" t="str">
        <f>IFERROR(INDEX('WetLitterbags placem_collection'!$A$3:$A$500,MATCH(A834,'WetLitterbags placem_collection'!$K$4:$K$500,0)),"")</f>
        <v/>
      </c>
      <c r="O834" s="110" t="str">
        <f>IFERROR(INDEX('WetLitterbags placem_collection'!$A$3:$A$500,MATCH(A834,'WetLitterbags placem_collection'!$O$4:$O$500,0)),"")</f>
        <v/>
      </c>
      <c r="P834" s="110">
        <f>IFERROR(INDEX('WetLitterbags placem_collection'!$A$3:$A$500,MATCH(A834,'WetLitterbags placem_collection'!$M$4:$M$500,0)),"")</f>
        <v>9</v>
      </c>
      <c r="Q834" s="110" t="str">
        <f>IFERROR(INDEX('WetLitterbags placem_collection'!$A$3:$A$500,MATCH(A834,'WetLitterbags placem_collection'!$Q$4:$Q$500,0)),"")</f>
        <v/>
      </c>
    </row>
    <row r="835" spans="1:17" ht="13.95" customHeight="1">
      <c r="A835" s="110" t="s">
        <v>1049</v>
      </c>
      <c r="B835" s="110">
        <v>205</v>
      </c>
      <c r="C835" s="110">
        <v>1.7204999999999999</v>
      </c>
      <c r="E835" s="112">
        <v>43123</v>
      </c>
      <c r="N835" s="110" t="str">
        <f>IFERROR(INDEX('WetLitterbags placem_collection'!$A$3:$A$500,MATCH(A835,'WetLitterbags placem_collection'!$K$4:$K$500,0)),"")</f>
        <v/>
      </c>
      <c r="O835" s="110" t="str">
        <f>IFERROR(INDEX('WetLitterbags placem_collection'!$A$3:$A$500,MATCH(A835,'WetLitterbags placem_collection'!$O$4:$O$500,0)),"")</f>
        <v/>
      </c>
      <c r="P835" s="110" t="str">
        <f>IFERROR(INDEX('WetLitterbags placem_collection'!$A$3:$A$500,MATCH(A835,'WetLitterbags placem_collection'!$M$4:$M$500,0)),"")</f>
        <v/>
      </c>
      <c r="Q835" s="110">
        <f>IFERROR(INDEX('WetLitterbags placem_collection'!$A$3:$A$500,MATCH(A835,'WetLitterbags placem_collection'!$Q$4:$Q$500,0)),"")</f>
        <v>204</v>
      </c>
    </row>
    <row r="836" spans="1:17" ht="13.95" customHeight="1">
      <c r="A836" s="110" t="s">
        <v>1048</v>
      </c>
      <c r="B836" s="110">
        <v>212</v>
      </c>
      <c r="C836" s="110">
        <v>1.5831999999999999</v>
      </c>
      <c r="E836" s="112">
        <v>43123</v>
      </c>
      <c r="N836" s="110" t="str">
        <f>IFERROR(INDEX('WetLitterbags placem_collection'!$A$3:$A$500,MATCH(A836,'WetLitterbags placem_collection'!$K$4:$K$500,0)),"")</f>
        <v/>
      </c>
      <c r="O836" s="110" t="str">
        <f>IFERROR(INDEX('WetLitterbags placem_collection'!$A$3:$A$500,MATCH(A836,'WetLitterbags placem_collection'!$O$4:$O$500,0)),"")</f>
        <v/>
      </c>
      <c r="P836" s="110">
        <f>IFERROR(INDEX('WetLitterbags placem_collection'!$A$3:$A$500,MATCH(A836,'WetLitterbags placem_collection'!$M$4:$M$500,0)),"")</f>
        <v>211</v>
      </c>
      <c r="Q836" s="110" t="str">
        <f>IFERROR(INDEX('WetLitterbags placem_collection'!$A$3:$A$500,MATCH(A836,'WetLitterbags placem_collection'!$Q$4:$Q$500,0)),"")</f>
        <v/>
      </c>
    </row>
    <row r="837" spans="1:17" ht="13.95" customHeight="1">
      <c r="A837" s="110" t="s">
        <v>1047</v>
      </c>
      <c r="B837" s="110">
        <v>90</v>
      </c>
      <c r="C837" s="110">
        <v>1.7455000000000001</v>
      </c>
      <c r="E837" s="112">
        <v>43125</v>
      </c>
      <c r="N837" s="110" t="str">
        <f>IFERROR(INDEX('WetLitterbags placem_collection'!$A$3:$A$500,MATCH(A837,'WetLitterbags placem_collection'!$K$4:$K$500,0)),"")</f>
        <v/>
      </c>
      <c r="O837" s="110" t="str">
        <f>IFERROR(INDEX('WetLitterbags placem_collection'!$A$3:$A$500,MATCH(A837,'WetLitterbags placem_collection'!$O$4:$O$500,0)),"")</f>
        <v/>
      </c>
      <c r="P837" s="110">
        <f>IFERROR(INDEX('WetLitterbags placem_collection'!$A$3:$A$500,MATCH(A837,'WetLitterbags placem_collection'!$M$4:$M$500,0)),"")</f>
        <v>89</v>
      </c>
      <c r="Q837" s="110" t="str">
        <f>IFERROR(INDEX('WetLitterbags placem_collection'!$A$3:$A$500,MATCH(A837,'WetLitterbags placem_collection'!$Q$4:$Q$500,0)),"")</f>
        <v/>
      </c>
    </row>
    <row r="838" spans="1:17" ht="13.95" customHeight="1">
      <c r="A838" s="110" t="s">
        <v>1046</v>
      </c>
      <c r="B838" s="110" t="s">
        <v>2077</v>
      </c>
      <c r="C838" s="110">
        <v>1.6388</v>
      </c>
      <c r="E838" s="112">
        <v>43116</v>
      </c>
      <c r="N838" s="110" t="str">
        <f>IFERROR(INDEX('WetLitterbags placem_collection'!$A$3:$A$500,MATCH(A838,'WetLitterbags placem_collection'!$K$4:$K$500,0)),"")</f>
        <v/>
      </c>
      <c r="O838" s="110" t="str">
        <f>IFERROR(INDEX('WetLitterbags placem_collection'!$A$3:$A$500,MATCH(A838,'WetLitterbags placem_collection'!$O$4:$O$500,0)),"")</f>
        <v/>
      </c>
      <c r="P838" s="110">
        <f>IFERROR(INDEX('WetLitterbags placem_collection'!$A$3:$A$500,MATCH(A838,'WetLitterbags placem_collection'!$M$4:$M$500,0)),"")</f>
        <v>70</v>
      </c>
      <c r="Q838" s="110" t="str">
        <f>IFERROR(INDEX('WetLitterbags placem_collection'!$A$3:$A$500,MATCH(A838,'WetLitterbags placem_collection'!$Q$4:$Q$500,0)),"")</f>
        <v/>
      </c>
    </row>
    <row r="839" spans="1:17" ht="13.95" customHeight="1">
      <c r="A839" s="110" t="s">
        <v>1045</v>
      </c>
      <c r="B839" s="110">
        <v>163</v>
      </c>
      <c r="C839" s="110">
        <v>1.696</v>
      </c>
      <c r="E839" s="112">
        <v>42881</v>
      </c>
      <c r="N839" s="110" t="str">
        <f>IFERROR(INDEX('WetLitterbags placem_collection'!$A$3:$A$500,MATCH(A839,'WetLitterbags placem_collection'!$K$4:$K$500,0)),"")</f>
        <v/>
      </c>
      <c r="O839" s="110" t="str">
        <f>IFERROR(INDEX('WetLitterbags placem_collection'!$A$3:$A$500,MATCH(A839,'WetLitterbags placem_collection'!$O$4:$O$500,0)),"")</f>
        <v/>
      </c>
      <c r="P839" s="110">
        <f>IFERROR(INDEX('WetLitterbags placem_collection'!$A$3:$A$500,MATCH(A839,'WetLitterbags placem_collection'!$M$4:$M$500,0)),"")</f>
        <v>162</v>
      </c>
      <c r="Q839" s="110" t="str">
        <f>IFERROR(INDEX('WetLitterbags placem_collection'!$A$3:$A$500,MATCH(A839,'WetLitterbags placem_collection'!$Q$4:$Q$500,0)),"")</f>
        <v/>
      </c>
    </row>
    <row r="840" spans="1:17" ht="13.95" customHeight="1">
      <c r="A840" s="110" t="s">
        <v>1044</v>
      </c>
      <c r="B840">
        <v>36</v>
      </c>
      <c r="C840" s="110">
        <v>1.671</v>
      </c>
      <c r="E840" s="112">
        <v>42881</v>
      </c>
      <c r="N840" s="110" t="str">
        <f>IFERROR(INDEX('WetLitterbags placem_collection'!$A$3:$A$500,MATCH(A840,'WetLitterbags placem_collection'!$K$4:$K$500,0)),"")</f>
        <v/>
      </c>
      <c r="O840" s="110" t="str">
        <f>IFERROR(INDEX('WetLitterbags placem_collection'!$A$3:$A$500,MATCH(A840,'WetLitterbags placem_collection'!$O$4:$O$500,0)),"")</f>
        <v/>
      </c>
      <c r="P840" s="110" t="str">
        <f>IFERROR(INDEX('WetLitterbags placem_collection'!$A$3:$A$500,MATCH(A840,'WetLitterbags placem_collection'!$M$4:$M$500,0)),"")</f>
        <v/>
      </c>
      <c r="Q840" s="110">
        <f>IFERROR(INDEX('WetLitterbags placem_collection'!$A$3:$A$500,MATCH(A840,'WetLitterbags placem_collection'!$Q$4:$Q$500,0)),"")</f>
        <v>35</v>
      </c>
    </row>
    <row r="841" spans="1:17" ht="13.95" customHeight="1">
      <c r="A841" s="110" t="s">
        <v>1042</v>
      </c>
      <c r="B841" s="110">
        <v>15</v>
      </c>
      <c r="C841" s="110">
        <v>1.355</v>
      </c>
      <c r="E841" s="112">
        <v>42879</v>
      </c>
      <c r="N841" s="110" t="str">
        <f>IFERROR(INDEX('WetLitterbags placem_collection'!$A$3:$A$500,MATCH(A841,'WetLitterbags placem_collection'!$K$4:$K$500,0)),"")</f>
        <v/>
      </c>
      <c r="O841" s="110" t="str">
        <f>IFERROR(INDEX('WetLitterbags placem_collection'!$A$3:$A$500,MATCH(A841,'WetLitterbags placem_collection'!$O$4:$O$500,0)),"")</f>
        <v/>
      </c>
      <c r="P841" s="110" t="str">
        <f>IFERROR(INDEX('WetLitterbags placem_collection'!$A$3:$A$500,MATCH(A841,'WetLitterbags placem_collection'!$M$4:$M$500,0)),"")</f>
        <v/>
      </c>
      <c r="Q841" s="110">
        <f>IFERROR(INDEX('WetLitterbags placem_collection'!$A$3:$A$500,MATCH(A841,'WetLitterbags placem_collection'!$Q$4:$Q$500,0)),"")</f>
        <v>14</v>
      </c>
    </row>
  </sheetData>
  <sortState ref="A1:AF843">
    <sortCondition ref="A1:A843"/>
    <sortCondition ref="B1:B843"/>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676"/>
  <sheetViews>
    <sheetView topLeftCell="D1" zoomScale="85" zoomScaleNormal="85" workbookViewId="0">
      <pane ySplit="1" topLeftCell="A2" activePane="bottomLeft" state="frozen"/>
      <selection pane="bottomLeft" activeCell="S1" sqref="S1:W2"/>
    </sheetView>
  </sheetViews>
  <sheetFormatPr baseColWidth="10" defaultRowHeight="14.4"/>
  <sheetData>
    <row r="1" spans="1:20" ht="100.8">
      <c r="A1" s="281" t="s">
        <v>2609</v>
      </c>
      <c r="B1" s="281" t="s">
        <v>2485</v>
      </c>
      <c r="C1" s="281" t="s">
        <v>2610</v>
      </c>
      <c r="D1" s="281" t="s">
        <v>2589</v>
      </c>
      <c r="E1" s="281" t="s">
        <v>2608</v>
      </c>
      <c r="F1" s="281" t="s">
        <v>2607</v>
      </c>
      <c r="G1" s="281" t="s">
        <v>2606</v>
      </c>
      <c r="H1" s="281" t="s">
        <v>2605</v>
      </c>
      <c r="I1" s="210" t="s">
        <v>2644</v>
      </c>
      <c r="J1" s="210" t="s">
        <v>2645</v>
      </c>
      <c r="K1" s="210" t="s">
        <v>2646</v>
      </c>
      <c r="L1" s="282" t="s">
        <v>2604</v>
      </c>
      <c r="M1" s="282" t="s">
        <v>2603</v>
      </c>
      <c r="N1" s="282" t="s">
        <v>2602</v>
      </c>
      <c r="O1" s="282" t="s">
        <v>2601</v>
      </c>
      <c r="P1" s="282" t="s">
        <v>2147</v>
      </c>
      <c r="R1" s="210"/>
    </row>
    <row r="2" spans="1:20">
      <c r="A2" t="s">
        <v>2049</v>
      </c>
      <c r="C2" t="s">
        <v>3475</v>
      </c>
      <c r="D2">
        <v>0.66510000000000002</v>
      </c>
      <c r="E2">
        <v>8.8612000000000002</v>
      </c>
      <c r="F2">
        <v>0.2072</v>
      </c>
      <c r="G2" s="284">
        <f t="shared" ref="G2:G33" si="0">E2+F2</f>
        <v>9.0684000000000005</v>
      </c>
      <c r="H2" s="284">
        <v>8.9166000000000007</v>
      </c>
      <c r="I2" s="284">
        <f>G2-H2</f>
        <v>0.15179999999999971</v>
      </c>
      <c r="J2" s="283">
        <f t="shared" ref="J2:J33" si="1">F2-I2</f>
        <v>5.5400000000000282E-2</v>
      </c>
      <c r="K2" s="285">
        <f t="shared" ref="K2:K33" si="2">(J2/F2)*100</f>
        <v>26.737451737451874</v>
      </c>
      <c r="L2">
        <v>10</v>
      </c>
      <c r="M2" s="16">
        <v>43399</v>
      </c>
      <c r="N2" s="16">
        <v>43400</v>
      </c>
      <c r="R2" s="285"/>
    </row>
    <row r="3" spans="1:20">
      <c r="A3" t="s">
        <v>2040</v>
      </c>
      <c r="C3" t="s">
        <v>3741</v>
      </c>
      <c r="D3">
        <v>1.6155999999999999</v>
      </c>
      <c r="E3">
        <v>7.5294999999999996</v>
      </c>
      <c r="F3">
        <v>0.20569999999999999</v>
      </c>
      <c r="G3" s="284">
        <f t="shared" si="0"/>
        <v>7.7351999999999999</v>
      </c>
      <c r="H3" s="284">
        <v>7.5415000000000001</v>
      </c>
      <c r="I3" s="284">
        <f>G3-H3</f>
        <v>0.19369999999999976</v>
      </c>
      <c r="J3" s="283">
        <f t="shared" si="1"/>
        <v>1.2000000000000233E-2</v>
      </c>
      <c r="K3" s="285">
        <f t="shared" si="2"/>
        <v>5.8337384540594233</v>
      </c>
      <c r="L3">
        <v>19</v>
      </c>
      <c r="M3" s="286">
        <v>43362</v>
      </c>
      <c r="N3" s="286">
        <v>43363</v>
      </c>
      <c r="R3" s="285"/>
      <c r="T3" s="110" t="str">
        <f>IFERROR(INDEX('WetLitterbags placem_collection'!$A$3:$A$500,MATCH(A3,'WetLitterbags placem_collection'!$K$4:$K$500,0)),"")</f>
        <v/>
      </c>
    </row>
    <row r="4" spans="1:20">
      <c r="A4" t="s">
        <v>1949</v>
      </c>
      <c r="C4" t="s">
        <v>3724</v>
      </c>
      <c r="D4">
        <v>1.8332999999999999</v>
      </c>
      <c r="E4">
        <v>7.9947999999999997</v>
      </c>
      <c r="F4">
        <v>0.23419999999999999</v>
      </c>
      <c r="G4" s="284">
        <f t="shared" si="0"/>
        <v>8.2289999999999992</v>
      </c>
      <c r="H4" s="284">
        <v>8.0077999999999996</v>
      </c>
      <c r="I4" s="284">
        <f>(G4-H4)</f>
        <v>0.22119999999999962</v>
      </c>
      <c r="J4" s="283">
        <f t="shared" si="1"/>
        <v>1.3000000000000372E-2</v>
      </c>
      <c r="K4" s="285">
        <f t="shared" si="2"/>
        <v>5.5508112724168974</v>
      </c>
      <c r="L4">
        <v>35</v>
      </c>
      <c r="M4" s="286">
        <v>43360</v>
      </c>
      <c r="N4" s="286">
        <v>43361</v>
      </c>
      <c r="O4" s="283" t="s">
        <v>3707</v>
      </c>
      <c r="R4" s="285"/>
      <c r="T4" s="110" t="str">
        <f>IFERROR(INDEX('WetLitterbags placem_collection'!$A$3:$A$500,MATCH(A4,'WetLitterbags placem_collection'!$K$4:$K$500,0)),"")</f>
        <v/>
      </c>
    </row>
    <row r="5" spans="1:20">
      <c r="A5" t="s">
        <v>1948</v>
      </c>
      <c r="C5" t="s">
        <v>3734</v>
      </c>
      <c r="D5">
        <v>0.8498</v>
      </c>
      <c r="E5">
        <v>11.455500000000001</v>
      </c>
      <c r="F5">
        <v>0.23169999999999999</v>
      </c>
      <c r="G5" s="284">
        <f t="shared" si="0"/>
        <v>11.687200000000001</v>
      </c>
      <c r="H5" s="284">
        <v>11.498900000000001</v>
      </c>
      <c r="I5" s="284">
        <f>G5-H5</f>
        <v>0.18829999999999991</v>
      </c>
      <c r="J5" s="283">
        <f t="shared" si="1"/>
        <v>4.3400000000000077E-2</v>
      </c>
      <c r="K5" s="285">
        <f t="shared" si="2"/>
        <v>18.731117824773449</v>
      </c>
      <c r="L5">
        <v>26</v>
      </c>
      <c r="M5" s="16">
        <v>43381</v>
      </c>
      <c r="N5" s="16">
        <v>43382</v>
      </c>
      <c r="R5" s="285"/>
      <c r="T5" s="110" t="str">
        <f>IFERROR(INDEX('WetLitterbags placem_collection'!$A$3:$A$500,MATCH(A5,'WetLitterbags placem_collection'!$K$4:$K$500,0)),"")</f>
        <v/>
      </c>
    </row>
    <row r="6" spans="1:20">
      <c r="A6" t="s">
        <v>1945</v>
      </c>
      <c r="B6">
        <v>195</v>
      </c>
      <c r="D6">
        <v>0.98450000000000004</v>
      </c>
      <c r="E6">
        <v>9.4870999999999999</v>
      </c>
      <c r="F6">
        <v>0.20760000000000001</v>
      </c>
      <c r="G6" s="284">
        <f t="shared" si="0"/>
        <v>9.6946999999999992</v>
      </c>
      <c r="H6" s="284">
        <v>9.5785999999999998</v>
      </c>
      <c r="I6" s="284">
        <f>G6-H6</f>
        <v>0.11609999999999943</v>
      </c>
      <c r="J6" s="283">
        <f t="shared" si="1"/>
        <v>9.1500000000000581E-2</v>
      </c>
      <c r="K6" s="285">
        <f t="shared" si="2"/>
        <v>44.075144508670796</v>
      </c>
      <c r="L6">
        <v>2</v>
      </c>
      <c r="M6">
        <v>23.101800000000001</v>
      </c>
      <c r="N6" s="16">
        <v>43397</v>
      </c>
      <c r="R6" s="285"/>
      <c r="T6" s="110" t="str">
        <f>IFERROR(INDEX('WetLitterbags placem_collection'!$A$3:$A$500,MATCH(A6,'WetLitterbags placem_collection'!$K$4:$K$500,0)),"")</f>
        <v/>
      </c>
    </row>
    <row r="7" spans="1:20">
      <c r="A7" t="s">
        <v>1944</v>
      </c>
      <c r="C7" t="s">
        <v>3740</v>
      </c>
      <c r="D7">
        <v>1.8148</v>
      </c>
      <c r="E7">
        <v>7.8602999999999996</v>
      </c>
      <c r="F7">
        <f>8.0949-E7</f>
        <v>0.23460000000000125</v>
      </c>
      <c r="G7" s="284">
        <f t="shared" si="0"/>
        <v>8.0949000000000009</v>
      </c>
      <c r="H7" s="284">
        <v>7.8802000000000003</v>
      </c>
      <c r="I7" s="284">
        <f>G7-H7</f>
        <v>0.21470000000000056</v>
      </c>
      <c r="J7" s="283">
        <f t="shared" si="1"/>
        <v>1.9900000000000695E-2</v>
      </c>
      <c r="K7" s="285">
        <f t="shared" si="2"/>
        <v>8.482523444160524</v>
      </c>
      <c r="L7">
        <v>20</v>
      </c>
      <c r="M7" s="286">
        <v>43363</v>
      </c>
      <c r="N7" s="286">
        <v>43364</v>
      </c>
      <c r="O7" s="283" t="s">
        <v>3756</v>
      </c>
      <c r="R7" s="285"/>
      <c r="T7" s="110" t="str">
        <f>IFERROR(INDEX('WetLitterbags placem_collection'!$A$3:$A$500,MATCH(A7,'WetLitterbags placem_collection'!$K$4:$K$500,0)),"")</f>
        <v/>
      </c>
    </row>
    <row r="8" spans="1:20">
      <c r="A8" t="s">
        <v>1943</v>
      </c>
      <c r="C8" t="s">
        <v>3687</v>
      </c>
      <c r="D8">
        <v>1.8686</v>
      </c>
      <c r="E8">
        <v>9.1973000000000003</v>
      </c>
      <c r="F8">
        <v>0.23480000000000001</v>
      </c>
      <c r="G8" s="284">
        <f t="shared" si="0"/>
        <v>9.4321000000000002</v>
      </c>
      <c r="H8" s="284">
        <v>9.2104999999999997</v>
      </c>
      <c r="I8" s="284">
        <f>(G8-H8)</f>
        <v>0.22160000000000046</v>
      </c>
      <c r="J8" s="283">
        <f t="shared" si="1"/>
        <v>1.3199999999999545E-2</v>
      </c>
      <c r="K8" s="285">
        <f t="shared" si="2"/>
        <v>5.6218057921633493</v>
      </c>
      <c r="L8">
        <v>11</v>
      </c>
      <c r="M8" s="286">
        <v>43360</v>
      </c>
      <c r="N8" s="286">
        <v>43361</v>
      </c>
      <c r="O8" s="283"/>
      <c r="R8" s="285"/>
    </row>
    <row r="9" spans="1:20">
      <c r="A9" t="s">
        <v>1941</v>
      </c>
      <c r="C9" t="s">
        <v>3737</v>
      </c>
      <c r="D9">
        <v>0.48480000000000001</v>
      </c>
      <c r="E9">
        <v>19.663900000000002</v>
      </c>
      <c r="F9">
        <v>0.21659999999999999</v>
      </c>
      <c r="G9" s="284">
        <f t="shared" si="0"/>
        <v>19.880500000000001</v>
      </c>
      <c r="H9" s="284">
        <v>19.7011</v>
      </c>
      <c r="I9" s="284">
        <f>G9-H9</f>
        <v>0.17940000000000111</v>
      </c>
      <c r="J9" s="283">
        <f t="shared" si="1"/>
        <v>3.7199999999998873E-2</v>
      </c>
      <c r="K9" s="285">
        <f t="shared" si="2"/>
        <v>17.174515235456546</v>
      </c>
      <c r="L9">
        <v>24</v>
      </c>
      <c r="M9" s="286">
        <v>43361</v>
      </c>
      <c r="N9" s="286">
        <v>43362</v>
      </c>
      <c r="O9" s="283" t="s">
        <v>3730</v>
      </c>
      <c r="P9" t="s">
        <v>3738</v>
      </c>
      <c r="R9" s="285"/>
    </row>
    <row r="10" spans="1:20">
      <c r="A10" t="s">
        <v>2039</v>
      </c>
      <c r="C10" t="s">
        <v>3761</v>
      </c>
      <c r="D10">
        <v>0.84289999999999998</v>
      </c>
      <c r="E10">
        <v>10.124000000000001</v>
      </c>
      <c r="F10">
        <v>0.2054</v>
      </c>
      <c r="G10" s="284">
        <f t="shared" si="0"/>
        <v>10.3294</v>
      </c>
      <c r="H10" s="284">
        <v>10.1564</v>
      </c>
      <c r="I10" s="284">
        <f>G10-H10</f>
        <v>0.17300000000000004</v>
      </c>
      <c r="J10" s="283">
        <f t="shared" si="1"/>
        <v>3.2399999999999957E-2</v>
      </c>
      <c r="K10" s="285">
        <f t="shared" si="2"/>
        <v>15.774099318403096</v>
      </c>
      <c r="L10">
        <v>34</v>
      </c>
      <c r="M10" s="286">
        <v>43363</v>
      </c>
      <c r="N10" s="286">
        <v>43364</v>
      </c>
      <c r="R10" s="285"/>
    </row>
    <row r="11" spans="1:20">
      <c r="A11" t="s">
        <v>1940</v>
      </c>
      <c r="C11" t="s">
        <v>3685</v>
      </c>
      <c r="D11">
        <v>1.6871</v>
      </c>
      <c r="E11">
        <v>9.4852000000000007</v>
      </c>
      <c r="F11">
        <v>0.24590000000000001</v>
      </c>
      <c r="G11" s="284">
        <f t="shared" si="0"/>
        <v>9.7311000000000014</v>
      </c>
      <c r="H11" s="284">
        <v>9.5007999999999999</v>
      </c>
      <c r="I11" s="284">
        <f>(G11-H11)</f>
        <v>0.2303000000000015</v>
      </c>
      <c r="J11" s="283">
        <f t="shared" si="1"/>
        <v>1.5599999999998504E-2</v>
      </c>
      <c r="K11" s="285">
        <f t="shared" si="2"/>
        <v>6.3440422936146827</v>
      </c>
      <c r="L11">
        <v>9</v>
      </c>
      <c r="M11" s="286">
        <v>43360</v>
      </c>
      <c r="N11" s="286">
        <v>43361</v>
      </c>
      <c r="O11" s="283"/>
      <c r="R11" s="285"/>
    </row>
    <row r="12" spans="1:20">
      <c r="A12" t="s">
        <v>1939</v>
      </c>
      <c r="C12" t="s">
        <v>3718</v>
      </c>
      <c r="D12">
        <v>1.6712</v>
      </c>
      <c r="E12">
        <v>8.1678999999999995</v>
      </c>
      <c r="F12">
        <v>0.2054</v>
      </c>
      <c r="G12" s="284">
        <f t="shared" si="0"/>
        <v>8.3732999999999986</v>
      </c>
      <c r="H12" s="284">
        <v>8.1806999999999999</v>
      </c>
      <c r="I12" s="284">
        <f>(G12-H12)</f>
        <v>0.19259999999999877</v>
      </c>
      <c r="J12" s="283">
        <f t="shared" si="1"/>
        <v>1.2800000000001227E-2</v>
      </c>
      <c r="K12" s="285">
        <f t="shared" si="2"/>
        <v>6.2317429406042981</v>
      </c>
      <c r="L12">
        <v>22</v>
      </c>
      <c r="M12" s="286">
        <v>43360</v>
      </c>
      <c r="N12" s="286">
        <v>43361</v>
      </c>
      <c r="O12" s="283" t="s">
        <v>3707</v>
      </c>
      <c r="R12" s="285"/>
    </row>
    <row r="13" spans="1:20">
      <c r="A13" t="s">
        <v>1937</v>
      </c>
      <c r="C13" t="s">
        <v>3741</v>
      </c>
      <c r="D13" s="283">
        <v>1.6425000000000001</v>
      </c>
      <c r="E13" s="284">
        <v>20.852699999999999</v>
      </c>
      <c r="F13" s="284">
        <v>0.2089</v>
      </c>
      <c r="G13" s="284">
        <f t="shared" si="0"/>
        <v>21.061599999999999</v>
      </c>
      <c r="H13" s="284">
        <v>20.866700000000002</v>
      </c>
      <c r="I13" s="284">
        <f>G13-H13</f>
        <v>0.19489999999999696</v>
      </c>
      <c r="J13" s="283">
        <f t="shared" si="1"/>
        <v>1.4000000000003038E-2</v>
      </c>
      <c r="K13" s="285">
        <f t="shared" si="2"/>
        <v>6.7017711823853698</v>
      </c>
      <c r="L13" s="283">
        <v>1</v>
      </c>
      <c r="M13" s="286">
        <v>43362</v>
      </c>
      <c r="N13" s="286">
        <v>43363</v>
      </c>
      <c r="O13" s="283"/>
      <c r="P13" s="283"/>
      <c r="R13" s="285"/>
    </row>
    <row r="14" spans="1:20">
      <c r="A14" t="s">
        <v>1935</v>
      </c>
      <c r="C14" t="s">
        <v>3733</v>
      </c>
      <c r="D14">
        <v>1.5762</v>
      </c>
      <c r="E14">
        <v>9.9190000000000005</v>
      </c>
      <c r="F14">
        <v>0.20710000000000001</v>
      </c>
      <c r="G14" s="284">
        <f t="shared" si="0"/>
        <v>10.126100000000001</v>
      </c>
      <c r="H14" s="284">
        <v>9.9313000000000002</v>
      </c>
      <c r="I14" s="284">
        <f>G14-H14</f>
        <v>0.19480000000000075</v>
      </c>
      <c r="J14" s="283">
        <f t="shared" si="1"/>
        <v>1.2299999999999256E-2</v>
      </c>
      <c r="K14" s="285">
        <f t="shared" si="2"/>
        <v>5.939159826170572</v>
      </c>
      <c r="L14">
        <v>15</v>
      </c>
      <c r="M14" s="286">
        <v>43374</v>
      </c>
      <c r="N14" s="286">
        <v>43375</v>
      </c>
      <c r="O14" s="283" t="s">
        <v>3730</v>
      </c>
      <c r="R14" s="285"/>
    </row>
    <row r="15" spans="1:20">
      <c r="A15" t="s">
        <v>1934</v>
      </c>
      <c r="C15" t="s">
        <v>3681</v>
      </c>
      <c r="D15">
        <v>0.48299999999999998</v>
      </c>
      <c r="E15">
        <v>11.056100000000001</v>
      </c>
      <c r="F15">
        <v>0.21679999999999999</v>
      </c>
      <c r="G15" s="284">
        <f t="shared" si="0"/>
        <v>11.2729</v>
      </c>
      <c r="H15" s="284">
        <v>11.0951</v>
      </c>
      <c r="I15" s="284">
        <f>G15-H15</f>
        <v>0.17779999999999951</v>
      </c>
      <c r="J15" s="283">
        <f t="shared" si="1"/>
        <v>3.9000000000000479E-2</v>
      </c>
      <c r="K15" s="285">
        <f t="shared" si="2"/>
        <v>17.988929889299115</v>
      </c>
      <c r="L15">
        <v>27</v>
      </c>
      <c r="M15" s="16">
        <v>43399</v>
      </c>
      <c r="N15" s="16">
        <v>43400</v>
      </c>
      <c r="R15" s="285"/>
    </row>
    <row r="16" spans="1:20">
      <c r="A16" t="s">
        <v>1932</v>
      </c>
      <c r="C16" t="s">
        <v>3423</v>
      </c>
      <c r="D16">
        <v>0.69289999999999996</v>
      </c>
      <c r="E16">
        <v>10.1173</v>
      </c>
      <c r="F16">
        <v>0.2102</v>
      </c>
      <c r="G16">
        <f t="shared" si="0"/>
        <v>10.327500000000001</v>
      </c>
      <c r="H16">
        <v>10.1578</v>
      </c>
      <c r="I16" s="284">
        <f>G16-H16</f>
        <v>0.16970000000000063</v>
      </c>
      <c r="J16" s="283">
        <f t="shared" si="1"/>
        <v>4.049999999999937E-2</v>
      </c>
      <c r="K16" s="285">
        <f t="shared" si="2"/>
        <v>19.267364414842707</v>
      </c>
      <c r="L16">
        <v>16</v>
      </c>
      <c r="M16" s="16">
        <v>43399</v>
      </c>
      <c r="N16" s="16">
        <v>43400</v>
      </c>
      <c r="R16" s="285"/>
    </row>
    <row r="17" spans="1:18">
      <c r="A17" t="s">
        <v>2038</v>
      </c>
      <c r="B17">
        <v>196</v>
      </c>
      <c r="D17">
        <v>0.46760000000000002</v>
      </c>
      <c r="E17">
        <v>8.3564000000000007</v>
      </c>
      <c r="F17">
        <v>0.20749999999999999</v>
      </c>
      <c r="G17" s="284">
        <f t="shared" si="0"/>
        <v>8.5639000000000003</v>
      </c>
      <c r="H17" s="284">
        <v>8.4141999999999992</v>
      </c>
      <c r="I17" s="284">
        <f>G17-H17</f>
        <v>0.14970000000000105</v>
      </c>
      <c r="J17" s="283">
        <f t="shared" si="1"/>
        <v>5.7799999999998936E-2</v>
      </c>
      <c r="K17" s="285">
        <f t="shared" si="2"/>
        <v>27.855421686746478</v>
      </c>
      <c r="L17">
        <v>26</v>
      </c>
      <c r="M17" s="16">
        <v>43388</v>
      </c>
      <c r="N17" s="286">
        <v>43389</v>
      </c>
      <c r="O17" s="16"/>
      <c r="R17" s="285"/>
    </row>
    <row r="18" spans="1:18">
      <c r="A18" t="s">
        <v>1930</v>
      </c>
      <c r="C18" t="s">
        <v>3679</v>
      </c>
      <c r="D18">
        <v>0.87960000000000005</v>
      </c>
      <c r="E18">
        <v>8.8452000000000002</v>
      </c>
      <c r="F18">
        <v>0.20319999999999999</v>
      </c>
      <c r="G18" s="284">
        <f t="shared" si="0"/>
        <v>9.0484000000000009</v>
      </c>
      <c r="H18" s="284">
        <v>8.8666999999999998</v>
      </c>
      <c r="I18" s="284">
        <f>(G18-H18)</f>
        <v>0.18170000000000108</v>
      </c>
      <c r="J18" s="283">
        <f t="shared" si="1"/>
        <v>2.1499999999998909E-2</v>
      </c>
      <c r="K18" s="285">
        <f t="shared" si="2"/>
        <v>10.580708661416786</v>
      </c>
      <c r="L18">
        <v>6</v>
      </c>
      <c r="M18" s="286">
        <v>43360</v>
      </c>
      <c r="N18" s="286">
        <v>43361</v>
      </c>
      <c r="O18" s="283"/>
      <c r="R18" s="285"/>
    </row>
    <row r="19" spans="1:18">
      <c r="A19" t="s">
        <v>1927</v>
      </c>
      <c r="B19">
        <v>219</v>
      </c>
      <c r="C19" t="s">
        <v>2504</v>
      </c>
      <c r="D19">
        <v>0.62549999999999994</v>
      </c>
      <c r="E19">
        <v>11.456</v>
      </c>
      <c r="F19">
        <v>0.22650000000000001</v>
      </c>
      <c r="G19" s="284">
        <f t="shared" si="0"/>
        <v>11.682499999999999</v>
      </c>
      <c r="H19" s="284">
        <v>11.511900000000001</v>
      </c>
      <c r="I19" s="284">
        <f>G19-H19</f>
        <v>0.17059999999999853</v>
      </c>
      <c r="J19" s="283">
        <f t="shared" si="1"/>
        <v>5.5900000000001476E-2</v>
      </c>
      <c r="K19" s="285">
        <f t="shared" si="2"/>
        <v>24.6799116997799</v>
      </c>
      <c r="L19">
        <v>38</v>
      </c>
      <c r="M19" s="16">
        <v>43399</v>
      </c>
      <c r="N19" s="16">
        <v>43400</v>
      </c>
      <c r="R19" s="285"/>
    </row>
    <row r="20" spans="1:18">
      <c r="A20" t="s">
        <v>1926</v>
      </c>
      <c r="B20">
        <v>206</v>
      </c>
      <c r="C20" t="s">
        <v>2504</v>
      </c>
      <c r="D20">
        <v>0.49540000000000001</v>
      </c>
      <c r="E20">
        <v>10.0777</v>
      </c>
      <c r="F20">
        <v>0.2072</v>
      </c>
      <c r="G20">
        <f t="shared" si="0"/>
        <v>10.2849</v>
      </c>
      <c r="H20">
        <v>10.1074</v>
      </c>
      <c r="I20" s="284">
        <f>G20-H20</f>
        <v>0.17750000000000021</v>
      </c>
      <c r="J20" s="283">
        <f t="shared" si="1"/>
        <v>2.9699999999999782E-2</v>
      </c>
      <c r="K20" s="285">
        <f t="shared" si="2"/>
        <v>14.333976833976731</v>
      </c>
      <c r="L20">
        <v>28</v>
      </c>
      <c r="M20" s="16">
        <v>43399</v>
      </c>
      <c r="N20" s="16">
        <v>43400</v>
      </c>
      <c r="R20" s="285"/>
    </row>
    <row r="21" spans="1:18">
      <c r="A21" t="s">
        <v>1925</v>
      </c>
      <c r="C21" t="s">
        <v>3693</v>
      </c>
      <c r="D21">
        <v>0.59860000000000002</v>
      </c>
      <c r="E21">
        <v>10.155200000000001</v>
      </c>
      <c r="F21">
        <v>0.20319999999999999</v>
      </c>
      <c r="G21" s="284">
        <f t="shared" si="0"/>
        <v>10.358400000000001</v>
      </c>
      <c r="H21" s="284">
        <v>10.1928</v>
      </c>
      <c r="I21" s="284">
        <f>(G21-H21)</f>
        <v>0.1656000000000013</v>
      </c>
      <c r="J21" s="283">
        <f t="shared" si="1"/>
        <v>3.759999999999869E-2</v>
      </c>
      <c r="K21" s="285">
        <f t="shared" si="2"/>
        <v>18.503937007873372</v>
      </c>
      <c r="L21">
        <v>10</v>
      </c>
      <c r="M21" s="286">
        <v>43360</v>
      </c>
      <c r="N21" s="286">
        <v>43361</v>
      </c>
      <c r="O21" s="283" t="s">
        <v>3707</v>
      </c>
      <c r="R21" s="285"/>
    </row>
    <row r="22" spans="1:18">
      <c r="A22" t="s">
        <v>1924</v>
      </c>
      <c r="C22" t="s">
        <v>3667</v>
      </c>
      <c r="D22">
        <v>1.7190000000000001</v>
      </c>
      <c r="E22">
        <v>7.8718000000000004</v>
      </c>
      <c r="F22">
        <v>0.20960000000000001</v>
      </c>
      <c r="G22" s="284">
        <f t="shared" si="0"/>
        <v>8.0814000000000004</v>
      </c>
      <c r="H22" s="284">
        <v>7.8833000000000002</v>
      </c>
      <c r="I22" s="284">
        <f>(G22-H22)</f>
        <v>0.19810000000000016</v>
      </c>
      <c r="J22" s="283">
        <f t="shared" si="1"/>
        <v>1.1499999999999844E-2</v>
      </c>
      <c r="K22" s="285">
        <f t="shared" si="2"/>
        <v>5.4866412213739713</v>
      </c>
      <c r="L22">
        <v>28</v>
      </c>
      <c r="M22" s="16">
        <v>43358</v>
      </c>
      <c r="N22" s="16">
        <v>43358</v>
      </c>
      <c r="R22" s="285"/>
    </row>
    <row r="23" spans="1:18">
      <c r="A23" t="s">
        <v>1923</v>
      </c>
      <c r="C23" t="s">
        <v>3499</v>
      </c>
      <c r="D23">
        <v>1.0039</v>
      </c>
      <c r="E23">
        <v>9.3199000000000005</v>
      </c>
      <c r="F23">
        <v>0.20979999999999999</v>
      </c>
      <c r="G23" s="284">
        <f t="shared" si="0"/>
        <v>9.5297000000000001</v>
      </c>
      <c r="H23" s="284">
        <v>9.3470999999999993</v>
      </c>
      <c r="I23" s="284">
        <f>G23-H23</f>
        <v>0.18260000000000076</v>
      </c>
      <c r="J23" s="283">
        <f t="shared" si="1"/>
        <v>2.7199999999999225E-2</v>
      </c>
      <c r="K23" s="285">
        <f t="shared" si="2"/>
        <v>12.964728312678373</v>
      </c>
      <c r="L23">
        <v>7</v>
      </c>
      <c r="M23" s="286">
        <v>43363</v>
      </c>
      <c r="N23" s="286">
        <v>43364</v>
      </c>
      <c r="O23" s="283"/>
      <c r="R23" s="285"/>
    </row>
    <row r="24" spans="1:18">
      <c r="A24" t="s">
        <v>1922</v>
      </c>
      <c r="B24">
        <v>214</v>
      </c>
      <c r="D24">
        <v>0.52639999999999998</v>
      </c>
      <c r="E24">
        <v>8.7746999999999993</v>
      </c>
      <c r="F24">
        <v>0.21629999999999999</v>
      </c>
      <c r="G24" s="284">
        <f t="shared" si="0"/>
        <v>8.9909999999999997</v>
      </c>
      <c r="H24" s="284">
        <v>8.8180999999999994</v>
      </c>
      <c r="I24" s="284">
        <f>G24-H24</f>
        <v>0.17290000000000028</v>
      </c>
      <c r="J24" s="283">
        <f t="shared" si="1"/>
        <v>4.3399999999999717E-2</v>
      </c>
      <c r="K24" s="285">
        <f t="shared" si="2"/>
        <v>20.06472491909372</v>
      </c>
      <c r="L24">
        <v>28</v>
      </c>
      <c r="M24" s="16">
        <v>43395</v>
      </c>
      <c r="N24" s="16">
        <v>43396</v>
      </c>
      <c r="R24" s="285"/>
    </row>
    <row r="25" spans="1:18">
      <c r="A25" t="s">
        <v>2037</v>
      </c>
      <c r="C25" t="s">
        <v>3731</v>
      </c>
      <c r="D25">
        <v>1.7701</v>
      </c>
      <c r="E25">
        <v>7.8719999999999999</v>
      </c>
      <c r="F25">
        <v>0.24010000000000001</v>
      </c>
      <c r="G25" s="284">
        <f t="shared" si="0"/>
        <v>8.1120999999999999</v>
      </c>
      <c r="H25" s="284">
        <v>7.8863000000000003</v>
      </c>
      <c r="I25" s="284">
        <f>G25-H25</f>
        <v>0.22579999999999956</v>
      </c>
      <c r="J25" s="283">
        <f t="shared" si="1"/>
        <v>1.4300000000000451E-2</v>
      </c>
      <c r="K25" s="285">
        <f t="shared" si="2"/>
        <v>5.9558517284466683</v>
      </c>
      <c r="L25">
        <v>8</v>
      </c>
      <c r="M25" s="286">
        <v>43361</v>
      </c>
      <c r="N25" s="286">
        <v>43362</v>
      </c>
      <c r="O25" s="283" t="s">
        <v>3730</v>
      </c>
      <c r="R25" s="285"/>
    </row>
    <row r="26" spans="1:18">
      <c r="A26" t="s">
        <v>1920</v>
      </c>
      <c r="C26" t="s">
        <v>3688</v>
      </c>
      <c r="D26">
        <v>1.6929000000000001</v>
      </c>
      <c r="E26">
        <v>11.122400000000001</v>
      </c>
      <c r="F26">
        <v>0.21759999999999999</v>
      </c>
      <c r="G26" s="284">
        <f t="shared" si="0"/>
        <v>11.34</v>
      </c>
      <c r="H26" s="284">
        <v>11.1351</v>
      </c>
      <c r="I26" s="284">
        <f>G26-H26</f>
        <v>0.2049000000000003</v>
      </c>
      <c r="J26" s="283">
        <f t="shared" si="1"/>
        <v>1.2699999999999684E-2</v>
      </c>
      <c r="K26" s="285">
        <f t="shared" si="2"/>
        <v>5.8363970588233842</v>
      </c>
      <c r="L26">
        <v>36</v>
      </c>
      <c r="M26" s="16">
        <v>43381</v>
      </c>
      <c r="N26" s="16">
        <v>43382</v>
      </c>
      <c r="R26" s="285"/>
    </row>
    <row r="27" spans="1:18">
      <c r="A27" t="s">
        <v>1919</v>
      </c>
      <c r="C27" t="s">
        <v>3500</v>
      </c>
      <c r="D27">
        <v>1.3692</v>
      </c>
      <c r="E27">
        <v>9.3442000000000007</v>
      </c>
      <c r="F27">
        <v>0.20519999999999999</v>
      </c>
      <c r="G27" s="284">
        <f t="shared" si="0"/>
        <v>9.5494000000000003</v>
      </c>
      <c r="H27" s="284">
        <v>9.3613999999999997</v>
      </c>
      <c r="I27" s="284">
        <f>G27-H27</f>
        <v>0.18800000000000061</v>
      </c>
      <c r="J27" s="283">
        <f t="shared" si="1"/>
        <v>1.7199999999999382E-2</v>
      </c>
      <c r="K27" s="285">
        <f t="shared" si="2"/>
        <v>8.3820662768028189</v>
      </c>
      <c r="L27">
        <v>42</v>
      </c>
      <c r="M27" s="286">
        <v>43362</v>
      </c>
      <c r="N27" s="286">
        <v>43363</v>
      </c>
      <c r="R27" s="285"/>
    </row>
    <row r="28" spans="1:18">
      <c r="A28" t="s">
        <v>1916</v>
      </c>
      <c r="C28" t="s">
        <v>3729</v>
      </c>
      <c r="D28">
        <v>0.64349999999999996</v>
      </c>
      <c r="E28">
        <v>10.0764</v>
      </c>
      <c r="F28">
        <v>0.20669999999999999</v>
      </c>
      <c r="G28" s="284">
        <f t="shared" si="0"/>
        <v>10.283099999999999</v>
      </c>
      <c r="H28" s="284">
        <v>10.1145</v>
      </c>
      <c r="I28" s="284">
        <f>(G28-H28)</f>
        <v>0.16859999999999964</v>
      </c>
      <c r="J28" s="283">
        <f t="shared" si="1"/>
        <v>3.8100000000000356E-2</v>
      </c>
      <c r="K28" s="285">
        <f t="shared" si="2"/>
        <v>18.432510885341248</v>
      </c>
      <c r="L28">
        <v>41</v>
      </c>
      <c r="M28" s="286">
        <v>43360</v>
      </c>
      <c r="N28" s="286">
        <v>43361</v>
      </c>
      <c r="O28" s="283" t="s">
        <v>3707</v>
      </c>
      <c r="R28" s="285"/>
    </row>
    <row r="29" spans="1:18">
      <c r="A29" t="s">
        <v>1915</v>
      </c>
      <c r="C29" t="s">
        <v>3466</v>
      </c>
      <c r="D29">
        <v>0.59279999999999999</v>
      </c>
      <c r="E29">
        <v>21.074000000000002</v>
      </c>
      <c r="F29">
        <v>0.21029999999999999</v>
      </c>
      <c r="G29" s="284">
        <f t="shared" si="0"/>
        <v>21.284300000000002</v>
      </c>
      <c r="H29" s="284">
        <v>21.12</v>
      </c>
      <c r="I29" s="284">
        <f>G29-H29</f>
        <v>0.16430000000000078</v>
      </c>
      <c r="J29" s="283">
        <f t="shared" si="1"/>
        <v>4.5999999999999208E-2</v>
      </c>
      <c r="K29" s="285">
        <f t="shared" si="2"/>
        <v>21.873514027579272</v>
      </c>
      <c r="L29">
        <v>40</v>
      </c>
      <c r="M29" s="286">
        <v>43361</v>
      </c>
      <c r="N29" s="286">
        <v>43362</v>
      </c>
      <c r="O29" s="283" t="s">
        <v>3730</v>
      </c>
      <c r="R29" s="285"/>
    </row>
    <row r="30" spans="1:18">
      <c r="A30" t="s">
        <v>1914</v>
      </c>
      <c r="C30" t="s">
        <v>3483</v>
      </c>
      <c r="D30">
        <v>0.51480000000000004</v>
      </c>
      <c r="E30">
        <v>11.1229</v>
      </c>
      <c r="F30">
        <v>0.20630000000000001</v>
      </c>
      <c r="G30" s="284">
        <f t="shared" si="0"/>
        <v>11.3292</v>
      </c>
      <c r="H30" s="284">
        <v>11.152699999999999</v>
      </c>
      <c r="I30" s="284">
        <f>G30-H30</f>
        <v>0.17650000000000077</v>
      </c>
      <c r="J30" s="283">
        <f t="shared" si="1"/>
        <v>2.9799999999999244E-2</v>
      </c>
      <c r="K30" s="285">
        <f t="shared" si="2"/>
        <v>14.444983034415532</v>
      </c>
      <c r="L30">
        <v>32</v>
      </c>
      <c r="M30" s="286">
        <v>43363</v>
      </c>
      <c r="N30" s="286">
        <v>43364</v>
      </c>
      <c r="O30" s="283" t="s">
        <v>3756</v>
      </c>
      <c r="R30" s="285"/>
    </row>
    <row r="31" spans="1:18">
      <c r="A31" t="s">
        <v>1914</v>
      </c>
      <c r="C31" t="s">
        <v>3468</v>
      </c>
      <c r="D31">
        <v>0.52039999999999997</v>
      </c>
      <c r="E31">
        <v>9.2370000000000001</v>
      </c>
      <c r="F31">
        <v>0.20330000000000001</v>
      </c>
      <c r="G31" s="284">
        <f t="shared" si="0"/>
        <v>9.4403000000000006</v>
      </c>
      <c r="H31" s="284">
        <v>9.2703000000000007</v>
      </c>
      <c r="I31" s="284">
        <f>G31-H31</f>
        <v>0.16999999999999993</v>
      </c>
      <c r="J31" s="283">
        <f t="shared" si="1"/>
        <v>3.330000000000008E-2</v>
      </c>
      <c r="K31" s="285">
        <f t="shared" si="2"/>
        <v>16.379734382685722</v>
      </c>
      <c r="L31">
        <v>12</v>
      </c>
      <c r="M31" s="286">
        <v>43374</v>
      </c>
      <c r="N31" s="286">
        <v>43375</v>
      </c>
      <c r="O31" s="283" t="s">
        <v>3730</v>
      </c>
      <c r="R31" s="285"/>
    </row>
    <row r="32" spans="1:18">
      <c r="A32" t="s">
        <v>1912</v>
      </c>
      <c r="C32" t="s">
        <v>3664</v>
      </c>
      <c r="D32">
        <v>1.6281000000000001</v>
      </c>
      <c r="E32">
        <v>7.3170999999999999</v>
      </c>
      <c r="F32">
        <v>0.20860000000000001</v>
      </c>
      <c r="G32" s="284">
        <f t="shared" si="0"/>
        <v>7.5256999999999996</v>
      </c>
      <c r="H32" s="284">
        <v>7.3278999999999996</v>
      </c>
      <c r="I32" s="284">
        <f>(G32-H32)</f>
        <v>0.19779999999999998</v>
      </c>
      <c r="J32" s="283">
        <f t="shared" si="1"/>
        <v>1.0800000000000032E-2</v>
      </c>
      <c r="K32" s="285">
        <f t="shared" si="2"/>
        <v>5.177372962607877</v>
      </c>
      <c r="L32">
        <v>6</v>
      </c>
      <c r="M32" s="286">
        <v>43355.625</v>
      </c>
      <c r="N32" s="286">
        <v>43355.791666666664</v>
      </c>
      <c r="O32" s="283" t="s">
        <v>3659</v>
      </c>
      <c r="R32" s="285"/>
    </row>
    <row r="33" spans="1:18">
      <c r="A33" t="s">
        <v>1911</v>
      </c>
      <c r="C33" t="s">
        <v>3776</v>
      </c>
      <c r="D33">
        <v>1.657</v>
      </c>
      <c r="E33">
        <v>11.864000000000001</v>
      </c>
      <c r="F33">
        <v>0.2137</v>
      </c>
      <c r="G33" s="288">
        <f t="shared" si="0"/>
        <v>12.0777</v>
      </c>
      <c r="H33" s="284">
        <v>11.8775</v>
      </c>
      <c r="I33" s="288">
        <f>G33-H33</f>
        <v>0.2002000000000006</v>
      </c>
      <c r="J33" s="283">
        <f t="shared" si="1"/>
        <v>1.3499999999999401E-2</v>
      </c>
      <c r="K33" s="285">
        <f t="shared" si="2"/>
        <v>6.3172671970048668</v>
      </c>
      <c r="L33">
        <v>39</v>
      </c>
      <c r="M33" s="286">
        <v>43379</v>
      </c>
      <c r="N33" s="286">
        <v>43379</v>
      </c>
      <c r="R33" s="285"/>
    </row>
    <row r="34" spans="1:18">
      <c r="A34" t="s">
        <v>1911</v>
      </c>
      <c r="C34" t="s">
        <v>3683</v>
      </c>
      <c r="D34">
        <v>1.6859</v>
      </c>
      <c r="E34">
        <v>8.3545999999999996</v>
      </c>
      <c r="F34">
        <v>0.24260000000000001</v>
      </c>
      <c r="G34" s="284">
        <f t="shared" ref="G34:G65" si="3">E34+F34</f>
        <v>8.5971999999999991</v>
      </c>
      <c r="H34" s="284">
        <v>8.3691999999999993</v>
      </c>
      <c r="I34" s="284">
        <f>(G34-H34)</f>
        <v>0.22799999999999976</v>
      </c>
      <c r="J34" s="283">
        <f t="shared" ref="J34:J65" si="4">F34-I34</f>
        <v>1.4600000000000252E-2</v>
      </c>
      <c r="K34" s="285">
        <f t="shared" ref="K34:K65" si="5">(J34/F34)*100</f>
        <v>6.0181368507832858</v>
      </c>
      <c r="L34">
        <v>26</v>
      </c>
      <c r="M34" s="286">
        <v>43360</v>
      </c>
      <c r="N34" s="286">
        <v>43361</v>
      </c>
      <c r="R34" s="285"/>
    </row>
    <row r="35" spans="1:18">
      <c r="A35" t="s">
        <v>1910</v>
      </c>
      <c r="B35">
        <v>208</v>
      </c>
      <c r="D35">
        <v>0.57820000000000005</v>
      </c>
      <c r="E35">
        <v>8.4451000000000001</v>
      </c>
      <c r="F35">
        <v>0.20499999999999999</v>
      </c>
      <c r="G35" s="284">
        <f t="shared" si="3"/>
        <v>8.6501000000000001</v>
      </c>
      <c r="H35" s="284">
        <v>8.4872999999999994</v>
      </c>
      <c r="I35" s="284">
        <f t="shared" ref="I35:I48" si="6">G35-H35</f>
        <v>0.16280000000000072</v>
      </c>
      <c r="J35" s="283">
        <f t="shared" si="4"/>
        <v>4.2199999999999266E-2</v>
      </c>
      <c r="K35" s="285">
        <f t="shared" si="5"/>
        <v>20.585365853658182</v>
      </c>
      <c r="L35">
        <v>30</v>
      </c>
      <c r="M35" s="16">
        <v>43388</v>
      </c>
      <c r="N35" s="286">
        <v>43389</v>
      </c>
      <c r="O35" s="16"/>
      <c r="R35" s="285"/>
    </row>
    <row r="36" spans="1:18">
      <c r="A36" t="s">
        <v>1909</v>
      </c>
      <c r="C36" t="s">
        <v>3418</v>
      </c>
      <c r="D36">
        <v>0.48530000000000001</v>
      </c>
      <c r="E36">
        <v>9.2226999999999997</v>
      </c>
      <c r="F36">
        <v>0.20430000000000001</v>
      </c>
      <c r="G36" s="284">
        <f t="shared" si="3"/>
        <v>9.4269999999999996</v>
      </c>
      <c r="H36" s="284">
        <v>9.2571999999999992</v>
      </c>
      <c r="I36" s="284">
        <f t="shared" si="6"/>
        <v>0.1698000000000004</v>
      </c>
      <c r="J36" s="283">
        <f t="shared" si="4"/>
        <v>3.4499999999999614E-2</v>
      </c>
      <c r="K36" s="285">
        <f t="shared" si="5"/>
        <v>16.886930983847094</v>
      </c>
      <c r="L36">
        <v>32</v>
      </c>
      <c r="M36">
        <v>23.101800000000001</v>
      </c>
      <c r="N36" s="16">
        <v>43397</v>
      </c>
      <c r="R36" s="285"/>
    </row>
    <row r="37" spans="1:18">
      <c r="A37" t="s">
        <v>1907</v>
      </c>
      <c r="B37">
        <v>213</v>
      </c>
      <c r="D37">
        <v>0.3967</v>
      </c>
      <c r="E37">
        <v>10.5123</v>
      </c>
      <c r="F37">
        <v>0.20039999999999999</v>
      </c>
      <c r="G37" s="284">
        <f t="shared" si="3"/>
        <v>10.7127</v>
      </c>
      <c r="H37" s="284">
        <v>10.550700000000001</v>
      </c>
      <c r="I37" s="284">
        <f t="shared" si="6"/>
        <v>0.16199999999999903</v>
      </c>
      <c r="J37" s="283">
        <f t="shared" si="4"/>
        <v>3.8400000000000961E-2</v>
      </c>
      <c r="K37" s="285">
        <f t="shared" si="5"/>
        <v>19.161676646707068</v>
      </c>
      <c r="L37">
        <v>16</v>
      </c>
      <c r="M37" s="16">
        <v>43395</v>
      </c>
      <c r="N37" s="16">
        <v>43396</v>
      </c>
      <c r="R37" s="285"/>
    </row>
    <row r="38" spans="1:18">
      <c r="A38" t="s">
        <v>1906</v>
      </c>
      <c r="C38" t="s">
        <v>3472</v>
      </c>
      <c r="D38" s="283">
        <v>0.45729999999999998</v>
      </c>
      <c r="E38" s="284">
        <v>8.1690000000000005</v>
      </c>
      <c r="F38" s="284">
        <v>0.20030000000000001</v>
      </c>
      <c r="G38" s="284">
        <f t="shared" si="3"/>
        <v>8.3693000000000008</v>
      </c>
      <c r="H38" s="284">
        <v>8.2138000000000009</v>
      </c>
      <c r="I38" s="284">
        <f t="shared" si="6"/>
        <v>0.15549999999999997</v>
      </c>
      <c r="J38" s="283">
        <f t="shared" si="4"/>
        <v>4.4800000000000034E-2</v>
      </c>
      <c r="K38" s="285">
        <f t="shared" si="5"/>
        <v>22.366450324513245</v>
      </c>
      <c r="L38" s="283">
        <v>1</v>
      </c>
      <c r="M38" s="286">
        <v>43374</v>
      </c>
      <c r="N38" s="286">
        <v>43375</v>
      </c>
      <c r="O38" s="283" t="s">
        <v>3730</v>
      </c>
      <c r="P38" s="283"/>
      <c r="R38" s="285"/>
    </row>
    <row r="39" spans="1:18">
      <c r="A39" t="s">
        <v>1905</v>
      </c>
      <c r="C39" t="s">
        <v>3682</v>
      </c>
      <c r="D39">
        <v>0.89710000000000001</v>
      </c>
      <c r="E39">
        <v>10.0761</v>
      </c>
      <c r="F39">
        <v>0.2218</v>
      </c>
      <c r="G39" s="284">
        <f t="shared" si="3"/>
        <v>10.2979</v>
      </c>
      <c r="H39" s="284">
        <v>10.1014</v>
      </c>
      <c r="I39" s="284">
        <f t="shared" si="6"/>
        <v>0.19650000000000034</v>
      </c>
      <c r="J39" s="283">
        <f t="shared" si="4"/>
        <v>2.5299999999999656E-2</v>
      </c>
      <c r="K39" s="285">
        <f t="shared" si="5"/>
        <v>11.406672678088214</v>
      </c>
      <c r="L39">
        <v>26</v>
      </c>
      <c r="M39" s="286">
        <v>43363</v>
      </c>
      <c r="N39" s="286">
        <v>43364</v>
      </c>
      <c r="R39" s="285"/>
    </row>
    <row r="40" spans="1:18">
      <c r="A40" t="s">
        <v>1904</v>
      </c>
      <c r="C40" t="s">
        <v>3469</v>
      </c>
      <c r="D40">
        <v>0.76780000000000004</v>
      </c>
      <c r="E40">
        <v>8.7037999999999993</v>
      </c>
      <c r="F40">
        <v>0.22570000000000001</v>
      </c>
      <c r="G40">
        <f t="shared" si="3"/>
        <v>8.9294999999999991</v>
      </c>
      <c r="H40">
        <v>8.7919</v>
      </c>
      <c r="I40">
        <f t="shared" si="6"/>
        <v>0.13759999999999906</v>
      </c>
      <c r="J40" s="283">
        <f t="shared" si="4"/>
        <v>8.8100000000000955E-2</v>
      </c>
      <c r="K40" s="285">
        <f t="shared" si="5"/>
        <v>39.03411608329683</v>
      </c>
      <c r="M40" s="16">
        <v>43399</v>
      </c>
      <c r="N40" s="16">
        <v>43400</v>
      </c>
      <c r="P40" t="s">
        <v>3708</v>
      </c>
      <c r="R40" s="285"/>
    </row>
    <row r="41" spans="1:18">
      <c r="A41" t="s">
        <v>1903</v>
      </c>
      <c r="B41">
        <v>202</v>
      </c>
      <c r="C41" t="s">
        <v>2504</v>
      </c>
      <c r="D41">
        <v>0.53639999999999999</v>
      </c>
      <c r="E41">
        <v>10.922000000000001</v>
      </c>
      <c r="F41">
        <v>0.2041</v>
      </c>
      <c r="G41">
        <f t="shared" si="3"/>
        <v>11.126100000000001</v>
      </c>
      <c r="H41">
        <v>10.9625</v>
      </c>
      <c r="I41" s="284">
        <f t="shared" si="6"/>
        <v>0.16360000000000063</v>
      </c>
      <c r="J41" s="283">
        <f t="shared" si="4"/>
        <v>4.049999999999937E-2</v>
      </c>
      <c r="K41" s="285">
        <f t="shared" si="5"/>
        <v>19.843214110729726</v>
      </c>
      <c r="L41">
        <v>17</v>
      </c>
      <c r="M41" s="16">
        <v>43402</v>
      </c>
      <c r="N41" s="16">
        <v>43403</v>
      </c>
      <c r="R41" s="285"/>
    </row>
    <row r="42" spans="1:18">
      <c r="A42" t="s">
        <v>1902</v>
      </c>
      <c r="B42">
        <v>194</v>
      </c>
      <c r="D42">
        <v>0.27379999999999999</v>
      </c>
      <c r="E42">
        <v>9.0533000000000001</v>
      </c>
      <c r="F42">
        <v>0.20649999999999999</v>
      </c>
      <c r="G42" s="284">
        <f t="shared" si="3"/>
        <v>9.2598000000000003</v>
      </c>
      <c r="H42" s="284">
        <v>9.0852000000000004</v>
      </c>
      <c r="I42" s="284">
        <f t="shared" si="6"/>
        <v>0.17459999999999987</v>
      </c>
      <c r="J42" s="283">
        <f t="shared" si="4"/>
        <v>3.1900000000000123E-2</v>
      </c>
      <c r="K42" s="285">
        <f t="shared" si="5"/>
        <v>15.447941888619916</v>
      </c>
      <c r="L42">
        <v>22</v>
      </c>
      <c r="M42" s="16">
        <v>43388</v>
      </c>
      <c r="N42" s="286">
        <v>43389</v>
      </c>
      <c r="O42" s="16"/>
      <c r="P42" t="s">
        <v>3782</v>
      </c>
      <c r="R42" s="285"/>
    </row>
    <row r="43" spans="1:18">
      <c r="A43" t="s">
        <v>1901</v>
      </c>
      <c r="C43" t="s">
        <v>3422</v>
      </c>
      <c r="D43">
        <v>0.57299999999999995</v>
      </c>
      <c r="E43">
        <v>11.0909</v>
      </c>
      <c r="F43">
        <v>0.2011</v>
      </c>
      <c r="G43">
        <f t="shared" si="3"/>
        <v>11.292</v>
      </c>
      <c r="H43">
        <v>11.129200000000001</v>
      </c>
      <c r="I43" s="284">
        <f t="shared" si="6"/>
        <v>0.16279999999999895</v>
      </c>
      <c r="J43" s="283">
        <f t="shared" si="4"/>
        <v>3.8300000000001055E-2</v>
      </c>
      <c r="K43" s="285">
        <f t="shared" si="5"/>
        <v>19.04525111884687</v>
      </c>
      <c r="L43">
        <v>39</v>
      </c>
      <c r="M43" s="16">
        <v>43399</v>
      </c>
      <c r="N43" s="16">
        <v>43400</v>
      </c>
      <c r="R43" s="285"/>
    </row>
    <row r="44" spans="1:18">
      <c r="A44" t="s">
        <v>2035</v>
      </c>
      <c r="C44" t="s">
        <v>3486</v>
      </c>
      <c r="D44">
        <v>1.5294000000000001</v>
      </c>
      <c r="E44">
        <v>10.1083</v>
      </c>
      <c r="F44">
        <v>0.2006</v>
      </c>
      <c r="G44" s="284">
        <f t="shared" si="3"/>
        <v>10.3089</v>
      </c>
      <c r="H44" s="284">
        <v>10.122299999999999</v>
      </c>
      <c r="I44" s="284">
        <f t="shared" si="6"/>
        <v>0.18660000000000032</v>
      </c>
      <c r="J44" s="283">
        <f t="shared" si="4"/>
        <v>1.3999999999999679E-2</v>
      </c>
      <c r="K44" s="285">
        <f t="shared" si="5"/>
        <v>6.9790628115651439</v>
      </c>
      <c r="L44">
        <v>10</v>
      </c>
      <c r="M44" s="286">
        <v>43363</v>
      </c>
      <c r="N44" s="286">
        <v>43364</v>
      </c>
      <c r="O44" s="283"/>
      <c r="R44" s="285"/>
    </row>
    <row r="45" spans="1:18">
      <c r="A45" t="s">
        <v>1898</v>
      </c>
      <c r="C45" t="s">
        <v>3712</v>
      </c>
      <c r="D45">
        <v>1.7141999999999999</v>
      </c>
      <c r="E45">
        <v>11.0246</v>
      </c>
      <c r="F45">
        <v>0.2218</v>
      </c>
      <c r="G45" s="284">
        <f t="shared" si="3"/>
        <v>11.2464</v>
      </c>
      <c r="H45" s="284">
        <v>11.036899999999999</v>
      </c>
      <c r="I45" s="284">
        <f t="shared" si="6"/>
        <v>0.20950000000000024</v>
      </c>
      <c r="J45" s="283">
        <f t="shared" si="4"/>
        <v>1.2299999999999756E-2</v>
      </c>
      <c r="K45" s="285">
        <f t="shared" si="5"/>
        <v>5.545536519386725</v>
      </c>
      <c r="L45">
        <v>22</v>
      </c>
      <c r="M45" s="16">
        <v>43399</v>
      </c>
      <c r="N45" s="16">
        <v>43400</v>
      </c>
      <c r="R45" s="285"/>
    </row>
    <row r="46" spans="1:18">
      <c r="A46" t="s">
        <v>1897</v>
      </c>
      <c r="C46" t="s">
        <v>3488</v>
      </c>
      <c r="D46">
        <v>0.67800000000000005</v>
      </c>
      <c r="E46">
        <v>7.6650999999999998</v>
      </c>
      <c r="F46">
        <v>0.20669999999999999</v>
      </c>
      <c r="G46" s="284">
        <f t="shared" si="3"/>
        <v>7.8717999999999995</v>
      </c>
      <c r="H46" s="284">
        <v>7.8121999999999998</v>
      </c>
      <c r="I46" s="284">
        <f t="shared" si="6"/>
        <v>5.9599999999999653E-2</v>
      </c>
      <c r="J46" s="283">
        <f t="shared" si="4"/>
        <v>0.14710000000000034</v>
      </c>
      <c r="K46" s="285">
        <f t="shared" si="5"/>
        <v>71.165940977261897</v>
      </c>
      <c r="L46">
        <v>22</v>
      </c>
      <c r="M46" s="286">
        <v>43363</v>
      </c>
      <c r="N46" s="286">
        <v>43364</v>
      </c>
      <c r="O46" s="283" t="s">
        <v>3756</v>
      </c>
      <c r="R46" s="285"/>
    </row>
    <row r="47" spans="1:18">
      <c r="A47" t="s">
        <v>1895</v>
      </c>
      <c r="C47" t="s">
        <v>3431</v>
      </c>
      <c r="D47">
        <v>0.60899999999999999</v>
      </c>
      <c r="E47">
        <v>10.2729</v>
      </c>
      <c r="F47">
        <v>0.20849999999999999</v>
      </c>
      <c r="G47" s="284">
        <f t="shared" si="3"/>
        <v>10.481400000000001</v>
      </c>
      <c r="H47" s="284">
        <v>10.3217</v>
      </c>
      <c r="I47" s="284">
        <f t="shared" si="6"/>
        <v>0.15970000000000084</v>
      </c>
      <c r="J47" s="283">
        <f t="shared" si="4"/>
        <v>4.879999999999915E-2</v>
      </c>
      <c r="K47" s="285">
        <f t="shared" si="5"/>
        <v>23.40527577937609</v>
      </c>
      <c r="L47">
        <v>17</v>
      </c>
      <c r="M47" s="16">
        <v>43399</v>
      </c>
      <c r="N47" s="16">
        <v>43400</v>
      </c>
      <c r="R47" s="285"/>
    </row>
    <row r="48" spans="1:18">
      <c r="A48" t="s">
        <v>1894</v>
      </c>
      <c r="C48" t="s">
        <v>3753</v>
      </c>
      <c r="D48">
        <v>1.6411</v>
      </c>
      <c r="E48">
        <v>10.418200000000001</v>
      </c>
      <c r="F48">
        <v>0.21490000000000001</v>
      </c>
      <c r="G48" s="284">
        <f t="shared" si="3"/>
        <v>10.633100000000001</v>
      </c>
      <c r="H48" s="284">
        <v>10.430999999999999</v>
      </c>
      <c r="I48" s="284">
        <f t="shared" si="6"/>
        <v>0.2021000000000015</v>
      </c>
      <c r="J48" s="283">
        <f t="shared" si="4"/>
        <v>1.2799999999998507E-2</v>
      </c>
      <c r="K48" s="285">
        <f t="shared" si="5"/>
        <v>5.9562587249876717</v>
      </c>
      <c r="L48">
        <v>16</v>
      </c>
      <c r="M48" s="16">
        <v>43388</v>
      </c>
      <c r="N48" s="286">
        <v>43389</v>
      </c>
      <c r="O48" s="286"/>
      <c r="P48" s="283"/>
      <c r="R48" s="285"/>
    </row>
    <row r="49" spans="1:18">
      <c r="A49" t="s">
        <v>1893</v>
      </c>
      <c r="C49" t="s">
        <v>3669</v>
      </c>
      <c r="D49">
        <v>1.6581999999999999</v>
      </c>
      <c r="E49">
        <v>10.5092</v>
      </c>
      <c r="F49">
        <v>0.20150000000000001</v>
      </c>
      <c r="G49" s="284">
        <f t="shared" si="3"/>
        <v>10.710699999999999</v>
      </c>
      <c r="H49" s="284">
        <v>10.5219</v>
      </c>
      <c r="I49" s="284">
        <f>(G49-H49)</f>
        <v>0.18879999999999875</v>
      </c>
      <c r="J49" s="283">
        <f t="shared" si="4"/>
        <v>1.2700000000001266E-2</v>
      </c>
      <c r="K49" s="285">
        <f t="shared" si="5"/>
        <v>6.3027295285366076</v>
      </c>
      <c r="L49">
        <v>37</v>
      </c>
      <c r="M49" s="16">
        <v>43358</v>
      </c>
      <c r="N49" s="16">
        <v>43358</v>
      </c>
      <c r="R49" s="285"/>
    </row>
    <row r="50" spans="1:18">
      <c r="A50" t="s">
        <v>1892</v>
      </c>
      <c r="B50">
        <v>200</v>
      </c>
      <c r="C50" t="s">
        <v>2504</v>
      </c>
      <c r="D50">
        <v>0.53959999999999997</v>
      </c>
      <c r="E50">
        <v>8.1367999999999991</v>
      </c>
      <c r="F50">
        <v>0.2099</v>
      </c>
      <c r="G50" s="284">
        <f t="shared" si="3"/>
        <v>8.3466999999999985</v>
      </c>
      <c r="H50" s="284">
        <v>8.1814999999999998</v>
      </c>
      <c r="I50" s="284">
        <f>G50-H50</f>
        <v>0.16519999999999868</v>
      </c>
      <c r="J50" s="283">
        <f t="shared" si="4"/>
        <v>4.4700000000001322E-2</v>
      </c>
      <c r="K50" s="285">
        <f t="shared" si="5"/>
        <v>21.295855169128785</v>
      </c>
      <c r="L50">
        <v>42</v>
      </c>
      <c r="M50" s="16">
        <v>43395</v>
      </c>
      <c r="N50" s="16">
        <v>43396</v>
      </c>
      <c r="R50" s="285"/>
    </row>
    <row r="51" spans="1:18">
      <c r="A51" t="s">
        <v>1891</v>
      </c>
      <c r="C51" t="s">
        <v>3692</v>
      </c>
      <c r="D51">
        <v>0.58809999999999996</v>
      </c>
      <c r="E51">
        <v>7.8015999999999996</v>
      </c>
      <c r="F51">
        <v>0.21840000000000001</v>
      </c>
      <c r="G51" s="284">
        <f t="shared" si="3"/>
        <v>8.02</v>
      </c>
      <c r="H51" s="284">
        <v>7.8402000000000003</v>
      </c>
      <c r="I51" s="284">
        <f>(G51-H51)</f>
        <v>0.17979999999999929</v>
      </c>
      <c r="J51" s="283">
        <f t="shared" si="4"/>
        <v>3.8600000000000717E-2</v>
      </c>
      <c r="K51" s="285">
        <f t="shared" si="5"/>
        <v>17.673992673993002</v>
      </c>
      <c r="L51">
        <v>28</v>
      </c>
      <c r="M51" s="286">
        <v>43360</v>
      </c>
      <c r="N51" s="286">
        <v>43361</v>
      </c>
      <c r="R51" s="285"/>
    </row>
    <row r="52" spans="1:18">
      <c r="A52" t="s">
        <v>2034</v>
      </c>
      <c r="C52" t="s">
        <v>3487</v>
      </c>
      <c r="D52">
        <v>0.86140000000000005</v>
      </c>
      <c r="E52">
        <v>7.8017000000000003</v>
      </c>
      <c r="F52">
        <v>0.2054</v>
      </c>
      <c r="G52" s="284">
        <f t="shared" si="3"/>
        <v>8.0070999999999994</v>
      </c>
      <c r="H52" s="284">
        <v>7.8273000000000001</v>
      </c>
      <c r="I52" s="284">
        <f t="shared" ref="I52:I63" si="7">G52-H52</f>
        <v>0.17979999999999929</v>
      </c>
      <c r="J52" s="283">
        <f t="shared" si="4"/>
        <v>2.5600000000000706E-2</v>
      </c>
      <c r="K52" s="285">
        <f t="shared" si="5"/>
        <v>12.463485881207744</v>
      </c>
      <c r="L52">
        <v>11</v>
      </c>
      <c r="M52" s="286">
        <v>43363</v>
      </c>
      <c r="N52" s="286">
        <v>43364</v>
      </c>
      <c r="O52" s="283"/>
      <c r="R52" s="285"/>
    </row>
    <row r="53" spans="1:18">
      <c r="A53" t="s">
        <v>1889</v>
      </c>
      <c r="C53" t="s">
        <v>3496</v>
      </c>
      <c r="D53">
        <v>1.5247999999999999</v>
      </c>
      <c r="E53">
        <v>7.0930999999999997</v>
      </c>
      <c r="F53">
        <v>0.20499999999999999</v>
      </c>
      <c r="G53" s="284">
        <f t="shared" si="3"/>
        <v>7.2980999999999998</v>
      </c>
      <c r="H53" s="284">
        <v>7.1116999999999999</v>
      </c>
      <c r="I53" s="284">
        <f t="shared" si="7"/>
        <v>0.1863999999999999</v>
      </c>
      <c r="J53" s="283">
        <f t="shared" si="4"/>
        <v>1.8600000000000089E-2</v>
      </c>
      <c r="K53" s="285">
        <f t="shared" si="5"/>
        <v>9.0731707317073607</v>
      </c>
      <c r="L53">
        <v>35</v>
      </c>
      <c r="M53" s="286">
        <v>43363</v>
      </c>
      <c r="N53" s="286">
        <v>43364</v>
      </c>
      <c r="R53" s="285"/>
    </row>
    <row r="54" spans="1:18">
      <c r="A54" t="s">
        <v>1884</v>
      </c>
      <c r="C54" t="s">
        <v>3746</v>
      </c>
      <c r="D54">
        <v>1.7110000000000001</v>
      </c>
      <c r="E54">
        <v>7.9946000000000002</v>
      </c>
      <c r="F54">
        <v>0.2059</v>
      </c>
      <c r="G54" s="284">
        <f t="shared" si="3"/>
        <v>8.2004999999999999</v>
      </c>
      <c r="H54" s="284">
        <v>8.0063999999999993</v>
      </c>
      <c r="I54" s="284">
        <f t="shared" si="7"/>
        <v>0.19410000000000061</v>
      </c>
      <c r="J54" s="283">
        <f t="shared" si="4"/>
        <v>1.1799999999999394E-2</v>
      </c>
      <c r="K54" s="285">
        <f t="shared" si="5"/>
        <v>5.730937348227001</v>
      </c>
      <c r="L54">
        <v>5</v>
      </c>
      <c r="M54" s="16">
        <v>43399</v>
      </c>
      <c r="N54" s="16">
        <v>43400</v>
      </c>
      <c r="R54" s="285"/>
    </row>
    <row r="55" spans="1:18">
      <c r="A55" t="s">
        <v>1883</v>
      </c>
      <c r="C55" t="s">
        <v>3719</v>
      </c>
      <c r="D55">
        <v>0.79720000000000002</v>
      </c>
      <c r="E55">
        <v>9.2212999999999994</v>
      </c>
      <c r="F55">
        <v>0.22459999999999999</v>
      </c>
      <c r="G55" s="284">
        <f t="shared" si="3"/>
        <v>9.4459</v>
      </c>
      <c r="H55" s="284">
        <v>9.2627000000000006</v>
      </c>
      <c r="I55" s="284">
        <f t="shared" si="7"/>
        <v>0.18319999999999936</v>
      </c>
      <c r="J55" s="283">
        <f t="shared" si="4"/>
        <v>4.1400000000000631E-2</v>
      </c>
      <c r="K55" s="285">
        <f t="shared" si="5"/>
        <v>18.432769367765196</v>
      </c>
      <c r="L55">
        <v>18</v>
      </c>
      <c r="M55" s="286">
        <v>43374</v>
      </c>
      <c r="N55" s="286">
        <v>43375</v>
      </c>
      <c r="O55" s="283" t="s">
        <v>3730</v>
      </c>
      <c r="R55" s="285"/>
    </row>
    <row r="56" spans="1:18">
      <c r="A56" t="s">
        <v>1882</v>
      </c>
      <c r="B56">
        <v>203</v>
      </c>
      <c r="C56" t="s">
        <v>2504</v>
      </c>
      <c r="D56">
        <v>0.55449999999999999</v>
      </c>
      <c r="E56">
        <v>7.5293999999999999</v>
      </c>
      <c r="F56">
        <v>0.2059</v>
      </c>
      <c r="G56">
        <f t="shared" si="3"/>
        <v>7.7352999999999996</v>
      </c>
      <c r="H56">
        <v>7.5590999999999999</v>
      </c>
      <c r="I56" s="284">
        <f t="shared" si="7"/>
        <v>0.17619999999999969</v>
      </c>
      <c r="J56" s="283">
        <f t="shared" si="4"/>
        <v>2.9700000000000309E-2</v>
      </c>
      <c r="K56" s="285">
        <f t="shared" si="5"/>
        <v>14.424477901894273</v>
      </c>
      <c r="L56">
        <v>18</v>
      </c>
      <c r="M56" s="16">
        <v>43402</v>
      </c>
      <c r="N56" s="16">
        <v>43403</v>
      </c>
      <c r="R56" s="285"/>
    </row>
    <row r="57" spans="1:18">
      <c r="A57" t="s">
        <v>1881</v>
      </c>
      <c r="B57">
        <v>211</v>
      </c>
      <c r="C57" t="s">
        <v>2504</v>
      </c>
      <c r="D57">
        <v>0.54249999999999998</v>
      </c>
      <c r="E57">
        <v>11.444000000000001</v>
      </c>
      <c r="F57">
        <v>0.20030000000000001</v>
      </c>
      <c r="G57" s="284">
        <f t="shared" si="3"/>
        <v>11.644300000000001</v>
      </c>
      <c r="H57" s="284">
        <v>11.4878</v>
      </c>
      <c r="I57" s="284">
        <f t="shared" si="7"/>
        <v>0.15650000000000119</v>
      </c>
      <c r="J57" s="283">
        <f t="shared" si="4"/>
        <v>4.3799999999998812E-2</v>
      </c>
      <c r="K57" s="285">
        <f t="shared" si="5"/>
        <v>21.867199201197611</v>
      </c>
      <c r="L57">
        <v>21</v>
      </c>
      <c r="M57" s="16">
        <v>43399</v>
      </c>
      <c r="N57" s="16">
        <v>43400</v>
      </c>
      <c r="R57" s="285"/>
    </row>
    <row r="58" spans="1:18">
      <c r="A58" t="s">
        <v>1881</v>
      </c>
      <c r="C58" t="s">
        <v>3760</v>
      </c>
      <c r="D58">
        <v>1.2806</v>
      </c>
      <c r="E58">
        <v>10.511799999999999</v>
      </c>
      <c r="F58">
        <v>0.2288</v>
      </c>
      <c r="G58" s="284">
        <f t="shared" si="3"/>
        <v>10.740599999999999</v>
      </c>
      <c r="H58" s="284">
        <v>10.539199999999999</v>
      </c>
      <c r="I58" s="284">
        <f t="shared" si="7"/>
        <v>0.20139999999999958</v>
      </c>
      <c r="J58" s="283">
        <f t="shared" si="4"/>
        <v>2.7400000000000424E-2</v>
      </c>
      <c r="K58" s="285">
        <f t="shared" si="5"/>
        <v>11.975524475524661</v>
      </c>
      <c r="L58">
        <v>23</v>
      </c>
      <c r="M58" s="286">
        <v>43363</v>
      </c>
      <c r="N58" s="286">
        <v>43364</v>
      </c>
      <c r="O58" s="283" t="s">
        <v>3756</v>
      </c>
      <c r="R58" s="285"/>
    </row>
    <row r="59" spans="1:18">
      <c r="A59" t="s">
        <v>2033</v>
      </c>
      <c r="C59" t="s">
        <v>3428</v>
      </c>
      <c r="D59">
        <v>0.56720000000000004</v>
      </c>
      <c r="E59">
        <v>7.3182</v>
      </c>
      <c r="F59">
        <v>0.20519999999999999</v>
      </c>
      <c r="G59" s="288">
        <f t="shared" si="3"/>
        <v>7.5233999999999996</v>
      </c>
      <c r="H59" s="284">
        <v>7.3620000000000001</v>
      </c>
      <c r="I59" s="288">
        <f t="shared" si="7"/>
        <v>0.16139999999999954</v>
      </c>
      <c r="J59" s="283">
        <f t="shared" si="4"/>
        <v>4.380000000000045E-2</v>
      </c>
      <c r="K59" s="285">
        <f t="shared" si="5"/>
        <v>21.345029239766301</v>
      </c>
      <c r="L59">
        <v>30</v>
      </c>
      <c r="M59" s="286">
        <v>43379</v>
      </c>
      <c r="N59" s="286">
        <v>43379</v>
      </c>
      <c r="R59" s="285"/>
    </row>
    <row r="60" spans="1:18">
      <c r="A60" t="s">
        <v>1880</v>
      </c>
      <c r="B60">
        <v>218</v>
      </c>
      <c r="D60">
        <v>0.49509999999999998</v>
      </c>
      <c r="E60">
        <v>9.6803000000000008</v>
      </c>
      <c r="F60">
        <v>0.2137</v>
      </c>
      <c r="G60" s="284">
        <f t="shared" si="3"/>
        <v>9.8940000000000001</v>
      </c>
      <c r="H60" s="284">
        <v>9.7294999999999998</v>
      </c>
      <c r="I60" s="284">
        <f t="shared" si="7"/>
        <v>0.16450000000000031</v>
      </c>
      <c r="J60" s="283">
        <f t="shared" si="4"/>
        <v>4.9199999999999688E-2</v>
      </c>
      <c r="K60" s="285">
        <f t="shared" si="5"/>
        <v>23.022929340196391</v>
      </c>
      <c r="L60">
        <v>14</v>
      </c>
      <c r="M60" s="16">
        <v>43395</v>
      </c>
      <c r="N60" s="16">
        <v>43396</v>
      </c>
      <c r="R60" s="285"/>
    </row>
    <row r="61" spans="1:18">
      <c r="A61" t="s">
        <v>1879</v>
      </c>
      <c r="C61" t="s">
        <v>3467</v>
      </c>
      <c r="D61">
        <v>0.57020000000000004</v>
      </c>
      <c r="E61">
        <v>7.4804000000000004</v>
      </c>
      <c r="F61">
        <v>0.2079</v>
      </c>
      <c r="G61" s="284">
        <f t="shared" si="3"/>
        <v>7.6883000000000008</v>
      </c>
      <c r="H61" s="284">
        <v>7.5321999999999996</v>
      </c>
      <c r="I61" s="284">
        <f t="shared" si="7"/>
        <v>0.15610000000000124</v>
      </c>
      <c r="J61" s="283">
        <f t="shared" si="4"/>
        <v>5.1799999999998764E-2</v>
      </c>
      <c r="K61" s="285">
        <f t="shared" si="5"/>
        <v>24.915824915824324</v>
      </c>
      <c r="L61">
        <v>5</v>
      </c>
      <c r="M61">
        <v>23.101800000000001</v>
      </c>
      <c r="N61" s="16">
        <v>43397</v>
      </c>
      <c r="R61" s="285"/>
    </row>
    <row r="62" spans="1:18">
      <c r="A62" t="s">
        <v>1878</v>
      </c>
      <c r="C62" t="s">
        <v>3686</v>
      </c>
      <c r="D62">
        <v>1.6617999999999999</v>
      </c>
      <c r="E62">
        <v>10.6196</v>
      </c>
      <c r="F62">
        <v>0.23619999999999999</v>
      </c>
      <c r="G62" s="284">
        <f t="shared" si="3"/>
        <v>10.8558</v>
      </c>
      <c r="H62" s="284">
        <v>10.632899999999999</v>
      </c>
      <c r="I62" s="284">
        <f t="shared" si="7"/>
        <v>0.22290000000000099</v>
      </c>
      <c r="J62" s="283">
        <f t="shared" si="4"/>
        <v>1.3299999999999007E-2</v>
      </c>
      <c r="K62" s="285">
        <f t="shared" si="5"/>
        <v>5.6308213378488601</v>
      </c>
      <c r="L62">
        <v>20</v>
      </c>
      <c r="M62" s="16">
        <v>43381</v>
      </c>
      <c r="N62" s="16">
        <v>43382</v>
      </c>
      <c r="R62" s="285"/>
    </row>
    <row r="63" spans="1:18">
      <c r="A63" t="s">
        <v>1877</v>
      </c>
      <c r="B63">
        <v>205</v>
      </c>
      <c r="C63" t="s">
        <v>2504</v>
      </c>
      <c r="D63">
        <v>0.63280000000000003</v>
      </c>
      <c r="E63">
        <v>8.8627000000000002</v>
      </c>
      <c r="F63">
        <v>0.217</v>
      </c>
      <c r="G63">
        <f t="shared" si="3"/>
        <v>9.0797000000000008</v>
      </c>
      <c r="H63">
        <v>8.9017999999999997</v>
      </c>
      <c r="I63" s="284">
        <f t="shared" si="7"/>
        <v>0.17790000000000106</v>
      </c>
      <c r="J63" s="283">
        <f t="shared" si="4"/>
        <v>3.9099999999998941E-2</v>
      </c>
      <c r="K63" s="285">
        <f t="shared" si="5"/>
        <v>18.018433179723015</v>
      </c>
      <c r="L63">
        <v>40</v>
      </c>
      <c r="M63" s="16">
        <v>43399</v>
      </c>
      <c r="N63" s="16">
        <v>43400</v>
      </c>
      <c r="R63" s="285"/>
    </row>
    <row r="64" spans="1:18">
      <c r="A64" t="s">
        <v>1876</v>
      </c>
      <c r="C64" t="s">
        <v>3664</v>
      </c>
      <c r="D64">
        <v>1.7222</v>
      </c>
      <c r="E64">
        <v>8.8440999999999992</v>
      </c>
      <c r="F64">
        <v>0.20219999999999999</v>
      </c>
      <c r="G64" s="284">
        <f t="shared" si="3"/>
        <v>9.0462999999999987</v>
      </c>
      <c r="H64" s="284">
        <v>8.8551000000000002</v>
      </c>
      <c r="I64" s="284">
        <f>(G64-H64)</f>
        <v>0.19119999999999848</v>
      </c>
      <c r="J64" s="283">
        <f t="shared" si="4"/>
        <v>1.1000000000001509E-2</v>
      </c>
      <c r="K64" s="285">
        <f t="shared" si="5"/>
        <v>5.4401582591501034</v>
      </c>
      <c r="L64">
        <v>13</v>
      </c>
      <c r="M64" s="286">
        <v>43355.625</v>
      </c>
      <c r="N64" s="286">
        <v>43355.791666666664</v>
      </c>
      <c r="O64" s="283" t="s">
        <v>3659</v>
      </c>
      <c r="R64" s="285"/>
    </row>
    <row r="65" spans="1:18">
      <c r="A65" t="s">
        <v>1875</v>
      </c>
      <c r="C65" t="s">
        <v>3490</v>
      </c>
      <c r="D65">
        <v>1.0085</v>
      </c>
      <c r="E65">
        <v>11.089</v>
      </c>
      <c r="F65">
        <v>0.23849999999999999</v>
      </c>
      <c r="G65" s="284">
        <f t="shared" si="3"/>
        <v>11.327500000000001</v>
      </c>
      <c r="H65" s="284">
        <v>11.142799999999999</v>
      </c>
      <c r="I65" s="284">
        <f t="shared" ref="I65:I74" si="8">G65-H65</f>
        <v>0.1847000000000012</v>
      </c>
      <c r="J65" s="283">
        <f t="shared" si="4"/>
        <v>5.3799999999998793E-2</v>
      </c>
      <c r="K65" s="285">
        <f t="shared" si="5"/>
        <v>22.557651991613749</v>
      </c>
      <c r="L65">
        <v>19</v>
      </c>
      <c r="M65" s="286">
        <v>43363</v>
      </c>
      <c r="N65" s="286">
        <v>43364</v>
      </c>
      <c r="O65" s="283" t="s">
        <v>3756</v>
      </c>
      <c r="R65" s="285"/>
    </row>
    <row r="66" spans="1:18">
      <c r="A66" t="s">
        <v>1874</v>
      </c>
      <c r="C66" t="s">
        <v>3784</v>
      </c>
      <c r="D66">
        <v>1.0862000000000001</v>
      </c>
      <c r="E66">
        <v>11.1609</v>
      </c>
      <c r="F66">
        <v>0.20930000000000001</v>
      </c>
      <c r="G66" s="284">
        <f t="shared" ref="G66:G90" si="9">E66+F66</f>
        <v>11.370200000000001</v>
      </c>
      <c r="H66" s="284">
        <v>11.1906</v>
      </c>
      <c r="I66" s="284">
        <f t="shared" si="8"/>
        <v>0.17960000000000065</v>
      </c>
      <c r="J66" s="283">
        <f t="shared" ref="J66:J90" si="10">F66-I66</f>
        <v>2.9699999999999366E-2</v>
      </c>
      <c r="K66" s="285">
        <f t="shared" ref="K66:K90" si="11">(J66/F66)*100</f>
        <v>14.190157668418236</v>
      </c>
      <c r="L66">
        <v>3</v>
      </c>
      <c r="M66" s="16">
        <v>43399</v>
      </c>
      <c r="N66" s="16">
        <v>43400</v>
      </c>
      <c r="R66" s="285"/>
    </row>
    <row r="67" spans="1:18">
      <c r="A67" t="s">
        <v>1871</v>
      </c>
      <c r="B67">
        <v>203</v>
      </c>
      <c r="C67" t="s">
        <v>2504</v>
      </c>
      <c r="D67">
        <v>0.40100000000000002</v>
      </c>
      <c r="E67">
        <v>11.173500000000001</v>
      </c>
      <c r="F67">
        <v>0.20399999999999999</v>
      </c>
      <c r="G67">
        <f t="shared" si="9"/>
        <v>11.377500000000001</v>
      </c>
      <c r="H67">
        <v>11.223599999999999</v>
      </c>
      <c r="I67" s="284">
        <f t="shared" si="8"/>
        <v>0.15390000000000192</v>
      </c>
      <c r="J67" s="283">
        <f t="shared" si="10"/>
        <v>5.0099999999998063E-2</v>
      </c>
      <c r="K67" s="285">
        <f t="shared" si="11"/>
        <v>24.558823529410816</v>
      </c>
      <c r="L67">
        <v>12</v>
      </c>
      <c r="M67" s="16">
        <v>43402</v>
      </c>
      <c r="N67" s="16">
        <v>43403</v>
      </c>
      <c r="R67" s="285"/>
    </row>
    <row r="68" spans="1:18">
      <c r="A68" t="s">
        <v>1869</v>
      </c>
      <c r="B68">
        <v>202</v>
      </c>
      <c r="C68" t="s">
        <v>2504</v>
      </c>
      <c r="D68">
        <v>0.61839999999999995</v>
      </c>
      <c r="E68">
        <v>7.7754000000000003</v>
      </c>
      <c r="F68">
        <v>0.22239999999999999</v>
      </c>
      <c r="G68" s="284">
        <f t="shared" si="9"/>
        <v>7.9978000000000007</v>
      </c>
      <c r="H68" s="284">
        <v>7.8433000000000002</v>
      </c>
      <c r="I68" s="284">
        <f t="shared" si="8"/>
        <v>0.15450000000000053</v>
      </c>
      <c r="J68" s="283">
        <f t="shared" si="10"/>
        <v>6.7899999999999461E-2</v>
      </c>
      <c r="K68" s="285">
        <f t="shared" si="11"/>
        <v>30.530575539568105</v>
      </c>
      <c r="L68">
        <v>36</v>
      </c>
      <c r="M68" s="16">
        <v>43395</v>
      </c>
      <c r="N68" s="16">
        <v>43396</v>
      </c>
      <c r="R68" s="285"/>
    </row>
    <row r="69" spans="1:18">
      <c r="A69" t="s">
        <v>1868</v>
      </c>
      <c r="B69">
        <v>199</v>
      </c>
      <c r="C69" t="s">
        <v>2504</v>
      </c>
      <c r="D69">
        <v>0.43680000000000002</v>
      </c>
      <c r="E69">
        <v>10.126300000000001</v>
      </c>
      <c r="F69">
        <v>0.20269999999999999</v>
      </c>
      <c r="G69">
        <f t="shared" si="9"/>
        <v>10.329000000000001</v>
      </c>
      <c r="H69">
        <v>10.1569</v>
      </c>
      <c r="I69" s="284">
        <f t="shared" si="8"/>
        <v>0.17210000000000036</v>
      </c>
      <c r="J69" s="283">
        <f t="shared" si="10"/>
        <v>3.0599999999999627E-2</v>
      </c>
      <c r="K69" s="285">
        <f t="shared" si="11"/>
        <v>15.096201282683586</v>
      </c>
      <c r="L69">
        <v>29</v>
      </c>
      <c r="M69" s="16">
        <v>43399</v>
      </c>
      <c r="N69" s="16">
        <v>43400</v>
      </c>
      <c r="R69" s="285"/>
    </row>
    <row r="70" spans="1:18">
      <c r="A70" t="s">
        <v>1867</v>
      </c>
      <c r="C70" t="s">
        <v>3473</v>
      </c>
      <c r="D70">
        <v>0.71299999999999997</v>
      </c>
      <c r="E70">
        <v>10.2034</v>
      </c>
      <c r="F70">
        <v>0.20280000000000001</v>
      </c>
      <c r="G70" s="284">
        <f t="shared" si="9"/>
        <v>10.4062</v>
      </c>
      <c r="H70" s="284">
        <v>10.277200000000001</v>
      </c>
      <c r="I70" s="284">
        <f t="shared" si="8"/>
        <v>0.12899999999999956</v>
      </c>
      <c r="J70" s="283">
        <f t="shared" si="10"/>
        <v>7.3800000000000449E-2</v>
      </c>
      <c r="K70" s="285">
        <f t="shared" si="11"/>
        <v>36.390532544378914</v>
      </c>
      <c r="L70">
        <v>5</v>
      </c>
      <c r="M70" s="286">
        <v>43363</v>
      </c>
      <c r="N70" s="286">
        <v>43364</v>
      </c>
      <c r="O70" s="283" t="s">
        <v>3756</v>
      </c>
      <c r="P70" t="s">
        <v>3757</v>
      </c>
      <c r="R70" s="285"/>
    </row>
    <row r="71" spans="1:18">
      <c r="A71" t="s">
        <v>1866</v>
      </c>
      <c r="C71" t="s">
        <v>3758</v>
      </c>
      <c r="D71">
        <v>0.79810000000000003</v>
      </c>
      <c r="E71">
        <v>10.6745</v>
      </c>
      <c r="F71">
        <v>0.21310000000000001</v>
      </c>
      <c r="G71" s="284">
        <f t="shared" si="9"/>
        <v>10.887600000000001</v>
      </c>
      <c r="H71" s="284">
        <v>10.7004</v>
      </c>
      <c r="I71" s="284">
        <f t="shared" si="8"/>
        <v>0.1872000000000007</v>
      </c>
      <c r="J71" s="283">
        <f t="shared" si="10"/>
        <v>2.5899999999999312E-2</v>
      </c>
      <c r="K71" s="285">
        <f t="shared" si="11"/>
        <v>12.153918348193013</v>
      </c>
      <c r="L71">
        <v>21</v>
      </c>
      <c r="M71" s="286">
        <v>43363</v>
      </c>
      <c r="N71" s="286">
        <v>43364</v>
      </c>
      <c r="R71" s="285"/>
    </row>
    <row r="72" spans="1:18">
      <c r="A72" t="s">
        <v>1865</v>
      </c>
      <c r="C72" t="s">
        <v>3469</v>
      </c>
      <c r="D72">
        <v>0.55979999999999996</v>
      </c>
      <c r="E72">
        <v>10.1454</v>
      </c>
      <c r="F72">
        <v>0.2049</v>
      </c>
      <c r="G72" s="284">
        <f t="shared" si="9"/>
        <v>10.350300000000001</v>
      </c>
      <c r="H72" s="284">
        <v>10.1907</v>
      </c>
      <c r="I72" s="284">
        <f t="shared" si="8"/>
        <v>0.15960000000000107</v>
      </c>
      <c r="J72" s="283">
        <f t="shared" si="10"/>
        <v>4.5299999999998924E-2</v>
      </c>
      <c r="K72" s="285">
        <f t="shared" si="11"/>
        <v>22.108345534406503</v>
      </c>
      <c r="L72">
        <v>30</v>
      </c>
      <c r="M72" s="286">
        <v>43374</v>
      </c>
      <c r="N72" s="286">
        <v>43375</v>
      </c>
      <c r="O72" s="283" t="s">
        <v>3730</v>
      </c>
      <c r="R72" s="285"/>
    </row>
    <row r="73" spans="1:18">
      <c r="A73" t="s">
        <v>1864</v>
      </c>
      <c r="B73">
        <v>200</v>
      </c>
      <c r="C73" t="s">
        <v>2504</v>
      </c>
      <c r="D73">
        <v>0.502</v>
      </c>
      <c r="E73">
        <v>7.4816000000000003</v>
      </c>
      <c r="F73">
        <v>0.23400000000000001</v>
      </c>
      <c r="G73">
        <f t="shared" si="9"/>
        <v>7.7156000000000002</v>
      </c>
      <c r="H73">
        <v>7.5110999999999999</v>
      </c>
      <c r="I73" s="284">
        <f t="shared" si="8"/>
        <v>0.20450000000000035</v>
      </c>
      <c r="J73" s="283">
        <f t="shared" si="10"/>
        <v>2.9499999999999665E-2</v>
      </c>
      <c r="K73" s="285">
        <f t="shared" si="11"/>
        <v>12.606837606837463</v>
      </c>
      <c r="L73">
        <v>24</v>
      </c>
      <c r="M73" s="16">
        <v>43399</v>
      </c>
      <c r="N73" s="16">
        <v>43400</v>
      </c>
      <c r="R73" s="285"/>
    </row>
    <row r="74" spans="1:18">
      <c r="A74" t="s">
        <v>1863</v>
      </c>
      <c r="C74" t="s">
        <v>3784</v>
      </c>
      <c r="D74">
        <v>0.96719999999999995</v>
      </c>
      <c r="E74">
        <v>9.0335000000000001</v>
      </c>
      <c r="F74">
        <v>0.2082</v>
      </c>
      <c r="G74">
        <f t="shared" si="9"/>
        <v>9.2416999999999998</v>
      </c>
      <c r="H74">
        <v>9.0564</v>
      </c>
      <c r="I74" s="284">
        <f t="shared" si="8"/>
        <v>0.1852999999999998</v>
      </c>
      <c r="J74" s="283">
        <f t="shared" si="10"/>
        <v>2.2900000000000198E-2</v>
      </c>
      <c r="K74" s="285">
        <f t="shared" si="11"/>
        <v>10.999039385206627</v>
      </c>
      <c r="L74">
        <v>12</v>
      </c>
      <c r="M74" s="16">
        <v>43399</v>
      </c>
      <c r="N74" s="16">
        <v>43400</v>
      </c>
      <c r="R74" s="285"/>
    </row>
    <row r="75" spans="1:18">
      <c r="A75" t="s">
        <v>1862</v>
      </c>
      <c r="C75" t="s">
        <v>3673</v>
      </c>
      <c r="D75">
        <v>1.6246</v>
      </c>
      <c r="E75">
        <v>8.0631000000000004</v>
      </c>
      <c r="F75">
        <v>0.20319999999999999</v>
      </c>
      <c r="G75" s="284">
        <f t="shared" si="9"/>
        <v>8.2663000000000011</v>
      </c>
      <c r="H75" s="284">
        <v>8.0751000000000008</v>
      </c>
      <c r="I75" s="284">
        <f>(G75-H75)</f>
        <v>0.19120000000000026</v>
      </c>
      <c r="J75" s="283">
        <f t="shared" si="10"/>
        <v>1.1999999999999733E-2</v>
      </c>
      <c r="K75" s="285">
        <f t="shared" si="11"/>
        <v>5.9055118110234908</v>
      </c>
      <c r="L75">
        <v>17</v>
      </c>
      <c r="M75" s="16">
        <v>43358</v>
      </c>
      <c r="N75" s="16">
        <v>43358</v>
      </c>
      <c r="R75" s="285"/>
    </row>
    <row r="76" spans="1:18">
      <c r="A76" t="s">
        <v>1861</v>
      </c>
      <c r="C76" t="s">
        <v>3765</v>
      </c>
      <c r="D76">
        <v>0.57599999999999996</v>
      </c>
      <c r="E76">
        <v>9.8216000000000001</v>
      </c>
      <c r="F76">
        <v>0.20580000000000001</v>
      </c>
      <c r="G76" s="288">
        <f t="shared" si="9"/>
        <v>10.0274</v>
      </c>
      <c r="H76" s="284">
        <v>9.8629999999999995</v>
      </c>
      <c r="I76" s="288">
        <f t="shared" ref="I76:I83" si="12">G76-H76</f>
        <v>0.16440000000000055</v>
      </c>
      <c r="J76" s="283">
        <f t="shared" si="10"/>
        <v>4.1399999999999465E-2</v>
      </c>
      <c r="K76" s="285">
        <f t="shared" si="11"/>
        <v>20.116618075801487</v>
      </c>
      <c r="L76">
        <v>34</v>
      </c>
      <c r="M76" s="286">
        <v>43379</v>
      </c>
      <c r="N76" s="286">
        <v>43379</v>
      </c>
      <c r="R76" s="285"/>
    </row>
    <row r="77" spans="1:18">
      <c r="A77" t="s">
        <v>1860</v>
      </c>
      <c r="C77" t="s">
        <v>3744</v>
      </c>
      <c r="D77">
        <v>1.5517000000000001</v>
      </c>
      <c r="E77">
        <v>20.988499999999998</v>
      </c>
      <c r="F77">
        <v>0.2056</v>
      </c>
      <c r="G77" s="284">
        <f t="shared" si="9"/>
        <v>21.194099999999999</v>
      </c>
      <c r="H77" s="284">
        <v>21.000900000000001</v>
      </c>
      <c r="I77" s="284">
        <f t="shared" si="12"/>
        <v>0.19319999999999737</v>
      </c>
      <c r="J77" s="283">
        <f t="shared" si="10"/>
        <v>1.2400000000002631E-2</v>
      </c>
      <c r="K77" s="285">
        <f t="shared" si="11"/>
        <v>6.0311284046705405</v>
      </c>
      <c r="L77">
        <v>10</v>
      </c>
      <c r="M77" s="286">
        <v>43362</v>
      </c>
      <c r="N77" s="286">
        <v>43363</v>
      </c>
      <c r="O77" s="283"/>
      <c r="R77" s="285"/>
    </row>
    <row r="78" spans="1:18">
      <c r="A78" t="s">
        <v>1857</v>
      </c>
      <c r="C78" t="s">
        <v>3755</v>
      </c>
      <c r="D78">
        <v>1.7357</v>
      </c>
      <c r="E78">
        <v>11.1074</v>
      </c>
      <c r="F78">
        <v>0.22459999999999999</v>
      </c>
      <c r="G78" s="284">
        <f t="shared" si="9"/>
        <v>11.332000000000001</v>
      </c>
      <c r="H78" s="284">
        <v>11.122</v>
      </c>
      <c r="I78" s="284">
        <f t="shared" si="12"/>
        <v>0.21000000000000085</v>
      </c>
      <c r="J78" s="283">
        <f t="shared" si="10"/>
        <v>1.4599999999999141E-2</v>
      </c>
      <c r="K78" s="285">
        <f t="shared" si="11"/>
        <v>6.5004452359746852</v>
      </c>
      <c r="L78">
        <v>38</v>
      </c>
      <c r="M78" s="286">
        <v>43362</v>
      </c>
      <c r="N78" s="286">
        <v>43363</v>
      </c>
      <c r="R78" s="285"/>
    </row>
    <row r="79" spans="1:18">
      <c r="A79" t="s">
        <v>1856</v>
      </c>
      <c r="C79" t="s">
        <v>3489</v>
      </c>
      <c r="D79">
        <v>1.4026000000000001</v>
      </c>
      <c r="E79">
        <v>10.795199999999999</v>
      </c>
      <c r="F79">
        <v>0.23599999999999999</v>
      </c>
      <c r="G79" s="284">
        <f t="shared" si="9"/>
        <v>11.0312</v>
      </c>
      <c r="H79" s="284">
        <v>10.811999999999999</v>
      </c>
      <c r="I79" s="284">
        <f t="shared" si="12"/>
        <v>0.21920000000000073</v>
      </c>
      <c r="J79" s="283">
        <f t="shared" si="10"/>
        <v>1.679999999999926E-2</v>
      </c>
      <c r="K79" s="285">
        <f t="shared" si="11"/>
        <v>7.1186440677962963</v>
      </c>
      <c r="L79">
        <v>27</v>
      </c>
      <c r="M79" s="286">
        <v>43374</v>
      </c>
      <c r="N79" s="286">
        <v>43375</v>
      </c>
      <c r="O79" s="283" t="s">
        <v>3730</v>
      </c>
      <c r="R79" s="285"/>
    </row>
    <row r="80" spans="1:18">
      <c r="A80" t="s">
        <v>1854</v>
      </c>
      <c r="B80">
        <v>219</v>
      </c>
      <c r="C80" t="s">
        <v>2504</v>
      </c>
      <c r="D80">
        <v>0.39419999999999999</v>
      </c>
      <c r="E80">
        <v>8.7696000000000005</v>
      </c>
      <c r="F80">
        <v>0.2031</v>
      </c>
      <c r="G80" s="284">
        <f t="shared" si="9"/>
        <v>8.9726999999999997</v>
      </c>
      <c r="H80" s="284">
        <v>8.8156999999999996</v>
      </c>
      <c r="I80" s="284">
        <f t="shared" si="12"/>
        <v>0.15700000000000003</v>
      </c>
      <c r="J80" s="283">
        <f t="shared" si="10"/>
        <v>4.6099999999999974E-2</v>
      </c>
      <c r="K80" s="285">
        <f t="shared" si="11"/>
        <v>22.698178237321503</v>
      </c>
      <c r="L80">
        <v>27</v>
      </c>
      <c r="M80" s="16">
        <v>43395</v>
      </c>
      <c r="N80" s="16">
        <v>43396</v>
      </c>
      <c r="R80" s="285"/>
    </row>
    <row r="81" spans="1:18">
      <c r="A81" t="s">
        <v>1853</v>
      </c>
      <c r="C81" t="s">
        <v>3487</v>
      </c>
      <c r="D81">
        <v>1.0368999999999999</v>
      </c>
      <c r="E81">
        <v>9.0328999999999997</v>
      </c>
      <c r="F81">
        <v>0.22339999999999999</v>
      </c>
      <c r="G81" s="284">
        <f t="shared" si="9"/>
        <v>9.2562999999999995</v>
      </c>
      <c r="H81" s="284">
        <v>9.0556999999999999</v>
      </c>
      <c r="I81" s="284">
        <f t="shared" si="12"/>
        <v>0.20059999999999967</v>
      </c>
      <c r="J81" s="283">
        <f t="shared" si="10"/>
        <v>2.280000000000032E-2</v>
      </c>
      <c r="K81" s="285">
        <f t="shared" si="11"/>
        <v>10.205908683975077</v>
      </c>
      <c r="L81">
        <v>16</v>
      </c>
      <c r="M81" s="286">
        <v>43374</v>
      </c>
      <c r="N81" s="286">
        <v>43375</v>
      </c>
      <c r="O81" s="283" t="s">
        <v>3730</v>
      </c>
      <c r="R81" s="285"/>
    </row>
    <row r="82" spans="1:18">
      <c r="A82" t="s">
        <v>1852</v>
      </c>
      <c r="C82" t="s">
        <v>3492</v>
      </c>
      <c r="D82">
        <v>1.1795</v>
      </c>
      <c r="E82">
        <v>10.5045</v>
      </c>
      <c r="F82">
        <v>0.23860000000000001</v>
      </c>
      <c r="G82" s="284">
        <f t="shared" si="9"/>
        <v>10.7431</v>
      </c>
      <c r="H82" s="284">
        <v>10.528600000000001</v>
      </c>
      <c r="I82" s="284">
        <f t="shared" si="12"/>
        <v>0.21449999999999925</v>
      </c>
      <c r="J82" s="283">
        <f t="shared" si="10"/>
        <v>2.410000000000076E-2</v>
      </c>
      <c r="K82" s="285">
        <f t="shared" si="11"/>
        <v>10.100586756077433</v>
      </c>
      <c r="L82">
        <v>24</v>
      </c>
      <c r="M82" s="286">
        <v>43363</v>
      </c>
      <c r="N82" s="286">
        <v>43364</v>
      </c>
      <c r="R82" s="285"/>
    </row>
    <row r="83" spans="1:18">
      <c r="A83" t="s">
        <v>2048</v>
      </c>
      <c r="C83" t="s">
        <v>3754</v>
      </c>
      <c r="D83">
        <v>1.3561000000000001</v>
      </c>
      <c r="E83">
        <v>9.9193999999999996</v>
      </c>
      <c r="F83">
        <v>0.2041</v>
      </c>
      <c r="G83" s="284">
        <f t="shared" si="9"/>
        <v>10.1235</v>
      </c>
      <c r="H83" s="284">
        <v>9.9764999999999997</v>
      </c>
      <c r="I83" s="284">
        <f t="shared" si="12"/>
        <v>0.14700000000000024</v>
      </c>
      <c r="J83" s="283">
        <f t="shared" si="10"/>
        <v>5.7099999999999762E-2</v>
      </c>
      <c r="K83" s="285">
        <f t="shared" si="11"/>
        <v>27.976482116609386</v>
      </c>
      <c r="L83">
        <v>7</v>
      </c>
      <c r="M83" s="286">
        <v>43363</v>
      </c>
      <c r="N83" s="286">
        <v>43364</v>
      </c>
      <c r="O83" s="283" t="s">
        <v>3756</v>
      </c>
      <c r="R83" s="285"/>
    </row>
    <row r="84" spans="1:18">
      <c r="A84" t="s">
        <v>2030</v>
      </c>
      <c r="C84" t="s">
        <v>3719</v>
      </c>
      <c r="D84">
        <v>0.94489999999999996</v>
      </c>
      <c r="E84">
        <v>8.1201000000000008</v>
      </c>
      <c r="F84">
        <v>0.21329999999999999</v>
      </c>
      <c r="G84" s="284">
        <f t="shared" si="9"/>
        <v>8.333400000000001</v>
      </c>
      <c r="H84" s="284">
        <v>8.1453000000000007</v>
      </c>
      <c r="I84" s="284">
        <f>(G84-H84)</f>
        <v>0.18810000000000038</v>
      </c>
      <c r="J84" s="283">
        <f t="shared" si="10"/>
        <v>2.5199999999999612E-2</v>
      </c>
      <c r="K84" s="285">
        <f t="shared" si="11"/>
        <v>11.814345991561</v>
      </c>
      <c r="L84">
        <v>26</v>
      </c>
      <c r="M84" s="286">
        <v>43360</v>
      </c>
      <c r="N84" s="286">
        <v>43361</v>
      </c>
      <c r="O84" s="283" t="s">
        <v>3707</v>
      </c>
      <c r="R84" s="285"/>
    </row>
    <row r="85" spans="1:18">
      <c r="A85" t="s">
        <v>1850</v>
      </c>
      <c r="C85" t="s">
        <v>3763</v>
      </c>
      <c r="D85">
        <v>0.58140000000000003</v>
      </c>
      <c r="E85">
        <v>10.315099999999999</v>
      </c>
      <c r="F85">
        <v>0.20649999999999999</v>
      </c>
      <c r="G85" s="288">
        <f t="shared" si="9"/>
        <v>10.521599999999999</v>
      </c>
      <c r="H85" s="284">
        <v>10.353400000000001</v>
      </c>
      <c r="I85" s="288">
        <f t="shared" ref="I85:I90" si="13">G85-H85</f>
        <v>0.16819999999999879</v>
      </c>
      <c r="J85" s="283">
        <f t="shared" si="10"/>
        <v>3.8300000000001194E-2</v>
      </c>
      <c r="K85" s="285">
        <f t="shared" si="11"/>
        <v>18.547215496368619</v>
      </c>
      <c r="L85">
        <v>16</v>
      </c>
      <c r="M85" s="286">
        <v>43379</v>
      </c>
      <c r="N85" s="286">
        <v>43379</v>
      </c>
      <c r="O85" s="283"/>
      <c r="R85" s="285"/>
    </row>
    <row r="86" spans="1:18">
      <c r="A86" t="s">
        <v>1846</v>
      </c>
      <c r="B86">
        <v>217</v>
      </c>
      <c r="C86" t="s">
        <v>2504</v>
      </c>
      <c r="D86">
        <v>0.6381</v>
      </c>
      <c r="E86">
        <v>10.202999999999999</v>
      </c>
      <c r="F86">
        <v>0.20599999999999999</v>
      </c>
      <c r="G86" s="284">
        <f t="shared" si="9"/>
        <v>10.408999999999999</v>
      </c>
      <c r="H86" s="284">
        <v>10.242900000000001</v>
      </c>
      <c r="I86" s="284">
        <f t="shared" si="13"/>
        <v>0.16609999999999836</v>
      </c>
      <c r="J86" s="283">
        <f t="shared" si="10"/>
        <v>3.9900000000001629E-2</v>
      </c>
      <c r="K86" s="285">
        <f t="shared" si="11"/>
        <v>19.368932038835744</v>
      </c>
      <c r="L86">
        <v>14</v>
      </c>
      <c r="M86" s="16">
        <v>43399</v>
      </c>
      <c r="N86" s="16">
        <v>43400</v>
      </c>
      <c r="R86" s="285"/>
    </row>
    <row r="87" spans="1:18">
      <c r="A87" t="s">
        <v>1845</v>
      </c>
      <c r="C87" t="s">
        <v>3695</v>
      </c>
      <c r="D87">
        <v>0.65239999999999998</v>
      </c>
      <c r="E87">
        <v>7.1909999999999998</v>
      </c>
      <c r="F87">
        <v>0.20280000000000001</v>
      </c>
      <c r="G87" s="288">
        <f t="shared" si="9"/>
        <v>7.3937999999999997</v>
      </c>
      <c r="H87" s="284">
        <v>7.2282999999999999</v>
      </c>
      <c r="I87" s="288">
        <f t="shared" si="13"/>
        <v>0.16549999999999976</v>
      </c>
      <c r="J87" s="283">
        <f t="shared" si="10"/>
        <v>3.730000000000025E-2</v>
      </c>
      <c r="K87" s="285">
        <f t="shared" si="11"/>
        <v>18.392504930966592</v>
      </c>
      <c r="L87">
        <v>41</v>
      </c>
      <c r="M87" s="286">
        <v>43379</v>
      </c>
      <c r="N87" s="286">
        <v>43379</v>
      </c>
      <c r="R87" s="285"/>
    </row>
    <row r="88" spans="1:18">
      <c r="A88" t="s">
        <v>1844</v>
      </c>
      <c r="C88" t="s">
        <v>3765</v>
      </c>
      <c r="D88">
        <v>0.58940000000000003</v>
      </c>
      <c r="E88">
        <v>20.9283</v>
      </c>
      <c r="F88">
        <v>0.22589999999999999</v>
      </c>
      <c r="G88" s="284">
        <f t="shared" si="9"/>
        <v>21.154199999999999</v>
      </c>
      <c r="H88" s="284">
        <v>20.974399999999999</v>
      </c>
      <c r="I88" s="284">
        <f t="shared" si="13"/>
        <v>0.17980000000000018</v>
      </c>
      <c r="J88" s="283">
        <f t="shared" si="10"/>
        <v>4.6099999999999808E-2</v>
      </c>
      <c r="K88" s="285">
        <f t="shared" si="11"/>
        <v>20.407259849490842</v>
      </c>
      <c r="L88">
        <v>42</v>
      </c>
      <c r="M88" s="286">
        <v>43363</v>
      </c>
      <c r="N88" s="286">
        <v>43364</v>
      </c>
      <c r="R88" s="285"/>
    </row>
    <row r="89" spans="1:18">
      <c r="A89" t="s">
        <v>1843</v>
      </c>
      <c r="C89" t="s">
        <v>3420</v>
      </c>
      <c r="D89">
        <v>0.59960000000000002</v>
      </c>
      <c r="E89">
        <v>8.1325000000000003</v>
      </c>
      <c r="F89">
        <v>0.20519999999999999</v>
      </c>
      <c r="G89" s="284">
        <f t="shared" si="9"/>
        <v>8.3376999999999999</v>
      </c>
      <c r="H89" s="284">
        <v>8.1774000000000004</v>
      </c>
      <c r="I89" s="284">
        <f t="shared" si="13"/>
        <v>0.16029999999999944</v>
      </c>
      <c r="J89" s="283">
        <f t="shared" si="10"/>
        <v>4.4900000000000551E-2</v>
      </c>
      <c r="K89" s="285">
        <f t="shared" si="11"/>
        <v>21.881091617933993</v>
      </c>
      <c r="L89">
        <v>13</v>
      </c>
      <c r="M89" s="16">
        <v>43388</v>
      </c>
      <c r="N89" s="286">
        <v>43389</v>
      </c>
      <c r="O89" s="286"/>
      <c r="P89" s="283"/>
      <c r="R89" s="285"/>
    </row>
    <row r="90" spans="1:18">
      <c r="A90" t="s">
        <v>1841</v>
      </c>
      <c r="C90" t="s">
        <v>3751</v>
      </c>
      <c r="D90">
        <v>1.7410000000000001</v>
      </c>
      <c r="E90">
        <v>11.905099999999999</v>
      </c>
      <c r="F90">
        <v>0.23580000000000001</v>
      </c>
      <c r="G90" s="284">
        <f t="shared" si="9"/>
        <v>12.140899999999998</v>
      </c>
      <c r="H90" s="284">
        <v>11.917899999999999</v>
      </c>
      <c r="I90" s="284">
        <f t="shared" si="13"/>
        <v>0.22299999999999898</v>
      </c>
      <c r="J90" s="283">
        <f t="shared" si="10"/>
        <v>1.2800000000001033E-2</v>
      </c>
      <c r="K90" s="285">
        <f t="shared" si="11"/>
        <v>5.4283290924516674</v>
      </c>
      <c r="L90">
        <v>8</v>
      </c>
      <c r="M90">
        <v>23.101800000000001</v>
      </c>
      <c r="N90" s="16">
        <v>43397</v>
      </c>
      <c r="R90" s="285"/>
    </row>
    <row r="91" spans="1:18">
      <c r="A91" t="s">
        <v>2029</v>
      </c>
      <c r="C91" t="s">
        <v>3488</v>
      </c>
      <c r="D91">
        <v>0</v>
      </c>
      <c r="E91">
        <v>0</v>
      </c>
      <c r="F91">
        <v>0</v>
      </c>
      <c r="G91">
        <v>0</v>
      </c>
      <c r="H91">
        <v>0</v>
      </c>
      <c r="I91">
        <v>0</v>
      </c>
      <c r="J91">
        <v>0</v>
      </c>
      <c r="K91">
        <v>0</v>
      </c>
    </row>
    <row r="92" spans="1:18">
      <c r="A92" t="s">
        <v>1839</v>
      </c>
      <c r="B92">
        <v>201</v>
      </c>
      <c r="D92">
        <v>0.49409999999999998</v>
      </c>
      <c r="E92">
        <v>11.748100000000001</v>
      </c>
      <c r="F92">
        <v>0.20699999999999999</v>
      </c>
      <c r="G92" s="284">
        <f t="shared" ref="G92:G123" si="14">E92+F92</f>
        <v>11.955100000000002</v>
      </c>
      <c r="H92" s="284">
        <v>11.8874</v>
      </c>
      <c r="I92" s="284">
        <f>G92-H92</f>
        <v>6.7700000000002092E-2</v>
      </c>
      <c r="J92" s="283">
        <f t="shared" ref="J92:J155" si="15">F92-I92</f>
        <v>0.1392999999999979</v>
      </c>
      <c r="K92" s="285">
        <f t="shared" ref="K92:K155" si="16">(J92/F92)*100</f>
        <v>67.294685990337157</v>
      </c>
      <c r="L92">
        <v>1</v>
      </c>
      <c r="M92">
        <v>23.101800000000001</v>
      </c>
      <c r="N92" s="16">
        <v>43397</v>
      </c>
      <c r="R92" s="285"/>
    </row>
    <row r="93" spans="1:18">
      <c r="A93" t="s">
        <v>1837</v>
      </c>
      <c r="C93" t="s">
        <v>3417</v>
      </c>
      <c r="D93">
        <v>0.42020000000000002</v>
      </c>
      <c r="E93">
        <v>10.9038</v>
      </c>
      <c r="F93">
        <v>0.2026</v>
      </c>
      <c r="G93" s="284">
        <f t="shared" si="14"/>
        <v>11.106400000000001</v>
      </c>
      <c r="H93" s="284">
        <v>10.960699999999999</v>
      </c>
      <c r="I93" s="284">
        <f>G93-H93</f>
        <v>0.14570000000000149</v>
      </c>
      <c r="J93" s="283">
        <f t="shared" si="15"/>
        <v>5.6899999999998507E-2</v>
      </c>
      <c r="K93" s="285">
        <f t="shared" si="16"/>
        <v>28.084896347481987</v>
      </c>
      <c r="L93">
        <v>2</v>
      </c>
      <c r="M93" s="16">
        <v>43399</v>
      </c>
      <c r="N93" s="16">
        <v>43400</v>
      </c>
      <c r="R93" s="285"/>
    </row>
    <row r="94" spans="1:18">
      <c r="A94" t="s">
        <v>1835</v>
      </c>
      <c r="C94" t="s">
        <v>3662</v>
      </c>
      <c r="D94">
        <v>1.7544</v>
      </c>
      <c r="E94">
        <v>10.107200000000001</v>
      </c>
      <c r="F94">
        <v>0.2011</v>
      </c>
      <c r="G94" s="284">
        <f t="shared" si="14"/>
        <v>10.308300000000001</v>
      </c>
      <c r="H94" s="284">
        <v>10.1173</v>
      </c>
      <c r="I94" s="284">
        <f>(G94-H94)</f>
        <v>0.19100000000000072</v>
      </c>
      <c r="J94" s="283">
        <f t="shared" si="15"/>
        <v>1.0099999999999276E-2</v>
      </c>
      <c r="K94" s="285">
        <f t="shared" si="16"/>
        <v>5.0223769269016794</v>
      </c>
      <c r="L94">
        <v>4</v>
      </c>
      <c r="M94" s="286">
        <v>43355.625</v>
      </c>
      <c r="N94" s="286">
        <v>43355.791666666664</v>
      </c>
      <c r="O94" s="283" t="s">
        <v>3659</v>
      </c>
      <c r="R94" s="285"/>
    </row>
    <row r="95" spans="1:18">
      <c r="A95" t="s">
        <v>1832</v>
      </c>
      <c r="C95" t="s">
        <v>3683</v>
      </c>
      <c r="D95">
        <v>1.6302000000000001</v>
      </c>
      <c r="E95">
        <v>7.9062000000000001</v>
      </c>
      <c r="F95">
        <v>0.2298</v>
      </c>
      <c r="G95">
        <f t="shared" si="14"/>
        <v>8.1359999999999992</v>
      </c>
      <c r="H95">
        <v>7.9196</v>
      </c>
      <c r="I95">
        <f t="shared" ref="I95:I100" si="17">G95-H95</f>
        <v>0.21639999999999926</v>
      </c>
      <c r="J95" s="283">
        <f t="shared" si="15"/>
        <v>1.3400000000000745E-2</v>
      </c>
      <c r="K95" s="285">
        <f t="shared" si="16"/>
        <v>5.8311575282857895</v>
      </c>
      <c r="M95" s="16">
        <v>43399</v>
      </c>
      <c r="N95" s="16">
        <v>43400</v>
      </c>
      <c r="O95" s="283"/>
      <c r="R95" s="285"/>
    </row>
    <row r="96" spans="1:18">
      <c r="A96" t="s">
        <v>1831</v>
      </c>
      <c r="C96" t="s">
        <v>3752</v>
      </c>
      <c r="D96">
        <v>0.59450000000000003</v>
      </c>
      <c r="E96">
        <v>8.0475999999999992</v>
      </c>
      <c r="F96">
        <v>0.2112</v>
      </c>
      <c r="G96" s="284">
        <f t="shared" si="14"/>
        <v>8.258799999999999</v>
      </c>
      <c r="H96" s="284">
        <v>8.0813000000000006</v>
      </c>
      <c r="I96" s="284">
        <f t="shared" si="17"/>
        <v>0.17749999999999844</v>
      </c>
      <c r="J96" s="283">
        <f t="shared" si="15"/>
        <v>3.3700000000001562E-2</v>
      </c>
      <c r="K96" s="285">
        <f t="shared" si="16"/>
        <v>15.956439393940133</v>
      </c>
      <c r="L96">
        <v>30</v>
      </c>
      <c r="M96" s="16">
        <v>43399</v>
      </c>
      <c r="N96" s="16">
        <v>43400</v>
      </c>
      <c r="R96" s="285"/>
    </row>
    <row r="97" spans="1:18">
      <c r="A97" t="s">
        <v>2028</v>
      </c>
      <c r="C97" t="s">
        <v>3414</v>
      </c>
      <c r="D97">
        <v>0.54469999999999996</v>
      </c>
      <c r="E97">
        <v>10.9232</v>
      </c>
      <c r="F97">
        <v>0.21410000000000001</v>
      </c>
      <c r="G97" s="284">
        <f t="shared" si="14"/>
        <v>11.1373</v>
      </c>
      <c r="H97" s="284">
        <v>10.9648</v>
      </c>
      <c r="I97" s="284">
        <f t="shared" si="17"/>
        <v>0.17249999999999943</v>
      </c>
      <c r="J97" s="283">
        <f t="shared" si="15"/>
        <v>4.1600000000000581E-2</v>
      </c>
      <c r="K97" s="285">
        <f t="shared" si="16"/>
        <v>19.430172816441186</v>
      </c>
      <c r="L97">
        <v>37</v>
      </c>
      <c r="M97">
        <v>23.101800000000001</v>
      </c>
      <c r="N97" s="16">
        <v>43397</v>
      </c>
      <c r="R97" s="285"/>
    </row>
    <row r="98" spans="1:18">
      <c r="A98" t="s">
        <v>1830</v>
      </c>
      <c r="C98" t="s">
        <v>3727</v>
      </c>
      <c r="D98">
        <v>1.8326</v>
      </c>
      <c r="E98">
        <v>10.7447</v>
      </c>
      <c r="F98">
        <v>0.2218</v>
      </c>
      <c r="G98" s="284">
        <f t="shared" si="14"/>
        <v>10.9665</v>
      </c>
      <c r="H98" s="284">
        <v>10.7578</v>
      </c>
      <c r="I98" s="284">
        <f t="shared" si="17"/>
        <v>0.20870000000000033</v>
      </c>
      <c r="J98" s="283">
        <f t="shared" si="15"/>
        <v>1.3099999999999667E-2</v>
      </c>
      <c r="K98" s="285">
        <f t="shared" si="16"/>
        <v>5.9062218214606252</v>
      </c>
      <c r="L98">
        <v>30</v>
      </c>
      <c r="M98" s="16">
        <v>43381</v>
      </c>
      <c r="N98" s="16">
        <v>43382</v>
      </c>
      <c r="R98" s="285"/>
    </row>
    <row r="99" spans="1:18">
      <c r="A99" t="s">
        <v>1829</v>
      </c>
      <c r="C99" t="s">
        <v>3681</v>
      </c>
      <c r="D99">
        <v>0.50380000000000003</v>
      </c>
      <c r="E99">
        <v>8.0962999999999994</v>
      </c>
      <c r="F99">
        <v>0.2049</v>
      </c>
      <c r="G99" s="284">
        <f t="shared" si="14"/>
        <v>8.3011999999999997</v>
      </c>
      <c r="H99" s="284">
        <v>8.1359999999999992</v>
      </c>
      <c r="I99" s="284">
        <f t="shared" si="17"/>
        <v>0.16520000000000046</v>
      </c>
      <c r="J99" s="283">
        <f t="shared" si="15"/>
        <v>3.9699999999999541E-2</v>
      </c>
      <c r="K99" s="285">
        <f t="shared" si="16"/>
        <v>19.375305026842138</v>
      </c>
      <c r="L99">
        <v>36</v>
      </c>
      <c r="M99" s="286">
        <v>43363</v>
      </c>
      <c r="N99" s="286">
        <v>43364</v>
      </c>
      <c r="R99" s="285"/>
    </row>
    <row r="100" spans="1:18">
      <c r="A100" t="s">
        <v>1826</v>
      </c>
      <c r="B100">
        <v>199</v>
      </c>
      <c r="C100" t="s">
        <v>2504</v>
      </c>
      <c r="D100">
        <v>0.35720000000000002</v>
      </c>
      <c r="E100">
        <v>11.9055</v>
      </c>
      <c r="F100">
        <v>0.20030000000000001</v>
      </c>
      <c r="G100">
        <f t="shared" si="14"/>
        <v>12.1058</v>
      </c>
      <c r="H100">
        <v>11.950799999999999</v>
      </c>
      <c r="I100" s="284">
        <f t="shared" si="17"/>
        <v>0.15500000000000114</v>
      </c>
      <c r="J100" s="283">
        <f t="shared" si="15"/>
        <v>4.5299999999998869E-2</v>
      </c>
      <c r="K100" s="285">
        <f t="shared" si="16"/>
        <v>22.616075886170179</v>
      </c>
      <c r="L100">
        <v>31</v>
      </c>
      <c r="M100" s="16">
        <v>43399</v>
      </c>
      <c r="N100" s="16">
        <v>43400</v>
      </c>
      <c r="R100" s="285"/>
    </row>
    <row r="101" spans="1:18">
      <c r="A101" t="s">
        <v>1824</v>
      </c>
      <c r="C101" t="s">
        <v>3688</v>
      </c>
      <c r="D101">
        <v>1.6272</v>
      </c>
      <c r="E101">
        <v>10.5214</v>
      </c>
      <c r="F101">
        <v>0.2034</v>
      </c>
      <c r="G101" s="284">
        <f t="shared" si="14"/>
        <v>10.7248</v>
      </c>
      <c r="H101" s="284">
        <v>10.5328</v>
      </c>
      <c r="I101" s="284">
        <f>(G101-H101)</f>
        <v>0.19200000000000017</v>
      </c>
      <c r="J101" s="283">
        <f t="shared" si="15"/>
        <v>1.1399999999999827E-2</v>
      </c>
      <c r="K101" s="285">
        <f t="shared" si="16"/>
        <v>5.6047197640117146</v>
      </c>
      <c r="L101">
        <v>27</v>
      </c>
      <c r="M101" s="286">
        <v>43360</v>
      </c>
      <c r="N101" s="286">
        <v>43361</v>
      </c>
      <c r="R101" s="285"/>
    </row>
    <row r="102" spans="1:18">
      <c r="A102" t="s">
        <v>1823</v>
      </c>
      <c r="C102" t="s">
        <v>3680</v>
      </c>
      <c r="D102">
        <v>1.6253</v>
      </c>
      <c r="E102">
        <v>10.566000000000001</v>
      </c>
      <c r="F102">
        <v>0.22670000000000001</v>
      </c>
      <c r="G102" s="284">
        <f t="shared" si="14"/>
        <v>10.7927</v>
      </c>
      <c r="H102" s="284">
        <v>10.5794</v>
      </c>
      <c r="I102" s="284">
        <f>(G102-H102)</f>
        <v>0.21330000000000027</v>
      </c>
      <c r="J102" s="283">
        <f t="shared" si="15"/>
        <v>1.3399999999999745E-2</v>
      </c>
      <c r="K102" s="285">
        <f t="shared" si="16"/>
        <v>5.9108954565503948</v>
      </c>
      <c r="L102">
        <v>3</v>
      </c>
      <c r="M102" s="286">
        <v>43360</v>
      </c>
      <c r="N102" s="286">
        <v>43361</v>
      </c>
      <c r="O102" s="283"/>
      <c r="R102" s="285"/>
    </row>
    <row r="103" spans="1:18">
      <c r="A103" t="s">
        <v>1822</v>
      </c>
      <c r="C103" t="s">
        <v>3749</v>
      </c>
      <c r="D103">
        <v>0.63749999999999996</v>
      </c>
      <c r="E103">
        <v>11.4559</v>
      </c>
      <c r="F103">
        <v>0.20349999999999999</v>
      </c>
      <c r="G103" s="284">
        <f t="shared" si="14"/>
        <v>11.6594</v>
      </c>
      <c r="H103" s="284">
        <v>11.4855</v>
      </c>
      <c r="I103" s="284">
        <f>G103-H103</f>
        <v>0.17389999999999972</v>
      </c>
      <c r="J103" s="283">
        <f t="shared" si="15"/>
        <v>2.9600000000000265E-2</v>
      </c>
      <c r="K103" s="285">
        <f t="shared" si="16"/>
        <v>14.545454545454678</v>
      </c>
      <c r="L103">
        <v>30</v>
      </c>
      <c r="M103" s="286">
        <v>43363</v>
      </c>
      <c r="N103" s="286">
        <v>43364</v>
      </c>
      <c r="O103" s="283" t="s">
        <v>3756</v>
      </c>
      <c r="R103" s="285"/>
    </row>
    <row r="104" spans="1:18">
      <c r="A104" t="s">
        <v>2027</v>
      </c>
      <c r="C104" t="s">
        <v>3749</v>
      </c>
      <c r="D104">
        <v>0.74039999999999995</v>
      </c>
      <c r="E104">
        <v>9.1983999999999995</v>
      </c>
      <c r="F104">
        <v>0.2145</v>
      </c>
      <c r="G104" s="284">
        <f t="shared" si="14"/>
        <v>9.4128999999999987</v>
      </c>
      <c r="H104" s="284">
        <v>9.2392000000000003</v>
      </c>
      <c r="I104" s="284">
        <f>G104-H104</f>
        <v>0.17369999999999841</v>
      </c>
      <c r="J104" s="283">
        <f t="shared" si="15"/>
        <v>4.0800000000001585E-2</v>
      </c>
      <c r="K104" s="285">
        <f t="shared" si="16"/>
        <v>19.020979020979762</v>
      </c>
      <c r="L104">
        <v>21</v>
      </c>
      <c r="M104" s="286">
        <v>43362</v>
      </c>
      <c r="N104" s="286">
        <v>43363</v>
      </c>
      <c r="R104" s="285"/>
    </row>
    <row r="105" spans="1:18">
      <c r="A105" t="s">
        <v>1820</v>
      </c>
      <c r="B105">
        <v>207</v>
      </c>
      <c r="D105">
        <v>0.56999999999999995</v>
      </c>
      <c r="E105">
        <v>7.3182999999999998</v>
      </c>
      <c r="F105">
        <v>0.20449999999999999</v>
      </c>
      <c r="G105" s="284">
        <f t="shared" si="14"/>
        <v>7.5228000000000002</v>
      </c>
      <c r="H105" s="284">
        <v>7.3601999999999999</v>
      </c>
      <c r="I105" s="284">
        <f>G105-H105</f>
        <v>0.1626000000000003</v>
      </c>
      <c r="J105" s="283">
        <f t="shared" si="15"/>
        <v>4.1899999999999687E-2</v>
      </c>
      <c r="K105" s="285">
        <f t="shared" si="16"/>
        <v>20.488997555012073</v>
      </c>
      <c r="L105">
        <v>42</v>
      </c>
      <c r="M105" s="16">
        <v>43388</v>
      </c>
      <c r="N105" s="286">
        <v>43389</v>
      </c>
      <c r="O105" s="16"/>
      <c r="R105" s="285"/>
    </row>
    <row r="106" spans="1:18">
      <c r="A106" t="s">
        <v>1819</v>
      </c>
      <c r="C106" t="s">
        <v>3737</v>
      </c>
      <c r="D106">
        <v>0.57020000000000004</v>
      </c>
      <c r="E106">
        <v>20.858000000000001</v>
      </c>
      <c r="F106">
        <v>0.2084</v>
      </c>
      <c r="G106" s="284">
        <f t="shared" si="14"/>
        <v>21.066400000000002</v>
      </c>
      <c r="H106" s="284">
        <v>20.914400000000001</v>
      </c>
      <c r="I106" s="284">
        <f>G106-H106</f>
        <v>0.15200000000000102</v>
      </c>
      <c r="J106" s="283">
        <f t="shared" si="15"/>
        <v>5.6399999999998979E-2</v>
      </c>
      <c r="K106" s="285">
        <f t="shared" si="16"/>
        <v>27.063339731285495</v>
      </c>
      <c r="L106">
        <v>36</v>
      </c>
      <c r="M106" s="286">
        <v>43361</v>
      </c>
      <c r="N106" s="286">
        <v>43362</v>
      </c>
      <c r="O106" s="283" t="s">
        <v>3730</v>
      </c>
      <c r="R106" s="285"/>
    </row>
    <row r="107" spans="1:18">
      <c r="A107" t="s">
        <v>1818</v>
      </c>
      <c r="C107" t="s">
        <v>3412</v>
      </c>
      <c r="D107">
        <v>0.62060000000000004</v>
      </c>
      <c r="E107">
        <v>10.541</v>
      </c>
      <c r="F107">
        <v>0.20349999999999999</v>
      </c>
      <c r="G107" s="284">
        <f t="shared" si="14"/>
        <v>10.7445</v>
      </c>
      <c r="H107" s="284">
        <v>10.5946</v>
      </c>
      <c r="I107" s="284">
        <f>G107-H107</f>
        <v>0.14990000000000059</v>
      </c>
      <c r="J107" s="283">
        <f t="shared" si="15"/>
        <v>5.3599999999999398E-2</v>
      </c>
      <c r="K107" s="285">
        <f t="shared" si="16"/>
        <v>26.339066339066047</v>
      </c>
      <c r="L107">
        <v>31</v>
      </c>
      <c r="M107" s="16">
        <v>43399</v>
      </c>
      <c r="N107" s="16">
        <v>43400</v>
      </c>
      <c r="R107" s="285"/>
    </row>
    <row r="108" spans="1:18">
      <c r="A108" t="s">
        <v>1817</v>
      </c>
      <c r="C108" t="s">
        <v>3675</v>
      </c>
      <c r="D108">
        <v>1.5526</v>
      </c>
      <c r="E108">
        <v>11.023</v>
      </c>
      <c r="F108">
        <v>0.20519999999999999</v>
      </c>
      <c r="G108" s="284">
        <f t="shared" si="14"/>
        <v>11.228199999999999</v>
      </c>
      <c r="H108" s="284">
        <v>11.036</v>
      </c>
      <c r="I108" s="284">
        <f>(G108-H108)</f>
        <v>0.1921999999999997</v>
      </c>
      <c r="J108" s="283">
        <f t="shared" si="15"/>
        <v>1.3000000000000289E-2</v>
      </c>
      <c r="K108" s="285">
        <f t="shared" si="16"/>
        <v>6.3352826510722657</v>
      </c>
      <c r="L108">
        <v>26</v>
      </c>
      <c r="M108" s="16">
        <v>43358</v>
      </c>
      <c r="N108" s="16">
        <v>43358</v>
      </c>
      <c r="R108" s="285"/>
    </row>
    <row r="109" spans="1:18">
      <c r="A109" t="s">
        <v>1816</v>
      </c>
      <c r="B109">
        <v>207</v>
      </c>
      <c r="D109">
        <v>0.57969999999999999</v>
      </c>
      <c r="E109">
        <v>11.0565</v>
      </c>
      <c r="F109">
        <v>0.21940000000000001</v>
      </c>
      <c r="G109" s="284">
        <f t="shared" si="14"/>
        <v>11.2759</v>
      </c>
      <c r="H109" s="284">
        <v>11.1036</v>
      </c>
      <c r="I109" s="284">
        <f>G109-H109</f>
        <v>0.1722999999999999</v>
      </c>
      <c r="J109" s="283">
        <f t="shared" si="15"/>
        <v>4.7100000000000114E-2</v>
      </c>
      <c r="K109" s="285">
        <f t="shared" si="16"/>
        <v>21.467639015496861</v>
      </c>
      <c r="L109">
        <v>11</v>
      </c>
      <c r="M109" s="16">
        <v>43395</v>
      </c>
      <c r="N109" s="16">
        <v>43396</v>
      </c>
      <c r="R109" s="285"/>
    </row>
    <row r="110" spans="1:18">
      <c r="A110" t="s">
        <v>1815</v>
      </c>
      <c r="C110" t="s">
        <v>3459</v>
      </c>
      <c r="D110">
        <v>0.46710000000000002</v>
      </c>
      <c r="E110">
        <v>10.1265</v>
      </c>
      <c r="F110">
        <v>0.20610000000000001</v>
      </c>
      <c r="G110" s="284">
        <f t="shared" si="14"/>
        <v>10.332599999999999</v>
      </c>
      <c r="H110" s="284">
        <v>10.1844</v>
      </c>
      <c r="I110" s="284">
        <f>G110-H110</f>
        <v>0.14819999999999922</v>
      </c>
      <c r="J110" s="283">
        <f t="shared" si="15"/>
        <v>5.7900000000000784E-2</v>
      </c>
      <c r="K110" s="285">
        <f t="shared" si="16"/>
        <v>28.09315866084463</v>
      </c>
      <c r="L110">
        <v>4</v>
      </c>
      <c r="M110" s="16">
        <v>43381</v>
      </c>
      <c r="N110" s="16">
        <v>43382</v>
      </c>
      <c r="R110" s="285"/>
    </row>
    <row r="111" spans="1:18">
      <c r="A111" t="s">
        <v>1814</v>
      </c>
      <c r="C111" t="s">
        <v>3692</v>
      </c>
      <c r="D111">
        <v>0.62909999999999999</v>
      </c>
      <c r="E111">
        <v>11.088800000000001</v>
      </c>
      <c r="F111">
        <v>0.20730000000000001</v>
      </c>
      <c r="G111" s="284">
        <f t="shared" si="14"/>
        <v>11.296100000000001</v>
      </c>
      <c r="H111" s="284">
        <v>11.1282</v>
      </c>
      <c r="I111" s="284">
        <f>(G111-H111)</f>
        <v>0.16790000000000127</v>
      </c>
      <c r="J111" s="283">
        <f t="shared" si="15"/>
        <v>3.9399999999998742E-2</v>
      </c>
      <c r="K111" s="285">
        <f t="shared" si="16"/>
        <v>19.0062711046786</v>
      </c>
      <c r="L111">
        <v>25</v>
      </c>
      <c r="M111" s="286">
        <v>43360</v>
      </c>
      <c r="N111" s="286">
        <v>43361</v>
      </c>
      <c r="R111" s="285"/>
    </row>
    <row r="112" spans="1:18">
      <c r="A112" t="s">
        <v>1813</v>
      </c>
      <c r="C112" t="s">
        <v>3732</v>
      </c>
      <c r="D112">
        <v>1.6671</v>
      </c>
      <c r="E112">
        <v>9.7742000000000004</v>
      </c>
      <c r="F112">
        <v>0.2132</v>
      </c>
      <c r="G112" s="284">
        <f t="shared" si="14"/>
        <v>9.9874000000000009</v>
      </c>
      <c r="H112" s="284">
        <v>9.7866</v>
      </c>
      <c r="I112" s="284">
        <f t="shared" ref="I112:I117" si="18">G112-H112</f>
        <v>0.20080000000000098</v>
      </c>
      <c r="J112" s="283">
        <f t="shared" si="15"/>
        <v>1.2399999999999023E-2</v>
      </c>
      <c r="K112" s="285">
        <f t="shared" si="16"/>
        <v>5.8161350844273088</v>
      </c>
      <c r="L112">
        <v>13</v>
      </c>
      <c r="M112" s="286">
        <v>43374</v>
      </c>
      <c r="N112" s="286">
        <v>43375</v>
      </c>
      <c r="O112" s="283" t="s">
        <v>3730</v>
      </c>
      <c r="R112" s="285"/>
    </row>
    <row r="113" spans="1:18">
      <c r="A113" t="s">
        <v>1812</v>
      </c>
      <c r="C113" t="s">
        <v>3425</v>
      </c>
      <c r="D113">
        <v>0.61199999999999999</v>
      </c>
      <c r="E113">
        <v>9.7220999999999993</v>
      </c>
      <c r="F113">
        <v>0.21199999999999999</v>
      </c>
      <c r="G113" s="284">
        <f t="shared" si="14"/>
        <v>9.934099999999999</v>
      </c>
      <c r="H113" s="284">
        <v>9.7768999999999995</v>
      </c>
      <c r="I113" s="284">
        <f t="shared" si="18"/>
        <v>0.15719999999999956</v>
      </c>
      <c r="J113" s="283">
        <f t="shared" si="15"/>
        <v>5.4800000000000432E-2</v>
      </c>
      <c r="K113" s="285">
        <f t="shared" si="16"/>
        <v>25.849056603773789</v>
      </c>
      <c r="L113">
        <v>13</v>
      </c>
      <c r="M113" s="16">
        <v>43399</v>
      </c>
      <c r="N113" s="16">
        <v>43400</v>
      </c>
      <c r="R113" s="285"/>
    </row>
    <row r="114" spans="1:18">
      <c r="A114" t="s">
        <v>1811</v>
      </c>
      <c r="C114" t="s">
        <v>3436</v>
      </c>
      <c r="D114">
        <v>0.57250000000000001</v>
      </c>
      <c r="E114">
        <v>10.677300000000001</v>
      </c>
      <c r="F114">
        <v>0.2021</v>
      </c>
      <c r="G114" s="284">
        <f t="shared" si="14"/>
        <v>10.8794</v>
      </c>
      <c r="H114" s="284">
        <v>10.7127</v>
      </c>
      <c r="I114" s="284">
        <f t="shared" si="18"/>
        <v>0.16670000000000051</v>
      </c>
      <c r="J114" s="283">
        <f t="shared" si="15"/>
        <v>3.5399999999999487E-2</v>
      </c>
      <c r="K114" s="285">
        <f t="shared" si="16"/>
        <v>17.516081147946309</v>
      </c>
      <c r="L114">
        <v>15</v>
      </c>
      <c r="M114" s="16">
        <v>43381</v>
      </c>
      <c r="N114" s="16">
        <v>43382</v>
      </c>
      <c r="R114" s="285"/>
    </row>
    <row r="115" spans="1:18">
      <c r="A115" t="s">
        <v>2026</v>
      </c>
      <c r="C115" t="s">
        <v>3663</v>
      </c>
      <c r="D115">
        <v>1.7465999999999999</v>
      </c>
      <c r="E115">
        <v>9.9192</v>
      </c>
      <c r="F115">
        <v>0.21820000000000001</v>
      </c>
      <c r="G115" s="284">
        <f t="shared" si="14"/>
        <v>10.1374</v>
      </c>
      <c r="H115" s="284">
        <v>9.9309999999999992</v>
      </c>
      <c r="I115" s="284">
        <f t="shared" si="18"/>
        <v>0.20640000000000036</v>
      </c>
      <c r="J115" s="283">
        <f t="shared" si="15"/>
        <v>1.1799999999999644E-2</v>
      </c>
      <c r="K115" s="285">
        <f t="shared" si="16"/>
        <v>5.4078826764434664</v>
      </c>
      <c r="L115">
        <v>7</v>
      </c>
      <c r="M115" s="286">
        <v>43355.625</v>
      </c>
      <c r="N115" s="286">
        <v>43355.791666666664</v>
      </c>
      <c r="O115" s="283" t="s">
        <v>3659</v>
      </c>
      <c r="R115" s="285"/>
    </row>
    <row r="116" spans="1:18">
      <c r="A116" t="s">
        <v>1808</v>
      </c>
      <c r="C116" t="s">
        <v>3415</v>
      </c>
      <c r="D116">
        <v>0.52880000000000005</v>
      </c>
      <c r="E116">
        <v>9.0324000000000009</v>
      </c>
      <c r="F116">
        <v>0.2051</v>
      </c>
      <c r="G116" s="284">
        <f t="shared" si="14"/>
        <v>9.2375000000000007</v>
      </c>
      <c r="H116" s="284">
        <v>9.0878999999999994</v>
      </c>
      <c r="I116" s="284">
        <f t="shared" si="18"/>
        <v>0.14960000000000129</v>
      </c>
      <c r="J116" s="283">
        <f t="shared" si="15"/>
        <v>5.5499999999998717E-2</v>
      </c>
      <c r="K116" s="285">
        <f t="shared" si="16"/>
        <v>27.059970745976948</v>
      </c>
      <c r="L116">
        <v>41</v>
      </c>
      <c r="M116" s="16">
        <v>43395</v>
      </c>
      <c r="N116" s="16">
        <v>43396</v>
      </c>
      <c r="R116" s="285"/>
    </row>
    <row r="117" spans="1:18">
      <c r="A117" t="s">
        <v>1807</v>
      </c>
      <c r="B117">
        <v>196</v>
      </c>
      <c r="D117">
        <v>0.87819999999999998</v>
      </c>
      <c r="E117">
        <v>7.1909000000000001</v>
      </c>
      <c r="F117">
        <v>0.22570000000000001</v>
      </c>
      <c r="G117" s="284">
        <f t="shared" si="14"/>
        <v>7.4165999999999999</v>
      </c>
      <c r="H117" s="284">
        <v>7.2313999999999998</v>
      </c>
      <c r="I117" s="284">
        <f t="shared" si="18"/>
        <v>0.18520000000000003</v>
      </c>
      <c r="J117" s="283">
        <f t="shared" si="15"/>
        <v>4.049999999999998E-2</v>
      </c>
      <c r="K117" s="285">
        <f t="shared" si="16"/>
        <v>17.944173681878588</v>
      </c>
      <c r="L117">
        <v>32</v>
      </c>
      <c r="M117" s="16">
        <v>43388</v>
      </c>
      <c r="N117" s="286">
        <v>43389</v>
      </c>
      <c r="O117" s="16"/>
      <c r="R117" s="285"/>
    </row>
    <row r="118" spans="1:18">
      <c r="A118" t="s">
        <v>1806</v>
      </c>
      <c r="C118" t="s">
        <v>3668</v>
      </c>
      <c r="D118">
        <v>1.7131000000000001</v>
      </c>
      <c r="E118">
        <v>7.7735000000000003</v>
      </c>
      <c r="F118">
        <v>0.20749999999999999</v>
      </c>
      <c r="G118" s="284">
        <f t="shared" si="14"/>
        <v>7.9809999999999999</v>
      </c>
      <c r="H118" s="284">
        <v>7.7857000000000003</v>
      </c>
      <c r="I118" s="284">
        <f>(G118-H118)</f>
        <v>0.19529999999999959</v>
      </c>
      <c r="J118" s="283">
        <f t="shared" si="15"/>
        <v>1.2200000000000405E-2</v>
      </c>
      <c r="K118" s="285">
        <f t="shared" si="16"/>
        <v>5.8795180722893514</v>
      </c>
      <c r="L118">
        <v>25</v>
      </c>
      <c r="M118" s="16">
        <v>43358</v>
      </c>
      <c r="N118" s="16">
        <v>43358</v>
      </c>
      <c r="R118" s="285"/>
    </row>
    <row r="119" spans="1:18">
      <c r="A119" t="s">
        <v>1805</v>
      </c>
      <c r="C119" t="s">
        <v>3435</v>
      </c>
      <c r="D119">
        <v>0.62680000000000002</v>
      </c>
      <c r="E119">
        <v>9.4868000000000006</v>
      </c>
      <c r="F119">
        <v>0.2054</v>
      </c>
      <c r="G119">
        <f t="shared" si="14"/>
        <v>9.6921999999999997</v>
      </c>
      <c r="H119">
        <v>9.5259999999999998</v>
      </c>
      <c r="I119" s="284">
        <f t="shared" ref="I119:I134" si="19">G119-H119</f>
        <v>0.1661999999999999</v>
      </c>
      <c r="J119" s="283">
        <f t="shared" si="15"/>
        <v>3.9200000000000096E-2</v>
      </c>
      <c r="K119" s="285">
        <f t="shared" si="16"/>
        <v>19.084712755598879</v>
      </c>
      <c r="L119">
        <v>14</v>
      </c>
      <c r="M119" s="16">
        <v>43402</v>
      </c>
      <c r="N119" s="16">
        <v>43403</v>
      </c>
      <c r="R119" s="285"/>
    </row>
    <row r="120" spans="1:18">
      <c r="A120" t="s">
        <v>1804</v>
      </c>
      <c r="C120" t="s">
        <v>3704</v>
      </c>
      <c r="D120">
        <v>1.8198000000000001</v>
      </c>
      <c r="E120">
        <v>7.8017000000000003</v>
      </c>
      <c r="F120">
        <v>0.22339999999999999</v>
      </c>
      <c r="G120" s="288">
        <f t="shared" si="14"/>
        <v>8.0251000000000001</v>
      </c>
      <c r="H120" s="284">
        <v>7.8198999999999996</v>
      </c>
      <c r="I120" s="288">
        <f t="shared" si="19"/>
        <v>0.20520000000000049</v>
      </c>
      <c r="J120" s="283">
        <f t="shared" si="15"/>
        <v>1.8199999999999494E-2</v>
      </c>
      <c r="K120" s="285">
        <f t="shared" si="16"/>
        <v>8.1468218442253786</v>
      </c>
      <c r="L120">
        <v>38</v>
      </c>
      <c r="M120" s="286">
        <v>43379</v>
      </c>
      <c r="N120" s="286">
        <v>43379</v>
      </c>
      <c r="R120" s="285"/>
    </row>
    <row r="121" spans="1:18">
      <c r="A121" t="s">
        <v>1803</v>
      </c>
      <c r="C121" t="s">
        <v>3689</v>
      </c>
      <c r="D121">
        <v>1.8222</v>
      </c>
      <c r="E121">
        <v>7.7743000000000002</v>
      </c>
      <c r="F121">
        <v>0.20730000000000001</v>
      </c>
      <c r="G121" s="284">
        <f t="shared" si="14"/>
        <v>7.9816000000000003</v>
      </c>
      <c r="H121" s="284">
        <v>7.7869000000000002</v>
      </c>
      <c r="I121" s="284">
        <f t="shared" si="19"/>
        <v>0.1947000000000001</v>
      </c>
      <c r="J121" s="283">
        <f t="shared" si="15"/>
        <v>1.2599999999999917E-2</v>
      </c>
      <c r="K121" s="285">
        <f t="shared" si="16"/>
        <v>6.078147612156255</v>
      </c>
      <c r="L121">
        <v>33</v>
      </c>
      <c r="M121" s="16">
        <v>43381</v>
      </c>
      <c r="N121" s="16">
        <v>43382</v>
      </c>
      <c r="R121" s="285"/>
    </row>
    <row r="122" spans="1:18">
      <c r="A122" t="s">
        <v>1802</v>
      </c>
      <c r="B122">
        <v>204</v>
      </c>
      <c r="C122" t="s">
        <v>2504</v>
      </c>
      <c r="D122">
        <v>0.52149999999999996</v>
      </c>
      <c r="E122">
        <v>9.5203000000000007</v>
      </c>
      <c r="F122">
        <v>0.2056</v>
      </c>
      <c r="G122">
        <f t="shared" si="14"/>
        <v>9.7259000000000011</v>
      </c>
      <c r="H122">
        <v>9.5478000000000005</v>
      </c>
      <c r="I122" s="284">
        <f t="shared" si="19"/>
        <v>0.17810000000000059</v>
      </c>
      <c r="J122" s="283">
        <f t="shared" si="15"/>
        <v>2.7499999999999414E-2</v>
      </c>
      <c r="K122" s="285">
        <f t="shared" si="16"/>
        <v>13.375486381322672</v>
      </c>
      <c r="L122">
        <v>19</v>
      </c>
      <c r="M122" s="16">
        <v>43402</v>
      </c>
      <c r="N122" s="16">
        <v>43403</v>
      </c>
      <c r="R122" s="285"/>
    </row>
    <row r="123" spans="1:18">
      <c r="A123" t="s">
        <v>2025</v>
      </c>
      <c r="C123" t="s">
        <v>3758</v>
      </c>
      <c r="D123">
        <v>0.80300000000000005</v>
      </c>
      <c r="E123">
        <v>7.8404999999999996</v>
      </c>
      <c r="F123">
        <v>0.21010000000000001</v>
      </c>
      <c r="G123" s="284">
        <f t="shared" si="14"/>
        <v>8.0505999999999993</v>
      </c>
      <c r="H123" s="284">
        <v>7.8849</v>
      </c>
      <c r="I123" s="284">
        <f t="shared" si="19"/>
        <v>0.16569999999999929</v>
      </c>
      <c r="J123" s="283">
        <f t="shared" si="15"/>
        <v>4.4400000000000717E-2</v>
      </c>
      <c r="K123" s="285">
        <f t="shared" si="16"/>
        <v>21.132793907663359</v>
      </c>
      <c r="L123">
        <v>12</v>
      </c>
      <c r="M123" s="286">
        <v>43363</v>
      </c>
      <c r="N123" s="286">
        <v>43364</v>
      </c>
      <c r="O123" s="283" t="s">
        <v>3756</v>
      </c>
      <c r="R123" s="285"/>
    </row>
    <row r="124" spans="1:18">
      <c r="A124" t="s">
        <v>1800</v>
      </c>
      <c r="C124" t="s">
        <v>3466</v>
      </c>
      <c r="D124">
        <v>0.61970000000000003</v>
      </c>
      <c r="E124">
        <v>20.893699999999999</v>
      </c>
      <c r="F124">
        <v>0.20030000000000001</v>
      </c>
      <c r="G124" s="284">
        <f t="shared" ref="G124:G147" si="20">E124+F124</f>
        <v>21.093999999999998</v>
      </c>
      <c r="H124" s="284">
        <v>20.929400000000001</v>
      </c>
      <c r="I124" s="284">
        <f t="shared" si="19"/>
        <v>0.16459999999999653</v>
      </c>
      <c r="J124" s="283">
        <f t="shared" si="15"/>
        <v>3.5700000000003479E-2</v>
      </c>
      <c r="K124" s="285">
        <f t="shared" si="16"/>
        <v>17.823265102348216</v>
      </c>
      <c r="L124">
        <v>42</v>
      </c>
      <c r="M124" s="286">
        <v>43361</v>
      </c>
      <c r="N124" s="286">
        <v>43362</v>
      </c>
      <c r="O124" s="283" t="s">
        <v>3730</v>
      </c>
      <c r="R124" s="285"/>
    </row>
    <row r="125" spans="1:18">
      <c r="A125" t="s">
        <v>1797</v>
      </c>
      <c r="C125" t="s">
        <v>3491</v>
      </c>
      <c r="D125">
        <v>1.0555000000000001</v>
      </c>
      <c r="E125">
        <v>7.4752999999999998</v>
      </c>
      <c r="F125">
        <v>0.2034</v>
      </c>
      <c r="G125" s="284">
        <f t="shared" si="20"/>
        <v>7.6787000000000001</v>
      </c>
      <c r="H125" s="284">
        <v>7.5019</v>
      </c>
      <c r="I125" s="284">
        <f t="shared" si="19"/>
        <v>0.17680000000000007</v>
      </c>
      <c r="J125" s="283">
        <f t="shared" si="15"/>
        <v>2.6599999999999929E-2</v>
      </c>
      <c r="K125" s="285">
        <f t="shared" si="16"/>
        <v>13.077679449360829</v>
      </c>
      <c r="L125">
        <v>25</v>
      </c>
      <c r="M125" s="286">
        <v>43363</v>
      </c>
      <c r="N125" s="286">
        <v>43364</v>
      </c>
      <c r="O125" s="283" t="s">
        <v>3756</v>
      </c>
      <c r="R125" s="285"/>
    </row>
    <row r="126" spans="1:18">
      <c r="A126" t="s">
        <v>1796</v>
      </c>
      <c r="B126">
        <v>197</v>
      </c>
      <c r="D126">
        <v>0.64470000000000005</v>
      </c>
      <c r="E126">
        <v>9.3209999999999997</v>
      </c>
      <c r="F126">
        <v>0.20250000000000001</v>
      </c>
      <c r="G126" s="284">
        <f t="shared" si="20"/>
        <v>9.5235000000000003</v>
      </c>
      <c r="H126" s="284">
        <v>9.3719000000000001</v>
      </c>
      <c r="I126" s="284">
        <f t="shared" si="19"/>
        <v>0.15160000000000018</v>
      </c>
      <c r="J126" s="283">
        <f t="shared" si="15"/>
        <v>5.0899999999999834E-2</v>
      </c>
      <c r="K126" s="285">
        <f t="shared" si="16"/>
        <v>25.135802469135722</v>
      </c>
      <c r="L126">
        <v>23</v>
      </c>
      <c r="M126" s="16">
        <v>43388</v>
      </c>
      <c r="N126" s="286">
        <v>43389</v>
      </c>
      <c r="O126" s="16"/>
      <c r="R126" s="285"/>
    </row>
    <row r="127" spans="1:18">
      <c r="A127" t="s">
        <v>1795</v>
      </c>
      <c r="C127" t="s">
        <v>3747</v>
      </c>
      <c r="D127">
        <v>1.4726999999999999</v>
      </c>
      <c r="E127">
        <v>11.445499999999999</v>
      </c>
      <c r="F127">
        <v>0.2155</v>
      </c>
      <c r="G127" s="284">
        <f t="shared" si="20"/>
        <v>11.661</v>
      </c>
      <c r="H127" s="284">
        <v>11.464</v>
      </c>
      <c r="I127" s="284">
        <f t="shared" si="19"/>
        <v>0.19699999999999918</v>
      </c>
      <c r="J127" s="283">
        <f t="shared" si="15"/>
        <v>1.8500000000000821E-2</v>
      </c>
      <c r="K127" s="285">
        <f t="shared" si="16"/>
        <v>8.5846867749423765</v>
      </c>
      <c r="L127">
        <v>32</v>
      </c>
      <c r="M127" s="286">
        <v>43362</v>
      </c>
      <c r="N127" s="286">
        <v>43363</v>
      </c>
      <c r="R127" s="285"/>
    </row>
    <row r="128" spans="1:18">
      <c r="A128" t="s">
        <v>1795</v>
      </c>
      <c r="C128" t="s">
        <v>3752</v>
      </c>
      <c r="D128">
        <v>1.0464</v>
      </c>
      <c r="E128">
        <v>10.6349</v>
      </c>
      <c r="F128">
        <v>0.20569999999999999</v>
      </c>
      <c r="G128" s="284">
        <f t="shared" si="20"/>
        <v>10.8406</v>
      </c>
      <c r="H128" s="284">
        <v>10.698399999999999</v>
      </c>
      <c r="I128" s="284">
        <f t="shared" si="19"/>
        <v>0.14220000000000077</v>
      </c>
      <c r="J128" s="283">
        <f t="shared" si="15"/>
        <v>6.3499999999999224E-2</v>
      </c>
      <c r="K128" s="285">
        <f t="shared" si="16"/>
        <v>30.8701993193968</v>
      </c>
      <c r="L128">
        <v>29</v>
      </c>
      <c r="M128" s="286">
        <v>43362</v>
      </c>
      <c r="N128" s="286">
        <v>43363</v>
      </c>
      <c r="R128" s="285"/>
    </row>
    <row r="129" spans="1:18">
      <c r="A129" t="s">
        <v>1794</v>
      </c>
      <c r="C129" t="s">
        <v>3713</v>
      </c>
      <c r="D129" s="283">
        <v>1.4871000000000001</v>
      </c>
      <c r="E129" s="287">
        <v>7.4743000000000004</v>
      </c>
      <c r="F129" s="287">
        <v>0.21060000000000001</v>
      </c>
      <c r="G129" s="284">
        <f t="shared" si="20"/>
        <v>7.6849000000000007</v>
      </c>
      <c r="H129" s="284">
        <v>7.4877000000000002</v>
      </c>
      <c r="I129" s="284">
        <f t="shared" si="19"/>
        <v>0.19720000000000049</v>
      </c>
      <c r="J129" s="283">
        <f t="shared" si="15"/>
        <v>1.3399999999999523E-2</v>
      </c>
      <c r="K129" s="285">
        <f t="shared" si="16"/>
        <v>6.3627730294394693</v>
      </c>
      <c r="L129" s="283">
        <v>1</v>
      </c>
      <c r="M129" s="286">
        <v>43361</v>
      </c>
      <c r="N129" s="286">
        <v>43362</v>
      </c>
      <c r="O129" s="283" t="s">
        <v>3730</v>
      </c>
      <c r="P129" s="283"/>
      <c r="R129" s="285"/>
    </row>
    <row r="130" spans="1:18">
      <c r="A130" t="s">
        <v>1793</v>
      </c>
      <c r="B130">
        <v>193</v>
      </c>
      <c r="D130">
        <v>0.50209999999999999</v>
      </c>
      <c r="E130">
        <v>11.454800000000001</v>
      </c>
      <c r="F130">
        <v>0.20499999999999999</v>
      </c>
      <c r="G130" s="284">
        <f t="shared" si="20"/>
        <v>11.659800000000001</v>
      </c>
      <c r="H130" s="284">
        <v>11.4818</v>
      </c>
      <c r="I130" s="284">
        <f t="shared" si="19"/>
        <v>0.17800000000000082</v>
      </c>
      <c r="J130" s="283">
        <f t="shared" si="15"/>
        <v>2.6999999999999164E-2</v>
      </c>
      <c r="K130" s="285">
        <f t="shared" si="16"/>
        <v>13.170731707316666</v>
      </c>
      <c r="L130">
        <v>13</v>
      </c>
      <c r="M130" s="16">
        <v>43395</v>
      </c>
      <c r="N130" s="16">
        <v>43396</v>
      </c>
      <c r="R130" s="285"/>
    </row>
    <row r="131" spans="1:18">
      <c r="A131" t="s">
        <v>1792</v>
      </c>
      <c r="C131" t="s">
        <v>3759</v>
      </c>
      <c r="D131">
        <v>0.74809999999999999</v>
      </c>
      <c r="E131">
        <v>9.0536999999999992</v>
      </c>
      <c r="F131">
        <v>0.20830000000000001</v>
      </c>
      <c r="G131" s="284">
        <f t="shared" si="20"/>
        <v>9.2619999999999987</v>
      </c>
      <c r="H131" s="284">
        <v>9.0958000000000006</v>
      </c>
      <c r="I131" s="284">
        <f t="shared" si="19"/>
        <v>0.16619999999999813</v>
      </c>
      <c r="J131" s="283">
        <f t="shared" si="15"/>
        <v>4.2100000000001886E-2</v>
      </c>
      <c r="K131" s="285">
        <f t="shared" si="16"/>
        <v>20.211233797408489</v>
      </c>
      <c r="L131">
        <v>16</v>
      </c>
      <c r="M131" s="286">
        <v>43363</v>
      </c>
      <c r="N131" s="286">
        <v>43364</v>
      </c>
      <c r="O131" s="283" t="s">
        <v>3756</v>
      </c>
      <c r="R131" s="285"/>
    </row>
    <row r="132" spans="1:18">
      <c r="A132" t="s">
        <v>1791</v>
      </c>
      <c r="C132" t="s">
        <v>3770</v>
      </c>
      <c r="D132">
        <v>1.4135</v>
      </c>
      <c r="E132">
        <v>10.7416</v>
      </c>
      <c r="F132">
        <v>0.21010000000000001</v>
      </c>
      <c r="G132" s="288">
        <f t="shared" si="20"/>
        <v>10.951700000000001</v>
      </c>
      <c r="H132" s="284">
        <v>10.7639</v>
      </c>
      <c r="I132" s="288">
        <f t="shared" si="19"/>
        <v>0.18780000000000108</v>
      </c>
      <c r="J132" s="283">
        <f t="shared" si="15"/>
        <v>2.2299999999998932E-2</v>
      </c>
      <c r="K132" s="285">
        <f t="shared" si="16"/>
        <v>10.613993336505917</v>
      </c>
      <c r="L132">
        <v>42</v>
      </c>
      <c r="M132" s="286">
        <v>43379</v>
      </c>
      <c r="N132" s="286">
        <v>43379</v>
      </c>
      <c r="R132" s="285"/>
    </row>
    <row r="133" spans="1:18">
      <c r="A133" t="s">
        <v>2024</v>
      </c>
      <c r="B133">
        <v>211</v>
      </c>
      <c r="D133">
        <v>0.1973</v>
      </c>
      <c r="E133">
        <v>9.5208999999999993</v>
      </c>
      <c r="F133">
        <v>0.18</v>
      </c>
      <c r="G133" s="284">
        <f t="shared" si="20"/>
        <v>9.700899999999999</v>
      </c>
      <c r="H133" s="284">
        <v>9.5540000000000003</v>
      </c>
      <c r="I133" s="284">
        <f t="shared" si="19"/>
        <v>0.1468999999999987</v>
      </c>
      <c r="J133" s="283">
        <f t="shared" si="15"/>
        <v>3.3100000000001295E-2</v>
      </c>
      <c r="K133" s="285">
        <f t="shared" si="16"/>
        <v>18.38888888888961</v>
      </c>
      <c r="L133">
        <v>12</v>
      </c>
      <c r="M133">
        <v>23.101800000000001</v>
      </c>
      <c r="N133" s="16">
        <v>43397</v>
      </c>
      <c r="P133" t="s">
        <v>3788</v>
      </c>
      <c r="R133" s="285"/>
    </row>
    <row r="134" spans="1:18">
      <c r="A134" t="s">
        <v>1790</v>
      </c>
      <c r="C134" t="s">
        <v>3728</v>
      </c>
      <c r="D134">
        <v>1.7643</v>
      </c>
      <c r="E134">
        <v>9.7738999999999994</v>
      </c>
      <c r="F134">
        <v>0.22989999999999999</v>
      </c>
      <c r="G134" s="284">
        <f t="shared" si="20"/>
        <v>10.0038</v>
      </c>
      <c r="H134" s="284">
        <v>9.7942999999999998</v>
      </c>
      <c r="I134" s="284">
        <f t="shared" si="19"/>
        <v>0.20950000000000024</v>
      </c>
      <c r="J134" s="283">
        <f t="shared" si="15"/>
        <v>2.0399999999999752E-2</v>
      </c>
      <c r="K134" s="285">
        <f t="shared" si="16"/>
        <v>8.8734232274901057</v>
      </c>
      <c r="L134">
        <v>20</v>
      </c>
      <c r="M134" s="286">
        <v>43361</v>
      </c>
      <c r="N134" s="286">
        <v>43362</v>
      </c>
      <c r="O134" s="283" t="s">
        <v>3730</v>
      </c>
      <c r="R134" s="285"/>
    </row>
    <row r="135" spans="1:18">
      <c r="A135" t="s">
        <v>1789</v>
      </c>
      <c r="C135" t="s">
        <v>3694</v>
      </c>
      <c r="D135">
        <v>1.6620999999999999</v>
      </c>
      <c r="E135">
        <v>8.7690000000000001</v>
      </c>
      <c r="F135">
        <v>0.21970000000000001</v>
      </c>
      <c r="G135" s="284">
        <f t="shared" si="20"/>
        <v>8.9886999999999997</v>
      </c>
      <c r="H135" s="284">
        <v>8.7815999999999992</v>
      </c>
      <c r="I135" s="284">
        <f>(G135-H135)</f>
        <v>0.20710000000000051</v>
      </c>
      <c r="J135" s="283">
        <f t="shared" si="15"/>
        <v>1.25999999999995E-2</v>
      </c>
      <c r="K135" s="285">
        <f t="shared" si="16"/>
        <v>5.7350933090575786</v>
      </c>
      <c r="L135">
        <v>21</v>
      </c>
      <c r="M135" s="286">
        <v>43360</v>
      </c>
      <c r="N135" s="286">
        <v>43361</v>
      </c>
      <c r="R135" s="285"/>
    </row>
    <row r="136" spans="1:18">
      <c r="A136" t="s">
        <v>1788</v>
      </c>
      <c r="B136">
        <v>206</v>
      </c>
      <c r="C136" t="s">
        <v>2504</v>
      </c>
      <c r="D136">
        <v>0.41320000000000001</v>
      </c>
      <c r="E136">
        <v>7.8723999999999998</v>
      </c>
      <c r="F136">
        <v>0.20150000000000001</v>
      </c>
      <c r="G136">
        <f t="shared" si="20"/>
        <v>8.0739000000000001</v>
      </c>
      <c r="H136">
        <v>7.9099000000000004</v>
      </c>
      <c r="I136" s="284">
        <f>G136-H136</f>
        <v>0.1639999999999997</v>
      </c>
      <c r="J136" s="283">
        <f t="shared" si="15"/>
        <v>3.7500000000000311E-2</v>
      </c>
      <c r="K136" s="285">
        <f t="shared" si="16"/>
        <v>18.61042183622844</v>
      </c>
      <c r="L136">
        <v>42</v>
      </c>
      <c r="M136" s="16">
        <v>43399</v>
      </c>
      <c r="N136" s="16">
        <v>43400</v>
      </c>
      <c r="R136" s="285"/>
    </row>
    <row r="137" spans="1:18">
      <c r="A137" t="s">
        <v>1787</v>
      </c>
      <c r="C137" t="s">
        <v>3717</v>
      </c>
      <c r="D137">
        <v>0.70720000000000005</v>
      </c>
      <c r="E137">
        <v>11.055099999999999</v>
      </c>
      <c r="F137">
        <v>0.2321</v>
      </c>
      <c r="G137" s="284">
        <f t="shared" si="20"/>
        <v>11.2872</v>
      </c>
      <c r="H137" s="284">
        <v>11.1227</v>
      </c>
      <c r="I137" s="284">
        <f>G137-H137</f>
        <v>0.16450000000000031</v>
      </c>
      <c r="J137" s="283">
        <f t="shared" si="15"/>
        <v>6.7599999999999688E-2</v>
      </c>
      <c r="K137" s="285">
        <f t="shared" si="16"/>
        <v>29.125376992675438</v>
      </c>
      <c r="L137">
        <v>19</v>
      </c>
      <c r="M137" s="286">
        <v>43361</v>
      </c>
      <c r="N137" s="286">
        <v>43362</v>
      </c>
      <c r="O137" s="283" t="s">
        <v>3730</v>
      </c>
      <c r="R137" s="285"/>
    </row>
    <row r="138" spans="1:18">
      <c r="A138" t="s">
        <v>1785</v>
      </c>
      <c r="C138" t="s">
        <v>3787</v>
      </c>
      <c r="D138">
        <v>0.74970000000000003</v>
      </c>
      <c r="E138">
        <v>9.7751999999999999</v>
      </c>
      <c r="F138">
        <v>0.20319999999999999</v>
      </c>
      <c r="G138" s="284">
        <f t="shared" si="20"/>
        <v>9.9784000000000006</v>
      </c>
      <c r="H138" s="284">
        <v>9.8049999999999997</v>
      </c>
      <c r="I138" s="284">
        <f>G138-H138</f>
        <v>0.17340000000000089</v>
      </c>
      <c r="J138" s="283">
        <f t="shared" si="15"/>
        <v>2.9799999999999105E-2</v>
      </c>
      <c r="K138" s="285">
        <f t="shared" si="16"/>
        <v>14.665354330708222</v>
      </c>
      <c r="L138">
        <v>16</v>
      </c>
      <c r="M138" s="16">
        <v>43399</v>
      </c>
      <c r="N138" s="16">
        <v>43400</v>
      </c>
      <c r="R138" s="285"/>
    </row>
    <row r="139" spans="1:18">
      <c r="A139" t="s">
        <v>1784</v>
      </c>
      <c r="C139" t="s">
        <v>3459</v>
      </c>
      <c r="D139">
        <v>0.53210000000000002</v>
      </c>
      <c r="E139">
        <v>11.0571</v>
      </c>
      <c r="F139">
        <v>0.2077</v>
      </c>
      <c r="G139" s="288">
        <f t="shared" si="20"/>
        <v>11.264800000000001</v>
      </c>
      <c r="H139" s="284">
        <v>11.1181</v>
      </c>
      <c r="I139" s="288">
        <f>G139-H139</f>
        <v>0.14670000000000094</v>
      </c>
      <c r="J139" s="283">
        <f t="shared" si="15"/>
        <v>6.0999999999999055E-2</v>
      </c>
      <c r="K139" s="285">
        <f t="shared" si="16"/>
        <v>29.369282619161797</v>
      </c>
      <c r="L139">
        <v>6</v>
      </c>
      <c r="M139" s="286">
        <v>43379</v>
      </c>
      <c r="N139" s="286">
        <v>43379</v>
      </c>
      <c r="O139" s="283"/>
      <c r="R139" s="285"/>
    </row>
    <row r="140" spans="1:18">
      <c r="A140" t="s">
        <v>1783</v>
      </c>
      <c r="C140" t="s">
        <v>3716</v>
      </c>
      <c r="D140">
        <v>1.6738999999999999</v>
      </c>
      <c r="E140">
        <v>8.0961999999999996</v>
      </c>
      <c r="F140">
        <v>0.23669999999999999</v>
      </c>
      <c r="G140" s="284">
        <f t="shared" si="20"/>
        <v>8.3329000000000004</v>
      </c>
      <c r="H140" s="284">
        <v>8.1098999999999997</v>
      </c>
      <c r="I140" s="284">
        <f>(G140-H140)</f>
        <v>0.22300000000000075</v>
      </c>
      <c r="J140" s="283">
        <f t="shared" si="15"/>
        <v>1.3699999999999241E-2</v>
      </c>
      <c r="K140" s="285">
        <f t="shared" si="16"/>
        <v>5.78791719476098</v>
      </c>
      <c r="L140">
        <v>34</v>
      </c>
      <c r="M140" s="286">
        <v>43360</v>
      </c>
      <c r="N140" s="286">
        <v>43361</v>
      </c>
      <c r="O140" s="283" t="s">
        <v>3707</v>
      </c>
      <c r="R140" s="285"/>
    </row>
    <row r="141" spans="1:18">
      <c r="A141" t="s">
        <v>1782</v>
      </c>
      <c r="C141" t="s">
        <v>3726</v>
      </c>
      <c r="D141">
        <v>1.6014999999999999</v>
      </c>
      <c r="E141">
        <v>7.8029999999999999</v>
      </c>
      <c r="F141">
        <v>0.2107</v>
      </c>
      <c r="G141" s="284">
        <f t="shared" si="20"/>
        <v>8.0137</v>
      </c>
      <c r="H141" s="284">
        <v>7.8228</v>
      </c>
      <c r="I141" s="284">
        <f t="shared" ref="I141:I146" si="21">G141-H141</f>
        <v>0.19090000000000007</v>
      </c>
      <c r="J141" s="283">
        <f t="shared" si="15"/>
        <v>1.9799999999999929E-2</v>
      </c>
      <c r="K141" s="285">
        <f t="shared" si="16"/>
        <v>9.3972472710013903</v>
      </c>
      <c r="L141">
        <v>28</v>
      </c>
      <c r="M141" s="16">
        <v>43399</v>
      </c>
      <c r="N141" s="16">
        <v>43400</v>
      </c>
      <c r="R141" s="285"/>
    </row>
    <row r="142" spans="1:18">
      <c r="A142" t="s">
        <v>2023</v>
      </c>
      <c r="B142">
        <v>198</v>
      </c>
      <c r="D142">
        <v>0.55259999999999998</v>
      </c>
      <c r="E142">
        <v>8.7041000000000004</v>
      </c>
      <c r="F142">
        <v>0.2039</v>
      </c>
      <c r="G142" s="284">
        <f t="shared" si="20"/>
        <v>8.9080000000000013</v>
      </c>
      <c r="H142" s="284">
        <v>8.7571999999999992</v>
      </c>
      <c r="I142" s="284">
        <f t="shared" si="21"/>
        <v>0.15080000000000204</v>
      </c>
      <c r="J142" s="283">
        <f t="shared" si="15"/>
        <v>5.3099999999997954E-2</v>
      </c>
      <c r="K142" s="285">
        <f t="shared" si="16"/>
        <v>26.042177538007827</v>
      </c>
      <c r="L142">
        <v>2</v>
      </c>
      <c r="M142" s="16">
        <v>43395</v>
      </c>
      <c r="N142" s="16">
        <v>43396</v>
      </c>
      <c r="R142" s="285"/>
    </row>
    <row r="143" spans="1:18">
      <c r="A143" t="s">
        <v>1777</v>
      </c>
      <c r="C143" t="s">
        <v>3746</v>
      </c>
      <c r="D143">
        <v>1.7927999999999999</v>
      </c>
      <c r="E143">
        <v>8.7614000000000001</v>
      </c>
      <c r="F143">
        <v>0.23269999999999999</v>
      </c>
      <c r="G143" s="284">
        <f t="shared" si="20"/>
        <v>8.9940999999999995</v>
      </c>
      <c r="H143" s="284">
        <v>8.7733000000000008</v>
      </c>
      <c r="I143" s="284">
        <f t="shared" si="21"/>
        <v>0.22079999999999878</v>
      </c>
      <c r="J143" s="283">
        <f t="shared" si="15"/>
        <v>1.1900000000001215E-2</v>
      </c>
      <c r="K143" s="285">
        <f t="shared" si="16"/>
        <v>5.1138805328754682</v>
      </c>
      <c r="L143">
        <v>15</v>
      </c>
      <c r="M143" s="286">
        <v>43362</v>
      </c>
      <c r="N143" s="286">
        <v>43363</v>
      </c>
      <c r="O143" s="283"/>
      <c r="R143" s="285"/>
    </row>
    <row r="144" spans="1:18">
      <c r="A144" t="s">
        <v>1776</v>
      </c>
      <c r="C144" t="s">
        <v>3777</v>
      </c>
      <c r="D144">
        <v>0.88290000000000002</v>
      </c>
      <c r="E144">
        <v>9.2363</v>
      </c>
      <c r="F144">
        <v>0.2107</v>
      </c>
      <c r="G144" s="284">
        <f t="shared" si="20"/>
        <v>9.4469999999999992</v>
      </c>
      <c r="H144" s="284">
        <v>9.2727000000000004</v>
      </c>
      <c r="I144" s="284">
        <f t="shared" si="21"/>
        <v>0.17429999999999879</v>
      </c>
      <c r="J144" s="283">
        <f t="shared" si="15"/>
        <v>3.6400000000001209E-2</v>
      </c>
      <c r="K144" s="285">
        <f t="shared" si="16"/>
        <v>17.275747508306221</v>
      </c>
      <c r="L144">
        <v>2</v>
      </c>
      <c r="M144" s="16">
        <v>43388</v>
      </c>
      <c r="N144" s="286">
        <v>43389</v>
      </c>
      <c r="O144" s="286"/>
      <c r="P144" s="283"/>
      <c r="R144" s="285"/>
    </row>
    <row r="145" spans="1:18">
      <c r="A145" t="s">
        <v>1775</v>
      </c>
      <c r="C145" t="s">
        <v>3499</v>
      </c>
      <c r="D145">
        <v>1.0206</v>
      </c>
      <c r="E145">
        <v>10.7043</v>
      </c>
      <c r="F145">
        <v>0.20599999999999999</v>
      </c>
      <c r="G145" s="284">
        <f t="shared" si="20"/>
        <v>10.910299999999999</v>
      </c>
      <c r="H145" s="284">
        <v>10.7407</v>
      </c>
      <c r="I145" s="284">
        <f t="shared" si="21"/>
        <v>0.16959999999999908</v>
      </c>
      <c r="J145" s="283">
        <f t="shared" si="15"/>
        <v>3.6400000000000904E-2</v>
      </c>
      <c r="K145" s="285">
        <f t="shared" si="16"/>
        <v>17.669902912621797</v>
      </c>
      <c r="L145">
        <v>26</v>
      </c>
      <c r="M145" s="286">
        <v>43363</v>
      </c>
      <c r="N145" s="286">
        <v>43364</v>
      </c>
      <c r="O145" s="283" t="s">
        <v>3756</v>
      </c>
      <c r="R145" s="285"/>
    </row>
    <row r="146" spans="1:18">
      <c r="A146" t="s">
        <v>1773</v>
      </c>
      <c r="C146" t="s">
        <v>3748</v>
      </c>
      <c r="D146">
        <v>1.6758999999999999</v>
      </c>
      <c r="E146">
        <v>7.4760999999999997</v>
      </c>
      <c r="F146">
        <v>0.2442</v>
      </c>
      <c r="G146">
        <f t="shared" si="20"/>
        <v>7.7202999999999999</v>
      </c>
      <c r="H146">
        <v>7.5316999999999998</v>
      </c>
      <c r="I146" s="284">
        <f t="shared" si="21"/>
        <v>0.1886000000000001</v>
      </c>
      <c r="J146" s="283">
        <f t="shared" si="15"/>
        <v>5.55999999999999E-2</v>
      </c>
      <c r="K146" s="285">
        <f t="shared" si="16"/>
        <v>22.768222768222728</v>
      </c>
      <c r="L146">
        <v>20</v>
      </c>
      <c r="M146" s="16">
        <v>43402</v>
      </c>
      <c r="N146" s="16">
        <v>43403</v>
      </c>
      <c r="R146" s="285"/>
    </row>
    <row r="147" spans="1:18">
      <c r="A147" t="s">
        <v>1772</v>
      </c>
      <c r="C147" t="s">
        <v>3714</v>
      </c>
      <c r="D147">
        <v>1.6702999999999999</v>
      </c>
      <c r="E147">
        <v>9.1378000000000004</v>
      </c>
      <c r="F147">
        <v>0.20069999999999999</v>
      </c>
      <c r="G147" s="284">
        <f t="shared" si="20"/>
        <v>9.3384999999999998</v>
      </c>
      <c r="H147" s="284">
        <v>9.1496999999999993</v>
      </c>
      <c r="I147" s="284">
        <f>(G147-H147)</f>
        <v>0.18880000000000052</v>
      </c>
      <c r="J147" s="283">
        <f t="shared" si="15"/>
        <v>1.1899999999999467E-2</v>
      </c>
      <c r="K147" s="285">
        <f t="shared" si="16"/>
        <v>5.9292476332832429</v>
      </c>
      <c r="L147">
        <v>13</v>
      </c>
      <c r="M147" s="286">
        <v>43360</v>
      </c>
      <c r="N147" s="286">
        <v>43361</v>
      </c>
      <c r="O147" s="283" t="s">
        <v>3707</v>
      </c>
      <c r="R147" s="285"/>
    </row>
    <row r="148" spans="1:18">
      <c r="A148" t="s">
        <v>1766</v>
      </c>
      <c r="C148" t="s">
        <v>3679</v>
      </c>
      <c r="D148">
        <v>0.95940000000000003</v>
      </c>
      <c r="E148">
        <f>G148-F148</f>
        <v>10.1082</v>
      </c>
      <c r="F148">
        <v>0.2172</v>
      </c>
      <c r="G148" s="284">
        <v>10.3254</v>
      </c>
      <c r="H148" s="284">
        <v>10.1347</v>
      </c>
      <c r="I148" s="284">
        <f>(G148-H148)</f>
        <v>0.19069999999999965</v>
      </c>
      <c r="J148" s="283">
        <f t="shared" si="15"/>
        <v>2.6500000000000357E-2</v>
      </c>
      <c r="K148" s="285">
        <f t="shared" si="16"/>
        <v>12.200736648250626</v>
      </c>
      <c r="L148">
        <v>2</v>
      </c>
      <c r="M148" s="286">
        <v>43360</v>
      </c>
      <c r="N148" s="286">
        <v>43361</v>
      </c>
      <c r="O148" s="283"/>
      <c r="R148" s="285"/>
    </row>
    <row r="149" spans="1:18">
      <c r="A149" t="s">
        <v>1761</v>
      </c>
      <c r="C149" t="s">
        <v>3491</v>
      </c>
      <c r="D149">
        <v>1.0654999999999999</v>
      </c>
      <c r="E149">
        <v>10.617699999999999</v>
      </c>
      <c r="F149">
        <v>0.20530000000000001</v>
      </c>
      <c r="G149" s="284">
        <f t="shared" ref="G149:G212" si="22">E149+F149</f>
        <v>10.822999999999999</v>
      </c>
      <c r="H149" s="284">
        <v>10.64</v>
      </c>
      <c r="I149" s="284">
        <f>G149-H149</f>
        <v>0.18299999999999805</v>
      </c>
      <c r="J149" s="283">
        <f t="shared" si="15"/>
        <v>2.2300000000001957E-2</v>
      </c>
      <c r="K149" s="285">
        <f t="shared" si="16"/>
        <v>10.862152946907919</v>
      </c>
      <c r="L149">
        <v>27</v>
      </c>
      <c r="M149" s="286">
        <v>43363</v>
      </c>
      <c r="N149" s="286">
        <v>43364</v>
      </c>
      <c r="R149" s="285"/>
    </row>
    <row r="150" spans="1:18">
      <c r="A150" t="s">
        <v>1760</v>
      </c>
      <c r="C150" t="s">
        <v>3496</v>
      </c>
      <c r="D150">
        <v>1.4702999999999999</v>
      </c>
      <c r="E150">
        <v>10.740399999999999</v>
      </c>
      <c r="F150">
        <v>0.24010000000000001</v>
      </c>
      <c r="G150" s="284">
        <f t="shared" si="22"/>
        <v>10.980499999999999</v>
      </c>
      <c r="H150" s="284">
        <v>10.7583</v>
      </c>
      <c r="I150" s="284">
        <f>G150-H150</f>
        <v>0.22219999999999906</v>
      </c>
      <c r="J150" s="283">
        <f t="shared" si="15"/>
        <v>1.7900000000000943E-2</v>
      </c>
      <c r="K150" s="285">
        <f t="shared" si="16"/>
        <v>7.4552269887550784</v>
      </c>
      <c r="L150">
        <v>2</v>
      </c>
      <c r="M150" s="286">
        <v>43363</v>
      </c>
      <c r="N150" s="286">
        <v>43364</v>
      </c>
      <c r="O150" s="283"/>
      <c r="R150" s="285"/>
    </row>
    <row r="151" spans="1:18">
      <c r="A151" t="s">
        <v>1758</v>
      </c>
      <c r="C151" t="s">
        <v>3701</v>
      </c>
      <c r="D151">
        <v>0.69669999999999999</v>
      </c>
      <c r="E151">
        <v>8.7598000000000003</v>
      </c>
      <c r="F151">
        <v>0.2031</v>
      </c>
      <c r="G151" s="284">
        <f t="shared" si="22"/>
        <v>8.9628999999999994</v>
      </c>
      <c r="H151" s="284">
        <v>8.7980999999999998</v>
      </c>
      <c r="I151" s="284">
        <f>(G151-H151)</f>
        <v>0.16479999999999961</v>
      </c>
      <c r="J151" s="283">
        <f t="shared" si="15"/>
        <v>3.8300000000000389E-2</v>
      </c>
      <c r="K151" s="285">
        <f t="shared" si="16"/>
        <v>18.857705563761883</v>
      </c>
      <c r="L151">
        <v>34</v>
      </c>
      <c r="M151" s="286">
        <v>43360</v>
      </c>
      <c r="N151" s="286">
        <v>43361</v>
      </c>
      <c r="R151" s="285"/>
    </row>
    <row r="152" spans="1:18">
      <c r="A152" t="s">
        <v>1757</v>
      </c>
      <c r="C152" t="s">
        <v>3755</v>
      </c>
      <c r="D152" s="283">
        <v>1.6407</v>
      </c>
      <c r="E152" s="284">
        <v>9.6792999999999996</v>
      </c>
      <c r="F152" s="284">
        <v>0.23730000000000001</v>
      </c>
      <c r="G152" s="288">
        <f t="shared" si="22"/>
        <v>9.916599999999999</v>
      </c>
      <c r="H152" s="284">
        <v>9.6951999999999998</v>
      </c>
      <c r="I152" s="288">
        <f t="shared" ref="I152:I168" si="23">G152-H152</f>
        <v>0.22139999999999915</v>
      </c>
      <c r="J152" s="283">
        <f t="shared" si="15"/>
        <v>1.5900000000000858E-2</v>
      </c>
      <c r="K152" s="285">
        <f t="shared" si="16"/>
        <v>6.7003792667513089</v>
      </c>
      <c r="L152" s="283">
        <v>1</v>
      </c>
      <c r="M152" s="286">
        <v>43379</v>
      </c>
      <c r="N152" s="286">
        <v>43379</v>
      </c>
      <c r="O152" s="283"/>
      <c r="P152" s="283"/>
      <c r="R152" s="285"/>
    </row>
    <row r="153" spans="1:18">
      <c r="A153" t="s">
        <v>1756</v>
      </c>
      <c r="C153" t="s">
        <v>3734</v>
      </c>
      <c r="D153">
        <v>0.73580000000000001</v>
      </c>
      <c r="E153">
        <v>19.408899999999999</v>
      </c>
      <c r="F153">
        <v>0.21940000000000001</v>
      </c>
      <c r="G153" s="284">
        <f t="shared" si="22"/>
        <v>19.628299999999999</v>
      </c>
      <c r="H153" s="284">
        <v>19.474</v>
      </c>
      <c r="I153" s="284">
        <f t="shared" si="23"/>
        <v>0.15429999999999922</v>
      </c>
      <c r="J153" s="283">
        <f t="shared" si="15"/>
        <v>6.5100000000000796E-2</v>
      </c>
      <c r="K153" s="285">
        <f t="shared" si="16"/>
        <v>29.671832269827163</v>
      </c>
      <c r="L153">
        <v>30</v>
      </c>
      <c r="M153" s="286">
        <v>43361</v>
      </c>
      <c r="N153" s="286">
        <v>43362</v>
      </c>
      <c r="O153" s="283" t="s">
        <v>3730</v>
      </c>
      <c r="R153" s="285"/>
    </row>
    <row r="154" spans="1:18">
      <c r="A154" t="s">
        <v>1755</v>
      </c>
      <c r="C154" t="s">
        <v>3414</v>
      </c>
      <c r="D154">
        <v>0.74370000000000003</v>
      </c>
      <c r="E154">
        <v>8.2199000000000009</v>
      </c>
      <c r="F154">
        <v>0.2021</v>
      </c>
      <c r="G154" s="284">
        <f t="shared" si="22"/>
        <v>8.4220000000000006</v>
      </c>
      <c r="H154" s="284">
        <v>8.2733000000000008</v>
      </c>
      <c r="I154" s="284">
        <f t="shared" si="23"/>
        <v>0.14869999999999983</v>
      </c>
      <c r="J154" s="283">
        <f t="shared" si="15"/>
        <v>5.340000000000017E-2</v>
      </c>
      <c r="K154" s="285">
        <f t="shared" si="16"/>
        <v>26.422563087580492</v>
      </c>
      <c r="L154">
        <v>10</v>
      </c>
      <c r="M154" s="16">
        <v>43388</v>
      </c>
      <c r="N154" s="286">
        <v>43389</v>
      </c>
      <c r="O154" s="286"/>
      <c r="P154" s="283"/>
      <c r="R154" s="285"/>
    </row>
    <row r="155" spans="1:18">
      <c r="A155" t="s">
        <v>2020</v>
      </c>
      <c r="C155" t="s">
        <v>3427</v>
      </c>
      <c r="D155">
        <v>0.59309999999999996</v>
      </c>
      <c r="E155">
        <v>10.795500000000001</v>
      </c>
      <c r="F155">
        <v>0.22020000000000001</v>
      </c>
      <c r="G155" s="284">
        <f t="shared" si="22"/>
        <v>11.015700000000001</v>
      </c>
      <c r="H155" s="284">
        <v>10.8386</v>
      </c>
      <c r="I155" s="284">
        <f t="shared" si="23"/>
        <v>0.17710000000000115</v>
      </c>
      <c r="J155" s="283">
        <f t="shared" si="15"/>
        <v>4.3099999999998861E-2</v>
      </c>
      <c r="K155" s="285">
        <f t="shared" si="16"/>
        <v>19.57311534968159</v>
      </c>
      <c r="L155">
        <v>20</v>
      </c>
      <c r="M155" s="16">
        <v>43388</v>
      </c>
      <c r="N155" s="286">
        <v>43389</v>
      </c>
      <c r="O155" s="16"/>
      <c r="R155" s="285"/>
    </row>
    <row r="156" spans="1:18">
      <c r="A156" t="s">
        <v>1750</v>
      </c>
      <c r="C156" t="s">
        <v>3704</v>
      </c>
      <c r="D156">
        <v>1.6894</v>
      </c>
      <c r="E156">
        <v>7.8613</v>
      </c>
      <c r="F156">
        <v>0.2127</v>
      </c>
      <c r="G156" s="284">
        <f t="shared" si="22"/>
        <v>8.0739999999999998</v>
      </c>
      <c r="H156" s="284">
        <v>7.8746999999999998</v>
      </c>
      <c r="I156" s="284">
        <f t="shared" si="23"/>
        <v>0.19930000000000003</v>
      </c>
      <c r="J156" s="283">
        <f t="shared" ref="J156:J219" si="24">F156-I156</f>
        <v>1.3399999999999967E-2</v>
      </c>
      <c r="K156" s="285">
        <f t="shared" ref="K156:K219" si="25">(J156/F156)*100</f>
        <v>6.2999529854254668</v>
      </c>
      <c r="L156">
        <v>14</v>
      </c>
      <c r="M156" s="286">
        <v>43374</v>
      </c>
      <c r="N156" s="286">
        <v>43375</v>
      </c>
      <c r="O156" s="283" t="s">
        <v>3730</v>
      </c>
      <c r="R156" s="285"/>
    </row>
    <row r="157" spans="1:18">
      <c r="A157" t="s">
        <v>1749</v>
      </c>
      <c r="C157" t="s">
        <v>3472</v>
      </c>
      <c r="D157">
        <v>0.47089999999999999</v>
      </c>
      <c r="E157">
        <v>8.8465000000000007</v>
      </c>
      <c r="F157">
        <v>0.23549999999999999</v>
      </c>
      <c r="G157" s="284">
        <f t="shared" si="22"/>
        <v>9.0820000000000007</v>
      </c>
      <c r="H157" s="284">
        <v>8.8833000000000002</v>
      </c>
      <c r="I157" s="284">
        <f t="shared" si="23"/>
        <v>0.19870000000000054</v>
      </c>
      <c r="J157" s="283">
        <f t="shared" si="24"/>
        <v>3.6799999999999444E-2</v>
      </c>
      <c r="K157" s="285">
        <f t="shared" si="25"/>
        <v>15.626326963906347</v>
      </c>
      <c r="L157">
        <v>15</v>
      </c>
      <c r="M157" s="286">
        <v>43363</v>
      </c>
      <c r="N157" s="286">
        <v>43364</v>
      </c>
      <c r="O157" s="283"/>
      <c r="P157" t="s">
        <v>3762</v>
      </c>
      <c r="R157" s="285"/>
    </row>
    <row r="158" spans="1:18">
      <c r="A158" t="s">
        <v>1747</v>
      </c>
      <c r="C158" t="s">
        <v>3486</v>
      </c>
      <c r="D158">
        <v>1.4985999999999999</v>
      </c>
      <c r="E158">
        <v>8.0891999999999999</v>
      </c>
      <c r="F158">
        <v>0.20230000000000001</v>
      </c>
      <c r="G158" s="284">
        <f t="shared" si="22"/>
        <v>8.2914999999999992</v>
      </c>
      <c r="H158" s="284">
        <v>8.1057000000000006</v>
      </c>
      <c r="I158" s="284">
        <f t="shared" si="23"/>
        <v>0.18579999999999863</v>
      </c>
      <c r="J158" s="283">
        <f t="shared" si="24"/>
        <v>1.6500000000001375E-2</v>
      </c>
      <c r="K158" s="285">
        <f t="shared" si="25"/>
        <v>8.1562036579344408</v>
      </c>
      <c r="L158">
        <v>4</v>
      </c>
      <c r="M158" s="286">
        <v>43363</v>
      </c>
      <c r="N158" s="286">
        <v>43364</v>
      </c>
      <c r="O158" s="283"/>
      <c r="R158" s="285"/>
    </row>
    <row r="159" spans="1:18">
      <c r="A159" t="s">
        <v>1741</v>
      </c>
      <c r="C159" t="s">
        <v>3468</v>
      </c>
      <c r="D159">
        <v>0.64359999999999995</v>
      </c>
      <c r="E159">
        <v>8.1205999999999996</v>
      </c>
      <c r="F159">
        <v>0.2024</v>
      </c>
      <c r="G159" s="284">
        <f t="shared" si="22"/>
        <v>8.3230000000000004</v>
      </c>
      <c r="H159" s="284">
        <v>8.19</v>
      </c>
      <c r="I159" s="284">
        <f t="shared" si="23"/>
        <v>0.1330000000000009</v>
      </c>
      <c r="J159" s="283">
        <f t="shared" si="24"/>
        <v>6.9399999999999101E-2</v>
      </c>
      <c r="K159" s="285">
        <f t="shared" si="25"/>
        <v>34.288537549406669</v>
      </c>
      <c r="L159">
        <v>23</v>
      </c>
      <c r="M159" s="286">
        <v>43374</v>
      </c>
      <c r="N159" s="286">
        <v>43375</v>
      </c>
      <c r="O159" s="283" t="s">
        <v>3730</v>
      </c>
      <c r="R159" s="285"/>
    </row>
    <row r="160" spans="1:18">
      <c r="A160" t="s">
        <v>1738</v>
      </c>
      <c r="C160" t="s">
        <v>3780</v>
      </c>
      <c r="D160">
        <v>1.6714</v>
      </c>
      <c r="E160">
        <v>11.259600000000001</v>
      </c>
      <c r="F160">
        <v>0.2049</v>
      </c>
      <c r="G160" s="284">
        <f t="shared" si="22"/>
        <v>11.464500000000001</v>
      </c>
      <c r="H160" s="284">
        <v>11.270899999999999</v>
      </c>
      <c r="I160" s="284">
        <f t="shared" si="23"/>
        <v>0.19360000000000177</v>
      </c>
      <c r="J160" s="283">
        <f t="shared" si="24"/>
        <v>1.1299999999998228E-2</v>
      </c>
      <c r="K160" s="285">
        <f t="shared" si="25"/>
        <v>5.5148853099064077</v>
      </c>
      <c r="L160">
        <v>40</v>
      </c>
      <c r="M160">
        <v>23.101800000000001</v>
      </c>
      <c r="N160" s="16">
        <v>43397</v>
      </c>
      <c r="R160" s="285"/>
    </row>
    <row r="161" spans="1:30">
      <c r="A161" t="s">
        <v>1737</v>
      </c>
      <c r="B161">
        <v>217</v>
      </c>
      <c r="C161" t="s">
        <v>2504</v>
      </c>
      <c r="D161">
        <v>0.57699999999999996</v>
      </c>
      <c r="E161">
        <v>8.0656999999999996</v>
      </c>
      <c r="F161">
        <v>0.20960000000000001</v>
      </c>
      <c r="G161" s="284">
        <f t="shared" si="22"/>
        <v>8.2752999999999997</v>
      </c>
      <c r="H161" s="284">
        <v>8.1027000000000005</v>
      </c>
      <c r="I161" s="284">
        <f t="shared" si="23"/>
        <v>0.1725999999999992</v>
      </c>
      <c r="J161" s="283">
        <f t="shared" si="24"/>
        <v>3.700000000000081E-2</v>
      </c>
      <c r="K161" s="285">
        <f t="shared" si="25"/>
        <v>17.652671755725578</v>
      </c>
      <c r="L161">
        <v>32</v>
      </c>
      <c r="M161" s="16">
        <v>43395</v>
      </c>
      <c r="N161" s="16">
        <v>43396</v>
      </c>
      <c r="R161" s="285"/>
    </row>
    <row r="162" spans="1:30">
      <c r="A162" t="s">
        <v>1736</v>
      </c>
      <c r="C162" t="s">
        <v>3764</v>
      </c>
      <c r="D162">
        <v>0.59319999999999995</v>
      </c>
      <c r="E162">
        <v>11.864000000000001</v>
      </c>
      <c r="F162">
        <v>0.23580000000000001</v>
      </c>
      <c r="G162" s="284">
        <f t="shared" si="22"/>
        <v>12.0998</v>
      </c>
      <c r="H162" s="284">
        <v>11.9154</v>
      </c>
      <c r="I162" s="284">
        <f t="shared" si="23"/>
        <v>0.18440000000000012</v>
      </c>
      <c r="J162" s="283">
        <f t="shared" si="24"/>
        <v>5.139999999999989E-2</v>
      </c>
      <c r="K162" s="285">
        <f t="shared" si="25"/>
        <v>21.798134011874424</v>
      </c>
      <c r="L162">
        <v>37</v>
      </c>
      <c r="M162" s="286">
        <v>43363</v>
      </c>
      <c r="N162" s="286">
        <v>43364</v>
      </c>
      <c r="R162" s="285"/>
    </row>
    <row r="163" spans="1:30">
      <c r="A163" t="s">
        <v>1735</v>
      </c>
      <c r="B163">
        <v>201</v>
      </c>
      <c r="D163">
        <v>0.66920000000000002</v>
      </c>
      <c r="E163">
        <v>7.4762000000000004</v>
      </c>
      <c r="F163">
        <v>0.2077</v>
      </c>
      <c r="G163" s="284">
        <f t="shared" si="22"/>
        <v>7.6839000000000004</v>
      </c>
      <c r="H163" s="284">
        <v>7.5107999999999997</v>
      </c>
      <c r="I163" s="284">
        <f t="shared" si="23"/>
        <v>0.1731000000000007</v>
      </c>
      <c r="J163" s="283">
        <f t="shared" si="24"/>
        <v>3.4599999999999298E-2</v>
      </c>
      <c r="K163" s="285">
        <f t="shared" si="25"/>
        <v>16.658642272508086</v>
      </c>
      <c r="L163">
        <v>14</v>
      </c>
      <c r="M163">
        <v>23.101800000000001</v>
      </c>
      <c r="N163" s="16">
        <v>43397</v>
      </c>
      <c r="R163" s="285"/>
    </row>
    <row r="164" spans="1:30">
      <c r="A164" t="s">
        <v>1732</v>
      </c>
      <c r="C164" t="s">
        <v>3720</v>
      </c>
      <c r="D164">
        <v>0.58660000000000001</v>
      </c>
      <c r="E164">
        <v>11.903600000000001</v>
      </c>
      <c r="F164">
        <v>0.21740000000000001</v>
      </c>
      <c r="G164" s="284">
        <f t="shared" si="22"/>
        <v>12.121</v>
      </c>
      <c r="H164" s="284">
        <v>11.9339</v>
      </c>
      <c r="I164" s="284">
        <f t="shared" si="23"/>
        <v>0.18710000000000093</v>
      </c>
      <c r="J164" s="283">
        <f t="shared" si="24"/>
        <v>3.0299999999999078E-2</v>
      </c>
      <c r="K164" s="285">
        <f t="shared" si="25"/>
        <v>13.937442502299483</v>
      </c>
      <c r="L164">
        <v>14</v>
      </c>
      <c r="M164" s="286">
        <v>43361</v>
      </c>
      <c r="N164" s="286">
        <v>43362</v>
      </c>
      <c r="O164" s="283" t="s">
        <v>3730</v>
      </c>
      <c r="R164" s="285"/>
    </row>
    <row r="165" spans="1:30">
      <c r="A165" t="s">
        <v>2018</v>
      </c>
      <c r="C165" t="s">
        <v>3412</v>
      </c>
      <c r="D165">
        <v>0.59130000000000005</v>
      </c>
      <c r="E165">
        <v>10.155099999999999</v>
      </c>
      <c r="F165">
        <v>0.20949999999999999</v>
      </c>
      <c r="G165" s="284">
        <f t="shared" si="22"/>
        <v>10.364599999999999</v>
      </c>
      <c r="H165" s="284">
        <v>10.209300000000001</v>
      </c>
      <c r="I165" s="284">
        <f t="shared" si="23"/>
        <v>0.15529999999999866</v>
      </c>
      <c r="J165" s="283">
        <f t="shared" si="24"/>
        <v>5.420000000000133E-2</v>
      </c>
      <c r="K165" s="285">
        <f t="shared" si="25"/>
        <v>25.871121718377726</v>
      </c>
      <c r="L165">
        <v>40</v>
      </c>
      <c r="M165" s="286">
        <v>43374</v>
      </c>
      <c r="N165" s="286">
        <v>43375</v>
      </c>
      <c r="O165" s="283" t="s">
        <v>3730</v>
      </c>
      <c r="R165" s="285"/>
    </row>
    <row r="166" spans="1:30">
      <c r="A166" t="s">
        <v>1730</v>
      </c>
      <c r="C166" t="s">
        <v>3771</v>
      </c>
      <c r="D166">
        <v>1.5604</v>
      </c>
      <c r="E166">
        <v>7.7161</v>
      </c>
      <c r="F166">
        <v>0.21679999999999999</v>
      </c>
      <c r="G166" s="288">
        <f t="shared" si="22"/>
        <v>7.9329000000000001</v>
      </c>
      <c r="H166" s="284">
        <v>7.7297000000000002</v>
      </c>
      <c r="I166" s="288">
        <f t="shared" si="23"/>
        <v>0.20319999999999983</v>
      </c>
      <c r="J166" s="283">
        <f t="shared" si="24"/>
        <v>1.3600000000000168E-2</v>
      </c>
      <c r="K166" s="285">
        <f t="shared" si="25"/>
        <v>6.2730627306273838</v>
      </c>
      <c r="L166">
        <v>27</v>
      </c>
      <c r="M166" s="286">
        <v>43379</v>
      </c>
      <c r="N166" s="286">
        <v>43379</v>
      </c>
      <c r="R166" s="285"/>
    </row>
    <row r="167" spans="1:30">
      <c r="A167" t="s">
        <v>1728</v>
      </c>
      <c r="C167" t="s">
        <v>3753</v>
      </c>
      <c r="D167">
        <v>1.6896</v>
      </c>
      <c r="E167">
        <v>9.3444000000000003</v>
      </c>
      <c r="F167">
        <v>0.20630000000000001</v>
      </c>
      <c r="G167" s="288">
        <f t="shared" si="22"/>
        <v>9.5507000000000009</v>
      </c>
      <c r="H167" s="284">
        <v>9.3569999999999993</v>
      </c>
      <c r="I167" s="288">
        <f t="shared" si="23"/>
        <v>0.19370000000000154</v>
      </c>
      <c r="J167" s="283">
        <f t="shared" si="24"/>
        <v>1.2599999999998474E-2</v>
      </c>
      <c r="K167" s="285">
        <f t="shared" si="25"/>
        <v>6.1076102762959152</v>
      </c>
      <c r="L167">
        <v>3</v>
      </c>
      <c r="M167" s="286">
        <v>43379</v>
      </c>
      <c r="N167" s="286">
        <v>43379</v>
      </c>
      <c r="O167" s="283"/>
      <c r="R167" s="285"/>
    </row>
    <row r="168" spans="1:30">
      <c r="A168" t="s">
        <v>1727</v>
      </c>
      <c r="C168" t="s">
        <v>3473</v>
      </c>
      <c r="D168">
        <v>0.57050000000000001</v>
      </c>
      <c r="E168">
        <v>11.0906</v>
      </c>
      <c r="F168">
        <v>0.20610000000000001</v>
      </c>
      <c r="G168" s="284">
        <f t="shared" si="22"/>
        <v>11.2967</v>
      </c>
      <c r="H168" s="284">
        <v>11.1309</v>
      </c>
      <c r="I168" s="284">
        <f t="shared" si="23"/>
        <v>0.16579999999999906</v>
      </c>
      <c r="J168" s="283">
        <f t="shared" si="24"/>
        <v>4.0300000000000946E-2</v>
      </c>
      <c r="K168" s="285">
        <f t="shared" si="25"/>
        <v>19.55361475012176</v>
      </c>
      <c r="L168">
        <v>8</v>
      </c>
      <c r="M168" s="286">
        <v>43374</v>
      </c>
      <c r="N168" s="286">
        <v>43375</v>
      </c>
      <c r="O168" s="283" t="s">
        <v>3730</v>
      </c>
      <c r="R168" s="285"/>
    </row>
    <row r="169" spans="1:30">
      <c r="A169" t="s">
        <v>1726</v>
      </c>
      <c r="C169" t="s">
        <v>3678</v>
      </c>
      <c r="D169">
        <v>1.5694999999999999</v>
      </c>
      <c r="E169">
        <v>9.9166000000000007</v>
      </c>
      <c r="F169">
        <v>0.2001</v>
      </c>
      <c r="G169" s="284">
        <f t="shared" si="22"/>
        <v>10.116700000000002</v>
      </c>
      <c r="H169" s="284">
        <v>9.9318000000000008</v>
      </c>
      <c r="I169" s="284">
        <f>(G169-H169)</f>
        <v>0.18490000000000073</v>
      </c>
      <c r="J169" s="283">
        <f t="shared" si="24"/>
        <v>1.519999999999927E-2</v>
      </c>
      <c r="K169" s="285">
        <f t="shared" si="25"/>
        <v>7.5962018990501106</v>
      </c>
      <c r="L169">
        <v>33</v>
      </c>
      <c r="M169" s="16">
        <v>43358</v>
      </c>
      <c r="N169" s="16">
        <v>43358</v>
      </c>
      <c r="R169" s="285"/>
      <c r="Z169" s="285"/>
      <c r="AB169" s="286"/>
      <c r="AC169" s="286"/>
      <c r="AD169" s="283"/>
    </row>
    <row r="170" spans="1:30">
      <c r="A170" t="s">
        <v>1724</v>
      </c>
      <c r="C170" t="s">
        <v>3682</v>
      </c>
      <c r="D170">
        <v>0.86680000000000001</v>
      </c>
      <c r="E170">
        <v>10.9024</v>
      </c>
      <c r="F170">
        <v>0.24099999999999999</v>
      </c>
      <c r="G170" s="284">
        <f t="shared" si="22"/>
        <v>11.1434</v>
      </c>
      <c r="H170" s="284">
        <v>10.943</v>
      </c>
      <c r="I170" s="284">
        <f>G170-H170</f>
        <v>0.20040000000000013</v>
      </c>
      <c r="J170" s="283">
        <f t="shared" si="24"/>
        <v>4.0599999999999858E-2</v>
      </c>
      <c r="K170" s="285">
        <f t="shared" si="25"/>
        <v>16.846473029045587</v>
      </c>
      <c r="L170">
        <v>32</v>
      </c>
      <c r="M170" s="286">
        <v>43363</v>
      </c>
      <c r="N170" s="286">
        <v>43364</v>
      </c>
      <c r="R170" s="285"/>
    </row>
    <row r="171" spans="1:30">
      <c r="A171" t="s">
        <v>1721</v>
      </c>
      <c r="C171" t="s">
        <v>3661</v>
      </c>
      <c r="D171">
        <v>1.6275999999999999</v>
      </c>
      <c r="E171">
        <v>10.5022</v>
      </c>
      <c r="F171">
        <v>0.2031</v>
      </c>
      <c r="G171" s="284">
        <f t="shared" si="22"/>
        <v>10.705299999999999</v>
      </c>
      <c r="H171" s="284">
        <v>10.513299999999999</v>
      </c>
      <c r="I171" s="284">
        <f>(G171-H171)</f>
        <v>0.19200000000000017</v>
      </c>
      <c r="J171" s="283">
        <f t="shared" si="24"/>
        <v>1.1099999999999832E-2</v>
      </c>
      <c r="K171" s="285">
        <f t="shared" si="25"/>
        <v>5.4652880354504347</v>
      </c>
      <c r="L171">
        <v>3</v>
      </c>
      <c r="M171" s="286">
        <v>43355.625</v>
      </c>
      <c r="N171" s="286">
        <v>43355.791666666664</v>
      </c>
      <c r="O171" s="283" t="s">
        <v>3659</v>
      </c>
      <c r="R171" s="285"/>
    </row>
    <row r="172" spans="1:30">
      <c r="A172" t="s">
        <v>1719</v>
      </c>
      <c r="C172" t="s">
        <v>3779</v>
      </c>
      <c r="D172">
        <v>1.7169000000000001</v>
      </c>
      <c r="E172">
        <v>8.7347999999999999</v>
      </c>
      <c r="F172">
        <v>0.2021</v>
      </c>
      <c r="G172" s="284">
        <f t="shared" si="22"/>
        <v>8.9368999999999996</v>
      </c>
      <c r="H172" s="284">
        <v>8.7462999999999997</v>
      </c>
      <c r="I172" s="284">
        <f>G172-H172</f>
        <v>0.19059999999999988</v>
      </c>
      <c r="J172" s="283">
        <f t="shared" si="24"/>
        <v>1.1500000000000121E-2</v>
      </c>
      <c r="K172" s="285">
        <f t="shared" si="25"/>
        <v>5.6902523503216829</v>
      </c>
      <c r="L172">
        <v>28</v>
      </c>
      <c r="M172" s="16">
        <v>43381</v>
      </c>
      <c r="N172" s="16">
        <v>43382</v>
      </c>
      <c r="R172" s="285"/>
    </row>
    <row r="173" spans="1:30">
      <c r="A173" t="s">
        <v>1718</v>
      </c>
      <c r="C173" t="s">
        <v>3430</v>
      </c>
      <c r="D173">
        <v>0.75490000000000002</v>
      </c>
      <c r="E173">
        <v>18.1126</v>
      </c>
      <c r="F173">
        <v>0.2051</v>
      </c>
      <c r="G173" s="284">
        <f t="shared" si="22"/>
        <v>18.317700000000002</v>
      </c>
      <c r="H173" s="284">
        <v>18.186699999999998</v>
      </c>
      <c r="I173" s="284">
        <f>G173-H173</f>
        <v>0.13100000000000378</v>
      </c>
      <c r="J173" s="283">
        <f t="shared" si="24"/>
        <v>7.4099999999996224E-2</v>
      </c>
      <c r="K173" s="285">
        <f t="shared" si="25"/>
        <v>36.128717698681726</v>
      </c>
      <c r="L173">
        <v>39</v>
      </c>
      <c r="M173" s="286">
        <v>43363</v>
      </c>
      <c r="N173" s="286">
        <v>43364</v>
      </c>
      <c r="O173" s="283" t="s">
        <v>3756</v>
      </c>
      <c r="R173" s="285"/>
    </row>
    <row r="174" spans="1:30">
      <c r="A174" t="s">
        <v>1715</v>
      </c>
      <c r="C174" t="s">
        <v>3427</v>
      </c>
      <c r="D174">
        <v>0.69259999999999999</v>
      </c>
      <c r="E174">
        <v>10.273400000000001</v>
      </c>
      <c r="F174">
        <v>0.20230000000000001</v>
      </c>
      <c r="G174" s="288">
        <f t="shared" si="22"/>
        <v>10.4757</v>
      </c>
      <c r="H174" s="284">
        <v>10.331099999999999</v>
      </c>
      <c r="I174" s="288">
        <f>G174-H174</f>
        <v>0.14460000000000051</v>
      </c>
      <c r="J174" s="283">
        <f t="shared" si="24"/>
        <v>5.7699999999999502E-2</v>
      </c>
      <c r="K174" s="285">
        <f t="shared" si="25"/>
        <v>28.521997034107514</v>
      </c>
      <c r="L174">
        <v>35</v>
      </c>
      <c r="M174" s="286">
        <v>43379</v>
      </c>
      <c r="N174" s="286">
        <v>43379</v>
      </c>
      <c r="R174" s="285"/>
    </row>
    <row r="175" spans="1:30">
      <c r="A175" t="s">
        <v>1714</v>
      </c>
      <c r="C175" t="s">
        <v>3695</v>
      </c>
      <c r="D175">
        <v>1.4553</v>
      </c>
      <c r="E175">
        <v>11.002800000000001</v>
      </c>
      <c r="F175">
        <v>0.21110000000000001</v>
      </c>
      <c r="G175" s="284">
        <f t="shared" si="22"/>
        <v>11.213900000000001</v>
      </c>
      <c r="H175" s="284">
        <v>11.023300000000001</v>
      </c>
      <c r="I175" s="284">
        <f>(G175-H175)</f>
        <v>0.19059999999999988</v>
      </c>
      <c r="J175" s="283">
        <f t="shared" si="24"/>
        <v>2.0500000000000129E-2</v>
      </c>
      <c r="K175" s="285">
        <f t="shared" si="25"/>
        <v>9.7110374230223258</v>
      </c>
      <c r="L175">
        <v>22</v>
      </c>
      <c r="M175" s="286">
        <v>43360</v>
      </c>
      <c r="N175" s="286">
        <v>43361</v>
      </c>
      <c r="R175" s="285"/>
    </row>
    <row r="176" spans="1:30">
      <c r="A176" t="s">
        <v>1712</v>
      </c>
      <c r="B176">
        <v>195</v>
      </c>
      <c r="D176">
        <v>0.65900000000000003</v>
      </c>
      <c r="E176">
        <v>8.0901999999999994</v>
      </c>
      <c r="F176">
        <v>0.20080000000000001</v>
      </c>
      <c r="G176" s="284">
        <f t="shared" si="22"/>
        <v>8.2909999999999986</v>
      </c>
      <c r="H176" s="284">
        <v>8.1227</v>
      </c>
      <c r="I176" s="284">
        <f>G176-H176</f>
        <v>0.16829999999999856</v>
      </c>
      <c r="J176" s="283">
        <f t="shared" si="24"/>
        <v>3.2500000000001444E-2</v>
      </c>
      <c r="K176" s="285">
        <f t="shared" si="25"/>
        <v>16.185258964144143</v>
      </c>
      <c r="L176">
        <v>7</v>
      </c>
      <c r="M176">
        <v>23.101800000000001</v>
      </c>
      <c r="N176" s="16">
        <v>43397</v>
      </c>
      <c r="R176" s="285"/>
    </row>
    <row r="177" spans="1:18">
      <c r="A177" t="s">
        <v>2016</v>
      </c>
      <c r="C177" t="s">
        <v>3729</v>
      </c>
      <c r="D177">
        <v>0.71709999999999996</v>
      </c>
      <c r="E177">
        <v>9.3442000000000007</v>
      </c>
      <c r="F177">
        <v>0.22459999999999999</v>
      </c>
      <c r="G177" s="284">
        <f t="shared" si="22"/>
        <v>9.5688000000000013</v>
      </c>
      <c r="H177" s="284">
        <v>9.4041999999999994</v>
      </c>
      <c r="I177" s="284">
        <f>(G177-H177)</f>
        <v>0.16460000000000186</v>
      </c>
      <c r="J177" s="283">
        <f t="shared" si="24"/>
        <v>5.9999999999998138E-2</v>
      </c>
      <c r="K177" s="285">
        <f t="shared" si="25"/>
        <v>26.714158504006296</v>
      </c>
      <c r="L177">
        <v>42</v>
      </c>
      <c r="M177" s="286">
        <v>43360</v>
      </c>
      <c r="N177" s="286">
        <v>43361</v>
      </c>
      <c r="O177" s="283" t="s">
        <v>3707</v>
      </c>
      <c r="R177" s="285"/>
    </row>
    <row r="178" spans="1:18">
      <c r="A178" t="s">
        <v>1709</v>
      </c>
      <c r="C178" t="s">
        <v>3726</v>
      </c>
      <c r="D178">
        <v>1.5366</v>
      </c>
      <c r="E178">
        <v>10.540800000000001</v>
      </c>
      <c r="F178">
        <v>0.2329</v>
      </c>
      <c r="G178" s="284">
        <f t="shared" si="22"/>
        <v>10.773700000000002</v>
      </c>
      <c r="H178" s="284">
        <v>10.557499999999999</v>
      </c>
      <c r="I178" s="284">
        <f>(G178-H178)</f>
        <v>0.21620000000000239</v>
      </c>
      <c r="J178" s="283">
        <f t="shared" si="24"/>
        <v>1.6699999999997606E-2</v>
      </c>
      <c r="K178" s="285">
        <f t="shared" si="25"/>
        <v>7.1704594246447426</v>
      </c>
      <c r="L178">
        <v>38</v>
      </c>
      <c r="M178" s="286">
        <v>43360</v>
      </c>
      <c r="N178" s="286">
        <v>43361</v>
      </c>
      <c r="O178" s="283" t="s">
        <v>3707</v>
      </c>
      <c r="R178" s="285"/>
    </row>
    <row r="179" spans="1:18">
      <c r="A179" t="s">
        <v>1708</v>
      </c>
      <c r="C179" t="s">
        <v>3725</v>
      </c>
      <c r="D179">
        <v>1.5739000000000001</v>
      </c>
      <c r="E179">
        <v>9.3206000000000007</v>
      </c>
      <c r="F179">
        <v>0.24679999999999999</v>
      </c>
      <c r="G179" s="284">
        <f t="shared" si="22"/>
        <v>9.567400000000001</v>
      </c>
      <c r="H179" s="284">
        <v>9.3346</v>
      </c>
      <c r="I179" s="284">
        <f>G179-H179</f>
        <v>0.23280000000000101</v>
      </c>
      <c r="J179" s="283">
        <f t="shared" si="24"/>
        <v>1.3999999999998985E-2</v>
      </c>
      <c r="K179" s="285">
        <f t="shared" si="25"/>
        <v>5.6726094003237382</v>
      </c>
      <c r="L179">
        <v>2</v>
      </c>
      <c r="M179" s="16">
        <v>43381</v>
      </c>
      <c r="N179" s="16">
        <v>43382</v>
      </c>
      <c r="R179" s="285"/>
    </row>
    <row r="180" spans="1:18">
      <c r="A180" t="s">
        <v>1707</v>
      </c>
      <c r="C180" t="s">
        <v>3416</v>
      </c>
      <c r="D180">
        <v>0.49370000000000003</v>
      </c>
      <c r="E180">
        <v>10.5054</v>
      </c>
      <c r="F180">
        <v>0.20749999999999999</v>
      </c>
      <c r="G180" s="284">
        <f t="shared" si="22"/>
        <v>10.712899999999999</v>
      </c>
      <c r="H180" s="284">
        <v>10.5404</v>
      </c>
      <c r="I180" s="284">
        <f>G180-H180</f>
        <v>0.17249999999999943</v>
      </c>
      <c r="J180" s="283">
        <f t="shared" si="24"/>
        <v>3.5000000000000558E-2</v>
      </c>
      <c r="K180" s="285">
        <f t="shared" si="25"/>
        <v>16.867469879518342</v>
      </c>
      <c r="L180">
        <v>6</v>
      </c>
      <c r="M180" s="16">
        <v>43381</v>
      </c>
      <c r="N180" s="16">
        <v>43382</v>
      </c>
      <c r="R180" s="285"/>
    </row>
    <row r="181" spans="1:18">
      <c r="A181" t="s">
        <v>1706</v>
      </c>
      <c r="C181" t="s">
        <v>3701</v>
      </c>
      <c r="D181">
        <v>0.62109999999999999</v>
      </c>
      <c r="E181">
        <v>19.650200000000002</v>
      </c>
      <c r="F181">
        <v>0.21510000000000001</v>
      </c>
      <c r="G181" s="284">
        <f t="shared" si="22"/>
        <v>19.865300000000001</v>
      </c>
      <c r="H181" s="284">
        <v>19.692399999999999</v>
      </c>
      <c r="I181" s="284">
        <f>G181-H181</f>
        <v>0.17290000000000205</v>
      </c>
      <c r="J181" s="283">
        <f t="shared" si="24"/>
        <v>4.2199999999997961E-2</v>
      </c>
      <c r="K181" s="285">
        <f t="shared" si="25"/>
        <v>19.618781961877247</v>
      </c>
      <c r="L181">
        <v>32</v>
      </c>
      <c r="M181" s="286">
        <v>43361</v>
      </c>
      <c r="N181" s="286">
        <v>43362</v>
      </c>
      <c r="O181" s="283" t="s">
        <v>3730</v>
      </c>
      <c r="R181" s="285"/>
    </row>
    <row r="182" spans="1:18">
      <c r="A182" t="s">
        <v>1703</v>
      </c>
      <c r="C182" t="s">
        <v>3665</v>
      </c>
      <c r="D182">
        <v>1.5323</v>
      </c>
      <c r="E182">
        <v>10.074999999999999</v>
      </c>
      <c r="F182">
        <v>0.2021</v>
      </c>
      <c r="G182" s="284">
        <f t="shared" si="22"/>
        <v>10.277099999999999</v>
      </c>
      <c r="H182" s="284">
        <v>10.0878</v>
      </c>
      <c r="I182" s="284">
        <f>(G182-H182)</f>
        <v>0.18929999999999936</v>
      </c>
      <c r="J182" s="283">
        <f t="shared" si="24"/>
        <v>1.2800000000000644E-2</v>
      </c>
      <c r="K182" s="285">
        <f t="shared" si="25"/>
        <v>6.3334982681843854</v>
      </c>
      <c r="L182">
        <v>5</v>
      </c>
      <c r="M182" s="16">
        <v>43358</v>
      </c>
      <c r="N182" s="16">
        <v>43358</v>
      </c>
      <c r="R182" s="285"/>
    </row>
    <row r="183" spans="1:18">
      <c r="A183" t="s">
        <v>1702</v>
      </c>
      <c r="C183" t="s">
        <v>3422</v>
      </c>
      <c r="D183">
        <v>0.51029999999999998</v>
      </c>
      <c r="E183">
        <v>8.1319999999999997</v>
      </c>
      <c r="F183">
        <v>0.2112</v>
      </c>
      <c r="G183">
        <f t="shared" si="22"/>
        <v>8.3431999999999995</v>
      </c>
      <c r="H183">
        <v>8.173</v>
      </c>
      <c r="I183" s="284">
        <f>G183-H183</f>
        <v>0.17019999999999946</v>
      </c>
      <c r="J183" s="283">
        <f t="shared" si="24"/>
        <v>4.1000000000000536E-2</v>
      </c>
      <c r="K183" s="285">
        <f t="shared" si="25"/>
        <v>19.412878787879041</v>
      </c>
      <c r="L183">
        <v>9</v>
      </c>
      <c r="M183" s="16">
        <v>43402</v>
      </c>
      <c r="N183" s="16">
        <v>43403</v>
      </c>
      <c r="R183" s="285"/>
    </row>
    <row r="184" spans="1:18">
      <c r="A184" t="s">
        <v>1701</v>
      </c>
      <c r="C184" t="s">
        <v>3751</v>
      </c>
      <c r="D184">
        <v>1.63</v>
      </c>
      <c r="E184">
        <v>9.5570000000000004</v>
      </c>
      <c r="F184">
        <v>0.2009</v>
      </c>
      <c r="G184" s="284">
        <f t="shared" si="22"/>
        <v>9.7579000000000011</v>
      </c>
      <c r="H184" s="284">
        <v>9.5688999999999993</v>
      </c>
      <c r="I184" s="284">
        <f>G184-H184</f>
        <v>0.18900000000000183</v>
      </c>
      <c r="J184" s="283">
        <f t="shared" si="24"/>
        <v>1.1899999999998162E-2</v>
      </c>
      <c r="K184" s="285">
        <f t="shared" si="25"/>
        <v>5.923344947734277</v>
      </c>
      <c r="L184">
        <v>24</v>
      </c>
      <c r="M184" s="286">
        <v>43362</v>
      </c>
      <c r="N184" s="286">
        <v>43363</v>
      </c>
      <c r="R184" s="285"/>
    </row>
    <row r="185" spans="1:18">
      <c r="A185" t="s">
        <v>2015</v>
      </c>
      <c r="C185" t="s">
        <v>3723</v>
      </c>
      <c r="D185">
        <v>1.7032</v>
      </c>
      <c r="E185">
        <v>7.7754000000000003</v>
      </c>
      <c r="F185">
        <v>0.21210000000000001</v>
      </c>
      <c r="G185" s="284">
        <f t="shared" si="22"/>
        <v>7.9875000000000007</v>
      </c>
      <c r="H185" s="284">
        <v>7.7873000000000001</v>
      </c>
      <c r="I185" s="284">
        <f>G185-H185</f>
        <v>0.2002000000000006</v>
      </c>
      <c r="J185" s="283">
        <f t="shared" si="24"/>
        <v>1.1899999999999411E-2</v>
      </c>
      <c r="K185" s="285">
        <f t="shared" si="25"/>
        <v>5.6105610561053325</v>
      </c>
      <c r="L185">
        <v>23</v>
      </c>
      <c r="M185" s="16">
        <v>43395</v>
      </c>
      <c r="N185" s="16">
        <v>43396</v>
      </c>
      <c r="R185" s="285"/>
    </row>
    <row r="186" spans="1:18">
      <c r="A186" t="s">
        <v>1700</v>
      </c>
      <c r="C186" t="s">
        <v>3787</v>
      </c>
      <c r="D186">
        <v>0.75870000000000004</v>
      </c>
      <c r="E186">
        <v>7.3183999999999996</v>
      </c>
      <c r="F186">
        <v>0.22370000000000001</v>
      </c>
      <c r="G186" s="284">
        <f t="shared" si="22"/>
        <v>7.5420999999999996</v>
      </c>
      <c r="H186" s="284">
        <v>7.3623000000000003</v>
      </c>
      <c r="I186" s="284">
        <f>G186-H186</f>
        <v>0.17979999999999929</v>
      </c>
      <c r="J186" s="283">
        <f t="shared" si="24"/>
        <v>4.3900000000000716E-2</v>
      </c>
      <c r="K186" s="285">
        <f t="shared" si="25"/>
        <v>19.624497094323072</v>
      </c>
      <c r="L186">
        <v>23</v>
      </c>
      <c r="M186" s="16">
        <v>43399</v>
      </c>
      <c r="N186" s="16">
        <v>43400</v>
      </c>
      <c r="R186" s="285"/>
    </row>
    <row r="187" spans="1:18">
      <c r="A187" t="s">
        <v>1697</v>
      </c>
      <c r="C187" t="s">
        <v>3464</v>
      </c>
      <c r="D187">
        <v>0.59299999999999997</v>
      </c>
      <c r="E187">
        <v>9.0047999999999995</v>
      </c>
      <c r="F187">
        <v>0.2029</v>
      </c>
      <c r="G187" s="284">
        <f t="shared" si="22"/>
        <v>9.2076999999999991</v>
      </c>
      <c r="H187" s="284">
        <v>9.0604999999999993</v>
      </c>
      <c r="I187" s="284">
        <f>G187-H187</f>
        <v>0.14719999999999978</v>
      </c>
      <c r="J187" s="283">
        <f t="shared" si="24"/>
        <v>5.5700000000000222E-2</v>
      </c>
      <c r="K187" s="285">
        <f t="shared" si="25"/>
        <v>27.451946771808881</v>
      </c>
      <c r="L187">
        <v>41</v>
      </c>
      <c r="M187" s="286">
        <v>43362</v>
      </c>
      <c r="N187" s="286">
        <v>43363</v>
      </c>
      <c r="R187" s="285"/>
    </row>
    <row r="188" spans="1:18">
      <c r="A188" t="s">
        <v>1694</v>
      </c>
      <c r="C188" t="s">
        <v>3721</v>
      </c>
      <c r="D188">
        <f>4.0438-2.3947</f>
        <v>1.6491000000000002</v>
      </c>
      <c r="E188">
        <v>9.5563000000000002</v>
      </c>
      <c r="F188">
        <v>0.21060000000000001</v>
      </c>
      <c r="G188" s="284">
        <f t="shared" si="22"/>
        <v>9.7668999999999997</v>
      </c>
      <c r="H188" s="284">
        <v>9.5673999999999992</v>
      </c>
      <c r="I188" s="284">
        <f>(G188-H188)</f>
        <v>0.19950000000000045</v>
      </c>
      <c r="J188" s="283">
        <f t="shared" si="24"/>
        <v>1.1099999999999555E-2</v>
      </c>
      <c r="K188" s="285">
        <f t="shared" si="25"/>
        <v>5.2706552706550589</v>
      </c>
      <c r="L188">
        <v>32</v>
      </c>
      <c r="M188" s="286">
        <v>43360</v>
      </c>
      <c r="N188" s="286">
        <v>43361</v>
      </c>
      <c r="O188" s="283" t="s">
        <v>3707</v>
      </c>
      <c r="R188" s="285"/>
    </row>
    <row r="189" spans="1:18">
      <c r="A189" t="s">
        <v>1693</v>
      </c>
      <c r="C189" t="s">
        <v>3747</v>
      </c>
      <c r="D189">
        <v>1.5</v>
      </c>
      <c r="E189">
        <v>11.025600000000001</v>
      </c>
      <c r="F189">
        <v>0.21890000000000001</v>
      </c>
      <c r="G189" s="284">
        <f t="shared" si="22"/>
        <v>11.2445</v>
      </c>
      <c r="H189" s="284">
        <v>11.0396</v>
      </c>
      <c r="I189" s="284">
        <f>G189-H189</f>
        <v>0.2049000000000003</v>
      </c>
      <c r="J189" s="283">
        <f t="shared" si="24"/>
        <v>1.3999999999999707E-2</v>
      </c>
      <c r="K189" s="285">
        <f t="shared" si="25"/>
        <v>6.3956144358153066</v>
      </c>
      <c r="L189">
        <v>18</v>
      </c>
      <c r="M189" s="286">
        <v>43362</v>
      </c>
      <c r="N189" s="286">
        <v>43363</v>
      </c>
      <c r="R189" s="285"/>
    </row>
    <row r="190" spans="1:18">
      <c r="A190" t="s">
        <v>2014</v>
      </c>
      <c r="B190">
        <v>210</v>
      </c>
      <c r="D190">
        <v>0.68300000000000005</v>
      </c>
      <c r="E190">
        <v>10.856199999999999</v>
      </c>
      <c r="F190">
        <v>0.23469999999999999</v>
      </c>
      <c r="G190" s="284">
        <f t="shared" si="22"/>
        <v>11.0909</v>
      </c>
      <c r="H190" s="284">
        <v>10.901199999999999</v>
      </c>
      <c r="I190" s="284">
        <f>G190-H190</f>
        <v>0.1897000000000002</v>
      </c>
      <c r="J190" s="283">
        <f t="shared" si="24"/>
        <v>4.499999999999979E-2</v>
      </c>
      <c r="K190" s="285">
        <f t="shared" si="25"/>
        <v>19.173412867490324</v>
      </c>
      <c r="L190">
        <v>20</v>
      </c>
      <c r="M190" s="16">
        <v>43395</v>
      </c>
      <c r="N190" s="16">
        <v>43396</v>
      </c>
      <c r="R190" s="285"/>
    </row>
    <row r="191" spans="1:18">
      <c r="A191" t="s">
        <v>1689</v>
      </c>
      <c r="B191">
        <v>216</v>
      </c>
      <c r="D191">
        <v>0.55179999999999996</v>
      </c>
      <c r="E191">
        <v>9.0035000000000007</v>
      </c>
      <c r="F191">
        <v>0.23080000000000001</v>
      </c>
      <c r="G191" s="284">
        <f t="shared" si="22"/>
        <v>9.2343000000000011</v>
      </c>
      <c r="H191" s="284">
        <v>9.0334000000000003</v>
      </c>
      <c r="I191" s="284">
        <f>G191-H191</f>
        <v>0.20090000000000074</v>
      </c>
      <c r="J191" s="283">
        <f t="shared" si="24"/>
        <v>2.9899999999999261E-2</v>
      </c>
      <c r="K191" s="285">
        <f t="shared" si="25"/>
        <v>12.954939341420824</v>
      </c>
      <c r="L191">
        <v>30</v>
      </c>
      <c r="M191" s="16">
        <v>43395</v>
      </c>
      <c r="N191" s="16">
        <v>43396</v>
      </c>
      <c r="R191" s="285"/>
    </row>
    <row r="192" spans="1:18">
      <c r="A192" t="s">
        <v>1687</v>
      </c>
      <c r="B192">
        <v>212</v>
      </c>
      <c r="D192">
        <v>0.57750000000000001</v>
      </c>
      <c r="E192">
        <v>11.0245</v>
      </c>
      <c r="F192">
        <v>0.20979999999999999</v>
      </c>
      <c r="G192" s="284">
        <f t="shared" si="22"/>
        <v>11.234299999999999</v>
      </c>
      <c r="H192" s="284">
        <v>11.056699999999999</v>
      </c>
      <c r="I192" s="284">
        <f>G192-H192</f>
        <v>0.17759999999999998</v>
      </c>
      <c r="J192" s="283">
        <f t="shared" si="24"/>
        <v>3.2200000000000006E-2</v>
      </c>
      <c r="K192" s="285">
        <f t="shared" si="25"/>
        <v>15.347950428979985</v>
      </c>
      <c r="L192">
        <v>6</v>
      </c>
      <c r="M192" s="16">
        <v>43395</v>
      </c>
      <c r="N192" s="16">
        <v>43396</v>
      </c>
      <c r="R192" s="285"/>
    </row>
    <row r="193" spans="1:18">
      <c r="A193" t="s">
        <v>1686</v>
      </c>
      <c r="C193" t="s">
        <v>3697</v>
      </c>
      <c r="D193">
        <v>1.7355</v>
      </c>
      <c r="E193">
        <v>10.271800000000001</v>
      </c>
      <c r="F193">
        <v>0.21909999999999999</v>
      </c>
      <c r="G193" s="284">
        <f t="shared" si="22"/>
        <v>10.4909</v>
      </c>
      <c r="H193" s="284">
        <v>10.2857</v>
      </c>
      <c r="I193" s="284">
        <f>(G193-H193)</f>
        <v>0.2051999999999996</v>
      </c>
      <c r="J193" s="283">
        <f t="shared" si="24"/>
        <v>1.3900000000000384E-2</v>
      </c>
      <c r="K193" s="285">
        <f t="shared" si="25"/>
        <v>6.3441350981288833</v>
      </c>
      <c r="L193">
        <v>29</v>
      </c>
      <c r="M193" s="286">
        <v>43360</v>
      </c>
      <c r="N193" s="286">
        <v>43361</v>
      </c>
      <c r="R193" s="285"/>
    </row>
    <row r="194" spans="1:18">
      <c r="A194" t="s">
        <v>1680</v>
      </c>
      <c r="C194" t="s">
        <v>3721</v>
      </c>
      <c r="D194">
        <v>1.7263999999999999</v>
      </c>
      <c r="E194">
        <v>9.7270000000000003</v>
      </c>
      <c r="F194">
        <v>0.23710000000000001</v>
      </c>
      <c r="G194" s="284">
        <f t="shared" si="22"/>
        <v>9.9641000000000002</v>
      </c>
      <c r="H194" s="284">
        <v>9.74</v>
      </c>
      <c r="I194" s="284">
        <f>(G194-H194)</f>
        <v>0.22409999999999997</v>
      </c>
      <c r="J194" s="283">
        <f t="shared" si="24"/>
        <v>1.3000000000000039E-2</v>
      </c>
      <c r="K194" s="285">
        <f t="shared" si="25"/>
        <v>5.4829185997469585</v>
      </c>
      <c r="L194">
        <v>30</v>
      </c>
      <c r="M194" s="286">
        <v>43360</v>
      </c>
      <c r="N194" s="286">
        <v>43361</v>
      </c>
      <c r="O194" s="283" t="s">
        <v>3707</v>
      </c>
      <c r="R194" s="285"/>
    </row>
    <row r="195" spans="1:18">
      <c r="A195" t="s">
        <v>1679</v>
      </c>
      <c r="C195" t="s">
        <v>3415</v>
      </c>
      <c r="D195">
        <v>0.62929999999999997</v>
      </c>
      <c r="E195">
        <v>8.0646000000000004</v>
      </c>
      <c r="F195">
        <v>0.2056</v>
      </c>
      <c r="G195" s="284">
        <f t="shared" si="22"/>
        <v>8.2702000000000009</v>
      </c>
      <c r="H195" s="284">
        <v>8.1158999999999999</v>
      </c>
      <c r="I195" s="284">
        <f>G195-H195</f>
        <v>0.15430000000000099</v>
      </c>
      <c r="J195" s="283">
        <f t="shared" si="24"/>
        <v>5.1299999999999013E-2</v>
      </c>
      <c r="K195" s="285">
        <f t="shared" si="25"/>
        <v>24.951361867703799</v>
      </c>
      <c r="L195">
        <v>5</v>
      </c>
      <c r="M195" s="16">
        <v>43399</v>
      </c>
      <c r="N195" s="16">
        <v>43400</v>
      </c>
      <c r="R195" s="285"/>
    </row>
    <row r="196" spans="1:18">
      <c r="A196" t="s">
        <v>1678</v>
      </c>
      <c r="C196" t="s">
        <v>3668</v>
      </c>
      <c r="D196">
        <v>1.8066</v>
      </c>
      <c r="E196">
        <v>7.9055</v>
      </c>
      <c r="F196">
        <v>0.20480000000000001</v>
      </c>
      <c r="G196" s="284">
        <f t="shared" si="22"/>
        <v>8.1103000000000005</v>
      </c>
      <c r="H196" s="284">
        <v>7.9172000000000002</v>
      </c>
      <c r="I196" s="284">
        <f>(G196-H196)</f>
        <v>0.19310000000000027</v>
      </c>
      <c r="J196" s="283">
        <f t="shared" si="24"/>
        <v>1.1699999999999738E-2</v>
      </c>
      <c r="K196" s="285">
        <f t="shared" si="25"/>
        <v>5.7128906249998721</v>
      </c>
      <c r="L196">
        <v>14</v>
      </c>
      <c r="M196" s="16">
        <v>43358</v>
      </c>
      <c r="N196" s="16">
        <v>43358</v>
      </c>
      <c r="R196" s="285"/>
    </row>
    <row r="197" spans="1:18">
      <c r="A197" t="s">
        <v>1673</v>
      </c>
      <c r="C197" t="s">
        <v>3768</v>
      </c>
      <c r="D197">
        <v>1.2113</v>
      </c>
      <c r="E197">
        <v>9.0335000000000001</v>
      </c>
      <c r="F197">
        <v>0.22120000000000001</v>
      </c>
      <c r="G197" s="284">
        <f t="shared" si="22"/>
        <v>9.2546999999999997</v>
      </c>
      <c r="H197" s="284">
        <v>9.0708000000000002</v>
      </c>
      <c r="I197" s="284">
        <f>G197-H197</f>
        <v>0.18389999999999951</v>
      </c>
      <c r="J197" s="283">
        <f t="shared" si="24"/>
        <v>3.7300000000000499E-2</v>
      </c>
      <c r="K197" s="285">
        <f t="shared" si="25"/>
        <v>16.862567811935126</v>
      </c>
      <c r="L197">
        <v>34</v>
      </c>
      <c r="M197" s="16">
        <v>43381</v>
      </c>
      <c r="N197" s="16">
        <v>43382</v>
      </c>
      <c r="R197" s="285"/>
    </row>
    <row r="198" spans="1:18">
      <c r="A198" t="s">
        <v>1671</v>
      </c>
      <c r="C198" t="s">
        <v>3715</v>
      </c>
      <c r="D198">
        <v>1.4884999999999999</v>
      </c>
      <c r="E198">
        <v>7.4813000000000001</v>
      </c>
      <c r="F198">
        <v>0.22600000000000001</v>
      </c>
      <c r="G198" s="284">
        <f t="shared" si="22"/>
        <v>7.7073</v>
      </c>
      <c r="H198" s="284">
        <v>7.5008999999999997</v>
      </c>
      <c r="I198" s="284">
        <f>G198-H198</f>
        <v>0.20640000000000036</v>
      </c>
      <c r="J198" s="283">
        <f t="shared" si="24"/>
        <v>1.9599999999999645E-2</v>
      </c>
      <c r="K198" s="285">
        <f t="shared" si="25"/>
        <v>8.6725663716812598</v>
      </c>
      <c r="L198">
        <v>12</v>
      </c>
      <c r="M198" s="286">
        <v>43361</v>
      </c>
      <c r="N198" s="286">
        <v>43362</v>
      </c>
      <c r="O198" s="283" t="s">
        <v>3730</v>
      </c>
      <c r="R198" s="285"/>
    </row>
    <row r="199" spans="1:18">
      <c r="A199" t="s">
        <v>2012</v>
      </c>
      <c r="C199" t="s">
        <v>3750</v>
      </c>
      <c r="D199">
        <v>1.5153000000000001</v>
      </c>
      <c r="E199">
        <v>7.7161999999999997</v>
      </c>
      <c r="F199">
        <v>0.2127</v>
      </c>
      <c r="G199" s="284">
        <f t="shared" si="22"/>
        <v>7.9288999999999996</v>
      </c>
      <c r="H199" s="284">
        <v>7.7305000000000001</v>
      </c>
      <c r="I199" s="284">
        <f>G199-H199</f>
        <v>0.19839999999999947</v>
      </c>
      <c r="J199" s="283">
        <f t="shared" si="24"/>
        <v>1.4300000000000535E-2</v>
      </c>
      <c r="K199" s="285">
        <f t="shared" si="25"/>
        <v>6.723084156088639</v>
      </c>
      <c r="L199">
        <v>23</v>
      </c>
      <c r="M199" s="286">
        <v>43362</v>
      </c>
      <c r="N199" s="286">
        <v>43363</v>
      </c>
      <c r="R199" s="285"/>
    </row>
    <row r="200" spans="1:18">
      <c r="A200" t="s">
        <v>1670</v>
      </c>
      <c r="C200" t="s">
        <v>3698</v>
      </c>
      <c r="D200">
        <v>1.7269000000000001</v>
      </c>
      <c r="E200">
        <v>10.3141</v>
      </c>
      <c r="F200">
        <v>0.21679999999999999</v>
      </c>
      <c r="G200" s="284">
        <f t="shared" si="22"/>
        <v>10.530899999999999</v>
      </c>
      <c r="H200" s="284">
        <v>10.3269</v>
      </c>
      <c r="I200" s="284">
        <f>(G200-H200)</f>
        <v>0.20399999999999885</v>
      </c>
      <c r="J200" s="283">
        <f t="shared" si="24"/>
        <v>1.2800000000001144E-2</v>
      </c>
      <c r="K200" s="285">
        <f t="shared" si="25"/>
        <v>5.9040590405909334</v>
      </c>
      <c r="L200">
        <v>31</v>
      </c>
      <c r="M200" s="286">
        <v>43360</v>
      </c>
      <c r="N200" s="286">
        <v>43361</v>
      </c>
      <c r="R200" s="285"/>
    </row>
    <row r="201" spans="1:18">
      <c r="A201" t="s">
        <v>1668</v>
      </c>
      <c r="C201" t="s">
        <v>3666</v>
      </c>
      <c r="D201">
        <v>1.7425999999999999</v>
      </c>
      <c r="E201">
        <v>10.901199999999999</v>
      </c>
      <c r="F201">
        <v>0.2034</v>
      </c>
      <c r="G201" s="284">
        <f t="shared" si="22"/>
        <v>11.1046</v>
      </c>
      <c r="H201" s="284">
        <v>10.9124</v>
      </c>
      <c r="I201" s="284">
        <f>(G201-H201)</f>
        <v>0.1921999999999997</v>
      </c>
      <c r="J201" s="283">
        <f t="shared" si="24"/>
        <v>1.1200000000000293E-2</v>
      </c>
      <c r="K201" s="285">
        <f t="shared" si="25"/>
        <v>5.5063913470994565</v>
      </c>
      <c r="L201">
        <v>11</v>
      </c>
      <c r="M201" s="286">
        <v>43355.625</v>
      </c>
      <c r="N201" s="286">
        <v>43355.791666666664</v>
      </c>
      <c r="O201" s="283" t="s">
        <v>3659</v>
      </c>
      <c r="R201" s="285"/>
    </row>
    <row r="202" spans="1:18">
      <c r="A202" t="s">
        <v>1666</v>
      </c>
      <c r="C202" t="s">
        <v>3418</v>
      </c>
      <c r="D202">
        <v>0.56120000000000003</v>
      </c>
      <c r="E202">
        <v>10.923</v>
      </c>
      <c r="F202">
        <v>0.20880000000000001</v>
      </c>
      <c r="G202" s="284">
        <f t="shared" si="22"/>
        <v>11.1318</v>
      </c>
      <c r="H202" s="284">
        <v>10.9572</v>
      </c>
      <c r="I202" s="284">
        <f t="shared" ref="I202:I219" si="26">G202-H202</f>
        <v>0.17459999999999987</v>
      </c>
      <c r="J202" s="283">
        <f t="shared" si="24"/>
        <v>3.4200000000000147E-2</v>
      </c>
      <c r="K202" s="285">
        <f t="shared" si="25"/>
        <v>16.379310344827655</v>
      </c>
      <c r="L202">
        <v>42</v>
      </c>
      <c r="M202" s="286">
        <v>43374</v>
      </c>
      <c r="N202" s="286">
        <v>43375</v>
      </c>
      <c r="O202" s="283" t="s">
        <v>3730</v>
      </c>
      <c r="P202" t="s">
        <v>3769</v>
      </c>
      <c r="R202" s="285"/>
    </row>
    <row r="203" spans="1:18">
      <c r="A203" t="s">
        <v>1656</v>
      </c>
      <c r="C203" t="s">
        <v>3744</v>
      </c>
      <c r="D203">
        <v>1.6800999999999999</v>
      </c>
      <c r="E203">
        <v>8.09</v>
      </c>
      <c r="F203">
        <v>0.2344</v>
      </c>
      <c r="G203" s="284">
        <f t="shared" si="22"/>
        <v>8.3244000000000007</v>
      </c>
      <c r="H203" s="284">
        <v>8.1045999999999996</v>
      </c>
      <c r="I203" s="284">
        <f t="shared" si="26"/>
        <v>0.21980000000000111</v>
      </c>
      <c r="J203" s="283">
        <f t="shared" si="24"/>
        <v>1.4599999999998892E-2</v>
      </c>
      <c r="K203" s="285">
        <f t="shared" si="25"/>
        <v>6.2286689419790493</v>
      </c>
      <c r="L203">
        <v>7</v>
      </c>
      <c r="M203" s="16">
        <v>43381</v>
      </c>
      <c r="N203" s="16">
        <v>43382</v>
      </c>
      <c r="R203" s="285"/>
    </row>
    <row r="204" spans="1:18">
      <c r="A204" t="s">
        <v>1654</v>
      </c>
      <c r="C204" t="s">
        <v>3431</v>
      </c>
      <c r="D204">
        <v>0.6492</v>
      </c>
      <c r="E204">
        <v>8.3565000000000005</v>
      </c>
      <c r="F204">
        <v>0.21440000000000001</v>
      </c>
      <c r="G204" s="284">
        <f t="shared" si="22"/>
        <v>8.5709</v>
      </c>
      <c r="H204" s="284">
        <v>8.4098000000000006</v>
      </c>
      <c r="I204" s="284">
        <f t="shared" si="26"/>
        <v>0.16109999999999935</v>
      </c>
      <c r="J204" s="283">
        <f t="shared" si="24"/>
        <v>5.3300000000000652E-2</v>
      </c>
      <c r="K204" s="285">
        <f t="shared" si="25"/>
        <v>24.860074626865973</v>
      </c>
      <c r="L204">
        <v>36</v>
      </c>
      <c r="M204">
        <v>23.101800000000001</v>
      </c>
      <c r="N204" s="16">
        <v>43397</v>
      </c>
      <c r="R204" s="285"/>
    </row>
    <row r="205" spans="1:18">
      <c r="A205" t="s">
        <v>1653</v>
      </c>
      <c r="C205" t="s">
        <v>3776</v>
      </c>
      <c r="D205">
        <v>1.5838000000000001</v>
      </c>
      <c r="E205">
        <v>8.048</v>
      </c>
      <c r="F205">
        <v>0.2044</v>
      </c>
      <c r="G205" s="288">
        <f t="shared" si="22"/>
        <v>8.2523999999999997</v>
      </c>
      <c r="H205" s="284">
        <v>8.0610999999999997</v>
      </c>
      <c r="I205" s="288">
        <f t="shared" si="26"/>
        <v>0.19130000000000003</v>
      </c>
      <c r="J205" s="283">
        <f t="shared" si="24"/>
        <v>1.3099999999999973E-2</v>
      </c>
      <c r="K205" s="285">
        <f t="shared" si="25"/>
        <v>6.4090019569471499</v>
      </c>
      <c r="L205">
        <v>31</v>
      </c>
      <c r="M205" s="286">
        <v>43379</v>
      </c>
      <c r="N205" s="286">
        <v>43379</v>
      </c>
      <c r="R205" s="285"/>
    </row>
    <row r="206" spans="1:18">
      <c r="A206" t="s">
        <v>1652</v>
      </c>
      <c r="C206" t="s">
        <v>3761</v>
      </c>
      <c r="D206">
        <v>0.8508</v>
      </c>
      <c r="E206">
        <v>10.155099999999999</v>
      </c>
      <c r="F206">
        <v>0.21529999999999999</v>
      </c>
      <c r="G206" s="284">
        <f t="shared" si="22"/>
        <v>10.370399999999998</v>
      </c>
      <c r="H206" s="284">
        <v>10.185499999999999</v>
      </c>
      <c r="I206" s="284">
        <f t="shared" si="26"/>
        <v>0.18489999999999895</v>
      </c>
      <c r="J206" s="283">
        <f t="shared" si="24"/>
        <v>3.0400000000001037E-2</v>
      </c>
      <c r="K206" s="285">
        <f t="shared" si="25"/>
        <v>14.119832791454268</v>
      </c>
      <c r="L206">
        <v>34</v>
      </c>
      <c r="M206" s="286">
        <v>43363</v>
      </c>
      <c r="N206" s="286">
        <v>43364</v>
      </c>
      <c r="O206" s="283" t="s">
        <v>3756</v>
      </c>
      <c r="R206" s="285"/>
    </row>
    <row r="207" spans="1:18">
      <c r="A207" t="s">
        <v>1651</v>
      </c>
      <c r="B207">
        <v>197</v>
      </c>
      <c r="D207">
        <v>0.51829999999999998</v>
      </c>
      <c r="E207">
        <v>11.172700000000001</v>
      </c>
      <c r="F207">
        <v>0.2167</v>
      </c>
      <c r="G207" s="284">
        <f t="shared" si="22"/>
        <v>11.3894</v>
      </c>
      <c r="H207" s="284">
        <v>11.2127</v>
      </c>
      <c r="I207" s="284">
        <f t="shared" si="26"/>
        <v>0.1767000000000003</v>
      </c>
      <c r="J207" s="283">
        <f t="shared" si="24"/>
        <v>3.9999999999999702E-2</v>
      </c>
      <c r="K207" s="285">
        <f t="shared" si="25"/>
        <v>18.458698661744211</v>
      </c>
      <c r="L207">
        <v>37</v>
      </c>
      <c r="M207" s="16">
        <v>43388</v>
      </c>
      <c r="N207" s="286">
        <v>43389</v>
      </c>
      <c r="O207" s="16"/>
      <c r="R207" s="285"/>
    </row>
    <row r="208" spans="1:18">
      <c r="A208" t="s">
        <v>2010</v>
      </c>
      <c r="C208" t="s">
        <v>3483</v>
      </c>
      <c r="D208">
        <v>0.54169999999999996</v>
      </c>
      <c r="E208">
        <v>9.1562000000000001</v>
      </c>
      <c r="F208">
        <v>0.20300000000000001</v>
      </c>
      <c r="G208" s="284">
        <f t="shared" si="22"/>
        <v>9.3591999999999995</v>
      </c>
      <c r="H208" s="284">
        <v>9.1906999999999996</v>
      </c>
      <c r="I208" s="284">
        <f t="shared" si="26"/>
        <v>0.16849999999999987</v>
      </c>
      <c r="J208" s="283">
        <f t="shared" si="24"/>
        <v>3.4500000000000142E-2</v>
      </c>
      <c r="K208" s="285">
        <f t="shared" si="25"/>
        <v>16.995073891625683</v>
      </c>
      <c r="L208">
        <v>25</v>
      </c>
      <c r="M208" s="286">
        <v>43363</v>
      </c>
      <c r="N208" s="286">
        <v>43364</v>
      </c>
      <c r="R208" s="285"/>
    </row>
    <row r="209" spans="1:18">
      <c r="A209" t="s">
        <v>1650</v>
      </c>
      <c r="C209" t="s">
        <v>3433</v>
      </c>
      <c r="D209">
        <v>0.65100000000000002</v>
      </c>
      <c r="E209">
        <v>7.0761000000000003</v>
      </c>
      <c r="F209">
        <v>0.20649999999999999</v>
      </c>
      <c r="G209" s="284">
        <f t="shared" si="22"/>
        <v>7.2826000000000004</v>
      </c>
      <c r="H209" s="284">
        <v>7.1243999999999996</v>
      </c>
      <c r="I209" s="284">
        <f t="shared" si="26"/>
        <v>0.15820000000000078</v>
      </c>
      <c r="J209" s="283">
        <f t="shared" si="24"/>
        <v>4.8299999999999205E-2</v>
      </c>
      <c r="K209" s="285">
        <f t="shared" si="25"/>
        <v>23.389830508474194</v>
      </c>
      <c r="L209">
        <v>9</v>
      </c>
      <c r="M209" s="16">
        <v>43399</v>
      </c>
      <c r="N209" s="16">
        <v>43400</v>
      </c>
      <c r="R209" s="285"/>
    </row>
    <row r="210" spans="1:18">
      <c r="A210" t="s">
        <v>1649</v>
      </c>
      <c r="C210" t="s">
        <v>3458</v>
      </c>
      <c r="D210">
        <v>0.75260000000000005</v>
      </c>
      <c r="E210">
        <v>8.4448000000000008</v>
      </c>
      <c r="F210">
        <v>0.20960000000000001</v>
      </c>
      <c r="G210" s="288">
        <f t="shared" si="22"/>
        <v>8.6544000000000008</v>
      </c>
      <c r="H210" s="284">
        <v>8.4928000000000008</v>
      </c>
      <c r="I210" s="288">
        <f t="shared" si="26"/>
        <v>0.16159999999999997</v>
      </c>
      <c r="J210" s="283">
        <f t="shared" si="24"/>
        <v>4.8000000000000043E-2</v>
      </c>
      <c r="K210" s="285">
        <f t="shared" si="25"/>
        <v>22.900763358778644</v>
      </c>
      <c r="L210">
        <v>9</v>
      </c>
      <c r="M210" s="286">
        <v>43379</v>
      </c>
      <c r="N210" s="286">
        <v>43379</v>
      </c>
      <c r="O210" s="283"/>
      <c r="R210" s="285"/>
    </row>
    <row r="211" spans="1:18">
      <c r="A211" t="s">
        <v>1643</v>
      </c>
      <c r="C211" t="s">
        <v>3768</v>
      </c>
      <c r="D211">
        <v>1.0766</v>
      </c>
      <c r="E211">
        <v>7.8731</v>
      </c>
      <c r="F211">
        <v>0.21079999999999999</v>
      </c>
      <c r="G211" s="284">
        <f t="shared" si="22"/>
        <v>8.0838999999999999</v>
      </c>
      <c r="H211" s="284">
        <v>7.9188000000000001</v>
      </c>
      <c r="I211" s="284">
        <f t="shared" si="26"/>
        <v>0.1650999999999998</v>
      </c>
      <c r="J211" s="283">
        <f t="shared" si="24"/>
        <v>4.5700000000000185E-2</v>
      </c>
      <c r="K211" s="285">
        <f t="shared" si="25"/>
        <v>21.67931688804563</v>
      </c>
      <c r="L211">
        <v>34</v>
      </c>
      <c r="M211" s="286">
        <v>43374</v>
      </c>
      <c r="N211" s="286">
        <v>43375</v>
      </c>
      <c r="O211" s="283" t="s">
        <v>3730</v>
      </c>
      <c r="R211" s="285"/>
    </row>
    <row r="212" spans="1:18">
      <c r="A212" t="s">
        <v>1641</v>
      </c>
      <c r="C212" t="s">
        <v>3475</v>
      </c>
      <c r="D212">
        <v>0.59450000000000003</v>
      </c>
      <c r="E212">
        <v>10.4185</v>
      </c>
      <c r="F212">
        <v>0.21460000000000001</v>
      </c>
      <c r="G212">
        <f t="shared" si="22"/>
        <v>10.633100000000001</v>
      </c>
      <c r="H212">
        <v>10.4679</v>
      </c>
      <c r="I212" s="284">
        <f t="shared" si="26"/>
        <v>0.16520000000000046</v>
      </c>
      <c r="J212" s="283">
        <f t="shared" si="24"/>
        <v>4.9399999999999555E-2</v>
      </c>
      <c r="K212" s="285">
        <f t="shared" si="25"/>
        <v>23.019571295433156</v>
      </c>
      <c r="L212">
        <v>23</v>
      </c>
      <c r="M212" s="16">
        <v>43402</v>
      </c>
      <c r="N212" s="16">
        <v>43403</v>
      </c>
      <c r="R212" s="285"/>
    </row>
    <row r="213" spans="1:18">
      <c r="A213" t="s">
        <v>2009</v>
      </c>
      <c r="C213" t="s">
        <v>3725</v>
      </c>
      <c r="D213">
        <v>1.649</v>
      </c>
      <c r="E213">
        <v>8.7743000000000002</v>
      </c>
      <c r="F213">
        <v>0.2109</v>
      </c>
      <c r="G213" s="284">
        <f t="shared" ref="G213:G276" si="27">E213+F213</f>
        <v>8.9852000000000007</v>
      </c>
      <c r="H213" s="284">
        <v>8.7872000000000003</v>
      </c>
      <c r="I213" s="284">
        <f t="shared" si="26"/>
        <v>0.1980000000000004</v>
      </c>
      <c r="J213" s="283">
        <f t="shared" si="24"/>
        <v>1.2899999999999606E-2</v>
      </c>
      <c r="K213" s="285">
        <f t="shared" si="25"/>
        <v>6.1166429587480353</v>
      </c>
      <c r="L213">
        <v>31</v>
      </c>
      <c r="M213" s="286">
        <v>43363</v>
      </c>
      <c r="N213" s="286">
        <v>43364</v>
      </c>
      <c r="R213" s="285"/>
    </row>
    <row r="214" spans="1:18">
      <c r="A214" t="s">
        <v>1640</v>
      </c>
      <c r="C214" t="s">
        <v>3464</v>
      </c>
      <c r="D214">
        <v>0.5232</v>
      </c>
      <c r="E214">
        <v>19.801400000000001</v>
      </c>
      <c r="F214">
        <v>0.20219999999999999</v>
      </c>
      <c r="G214" s="284">
        <f t="shared" si="27"/>
        <v>20.003600000000002</v>
      </c>
      <c r="H214" s="284">
        <v>19.839600000000001</v>
      </c>
      <c r="I214" s="284">
        <f t="shared" si="26"/>
        <v>0.16400000000000148</v>
      </c>
      <c r="J214" s="283">
        <f t="shared" si="24"/>
        <v>3.8199999999998513E-2</v>
      </c>
      <c r="K214" s="285">
        <f t="shared" si="25"/>
        <v>18.892185954499759</v>
      </c>
      <c r="L214">
        <v>3</v>
      </c>
      <c r="M214" s="286">
        <v>43362</v>
      </c>
      <c r="N214" s="286">
        <v>43363</v>
      </c>
      <c r="O214" s="283"/>
      <c r="R214" s="285"/>
    </row>
    <row r="215" spans="1:18">
      <c r="A215" t="s">
        <v>1639</v>
      </c>
      <c r="C215" t="s">
        <v>3476</v>
      </c>
      <c r="D215">
        <v>0.59319999999999995</v>
      </c>
      <c r="E215">
        <v>8.0650999999999993</v>
      </c>
      <c r="F215">
        <v>0.2009</v>
      </c>
      <c r="G215" s="284">
        <f t="shared" si="27"/>
        <v>8.266</v>
      </c>
      <c r="H215" s="284">
        <v>8.1016999999999992</v>
      </c>
      <c r="I215" s="284">
        <f t="shared" si="26"/>
        <v>0.16430000000000078</v>
      </c>
      <c r="J215" s="283">
        <f t="shared" si="24"/>
        <v>3.6599999999999216E-2</v>
      </c>
      <c r="K215" s="285">
        <f t="shared" si="25"/>
        <v>18.218018914882634</v>
      </c>
      <c r="L215">
        <v>29</v>
      </c>
      <c r="M215" s="286">
        <v>43374</v>
      </c>
      <c r="N215" s="286">
        <v>43375</v>
      </c>
      <c r="O215" s="283" t="s">
        <v>3730</v>
      </c>
      <c r="R215" s="285"/>
    </row>
    <row r="216" spans="1:18">
      <c r="A216" t="s">
        <v>1638</v>
      </c>
      <c r="B216">
        <v>208</v>
      </c>
      <c r="D216">
        <v>0.55830000000000002</v>
      </c>
      <c r="E216">
        <v>7.5297000000000001</v>
      </c>
      <c r="F216">
        <v>0.20039999999999999</v>
      </c>
      <c r="G216" s="284">
        <f t="shared" si="27"/>
        <v>7.7301000000000002</v>
      </c>
      <c r="H216" s="284">
        <v>7.5850999999999997</v>
      </c>
      <c r="I216" s="284">
        <f t="shared" si="26"/>
        <v>0.14500000000000046</v>
      </c>
      <c r="J216" s="283">
        <f t="shared" si="24"/>
        <v>5.5399999999999533E-2</v>
      </c>
      <c r="K216" s="285">
        <f t="shared" si="25"/>
        <v>27.644710578842087</v>
      </c>
      <c r="L216">
        <v>40</v>
      </c>
      <c r="M216" s="16">
        <v>43388</v>
      </c>
      <c r="N216" s="286">
        <v>43389</v>
      </c>
      <c r="O216" s="16"/>
      <c r="R216" s="285"/>
    </row>
    <row r="217" spans="1:18">
      <c r="A217" t="s">
        <v>1637</v>
      </c>
      <c r="C217" t="s">
        <v>3780</v>
      </c>
      <c r="D217">
        <v>1.8223</v>
      </c>
      <c r="E217">
        <v>11.904500000000001</v>
      </c>
      <c r="F217">
        <v>0.23100000000000001</v>
      </c>
      <c r="G217" s="284">
        <f t="shared" si="27"/>
        <v>12.1355</v>
      </c>
      <c r="H217" s="284">
        <v>11.9168</v>
      </c>
      <c r="I217" s="284">
        <f t="shared" si="26"/>
        <v>0.21870000000000012</v>
      </c>
      <c r="J217" s="283">
        <f t="shared" si="24"/>
        <v>1.2299999999999894E-2</v>
      </c>
      <c r="K217" s="285">
        <f t="shared" si="25"/>
        <v>5.3246753246752787</v>
      </c>
      <c r="L217">
        <v>40</v>
      </c>
      <c r="M217" s="16">
        <v>43381</v>
      </c>
      <c r="N217" s="16">
        <v>43382</v>
      </c>
      <c r="R217" s="285"/>
    </row>
    <row r="218" spans="1:18">
      <c r="A218" t="s">
        <v>2008</v>
      </c>
      <c r="C218" t="s">
        <v>3426</v>
      </c>
      <c r="D218">
        <v>0.81630000000000003</v>
      </c>
      <c r="E218">
        <v>11.0244</v>
      </c>
      <c r="F218">
        <v>0.20499999999999999</v>
      </c>
      <c r="G218" s="288">
        <f t="shared" si="27"/>
        <v>11.2294</v>
      </c>
      <c r="H218" s="284">
        <v>11.108700000000001</v>
      </c>
      <c r="I218" s="288">
        <f t="shared" si="26"/>
        <v>0.12069999999999936</v>
      </c>
      <c r="J218" s="283">
        <f t="shared" si="24"/>
        <v>8.4300000000000624E-2</v>
      </c>
      <c r="K218" s="285">
        <f t="shared" si="25"/>
        <v>41.121951219512503</v>
      </c>
      <c r="L218">
        <v>17</v>
      </c>
      <c r="M218" s="286">
        <v>43379</v>
      </c>
      <c r="N218" s="286">
        <v>43379</v>
      </c>
      <c r="R218" s="285"/>
    </row>
    <row r="219" spans="1:18">
      <c r="A219" t="s">
        <v>1628</v>
      </c>
      <c r="C219" t="s">
        <v>3435</v>
      </c>
      <c r="D219">
        <v>0.56340000000000001</v>
      </c>
      <c r="E219">
        <v>7.9611999999999998</v>
      </c>
      <c r="F219">
        <v>0.21199999999999999</v>
      </c>
      <c r="G219" s="284">
        <f t="shared" si="27"/>
        <v>8.1731999999999996</v>
      </c>
      <c r="H219" s="284">
        <v>8.0054999999999996</v>
      </c>
      <c r="I219" s="284">
        <f t="shared" si="26"/>
        <v>0.16769999999999996</v>
      </c>
      <c r="J219" s="283">
        <f t="shared" si="24"/>
        <v>4.4300000000000034E-2</v>
      </c>
      <c r="K219" s="285">
        <f t="shared" si="25"/>
        <v>20.896226415094358</v>
      </c>
      <c r="L219">
        <v>27</v>
      </c>
      <c r="M219">
        <v>23.101800000000001</v>
      </c>
      <c r="N219" s="16">
        <v>43397</v>
      </c>
      <c r="R219" s="285"/>
    </row>
    <row r="220" spans="1:18">
      <c r="A220" t="s">
        <v>2007</v>
      </c>
      <c r="C220" t="s">
        <v>3713</v>
      </c>
      <c r="D220">
        <v>1.6472</v>
      </c>
      <c r="E220">
        <v>10.116899999999999</v>
      </c>
      <c r="F220">
        <v>0.22869999999999999</v>
      </c>
      <c r="G220" s="284">
        <f t="shared" si="27"/>
        <v>10.345599999999999</v>
      </c>
      <c r="H220" s="284">
        <v>10.1279</v>
      </c>
      <c r="I220" s="284">
        <f>(G220-H220)</f>
        <v>0.21769999999999889</v>
      </c>
      <c r="J220" s="283">
        <f t="shared" ref="J220:J283" si="28">F220-I220</f>
        <v>1.1000000000001092E-2</v>
      </c>
      <c r="K220" s="285">
        <f t="shared" ref="K220:K283" si="29">(J220/F220)*100</f>
        <v>4.8097944905995158</v>
      </c>
      <c r="L220">
        <v>12</v>
      </c>
      <c r="M220" s="286">
        <v>43360</v>
      </c>
      <c r="N220" s="286">
        <v>43361</v>
      </c>
      <c r="O220" s="283" t="s">
        <v>3707</v>
      </c>
      <c r="R220" s="285"/>
    </row>
    <row r="221" spans="1:18">
      <c r="A221" t="s">
        <v>1620</v>
      </c>
      <c r="C221" t="s">
        <v>3714</v>
      </c>
      <c r="D221">
        <v>1.7615000000000001</v>
      </c>
      <c r="E221">
        <v>8.0637000000000008</v>
      </c>
      <c r="F221">
        <v>0.2351</v>
      </c>
      <c r="G221" s="284">
        <f t="shared" si="27"/>
        <v>8.2988</v>
      </c>
      <c r="H221" s="284">
        <v>8.0770999999999997</v>
      </c>
      <c r="I221" s="284">
        <f>(G221-H221)</f>
        <v>0.22170000000000023</v>
      </c>
      <c r="J221" s="283">
        <f t="shared" si="28"/>
        <v>1.3399999999999773E-2</v>
      </c>
      <c r="K221" s="285">
        <f t="shared" si="29"/>
        <v>5.6997022543597504</v>
      </c>
      <c r="L221">
        <v>17</v>
      </c>
      <c r="M221" s="286">
        <v>43360</v>
      </c>
      <c r="N221" s="286">
        <v>43361</v>
      </c>
      <c r="O221" s="283" t="s">
        <v>3707</v>
      </c>
      <c r="R221" s="285"/>
    </row>
    <row r="222" spans="1:18">
      <c r="A222" t="s">
        <v>1619</v>
      </c>
      <c r="C222" t="s">
        <v>3660</v>
      </c>
      <c r="D222">
        <v>1.7277</v>
      </c>
      <c r="E222">
        <v>8.0465</v>
      </c>
      <c r="F222">
        <v>0.20730000000000001</v>
      </c>
      <c r="G222" s="284">
        <f t="shared" si="27"/>
        <v>8.2538</v>
      </c>
      <c r="H222" s="284">
        <v>8.0582999999999991</v>
      </c>
      <c r="I222" s="284">
        <f>(G222-H222)</f>
        <v>0.1955000000000009</v>
      </c>
      <c r="J222" s="283">
        <f t="shared" si="28"/>
        <v>1.1799999999999117E-2</v>
      </c>
      <c r="K222" s="285">
        <f t="shared" si="29"/>
        <v>5.6922334780507073</v>
      </c>
      <c r="L222">
        <v>24</v>
      </c>
      <c r="M222" s="16">
        <v>43358</v>
      </c>
      <c r="N222" s="16">
        <v>43358</v>
      </c>
      <c r="R222" s="285"/>
    </row>
    <row r="223" spans="1:18">
      <c r="A223" t="s">
        <v>1616</v>
      </c>
      <c r="B223">
        <v>211</v>
      </c>
      <c r="D223">
        <v>0.56089999999999995</v>
      </c>
      <c r="E223">
        <v>7.8733000000000004</v>
      </c>
      <c r="F223">
        <v>0.20649999999999999</v>
      </c>
      <c r="G223" s="284">
        <f t="shared" si="27"/>
        <v>8.0798000000000005</v>
      </c>
      <c r="H223" s="284">
        <v>7.9043000000000001</v>
      </c>
      <c r="I223" s="284">
        <f t="shared" ref="I223:I230" si="30">G223-H223</f>
        <v>0.17550000000000043</v>
      </c>
      <c r="J223" s="283">
        <f t="shared" si="28"/>
        <v>3.0999999999999556E-2</v>
      </c>
      <c r="K223" s="285">
        <f t="shared" si="29"/>
        <v>15.012106537530052</v>
      </c>
      <c r="L223">
        <v>11</v>
      </c>
      <c r="M223">
        <v>23.101800000000001</v>
      </c>
      <c r="N223" s="16">
        <v>43397</v>
      </c>
      <c r="R223" s="285"/>
    </row>
    <row r="224" spans="1:18">
      <c r="A224" t="s">
        <v>1615</v>
      </c>
      <c r="C224" t="s">
        <v>3743</v>
      </c>
      <c r="D224">
        <v>1.577</v>
      </c>
      <c r="E224">
        <v>7.8734000000000002</v>
      </c>
      <c r="F224">
        <v>0.2041</v>
      </c>
      <c r="G224" s="284">
        <f t="shared" si="27"/>
        <v>8.0775000000000006</v>
      </c>
      <c r="H224" s="284">
        <v>7.8943000000000003</v>
      </c>
      <c r="I224" s="284">
        <f t="shared" si="30"/>
        <v>0.18320000000000025</v>
      </c>
      <c r="J224" s="283">
        <f t="shared" si="28"/>
        <v>2.0899999999999752E-2</v>
      </c>
      <c r="K224" s="285">
        <f t="shared" si="29"/>
        <v>10.240078392944513</v>
      </c>
      <c r="L224">
        <v>31</v>
      </c>
      <c r="M224" s="16">
        <v>43381</v>
      </c>
      <c r="N224" s="16">
        <v>43382</v>
      </c>
      <c r="R224" s="285"/>
    </row>
    <row r="225" spans="1:18">
      <c r="A225" t="s">
        <v>2006</v>
      </c>
      <c r="C225" t="s">
        <v>3770</v>
      </c>
      <c r="D225">
        <v>1.3672</v>
      </c>
      <c r="E225">
        <v>7.9619999999999997</v>
      </c>
      <c r="F225">
        <v>0.21840000000000001</v>
      </c>
      <c r="G225" s="288">
        <f t="shared" si="27"/>
        <v>8.1804000000000006</v>
      </c>
      <c r="H225" s="284">
        <v>7.9851999999999999</v>
      </c>
      <c r="I225" s="288">
        <f t="shared" si="30"/>
        <v>0.19520000000000071</v>
      </c>
      <c r="J225" s="283">
        <f t="shared" si="28"/>
        <v>2.3199999999999305E-2</v>
      </c>
      <c r="K225" s="285">
        <f t="shared" si="29"/>
        <v>10.622710622710303</v>
      </c>
      <c r="L225">
        <v>5</v>
      </c>
      <c r="M225" s="286">
        <v>43379</v>
      </c>
      <c r="N225" s="286">
        <v>43379</v>
      </c>
      <c r="O225" s="283"/>
      <c r="R225" s="285"/>
    </row>
    <row r="226" spans="1:18">
      <c r="A226" t="s">
        <v>1606</v>
      </c>
      <c r="C226" t="s">
        <v>3774</v>
      </c>
      <c r="D226">
        <v>1.1603000000000001</v>
      </c>
      <c r="E226">
        <v>7.7750000000000004</v>
      </c>
      <c r="F226">
        <v>0.21129999999999999</v>
      </c>
      <c r="G226" s="284">
        <f t="shared" si="27"/>
        <v>7.9863</v>
      </c>
      <c r="H226" s="284">
        <v>7.7977999999999996</v>
      </c>
      <c r="I226" s="284">
        <f t="shared" si="30"/>
        <v>0.18850000000000033</v>
      </c>
      <c r="J226" s="283">
        <f t="shared" si="28"/>
        <v>2.2799999999999654E-2</v>
      </c>
      <c r="K226" s="285">
        <f t="shared" si="29"/>
        <v>10.790345480359514</v>
      </c>
      <c r="L226">
        <v>16</v>
      </c>
      <c r="M226" s="16">
        <v>43381</v>
      </c>
      <c r="N226" s="16">
        <v>43382</v>
      </c>
      <c r="R226" s="285"/>
    </row>
    <row r="227" spans="1:18">
      <c r="A227" t="s">
        <v>2005</v>
      </c>
      <c r="B227">
        <v>193</v>
      </c>
      <c r="D227">
        <v>0.6321</v>
      </c>
      <c r="E227">
        <v>9.3230000000000004</v>
      </c>
      <c r="F227">
        <v>0.20660000000000001</v>
      </c>
      <c r="G227" s="284">
        <f t="shared" si="27"/>
        <v>9.5296000000000003</v>
      </c>
      <c r="H227" s="284">
        <v>9.3507999999999996</v>
      </c>
      <c r="I227" s="284">
        <f t="shared" si="30"/>
        <v>0.17880000000000074</v>
      </c>
      <c r="J227" s="283">
        <f t="shared" si="28"/>
        <v>2.779999999999927E-2</v>
      </c>
      <c r="K227" s="285">
        <f t="shared" si="29"/>
        <v>13.455953533397516</v>
      </c>
      <c r="L227">
        <v>4</v>
      </c>
      <c r="M227" s="16">
        <v>43395</v>
      </c>
      <c r="N227" s="16">
        <v>43396</v>
      </c>
      <c r="R227" s="285"/>
    </row>
    <row r="228" spans="1:18">
      <c r="A228" t="s">
        <v>1595</v>
      </c>
      <c r="C228" t="s">
        <v>3777</v>
      </c>
      <c r="D228">
        <v>0.74009999999999998</v>
      </c>
      <c r="E228">
        <v>8.1692999999999998</v>
      </c>
      <c r="F228">
        <v>0.20660000000000001</v>
      </c>
      <c r="G228" s="284">
        <f t="shared" si="27"/>
        <v>8.3758999999999997</v>
      </c>
      <c r="H228" s="284">
        <v>8.2050999999999998</v>
      </c>
      <c r="I228" s="284">
        <f t="shared" si="30"/>
        <v>0.17079999999999984</v>
      </c>
      <c r="J228" s="283">
        <f t="shared" si="28"/>
        <v>3.5800000000000165E-2</v>
      </c>
      <c r="K228" s="285">
        <f t="shared" si="29"/>
        <v>17.328170377541223</v>
      </c>
      <c r="L228">
        <v>15</v>
      </c>
      <c r="M228" s="16">
        <v>43399</v>
      </c>
      <c r="N228" s="16">
        <v>43400</v>
      </c>
      <c r="R228" s="285"/>
    </row>
    <row r="229" spans="1:18">
      <c r="A229" t="s">
        <v>2004</v>
      </c>
      <c r="C229" t="s">
        <v>3742</v>
      </c>
      <c r="D229">
        <v>1.4639</v>
      </c>
      <c r="E229">
        <v>20.014700000000001</v>
      </c>
      <c r="F229">
        <v>0.2228</v>
      </c>
      <c r="G229" s="284">
        <f t="shared" si="27"/>
        <v>20.237500000000001</v>
      </c>
      <c r="H229" s="284">
        <v>20.029399999999999</v>
      </c>
      <c r="I229" s="284">
        <f t="shared" si="30"/>
        <v>0.20810000000000173</v>
      </c>
      <c r="J229" s="283">
        <f t="shared" si="28"/>
        <v>1.469999999999827E-2</v>
      </c>
      <c r="K229" s="285">
        <f t="shared" si="29"/>
        <v>6.5978456014354894</v>
      </c>
      <c r="L229">
        <v>6</v>
      </c>
      <c r="M229" s="286">
        <v>43362</v>
      </c>
      <c r="N229" s="286">
        <v>43363</v>
      </c>
      <c r="O229" s="283"/>
      <c r="R229" s="285"/>
    </row>
    <row r="230" spans="1:18">
      <c r="A230" t="s">
        <v>1586</v>
      </c>
      <c r="C230" t="s">
        <v>3489</v>
      </c>
      <c r="D230">
        <v>1.4184000000000001</v>
      </c>
      <c r="E230">
        <v>10.741300000000001</v>
      </c>
      <c r="F230">
        <v>0.22470000000000001</v>
      </c>
      <c r="G230" s="284">
        <f t="shared" si="27"/>
        <v>10.966000000000001</v>
      </c>
      <c r="H230" s="284">
        <v>10.7585</v>
      </c>
      <c r="I230" s="284">
        <f t="shared" si="30"/>
        <v>0.20750000000000135</v>
      </c>
      <c r="J230" s="283">
        <f t="shared" si="28"/>
        <v>1.7199999999998661E-2</v>
      </c>
      <c r="K230" s="285">
        <f t="shared" si="29"/>
        <v>7.6546506453042547</v>
      </c>
      <c r="L230">
        <v>32</v>
      </c>
      <c r="M230" s="16">
        <v>43399</v>
      </c>
      <c r="N230" s="16">
        <v>43400</v>
      </c>
      <c r="R230" s="285"/>
    </row>
    <row r="231" spans="1:18">
      <c r="A231" t="s">
        <v>1585</v>
      </c>
      <c r="C231" t="s">
        <v>3695</v>
      </c>
      <c r="D231">
        <v>1.5044</v>
      </c>
      <c r="E231">
        <v>9.0043000000000006</v>
      </c>
      <c r="F231">
        <v>0.2024</v>
      </c>
      <c r="G231" s="284">
        <f t="shared" si="27"/>
        <v>9.2067000000000014</v>
      </c>
      <c r="H231" s="284">
        <v>9.0182000000000002</v>
      </c>
      <c r="I231" s="284">
        <f>(G231-H231)</f>
        <v>0.18850000000000122</v>
      </c>
      <c r="J231" s="283">
        <f t="shared" si="28"/>
        <v>1.3899999999998774E-2</v>
      </c>
      <c r="K231" s="285">
        <f t="shared" si="29"/>
        <v>6.8675889328057185</v>
      </c>
      <c r="L231">
        <v>8</v>
      </c>
      <c r="M231" s="286">
        <v>43360</v>
      </c>
      <c r="N231" s="286">
        <v>43361</v>
      </c>
      <c r="O231" s="283" t="s">
        <v>3707</v>
      </c>
      <c r="R231" s="285"/>
    </row>
    <row r="232" spans="1:18">
      <c r="A232" t="s">
        <v>1584</v>
      </c>
      <c r="C232" t="s">
        <v>3467</v>
      </c>
      <c r="D232">
        <f>0.4237+0.2034</f>
        <v>0.62709999999999999</v>
      </c>
      <c r="E232">
        <v>11.1738</v>
      </c>
      <c r="F232">
        <v>0.2034</v>
      </c>
      <c r="G232" s="284">
        <f t="shared" si="27"/>
        <v>11.3772</v>
      </c>
      <c r="H232" s="284">
        <v>11.2234</v>
      </c>
      <c r="I232" s="284">
        <f>G232-H232</f>
        <v>0.15380000000000038</v>
      </c>
      <c r="J232" s="283">
        <f t="shared" si="28"/>
        <v>4.9599999999999617E-2</v>
      </c>
      <c r="K232" s="285">
        <f t="shared" si="29"/>
        <v>24.385447394296765</v>
      </c>
      <c r="L232">
        <v>13</v>
      </c>
      <c r="M232" s="286">
        <v>43362</v>
      </c>
      <c r="N232" s="286">
        <v>43363</v>
      </c>
      <c r="O232" s="283"/>
      <c r="R232" s="285"/>
    </row>
    <row r="233" spans="1:18">
      <c r="A233" t="s">
        <v>1583</v>
      </c>
      <c r="C233" t="s">
        <v>3691</v>
      </c>
      <c r="D233">
        <v>1.6935</v>
      </c>
      <c r="E233">
        <v>7.7742000000000004</v>
      </c>
      <c r="F233">
        <v>0.23710000000000001</v>
      </c>
      <c r="G233" s="284">
        <f t="shared" si="27"/>
        <v>8.0113000000000003</v>
      </c>
      <c r="H233" s="284">
        <v>7.7876000000000003</v>
      </c>
      <c r="I233" s="284">
        <f>(G233-H233)</f>
        <v>0.22370000000000001</v>
      </c>
      <c r="J233" s="283">
        <f t="shared" si="28"/>
        <v>1.3399999999999995E-2</v>
      </c>
      <c r="K233" s="285">
        <f t="shared" si="29"/>
        <v>5.6516237874314612</v>
      </c>
      <c r="L233">
        <v>30</v>
      </c>
      <c r="M233" s="286">
        <v>43360</v>
      </c>
      <c r="N233" s="286">
        <v>43361</v>
      </c>
      <c r="R233" s="285"/>
    </row>
    <row r="234" spans="1:18">
      <c r="A234" t="s">
        <v>2003</v>
      </c>
      <c r="C234" t="s">
        <v>3498</v>
      </c>
      <c r="D234">
        <v>0.87460000000000004</v>
      </c>
      <c r="E234">
        <v>9.0324000000000009</v>
      </c>
      <c r="F234">
        <v>0.20830000000000001</v>
      </c>
      <c r="G234" s="284">
        <f t="shared" si="27"/>
        <v>9.2407000000000004</v>
      </c>
      <c r="H234" s="284">
        <v>9.0789000000000009</v>
      </c>
      <c r="I234" s="284">
        <f>G234-H234</f>
        <v>0.1617999999999995</v>
      </c>
      <c r="J234" s="283">
        <f t="shared" si="28"/>
        <v>4.6500000000000513E-2</v>
      </c>
      <c r="K234" s="285">
        <f t="shared" si="29"/>
        <v>22.323571771483682</v>
      </c>
      <c r="L234">
        <v>21</v>
      </c>
      <c r="M234" s="286">
        <v>43363</v>
      </c>
      <c r="N234" s="286">
        <v>43364</v>
      </c>
      <c r="O234" s="283" t="s">
        <v>3756</v>
      </c>
      <c r="R234" s="285"/>
    </row>
    <row r="235" spans="1:18">
      <c r="A235" t="s">
        <v>1577</v>
      </c>
      <c r="C235" t="s">
        <v>3702</v>
      </c>
      <c r="D235">
        <v>1.7426999999999999</v>
      </c>
      <c r="E235">
        <v>10.202400000000001</v>
      </c>
      <c r="F235">
        <v>0.23849999999999999</v>
      </c>
      <c r="G235" s="284">
        <f t="shared" si="27"/>
        <v>10.440900000000001</v>
      </c>
      <c r="H235" s="284">
        <v>10.2186</v>
      </c>
      <c r="I235" s="284">
        <f>G235-H235</f>
        <v>0.22230000000000061</v>
      </c>
      <c r="J235" s="283">
        <f t="shared" si="28"/>
        <v>1.6199999999999382E-2</v>
      </c>
      <c r="K235" s="285">
        <f t="shared" si="29"/>
        <v>6.7924528301884193</v>
      </c>
      <c r="L235">
        <v>11</v>
      </c>
      <c r="M235" s="286">
        <v>43361</v>
      </c>
      <c r="N235" s="286">
        <v>43362</v>
      </c>
      <c r="O235" s="283" t="s">
        <v>3730</v>
      </c>
      <c r="R235" s="285"/>
    </row>
    <row r="236" spans="1:18">
      <c r="A236" t="s">
        <v>2002</v>
      </c>
      <c r="C236" t="s">
        <v>3423</v>
      </c>
      <c r="D236">
        <v>0.65239999999999998</v>
      </c>
      <c r="E236">
        <v>10.076499999999999</v>
      </c>
      <c r="F236">
        <v>0.2109</v>
      </c>
      <c r="G236" s="284">
        <f t="shared" si="27"/>
        <v>10.2874</v>
      </c>
      <c r="H236" s="284">
        <v>10.1121</v>
      </c>
      <c r="I236" s="284">
        <f>G236-H236</f>
        <v>0.17530000000000001</v>
      </c>
      <c r="J236" s="283">
        <f t="shared" si="28"/>
        <v>3.5599999999999993E-2</v>
      </c>
      <c r="K236" s="285">
        <f t="shared" si="29"/>
        <v>16.880037932669509</v>
      </c>
      <c r="L236">
        <v>23</v>
      </c>
      <c r="M236">
        <v>23.101800000000001</v>
      </c>
      <c r="N236" s="16">
        <v>43397</v>
      </c>
      <c r="R236" s="285"/>
    </row>
    <row r="237" spans="1:18">
      <c r="A237" t="s">
        <v>1569</v>
      </c>
      <c r="C237" t="s">
        <v>3699</v>
      </c>
      <c r="D237">
        <v>1.6008</v>
      </c>
      <c r="E237">
        <v>11.106199999999999</v>
      </c>
      <c r="F237">
        <v>0.20130000000000001</v>
      </c>
      <c r="G237" s="284">
        <f t="shared" si="27"/>
        <v>11.307499999999999</v>
      </c>
      <c r="H237" s="284">
        <v>11.118</v>
      </c>
      <c r="I237" s="284">
        <f>(G237-H237)</f>
        <v>0.18949999999999889</v>
      </c>
      <c r="J237" s="283">
        <f t="shared" si="28"/>
        <v>1.1800000000001115E-2</v>
      </c>
      <c r="K237" s="285">
        <f t="shared" si="29"/>
        <v>5.8618976651769072</v>
      </c>
      <c r="L237">
        <v>37</v>
      </c>
      <c r="M237" s="286">
        <v>43360</v>
      </c>
      <c r="N237" s="286">
        <v>43361</v>
      </c>
      <c r="O237" s="283" t="s">
        <v>3707</v>
      </c>
      <c r="R237" s="285"/>
    </row>
    <row r="238" spans="1:18">
      <c r="A238" t="s">
        <v>1568</v>
      </c>
      <c r="C238" t="s">
        <v>3490</v>
      </c>
      <c r="D238">
        <v>1.2858000000000001</v>
      </c>
      <c r="E238">
        <v>8.0655000000000001</v>
      </c>
      <c r="F238">
        <v>0.21179999999999999</v>
      </c>
      <c r="G238" s="284">
        <f t="shared" si="27"/>
        <v>8.2773000000000003</v>
      </c>
      <c r="H238" s="284">
        <v>8.0974000000000004</v>
      </c>
      <c r="I238" s="284">
        <f>G238-H238</f>
        <v>0.17989999999999995</v>
      </c>
      <c r="J238" s="283">
        <f t="shared" si="28"/>
        <v>3.1900000000000039E-2</v>
      </c>
      <c r="K238" s="285">
        <f t="shared" si="29"/>
        <v>15.061378659112389</v>
      </c>
      <c r="L238">
        <v>4</v>
      </c>
      <c r="M238" s="16">
        <v>43399</v>
      </c>
      <c r="N238" s="16">
        <v>43400</v>
      </c>
      <c r="R238" s="285"/>
    </row>
    <row r="239" spans="1:18">
      <c r="A239" t="s">
        <v>1566</v>
      </c>
      <c r="C239" t="s">
        <v>3417</v>
      </c>
      <c r="D239">
        <v>0.49030000000000001</v>
      </c>
      <c r="E239">
        <v>8.4450000000000003</v>
      </c>
      <c r="F239">
        <v>0.21110000000000001</v>
      </c>
      <c r="G239" s="284">
        <f t="shared" si="27"/>
        <v>8.6561000000000003</v>
      </c>
      <c r="H239" s="284">
        <v>8.4809999999999999</v>
      </c>
      <c r="I239" s="284">
        <f>G239-H239</f>
        <v>0.17510000000000048</v>
      </c>
      <c r="J239" s="283">
        <f t="shared" si="28"/>
        <v>3.5999999999999532E-2</v>
      </c>
      <c r="K239" s="285">
        <f t="shared" si="29"/>
        <v>17.053529133112047</v>
      </c>
      <c r="L239">
        <v>6</v>
      </c>
      <c r="M239" s="16">
        <v>43399</v>
      </c>
      <c r="N239" s="16">
        <v>43400</v>
      </c>
      <c r="R239" s="285"/>
    </row>
    <row r="240" spans="1:18">
      <c r="A240" t="s">
        <v>1565</v>
      </c>
      <c r="B240">
        <v>218</v>
      </c>
      <c r="D240">
        <v>0.50409999999999999</v>
      </c>
      <c r="E240">
        <v>10.902200000000001</v>
      </c>
      <c r="F240">
        <v>0.2039</v>
      </c>
      <c r="G240" s="284">
        <f t="shared" si="27"/>
        <v>11.106100000000001</v>
      </c>
      <c r="H240" s="284">
        <v>10.9472</v>
      </c>
      <c r="I240" s="284">
        <f>G240-H240</f>
        <v>0.15890000000000093</v>
      </c>
      <c r="J240" s="283">
        <f t="shared" si="28"/>
        <v>4.4999999999999069E-2</v>
      </c>
      <c r="K240" s="285">
        <f t="shared" si="29"/>
        <v>22.069641981362956</v>
      </c>
      <c r="L240">
        <v>29</v>
      </c>
      <c r="M240" s="16">
        <v>43388</v>
      </c>
      <c r="N240" s="286">
        <v>43389</v>
      </c>
      <c r="O240" s="16"/>
      <c r="R240" s="285"/>
    </row>
    <row r="241" spans="1:18">
      <c r="A241" t="s">
        <v>2001</v>
      </c>
      <c r="C241" t="s">
        <v>3711</v>
      </c>
      <c r="D241">
        <v>1.7726999999999999</v>
      </c>
      <c r="E241">
        <v>8.1189999999999998</v>
      </c>
      <c r="F241">
        <v>0.20449999999999999</v>
      </c>
      <c r="G241" s="284">
        <f t="shared" si="27"/>
        <v>8.3234999999999992</v>
      </c>
      <c r="H241" s="284">
        <v>8.1290999999999993</v>
      </c>
      <c r="I241" s="284">
        <f>(G241-H241)</f>
        <v>0.19439999999999991</v>
      </c>
      <c r="J241" s="283">
        <f t="shared" si="28"/>
        <v>1.0100000000000081E-2</v>
      </c>
      <c r="K241" s="285">
        <f t="shared" si="29"/>
        <v>4.9388753056235117</v>
      </c>
      <c r="L241">
        <v>6</v>
      </c>
      <c r="M241" s="286">
        <v>43360</v>
      </c>
      <c r="N241" s="286">
        <v>43361</v>
      </c>
      <c r="O241" s="283" t="s">
        <v>3707</v>
      </c>
      <c r="R241" s="285"/>
    </row>
    <row r="242" spans="1:18">
      <c r="A242" t="s">
        <v>1560</v>
      </c>
      <c r="C242" t="s">
        <v>3764</v>
      </c>
      <c r="D242">
        <v>0.56969999999999998</v>
      </c>
      <c r="E242">
        <v>8.8620000000000001</v>
      </c>
      <c r="F242">
        <v>0.20669999999999999</v>
      </c>
      <c r="G242" s="284">
        <f t="shared" si="27"/>
        <v>9.0686999999999998</v>
      </c>
      <c r="H242" s="284">
        <v>8.9099000000000004</v>
      </c>
      <c r="I242" s="284">
        <f t="shared" ref="I242:I252" si="31">G242-H242</f>
        <v>0.15879999999999939</v>
      </c>
      <c r="J242" s="283">
        <f t="shared" si="28"/>
        <v>4.7900000000000609E-2</v>
      </c>
      <c r="K242" s="285">
        <f t="shared" si="29"/>
        <v>23.173681664247997</v>
      </c>
      <c r="L242">
        <v>41</v>
      </c>
      <c r="M242" s="286">
        <v>43374</v>
      </c>
      <c r="N242" s="286">
        <v>43375</v>
      </c>
      <c r="O242" s="283" t="s">
        <v>3730</v>
      </c>
      <c r="R242" s="285"/>
    </row>
    <row r="243" spans="1:18">
      <c r="A243" t="s">
        <v>1557</v>
      </c>
      <c r="C243" t="s">
        <v>3687</v>
      </c>
      <c r="D243">
        <v>1.7154</v>
      </c>
      <c r="E243">
        <v>7.4753999999999996</v>
      </c>
      <c r="F243">
        <v>0.23980000000000001</v>
      </c>
      <c r="G243" s="284">
        <f t="shared" si="27"/>
        <v>7.7151999999999994</v>
      </c>
      <c r="H243" s="284">
        <v>7.4907000000000004</v>
      </c>
      <c r="I243" s="284">
        <f t="shared" si="31"/>
        <v>0.22449999999999903</v>
      </c>
      <c r="J243" s="283">
        <f t="shared" si="28"/>
        <v>1.5300000000000979E-2</v>
      </c>
      <c r="K243" s="285">
        <f t="shared" si="29"/>
        <v>6.380316930776055</v>
      </c>
      <c r="L243">
        <v>37</v>
      </c>
      <c r="M243" s="16">
        <v>43381</v>
      </c>
      <c r="N243" s="16">
        <v>43382</v>
      </c>
      <c r="R243" s="285"/>
    </row>
    <row r="244" spans="1:18">
      <c r="A244" t="s">
        <v>2045</v>
      </c>
      <c r="B244">
        <v>213</v>
      </c>
      <c r="D244">
        <v>0.505</v>
      </c>
      <c r="E244">
        <v>7.8402000000000003</v>
      </c>
      <c r="F244">
        <v>0.2016</v>
      </c>
      <c r="G244" s="284">
        <f t="shared" si="27"/>
        <v>8.0418000000000003</v>
      </c>
      <c r="H244" s="284">
        <v>7.8685</v>
      </c>
      <c r="I244" s="284">
        <f t="shared" si="31"/>
        <v>0.17330000000000023</v>
      </c>
      <c r="J244" s="283">
        <f t="shared" si="28"/>
        <v>2.829999999999977E-2</v>
      </c>
      <c r="K244" s="285">
        <f t="shared" si="29"/>
        <v>14.037698412698299</v>
      </c>
      <c r="L244">
        <v>24</v>
      </c>
      <c r="M244" s="16">
        <v>43388</v>
      </c>
      <c r="N244" s="286">
        <v>43389</v>
      </c>
      <c r="O244" s="16"/>
      <c r="R244" s="285"/>
    </row>
    <row r="245" spans="1:18">
      <c r="A245" t="s">
        <v>2000</v>
      </c>
      <c r="C245" t="s">
        <v>3786</v>
      </c>
      <c r="D245">
        <v>0.68879999999999997</v>
      </c>
      <c r="E245">
        <v>9.1579999999999995</v>
      </c>
      <c r="F245">
        <v>0.20630000000000001</v>
      </c>
      <c r="G245" s="284">
        <f t="shared" si="27"/>
        <v>9.3643000000000001</v>
      </c>
      <c r="H245" s="284">
        <v>9.2218999999999998</v>
      </c>
      <c r="I245" s="284">
        <f t="shared" si="31"/>
        <v>0.1424000000000003</v>
      </c>
      <c r="J245" s="283">
        <f t="shared" si="28"/>
        <v>6.3899999999999707E-2</v>
      </c>
      <c r="K245" s="285">
        <f t="shared" si="29"/>
        <v>30.974309258361465</v>
      </c>
      <c r="L245">
        <v>2</v>
      </c>
      <c r="M245" s="16">
        <v>43399</v>
      </c>
      <c r="N245" s="16">
        <v>43400</v>
      </c>
      <c r="R245" s="285"/>
    </row>
    <row r="246" spans="1:18">
      <c r="A246" t="s">
        <v>1549</v>
      </c>
      <c r="C246" t="s">
        <v>3417</v>
      </c>
      <c r="D246">
        <v>0.60850000000000004</v>
      </c>
      <c r="E246">
        <v>9.3436000000000003</v>
      </c>
      <c r="F246">
        <v>0.23619999999999999</v>
      </c>
      <c r="G246" s="284">
        <f t="shared" si="27"/>
        <v>9.5798000000000005</v>
      </c>
      <c r="H246" s="284">
        <v>9.3923000000000005</v>
      </c>
      <c r="I246" s="284">
        <f t="shared" si="31"/>
        <v>0.1875</v>
      </c>
      <c r="J246" s="283">
        <f t="shared" si="28"/>
        <v>4.8699999999999993E-2</v>
      </c>
      <c r="K246" s="285">
        <f t="shared" si="29"/>
        <v>20.618120237087211</v>
      </c>
      <c r="L246">
        <v>41</v>
      </c>
      <c r="M246" s="16">
        <v>43399</v>
      </c>
      <c r="N246" s="16">
        <v>43400</v>
      </c>
      <c r="R246" s="285"/>
    </row>
    <row r="247" spans="1:18">
      <c r="A247" t="s">
        <v>1999</v>
      </c>
      <c r="C247" t="s">
        <v>3420</v>
      </c>
      <c r="D247">
        <v>0.62309999999999999</v>
      </c>
      <c r="E247">
        <v>9.0040999999999993</v>
      </c>
      <c r="F247">
        <v>0.21890000000000001</v>
      </c>
      <c r="G247" s="288">
        <f t="shared" si="27"/>
        <v>9.222999999999999</v>
      </c>
      <c r="H247" s="284">
        <v>9.0614000000000008</v>
      </c>
      <c r="I247" s="288">
        <f t="shared" si="31"/>
        <v>0.16159999999999819</v>
      </c>
      <c r="J247" s="283">
        <f t="shared" si="28"/>
        <v>5.7300000000001822E-2</v>
      </c>
      <c r="K247" s="285">
        <f t="shared" si="29"/>
        <v>26.176336226588315</v>
      </c>
      <c r="L247">
        <v>18</v>
      </c>
      <c r="M247" s="286">
        <v>43379</v>
      </c>
      <c r="N247" s="286">
        <v>43379</v>
      </c>
      <c r="R247" s="285"/>
    </row>
    <row r="248" spans="1:18">
      <c r="A248" t="s">
        <v>1535</v>
      </c>
      <c r="C248" t="s">
        <v>3462</v>
      </c>
      <c r="D248">
        <v>0.58069999999999999</v>
      </c>
      <c r="E248">
        <v>9.7233000000000001</v>
      </c>
      <c r="F248">
        <v>0.21629999999999999</v>
      </c>
      <c r="G248" s="284">
        <f t="shared" si="27"/>
        <v>9.9396000000000004</v>
      </c>
      <c r="H248" s="284">
        <v>9.7765000000000004</v>
      </c>
      <c r="I248" s="284">
        <f t="shared" si="31"/>
        <v>0.16310000000000002</v>
      </c>
      <c r="J248" s="283">
        <f t="shared" si="28"/>
        <v>5.319999999999997E-2</v>
      </c>
      <c r="K248" s="285">
        <f t="shared" si="29"/>
        <v>24.595469255663417</v>
      </c>
      <c r="L248">
        <v>28</v>
      </c>
      <c r="M248" s="286">
        <v>43374</v>
      </c>
      <c r="N248" s="286">
        <v>43375</v>
      </c>
      <c r="O248" s="283" t="s">
        <v>3730</v>
      </c>
      <c r="R248" s="285"/>
    </row>
    <row r="249" spans="1:18">
      <c r="A249" t="s">
        <v>1533</v>
      </c>
      <c r="C249" t="s">
        <v>3421</v>
      </c>
      <c r="D249">
        <v>0.57410000000000005</v>
      </c>
      <c r="E249">
        <v>10.744999999999999</v>
      </c>
      <c r="F249">
        <v>0.20430000000000001</v>
      </c>
      <c r="G249" s="284">
        <f t="shared" si="27"/>
        <v>10.949299999999999</v>
      </c>
      <c r="H249" s="284">
        <v>10.782299999999999</v>
      </c>
      <c r="I249" s="284">
        <f t="shared" si="31"/>
        <v>0.16699999999999982</v>
      </c>
      <c r="J249" s="283">
        <f t="shared" si="28"/>
        <v>3.7300000000000194E-2</v>
      </c>
      <c r="K249" s="285">
        <f t="shared" si="29"/>
        <v>18.257464512971215</v>
      </c>
      <c r="L249">
        <v>39</v>
      </c>
      <c r="M249" s="286">
        <v>43374</v>
      </c>
      <c r="N249" s="286">
        <v>43375</v>
      </c>
      <c r="O249" s="283" t="s">
        <v>3730</v>
      </c>
      <c r="R249" s="285"/>
    </row>
    <row r="250" spans="1:18">
      <c r="A250" t="s">
        <v>1519</v>
      </c>
      <c r="C250" t="s">
        <v>3697</v>
      </c>
      <c r="D250">
        <v>1.7277</v>
      </c>
      <c r="E250">
        <v>8.9566999999999997</v>
      </c>
      <c r="F250">
        <v>0.2011</v>
      </c>
      <c r="G250" s="284">
        <f t="shared" si="27"/>
        <v>9.1577999999999999</v>
      </c>
      <c r="H250" s="284">
        <v>8.9712999999999994</v>
      </c>
      <c r="I250" s="284">
        <f t="shared" si="31"/>
        <v>0.18650000000000055</v>
      </c>
      <c r="J250" s="283">
        <f t="shared" si="28"/>
        <v>1.4599999999999447E-2</v>
      </c>
      <c r="K250" s="285">
        <f t="shared" si="29"/>
        <v>7.2600696171056427</v>
      </c>
      <c r="L250">
        <v>5</v>
      </c>
      <c r="M250" s="286">
        <v>43361</v>
      </c>
      <c r="N250" s="286">
        <v>43362</v>
      </c>
      <c r="O250" s="283" t="s">
        <v>3730</v>
      </c>
      <c r="R250" s="285"/>
    </row>
    <row r="251" spans="1:18">
      <c r="A251" t="s">
        <v>1995</v>
      </c>
      <c r="B251">
        <v>205</v>
      </c>
      <c r="C251" t="s">
        <v>2504</v>
      </c>
      <c r="D251">
        <v>0.68079999999999996</v>
      </c>
      <c r="E251">
        <v>10.745200000000001</v>
      </c>
      <c r="F251">
        <v>0.2056</v>
      </c>
      <c r="G251">
        <f t="shared" si="27"/>
        <v>10.950800000000001</v>
      </c>
      <c r="H251">
        <v>10.784800000000001</v>
      </c>
      <c r="I251" s="284">
        <f t="shared" si="31"/>
        <v>0.16600000000000037</v>
      </c>
      <c r="J251" s="283">
        <f t="shared" si="28"/>
        <v>3.9599999999999635E-2</v>
      </c>
      <c r="K251" s="285">
        <f t="shared" si="29"/>
        <v>19.260700389104883</v>
      </c>
      <c r="L251">
        <v>2</v>
      </c>
      <c r="M251" s="16">
        <v>43402</v>
      </c>
      <c r="N251" s="16">
        <v>43403</v>
      </c>
      <c r="R251" s="285"/>
    </row>
    <row r="252" spans="1:18">
      <c r="A252" t="s">
        <v>1495</v>
      </c>
      <c r="C252" t="s">
        <v>3745</v>
      </c>
      <c r="D252">
        <v>1.8042</v>
      </c>
      <c r="E252">
        <v>7.5289000000000001</v>
      </c>
      <c r="F252">
        <v>0.2198</v>
      </c>
      <c r="G252" s="288">
        <f t="shared" si="27"/>
        <v>7.7487000000000004</v>
      </c>
      <c r="H252" s="284">
        <v>7.5422000000000002</v>
      </c>
      <c r="I252" s="288">
        <f t="shared" si="31"/>
        <v>0.20650000000000013</v>
      </c>
      <c r="J252" s="283">
        <f t="shared" si="28"/>
        <v>1.3299999999999867E-2</v>
      </c>
      <c r="K252" s="285">
        <f t="shared" si="29"/>
        <v>6.0509554140126784</v>
      </c>
      <c r="L252">
        <v>10</v>
      </c>
      <c r="M252" s="286">
        <v>43379</v>
      </c>
      <c r="N252" s="286">
        <v>43379</v>
      </c>
      <c r="O252" s="283"/>
      <c r="R252" s="285"/>
    </row>
    <row r="253" spans="1:18">
      <c r="A253" t="s">
        <v>1492</v>
      </c>
      <c r="C253" t="s">
        <v>3658</v>
      </c>
      <c r="D253">
        <v>1.7853000000000001</v>
      </c>
      <c r="E253">
        <v>7.8596000000000004</v>
      </c>
      <c r="F253">
        <v>0.20349999999999999</v>
      </c>
      <c r="G253" s="284">
        <f t="shared" si="27"/>
        <v>8.0631000000000004</v>
      </c>
      <c r="H253" s="284">
        <v>7.8711000000000002</v>
      </c>
      <c r="I253" s="284">
        <f>(G253-H253)</f>
        <v>0.19200000000000017</v>
      </c>
      <c r="J253" s="283">
        <f t="shared" si="28"/>
        <v>1.1499999999999816E-2</v>
      </c>
      <c r="K253" s="285">
        <f t="shared" si="29"/>
        <v>5.6511056511055608</v>
      </c>
      <c r="L253">
        <v>29</v>
      </c>
      <c r="M253" s="16">
        <v>43358</v>
      </c>
      <c r="N253" s="16">
        <v>43358</v>
      </c>
      <c r="R253" s="285"/>
    </row>
    <row r="254" spans="1:18">
      <c r="A254" t="s">
        <v>1994</v>
      </c>
      <c r="B254">
        <v>211</v>
      </c>
      <c r="C254" t="s">
        <v>2504</v>
      </c>
      <c r="D254">
        <v>0.54649999999999999</v>
      </c>
      <c r="E254">
        <v>10.1091</v>
      </c>
      <c r="F254">
        <v>0.2122</v>
      </c>
      <c r="G254">
        <f t="shared" si="27"/>
        <v>10.321299999999999</v>
      </c>
      <c r="H254">
        <v>10.152200000000001</v>
      </c>
      <c r="I254" s="284">
        <f t="shared" ref="I254:I265" si="32">G254-H254</f>
        <v>0.16909999999999847</v>
      </c>
      <c r="J254" s="283">
        <f t="shared" si="28"/>
        <v>4.3100000000001526E-2</v>
      </c>
      <c r="K254" s="285">
        <f t="shared" si="29"/>
        <v>20.311027332705713</v>
      </c>
      <c r="L254">
        <v>3</v>
      </c>
      <c r="M254" s="16">
        <v>43402</v>
      </c>
      <c r="N254" s="16">
        <v>43403</v>
      </c>
      <c r="R254" s="285"/>
    </row>
    <row r="255" spans="1:18">
      <c r="A255" t="s">
        <v>1488</v>
      </c>
      <c r="C255" t="s">
        <v>3771</v>
      </c>
      <c r="D255">
        <v>1.7042999999999999</v>
      </c>
      <c r="E255">
        <v>7.1909999999999998</v>
      </c>
      <c r="F255">
        <v>0.20380000000000001</v>
      </c>
      <c r="G255" s="284">
        <f t="shared" si="27"/>
        <v>7.3948</v>
      </c>
      <c r="H255" s="284">
        <v>7.2035</v>
      </c>
      <c r="I255" s="284">
        <f t="shared" si="32"/>
        <v>0.19130000000000003</v>
      </c>
      <c r="J255" s="283">
        <f t="shared" si="28"/>
        <v>1.2499999999999983E-2</v>
      </c>
      <c r="K255" s="285">
        <f t="shared" si="29"/>
        <v>6.1334641805691774</v>
      </c>
      <c r="L255">
        <v>33</v>
      </c>
      <c r="M255">
        <v>23.101800000000001</v>
      </c>
      <c r="N255" s="16">
        <v>43397</v>
      </c>
      <c r="R255" s="285"/>
    </row>
    <row r="256" spans="1:18">
      <c r="A256" t="s">
        <v>1481</v>
      </c>
      <c r="D256">
        <v>0.61140000000000005</v>
      </c>
      <c r="E256">
        <v>11.108000000000001</v>
      </c>
      <c r="F256">
        <v>0.22140000000000001</v>
      </c>
      <c r="G256" s="288">
        <f t="shared" si="27"/>
        <v>11.3294</v>
      </c>
      <c r="H256" s="284">
        <v>11.140599999999999</v>
      </c>
      <c r="I256" s="288">
        <f t="shared" si="32"/>
        <v>0.18880000000000052</v>
      </c>
      <c r="J256" s="283">
        <f t="shared" si="28"/>
        <v>3.259999999999949E-2</v>
      </c>
      <c r="K256" s="285">
        <f t="shared" si="29"/>
        <v>14.724480578138884</v>
      </c>
      <c r="L256">
        <v>15</v>
      </c>
      <c r="M256" s="286">
        <v>43379</v>
      </c>
      <c r="N256" s="286">
        <v>43379</v>
      </c>
      <c r="O256" s="283"/>
      <c r="P256" t="s">
        <v>3772</v>
      </c>
      <c r="R256" s="285"/>
    </row>
    <row r="257" spans="1:18">
      <c r="A257" t="s">
        <v>1993</v>
      </c>
      <c r="C257" t="s">
        <v>3684</v>
      </c>
      <c r="D257">
        <v>0.8054</v>
      </c>
      <c r="E257">
        <v>20.933599999999998</v>
      </c>
      <c r="F257">
        <v>0.223</v>
      </c>
      <c r="G257" s="284">
        <f t="shared" si="27"/>
        <v>21.156599999999997</v>
      </c>
      <c r="H257" s="284">
        <v>20.988099999999999</v>
      </c>
      <c r="I257" s="284">
        <f t="shared" si="32"/>
        <v>0.1684999999999981</v>
      </c>
      <c r="J257" s="283">
        <f t="shared" si="28"/>
        <v>5.4500000000001908E-2</v>
      </c>
      <c r="K257" s="285">
        <f t="shared" si="29"/>
        <v>24.439461883408928</v>
      </c>
      <c r="L257">
        <v>2</v>
      </c>
      <c r="M257" s="286">
        <v>43362</v>
      </c>
      <c r="N257" s="286">
        <v>43363</v>
      </c>
      <c r="O257" s="283"/>
      <c r="R257" s="285"/>
    </row>
    <row r="258" spans="1:18">
      <c r="A258" t="s">
        <v>1480</v>
      </c>
      <c r="C258" t="s">
        <v>3748</v>
      </c>
      <c r="D258">
        <v>1.7245999999999999</v>
      </c>
      <c r="E258">
        <v>11.088800000000001</v>
      </c>
      <c r="F258">
        <v>0.2009</v>
      </c>
      <c r="G258" s="288">
        <f t="shared" si="27"/>
        <v>11.289700000000002</v>
      </c>
      <c r="H258" s="284">
        <v>11.1007</v>
      </c>
      <c r="I258" s="288">
        <f t="shared" si="32"/>
        <v>0.18900000000000183</v>
      </c>
      <c r="J258" s="283">
        <f t="shared" si="28"/>
        <v>1.1899999999998162E-2</v>
      </c>
      <c r="K258" s="285">
        <f t="shared" si="29"/>
        <v>5.923344947734277</v>
      </c>
      <c r="L258">
        <v>2</v>
      </c>
      <c r="M258" s="286">
        <v>43379</v>
      </c>
      <c r="N258" s="286">
        <v>43379</v>
      </c>
      <c r="O258" s="283"/>
      <c r="R258" s="285"/>
    </row>
    <row r="259" spans="1:18">
      <c r="A259" t="s">
        <v>1992</v>
      </c>
      <c r="C259" t="s">
        <v>3745</v>
      </c>
      <c r="D259">
        <v>1.5825</v>
      </c>
      <c r="E259">
        <v>7.3552</v>
      </c>
      <c r="F259">
        <v>0.2341</v>
      </c>
      <c r="G259" s="284">
        <f t="shared" si="27"/>
        <v>7.5892999999999997</v>
      </c>
      <c r="H259" s="284">
        <v>7.3685999999999998</v>
      </c>
      <c r="I259" s="284">
        <f t="shared" si="32"/>
        <v>0.2206999999999999</v>
      </c>
      <c r="J259" s="283">
        <f t="shared" si="28"/>
        <v>1.3400000000000106E-2</v>
      </c>
      <c r="K259" s="285">
        <f t="shared" si="29"/>
        <v>5.724049551473775</v>
      </c>
      <c r="L259">
        <v>28</v>
      </c>
      <c r="M259" s="286">
        <v>43362</v>
      </c>
      <c r="N259" s="286">
        <v>43363</v>
      </c>
      <c r="R259" s="285"/>
    </row>
    <row r="260" spans="1:18">
      <c r="A260" t="s">
        <v>1470</v>
      </c>
      <c r="C260" t="s">
        <v>3425</v>
      </c>
      <c r="D260">
        <v>0.65110000000000001</v>
      </c>
      <c r="E260">
        <v>11.033799999999999</v>
      </c>
      <c r="F260">
        <v>0.2011</v>
      </c>
      <c r="G260" s="284">
        <f t="shared" si="27"/>
        <v>11.2349</v>
      </c>
      <c r="H260" s="284">
        <v>11.073</v>
      </c>
      <c r="I260" s="284">
        <f t="shared" si="32"/>
        <v>0.16189999999999927</v>
      </c>
      <c r="J260" s="283">
        <f t="shared" si="28"/>
        <v>3.9200000000000734E-2</v>
      </c>
      <c r="K260" s="285">
        <f t="shared" si="29"/>
        <v>19.492789656887485</v>
      </c>
      <c r="L260">
        <v>13</v>
      </c>
      <c r="M260" s="16">
        <v>43381</v>
      </c>
      <c r="N260" s="16">
        <v>43382</v>
      </c>
      <c r="R260" s="285"/>
    </row>
    <row r="261" spans="1:18">
      <c r="A261" t="s">
        <v>1991</v>
      </c>
      <c r="C261" t="s">
        <v>3456</v>
      </c>
      <c r="D261">
        <v>0.75880000000000003</v>
      </c>
      <c r="E261">
        <v>18.046299999999999</v>
      </c>
      <c r="F261">
        <v>0.2213</v>
      </c>
      <c r="G261" s="284">
        <f t="shared" si="27"/>
        <v>18.267599999999998</v>
      </c>
      <c r="H261" s="284">
        <v>18.1233</v>
      </c>
      <c r="I261" s="284">
        <f t="shared" si="32"/>
        <v>0.14429999999999765</v>
      </c>
      <c r="J261" s="283">
        <f t="shared" si="28"/>
        <v>7.7000000000002344E-2</v>
      </c>
      <c r="K261" s="285">
        <f t="shared" si="29"/>
        <v>34.794396746499032</v>
      </c>
      <c r="L261">
        <v>9</v>
      </c>
      <c r="M261" s="286">
        <v>43362</v>
      </c>
      <c r="N261" s="286">
        <v>43363</v>
      </c>
      <c r="O261" s="283"/>
      <c r="R261" s="285"/>
    </row>
    <row r="262" spans="1:18">
      <c r="A262" t="s">
        <v>1454</v>
      </c>
      <c r="C262" t="s">
        <v>3731</v>
      </c>
      <c r="D262">
        <v>1.7161</v>
      </c>
      <c r="E262">
        <v>9.1399000000000008</v>
      </c>
      <c r="F262">
        <v>0.23899999999999999</v>
      </c>
      <c r="G262" s="284">
        <f t="shared" si="27"/>
        <v>9.3789000000000016</v>
      </c>
      <c r="H262" s="284">
        <v>9.1523000000000003</v>
      </c>
      <c r="I262" s="284">
        <f t="shared" si="32"/>
        <v>0.22660000000000124</v>
      </c>
      <c r="J262" s="283">
        <f t="shared" si="28"/>
        <v>1.2399999999998745E-2</v>
      </c>
      <c r="K262" s="285">
        <f t="shared" si="29"/>
        <v>5.1882845188279267</v>
      </c>
      <c r="L262">
        <v>35</v>
      </c>
      <c r="M262" s="286">
        <v>43363</v>
      </c>
      <c r="N262" s="286">
        <v>43364</v>
      </c>
      <c r="O262" s="283" t="s">
        <v>3756</v>
      </c>
      <c r="R262" s="285"/>
    </row>
    <row r="263" spans="1:18">
      <c r="A263" t="s">
        <v>1452</v>
      </c>
      <c r="C263" t="s">
        <v>3680</v>
      </c>
      <c r="D263">
        <v>1.7318</v>
      </c>
      <c r="E263">
        <v>10.417299999999999</v>
      </c>
      <c r="F263">
        <v>0.2021</v>
      </c>
      <c r="G263">
        <f t="shared" si="27"/>
        <v>10.619399999999999</v>
      </c>
      <c r="H263">
        <v>10.4297</v>
      </c>
      <c r="I263" s="284">
        <f t="shared" si="32"/>
        <v>0.18969999999999843</v>
      </c>
      <c r="J263" s="283">
        <f t="shared" si="28"/>
        <v>1.2400000000001576E-2</v>
      </c>
      <c r="K263" s="285">
        <f t="shared" si="29"/>
        <v>6.1355764473040955</v>
      </c>
      <c r="L263">
        <v>30</v>
      </c>
      <c r="M263" s="16">
        <v>43399</v>
      </c>
      <c r="N263" s="16">
        <v>43400</v>
      </c>
      <c r="R263" s="285"/>
    </row>
    <row r="264" spans="1:18">
      <c r="A264" t="s">
        <v>2044</v>
      </c>
      <c r="C264" t="s">
        <v>3684</v>
      </c>
      <c r="D264">
        <v>0.93340000000000001</v>
      </c>
      <c r="E264">
        <v>20.778600000000001</v>
      </c>
      <c r="F264">
        <v>0.20899999999999999</v>
      </c>
      <c r="G264" s="284">
        <f t="shared" si="27"/>
        <v>20.9876</v>
      </c>
      <c r="H264" s="284">
        <v>20.829000000000001</v>
      </c>
      <c r="I264" s="284">
        <f t="shared" si="32"/>
        <v>0.15859999999999985</v>
      </c>
      <c r="J264" s="283">
        <f t="shared" si="28"/>
        <v>5.0400000000000139E-2</v>
      </c>
      <c r="K264" s="285">
        <f t="shared" si="29"/>
        <v>24.114832535885235</v>
      </c>
      <c r="L264">
        <v>35</v>
      </c>
      <c r="M264" s="286">
        <v>43361</v>
      </c>
      <c r="N264" s="286">
        <v>43362</v>
      </c>
      <c r="O264" s="283" t="s">
        <v>3730</v>
      </c>
      <c r="R264" s="285"/>
    </row>
    <row r="265" spans="1:18">
      <c r="A265" t="s">
        <v>1990</v>
      </c>
      <c r="C265" t="s">
        <v>3690</v>
      </c>
      <c r="D265">
        <v>1.8058000000000001</v>
      </c>
      <c r="E265">
        <v>10.703200000000001</v>
      </c>
      <c r="F265">
        <v>0.2349</v>
      </c>
      <c r="G265" s="284">
        <f t="shared" si="27"/>
        <v>10.9381</v>
      </c>
      <c r="H265" s="284">
        <v>10.717000000000001</v>
      </c>
      <c r="I265" s="284">
        <f t="shared" si="32"/>
        <v>0.22109999999999985</v>
      </c>
      <c r="J265" s="283">
        <f t="shared" si="28"/>
        <v>1.3800000000000145E-2</v>
      </c>
      <c r="K265" s="285">
        <f t="shared" si="29"/>
        <v>5.8748403575990409</v>
      </c>
      <c r="L265">
        <v>2</v>
      </c>
      <c r="M265" s="286">
        <v>43361</v>
      </c>
      <c r="N265" s="286">
        <v>43362</v>
      </c>
      <c r="O265" s="283" t="s">
        <v>3730</v>
      </c>
      <c r="R265" s="285"/>
    </row>
    <row r="266" spans="1:18">
      <c r="A266" t="s">
        <v>1449</v>
      </c>
      <c r="C266" t="s">
        <v>3674</v>
      </c>
      <c r="D266">
        <v>1.6801999999999999</v>
      </c>
      <c r="E266">
        <v>7.4805000000000001</v>
      </c>
      <c r="F266">
        <v>0.2039</v>
      </c>
      <c r="G266" s="284">
        <f t="shared" si="27"/>
        <v>7.6844000000000001</v>
      </c>
      <c r="H266" s="284">
        <v>7.4927000000000001</v>
      </c>
      <c r="I266" s="284">
        <f>(G266-H266)</f>
        <v>0.19169999999999998</v>
      </c>
      <c r="J266" s="283">
        <f t="shared" si="28"/>
        <v>1.2200000000000016E-2</v>
      </c>
      <c r="K266" s="285">
        <f t="shared" si="29"/>
        <v>5.9833251593918666</v>
      </c>
      <c r="L266">
        <v>20</v>
      </c>
      <c r="M266" s="16">
        <v>43358</v>
      </c>
      <c r="N266" s="16">
        <v>43358</v>
      </c>
      <c r="R266" s="285"/>
    </row>
    <row r="267" spans="1:18">
      <c r="A267" t="s">
        <v>1989</v>
      </c>
      <c r="C267" t="s">
        <v>3742</v>
      </c>
      <c r="D267">
        <v>1.3340000000000001</v>
      </c>
      <c r="E267">
        <v>11.7486</v>
      </c>
      <c r="F267">
        <v>0.21340000000000001</v>
      </c>
      <c r="G267" s="284">
        <f t="shared" si="27"/>
        <v>11.962</v>
      </c>
      <c r="H267" s="284">
        <v>11.763299999999999</v>
      </c>
      <c r="I267" s="284">
        <f t="shared" ref="I267:I281" si="33">G267-H267</f>
        <v>0.19870000000000054</v>
      </c>
      <c r="J267" s="283">
        <f t="shared" si="28"/>
        <v>1.4699999999999463E-2</v>
      </c>
      <c r="K267" s="285">
        <f t="shared" si="29"/>
        <v>6.888472352389627</v>
      </c>
      <c r="L267">
        <v>11</v>
      </c>
      <c r="M267" s="16">
        <v>43381</v>
      </c>
      <c r="N267" s="16">
        <v>43382</v>
      </c>
      <c r="R267" s="285"/>
    </row>
    <row r="268" spans="1:18">
      <c r="A268" t="s">
        <v>1439</v>
      </c>
      <c r="D268">
        <v>0.72619999999999996</v>
      </c>
      <c r="E268">
        <v>9.8224</v>
      </c>
      <c r="F268">
        <v>0.2034</v>
      </c>
      <c r="G268">
        <f t="shared" si="27"/>
        <v>10.0258</v>
      </c>
      <c r="H268">
        <v>9.8557000000000006</v>
      </c>
      <c r="I268" s="284">
        <f t="shared" si="33"/>
        <v>0.1700999999999997</v>
      </c>
      <c r="J268" s="283">
        <f t="shared" si="28"/>
        <v>3.3300000000000302E-2</v>
      </c>
      <c r="K268" s="285">
        <f t="shared" si="29"/>
        <v>16.371681415929352</v>
      </c>
      <c r="L268">
        <v>22</v>
      </c>
      <c r="M268" s="16">
        <v>43399</v>
      </c>
      <c r="N268" s="16">
        <v>43400</v>
      </c>
      <c r="R268" s="285"/>
    </row>
    <row r="269" spans="1:18">
      <c r="A269" t="s">
        <v>1438</v>
      </c>
      <c r="C269" t="s">
        <v>3461</v>
      </c>
      <c r="D269">
        <v>0.61880000000000002</v>
      </c>
      <c r="E269">
        <v>20.883600000000001</v>
      </c>
      <c r="F269">
        <v>0.22420000000000001</v>
      </c>
      <c r="G269" s="284">
        <f t="shared" si="27"/>
        <v>21.107800000000001</v>
      </c>
      <c r="H269" s="284">
        <v>20.948399999999999</v>
      </c>
      <c r="I269" s="284">
        <f t="shared" si="33"/>
        <v>0.15940000000000154</v>
      </c>
      <c r="J269" s="283">
        <f t="shared" si="28"/>
        <v>6.479999999999847E-2</v>
      </c>
      <c r="K269" s="285">
        <f t="shared" si="29"/>
        <v>28.902765388045704</v>
      </c>
      <c r="L269">
        <v>4</v>
      </c>
      <c r="M269" s="286">
        <v>43362</v>
      </c>
      <c r="N269" s="286">
        <v>43363</v>
      </c>
      <c r="O269" s="283"/>
      <c r="R269" s="285"/>
    </row>
    <row r="270" spans="1:18">
      <c r="A270" t="s">
        <v>1431</v>
      </c>
      <c r="C270" t="s">
        <v>3492</v>
      </c>
      <c r="D270">
        <v>1.2075</v>
      </c>
      <c r="E270">
        <v>11.0564</v>
      </c>
      <c r="F270">
        <v>0.23069999999999999</v>
      </c>
      <c r="G270" s="284">
        <f t="shared" si="27"/>
        <v>11.287100000000001</v>
      </c>
      <c r="H270" s="284">
        <v>11.0746</v>
      </c>
      <c r="I270" s="284">
        <f t="shared" si="33"/>
        <v>0.21250000000000036</v>
      </c>
      <c r="J270" s="283">
        <f t="shared" si="28"/>
        <v>1.8199999999999633E-2</v>
      </c>
      <c r="K270" s="285">
        <f t="shared" si="29"/>
        <v>7.889033376679512</v>
      </c>
      <c r="L270">
        <v>15</v>
      </c>
      <c r="M270" s="286">
        <v>43363</v>
      </c>
      <c r="N270" s="286">
        <v>43364</v>
      </c>
      <c r="O270" s="283" t="s">
        <v>3756</v>
      </c>
      <c r="R270" s="285"/>
    </row>
    <row r="271" spans="1:18">
      <c r="A271" t="s">
        <v>1988</v>
      </c>
      <c r="C271" t="s">
        <v>3759</v>
      </c>
      <c r="D271">
        <v>0.87570000000000003</v>
      </c>
      <c r="E271">
        <v>10.567500000000001</v>
      </c>
      <c r="F271">
        <v>0.2147</v>
      </c>
      <c r="G271" s="284">
        <f t="shared" si="27"/>
        <v>10.782200000000001</v>
      </c>
      <c r="H271" s="284">
        <v>10.6075</v>
      </c>
      <c r="I271" s="284">
        <f t="shared" si="33"/>
        <v>0.17470000000000141</v>
      </c>
      <c r="J271" s="283">
        <f t="shared" si="28"/>
        <v>3.9999999999998592E-2</v>
      </c>
      <c r="K271" s="285">
        <f t="shared" si="29"/>
        <v>18.630647414997014</v>
      </c>
      <c r="L271">
        <v>17</v>
      </c>
      <c r="M271" s="286">
        <v>43363</v>
      </c>
      <c r="N271" s="286">
        <v>43364</v>
      </c>
      <c r="O271" s="283" t="s">
        <v>3756</v>
      </c>
      <c r="R271" s="285"/>
    </row>
    <row r="272" spans="1:18">
      <c r="A272" t="s">
        <v>1426</v>
      </c>
      <c r="C272" t="s">
        <v>3462</v>
      </c>
      <c r="D272">
        <v>0.75309999999999999</v>
      </c>
      <c r="E272">
        <v>7.9949000000000003</v>
      </c>
      <c r="F272">
        <v>0.2041</v>
      </c>
      <c r="G272" s="284">
        <f t="shared" si="27"/>
        <v>8.1989999999999998</v>
      </c>
      <c r="H272" s="284">
        <v>8.0541999999999998</v>
      </c>
      <c r="I272" s="284">
        <f t="shared" si="33"/>
        <v>0.14480000000000004</v>
      </c>
      <c r="J272" s="283">
        <f t="shared" si="28"/>
        <v>5.9299999999999964E-2</v>
      </c>
      <c r="K272" s="285">
        <f t="shared" si="29"/>
        <v>29.054385105340501</v>
      </c>
      <c r="L272">
        <v>25</v>
      </c>
      <c r="M272" s="286">
        <v>43362</v>
      </c>
      <c r="N272" s="286">
        <v>43363</v>
      </c>
      <c r="R272" s="285"/>
    </row>
    <row r="273" spans="1:18">
      <c r="A273" t="s">
        <v>1425</v>
      </c>
      <c r="C273" t="s">
        <v>3718</v>
      </c>
      <c r="D273">
        <v>1.6726000000000001</v>
      </c>
      <c r="E273">
        <v>7.774</v>
      </c>
      <c r="F273">
        <v>0.24510000000000001</v>
      </c>
      <c r="G273" s="284">
        <f t="shared" si="27"/>
        <v>8.0190999999999999</v>
      </c>
      <c r="H273" s="284">
        <v>7.7984999999999998</v>
      </c>
      <c r="I273" s="284">
        <f t="shared" si="33"/>
        <v>0.22060000000000013</v>
      </c>
      <c r="J273" s="283">
        <f t="shared" si="28"/>
        <v>2.4499999999999883E-2</v>
      </c>
      <c r="K273" s="285">
        <f t="shared" si="29"/>
        <v>9.99592003263969</v>
      </c>
      <c r="L273">
        <v>15</v>
      </c>
      <c r="M273" s="286">
        <v>43361</v>
      </c>
      <c r="N273" s="286">
        <v>43362</v>
      </c>
      <c r="O273" s="283" t="s">
        <v>3730</v>
      </c>
      <c r="R273" s="285"/>
    </row>
    <row r="274" spans="1:18">
      <c r="A274" t="s">
        <v>1421</v>
      </c>
      <c r="C274" t="s">
        <v>3711</v>
      </c>
      <c r="D274">
        <v>1.6720999999999999</v>
      </c>
      <c r="E274">
        <v>9.1577999999999999</v>
      </c>
      <c r="F274">
        <v>0.20069999999999999</v>
      </c>
      <c r="G274" s="284">
        <f t="shared" si="27"/>
        <v>9.3584999999999994</v>
      </c>
      <c r="H274" s="284">
        <v>9.1692</v>
      </c>
      <c r="I274" s="284">
        <f t="shared" si="33"/>
        <v>0.18929999999999936</v>
      </c>
      <c r="J274" s="283">
        <f t="shared" si="28"/>
        <v>1.1400000000000632E-2</v>
      </c>
      <c r="K274" s="285">
        <f t="shared" si="29"/>
        <v>5.6801195814651884</v>
      </c>
      <c r="L274">
        <v>35</v>
      </c>
      <c r="M274" s="16">
        <v>43395</v>
      </c>
      <c r="N274" s="16">
        <v>43396</v>
      </c>
      <c r="R274" s="285"/>
    </row>
    <row r="275" spans="1:18">
      <c r="A275" t="s">
        <v>1987</v>
      </c>
      <c r="C275" t="s">
        <v>3691</v>
      </c>
      <c r="D275">
        <v>1.6745000000000001</v>
      </c>
      <c r="E275">
        <v>9.2224000000000004</v>
      </c>
      <c r="F275">
        <v>0.20580000000000001</v>
      </c>
      <c r="G275" s="284">
        <f t="shared" si="27"/>
        <v>9.4282000000000004</v>
      </c>
      <c r="H275" s="284">
        <v>9.2340999999999998</v>
      </c>
      <c r="I275" s="284">
        <f t="shared" si="33"/>
        <v>0.19410000000000061</v>
      </c>
      <c r="J275" s="283">
        <f t="shared" si="28"/>
        <v>1.1699999999999405E-2</v>
      </c>
      <c r="K275" s="285">
        <f t="shared" si="29"/>
        <v>5.6851311953349883</v>
      </c>
      <c r="L275">
        <v>15</v>
      </c>
      <c r="M275" s="16">
        <v>43388</v>
      </c>
      <c r="N275" s="286">
        <v>43389</v>
      </c>
      <c r="O275" s="286"/>
      <c r="P275" s="283"/>
      <c r="R275" s="285"/>
    </row>
    <row r="276" spans="1:18">
      <c r="A276" t="s">
        <v>1420</v>
      </c>
      <c r="C276" t="s">
        <v>3774</v>
      </c>
      <c r="D276">
        <v>1.7069000000000001</v>
      </c>
      <c r="E276">
        <v>8.3559000000000001</v>
      </c>
      <c r="F276">
        <v>0.2054</v>
      </c>
      <c r="G276" s="288">
        <f t="shared" si="27"/>
        <v>8.5612999999999992</v>
      </c>
      <c r="H276" s="284">
        <v>8.3684999999999992</v>
      </c>
      <c r="I276" s="288">
        <f t="shared" si="33"/>
        <v>0.19280000000000008</v>
      </c>
      <c r="J276" s="283">
        <f t="shared" si="28"/>
        <v>1.2599999999999917E-2</v>
      </c>
      <c r="K276" s="285">
        <f t="shared" si="29"/>
        <v>6.134371957156727</v>
      </c>
      <c r="L276">
        <v>32</v>
      </c>
      <c r="M276" s="286">
        <v>43379</v>
      </c>
      <c r="N276" s="286">
        <v>43379</v>
      </c>
      <c r="R276" s="285"/>
    </row>
    <row r="277" spans="1:18">
      <c r="A277" t="s">
        <v>1986</v>
      </c>
      <c r="C277" t="s">
        <v>3433</v>
      </c>
      <c r="D277">
        <v>0.66769999999999996</v>
      </c>
      <c r="E277">
        <v>8.0965000000000007</v>
      </c>
      <c r="F277">
        <v>0.2132</v>
      </c>
      <c r="G277" s="284">
        <f t="shared" ref="G277:G340" si="34">E277+F277</f>
        <v>8.3097000000000012</v>
      </c>
      <c r="H277" s="284">
        <v>8.1460000000000008</v>
      </c>
      <c r="I277" s="284">
        <f t="shared" si="33"/>
        <v>0.1637000000000004</v>
      </c>
      <c r="J277" s="283">
        <f t="shared" si="28"/>
        <v>4.94999999999996E-2</v>
      </c>
      <c r="K277" s="285">
        <f t="shared" si="29"/>
        <v>23.217636022513883</v>
      </c>
      <c r="L277">
        <v>18</v>
      </c>
      <c r="M277" s="16">
        <v>43399</v>
      </c>
      <c r="N277" s="16">
        <v>43400</v>
      </c>
      <c r="R277" s="285"/>
    </row>
    <row r="278" spans="1:18">
      <c r="A278" t="s">
        <v>1404</v>
      </c>
      <c r="C278" t="s">
        <v>3700</v>
      </c>
      <c r="D278">
        <v>1.7404999999999999</v>
      </c>
      <c r="E278">
        <v>20.760899999999999</v>
      </c>
      <c r="F278">
        <v>0.2054</v>
      </c>
      <c r="G278" s="284">
        <f t="shared" si="34"/>
        <v>20.9663</v>
      </c>
      <c r="H278" s="284">
        <v>20.774799999999999</v>
      </c>
      <c r="I278" s="284">
        <f t="shared" si="33"/>
        <v>0.19150000000000134</v>
      </c>
      <c r="J278" s="283">
        <f t="shared" si="28"/>
        <v>1.3899999999998663E-2</v>
      </c>
      <c r="K278" s="285">
        <f t="shared" si="29"/>
        <v>6.7672833495611799</v>
      </c>
      <c r="L278">
        <v>31</v>
      </c>
      <c r="M278" s="286">
        <v>43361</v>
      </c>
      <c r="N278" s="286">
        <v>43362</v>
      </c>
      <c r="O278" s="283" t="s">
        <v>3730</v>
      </c>
      <c r="R278" s="285"/>
    </row>
    <row r="279" spans="1:18">
      <c r="A279" t="s">
        <v>1985</v>
      </c>
      <c r="C279" t="s">
        <v>3498</v>
      </c>
      <c r="D279">
        <v>0.88129999999999997</v>
      </c>
      <c r="E279">
        <v>10.7941</v>
      </c>
      <c r="F279">
        <v>0.20810000000000001</v>
      </c>
      <c r="G279" s="284">
        <f t="shared" si="34"/>
        <v>11.0022</v>
      </c>
      <c r="H279" s="284">
        <v>10.8285</v>
      </c>
      <c r="I279" s="284">
        <f t="shared" si="33"/>
        <v>0.17370000000000019</v>
      </c>
      <c r="J279" s="283">
        <f t="shared" si="28"/>
        <v>3.439999999999982E-2</v>
      </c>
      <c r="K279" s="285">
        <f t="shared" si="29"/>
        <v>16.530514175876895</v>
      </c>
      <c r="L279">
        <v>12</v>
      </c>
      <c r="M279" s="286">
        <v>43363</v>
      </c>
      <c r="N279" s="286">
        <v>43364</v>
      </c>
      <c r="O279" s="283"/>
      <c r="R279" s="285"/>
    </row>
    <row r="280" spans="1:18">
      <c r="A280" t="s">
        <v>1400</v>
      </c>
      <c r="C280" t="s">
        <v>3717</v>
      </c>
      <c r="D280">
        <v>0.69179999999999997</v>
      </c>
      <c r="E280">
        <v>7.0941999999999998</v>
      </c>
      <c r="F280">
        <v>0.2054</v>
      </c>
      <c r="G280" s="284">
        <f t="shared" si="34"/>
        <v>7.2995999999999999</v>
      </c>
      <c r="H280" s="284">
        <v>7.1402000000000001</v>
      </c>
      <c r="I280" s="284">
        <f t="shared" si="33"/>
        <v>0.15939999999999976</v>
      </c>
      <c r="J280" s="283">
        <f t="shared" si="28"/>
        <v>4.6000000000000235E-2</v>
      </c>
      <c r="K280" s="285">
        <f t="shared" si="29"/>
        <v>22.395326192794663</v>
      </c>
      <c r="L280">
        <v>24</v>
      </c>
      <c r="M280" s="16">
        <v>43399</v>
      </c>
      <c r="N280" s="16">
        <v>43400</v>
      </c>
      <c r="R280" s="285"/>
    </row>
    <row r="281" spans="1:18">
      <c r="A281" t="s">
        <v>1391</v>
      </c>
      <c r="C281" t="s">
        <v>3685</v>
      </c>
      <c r="D281">
        <v>1.7538</v>
      </c>
      <c r="E281">
        <v>11.0907</v>
      </c>
      <c r="F281">
        <v>0.22600000000000001</v>
      </c>
      <c r="G281" s="284">
        <f t="shared" si="34"/>
        <v>11.316700000000001</v>
      </c>
      <c r="H281" s="284">
        <v>11.103999999999999</v>
      </c>
      <c r="I281" s="284">
        <f t="shared" si="33"/>
        <v>0.21270000000000167</v>
      </c>
      <c r="J281" s="283">
        <f t="shared" si="28"/>
        <v>1.3299999999998341E-2</v>
      </c>
      <c r="K281" s="285">
        <f t="shared" si="29"/>
        <v>5.8849557522116545</v>
      </c>
      <c r="L281">
        <v>23</v>
      </c>
      <c r="M281" s="16">
        <v>43381</v>
      </c>
      <c r="N281" s="16">
        <v>43382</v>
      </c>
      <c r="R281" s="285"/>
    </row>
    <row r="282" spans="1:18">
      <c r="A282" t="s">
        <v>1984</v>
      </c>
      <c r="C282" t="s">
        <v>3702</v>
      </c>
      <c r="D282">
        <v>3.1697000000000002</v>
      </c>
      <c r="E282">
        <v>8.0473999999999997</v>
      </c>
      <c r="F282">
        <v>0.24690000000000001</v>
      </c>
      <c r="G282" s="284">
        <f t="shared" si="34"/>
        <v>8.2942999999999998</v>
      </c>
      <c r="H282" s="284">
        <v>8.2288999999999994</v>
      </c>
      <c r="I282" s="284">
        <f>(G282-H282)</f>
        <v>6.5400000000000347E-2</v>
      </c>
      <c r="J282" s="283">
        <f t="shared" si="28"/>
        <v>0.18149999999999966</v>
      </c>
      <c r="K282" s="285">
        <f t="shared" si="29"/>
        <v>73.511543134872284</v>
      </c>
      <c r="L282">
        <v>40</v>
      </c>
      <c r="M282" s="286">
        <v>43360</v>
      </c>
      <c r="N282" s="286">
        <v>43361</v>
      </c>
      <c r="R282" s="285"/>
    </row>
    <row r="283" spans="1:18">
      <c r="A283" t="s">
        <v>1387</v>
      </c>
      <c r="C283" t="s">
        <v>3743</v>
      </c>
      <c r="D283">
        <v>1.494</v>
      </c>
      <c r="E283">
        <v>7.8018000000000001</v>
      </c>
      <c r="F283">
        <v>0.23780000000000001</v>
      </c>
      <c r="G283" s="284">
        <f t="shared" si="34"/>
        <v>8.0396000000000001</v>
      </c>
      <c r="H283" s="284">
        <v>7.8205999999999998</v>
      </c>
      <c r="I283" s="284">
        <f t="shared" ref="I283:I288" si="35">G283-H283</f>
        <v>0.21900000000000031</v>
      </c>
      <c r="J283" s="283">
        <f t="shared" si="28"/>
        <v>1.8799999999999706E-2</v>
      </c>
      <c r="K283" s="285">
        <f t="shared" si="29"/>
        <v>7.9058031959628696</v>
      </c>
      <c r="L283">
        <v>29</v>
      </c>
      <c r="M283" s="16">
        <v>43395</v>
      </c>
      <c r="N283" s="16">
        <v>43396</v>
      </c>
      <c r="R283" s="285"/>
    </row>
    <row r="284" spans="1:18">
      <c r="A284" t="s">
        <v>1983</v>
      </c>
      <c r="C284" t="s">
        <v>3430</v>
      </c>
      <c r="D284">
        <v>0.59789999999999999</v>
      </c>
      <c r="E284">
        <v>9.8879999999999999</v>
      </c>
      <c r="F284">
        <v>0.2117</v>
      </c>
      <c r="G284">
        <f t="shared" si="34"/>
        <v>10.0997</v>
      </c>
      <c r="H284">
        <v>9.9367000000000001</v>
      </c>
      <c r="I284" s="284">
        <f t="shared" si="35"/>
        <v>0.16300000000000026</v>
      </c>
      <c r="J284" s="283">
        <f t="shared" ref="J284:J347" si="36">F284-I284</f>
        <v>4.8699999999999743E-2</v>
      </c>
      <c r="K284" s="285">
        <f t="shared" ref="K284:K347" si="37">(J284/F284)*100</f>
        <v>23.004251299007908</v>
      </c>
      <c r="L284">
        <v>15</v>
      </c>
      <c r="M284" s="16">
        <v>43402</v>
      </c>
      <c r="N284" s="16">
        <v>43403</v>
      </c>
      <c r="R284" s="285"/>
    </row>
    <row r="285" spans="1:18">
      <c r="A285" t="s">
        <v>1379</v>
      </c>
      <c r="C285" t="s">
        <v>3424</v>
      </c>
      <c r="D285">
        <v>0.51459999999999995</v>
      </c>
      <c r="E285">
        <v>11.107699999999999</v>
      </c>
      <c r="F285">
        <v>0.20699999999999999</v>
      </c>
      <c r="G285" s="284">
        <f t="shared" si="34"/>
        <v>11.3147</v>
      </c>
      <c r="H285" s="284">
        <v>11.140700000000001</v>
      </c>
      <c r="I285" s="284">
        <f t="shared" si="35"/>
        <v>0.17399999999999949</v>
      </c>
      <c r="J285" s="283">
        <f t="shared" si="36"/>
        <v>3.3000000000000501E-2</v>
      </c>
      <c r="K285" s="285">
        <f t="shared" si="37"/>
        <v>15.942028985507489</v>
      </c>
      <c r="L285">
        <v>7</v>
      </c>
      <c r="M285" s="16">
        <v>43399</v>
      </c>
      <c r="N285" s="16">
        <v>43400</v>
      </c>
      <c r="R285" s="285"/>
    </row>
    <row r="286" spans="1:18">
      <c r="A286" t="s">
        <v>1378</v>
      </c>
      <c r="B286">
        <v>204</v>
      </c>
      <c r="C286" t="s">
        <v>2504</v>
      </c>
      <c r="D286">
        <v>0.58760000000000001</v>
      </c>
      <c r="E286">
        <v>10.5038</v>
      </c>
      <c r="F286">
        <v>0.2051</v>
      </c>
      <c r="G286" s="284">
        <f t="shared" si="34"/>
        <v>10.7089</v>
      </c>
      <c r="H286" s="284">
        <v>10.5481</v>
      </c>
      <c r="I286" s="284">
        <f t="shared" si="35"/>
        <v>0.16080000000000005</v>
      </c>
      <c r="J286" s="283">
        <f t="shared" si="36"/>
        <v>4.4299999999999951E-2</v>
      </c>
      <c r="K286" s="285">
        <f t="shared" si="37"/>
        <v>21.599219892735228</v>
      </c>
      <c r="L286">
        <v>9</v>
      </c>
      <c r="M286">
        <v>23.101800000000001</v>
      </c>
      <c r="N286" s="16">
        <v>43397</v>
      </c>
      <c r="R286" s="285"/>
    </row>
    <row r="287" spans="1:18">
      <c r="A287" t="s">
        <v>1982</v>
      </c>
      <c r="B287">
        <v>212</v>
      </c>
      <c r="D287">
        <v>0.5323</v>
      </c>
      <c r="E287">
        <v>10.741199999999999</v>
      </c>
      <c r="F287">
        <v>0.2198</v>
      </c>
      <c r="G287" s="284">
        <f t="shared" si="34"/>
        <v>10.960999999999999</v>
      </c>
      <c r="H287" s="284">
        <v>10.795999999999999</v>
      </c>
      <c r="I287" s="284">
        <f t="shared" si="35"/>
        <v>0.16499999999999915</v>
      </c>
      <c r="J287" s="283">
        <f t="shared" si="36"/>
        <v>5.4800000000000848E-2</v>
      </c>
      <c r="K287" s="285">
        <f t="shared" si="37"/>
        <v>24.931756141947613</v>
      </c>
      <c r="L287">
        <v>18</v>
      </c>
      <c r="M287" s="16">
        <v>43395</v>
      </c>
      <c r="N287" s="16">
        <v>43396</v>
      </c>
      <c r="R287" s="285"/>
    </row>
    <row r="288" spans="1:18">
      <c r="A288" t="s">
        <v>2043</v>
      </c>
      <c r="C288" t="s">
        <v>3436</v>
      </c>
      <c r="D288">
        <v>0.63500000000000001</v>
      </c>
      <c r="E288">
        <v>11.4559</v>
      </c>
      <c r="F288">
        <v>0.20910000000000001</v>
      </c>
      <c r="G288" s="284">
        <f t="shared" si="34"/>
        <v>11.664999999999999</v>
      </c>
      <c r="H288" s="284">
        <v>11.5093</v>
      </c>
      <c r="I288" s="284">
        <f t="shared" si="35"/>
        <v>0.15569999999999951</v>
      </c>
      <c r="J288" s="283">
        <f t="shared" si="36"/>
        <v>5.3400000000000503E-2</v>
      </c>
      <c r="K288" s="285">
        <f t="shared" si="37"/>
        <v>25.538020086083453</v>
      </c>
      <c r="L288">
        <v>35</v>
      </c>
      <c r="M288" s="286">
        <v>43374</v>
      </c>
      <c r="N288" s="286">
        <v>43375</v>
      </c>
      <c r="O288" s="283" t="s">
        <v>3730</v>
      </c>
      <c r="R288" s="285"/>
    </row>
    <row r="289" spans="1:18">
      <c r="A289" t="s">
        <v>1345</v>
      </c>
      <c r="C289" t="s">
        <v>3662</v>
      </c>
      <c r="D289">
        <v>1.6583000000000001</v>
      </c>
      <c r="E289">
        <v>10.270799999999999</v>
      </c>
      <c r="F289">
        <v>0.19980000000000001</v>
      </c>
      <c r="G289" s="284">
        <f t="shared" si="34"/>
        <v>10.470599999999999</v>
      </c>
      <c r="H289" s="284">
        <v>10.282500000000001</v>
      </c>
      <c r="I289" s="284">
        <f>(G289-H289)</f>
        <v>0.1880999999999986</v>
      </c>
      <c r="J289" s="283">
        <f t="shared" si="36"/>
        <v>1.1700000000001404E-2</v>
      </c>
      <c r="K289" s="285">
        <f t="shared" si="37"/>
        <v>5.8558558558565581</v>
      </c>
      <c r="L289">
        <v>9</v>
      </c>
      <c r="M289" s="16">
        <v>43358</v>
      </c>
      <c r="N289" s="16">
        <v>43358</v>
      </c>
      <c r="R289" s="285"/>
    </row>
    <row r="290" spans="1:18">
      <c r="A290" t="s">
        <v>1336</v>
      </c>
      <c r="C290" t="s">
        <v>3660</v>
      </c>
      <c r="D290">
        <v>1.6967000000000001</v>
      </c>
      <c r="E290">
        <v>10.674099999999999</v>
      </c>
      <c r="F290">
        <v>0.20430000000000001</v>
      </c>
      <c r="G290" s="284">
        <f t="shared" si="34"/>
        <v>10.878399999999999</v>
      </c>
      <c r="H290" s="284">
        <v>10.6853</v>
      </c>
      <c r="I290" s="284">
        <f>(G290-H290)</f>
        <v>0.19309999999999938</v>
      </c>
      <c r="J290" s="283">
        <f t="shared" si="36"/>
        <v>1.1200000000000626E-2</v>
      </c>
      <c r="K290" s="285">
        <f t="shared" si="37"/>
        <v>5.4821341164956561</v>
      </c>
      <c r="L290">
        <v>9</v>
      </c>
      <c r="M290" s="286">
        <v>43355.625</v>
      </c>
      <c r="N290" s="286">
        <v>43355.791666666664</v>
      </c>
      <c r="O290" s="283" t="s">
        <v>3659</v>
      </c>
      <c r="R290" s="285"/>
    </row>
    <row r="291" spans="1:18">
      <c r="A291" t="s">
        <v>1333</v>
      </c>
      <c r="C291" t="s">
        <v>3778</v>
      </c>
      <c r="D291">
        <v>1.6601999999999999</v>
      </c>
      <c r="E291">
        <v>11.0349</v>
      </c>
      <c r="F291">
        <v>0.22639999999999999</v>
      </c>
      <c r="G291" s="284">
        <f t="shared" si="34"/>
        <v>11.2613</v>
      </c>
      <c r="H291" s="284">
        <v>11.047700000000001</v>
      </c>
      <c r="I291" s="284">
        <f>G291-H291</f>
        <v>0.21359999999999957</v>
      </c>
      <c r="J291" s="283">
        <f t="shared" si="36"/>
        <v>1.2800000000000422E-2</v>
      </c>
      <c r="K291" s="285">
        <f t="shared" si="37"/>
        <v>5.65371024735001</v>
      </c>
      <c r="L291">
        <v>18</v>
      </c>
      <c r="M291">
        <v>23.101800000000001</v>
      </c>
      <c r="N291" s="16">
        <v>43397</v>
      </c>
      <c r="R291" s="285"/>
    </row>
    <row r="292" spans="1:18">
      <c r="A292" t="s">
        <v>1331</v>
      </c>
      <c r="C292" t="s">
        <v>3461</v>
      </c>
      <c r="D292">
        <v>0.63629999999999998</v>
      </c>
      <c r="E292">
        <v>8.1296999999999997</v>
      </c>
      <c r="F292">
        <v>0.20469999999999999</v>
      </c>
      <c r="G292" s="284">
        <f t="shared" si="34"/>
        <v>8.3344000000000005</v>
      </c>
      <c r="H292" s="284">
        <v>8.1714000000000002</v>
      </c>
      <c r="I292" s="284">
        <f>G292-H292</f>
        <v>0.16300000000000026</v>
      </c>
      <c r="J292" s="283">
        <f t="shared" si="36"/>
        <v>4.1699999999999737E-2</v>
      </c>
      <c r="K292" s="285">
        <f t="shared" si="37"/>
        <v>20.371275036638856</v>
      </c>
      <c r="L292">
        <v>14</v>
      </c>
      <c r="M292" s="286">
        <v>43362</v>
      </c>
      <c r="N292" s="286">
        <v>43363</v>
      </c>
      <c r="O292" s="283"/>
      <c r="R292" s="285"/>
    </row>
    <row r="293" spans="1:18">
      <c r="A293" t="s">
        <v>1978</v>
      </c>
      <c r="C293" t="s">
        <v>3710</v>
      </c>
      <c r="D293">
        <v>1.5502</v>
      </c>
      <c r="E293">
        <v>8.7347000000000001</v>
      </c>
      <c r="F293">
        <v>0.2029</v>
      </c>
      <c r="G293" s="284">
        <f t="shared" si="34"/>
        <v>8.9375999999999998</v>
      </c>
      <c r="H293" s="284">
        <v>8.7567000000000004</v>
      </c>
      <c r="I293" s="284">
        <f>(G293-H293)</f>
        <v>0.18089999999999939</v>
      </c>
      <c r="J293" s="283">
        <f t="shared" si="36"/>
        <v>2.2000000000000602E-2</v>
      </c>
      <c r="K293" s="285">
        <f t="shared" si="37"/>
        <v>10.842779694431051</v>
      </c>
      <c r="L293">
        <v>4</v>
      </c>
      <c r="M293" s="286">
        <v>43360</v>
      </c>
      <c r="N293" s="286">
        <v>43361</v>
      </c>
      <c r="O293" s="283" t="s">
        <v>3707</v>
      </c>
      <c r="R293" s="285"/>
    </row>
    <row r="294" spans="1:18">
      <c r="A294" t="s">
        <v>1328</v>
      </c>
      <c r="C294" t="s">
        <v>3456</v>
      </c>
      <c r="D294">
        <v>0.69030000000000002</v>
      </c>
      <c r="E294">
        <v>10.077999999999999</v>
      </c>
      <c r="F294">
        <v>0.20430000000000001</v>
      </c>
      <c r="G294" s="284">
        <f t="shared" si="34"/>
        <v>10.282299999999999</v>
      </c>
      <c r="H294" s="284">
        <v>10.137600000000001</v>
      </c>
      <c r="I294" s="284">
        <f>G294-H294</f>
        <v>0.1446999999999985</v>
      </c>
      <c r="J294" s="283">
        <f t="shared" si="36"/>
        <v>5.9600000000001513E-2</v>
      </c>
      <c r="K294" s="285">
        <f t="shared" si="37"/>
        <v>29.172785119922423</v>
      </c>
      <c r="L294">
        <v>19</v>
      </c>
      <c r="M294" s="286">
        <v>43374</v>
      </c>
      <c r="N294" s="286">
        <v>43375</v>
      </c>
      <c r="O294" s="283" t="s">
        <v>3730</v>
      </c>
      <c r="R294" s="285"/>
    </row>
    <row r="295" spans="1:18">
      <c r="A295" t="s">
        <v>1315</v>
      </c>
      <c r="C295" t="s">
        <v>3699</v>
      </c>
      <c r="D295">
        <v>1.7659</v>
      </c>
      <c r="E295">
        <v>9.0510000000000002</v>
      </c>
      <c r="F295">
        <v>0.20280000000000001</v>
      </c>
      <c r="G295" s="284">
        <f t="shared" si="34"/>
        <v>9.2538</v>
      </c>
      <c r="H295" s="284">
        <v>9.0641999999999996</v>
      </c>
      <c r="I295" s="284">
        <f>G295-H295</f>
        <v>0.18960000000000043</v>
      </c>
      <c r="J295" s="283">
        <f t="shared" si="36"/>
        <v>1.3199999999999573E-2</v>
      </c>
      <c r="K295" s="285">
        <f t="shared" si="37"/>
        <v>6.5088757396447594</v>
      </c>
      <c r="L295">
        <v>21</v>
      </c>
      <c r="M295" s="286">
        <v>43361</v>
      </c>
      <c r="N295" s="286">
        <v>43362</v>
      </c>
      <c r="O295" s="283" t="s">
        <v>3730</v>
      </c>
      <c r="R295" s="285"/>
    </row>
    <row r="296" spans="1:18">
      <c r="A296" t="s">
        <v>1300</v>
      </c>
      <c r="C296" t="s">
        <v>3739</v>
      </c>
      <c r="D296">
        <v>1.2071000000000001</v>
      </c>
      <c r="E296">
        <v>8.9581999999999997</v>
      </c>
      <c r="F296">
        <v>0.20219999999999999</v>
      </c>
      <c r="G296" s="284">
        <f t="shared" si="34"/>
        <v>9.1603999999999992</v>
      </c>
      <c r="H296" s="284">
        <v>8.9743999999999993</v>
      </c>
      <c r="I296" s="284">
        <f>G296-H296</f>
        <v>0.18599999999999994</v>
      </c>
      <c r="J296" s="283">
        <f t="shared" si="36"/>
        <v>1.6200000000000048E-2</v>
      </c>
      <c r="K296" s="285">
        <f t="shared" si="37"/>
        <v>8.0118694362018044</v>
      </c>
      <c r="L296">
        <v>21</v>
      </c>
      <c r="M296" s="286">
        <v>43374</v>
      </c>
      <c r="N296" s="286">
        <v>43375</v>
      </c>
      <c r="O296" s="283" t="s">
        <v>3730</v>
      </c>
      <c r="R296" s="285"/>
    </row>
    <row r="297" spans="1:18">
      <c r="A297" t="s">
        <v>1293</v>
      </c>
      <c r="C297" t="s">
        <v>3786</v>
      </c>
      <c r="D297">
        <v>7.359</v>
      </c>
      <c r="E297">
        <v>10.314399999999999</v>
      </c>
      <c r="F297">
        <v>0.20330000000000001</v>
      </c>
      <c r="G297">
        <f t="shared" si="34"/>
        <v>10.5177</v>
      </c>
      <c r="H297">
        <v>10.356999999999999</v>
      </c>
      <c r="I297" s="284">
        <f>G297-H297</f>
        <v>0.16070000000000029</v>
      </c>
      <c r="J297" s="283">
        <f t="shared" si="36"/>
        <v>4.2599999999999721E-2</v>
      </c>
      <c r="K297" s="285">
        <f t="shared" si="37"/>
        <v>20.954254795868039</v>
      </c>
      <c r="L297">
        <v>34</v>
      </c>
      <c r="M297" s="16">
        <v>43399</v>
      </c>
      <c r="N297" s="16">
        <v>43400</v>
      </c>
      <c r="R297" s="285"/>
    </row>
    <row r="298" spans="1:18">
      <c r="A298" t="s">
        <v>1291</v>
      </c>
      <c r="C298" t="s">
        <v>3686</v>
      </c>
      <c r="D298">
        <v>1.6763999999999999</v>
      </c>
      <c r="E298">
        <v>8.4440000000000008</v>
      </c>
      <c r="F298">
        <v>0.20669999999999999</v>
      </c>
      <c r="G298" s="284">
        <f t="shared" si="34"/>
        <v>8.6507000000000005</v>
      </c>
      <c r="H298" s="284">
        <v>8.4558999999999997</v>
      </c>
      <c r="I298" s="284">
        <f>(G298-H298)</f>
        <v>0.19480000000000075</v>
      </c>
      <c r="J298" s="283">
        <f t="shared" si="36"/>
        <v>1.1899999999999245E-2</v>
      </c>
      <c r="K298" s="285">
        <f t="shared" si="37"/>
        <v>5.7571359458148255</v>
      </c>
      <c r="L298">
        <v>24</v>
      </c>
      <c r="M298" s="286">
        <v>43360</v>
      </c>
      <c r="N298" s="286">
        <v>43361</v>
      </c>
      <c r="R298" s="285"/>
    </row>
    <row r="299" spans="1:18">
      <c r="A299" t="s">
        <v>1974</v>
      </c>
      <c r="C299" t="s">
        <v>3760</v>
      </c>
      <c r="D299">
        <v>1.1228</v>
      </c>
      <c r="E299">
        <v>10.1462</v>
      </c>
      <c r="F299">
        <v>0.20849999999999999</v>
      </c>
      <c r="G299" s="284">
        <f t="shared" si="34"/>
        <v>10.354700000000001</v>
      </c>
      <c r="H299" s="284">
        <v>10.1662</v>
      </c>
      <c r="I299" s="284">
        <f>G299-H299</f>
        <v>0.18850000000000122</v>
      </c>
      <c r="J299" s="283">
        <f t="shared" si="36"/>
        <v>1.9999999999998769E-2</v>
      </c>
      <c r="K299" s="285">
        <f t="shared" si="37"/>
        <v>9.59232613908814</v>
      </c>
      <c r="L299">
        <v>31</v>
      </c>
      <c r="M299" s="286">
        <v>43363</v>
      </c>
      <c r="N299" s="286">
        <v>43364</v>
      </c>
      <c r="O299" s="283" t="s">
        <v>3756</v>
      </c>
      <c r="R299" s="285"/>
    </row>
    <row r="300" spans="1:18">
      <c r="A300" t="s">
        <v>1284</v>
      </c>
      <c r="C300" t="s">
        <v>3666</v>
      </c>
      <c r="D300">
        <v>1.7133</v>
      </c>
      <c r="E300">
        <v>10.7386</v>
      </c>
      <c r="F300">
        <v>0.20330000000000001</v>
      </c>
      <c r="G300" s="284">
        <f t="shared" si="34"/>
        <v>10.9419</v>
      </c>
      <c r="H300" s="284">
        <v>10.7508</v>
      </c>
      <c r="I300" s="284">
        <f>(G300-H300)</f>
        <v>0.19110000000000049</v>
      </c>
      <c r="J300" s="283">
        <f t="shared" si="36"/>
        <v>1.2199999999999517E-2</v>
      </c>
      <c r="K300" s="285">
        <f t="shared" si="37"/>
        <v>6.0009837678305544</v>
      </c>
      <c r="L300">
        <v>23</v>
      </c>
      <c r="M300" s="16">
        <v>43358</v>
      </c>
      <c r="N300" s="16">
        <v>43358</v>
      </c>
      <c r="R300" s="285"/>
    </row>
    <row r="301" spans="1:18">
      <c r="A301" t="s">
        <v>1283</v>
      </c>
      <c r="C301" t="s">
        <v>3715</v>
      </c>
      <c r="D301">
        <v>1.2627999999999999</v>
      </c>
      <c r="E301">
        <v>9.1565999999999992</v>
      </c>
      <c r="F301">
        <v>0.2016</v>
      </c>
      <c r="G301" s="284">
        <f t="shared" si="34"/>
        <v>9.3582000000000001</v>
      </c>
      <c r="H301" s="284">
        <v>9.1734000000000009</v>
      </c>
      <c r="I301" s="284">
        <f>(G301-H301)</f>
        <v>0.18479999999999919</v>
      </c>
      <c r="J301" s="283">
        <f t="shared" si="36"/>
        <v>1.6800000000000814E-2</v>
      </c>
      <c r="K301" s="285">
        <f t="shared" si="37"/>
        <v>8.3333333333337372</v>
      </c>
      <c r="L301">
        <v>21</v>
      </c>
      <c r="M301" s="286">
        <v>43360</v>
      </c>
      <c r="N301" s="286">
        <v>43361</v>
      </c>
      <c r="O301" s="283" t="s">
        <v>3707</v>
      </c>
      <c r="R301" s="285"/>
    </row>
    <row r="302" spans="1:18">
      <c r="A302" t="s">
        <v>1973</v>
      </c>
      <c r="C302" t="s">
        <v>3421</v>
      </c>
      <c r="D302">
        <v>0.69240000000000002</v>
      </c>
      <c r="E302">
        <v>7.8403999999999998</v>
      </c>
      <c r="F302">
        <v>0.2089</v>
      </c>
      <c r="G302" s="284">
        <f t="shared" si="34"/>
        <v>8.0493000000000006</v>
      </c>
      <c r="H302" s="284">
        <v>7.9118000000000004</v>
      </c>
      <c r="I302" s="284">
        <f t="shared" ref="I302:I312" si="38">G302-H302</f>
        <v>0.13750000000000018</v>
      </c>
      <c r="J302" s="283">
        <f t="shared" si="36"/>
        <v>7.1399999999999825E-2</v>
      </c>
      <c r="K302" s="285">
        <f t="shared" si="37"/>
        <v>34.179033030157882</v>
      </c>
      <c r="L302">
        <v>38</v>
      </c>
      <c r="M302">
        <v>23.101800000000001</v>
      </c>
      <c r="N302" s="16">
        <v>43397</v>
      </c>
      <c r="R302" s="285"/>
    </row>
    <row r="303" spans="1:18">
      <c r="A303" t="s">
        <v>1279</v>
      </c>
      <c r="B303">
        <v>214</v>
      </c>
      <c r="D303">
        <v>0.48149999999999998</v>
      </c>
      <c r="E303">
        <v>11.160600000000001</v>
      </c>
      <c r="F303">
        <v>0.2082</v>
      </c>
      <c r="G303" s="284">
        <f t="shared" si="34"/>
        <v>11.3688</v>
      </c>
      <c r="H303" s="284">
        <v>11.188700000000001</v>
      </c>
      <c r="I303" s="284">
        <f t="shared" si="38"/>
        <v>0.18009999999999948</v>
      </c>
      <c r="J303" s="283">
        <f t="shared" si="36"/>
        <v>2.8100000000000513E-2</v>
      </c>
      <c r="K303" s="285">
        <f t="shared" si="37"/>
        <v>13.496637848223109</v>
      </c>
      <c r="L303">
        <v>31</v>
      </c>
      <c r="M303" s="16">
        <v>43395</v>
      </c>
      <c r="N303" s="16">
        <v>43396</v>
      </c>
      <c r="R303" s="285"/>
    </row>
    <row r="304" spans="1:18">
      <c r="A304" t="s">
        <v>1274</v>
      </c>
      <c r="C304" t="s">
        <v>3740</v>
      </c>
      <c r="D304">
        <v>1.6464000000000001</v>
      </c>
      <c r="E304">
        <v>9.7222000000000008</v>
      </c>
      <c r="F304">
        <v>0.20930000000000001</v>
      </c>
      <c r="G304" s="284">
        <f t="shared" si="34"/>
        <v>9.9315000000000015</v>
      </c>
      <c r="H304" s="284">
        <v>9.7346000000000004</v>
      </c>
      <c r="I304" s="284">
        <f t="shared" si="38"/>
        <v>0.19690000000000119</v>
      </c>
      <c r="J304" s="283">
        <f t="shared" si="36"/>
        <v>1.2399999999998829E-2</v>
      </c>
      <c r="K304" s="285">
        <f t="shared" si="37"/>
        <v>5.924510272335799</v>
      </c>
      <c r="L304">
        <v>16</v>
      </c>
      <c r="M304" s="286">
        <v>43363</v>
      </c>
      <c r="N304" s="286">
        <v>43364</v>
      </c>
      <c r="O304" s="283"/>
      <c r="R304" s="285"/>
    </row>
    <row r="305" spans="1:18">
      <c r="A305" t="s">
        <v>1972</v>
      </c>
      <c r="C305" t="s">
        <v>3426</v>
      </c>
      <c r="D305">
        <v>0.67779999999999996</v>
      </c>
      <c r="E305">
        <v>8.1698000000000004</v>
      </c>
      <c r="F305">
        <v>0.2082</v>
      </c>
      <c r="G305" s="284">
        <f t="shared" si="34"/>
        <v>8.3780000000000001</v>
      </c>
      <c r="H305" s="284">
        <v>8.2352000000000007</v>
      </c>
      <c r="I305" s="284">
        <f t="shared" si="38"/>
        <v>0.14279999999999937</v>
      </c>
      <c r="J305" s="283">
        <f t="shared" si="36"/>
        <v>6.5400000000000624E-2</v>
      </c>
      <c r="K305" s="285">
        <f t="shared" si="37"/>
        <v>31.412103746397996</v>
      </c>
      <c r="L305">
        <v>19</v>
      </c>
      <c r="M305" s="16">
        <v>43388</v>
      </c>
      <c r="N305" s="286">
        <v>43389</v>
      </c>
      <c r="O305" s="16"/>
      <c r="R305" s="285"/>
    </row>
    <row r="306" spans="1:18">
      <c r="A306" t="s">
        <v>1270</v>
      </c>
      <c r="B306">
        <v>198</v>
      </c>
      <c r="D306">
        <v>0.52429999999999999</v>
      </c>
      <c r="E306">
        <v>9.7272999999999996</v>
      </c>
      <c r="F306">
        <v>0.20680000000000001</v>
      </c>
      <c r="G306" s="284">
        <f t="shared" si="34"/>
        <v>9.934099999999999</v>
      </c>
      <c r="H306" s="284">
        <v>9.7561999999999998</v>
      </c>
      <c r="I306" s="284">
        <f t="shared" si="38"/>
        <v>0.17789999999999928</v>
      </c>
      <c r="J306" s="283">
        <f t="shared" si="36"/>
        <v>2.8900000000000731E-2</v>
      </c>
      <c r="K306" s="285">
        <f t="shared" si="37"/>
        <v>13.974854932302094</v>
      </c>
      <c r="L306">
        <v>3</v>
      </c>
      <c r="M306" s="16">
        <v>43395</v>
      </c>
      <c r="N306" s="16">
        <v>43396</v>
      </c>
      <c r="R306" s="285"/>
    </row>
    <row r="307" spans="1:18">
      <c r="A307" t="s">
        <v>1971</v>
      </c>
      <c r="C307" t="s">
        <v>3750</v>
      </c>
      <c r="D307">
        <v>1.6848000000000001</v>
      </c>
      <c r="E307">
        <v>8.7614000000000001</v>
      </c>
      <c r="F307">
        <v>0.21560000000000001</v>
      </c>
      <c r="G307" s="288">
        <f t="shared" si="34"/>
        <v>8.9770000000000003</v>
      </c>
      <c r="H307" s="284">
        <v>8.7753999999999994</v>
      </c>
      <c r="I307" s="288">
        <f t="shared" si="38"/>
        <v>0.20160000000000089</v>
      </c>
      <c r="J307" s="283">
        <f t="shared" si="36"/>
        <v>1.3999999999999124E-2</v>
      </c>
      <c r="K307" s="285">
        <f t="shared" si="37"/>
        <v>6.4935064935060867</v>
      </c>
      <c r="L307">
        <v>22</v>
      </c>
      <c r="M307" s="286">
        <v>43379</v>
      </c>
      <c r="N307" s="286">
        <v>43379</v>
      </c>
      <c r="R307" s="285"/>
    </row>
    <row r="308" spans="1:18">
      <c r="A308" t="s">
        <v>1258</v>
      </c>
      <c r="C308" t="s">
        <v>3458</v>
      </c>
      <c r="D308">
        <v>0.70409999999999995</v>
      </c>
      <c r="E308">
        <v>19.729600000000001</v>
      </c>
      <c r="F308">
        <v>0.2208</v>
      </c>
      <c r="G308" s="284">
        <f t="shared" si="34"/>
        <v>19.950400000000002</v>
      </c>
      <c r="H308" s="284">
        <v>19.764700000000001</v>
      </c>
      <c r="I308" s="284">
        <f t="shared" si="38"/>
        <v>0.18570000000000064</v>
      </c>
      <c r="J308" s="283">
        <f t="shared" si="36"/>
        <v>3.5099999999999354E-2</v>
      </c>
      <c r="K308" s="285">
        <f t="shared" si="37"/>
        <v>15.89673913043449</v>
      </c>
      <c r="L308">
        <v>7</v>
      </c>
      <c r="M308" s="286">
        <v>43362</v>
      </c>
      <c r="N308" s="286">
        <v>43363</v>
      </c>
      <c r="O308" s="283"/>
      <c r="R308" s="285"/>
    </row>
    <row r="309" spans="1:18">
      <c r="A309" t="s">
        <v>2042</v>
      </c>
      <c r="C309" t="s">
        <v>3739</v>
      </c>
      <c r="D309">
        <v>1.2962</v>
      </c>
      <c r="E309">
        <v>20.968900000000001</v>
      </c>
      <c r="F309">
        <v>0.2253</v>
      </c>
      <c r="G309" s="284">
        <f t="shared" si="34"/>
        <v>21.194200000000002</v>
      </c>
      <c r="H309" s="284">
        <v>20.988700000000001</v>
      </c>
      <c r="I309" s="284">
        <f t="shared" si="38"/>
        <v>0.20550000000000068</v>
      </c>
      <c r="J309" s="283">
        <f t="shared" si="36"/>
        <v>1.9799999999999318E-2</v>
      </c>
      <c r="K309" s="285">
        <f t="shared" si="37"/>
        <v>8.7882822902793247</v>
      </c>
      <c r="L309">
        <v>39</v>
      </c>
      <c r="M309" s="286">
        <v>43361</v>
      </c>
      <c r="N309" s="286">
        <v>43362</v>
      </c>
      <c r="O309" s="283" t="s">
        <v>3730</v>
      </c>
      <c r="R309" s="285"/>
    </row>
    <row r="310" spans="1:18">
      <c r="A310" t="s">
        <v>1970</v>
      </c>
      <c r="C310" t="s">
        <v>3424</v>
      </c>
      <c r="D310">
        <v>0.53410000000000002</v>
      </c>
      <c r="E310">
        <v>10.5413</v>
      </c>
      <c r="F310">
        <v>0.21290000000000001</v>
      </c>
      <c r="G310" s="288">
        <f t="shared" si="34"/>
        <v>10.754199999999999</v>
      </c>
      <c r="H310" s="284">
        <v>10.5839</v>
      </c>
      <c r="I310" s="288">
        <f t="shared" si="38"/>
        <v>0.17029999999999923</v>
      </c>
      <c r="J310" s="283">
        <f t="shared" si="36"/>
        <v>4.2600000000000776E-2</v>
      </c>
      <c r="K310" s="285">
        <f t="shared" si="37"/>
        <v>20.009394081728875</v>
      </c>
      <c r="L310">
        <v>26</v>
      </c>
      <c r="M310" s="286">
        <v>43379</v>
      </c>
      <c r="N310" s="286">
        <v>43379</v>
      </c>
      <c r="R310" s="285"/>
    </row>
    <row r="311" spans="1:18">
      <c r="A311" t="s">
        <v>1227</v>
      </c>
      <c r="C311" t="s">
        <v>3733</v>
      </c>
      <c r="D311">
        <v>1.7028000000000001</v>
      </c>
      <c r="E311">
        <v>10.4156</v>
      </c>
      <c r="F311">
        <v>0.2253</v>
      </c>
      <c r="G311" s="284">
        <f t="shared" si="34"/>
        <v>10.6409</v>
      </c>
      <c r="H311" s="284">
        <v>10.4307</v>
      </c>
      <c r="I311" s="284">
        <f t="shared" si="38"/>
        <v>0.21020000000000039</v>
      </c>
      <c r="J311" s="283">
        <f t="shared" si="36"/>
        <v>1.5099999999999614E-2</v>
      </c>
      <c r="K311" s="285">
        <f t="shared" si="37"/>
        <v>6.7021748779403518</v>
      </c>
      <c r="L311">
        <v>18</v>
      </c>
      <c r="M311" s="286">
        <v>43361</v>
      </c>
      <c r="N311" s="286">
        <v>43362</v>
      </c>
      <c r="O311" s="283" t="s">
        <v>3730</v>
      </c>
      <c r="R311" s="285"/>
    </row>
    <row r="312" spans="1:18">
      <c r="A312" t="s">
        <v>1967</v>
      </c>
      <c r="C312" t="s">
        <v>3763</v>
      </c>
      <c r="D312">
        <v>0.64949999999999997</v>
      </c>
      <c r="E312">
        <v>11.0328</v>
      </c>
      <c r="F312">
        <v>0.22869999999999999</v>
      </c>
      <c r="G312" s="284">
        <f t="shared" si="34"/>
        <v>11.2615</v>
      </c>
      <c r="H312" s="284">
        <v>11.105600000000001</v>
      </c>
      <c r="I312" s="284">
        <f t="shared" si="38"/>
        <v>0.15589999999999904</v>
      </c>
      <c r="J312" s="283">
        <f t="shared" si="36"/>
        <v>7.2800000000000947E-2</v>
      </c>
      <c r="K312" s="285">
        <f t="shared" si="37"/>
        <v>31.832094446874049</v>
      </c>
      <c r="L312">
        <v>30</v>
      </c>
      <c r="M312" s="286">
        <v>43363</v>
      </c>
      <c r="N312" s="286">
        <v>43364</v>
      </c>
      <c r="R312" s="285"/>
    </row>
    <row r="313" spans="1:18">
      <c r="A313" t="s">
        <v>1966</v>
      </c>
      <c r="C313" t="s">
        <v>3665</v>
      </c>
      <c r="D313">
        <v>1.8103</v>
      </c>
      <c r="E313">
        <v>7.8392999999999997</v>
      </c>
      <c r="F313">
        <v>0.2031</v>
      </c>
      <c r="G313" s="284">
        <f t="shared" si="34"/>
        <v>8.0423999999999989</v>
      </c>
      <c r="H313" s="284">
        <v>7.85</v>
      </c>
      <c r="I313" s="284">
        <f>(G313-H313)</f>
        <v>0.19239999999999924</v>
      </c>
      <c r="J313" s="283">
        <f t="shared" si="36"/>
        <v>1.0700000000000764E-2</v>
      </c>
      <c r="K313" s="285">
        <f t="shared" si="37"/>
        <v>5.2683407188580818</v>
      </c>
      <c r="L313">
        <v>8</v>
      </c>
      <c r="M313" s="286">
        <v>43355.625</v>
      </c>
      <c r="N313" s="286">
        <v>43355.791666666664</v>
      </c>
      <c r="O313" s="283" t="s">
        <v>3659</v>
      </c>
      <c r="R313" s="285"/>
    </row>
    <row r="314" spans="1:18">
      <c r="A314" t="s">
        <v>1206</v>
      </c>
      <c r="C314" t="s">
        <v>3667</v>
      </c>
      <c r="D314">
        <v>1.6153999999999999</v>
      </c>
      <c r="E314">
        <v>10.3123</v>
      </c>
      <c r="F314">
        <v>0.2011</v>
      </c>
      <c r="G314" s="284">
        <f t="shared" si="34"/>
        <v>10.513400000000001</v>
      </c>
      <c r="H314" s="284">
        <v>10.3248</v>
      </c>
      <c r="I314" s="284">
        <f>(G314-H314)</f>
        <v>0.18860000000000099</v>
      </c>
      <c r="J314" s="283">
        <f t="shared" si="36"/>
        <v>1.2499999999999012E-2</v>
      </c>
      <c r="K314" s="285">
        <f t="shared" si="37"/>
        <v>6.2158130283436162</v>
      </c>
      <c r="L314">
        <v>15</v>
      </c>
      <c r="M314" s="16">
        <v>43358</v>
      </c>
      <c r="N314" s="16">
        <v>43358</v>
      </c>
      <c r="R314" s="285"/>
    </row>
    <row r="315" spans="1:18">
      <c r="A315" t="s">
        <v>1202</v>
      </c>
      <c r="C315" t="s">
        <v>3732</v>
      </c>
      <c r="D315">
        <v>1.6625000000000001</v>
      </c>
      <c r="E315">
        <v>10.4177</v>
      </c>
      <c r="F315">
        <v>0.22470000000000001</v>
      </c>
      <c r="G315" s="284">
        <f t="shared" si="34"/>
        <v>10.6424</v>
      </c>
      <c r="H315" s="284">
        <v>10.4306</v>
      </c>
      <c r="I315" s="284">
        <f>G315-H315</f>
        <v>0.21180000000000021</v>
      </c>
      <c r="J315" s="283">
        <f t="shared" si="36"/>
        <v>1.2899999999999801E-2</v>
      </c>
      <c r="K315" s="285">
        <f t="shared" si="37"/>
        <v>5.7409879839785489</v>
      </c>
      <c r="L315">
        <v>4</v>
      </c>
      <c r="M315" s="286">
        <v>43374</v>
      </c>
      <c r="N315" s="286">
        <v>43375</v>
      </c>
      <c r="O315" s="283" t="s">
        <v>3730</v>
      </c>
      <c r="R315" s="285"/>
    </row>
    <row r="316" spans="1:18">
      <c r="A316" t="s">
        <v>1965</v>
      </c>
      <c r="C316" t="s">
        <v>3416</v>
      </c>
      <c r="D316">
        <v>0.63660000000000005</v>
      </c>
      <c r="E316">
        <v>8.1193000000000008</v>
      </c>
      <c r="F316">
        <v>0.20280000000000001</v>
      </c>
      <c r="G316">
        <f t="shared" si="34"/>
        <v>8.3221000000000007</v>
      </c>
      <c r="H316">
        <v>8.1708999999999996</v>
      </c>
      <c r="I316" s="284">
        <f>G316-H316</f>
        <v>0.15120000000000111</v>
      </c>
      <c r="J316" s="283">
        <f t="shared" si="36"/>
        <v>5.1599999999998897E-2</v>
      </c>
      <c r="K316" s="285">
        <f t="shared" si="37"/>
        <v>25.443786982247975</v>
      </c>
      <c r="L316">
        <v>23</v>
      </c>
      <c r="M316" s="16">
        <v>43399</v>
      </c>
      <c r="N316" s="16">
        <v>43400</v>
      </c>
      <c r="R316" s="285"/>
    </row>
    <row r="317" spans="1:18">
      <c r="A317" t="s">
        <v>1199</v>
      </c>
      <c r="C317" t="s">
        <v>3689</v>
      </c>
      <c r="D317">
        <v>1.6746000000000001</v>
      </c>
      <c r="E317">
        <v>7.7142999999999997</v>
      </c>
      <c r="F317">
        <v>0.20319999999999999</v>
      </c>
      <c r="G317" s="284">
        <f t="shared" si="34"/>
        <v>7.9174999999999995</v>
      </c>
      <c r="H317" s="284">
        <v>7.7271999999999998</v>
      </c>
      <c r="I317" s="284">
        <f>(G317-H317)</f>
        <v>0.19029999999999969</v>
      </c>
      <c r="J317" s="283">
        <f t="shared" si="36"/>
        <v>1.29000000000003E-2</v>
      </c>
      <c r="K317" s="285">
        <f t="shared" si="37"/>
        <v>6.3484251968505419</v>
      </c>
      <c r="L317">
        <v>13</v>
      </c>
      <c r="M317" s="286">
        <v>43360</v>
      </c>
      <c r="N317" s="286">
        <v>43361</v>
      </c>
      <c r="O317" s="283"/>
      <c r="R317" s="285"/>
    </row>
    <row r="318" spans="1:18">
      <c r="A318" t="s">
        <v>1196</v>
      </c>
      <c r="C318" t="s">
        <v>3724</v>
      </c>
      <c r="D318">
        <v>1.708</v>
      </c>
      <c r="E318">
        <v>9.2190999999999992</v>
      </c>
      <c r="F318">
        <v>0.2056</v>
      </c>
      <c r="G318" s="284">
        <f t="shared" si="34"/>
        <v>9.4246999999999996</v>
      </c>
      <c r="H318" s="284">
        <v>9.2330000000000005</v>
      </c>
      <c r="I318" s="284">
        <f>G318-H318</f>
        <v>0.19169999999999909</v>
      </c>
      <c r="J318" s="283">
        <f t="shared" si="36"/>
        <v>1.3900000000000912E-2</v>
      </c>
      <c r="K318" s="285">
        <f t="shared" si="37"/>
        <v>6.7607003891055024</v>
      </c>
      <c r="L318">
        <v>17</v>
      </c>
      <c r="M318" s="286">
        <v>43361</v>
      </c>
      <c r="N318" s="286">
        <v>43362</v>
      </c>
      <c r="O318" s="283" t="s">
        <v>3730</v>
      </c>
      <c r="R318" s="285"/>
    </row>
    <row r="319" spans="1:18">
      <c r="A319" t="s">
        <v>1195</v>
      </c>
      <c r="C319" t="s">
        <v>3663</v>
      </c>
      <c r="D319">
        <v>1.6116999999999999</v>
      </c>
      <c r="E319">
        <v>7.4741999999999997</v>
      </c>
      <c r="F319">
        <v>0.20230000000000001</v>
      </c>
      <c r="G319" s="284">
        <f t="shared" si="34"/>
        <v>7.6764999999999999</v>
      </c>
      <c r="H319" s="284">
        <v>7.4863999999999997</v>
      </c>
      <c r="I319" s="284">
        <f>(G319-H319)</f>
        <v>0.19010000000000016</v>
      </c>
      <c r="J319" s="283">
        <f t="shared" si="36"/>
        <v>1.219999999999985E-2</v>
      </c>
      <c r="K319" s="285">
        <f t="shared" si="37"/>
        <v>6.0306475531388282</v>
      </c>
      <c r="L319">
        <v>35</v>
      </c>
      <c r="M319" s="16">
        <v>43358</v>
      </c>
      <c r="N319" s="16">
        <v>43358</v>
      </c>
      <c r="R319" s="285"/>
    </row>
    <row r="320" spans="1:18">
      <c r="A320" t="s">
        <v>1964</v>
      </c>
      <c r="C320" t="s">
        <v>3728</v>
      </c>
      <c r="D320">
        <v>1.6781999999999999</v>
      </c>
      <c r="E320">
        <v>10.7409</v>
      </c>
      <c r="F320">
        <v>0.224</v>
      </c>
      <c r="G320" s="284">
        <f t="shared" si="34"/>
        <v>10.9649</v>
      </c>
      <c r="H320" s="284">
        <v>10.7546</v>
      </c>
      <c r="I320" s="284">
        <f>(G320-H320)</f>
        <v>0.21030000000000015</v>
      </c>
      <c r="J320" s="283">
        <f t="shared" si="36"/>
        <v>1.3699999999999851E-2</v>
      </c>
      <c r="K320" s="285">
        <f t="shared" si="37"/>
        <v>6.1160714285713613</v>
      </c>
      <c r="L320">
        <v>40</v>
      </c>
      <c r="M320" s="286">
        <v>43360</v>
      </c>
      <c r="N320" s="286">
        <v>43361</v>
      </c>
      <c r="O320" s="283" t="s">
        <v>3707</v>
      </c>
      <c r="R320" s="285"/>
    </row>
    <row r="321" spans="1:18">
      <c r="A321" t="s">
        <v>1188</v>
      </c>
      <c r="C321" t="s">
        <v>3672</v>
      </c>
      <c r="D321">
        <v>1.6603000000000001</v>
      </c>
      <c r="E321">
        <v>11.153700000000001</v>
      </c>
      <c r="F321">
        <v>0.20430000000000001</v>
      </c>
      <c r="G321" s="284">
        <f t="shared" si="34"/>
        <v>11.358000000000001</v>
      </c>
      <c r="H321" s="284">
        <v>11.166</v>
      </c>
      <c r="I321" s="284">
        <f>(G321-H321)</f>
        <v>0.19200000000000017</v>
      </c>
      <c r="J321" s="283">
        <f t="shared" si="36"/>
        <v>1.2299999999999839E-2</v>
      </c>
      <c r="K321" s="285">
        <f t="shared" si="37"/>
        <v>6.0205580029367782</v>
      </c>
      <c r="L321">
        <v>12</v>
      </c>
      <c r="M321" s="16">
        <v>43358</v>
      </c>
      <c r="N321" s="16">
        <v>43358</v>
      </c>
      <c r="R321" s="285"/>
    </row>
    <row r="322" spans="1:18">
      <c r="A322" t="s">
        <v>1184</v>
      </c>
      <c r="C322" t="s">
        <v>3661</v>
      </c>
      <c r="D322">
        <v>1.7005999999999999</v>
      </c>
      <c r="E322">
        <v>9.7212999999999994</v>
      </c>
      <c r="F322">
        <v>0.2041</v>
      </c>
      <c r="G322" s="284">
        <f t="shared" si="34"/>
        <v>9.9253999999999998</v>
      </c>
      <c r="H322" s="284">
        <v>9.7326999999999995</v>
      </c>
      <c r="I322" s="284">
        <f>(G322-H322)</f>
        <v>0.19270000000000032</v>
      </c>
      <c r="J322" s="283">
        <f t="shared" si="36"/>
        <v>1.1399999999999688E-2</v>
      </c>
      <c r="K322" s="285">
        <f t="shared" si="37"/>
        <v>5.5854973052423755</v>
      </c>
      <c r="L322">
        <v>18</v>
      </c>
      <c r="M322" s="16">
        <v>43358</v>
      </c>
      <c r="N322" s="16">
        <v>43358</v>
      </c>
      <c r="R322" s="285"/>
    </row>
    <row r="323" spans="1:18">
      <c r="A323" t="s">
        <v>1182</v>
      </c>
      <c r="C323" t="s">
        <v>3428</v>
      </c>
      <c r="D323">
        <v>0.54469999999999996</v>
      </c>
      <c r="E323">
        <v>9.7744999999999997</v>
      </c>
      <c r="F323">
        <v>0.20499999999999999</v>
      </c>
      <c r="G323" s="284">
        <f t="shared" si="34"/>
        <v>9.9794999999999998</v>
      </c>
      <c r="H323" s="284">
        <v>9.8183000000000007</v>
      </c>
      <c r="I323" s="284">
        <f>G323-H323</f>
        <v>0.16119999999999912</v>
      </c>
      <c r="J323" s="283">
        <f t="shared" si="36"/>
        <v>4.3800000000000866E-2</v>
      </c>
      <c r="K323" s="285">
        <f t="shared" si="37"/>
        <v>21.365853658537009</v>
      </c>
      <c r="L323">
        <v>17</v>
      </c>
      <c r="M323" s="16">
        <v>43388</v>
      </c>
      <c r="N323" s="286">
        <v>43389</v>
      </c>
      <c r="O323" s="16"/>
      <c r="R323" s="285"/>
    </row>
    <row r="324" spans="1:18">
      <c r="A324" t="s">
        <v>1180</v>
      </c>
      <c r="C324" t="s">
        <v>3476</v>
      </c>
      <c r="D324">
        <v>0.54679999999999995</v>
      </c>
      <c r="E324">
        <v>11.089499999999999</v>
      </c>
      <c r="F324">
        <v>0.20319999999999999</v>
      </c>
      <c r="G324" s="284">
        <f t="shared" si="34"/>
        <v>11.2927</v>
      </c>
      <c r="H324" s="284">
        <v>11.125</v>
      </c>
      <c r="I324" s="284">
        <f>G324-H324</f>
        <v>0.16769999999999996</v>
      </c>
      <c r="J324" s="283">
        <f t="shared" si="36"/>
        <v>3.5500000000000032E-2</v>
      </c>
      <c r="K324" s="285">
        <f t="shared" si="37"/>
        <v>17.470472440944899</v>
      </c>
      <c r="L324">
        <v>19</v>
      </c>
      <c r="M324" s="286">
        <v>43363</v>
      </c>
      <c r="N324" s="286">
        <v>43364</v>
      </c>
      <c r="R324" s="285"/>
    </row>
    <row r="325" spans="1:18">
      <c r="A325" t="s">
        <v>1178</v>
      </c>
      <c r="C325" t="s">
        <v>3705</v>
      </c>
      <c r="D325">
        <v>1.6744000000000001</v>
      </c>
      <c r="E325">
        <v>8.7622</v>
      </c>
      <c r="F325">
        <v>0.23330000000000001</v>
      </c>
      <c r="G325" s="284">
        <f t="shared" si="34"/>
        <v>8.9954999999999998</v>
      </c>
      <c r="H325" s="284">
        <v>8.7754999999999992</v>
      </c>
      <c r="I325" s="284">
        <f>G325-H325</f>
        <v>0.22000000000000064</v>
      </c>
      <c r="J325" s="283">
        <f t="shared" si="36"/>
        <v>1.3299999999999368E-2</v>
      </c>
      <c r="K325" s="285">
        <f t="shared" si="37"/>
        <v>5.7008144020571656</v>
      </c>
      <c r="L325">
        <v>24</v>
      </c>
      <c r="M325" s="16">
        <v>43395</v>
      </c>
      <c r="N325" s="16">
        <v>43396</v>
      </c>
      <c r="R325" s="285"/>
    </row>
    <row r="326" spans="1:18">
      <c r="A326" t="s">
        <v>1177</v>
      </c>
      <c r="C326" t="s">
        <v>3693</v>
      </c>
      <c r="D326">
        <v>0.50749999999999995</v>
      </c>
      <c r="E326">
        <v>10.617800000000001</v>
      </c>
      <c r="F326">
        <v>0.21629999999999999</v>
      </c>
      <c r="G326" s="284">
        <f t="shared" si="34"/>
        <v>10.834100000000001</v>
      </c>
      <c r="H326" s="284">
        <v>10.649900000000001</v>
      </c>
      <c r="I326" s="284">
        <f>(G326-H326)</f>
        <v>0.18420000000000059</v>
      </c>
      <c r="J326" s="283">
        <f t="shared" si="36"/>
        <v>3.2099999999999407E-2</v>
      </c>
      <c r="K326" s="285">
        <f t="shared" si="37"/>
        <v>14.840499306518451</v>
      </c>
      <c r="L326">
        <v>20</v>
      </c>
      <c r="M326" s="286">
        <v>43360</v>
      </c>
      <c r="N326" s="286">
        <v>43361</v>
      </c>
      <c r="R326" s="285"/>
    </row>
    <row r="327" spans="1:18">
      <c r="A327" t="s">
        <v>1176</v>
      </c>
      <c r="C327" t="s">
        <v>3754</v>
      </c>
      <c r="D327">
        <v>1.1621999999999999</v>
      </c>
      <c r="E327">
        <v>8.0650999999999993</v>
      </c>
      <c r="F327">
        <v>0.21479999999999999</v>
      </c>
      <c r="G327" s="284">
        <f t="shared" si="34"/>
        <v>8.2798999999999996</v>
      </c>
      <c r="H327" s="284">
        <v>8.0850000000000009</v>
      </c>
      <c r="I327" s="284">
        <f t="shared" ref="I327:I335" si="39">G327-H327</f>
        <v>0.19489999999999874</v>
      </c>
      <c r="J327" s="283">
        <f t="shared" si="36"/>
        <v>1.990000000000125E-2</v>
      </c>
      <c r="K327" s="285">
        <f t="shared" si="37"/>
        <v>9.2644320297957403</v>
      </c>
      <c r="L327">
        <v>14</v>
      </c>
      <c r="M327" s="286">
        <v>43363</v>
      </c>
      <c r="N327" s="286">
        <v>43364</v>
      </c>
      <c r="O327" s="283" t="s">
        <v>3756</v>
      </c>
      <c r="R327" s="285"/>
    </row>
    <row r="328" spans="1:18">
      <c r="A328" t="s">
        <v>1171</v>
      </c>
      <c r="C328" t="s">
        <v>3779</v>
      </c>
      <c r="D328">
        <v>1.7639</v>
      </c>
      <c r="E328">
        <v>8.1178000000000008</v>
      </c>
      <c r="F328">
        <v>0.21160000000000001</v>
      </c>
      <c r="G328" s="284">
        <f t="shared" si="34"/>
        <v>8.3294000000000015</v>
      </c>
      <c r="H328" s="284">
        <v>8.1304999999999996</v>
      </c>
      <c r="I328" s="284">
        <f t="shared" si="39"/>
        <v>0.19890000000000185</v>
      </c>
      <c r="J328" s="283">
        <f t="shared" si="36"/>
        <v>1.2699999999998157E-2</v>
      </c>
      <c r="K328" s="285">
        <f t="shared" si="37"/>
        <v>6.0018903591673709</v>
      </c>
      <c r="L328">
        <v>39</v>
      </c>
      <c r="M328">
        <v>23.101800000000001</v>
      </c>
      <c r="N328" s="16">
        <v>43397</v>
      </c>
      <c r="R328" s="285"/>
    </row>
    <row r="329" spans="1:18">
      <c r="A329" t="s">
        <v>1962</v>
      </c>
      <c r="C329" t="s">
        <v>3700</v>
      </c>
      <c r="D329">
        <v>1.7779</v>
      </c>
      <c r="E329">
        <v>8.7691999999999997</v>
      </c>
      <c r="F329">
        <v>0.21510000000000001</v>
      </c>
      <c r="G329" s="284">
        <f t="shared" si="34"/>
        <v>8.9842999999999993</v>
      </c>
      <c r="H329" s="284">
        <v>8.7835999999999999</v>
      </c>
      <c r="I329" s="284">
        <f t="shared" si="39"/>
        <v>0.20069999999999943</v>
      </c>
      <c r="J329" s="283">
        <f t="shared" si="36"/>
        <v>1.4400000000000579E-2</v>
      </c>
      <c r="K329" s="285">
        <f t="shared" si="37"/>
        <v>6.6945606694563358</v>
      </c>
      <c r="L329">
        <v>36</v>
      </c>
      <c r="M329" s="286">
        <v>43360</v>
      </c>
      <c r="N329" s="286">
        <v>43361</v>
      </c>
      <c r="R329" s="285"/>
    </row>
    <row r="330" spans="1:18">
      <c r="A330" t="s">
        <v>1960</v>
      </c>
      <c r="B330">
        <v>194</v>
      </c>
      <c r="D330">
        <v>0.54149999999999998</v>
      </c>
      <c r="E330">
        <v>10.521800000000001</v>
      </c>
      <c r="F330">
        <v>0.20230000000000001</v>
      </c>
      <c r="G330" s="284">
        <f t="shared" si="34"/>
        <v>10.7241</v>
      </c>
      <c r="H330" s="284">
        <v>10.5532</v>
      </c>
      <c r="I330" s="284">
        <f t="shared" si="39"/>
        <v>0.17089999999999961</v>
      </c>
      <c r="J330" s="283">
        <f t="shared" si="36"/>
        <v>3.14000000000004E-2</v>
      </c>
      <c r="K330" s="285">
        <f t="shared" si="37"/>
        <v>15.52150271873475</v>
      </c>
      <c r="L330">
        <v>9</v>
      </c>
      <c r="M330" s="16">
        <v>43395</v>
      </c>
      <c r="N330" s="16">
        <v>43396</v>
      </c>
      <c r="R330" s="285"/>
    </row>
    <row r="331" spans="1:18">
      <c r="A331" t="s">
        <v>1959</v>
      </c>
      <c r="C331" t="s">
        <v>3727</v>
      </c>
      <c r="D331">
        <v>1.7264999999999999</v>
      </c>
      <c r="E331">
        <v>7.8612000000000002</v>
      </c>
      <c r="F331">
        <v>0.21329999999999999</v>
      </c>
      <c r="G331" s="284">
        <f t="shared" si="34"/>
        <v>8.0745000000000005</v>
      </c>
      <c r="H331" s="284">
        <v>7.8733000000000004</v>
      </c>
      <c r="I331" s="284">
        <f t="shared" si="39"/>
        <v>0.20120000000000005</v>
      </c>
      <c r="J331" s="283">
        <f t="shared" si="36"/>
        <v>1.2099999999999944E-2</v>
      </c>
      <c r="K331" s="285">
        <f t="shared" si="37"/>
        <v>5.6727613689638741</v>
      </c>
      <c r="L331">
        <v>29</v>
      </c>
      <c r="M331" s="16">
        <v>43381</v>
      </c>
      <c r="N331" s="16">
        <v>43382</v>
      </c>
      <c r="R331" s="285"/>
    </row>
    <row r="332" spans="1:18">
      <c r="A332" t="s">
        <v>1958</v>
      </c>
      <c r="B332">
        <v>209</v>
      </c>
      <c r="C332" t="s">
        <v>2504</v>
      </c>
      <c r="D332">
        <v>0.57469999999999999</v>
      </c>
      <c r="E332">
        <v>10.567600000000001</v>
      </c>
      <c r="F332">
        <v>0.2059</v>
      </c>
      <c r="G332" s="284">
        <f t="shared" si="34"/>
        <v>10.7735</v>
      </c>
      <c r="H332" s="284">
        <v>10.603400000000001</v>
      </c>
      <c r="I332" s="284">
        <f t="shared" si="39"/>
        <v>0.1700999999999997</v>
      </c>
      <c r="J332" s="283">
        <f t="shared" si="36"/>
        <v>3.5800000000000304E-2</v>
      </c>
      <c r="K332" s="285">
        <f t="shared" si="37"/>
        <v>17.387081107333806</v>
      </c>
      <c r="L332">
        <v>12</v>
      </c>
      <c r="M332" s="16">
        <v>43399</v>
      </c>
      <c r="N332" s="16">
        <v>43400</v>
      </c>
      <c r="R332" s="285"/>
    </row>
    <row r="333" spans="1:18">
      <c r="A333" t="s">
        <v>1957</v>
      </c>
      <c r="B333">
        <v>210</v>
      </c>
      <c r="D333">
        <v>0.63739999999999997</v>
      </c>
      <c r="E333">
        <v>10.117599999999999</v>
      </c>
      <c r="F333">
        <v>0.217</v>
      </c>
      <c r="G333" s="284">
        <f t="shared" si="34"/>
        <v>10.3346</v>
      </c>
      <c r="H333" s="284">
        <v>10.147600000000001</v>
      </c>
      <c r="I333" s="284">
        <f t="shared" si="39"/>
        <v>0.18699999999999939</v>
      </c>
      <c r="J333" s="283">
        <f t="shared" si="36"/>
        <v>3.000000000000061E-2</v>
      </c>
      <c r="K333" s="285">
        <f t="shared" si="37"/>
        <v>13.82488479262701</v>
      </c>
      <c r="L333">
        <v>7</v>
      </c>
      <c r="M333" s="16">
        <v>43395</v>
      </c>
      <c r="N333" s="16">
        <v>43396</v>
      </c>
      <c r="R333" s="285"/>
    </row>
    <row r="334" spans="1:18">
      <c r="A334" t="s">
        <v>1956</v>
      </c>
      <c r="B334">
        <v>209</v>
      </c>
      <c r="C334" t="s">
        <v>2504</v>
      </c>
      <c r="D334">
        <v>0.58240000000000003</v>
      </c>
      <c r="E334">
        <v>11.8644</v>
      </c>
      <c r="F334">
        <v>0.2021</v>
      </c>
      <c r="G334">
        <f t="shared" si="34"/>
        <v>12.0665</v>
      </c>
      <c r="H334">
        <v>11.903700000000001</v>
      </c>
      <c r="I334" s="284">
        <f t="shared" si="39"/>
        <v>0.16279999999999895</v>
      </c>
      <c r="J334" s="283">
        <f t="shared" si="36"/>
        <v>3.9300000000001056E-2</v>
      </c>
      <c r="K334" s="285">
        <f t="shared" si="37"/>
        <v>19.445818901534416</v>
      </c>
      <c r="L334">
        <v>7</v>
      </c>
      <c r="M334" s="16">
        <v>43402</v>
      </c>
      <c r="N334" s="16">
        <v>43403</v>
      </c>
      <c r="R334" s="285"/>
    </row>
    <row r="335" spans="1:18">
      <c r="A335" t="s">
        <v>1955</v>
      </c>
      <c r="B335">
        <v>216</v>
      </c>
      <c r="D335">
        <v>0.63270000000000004</v>
      </c>
      <c r="E335">
        <v>8.1205999999999996</v>
      </c>
      <c r="F335">
        <v>0.23319999999999999</v>
      </c>
      <c r="G335" s="284">
        <f t="shared" si="34"/>
        <v>8.3537999999999997</v>
      </c>
      <c r="H335" s="284">
        <v>8.1773000000000007</v>
      </c>
      <c r="I335" s="284">
        <f t="shared" si="39"/>
        <v>0.17649999999999899</v>
      </c>
      <c r="J335" s="283">
        <f t="shared" si="36"/>
        <v>5.6700000000001E-2</v>
      </c>
      <c r="K335" s="285">
        <f t="shared" si="37"/>
        <v>24.313893653516725</v>
      </c>
      <c r="L335">
        <v>34</v>
      </c>
      <c r="M335" s="16">
        <v>43395</v>
      </c>
      <c r="N335" s="16">
        <v>43396</v>
      </c>
      <c r="R335" s="285"/>
    </row>
    <row r="336" spans="1:18">
      <c r="A336" t="s">
        <v>1954</v>
      </c>
      <c r="C336" t="s">
        <v>3720</v>
      </c>
      <c r="D336">
        <f>0.3786+0.2037</f>
        <v>0.58230000000000004</v>
      </c>
      <c r="E336">
        <v>7.5293999999999999</v>
      </c>
      <c r="F336">
        <v>0.20369999999999999</v>
      </c>
      <c r="G336" s="284">
        <f t="shared" si="34"/>
        <v>7.7331000000000003</v>
      </c>
      <c r="H336" s="284">
        <v>7.5602</v>
      </c>
      <c r="I336" s="284">
        <f>(G336-H336)</f>
        <v>0.17290000000000028</v>
      </c>
      <c r="J336" s="283">
        <f t="shared" si="36"/>
        <v>3.0799999999999716E-2</v>
      </c>
      <c r="K336" s="285">
        <f t="shared" si="37"/>
        <v>15.120274914089208</v>
      </c>
      <c r="L336">
        <v>28</v>
      </c>
      <c r="M336" s="286">
        <v>43360</v>
      </c>
      <c r="N336" s="286">
        <v>43361</v>
      </c>
      <c r="O336" s="283" t="s">
        <v>3707</v>
      </c>
      <c r="R336" s="285"/>
    </row>
    <row r="337" spans="1:18">
      <c r="A337" t="s">
        <v>1953</v>
      </c>
      <c r="C337" t="s">
        <v>3669</v>
      </c>
      <c r="D337">
        <v>1.6101000000000001</v>
      </c>
      <c r="E337">
        <v>8.7728999999999999</v>
      </c>
      <c r="F337">
        <v>0.2054</v>
      </c>
      <c r="G337" s="284">
        <f t="shared" si="34"/>
        <v>8.9782999999999991</v>
      </c>
      <c r="H337" s="284">
        <v>8.7844999999999995</v>
      </c>
      <c r="I337" s="284">
        <f>(G337-H337)</f>
        <v>0.19379999999999953</v>
      </c>
      <c r="J337" s="283">
        <f t="shared" si="36"/>
        <v>1.1600000000000471E-2</v>
      </c>
      <c r="K337" s="285">
        <f t="shared" si="37"/>
        <v>5.6475170399223327</v>
      </c>
      <c r="L337">
        <v>16</v>
      </c>
      <c r="M337" s="286">
        <v>43355.625</v>
      </c>
      <c r="N337" s="286">
        <v>43355.791666666664</v>
      </c>
      <c r="O337" s="283" t="s">
        <v>3659</v>
      </c>
      <c r="R337" s="285"/>
    </row>
    <row r="338" spans="1:18">
      <c r="A338" t="s">
        <v>1951</v>
      </c>
      <c r="C338" t="s">
        <v>3705</v>
      </c>
      <c r="D338">
        <v>1.7537</v>
      </c>
      <c r="E338">
        <v>9.3231999999999999</v>
      </c>
      <c r="F338">
        <v>0.2157</v>
      </c>
      <c r="G338" s="284">
        <f t="shared" si="34"/>
        <v>9.5388999999999999</v>
      </c>
      <c r="H338" s="284">
        <v>9.3364999999999991</v>
      </c>
      <c r="I338" s="284">
        <f t="shared" ref="I338:I350" si="40">G338-H338</f>
        <v>0.2024000000000008</v>
      </c>
      <c r="J338" s="283">
        <f t="shared" si="36"/>
        <v>1.3299999999999201E-2</v>
      </c>
      <c r="K338" s="285">
        <f t="shared" si="37"/>
        <v>6.1659712563742239</v>
      </c>
      <c r="L338">
        <v>6</v>
      </c>
      <c r="M338" s="16">
        <v>43399</v>
      </c>
      <c r="N338" s="16">
        <v>43400</v>
      </c>
      <c r="R338" s="285"/>
    </row>
    <row r="339" spans="1:18">
      <c r="A339" t="s">
        <v>1035</v>
      </c>
      <c r="C339" t="s">
        <v>3705</v>
      </c>
      <c r="D339">
        <v>1.8883000000000001</v>
      </c>
      <c r="E339">
        <v>11.173299999999999</v>
      </c>
      <c r="F339">
        <v>0.20080000000000001</v>
      </c>
      <c r="G339" s="288">
        <f t="shared" si="34"/>
        <v>11.374099999999999</v>
      </c>
      <c r="H339" s="284">
        <v>11.1785</v>
      </c>
      <c r="I339" s="288">
        <f t="shared" si="40"/>
        <v>0.19559999999999889</v>
      </c>
      <c r="J339" s="283">
        <f t="shared" si="36"/>
        <v>5.2000000000011204E-3</v>
      </c>
      <c r="K339" s="285">
        <f t="shared" si="37"/>
        <v>2.5896414342635063</v>
      </c>
      <c r="L339">
        <v>8</v>
      </c>
      <c r="M339" s="286">
        <v>43379</v>
      </c>
      <c r="N339" s="286">
        <v>43379</v>
      </c>
      <c r="O339" s="283"/>
      <c r="R339" s="285"/>
    </row>
    <row r="340" spans="1:18">
      <c r="A340" t="s">
        <v>1033</v>
      </c>
      <c r="C340" t="s">
        <v>3778</v>
      </c>
      <c r="D340">
        <v>1.8230999999999999</v>
      </c>
      <c r="E340">
        <v>8.1364999999999998</v>
      </c>
      <c r="F340">
        <v>0.20499999999999999</v>
      </c>
      <c r="G340" s="284">
        <f t="shared" si="34"/>
        <v>8.3414999999999999</v>
      </c>
      <c r="H340" s="284">
        <v>8.1417999999999999</v>
      </c>
      <c r="I340" s="284">
        <f t="shared" si="40"/>
        <v>0.19969999999999999</v>
      </c>
      <c r="J340" s="283">
        <f t="shared" si="36"/>
        <v>5.2999999999999992E-3</v>
      </c>
      <c r="K340" s="285">
        <f t="shared" si="37"/>
        <v>2.5853658536585367</v>
      </c>
      <c r="L340">
        <v>10</v>
      </c>
      <c r="M340" s="16">
        <v>43381</v>
      </c>
      <c r="N340" s="16">
        <v>43382</v>
      </c>
      <c r="R340" s="285"/>
    </row>
    <row r="341" spans="1:18">
      <c r="A341" t="s">
        <v>1025</v>
      </c>
      <c r="C341" t="s">
        <v>3476</v>
      </c>
      <c r="D341">
        <v>1.8302</v>
      </c>
      <c r="E341">
        <v>11.121</v>
      </c>
      <c r="F341">
        <v>0.2064</v>
      </c>
      <c r="G341" s="284">
        <f t="shared" ref="G341:G404" si="41">E341+F341</f>
        <v>11.327400000000001</v>
      </c>
      <c r="H341" s="284">
        <v>11.135999999999999</v>
      </c>
      <c r="I341" s="284">
        <f t="shared" si="40"/>
        <v>0.19140000000000157</v>
      </c>
      <c r="J341" s="283">
        <f t="shared" si="36"/>
        <v>1.4999999999998431E-2</v>
      </c>
      <c r="K341" s="285">
        <f t="shared" si="37"/>
        <v>7.2674418604643565</v>
      </c>
      <c r="L341">
        <v>17</v>
      </c>
      <c r="M341" s="286">
        <v>43374</v>
      </c>
      <c r="N341" s="286">
        <v>43375</v>
      </c>
      <c r="O341" s="283" t="s">
        <v>3730</v>
      </c>
      <c r="R341" s="285"/>
    </row>
    <row r="342" spans="1:18">
      <c r="A342" t="s">
        <v>1023</v>
      </c>
      <c r="C342" t="s">
        <v>3498</v>
      </c>
      <c r="D342">
        <v>0.50219999999999998</v>
      </c>
      <c r="E342">
        <v>7.4756</v>
      </c>
      <c r="F342">
        <v>0.20219999999999999</v>
      </c>
      <c r="G342" s="284">
        <f t="shared" si="41"/>
        <v>7.6778000000000004</v>
      </c>
      <c r="H342" s="284">
        <v>7.6318000000000001</v>
      </c>
      <c r="I342" s="284">
        <f t="shared" si="40"/>
        <v>4.6000000000000263E-2</v>
      </c>
      <c r="J342" s="283">
        <f t="shared" si="36"/>
        <v>0.15619999999999973</v>
      </c>
      <c r="K342" s="285">
        <f t="shared" si="37"/>
        <v>77.250247279920742</v>
      </c>
      <c r="L342">
        <v>26</v>
      </c>
      <c r="M342" s="286">
        <v>43374</v>
      </c>
      <c r="N342" s="286">
        <v>43375</v>
      </c>
      <c r="O342" s="283" t="s">
        <v>3730</v>
      </c>
      <c r="R342" s="285"/>
    </row>
    <row r="343" spans="1:18">
      <c r="A343" t="s">
        <v>1014</v>
      </c>
      <c r="C343" t="s">
        <v>3416</v>
      </c>
      <c r="D343">
        <v>1.6020000000000001</v>
      </c>
      <c r="E343">
        <v>10.5227</v>
      </c>
      <c r="F343">
        <v>0.20680000000000001</v>
      </c>
      <c r="G343">
        <f t="shared" si="41"/>
        <v>10.7295</v>
      </c>
      <c r="H343">
        <v>10.5566</v>
      </c>
      <c r="I343" s="284">
        <f t="shared" si="40"/>
        <v>0.17290000000000028</v>
      </c>
      <c r="J343" s="283">
        <f t="shared" si="36"/>
        <v>3.3899999999999736E-2</v>
      </c>
      <c r="K343" s="285">
        <f t="shared" si="37"/>
        <v>16.392649903288074</v>
      </c>
      <c r="L343">
        <v>14</v>
      </c>
      <c r="M343" s="16">
        <v>43399</v>
      </c>
      <c r="N343" s="16">
        <v>43400</v>
      </c>
      <c r="R343" s="285"/>
    </row>
    <row r="344" spans="1:18">
      <c r="A344" t="s">
        <v>1128</v>
      </c>
      <c r="C344" t="s">
        <v>3695</v>
      </c>
      <c r="D344">
        <v>0.38569999999999999</v>
      </c>
      <c r="E344">
        <v>9.1988000000000003</v>
      </c>
      <c r="F344">
        <v>0.20050000000000001</v>
      </c>
      <c r="G344" s="284">
        <f t="shared" si="41"/>
        <v>9.3993000000000002</v>
      </c>
      <c r="H344" s="284">
        <v>9.3762000000000008</v>
      </c>
      <c r="I344" s="284">
        <f t="shared" si="40"/>
        <v>2.3099999999999454E-2</v>
      </c>
      <c r="J344" s="283">
        <f t="shared" si="36"/>
        <v>0.17740000000000056</v>
      </c>
      <c r="K344" s="285">
        <f t="shared" si="37"/>
        <v>88.478802992518979</v>
      </c>
      <c r="L344">
        <v>8</v>
      </c>
      <c r="M344" s="16">
        <v>43399</v>
      </c>
      <c r="N344" s="16">
        <v>43400</v>
      </c>
      <c r="R344" s="285"/>
    </row>
    <row r="345" spans="1:18">
      <c r="A345" t="s">
        <v>1010</v>
      </c>
      <c r="B345">
        <v>197</v>
      </c>
      <c r="D345">
        <v>1.4252</v>
      </c>
      <c r="E345">
        <v>11.1074</v>
      </c>
      <c r="F345">
        <v>0.2205</v>
      </c>
      <c r="G345" s="284">
        <f t="shared" si="41"/>
        <v>11.3279</v>
      </c>
      <c r="H345" s="284">
        <v>11.1258</v>
      </c>
      <c r="I345" s="284">
        <f t="shared" si="40"/>
        <v>0.20209999999999972</v>
      </c>
      <c r="J345" s="283">
        <f t="shared" si="36"/>
        <v>1.8400000000000277E-2</v>
      </c>
      <c r="K345" s="285">
        <f t="shared" si="37"/>
        <v>8.3446712018141849</v>
      </c>
      <c r="L345">
        <v>34</v>
      </c>
      <c r="M345" s="16">
        <v>43388</v>
      </c>
      <c r="N345" s="286">
        <v>43389</v>
      </c>
      <c r="O345" s="16"/>
      <c r="R345" s="285"/>
    </row>
    <row r="346" spans="1:18">
      <c r="A346" t="s">
        <v>1001</v>
      </c>
      <c r="C346" t="s">
        <v>3686</v>
      </c>
      <c r="D346" s="283">
        <v>1.8002</v>
      </c>
      <c r="E346" s="284">
        <v>9.2352000000000007</v>
      </c>
      <c r="F346" s="284">
        <v>0.21190000000000001</v>
      </c>
      <c r="G346" s="284">
        <f t="shared" si="41"/>
        <v>9.4471000000000007</v>
      </c>
      <c r="H346" s="284">
        <v>9.2417999999999996</v>
      </c>
      <c r="I346" s="284">
        <f t="shared" si="40"/>
        <v>0.20530000000000115</v>
      </c>
      <c r="J346" s="283">
        <f t="shared" si="36"/>
        <v>6.5999999999988568E-3</v>
      </c>
      <c r="K346" s="285">
        <f t="shared" si="37"/>
        <v>3.1146767343080963</v>
      </c>
      <c r="L346" s="283">
        <v>1</v>
      </c>
      <c r="M346" s="286">
        <v>43363</v>
      </c>
      <c r="N346" s="286">
        <v>43364</v>
      </c>
      <c r="O346" s="283" t="s">
        <v>3756</v>
      </c>
      <c r="P346" s="283"/>
      <c r="R346" s="285"/>
    </row>
    <row r="347" spans="1:18">
      <c r="A347" t="s">
        <v>979</v>
      </c>
      <c r="C347" t="s">
        <v>3742</v>
      </c>
      <c r="D347">
        <v>1.7994000000000001</v>
      </c>
      <c r="E347">
        <v>9.3194999999999997</v>
      </c>
      <c r="F347">
        <v>0.20300000000000001</v>
      </c>
      <c r="G347" s="284">
        <f t="shared" si="41"/>
        <v>9.5224999999999991</v>
      </c>
      <c r="H347" s="284">
        <v>9.3268000000000004</v>
      </c>
      <c r="I347" s="284">
        <f t="shared" si="40"/>
        <v>0.19569999999999865</v>
      </c>
      <c r="J347" s="283">
        <f t="shared" si="36"/>
        <v>7.300000000001361E-3</v>
      </c>
      <c r="K347" s="285">
        <f t="shared" si="37"/>
        <v>3.596059113301163</v>
      </c>
      <c r="L347">
        <v>35</v>
      </c>
      <c r="M347">
        <v>23.101800000000001</v>
      </c>
      <c r="N347" s="16">
        <v>43397</v>
      </c>
      <c r="R347" s="285"/>
    </row>
    <row r="348" spans="1:18">
      <c r="A348" t="s">
        <v>978</v>
      </c>
      <c r="C348" t="s">
        <v>3776</v>
      </c>
      <c r="D348">
        <v>1.8096000000000001</v>
      </c>
      <c r="E348">
        <v>10.145899999999999</v>
      </c>
      <c r="F348">
        <v>0.20499999999999999</v>
      </c>
      <c r="G348" s="284">
        <f t="shared" si="41"/>
        <v>10.350899999999999</v>
      </c>
      <c r="H348" s="284">
        <v>10.1517</v>
      </c>
      <c r="I348" s="284">
        <f t="shared" si="40"/>
        <v>0.19919999999999938</v>
      </c>
      <c r="J348" s="283">
        <f t="shared" ref="J348:J411" si="42">F348-I348</f>
        <v>5.8000000000006102E-3</v>
      </c>
      <c r="K348" s="285">
        <f t="shared" ref="K348:K411" si="43">(J348/F348)*100</f>
        <v>2.8292682926832247</v>
      </c>
      <c r="L348">
        <v>3</v>
      </c>
      <c r="M348" s="16">
        <v>43388</v>
      </c>
      <c r="N348" s="286">
        <v>43389</v>
      </c>
      <c r="O348" s="286"/>
      <c r="P348" s="283"/>
      <c r="R348" s="285"/>
    </row>
    <row r="349" spans="1:18">
      <c r="A349" t="s">
        <v>971</v>
      </c>
      <c r="C349" t="s">
        <v>3476</v>
      </c>
      <c r="D349">
        <v>1.5750999999999999</v>
      </c>
      <c r="E349">
        <v>8.2200000000000006</v>
      </c>
      <c r="F349">
        <v>0.21540000000000001</v>
      </c>
      <c r="G349" s="284">
        <f t="shared" si="41"/>
        <v>8.4354000000000013</v>
      </c>
      <c r="H349" s="284">
        <v>8.2370999999999999</v>
      </c>
      <c r="I349" s="284">
        <f t="shared" si="40"/>
        <v>0.19830000000000148</v>
      </c>
      <c r="J349" s="283">
        <f t="shared" si="42"/>
        <v>1.7099999999998533E-2</v>
      </c>
      <c r="K349" s="285">
        <f t="shared" si="43"/>
        <v>7.9387186629519642</v>
      </c>
      <c r="L349">
        <v>31</v>
      </c>
      <c r="M349" s="286">
        <v>43374</v>
      </c>
      <c r="N349" s="286">
        <v>43375</v>
      </c>
      <c r="O349" s="283" t="s">
        <v>3730</v>
      </c>
      <c r="R349" s="285"/>
    </row>
    <row r="350" spans="1:18">
      <c r="A350" t="s">
        <v>968</v>
      </c>
      <c r="C350" t="s">
        <v>3763</v>
      </c>
      <c r="D350">
        <v>1.3748</v>
      </c>
      <c r="E350">
        <v>10.567399999999999</v>
      </c>
      <c r="F350">
        <v>0.22450000000000001</v>
      </c>
      <c r="G350" s="284">
        <f t="shared" si="41"/>
        <v>10.7919</v>
      </c>
      <c r="H350" s="284">
        <v>10.5876</v>
      </c>
      <c r="I350" s="284">
        <f t="shared" si="40"/>
        <v>0.20429999999999993</v>
      </c>
      <c r="J350" s="283">
        <f t="shared" si="42"/>
        <v>2.0200000000000079E-2</v>
      </c>
      <c r="K350" s="285">
        <f t="shared" si="43"/>
        <v>8.9977728285078307</v>
      </c>
      <c r="L350">
        <v>2</v>
      </c>
      <c r="M350" s="286">
        <v>43374</v>
      </c>
      <c r="N350" s="286">
        <v>43375</v>
      </c>
      <c r="O350" s="283" t="s">
        <v>3730</v>
      </c>
      <c r="R350" s="285"/>
    </row>
    <row r="351" spans="1:18">
      <c r="A351" t="s">
        <v>967</v>
      </c>
      <c r="C351" t="s">
        <v>3666</v>
      </c>
      <c r="D351">
        <v>1.8367</v>
      </c>
      <c r="E351">
        <v>10.702299999999999</v>
      </c>
      <c r="F351">
        <v>0.19900000000000001</v>
      </c>
      <c r="G351" s="284">
        <f t="shared" si="41"/>
        <v>10.901299999999999</v>
      </c>
      <c r="H351" s="284">
        <v>10.707800000000001</v>
      </c>
      <c r="I351" s="284">
        <f>(G351-H351)</f>
        <v>0.19349999999999845</v>
      </c>
      <c r="J351" s="283">
        <f t="shared" si="42"/>
        <v>5.5000000000015592E-3</v>
      </c>
      <c r="K351" s="285">
        <f t="shared" si="43"/>
        <v>2.7638190954781701</v>
      </c>
      <c r="L351">
        <v>4</v>
      </c>
      <c r="M351" s="16">
        <v>43358</v>
      </c>
      <c r="N351" s="16">
        <v>43358</v>
      </c>
      <c r="R351" s="285"/>
    </row>
    <row r="352" spans="1:18">
      <c r="A352" t="s">
        <v>966</v>
      </c>
      <c r="C352" t="s">
        <v>3461</v>
      </c>
      <c r="D352">
        <v>1.6423000000000001</v>
      </c>
      <c r="E352">
        <v>19.650099999999998</v>
      </c>
      <c r="F352">
        <v>0.21940000000000001</v>
      </c>
      <c r="G352" s="284">
        <f t="shared" si="41"/>
        <v>19.869499999999999</v>
      </c>
      <c r="H352" s="284">
        <v>19.6755</v>
      </c>
      <c r="I352" s="284">
        <f>G352-H352</f>
        <v>0.19399999999999906</v>
      </c>
      <c r="J352" s="283">
        <f t="shared" si="42"/>
        <v>2.540000000000095E-2</v>
      </c>
      <c r="K352" s="285">
        <f t="shared" si="43"/>
        <v>11.577028258888308</v>
      </c>
      <c r="L352">
        <v>40</v>
      </c>
      <c r="M352" s="286">
        <v>43363</v>
      </c>
      <c r="N352" s="286">
        <v>43364</v>
      </c>
      <c r="O352" s="283" t="s">
        <v>3756</v>
      </c>
      <c r="R352" s="285"/>
    </row>
    <row r="353" spans="1:18">
      <c r="A353" t="s">
        <v>963</v>
      </c>
      <c r="B353">
        <v>219</v>
      </c>
      <c r="C353" t="s">
        <v>2504</v>
      </c>
      <c r="D353">
        <v>1.6102000000000001</v>
      </c>
      <c r="E353">
        <v>10.056800000000001</v>
      </c>
      <c r="F353">
        <v>0.20169999999999999</v>
      </c>
      <c r="G353" s="284">
        <f t="shared" si="41"/>
        <v>10.258500000000002</v>
      </c>
      <c r="H353" s="284">
        <v>10.0954</v>
      </c>
      <c r="I353" s="284">
        <f>G353-H353</f>
        <v>0.1631000000000018</v>
      </c>
      <c r="J353" s="283">
        <f t="shared" si="42"/>
        <v>3.8599999999998191E-2</v>
      </c>
      <c r="K353" s="285">
        <f t="shared" si="43"/>
        <v>19.137332672284675</v>
      </c>
      <c r="L353">
        <v>24</v>
      </c>
      <c r="M353">
        <v>23.101800000000001</v>
      </c>
      <c r="N353" s="16">
        <v>43397</v>
      </c>
      <c r="R353" s="285"/>
    </row>
    <row r="354" spans="1:18">
      <c r="A354" t="s">
        <v>962</v>
      </c>
      <c r="C354" t="s">
        <v>3459</v>
      </c>
      <c r="D354">
        <v>1.5268999999999999</v>
      </c>
      <c r="E354">
        <v>10.541600000000001</v>
      </c>
      <c r="F354">
        <v>0.2069</v>
      </c>
      <c r="G354" s="284">
        <f t="shared" si="41"/>
        <v>10.7485</v>
      </c>
      <c r="H354" s="284">
        <v>10.5534</v>
      </c>
      <c r="I354" s="284">
        <f>G354-H354</f>
        <v>0.19510000000000005</v>
      </c>
      <c r="J354" s="283">
        <f t="shared" si="42"/>
        <v>1.1799999999999949E-2</v>
      </c>
      <c r="K354" s="285">
        <f t="shared" si="43"/>
        <v>5.7032382793619867</v>
      </c>
      <c r="L354">
        <v>26</v>
      </c>
      <c r="M354" s="286">
        <v>43362</v>
      </c>
      <c r="N354" s="286">
        <v>43363</v>
      </c>
      <c r="R354" s="285"/>
    </row>
    <row r="355" spans="1:18">
      <c r="A355" t="s">
        <v>1123</v>
      </c>
      <c r="C355" t="s">
        <v>3472</v>
      </c>
      <c r="D355">
        <v>0.83740000000000003</v>
      </c>
      <c r="E355">
        <v>9.4870999999999999</v>
      </c>
      <c r="F355">
        <v>0.2258</v>
      </c>
      <c r="G355" s="284">
        <f t="shared" si="41"/>
        <v>9.7128999999999994</v>
      </c>
      <c r="H355" s="284">
        <v>9.6941000000000006</v>
      </c>
      <c r="I355" s="284">
        <f>G355-H355</f>
        <v>1.8799999999998818E-2</v>
      </c>
      <c r="J355" s="283">
        <f t="shared" si="42"/>
        <v>0.20700000000000118</v>
      </c>
      <c r="K355" s="285">
        <f t="shared" si="43"/>
        <v>91.674047829938516</v>
      </c>
      <c r="L355">
        <v>22</v>
      </c>
      <c r="M355" s="16">
        <v>43381</v>
      </c>
      <c r="N355" s="16">
        <v>43382</v>
      </c>
      <c r="R355" s="285"/>
    </row>
    <row r="356" spans="1:18">
      <c r="A356" t="s">
        <v>961</v>
      </c>
      <c r="C356" t="s">
        <v>3697</v>
      </c>
      <c r="D356">
        <v>1.8092999999999999</v>
      </c>
      <c r="E356">
        <v>9.8216000000000001</v>
      </c>
      <c r="F356">
        <v>0.2099</v>
      </c>
      <c r="G356" s="284">
        <f t="shared" si="41"/>
        <v>10.031499999999999</v>
      </c>
      <c r="H356" s="284">
        <v>9.8270999999999997</v>
      </c>
      <c r="I356" s="284">
        <f>(G356-H356)</f>
        <v>0.20439999999999969</v>
      </c>
      <c r="J356" s="283">
        <f t="shared" si="42"/>
        <v>5.5000000000003102E-3</v>
      </c>
      <c r="K356" s="285">
        <f t="shared" si="43"/>
        <v>2.6202953787519343</v>
      </c>
      <c r="L356">
        <v>25</v>
      </c>
      <c r="M356" s="286">
        <v>43360</v>
      </c>
      <c r="N356" s="286">
        <v>43361</v>
      </c>
      <c r="O356" s="283" t="s">
        <v>3707</v>
      </c>
      <c r="R356" s="285"/>
    </row>
    <row r="357" spans="1:18">
      <c r="A357" t="s">
        <v>961</v>
      </c>
      <c r="C357" t="s">
        <v>3785</v>
      </c>
      <c r="D357">
        <v>1.3980999999999999</v>
      </c>
      <c r="E357">
        <v>7.907</v>
      </c>
      <c r="F357">
        <v>0.2135</v>
      </c>
      <c r="G357" s="284">
        <f t="shared" si="41"/>
        <v>8.1204999999999998</v>
      </c>
      <c r="H357" s="284">
        <v>7.9187000000000003</v>
      </c>
      <c r="I357" s="284">
        <f>G357-H357</f>
        <v>0.20179999999999954</v>
      </c>
      <c r="J357" s="283">
        <f t="shared" si="42"/>
        <v>1.170000000000046E-2</v>
      </c>
      <c r="K357" s="285">
        <f t="shared" si="43"/>
        <v>5.480093676815204</v>
      </c>
      <c r="L357">
        <v>26</v>
      </c>
      <c r="M357" s="16">
        <v>43395</v>
      </c>
      <c r="N357" s="16">
        <v>43396</v>
      </c>
      <c r="R357" s="285"/>
    </row>
    <row r="358" spans="1:18">
      <c r="A358" t="s">
        <v>957</v>
      </c>
      <c r="C358" t="s">
        <v>3430</v>
      </c>
      <c r="D358">
        <v>1.56</v>
      </c>
      <c r="E358">
        <v>10.155099999999999</v>
      </c>
      <c r="F358">
        <v>0.20760000000000001</v>
      </c>
      <c r="G358" s="284">
        <f t="shared" si="41"/>
        <v>10.362699999999998</v>
      </c>
      <c r="H358" s="284">
        <v>10.164300000000001</v>
      </c>
      <c r="I358" s="284">
        <f>G358-H358</f>
        <v>0.19839999999999769</v>
      </c>
      <c r="J358" s="283">
        <f t="shared" si="42"/>
        <v>9.2000000000023174E-3</v>
      </c>
      <c r="K358" s="285">
        <f t="shared" si="43"/>
        <v>4.4315992292882065</v>
      </c>
      <c r="L358">
        <v>18</v>
      </c>
      <c r="M358" s="16">
        <v>43388</v>
      </c>
      <c r="N358" s="286">
        <v>43389</v>
      </c>
      <c r="O358" s="16"/>
      <c r="R358" s="285"/>
    </row>
    <row r="359" spans="1:18">
      <c r="A359" t="s">
        <v>953</v>
      </c>
      <c r="C359" t="s">
        <v>3423</v>
      </c>
      <c r="D359">
        <v>1.5962000000000001</v>
      </c>
      <c r="E359">
        <v>9.1384000000000007</v>
      </c>
      <c r="F359">
        <v>0.20760000000000001</v>
      </c>
      <c r="G359" s="284">
        <f t="shared" si="41"/>
        <v>9.3460000000000001</v>
      </c>
      <c r="H359" s="284">
        <v>9.1475000000000009</v>
      </c>
      <c r="I359" s="284">
        <f>G359-H359</f>
        <v>0.19849999999999923</v>
      </c>
      <c r="J359" s="283">
        <f t="shared" si="42"/>
        <v>9.1000000000007741E-3</v>
      </c>
      <c r="K359" s="285">
        <f t="shared" si="43"/>
        <v>4.3834296724473862</v>
      </c>
      <c r="L359">
        <v>31</v>
      </c>
      <c r="M359">
        <v>23.101800000000001</v>
      </c>
      <c r="N359" s="16">
        <v>43397</v>
      </c>
      <c r="R359" s="285"/>
    </row>
    <row r="360" spans="1:18">
      <c r="A360" t="s">
        <v>950</v>
      </c>
      <c r="C360" t="s">
        <v>3660</v>
      </c>
      <c r="D360">
        <v>1.8129</v>
      </c>
      <c r="E360">
        <v>10.565799999999999</v>
      </c>
      <c r="F360">
        <v>0.2097</v>
      </c>
      <c r="G360" s="284">
        <f t="shared" si="41"/>
        <v>10.775499999999999</v>
      </c>
      <c r="H360" s="284">
        <v>10.569599999999999</v>
      </c>
      <c r="I360" s="284">
        <f>(G360-H360)</f>
        <v>0.20589999999999975</v>
      </c>
      <c r="J360" s="283">
        <f t="shared" si="42"/>
        <v>3.8000000000002476E-3</v>
      </c>
      <c r="K360" s="285">
        <f t="shared" si="43"/>
        <v>1.8121125417263937</v>
      </c>
      <c r="L360">
        <v>2</v>
      </c>
      <c r="M360" s="286">
        <v>43355.625</v>
      </c>
      <c r="N360" s="286">
        <v>43355.791666666664</v>
      </c>
      <c r="O360" s="283" t="s">
        <v>3659</v>
      </c>
      <c r="R360" s="285"/>
    </row>
    <row r="361" spans="1:18">
      <c r="A361" t="s">
        <v>949</v>
      </c>
      <c r="C361" t="s">
        <v>3728</v>
      </c>
      <c r="D361">
        <v>1.8529</v>
      </c>
      <c r="E361">
        <v>9.0221999999999998</v>
      </c>
      <c r="F361">
        <v>0.20530000000000001</v>
      </c>
      <c r="G361" s="288">
        <f t="shared" si="41"/>
        <v>9.2274999999999991</v>
      </c>
      <c r="H361" s="284">
        <v>9.0292999999999992</v>
      </c>
      <c r="I361" s="288">
        <f>G361-H361</f>
        <v>0.19819999999999993</v>
      </c>
      <c r="J361" s="283">
        <f t="shared" si="42"/>
        <v>7.1000000000000785E-3</v>
      </c>
      <c r="K361" s="285">
        <f t="shared" si="43"/>
        <v>3.4583536288358885</v>
      </c>
      <c r="L361">
        <v>13</v>
      </c>
      <c r="M361" s="286">
        <v>43379</v>
      </c>
      <c r="N361" s="286">
        <v>43379</v>
      </c>
      <c r="O361" s="283"/>
      <c r="R361" s="285"/>
    </row>
    <row r="362" spans="1:18">
      <c r="A362" t="s">
        <v>948</v>
      </c>
      <c r="C362" t="s">
        <v>3433</v>
      </c>
      <c r="D362">
        <v>1.6133</v>
      </c>
      <c r="E362">
        <v>10.923299999999999</v>
      </c>
      <c r="F362">
        <v>0.20630000000000001</v>
      </c>
      <c r="G362" s="284">
        <f t="shared" si="41"/>
        <v>11.1296</v>
      </c>
      <c r="H362" s="284">
        <v>10.9398</v>
      </c>
      <c r="I362" s="284">
        <f>G362-H362</f>
        <v>0.18979999999999997</v>
      </c>
      <c r="J362" s="283">
        <f t="shared" si="42"/>
        <v>1.6500000000000042E-2</v>
      </c>
      <c r="K362" s="285">
        <f t="shared" si="43"/>
        <v>7.9980610761027835</v>
      </c>
      <c r="L362">
        <v>12</v>
      </c>
      <c r="M362" s="16">
        <v>43388</v>
      </c>
      <c r="N362" s="286">
        <v>43389</v>
      </c>
      <c r="O362" s="286"/>
      <c r="P362" s="283"/>
      <c r="R362" s="285"/>
    </row>
    <row r="363" spans="1:18">
      <c r="A363" t="s">
        <v>946</v>
      </c>
      <c r="C363" t="s">
        <v>3417</v>
      </c>
      <c r="D363">
        <v>1.4694</v>
      </c>
      <c r="E363">
        <v>10.125500000000001</v>
      </c>
      <c r="F363">
        <v>0.21759999999999999</v>
      </c>
      <c r="G363" s="284">
        <f t="shared" si="41"/>
        <v>10.3431</v>
      </c>
      <c r="H363" s="284">
        <v>10.147500000000001</v>
      </c>
      <c r="I363" s="284">
        <f>G363-H363</f>
        <v>0.19559999999999889</v>
      </c>
      <c r="J363" s="283">
        <f t="shared" si="42"/>
        <v>2.2000000000001102E-2</v>
      </c>
      <c r="K363" s="285">
        <f t="shared" si="43"/>
        <v>10.110294117647566</v>
      </c>
      <c r="L363">
        <v>19</v>
      </c>
      <c r="M363">
        <v>23.101800000000001</v>
      </c>
      <c r="N363" s="16">
        <v>43397</v>
      </c>
      <c r="R363" s="285"/>
    </row>
    <row r="364" spans="1:18">
      <c r="A364" t="s">
        <v>944</v>
      </c>
      <c r="C364" t="s">
        <v>3697</v>
      </c>
      <c r="D364">
        <v>1.8783000000000001</v>
      </c>
      <c r="E364">
        <v>11.034800000000001</v>
      </c>
      <c r="F364">
        <v>0.21890000000000001</v>
      </c>
      <c r="G364" s="284">
        <f t="shared" si="41"/>
        <v>11.2537</v>
      </c>
      <c r="H364" s="284">
        <v>11.039</v>
      </c>
      <c r="I364" s="284">
        <f>(G364-H364)</f>
        <v>0.21470000000000056</v>
      </c>
      <c r="J364" s="283">
        <f t="shared" si="42"/>
        <v>4.1999999999994542E-3</v>
      </c>
      <c r="K364" s="285">
        <f t="shared" si="43"/>
        <v>1.9186843307443828</v>
      </c>
      <c r="L364">
        <v>23</v>
      </c>
      <c r="M364" s="286">
        <v>43360</v>
      </c>
      <c r="N364" s="286">
        <v>43361</v>
      </c>
      <c r="O364" s="283" t="s">
        <v>3707</v>
      </c>
      <c r="R364" s="285"/>
    </row>
    <row r="365" spans="1:18">
      <c r="A365" t="s">
        <v>943</v>
      </c>
      <c r="C365" t="s">
        <v>3417</v>
      </c>
      <c r="D365">
        <v>1.6357999999999999</v>
      </c>
      <c r="E365">
        <v>8.1191999999999993</v>
      </c>
      <c r="F365">
        <v>0.20300000000000001</v>
      </c>
      <c r="G365" s="284">
        <f t="shared" si="41"/>
        <v>8.3221999999999987</v>
      </c>
      <c r="H365" s="284">
        <v>8.1301000000000005</v>
      </c>
      <c r="I365" s="284">
        <f>G365-H365</f>
        <v>0.19209999999999816</v>
      </c>
      <c r="J365" s="283">
        <f t="shared" si="42"/>
        <v>1.0900000000001853E-2</v>
      </c>
      <c r="K365" s="285">
        <f t="shared" si="43"/>
        <v>5.3694581280797298</v>
      </c>
      <c r="L365">
        <v>29</v>
      </c>
      <c r="M365" s="16">
        <v>43399</v>
      </c>
      <c r="N365" s="16">
        <v>43400</v>
      </c>
      <c r="R365" s="285"/>
    </row>
    <row r="366" spans="1:18">
      <c r="A366" t="s">
        <v>940</v>
      </c>
      <c r="C366" t="s">
        <v>3691</v>
      </c>
      <c r="D366">
        <v>1.8588</v>
      </c>
      <c r="E366">
        <v>10.1242</v>
      </c>
      <c r="F366">
        <v>0.23860000000000001</v>
      </c>
      <c r="G366" s="284">
        <f t="shared" si="41"/>
        <v>10.3628</v>
      </c>
      <c r="H366" s="284">
        <v>10.132</v>
      </c>
      <c r="I366" s="284">
        <f>(G366-H366)</f>
        <v>0.23080000000000034</v>
      </c>
      <c r="J366" s="283">
        <f t="shared" si="42"/>
        <v>7.7999999999996683E-3</v>
      </c>
      <c r="K366" s="285">
        <f t="shared" si="43"/>
        <v>3.2690695725061474</v>
      </c>
      <c r="L366">
        <v>17</v>
      </c>
      <c r="M366" s="286">
        <v>43360</v>
      </c>
      <c r="N366" s="286">
        <v>43361</v>
      </c>
      <c r="R366" s="285"/>
    </row>
    <row r="367" spans="1:18">
      <c r="A367" t="s">
        <v>938</v>
      </c>
      <c r="C367" t="s">
        <v>3664</v>
      </c>
      <c r="D367">
        <v>1.8813</v>
      </c>
      <c r="E367">
        <v>8.0874000000000006</v>
      </c>
      <c r="F367">
        <v>0.20519999999999999</v>
      </c>
      <c r="G367" s="284">
        <f t="shared" si="41"/>
        <v>8.2926000000000002</v>
      </c>
      <c r="H367" s="284">
        <v>8.0943000000000005</v>
      </c>
      <c r="I367" s="284">
        <f>(G367-H367)</f>
        <v>0.1982999999999997</v>
      </c>
      <c r="J367" s="283">
        <f t="shared" si="42"/>
        <v>6.9000000000002948E-3</v>
      </c>
      <c r="K367" s="285">
        <f t="shared" si="43"/>
        <v>3.3625730994153482</v>
      </c>
      <c r="L367">
        <v>3</v>
      </c>
      <c r="M367" s="16">
        <v>43358</v>
      </c>
      <c r="N367" s="16">
        <v>43358</v>
      </c>
      <c r="R367" s="285"/>
    </row>
    <row r="368" spans="1:18">
      <c r="A368" t="s">
        <v>937</v>
      </c>
      <c r="C368" t="s">
        <v>3768</v>
      </c>
      <c r="D368">
        <v>1.7385999999999999</v>
      </c>
      <c r="E368">
        <v>10.5122</v>
      </c>
      <c r="F368">
        <v>0.2223</v>
      </c>
      <c r="G368">
        <f t="shared" si="41"/>
        <v>10.734500000000001</v>
      </c>
      <c r="H368">
        <v>10.5174</v>
      </c>
      <c r="I368" s="284">
        <f t="shared" ref="I368:I384" si="44">G368-H368</f>
        <v>0.21710000000000029</v>
      </c>
      <c r="J368" s="283">
        <f t="shared" si="42"/>
        <v>5.1999999999997049E-3</v>
      </c>
      <c r="K368" s="285">
        <f t="shared" si="43"/>
        <v>2.3391812865495751</v>
      </c>
      <c r="L368">
        <v>20</v>
      </c>
      <c r="M368" s="16">
        <v>43399</v>
      </c>
      <c r="N368" s="16">
        <v>43400</v>
      </c>
      <c r="R368" s="285"/>
    </row>
    <row r="369" spans="1:19">
      <c r="A369" t="s">
        <v>936</v>
      </c>
      <c r="B369">
        <v>200</v>
      </c>
      <c r="C369" t="s">
        <v>2504</v>
      </c>
      <c r="D369">
        <v>1.4829000000000001</v>
      </c>
      <c r="E369">
        <v>8.7036999999999995</v>
      </c>
      <c r="F369">
        <v>0.222</v>
      </c>
      <c r="G369">
        <f t="shared" si="41"/>
        <v>8.9256999999999991</v>
      </c>
      <c r="H369">
        <v>8.7087000000000003</v>
      </c>
      <c r="I369" s="284">
        <f t="shared" si="44"/>
        <v>0.21699999999999875</v>
      </c>
      <c r="J369" s="283">
        <f t="shared" si="42"/>
        <v>5.0000000000012534E-3</v>
      </c>
      <c r="K369" s="285">
        <f t="shared" si="43"/>
        <v>2.2522522522528168</v>
      </c>
      <c r="L369">
        <v>22</v>
      </c>
      <c r="M369" s="16">
        <v>43402</v>
      </c>
      <c r="N369" s="16">
        <v>43403</v>
      </c>
      <c r="R369" s="285"/>
    </row>
    <row r="370" spans="1:19">
      <c r="A370" t="s">
        <v>935</v>
      </c>
      <c r="C370" t="s">
        <v>3759</v>
      </c>
      <c r="D370">
        <v>1.7315</v>
      </c>
      <c r="E370">
        <v>8.8620999999999999</v>
      </c>
      <c r="F370">
        <v>0.20100000000000001</v>
      </c>
      <c r="G370" s="284">
        <f t="shared" si="41"/>
        <v>9.0631000000000004</v>
      </c>
      <c r="H370" s="284">
        <v>8.8704000000000001</v>
      </c>
      <c r="I370" s="284">
        <f t="shared" si="44"/>
        <v>0.19270000000000032</v>
      </c>
      <c r="J370" s="283">
        <f t="shared" si="42"/>
        <v>8.2999999999996965E-3</v>
      </c>
      <c r="K370" s="285">
        <f t="shared" si="43"/>
        <v>4.1293532338306944</v>
      </c>
      <c r="L370">
        <v>36</v>
      </c>
      <c r="M370" s="286">
        <v>43374</v>
      </c>
      <c r="N370" s="286">
        <v>43375</v>
      </c>
      <c r="O370" s="283" t="s">
        <v>3730</v>
      </c>
      <c r="R370" s="285"/>
    </row>
    <row r="371" spans="1:19">
      <c r="A371" t="s">
        <v>934</v>
      </c>
      <c r="C371" t="s">
        <v>3424</v>
      </c>
      <c r="D371">
        <v>1.4986999999999999</v>
      </c>
      <c r="E371">
        <v>9.2368000000000006</v>
      </c>
      <c r="F371">
        <v>0.22650000000000001</v>
      </c>
      <c r="G371" s="284">
        <f t="shared" si="41"/>
        <v>9.4633000000000003</v>
      </c>
      <c r="H371" s="284">
        <v>9.2510999999999992</v>
      </c>
      <c r="I371" s="284">
        <f t="shared" si="44"/>
        <v>0.21220000000000105</v>
      </c>
      <c r="J371" s="283">
        <f t="shared" si="42"/>
        <v>1.4299999999998952E-2</v>
      </c>
      <c r="K371" s="285">
        <f t="shared" si="43"/>
        <v>6.3134657836639967</v>
      </c>
      <c r="L371">
        <v>3</v>
      </c>
      <c r="M371" s="16">
        <v>43399</v>
      </c>
      <c r="N371" s="16">
        <v>43400</v>
      </c>
      <c r="R371" s="285"/>
    </row>
    <row r="372" spans="1:19">
      <c r="A372" t="s">
        <v>933</v>
      </c>
      <c r="C372" t="s">
        <v>3462</v>
      </c>
      <c r="D372">
        <v>1.6383000000000001</v>
      </c>
      <c r="E372">
        <v>7.7756999999999996</v>
      </c>
      <c r="F372">
        <v>0.21229999999999999</v>
      </c>
      <c r="G372">
        <f t="shared" si="41"/>
        <v>7.9879999999999995</v>
      </c>
      <c r="H372">
        <v>7.7870999999999997</v>
      </c>
      <c r="I372" s="284">
        <f t="shared" si="44"/>
        <v>0.20089999999999986</v>
      </c>
      <c r="J372" s="283">
        <f t="shared" si="42"/>
        <v>1.1400000000000132E-2</v>
      </c>
      <c r="K372" s="285">
        <f t="shared" si="43"/>
        <v>5.3697597739049137</v>
      </c>
      <c r="L372">
        <v>15</v>
      </c>
      <c r="M372" s="16">
        <v>43399</v>
      </c>
      <c r="N372" s="16">
        <v>43400</v>
      </c>
      <c r="R372" s="285"/>
    </row>
    <row r="373" spans="1:19">
      <c r="A373" t="s">
        <v>931</v>
      </c>
      <c r="C373" t="s">
        <v>3740</v>
      </c>
      <c r="D373">
        <v>1.8501000000000001</v>
      </c>
      <c r="E373">
        <v>10.0565</v>
      </c>
      <c r="F373">
        <v>0.21099999999999999</v>
      </c>
      <c r="G373" s="284">
        <f t="shared" si="41"/>
        <v>10.2675</v>
      </c>
      <c r="H373" s="284">
        <v>10.062900000000001</v>
      </c>
      <c r="I373" s="284">
        <f t="shared" si="44"/>
        <v>0.20459999999999923</v>
      </c>
      <c r="J373" s="283">
        <f t="shared" si="42"/>
        <v>6.4000000000007662E-3</v>
      </c>
      <c r="K373" s="285">
        <f t="shared" si="43"/>
        <v>3.0331753554506005</v>
      </c>
      <c r="L373">
        <v>23</v>
      </c>
      <c r="M373" s="286">
        <v>43363</v>
      </c>
      <c r="N373" s="286">
        <v>43364</v>
      </c>
      <c r="R373" s="285"/>
    </row>
    <row r="374" spans="1:19">
      <c r="A374" t="s">
        <v>930</v>
      </c>
      <c r="C374" t="s">
        <v>3436</v>
      </c>
      <c r="D374">
        <v>1.5892999999999999</v>
      </c>
      <c r="E374">
        <v>8.7698999999999998</v>
      </c>
      <c r="F374">
        <v>0.20200000000000001</v>
      </c>
      <c r="G374" s="288">
        <f t="shared" si="41"/>
        <v>8.9718999999999998</v>
      </c>
      <c r="H374" s="284">
        <v>8.7827999999999999</v>
      </c>
      <c r="I374" s="288">
        <f t="shared" si="44"/>
        <v>0.18909999999999982</v>
      </c>
      <c r="J374" s="283">
        <f t="shared" si="42"/>
        <v>1.2900000000000189E-2</v>
      </c>
      <c r="K374" s="285">
        <f t="shared" si="43"/>
        <v>6.3861386138614789</v>
      </c>
      <c r="L374">
        <v>40</v>
      </c>
      <c r="M374" s="286">
        <v>43379</v>
      </c>
      <c r="N374" s="286">
        <v>43379</v>
      </c>
      <c r="R374" s="285"/>
    </row>
    <row r="375" spans="1:19">
      <c r="A375" t="s">
        <v>929</v>
      </c>
      <c r="C375" t="s">
        <v>3684</v>
      </c>
      <c r="D375">
        <v>1.7116</v>
      </c>
      <c r="E375">
        <v>19.6935</v>
      </c>
      <c r="F375">
        <v>0.20979999999999999</v>
      </c>
      <c r="G375" s="284">
        <f t="shared" si="41"/>
        <v>19.903300000000002</v>
      </c>
      <c r="H375" s="284">
        <v>19.708400000000001</v>
      </c>
      <c r="I375" s="284">
        <f t="shared" si="44"/>
        <v>0.19490000000000052</v>
      </c>
      <c r="J375" s="283">
        <f t="shared" si="42"/>
        <v>1.4899999999999469E-2</v>
      </c>
      <c r="K375" s="285">
        <f t="shared" si="43"/>
        <v>7.1020019065774402</v>
      </c>
      <c r="L375">
        <v>25</v>
      </c>
      <c r="M375" s="286">
        <v>43361</v>
      </c>
      <c r="N375" s="286">
        <v>43362</v>
      </c>
      <c r="O375" s="283" t="s">
        <v>3730</v>
      </c>
      <c r="R375" s="285"/>
    </row>
    <row r="376" spans="1:19">
      <c r="A376" t="s">
        <v>928</v>
      </c>
      <c r="C376" t="s">
        <v>3749</v>
      </c>
      <c r="D376">
        <v>1.5960000000000001</v>
      </c>
      <c r="E376">
        <v>10.9232</v>
      </c>
      <c r="F376">
        <v>0.23569999999999999</v>
      </c>
      <c r="G376" s="284">
        <f t="shared" si="41"/>
        <v>11.158899999999999</v>
      </c>
      <c r="H376" s="284">
        <v>10.928699999999999</v>
      </c>
      <c r="I376" s="284">
        <f t="shared" si="44"/>
        <v>0.23019999999999996</v>
      </c>
      <c r="J376" s="283">
        <f t="shared" si="42"/>
        <v>5.5000000000000326E-3</v>
      </c>
      <c r="K376" s="285">
        <f t="shared" si="43"/>
        <v>2.3334747560458351</v>
      </c>
      <c r="L376">
        <v>11</v>
      </c>
      <c r="M376" s="286">
        <v>43363</v>
      </c>
      <c r="N376" s="286">
        <v>43364</v>
      </c>
      <c r="O376" s="283" t="s">
        <v>3756</v>
      </c>
      <c r="R376" s="285"/>
    </row>
    <row r="377" spans="1:19">
      <c r="A377" t="s">
        <v>927</v>
      </c>
      <c r="D377">
        <v>1.5364</v>
      </c>
      <c r="E377">
        <v>11.1227</v>
      </c>
      <c r="F377">
        <v>0.21160000000000001</v>
      </c>
      <c r="G377">
        <f t="shared" si="41"/>
        <v>11.334300000000001</v>
      </c>
      <c r="H377">
        <v>11.1427</v>
      </c>
      <c r="I377" s="284">
        <f t="shared" si="44"/>
        <v>0.1916000000000011</v>
      </c>
      <c r="J377" s="283">
        <f t="shared" si="42"/>
        <v>1.9999999999998908E-2</v>
      </c>
      <c r="K377" s="285">
        <f t="shared" si="43"/>
        <v>9.4517958412093144</v>
      </c>
      <c r="L377">
        <v>21</v>
      </c>
      <c r="M377" s="16">
        <v>43399</v>
      </c>
      <c r="N377" s="16">
        <v>43400</v>
      </c>
      <c r="R377" s="285"/>
    </row>
    <row r="378" spans="1:19">
      <c r="A378" t="s">
        <v>920</v>
      </c>
      <c r="C378" t="s">
        <v>3716</v>
      </c>
      <c r="D378">
        <v>1.7484999999999999</v>
      </c>
      <c r="E378">
        <v>11.004799999999999</v>
      </c>
      <c r="F378">
        <v>0.22520000000000001</v>
      </c>
      <c r="G378" s="284">
        <f t="shared" si="41"/>
        <v>11.229999999999999</v>
      </c>
      <c r="H378" s="284">
        <v>11.0107</v>
      </c>
      <c r="I378" s="284">
        <f t="shared" si="44"/>
        <v>0.21929999999999872</v>
      </c>
      <c r="J378" s="283">
        <f t="shared" si="42"/>
        <v>5.9000000000012931E-3</v>
      </c>
      <c r="K378" s="285">
        <f t="shared" si="43"/>
        <v>2.6198934280645174</v>
      </c>
      <c r="L378">
        <v>19</v>
      </c>
      <c r="M378" s="16">
        <v>43381</v>
      </c>
      <c r="N378" s="16">
        <v>43382</v>
      </c>
      <c r="R378" s="285"/>
    </row>
    <row r="379" spans="1:19">
      <c r="A379" t="s">
        <v>918</v>
      </c>
      <c r="C379" t="s">
        <v>3421</v>
      </c>
      <c r="D379">
        <v>1.5963000000000001</v>
      </c>
      <c r="E379">
        <v>9.6798999999999999</v>
      </c>
      <c r="F379">
        <v>0.22339999999999999</v>
      </c>
      <c r="G379" s="284">
        <f t="shared" si="41"/>
        <v>9.9032999999999998</v>
      </c>
      <c r="H379" s="284">
        <v>9.6958000000000002</v>
      </c>
      <c r="I379" s="284">
        <f t="shared" si="44"/>
        <v>0.20749999999999957</v>
      </c>
      <c r="J379" s="283">
        <f t="shared" si="42"/>
        <v>1.5900000000000414E-2</v>
      </c>
      <c r="K379" s="285">
        <f t="shared" si="43"/>
        <v>7.1172784243511256</v>
      </c>
      <c r="L379">
        <v>36</v>
      </c>
      <c r="M379" s="16">
        <v>43399</v>
      </c>
      <c r="N379" s="16">
        <v>43400</v>
      </c>
      <c r="R379" s="285"/>
    </row>
    <row r="380" spans="1:19">
      <c r="A380" t="s">
        <v>917</v>
      </c>
      <c r="B380" t="s">
        <v>3781</v>
      </c>
      <c r="C380" t="s">
        <v>2504</v>
      </c>
      <c r="D380" s="283">
        <v>1.6161000000000001</v>
      </c>
      <c r="E380" s="284">
        <v>9.7223000000000006</v>
      </c>
      <c r="F380" s="284">
        <v>0.21859999999999999</v>
      </c>
      <c r="G380" s="284">
        <f t="shared" si="41"/>
        <v>9.940900000000001</v>
      </c>
      <c r="H380" s="284">
        <v>9.7468000000000004</v>
      </c>
      <c r="I380" s="284">
        <f t="shared" si="44"/>
        <v>0.19410000000000061</v>
      </c>
      <c r="J380" s="283">
        <f t="shared" si="42"/>
        <v>2.4499999999999383E-2</v>
      </c>
      <c r="K380" s="285">
        <f t="shared" si="43"/>
        <v>11.207685269899079</v>
      </c>
      <c r="L380" s="283">
        <v>1</v>
      </c>
      <c r="M380" s="16">
        <v>43388</v>
      </c>
      <c r="N380" s="286">
        <v>43389</v>
      </c>
      <c r="O380" s="286"/>
      <c r="P380" s="283"/>
      <c r="R380" s="285"/>
      <c r="S380" s="283"/>
    </row>
    <row r="381" spans="1:19">
      <c r="A381" t="s">
        <v>916</v>
      </c>
      <c r="C381" t="s">
        <v>3771</v>
      </c>
      <c r="D381">
        <v>1.7956000000000001</v>
      </c>
      <c r="E381">
        <v>10.6366</v>
      </c>
      <c r="F381">
        <v>0.20860000000000001</v>
      </c>
      <c r="G381" s="288">
        <f t="shared" si="41"/>
        <v>10.8452</v>
      </c>
      <c r="H381" s="284">
        <v>10.6418</v>
      </c>
      <c r="I381" s="288">
        <f t="shared" si="44"/>
        <v>0.20340000000000025</v>
      </c>
      <c r="J381" s="283">
        <f t="shared" si="42"/>
        <v>5.1999999999997604E-3</v>
      </c>
      <c r="K381" s="285">
        <f t="shared" si="43"/>
        <v>2.4928092042184851</v>
      </c>
      <c r="L381">
        <v>12</v>
      </c>
      <c r="M381" s="286">
        <v>43379</v>
      </c>
      <c r="N381" s="286">
        <v>43379</v>
      </c>
      <c r="O381" s="283"/>
      <c r="R381" s="285"/>
    </row>
    <row r="382" spans="1:19">
      <c r="A382" t="s">
        <v>914</v>
      </c>
      <c r="C382" t="s">
        <v>3687</v>
      </c>
      <c r="D382">
        <v>1.8835</v>
      </c>
      <c r="E382">
        <v>9.9179999999999993</v>
      </c>
      <c r="F382">
        <v>0.20799999999999999</v>
      </c>
      <c r="G382" s="284">
        <f t="shared" si="41"/>
        <v>10.125999999999999</v>
      </c>
      <c r="H382" s="284">
        <v>9.9258000000000006</v>
      </c>
      <c r="I382" s="284">
        <f t="shared" si="44"/>
        <v>0.20019999999999882</v>
      </c>
      <c r="J382" s="283">
        <f t="shared" si="42"/>
        <v>7.8000000000011671E-3</v>
      </c>
      <c r="K382" s="285">
        <f t="shared" si="43"/>
        <v>3.7500000000005613</v>
      </c>
      <c r="L382">
        <v>25</v>
      </c>
      <c r="M382" s="16">
        <v>43381</v>
      </c>
      <c r="N382" s="16">
        <v>43382</v>
      </c>
      <c r="R382" s="285"/>
    </row>
    <row r="383" spans="1:19">
      <c r="A383" t="s">
        <v>912</v>
      </c>
      <c r="C383" t="s">
        <v>3720</v>
      </c>
      <c r="D383">
        <v>1.4528000000000001</v>
      </c>
      <c r="E383">
        <v>8.0660000000000007</v>
      </c>
      <c r="F383">
        <v>0.22459999999999999</v>
      </c>
      <c r="G383" s="284">
        <f t="shared" si="41"/>
        <v>8.2906000000000013</v>
      </c>
      <c r="H383" s="284">
        <v>8.0808999999999997</v>
      </c>
      <c r="I383" s="284">
        <f t="shared" si="44"/>
        <v>0.20970000000000155</v>
      </c>
      <c r="J383" s="283">
        <f t="shared" si="42"/>
        <v>1.4899999999998442E-2</v>
      </c>
      <c r="K383" s="285">
        <f t="shared" si="43"/>
        <v>6.6340160284944094</v>
      </c>
      <c r="L383">
        <v>17</v>
      </c>
      <c r="M383" s="16">
        <v>43381</v>
      </c>
      <c r="N383" s="16">
        <v>43382</v>
      </c>
      <c r="R383" s="285"/>
    </row>
    <row r="384" spans="1:19">
      <c r="A384" t="s">
        <v>911</v>
      </c>
      <c r="C384" t="s">
        <v>3753</v>
      </c>
      <c r="D384">
        <v>1.9054</v>
      </c>
      <c r="E384">
        <v>9.6798000000000002</v>
      </c>
      <c r="F384">
        <v>0.20649999999999999</v>
      </c>
      <c r="G384" s="284">
        <f t="shared" si="41"/>
        <v>9.8863000000000003</v>
      </c>
      <c r="H384" s="284">
        <v>9.6860999999999997</v>
      </c>
      <c r="I384" s="284">
        <f t="shared" si="44"/>
        <v>0.2002000000000006</v>
      </c>
      <c r="J384" s="283">
        <f t="shared" si="42"/>
        <v>6.2999999999993894E-3</v>
      </c>
      <c r="K384" s="285">
        <f t="shared" si="43"/>
        <v>3.0508474576268232</v>
      </c>
      <c r="L384">
        <v>30</v>
      </c>
      <c r="M384" s="286">
        <v>43362</v>
      </c>
      <c r="N384" s="286">
        <v>43363</v>
      </c>
      <c r="R384" s="285"/>
    </row>
    <row r="385" spans="1:18">
      <c r="A385" t="s">
        <v>910</v>
      </c>
      <c r="C385" t="s">
        <v>3658</v>
      </c>
      <c r="D385">
        <v>1.7262999999999999</v>
      </c>
      <c r="E385">
        <v>10.0556</v>
      </c>
      <c r="F385">
        <v>0.1983</v>
      </c>
      <c r="G385" s="284">
        <f t="shared" si="41"/>
        <v>10.2539</v>
      </c>
      <c r="H385" s="284">
        <v>10.0604</v>
      </c>
      <c r="I385" s="284">
        <f>(G385-H385)</f>
        <v>0.19350000000000023</v>
      </c>
      <c r="J385" s="283">
        <f t="shared" si="42"/>
        <v>4.7999999999997767E-3</v>
      </c>
      <c r="K385" s="285">
        <f t="shared" si="43"/>
        <v>2.4205748865354395</v>
      </c>
      <c r="L385">
        <v>12</v>
      </c>
      <c r="M385" s="286">
        <v>43355.625</v>
      </c>
      <c r="N385" s="286">
        <v>43355.791666666664</v>
      </c>
      <c r="O385" s="283" t="s">
        <v>3659</v>
      </c>
      <c r="R385" s="285"/>
    </row>
    <row r="386" spans="1:18">
      <c r="A386" t="s">
        <v>908</v>
      </c>
      <c r="C386" t="s">
        <v>3667</v>
      </c>
      <c r="D386">
        <v>1.7914000000000001</v>
      </c>
      <c r="E386">
        <v>8.2190999999999992</v>
      </c>
      <c r="F386">
        <v>0.1988</v>
      </c>
      <c r="G386" s="284">
        <f t="shared" si="41"/>
        <v>8.4178999999999995</v>
      </c>
      <c r="H386" s="284">
        <v>8.2235999999999994</v>
      </c>
      <c r="I386" s="284">
        <f>(G386-H386)</f>
        <v>0.19430000000000014</v>
      </c>
      <c r="J386" s="283">
        <f t="shared" si="42"/>
        <v>4.4999999999998652E-3</v>
      </c>
      <c r="K386" s="285">
        <f t="shared" si="43"/>
        <v>2.2635814889335339</v>
      </c>
      <c r="L386">
        <v>14</v>
      </c>
      <c r="M386" s="286">
        <v>43355.625</v>
      </c>
      <c r="N386" s="286">
        <v>43355.791666666664</v>
      </c>
      <c r="O386" s="283" t="s">
        <v>3659</v>
      </c>
      <c r="R386" s="285"/>
    </row>
    <row r="387" spans="1:18">
      <c r="A387" t="s">
        <v>905</v>
      </c>
      <c r="B387">
        <v>199</v>
      </c>
      <c r="C387" t="s">
        <v>2504</v>
      </c>
      <c r="D387">
        <v>1.4412</v>
      </c>
      <c r="E387">
        <v>11.088699999999999</v>
      </c>
      <c r="F387">
        <v>0.21110000000000001</v>
      </c>
      <c r="G387" s="284">
        <f t="shared" si="41"/>
        <v>11.299799999999999</v>
      </c>
      <c r="H387" s="284">
        <v>11.094099999999999</v>
      </c>
      <c r="I387" s="284">
        <f>G387-H387</f>
        <v>0.20570000000000022</v>
      </c>
      <c r="J387" s="283">
        <f t="shared" si="42"/>
        <v>5.3999999999997939E-3</v>
      </c>
      <c r="K387" s="285">
        <f t="shared" si="43"/>
        <v>2.5580293699667425</v>
      </c>
      <c r="L387">
        <v>20</v>
      </c>
      <c r="M387">
        <v>23.101800000000001</v>
      </c>
      <c r="N387" s="16">
        <v>43397</v>
      </c>
      <c r="R387" s="285"/>
    </row>
    <row r="388" spans="1:18">
      <c r="A388" t="s">
        <v>904</v>
      </c>
      <c r="C388" t="s">
        <v>3665</v>
      </c>
      <c r="D388">
        <v>1.8137000000000001</v>
      </c>
      <c r="E388">
        <v>8.7332999999999998</v>
      </c>
      <c r="F388">
        <v>0.20749999999999999</v>
      </c>
      <c r="G388" s="284">
        <f t="shared" si="41"/>
        <v>8.9407999999999994</v>
      </c>
      <c r="H388" s="284">
        <v>8.7379999999999995</v>
      </c>
      <c r="I388" s="284">
        <f>(G388-H388)</f>
        <v>0.20279999999999987</v>
      </c>
      <c r="J388" s="283">
        <f t="shared" si="42"/>
        <v>4.7000000000001207E-3</v>
      </c>
      <c r="K388" s="285">
        <f t="shared" si="43"/>
        <v>2.2650602409639138</v>
      </c>
      <c r="L388">
        <v>10</v>
      </c>
      <c r="M388" s="286">
        <v>43355.625</v>
      </c>
      <c r="N388" s="286">
        <v>43355.791666666664</v>
      </c>
      <c r="O388" s="283" t="s">
        <v>3659</v>
      </c>
      <c r="R388" s="285"/>
    </row>
    <row r="389" spans="1:18">
      <c r="A389" t="s">
        <v>903</v>
      </c>
      <c r="C389" t="s">
        <v>3488</v>
      </c>
      <c r="D389">
        <v>1.6285000000000001</v>
      </c>
      <c r="E389">
        <v>10.698499999999999</v>
      </c>
      <c r="F389">
        <v>0.2147</v>
      </c>
      <c r="G389" s="284">
        <f t="shared" si="41"/>
        <v>10.9132</v>
      </c>
      <c r="H389" s="284">
        <v>10.709</v>
      </c>
      <c r="I389" s="284">
        <f t="shared" ref="I389:I395" si="45">G389-H389</f>
        <v>0.20420000000000016</v>
      </c>
      <c r="J389" s="283">
        <f t="shared" si="42"/>
        <v>1.0499999999999843E-2</v>
      </c>
      <c r="K389" s="285">
        <f t="shared" si="43"/>
        <v>4.8905449464368154</v>
      </c>
      <c r="L389">
        <v>5</v>
      </c>
      <c r="M389" s="286">
        <v>43363</v>
      </c>
      <c r="N389" s="286">
        <v>43364</v>
      </c>
      <c r="O389" s="283"/>
      <c r="R389" s="285"/>
    </row>
    <row r="390" spans="1:18">
      <c r="A390" t="s">
        <v>902</v>
      </c>
      <c r="C390" t="s">
        <v>3777</v>
      </c>
      <c r="D390">
        <v>1.6991000000000001</v>
      </c>
      <c r="E390">
        <v>7.9073000000000002</v>
      </c>
      <c r="F390">
        <v>0.2155</v>
      </c>
      <c r="G390" s="284">
        <f t="shared" si="41"/>
        <v>8.1227999999999998</v>
      </c>
      <c r="H390" s="284">
        <v>7.9135999999999997</v>
      </c>
      <c r="I390" s="284">
        <f t="shared" si="45"/>
        <v>0.20920000000000005</v>
      </c>
      <c r="J390" s="283">
        <f t="shared" si="42"/>
        <v>6.2999999999999445E-3</v>
      </c>
      <c r="K390" s="285">
        <f t="shared" si="43"/>
        <v>2.9234338747099509</v>
      </c>
      <c r="L390">
        <v>8</v>
      </c>
      <c r="M390" s="16">
        <v>43381</v>
      </c>
      <c r="N390" s="16">
        <v>43382</v>
      </c>
      <c r="R390" s="285"/>
    </row>
    <row r="391" spans="1:18">
      <c r="A391" t="s">
        <v>901</v>
      </c>
      <c r="C391" t="s">
        <v>3412</v>
      </c>
      <c r="D391">
        <v>1.5666</v>
      </c>
      <c r="E391">
        <v>8.1202000000000005</v>
      </c>
      <c r="F391">
        <v>0.20530000000000001</v>
      </c>
      <c r="G391" s="284">
        <f t="shared" si="41"/>
        <v>8.3254999999999999</v>
      </c>
      <c r="H391" s="284">
        <v>8.1329999999999991</v>
      </c>
      <c r="I391" s="284">
        <f t="shared" si="45"/>
        <v>0.19250000000000078</v>
      </c>
      <c r="J391" s="283">
        <f t="shared" si="42"/>
        <v>1.2799999999999229E-2</v>
      </c>
      <c r="K391" s="285">
        <f t="shared" si="43"/>
        <v>6.2347783731121424</v>
      </c>
      <c r="L391">
        <v>37</v>
      </c>
      <c r="M391" s="286">
        <v>43363</v>
      </c>
      <c r="N391" s="286">
        <v>43364</v>
      </c>
      <c r="O391" s="283" t="s">
        <v>3756</v>
      </c>
      <c r="R391" s="285"/>
    </row>
    <row r="392" spans="1:18">
      <c r="A392" t="s">
        <v>899</v>
      </c>
      <c r="C392" t="s">
        <v>3680</v>
      </c>
      <c r="D392">
        <v>1.7774000000000001</v>
      </c>
      <c r="E392">
        <v>9.032</v>
      </c>
      <c r="F392">
        <v>0.21099999999999999</v>
      </c>
      <c r="G392" s="284">
        <f t="shared" si="41"/>
        <v>9.2430000000000003</v>
      </c>
      <c r="H392" s="284">
        <v>9.0398999999999994</v>
      </c>
      <c r="I392" s="284">
        <f t="shared" si="45"/>
        <v>0.20310000000000095</v>
      </c>
      <c r="J392" s="283">
        <f t="shared" si="42"/>
        <v>7.8999999999990467E-3</v>
      </c>
      <c r="K392" s="285">
        <f t="shared" si="43"/>
        <v>3.7440758293834344</v>
      </c>
      <c r="L392">
        <v>4</v>
      </c>
      <c r="M392" s="286">
        <v>43361</v>
      </c>
      <c r="N392" s="286">
        <v>43362</v>
      </c>
      <c r="O392" s="283" t="s">
        <v>3730</v>
      </c>
      <c r="R392" s="285"/>
    </row>
    <row r="393" spans="1:18">
      <c r="A393" t="s">
        <v>898</v>
      </c>
      <c r="C393" t="s">
        <v>3486</v>
      </c>
      <c r="D393">
        <v>1.7736000000000001</v>
      </c>
      <c r="E393">
        <v>8.1334</v>
      </c>
      <c r="F393">
        <v>0.2112</v>
      </c>
      <c r="G393" s="284">
        <f t="shared" si="41"/>
        <v>8.3445999999999998</v>
      </c>
      <c r="H393" s="284">
        <v>8.1402999999999999</v>
      </c>
      <c r="I393" s="284">
        <f t="shared" si="45"/>
        <v>0.20429999999999993</v>
      </c>
      <c r="J393" s="283">
        <f t="shared" si="42"/>
        <v>6.9000000000000727E-3</v>
      </c>
      <c r="K393" s="285">
        <f t="shared" si="43"/>
        <v>3.2670454545454892</v>
      </c>
      <c r="L393">
        <v>33</v>
      </c>
      <c r="M393" s="286">
        <v>43363</v>
      </c>
      <c r="N393" s="286">
        <v>43364</v>
      </c>
      <c r="O393" s="283" t="s">
        <v>3756</v>
      </c>
      <c r="R393" s="285"/>
    </row>
    <row r="394" spans="1:18">
      <c r="A394" t="s">
        <v>896</v>
      </c>
      <c r="C394" t="s">
        <v>3761</v>
      </c>
      <c r="D394">
        <v>1.6872</v>
      </c>
      <c r="E394">
        <v>8.1362000000000005</v>
      </c>
      <c r="F394">
        <v>0.21959999999999999</v>
      </c>
      <c r="G394" s="284">
        <f t="shared" si="41"/>
        <v>8.3558000000000003</v>
      </c>
      <c r="H394" s="284">
        <v>8.1433999999999997</v>
      </c>
      <c r="I394" s="284">
        <f t="shared" si="45"/>
        <v>0.21240000000000059</v>
      </c>
      <c r="J394" s="283">
        <f t="shared" si="42"/>
        <v>7.1999999999994013E-3</v>
      </c>
      <c r="K394" s="285">
        <f t="shared" si="43"/>
        <v>3.2786885245898914</v>
      </c>
      <c r="L394">
        <v>33</v>
      </c>
      <c r="M394" s="286">
        <v>43363</v>
      </c>
      <c r="N394" s="286">
        <v>43364</v>
      </c>
      <c r="R394" s="285"/>
    </row>
    <row r="395" spans="1:18">
      <c r="A395" t="s">
        <v>895</v>
      </c>
      <c r="B395">
        <v>219</v>
      </c>
      <c r="C395" t="s">
        <v>2504</v>
      </c>
      <c r="D395">
        <v>1.4515</v>
      </c>
      <c r="E395">
        <v>11.865</v>
      </c>
      <c r="F395">
        <v>0.20930000000000001</v>
      </c>
      <c r="G395" s="284">
        <f t="shared" si="41"/>
        <v>12.074300000000001</v>
      </c>
      <c r="H395" s="284">
        <v>11.880800000000001</v>
      </c>
      <c r="I395" s="284">
        <f t="shared" si="45"/>
        <v>0.19350000000000023</v>
      </c>
      <c r="J395" s="283">
        <f t="shared" si="42"/>
        <v>1.5799999999999786E-2</v>
      </c>
      <c r="K395" s="285">
        <f t="shared" si="43"/>
        <v>7.5489727663639679</v>
      </c>
      <c r="L395">
        <v>22</v>
      </c>
      <c r="M395">
        <v>23.101800000000001</v>
      </c>
      <c r="N395" s="16">
        <v>43397</v>
      </c>
      <c r="R395" s="285"/>
    </row>
    <row r="396" spans="1:18">
      <c r="A396" t="s">
        <v>894</v>
      </c>
      <c r="C396" t="s">
        <v>3717</v>
      </c>
      <c r="D396">
        <v>1.5174000000000001</v>
      </c>
      <c r="E396">
        <v>7.9615</v>
      </c>
      <c r="F396">
        <v>0.22570000000000001</v>
      </c>
      <c r="G396" s="284">
        <f t="shared" si="41"/>
        <v>8.1872000000000007</v>
      </c>
      <c r="H396" s="284">
        <v>7.9802</v>
      </c>
      <c r="I396" s="284">
        <f>(G396-H396)</f>
        <v>0.20700000000000074</v>
      </c>
      <c r="J396" s="283">
        <f t="shared" si="42"/>
        <v>1.8699999999999273E-2</v>
      </c>
      <c r="K396" s="285">
        <f t="shared" si="43"/>
        <v>8.2853345148423898</v>
      </c>
      <c r="L396">
        <v>19</v>
      </c>
      <c r="M396" s="286">
        <v>43360</v>
      </c>
      <c r="N396" s="286">
        <v>43361</v>
      </c>
      <c r="O396" s="283" t="s">
        <v>3707</v>
      </c>
      <c r="R396" s="285"/>
    </row>
    <row r="397" spans="1:18">
      <c r="A397" t="s">
        <v>892</v>
      </c>
      <c r="B397">
        <v>211</v>
      </c>
      <c r="C397" t="s">
        <v>2504</v>
      </c>
      <c r="D397">
        <v>0.36570000000000003</v>
      </c>
      <c r="E397">
        <v>10.1096</v>
      </c>
      <c r="F397">
        <v>0.20730000000000001</v>
      </c>
      <c r="G397" s="284">
        <f t="shared" si="41"/>
        <v>10.3169</v>
      </c>
      <c r="H397" s="284">
        <v>10.182700000000001</v>
      </c>
      <c r="I397" s="284">
        <f t="shared" ref="I397:I406" si="46">G397-H397</f>
        <v>0.13419999999999987</v>
      </c>
      <c r="J397" s="283">
        <f t="shared" si="42"/>
        <v>7.3100000000000137E-2</v>
      </c>
      <c r="K397" s="285">
        <f t="shared" si="43"/>
        <v>35.262904003859205</v>
      </c>
      <c r="L397">
        <v>16</v>
      </c>
      <c r="M397">
        <v>23.101800000000001</v>
      </c>
      <c r="N397" s="16">
        <v>43397</v>
      </c>
      <c r="P397" t="s">
        <v>3789</v>
      </c>
      <c r="R397" s="285"/>
    </row>
    <row r="398" spans="1:18">
      <c r="A398" t="s">
        <v>887</v>
      </c>
      <c r="B398">
        <v>204</v>
      </c>
      <c r="C398" t="s">
        <v>2504</v>
      </c>
      <c r="D398">
        <v>1.6107</v>
      </c>
      <c r="E398">
        <v>7.3552</v>
      </c>
      <c r="F398">
        <v>0.2019</v>
      </c>
      <c r="G398">
        <f t="shared" si="41"/>
        <v>7.5571000000000002</v>
      </c>
      <c r="H398">
        <v>7.3673999999999999</v>
      </c>
      <c r="I398" s="284">
        <f t="shared" si="46"/>
        <v>0.1897000000000002</v>
      </c>
      <c r="J398" s="283">
        <f t="shared" si="42"/>
        <v>1.2199999999999794E-2</v>
      </c>
      <c r="K398" s="285">
        <f t="shared" si="43"/>
        <v>6.0425953442297144</v>
      </c>
      <c r="L398">
        <v>11</v>
      </c>
      <c r="M398" s="16">
        <v>43399</v>
      </c>
      <c r="N398" s="16">
        <v>43400</v>
      </c>
      <c r="R398" s="285"/>
    </row>
    <row r="399" spans="1:18">
      <c r="A399" t="s">
        <v>885</v>
      </c>
      <c r="B399">
        <v>211</v>
      </c>
      <c r="C399" t="s">
        <v>2504</v>
      </c>
      <c r="D399">
        <v>1.3955</v>
      </c>
      <c r="E399">
        <v>11.7478</v>
      </c>
      <c r="F399">
        <v>0.21129999999999999</v>
      </c>
      <c r="G399">
        <f t="shared" si="41"/>
        <v>11.959099999999999</v>
      </c>
      <c r="H399">
        <v>11.764699999999999</v>
      </c>
      <c r="I399" s="284">
        <f t="shared" si="46"/>
        <v>0.19439999999999991</v>
      </c>
      <c r="J399" s="283">
        <f t="shared" si="42"/>
        <v>1.6900000000000082E-2</v>
      </c>
      <c r="K399" s="285">
        <f t="shared" si="43"/>
        <v>7.9981069569333094</v>
      </c>
      <c r="L399">
        <v>8</v>
      </c>
      <c r="M399" s="16">
        <v>43402</v>
      </c>
      <c r="N399" s="16">
        <v>43403</v>
      </c>
      <c r="R399" s="285"/>
    </row>
    <row r="400" spans="1:18">
      <c r="A400" t="s">
        <v>884</v>
      </c>
      <c r="C400" t="s">
        <v>3726</v>
      </c>
      <c r="D400">
        <v>1.7994000000000001</v>
      </c>
      <c r="E400">
        <v>7.7744</v>
      </c>
      <c r="F400">
        <v>0.20300000000000001</v>
      </c>
      <c r="G400" s="284">
        <f t="shared" si="41"/>
        <v>7.9774000000000003</v>
      </c>
      <c r="H400" s="284">
        <v>7.7801999999999998</v>
      </c>
      <c r="I400" s="284">
        <f t="shared" si="46"/>
        <v>0.19720000000000049</v>
      </c>
      <c r="J400" s="283">
        <f t="shared" si="42"/>
        <v>5.7999999999995278E-3</v>
      </c>
      <c r="K400" s="285">
        <f t="shared" si="43"/>
        <v>2.8571428571426241</v>
      </c>
      <c r="L400">
        <v>5</v>
      </c>
      <c r="M400" s="286">
        <v>43374</v>
      </c>
      <c r="N400" s="286">
        <v>43375</v>
      </c>
      <c r="O400" s="283" t="s">
        <v>3730</v>
      </c>
      <c r="R400" s="285"/>
    </row>
    <row r="401" spans="1:25">
      <c r="A401" t="s">
        <v>881</v>
      </c>
      <c r="C401" t="s">
        <v>3718</v>
      </c>
      <c r="D401">
        <v>1.7171000000000001</v>
      </c>
      <c r="E401">
        <v>19.709900000000001</v>
      </c>
      <c r="F401">
        <v>0.24229999999999999</v>
      </c>
      <c r="G401" s="284">
        <f t="shared" si="41"/>
        <v>19.952200000000001</v>
      </c>
      <c r="H401" s="284">
        <v>19.718900000000001</v>
      </c>
      <c r="I401" s="284">
        <f t="shared" si="46"/>
        <v>0.23329999999999984</v>
      </c>
      <c r="J401" s="283">
        <f t="shared" si="42"/>
        <v>9.0000000000001468E-3</v>
      </c>
      <c r="K401" s="285">
        <f t="shared" si="43"/>
        <v>3.7144036318613898</v>
      </c>
      <c r="L401">
        <v>27</v>
      </c>
      <c r="M401" s="286">
        <v>43361</v>
      </c>
      <c r="N401" s="286">
        <v>43362</v>
      </c>
      <c r="O401" s="283" t="s">
        <v>3730</v>
      </c>
      <c r="R401" s="285"/>
    </row>
    <row r="402" spans="1:25">
      <c r="A402" t="s">
        <v>880</v>
      </c>
      <c r="C402" t="s">
        <v>3714</v>
      </c>
      <c r="D402">
        <v>1.8492999999999999</v>
      </c>
      <c r="E402">
        <v>10.743499999999999</v>
      </c>
      <c r="F402">
        <v>0.2029</v>
      </c>
      <c r="G402" s="284">
        <f t="shared" si="41"/>
        <v>10.946399999999999</v>
      </c>
      <c r="H402" s="284">
        <v>10.7515</v>
      </c>
      <c r="I402" s="284">
        <f t="shared" si="46"/>
        <v>0.19489999999999874</v>
      </c>
      <c r="J402" s="283">
        <f t="shared" si="42"/>
        <v>8.0000000000012561E-3</v>
      </c>
      <c r="K402" s="285">
        <f t="shared" si="43"/>
        <v>3.9428289797936209</v>
      </c>
      <c r="L402">
        <v>6</v>
      </c>
      <c r="M402" s="286">
        <v>43361</v>
      </c>
      <c r="N402" s="286">
        <v>43362</v>
      </c>
      <c r="O402" s="283" t="s">
        <v>3730</v>
      </c>
      <c r="R402" s="285"/>
    </row>
    <row r="403" spans="1:25">
      <c r="A403" t="s">
        <v>874</v>
      </c>
      <c r="C403" t="s">
        <v>3456</v>
      </c>
      <c r="D403">
        <v>1.5768</v>
      </c>
      <c r="E403">
        <v>9.1399000000000008</v>
      </c>
      <c r="F403">
        <v>0.20100000000000001</v>
      </c>
      <c r="G403" s="284">
        <f t="shared" si="41"/>
        <v>9.3409000000000013</v>
      </c>
      <c r="H403" s="284">
        <v>9.1579999999999995</v>
      </c>
      <c r="I403" s="284">
        <f t="shared" si="46"/>
        <v>0.18290000000000184</v>
      </c>
      <c r="J403" s="283">
        <f t="shared" si="42"/>
        <v>1.8099999999998173E-2</v>
      </c>
      <c r="K403" s="285">
        <f t="shared" si="43"/>
        <v>9.0049751243772</v>
      </c>
      <c r="L403">
        <v>10</v>
      </c>
      <c r="M403" s="286">
        <v>43374</v>
      </c>
      <c r="N403" s="286">
        <v>43375</v>
      </c>
      <c r="O403" s="283" t="s">
        <v>3730</v>
      </c>
      <c r="R403" s="285"/>
    </row>
    <row r="404" spans="1:25">
      <c r="A404" t="s">
        <v>872</v>
      </c>
      <c r="C404" t="s">
        <v>3475</v>
      </c>
      <c r="D404">
        <v>1.6080000000000001</v>
      </c>
      <c r="E404">
        <v>7.7744</v>
      </c>
      <c r="F404">
        <v>0.216</v>
      </c>
      <c r="G404" s="284">
        <f t="shared" si="41"/>
        <v>7.9904000000000002</v>
      </c>
      <c r="H404" s="284">
        <v>7.7919999999999998</v>
      </c>
      <c r="I404" s="284">
        <f t="shared" si="46"/>
        <v>0.19840000000000035</v>
      </c>
      <c r="J404" s="283">
        <f t="shared" si="42"/>
        <v>1.7599999999999644E-2</v>
      </c>
      <c r="K404" s="285">
        <f t="shared" si="43"/>
        <v>8.1481481481479836</v>
      </c>
      <c r="L404">
        <v>18</v>
      </c>
      <c r="M404" s="286">
        <v>43363</v>
      </c>
      <c r="N404" s="286">
        <v>43364</v>
      </c>
      <c r="R404" s="285"/>
    </row>
    <row r="405" spans="1:25">
      <c r="A405" t="s">
        <v>871</v>
      </c>
      <c r="C405" t="s">
        <v>3688</v>
      </c>
      <c r="D405">
        <v>1.8399000000000001</v>
      </c>
      <c r="E405">
        <v>10.0778</v>
      </c>
      <c r="F405">
        <v>0.21560000000000001</v>
      </c>
      <c r="G405" s="284">
        <f t="shared" ref="G405:G438" si="47">E405+F405</f>
        <v>10.2934</v>
      </c>
      <c r="H405" s="284">
        <v>10.083500000000001</v>
      </c>
      <c r="I405" s="284">
        <f t="shared" si="46"/>
        <v>0.20989999999999931</v>
      </c>
      <c r="J405" s="283">
        <f t="shared" si="42"/>
        <v>5.7000000000007045E-3</v>
      </c>
      <c r="K405" s="285">
        <f t="shared" si="43"/>
        <v>2.6437847866422564</v>
      </c>
      <c r="L405">
        <v>8</v>
      </c>
      <c r="M405" s="16">
        <v>43388</v>
      </c>
      <c r="N405" s="286">
        <v>43389</v>
      </c>
      <c r="O405" s="286"/>
      <c r="P405" s="283"/>
      <c r="R405" s="285"/>
    </row>
    <row r="406" spans="1:25">
      <c r="A406" t="s">
        <v>869</v>
      </c>
      <c r="C406" t="s">
        <v>3729</v>
      </c>
      <c r="D406">
        <v>1.4455</v>
      </c>
      <c r="E406">
        <v>7.4816000000000003</v>
      </c>
      <c r="F406">
        <v>0.20760000000000001</v>
      </c>
      <c r="G406" s="284">
        <f t="shared" si="47"/>
        <v>7.6892000000000005</v>
      </c>
      <c r="H406" s="284">
        <v>7.4984000000000002</v>
      </c>
      <c r="I406" s="284">
        <f t="shared" si="46"/>
        <v>0.1908000000000003</v>
      </c>
      <c r="J406" s="283">
        <f t="shared" si="42"/>
        <v>1.6799999999999704E-2</v>
      </c>
      <c r="K406" s="285">
        <f t="shared" si="43"/>
        <v>8.0924855491328049</v>
      </c>
      <c r="L406">
        <v>29</v>
      </c>
      <c r="M406" s="286">
        <v>43361</v>
      </c>
      <c r="N406" s="286">
        <v>43362</v>
      </c>
      <c r="O406" s="283" t="s">
        <v>3730</v>
      </c>
      <c r="V406" s="284"/>
    </row>
    <row r="407" spans="1:25">
      <c r="A407" t="s">
        <v>866</v>
      </c>
      <c r="C407" t="s">
        <v>3661</v>
      </c>
      <c r="D407">
        <v>1.8433999999999999</v>
      </c>
      <c r="E407">
        <v>11.158899999999999</v>
      </c>
      <c r="F407">
        <v>0.20349999999999999</v>
      </c>
      <c r="G407" s="284">
        <f t="shared" si="47"/>
        <v>11.362399999999999</v>
      </c>
      <c r="H407" s="284">
        <v>11.1637</v>
      </c>
      <c r="I407" s="284">
        <f>(G407-H407)</f>
        <v>0.19869999999999877</v>
      </c>
      <c r="J407" s="283">
        <f t="shared" si="42"/>
        <v>4.80000000000122E-3</v>
      </c>
      <c r="K407" s="285">
        <f t="shared" si="43"/>
        <v>2.3587223587229587</v>
      </c>
      <c r="L407">
        <v>36</v>
      </c>
      <c r="M407" s="16">
        <v>43358</v>
      </c>
      <c r="N407" s="16">
        <v>43358</v>
      </c>
      <c r="R407" s="285"/>
      <c r="W407" s="284"/>
      <c r="X407" s="284"/>
      <c r="Y407" s="283"/>
    </row>
    <row r="408" spans="1:25">
      <c r="A408" t="s">
        <v>865</v>
      </c>
      <c r="C408" t="s">
        <v>3784</v>
      </c>
      <c r="D408">
        <v>1.0982000000000001</v>
      </c>
      <c r="E408">
        <v>8.7744</v>
      </c>
      <c r="F408">
        <v>0.224</v>
      </c>
      <c r="G408" s="284">
        <f t="shared" si="47"/>
        <v>8.9984000000000002</v>
      </c>
      <c r="H408" s="284">
        <v>8.9724000000000004</v>
      </c>
      <c r="I408" s="284">
        <f>G408-H408</f>
        <v>2.5999999999999801E-2</v>
      </c>
      <c r="J408" s="283">
        <f t="shared" si="42"/>
        <v>0.1980000000000002</v>
      </c>
      <c r="K408" s="285">
        <f t="shared" si="43"/>
        <v>88.392857142857224</v>
      </c>
      <c r="L408">
        <v>1</v>
      </c>
      <c r="M408" s="16">
        <v>43399</v>
      </c>
      <c r="N408" s="16">
        <v>43400</v>
      </c>
      <c r="R408" s="285"/>
    </row>
    <row r="409" spans="1:25">
      <c r="A409" t="s">
        <v>864</v>
      </c>
      <c r="C409" t="s">
        <v>3727</v>
      </c>
      <c r="D409">
        <v>1.8165</v>
      </c>
      <c r="E409">
        <v>11.160500000000001</v>
      </c>
      <c r="F409">
        <v>0.21510000000000001</v>
      </c>
      <c r="G409" s="284">
        <f t="shared" si="47"/>
        <v>11.3756</v>
      </c>
      <c r="H409" s="284">
        <v>11.165100000000001</v>
      </c>
      <c r="I409" s="284">
        <f>(G409-H409)</f>
        <v>0.21049999999999969</v>
      </c>
      <c r="J409" s="283">
        <f t="shared" si="42"/>
        <v>4.6000000000003261E-3</v>
      </c>
      <c r="K409" s="285">
        <f t="shared" si="43"/>
        <v>2.1385402138541729</v>
      </c>
      <c r="L409">
        <v>39</v>
      </c>
      <c r="M409" s="286">
        <v>43360</v>
      </c>
      <c r="N409" s="286">
        <v>43361</v>
      </c>
      <c r="O409" s="283" t="s">
        <v>3707</v>
      </c>
      <c r="R409" s="285"/>
    </row>
    <row r="410" spans="1:25">
      <c r="A410" t="s">
        <v>861</v>
      </c>
      <c r="C410" t="s">
        <v>3744</v>
      </c>
      <c r="D410">
        <v>1.7094</v>
      </c>
      <c r="E410">
        <v>10.418200000000001</v>
      </c>
      <c r="F410">
        <v>0.20730000000000001</v>
      </c>
      <c r="G410" s="284">
        <f t="shared" si="47"/>
        <v>10.625500000000001</v>
      </c>
      <c r="H410" s="284">
        <v>10.4237</v>
      </c>
      <c r="I410" s="284">
        <f>G410-H410</f>
        <v>0.20180000000000042</v>
      </c>
      <c r="J410" s="283">
        <f t="shared" si="42"/>
        <v>5.4999999999995886E-3</v>
      </c>
      <c r="K410" s="285">
        <f t="shared" si="43"/>
        <v>2.6531596719727872</v>
      </c>
      <c r="L410">
        <v>25</v>
      </c>
      <c r="M410">
        <v>23.101800000000001</v>
      </c>
      <c r="N410" s="16">
        <v>43397</v>
      </c>
      <c r="R410" s="285"/>
    </row>
    <row r="411" spans="1:25">
      <c r="A411" t="s">
        <v>860</v>
      </c>
      <c r="C411" t="s">
        <v>3701</v>
      </c>
      <c r="D411">
        <v>1.5553999999999999</v>
      </c>
      <c r="E411">
        <v>9.2219999999999995</v>
      </c>
      <c r="F411">
        <v>0.218</v>
      </c>
      <c r="G411" s="284">
        <f t="shared" si="47"/>
        <v>9.44</v>
      </c>
      <c r="H411" s="284">
        <v>9.2325999999999997</v>
      </c>
      <c r="I411" s="284">
        <f>G411-H411</f>
        <v>0.20739999999999981</v>
      </c>
      <c r="J411" s="283">
        <f t="shared" si="42"/>
        <v>1.0600000000000193E-2</v>
      </c>
      <c r="K411" s="285">
        <f t="shared" si="43"/>
        <v>4.862385321101006</v>
      </c>
      <c r="L411">
        <v>3</v>
      </c>
      <c r="M411" s="286">
        <v>43363</v>
      </c>
      <c r="N411" s="286">
        <v>43364</v>
      </c>
      <c r="O411" s="283" t="s">
        <v>3756</v>
      </c>
      <c r="R411" s="285"/>
    </row>
    <row r="412" spans="1:25">
      <c r="A412" t="s">
        <v>858</v>
      </c>
      <c r="C412" t="s">
        <v>3770</v>
      </c>
      <c r="D412">
        <v>1.7549999999999999</v>
      </c>
      <c r="E412">
        <v>9.5569000000000006</v>
      </c>
      <c r="F412">
        <v>0.22589999999999999</v>
      </c>
      <c r="G412" s="288">
        <f t="shared" si="47"/>
        <v>9.7827999999999999</v>
      </c>
      <c r="H412" s="284">
        <v>9.5626999999999995</v>
      </c>
      <c r="I412" s="288">
        <f>G412-H412</f>
        <v>0.22010000000000041</v>
      </c>
      <c r="J412" s="283">
        <f t="shared" ref="J412:J438" si="48">F412-I412</f>
        <v>5.7999999999995833E-3</v>
      </c>
      <c r="K412" s="285">
        <f t="shared" ref="K412:K438" si="49">(J412/F412)*100</f>
        <v>2.5675077467904308</v>
      </c>
      <c r="L412">
        <v>14</v>
      </c>
      <c r="M412" s="286">
        <v>43379</v>
      </c>
      <c r="N412" s="286">
        <v>43379</v>
      </c>
      <c r="O412" s="283"/>
      <c r="R412" s="285"/>
    </row>
    <row r="413" spans="1:25">
      <c r="A413" t="s">
        <v>857</v>
      </c>
      <c r="B413">
        <v>206</v>
      </c>
      <c r="C413" t="s">
        <v>2504</v>
      </c>
      <c r="D413">
        <v>1.4330000000000001</v>
      </c>
      <c r="E413">
        <v>8.7696000000000005</v>
      </c>
      <c r="F413">
        <v>0.20619999999999999</v>
      </c>
      <c r="G413">
        <f t="shared" si="47"/>
        <v>8.9758000000000013</v>
      </c>
      <c r="H413">
        <v>8.7903000000000002</v>
      </c>
      <c r="I413" s="284">
        <f>G413-H413</f>
        <v>0.18550000000000111</v>
      </c>
      <c r="J413" s="283">
        <f t="shared" si="48"/>
        <v>2.0699999999998886E-2</v>
      </c>
      <c r="K413" s="285">
        <f t="shared" si="49"/>
        <v>10.038797284189567</v>
      </c>
      <c r="L413">
        <v>19</v>
      </c>
      <c r="M413" s="16">
        <v>43399</v>
      </c>
      <c r="N413" s="16">
        <v>43400</v>
      </c>
      <c r="R413" s="285"/>
    </row>
    <row r="414" spans="1:25">
      <c r="A414" t="s">
        <v>853</v>
      </c>
      <c r="C414" t="s">
        <v>3735</v>
      </c>
      <c r="D414">
        <v>1.3492999999999999</v>
      </c>
      <c r="E414">
        <v>9.7273999999999994</v>
      </c>
      <c r="F414">
        <v>0.2094</v>
      </c>
      <c r="G414">
        <f t="shared" si="47"/>
        <v>9.9367999999999999</v>
      </c>
      <c r="H414">
        <v>9.7360000000000007</v>
      </c>
      <c r="I414" s="284">
        <f>G414-H414</f>
        <v>0.2007999999999992</v>
      </c>
      <c r="J414" s="283">
        <f t="shared" si="48"/>
        <v>8.6000000000008014E-3</v>
      </c>
      <c r="K414" s="285">
        <f t="shared" si="49"/>
        <v>4.106972301815091</v>
      </c>
      <c r="L414">
        <v>18</v>
      </c>
      <c r="M414" s="16">
        <v>43399</v>
      </c>
      <c r="N414" s="16">
        <v>43400</v>
      </c>
      <c r="R414" s="285"/>
    </row>
    <row r="415" spans="1:25">
      <c r="A415" t="s">
        <v>849</v>
      </c>
      <c r="C415" t="s">
        <v>3695</v>
      </c>
      <c r="D415">
        <v>1.8677999999999999</v>
      </c>
      <c r="E415">
        <v>11.1732</v>
      </c>
      <c r="F415">
        <v>0.21229999999999999</v>
      </c>
      <c r="G415" s="284">
        <f t="shared" si="47"/>
        <v>11.3855</v>
      </c>
      <c r="H415" s="284">
        <v>11.178599999999999</v>
      </c>
      <c r="I415" s="284">
        <f>(G415-H415)</f>
        <v>0.20690000000000097</v>
      </c>
      <c r="J415" s="283">
        <f t="shared" si="48"/>
        <v>5.3999999999990167E-3</v>
      </c>
      <c r="K415" s="285">
        <f t="shared" si="49"/>
        <v>2.5435704192176245</v>
      </c>
      <c r="L415">
        <v>27</v>
      </c>
      <c r="M415" s="286">
        <v>43360</v>
      </c>
      <c r="N415" s="286">
        <v>43361</v>
      </c>
      <c r="O415" s="283" t="s">
        <v>3707</v>
      </c>
      <c r="R415" s="285"/>
    </row>
    <row r="416" spans="1:25">
      <c r="A416" t="s">
        <v>847</v>
      </c>
      <c r="C416" t="s">
        <v>3714</v>
      </c>
      <c r="D416">
        <v>0.28799999999999998</v>
      </c>
      <c r="E416">
        <v>8.7743000000000002</v>
      </c>
      <c r="F416">
        <v>0.20030000000000001</v>
      </c>
      <c r="G416" s="284">
        <f t="shared" si="47"/>
        <v>8.9746000000000006</v>
      </c>
      <c r="H416" s="284">
        <v>8.9074000000000009</v>
      </c>
      <c r="I416" s="284">
        <f>G416-H416</f>
        <v>6.7199999999999704E-2</v>
      </c>
      <c r="J416" s="283">
        <f t="shared" si="48"/>
        <v>0.1331000000000003</v>
      </c>
      <c r="K416" s="285">
        <f t="shared" si="49"/>
        <v>66.450324513230314</v>
      </c>
      <c r="L416">
        <v>21</v>
      </c>
      <c r="M416" s="16">
        <v>43381</v>
      </c>
      <c r="N416" s="16">
        <v>43382</v>
      </c>
      <c r="R416" s="285"/>
    </row>
    <row r="417" spans="1:18">
      <c r="A417" t="s">
        <v>846</v>
      </c>
      <c r="C417" t="s">
        <v>3418</v>
      </c>
      <c r="D417">
        <v>1.5531999999999999</v>
      </c>
      <c r="E417">
        <v>20.894400000000001</v>
      </c>
      <c r="F417">
        <v>0.2336</v>
      </c>
      <c r="G417" s="284">
        <f t="shared" si="47"/>
        <v>21.128</v>
      </c>
      <c r="H417" s="284">
        <v>20.908899999999999</v>
      </c>
      <c r="I417" s="284">
        <f>G417-H417</f>
        <v>0.21910000000000096</v>
      </c>
      <c r="J417" s="283">
        <f t="shared" si="48"/>
        <v>1.4499999999999041E-2</v>
      </c>
      <c r="K417" s="285">
        <f t="shared" si="49"/>
        <v>6.2071917808215078</v>
      </c>
      <c r="L417">
        <v>41</v>
      </c>
      <c r="M417" s="286">
        <v>43363</v>
      </c>
      <c r="N417" s="286">
        <v>43364</v>
      </c>
      <c r="O417" s="283" t="s">
        <v>3756</v>
      </c>
      <c r="R417" s="285"/>
    </row>
    <row r="418" spans="1:18">
      <c r="A418" t="s">
        <v>844</v>
      </c>
      <c r="C418" t="s">
        <v>3712</v>
      </c>
      <c r="D418">
        <v>1.7957000000000001</v>
      </c>
      <c r="E418">
        <v>8.8607999999999993</v>
      </c>
      <c r="F418">
        <v>0.21440000000000001</v>
      </c>
      <c r="G418" s="284">
        <f t="shared" si="47"/>
        <v>9.0751999999999988</v>
      </c>
      <c r="H418" s="284">
        <v>8.8655000000000008</v>
      </c>
      <c r="I418" s="284">
        <f>(G418-H418)</f>
        <v>0.209699999999998</v>
      </c>
      <c r="J418" s="283">
        <f t="shared" si="48"/>
        <v>4.7000000000020081E-3</v>
      </c>
      <c r="K418" s="285">
        <f t="shared" si="49"/>
        <v>2.1921641791054141</v>
      </c>
      <c r="L418">
        <v>9</v>
      </c>
      <c r="M418" s="286">
        <v>43360</v>
      </c>
      <c r="N418" s="286">
        <v>43361</v>
      </c>
      <c r="O418" s="283" t="s">
        <v>3707</v>
      </c>
      <c r="R418" s="285"/>
    </row>
    <row r="419" spans="1:18">
      <c r="A419" t="s">
        <v>843</v>
      </c>
      <c r="C419" t="s">
        <v>3747</v>
      </c>
      <c r="D419">
        <v>1.8102</v>
      </c>
      <c r="E419">
        <v>10.0573</v>
      </c>
      <c r="F419">
        <v>0.21199999999999999</v>
      </c>
      <c r="G419">
        <f t="shared" si="47"/>
        <v>10.269299999999999</v>
      </c>
      <c r="H419">
        <v>10.0618</v>
      </c>
      <c r="I419" s="284">
        <f>G419-H419</f>
        <v>0.20749999999999957</v>
      </c>
      <c r="J419" s="283">
        <f t="shared" si="48"/>
        <v>4.5000000000004203E-3</v>
      </c>
      <c r="K419" s="285">
        <f t="shared" si="49"/>
        <v>2.1226415094341604</v>
      </c>
      <c r="L419">
        <v>11</v>
      </c>
      <c r="M419" s="16">
        <v>43402</v>
      </c>
      <c r="N419" s="16">
        <v>43403</v>
      </c>
      <c r="R419" s="285"/>
    </row>
    <row r="420" spans="1:18">
      <c r="A420" t="s">
        <v>842</v>
      </c>
      <c r="C420" t="s">
        <v>3734</v>
      </c>
      <c r="D420">
        <v>1.6919999999999999</v>
      </c>
      <c r="E420">
        <v>19.645299999999999</v>
      </c>
      <c r="F420">
        <v>0.20419999999999999</v>
      </c>
      <c r="G420" s="284">
        <f t="shared" si="47"/>
        <v>19.849499999999999</v>
      </c>
      <c r="H420" s="284">
        <v>19.658200000000001</v>
      </c>
      <c r="I420" s="284">
        <f>G420-H420</f>
        <v>0.19129999999999825</v>
      </c>
      <c r="J420" s="283">
        <f t="shared" si="48"/>
        <v>1.2900000000001743E-2</v>
      </c>
      <c r="K420" s="285">
        <f t="shared" si="49"/>
        <v>6.3173359451526663</v>
      </c>
      <c r="L420">
        <v>33</v>
      </c>
      <c r="M420" s="286">
        <v>43361</v>
      </c>
      <c r="N420" s="286">
        <v>43362</v>
      </c>
      <c r="O420" s="283" t="s">
        <v>3730</v>
      </c>
      <c r="R420" s="285"/>
    </row>
    <row r="421" spans="1:18">
      <c r="A421" t="s">
        <v>837</v>
      </c>
      <c r="C421" t="s">
        <v>3774</v>
      </c>
      <c r="D421">
        <v>1.736</v>
      </c>
      <c r="E421">
        <v>10.1172</v>
      </c>
      <c r="F421">
        <v>0.217</v>
      </c>
      <c r="G421" s="288">
        <f t="shared" si="47"/>
        <v>10.334200000000001</v>
      </c>
      <c r="H421" s="284">
        <v>10.123799999999999</v>
      </c>
      <c r="I421" s="288">
        <f>G421-H421</f>
        <v>0.2104000000000017</v>
      </c>
      <c r="J421" s="283">
        <f t="shared" si="48"/>
        <v>6.5999999999983017E-3</v>
      </c>
      <c r="K421" s="285">
        <f t="shared" si="49"/>
        <v>3.0414746543770974</v>
      </c>
      <c r="L421">
        <v>23</v>
      </c>
      <c r="M421" s="286">
        <v>43379</v>
      </c>
      <c r="N421" s="286">
        <v>43379</v>
      </c>
      <c r="R421" s="285"/>
    </row>
    <row r="422" spans="1:18">
      <c r="A422" t="s">
        <v>836</v>
      </c>
      <c r="C422" t="s">
        <v>3776</v>
      </c>
      <c r="D422">
        <v>1.9196</v>
      </c>
      <c r="E422">
        <v>9.1574000000000009</v>
      </c>
      <c r="F422">
        <v>0.2288</v>
      </c>
      <c r="G422" s="284">
        <f t="shared" si="47"/>
        <v>9.3862000000000005</v>
      </c>
      <c r="H422" s="284">
        <v>9.1637000000000004</v>
      </c>
      <c r="I422" s="284">
        <f>G422-H422</f>
        <v>0.22250000000000014</v>
      </c>
      <c r="J422" s="283">
        <f t="shared" si="48"/>
        <v>6.2999999999998613E-3</v>
      </c>
      <c r="K422" s="285">
        <f t="shared" si="49"/>
        <v>2.7534965034964429</v>
      </c>
      <c r="L422">
        <v>14</v>
      </c>
      <c r="M422" s="16">
        <v>43381</v>
      </c>
      <c r="N422" s="16">
        <v>43382</v>
      </c>
      <c r="R422" s="285"/>
    </row>
    <row r="423" spans="1:18">
      <c r="A423" t="s">
        <v>835</v>
      </c>
      <c r="C423" t="s">
        <v>3674</v>
      </c>
      <c r="D423">
        <v>1.8827</v>
      </c>
      <c r="E423">
        <v>11.903600000000001</v>
      </c>
      <c r="F423">
        <v>0.2072</v>
      </c>
      <c r="G423" s="284">
        <f t="shared" si="47"/>
        <v>12.110800000000001</v>
      </c>
      <c r="H423" s="284">
        <v>11.910399999999999</v>
      </c>
      <c r="I423" s="284">
        <f>(G423-H423)</f>
        <v>0.20040000000000191</v>
      </c>
      <c r="J423" s="283">
        <f t="shared" si="48"/>
        <v>6.7999999999980854E-3</v>
      </c>
      <c r="K423" s="285">
        <f t="shared" si="49"/>
        <v>3.2818532818523578</v>
      </c>
      <c r="L423">
        <v>34</v>
      </c>
      <c r="M423" s="16">
        <v>43358</v>
      </c>
      <c r="N423" s="16">
        <v>43358</v>
      </c>
      <c r="R423" s="285"/>
    </row>
    <row r="424" spans="1:18">
      <c r="A424" t="s">
        <v>831</v>
      </c>
      <c r="C424" t="s">
        <v>3416</v>
      </c>
      <c r="D424">
        <v>1.5723</v>
      </c>
      <c r="E424">
        <v>7.0766</v>
      </c>
      <c r="F424">
        <v>0.20930000000000001</v>
      </c>
      <c r="G424" s="284">
        <f t="shared" si="47"/>
        <v>7.2858999999999998</v>
      </c>
      <c r="H424" s="284">
        <v>7.0860000000000003</v>
      </c>
      <c r="I424" s="284">
        <f t="shared" ref="I424:I438" si="50">G424-H424</f>
        <v>0.19989999999999952</v>
      </c>
      <c r="J424" s="283">
        <f t="shared" si="48"/>
        <v>9.4000000000004913E-3</v>
      </c>
      <c r="K424" s="285">
        <f t="shared" si="49"/>
        <v>4.4911610129003776</v>
      </c>
      <c r="L424">
        <v>24</v>
      </c>
      <c r="M424" s="16">
        <v>43381</v>
      </c>
      <c r="N424" s="16">
        <v>43382</v>
      </c>
      <c r="R424" s="285"/>
    </row>
    <row r="425" spans="1:18">
      <c r="A425" t="s">
        <v>828</v>
      </c>
      <c r="C425" t="s">
        <v>3764</v>
      </c>
      <c r="D425">
        <v>1.3869</v>
      </c>
      <c r="E425">
        <v>11.1555</v>
      </c>
      <c r="F425">
        <v>0.21</v>
      </c>
      <c r="G425" s="284">
        <f t="shared" si="47"/>
        <v>11.365500000000001</v>
      </c>
      <c r="H425" s="284">
        <v>11.174200000000001</v>
      </c>
      <c r="I425" s="284">
        <f t="shared" si="50"/>
        <v>0.19130000000000003</v>
      </c>
      <c r="J425" s="283">
        <f t="shared" si="48"/>
        <v>1.8699999999999967E-2</v>
      </c>
      <c r="K425" s="285">
        <f t="shared" si="49"/>
        <v>8.9047619047618891</v>
      </c>
      <c r="L425">
        <v>39</v>
      </c>
      <c r="M425" s="16">
        <v>43399</v>
      </c>
      <c r="N425" s="16">
        <v>43400</v>
      </c>
      <c r="R425" s="285"/>
    </row>
    <row r="426" spans="1:18">
      <c r="A426" t="s">
        <v>827</v>
      </c>
      <c r="C426" t="s">
        <v>3420</v>
      </c>
      <c r="D426">
        <v>1.5223</v>
      </c>
      <c r="E426">
        <v>7.8398000000000003</v>
      </c>
      <c r="F426">
        <v>0.2127</v>
      </c>
      <c r="G426">
        <f t="shared" si="47"/>
        <v>8.0525000000000002</v>
      </c>
      <c r="H426">
        <v>7.8501000000000003</v>
      </c>
      <c r="I426" s="284">
        <f t="shared" si="50"/>
        <v>0.20239999999999991</v>
      </c>
      <c r="J426" s="283">
        <f t="shared" si="48"/>
        <v>1.0300000000000087E-2</v>
      </c>
      <c r="K426" s="285">
        <f t="shared" si="49"/>
        <v>4.8425011753644043</v>
      </c>
      <c r="L426">
        <v>21</v>
      </c>
      <c r="M426" s="16">
        <v>43402</v>
      </c>
      <c r="N426" s="16">
        <v>43403</v>
      </c>
      <c r="R426" s="285"/>
    </row>
    <row r="427" spans="1:18">
      <c r="A427" t="s">
        <v>821</v>
      </c>
      <c r="C427" t="s">
        <v>3750</v>
      </c>
      <c r="D427">
        <v>1.7964</v>
      </c>
      <c r="E427">
        <v>8.7039000000000009</v>
      </c>
      <c r="F427">
        <v>0.20499999999999999</v>
      </c>
      <c r="G427" s="284">
        <f t="shared" si="47"/>
        <v>8.9089000000000009</v>
      </c>
      <c r="H427" s="284">
        <v>8.7085000000000008</v>
      </c>
      <c r="I427" s="284">
        <f t="shared" si="50"/>
        <v>0.20040000000000013</v>
      </c>
      <c r="J427" s="283">
        <f t="shared" si="48"/>
        <v>4.5999999999998542E-3</v>
      </c>
      <c r="K427" s="285">
        <f t="shared" si="49"/>
        <v>2.2439024390243194</v>
      </c>
      <c r="L427">
        <v>39</v>
      </c>
      <c r="M427" s="286">
        <v>43362</v>
      </c>
      <c r="N427" s="286">
        <v>43363</v>
      </c>
      <c r="R427" s="285"/>
    </row>
    <row r="428" spans="1:18">
      <c r="A428" t="s">
        <v>820</v>
      </c>
      <c r="B428">
        <v>213</v>
      </c>
      <c r="D428">
        <v>1.5478000000000001</v>
      </c>
      <c r="E428">
        <v>8.1189</v>
      </c>
      <c r="F428">
        <v>0.20280000000000001</v>
      </c>
      <c r="G428" s="284">
        <f t="shared" si="47"/>
        <v>8.3216999999999999</v>
      </c>
      <c r="H428" s="284">
        <v>8.1305999999999994</v>
      </c>
      <c r="I428" s="284">
        <f t="shared" si="50"/>
        <v>0.19110000000000049</v>
      </c>
      <c r="J428" s="283">
        <f t="shared" si="48"/>
        <v>1.1699999999999516E-2</v>
      </c>
      <c r="K428" s="285">
        <f t="shared" si="49"/>
        <v>5.7692307692305311</v>
      </c>
      <c r="L428">
        <v>35</v>
      </c>
      <c r="M428" s="16">
        <v>43388</v>
      </c>
      <c r="N428" s="286">
        <v>43389</v>
      </c>
      <c r="O428" s="16"/>
      <c r="R428" s="285"/>
    </row>
    <row r="429" spans="1:18">
      <c r="A429" t="s">
        <v>816</v>
      </c>
      <c r="C429" t="s">
        <v>3435</v>
      </c>
      <c r="D429">
        <v>1.4810000000000001</v>
      </c>
      <c r="E429">
        <v>11.2599</v>
      </c>
      <c r="F429">
        <v>0.20369999999999999</v>
      </c>
      <c r="G429">
        <f t="shared" si="47"/>
        <v>11.4636</v>
      </c>
      <c r="H429">
        <v>11.273099999999999</v>
      </c>
      <c r="I429" s="284">
        <f t="shared" si="50"/>
        <v>0.19050000000000011</v>
      </c>
      <c r="J429" s="283">
        <f t="shared" si="48"/>
        <v>1.3199999999999878E-2</v>
      </c>
      <c r="K429" s="285">
        <f t="shared" si="49"/>
        <v>6.4801178203239465</v>
      </c>
      <c r="L429">
        <v>16</v>
      </c>
      <c r="M429" s="16">
        <v>43402</v>
      </c>
      <c r="N429" s="16">
        <v>43403</v>
      </c>
      <c r="R429" s="285"/>
    </row>
    <row r="430" spans="1:18">
      <c r="A430" t="s">
        <v>814</v>
      </c>
      <c r="B430">
        <v>199</v>
      </c>
      <c r="C430" t="s">
        <v>2504</v>
      </c>
      <c r="D430">
        <v>1.431</v>
      </c>
      <c r="E430">
        <v>9.9192999999999998</v>
      </c>
      <c r="F430">
        <v>0.22140000000000001</v>
      </c>
      <c r="G430">
        <f t="shared" si="47"/>
        <v>10.140699999999999</v>
      </c>
      <c r="H430">
        <v>9.9268999999999998</v>
      </c>
      <c r="I430" s="284">
        <f t="shared" si="50"/>
        <v>0.2137999999999991</v>
      </c>
      <c r="J430" s="283">
        <f t="shared" si="48"/>
        <v>7.6000000000009116E-3</v>
      </c>
      <c r="K430" s="285">
        <f t="shared" si="49"/>
        <v>3.4327009936770145</v>
      </c>
      <c r="L430">
        <v>10</v>
      </c>
      <c r="M430" s="16">
        <v>43399</v>
      </c>
      <c r="N430" s="16">
        <v>43400</v>
      </c>
      <c r="R430" s="285"/>
    </row>
    <row r="431" spans="1:18">
      <c r="A431" t="s">
        <v>809</v>
      </c>
      <c r="C431" t="s">
        <v>3473</v>
      </c>
      <c r="D431">
        <v>1.6395999999999999</v>
      </c>
      <c r="E431">
        <v>9.8884000000000007</v>
      </c>
      <c r="F431">
        <v>0.20130000000000001</v>
      </c>
      <c r="G431" s="284">
        <f t="shared" si="47"/>
        <v>10.089700000000001</v>
      </c>
      <c r="H431" s="284">
        <v>9.9009999999999998</v>
      </c>
      <c r="I431" s="284">
        <f t="shared" si="50"/>
        <v>0.18870000000000076</v>
      </c>
      <c r="J431" s="283">
        <f t="shared" si="48"/>
        <v>1.2599999999999251E-2</v>
      </c>
      <c r="K431" s="285">
        <f t="shared" si="49"/>
        <v>6.259314456035395</v>
      </c>
      <c r="L431">
        <v>8</v>
      </c>
      <c r="M431" s="286">
        <v>43363</v>
      </c>
      <c r="N431" s="286">
        <v>43364</v>
      </c>
      <c r="O431" s="283" t="s">
        <v>3756</v>
      </c>
      <c r="R431" s="285"/>
    </row>
    <row r="432" spans="1:18">
      <c r="A432" t="s">
        <v>806</v>
      </c>
      <c r="B432">
        <v>210</v>
      </c>
      <c r="D432">
        <v>1.2941</v>
      </c>
      <c r="E432">
        <v>9.5571000000000002</v>
      </c>
      <c r="F432">
        <v>0.2389</v>
      </c>
      <c r="G432" s="284">
        <f t="shared" si="47"/>
        <v>9.7959999999999994</v>
      </c>
      <c r="H432" s="284">
        <v>9.77</v>
      </c>
      <c r="I432" s="284">
        <f t="shared" si="50"/>
        <v>2.5999999999999801E-2</v>
      </c>
      <c r="J432" s="283">
        <f t="shared" si="48"/>
        <v>0.2129000000000002</v>
      </c>
      <c r="K432" s="285">
        <f t="shared" si="49"/>
        <v>89.116785265801681</v>
      </c>
      <c r="L432">
        <v>28</v>
      </c>
      <c r="M432" s="16">
        <v>43388</v>
      </c>
      <c r="N432" s="286">
        <v>43389</v>
      </c>
      <c r="O432" s="16"/>
      <c r="R432" s="285"/>
    </row>
    <row r="433" spans="1:18">
      <c r="A433" t="s">
        <v>804</v>
      </c>
      <c r="C433" t="s">
        <v>3491</v>
      </c>
      <c r="D433">
        <v>1.7206999999999999</v>
      </c>
      <c r="E433">
        <v>8.1676000000000002</v>
      </c>
      <c r="F433">
        <v>0.224</v>
      </c>
      <c r="G433" s="284">
        <f t="shared" si="47"/>
        <v>8.3916000000000004</v>
      </c>
      <c r="H433" s="284">
        <v>8.1792999999999996</v>
      </c>
      <c r="I433" s="284">
        <f t="shared" si="50"/>
        <v>0.21230000000000082</v>
      </c>
      <c r="J433" s="283">
        <f t="shared" si="48"/>
        <v>1.1699999999999183E-2</v>
      </c>
      <c r="K433" s="285">
        <f t="shared" si="49"/>
        <v>5.2232142857139205</v>
      </c>
      <c r="L433">
        <v>17</v>
      </c>
      <c r="M433" s="286">
        <v>43363</v>
      </c>
      <c r="N433" s="286">
        <v>43364</v>
      </c>
      <c r="R433" s="285"/>
    </row>
    <row r="434" spans="1:18">
      <c r="A434" t="s">
        <v>803</v>
      </c>
      <c r="C434" t="s">
        <v>3461</v>
      </c>
      <c r="D434">
        <v>1.6274999999999999</v>
      </c>
      <c r="E434">
        <v>8.8462999999999994</v>
      </c>
      <c r="F434">
        <v>0.20580000000000001</v>
      </c>
      <c r="G434" s="284">
        <f t="shared" si="47"/>
        <v>9.0520999999999994</v>
      </c>
      <c r="H434" s="284">
        <v>8.8643999999999998</v>
      </c>
      <c r="I434" s="284">
        <f t="shared" si="50"/>
        <v>0.18769999999999953</v>
      </c>
      <c r="J434" s="283">
        <f t="shared" si="48"/>
        <v>1.8100000000000477E-2</v>
      </c>
      <c r="K434" s="285">
        <f t="shared" si="49"/>
        <v>8.794946550048822</v>
      </c>
      <c r="L434">
        <v>12</v>
      </c>
      <c r="M434" s="16">
        <v>43381</v>
      </c>
      <c r="N434" s="16">
        <v>43382</v>
      </c>
      <c r="R434" s="285"/>
    </row>
    <row r="435" spans="1:18">
      <c r="A435" t="s">
        <v>796</v>
      </c>
      <c r="C435" t="s">
        <v>3746</v>
      </c>
      <c r="D435">
        <v>1.8805000000000001</v>
      </c>
      <c r="E435">
        <v>10.7454</v>
      </c>
      <c r="F435">
        <v>0.2049</v>
      </c>
      <c r="G435" s="284">
        <f t="shared" si="47"/>
        <v>10.9503</v>
      </c>
      <c r="H435" s="284">
        <v>10.75</v>
      </c>
      <c r="I435" s="284">
        <f t="shared" si="50"/>
        <v>0.20030000000000037</v>
      </c>
      <c r="J435" s="283">
        <f t="shared" si="48"/>
        <v>4.5999999999996322E-3</v>
      </c>
      <c r="K435" s="285">
        <f t="shared" si="49"/>
        <v>2.2449975597850815</v>
      </c>
      <c r="L435">
        <v>30</v>
      </c>
      <c r="M435">
        <v>23.101800000000001</v>
      </c>
      <c r="N435" s="16">
        <v>43397</v>
      </c>
      <c r="R435" s="285"/>
    </row>
    <row r="436" spans="1:18">
      <c r="A436" t="s">
        <v>793</v>
      </c>
      <c r="B436">
        <v>205</v>
      </c>
      <c r="C436" t="s">
        <v>2504</v>
      </c>
      <c r="D436">
        <v>1.5878000000000001</v>
      </c>
      <c r="E436">
        <v>10.155200000000001</v>
      </c>
      <c r="F436">
        <v>0.22040000000000001</v>
      </c>
      <c r="G436" s="284">
        <f t="shared" si="47"/>
        <v>10.3756</v>
      </c>
      <c r="H436" s="284">
        <v>10.1684</v>
      </c>
      <c r="I436" s="284">
        <f t="shared" si="50"/>
        <v>0.20720000000000027</v>
      </c>
      <c r="J436" s="283">
        <f t="shared" si="48"/>
        <v>1.319999999999974E-2</v>
      </c>
      <c r="K436" s="285">
        <f t="shared" si="49"/>
        <v>5.9891107078038743</v>
      </c>
      <c r="L436">
        <v>20</v>
      </c>
      <c r="M436" s="16">
        <v>43399</v>
      </c>
      <c r="N436" s="16">
        <v>43400</v>
      </c>
      <c r="R436" s="285"/>
    </row>
    <row r="437" spans="1:18">
      <c r="A437" t="s">
        <v>791</v>
      </c>
      <c r="C437" t="s">
        <v>3490</v>
      </c>
      <c r="D437">
        <v>1.823</v>
      </c>
      <c r="E437">
        <v>8.9587000000000003</v>
      </c>
      <c r="F437">
        <v>0.20610000000000001</v>
      </c>
      <c r="G437">
        <f t="shared" si="47"/>
        <v>9.1647999999999996</v>
      </c>
      <c r="H437">
        <v>8.9678000000000004</v>
      </c>
      <c r="I437" s="284">
        <f t="shared" si="50"/>
        <v>0.19699999999999918</v>
      </c>
      <c r="J437" s="283">
        <f t="shared" si="48"/>
        <v>9.1000000000008296E-3</v>
      </c>
      <c r="K437" s="285">
        <f t="shared" si="49"/>
        <v>4.4153323629310188</v>
      </c>
      <c r="L437">
        <v>17</v>
      </c>
      <c r="M437" s="16">
        <v>43399</v>
      </c>
      <c r="N437" s="16">
        <v>43400</v>
      </c>
      <c r="R437" s="285"/>
    </row>
    <row r="438" spans="1:18">
      <c r="A438" t="s">
        <v>789</v>
      </c>
      <c r="B438">
        <v>198</v>
      </c>
      <c r="D438">
        <v>1.4137</v>
      </c>
      <c r="E438">
        <v>11.1548</v>
      </c>
      <c r="F438">
        <v>0.2175</v>
      </c>
      <c r="G438" s="284">
        <f t="shared" si="47"/>
        <v>11.372299999999999</v>
      </c>
      <c r="H438" s="284">
        <v>11.165900000000001</v>
      </c>
      <c r="I438" s="284">
        <f t="shared" si="50"/>
        <v>0.20639999999999858</v>
      </c>
      <c r="J438" s="283">
        <f t="shared" si="48"/>
        <v>1.1100000000001414E-2</v>
      </c>
      <c r="K438" s="285">
        <f t="shared" si="49"/>
        <v>5.1034482758627195</v>
      </c>
      <c r="L438">
        <v>1</v>
      </c>
      <c r="M438" s="16">
        <v>43395</v>
      </c>
      <c r="N438" s="16">
        <v>43396</v>
      </c>
      <c r="R438" s="285"/>
    </row>
    <row r="439" spans="1:18">
      <c r="A439" t="s">
        <v>784</v>
      </c>
      <c r="C439" t="s">
        <v>3469</v>
      </c>
      <c r="D439">
        <v>0</v>
      </c>
      <c r="E439">
        <v>0</v>
      </c>
      <c r="F439">
        <v>0</v>
      </c>
      <c r="G439">
        <v>0</v>
      </c>
      <c r="H439">
        <v>0</v>
      </c>
      <c r="I439">
        <v>0</v>
      </c>
      <c r="J439">
        <v>0</v>
      </c>
      <c r="K439">
        <v>0</v>
      </c>
    </row>
    <row r="440" spans="1:18">
      <c r="A440" t="s">
        <v>1105</v>
      </c>
      <c r="B440">
        <v>214</v>
      </c>
      <c r="C440" t="s">
        <v>2504</v>
      </c>
      <c r="D440">
        <v>1.6339999999999999</v>
      </c>
      <c r="E440">
        <v>8.8459000000000003</v>
      </c>
      <c r="F440">
        <v>0.2046</v>
      </c>
      <c r="G440" s="284">
        <f t="shared" ref="G440:G471" si="51">E440+F440</f>
        <v>9.0504999999999995</v>
      </c>
      <c r="H440" s="284">
        <v>8.8665000000000003</v>
      </c>
      <c r="I440" s="284">
        <f>G440-H440</f>
        <v>0.18399999999999928</v>
      </c>
      <c r="J440" s="283">
        <f t="shared" ref="J440:J471" si="52">F440-I440</f>
        <v>2.0600000000000729E-2</v>
      </c>
      <c r="K440" s="285">
        <f t="shared" ref="K440:K471" si="53">(J440/F440)*100</f>
        <v>10.068426197458811</v>
      </c>
      <c r="L440">
        <v>15</v>
      </c>
      <c r="M440">
        <v>23.101800000000001</v>
      </c>
      <c r="N440" s="16">
        <v>43397</v>
      </c>
      <c r="R440" s="285"/>
    </row>
    <row r="441" spans="1:18">
      <c r="A441" t="s">
        <v>780</v>
      </c>
      <c r="C441" t="s">
        <v>3741</v>
      </c>
      <c r="D441">
        <v>1.8967000000000001</v>
      </c>
      <c r="E441">
        <v>8.4458000000000002</v>
      </c>
      <c r="F441">
        <v>0.20280000000000001</v>
      </c>
      <c r="G441" s="284">
        <f t="shared" si="51"/>
        <v>8.6486000000000001</v>
      </c>
      <c r="H441" s="284">
        <v>8.4505999999999997</v>
      </c>
      <c r="I441" s="284">
        <f>G441-H441</f>
        <v>0.1980000000000004</v>
      </c>
      <c r="J441" s="283">
        <f t="shared" si="52"/>
        <v>4.7999999999996101E-3</v>
      </c>
      <c r="K441" s="285">
        <f t="shared" si="53"/>
        <v>2.3668639053252516</v>
      </c>
      <c r="L441">
        <v>36</v>
      </c>
      <c r="M441" s="286">
        <v>43362</v>
      </c>
      <c r="N441" s="286">
        <v>43363</v>
      </c>
      <c r="R441" s="285"/>
    </row>
    <row r="442" spans="1:18">
      <c r="A442" t="s">
        <v>776</v>
      </c>
      <c r="C442" t="s">
        <v>3760</v>
      </c>
      <c r="D442">
        <v>1.7755000000000001</v>
      </c>
      <c r="E442">
        <v>7.9063999999999997</v>
      </c>
      <c r="F442">
        <v>0.21579999999999999</v>
      </c>
      <c r="G442" s="284">
        <f t="shared" si="51"/>
        <v>8.1221999999999994</v>
      </c>
      <c r="H442" s="284">
        <v>7.9141000000000004</v>
      </c>
      <c r="I442" s="284">
        <f>G442-H442</f>
        <v>0.20809999999999906</v>
      </c>
      <c r="J442" s="283">
        <f t="shared" si="52"/>
        <v>7.7000000000009283E-3</v>
      </c>
      <c r="K442" s="285">
        <f t="shared" si="53"/>
        <v>3.5681186283600224</v>
      </c>
      <c r="L442">
        <v>20</v>
      </c>
      <c r="M442" s="286">
        <v>43363</v>
      </c>
      <c r="N442" s="286">
        <v>43364</v>
      </c>
      <c r="R442" s="285"/>
    </row>
    <row r="443" spans="1:18">
      <c r="A443" t="s">
        <v>775</v>
      </c>
      <c r="C443" t="s">
        <v>3780</v>
      </c>
      <c r="D443">
        <v>1.879</v>
      </c>
      <c r="E443">
        <v>8.8628</v>
      </c>
      <c r="F443">
        <v>0.2162</v>
      </c>
      <c r="G443" s="284">
        <f t="shared" si="51"/>
        <v>9.0790000000000006</v>
      </c>
      <c r="H443" s="284">
        <v>8.8699999999999992</v>
      </c>
      <c r="I443" s="284">
        <f>G443-H443</f>
        <v>0.20900000000000141</v>
      </c>
      <c r="J443" s="283">
        <f t="shared" si="52"/>
        <v>7.1999999999985964E-3</v>
      </c>
      <c r="K443" s="285">
        <f t="shared" si="53"/>
        <v>3.3302497687320054</v>
      </c>
      <c r="L443">
        <v>39</v>
      </c>
      <c r="M443" s="16">
        <v>43381</v>
      </c>
      <c r="N443" s="16">
        <v>43382</v>
      </c>
      <c r="R443" s="285"/>
    </row>
    <row r="444" spans="1:18">
      <c r="A444" t="s">
        <v>774</v>
      </c>
      <c r="C444" t="s">
        <v>3706</v>
      </c>
      <c r="D444" s="283">
        <v>1.6820999999999999</v>
      </c>
      <c r="E444" s="284">
        <v>8.2201000000000004</v>
      </c>
      <c r="F444" s="284">
        <v>0.20910000000000001</v>
      </c>
      <c r="G444" s="284">
        <f t="shared" si="51"/>
        <v>8.4291999999999998</v>
      </c>
      <c r="H444" s="284">
        <v>8.2262000000000004</v>
      </c>
      <c r="I444" s="284">
        <f>(G444-H444)</f>
        <v>0.2029999999999994</v>
      </c>
      <c r="J444" s="283">
        <f t="shared" si="52"/>
        <v>6.1000000000006049E-3</v>
      </c>
      <c r="K444" s="285">
        <f t="shared" si="53"/>
        <v>2.917264466762604</v>
      </c>
      <c r="L444" s="283">
        <v>1</v>
      </c>
      <c r="M444" s="286">
        <v>43360</v>
      </c>
      <c r="N444" s="286">
        <v>43361</v>
      </c>
      <c r="O444" s="283" t="s">
        <v>3707</v>
      </c>
      <c r="P444" s="283"/>
      <c r="R444" s="285"/>
    </row>
    <row r="445" spans="1:18">
      <c r="A445" t="s">
        <v>768</v>
      </c>
      <c r="C445" t="s">
        <v>3692</v>
      </c>
      <c r="D445">
        <v>1.3362000000000001</v>
      </c>
      <c r="E445">
        <v>11.2584</v>
      </c>
      <c r="F445">
        <v>0.2084</v>
      </c>
      <c r="G445" s="284">
        <f t="shared" si="51"/>
        <v>11.466799999999999</v>
      </c>
      <c r="H445" s="284">
        <v>11.2715</v>
      </c>
      <c r="I445" s="284">
        <f>(G445-H445)</f>
        <v>0.19529999999999959</v>
      </c>
      <c r="J445" s="283">
        <f t="shared" si="52"/>
        <v>1.3100000000000417E-2</v>
      </c>
      <c r="K445" s="285">
        <f t="shared" si="53"/>
        <v>6.2859884836854203</v>
      </c>
      <c r="L445">
        <v>18</v>
      </c>
      <c r="M445" s="286">
        <v>43360</v>
      </c>
      <c r="N445" s="286">
        <v>43361</v>
      </c>
      <c r="R445" s="285"/>
    </row>
    <row r="446" spans="1:18">
      <c r="A446" t="s">
        <v>764</v>
      </c>
      <c r="C446" t="s">
        <v>3669</v>
      </c>
      <c r="D446">
        <v>1.8328</v>
      </c>
      <c r="E446">
        <v>9.2349999999999994</v>
      </c>
      <c r="F446">
        <v>0.20230000000000001</v>
      </c>
      <c r="G446" s="284">
        <f t="shared" si="51"/>
        <v>9.4372999999999987</v>
      </c>
      <c r="H446" s="284">
        <v>9.2394999999999996</v>
      </c>
      <c r="I446" s="284">
        <f>(G446-H446)</f>
        <v>0.19779999999999909</v>
      </c>
      <c r="J446" s="283">
        <f t="shared" si="52"/>
        <v>4.5000000000009199E-3</v>
      </c>
      <c r="K446" s="285">
        <f t="shared" si="53"/>
        <v>2.2244191794369352</v>
      </c>
      <c r="L446">
        <v>16</v>
      </c>
      <c r="M446" s="16">
        <v>43358</v>
      </c>
      <c r="N446" s="16">
        <v>43358</v>
      </c>
      <c r="R446" s="285"/>
    </row>
    <row r="447" spans="1:18">
      <c r="A447" t="s">
        <v>762</v>
      </c>
      <c r="B447">
        <v>216</v>
      </c>
      <c r="D447">
        <v>1.5742</v>
      </c>
      <c r="E447">
        <v>10.619300000000001</v>
      </c>
      <c r="F447">
        <v>0.21970000000000001</v>
      </c>
      <c r="G447" s="284">
        <f t="shared" si="51"/>
        <v>10.839</v>
      </c>
      <c r="H447" s="284">
        <v>10.629899999999999</v>
      </c>
      <c r="I447" s="284">
        <f t="shared" ref="I447:I452" si="54">G447-H447</f>
        <v>0.20910000000000117</v>
      </c>
      <c r="J447" s="283">
        <f t="shared" si="52"/>
        <v>1.0599999999998833E-2</v>
      </c>
      <c r="K447" s="285">
        <f t="shared" si="53"/>
        <v>4.8247610377782575</v>
      </c>
      <c r="L447">
        <v>38</v>
      </c>
      <c r="M447" s="16">
        <v>43395</v>
      </c>
      <c r="N447" s="16">
        <v>43396</v>
      </c>
      <c r="R447" s="285"/>
    </row>
    <row r="448" spans="1:18">
      <c r="A448" t="s">
        <v>753</v>
      </c>
      <c r="C448" t="s">
        <v>3737</v>
      </c>
      <c r="D448">
        <v>1.2763</v>
      </c>
      <c r="E448">
        <v>19.389800000000001</v>
      </c>
      <c r="F448">
        <v>0.20469999999999999</v>
      </c>
      <c r="G448" s="284">
        <f t="shared" si="51"/>
        <v>19.5945</v>
      </c>
      <c r="H448" s="284">
        <v>19.420300000000001</v>
      </c>
      <c r="I448" s="284">
        <f t="shared" si="54"/>
        <v>0.17419999999999902</v>
      </c>
      <c r="J448" s="283">
        <f t="shared" si="52"/>
        <v>3.0500000000000971E-2</v>
      </c>
      <c r="K448" s="285">
        <f t="shared" si="53"/>
        <v>14.899853444064959</v>
      </c>
      <c r="L448">
        <v>38</v>
      </c>
      <c r="M448" s="286">
        <v>43361</v>
      </c>
      <c r="N448" s="286">
        <v>43362</v>
      </c>
      <c r="O448" s="283" t="s">
        <v>3730</v>
      </c>
      <c r="R448" s="285"/>
    </row>
    <row r="449" spans="1:18">
      <c r="A449" t="s">
        <v>752</v>
      </c>
      <c r="B449">
        <v>195</v>
      </c>
      <c r="D449">
        <v>0.56830000000000003</v>
      </c>
      <c r="E449">
        <v>9.8225999999999996</v>
      </c>
      <c r="F449">
        <v>0.21909999999999999</v>
      </c>
      <c r="G449" s="284">
        <f t="shared" si="51"/>
        <v>10.041699999999999</v>
      </c>
      <c r="H449" s="284">
        <v>9.9848999999999997</v>
      </c>
      <c r="I449" s="284">
        <f t="shared" si="54"/>
        <v>5.6799999999999073E-2</v>
      </c>
      <c r="J449" s="283">
        <f t="shared" si="52"/>
        <v>0.16230000000000092</v>
      </c>
      <c r="K449" s="285">
        <f t="shared" si="53"/>
        <v>74.075764491100372</v>
      </c>
      <c r="L449">
        <v>10</v>
      </c>
      <c r="M449">
        <v>23.101800000000001</v>
      </c>
      <c r="N449" s="16">
        <v>43397</v>
      </c>
      <c r="R449" s="285"/>
    </row>
    <row r="450" spans="1:18">
      <c r="A450" t="s">
        <v>747</v>
      </c>
      <c r="C450" t="s">
        <v>3727</v>
      </c>
      <c r="D450">
        <v>1.8078000000000001</v>
      </c>
      <c r="E450">
        <v>8.0646000000000004</v>
      </c>
      <c r="F450">
        <v>0.20039999999999999</v>
      </c>
      <c r="G450" s="284">
        <f t="shared" si="51"/>
        <v>8.2650000000000006</v>
      </c>
      <c r="H450" s="284">
        <v>8.0709</v>
      </c>
      <c r="I450" s="284">
        <f t="shared" si="54"/>
        <v>0.19410000000000061</v>
      </c>
      <c r="J450" s="283">
        <f t="shared" si="52"/>
        <v>6.2999999999993894E-3</v>
      </c>
      <c r="K450" s="285">
        <f t="shared" si="53"/>
        <v>3.1437125748499946</v>
      </c>
      <c r="L450">
        <v>5</v>
      </c>
      <c r="M450" s="16">
        <v>43388</v>
      </c>
      <c r="N450" s="286">
        <v>43389</v>
      </c>
      <c r="O450" s="286"/>
      <c r="P450" s="283"/>
      <c r="R450" s="285"/>
    </row>
    <row r="451" spans="1:18">
      <c r="A451" t="s">
        <v>744</v>
      </c>
      <c r="C451" t="s">
        <v>3467</v>
      </c>
      <c r="D451">
        <v>1.5781000000000001</v>
      </c>
      <c r="E451">
        <v>10.510899999999999</v>
      </c>
      <c r="F451">
        <v>0.21429999999999999</v>
      </c>
      <c r="G451" s="284">
        <f t="shared" si="51"/>
        <v>10.725199999999999</v>
      </c>
      <c r="H451" s="284">
        <v>10.534599999999999</v>
      </c>
      <c r="I451" s="284">
        <f t="shared" si="54"/>
        <v>0.19059999999999988</v>
      </c>
      <c r="J451" s="283">
        <f t="shared" si="52"/>
        <v>2.370000000000011E-2</v>
      </c>
      <c r="K451" s="285">
        <f t="shared" si="53"/>
        <v>11.059262715818997</v>
      </c>
      <c r="L451">
        <v>9</v>
      </c>
      <c r="M451" s="286">
        <v>43374</v>
      </c>
      <c r="N451" s="286">
        <v>43375</v>
      </c>
      <c r="O451" s="283" t="s">
        <v>3730</v>
      </c>
      <c r="R451" s="285"/>
    </row>
    <row r="452" spans="1:18">
      <c r="A452" t="s">
        <v>740</v>
      </c>
      <c r="C452" t="s">
        <v>3490</v>
      </c>
      <c r="D452">
        <v>1.6440999999999999</v>
      </c>
      <c r="E452">
        <v>11.003</v>
      </c>
      <c r="F452">
        <v>0.20680000000000001</v>
      </c>
      <c r="G452" s="284">
        <f t="shared" si="51"/>
        <v>11.2098</v>
      </c>
      <c r="H452" s="284">
        <v>11.013500000000001</v>
      </c>
      <c r="I452" s="284">
        <f t="shared" si="54"/>
        <v>0.19629999999999903</v>
      </c>
      <c r="J452" s="283">
        <f t="shared" si="52"/>
        <v>1.0500000000000981E-2</v>
      </c>
      <c r="K452" s="285">
        <f t="shared" si="53"/>
        <v>5.077369439072041</v>
      </c>
      <c r="L452">
        <v>9</v>
      </c>
      <c r="M452" s="286">
        <v>43363</v>
      </c>
      <c r="N452" s="286">
        <v>43364</v>
      </c>
      <c r="O452" s="283"/>
      <c r="R452" s="285"/>
    </row>
    <row r="453" spans="1:18">
      <c r="A453" t="s">
        <v>739</v>
      </c>
      <c r="C453" t="s">
        <v>3700</v>
      </c>
      <c r="D453">
        <v>1.7668999999999999</v>
      </c>
      <c r="E453">
        <v>8.0885999999999996</v>
      </c>
      <c r="F453">
        <v>0.215</v>
      </c>
      <c r="G453" s="284">
        <f t="shared" si="51"/>
        <v>8.3035999999999994</v>
      </c>
      <c r="H453" s="284">
        <v>8.0952000000000002</v>
      </c>
      <c r="I453" s="284">
        <f>(G453-H453)</f>
        <v>0.20839999999999925</v>
      </c>
      <c r="J453" s="283">
        <f t="shared" si="52"/>
        <v>6.6000000000007442E-3</v>
      </c>
      <c r="K453" s="285">
        <f t="shared" si="53"/>
        <v>3.0697674418608112</v>
      </c>
      <c r="L453">
        <v>39</v>
      </c>
      <c r="M453" s="286">
        <v>43360</v>
      </c>
      <c r="N453" s="286">
        <v>43361</v>
      </c>
      <c r="R453" s="285"/>
    </row>
    <row r="454" spans="1:18">
      <c r="A454" t="s">
        <v>734</v>
      </c>
      <c r="C454" t="s">
        <v>3751</v>
      </c>
      <c r="D454">
        <v>1.8056000000000001</v>
      </c>
      <c r="E454">
        <v>10.636699999999999</v>
      </c>
      <c r="F454">
        <v>0.23100000000000001</v>
      </c>
      <c r="G454" s="284">
        <f t="shared" si="51"/>
        <v>10.867699999999999</v>
      </c>
      <c r="H454" s="284">
        <v>10.6434</v>
      </c>
      <c r="I454" s="284">
        <f>G454-H454</f>
        <v>0.2242999999999995</v>
      </c>
      <c r="J454" s="283">
        <f t="shared" si="52"/>
        <v>6.7000000000005111E-3</v>
      </c>
      <c r="K454" s="285">
        <f t="shared" si="53"/>
        <v>2.9004329004331213</v>
      </c>
      <c r="L454">
        <v>22</v>
      </c>
      <c r="M454" s="16">
        <v>43395</v>
      </c>
      <c r="N454" s="16">
        <v>43396</v>
      </c>
      <c r="R454" s="285"/>
    </row>
    <row r="455" spans="1:18">
      <c r="A455" t="s">
        <v>725</v>
      </c>
      <c r="C455" t="s">
        <v>3725</v>
      </c>
      <c r="D455">
        <v>1.8526</v>
      </c>
      <c r="E455">
        <v>8.1366999999999994</v>
      </c>
      <c r="F455">
        <v>0.21049999999999999</v>
      </c>
      <c r="G455" s="284">
        <f t="shared" si="51"/>
        <v>8.3471999999999991</v>
      </c>
      <c r="H455" s="284">
        <v>8.1405999999999992</v>
      </c>
      <c r="I455" s="284">
        <f>(G455-H455)</f>
        <v>0.20659999999999989</v>
      </c>
      <c r="J455" s="283">
        <f t="shared" si="52"/>
        <v>3.9000000000000978E-3</v>
      </c>
      <c r="K455" s="285">
        <f t="shared" si="53"/>
        <v>1.8527315914489777</v>
      </c>
      <c r="L455">
        <v>36</v>
      </c>
      <c r="M455" s="286">
        <v>43360</v>
      </c>
      <c r="N455" s="286">
        <v>43361</v>
      </c>
      <c r="O455" s="283" t="s">
        <v>3707</v>
      </c>
      <c r="R455" s="285"/>
    </row>
    <row r="456" spans="1:18">
      <c r="A456" t="s">
        <v>719</v>
      </c>
      <c r="C456" t="s">
        <v>3496</v>
      </c>
      <c r="D456">
        <v>1.8026</v>
      </c>
      <c r="E456">
        <v>10.2728</v>
      </c>
      <c r="F456">
        <v>0.20960000000000001</v>
      </c>
      <c r="G456" s="284">
        <f t="shared" si="51"/>
        <v>10.4824</v>
      </c>
      <c r="H456" s="284">
        <v>10.2812</v>
      </c>
      <c r="I456" s="284">
        <f>G456-H456</f>
        <v>0.20120000000000005</v>
      </c>
      <c r="J456" s="283">
        <f t="shared" si="52"/>
        <v>8.3999999999999631E-3</v>
      </c>
      <c r="K456" s="285">
        <f t="shared" si="53"/>
        <v>4.0076335877862421</v>
      </c>
      <c r="L456">
        <v>8</v>
      </c>
      <c r="M456" s="286">
        <v>43363</v>
      </c>
      <c r="N456" s="286">
        <v>43364</v>
      </c>
      <c r="O456" s="283"/>
      <c r="R456" s="285"/>
    </row>
    <row r="457" spans="1:18">
      <c r="A457" t="s">
        <v>716</v>
      </c>
      <c r="C457" t="s">
        <v>3425</v>
      </c>
      <c r="D457">
        <v>1.667</v>
      </c>
      <c r="E457">
        <v>8.2201000000000004</v>
      </c>
      <c r="F457">
        <v>0.20880000000000001</v>
      </c>
      <c r="G457" s="284">
        <f t="shared" si="51"/>
        <v>8.4289000000000005</v>
      </c>
      <c r="H457" s="284">
        <v>8.2344000000000008</v>
      </c>
      <c r="I457" s="284">
        <f>G457-H457</f>
        <v>0.19449999999999967</v>
      </c>
      <c r="J457" s="283">
        <f t="shared" si="52"/>
        <v>1.430000000000034E-2</v>
      </c>
      <c r="K457" s="285">
        <f t="shared" si="53"/>
        <v>6.8486590038315791</v>
      </c>
      <c r="L457">
        <v>21</v>
      </c>
      <c r="M457">
        <v>23.101800000000001</v>
      </c>
      <c r="N457" s="16">
        <v>43397</v>
      </c>
      <c r="R457" s="285"/>
    </row>
    <row r="458" spans="1:18">
      <c r="A458" t="s">
        <v>1098</v>
      </c>
      <c r="C458" t="s">
        <v>3753</v>
      </c>
      <c r="D458">
        <v>1.8907</v>
      </c>
      <c r="E458">
        <v>10.5229</v>
      </c>
      <c r="F458">
        <v>0.2137</v>
      </c>
      <c r="G458" s="284">
        <f t="shared" si="51"/>
        <v>10.736599999999999</v>
      </c>
      <c r="H458" s="284">
        <v>10.530200000000001</v>
      </c>
      <c r="I458" s="284">
        <f>G458-H458</f>
        <v>0.20639999999999858</v>
      </c>
      <c r="J458" s="283">
        <f t="shared" si="52"/>
        <v>7.3000000000014165E-3</v>
      </c>
      <c r="K458" s="285">
        <f t="shared" si="53"/>
        <v>3.4160037435664092</v>
      </c>
      <c r="L458">
        <v>31</v>
      </c>
      <c r="M458" s="286">
        <v>43362</v>
      </c>
      <c r="N458" s="286">
        <v>43363</v>
      </c>
      <c r="R458" s="285"/>
    </row>
    <row r="459" spans="1:18">
      <c r="A459" t="s">
        <v>698</v>
      </c>
      <c r="C459" t="s">
        <v>3681</v>
      </c>
      <c r="D459">
        <v>1.4162999999999999</v>
      </c>
      <c r="E459">
        <v>10.855600000000001</v>
      </c>
      <c r="F459">
        <v>0.2001</v>
      </c>
      <c r="G459" s="284">
        <f t="shared" si="51"/>
        <v>11.055700000000002</v>
      </c>
      <c r="H459" s="284">
        <v>10.8756</v>
      </c>
      <c r="I459" s="284">
        <f>(G459-H459)</f>
        <v>0.18010000000000126</v>
      </c>
      <c r="J459" s="283">
        <f t="shared" si="52"/>
        <v>1.9999999999998741E-2</v>
      </c>
      <c r="K459" s="285">
        <f t="shared" si="53"/>
        <v>9.9950024987499955</v>
      </c>
      <c r="L459">
        <v>4</v>
      </c>
      <c r="M459" s="286">
        <v>43360</v>
      </c>
      <c r="N459" s="286">
        <v>43361</v>
      </c>
      <c r="O459" s="283"/>
      <c r="R459" s="285"/>
    </row>
    <row r="460" spans="1:18">
      <c r="A460" t="s">
        <v>686</v>
      </c>
      <c r="B460">
        <v>196</v>
      </c>
      <c r="D460">
        <v>0</v>
      </c>
      <c r="E460">
        <v>0</v>
      </c>
      <c r="F460">
        <v>0</v>
      </c>
      <c r="G460" s="284">
        <f t="shared" si="51"/>
        <v>0</v>
      </c>
      <c r="H460" s="284">
        <v>0</v>
      </c>
      <c r="I460" s="284">
        <v>0</v>
      </c>
      <c r="J460" s="283">
        <f t="shared" si="52"/>
        <v>0</v>
      </c>
      <c r="K460" s="285" t="e">
        <f t="shared" si="53"/>
        <v>#DIV/0!</v>
      </c>
      <c r="M460" s="16">
        <v>43395</v>
      </c>
      <c r="N460" s="16">
        <v>43396</v>
      </c>
      <c r="R460" s="285"/>
    </row>
    <row r="461" spans="1:18">
      <c r="A461" t="s">
        <v>650</v>
      </c>
      <c r="C461" t="s">
        <v>3426</v>
      </c>
      <c r="D461">
        <v>1.7578</v>
      </c>
      <c r="E461">
        <v>8.1340000000000003</v>
      </c>
      <c r="F461">
        <v>0.20430000000000001</v>
      </c>
      <c r="G461" s="284">
        <f t="shared" si="51"/>
        <v>8.3383000000000003</v>
      </c>
      <c r="H461" s="284">
        <v>8.1639999999999997</v>
      </c>
      <c r="I461" s="284">
        <f t="shared" ref="I461:I468" si="55">G461-H461</f>
        <v>0.17430000000000057</v>
      </c>
      <c r="J461" s="283">
        <f t="shared" si="52"/>
        <v>2.9999999999999444E-2</v>
      </c>
      <c r="K461" s="285">
        <f t="shared" si="53"/>
        <v>14.684287812040845</v>
      </c>
      <c r="L461">
        <v>26</v>
      </c>
      <c r="M461">
        <v>23.101800000000001</v>
      </c>
      <c r="N461" s="16">
        <v>43397</v>
      </c>
      <c r="R461" s="285"/>
    </row>
    <row r="462" spans="1:18">
      <c r="A462" t="s">
        <v>1136</v>
      </c>
      <c r="G462" s="288">
        <f t="shared" si="51"/>
        <v>0</v>
      </c>
      <c r="H462" s="284"/>
      <c r="I462" s="288">
        <f t="shared" si="55"/>
        <v>0</v>
      </c>
      <c r="J462" s="283">
        <f t="shared" si="52"/>
        <v>0</v>
      </c>
      <c r="K462" s="285" t="e">
        <f t="shared" si="53"/>
        <v>#DIV/0!</v>
      </c>
      <c r="M462" s="286">
        <v>43379</v>
      </c>
      <c r="N462" s="286">
        <v>43379</v>
      </c>
      <c r="P462" t="s">
        <v>3773</v>
      </c>
      <c r="R462" s="285"/>
    </row>
    <row r="463" spans="1:18">
      <c r="A463" t="s">
        <v>627</v>
      </c>
      <c r="C463" t="s">
        <v>3436</v>
      </c>
      <c r="D463">
        <v>1.5656000000000001</v>
      </c>
      <c r="E463">
        <v>10.795299999999999</v>
      </c>
      <c r="F463">
        <v>0.20569999999999999</v>
      </c>
      <c r="G463" s="284">
        <f t="shared" si="51"/>
        <v>11.000999999999999</v>
      </c>
      <c r="H463" s="284">
        <v>10.8185</v>
      </c>
      <c r="I463" s="284">
        <f t="shared" si="55"/>
        <v>0.18249999999999922</v>
      </c>
      <c r="J463" s="283">
        <f t="shared" si="52"/>
        <v>2.3200000000000776E-2</v>
      </c>
      <c r="K463" s="285">
        <f t="shared" si="53"/>
        <v>11.27856101118171</v>
      </c>
      <c r="L463">
        <v>4</v>
      </c>
      <c r="M463" s="16">
        <v>43399</v>
      </c>
      <c r="N463" s="16">
        <v>43400</v>
      </c>
      <c r="R463" s="285"/>
    </row>
    <row r="464" spans="1:18">
      <c r="A464" t="s">
        <v>625</v>
      </c>
      <c r="B464">
        <v>208</v>
      </c>
      <c r="D464">
        <v>1.4911000000000001</v>
      </c>
      <c r="E464">
        <v>9.1992999999999991</v>
      </c>
      <c r="F464">
        <v>0.21929999999999999</v>
      </c>
      <c r="G464" s="284">
        <f t="shared" si="51"/>
        <v>9.4185999999999996</v>
      </c>
      <c r="H464" s="284">
        <v>9.3717000000000006</v>
      </c>
      <c r="I464" s="284">
        <f t="shared" si="55"/>
        <v>4.6899999999999054E-2</v>
      </c>
      <c r="J464" s="283">
        <f t="shared" si="52"/>
        <v>0.17240000000000094</v>
      </c>
      <c r="K464" s="285">
        <f t="shared" si="53"/>
        <v>78.613771089831701</v>
      </c>
      <c r="L464">
        <v>36</v>
      </c>
      <c r="M464" s="16">
        <v>43388</v>
      </c>
      <c r="N464" s="286">
        <v>43389</v>
      </c>
      <c r="O464" s="16"/>
      <c r="R464" s="285"/>
    </row>
    <row r="465" spans="1:18">
      <c r="A465" t="s">
        <v>1089</v>
      </c>
      <c r="C465" t="s">
        <v>3473</v>
      </c>
      <c r="D465">
        <v>4.8792999999999997</v>
      </c>
      <c r="E465">
        <v>7.9619999999999997</v>
      </c>
      <c r="F465">
        <v>0.22500000000000001</v>
      </c>
      <c r="G465">
        <f t="shared" si="51"/>
        <v>8.1869999999999994</v>
      </c>
      <c r="H465">
        <v>8.1724999999999994</v>
      </c>
      <c r="I465" s="284">
        <f t="shared" si="55"/>
        <v>1.4499999999999957E-2</v>
      </c>
      <c r="J465" s="283">
        <f t="shared" si="52"/>
        <v>0.21050000000000005</v>
      </c>
      <c r="K465" s="285">
        <f t="shared" si="53"/>
        <v>93.555555555555571</v>
      </c>
      <c r="L465">
        <v>35</v>
      </c>
      <c r="M465" s="16">
        <v>43399</v>
      </c>
      <c r="N465" s="16">
        <v>43400</v>
      </c>
      <c r="P465" t="s">
        <v>3792</v>
      </c>
      <c r="R465" s="285"/>
    </row>
    <row r="466" spans="1:18">
      <c r="A466" t="s">
        <v>590</v>
      </c>
      <c r="B466">
        <v>207</v>
      </c>
      <c r="D466">
        <v>8.0813000000000006</v>
      </c>
      <c r="E466">
        <v>10.7455</v>
      </c>
      <c r="F466">
        <v>0.2243</v>
      </c>
      <c r="G466" s="284">
        <f t="shared" si="51"/>
        <v>10.969799999999999</v>
      </c>
      <c r="H466" s="284">
        <v>10.9605</v>
      </c>
      <c r="I466" s="284">
        <f t="shared" si="55"/>
        <v>9.2999999999996419E-3</v>
      </c>
      <c r="J466" s="283">
        <f t="shared" si="52"/>
        <v>0.21500000000000036</v>
      </c>
      <c r="K466" s="285">
        <f t="shared" si="53"/>
        <v>95.853767275969844</v>
      </c>
      <c r="L466">
        <v>27</v>
      </c>
      <c r="M466" s="16">
        <v>43388</v>
      </c>
      <c r="N466" s="286">
        <v>43389</v>
      </c>
      <c r="O466" s="16"/>
      <c r="P466" t="s">
        <v>3783</v>
      </c>
      <c r="R466" s="285"/>
    </row>
    <row r="467" spans="1:18">
      <c r="A467" t="s">
        <v>555</v>
      </c>
      <c r="C467" t="s">
        <v>3423</v>
      </c>
      <c r="D467">
        <v>1.7028000000000001</v>
      </c>
      <c r="E467">
        <v>7.7161</v>
      </c>
      <c r="F467">
        <v>0.20880000000000001</v>
      </c>
      <c r="G467" s="284">
        <f t="shared" si="51"/>
        <v>7.9249000000000001</v>
      </c>
      <c r="H467" s="284">
        <v>7.8704999999999998</v>
      </c>
      <c r="I467" s="284">
        <f t="shared" si="55"/>
        <v>5.4400000000000226E-2</v>
      </c>
      <c r="J467" s="283">
        <f t="shared" si="52"/>
        <v>0.15439999999999979</v>
      </c>
      <c r="K467" s="285">
        <f t="shared" si="53"/>
        <v>73.946360153256592</v>
      </c>
      <c r="L467">
        <v>42</v>
      </c>
      <c r="M467" s="16">
        <v>43399</v>
      </c>
      <c r="N467" s="16">
        <v>43400</v>
      </c>
      <c r="R467" s="285"/>
    </row>
    <row r="468" spans="1:18">
      <c r="A468" t="s">
        <v>542</v>
      </c>
      <c r="B468">
        <v>210</v>
      </c>
      <c r="D468">
        <v>1.5698000000000001</v>
      </c>
      <c r="E468">
        <v>10.5413</v>
      </c>
      <c r="F468">
        <v>0.2316</v>
      </c>
      <c r="G468" s="284">
        <f t="shared" si="51"/>
        <v>10.7729</v>
      </c>
      <c r="H468" s="284">
        <v>10.5496</v>
      </c>
      <c r="I468" s="284">
        <f t="shared" si="55"/>
        <v>0.22330000000000005</v>
      </c>
      <c r="J468" s="283">
        <f t="shared" si="52"/>
        <v>8.2999999999999463E-3</v>
      </c>
      <c r="K468" s="285">
        <f t="shared" si="53"/>
        <v>3.5837651122624985</v>
      </c>
      <c r="L468">
        <v>12</v>
      </c>
      <c r="M468" s="16">
        <v>43395</v>
      </c>
      <c r="N468" s="16">
        <v>43396</v>
      </c>
      <c r="R468" s="285"/>
    </row>
    <row r="469" spans="1:18">
      <c r="A469" t="s">
        <v>539</v>
      </c>
      <c r="C469" t="s">
        <v>3723</v>
      </c>
      <c r="D469">
        <v>1.8286</v>
      </c>
      <c r="E469">
        <v>9.68</v>
      </c>
      <c r="F469">
        <v>0.20250000000000001</v>
      </c>
      <c r="G469" s="284">
        <f t="shared" si="51"/>
        <v>9.8825000000000003</v>
      </c>
      <c r="H469" s="284">
        <v>9.6837</v>
      </c>
      <c r="I469" s="284">
        <f>(G469-H469)</f>
        <v>0.19880000000000031</v>
      </c>
      <c r="J469" s="283">
        <f t="shared" si="52"/>
        <v>3.6999999999997035E-3</v>
      </c>
      <c r="K469" s="285">
        <f t="shared" si="53"/>
        <v>1.8271604938270138</v>
      </c>
      <c r="L469">
        <v>33</v>
      </c>
      <c r="M469" s="286">
        <v>43360</v>
      </c>
      <c r="N469" s="286">
        <v>43361</v>
      </c>
      <c r="O469" s="283" t="s">
        <v>3707</v>
      </c>
      <c r="R469" s="285"/>
    </row>
    <row r="470" spans="1:18">
      <c r="A470" t="s">
        <v>537</v>
      </c>
      <c r="C470" t="s">
        <v>3745</v>
      </c>
      <c r="D470">
        <v>1.903</v>
      </c>
      <c r="E470">
        <v>19.691500000000001</v>
      </c>
      <c r="F470">
        <v>0.20649999999999999</v>
      </c>
      <c r="G470" s="284">
        <f t="shared" si="51"/>
        <v>19.898</v>
      </c>
      <c r="H470" s="284">
        <v>19.696200000000001</v>
      </c>
      <c r="I470" s="284">
        <f>G470-H470</f>
        <v>0.20179999999999865</v>
      </c>
      <c r="J470" s="283">
        <f t="shared" si="52"/>
        <v>4.700000000001342E-3</v>
      </c>
      <c r="K470" s="285">
        <f t="shared" si="53"/>
        <v>2.2760290556907226</v>
      </c>
      <c r="L470">
        <v>11</v>
      </c>
      <c r="M470" s="286">
        <v>43362</v>
      </c>
      <c r="N470" s="286">
        <v>43363</v>
      </c>
      <c r="O470" s="283"/>
      <c r="R470" s="285"/>
    </row>
    <row r="471" spans="1:18">
      <c r="A471" t="s">
        <v>536</v>
      </c>
      <c r="C471" t="s">
        <v>3754</v>
      </c>
      <c r="D471">
        <v>1.7423999999999999</v>
      </c>
      <c r="E471">
        <v>10.315099999999999</v>
      </c>
      <c r="F471">
        <v>0.21060000000000001</v>
      </c>
      <c r="G471" s="284">
        <f t="shared" si="51"/>
        <v>10.525699999999999</v>
      </c>
      <c r="H471" s="284">
        <v>10.321999999999999</v>
      </c>
      <c r="I471" s="284">
        <f>G471-H471</f>
        <v>0.20369999999999955</v>
      </c>
      <c r="J471" s="283">
        <f t="shared" si="52"/>
        <v>6.9000000000004613E-3</v>
      </c>
      <c r="K471" s="285">
        <f t="shared" si="53"/>
        <v>3.2763532763534955</v>
      </c>
      <c r="L471">
        <v>34</v>
      </c>
      <c r="M471" s="286">
        <v>43362</v>
      </c>
      <c r="N471" s="286">
        <v>43363</v>
      </c>
      <c r="R471" s="285"/>
    </row>
    <row r="472" spans="1:18">
      <c r="A472" t="s">
        <v>535</v>
      </c>
      <c r="B472">
        <v>207</v>
      </c>
      <c r="D472">
        <v>1.4268000000000001</v>
      </c>
      <c r="E472">
        <v>8.0485000000000007</v>
      </c>
      <c r="F472">
        <v>0.21410000000000001</v>
      </c>
      <c r="G472" s="284">
        <f t="shared" ref="G472:G503" si="56">E472+F472</f>
        <v>8.2626000000000008</v>
      </c>
      <c r="H472" s="284">
        <v>8.0561000000000007</v>
      </c>
      <c r="I472" s="284">
        <f>G472-H472</f>
        <v>0.20650000000000013</v>
      </c>
      <c r="J472" s="283">
        <f t="shared" ref="J472:J503" si="57">F472-I472</f>
        <v>7.5999999999998846E-3</v>
      </c>
      <c r="K472" s="285">
        <f t="shared" ref="K472:K503" si="58">(J472/F472)*100</f>
        <v>3.5497431106958826</v>
      </c>
      <c r="L472">
        <v>19</v>
      </c>
      <c r="M472" s="16">
        <v>43395</v>
      </c>
      <c r="N472" s="16">
        <v>43396</v>
      </c>
      <c r="R472" s="285"/>
    </row>
    <row r="473" spans="1:18">
      <c r="A473" t="s">
        <v>534</v>
      </c>
      <c r="C473" t="s">
        <v>3467</v>
      </c>
      <c r="D473">
        <v>1.6539999999999999</v>
      </c>
      <c r="E473">
        <v>9.7266999999999992</v>
      </c>
      <c r="F473">
        <v>0.20380000000000001</v>
      </c>
      <c r="G473" s="284">
        <f t="shared" si="56"/>
        <v>9.9304999999999986</v>
      </c>
      <c r="H473" s="284">
        <v>9.7454999999999998</v>
      </c>
      <c r="I473" s="284">
        <f>G473-H473</f>
        <v>0.18499999999999872</v>
      </c>
      <c r="J473" s="283">
        <f t="shared" si="57"/>
        <v>1.8800000000001288E-2</v>
      </c>
      <c r="K473" s="285">
        <f t="shared" si="58"/>
        <v>9.224730127576688</v>
      </c>
      <c r="L473">
        <v>12</v>
      </c>
      <c r="M473" s="286">
        <v>43362</v>
      </c>
      <c r="N473" s="286">
        <v>43363</v>
      </c>
      <c r="O473" s="283"/>
      <c r="R473" s="285"/>
    </row>
    <row r="474" spans="1:18">
      <c r="A474" t="s">
        <v>533</v>
      </c>
      <c r="C474" t="s">
        <v>3685</v>
      </c>
      <c r="D474">
        <v>1.8287</v>
      </c>
      <c r="E474">
        <v>10.795</v>
      </c>
      <c r="F474">
        <v>0.20930000000000001</v>
      </c>
      <c r="G474" s="284">
        <f t="shared" si="56"/>
        <v>11.004300000000001</v>
      </c>
      <c r="H474" s="284">
        <v>10.799099999999999</v>
      </c>
      <c r="I474" s="284">
        <f>(G474-H474)</f>
        <v>0.20520000000000138</v>
      </c>
      <c r="J474" s="283">
        <f t="shared" si="57"/>
        <v>4.0999999999986325E-3</v>
      </c>
      <c r="K474" s="285">
        <f t="shared" si="58"/>
        <v>1.9589106545621751</v>
      </c>
      <c r="L474">
        <v>11</v>
      </c>
      <c r="M474" s="286">
        <v>43360</v>
      </c>
      <c r="N474" s="286">
        <v>43361</v>
      </c>
      <c r="O474" s="283" t="s">
        <v>3707</v>
      </c>
      <c r="R474" s="285"/>
    </row>
    <row r="475" spans="1:18">
      <c r="A475" t="s">
        <v>531</v>
      </c>
      <c r="B475">
        <v>217</v>
      </c>
      <c r="C475" t="s">
        <v>2504</v>
      </c>
      <c r="D475">
        <v>1.4722</v>
      </c>
      <c r="E475">
        <v>9.0527999999999995</v>
      </c>
      <c r="F475">
        <v>0.23350000000000001</v>
      </c>
      <c r="G475">
        <f t="shared" si="56"/>
        <v>9.2862999999999989</v>
      </c>
      <c r="H475">
        <v>9.0609000000000002</v>
      </c>
      <c r="I475" s="284">
        <f>G475-H475</f>
        <v>0.22539999999999871</v>
      </c>
      <c r="J475" s="283">
        <f t="shared" si="57"/>
        <v>8.1000000000013006E-3</v>
      </c>
      <c r="K475" s="285">
        <f t="shared" si="58"/>
        <v>3.468950749465225</v>
      </c>
      <c r="L475">
        <v>38</v>
      </c>
      <c r="M475" s="16">
        <v>43399</v>
      </c>
      <c r="N475" s="16">
        <v>43400</v>
      </c>
      <c r="R475" s="285"/>
    </row>
    <row r="476" spans="1:18">
      <c r="A476" t="s">
        <v>530</v>
      </c>
      <c r="C476" t="s">
        <v>3500</v>
      </c>
      <c r="D476" s="283">
        <v>1.8170999999999999</v>
      </c>
      <c r="E476" s="284">
        <v>10.675599999999999</v>
      </c>
      <c r="F476" s="284">
        <v>0.2026</v>
      </c>
      <c r="G476" s="284">
        <f t="shared" si="56"/>
        <v>10.8782</v>
      </c>
      <c r="H476" s="284">
        <v>10.683199999999999</v>
      </c>
      <c r="I476" s="284">
        <f>(G476-H476)</f>
        <v>0.19500000000000028</v>
      </c>
      <c r="J476" s="283">
        <f t="shared" si="57"/>
        <v>7.5999999999997181E-3</v>
      </c>
      <c r="K476" s="285">
        <f t="shared" si="58"/>
        <v>3.7512339585388541</v>
      </c>
      <c r="L476" s="283">
        <v>1</v>
      </c>
      <c r="M476" s="286">
        <v>43360</v>
      </c>
      <c r="N476" s="286">
        <v>43361</v>
      </c>
      <c r="O476" s="283"/>
      <c r="P476" s="283"/>
      <c r="R476" s="285"/>
    </row>
    <row r="477" spans="1:18">
      <c r="A477" t="s">
        <v>1080</v>
      </c>
      <c r="C477" t="s">
        <v>3688</v>
      </c>
      <c r="D477">
        <v>1.8147</v>
      </c>
      <c r="E477">
        <v>11.0875</v>
      </c>
      <c r="F477">
        <v>0.2051</v>
      </c>
      <c r="G477" s="284">
        <f t="shared" si="56"/>
        <v>11.2926</v>
      </c>
      <c r="H477" s="284">
        <v>11.093400000000001</v>
      </c>
      <c r="I477" s="284">
        <f>(G477-H477)</f>
        <v>0.19919999999999938</v>
      </c>
      <c r="J477" s="283">
        <f t="shared" si="57"/>
        <v>5.900000000000627E-3</v>
      </c>
      <c r="K477" s="285">
        <f t="shared" si="58"/>
        <v>2.8766455387618852</v>
      </c>
      <c r="L477">
        <v>12</v>
      </c>
      <c r="M477" s="286">
        <v>43360</v>
      </c>
      <c r="N477" s="286">
        <v>43361</v>
      </c>
      <c r="O477" s="283"/>
      <c r="R477" s="285"/>
    </row>
    <row r="478" spans="1:18">
      <c r="A478" t="s">
        <v>529</v>
      </c>
      <c r="C478" t="s">
        <v>3676</v>
      </c>
      <c r="D478">
        <v>1.7833000000000001</v>
      </c>
      <c r="E478">
        <v>7.7732999999999999</v>
      </c>
      <c r="F478">
        <v>0.20349999999999999</v>
      </c>
      <c r="G478" s="284">
        <f t="shared" si="56"/>
        <v>7.9767999999999999</v>
      </c>
      <c r="H478" s="284">
        <v>7.7792000000000003</v>
      </c>
      <c r="I478" s="284">
        <f>(G478-H478)</f>
        <v>0.19759999999999955</v>
      </c>
      <c r="J478" s="283">
        <f t="shared" si="57"/>
        <v>5.9000000000004327E-3</v>
      </c>
      <c r="K478" s="285">
        <f t="shared" si="58"/>
        <v>2.8992628992631118</v>
      </c>
      <c r="L478">
        <v>31</v>
      </c>
      <c r="M478" s="16">
        <v>43358</v>
      </c>
      <c r="N478" s="16">
        <v>43358</v>
      </c>
      <c r="R478" s="285"/>
    </row>
    <row r="479" spans="1:18">
      <c r="A479" t="s">
        <v>528</v>
      </c>
      <c r="B479">
        <v>194</v>
      </c>
      <c r="D479">
        <v>1.4630000000000001</v>
      </c>
      <c r="E479">
        <v>10.2719</v>
      </c>
      <c r="F479">
        <v>0.2374</v>
      </c>
      <c r="G479" s="284">
        <f t="shared" si="56"/>
        <v>10.5093</v>
      </c>
      <c r="H479" s="284">
        <v>10.2799</v>
      </c>
      <c r="I479" s="284">
        <f>G479-H479</f>
        <v>0.22940000000000005</v>
      </c>
      <c r="J479" s="283">
        <f t="shared" si="57"/>
        <v>7.9999999999999516E-3</v>
      </c>
      <c r="K479" s="285">
        <f t="shared" si="58"/>
        <v>3.3698399326031812</v>
      </c>
      <c r="L479">
        <v>41</v>
      </c>
      <c r="M479" s="16">
        <v>43388</v>
      </c>
      <c r="N479" s="286">
        <v>43389</v>
      </c>
      <c r="O479" s="16"/>
      <c r="R479" s="285"/>
    </row>
    <row r="480" spans="1:18">
      <c r="A480" t="s">
        <v>527</v>
      </c>
      <c r="C480" t="s">
        <v>3464</v>
      </c>
      <c r="D480">
        <v>2.9346999999999999</v>
      </c>
      <c r="E480">
        <v>7.0765000000000002</v>
      </c>
      <c r="F480">
        <v>0.20419999999999999</v>
      </c>
      <c r="G480" s="284">
        <f t="shared" si="56"/>
        <v>7.2807000000000004</v>
      </c>
      <c r="H480" s="284">
        <v>7.2693000000000003</v>
      </c>
      <c r="I480" s="284">
        <f>G480-H480</f>
        <v>1.1400000000000077E-2</v>
      </c>
      <c r="J480" s="283">
        <f t="shared" si="57"/>
        <v>0.19279999999999992</v>
      </c>
      <c r="K480" s="285">
        <f t="shared" si="58"/>
        <v>94.417238001958822</v>
      </c>
      <c r="L480">
        <v>24</v>
      </c>
      <c r="M480" s="286">
        <v>43374</v>
      </c>
      <c r="N480" s="286">
        <v>43375</v>
      </c>
      <c r="O480" s="283" t="s">
        <v>3730</v>
      </c>
      <c r="R480" s="285"/>
    </row>
    <row r="481" spans="1:18">
      <c r="A481" t="s">
        <v>526</v>
      </c>
      <c r="C481" t="s">
        <v>3468</v>
      </c>
      <c r="D481">
        <v>1.5807</v>
      </c>
      <c r="E481">
        <v>9.4860000000000007</v>
      </c>
      <c r="F481">
        <v>0.20150000000000001</v>
      </c>
      <c r="G481" s="284">
        <f t="shared" si="56"/>
        <v>9.6875</v>
      </c>
      <c r="H481" s="284">
        <v>9.5311000000000003</v>
      </c>
      <c r="I481" s="284">
        <f>G481-H481</f>
        <v>0.15639999999999965</v>
      </c>
      <c r="J481" s="283">
        <f t="shared" si="57"/>
        <v>4.5100000000000362E-2</v>
      </c>
      <c r="K481" s="285">
        <f t="shared" si="58"/>
        <v>22.3821339950374</v>
      </c>
      <c r="L481">
        <v>25</v>
      </c>
      <c r="M481" s="286">
        <v>43374</v>
      </c>
      <c r="N481" s="286">
        <v>43375</v>
      </c>
      <c r="O481" s="283" t="s">
        <v>3730</v>
      </c>
      <c r="R481" s="285"/>
    </row>
    <row r="482" spans="1:18">
      <c r="A482" t="s">
        <v>525</v>
      </c>
      <c r="C482" t="s">
        <v>3671</v>
      </c>
      <c r="D482">
        <v>1.7997000000000001</v>
      </c>
      <c r="E482">
        <v>8.7592999999999996</v>
      </c>
      <c r="F482">
        <v>0.2092</v>
      </c>
      <c r="G482" s="284">
        <f t="shared" si="56"/>
        <v>8.9684999999999988</v>
      </c>
      <c r="H482" s="284">
        <v>8.7647999999999993</v>
      </c>
      <c r="I482" s="284">
        <f>(G482-H482)</f>
        <v>0.20369999999999955</v>
      </c>
      <c r="J482" s="283">
        <f t="shared" si="57"/>
        <v>5.500000000000449E-3</v>
      </c>
      <c r="K482" s="285">
        <f t="shared" si="58"/>
        <v>2.629063097514555</v>
      </c>
      <c r="L482">
        <v>11</v>
      </c>
      <c r="M482" s="16">
        <v>43358</v>
      </c>
      <c r="N482" s="16">
        <v>43358</v>
      </c>
      <c r="R482" s="285"/>
    </row>
    <row r="483" spans="1:18">
      <c r="A483" t="s">
        <v>524</v>
      </c>
      <c r="C483" t="s">
        <v>3456</v>
      </c>
      <c r="D483">
        <v>1.2862</v>
      </c>
      <c r="E483">
        <v>9.7268000000000008</v>
      </c>
      <c r="F483">
        <v>0.20030000000000001</v>
      </c>
      <c r="G483" s="288">
        <f t="shared" si="56"/>
        <v>9.9271000000000011</v>
      </c>
      <c r="H483" s="284">
        <v>9.7872000000000003</v>
      </c>
      <c r="I483" s="288">
        <f>G483-H483</f>
        <v>0.1399000000000008</v>
      </c>
      <c r="J483" s="283">
        <f t="shared" si="57"/>
        <v>6.0399999999999204E-2</v>
      </c>
      <c r="K483" s="285">
        <f t="shared" si="58"/>
        <v>30.154767848227259</v>
      </c>
      <c r="L483">
        <v>29</v>
      </c>
      <c r="M483" s="286">
        <v>43379</v>
      </c>
      <c r="N483" s="286">
        <v>43379</v>
      </c>
      <c r="R483" s="285"/>
    </row>
    <row r="484" spans="1:18">
      <c r="A484" t="s">
        <v>523</v>
      </c>
      <c r="C484" t="s">
        <v>3743</v>
      </c>
      <c r="D484">
        <v>1.7892999999999999</v>
      </c>
      <c r="E484">
        <v>7.4820000000000002</v>
      </c>
      <c r="F484">
        <v>0.20480000000000001</v>
      </c>
      <c r="G484" s="284">
        <f t="shared" si="56"/>
        <v>7.6867999999999999</v>
      </c>
      <c r="H484" s="284">
        <v>7.4873000000000003</v>
      </c>
      <c r="I484" s="284">
        <f>G484-H484</f>
        <v>0.19949999999999957</v>
      </c>
      <c r="J484" s="283">
        <f t="shared" si="57"/>
        <v>5.3000000000004432E-3</v>
      </c>
      <c r="K484" s="285">
        <f t="shared" si="58"/>
        <v>2.5878906250002163</v>
      </c>
      <c r="L484">
        <v>32</v>
      </c>
      <c r="M484" s="16">
        <v>43381</v>
      </c>
      <c r="N484" s="16">
        <v>43382</v>
      </c>
      <c r="R484" s="285"/>
    </row>
    <row r="485" spans="1:18">
      <c r="A485" t="s">
        <v>522</v>
      </c>
      <c r="C485" t="s">
        <v>3491</v>
      </c>
      <c r="D485">
        <v>1.7042999999999999</v>
      </c>
      <c r="E485">
        <v>8.8626000000000005</v>
      </c>
      <c r="F485">
        <v>0.2026</v>
      </c>
      <c r="G485" s="284">
        <f t="shared" si="56"/>
        <v>9.0652000000000008</v>
      </c>
      <c r="H485" s="284">
        <v>8.8676999999999992</v>
      </c>
      <c r="I485" s="284">
        <f>G485-H485</f>
        <v>0.19750000000000156</v>
      </c>
      <c r="J485" s="283">
        <f t="shared" si="57"/>
        <v>5.0999999999984391E-3</v>
      </c>
      <c r="K485" s="285">
        <f t="shared" si="58"/>
        <v>2.5172754195451326</v>
      </c>
      <c r="L485">
        <v>10</v>
      </c>
      <c r="M485" s="286">
        <v>43363</v>
      </c>
      <c r="N485" s="286">
        <v>43364</v>
      </c>
      <c r="O485" s="283" t="s">
        <v>3756</v>
      </c>
      <c r="R485" s="285"/>
    </row>
    <row r="486" spans="1:18">
      <c r="A486" t="s">
        <v>521</v>
      </c>
      <c r="C486" t="s">
        <v>3732</v>
      </c>
      <c r="D486" s="283">
        <v>1.786</v>
      </c>
      <c r="E486" s="284">
        <v>8.8610000000000007</v>
      </c>
      <c r="F486" s="284">
        <v>0.21629999999999999</v>
      </c>
      <c r="G486" s="284">
        <f t="shared" si="56"/>
        <v>9.077300000000001</v>
      </c>
      <c r="H486" s="284">
        <v>8.8727</v>
      </c>
      <c r="I486" s="284">
        <f>G486-H486</f>
        <v>0.204600000000001</v>
      </c>
      <c r="J486" s="283">
        <f t="shared" si="57"/>
        <v>1.1699999999998989E-2</v>
      </c>
      <c r="K486" s="285">
        <f t="shared" si="58"/>
        <v>5.4091539528428063</v>
      </c>
      <c r="L486" s="283">
        <v>1</v>
      </c>
      <c r="M486" s="286">
        <v>43363</v>
      </c>
      <c r="N486" s="286">
        <v>43364</v>
      </c>
      <c r="O486" s="283"/>
      <c r="P486" s="283"/>
      <c r="R486" s="285"/>
    </row>
    <row r="487" spans="1:18">
      <c r="A487" t="s">
        <v>520</v>
      </c>
      <c r="C487" t="s">
        <v>3698</v>
      </c>
      <c r="D487">
        <v>1.8220000000000001</v>
      </c>
      <c r="E487">
        <v>10.9032</v>
      </c>
      <c r="F487">
        <v>0.20369999999999999</v>
      </c>
      <c r="G487" s="284">
        <f t="shared" si="56"/>
        <v>11.1069</v>
      </c>
      <c r="H487" s="284">
        <v>10.9102</v>
      </c>
      <c r="I487" s="284">
        <f>G487-H487</f>
        <v>0.19669999999999987</v>
      </c>
      <c r="J487" s="283">
        <f t="shared" si="57"/>
        <v>7.0000000000001172E-3</v>
      </c>
      <c r="K487" s="285">
        <f t="shared" si="58"/>
        <v>3.4364261168385459</v>
      </c>
      <c r="L487">
        <v>5</v>
      </c>
      <c r="M487" s="16">
        <v>43381</v>
      </c>
      <c r="N487" s="16">
        <v>43382</v>
      </c>
      <c r="R487" s="285"/>
    </row>
    <row r="488" spans="1:18">
      <c r="A488" t="s">
        <v>519</v>
      </c>
      <c r="C488" t="s">
        <v>3663</v>
      </c>
      <c r="D488">
        <v>1.8440000000000001</v>
      </c>
      <c r="E488">
        <v>11.105</v>
      </c>
      <c r="F488">
        <v>0.20319999999999999</v>
      </c>
      <c r="G488" s="284">
        <f t="shared" si="56"/>
        <v>11.308200000000001</v>
      </c>
      <c r="H488" s="284">
        <v>11.111700000000001</v>
      </c>
      <c r="I488" s="284">
        <f>(G488-H488)</f>
        <v>0.19650000000000034</v>
      </c>
      <c r="J488" s="283">
        <f t="shared" si="57"/>
        <v>6.6999999999996507E-3</v>
      </c>
      <c r="K488" s="285">
        <f t="shared" si="58"/>
        <v>3.2972440944880175</v>
      </c>
      <c r="L488">
        <v>13</v>
      </c>
      <c r="M488" s="16">
        <v>43358</v>
      </c>
      <c r="N488" s="16">
        <v>43358</v>
      </c>
      <c r="R488" s="285"/>
    </row>
    <row r="489" spans="1:18">
      <c r="A489" t="s">
        <v>518</v>
      </c>
      <c r="B489">
        <v>203</v>
      </c>
      <c r="C489" t="s">
        <v>2504</v>
      </c>
      <c r="D489">
        <v>1.4706999999999999</v>
      </c>
      <c r="E489">
        <v>8.0893999999999995</v>
      </c>
      <c r="F489">
        <v>0.22309999999999999</v>
      </c>
      <c r="G489">
        <f t="shared" si="56"/>
        <v>8.3125</v>
      </c>
      <c r="H489">
        <v>8.0984999999999996</v>
      </c>
      <c r="I489" s="284">
        <f t="shared" ref="I489:I498" si="59">G489-H489</f>
        <v>0.21400000000000041</v>
      </c>
      <c r="J489" s="283">
        <f t="shared" si="57"/>
        <v>9.0999999999995806E-3</v>
      </c>
      <c r="K489" s="285">
        <f t="shared" si="58"/>
        <v>4.0788883908559299</v>
      </c>
      <c r="L489">
        <v>10</v>
      </c>
      <c r="M489" s="16">
        <v>43402</v>
      </c>
      <c r="N489" s="16">
        <v>43403</v>
      </c>
      <c r="R489" s="285"/>
    </row>
    <row r="490" spans="1:18">
      <c r="A490" t="s">
        <v>517</v>
      </c>
      <c r="B490">
        <v>216</v>
      </c>
      <c r="D490">
        <v>1.4694</v>
      </c>
      <c r="E490">
        <v>7.9946000000000002</v>
      </c>
      <c r="F490">
        <v>0.20860000000000001</v>
      </c>
      <c r="G490" s="284">
        <f t="shared" si="56"/>
        <v>8.2032000000000007</v>
      </c>
      <c r="H490" s="284">
        <v>8.0044000000000004</v>
      </c>
      <c r="I490" s="284">
        <f t="shared" si="59"/>
        <v>0.19880000000000031</v>
      </c>
      <c r="J490" s="283">
        <f t="shared" si="57"/>
        <v>9.7999999999996978E-3</v>
      </c>
      <c r="K490" s="285">
        <f t="shared" si="58"/>
        <v>4.6979865771810632</v>
      </c>
      <c r="L490">
        <v>25</v>
      </c>
      <c r="M490" s="16">
        <v>43395</v>
      </c>
      <c r="N490" s="16">
        <v>43396</v>
      </c>
      <c r="R490" s="285"/>
    </row>
    <row r="491" spans="1:18">
      <c r="A491" t="s">
        <v>516</v>
      </c>
      <c r="B491">
        <v>193</v>
      </c>
      <c r="D491">
        <v>1.2164999999999999</v>
      </c>
      <c r="E491">
        <v>7.3555000000000001</v>
      </c>
      <c r="F491">
        <v>0.21340000000000001</v>
      </c>
      <c r="G491" s="284">
        <f t="shared" si="56"/>
        <v>7.5689000000000002</v>
      </c>
      <c r="H491" s="284">
        <v>7.3685</v>
      </c>
      <c r="I491" s="284">
        <f t="shared" si="59"/>
        <v>0.20040000000000013</v>
      </c>
      <c r="J491" s="283">
        <f t="shared" si="57"/>
        <v>1.2999999999999873E-2</v>
      </c>
      <c r="K491" s="285">
        <f t="shared" si="58"/>
        <v>6.0918462980318058</v>
      </c>
      <c r="L491">
        <v>8</v>
      </c>
      <c r="M491" s="16">
        <v>43395</v>
      </c>
      <c r="N491" s="16">
        <v>43396</v>
      </c>
      <c r="R491" s="285"/>
    </row>
    <row r="492" spans="1:18">
      <c r="A492" t="s">
        <v>515</v>
      </c>
      <c r="C492" t="s">
        <v>3761</v>
      </c>
      <c r="D492">
        <v>0.83020000000000005</v>
      </c>
      <c r="E492">
        <v>7.1901999999999999</v>
      </c>
      <c r="F492">
        <v>0.2041</v>
      </c>
      <c r="G492" s="284">
        <f t="shared" si="56"/>
        <v>7.3943000000000003</v>
      </c>
      <c r="H492" s="284">
        <v>7.3662999999999998</v>
      </c>
      <c r="I492" s="284">
        <f t="shared" si="59"/>
        <v>2.8000000000000469E-2</v>
      </c>
      <c r="J492" s="283">
        <f t="shared" si="57"/>
        <v>0.17609999999999953</v>
      </c>
      <c r="K492" s="285">
        <f t="shared" si="58"/>
        <v>86.281234688877774</v>
      </c>
      <c r="L492">
        <v>29</v>
      </c>
      <c r="M492" s="286">
        <v>43363</v>
      </c>
      <c r="N492" s="286">
        <v>43364</v>
      </c>
      <c r="R492" s="285"/>
    </row>
    <row r="493" spans="1:18">
      <c r="A493" t="s">
        <v>514</v>
      </c>
      <c r="B493">
        <v>208</v>
      </c>
      <c r="D493">
        <v>1.5009999999999999</v>
      </c>
      <c r="E493">
        <v>10.315300000000001</v>
      </c>
      <c r="F493">
        <v>0.20960000000000001</v>
      </c>
      <c r="G493" s="284">
        <f t="shared" si="56"/>
        <v>10.524900000000001</v>
      </c>
      <c r="H493" s="284">
        <v>10.331799999999999</v>
      </c>
      <c r="I493" s="284">
        <f t="shared" si="59"/>
        <v>0.19310000000000116</v>
      </c>
      <c r="J493" s="283">
        <f t="shared" si="57"/>
        <v>1.6499999999998849E-2</v>
      </c>
      <c r="K493" s="285">
        <f t="shared" si="58"/>
        <v>7.8721374045796031</v>
      </c>
      <c r="L493">
        <v>39</v>
      </c>
      <c r="M493" s="16">
        <v>43388</v>
      </c>
      <c r="N493" s="286">
        <v>43389</v>
      </c>
      <c r="O493" s="16"/>
      <c r="R493" s="285"/>
    </row>
    <row r="494" spans="1:18">
      <c r="A494" t="s">
        <v>512</v>
      </c>
      <c r="B494">
        <v>211</v>
      </c>
      <c r="C494" t="s">
        <v>2504</v>
      </c>
      <c r="D494">
        <v>1.5597000000000001</v>
      </c>
      <c r="E494">
        <v>10.057</v>
      </c>
      <c r="F494">
        <v>0.2034</v>
      </c>
      <c r="G494" s="284">
        <f t="shared" si="56"/>
        <v>10.260400000000001</v>
      </c>
      <c r="H494" s="284">
        <v>10.0685</v>
      </c>
      <c r="I494" s="284">
        <f t="shared" si="59"/>
        <v>0.1919000000000004</v>
      </c>
      <c r="J494" s="283">
        <f t="shared" si="57"/>
        <v>1.1499999999999594E-2</v>
      </c>
      <c r="K494" s="285">
        <f t="shared" si="58"/>
        <v>5.6538839724678436</v>
      </c>
      <c r="L494">
        <v>14</v>
      </c>
      <c r="M494" s="16">
        <v>43388</v>
      </c>
      <c r="N494" s="286">
        <v>43389</v>
      </c>
      <c r="O494" s="286"/>
      <c r="P494" s="283"/>
      <c r="R494" s="285"/>
    </row>
    <row r="495" spans="1:18">
      <c r="A495" t="s">
        <v>511</v>
      </c>
      <c r="C495" t="s">
        <v>3427</v>
      </c>
      <c r="D495">
        <v>1.5824</v>
      </c>
      <c r="E495">
        <v>10.315300000000001</v>
      </c>
      <c r="F495">
        <v>0.20150000000000001</v>
      </c>
      <c r="G495" s="284">
        <f t="shared" si="56"/>
        <v>10.5168</v>
      </c>
      <c r="H495" s="284">
        <v>10.333500000000001</v>
      </c>
      <c r="I495" s="284">
        <f t="shared" si="59"/>
        <v>0.18329999999999913</v>
      </c>
      <c r="J495" s="283">
        <f t="shared" si="57"/>
        <v>1.8200000000000882E-2</v>
      </c>
      <c r="K495" s="285">
        <f t="shared" si="58"/>
        <v>9.0322580645165651</v>
      </c>
      <c r="L495">
        <v>42</v>
      </c>
      <c r="M495">
        <v>23.101800000000001</v>
      </c>
      <c r="N495" s="16">
        <v>43397</v>
      </c>
      <c r="R495" s="285"/>
    </row>
    <row r="496" spans="1:18">
      <c r="A496" t="s">
        <v>510</v>
      </c>
      <c r="C496" t="s">
        <v>3414</v>
      </c>
      <c r="D496">
        <v>1.6624000000000001</v>
      </c>
      <c r="E496">
        <v>9.1379999999999999</v>
      </c>
      <c r="F496">
        <v>0.20480000000000001</v>
      </c>
      <c r="G496" s="284">
        <f t="shared" si="56"/>
        <v>9.3428000000000004</v>
      </c>
      <c r="H496" s="284">
        <v>9.1547000000000001</v>
      </c>
      <c r="I496" s="284">
        <f t="shared" si="59"/>
        <v>0.18810000000000038</v>
      </c>
      <c r="J496" s="283">
        <f t="shared" si="57"/>
        <v>1.6699999999999632E-2</v>
      </c>
      <c r="K496" s="285">
        <f t="shared" si="58"/>
        <v>8.1542968749998188</v>
      </c>
      <c r="L496">
        <v>9</v>
      </c>
      <c r="M496" s="16">
        <v>43388</v>
      </c>
      <c r="N496" s="286">
        <v>43389</v>
      </c>
      <c r="O496" s="286"/>
      <c r="P496" s="283"/>
      <c r="R496" s="285"/>
    </row>
    <row r="497" spans="1:18">
      <c r="A497" t="s">
        <v>507</v>
      </c>
      <c r="C497" t="s">
        <v>3750</v>
      </c>
      <c r="D497">
        <v>1.8246</v>
      </c>
      <c r="E497">
        <v>10.1165</v>
      </c>
      <c r="F497">
        <v>0.22919999999999999</v>
      </c>
      <c r="G497" s="284">
        <f t="shared" si="56"/>
        <v>10.345700000000001</v>
      </c>
      <c r="H497" s="284">
        <v>10.1234</v>
      </c>
      <c r="I497" s="284">
        <f t="shared" si="59"/>
        <v>0.22230000000000061</v>
      </c>
      <c r="J497" s="283">
        <f t="shared" si="57"/>
        <v>6.8999999999993789E-3</v>
      </c>
      <c r="K497" s="285">
        <f t="shared" si="58"/>
        <v>3.0104712041882107</v>
      </c>
      <c r="L497">
        <v>37</v>
      </c>
      <c r="M497" s="286">
        <v>43362</v>
      </c>
      <c r="N497" s="286">
        <v>43363</v>
      </c>
      <c r="R497" s="285"/>
    </row>
    <row r="498" spans="1:18">
      <c r="A498" t="s">
        <v>506</v>
      </c>
      <c r="C498" t="s">
        <v>3422</v>
      </c>
      <c r="D498">
        <v>1.4185000000000001</v>
      </c>
      <c r="E498">
        <v>9.0531000000000006</v>
      </c>
      <c r="F498">
        <v>0.2029</v>
      </c>
      <c r="G498" s="284">
        <f t="shared" si="56"/>
        <v>9.2560000000000002</v>
      </c>
      <c r="H498" s="284">
        <v>9.0648999999999997</v>
      </c>
      <c r="I498" s="284">
        <f t="shared" si="59"/>
        <v>0.19110000000000049</v>
      </c>
      <c r="J498" s="283">
        <f t="shared" si="57"/>
        <v>1.1799999999999505E-2</v>
      </c>
      <c r="K498" s="285">
        <f t="shared" si="58"/>
        <v>5.8156727451944334</v>
      </c>
      <c r="L498">
        <v>29</v>
      </c>
      <c r="M498">
        <v>23.101800000000001</v>
      </c>
      <c r="N498" s="16">
        <v>43397</v>
      </c>
      <c r="R498" s="285"/>
    </row>
    <row r="499" spans="1:18">
      <c r="A499" t="s">
        <v>505</v>
      </c>
      <c r="C499" t="s">
        <v>3689</v>
      </c>
      <c r="D499">
        <v>1.77</v>
      </c>
      <c r="E499">
        <v>7.1905999999999999</v>
      </c>
      <c r="F499">
        <v>0.23119999999999999</v>
      </c>
      <c r="G499" s="284">
        <f t="shared" si="56"/>
        <v>7.4218000000000002</v>
      </c>
      <c r="H499" s="284">
        <v>7.1957000000000004</v>
      </c>
      <c r="I499" s="284">
        <f>(G499-H499)</f>
        <v>0.22609999999999975</v>
      </c>
      <c r="J499" s="283">
        <f t="shared" si="57"/>
        <v>5.1000000000002432E-3</v>
      </c>
      <c r="K499" s="285">
        <f t="shared" si="58"/>
        <v>2.2058823529412819</v>
      </c>
      <c r="L499">
        <v>15</v>
      </c>
      <c r="M499" s="286">
        <v>43360</v>
      </c>
      <c r="N499" s="286">
        <v>43361</v>
      </c>
      <c r="O499" s="283" t="s">
        <v>3707</v>
      </c>
      <c r="R499" s="285"/>
    </row>
    <row r="500" spans="1:18">
      <c r="A500" t="s">
        <v>504</v>
      </c>
      <c r="C500" t="s">
        <v>3492</v>
      </c>
      <c r="D500">
        <v>1.7962</v>
      </c>
      <c r="E500">
        <v>7.8727</v>
      </c>
      <c r="F500">
        <v>0.2001</v>
      </c>
      <c r="G500" s="284">
        <f t="shared" si="56"/>
        <v>8.0728000000000009</v>
      </c>
      <c r="H500" s="284">
        <v>7.8800999999999997</v>
      </c>
      <c r="I500" s="284">
        <f t="shared" ref="I500:I517" si="60">G500-H500</f>
        <v>0.1927000000000012</v>
      </c>
      <c r="J500" s="283">
        <f t="shared" si="57"/>
        <v>7.3999999999987964E-3</v>
      </c>
      <c r="K500" s="285">
        <f t="shared" si="58"/>
        <v>3.6981509245371296</v>
      </c>
      <c r="L500">
        <v>13</v>
      </c>
      <c r="M500" s="286">
        <v>43363</v>
      </c>
      <c r="N500" s="286">
        <v>43364</v>
      </c>
      <c r="O500" s="283" t="s">
        <v>3756</v>
      </c>
      <c r="R500" s="285"/>
    </row>
    <row r="501" spans="1:18">
      <c r="A501" t="s">
        <v>503</v>
      </c>
      <c r="C501" t="s">
        <v>3787</v>
      </c>
      <c r="D501">
        <v>1.6620999999999999</v>
      </c>
      <c r="E501">
        <v>8.1369000000000007</v>
      </c>
      <c r="F501">
        <v>0.20960000000000001</v>
      </c>
      <c r="G501" s="284">
        <f t="shared" si="56"/>
        <v>8.3465000000000007</v>
      </c>
      <c r="H501" s="284">
        <v>8.1450999999999993</v>
      </c>
      <c r="I501" s="284">
        <f t="shared" si="60"/>
        <v>0.20140000000000136</v>
      </c>
      <c r="J501" s="283">
        <f t="shared" si="57"/>
        <v>8.1999999999986528E-3</v>
      </c>
      <c r="K501" s="285">
        <f t="shared" si="58"/>
        <v>3.9122137404573722</v>
      </c>
      <c r="L501">
        <v>35</v>
      </c>
      <c r="M501" s="16">
        <v>43399</v>
      </c>
      <c r="N501" s="16">
        <v>43400</v>
      </c>
      <c r="R501" s="285"/>
    </row>
    <row r="502" spans="1:18">
      <c r="A502" t="s">
        <v>502</v>
      </c>
      <c r="B502">
        <v>205</v>
      </c>
      <c r="C502" t="s">
        <v>2504</v>
      </c>
      <c r="D502">
        <v>1.4805999999999999</v>
      </c>
      <c r="E502">
        <v>8.8626000000000005</v>
      </c>
      <c r="F502">
        <v>0.2109</v>
      </c>
      <c r="G502" s="284">
        <f t="shared" si="56"/>
        <v>9.073500000000001</v>
      </c>
      <c r="H502" s="284">
        <v>8.8729999999999993</v>
      </c>
      <c r="I502" s="284">
        <f t="shared" si="60"/>
        <v>0.20050000000000168</v>
      </c>
      <c r="J502" s="283">
        <f t="shared" si="57"/>
        <v>1.0399999999998327E-2</v>
      </c>
      <c r="K502" s="285">
        <f t="shared" si="58"/>
        <v>4.9312470365094017</v>
      </c>
      <c r="L502">
        <v>6</v>
      </c>
      <c r="M502">
        <v>23.101800000000001</v>
      </c>
      <c r="N502" s="16">
        <v>43397</v>
      </c>
      <c r="R502" s="285"/>
    </row>
    <row r="503" spans="1:18">
      <c r="A503" t="s">
        <v>501</v>
      </c>
      <c r="C503" t="s">
        <v>3765</v>
      </c>
      <c r="D503">
        <v>1.4117999999999999</v>
      </c>
      <c r="E503">
        <v>19.3901</v>
      </c>
      <c r="F503">
        <v>0.22070000000000001</v>
      </c>
      <c r="G503" s="284">
        <f t="shared" si="56"/>
        <v>19.610800000000001</v>
      </c>
      <c r="H503" s="284">
        <v>19.406400000000001</v>
      </c>
      <c r="I503" s="284">
        <f t="shared" si="60"/>
        <v>0.20439999999999969</v>
      </c>
      <c r="J503" s="283">
        <f t="shared" si="57"/>
        <v>1.6300000000000314E-2</v>
      </c>
      <c r="K503" s="285">
        <f t="shared" si="58"/>
        <v>7.3855913004079357</v>
      </c>
      <c r="L503">
        <v>41</v>
      </c>
      <c r="M503" s="286">
        <v>43363</v>
      </c>
      <c r="N503" s="286">
        <v>43364</v>
      </c>
      <c r="R503" s="285"/>
    </row>
    <row r="504" spans="1:18">
      <c r="A504" t="s">
        <v>500</v>
      </c>
      <c r="B504">
        <v>218</v>
      </c>
      <c r="D504">
        <v>1.4678</v>
      </c>
      <c r="E504">
        <v>7.7157</v>
      </c>
      <c r="F504">
        <v>0.21829999999999999</v>
      </c>
      <c r="G504" s="284">
        <f t="shared" ref="G504:G535" si="61">E504+F504</f>
        <v>7.9340000000000002</v>
      </c>
      <c r="H504" s="284">
        <v>7.7264999999999997</v>
      </c>
      <c r="I504" s="284">
        <f t="shared" si="60"/>
        <v>0.20750000000000046</v>
      </c>
      <c r="J504" s="283">
        <f t="shared" ref="J504:J535" si="62">F504-I504</f>
        <v>1.0799999999999532E-2</v>
      </c>
      <c r="K504" s="285">
        <f t="shared" ref="K504:K535" si="63">(J504/F504)*100</f>
        <v>4.9473202015572753</v>
      </c>
      <c r="L504">
        <v>17</v>
      </c>
      <c r="M504" s="16">
        <v>43395</v>
      </c>
      <c r="N504" s="16">
        <v>43396</v>
      </c>
      <c r="R504" s="285"/>
    </row>
    <row r="505" spans="1:18">
      <c r="A505" t="s">
        <v>499</v>
      </c>
      <c r="C505" t="s">
        <v>3426</v>
      </c>
      <c r="D505">
        <v>1.4698</v>
      </c>
      <c r="E505">
        <v>9.3225999999999996</v>
      </c>
      <c r="F505">
        <v>0.2089</v>
      </c>
      <c r="G505" s="288">
        <f t="shared" si="61"/>
        <v>9.5314999999999994</v>
      </c>
      <c r="H505" s="284">
        <v>9.3557000000000006</v>
      </c>
      <c r="I505" s="288">
        <f t="shared" si="60"/>
        <v>0.17579999999999885</v>
      </c>
      <c r="J505" s="283">
        <f t="shared" si="62"/>
        <v>3.3100000000001156E-2</v>
      </c>
      <c r="K505" s="285">
        <f t="shared" si="63"/>
        <v>15.844901866922525</v>
      </c>
      <c r="L505">
        <v>25</v>
      </c>
      <c r="M505" s="286">
        <v>43379</v>
      </c>
      <c r="N505" s="286">
        <v>43379</v>
      </c>
      <c r="R505" s="285"/>
    </row>
    <row r="506" spans="1:18">
      <c r="A506" t="s">
        <v>498</v>
      </c>
      <c r="C506" t="s">
        <v>3784</v>
      </c>
      <c r="D506">
        <v>1.7523</v>
      </c>
      <c r="E506">
        <v>7.0940000000000003</v>
      </c>
      <c r="F506">
        <v>0.20949999999999999</v>
      </c>
      <c r="G506" s="284">
        <f t="shared" si="61"/>
        <v>7.3035000000000005</v>
      </c>
      <c r="H506" s="284">
        <v>7.1018999999999997</v>
      </c>
      <c r="I506" s="284">
        <f t="shared" si="60"/>
        <v>0.20160000000000089</v>
      </c>
      <c r="J506" s="283">
        <f t="shared" si="62"/>
        <v>7.8999999999991022E-3</v>
      </c>
      <c r="K506" s="285">
        <f t="shared" si="63"/>
        <v>3.7708830548921735</v>
      </c>
      <c r="L506">
        <v>21</v>
      </c>
      <c r="M506" s="16">
        <v>43395</v>
      </c>
      <c r="N506" s="16">
        <v>43396</v>
      </c>
      <c r="R506" s="285"/>
    </row>
    <row r="507" spans="1:18">
      <c r="A507" t="s">
        <v>497</v>
      </c>
      <c r="C507" t="s">
        <v>3745</v>
      </c>
      <c r="D507">
        <v>1.8624000000000001</v>
      </c>
      <c r="E507">
        <v>7.3186999999999998</v>
      </c>
      <c r="F507">
        <v>0.21290000000000001</v>
      </c>
      <c r="G507" s="284">
        <f t="shared" si="61"/>
        <v>7.5316000000000001</v>
      </c>
      <c r="H507" s="284">
        <v>7.3231999999999999</v>
      </c>
      <c r="I507" s="284">
        <f t="shared" si="60"/>
        <v>0.20840000000000014</v>
      </c>
      <c r="J507" s="283">
        <f t="shared" si="62"/>
        <v>4.4999999999998652E-3</v>
      </c>
      <c r="K507" s="285">
        <f t="shared" si="63"/>
        <v>2.1136683889149204</v>
      </c>
      <c r="L507">
        <v>17</v>
      </c>
      <c r="M507" s="286">
        <v>43362</v>
      </c>
      <c r="N507" s="286">
        <v>43363</v>
      </c>
      <c r="R507" s="285"/>
    </row>
    <row r="508" spans="1:18">
      <c r="A508" t="s">
        <v>494</v>
      </c>
      <c r="B508">
        <v>195</v>
      </c>
      <c r="D508">
        <v>1.5925</v>
      </c>
      <c r="E508">
        <v>11.005000000000001</v>
      </c>
      <c r="F508">
        <v>0.21879999999999999</v>
      </c>
      <c r="G508" s="284">
        <f t="shared" si="61"/>
        <v>11.223800000000001</v>
      </c>
      <c r="H508" s="284">
        <v>11.0128</v>
      </c>
      <c r="I508" s="284">
        <f t="shared" si="60"/>
        <v>0.2110000000000003</v>
      </c>
      <c r="J508" s="283">
        <f t="shared" si="62"/>
        <v>7.7999999999996961E-3</v>
      </c>
      <c r="K508" s="285">
        <f t="shared" si="63"/>
        <v>3.5648994515537913</v>
      </c>
      <c r="L508">
        <v>17</v>
      </c>
      <c r="M508">
        <v>23.101800000000001</v>
      </c>
      <c r="N508" s="16">
        <v>43397</v>
      </c>
      <c r="R508" s="285"/>
    </row>
    <row r="509" spans="1:18">
      <c r="A509" t="s">
        <v>493</v>
      </c>
      <c r="C509" t="s">
        <v>3739</v>
      </c>
      <c r="D509">
        <v>1.7402</v>
      </c>
      <c r="E509">
        <v>11.1608</v>
      </c>
      <c r="F509">
        <v>0.20019999999999999</v>
      </c>
      <c r="G509" s="284">
        <f t="shared" si="61"/>
        <v>11.361000000000001</v>
      </c>
      <c r="H509" s="284">
        <v>11.165800000000001</v>
      </c>
      <c r="I509" s="284">
        <f t="shared" si="60"/>
        <v>0.19519999999999982</v>
      </c>
      <c r="J509" s="283">
        <f t="shared" si="62"/>
        <v>5.000000000000171E-3</v>
      </c>
      <c r="K509" s="285">
        <f t="shared" si="63"/>
        <v>2.497502497502583</v>
      </c>
      <c r="L509">
        <v>35</v>
      </c>
      <c r="M509" s="286">
        <v>43362</v>
      </c>
      <c r="N509" s="286">
        <v>43363</v>
      </c>
      <c r="R509" s="285"/>
    </row>
    <row r="510" spans="1:18">
      <c r="A510" t="s">
        <v>492</v>
      </c>
      <c r="B510">
        <v>209</v>
      </c>
      <c r="C510" t="s">
        <v>2504</v>
      </c>
      <c r="D510">
        <v>1.5167999999999999</v>
      </c>
      <c r="E510">
        <v>11.0047</v>
      </c>
      <c r="F510">
        <v>0.23400000000000001</v>
      </c>
      <c r="G510">
        <f t="shared" si="61"/>
        <v>11.2387</v>
      </c>
      <c r="H510">
        <v>11.0138</v>
      </c>
      <c r="I510" s="284">
        <f t="shared" si="60"/>
        <v>0.22489999999999988</v>
      </c>
      <c r="J510" s="283">
        <f t="shared" si="62"/>
        <v>9.1000000000001358E-3</v>
      </c>
      <c r="K510" s="285">
        <f t="shared" si="63"/>
        <v>3.8888888888889466</v>
      </c>
      <c r="L510">
        <v>37</v>
      </c>
      <c r="M510" s="16">
        <v>43399</v>
      </c>
      <c r="N510" s="16">
        <v>43400</v>
      </c>
      <c r="R510" s="285"/>
    </row>
    <row r="511" spans="1:18">
      <c r="A511" t="s">
        <v>491</v>
      </c>
      <c r="C511" t="s">
        <v>3713</v>
      </c>
      <c r="D511">
        <v>1.8442000000000001</v>
      </c>
      <c r="E511">
        <v>11.1546</v>
      </c>
      <c r="F511">
        <v>0.2077</v>
      </c>
      <c r="G511" s="284">
        <f t="shared" si="61"/>
        <v>11.362300000000001</v>
      </c>
      <c r="H511" s="284">
        <v>11.161099999999999</v>
      </c>
      <c r="I511" s="284">
        <f t="shared" si="60"/>
        <v>0.20120000000000182</v>
      </c>
      <c r="J511" s="283">
        <f t="shared" si="62"/>
        <v>6.4999999999981739E-3</v>
      </c>
      <c r="K511" s="285">
        <f t="shared" si="63"/>
        <v>3.1295137217131312</v>
      </c>
      <c r="L511">
        <v>3</v>
      </c>
      <c r="M511" s="286">
        <v>43361</v>
      </c>
      <c r="N511" s="286">
        <v>43362</v>
      </c>
      <c r="O511" s="283" t="s">
        <v>3730</v>
      </c>
      <c r="R511" s="285"/>
    </row>
    <row r="512" spans="1:18">
      <c r="A512" t="s">
        <v>490</v>
      </c>
      <c r="C512" t="s">
        <v>3483</v>
      </c>
      <c r="D512">
        <v>1.5868</v>
      </c>
      <c r="E512">
        <v>8.7338000000000005</v>
      </c>
      <c r="F512">
        <v>0.2099</v>
      </c>
      <c r="G512" s="284">
        <f t="shared" si="61"/>
        <v>8.9436999999999998</v>
      </c>
      <c r="H512" s="284">
        <v>8.7454999999999998</v>
      </c>
      <c r="I512" s="284">
        <f t="shared" si="60"/>
        <v>0.19819999999999993</v>
      </c>
      <c r="J512" s="283">
        <f t="shared" si="62"/>
        <v>1.1700000000000071E-2</v>
      </c>
      <c r="K512" s="285">
        <f t="shared" si="63"/>
        <v>5.5740828966174707</v>
      </c>
      <c r="L512">
        <v>9</v>
      </c>
      <c r="M512" s="286">
        <v>43363</v>
      </c>
      <c r="N512" s="286">
        <v>43364</v>
      </c>
      <c r="O512" s="283" t="s">
        <v>3756</v>
      </c>
      <c r="R512" s="285"/>
    </row>
    <row r="513" spans="1:18">
      <c r="A513" t="s">
        <v>489</v>
      </c>
      <c r="C513" t="s">
        <v>3775</v>
      </c>
      <c r="D513">
        <v>1.8091999999999999</v>
      </c>
      <c r="E513">
        <v>10.5229</v>
      </c>
      <c r="F513">
        <v>0.22919999999999999</v>
      </c>
      <c r="G513" s="288">
        <f t="shared" si="61"/>
        <v>10.7521</v>
      </c>
      <c r="H513" s="284">
        <v>10.530799999999999</v>
      </c>
      <c r="I513" s="288">
        <f t="shared" si="60"/>
        <v>0.22130000000000116</v>
      </c>
      <c r="J513" s="283">
        <f t="shared" si="62"/>
        <v>7.8999999999988246E-3</v>
      </c>
      <c r="K513" s="285">
        <f t="shared" si="63"/>
        <v>3.4467713787080392</v>
      </c>
      <c r="L513">
        <v>24</v>
      </c>
      <c r="M513" s="286">
        <v>43379</v>
      </c>
      <c r="N513" s="286">
        <v>43379</v>
      </c>
      <c r="R513" s="285"/>
    </row>
    <row r="514" spans="1:18">
      <c r="A514" t="s">
        <v>488</v>
      </c>
      <c r="C514" t="s">
        <v>3487</v>
      </c>
      <c r="D514">
        <v>1.8404</v>
      </c>
      <c r="E514">
        <v>7.0755999999999997</v>
      </c>
      <c r="F514">
        <v>0.21390000000000001</v>
      </c>
      <c r="G514" s="284">
        <f t="shared" si="61"/>
        <v>7.2894999999999994</v>
      </c>
      <c r="H514" s="284">
        <v>7.0856000000000003</v>
      </c>
      <c r="I514" s="284">
        <f t="shared" si="60"/>
        <v>0.20389999999999908</v>
      </c>
      <c r="J514" s="283">
        <f t="shared" si="62"/>
        <v>1.0000000000000925E-2</v>
      </c>
      <c r="K514" s="285">
        <f t="shared" si="63"/>
        <v>4.6750818139321764</v>
      </c>
      <c r="L514">
        <v>22</v>
      </c>
      <c r="M514" s="286">
        <v>43363</v>
      </c>
      <c r="N514" s="286">
        <v>43364</v>
      </c>
      <c r="R514" s="285"/>
    </row>
    <row r="515" spans="1:18">
      <c r="A515" t="s">
        <v>487</v>
      </c>
      <c r="C515" t="s">
        <v>3752</v>
      </c>
      <c r="D515">
        <v>1.7336</v>
      </c>
      <c r="E515">
        <v>10.1457</v>
      </c>
      <c r="F515">
        <v>0.22209999999999999</v>
      </c>
      <c r="G515" s="284">
        <f t="shared" si="61"/>
        <v>10.367799999999999</v>
      </c>
      <c r="H515" s="284">
        <v>10.151400000000001</v>
      </c>
      <c r="I515" s="284">
        <f t="shared" si="60"/>
        <v>0.21639999999999837</v>
      </c>
      <c r="J515" s="283">
        <f t="shared" si="62"/>
        <v>5.7000000000016204E-3</v>
      </c>
      <c r="K515" s="285">
        <f t="shared" si="63"/>
        <v>2.5664115263402163</v>
      </c>
      <c r="L515">
        <v>1</v>
      </c>
      <c r="M515" s="16">
        <v>43399</v>
      </c>
      <c r="N515" s="16">
        <v>43400</v>
      </c>
      <c r="R515" s="285"/>
    </row>
    <row r="516" spans="1:18">
      <c r="A516" t="s">
        <v>486</v>
      </c>
      <c r="B516">
        <v>194</v>
      </c>
      <c r="D516">
        <v>1.4758</v>
      </c>
      <c r="E516">
        <v>11.4438</v>
      </c>
      <c r="F516">
        <v>0.2127</v>
      </c>
      <c r="G516" s="284">
        <f t="shared" si="61"/>
        <v>11.656499999999999</v>
      </c>
      <c r="H516" s="284">
        <v>11.457100000000001</v>
      </c>
      <c r="I516" s="284">
        <f t="shared" si="60"/>
        <v>0.19939999999999891</v>
      </c>
      <c r="J516" s="283">
        <f t="shared" si="62"/>
        <v>1.3300000000001089E-2</v>
      </c>
      <c r="K516" s="285">
        <f t="shared" si="63"/>
        <v>6.2529384109078929</v>
      </c>
      <c r="L516">
        <v>5</v>
      </c>
      <c r="M516" s="16">
        <v>43395</v>
      </c>
      <c r="N516" s="16">
        <v>43396</v>
      </c>
      <c r="R516" s="285"/>
    </row>
    <row r="517" spans="1:18">
      <c r="A517" t="s">
        <v>484</v>
      </c>
      <c r="C517" t="s">
        <v>3422</v>
      </c>
      <c r="D517">
        <v>3.468</v>
      </c>
      <c r="E517">
        <v>8.2199000000000009</v>
      </c>
      <c r="F517">
        <v>0.21489999999999831</v>
      </c>
      <c r="G517">
        <f t="shared" si="61"/>
        <v>8.4347999999999992</v>
      </c>
      <c r="H517">
        <v>8.4121000000000006</v>
      </c>
      <c r="I517" s="284">
        <f t="shared" si="60"/>
        <v>2.269999999999861E-2</v>
      </c>
      <c r="J517" s="283">
        <f t="shared" si="62"/>
        <v>0.1921999999999997</v>
      </c>
      <c r="K517" s="285">
        <f t="shared" si="63"/>
        <v>89.436947417404014</v>
      </c>
      <c r="L517">
        <v>41</v>
      </c>
      <c r="M517" s="16">
        <v>43399</v>
      </c>
      <c r="N517" s="16">
        <v>43400</v>
      </c>
      <c r="R517" s="285"/>
    </row>
    <row r="518" spans="1:18">
      <c r="A518" t="s">
        <v>482</v>
      </c>
      <c r="C518" t="s">
        <v>3662</v>
      </c>
      <c r="D518">
        <v>1.8975</v>
      </c>
      <c r="E518">
        <v>8.9573</v>
      </c>
      <c r="F518">
        <v>0.20030000000000001</v>
      </c>
      <c r="G518" s="284">
        <f t="shared" si="61"/>
        <v>9.1576000000000004</v>
      </c>
      <c r="H518" s="284">
        <v>8.9624000000000006</v>
      </c>
      <c r="I518" s="284">
        <f>(G518-H518)</f>
        <v>0.19519999999999982</v>
      </c>
      <c r="J518" s="283">
        <f t="shared" si="62"/>
        <v>5.1000000000001877E-3</v>
      </c>
      <c r="K518" s="285">
        <f t="shared" si="63"/>
        <v>2.5461807289067337</v>
      </c>
      <c r="L518">
        <v>21</v>
      </c>
      <c r="M518" s="16">
        <v>43358</v>
      </c>
      <c r="N518" s="16">
        <v>43358</v>
      </c>
      <c r="R518" s="285"/>
    </row>
    <row r="519" spans="1:18">
      <c r="A519" t="s">
        <v>481</v>
      </c>
      <c r="B519">
        <v>212</v>
      </c>
      <c r="D519">
        <v>1.4732000000000001</v>
      </c>
      <c r="E519">
        <v>9.3447999999999993</v>
      </c>
      <c r="F519">
        <v>0.2127</v>
      </c>
      <c r="G519" s="284">
        <f t="shared" si="61"/>
        <v>9.5574999999999992</v>
      </c>
      <c r="H519" s="284">
        <v>9.3527000000000005</v>
      </c>
      <c r="I519" s="284">
        <f>G519-H519</f>
        <v>0.20479999999999876</v>
      </c>
      <c r="J519" s="283">
        <f t="shared" si="62"/>
        <v>7.9000000000012394E-3</v>
      </c>
      <c r="K519" s="285">
        <f t="shared" si="63"/>
        <v>3.7141513869305309</v>
      </c>
      <c r="L519">
        <v>10</v>
      </c>
      <c r="M519" s="16">
        <v>43395</v>
      </c>
      <c r="N519" s="16">
        <v>43396</v>
      </c>
      <c r="R519" s="285"/>
    </row>
    <row r="520" spans="1:18">
      <c r="A520" t="s">
        <v>480</v>
      </c>
      <c r="C520" t="s">
        <v>3731</v>
      </c>
      <c r="D520">
        <v>1.9067000000000001</v>
      </c>
      <c r="E520">
        <v>20.886199999999999</v>
      </c>
      <c r="F520">
        <v>0.23430000000000001</v>
      </c>
      <c r="G520" s="284">
        <f t="shared" si="61"/>
        <v>21.1205</v>
      </c>
      <c r="H520" s="284">
        <v>20.896000000000001</v>
      </c>
      <c r="I520" s="284">
        <f>G520-H520</f>
        <v>0.22449999999999903</v>
      </c>
      <c r="J520" s="283">
        <f t="shared" si="62"/>
        <v>9.8000000000009746E-3</v>
      </c>
      <c r="K520" s="285">
        <f t="shared" si="63"/>
        <v>4.1826717883060072</v>
      </c>
      <c r="L520">
        <v>26</v>
      </c>
      <c r="M520" s="286">
        <v>43361</v>
      </c>
      <c r="N520" s="286">
        <v>43362</v>
      </c>
      <c r="O520" s="283" t="s">
        <v>3730</v>
      </c>
      <c r="R520" s="285"/>
    </row>
    <row r="521" spans="1:18">
      <c r="A521" t="s">
        <v>1075</v>
      </c>
      <c r="C521" t="s">
        <v>3709</v>
      </c>
      <c r="D521">
        <v>1.6353</v>
      </c>
      <c r="E521">
        <v>7.3182999999999998</v>
      </c>
      <c r="F521">
        <v>0.20880000000000001</v>
      </c>
      <c r="G521" s="284">
        <f t="shared" si="61"/>
        <v>7.5270999999999999</v>
      </c>
      <c r="H521" s="284">
        <v>7.3239000000000001</v>
      </c>
      <c r="I521" s="284">
        <f>(G521-H521)</f>
        <v>0.20319999999999983</v>
      </c>
      <c r="J521" s="283">
        <f t="shared" si="62"/>
        <v>5.6000000000001882E-3</v>
      </c>
      <c r="K521" s="285">
        <f t="shared" si="63"/>
        <v>2.6819923371648411</v>
      </c>
      <c r="L521">
        <v>3</v>
      </c>
      <c r="M521" s="286">
        <v>43360</v>
      </c>
      <c r="N521" s="286">
        <v>43361</v>
      </c>
      <c r="O521" s="283" t="s">
        <v>3707</v>
      </c>
      <c r="R521" s="285"/>
    </row>
    <row r="522" spans="1:18">
      <c r="A522" t="s">
        <v>479</v>
      </c>
      <c r="C522" t="s">
        <v>3755</v>
      </c>
      <c r="D522">
        <v>1.8557999999999999</v>
      </c>
      <c r="E522">
        <v>10.618600000000001</v>
      </c>
      <c r="F522">
        <v>0.20569999999999999</v>
      </c>
      <c r="G522" s="284">
        <f t="shared" si="61"/>
        <v>10.824300000000001</v>
      </c>
      <c r="H522" s="284">
        <v>10.624499999999999</v>
      </c>
      <c r="I522" s="284">
        <f t="shared" ref="I522:I532" si="64">G522-H522</f>
        <v>0.19980000000000153</v>
      </c>
      <c r="J522" s="283">
        <f t="shared" si="62"/>
        <v>5.899999999998462E-3</v>
      </c>
      <c r="K522" s="285">
        <f t="shared" si="63"/>
        <v>2.8682547399117464</v>
      </c>
      <c r="L522">
        <v>37</v>
      </c>
      <c r="M522" s="16">
        <v>43399</v>
      </c>
      <c r="N522" s="16">
        <v>43400</v>
      </c>
      <c r="R522" s="285"/>
    </row>
    <row r="523" spans="1:18">
      <c r="A523" t="s">
        <v>478</v>
      </c>
      <c r="C523" t="s">
        <v>3747</v>
      </c>
      <c r="D523">
        <v>1.7025399999999999</v>
      </c>
      <c r="E523">
        <v>8.0478000000000005</v>
      </c>
      <c r="F523">
        <v>0.21879999999999999</v>
      </c>
      <c r="G523" s="284">
        <f t="shared" si="61"/>
        <v>8.2666000000000004</v>
      </c>
      <c r="H523" s="284">
        <v>8.0533999999999999</v>
      </c>
      <c r="I523" s="284">
        <f t="shared" si="64"/>
        <v>0.2132000000000005</v>
      </c>
      <c r="J523" s="283">
        <f t="shared" si="62"/>
        <v>5.5999999999994943E-3</v>
      </c>
      <c r="K523" s="285">
        <f t="shared" si="63"/>
        <v>2.5594149908590014</v>
      </c>
      <c r="L523">
        <v>27</v>
      </c>
      <c r="M523" s="286">
        <v>43362</v>
      </c>
      <c r="N523" s="286">
        <v>43363</v>
      </c>
      <c r="R523" s="285"/>
    </row>
    <row r="524" spans="1:18">
      <c r="A524" t="s">
        <v>476</v>
      </c>
      <c r="B524">
        <v>214</v>
      </c>
      <c r="D524">
        <v>1.5124</v>
      </c>
      <c r="E524">
        <v>8.9591999999999992</v>
      </c>
      <c r="F524">
        <v>0.21529999999999999</v>
      </c>
      <c r="G524" s="284">
        <f t="shared" si="61"/>
        <v>9.1744999999999983</v>
      </c>
      <c r="H524" s="284">
        <v>8.9663000000000004</v>
      </c>
      <c r="I524" s="284">
        <f t="shared" si="64"/>
        <v>0.20819999999999794</v>
      </c>
      <c r="J524" s="283">
        <f t="shared" si="62"/>
        <v>7.1000000000020491E-3</v>
      </c>
      <c r="K524" s="285">
        <f t="shared" si="63"/>
        <v>3.297724105899698</v>
      </c>
      <c r="L524">
        <v>40</v>
      </c>
      <c r="M524" s="16">
        <v>43395</v>
      </c>
      <c r="N524" s="16">
        <v>43396</v>
      </c>
      <c r="R524" s="285"/>
    </row>
    <row r="525" spans="1:18">
      <c r="A525" t="s">
        <v>475</v>
      </c>
      <c r="C525" t="s">
        <v>3489</v>
      </c>
      <c r="D525">
        <v>1.7451000000000001</v>
      </c>
      <c r="E525">
        <v>7.8613999999999997</v>
      </c>
      <c r="F525">
        <v>0.2233</v>
      </c>
      <c r="G525" s="284">
        <f t="shared" si="61"/>
        <v>8.0846999999999998</v>
      </c>
      <c r="H525" s="284">
        <v>7.8697999999999997</v>
      </c>
      <c r="I525" s="284">
        <f t="shared" si="64"/>
        <v>0.21490000000000009</v>
      </c>
      <c r="J525" s="283">
        <f t="shared" si="62"/>
        <v>8.3999999999999075E-3</v>
      </c>
      <c r="K525" s="285">
        <f t="shared" si="63"/>
        <v>3.7617554858933753</v>
      </c>
      <c r="L525">
        <v>13</v>
      </c>
      <c r="M525">
        <v>23.101800000000001</v>
      </c>
      <c r="N525" s="16">
        <v>43397</v>
      </c>
      <c r="R525" s="285"/>
    </row>
    <row r="526" spans="1:18">
      <c r="A526" t="s">
        <v>474</v>
      </c>
      <c r="B526">
        <v>201</v>
      </c>
      <c r="D526">
        <v>1.5757000000000001</v>
      </c>
      <c r="E526">
        <v>11.0913</v>
      </c>
      <c r="F526">
        <v>0.2019</v>
      </c>
      <c r="G526" s="284">
        <f t="shared" si="61"/>
        <v>11.293200000000001</v>
      </c>
      <c r="H526" s="284">
        <v>11.104100000000001</v>
      </c>
      <c r="I526" s="284">
        <f t="shared" si="64"/>
        <v>0.18909999999999982</v>
      </c>
      <c r="J526" s="283">
        <f t="shared" si="62"/>
        <v>1.2800000000000172E-2</v>
      </c>
      <c r="K526" s="285">
        <f t="shared" si="63"/>
        <v>6.3397721644379263</v>
      </c>
      <c r="L526">
        <v>4</v>
      </c>
      <c r="M526">
        <v>23.101800000000001</v>
      </c>
      <c r="N526" s="16">
        <v>43397</v>
      </c>
      <c r="R526" s="285"/>
    </row>
    <row r="527" spans="1:18">
      <c r="A527" t="s">
        <v>472</v>
      </c>
      <c r="C527" t="s">
        <v>3746</v>
      </c>
      <c r="D527">
        <v>1.8531</v>
      </c>
      <c r="E527">
        <v>8.7042999999999999</v>
      </c>
      <c r="F527">
        <v>0.2114</v>
      </c>
      <c r="G527" s="288">
        <f t="shared" si="61"/>
        <v>8.9156999999999993</v>
      </c>
      <c r="H527" s="284">
        <v>8.7087000000000003</v>
      </c>
      <c r="I527" s="288">
        <f t="shared" si="64"/>
        <v>0.20699999999999896</v>
      </c>
      <c r="J527" s="283">
        <f t="shared" si="62"/>
        <v>4.400000000001042E-3</v>
      </c>
      <c r="K527" s="285">
        <f t="shared" si="63"/>
        <v>2.0813623462635014</v>
      </c>
      <c r="L527">
        <v>4</v>
      </c>
      <c r="M527" s="286">
        <v>43379</v>
      </c>
      <c r="N527" s="286">
        <v>43379</v>
      </c>
      <c r="O527" s="283"/>
      <c r="R527" s="285"/>
    </row>
    <row r="528" spans="1:18">
      <c r="A528" t="s">
        <v>470</v>
      </c>
      <c r="C528" t="s">
        <v>3435</v>
      </c>
      <c r="D528">
        <v>1.4959</v>
      </c>
      <c r="E528">
        <v>8.0965000000000007</v>
      </c>
      <c r="F528">
        <v>0.21079999999999999</v>
      </c>
      <c r="G528" s="288">
        <f t="shared" si="61"/>
        <v>8.3073000000000015</v>
      </c>
      <c r="H528" s="284">
        <v>8.1092999999999993</v>
      </c>
      <c r="I528" s="288">
        <f t="shared" si="64"/>
        <v>0.19800000000000217</v>
      </c>
      <c r="J528" s="283">
        <f t="shared" si="62"/>
        <v>1.2799999999997813E-2</v>
      </c>
      <c r="K528" s="285">
        <f t="shared" si="63"/>
        <v>6.0721062618585453</v>
      </c>
      <c r="L528">
        <v>36</v>
      </c>
      <c r="M528" s="286">
        <v>43379</v>
      </c>
      <c r="N528" s="286">
        <v>43379</v>
      </c>
      <c r="R528" s="285"/>
    </row>
    <row r="529" spans="1:18">
      <c r="A529" t="s">
        <v>469</v>
      </c>
      <c r="B529">
        <v>211</v>
      </c>
      <c r="D529">
        <v>1.3008</v>
      </c>
      <c r="E529">
        <v>10.677099999999999</v>
      </c>
      <c r="F529">
        <v>0.21679999999999999</v>
      </c>
      <c r="G529" s="284">
        <f t="shared" si="61"/>
        <v>10.893899999999999</v>
      </c>
      <c r="H529" s="284">
        <v>10.686199999999999</v>
      </c>
      <c r="I529" s="284">
        <f t="shared" si="64"/>
        <v>0.20769999999999911</v>
      </c>
      <c r="J529" s="283">
        <f t="shared" si="62"/>
        <v>9.1000000000008852E-3</v>
      </c>
      <c r="K529" s="285">
        <f t="shared" si="63"/>
        <v>4.1974169741701504</v>
      </c>
      <c r="L529">
        <v>3</v>
      </c>
      <c r="M529">
        <v>23.101800000000001</v>
      </c>
      <c r="N529" s="16">
        <v>43397</v>
      </c>
      <c r="R529" s="285"/>
    </row>
    <row r="530" spans="1:18">
      <c r="A530" t="s">
        <v>468</v>
      </c>
      <c r="C530" t="s">
        <v>3693</v>
      </c>
      <c r="D530">
        <v>1.3880999999999999</v>
      </c>
      <c r="E530">
        <v>8.2211999999999996</v>
      </c>
      <c r="F530">
        <v>0.20979999999999999</v>
      </c>
      <c r="G530" s="284">
        <f t="shared" si="61"/>
        <v>8.4309999999999992</v>
      </c>
      <c r="H530" s="284">
        <v>8.2405000000000008</v>
      </c>
      <c r="I530" s="284">
        <f t="shared" si="64"/>
        <v>0.19049999999999834</v>
      </c>
      <c r="J530" s="283">
        <f t="shared" si="62"/>
        <v>1.9300000000001649E-2</v>
      </c>
      <c r="K530" s="285">
        <f t="shared" si="63"/>
        <v>9.1992373689235691</v>
      </c>
      <c r="L530">
        <v>18</v>
      </c>
      <c r="M530" s="286">
        <v>43363</v>
      </c>
      <c r="N530" s="286">
        <v>43364</v>
      </c>
      <c r="O530" s="283" t="s">
        <v>3756</v>
      </c>
      <c r="R530" s="285"/>
    </row>
    <row r="531" spans="1:18">
      <c r="A531" t="s">
        <v>466</v>
      </c>
      <c r="C531" t="s">
        <v>3420</v>
      </c>
      <c r="D531">
        <v>0.95330000000000004</v>
      </c>
      <c r="E531">
        <v>21.075600000000001</v>
      </c>
      <c r="F531">
        <v>0.20039999999999999</v>
      </c>
      <c r="G531" s="284">
        <f t="shared" si="61"/>
        <v>21.276</v>
      </c>
      <c r="H531" s="284">
        <v>21.1403</v>
      </c>
      <c r="I531" s="284">
        <f t="shared" si="64"/>
        <v>0.13569999999999993</v>
      </c>
      <c r="J531" s="283">
        <f t="shared" si="62"/>
        <v>6.4700000000000063E-2</v>
      </c>
      <c r="K531" s="285">
        <f t="shared" si="63"/>
        <v>32.285429141716598</v>
      </c>
      <c r="L531">
        <v>42</v>
      </c>
      <c r="M531" s="286">
        <v>43363</v>
      </c>
      <c r="N531" s="286">
        <v>43364</v>
      </c>
      <c r="O531" s="283" t="s">
        <v>3756</v>
      </c>
      <c r="R531" s="285"/>
    </row>
    <row r="532" spans="1:18">
      <c r="A532" t="s">
        <v>465</v>
      </c>
      <c r="C532" t="s">
        <v>3459</v>
      </c>
      <c r="D532">
        <v>1.427</v>
      </c>
      <c r="E532">
        <v>9.0231999999999992</v>
      </c>
      <c r="F532">
        <v>0.2041</v>
      </c>
      <c r="G532" s="284">
        <f t="shared" si="61"/>
        <v>9.2272999999999996</v>
      </c>
      <c r="H532" s="284">
        <v>9.0401000000000007</v>
      </c>
      <c r="I532" s="284">
        <f t="shared" si="64"/>
        <v>0.18719999999999892</v>
      </c>
      <c r="J532" s="283">
        <f t="shared" si="62"/>
        <v>1.6900000000001081E-2</v>
      </c>
      <c r="K532" s="285">
        <f t="shared" si="63"/>
        <v>8.2802547770705939</v>
      </c>
      <c r="L532">
        <v>40</v>
      </c>
      <c r="M532" s="286">
        <v>43362</v>
      </c>
      <c r="N532" s="286">
        <v>43363</v>
      </c>
      <c r="R532" s="285"/>
    </row>
    <row r="533" spans="1:18">
      <c r="A533" t="s">
        <v>464</v>
      </c>
      <c r="C533" t="s">
        <v>3705</v>
      </c>
      <c r="D533">
        <v>1.8621000000000001</v>
      </c>
      <c r="E533">
        <v>7.3545999999999996</v>
      </c>
      <c r="F533">
        <v>0.22309999999999999</v>
      </c>
      <c r="G533" s="284">
        <f t="shared" si="61"/>
        <v>7.5776999999999992</v>
      </c>
      <c r="H533" s="284">
        <v>7.3631000000000002</v>
      </c>
      <c r="I533" s="284">
        <f>(G533-H533)</f>
        <v>0.21459999999999901</v>
      </c>
      <c r="J533" s="283">
        <f t="shared" si="62"/>
        <v>8.500000000000979E-3</v>
      </c>
      <c r="K533" s="285">
        <f t="shared" si="63"/>
        <v>3.8099506947561541</v>
      </c>
      <c r="L533">
        <v>42</v>
      </c>
      <c r="M533" s="286">
        <v>43360</v>
      </c>
      <c r="N533" s="286">
        <v>43361</v>
      </c>
      <c r="R533" s="285"/>
    </row>
    <row r="534" spans="1:18">
      <c r="A534" t="s">
        <v>463</v>
      </c>
      <c r="B534">
        <v>202</v>
      </c>
      <c r="C534" t="s">
        <v>2504</v>
      </c>
      <c r="D534">
        <v>1.4817</v>
      </c>
      <c r="E534">
        <v>8.734</v>
      </c>
      <c r="F534">
        <v>0.20230000000000001</v>
      </c>
      <c r="G534" s="284">
        <f t="shared" si="61"/>
        <v>8.9362999999999992</v>
      </c>
      <c r="H534" s="284">
        <v>8.7569999999999997</v>
      </c>
      <c r="I534" s="284">
        <f>G534-H534</f>
        <v>0.17929999999999957</v>
      </c>
      <c r="J534" s="283">
        <f t="shared" si="62"/>
        <v>2.3000000000000437E-2</v>
      </c>
      <c r="K534" s="285">
        <f t="shared" si="63"/>
        <v>11.369253583786671</v>
      </c>
      <c r="L534">
        <v>33</v>
      </c>
      <c r="M534" s="16">
        <v>43399</v>
      </c>
      <c r="N534" s="16">
        <v>43400</v>
      </c>
      <c r="R534" s="285"/>
    </row>
    <row r="535" spans="1:18">
      <c r="A535" t="s">
        <v>462</v>
      </c>
      <c r="B535">
        <v>214</v>
      </c>
      <c r="D535">
        <v>1.5709</v>
      </c>
      <c r="E535">
        <v>8.7352000000000007</v>
      </c>
      <c r="F535">
        <v>0.2084</v>
      </c>
      <c r="G535" s="284">
        <f t="shared" si="61"/>
        <v>8.9436</v>
      </c>
      <c r="H535" s="284">
        <v>8.7574000000000005</v>
      </c>
      <c r="I535" s="284">
        <f>G535-H535</f>
        <v>0.18619999999999948</v>
      </c>
      <c r="J535" s="283">
        <f t="shared" si="62"/>
        <v>2.2200000000000525E-2</v>
      </c>
      <c r="K535" s="285">
        <f t="shared" si="63"/>
        <v>10.652591170825588</v>
      </c>
      <c r="L535">
        <v>39</v>
      </c>
      <c r="M535" s="16">
        <v>43395</v>
      </c>
      <c r="N535" s="16">
        <v>43396</v>
      </c>
      <c r="R535" s="285"/>
    </row>
    <row r="536" spans="1:18">
      <c r="A536" t="s">
        <v>461</v>
      </c>
      <c r="B536">
        <v>209</v>
      </c>
      <c r="C536" t="s">
        <v>2504</v>
      </c>
      <c r="D536">
        <v>1.4972000000000001</v>
      </c>
      <c r="E536">
        <v>9.2225000000000001</v>
      </c>
      <c r="F536">
        <v>0.21579999999999999</v>
      </c>
      <c r="G536">
        <f t="shared" ref="G536:G537" si="65">E536+F536</f>
        <v>9.4382999999999999</v>
      </c>
      <c r="H536">
        <v>9.2308000000000003</v>
      </c>
      <c r="I536" s="284">
        <f>G536-H536</f>
        <v>0.20749999999999957</v>
      </c>
      <c r="J536" s="283">
        <f t="shared" ref="J536:J537" si="66">F536-I536</f>
        <v>8.3000000000004182E-3</v>
      </c>
      <c r="K536" s="285">
        <f t="shared" ref="K536:K537" si="67">(J536/F536)*100</f>
        <v>3.8461538461540399</v>
      </c>
      <c r="L536">
        <v>4</v>
      </c>
      <c r="M536" s="16">
        <v>43402</v>
      </c>
      <c r="N536" s="16">
        <v>43403</v>
      </c>
      <c r="R536" s="285"/>
    </row>
    <row r="537" spans="1:18">
      <c r="A537" t="s">
        <v>460</v>
      </c>
      <c r="C537" t="s">
        <v>3415</v>
      </c>
      <c r="D537">
        <v>1.5135000000000001</v>
      </c>
      <c r="E537">
        <v>20.898</v>
      </c>
      <c r="F537">
        <v>0.2021</v>
      </c>
      <c r="G537" s="284">
        <f t="shared" si="65"/>
        <v>21.100100000000001</v>
      </c>
      <c r="H537" s="284">
        <v>20.921700000000001</v>
      </c>
      <c r="I537" s="284">
        <f>G537-H537</f>
        <v>0.17839999999999989</v>
      </c>
      <c r="J537" s="283">
        <f t="shared" si="66"/>
        <v>2.370000000000011E-2</v>
      </c>
      <c r="K537" s="285">
        <f t="shared" si="67"/>
        <v>11.726867887184616</v>
      </c>
      <c r="L537">
        <v>38</v>
      </c>
      <c r="M537" s="286">
        <v>43363</v>
      </c>
      <c r="N537" s="286">
        <v>43364</v>
      </c>
      <c r="R537" s="285"/>
    </row>
    <row r="538" spans="1:18">
      <c r="A538" t="s">
        <v>459</v>
      </c>
      <c r="B538">
        <v>218</v>
      </c>
      <c r="D538">
        <v>0</v>
      </c>
      <c r="E538">
        <v>0</v>
      </c>
      <c r="F538">
        <v>0</v>
      </c>
      <c r="G538">
        <v>0</v>
      </c>
      <c r="H538">
        <v>0</v>
      </c>
      <c r="I538">
        <v>0</v>
      </c>
      <c r="J538">
        <v>0</v>
      </c>
      <c r="K538">
        <v>0</v>
      </c>
    </row>
    <row r="539" spans="1:18">
      <c r="A539" t="s">
        <v>458</v>
      </c>
      <c r="C539" t="s">
        <v>3702</v>
      </c>
      <c r="D539">
        <v>1.8384</v>
      </c>
      <c r="E539">
        <v>9.7210999999999999</v>
      </c>
      <c r="F539">
        <v>0.24</v>
      </c>
      <c r="G539" s="284">
        <f t="shared" ref="G539:G576" si="68">E539+F539</f>
        <v>9.9611000000000001</v>
      </c>
      <c r="H539" s="284">
        <v>9.7309999999999999</v>
      </c>
      <c r="I539" s="284">
        <f>(G539-H539)</f>
        <v>0.23010000000000019</v>
      </c>
      <c r="J539" s="283">
        <f t="shared" ref="J539:J570" si="69">F539-I539</f>
        <v>9.8999999999997979E-3</v>
      </c>
      <c r="K539" s="285">
        <f t="shared" ref="K539:K570" si="70">(J539/F539)*100</f>
        <v>4.1249999999999165</v>
      </c>
      <c r="L539">
        <v>37</v>
      </c>
      <c r="M539" s="286">
        <v>43360</v>
      </c>
      <c r="N539" s="286">
        <v>43361</v>
      </c>
      <c r="R539" s="285"/>
    </row>
    <row r="540" spans="1:18">
      <c r="A540" t="s">
        <v>457</v>
      </c>
      <c r="C540" t="s">
        <v>3469</v>
      </c>
      <c r="D540">
        <v>1.5762</v>
      </c>
      <c r="E540">
        <v>7.4819000000000004</v>
      </c>
      <c r="F540">
        <v>0.20100000000000001</v>
      </c>
      <c r="G540" s="284">
        <f t="shared" si="68"/>
        <v>7.6829000000000001</v>
      </c>
      <c r="H540" s="284">
        <v>7.4954999999999998</v>
      </c>
      <c r="I540" s="284">
        <f>G540-H540</f>
        <v>0.18740000000000023</v>
      </c>
      <c r="J540" s="283">
        <f t="shared" si="69"/>
        <v>1.3599999999999779E-2</v>
      </c>
      <c r="K540" s="285">
        <f t="shared" si="70"/>
        <v>6.766169154228745</v>
      </c>
      <c r="L540">
        <v>11</v>
      </c>
      <c r="M540" s="286">
        <v>43374</v>
      </c>
      <c r="N540" s="286">
        <v>43375</v>
      </c>
      <c r="O540" s="283" t="s">
        <v>3730</v>
      </c>
      <c r="R540" s="285"/>
    </row>
    <row r="541" spans="1:18">
      <c r="A541" t="s">
        <v>455</v>
      </c>
      <c r="C541" t="s">
        <v>3466</v>
      </c>
      <c r="D541">
        <v>1.6233</v>
      </c>
      <c r="E541">
        <v>8.7615999999999996</v>
      </c>
      <c r="F541">
        <v>0.20699999999999999</v>
      </c>
      <c r="G541" s="284">
        <f t="shared" si="68"/>
        <v>8.9686000000000003</v>
      </c>
      <c r="H541" s="284">
        <v>8.7857000000000003</v>
      </c>
      <c r="I541" s="284">
        <f>G541-H541</f>
        <v>0.18290000000000006</v>
      </c>
      <c r="J541" s="283">
        <f t="shared" si="69"/>
        <v>2.4099999999999927E-2</v>
      </c>
      <c r="K541" s="285">
        <f t="shared" si="70"/>
        <v>11.642512077294652</v>
      </c>
      <c r="L541">
        <v>25</v>
      </c>
      <c r="M541" s="16">
        <v>43399</v>
      </c>
      <c r="N541" s="16">
        <v>43400</v>
      </c>
      <c r="R541" s="285"/>
    </row>
    <row r="542" spans="1:18">
      <c r="A542" t="s">
        <v>454</v>
      </c>
      <c r="B542">
        <v>203</v>
      </c>
      <c r="C542" t="s">
        <v>2504</v>
      </c>
      <c r="D542">
        <v>1.6259999999999999</v>
      </c>
      <c r="E542">
        <v>8.8458000000000006</v>
      </c>
      <c r="F542">
        <v>0.2016</v>
      </c>
      <c r="G542">
        <f t="shared" si="68"/>
        <v>9.0473999999999997</v>
      </c>
      <c r="H542">
        <v>8.8603000000000005</v>
      </c>
      <c r="I542" s="284">
        <f>G542-H542</f>
        <v>0.18709999999999916</v>
      </c>
      <c r="J542" s="283">
        <f t="shared" si="69"/>
        <v>1.4500000000000846E-2</v>
      </c>
      <c r="K542" s="285">
        <f t="shared" si="70"/>
        <v>7.1924603174607373</v>
      </c>
      <c r="L542">
        <v>27</v>
      </c>
      <c r="M542" s="16">
        <v>43399</v>
      </c>
      <c r="N542" s="16">
        <v>43400</v>
      </c>
      <c r="R542" s="285"/>
    </row>
    <row r="543" spans="1:18">
      <c r="A543" t="s">
        <v>453</v>
      </c>
      <c r="B543">
        <v>206</v>
      </c>
      <c r="C543" t="s">
        <v>2504</v>
      </c>
      <c r="D543">
        <v>3.2006000000000001</v>
      </c>
      <c r="E543">
        <v>7.8619000000000003</v>
      </c>
      <c r="F543">
        <v>0.2109</v>
      </c>
      <c r="G543">
        <f t="shared" si="68"/>
        <v>8.0728000000000009</v>
      </c>
      <c r="H543">
        <v>8.0627999999999993</v>
      </c>
      <c r="I543" s="284">
        <f>G543-H543</f>
        <v>1.0000000000001563E-2</v>
      </c>
      <c r="J543" s="283">
        <f t="shared" si="69"/>
        <v>0.20089999999999844</v>
      </c>
      <c r="K543" s="285">
        <f t="shared" si="70"/>
        <v>95.258416311047142</v>
      </c>
      <c r="L543">
        <v>32</v>
      </c>
      <c r="M543" s="16">
        <v>43399</v>
      </c>
      <c r="N543" s="16">
        <v>43400</v>
      </c>
      <c r="P543" t="s">
        <v>3791</v>
      </c>
      <c r="R543" s="285"/>
    </row>
    <row r="544" spans="1:18">
      <c r="A544" t="s">
        <v>450</v>
      </c>
      <c r="C544" t="s">
        <v>3699</v>
      </c>
      <c r="D544">
        <v>1.7596000000000001</v>
      </c>
      <c r="E544">
        <v>8.1327999999999996</v>
      </c>
      <c r="F544">
        <v>0.2024</v>
      </c>
      <c r="G544" s="284">
        <f t="shared" si="68"/>
        <v>8.3352000000000004</v>
      </c>
      <c r="H544" s="284">
        <v>8.1370000000000005</v>
      </c>
      <c r="I544" s="284">
        <f>(G544-H544)</f>
        <v>0.19819999999999993</v>
      </c>
      <c r="J544" s="283">
        <f t="shared" si="69"/>
        <v>4.2000000000000648E-3</v>
      </c>
      <c r="K544" s="285">
        <f t="shared" si="70"/>
        <v>2.075098814229281</v>
      </c>
      <c r="L544">
        <v>18</v>
      </c>
      <c r="M544" s="286">
        <v>43360</v>
      </c>
      <c r="N544" s="286">
        <v>43361</v>
      </c>
      <c r="O544" s="283" t="s">
        <v>3707</v>
      </c>
      <c r="R544" s="285"/>
    </row>
    <row r="545" spans="1:18">
      <c r="A545" t="s">
        <v>448</v>
      </c>
      <c r="C545" t="s">
        <v>3704</v>
      </c>
      <c r="D545">
        <v>1.8503000000000001</v>
      </c>
      <c r="E545">
        <v>11.161</v>
      </c>
      <c r="F545">
        <v>0.2228</v>
      </c>
      <c r="G545" s="288">
        <f t="shared" si="68"/>
        <v>11.383799999999999</v>
      </c>
      <c r="H545" s="284">
        <v>11.169600000000001</v>
      </c>
      <c r="I545" s="288">
        <f>G545-H545</f>
        <v>0.21419999999999817</v>
      </c>
      <c r="J545" s="283">
        <f t="shared" si="69"/>
        <v>8.6000000000018284E-3</v>
      </c>
      <c r="K545" s="285">
        <f t="shared" si="70"/>
        <v>3.8599640933580917</v>
      </c>
      <c r="L545">
        <v>33</v>
      </c>
      <c r="M545" s="286">
        <v>43379</v>
      </c>
      <c r="N545" s="286">
        <v>43379</v>
      </c>
      <c r="R545" s="285"/>
    </row>
    <row r="546" spans="1:18">
      <c r="A546" t="s">
        <v>447</v>
      </c>
      <c r="B546">
        <v>197</v>
      </c>
      <c r="D546">
        <v>1.4258</v>
      </c>
      <c r="E546">
        <v>11.259</v>
      </c>
      <c r="F546">
        <v>0.22670000000000001</v>
      </c>
      <c r="G546" s="284">
        <f t="shared" si="68"/>
        <v>11.4857</v>
      </c>
      <c r="H546" s="284">
        <v>11.273999999999999</v>
      </c>
      <c r="I546" s="284">
        <f>G546-H546</f>
        <v>0.21170000000000044</v>
      </c>
      <c r="J546" s="283">
        <f t="shared" si="69"/>
        <v>1.4999999999999569E-2</v>
      </c>
      <c r="K546" s="285">
        <f t="shared" si="70"/>
        <v>6.6166740185264974</v>
      </c>
      <c r="L546">
        <v>21</v>
      </c>
      <c r="M546" s="16">
        <v>43388</v>
      </c>
      <c r="N546" s="286">
        <v>43389</v>
      </c>
      <c r="O546" s="16"/>
      <c r="R546" s="285"/>
    </row>
    <row r="547" spans="1:18">
      <c r="A547" t="s">
        <v>446</v>
      </c>
      <c r="C547" t="s">
        <v>3472</v>
      </c>
      <c r="D547">
        <v>1.6752</v>
      </c>
      <c r="E547">
        <v>11.9047</v>
      </c>
      <c r="F547">
        <v>0.21129999999999999</v>
      </c>
      <c r="G547" s="284">
        <f t="shared" si="68"/>
        <v>12.116</v>
      </c>
      <c r="H547" s="284">
        <v>11.92</v>
      </c>
      <c r="I547" s="284">
        <f>G547-H547</f>
        <v>0.19599999999999973</v>
      </c>
      <c r="J547" s="283">
        <f t="shared" si="69"/>
        <v>1.5300000000000258E-2</v>
      </c>
      <c r="K547" s="285">
        <f t="shared" si="70"/>
        <v>7.2408897302414861</v>
      </c>
      <c r="L547">
        <v>3</v>
      </c>
      <c r="M547" s="286">
        <v>43374</v>
      </c>
      <c r="N547" s="286">
        <v>43375</v>
      </c>
      <c r="O547" s="283" t="s">
        <v>3730</v>
      </c>
      <c r="R547" s="285"/>
    </row>
    <row r="548" spans="1:18">
      <c r="A548" t="s">
        <v>445</v>
      </c>
      <c r="C548" t="s">
        <v>3462</v>
      </c>
      <c r="D548">
        <v>1.6236999999999999</v>
      </c>
      <c r="E548">
        <v>8.1190999999999995</v>
      </c>
      <c r="F548">
        <v>0.20100000000000001</v>
      </c>
      <c r="G548" s="288">
        <f t="shared" si="68"/>
        <v>8.3201000000000001</v>
      </c>
      <c r="H548" s="284">
        <v>8.1289999999999996</v>
      </c>
      <c r="I548" s="288">
        <f>G548-H548</f>
        <v>0.19110000000000049</v>
      </c>
      <c r="J548" s="283">
        <f t="shared" si="69"/>
        <v>9.8999999999995203E-3</v>
      </c>
      <c r="K548" s="285">
        <f t="shared" si="70"/>
        <v>4.9253731343281189</v>
      </c>
      <c r="L548">
        <v>7</v>
      </c>
      <c r="M548" s="286">
        <v>43379</v>
      </c>
      <c r="N548" s="286">
        <v>43379</v>
      </c>
      <c r="O548" s="283"/>
      <c r="R548" s="285"/>
    </row>
    <row r="549" spans="1:18">
      <c r="A549" t="s">
        <v>444</v>
      </c>
      <c r="B549">
        <v>193</v>
      </c>
      <c r="D549">
        <v>1.2557</v>
      </c>
      <c r="E549">
        <v>8.0960000000000001</v>
      </c>
      <c r="F549">
        <v>0.23080000000000001</v>
      </c>
      <c r="G549" s="284">
        <f t="shared" si="68"/>
        <v>8.3268000000000004</v>
      </c>
      <c r="H549" s="284">
        <v>8.1158000000000001</v>
      </c>
      <c r="I549" s="284">
        <f>G549-H549</f>
        <v>0.2110000000000003</v>
      </c>
      <c r="J549" s="283">
        <f t="shared" si="69"/>
        <v>1.9799999999999707E-2</v>
      </c>
      <c r="K549" s="285">
        <f t="shared" si="70"/>
        <v>8.5788561525128699</v>
      </c>
      <c r="L549">
        <v>38</v>
      </c>
      <c r="M549" s="16">
        <v>43388</v>
      </c>
      <c r="N549" s="286">
        <v>43389</v>
      </c>
      <c r="O549" s="16"/>
      <c r="R549" s="285"/>
    </row>
    <row r="550" spans="1:18">
      <c r="A550" t="s">
        <v>443</v>
      </c>
      <c r="C550" t="s">
        <v>3669</v>
      </c>
      <c r="D550">
        <v>1.8042</v>
      </c>
      <c r="E550">
        <v>7.3540999999999999</v>
      </c>
      <c r="F550">
        <v>0.20569999999999999</v>
      </c>
      <c r="G550" s="284">
        <f t="shared" si="68"/>
        <v>7.5598000000000001</v>
      </c>
      <c r="H550" s="284">
        <v>7.3587999999999996</v>
      </c>
      <c r="I550" s="284">
        <f>(G550-H550)</f>
        <v>0.20100000000000051</v>
      </c>
      <c r="J550" s="283">
        <f t="shared" si="69"/>
        <v>4.6999999999994824E-3</v>
      </c>
      <c r="K550" s="285">
        <f t="shared" si="70"/>
        <v>2.2848808945063115</v>
      </c>
      <c r="L550">
        <v>22</v>
      </c>
      <c r="M550" s="16">
        <v>43358</v>
      </c>
      <c r="N550" s="16">
        <v>43358</v>
      </c>
      <c r="R550" s="285"/>
    </row>
    <row r="551" spans="1:18">
      <c r="A551" t="s">
        <v>442</v>
      </c>
      <c r="C551" t="s">
        <v>3767</v>
      </c>
      <c r="D551">
        <v>1.6237999999999999</v>
      </c>
      <c r="E551">
        <v>11.1555</v>
      </c>
      <c r="F551">
        <v>0.22109999999999999</v>
      </c>
      <c r="G551" s="284">
        <f t="shared" si="68"/>
        <v>11.3766</v>
      </c>
      <c r="H551" s="284">
        <v>11.1755</v>
      </c>
      <c r="I551" s="284">
        <f>G551-H551</f>
        <v>0.20110000000000028</v>
      </c>
      <c r="J551" s="283">
        <f t="shared" si="69"/>
        <v>1.9999999999999712E-2</v>
      </c>
      <c r="K551" s="285">
        <f t="shared" si="70"/>
        <v>9.0456806874716023</v>
      </c>
      <c r="L551">
        <v>22</v>
      </c>
      <c r="M551" s="286">
        <v>43374</v>
      </c>
      <c r="N551" s="286">
        <v>43375</v>
      </c>
      <c r="O551" s="283" t="s">
        <v>3730</v>
      </c>
      <c r="R551" s="285"/>
    </row>
    <row r="552" spans="1:18">
      <c r="A552" t="s">
        <v>441</v>
      </c>
      <c r="C552" t="s">
        <v>3668</v>
      </c>
      <c r="D552">
        <v>1.8461000000000001</v>
      </c>
      <c r="E552">
        <v>7.0926999999999998</v>
      </c>
      <c r="F552">
        <v>0.19989999999999999</v>
      </c>
      <c r="G552" s="284">
        <f t="shared" si="68"/>
        <v>7.2926000000000002</v>
      </c>
      <c r="H552" s="284">
        <v>7.0994999999999999</v>
      </c>
      <c r="I552" s="284">
        <f>(G552-H552)</f>
        <v>0.19310000000000027</v>
      </c>
      <c r="J552" s="283">
        <f t="shared" si="69"/>
        <v>6.7999999999997229E-3</v>
      </c>
      <c r="K552" s="285">
        <f t="shared" si="70"/>
        <v>3.4017008504250739</v>
      </c>
      <c r="L552">
        <v>7</v>
      </c>
      <c r="M552" s="16">
        <v>43358</v>
      </c>
      <c r="N552" s="16">
        <v>43358</v>
      </c>
      <c r="R552" s="285"/>
    </row>
    <row r="553" spans="1:18">
      <c r="A553" t="s">
        <v>440</v>
      </c>
      <c r="B553">
        <v>213</v>
      </c>
      <c r="D553">
        <v>1.5916999999999999</v>
      </c>
      <c r="E553">
        <v>7.9617000000000004</v>
      </c>
      <c r="F553">
        <v>0.20119999999999999</v>
      </c>
      <c r="G553" s="284">
        <f t="shared" si="68"/>
        <v>8.1629000000000005</v>
      </c>
      <c r="H553" s="284">
        <v>7.9724000000000004</v>
      </c>
      <c r="I553" s="284">
        <f>G553-H553</f>
        <v>0.19050000000000011</v>
      </c>
      <c r="J553" s="283">
        <f t="shared" si="69"/>
        <v>1.0699999999999876E-2</v>
      </c>
      <c r="K553" s="285">
        <f t="shared" si="70"/>
        <v>5.3180914512921857</v>
      </c>
      <c r="L553">
        <v>25</v>
      </c>
      <c r="M553" s="16">
        <v>43388</v>
      </c>
      <c r="N553" s="286">
        <v>43389</v>
      </c>
      <c r="O553" s="16"/>
      <c r="R553" s="285"/>
    </row>
    <row r="554" spans="1:18">
      <c r="A554" t="s">
        <v>438</v>
      </c>
      <c r="C554" t="s">
        <v>3682</v>
      </c>
      <c r="D554">
        <v>1.6721999999999999</v>
      </c>
      <c r="E554">
        <v>10.5037</v>
      </c>
      <c r="F554">
        <v>0.223</v>
      </c>
      <c r="G554" s="284">
        <f t="shared" si="68"/>
        <v>10.726700000000001</v>
      </c>
      <c r="H554" s="284">
        <v>10.5131</v>
      </c>
      <c r="I554" s="284">
        <f>(G554-H554)</f>
        <v>0.21360000000000134</v>
      </c>
      <c r="J554" s="283">
        <f t="shared" si="69"/>
        <v>9.3999999999986594E-3</v>
      </c>
      <c r="K554" s="285">
        <f t="shared" si="70"/>
        <v>4.2152466367706989</v>
      </c>
      <c r="L554">
        <v>5</v>
      </c>
      <c r="M554" s="286">
        <v>43360</v>
      </c>
      <c r="N554" s="286">
        <v>43361</v>
      </c>
      <c r="O554" s="283"/>
      <c r="R554" s="285"/>
    </row>
    <row r="555" spans="1:18">
      <c r="A555" t="s">
        <v>437</v>
      </c>
      <c r="C555" t="s">
        <v>3431</v>
      </c>
      <c r="D555">
        <v>1.5290999999999999</v>
      </c>
      <c r="E555">
        <v>9.8880999999999997</v>
      </c>
      <c r="F555">
        <v>0.20960000000000001</v>
      </c>
      <c r="G555" s="284">
        <f t="shared" si="68"/>
        <v>10.0977</v>
      </c>
      <c r="H555" s="284">
        <v>9.9144000000000005</v>
      </c>
      <c r="I555" s="284">
        <f t="shared" ref="I555:I564" si="71">G555-H555</f>
        <v>0.18329999999999913</v>
      </c>
      <c r="J555" s="283">
        <f t="shared" si="69"/>
        <v>2.6300000000000878E-2</v>
      </c>
      <c r="K555" s="285">
        <f t="shared" si="70"/>
        <v>12.547709923664542</v>
      </c>
      <c r="L555">
        <v>28</v>
      </c>
      <c r="M555">
        <v>23.101800000000001</v>
      </c>
      <c r="N555" s="16">
        <v>43397</v>
      </c>
      <c r="R555" s="285"/>
    </row>
    <row r="556" spans="1:18">
      <c r="A556" t="s">
        <v>436</v>
      </c>
      <c r="C556" t="s">
        <v>3489</v>
      </c>
      <c r="D556">
        <v>1.7666999999999999</v>
      </c>
      <c r="E556">
        <v>9.4878</v>
      </c>
      <c r="F556">
        <v>0.20330000000000001</v>
      </c>
      <c r="G556" s="284">
        <f t="shared" si="68"/>
        <v>9.6911000000000005</v>
      </c>
      <c r="H556" s="284">
        <v>9.4940999999999995</v>
      </c>
      <c r="I556" s="284">
        <f t="shared" si="71"/>
        <v>0.19700000000000095</v>
      </c>
      <c r="J556" s="283">
        <f t="shared" si="69"/>
        <v>6.2999999999990564E-3</v>
      </c>
      <c r="K556" s="285">
        <f t="shared" si="70"/>
        <v>3.0988686669941248</v>
      </c>
      <c r="L556">
        <v>36</v>
      </c>
      <c r="M556" s="286">
        <v>43363</v>
      </c>
      <c r="N556" s="286">
        <v>43364</v>
      </c>
      <c r="O556" s="283" t="s">
        <v>3756</v>
      </c>
      <c r="R556" s="285"/>
    </row>
    <row r="557" spans="1:18">
      <c r="A557" t="s">
        <v>435</v>
      </c>
      <c r="C557" t="s">
        <v>3748</v>
      </c>
      <c r="D557">
        <v>1.7797000000000001</v>
      </c>
      <c r="E557">
        <v>8.1206999999999994</v>
      </c>
      <c r="F557">
        <v>0.21329999999999999</v>
      </c>
      <c r="G557" s="284">
        <f t="shared" si="68"/>
        <v>8.3339999999999996</v>
      </c>
      <c r="H557" s="284">
        <v>8.1259999999999994</v>
      </c>
      <c r="I557" s="284">
        <f t="shared" si="71"/>
        <v>0.20800000000000018</v>
      </c>
      <c r="J557" s="283">
        <f t="shared" si="69"/>
        <v>5.2999999999998049E-3</v>
      </c>
      <c r="K557" s="285">
        <f t="shared" si="70"/>
        <v>2.4847632442568237</v>
      </c>
      <c r="L557">
        <v>27</v>
      </c>
      <c r="M557" s="16">
        <v>43381</v>
      </c>
      <c r="N557" s="16">
        <v>43382</v>
      </c>
      <c r="R557" s="285"/>
    </row>
    <row r="558" spans="1:18">
      <c r="A558" t="s">
        <v>434</v>
      </c>
      <c r="C558" t="s">
        <v>3742</v>
      </c>
      <c r="D558">
        <v>1.9027000000000001</v>
      </c>
      <c r="E558">
        <v>11.257899999999999</v>
      </c>
      <c r="F558">
        <v>0.2127</v>
      </c>
      <c r="G558" s="284">
        <f t="shared" si="68"/>
        <v>11.470599999999999</v>
      </c>
      <c r="H558" s="284">
        <v>11.265599999999999</v>
      </c>
      <c r="I558" s="284">
        <f t="shared" si="71"/>
        <v>0.20500000000000007</v>
      </c>
      <c r="J558" s="283">
        <f t="shared" si="69"/>
        <v>7.6999999999999291E-3</v>
      </c>
      <c r="K558" s="285">
        <f t="shared" si="70"/>
        <v>3.6201222378937139</v>
      </c>
      <c r="L558">
        <v>16</v>
      </c>
      <c r="M558" s="286">
        <v>43362</v>
      </c>
      <c r="N558" s="286">
        <v>43363</v>
      </c>
      <c r="O558" s="283"/>
      <c r="R558" s="285"/>
    </row>
    <row r="559" spans="1:18">
      <c r="A559" t="s">
        <v>433</v>
      </c>
      <c r="C559" t="s">
        <v>3428</v>
      </c>
      <c r="D559">
        <v>1.4073</v>
      </c>
      <c r="E559">
        <v>10.8559</v>
      </c>
      <c r="F559">
        <v>0.20549999999999999</v>
      </c>
      <c r="G559" s="284">
        <f t="shared" si="68"/>
        <v>11.061400000000001</v>
      </c>
      <c r="H559" s="284">
        <v>10.872199999999999</v>
      </c>
      <c r="I559" s="284">
        <f t="shared" si="71"/>
        <v>0.18920000000000137</v>
      </c>
      <c r="J559" s="283">
        <f t="shared" si="69"/>
        <v>1.6299999999998621E-2</v>
      </c>
      <c r="K559" s="285">
        <f t="shared" si="70"/>
        <v>7.9318734793180647</v>
      </c>
      <c r="L559">
        <v>38</v>
      </c>
      <c r="M559" s="286">
        <v>43363</v>
      </c>
      <c r="N559" s="286">
        <v>43364</v>
      </c>
      <c r="O559" s="283" t="s">
        <v>3756</v>
      </c>
      <c r="R559" s="285"/>
    </row>
    <row r="560" spans="1:18">
      <c r="A560" t="s">
        <v>432</v>
      </c>
      <c r="C560" t="s">
        <v>3758</v>
      </c>
      <c r="D560">
        <v>1.6654</v>
      </c>
      <c r="E560">
        <v>8.0650999999999993</v>
      </c>
      <c r="F560">
        <v>0.21160000000000001</v>
      </c>
      <c r="G560" s="284">
        <f t="shared" si="68"/>
        <v>8.2766999999999999</v>
      </c>
      <c r="H560" s="284">
        <v>8.0739999999999998</v>
      </c>
      <c r="I560" s="284">
        <f t="shared" si="71"/>
        <v>0.2027000000000001</v>
      </c>
      <c r="J560" s="283">
        <f t="shared" si="69"/>
        <v>8.899999999999908E-3</v>
      </c>
      <c r="K560" s="285">
        <f t="shared" si="70"/>
        <v>4.2060491493383303</v>
      </c>
      <c r="L560">
        <v>13</v>
      </c>
      <c r="M560" s="286">
        <v>43363</v>
      </c>
      <c r="N560" s="286">
        <v>43364</v>
      </c>
      <c r="O560" s="283"/>
      <c r="R560" s="285"/>
    </row>
    <row r="561" spans="1:19">
      <c r="A561" t="s">
        <v>431</v>
      </c>
      <c r="B561">
        <v>204</v>
      </c>
      <c r="C561" t="s">
        <v>2504</v>
      </c>
      <c r="D561">
        <v>1.5386</v>
      </c>
      <c r="E561">
        <v>10.677</v>
      </c>
      <c r="F561">
        <v>0.23350000000000001</v>
      </c>
      <c r="G561">
        <f t="shared" si="68"/>
        <v>10.910499999999999</v>
      </c>
      <c r="H561">
        <v>10.690899999999999</v>
      </c>
      <c r="I561" s="284">
        <f t="shared" si="71"/>
        <v>0.2195999999999998</v>
      </c>
      <c r="J561" s="283">
        <f t="shared" si="69"/>
        <v>1.3900000000000218E-2</v>
      </c>
      <c r="K561" s="285">
        <f t="shared" si="70"/>
        <v>5.9528907922913135</v>
      </c>
      <c r="L561">
        <v>36</v>
      </c>
      <c r="M561" s="16">
        <v>43399</v>
      </c>
      <c r="N561" s="16">
        <v>43400</v>
      </c>
      <c r="R561" s="285"/>
    </row>
    <row r="562" spans="1:19">
      <c r="A562" t="s">
        <v>430</v>
      </c>
      <c r="B562">
        <v>196</v>
      </c>
      <c r="D562">
        <v>1.7162999999999999</v>
      </c>
      <c r="E562">
        <v>7.0763999999999996</v>
      </c>
      <c r="F562">
        <v>0.2036</v>
      </c>
      <c r="G562" s="284">
        <f t="shared" si="68"/>
        <v>7.2799999999999994</v>
      </c>
      <c r="H562" s="284">
        <v>7.0815999999999999</v>
      </c>
      <c r="I562" s="284">
        <f t="shared" si="71"/>
        <v>0.19839999999999947</v>
      </c>
      <c r="J562" s="283">
        <f t="shared" si="69"/>
        <v>5.2000000000005375E-3</v>
      </c>
      <c r="K562" s="285">
        <f t="shared" si="70"/>
        <v>2.5540275049118555</v>
      </c>
      <c r="L562">
        <v>31</v>
      </c>
      <c r="M562" s="16">
        <v>43388</v>
      </c>
      <c r="N562" s="286">
        <v>43389</v>
      </c>
      <c r="O562" s="16"/>
      <c r="R562" s="285"/>
    </row>
    <row r="563" spans="1:19">
      <c r="A563" t="s">
        <v>429</v>
      </c>
      <c r="C563" t="s">
        <v>3458</v>
      </c>
      <c r="D563">
        <v>1.5687</v>
      </c>
      <c r="E563">
        <v>21.209199999999999</v>
      </c>
      <c r="F563">
        <v>0.20300000000000001</v>
      </c>
      <c r="G563" s="284">
        <f t="shared" si="68"/>
        <v>21.412199999999999</v>
      </c>
      <c r="H563" s="284">
        <v>21.238099999999999</v>
      </c>
      <c r="I563" s="284">
        <f t="shared" si="71"/>
        <v>0.17409999999999926</v>
      </c>
      <c r="J563" s="283">
        <f t="shared" si="69"/>
        <v>2.8900000000000758E-2</v>
      </c>
      <c r="K563" s="285">
        <f t="shared" si="70"/>
        <v>14.236453201970816</v>
      </c>
      <c r="L563">
        <v>5</v>
      </c>
      <c r="M563" s="286">
        <v>43362</v>
      </c>
      <c r="N563" s="286">
        <v>43363</v>
      </c>
      <c r="O563" s="283"/>
      <c r="R563" s="285"/>
    </row>
    <row r="564" spans="1:19">
      <c r="A564" t="s">
        <v>428</v>
      </c>
      <c r="B564">
        <v>198</v>
      </c>
      <c r="D564">
        <v>1.5419</v>
      </c>
      <c r="E564">
        <v>9.0214999999999996</v>
      </c>
      <c r="F564">
        <v>0.2021</v>
      </c>
      <c r="G564" s="284">
        <f t="shared" si="68"/>
        <v>9.2235999999999994</v>
      </c>
      <c r="H564" s="284">
        <v>9.0299999999999994</v>
      </c>
      <c r="I564" s="284">
        <f t="shared" si="71"/>
        <v>0.19359999999999999</v>
      </c>
      <c r="J564" s="283">
        <f t="shared" si="69"/>
        <v>8.5000000000000075E-3</v>
      </c>
      <c r="K564" s="285">
        <f t="shared" si="70"/>
        <v>4.205838693715986</v>
      </c>
      <c r="L564">
        <v>33</v>
      </c>
      <c r="M564" s="16">
        <v>43388</v>
      </c>
      <c r="N564" s="286">
        <v>43389</v>
      </c>
      <c r="O564" s="16"/>
      <c r="R564" s="285"/>
    </row>
    <row r="565" spans="1:19">
      <c r="A565" t="s">
        <v>427</v>
      </c>
      <c r="C565" t="s">
        <v>3677</v>
      </c>
      <c r="D565">
        <v>1.8376999999999999</v>
      </c>
      <c r="E565">
        <v>11.0549</v>
      </c>
      <c r="F565">
        <v>0.20349999999999999</v>
      </c>
      <c r="G565" s="284">
        <f t="shared" si="68"/>
        <v>11.2584</v>
      </c>
      <c r="H565" s="284">
        <v>11.0593</v>
      </c>
      <c r="I565" s="284">
        <f>(G565-H565)</f>
        <v>0.19909999999999961</v>
      </c>
      <c r="J565" s="283">
        <f t="shared" si="69"/>
        <v>4.4000000000003758E-3</v>
      </c>
      <c r="K565" s="285">
        <f t="shared" si="70"/>
        <v>2.162162162162347</v>
      </c>
      <c r="L565">
        <v>32</v>
      </c>
      <c r="M565" s="16">
        <v>43358</v>
      </c>
      <c r="N565" s="16">
        <v>43358</v>
      </c>
      <c r="R565" s="285"/>
    </row>
    <row r="566" spans="1:19">
      <c r="A566" t="s">
        <v>426</v>
      </c>
      <c r="C566" t="s">
        <v>3711</v>
      </c>
      <c r="D566">
        <v>1.8581000000000001</v>
      </c>
      <c r="E566">
        <v>7.0766999999999998</v>
      </c>
      <c r="F566">
        <v>0.20610000000000001</v>
      </c>
      <c r="G566" s="284">
        <f t="shared" si="68"/>
        <v>7.2827999999999999</v>
      </c>
      <c r="H566" s="284">
        <v>7.0818000000000003</v>
      </c>
      <c r="I566" s="284">
        <f>(G566-H566)</f>
        <v>0.20099999999999962</v>
      </c>
      <c r="J566" s="283">
        <f t="shared" si="69"/>
        <v>5.100000000000382E-3</v>
      </c>
      <c r="K566" s="285">
        <f t="shared" si="70"/>
        <v>2.4745269286755853</v>
      </c>
      <c r="L566">
        <v>7</v>
      </c>
      <c r="M566" s="286">
        <v>43360</v>
      </c>
      <c r="N566" s="286">
        <v>43361</v>
      </c>
      <c r="O566" s="283" t="s">
        <v>3707</v>
      </c>
      <c r="R566" s="285"/>
    </row>
    <row r="567" spans="1:19">
      <c r="A567" t="s">
        <v>425</v>
      </c>
      <c r="C567" t="s">
        <v>3679</v>
      </c>
      <c r="D567">
        <v>1.6758</v>
      </c>
      <c r="E567">
        <v>20.044699999999999</v>
      </c>
      <c r="F567">
        <v>0.22570000000000001</v>
      </c>
      <c r="G567" s="284">
        <f t="shared" si="68"/>
        <v>20.270399999999999</v>
      </c>
      <c r="H567" s="284">
        <v>20.054600000000001</v>
      </c>
      <c r="I567" s="284">
        <f>G567-H567</f>
        <v>0.21579999999999799</v>
      </c>
      <c r="J567" s="283">
        <f t="shared" si="69"/>
        <v>9.9000000000020183E-3</v>
      </c>
      <c r="K567" s="285">
        <f t="shared" si="70"/>
        <v>4.3863535666823292</v>
      </c>
      <c r="L567">
        <v>34</v>
      </c>
      <c r="M567" s="286">
        <v>43361</v>
      </c>
      <c r="N567" s="286">
        <v>43362</v>
      </c>
      <c r="O567" s="283" t="s">
        <v>3730</v>
      </c>
      <c r="R567" s="285"/>
    </row>
    <row r="568" spans="1:19">
      <c r="A568" t="s">
        <v>424</v>
      </c>
      <c r="C568" t="s">
        <v>3412</v>
      </c>
      <c r="D568">
        <v>1.696</v>
      </c>
      <c r="E568">
        <v>8.1326999999999998</v>
      </c>
      <c r="F568">
        <v>0.20660000000000001</v>
      </c>
      <c r="G568" s="284">
        <f t="shared" si="68"/>
        <v>8.3392999999999997</v>
      </c>
      <c r="H568" s="284">
        <v>8.1448999999999998</v>
      </c>
      <c r="I568" s="284">
        <f>G568-H568</f>
        <v>0.19439999999999991</v>
      </c>
      <c r="J568" s="283">
        <f t="shared" si="69"/>
        <v>1.22000000000001E-2</v>
      </c>
      <c r="K568" s="285">
        <f t="shared" si="70"/>
        <v>5.9051306873185379</v>
      </c>
      <c r="L568">
        <v>37</v>
      </c>
      <c r="M568" s="286">
        <v>43374</v>
      </c>
      <c r="N568" s="286">
        <v>43375</v>
      </c>
      <c r="O568" s="283" t="s">
        <v>3730</v>
      </c>
      <c r="R568" s="285"/>
    </row>
    <row r="569" spans="1:19">
      <c r="A569" t="s">
        <v>423</v>
      </c>
      <c r="C569" t="s">
        <v>3733</v>
      </c>
      <c r="D569">
        <v>1.8660000000000001</v>
      </c>
      <c r="E569">
        <v>10.417899999999999</v>
      </c>
      <c r="F569">
        <v>0.20100000000000001</v>
      </c>
      <c r="G569" s="284">
        <f t="shared" si="68"/>
        <v>10.6189</v>
      </c>
      <c r="H569" s="284">
        <v>10.4238</v>
      </c>
      <c r="I569" s="284">
        <f>G569-H569</f>
        <v>0.19510000000000005</v>
      </c>
      <c r="J569" s="283">
        <f t="shared" si="69"/>
        <v>5.8999999999999608E-3</v>
      </c>
      <c r="K569" s="285">
        <f t="shared" si="70"/>
        <v>2.9353233830845578</v>
      </c>
      <c r="L569">
        <v>4</v>
      </c>
      <c r="M569" s="286">
        <v>43363</v>
      </c>
      <c r="N569" s="286">
        <v>43364</v>
      </c>
      <c r="O569" s="283" t="s">
        <v>3756</v>
      </c>
      <c r="R569" s="285"/>
    </row>
    <row r="570" spans="1:19">
      <c r="A570" t="s">
        <v>422</v>
      </c>
      <c r="C570" t="s">
        <v>3414</v>
      </c>
      <c r="D570">
        <v>1.5751999999999999</v>
      </c>
      <c r="E570">
        <v>11.089</v>
      </c>
      <c r="F570">
        <v>0.20469999999999999</v>
      </c>
      <c r="G570">
        <f t="shared" si="68"/>
        <v>11.293700000000001</v>
      </c>
      <c r="H570">
        <v>11.153</v>
      </c>
      <c r="I570" s="284">
        <f>G570-H570</f>
        <v>0.14070000000000071</v>
      </c>
      <c r="J570" s="283">
        <f t="shared" si="69"/>
        <v>6.399999999999928E-2</v>
      </c>
      <c r="K570" s="285">
        <f t="shared" si="70"/>
        <v>31.265266243282504</v>
      </c>
      <c r="L570">
        <v>33</v>
      </c>
      <c r="M570" s="16">
        <v>43399</v>
      </c>
      <c r="N570" s="16">
        <v>43400</v>
      </c>
      <c r="R570" s="285"/>
    </row>
    <row r="571" spans="1:19">
      <c r="A571" t="s">
        <v>421</v>
      </c>
      <c r="C571" t="s">
        <v>3464</v>
      </c>
      <c r="D571">
        <v>1.593</v>
      </c>
      <c r="E571">
        <v>9.32</v>
      </c>
      <c r="F571">
        <v>0.2074</v>
      </c>
      <c r="G571">
        <f t="shared" si="68"/>
        <v>9.5274000000000001</v>
      </c>
      <c r="H571">
        <v>9.3346999999999998</v>
      </c>
      <c r="I571" s="284">
        <f>G571-H571</f>
        <v>0.19270000000000032</v>
      </c>
      <c r="J571" s="283">
        <f t="shared" ref="J571:J596" si="72">F571-I571</f>
        <v>1.4699999999999686E-2</v>
      </c>
      <c r="K571" s="285">
        <f t="shared" ref="K571:K596" si="73">(J571/F571)*100</f>
        <v>7.0877531340403506</v>
      </c>
      <c r="L571">
        <v>5</v>
      </c>
      <c r="M571" s="16">
        <v>43402</v>
      </c>
      <c r="N571" s="16">
        <v>43403</v>
      </c>
      <c r="R571" s="285"/>
    </row>
    <row r="572" spans="1:19">
      <c r="A572" t="s">
        <v>419</v>
      </c>
      <c r="C572" t="s">
        <v>3670</v>
      </c>
      <c r="D572">
        <v>1.8747</v>
      </c>
      <c r="E572">
        <v>10.4156</v>
      </c>
      <c r="F572">
        <v>0.2051</v>
      </c>
      <c r="G572" s="284">
        <f t="shared" si="68"/>
        <v>10.620699999999999</v>
      </c>
      <c r="H572" s="284">
        <v>10.4209</v>
      </c>
      <c r="I572" s="284">
        <f>(G572-H572)</f>
        <v>0.19979999999999976</v>
      </c>
      <c r="J572" s="283">
        <f t="shared" si="72"/>
        <v>5.300000000000249E-3</v>
      </c>
      <c r="K572" s="285">
        <f t="shared" si="73"/>
        <v>2.5841053144808623</v>
      </c>
      <c r="L572">
        <v>6</v>
      </c>
      <c r="M572" s="16">
        <v>43358</v>
      </c>
      <c r="N572" s="16">
        <v>43358</v>
      </c>
      <c r="R572" s="285"/>
    </row>
    <row r="573" spans="1:19">
      <c r="A573" t="s">
        <v>418</v>
      </c>
      <c r="C573" t="s">
        <v>3658</v>
      </c>
      <c r="D573" s="283">
        <v>1.7976000000000001</v>
      </c>
      <c r="E573" s="284">
        <v>9.0028000000000006</v>
      </c>
      <c r="F573" s="284">
        <v>0.2084</v>
      </c>
      <c r="G573" s="284">
        <f t="shared" si="68"/>
        <v>9.2111999999999998</v>
      </c>
      <c r="H573" s="284">
        <v>9.0084</v>
      </c>
      <c r="I573" s="284">
        <f>(G573-H573)</f>
        <v>0.20279999999999987</v>
      </c>
      <c r="J573" s="283">
        <f t="shared" si="72"/>
        <v>5.6000000000001326E-3</v>
      </c>
      <c r="K573" s="285">
        <f t="shared" si="73"/>
        <v>2.6871401151632113</v>
      </c>
      <c r="L573" s="283">
        <v>1</v>
      </c>
      <c r="M573" s="286">
        <v>43355.625</v>
      </c>
      <c r="N573" s="286">
        <v>43355.791666666664</v>
      </c>
      <c r="O573" s="283" t="s">
        <v>3659</v>
      </c>
      <c r="P573" s="283"/>
      <c r="R573" s="285"/>
      <c r="S573" s="283"/>
    </row>
    <row r="574" spans="1:19">
      <c r="A574" s="92" t="s">
        <v>417</v>
      </c>
      <c r="B574" s="92"/>
      <c r="C574" s="92" t="s">
        <v>3702</v>
      </c>
      <c r="D574" s="92">
        <v>5.4800000000000001E-2</v>
      </c>
      <c r="E574" s="92">
        <v>18.110299999999999</v>
      </c>
      <c r="F574" s="92">
        <v>5.21E-2</v>
      </c>
      <c r="G574" s="397">
        <f t="shared" si="68"/>
        <v>18.162399999999998</v>
      </c>
      <c r="H574" s="397">
        <v>18.160599999999999</v>
      </c>
      <c r="I574" s="397">
        <f>G574-H574</f>
        <v>1.7999999999993577E-3</v>
      </c>
      <c r="J574" s="398">
        <f t="shared" si="72"/>
        <v>5.0300000000000643E-2</v>
      </c>
      <c r="K574" s="399">
        <f t="shared" si="73"/>
        <v>96.545105566220045</v>
      </c>
      <c r="L574" s="92">
        <v>23</v>
      </c>
      <c r="M574" s="400">
        <v>43361</v>
      </c>
      <c r="N574" s="400">
        <v>43362</v>
      </c>
      <c r="O574" s="398" t="s">
        <v>3730</v>
      </c>
      <c r="P574" s="92" t="s">
        <v>3736</v>
      </c>
      <c r="R574" s="399"/>
    </row>
    <row r="575" spans="1:19">
      <c r="A575" t="s">
        <v>416</v>
      </c>
      <c r="C575" t="s">
        <v>3739</v>
      </c>
      <c r="D575">
        <v>1.7596000000000001</v>
      </c>
      <c r="E575">
        <v>7.5297000000000001</v>
      </c>
      <c r="F575">
        <v>0.23369999999999999</v>
      </c>
      <c r="G575" s="284">
        <f t="shared" si="68"/>
        <v>7.7633999999999999</v>
      </c>
      <c r="H575" s="284">
        <v>7.5378999999999996</v>
      </c>
      <c r="I575" s="284">
        <f>G575-H575</f>
        <v>0.22550000000000026</v>
      </c>
      <c r="J575" s="283">
        <f t="shared" si="72"/>
        <v>8.1999999999997353E-3</v>
      </c>
      <c r="K575" s="285">
        <f t="shared" si="73"/>
        <v>3.508771929824448</v>
      </c>
      <c r="L575">
        <v>34</v>
      </c>
      <c r="M575">
        <v>23.101800000000001</v>
      </c>
      <c r="N575" s="16">
        <v>43397</v>
      </c>
      <c r="R575" s="285"/>
    </row>
    <row r="576" spans="1:19">
      <c r="A576" t="s">
        <v>414</v>
      </c>
      <c r="C576" t="s">
        <v>3699</v>
      </c>
      <c r="D576">
        <v>0.54479999999999995</v>
      </c>
      <c r="E576">
        <v>10.698600000000001</v>
      </c>
      <c r="F576">
        <v>0.22389999999999999</v>
      </c>
      <c r="G576" s="284">
        <f t="shared" si="68"/>
        <v>10.922500000000001</v>
      </c>
      <c r="H576" s="284">
        <v>10.7065</v>
      </c>
      <c r="I576" s="284">
        <f>(G576-H576)</f>
        <v>0.21600000000000108</v>
      </c>
      <c r="J576" s="283">
        <f t="shared" si="72"/>
        <v>7.8999999999989079E-3</v>
      </c>
      <c r="K576" s="285">
        <f t="shared" si="73"/>
        <v>3.528360875390312</v>
      </c>
      <c r="L576">
        <v>32</v>
      </c>
      <c r="M576" s="286">
        <v>43360</v>
      </c>
      <c r="N576" s="286">
        <v>43361</v>
      </c>
      <c r="R576" s="285"/>
    </row>
    <row r="577" spans="1:18">
      <c r="A577" t="s">
        <v>414</v>
      </c>
      <c r="C577" t="s">
        <v>3699</v>
      </c>
      <c r="D577">
        <v>0.68500000000000005</v>
      </c>
      <c r="E577" t="s">
        <v>2054</v>
      </c>
      <c r="F577" t="s">
        <v>2054</v>
      </c>
      <c r="G577" s="284" t="s">
        <v>2054</v>
      </c>
      <c r="H577" s="284"/>
      <c r="I577" s="284" t="e">
        <f>(G577-H577)</f>
        <v>#VALUE!</v>
      </c>
      <c r="J577" s="283" t="e">
        <f t="shared" si="72"/>
        <v>#VALUE!</v>
      </c>
      <c r="K577" s="285" t="e">
        <f t="shared" si="73"/>
        <v>#VALUE!</v>
      </c>
      <c r="L577" s="284" t="s">
        <v>2054</v>
      </c>
      <c r="M577" s="286">
        <v>43360</v>
      </c>
      <c r="N577" s="286">
        <v>43361</v>
      </c>
      <c r="P577" t="s">
        <v>3703</v>
      </c>
      <c r="R577" s="285"/>
    </row>
    <row r="578" spans="1:18">
      <c r="A578" t="s">
        <v>413</v>
      </c>
      <c r="C578" t="s">
        <v>3663</v>
      </c>
      <c r="D578">
        <v>1.7851999999999999</v>
      </c>
      <c r="E578">
        <v>10.854100000000001</v>
      </c>
      <c r="F578">
        <v>0.2094</v>
      </c>
      <c r="G578" s="284">
        <f t="shared" ref="G578:G596" si="74">E578+F578</f>
        <v>11.063500000000001</v>
      </c>
      <c r="H578" s="284">
        <v>10.860099999999999</v>
      </c>
      <c r="I578" s="284">
        <f>(G578-H578)</f>
        <v>0.20340000000000202</v>
      </c>
      <c r="J578" s="283">
        <f t="shared" si="72"/>
        <v>5.9999999999979792E-3</v>
      </c>
      <c r="K578" s="285">
        <f t="shared" si="73"/>
        <v>2.8653295128930178</v>
      </c>
      <c r="L578">
        <v>5</v>
      </c>
      <c r="M578" s="286">
        <v>43355.625</v>
      </c>
      <c r="N578" s="286">
        <v>43355.791666666664</v>
      </c>
      <c r="O578" s="283" t="s">
        <v>3659</v>
      </c>
      <c r="R578" s="285"/>
    </row>
    <row r="579" spans="1:18">
      <c r="A579" t="s">
        <v>412</v>
      </c>
      <c r="C579" t="s">
        <v>3749</v>
      </c>
      <c r="D579">
        <v>2.0343</v>
      </c>
      <c r="E579">
        <v>9.8882999999999992</v>
      </c>
      <c r="F579">
        <v>0.22700000000000001</v>
      </c>
      <c r="G579" s="284">
        <f t="shared" si="74"/>
        <v>10.1153</v>
      </c>
      <c r="H579" s="284">
        <v>10.0966</v>
      </c>
      <c r="I579" s="284">
        <f>G579-H579</f>
        <v>1.8699999999999051E-2</v>
      </c>
      <c r="J579" s="283">
        <f t="shared" si="72"/>
        <v>0.20830000000000096</v>
      </c>
      <c r="K579" s="285">
        <f t="shared" si="73"/>
        <v>91.762114537445356</v>
      </c>
      <c r="L579">
        <v>7</v>
      </c>
      <c r="M579" s="286">
        <v>43374</v>
      </c>
      <c r="N579" s="286">
        <v>43375</v>
      </c>
      <c r="O579" s="283" t="s">
        <v>3730</v>
      </c>
      <c r="P579" t="s">
        <v>3766</v>
      </c>
      <c r="R579" s="285"/>
    </row>
    <row r="580" spans="1:18">
      <c r="A580" t="s">
        <v>411</v>
      </c>
      <c r="C580" t="s">
        <v>3500</v>
      </c>
      <c r="D580">
        <v>1.8024</v>
      </c>
      <c r="E580">
        <v>10.7454</v>
      </c>
      <c r="F580">
        <v>0.2016</v>
      </c>
      <c r="G580" s="284">
        <f t="shared" si="74"/>
        <v>10.946999999999999</v>
      </c>
      <c r="H580" s="284">
        <v>10.751799999999999</v>
      </c>
      <c r="I580" s="284">
        <f>G580-H580</f>
        <v>0.19519999999999982</v>
      </c>
      <c r="J580" s="283">
        <f t="shared" si="72"/>
        <v>6.4000000000001833E-3</v>
      </c>
      <c r="K580" s="285">
        <f t="shared" si="73"/>
        <v>3.1746031746032655</v>
      </c>
      <c r="L580">
        <v>6</v>
      </c>
      <c r="M580" s="286">
        <v>43363</v>
      </c>
      <c r="N580" s="286">
        <v>43364</v>
      </c>
      <c r="O580" s="283" t="s">
        <v>3756</v>
      </c>
      <c r="R580" s="285"/>
    </row>
    <row r="581" spans="1:18">
      <c r="A581" t="s">
        <v>410</v>
      </c>
      <c r="C581" t="s">
        <v>3458</v>
      </c>
      <c r="D581">
        <v>1.5952</v>
      </c>
      <c r="E581">
        <v>7.0944000000000003</v>
      </c>
      <c r="F581">
        <v>0.2034</v>
      </c>
      <c r="G581" s="284">
        <f t="shared" si="74"/>
        <v>7.2978000000000005</v>
      </c>
      <c r="H581" s="284">
        <v>7.1093999999999999</v>
      </c>
      <c r="I581" s="284">
        <f>G581-H581</f>
        <v>0.18840000000000057</v>
      </c>
      <c r="J581" s="283">
        <f t="shared" si="72"/>
        <v>1.499999999999943E-2</v>
      </c>
      <c r="K581" s="285">
        <f t="shared" si="73"/>
        <v>7.374631268436298</v>
      </c>
      <c r="L581">
        <v>3</v>
      </c>
      <c r="M581" s="16">
        <v>43381</v>
      </c>
      <c r="N581" s="16">
        <v>43382</v>
      </c>
      <c r="R581" s="285"/>
    </row>
    <row r="582" spans="1:18">
      <c r="A582" t="s">
        <v>407</v>
      </c>
      <c r="C582" t="s">
        <v>3741</v>
      </c>
      <c r="D582">
        <v>1.8533999999999999</v>
      </c>
      <c r="E582">
        <v>7.9618000000000002</v>
      </c>
      <c r="F582">
        <v>0.20180000000000001</v>
      </c>
      <c r="G582" s="284">
        <f t="shared" si="74"/>
        <v>8.1636000000000006</v>
      </c>
      <c r="H582" s="284">
        <v>7.9668000000000001</v>
      </c>
      <c r="I582" s="284">
        <f>G582-H582</f>
        <v>0.19680000000000053</v>
      </c>
      <c r="J582" s="283">
        <f t="shared" si="72"/>
        <v>4.9999999999994771E-3</v>
      </c>
      <c r="K582" s="285">
        <f t="shared" si="73"/>
        <v>2.4777006937559349</v>
      </c>
      <c r="L582">
        <v>33</v>
      </c>
      <c r="M582" s="286">
        <v>43362</v>
      </c>
      <c r="N582" s="286">
        <v>43363</v>
      </c>
      <c r="R582" s="285"/>
    </row>
    <row r="583" spans="1:18">
      <c r="A583" t="s">
        <v>406</v>
      </c>
      <c r="C583" t="s">
        <v>3711</v>
      </c>
      <c r="D583">
        <v>1.7805</v>
      </c>
      <c r="E583">
        <v>9.3201000000000001</v>
      </c>
      <c r="F583">
        <v>0.23269999999999999</v>
      </c>
      <c r="G583" s="284">
        <f t="shared" si="74"/>
        <v>9.5527999999999995</v>
      </c>
      <c r="H583" s="284">
        <v>9.3248999999999995</v>
      </c>
      <c r="I583" s="284">
        <f>(G583-H583)</f>
        <v>0.22789999999999999</v>
      </c>
      <c r="J583" s="283">
        <f t="shared" si="72"/>
        <v>4.7999999999999987E-3</v>
      </c>
      <c r="K583" s="285">
        <f t="shared" si="73"/>
        <v>2.0627417275461966</v>
      </c>
      <c r="L583">
        <v>20</v>
      </c>
      <c r="M583" s="286">
        <v>43360</v>
      </c>
      <c r="N583" s="286">
        <v>43361</v>
      </c>
      <c r="O583" s="283" t="s">
        <v>3707</v>
      </c>
      <c r="R583" s="285"/>
    </row>
    <row r="584" spans="1:18">
      <c r="A584" t="s">
        <v>405</v>
      </c>
      <c r="C584" t="s">
        <v>3686</v>
      </c>
      <c r="D584">
        <v>1.7475000000000001</v>
      </c>
      <c r="E584">
        <v>8.7026000000000003</v>
      </c>
      <c r="F584">
        <v>0.20119999999999999</v>
      </c>
      <c r="G584" s="284">
        <f t="shared" si="74"/>
        <v>8.9038000000000004</v>
      </c>
      <c r="H584" s="284">
        <v>8.7079000000000004</v>
      </c>
      <c r="I584" s="284">
        <f>(G584-H584)</f>
        <v>0.19589999999999996</v>
      </c>
      <c r="J584" s="283">
        <f t="shared" si="72"/>
        <v>5.3000000000000269E-3</v>
      </c>
      <c r="K584" s="285">
        <f t="shared" si="73"/>
        <v>2.63419483101393</v>
      </c>
      <c r="L584">
        <v>10</v>
      </c>
      <c r="M584" s="286">
        <v>43360</v>
      </c>
      <c r="N584" s="286">
        <v>43361</v>
      </c>
      <c r="O584" s="283"/>
      <c r="R584" s="285"/>
    </row>
    <row r="585" spans="1:18">
      <c r="A585" t="s">
        <v>404</v>
      </c>
      <c r="C585" t="s">
        <v>3487</v>
      </c>
      <c r="D585">
        <v>0.85099999999999998</v>
      </c>
      <c r="E585">
        <v>8.9600000000000009</v>
      </c>
      <c r="F585">
        <v>0.20649999999999999</v>
      </c>
      <c r="G585" s="284">
        <f t="shared" si="74"/>
        <v>9.166500000000001</v>
      </c>
      <c r="H585" s="284">
        <v>9.0650999999999993</v>
      </c>
      <c r="I585" s="284">
        <f>G585-H585</f>
        <v>0.10140000000000171</v>
      </c>
      <c r="J585" s="283">
        <f t="shared" si="72"/>
        <v>0.10509999999999828</v>
      </c>
      <c r="K585" s="285">
        <f t="shared" si="73"/>
        <v>50.895883777238879</v>
      </c>
      <c r="L585">
        <v>24</v>
      </c>
      <c r="M585" s="286">
        <v>43363</v>
      </c>
      <c r="N585" s="286">
        <v>43364</v>
      </c>
      <c r="O585" s="283" t="s">
        <v>3756</v>
      </c>
      <c r="R585" s="285"/>
    </row>
    <row r="586" spans="1:18">
      <c r="A586" t="s">
        <v>403</v>
      </c>
      <c r="C586" t="s">
        <v>3431</v>
      </c>
      <c r="D586">
        <v>1.4211</v>
      </c>
      <c r="E586">
        <v>9.0036000000000005</v>
      </c>
      <c r="F586">
        <v>0.23499999999999999</v>
      </c>
      <c r="G586">
        <f t="shared" si="74"/>
        <v>9.2385999999999999</v>
      </c>
      <c r="H586">
        <v>9.0282999999999998</v>
      </c>
      <c r="I586" s="284">
        <f>G586-H586</f>
        <v>0.21030000000000015</v>
      </c>
      <c r="J586" s="283">
        <f t="shared" si="72"/>
        <v>2.4699999999999833E-2</v>
      </c>
      <c r="K586" s="285">
        <f t="shared" si="73"/>
        <v>10.510638297872269</v>
      </c>
      <c r="L586">
        <v>13</v>
      </c>
      <c r="M586" s="16">
        <v>43399</v>
      </c>
      <c r="N586" s="16">
        <v>43400</v>
      </c>
      <c r="R586" s="285"/>
    </row>
    <row r="587" spans="1:18">
      <c r="A587" t="s">
        <v>402</v>
      </c>
      <c r="C587" t="s">
        <v>3668</v>
      </c>
      <c r="D587">
        <v>1.8143</v>
      </c>
      <c r="E587">
        <v>8.1168999999999993</v>
      </c>
      <c r="F587">
        <v>0.19980000000000001</v>
      </c>
      <c r="G587" s="284">
        <f t="shared" si="74"/>
        <v>8.3166999999999991</v>
      </c>
      <c r="H587" s="284">
        <v>8.1232000000000006</v>
      </c>
      <c r="I587" s="284">
        <f>(G587-H587)</f>
        <v>0.19349999999999845</v>
      </c>
      <c r="J587" s="283">
        <f t="shared" si="72"/>
        <v>6.3000000000015544E-3</v>
      </c>
      <c r="K587" s="285">
        <f t="shared" si="73"/>
        <v>3.1531531531539305</v>
      </c>
      <c r="L587">
        <v>15</v>
      </c>
      <c r="M587" s="286">
        <v>43355.625</v>
      </c>
      <c r="N587" s="286">
        <v>43355.791666666664</v>
      </c>
      <c r="O587" s="283" t="s">
        <v>3659</v>
      </c>
      <c r="R587" s="285"/>
    </row>
    <row r="588" spans="1:18">
      <c r="A588" t="s">
        <v>400</v>
      </c>
      <c r="C588" t="s">
        <v>3780</v>
      </c>
      <c r="D588">
        <v>1.8338000000000001</v>
      </c>
      <c r="E588">
        <v>10.567600000000001</v>
      </c>
      <c r="F588">
        <v>0.20280000000000001</v>
      </c>
      <c r="G588" s="284">
        <f t="shared" si="74"/>
        <v>10.7704</v>
      </c>
      <c r="H588" s="284">
        <v>10.573</v>
      </c>
      <c r="I588" s="284">
        <f>G588-H588</f>
        <v>0.19740000000000002</v>
      </c>
      <c r="J588" s="283">
        <f t="shared" si="72"/>
        <v>5.3999999999999881E-3</v>
      </c>
      <c r="K588" s="285">
        <f t="shared" si="73"/>
        <v>2.6627218934911183</v>
      </c>
      <c r="L588">
        <v>11</v>
      </c>
      <c r="M588" s="16">
        <v>43388</v>
      </c>
      <c r="N588" s="286">
        <v>43389</v>
      </c>
      <c r="O588" s="286"/>
      <c r="P588" s="283"/>
      <c r="R588" s="285"/>
    </row>
    <row r="589" spans="1:18">
      <c r="A589" t="s">
        <v>399</v>
      </c>
      <c r="C589" t="s">
        <v>3701</v>
      </c>
      <c r="D589">
        <v>1.4898</v>
      </c>
      <c r="E589">
        <v>20.760200000000001</v>
      </c>
      <c r="F589">
        <v>0.21190000000000001</v>
      </c>
      <c r="G589" s="284">
        <f t="shared" si="74"/>
        <v>20.972100000000001</v>
      </c>
      <c r="H589" s="284">
        <v>20.782499999999999</v>
      </c>
      <c r="I589" s="284">
        <f>G589-H589</f>
        <v>0.18960000000000221</v>
      </c>
      <c r="J589" s="283">
        <f t="shared" si="72"/>
        <v>2.2299999999997794E-2</v>
      </c>
      <c r="K589" s="285">
        <f t="shared" si="73"/>
        <v>10.523831996223592</v>
      </c>
      <c r="L589">
        <v>39</v>
      </c>
      <c r="M589" s="286">
        <v>43363</v>
      </c>
      <c r="N589" s="286">
        <v>43364</v>
      </c>
      <c r="R589" s="285"/>
    </row>
    <row r="590" spans="1:18">
      <c r="A590" t="s">
        <v>398</v>
      </c>
      <c r="C590" t="s">
        <v>3666</v>
      </c>
      <c r="D590">
        <v>1.8038000000000001</v>
      </c>
      <c r="E590">
        <v>11.7446</v>
      </c>
      <c r="F590">
        <v>0.19980000000000001</v>
      </c>
      <c r="G590" s="284">
        <f t="shared" si="74"/>
        <v>11.9444</v>
      </c>
      <c r="H590" s="284">
        <v>11.7517</v>
      </c>
      <c r="I590" s="284">
        <f>(G590-H590)</f>
        <v>0.19270000000000032</v>
      </c>
      <c r="J590" s="283">
        <f t="shared" si="72"/>
        <v>7.0999999999996899E-3</v>
      </c>
      <c r="K590" s="285">
        <f t="shared" si="73"/>
        <v>3.5535535535533986</v>
      </c>
      <c r="L590">
        <v>1</v>
      </c>
      <c r="M590" s="16">
        <v>43358</v>
      </c>
      <c r="N590" s="16">
        <v>43358</v>
      </c>
      <c r="R590" s="285"/>
    </row>
    <row r="591" spans="1:18">
      <c r="A591" t="s">
        <v>397</v>
      </c>
      <c r="C591" t="s">
        <v>3770</v>
      </c>
      <c r="D591">
        <v>1.7324999999999999</v>
      </c>
      <c r="E591">
        <v>10.856</v>
      </c>
      <c r="F591">
        <v>0.21</v>
      </c>
      <c r="G591" s="288">
        <f t="shared" si="74"/>
        <v>11.066000000000001</v>
      </c>
      <c r="H591" s="284">
        <v>10.861700000000001</v>
      </c>
      <c r="I591" s="288">
        <f t="shared" ref="I591:I596" si="75">G591-H591</f>
        <v>0.20429999999999993</v>
      </c>
      <c r="J591" s="283">
        <f t="shared" si="72"/>
        <v>5.7000000000000661E-3</v>
      </c>
      <c r="K591" s="285">
        <f t="shared" si="73"/>
        <v>2.7142857142857459</v>
      </c>
      <c r="L591">
        <v>37</v>
      </c>
      <c r="M591" s="286">
        <v>43379</v>
      </c>
      <c r="N591" s="286">
        <v>43379</v>
      </c>
      <c r="R591" s="285"/>
    </row>
    <row r="592" spans="1:18">
      <c r="A592" t="s">
        <v>396</v>
      </c>
      <c r="C592" t="s">
        <v>3755</v>
      </c>
      <c r="D592">
        <v>1.8544</v>
      </c>
      <c r="E592">
        <v>7.9950999999999999</v>
      </c>
      <c r="F592">
        <v>0.2021</v>
      </c>
      <c r="G592" s="288">
        <f t="shared" si="74"/>
        <v>8.1972000000000005</v>
      </c>
      <c r="H592" s="284">
        <v>8.0017999999999994</v>
      </c>
      <c r="I592" s="288">
        <f t="shared" si="75"/>
        <v>0.19540000000000113</v>
      </c>
      <c r="J592" s="283">
        <f t="shared" si="72"/>
        <v>6.6999999999988735E-3</v>
      </c>
      <c r="K592" s="285">
        <f t="shared" si="73"/>
        <v>3.3151904997520401</v>
      </c>
      <c r="L592">
        <v>28</v>
      </c>
      <c r="M592" s="286">
        <v>43379</v>
      </c>
      <c r="N592" s="286">
        <v>43379</v>
      </c>
      <c r="R592" s="285"/>
    </row>
    <row r="593" spans="1:18">
      <c r="A593" t="s">
        <v>395</v>
      </c>
      <c r="C593" t="s">
        <v>3760</v>
      </c>
      <c r="D593">
        <v>0.46639999999999998</v>
      </c>
      <c r="E593">
        <v>7.8403999999999998</v>
      </c>
      <c r="F593">
        <v>0.2036</v>
      </c>
      <c r="G593" s="284">
        <f t="shared" si="74"/>
        <v>8.0440000000000005</v>
      </c>
      <c r="H593" s="284">
        <v>8.0124999999999993</v>
      </c>
      <c r="I593" s="284">
        <f t="shared" si="75"/>
        <v>3.1500000000001194E-2</v>
      </c>
      <c r="J593" s="283">
        <f t="shared" si="72"/>
        <v>0.17209999999999881</v>
      </c>
      <c r="K593" s="285">
        <f t="shared" si="73"/>
        <v>84.528487229861895</v>
      </c>
      <c r="L593">
        <v>35</v>
      </c>
      <c r="M593" s="16">
        <v>43381</v>
      </c>
      <c r="N593" s="16">
        <v>43382</v>
      </c>
      <c r="R593" s="285"/>
    </row>
    <row r="594" spans="1:18">
      <c r="A594" t="s">
        <v>393</v>
      </c>
      <c r="C594" t="s">
        <v>3427</v>
      </c>
      <c r="D594">
        <v>4.7215999999999996</v>
      </c>
      <c r="E594">
        <v>7.7751000000000001</v>
      </c>
      <c r="F594">
        <v>0.22</v>
      </c>
      <c r="G594" s="284">
        <f t="shared" si="74"/>
        <v>7.9950999999999999</v>
      </c>
      <c r="H594" s="284">
        <v>7.9756999999999998</v>
      </c>
      <c r="I594" s="284">
        <f t="shared" si="75"/>
        <v>1.9400000000000084E-2</v>
      </c>
      <c r="J594" s="283">
        <f t="shared" si="72"/>
        <v>0.20059999999999992</v>
      </c>
      <c r="K594" s="285">
        <f t="shared" si="73"/>
        <v>91.181818181818144</v>
      </c>
      <c r="L594">
        <v>26</v>
      </c>
      <c r="M594" s="16">
        <v>43399</v>
      </c>
      <c r="N594" s="16">
        <v>43400</v>
      </c>
      <c r="P594" t="s">
        <v>3790</v>
      </c>
      <c r="R594" s="285"/>
    </row>
    <row r="595" spans="1:18">
      <c r="A595" t="s">
        <v>391</v>
      </c>
      <c r="C595" t="s">
        <v>3743</v>
      </c>
      <c r="D595">
        <v>0.61480000000000001</v>
      </c>
      <c r="E595">
        <v>19.644200000000001</v>
      </c>
      <c r="F595">
        <v>0.20799999999999999</v>
      </c>
      <c r="G595" s="284">
        <f t="shared" si="74"/>
        <v>19.8522</v>
      </c>
      <c r="H595" s="284">
        <v>19.831299999999999</v>
      </c>
      <c r="I595" s="284">
        <f t="shared" si="75"/>
        <v>2.0900000000001029E-2</v>
      </c>
      <c r="J595" s="283">
        <f t="shared" si="72"/>
        <v>0.18709999999999896</v>
      </c>
      <c r="K595" s="285">
        <f t="shared" si="73"/>
        <v>89.951923076922583</v>
      </c>
      <c r="L595">
        <v>8</v>
      </c>
      <c r="M595" s="286">
        <v>43362</v>
      </c>
      <c r="N595" s="286">
        <v>43363</v>
      </c>
      <c r="O595" s="283"/>
      <c r="R595" s="285"/>
    </row>
    <row r="596" spans="1:18">
      <c r="A596" t="s">
        <v>390</v>
      </c>
      <c r="C596" t="s">
        <v>3744</v>
      </c>
      <c r="D596">
        <v>1.7874000000000001</v>
      </c>
      <c r="E596">
        <v>7.3555000000000001</v>
      </c>
      <c r="F596">
        <v>0.20649999999999999</v>
      </c>
      <c r="G596" s="288">
        <f t="shared" si="74"/>
        <v>7.5620000000000003</v>
      </c>
      <c r="H596" s="284">
        <v>7.3621999999999996</v>
      </c>
      <c r="I596" s="288">
        <f t="shared" si="75"/>
        <v>0.19980000000000064</v>
      </c>
      <c r="J596" s="283">
        <f t="shared" si="72"/>
        <v>6.6999999999993454E-3</v>
      </c>
      <c r="K596" s="285">
        <f t="shared" si="73"/>
        <v>3.2445520581110632</v>
      </c>
      <c r="L596">
        <v>20</v>
      </c>
      <c r="M596" s="286">
        <v>43379</v>
      </c>
      <c r="N596" s="286">
        <v>43379</v>
      </c>
      <c r="R596" s="285"/>
    </row>
    <row r="597" spans="1:18">
      <c r="A597" t="s">
        <v>1066</v>
      </c>
      <c r="B597">
        <v>200</v>
      </c>
      <c r="C597" t="s">
        <v>2504</v>
      </c>
      <c r="D597">
        <v>0</v>
      </c>
      <c r="E597">
        <v>0</v>
      </c>
      <c r="F597">
        <v>0</v>
      </c>
      <c r="G597">
        <v>0</v>
      </c>
      <c r="H597">
        <v>0</v>
      </c>
      <c r="I597">
        <v>0</v>
      </c>
      <c r="J597">
        <v>0</v>
      </c>
      <c r="K597">
        <v>0</v>
      </c>
    </row>
    <row r="598" spans="1:18">
      <c r="A598" t="s">
        <v>388</v>
      </c>
      <c r="C598" t="s">
        <v>3720</v>
      </c>
      <c r="D598">
        <v>1.4699</v>
      </c>
      <c r="E598">
        <v>9.5189000000000004</v>
      </c>
      <c r="F598">
        <v>0.20399999999999999</v>
      </c>
      <c r="G598" s="284">
        <f t="shared" ref="G598:G620" si="76">E598+F598</f>
        <v>9.722900000000001</v>
      </c>
      <c r="H598" s="284">
        <v>9.5271000000000008</v>
      </c>
      <c r="I598" s="284">
        <f>(G598-H598)</f>
        <v>0.1958000000000002</v>
      </c>
      <c r="J598" s="283">
        <f t="shared" ref="J598:J620" si="77">F598-I598</f>
        <v>8.1999999999997908E-3</v>
      </c>
      <c r="K598" s="285">
        <f t="shared" ref="K598:K620" si="78">(J598/F598)*100</f>
        <v>4.0196078431371527</v>
      </c>
      <c r="L598">
        <v>29</v>
      </c>
      <c r="M598" s="286">
        <v>43360</v>
      </c>
      <c r="N598" s="286">
        <v>43361</v>
      </c>
      <c r="O598" s="283" t="s">
        <v>3707</v>
      </c>
      <c r="R598" s="285"/>
    </row>
    <row r="599" spans="1:18">
      <c r="A599" t="s">
        <v>387</v>
      </c>
      <c r="C599" t="s">
        <v>3475</v>
      </c>
      <c r="D599">
        <v>1.5062</v>
      </c>
      <c r="E599">
        <v>10.057</v>
      </c>
      <c r="F599">
        <v>0.21659999999999999</v>
      </c>
      <c r="G599" s="284">
        <f t="shared" si="76"/>
        <v>10.2736</v>
      </c>
      <c r="H599" s="284">
        <v>10.0754</v>
      </c>
      <c r="I599" s="284">
        <f>G599-H599</f>
        <v>0.19819999999999993</v>
      </c>
      <c r="J599" s="283">
        <f t="shared" si="77"/>
        <v>1.8400000000000055E-2</v>
      </c>
      <c r="K599" s="285">
        <f t="shared" si="78"/>
        <v>8.4949215143121215</v>
      </c>
      <c r="L599">
        <v>38</v>
      </c>
      <c r="M599" s="286">
        <v>43374</v>
      </c>
      <c r="N599" s="286">
        <v>43375</v>
      </c>
      <c r="O599" s="283" t="s">
        <v>3730</v>
      </c>
      <c r="R599" s="285"/>
    </row>
    <row r="600" spans="1:18">
      <c r="A600" t="s">
        <v>383</v>
      </c>
      <c r="C600" t="s">
        <v>3421</v>
      </c>
      <c r="D600">
        <v>1.7665999999999999</v>
      </c>
      <c r="E600">
        <v>7.8396999999999997</v>
      </c>
      <c r="F600">
        <v>0.2021</v>
      </c>
      <c r="G600" s="284">
        <f t="shared" si="76"/>
        <v>8.0418000000000003</v>
      </c>
      <c r="H600" s="284">
        <v>8.0214999999999996</v>
      </c>
      <c r="I600" s="284">
        <f>G600-H600</f>
        <v>2.0300000000000651E-2</v>
      </c>
      <c r="J600" s="283">
        <f t="shared" si="77"/>
        <v>0.18179999999999935</v>
      </c>
      <c r="K600" s="285">
        <f t="shared" si="78"/>
        <v>89.95546759030151</v>
      </c>
      <c r="L600">
        <v>33</v>
      </c>
      <c r="M600" s="286">
        <v>43374</v>
      </c>
      <c r="N600" s="286">
        <v>43375</v>
      </c>
      <c r="O600" s="283" t="s">
        <v>3730</v>
      </c>
      <c r="R600" s="285"/>
    </row>
    <row r="601" spans="1:18">
      <c r="A601" t="s">
        <v>382</v>
      </c>
      <c r="C601" t="s">
        <v>3765</v>
      </c>
      <c r="D601">
        <v>1.5597000000000001</v>
      </c>
      <c r="E601">
        <v>10.6996</v>
      </c>
      <c r="F601">
        <v>0.2155</v>
      </c>
      <c r="G601" s="284">
        <f t="shared" si="76"/>
        <v>10.915100000000001</v>
      </c>
      <c r="H601" s="284">
        <v>10.731199999999999</v>
      </c>
      <c r="I601" s="284">
        <f>G601-H601</f>
        <v>0.18390000000000128</v>
      </c>
      <c r="J601" s="283">
        <f t="shared" si="77"/>
        <v>3.1599999999998712E-2</v>
      </c>
      <c r="K601" s="285">
        <f t="shared" si="78"/>
        <v>14.66357308584627</v>
      </c>
      <c r="L601">
        <v>34</v>
      </c>
      <c r="M601" s="16">
        <v>43399</v>
      </c>
      <c r="N601" s="16">
        <v>43400</v>
      </c>
      <c r="R601" s="285"/>
    </row>
    <row r="602" spans="1:18">
      <c r="A602" t="s">
        <v>381</v>
      </c>
      <c r="C602" t="s">
        <v>3704</v>
      </c>
      <c r="D602">
        <v>1.4066000000000001</v>
      </c>
      <c r="E602">
        <v>7.0933999999999999</v>
      </c>
      <c r="F602">
        <v>0.23180000000000001</v>
      </c>
      <c r="G602" s="284">
        <f t="shared" si="76"/>
        <v>7.3251999999999997</v>
      </c>
      <c r="H602" s="284">
        <v>7.3068</v>
      </c>
      <c r="I602" s="284">
        <f>(G602-H602)</f>
        <v>1.839999999999975E-2</v>
      </c>
      <c r="J602" s="283">
        <f t="shared" si="77"/>
        <v>0.21340000000000026</v>
      </c>
      <c r="K602" s="285">
        <f t="shared" si="78"/>
        <v>92.062122519413393</v>
      </c>
      <c r="L602">
        <v>41</v>
      </c>
      <c r="M602" s="286">
        <v>43360</v>
      </c>
      <c r="N602" s="286">
        <v>43361</v>
      </c>
      <c r="R602" s="285"/>
    </row>
    <row r="603" spans="1:18">
      <c r="A603" t="s">
        <v>380</v>
      </c>
      <c r="C603" t="s">
        <v>3415</v>
      </c>
      <c r="D603">
        <v>1.5463</v>
      </c>
      <c r="E603">
        <v>11.1736</v>
      </c>
      <c r="F603">
        <v>0.2135</v>
      </c>
      <c r="G603" s="284">
        <f t="shared" si="76"/>
        <v>11.3871</v>
      </c>
      <c r="H603" s="284">
        <v>11.1936</v>
      </c>
      <c r="I603" s="284">
        <f>G603-H603</f>
        <v>0.19350000000000023</v>
      </c>
      <c r="J603" s="283">
        <f t="shared" si="77"/>
        <v>1.9999999999999768E-2</v>
      </c>
      <c r="K603" s="285">
        <f t="shared" si="78"/>
        <v>9.3676814988289312</v>
      </c>
      <c r="L603">
        <v>41</v>
      </c>
      <c r="M603">
        <v>23.101800000000001</v>
      </c>
      <c r="N603" s="16">
        <v>43397</v>
      </c>
      <c r="R603" s="285"/>
    </row>
    <row r="604" spans="1:18">
      <c r="A604" t="s">
        <v>379</v>
      </c>
      <c r="C604" t="s">
        <v>3687</v>
      </c>
      <c r="D604">
        <v>1.8381000000000001</v>
      </c>
      <c r="E604">
        <v>11.4543</v>
      </c>
      <c r="F604">
        <v>0.20380000000000001</v>
      </c>
      <c r="G604" s="284">
        <f t="shared" si="76"/>
        <v>11.658099999999999</v>
      </c>
      <c r="H604" s="284">
        <v>11.4602</v>
      </c>
      <c r="I604" s="284">
        <f>(G604-H604)</f>
        <v>0.19789999999999885</v>
      </c>
      <c r="J604" s="283">
        <f t="shared" si="77"/>
        <v>5.9000000000011543E-3</v>
      </c>
      <c r="K604" s="285">
        <f t="shared" si="78"/>
        <v>2.8949950932292219</v>
      </c>
      <c r="L604">
        <v>15</v>
      </c>
      <c r="M604" s="286">
        <v>43360</v>
      </c>
      <c r="N604" s="286">
        <v>43361</v>
      </c>
      <c r="O604" s="283"/>
      <c r="R604" s="285"/>
    </row>
    <row r="605" spans="1:18">
      <c r="A605" t="s">
        <v>378</v>
      </c>
      <c r="C605" t="s">
        <v>3664</v>
      </c>
      <c r="D605">
        <v>1.7369000000000001</v>
      </c>
      <c r="E605">
        <v>10.539199999999999</v>
      </c>
      <c r="F605">
        <v>0.20380000000000001</v>
      </c>
      <c r="G605" s="284">
        <f t="shared" si="76"/>
        <v>10.742999999999999</v>
      </c>
      <c r="H605" s="284">
        <v>10.5444</v>
      </c>
      <c r="I605" s="284">
        <f>(G605-H605)</f>
        <v>0.198599999999999</v>
      </c>
      <c r="J605" s="283">
        <f t="shared" si="77"/>
        <v>5.2000000000010094E-3</v>
      </c>
      <c r="K605" s="285">
        <f t="shared" si="78"/>
        <v>2.5515210991172763</v>
      </c>
      <c r="L605">
        <v>19</v>
      </c>
      <c r="M605" s="16">
        <v>43358</v>
      </c>
      <c r="N605" s="16">
        <v>43358</v>
      </c>
      <c r="R605" s="285"/>
    </row>
    <row r="606" spans="1:18">
      <c r="A606" t="s">
        <v>377</v>
      </c>
      <c r="C606" t="s">
        <v>3740</v>
      </c>
      <c r="D606">
        <v>1.5270999999999999</v>
      </c>
      <c r="E606">
        <v>20.929300000000001</v>
      </c>
      <c r="F606">
        <v>0.224</v>
      </c>
      <c r="G606" s="284">
        <f t="shared" si="76"/>
        <v>21.153300000000002</v>
      </c>
      <c r="H606" s="284">
        <v>20.943300000000001</v>
      </c>
      <c r="I606" s="284">
        <f>G606-H606</f>
        <v>0.21000000000000085</v>
      </c>
      <c r="J606" s="283">
        <f t="shared" si="77"/>
        <v>1.3999999999999152E-2</v>
      </c>
      <c r="K606" s="285">
        <f t="shared" si="78"/>
        <v>6.2499999999996207</v>
      </c>
      <c r="L606">
        <v>41</v>
      </c>
      <c r="M606" s="286">
        <v>43361</v>
      </c>
      <c r="N606" s="286">
        <v>43362</v>
      </c>
      <c r="O606" s="283" t="s">
        <v>3730</v>
      </c>
      <c r="R606" s="285"/>
    </row>
    <row r="607" spans="1:18">
      <c r="A607" t="s">
        <v>376</v>
      </c>
      <c r="C607" t="s">
        <v>3712</v>
      </c>
      <c r="D607">
        <v>1.8338000000000001</v>
      </c>
      <c r="E607">
        <v>9.0223999999999993</v>
      </c>
      <c r="F607">
        <v>0.20130000000000001</v>
      </c>
      <c r="G607" s="284">
        <f t="shared" si="76"/>
        <v>9.2236999999999991</v>
      </c>
      <c r="H607" s="284">
        <v>9.0281000000000002</v>
      </c>
      <c r="I607" s="284">
        <f>G607-H607</f>
        <v>0.19559999999999889</v>
      </c>
      <c r="J607" s="283">
        <f t="shared" si="77"/>
        <v>5.7000000000011208E-3</v>
      </c>
      <c r="K607" s="285">
        <f t="shared" si="78"/>
        <v>2.8315946348738801</v>
      </c>
      <c r="L607">
        <v>11</v>
      </c>
      <c r="M607" s="16">
        <v>43399</v>
      </c>
      <c r="N607" s="16">
        <v>43400</v>
      </c>
      <c r="R607" s="285"/>
    </row>
    <row r="608" spans="1:18">
      <c r="A608" t="s">
        <v>375</v>
      </c>
      <c r="C608" t="s">
        <v>3671</v>
      </c>
      <c r="D608">
        <v>1.827</v>
      </c>
      <c r="E608">
        <v>10.856</v>
      </c>
      <c r="F608">
        <v>0.2077</v>
      </c>
      <c r="G608">
        <f t="shared" si="76"/>
        <v>11.063700000000001</v>
      </c>
      <c r="H608">
        <v>10.860900000000001</v>
      </c>
      <c r="I608">
        <f>(G608-H608)</f>
        <v>0.20279999999999987</v>
      </c>
      <c r="J608" s="283">
        <f t="shared" si="77"/>
        <v>4.9000000000001265E-3</v>
      </c>
      <c r="K608" s="285">
        <f t="shared" si="78"/>
        <v>2.3591718825229306</v>
      </c>
      <c r="M608" s="16">
        <v>43399</v>
      </c>
      <c r="N608" s="16">
        <v>43400</v>
      </c>
      <c r="P608" t="s">
        <v>3708</v>
      </c>
      <c r="R608" s="285"/>
    </row>
    <row r="609" spans="1:18">
      <c r="A609" t="s">
        <v>374</v>
      </c>
      <c r="C609" t="s">
        <v>3665</v>
      </c>
      <c r="D609">
        <v>1.8258000000000001</v>
      </c>
      <c r="E609">
        <v>9.0312999999999999</v>
      </c>
      <c r="F609">
        <v>0.2011</v>
      </c>
      <c r="G609" s="284">
        <f t="shared" si="76"/>
        <v>9.2324000000000002</v>
      </c>
      <c r="H609" s="284">
        <v>9.0358999999999998</v>
      </c>
      <c r="I609" s="284">
        <f>(G609-H609)</f>
        <v>0.19650000000000034</v>
      </c>
      <c r="J609" s="283">
        <f t="shared" si="77"/>
        <v>4.5999999999996599E-3</v>
      </c>
      <c r="K609" s="285">
        <f t="shared" si="78"/>
        <v>2.2874191944304623</v>
      </c>
      <c r="L609">
        <v>10</v>
      </c>
      <c r="M609" s="16">
        <v>43358</v>
      </c>
      <c r="N609" s="16">
        <v>43358</v>
      </c>
      <c r="R609" s="285"/>
    </row>
    <row r="610" spans="1:18">
      <c r="A610" t="s">
        <v>373</v>
      </c>
      <c r="C610" t="s">
        <v>3693</v>
      </c>
      <c r="D610">
        <v>1.4701</v>
      </c>
      <c r="E610">
        <v>11.1556</v>
      </c>
      <c r="F610">
        <v>0.21870000000000001</v>
      </c>
      <c r="G610" s="284">
        <f t="shared" si="76"/>
        <v>11.3743</v>
      </c>
      <c r="H610" s="284">
        <v>11.206</v>
      </c>
      <c r="I610" s="284">
        <f>G610-H610</f>
        <v>0.16830000000000034</v>
      </c>
      <c r="J610" s="283">
        <f t="shared" si="77"/>
        <v>5.0399999999999667E-2</v>
      </c>
      <c r="K610" s="285">
        <f t="shared" si="78"/>
        <v>23.045267489711783</v>
      </c>
      <c r="L610">
        <v>42</v>
      </c>
      <c r="M610" s="16">
        <v>43381</v>
      </c>
      <c r="N610" s="16">
        <v>43382</v>
      </c>
      <c r="R610" s="285"/>
    </row>
    <row r="611" spans="1:18">
      <c r="A611" t="s">
        <v>371</v>
      </c>
      <c r="C611" t="s">
        <v>3424</v>
      </c>
      <c r="D611">
        <v>0.3957</v>
      </c>
      <c r="E611">
        <v>10.6371</v>
      </c>
      <c r="F611">
        <v>0.2109</v>
      </c>
      <c r="G611" s="284">
        <f t="shared" si="76"/>
        <v>10.848000000000001</v>
      </c>
      <c r="H611" s="284">
        <v>10.8222</v>
      </c>
      <c r="I611" s="284">
        <f>G611-H611</f>
        <v>2.5800000000000267E-2</v>
      </c>
      <c r="J611" s="283">
        <f t="shared" si="77"/>
        <v>0.18509999999999974</v>
      </c>
      <c r="K611" s="285">
        <f t="shared" si="78"/>
        <v>87.766714082503427</v>
      </c>
      <c r="L611">
        <v>40</v>
      </c>
      <c r="M611" s="16">
        <v>43399</v>
      </c>
      <c r="N611" s="16">
        <v>43400</v>
      </c>
      <c r="R611" s="285"/>
    </row>
    <row r="612" spans="1:18">
      <c r="A612" t="s">
        <v>370</v>
      </c>
      <c r="C612" t="s">
        <v>3683</v>
      </c>
      <c r="D612">
        <v>1.8451</v>
      </c>
      <c r="E612">
        <v>8.8619000000000003</v>
      </c>
      <c r="F612">
        <v>0.2142</v>
      </c>
      <c r="G612" s="284">
        <f t="shared" si="76"/>
        <v>9.0761000000000003</v>
      </c>
      <c r="H612" s="284">
        <v>8.8678000000000008</v>
      </c>
      <c r="I612" s="284">
        <f>(G612-H612)</f>
        <v>0.20829999999999949</v>
      </c>
      <c r="J612" s="283">
        <f t="shared" si="77"/>
        <v>5.9000000000005159E-3</v>
      </c>
      <c r="K612" s="285">
        <f t="shared" si="78"/>
        <v>2.7544351073765245</v>
      </c>
      <c r="L612">
        <v>19</v>
      </c>
      <c r="M612" s="286">
        <v>43360</v>
      </c>
      <c r="N612" s="286">
        <v>43361</v>
      </c>
      <c r="R612" s="285"/>
    </row>
    <row r="613" spans="1:18">
      <c r="A613" t="s">
        <v>369</v>
      </c>
      <c r="C613" t="s">
        <v>3690</v>
      </c>
      <c r="D613">
        <v>1.7992999999999999</v>
      </c>
      <c r="E613">
        <v>9.3224</v>
      </c>
      <c r="F613">
        <v>0.20669999999999999</v>
      </c>
      <c r="G613" s="284">
        <f t="shared" si="76"/>
        <v>9.5290999999999997</v>
      </c>
      <c r="H613" s="284">
        <v>9.3282000000000007</v>
      </c>
      <c r="I613" s="284">
        <f>(G613-H613)</f>
        <v>0.20089999999999897</v>
      </c>
      <c r="J613" s="283">
        <f t="shared" si="77"/>
        <v>5.8000000000010266E-3</v>
      </c>
      <c r="K613" s="285">
        <f t="shared" si="78"/>
        <v>2.8059990324146233</v>
      </c>
      <c r="L613">
        <v>16</v>
      </c>
      <c r="M613" s="286">
        <v>43360</v>
      </c>
      <c r="N613" s="286">
        <v>43361</v>
      </c>
      <c r="O613" s="283"/>
      <c r="R613" s="285"/>
    </row>
    <row r="614" spans="1:18">
      <c r="A614" t="s">
        <v>368</v>
      </c>
      <c r="B614">
        <v>217</v>
      </c>
      <c r="C614" t="s">
        <v>2504</v>
      </c>
      <c r="D614">
        <v>0.877</v>
      </c>
      <c r="E614">
        <v>10.504200000000001</v>
      </c>
      <c r="F614">
        <v>0.2281</v>
      </c>
      <c r="G614">
        <f t="shared" si="76"/>
        <v>10.7323</v>
      </c>
      <c r="H614">
        <v>10.6996</v>
      </c>
      <c r="I614" s="284">
        <f>G614-H614</f>
        <v>3.2700000000000173E-2</v>
      </c>
      <c r="J614" s="283">
        <f t="shared" si="77"/>
        <v>0.19539999999999982</v>
      </c>
      <c r="K614" s="285">
        <f t="shared" si="78"/>
        <v>85.664182376150734</v>
      </c>
      <c r="L614">
        <v>13</v>
      </c>
      <c r="M614" s="16">
        <v>43402</v>
      </c>
      <c r="N614" s="16">
        <v>43403</v>
      </c>
      <c r="R614" s="285"/>
    </row>
    <row r="615" spans="1:18">
      <c r="A615" t="s">
        <v>367</v>
      </c>
      <c r="C615" t="s">
        <v>3682</v>
      </c>
      <c r="D615">
        <v>1.6498999999999999</v>
      </c>
      <c r="E615">
        <v>10.9034</v>
      </c>
      <c r="F615">
        <v>0.21970000000000001</v>
      </c>
      <c r="G615" s="284">
        <f t="shared" si="76"/>
        <v>11.123099999999999</v>
      </c>
      <c r="H615" s="284">
        <v>11.0779</v>
      </c>
      <c r="I615" s="284">
        <f>(G615-H615)</f>
        <v>4.5199999999999463E-2</v>
      </c>
      <c r="J615" s="283">
        <f t="shared" si="77"/>
        <v>0.17450000000000054</v>
      </c>
      <c r="K615" s="285">
        <f t="shared" si="78"/>
        <v>79.426490669094463</v>
      </c>
      <c r="L615">
        <v>5</v>
      </c>
      <c r="M615" s="286">
        <v>43360</v>
      </c>
      <c r="N615" s="286">
        <v>43361</v>
      </c>
      <c r="O615" s="283" t="s">
        <v>3707</v>
      </c>
      <c r="R615" s="285"/>
    </row>
    <row r="616" spans="1:18">
      <c r="A616" t="s">
        <v>366</v>
      </c>
      <c r="C616" t="s">
        <v>3488</v>
      </c>
      <c r="D616">
        <v>0.76570000000000005</v>
      </c>
      <c r="E616">
        <v>11.2601</v>
      </c>
      <c r="F616">
        <v>0.2034</v>
      </c>
      <c r="G616" s="288">
        <f t="shared" si="76"/>
        <v>11.4635</v>
      </c>
      <c r="H616" s="284">
        <v>11.435499999999999</v>
      </c>
      <c r="I616" s="288">
        <f>G616-H616</f>
        <v>2.8000000000000469E-2</v>
      </c>
      <c r="J616" s="283">
        <f t="shared" si="77"/>
        <v>0.17539999999999953</v>
      </c>
      <c r="K616" s="285">
        <f t="shared" si="78"/>
        <v>86.234021632251483</v>
      </c>
      <c r="L616">
        <v>11</v>
      </c>
      <c r="M616" s="286">
        <v>43379</v>
      </c>
      <c r="N616" s="286">
        <v>43379</v>
      </c>
      <c r="O616" s="283"/>
      <c r="R616" s="285"/>
    </row>
    <row r="617" spans="1:18">
      <c r="A617" t="s">
        <v>365</v>
      </c>
      <c r="C617" t="s">
        <v>3417</v>
      </c>
      <c r="D617">
        <v>1.4045000000000001</v>
      </c>
      <c r="E617">
        <v>9.8879000000000001</v>
      </c>
      <c r="F617">
        <v>0.20319999999999999</v>
      </c>
      <c r="G617" s="284">
        <f t="shared" si="76"/>
        <v>10.091100000000001</v>
      </c>
      <c r="H617" s="284">
        <v>9.8986000000000001</v>
      </c>
      <c r="I617" s="284">
        <f>G617-H617</f>
        <v>0.19250000000000078</v>
      </c>
      <c r="J617" s="283">
        <f t="shared" si="77"/>
        <v>1.069999999999921E-2</v>
      </c>
      <c r="K617" s="285">
        <f t="shared" si="78"/>
        <v>5.2657480314956748</v>
      </c>
      <c r="L617">
        <v>6</v>
      </c>
      <c r="M617" s="16">
        <v>43388</v>
      </c>
      <c r="N617" s="286">
        <v>43389</v>
      </c>
      <c r="O617" s="286"/>
      <c r="P617" s="283"/>
      <c r="R617" s="285"/>
    </row>
    <row r="618" spans="1:18">
      <c r="A618" t="s">
        <v>363</v>
      </c>
      <c r="C618" t="s">
        <v>3673</v>
      </c>
      <c r="D618">
        <v>1.7914000000000001</v>
      </c>
      <c r="E618">
        <v>10.2004</v>
      </c>
      <c r="F618">
        <v>0.1981</v>
      </c>
      <c r="G618" s="284">
        <f t="shared" si="76"/>
        <v>10.3985</v>
      </c>
      <c r="H618" s="284">
        <v>10.207000000000001</v>
      </c>
      <c r="I618" s="284">
        <f>(G618-H618)</f>
        <v>0.19149999999999956</v>
      </c>
      <c r="J618" s="283">
        <f t="shared" si="77"/>
        <v>6.6000000000004388E-3</v>
      </c>
      <c r="K618" s="285">
        <f t="shared" si="78"/>
        <v>3.3316506814742248</v>
      </c>
      <c r="L618">
        <v>27</v>
      </c>
      <c r="M618" s="16">
        <v>43358</v>
      </c>
      <c r="N618" s="16">
        <v>43358</v>
      </c>
      <c r="R618" s="285"/>
    </row>
    <row r="619" spans="1:18">
      <c r="A619" t="s">
        <v>362</v>
      </c>
      <c r="C619" t="s">
        <v>3759</v>
      </c>
      <c r="D619">
        <v>1.6762999999999999</v>
      </c>
      <c r="E619">
        <v>20.9695</v>
      </c>
      <c r="F619">
        <v>0.23699999999999999</v>
      </c>
      <c r="G619" s="284">
        <f t="shared" si="76"/>
        <v>21.206499999999998</v>
      </c>
      <c r="H619" s="284">
        <v>20.980599999999999</v>
      </c>
      <c r="I619" s="284">
        <f>G619-H619</f>
        <v>0.22589999999999932</v>
      </c>
      <c r="J619" s="283">
        <f t="shared" si="77"/>
        <v>1.1100000000000665E-2</v>
      </c>
      <c r="K619" s="285">
        <f t="shared" si="78"/>
        <v>4.6835443037977491</v>
      </c>
      <c r="L619">
        <v>40</v>
      </c>
      <c r="M619" s="286">
        <v>43363</v>
      </c>
      <c r="N619" s="286">
        <v>43364</v>
      </c>
      <c r="R619" s="285"/>
    </row>
    <row r="620" spans="1:18">
      <c r="A620" t="s">
        <v>361</v>
      </c>
      <c r="C620" t="s">
        <v>3670</v>
      </c>
      <c r="D620">
        <v>1.8415999999999999</v>
      </c>
      <c r="E620">
        <v>10.743499999999999</v>
      </c>
      <c r="F620">
        <v>0.20080000000000001</v>
      </c>
      <c r="G620" s="284">
        <f t="shared" si="76"/>
        <v>10.944299999999998</v>
      </c>
      <c r="H620" s="284">
        <v>10.7486</v>
      </c>
      <c r="I620" s="284">
        <f>(G620-H620)</f>
        <v>0.19569999999999865</v>
      </c>
      <c r="J620" s="283">
        <f t="shared" si="77"/>
        <v>5.1000000000013535E-3</v>
      </c>
      <c r="K620" s="285">
        <f t="shared" si="78"/>
        <v>2.5398406374508733</v>
      </c>
      <c r="L620">
        <v>30</v>
      </c>
      <c r="M620" s="16">
        <v>43358</v>
      </c>
      <c r="N620" s="16">
        <v>43358</v>
      </c>
      <c r="R620" s="285"/>
    </row>
    <row r="621" spans="1:18">
      <c r="A621" t="s">
        <v>360</v>
      </c>
      <c r="C621" t="s">
        <v>3418</v>
      </c>
      <c r="D621">
        <v>0</v>
      </c>
      <c r="E621">
        <v>0</v>
      </c>
      <c r="F621">
        <v>0</v>
      </c>
      <c r="G621">
        <v>0</v>
      </c>
      <c r="H621">
        <v>0</v>
      </c>
      <c r="I621">
        <v>0</v>
      </c>
      <c r="J621">
        <v>0</v>
      </c>
      <c r="K621">
        <v>0</v>
      </c>
    </row>
    <row r="622" spans="1:18">
      <c r="A622" t="s">
        <v>359</v>
      </c>
      <c r="C622" t="s">
        <v>3722</v>
      </c>
      <c r="D622">
        <v>1.8035000000000001</v>
      </c>
      <c r="E622">
        <v>9.0223999999999993</v>
      </c>
      <c r="F622">
        <v>0.2195</v>
      </c>
      <c r="G622" s="284">
        <f t="shared" ref="G622:G633" si="79">E622+F622</f>
        <v>9.2418999999999993</v>
      </c>
      <c r="H622" s="284">
        <v>9.0267999999999997</v>
      </c>
      <c r="I622" s="284">
        <f>(G622-H622)</f>
        <v>0.21509999999999962</v>
      </c>
      <c r="J622" s="283">
        <f t="shared" ref="J622:J633" si="80">F622-I622</f>
        <v>4.4000000000003758E-3</v>
      </c>
      <c r="K622" s="285">
        <f t="shared" ref="K622:K633" si="81">(J622/F622)*100</f>
        <v>2.0045558086562076</v>
      </c>
      <c r="L622">
        <v>31</v>
      </c>
      <c r="M622" s="286">
        <v>43360</v>
      </c>
      <c r="N622" s="286">
        <v>43361</v>
      </c>
      <c r="O622" s="283" t="s">
        <v>3707</v>
      </c>
      <c r="R622" s="285"/>
    </row>
    <row r="623" spans="1:18">
      <c r="A623" t="s">
        <v>358</v>
      </c>
      <c r="C623" t="s">
        <v>3679</v>
      </c>
      <c r="D623">
        <v>1.6814</v>
      </c>
      <c r="E623">
        <v>7.4824000000000002</v>
      </c>
      <c r="F623">
        <v>0.21879999999999999</v>
      </c>
      <c r="G623" s="284">
        <f t="shared" si="79"/>
        <v>7.7012</v>
      </c>
      <c r="H623" s="284">
        <v>7.4909999999999997</v>
      </c>
      <c r="I623" s="284">
        <f>G623-H623</f>
        <v>0.21020000000000039</v>
      </c>
      <c r="J623" s="283">
        <f t="shared" si="80"/>
        <v>8.599999999999608E-3</v>
      </c>
      <c r="K623" s="285">
        <f t="shared" si="81"/>
        <v>3.9305301645336419</v>
      </c>
      <c r="L623">
        <v>2</v>
      </c>
      <c r="M623" s="286">
        <v>43363</v>
      </c>
      <c r="N623" s="286">
        <v>43364</v>
      </c>
      <c r="O623" s="283" t="s">
        <v>3756</v>
      </c>
      <c r="R623" s="285"/>
    </row>
    <row r="624" spans="1:18">
      <c r="A624" t="s">
        <v>357</v>
      </c>
      <c r="C624" t="s">
        <v>3700</v>
      </c>
      <c r="D624">
        <v>1.8359000000000001</v>
      </c>
      <c r="E624">
        <v>7.9050000000000002</v>
      </c>
      <c r="F624">
        <v>0.2029</v>
      </c>
      <c r="G624" s="284">
        <f t="shared" si="79"/>
        <v>8.1079000000000008</v>
      </c>
      <c r="H624" s="284">
        <v>7.9122000000000003</v>
      </c>
      <c r="I624" s="284">
        <f>(G624-H624)</f>
        <v>0.19570000000000043</v>
      </c>
      <c r="J624" s="283">
        <f t="shared" si="80"/>
        <v>7.1999999999995679E-3</v>
      </c>
      <c r="K624" s="285">
        <f t="shared" si="81"/>
        <v>3.5485460818134884</v>
      </c>
      <c r="L624">
        <v>33</v>
      </c>
      <c r="M624" s="286">
        <v>43360</v>
      </c>
      <c r="N624" s="286">
        <v>43361</v>
      </c>
      <c r="R624" s="285"/>
    </row>
    <row r="625" spans="1:18">
      <c r="A625" t="s">
        <v>356</v>
      </c>
      <c r="C625" t="s">
        <v>3733</v>
      </c>
      <c r="D625">
        <v>1.8251999999999999</v>
      </c>
      <c r="E625">
        <v>9.2355999999999998</v>
      </c>
      <c r="F625">
        <v>0.21049999999999999</v>
      </c>
      <c r="G625" s="284">
        <f t="shared" si="79"/>
        <v>9.4460999999999995</v>
      </c>
      <c r="H625" s="284">
        <v>9.2432999999999996</v>
      </c>
      <c r="I625" s="284">
        <f t="shared" ref="I625:I633" si="82">G625-H625</f>
        <v>0.20279999999999987</v>
      </c>
      <c r="J625" s="283">
        <f t="shared" si="80"/>
        <v>7.7000000000001234E-3</v>
      </c>
      <c r="K625" s="285">
        <f t="shared" si="81"/>
        <v>3.6579572446556408</v>
      </c>
      <c r="L625">
        <v>16</v>
      </c>
      <c r="M625" s="286">
        <v>43361</v>
      </c>
      <c r="N625" s="286">
        <v>43362</v>
      </c>
      <c r="O625" s="283" t="s">
        <v>3730</v>
      </c>
      <c r="R625" s="285"/>
    </row>
    <row r="626" spans="1:18">
      <c r="A626" t="s">
        <v>355</v>
      </c>
      <c r="C626" t="s">
        <v>3754</v>
      </c>
      <c r="D626">
        <v>2.7707999999999999</v>
      </c>
      <c r="E626">
        <v>8.7347999999999999</v>
      </c>
      <c r="F626">
        <v>0.23699999999999999</v>
      </c>
      <c r="G626" s="284">
        <f t="shared" si="79"/>
        <v>8.9718</v>
      </c>
      <c r="H626" s="284">
        <v>8.9545999999999992</v>
      </c>
      <c r="I626" s="284">
        <f t="shared" si="82"/>
        <v>1.720000000000077E-2</v>
      </c>
      <c r="J626" s="283">
        <f t="shared" si="80"/>
        <v>0.21979999999999922</v>
      </c>
      <c r="K626" s="285">
        <f t="shared" si="81"/>
        <v>92.742616033754956</v>
      </c>
      <c r="L626">
        <v>6</v>
      </c>
      <c r="M626" s="286">
        <v>43374</v>
      </c>
      <c r="N626" s="286">
        <v>43375</v>
      </c>
      <c r="O626" s="283" t="s">
        <v>3730</v>
      </c>
      <c r="R626" s="285"/>
    </row>
    <row r="627" spans="1:18">
      <c r="A627" t="s">
        <v>354</v>
      </c>
      <c r="C627" t="s">
        <v>3748</v>
      </c>
      <c r="D627">
        <v>3.5485000000000002</v>
      </c>
      <c r="E627">
        <v>9.3238000000000003</v>
      </c>
      <c r="F627">
        <v>0.20399999999999999</v>
      </c>
      <c r="G627" s="284">
        <f t="shared" si="79"/>
        <v>9.5278000000000009</v>
      </c>
      <c r="H627" s="284">
        <v>9.5198</v>
      </c>
      <c r="I627" s="284">
        <f t="shared" si="82"/>
        <v>8.0000000000008953E-3</v>
      </c>
      <c r="J627" s="283">
        <f t="shared" si="80"/>
        <v>0.19599999999999909</v>
      </c>
      <c r="K627" s="285">
        <f t="shared" si="81"/>
        <v>96.078431372548579</v>
      </c>
      <c r="L627">
        <v>20</v>
      </c>
      <c r="M627" s="286">
        <v>43362</v>
      </c>
      <c r="N627" s="286">
        <v>43363</v>
      </c>
      <c r="R627" s="285"/>
    </row>
    <row r="628" spans="1:18">
      <c r="A628" t="s">
        <v>353</v>
      </c>
      <c r="C628" t="s">
        <v>3787</v>
      </c>
      <c r="D628">
        <v>1.4107000000000001</v>
      </c>
      <c r="E628">
        <v>11.122</v>
      </c>
      <c r="F628">
        <v>0.22389999999999999</v>
      </c>
      <c r="G628" s="284">
        <f t="shared" si="79"/>
        <v>11.3459</v>
      </c>
      <c r="H628" s="284">
        <v>11.320600000000001</v>
      </c>
      <c r="I628" s="284">
        <f t="shared" si="82"/>
        <v>2.5299999999999656E-2</v>
      </c>
      <c r="J628" s="283">
        <f t="shared" si="80"/>
        <v>0.19860000000000033</v>
      </c>
      <c r="K628" s="285">
        <f t="shared" si="81"/>
        <v>88.700312639571393</v>
      </c>
      <c r="L628">
        <v>37</v>
      </c>
      <c r="M628" s="16">
        <v>43395</v>
      </c>
      <c r="N628" s="16">
        <v>43396</v>
      </c>
      <c r="R628" s="285"/>
    </row>
    <row r="629" spans="1:18">
      <c r="A629" t="s">
        <v>352</v>
      </c>
      <c r="C629" t="s">
        <v>3731</v>
      </c>
      <c r="D629">
        <v>1.7058</v>
      </c>
      <c r="E629">
        <v>9.5202000000000009</v>
      </c>
      <c r="F629">
        <v>0.221</v>
      </c>
      <c r="G629" s="284">
        <f t="shared" si="79"/>
        <v>9.741200000000001</v>
      </c>
      <c r="H629" s="284">
        <v>9.5281000000000002</v>
      </c>
      <c r="I629" s="284">
        <f t="shared" si="82"/>
        <v>0.21310000000000073</v>
      </c>
      <c r="J629" s="283">
        <f t="shared" si="80"/>
        <v>7.8999999999992687E-3</v>
      </c>
      <c r="K629" s="285">
        <f t="shared" si="81"/>
        <v>3.5746606334838318</v>
      </c>
      <c r="L629">
        <v>18</v>
      </c>
      <c r="M629" s="16">
        <v>43381</v>
      </c>
      <c r="N629" s="16">
        <v>43382</v>
      </c>
      <c r="R629" s="285"/>
    </row>
    <row r="630" spans="1:18">
      <c r="A630" t="s">
        <v>351</v>
      </c>
      <c r="C630" t="s">
        <v>3492</v>
      </c>
      <c r="D630">
        <v>0.33750000000000002</v>
      </c>
      <c r="E630">
        <v>9.7756000000000007</v>
      </c>
      <c r="F630">
        <v>0.2142</v>
      </c>
      <c r="G630" s="284">
        <f t="shared" si="79"/>
        <v>9.9898000000000007</v>
      </c>
      <c r="H630" s="284">
        <v>9.9679000000000002</v>
      </c>
      <c r="I630" s="284">
        <f t="shared" si="82"/>
        <v>2.1900000000000475E-2</v>
      </c>
      <c r="J630" s="283">
        <f t="shared" si="80"/>
        <v>0.19229999999999953</v>
      </c>
      <c r="K630" s="285">
        <f t="shared" si="81"/>
        <v>89.775910364145446</v>
      </c>
      <c r="L630">
        <v>28</v>
      </c>
      <c r="M630" s="286">
        <v>43363</v>
      </c>
      <c r="N630" s="286">
        <v>43364</v>
      </c>
      <c r="O630" s="283" t="s">
        <v>3756</v>
      </c>
      <c r="R630" s="285"/>
    </row>
    <row r="631" spans="1:18">
      <c r="A631" t="s">
        <v>350</v>
      </c>
      <c r="C631" t="s">
        <v>3433</v>
      </c>
      <c r="D631">
        <v>1.9995000000000001</v>
      </c>
      <c r="E631">
        <v>11.4442</v>
      </c>
      <c r="F631">
        <v>0.21110000000000001</v>
      </c>
      <c r="G631" s="288">
        <f t="shared" si="79"/>
        <v>11.6553</v>
      </c>
      <c r="H631" s="284">
        <v>11.638</v>
      </c>
      <c r="I631" s="288">
        <f t="shared" si="82"/>
        <v>1.7300000000000537E-2</v>
      </c>
      <c r="J631" s="283">
        <f t="shared" si="80"/>
        <v>0.19379999999999947</v>
      </c>
      <c r="K631" s="285">
        <f t="shared" si="81"/>
        <v>91.804831833254127</v>
      </c>
      <c r="L631">
        <v>21</v>
      </c>
      <c r="M631" s="286">
        <v>43379</v>
      </c>
      <c r="N631" s="286">
        <v>43379</v>
      </c>
      <c r="R631" s="285"/>
    </row>
    <row r="632" spans="1:18">
      <c r="A632" t="s">
        <v>349</v>
      </c>
      <c r="C632" t="s">
        <v>3719</v>
      </c>
      <c r="D632">
        <v>2.0394999999999999</v>
      </c>
      <c r="E632">
        <v>9.8217999999999996</v>
      </c>
      <c r="F632">
        <v>0.20469999999999999</v>
      </c>
      <c r="G632" s="284">
        <f t="shared" si="79"/>
        <v>10.0265</v>
      </c>
      <c r="H632" s="284">
        <v>9.9885999999999999</v>
      </c>
      <c r="I632" s="284">
        <f t="shared" si="82"/>
        <v>3.7900000000000489E-2</v>
      </c>
      <c r="J632" s="283">
        <f t="shared" si="80"/>
        <v>0.1667999999999995</v>
      </c>
      <c r="K632" s="285">
        <f t="shared" si="81"/>
        <v>81.485100146555695</v>
      </c>
      <c r="L632">
        <v>14</v>
      </c>
      <c r="M632" s="286">
        <v>43363</v>
      </c>
      <c r="N632" s="286">
        <v>43364</v>
      </c>
      <c r="O632" s="283"/>
      <c r="R632" s="285"/>
    </row>
    <row r="633" spans="1:18">
      <c r="A633" t="s">
        <v>348</v>
      </c>
      <c r="C633" t="s">
        <v>3763</v>
      </c>
      <c r="D633">
        <v>1.504</v>
      </c>
      <c r="E633">
        <v>10.2035</v>
      </c>
      <c r="F633">
        <v>0.21920000000000001</v>
      </c>
      <c r="G633" s="284">
        <f t="shared" si="79"/>
        <v>10.422700000000001</v>
      </c>
      <c r="H633" s="284">
        <v>10.219099999999999</v>
      </c>
      <c r="I633" s="284">
        <f t="shared" si="82"/>
        <v>0.20360000000000156</v>
      </c>
      <c r="J633" s="283">
        <f t="shared" si="80"/>
        <v>1.5599999999998448E-2</v>
      </c>
      <c r="K633" s="285">
        <f t="shared" si="81"/>
        <v>7.1167883211671752</v>
      </c>
      <c r="L633">
        <v>32</v>
      </c>
      <c r="M633" s="286">
        <v>43374</v>
      </c>
      <c r="N633" s="286">
        <v>43375</v>
      </c>
      <c r="O633" s="283" t="s">
        <v>3730</v>
      </c>
      <c r="R633" s="285"/>
    </row>
    <row r="634" spans="1:18">
      <c r="A634" t="s">
        <v>347</v>
      </c>
      <c r="C634" t="s">
        <v>3737</v>
      </c>
      <c r="D634">
        <v>0</v>
      </c>
      <c r="E634">
        <v>0</v>
      </c>
      <c r="F634">
        <v>0</v>
      </c>
      <c r="G634">
        <v>0</v>
      </c>
      <c r="H634">
        <v>0</v>
      </c>
      <c r="I634">
        <v>0</v>
      </c>
      <c r="J634">
        <v>0</v>
      </c>
      <c r="K634">
        <v>0</v>
      </c>
    </row>
    <row r="635" spans="1:18">
      <c r="A635" t="s">
        <v>346</v>
      </c>
      <c r="C635" t="s">
        <v>3774</v>
      </c>
      <c r="D635">
        <v>0</v>
      </c>
      <c r="E635">
        <v>0</v>
      </c>
      <c r="F635">
        <v>0</v>
      </c>
      <c r="G635">
        <v>0</v>
      </c>
      <c r="H635">
        <v>0</v>
      </c>
      <c r="I635">
        <v>0</v>
      </c>
      <c r="J635">
        <v>0</v>
      </c>
      <c r="K635">
        <v>0</v>
      </c>
    </row>
    <row r="636" spans="1:18">
      <c r="A636" t="s">
        <v>345</v>
      </c>
      <c r="C636" t="s">
        <v>3667</v>
      </c>
      <c r="D636">
        <v>1.7927</v>
      </c>
      <c r="E636">
        <v>10.9215</v>
      </c>
      <c r="F636">
        <v>0.20230000000000001</v>
      </c>
      <c r="G636" s="284">
        <f t="shared" ref="G636:G646" si="83">E636+F636</f>
        <v>11.123799999999999</v>
      </c>
      <c r="H636" s="284">
        <v>10.9269</v>
      </c>
      <c r="I636" s="284">
        <f>(G636-H636)</f>
        <v>0.19689999999999941</v>
      </c>
      <c r="J636" s="283">
        <f t="shared" ref="J636:J646" si="84">F636-I636</f>
        <v>5.4000000000005988E-3</v>
      </c>
      <c r="K636" s="285">
        <f t="shared" ref="K636:K646" si="85">(J636/F636)*100</f>
        <v>2.6693030153240724</v>
      </c>
      <c r="L636">
        <v>2</v>
      </c>
      <c r="M636" s="16">
        <v>43358</v>
      </c>
      <c r="N636" s="16">
        <v>43358</v>
      </c>
      <c r="R636" s="285"/>
    </row>
    <row r="637" spans="1:18">
      <c r="A637" t="s">
        <v>344</v>
      </c>
      <c r="C637" t="s">
        <v>3786</v>
      </c>
      <c r="D637">
        <v>0.55049999999999999</v>
      </c>
      <c r="E637">
        <v>10.699199999999999</v>
      </c>
      <c r="F637">
        <v>0.2</v>
      </c>
      <c r="G637" s="284">
        <f t="shared" si="83"/>
        <v>10.899199999999999</v>
      </c>
      <c r="H637" s="284">
        <v>10.883100000000001</v>
      </c>
      <c r="I637" s="284">
        <f>G637-H637</f>
        <v>1.6099999999998005E-2</v>
      </c>
      <c r="J637" s="283">
        <f t="shared" si="84"/>
        <v>0.18390000000000201</v>
      </c>
      <c r="K637" s="285">
        <f t="shared" si="85"/>
        <v>91.950000000000998</v>
      </c>
      <c r="L637">
        <v>33</v>
      </c>
      <c r="M637" s="16">
        <v>43395</v>
      </c>
      <c r="N637" s="16">
        <v>43396</v>
      </c>
      <c r="R637" s="285"/>
    </row>
    <row r="638" spans="1:18">
      <c r="A638" t="s">
        <v>343</v>
      </c>
      <c r="C638" t="s">
        <v>3718</v>
      </c>
      <c r="D638">
        <v>1.7378</v>
      </c>
      <c r="E638">
        <v>19.390799999999999</v>
      </c>
      <c r="F638">
        <v>0.2079</v>
      </c>
      <c r="G638" s="284">
        <f t="shared" si="83"/>
        <v>19.598699999999997</v>
      </c>
      <c r="H638" s="284">
        <v>19.4008</v>
      </c>
      <c r="I638" s="284">
        <f>G638-H638</f>
        <v>0.19789999999999708</v>
      </c>
      <c r="J638" s="283">
        <f t="shared" si="84"/>
        <v>1.0000000000002923E-2</v>
      </c>
      <c r="K638" s="285">
        <f t="shared" si="85"/>
        <v>4.810004810006216</v>
      </c>
      <c r="L638">
        <v>28</v>
      </c>
      <c r="M638" s="286">
        <v>43361</v>
      </c>
      <c r="N638" s="286">
        <v>43362</v>
      </c>
      <c r="O638" s="283" t="s">
        <v>3730</v>
      </c>
      <c r="R638" s="285"/>
    </row>
    <row r="639" spans="1:18">
      <c r="A639" t="s">
        <v>342</v>
      </c>
      <c r="C639" t="s">
        <v>3681</v>
      </c>
      <c r="D639">
        <v>1.4207000000000001</v>
      </c>
      <c r="E639">
        <v>7.1912000000000003</v>
      </c>
      <c r="F639">
        <v>0.21629999999999999</v>
      </c>
      <c r="G639">
        <f t="shared" si="83"/>
        <v>7.4075000000000006</v>
      </c>
      <c r="H639">
        <v>7.1985999999999999</v>
      </c>
      <c r="I639" s="284">
        <f>G639-H639</f>
        <v>0.20890000000000075</v>
      </c>
      <c r="J639" s="283">
        <f t="shared" si="84"/>
        <v>7.3999999999992405E-3</v>
      </c>
      <c r="K639" s="285">
        <f t="shared" si="85"/>
        <v>3.4211742949603519</v>
      </c>
      <c r="L639">
        <v>25</v>
      </c>
      <c r="M639" s="16">
        <v>43399</v>
      </c>
      <c r="N639" s="16">
        <v>43400</v>
      </c>
      <c r="R639" s="285"/>
    </row>
    <row r="640" spans="1:18">
      <c r="A640" t="s">
        <v>341</v>
      </c>
      <c r="C640" t="s">
        <v>3680</v>
      </c>
      <c r="D640">
        <v>1.7402</v>
      </c>
      <c r="E640">
        <v>10.921900000000001</v>
      </c>
      <c r="F640">
        <v>0.21279999999999999</v>
      </c>
      <c r="G640" s="284">
        <f t="shared" si="83"/>
        <v>11.1347</v>
      </c>
      <c r="H640" s="284">
        <v>10.928699999999999</v>
      </c>
      <c r="I640" s="284">
        <f>(G640-H640)</f>
        <v>0.20600000000000129</v>
      </c>
      <c r="J640" s="283">
        <f t="shared" si="84"/>
        <v>6.799999999998696E-3</v>
      </c>
      <c r="K640" s="285">
        <f t="shared" si="85"/>
        <v>3.1954887218038985</v>
      </c>
      <c r="L640">
        <v>35</v>
      </c>
      <c r="M640" s="286">
        <v>43360</v>
      </c>
      <c r="N640" s="286">
        <v>43361</v>
      </c>
      <c r="R640" s="285"/>
    </row>
    <row r="641" spans="1:18">
      <c r="A641" t="s">
        <v>340</v>
      </c>
      <c r="C641" t="s">
        <v>3715</v>
      </c>
      <c r="D641">
        <v>1.1197999999999999</v>
      </c>
      <c r="E641">
        <v>10.636100000000001</v>
      </c>
      <c r="F641">
        <v>0.21279999999999999</v>
      </c>
      <c r="G641" s="284">
        <f t="shared" si="83"/>
        <v>10.8489</v>
      </c>
      <c r="H641" s="284">
        <v>10.841699999999999</v>
      </c>
      <c r="I641" s="284">
        <f>(G641-H641)</f>
        <v>7.2000000000009834E-3</v>
      </c>
      <c r="J641" s="283">
        <f t="shared" si="84"/>
        <v>0.20559999999999901</v>
      </c>
      <c r="K641" s="285">
        <f t="shared" si="85"/>
        <v>96.616541353382999</v>
      </c>
      <c r="L641">
        <v>14</v>
      </c>
      <c r="M641" s="286">
        <v>43360</v>
      </c>
      <c r="N641" s="286">
        <v>43361</v>
      </c>
      <c r="O641" s="283" t="s">
        <v>3707</v>
      </c>
      <c r="R641" s="285"/>
    </row>
    <row r="642" spans="1:18">
      <c r="A642" t="s">
        <v>1061</v>
      </c>
      <c r="C642" t="s">
        <v>3466</v>
      </c>
      <c r="D642">
        <v>1.6708000000000001</v>
      </c>
      <c r="E642">
        <v>8.3566000000000003</v>
      </c>
      <c r="F642">
        <v>0.21190000000000001</v>
      </c>
      <c r="G642" s="284">
        <f t="shared" si="83"/>
        <v>8.5685000000000002</v>
      </c>
      <c r="H642" s="284">
        <v>8.3829999999999991</v>
      </c>
      <c r="I642" s="284">
        <f>G642-H642</f>
        <v>0.18550000000000111</v>
      </c>
      <c r="J642" s="283">
        <f t="shared" si="84"/>
        <v>2.6399999999998897E-2</v>
      </c>
      <c r="K642" s="285">
        <f t="shared" si="85"/>
        <v>12.458706937234023</v>
      </c>
      <c r="L642">
        <v>22</v>
      </c>
      <c r="M642" s="286">
        <v>43362</v>
      </c>
      <c r="N642" s="286">
        <v>43363</v>
      </c>
      <c r="R642" s="285"/>
    </row>
    <row r="643" spans="1:18">
      <c r="A643" t="s">
        <v>339</v>
      </c>
      <c r="C643" t="s">
        <v>3721</v>
      </c>
      <c r="D643">
        <v>1.7824</v>
      </c>
      <c r="E643">
        <v>9.9177999999999997</v>
      </c>
      <c r="F643">
        <v>0.2228</v>
      </c>
      <c r="G643" s="284">
        <f t="shared" si="83"/>
        <v>10.140599999999999</v>
      </c>
      <c r="H643" s="284">
        <v>9.9242000000000008</v>
      </c>
      <c r="I643" s="284">
        <f>G643-H643</f>
        <v>0.21639999999999837</v>
      </c>
      <c r="J643" s="283">
        <f t="shared" si="84"/>
        <v>6.4000000000016266E-3</v>
      </c>
      <c r="K643" s="285">
        <f t="shared" si="85"/>
        <v>2.8725314183131179</v>
      </c>
      <c r="L643">
        <v>10</v>
      </c>
      <c r="M643" s="286">
        <v>43361</v>
      </c>
      <c r="N643" s="286">
        <v>43362</v>
      </c>
      <c r="O643" s="283" t="s">
        <v>3730</v>
      </c>
      <c r="R643" s="285"/>
    </row>
    <row r="644" spans="1:18">
      <c r="A644" t="s">
        <v>337</v>
      </c>
      <c r="C644" t="s">
        <v>3692</v>
      </c>
      <c r="D644">
        <v>1.5168999999999999</v>
      </c>
      <c r="E644">
        <v>10.510199999999999</v>
      </c>
      <c r="F644">
        <v>0.2107</v>
      </c>
      <c r="G644" s="284">
        <f t="shared" si="83"/>
        <v>10.720899999999999</v>
      </c>
      <c r="H644" s="284">
        <v>10.529299999999999</v>
      </c>
      <c r="I644" s="284">
        <f>G644-H644</f>
        <v>0.19159999999999933</v>
      </c>
      <c r="J644" s="283">
        <f t="shared" si="84"/>
        <v>1.9100000000000672E-2</v>
      </c>
      <c r="K644" s="285">
        <f t="shared" si="85"/>
        <v>9.0650213573804805</v>
      </c>
      <c r="L644">
        <v>9</v>
      </c>
      <c r="M644" s="286">
        <v>43361</v>
      </c>
      <c r="N644" s="286">
        <v>43362</v>
      </c>
      <c r="O644" s="283" t="s">
        <v>3730</v>
      </c>
      <c r="R644" s="285"/>
    </row>
    <row r="645" spans="1:18">
      <c r="A645" t="s">
        <v>336</v>
      </c>
      <c r="B645">
        <v>212</v>
      </c>
      <c r="D645">
        <v>0.6573</v>
      </c>
      <c r="E645">
        <v>9.9193999999999996</v>
      </c>
      <c r="F645">
        <v>0.2041</v>
      </c>
      <c r="G645" s="284">
        <f t="shared" si="83"/>
        <v>10.1235</v>
      </c>
      <c r="H645" s="284">
        <v>9.9436</v>
      </c>
      <c r="I645" s="284">
        <f>G645-H645</f>
        <v>0.17989999999999995</v>
      </c>
      <c r="J645" s="283">
        <f t="shared" si="84"/>
        <v>2.4200000000000055E-2</v>
      </c>
      <c r="K645" s="285">
        <f t="shared" si="85"/>
        <v>11.856932876041183</v>
      </c>
      <c r="L645">
        <v>15</v>
      </c>
      <c r="M645" s="16">
        <v>43395</v>
      </c>
      <c r="N645" s="16">
        <v>43396</v>
      </c>
      <c r="R645" s="285"/>
    </row>
    <row r="646" spans="1:18">
      <c r="A646" t="s">
        <v>335</v>
      </c>
      <c r="C646" t="s">
        <v>3734</v>
      </c>
      <c r="D646">
        <v>1.1969000000000001</v>
      </c>
      <c r="E646">
        <v>9.8870000000000005</v>
      </c>
      <c r="F646">
        <v>0.2019</v>
      </c>
      <c r="G646" s="284">
        <f t="shared" si="83"/>
        <v>10.088900000000001</v>
      </c>
      <c r="H646" s="284">
        <v>10.0314</v>
      </c>
      <c r="I646" s="284">
        <f>G646-H646</f>
        <v>5.7500000000000995E-2</v>
      </c>
      <c r="J646" s="283">
        <f t="shared" si="84"/>
        <v>0.144399999999999</v>
      </c>
      <c r="K646" s="285">
        <f t="shared" si="85"/>
        <v>71.520554730063893</v>
      </c>
      <c r="L646">
        <v>22</v>
      </c>
      <c r="M646" s="286">
        <v>43361</v>
      </c>
      <c r="N646" s="286">
        <v>43362</v>
      </c>
      <c r="O646" s="283" t="s">
        <v>3730</v>
      </c>
      <c r="R646" s="285"/>
    </row>
    <row r="647" spans="1:18">
      <c r="A647" t="s">
        <v>333</v>
      </c>
      <c r="C647" t="s">
        <v>3726</v>
      </c>
      <c r="D647">
        <v>0</v>
      </c>
      <c r="E647">
        <v>0</v>
      </c>
      <c r="F647">
        <v>0</v>
      </c>
      <c r="G647">
        <v>0</v>
      </c>
      <c r="H647">
        <v>0</v>
      </c>
      <c r="I647">
        <v>0</v>
      </c>
      <c r="J647">
        <v>0</v>
      </c>
      <c r="K647">
        <v>0</v>
      </c>
    </row>
    <row r="648" spans="1:18">
      <c r="A648" t="s">
        <v>332</v>
      </c>
      <c r="C648" t="s">
        <v>3764</v>
      </c>
      <c r="D648">
        <v>1.3797999999999999</v>
      </c>
      <c r="E648">
        <v>11.0345</v>
      </c>
      <c r="F648">
        <v>0.20519999999999999</v>
      </c>
      <c r="G648">
        <f>E648+F648</f>
        <v>11.239699999999999</v>
      </c>
      <c r="H648">
        <v>11.053800000000001</v>
      </c>
      <c r="I648" s="284">
        <f>G648-H648</f>
        <v>0.1858999999999984</v>
      </c>
      <c r="J648" s="283">
        <f>F648-I648</f>
        <v>1.9300000000001594E-2</v>
      </c>
      <c r="K648" s="285">
        <f>(J648/F648)*100</f>
        <v>9.4054580896693931</v>
      </c>
      <c r="L648">
        <v>1</v>
      </c>
      <c r="M648" s="16">
        <v>43402</v>
      </c>
      <c r="N648" s="16">
        <v>43403</v>
      </c>
      <c r="R648" s="285"/>
    </row>
    <row r="649" spans="1:18">
      <c r="A649" t="s">
        <v>330</v>
      </c>
      <c r="C649" t="s">
        <v>3758</v>
      </c>
      <c r="D649">
        <v>0</v>
      </c>
      <c r="E649">
        <v>0</v>
      </c>
      <c r="F649">
        <v>0</v>
      </c>
      <c r="G649">
        <v>0</v>
      </c>
      <c r="H649">
        <v>0</v>
      </c>
      <c r="I649">
        <v>0</v>
      </c>
      <c r="J649">
        <v>0</v>
      </c>
      <c r="K649">
        <v>0</v>
      </c>
    </row>
    <row r="650" spans="1:18">
      <c r="A650" t="s">
        <v>328</v>
      </c>
      <c r="C650" t="s">
        <v>3768</v>
      </c>
      <c r="D650">
        <v>1.7222</v>
      </c>
      <c r="E650">
        <v>9.5569000000000006</v>
      </c>
      <c r="F650">
        <v>0.21920000000000001</v>
      </c>
      <c r="G650" s="284">
        <f t="shared" ref="G650:G658" si="86">E650+F650</f>
        <v>9.7761000000000013</v>
      </c>
      <c r="H650" s="284">
        <v>9.5655000000000001</v>
      </c>
      <c r="I650" s="284">
        <f>G650-H650</f>
        <v>0.21060000000000123</v>
      </c>
      <c r="J650" s="283">
        <f t="shared" ref="J650:J658" si="87">F650-I650</f>
        <v>8.5999999999987753E-3</v>
      </c>
      <c r="K650" s="285">
        <f t="shared" ref="K650:K658" si="88">(J650/F650)*100</f>
        <v>3.9233576642330181</v>
      </c>
      <c r="L650">
        <v>19</v>
      </c>
      <c r="M650" s="16">
        <v>43399</v>
      </c>
      <c r="N650" s="16">
        <v>43400</v>
      </c>
      <c r="R650" s="285"/>
    </row>
    <row r="651" spans="1:18">
      <c r="A651" t="s">
        <v>327</v>
      </c>
      <c r="C651" t="s">
        <v>3698</v>
      </c>
      <c r="D651">
        <v>1.7769999999999999</v>
      </c>
      <c r="E651">
        <v>10.1456</v>
      </c>
      <c r="F651">
        <v>0.20050000000000001</v>
      </c>
      <c r="G651" s="284">
        <f t="shared" si="86"/>
        <v>10.3461</v>
      </c>
      <c r="H651" s="284">
        <v>10.1494</v>
      </c>
      <c r="I651" s="284">
        <f>(G651-H651)</f>
        <v>0.19669999999999987</v>
      </c>
      <c r="J651" s="283">
        <f t="shared" si="87"/>
        <v>3.8000000000001366E-3</v>
      </c>
      <c r="K651" s="285">
        <f t="shared" si="88"/>
        <v>1.8952618453866015</v>
      </c>
      <c r="L651">
        <v>24</v>
      </c>
      <c r="M651" s="286">
        <v>43360</v>
      </c>
      <c r="N651" s="286">
        <v>43361</v>
      </c>
      <c r="O651" s="283" t="s">
        <v>3707</v>
      </c>
      <c r="R651" s="285"/>
    </row>
    <row r="652" spans="1:18">
      <c r="A652" t="s">
        <v>326</v>
      </c>
      <c r="C652" t="s">
        <v>3428</v>
      </c>
      <c r="D652">
        <v>1.8137000000000001</v>
      </c>
      <c r="E652">
        <v>8.3558000000000003</v>
      </c>
      <c r="F652">
        <v>0.2049</v>
      </c>
      <c r="G652">
        <f t="shared" si="86"/>
        <v>8.5607000000000006</v>
      </c>
      <c r="H652">
        <v>8.5378000000000007</v>
      </c>
      <c r="I652" s="284">
        <f>G652-H652</f>
        <v>2.289999999999992E-2</v>
      </c>
      <c r="J652" s="283">
        <f t="shared" si="87"/>
        <v>0.18200000000000008</v>
      </c>
      <c r="K652" s="285">
        <f t="shared" si="88"/>
        <v>88.823816495851673</v>
      </c>
      <c r="L652">
        <v>6</v>
      </c>
      <c r="M652" s="16">
        <v>43402</v>
      </c>
      <c r="N652" s="16">
        <v>43403</v>
      </c>
      <c r="R652" s="285"/>
    </row>
    <row r="653" spans="1:18">
      <c r="A653" t="s">
        <v>325</v>
      </c>
      <c r="C653" t="s">
        <v>3425</v>
      </c>
      <c r="D653">
        <v>2.0939999999999999</v>
      </c>
      <c r="E653">
        <v>9.1386000000000003</v>
      </c>
      <c r="F653">
        <v>0.2465</v>
      </c>
      <c r="G653">
        <f t="shared" si="86"/>
        <v>9.3850999999999996</v>
      </c>
      <c r="H653">
        <v>9.3635000000000002</v>
      </c>
      <c r="I653" s="284">
        <f>G653-H653</f>
        <v>2.1599999999999397E-2</v>
      </c>
      <c r="J653" s="283">
        <f t="shared" si="87"/>
        <v>0.2249000000000006</v>
      </c>
      <c r="K653" s="285">
        <f t="shared" si="88"/>
        <v>91.237322515213222</v>
      </c>
      <c r="L653">
        <v>26</v>
      </c>
      <c r="M653" s="16">
        <v>43399</v>
      </c>
      <c r="N653" s="16">
        <v>43400</v>
      </c>
      <c r="R653" s="285"/>
    </row>
    <row r="654" spans="1:18">
      <c r="A654" t="s">
        <v>324</v>
      </c>
      <c r="C654" t="s">
        <v>3691</v>
      </c>
      <c r="D654">
        <v>1.833</v>
      </c>
      <c r="E654">
        <v>10.5105</v>
      </c>
      <c r="F654">
        <v>0.2198</v>
      </c>
      <c r="G654" s="284">
        <f t="shared" si="86"/>
        <v>10.7303</v>
      </c>
      <c r="H654" s="284">
        <v>10.5167</v>
      </c>
      <c r="I654" s="284">
        <f>G654-H654</f>
        <v>0.21359999999999957</v>
      </c>
      <c r="J654" s="283">
        <f t="shared" si="87"/>
        <v>6.2000000000004274E-3</v>
      </c>
      <c r="K654" s="285">
        <f t="shared" si="88"/>
        <v>2.8207461328482384</v>
      </c>
      <c r="L654">
        <v>41</v>
      </c>
      <c r="M654" s="16">
        <v>43381</v>
      </c>
      <c r="N654" s="16">
        <v>43382</v>
      </c>
      <c r="R654" s="285"/>
    </row>
    <row r="655" spans="1:18">
      <c r="A655" t="s">
        <v>323</v>
      </c>
      <c r="C655" t="s">
        <v>3689</v>
      </c>
      <c r="D655">
        <v>1.7952999999999999</v>
      </c>
      <c r="E655">
        <v>11.745900000000001</v>
      </c>
      <c r="F655">
        <v>0.22670000000000001</v>
      </c>
      <c r="G655" s="284">
        <f t="shared" si="86"/>
        <v>11.9726</v>
      </c>
      <c r="H655" s="284">
        <v>11.753500000000001</v>
      </c>
      <c r="I655" s="284">
        <f>(G655-H655)</f>
        <v>0.21909999999999918</v>
      </c>
      <c r="J655" s="283">
        <f t="shared" si="87"/>
        <v>7.6000000000008283E-3</v>
      </c>
      <c r="K655" s="285">
        <f t="shared" si="88"/>
        <v>3.3524481693872197</v>
      </c>
      <c r="L655">
        <v>38</v>
      </c>
      <c r="M655" s="286">
        <v>43360</v>
      </c>
      <c r="N655" s="286">
        <v>43361</v>
      </c>
      <c r="R655" s="285"/>
    </row>
    <row r="656" spans="1:18">
      <c r="A656" t="s">
        <v>321</v>
      </c>
      <c r="C656" t="s">
        <v>3672</v>
      </c>
      <c r="D656">
        <v>1.7662</v>
      </c>
      <c r="E656">
        <v>9.3425999999999991</v>
      </c>
      <c r="F656">
        <v>0.20630000000000001</v>
      </c>
      <c r="G656" s="284">
        <f t="shared" si="86"/>
        <v>9.5488999999999997</v>
      </c>
      <c r="H656" s="284">
        <v>9.3483999999999998</v>
      </c>
      <c r="I656" s="284">
        <f>(G656-H656)</f>
        <v>0.2004999999999999</v>
      </c>
      <c r="J656" s="283">
        <f t="shared" si="87"/>
        <v>5.8000000000001106E-3</v>
      </c>
      <c r="K656" s="285">
        <f t="shared" si="88"/>
        <v>2.8114396509937518</v>
      </c>
      <c r="L656">
        <v>38</v>
      </c>
      <c r="M656" s="16">
        <v>43358</v>
      </c>
      <c r="N656" s="16">
        <v>43358</v>
      </c>
      <c r="R656" s="285"/>
    </row>
    <row r="657" spans="1:18">
      <c r="A657" t="s">
        <v>320</v>
      </c>
      <c r="C657" t="s">
        <v>3729</v>
      </c>
      <c r="D657">
        <v>2.5222000000000002</v>
      </c>
      <c r="E657">
        <v>20.8978</v>
      </c>
      <c r="F657">
        <v>0.21820000000000001</v>
      </c>
      <c r="G657" s="284">
        <f t="shared" si="86"/>
        <v>21.116</v>
      </c>
      <c r="H657" s="284">
        <v>21.087499999999999</v>
      </c>
      <c r="I657" s="284">
        <f>G657-H657</f>
        <v>2.850000000000108E-2</v>
      </c>
      <c r="J657" s="283">
        <f t="shared" si="87"/>
        <v>0.18969999999999893</v>
      </c>
      <c r="K657" s="285">
        <f t="shared" si="88"/>
        <v>86.93858845096193</v>
      </c>
      <c r="L657">
        <v>37</v>
      </c>
      <c r="M657" s="286">
        <v>43361</v>
      </c>
      <c r="N657" s="286">
        <v>43362</v>
      </c>
      <c r="O657" s="283" t="s">
        <v>3730</v>
      </c>
      <c r="R657" s="285"/>
    </row>
    <row r="658" spans="1:18">
      <c r="A658" t="s">
        <v>319</v>
      </c>
      <c r="C658" t="s">
        <v>3713</v>
      </c>
      <c r="D658">
        <v>1.1264000000000001</v>
      </c>
      <c r="E658">
        <v>8.0643999999999991</v>
      </c>
      <c r="F658">
        <v>0.20050000000000001</v>
      </c>
      <c r="G658" s="284">
        <f t="shared" si="86"/>
        <v>8.264899999999999</v>
      </c>
      <c r="H658" s="284">
        <v>8.0708000000000002</v>
      </c>
      <c r="I658" s="284">
        <f>G658-H658</f>
        <v>0.19409999999999883</v>
      </c>
      <c r="J658" s="283">
        <f t="shared" si="87"/>
        <v>6.4000000000011825E-3</v>
      </c>
      <c r="K658" s="285">
        <f t="shared" si="88"/>
        <v>3.1920199501252777</v>
      </c>
      <c r="L658">
        <v>7</v>
      </c>
      <c r="M658" s="286">
        <v>43361</v>
      </c>
      <c r="N658" s="286">
        <v>43362</v>
      </c>
      <c r="O658" s="283" t="s">
        <v>3730</v>
      </c>
      <c r="R658" s="285"/>
    </row>
    <row r="659" spans="1:18">
      <c r="A659" t="s">
        <v>318</v>
      </c>
      <c r="C659" t="s">
        <v>3417</v>
      </c>
      <c r="D659">
        <v>0</v>
      </c>
      <c r="E659">
        <v>0</v>
      </c>
      <c r="F659">
        <v>0</v>
      </c>
      <c r="G659">
        <v>0</v>
      </c>
      <c r="H659">
        <v>0</v>
      </c>
      <c r="I659">
        <v>0</v>
      </c>
      <c r="J659">
        <v>0</v>
      </c>
      <c r="K659">
        <v>0</v>
      </c>
    </row>
    <row r="660" spans="1:18">
      <c r="A660" t="s">
        <v>316</v>
      </c>
      <c r="C660" t="s">
        <v>3496</v>
      </c>
      <c r="D660">
        <v>2.2692000000000001</v>
      </c>
      <c r="E660">
        <v>11.9041</v>
      </c>
      <c r="F660">
        <v>0.21560000000000001</v>
      </c>
      <c r="G660" s="284">
        <f t="shared" ref="G660:G676" si="89">E660+F660</f>
        <v>12.1197</v>
      </c>
      <c r="H660" s="284">
        <v>12.098699999999999</v>
      </c>
      <c r="I660" s="284">
        <f>G660-H660</f>
        <v>2.1000000000000796E-2</v>
      </c>
      <c r="J660" s="283">
        <f t="shared" ref="J660:J676" si="90">F660-I660</f>
        <v>0.19459999999999922</v>
      </c>
      <c r="K660" s="285">
        <f t="shared" ref="K660:K676" si="91">(J660/F660)*100</f>
        <v>90.2597402597399</v>
      </c>
      <c r="L660">
        <v>29</v>
      </c>
      <c r="M660" s="286">
        <v>43363</v>
      </c>
      <c r="N660" s="286">
        <v>43364</v>
      </c>
      <c r="O660" s="283" t="s">
        <v>3756</v>
      </c>
      <c r="R660" s="285"/>
    </row>
    <row r="661" spans="1:18">
      <c r="A661" t="s">
        <v>315</v>
      </c>
      <c r="C661" t="s">
        <v>3684</v>
      </c>
      <c r="D661">
        <v>1.4730000000000001</v>
      </c>
      <c r="E661">
        <v>7.8400999999999996</v>
      </c>
      <c r="F661">
        <v>0.22159999999999999</v>
      </c>
      <c r="G661" s="284">
        <f t="shared" si="89"/>
        <v>8.0617000000000001</v>
      </c>
      <c r="H661" s="284">
        <v>8.0248000000000008</v>
      </c>
      <c r="I661" s="284">
        <f>(G661-H661)</f>
        <v>3.6899999999999267E-2</v>
      </c>
      <c r="J661" s="283">
        <f t="shared" si="90"/>
        <v>0.18470000000000072</v>
      </c>
      <c r="K661" s="285">
        <f t="shared" si="91"/>
        <v>83.348375451263863</v>
      </c>
      <c r="L661">
        <v>8</v>
      </c>
      <c r="M661" s="286">
        <v>43360</v>
      </c>
      <c r="N661" s="286">
        <v>43361</v>
      </c>
      <c r="O661" s="283"/>
      <c r="R661" s="285"/>
    </row>
    <row r="662" spans="1:18">
      <c r="A662" t="s">
        <v>314</v>
      </c>
      <c r="C662" t="s">
        <v>3696</v>
      </c>
      <c r="D662">
        <v>1.7524999999999999</v>
      </c>
      <c r="E662">
        <v>11.443899999999999</v>
      </c>
      <c r="F662">
        <v>0.23069999999999999</v>
      </c>
      <c r="G662" s="284">
        <f t="shared" si="89"/>
        <v>11.6746</v>
      </c>
      <c r="H662" s="284">
        <v>11.4503</v>
      </c>
      <c r="I662" s="284">
        <f>(G662-H662)</f>
        <v>0.2242999999999995</v>
      </c>
      <c r="J662" s="283">
        <f t="shared" si="90"/>
        <v>6.4000000000004886E-3</v>
      </c>
      <c r="K662" s="285">
        <f t="shared" si="91"/>
        <v>2.7741655830084477</v>
      </c>
      <c r="L662">
        <v>23</v>
      </c>
      <c r="M662" s="286">
        <v>43360</v>
      </c>
      <c r="N662" s="286">
        <v>43361</v>
      </c>
      <c r="R662" s="285"/>
    </row>
    <row r="663" spans="1:18">
      <c r="A663" t="s">
        <v>313</v>
      </c>
      <c r="C663" t="s">
        <v>3751</v>
      </c>
      <c r="D663">
        <v>1.7721</v>
      </c>
      <c r="E663">
        <v>10.698700000000001</v>
      </c>
      <c r="F663">
        <v>0.2084</v>
      </c>
      <c r="G663" s="284">
        <f t="shared" si="89"/>
        <v>10.9071</v>
      </c>
      <c r="H663" s="284">
        <v>10.705399999999999</v>
      </c>
      <c r="I663" s="284">
        <f>G663-H663</f>
        <v>0.20170000000000066</v>
      </c>
      <c r="J663" s="283">
        <f t="shared" si="90"/>
        <v>6.6999999999993454E-3</v>
      </c>
      <c r="K663" s="285">
        <f t="shared" si="91"/>
        <v>3.214971209212738</v>
      </c>
      <c r="L663">
        <v>9</v>
      </c>
      <c r="M663" s="16">
        <v>43381</v>
      </c>
      <c r="N663" s="16">
        <v>43382</v>
      </c>
      <c r="R663" s="285"/>
    </row>
    <row r="664" spans="1:18">
      <c r="A664" t="s">
        <v>311</v>
      </c>
      <c r="C664" t="s">
        <v>3716</v>
      </c>
      <c r="D664">
        <v>1.6318999999999999</v>
      </c>
      <c r="E664">
        <v>11.8645</v>
      </c>
      <c r="F664">
        <v>0.20219999999999999</v>
      </c>
      <c r="G664" s="284">
        <f t="shared" si="89"/>
        <v>12.066699999999999</v>
      </c>
      <c r="H664" s="284">
        <v>11.868600000000001</v>
      </c>
      <c r="I664" s="284">
        <f>(G664-H664)</f>
        <v>0.19809999999999839</v>
      </c>
      <c r="J664" s="283">
        <f t="shared" si="90"/>
        <v>4.1000000000016024E-3</v>
      </c>
      <c r="K664" s="285">
        <f t="shared" si="91"/>
        <v>2.0276953511382803</v>
      </c>
      <c r="L664">
        <v>16</v>
      </c>
      <c r="M664" s="286">
        <v>43360</v>
      </c>
      <c r="N664" s="286">
        <v>43361</v>
      </c>
      <c r="O664" s="283" t="s">
        <v>3707</v>
      </c>
      <c r="R664" s="285"/>
    </row>
    <row r="665" spans="1:18">
      <c r="A665" t="s">
        <v>310</v>
      </c>
      <c r="C665" t="s">
        <v>3717</v>
      </c>
      <c r="D665">
        <v>0.75860000000000005</v>
      </c>
      <c r="E665">
        <v>8.9598999999999993</v>
      </c>
      <c r="F665">
        <v>0.2281</v>
      </c>
      <c r="G665" s="284">
        <f t="shared" si="89"/>
        <v>9.1879999999999988</v>
      </c>
      <c r="H665" s="284">
        <v>9.1618999999999993</v>
      </c>
      <c r="I665" s="284">
        <f>G665-H665</f>
        <v>2.6099999999999568E-2</v>
      </c>
      <c r="J665" s="283">
        <f t="shared" si="90"/>
        <v>0.20200000000000043</v>
      </c>
      <c r="K665" s="285">
        <f t="shared" si="91"/>
        <v>88.557650153441656</v>
      </c>
      <c r="L665">
        <v>38</v>
      </c>
      <c r="M665" s="16">
        <v>43381</v>
      </c>
      <c r="N665" s="16">
        <v>43382</v>
      </c>
      <c r="R665" s="285"/>
    </row>
    <row r="666" spans="1:18">
      <c r="A666" t="s">
        <v>309</v>
      </c>
      <c r="C666" t="s">
        <v>3725</v>
      </c>
      <c r="D666">
        <v>1.8205</v>
      </c>
      <c r="E666">
        <v>9.1992999999999991</v>
      </c>
      <c r="F666">
        <v>0.2336</v>
      </c>
      <c r="G666" s="288">
        <f t="shared" si="89"/>
        <v>9.4328999999999983</v>
      </c>
      <c r="H666" s="284">
        <v>9.2043999999999997</v>
      </c>
      <c r="I666" s="288">
        <f>G666-H666</f>
        <v>0.22849999999999859</v>
      </c>
      <c r="J666" s="283">
        <f t="shared" si="90"/>
        <v>5.100000000001409E-3</v>
      </c>
      <c r="K666" s="285">
        <f t="shared" si="91"/>
        <v>2.183219178082795</v>
      </c>
      <c r="L666">
        <v>19</v>
      </c>
      <c r="M666" s="286">
        <v>43379</v>
      </c>
      <c r="N666" s="286">
        <v>43379</v>
      </c>
      <c r="R666" s="285"/>
    </row>
    <row r="667" spans="1:18">
      <c r="A667" t="s">
        <v>308</v>
      </c>
      <c r="C667" t="s">
        <v>3685</v>
      </c>
      <c r="D667">
        <v>1.7716000000000001</v>
      </c>
      <c r="E667">
        <v>11.120900000000001</v>
      </c>
      <c r="F667">
        <v>0.20280000000000001</v>
      </c>
      <c r="G667" s="284">
        <f t="shared" si="89"/>
        <v>11.323700000000001</v>
      </c>
      <c r="H667" s="284">
        <v>11.1302</v>
      </c>
      <c r="I667" s="284">
        <f>(G667-H667)</f>
        <v>0.19350000000000023</v>
      </c>
      <c r="J667" s="283">
        <f t="shared" si="90"/>
        <v>9.2999999999997807E-3</v>
      </c>
      <c r="K667" s="285">
        <f t="shared" si="91"/>
        <v>4.5857988165679391</v>
      </c>
      <c r="L667">
        <v>14</v>
      </c>
      <c r="M667" s="286">
        <v>43360</v>
      </c>
      <c r="N667" s="286">
        <v>43361</v>
      </c>
      <c r="O667" s="283"/>
      <c r="R667" s="285"/>
    </row>
    <row r="668" spans="1:18">
      <c r="A668" t="s">
        <v>307</v>
      </c>
      <c r="C668" t="s">
        <v>3486</v>
      </c>
      <c r="D668">
        <v>1.5866</v>
      </c>
      <c r="E668">
        <v>11.747299999999999</v>
      </c>
      <c r="F668">
        <v>0.21390000000000001</v>
      </c>
      <c r="G668" s="284">
        <f t="shared" si="89"/>
        <v>11.9612</v>
      </c>
      <c r="H668" s="284">
        <v>11.754099999999999</v>
      </c>
      <c r="I668" s="284">
        <f t="shared" ref="I668:I675" si="92">G668-H668</f>
        <v>0.20710000000000051</v>
      </c>
      <c r="J668" s="283">
        <f t="shared" si="90"/>
        <v>6.7999999999995009E-3</v>
      </c>
      <c r="K668" s="285">
        <f t="shared" si="91"/>
        <v>3.1790556334733524</v>
      </c>
      <c r="L668">
        <v>28</v>
      </c>
      <c r="M668" s="286">
        <v>43363</v>
      </c>
      <c r="N668" s="286">
        <v>43364</v>
      </c>
      <c r="R668" s="285"/>
    </row>
    <row r="669" spans="1:18">
      <c r="A669" t="s">
        <v>306</v>
      </c>
      <c r="C669" t="s">
        <v>3732</v>
      </c>
      <c r="D669">
        <v>1.871</v>
      </c>
      <c r="E669">
        <v>7.8597999999999999</v>
      </c>
      <c r="F669">
        <v>0.2097</v>
      </c>
      <c r="G669" s="284">
        <f t="shared" si="89"/>
        <v>8.0694999999999997</v>
      </c>
      <c r="H669" s="284">
        <v>7.8661000000000003</v>
      </c>
      <c r="I669" s="284">
        <f t="shared" si="92"/>
        <v>0.20339999999999936</v>
      </c>
      <c r="J669" s="283">
        <f t="shared" si="90"/>
        <v>6.3000000000006384E-3</v>
      </c>
      <c r="K669" s="285">
        <f t="shared" si="91"/>
        <v>3.0042918454938667</v>
      </c>
      <c r="L669">
        <v>13</v>
      </c>
      <c r="M669" s="286">
        <v>43361</v>
      </c>
      <c r="N669" s="286">
        <v>43362</v>
      </c>
      <c r="O669" s="283" t="s">
        <v>3730</v>
      </c>
      <c r="R669" s="285"/>
    </row>
    <row r="670" spans="1:18">
      <c r="A670" t="s">
        <v>304</v>
      </c>
      <c r="C670" t="s">
        <v>3777</v>
      </c>
      <c r="D670">
        <v>1.5912999999999999</v>
      </c>
      <c r="E670">
        <v>10.2033</v>
      </c>
      <c r="F670">
        <v>0.20910000000000001</v>
      </c>
      <c r="G670" s="284">
        <f t="shared" si="89"/>
        <v>10.4124</v>
      </c>
      <c r="H670" s="284">
        <v>10.2118</v>
      </c>
      <c r="I670" s="284">
        <f t="shared" si="92"/>
        <v>0.20059999999999967</v>
      </c>
      <c r="J670" s="283">
        <f t="shared" si="90"/>
        <v>8.5000000000003406E-3</v>
      </c>
      <c r="K670" s="285">
        <f t="shared" si="91"/>
        <v>4.065040650406667</v>
      </c>
      <c r="L670">
        <v>4</v>
      </c>
      <c r="M670" s="16">
        <v>43388</v>
      </c>
      <c r="N670" s="286">
        <v>43389</v>
      </c>
      <c r="O670" s="286"/>
      <c r="P670" s="283"/>
      <c r="R670" s="285"/>
    </row>
    <row r="671" spans="1:18">
      <c r="A671" t="s">
        <v>303</v>
      </c>
      <c r="C671" t="s">
        <v>3499</v>
      </c>
      <c r="D671">
        <v>0.375</v>
      </c>
      <c r="E671">
        <v>9.5196000000000005</v>
      </c>
      <c r="F671">
        <v>0.2044</v>
      </c>
      <c r="G671" s="284">
        <f t="shared" si="89"/>
        <v>9.7240000000000002</v>
      </c>
      <c r="H671" s="284">
        <v>9.6991999999999994</v>
      </c>
      <c r="I671" s="284">
        <f t="shared" si="92"/>
        <v>2.4800000000000821E-2</v>
      </c>
      <c r="J671" s="283">
        <f t="shared" si="90"/>
        <v>0.17959999999999918</v>
      </c>
      <c r="K671" s="285">
        <f t="shared" si="91"/>
        <v>87.866927592954596</v>
      </c>
      <c r="L671">
        <v>6</v>
      </c>
      <c r="M671" s="286">
        <v>43363</v>
      </c>
      <c r="N671" s="286">
        <v>43364</v>
      </c>
      <c r="O671" s="283"/>
      <c r="R671" s="285"/>
    </row>
    <row r="672" spans="1:18">
      <c r="A672" t="s">
        <v>302</v>
      </c>
      <c r="C672" t="s">
        <v>3483</v>
      </c>
      <c r="D672">
        <v>1.5733999999999999</v>
      </c>
      <c r="E672">
        <v>11.155900000000001</v>
      </c>
      <c r="F672">
        <v>0.22070000000000001</v>
      </c>
      <c r="G672" s="284">
        <f t="shared" si="89"/>
        <v>11.376600000000002</v>
      </c>
      <c r="H672" s="284">
        <v>11.1638</v>
      </c>
      <c r="I672" s="284">
        <f t="shared" si="92"/>
        <v>0.21280000000000143</v>
      </c>
      <c r="J672" s="283">
        <f t="shared" si="90"/>
        <v>7.8999999999985748E-3</v>
      </c>
      <c r="K672" s="285">
        <f t="shared" si="91"/>
        <v>3.5795197100129474</v>
      </c>
      <c r="L672">
        <v>27</v>
      </c>
      <c r="M672" s="286">
        <v>43363</v>
      </c>
      <c r="N672" s="286">
        <v>43364</v>
      </c>
      <c r="O672" s="283" t="s">
        <v>3756</v>
      </c>
      <c r="R672" s="285"/>
    </row>
    <row r="673" spans="1:18">
      <c r="A673" t="s">
        <v>301</v>
      </c>
      <c r="C673" t="s">
        <v>3752</v>
      </c>
      <c r="D673">
        <v>0.86339999999999995</v>
      </c>
      <c r="E673">
        <v>8.8617000000000008</v>
      </c>
      <c r="F673">
        <v>0.21929999999999999</v>
      </c>
      <c r="G673" s="284">
        <f t="shared" si="89"/>
        <v>9.0810000000000013</v>
      </c>
      <c r="H673" s="284">
        <v>9.0742999999999991</v>
      </c>
      <c r="I673" s="284">
        <f t="shared" si="92"/>
        <v>6.7000000000021487E-3</v>
      </c>
      <c r="J673" s="283">
        <f t="shared" si="90"/>
        <v>0.21259999999999785</v>
      </c>
      <c r="K673" s="285">
        <f t="shared" si="91"/>
        <v>96.944824441403483</v>
      </c>
      <c r="L673">
        <v>7</v>
      </c>
      <c r="M673" s="16">
        <v>43388</v>
      </c>
      <c r="N673" s="286">
        <v>43389</v>
      </c>
      <c r="O673" s="286"/>
      <c r="P673" s="283"/>
      <c r="R673" s="285"/>
    </row>
    <row r="674" spans="1:18">
      <c r="A674" t="s">
        <v>300</v>
      </c>
      <c r="C674" t="s">
        <v>3728</v>
      </c>
      <c r="D674" s="283">
        <v>1.8141</v>
      </c>
      <c r="E674" s="284">
        <v>10.109500000000001</v>
      </c>
      <c r="F674" s="284">
        <v>0.2167</v>
      </c>
      <c r="G674" s="284">
        <f t="shared" si="89"/>
        <v>10.3262</v>
      </c>
      <c r="H674" s="284">
        <v>10.115399999999999</v>
      </c>
      <c r="I674" s="284">
        <f t="shared" si="92"/>
        <v>0.21080000000000076</v>
      </c>
      <c r="J674" s="283">
        <f t="shared" si="90"/>
        <v>5.8999999999992392E-3</v>
      </c>
      <c r="K674" s="285">
        <f t="shared" si="91"/>
        <v>2.7226580526069402</v>
      </c>
      <c r="L674" s="283">
        <v>1</v>
      </c>
      <c r="M674" s="16">
        <v>43381</v>
      </c>
      <c r="N674" s="16">
        <v>43382</v>
      </c>
      <c r="R674" s="285"/>
    </row>
    <row r="675" spans="1:18">
      <c r="A675" t="s">
        <v>1057</v>
      </c>
      <c r="C675" t="s">
        <v>3498</v>
      </c>
      <c r="D675">
        <v>1.6523000000000001</v>
      </c>
      <c r="E675">
        <v>8.7696000000000005</v>
      </c>
      <c r="F675">
        <v>0.2402</v>
      </c>
      <c r="G675" s="284">
        <f t="shared" si="89"/>
        <v>9.0098000000000003</v>
      </c>
      <c r="H675" s="284">
        <v>8.7871000000000006</v>
      </c>
      <c r="I675" s="284">
        <f t="shared" si="92"/>
        <v>0.22269999999999968</v>
      </c>
      <c r="J675" s="283">
        <f t="shared" si="90"/>
        <v>1.7500000000000321E-2</v>
      </c>
      <c r="K675" s="285">
        <f t="shared" si="91"/>
        <v>7.2855953372191182</v>
      </c>
      <c r="L675">
        <v>3</v>
      </c>
      <c r="M675" s="286">
        <v>43363</v>
      </c>
      <c r="N675" s="286">
        <v>43364</v>
      </c>
      <c r="O675" s="283"/>
      <c r="R675" s="285"/>
    </row>
    <row r="676" spans="1:18">
      <c r="A676" t="s">
        <v>299</v>
      </c>
      <c r="C676" t="s">
        <v>3662</v>
      </c>
      <c r="D676">
        <v>1.8818999999999999</v>
      </c>
      <c r="E676">
        <v>10.6968</v>
      </c>
      <c r="F676">
        <v>0.2092</v>
      </c>
      <c r="G676" s="284">
        <f t="shared" si="89"/>
        <v>10.905999999999999</v>
      </c>
      <c r="H676" s="284">
        <v>10.7036</v>
      </c>
      <c r="I676" s="284">
        <f>(G676-H676)</f>
        <v>0.20239999999999903</v>
      </c>
      <c r="J676" s="283">
        <f t="shared" si="90"/>
        <v>6.8000000000009719E-3</v>
      </c>
      <c r="K676" s="285">
        <f t="shared" si="91"/>
        <v>3.2504780114727398</v>
      </c>
      <c r="L676">
        <v>8</v>
      </c>
      <c r="M676" s="16">
        <v>43358</v>
      </c>
      <c r="N676" s="16">
        <v>43358</v>
      </c>
      <c r="R676" s="285"/>
    </row>
  </sheetData>
  <sortState ref="A2:V676">
    <sortCondition ref="A2:A676"/>
    <sortCondition ref="C2:C676"/>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7" customWidth="1"/>
    <col min="2" max="16384" width="11.44140625" style="197"/>
  </cols>
  <sheetData>
    <row r="1" spans="1:9" ht="36.6">
      <c r="A1" s="221" t="s">
        <v>2640</v>
      </c>
    </row>
    <row r="2" spans="1:9">
      <c r="A2" s="219" t="s">
        <v>2639</v>
      </c>
    </row>
    <row r="3" spans="1:9">
      <c r="A3" s="219" t="s">
        <v>2638</v>
      </c>
    </row>
    <row r="4" spans="1:9">
      <c r="A4" s="219" t="s">
        <v>2637</v>
      </c>
    </row>
    <row r="5" spans="1:9">
      <c r="A5" s="219" t="s">
        <v>2636</v>
      </c>
    </row>
    <row r="6" spans="1:9">
      <c r="A6" s="219" t="s">
        <v>2635</v>
      </c>
    </row>
    <row r="7" spans="1:9">
      <c r="A7" s="219" t="s">
        <v>2634</v>
      </c>
    </row>
    <row r="8" spans="1:9">
      <c r="A8" s="219" t="s">
        <v>2633</v>
      </c>
    </row>
    <row r="9" spans="1:9">
      <c r="A9" s="219" t="s">
        <v>2632</v>
      </c>
    </row>
    <row r="10" spans="1:9">
      <c r="A10" s="219" t="s">
        <v>2631</v>
      </c>
    </row>
    <row r="11" spans="1:9">
      <c r="A11" s="219" t="s">
        <v>2630</v>
      </c>
    </row>
    <row r="12" spans="1:9">
      <c r="A12" s="220"/>
    </row>
    <row r="13" spans="1:9" ht="15" thickBot="1">
      <c r="A13" s="219" t="s">
        <v>2629</v>
      </c>
    </row>
    <row r="14" spans="1:9" ht="43.8" thickBot="1">
      <c r="A14" s="218" t="s">
        <v>1144</v>
      </c>
      <c r="B14" s="217" t="s">
        <v>1141</v>
      </c>
      <c r="C14" s="217" t="s">
        <v>2628</v>
      </c>
      <c r="D14" s="217" t="s">
        <v>2627</v>
      </c>
      <c r="E14" s="217" t="s">
        <v>2626</v>
      </c>
    </row>
    <row r="15" spans="1:9" ht="15" thickBot="1">
      <c r="A15" s="216" t="s">
        <v>1742</v>
      </c>
      <c r="B15" s="215">
        <v>43150</v>
      </c>
      <c r="C15" s="214" t="s">
        <v>2625</v>
      </c>
      <c r="D15" s="214" t="s">
        <v>2624</v>
      </c>
      <c r="E15" s="214" t="s">
        <v>2623</v>
      </c>
    </row>
    <row r="16" spans="1:9">
      <c r="A16" s="276" t="s">
        <v>3655</v>
      </c>
      <c r="B16" s="213">
        <v>20</v>
      </c>
      <c r="H16" s="197" t="s">
        <v>2622</v>
      </c>
      <c r="I16" s="197">
        <v>800</v>
      </c>
    </row>
    <row r="17" spans="1:13">
      <c r="B17" s="197" t="s">
        <v>2621</v>
      </c>
      <c r="C17" s="197" t="s">
        <v>2620</v>
      </c>
      <c r="D17" s="197" t="s">
        <v>2619</v>
      </c>
      <c r="F17" s="212" t="s">
        <v>3656</v>
      </c>
      <c r="H17" s="197" t="s">
        <v>2618</v>
      </c>
      <c r="I17" s="197">
        <v>0</v>
      </c>
    </row>
    <row r="18" spans="1:13">
      <c r="A18" s="197" t="s">
        <v>2617</v>
      </c>
      <c r="B18" s="197">
        <f>(5*B16)/60</f>
        <v>1.6666666666666667</v>
      </c>
      <c r="C18" s="197">
        <v>4</v>
      </c>
      <c r="D18" s="197">
        <v>1</v>
      </c>
      <c r="E18" s="197">
        <v>1</v>
      </c>
      <c r="F18" s="212">
        <f>B18+C18+D18+E18</f>
        <v>7.666666666666667</v>
      </c>
      <c r="H18" s="197" t="s">
        <v>2616</v>
      </c>
      <c r="I18" s="197">
        <f>I16-I17</f>
        <v>800</v>
      </c>
      <c r="J18" s="197" t="s">
        <v>2615</v>
      </c>
      <c r="K18" s="197">
        <f>I18/B16</f>
        <v>40</v>
      </c>
      <c r="L18" s="197">
        <v>1</v>
      </c>
      <c r="M18" s="197" t="s">
        <v>2614</v>
      </c>
    </row>
    <row r="19" spans="1:13">
      <c r="H19" s="197" t="s">
        <v>2613</v>
      </c>
      <c r="I19" s="197">
        <f>F18*K18</f>
        <v>306.66666666666669</v>
      </c>
      <c r="J19" s="197" t="s">
        <v>2612</v>
      </c>
    </row>
    <row r="20" spans="1:13">
      <c r="K20" s="212">
        <f>K18</f>
        <v>40</v>
      </c>
      <c r="L20" s="212" t="s">
        <v>2611</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M1" sqref="M1"/>
    </sheetView>
  </sheetViews>
  <sheetFormatPr baseColWidth="10" defaultColWidth="8.88671875" defaultRowHeight="14.4"/>
  <cols>
    <col min="12" max="12" width="8.88671875" style="240"/>
  </cols>
  <sheetData>
    <row r="1" spans="1:15">
      <c r="A1" t="s">
        <v>2682</v>
      </c>
      <c r="B1" t="s">
        <v>2683</v>
      </c>
      <c r="C1" t="s">
        <v>2684</v>
      </c>
      <c r="D1" t="s">
        <v>2685</v>
      </c>
      <c r="E1" t="s">
        <v>2686</v>
      </c>
      <c r="F1" t="s">
        <v>2687</v>
      </c>
      <c r="G1" t="s">
        <v>2688</v>
      </c>
      <c r="H1" t="s">
        <v>2689</v>
      </c>
      <c r="I1" t="s">
        <v>2690</v>
      </c>
      <c r="J1" t="s">
        <v>2691</v>
      </c>
      <c r="K1" t="s">
        <v>2692</v>
      </c>
      <c r="L1" s="240" t="s">
        <v>2693</v>
      </c>
      <c r="M1" t="s">
        <v>2694</v>
      </c>
      <c r="N1" t="s">
        <v>2695</v>
      </c>
      <c r="O1" t="s">
        <v>2681</v>
      </c>
    </row>
    <row r="2" spans="1:15">
      <c r="A2">
        <v>1</v>
      </c>
      <c r="B2" t="s">
        <v>2176</v>
      </c>
      <c r="C2" t="s">
        <v>2177</v>
      </c>
      <c r="D2" t="s">
        <v>2659</v>
      </c>
      <c r="E2" t="s">
        <v>2659</v>
      </c>
      <c r="F2" t="s">
        <v>2178</v>
      </c>
      <c r="G2" t="s">
        <v>2948</v>
      </c>
      <c r="H2" t="s">
        <v>2949</v>
      </c>
      <c r="I2">
        <v>107</v>
      </c>
      <c r="J2">
        <v>811</v>
      </c>
      <c r="K2">
        <v>377</v>
      </c>
      <c r="L2" s="240" t="s">
        <v>2950</v>
      </c>
      <c r="M2">
        <v>69</v>
      </c>
      <c r="N2" t="s">
        <v>2699</v>
      </c>
      <c r="O2">
        <v>6.900000125</v>
      </c>
    </row>
    <row r="3" spans="1:15">
      <c r="A3">
        <v>3</v>
      </c>
      <c r="B3" t="s">
        <v>2176</v>
      </c>
      <c r="C3" t="s">
        <v>2184</v>
      </c>
      <c r="D3" t="s">
        <v>2659</v>
      </c>
      <c r="E3" t="s">
        <v>2659</v>
      </c>
      <c r="F3" t="s">
        <v>2178</v>
      </c>
      <c r="G3" t="s">
        <v>2948</v>
      </c>
      <c r="H3" t="s">
        <v>2949</v>
      </c>
      <c r="I3">
        <v>259</v>
      </c>
      <c r="J3">
        <v>742</v>
      </c>
      <c r="K3">
        <v>44</v>
      </c>
      <c r="L3" s="240" t="s">
        <v>2951</v>
      </c>
      <c r="M3">
        <v>69</v>
      </c>
      <c r="N3" t="s">
        <v>2699</v>
      </c>
      <c r="O3">
        <v>6.900000125</v>
      </c>
    </row>
    <row r="4" spans="1:15">
      <c r="A4">
        <v>4</v>
      </c>
      <c r="B4" t="s">
        <v>2176</v>
      </c>
      <c r="C4" t="s">
        <v>2186</v>
      </c>
      <c r="D4" t="s">
        <v>2659</v>
      </c>
      <c r="E4" t="s">
        <v>2659</v>
      </c>
      <c r="F4" t="s">
        <v>2178</v>
      </c>
      <c r="G4" t="s">
        <v>2948</v>
      </c>
      <c r="H4" t="s">
        <v>2949</v>
      </c>
      <c r="I4">
        <v>255</v>
      </c>
      <c r="J4">
        <v>661</v>
      </c>
      <c r="K4">
        <v>357</v>
      </c>
      <c r="L4" s="240" t="s">
        <v>2952</v>
      </c>
      <c r="M4">
        <v>69</v>
      </c>
      <c r="N4" t="s">
        <v>2699</v>
      </c>
      <c r="O4">
        <v>6.900000125</v>
      </c>
    </row>
    <row r="5" spans="1:15">
      <c r="A5">
        <v>6</v>
      </c>
      <c r="B5" t="s">
        <v>2176</v>
      </c>
      <c r="C5" t="s">
        <v>2190</v>
      </c>
      <c r="D5" t="s">
        <v>2659</v>
      </c>
      <c r="E5" t="s">
        <v>2659</v>
      </c>
      <c r="F5" t="s">
        <v>2178</v>
      </c>
      <c r="G5" t="s">
        <v>2948</v>
      </c>
      <c r="H5" t="s">
        <v>2949</v>
      </c>
      <c r="I5">
        <v>478</v>
      </c>
      <c r="J5">
        <v>688</v>
      </c>
      <c r="K5">
        <v>164</v>
      </c>
      <c r="L5" s="240" t="s">
        <v>2953</v>
      </c>
      <c r="M5">
        <v>69</v>
      </c>
      <c r="N5" t="s">
        <v>2699</v>
      </c>
      <c r="O5">
        <v>6.900000125</v>
      </c>
    </row>
    <row r="6" spans="1:15">
      <c r="A6">
        <v>7</v>
      </c>
      <c r="B6" t="s">
        <v>2176</v>
      </c>
      <c r="C6" t="s">
        <v>2191</v>
      </c>
      <c r="D6" t="s">
        <v>2659</v>
      </c>
      <c r="E6" t="s">
        <v>2659</v>
      </c>
      <c r="F6" t="s">
        <v>2178</v>
      </c>
      <c r="G6" t="s">
        <v>2948</v>
      </c>
      <c r="H6" t="s">
        <v>2949</v>
      </c>
      <c r="I6">
        <v>106</v>
      </c>
      <c r="J6">
        <v>762</v>
      </c>
      <c r="K6">
        <v>776</v>
      </c>
      <c r="L6" s="240" t="s">
        <v>2954</v>
      </c>
      <c r="M6">
        <v>69</v>
      </c>
      <c r="N6" t="s">
        <v>2699</v>
      </c>
      <c r="O6">
        <v>6.900000125</v>
      </c>
    </row>
    <row r="7" spans="1:15">
      <c r="A7">
        <v>8</v>
      </c>
      <c r="B7" t="s">
        <v>2176</v>
      </c>
      <c r="C7" t="s">
        <v>2192</v>
      </c>
      <c r="D7" t="s">
        <v>2659</v>
      </c>
      <c r="E7" t="s">
        <v>2659</v>
      </c>
      <c r="F7" t="s">
        <v>2178</v>
      </c>
      <c r="G7" t="s">
        <v>2948</v>
      </c>
      <c r="H7" t="s">
        <v>2949</v>
      </c>
      <c r="I7">
        <v>228</v>
      </c>
      <c r="J7">
        <v>727</v>
      </c>
      <c r="K7">
        <v>23</v>
      </c>
      <c r="L7" s="240" t="s">
        <v>2955</v>
      </c>
      <c r="M7">
        <v>69</v>
      </c>
      <c r="N7" t="s">
        <v>2699</v>
      </c>
      <c r="O7">
        <v>6.900000125</v>
      </c>
    </row>
    <row r="8" spans="1:15">
      <c r="A8">
        <v>9</v>
      </c>
      <c r="B8" t="s">
        <v>2176</v>
      </c>
      <c r="C8" t="s">
        <v>2193</v>
      </c>
      <c r="D8" t="s">
        <v>2659</v>
      </c>
      <c r="E8" t="s">
        <v>2659</v>
      </c>
      <c r="F8" t="s">
        <v>2194</v>
      </c>
      <c r="G8" t="s">
        <v>2948</v>
      </c>
      <c r="H8" t="s">
        <v>2949</v>
      </c>
      <c r="I8">
        <v>277</v>
      </c>
      <c r="J8">
        <v>785</v>
      </c>
      <c r="K8">
        <v>570</v>
      </c>
      <c r="L8" s="240" t="s">
        <v>2956</v>
      </c>
      <c r="M8">
        <v>69</v>
      </c>
      <c r="N8" t="s">
        <v>2707</v>
      </c>
      <c r="O8">
        <v>6.900000125</v>
      </c>
    </row>
    <row r="9" spans="1:15">
      <c r="A9">
        <v>11</v>
      </c>
      <c r="B9" t="s">
        <v>2176</v>
      </c>
      <c r="C9" t="s">
        <v>2197</v>
      </c>
      <c r="D9" t="s">
        <v>2659</v>
      </c>
      <c r="E9" t="s">
        <v>2659</v>
      </c>
      <c r="F9" t="s">
        <v>2194</v>
      </c>
      <c r="G9" t="s">
        <v>2948</v>
      </c>
      <c r="H9" t="s">
        <v>2949</v>
      </c>
      <c r="I9">
        <v>435</v>
      </c>
      <c r="J9">
        <v>748</v>
      </c>
      <c r="K9">
        <v>663</v>
      </c>
      <c r="L9" s="240" t="s">
        <v>2957</v>
      </c>
      <c r="M9">
        <v>69</v>
      </c>
      <c r="N9" t="s">
        <v>2707</v>
      </c>
      <c r="O9">
        <v>6.900000125</v>
      </c>
    </row>
    <row r="10" spans="1:15">
      <c r="A10">
        <v>13</v>
      </c>
      <c r="B10" t="s">
        <v>2176</v>
      </c>
      <c r="C10" t="s">
        <v>2199</v>
      </c>
      <c r="D10" t="s">
        <v>2659</v>
      </c>
      <c r="E10" t="s">
        <v>2659</v>
      </c>
      <c r="F10" t="s">
        <v>2194</v>
      </c>
      <c r="G10" t="s">
        <v>2948</v>
      </c>
      <c r="H10" t="s">
        <v>2949</v>
      </c>
      <c r="I10">
        <v>2</v>
      </c>
      <c r="J10">
        <v>784</v>
      </c>
      <c r="K10">
        <v>874</v>
      </c>
      <c r="L10" s="240" t="s">
        <v>2958</v>
      </c>
      <c r="M10">
        <v>69</v>
      </c>
      <c r="N10" t="s">
        <v>2707</v>
      </c>
      <c r="O10">
        <v>6.900000125</v>
      </c>
    </row>
    <row r="11" spans="1:15">
      <c r="A11">
        <v>14</v>
      </c>
      <c r="B11" t="s">
        <v>2176</v>
      </c>
      <c r="C11" t="s">
        <v>2201</v>
      </c>
      <c r="D11" t="s">
        <v>2659</v>
      </c>
      <c r="E11" t="s">
        <v>2659</v>
      </c>
      <c r="F11" t="s">
        <v>2194</v>
      </c>
      <c r="G11" t="s">
        <v>2948</v>
      </c>
      <c r="H11" t="s">
        <v>2949</v>
      </c>
      <c r="I11">
        <v>225</v>
      </c>
      <c r="J11">
        <v>838</v>
      </c>
      <c r="K11">
        <v>219</v>
      </c>
      <c r="L11" s="240" t="s">
        <v>2959</v>
      </c>
      <c r="M11">
        <v>69</v>
      </c>
      <c r="N11" t="s">
        <v>2707</v>
      </c>
      <c r="O11">
        <v>6.900000125</v>
      </c>
    </row>
    <row r="12" spans="1:15">
      <c r="A12">
        <v>15</v>
      </c>
      <c r="B12" t="s">
        <v>2176</v>
      </c>
      <c r="C12" t="s">
        <v>2202</v>
      </c>
      <c r="D12" t="s">
        <v>2659</v>
      </c>
      <c r="E12" t="s">
        <v>2659</v>
      </c>
      <c r="F12" t="s">
        <v>2194</v>
      </c>
      <c r="G12" t="s">
        <v>2948</v>
      </c>
      <c r="H12" t="s">
        <v>2949</v>
      </c>
      <c r="I12">
        <v>444</v>
      </c>
      <c r="J12">
        <v>793</v>
      </c>
      <c r="K12">
        <v>630</v>
      </c>
      <c r="L12" s="240" t="s">
        <v>2960</v>
      </c>
      <c r="M12">
        <v>69</v>
      </c>
      <c r="N12" t="s">
        <v>2707</v>
      </c>
      <c r="O12">
        <v>6.900000125</v>
      </c>
    </row>
    <row r="13" spans="1:15">
      <c r="A13">
        <v>16</v>
      </c>
      <c r="B13" t="s">
        <v>2176</v>
      </c>
      <c r="C13" t="s">
        <v>2205</v>
      </c>
      <c r="D13" t="s">
        <v>2659</v>
      </c>
      <c r="E13" t="s">
        <v>2659</v>
      </c>
      <c r="F13" t="s">
        <v>2194</v>
      </c>
      <c r="G13" t="s">
        <v>2948</v>
      </c>
      <c r="H13" t="s">
        <v>2949</v>
      </c>
      <c r="I13">
        <v>376</v>
      </c>
      <c r="J13">
        <v>755</v>
      </c>
      <c r="K13">
        <v>662</v>
      </c>
      <c r="L13" s="240" t="s">
        <v>2961</v>
      </c>
      <c r="M13">
        <v>69</v>
      </c>
      <c r="N13" t="s">
        <v>2707</v>
      </c>
      <c r="O13">
        <v>6.900000125</v>
      </c>
    </row>
    <row r="14" spans="1:15">
      <c r="A14">
        <v>17</v>
      </c>
      <c r="B14" t="s">
        <v>2176</v>
      </c>
      <c r="C14" t="s">
        <v>2207</v>
      </c>
      <c r="D14" t="s">
        <v>2659</v>
      </c>
      <c r="E14" t="s">
        <v>2659</v>
      </c>
      <c r="F14" t="s">
        <v>2208</v>
      </c>
      <c r="G14" t="s">
        <v>2962</v>
      </c>
      <c r="H14" t="s">
        <v>2949</v>
      </c>
      <c r="I14">
        <v>209</v>
      </c>
      <c r="J14">
        <v>826</v>
      </c>
      <c r="K14">
        <v>349</v>
      </c>
      <c r="L14" s="240" t="s">
        <v>2963</v>
      </c>
      <c r="M14">
        <v>71</v>
      </c>
      <c r="N14" t="s">
        <v>2716</v>
      </c>
      <c r="O14">
        <v>6.900000125</v>
      </c>
    </row>
    <row r="15" spans="1:15">
      <c r="A15">
        <v>18</v>
      </c>
      <c r="B15" t="s">
        <v>2176</v>
      </c>
      <c r="C15" t="s">
        <v>2210</v>
      </c>
      <c r="D15" t="s">
        <v>2659</v>
      </c>
      <c r="E15" t="s">
        <v>2659</v>
      </c>
      <c r="F15" t="s">
        <v>2208</v>
      </c>
      <c r="G15" t="s">
        <v>2962</v>
      </c>
      <c r="H15" t="s">
        <v>2949</v>
      </c>
      <c r="I15">
        <v>10</v>
      </c>
      <c r="J15">
        <v>732</v>
      </c>
      <c r="K15">
        <v>113</v>
      </c>
      <c r="L15" s="240" t="s">
        <v>2964</v>
      </c>
      <c r="M15">
        <v>71</v>
      </c>
      <c r="N15" t="s">
        <v>2716</v>
      </c>
      <c r="O15">
        <v>6.900000125</v>
      </c>
    </row>
    <row r="16" spans="1:15">
      <c r="A16">
        <v>19</v>
      </c>
      <c r="B16" t="s">
        <v>2176</v>
      </c>
      <c r="C16" t="s">
        <v>2211</v>
      </c>
      <c r="D16" t="s">
        <v>2659</v>
      </c>
      <c r="E16" t="s">
        <v>2659</v>
      </c>
      <c r="F16" t="s">
        <v>2208</v>
      </c>
      <c r="G16" t="s">
        <v>2962</v>
      </c>
      <c r="H16" t="s">
        <v>2949</v>
      </c>
      <c r="I16">
        <v>190</v>
      </c>
      <c r="J16">
        <v>749</v>
      </c>
      <c r="K16">
        <v>394</v>
      </c>
      <c r="L16" s="240" t="s">
        <v>2965</v>
      </c>
      <c r="M16">
        <v>71</v>
      </c>
      <c r="N16" t="s">
        <v>2716</v>
      </c>
      <c r="O16">
        <v>6.900000125</v>
      </c>
    </row>
    <row r="17" spans="1:15">
      <c r="A17">
        <v>20</v>
      </c>
      <c r="B17" t="s">
        <v>2176</v>
      </c>
      <c r="C17" t="s">
        <v>2212</v>
      </c>
      <c r="D17" t="s">
        <v>2659</v>
      </c>
      <c r="E17" t="s">
        <v>2659</v>
      </c>
      <c r="F17" t="s">
        <v>2208</v>
      </c>
      <c r="G17" t="s">
        <v>2962</v>
      </c>
      <c r="H17" t="s">
        <v>2949</v>
      </c>
      <c r="I17">
        <v>38</v>
      </c>
      <c r="J17">
        <v>632</v>
      </c>
      <c r="K17">
        <v>79</v>
      </c>
      <c r="L17" s="240" t="s">
        <v>2966</v>
      </c>
      <c r="M17">
        <v>71</v>
      </c>
      <c r="N17" t="s">
        <v>2716</v>
      </c>
      <c r="O17">
        <v>6.900000125</v>
      </c>
    </row>
    <row r="18" spans="1:15">
      <c r="A18">
        <v>21</v>
      </c>
      <c r="B18" t="s">
        <v>2176</v>
      </c>
      <c r="C18" t="s">
        <v>2213</v>
      </c>
      <c r="D18" t="s">
        <v>2659</v>
      </c>
      <c r="E18" t="s">
        <v>2659</v>
      </c>
      <c r="F18" t="s">
        <v>2208</v>
      </c>
      <c r="G18" t="s">
        <v>2962</v>
      </c>
      <c r="H18" t="s">
        <v>2949</v>
      </c>
      <c r="I18">
        <v>468</v>
      </c>
      <c r="J18">
        <v>630</v>
      </c>
      <c r="K18">
        <v>488</v>
      </c>
      <c r="L18" s="240" t="s">
        <v>2967</v>
      </c>
      <c r="M18">
        <v>71</v>
      </c>
      <c r="N18" t="s">
        <v>2716</v>
      </c>
      <c r="O18">
        <v>6.900000125</v>
      </c>
    </row>
    <row r="19" spans="1:15">
      <c r="A19">
        <v>22</v>
      </c>
      <c r="B19" t="s">
        <v>2176</v>
      </c>
      <c r="C19" t="s">
        <v>2214</v>
      </c>
      <c r="D19" t="s">
        <v>2659</v>
      </c>
      <c r="E19" t="s">
        <v>2659</v>
      </c>
      <c r="F19" t="s">
        <v>2208</v>
      </c>
      <c r="G19" t="s">
        <v>2962</v>
      </c>
      <c r="H19" t="s">
        <v>2949</v>
      </c>
      <c r="I19">
        <v>8</v>
      </c>
      <c r="J19">
        <v>723</v>
      </c>
      <c r="K19">
        <v>750</v>
      </c>
      <c r="L19" s="240" t="s">
        <v>2968</v>
      </c>
      <c r="M19">
        <v>71</v>
      </c>
      <c r="N19" t="s">
        <v>2716</v>
      </c>
      <c r="O19">
        <v>6.900000125</v>
      </c>
    </row>
    <row r="20" spans="1:15">
      <c r="A20">
        <v>24</v>
      </c>
      <c r="B20" t="s">
        <v>2176</v>
      </c>
      <c r="C20" t="s">
        <v>2216</v>
      </c>
      <c r="D20" t="s">
        <v>2659</v>
      </c>
      <c r="E20" t="s">
        <v>2659</v>
      </c>
      <c r="F20" t="s">
        <v>2208</v>
      </c>
      <c r="G20" t="s">
        <v>2962</v>
      </c>
      <c r="H20" t="s">
        <v>2949</v>
      </c>
      <c r="I20">
        <v>320</v>
      </c>
      <c r="J20">
        <v>225</v>
      </c>
      <c r="K20">
        <v>562</v>
      </c>
      <c r="L20" s="240" t="s">
        <v>2969</v>
      </c>
      <c r="M20">
        <v>71</v>
      </c>
      <c r="N20" t="s">
        <v>2716</v>
      </c>
      <c r="O20">
        <v>6.900000125</v>
      </c>
    </row>
    <row r="21" spans="1:15">
      <c r="A21">
        <v>25</v>
      </c>
      <c r="B21" t="s">
        <v>2176</v>
      </c>
      <c r="C21" t="s">
        <v>2217</v>
      </c>
      <c r="D21" t="s">
        <v>2659</v>
      </c>
      <c r="E21" t="s">
        <v>2659</v>
      </c>
      <c r="F21" t="s">
        <v>2218</v>
      </c>
      <c r="G21" t="s">
        <v>2962</v>
      </c>
      <c r="H21" t="s">
        <v>2949</v>
      </c>
      <c r="I21">
        <v>32</v>
      </c>
      <c r="J21">
        <v>43</v>
      </c>
      <c r="K21">
        <v>156</v>
      </c>
      <c r="L21" s="240" t="s">
        <v>2970</v>
      </c>
      <c r="M21">
        <v>71</v>
      </c>
      <c r="N21" t="s">
        <v>2724</v>
      </c>
      <c r="O21">
        <v>6.900000125</v>
      </c>
    </row>
    <row r="22" spans="1:15">
      <c r="A22">
        <v>26</v>
      </c>
      <c r="B22" t="s">
        <v>2176</v>
      </c>
      <c r="C22" t="s">
        <v>2219</v>
      </c>
      <c r="D22" t="s">
        <v>2659</v>
      </c>
      <c r="E22" t="s">
        <v>2659</v>
      </c>
      <c r="F22" t="s">
        <v>2218</v>
      </c>
      <c r="G22" t="s">
        <v>2962</v>
      </c>
      <c r="H22" t="s">
        <v>2949</v>
      </c>
      <c r="I22">
        <v>58</v>
      </c>
      <c r="J22">
        <v>602</v>
      </c>
      <c r="K22">
        <v>555</v>
      </c>
      <c r="L22" s="240" t="s">
        <v>2971</v>
      </c>
      <c r="M22">
        <v>71</v>
      </c>
      <c r="N22" t="s">
        <v>2724</v>
      </c>
      <c r="O22">
        <v>6.900000125</v>
      </c>
    </row>
    <row r="23" spans="1:15">
      <c r="A23">
        <v>27</v>
      </c>
      <c r="B23" t="s">
        <v>2176</v>
      </c>
      <c r="C23" t="s">
        <v>2220</v>
      </c>
      <c r="D23" t="s">
        <v>2659</v>
      </c>
      <c r="E23" t="s">
        <v>2659</v>
      </c>
      <c r="F23" t="s">
        <v>2218</v>
      </c>
      <c r="G23" t="s">
        <v>2962</v>
      </c>
      <c r="H23" t="s">
        <v>2949</v>
      </c>
      <c r="I23">
        <v>340</v>
      </c>
      <c r="J23">
        <v>666</v>
      </c>
      <c r="K23">
        <v>378</v>
      </c>
      <c r="L23" s="240" t="s">
        <v>2972</v>
      </c>
      <c r="M23">
        <v>71</v>
      </c>
      <c r="N23" t="s">
        <v>2724</v>
      </c>
      <c r="O23">
        <v>6.900000125</v>
      </c>
    </row>
    <row r="24" spans="1:15">
      <c r="A24">
        <v>28</v>
      </c>
      <c r="B24" t="s">
        <v>2176</v>
      </c>
      <c r="C24" t="s">
        <v>2221</v>
      </c>
      <c r="D24" t="s">
        <v>2659</v>
      </c>
      <c r="E24" t="s">
        <v>2659</v>
      </c>
      <c r="F24" t="s">
        <v>2218</v>
      </c>
      <c r="G24" t="s">
        <v>2962</v>
      </c>
      <c r="H24" t="s">
        <v>2949</v>
      </c>
      <c r="I24">
        <v>61</v>
      </c>
      <c r="J24">
        <v>705</v>
      </c>
      <c r="K24">
        <v>46</v>
      </c>
      <c r="L24" s="240" t="s">
        <v>2973</v>
      </c>
      <c r="M24">
        <v>71</v>
      </c>
      <c r="N24" t="s">
        <v>2724</v>
      </c>
      <c r="O24">
        <v>6.900000125</v>
      </c>
    </row>
    <row r="25" spans="1:15">
      <c r="A25">
        <v>29</v>
      </c>
      <c r="B25" t="s">
        <v>2176</v>
      </c>
      <c r="C25" t="s">
        <v>2222</v>
      </c>
      <c r="D25" t="s">
        <v>2659</v>
      </c>
      <c r="E25" t="s">
        <v>2659</v>
      </c>
      <c r="F25" t="s">
        <v>2218</v>
      </c>
      <c r="G25" t="s">
        <v>2962</v>
      </c>
      <c r="H25" t="s">
        <v>2949</v>
      </c>
      <c r="I25">
        <v>319</v>
      </c>
      <c r="J25">
        <v>305</v>
      </c>
      <c r="K25">
        <v>397</v>
      </c>
      <c r="L25" s="240" t="s">
        <v>2974</v>
      </c>
      <c r="M25">
        <v>71</v>
      </c>
      <c r="N25" t="s">
        <v>2724</v>
      </c>
      <c r="O25">
        <v>6.900000125</v>
      </c>
    </row>
    <row r="26" spans="1:15">
      <c r="A26">
        <v>30</v>
      </c>
      <c r="B26" t="s">
        <v>2176</v>
      </c>
      <c r="C26" t="s">
        <v>2223</v>
      </c>
      <c r="D26" t="s">
        <v>2659</v>
      </c>
      <c r="E26" t="s">
        <v>2659</v>
      </c>
      <c r="F26" t="s">
        <v>2218</v>
      </c>
      <c r="G26" t="s">
        <v>2962</v>
      </c>
      <c r="H26" t="s">
        <v>2949</v>
      </c>
      <c r="I26">
        <v>273</v>
      </c>
      <c r="J26">
        <v>667</v>
      </c>
      <c r="K26">
        <v>166</v>
      </c>
      <c r="L26" s="240" t="s">
        <v>2975</v>
      </c>
      <c r="M26">
        <v>71</v>
      </c>
      <c r="N26" t="s">
        <v>2724</v>
      </c>
      <c r="O26">
        <v>6.900000125</v>
      </c>
    </row>
    <row r="27" spans="1:15">
      <c r="A27">
        <v>32</v>
      </c>
      <c r="B27" t="s">
        <v>2176</v>
      </c>
      <c r="C27" t="s">
        <v>2225</v>
      </c>
      <c r="D27" t="s">
        <v>2659</v>
      </c>
      <c r="E27" t="s">
        <v>2659</v>
      </c>
      <c r="F27" t="s">
        <v>2218</v>
      </c>
      <c r="G27" t="s">
        <v>2962</v>
      </c>
      <c r="H27" t="s">
        <v>2949</v>
      </c>
      <c r="I27">
        <v>193</v>
      </c>
      <c r="J27">
        <v>743</v>
      </c>
      <c r="K27">
        <v>293</v>
      </c>
      <c r="L27" s="240" t="s">
        <v>2976</v>
      </c>
      <c r="M27">
        <v>71</v>
      </c>
      <c r="N27" t="s">
        <v>2724</v>
      </c>
      <c r="O27">
        <v>6.900000125</v>
      </c>
    </row>
    <row r="28" spans="1:15">
      <c r="A28">
        <v>33</v>
      </c>
      <c r="B28" t="s">
        <v>2176</v>
      </c>
      <c r="C28" t="s">
        <v>2226</v>
      </c>
      <c r="D28" t="s">
        <v>2659</v>
      </c>
      <c r="E28" t="s">
        <v>2659</v>
      </c>
      <c r="F28" t="s">
        <v>2227</v>
      </c>
      <c r="G28" t="s">
        <v>2948</v>
      </c>
      <c r="H28" t="s">
        <v>2977</v>
      </c>
      <c r="I28">
        <v>218</v>
      </c>
      <c r="J28">
        <v>769</v>
      </c>
      <c r="K28">
        <v>139</v>
      </c>
      <c r="L28" s="240" t="s">
        <v>2978</v>
      </c>
      <c r="M28">
        <v>67</v>
      </c>
      <c r="N28" t="s">
        <v>2735</v>
      </c>
      <c r="O28">
        <v>6.5250000359999998</v>
      </c>
    </row>
    <row r="29" spans="1:15">
      <c r="A29">
        <v>34</v>
      </c>
      <c r="B29" t="s">
        <v>2176</v>
      </c>
      <c r="C29" t="s">
        <v>2229</v>
      </c>
      <c r="D29" t="s">
        <v>2659</v>
      </c>
      <c r="E29" t="s">
        <v>2659</v>
      </c>
      <c r="F29" t="s">
        <v>2227</v>
      </c>
      <c r="G29" t="s">
        <v>2948</v>
      </c>
      <c r="H29" t="s">
        <v>2977</v>
      </c>
      <c r="I29">
        <v>104</v>
      </c>
      <c r="J29">
        <v>753</v>
      </c>
      <c r="K29">
        <v>487</v>
      </c>
      <c r="L29" s="240" t="s">
        <v>2979</v>
      </c>
      <c r="M29">
        <v>67</v>
      </c>
      <c r="N29" t="s">
        <v>2735</v>
      </c>
      <c r="O29">
        <v>6.5250000359999998</v>
      </c>
    </row>
    <row r="30" spans="1:15">
      <c r="A30">
        <v>35</v>
      </c>
      <c r="B30" t="s">
        <v>2176</v>
      </c>
      <c r="C30" t="s">
        <v>2232</v>
      </c>
      <c r="D30" t="s">
        <v>2659</v>
      </c>
      <c r="E30" t="s">
        <v>2659</v>
      </c>
      <c r="F30" t="s">
        <v>2227</v>
      </c>
      <c r="G30" t="s">
        <v>2948</v>
      </c>
      <c r="H30" t="s">
        <v>2977</v>
      </c>
      <c r="I30">
        <v>188</v>
      </c>
      <c r="J30">
        <v>776</v>
      </c>
      <c r="K30">
        <v>717</v>
      </c>
      <c r="L30" s="240" t="s">
        <v>2980</v>
      </c>
      <c r="M30">
        <v>67</v>
      </c>
      <c r="N30" t="s">
        <v>2735</v>
      </c>
      <c r="O30">
        <v>6.5250000359999998</v>
      </c>
    </row>
    <row r="31" spans="1:15">
      <c r="A31">
        <v>36</v>
      </c>
      <c r="B31" t="s">
        <v>2176</v>
      </c>
      <c r="C31" t="s">
        <v>2233</v>
      </c>
      <c r="D31" t="s">
        <v>2659</v>
      </c>
      <c r="E31" t="s">
        <v>2659</v>
      </c>
      <c r="F31" t="s">
        <v>2227</v>
      </c>
      <c r="G31" t="s">
        <v>2948</v>
      </c>
      <c r="H31" t="s">
        <v>2977</v>
      </c>
      <c r="I31">
        <v>379</v>
      </c>
      <c r="J31">
        <v>799</v>
      </c>
      <c r="K31">
        <v>767</v>
      </c>
      <c r="L31" s="240" t="s">
        <v>2981</v>
      </c>
      <c r="M31">
        <v>67</v>
      </c>
      <c r="N31" t="s">
        <v>2735</v>
      </c>
      <c r="O31">
        <v>6.5250000359999998</v>
      </c>
    </row>
    <row r="32" spans="1:15">
      <c r="A32">
        <v>37</v>
      </c>
      <c r="B32" t="s">
        <v>2176</v>
      </c>
      <c r="C32" t="s">
        <v>2235</v>
      </c>
      <c r="D32" t="s">
        <v>2659</v>
      </c>
      <c r="E32" t="s">
        <v>2659</v>
      </c>
      <c r="F32" t="s">
        <v>2227</v>
      </c>
      <c r="G32" t="s">
        <v>2948</v>
      </c>
      <c r="H32" t="s">
        <v>2977</v>
      </c>
      <c r="I32">
        <v>66</v>
      </c>
      <c r="J32">
        <v>722</v>
      </c>
      <c r="K32">
        <v>473</v>
      </c>
      <c r="L32" s="240" t="s">
        <v>2982</v>
      </c>
      <c r="M32">
        <v>67</v>
      </c>
      <c r="N32" t="s">
        <v>2735</v>
      </c>
      <c r="O32">
        <v>6.5250000359999998</v>
      </c>
    </row>
    <row r="33" spans="1:15">
      <c r="A33">
        <v>38</v>
      </c>
      <c r="B33" t="s">
        <v>2176</v>
      </c>
      <c r="C33" t="s">
        <v>2237</v>
      </c>
      <c r="D33" t="s">
        <v>2659</v>
      </c>
      <c r="E33" t="s">
        <v>2659</v>
      </c>
      <c r="F33" t="s">
        <v>2227</v>
      </c>
      <c r="G33" t="s">
        <v>2948</v>
      </c>
      <c r="H33" t="s">
        <v>2977</v>
      </c>
      <c r="I33">
        <v>625</v>
      </c>
      <c r="J33">
        <v>796</v>
      </c>
      <c r="K33">
        <v>111</v>
      </c>
      <c r="L33" s="240" t="s">
        <v>2983</v>
      </c>
      <c r="M33">
        <v>67</v>
      </c>
      <c r="N33" t="s">
        <v>2735</v>
      </c>
      <c r="O33">
        <v>6.5250000359999998</v>
      </c>
    </row>
    <row r="34" spans="1:15">
      <c r="A34">
        <v>40</v>
      </c>
      <c r="B34" t="s">
        <v>2176</v>
      </c>
      <c r="C34" t="s">
        <v>2241</v>
      </c>
      <c r="D34" t="s">
        <v>2659</v>
      </c>
      <c r="E34" t="s">
        <v>2659</v>
      </c>
      <c r="F34" t="s">
        <v>2227</v>
      </c>
      <c r="G34" t="s">
        <v>2948</v>
      </c>
      <c r="H34" t="s">
        <v>2977</v>
      </c>
      <c r="I34">
        <v>88</v>
      </c>
      <c r="J34">
        <v>782</v>
      </c>
      <c r="K34">
        <v>646</v>
      </c>
      <c r="L34" s="240" t="s">
        <v>2984</v>
      </c>
      <c r="M34">
        <v>67</v>
      </c>
      <c r="N34" t="s">
        <v>2735</v>
      </c>
      <c r="O34">
        <v>6.5250000359999998</v>
      </c>
    </row>
    <row r="35" spans="1:15">
      <c r="A35">
        <v>41</v>
      </c>
      <c r="B35" t="s">
        <v>2176</v>
      </c>
      <c r="C35" t="s">
        <v>2243</v>
      </c>
      <c r="D35" t="s">
        <v>2659</v>
      </c>
      <c r="E35" t="s">
        <v>2659</v>
      </c>
      <c r="F35" t="s">
        <v>2244</v>
      </c>
      <c r="G35" t="s">
        <v>2948</v>
      </c>
      <c r="H35" t="s">
        <v>2977</v>
      </c>
      <c r="I35">
        <v>256</v>
      </c>
      <c r="J35">
        <v>820</v>
      </c>
      <c r="K35">
        <v>43</v>
      </c>
      <c r="L35" s="240" t="s">
        <v>2985</v>
      </c>
      <c r="M35">
        <v>67</v>
      </c>
      <c r="N35" t="s">
        <v>2744</v>
      </c>
      <c r="O35">
        <v>6.5250000359999998</v>
      </c>
    </row>
    <row r="36" spans="1:15">
      <c r="A36">
        <v>42</v>
      </c>
      <c r="B36" t="s">
        <v>2176</v>
      </c>
      <c r="C36" t="s">
        <v>2245</v>
      </c>
      <c r="D36" t="s">
        <v>2659</v>
      </c>
      <c r="E36" t="s">
        <v>2659</v>
      </c>
      <c r="F36" t="s">
        <v>2244</v>
      </c>
      <c r="G36" t="s">
        <v>2948</v>
      </c>
      <c r="H36" t="s">
        <v>2977</v>
      </c>
      <c r="I36">
        <v>341</v>
      </c>
      <c r="J36">
        <v>806</v>
      </c>
      <c r="K36">
        <v>268</v>
      </c>
      <c r="L36" s="240" t="s">
        <v>2986</v>
      </c>
      <c r="M36">
        <v>67</v>
      </c>
      <c r="N36" t="s">
        <v>2744</v>
      </c>
      <c r="O36">
        <v>6.5250000359999998</v>
      </c>
    </row>
    <row r="37" spans="1:15">
      <c r="A37">
        <v>43</v>
      </c>
      <c r="B37" t="s">
        <v>2176</v>
      </c>
      <c r="C37" t="s">
        <v>2247</v>
      </c>
      <c r="D37" t="s">
        <v>2659</v>
      </c>
      <c r="E37" t="s">
        <v>2659</v>
      </c>
      <c r="F37" t="s">
        <v>2244</v>
      </c>
      <c r="G37" t="s">
        <v>2948</v>
      </c>
      <c r="H37" t="s">
        <v>2977</v>
      </c>
      <c r="I37">
        <v>246</v>
      </c>
      <c r="J37">
        <v>758</v>
      </c>
      <c r="K37">
        <v>300</v>
      </c>
      <c r="L37" s="240" t="s">
        <v>2987</v>
      </c>
      <c r="M37">
        <v>67</v>
      </c>
      <c r="N37" t="s">
        <v>2744</v>
      </c>
      <c r="O37">
        <v>6.5250000359999998</v>
      </c>
    </row>
    <row r="38" spans="1:15">
      <c r="A38">
        <v>44</v>
      </c>
      <c r="B38" t="s">
        <v>2176</v>
      </c>
      <c r="C38" t="s">
        <v>2248</v>
      </c>
      <c r="D38" t="s">
        <v>2659</v>
      </c>
      <c r="E38" t="s">
        <v>2659</v>
      </c>
      <c r="F38" t="s">
        <v>2244</v>
      </c>
      <c r="G38" t="s">
        <v>2948</v>
      </c>
      <c r="H38" t="s">
        <v>2977</v>
      </c>
      <c r="I38">
        <v>115</v>
      </c>
      <c r="J38">
        <v>783</v>
      </c>
      <c r="K38">
        <v>823</v>
      </c>
      <c r="L38" s="240" t="s">
        <v>2988</v>
      </c>
      <c r="M38">
        <v>67</v>
      </c>
      <c r="N38" t="s">
        <v>2744</v>
      </c>
      <c r="O38">
        <v>6.5250000359999998</v>
      </c>
    </row>
    <row r="39" spans="1:15">
      <c r="A39">
        <v>45</v>
      </c>
      <c r="B39" t="s">
        <v>2176</v>
      </c>
      <c r="C39" t="s">
        <v>2249</v>
      </c>
      <c r="D39" t="s">
        <v>2659</v>
      </c>
      <c r="E39" t="s">
        <v>2659</v>
      </c>
      <c r="F39" t="s">
        <v>2244</v>
      </c>
      <c r="G39" t="s">
        <v>2948</v>
      </c>
      <c r="H39" t="s">
        <v>2977</v>
      </c>
      <c r="I39">
        <v>480</v>
      </c>
      <c r="J39">
        <v>827</v>
      </c>
      <c r="K39">
        <v>354</v>
      </c>
      <c r="L39" s="240" t="s">
        <v>2989</v>
      </c>
      <c r="M39">
        <v>67</v>
      </c>
      <c r="N39" t="s">
        <v>2744</v>
      </c>
      <c r="O39">
        <v>6.5250000359999998</v>
      </c>
    </row>
    <row r="40" spans="1:15">
      <c r="A40">
        <v>47</v>
      </c>
      <c r="B40" t="s">
        <v>2176</v>
      </c>
      <c r="C40" t="s">
        <v>2252</v>
      </c>
      <c r="D40" t="s">
        <v>2659</v>
      </c>
      <c r="E40" t="s">
        <v>2659</v>
      </c>
      <c r="F40" t="s">
        <v>2244</v>
      </c>
      <c r="G40" t="s">
        <v>2948</v>
      </c>
      <c r="H40" t="s">
        <v>2977</v>
      </c>
      <c r="I40">
        <v>110</v>
      </c>
      <c r="J40">
        <v>831</v>
      </c>
      <c r="K40">
        <v>659</v>
      </c>
      <c r="L40" s="240" t="s">
        <v>2990</v>
      </c>
      <c r="M40">
        <v>67</v>
      </c>
      <c r="N40" t="s">
        <v>2744</v>
      </c>
      <c r="O40">
        <v>6.5250000359999998</v>
      </c>
    </row>
    <row r="41" spans="1:15">
      <c r="A41">
        <v>48</v>
      </c>
      <c r="B41" t="s">
        <v>2176</v>
      </c>
      <c r="C41" t="s">
        <v>2254</v>
      </c>
      <c r="D41" t="s">
        <v>2659</v>
      </c>
      <c r="E41" t="s">
        <v>2659</v>
      </c>
      <c r="F41" t="s">
        <v>2244</v>
      </c>
      <c r="G41" t="s">
        <v>2948</v>
      </c>
      <c r="H41" t="s">
        <v>2977</v>
      </c>
      <c r="I41">
        <v>233</v>
      </c>
      <c r="J41">
        <v>828</v>
      </c>
      <c r="K41">
        <v>267</v>
      </c>
      <c r="L41" s="240" t="s">
        <v>2991</v>
      </c>
      <c r="M41">
        <v>67</v>
      </c>
      <c r="N41" t="s">
        <v>2744</v>
      </c>
      <c r="O41">
        <v>6.5250000359999998</v>
      </c>
    </row>
    <row r="42" spans="1:15">
      <c r="A42">
        <v>49</v>
      </c>
      <c r="B42" t="s">
        <v>2176</v>
      </c>
      <c r="C42" t="s">
        <v>2255</v>
      </c>
      <c r="D42" t="s">
        <v>2659</v>
      </c>
      <c r="E42" t="s">
        <v>2659</v>
      </c>
      <c r="F42" t="s">
        <v>2256</v>
      </c>
      <c r="G42" t="s">
        <v>2948</v>
      </c>
      <c r="H42" t="s">
        <v>2977</v>
      </c>
      <c r="I42">
        <v>54</v>
      </c>
      <c r="J42">
        <v>805</v>
      </c>
      <c r="K42">
        <v>812</v>
      </c>
      <c r="L42" s="240" t="s">
        <v>2992</v>
      </c>
      <c r="M42">
        <v>67</v>
      </c>
      <c r="N42" t="s">
        <v>2753</v>
      </c>
      <c r="O42">
        <v>6.5250000359999998</v>
      </c>
    </row>
    <row r="43" spans="1:15">
      <c r="A43">
        <v>51</v>
      </c>
      <c r="B43" t="s">
        <v>2176</v>
      </c>
      <c r="C43" t="s">
        <v>2258</v>
      </c>
      <c r="D43" t="s">
        <v>2659</v>
      </c>
      <c r="E43" t="s">
        <v>2659</v>
      </c>
      <c r="F43" t="s">
        <v>2256</v>
      </c>
      <c r="G43" t="s">
        <v>2948</v>
      </c>
      <c r="H43" t="s">
        <v>2977</v>
      </c>
      <c r="I43">
        <v>227</v>
      </c>
      <c r="J43">
        <v>798</v>
      </c>
      <c r="K43">
        <v>598</v>
      </c>
      <c r="L43" s="240" t="s">
        <v>2993</v>
      </c>
      <c r="M43">
        <v>67</v>
      </c>
      <c r="N43" t="s">
        <v>2753</v>
      </c>
      <c r="O43">
        <v>6.5250000359999998</v>
      </c>
    </row>
    <row r="44" spans="1:15">
      <c r="A44">
        <v>52</v>
      </c>
      <c r="B44" t="s">
        <v>2176</v>
      </c>
      <c r="C44" t="s">
        <v>2259</v>
      </c>
      <c r="D44" t="s">
        <v>2659</v>
      </c>
      <c r="E44" t="s">
        <v>2659</v>
      </c>
      <c r="F44" t="s">
        <v>2256</v>
      </c>
      <c r="G44" t="s">
        <v>2948</v>
      </c>
      <c r="H44" t="s">
        <v>2977</v>
      </c>
      <c r="I44">
        <v>237</v>
      </c>
      <c r="J44">
        <v>833</v>
      </c>
      <c r="K44">
        <v>818</v>
      </c>
      <c r="L44" s="240" t="s">
        <v>2994</v>
      </c>
      <c r="M44">
        <v>67</v>
      </c>
      <c r="N44" t="s">
        <v>2753</v>
      </c>
      <c r="O44">
        <v>6.5250000359999998</v>
      </c>
    </row>
    <row r="45" spans="1:15">
      <c r="A45">
        <v>53</v>
      </c>
      <c r="B45" t="s">
        <v>2176</v>
      </c>
      <c r="C45" t="s">
        <v>2260</v>
      </c>
      <c r="D45" t="s">
        <v>2659</v>
      </c>
      <c r="E45" t="s">
        <v>2659</v>
      </c>
      <c r="F45" t="s">
        <v>2256</v>
      </c>
      <c r="G45" t="s">
        <v>2948</v>
      </c>
      <c r="H45" t="s">
        <v>2977</v>
      </c>
      <c r="I45">
        <v>172</v>
      </c>
      <c r="J45">
        <v>734</v>
      </c>
      <c r="K45">
        <v>759</v>
      </c>
      <c r="L45" s="240" t="s">
        <v>2995</v>
      </c>
      <c r="M45">
        <v>67</v>
      </c>
      <c r="N45" t="s">
        <v>2753</v>
      </c>
      <c r="O45">
        <v>6.5250000359999998</v>
      </c>
    </row>
    <row r="46" spans="1:15">
      <c r="A46">
        <v>55</v>
      </c>
      <c r="B46" t="s">
        <v>2176</v>
      </c>
      <c r="C46" t="s">
        <v>2262</v>
      </c>
      <c r="D46" t="s">
        <v>2659</v>
      </c>
      <c r="E46" t="s">
        <v>2659</v>
      </c>
      <c r="F46" t="s">
        <v>2256</v>
      </c>
      <c r="G46" t="s">
        <v>2948</v>
      </c>
      <c r="H46" t="s">
        <v>2977</v>
      </c>
      <c r="I46">
        <v>86</v>
      </c>
      <c r="J46">
        <v>839</v>
      </c>
      <c r="K46">
        <v>260</v>
      </c>
      <c r="L46" s="240" t="s">
        <v>2996</v>
      </c>
      <c r="M46">
        <v>67</v>
      </c>
      <c r="N46" t="s">
        <v>2753</v>
      </c>
      <c r="O46">
        <v>6.5250000359999998</v>
      </c>
    </row>
    <row r="47" spans="1:15">
      <c r="A47">
        <v>56</v>
      </c>
      <c r="B47" t="s">
        <v>2176</v>
      </c>
      <c r="C47" t="s">
        <v>2263</v>
      </c>
      <c r="D47" t="s">
        <v>2659</v>
      </c>
      <c r="E47" t="s">
        <v>2659</v>
      </c>
      <c r="F47" t="s">
        <v>2256</v>
      </c>
      <c r="G47" t="s">
        <v>2948</v>
      </c>
      <c r="H47" t="s">
        <v>2977</v>
      </c>
      <c r="I47">
        <v>107</v>
      </c>
      <c r="J47">
        <v>760</v>
      </c>
      <c r="K47">
        <v>493</v>
      </c>
      <c r="L47" s="240" t="s">
        <v>2997</v>
      </c>
      <c r="M47">
        <v>67</v>
      </c>
      <c r="N47" t="s">
        <v>2753</v>
      </c>
      <c r="O47">
        <v>6.5250000359999998</v>
      </c>
    </row>
    <row r="48" spans="1:15">
      <c r="A48">
        <v>57</v>
      </c>
      <c r="B48" t="s">
        <v>2176</v>
      </c>
      <c r="C48" t="s">
        <v>2264</v>
      </c>
      <c r="D48" t="s">
        <v>2659</v>
      </c>
      <c r="E48" t="s">
        <v>2659</v>
      </c>
      <c r="F48" t="s">
        <v>2265</v>
      </c>
      <c r="G48" t="s">
        <v>2948</v>
      </c>
      <c r="H48" t="s">
        <v>2977</v>
      </c>
      <c r="I48">
        <v>41</v>
      </c>
      <c r="J48">
        <v>830</v>
      </c>
      <c r="K48">
        <v>347</v>
      </c>
      <c r="L48" s="240" t="s">
        <v>2998</v>
      </c>
      <c r="M48">
        <v>67</v>
      </c>
      <c r="N48" t="s">
        <v>2761</v>
      </c>
      <c r="O48">
        <v>6.5250000359999998</v>
      </c>
    </row>
    <row r="49" spans="1:15">
      <c r="A49">
        <v>58</v>
      </c>
      <c r="B49" t="s">
        <v>2176</v>
      </c>
      <c r="C49" t="s">
        <v>2267</v>
      </c>
      <c r="D49" t="s">
        <v>2659</v>
      </c>
      <c r="E49" t="s">
        <v>2659</v>
      </c>
      <c r="F49" t="s">
        <v>2265</v>
      </c>
      <c r="G49" t="s">
        <v>2948</v>
      </c>
      <c r="H49" t="s">
        <v>2977</v>
      </c>
      <c r="I49">
        <v>481</v>
      </c>
      <c r="J49">
        <v>725</v>
      </c>
      <c r="K49">
        <v>735</v>
      </c>
      <c r="L49" s="240" t="s">
        <v>2999</v>
      </c>
      <c r="M49">
        <v>67</v>
      </c>
      <c r="N49" t="s">
        <v>2761</v>
      </c>
      <c r="O49">
        <v>6.5250000359999998</v>
      </c>
    </row>
    <row r="50" spans="1:15">
      <c r="A50">
        <v>59</v>
      </c>
      <c r="B50" t="s">
        <v>2176</v>
      </c>
      <c r="C50" t="s">
        <v>2268</v>
      </c>
      <c r="D50" t="s">
        <v>2659</v>
      </c>
      <c r="E50" t="s">
        <v>2659</v>
      </c>
      <c r="F50" t="s">
        <v>2265</v>
      </c>
      <c r="G50" t="s">
        <v>2948</v>
      </c>
      <c r="H50" t="s">
        <v>2977</v>
      </c>
      <c r="I50">
        <v>261</v>
      </c>
      <c r="J50">
        <v>721</v>
      </c>
      <c r="K50">
        <v>558</v>
      </c>
      <c r="L50" s="240" t="s">
        <v>3000</v>
      </c>
      <c r="M50">
        <v>67</v>
      </c>
      <c r="N50" t="s">
        <v>2761</v>
      </c>
      <c r="O50">
        <v>6.5250000359999998</v>
      </c>
    </row>
    <row r="51" spans="1:15">
      <c r="A51">
        <v>60</v>
      </c>
      <c r="B51" t="s">
        <v>2176</v>
      </c>
      <c r="C51" t="s">
        <v>2269</v>
      </c>
      <c r="D51" t="s">
        <v>2659</v>
      </c>
      <c r="E51" t="s">
        <v>2659</v>
      </c>
      <c r="F51" t="s">
        <v>2265</v>
      </c>
      <c r="G51" t="s">
        <v>2948</v>
      </c>
      <c r="H51" t="s">
        <v>2977</v>
      </c>
      <c r="I51">
        <v>152</v>
      </c>
      <c r="J51">
        <v>763</v>
      </c>
      <c r="K51">
        <v>751</v>
      </c>
      <c r="L51" s="240" t="s">
        <v>3001</v>
      </c>
      <c r="M51">
        <v>67</v>
      </c>
      <c r="N51" t="s">
        <v>2761</v>
      </c>
      <c r="O51">
        <v>6.5250000359999998</v>
      </c>
    </row>
    <row r="52" spans="1:15">
      <c r="A52">
        <v>61</v>
      </c>
      <c r="B52" t="s">
        <v>2176</v>
      </c>
      <c r="C52" t="s">
        <v>2271</v>
      </c>
      <c r="D52" t="s">
        <v>2659</v>
      </c>
      <c r="E52" t="s">
        <v>2659</v>
      </c>
      <c r="F52" t="s">
        <v>2265</v>
      </c>
      <c r="G52" t="s">
        <v>2948</v>
      </c>
      <c r="H52" t="s">
        <v>2977</v>
      </c>
      <c r="I52">
        <v>191</v>
      </c>
      <c r="J52">
        <v>775</v>
      </c>
      <c r="K52">
        <v>748</v>
      </c>
      <c r="L52" s="240" t="s">
        <v>3002</v>
      </c>
      <c r="M52">
        <v>67</v>
      </c>
      <c r="N52" t="s">
        <v>2761</v>
      </c>
      <c r="O52">
        <v>6.5250000359999998</v>
      </c>
    </row>
    <row r="53" spans="1:15">
      <c r="A53">
        <v>63</v>
      </c>
      <c r="B53" t="s">
        <v>2176</v>
      </c>
      <c r="C53" t="s">
        <v>2274</v>
      </c>
      <c r="D53" t="s">
        <v>2659</v>
      </c>
      <c r="E53" t="s">
        <v>2659</v>
      </c>
      <c r="F53" t="s">
        <v>2265</v>
      </c>
      <c r="G53" t="s">
        <v>2948</v>
      </c>
      <c r="H53" t="s">
        <v>2977</v>
      </c>
      <c r="I53">
        <v>49</v>
      </c>
      <c r="J53">
        <v>733</v>
      </c>
      <c r="K53">
        <v>629</v>
      </c>
      <c r="L53" s="240" t="s">
        <v>3003</v>
      </c>
      <c r="M53">
        <v>67</v>
      </c>
      <c r="N53" t="s">
        <v>2761</v>
      </c>
      <c r="O53">
        <v>6.5250000359999998</v>
      </c>
    </row>
    <row r="54" spans="1:15">
      <c r="A54">
        <v>64</v>
      </c>
      <c r="B54" t="s">
        <v>2176</v>
      </c>
      <c r="C54" t="s">
        <v>2275</v>
      </c>
      <c r="D54" t="s">
        <v>2659</v>
      </c>
      <c r="E54" t="s">
        <v>2659</v>
      </c>
      <c r="F54" t="s">
        <v>2265</v>
      </c>
      <c r="G54" t="s">
        <v>2948</v>
      </c>
      <c r="H54" t="s">
        <v>2977</v>
      </c>
      <c r="I54">
        <v>347</v>
      </c>
      <c r="J54">
        <v>765</v>
      </c>
      <c r="K54">
        <v>84</v>
      </c>
      <c r="L54" s="240" t="s">
        <v>3004</v>
      </c>
      <c r="M54">
        <v>67</v>
      </c>
      <c r="N54" t="s">
        <v>2761</v>
      </c>
      <c r="O54">
        <v>6.5250000359999998</v>
      </c>
    </row>
    <row r="55" spans="1:15">
      <c r="A55">
        <v>65</v>
      </c>
      <c r="B55" t="s">
        <v>2276</v>
      </c>
      <c r="C55" t="s">
        <v>2277</v>
      </c>
      <c r="D55" t="s">
        <v>2659</v>
      </c>
      <c r="E55" t="s">
        <v>2659</v>
      </c>
      <c r="F55" t="s">
        <v>2278</v>
      </c>
      <c r="G55" t="s">
        <v>3005</v>
      </c>
      <c r="H55" t="s">
        <v>2977</v>
      </c>
      <c r="I55">
        <v>495</v>
      </c>
      <c r="J55">
        <v>731</v>
      </c>
      <c r="K55">
        <v>586</v>
      </c>
      <c r="L55" s="240" t="s">
        <v>3006</v>
      </c>
      <c r="M55">
        <v>68</v>
      </c>
      <c r="N55" t="s">
        <v>2770</v>
      </c>
      <c r="O55">
        <v>6.900000125</v>
      </c>
    </row>
    <row r="56" spans="1:15">
      <c r="A56">
        <v>66</v>
      </c>
      <c r="B56" t="s">
        <v>2276</v>
      </c>
      <c r="C56" t="s">
        <v>2279</v>
      </c>
      <c r="D56" t="s">
        <v>2659</v>
      </c>
      <c r="E56" t="s">
        <v>2659</v>
      </c>
      <c r="F56" t="s">
        <v>2278</v>
      </c>
      <c r="G56" t="s">
        <v>3005</v>
      </c>
      <c r="H56" t="s">
        <v>2977</v>
      </c>
      <c r="I56">
        <v>247</v>
      </c>
      <c r="J56">
        <v>816</v>
      </c>
      <c r="K56">
        <v>851</v>
      </c>
      <c r="L56" s="240" t="s">
        <v>3007</v>
      </c>
      <c r="M56">
        <v>68</v>
      </c>
      <c r="N56" t="s">
        <v>2770</v>
      </c>
      <c r="O56">
        <v>6.900000125</v>
      </c>
    </row>
    <row r="57" spans="1:15">
      <c r="A57">
        <v>68</v>
      </c>
      <c r="B57" t="s">
        <v>2276</v>
      </c>
      <c r="C57" t="s">
        <v>2281</v>
      </c>
      <c r="D57" t="s">
        <v>2659</v>
      </c>
      <c r="E57" t="s">
        <v>2659</v>
      </c>
      <c r="F57" t="s">
        <v>2278</v>
      </c>
      <c r="G57" t="s">
        <v>3005</v>
      </c>
      <c r="H57" t="s">
        <v>2977</v>
      </c>
      <c r="I57">
        <v>63</v>
      </c>
      <c r="J57">
        <v>815</v>
      </c>
      <c r="K57">
        <v>467</v>
      </c>
      <c r="L57" s="240" t="s">
        <v>3008</v>
      </c>
      <c r="M57">
        <v>68</v>
      </c>
      <c r="N57" t="s">
        <v>2770</v>
      </c>
      <c r="O57">
        <v>6.900000125</v>
      </c>
    </row>
    <row r="58" spans="1:15">
      <c r="A58">
        <v>69</v>
      </c>
      <c r="B58" t="s">
        <v>2276</v>
      </c>
      <c r="C58" t="s">
        <v>2282</v>
      </c>
      <c r="D58" t="s">
        <v>2659</v>
      </c>
      <c r="E58" t="s">
        <v>2659</v>
      </c>
      <c r="F58" t="s">
        <v>2278</v>
      </c>
      <c r="G58" t="s">
        <v>3005</v>
      </c>
      <c r="H58" t="s">
        <v>3009</v>
      </c>
      <c r="I58">
        <v>382</v>
      </c>
      <c r="J58">
        <v>741</v>
      </c>
      <c r="K58">
        <v>766</v>
      </c>
      <c r="L58" s="240" t="s">
        <v>3010</v>
      </c>
      <c r="M58">
        <v>69</v>
      </c>
      <c r="N58" t="s">
        <v>2770</v>
      </c>
      <c r="O58">
        <v>6.900000125</v>
      </c>
    </row>
    <row r="59" spans="1:15">
      <c r="A59">
        <v>70</v>
      </c>
      <c r="B59" t="s">
        <v>2276</v>
      </c>
      <c r="C59" t="s">
        <v>2283</v>
      </c>
      <c r="D59" t="s">
        <v>2659</v>
      </c>
      <c r="E59" t="s">
        <v>2659</v>
      </c>
      <c r="F59" t="s">
        <v>2278</v>
      </c>
      <c r="G59" t="s">
        <v>3005</v>
      </c>
      <c r="H59" t="s">
        <v>3009</v>
      </c>
      <c r="I59">
        <v>278</v>
      </c>
      <c r="J59">
        <v>294</v>
      </c>
      <c r="K59">
        <v>430</v>
      </c>
      <c r="L59" s="240" t="s">
        <v>3011</v>
      </c>
      <c r="M59">
        <v>69</v>
      </c>
      <c r="N59" t="s">
        <v>2770</v>
      </c>
      <c r="O59">
        <v>6.900000125</v>
      </c>
    </row>
    <row r="60" spans="1:15">
      <c r="A60">
        <v>71</v>
      </c>
      <c r="B60" t="s">
        <v>2276</v>
      </c>
      <c r="C60" t="s">
        <v>2284</v>
      </c>
      <c r="D60" t="s">
        <v>2659</v>
      </c>
      <c r="E60" t="s">
        <v>2659</v>
      </c>
      <c r="F60" t="s">
        <v>2278</v>
      </c>
      <c r="G60" t="s">
        <v>3005</v>
      </c>
      <c r="H60" t="s">
        <v>3009</v>
      </c>
      <c r="I60">
        <v>138</v>
      </c>
      <c r="J60">
        <v>761</v>
      </c>
      <c r="K60">
        <v>174</v>
      </c>
      <c r="L60" s="240" t="s">
        <v>3012</v>
      </c>
      <c r="M60">
        <v>69</v>
      </c>
      <c r="N60" t="s">
        <v>2770</v>
      </c>
      <c r="O60">
        <v>6.900000125</v>
      </c>
    </row>
    <row r="61" spans="1:15">
      <c r="A61">
        <v>72</v>
      </c>
      <c r="B61" t="s">
        <v>2276</v>
      </c>
      <c r="C61" t="s">
        <v>2285</v>
      </c>
      <c r="D61" t="s">
        <v>2659</v>
      </c>
      <c r="E61" t="s">
        <v>2659</v>
      </c>
      <c r="F61" t="s">
        <v>2278</v>
      </c>
      <c r="G61" t="s">
        <v>3005</v>
      </c>
      <c r="H61" t="s">
        <v>3009</v>
      </c>
      <c r="I61">
        <v>431</v>
      </c>
      <c r="J61">
        <v>780</v>
      </c>
      <c r="K61">
        <v>714</v>
      </c>
      <c r="L61" s="240" t="s">
        <v>3013</v>
      </c>
      <c r="M61">
        <v>69</v>
      </c>
      <c r="N61" t="s">
        <v>2770</v>
      </c>
      <c r="O61">
        <v>6.900000125</v>
      </c>
    </row>
    <row r="62" spans="1:15">
      <c r="A62">
        <v>73</v>
      </c>
      <c r="B62" t="s">
        <v>2276</v>
      </c>
      <c r="C62" t="s">
        <v>2286</v>
      </c>
      <c r="D62" t="s">
        <v>2659</v>
      </c>
      <c r="E62" t="s">
        <v>2659</v>
      </c>
      <c r="F62" t="s">
        <v>2287</v>
      </c>
      <c r="G62" t="s">
        <v>3005</v>
      </c>
      <c r="H62" t="s">
        <v>3009</v>
      </c>
      <c r="I62">
        <v>321</v>
      </c>
      <c r="J62">
        <v>730</v>
      </c>
      <c r="K62">
        <v>726</v>
      </c>
      <c r="L62" s="240" t="s">
        <v>3014</v>
      </c>
      <c r="M62">
        <v>69</v>
      </c>
      <c r="N62" t="s">
        <v>2779</v>
      </c>
      <c r="O62">
        <v>6.900000125</v>
      </c>
    </row>
    <row r="63" spans="1:15">
      <c r="A63">
        <v>74</v>
      </c>
      <c r="B63" t="s">
        <v>2276</v>
      </c>
      <c r="C63" t="s">
        <v>2288</v>
      </c>
      <c r="D63" t="s">
        <v>2659</v>
      </c>
      <c r="E63" t="s">
        <v>2659</v>
      </c>
      <c r="F63" t="s">
        <v>2287</v>
      </c>
      <c r="G63" t="s">
        <v>3005</v>
      </c>
      <c r="H63" t="s">
        <v>3009</v>
      </c>
      <c r="I63">
        <v>329</v>
      </c>
      <c r="J63">
        <v>825</v>
      </c>
      <c r="K63">
        <v>866</v>
      </c>
      <c r="L63" s="240" t="s">
        <v>3015</v>
      </c>
      <c r="M63">
        <v>69</v>
      </c>
      <c r="N63" t="s">
        <v>2779</v>
      </c>
      <c r="O63">
        <v>6.900000125</v>
      </c>
    </row>
    <row r="64" spans="1:15">
      <c r="A64">
        <v>75</v>
      </c>
      <c r="B64" t="s">
        <v>2276</v>
      </c>
      <c r="C64" t="s">
        <v>2289</v>
      </c>
      <c r="D64" t="s">
        <v>2659</v>
      </c>
      <c r="E64" t="s">
        <v>2659</v>
      </c>
      <c r="F64" t="s">
        <v>2287</v>
      </c>
      <c r="G64" t="s">
        <v>3005</v>
      </c>
      <c r="H64" t="s">
        <v>3009</v>
      </c>
      <c r="I64">
        <v>215</v>
      </c>
      <c r="J64">
        <v>840</v>
      </c>
      <c r="K64">
        <v>705</v>
      </c>
      <c r="L64" s="240" t="s">
        <v>3016</v>
      </c>
      <c r="M64">
        <v>69</v>
      </c>
      <c r="N64" t="s">
        <v>2779</v>
      </c>
      <c r="O64">
        <v>6.900000125</v>
      </c>
    </row>
    <row r="65" spans="1:15">
      <c r="A65">
        <v>76</v>
      </c>
      <c r="B65" t="s">
        <v>2276</v>
      </c>
      <c r="C65" t="s">
        <v>2290</v>
      </c>
      <c r="D65" t="s">
        <v>2659</v>
      </c>
      <c r="E65" t="s">
        <v>2659</v>
      </c>
      <c r="F65" t="s">
        <v>2287</v>
      </c>
      <c r="G65" t="s">
        <v>3005</v>
      </c>
      <c r="H65" t="s">
        <v>3009</v>
      </c>
      <c r="I65">
        <v>60</v>
      </c>
      <c r="J65">
        <v>770</v>
      </c>
      <c r="K65">
        <v>601</v>
      </c>
      <c r="L65" s="240" t="s">
        <v>3017</v>
      </c>
      <c r="M65">
        <v>69</v>
      </c>
      <c r="N65" t="s">
        <v>2779</v>
      </c>
      <c r="O65">
        <v>6.900000125</v>
      </c>
    </row>
    <row r="66" spans="1:15">
      <c r="A66">
        <v>78</v>
      </c>
      <c r="B66" t="s">
        <v>2276</v>
      </c>
      <c r="C66" t="s">
        <v>2292</v>
      </c>
      <c r="D66" t="s">
        <v>2659</v>
      </c>
      <c r="E66" t="s">
        <v>2659</v>
      </c>
      <c r="F66" t="s">
        <v>2287</v>
      </c>
      <c r="G66" t="s">
        <v>3005</v>
      </c>
      <c r="H66" t="s">
        <v>3009</v>
      </c>
      <c r="I66">
        <v>97</v>
      </c>
      <c r="J66">
        <v>696</v>
      </c>
      <c r="K66">
        <v>157</v>
      </c>
      <c r="L66" s="240" t="s">
        <v>3018</v>
      </c>
      <c r="M66">
        <v>69</v>
      </c>
      <c r="N66" t="s">
        <v>2779</v>
      </c>
      <c r="O66">
        <v>6.900000125</v>
      </c>
    </row>
    <row r="67" spans="1:15">
      <c r="A67">
        <v>79</v>
      </c>
      <c r="B67" t="s">
        <v>2276</v>
      </c>
      <c r="C67" t="s">
        <v>2293</v>
      </c>
      <c r="D67" t="s">
        <v>2659</v>
      </c>
      <c r="E67" t="s">
        <v>2659</v>
      </c>
      <c r="F67" t="s">
        <v>2287</v>
      </c>
      <c r="G67" t="s">
        <v>3005</v>
      </c>
      <c r="H67" t="s">
        <v>3009</v>
      </c>
      <c r="I67">
        <v>120</v>
      </c>
      <c r="J67">
        <v>270</v>
      </c>
      <c r="K67">
        <v>226</v>
      </c>
      <c r="L67" s="240" t="s">
        <v>3019</v>
      </c>
      <c r="M67">
        <v>69</v>
      </c>
      <c r="N67" t="s">
        <v>2779</v>
      </c>
      <c r="O67">
        <v>6.900000125</v>
      </c>
    </row>
    <row r="68" spans="1:15">
      <c r="A68">
        <v>80</v>
      </c>
      <c r="B68" t="s">
        <v>2276</v>
      </c>
      <c r="C68" t="s">
        <v>2294</v>
      </c>
      <c r="D68" t="s">
        <v>2659</v>
      </c>
      <c r="E68" t="s">
        <v>2659</v>
      </c>
      <c r="F68" t="s">
        <v>2287</v>
      </c>
      <c r="G68" t="s">
        <v>3005</v>
      </c>
      <c r="H68" t="s">
        <v>3009</v>
      </c>
      <c r="I68">
        <v>24</v>
      </c>
      <c r="J68">
        <v>726</v>
      </c>
      <c r="K68">
        <v>855</v>
      </c>
      <c r="L68" s="240" t="s">
        <v>3020</v>
      </c>
      <c r="M68">
        <v>69</v>
      </c>
      <c r="N68" t="s">
        <v>2779</v>
      </c>
      <c r="O68">
        <v>6.900000125</v>
      </c>
    </row>
    <row r="69" spans="1:15">
      <c r="A69">
        <v>81</v>
      </c>
      <c r="B69" t="s">
        <v>2276</v>
      </c>
      <c r="C69" t="s">
        <v>2295</v>
      </c>
      <c r="D69" t="s">
        <v>2659</v>
      </c>
      <c r="E69" t="s">
        <v>2659</v>
      </c>
      <c r="F69" t="s">
        <v>2296</v>
      </c>
      <c r="G69" t="s">
        <v>3005</v>
      </c>
      <c r="H69" t="s">
        <v>3009</v>
      </c>
      <c r="I69">
        <v>312</v>
      </c>
      <c r="J69">
        <v>739</v>
      </c>
      <c r="K69">
        <v>413</v>
      </c>
      <c r="L69" s="240" t="s">
        <v>3021</v>
      </c>
      <c r="M69">
        <v>69</v>
      </c>
      <c r="N69" t="s">
        <v>2788</v>
      </c>
      <c r="O69">
        <v>12.563016860999999</v>
      </c>
    </row>
    <row r="70" spans="1:15">
      <c r="A70">
        <v>82</v>
      </c>
      <c r="B70" t="s">
        <v>2276</v>
      </c>
      <c r="C70" t="s">
        <v>2298</v>
      </c>
      <c r="D70" t="s">
        <v>2659</v>
      </c>
      <c r="E70" t="s">
        <v>2659</v>
      </c>
      <c r="F70" t="s">
        <v>2296</v>
      </c>
      <c r="G70" t="s">
        <v>3005</v>
      </c>
      <c r="H70" t="s">
        <v>3009</v>
      </c>
      <c r="I70">
        <v>356</v>
      </c>
      <c r="J70">
        <v>800</v>
      </c>
      <c r="K70">
        <v>370</v>
      </c>
      <c r="L70" s="240" t="s">
        <v>3022</v>
      </c>
      <c r="M70">
        <v>69</v>
      </c>
      <c r="N70" t="s">
        <v>2788</v>
      </c>
      <c r="O70">
        <v>12.563016860999999</v>
      </c>
    </row>
    <row r="71" spans="1:15">
      <c r="A71">
        <v>83</v>
      </c>
      <c r="B71" t="s">
        <v>2276</v>
      </c>
      <c r="C71" t="s">
        <v>2299</v>
      </c>
      <c r="D71" t="s">
        <v>2659</v>
      </c>
      <c r="E71" t="s">
        <v>2659</v>
      </c>
      <c r="F71" t="s">
        <v>2296</v>
      </c>
      <c r="G71" t="s">
        <v>3005</v>
      </c>
      <c r="H71" t="s">
        <v>3009</v>
      </c>
      <c r="I71">
        <v>331</v>
      </c>
      <c r="J71">
        <v>764</v>
      </c>
      <c r="K71">
        <v>879</v>
      </c>
      <c r="L71" s="240" t="s">
        <v>3023</v>
      </c>
      <c r="M71">
        <v>69</v>
      </c>
      <c r="N71" t="s">
        <v>2788</v>
      </c>
      <c r="O71">
        <v>12.563016860999999</v>
      </c>
    </row>
    <row r="72" spans="1:15">
      <c r="A72">
        <v>84</v>
      </c>
      <c r="B72" t="s">
        <v>2276</v>
      </c>
      <c r="C72" t="s">
        <v>2300</v>
      </c>
      <c r="D72" t="s">
        <v>2659</v>
      </c>
      <c r="E72" t="s">
        <v>2659</v>
      </c>
      <c r="F72" t="s">
        <v>2296</v>
      </c>
      <c r="G72" t="s">
        <v>3005</v>
      </c>
      <c r="H72" t="s">
        <v>3009</v>
      </c>
      <c r="I72">
        <v>101</v>
      </c>
      <c r="J72">
        <v>778</v>
      </c>
      <c r="K72">
        <v>854</v>
      </c>
      <c r="L72" s="240" t="s">
        <v>3024</v>
      </c>
      <c r="M72">
        <v>69</v>
      </c>
      <c r="N72" t="s">
        <v>2788</v>
      </c>
      <c r="O72">
        <v>12.563016860999999</v>
      </c>
    </row>
    <row r="73" spans="1:15">
      <c r="A73">
        <v>86</v>
      </c>
      <c r="B73" t="s">
        <v>2276</v>
      </c>
      <c r="C73" t="s">
        <v>2302</v>
      </c>
      <c r="D73" t="s">
        <v>2659</v>
      </c>
      <c r="E73" t="s">
        <v>2659</v>
      </c>
      <c r="F73" t="s">
        <v>2296</v>
      </c>
      <c r="G73" t="s">
        <v>3005</v>
      </c>
      <c r="H73" t="s">
        <v>3009</v>
      </c>
      <c r="I73">
        <v>31</v>
      </c>
      <c r="J73">
        <v>738</v>
      </c>
      <c r="K73">
        <v>788</v>
      </c>
      <c r="L73" s="240" t="s">
        <v>3025</v>
      </c>
      <c r="M73">
        <v>69</v>
      </c>
      <c r="N73" t="s">
        <v>2788</v>
      </c>
      <c r="O73">
        <v>12.563016860999999</v>
      </c>
    </row>
    <row r="74" spans="1:15">
      <c r="A74">
        <v>87</v>
      </c>
      <c r="B74" t="s">
        <v>2276</v>
      </c>
      <c r="C74" t="s">
        <v>2303</v>
      </c>
      <c r="D74" t="s">
        <v>2659</v>
      </c>
      <c r="E74" t="s">
        <v>2659</v>
      </c>
      <c r="F74" t="s">
        <v>2296</v>
      </c>
      <c r="G74" t="s">
        <v>3005</v>
      </c>
      <c r="H74" t="s">
        <v>3009</v>
      </c>
      <c r="I74">
        <v>220</v>
      </c>
      <c r="J74">
        <v>394</v>
      </c>
      <c r="K74">
        <v>91</v>
      </c>
      <c r="L74" s="240" t="s">
        <v>3026</v>
      </c>
      <c r="M74">
        <v>69</v>
      </c>
      <c r="N74" t="s">
        <v>2788</v>
      </c>
      <c r="O74">
        <v>12.563016860999999</v>
      </c>
    </row>
    <row r="75" spans="1:15">
      <c r="A75">
        <v>88</v>
      </c>
      <c r="B75" t="s">
        <v>2276</v>
      </c>
      <c r="C75" t="s">
        <v>2304</v>
      </c>
      <c r="D75" t="s">
        <v>2659</v>
      </c>
      <c r="E75" t="s">
        <v>2659</v>
      </c>
      <c r="F75" t="s">
        <v>2296</v>
      </c>
      <c r="G75" t="s">
        <v>3005</v>
      </c>
      <c r="H75" t="s">
        <v>3009</v>
      </c>
      <c r="I75">
        <v>531</v>
      </c>
      <c r="J75">
        <v>819</v>
      </c>
      <c r="K75">
        <v>364</v>
      </c>
      <c r="L75" s="240" t="s">
        <v>3027</v>
      </c>
      <c r="M75">
        <v>69</v>
      </c>
      <c r="N75" t="s">
        <v>2788</v>
      </c>
      <c r="O75">
        <v>12.563016860999999</v>
      </c>
    </row>
    <row r="76" spans="1:15">
      <c r="A76">
        <v>89</v>
      </c>
      <c r="B76" t="s">
        <v>2276</v>
      </c>
      <c r="C76" t="s">
        <v>2305</v>
      </c>
      <c r="D76" t="s">
        <v>2659</v>
      </c>
      <c r="E76" t="s">
        <v>2659</v>
      </c>
      <c r="F76" t="s">
        <v>2306</v>
      </c>
      <c r="G76" t="s">
        <v>3005</v>
      </c>
      <c r="H76" t="s">
        <v>3009</v>
      </c>
      <c r="I76">
        <v>35</v>
      </c>
      <c r="J76">
        <v>818</v>
      </c>
      <c r="K76">
        <v>862</v>
      </c>
      <c r="L76" s="240" t="s">
        <v>3028</v>
      </c>
      <c r="M76">
        <v>69</v>
      </c>
      <c r="N76" t="s">
        <v>2797</v>
      </c>
      <c r="O76">
        <v>12.563016860999999</v>
      </c>
    </row>
    <row r="77" spans="1:15">
      <c r="A77">
        <v>90</v>
      </c>
      <c r="B77" t="s">
        <v>2276</v>
      </c>
      <c r="C77" t="s">
        <v>2307</v>
      </c>
      <c r="D77" t="s">
        <v>2659</v>
      </c>
      <c r="E77" t="s">
        <v>2659</v>
      </c>
      <c r="F77" t="s">
        <v>2306</v>
      </c>
      <c r="G77" t="s">
        <v>3005</v>
      </c>
      <c r="H77" t="s">
        <v>3009</v>
      </c>
      <c r="I77">
        <v>264</v>
      </c>
      <c r="J77">
        <v>767</v>
      </c>
      <c r="K77">
        <v>330</v>
      </c>
      <c r="L77" s="240" t="s">
        <v>3029</v>
      </c>
      <c r="M77">
        <v>69</v>
      </c>
      <c r="N77" t="s">
        <v>2797</v>
      </c>
      <c r="O77">
        <v>12.563016860999999</v>
      </c>
    </row>
    <row r="78" spans="1:15">
      <c r="A78">
        <v>91</v>
      </c>
      <c r="B78" t="s">
        <v>2276</v>
      </c>
      <c r="C78" t="s">
        <v>2308</v>
      </c>
      <c r="D78" t="s">
        <v>2659</v>
      </c>
      <c r="E78" t="s">
        <v>2659</v>
      </c>
      <c r="F78" t="s">
        <v>2306</v>
      </c>
      <c r="G78" t="s">
        <v>3005</v>
      </c>
      <c r="H78" t="s">
        <v>3009</v>
      </c>
      <c r="I78">
        <v>13</v>
      </c>
      <c r="J78">
        <v>787</v>
      </c>
      <c r="K78">
        <v>596</v>
      </c>
      <c r="L78" s="240" t="s">
        <v>3030</v>
      </c>
      <c r="M78">
        <v>69</v>
      </c>
      <c r="N78" t="s">
        <v>2797</v>
      </c>
      <c r="O78">
        <v>12.563016860999999</v>
      </c>
    </row>
    <row r="79" spans="1:15">
      <c r="A79">
        <v>92</v>
      </c>
      <c r="B79" t="s">
        <v>2276</v>
      </c>
      <c r="C79" t="s">
        <v>2309</v>
      </c>
      <c r="D79" t="s">
        <v>2659</v>
      </c>
      <c r="E79" t="s">
        <v>2659</v>
      </c>
      <c r="F79" t="s">
        <v>2306</v>
      </c>
      <c r="G79" t="s">
        <v>3005</v>
      </c>
      <c r="H79" t="s">
        <v>3009</v>
      </c>
      <c r="I79">
        <v>324</v>
      </c>
      <c r="J79">
        <v>812</v>
      </c>
      <c r="K79">
        <v>380</v>
      </c>
      <c r="L79" s="240" t="s">
        <v>3031</v>
      </c>
      <c r="M79">
        <v>69</v>
      </c>
      <c r="N79" t="s">
        <v>2797</v>
      </c>
      <c r="O79">
        <v>12.563016860999999</v>
      </c>
    </row>
    <row r="80" spans="1:15">
      <c r="A80">
        <v>93</v>
      </c>
      <c r="B80" t="s">
        <v>2276</v>
      </c>
      <c r="C80" t="s">
        <v>2310</v>
      </c>
      <c r="D80" t="s">
        <v>2659</v>
      </c>
      <c r="E80" t="s">
        <v>2659</v>
      </c>
      <c r="F80" t="s">
        <v>2306</v>
      </c>
      <c r="G80" t="s">
        <v>3005</v>
      </c>
      <c r="H80" t="s">
        <v>3009</v>
      </c>
      <c r="I80">
        <v>99</v>
      </c>
      <c r="J80">
        <v>675</v>
      </c>
      <c r="K80">
        <v>872</v>
      </c>
      <c r="L80" s="240" t="s">
        <v>3032</v>
      </c>
      <c r="M80">
        <v>69</v>
      </c>
      <c r="N80" t="s">
        <v>2797</v>
      </c>
      <c r="O80">
        <v>12.563016860999999</v>
      </c>
    </row>
    <row r="81" spans="1:15">
      <c r="A81">
        <v>95</v>
      </c>
      <c r="B81" t="s">
        <v>2276</v>
      </c>
      <c r="C81" t="s">
        <v>2312</v>
      </c>
      <c r="D81" t="s">
        <v>2659</v>
      </c>
      <c r="E81" t="s">
        <v>2659</v>
      </c>
      <c r="F81" t="s">
        <v>2306</v>
      </c>
      <c r="G81" t="s">
        <v>3005</v>
      </c>
      <c r="H81" t="s">
        <v>3009</v>
      </c>
      <c r="I81">
        <v>126</v>
      </c>
      <c r="J81">
        <v>794</v>
      </c>
      <c r="K81">
        <v>844</v>
      </c>
      <c r="L81" s="240" t="s">
        <v>3033</v>
      </c>
      <c r="M81">
        <v>69</v>
      </c>
      <c r="N81" t="s">
        <v>2797</v>
      </c>
      <c r="O81">
        <v>12.563016860999999</v>
      </c>
    </row>
    <row r="82" spans="1:15">
      <c r="A82">
        <v>96</v>
      </c>
      <c r="B82" t="s">
        <v>2276</v>
      </c>
      <c r="C82" t="s">
        <v>2313</v>
      </c>
      <c r="D82" t="s">
        <v>2659</v>
      </c>
      <c r="E82" t="s">
        <v>2659</v>
      </c>
      <c r="F82" t="s">
        <v>2306</v>
      </c>
      <c r="G82" t="s">
        <v>3005</v>
      </c>
      <c r="H82" t="s">
        <v>3009</v>
      </c>
      <c r="I82">
        <v>244</v>
      </c>
      <c r="J82">
        <v>737</v>
      </c>
      <c r="K82">
        <v>372</v>
      </c>
      <c r="L82" s="240" t="s">
        <v>3034</v>
      </c>
      <c r="M82">
        <v>69</v>
      </c>
      <c r="N82" t="s">
        <v>2797</v>
      </c>
      <c r="O82">
        <v>12.563016860999999</v>
      </c>
    </row>
    <row r="83" spans="1:15">
      <c r="A83">
        <v>97</v>
      </c>
      <c r="B83" t="s">
        <v>2666</v>
      </c>
      <c r="C83" t="s">
        <v>2315</v>
      </c>
      <c r="D83" t="s">
        <v>2460</v>
      </c>
      <c r="E83" t="s">
        <v>2659</v>
      </c>
      <c r="F83" t="s">
        <v>2178</v>
      </c>
      <c r="G83" t="s">
        <v>3035</v>
      </c>
      <c r="H83" t="s">
        <v>3036</v>
      </c>
      <c r="I83">
        <v>432</v>
      </c>
      <c r="J83">
        <v>801</v>
      </c>
      <c r="K83">
        <v>3</v>
      </c>
      <c r="L83" s="240" t="s">
        <v>3037</v>
      </c>
      <c r="M83">
        <v>71</v>
      </c>
      <c r="N83" t="s">
        <v>2807</v>
      </c>
      <c r="O83">
        <v>137.19979645800001</v>
      </c>
    </row>
    <row r="84" spans="1:15">
      <c r="A84">
        <v>98</v>
      </c>
      <c r="B84" t="s">
        <v>2666</v>
      </c>
      <c r="C84" t="s">
        <v>2316</v>
      </c>
      <c r="D84" t="s">
        <v>2460</v>
      </c>
      <c r="E84" t="s">
        <v>2659</v>
      </c>
      <c r="F84" t="s">
        <v>2178</v>
      </c>
      <c r="G84" t="s">
        <v>3035</v>
      </c>
      <c r="H84" t="s">
        <v>3036</v>
      </c>
      <c r="I84">
        <v>184</v>
      </c>
      <c r="J84">
        <v>808</v>
      </c>
      <c r="K84">
        <v>25</v>
      </c>
      <c r="L84" s="240" t="s">
        <v>3038</v>
      </c>
      <c r="M84">
        <v>71</v>
      </c>
      <c r="N84" t="s">
        <v>2807</v>
      </c>
      <c r="O84">
        <v>137.19979645800001</v>
      </c>
    </row>
    <row r="85" spans="1:15">
      <c r="A85">
        <v>100</v>
      </c>
      <c r="B85" t="s">
        <v>2666</v>
      </c>
      <c r="C85" t="s">
        <v>2318</v>
      </c>
      <c r="D85" t="s">
        <v>2460</v>
      </c>
      <c r="E85" t="s">
        <v>2659</v>
      </c>
      <c r="F85" t="s">
        <v>2178</v>
      </c>
      <c r="G85" t="s">
        <v>3035</v>
      </c>
      <c r="H85" t="s">
        <v>3036</v>
      </c>
      <c r="I85">
        <v>176</v>
      </c>
      <c r="J85">
        <v>276</v>
      </c>
      <c r="K85">
        <v>187</v>
      </c>
      <c r="L85" s="240" t="s">
        <v>3039</v>
      </c>
      <c r="M85">
        <v>71</v>
      </c>
      <c r="N85" t="s">
        <v>2807</v>
      </c>
      <c r="O85">
        <v>137.19979645800001</v>
      </c>
    </row>
    <row r="86" spans="1:15">
      <c r="A86">
        <v>101</v>
      </c>
      <c r="B86" t="s">
        <v>2666</v>
      </c>
      <c r="C86" t="s">
        <v>2320</v>
      </c>
      <c r="D86" t="s">
        <v>2460</v>
      </c>
      <c r="E86" t="s">
        <v>2659</v>
      </c>
      <c r="F86" t="s">
        <v>2178</v>
      </c>
      <c r="G86" t="s">
        <v>3035</v>
      </c>
      <c r="H86" t="s">
        <v>3036</v>
      </c>
      <c r="I86">
        <v>11</v>
      </c>
      <c r="J86">
        <v>624</v>
      </c>
      <c r="K86">
        <v>398</v>
      </c>
      <c r="L86" s="240" t="s">
        <v>3040</v>
      </c>
      <c r="M86">
        <v>71</v>
      </c>
      <c r="N86" t="s">
        <v>2807</v>
      </c>
      <c r="O86">
        <v>137.19979645800001</v>
      </c>
    </row>
    <row r="87" spans="1:15">
      <c r="A87">
        <v>102</v>
      </c>
      <c r="B87" t="s">
        <v>2666</v>
      </c>
      <c r="C87" t="s">
        <v>2321</v>
      </c>
      <c r="D87" t="s">
        <v>2460</v>
      </c>
      <c r="E87" t="s">
        <v>2659</v>
      </c>
      <c r="F87" t="s">
        <v>2178</v>
      </c>
      <c r="G87" t="s">
        <v>3035</v>
      </c>
      <c r="H87" t="s">
        <v>3036</v>
      </c>
      <c r="I87">
        <v>284</v>
      </c>
      <c r="J87">
        <v>781</v>
      </c>
      <c r="K87">
        <v>120</v>
      </c>
      <c r="L87" s="240" t="s">
        <v>3041</v>
      </c>
      <c r="M87">
        <v>71</v>
      </c>
      <c r="N87" t="s">
        <v>2807</v>
      </c>
      <c r="O87">
        <v>137.19979645800001</v>
      </c>
    </row>
    <row r="88" spans="1:15">
      <c r="A88">
        <v>103</v>
      </c>
      <c r="B88" t="s">
        <v>2666</v>
      </c>
      <c r="C88" t="s">
        <v>2322</v>
      </c>
      <c r="D88" t="s">
        <v>2460</v>
      </c>
      <c r="E88" t="s">
        <v>2659</v>
      </c>
      <c r="F88" t="s">
        <v>2178</v>
      </c>
      <c r="G88" t="s">
        <v>3035</v>
      </c>
      <c r="H88" t="s">
        <v>3036</v>
      </c>
      <c r="I88">
        <v>326</v>
      </c>
      <c r="J88">
        <v>772</v>
      </c>
      <c r="K88">
        <v>145</v>
      </c>
      <c r="L88" s="240" t="s">
        <v>3042</v>
      </c>
      <c r="M88">
        <v>71</v>
      </c>
      <c r="N88" t="s">
        <v>2807</v>
      </c>
      <c r="O88">
        <v>137.19979645800001</v>
      </c>
    </row>
    <row r="89" spans="1:15">
      <c r="A89">
        <v>104</v>
      </c>
      <c r="B89" t="s">
        <v>2666</v>
      </c>
      <c r="C89" t="s">
        <v>2323</v>
      </c>
      <c r="D89" t="s">
        <v>2460</v>
      </c>
      <c r="E89" t="s">
        <v>2659</v>
      </c>
      <c r="F89" t="s">
        <v>2178</v>
      </c>
      <c r="G89" t="s">
        <v>3035</v>
      </c>
      <c r="H89" t="s">
        <v>3036</v>
      </c>
      <c r="I89">
        <v>162</v>
      </c>
      <c r="J89">
        <v>744</v>
      </c>
      <c r="K89">
        <v>76</v>
      </c>
      <c r="L89" s="240" t="s">
        <v>3043</v>
      </c>
      <c r="M89">
        <v>71</v>
      </c>
      <c r="N89" t="s">
        <v>2807</v>
      </c>
      <c r="O89">
        <v>137.19979645800001</v>
      </c>
    </row>
    <row r="90" spans="1:15">
      <c r="A90">
        <v>105</v>
      </c>
      <c r="B90" t="s">
        <v>2666</v>
      </c>
      <c r="C90" t="s">
        <v>2324</v>
      </c>
      <c r="D90" t="s">
        <v>2460</v>
      </c>
      <c r="E90" t="s">
        <v>2659</v>
      </c>
      <c r="F90" t="s">
        <v>2194</v>
      </c>
      <c r="G90" t="s">
        <v>3035</v>
      </c>
      <c r="H90" t="s">
        <v>3036</v>
      </c>
      <c r="I90">
        <v>6</v>
      </c>
      <c r="J90">
        <v>824</v>
      </c>
      <c r="K90">
        <v>57</v>
      </c>
      <c r="L90" s="240" t="s">
        <v>3044</v>
      </c>
      <c r="M90">
        <v>71</v>
      </c>
      <c r="N90" t="s">
        <v>2816</v>
      </c>
      <c r="O90">
        <v>137.19979645800001</v>
      </c>
    </row>
    <row r="91" spans="1:15">
      <c r="A91">
        <v>106</v>
      </c>
      <c r="B91" t="s">
        <v>2666</v>
      </c>
      <c r="C91" t="s">
        <v>2325</v>
      </c>
      <c r="D91" t="s">
        <v>2460</v>
      </c>
      <c r="E91" t="s">
        <v>2659</v>
      </c>
      <c r="F91" t="s">
        <v>2194</v>
      </c>
      <c r="G91" t="s">
        <v>3035</v>
      </c>
      <c r="H91" t="s">
        <v>3036</v>
      </c>
      <c r="I91">
        <v>20</v>
      </c>
      <c r="J91">
        <v>790</v>
      </c>
      <c r="K91">
        <v>167</v>
      </c>
      <c r="L91" s="240" t="s">
        <v>3045</v>
      </c>
      <c r="M91">
        <v>71</v>
      </c>
      <c r="N91" t="s">
        <v>2816</v>
      </c>
      <c r="O91">
        <v>137.19979645800001</v>
      </c>
    </row>
    <row r="92" spans="1:15">
      <c r="A92">
        <v>107</v>
      </c>
      <c r="B92" t="s">
        <v>2666</v>
      </c>
      <c r="C92" t="s">
        <v>2326</v>
      </c>
      <c r="D92" t="s">
        <v>2460</v>
      </c>
      <c r="E92" t="s">
        <v>2659</v>
      </c>
      <c r="F92" t="s">
        <v>2194</v>
      </c>
      <c r="G92" t="s">
        <v>3035</v>
      </c>
      <c r="H92" t="s">
        <v>3036</v>
      </c>
      <c r="I92">
        <v>129</v>
      </c>
      <c r="J92">
        <v>809</v>
      </c>
      <c r="K92">
        <v>208</v>
      </c>
      <c r="L92" s="240" t="s">
        <v>3046</v>
      </c>
      <c r="M92">
        <v>71</v>
      </c>
      <c r="N92" t="s">
        <v>2816</v>
      </c>
      <c r="O92">
        <v>137.19979645800001</v>
      </c>
    </row>
    <row r="93" spans="1:15">
      <c r="A93">
        <v>108</v>
      </c>
      <c r="B93" t="s">
        <v>2666</v>
      </c>
      <c r="C93" t="s">
        <v>2327</v>
      </c>
      <c r="D93" t="s">
        <v>2460</v>
      </c>
      <c r="E93" t="s">
        <v>2659</v>
      </c>
      <c r="F93" t="s">
        <v>2194</v>
      </c>
      <c r="G93" t="s">
        <v>3035</v>
      </c>
      <c r="H93" t="s">
        <v>3036</v>
      </c>
      <c r="I93">
        <v>258</v>
      </c>
      <c r="J93">
        <v>777</v>
      </c>
      <c r="K93">
        <v>62</v>
      </c>
      <c r="L93" s="240" t="s">
        <v>3047</v>
      </c>
      <c r="M93">
        <v>71</v>
      </c>
      <c r="N93" t="s">
        <v>2816</v>
      </c>
      <c r="O93">
        <v>137.19979645800001</v>
      </c>
    </row>
    <row r="94" spans="1:15">
      <c r="A94">
        <v>109</v>
      </c>
      <c r="B94" t="s">
        <v>2666</v>
      </c>
      <c r="C94" t="s">
        <v>2329</v>
      </c>
      <c r="D94" t="s">
        <v>2460</v>
      </c>
      <c r="E94" t="s">
        <v>2659</v>
      </c>
      <c r="F94" t="s">
        <v>2194</v>
      </c>
      <c r="G94" t="s">
        <v>3035</v>
      </c>
      <c r="H94" t="s">
        <v>3036</v>
      </c>
      <c r="I94">
        <v>294</v>
      </c>
      <c r="J94">
        <v>804</v>
      </c>
      <c r="K94">
        <v>102</v>
      </c>
      <c r="L94" s="240" t="s">
        <v>3048</v>
      </c>
      <c r="M94">
        <v>71</v>
      </c>
      <c r="N94" t="s">
        <v>2816</v>
      </c>
      <c r="O94">
        <v>137.19979645800001</v>
      </c>
    </row>
    <row r="95" spans="1:15">
      <c r="A95">
        <v>110</v>
      </c>
      <c r="B95" t="s">
        <v>2666</v>
      </c>
      <c r="C95" t="s">
        <v>2330</v>
      </c>
      <c r="D95" t="s">
        <v>2460</v>
      </c>
      <c r="E95" t="s">
        <v>2659</v>
      </c>
      <c r="F95" t="s">
        <v>2194</v>
      </c>
      <c r="G95" t="s">
        <v>3035</v>
      </c>
      <c r="H95" t="s">
        <v>3036</v>
      </c>
      <c r="I95">
        <v>350</v>
      </c>
      <c r="J95">
        <v>786</v>
      </c>
      <c r="K95">
        <v>265</v>
      </c>
      <c r="L95" s="240" t="s">
        <v>3049</v>
      </c>
      <c r="M95">
        <v>71</v>
      </c>
      <c r="N95" t="s">
        <v>2816</v>
      </c>
      <c r="O95">
        <v>137.19979645800001</v>
      </c>
    </row>
    <row r="96" spans="1:15">
      <c r="A96">
        <v>111</v>
      </c>
      <c r="B96" t="s">
        <v>2666</v>
      </c>
      <c r="C96" t="s">
        <v>2331</v>
      </c>
      <c r="D96" t="s">
        <v>2460</v>
      </c>
      <c r="E96" t="s">
        <v>2659</v>
      </c>
      <c r="F96" t="s">
        <v>2194</v>
      </c>
      <c r="G96" t="s">
        <v>3035</v>
      </c>
      <c r="H96" t="s">
        <v>3036</v>
      </c>
      <c r="I96">
        <v>274</v>
      </c>
      <c r="J96">
        <v>835</v>
      </c>
      <c r="K96">
        <v>455</v>
      </c>
      <c r="L96" s="240" t="s">
        <v>3050</v>
      </c>
      <c r="M96">
        <v>71</v>
      </c>
      <c r="N96" t="s">
        <v>2816</v>
      </c>
      <c r="O96">
        <v>137.19979645800001</v>
      </c>
    </row>
    <row r="97" spans="1:15">
      <c r="A97">
        <v>113</v>
      </c>
      <c r="B97" t="s">
        <v>2666</v>
      </c>
      <c r="C97" t="s">
        <v>2333</v>
      </c>
      <c r="D97" t="s">
        <v>2460</v>
      </c>
      <c r="E97" t="s">
        <v>2659</v>
      </c>
      <c r="F97" t="s">
        <v>2208</v>
      </c>
      <c r="G97" t="s">
        <v>3035</v>
      </c>
      <c r="H97" t="s">
        <v>3051</v>
      </c>
      <c r="I97">
        <v>314</v>
      </c>
      <c r="J97">
        <v>807</v>
      </c>
      <c r="K97">
        <v>490</v>
      </c>
      <c r="L97" s="240" t="s">
        <v>3052</v>
      </c>
      <c r="M97">
        <v>69</v>
      </c>
      <c r="N97" t="s">
        <v>2824</v>
      </c>
      <c r="O97">
        <v>136.27214243</v>
      </c>
    </row>
    <row r="98" spans="1:15">
      <c r="A98">
        <v>114</v>
      </c>
      <c r="B98" t="s">
        <v>2666</v>
      </c>
      <c r="C98" t="s">
        <v>2334</v>
      </c>
      <c r="D98" t="s">
        <v>2460</v>
      </c>
      <c r="E98" t="s">
        <v>2659</v>
      </c>
      <c r="F98" t="s">
        <v>2208</v>
      </c>
      <c r="G98" t="s">
        <v>3035</v>
      </c>
      <c r="H98" t="s">
        <v>3051</v>
      </c>
      <c r="I98">
        <v>263</v>
      </c>
      <c r="J98">
        <v>829</v>
      </c>
      <c r="K98">
        <v>650</v>
      </c>
      <c r="L98" s="240" t="s">
        <v>3053</v>
      </c>
      <c r="M98">
        <v>69</v>
      </c>
      <c r="N98" t="s">
        <v>2824</v>
      </c>
      <c r="O98">
        <v>136.27214243</v>
      </c>
    </row>
    <row r="99" spans="1:15">
      <c r="A99">
        <v>115</v>
      </c>
      <c r="B99" t="s">
        <v>2666</v>
      </c>
      <c r="C99" t="s">
        <v>2335</v>
      </c>
      <c r="D99" t="s">
        <v>2460</v>
      </c>
      <c r="E99" t="s">
        <v>2659</v>
      </c>
      <c r="F99" t="s">
        <v>2208</v>
      </c>
      <c r="G99" t="s">
        <v>3035</v>
      </c>
      <c r="H99" t="s">
        <v>3051</v>
      </c>
      <c r="I99">
        <v>125</v>
      </c>
      <c r="J99">
        <v>766</v>
      </c>
      <c r="K99">
        <v>873</v>
      </c>
      <c r="L99" s="240" t="s">
        <v>3054</v>
      </c>
      <c r="M99">
        <v>69</v>
      </c>
      <c r="N99" t="s">
        <v>2824</v>
      </c>
      <c r="O99">
        <v>136.27214243</v>
      </c>
    </row>
    <row r="100" spans="1:15">
      <c r="A100">
        <v>116</v>
      </c>
      <c r="B100" t="s">
        <v>2666</v>
      </c>
      <c r="C100" t="s">
        <v>2336</v>
      </c>
      <c r="D100" t="s">
        <v>2460</v>
      </c>
      <c r="E100" t="s">
        <v>2659</v>
      </c>
      <c r="F100" t="s">
        <v>2208</v>
      </c>
      <c r="G100" t="s">
        <v>3035</v>
      </c>
      <c r="H100" t="s">
        <v>3051</v>
      </c>
      <c r="I100">
        <v>189</v>
      </c>
      <c r="J100">
        <v>757</v>
      </c>
      <c r="K100">
        <v>206</v>
      </c>
      <c r="L100" s="240" t="s">
        <v>3055</v>
      </c>
      <c r="M100">
        <v>69</v>
      </c>
      <c r="N100" t="s">
        <v>2824</v>
      </c>
      <c r="O100">
        <v>136.27214243</v>
      </c>
    </row>
    <row r="101" spans="1:15">
      <c r="A101">
        <v>117</v>
      </c>
      <c r="B101" t="s">
        <v>2666</v>
      </c>
      <c r="C101" t="s">
        <v>2337</v>
      </c>
      <c r="D101" t="s">
        <v>2460</v>
      </c>
      <c r="E101" t="s">
        <v>2659</v>
      </c>
      <c r="F101" t="s">
        <v>2208</v>
      </c>
      <c r="G101" t="s">
        <v>3035</v>
      </c>
      <c r="H101" t="s">
        <v>3051</v>
      </c>
      <c r="I101">
        <v>533</v>
      </c>
      <c r="J101">
        <v>745</v>
      </c>
      <c r="K101">
        <v>163</v>
      </c>
      <c r="L101" s="240" t="s">
        <v>3056</v>
      </c>
      <c r="M101">
        <v>69</v>
      </c>
      <c r="N101" t="s">
        <v>2824</v>
      </c>
      <c r="O101">
        <v>136.27214243</v>
      </c>
    </row>
    <row r="102" spans="1:15">
      <c r="A102">
        <v>118</v>
      </c>
      <c r="B102" t="s">
        <v>2666</v>
      </c>
      <c r="C102" t="s">
        <v>2338</v>
      </c>
      <c r="D102" t="s">
        <v>2460</v>
      </c>
      <c r="E102" t="s">
        <v>2659</v>
      </c>
      <c r="F102" t="s">
        <v>2208</v>
      </c>
      <c r="G102" t="s">
        <v>3035</v>
      </c>
      <c r="H102" t="s">
        <v>3051</v>
      </c>
      <c r="I102">
        <v>200</v>
      </c>
      <c r="J102">
        <v>791</v>
      </c>
      <c r="K102">
        <v>83</v>
      </c>
      <c r="L102" s="240" t="s">
        <v>3057</v>
      </c>
      <c r="M102">
        <v>69</v>
      </c>
      <c r="N102" t="s">
        <v>2824</v>
      </c>
      <c r="O102">
        <v>136.27214243</v>
      </c>
    </row>
    <row r="103" spans="1:15">
      <c r="A103">
        <v>119</v>
      </c>
      <c r="B103" t="s">
        <v>2666</v>
      </c>
      <c r="C103" t="s">
        <v>2339</v>
      </c>
      <c r="D103" t="s">
        <v>2460</v>
      </c>
      <c r="E103" t="s">
        <v>2659</v>
      </c>
      <c r="F103" t="s">
        <v>2208</v>
      </c>
      <c r="G103" t="s">
        <v>3035</v>
      </c>
      <c r="H103" t="s">
        <v>3051</v>
      </c>
      <c r="I103">
        <v>236</v>
      </c>
      <c r="J103">
        <v>802</v>
      </c>
      <c r="K103">
        <v>159</v>
      </c>
      <c r="L103" s="240" t="s">
        <v>3058</v>
      </c>
      <c r="M103">
        <v>69</v>
      </c>
      <c r="N103" t="s">
        <v>2824</v>
      </c>
      <c r="O103">
        <v>136.27214243</v>
      </c>
    </row>
    <row r="104" spans="1:15">
      <c r="A104">
        <v>121</v>
      </c>
      <c r="B104" t="s">
        <v>2666</v>
      </c>
      <c r="C104" t="s">
        <v>2341</v>
      </c>
      <c r="D104" t="s">
        <v>2460</v>
      </c>
      <c r="E104" t="s">
        <v>2659</v>
      </c>
      <c r="F104" t="s">
        <v>2218</v>
      </c>
      <c r="G104" t="s">
        <v>3035</v>
      </c>
      <c r="H104" t="s">
        <v>3051</v>
      </c>
      <c r="I104">
        <v>280</v>
      </c>
      <c r="J104">
        <v>822</v>
      </c>
      <c r="K104">
        <v>16</v>
      </c>
      <c r="L104" s="240" t="s">
        <v>3059</v>
      </c>
      <c r="M104">
        <v>69</v>
      </c>
      <c r="N104" t="s">
        <v>2833</v>
      </c>
      <c r="O104">
        <v>136.27214243</v>
      </c>
    </row>
    <row r="105" spans="1:15">
      <c r="A105">
        <v>122</v>
      </c>
      <c r="B105" t="s">
        <v>2666</v>
      </c>
      <c r="C105" t="s">
        <v>2342</v>
      </c>
      <c r="D105" t="s">
        <v>2460</v>
      </c>
      <c r="E105" t="s">
        <v>2659</v>
      </c>
      <c r="F105" t="s">
        <v>2218</v>
      </c>
      <c r="G105" t="s">
        <v>3035</v>
      </c>
      <c r="H105" t="s">
        <v>3051</v>
      </c>
      <c r="I105">
        <v>231</v>
      </c>
      <c r="J105">
        <v>792</v>
      </c>
      <c r="K105">
        <v>109</v>
      </c>
      <c r="L105" s="240" t="s">
        <v>3060</v>
      </c>
      <c r="M105">
        <v>69</v>
      </c>
      <c r="N105" t="s">
        <v>2833</v>
      </c>
      <c r="O105">
        <v>136.27214243</v>
      </c>
    </row>
    <row r="106" spans="1:15">
      <c r="A106">
        <v>123</v>
      </c>
      <c r="B106" t="s">
        <v>2666</v>
      </c>
      <c r="C106" t="s">
        <v>2343</v>
      </c>
      <c r="D106" t="s">
        <v>2460</v>
      </c>
      <c r="E106" t="s">
        <v>2659</v>
      </c>
      <c r="F106" t="s">
        <v>2218</v>
      </c>
      <c r="G106" t="s">
        <v>3035</v>
      </c>
      <c r="H106" t="s">
        <v>3051</v>
      </c>
      <c r="I106">
        <v>292</v>
      </c>
      <c r="J106">
        <v>740</v>
      </c>
      <c r="K106">
        <v>344</v>
      </c>
      <c r="L106" s="240" t="s">
        <v>3061</v>
      </c>
      <c r="M106">
        <v>69</v>
      </c>
      <c r="N106" t="s">
        <v>2833</v>
      </c>
      <c r="O106">
        <v>136.27214243</v>
      </c>
    </row>
    <row r="107" spans="1:15">
      <c r="A107">
        <v>124</v>
      </c>
      <c r="B107" t="s">
        <v>2666</v>
      </c>
      <c r="C107" t="s">
        <v>2345</v>
      </c>
      <c r="D107" t="s">
        <v>2460</v>
      </c>
      <c r="E107" t="s">
        <v>2659</v>
      </c>
      <c r="F107" t="s">
        <v>2218</v>
      </c>
      <c r="G107" t="s">
        <v>3035</v>
      </c>
      <c r="H107" t="s">
        <v>3051</v>
      </c>
      <c r="I107">
        <v>116</v>
      </c>
      <c r="J107">
        <v>797</v>
      </c>
      <c r="K107">
        <v>221</v>
      </c>
      <c r="L107" s="240" t="s">
        <v>3062</v>
      </c>
      <c r="M107">
        <v>69</v>
      </c>
      <c r="N107" t="s">
        <v>2833</v>
      </c>
      <c r="O107">
        <v>136.27214243</v>
      </c>
    </row>
    <row r="108" spans="1:15">
      <c r="A108">
        <v>125</v>
      </c>
      <c r="B108" t="s">
        <v>2666</v>
      </c>
      <c r="C108" t="s">
        <v>2346</v>
      </c>
      <c r="D108" t="s">
        <v>2460</v>
      </c>
      <c r="E108" t="s">
        <v>2659</v>
      </c>
      <c r="F108" t="s">
        <v>2218</v>
      </c>
      <c r="G108" t="s">
        <v>3035</v>
      </c>
      <c r="H108" t="s">
        <v>3051</v>
      </c>
      <c r="I108">
        <v>50</v>
      </c>
      <c r="J108">
        <v>795</v>
      </c>
      <c r="K108">
        <v>757</v>
      </c>
      <c r="L108" s="240" t="s">
        <v>2909</v>
      </c>
      <c r="M108">
        <v>69</v>
      </c>
      <c r="N108" t="s">
        <v>2833</v>
      </c>
      <c r="O108">
        <v>136.27214243</v>
      </c>
    </row>
    <row r="109" spans="1:15">
      <c r="A109">
        <v>127</v>
      </c>
      <c r="B109" t="s">
        <v>2666</v>
      </c>
      <c r="C109" t="s">
        <v>2348</v>
      </c>
      <c r="D109" t="s">
        <v>2460</v>
      </c>
      <c r="E109" t="s">
        <v>2659</v>
      </c>
      <c r="F109" t="s">
        <v>2218</v>
      </c>
      <c r="G109" t="s">
        <v>3035</v>
      </c>
      <c r="H109" t="s">
        <v>3051</v>
      </c>
      <c r="I109">
        <v>318</v>
      </c>
      <c r="J109">
        <v>751</v>
      </c>
      <c r="K109">
        <v>96</v>
      </c>
      <c r="L109" s="240" t="s">
        <v>3063</v>
      </c>
      <c r="M109">
        <v>69</v>
      </c>
      <c r="N109" t="s">
        <v>2833</v>
      </c>
      <c r="O109">
        <v>136.27214243</v>
      </c>
    </row>
    <row r="110" spans="1:15">
      <c r="A110">
        <v>128</v>
      </c>
      <c r="B110" t="s">
        <v>2666</v>
      </c>
      <c r="C110" t="s">
        <v>2349</v>
      </c>
      <c r="D110" t="s">
        <v>2460</v>
      </c>
      <c r="E110" t="s">
        <v>2659</v>
      </c>
      <c r="F110" t="s">
        <v>2218</v>
      </c>
      <c r="G110" t="s">
        <v>3035</v>
      </c>
      <c r="H110" t="s">
        <v>3051</v>
      </c>
      <c r="I110">
        <v>34</v>
      </c>
      <c r="J110">
        <v>819</v>
      </c>
      <c r="K110">
        <v>134</v>
      </c>
      <c r="L110" s="240" t="s">
        <v>3064</v>
      </c>
      <c r="M110">
        <v>69</v>
      </c>
      <c r="N110" t="s">
        <v>2833</v>
      </c>
      <c r="O110">
        <v>136.27214243</v>
      </c>
    </row>
    <row r="111" spans="1:15">
      <c r="A111">
        <v>129</v>
      </c>
      <c r="B111" t="s">
        <v>2666</v>
      </c>
      <c r="C111" t="s">
        <v>2350</v>
      </c>
      <c r="D111" t="s">
        <v>2460</v>
      </c>
      <c r="E111" t="s">
        <v>2659</v>
      </c>
      <c r="F111" t="s">
        <v>2227</v>
      </c>
      <c r="G111" t="s">
        <v>3035</v>
      </c>
      <c r="H111" t="s">
        <v>3051</v>
      </c>
      <c r="I111">
        <v>80</v>
      </c>
      <c r="J111">
        <v>768</v>
      </c>
      <c r="K111">
        <v>671</v>
      </c>
      <c r="L111" s="240" t="s">
        <v>3065</v>
      </c>
      <c r="M111">
        <v>69</v>
      </c>
      <c r="N111" t="s">
        <v>2842</v>
      </c>
      <c r="O111">
        <v>136.27214243</v>
      </c>
    </row>
    <row r="112" spans="1:15">
      <c r="A112">
        <v>130</v>
      </c>
      <c r="B112" t="s">
        <v>2666</v>
      </c>
      <c r="C112" t="s">
        <v>2351</v>
      </c>
      <c r="D112" t="s">
        <v>2460</v>
      </c>
      <c r="E112" t="s">
        <v>2659</v>
      </c>
      <c r="F112" t="s">
        <v>2227</v>
      </c>
      <c r="G112" t="s">
        <v>3035</v>
      </c>
      <c r="H112" t="s">
        <v>3051</v>
      </c>
      <c r="I112">
        <v>64</v>
      </c>
      <c r="J112">
        <v>789</v>
      </c>
      <c r="K112">
        <v>400</v>
      </c>
      <c r="L112" s="240" t="s">
        <v>3066</v>
      </c>
      <c r="M112">
        <v>69</v>
      </c>
      <c r="N112" t="s">
        <v>2842</v>
      </c>
      <c r="O112">
        <v>136.27214243</v>
      </c>
    </row>
    <row r="113" spans="1:15">
      <c r="A113">
        <v>131</v>
      </c>
      <c r="B113" t="s">
        <v>2666</v>
      </c>
      <c r="C113" t="s">
        <v>2352</v>
      </c>
      <c r="D113" t="s">
        <v>2460</v>
      </c>
      <c r="E113" t="s">
        <v>2659</v>
      </c>
      <c r="F113" t="s">
        <v>2227</v>
      </c>
      <c r="G113" t="s">
        <v>3035</v>
      </c>
      <c r="H113" t="s">
        <v>3051</v>
      </c>
      <c r="I113">
        <v>118</v>
      </c>
      <c r="J113">
        <v>586</v>
      </c>
      <c r="K113">
        <v>48</v>
      </c>
      <c r="L113" s="240" t="s">
        <v>3067</v>
      </c>
      <c r="M113">
        <v>69</v>
      </c>
      <c r="N113" t="s">
        <v>2842</v>
      </c>
      <c r="O113">
        <v>136.27214243</v>
      </c>
    </row>
    <row r="114" spans="1:15">
      <c r="A114">
        <v>133</v>
      </c>
      <c r="B114" t="s">
        <v>2666</v>
      </c>
      <c r="C114" t="s">
        <v>2354</v>
      </c>
      <c r="D114" t="s">
        <v>2460</v>
      </c>
      <c r="E114" t="s">
        <v>2659</v>
      </c>
      <c r="F114" t="s">
        <v>2227</v>
      </c>
      <c r="G114" t="s">
        <v>3035</v>
      </c>
      <c r="H114" t="s">
        <v>3051</v>
      </c>
      <c r="I114">
        <v>270</v>
      </c>
      <c r="J114">
        <v>817</v>
      </c>
      <c r="K114">
        <v>210</v>
      </c>
      <c r="L114" s="240" t="s">
        <v>3068</v>
      </c>
      <c r="M114">
        <v>69</v>
      </c>
      <c r="N114" t="s">
        <v>2842</v>
      </c>
      <c r="O114">
        <v>136.27214243</v>
      </c>
    </row>
    <row r="115" spans="1:15">
      <c r="A115">
        <v>134</v>
      </c>
      <c r="B115" t="s">
        <v>2666</v>
      </c>
      <c r="C115" t="s">
        <v>2355</v>
      </c>
      <c r="D115" t="s">
        <v>2460</v>
      </c>
      <c r="E115" t="s">
        <v>2659</v>
      </c>
      <c r="F115" t="s">
        <v>2227</v>
      </c>
      <c r="G115" t="s">
        <v>3035</v>
      </c>
      <c r="H115" t="s">
        <v>3051</v>
      </c>
      <c r="I115">
        <v>316</v>
      </c>
      <c r="J115">
        <v>837</v>
      </c>
      <c r="K115">
        <v>40</v>
      </c>
      <c r="L115" s="240" t="s">
        <v>3069</v>
      </c>
      <c r="M115">
        <v>69</v>
      </c>
      <c r="N115" t="s">
        <v>2842</v>
      </c>
      <c r="O115">
        <v>136.27214243</v>
      </c>
    </row>
    <row r="116" spans="1:15">
      <c r="A116">
        <v>135</v>
      </c>
      <c r="B116" t="s">
        <v>2666</v>
      </c>
      <c r="C116" t="s">
        <v>2356</v>
      </c>
      <c r="D116" t="s">
        <v>2460</v>
      </c>
      <c r="E116" t="s">
        <v>2659</v>
      </c>
      <c r="F116" t="s">
        <v>2227</v>
      </c>
      <c r="G116" t="s">
        <v>3035</v>
      </c>
      <c r="H116" t="s">
        <v>3051</v>
      </c>
      <c r="I116">
        <v>77</v>
      </c>
      <c r="J116">
        <v>756</v>
      </c>
      <c r="K116">
        <v>517</v>
      </c>
      <c r="L116" s="240" t="s">
        <v>2911</v>
      </c>
      <c r="M116">
        <v>69</v>
      </c>
      <c r="N116" t="s">
        <v>2842</v>
      </c>
      <c r="O116">
        <v>136.27214243</v>
      </c>
    </row>
    <row r="117" spans="1:15">
      <c r="A117">
        <v>136</v>
      </c>
      <c r="B117" t="s">
        <v>2666</v>
      </c>
      <c r="C117" t="s">
        <v>2357</v>
      </c>
      <c r="D117" t="s">
        <v>2460</v>
      </c>
      <c r="E117" t="s">
        <v>2659</v>
      </c>
      <c r="F117" t="s">
        <v>2227</v>
      </c>
      <c r="G117" t="s">
        <v>3035</v>
      </c>
      <c r="H117" t="s">
        <v>3051</v>
      </c>
      <c r="I117">
        <v>332</v>
      </c>
      <c r="J117">
        <v>184</v>
      </c>
      <c r="K117">
        <v>67</v>
      </c>
      <c r="L117" s="240" t="s">
        <v>3070</v>
      </c>
      <c r="M117">
        <v>69</v>
      </c>
      <c r="N117" t="s">
        <v>2842</v>
      </c>
      <c r="O117">
        <v>136.27214243</v>
      </c>
    </row>
    <row r="118" spans="1:15">
      <c r="A118">
        <v>137</v>
      </c>
      <c r="B118" t="s">
        <v>2666</v>
      </c>
      <c r="C118" t="s">
        <v>2358</v>
      </c>
      <c r="D118" t="s">
        <v>2460</v>
      </c>
      <c r="E118" t="s">
        <v>2659</v>
      </c>
      <c r="F118" t="s">
        <v>2244</v>
      </c>
      <c r="G118" t="s">
        <v>3035</v>
      </c>
      <c r="H118" t="s">
        <v>3051</v>
      </c>
      <c r="I118">
        <v>30</v>
      </c>
      <c r="J118">
        <v>746</v>
      </c>
      <c r="K118">
        <v>335</v>
      </c>
      <c r="L118" s="240" t="s">
        <v>3071</v>
      </c>
      <c r="M118">
        <v>69</v>
      </c>
      <c r="N118" t="s">
        <v>2851</v>
      </c>
      <c r="O118">
        <v>136.27214243</v>
      </c>
    </row>
    <row r="119" spans="1:15">
      <c r="A119">
        <v>138</v>
      </c>
      <c r="B119" t="s">
        <v>2666</v>
      </c>
      <c r="C119" t="s">
        <v>2359</v>
      </c>
      <c r="D119" t="s">
        <v>2460</v>
      </c>
      <c r="E119" t="s">
        <v>2659</v>
      </c>
      <c r="F119" t="s">
        <v>2244</v>
      </c>
      <c r="G119" t="s">
        <v>3035</v>
      </c>
      <c r="H119" t="s">
        <v>3051</v>
      </c>
      <c r="I119">
        <v>213</v>
      </c>
      <c r="J119">
        <v>821</v>
      </c>
      <c r="K119">
        <v>484</v>
      </c>
      <c r="L119" s="240" t="s">
        <v>3072</v>
      </c>
      <c r="M119">
        <v>69</v>
      </c>
      <c r="N119" t="s">
        <v>2851</v>
      </c>
      <c r="O119">
        <v>136.27214243</v>
      </c>
    </row>
    <row r="120" spans="1:15">
      <c r="A120">
        <v>139</v>
      </c>
      <c r="B120" t="s">
        <v>2666</v>
      </c>
      <c r="C120" t="s">
        <v>2360</v>
      </c>
      <c r="D120" t="s">
        <v>2460</v>
      </c>
      <c r="E120" t="s">
        <v>2659</v>
      </c>
      <c r="F120" t="s">
        <v>2244</v>
      </c>
      <c r="G120" t="s">
        <v>3035</v>
      </c>
      <c r="H120" t="s">
        <v>3051</v>
      </c>
      <c r="I120">
        <v>250</v>
      </c>
      <c r="J120">
        <v>813</v>
      </c>
      <c r="K120">
        <v>868</v>
      </c>
      <c r="L120" s="240" t="s">
        <v>3073</v>
      </c>
      <c r="M120">
        <v>69</v>
      </c>
      <c r="N120" t="s">
        <v>2851</v>
      </c>
      <c r="O120">
        <v>136.27214243</v>
      </c>
    </row>
    <row r="121" spans="1:15">
      <c r="A121">
        <v>140</v>
      </c>
      <c r="B121" t="s">
        <v>2666</v>
      </c>
      <c r="C121" t="s">
        <v>2362</v>
      </c>
      <c r="D121" t="s">
        <v>2460</v>
      </c>
      <c r="E121" t="s">
        <v>2659</v>
      </c>
      <c r="F121" t="s">
        <v>2244</v>
      </c>
      <c r="G121" t="s">
        <v>3035</v>
      </c>
      <c r="H121" t="s">
        <v>3051</v>
      </c>
      <c r="I121">
        <v>401</v>
      </c>
      <c r="J121">
        <v>729</v>
      </c>
      <c r="K121">
        <v>792</v>
      </c>
      <c r="L121" s="240" t="s">
        <v>3074</v>
      </c>
      <c r="M121">
        <v>69</v>
      </c>
      <c r="N121" t="s">
        <v>2851</v>
      </c>
      <c r="O121">
        <v>136.27214243</v>
      </c>
    </row>
    <row r="122" spans="1:15">
      <c r="A122">
        <v>142</v>
      </c>
      <c r="B122" t="s">
        <v>2666</v>
      </c>
      <c r="C122" t="s">
        <v>2364</v>
      </c>
      <c r="D122" t="s">
        <v>2460</v>
      </c>
      <c r="E122" t="s">
        <v>2659</v>
      </c>
      <c r="F122" t="s">
        <v>2244</v>
      </c>
      <c r="G122" t="s">
        <v>3035</v>
      </c>
      <c r="H122" t="s">
        <v>3051</v>
      </c>
      <c r="I122">
        <v>87</v>
      </c>
      <c r="J122">
        <v>834</v>
      </c>
      <c r="K122">
        <v>711</v>
      </c>
      <c r="L122" s="240" t="s">
        <v>3075</v>
      </c>
      <c r="M122">
        <v>69</v>
      </c>
      <c r="N122" t="s">
        <v>2851</v>
      </c>
      <c r="O122">
        <v>136.27214243</v>
      </c>
    </row>
    <row r="123" spans="1:15">
      <c r="A123">
        <v>143</v>
      </c>
      <c r="B123" t="s">
        <v>2666</v>
      </c>
      <c r="C123" t="s">
        <v>2365</v>
      </c>
      <c r="D123" t="s">
        <v>2460</v>
      </c>
      <c r="E123" t="s">
        <v>2659</v>
      </c>
      <c r="F123" t="s">
        <v>2244</v>
      </c>
      <c r="G123" t="s">
        <v>3035</v>
      </c>
      <c r="H123" t="s">
        <v>3051</v>
      </c>
      <c r="I123">
        <v>501</v>
      </c>
      <c r="J123">
        <v>774</v>
      </c>
      <c r="K123">
        <v>205</v>
      </c>
      <c r="L123" s="240" t="s">
        <v>3076</v>
      </c>
      <c r="M123">
        <v>69</v>
      </c>
      <c r="N123" t="s">
        <v>2851</v>
      </c>
      <c r="O123">
        <v>136.27214243</v>
      </c>
    </row>
    <row r="124" spans="1:15">
      <c r="A124">
        <v>144</v>
      </c>
      <c r="B124" t="s">
        <v>2666</v>
      </c>
      <c r="C124" t="s">
        <v>2366</v>
      </c>
      <c r="D124" t="s">
        <v>2460</v>
      </c>
      <c r="E124" t="s">
        <v>2659</v>
      </c>
      <c r="F124" t="s">
        <v>2244</v>
      </c>
      <c r="G124" t="s">
        <v>3035</v>
      </c>
      <c r="H124" t="s">
        <v>3051</v>
      </c>
      <c r="I124">
        <v>141</v>
      </c>
      <c r="J124">
        <v>779</v>
      </c>
      <c r="K124">
        <v>384</v>
      </c>
      <c r="L124" s="240" t="s">
        <v>3077</v>
      </c>
      <c r="M124">
        <v>69</v>
      </c>
      <c r="N124" t="s">
        <v>2851</v>
      </c>
      <c r="O124">
        <v>136.27214243</v>
      </c>
    </row>
    <row r="125" spans="1:15">
      <c r="A125">
        <v>145</v>
      </c>
      <c r="B125" t="s">
        <v>2666</v>
      </c>
      <c r="C125" t="s">
        <v>2367</v>
      </c>
      <c r="D125" t="s">
        <v>2460</v>
      </c>
      <c r="E125" t="s">
        <v>2659</v>
      </c>
      <c r="F125" t="s">
        <v>2256</v>
      </c>
      <c r="G125" t="s">
        <v>3035</v>
      </c>
      <c r="H125" t="s">
        <v>3036</v>
      </c>
      <c r="I125">
        <v>131</v>
      </c>
      <c r="J125">
        <v>728</v>
      </c>
      <c r="K125">
        <v>72</v>
      </c>
      <c r="L125" s="240" t="s">
        <v>3078</v>
      </c>
      <c r="M125">
        <v>71</v>
      </c>
      <c r="N125" t="s">
        <v>2861</v>
      </c>
      <c r="O125">
        <v>137.19979645800001</v>
      </c>
    </row>
    <row r="126" spans="1:15">
      <c r="A126">
        <v>146</v>
      </c>
      <c r="B126" t="s">
        <v>2666</v>
      </c>
      <c r="C126" t="s">
        <v>2368</v>
      </c>
      <c r="D126" t="s">
        <v>2460</v>
      </c>
      <c r="E126" t="s">
        <v>2659</v>
      </c>
      <c r="F126" t="s">
        <v>2256</v>
      </c>
      <c r="G126" t="s">
        <v>3035</v>
      </c>
      <c r="H126" t="s">
        <v>3036</v>
      </c>
      <c r="I126">
        <v>465</v>
      </c>
      <c r="J126">
        <v>13</v>
      </c>
      <c r="K126">
        <v>336</v>
      </c>
      <c r="L126" s="240" t="s">
        <v>3079</v>
      </c>
      <c r="M126">
        <v>71</v>
      </c>
      <c r="N126" t="s">
        <v>2861</v>
      </c>
      <c r="O126">
        <v>137.19979645800001</v>
      </c>
    </row>
    <row r="127" spans="1:15">
      <c r="A127">
        <v>147</v>
      </c>
      <c r="B127" t="s">
        <v>2666</v>
      </c>
      <c r="C127" t="s">
        <v>2369</v>
      </c>
      <c r="D127" t="s">
        <v>2460</v>
      </c>
      <c r="E127" t="s">
        <v>2659</v>
      </c>
      <c r="F127" t="s">
        <v>2256</v>
      </c>
      <c r="G127" t="s">
        <v>3035</v>
      </c>
      <c r="H127" t="s">
        <v>3036</v>
      </c>
      <c r="I127">
        <v>15</v>
      </c>
      <c r="J127">
        <v>832</v>
      </c>
      <c r="K127">
        <v>303</v>
      </c>
      <c r="L127" s="240" t="s">
        <v>3080</v>
      </c>
      <c r="M127">
        <v>71</v>
      </c>
      <c r="N127" t="s">
        <v>2861</v>
      </c>
      <c r="O127">
        <v>137.19979645800001</v>
      </c>
    </row>
    <row r="128" spans="1:15">
      <c r="A128">
        <v>148</v>
      </c>
      <c r="B128" t="s">
        <v>2666</v>
      </c>
      <c r="C128" t="s">
        <v>2370</v>
      </c>
      <c r="D128" t="s">
        <v>2460</v>
      </c>
      <c r="E128" t="s">
        <v>2659</v>
      </c>
      <c r="F128" t="s">
        <v>2256</v>
      </c>
      <c r="G128" t="s">
        <v>3035</v>
      </c>
      <c r="H128" t="s">
        <v>3036</v>
      </c>
      <c r="I128">
        <v>290</v>
      </c>
      <c r="J128">
        <v>823</v>
      </c>
      <c r="K128">
        <v>161</v>
      </c>
      <c r="L128" s="240" t="s">
        <v>3081</v>
      </c>
      <c r="M128">
        <v>71</v>
      </c>
      <c r="N128" t="s">
        <v>2861</v>
      </c>
      <c r="O128">
        <v>137.19979645800001</v>
      </c>
    </row>
    <row r="129" spans="1:15">
      <c r="A129">
        <v>149</v>
      </c>
      <c r="B129" t="s">
        <v>2666</v>
      </c>
      <c r="C129" t="s">
        <v>2371</v>
      </c>
      <c r="D129" t="s">
        <v>2460</v>
      </c>
      <c r="E129" t="s">
        <v>2659</v>
      </c>
      <c r="F129" t="s">
        <v>2256</v>
      </c>
      <c r="G129" t="s">
        <v>3035</v>
      </c>
      <c r="H129" t="s">
        <v>3036</v>
      </c>
      <c r="I129">
        <v>194</v>
      </c>
      <c r="J129">
        <v>703</v>
      </c>
      <c r="K129">
        <v>464</v>
      </c>
      <c r="L129" s="240" t="s">
        <v>3082</v>
      </c>
      <c r="M129">
        <v>71</v>
      </c>
      <c r="N129" t="s">
        <v>2861</v>
      </c>
      <c r="O129">
        <v>137.19979645800001</v>
      </c>
    </row>
    <row r="130" spans="1:15">
      <c r="A130">
        <v>150</v>
      </c>
      <c r="B130" t="s">
        <v>2666</v>
      </c>
      <c r="C130" t="s">
        <v>2372</v>
      </c>
      <c r="D130" t="s">
        <v>2460</v>
      </c>
      <c r="E130" t="s">
        <v>2659</v>
      </c>
      <c r="F130" t="s">
        <v>2256</v>
      </c>
      <c r="G130" t="s">
        <v>3035</v>
      </c>
      <c r="H130" t="s">
        <v>3036</v>
      </c>
      <c r="I130">
        <v>272</v>
      </c>
      <c r="J130">
        <v>668</v>
      </c>
      <c r="K130">
        <v>843</v>
      </c>
      <c r="L130" s="240" t="s">
        <v>3083</v>
      </c>
      <c r="M130">
        <v>71</v>
      </c>
      <c r="N130" t="s">
        <v>2861</v>
      </c>
      <c r="O130">
        <v>137.19979645800001</v>
      </c>
    </row>
    <row r="131" spans="1:15">
      <c r="A131">
        <v>152</v>
      </c>
      <c r="B131" t="s">
        <v>2666</v>
      </c>
      <c r="C131" t="s">
        <v>2374</v>
      </c>
      <c r="D131" t="s">
        <v>2460</v>
      </c>
      <c r="E131" t="s">
        <v>2659</v>
      </c>
      <c r="F131" t="s">
        <v>2256</v>
      </c>
      <c r="G131" t="s">
        <v>3035</v>
      </c>
      <c r="H131" t="s">
        <v>3036</v>
      </c>
      <c r="I131">
        <v>198</v>
      </c>
      <c r="J131">
        <v>788</v>
      </c>
      <c r="K131">
        <v>617</v>
      </c>
      <c r="L131" s="240" t="s">
        <v>3084</v>
      </c>
      <c r="M131">
        <v>71</v>
      </c>
      <c r="N131" t="s">
        <v>2861</v>
      </c>
      <c r="O131">
        <v>137.19979645800001</v>
      </c>
    </row>
    <row r="132" spans="1:15">
      <c r="A132">
        <v>153</v>
      </c>
      <c r="B132" t="s">
        <v>2666</v>
      </c>
      <c r="C132" t="s">
        <v>2376</v>
      </c>
      <c r="D132" t="s">
        <v>2460</v>
      </c>
      <c r="E132" t="s">
        <v>2659</v>
      </c>
      <c r="F132" t="s">
        <v>2265</v>
      </c>
      <c r="G132" t="s">
        <v>3035</v>
      </c>
      <c r="H132" t="s">
        <v>3036</v>
      </c>
      <c r="I132">
        <v>197</v>
      </c>
      <c r="J132">
        <v>735</v>
      </c>
      <c r="K132">
        <v>19</v>
      </c>
      <c r="L132" s="240" t="s">
        <v>3085</v>
      </c>
      <c r="M132">
        <v>71</v>
      </c>
      <c r="N132" t="s">
        <v>2870</v>
      </c>
      <c r="O132">
        <v>137.19979645800001</v>
      </c>
    </row>
    <row r="133" spans="1:15">
      <c r="A133">
        <v>154</v>
      </c>
      <c r="B133" t="s">
        <v>2666</v>
      </c>
      <c r="C133" t="s">
        <v>2377</v>
      </c>
      <c r="D133" t="s">
        <v>2460</v>
      </c>
      <c r="E133" t="s">
        <v>2659</v>
      </c>
      <c r="F133" t="s">
        <v>2265</v>
      </c>
      <c r="G133" t="s">
        <v>3035</v>
      </c>
      <c r="H133" t="s">
        <v>3036</v>
      </c>
      <c r="I133">
        <v>127</v>
      </c>
      <c r="J133">
        <v>836</v>
      </c>
      <c r="K133">
        <v>275</v>
      </c>
      <c r="L133" s="240" t="s">
        <v>3086</v>
      </c>
      <c r="M133">
        <v>71</v>
      </c>
      <c r="N133" t="s">
        <v>2870</v>
      </c>
      <c r="O133">
        <v>137.19979645800001</v>
      </c>
    </row>
    <row r="134" spans="1:15">
      <c r="A134">
        <v>155</v>
      </c>
      <c r="B134" t="s">
        <v>2666</v>
      </c>
      <c r="C134" t="s">
        <v>2378</v>
      </c>
      <c r="D134" t="s">
        <v>2460</v>
      </c>
      <c r="E134" t="s">
        <v>2659</v>
      </c>
      <c r="F134" t="s">
        <v>2265</v>
      </c>
      <c r="G134" t="s">
        <v>3035</v>
      </c>
      <c r="H134" t="s">
        <v>3036</v>
      </c>
      <c r="I134">
        <v>253</v>
      </c>
      <c r="J134">
        <v>337</v>
      </c>
      <c r="K134">
        <v>289</v>
      </c>
      <c r="L134" s="240" t="s">
        <v>3087</v>
      </c>
      <c r="M134">
        <v>71</v>
      </c>
      <c r="N134" t="s">
        <v>2870</v>
      </c>
      <c r="O134">
        <v>137.19979645800001</v>
      </c>
    </row>
    <row r="135" spans="1:15">
      <c r="A135">
        <v>156</v>
      </c>
      <c r="B135" t="s">
        <v>2666</v>
      </c>
      <c r="C135" t="s">
        <v>2379</v>
      </c>
      <c r="D135" t="s">
        <v>2460</v>
      </c>
      <c r="E135" t="s">
        <v>2659</v>
      </c>
      <c r="F135" t="s">
        <v>2265</v>
      </c>
      <c r="G135" t="s">
        <v>3035</v>
      </c>
      <c r="H135" t="s">
        <v>3036</v>
      </c>
      <c r="I135">
        <v>47</v>
      </c>
      <c r="J135">
        <v>118</v>
      </c>
      <c r="K135">
        <v>65</v>
      </c>
      <c r="L135" s="240" t="s">
        <v>3088</v>
      </c>
      <c r="M135">
        <v>71</v>
      </c>
      <c r="N135" t="s">
        <v>2870</v>
      </c>
      <c r="O135">
        <v>137.19979645800001</v>
      </c>
    </row>
    <row r="136" spans="1:15">
      <c r="A136">
        <v>157</v>
      </c>
      <c r="B136" t="s">
        <v>2666</v>
      </c>
      <c r="C136" t="s">
        <v>2381</v>
      </c>
      <c r="D136" t="s">
        <v>2460</v>
      </c>
      <c r="E136" t="s">
        <v>2659</v>
      </c>
      <c r="F136" t="s">
        <v>2265</v>
      </c>
      <c r="G136" t="s">
        <v>3035</v>
      </c>
      <c r="H136" t="s">
        <v>3036</v>
      </c>
      <c r="I136">
        <v>328</v>
      </c>
      <c r="J136">
        <v>478</v>
      </c>
      <c r="K136">
        <v>33</v>
      </c>
      <c r="L136" s="240" t="s">
        <v>3089</v>
      </c>
      <c r="M136">
        <v>71</v>
      </c>
      <c r="N136" t="s">
        <v>2870</v>
      </c>
      <c r="O136">
        <v>137.19979645800001</v>
      </c>
    </row>
    <row r="137" spans="1:15">
      <c r="A137">
        <v>158</v>
      </c>
      <c r="B137" t="s">
        <v>2666</v>
      </c>
      <c r="C137" t="s">
        <v>2382</v>
      </c>
      <c r="D137" t="s">
        <v>2460</v>
      </c>
      <c r="E137" t="s">
        <v>2659</v>
      </c>
      <c r="F137" t="s">
        <v>2265</v>
      </c>
      <c r="G137" t="s">
        <v>3035</v>
      </c>
      <c r="H137" t="s">
        <v>3036</v>
      </c>
      <c r="I137">
        <v>21</v>
      </c>
      <c r="J137">
        <v>773</v>
      </c>
      <c r="K137">
        <v>153</v>
      </c>
      <c r="L137" s="240" t="s">
        <v>3090</v>
      </c>
      <c r="M137">
        <v>71</v>
      </c>
      <c r="N137" t="s">
        <v>2870</v>
      </c>
      <c r="O137">
        <v>137.19979645800001</v>
      </c>
    </row>
    <row r="138" spans="1:15">
      <c r="A138">
        <v>160</v>
      </c>
      <c r="B138" t="s">
        <v>2666</v>
      </c>
      <c r="C138" t="s">
        <v>2384</v>
      </c>
      <c r="D138" t="s">
        <v>2460</v>
      </c>
      <c r="E138" t="s">
        <v>2659</v>
      </c>
      <c r="F138" t="s">
        <v>2265</v>
      </c>
      <c r="G138" t="s">
        <v>3035</v>
      </c>
      <c r="H138" t="s">
        <v>3036</v>
      </c>
      <c r="I138">
        <v>482</v>
      </c>
      <c r="J138">
        <v>401</v>
      </c>
      <c r="K138">
        <v>175</v>
      </c>
      <c r="L138" s="240" t="s">
        <v>3091</v>
      </c>
      <c r="M138">
        <v>71</v>
      </c>
      <c r="N138" t="s">
        <v>2870</v>
      </c>
      <c r="O138">
        <v>137.19979645800001</v>
      </c>
    </row>
    <row r="139" spans="1:15">
      <c r="A139">
        <v>161</v>
      </c>
      <c r="B139" t="s">
        <v>2385</v>
      </c>
      <c r="C139" t="s">
        <v>2386</v>
      </c>
      <c r="D139" t="s">
        <v>2460</v>
      </c>
      <c r="E139" t="s">
        <v>2659</v>
      </c>
      <c r="F139" t="s">
        <v>2278</v>
      </c>
      <c r="G139" t="s">
        <v>3092</v>
      </c>
      <c r="H139" t="s">
        <v>3093</v>
      </c>
      <c r="I139">
        <v>51</v>
      </c>
      <c r="J139">
        <v>673</v>
      </c>
      <c r="K139">
        <v>207</v>
      </c>
      <c r="L139" s="240" t="s">
        <v>3094</v>
      </c>
      <c r="M139">
        <v>69</v>
      </c>
      <c r="N139" t="s">
        <v>2881</v>
      </c>
      <c r="O139">
        <v>162.634207253</v>
      </c>
    </row>
    <row r="140" spans="1:15">
      <c r="A140">
        <v>162</v>
      </c>
      <c r="B140" t="s">
        <v>2385</v>
      </c>
      <c r="C140" t="s">
        <v>2387</v>
      </c>
      <c r="D140" t="s">
        <v>2460</v>
      </c>
      <c r="E140" t="s">
        <v>2659</v>
      </c>
      <c r="F140" t="s">
        <v>2278</v>
      </c>
      <c r="G140" t="s">
        <v>3092</v>
      </c>
      <c r="H140" t="s">
        <v>3093</v>
      </c>
      <c r="I140">
        <v>238</v>
      </c>
      <c r="J140">
        <v>814</v>
      </c>
      <c r="K140">
        <v>580</v>
      </c>
      <c r="L140" s="240" t="s">
        <v>3095</v>
      </c>
      <c r="M140">
        <v>69</v>
      </c>
      <c r="N140" t="s">
        <v>2881</v>
      </c>
      <c r="O140">
        <v>162.634207253</v>
      </c>
    </row>
    <row r="141" spans="1:15">
      <c r="A141">
        <v>163</v>
      </c>
      <c r="B141" t="s">
        <v>2385</v>
      </c>
      <c r="C141" t="s">
        <v>2388</v>
      </c>
      <c r="D141" t="s">
        <v>2460</v>
      </c>
      <c r="E141" t="s">
        <v>2659</v>
      </c>
      <c r="F141" t="s">
        <v>2278</v>
      </c>
      <c r="G141" t="s">
        <v>3092</v>
      </c>
      <c r="H141" t="s">
        <v>3093</v>
      </c>
      <c r="I141">
        <v>59</v>
      </c>
      <c r="J141">
        <v>615</v>
      </c>
      <c r="K141">
        <v>722</v>
      </c>
      <c r="L141" s="240" t="s">
        <v>3096</v>
      </c>
      <c r="M141">
        <v>69</v>
      </c>
      <c r="N141" t="s">
        <v>2881</v>
      </c>
      <c r="O141">
        <v>162.634207253</v>
      </c>
    </row>
    <row r="142" spans="1:15">
      <c r="A142">
        <v>164</v>
      </c>
      <c r="B142" t="s">
        <v>2385</v>
      </c>
      <c r="C142" t="s">
        <v>2389</v>
      </c>
      <c r="D142" t="s">
        <v>2460</v>
      </c>
      <c r="E142" t="s">
        <v>2659</v>
      </c>
      <c r="F142" t="s">
        <v>2278</v>
      </c>
      <c r="G142" t="s">
        <v>3092</v>
      </c>
      <c r="H142" t="s">
        <v>3093</v>
      </c>
      <c r="I142">
        <v>7</v>
      </c>
      <c r="J142">
        <v>514</v>
      </c>
      <c r="K142">
        <v>239</v>
      </c>
      <c r="L142" s="240" t="s">
        <v>3097</v>
      </c>
      <c r="M142">
        <v>69</v>
      </c>
      <c r="N142" t="s">
        <v>2881</v>
      </c>
      <c r="O142">
        <v>162.634207253</v>
      </c>
    </row>
    <row r="143" spans="1:15">
      <c r="A143">
        <v>165</v>
      </c>
      <c r="B143" t="s">
        <v>2385</v>
      </c>
      <c r="C143" t="s">
        <v>2390</v>
      </c>
      <c r="D143" t="s">
        <v>2460</v>
      </c>
      <c r="E143" t="s">
        <v>2659</v>
      </c>
      <c r="F143" t="s">
        <v>2278</v>
      </c>
      <c r="G143" t="s">
        <v>3092</v>
      </c>
      <c r="H143" t="s">
        <v>3093</v>
      </c>
      <c r="I143">
        <v>85</v>
      </c>
      <c r="J143">
        <v>127</v>
      </c>
      <c r="K143">
        <v>343</v>
      </c>
      <c r="L143" s="240" t="s">
        <v>3098</v>
      </c>
      <c r="M143">
        <v>69</v>
      </c>
      <c r="N143" t="s">
        <v>2881</v>
      </c>
      <c r="O143">
        <v>162.634207253</v>
      </c>
    </row>
    <row r="144" spans="1:15">
      <c r="A144">
        <v>166</v>
      </c>
      <c r="B144" t="s">
        <v>2385</v>
      </c>
      <c r="C144" t="s">
        <v>2391</v>
      </c>
      <c r="D144" t="s">
        <v>2460</v>
      </c>
      <c r="E144" t="s">
        <v>2659</v>
      </c>
      <c r="F144" t="s">
        <v>2278</v>
      </c>
      <c r="G144" t="s">
        <v>3092</v>
      </c>
      <c r="H144" t="s">
        <v>3093</v>
      </c>
      <c r="I144">
        <v>1</v>
      </c>
      <c r="J144">
        <v>752</v>
      </c>
      <c r="K144">
        <v>409</v>
      </c>
      <c r="L144" s="240" t="s">
        <v>2925</v>
      </c>
      <c r="M144">
        <v>69</v>
      </c>
      <c r="N144" t="s">
        <v>2881</v>
      </c>
      <c r="O144">
        <v>162.634207253</v>
      </c>
    </row>
    <row r="145" spans="1:15">
      <c r="A145">
        <v>168</v>
      </c>
      <c r="B145" t="s">
        <v>2385</v>
      </c>
      <c r="C145" t="s">
        <v>2394</v>
      </c>
      <c r="D145" t="s">
        <v>2460</v>
      </c>
      <c r="E145" t="s">
        <v>2659</v>
      </c>
      <c r="F145" t="s">
        <v>2278</v>
      </c>
      <c r="G145" t="s">
        <v>3092</v>
      </c>
      <c r="H145" t="s">
        <v>3093</v>
      </c>
      <c r="I145">
        <v>70</v>
      </c>
      <c r="J145">
        <v>690</v>
      </c>
      <c r="K145">
        <v>304</v>
      </c>
      <c r="L145" s="240" t="s">
        <v>3099</v>
      </c>
      <c r="M145">
        <v>69</v>
      </c>
      <c r="N145" t="s">
        <v>2881</v>
      </c>
      <c r="O145">
        <v>162.634207253</v>
      </c>
    </row>
    <row r="146" spans="1:15">
      <c r="A146">
        <v>169</v>
      </c>
      <c r="B146" t="s">
        <v>2385</v>
      </c>
      <c r="C146" t="s">
        <v>2395</v>
      </c>
      <c r="D146" t="s">
        <v>2460</v>
      </c>
      <c r="E146" t="s">
        <v>2659</v>
      </c>
      <c r="F146" t="s">
        <v>2287</v>
      </c>
      <c r="G146" t="s">
        <v>3092</v>
      </c>
      <c r="H146" t="s">
        <v>3093</v>
      </c>
      <c r="I146">
        <v>250</v>
      </c>
      <c r="J146">
        <v>684</v>
      </c>
      <c r="K146">
        <v>135</v>
      </c>
      <c r="L146" s="240" t="s">
        <v>3100</v>
      </c>
      <c r="M146">
        <v>69</v>
      </c>
      <c r="N146" t="s">
        <v>2890</v>
      </c>
      <c r="O146">
        <v>162.634207253</v>
      </c>
    </row>
    <row r="147" spans="1:15">
      <c r="A147">
        <v>170</v>
      </c>
      <c r="B147" t="s">
        <v>2385</v>
      </c>
      <c r="C147" t="s">
        <v>2396</v>
      </c>
      <c r="D147" t="s">
        <v>2460</v>
      </c>
      <c r="E147" t="s">
        <v>2659</v>
      </c>
      <c r="F147" t="s">
        <v>2287</v>
      </c>
      <c r="G147" t="s">
        <v>3092</v>
      </c>
      <c r="H147" t="s">
        <v>3093</v>
      </c>
      <c r="I147">
        <v>624</v>
      </c>
      <c r="J147">
        <v>694</v>
      </c>
      <c r="K147">
        <v>515</v>
      </c>
      <c r="L147" s="240" t="s">
        <v>3101</v>
      </c>
      <c r="M147">
        <v>69</v>
      </c>
      <c r="N147" t="s">
        <v>2890</v>
      </c>
      <c r="O147">
        <v>162.634207253</v>
      </c>
    </row>
    <row r="148" spans="1:15">
      <c r="A148">
        <v>171</v>
      </c>
      <c r="B148" t="s">
        <v>2385</v>
      </c>
      <c r="C148" t="s">
        <v>2397</v>
      </c>
      <c r="D148" t="s">
        <v>2460</v>
      </c>
      <c r="E148" t="s">
        <v>2659</v>
      </c>
      <c r="F148" t="s">
        <v>2287</v>
      </c>
      <c r="G148" t="s">
        <v>3092</v>
      </c>
      <c r="H148" t="s">
        <v>3093</v>
      </c>
      <c r="I148">
        <v>149</v>
      </c>
      <c r="J148">
        <v>655</v>
      </c>
      <c r="K148">
        <v>348</v>
      </c>
      <c r="L148" s="240" t="s">
        <v>3102</v>
      </c>
      <c r="M148">
        <v>69</v>
      </c>
      <c r="N148" t="s">
        <v>2890</v>
      </c>
      <c r="O148">
        <v>162.634207253</v>
      </c>
    </row>
    <row r="149" spans="1:15">
      <c r="A149">
        <v>173</v>
      </c>
      <c r="B149" t="s">
        <v>2385</v>
      </c>
      <c r="C149" t="s">
        <v>2399</v>
      </c>
      <c r="D149" t="s">
        <v>2460</v>
      </c>
      <c r="E149" t="s">
        <v>2659</v>
      </c>
      <c r="F149" t="s">
        <v>2287</v>
      </c>
      <c r="G149" t="s">
        <v>3092</v>
      </c>
      <c r="H149" t="s">
        <v>3093</v>
      </c>
      <c r="I149">
        <v>597</v>
      </c>
      <c r="J149">
        <v>405</v>
      </c>
      <c r="K149">
        <v>307</v>
      </c>
      <c r="L149" s="240" t="s">
        <v>3103</v>
      </c>
      <c r="M149">
        <v>69</v>
      </c>
      <c r="N149" t="s">
        <v>2890</v>
      </c>
      <c r="O149">
        <v>162.634207253</v>
      </c>
    </row>
    <row r="150" spans="1:15">
      <c r="A150">
        <v>174</v>
      </c>
      <c r="B150" t="s">
        <v>2385</v>
      </c>
      <c r="C150" t="s">
        <v>2400</v>
      </c>
      <c r="D150" t="s">
        <v>2460</v>
      </c>
      <c r="E150" t="s">
        <v>2659</v>
      </c>
      <c r="F150" t="s">
        <v>2287</v>
      </c>
      <c r="G150" t="s">
        <v>3092</v>
      </c>
      <c r="H150" t="s">
        <v>3093</v>
      </c>
      <c r="I150">
        <v>396</v>
      </c>
      <c r="J150">
        <v>736</v>
      </c>
      <c r="K150">
        <v>155</v>
      </c>
      <c r="L150" s="240" t="s">
        <v>3104</v>
      </c>
      <c r="M150">
        <v>69</v>
      </c>
      <c r="N150" t="s">
        <v>2890</v>
      </c>
      <c r="O150">
        <v>162.634207253</v>
      </c>
    </row>
    <row r="151" spans="1:15">
      <c r="A151">
        <v>175</v>
      </c>
      <c r="B151" t="s">
        <v>2385</v>
      </c>
      <c r="C151" t="s">
        <v>2401</v>
      </c>
      <c r="D151" t="s">
        <v>2460</v>
      </c>
      <c r="E151" t="s">
        <v>2659</v>
      </c>
      <c r="F151" t="s">
        <v>2287</v>
      </c>
      <c r="G151" t="s">
        <v>3092</v>
      </c>
      <c r="H151" t="s">
        <v>3093</v>
      </c>
      <c r="I151">
        <v>612</v>
      </c>
      <c r="J151">
        <v>338</v>
      </c>
      <c r="K151">
        <v>719</v>
      </c>
      <c r="L151" s="240" t="s">
        <v>3105</v>
      </c>
      <c r="M151">
        <v>69</v>
      </c>
      <c r="N151" t="s">
        <v>2890</v>
      </c>
      <c r="O151">
        <v>162.634207253</v>
      </c>
    </row>
    <row r="152" spans="1:15">
      <c r="A152">
        <v>176</v>
      </c>
      <c r="B152" t="s">
        <v>2385</v>
      </c>
      <c r="C152" t="s">
        <v>2402</v>
      </c>
      <c r="D152" t="s">
        <v>2460</v>
      </c>
      <c r="E152" t="s">
        <v>2659</v>
      </c>
      <c r="F152" t="s">
        <v>2287</v>
      </c>
      <c r="G152" t="s">
        <v>3092</v>
      </c>
      <c r="H152" t="s">
        <v>3093</v>
      </c>
      <c r="I152">
        <v>183</v>
      </c>
      <c r="J152">
        <v>52</v>
      </c>
      <c r="K152">
        <v>323</v>
      </c>
      <c r="L152" s="240" t="s">
        <v>3106</v>
      </c>
      <c r="M152">
        <v>69</v>
      </c>
      <c r="N152" t="s">
        <v>2890</v>
      </c>
      <c r="O152">
        <v>162.634207253</v>
      </c>
    </row>
    <row r="153" spans="1:15">
      <c r="A153">
        <v>177</v>
      </c>
      <c r="B153" t="s">
        <v>2385</v>
      </c>
      <c r="C153" t="s">
        <v>2403</v>
      </c>
      <c r="D153" t="s">
        <v>2460</v>
      </c>
      <c r="E153" t="s">
        <v>2659</v>
      </c>
      <c r="F153" t="s">
        <v>2296</v>
      </c>
      <c r="G153" t="s">
        <v>3092</v>
      </c>
      <c r="H153" t="s">
        <v>3093</v>
      </c>
      <c r="I153">
        <v>98</v>
      </c>
      <c r="J153">
        <v>750</v>
      </c>
      <c r="K153">
        <v>14</v>
      </c>
      <c r="L153" s="240" t="s">
        <v>3107</v>
      </c>
      <c r="M153">
        <v>69</v>
      </c>
      <c r="N153" t="s">
        <v>2899</v>
      </c>
      <c r="O153">
        <v>162.634207253</v>
      </c>
    </row>
    <row r="154" spans="1:15">
      <c r="A154">
        <v>178</v>
      </c>
      <c r="B154" t="s">
        <v>2385</v>
      </c>
      <c r="C154" t="s">
        <v>2404</v>
      </c>
      <c r="D154" t="s">
        <v>2460</v>
      </c>
      <c r="E154" t="s">
        <v>2659</v>
      </c>
      <c r="F154" t="s">
        <v>2296</v>
      </c>
      <c r="G154" t="s">
        <v>3092</v>
      </c>
      <c r="H154" t="s">
        <v>3093</v>
      </c>
      <c r="I154">
        <v>353</v>
      </c>
      <c r="J154">
        <v>612</v>
      </c>
      <c r="K154">
        <v>410</v>
      </c>
      <c r="L154" s="240" t="s">
        <v>3108</v>
      </c>
      <c r="M154">
        <v>69</v>
      </c>
      <c r="N154" t="s">
        <v>2899</v>
      </c>
      <c r="O154">
        <v>162.634207253</v>
      </c>
    </row>
    <row r="155" spans="1:15">
      <c r="A155">
        <v>179</v>
      </c>
      <c r="B155" t="s">
        <v>2385</v>
      </c>
      <c r="C155" t="s">
        <v>2405</v>
      </c>
      <c r="D155" t="s">
        <v>2460</v>
      </c>
      <c r="E155" t="s">
        <v>2659</v>
      </c>
      <c r="F155" t="s">
        <v>2296</v>
      </c>
      <c r="G155" t="s">
        <v>3092</v>
      </c>
      <c r="H155" t="s">
        <v>3093</v>
      </c>
      <c r="I155">
        <v>42</v>
      </c>
      <c r="J155">
        <v>491</v>
      </c>
      <c r="K155">
        <v>78</v>
      </c>
      <c r="L155" s="240" t="s">
        <v>3109</v>
      </c>
      <c r="M155">
        <v>69</v>
      </c>
      <c r="N155" t="s">
        <v>2899</v>
      </c>
      <c r="O155">
        <v>162.634207253</v>
      </c>
    </row>
    <row r="156" spans="1:15">
      <c r="A156">
        <v>180</v>
      </c>
      <c r="B156" t="s">
        <v>2385</v>
      </c>
      <c r="C156" t="s">
        <v>2406</v>
      </c>
      <c r="D156" t="s">
        <v>2460</v>
      </c>
      <c r="E156" t="s">
        <v>2659</v>
      </c>
      <c r="F156" t="s">
        <v>2296</v>
      </c>
      <c r="G156" t="s">
        <v>3092</v>
      </c>
      <c r="H156" t="s">
        <v>3093</v>
      </c>
      <c r="I156">
        <v>245</v>
      </c>
      <c r="J156">
        <v>325</v>
      </c>
      <c r="K156">
        <v>422</v>
      </c>
      <c r="L156" s="240" t="s">
        <v>3110</v>
      </c>
      <c r="M156">
        <v>69</v>
      </c>
      <c r="N156" t="s">
        <v>2899</v>
      </c>
      <c r="O156">
        <v>162.634207253</v>
      </c>
    </row>
    <row r="157" spans="1:15">
      <c r="A157">
        <v>181</v>
      </c>
      <c r="B157" t="s">
        <v>2385</v>
      </c>
      <c r="C157" t="s">
        <v>2407</v>
      </c>
      <c r="D157" t="s">
        <v>2460</v>
      </c>
      <c r="E157" t="s">
        <v>2659</v>
      </c>
      <c r="F157" t="s">
        <v>2296</v>
      </c>
      <c r="G157" t="s">
        <v>3092</v>
      </c>
      <c r="H157" t="s">
        <v>3093</v>
      </c>
      <c r="I157">
        <v>411</v>
      </c>
      <c r="J157">
        <v>116</v>
      </c>
      <c r="K157">
        <v>870</v>
      </c>
      <c r="L157" s="240" t="s">
        <v>3111</v>
      </c>
      <c r="M157">
        <v>69</v>
      </c>
      <c r="N157" t="s">
        <v>2899</v>
      </c>
      <c r="O157">
        <v>162.634207253</v>
      </c>
    </row>
    <row r="158" spans="1:15">
      <c r="A158">
        <v>182</v>
      </c>
      <c r="B158" t="s">
        <v>2385</v>
      </c>
      <c r="C158" t="s">
        <v>2408</v>
      </c>
      <c r="D158" t="s">
        <v>2460</v>
      </c>
      <c r="E158" t="s">
        <v>2659</v>
      </c>
      <c r="F158" t="s">
        <v>2296</v>
      </c>
      <c r="G158" t="s">
        <v>3092</v>
      </c>
      <c r="H158" t="s">
        <v>3093</v>
      </c>
      <c r="I158">
        <v>309</v>
      </c>
      <c r="J158">
        <v>613</v>
      </c>
      <c r="K158">
        <v>136</v>
      </c>
      <c r="L158" s="240" t="s">
        <v>3112</v>
      </c>
      <c r="M158">
        <v>69</v>
      </c>
      <c r="N158" t="s">
        <v>2899</v>
      </c>
      <c r="O158">
        <v>162.634207253</v>
      </c>
    </row>
    <row r="159" spans="1:15">
      <c r="A159">
        <v>184</v>
      </c>
      <c r="B159" t="s">
        <v>2385</v>
      </c>
      <c r="C159" t="s">
        <v>2410</v>
      </c>
      <c r="D159" t="s">
        <v>2460</v>
      </c>
      <c r="E159" t="s">
        <v>2659</v>
      </c>
      <c r="F159" t="s">
        <v>2296</v>
      </c>
      <c r="G159" t="s">
        <v>3092</v>
      </c>
      <c r="H159" t="s">
        <v>3093</v>
      </c>
      <c r="I159">
        <v>235</v>
      </c>
      <c r="J159">
        <v>179</v>
      </c>
      <c r="K159">
        <v>266</v>
      </c>
      <c r="L159" s="240" t="s">
        <v>3113</v>
      </c>
      <c r="M159">
        <v>69</v>
      </c>
      <c r="N159" t="s">
        <v>2899</v>
      </c>
      <c r="O159">
        <v>162.634207253</v>
      </c>
    </row>
    <row r="160" spans="1:15">
      <c r="A160">
        <v>185</v>
      </c>
      <c r="B160" t="s">
        <v>2385</v>
      </c>
      <c r="C160" t="s">
        <v>2412</v>
      </c>
      <c r="D160" t="s">
        <v>2460</v>
      </c>
      <c r="E160" t="s">
        <v>2659</v>
      </c>
      <c r="F160" t="s">
        <v>2306</v>
      </c>
      <c r="G160" t="s">
        <v>3092</v>
      </c>
      <c r="H160" t="s">
        <v>3093</v>
      </c>
      <c r="I160">
        <v>369</v>
      </c>
      <c r="J160">
        <v>300</v>
      </c>
      <c r="K160">
        <v>165</v>
      </c>
      <c r="L160" s="240" t="s">
        <v>3114</v>
      </c>
      <c r="M160">
        <v>69</v>
      </c>
      <c r="N160" t="s">
        <v>2908</v>
      </c>
      <c r="O160">
        <v>162.634207253</v>
      </c>
    </row>
    <row r="161" spans="1:15">
      <c r="A161">
        <v>186</v>
      </c>
      <c r="B161" t="s">
        <v>2385</v>
      </c>
      <c r="C161" t="s">
        <v>2413</v>
      </c>
      <c r="D161" t="s">
        <v>2460</v>
      </c>
      <c r="E161" t="s">
        <v>2659</v>
      </c>
      <c r="F161" t="s">
        <v>2306</v>
      </c>
      <c r="G161" t="s">
        <v>3092</v>
      </c>
      <c r="H161" t="s">
        <v>3093</v>
      </c>
      <c r="I161">
        <v>295</v>
      </c>
      <c r="J161">
        <v>717</v>
      </c>
      <c r="K161">
        <v>22</v>
      </c>
      <c r="L161" s="240" t="s">
        <v>3115</v>
      </c>
      <c r="M161">
        <v>69</v>
      </c>
      <c r="N161" t="s">
        <v>2908</v>
      </c>
      <c r="O161">
        <v>162.634207253</v>
      </c>
    </row>
    <row r="162" spans="1:15">
      <c r="A162">
        <v>187</v>
      </c>
      <c r="B162" t="s">
        <v>2385</v>
      </c>
      <c r="C162" t="s">
        <v>2414</v>
      </c>
      <c r="D162" t="s">
        <v>2460</v>
      </c>
      <c r="E162" t="s">
        <v>2659</v>
      </c>
      <c r="F162" t="s">
        <v>2306</v>
      </c>
      <c r="G162" t="s">
        <v>3092</v>
      </c>
      <c r="H162" t="s">
        <v>3093</v>
      </c>
      <c r="I162">
        <v>242</v>
      </c>
      <c r="J162">
        <v>759</v>
      </c>
      <c r="K162">
        <v>371</v>
      </c>
      <c r="L162" s="240" t="s">
        <v>3116</v>
      </c>
      <c r="M162">
        <v>69</v>
      </c>
      <c r="N162" t="s">
        <v>2908</v>
      </c>
      <c r="O162">
        <v>162.634207253</v>
      </c>
    </row>
    <row r="163" spans="1:15">
      <c r="A163">
        <v>188</v>
      </c>
      <c r="B163" t="s">
        <v>2385</v>
      </c>
      <c r="C163" t="s">
        <v>2415</v>
      </c>
      <c r="D163" t="s">
        <v>2460</v>
      </c>
      <c r="E163" t="s">
        <v>2659</v>
      </c>
      <c r="F163" t="s">
        <v>2306</v>
      </c>
      <c r="G163" t="s">
        <v>3092</v>
      </c>
      <c r="H163" t="s">
        <v>3093</v>
      </c>
      <c r="I163">
        <v>146</v>
      </c>
      <c r="J163">
        <v>357</v>
      </c>
      <c r="K163">
        <v>185</v>
      </c>
      <c r="L163" s="240" t="s">
        <v>3117</v>
      </c>
      <c r="M163">
        <v>69</v>
      </c>
      <c r="N163" t="s">
        <v>2908</v>
      </c>
      <c r="O163">
        <v>162.634207253</v>
      </c>
    </row>
    <row r="164" spans="1:15">
      <c r="A164">
        <v>189</v>
      </c>
      <c r="B164" t="s">
        <v>2385</v>
      </c>
      <c r="C164" t="s">
        <v>2417</v>
      </c>
      <c r="D164" t="s">
        <v>2460</v>
      </c>
      <c r="E164" t="s">
        <v>2659</v>
      </c>
      <c r="F164" t="s">
        <v>2306</v>
      </c>
      <c r="G164" t="s">
        <v>3092</v>
      </c>
      <c r="H164" t="s">
        <v>3093</v>
      </c>
      <c r="I164">
        <v>144</v>
      </c>
      <c r="J164">
        <v>18</v>
      </c>
      <c r="K164">
        <v>301</v>
      </c>
      <c r="L164" s="240" t="s">
        <v>3118</v>
      </c>
      <c r="M164">
        <v>69</v>
      </c>
      <c r="N164" t="s">
        <v>2908</v>
      </c>
      <c r="O164">
        <v>162.634207253</v>
      </c>
    </row>
    <row r="165" spans="1:15">
      <c r="A165">
        <v>190</v>
      </c>
      <c r="B165" t="s">
        <v>2385</v>
      </c>
      <c r="C165" t="s">
        <v>2418</v>
      </c>
      <c r="D165" t="s">
        <v>2460</v>
      </c>
      <c r="E165" t="s">
        <v>2659</v>
      </c>
      <c r="F165" t="s">
        <v>2306</v>
      </c>
      <c r="G165" t="s">
        <v>3092</v>
      </c>
      <c r="H165" t="s">
        <v>3093</v>
      </c>
      <c r="I165">
        <v>171</v>
      </c>
      <c r="J165">
        <v>397</v>
      </c>
      <c r="K165">
        <v>466</v>
      </c>
      <c r="L165" s="240" t="s">
        <v>3119</v>
      </c>
      <c r="M165">
        <v>69</v>
      </c>
      <c r="N165" t="s">
        <v>2908</v>
      </c>
      <c r="O165">
        <v>162.634207253</v>
      </c>
    </row>
    <row r="166" spans="1:15">
      <c r="A166">
        <v>191</v>
      </c>
      <c r="B166" t="s">
        <v>2385</v>
      </c>
      <c r="C166" t="s">
        <v>2419</v>
      </c>
      <c r="D166" t="s">
        <v>2460</v>
      </c>
      <c r="E166" t="s">
        <v>2659</v>
      </c>
      <c r="F166" t="s">
        <v>2306</v>
      </c>
      <c r="G166" t="s">
        <v>3092</v>
      </c>
      <c r="H166" t="s">
        <v>3093</v>
      </c>
      <c r="I166">
        <v>232</v>
      </c>
      <c r="J166">
        <v>715</v>
      </c>
      <c r="K166">
        <v>32</v>
      </c>
      <c r="L166" s="240" t="s">
        <v>3120</v>
      </c>
      <c r="M166">
        <v>69</v>
      </c>
      <c r="N166" t="s">
        <v>2908</v>
      </c>
      <c r="O166">
        <v>162.634207253</v>
      </c>
    </row>
    <row r="167" spans="1:15">
      <c r="A167">
        <v>193</v>
      </c>
      <c r="B167" t="s">
        <v>2428</v>
      </c>
      <c r="C167" t="s">
        <v>2445</v>
      </c>
      <c r="D167" t="s">
        <v>2659</v>
      </c>
      <c r="E167" t="s">
        <v>2659</v>
      </c>
      <c r="F167" t="s">
        <v>2504</v>
      </c>
      <c r="G167" t="s">
        <v>3121</v>
      </c>
      <c r="H167" t="s">
        <v>3122</v>
      </c>
      <c r="I167">
        <v>257</v>
      </c>
      <c r="J167">
        <v>695</v>
      </c>
      <c r="K167">
        <v>45</v>
      </c>
      <c r="L167" s="240" t="s">
        <v>3123</v>
      </c>
      <c r="M167">
        <v>62</v>
      </c>
      <c r="N167" t="s">
        <v>2919</v>
      </c>
      <c r="O167">
        <v>171.84818423999999</v>
      </c>
    </row>
    <row r="168" spans="1:15">
      <c r="A168">
        <v>194</v>
      </c>
      <c r="B168" t="s">
        <v>2428</v>
      </c>
      <c r="C168" t="s">
        <v>2438</v>
      </c>
      <c r="D168" t="s">
        <v>2659</v>
      </c>
      <c r="E168" t="s">
        <v>2659</v>
      </c>
      <c r="F168" t="s">
        <v>2504</v>
      </c>
      <c r="G168" t="s">
        <v>3121</v>
      </c>
      <c r="H168" t="s">
        <v>3122</v>
      </c>
      <c r="I168">
        <v>148</v>
      </c>
      <c r="J168">
        <v>653</v>
      </c>
      <c r="K168">
        <v>90</v>
      </c>
      <c r="L168" s="240" t="s">
        <v>3124</v>
      </c>
      <c r="M168">
        <v>62</v>
      </c>
      <c r="N168" t="s">
        <v>2919</v>
      </c>
      <c r="O168">
        <v>171.84818423999999</v>
      </c>
    </row>
    <row r="169" spans="1:15">
      <c r="A169">
        <v>195</v>
      </c>
      <c r="B169" t="s">
        <v>2428</v>
      </c>
      <c r="C169" t="s">
        <v>2430</v>
      </c>
      <c r="D169" t="s">
        <v>2659</v>
      </c>
      <c r="E169" t="s">
        <v>2659</v>
      </c>
      <c r="F169" t="s">
        <v>2504</v>
      </c>
      <c r="G169" t="s">
        <v>3121</v>
      </c>
      <c r="H169" t="s">
        <v>3122</v>
      </c>
      <c r="I169">
        <v>105</v>
      </c>
      <c r="J169">
        <v>389</v>
      </c>
      <c r="K169">
        <v>338</v>
      </c>
      <c r="L169" s="240" t="s">
        <v>3125</v>
      </c>
      <c r="M169">
        <v>62</v>
      </c>
      <c r="N169" t="s">
        <v>2919</v>
      </c>
      <c r="O169">
        <v>171.84818423999999</v>
      </c>
    </row>
    <row r="170" spans="1:15">
      <c r="A170">
        <v>196</v>
      </c>
      <c r="B170" t="s">
        <v>2428</v>
      </c>
      <c r="C170" t="s">
        <v>2421</v>
      </c>
      <c r="D170" t="s">
        <v>2659</v>
      </c>
      <c r="E170" t="s">
        <v>2659</v>
      </c>
      <c r="F170" t="s">
        <v>2504</v>
      </c>
      <c r="G170" t="s">
        <v>3121</v>
      </c>
      <c r="H170" t="s">
        <v>3122</v>
      </c>
      <c r="I170">
        <v>12</v>
      </c>
      <c r="J170">
        <v>455</v>
      </c>
      <c r="K170">
        <v>243</v>
      </c>
      <c r="L170" s="240" t="s">
        <v>3126</v>
      </c>
      <c r="M170">
        <v>62</v>
      </c>
      <c r="N170" t="s">
        <v>2919</v>
      </c>
      <c r="O170">
        <v>171.84818423999999</v>
      </c>
    </row>
    <row r="171" spans="1:15">
      <c r="A171">
        <v>197</v>
      </c>
      <c r="B171" t="s">
        <v>2428</v>
      </c>
      <c r="C171" t="s">
        <v>2431</v>
      </c>
      <c r="D171" t="s">
        <v>2659</v>
      </c>
      <c r="E171" t="s">
        <v>2659</v>
      </c>
      <c r="F171" t="s">
        <v>2504</v>
      </c>
      <c r="G171" t="s">
        <v>3121</v>
      </c>
      <c r="H171" t="s">
        <v>3122</v>
      </c>
      <c r="I171">
        <v>399</v>
      </c>
      <c r="J171">
        <v>692</v>
      </c>
      <c r="K171">
        <v>254</v>
      </c>
      <c r="L171" s="240" t="s">
        <v>3127</v>
      </c>
      <c r="M171">
        <v>62</v>
      </c>
      <c r="N171" t="s">
        <v>2919</v>
      </c>
      <c r="O171">
        <v>171.84818423999999</v>
      </c>
    </row>
    <row r="172" spans="1:15">
      <c r="A172">
        <v>198</v>
      </c>
      <c r="B172" t="s">
        <v>2428</v>
      </c>
      <c r="C172" t="s">
        <v>2439</v>
      </c>
      <c r="D172" t="s">
        <v>2659</v>
      </c>
      <c r="E172" t="s">
        <v>2659</v>
      </c>
      <c r="F172" t="s">
        <v>2504</v>
      </c>
      <c r="G172" t="s">
        <v>3121</v>
      </c>
      <c r="H172" t="s">
        <v>3122</v>
      </c>
      <c r="I172">
        <v>27</v>
      </c>
      <c r="J172">
        <v>352</v>
      </c>
      <c r="K172">
        <v>780</v>
      </c>
      <c r="L172" s="240" t="s">
        <v>3128</v>
      </c>
      <c r="M172">
        <v>62</v>
      </c>
      <c r="N172" t="s">
        <v>2919</v>
      </c>
      <c r="O172">
        <v>171.84818423999999</v>
      </c>
    </row>
    <row r="173" spans="1:15">
      <c r="A173">
        <v>199</v>
      </c>
      <c r="B173" t="s">
        <v>2428</v>
      </c>
      <c r="C173" t="s">
        <v>2423</v>
      </c>
      <c r="D173" t="s">
        <v>2659</v>
      </c>
      <c r="E173" t="s">
        <v>2659</v>
      </c>
      <c r="F173" t="s">
        <v>2504</v>
      </c>
      <c r="G173" t="s">
        <v>3121</v>
      </c>
      <c r="H173" t="s">
        <v>3122</v>
      </c>
      <c r="I173">
        <v>224</v>
      </c>
      <c r="J173">
        <v>327</v>
      </c>
      <c r="K173">
        <v>182</v>
      </c>
      <c r="L173" s="240" t="s">
        <v>3129</v>
      </c>
      <c r="M173">
        <v>62</v>
      </c>
      <c r="N173" t="s">
        <v>2919</v>
      </c>
      <c r="O173">
        <v>171.84818423999999</v>
      </c>
    </row>
    <row r="174" spans="1:15">
      <c r="A174">
        <v>200</v>
      </c>
      <c r="B174" t="s">
        <v>2428</v>
      </c>
      <c r="C174" t="s">
        <v>2446</v>
      </c>
      <c r="D174" t="s">
        <v>2659</v>
      </c>
      <c r="E174" t="s">
        <v>2659</v>
      </c>
      <c r="F174" t="s">
        <v>2504</v>
      </c>
      <c r="G174" t="s">
        <v>3121</v>
      </c>
      <c r="H174" t="s">
        <v>3122</v>
      </c>
      <c r="I174">
        <v>158</v>
      </c>
      <c r="J174">
        <v>75</v>
      </c>
      <c r="K174">
        <v>186</v>
      </c>
      <c r="L174" s="240" t="s">
        <v>3130</v>
      </c>
      <c r="M174">
        <v>62</v>
      </c>
      <c r="N174" t="s">
        <v>2919</v>
      </c>
      <c r="O174">
        <v>171.84818423999999</v>
      </c>
    </row>
    <row r="175" spans="1:15">
      <c r="A175">
        <v>201</v>
      </c>
      <c r="B175" t="s">
        <v>2428</v>
      </c>
      <c r="C175" t="s">
        <v>2447</v>
      </c>
      <c r="D175" t="s">
        <v>2659</v>
      </c>
      <c r="E175" t="s">
        <v>2659</v>
      </c>
      <c r="F175" t="s">
        <v>2504</v>
      </c>
      <c r="G175" t="s">
        <v>3121</v>
      </c>
      <c r="H175" t="s">
        <v>3122</v>
      </c>
      <c r="I175">
        <v>211</v>
      </c>
      <c r="J175">
        <v>36</v>
      </c>
      <c r="K175">
        <v>315</v>
      </c>
      <c r="L175" s="240" t="s">
        <v>3131</v>
      </c>
      <c r="M175">
        <v>62</v>
      </c>
      <c r="N175" t="s">
        <v>2919</v>
      </c>
      <c r="O175">
        <v>171.84818423999999</v>
      </c>
    </row>
    <row r="176" spans="1:15">
      <c r="A176">
        <v>202</v>
      </c>
      <c r="B176" t="s">
        <v>2428</v>
      </c>
      <c r="C176" t="s">
        <v>2424</v>
      </c>
      <c r="D176" t="s">
        <v>2659</v>
      </c>
      <c r="E176" t="s">
        <v>2659</v>
      </c>
      <c r="F176" t="s">
        <v>2504</v>
      </c>
      <c r="G176" t="s">
        <v>3121</v>
      </c>
      <c r="H176" t="s">
        <v>3122</v>
      </c>
      <c r="I176">
        <v>181</v>
      </c>
      <c r="J176">
        <v>676</v>
      </c>
      <c r="K176">
        <v>147</v>
      </c>
      <c r="L176" s="240" t="s">
        <v>3132</v>
      </c>
      <c r="M176">
        <v>62</v>
      </c>
      <c r="N176" t="s">
        <v>2919</v>
      </c>
      <c r="O176">
        <v>171.84818423999999</v>
      </c>
    </row>
    <row r="177" spans="1:15">
      <c r="A177">
        <v>203</v>
      </c>
      <c r="B177" t="s">
        <v>2428</v>
      </c>
      <c r="C177" t="s">
        <v>2433</v>
      </c>
      <c r="D177" t="s">
        <v>2659</v>
      </c>
      <c r="E177" t="s">
        <v>2659</v>
      </c>
      <c r="F177" t="s">
        <v>2504</v>
      </c>
      <c r="G177" t="s">
        <v>3121</v>
      </c>
      <c r="H177" t="s">
        <v>3122</v>
      </c>
      <c r="I177">
        <v>179</v>
      </c>
      <c r="J177">
        <v>685</v>
      </c>
      <c r="K177">
        <v>168</v>
      </c>
      <c r="L177" s="240" t="s">
        <v>3133</v>
      </c>
      <c r="M177">
        <v>62</v>
      </c>
      <c r="N177" t="s">
        <v>2919</v>
      </c>
      <c r="O177">
        <v>171.84818423999999</v>
      </c>
    </row>
    <row r="178" spans="1:15">
      <c r="A178">
        <v>204</v>
      </c>
      <c r="B178" t="s">
        <v>2428</v>
      </c>
      <c r="C178" t="s">
        <v>2440</v>
      </c>
      <c r="D178" t="s">
        <v>2659</v>
      </c>
      <c r="E178" t="s">
        <v>2659</v>
      </c>
      <c r="F178" t="s">
        <v>2504</v>
      </c>
      <c r="G178" t="s">
        <v>3121</v>
      </c>
      <c r="H178" t="s">
        <v>3122</v>
      </c>
      <c r="I178">
        <v>248</v>
      </c>
      <c r="J178">
        <v>254</v>
      </c>
      <c r="K178">
        <v>672</v>
      </c>
      <c r="L178" s="240" t="s">
        <v>3101</v>
      </c>
      <c r="M178">
        <v>62</v>
      </c>
      <c r="N178" t="s">
        <v>2919</v>
      </c>
      <c r="O178">
        <v>171.84818423999999</v>
      </c>
    </row>
    <row r="179" spans="1:15">
      <c r="A179">
        <v>205</v>
      </c>
      <c r="B179" t="s">
        <v>2428</v>
      </c>
      <c r="C179" t="s">
        <v>2434</v>
      </c>
      <c r="D179" t="s">
        <v>2460</v>
      </c>
      <c r="E179" t="s">
        <v>2659</v>
      </c>
      <c r="F179" t="s">
        <v>2504</v>
      </c>
      <c r="G179" t="s">
        <v>3121</v>
      </c>
      <c r="H179" t="s">
        <v>3122</v>
      </c>
      <c r="I179">
        <v>55</v>
      </c>
      <c r="J179">
        <v>348</v>
      </c>
      <c r="K179">
        <v>173</v>
      </c>
      <c r="L179" s="240" t="s">
        <v>3134</v>
      </c>
      <c r="M179">
        <v>62</v>
      </c>
      <c r="N179" t="s">
        <v>2919</v>
      </c>
      <c r="O179">
        <v>171.84818423999999</v>
      </c>
    </row>
    <row r="180" spans="1:15">
      <c r="A180">
        <v>206</v>
      </c>
      <c r="B180" t="s">
        <v>2428</v>
      </c>
      <c r="C180" t="s">
        <v>2425</v>
      </c>
      <c r="D180" t="s">
        <v>2460</v>
      </c>
      <c r="E180" t="s">
        <v>2659</v>
      </c>
      <c r="F180" t="s">
        <v>2504</v>
      </c>
      <c r="G180" t="s">
        <v>3121</v>
      </c>
      <c r="H180" t="s">
        <v>3122</v>
      </c>
      <c r="I180">
        <v>124</v>
      </c>
      <c r="J180">
        <v>686</v>
      </c>
      <c r="K180">
        <v>262</v>
      </c>
      <c r="L180" s="240" t="s">
        <v>3135</v>
      </c>
      <c r="M180">
        <v>62</v>
      </c>
      <c r="N180" t="s">
        <v>2919</v>
      </c>
      <c r="O180">
        <v>171.84818423999999</v>
      </c>
    </row>
    <row r="181" spans="1:15">
      <c r="A181">
        <v>207</v>
      </c>
      <c r="B181" t="s">
        <v>2428</v>
      </c>
      <c r="C181" t="s">
        <v>2448</v>
      </c>
      <c r="D181" t="s">
        <v>2460</v>
      </c>
      <c r="E181" t="s">
        <v>2659</v>
      </c>
      <c r="F181" t="s">
        <v>2504</v>
      </c>
      <c r="G181" t="s">
        <v>3121</v>
      </c>
      <c r="H181" t="s">
        <v>3122</v>
      </c>
      <c r="I181">
        <v>234</v>
      </c>
      <c r="J181">
        <v>551</v>
      </c>
      <c r="K181">
        <v>230</v>
      </c>
      <c r="L181" s="240" t="s">
        <v>3136</v>
      </c>
      <c r="M181">
        <v>62</v>
      </c>
      <c r="N181" t="s">
        <v>2919</v>
      </c>
      <c r="O181">
        <v>171.84818423999999</v>
      </c>
    </row>
    <row r="182" spans="1:15">
      <c r="A182">
        <v>208</v>
      </c>
      <c r="B182" t="s">
        <v>2428</v>
      </c>
      <c r="C182" t="s">
        <v>2441</v>
      </c>
      <c r="D182" t="s">
        <v>2460</v>
      </c>
      <c r="E182" t="s">
        <v>2659</v>
      </c>
      <c r="F182" t="s">
        <v>2504</v>
      </c>
      <c r="G182" t="s">
        <v>3121</v>
      </c>
      <c r="H182" t="s">
        <v>3122</v>
      </c>
      <c r="I182">
        <v>412</v>
      </c>
      <c r="J182">
        <v>516</v>
      </c>
      <c r="K182">
        <v>140</v>
      </c>
      <c r="L182" s="240" t="s">
        <v>3137</v>
      </c>
      <c r="M182">
        <v>62</v>
      </c>
      <c r="N182" t="s">
        <v>2919</v>
      </c>
      <c r="O182">
        <v>171.84818423999999</v>
      </c>
    </row>
    <row r="183" spans="1:15">
      <c r="A183">
        <v>209</v>
      </c>
      <c r="B183" t="s">
        <v>2428</v>
      </c>
      <c r="C183" t="s">
        <v>2435</v>
      </c>
      <c r="D183" t="s">
        <v>2460</v>
      </c>
      <c r="E183" t="s">
        <v>2659</v>
      </c>
      <c r="F183" t="s">
        <v>2504</v>
      </c>
      <c r="G183" t="s">
        <v>3121</v>
      </c>
      <c r="H183" t="s">
        <v>3122</v>
      </c>
      <c r="I183">
        <v>94</v>
      </c>
      <c r="J183">
        <v>678</v>
      </c>
      <c r="K183">
        <v>92</v>
      </c>
      <c r="L183" s="240" t="s">
        <v>3138</v>
      </c>
      <c r="M183">
        <v>62</v>
      </c>
      <c r="N183" t="s">
        <v>2919</v>
      </c>
      <c r="O183">
        <v>171.84818423999999</v>
      </c>
    </row>
    <row r="184" spans="1:15">
      <c r="A184">
        <v>210</v>
      </c>
      <c r="B184" t="s">
        <v>2428</v>
      </c>
      <c r="C184" t="s">
        <v>2449</v>
      </c>
      <c r="D184" t="s">
        <v>2460</v>
      </c>
      <c r="E184" t="s">
        <v>2659</v>
      </c>
      <c r="F184" t="s">
        <v>2504</v>
      </c>
      <c r="G184" t="s">
        <v>3121</v>
      </c>
      <c r="H184" t="s">
        <v>3122</v>
      </c>
      <c r="I184">
        <v>93</v>
      </c>
      <c r="J184">
        <v>335</v>
      </c>
      <c r="K184">
        <v>36</v>
      </c>
      <c r="L184" s="240" t="s">
        <v>3139</v>
      </c>
      <c r="M184">
        <v>62</v>
      </c>
      <c r="N184" t="s">
        <v>2919</v>
      </c>
      <c r="O184">
        <v>171.84818423999999</v>
      </c>
    </row>
    <row r="185" spans="1:15">
      <c r="A185">
        <v>211</v>
      </c>
      <c r="B185" t="s">
        <v>2428</v>
      </c>
      <c r="C185" t="s">
        <v>2426</v>
      </c>
      <c r="D185" t="s">
        <v>2460</v>
      </c>
      <c r="E185" t="s">
        <v>2659</v>
      </c>
      <c r="F185" t="s">
        <v>2504</v>
      </c>
      <c r="G185" t="s">
        <v>3121</v>
      </c>
      <c r="H185" t="s">
        <v>3122</v>
      </c>
      <c r="I185">
        <v>26</v>
      </c>
      <c r="J185">
        <v>249</v>
      </c>
      <c r="K185">
        <v>434</v>
      </c>
      <c r="L185" s="240" t="s">
        <v>3140</v>
      </c>
      <c r="M185">
        <v>62</v>
      </c>
      <c r="N185" t="s">
        <v>2919</v>
      </c>
      <c r="O185">
        <v>171.84818423999999</v>
      </c>
    </row>
    <row r="186" spans="1:15">
      <c r="A186">
        <v>211</v>
      </c>
      <c r="B186" t="s">
        <v>2428</v>
      </c>
      <c r="C186" t="s">
        <v>2426</v>
      </c>
      <c r="D186" t="s">
        <v>2460</v>
      </c>
      <c r="E186" t="s">
        <v>2659</v>
      </c>
      <c r="F186" t="s">
        <v>2504</v>
      </c>
      <c r="G186" t="s">
        <v>3121</v>
      </c>
      <c r="H186" t="s">
        <v>3122</v>
      </c>
      <c r="I186">
        <v>169</v>
      </c>
      <c r="J186">
        <v>627</v>
      </c>
      <c r="K186">
        <v>56</v>
      </c>
      <c r="L186" s="240" t="s">
        <v>3141</v>
      </c>
      <c r="M186">
        <v>62</v>
      </c>
      <c r="N186" t="s">
        <v>2919</v>
      </c>
      <c r="O186">
        <v>171.84818423999999</v>
      </c>
    </row>
    <row r="187" spans="1:15">
      <c r="A187">
        <v>212</v>
      </c>
      <c r="B187" t="s">
        <v>2428</v>
      </c>
      <c r="C187" t="s">
        <v>2442</v>
      </c>
      <c r="D187" t="s">
        <v>2460</v>
      </c>
      <c r="E187" t="s">
        <v>2659</v>
      </c>
      <c r="F187" t="s">
        <v>2504</v>
      </c>
      <c r="G187" t="s">
        <v>3121</v>
      </c>
      <c r="H187" t="s">
        <v>3122</v>
      </c>
      <c r="I187">
        <v>68</v>
      </c>
      <c r="J187">
        <v>803</v>
      </c>
      <c r="K187">
        <v>365</v>
      </c>
      <c r="L187" s="240" t="s">
        <v>3142</v>
      </c>
      <c r="M187">
        <v>62</v>
      </c>
      <c r="N187" t="s">
        <v>2919</v>
      </c>
      <c r="O187">
        <v>171.84818423999999</v>
      </c>
    </row>
    <row r="188" spans="1:15">
      <c r="A188">
        <v>213</v>
      </c>
      <c r="B188" t="s">
        <v>2428</v>
      </c>
      <c r="C188" t="s">
        <v>2450</v>
      </c>
      <c r="D188" t="s">
        <v>2460</v>
      </c>
      <c r="E188" t="s">
        <v>2659</v>
      </c>
      <c r="F188" t="s">
        <v>2504</v>
      </c>
      <c r="G188" t="s">
        <v>3121</v>
      </c>
      <c r="H188" t="s">
        <v>3122</v>
      </c>
      <c r="I188">
        <v>143</v>
      </c>
      <c r="J188">
        <v>321</v>
      </c>
      <c r="K188">
        <v>5</v>
      </c>
      <c r="L188" s="240" t="s">
        <v>3143</v>
      </c>
      <c r="M188">
        <v>62</v>
      </c>
      <c r="N188" t="s">
        <v>2919</v>
      </c>
      <c r="O188">
        <v>171.84818423999999</v>
      </c>
    </row>
    <row r="189" spans="1:15">
      <c r="A189">
        <v>214</v>
      </c>
      <c r="B189" t="s">
        <v>2428</v>
      </c>
      <c r="C189" t="s">
        <v>2443</v>
      </c>
      <c r="D189" t="s">
        <v>2460</v>
      </c>
      <c r="E189" t="s">
        <v>2659</v>
      </c>
      <c r="F189" t="s">
        <v>2504</v>
      </c>
      <c r="G189" t="s">
        <v>3121</v>
      </c>
      <c r="H189" t="s">
        <v>3122</v>
      </c>
      <c r="I189">
        <v>128</v>
      </c>
      <c r="J189">
        <v>771</v>
      </c>
      <c r="K189">
        <v>677</v>
      </c>
      <c r="L189" s="240" t="s">
        <v>3144</v>
      </c>
      <c r="M189">
        <v>62</v>
      </c>
      <c r="N189" t="s">
        <v>2919</v>
      </c>
      <c r="O189">
        <v>171.84818423999999</v>
      </c>
    </row>
    <row r="190" spans="1:15">
      <c r="A190">
        <v>216</v>
      </c>
      <c r="B190" t="s">
        <v>2428</v>
      </c>
      <c r="C190" t="s">
        <v>2436</v>
      </c>
      <c r="D190" t="s">
        <v>2460</v>
      </c>
      <c r="E190" t="s">
        <v>2659</v>
      </c>
      <c r="F190" t="s">
        <v>2504</v>
      </c>
      <c r="G190" t="s">
        <v>3121</v>
      </c>
      <c r="H190" t="s">
        <v>3122</v>
      </c>
      <c r="I190">
        <v>95</v>
      </c>
      <c r="J190">
        <v>379</v>
      </c>
      <c r="K190">
        <v>361</v>
      </c>
      <c r="L190" s="240" t="s">
        <v>3145</v>
      </c>
      <c r="M190">
        <v>62</v>
      </c>
      <c r="N190" t="s">
        <v>2919</v>
      </c>
      <c r="O190">
        <v>171.84818423999999</v>
      </c>
    </row>
    <row r="191" spans="1:15">
      <c r="A191">
        <v>217</v>
      </c>
      <c r="B191" t="s">
        <v>2428</v>
      </c>
      <c r="C191" t="s">
        <v>2429</v>
      </c>
      <c r="D191" t="s">
        <v>2943</v>
      </c>
      <c r="E191" t="s">
        <v>2659</v>
      </c>
      <c r="F191" t="s">
        <v>2504</v>
      </c>
      <c r="G191" t="s">
        <v>3121</v>
      </c>
      <c r="H191" t="s">
        <v>3122</v>
      </c>
      <c r="I191">
        <v>313</v>
      </c>
      <c r="J191">
        <v>771</v>
      </c>
      <c r="K191">
        <v>204</v>
      </c>
      <c r="L191" s="240" t="s">
        <v>3146</v>
      </c>
      <c r="M191">
        <v>62</v>
      </c>
      <c r="N191" t="s">
        <v>2919</v>
      </c>
      <c r="O191">
        <v>171.84818423999999</v>
      </c>
    </row>
    <row r="192" spans="1:15">
      <c r="A192">
        <v>218</v>
      </c>
      <c r="B192" t="s">
        <v>2428</v>
      </c>
      <c r="C192" t="s">
        <v>2437</v>
      </c>
      <c r="D192" t="s">
        <v>2943</v>
      </c>
      <c r="E192" t="s">
        <v>2659</v>
      </c>
      <c r="F192" t="s">
        <v>2504</v>
      </c>
      <c r="G192" t="s">
        <v>3121</v>
      </c>
      <c r="H192" t="s">
        <v>3122</v>
      </c>
      <c r="I192">
        <v>485</v>
      </c>
      <c r="J192">
        <v>680</v>
      </c>
      <c r="K192">
        <v>170</v>
      </c>
      <c r="L192" s="240" t="s">
        <v>3147</v>
      </c>
      <c r="M192">
        <v>62</v>
      </c>
      <c r="N192" t="s">
        <v>2919</v>
      </c>
      <c r="O192">
        <v>171.84818423999999</v>
      </c>
    </row>
    <row r="193" spans="1:15">
      <c r="A193">
        <v>219</v>
      </c>
      <c r="B193" t="s">
        <v>2428</v>
      </c>
      <c r="C193" t="s">
        <v>2444</v>
      </c>
      <c r="D193" t="s">
        <v>2943</v>
      </c>
      <c r="E193" t="s">
        <v>2659</v>
      </c>
      <c r="F193" t="s">
        <v>2504</v>
      </c>
      <c r="G193" t="s">
        <v>3121</v>
      </c>
      <c r="H193" t="s">
        <v>3122</v>
      </c>
      <c r="I193">
        <v>196</v>
      </c>
      <c r="J193">
        <v>178</v>
      </c>
      <c r="K193">
        <v>123</v>
      </c>
      <c r="L193" s="240" t="s">
        <v>3148</v>
      </c>
      <c r="M193">
        <v>62</v>
      </c>
      <c r="N193" t="s">
        <v>2919</v>
      </c>
      <c r="O193">
        <v>171.84818423999999</v>
      </c>
    </row>
    <row r="194" spans="1:15">
      <c r="A194">
        <v>220</v>
      </c>
      <c r="B194" t="s">
        <v>2428</v>
      </c>
      <c r="C194" t="s">
        <v>2451</v>
      </c>
      <c r="D194" t="s">
        <v>2943</v>
      </c>
      <c r="E194" t="s">
        <v>2659</v>
      </c>
      <c r="F194" t="s">
        <v>2504</v>
      </c>
      <c r="G194" t="s">
        <v>3121</v>
      </c>
      <c r="H194" t="s">
        <v>3122</v>
      </c>
      <c r="I194">
        <v>39</v>
      </c>
      <c r="J194">
        <v>194</v>
      </c>
      <c r="K194">
        <v>53</v>
      </c>
      <c r="L194" s="240" t="s">
        <v>3149</v>
      </c>
      <c r="M194">
        <v>62</v>
      </c>
      <c r="N194" t="s">
        <v>2919</v>
      </c>
      <c r="O194">
        <v>171.84818423999999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146" zoomScale="115" zoomScaleNormal="115" workbookViewId="0">
      <selection activeCell="A158" sqref="A1:A1048576"/>
    </sheetView>
  </sheetViews>
  <sheetFormatPr baseColWidth="10" defaultColWidth="11.5546875" defaultRowHeight="14.4"/>
  <cols>
    <col min="1" max="16384" width="11.5546875" style="110"/>
  </cols>
  <sheetData>
    <row r="1" spans="1:20">
      <c r="A1" s="417" t="s">
        <v>1146</v>
      </c>
      <c r="B1" s="417"/>
      <c r="C1" s="417"/>
      <c r="D1" s="417"/>
      <c r="E1" s="417"/>
      <c r="F1" s="417"/>
      <c r="G1" s="417"/>
      <c r="H1" s="417"/>
      <c r="I1" s="110" t="s">
        <v>1145</v>
      </c>
      <c r="M1" s="417"/>
      <c r="N1" s="417"/>
      <c r="O1" s="417"/>
      <c r="P1" s="417"/>
      <c r="Q1" s="417"/>
      <c r="R1" s="417"/>
      <c r="S1" s="417"/>
      <c r="T1" s="417"/>
    </row>
    <row r="2" spans="1:20">
      <c r="A2" s="417"/>
      <c r="B2" s="417"/>
      <c r="C2" s="417"/>
      <c r="D2" s="417"/>
      <c r="E2" s="417"/>
      <c r="F2" s="417"/>
      <c r="G2" s="417"/>
      <c r="H2" s="417"/>
      <c r="M2" s="417"/>
      <c r="N2" s="417"/>
      <c r="O2" s="417"/>
      <c r="P2" s="417"/>
      <c r="Q2" s="417"/>
      <c r="R2" s="417"/>
      <c r="S2" s="417"/>
      <c r="T2" s="417"/>
    </row>
    <row r="3" spans="1:20">
      <c r="A3" s="417"/>
      <c r="B3" s="417"/>
      <c r="C3" s="417"/>
      <c r="D3" s="417"/>
      <c r="E3" s="417"/>
      <c r="F3" s="417"/>
      <c r="G3" s="417"/>
      <c r="H3" s="417"/>
      <c r="M3" s="417"/>
      <c r="N3" s="417"/>
      <c r="O3" s="417"/>
      <c r="P3" s="417"/>
      <c r="Q3" s="417"/>
      <c r="R3" s="417"/>
      <c r="S3" s="417"/>
      <c r="T3" s="417"/>
    </row>
    <row r="4" spans="1:20">
      <c r="A4" s="111" t="s">
        <v>1144</v>
      </c>
      <c r="B4" s="111" t="s">
        <v>1143</v>
      </c>
      <c r="C4" s="111" t="s">
        <v>1142</v>
      </c>
      <c r="D4" s="111" t="s">
        <v>1141</v>
      </c>
      <c r="G4" s="167"/>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6" t="s">
        <v>1977</v>
      </c>
      <c r="B77" s="176" t="s">
        <v>1147</v>
      </c>
      <c r="C77" s="176">
        <v>2.1190000000000002</v>
      </c>
      <c r="D77" s="177">
        <v>42749</v>
      </c>
      <c r="E77" s="176" t="s">
        <v>2479</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6" t="s">
        <v>1969</v>
      </c>
      <c r="B85" s="176" t="s">
        <v>1147</v>
      </c>
      <c r="C85" s="176">
        <v>2.097</v>
      </c>
      <c r="D85" s="177">
        <v>42750</v>
      </c>
      <c r="E85" s="176" t="s">
        <v>2479</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6" t="s">
        <v>1938</v>
      </c>
      <c r="B116" s="176" t="s">
        <v>1147</v>
      </c>
      <c r="C116" s="176">
        <v>2.0859999999999999</v>
      </c>
      <c r="D116" s="177">
        <v>42750</v>
      </c>
      <c r="E116" s="176" t="s">
        <v>2479</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6" t="s">
        <v>1481</v>
      </c>
      <c r="B573" s="176" t="s">
        <v>1147</v>
      </c>
      <c r="C573" s="176">
        <v>1.9950000000000001</v>
      </c>
      <c r="D573" s="177">
        <v>42751</v>
      </c>
      <c r="E573" s="176" t="s">
        <v>2480</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6" t="s">
        <v>1439</v>
      </c>
      <c r="B615" s="176" t="s">
        <v>1147</v>
      </c>
      <c r="C615" s="176">
        <v>1.99</v>
      </c>
      <c r="D615" s="177">
        <v>42752</v>
      </c>
      <c r="E615" s="176" t="s">
        <v>2480</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1.1910000000000001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6" t="s">
        <v>2482</v>
      </c>
      <c r="B907" s="176" t="s">
        <v>1147</v>
      </c>
      <c r="C907" s="176">
        <v>2.0253999999999999</v>
      </c>
      <c r="D907" s="177">
        <v>43150</v>
      </c>
      <c r="E907" s="176" t="s">
        <v>2483</v>
      </c>
    </row>
    <row r="908" spans="1:5">
      <c r="A908" s="176" t="s">
        <v>2484</v>
      </c>
      <c r="B908" s="176" t="s">
        <v>1147</v>
      </c>
      <c r="C908" s="176">
        <v>2.125</v>
      </c>
      <c r="D908" s="177">
        <v>43150</v>
      </c>
      <c r="E908" s="176" t="s">
        <v>2483</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6" t="s">
        <v>1136</v>
      </c>
      <c r="B913" s="176" t="s">
        <v>298</v>
      </c>
      <c r="C913" s="176">
        <v>2.1800000000000002</v>
      </c>
      <c r="D913" s="177">
        <v>42745</v>
      </c>
      <c r="E913" s="176" t="s">
        <v>2480</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113" t="s">
        <v>1087</v>
      </c>
      <c r="B962" s="113" t="s">
        <v>298</v>
      </c>
      <c r="C962" s="113">
        <v>2.2069999999999999</v>
      </c>
      <c r="D962" s="114">
        <v>42746</v>
      </c>
      <c r="E962" s="113" t="s">
        <v>3911</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7"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0.22900000000000001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6" t="s">
        <v>853</v>
      </c>
      <c r="B1196" s="176" t="s">
        <v>298</v>
      </c>
      <c r="C1196" s="176">
        <v>2.2450000000000001</v>
      </c>
      <c r="D1196" s="177">
        <v>42748</v>
      </c>
      <c r="E1196" s="176" t="s">
        <v>2480</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96" t="s">
        <v>3898</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6" t="s">
        <v>483</v>
      </c>
      <c r="B1565" s="176" t="s">
        <v>298</v>
      </c>
      <c r="C1565" s="176">
        <v>2.206</v>
      </c>
      <c r="D1565" s="177">
        <v>42744</v>
      </c>
      <c r="E1565" s="176" t="s">
        <v>2479</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6" t="s">
        <v>477</v>
      </c>
      <c r="B1571" s="176" t="s">
        <v>298</v>
      </c>
      <c r="C1571" s="176">
        <v>2.1259999999999999</v>
      </c>
      <c r="D1571" s="177">
        <v>42744</v>
      </c>
      <c r="E1571" s="176" t="s">
        <v>2479</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6" t="s">
        <v>439</v>
      </c>
      <c r="B1609" s="176" t="s">
        <v>298</v>
      </c>
      <c r="C1609" s="176">
        <v>2.1890000000000001</v>
      </c>
      <c r="D1609" s="177">
        <v>42744</v>
      </c>
      <c r="E1609" s="176" t="s">
        <v>2479</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zoomScale="115" zoomScaleNormal="115" workbookViewId="0">
      <selection activeCell="F465" sqref="F465"/>
    </sheetView>
  </sheetViews>
  <sheetFormatPr baseColWidth="10" defaultColWidth="11.44140625" defaultRowHeight="14.4"/>
  <cols>
    <col min="5" max="5" width="11.44140625" style="223"/>
    <col min="11" max="11" width="11.44140625" style="166"/>
  </cols>
  <sheetData>
    <row r="1" spans="1:10">
      <c r="J1" s="166"/>
    </row>
    <row r="2" spans="1:10">
      <c r="A2" s="166" t="s">
        <v>1144</v>
      </c>
      <c r="B2" s="166" t="s">
        <v>2164</v>
      </c>
      <c r="C2" s="166"/>
      <c r="D2" s="166" t="s">
        <v>2503</v>
      </c>
      <c r="E2" s="392" t="s">
        <v>2147</v>
      </c>
      <c r="F2" s="166" t="s">
        <v>1141</v>
      </c>
    </row>
    <row r="3" spans="1:10">
      <c r="A3" t="s">
        <v>2049</v>
      </c>
      <c r="B3" t="s">
        <v>3475</v>
      </c>
      <c r="D3">
        <v>0.85040000000000004</v>
      </c>
      <c r="E3" s="254"/>
      <c r="F3" s="248">
        <v>43009</v>
      </c>
    </row>
    <row r="4" spans="1:10">
      <c r="A4" t="s">
        <v>2040</v>
      </c>
      <c r="B4" t="s">
        <v>3446</v>
      </c>
      <c r="D4">
        <v>1.7706999999999999</v>
      </c>
      <c r="E4" s="254"/>
      <c r="F4" s="248">
        <v>43007</v>
      </c>
    </row>
    <row r="5" spans="1:10">
      <c r="A5" t="s">
        <v>1949</v>
      </c>
      <c r="B5" t="s">
        <v>3622</v>
      </c>
      <c r="D5" s="255">
        <v>1.9434</v>
      </c>
      <c r="E5" t="s">
        <v>2119</v>
      </c>
      <c r="F5" s="248">
        <v>43337</v>
      </c>
    </row>
    <row r="6" spans="1:10">
      <c r="A6" t="s">
        <v>1948</v>
      </c>
      <c r="B6" t="s">
        <v>3505</v>
      </c>
      <c r="D6" s="247">
        <v>1.0327999999999999</v>
      </c>
      <c r="E6"/>
      <c r="F6" s="248">
        <v>43010</v>
      </c>
    </row>
    <row r="7" spans="1:10">
      <c r="A7" t="s">
        <v>1945</v>
      </c>
      <c r="B7">
        <v>195</v>
      </c>
      <c r="C7" t="s">
        <v>2504</v>
      </c>
      <c r="D7">
        <v>1.2050000000000001</v>
      </c>
      <c r="E7" s="223" t="s">
        <v>2455</v>
      </c>
      <c r="F7" s="16">
        <v>43208</v>
      </c>
    </row>
    <row r="8" spans="1:10">
      <c r="A8" t="s">
        <v>1944</v>
      </c>
      <c r="B8" t="s">
        <v>3480</v>
      </c>
      <c r="D8">
        <v>2.0188999999999999</v>
      </c>
      <c r="E8" s="254"/>
      <c r="F8" s="248">
        <v>43007</v>
      </c>
    </row>
    <row r="9" spans="1:10">
      <c r="A9" t="s">
        <v>1943</v>
      </c>
      <c r="B9" t="s">
        <v>3595</v>
      </c>
      <c r="D9" s="255">
        <v>2.0276000000000001</v>
      </c>
      <c r="E9"/>
      <c r="F9" s="248">
        <v>43334</v>
      </c>
    </row>
    <row r="10" spans="1:10">
      <c r="A10" t="s">
        <v>1941</v>
      </c>
      <c r="B10" t="s">
        <v>3507</v>
      </c>
      <c r="D10" s="247">
        <v>0.67359999999999998</v>
      </c>
      <c r="E10"/>
      <c r="F10" s="248">
        <v>43008</v>
      </c>
    </row>
    <row r="11" spans="1:10">
      <c r="A11" t="s">
        <v>2039</v>
      </c>
      <c r="B11" t="s">
        <v>3485</v>
      </c>
      <c r="D11">
        <v>1.0169999999999999</v>
      </c>
      <c r="E11" s="254"/>
      <c r="F11" s="248">
        <v>43010</v>
      </c>
    </row>
    <row r="12" spans="1:10">
      <c r="A12" t="s">
        <v>1940</v>
      </c>
      <c r="B12" t="s">
        <v>3589</v>
      </c>
      <c r="D12" s="255">
        <v>1.8372999999999999</v>
      </c>
      <c r="E12" t="s">
        <v>2119</v>
      </c>
      <c r="F12" s="248">
        <v>43334</v>
      </c>
    </row>
    <row r="13" spans="1:10">
      <c r="A13" t="s">
        <v>1939</v>
      </c>
      <c r="B13" t="s">
        <v>3586</v>
      </c>
      <c r="D13" s="255">
        <v>1.8357000000000001</v>
      </c>
      <c r="E13"/>
      <c r="F13" s="248">
        <v>43333</v>
      </c>
    </row>
    <row r="14" spans="1:10">
      <c r="A14" t="s">
        <v>1938</v>
      </c>
      <c r="B14" t="s">
        <v>3426</v>
      </c>
      <c r="D14">
        <v>1.0448</v>
      </c>
      <c r="E14" s="254"/>
      <c r="F14" s="248">
        <v>43009</v>
      </c>
    </row>
    <row r="15" spans="1:10">
      <c r="A15" t="s">
        <v>1937</v>
      </c>
      <c r="B15" t="s">
        <v>3446</v>
      </c>
      <c r="D15">
        <v>1.8204</v>
      </c>
      <c r="E15" s="254"/>
      <c r="F15" s="248">
        <v>43007</v>
      </c>
    </row>
    <row r="16" spans="1:10">
      <c r="A16" t="s">
        <v>1935</v>
      </c>
      <c r="B16" t="s">
        <v>3582</v>
      </c>
      <c r="D16" s="255">
        <v>1.7069000000000001</v>
      </c>
      <c r="E16" t="s">
        <v>2119</v>
      </c>
      <c r="F16" s="248">
        <v>43333</v>
      </c>
    </row>
    <row r="17" spans="1:6">
      <c r="A17" t="s">
        <v>1934</v>
      </c>
      <c r="B17" t="s">
        <v>3617</v>
      </c>
      <c r="D17" s="255">
        <v>0.63749999999999996</v>
      </c>
      <c r="E17"/>
      <c r="F17" s="248">
        <v>43334</v>
      </c>
    </row>
    <row r="18" spans="1:6">
      <c r="A18" t="s">
        <v>1932</v>
      </c>
      <c r="B18" t="s">
        <v>3423</v>
      </c>
      <c r="D18">
        <v>0.87509999999999999</v>
      </c>
      <c r="E18" s="254"/>
      <c r="F18" s="248">
        <v>43008</v>
      </c>
    </row>
    <row r="19" spans="1:6">
      <c r="A19" t="s">
        <v>2038</v>
      </c>
      <c r="B19">
        <v>196</v>
      </c>
      <c r="C19" t="s">
        <v>2504</v>
      </c>
      <c r="D19">
        <v>0.748</v>
      </c>
      <c r="E19" s="223" t="s">
        <v>2455</v>
      </c>
      <c r="F19" s="16">
        <v>43208</v>
      </c>
    </row>
    <row r="20" spans="1:6">
      <c r="A20" t="s">
        <v>1930</v>
      </c>
      <c r="B20" t="s">
        <v>3504</v>
      </c>
      <c r="D20" s="249">
        <v>1.0569999999999999</v>
      </c>
      <c r="E20"/>
      <c r="F20" s="248">
        <v>43010</v>
      </c>
    </row>
    <row r="21" spans="1:6">
      <c r="A21" t="s">
        <v>1927</v>
      </c>
      <c r="B21" t="s">
        <v>3408</v>
      </c>
      <c r="D21">
        <v>0.82250000000000001</v>
      </c>
      <c r="E21" s="254"/>
      <c r="F21" s="247"/>
    </row>
    <row r="22" spans="1:6">
      <c r="A22" t="s">
        <v>1926</v>
      </c>
      <c r="B22" t="s">
        <v>3404</v>
      </c>
      <c r="D22">
        <v>0.66969999999999996</v>
      </c>
      <c r="E22" s="254"/>
      <c r="F22" s="247"/>
    </row>
    <row r="23" spans="1:6">
      <c r="A23" t="s">
        <v>1925</v>
      </c>
      <c r="B23" t="s">
        <v>3610</v>
      </c>
      <c r="D23" s="255">
        <v>0.78120000000000001</v>
      </c>
      <c r="E23"/>
      <c r="F23" s="248">
        <v>43334</v>
      </c>
    </row>
    <row r="24" spans="1:6">
      <c r="A24" t="s">
        <v>1924</v>
      </c>
      <c r="B24" t="s">
        <v>3647</v>
      </c>
      <c r="D24" s="255">
        <v>1.8705000000000001</v>
      </c>
      <c r="E24"/>
      <c r="F24" s="248">
        <v>43338</v>
      </c>
    </row>
    <row r="25" spans="1:6">
      <c r="A25" t="s">
        <v>1923</v>
      </c>
      <c r="B25" t="s">
        <v>3499</v>
      </c>
      <c r="D25" s="247">
        <v>1.1896</v>
      </c>
      <c r="E25"/>
      <c r="F25" s="248">
        <v>43010</v>
      </c>
    </row>
    <row r="26" spans="1:6">
      <c r="A26" t="s">
        <v>1922</v>
      </c>
      <c r="B26">
        <v>214</v>
      </c>
      <c r="C26" t="s">
        <v>2504</v>
      </c>
      <c r="D26">
        <v>0.70599999999999996</v>
      </c>
      <c r="E26" s="223" t="s">
        <v>2508</v>
      </c>
      <c r="F26" s="16">
        <v>43208</v>
      </c>
    </row>
    <row r="27" spans="1:6">
      <c r="A27" t="s">
        <v>2037</v>
      </c>
      <c r="B27" t="s">
        <v>3636</v>
      </c>
      <c r="D27" s="255">
        <v>1.9104000000000001</v>
      </c>
      <c r="E27"/>
      <c r="F27" s="248">
        <v>43337</v>
      </c>
    </row>
    <row r="28" spans="1:6">
      <c r="A28" t="s">
        <v>1920</v>
      </c>
      <c r="B28" t="s">
        <v>3593</v>
      </c>
      <c r="D28" s="255">
        <v>1.8545</v>
      </c>
      <c r="E28" t="s">
        <v>3594</v>
      </c>
      <c r="F28" s="248">
        <v>43334</v>
      </c>
    </row>
    <row r="29" spans="1:6">
      <c r="A29" t="s">
        <v>1919</v>
      </c>
      <c r="B29" t="s">
        <v>3500</v>
      </c>
      <c r="D29" s="249">
        <v>1.544</v>
      </c>
      <c r="E29"/>
      <c r="F29" s="248">
        <v>43010</v>
      </c>
    </row>
    <row r="30" spans="1:6">
      <c r="A30" t="s">
        <v>1916</v>
      </c>
      <c r="B30" t="s">
        <v>3509</v>
      </c>
      <c r="D30" s="247">
        <v>0.82289999999999996</v>
      </c>
      <c r="E30"/>
      <c r="F30" s="248">
        <v>43008</v>
      </c>
    </row>
    <row r="31" spans="1:6">
      <c r="A31" t="s">
        <v>1915</v>
      </c>
      <c r="B31" t="s">
        <v>3466</v>
      </c>
      <c r="D31">
        <v>0.78129999999999999</v>
      </c>
      <c r="E31" s="254"/>
      <c r="F31" s="248">
        <v>43009</v>
      </c>
    </row>
    <row r="32" spans="1:6">
      <c r="A32" t="s">
        <v>1914</v>
      </c>
      <c r="B32" t="s">
        <v>3468</v>
      </c>
      <c r="D32">
        <v>0.71589999999999998</v>
      </c>
      <c r="E32" s="254"/>
      <c r="F32" s="248">
        <v>43009</v>
      </c>
    </row>
    <row r="33" spans="1:6">
      <c r="A33" t="s">
        <v>1912</v>
      </c>
      <c r="B33" t="s">
        <v>3648</v>
      </c>
      <c r="D33" s="255">
        <v>1.782</v>
      </c>
      <c r="E33"/>
      <c r="F33" s="248">
        <v>43338</v>
      </c>
    </row>
    <row r="34" spans="1:6">
      <c r="A34" t="s">
        <v>1911</v>
      </c>
      <c r="B34" t="s">
        <v>3629</v>
      </c>
      <c r="D34" s="255">
        <v>1.8048</v>
      </c>
      <c r="E34" t="s">
        <v>2115</v>
      </c>
      <c r="F34" s="248">
        <v>43337</v>
      </c>
    </row>
    <row r="35" spans="1:6">
      <c r="A35" t="s">
        <v>1910</v>
      </c>
      <c r="B35">
        <v>208</v>
      </c>
      <c r="C35" t="s">
        <v>2504</v>
      </c>
      <c r="D35">
        <v>0.74199999999999999</v>
      </c>
      <c r="E35" s="223" t="s">
        <v>2454</v>
      </c>
      <c r="F35" s="16">
        <v>43208</v>
      </c>
    </row>
    <row r="36" spans="1:6">
      <c r="A36" t="s">
        <v>1909</v>
      </c>
      <c r="B36" t="s">
        <v>3418</v>
      </c>
      <c r="D36">
        <v>0.66180000000000005</v>
      </c>
      <c r="E36" s="254"/>
      <c r="F36" s="248">
        <v>43008</v>
      </c>
    </row>
    <row r="37" spans="1:6">
      <c r="A37" t="s">
        <v>1907</v>
      </c>
      <c r="B37">
        <v>213</v>
      </c>
      <c r="C37" t="s">
        <v>2504</v>
      </c>
      <c r="D37">
        <v>0.57899999999999996</v>
      </c>
      <c r="E37" s="223" t="s">
        <v>2505</v>
      </c>
      <c r="F37" s="16">
        <v>43208</v>
      </c>
    </row>
    <row r="38" spans="1:6">
      <c r="A38" t="s">
        <v>1906</v>
      </c>
      <c r="B38" t="s">
        <v>3472</v>
      </c>
      <c r="D38">
        <v>0.68520000000000003</v>
      </c>
      <c r="E38" s="254"/>
      <c r="F38" s="248">
        <v>43009</v>
      </c>
    </row>
    <row r="39" spans="1:6">
      <c r="A39" t="s">
        <v>1905</v>
      </c>
      <c r="B39" t="s">
        <v>3501</v>
      </c>
      <c r="D39" s="247">
        <v>1.0654999999999999</v>
      </c>
      <c r="E39"/>
      <c r="F39" s="248">
        <v>43010</v>
      </c>
    </row>
    <row r="40" spans="1:6">
      <c r="A40" t="s">
        <v>1904</v>
      </c>
      <c r="B40" t="s">
        <v>3469</v>
      </c>
      <c r="D40">
        <v>0.91069999999999995</v>
      </c>
      <c r="E40" s="254" t="s">
        <v>3406</v>
      </c>
      <c r="F40" s="248">
        <v>43009</v>
      </c>
    </row>
    <row r="41" spans="1:6">
      <c r="A41" t="s">
        <v>1903</v>
      </c>
      <c r="B41" t="s">
        <v>3399</v>
      </c>
      <c r="D41">
        <v>0.71709999999999996</v>
      </c>
      <c r="E41" s="254"/>
      <c r="F41" s="247"/>
    </row>
    <row r="42" spans="1:6">
      <c r="A42" t="s">
        <v>1902</v>
      </c>
      <c r="B42">
        <v>194</v>
      </c>
      <c r="C42" t="s">
        <v>2504</v>
      </c>
      <c r="D42">
        <v>0.433</v>
      </c>
      <c r="E42" s="223" t="s">
        <v>2505</v>
      </c>
      <c r="F42" s="16">
        <v>43208</v>
      </c>
    </row>
    <row r="43" spans="1:6">
      <c r="A43" t="s">
        <v>1901</v>
      </c>
      <c r="B43" t="s">
        <v>3422</v>
      </c>
      <c r="D43">
        <v>0.75890000000000002</v>
      </c>
      <c r="E43" s="254"/>
      <c r="F43" s="248">
        <v>43009</v>
      </c>
    </row>
    <row r="44" spans="1:6">
      <c r="A44" t="s">
        <v>2035</v>
      </c>
      <c r="B44" t="s">
        <v>3486</v>
      </c>
      <c r="D44">
        <v>1.6711</v>
      </c>
      <c r="E44" s="254"/>
      <c r="F44" s="248">
        <v>43010</v>
      </c>
    </row>
    <row r="45" spans="1:6">
      <c r="A45" t="s">
        <v>1898</v>
      </c>
      <c r="B45" t="s">
        <v>3585</v>
      </c>
      <c r="D45" s="255">
        <v>1.8697999999999999</v>
      </c>
      <c r="E45"/>
      <c r="F45" s="248">
        <v>43333</v>
      </c>
    </row>
    <row r="46" spans="1:6">
      <c r="A46" t="s">
        <v>1897</v>
      </c>
      <c r="B46" t="s">
        <v>3488</v>
      </c>
      <c r="D46">
        <v>0.87609999999999999</v>
      </c>
      <c r="E46"/>
      <c r="F46" s="248">
        <v>43010</v>
      </c>
    </row>
    <row r="47" spans="1:6">
      <c r="A47" t="s">
        <v>1895</v>
      </c>
      <c r="B47" t="s">
        <v>3431</v>
      </c>
      <c r="D47">
        <v>0.78239999999999998</v>
      </c>
      <c r="E47" s="254"/>
      <c r="F47" s="248">
        <v>43009</v>
      </c>
    </row>
    <row r="48" spans="1:6">
      <c r="A48" t="s">
        <v>1894</v>
      </c>
      <c r="B48" t="s">
        <v>3438</v>
      </c>
      <c r="D48">
        <v>1.8079000000000001</v>
      </c>
      <c r="E48" s="254"/>
      <c r="F48" s="248">
        <v>43007</v>
      </c>
    </row>
    <row r="49" spans="1:6">
      <c r="A49" t="s">
        <v>1893</v>
      </c>
      <c r="B49" t="s">
        <v>3638</v>
      </c>
      <c r="D49" s="255">
        <v>1.8103</v>
      </c>
      <c r="E49"/>
      <c r="F49" s="248">
        <v>43338</v>
      </c>
    </row>
    <row r="50" spans="1:6">
      <c r="A50" t="s">
        <v>1892</v>
      </c>
      <c r="B50" t="s">
        <v>3401</v>
      </c>
      <c r="D50">
        <v>0.71050000000000002</v>
      </c>
      <c r="E50" s="254" t="s">
        <v>2136</v>
      </c>
      <c r="F50" s="247"/>
    </row>
    <row r="51" spans="1:6">
      <c r="A51" t="s">
        <v>1891</v>
      </c>
      <c r="B51" t="s">
        <v>3604</v>
      </c>
      <c r="D51" s="255">
        <v>0.76990000000000003</v>
      </c>
      <c r="E51"/>
      <c r="F51" s="248">
        <v>43334</v>
      </c>
    </row>
    <row r="52" spans="1:6">
      <c r="A52" t="s">
        <v>1889</v>
      </c>
      <c r="B52" t="s">
        <v>3496</v>
      </c>
      <c r="D52" s="247">
        <v>1.7174</v>
      </c>
      <c r="E52"/>
      <c r="F52" s="248">
        <v>43010</v>
      </c>
    </row>
    <row r="53" spans="1:6">
      <c r="A53" t="s">
        <v>1888</v>
      </c>
      <c r="B53" t="s">
        <v>3484</v>
      </c>
      <c r="D53">
        <v>1.4899</v>
      </c>
      <c r="E53" s="254"/>
      <c r="F53" s="248">
        <v>43010</v>
      </c>
    </row>
    <row r="54" spans="1:6">
      <c r="A54" t="s">
        <v>1884</v>
      </c>
      <c r="B54" t="s">
        <v>3451</v>
      </c>
      <c r="D54">
        <v>1.8809</v>
      </c>
      <c r="E54" s="254"/>
      <c r="F54" s="248">
        <v>43007</v>
      </c>
    </row>
    <row r="55" spans="1:6">
      <c r="A55" t="s">
        <v>1883</v>
      </c>
      <c r="B55" t="s">
        <v>3502</v>
      </c>
      <c r="D55" s="247">
        <v>0.98309999999999997</v>
      </c>
      <c r="E55"/>
      <c r="F55" s="248">
        <v>43010</v>
      </c>
    </row>
    <row r="56" spans="1:6">
      <c r="A56" t="s">
        <v>1882</v>
      </c>
      <c r="B56" t="s">
        <v>3390</v>
      </c>
      <c r="D56">
        <v>0.72609999999999997</v>
      </c>
      <c r="E56" s="254"/>
      <c r="F56" s="247"/>
    </row>
    <row r="57" spans="1:6">
      <c r="A57" t="s">
        <v>1881</v>
      </c>
      <c r="B57" t="s">
        <v>3392</v>
      </c>
      <c r="D57">
        <v>0.70899999999999996</v>
      </c>
      <c r="E57" s="254"/>
      <c r="F57" s="247"/>
    </row>
    <row r="58" spans="1:6">
      <c r="A58" t="s">
        <v>2033</v>
      </c>
      <c r="B58" t="s">
        <v>3428</v>
      </c>
      <c r="D58">
        <v>0.73580000000000001</v>
      </c>
      <c r="E58" s="254"/>
      <c r="F58" s="248">
        <v>43008</v>
      </c>
    </row>
    <row r="59" spans="1:6">
      <c r="A59" t="s">
        <v>1880</v>
      </c>
      <c r="B59">
        <v>218</v>
      </c>
      <c r="C59" t="s">
        <v>2504</v>
      </c>
      <c r="D59">
        <v>0.66100000000000003</v>
      </c>
      <c r="E59" s="223" t="s">
        <v>2509</v>
      </c>
      <c r="F59" s="16">
        <v>43208</v>
      </c>
    </row>
    <row r="60" spans="1:6">
      <c r="A60" t="s">
        <v>1879</v>
      </c>
      <c r="B60" t="s">
        <v>3467</v>
      </c>
      <c r="D60">
        <v>0.75309999999999999</v>
      </c>
      <c r="E60" s="254"/>
      <c r="F60" s="248">
        <v>43009</v>
      </c>
    </row>
    <row r="61" spans="1:6">
      <c r="A61" t="s">
        <v>1878</v>
      </c>
      <c r="B61" t="s">
        <v>3623</v>
      </c>
      <c r="D61" s="255">
        <v>1.8197000000000001</v>
      </c>
      <c r="E61"/>
      <c r="F61" s="248">
        <v>43337</v>
      </c>
    </row>
    <row r="62" spans="1:6">
      <c r="A62" t="s">
        <v>1877</v>
      </c>
      <c r="B62" t="s">
        <v>3405</v>
      </c>
      <c r="D62">
        <v>0.79190000000000005</v>
      </c>
      <c r="E62" s="254" t="s">
        <v>2136</v>
      </c>
      <c r="F62" s="247"/>
    </row>
    <row r="63" spans="1:6">
      <c r="A63" t="s">
        <v>1876</v>
      </c>
      <c r="B63" t="s">
        <v>3648</v>
      </c>
      <c r="D63" s="255">
        <v>1.8838999999999999</v>
      </c>
      <c r="E63"/>
      <c r="F63" s="248">
        <v>43338</v>
      </c>
    </row>
    <row r="64" spans="1:6">
      <c r="A64" t="s">
        <v>1875</v>
      </c>
      <c r="B64" t="s">
        <v>3490</v>
      </c>
      <c r="D64" s="247">
        <v>1.2042999999999999</v>
      </c>
      <c r="E64"/>
      <c r="F64" s="248">
        <v>43010</v>
      </c>
    </row>
    <row r="65" spans="1:6">
      <c r="A65" t="s">
        <v>1874</v>
      </c>
      <c r="B65" t="s">
        <v>3614</v>
      </c>
      <c r="D65" s="255">
        <v>1.3146</v>
      </c>
      <c r="E65" t="s">
        <v>3616</v>
      </c>
      <c r="F65" s="248">
        <v>43334</v>
      </c>
    </row>
    <row r="66" spans="1:6">
      <c r="A66" t="s">
        <v>1871</v>
      </c>
      <c r="B66" t="s">
        <v>3390</v>
      </c>
      <c r="D66">
        <v>0.59770000000000001</v>
      </c>
      <c r="E66" s="254"/>
      <c r="F66" s="247"/>
    </row>
    <row r="67" spans="1:6">
      <c r="A67" t="s">
        <v>1869</v>
      </c>
      <c r="B67" t="s">
        <v>3399</v>
      </c>
      <c r="D67">
        <v>0.80740000000000001</v>
      </c>
      <c r="E67" s="254"/>
      <c r="F67" s="247"/>
    </row>
    <row r="68" spans="1:6">
      <c r="A68" t="s">
        <v>1868</v>
      </c>
      <c r="B68" t="s">
        <v>3407</v>
      </c>
      <c r="D68">
        <v>0.62490000000000001</v>
      </c>
      <c r="E68" s="254"/>
      <c r="F68" s="247"/>
    </row>
    <row r="69" spans="1:6">
      <c r="A69" t="s">
        <v>1867</v>
      </c>
      <c r="B69" t="s">
        <v>3473</v>
      </c>
      <c r="D69">
        <v>0.92459999999999998</v>
      </c>
      <c r="E69" s="254"/>
      <c r="F69" s="248">
        <v>43009</v>
      </c>
    </row>
    <row r="70" spans="1:6">
      <c r="A70" t="s">
        <v>1866</v>
      </c>
      <c r="B70" t="s">
        <v>3493</v>
      </c>
      <c r="D70" s="247">
        <v>0.99180000000000001</v>
      </c>
      <c r="E70"/>
      <c r="F70" s="248">
        <v>43010</v>
      </c>
    </row>
    <row r="71" spans="1:6">
      <c r="A71" t="s">
        <v>1865</v>
      </c>
      <c r="B71" t="s">
        <v>3469</v>
      </c>
      <c r="D71">
        <v>0.74670000000000003</v>
      </c>
      <c r="E71" s="254"/>
      <c r="F71" s="248">
        <v>43009</v>
      </c>
    </row>
    <row r="72" spans="1:6">
      <c r="A72" t="s">
        <v>1864</v>
      </c>
      <c r="B72" t="s">
        <v>3401</v>
      </c>
      <c r="D72">
        <v>0.6643</v>
      </c>
      <c r="E72" s="254" t="s">
        <v>2136</v>
      </c>
      <c r="F72" s="247"/>
    </row>
    <row r="73" spans="1:6">
      <c r="A73" t="s">
        <v>1863</v>
      </c>
      <c r="B73" t="s">
        <v>3614</v>
      </c>
      <c r="D73" s="255">
        <v>1.1655</v>
      </c>
      <c r="E73"/>
      <c r="F73" s="248">
        <v>43334</v>
      </c>
    </row>
    <row r="74" spans="1:6">
      <c r="A74" t="s">
        <v>1862</v>
      </c>
      <c r="B74" t="s">
        <v>3625</v>
      </c>
      <c r="D74" s="255">
        <v>1.7849999999999999</v>
      </c>
      <c r="E74"/>
      <c r="F74" s="248">
        <v>43337</v>
      </c>
    </row>
    <row r="75" spans="1:6">
      <c r="A75" t="s">
        <v>1861</v>
      </c>
      <c r="B75" t="s">
        <v>3511</v>
      </c>
      <c r="D75" s="247">
        <v>0.76890000000000003</v>
      </c>
      <c r="E75"/>
      <c r="F75" s="248">
        <v>43008</v>
      </c>
    </row>
    <row r="76" spans="1:6">
      <c r="A76" t="s">
        <v>2031</v>
      </c>
      <c r="B76" t="s">
        <v>3487</v>
      </c>
      <c r="D76">
        <v>1.0404</v>
      </c>
      <c r="E76" s="254"/>
      <c r="F76" s="248">
        <v>43010</v>
      </c>
    </row>
    <row r="77" spans="1:6">
      <c r="A77" t="s">
        <v>1860</v>
      </c>
      <c r="B77" t="s">
        <v>3444</v>
      </c>
      <c r="D77">
        <v>1.7041999999999999</v>
      </c>
      <c r="E77" s="254"/>
      <c r="F77" s="248">
        <v>43007</v>
      </c>
    </row>
    <row r="78" spans="1:6">
      <c r="A78" t="s">
        <v>1857</v>
      </c>
      <c r="B78" t="s">
        <v>3442</v>
      </c>
      <c r="D78">
        <v>1.8848</v>
      </c>
      <c r="E78" s="254"/>
      <c r="F78" s="248">
        <v>43007</v>
      </c>
    </row>
    <row r="79" spans="1:6">
      <c r="A79" t="s">
        <v>1856</v>
      </c>
      <c r="B79" t="s">
        <v>3489</v>
      </c>
      <c r="D79" s="249">
        <v>1.56</v>
      </c>
      <c r="E79"/>
      <c r="F79" s="248">
        <v>43010</v>
      </c>
    </row>
    <row r="80" spans="1:6">
      <c r="A80" t="s">
        <v>1854</v>
      </c>
      <c r="B80" t="s">
        <v>3408</v>
      </c>
      <c r="D80">
        <v>0.5756</v>
      </c>
      <c r="E80" s="254"/>
      <c r="F80" s="247"/>
    </row>
    <row r="81" spans="1:6">
      <c r="A81" t="s">
        <v>1853</v>
      </c>
      <c r="B81" t="s">
        <v>3487</v>
      </c>
      <c r="D81">
        <v>1.2847</v>
      </c>
      <c r="E81" s="254"/>
      <c r="F81" s="248">
        <v>43010</v>
      </c>
    </row>
    <row r="82" spans="1:6">
      <c r="A82" t="s">
        <v>1852</v>
      </c>
      <c r="B82" t="s">
        <v>3492</v>
      </c>
      <c r="D82" s="247">
        <v>1.3654999999999999</v>
      </c>
      <c r="E82"/>
      <c r="F82" s="248">
        <v>43010</v>
      </c>
    </row>
    <row r="83" spans="1:6">
      <c r="A83" t="s">
        <v>2048</v>
      </c>
      <c r="B83" t="s">
        <v>3478</v>
      </c>
      <c r="D83">
        <v>1.7587999999999999</v>
      </c>
      <c r="E83" s="254"/>
      <c r="F83" s="248">
        <v>43007</v>
      </c>
    </row>
    <row r="84" spans="1:6">
      <c r="A84" t="s">
        <v>2030</v>
      </c>
      <c r="B84" t="s">
        <v>3502</v>
      </c>
      <c r="D84" s="247">
        <v>1.0826</v>
      </c>
      <c r="E84"/>
      <c r="F84" s="248">
        <v>43010</v>
      </c>
    </row>
    <row r="85" spans="1:6">
      <c r="A85" t="s">
        <v>1850</v>
      </c>
      <c r="B85" t="s">
        <v>3510</v>
      </c>
      <c r="D85" s="247">
        <v>0.71760000000000002</v>
      </c>
      <c r="E85" t="s">
        <v>3463</v>
      </c>
      <c r="F85" s="248">
        <v>43008</v>
      </c>
    </row>
    <row r="86" spans="1:6">
      <c r="A86" t="s">
        <v>1846</v>
      </c>
      <c r="B86" t="s">
        <v>3400</v>
      </c>
      <c r="D86">
        <v>0.80579999999999996</v>
      </c>
      <c r="E86" s="254"/>
      <c r="F86" s="247"/>
    </row>
    <row r="87" spans="1:6">
      <c r="A87" t="s">
        <v>1845</v>
      </c>
      <c r="B87" t="s">
        <v>3417</v>
      </c>
      <c r="D87">
        <v>0.82040000000000002</v>
      </c>
      <c r="E87" s="254"/>
      <c r="F87" s="248">
        <v>43008</v>
      </c>
    </row>
    <row r="88" spans="1:6">
      <c r="A88" t="s">
        <v>1844</v>
      </c>
      <c r="B88" t="s">
        <v>3511</v>
      </c>
      <c r="D88" s="247">
        <v>0.75260000000000005</v>
      </c>
      <c r="E88"/>
      <c r="F88" s="248">
        <v>43008</v>
      </c>
    </row>
    <row r="89" spans="1:6">
      <c r="A89" t="s">
        <v>1843</v>
      </c>
      <c r="B89" t="s">
        <v>3420</v>
      </c>
      <c r="D89">
        <v>0.76570000000000005</v>
      </c>
      <c r="E89" s="254"/>
      <c r="F89" s="248">
        <v>43008</v>
      </c>
    </row>
    <row r="90" spans="1:6">
      <c r="A90" t="s">
        <v>1841</v>
      </c>
      <c r="B90" t="s">
        <v>3443</v>
      </c>
      <c r="D90">
        <v>1.9087000000000001</v>
      </c>
      <c r="E90" s="254"/>
      <c r="F90" s="248">
        <v>43007</v>
      </c>
    </row>
    <row r="91" spans="1:6">
      <c r="A91" t="s">
        <v>2029</v>
      </c>
      <c r="B91" t="s">
        <v>3488</v>
      </c>
      <c r="E91" t="s">
        <v>3471</v>
      </c>
      <c r="F91" s="248">
        <v>43010</v>
      </c>
    </row>
    <row r="92" spans="1:6">
      <c r="A92" t="s">
        <v>1839</v>
      </c>
      <c r="B92">
        <v>201</v>
      </c>
      <c r="C92" t="s">
        <v>2504</v>
      </c>
      <c r="D92">
        <v>0.67300000000000004</v>
      </c>
      <c r="E92" s="223" t="s">
        <v>2509</v>
      </c>
      <c r="F92" s="16">
        <v>43208</v>
      </c>
    </row>
    <row r="93" spans="1:6">
      <c r="A93" t="s">
        <v>1837</v>
      </c>
      <c r="B93" t="s">
        <v>3417</v>
      </c>
      <c r="D93">
        <v>0.66200000000000003</v>
      </c>
      <c r="E93" s="254"/>
      <c r="F93" s="248">
        <v>43008</v>
      </c>
    </row>
    <row r="94" spans="1:6">
      <c r="A94" t="s">
        <v>1835</v>
      </c>
      <c r="B94" t="s">
        <v>3643</v>
      </c>
      <c r="D94" s="255">
        <v>1.9146000000000001</v>
      </c>
      <c r="E94"/>
      <c r="F94" s="248">
        <v>43338</v>
      </c>
    </row>
    <row r="95" spans="1:6">
      <c r="A95" t="s">
        <v>1832</v>
      </c>
      <c r="B95" t="s">
        <v>3629</v>
      </c>
      <c r="D95" s="255">
        <v>1.7766</v>
      </c>
      <c r="E95"/>
      <c r="F95" s="248">
        <v>43337</v>
      </c>
    </row>
    <row r="96" spans="1:6">
      <c r="A96" t="s">
        <v>1831</v>
      </c>
      <c r="B96" t="s">
        <v>3441</v>
      </c>
      <c r="D96">
        <v>0.76939999999999997</v>
      </c>
      <c r="E96" s="254"/>
      <c r="F96" s="248">
        <v>43007</v>
      </c>
    </row>
    <row r="97" spans="1:6">
      <c r="A97" t="s">
        <v>2028</v>
      </c>
      <c r="B97" t="s">
        <v>3414</v>
      </c>
      <c r="D97">
        <v>0.7238</v>
      </c>
      <c r="E97" s="254"/>
      <c r="F97" s="248">
        <v>43009</v>
      </c>
    </row>
    <row r="98" spans="1:6">
      <c r="A98" t="s">
        <v>1830</v>
      </c>
      <c r="B98" t="s">
        <v>3588</v>
      </c>
      <c r="D98" s="255">
        <v>1.9671000000000001</v>
      </c>
      <c r="E98" t="s">
        <v>2119</v>
      </c>
      <c r="F98" s="248">
        <v>43334</v>
      </c>
    </row>
    <row r="99" spans="1:6">
      <c r="A99" t="s">
        <v>1829</v>
      </c>
      <c r="B99" t="s">
        <v>3617</v>
      </c>
      <c r="D99" s="255">
        <v>0.66700000000000004</v>
      </c>
      <c r="E99" t="s">
        <v>3618</v>
      </c>
      <c r="F99" s="248">
        <v>43334</v>
      </c>
    </row>
    <row r="100" spans="1:6">
      <c r="A100" t="s">
        <v>1826</v>
      </c>
      <c r="B100" t="s">
        <v>3407</v>
      </c>
      <c r="D100">
        <v>0.53049999999999997</v>
      </c>
      <c r="E100" s="254"/>
      <c r="F100" s="247"/>
    </row>
    <row r="101" spans="1:6">
      <c r="A101" t="s">
        <v>1825</v>
      </c>
      <c r="B101" t="s">
        <v>3441</v>
      </c>
      <c r="D101">
        <v>1.25</v>
      </c>
      <c r="E101" s="254" t="s">
        <v>2511</v>
      </c>
      <c r="F101" s="248">
        <v>43007</v>
      </c>
    </row>
    <row r="102" spans="1:6">
      <c r="A102" t="s">
        <v>1824</v>
      </c>
      <c r="B102" t="s">
        <v>3593</v>
      </c>
      <c r="D102" s="255">
        <v>1.7826</v>
      </c>
      <c r="E102"/>
      <c r="F102" s="248">
        <v>43334</v>
      </c>
    </row>
    <row r="103" spans="1:6">
      <c r="A103" t="s">
        <v>1823</v>
      </c>
      <c r="B103" t="s">
        <v>3597</v>
      </c>
      <c r="D103" s="255">
        <v>1.7715000000000001</v>
      </c>
      <c r="E103"/>
      <c r="F103" s="248">
        <v>43334</v>
      </c>
    </row>
    <row r="104" spans="1:6">
      <c r="A104" t="s">
        <v>1822</v>
      </c>
      <c r="B104" t="s">
        <v>3481</v>
      </c>
      <c r="D104">
        <v>0.83330000000000004</v>
      </c>
      <c r="E104" s="254"/>
      <c r="F104" s="248">
        <v>43007</v>
      </c>
    </row>
    <row r="105" spans="1:6">
      <c r="A105" t="s">
        <v>2027</v>
      </c>
      <c r="B105" t="s">
        <v>3481</v>
      </c>
      <c r="D105">
        <v>0.94159999999999999</v>
      </c>
      <c r="E105" s="254"/>
      <c r="F105" s="248">
        <v>43007</v>
      </c>
    </row>
    <row r="106" spans="1:6">
      <c r="A106" t="s">
        <v>1820</v>
      </c>
      <c r="B106">
        <v>207</v>
      </c>
      <c r="C106" t="s">
        <v>2504</v>
      </c>
      <c r="D106">
        <v>0.73299999999999998</v>
      </c>
      <c r="E106" s="223" t="s">
        <v>2452</v>
      </c>
      <c r="F106" s="16">
        <v>43208</v>
      </c>
    </row>
    <row r="107" spans="1:6">
      <c r="A107" t="s">
        <v>1819</v>
      </c>
      <c r="B107" t="s">
        <v>3626</v>
      </c>
      <c r="D107" s="255">
        <v>1.8747</v>
      </c>
      <c r="E107"/>
      <c r="F107" s="248">
        <v>43337</v>
      </c>
    </row>
    <row r="108" spans="1:6">
      <c r="A108" t="s">
        <v>1819</v>
      </c>
      <c r="B108" t="s">
        <v>3507</v>
      </c>
      <c r="D108" s="247">
        <v>0.78859999999999997</v>
      </c>
      <c r="E108"/>
      <c r="F108" s="248">
        <v>43008</v>
      </c>
    </row>
    <row r="109" spans="1:6">
      <c r="A109" t="s">
        <v>1818</v>
      </c>
      <c r="B109" t="s">
        <v>3412</v>
      </c>
      <c r="D109">
        <v>0.80369999999999997</v>
      </c>
      <c r="E109" s="254"/>
      <c r="F109" s="248">
        <v>43009</v>
      </c>
    </row>
    <row r="110" spans="1:6">
      <c r="A110" t="s">
        <v>1817</v>
      </c>
      <c r="B110" t="s">
        <v>3637</v>
      </c>
      <c r="D110" s="255">
        <v>1.6727000000000001</v>
      </c>
      <c r="E110" t="s">
        <v>2119</v>
      </c>
      <c r="F110" s="248">
        <v>43337</v>
      </c>
    </row>
    <row r="111" spans="1:6">
      <c r="A111" t="s">
        <v>1816</v>
      </c>
      <c r="B111">
        <v>207</v>
      </c>
      <c r="C111" t="s">
        <v>2504</v>
      </c>
      <c r="D111">
        <v>0.745</v>
      </c>
      <c r="E111" s="223" t="s">
        <v>2452</v>
      </c>
      <c r="F111" s="16">
        <v>43208</v>
      </c>
    </row>
    <row r="112" spans="1:6">
      <c r="A112" t="s">
        <v>1815</v>
      </c>
      <c r="B112" t="s">
        <v>3459</v>
      </c>
      <c r="D112">
        <v>0.66620000000000001</v>
      </c>
      <c r="E112" s="254"/>
      <c r="F112" s="248">
        <v>43009</v>
      </c>
    </row>
    <row r="113" spans="1:6">
      <c r="A113" t="s">
        <v>1814</v>
      </c>
      <c r="B113" t="s">
        <v>3604</v>
      </c>
      <c r="D113" s="255">
        <v>0.81489999999999996</v>
      </c>
      <c r="E113" t="s">
        <v>3594</v>
      </c>
      <c r="F113" s="248">
        <v>43334</v>
      </c>
    </row>
    <row r="114" spans="1:6">
      <c r="A114" t="s">
        <v>1813</v>
      </c>
      <c r="B114" t="s">
        <v>3567</v>
      </c>
      <c r="D114" s="255">
        <v>1.8220000000000001</v>
      </c>
      <c r="E114"/>
      <c r="F114" s="248">
        <v>43333</v>
      </c>
    </row>
    <row r="115" spans="1:6" ht="15.6" customHeight="1">
      <c r="A115" t="s">
        <v>1812</v>
      </c>
      <c r="B115" t="s">
        <v>3425</v>
      </c>
      <c r="D115">
        <v>0.81089999999999995</v>
      </c>
      <c r="E115" s="254"/>
      <c r="F115" s="248">
        <v>43009</v>
      </c>
    </row>
    <row r="116" spans="1:6" ht="15" customHeight="1">
      <c r="A116" t="s">
        <v>1811</v>
      </c>
      <c r="B116" t="s">
        <v>3436</v>
      </c>
      <c r="D116">
        <v>0.73950000000000005</v>
      </c>
      <c r="E116" s="254"/>
      <c r="F116" s="248">
        <v>43009</v>
      </c>
    </row>
    <row r="117" spans="1:6">
      <c r="A117" t="s">
        <v>2026</v>
      </c>
      <c r="B117" t="s">
        <v>3645</v>
      </c>
      <c r="D117" s="255">
        <v>1.9084000000000001</v>
      </c>
      <c r="E117"/>
      <c r="F117" s="248">
        <v>43338</v>
      </c>
    </row>
    <row r="118" spans="1:6">
      <c r="A118" t="s">
        <v>1808</v>
      </c>
      <c r="B118" t="s">
        <v>3415</v>
      </c>
      <c r="D118">
        <v>0.70840000000000003</v>
      </c>
      <c r="E118" s="254"/>
      <c r="F118" s="248">
        <v>43009</v>
      </c>
    </row>
    <row r="119" spans="1:6">
      <c r="A119" t="s">
        <v>1807</v>
      </c>
      <c r="B119">
        <v>196</v>
      </c>
      <c r="C119" t="s">
        <v>2504</v>
      </c>
      <c r="D119">
        <v>1.04</v>
      </c>
      <c r="E119" s="223" t="s">
        <v>2455</v>
      </c>
      <c r="F119" s="16">
        <v>43208</v>
      </c>
    </row>
    <row r="120" spans="1:6">
      <c r="A120" t="s">
        <v>1806</v>
      </c>
      <c r="B120" t="s">
        <v>3640</v>
      </c>
      <c r="D120" s="255">
        <v>1.8649</v>
      </c>
      <c r="E120"/>
      <c r="F120" s="248">
        <v>43338</v>
      </c>
    </row>
    <row r="121" spans="1:6" ht="15" customHeight="1">
      <c r="A121" t="s">
        <v>1805</v>
      </c>
      <c r="B121" t="s">
        <v>3435</v>
      </c>
      <c r="D121">
        <v>0.81240000000000001</v>
      </c>
      <c r="E121" s="254"/>
      <c r="F121" s="248">
        <v>43009</v>
      </c>
    </row>
    <row r="122" spans="1:6" ht="15" customHeight="1">
      <c r="A122" t="s">
        <v>1804</v>
      </c>
      <c r="B122" t="s">
        <v>3568</v>
      </c>
      <c r="D122" s="255">
        <v>1.9577</v>
      </c>
      <c r="E122" t="s">
        <v>3571</v>
      </c>
      <c r="F122" s="248">
        <v>43333</v>
      </c>
    </row>
    <row r="123" spans="1:6">
      <c r="A123" t="s">
        <v>1803</v>
      </c>
      <c r="B123" t="s">
        <v>3596</v>
      </c>
      <c r="D123" s="255">
        <v>1.9853000000000001</v>
      </c>
      <c r="E123"/>
      <c r="F123" s="248">
        <v>43334</v>
      </c>
    </row>
    <row r="124" spans="1:6">
      <c r="A124" t="s">
        <v>1802</v>
      </c>
      <c r="B124" t="s">
        <v>3410</v>
      </c>
      <c r="D124">
        <v>1.7124999999999999</v>
      </c>
      <c r="E124" s="254"/>
      <c r="F124" s="247"/>
    </row>
    <row r="125" spans="1:6">
      <c r="A125" t="s">
        <v>2025</v>
      </c>
      <c r="B125" t="s">
        <v>3493</v>
      </c>
      <c r="D125" s="249">
        <v>0.995</v>
      </c>
      <c r="E125"/>
      <c r="F125" s="248">
        <v>43010</v>
      </c>
    </row>
    <row r="126" spans="1:6">
      <c r="A126" t="s">
        <v>1800</v>
      </c>
      <c r="B126" t="s">
        <v>3466</v>
      </c>
      <c r="D126">
        <v>0.80610000000000004</v>
      </c>
      <c r="E126" s="254"/>
      <c r="F126" s="248">
        <v>43009</v>
      </c>
    </row>
    <row r="127" spans="1:6">
      <c r="A127" t="s">
        <v>1797</v>
      </c>
      <c r="B127" t="s">
        <v>3491</v>
      </c>
      <c r="D127" s="247">
        <v>1.2484</v>
      </c>
      <c r="E127"/>
      <c r="F127" s="248">
        <v>43010</v>
      </c>
    </row>
    <row r="128" spans="1:6">
      <c r="A128" t="s">
        <v>1796</v>
      </c>
      <c r="B128">
        <v>197</v>
      </c>
      <c r="C128" t="s">
        <v>2504</v>
      </c>
      <c r="D128">
        <v>0.82399999999999995</v>
      </c>
      <c r="E128" s="223" t="s">
        <v>2452</v>
      </c>
      <c r="F128" s="16">
        <v>43208</v>
      </c>
    </row>
    <row r="129" spans="1:6">
      <c r="A129" t="s">
        <v>1795</v>
      </c>
      <c r="B129" t="s">
        <v>3447</v>
      </c>
      <c r="D129">
        <v>1.6215999999999999</v>
      </c>
      <c r="E129" s="254"/>
      <c r="F129" s="248">
        <v>43007</v>
      </c>
    </row>
    <row r="130" spans="1:6">
      <c r="A130" t="s">
        <v>1794</v>
      </c>
      <c r="B130" t="s">
        <v>3599</v>
      </c>
      <c r="D130" s="255">
        <v>1.6208</v>
      </c>
      <c r="E130" t="s">
        <v>3600</v>
      </c>
      <c r="F130" s="248">
        <v>43334</v>
      </c>
    </row>
    <row r="131" spans="1:6">
      <c r="A131" t="s">
        <v>1793</v>
      </c>
      <c r="B131">
        <v>193</v>
      </c>
      <c r="C131" t="s">
        <v>2504</v>
      </c>
      <c r="D131">
        <v>0.67</v>
      </c>
      <c r="E131" s="223" t="s">
        <v>2454</v>
      </c>
      <c r="F131" s="16">
        <v>43208</v>
      </c>
    </row>
    <row r="132" spans="1:6">
      <c r="A132" t="s">
        <v>1792</v>
      </c>
      <c r="B132" t="s">
        <v>3495</v>
      </c>
      <c r="D132" s="247">
        <v>0.92730000000000001</v>
      </c>
      <c r="E132" t="s">
        <v>3406</v>
      </c>
      <c r="F132" s="248">
        <v>43010</v>
      </c>
    </row>
    <row r="133" spans="1:6">
      <c r="A133" t="s">
        <v>1791</v>
      </c>
      <c r="B133" t="s">
        <v>3439</v>
      </c>
      <c r="D133">
        <v>1.5964</v>
      </c>
      <c r="E133" s="254"/>
      <c r="F133" s="248">
        <v>43007</v>
      </c>
    </row>
    <row r="134" spans="1:6">
      <c r="A134" t="s">
        <v>2024</v>
      </c>
      <c r="B134">
        <v>211</v>
      </c>
      <c r="C134" t="s">
        <v>2504</v>
      </c>
      <c r="D134">
        <v>0.38400000000000001</v>
      </c>
      <c r="F134" s="16">
        <v>43208</v>
      </c>
    </row>
    <row r="135" spans="1:6">
      <c r="A135" t="s">
        <v>1790</v>
      </c>
      <c r="B135" t="s">
        <v>3583</v>
      </c>
      <c r="D135" s="255">
        <v>1.9074</v>
      </c>
      <c r="E135"/>
      <c r="F135" s="248">
        <v>43333</v>
      </c>
    </row>
    <row r="136" spans="1:6">
      <c r="A136" t="s">
        <v>1789</v>
      </c>
      <c r="B136" t="s">
        <v>3626</v>
      </c>
      <c r="D136" s="255">
        <v>1.8041</v>
      </c>
      <c r="E136"/>
      <c r="F136" s="248">
        <v>43337</v>
      </c>
    </row>
    <row r="137" spans="1:6">
      <c r="A137" t="s">
        <v>1788</v>
      </c>
      <c r="B137" t="s">
        <v>3404</v>
      </c>
      <c r="D137">
        <v>0.59640000000000004</v>
      </c>
      <c r="E137" s="254"/>
      <c r="F137" s="247"/>
    </row>
    <row r="138" spans="1:6">
      <c r="A138" t="s">
        <v>1787</v>
      </c>
      <c r="B138" t="s">
        <v>3612</v>
      </c>
      <c r="D138" s="255">
        <v>0.83330000000000004</v>
      </c>
      <c r="E138" t="s">
        <v>3613</v>
      </c>
      <c r="F138" s="248">
        <v>43334</v>
      </c>
    </row>
    <row r="139" spans="1:6">
      <c r="A139" t="s">
        <v>1785</v>
      </c>
      <c r="B139" t="s">
        <v>3397</v>
      </c>
      <c r="D139">
        <v>0.93579999999999997</v>
      </c>
      <c r="E139" s="254"/>
      <c r="F139" s="248">
        <v>43008</v>
      </c>
    </row>
    <row r="140" spans="1:6">
      <c r="A140" t="s">
        <v>1784</v>
      </c>
      <c r="B140" t="s">
        <v>3459</v>
      </c>
      <c r="D140">
        <v>0.69879999999999998</v>
      </c>
      <c r="E140" s="254"/>
      <c r="F140" s="248">
        <v>43009</v>
      </c>
    </row>
    <row r="141" spans="1:6">
      <c r="A141" t="s">
        <v>1783</v>
      </c>
      <c r="B141" t="s">
        <v>3637</v>
      </c>
      <c r="D141" s="255">
        <v>1.8248</v>
      </c>
      <c r="E141" t="s">
        <v>2119</v>
      </c>
      <c r="F141" s="248">
        <v>43337</v>
      </c>
    </row>
    <row r="142" spans="1:6">
      <c r="A142" t="s">
        <v>1782</v>
      </c>
      <c r="B142" t="s">
        <v>3572</v>
      </c>
      <c r="D142" s="255">
        <v>1.7633000000000001</v>
      </c>
      <c r="E142" t="s">
        <v>2119</v>
      </c>
      <c r="F142" s="248">
        <v>43333</v>
      </c>
    </row>
    <row r="143" spans="1:6">
      <c r="A143" t="s">
        <v>2023</v>
      </c>
      <c r="B143">
        <v>198</v>
      </c>
      <c r="C143" t="s">
        <v>2504</v>
      </c>
      <c r="D143">
        <v>0.73799999999999999</v>
      </c>
      <c r="E143" s="223" t="s">
        <v>2453</v>
      </c>
      <c r="F143" s="16">
        <v>43208</v>
      </c>
    </row>
    <row r="144" spans="1:6">
      <c r="A144" t="s">
        <v>1777</v>
      </c>
      <c r="B144" t="s">
        <v>3451</v>
      </c>
      <c r="D144">
        <v>1.9318</v>
      </c>
      <c r="E144" s="254"/>
      <c r="F144" s="248">
        <v>43007</v>
      </c>
    </row>
    <row r="145" spans="1:6">
      <c r="A145" t="s">
        <v>1776</v>
      </c>
      <c r="B145" t="s">
        <v>3397</v>
      </c>
      <c r="D145">
        <v>1.0779000000000001</v>
      </c>
      <c r="E145" s="254"/>
      <c r="F145" s="248">
        <v>43008</v>
      </c>
    </row>
    <row r="146" spans="1:6">
      <c r="A146" t="s">
        <v>1775</v>
      </c>
      <c r="B146" t="s">
        <v>3499</v>
      </c>
      <c r="D146" s="247">
        <v>1.2171000000000001</v>
      </c>
      <c r="E146"/>
      <c r="F146" s="248">
        <v>43010</v>
      </c>
    </row>
    <row r="147" spans="1:6">
      <c r="A147" t="s">
        <v>1773</v>
      </c>
      <c r="B147" t="s">
        <v>3448</v>
      </c>
      <c r="D147">
        <v>1.9345000000000001</v>
      </c>
      <c r="E147" s="254"/>
      <c r="F147" s="248">
        <v>43007</v>
      </c>
    </row>
    <row r="148" spans="1:6">
      <c r="A148" t="s">
        <v>1772</v>
      </c>
      <c r="B148" t="s">
        <v>3602</v>
      </c>
      <c r="D148" s="255">
        <v>1.8243</v>
      </c>
      <c r="E148"/>
      <c r="F148" s="248">
        <v>43334</v>
      </c>
    </row>
    <row r="149" spans="1:6">
      <c r="A149" t="s">
        <v>1766</v>
      </c>
      <c r="B149" t="s">
        <v>3504</v>
      </c>
      <c r="D149" s="247">
        <v>1.1585000000000001</v>
      </c>
      <c r="E149"/>
      <c r="F149" s="248">
        <v>43010</v>
      </c>
    </row>
    <row r="150" spans="1:6">
      <c r="A150" t="s">
        <v>1761</v>
      </c>
      <c r="B150" t="s">
        <v>3491</v>
      </c>
      <c r="D150" s="247">
        <v>1.2491000000000001</v>
      </c>
      <c r="E150"/>
      <c r="F150" s="248">
        <v>43010</v>
      </c>
    </row>
    <row r="151" spans="1:6">
      <c r="A151" t="s">
        <v>1760</v>
      </c>
      <c r="B151" t="s">
        <v>3496</v>
      </c>
      <c r="D151" s="247">
        <v>1.6564000000000001</v>
      </c>
      <c r="E151"/>
      <c r="F151" s="248">
        <v>43010</v>
      </c>
    </row>
    <row r="152" spans="1:6">
      <c r="A152" t="s">
        <v>1758</v>
      </c>
      <c r="B152" t="s">
        <v>3508</v>
      </c>
      <c r="D152" s="247">
        <v>0.88980000000000004</v>
      </c>
      <c r="E152"/>
      <c r="F152" s="248">
        <v>43008</v>
      </c>
    </row>
    <row r="153" spans="1:6">
      <c r="A153" t="s">
        <v>1757</v>
      </c>
      <c r="B153" t="s">
        <v>3442</v>
      </c>
      <c r="D153">
        <v>1.8129</v>
      </c>
      <c r="E153" s="254"/>
      <c r="F153" s="248">
        <v>43007</v>
      </c>
    </row>
    <row r="154" spans="1:6">
      <c r="A154" t="s">
        <v>1756</v>
      </c>
      <c r="B154" t="s">
        <v>3505</v>
      </c>
      <c r="D154" s="247">
        <v>0.93010000000000004</v>
      </c>
      <c r="E154"/>
      <c r="F154" s="248">
        <v>43010</v>
      </c>
    </row>
    <row r="155" spans="1:6">
      <c r="A155" t="s">
        <v>1755</v>
      </c>
      <c r="B155" t="s">
        <v>3414</v>
      </c>
      <c r="D155">
        <v>0.92659999999999998</v>
      </c>
      <c r="E155" s="254" t="s">
        <v>3406</v>
      </c>
      <c r="F155" s="248">
        <v>43009</v>
      </c>
    </row>
    <row r="156" spans="1:6">
      <c r="A156" t="s">
        <v>2020</v>
      </c>
      <c r="B156" t="s">
        <v>3427</v>
      </c>
      <c r="D156">
        <v>0.80879999999999996</v>
      </c>
      <c r="E156" s="254"/>
      <c r="F156" s="248">
        <v>43008</v>
      </c>
    </row>
    <row r="157" spans="1:6">
      <c r="A157" t="s">
        <v>1750</v>
      </c>
      <c r="B157" t="s">
        <v>3568</v>
      </c>
      <c r="D157" s="255">
        <v>1.8340000000000001</v>
      </c>
      <c r="E157" t="s">
        <v>3391</v>
      </c>
      <c r="F157" s="248">
        <v>43333</v>
      </c>
    </row>
    <row r="158" spans="1:6">
      <c r="A158" t="s">
        <v>1749</v>
      </c>
      <c r="B158" t="s">
        <v>3472</v>
      </c>
      <c r="D158">
        <v>0.66849999999999998</v>
      </c>
      <c r="E158" s="254"/>
      <c r="F158" s="248">
        <v>43009</v>
      </c>
    </row>
    <row r="159" spans="1:6">
      <c r="A159" t="s">
        <v>1747</v>
      </c>
      <c r="B159" t="s">
        <v>3486</v>
      </c>
      <c r="D159">
        <v>1.6654</v>
      </c>
      <c r="E159" s="254"/>
      <c r="F159" s="248">
        <v>43010</v>
      </c>
    </row>
    <row r="160" spans="1:6">
      <c r="A160" t="s">
        <v>1741</v>
      </c>
      <c r="B160" t="s">
        <v>3468</v>
      </c>
      <c r="D160">
        <v>0.88170000000000004</v>
      </c>
      <c r="E160" s="254"/>
      <c r="F160" s="248">
        <v>43009</v>
      </c>
    </row>
    <row r="161" spans="1:6">
      <c r="A161" t="s">
        <v>1738</v>
      </c>
      <c r="B161" t="s">
        <v>3587</v>
      </c>
      <c r="D161" s="255">
        <v>1.7978000000000001</v>
      </c>
      <c r="E161" t="s">
        <v>2119</v>
      </c>
      <c r="F161" s="248">
        <v>43334</v>
      </c>
    </row>
    <row r="162" spans="1:6">
      <c r="A162" t="s">
        <v>1737</v>
      </c>
      <c r="B162" t="s">
        <v>3400</v>
      </c>
      <c r="D162">
        <v>0.74719999999999998</v>
      </c>
      <c r="E162" s="254"/>
      <c r="F162" s="247"/>
    </row>
    <row r="163" spans="1:6">
      <c r="A163" t="s">
        <v>1736</v>
      </c>
      <c r="B163" t="s">
        <v>3413</v>
      </c>
      <c r="D163">
        <v>0.78080000000000005</v>
      </c>
      <c r="E163" s="254"/>
      <c r="F163" s="248">
        <v>43008</v>
      </c>
    </row>
    <row r="164" spans="1:6">
      <c r="A164" t="s">
        <v>1735</v>
      </c>
      <c r="B164">
        <v>201</v>
      </c>
      <c r="C164" t="s">
        <v>2504</v>
      </c>
      <c r="D164">
        <v>0.84</v>
      </c>
      <c r="E164" s="223" t="s">
        <v>2509</v>
      </c>
      <c r="F164" s="16">
        <v>43208</v>
      </c>
    </row>
    <row r="165" spans="1:6">
      <c r="A165" t="s">
        <v>1734</v>
      </c>
      <c r="B165" t="s">
        <v>3483</v>
      </c>
      <c r="D165">
        <v>0.6512</v>
      </c>
      <c r="E165" s="254" t="s">
        <v>3406</v>
      </c>
      <c r="F165" s="248">
        <v>43008</v>
      </c>
    </row>
    <row r="166" spans="1:6">
      <c r="A166" t="s">
        <v>1732</v>
      </c>
      <c r="B166" t="s">
        <v>3604</v>
      </c>
      <c r="D166" s="255">
        <v>0.70609999999999995</v>
      </c>
      <c r="E166" t="s">
        <v>2115</v>
      </c>
      <c r="F166" s="248">
        <v>43334</v>
      </c>
    </row>
    <row r="167" spans="1:6">
      <c r="A167" t="s">
        <v>1731</v>
      </c>
      <c r="B167" t="s">
        <v>3445</v>
      </c>
      <c r="D167">
        <v>1.8162</v>
      </c>
      <c r="E167" s="254"/>
      <c r="F167" s="248">
        <v>43007</v>
      </c>
    </row>
    <row r="168" spans="1:6">
      <c r="A168" t="s">
        <v>2018</v>
      </c>
      <c r="B168" t="s">
        <v>3412</v>
      </c>
      <c r="D168">
        <v>0.77580000000000005</v>
      </c>
      <c r="E168" s="254"/>
      <c r="F168" s="248">
        <v>43009</v>
      </c>
    </row>
    <row r="169" spans="1:6">
      <c r="A169" t="s">
        <v>1730</v>
      </c>
      <c r="B169" t="s">
        <v>3455</v>
      </c>
      <c r="D169">
        <v>1.7525999999999999</v>
      </c>
      <c r="E169" s="254"/>
      <c r="F169" s="248">
        <v>43007</v>
      </c>
    </row>
    <row r="170" spans="1:6">
      <c r="A170" t="s">
        <v>1728</v>
      </c>
      <c r="B170" t="s">
        <v>3438</v>
      </c>
      <c r="D170">
        <v>1.8697999999999999</v>
      </c>
      <c r="E170" s="254"/>
      <c r="F170" s="248">
        <v>43007</v>
      </c>
    </row>
    <row r="171" spans="1:6">
      <c r="A171" t="s">
        <v>1727</v>
      </c>
      <c r="B171" t="s">
        <v>3473</v>
      </c>
      <c r="D171">
        <v>0.74829999999999997</v>
      </c>
      <c r="E171" s="254"/>
      <c r="F171" s="248">
        <v>43009</v>
      </c>
    </row>
    <row r="172" spans="1:6">
      <c r="A172" t="s">
        <v>1726</v>
      </c>
      <c r="B172" t="s">
        <v>3632</v>
      </c>
      <c r="D172" s="255">
        <v>1.6847000000000001</v>
      </c>
      <c r="E172" t="s">
        <v>3620</v>
      </c>
      <c r="F172" s="248">
        <v>43337</v>
      </c>
    </row>
    <row r="173" spans="1:6">
      <c r="A173" t="s">
        <v>1724</v>
      </c>
      <c r="B173" t="s">
        <v>3501</v>
      </c>
      <c r="D173" s="247">
        <v>1.0625</v>
      </c>
      <c r="E173"/>
      <c r="F173" s="248">
        <v>43010</v>
      </c>
    </row>
    <row r="174" spans="1:6">
      <c r="A174" t="s">
        <v>1721</v>
      </c>
      <c r="B174" t="s">
        <v>3644</v>
      </c>
      <c r="D174" s="255">
        <v>1.7850999999999999</v>
      </c>
      <c r="E174"/>
      <c r="F174" s="248">
        <v>43338</v>
      </c>
    </row>
    <row r="175" spans="1:6">
      <c r="A175" t="s">
        <v>1719</v>
      </c>
      <c r="B175" t="s">
        <v>3630</v>
      </c>
      <c r="D175" s="255">
        <v>1.8354999999999999</v>
      </c>
      <c r="E175" t="s">
        <v>2119</v>
      </c>
      <c r="F175" s="248">
        <v>43337</v>
      </c>
    </row>
    <row r="176" spans="1:6">
      <c r="A176" t="s">
        <v>1718</v>
      </c>
      <c r="B176" t="s">
        <v>3430</v>
      </c>
      <c r="D176">
        <v>0.98260000000000003</v>
      </c>
      <c r="E176" s="254"/>
      <c r="F176" s="248">
        <v>43008</v>
      </c>
    </row>
    <row r="177" spans="1:6">
      <c r="A177" t="s">
        <v>1715</v>
      </c>
      <c r="B177" t="s">
        <v>3427</v>
      </c>
      <c r="D177">
        <v>0.85829999999999995</v>
      </c>
      <c r="E177" s="254"/>
      <c r="F177" s="248">
        <v>43008</v>
      </c>
    </row>
    <row r="178" spans="1:6">
      <c r="A178" t="s">
        <v>1714</v>
      </c>
      <c r="B178" t="s">
        <v>3607</v>
      </c>
      <c r="D178" s="255">
        <v>1.6466000000000001</v>
      </c>
      <c r="E178" t="s">
        <v>3609</v>
      </c>
      <c r="F178" s="248">
        <v>43334</v>
      </c>
    </row>
    <row r="179" spans="1:6">
      <c r="A179" t="s">
        <v>1712</v>
      </c>
      <c r="B179">
        <v>195</v>
      </c>
      <c r="C179" t="s">
        <v>2504</v>
      </c>
      <c r="D179">
        <v>0.83299999999999996</v>
      </c>
      <c r="E179" s="223" t="s">
        <v>2455</v>
      </c>
      <c r="F179" s="16">
        <v>43208</v>
      </c>
    </row>
    <row r="180" spans="1:6">
      <c r="A180" t="s">
        <v>2016</v>
      </c>
      <c r="B180" t="s">
        <v>3509</v>
      </c>
      <c r="D180" s="247">
        <v>0.92579999999999996</v>
      </c>
      <c r="E180"/>
      <c r="F180" s="248">
        <v>43008</v>
      </c>
    </row>
    <row r="181" spans="1:6">
      <c r="A181" t="s">
        <v>1709</v>
      </c>
      <c r="B181" t="s">
        <v>3572</v>
      </c>
      <c r="D181" s="255">
        <v>1.7267999999999999</v>
      </c>
      <c r="E181" t="s">
        <v>3574</v>
      </c>
      <c r="F181" s="248">
        <v>43333</v>
      </c>
    </row>
    <row r="182" spans="1:6">
      <c r="A182" t="s">
        <v>1708</v>
      </c>
      <c r="B182" t="s">
        <v>3598</v>
      </c>
      <c r="D182" s="255">
        <v>1.7556</v>
      </c>
      <c r="E182"/>
      <c r="F182" s="248">
        <v>43334</v>
      </c>
    </row>
    <row r="183" spans="1:6">
      <c r="A183" t="s">
        <v>1707</v>
      </c>
      <c r="B183" t="s">
        <v>3416</v>
      </c>
      <c r="D183">
        <v>0.68059999999999998</v>
      </c>
      <c r="E183" s="254"/>
      <c r="F183" s="248">
        <v>43009</v>
      </c>
    </row>
    <row r="184" spans="1:6">
      <c r="A184" t="s">
        <v>1706</v>
      </c>
      <c r="B184" t="s">
        <v>3508</v>
      </c>
      <c r="D184" s="247">
        <v>0.78580000000000005</v>
      </c>
      <c r="E184"/>
      <c r="F184" s="248">
        <v>43008</v>
      </c>
    </row>
    <row r="185" spans="1:6">
      <c r="A185" t="s">
        <v>1703</v>
      </c>
      <c r="B185" t="s">
        <v>3642</v>
      </c>
      <c r="D185" s="255">
        <v>1.6924999999999999</v>
      </c>
      <c r="E185" t="s">
        <v>3628</v>
      </c>
      <c r="F185" s="248">
        <v>43338</v>
      </c>
    </row>
    <row r="186" spans="1:6">
      <c r="A186" t="s">
        <v>1702</v>
      </c>
      <c r="B186" t="s">
        <v>3422</v>
      </c>
      <c r="D186">
        <v>0.69310000000000005</v>
      </c>
      <c r="E186" s="254"/>
      <c r="F186" s="248">
        <v>43009</v>
      </c>
    </row>
    <row r="187" spans="1:6">
      <c r="A187" t="s">
        <v>1701</v>
      </c>
      <c r="B187" t="s">
        <v>3443</v>
      </c>
      <c r="D187">
        <v>1.7968</v>
      </c>
      <c r="E187" s="254"/>
      <c r="F187" s="248">
        <v>43007</v>
      </c>
    </row>
    <row r="188" spans="1:6">
      <c r="A188" t="s">
        <v>2015</v>
      </c>
      <c r="B188" t="s">
        <v>3624</v>
      </c>
      <c r="D188" s="255">
        <v>1.8633999999999999</v>
      </c>
      <c r="E188"/>
      <c r="F188" s="248">
        <v>43337</v>
      </c>
    </row>
    <row r="189" spans="1:6">
      <c r="A189" t="s">
        <v>1700</v>
      </c>
      <c r="B189" t="s">
        <v>3396</v>
      </c>
      <c r="D189">
        <v>0.95640000000000003</v>
      </c>
      <c r="E189" s="254"/>
      <c r="F189" s="248">
        <v>43008</v>
      </c>
    </row>
    <row r="190" spans="1:6">
      <c r="A190" t="s">
        <v>1697</v>
      </c>
      <c r="B190" t="s">
        <v>3464</v>
      </c>
      <c r="D190">
        <v>0.80569999999999997</v>
      </c>
      <c r="E190" s="254"/>
      <c r="F190" s="248">
        <v>43009</v>
      </c>
    </row>
    <row r="191" spans="1:6">
      <c r="A191" t="s">
        <v>1694</v>
      </c>
      <c r="B191" t="s">
        <v>3634</v>
      </c>
      <c r="D191" s="255">
        <v>1.7767999999999999</v>
      </c>
      <c r="E191" t="s">
        <v>2119</v>
      </c>
      <c r="F191" s="248">
        <v>43337</v>
      </c>
    </row>
    <row r="192" spans="1:6">
      <c r="A192" t="s">
        <v>1693</v>
      </c>
      <c r="B192" t="s">
        <v>3447</v>
      </c>
      <c r="D192">
        <v>1.6417999999999999</v>
      </c>
      <c r="E192" s="254"/>
      <c r="F192" s="248">
        <v>43007</v>
      </c>
    </row>
    <row r="193" spans="1:6">
      <c r="A193" t="s">
        <v>2014</v>
      </c>
      <c r="B193">
        <v>210</v>
      </c>
      <c r="C193" t="s">
        <v>2504</v>
      </c>
      <c r="D193">
        <v>0.84599999999999997</v>
      </c>
      <c r="E193" s="223" t="s">
        <v>2453</v>
      </c>
      <c r="F193" s="16">
        <v>43208</v>
      </c>
    </row>
    <row r="194" spans="1:6">
      <c r="A194" t="s">
        <v>1689</v>
      </c>
      <c r="B194">
        <v>216</v>
      </c>
      <c r="C194" t="s">
        <v>2504</v>
      </c>
      <c r="D194">
        <v>0.73499999999999999</v>
      </c>
      <c r="E194" s="223" t="s">
        <v>2453</v>
      </c>
      <c r="F194" s="16">
        <v>43208</v>
      </c>
    </row>
    <row r="195" spans="1:6">
      <c r="A195" t="s">
        <v>1687</v>
      </c>
      <c r="B195">
        <v>212</v>
      </c>
      <c r="C195" t="s">
        <v>2504</v>
      </c>
      <c r="D195">
        <v>0.753</v>
      </c>
      <c r="E195" s="223" t="s">
        <v>2509</v>
      </c>
      <c r="F195" s="16">
        <v>43208</v>
      </c>
    </row>
    <row r="196" spans="1:6">
      <c r="A196" t="s">
        <v>1686</v>
      </c>
      <c r="B196" t="s">
        <v>3633</v>
      </c>
      <c r="D196" s="255">
        <v>1.8589</v>
      </c>
      <c r="E196" t="s">
        <v>2119</v>
      </c>
      <c r="F196" s="248">
        <v>43337</v>
      </c>
    </row>
    <row r="197" spans="1:6">
      <c r="A197" t="s">
        <v>1680</v>
      </c>
      <c r="B197" t="s">
        <v>3634</v>
      </c>
      <c r="D197" s="255">
        <v>1.8433999999999999</v>
      </c>
      <c r="E197" t="s">
        <v>2119</v>
      </c>
      <c r="F197" s="248">
        <v>43337</v>
      </c>
    </row>
    <row r="198" spans="1:6">
      <c r="A198" t="s">
        <v>1679</v>
      </c>
      <c r="B198" t="s">
        <v>3415</v>
      </c>
      <c r="D198">
        <v>0.81369999999999998</v>
      </c>
      <c r="E198" s="254"/>
      <c r="F198" s="248">
        <v>43009</v>
      </c>
    </row>
    <row r="199" spans="1:6">
      <c r="A199" t="s">
        <v>1678</v>
      </c>
      <c r="B199" t="s">
        <v>3640</v>
      </c>
      <c r="D199" s="255">
        <v>1.9605999999999999</v>
      </c>
      <c r="E199"/>
      <c r="F199" s="248">
        <v>43338</v>
      </c>
    </row>
    <row r="200" spans="1:6">
      <c r="A200" t="s">
        <v>1673</v>
      </c>
      <c r="B200" t="s">
        <v>3450</v>
      </c>
      <c r="D200">
        <v>1.3894</v>
      </c>
      <c r="E200" s="254" t="s">
        <v>3406</v>
      </c>
      <c r="F200" s="248">
        <v>43007</v>
      </c>
    </row>
    <row r="201" spans="1:6">
      <c r="A201" t="s">
        <v>1671</v>
      </c>
      <c r="B201" t="s">
        <v>3605</v>
      </c>
      <c r="D201" s="255">
        <v>1.65</v>
      </c>
      <c r="E201"/>
      <c r="F201" s="248">
        <v>43334</v>
      </c>
    </row>
    <row r="202" spans="1:6">
      <c r="A202" t="s">
        <v>2012</v>
      </c>
      <c r="B202" t="s">
        <v>3453</v>
      </c>
      <c r="D202">
        <v>1.6738</v>
      </c>
      <c r="E202" s="254"/>
      <c r="F202" s="248">
        <v>43007</v>
      </c>
    </row>
    <row r="203" spans="1:6">
      <c r="A203" t="s">
        <v>1670</v>
      </c>
      <c r="B203" t="s">
        <v>3632</v>
      </c>
      <c r="D203" s="255">
        <v>1.8685</v>
      </c>
      <c r="E203"/>
      <c r="F203" s="248">
        <v>43337</v>
      </c>
    </row>
    <row r="204" spans="1:6">
      <c r="A204" t="s">
        <v>1668</v>
      </c>
      <c r="B204" t="s">
        <v>3641</v>
      </c>
      <c r="D204" s="255">
        <v>1.8677999999999999</v>
      </c>
      <c r="E204" t="s">
        <v>2115</v>
      </c>
      <c r="F204" s="248">
        <v>43338</v>
      </c>
    </row>
    <row r="205" spans="1:6">
      <c r="A205" t="s">
        <v>1666</v>
      </c>
      <c r="B205" t="s">
        <v>3418</v>
      </c>
      <c r="D205">
        <v>0.73660000000000003</v>
      </c>
      <c r="E205" s="254" t="s">
        <v>3419</v>
      </c>
      <c r="F205" s="248">
        <v>43008</v>
      </c>
    </row>
    <row r="206" spans="1:6">
      <c r="A206" t="s">
        <v>1656</v>
      </c>
      <c r="B206" t="s">
        <v>3444</v>
      </c>
      <c r="D206">
        <v>1.8532999999999999</v>
      </c>
      <c r="E206" s="254"/>
      <c r="F206" s="248">
        <v>43007</v>
      </c>
    </row>
    <row r="207" spans="1:6">
      <c r="A207" t="s">
        <v>1654</v>
      </c>
      <c r="B207" t="s">
        <v>3431</v>
      </c>
      <c r="D207">
        <v>0.80349999999999999</v>
      </c>
      <c r="E207" s="254" t="s">
        <v>3432</v>
      </c>
      <c r="F207" s="248">
        <v>43009</v>
      </c>
    </row>
    <row r="208" spans="1:6">
      <c r="A208" t="s">
        <v>1653</v>
      </c>
      <c r="B208" t="s">
        <v>3445</v>
      </c>
      <c r="D208">
        <v>1.7436</v>
      </c>
      <c r="E208" s="254"/>
      <c r="F208" s="248">
        <v>43007</v>
      </c>
    </row>
    <row r="209" spans="1:6">
      <c r="A209" t="s">
        <v>1652</v>
      </c>
      <c r="B209" t="s">
        <v>3485</v>
      </c>
      <c r="D209">
        <v>1.0217000000000001</v>
      </c>
      <c r="E209" s="254"/>
      <c r="F209" s="248">
        <v>43010</v>
      </c>
    </row>
    <row r="210" spans="1:6">
      <c r="A210" t="s">
        <v>1651</v>
      </c>
      <c r="B210">
        <v>197</v>
      </c>
      <c r="C210" t="s">
        <v>2504</v>
      </c>
      <c r="D210">
        <v>0.69</v>
      </c>
      <c r="E210" s="223" t="s">
        <v>2452</v>
      </c>
      <c r="F210" s="16">
        <v>43208</v>
      </c>
    </row>
    <row r="211" spans="1:6">
      <c r="A211" t="s">
        <v>2010</v>
      </c>
      <c r="B211" t="s">
        <v>3483</v>
      </c>
      <c r="D211">
        <v>0.68400000000000005</v>
      </c>
      <c r="E211" s="254" t="s">
        <v>3406</v>
      </c>
      <c r="F211" s="248">
        <v>43008</v>
      </c>
    </row>
    <row r="212" spans="1:6">
      <c r="A212" t="s">
        <v>1650</v>
      </c>
      <c r="B212" t="s">
        <v>3433</v>
      </c>
      <c r="D212">
        <v>0.86</v>
      </c>
      <c r="E212" s="254" t="s">
        <v>3434</v>
      </c>
      <c r="F212" s="248">
        <v>43008</v>
      </c>
    </row>
    <row r="213" spans="1:6">
      <c r="A213" t="s">
        <v>1649</v>
      </c>
      <c r="B213" t="s">
        <v>3458</v>
      </c>
      <c r="D213">
        <v>0.9304</v>
      </c>
      <c r="E213" s="254"/>
      <c r="F213" s="248">
        <v>43008</v>
      </c>
    </row>
    <row r="214" spans="1:6">
      <c r="A214" t="s">
        <v>1643</v>
      </c>
      <c r="B214" t="s">
        <v>3450</v>
      </c>
      <c r="D214">
        <v>1.278</v>
      </c>
      <c r="E214" s="254"/>
      <c r="F214" s="248">
        <v>43007</v>
      </c>
    </row>
    <row r="215" spans="1:6">
      <c r="A215" t="s">
        <v>1641</v>
      </c>
      <c r="B215" t="s">
        <v>3475</v>
      </c>
      <c r="D215">
        <v>0.77039999999999997</v>
      </c>
      <c r="E215" s="254"/>
      <c r="F215" s="248">
        <v>43009</v>
      </c>
    </row>
    <row r="216" spans="1:6">
      <c r="A216" t="s">
        <v>2009</v>
      </c>
      <c r="B216" t="s">
        <v>3598</v>
      </c>
      <c r="D216" s="255">
        <v>1.7847</v>
      </c>
      <c r="E216" t="s">
        <v>2115</v>
      </c>
      <c r="F216" s="248">
        <v>43334</v>
      </c>
    </row>
    <row r="217" spans="1:6">
      <c r="A217" t="s">
        <v>1640</v>
      </c>
      <c r="B217" t="s">
        <v>3464</v>
      </c>
      <c r="D217">
        <v>0.71050000000000002</v>
      </c>
      <c r="E217" s="254"/>
      <c r="F217" s="248">
        <v>43009</v>
      </c>
    </row>
    <row r="218" spans="1:6">
      <c r="A218" t="s">
        <v>1639</v>
      </c>
      <c r="B218" t="s">
        <v>3476</v>
      </c>
      <c r="D218">
        <v>0.76629999999999998</v>
      </c>
      <c r="E218" s="254"/>
      <c r="F218" s="248">
        <v>43009</v>
      </c>
    </row>
    <row r="219" spans="1:6">
      <c r="A219" t="s">
        <v>1638</v>
      </c>
      <c r="B219">
        <v>208</v>
      </c>
      <c r="C219" t="s">
        <v>2504</v>
      </c>
      <c r="D219">
        <v>0.72499999999999998</v>
      </c>
      <c r="E219" s="223" t="s">
        <v>2454</v>
      </c>
      <c r="F219" s="16">
        <v>43208</v>
      </c>
    </row>
    <row r="220" spans="1:6">
      <c r="A220" t="s">
        <v>1637</v>
      </c>
      <c r="B220" t="s">
        <v>3587</v>
      </c>
      <c r="D220" s="255">
        <v>1.9466000000000001</v>
      </c>
      <c r="E220" t="s">
        <v>2119</v>
      </c>
      <c r="F220" s="248">
        <v>43334</v>
      </c>
    </row>
    <row r="221" spans="1:6">
      <c r="A221" t="s">
        <v>1628</v>
      </c>
      <c r="B221" t="s">
        <v>3435</v>
      </c>
      <c r="D221">
        <v>0.751</v>
      </c>
      <c r="E221" s="254"/>
      <c r="F221" s="248">
        <v>43009</v>
      </c>
    </row>
    <row r="222" spans="1:6">
      <c r="A222" t="s">
        <v>2007</v>
      </c>
      <c r="B222" t="s">
        <v>3599</v>
      </c>
      <c r="D222" s="255">
        <v>1.7821</v>
      </c>
      <c r="E222" t="s">
        <v>2115</v>
      </c>
      <c r="F222" s="248">
        <v>43334</v>
      </c>
    </row>
    <row r="223" spans="1:6">
      <c r="A223" t="s">
        <v>1620</v>
      </c>
      <c r="B223" t="s">
        <v>3602</v>
      </c>
      <c r="D223" s="255">
        <v>1.8875999999999999</v>
      </c>
      <c r="E223" t="s">
        <v>2115</v>
      </c>
      <c r="F223" s="248">
        <v>43334</v>
      </c>
    </row>
    <row r="224" spans="1:6">
      <c r="A224" t="s">
        <v>1619</v>
      </c>
      <c r="B224" t="s">
        <v>3646</v>
      </c>
      <c r="D224" s="255">
        <v>1.8758999999999999</v>
      </c>
      <c r="E224"/>
      <c r="F224" s="248">
        <v>43338</v>
      </c>
    </row>
    <row r="225" spans="1:6">
      <c r="A225" t="s">
        <v>1616</v>
      </c>
      <c r="B225">
        <v>211</v>
      </c>
      <c r="C225" t="s">
        <v>2504</v>
      </c>
      <c r="D225">
        <v>0.74099999999999999</v>
      </c>
      <c r="F225" s="16">
        <v>43208</v>
      </c>
    </row>
    <row r="226" spans="1:6">
      <c r="A226" t="s">
        <v>1615</v>
      </c>
      <c r="B226" t="s">
        <v>3452</v>
      </c>
      <c r="D226">
        <v>1.7934000000000001</v>
      </c>
      <c r="E226" s="254" t="s">
        <v>2511</v>
      </c>
      <c r="F226" s="248">
        <v>43007</v>
      </c>
    </row>
    <row r="227" spans="1:6">
      <c r="A227" t="s">
        <v>2006</v>
      </c>
      <c r="B227" t="s">
        <v>3439</v>
      </c>
      <c r="D227">
        <v>1.5553999999999999</v>
      </c>
      <c r="E227" s="254" t="s">
        <v>3440</v>
      </c>
      <c r="F227" s="248">
        <v>43007</v>
      </c>
    </row>
    <row r="228" spans="1:6">
      <c r="A228" t="s">
        <v>1606</v>
      </c>
      <c r="B228" t="s">
        <v>3437</v>
      </c>
      <c r="D228">
        <v>1.3574999999999999</v>
      </c>
      <c r="E228" s="254"/>
      <c r="F228" s="248">
        <v>43007</v>
      </c>
    </row>
    <row r="229" spans="1:6">
      <c r="A229" t="s">
        <v>2005</v>
      </c>
      <c r="B229">
        <v>193</v>
      </c>
      <c r="C229" t="s">
        <v>2504</v>
      </c>
      <c r="D229">
        <v>0.82699999999999996</v>
      </c>
      <c r="E229" s="223" t="s">
        <v>2454</v>
      </c>
      <c r="F229" s="16">
        <v>43208</v>
      </c>
    </row>
    <row r="230" spans="1:6">
      <c r="A230" t="s">
        <v>1595</v>
      </c>
      <c r="B230" t="s">
        <v>3396</v>
      </c>
      <c r="D230">
        <v>0.92169999999999996</v>
      </c>
      <c r="E230" s="254"/>
      <c r="F230" s="248">
        <v>43008</v>
      </c>
    </row>
    <row r="231" spans="1:6">
      <c r="A231" t="s">
        <v>2004</v>
      </c>
      <c r="B231" t="s">
        <v>3454</v>
      </c>
      <c r="D231">
        <v>1.5884</v>
      </c>
      <c r="E231" s="254" t="s">
        <v>3406</v>
      </c>
      <c r="F231" s="248">
        <v>43007</v>
      </c>
    </row>
    <row r="232" spans="1:6">
      <c r="A232" t="s">
        <v>1586</v>
      </c>
      <c r="B232" t="s">
        <v>3489</v>
      </c>
      <c r="D232" s="249">
        <v>1.571</v>
      </c>
      <c r="E232"/>
      <c r="F232" s="248">
        <v>43010</v>
      </c>
    </row>
    <row r="233" spans="1:6">
      <c r="A233" t="s">
        <v>1585</v>
      </c>
      <c r="B233" t="s">
        <v>3607</v>
      </c>
      <c r="D233" s="255">
        <v>1.6845000000000001</v>
      </c>
      <c r="E233"/>
      <c r="F233" s="248">
        <v>43334</v>
      </c>
    </row>
    <row r="234" spans="1:6">
      <c r="A234" t="s">
        <v>1584</v>
      </c>
      <c r="B234" t="s">
        <v>3467</v>
      </c>
      <c r="D234">
        <v>0.81599999999999995</v>
      </c>
      <c r="E234" s="254"/>
      <c r="F234" s="248">
        <v>43009</v>
      </c>
    </row>
    <row r="235" spans="1:6">
      <c r="A235" t="s">
        <v>1583</v>
      </c>
      <c r="B235" t="s">
        <v>3635</v>
      </c>
      <c r="D235" s="255">
        <v>1.8359000000000001</v>
      </c>
      <c r="E235"/>
      <c r="F235" s="248">
        <v>43337</v>
      </c>
    </row>
    <row r="236" spans="1:6">
      <c r="A236" t="s">
        <v>2003</v>
      </c>
      <c r="B236" t="s">
        <v>3498</v>
      </c>
      <c r="D236" s="247">
        <v>1.1167</v>
      </c>
      <c r="E236"/>
      <c r="F236" s="248">
        <v>43010</v>
      </c>
    </row>
    <row r="237" spans="1:6">
      <c r="A237" t="s">
        <v>1577</v>
      </c>
      <c r="B237" t="s">
        <v>3579</v>
      </c>
      <c r="D237" s="255">
        <v>1.8992</v>
      </c>
      <c r="E237"/>
      <c r="F237" s="248">
        <v>43333</v>
      </c>
    </row>
    <row r="238" spans="1:6">
      <c r="A238" t="s">
        <v>2002</v>
      </c>
      <c r="B238" t="s">
        <v>3423</v>
      </c>
      <c r="D238">
        <v>0.84750000000000003</v>
      </c>
      <c r="E238" s="254"/>
      <c r="F238" s="248">
        <v>43008</v>
      </c>
    </row>
    <row r="239" spans="1:6">
      <c r="A239" t="s">
        <v>1569</v>
      </c>
      <c r="B239" t="s">
        <v>3577</v>
      </c>
      <c r="D239" s="255">
        <v>1.7612000000000001</v>
      </c>
      <c r="E239"/>
      <c r="F239" s="248">
        <v>43333</v>
      </c>
    </row>
    <row r="240" spans="1:6">
      <c r="A240" t="s">
        <v>1568</v>
      </c>
      <c r="B240" t="s">
        <v>3490</v>
      </c>
      <c r="D240" s="247">
        <v>1.4819</v>
      </c>
      <c r="E240"/>
      <c r="F240" s="248">
        <v>43010</v>
      </c>
    </row>
    <row r="241" spans="1:6">
      <c r="A241" t="s">
        <v>1566</v>
      </c>
      <c r="B241" t="s">
        <v>3417</v>
      </c>
      <c r="D241">
        <v>0.66439999999999999</v>
      </c>
      <c r="E241" s="254"/>
      <c r="F241" s="248">
        <v>43008</v>
      </c>
    </row>
    <row r="242" spans="1:6">
      <c r="A242" t="s">
        <v>1565</v>
      </c>
      <c r="B242">
        <v>218</v>
      </c>
      <c r="C242" t="s">
        <v>2504</v>
      </c>
      <c r="D242">
        <v>0.66900000000000004</v>
      </c>
      <c r="E242" s="223" t="s">
        <v>2509</v>
      </c>
      <c r="F242" s="16">
        <v>43208</v>
      </c>
    </row>
    <row r="243" spans="1:6">
      <c r="A243" t="s">
        <v>2001</v>
      </c>
      <c r="B243" t="s">
        <v>3591</v>
      </c>
      <c r="D243" s="255">
        <v>1.9326000000000001</v>
      </c>
      <c r="E243"/>
      <c r="F243" s="248">
        <v>43334</v>
      </c>
    </row>
    <row r="244" spans="1:6">
      <c r="A244" t="s">
        <v>1560</v>
      </c>
      <c r="B244" t="s">
        <v>3413</v>
      </c>
      <c r="D244">
        <v>0.72760000000000002</v>
      </c>
      <c r="E244" s="254" t="s">
        <v>3393</v>
      </c>
      <c r="F244" s="248">
        <v>43008</v>
      </c>
    </row>
    <row r="245" spans="1:6">
      <c r="A245" t="s">
        <v>2045</v>
      </c>
      <c r="B245">
        <v>213</v>
      </c>
      <c r="C245" t="s">
        <v>2504</v>
      </c>
      <c r="D245">
        <v>0.67</v>
      </c>
      <c r="E245" s="223" t="s">
        <v>2505</v>
      </c>
      <c r="F245" s="16">
        <v>43208</v>
      </c>
    </row>
    <row r="246" spans="1:6">
      <c r="A246" t="s">
        <v>2000</v>
      </c>
      <c r="B246" t="s">
        <v>3619</v>
      </c>
      <c r="D246" s="255">
        <v>0.8911</v>
      </c>
      <c r="E246" t="s">
        <v>3620</v>
      </c>
      <c r="F246" s="248">
        <v>43334</v>
      </c>
    </row>
    <row r="247" spans="1:6">
      <c r="A247" t="s">
        <v>1549</v>
      </c>
      <c r="B247" t="s">
        <v>3417</v>
      </c>
      <c r="D247">
        <v>0.78680000000000005</v>
      </c>
      <c r="E247" s="254"/>
      <c r="F247" s="248">
        <v>43008</v>
      </c>
    </row>
    <row r="248" spans="1:6">
      <c r="A248" t="s">
        <v>1999</v>
      </c>
      <c r="B248" t="s">
        <v>3420</v>
      </c>
      <c r="D248">
        <v>0.81589999999999996</v>
      </c>
      <c r="E248" s="254"/>
      <c r="F248" s="248">
        <v>43008</v>
      </c>
    </row>
    <row r="249" spans="1:6">
      <c r="A249" t="s">
        <v>1535</v>
      </c>
      <c r="B249" t="s">
        <v>3462</v>
      </c>
      <c r="D249">
        <v>0.77959999999999996</v>
      </c>
      <c r="E249" s="254"/>
      <c r="F249" s="248">
        <v>43009</v>
      </c>
    </row>
    <row r="250" spans="1:6">
      <c r="A250" t="s">
        <v>1533</v>
      </c>
      <c r="B250" t="s">
        <v>3421</v>
      </c>
      <c r="D250">
        <v>0.7097</v>
      </c>
      <c r="E250" s="254" t="s">
        <v>3406</v>
      </c>
      <c r="F250" s="248">
        <v>43008</v>
      </c>
    </row>
    <row r="251" spans="1:6">
      <c r="A251" t="s">
        <v>1519</v>
      </c>
      <c r="B251" t="s">
        <v>3633</v>
      </c>
      <c r="D251" s="255">
        <v>1.8593999999999999</v>
      </c>
      <c r="E251"/>
      <c r="F251" s="248">
        <v>43337</v>
      </c>
    </row>
    <row r="252" spans="1:6">
      <c r="A252" t="s">
        <v>1995</v>
      </c>
      <c r="B252" t="s">
        <v>3405</v>
      </c>
      <c r="D252">
        <v>0.86550000000000005</v>
      </c>
      <c r="E252" s="254"/>
      <c r="F252" s="247"/>
    </row>
    <row r="253" spans="1:6">
      <c r="A253" t="s">
        <v>1495</v>
      </c>
      <c r="B253" t="s">
        <v>3449</v>
      </c>
      <c r="D253">
        <v>2.0030000000000001</v>
      </c>
      <c r="E253" s="254"/>
      <c r="F253" s="248">
        <v>43007</v>
      </c>
    </row>
    <row r="254" spans="1:6">
      <c r="A254" t="s">
        <v>1492</v>
      </c>
      <c r="B254" t="s">
        <v>3626</v>
      </c>
      <c r="D254" s="255">
        <v>1.9415</v>
      </c>
      <c r="E254"/>
      <c r="F254" s="248">
        <v>43337</v>
      </c>
    </row>
    <row r="255" spans="1:6">
      <c r="A255" t="s">
        <v>1994</v>
      </c>
      <c r="B255" t="s">
        <v>3392</v>
      </c>
      <c r="D255">
        <v>0.7238</v>
      </c>
      <c r="E255" s="254"/>
      <c r="F255" s="247"/>
    </row>
    <row r="256" spans="1:6">
      <c r="A256" t="s">
        <v>1488</v>
      </c>
      <c r="B256" t="s">
        <v>3454</v>
      </c>
      <c r="D256">
        <v>1.8862000000000001</v>
      </c>
      <c r="E256" s="254"/>
      <c r="F256" s="248">
        <v>43007</v>
      </c>
    </row>
    <row r="257" spans="1:6">
      <c r="A257" t="s">
        <v>1481</v>
      </c>
      <c r="D257">
        <v>0.75700000000000001</v>
      </c>
      <c r="E257" s="247" t="s">
        <v>3409</v>
      </c>
      <c r="F257" s="247"/>
    </row>
    <row r="258" spans="1:6">
      <c r="A258" t="s">
        <v>1993</v>
      </c>
      <c r="B258" t="s">
        <v>3506</v>
      </c>
      <c r="D258" s="247">
        <v>1.0114000000000001</v>
      </c>
      <c r="E258"/>
      <c r="F258" s="248">
        <v>43010</v>
      </c>
    </row>
    <row r="259" spans="1:6">
      <c r="A259" t="s">
        <v>1480</v>
      </c>
      <c r="B259" t="s">
        <v>3448</v>
      </c>
      <c r="D259">
        <v>1.9100999999999999</v>
      </c>
      <c r="E259" s="254"/>
      <c r="F259" s="248">
        <v>43007</v>
      </c>
    </row>
    <row r="260" spans="1:6">
      <c r="A260" t="s">
        <v>1992</v>
      </c>
      <c r="B260" t="s">
        <v>3449</v>
      </c>
      <c r="D260">
        <v>1.7357</v>
      </c>
      <c r="E260" s="254"/>
      <c r="F260" s="248">
        <v>43007</v>
      </c>
    </row>
    <row r="261" spans="1:6">
      <c r="A261" t="s">
        <v>1470</v>
      </c>
      <c r="B261" t="s">
        <v>3425</v>
      </c>
      <c r="D261">
        <v>0.84409999999999996</v>
      </c>
      <c r="E261" s="254"/>
      <c r="F261" s="248">
        <v>43009</v>
      </c>
    </row>
    <row r="262" spans="1:6">
      <c r="A262" t="s">
        <v>1991</v>
      </c>
      <c r="B262" t="s">
        <v>3456</v>
      </c>
      <c r="D262">
        <v>0.95679999999999998</v>
      </c>
      <c r="E262" s="254"/>
      <c r="F262" s="248">
        <v>43009</v>
      </c>
    </row>
    <row r="263" spans="1:6">
      <c r="A263" t="s">
        <v>1454</v>
      </c>
      <c r="B263" t="s">
        <v>3636</v>
      </c>
      <c r="D263" s="255">
        <v>1.8642000000000001</v>
      </c>
      <c r="E263"/>
      <c r="F263" s="248">
        <v>43337</v>
      </c>
    </row>
    <row r="264" spans="1:6">
      <c r="A264" t="s">
        <v>1452</v>
      </c>
      <c r="B264" t="s">
        <v>3597</v>
      </c>
      <c r="D264" s="255">
        <v>1.9169</v>
      </c>
      <c r="E264"/>
      <c r="F264" s="248">
        <v>43334</v>
      </c>
    </row>
    <row r="265" spans="1:6">
      <c r="A265" t="s">
        <v>2044</v>
      </c>
      <c r="B265" t="s">
        <v>3506</v>
      </c>
      <c r="D265" s="247">
        <v>1.1637</v>
      </c>
      <c r="E265"/>
      <c r="F265" s="248">
        <v>43010</v>
      </c>
    </row>
    <row r="266" spans="1:6">
      <c r="A266" t="s">
        <v>1990</v>
      </c>
      <c r="B266" t="s">
        <v>3631</v>
      </c>
      <c r="D266" s="255">
        <v>1.9540999999999999</v>
      </c>
      <c r="E266"/>
      <c r="F266" s="248">
        <v>43337</v>
      </c>
    </row>
    <row r="267" spans="1:6">
      <c r="A267" t="s">
        <v>1449</v>
      </c>
      <c r="B267" t="s">
        <v>3631</v>
      </c>
      <c r="D267" s="255">
        <v>1.8379000000000001</v>
      </c>
      <c r="E267"/>
      <c r="F267" s="248">
        <v>43337</v>
      </c>
    </row>
    <row r="268" spans="1:6">
      <c r="A268" t="s">
        <v>1989</v>
      </c>
      <c r="B268" t="s">
        <v>3454</v>
      </c>
      <c r="D268">
        <v>1.4991000000000001</v>
      </c>
      <c r="E268" s="254"/>
      <c r="F268" s="248">
        <v>43007</v>
      </c>
    </row>
    <row r="269" spans="1:6">
      <c r="A269" t="s">
        <v>1439</v>
      </c>
      <c r="D269">
        <v>0.89510000000000001</v>
      </c>
      <c r="E269" s="247" t="s">
        <v>3409</v>
      </c>
      <c r="F269" s="247"/>
    </row>
    <row r="270" spans="1:6">
      <c r="A270" t="s">
        <v>1438</v>
      </c>
      <c r="B270" t="s">
        <v>3461</v>
      </c>
      <c r="D270">
        <v>0.83</v>
      </c>
      <c r="E270" s="254"/>
      <c r="F270" s="248">
        <v>43009</v>
      </c>
    </row>
    <row r="271" spans="1:6">
      <c r="A271" t="s">
        <v>1433</v>
      </c>
      <c r="B271" t="s">
        <v>3492</v>
      </c>
      <c r="D271" s="247">
        <v>1.3632</v>
      </c>
      <c r="E271"/>
      <c r="F271" s="248">
        <v>43010</v>
      </c>
    </row>
    <row r="272" spans="1:6">
      <c r="A272" t="s">
        <v>1988</v>
      </c>
      <c r="B272" t="s">
        <v>3495</v>
      </c>
      <c r="D272" s="247">
        <v>1.0947</v>
      </c>
      <c r="E272"/>
      <c r="F272" s="248">
        <v>43010</v>
      </c>
    </row>
    <row r="273" spans="1:6">
      <c r="A273" t="s">
        <v>1426</v>
      </c>
      <c r="B273" t="s">
        <v>3462</v>
      </c>
      <c r="D273">
        <v>0.94779999999999998</v>
      </c>
      <c r="E273" s="254"/>
      <c r="F273" s="248">
        <v>43009</v>
      </c>
    </row>
    <row r="274" spans="1:6">
      <c r="A274" t="s">
        <v>1425</v>
      </c>
      <c r="B274" t="s">
        <v>3586</v>
      </c>
      <c r="D274" s="255">
        <v>1.8379000000000001</v>
      </c>
      <c r="E274" t="s">
        <v>3574</v>
      </c>
      <c r="F274" s="248">
        <v>43333</v>
      </c>
    </row>
    <row r="275" spans="1:6">
      <c r="A275" t="s">
        <v>1421</v>
      </c>
      <c r="B275" t="s">
        <v>3591</v>
      </c>
      <c r="D275" s="255">
        <v>1.8411</v>
      </c>
      <c r="E275"/>
      <c r="F275" s="248">
        <v>43334</v>
      </c>
    </row>
    <row r="276" spans="1:6">
      <c r="A276" t="s">
        <v>1987</v>
      </c>
      <c r="B276" t="s">
        <v>3635</v>
      </c>
      <c r="D276" s="255">
        <v>1.8152999999999999</v>
      </c>
      <c r="E276"/>
      <c r="F276" s="248">
        <v>43337</v>
      </c>
    </row>
    <row r="277" spans="1:6">
      <c r="A277" t="s">
        <v>1420</v>
      </c>
      <c r="B277" t="s">
        <v>3437</v>
      </c>
      <c r="D277">
        <v>1.8631</v>
      </c>
      <c r="E277" s="254"/>
      <c r="F277" s="248">
        <v>43007</v>
      </c>
    </row>
    <row r="278" spans="1:6">
      <c r="A278" t="s">
        <v>1986</v>
      </c>
      <c r="B278" t="s">
        <v>3433</v>
      </c>
      <c r="D278">
        <v>0.83650000000000002</v>
      </c>
      <c r="E278" s="254"/>
      <c r="F278" s="248">
        <v>43008</v>
      </c>
    </row>
    <row r="279" spans="1:6">
      <c r="A279" t="s">
        <v>1404</v>
      </c>
      <c r="B279" t="s">
        <v>3575</v>
      </c>
      <c r="D279" s="255">
        <v>1.9007000000000001</v>
      </c>
      <c r="E279" t="s">
        <v>2115</v>
      </c>
      <c r="F279" s="248">
        <v>43333</v>
      </c>
    </row>
    <row r="280" spans="1:6">
      <c r="A280" t="s">
        <v>1985</v>
      </c>
      <c r="B280" t="s">
        <v>3498</v>
      </c>
      <c r="D280" s="247">
        <v>1.0561</v>
      </c>
      <c r="E280"/>
      <c r="F280" s="248">
        <v>43010</v>
      </c>
    </row>
    <row r="281" spans="1:6">
      <c r="A281" t="s">
        <v>1400</v>
      </c>
      <c r="B281" t="s">
        <v>3612</v>
      </c>
      <c r="D281" s="255">
        <v>0.86890000000000001</v>
      </c>
      <c r="E281"/>
      <c r="F281" s="248">
        <v>43334</v>
      </c>
    </row>
    <row r="282" spans="1:6">
      <c r="A282" t="s">
        <v>1391</v>
      </c>
      <c r="B282" t="s">
        <v>3589</v>
      </c>
      <c r="D282" s="255">
        <v>1.8913</v>
      </c>
      <c r="E282" t="s">
        <v>2119</v>
      </c>
      <c r="F282" s="248">
        <v>43334</v>
      </c>
    </row>
    <row r="283" spans="1:6">
      <c r="A283" t="s">
        <v>1984</v>
      </c>
      <c r="B283" t="s">
        <v>3579</v>
      </c>
      <c r="D283" s="255">
        <v>3.3298000000000001</v>
      </c>
      <c r="E283" t="s">
        <v>3581</v>
      </c>
      <c r="F283" s="248">
        <v>43333</v>
      </c>
    </row>
    <row r="284" spans="1:6">
      <c r="A284" t="s">
        <v>1387</v>
      </c>
      <c r="B284" t="s">
        <v>3452</v>
      </c>
      <c r="D284">
        <v>1.6718</v>
      </c>
      <c r="E284" s="254"/>
      <c r="F284" s="248">
        <v>43007</v>
      </c>
    </row>
    <row r="285" spans="1:6">
      <c r="A285" t="s">
        <v>1983</v>
      </c>
      <c r="B285" t="s">
        <v>3430</v>
      </c>
      <c r="D285">
        <v>0.77739999999999998</v>
      </c>
      <c r="E285" s="254"/>
      <c r="F285" s="248">
        <v>43008</v>
      </c>
    </row>
    <row r="286" spans="1:6">
      <c r="A286" t="s">
        <v>1379</v>
      </c>
      <c r="B286" t="s">
        <v>3424</v>
      </c>
      <c r="D286">
        <v>0.68540000000000001</v>
      </c>
      <c r="E286" s="254"/>
      <c r="F286" s="248">
        <v>43008</v>
      </c>
    </row>
    <row r="287" spans="1:6">
      <c r="A287" t="s">
        <v>1378</v>
      </c>
      <c r="B287" t="s">
        <v>3410</v>
      </c>
      <c r="D287">
        <v>0.75690000000000002</v>
      </c>
      <c r="E287" s="254"/>
      <c r="F287" s="247"/>
    </row>
    <row r="288" spans="1:6">
      <c r="A288" t="s">
        <v>1982</v>
      </c>
      <c r="B288">
        <v>212</v>
      </c>
      <c r="C288" t="s">
        <v>2504</v>
      </c>
      <c r="D288">
        <v>0.71</v>
      </c>
      <c r="E288" s="223" t="s">
        <v>2509</v>
      </c>
      <c r="F288" s="16">
        <v>43208</v>
      </c>
    </row>
    <row r="289" spans="1:6">
      <c r="A289" t="s">
        <v>2043</v>
      </c>
      <c r="B289" t="s">
        <v>3436</v>
      </c>
      <c r="D289">
        <v>0.82040000000000002</v>
      </c>
      <c r="E289" s="254"/>
      <c r="F289" s="248">
        <v>43009</v>
      </c>
    </row>
    <row r="290" spans="1:6">
      <c r="A290" t="s">
        <v>1345</v>
      </c>
      <c r="B290" t="s">
        <v>3643</v>
      </c>
      <c r="D290" s="255">
        <v>1.8152999999999999</v>
      </c>
      <c r="E290"/>
      <c r="F290" s="248">
        <v>43338</v>
      </c>
    </row>
    <row r="291" spans="1:6">
      <c r="A291" t="s">
        <v>1336</v>
      </c>
      <c r="B291" t="s">
        <v>3646</v>
      </c>
      <c r="D291" s="255">
        <v>1.8528</v>
      </c>
      <c r="E291"/>
      <c r="F291" s="248">
        <v>43338</v>
      </c>
    </row>
    <row r="292" spans="1:6">
      <c r="A292" t="s">
        <v>1333</v>
      </c>
      <c r="B292" t="s">
        <v>3625</v>
      </c>
      <c r="D292" s="255">
        <v>1.8165</v>
      </c>
      <c r="E292"/>
      <c r="F292" s="248">
        <v>43337</v>
      </c>
    </row>
    <row r="293" spans="1:6">
      <c r="A293" t="s">
        <v>1331</v>
      </c>
      <c r="B293" t="s">
        <v>3461</v>
      </c>
      <c r="D293">
        <v>0.80269999999999997</v>
      </c>
      <c r="E293" s="254"/>
      <c r="F293" s="248">
        <v>43009</v>
      </c>
    </row>
    <row r="294" spans="1:6">
      <c r="A294" t="s">
        <v>1978</v>
      </c>
      <c r="B294" t="s">
        <v>3500</v>
      </c>
      <c r="D294" s="247">
        <v>1.7161999999999999</v>
      </c>
      <c r="E294"/>
      <c r="F294" s="248">
        <v>43010</v>
      </c>
    </row>
    <row r="295" spans="1:6">
      <c r="A295" t="s">
        <v>1328</v>
      </c>
      <c r="B295" t="s">
        <v>3456</v>
      </c>
      <c r="D295">
        <v>0.86109999999999998</v>
      </c>
      <c r="E295" s="254"/>
      <c r="F295" s="248">
        <v>43009</v>
      </c>
    </row>
    <row r="296" spans="1:6">
      <c r="A296" t="s">
        <v>1315</v>
      </c>
      <c r="B296" t="s">
        <v>3577</v>
      </c>
      <c r="D296" s="255">
        <v>1.9036</v>
      </c>
      <c r="E296"/>
      <c r="F296" s="248">
        <v>43333</v>
      </c>
    </row>
    <row r="297" spans="1:6">
      <c r="A297" t="s">
        <v>1300</v>
      </c>
      <c r="B297" t="s">
        <v>3477</v>
      </c>
      <c r="D297">
        <v>1.3833</v>
      </c>
      <c r="E297" s="254"/>
      <c r="F297" s="248">
        <v>43007</v>
      </c>
    </row>
    <row r="298" spans="1:6">
      <c r="A298" t="s">
        <v>1293</v>
      </c>
      <c r="B298" t="s">
        <v>3619</v>
      </c>
      <c r="D298" s="255">
        <v>0.92230000000000001</v>
      </c>
      <c r="E298"/>
      <c r="F298" s="248">
        <v>43334</v>
      </c>
    </row>
    <row r="299" spans="1:6">
      <c r="A299" t="s">
        <v>1291</v>
      </c>
      <c r="B299" t="s">
        <v>3623</v>
      </c>
      <c r="D299" s="255">
        <v>1.8980999999999999</v>
      </c>
      <c r="E299"/>
      <c r="F299" s="248">
        <v>43337</v>
      </c>
    </row>
    <row r="300" spans="1:6">
      <c r="A300" t="s">
        <v>1974</v>
      </c>
      <c r="B300" t="s">
        <v>3484</v>
      </c>
      <c r="D300">
        <v>1.2876000000000001</v>
      </c>
      <c r="E300" s="254"/>
      <c r="F300" s="248">
        <v>43010</v>
      </c>
    </row>
    <row r="301" spans="1:6">
      <c r="A301" t="s">
        <v>1284</v>
      </c>
      <c r="B301" t="s">
        <v>3641</v>
      </c>
      <c r="D301" s="255">
        <v>1.8654999999999999</v>
      </c>
      <c r="E301"/>
      <c r="F301" s="248">
        <v>43338</v>
      </c>
    </row>
    <row r="302" spans="1:6">
      <c r="A302" t="s">
        <v>1283</v>
      </c>
      <c r="B302" t="s">
        <v>3605</v>
      </c>
      <c r="D302" s="255">
        <v>1.4665999999999999</v>
      </c>
      <c r="E302"/>
      <c r="F302" s="248">
        <v>43334</v>
      </c>
    </row>
    <row r="303" spans="1:6">
      <c r="A303" t="s">
        <v>1973</v>
      </c>
      <c r="B303" t="s">
        <v>3421</v>
      </c>
      <c r="D303">
        <v>0.94330000000000003</v>
      </c>
      <c r="E303" s="254"/>
      <c r="F303" s="248">
        <v>43008</v>
      </c>
    </row>
    <row r="304" spans="1:6">
      <c r="A304" t="s">
        <v>1279</v>
      </c>
      <c r="B304">
        <v>214</v>
      </c>
      <c r="C304" t="s">
        <v>2504</v>
      </c>
      <c r="D304">
        <v>0.65300000000000002</v>
      </c>
      <c r="E304" s="223" t="s">
        <v>2508</v>
      </c>
      <c r="F304" s="16">
        <v>43208</v>
      </c>
    </row>
    <row r="305" spans="1:6">
      <c r="A305" t="s">
        <v>1274</v>
      </c>
      <c r="B305" t="s">
        <v>3480</v>
      </c>
      <c r="D305">
        <v>1.8093999999999999</v>
      </c>
      <c r="E305" s="254"/>
      <c r="F305" s="248">
        <v>43007</v>
      </c>
    </row>
    <row r="306" spans="1:6">
      <c r="A306" t="s">
        <v>1972</v>
      </c>
      <c r="B306" t="s">
        <v>3426</v>
      </c>
      <c r="D306">
        <v>0.871</v>
      </c>
      <c r="E306" s="254"/>
      <c r="F306" s="248">
        <v>43009</v>
      </c>
    </row>
    <row r="307" spans="1:6">
      <c r="A307" t="s">
        <v>1270</v>
      </c>
      <c r="B307">
        <v>198</v>
      </c>
      <c r="C307" t="s">
        <v>2504</v>
      </c>
      <c r="D307">
        <v>0.69899999999999995</v>
      </c>
      <c r="E307" s="223" t="s">
        <v>2453</v>
      </c>
      <c r="F307" s="16">
        <v>43208</v>
      </c>
    </row>
    <row r="308" spans="1:6">
      <c r="A308" t="s">
        <v>1971</v>
      </c>
      <c r="B308" t="s">
        <v>3445</v>
      </c>
      <c r="D308">
        <v>1.8559000000000001</v>
      </c>
      <c r="E308" s="254"/>
      <c r="F308" s="248">
        <v>43007</v>
      </c>
    </row>
    <row r="309" spans="1:6">
      <c r="A309" t="s">
        <v>1258</v>
      </c>
      <c r="B309" t="s">
        <v>3458</v>
      </c>
      <c r="D309">
        <v>0.87409999999999999</v>
      </c>
      <c r="E309" s="254"/>
      <c r="F309" s="248">
        <v>43008</v>
      </c>
    </row>
    <row r="310" spans="1:6">
      <c r="A310" t="s">
        <v>2042</v>
      </c>
      <c r="B310" t="s">
        <v>3477</v>
      </c>
      <c r="D310">
        <v>1.4722999999999999</v>
      </c>
      <c r="E310" s="254"/>
      <c r="F310" s="248">
        <v>43007</v>
      </c>
    </row>
    <row r="311" spans="1:6">
      <c r="A311" t="s">
        <v>1970</v>
      </c>
      <c r="B311" t="s">
        <v>3424</v>
      </c>
      <c r="D311">
        <v>0.72970000000000002</v>
      </c>
      <c r="E311" s="254"/>
      <c r="F311" s="248">
        <v>43008</v>
      </c>
    </row>
    <row r="312" spans="1:6">
      <c r="A312" t="s">
        <v>1234</v>
      </c>
      <c r="B312" t="s">
        <v>3596</v>
      </c>
      <c r="D312" s="255">
        <v>1.9451000000000001</v>
      </c>
      <c r="E312"/>
      <c r="F312" s="248">
        <v>43334</v>
      </c>
    </row>
    <row r="313" spans="1:6">
      <c r="A313" t="s">
        <v>1227</v>
      </c>
      <c r="B313" t="s">
        <v>3582</v>
      </c>
      <c r="D313" s="255">
        <v>1.8245</v>
      </c>
      <c r="E313" t="s">
        <v>2125</v>
      </c>
      <c r="F313" s="248">
        <v>43333</v>
      </c>
    </row>
    <row r="314" spans="1:6">
      <c r="A314" t="s">
        <v>1967</v>
      </c>
      <c r="B314" t="s">
        <v>3510</v>
      </c>
      <c r="D314" s="247">
        <v>0.81779999999999997</v>
      </c>
      <c r="E314"/>
      <c r="F314" s="248">
        <v>43008</v>
      </c>
    </row>
    <row r="315" spans="1:6">
      <c r="A315" t="s">
        <v>1966</v>
      </c>
      <c r="B315" t="s">
        <v>3642</v>
      </c>
      <c r="D315" s="255">
        <v>1.9314</v>
      </c>
      <c r="E315" t="s">
        <v>2115</v>
      </c>
      <c r="F315" s="248">
        <v>43338</v>
      </c>
    </row>
    <row r="316" spans="1:6">
      <c r="A316" t="s">
        <v>1206</v>
      </c>
      <c r="B316" t="s">
        <v>3647</v>
      </c>
      <c r="D316" s="255">
        <v>1.7751999999999999</v>
      </c>
      <c r="E316"/>
      <c r="F316" s="248">
        <v>43338</v>
      </c>
    </row>
    <row r="317" spans="1:6">
      <c r="A317" t="s">
        <v>1202</v>
      </c>
      <c r="B317" t="s">
        <v>3567</v>
      </c>
      <c r="D317" s="255">
        <v>1.8361000000000001</v>
      </c>
      <c r="E317"/>
      <c r="F317" s="248">
        <v>43333</v>
      </c>
    </row>
    <row r="318" spans="1:6">
      <c r="A318" t="s">
        <v>1965</v>
      </c>
      <c r="B318" t="s">
        <v>3416</v>
      </c>
      <c r="D318">
        <v>0.84360000000000002</v>
      </c>
      <c r="E318" s="254"/>
      <c r="F318" s="248">
        <v>43009</v>
      </c>
    </row>
    <row r="319" spans="1:6">
      <c r="A319" t="s">
        <v>1199</v>
      </c>
      <c r="B319" t="s">
        <v>3596</v>
      </c>
      <c r="D319" s="255">
        <v>1.8367</v>
      </c>
      <c r="E319"/>
      <c r="F319" s="248">
        <v>43334</v>
      </c>
    </row>
    <row r="320" spans="1:6">
      <c r="A320" t="s">
        <v>1196</v>
      </c>
      <c r="B320" t="s">
        <v>3622</v>
      </c>
      <c r="D320" s="255">
        <v>1.8062</v>
      </c>
      <c r="E320" t="s">
        <v>2119</v>
      </c>
      <c r="F320" s="248">
        <v>43337</v>
      </c>
    </row>
    <row r="321" spans="1:6">
      <c r="A321" t="s">
        <v>1195</v>
      </c>
      <c r="B321" t="s">
        <v>3645</v>
      </c>
      <c r="D321" s="255">
        <v>1.7664</v>
      </c>
      <c r="E321"/>
      <c r="F321" s="248">
        <v>43338</v>
      </c>
    </row>
    <row r="322" spans="1:6">
      <c r="A322" t="s">
        <v>1964</v>
      </c>
      <c r="B322" t="s">
        <v>3583</v>
      </c>
      <c r="D322" s="255">
        <v>1.8914</v>
      </c>
      <c r="E322" t="s">
        <v>3584</v>
      </c>
      <c r="F322" s="248">
        <v>43333</v>
      </c>
    </row>
    <row r="323" spans="1:6">
      <c r="A323" t="s">
        <v>1188</v>
      </c>
      <c r="B323" t="s">
        <v>3624</v>
      </c>
      <c r="D323" s="255">
        <v>1.8160000000000001</v>
      </c>
      <c r="E323"/>
      <c r="F323" s="248">
        <v>43337</v>
      </c>
    </row>
    <row r="324" spans="1:6">
      <c r="A324" t="s">
        <v>1184</v>
      </c>
      <c r="B324" t="s">
        <v>3644</v>
      </c>
      <c r="D324" s="255">
        <v>1.8541000000000001</v>
      </c>
      <c r="E324"/>
      <c r="F324" s="248">
        <v>43338</v>
      </c>
    </row>
    <row r="325" spans="1:6">
      <c r="A325" t="s">
        <v>1182</v>
      </c>
      <c r="B325" t="s">
        <v>3428</v>
      </c>
      <c r="D325">
        <v>0.71699999999999997</v>
      </c>
      <c r="E325" s="254"/>
      <c r="F325" s="248">
        <v>43008</v>
      </c>
    </row>
    <row r="326" spans="1:6">
      <c r="A326" t="s">
        <v>1180</v>
      </c>
      <c r="B326" t="s">
        <v>3476</v>
      </c>
      <c r="D326">
        <v>0.75219999999999998</v>
      </c>
      <c r="E326" s="254"/>
      <c r="F326" s="248">
        <v>43009</v>
      </c>
    </row>
    <row r="327" spans="1:6">
      <c r="A327" t="s">
        <v>1178</v>
      </c>
      <c r="B327" t="s">
        <v>3627</v>
      </c>
      <c r="D327" s="255">
        <v>1.8389</v>
      </c>
      <c r="E327"/>
      <c r="F327" s="248">
        <v>43337</v>
      </c>
    </row>
    <row r="328" spans="1:6">
      <c r="A328" t="s">
        <v>1177</v>
      </c>
      <c r="B328" t="s">
        <v>3610</v>
      </c>
      <c r="D328" s="255">
        <v>0.68469999999999998</v>
      </c>
      <c r="E328"/>
      <c r="F328" s="248">
        <v>43334</v>
      </c>
    </row>
    <row r="329" spans="1:6">
      <c r="A329" t="s">
        <v>1176</v>
      </c>
      <c r="B329" t="s">
        <v>3478</v>
      </c>
      <c r="D329">
        <v>1.361</v>
      </c>
      <c r="E329" s="254"/>
      <c r="F329" s="248">
        <v>43007</v>
      </c>
    </row>
    <row r="330" spans="1:6">
      <c r="A330" t="s">
        <v>1171</v>
      </c>
      <c r="B330" t="s">
        <v>3630</v>
      </c>
      <c r="D330" s="255">
        <v>1.8814</v>
      </c>
      <c r="E330" t="s">
        <v>2119</v>
      </c>
      <c r="F330" s="248">
        <v>43337</v>
      </c>
    </row>
    <row r="331" spans="1:6">
      <c r="A331" t="s">
        <v>1962</v>
      </c>
      <c r="B331" t="s">
        <v>3575</v>
      </c>
      <c r="D331" s="255">
        <v>1.9495</v>
      </c>
      <c r="E331" t="s">
        <v>3576</v>
      </c>
      <c r="F331" s="248">
        <v>43333</v>
      </c>
    </row>
    <row r="332" spans="1:6">
      <c r="A332" t="s">
        <v>1960</v>
      </c>
      <c r="B332">
        <v>194</v>
      </c>
      <c r="C332" t="s">
        <v>2504</v>
      </c>
      <c r="D332">
        <v>0.74199999999999999</v>
      </c>
      <c r="E332" s="223" t="s">
        <v>2505</v>
      </c>
      <c r="F332" s="16">
        <v>43208</v>
      </c>
    </row>
    <row r="333" spans="1:6">
      <c r="A333" t="s">
        <v>1959</v>
      </c>
      <c r="B333" t="s">
        <v>3588</v>
      </c>
      <c r="D333" s="255">
        <v>1.8609</v>
      </c>
      <c r="E333"/>
      <c r="F333" s="248">
        <v>43334</v>
      </c>
    </row>
    <row r="334" spans="1:6">
      <c r="A334" t="s">
        <v>1958</v>
      </c>
      <c r="B334" t="s">
        <v>3403</v>
      </c>
      <c r="D334">
        <v>0.73619999999999997</v>
      </c>
      <c r="E334" s="254"/>
      <c r="F334" s="247"/>
    </row>
    <row r="335" spans="1:6">
      <c r="A335" t="s">
        <v>1957</v>
      </c>
      <c r="B335">
        <v>210</v>
      </c>
      <c r="C335" t="s">
        <v>2504</v>
      </c>
      <c r="D335">
        <v>0.80600000000000005</v>
      </c>
      <c r="E335" s="223" t="s">
        <v>2453</v>
      </c>
      <c r="F335" s="16">
        <v>43208</v>
      </c>
    </row>
    <row r="336" spans="1:6">
      <c r="A336" t="s">
        <v>1955</v>
      </c>
      <c r="B336">
        <v>216</v>
      </c>
      <c r="C336" t="s">
        <v>2504</v>
      </c>
      <c r="D336">
        <v>0.80600000000000005</v>
      </c>
      <c r="E336" s="223" t="s">
        <v>2453</v>
      </c>
      <c r="F336" s="16">
        <v>43208</v>
      </c>
    </row>
    <row r="337" spans="1:6">
      <c r="A337" t="s">
        <v>1954</v>
      </c>
      <c r="B337" t="s">
        <v>3605</v>
      </c>
      <c r="D337" s="255">
        <v>0.77790000000000004</v>
      </c>
      <c r="E337"/>
      <c r="F337" s="248">
        <v>43334</v>
      </c>
    </row>
    <row r="338" spans="1:6">
      <c r="A338" t="s">
        <v>1953</v>
      </c>
      <c r="B338" t="s">
        <v>3638</v>
      </c>
      <c r="D338" s="255">
        <v>1.7647999999999999</v>
      </c>
      <c r="E338" t="s">
        <v>3639</v>
      </c>
      <c r="F338" s="248">
        <v>43338</v>
      </c>
    </row>
    <row r="339" spans="1:6">
      <c r="A339" t="s">
        <v>1951</v>
      </c>
      <c r="B339" t="s">
        <v>3627</v>
      </c>
      <c r="D339" s="255">
        <v>1.9186000000000001</v>
      </c>
      <c r="E339" t="s">
        <v>3628</v>
      </c>
      <c r="F339" s="248">
        <v>43337</v>
      </c>
    </row>
    <row r="340" spans="1:6">
      <c r="A340" t="s">
        <v>1035</v>
      </c>
      <c r="B340" t="s">
        <v>3627</v>
      </c>
      <c r="D340" s="255">
        <v>2.0352999999999999</v>
      </c>
      <c r="E340"/>
      <c r="F340" s="248">
        <v>43337</v>
      </c>
    </row>
    <row r="341" spans="1:6">
      <c r="A341" t="s">
        <v>1033</v>
      </c>
      <c r="B341" t="s">
        <v>3625</v>
      </c>
      <c r="D341" s="255">
        <v>1.9638</v>
      </c>
      <c r="E341"/>
      <c r="F341" s="248">
        <v>43337</v>
      </c>
    </row>
    <row r="342" spans="1:6">
      <c r="A342" t="s">
        <v>1025</v>
      </c>
      <c r="B342" t="s">
        <v>3476</v>
      </c>
      <c r="D342">
        <v>2.0322</v>
      </c>
      <c r="E342" s="254"/>
      <c r="F342" s="248">
        <v>43009</v>
      </c>
    </row>
    <row r="343" spans="1:6">
      <c r="A343" t="s">
        <v>1023</v>
      </c>
      <c r="B343" t="s">
        <v>3498</v>
      </c>
      <c r="D343" s="247">
        <v>0.79290000000000005</v>
      </c>
      <c r="E343"/>
      <c r="F343" s="248">
        <v>43010</v>
      </c>
    </row>
    <row r="344" spans="1:6">
      <c r="A344" t="s">
        <v>1014</v>
      </c>
      <c r="B344" t="s">
        <v>3416</v>
      </c>
      <c r="D344">
        <v>1.7946</v>
      </c>
      <c r="E344" s="254"/>
      <c r="F344" s="248">
        <v>43009</v>
      </c>
    </row>
    <row r="345" spans="1:6">
      <c r="A345" t="s">
        <v>1128</v>
      </c>
      <c r="B345" t="s">
        <v>3607</v>
      </c>
      <c r="D345" s="255">
        <v>0.68400000000000005</v>
      </c>
      <c r="E345" t="s">
        <v>3608</v>
      </c>
      <c r="F345" s="248">
        <v>43334</v>
      </c>
    </row>
    <row r="346" spans="1:6">
      <c r="A346" t="s">
        <v>1010</v>
      </c>
      <c r="B346">
        <v>197</v>
      </c>
      <c r="C346" t="s">
        <v>2504</v>
      </c>
      <c r="D346">
        <v>1.577</v>
      </c>
      <c r="E346" s="223" t="s">
        <v>2452</v>
      </c>
      <c r="F346" s="16">
        <v>43208</v>
      </c>
    </row>
    <row r="347" spans="1:6">
      <c r="A347" t="s">
        <v>1001</v>
      </c>
      <c r="B347" t="s">
        <v>3623</v>
      </c>
      <c r="D347" s="255">
        <v>1.9561999999999999</v>
      </c>
      <c r="E347"/>
      <c r="F347" s="248">
        <v>43337</v>
      </c>
    </row>
    <row r="348" spans="1:6">
      <c r="A348" t="s">
        <v>979</v>
      </c>
      <c r="B348" t="s">
        <v>3454</v>
      </c>
      <c r="D348">
        <v>1.964</v>
      </c>
      <c r="E348" s="254"/>
      <c r="F348" s="248">
        <v>43007</v>
      </c>
    </row>
    <row r="349" spans="1:6">
      <c r="A349" t="s">
        <v>978</v>
      </c>
      <c r="B349" t="s">
        <v>3445</v>
      </c>
      <c r="D349">
        <v>1.9955000000000001</v>
      </c>
      <c r="E349" s="254"/>
      <c r="F349" s="248">
        <v>43007</v>
      </c>
    </row>
    <row r="350" spans="1:6">
      <c r="A350" t="s">
        <v>971</v>
      </c>
      <c r="B350" t="s">
        <v>3476</v>
      </c>
      <c r="D350">
        <v>1.7410000000000001</v>
      </c>
      <c r="E350" s="254"/>
      <c r="F350" s="248">
        <v>43009</v>
      </c>
    </row>
    <row r="351" spans="1:6">
      <c r="A351" t="s">
        <v>968</v>
      </c>
      <c r="B351" t="s">
        <v>3510</v>
      </c>
      <c r="D351" s="247">
        <v>1.5261</v>
      </c>
      <c r="E351" t="s">
        <v>3463</v>
      </c>
      <c r="F351" s="248">
        <v>43008</v>
      </c>
    </row>
    <row r="352" spans="1:6">
      <c r="A352" t="s">
        <v>967</v>
      </c>
      <c r="B352" t="s">
        <v>3641</v>
      </c>
      <c r="D352" s="255">
        <v>1.9946999999999999</v>
      </c>
      <c r="E352"/>
      <c r="F352" s="248">
        <v>43338</v>
      </c>
    </row>
    <row r="353" spans="1:6">
      <c r="A353" t="s">
        <v>966</v>
      </c>
      <c r="B353" t="s">
        <v>3461</v>
      </c>
      <c r="D353">
        <v>1.8721000000000001</v>
      </c>
      <c r="E353" s="254"/>
      <c r="F353" s="248">
        <v>43009</v>
      </c>
    </row>
    <row r="354" spans="1:6">
      <c r="A354" t="s">
        <v>963</v>
      </c>
      <c r="B354" t="s">
        <v>3408</v>
      </c>
      <c r="D354">
        <v>1.8229</v>
      </c>
      <c r="E354" s="254"/>
      <c r="F354" s="247"/>
    </row>
    <row r="355" spans="1:6">
      <c r="A355" t="s">
        <v>962</v>
      </c>
      <c r="B355" t="s">
        <v>3459</v>
      </c>
      <c r="D355">
        <v>1.7174</v>
      </c>
      <c r="E355" s="254"/>
      <c r="F355" s="248">
        <v>43009</v>
      </c>
    </row>
    <row r="356" spans="1:6">
      <c r="A356" t="s">
        <v>1123</v>
      </c>
      <c r="B356" t="s">
        <v>3472</v>
      </c>
      <c r="E356" s="254" t="s">
        <v>3465</v>
      </c>
      <c r="F356" s="248">
        <v>43009</v>
      </c>
    </row>
    <row r="357" spans="1:6">
      <c r="A357" t="s">
        <v>961</v>
      </c>
      <c r="B357" t="s">
        <v>3619</v>
      </c>
      <c r="D357" s="255">
        <v>1.595</v>
      </c>
      <c r="E357"/>
      <c r="F357" s="248">
        <v>43334</v>
      </c>
    </row>
    <row r="358" spans="1:6">
      <c r="A358" t="s">
        <v>957</v>
      </c>
      <c r="B358" t="s">
        <v>3430</v>
      </c>
      <c r="D358">
        <v>1.7850999999999999</v>
      </c>
      <c r="E358" s="254"/>
      <c r="F358" s="248">
        <v>43008</v>
      </c>
    </row>
    <row r="359" spans="1:6">
      <c r="A359" t="s">
        <v>953</v>
      </c>
      <c r="B359" t="s">
        <v>3423</v>
      </c>
      <c r="D359">
        <v>1.7876000000000001</v>
      </c>
      <c r="E359" s="254"/>
      <c r="F359" s="248">
        <v>43008</v>
      </c>
    </row>
    <row r="360" spans="1:6">
      <c r="A360" t="s">
        <v>950</v>
      </c>
      <c r="B360" t="s">
        <v>3646</v>
      </c>
      <c r="D360" s="255">
        <v>1.9675</v>
      </c>
      <c r="E360"/>
      <c r="F360" s="248">
        <v>43338</v>
      </c>
    </row>
    <row r="361" spans="1:6">
      <c r="A361" t="s">
        <v>949</v>
      </c>
      <c r="B361" t="s">
        <v>3583</v>
      </c>
      <c r="D361" s="255">
        <v>1.9886999999999999</v>
      </c>
      <c r="E361"/>
      <c r="F361" s="248">
        <v>43333</v>
      </c>
    </row>
    <row r="362" spans="1:6">
      <c r="A362" t="s">
        <v>948</v>
      </c>
      <c r="B362" t="s">
        <v>3433</v>
      </c>
      <c r="D362">
        <v>1.7978000000000001</v>
      </c>
      <c r="E362" s="254"/>
      <c r="F362" s="248">
        <v>43008</v>
      </c>
    </row>
    <row r="363" spans="1:6">
      <c r="A363" t="s">
        <v>946</v>
      </c>
      <c r="B363" t="s">
        <v>3417</v>
      </c>
      <c r="D363">
        <v>1.6592</v>
      </c>
      <c r="E363" s="254"/>
      <c r="F363" s="248">
        <v>43008</v>
      </c>
    </row>
    <row r="364" spans="1:6">
      <c r="A364" t="s">
        <v>944</v>
      </c>
      <c r="B364" t="s">
        <v>3633</v>
      </c>
      <c r="D364" s="255">
        <v>1.9945999999999999</v>
      </c>
      <c r="E364" t="s">
        <v>2119</v>
      </c>
      <c r="F364" s="248">
        <v>43337</v>
      </c>
    </row>
    <row r="365" spans="1:6">
      <c r="A365" t="s">
        <v>943</v>
      </c>
      <c r="B365" t="s">
        <v>3417</v>
      </c>
      <c r="D365">
        <v>1.7765</v>
      </c>
      <c r="E365" s="254"/>
      <c r="F365" s="248">
        <v>43008</v>
      </c>
    </row>
    <row r="366" spans="1:6">
      <c r="A366" t="s">
        <v>940</v>
      </c>
      <c r="B366" t="s">
        <v>3635</v>
      </c>
      <c r="D366" s="255">
        <v>2.0015000000000001</v>
      </c>
      <c r="E366"/>
      <c r="F366" s="248">
        <v>43337</v>
      </c>
    </row>
    <row r="367" spans="1:6">
      <c r="A367" t="s">
        <v>938</v>
      </c>
      <c r="B367" t="s">
        <v>3648</v>
      </c>
      <c r="D367" s="255">
        <v>2.0466000000000002</v>
      </c>
      <c r="E367"/>
      <c r="F367" s="248">
        <v>43338</v>
      </c>
    </row>
    <row r="368" spans="1:6">
      <c r="A368" t="s">
        <v>937</v>
      </c>
      <c r="B368" t="s">
        <v>3450</v>
      </c>
      <c r="D368">
        <v>1.8874</v>
      </c>
      <c r="E368" s="254"/>
      <c r="F368" s="248">
        <v>43007</v>
      </c>
    </row>
    <row r="369" spans="1:6">
      <c r="A369" t="s">
        <v>936</v>
      </c>
      <c r="B369" t="s">
        <v>3401</v>
      </c>
      <c r="D369">
        <v>1.6595</v>
      </c>
      <c r="E369" s="254"/>
      <c r="F369" s="247"/>
    </row>
    <row r="370" spans="1:6">
      <c r="A370" t="s">
        <v>935</v>
      </c>
      <c r="B370" t="s">
        <v>3495</v>
      </c>
      <c r="D370" s="247">
        <v>1.9655</v>
      </c>
      <c r="E370"/>
      <c r="F370" s="248">
        <v>43010</v>
      </c>
    </row>
    <row r="371" spans="1:6">
      <c r="A371" t="s">
        <v>934</v>
      </c>
      <c r="B371" t="s">
        <v>3424</v>
      </c>
      <c r="D371">
        <v>1.6962999999999999</v>
      </c>
      <c r="E371" s="254"/>
      <c r="F371" s="248">
        <v>43008</v>
      </c>
    </row>
    <row r="372" spans="1:6">
      <c r="A372" t="s">
        <v>933</v>
      </c>
      <c r="B372" t="s">
        <v>3462</v>
      </c>
      <c r="D372">
        <v>1.8463000000000001</v>
      </c>
      <c r="E372" s="254"/>
      <c r="F372" s="248">
        <v>43009</v>
      </c>
    </row>
    <row r="373" spans="1:6">
      <c r="A373" t="s">
        <v>931</v>
      </c>
      <c r="B373" t="s">
        <v>3480</v>
      </c>
      <c r="D373">
        <v>2.0261</v>
      </c>
      <c r="E373" s="254"/>
      <c r="F373" s="248">
        <v>43007</v>
      </c>
    </row>
    <row r="374" spans="1:6">
      <c r="A374" t="s">
        <v>930</v>
      </c>
      <c r="B374" t="s">
        <v>3436</v>
      </c>
      <c r="D374">
        <v>1.7732000000000001</v>
      </c>
      <c r="E374" s="254"/>
      <c r="F374" s="248">
        <v>43009</v>
      </c>
    </row>
    <row r="375" spans="1:6">
      <c r="A375" t="s">
        <v>929</v>
      </c>
      <c r="B375" t="s">
        <v>3506</v>
      </c>
      <c r="D375" s="247">
        <v>1.9135</v>
      </c>
      <c r="E375"/>
      <c r="F375" s="248">
        <v>43010</v>
      </c>
    </row>
    <row r="376" spans="1:6">
      <c r="A376" t="s">
        <v>928</v>
      </c>
      <c r="B376" t="s">
        <v>3481</v>
      </c>
      <c r="D376">
        <v>1.7698</v>
      </c>
      <c r="E376" s="254"/>
      <c r="F376" s="248">
        <v>43007</v>
      </c>
    </row>
    <row r="377" spans="1:6">
      <c r="A377" t="s">
        <v>927</v>
      </c>
      <c r="B377" t="s">
        <v>3430</v>
      </c>
      <c r="D377">
        <v>1.7265999999999999</v>
      </c>
      <c r="E377" s="254"/>
      <c r="F377" s="248">
        <v>43008</v>
      </c>
    </row>
    <row r="378" spans="1:6">
      <c r="A378" t="s">
        <v>920</v>
      </c>
      <c r="B378" t="s">
        <v>3637</v>
      </c>
      <c r="D378" s="255">
        <v>1.8791</v>
      </c>
      <c r="E378" t="s">
        <v>2119</v>
      </c>
      <c r="F378" s="248">
        <v>43337</v>
      </c>
    </row>
    <row r="379" spans="1:6">
      <c r="A379" t="s">
        <v>918</v>
      </c>
      <c r="B379" t="s">
        <v>3421</v>
      </c>
      <c r="D379">
        <v>1.7884</v>
      </c>
      <c r="E379" s="254"/>
      <c r="F379" s="248">
        <v>43008</v>
      </c>
    </row>
    <row r="380" spans="1:6">
      <c r="A380" t="s">
        <v>917</v>
      </c>
      <c r="B380" t="s">
        <v>3399</v>
      </c>
      <c r="D380">
        <v>1.8384</v>
      </c>
      <c r="E380" s="254"/>
      <c r="F380" s="248"/>
    </row>
    <row r="381" spans="1:6">
      <c r="A381" t="s">
        <v>916</v>
      </c>
      <c r="B381" t="s">
        <v>3455</v>
      </c>
      <c r="D381">
        <v>1.9572000000000001</v>
      </c>
      <c r="E381" s="254"/>
      <c r="F381" s="248">
        <v>43007</v>
      </c>
    </row>
    <row r="382" spans="1:6">
      <c r="A382" t="s">
        <v>914</v>
      </c>
      <c r="B382" t="s">
        <v>3595</v>
      </c>
      <c r="D382" s="255">
        <v>2.0263</v>
      </c>
      <c r="E382"/>
      <c r="F382" s="248">
        <v>43334</v>
      </c>
    </row>
    <row r="383" spans="1:6">
      <c r="A383" t="s">
        <v>912</v>
      </c>
      <c r="B383" t="s">
        <v>3604</v>
      </c>
      <c r="D383" s="255">
        <v>1.5876999999999999</v>
      </c>
      <c r="E383" t="s">
        <v>2125</v>
      </c>
      <c r="F383" s="248">
        <v>43334</v>
      </c>
    </row>
    <row r="384" spans="1:6">
      <c r="A384" t="s">
        <v>911</v>
      </c>
      <c r="B384" t="s">
        <v>3438</v>
      </c>
      <c r="D384">
        <v>2.0360999999999998</v>
      </c>
      <c r="E384" s="254"/>
      <c r="F384" s="248">
        <v>43007</v>
      </c>
    </row>
    <row r="385" spans="1:6">
      <c r="A385" t="s">
        <v>908</v>
      </c>
      <c r="B385" t="s">
        <v>3647</v>
      </c>
      <c r="D385" s="255">
        <v>1.9479</v>
      </c>
      <c r="E385"/>
      <c r="F385" s="248">
        <v>43338</v>
      </c>
    </row>
    <row r="386" spans="1:6">
      <c r="A386" t="s">
        <v>905</v>
      </c>
      <c r="B386" t="s">
        <v>3407</v>
      </c>
      <c r="D386">
        <v>1.62</v>
      </c>
      <c r="E386" s="254"/>
      <c r="F386" s="247"/>
    </row>
    <row r="387" spans="1:6">
      <c r="A387" t="s">
        <v>904</v>
      </c>
      <c r="B387" t="s">
        <v>3642</v>
      </c>
      <c r="D387" s="255">
        <v>1.9715</v>
      </c>
      <c r="E387"/>
      <c r="F387" s="248">
        <v>43338</v>
      </c>
    </row>
    <row r="388" spans="1:6">
      <c r="A388" t="s">
        <v>903</v>
      </c>
      <c r="B388" t="s">
        <v>3488</v>
      </c>
      <c r="D388">
        <v>1.7898000000000001</v>
      </c>
      <c r="E388" s="254"/>
      <c r="F388" s="248">
        <v>43010</v>
      </c>
    </row>
    <row r="389" spans="1:6">
      <c r="A389" t="s">
        <v>902</v>
      </c>
      <c r="B389" t="s">
        <v>3398</v>
      </c>
      <c r="D389">
        <v>1.8743000000000001</v>
      </c>
      <c r="E389" s="254"/>
      <c r="F389" s="248">
        <v>43008</v>
      </c>
    </row>
    <row r="390" spans="1:6">
      <c r="A390" t="s">
        <v>901</v>
      </c>
      <c r="B390" t="s">
        <v>3412</v>
      </c>
      <c r="D390">
        <v>1.7597</v>
      </c>
      <c r="E390" s="254"/>
      <c r="F390" s="248">
        <v>43009</v>
      </c>
    </row>
    <row r="391" spans="1:6">
      <c r="A391" t="s">
        <v>899</v>
      </c>
      <c r="B391" t="s">
        <v>3597</v>
      </c>
      <c r="D391" s="255">
        <v>1.9262999999999999</v>
      </c>
      <c r="E391"/>
      <c r="F391" s="248">
        <v>43334</v>
      </c>
    </row>
    <row r="392" spans="1:6">
      <c r="A392" t="s">
        <v>898</v>
      </c>
      <c r="B392" t="s">
        <v>3486</v>
      </c>
      <c r="D392">
        <v>1.9182999999999999</v>
      </c>
      <c r="E392" s="254"/>
      <c r="F392" s="248">
        <v>43010</v>
      </c>
    </row>
    <row r="393" spans="1:6">
      <c r="A393" t="s">
        <v>896</v>
      </c>
      <c r="B393" t="s">
        <v>3485</v>
      </c>
      <c r="D393">
        <v>1.8418000000000001</v>
      </c>
      <c r="E393" s="254"/>
      <c r="F393" s="248">
        <v>43010</v>
      </c>
    </row>
    <row r="394" spans="1:6">
      <c r="A394" t="s">
        <v>895</v>
      </c>
      <c r="B394" t="s">
        <v>3408</v>
      </c>
      <c r="D394">
        <v>1.639</v>
      </c>
      <c r="E394" s="254"/>
      <c r="F394" s="247"/>
    </row>
    <row r="395" spans="1:6">
      <c r="A395" t="s">
        <v>894</v>
      </c>
      <c r="B395" t="s">
        <v>3612</v>
      </c>
      <c r="D395" s="255">
        <v>1.7551000000000001</v>
      </c>
      <c r="E395"/>
      <c r="F395" s="248">
        <v>43334</v>
      </c>
    </row>
    <row r="396" spans="1:6">
      <c r="A396" t="s">
        <v>892</v>
      </c>
      <c r="B396">
        <v>211</v>
      </c>
      <c r="C396" t="s">
        <v>2504</v>
      </c>
      <c r="D396">
        <v>1.1160000000000001</v>
      </c>
      <c r="E396" s="223" t="s">
        <v>2507</v>
      </c>
      <c r="F396" s="16">
        <v>43208</v>
      </c>
    </row>
    <row r="397" spans="1:6">
      <c r="A397" t="s">
        <v>887</v>
      </c>
      <c r="B397" t="s">
        <v>3410</v>
      </c>
      <c r="D397">
        <v>1.8010999999999999</v>
      </c>
      <c r="E397" s="254"/>
      <c r="F397" s="247"/>
    </row>
    <row r="398" spans="1:6">
      <c r="A398" t="s">
        <v>885</v>
      </c>
      <c r="B398" t="s">
        <v>3392</v>
      </c>
      <c r="D398">
        <v>1.5882000000000001</v>
      </c>
      <c r="E398" s="254"/>
      <c r="F398" s="247"/>
    </row>
    <row r="399" spans="1:6">
      <c r="A399" t="s">
        <v>884</v>
      </c>
      <c r="B399" t="s">
        <v>3572</v>
      </c>
      <c r="D399" s="255">
        <v>1.956</v>
      </c>
      <c r="E399" t="s">
        <v>2119</v>
      </c>
      <c r="F399" s="248">
        <v>43333</v>
      </c>
    </row>
    <row r="400" spans="1:6">
      <c r="A400" t="s">
        <v>881</v>
      </c>
      <c r="B400" t="s">
        <v>3586</v>
      </c>
      <c r="D400" s="255">
        <v>1.8734</v>
      </c>
      <c r="E400"/>
      <c r="F400" s="248">
        <v>43333</v>
      </c>
    </row>
    <row r="401" spans="1:6">
      <c r="A401" t="s">
        <v>880</v>
      </c>
      <c r="B401" t="s">
        <v>3602</v>
      </c>
      <c r="D401" s="255">
        <v>1.9642999999999999</v>
      </c>
      <c r="E401" t="s">
        <v>2119</v>
      </c>
      <c r="F401" s="248">
        <v>43334</v>
      </c>
    </row>
    <row r="402" spans="1:6">
      <c r="A402" t="s">
        <v>874</v>
      </c>
      <c r="B402" t="s">
        <v>3456</v>
      </c>
      <c r="D402">
        <v>1.7754000000000001</v>
      </c>
      <c r="E402" s="254"/>
      <c r="F402" s="248">
        <v>43009</v>
      </c>
    </row>
    <row r="403" spans="1:6">
      <c r="A403" t="s">
        <v>872</v>
      </c>
      <c r="B403" t="s">
        <v>3475</v>
      </c>
      <c r="D403">
        <v>1.8042</v>
      </c>
      <c r="E403" s="254"/>
      <c r="F403" s="248">
        <v>43009</v>
      </c>
    </row>
    <row r="404" spans="1:6">
      <c r="A404" t="s">
        <v>871</v>
      </c>
      <c r="B404" t="s">
        <v>3593</v>
      </c>
      <c r="D404" s="255">
        <v>1.9970000000000001</v>
      </c>
      <c r="E404"/>
      <c r="F404" s="248">
        <v>43334</v>
      </c>
    </row>
    <row r="405" spans="1:6">
      <c r="A405" t="s">
        <v>869</v>
      </c>
      <c r="B405" t="s">
        <v>3509</v>
      </c>
      <c r="D405" s="247">
        <v>1.6163000000000001</v>
      </c>
      <c r="E405"/>
      <c r="F405" s="248">
        <v>43008</v>
      </c>
    </row>
    <row r="406" spans="1:6">
      <c r="A406" t="s">
        <v>866</v>
      </c>
      <c r="B406" t="s">
        <v>3644</v>
      </c>
      <c r="D406" s="255">
        <v>1.9981</v>
      </c>
      <c r="E406"/>
      <c r="F406" s="248">
        <v>43338</v>
      </c>
    </row>
    <row r="407" spans="1:6">
      <c r="A407" t="s">
        <v>865</v>
      </c>
      <c r="B407" t="s">
        <v>3614</v>
      </c>
      <c r="D407" s="255">
        <v>1.4581</v>
      </c>
      <c r="E407" t="s">
        <v>3615</v>
      </c>
      <c r="F407" s="248">
        <v>43334</v>
      </c>
    </row>
    <row r="408" spans="1:6">
      <c r="A408" t="s">
        <v>864</v>
      </c>
      <c r="B408" t="s">
        <v>3588</v>
      </c>
      <c r="D408" s="255">
        <v>1.9473</v>
      </c>
      <c r="E408" t="s">
        <v>2119</v>
      </c>
      <c r="F408" s="248">
        <v>43334</v>
      </c>
    </row>
    <row r="409" spans="1:6">
      <c r="A409" t="s">
        <v>861</v>
      </c>
      <c r="B409" t="s">
        <v>3444</v>
      </c>
      <c r="D409">
        <v>1.9007000000000001</v>
      </c>
      <c r="E409" s="254"/>
      <c r="F409" s="248">
        <v>43007</v>
      </c>
    </row>
    <row r="410" spans="1:6">
      <c r="A410" t="s">
        <v>860</v>
      </c>
      <c r="B410" t="s">
        <v>3508</v>
      </c>
      <c r="D410" s="247">
        <v>1.7361</v>
      </c>
      <c r="E410"/>
      <c r="F410" s="248">
        <v>43008</v>
      </c>
    </row>
    <row r="411" spans="1:6">
      <c r="A411" t="s">
        <v>858</v>
      </c>
      <c r="B411" t="s">
        <v>3439</v>
      </c>
      <c r="D411">
        <v>1.9180999999999999</v>
      </c>
      <c r="E411" s="254"/>
      <c r="F411" s="248">
        <v>43007</v>
      </c>
    </row>
    <row r="412" spans="1:6">
      <c r="A412" t="s">
        <v>857</v>
      </c>
      <c r="B412" t="s">
        <v>3404</v>
      </c>
      <c r="D412">
        <v>1.6192</v>
      </c>
      <c r="E412" s="254"/>
      <c r="F412" s="247"/>
    </row>
    <row r="413" spans="1:6">
      <c r="A413" t="s">
        <v>853</v>
      </c>
      <c r="D413">
        <v>1.514</v>
      </c>
      <c r="E413" s="247" t="s">
        <v>3409</v>
      </c>
      <c r="F413" s="247"/>
    </row>
    <row r="414" spans="1:6">
      <c r="A414" t="s">
        <v>849</v>
      </c>
      <c r="B414" t="s">
        <v>3607</v>
      </c>
      <c r="D414" s="255">
        <v>2.0505</v>
      </c>
      <c r="E414"/>
      <c r="F414" s="248">
        <v>43334</v>
      </c>
    </row>
    <row r="415" spans="1:6">
      <c r="A415" t="s">
        <v>847</v>
      </c>
      <c r="B415" t="s">
        <v>3602</v>
      </c>
      <c r="D415" s="255">
        <v>0.51</v>
      </c>
      <c r="E415" t="s">
        <v>3603</v>
      </c>
      <c r="F415" s="248">
        <v>43334</v>
      </c>
    </row>
    <row r="416" spans="1:6">
      <c r="A416" t="s">
        <v>846</v>
      </c>
      <c r="B416" t="s">
        <v>3418</v>
      </c>
      <c r="D416">
        <v>1.7096</v>
      </c>
      <c r="E416" s="254" t="s">
        <v>3406</v>
      </c>
      <c r="F416" s="248">
        <v>43008</v>
      </c>
    </row>
    <row r="417" spans="1:6">
      <c r="A417" t="s">
        <v>844</v>
      </c>
      <c r="B417" t="s">
        <v>3585</v>
      </c>
      <c r="D417" s="255">
        <v>1.9569000000000001</v>
      </c>
      <c r="E417"/>
      <c r="F417" s="248">
        <v>43333</v>
      </c>
    </row>
    <row r="418" spans="1:6">
      <c r="A418" t="s">
        <v>843</v>
      </c>
      <c r="B418" t="s">
        <v>3447</v>
      </c>
      <c r="D418">
        <v>1.9487000000000001</v>
      </c>
      <c r="E418" s="254" t="s">
        <v>3406</v>
      </c>
      <c r="F418" s="248">
        <v>43007</v>
      </c>
    </row>
    <row r="419" spans="1:6">
      <c r="A419" t="s">
        <v>842</v>
      </c>
      <c r="B419" t="s">
        <v>3505</v>
      </c>
      <c r="D419" s="247">
        <v>1.8811</v>
      </c>
      <c r="E419"/>
      <c r="F419" s="248">
        <v>43010</v>
      </c>
    </row>
    <row r="420" spans="1:6">
      <c r="A420" t="s">
        <v>837</v>
      </c>
      <c r="B420" t="s">
        <v>3437</v>
      </c>
      <c r="D420">
        <v>1.8989</v>
      </c>
      <c r="E420" s="254"/>
      <c r="F420" s="248">
        <v>43007</v>
      </c>
    </row>
    <row r="421" spans="1:6">
      <c r="A421" t="s">
        <v>836</v>
      </c>
      <c r="B421" t="s">
        <v>3445</v>
      </c>
      <c r="D421">
        <v>2.0718999999999999</v>
      </c>
      <c r="E421" s="254"/>
      <c r="F421" s="248">
        <v>43007</v>
      </c>
    </row>
    <row r="422" spans="1:6">
      <c r="A422" t="s">
        <v>835</v>
      </c>
      <c r="B422" t="s">
        <v>3631</v>
      </c>
      <c r="D422" s="255">
        <v>2.0337999999999998</v>
      </c>
      <c r="E422"/>
      <c r="F422" s="248">
        <v>43337</v>
      </c>
    </row>
    <row r="423" spans="1:6">
      <c r="A423" t="s">
        <v>831</v>
      </c>
      <c r="B423" t="s">
        <v>3416</v>
      </c>
      <c r="D423">
        <v>1.7559</v>
      </c>
      <c r="E423" s="254"/>
      <c r="F423" s="248">
        <v>43009</v>
      </c>
    </row>
    <row r="424" spans="1:6">
      <c r="A424" t="s">
        <v>828</v>
      </c>
      <c r="B424" t="s">
        <v>3413</v>
      </c>
      <c r="D424">
        <v>1.6048</v>
      </c>
      <c r="E424" s="254"/>
      <c r="F424" s="248">
        <v>43008</v>
      </c>
    </row>
    <row r="425" spans="1:6">
      <c r="A425" t="s">
        <v>827</v>
      </c>
      <c r="B425" t="s">
        <v>3420</v>
      </c>
      <c r="D425">
        <v>1.7397</v>
      </c>
      <c r="E425" s="254"/>
      <c r="F425" s="248">
        <v>43008</v>
      </c>
    </row>
    <row r="426" spans="1:6">
      <c r="A426" t="s">
        <v>821</v>
      </c>
      <c r="B426" t="s">
        <v>3453</v>
      </c>
      <c r="D426">
        <v>1.9332</v>
      </c>
      <c r="E426" s="254"/>
      <c r="F426" s="248">
        <v>43007</v>
      </c>
    </row>
    <row r="427" spans="1:6">
      <c r="A427" t="s">
        <v>820</v>
      </c>
      <c r="B427">
        <v>213</v>
      </c>
      <c r="C427" t="s">
        <v>2504</v>
      </c>
      <c r="D427">
        <v>1.6859999999999999</v>
      </c>
      <c r="E427" s="223" t="s">
        <v>2505</v>
      </c>
      <c r="F427" s="16">
        <v>43208</v>
      </c>
    </row>
    <row r="428" spans="1:6">
      <c r="A428" t="s">
        <v>816</v>
      </c>
      <c r="B428" t="s">
        <v>3435</v>
      </c>
      <c r="D428">
        <v>1.6720999999999999</v>
      </c>
      <c r="E428" s="254"/>
      <c r="F428" s="248">
        <v>43009</v>
      </c>
    </row>
    <row r="429" spans="1:6">
      <c r="A429" t="s">
        <v>814</v>
      </c>
      <c r="B429" t="s">
        <v>3407</v>
      </c>
      <c r="D429">
        <v>1.5642</v>
      </c>
      <c r="E429" s="254"/>
      <c r="F429" s="247"/>
    </row>
    <row r="430" spans="1:6">
      <c r="A430" t="s">
        <v>809</v>
      </c>
      <c r="B430" t="s">
        <v>3473</v>
      </c>
      <c r="D430">
        <v>1.8720000000000001</v>
      </c>
      <c r="E430" s="254"/>
      <c r="F430" s="248">
        <v>43009</v>
      </c>
    </row>
    <row r="431" spans="1:6">
      <c r="A431" t="s">
        <v>806</v>
      </c>
      <c r="B431">
        <v>210</v>
      </c>
      <c r="C431" t="s">
        <v>2504</v>
      </c>
      <c r="D431">
        <v>1.716</v>
      </c>
      <c r="E431" s="223" t="s">
        <v>2453</v>
      </c>
      <c r="F431" s="16">
        <v>43208</v>
      </c>
    </row>
    <row r="432" spans="1:6">
      <c r="A432" t="s">
        <v>804</v>
      </c>
      <c r="B432" t="s">
        <v>3491</v>
      </c>
      <c r="D432" s="247">
        <v>1.8893</v>
      </c>
      <c r="E432"/>
      <c r="F432" s="248">
        <v>43010</v>
      </c>
    </row>
    <row r="433" spans="1:11">
      <c r="A433" t="s">
        <v>803</v>
      </c>
      <c r="B433" t="s">
        <v>3461</v>
      </c>
      <c r="D433">
        <v>1.8117000000000001</v>
      </c>
      <c r="E433" s="254"/>
      <c r="F433" s="248">
        <v>43009</v>
      </c>
    </row>
    <row r="434" spans="1:11">
      <c r="A434" t="s">
        <v>796</v>
      </c>
      <c r="B434" t="s">
        <v>3451</v>
      </c>
      <c r="D434">
        <v>2.0409000000000002</v>
      </c>
      <c r="E434" s="254"/>
      <c r="F434" s="248">
        <v>43007</v>
      </c>
    </row>
    <row r="435" spans="1:11">
      <c r="A435" t="s">
        <v>793</v>
      </c>
      <c r="B435" t="s">
        <v>3405</v>
      </c>
      <c r="D435">
        <v>1.7168000000000001</v>
      </c>
      <c r="E435" s="254" t="s">
        <v>3406</v>
      </c>
      <c r="F435" s="247"/>
    </row>
    <row r="436" spans="1:11">
      <c r="A436" t="s">
        <v>791</v>
      </c>
      <c r="B436" t="s">
        <v>3490</v>
      </c>
      <c r="D436" s="247">
        <v>1.9824999999999999</v>
      </c>
      <c r="E436"/>
      <c r="F436" s="248">
        <v>43010</v>
      </c>
    </row>
    <row r="437" spans="1:11">
      <c r="A437" t="s">
        <v>789</v>
      </c>
      <c r="B437">
        <v>198</v>
      </c>
      <c r="C437" t="s">
        <v>2504</v>
      </c>
      <c r="D437">
        <v>1.615</v>
      </c>
      <c r="E437" s="223" t="s">
        <v>2453</v>
      </c>
      <c r="F437" s="16">
        <v>43208</v>
      </c>
    </row>
    <row r="438" spans="1:11">
      <c r="A438" t="s">
        <v>784</v>
      </c>
      <c r="B438" t="s">
        <v>3469</v>
      </c>
      <c r="E438" s="254" t="s">
        <v>3471</v>
      </c>
      <c r="F438" s="248">
        <v>43009</v>
      </c>
    </row>
    <row r="439" spans="1:11">
      <c r="A439" t="s">
        <v>1105</v>
      </c>
      <c r="B439">
        <v>201</v>
      </c>
      <c r="C439" t="s">
        <v>2504</v>
      </c>
      <c r="D439">
        <v>1.968</v>
      </c>
      <c r="E439" s="223" t="s">
        <v>2509</v>
      </c>
      <c r="F439" s="16">
        <v>43208</v>
      </c>
    </row>
    <row r="440" spans="1:11">
      <c r="A440" t="s">
        <v>780</v>
      </c>
      <c r="B440" t="s">
        <v>3446</v>
      </c>
      <c r="D440">
        <v>2.0156999999999998</v>
      </c>
      <c r="E440" s="254"/>
      <c r="F440" s="248">
        <v>43007</v>
      </c>
    </row>
    <row r="441" spans="1:11">
      <c r="A441" t="s">
        <v>777</v>
      </c>
      <c r="B441" t="s">
        <v>3633</v>
      </c>
      <c r="D441" s="255">
        <v>1.9188000000000001</v>
      </c>
      <c r="E441" t="s">
        <v>2119</v>
      </c>
      <c r="F441" s="248">
        <v>43337</v>
      </c>
      <c r="K441" s="256"/>
    </row>
    <row r="442" spans="1:11">
      <c r="A442" t="s">
        <v>776</v>
      </c>
      <c r="B442" t="s">
        <v>3484</v>
      </c>
      <c r="D442">
        <v>1.9468000000000001</v>
      </c>
      <c r="E442" s="254"/>
      <c r="F442" s="248">
        <v>43010</v>
      </c>
    </row>
    <row r="443" spans="1:11">
      <c r="A443" t="s">
        <v>775</v>
      </c>
      <c r="B443" t="s">
        <v>3587</v>
      </c>
      <c r="D443" s="255">
        <v>1.9832000000000001</v>
      </c>
      <c r="E443" t="s">
        <v>2119</v>
      </c>
      <c r="F443" s="248">
        <v>43334</v>
      </c>
    </row>
    <row r="444" spans="1:11">
      <c r="A444" t="s">
        <v>774</v>
      </c>
      <c r="B444" t="s">
        <v>3499</v>
      </c>
      <c r="D444" s="247">
        <v>1.8496999999999999</v>
      </c>
      <c r="E444"/>
      <c r="F444" s="248">
        <v>43010</v>
      </c>
    </row>
    <row r="445" spans="1:11">
      <c r="A445" t="s">
        <v>768</v>
      </c>
      <c r="B445" t="s">
        <v>3604</v>
      </c>
      <c r="D445" s="255">
        <v>1.5419</v>
      </c>
      <c r="E445"/>
      <c r="F445" s="248">
        <v>43334</v>
      </c>
    </row>
    <row r="446" spans="1:11">
      <c r="A446" t="s">
        <v>764</v>
      </c>
      <c r="B446" t="s">
        <v>3638</v>
      </c>
      <c r="D446" s="255">
        <v>1.9925999999999999</v>
      </c>
      <c r="E446"/>
      <c r="F446" s="248">
        <v>43338</v>
      </c>
    </row>
    <row r="447" spans="1:11">
      <c r="A447" t="s">
        <v>762</v>
      </c>
      <c r="B447">
        <v>216</v>
      </c>
      <c r="C447" t="s">
        <v>2504</v>
      </c>
      <c r="D447">
        <v>1.736</v>
      </c>
      <c r="E447" s="223" t="s">
        <v>2453</v>
      </c>
      <c r="F447" s="16">
        <v>43208</v>
      </c>
    </row>
    <row r="448" spans="1:11">
      <c r="A448" t="s">
        <v>753</v>
      </c>
      <c r="B448" t="s">
        <v>3507</v>
      </c>
      <c r="D448" s="247">
        <v>1.4536</v>
      </c>
      <c r="E448"/>
      <c r="F448" s="248">
        <v>43008</v>
      </c>
    </row>
    <row r="449" spans="1:6">
      <c r="A449" t="s">
        <v>752</v>
      </c>
      <c r="B449">
        <v>195</v>
      </c>
      <c r="C449" t="s">
        <v>2504</v>
      </c>
      <c r="D449">
        <v>0.78200000000000003</v>
      </c>
      <c r="E449" s="223" t="s">
        <v>2455</v>
      </c>
      <c r="F449" s="16">
        <v>43208</v>
      </c>
    </row>
    <row r="450" spans="1:6">
      <c r="A450" t="s">
        <v>747</v>
      </c>
      <c r="B450" t="s">
        <v>3588</v>
      </c>
      <c r="D450" s="255">
        <v>1.9392</v>
      </c>
      <c r="E450" t="s">
        <v>2119</v>
      </c>
      <c r="F450" s="248">
        <v>43334</v>
      </c>
    </row>
    <row r="451" spans="1:6">
      <c r="A451" t="s">
        <v>744</v>
      </c>
      <c r="B451" t="s">
        <v>3467</v>
      </c>
      <c r="D451">
        <v>1.7444999999999999</v>
      </c>
      <c r="E451" s="254" t="s">
        <v>3463</v>
      </c>
      <c r="F451" s="248">
        <v>43009</v>
      </c>
    </row>
    <row r="452" spans="1:6">
      <c r="A452" t="s">
        <v>740</v>
      </c>
      <c r="B452" t="s">
        <v>3490</v>
      </c>
      <c r="D452" s="247">
        <v>1.7884</v>
      </c>
      <c r="E452"/>
      <c r="F452" s="248">
        <v>43010</v>
      </c>
    </row>
    <row r="453" spans="1:6">
      <c r="A453" t="s">
        <v>739</v>
      </c>
      <c r="B453" t="s">
        <v>3575</v>
      </c>
      <c r="D453" s="255">
        <v>1.9192</v>
      </c>
      <c r="E453"/>
      <c r="F453" s="248">
        <v>43333</v>
      </c>
    </row>
    <row r="454" spans="1:6">
      <c r="A454" t="s">
        <v>734</v>
      </c>
      <c r="B454" t="s">
        <v>3443</v>
      </c>
      <c r="D454">
        <v>2.0062000000000002</v>
      </c>
      <c r="E454" s="254"/>
      <c r="F454" s="248">
        <v>43007</v>
      </c>
    </row>
    <row r="455" spans="1:6">
      <c r="A455" t="s">
        <v>725</v>
      </c>
      <c r="B455" t="s">
        <v>3598</v>
      </c>
      <c r="D455" s="255">
        <v>2.0192999999999999</v>
      </c>
      <c r="E455"/>
      <c r="F455" s="248">
        <v>43334</v>
      </c>
    </row>
    <row r="456" spans="1:6">
      <c r="A456" t="s">
        <v>719</v>
      </c>
      <c r="B456" t="s">
        <v>3496</v>
      </c>
      <c r="D456" s="247">
        <v>1.9601999999999999</v>
      </c>
      <c r="E456"/>
      <c r="F456" s="248">
        <v>43010</v>
      </c>
    </row>
    <row r="457" spans="1:6">
      <c r="A457" t="s">
        <v>716</v>
      </c>
      <c r="B457" t="s">
        <v>3425</v>
      </c>
      <c r="D457">
        <v>1.8856999999999999</v>
      </c>
      <c r="E457" s="254"/>
      <c r="F457" s="248">
        <v>43009</v>
      </c>
    </row>
    <row r="458" spans="1:6">
      <c r="A458" t="s">
        <v>1098</v>
      </c>
      <c r="B458" t="s">
        <v>3438</v>
      </c>
      <c r="D458">
        <v>2.0165999999999999</v>
      </c>
      <c r="E458" s="254"/>
      <c r="F458" s="248">
        <v>43007</v>
      </c>
    </row>
    <row r="459" spans="1:6">
      <c r="A459" t="s">
        <v>698</v>
      </c>
      <c r="B459" t="s">
        <v>3617</v>
      </c>
      <c r="D459" s="255">
        <v>1.5766</v>
      </c>
      <c r="E459"/>
      <c r="F459" s="248">
        <v>43334</v>
      </c>
    </row>
    <row r="460" spans="1:6">
      <c r="A460" t="s">
        <v>686</v>
      </c>
      <c r="B460">
        <v>196</v>
      </c>
      <c r="C460" t="s">
        <v>2504</v>
      </c>
      <c r="D460">
        <v>0.19900000000000001</v>
      </c>
      <c r="E460" s="223" t="s">
        <v>2455</v>
      </c>
      <c r="F460" s="16">
        <v>43208</v>
      </c>
    </row>
    <row r="461" spans="1:6">
      <c r="A461" t="s">
        <v>650</v>
      </c>
      <c r="B461" t="s">
        <v>3426</v>
      </c>
      <c r="D461">
        <v>2.0198</v>
      </c>
      <c r="E461" s="254"/>
      <c r="F461" s="248">
        <v>43009</v>
      </c>
    </row>
    <row r="462" spans="1:6">
      <c r="A462" t="s">
        <v>648</v>
      </c>
      <c r="B462" t="s">
        <v>3595</v>
      </c>
      <c r="D462" s="255">
        <v>1.8869</v>
      </c>
      <c r="E462"/>
      <c r="F462" s="248">
        <v>43334</v>
      </c>
    </row>
    <row r="463" spans="1:6">
      <c r="A463" t="s">
        <v>1136</v>
      </c>
      <c r="D463">
        <v>0.32769999999999999</v>
      </c>
      <c r="E463" s="247" t="s">
        <v>3411</v>
      </c>
      <c r="F463" s="247"/>
    </row>
    <row r="464" spans="1:6">
      <c r="A464" t="s">
        <v>627</v>
      </c>
      <c r="B464" t="s">
        <v>3436</v>
      </c>
      <c r="D464">
        <v>1.8293999999999999</v>
      </c>
      <c r="E464" s="254"/>
      <c r="F464" s="248">
        <v>43009</v>
      </c>
    </row>
    <row r="465" spans="1:6">
      <c r="A465" t="s">
        <v>625</v>
      </c>
      <c r="B465">
        <v>208</v>
      </c>
      <c r="C465" t="s">
        <v>2504</v>
      </c>
      <c r="D465">
        <v>1.7749999999999999</v>
      </c>
      <c r="E465" s="223" t="s">
        <v>2454</v>
      </c>
      <c r="F465" s="16">
        <v>43208</v>
      </c>
    </row>
    <row r="466" spans="1:6">
      <c r="A466" t="s">
        <v>1089</v>
      </c>
      <c r="B466" t="s">
        <v>3473</v>
      </c>
      <c r="E466" s="254" t="s">
        <v>3474</v>
      </c>
      <c r="F466" s="248">
        <v>43009</v>
      </c>
    </row>
    <row r="467" spans="1:6">
      <c r="A467" t="s">
        <v>590</v>
      </c>
      <c r="B467">
        <v>207</v>
      </c>
      <c r="C467" t="s">
        <v>2504</v>
      </c>
      <c r="D467">
        <v>8.3109999999999999</v>
      </c>
      <c r="E467" s="223" t="s">
        <v>2452</v>
      </c>
      <c r="F467" s="16">
        <v>43208</v>
      </c>
    </row>
    <row r="468" spans="1:6">
      <c r="A468" t="s">
        <v>555</v>
      </c>
      <c r="B468" t="s">
        <v>3423</v>
      </c>
      <c r="D468">
        <v>2.2069000000000001</v>
      </c>
      <c r="E468" s="254"/>
      <c r="F468" s="248">
        <v>43008</v>
      </c>
    </row>
    <row r="469" spans="1:6">
      <c r="A469" t="s">
        <v>542</v>
      </c>
      <c r="B469">
        <v>210</v>
      </c>
      <c r="C469" t="s">
        <v>2504</v>
      </c>
      <c r="D469">
        <v>1.742</v>
      </c>
      <c r="E469" s="223" t="s">
        <v>2453</v>
      </c>
      <c r="F469" s="16">
        <v>43208</v>
      </c>
    </row>
    <row r="470" spans="1:6">
      <c r="A470" t="s">
        <v>3898</v>
      </c>
      <c r="B470" t="s">
        <v>3624</v>
      </c>
      <c r="D470" s="255">
        <v>1.9592000000000001</v>
      </c>
      <c r="E470"/>
      <c r="F470" s="248">
        <v>43337</v>
      </c>
    </row>
    <row r="471" spans="1:6">
      <c r="A471" t="s">
        <v>537</v>
      </c>
      <c r="B471" t="s">
        <v>3449</v>
      </c>
      <c r="D471">
        <v>1.9849000000000001</v>
      </c>
      <c r="E471" s="254" t="s">
        <v>3406</v>
      </c>
      <c r="F471" s="248">
        <v>43007</v>
      </c>
    </row>
    <row r="472" spans="1:6">
      <c r="A472" t="s">
        <v>536</v>
      </c>
      <c r="B472" t="s">
        <v>3478</v>
      </c>
      <c r="D472">
        <v>1.9094</v>
      </c>
      <c r="E472" s="254"/>
      <c r="F472" s="248">
        <v>43007</v>
      </c>
    </row>
    <row r="473" spans="1:6">
      <c r="A473" t="s">
        <v>535</v>
      </c>
      <c r="B473">
        <v>207</v>
      </c>
      <c r="C473" t="s">
        <v>2504</v>
      </c>
      <c r="D473">
        <v>1.615</v>
      </c>
      <c r="E473" s="223" t="s">
        <v>2452</v>
      </c>
      <c r="F473" s="16">
        <v>43208</v>
      </c>
    </row>
    <row r="474" spans="1:6">
      <c r="A474" t="s">
        <v>534</v>
      </c>
      <c r="B474" t="s">
        <v>3467</v>
      </c>
      <c r="D474">
        <v>1.8051999999999999</v>
      </c>
      <c r="E474" s="254"/>
      <c r="F474" s="248">
        <v>43009</v>
      </c>
    </row>
    <row r="475" spans="1:6">
      <c r="A475" t="s">
        <v>533</v>
      </c>
      <c r="B475" t="s">
        <v>3589</v>
      </c>
      <c r="D475" s="255">
        <v>1.9615</v>
      </c>
      <c r="E475" t="s">
        <v>2119</v>
      </c>
      <c r="F475" s="248">
        <v>43334</v>
      </c>
    </row>
    <row r="476" spans="1:6">
      <c r="A476" t="s">
        <v>531</v>
      </c>
      <c r="B476" t="s">
        <v>3400</v>
      </c>
      <c r="D476">
        <v>1.6455</v>
      </c>
      <c r="E476" s="254"/>
      <c r="F476" s="247"/>
    </row>
    <row r="477" spans="1:6">
      <c r="A477" t="s">
        <v>530</v>
      </c>
      <c r="B477" t="s">
        <v>3500</v>
      </c>
      <c r="D477" s="247">
        <v>1.9753000000000001</v>
      </c>
      <c r="E477"/>
      <c r="F477" s="248">
        <v>43010</v>
      </c>
    </row>
    <row r="478" spans="1:6">
      <c r="A478" t="s">
        <v>1080</v>
      </c>
      <c r="B478" t="s">
        <v>3593</v>
      </c>
      <c r="D478" s="255">
        <v>1.9782999999999999</v>
      </c>
      <c r="E478"/>
      <c r="F478" s="248">
        <v>43334</v>
      </c>
    </row>
    <row r="479" spans="1:6">
      <c r="A479" t="s">
        <v>529</v>
      </c>
      <c r="B479" t="s">
        <v>3634</v>
      </c>
      <c r="D479" s="255">
        <v>1.9097999999999999</v>
      </c>
      <c r="E479" t="s">
        <v>2119</v>
      </c>
      <c r="F479" s="248">
        <v>43337</v>
      </c>
    </row>
    <row r="480" spans="1:6">
      <c r="A480" t="s">
        <v>528</v>
      </c>
      <c r="B480">
        <v>194</v>
      </c>
      <c r="C480" t="s">
        <v>2504</v>
      </c>
      <c r="D480">
        <v>1.593</v>
      </c>
      <c r="E480" s="223" t="s">
        <v>2505</v>
      </c>
      <c r="F480" s="16">
        <v>43208</v>
      </c>
    </row>
    <row r="481" spans="1:6">
      <c r="A481" t="s">
        <v>527</v>
      </c>
      <c r="B481" t="s">
        <v>3464</v>
      </c>
      <c r="E481" s="254" t="s">
        <v>3465</v>
      </c>
      <c r="F481" s="248">
        <v>43009</v>
      </c>
    </row>
    <row r="482" spans="1:6">
      <c r="A482" t="s">
        <v>526</v>
      </c>
      <c r="B482" t="s">
        <v>3468</v>
      </c>
      <c r="D482">
        <v>1.7827</v>
      </c>
      <c r="E482" s="254"/>
      <c r="F482" s="248">
        <v>43009</v>
      </c>
    </row>
    <row r="483" spans="1:6">
      <c r="A483" t="s">
        <v>525</v>
      </c>
      <c r="B483" t="s">
        <v>3630</v>
      </c>
      <c r="D483" s="255">
        <v>1.9262999999999999</v>
      </c>
      <c r="E483" t="s">
        <v>2119</v>
      </c>
      <c r="F483" s="248">
        <v>43337</v>
      </c>
    </row>
    <row r="484" spans="1:6">
      <c r="A484" t="s">
        <v>524</v>
      </c>
      <c r="B484" t="s">
        <v>3456</v>
      </c>
      <c r="D484">
        <v>1.4872000000000001</v>
      </c>
      <c r="E484" s="254" t="s">
        <v>3457</v>
      </c>
      <c r="F484" s="248">
        <v>43009</v>
      </c>
    </row>
    <row r="485" spans="1:6">
      <c r="A485" t="s">
        <v>523</v>
      </c>
      <c r="B485" t="s">
        <v>3452</v>
      </c>
      <c r="D485">
        <v>1.9423999999999999</v>
      </c>
      <c r="E485" s="254"/>
      <c r="F485" s="248">
        <v>43007</v>
      </c>
    </row>
    <row r="486" spans="1:6">
      <c r="A486" t="s">
        <v>522</v>
      </c>
      <c r="B486" t="s">
        <v>3491</v>
      </c>
      <c r="D486" s="247">
        <v>1.8621000000000001</v>
      </c>
      <c r="E486"/>
      <c r="F486" s="248">
        <v>43010</v>
      </c>
    </row>
    <row r="487" spans="1:6">
      <c r="A487" t="s">
        <v>521</v>
      </c>
      <c r="B487" t="s">
        <v>3567</v>
      </c>
      <c r="D487" s="255">
        <v>1.9595</v>
      </c>
      <c r="E487"/>
      <c r="F487" s="248">
        <v>43333</v>
      </c>
    </row>
    <row r="488" spans="1:6">
      <c r="A488" t="s">
        <v>520</v>
      </c>
      <c r="B488" t="s">
        <v>3632</v>
      </c>
      <c r="D488" s="255">
        <v>1.9713000000000001</v>
      </c>
      <c r="E488"/>
      <c r="F488" s="248">
        <v>43337</v>
      </c>
    </row>
    <row r="489" spans="1:6">
      <c r="A489" t="s">
        <v>519</v>
      </c>
      <c r="B489" t="s">
        <v>3645</v>
      </c>
      <c r="D489" s="255">
        <v>2.0047999999999999</v>
      </c>
      <c r="E489"/>
      <c r="F489" s="248">
        <v>43338</v>
      </c>
    </row>
    <row r="490" spans="1:6">
      <c r="A490" t="s">
        <v>518</v>
      </c>
      <c r="B490" t="s">
        <v>3390</v>
      </c>
      <c r="D490">
        <v>1.6888000000000001</v>
      </c>
      <c r="F490" s="247"/>
    </row>
    <row r="491" spans="1:6">
      <c r="A491" t="s">
        <v>517</v>
      </c>
      <c r="B491">
        <v>216</v>
      </c>
      <c r="C491" t="s">
        <v>2504</v>
      </c>
      <c r="D491">
        <v>1.6419999999999999</v>
      </c>
      <c r="E491" s="223" t="s">
        <v>2505</v>
      </c>
      <c r="F491" s="16">
        <v>43208</v>
      </c>
    </row>
    <row r="492" spans="1:6">
      <c r="A492" t="s">
        <v>516</v>
      </c>
      <c r="B492">
        <v>193</v>
      </c>
      <c r="C492" t="s">
        <v>2504</v>
      </c>
      <c r="D492">
        <v>1.397</v>
      </c>
      <c r="E492" s="223" t="s">
        <v>2454</v>
      </c>
      <c r="F492" s="16">
        <v>43208</v>
      </c>
    </row>
    <row r="493" spans="1:6">
      <c r="A493" t="s">
        <v>515</v>
      </c>
      <c r="B493" t="s">
        <v>3485</v>
      </c>
      <c r="E493" s="254" t="s">
        <v>3479</v>
      </c>
      <c r="F493" s="248">
        <v>43010</v>
      </c>
    </row>
    <row r="494" spans="1:6">
      <c r="A494" t="s">
        <v>514</v>
      </c>
      <c r="B494">
        <v>208</v>
      </c>
      <c r="C494" t="s">
        <v>2504</v>
      </c>
      <c r="D494">
        <v>1.6539999999999999</v>
      </c>
      <c r="E494" s="223" t="s">
        <v>2454</v>
      </c>
      <c r="F494" s="16">
        <v>43208</v>
      </c>
    </row>
    <row r="495" spans="1:6">
      <c r="A495" t="s">
        <v>512</v>
      </c>
      <c r="B495" t="s">
        <v>3392</v>
      </c>
      <c r="D495">
        <v>1.7356</v>
      </c>
      <c r="E495" s="254" t="s">
        <v>3393</v>
      </c>
      <c r="F495" s="247"/>
    </row>
    <row r="496" spans="1:6">
      <c r="A496" t="s">
        <v>511</v>
      </c>
      <c r="B496" t="s">
        <v>3427</v>
      </c>
      <c r="D496">
        <v>1.7652000000000001</v>
      </c>
      <c r="E496" s="254" t="s">
        <v>3393</v>
      </c>
      <c r="F496" s="248">
        <v>43008</v>
      </c>
    </row>
    <row r="497" spans="1:6">
      <c r="A497" t="s">
        <v>510</v>
      </c>
      <c r="B497" t="s">
        <v>3414</v>
      </c>
      <c r="D497">
        <v>1.8498000000000001</v>
      </c>
      <c r="E497" s="254"/>
      <c r="F497" s="248">
        <v>43009</v>
      </c>
    </row>
    <row r="498" spans="1:6">
      <c r="A498" t="s">
        <v>507</v>
      </c>
      <c r="B498" t="s">
        <v>3453</v>
      </c>
      <c r="D498">
        <v>1.9161999999999999</v>
      </c>
      <c r="E498" s="254"/>
      <c r="F498" s="248">
        <v>43007</v>
      </c>
    </row>
    <row r="499" spans="1:6">
      <c r="A499" t="s">
        <v>506</v>
      </c>
      <c r="B499" t="s">
        <v>3422</v>
      </c>
      <c r="D499">
        <v>1.6096999999999999</v>
      </c>
      <c r="E499" s="254"/>
      <c r="F499" s="248">
        <v>43009</v>
      </c>
    </row>
    <row r="500" spans="1:6">
      <c r="A500" t="s">
        <v>505</v>
      </c>
      <c r="B500" t="s">
        <v>3596</v>
      </c>
      <c r="D500" s="255">
        <v>1.9177</v>
      </c>
      <c r="E500"/>
      <c r="F500" s="248">
        <v>43334</v>
      </c>
    </row>
    <row r="501" spans="1:6">
      <c r="A501" t="s">
        <v>504</v>
      </c>
      <c r="B501" t="s">
        <v>3492</v>
      </c>
      <c r="D501" s="247">
        <v>1.9524999999999999</v>
      </c>
      <c r="E501"/>
      <c r="F501" s="248">
        <v>43010</v>
      </c>
    </row>
    <row r="502" spans="1:6">
      <c r="A502" t="s">
        <v>503</v>
      </c>
      <c r="B502" t="s">
        <v>3395</v>
      </c>
      <c r="D502">
        <v>1.8521000000000001</v>
      </c>
      <c r="E502" s="254"/>
      <c r="F502" s="248">
        <v>43008</v>
      </c>
    </row>
    <row r="503" spans="1:6">
      <c r="A503" t="s">
        <v>502</v>
      </c>
      <c r="B503" t="s">
        <v>3405</v>
      </c>
      <c r="D503">
        <v>1.6534</v>
      </c>
      <c r="E503" s="254"/>
      <c r="F503" s="247"/>
    </row>
    <row r="504" spans="1:6">
      <c r="A504" t="s">
        <v>501</v>
      </c>
      <c r="B504" t="s">
        <v>3511</v>
      </c>
      <c r="D504" s="247">
        <v>1.5814999999999999</v>
      </c>
      <c r="E504"/>
      <c r="F504" s="248">
        <v>43008</v>
      </c>
    </row>
    <row r="505" spans="1:6">
      <c r="A505" t="s">
        <v>500</v>
      </c>
      <c r="B505">
        <v>218</v>
      </c>
      <c r="C505" t="s">
        <v>2504</v>
      </c>
      <c r="D505">
        <v>1.6519999999999999</v>
      </c>
      <c r="E505" s="223" t="s">
        <v>2509</v>
      </c>
      <c r="F505" s="16">
        <v>43208</v>
      </c>
    </row>
    <row r="506" spans="1:6">
      <c r="A506" t="s">
        <v>499</v>
      </c>
      <c r="B506" t="s">
        <v>3426</v>
      </c>
      <c r="D506">
        <v>1.6580999999999999</v>
      </c>
      <c r="E506" s="254"/>
      <c r="F506" s="248">
        <v>43009</v>
      </c>
    </row>
    <row r="507" spans="1:6">
      <c r="A507" t="s">
        <v>498</v>
      </c>
      <c r="B507" t="s">
        <v>3614</v>
      </c>
      <c r="D507" s="255">
        <v>1.9777</v>
      </c>
      <c r="E507"/>
      <c r="F507" s="248">
        <v>43334</v>
      </c>
    </row>
    <row r="508" spans="1:6">
      <c r="A508" t="s">
        <v>497</v>
      </c>
      <c r="B508" t="s">
        <v>3449</v>
      </c>
      <c r="D508">
        <v>1.9686999999999999</v>
      </c>
      <c r="E508" s="254"/>
      <c r="F508" s="248">
        <v>43007</v>
      </c>
    </row>
    <row r="509" spans="1:6">
      <c r="A509" t="s">
        <v>494</v>
      </c>
      <c r="B509">
        <v>195</v>
      </c>
      <c r="C509" t="s">
        <v>2504</v>
      </c>
      <c r="D509">
        <v>1.7509999999999999</v>
      </c>
      <c r="E509" s="223" t="s">
        <v>2115</v>
      </c>
      <c r="F509" s="16">
        <v>43208</v>
      </c>
    </row>
    <row r="510" spans="1:6">
      <c r="A510" t="s">
        <v>493</v>
      </c>
      <c r="B510" t="s">
        <v>3477</v>
      </c>
      <c r="D510">
        <v>1.8704000000000001</v>
      </c>
      <c r="E510" s="254"/>
      <c r="F510" s="248">
        <v>43007</v>
      </c>
    </row>
    <row r="511" spans="1:6">
      <c r="A511" t="s">
        <v>492</v>
      </c>
      <c r="B511" t="s">
        <v>3403</v>
      </c>
      <c r="D511">
        <v>1.6881999999999999</v>
      </c>
      <c r="E511" s="254"/>
      <c r="F511" s="247"/>
    </row>
    <row r="512" spans="1:6">
      <c r="A512" t="s">
        <v>491</v>
      </c>
      <c r="B512" t="s">
        <v>3599</v>
      </c>
      <c r="D512" s="255">
        <v>1.9649000000000001</v>
      </c>
      <c r="E512" t="s">
        <v>2119</v>
      </c>
      <c r="F512" s="248">
        <v>43334</v>
      </c>
    </row>
    <row r="513" spans="1:6">
      <c r="A513" t="s">
        <v>490</v>
      </c>
      <c r="B513" t="s">
        <v>3483</v>
      </c>
      <c r="D513">
        <v>1.7554000000000001</v>
      </c>
      <c r="E513" s="254" t="s">
        <v>3406</v>
      </c>
      <c r="F513" s="248">
        <v>43008</v>
      </c>
    </row>
    <row r="514" spans="1:6">
      <c r="A514" t="s">
        <v>489</v>
      </c>
      <c r="B514" t="s">
        <v>3455</v>
      </c>
      <c r="D514">
        <v>1.9756</v>
      </c>
      <c r="E514" s="254"/>
      <c r="F514" s="248">
        <v>43007</v>
      </c>
    </row>
    <row r="515" spans="1:6">
      <c r="A515" t="s">
        <v>488</v>
      </c>
      <c r="B515" t="s">
        <v>3487</v>
      </c>
      <c r="D515">
        <v>2.0049000000000001</v>
      </c>
      <c r="E515" s="254"/>
      <c r="F515" s="248">
        <v>43010</v>
      </c>
    </row>
    <row r="516" spans="1:6">
      <c r="A516" t="s">
        <v>487</v>
      </c>
      <c r="B516" t="s">
        <v>3441</v>
      </c>
      <c r="D516">
        <v>1.9245000000000001</v>
      </c>
      <c r="E516" s="254"/>
      <c r="F516" s="248">
        <v>43007</v>
      </c>
    </row>
    <row r="517" spans="1:6">
      <c r="A517" t="s">
        <v>486</v>
      </c>
      <c r="B517">
        <v>194</v>
      </c>
      <c r="C517" t="s">
        <v>2504</v>
      </c>
      <c r="D517">
        <v>1.613</v>
      </c>
      <c r="E517" s="223" t="s">
        <v>2506</v>
      </c>
      <c r="F517" s="16">
        <v>43208</v>
      </c>
    </row>
    <row r="518" spans="1:6">
      <c r="A518" t="s">
        <v>484</v>
      </c>
      <c r="B518" t="s">
        <v>3422</v>
      </c>
      <c r="D518">
        <v>3.7545000000000002</v>
      </c>
      <c r="E518" s="254" t="s">
        <v>2511</v>
      </c>
      <c r="F518" s="248">
        <v>43009</v>
      </c>
    </row>
    <row r="519" spans="1:6">
      <c r="A519" t="s">
        <v>482</v>
      </c>
      <c r="B519" t="s">
        <v>3643</v>
      </c>
      <c r="D519" s="255">
        <v>2.0581999999999998</v>
      </c>
      <c r="E519"/>
      <c r="F519" s="248">
        <v>43338</v>
      </c>
    </row>
    <row r="520" spans="1:6">
      <c r="A520" t="s">
        <v>481</v>
      </c>
      <c r="B520">
        <v>212</v>
      </c>
      <c r="C520" t="s">
        <v>2504</v>
      </c>
      <c r="D520">
        <v>1.655</v>
      </c>
      <c r="E520" s="223" t="s">
        <v>2509</v>
      </c>
      <c r="F520" s="16">
        <v>43208</v>
      </c>
    </row>
    <row r="521" spans="1:6">
      <c r="A521" t="s">
        <v>480</v>
      </c>
      <c r="B521" t="s">
        <v>3636</v>
      </c>
      <c r="D521" s="255">
        <v>2.0495999999999999</v>
      </c>
      <c r="E521"/>
      <c r="F521" s="248">
        <v>43337</v>
      </c>
    </row>
    <row r="522" spans="1:6">
      <c r="A522" t="s">
        <v>1075</v>
      </c>
      <c r="B522" t="s">
        <v>3502</v>
      </c>
      <c r="D522" s="247">
        <v>1.7972999999999999</v>
      </c>
      <c r="E522"/>
      <c r="F522" s="248">
        <v>43010</v>
      </c>
    </row>
    <row r="523" spans="1:6">
      <c r="A523" t="s">
        <v>479</v>
      </c>
      <c r="B523" t="s">
        <v>3442</v>
      </c>
      <c r="D523">
        <v>2.0331000000000001</v>
      </c>
      <c r="E523" s="254"/>
      <c r="F523" s="248">
        <v>43007</v>
      </c>
    </row>
    <row r="524" spans="1:6">
      <c r="A524" t="s">
        <v>478</v>
      </c>
      <c r="B524" t="s">
        <v>3447</v>
      </c>
      <c r="D524">
        <v>1.837</v>
      </c>
      <c r="E524" s="254" t="s">
        <v>3393</v>
      </c>
      <c r="F524" s="248">
        <v>43007</v>
      </c>
    </row>
    <row r="525" spans="1:6">
      <c r="A525" t="s">
        <v>476</v>
      </c>
      <c r="B525">
        <v>214</v>
      </c>
      <c r="C525" t="s">
        <v>2504</v>
      </c>
      <c r="D525">
        <v>1.6679999999999999</v>
      </c>
      <c r="E525" s="223" t="s">
        <v>2508</v>
      </c>
      <c r="F525" s="16">
        <v>43208</v>
      </c>
    </row>
    <row r="526" spans="1:6">
      <c r="A526" t="s">
        <v>475</v>
      </c>
      <c r="B526" t="s">
        <v>3489</v>
      </c>
      <c r="D526" s="247">
        <v>1.8895999999999999</v>
      </c>
      <c r="E526"/>
      <c r="F526" s="248">
        <v>43010</v>
      </c>
    </row>
    <row r="527" spans="1:6">
      <c r="A527" t="s">
        <v>474</v>
      </c>
      <c r="B527">
        <v>201</v>
      </c>
      <c r="C527" t="s">
        <v>2504</v>
      </c>
      <c r="D527">
        <v>1.7869999999999999</v>
      </c>
      <c r="E527" s="223" t="s">
        <v>2509</v>
      </c>
      <c r="F527" s="16">
        <v>43208</v>
      </c>
    </row>
    <row r="528" spans="1:6">
      <c r="A528" t="s">
        <v>472</v>
      </c>
      <c r="B528" t="s">
        <v>3451</v>
      </c>
      <c r="D528">
        <v>2.0158999999999998</v>
      </c>
      <c r="E528" s="254"/>
      <c r="F528" s="248">
        <v>43007</v>
      </c>
    </row>
    <row r="529" spans="1:6">
      <c r="A529" t="s">
        <v>470</v>
      </c>
      <c r="B529" t="s">
        <v>3435</v>
      </c>
      <c r="D529">
        <v>1.6716</v>
      </c>
      <c r="E529" s="254"/>
      <c r="F529" s="248">
        <v>43009</v>
      </c>
    </row>
    <row r="530" spans="1:6">
      <c r="A530" t="s">
        <v>469</v>
      </c>
      <c r="B530">
        <v>211</v>
      </c>
      <c r="C530" t="s">
        <v>2504</v>
      </c>
      <c r="D530">
        <v>1.4770000000000001</v>
      </c>
      <c r="F530" s="16">
        <v>43208</v>
      </c>
    </row>
    <row r="531" spans="1:6">
      <c r="A531" t="s">
        <v>468</v>
      </c>
      <c r="B531" t="s">
        <v>3610</v>
      </c>
      <c r="D531" s="255">
        <v>1.6099000000000001</v>
      </c>
      <c r="E531"/>
      <c r="F531" s="248">
        <v>43334</v>
      </c>
    </row>
    <row r="532" spans="1:6">
      <c r="A532" t="s">
        <v>466</v>
      </c>
      <c r="B532" t="s">
        <v>3420</v>
      </c>
      <c r="D532">
        <v>1.1623000000000001</v>
      </c>
      <c r="E532" s="254" t="s">
        <v>2511</v>
      </c>
      <c r="F532" s="248">
        <v>43008</v>
      </c>
    </row>
    <row r="533" spans="1:6">
      <c r="A533" t="s">
        <v>465</v>
      </c>
      <c r="B533" t="s">
        <v>3459</v>
      </c>
      <c r="D533">
        <v>1.6498999999999999</v>
      </c>
      <c r="E533" s="254" t="s">
        <v>3460</v>
      </c>
      <c r="F533" s="248">
        <v>43009</v>
      </c>
    </row>
    <row r="534" spans="1:6">
      <c r="A534" t="s">
        <v>464</v>
      </c>
      <c r="B534" t="s">
        <v>3627</v>
      </c>
      <c r="D534" s="255">
        <v>2.0310000000000001</v>
      </c>
      <c r="E534" t="s">
        <v>3429</v>
      </c>
      <c r="F534" s="248">
        <v>43337</v>
      </c>
    </row>
    <row r="535" spans="1:6">
      <c r="A535" t="s">
        <v>463</v>
      </c>
      <c r="B535" t="s">
        <v>3399</v>
      </c>
      <c r="D535">
        <v>1.6712</v>
      </c>
      <c r="E535" s="254"/>
      <c r="F535" s="248"/>
    </row>
    <row r="536" spans="1:6">
      <c r="A536" t="s">
        <v>462</v>
      </c>
      <c r="B536">
        <v>214</v>
      </c>
      <c r="C536" t="s">
        <v>2504</v>
      </c>
      <c r="D536">
        <v>1.7569999999999999</v>
      </c>
      <c r="E536" s="223" t="s">
        <v>2508</v>
      </c>
      <c r="F536" s="16">
        <v>43208</v>
      </c>
    </row>
    <row r="537" spans="1:6">
      <c r="A537" t="s">
        <v>461</v>
      </c>
      <c r="B537" t="s">
        <v>3403</v>
      </c>
      <c r="D537">
        <v>1.6856</v>
      </c>
      <c r="E537" s="254"/>
      <c r="F537" s="247"/>
    </row>
    <row r="538" spans="1:6">
      <c r="A538" t="s">
        <v>460</v>
      </c>
      <c r="B538" t="s">
        <v>3415</v>
      </c>
      <c r="D538">
        <v>1.7021999999999999</v>
      </c>
      <c r="E538" s="254"/>
      <c r="F538" s="248">
        <v>43009</v>
      </c>
    </row>
    <row r="539" spans="1:6">
      <c r="A539" t="s">
        <v>459</v>
      </c>
      <c r="B539">
        <v>218</v>
      </c>
      <c r="C539" t="s">
        <v>2504</v>
      </c>
      <c r="D539">
        <v>0.17100000000000001</v>
      </c>
      <c r="E539" s="223" t="s">
        <v>2509</v>
      </c>
      <c r="F539" s="16">
        <v>43208</v>
      </c>
    </row>
    <row r="540" spans="1:6">
      <c r="A540" t="s">
        <v>458</v>
      </c>
      <c r="B540" t="s">
        <v>3579</v>
      </c>
      <c r="D540" s="255">
        <v>1.9663999999999999</v>
      </c>
      <c r="E540" t="s">
        <v>2115</v>
      </c>
      <c r="F540" s="248">
        <v>43333</v>
      </c>
    </row>
    <row r="541" spans="1:6">
      <c r="A541" t="s">
        <v>457</v>
      </c>
      <c r="B541" t="s">
        <v>3469</v>
      </c>
      <c r="D541">
        <v>1.7353000000000001</v>
      </c>
      <c r="E541" s="254" t="s">
        <v>3470</v>
      </c>
      <c r="F541" s="248">
        <v>43009</v>
      </c>
    </row>
    <row r="542" spans="1:6">
      <c r="A542" t="s">
        <v>455</v>
      </c>
      <c r="B542" t="s">
        <v>3466</v>
      </c>
      <c r="D542">
        <v>1.8154999999999999</v>
      </c>
      <c r="E542" s="254"/>
      <c r="F542" s="248">
        <v>43009</v>
      </c>
    </row>
    <row r="543" spans="1:6">
      <c r="A543" t="s">
        <v>454</v>
      </c>
      <c r="B543" t="s">
        <v>3390</v>
      </c>
      <c r="D543">
        <v>1.7919</v>
      </c>
      <c r="E543" s="223" t="s">
        <v>3391</v>
      </c>
      <c r="F543" s="247"/>
    </row>
    <row r="544" spans="1:6">
      <c r="A544" t="s">
        <v>453</v>
      </c>
      <c r="B544" t="s">
        <v>3404</v>
      </c>
      <c r="D544">
        <v>3.4599000000000002</v>
      </c>
      <c r="E544" s="254" t="s">
        <v>2511</v>
      </c>
      <c r="F544" s="247"/>
    </row>
    <row r="545" spans="1:6">
      <c r="A545" t="s">
        <v>450</v>
      </c>
      <c r="B545" t="s">
        <v>3577</v>
      </c>
      <c r="D545" s="255">
        <v>1.9226000000000001</v>
      </c>
      <c r="E545"/>
      <c r="F545" s="248">
        <v>43333</v>
      </c>
    </row>
    <row r="546" spans="1:6">
      <c r="A546" t="s">
        <v>448</v>
      </c>
      <c r="B546" t="s">
        <v>3568</v>
      </c>
      <c r="D546" s="255">
        <v>1.9609000000000001</v>
      </c>
      <c r="E546" t="s">
        <v>3569</v>
      </c>
      <c r="F546" s="248">
        <v>43333</v>
      </c>
    </row>
    <row r="547" spans="1:6">
      <c r="A547" t="s">
        <v>447</v>
      </c>
      <c r="B547">
        <v>197</v>
      </c>
      <c r="C547" t="s">
        <v>2504</v>
      </c>
      <c r="D547">
        <v>1.6160000000000001</v>
      </c>
      <c r="E547" s="223" t="s">
        <v>2452</v>
      </c>
      <c r="F547" s="16">
        <v>43208</v>
      </c>
    </row>
    <row r="548" spans="1:6">
      <c r="A548" t="s">
        <v>446</v>
      </c>
      <c r="B548" t="s">
        <v>3472</v>
      </c>
      <c r="D548">
        <v>1.919</v>
      </c>
      <c r="E548" s="254"/>
      <c r="F548" s="248">
        <v>43009</v>
      </c>
    </row>
    <row r="549" spans="1:6">
      <c r="A549" t="s">
        <v>445</v>
      </c>
      <c r="B549" t="s">
        <v>3462</v>
      </c>
      <c r="D549">
        <v>1.7605</v>
      </c>
      <c r="E549" s="254" t="s">
        <v>3463</v>
      </c>
      <c r="F549" s="248">
        <v>43009</v>
      </c>
    </row>
    <row r="550" spans="1:6">
      <c r="A550" t="s">
        <v>444</v>
      </c>
      <c r="B550">
        <v>193</v>
      </c>
      <c r="C550" t="s">
        <v>2504</v>
      </c>
      <c r="D550">
        <v>1.42</v>
      </c>
      <c r="E550" s="223" t="s">
        <v>2454</v>
      </c>
      <c r="F550" s="16">
        <v>43208</v>
      </c>
    </row>
    <row r="551" spans="1:6">
      <c r="A551" t="s">
        <v>443</v>
      </c>
      <c r="B551" t="s">
        <v>3638</v>
      </c>
      <c r="D551" s="255">
        <v>1.9605999999999999</v>
      </c>
      <c r="E551"/>
      <c r="F551" s="248">
        <v>43338</v>
      </c>
    </row>
    <row r="552" spans="1:6">
      <c r="A552" t="s">
        <v>442</v>
      </c>
      <c r="B552" t="s">
        <v>3468</v>
      </c>
      <c r="D552">
        <v>1.8089</v>
      </c>
      <c r="E552" s="254"/>
      <c r="F552" s="248">
        <v>43009</v>
      </c>
    </row>
    <row r="553" spans="1:6">
      <c r="A553" t="s">
        <v>441</v>
      </c>
      <c r="B553" t="s">
        <v>3640</v>
      </c>
      <c r="D553" s="255">
        <v>2.0065</v>
      </c>
      <c r="E553"/>
      <c r="F553" s="248">
        <v>43338</v>
      </c>
    </row>
    <row r="554" spans="1:6">
      <c r="A554" t="s">
        <v>440</v>
      </c>
      <c r="B554">
        <v>213</v>
      </c>
      <c r="C554" t="s">
        <v>2504</v>
      </c>
      <c r="D554">
        <v>1.748</v>
      </c>
      <c r="E554" s="223" t="s">
        <v>2505</v>
      </c>
      <c r="F554" s="16">
        <v>43208</v>
      </c>
    </row>
    <row r="555" spans="1:6">
      <c r="A555" t="s">
        <v>438</v>
      </c>
      <c r="B555" t="s">
        <v>3501</v>
      </c>
      <c r="D555" s="247">
        <v>1.8272999999999999</v>
      </c>
      <c r="E555"/>
      <c r="F555" s="248">
        <v>43010</v>
      </c>
    </row>
    <row r="556" spans="1:6">
      <c r="A556" t="s">
        <v>437</v>
      </c>
      <c r="B556" t="s">
        <v>3431</v>
      </c>
      <c r="D556">
        <v>1.7047000000000001</v>
      </c>
      <c r="E556" s="254"/>
      <c r="F556" s="248">
        <v>43009</v>
      </c>
    </row>
    <row r="557" spans="1:6">
      <c r="A557" t="s">
        <v>436</v>
      </c>
      <c r="B557" t="s">
        <v>3489</v>
      </c>
      <c r="D557" s="247">
        <v>1.9032</v>
      </c>
      <c r="E557"/>
      <c r="F557" s="248">
        <v>43010</v>
      </c>
    </row>
    <row r="558" spans="1:6">
      <c r="A558" t="s">
        <v>435</v>
      </c>
      <c r="B558" t="s">
        <v>3448</v>
      </c>
      <c r="D558">
        <v>1.9311</v>
      </c>
      <c r="E558" s="254"/>
      <c r="F558" s="248">
        <v>43007</v>
      </c>
    </row>
    <row r="559" spans="1:6">
      <c r="A559" t="s">
        <v>434</v>
      </c>
      <c r="B559" t="s">
        <v>3454</v>
      </c>
      <c r="D559">
        <v>2.0167999999999999</v>
      </c>
      <c r="E559" s="254"/>
      <c r="F559" s="248">
        <v>43007</v>
      </c>
    </row>
    <row r="560" spans="1:6">
      <c r="A560" t="s">
        <v>433</v>
      </c>
      <c r="B560" t="s">
        <v>3428</v>
      </c>
      <c r="D560">
        <v>1.5846</v>
      </c>
      <c r="E560" s="254"/>
      <c r="F560" s="248">
        <v>43008</v>
      </c>
    </row>
    <row r="561" spans="1:11">
      <c r="A561" t="s">
        <v>432</v>
      </c>
      <c r="B561" t="s">
        <v>3493</v>
      </c>
      <c r="D561" s="247">
        <v>1.8146</v>
      </c>
      <c r="E561"/>
      <c r="F561" s="248">
        <v>43010</v>
      </c>
    </row>
    <row r="562" spans="1:11">
      <c r="A562" t="s">
        <v>431</v>
      </c>
      <c r="B562" t="s">
        <v>3410</v>
      </c>
      <c r="D562">
        <v>1.7259</v>
      </c>
      <c r="E562" s="254"/>
      <c r="F562" s="247"/>
    </row>
    <row r="563" spans="1:11">
      <c r="A563" t="s">
        <v>430</v>
      </c>
      <c r="B563">
        <v>196</v>
      </c>
      <c r="C563" t="s">
        <v>2504</v>
      </c>
      <c r="D563">
        <v>1.863</v>
      </c>
      <c r="E563" s="223" t="s">
        <v>2455</v>
      </c>
      <c r="F563" s="16">
        <v>43208</v>
      </c>
    </row>
    <row r="564" spans="1:11">
      <c r="A564" t="s">
        <v>429</v>
      </c>
      <c r="B564" t="s">
        <v>3458</v>
      </c>
      <c r="D564">
        <v>1.7403999999999999</v>
      </c>
      <c r="E564" s="254"/>
      <c r="F564" s="248">
        <v>43008</v>
      </c>
    </row>
    <row r="565" spans="1:11">
      <c r="A565" t="s">
        <v>428</v>
      </c>
      <c r="B565">
        <v>198</v>
      </c>
      <c r="C565" t="s">
        <v>2504</v>
      </c>
      <c r="D565">
        <v>1.7210000000000001</v>
      </c>
      <c r="E565" s="223" t="s">
        <v>2453</v>
      </c>
      <c r="F565" s="16">
        <v>43208</v>
      </c>
    </row>
    <row r="566" spans="1:11">
      <c r="A566" t="s">
        <v>427</v>
      </c>
      <c r="B566" t="s">
        <v>3629</v>
      </c>
      <c r="D566" s="255">
        <v>1.9524999999999999</v>
      </c>
      <c r="E566" t="s">
        <v>2115</v>
      </c>
      <c r="F566" s="248">
        <v>43337</v>
      </c>
    </row>
    <row r="567" spans="1:11">
      <c r="A567" t="s">
        <v>426</v>
      </c>
      <c r="B567" t="s">
        <v>3591</v>
      </c>
      <c r="D567" s="255">
        <v>1.9921</v>
      </c>
      <c r="E567" t="s">
        <v>3592</v>
      </c>
      <c r="F567" s="248">
        <v>43334</v>
      </c>
    </row>
    <row r="568" spans="1:11">
      <c r="A568" t="s">
        <v>425</v>
      </c>
      <c r="B568" t="s">
        <v>3504</v>
      </c>
      <c r="D568" s="247">
        <v>1.8105</v>
      </c>
      <c r="E568"/>
      <c r="F568" s="248">
        <v>43010</v>
      </c>
    </row>
    <row r="569" spans="1:11">
      <c r="A569" t="s">
        <v>424</v>
      </c>
      <c r="B569" t="s">
        <v>3412</v>
      </c>
      <c r="D569">
        <v>1.9014</v>
      </c>
      <c r="E569" s="254"/>
      <c r="F569" s="248">
        <v>43009</v>
      </c>
    </row>
    <row r="570" spans="1:11">
      <c r="A570" t="s">
        <v>423</v>
      </c>
      <c r="B570" t="s">
        <v>3582</v>
      </c>
      <c r="D570" s="255">
        <v>1.9879</v>
      </c>
      <c r="E570" t="s">
        <v>2119</v>
      </c>
      <c r="F570" s="248">
        <v>43333</v>
      </c>
      <c r="K570" s="256"/>
    </row>
    <row r="571" spans="1:11">
      <c r="A571" t="s">
        <v>422</v>
      </c>
      <c r="B571" t="s">
        <v>3414</v>
      </c>
      <c r="D571">
        <v>1.7592000000000001</v>
      </c>
      <c r="E571" s="254"/>
      <c r="F571" s="248">
        <v>43009</v>
      </c>
    </row>
    <row r="572" spans="1:11">
      <c r="A572" t="s">
        <v>421</v>
      </c>
      <c r="B572" t="s">
        <v>3464</v>
      </c>
      <c r="D572">
        <v>1.8359000000000001</v>
      </c>
      <c r="E572" s="254"/>
      <c r="F572" s="248">
        <v>43009</v>
      </c>
    </row>
    <row r="573" spans="1:11">
      <c r="A573" t="s">
        <v>419</v>
      </c>
      <c r="B573" t="s">
        <v>3622</v>
      </c>
      <c r="D573" s="255">
        <v>1.9978</v>
      </c>
      <c r="E573" t="s">
        <v>2119</v>
      </c>
      <c r="F573" s="248">
        <v>43337</v>
      </c>
      <c r="K573" s="256"/>
    </row>
    <row r="574" spans="1:11">
      <c r="A574" t="s">
        <v>418</v>
      </c>
      <c r="B574" t="s">
        <v>3626</v>
      </c>
      <c r="D574" s="255">
        <v>1.9549000000000001</v>
      </c>
      <c r="E574"/>
      <c r="F574" s="248">
        <v>43337</v>
      </c>
      <c r="K574" s="256"/>
    </row>
    <row r="575" spans="1:11">
      <c r="A575" t="s">
        <v>417</v>
      </c>
      <c r="B575" t="s">
        <v>3579</v>
      </c>
      <c r="D575" s="255">
        <v>0.13320000000000001</v>
      </c>
      <c r="E575" t="s">
        <v>3580</v>
      </c>
      <c r="F575" s="248">
        <v>43333</v>
      </c>
    </row>
    <row r="576" spans="1:11">
      <c r="A576" t="s">
        <v>416</v>
      </c>
      <c r="B576" t="s">
        <v>3477</v>
      </c>
      <c r="D576">
        <v>1.8997999999999999</v>
      </c>
      <c r="E576" s="254"/>
      <c r="F576" s="248">
        <v>43007</v>
      </c>
    </row>
    <row r="577" spans="1:6">
      <c r="A577" t="s">
        <v>414</v>
      </c>
      <c r="B577" t="s">
        <v>3577</v>
      </c>
      <c r="D577" s="255">
        <v>0.71450000000000002</v>
      </c>
      <c r="E577" t="s">
        <v>3578</v>
      </c>
      <c r="F577" s="248">
        <v>43333</v>
      </c>
    </row>
    <row r="578" spans="1:6">
      <c r="A578" t="s">
        <v>413</v>
      </c>
      <c r="B578" t="s">
        <v>3645</v>
      </c>
      <c r="D578" s="255">
        <v>1.9471000000000001</v>
      </c>
      <c r="E578"/>
      <c r="F578" s="248">
        <v>43338</v>
      </c>
    </row>
    <row r="579" spans="1:6">
      <c r="A579" t="s">
        <v>412</v>
      </c>
      <c r="B579" t="s">
        <v>3481</v>
      </c>
      <c r="E579" s="254" t="s">
        <v>3482</v>
      </c>
      <c r="F579" s="248">
        <v>43007</v>
      </c>
    </row>
    <row r="580" spans="1:6">
      <c r="A580" t="s">
        <v>411</v>
      </c>
      <c r="B580" t="s">
        <v>3500</v>
      </c>
      <c r="D580" s="247">
        <v>1.9579</v>
      </c>
      <c r="E580"/>
      <c r="F580" s="248">
        <v>43010</v>
      </c>
    </row>
    <row r="581" spans="1:6">
      <c r="A581" t="s">
        <v>410</v>
      </c>
      <c r="B581" t="s">
        <v>3458</v>
      </c>
      <c r="D581">
        <v>1.7859</v>
      </c>
      <c r="E581" s="254"/>
      <c r="F581" s="248">
        <v>43008</v>
      </c>
    </row>
    <row r="582" spans="1:6">
      <c r="A582" t="s">
        <v>407</v>
      </c>
      <c r="B582" t="s">
        <v>3446</v>
      </c>
      <c r="D582">
        <v>1.9874000000000001</v>
      </c>
      <c r="E582" s="254"/>
      <c r="F582" s="248">
        <v>43007</v>
      </c>
    </row>
    <row r="583" spans="1:6">
      <c r="A583" t="s">
        <v>406</v>
      </c>
      <c r="B583" t="s">
        <v>3591</v>
      </c>
      <c r="D583" s="255">
        <v>1.9025000000000001</v>
      </c>
      <c r="E583" t="s">
        <v>2115</v>
      </c>
      <c r="F583" s="248">
        <v>43334</v>
      </c>
    </row>
    <row r="584" spans="1:6">
      <c r="A584" t="s">
        <v>405</v>
      </c>
      <c r="B584" t="s">
        <v>3623</v>
      </c>
      <c r="D584" s="255">
        <v>1.8914</v>
      </c>
      <c r="E584"/>
      <c r="F584" s="248">
        <v>43337</v>
      </c>
    </row>
    <row r="585" spans="1:6">
      <c r="A585" t="s">
        <v>404</v>
      </c>
      <c r="B585" t="s">
        <v>3487</v>
      </c>
      <c r="D585">
        <v>1.0566</v>
      </c>
      <c r="E585" s="254"/>
      <c r="F585" s="248">
        <v>43010</v>
      </c>
    </row>
    <row r="586" spans="1:6">
      <c r="A586" t="s">
        <v>403</v>
      </c>
      <c r="B586" t="s">
        <v>3431</v>
      </c>
      <c r="D586">
        <v>1.6238999999999999</v>
      </c>
      <c r="E586" s="254"/>
      <c r="F586" s="248">
        <v>43009</v>
      </c>
    </row>
    <row r="587" spans="1:6">
      <c r="A587" t="s">
        <v>402</v>
      </c>
      <c r="B587" t="s">
        <v>3640</v>
      </c>
      <c r="D587" s="255">
        <v>1.9686999999999999</v>
      </c>
      <c r="E587"/>
      <c r="F587" s="248">
        <v>43338</v>
      </c>
    </row>
    <row r="588" spans="1:6">
      <c r="A588" t="s">
        <v>400</v>
      </c>
      <c r="B588" t="s">
        <v>3587</v>
      </c>
      <c r="D588" s="255">
        <v>1.9457</v>
      </c>
      <c r="E588" t="s">
        <v>2119</v>
      </c>
      <c r="F588" s="248">
        <v>43334</v>
      </c>
    </row>
    <row r="589" spans="1:6">
      <c r="A589" t="s">
        <v>399</v>
      </c>
      <c r="B589" t="s">
        <v>3508</v>
      </c>
      <c r="D589" s="247">
        <v>1.6575</v>
      </c>
      <c r="E589"/>
      <c r="F589" s="248">
        <v>43008</v>
      </c>
    </row>
    <row r="590" spans="1:6">
      <c r="A590" t="s">
        <v>398</v>
      </c>
      <c r="B590" t="s">
        <v>3641</v>
      </c>
      <c r="D590" s="255">
        <v>1.9702999999999999</v>
      </c>
      <c r="E590" t="s">
        <v>3628</v>
      </c>
      <c r="F590" s="248">
        <v>43338</v>
      </c>
    </row>
    <row r="591" spans="1:6">
      <c r="A591" t="s">
        <v>397</v>
      </c>
      <c r="B591" t="s">
        <v>3439</v>
      </c>
      <c r="D591">
        <v>1.8767</v>
      </c>
      <c r="E591" s="254"/>
      <c r="F591" s="248">
        <v>43007</v>
      </c>
    </row>
    <row r="592" spans="1:6">
      <c r="A592" t="s">
        <v>396</v>
      </c>
      <c r="B592" t="s">
        <v>3442</v>
      </c>
      <c r="D592">
        <v>1.9944999999999999</v>
      </c>
      <c r="E592" s="254"/>
      <c r="F592" s="248">
        <v>43007</v>
      </c>
    </row>
    <row r="593" spans="1:11">
      <c r="A593" t="s">
        <v>395</v>
      </c>
      <c r="B593" t="s">
        <v>3484</v>
      </c>
      <c r="E593" s="254" t="s">
        <v>3479</v>
      </c>
      <c r="F593" s="248">
        <v>43010</v>
      </c>
    </row>
    <row r="594" spans="1:11">
      <c r="A594" t="s">
        <v>393</v>
      </c>
      <c r="B594" t="s">
        <v>3427</v>
      </c>
      <c r="D594">
        <v>5.0305999999999997</v>
      </c>
      <c r="E594" s="254"/>
      <c r="F594" s="248">
        <v>43008</v>
      </c>
      <c r="K594" s="256"/>
    </row>
    <row r="595" spans="1:11">
      <c r="A595" t="s">
        <v>391</v>
      </c>
      <c r="B595" t="s">
        <v>3452</v>
      </c>
      <c r="D595">
        <v>0.98360000000000003</v>
      </c>
      <c r="E595" s="254" t="s">
        <v>2511</v>
      </c>
      <c r="F595" s="248">
        <v>43007</v>
      </c>
    </row>
    <row r="596" spans="1:11">
      <c r="A596" t="s">
        <v>390</v>
      </c>
      <c r="B596" t="s">
        <v>3444</v>
      </c>
      <c r="D596">
        <v>1.9492</v>
      </c>
      <c r="E596" s="254"/>
      <c r="F596" s="248">
        <v>43007</v>
      </c>
    </row>
    <row r="597" spans="1:11">
      <c r="A597" t="s">
        <v>1066</v>
      </c>
      <c r="B597" t="s">
        <v>3401</v>
      </c>
      <c r="D597">
        <v>0.1565</v>
      </c>
      <c r="E597" s="254" t="s">
        <v>3402</v>
      </c>
      <c r="F597" s="247"/>
    </row>
    <row r="598" spans="1:11">
      <c r="A598" t="s">
        <v>388</v>
      </c>
      <c r="B598" t="s">
        <v>3605</v>
      </c>
      <c r="D598" s="255">
        <v>1.6394</v>
      </c>
      <c r="E598"/>
      <c r="F598" s="248">
        <v>43334</v>
      </c>
    </row>
    <row r="599" spans="1:11">
      <c r="A599" t="s">
        <v>387</v>
      </c>
      <c r="B599" t="s">
        <v>3475</v>
      </c>
      <c r="D599">
        <v>1.6897</v>
      </c>
      <c r="E599" s="254"/>
      <c r="F599" s="248">
        <v>43009</v>
      </c>
    </row>
    <row r="600" spans="1:11">
      <c r="A600" t="s">
        <v>383</v>
      </c>
      <c r="B600" t="s">
        <v>3421</v>
      </c>
      <c r="D600">
        <v>2.0406</v>
      </c>
      <c r="E600" s="254" t="s">
        <v>2511</v>
      </c>
      <c r="F600" s="248">
        <v>43008</v>
      </c>
    </row>
    <row r="601" spans="1:11">
      <c r="A601" t="s">
        <v>382</v>
      </c>
      <c r="B601" t="s">
        <v>3511</v>
      </c>
      <c r="D601" s="247">
        <v>1.7337</v>
      </c>
      <c r="E601"/>
      <c r="F601" s="248">
        <v>43008</v>
      </c>
    </row>
    <row r="602" spans="1:11">
      <c r="A602" t="s">
        <v>381</v>
      </c>
      <c r="B602" t="s">
        <v>3568</v>
      </c>
      <c r="D602" s="255">
        <v>1.6818</v>
      </c>
      <c r="E602" t="s">
        <v>3570</v>
      </c>
      <c r="F602" s="248">
        <v>43333</v>
      </c>
    </row>
    <row r="603" spans="1:11">
      <c r="A603" t="s">
        <v>380</v>
      </c>
      <c r="B603" t="s">
        <v>3415</v>
      </c>
      <c r="D603">
        <v>1.7075</v>
      </c>
      <c r="E603" s="254"/>
      <c r="F603" s="248">
        <v>43009</v>
      </c>
    </row>
    <row r="604" spans="1:11">
      <c r="A604" t="s">
        <v>379</v>
      </c>
      <c r="B604" t="s">
        <v>3595</v>
      </c>
      <c r="D604" s="255">
        <v>1.9821</v>
      </c>
      <c r="E604"/>
      <c r="F604" s="248">
        <v>43334</v>
      </c>
    </row>
    <row r="605" spans="1:11">
      <c r="A605" t="s">
        <v>378</v>
      </c>
      <c r="B605" t="s">
        <v>3648</v>
      </c>
      <c r="D605" s="255">
        <v>1.9017999999999999</v>
      </c>
      <c r="E605"/>
      <c r="F605" s="248">
        <v>43338</v>
      </c>
    </row>
    <row r="606" spans="1:11">
      <c r="A606" t="s">
        <v>377</v>
      </c>
      <c r="B606" t="s">
        <v>3480</v>
      </c>
      <c r="D606">
        <v>1.7052</v>
      </c>
      <c r="E606" s="254"/>
      <c r="F606" s="248">
        <v>43007</v>
      </c>
    </row>
    <row r="607" spans="1:11">
      <c r="A607" t="s">
        <v>376</v>
      </c>
      <c r="B607" t="s">
        <v>3585</v>
      </c>
      <c r="D607" s="255">
        <v>1.9797</v>
      </c>
      <c r="E607"/>
      <c r="F607" s="248">
        <v>43333</v>
      </c>
    </row>
    <row r="608" spans="1:11">
      <c r="A608" t="s">
        <v>375</v>
      </c>
      <c r="B608" t="s">
        <v>3630</v>
      </c>
      <c r="D608" s="255">
        <v>1.9178999999999999</v>
      </c>
      <c r="E608" t="s">
        <v>2119</v>
      </c>
      <c r="F608" s="248">
        <v>43337</v>
      </c>
    </row>
    <row r="609" spans="1:11">
      <c r="A609" t="s">
        <v>374</v>
      </c>
      <c r="B609" t="s">
        <v>3642</v>
      </c>
      <c r="D609" s="255">
        <v>1.9783999999999999</v>
      </c>
      <c r="E609"/>
      <c r="F609" s="248">
        <v>43338</v>
      </c>
    </row>
    <row r="610" spans="1:11">
      <c r="A610" t="s">
        <v>373</v>
      </c>
      <c r="B610" t="s">
        <v>3610</v>
      </c>
      <c r="D610" s="255">
        <v>1.6694</v>
      </c>
      <c r="E610" t="s">
        <v>3611</v>
      </c>
      <c r="F610" s="248">
        <v>43334</v>
      </c>
    </row>
    <row r="611" spans="1:11">
      <c r="A611" t="s">
        <v>371</v>
      </c>
      <c r="B611" t="s">
        <v>3424</v>
      </c>
      <c r="D611">
        <v>0.67179999999999995</v>
      </c>
      <c r="E611" s="254"/>
      <c r="F611" s="248">
        <v>43008</v>
      </c>
    </row>
    <row r="612" spans="1:11">
      <c r="A612" t="s">
        <v>370</v>
      </c>
      <c r="B612" t="s">
        <v>3629</v>
      </c>
      <c r="D612" s="255">
        <v>1.9911000000000001</v>
      </c>
      <c r="E612"/>
      <c r="F612" s="248">
        <v>43337</v>
      </c>
    </row>
    <row r="613" spans="1:11">
      <c r="A613" t="s">
        <v>369</v>
      </c>
      <c r="B613" t="s">
        <v>3631</v>
      </c>
      <c r="D613" s="255">
        <v>1.9444999999999999</v>
      </c>
      <c r="E613"/>
      <c r="F613" s="248">
        <v>43337</v>
      </c>
    </row>
    <row r="614" spans="1:11">
      <c r="A614" t="s">
        <v>368</v>
      </c>
      <c r="B614" t="s">
        <v>3400</v>
      </c>
      <c r="D614">
        <v>1.0895999999999999</v>
      </c>
      <c r="E614" s="254" t="s">
        <v>3391</v>
      </c>
      <c r="F614" s="247"/>
    </row>
    <row r="615" spans="1:11">
      <c r="A615" t="s">
        <v>367</v>
      </c>
      <c r="B615" t="s">
        <v>3501</v>
      </c>
      <c r="D615" s="247">
        <v>1.5579000000000001</v>
      </c>
      <c r="E615"/>
      <c r="F615" s="248">
        <v>43010</v>
      </c>
    </row>
    <row r="616" spans="1:11">
      <c r="A616" t="s">
        <v>366</v>
      </c>
      <c r="B616" t="s">
        <v>3488</v>
      </c>
      <c r="D616" s="247">
        <v>1.3551</v>
      </c>
      <c r="E616"/>
      <c r="F616" s="248">
        <v>43010</v>
      </c>
    </row>
    <row r="617" spans="1:11">
      <c r="A617" t="s">
        <v>365</v>
      </c>
      <c r="B617" t="s">
        <v>3417</v>
      </c>
      <c r="D617">
        <v>1.5979000000000001</v>
      </c>
      <c r="E617" s="254"/>
      <c r="F617" s="248">
        <v>43008</v>
      </c>
    </row>
    <row r="618" spans="1:11">
      <c r="A618" t="s">
        <v>363</v>
      </c>
      <c r="B618" t="s">
        <v>3625</v>
      </c>
      <c r="D618" s="255">
        <v>1.9447000000000001</v>
      </c>
      <c r="E618"/>
      <c r="F618" s="248">
        <v>43337</v>
      </c>
      <c r="K618" s="256"/>
    </row>
    <row r="619" spans="1:11">
      <c r="A619" t="s">
        <v>362</v>
      </c>
      <c r="B619" t="s">
        <v>3495</v>
      </c>
      <c r="D619" s="249">
        <v>1.8240000000000001</v>
      </c>
      <c r="E619"/>
      <c r="F619" s="248">
        <v>43010</v>
      </c>
    </row>
    <row r="620" spans="1:11">
      <c r="A620" t="s">
        <v>361</v>
      </c>
      <c r="B620" t="s">
        <v>3622</v>
      </c>
      <c r="D620" s="255">
        <v>1.9495</v>
      </c>
      <c r="E620" t="s">
        <v>2115</v>
      </c>
      <c r="F620" s="248">
        <v>43337</v>
      </c>
    </row>
    <row r="621" spans="1:11">
      <c r="A621" t="s">
        <v>360</v>
      </c>
      <c r="B621" t="s">
        <v>3418</v>
      </c>
      <c r="D621">
        <v>0.17680000000000001</v>
      </c>
      <c r="E621" s="254" t="s">
        <v>2145</v>
      </c>
      <c r="F621" s="248">
        <v>43008</v>
      </c>
    </row>
    <row r="622" spans="1:11">
      <c r="A622" t="s">
        <v>359</v>
      </c>
      <c r="B622" t="s">
        <v>3646</v>
      </c>
      <c r="D622" s="255">
        <v>1.9477</v>
      </c>
      <c r="E622"/>
      <c r="F622" s="248">
        <v>43338</v>
      </c>
    </row>
    <row r="623" spans="1:11">
      <c r="A623" t="s">
        <v>358</v>
      </c>
      <c r="B623" t="s">
        <v>3504</v>
      </c>
      <c r="D623" s="247">
        <v>1.8687</v>
      </c>
      <c r="E623"/>
      <c r="F623" s="248">
        <v>43010</v>
      </c>
    </row>
    <row r="624" spans="1:11">
      <c r="A624" t="s">
        <v>357</v>
      </c>
      <c r="B624" t="s">
        <v>3575</v>
      </c>
      <c r="D624" s="255">
        <v>1.992</v>
      </c>
      <c r="E624"/>
      <c r="F624" s="248">
        <v>43333</v>
      </c>
    </row>
    <row r="625" spans="1:6">
      <c r="A625" t="s">
        <v>356</v>
      </c>
      <c r="B625" t="s">
        <v>3582</v>
      </c>
      <c r="D625" s="255">
        <v>1.8973</v>
      </c>
      <c r="E625" t="s">
        <v>2115</v>
      </c>
      <c r="F625" s="248">
        <v>43333</v>
      </c>
    </row>
    <row r="626" spans="1:6">
      <c r="A626" t="s">
        <v>355</v>
      </c>
      <c r="B626" t="s">
        <v>3478</v>
      </c>
      <c r="E626" s="254" t="s">
        <v>3479</v>
      </c>
      <c r="F626" s="248">
        <v>43007</v>
      </c>
    </row>
    <row r="627" spans="1:6">
      <c r="A627" t="s">
        <v>354</v>
      </c>
      <c r="B627" t="s">
        <v>3448</v>
      </c>
      <c r="D627">
        <v>3.7812999999999999</v>
      </c>
      <c r="E627" s="254" t="s">
        <v>2511</v>
      </c>
      <c r="F627" s="248">
        <v>43007</v>
      </c>
    </row>
    <row r="628" spans="1:6">
      <c r="A628" t="s">
        <v>353</v>
      </c>
      <c r="B628" t="s">
        <v>3394</v>
      </c>
      <c r="D628">
        <v>1.7806</v>
      </c>
      <c r="E628" s="254" t="s">
        <v>2511</v>
      </c>
      <c r="F628" s="248">
        <v>43008</v>
      </c>
    </row>
    <row r="629" spans="1:6">
      <c r="A629" t="s">
        <v>352</v>
      </c>
      <c r="B629" t="s">
        <v>3636</v>
      </c>
      <c r="D629" s="255">
        <v>1.8551</v>
      </c>
      <c r="E629"/>
      <c r="F629" s="248">
        <v>43337</v>
      </c>
    </row>
    <row r="630" spans="1:6">
      <c r="A630" t="s">
        <v>351</v>
      </c>
      <c r="B630" t="s">
        <v>3492</v>
      </c>
      <c r="D630" s="247">
        <v>0.43190000000000001</v>
      </c>
      <c r="E630" t="s">
        <v>3479</v>
      </c>
      <c r="F630" s="248">
        <v>43010</v>
      </c>
    </row>
    <row r="631" spans="1:6">
      <c r="A631" t="s">
        <v>350</v>
      </c>
      <c r="B631" t="s">
        <v>3433</v>
      </c>
      <c r="D631">
        <v>2.4607999999999999</v>
      </c>
      <c r="E631" s="254" t="s">
        <v>3429</v>
      </c>
      <c r="F631" s="248">
        <v>43008</v>
      </c>
    </row>
    <row r="632" spans="1:6">
      <c r="A632" t="s">
        <v>349</v>
      </c>
      <c r="B632" t="s">
        <v>3502</v>
      </c>
      <c r="D632" s="247">
        <v>2.2315</v>
      </c>
      <c r="E632" t="s">
        <v>3503</v>
      </c>
      <c r="F632" s="248">
        <v>43010</v>
      </c>
    </row>
    <row r="633" spans="1:6">
      <c r="A633" t="s">
        <v>348</v>
      </c>
      <c r="B633" t="s">
        <v>3510</v>
      </c>
      <c r="D633" s="249">
        <v>1.629</v>
      </c>
      <c r="E633" t="s">
        <v>3463</v>
      </c>
      <c r="F633" s="248">
        <v>43008</v>
      </c>
    </row>
    <row r="634" spans="1:6">
      <c r="A634" t="s">
        <v>347</v>
      </c>
      <c r="B634" t="s">
        <v>3507</v>
      </c>
      <c r="D634" s="247"/>
      <c r="E634" t="s">
        <v>3566</v>
      </c>
      <c r="F634" s="248">
        <v>43008</v>
      </c>
    </row>
    <row r="635" spans="1:6">
      <c r="A635" t="s">
        <v>346</v>
      </c>
      <c r="B635" t="s">
        <v>3437</v>
      </c>
      <c r="D635">
        <v>0.24560000000000001</v>
      </c>
      <c r="E635" s="254" t="s">
        <v>2145</v>
      </c>
      <c r="F635" s="248">
        <v>43007</v>
      </c>
    </row>
    <row r="636" spans="1:6">
      <c r="A636" t="s">
        <v>345</v>
      </c>
      <c r="B636" t="s">
        <v>3647</v>
      </c>
      <c r="D636" s="255">
        <v>1.9469000000000001</v>
      </c>
      <c r="E636"/>
      <c r="F636" s="248">
        <v>43338</v>
      </c>
    </row>
    <row r="637" spans="1:6">
      <c r="A637" t="s">
        <v>344</v>
      </c>
      <c r="B637" t="s">
        <v>3619</v>
      </c>
      <c r="D637" s="255">
        <v>0.83220000000000005</v>
      </c>
      <c r="E637" t="s">
        <v>3621</v>
      </c>
      <c r="F637" s="248">
        <v>43334</v>
      </c>
    </row>
    <row r="638" spans="1:6">
      <c r="A638" t="s">
        <v>343</v>
      </c>
      <c r="B638" t="s">
        <v>3586</v>
      </c>
      <c r="D638" s="255">
        <v>1.9076</v>
      </c>
      <c r="E638"/>
      <c r="F638" s="248">
        <v>43333</v>
      </c>
    </row>
    <row r="639" spans="1:6">
      <c r="A639" t="s">
        <v>342</v>
      </c>
      <c r="B639" t="s">
        <v>3617</v>
      </c>
      <c r="D639" s="255">
        <v>1.5708</v>
      </c>
      <c r="E639"/>
      <c r="F639" s="248">
        <v>43334</v>
      </c>
    </row>
    <row r="640" spans="1:6">
      <c r="A640" t="s">
        <v>341</v>
      </c>
      <c r="B640" t="s">
        <v>3597</v>
      </c>
      <c r="D640" s="255">
        <v>1.8956999999999999</v>
      </c>
      <c r="E640"/>
      <c r="F640" s="248">
        <v>43334</v>
      </c>
    </row>
    <row r="641" spans="1:6">
      <c r="A641" t="s">
        <v>340</v>
      </c>
      <c r="B641" t="s">
        <v>3605</v>
      </c>
      <c r="D641" s="255">
        <v>1.3494999999999999</v>
      </c>
      <c r="E641" t="s">
        <v>3606</v>
      </c>
      <c r="F641" s="248">
        <v>43334</v>
      </c>
    </row>
    <row r="642" spans="1:6">
      <c r="A642" t="s">
        <v>1061</v>
      </c>
      <c r="B642" t="s">
        <v>3466</v>
      </c>
      <c r="D642">
        <v>1.8815999999999999</v>
      </c>
      <c r="E642" s="254"/>
      <c r="F642" s="248">
        <v>43009</v>
      </c>
    </row>
    <row r="643" spans="1:6">
      <c r="A643" t="s">
        <v>339</v>
      </c>
      <c r="B643" t="s">
        <v>3634</v>
      </c>
      <c r="D643" s="255">
        <v>1.8712</v>
      </c>
      <c r="E643" t="s">
        <v>2119</v>
      </c>
      <c r="F643" s="248">
        <v>43337</v>
      </c>
    </row>
    <row r="644" spans="1:6">
      <c r="A644" t="s">
        <v>337</v>
      </c>
      <c r="B644" t="s">
        <v>3604</v>
      </c>
      <c r="D644" s="255">
        <v>1.6778</v>
      </c>
      <c r="E644"/>
      <c r="F644" s="248">
        <v>43334</v>
      </c>
    </row>
    <row r="645" spans="1:6">
      <c r="A645" t="s">
        <v>336</v>
      </c>
      <c r="B645">
        <v>212</v>
      </c>
      <c r="C645" t="s">
        <v>2504</v>
      </c>
      <c r="D645">
        <v>0.78500000000000003</v>
      </c>
      <c r="E645" s="223" t="s">
        <v>2510</v>
      </c>
      <c r="F645" s="16">
        <v>43208</v>
      </c>
    </row>
    <row r="646" spans="1:6">
      <c r="A646" t="s">
        <v>335</v>
      </c>
      <c r="B646" t="s">
        <v>3505</v>
      </c>
      <c r="D646" s="247">
        <v>1.3936999999999999</v>
      </c>
      <c r="E646"/>
      <c r="F646" s="248">
        <v>43010</v>
      </c>
    </row>
    <row r="647" spans="1:6">
      <c r="A647" t="s">
        <v>333</v>
      </c>
      <c r="B647" t="s">
        <v>3572</v>
      </c>
      <c r="D647" s="255">
        <v>0.14760000000000001</v>
      </c>
      <c r="E647" t="s">
        <v>3573</v>
      </c>
      <c r="F647" s="248">
        <v>43333</v>
      </c>
    </row>
    <row r="648" spans="1:6">
      <c r="A648" t="s">
        <v>332</v>
      </c>
      <c r="B648" t="s">
        <v>3413</v>
      </c>
      <c r="D648">
        <v>1.5793999999999999</v>
      </c>
      <c r="E648" s="254" t="s">
        <v>3406</v>
      </c>
      <c r="F648" s="248">
        <v>43008</v>
      </c>
    </row>
    <row r="649" spans="1:6">
      <c r="A649" t="s">
        <v>331</v>
      </c>
      <c r="B649" t="s">
        <v>3493</v>
      </c>
      <c r="D649" s="247">
        <v>0</v>
      </c>
      <c r="E649" t="s">
        <v>3494</v>
      </c>
      <c r="F649" s="248">
        <v>43010</v>
      </c>
    </row>
    <row r="650" spans="1:6">
      <c r="A650" t="s">
        <v>328</v>
      </c>
      <c r="B650" t="s">
        <v>3450</v>
      </c>
      <c r="D650">
        <v>1.8292999999999999</v>
      </c>
      <c r="E650" s="254" t="s">
        <v>3406</v>
      </c>
      <c r="F650" s="248">
        <v>43007</v>
      </c>
    </row>
    <row r="651" spans="1:6">
      <c r="A651" t="s">
        <v>327</v>
      </c>
      <c r="B651" t="s">
        <v>3632</v>
      </c>
      <c r="D651" s="255">
        <v>1.8855</v>
      </c>
      <c r="E651"/>
      <c r="F651" s="248">
        <v>43337</v>
      </c>
    </row>
    <row r="652" spans="1:6">
      <c r="A652" t="s">
        <v>326</v>
      </c>
      <c r="B652" t="s">
        <v>3428</v>
      </c>
      <c r="D652">
        <v>2.1772999999999998</v>
      </c>
      <c r="E652" s="254" t="s">
        <v>3429</v>
      </c>
      <c r="F652" s="248">
        <v>43008</v>
      </c>
    </row>
    <row r="653" spans="1:6">
      <c r="A653" t="s">
        <v>325</v>
      </c>
      <c r="B653" t="s">
        <v>3425</v>
      </c>
      <c r="D653">
        <v>2.4714999999999998</v>
      </c>
      <c r="E653" s="254"/>
      <c r="F653" s="248">
        <v>43009</v>
      </c>
    </row>
    <row r="654" spans="1:6">
      <c r="A654" t="s">
        <v>324</v>
      </c>
      <c r="B654" t="s">
        <v>3635</v>
      </c>
      <c r="D654" s="255">
        <v>1.9467000000000001</v>
      </c>
      <c r="E654"/>
      <c r="F654" s="248">
        <v>43337</v>
      </c>
    </row>
    <row r="655" spans="1:6">
      <c r="A655" t="s">
        <v>321</v>
      </c>
      <c r="B655" t="s">
        <v>3624</v>
      </c>
      <c r="D655" s="255">
        <v>1.9155</v>
      </c>
      <c r="E655"/>
      <c r="F655" s="248">
        <v>43337</v>
      </c>
    </row>
    <row r="656" spans="1:6">
      <c r="A656" t="s">
        <v>320</v>
      </c>
      <c r="B656" t="s">
        <v>3509</v>
      </c>
      <c r="D656" s="247">
        <v>2.8028</v>
      </c>
      <c r="E656"/>
      <c r="F656" s="248">
        <v>43008</v>
      </c>
    </row>
    <row r="657" spans="1:6">
      <c r="A657" t="s">
        <v>319</v>
      </c>
      <c r="B657" t="s">
        <v>3599</v>
      </c>
      <c r="D657" s="255">
        <v>1.2708999999999999</v>
      </c>
      <c r="E657" t="s">
        <v>3601</v>
      </c>
      <c r="F657" s="248">
        <v>43334</v>
      </c>
    </row>
    <row r="658" spans="1:6">
      <c r="A658" t="s">
        <v>318</v>
      </c>
      <c r="B658" t="s">
        <v>3417</v>
      </c>
      <c r="D658">
        <v>0.2059</v>
      </c>
      <c r="E658" s="254" t="s">
        <v>3406</v>
      </c>
      <c r="F658" s="248">
        <v>43008</v>
      </c>
    </row>
    <row r="659" spans="1:6">
      <c r="A659" t="s">
        <v>316</v>
      </c>
      <c r="B659" t="s">
        <v>3496</v>
      </c>
      <c r="D659" s="247"/>
      <c r="E659" t="s">
        <v>3497</v>
      </c>
      <c r="F659" s="248">
        <v>43010</v>
      </c>
    </row>
    <row r="660" spans="1:6">
      <c r="A660" t="s">
        <v>315</v>
      </c>
      <c r="B660" t="s">
        <v>3506</v>
      </c>
      <c r="D660" s="247">
        <v>1.7653000000000001</v>
      </c>
      <c r="E660"/>
      <c r="F660" s="248">
        <v>43010</v>
      </c>
    </row>
    <row r="661" spans="1:6">
      <c r="A661" t="s">
        <v>314</v>
      </c>
      <c r="B661" t="s">
        <v>3644</v>
      </c>
      <c r="D661" s="255">
        <v>1.8925000000000001</v>
      </c>
      <c r="E661"/>
      <c r="F661" s="248">
        <v>43338</v>
      </c>
    </row>
    <row r="662" spans="1:6">
      <c r="A662" t="s">
        <v>313</v>
      </c>
      <c r="B662" t="s">
        <v>3443</v>
      </c>
      <c r="D662">
        <v>1.9086000000000001</v>
      </c>
      <c r="E662" s="254"/>
      <c r="F662" s="248">
        <v>43007</v>
      </c>
    </row>
    <row r="663" spans="1:6">
      <c r="A663" t="s">
        <v>311</v>
      </c>
      <c r="B663" t="s">
        <v>3637</v>
      </c>
      <c r="D663" s="255">
        <v>1.7596000000000001</v>
      </c>
      <c r="E663" t="s">
        <v>2119</v>
      </c>
      <c r="F663" s="248">
        <v>43337</v>
      </c>
    </row>
    <row r="664" spans="1:6">
      <c r="A664" t="s">
        <v>310</v>
      </c>
      <c r="B664" t="s">
        <v>3612</v>
      </c>
      <c r="D664" s="255">
        <v>1.1127</v>
      </c>
      <c r="E664" t="s">
        <v>3603</v>
      </c>
      <c r="F664" s="248">
        <v>43334</v>
      </c>
    </row>
    <row r="665" spans="1:6">
      <c r="A665" t="s">
        <v>309</v>
      </c>
      <c r="B665" t="s">
        <v>3598</v>
      </c>
      <c r="D665" s="255">
        <v>1.9719</v>
      </c>
      <c r="E665"/>
      <c r="F665" s="248">
        <v>43334</v>
      </c>
    </row>
    <row r="666" spans="1:6">
      <c r="A666" t="s">
        <v>308</v>
      </c>
      <c r="B666" t="s">
        <v>3589</v>
      </c>
      <c r="D666" s="255">
        <v>1.9105000000000001</v>
      </c>
      <c r="E666" t="s">
        <v>3590</v>
      </c>
      <c r="F666" s="248">
        <v>43334</v>
      </c>
    </row>
    <row r="667" spans="1:6">
      <c r="A667" t="s">
        <v>307</v>
      </c>
      <c r="B667" t="s">
        <v>3486</v>
      </c>
      <c r="D667">
        <v>1.7279</v>
      </c>
      <c r="E667" s="254"/>
      <c r="F667" s="248">
        <v>43010</v>
      </c>
    </row>
    <row r="668" spans="1:6">
      <c r="A668" t="s">
        <v>306</v>
      </c>
      <c r="B668" t="s">
        <v>3567</v>
      </c>
      <c r="D668" s="255">
        <v>1.9791000000000001</v>
      </c>
      <c r="E668"/>
      <c r="F668" s="248">
        <v>43333</v>
      </c>
    </row>
    <row r="669" spans="1:6">
      <c r="A669" t="s">
        <v>304</v>
      </c>
      <c r="B669" t="s">
        <v>3395</v>
      </c>
      <c r="D669">
        <v>1.7563</v>
      </c>
      <c r="E669" s="254"/>
      <c r="F669" s="248">
        <v>43008</v>
      </c>
    </row>
    <row r="670" spans="1:6">
      <c r="A670" t="s">
        <v>303</v>
      </c>
      <c r="B670" t="s">
        <v>3499</v>
      </c>
      <c r="D670" s="247">
        <v>0.62509999999999999</v>
      </c>
      <c r="E670"/>
      <c r="F670" s="248">
        <v>43010</v>
      </c>
    </row>
    <row r="671" spans="1:6">
      <c r="A671" t="s">
        <v>302</v>
      </c>
      <c r="B671" t="s">
        <v>3483</v>
      </c>
      <c r="D671">
        <v>1.7436</v>
      </c>
      <c r="E671" s="254"/>
      <c r="F671" s="248">
        <v>43008</v>
      </c>
    </row>
    <row r="672" spans="1:6">
      <c r="A672" t="s">
        <v>301</v>
      </c>
      <c r="B672" t="s">
        <v>3441</v>
      </c>
      <c r="D672">
        <v>1.0848</v>
      </c>
      <c r="E672" s="254" t="s">
        <v>3652</v>
      </c>
      <c r="F672" s="248">
        <v>43007</v>
      </c>
    </row>
    <row r="673" spans="1:6">
      <c r="A673" t="s">
        <v>300</v>
      </c>
      <c r="B673" t="s">
        <v>3583</v>
      </c>
      <c r="D673" s="255">
        <v>1.9775</v>
      </c>
      <c r="E673"/>
      <c r="F673" s="248">
        <v>43333</v>
      </c>
    </row>
    <row r="674" spans="1:6">
      <c r="A674" t="s">
        <v>1057</v>
      </c>
      <c r="B674" t="s">
        <v>3498</v>
      </c>
      <c r="D674" s="247">
        <v>1.8827</v>
      </c>
      <c r="E674"/>
      <c r="F674" s="248">
        <v>43010</v>
      </c>
    </row>
    <row r="675" spans="1:6">
      <c r="A675" t="s">
        <v>299</v>
      </c>
      <c r="B675" t="s">
        <v>3643</v>
      </c>
      <c r="D675" s="255">
        <v>2.0405000000000002</v>
      </c>
      <c r="E675"/>
      <c r="F675" s="248">
        <v>43338</v>
      </c>
    </row>
    <row r="676" spans="1:6">
      <c r="A676" t="s">
        <v>1047</v>
      </c>
      <c r="B676" t="s">
        <v>3403</v>
      </c>
      <c r="D676">
        <v>0.76</v>
      </c>
      <c r="E676" s="254" t="s">
        <v>2136</v>
      </c>
      <c r="F676" s="247"/>
    </row>
    <row r="677" spans="1:6">
      <c r="C677" s="255"/>
      <c r="E677"/>
    </row>
  </sheetData>
  <sortState ref="A3:F676">
    <sortCondition ref="A3:A676"/>
    <sortCondition ref="B3:B676"/>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3" t="s">
        <v>2164</v>
      </c>
      <c r="B1" s="193" t="s">
        <v>2165</v>
      </c>
      <c r="C1" s="193" t="s">
        <v>2166</v>
      </c>
      <c r="D1" s="193" t="s">
        <v>2167</v>
      </c>
      <c r="E1" s="193" t="s">
        <v>2529</v>
      </c>
      <c r="F1" s="193" t="s">
        <v>31</v>
      </c>
      <c r="G1" s="193" t="s">
        <v>1147</v>
      </c>
      <c r="H1" s="193" t="s">
        <v>298</v>
      </c>
      <c r="I1" s="193" t="s">
        <v>2170</v>
      </c>
      <c r="J1" s="193" t="s">
        <v>2171</v>
      </c>
      <c r="K1" s="193" t="s">
        <v>2530</v>
      </c>
      <c r="M1" s="250" t="s">
        <v>3512</v>
      </c>
      <c r="N1" s="250" t="s">
        <v>3512</v>
      </c>
      <c r="P1" s="250" t="s">
        <v>3512</v>
      </c>
    </row>
    <row r="2" spans="1:18">
      <c r="A2" s="121">
        <v>1</v>
      </c>
      <c r="B2" s="185" t="s">
        <v>2176</v>
      </c>
      <c r="C2" s="185" t="s">
        <v>2177</v>
      </c>
      <c r="D2" s="122" t="s">
        <v>2178</v>
      </c>
      <c r="E2" s="124">
        <v>42938</v>
      </c>
      <c r="F2" s="124">
        <v>43007</v>
      </c>
      <c r="G2" s="123">
        <v>107</v>
      </c>
      <c r="H2" s="123">
        <v>811</v>
      </c>
      <c r="I2" s="123">
        <v>377</v>
      </c>
      <c r="J2" s="123">
        <v>204</v>
      </c>
      <c r="K2" s="123">
        <f>IFERROR(F2-E2,"")</f>
        <v>69</v>
      </c>
      <c r="M2" t="b">
        <f>COUNTIF($G$2:$G$841, G2)&gt;1</f>
        <v>1</v>
      </c>
      <c r="P2" t="b">
        <f>COUNTIF($G$2:$G$841, J2)&gt;1</f>
        <v>0</v>
      </c>
      <c r="Q2" s="166" t="s">
        <v>3515</v>
      </c>
    </row>
    <row r="3" spans="1:18">
      <c r="A3" s="121">
        <v>2</v>
      </c>
      <c r="B3" s="185" t="s">
        <v>2176</v>
      </c>
      <c r="C3" s="185" t="s">
        <v>2183</v>
      </c>
      <c r="D3" s="122" t="s">
        <v>2178</v>
      </c>
      <c r="E3" s="123" t="s">
        <v>2057</v>
      </c>
      <c r="F3" s="125" t="s">
        <v>2057</v>
      </c>
      <c r="G3" s="123" t="s">
        <v>2057</v>
      </c>
      <c r="H3" s="123" t="s">
        <v>2057</v>
      </c>
      <c r="I3" s="123" t="s">
        <v>2057</v>
      </c>
      <c r="J3" s="123" t="s">
        <v>2057</v>
      </c>
      <c r="K3" s="123" t="str">
        <f t="shared" ref="K3:K66" si="0">IFERROR(F3-E3,"")</f>
        <v/>
      </c>
      <c r="M3" t="s">
        <v>3513</v>
      </c>
      <c r="O3" t="s">
        <v>3514</v>
      </c>
      <c r="Q3" t="s">
        <v>1147</v>
      </c>
      <c r="R3" t="s">
        <v>3516</v>
      </c>
    </row>
    <row r="4" spans="1:18">
      <c r="A4" s="121">
        <v>3</v>
      </c>
      <c r="B4" s="185" t="s">
        <v>2176</v>
      </c>
      <c r="C4" s="185" t="s">
        <v>2184</v>
      </c>
      <c r="D4" s="122" t="s">
        <v>2178</v>
      </c>
      <c r="E4" s="124">
        <v>42938</v>
      </c>
      <c r="F4" s="124">
        <v>43007</v>
      </c>
      <c r="G4" s="123">
        <v>259</v>
      </c>
      <c r="H4" s="123">
        <v>742</v>
      </c>
      <c r="I4" s="123">
        <v>44</v>
      </c>
      <c r="J4" s="123">
        <v>283</v>
      </c>
      <c r="K4" s="123">
        <f t="shared" si="0"/>
        <v>69</v>
      </c>
      <c r="M4" s="165">
        <v>107</v>
      </c>
      <c r="N4" s="113" t="b">
        <f t="shared" ref="N4:N67" si="1">COUNTIF($M$4:$M$443, M4)&gt;1</f>
        <v>1</v>
      </c>
      <c r="O4" s="123">
        <v>811</v>
      </c>
      <c r="P4" t="b">
        <f>COUNTIF($O$4:$O$443, O4)&gt;1</f>
        <v>0</v>
      </c>
      <c r="Q4">
        <v>107</v>
      </c>
      <c r="R4">
        <v>819</v>
      </c>
    </row>
    <row r="5" spans="1:18">
      <c r="A5" s="121">
        <v>4</v>
      </c>
      <c r="B5" s="185" t="s">
        <v>2176</v>
      </c>
      <c r="C5" s="185" t="s">
        <v>2186</v>
      </c>
      <c r="D5" s="122" t="s">
        <v>2178</v>
      </c>
      <c r="E5" s="124">
        <v>42938</v>
      </c>
      <c r="F5" s="124">
        <v>43007</v>
      </c>
      <c r="G5" s="123">
        <v>255</v>
      </c>
      <c r="H5" s="123">
        <v>661</v>
      </c>
      <c r="I5" s="123">
        <v>357</v>
      </c>
      <c r="J5" s="123">
        <v>298</v>
      </c>
      <c r="K5" s="123">
        <f t="shared" si="0"/>
        <v>69</v>
      </c>
      <c r="M5" s="169" t="s">
        <v>2057</v>
      </c>
      <c r="N5" s="181" t="b">
        <f t="shared" si="1"/>
        <v>1</v>
      </c>
      <c r="O5" s="169" t="s">
        <v>2057</v>
      </c>
      <c r="P5" s="181" t="b">
        <f t="shared" ref="P5:P68" si="2">COUNTIF($O$4:$O$443, O5)&gt;1</f>
        <v>1</v>
      </c>
      <c r="Q5">
        <v>32</v>
      </c>
      <c r="R5">
        <v>208</v>
      </c>
    </row>
    <row r="6" spans="1:18">
      <c r="A6" s="121">
        <v>5</v>
      </c>
      <c r="B6" s="185" t="s">
        <v>2176</v>
      </c>
      <c r="C6" s="185" t="s">
        <v>2189</v>
      </c>
      <c r="D6" s="122" t="s">
        <v>2178</v>
      </c>
      <c r="E6" s="124">
        <v>42938</v>
      </c>
      <c r="F6" s="123" t="s">
        <v>2057</v>
      </c>
      <c r="G6" s="123">
        <v>122</v>
      </c>
      <c r="H6" s="123">
        <v>724</v>
      </c>
      <c r="I6" s="164">
        <v>734</v>
      </c>
      <c r="J6" s="123">
        <v>226</v>
      </c>
      <c r="K6" s="123" t="str">
        <f t="shared" si="0"/>
        <v/>
      </c>
      <c r="M6" s="123">
        <v>259</v>
      </c>
      <c r="N6" t="b">
        <f t="shared" si="1"/>
        <v>0</v>
      </c>
      <c r="O6" s="123">
        <v>742</v>
      </c>
      <c r="P6" t="b">
        <f t="shared" si="2"/>
        <v>0</v>
      </c>
      <c r="Q6">
        <v>347</v>
      </c>
      <c r="R6">
        <v>771</v>
      </c>
    </row>
    <row r="7" spans="1:18">
      <c r="A7" s="121">
        <v>6</v>
      </c>
      <c r="B7" s="185" t="s">
        <v>2176</v>
      </c>
      <c r="C7" s="185" t="s">
        <v>2190</v>
      </c>
      <c r="D7" s="122" t="s">
        <v>2178</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5" t="s">
        <v>2176</v>
      </c>
      <c r="C8" s="185" t="s">
        <v>2191</v>
      </c>
      <c r="D8" s="122" t="s">
        <v>2178</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5" t="s">
        <v>2176</v>
      </c>
      <c r="C9" s="185" t="s">
        <v>2192</v>
      </c>
      <c r="D9" s="122" t="s">
        <v>2178</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5" t="s">
        <v>2176</v>
      </c>
      <c r="C10" s="185" t="s">
        <v>2193</v>
      </c>
      <c r="D10" s="122" t="s">
        <v>2194</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5" t="s">
        <v>2176</v>
      </c>
      <c r="C11" s="185" t="s">
        <v>2196</v>
      </c>
      <c r="D11" s="122" t="s">
        <v>2194</v>
      </c>
      <c r="E11" s="124">
        <v>42938</v>
      </c>
      <c r="F11" s="124" t="s">
        <v>2057</v>
      </c>
      <c r="G11" s="123">
        <v>310</v>
      </c>
      <c r="H11" s="123">
        <v>747</v>
      </c>
      <c r="I11" s="123">
        <v>642</v>
      </c>
      <c r="J11" s="123">
        <v>355</v>
      </c>
      <c r="K11" s="123" t="str">
        <f t="shared" si="0"/>
        <v/>
      </c>
      <c r="M11" s="123">
        <v>228</v>
      </c>
      <c r="N11" t="b">
        <f t="shared" si="1"/>
        <v>0</v>
      </c>
      <c r="O11" s="123">
        <v>727</v>
      </c>
      <c r="P11" t="b">
        <f t="shared" si="2"/>
        <v>0</v>
      </c>
    </row>
    <row r="12" spans="1:18">
      <c r="A12" s="121">
        <v>11</v>
      </c>
      <c r="B12" s="185" t="s">
        <v>2176</v>
      </c>
      <c r="C12" s="185" t="s">
        <v>2197</v>
      </c>
      <c r="D12" s="122" t="s">
        <v>2194</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5" t="s">
        <v>2176</v>
      </c>
      <c r="C13" s="185" t="s">
        <v>2198</v>
      </c>
      <c r="D13" s="122" t="s">
        <v>2194</v>
      </c>
      <c r="E13" s="124">
        <v>42938</v>
      </c>
      <c r="F13" s="124" t="s">
        <v>2057</v>
      </c>
      <c r="G13" s="123" t="s">
        <v>2057</v>
      </c>
      <c r="H13" s="123" t="s">
        <v>2057</v>
      </c>
      <c r="I13" s="123" t="s">
        <v>2057</v>
      </c>
      <c r="J13" s="123" t="s">
        <v>2057</v>
      </c>
      <c r="K13" s="123" t="str">
        <f t="shared" si="0"/>
        <v/>
      </c>
      <c r="M13" s="123">
        <v>310</v>
      </c>
      <c r="N13" t="b">
        <f t="shared" si="1"/>
        <v>0</v>
      </c>
      <c r="O13" s="123">
        <v>747</v>
      </c>
      <c r="P13" t="b">
        <f t="shared" si="2"/>
        <v>0</v>
      </c>
    </row>
    <row r="14" spans="1:18">
      <c r="A14" s="121">
        <v>13</v>
      </c>
      <c r="B14" s="185" t="s">
        <v>2176</v>
      </c>
      <c r="C14" s="185" t="s">
        <v>2199</v>
      </c>
      <c r="D14" s="122" t="s">
        <v>2194</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5" t="s">
        <v>2176</v>
      </c>
      <c r="C15" s="185" t="s">
        <v>2201</v>
      </c>
      <c r="D15" s="122" t="s">
        <v>2194</v>
      </c>
      <c r="E15" s="124">
        <v>42938</v>
      </c>
      <c r="F15" s="124">
        <v>43007</v>
      </c>
      <c r="G15" s="123">
        <v>225</v>
      </c>
      <c r="H15" s="123">
        <v>838</v>
      </c>
      <c r="I15" s="129">
        <v>219</v>
      </c>
      <c r="J15" s="123">
        <v>652</v>
      </c>
      <c r="K15" s="123">
        <f t="shared" si="0"/>
        <v>69</v>
      </c>
      <c r="M15" s="169" t="s">
        <v>2057</v>
      </c>
      <c r="N15" s="181" t="b">
        <f t="shared" si="1"/>
        <v>1</v>
      </c>
      <c r="O15" s="169" t="s">
        <v>2057</v>
      </c>
      <c r="P15" s="181" t="b">
        <f t="shared" si="2"/>
        <v>1</v>
      </c>
    </row>
    <row r="16" spans="1:18">
      <c r="A16" s="121">
        <v>15</v>
      </c>
      <c r="B16" s="185" t="s">
        <v>2176</v>
      </c>
      <c r="C16" s="185" t="s">
        <v>2202</v>
      </c>
      <c r="D16" s="122" t="s">
        <v>2194</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5" t="s">
        <v>2176</v>
      </c>
      <c r="C17" s="185" t="s">
        <v>2205</v>
      </c>
      <c r="D17" s="122" t="s">
        <v>2194</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5" t="s">
        <v>2176</v>
      </c>
      <c r="C18" s="185" t="s">
        <v>2207</v>
      </c>
      <c r="D18" s="122" t="s">
        <v>2208</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5" t="s">
        <v>2176</v>
      </c>
      <c r="C19" s="185" t="s">
        <v>2210</v>
      </c>
      <c r="D19" s="122" t="s">
        <v>2208</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5" t="s">
        <v>2176</v>
      </c>
      <c r="C20" s="185" t="s">
        <v>2211</v>
      </c>
      <c r="D20" s="122" t="s">
        <v>2208</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5" t="s">
        <v>2176</v>
      </c>
      <c r="C21" s="185" t="s">
        <v>2212</v>
      </c>
      <c r="D21" s="122" t="s">
        <v>2208</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5" t="s">
        <v>2176</v>
      </c>
      <c r="C22" s="185" t="s">
        <v>2213</v>
      </c>
      <c r="D22" s="122" t="s">
        <v>2208</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5" t="s">
        <v>2176</v>
      </c>
      <c r="C23" s="185" t="s">
        <v>2214</v>
      </c>
      <c r="D23" s="122" t="s">
        <v>2208</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5" t="s">
        <v>2176</v>
      </c>
      <c r="C24" s="185" t="s">
        <v>2215</v>
      </c>
      <c r="D24" s="122" t="s">
        <v>2208</v>
      </c>
      <c r="E24" s="125" t="s">
        <v>2057</v>
      </c>
      <c r="F24" s="125" t="s">
        <v>2057</v>
      </c>
      <c r="G24" s="125" t="s">
        <v>2057</v>
      </c>
      <c r="H24" s="125" t="s">
        <v>2057</v>
      </c>
      <c r="I24" s="125" t="s">
        <v>2057</v>
      </c>
      <c r="J24" s="125" t="s">
        <v>2057</v>
      </c>
      <c r="K24" s="123" t="str">
        <f t="shared" si="0"/>
        <v/>
      </c>
      <c r="M24" s="123">
        <v>468</v>
      </c>
      <c r="N24" t="b">
        <f t="shared" si="1"/>
        <v>0</v>
      </c>
      <c r="O24" s="123">
        <v>630</v>
      </c>
      <c r="P24" t="b">
        <f t="shared" si="2"/>
        <v>0</v>
      </c>
    </row>
    <row r="25" spans="1:16">
      <c r="A25" s="121">
        <v>24</v>
      </c>
      <c r="B25" s="185" t="s">
        <v>2176</v>
      </c>
      <c r="C25" s="185" t="s">
        <v>2216</v>
      </c>
      <c r="D25" s="122" t="s">
        <v>2208</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5" t="s">
        <v>2176</v>
      </c>
      <c r="C26" s="185" t="s">
        <v>2217</v>
      </c>
      <c r="D26" s="122" t="s">
        <v>2218</v>
      </c>
      <c r="E26" s="124">
        <v>42936</v>
      </c>
      <c r="F26" s="124">
        <v>43007</v>
      </c>
      <c r="G26" s="123">
        <v>32</v>
      </c>
      <c r="H26" s="123">
        <v>43</v>
      </c>
      <c r="I26" s="123">
        <v>156</v>
      </c>
      <c r="J26" s="123">
        <v>230</v>
      </c>
      <c r="K26" s="123">
        <f t="shared" si="0"/>
        <v>71</v>
      </c>
      <c r="M26" s="125" t="s">
        <v>2057</v>
      </c>
      <c r="N26" t="b">
        <f t="shared" si="1"/>
        <v>1</v>
      </c>
      <c r="O26" s="125" t="s">
        <v>2057</v>
      </c>
      <c r="P26" t="b">
        <f t="shared" si="2"/>
        <v>1</v>
      </c>
    </row>
    <row r="27" spans="1:16">
      <c r="A27" s="121">
        <v>26</v>
      </c>
      <c r="B27" s="185" t="s">
        <v>2176</v>
      </c>
      <c r="C27" s="185" t="s">
        <v>2219</v>
      </c>
      <c r="D27" s="122" t="s">
        <v>2218</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5" t="s">
        <v>2176</v>
      </c>
      <c r="C28" s="185" t="s">
        <v>2220</v>
      </c>
      <c r="D28" s="122" t="s">
        <v>2218</v>
      </c>
      <c r="E28" s="124">
        <v>42936</v>
      </c>
      <c r="F28" s="124">
        <v>43007</v>
      </c>
      <c r="G28" s="123">
        <v>340</v>
      </c>
      <c r="H28" s="123">
        <v>666</v>
      </c>
      <c r="I28" s="123">
        <v>378</v>
      </c>
      <c r="J28" s="123">
        <v>199</v>
      </c>
      <c r="K28" s="123">
        <f t="shared" si="0"/>
        <v>71</v>
      </c>
      <c r="M28" s="165">
        <v>32</v>
      </c>
      <c r="N28" t="b">
        <f t="shared" si="1"/>
        <v>1</v>
      </c>
      <c r="O28" s="123">
        <v>43</v>
      </c>
      <c r="P28" t="b">
        <f t="shared" si="2"/>
        <v>0</v>
      </c>
    </row>
    <row r="29" spans="1:16">
      <c r="A29" s="121">
        <v>28</v>
      </c>
      <c r="B29" s="185" t="s">
        <v>2176</v>
      </c>
      <c r="C29" s="185" t="s">
        <v>2221</v>
      </c>
      <c r="D29" s="122" t="s">
        <v>2218</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5" t="s">
        <v>2176</v>
      </c>
      <c r="C30" s="185" t="s">
        <v>2222</v>
      </c>
      <c r="D30" s="122" t="s">
        <v>2218</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5" t="s">
        <v>2176</v>
      </c>
      <c r="C31" s="185" t="s">
        <v>2223</v>
      </c>
      <c r="D31" s="122" t="s">
        <v>2218</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5" t="s">
        <v>2176</v>
      </c>
      <c r="C32" s="185" t="s">
        <v>2224</v>
      </c>
      <c r="D32" s="122" t="s">
        <v>2218</v>
      </c>
      <c r="E32" s="125" t="s">
        <v>2057</v>
      </c>
      <c r="F32" s="125" t="s">
        <v>2057</v>
      </c>
      <c r="G32" s="125" t="s">
        <v>2057</v>
      </c>
      <c r="H32" s="125" t="s">
        <v>2057</v>
      </c>
      <c r="I32" s="125" t="s">
        <v>2057</v>
      </c>
      <c r="J32" s="125" t="s">
        <v>2057</v>
      </c>
      <c r="K32" s="123" t="str">
        <f t="shared" si="0"/>
        <v/>
      </c>
      <c r="M32" s="123">
        <v>319</v>
      </c>
      <c r="N32" t="b">
        <f t="shared" si="1"/>
        <v>0</v>
      </c>
      <c r="O32" s="123">
        <v>305</v>
      </c>
      <c r="P32" t="b">
        <f t="shared" si="2"/>
        <v>0</v>
      </c>
    </row>
    <row r="33" spans="1:16">
      <c r="A33" s="121">
        <v>32</v>
      </c>
      <c r="B33" s="185" t="s">
        <v>2176</v>
      </c>
      <c r="C33" s="185" t="s">
        <v>2225</v>
      </c>
      <c r="D33" s="122" t="s">
        <v>2218</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5" t="s">
        <v>2176</v>
      </c>
      <c r="C34" s="185" t="s">
        <v>2226</v>
      </c>
      <c r="D34" s="122" t="s">
        <v>2227</v>
      </c>
      <c r="E34" s="124">
        <v>42938</v>
      </c>
      <c r="F34" s="124">
        <v>43005</v>
      </c>
      <c r="G34" s="123">
        <v>218</v>
      </c>
      <c r="H34" s="123">
        <v>769</v>
      </c>
      <c r="I34" s="123">
        <v>139</v>
      </c>
      <c r="J34" s="123">
        <v>712</v>
      </c>
      <c r="K34" s="123">
        <f t="shared" si="0"/>
        <v>67</v>
      </c>
      <c r="M34" s="125" t="s">
        <v>2057</v>
      </c>
      <c r="N34" t="b">
        <f t="shared" si="1"/>
        <v>1</v>
      </c>
      <c r="O34" s="125" t="s">
        <v>2057</v>
      </c>
      <c r="P34" t="b">
        <f t="shared" si="2"/>
        <v>1</v>
      </c>
    </row>
    <row r="35" spans="1:16">
      <c r="A35" s="121">
        <v>34</v>
      </c>
      <c r="B35" s="185" t="s">
        <v>2176</v>
      </c>
      <c r="C35" s="185" t="s">
        <v>2229</v>
      </c>
      <c r="D35" s="122" t="s">
        <v>2227</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5" t="s">
        <v>2176</v>
      </c>
      <c r="C36" s="185" t="s">
        <v>2232</v>
      </c>
      <c r="D36" s="122" t="s">
        <v>2227</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5" t="s">
        <v>2176</v>
      </c>
      <c r="C37" s="185" t="s">
        <v>2233</v>
      </c>
      <c r="D37" s="122" t="s">
        <v>2227</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5" t="s">
        <v>2176</v>
      </c>
      <c r="C38" s="185" t="s">
        <v>2235</v>
      </c>
      <c r="D38" s="122" t="s">
        <v>2227</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5" t="s">
        <v>2176</v>
      </c>
      <c r="C39" s="185" t="s">
        <v>2237</v>
      </c>
      <c r="D39" s="122" t="s">
        <v>2227</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5" t="s">
        <v>2176</v>
      </c>
      <c r="C40" s="185" t="s">
        <v>2239</v>
      </c>
      <c r="D40" s="122" t="s">
        <v>2227</v>
      </c>
      <c r="E40" s="124">
        <v>42938</v>
      </c>
      <c r="F40" s="123" t="s">
        <v>2057</v>
      </c>
      <c r="G40" s="125" t="s">
        <v>2057</v>
      </c>
      <c r="H40" s="125" t="s">
        <v>2057</v>
      </c>
      <c r="I40" s="125" t="s">
        <v>2057</v>
      </c>
      <c r="J40" s="125" t="s">
        <v>2057</v>
      </c>
      <c r="K40" s="123" t="str">
        <f t="shared" si="0"/>
        <v/>
      </c>
      <c r="M40" s="123">
        <v>66</v>
      </c>
      <c r="N40" t="b">
        <f t="shared" si="1"/>
        <v>0</v>
      </c>
      <c r="O40" s="123">
        <v>722</v>
      </c>
      <c r="P40" t="b">
        <f t="shared" si="2"/>
        <v>0</v>
      </c>
    </row>
    <row r="41" spans="1:16">
      <c r="A41" s="121">
        <v>40</v>
      </c>
      <c r="B41" s="185" t="s">
        <v>2176</v>
      </c>
      <c r="C41" s="185" t="s">
        <v>2241</v>
      </c>
      <c r="D41" s="122" t="s">
        <v>2227</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5" t="s">
        <v>2176</v>
      </c>
      <c r="C42" s="185" t="s">
        <v>2243</v>
      </c>
      <c r="D42" s="122" t="s">
        <v>2244</v>
      </c>
      <c r="E42" s="124">
        <v>42938</v>
      </c>
      <c r="F42" s="124">
        <v>43005</v>
      </c>
      <c r="G42" s="123">
        <v>256</v>
      </c>
      <c r="H42" s="123">
        <v>820</v>
      </c>
      <c r="I42" s="123">
        <v>43</v>
      </c>
      <c r="J42" s="123">
        <v>648</v>
      </c>
      <c r="K42" s="123">
        <f t="shared" si="0"/>
        <v>67</v>
      </c>
      <c r="M42" s="125" t="s">
        <v>2057</v>
      </c>
      <c r="N42" t="b">
        <f t="shared" si="1"/>
        <v>1</v>
      </c>
      <c r="O42" s="125" t="s">
        <v>2057</v>
      </c>
      <c r="P42" t="b">
        <f t="shared" si="2"/>
        <v>1</v>
      </c>
    </row>
    <row r="43" spans="1:16">
      <c r="A43" s="121">
        <v>42</v>
      </c>
      <c r="B43" s="185" t="s">
        <v>2176</v>
      </c>
      <c r="C43" s="185" t="s">
        <v>2245</v>
      </c>
      <c r="D43" s="122" t="s">
        <v>2244</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5" t="s">
        <v>2176</v>
      </c>
      <c r="C44" s="185" t="s">
        <v>2247</v>
      </c>
      <c r="D44" s="122" t="s">
        <v>2244</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5" t="s">
        <v>2176</v>
      </c>
      <c r="C45" s="185" t="s">
        <v>2248</v>
      </c>
      <c r="D45" s="122" t="s">
        <v>2244</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5" t="s">
        <v>2176</v>
      </c>
      <c r="C46" s="185" t="s">
        <v>2249</v>
      </c>
      <c r="D46" s="122" t="s">
        <v>2244</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5" t="s">
        <v>2176</v>
      </c>
      <c r="C47" s="185" t="s">
        <v>2251</v>
      </c>
      <c r="D47" s="122" t="s">
        <v>2244</v>
      </c>
      <c r="E47" s="123" t="s">
        <v>2057</v>
      </c>
      <c r="F47" s="124" t="s">
        <v>2057</v>
      </c>
      <c r="G47" s="123" t="s">
        <v>2057</v>
      </c>
      <c r="H47" s="123" t="s">
        <v>2057</v>
      </c>
      <c r="I47" s="123" t="s">
        <v>2057</v>
      </c>
      <c r="J47" s="123" t="s">
        <v>2057</v>
      </c>
      <c r="K47" s="123" t="str">
        <f t="shared" si="0"/>
        <v/>
      </c>
      <c r="M47" s="123">
        <v>115</v>
      </c>
      <c r="N47" t="b">
        <f t="shared" si="1"/>
        <v>0</v>
      </c>
      <c r="O47" s="123">
        <v>783</v>
      </c>
      <c r="P47" t="b">
        <f t="shared" si="2"/>
        <v>0</v>
      </c>
    </row>
    <row r="48" spans="1:16">
      <c r="A48" s="121">
        <v>47</v>
      </c>
      <c r="B48" s="185" t="s">
        <v>2176</v>
      </c>
      <c r="C48" s="185" t="s">
        <v>2252</v>
      </c>
      <c r="D48" s="122" t="s">
        <v>2244</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5" t="s">
        <v>2176</v>
      </c>
      <c r="C49" s="185" t="s">
        <v>2254</v>
      </c>
      <c r="D49" s="122" t="s">
        <v>2244</v>
      </c>
      <c r="E49" s="124">
        <v>42938</v>
      </c>
      <c r="F49" s="124">
        <v>43005</v>
      </c>
      <c r="G49" s="123">
        <v>233</v>
      </c>
      <c r="H49" s="123">
        <v>828</v>
      </c>
      <c r="I49" s="123">
        <v>267</v>
      </c>
      <c r="J49" s="123">
        <v>221</v>
      </c>
      <c r="K49" s="123">
        <f t="shared" si="0"/>
        <v>67</v>
      </c>
      <c r="M49" s="123" t="s">
        <v>2057</v>
      </c>
      <c r="N49" t="b">
        <f t="shared" si="1"/>
        <v>1</v>
      </c>
      <c r="O49" s="123" t="s">
        <v>2057</v>
      </c>
      <c r="P49" t="b">
        <f t="shared" si="2"/>
        <v>1</v>
      </c>
    </row>
    <row r="50" spans="1:16">
      <c r="A50" s="121">
        <v>49</v>
      </c>
      <c r="B50" s="185" t="s">
        <v>2176</v>
      </c>
      <c r="C50" s="185" t="s">
        <v>2255</v>
      </c>
      <c r="D50" s="122" t="s">
        <v>2256</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5" t="s">
        <v>2176</v>
      </c>
      <c r="C51" s="185" t="s">
        <v>2257</v>
      </c>
      <c r="D51" s="122" t="s">
        <v>2256</v>
      </c>
      <c r="E51" s="124">
        <v>42938</v>
      </c>
      <c r="F51" s="124" t="s">
        <v>2057</v>
      </c>
      <c r="G51" s="123">
        <v>276</v>
      </c>
      <c r="H51" s="123">
        <v>754</v>
      </c>
      <c r="I51" s="123">
        <v>212</v>
      </c>
      <c r="J51" s="123">
        <v>644</v>
      </c>
      <c r="K51" s="123" t="str">
        <f t="shared" si="0"/>
        <v/>
      </c>
      <c r="M51" s="123">
        <v>233</v>
      </c>
      <c r="N51" t="b">
        <f t="shared" si="1"/>
        <v>0</v>
      </c>
      <c r="O51" s="123">
        <v>828</v>
      </c>
      <c r="P51" t="b">
        <f t="shared" si="2"/>
        <v>0</v>
      </c>
    </row>
    <row r="52" spans="1:16">
      <c r="A52" s="121">
        <v>51</v>
      </c>
      <c r="B52" s="185" t="s">
        <v>2176</v>
      </c>
      <c r="C52" s="185" t="s">
        <v>2258</v>
      </c>
      <c r="D52" s="122" t="s">
        <v>2256</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5" t="s">
        <v>2176</v>
      </c>
      <c r="C53" s="185" t="s">
        <v>2259</v>
      </c>
      <c r="D53" s="122" t="s">
        <v>2256</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5" t="s">
        <v>2176</v>
      </c>
      <c r="C54" s="185" t="s">
        <v>2260</v>
      </c>
      <c r="D54" s="122" t="s">
        <v>2256</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5" t="s">
        <v>2176</v>
      </c>
      <c r="C55" s="185" t="s">
        <v>2261</v>
      </c>
      <c r="D55" s="122" t="s">
        <v>2256</v>
      </c>
      <c r="E55" s="123" t="s">
        <v>2057</v>
      </c>
      <c r="F55" s="123" t="s">
        <v>2057</v>
      </c>
      <c r="G55" s="123" t="s">
        <v>2057</v>
      </c>
      <c r="H55" s="123" t="s">
        <v>2057</v>
      </c>
      <c r="I55" s="123" t="s">
        <v>2057</v>
      </c>
      <c r="J55" s="123" t="s">
        <v>2057</v>
      </c>
      <c r="K55" s="123" t="str">
        <f t="shared" si="0"/>
        <v/>
      </c>
      <c r="M55" s="123">
        <v>237</v>
      </c>
      <c r="N55" t="b">
        <f t="shared" si="1"/>
        <v>0</v>
      </c>
      <c r="O55" s="123">
        <v>833</v>
      </c>
      <c r="P55" t="b">
        <f t="shared" si="2"/>
        <v>0</v>
      </c>
    </row>
    <row r="56" spans="1:16">
      <c r="A56" s="121">
        <v>55</v>
      </c>
      <c r="B56" s="185" t="s">
        <v>2176</v>
      </c>
      <c r="C56" s="185" t="s">
        <v>2262</v>
      </c>
      <c r="D56" s="122" t="s">
        <v>2256</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5" t="s">
        <v>2176</v>
      </c>
      <c r="C57" s="185" t="s">
        <v>2263</v>
      </c>
      <c r="D57" s="122" t="s">
        <v>2256</v>
      </c>
      <c r="E57" s="124">
        <v>42938</v>
      </c>
      <c r="F57" s="124">
        <v>43005</v>
      </c>
      <c r="G57" s="123">
        <v>107</v>
      </c>
      <c r="H57" s="123">
        <v>760</v>
      </c>
      <c r="I57" s="123">
        <v>493</v>
      </c>
      <c r="J57" s="123">
        <v>227</v>
      </c>
      <c r="K57" s="123">
        <f t="shared" si="0"/>
        <v>67</v>
      </c>
      <c r="M57" s="123" t="s">
        <v>2057</v>
      </c>
      <c r="N57" t="b">
        <f t="shared" si="1"/>
        <v>1</v>
      </c>
      <c r="O57" s="123" t="s">
        <v>2057</v>
      </c>
      <c r="P57" t="b">
        <f t="shared" si="2"/>
        <v>1</v>
      </c>
    </row>
    <row r="58" spans="1:16">
      <c r="A58" s="121">
        <v>57</v>
      </c>
      <c r="B58" s="185" t="s">
        <v>2176</v>
      </c>
      <c r="C58" s="187" t="s">
        <v>2264</v>
      </c>
      <c r="D58" s="122" t="s">
        <v>2265</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5" t="s">
        <v>2176</v>
      </c>
      <c r="C59" s="187" t="s">
        <v>2267</v>
      </c>
      <c r="D59" s="122" t="s">
        <v>2265</v>
      </c>
      <c r="E59" s="124">
        <v>42938</v>
      </c>
      <c r="F59" s="124">
        <v>43005</v>
      </c>
      <c r="G59" s="123">
        <v>481</v>
      </c>
      <c r="H59" s="123">
        <v>725</v>
      </c>
      <c r="I59" s="123">
        <v>735</v>
      </c>
      <c r="J59" s="123">
        <v>689</v>
      </c>
      <c r="K59" s="123">
        <f t="shared" si="0"/>
        <v>67</v>
      </c>
      <c r="M59" s="165">
        <v>107</v>
      </c>
      <c r="N59" t="b">
        <f t="shared" si="1"/>
        <v>1</v>
      </c>
      <c r="O59" s="123">
        <v>760</v>
      </c>
      <c r="P59" t="b">
        <f t="shared" si="2"/>
        <v>0</v>
      </c>
    </row>
    <row r="60" spans="1:16">
      <c r="A60" s="121">
        <v>59</v>
      </c>
      <c r="B60" s="185" t="s">
        <v>2176</v>
      </c>
      <c r="C60" s="187" t="s">
        <v>2268</v>
      </c>
      <c r="D60" s="122" t="s">
        <v>2265</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5" t="s">
        <v>2176</v>
      </c>
      <c r="C61" s="187" t="s">
        <v>2269</v>
      </c>
      <c r="D61" s="122" t="s">
        <v>2265</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5" t="s">
        <v>2176</v>
      </c>
      <c r="C62" s="187" t="s">
        <v>2271</v>
      </c>
      <c r="D62" s="122" t="s">
        <v>2265</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5" t="s">
        <v>2176</v>
      </c>
      <c r="C63" s="187" t="s">
        <v>2272</v>
      </c>
      <c r="D63" s="122" t="s">
        <v>2265</v>
      </c>
      <c r="E63" s="125" t="s">
        <v>2057</v>
      </c>
      <c r="F63" s="124" t="s">
        <v>2057</v>
      </c>
      <c r="G63" s="125" t="s">
        <v>2057</v>
      </c>
      <c r="H63" s="125" t="s">
        <v>2057</v>
      </c>
      <c r="I63" s="125" t="s">
        <v>2057</v>
      </c>
      <c r="J63" s="125" t="s">
        <v>2057</v>
      </c>
      <c r="K63" s="123" t="str">
        <f t="shared" si="0"/>
        <v/>
      </c>
      <c r="M63" s="123">
        <v>152</v>
      </c>
      <c r="N63" t="b">
        <f t="shared" si="1"/>
        <v>0</v>
      </c>
      <c r="O63" s="123">
        <v>763</v>
      </c>
      <c r="P63" t="b">
        <f t="shared" si="2"/>
        <v>0</v>
      </c>
    </row>
    <row r="64" spans="1:16">
      <c r="A64" s="121">
        <v>63</v>
      </c>
      <c r="B64" s="185" t="s">
        <v>2176</v>
      </c>
      <c r="C64" s="187" t="s">
        <v>2274</v>
      </c>
      <c r="D64" s="122" t="s">
        <v>2265</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5" t="s">
        <v>2176</v>
      </c>
      <c r="C65" s="187" t="s">
        <v>2275</v>
      </c>
      <c r="D65" s="122" t="s">
        <v>2265</v>
      </c>
      <c r="E65" s="124">
        <v>42938</v>
      </c>
      <c r="F65" s="124">
        <v>43005</v>
      </c>
      <c r="G65" s="129">
        <v>347</v>
      </c>
      <c r="H65" s="123">
        <v>765</v>
      </c>
      <c r="I65" s="123">
        <v>84</v>
      </c>
      <c r="J65" s="129">
        <v>237</v>
      </c>
      <c r="K65" s="123">
        <f t="shared" si="0"/>
        <v>67</v>
      </c>
      <c r="M65" s="125" t="s">
        <v>2057</v>
      </c>
      <c r="N65" t="b">
        <f t="shared" si="1"/>
        <v>1</v>
      </c>
      <c r="O65" s="125" t="s">
        <v>2057</v>
      </c>
      <c r="P65" t="b">
        <f t="shared" si="2"/>
        <v>1</v>
      </c>
    </row>
    <row r="66" spans="1:16">
      <c r="A66" s="121">
        <v>65</v>
      </c>
      <c r="B66" s="185" t="s">
        <v>2276</v>
      </c>
      <c r="C66" s="185" t="s">
        <v>2277</v>
      </c>
      <c r="D66" s="122" t="s">
        <v>2278</v>
      </c>
      <c r="E66" s="124">
        <v>42937</v>
      </c>
      <c r="F66" s="124">
        <v>43005</v>
      </c>
      <c r="G66" s="123">
        <v>495</v>
      </c>
      <c r="H66" s="123">
        <v>731</v>
      </c>
      <c r="I66" s="164">
        <v>586</v>
      </c>
      <c r="J66" s="164">
        <v>654</v>
      </c>
      <c r="K66" s="123">
        <f t="shared" si="0"/>
        <v>68</v>
      </c>
      <c r="M66" s="123">
        <v>49</v>
      </c>
      <c r="N66" t="b">
        <f t="shared" si="1"/>
        <v>0</v>
      </c>
      <c r="O66" s="123">
        <v>733</v>
      </c>
      <c r="P66" t="b">
        <f t="shared" si="2"/>
        <v>0</v>
      </c>
    </row>
    <row r="67" spans="1:16">
      <c r="A67" s="121">
        <v>66</v>
      </c>
      <c r="B67" s="185" t="s">
        <v>2276</v>
      </c>
      <c r="C67" s="185" t="s">
        <v>2279</v>
      </c>
      <c r="D67" s="122" t="s">
        <v>2278</v>
      </c>
      <c r="E67" s="124">
        <v>42937</v>
      </c>
      <c r="F67" s="124">
        <v>43005</v>
      </c>
      <c r="G67" s="123">
        <v>247</v>
      </c>
      <c r="H67" s="123">
        <v>816</v>
      </c>
      <c r="I67" s="123">
        <v>851</v>
      </c>
      <c r="J67" s="123">
        <v>634</v>
      </c>
      <c r="K67" s="123">
        <f t="shared" ref="K67:K130" si="3">IFERROR(F67-E67,"")</f>
        <v>68</v>
      </c>
      <c r="M67" s="165">
        <v>347</v>
      </c>
      <c r="N67" t="b">
        <f t="shared" si="1"/>
        <v>1</v>
      </c>
      <c r="O67" s="123">
        <v>765</v>
      </c>
      <c r="P67" t="b">
        <f t="shared" si="2"/>
        <v>0</v>
      </c>
    </row>
    <row r="68" spans="1:16">
      <c r="A68" s="121">
        <v>67</v>
      </c>
      <c r="B68" s="185" t="s">
        <v>2276</v>
      </c>
      <c r="C68" s="185" t="s">
        <v>2280</v>
      </c>
      <c r="D68" s="122" t="s">
        <v>2278</v>
      </c>
      <c r="E68" s="125" t="s">
        <v>2519</v>
      </c>
      <c r="F68" s="124" t="s">
        <v>2057</v>
      </c>
      <c r="G68" s="125" t="s">
        <v>2519</v>
      </c>
      <c r="H68" s="125" t="s">
        <v>2519</v>
      </c>
      <c r="I68" s="125" t="s">
        <v>2519</v>
      </c>
      <c r="J68" s="125" t="s">
        <v>2519</v>
      </c>
      <c r="K68" s="123" t="str">
        <f t="shared" si="3"/>
        <v/>
      </c>
      <c r="M68" s="123">
        <v>495</v>
      </c>
      <c r="N68" t="b">
        <f t="shared" ref="N68:N131" si="4">COUNTIF($M$4:$M$443, M68)&gt;1</f>
        <v>0</v>
      </c>
      <c r="O68" s="123">
        <v>731</v>
      </c>
      <c r="P68" t="b">
        <f t="shared" si="2"/>
        <v>0</v>
      </c>
    </row>
    <row r="69" spans="1:16">
      <c r="A69" s="121">
        <v>68</v>
      </c>
      <c r="B69" s="185" t="s">
        <v>2276</v>
      </c>
      <c r="C69" s="185" t="s">
        <v>2281</v>
      </c>
      <c r="D69" s="122" t="s">
        <v>2278</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5" t="s">
        <v>2276</v>
      </c>
      <c r="C70" s="185" t="s">
        <v>2282</v>
      </c>
      <c r="D70" s="122" t="s">
        <v>2278</v>
      </c>
      <c r="E70" s="124">
        <v>42937</v>
      </c>
      <c r="F70" s="124">
        <v>43006</v>
      </c>
      <c r="G70" s="123">
        <v>382</v>
      </c>
      <c r="H70" s="123">
        <v>741</v>
      </c>
      <c r="I70" s="123">
        <v>766</v>
      </c>
      <c r="J70" s="123">
        <v>174</v>
      </c>
      <c r="K70" s="123">
        <f t="shared" si="3"/>
        <v>69</v>
      </c>
      <c r="M70" s="125" t="s">
        <v>2519</v>
      </c>
      <c r="N70" t="b">
        <f t="shared" si="4"/>
        <v>1</v>
      </c>
      <c r="O70" s="125" t="s">
        <v>2519</v>
      </c>
      <c r="P70" t="b">
        <f t="shared" si="5"/>
        <v>1</v>
      </c>
    </row>
    <row r="71" spans="1:16">
      <c r="A71" s="121">
        <v>70</v>
      </c>
      <c r="B71" s="185" t="s">
        <v>2276</v>
      </c>
      <c r="C71" s="185" t="s">
        <v>2283</v>
      </c>
      <c r="D71" s="122" t="s">
        <v>2278</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5" t="s">
        <v>2276</v>
      </c>
      <c r="C72" s="185" t="s">
        <v>2284</v>
      </c>
      <c r="D72" s="122" t="s">
        <v>2278</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5" t="s">
        <v>2276</v>
      </c>
      <c r="C73" s="185" t="s">
        <v>2285</v>
      </c>
      <c r="D73" s="122" t="s">
        <v>2278</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5" t="s">
        <v>2276</v>
      </c>
      <c r="C74" s="185" t="s">
        <v>2286</v>
      </c>
      <c r="D74" s="122" t="s">
        <v>2287</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5" t="s">
        <v>2276</v>
      </c>
      <c r="C75" s="185" t="s">
        <v>2288</v>
      </c>
      <c r="D75" s="122" t="s">
        <v>2287</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5" t="s">
        <v>2276</v>
      </c>
      <c r="C76" s="185" t="s">
        <v>2289</v>
      </c>
      <c r="D76" s="122" t="s">
        <v>2287</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5" t="s">
        <v>2276</v>
      </c>
      <c r="C77" s="185" t="s">
        <v>2290</v>
      </c>
      <c r="D77" s="122" t="s">
        <v>2287</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5" t="s">
        <v>2276</v>
      </c>
      <c r="C78" s="185" t="s">
        <v>2291</v>
      </c>
      <c r="D78" s="122" t="s">
        <v>2287</v>
      </c>
      <c r="E78" s="123" t="s">
        <v>2057</v>
      </c>
      <c r="F78" s="123" t="s">
        <v>2057</v>
      </c>
      <c r="G78" s="123" t="s">
        <v>2057</v>
      </c>
      <c r="H78" s="123" t="s">
        <v>2057</v>
      </c>
      <c r="I78" s="123" t="s">
        <v>2057</v>
      </c>
      <c r="J78" s="123" t="s">
        <v>2057</v>
      </c>
      <c r="K78" s="123" t="str">
        <f t="shared" si="3"/>
        <v/>
      </c>
      <c r="M78" s="123">
        <v>215</v>
      </c>
      <c r="N78" t="b">
        <f t="shared" si="4"/>
        <v>0</v>
      </c>
      <c r="O78" s="123">
        <v>840</v>
      </c>
      <c r="P78" t="b">
        <f t="shared" si="5"/>
        <v>0</v>
      </c>
    </row>
    <row r="79" spans="1:16">
      <c r="A79" s="121">
        <v>78</v>
      </c>
      <c r="B79" s="185" t="s">
        <v>2276</v>
      </c>
      <c r="C79" s="185" t="s">
        <v>2292</v>
      </c>
      <c r="D79" s="122" t="s">
        <v>2287</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5" t="s">
        <v>2276</v>
      </c>
      <c r="C80" s="185" t="s">
        <v>2293</v>
      </c>
      <c r="D80" s="122" t="s">
        <v>2287</v>
      </c>
      <c r="E80" s="124">
        <v>42937</v>
      </c>
      <c r="F80" s="124">
        <v>43006</v>
      </c>
      <c r="G80" s="123">
        <v>120</v>
      </c>
      <c r="H80" s="123">
        <v>270</v>
      </c>
      <c r="I80" s="123">
        <v>226</v>
      </c>
      <c r="J80" s="123">
        <v>61</v>
      </c>
      <c r="K80" s="123">
        <f t="shared" si="3"/>
        <v>69</v>
      </c>
      <c r="M80" s="123" t="s">
        <v>2057</v>
      </c>
      <c r="N80" t="b">
        <f t="shared" si="4"/>
        <v>1</v>
      </c>
      <c r="O80" s="123" t="s">
        <v>2057</v>
      </c>
      <c r="P80" t="b">
        <f t="shared" si="5"/>
        <v>1</v>
      </c>
    </row>
    <row r="81" spans="1:16">
      <c r="A81" s="121">
        <v>80</v>
      </c>
      <c r="B81" s="185" t="s">
        <v>2276</v>
      </c>
      <c r="C81" s="185" t="s">
        <v>2294</v>
      </c>
      <c r="D81" s="122" t="s">
        <v>2287</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5" t="s">
        <v>2276</v>
      </c>
      <c r="C82" s="185" t="s">
        <v>2295</v>
      </c>
      <c r="D82" s="122" t="s">
        <v>2296</v>
      </c>
      <c r="E82" s="124">
        <v>42937</v>
      </c>
      <c r="F82" s="124">
        <v>43006</v>
      </c>
      <c r="G82" s="123">
        <v>312</v>
      </c>
      <c r="H82" s="123">
        <v>739</v>
      </c>
      <c r="I82" s="123">
        <v>413</v>
      </c>
      <c r="J82" s="123">
        <v>366</v>
      </c>
      <c r="K82" s="123">
        <f t="shared" si="3"/>
        <v>69</v>
      </c>
      <c r="M82" s="165">
        <v>120</v>
      </c>
      <c r="N82" t="b">
        <f t="shared" si="4"/>
        <v>1</v>
      </c>
      <c r="O82" s="123">
        <v>270</v>
      </c>
      <c r="P82" t="b">
        <f t="shared" si="5"/>
        <v>0</v>
      </c>
    </row>
    <row r="83" spans="1:16">
      <c r="A83" s="121">
        <v>82</v>
      </c>
      <c r="B83" s="185" t="s">
        <v>2297</v>
      </c>
      <c r="C83" s="185" t="s">
        <v>2298</v>
      </c>
      <c r="D83" s="122" t="s">
        <v>2296</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5" t="s">
        <v>2297</v>
      </c>
      <c r="C84" s="185" t="s">
        <v>2299</v>
      </c>
      <c r="D84" s="122" t="s">
        <v>2296</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5" t="s">
        <v>2297</v>
      </c>
      <c r="C85" s="185" t="s">
        <v>2300</v>
      </c>
      <c r="D85" s="122" t="s">
        <v>2296</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5" t="s">
        <v>2297</v>
      </c>
      <c r="C86" s="185" t="s">
        <v>2301</v>
      </c>
      <c r="D86" s="122" t="s">
        <v>2296</v>
      </c>
      <c r="E86" s="123" t="s">
        <v>2057</v>
      </c>
      <c r="F86" s="123" t="s">
        <v>2057</v>
      </c>
      <c r="G86" s="123" t="s">
        <v>2057</v>
      </c>
      <c r="H86" s="123" t="s">
        <v>2057</v>
      </c>
      <c r="I86" s="123" t="s">
        <v>2057</v>
      </c>
      <c r="J86" s="123" t="s">
        <v>2057</v>
      </c>
      <c r="K86" s="123" t="str">
        <f t="shared" si="3"/>
        <v/>
      </c>
      <c r="M86" s="123">
        <v>331</v>
      </c>
      <c r="N86" t="b">
        <f t="shared" si="4"/>
        <v>0</v>
      </c>
      <c r="O86" s="123">
        <v>764</v>
      </c>
      <c r="P86" t="b">
        <f t="shared" si="5"/>
        <v>0</v>
      </c>
    </row>
    <row r="87" spans="1:16">
      <c r="A87" s="121">
        <v>86</v>
      </c>
      <c r="B87" s="185" t="s">
        <v>2297</v>
      </c>
      <c r="C87" s="185" t="s">
        <v>2302</v>
      </c>
      <c r="D87" s="122" t="s">
        <v>2296</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5" t="s">
        <v>2297</v>
      </c>
      <c r="C88" s="185" t="s">
        <v>2303</v>
      </c>
      <c r="D88" s="122" t="s">
        <v>2296</v>
      </c>
      <c r="E88" s="124">
        <v>42937</v>
      </c>
      <c r="F88" s="124">
        <v>43006</v>
      </c>
      <c r="G88" s="123">
        <v>220</v>
      </c>
      <c r="H88" s="123">
        <v>394</v>
      </c>
      <c r="I88" s="123">
        <v>91</v>
      </c>
      <c r="J88" s="123">
        <v>277</v>
      </c>
      <c r="K88" s="123">
        <f t="shared" si="3"/>
        <v>69</v>
      </c>
      <c r="M88" s="123" t="s">
        <v>2057</v>
      </c>
      <c r="N88" t="b">
        <f t="shared" si="4"/>
        <v>1</v>
      </c>
      <c r="O88" s="123" t="s">
        <v>2057</v>
      </c>
      <c r="P88" t="b">
        <f t="shared" si="5"/>
        <v>1</v>
      </c>
    </row>
    <row r="89" spans="1:16">
      <c r="A89" s="121">
        <v>88</v>
      </c>
      <c r="B89" s="185" t="s">
        <v>2297</v>
      </c>
      <c r="C89" s="185" t="s">
        <v>2304</v>
      </c>
      <c r="D89" s="122" t="s">
        <v>2296</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5" t="s">
        <v>2297</v>
      </c>
      <c r="C90" s="185" t="s">
        <v>2305</v>
      </c>
      <c r="D90" s="122" t="s">
        <v>2306</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5" t="s">
        <v>2297</v>
      </c>
      <c r="C91" s="185" t="s">
        <v>2307</v>
      </c>
      <c r="D91" s="122" t="s">
        <v>2306</v>
      </c>
      <c r="E91" s="124">
        <v>42937</v>
      </c>
      <c r="F91" s="124">
        <v>43006</v>
      </c>
      <c r="G91" s="123">
        <v>264</v>
      </c>
      <c r="H91" s="123">
        <v>767</v>
      </c>
      <c r="I91" s="123">
        <v>330</v>
      </c>
      <c r="J91" s="123">
        <v>220</v>
      </c>
      <c r="K91" s="123">
        <f t="shared" si="3"/>
        <v>69</v>
      </c>
      <c r="M91" s="123">
        <v>531</v>
      </c>
      <c r="N91" t="b">
        <f t="shared" si="4"/>
        <v>0</v>
      </c>
      <c r="O91" s="165">
        <v>819</v>
      </c>
      <c r="P91" t="b">
        <f t="shared" si="5"/>
        <v>1</v>
      </c>
    </row>
    <row r="92" spans="1:16">
      <c r="A92" s="121">
        <v>91</v>
      </c>
      <c r="B92" s="185" t="s">
        <v>2297</v>
      </c>
      <c r="C92" s="185" t="s">
        <v>2308</v>
      </c>
      <c r="D92" s="122" t="s">
        <v>2306</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5" t="s">
        <v>2297</v>
      </c>
      <c r="C93" s="185" t="s">
        <v>2309</v>
      </c>
      <c r="D93" s="122" t="s">
        <v>2306</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5" t="s">
        <v>2297</v>
      </c>
      <c r="C94" s="185" t="s">
        <v>2310</v>
      </c>
      <c r="D94" s="122" t="s">
        <v>2306</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5" t="s">
        <v>2297</v>
      </c>
      <c r="C95" s="185" t="s">
        <v>2311</v>
      </c>
      <c r="D95" s="122" t="s">
        <v>2306</v>
      </c>
      <c r="E95" s="123" t="s">
        <v>2057</v>
      </c>
      <c r="F95" s="123" t="s">
        <v>2057</v>
      </c>
      <c r="G95" s="123" t="s">
        <v>2057</v>
      </c>
      <c r="H95" s="123" t="s">
        <v>2057</v>
      </c>
      <c r="I95" s="123" t="s">
        <v>2057</v>
      </c>
      <c r="J95" s="123" t="s">
        <v>2057</v>
      </c>
      <c r="K95" s="123" t="str">
        <f t="shared" si="3"/>
        <v/>
      </c>
      <c r="M95" s="123">
        <v>324</v>
      </c>
      <c r="N95" t="b">
        <f t="shared" si="4"/>
        <v>0</v>
      </c>
      <c r="O95" s="123">
        <v>812</v>
      </c>
      <c r="P95" t="b">
        <f t="shared" si="5"/>
        <v>0</v>
      </c>
    </row>
    <row r="96" spans="1:16">
      <c r="A96" s="121">
        <v>95</v>
      </c>
      <c r="B96" s="185" t="s">
        <v>2297</v>
      </c>
      <c r="C96" s="185" t="s">
        <v>2312</v>
      </c>
      <c r="D96" s="122" t="s">
        <v>2306</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5" t="s">
        <v>2297</v>
      </c>
      <c r="C97" s="185" t="s">
        <v>2313</v>
      </c>
      <c r="D97" s="122" t="s">
        <v>2306</v>
      </c>
      <c r="E97" s="124">
        <v>42937</v>
      </c>
      <c r="F97" s="124">
        <v>43006</v>
      </c>
      <c r="G97" s="123">
        <v>244</v>
      </c>
      <c r="H97" s="123">
        <v>737</v>
      </c>
      <c r="I97" s="123">
        <v>372</v>
      </c>
      <c r="J97" s="123">
        <v>698</v>
      </c>
      <c r="K97" s="123">
        <f t="shared" si="3"/>
        <v>69</v>
      </c>
      <c r="M97" s="123" t="s">
        <v>2057</v>
      </c>
      <c r="N97" t="b">
        <f t="shared" si="4"/>
        <v>1</v>
      </c>
      <c r="O97" s="123" t="s">
        <v>2057</v>
      </c>
      <c r="P97" t="b">
        <f t="shared" si="5"/>
        <v>1</v>
      </c>
    </row>
    <row r="98" spans="1:16">
      <c r="A98" s="121">
        <v>97</v>
      </c>
      <c r="B98" s="185" t="s">
        <v>2314</v>
      </c>
      <c r="C98" s="185" t="s">
        <v>2315</v>
      </c>
      <c r="D98" s="122" t="s">
        <v>2178</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5" t="s">
        <v>2314</v>
      </c>
      <c r="C99" s="185" t="s">
        <v>2316</v>
      </c>
      <c r="D99" s="122" t="s">
        <v>2178</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5" t="s">
        <v>2314</v>
      </c>
      <c r="C100" s="185" t="s">
        <v>2317</v>
      </c>
      <c r="D100" s="122" t="s">
        <v>2178</v>
      </c>
      <c r="E100" s="123" t="s">
        <v>2057</v>
      </c>
      <c r="F100" s="123" t="s">
        <v>2057</v>
      </c>
      <c r="G100" s="123" t="s">
        <v>2057</v>
      </c>
      <c r="H100" s="123" t="s">
        <v>2057</v>
      </c>
      <c r="I100" s="123" t="s">
        <v>2057</v>
      </c>
      <c r="J100" s="123" t="s">
        <v>2057</v>
      </c>
      <c r="K100" s="123" t="str">
        <f t="shared" si="3"/>
        <v/>
      </c>
      <c r="M100" s="123">
        <v>432</v>
      </c>
      <c r="N100" t="b">
        <f t="shared" si="4"/>
        <v>0</v>
      </c>
      <c r="O100" s="123">
        <v>801</v>
      </c>
      <c r="P100" t="b">
        <f t="shared" si="5"/>
        <v>0</v>
      </c>
    </row>
    <row r="101" spans="1:16">
      <c r="A101" s="121">
        <v>100</v>
      </c>
      <c r="B101" s="185" t="s">
        <v>2314</v>
      </c>
      <c r="C101" s="185" t="s">
        <v>2318</v>
      </c>
      <c r="D101" s="122" t="s">
        <v>2178</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5" t="s">
        <v>2314</v>
      </c>
      <c r="C102" s="185" t="s">
        <v>2320</v>
      </c>
      <c r="D102" s="122" t="s">
        <v>2178</v>
      </c>
      <c r="E102" s="124">
        <v>42939</v>
      </c>
      <c r="F102" s="124">
        <v>43010</v>
      </c>
      <c r="G102" s="123">
        <v>11</v>
      </c>
      <c r="H102" s="123">
        <v>624</v>
      </c>
      <c r="I102" s="123">
        <v>398</v>
      </c>
      <c r="J102" s="123">
        <v>245</v>
      </c>
      <c r="K102" s="123">
        <f t="shared" si="3"/>
        <v>71</v>
      </c>
      <c r="M102" s="123" t="s">
        <v>2057</v>
      </c>
      <c r="N102" t="b">
        <f t="shared" si="4"/>
        <v>1</v>
      </c>
      <c r="O102" s="123" t="s">
        <v>2057</v>
      </c>
      <c r="P102" t="b">
        <f t="shared" si="5"/>
        <v>1</v>
      </c>
    </row>
    <row r="103" spans="1:16">
      <c r="A103" s="121">
        <v>102</v>
      </c>
      <c r="B103" s="185" t="s">
        <v>2314</v>
      </c>
      <c r="C103" s="185" t="s">
        <v>2321</v>
      </c>
      <c r="D103" s="122" t="s">
        <v>2178</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5" t="s">
        <v>2314</v>
      </c>
      <c r="C104" s="185" t="s">
        <v>2322</v>
      </c>
      <c r="D104" s="122" t="s">
        <v>2178</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5" t="s">
        <v>2314</v>
      </c>
      <c r="C105" s="185" t="s">
        <v>2323</v>
      </c>
      <c r="D105" s="122" t="s">
        <v>2178</v>
      </c>
      <c r="E105" s="124">
        <v>42939</v>
      </c>
      <c r="F105" s="124">
        <v>43010</v>
      </c>
      <c r="G105" s="123">
        <v>162</v>
      </c>
      <c r="H105" s="123">
        <v>744</v>
      </c>
      <c r="I105" s="123">
        <v>76</v>
      </c>
      <c r="J105" s="164">
        <v>365</v>
      </c>
      <c r="K105" s="123">
        <f t="shared" si="3"/>
        <v>71</v>
      </c>
      <c r="M105" s="123">
        <v>284</v>
      </c>
      <c r="N105" t="b">
        <f t="shared" si="4"/>
        <v>0</v>
      </c>
      <c r="O105" s="123">
        <v>781</v>
      </c>
      <c r="P105" t="b">
        <f t="shared" si="5"/>
        <v>0</v>
      </c>
    </row>
    <row r="106" spans="1:16">
      <c r="A106" s="121">
        <v>105</v>
      </c>
      <c r="B106" s="185" t="s">
        <v>2314</v>
      </c>
      <c r="C106" s="185" t="s">
        <v>2324</v>
      </c>
      <c r="D106" s="122" t="s">
        <v>2194</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5" t="s">
        <v>2314</v>
      </c>
      <c r="C107" s="185" t="s">
        <v>2325</v>
      </c>
      <c r="D107" s="122" t="s">
        <v>2194</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5" t="s">
        <v>2314</v>
      </c>
      <c r="C108" s="185" t="s">
        <v>2326</v>
      </c>
      <c r="D108" s="122" t="s">
        <v>2194</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5" t="s">
        <v>2314</v>
      </c>
      <c r="C109" s="185" t="s">
        <v>2327</v>
      </c>
      <c r="D109" s="122" t="s">
        <v>2194</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5" t="s">
        <v>2314</v>
      </c>
      <c r="C110" s="185" t="s">
        <v>2329</v>
      </c>
      <c r="D110" s="122" t="s">
        <v>2194</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5" t="s">
        <v>2314</v>
      </c>
      <c r="C111" s="185" t="s">
        <v>2330</v>
      </c>
      <c r="D111" s="122" t="s">
        <v>2194</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5" t="s">
        <v>2314</v>
      </c>
      <c r="C112" s="185" t="s">
        <v>2331</v>
      </c>
      <c r="D112" s="122" t="s">
        <v>2194</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5" t="s">
        <v>2314</v>
      </c>
      <c r="C113" s="185" t="s">
        <v>2332</v>
      </c>
      <c r="D113" s="122" t="s">
        <v>2194</v>
      </c>
      <c r="E113" s="124" t="s">
        <v>2057</v>
      </c>
      <c r="F113" s="124" t="s">
        <v>2057</v>
      </c>
      <c r="G113" s="124" t="s">
        <v>2057</v>
      </c>
      <c r="H113" s="124" t="s">
        <v>2057</v>
      </c>
      <c r="I113" s="124" t="s">
        <v>2057</v>
      </c>
      <c r="J113" s="124" t="s">
        <v>2057</v>
      </c>
      <c r="K113" s="123" t="str">
        <f t="shared" si="3"/>
        <v/>
      </c>
      <c r="M113" s="123">
        <v>350</v>
      </c>
      <c r="N113" t="b">
        <f t="shared" si="4"/>
        <v>0</v>
      </c>
      <c r="O113" s="123">
        <v>786</v>
      </c>
      <c r="P113" t="b">
        <f t="shared" si="5"/>
        <v>0</v>
      </c>
    </row>
    <row r="114" spans="1:16">
      <c r="A114" s="121">
        <v>113</v>
      </c>
      <c r="B114" s="185" t="s">
        <v>2314</v>
      </c>
      <c r="C114" s="185" t="s">
        <v>2333</v>
      </c>
      <c r="D114" s="122" t="s">
        <v>2208</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5" t="s">
        <v>2314</v>
      </c>
      <c r="C115" s="185" t="s">
        <v>2334</v>
      </c>
      <c r="D115" s="122" t="s">
        <v>2208</v>
      </c>
      <c r="E115" s="124">
        <v>42939</v>
      </c>
      <c r="F115" s="124">
        <v>43008</v>
      </c>
      <c r="G115" s="123">
        <v>263</v>
      </c>
      <c r="H115" s="123">
        <v>829</v>
      </c>
      <c r="I115" s="123">
        <v>650</v>
      </c>
      <c r="J115" s="123">
        <v>247</v>
      </c>
      <c r="K115" s="123">
        <f t="shared" si="3"/>
        <v>69</v>
      </c>
      <c r="M115" s="124" t="s">
        <v>2057</v>
      </c>
      <c r="N115" t="b">
        <f t="shared" si="4"/>
        <v>1</v>
      </c>
      <c r="O115" s="124" t="s">
        <v>2057</v>
      </c>
      <c r="P115" t="b">
        <f t="shared" si="5"/>
        <v>1</v>
      </c>
    </row>
    <row r="116" spans="1:16">
      <c r="A116" s="121">
        <v>115</v>
      </c>
      <c r="B116" s="185" t="s">
        <v>2314</v>
      </c>
      <c r="C116" s="185" t="s">
        <v>2335</v>
      </c>
      <c r="D116" s="122" t="s">
        <v>2208</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5" t="s">
        <v>2314</v>
      </c>
      <c r="C117" s="185" t="s">
        <v>2336</v>
      </c>
      <c r="D117" s="122" t="s">
        <v>2208</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5" t="s">
        <v>2314</v>
      </c>
      <c r="C118" s="185" t="s">
        <v>2337</v>
      </c>
      <c r="D118" s="122" t="s">
        <v>2208</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5" t="s">
        <v>2314</v>
      </c>
      <c r="C119" s="185" t="s">
        <v>2338</v>
      </c>
      <c r="D119" s="122" t="s">
        <v>2208</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5" t="s">
        <v>2314</v>
      </c>
      <c r="C120" s="185" t="s">
        <v>2339</v>
      </c>
      <c r="D120" s="122" t="s">
        <v>2208</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5" t="s">
        <v>2314</v>
      </c>
      <c r="C121" s="185" t="s">
        <v>2340</v>
      </c>
      <c r="D121" s="122" t="s">
        <v>2208</v>
      </c>
      <c r="E121" s="124" t="s">
        <v>2057</v>
      </c>
      <c r="F121" s="124" t="s">
        <v>2057</v>
      </c>
      <c r="G121" s="124" t="s">
        <v>2057</v>
      </c>
      <c r="H121" s="124" t="s">
        <v>2057</v>
      </c>
      <c r="I121" s="124" t="s">
        <v>2057</v>
      </c>
      <c r="J121" s="124" t="s">
        <v>2057</v>
      </c>
      <c r="K121" s="123" t="str">
        <f t="shared" si="3"/>
        <v/>
      </c>
      <c r="M121" s="123">
        <v>200</v>
      </c>
      <c r="N121" t="b">
        <f t="shared" si="4"/>
        <v>0</v>
      </c>
      <c r="O121" s="123">
        <v>791</v>
      </c>
      <c r="P121" t="b">
        <f t="shared" si="5"/>
        <v>0</v>
      </c>
    </row>
    <row r="122" spans="1:16">
      <c r="A122" s="121">
        <v>121</v>
      </c>
      <c r="B122" s="185" t="s">
        <v>2314</v>
      </c>
      <c r="C122" s="185" t="s">
        <v>2341</v>
      </c>
      <c r="D122" s="122" t="s">
        <v>2218</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5" t="s">
        <v>2314</v>
      </c>
      <c r="C123" s="185" t="s">
        <v>2342</v>
      </c>
      <c r="D123" s="122" t="s">
        <v>2218</v>
      </c>
      <c r="E123" s="124">
        <v>42939</v>
      </c>
      <c r="F123" s="124">
        <v>43008</v>
      </c>
      <c r="G123" s="123">
        <v>231</v>
      </c>
      <c r="H123" s="123">
        <v>792</v>
      </c>
      <c r="I123" s="123">
        <v>109</v>
      </c>
      <c r="J123" s="123">
        <v>388</v>
      </c>
      <c r="K123" s="123">
        <f t="shared" si="3"/>
        <v>69</v>
      </c>
      <c r="M123" s="124" t="s">
        <v>2057</v>
      </c>
      <c r="N123" t="b">
        <f t="shared" si="4"/>
        <v>1</v>
      </c>
      <c r="O123" s="124" t="s">
        <v>2057</v>
      </c>
      <c r="P123" t="b">
        <f t="shared" si="5"/>
        <v>1</v>
      </c>
    </row>
    <row r="124" spans="1:16">
      <c r="A124" s="121">
        <v>123</v>
      </c>
      <c r="B124" s="185" t="s">
        <v>2314</v>
      </c>
      <c r="C124" s="185" t="s">
        <v>2343</v>
      </c>
      <c r="D124" s="122" t="s">
        <v>2218</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5" t="s">
        <v>2314</v>
      </c>
      <c r="C125" s="185" t="s">
        <v>2345</v>
      </c>
      <c r="D125" s="122" t="s">
        <v>2218</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5" t="s">
        <v>2314</v>
      </c>
      <c r="C126" s="185" t="s">
        <v>2346</v>
      </c>
      <c r="D126" s="122" t="s">
        <v>2218</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5" t="s">
        <v>2314</v>
      </c>
      <c r="C127" s="185" t="s">
        <v>2347</v>
      </c>
      <c r="D127" s="122" t="s">
        <v>2218</v>
      </c>
      <c r="E127" s="124" t="s">
        <v>2057</v>
      </c>
      <c r="F127" s="124" t="s">
        <v>2057</v>
      </c>
      <c r="G127" s="124" t="s">
        <v>2057</v>
      </c>
      <c r="H127" s="124" t="s">
        <v>2057</v>
      </c>
      <c r="I127" s="124" t="s">
        <v>2057</v>
      </c>
      <c r="J127" s="124" t="s">
        <v>2057</v>
      </c>
      <c r="K127" s="123" t="str">
        <f t="shared" si="3"/>
        <v/>
      </c>
      <c r="M127" s="123">
        <v>116</v>
      </c>
      <c r="N127" t="b">
        <f t="shared" si="4"/>
        <v>0</v>
      </c>
      <c r="O127" s="123">
        <v>797</v>
      </c>
      <c r="P127" t="b">
        <f t="shared" si="5"/>
        <v>0</v>
      </c>
    </row>
    <row r="128" spans="1:16">
      <c r="A128" s="121">
        <v>127</v>
      </c>
      <c r="B128" s="185" t="s">
        <v>2314</v>
      </c>
      <c r="C128" s="185" t="s">
        <v>2348</v>
      </c>
      <c r="D128" s="122" t="s">
        <v>2218</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5" t="s">
        <v>2314</v>
      </c>
      <c r="C129" s="185" t="s">
        <v>2349</v>
      </c>
      <c r="D129" s="122" t="s">
        <v>2218</v>
      </c>
      <c r="E129" s="124">
        <v>42939</v>
      </c>
      <c r="F129" s="124">
        <v>43008</v>
      </c>
      <c r="G129" s="123">
        <v>34</v>
      </c>
      <c r="H129" s="123">
        <v>819</v>
      </c>
      <c r="I129" s="123">
        <v>134</v>
      </c>
      <c r="J129" s="123">
        <v>272</v>
      </c>
      <c r="K129" s="123">
        <f t="shared" si="3"/>
        <v>69</v>
      </c>
      <c r="M129" s="124" t="s">
        <v>2057</v>
      </c>
      <c r="N129" t="b">
        <f t="shared" si="4"/>
        <v>1</v>
      </c>
      <c r="O129" s="124" t="s">
        <v>2057</v>
      </c>
      <c r="P129" t="b">
        <f t="shared" si="5"/>
        <v>1</v>
      </c>
    </row>
    <row r="130" spans="1:16">
      <c r="A130" s="121">
        <v>129</v>
      </c>
      <c r="B130" s="185" t="s">
        <v>2314</v>
      </c>
      <c r="C130" s="185" t="s">
        <v>2350</v>
      </c>
      <c r="D130" s="122" t="s">
        <v>2227</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5" t="s">
        <v>2314</v>
      </c>
      <c r="C131" s="185" t="s">
        <v>2351</v>
      </c>
      <c r="D131" s="122" t="s">
        <v>2227</v>
      </c>
      <c r="E131" s="124">
        <v>42939</v>
      </c>
      <c r="F131" s="124">
        <v>43008</v>
      </c>
      <c r="G131" s="123">
        <v>64</v>
      </c>
      <c r="H131" s="123">
        <v>789</v>
      </c>
      <c r="I131" s="123">
        <v>400</v>
      </c>
      <c r="J131" s="123">
        <v>193</v>
      </c>
      <c r="K131" s="123">
        <f t="shared" ref="K131:K194" si="6">IFERROR(F131-E131,"")</f>
        <v>69</v>
      </c>
      <c r="M131" s="123">
        <v>34</v>
      </c>
      <c r="N131" t="b">
        <f t="shared" si="4"/>
        <v>0</v>
      </c>
      <c r="O131" s="165">
        <v>819</v>
      </c>
      <c r="P131" t="b">
        <f t="shared" si="5"/>
        <v>1</v>
      </c>
    </row>
    <row r="132" spans="1:16">
      <c r="A132" s="121">
        <v>131</v>
      </c>
      <c r="B132" s="185" t="s">
        <v>2314</v>
      </c>
      <c r="C132" s="185" t="s">
        <v>2352</v>
      </c>
      <c r="D132" s="122" t="s">
        <v>2227</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5" t="s">
        <v>2314</v>
      </c>
      <c r="C133" s="185" t="s">
        <v>2353</v>
      </c>
      <c r="D133" s="122" t="s">
        <v>2227</v>
      </c>
      <c r="E133" s="124" t="s">
        <v>2057</v>
      </c>
      <c r="F133" s="124" t="s">
        <v>2057</v>
      </c>
      <c r="G133" s="124" t="s">
        <v>2057</v>
      </c>
      <c r="H133" s="124" t="s">
        <v>2057</v>
      </c>
      <c r="I133" s="124" t="s">
        <v>2057</v>
      </c>
      <c r="J133" s="124" t="s">
        <v>2057</v>
      </c>
      <c r="K133" s="123" t="str">
        <f t="shared" si="6"/>
        <v/>
      </c>
      <c r="M133" s="123">
        <v>64</v>
      </c>
      <c r="N133" t="b">
        <f t="shared" si="7"/>
        <v>0</v>
      </c>
      <c r="O133" s="123">
        <v>789</v>
      </c>
      <c r="P133" t="b">
        <f t="shared" ref="P133:P196" si="8">COUNTIF($O$4:$O$443, O133)&gt;1</f>
        <v>0</v>
      </c>
    </row>
    <row r="134" spans="1:16">
      <c r="A134" s="121">
        <v>133</v>
      </c>
      <c r="B134" s="185" t="s">
        <v>2314</v>
      </c>
      <c r="C134" s="185" t="s">
        <v>2354</v>
      </c>
      <c r="D134" s="122" t="s">
        <v>2227</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5" t="s">
        <v>2314</v>
      </c>
      <c r="C135" s="185" t="s">
        <v>2355</v>
      </c>
      <c r="D135" s="122" t="s">
        <v>2227</v>
      </c>
      <c r="E135" s="124">
        <v>42939</v>
      </c>
      <c r="F135" s="124">
        <v>43008</v>
      </c>
      <c r="G135" s="123">
        <v>316</v>
      </c>
      <c r="H135" s="123">
        <v>837</v>
      </c>
      <c r="I135" s="123">
        <v>40</v>
      </c>
      <c r="J135" s="123">
        <v>649</v>
      </c>
      <c r="K135" s="123">
        <f t="shared" si="6"/>
        <v>69</v>
      </c>
      <c r="M135" s="124" t="s">
        <v>2057</v>
      </c>
      <c r="N135" t="b">
        <f t="shared" si="7"/>
        <v>1</v>
      </c>
      <c r="O135" s="124" t="s">
        <v>2057</v>
      </c>
      <c r="P135" t="b">
        <f t="shared" si="8"/>
        <v>1</v>
      </c>
    </row>
    <row r="136" spans="1:16">
      <c r="A136" s="121">
        <v>135</v>
      </c>
      <c r="B136" s="185" t="s">
        <v>2314</v>
      </c>
      <c r="C136" s="185" t="s">
        <v>2356</v>
      </c>
      <c r="D136" s="122" t="s">
        <v>2227</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5" t="s">
        <v>2314</v>
      </c>
      <c r="C137" s="185" t="s">
        <v>2357</v>
      </c>
      <c r="D137" s="122" t="s">
        <v>2227</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5" t="s">
        <v>2314</v>
      </c>
      <c r="C138" s="185" t="s">
        <v>2358</v>
      </c>
      <c r="D138" s="122" t="s">
        <v>2244</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5" t="s">
        <v>2314</v>
      </c>
      <c r="C139" s="185" t="s">
        <v>2359</v>
      </c>
      <c r="D139" s="122" t="s">
        <v>2244</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5" t="s">
        <v>2314</v>
      </c>
      <c r="C140" s="185" t="s">
        <v>2360</v>
      </c>
      <c r="D140" s="122" t="s">
        <v>2244</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5" t="s">
        <v>2314</v>
      </c>
      <c r="C141" s="185" t="s">
        <v>2362</v>
      </c>
      <c r="D141" s="122" t="s">
        <v>2244</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5" t="s">
        <v>2314</v>
      </c>
      <c r="C142" s="185" t="s">
        <v>2363</v>
      </c>
      <c r="D142" s="122" t="s">
        <v>2244</v>
      </c>
      <c r="E142" s="124" t="s">
        <v>2057</v>
      </c>
      <c r="F142" s="124" t="s">
        <v>2057</v>
      </c>
      <c r="G142" s="124" t="s">
        <v>2057</v>
      </c>
      <c r="H142" s="124" t="s">
        <v>2057</v>
      </c>
      <c r="I142" s="124" t="s">
        <v>2057</v>
      </c>
      <c r="J142" s="124" t="s">
        <v>2057</v>
      </c>
      <c r="K142" s="123" t="str">
        <f t="shared" si="6"/>
        <v/>
      </c>
      <c r="M142" s="165">
        <v>250</v>
      </c>
      <c r="N142" t="b">
        <f t="shared" si="7"/>
        <v>1</v>
      </c>
      <c r="O142" s="123">
        <v>813</v>
      </c>
      <c r="P142" t="b">
        <f t="shared" si="8"/>
        <v>0</v>
      </c>
    </row>
    <row r="143" spans="1:16">
      <c r="A143" s="121">
        <v>142</v>
      </c>
      <c r="B143" s="185" t="s">
        <v>2314</v>
      </c>
      <c r="C143" s="185" t="s">
        <v>2364</v>
      </c>
      <c r="D143" s="122" t="s">
        <v>2244</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5" t="s">
        <v>2314</v>
      </c>
      <c r="C144" s="185" t="s">
        <v>2365</v>
      </c>
      <c r="D144" s="122" t="s">
        <v>2244</v>
      </c>
      <c r="E144" s="124">
        <v>42939</v>
      </c>
      <c r="F144" s="124">
        <v>43008</v>
      </c>
      <c r="G144" s="123">
        <v>501</v>
      </c>
      <c r="H144" s="123">
        <v>774</v>
      </c>
      <c r="I144" s="123">
        <v>205</v>
      </c>
      <c r="J144" s="123">
        <v>195</v>
      </c>
      <c r="K144" s="123">
        <f t="shared" si="6"/>
        <v>69</v>
      </c>
      <c r="M144" s="124" t="s">
        <v>2057</v>
      </c>
      <c r="N144" t="b">
        <f t="shared" si="7"/>
        <v>1</v>
      </c>
      <c r="O144" s="124" t="s">
        <v>2057</v>
      </c>
      <c r="P144" t="b">
        <f t="shared" si="8"/>
        <v>1</v>
      </c>
    </row>
    <row r="145" spans="1:16">
      <c r="A145" s="121">
        <v>144</v>
      </c>
      <c r="B145" s="185" t="s">
        <v>2314</v>
      </c>
      <c r="C145" s="185" t="s">
        <v>2366</v>
      </c>
      <c r="D145" s="122" t="s">
        <v>2244</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5" t="s">
        <v>2314</v>
      </c>
      <c r="C146" s="185" t="s">
        <v>2367</v>
      </c>
      <c r="D146" s="122" t="s">
        <v>2256</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5" t="s">
        <v>2314</v>
      </c>
      <c r="C147" s="185" t="s">
        <v>2368</v>
      </c>
      <c r="D147" s="122" t="s">
        <v>2256</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5" t="s">
        <v>2314</v>
      </c>
      <c r="C148" s="185" t="s">
        <v>2369</v>
      </c>
      <c r="D148" s="122" t="s">
        <v>2256</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5" t="s">
        <v>2314</v>
      </c>
      <c r="C149" s="185" t="s">
        <v>2370</v>
      </c>
      <c r="D149" s="122" t="s">
        <v>2256</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5" t="s">
        <v>2314</v>
      </c>
      <c r="C150" s="185" t="s">
        <v>2371</v>
      </c>
      <c r="D150" s="122" t="s">
        <v>2256</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5" t="s">
        <v>2314</v>
      </c>
      <c r="C151" s="185" t="s">
        <v>2372</v>
      </c>
      <c r="D151" s="122" t="s">
        <v>2256</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5" t="s">
        <v>2314</v>
      </c>
      <c r="C152" s="185" t="s">
        <v>2373</v>
      </c>
      <c r="D152" s="122" t="s">
        <v>2256</v>
      </c>
      <c r="E152" s="123" t="s">
        <v>2057</v>
      </c>
      <c r="F152" s="123" t="s">
        <v>2057</v>
      </c>
      <c r="G152" s="123" t="s">
        <v>2057</v>
      </c>
      <c r="H152" s="123" t="s">
        <v>2057</v>
      </c>
      <c r="I152" s="123" t="s">
        <v>2057</v>
      </c>
      <c r="J152" s="123" t="s">
        <v>2057</v>
      </c>
      <c r="K152" s="123" t="str">
        <f t="shared" si="6"/>
        <v/>
      </c>
      <c r="M152" s="129">
        <v>194</v>
      </c>
      <c r="N152" t="b">
        <f t="shared" si="7"/>
        <v>0</v>
      </c>
      <c r="O152" s="123">
        <v>703</v>
      </c>
      <c r="P152" t="b">
        <f t="shared" si="8"/>
        <v>0</v>
      </c>
    </row>
    <row r="153" spans="1:16">
      <c r="A153" s="121">
        <v>152</v>
      </c>
      <c r="B153" s="185" t="s">
        <v>2314</v>
      </c>
      <c r="C153" s="185" t="s">
        <v>2374</v>
      </c>
      <c r="D153" s="122" t="s">
        <v>2256</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5" t="s">
        <v>2314</v>
      </c>
      <c r="C154" s="185" t="s">
        <v>2376</v>
      </c>
      <c r="D154" s="122" t="s">
        <v>2265</v>
      </c>
      <c r="E154" s="124">
        <v>42939</v>
      </c>
      <c r="F154" s="124">
        <v>43010</v>
      </c>
      <c r="G154" s="123">
        <v>197</v>
      </c>
      <c r="H154" s="123">
        <v>735</v>
      </c>
      <c r="I154" s="123">
        <v>19</v>
      </c>
      <c r="J154" s="123">
        <v>651</v>
      </c>
      <c r="K154" s="123">
        <f t="shared" si="6"/>
        <v>71</v>
      </c>
      <c r="M154" s="123" t="s">
        <v>2057</v>
      </c>
      <c r="N154" t="b">
        <f t="shared" si="7"/>
        <v>1</v>
      </c>
      <c r="O154" s="123" t="s">
        <v>2057</v>
      </c>
      <c r="P154" t="b">
        <f t="shared" si="8"/>
        <v>1</v>
      </c>
    </row>
    <row r="155" spans="1:16">
      <c r="A155" s="121">
        <v>154</v>
      </c>
      <c r="B155" s="185" t="s">
        <v>2314</v>
      </c>
      <c r="C155" s="185" t="s">
        <v>2377</v>
      </c>
      <c r="D155" s="122" t="s">
        <v>2265</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5" t="s">
        <v>2314</v>
      </c>
      <c r="C156" s="185" t="s">
        <v>2378</v>
      </c>
      <c r="D156" s="122" t="s">
        <v>2265</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5" t="s">
        <v>2314</v>
      </c>
      <c r="C157" s="185" t="s">
        <v>2379</v>
      </c>
      <c r="D157" s="122" t="s">
        <v>2265</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5" t="s">
        <v>2314</v>
      </c>
      <c r="C158" s="185" t="s">
        <v>2381</v>
      </c>
      <c r="D158" s="122" t="s">
        <v>2265</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5" t="s">
        <v>2314</v>
      </c>
      <c r="C159" s="185" t="s">
        <v>2382</v>
      </c>
      <c r="D159" s="122" t="s">
        <v>2265</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5" t="s">
        <v>2314</v>
      </c>
      <c r="C160" s="185" t="s">
        <v>2383</v>
      </c>
      <c r="D160" s="122" t="s">
        <v>2265</v>
      </c>
      <c r="E160" s="123" t="s">
        <v>2057</v>
      </c>
      <c r="F160" s="123" t="s">
        <v>2057</v>
      </c>
      <c r="G160" s="123" t="s">
        <v>2057</v>
      </c>
      <c r="H160" s="123" t="s">
        <v>2057</v>
      </c>
      <c r="I160" s="123" t="s">
        <v>2057</v>
      </c>
      <c r="J160" s="123" t="s">
        <v>2057</v>
      </c>
      <c r="K160" s="123" t="str">
        <f t="shared" si="6"/>
        <v/>
      </c>
      <c r="M160" s="123">
        <v>328</v>
      </c>
      <c r="N160" t="b">
        <f t="shared" si="7"/>
        <v>0</v>
      </c>
      <c r="O160" s="123">
        <v>478</v>
      </c>
      <c r="P160" t="b">
        <f t="shared" si="8"/>
        <v>0</v>
      </c>
    </row>
    <row r="161" spans="1:16">
      <c r="A161" s="121">
        <v>160</v>
      </c>
      <c r="B161" s="185" t="s">
        <v>2314</v>
      </c>
      <c r="C161" s="185" t="s">
        <v>2384</v>
      </c>
      <c r="D161" s="122" t="s">
        <v>2265</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5" t="s">
        <v>2385</v>
      </c>
      <c r="C162" s="185" t="s">
        <v>2386</v>
      </c>
      <c r="D162" s="122" t="s">
        <v>2278</v>
      </c>
      <c r="E162" s="124">
        <v>42940</v>
      </c>
      <c r="F162" s="124">
        <v>43009</v>
      </c>
      <c r="G162" s="123">
        <v>51</v>
      </c>
      <c r="H162" s="123">
        <v>673</v>
      </c>
      <c r="I162" s="123">
        <v>207</v>
      </c>
      <c r="J162" s="123">
        <v>314</v>
      </c>
      <c r="K162" s="123">
        <f t="shared" si="6"/>
        <v>69</v>
      </c>
      <c r="M162" s="123" t="s">
        <v>2057</v>
      </c>
      <c r="N162" t="b">
        <f t="shared" si="7"/>
        <v>1</v>
      </c>
      <c r="O162" s="123" t="s">
        <v>2057</v>
      </c>
      <c r="P162" t="b">
        <f t="shared" si="8"/>
        <v>1</v>
      </c>
    </row>
    <row r="163" spans="1:16">
      <c r="A163" s="121">
        <v>162</v>
      </c>
      <c r="B163" s="185" t="s">
        <v>2385</v>
      </c>
      <c r="C163" s="185" t="s">
        <v>2387</v>
      </c>
      <c r="D163" s="122" t="s">
        <v>2278</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5" t="s">
        <v>2385</v>
      </c>
      <c r="C164" s="185" t="s">
        <v>2388</v>
      </c>
      <c r="D164" s="122" t="s">
        <v>2278</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5" t="s">
        <v>2385</v>
      </c>
      <c r="C165" s="185" t="s">
        <v>2389</v>
      </c>
      <c r="D165" s="122" t="s">
        <v>2278</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5" t="s">
        <v>2385</v>
      </c>
      <c r="C166" s="185" t="s">
        <v>2390</v>
      </c>
      <c r="D166" s="122" t="s">
        <v>2278</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5" t="s">
        <v>2385</v>
      </c>
      <c r="C167" s="185" t="s">
        <v>2391</v>
      </c>
      <c r="D167" s="122" t="s">
        <v>2278</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5" t="s">
        <v>2385</v>
      </c>
      <c r="C168" s="185" t="s">
        <v>2393</v>
      </c>
      <c r="D168" s="122" t="s">
        <v>2278</v>
      </c>
      <c r="E168" s="123" t="s">
        <v>2057</v>
      </c>
      <c r="F168" s="123" t="s">
        <v>2057</v>
      </c>
      <c r="G168" s="123" t="s">
        <v>2057</v>
      </c>
      <c r="H168" s="123" t="s">
        <v>2057</v>
      </c>
      <c r="I168" s="123" t="s">
        <v>2057</v>
      </c>
      <c r="J168" s="123" t="s">
        <v>2057</v>
      </c>
      <c r="K168" s="123" t="str">
        <f t="shared" si="6"/>
        <v/>
      </c>
      <c r="M168" s="123">
        <v>85</v>
      </c>
      <c r="N168" t="b">
        <f t="shared" si="7"/>
        <v>0</v>
      </c>
      <c r="O168" s="123">
        <v>127</v>
      </c>
      <c r="P168" t="b">
        <f t="shared" si="8"/>
        <v>0</v>
      </c>
    </row>
    <row r="169" spans="1:16">
      <c r="A169" s="121">
        <v>168</v>
      </c>
      <c r="B169" s="185" t="s">
        <v>2385</v>
      </c>
      <c r="C169" s="185" t="s">
        <v>2394</v>
      </c>
      <c r="D169" s="122" t="s">
        <v>2278</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5" t="s">
        <v>2385</v>
      </c>
      <c r="C170" s="185" t="s">
        <v>2395</v>
      </c>
      <c r="D170" s="122" t="s">
        <v>2287</v>
      </c>
      <c r="E170" s="124">
        <v>42940</v>
      </c>
      <c r="F170" s="124">
        <v>43009</v>
      </c>
      <c r="G170" s="123">
        <v>250</v>
      </c>
      <c r="H170" s="123">
        <v>684</v>
      </c>
      <c r="I170" s="123">
        <v>135</v>
      </c>
      <c r="J170" s="123">
        <v>80</v>
      </c>
      <c r="K170" s="123">
        <f t="shared" si="6"/>
        <v>69</v>
      </c>
      <c r="M170" s="123" t="s">
        <v>2057</v>
      </c>
      <c r="N170" t="b">
        <f t="shared" si="7"/>
        <v>1</v>
      </c>
      <c r="O170" s="123" t="s">
        <v>2057</v>
      </c>
      <c r="P170" t="b">
        <f t="shared" si="8"/>
        <v>1</v>
      </c>
    </row>
    <row r="171" spans="1:16">
      <c r="A171" s="121">
        <v>170</v>
      </c>
      <c r="B171" s="185" t="s">
        <v>2385</v>
      </c>
      <c r="C171" s="185" t="s">
        <v>2396</v>
      </c>
      <c r="D171" s="122" t="s">
        <v>2287</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5" t="s">
        <v>2385</v>
      </c>
      <c r="C172" s="185" t="s">
        <v>2397</v>
      </c>
      <c r="D172" s="122" t="s">
        <v>2287</v>
      </c>
      <c r="E172" s="124">
        <v>42940</v>
      </c>
      <c r="F172" s="124">
        <v>43009</v>
      </c>
      <c r="G172" s="123">
        <v>149</v>
      </c>
      <c r="H172" s="123">
        <v>655</v>
      </c>
      <c r="I172" s="123">
        <v>348</v>
      </c>
      <c r="J172" s="123">
        <v>633</v>
      </c>
      <c r="K172" s="123">
        <f t="shared" si="6"/>
        <v>69</v>
      </c>
      <c r="M172" s="165">
        <v>250</v>
      </c>
      <c r="N172" t="b">
        <f t="shared" si="7"/>
        <v>1</v>
      </c>
      <c r="O172" s="123">
        <v>684</v>
      </c>
      <c r="P172" t="b">
        <f t="shared" si="8"/>
        <v>0</v>
      </c>
    </row>
    <row r="173" spans="1:16">
      <c r="A173" s="121">
        <v>172</v>
      </c>
      <c r="B173" s="185" t="s">
        <v>2385</v>
      </c>
      <c r="C173" s="185" t="s">
        <v>2398</v>
      </c>
      <c r="D173" s="122" t="s">
        <v>2287</v>
      </c>
      <c r="E173" s="124" t="s">
        <v>2057</v>
      </c>
      <c r="F173" s="124" t="s">
        <v>2057</v>
      </c>
      <c r="G173" s="124" t="s">
        <v>2057</v>
      </c>
      <c r="H173" s="124" t="s">
        <v>2057</v>
      </c>
      <c r="I173" s="124" t="s">
        <v>2057</v>
      </c>
      <c r="J173" s="124" t="s">
        <v>2057</v>
      </c>
      <c r="K173" s="123" t="str">
        <f t="shared" si="6"/>
        <v/>
      </c>
      <c r="M173" s="123">
        <v>624</v>
      </c>
      <c r="N173" t="b">
        <f t="shared" si="7"/>
        <v>0</v>
      </c>
      <c r="O173" s="123">
        <v>694</v>
      </c>
      <c r="P173" t="b">
        <f t="shared" si="8"/>
        <v>0</v>
      </c>
    </row>
    <row r="174" spans="1:16">
      <c r="A174" s="121">
        <v>173</v>
      </c>
      <c r="B174" s="185" t="s">
        <v>2385</v>
      </c>
      <c r="C174" s="185" t="s">
        <v>2399</v>
      </c>
      <c r="D174" s="122" t="s">
        <v>2287</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5" t="s">
        <v>2385</v>
      </c>
      <c r="C175" s="185" t="s">
        <v>2400</v>
      </c>
      <c r="D175" s="122" t="s">
        <v>2287</v>
      </c>
      <c r="E175" s="124">
        <v>42940</v>
      </c>
      <c r="F175" s="124">
        <v>43009</v>
      </c>
      <c r="G175" s="123">
        <v>396</v>
      </c>
      <c r="H175" s="123">
        <v>736</v>
      </c>
      <c r="I175" s="123">
        <v>155</v>
      </c>
      <c r="J175" s="123">
        <v>702</v>
      </c>
      <c r="K175" s="123">
        <f t="shared" si="6"/>
        <v>69</v>
      </c>
      <c r="M175" s="124" t="s">
        <v>2057</v>
      </c>
      <c r="N175" t="b">
        <f t="shared" si="7"/>
        <v>1</v>
      </c>
      <c r="O175" s="124" t="s">
        <v>2057</v>
      </c>
      <c r="P175" t="b">
        <f t="shared" si="8"/>
        <v>1</v>
      </c>
    </row>
    <row r="176" spans="1:16">
      <c r="A176" s="121">
        <v>175</v>
      </c>
      <c r="B176" s="185" t="s">
        <v>2385</v>
      </c>
      <c r="C176" s="185" t="s">
        <v>2401</v>
      </c>
      <c r="D176" s="122" t="s">
        <v>2287</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5" t="s">
        <v>2385</v>
      </c>
      <c r="C177" s="185" t="s">
        <v>2402</v>
      </c>
      <c r="D177" s="122" t="s">
        <v>2287</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5" t="s">
        <v>2385</v>
      </c>
      <c r="C178" s="185" t="s">
        <v>2403</v>
      </c>
      <c r="D178" s="122" t="s">
        <v>2296</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5" t="s">
        <v>2385</v>
      </c>
      <c r="C179" s="185" t="s">
        <v>2404</v>
      </c>
      <c r="D179" s="122" t="s">
        <v>2296</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5" t="s">
        <v>2385</v>
      </c>
      <c r="C180" s="185" t="s">
        <v>2405</v>
      </c>
      <c r="D180" s="122" t="s">
        <v>2296</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5" t="s">
        <v>2385</v>
      </c>
      <c r="C181" s="185" t="s">
        <v>2406</v>
      </c>
      <c r="D181" s="122" t="s">
        <v>2296</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5" t="s">
        <v>2385</v>
      </c>
      <c r="C182" s="185" t="s">
        <v>2407</v>
      </c>
      <c r="D182" s="122" t="s">
        <v>2296</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5" t="s">
        <v>2385</v>
      </c>
      <c r="C183" s="185" t="s">
        <v>2408</v>
      </c>
      <c r="D183" s="122" t="s">
        <v>2296</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5" t="s">
        <v>2385</v>
      </c>
      <c r="C184" s="185" t="s">
        <v>2409</v>
      </c>
      <c r="D184" s="122" t="s">
        <v>2296</v>
      </c>
      <c r="E184" s="124" t="s">
        <v>2057</v>
      </c>
      <c r="F184" s="124" t="s">
        <v>2057</v>
      </c>
      <c r="G184" s="124" t="s">
        <v>2057</v>
      </c>
      <c r="H184" s="124" t="s">
        <v>2057</v>
      </c>
      <c r="I184" s="124" t="s">
        <v>2057</v>
      </c>
      <c r="J184" s="124" t="s">
        <v>2057</v>
      </c>
      <c r="K184" s="123" t="str">
        <f t="shared" si="6"/>
        <v/>
      </c>
      <c r="M184" s="123">
        <v>411</v>
      </c>
      <c r="N184" t="b">
        <f t="shared" si="7"/>
        <v>0</v>
      </c>
      <c r="O184" s="123">
        <v>116</v>
      </c>
      <c r="P184" t="b">
        <f t="shared" si="8"/>
        <v>0</v>
      </c>
    </row>
    <row r="185" spans="1:16">
      <c r="A185" s="121">
        <v>184</v>
      </c>
      <c r="B185" s="185" t="s">
        <v>2385</v>
      </c>
      <c r="C185" s="185" t="s">
        <v>2410</v>
      </c>
      <c r="D185" s="122" t="s">
        <v>2296</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5" t="s">
        <v>2385</v>
      </c>
      <c r="C186" s="185" t="s">
        <v>2412</v>
      </c>
      <c r="D186" s="122" t="s">
        <v>2306</v>
      </c>
      <c r="E186" s="124">
        <v>42940</v>
      </c>
      <c r="F186" s="124">
        <v>43009</v>
      </c>
      <c r="G186" s="123">
        <v>369</v>
      </c>
      <c r="H186" s="123">
        <v>300</v>
      </c>
      <c r="I186" s="123">
        <v>165</v>
      </c>
      <c r="J186" s="123">
        <v>607</v>
      </c>
      <c r="K186" s="123">
        <f t="shared" si="6"/>
        <v>69</v>
      </c>
      <c r="M186" s="124" t="s">
        <v>2057</v>
      </c>
      <c r="N186" t="b">
        <f t="shared" si="7"/>
        <v>1</v>
      </c>
      <c r="O186" s="124" t="s">
        <v>2057</v>
      </c>
      <c r="P186" t="b">
        <f t="shared" si="8"/>
        <v>1</v>
      </c>
    </row>
    <row r="187" spans="1:16">
      <c r="A187" s="121">
        <v>186</v>
      </c>
      <c r="B187" s="185" t="s">
        <v>2385</v>
      </c>
      <c r="C187" s="185" t="s">
        <v>2413</v>
      </c>
      <c r="D187" s="122" t="s">
        <v>2306</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5" t="s">
        <v>2385</v>
      </c>
      <c r="C188" s="185" t="s">
        <v>2414</v>
      </c>
      <c r="D188" s="122" t="s">
        <v>2306</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5" t="s">
        <v>2385</v>
      </c>
      <c r="C189" s="185" t="s">
        <v>2415</v>
      </c>
      <c r="D189" s="122" t="s">
        <v>2306</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5" t="s">
        <v>2385</v>
      </c>
      <c r="C190" s="185" t="s">
        <v>2417</v>
      </c>
      <c r="D190" s="122" t="s">
        <v>2306</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5" t="s">
        <v>2385</v>
      </c>
      <c r="C191" s="185" t="s">
        <v>2418</v>
      </c>
      <c r="D191" s="122" t="s">
        <v>2306</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5" t="s">
        <v>2385</v>
      </c>
      <c r="C192" s="185" t="s">
        <v>2419</v>
      </c>
      <c r="D192" s="122" t="s">
        <v>2306</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5" t="s">
        <v>2385</v>
      </c>
      <c r="C193" s="185" t="s">
        <v>2420</v>
      </c>
      <c r="D193" s="122" t="s">
        <v>2306</v>
      </c>
      <c r="E193" s="123" t="s">
        <v>2057</v>
      </c>
      <c r="F193" s="123" t="s">
        <v>2057</v>
      </c>
      <c r="G193" s="123" t="s">
        <v>2057</v>
      </c>
      <c r="H193" s="123" t="s">
        <v>2057</v>
      </c>
      <c r="I193" s="123" t="s">
        <v>2057</v>
      </c>
      <c r="J193" s="123" t="s">
        <v>2057</v>
      </c>
      <c r="K193" s="123" t="str">
        <f t="shared" si="6"/>
        <v/>
      </c>
      <c r="M193" s="123">
        <v>171</v>
      </c>
      <c r="N193" t="b">
        <f t="shared" si="7"/>
        <v>0</v>
      </c>
      <c r="O193" s="123">
        <v>397</v>
      </c>
      <c r="P193" t="b">
        <f t="shared" si="8"/>
        <v>0</v>
      </c>
    </row>
    <row r="194" spans="1:16">
      <c r="A194" s="189">
        <v>193</v>
      </c>
      <c r="B194" s="190" t="s">
        <v>2176</v>
      </c>
      <c r="C194" s="190" t="s">
        <v>2445</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9">
        <v>194</v>
      </c>
      <c r="B195" s="190" t="s">
        <v>2176</v>
      </c>
      <c r="C195" s="190" t="s">
        <v>2438</v>
      </c>
      <c r="D195" s="133">
        <v>6</v>
      </c>
      <c r="E195" s="124">
        <v>42942</v>
      </c>
      <c r="F195" s="124">
        <v>43004</v>
      </c>
      <c r="G195" s="123">
        <v>148</v>
      </c>
      <c r="H195" s="123">
        <v>653</v>
      </c>
      <c r="I195" s="123">
        <v>90</v>
      </c>
      <c r="J195" s="123">
        <v>611</v>
      </c>
      <c r="K195" s="123">
        <f t="shared" ref="K195:K221" si="9">IFERROR(F195-E195,"")</f>
        <v>62</v>
      </c>
      <c r="M195" s="123" t="s">
        <v>2057</v>
      </c>
      <c r="N195" t="b">
        <f t="shared" si="7"/>
        <v>1</v>
      </c>
      <c r="O195" s="123" t="s">
        <v>2057</v>
      </c>
      <c r="P195" t="b">
        <f t="shared" si="8"/>
        <v>1</v>
      </c>
    </row>
    <row r="196" spans="1:16">
      <c r="A196" s="189">
        <v>195</v>
      </c>
      <c r="B196" s="190" t="s">
        <v>2176</v>
      </c>
      <c r="C196" s="190" t="s">
        <v>2430</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9">
        <v>196</v>
      </c>
      <c r="B197" s="190" t="s">
        <v>2176</v>
      </c>
      <c r="C197" s="185" t="s">
        <v>2421</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9">
        <v>197</v>
      </c>
      <c r="B198" s="190" t="s">
        <v>2176</v>
      </c>
      <c r="C198" s="190" t="s">
        <v>2431</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9">
        <v>198</v>
      </c>
      <c r="B199" s="190" t="s">
        <v>2176</v>
      </c>
      <c r="C199" s="190" t="s">
        <v>2439</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9">
        <v>199</v>
      </c>
      <c r="B200" s="190" t="s">
        <v>2176</v>
      </c>
      <c r="C200" s="190" t="s">
        <v>2423</v>
      </c>
      <c r="D200" s="191">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9">
        <v>200</v>
      </c>
      <c r="B201" s="190" t="s">
        <v>2176</v>
      </c>
      <c r="C201" s="190" t="s">
        <v>2446</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9">
        <v>201</v>
      </c>
      <c r="B202" s="190" t="s">
        <v>2276</v>
      </c>
      <c r="C202" s="190" t="s">
        <v>2447</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9">
        <v>202</v>
      </c>
      <c r="B203" s="190" t="s">
        <v>2276</v>
      </c>
      <c r="C203" s="190" t="s">
        <v>2424</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9">
        <v>203</v>
      </c>
      <c r="B204" s="190" t="s">
        <v>2276</v>
      </c>
      <c r="C204" s="190" t="s">
        <v>2433</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9">
        <v>204</v>
      </c>
      <c r="B205" s="190" t="s">
        <v>2276</v>
      </c>
      <c r="C205" s="190" t="s">
        <v>2440</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9">
        <v>205</v>
      </c>
      <c r="B206" s="190" t="s">
        <v>2314</v>
      </c>
      <c r="C206" s="190" t="s">
        <v>2434</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9">
        <v>206</v>
      </c>
      <c r="B207" s="190" t="s">
        <v>2314</v>
      </c>
      <c r="C207" s="190" t="s">
        <v>2425</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9">
        <v>207</v>
      </c>
      <c r="B208" s="190" t="s">
        <v>2314</v>
      </c>
      <c r="C208" s="190" t="s">
        <v>2448</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9">
        <v>208</v>
      </c>
      <c r="B209" s="190" t="s">
        <v>2314</v>
      </c>
      <c r="C209" s="190" t="s">
        <v>2441</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9">
        <v>209</v>
      </c>
      <c r="B210" s="190" t="s">
        <v>2314</v>
      </c>
      <c r="C210" s="190" t="s">
        <v>2435</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9">
        <v>210</v>
      </c>
      <c r="B211" s="190" t="s">
        <v>2314</v>
      </c>
      <c r="C211" s="190" t="s">
        <v>2449</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9">
        <v>211</v>
      </c>
      <c r="B212" s="190" t="s">
        <v>2314</v>
      </c>
      <c r="C212" s="190" t="s">
        <v>2426</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9">
        <v>211</v>
      </c>
      <c r="B213" s="190" t="s">
        <v>2314</v>
      </c>
      <c r="C213" s="190" t="s">
        <v>2426</v>
      </c>
      <c r="D213" s="133">
        <v>7</v>
      </c>
      <c r="E213" s="124">
        <v>42942</v>
      </c>
      <c r="F213" s="124">
        <v>43004</v>
      </c>
      <c r="G213" s="123">
        <v>169</v>
      </c>
      <c r="H213" s="123">
        <v>627</v>
      </c>
      <c r="I213" s="192">
        <v>56</v>
      </c>
      <c r="J213" s="123">
        <v>256</v>
      </c>
      <c r="K213" s="123">
        <f t="shared" si="9"/>
        <v>62</v>
      </c>
      <c r="M213" s="123">
        <v>93</v>
      </c>
      <c r="N213" t="b">
        <f t="shared" si="10"/>
        <v>0</v>
      </c>
      <c r="O213" s="123">
        <v>335</v>
      </c>
      <c r="P213" t="b">
        <f t="shared" si="11"/>
        <v>0</v>
      </c>
    </row>
    <row r="214" spans="1:16">
      <c r="A214" s="189">
        <v>212</v>
      </c>
      <c r="B214" s="190" t="s">
        <v>2314</v>
      </c>
      <c r="C214" s="190" t="s">
        <v>2442</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9">
        <v>213</v>
      </c>
      <c r="B215" s="190" t="s">
        <v>2385</v>
      </c>
      <c r="C215" s="190" t="s">
        <v>2450</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9">
        <v>214</v>
      </c>
      <c r="B216" s="190" t="s">
        <v>2385</v>
      </c>
      <c r="C216" s="190" t="s">
        <v>2443</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9">
        <v>216</v>
      </c>
      <c r="B217" s="190" t="s">
        <v>2385</v>
      </c>
      <c r="C217" s="190" t="s">
        <v>2436</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9">
        <v>217</v>
      </c>
      <c r="B218" s="190" t="s">
        <v>2428</v>
      </c>
      <c r="C218" s="190" t="s">
        <v>2429</v>
      </c>
      <c r="D218" s="133">
        <v>6</v>
      </c>
      <c r="E218" s="124">
        <v>42942</v>
      </c>
      <c r="F218" s="124">
        <v>43004</v>
      </c>
      <c r="G218" s="123">
        <v>313</v>
      </c>
      <c r="H218" s="123">
        <v>771</v>
      </c>
      <c r="I218" s="123">
        <v>204</v>
      </c>
      <c r="J218" s="123">
        <v>608</v>
      </c>
      <c r="K218" s="123">
        <f t="shared" si="9"/>
        <v>62</v>
      </c>
      <c r="M218" s="123">
        <v>128</v>
      </c>
      <c r="N218" t="b">
        <f t="shared" si="10"/>
        <v>0</v>
      </c>
      <c r="O218" s="165">
        <v>771</v>
      </c>
      <c r="P218" t="b">
        <f t="shared" si="11"/>
        <v>1</v>
      </c>
    </row>
    <row r="219" spans="1:16">
      <c r="A219" s="189">
        <v>218</v>
      </c>
      <c r="B219" s="190" t="s">
        <v>2428</v>
      </c>
      <c r="C219" s="190" t="s">
        <v>2437</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9">
        <v>219</v>
      </c>
      <c r="B220" s="190" t="s">
        <v>2428</v>
      </c>
      <c r="C220" s="190" t="s">
        <v>2444</v>
      </c>
      <c r="D220" s="133">
        <v>1</v>
      </c>
      <c r="E220" s="124">
        <v>42942</v>
      </c>
      <c r="F220" s="124">
        <v>43004</v>
      </c>
      <c r="G220" s="123">
        <v>196</v>
      </c>
      <c r="H220" s="145">
        <v>178</v>
      </c>
      <c r="I220" s="145">
        <v>123</v>
      </c>
      <c r="J220" s="123">
        <v>246</v>
      </c>
      <c r="K220" s="123">
        <f t="shared" si="9"/>
        <v>62</v>
      </c>
      <c r="M220" s="123">
        <v>313</v>
      </c>
      <c r="N220" t="b">
        <f t="shared" si="10"/>
        <v>0</v>
      </c>
      <c r="O220" s="165">
        <v>771</v>
      </c>
      <c r="P220" t="b">
        <f t="shared" si="11"/>
        <v>1</v>
      </c>
    </row>
    <row r="221" spans="1:16">
      <c r="A221" s="189">
        <v>220</v>
      </c>
      <c r="B221" s="190" t="s">
        <v>2428</v>
      </c>
      <c r="C221" s="190" t="s">
        <v>2451</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2057</v>
      </c>
      <c r="N225" t="b">
        <f t="shared" si="10"/>
        <v>1</v>
      </c>
      <c r="O225" s="123" t="s">
        <v>2057</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4">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2057</v>
      </c>
      <c r="N235" t="b">
        <f t="shared" si="10"/>
        <v>1</v>
      </c>
      <c r="O235" s="123" t="s">
        <v>2057</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2057</v>
      </c>
      <c r="N246" t="b">
        <f t="shared" si="10"/>
        <v>1</v>
      </c>
      <c r="O246" s="125" t="s">
        <v>2057</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2057</v>
      </c>
      <c r="N254" t="b">
        <f t="shared" si="10"/>
        <v>1</v>
      </c>
      <c r="O254" s="125" t="s">
        <v>2057</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2057</v>
      </c>
      <c r="N262" t="b">
        <f t="shared" si="12"/>
        <v>1</v>
      </c>
      <c r="O262" s="125" t="s">
        <v>2057</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2057</v>
      </c>
      <c r="N269" t="b">
        <f t="shared" si="12"/>
        <v>1</v>
      </c>
      <c r="O269" s="123" t="s">
        <v>2057</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2057</v>
      </c>
      <c r="N277" t="b">
        <f t="shared" si="12"/>
        <v>1</v>
      </c>
      <c r="O277" s="123" t="s">
        <v>2057</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5">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2057</v>
      </c>
      <c r="N285" t="b">
        <f t="shared" si="12"/>
        <v>1</v>
      </c>
      <c r="O285" s="125" t="s">
        <v>2057</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4">
        <v>586</v>
      </c>
      <c r="N288" t="b">
        <f t="shared" si="12"/>
        <v>0</v>
      </c>
      <c r="O288" s="164">
        <v>654</v>
      </c>
      <c r="P288" t="b">
        <f t="shared" si="13"/>
        <v>0</v>
      </c>
    </row>
    <row r="289" spans="13:16">
      <c r="M289" s="123">
        <v>851</v>
      </c>
      <c r="N289" t="b">
        <f t="shared" si="12"/>
        <v>0</v>
      </c>
      <c r="O289" s="123">
        <v>634</v>
      </c>
      <c r="P289" t="b">
        <f t="shared" si="13"/>
        <v>0</v>
      </c>
    </row>
    <row r="290" spans="13:16">
      <c r="M290" s="125" t="s">
        <v>2519</v>
      </c>
      <c r="N290" t="b">
        <f t="shared" si="12"/>
        <v>1</v>
      </c>
      <c r="O290" s="125" t="s">
        <v>2519</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2057</v>
      </c>
      <c r="N300" t="b">
        <f t="shared" si="12"/>
        <v>1</v>
      </c>
      <c r="O300" s="123" t="s">
        <v>2057</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2057</v>
      </c>
      <c r="N308" t="b">
        <f t="shared" si="12"/>
        <v>1</v>
      </c>
      <c r="O308" s="123" t="s">
        <v>2057</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2057</v>
      </c>
      <c r="N317" t="b">
        <f t="shared" si="12"/>
        <v>1</v>
      </c>
      <c r="O317" s="123" t="s">
        <v>2057</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2057</v>
      </c>
      <c r="N322" t="b">
        <f t="shared" si="12"/>
        <v>1</v>
      </c>
      <c r="O322" s="123" t="s">
        <v>2057</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5">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4">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2057</v>
      </c>
      <c r="N335" t="b">
        <f t="shared" si="14"/>
        <v>1</v>
      </c>
      <c r="O335" s="124" t="s">
        <v>2057</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2057</v>
      </c>
      <c r="N343" t="b">
        <f t="shared" si="14"/>
        <v>1</v>
      </c>
      <c r="O343" s="124" t="s">
        <v>2057</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2057</v>
      </c>
      <c r="N349" t="b">
        <f t="shared" si="14"/>
        <v>1</v>
      </c>
      <c r="O349" s="124" t="s">
        <v>2057</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2057</v>
      </c>
      <c r="N355" t="b">
        <f t="shared" si="14"/>
        <v>1</v>
      </c>
      <c r="O355" s="124" t="s">
        <v>2057</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2057</v>
      </c>
      <c r="N364" t="b">
        <f t="shared" si="14"/>
        <v>1</v>
      </c>
      <c r="O364" s="124" t="s">
        <v>2057</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2057</v>
      </c>
      <c r="N374" t="b">
        <f t="shared" si="14"/>
        <v>1</v>
      </c>
      <c r="O374" s="123" t="s">
        <v>2057</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2057</v>
      </c>
      <c r="N382" t="b">
        <f t="shared" si="14"/>
        <v>1</v>
      </c>
      <c r="O382" s="123" t="s">
        <v>2057</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2057</v>
      </c>
      <c r="N390" t="b">
        <f t="shared" si="16"/>
        <v>1</v>
      </c>
      <c r="O390" s="123" t="s">
        <v>2057</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5">
        <v>208</v>
      </c>
      <c r="P393" t="b">
        <f t="shared" si="17"/>
        <v>1</v>
      </c>
    </row>
    <row r="394" spans="13:16">
      <c r="M394" s="123">
        <v>348</v>
      </c>
      <c r="N394" t="b">
        <f t="shared" si="16"/>
        <v>0</v>
      </c>
      <c r="O394" s="123">
        <v>633</v>
      </c>
      <c r="P394" t="b">
        <f t="shared" si="17"/>
        <v>0</v>
      </c>
    </row>
    <row r="395" spans="13:16">
      <c r="M395" s="124" t="s">
        <v>2057</v>
      </c>
      <c r="N395" t="b">
        <f t="shared" si="16"/>
        <v>1</v>
      </c>
      <c r="O395" s="124" t="s">
        <v>2057</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2057</v>
      </c>
      <c r="N406" t="b">
        <f t="shared" si="16"/>
        <v>1</v>
      </c>
      <c r="O406" s="124" t="s">
        <v>2057</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5">
        <v>32</v>
      </c>
      <c r="N414" t="b">
        <f t="shared" si="16"/>
        <v>1</v>
      </c>
      <c r="O414" s="123">
        <v>240</v>
      </c>
      <c r="P414" t="b">
        <f t="shared" si="17"/>
        <v>0</v>
      </c>
    </row>
    <row r="415" spans="13:16">
      <c r="M415" s="123" t="s">
        <v>2057</v>
      </c>
      <c r="N415" t="b">
        <f t="shared" si="16"/>
        <v>1</v>
      </c>
      <c r="O415" s="123" t="s">
        <v>2057</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5">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2">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3" t="s">
        <v>2164</v>
      </c>
      <c r="B1" s="193" t="s">
        <v>2165</v>
      </c>
      <c r="C1" s="193" t="s">
        <v>2166</v>
      </c>
      <c r="D1" s="193" t="s">
        <v>2167</v>
      </c>
      <c r="E1" s="193" t="s">
        <v>2529</v>
      </c>
      <c r="F1" s="193" t="s">
        <v>31</v>
      </c>
      <c r="G1" s="193" t="s">
        <v>1147</v>
      </c>
      <c r="H1" s="193" t="s">
        <v>298</v>
      </c>
      <c r="I1" s="193" t="s">
        <v>2170</v>
      </c>
      <c r="J1" s="193" t="s">
        <v>2171</v>
      </c>
      <c r="K1" s="193" t="s">
        <v>2530</v>
      </c>
    </row>
    <row r="2" spans="1:11">
      <c r="A2" s="134">
        <v>1</v>
      </c>
      <c r="B2" s="136" t="s">
        <v>2176</v>
      </c>
      <c r="C2" s="136" t="s">
        <v>2177</v>
      </c>
      <c r="D2" s="137" t="s">
        <v>2178</v>
      </c>
      <c r="E2" s="140">
        <v>42766</v>
      </c>
      <c r="F2" s="140">
        <v>42818</v>
      </c>
      <c r="G2" s="123">
        <v>436</v>
      </c>
      <c r="H2" s="123">
        <v>17</v>
      </c>
      <c r="I2" s="123">
        <v>752</v>
      </c>
      <c r="J2" s="123">
        <v>133</v>
      </c>
      <c r="K2" s="194">
        <f>IFERROR(F2-E2,"")</f>
        <v>52</v>
      </c>
    </row>
    <row r="3" spans="1:11">
      <c r="A3" s="121">
        <v>2</v>
      </c>
      <c r="B3" s="122" t="s">
        <v>2176</v>
      </c>
      <c r="C3" s="122" t="s">
        <v>2183</v>
      </c>
      <c r="D3" s="122" t="s">
        <v>2178</v>
      </c>
      <c r="E3" s="140">
        <v>42766</v>
      </c>
      <c r="F3" s="124">
        <v>42818</v>
      </c>
      <c r="G3" s="123">
        <v>568</v>
      </c>
      <c r="H3" s="123">
        <v>121</v>
      </c>
      <c r="I3" s="123">
        <v>737</v>
      </c>
      <c r="J3" s="123">
        <v>527</v>
      </c>
      <c r="K3" s="194">
        <f t="shared" ref="K3:K66" si="0">IFERROR(F3-E3,"")</f>
        <v>52</v>
      </c>
    </row>
    <row r="4" spans="1:11">
      <c r="A4" s="169">
        <v>3</v>
      </c>
      <c r="B4" s="170" t="s">
        <v>2176</v>
      </c>
      <c r="C4" s="170" t="s">
        <v>2184</v>
      </c>
      <c r="D4" s="170" t="s">
        <v>2178</v>
      </c>
      <c r="E4" s="173">
        <v>42766</v>
      </c>
      <c r="F4" s="169" t="s">
        <v>2057</v>
      </c>
      <c r="G4" s="169">
        <v>631</v>
      </c>
      <c r="H4" s="169">
        <v>158</v>
      </c>
      <c r="I4" s="169">
        <v>661</v>
      </c>
      <c r="J4" s="169">
        <v>498</v>
      </c>
      <c r="K4" s="194" t="str">
        <f t="shared" si="0"/>
        <v/>
      </c>
    </row>
    <row r="5" spans="1:11">
      <c r="A5" s="121">
        <v>4</v>
      </c>
      <c r="B5" s="122" t="s">
        <v>2176</v>
      </c>
      <c r="C5" s="122" t="s">
        <v>2186</v>
      </c>
      <c r="D5" s="122" t="s">
        <v>2178</v>
      </c>
      <c r="E5" s="140">
        <v>42766</v>
      </c>
      <c r="F5" s="124">
        <v>42818</v>
      </c>
      <c r="G5" s="123">
        <v>652</v>
      </c>
      <c r="H5" s="123">
        <v>115</v>
      </c>
      <c r="I5" s="123">
        <v>532</v>
      </c>
      <c r="J5" s="123">
        <v>508</v>
      </c>
      <c r="K5" s="194">
        <f t="shared" si="0"/>
        <v>52</v>
      </c>
    </row>
    <row r="6" spans="1:11">
      <c r="A6" s="121">
        <v>5</v>
      </c>
      <c r="B6" s="122" t="s">
        <v>2176</v>
      </c>
      <c r="C6" s="122" t="s">
        <v>2189</v>
      </c>
      <c r="D6" s="122" t="s">
        <v>2178</v>
      </c>
      <c r="E6" s="140">
        <v>42766</v>
      </c>
      <c r="F6" s="124">
        <v>42818</v>
      </c>
      <c r="G6" s="123">
        <v>497</v>
      </c>
      <c r="H6" s="123">
        <v>502</v>
      </c>
      <c r="I6" s="123">
        <v>577</v>
      </c>
      <c r="J6" s="123">
        <v>38</v>
      </c>
      <c r="K6" s="194">
        <f t="shared" si="0"/>
        <v>52</v>
      </c>
    </row>
    <row r="7" spans="1:11">
      <c r="A7" s="121">
        <v>6</v>
      </c>
      <c r="B7" s="122" t="s">
        <v>2176</v>
      </c>
      <c r="C7" s="122" t="s">
        <v>2190</v>
      </c>
      <c r="D7" s="122" t="s">
        <v>2178</v>
      </c>
      <c r="E7" s="140">
        <v>42766</v>
      </c>
      <c r="F7" s="124">
        <v>42818</v>
      </c>
      <c r="G7" s="123">
        <v>447</v>
      </c>
      <c r="H7" s="123">
        <v>177</v>
      </c>
      <c r="I7" s="123">
        <v>634</v>
      </c>
      <c r="J7" s="123">
        <v>59</v>
      </c>
      <c r="K7" s="194">
        <f t="shared" si="0"/>
        <v>52</v>
      </c>
    </row>
    <row r="8" spans="1:11">
      <c r="A8" s="121">
        <v>7</v>
      </c>
      <c r="B8" s="122" t="s">
        <v>2176</v>
      </c>
      <c r="C8" s="122" t="s">
        <v>2191</v>
      </c>
      <c r="D8" s="122" t="s">
        <v>2178</v>
      </c>
      <c r="E8" s="140">
        <v>42766</v>
      </c>
      <c r="F8" s="124">
        <v>42818</v>
      </c>
      <c r="G8" s="123">
        <v>452</v>
      </c>
      <c r="H8" s="123">
        <v>531</v>
      </c>
      <c r="I8" s="123">
        <v>665</v>
      </c>
      <c r="J8" s="123">
        <v>398</v>
      </c>
      <c r="K8" s="194">
        <f t="shared" si="0"/>
        <v>52</v>
      </c>
    </row>
    <row r="9" spans="1:11">
      <c r="A9" s="121">
        <v>8</v>
      </c>
      <c r="B9" s="122" t="s">
        <v>2176</v>
      </c>
      <c r="C9" s="122" t="s">
        <v>2192</v>
      </c>
      <c r="D9" s="122" t="s">
        <v>2178</v>
      </c>
      <c r="E9" s="140">
        <v>42766</v>
      </c>
      <c r="F9" s="124">
        <v>42818</v>
      </c>
      <c r="G9" s="123">
        <v>389</v>
      </c>
      <c r="H9" s="123">
        <v>406</v>
      </c>
      <c r="I9" s="123">
        <v>701</v>
      </c>
      <c r="J9" s="123">
        <v>512</v>
      </c>
      <c r="K9" s="194">
        <f t="shared" si="0"/>
        <v>52</v>
      </c>
    </row>
    <row r="10" spans="1:11">
      <c r="A10" s="121">
        <v>9</v>
      </c>
      <c r="B10" s="122" t="s">
        <v>2176</v>
      </c>
      <c r="C10" s="122" t="s">
        <v>2193</v>
      </c>
      <c r="D10" s="122" t="s">
        <v>2194</v>
      </c>
      <c r="E10" s="140">
        <v>42766</v>
      </c>
      <c r="F10" s="124">
        <v>42818</v>
      </c>
      <c r="G10">
        <v>514</v>
      </c>
      <c r="H10" s="123">
        <v>169</v>
      </c>
      <c r="I10" s="123">
        <v>476</v>
      </c>
      <c r="J10" s="123">
        <v>101</v>
      </c>
      <c r="K10" s="194">
        <f t="shared" si="0"/>
        <v>52</v>
      </c>
    </row>
    <row r="11" spans="1:11">
      <c r="A11" s="121">
        <v>10</v>
      </c>
      <c r="B11" s="122" t="s">
        <v>2176</v>
      </c>
      <c r="C11" s="122" t="s">
        <v>2196</v>
      </c>
      <c r="D11" s="122" t="s">
        <v>2194</v>
      </c>
      <c r="E11" s="140">
        <v>42766</v>
      </c>
      <c r="F11" s="124">
        <v>42818</v>
      </c>
      <c r="G11" s="123">
        <v>286</v>
      </c>
      <c r="H11" s="123">
        <v>91</v>
      </c>
      <c r="I11" s="123">
        <v>606</v>
      </c>
      <c r="J11" s="123">
        <v>515</v>
      </c>
      <c r="K11" s="194">
        <f t="shared" si="0"/>
        <v>52</v>
      </c>
    </row>
    <row r="12" spans="1:11">
      <c r="A12" s="121">
        <v>11</v>
      </c>
      <c r="B12" s="122" t="s">
        <v>2176</v>
      </c>
      <c r="C12" s="122" t="s">
        <v>2197</v>
      </c>
      <c r="D12" s="122" t="s">
        <v>2194</v>
      </c>
      <c r="E12" s="140">
        <v>42766</v>
      </c>
      <c r="F12" s="124">
        <v>42818</v>
      </c>
      <c r="G12" s="123">
        <v>543</v>
      </c>
      <c r="H12" s="129">
        <v>446</v>
      </c>
      <c r="I12" s="123">
        <v>523</v>
      </c>
      <c r="J12" s="123">
        <v>2</v>
      </c>
      <c r="K12" s="194">
        <f t="shared" si="0"/>
        <v>52</v>
      </c>
    </row>
    <row r="13" spans="1:11">
      <c r="A13" s="169">
        <v>12</v>
      </c>
      <c r="B13" s="170" t="s">
        <v>2176</v>
      </c>
      <c r="C13" s="170" t="s">
        <v>2198</v>
      </c>
      <c r="D13" s="170" t="s">
        <v>2194</v>
      </c>
      <c r="E13" s="173">
        <v>42766</v>
      </c>
      <c r="F13" s="169" t="s">
        <v>2057</v>
      </c>
      <c r="G13" s="169">
        <v>590</v>
      </c>
      <c r="H13" s="169">
        <v>409</v>
      </c>
      <c r="I13" s="169">
        <v>490</v>
      </c>
      <c r="J13" s="169">
        <v>123</v>
      </c>
      <c r="K13" s="194" t="str">
        <f t="shared" si="0"/>
        <v/>
      </c>
    </row>
    <row r="14" spans="1:11">
      <c r="A14" s="121">
        <v>13</v>
      </c>
      <c r="B14" s="122" t="s">
        <v>2176</v>
      </c>
      <c r="C14" s="122" t="s">
        <v>2199</v>
      </c>
      <c r="D14" s="122" t="s">
        <v>2194</v>
      </c>
      <c r="E14" s="140">
        <v>42766</v>
      </c>
      <c r="F14" s="124">
        <v>42818</v>
      </c>
      <c r="G14" s="123">
        <v>595</v>
      </c>
      <c r="H14" s="123">
        <v>450</v>
      </c>
      <c r="I14" s="123">
        <v>241</v>
      </c>
      <c r="J14" s="123">
        <v>3</v>
      </c>
      <c r="K14" s="194">
        <f t="shared" si="0"/>
        <v>52</v>
      </c>
    </row>
    <row r="15" spans="1:11">
      <c r="A15" s="121">
        <v>14</v>
      </c>
      <c r="B15" s="122" t="s">
        <v>2176</v>
      </c>
      <c r="C15" s="122" t="s">
        <v>2201</v>
      </c>
      <c r="D15" s="122" t="s">
        <v>2194</v>
      </c>
      <c r="E15" s="140">
        <v>42766</v>
      </c>
      <c r="F15" s="124">
        <v>42818</v>
      </c>
      <c r="G15" s="123">
        <v>609</v>
      </c>
      <c r="H15" s="123">
        <v>382</v>
      </c>
      <c r="I15" s="129">
        <v>503</v>
      </c>
      <c r="J15" s="123">
        <v>282</v>
      </c>
      <c r="K15" s="194">
        <f t="shared" si="0"/>
        <v>52</v>
      </c>
    </row>
    <row r="16" spans="1:11">
      <c r="A16" s="121">
        <v>15</v>
      </c>
      <c r="B16" s="122" t="s">
        <v>2176</v>
      </c>
      <c r="C16" s="122" t="s">
        <v>2202</v>
      </c>
      <c r="D16" s="122" t="s">
        <v>2194</v>
      </c>
      <c r="E16" s="140">
        <v>42766</v>
      </c>
      <c r="F16" s="124">
        <v>42818</v>
      </c>
      <c r="G16" s="123">
        <v>222</v>
      </c>
      <c r="H16" s="123">
        <v>415</v>
      </c>
      <c r="I16" s="123">
        <v>685</v>
      </c>
      <c r="J16" s="123">
        <v>99</v>
      </c>
      <c r="K16" s="194">
        <f t="shared" si="0"/>
        <v>52</v>
      </c>
    </row>
    <row r="17" spans="1:11">
      <c r="A17" s="121">
        <v>16</v>
      </c>
      <c r="B17" s="122" t="s">
        <v>2176</v>
      </c>
      <c r="C17" s="122" t="s">
        <v>2205</v>
      </c>
      <c r="D17" s="122" t="s">
        <v>2194</v>
      </c>
      <c r="E17" s="140">
        <v>42766</v>
      </c>
      <c r="F17" s="124">
        <v>42818</v>
      </c>
      <c r="G17" s="123">
        <v>405</v>
      </c>
      <c r="H17" s="123">
        <v>519</v>
      </c>
      <c r="I17" s="123">
        <v>644</v>
      </c>
      <c r="J17" s="123">
        <v>154</v>
      </c>
      <c r="K17" s="194">
        <f t="shared" si="0"/>
        <v>52</v>
      </c>
    </row>
    <row r="18" spans="1:11">
      <c r="A18" s="121">
        <v>17</v>
      </c>
      <c r="B18" s="122" t="s">
        <v>2176</v>
      </c>
      <c r="C18" s="122" t="s">
        <v>2207</v>
      </c>
      <c r="D18" s="122" t="s">
        <v>2208</v>
      </c>
      <c r="E18" s="124">
        <v>42767</v>
      </c>
      <c r="F18" s="124">
        <v>42818</v>
      </c>
      <c r="G18" s="123">
        <v>571</v>
      </c>
      <c r="H18" s="123">
        <v>542</v>
      </c>
      <c r="I18" s="123">
        <v>648</v>
      </c>
      <c r="J18" s="123">
        <v>380</v>
      </c>
      <c r="K18" s="194">
        <f t="shared" si="0"/>
        <v>51</v>
      </c>
    </row>
    <row r="19" spans="1:11">
      <c r="A19" s="121">
        <v>18</v>
      </c>
      <c r="B19" s="122" t="s">
        <v>2176</v>
      </c>
      <c r="C19" s="122" t="s">
        <v>2210</v>
      </c>
      <c r="D19" s="122" t="s">
        <v>2208</v>
      </c>
      <c r="E19" s="124">
        <v>42767</v>
      </c>
      <c r="F19" s="124">
        <v>42818</v>
      </c>
      <c r="G19" s="123">
        <v>419</v>
      </c>
      <c r="H19" s="123">
        <v>128</v>
      </c>
      <c r="I19" s="123">
        <v>573</v>
      </c>
      <c r="J19" s="123">
        <v>274</v>
      </c>
      <c r="K19" s="194">
        <f t="shared" si="0"/>
        <v>51</v>
      </c>
    </row>
    <row r="20" spans="1:11">
      <c r="A20" s="121">
        <v>19</v>
      </c>
      <c r="B20" s="122" t="s">
        <v>2176</v>
      </c>
      <c r="C20" s="122" t="s">
        <v>2211</v>
      </c>
      <c r="D20" s="122" t="s">
        <v>2208</v>
      </c>
      <c r="E20" s="124">
        <v>42767</v>
      </c>
      <c r="F20" s="124">
        <v>42818</v>
      </c>
      <c r="G20" s="123">
        <v>240</v>
      </c>
      <c r="H20" s="123">
        <v>82</v>
      </c>
      <c r="I20" s="123">
        <v>639</v>
      </c>
      <c r="J20" s="123">
        <v>566</v>
      </c>
      <c r="K20" s="194">
        <f t="shared" si="0"/>
        <v>51</v>
      </c>
    </row>
    <row r="21" spans="1:11">
      <c r="A21" s="121">
        <v>20</v>
      </c>
      <c r="B21" s="122" t="s">
        <v>2176</v>
      </c>
      <c r="C21" s="122" t="s">
        <v>2212</v>
      </c>
      <c r="D21" s="122" t="s">
        <v>2208</v>
      </c>
      <c r="E21" s="124">
        <v>42767</v>
      </c>
      <c r="F21" s="124">
        <v>42818</v>
      </c>
      <c r="G21" s="123">
        <v>524</v>
      </c>
      <c r="H21" s="123">
        <v>50</v>
      </c>
      <c r="I21" s="123">
        <v>505</v>
      </c>
      <c r="J21" s="123">
        <v>110</v>
      </c>
      <c r="K21" s="194">
        <f t="shared" si="0"/>
        <v>51</v>
      </c>
    </row>
    <row r="22" spans="1:11">
      <c r="A22" s="121">
        <v>21</v>
      </c>
      <c r="B22" s="122" t="s">
        <v>2176</v>
      </c>
      <c r="C22" s="122" t="s">
        <v>2213</v>
      </c>
      <c r="D22" s="122" t="s">
        <v>2208</v>
      </c>
      <c r="E22" s="124">
        <v>42767</v>
      </c>
      <c r="F22" s="124">
        <v>42818</v>
      </c>
      <c r="G22" s="123">
        <v>699</v>
      </c>
      <c r="H22" s="123">
        <v>529</v>
      </c>
      <c r="I22" s="123">
        <v>721</v>
      </c>
      <c r="J22" s="165" t="s">
        <v>2499</v>
      </c>
      <c r="K22" s="194">
        <f t="shared" si="0"/>
        <v>51</v>
      </c>
    </row>
    <row r="23" spans="1:11">
      <c r="A23" s="121">
        <v>22</v>
      </c>
      <c r="B23" s="122" t="s">
        <v>2176</v>
      </c>
      <c r="C23" s="122" t="s">
        <v>2214</v>
      </c>
      <c r="D23" s="122" t="s">
        <v>2208</v>
      </c>
      <c r="E23" s="124">
        <v>42767</v>
      </c>
      <c r="F23" s="124">
        <v>42818</v>
      </c>
      <c r="G23" s="123">
        <v>575</v>
      </c>
      <c r="H23" s="123">
        <v>363</v>
      </c>
      <c r="I23" s="123">
        <v>552</v>
      </c>
      <c r="J23" s="123">
        <v>45</v>
      </c>
      <c r="K23" s="194">
        <f t="shared" si="0"/>
        <v>51</v>
      </c>
    </row>
    <row r="24" spans="1:11">
      <c r="A24" s="121">
        <v>23</v>
      </c>
      <c r="B24" s="122" t="s">
        <v>2176</v>
      </c>
      <c r="C24" s="122" t="s">
        <v>2215</v>
      </c>
      <c r="D24" s="122" t="s">
        <v>2208</v>
      </c>
      <c r="E24" s="124">
        <v>42767</v>
      </c>
      <c r="F24" s="124">
        <v>42818</v>
      </c>
      <c r="G24" s="123">
        <v>492</v>
      </c>
      <c r="H24" s="123">
        <v>190</v>
      </c>
      <c r="I24" s="123">
        <v>456</v>
      </c>
      <c r="J24" s="123">
        <v>132</v>
      </c>
      <c r="K24" s="194">
        <f t="shared" si="0"/>
        <v>51</v>
      </c>
    </row>
    <row r="25" spans="1:11">
      <c r="A25" s="121">
        <v>24</v>
      </c>
      <c r="B25" s="122" t="s">
        <v>2176</v>
      </c>
      <c r="C25" s="122" t="s">
        <v>2216</v>
      </c>
      <c r="D25" s="122" t="s">
        <v>2208</v>
      </c>
      <c r="E25" s="124">
        <v>42767</v>
      </c>
      <c r="F25" s="124">
        <v>42818</v>
      </c>
      <c r="G25" s="123">
        <v>813</v>
      </c>
      <c r="H25" s="123">
        <v>144</v>
      </c>
      <c r="I25" s="123">
        <v>421</v>
      </c>
      <c r="J25" s="123">
        <v>71</v>
      </c>
      <c r="K25" s="194">
        <f t="shared" si="0"/>
        <v>51</v>
      </c>
    </row>
    <row r="26" spans="1:11">
      <c r="A26" s="121">
        <v>25</v>
      </c>
      <c r="B26" s="122" t="s">
        <v>2176</v>
      </c>
      <c r="C26" s="122" t="s">
        <v>2217</v>
      </c>
      <c r="D26" s="122" t="s">
        <v>2218</v>
      </c>
      <c r="E26" s="124">
        <v>42767</v>
      </c>
      <c r="F26" s="124">
        <v>42818</v>
      </c>
      <c r="G26" s="123">
        <v>406</v>
      </c>
      <c r="H26" s="123">
        <v>279</v>
      </c>
      <c r="I26" s="123">
        <v>864</v>
      </c>
      <c r="J26" s="123">
        <v>104</v>
      </c>
      <c r="K26" s="194">
        <f t="shared" si="0"/>
        <v>51</v>
      </c>
    </row>
    <row r="27" spans="1:11">
      <c r="A27" s="121">
        <v>26</v>
      </c>
      <c r="B27" s="122" t="s">
        <v>2176</v>
      </c>
      <c r="C27" s="122" t="s">
        <v>2219</v>
      </c>
      <c r="D27" s="122" t="s">
        <v>2218</v>
      </c>
      <c r="E27" s="124">
        <v>42767</v>
      </c>
      <c r="F27" s="124">
        <v>42818</v>
      </c>
      <c r="G27" s="123">
        <v>651</v>
      </c>
      <c r="H27" s="123">
        <v>148</v>
      </c>
      <c r="I27" s="123">
        <v>506</v>
      </c>
      <c r="J27" s="123">
        <v>189</v>
      </c>
      <c r="K27" s="194">
        <f t="shared" si="0"/>
        <v>51</v>
      </c>
    </row>
    <row r="28" spans="1:11">
      <c r="A28" s="121">
        <v>27</v>
      </c>
      <c r="B28" s="122" t="s">
        <v>2176</v>
      </c>
      <c r="C28" s="122" t="s">
        <v>2220</v>
      </c>
      <c r="D28" s="122" t="s">
        <v>2218</v>
      </c>
      <c r="E28" s="124">
        <v>42767</v>
      </c>
      <c r="F28" s="124">
        <v>42818</v>
      </c>
      <c r="G28" s="123">
        <v>583</v>
      </c>
      <c r="H28" s="123">
        <v>112</v>
      </c>
      <c r="I28" s="123">
        <v>449</v>
      </c>
      <c r="J28" s="123">
        <v>217</v>
      </c>
      <c r="K28" s="194">
        <f t="shared" si="0"/>
        <v>51</v>
      </c>
    </row>
    <row r="29" spans="1:11">
      <c r="A29" s="121">
        <v>28</v>
      </c>
      <c r="B29" s="122" t="s">
        <v>2176</v>
      </c>
      <c r="C29" s="122" t="s">
        <v>2221</v>
      </c>
      <c r="D29" s="122" t="s">
        <v>2218</v>
      </c>
      <c r="E29" s="124">
        <v>42767</v>
      </c>
      <c r="F29" s="124">
        <v>42818</v>
      </c>
      <c r="G29" s="123">
        <v>702</v>
      </c>
      <c r="H29" s="123">
        <v>436</v>
      </c>
      <c r="I29" s="123">
        <v>502</v>
      </c>
      <c r="J29" s="123">
        <v>172</v>
      </c>
      <c r="K29" s="194">
        <f t="shared" si="0"/>
        <v>51</v>
      </c>
    </row>
    <row r="30" spans="1:11">
      <c r="A30" s="121">
        <v>29</v>
      </c>
      <c r="B30" s="122" t="s">
        <v>2176</v>
      </c>
      <c r="C30" s="122" t="s">
        <v>2222</v>
      </c>
      <c r="D30" s="122" t="s">
        <v>2218</v>
      </c>
      <c r="E30" s="124">
        <v>42767</v>
      </c>
      <c r="F30" s="124">
        <v>42818</v>
      </c>
      <c r="G30" s="123">
        <v>838</v>
      </c>
      <c r="H30" s="123">
        <v>386</v>
      </c>
      <c r="I30" s="123">
        <v>345</v>
      </c>
      <c r="J30" s="123">
        <v>349</v>
      </c>
      <c r="K30" s="194">
        <f t="shared" si="0"/>
        <v>51</v>
      </c>
    </row>
    <row r="31" spans="1:11">
      <c r="A31" s="121">
        <v>30</v>
      </c>
      <c r="B31" s="122" t="s">
        <v>2176</v>
      </c>
      <c r="C31" s="122" t="s">
        <v>2223</v>
      </c>
      <c r="D31" s="122" t="s">
        <v>2218</v>
      </c>
      <c r="E31" s="124">
        <v>42767</v>
      </c>
      <c r="F31" s="124">
        <v>42818</v>
      </c>
      <c r="G31" s="123">
        <v>518</v>
      </c>
      <c r="H31">
        <v>507</v>
      </c>
      <c r="I31" s="123">
        <v>500</v>
      </c>
      <c r="J31" s="123">
        <v>296</v>
      </c>
      <c r="K31" s="194">
        <f t="shared" si="0"/>
        <v>51</v>
      </c>
    </row>
    <row r="32" spans="1:11">
      <c r="A32" s="121">
        <v>31</v>
      </c>
      <c r="B32" s="122" t="s">
        <v>2176</v>
      </c>
      <c r="C32" s="122" t="s">
        <v>2224</v>
      </c>
      <c r="D32" s="122" t="s">
        <v>2218</v>
      </c>
      <c r="E32" s="124">
        <v>42767</v>
      </c>
      <c r="F32" s="124">
        <v>42818</v>
      </c>
      <c r="G32" s="129">
        <v>404</v>
      </c>
      <c r="H32" s="123">
        <v>141</v>
      </c>
      <c r="I32" s="123">
        <v>521</v>
      </c>
      <c r="J32" s="123">
        <v>323</v>
      </c>
      <c r="K32" s="194">
        <f t="shared" si="0"/>
        <v>51</v>
      </c>
    </row>
    <row r="33" spans="1:11">
      <c r="A33" s="121">
        <v>32</v>
      </c>
      <c r="B33" s="122" t="s">
        <v>2176</v>
      </c>
      <c r="C33" s="122" t="s">
        <v>2225</v>
      </c>
      <c r="D33" s="122" t="s">
        <v>2218</v>
      </c>
      <c r="E33" s="124">
        <v>42767</v>
      </c>
      <c r="F33" s="124">
        <v>42818</v>
      </c>
      <c r="G33" s="123">
        <v>527</v>
      </c>
      <c r="H33" s="123">
        <v>396</v>
      </c>
      <c r="I33" s="123">
        <v>201</v>
      </c>
      <c r="J33" s="123">
        <v>156</v>
      </c>
      <c r="K33" s="194">
        <f t="shared" si="0"/>
        <v>51</v>
      </c>
    </row>
    <row r="34" spans="1:11">
      <c r="A34" s="121">
        <v>33</v>
      </c>
      <c r="B34" s="122" t="s">
        <v>2176</v>
      </c>
      <c r="C34" s="122" t="s">
        <v>2226</v>
      </c>
      <c r="D34" s="122" t="s">
        <v>2227</v>
      </c>
      <c r="E34" s="124">
        <v>42765</v>
      </c>
      <c r="F34" s="124">
        <v>42820</v>
      </c>
      <c r="G34" s="123">
        <v>366</v>
      </c>
      <c r="H34" s="123">
        <v>109</v>
      </c>
      <c r="I34" s="123">
        <v>556</v>
      </c>
      <c r="J34" s="123">
        <v>452</v>
      </c>
      <c r="K34" s="194">
        <f t="shared" si="0"/>
        <v>55</v>
      </c>
    </row>
    <row r="35" spans="1:11">
      <c r="A35" s="121">
        <v>34</v>
      </c>
      <c r="B35" s="122" t="s">
        <v>2176</v>
      </c>
      <c r="C35" s="122" t="s">
        <v>2229</v>
      </c>
      <c r="D35" s="122" t="s">
        <v>2227</v>
      </c>
      <c r="E35" s="124">
        <v>42765</v>
      </c>
      <c r="F35" s="124">
        <v>42820</v>
      </c>
      <c r="G35" s="123">
        <v>516</v>
      </c>
      <c r="H35" s="123">
        <v>153</v>
      </c>
      <c r="I35" s="123">
        <v>649</v>
      </c>
      <c r="J35" s="123">
        <v>24</v>
      </c>
      <c r="K35" s="194">
        <f t="shared" si="0"/>
        <v>55</v>
      </c>
    </row>
    <row r="36" spans="1:11">
      <c r="A36" s="121">
        <v>35</v>
      </c>
      <c r="B36" s="122" t="s">
        <v>2176</v>
      </c>
      <c r="C36" s="122" t="s">
        <v>2232</v>
      </c>
      <c r="D36" s="122" t="s">
        <v>2227</v>
      </c>
      <c r="E36" s="124">
        <v>42765</v>
      </c>
      <c r="F36" s="124">
        <v>42820</v>
      </c>
      <c r="G36" s="123">
        <v>670</v>
      </c>
      <c r="H36" s="123">
        <v>64</v>
      </c>
      <c r="I36" s="123">
        <v>732</v>
      </c>
      <c r="J36" s="123">
        <v>69</v>
      </c>
      <c r="K36" s="194">
        <f t="shared" si="0"/>
        <v>55</v>
      </c>
    </row>
    <row r="37" spans="1:11">
      <c r="A37" s="121">
        <v>36</v>
      </c>
      <c r="B37" s="122" t="s">
        <v>2176</v>
      </c>
      <c r="C37" s="122" t="s">
        <v>2233</v>
      </c>
      <c r="D37" s="122" t="s">
        <v>2227</v>
      </c>
      <c r="E37" s="124">
        <v>42765</v>
      </c>
      <c r="F37" s="124">
        <v>42820</v>
      </c>
      <c r="G37" s="123">
        <v>507</v>
      </c>
      <c r="H37" s="123">
        <v>126</v>
      </c>
      <c r="I37" s="123">
        <v>550</v>
      </c>
      <c r="J37" s="123">
        <v>97</v>
      </c>
      <c r="K37" s="194">
        <f t="shared" si="0"/>
        <v>55</v>
      </c>
    </row>
    <row r="38" spans="1:11">
      <c r="A38" s="121">
        <v>37</v>
      </c>
      <c r="B38" s="122" t="s">
        <v>2176</v>
      </c>
      <c r="C38" s="122" t="s">
        <v>2235</v>
      </c>
      <c r="D38" s="122" t="s">
        <v>2227</v>
      </c>
      <c r="E38" s="124">
        <v>42765</v>
      </c>
      <c r="F38" s="124">
        <v>42820</v>
      </c>
      <c r="G38" s="123">
        <v>359</v>
      </c>
      <c r="H38" s="123">
        <v>63</v>
      </c>
      <c r="I38" s="123">
        <v>528</v>
      </c>
      <c r="J38" s="123">
        <v>89</v>
      </c>
      <c r="K38" s="194">
        <f t="shared" si="0"/>
        <v>55</v>
      </c>
    </row>
    <row r="39" spans="1:11">
      <c r="A39" s="121">
        <v>38</v>
      </c>
      <c r="B39" s="122" t="s">
        <v>2176</v>
      </c>
      <c r="C39" s="122" t="s">
        <v>2237</v>
      </c>
      <c r="D39" s="122" t="s">
        <v>2227</v>
      </c>
      <c r="E39" s="124">
        <v>42765</v>
      </c>
      <c r="F39" s="124">
        <v>42820</v>
      </c>
      <c r="G39" s="123">
        <v>499</v>
      </c>
      <c r="H39" s="123">
        <v>87</v>
      </c>
      <c r="I39" s="123">
        <v>703</v>
      </c>
      <c r="J39" s="129">
        <v>147</v>
      </c>
      <c r="K39" s="194">
        <f t="shared" si="0"/>
        <v>55</v>
      </c>
    </row>
    <row r="40" spans="1:11">
      <c r="A40" s="121">
        <v>39</v>
      </c>
      <c r="B40" s="122" t="s">
        <v>2176</v>
      </c>
      <c r="C40" s="122" t="s">
        <v>2239</v>
      </c>
      <c r="D40" s="122" t="s">
        <v>2227</v>
      </c>
      <c r="E40" s="124">
        <v>42765</v>
      </c>
      <c r="F40" s="124">
        <v>42820</v>
      </c>
      <c r="G40" s="123">
        <v>214</v>
      </c>
      <c r="H40" s="123">
        <v>437</v>
      </c>
      <c r="I40" s="123">
        <v>566</v>
      </c>
      <c r="J40" s="123">
        <v>65</v>
      </c>
      <c r="K40" s="194">
        <f t="shared" si="0"/>
        <v>55</v>
      </c>
    </row>
    <row r="41" spans="1:11">
      <c r="A41" s="121">
        <v>40</v>
      </c>
      <c r="B41" s="122" t="s">
        <v>2176</v>
      </c>
      <c r="C41" s="122" t="s">
        <v>2241</v>
      </c>
      <c r="D41" s="122" t="s">
        <v>2227</v>
      </c>
      <c r="E41" s="124">
        <v>42765</v>
      </c>
      <c r="F41" s="124">
        <v>42820</v>
      </c>
      <c r="G41" s="123">
        <v>582</v>
      </c>
      <c r="H41" s="123">
        <v>114</v>
      </c>
      <c r="I41" s="123">
        <v>619</v>
      </c>
      <c r="J41" s="123">
        <v>420</v>
      </c>
      <c r="K41" s="194">
        <f t="shared" si="0"/>
        <v>55</v>
      </c>
    </row>
    <row r="42" spans="1:11">
      <c r="A42" s="121">
        <v>41</v>
      </c>
      <c r="B42" s="122" t="s">
        <v>2176</v>
      </c>
      <c r="C42" s="122" t="s">
        <v>2243</v>
      </c>
      <c r="D42" s="122" t="s">
        <v>2244</v>
      </c>
      <c r="E42" s="124">
        <v>42766</v>
      </c>
      <c r="F42" s="124">
        <v>42820</v>
      </c>
      <c r="G42" s="123">
        <v>453</v>
      </c>
      <c r="H42" s="123">
        <v>521</v>
      </c>
      <c r="I42" s="123">
        <v>626</v>
      </c>
      <c r="J42" s="123">
        <v>77</v>
      </c>
      <c r="K42" s="194">
        <f t="shared" si="0"/>
        <v>54</v>
      </c>
    </row>
    <row r="43" spans="1:11">
      <c r="A43" s="121">
        <v>42</v>
      </c>
      <c r="B43" s="122" t="s">
        <v>2176</v>
      </c>
      <c r="C43" s="122" t="s">
        <v>2245</v>
      </c>
      <c r="D43" s="122" t="s">
        <v>2244</v>
      </c>
      <c r="E43" s="124">
        <v>42766</v>
      </c>
      <c r="F43" s="124">
        <v>42820</v>
      </c>
      <c r="G43" s="123">
        <v>764</v>
      </c>
      <c r="H43" s="123">
        <v>371</v>
      </c>
      <c r="I43" s="123">
        <v>437</v>
      </c>
      <c r="J43" s="123">
        <v>81</v>
      </c>
      <c r="K43" s="194">
        <f t="shared" si="0"/>
        <v>54</v>
      </c>
    </row>
    <row r="44" spans="1:11">
      <c r="A44" s="121">
        <v>43</v>
      </c>
      <c r="B44" s="122" t="s">
        <v>2176</v>
      </c>
      <c r="C44" s="122" t="s">
        <v>2247</v>
      </c>
      <c r="D44" s="122" t="s">
        <v>2244</v>
      </c>
      <c r="E44" s="124">
        <v>42766</v>
      </c>
      <c r="F44" s="124">
        <v>42820</v>
      </c>
      <c r="G44" s="123">
        <v>690</v>
      </c>
      <c r="H44" s="123">
        <v>376</v>
      </c>
      <c r="I44" s="123">
        <v>643</v>
      </c>
      <c r="J44" s="123">
        <v>117</v>
      </c>
      <c r="K44" s="194">
        <f t="shared" si="0"/>
        <v>54</v>
      </c>
    </row>
    <row r="45" spans="1:11">
      <c r="A45" s="121">
        <v>44</v>
      </c>
      <c r="B45" s="122" t="s">
        <v>2176</v>
      </c>
      <c r="C45" s="122" t="s">
        <v>2248</v>
      </c>
      <c r="D45" s="122" t="s">
        <v>2244</v>
      </c>
      <c r="E45" s="124">
        <v>42766</v>
      </c>
      <c r="F45" s="124">
        <v>42820</v>
      </c>
      <c r="G45" s="123">
        <v>774</v>
      </c>
      <c r="H45" s="123">
        <v>166</v>
      </c>
      <c r="I45">
        <v>283</v>
      </c>
      <c r="J45" s="123">
        <v>6</v>
      </c>
      <c r="K45" s="194">
        <f t="shared" si="0"/>
        <v>54</v>
      </c>
    </row>
    <row r="46" spans="1:11">
      <c r="A46" s="121">
        <v>45</v>
      </c>
      <c r="B46" s="122" t="s">
        <v>2176</v>
      </c>
      <c r="C46" s="122" t="s">
        <v>2249</v>
      </c>
      <c r="D46" s="122" t="s">
        <v>2244</v>
      </c>
      <c r="E46" s="124">
        <v>42766</v>
      </c>
      <c r="F46" s="124">
        <v>42820</v>
      </c>
      <c r="G46" s="123">
        <v>519</v>
      </c>
      <c r="H46" s="123">
        <v>469</v>
      </c>
      <c r="I46" s="123">
        <v>602</v>
      </c>
      <c r="J46" s="123">
        <v>74</v>
      </c>
      <c r="K46" s="194">
        <f t="shared" si="0"/>
        <v>54</v>
      </c>
    </row>
    <row r="47" spans="1:11">
      <c r="A47" s="169">
        <v>46</v>
      </c>
      <c r="B47" s="170" t="s">
        <v>2176</v>
      </c>
      <c r="C47" s="170" t="s">
        <v>2251</v>
      </c>
      <c r="D47" s="170" t="s">
        <v>2244</v>
      </c>
      <c r="E47" s="171">
        <v>42766</v>
      </c>
      <c r="F47" s="171">
        <v>42820</v>
      </c>
      <c r="G47" s="169">
        <v>635</v>
      </c>
      <c r="H47" s="169">
        <v>86</v>
      </c>
      <c r="I47" s="169">
        <v>427</v>
      </c>
      <c r="J47" s="169">
        <v>102</v>
      </c>
      <c r="K47" s="194">
        <f t="shared" si="0"/>
        <v>54</v>
      </c>
    </row>
    <row r="48" spans="1:11">
      <c r="A48" s="121">
        <v>47</v>
      </c>
      <c r="B48" s="122" t="s">
        <v>2176</v>
      </c>
      <c r="C48" s="122" t="s">
        <v>2252</v>
      </c>
      <c r="D48" s="122" t="s">
        <v>2244</v>
      </c>
      <c r="E48" s="124">
        <v>42766</v>
      </c>
      <c r="F48" s="124">
        <v>42820</v>
      </c>
      <c r="G48" s="123">
        <v>539</v>
      </c>
      <c r="H48" s="123">
        <v>146</v>
      </c>
      <c r="I48" s="123">
        <v>512</v>
      </c>
      <c r="J48" s="123">
        <v>76</v>
      </c>
      <c r="K48" s="194">
        <f t="shared" si="0"/>
        <v>54</v>
      </c>
    </row>
    <row r="49" spans="1:11">
      <c r="A49" s="121">
        <v>48</v>
      </c>
      <c r="B49" s="122" t="s">
        <v>2176</v>
      </c>
      <c r="C49" s="122" t="s">
        <v>2254</v>
      </c>
      <c r="D49" s="122" t="s">
        <v>2244</v>
      </c>
      <c r="E49" s="124">
        <v>42766</v>
      </c>
      <c r="F49" s="124">
        <v>42820</v>
      </c>
      <c r="G49" s="123">
        <v>679</v>
      </c>
      <c r="H49" s="123">
        <v>72</v>
      </c>
      <c r="I49" s="123">
        <v>299</v>
      </c>
      <c r="J49" s="123">
        <v>107</v>
      </c>
      <c r="K49" s="194">
        <f t="shared" si="0"/>
        <v>54</v>
      </c>
    </row>
    <row r="50" spans="1:11">
      <c r="A50" s="121">
        <v>49</v>
      </c>
      <c r="B50" s="122" t="s">
        <v>2176</v>
      </c>
      <c r="C50" s="122" t="s">
        <v>2255</v>
      </c>
      <c r="D50" s="122" t="s">
        <v>2256</v>
      </c>
      <c r="E50" s="124">
        <v>42766</v>
      </c>
      <c r="F50" s="124">
        <v>42820</v>
      </c>
      <c r="G50" s="123">
        <v>346</v>
      </c>
      <c r="H50" s="123">
        <v>28</v>
      </c>
      <c r="I50" s="123">
        <v>739</v>
      </c>
      <c r="J50" s="123">
        <v>155</v>
      </c>
      <c r="K50" s="194">
        <f t="shared" si="0"/>
        <v>54</v>
      </c>
    </row>
    <row r="51" spans="1:11">
      <c r="A51" s="121">
        <v>50</v>
      </c>
      <c r="B51" s="122" t="s">
        <v>2176</v>
      </c>
      <c r="C51" s="122" t="s">
        <v>2257</v>
      </c>
      <c r="D51" s="122" t="s">
        <v>2256</v>
      </c>
      <c r="E51" s="124">
        <v>42766</v>
      </c>
      <c r="F51" s="124">
        <v>42820</v>
      </c>
      <c r="G51" s="123">
        <v>418</v>
      </c>
      <c r="H51" s="123">
        <v>5</v>
      </c>
      <c r="I51" s="123">
        <v>559</v>
      </c>
      <c r="J51" s="123">
        <v>98</v>
      </c>
      <c r="K51" s="194">
        <f t="shared" si="0"/>
        <v>54</v>
      </c>
    </row>
    <row r="52" spans="1:11">
      <c r="A52" s="121">
        <v>51</v>
      </c>
      <c r="B52" s="122" t="s">
        <v>2176</v>
      </c>
      <c r="C52" s="122" t="s">
        <v>2258</v>
      </c>
      <c r="D52" s="122" t="s">
        <v>2256</v>
      </c>
      <c r="E52" s="124">
        <v>42766</v>
      </c>
      <c r="F52" s="124">
        <v>42820</v>
      </c>
      <c r="G52" s="123">
        <v>548</v>
      </c>
      <c r="H52" s="123">
        <v>85</v>
      </c>
      <c r="I52" s="123">
        <v>856</v>
      </c>
      <c r="J52" s="123">
        <v>29</v>
      </c>
      <c r="K52" s="194">
        <f t="shared" si="0"/>
        <v>54</v>
      </c>
    </row>
    <row r="53" spans="1:11">
      <c r="A53" s="121">
        <v>52</v>
      </c>
      <c r="B53" s="122" t="s">
        <v>2176</v>
      </c>
      <c r="C53" s="122" t="s">
        <v>2259</v>
      </c>
      <c r="D53" s="122" t="s">
        <v>2256</v>
      </c>
      <c r="E53" s="124">
        <v>42766</v>
      </c>
      <c r="F53" s="124">
        <v>42820</v>
      </c>
      <c r="G53" s="123">
        <v>638</v>
      </c>
      <c r="H53" s="123">
        <v>513</v>
      </c>
      <c r="I53" s="123">
        <v>599</v>
      </c>
      <c r="J53" s="123">
        <v>312</v>
      </c>
      <c r="K53" s="194">
        <f t="shared" si="0"/>
        <v>54</v>
      </c>
    </row>
    <row r="54" spans="1:11">
      <c r="A54" s="169">
        <v>53</v>
      </c>
      <c r="B54" s="170" t="s">
        <v>2176</v>
      </c>
      <c r="C54" s="170" t="s">
        <v>2260</v>
      </c>
      <c r="D54" s="170" t="s">
        <v>2256</v>
      </c>
      <c r="E54" s="171">
        <v>42766</v>
      </c>
      <c r="F54" s="171">
        <v>42820</v>
      </c>
      <c r="G54" s="169">
        <v>426</v>
      </c>
      <c r="H54" s="169">
        <v>399</v>
      </c>
      <c r="I54" s="169">
        <v>683</v>
      </c>
      <c r="J54" s="169">
        <v>113</v>
      </c>
      <c r="K54" s="194">
        <f t="shared" si="0"/>
        <v>54</v>
      </c>
    </row>
    <row r="55" spans="1:11">
      <c r="A55" s="169">
        <v>54</v>
      </c>
      <c r="B55" s="170" t="s">
        <v>2176</v>
      </c>
      <c r="C55" s="170" t="s">
        <v>2261</v>
      </c>
      <c r="D55" s="170" t="s">
        <v>2256</v>
      </c>
      <c r="E55" s="171">
        <v>42766</v>
      </c>
      <c r="F55" s="171">
        <v>42820</v>
      </c>
      <c r="G55" s="169">
        <v>589</v>
      </c>
      <c r="H55" s="169">
        <v>400</v>
      </c>
      <c r="I55" s="169">
        <v>288</v>
      </c>
      <c r="J55" s="169">
        <v>441</v>
      </c>
      <c r="K55" s="194">
        <f t="shared" si="0"/>
        <v>54</v>
      </c>
    </row>
    <row r="56" spans="1:11">
      <c r="A56" s="121">
        <v>55</v>
      </c>
      <c r="B56" s="122" t="s">
        <v>2176</v>
      </c>
      <c r="C56" s="122" t="s">
        <v>2262</v>
      </c>
      <c r="D56" s="122" t="s">
        <v>2256</v>
      </c>
      <c r="E56" s="124">
        <v>42766</v>
      </c>
      <c r="F56" s="124">
        <v>42820</v>
      </c>
      <c r="G56" s="123">
        <v>622</v>
      </c>
      <c r="H56" s="113">
        <v>19</v>
      </c>
      <c r="I56" s="123">
        <v>616</v>
      </c>
      <c r="J56" s="165" t="s">
        <v>2498</v>
      </c>
      <c r="K56" s="194">
        <f t="shared" si="0"/>
        <v>54</v>
      </c>
    </row>
    <row r="57" spans="1:11">
      <c r="A57" s="121">
        <v>56</v>
      </c>
      <c r="B57" s="122" t="s">
        <v>2176</v>
      </c>
      <c r="C57" s="122" t="s">
        <v>2263</v>
      </c>
      <c r="D57" s="122" t="s">
        <v>2256</v>
      </c>
      <c r="E57" s="124">
        <v>42766</v>
      </c>
      <c r="F57" s="124">
        <v>42820</v>
      </c>
      <c r="G57" s="178">
        <v>538</v>
      </c>
      <c r="H57" s="123">
        <v>60</v>
      </c>
      <c r="I57" s="123">
        <v>557</v>
      </c>
      <c r="J57" s="123">
        <v>58</v>
      </c>
      <c r="K57" s="194">
        <f t="shared" si="0"/>
        <v>54</v>
      </c>
    </row>
    <row r="58" spans="1:11">
      <c r="A58" s="121">
        <v>57</v>
      </c>
      <c r="B58" s="122" t="s">
        <v>2176</v>
      </c>
      <c r="C58" s="131" t="s">
        <v>2264</v>
      </c>
      <c r="D58" s="122" t="s">
        <v>2265</v>
      </c>
      <c r="E58" s="124">
        <v>42766</v>
      </c>
      <c r="F58" s="124">
        <v>42820</v>
      </c>
      <c r="G58" s="165">
        <v>540</v>
      </c>
      <c r="H58" s="123">
        <v>161</v>
      </c>
      <c r="I58" s="123">
        <v>618</v>
      </c>
      <c r="J58" s="123">
        <v>435</v>
      </c>
      <c r="K58" s="194">
        <f t="shared" si="0"/>
        <v>54</v>
      </c>
    </row>
    <row r="59" spans="1:11">
      <c r="A59" s="121">
        <v>58</v>
      </c>
      <c r="B59" s="122" t="s">
        <v>2176</v>
      </c>
      <c r="C59" s="131" t="s">
        <v>2267</v>
      </c>
      <c r="D59" s="122" t="s">
        <v>2265</v>
      </c>
      <c r="E59" s="124">
        <v>42766</v>
      </c>
      <c r="F59" s="124">
        <v>42820</v>
      </c>
      <c r="G59" s="123">
        <v>513</v>
      </c>
      <c r="H59" s="123">
        <v>48</v>
      </c>
      <c r="I59" s="123">
        <v>593</v>
      </c>
      <c r="J59" s="123">
        <v>31</v>
      </c>
      <c r="K59" s="194">
        <f t="shared" si="0"/>
        <v>54</v>
      </c>
    </row>
    <row r="60" spans="1:11">
      <c r="A60" s="121">
        <v>59</v>
      </c>
      <c r="B60" s="122" t="s">
        <v>2176</v>
      </c>
      <c r="C60" s="131" t="s">
        <v>2268</v>
      </c>
      <c r="D60" s="122" t="s">
        <v>2265</v>
      </c>
      <c r="E60" s="124">
        <v>42766</v>
      </c>
      <c r="F60" s="124">
        <v>42820</v>
      </c>
      <c r="G60" s="123">
        <v>489</v>
      </c>
      <c r="H60" s="123">
        <v>23</v>
      </c>
      <c r="I60" s="123">
        <v>600</v>
      </c>
      <c r="J60" s="123">
        <v>120</v>
      </c>
      <c r="K60" s="194">
        <f t="shared" si="0"/>
        <v>54</v>
      </c>
    </row>
    <row r="61" spans="1:11">
      <c r="A61" s="121">
        <v>60</v>
      </c>
      <c r="B61" s="122" t="s">
        <v>2176</v>
      </c>
      <c r="C61" s="131" t="s">
        <v>2269</v>
      </c>
      <c r="D61" s="122" t="s">
        <v>2265</v>
      </c>
      <c r="E61" s="124">
        <v>42766</v>
      </c>
      <c r="F61" s="124">
        <v>42820</v>
      </c>
      <c r="G61" s="123">
        <v>633</v>
      </c>
      <c r="H61" s="123">
        <v>78</v>
      </c>
      <c r="I61" s="123">
        <v>535</v>
      </c>
      <c r="J61" s="123">
        <v>390</v>
      </c>
      <c r="K61" s="194">
        <f t="shared" si="0"/>
        <v>54</v>
      </c>
    </row>
    <row r="62" spans="1:11">
      <c r="A62" s="121">
        <v>61</v>
      </c>
      <c r="B62" s="122" t="s">
        <v>2176</v>
      </c>
      <c r="C62" s="131" t="s">
        <v>2271</v>
      </c>
      <c r="D62" s="122" t="s">
        <v>2265</v>
      </c>
      <c r="E62" s="124">
        <v>42766</v>
      </c>
      <c r="F62" s="124">
        <v>42820</v>
      </c>
      <c r="G62" s="123">
        <v>541</v>
      </c>
      <c r="H62" s="123">
        <v>42</v>
      </c>
      <c r="I62" s="123">
        <v>391</v>
      </c>
      <c r="J62" s="123">
        <v>143</v>
      </c>
      <c r="K62" s="194">
        <f t="shared" si="0"/>
        <v>54</v>
      </c>
    </row>
    <row r="63" spans="1:11">
      <c r="A63" s="121">
        <v>62</v>
      </c>
      <c r="B63" s="122" t="s">
        <v>2176</v>
      </c>
      <c r="C63" s="131" t="s">
        <v>2272</v>
      </c>
      <c r="D63" s="122" t="s">
        <v>2265</v>
      </c>
      <c r="E63" s="124">
        <v>42766</v>
      </c>
      <c r="F63" s="124">
        <v>42820</v>
      </c>
      <c r="G63" s="123">
        <v>565</v>
      </c>
      <c r="H63" s="123">
        <v>119</v>
      </c>
      <c r="I63" s="123">
        <v>445</v>
      </c>
      <c r="J63" s="123">
        <v>448</v>
      </c>
      <c r="K63" s="194">
        <f t="shared" si="0"/>
        <v>54</v>
      </c>
    </row>
    <row r="64" spans="1:11">
      <c r="A64" s="121">
        <v>63</v>
      </c>
      <c r="B64" s="122" t="s">
        <v>2176</v>
      </c>
      <c r="C64" s="131" t="s">
        <v>2274</v>
      </c>
      <c r="D64" s="122" t="s">
        <v>2265</v>
      </c>
      <c r="E64" s="124">
        <v>42766</v>
      </c>
      <c r="F64" s="124">
        <v>42820</v>
      </c>
      <c r="G64" s="123">
        <v>387</v>
      </c>
      <c r="H64" s="123">
        <v>185</v>
      </c>
      <c r="I64" s="123">
        <v>440</v>
      </c>
      <c r="J64" s="123">
        <v>423</v>
      </c>
      <c r="K64" s="194">
        <f t="shared" si="0"/>
        <v>54</v>
      </c>
    </row>
    <row r="65" spans="1:11">
      <c r="A65" s="121">
        <v>64</v>
      </c>
      <c r="B65" s="122" t="s">
        <v>2176</v>
      </c>
      <c r="C65" s="131" t="s">
        <v>2275</v>
      </c>
      <c r="D65" s="122" t="s">
        <v>2265</v>
      </c>
      <c r="E65" s="124">
        <v>42766</v>
      </c>
      <c r="F65" s="124">
        <v>42820</v>
      </c>
      <c r="G65" s="129">
        <v>554</v>
      </c>
      <c r="H65" s="123">
        <v>159</v>
      </c>
      <c r="I65" s="123">
        <v>673</v>
      </c>
      <c r="J65" s="129">
        <v>550</v>
      </c>
      <c r="K65" s="194">
        <f t="shared" si="0"/>
        <v>54</v>
      </c>
    </row>
    <row r="66" spans="1:11">
      <c r="A66" s="121">
        <v>65</v>
      </c>
      <c r="B66" s="122" t="s">
        <v>2276</v>
      </c>
      <c r="C66" s="122" t="s">
        <v>2277</v>
      </c>
      <c r="D66" s="122" t="s">
        <v>2278</v>
      </c>
      <c r="E66" s="124">
        <v>42767</v>
      </c>
      <c r="F66" s="124">
        <v>42818</v>
      </c>
      <c r="G66" s="123">
        <v>614</v>
      </c>
      <c r="H66" s="123">
        <v>525</v>
      </c>
      <c r="I66" s="123">
        <v>700</v>
      </c>
      <c r="J66" s="123">
        <v>333</v>
      </c>
      <c r="K66" s="194">
        <f t="shared" si="0"/>
        <v>51</v>
      </c>
    </row>
    <row r="67" spans="1:11">
      <c r="A67" s="121">
        <v>66</v>
      </c>
      <c r="B67" s="122" t="s">
        <v>2276</v>
      </c>
      <c r="C67" s="122" t="s">
        <v>2279</v>
      </c>
      <c r="D67" s="122" t="s">
        <v>2278</v>
      </c>
      <c r="E67" s="124">
        <v>42767</v>
      </c>
      <c r="F67" s="124">
        <v>42818</v>
      </c>
      <c r="G67" s="123">
        <v>282</v>
      </c>
      <c r="H67" s="123">
        <v>150</v>
      </c>
      <c r="I67" s="123">
        <v>760</v>
      </c>
      <c r="J67" s="123">
        <v>252</v>
      </c>
      <c r="K67" s="194">
        <f t="shared" ref="K67:K130" si="1">IFERROR(F67-E67,"")</f>
        <v>51</v>
      </c>
    </row>
    <row r="68" spans="1:11">
      <c r="A68" s="121">
        <v>67</v>
      </c>
      <c r="B68" s="122" t="s">
        <v>2276</v>
      </c>
      <c r="C68" s="122" t="s">
        <v>2280</v>
      </c>
      <c r="D68" s="122" t="s">
        <v>2278</v>
      </c>
      <c r="E68" s="124">
        <v>42767</v>
      </c>
      <c r="F68" s="124">
        <v>42818</v>
      </c>
      <c r="G68" s="123">
        <v>450</v>
      </c>
      <c r="H68" s="123">
        <v>165</v>
      </c>
      <c r="I68" s="123">
        <v>660</v>
      </c>
      <c r="J68" s="123">
        <v>44</v>
      </c>
      <c r="K68" s="194">
        <f t="shared" si="1"/>
        <v>51</v>
      </c>
    </row>
    <row r="69" spans="1:11">
      <c r="A69" s="121">
        <v>68</v>
      </c>
      <c r="B69" s="122" t="s">
        <v>2276</v>
      </c>
      <c r="C69" s="122" t="s">
        <v>2281</v>
      </c>
      <c r="D69" s="122" t="s">
        <v>2278</v>
      </c>
      <c r="E69" s="124">
        <v>42767</v>
      </c>
      <c r="F69" s="124">
        <v>42818</v>
      </c>
      <c r="G69" s="123">
        <v>269</v>
      </c>
      <c r="H69" s="123">
        <v>129</v>
      </c>
      <c r="I69" s="123">
        <v>477</v>
      </c>
      <c r="J69" s="123">
        <v>9</v>
      </c>
      <c r="K69" s="194">
        <f t="shared" si="1"/>
        <v>51</v>
      </c>
    </row>
    <row r="70" spans="1:11">
      <c r="A70" s="121">
        <v>69</v>
      </c>
      <c r="B70" s="122" t="s">
        <v>2276</v>
      </c>
      <c r="C70" s="122" t="s">
        <v>2282</v>
      </c>
      <c r="D70" s="122" t="s">
        <v>2278</v>
      </c>
      <c r="E70" s="124">
        <v>42767</v>
      </c>
      <c r="F70" s="124">
        <v>42818</v>
      </c>
      <c r="G70" s="123">
        <v>448</v>
      </c>
      <c r="H70" s="123">
        <v>414</v>
      </c>
      <c r="I70" s="123">
        <v>386</v>
      </c>
      <c r="J70" s="123">
        <v>251</v>
      </c>
      <c r="K70" s="194">
        <f t="shared" si="1"/>
        <v>51</v>
      </c>
    </row>
    <row r="71" spans="1:11">
      <c r="A71" s="121">
        <v>70</v>
      </c>
      <c r="B71" s="122" t="s">
        <v>2276</v>
      </c>
      <c r="C71" s="122" t="s">
        <v>2283</v>
      </c>
      <c r="D71" s="122" t="s">
        <v>2278</v>
      </c>
      <c r="E71" s="124">
        <v>42767</v>
      </c>
      <c r="F71" s="124">
        <v>42818</v>
      </c>
      <c r="G71" s="178">
        <v>358</v>
      </c>
      <c r="H71" s="123">
        <v>151</v>
      </c>
      <c r="I71" s="129">
        <v>414</v>
      </c>
      <c r="J71" s="123">
        <v>266</v>
      </c>
      <c r="K71" s="194">
        <f t="shared" si="1"/>
        <v>51</v>
      </c>
    </row>
    <row r="72" spans="1:11">
      <c r="A72" s="121">
        <v>71</v>
      </c>
      <c r="B72" s="122" t="s">
        <v>2276</v>
      </c>
      <c r="C72" s="122" t="s">
        <v>2284</v>
      </c>
      <c r="D72" s="122" t="s">
        <v>2278</v>
      </c>
      <c r="E72" s="124">
        <v>42767</v>
      </c>
      <c r="F72" s="124">
        <v>42818</v>
      </c>
      <c r="G72" s="123">
        <v>511</v>
      </c>
      <c r="H72" s="123">
        <v>95</v>
      </c>
      <c r="I72" s="123">
        <v>459</v>
      </c>
      <c r="J72" s="123">
        <v>528</v>
      </c>
      <c r="K72" s="194">
        <f t="shared" si="1"/>
        <v>51</v>
      </c>
    </row>
    <row r="73" spans="1:11">
      <c r="A73" s="121">
        <v>72</v>
      </c>
      <c r="B73" s="122" t="s">
        <v>2276</v>
      </c>
      <c r="C73" s="122" t="s">
        <v>2285</v>
      </c>
      <c r="D73" s="122" t="s">
        <v>2278</v>
      </c>
      <c r="E73" s="124">
        <v>42767</v>
      </c>
      <c r="F73" s="124">
        <v>42818</v>
      </c>
      <c r="G73" s="123">
        <v>383</v>
      </c>
      <c r="H73" s="123">
        <v>546</v>
      </c>
      <c r="I73" s="123">
        <v>627</v>
      </c>
      <c r="J73" s="178">
        <v>14</v>
      </c>
      <c r="K73" s="194">
        <f t="shared" si="1"/>
        <v>51</v>
      </c>
    </row>
    <row r="74" spans="1:11">
      <c r="A74" s="121">
        <v>73</v>
      </c>
      <c r="B74" s="122" t="s">
        <v>2276</v>
      </c>
      <c r="C74" s="122" t="s">
        <v>2286</v>
      </c>
      <c r="D74" s="122" t="s">
        <v>2287</v>
      </c>
      <c r="E74" s="124">
        <v>42767</v>
      </c>
      <c r="F74" s="124">
        <v>42818</v>
      </c>
      <c r="G74" s="123">
        <v>549</v>
      </c>
      <c r="H74" s="123">
        <v>438</v>
      </c>
      <c r="I74" s="123">
        <v>498</v>
      </c>
      <c r="J74" s="123">
        <v>393</v>
      </c>
      <c r="K74" s="194">
        <f t="shared" si="1"/>
        <v>51</v>
      </c>
    </row>
    <row r="75" spans="1:11">
      <c r="A75" s="121">
        <v>74</v>
      </c>
      <c r="B75" s="122" t="s">
        <v>2276</v>
      </c>
      <c r="C75" s="122" t="s">
        <v>2288</v>
      </c>
      <c r="D75" s="122" t="s">
        <v>2287</v>
      </c>
      <c r="E75" s="124">
        <v>42767</v>
      </c>
      <c r="F75" s="124">
        <v>42818</v>
      </c>
      <c r="G75" s="123">
        <v>605</v>
      </c>
      <c r="H75" s="123">
        <v>122</v>
      </c>
      <c r="I75" s="123">
        <v>579</v>
      </c>
      <c r="J75" s="123">
        <v>138</v>
      </c>
      <c r="K75" s="194">
        <f t="shared" si="1"/>
        <v>51</v>
      </c>
    </row>
    <row r="76" spans="1:11">
      <c r="A76" s="121">
        <v>75</v>
      </c>
      <c r="B76" s="122" t="s">
        <v>2276</v>
      </c>
      <c r="C76" s="122" t="s">
        <v>2289</v>
      </c>
      <c r="D76" s="122" t="s">
        <v>2287</v>
      </c>
      <c r="E76" s="124">
        <v>42767</v>
      </c>
      <c r="F76" s="124">
        <v>42818</v>
      </c>
      <c r="G76" s="123">
        <v>408</v>
      </c>
      <c r="H76" s="123">
        <v>404</v>
      </c>
      <c r="I76" s="123">
        <v>373</v>
      </c>
      <c r="J76">
        <v>311</v>
      </c>
      <c r="K76" s="194">
        <f t="shared" si="1"/>
        <v>51</v>
      </c>
    </row>
    <row r="77" spans="1:11">
      <c r="A77" s="121">
        <v>76</v>
      </c>
      <c r="B77" s="122" t="s">
        <v>2276</v>
      </c>
      <c r="C77" s="122" t="s">
        <v>2290</v>
      </c>
      <c r="D77" s="122" t="s">
        <v>2287</v>
      </c>
      <c r="E77" s="124">
        <v>42767</v>
      </c>
      <c r="F77" s="124">
        <v>42818</v>
      </c>
      <c r="G77">
        <v>416</v>
      </c>
      <c r="H77" s="123">
        <v>501</v>
      </c>
      <c r="I77" s="123">
        <v>603</v>
      </c>
      <c r="J77" s="123">
        <v>183</v>
      </c>
      <c r="K77" s="194">
        <f t="shared" si="1"/>
        <v>51</v>
      </c>
    </row>
    <row r="78" spans="1:11">
      <c r="A78" s="121">
        <v>77</v>
      </c>
      <c r="B78" s="122" t="s">
        <v>2276</v>
      </c>
      <c r="C78" s="122" t="s">
        <v>2291</v>
      </c>
      <c r="D78" s="122" t="s">
        <v>2287</v>
      </c>
      <c r="E78" s="124">
        <v>42767</v>
      </c>
      <c r="F78" s="124">
        <v>42818</v>
      </c>
      <c r="G78">
        <v>594</v>
      </c>
      <c r="H78" s="123">
        <v>137</v>
      </c>
      <c r="I78" s="123">
        <v>509</v>
      </c>
      <c r="J78" s="123">
        <v>228</v>
      </c>
      <c r="K78" s="194">
        <f t="shared" si="1"/>
        <v>51</v>
      </c>
    </row>
    <row r="79" spans="1:11">
      <c r="A79" s="121">
        <v>78</v>
      </c>
      <c r="B79" s="122" t="s">
        <v>2276</v>
      </c>
      <c r="C79" s="122" t="s">
        <v>2292</v>
      </c>
      <c r="D79" s="122" t="s">
        <v>2287</v>
      </c>
      <c r="E79" s="124">
        <v>42767</v>
      </c>
      <c r="F79" s="124">
        <v>42818</v>
      </c>
      <c r="G79" s="123">
        <v>460</v>
      </c>
      <c r="H79" s="123">
        <v>278</v>
      </c>
      <c r="I79" s="123">
        <v>446</v>
      </c>
      <c r="J79" s="123">
        <v>100</v>
      </c>
      <c r="K79" s="194">
        <f t="shared" si="1"/>
        <v>51</v>
      </c>
    </row>
    <row r="80" spans="1:11">
      <c r="A80" s="121">
        <v>79</v>
      </c>
      <c r="B80" s="122" t="s">
        <v>2276</v>
      </c>
      <c r="C80" s="122" t="s">
        <v>2293</v>
      </c>
      <c r="D80" s="122" t="s">
        <v>2287</v>
      </c>
      <c r="E80" s="124">
        <v>42767</v>
      </c>
      <c r="F80" s="124">
        <v>42818</v>
      </c>
      <c r="G80" s="123">
        <v>217</v>
      </c>
      <c r="H80" s="123">
        <v>235</v>
      </c>
      <c r="I80" s="123">
        <v>249</v>
      </c>
      <c r="J80" s="123">
        <v>56</v>
      </c>
      <c r="K80" s="194">
        <f t="shared" si="1"/>
        <v>51</v>
      </c>
    </row>
    <row r="81" spans="1:11">
      <c r="A81" s="121">
        <v>80</v>
      </c>
      <c r="B81" s="122" t="s">
        <v>2276</v>
      </c>
      <c r="C81" s="122" t="s">
        <v>2294</v>
      </c>
      <c r="D81" s="122" t="s">
        <v>2287</v>
      </c>
      <c r="E81" s="124">
        <v>42767</v>
      </c>
      <c r="F81" s="124">
        <v>42818</v>
      </c>
      <c r="G81" s="123">
        <v>607</v>
      </c>
      <c r="H81" s="123">
        <v>181</v>
      </c>
      <c r="I81" s="123">
        <v>474</v>
      </c>
      <c r="J81" s="132">
        <v>68</v>
      </c>
      <c r="K81" s="194">
        <f t="shared" si="1"/>
        <v>51</v>
      </c>
    </row>
    <row r="82" spans="1:11">
      <c r="A82" s="121">
        <v>81</v>
      </c>
      <c r="B82" s="122" t="s">
        <v>2276</v>
      </c>
      <c r="C82" s="122" t="s">
        <v>2295</v>
      </c>
      <c r="D82" s="122" t="s">
        <v>2296</v>
      </c>
      <c r="E82" s="124">
        <v>42767</v>
      </c>
      <c r="F82" s="124">
        <v>42818</v>
      </c>
      <c r="G82" s="123">
        <v>542</v>
      </c>
      <c r="H82" s="123">
        <v>187</v>
      </c>
      <c r="I82" s="123">
        <v>475</v>
      </c>
      <c r="J82" s="123">
        <v>293</v>
      </c>
      <c r="K82" s="194">
        <f t="shared" si="1"/>
        <v>51</v>
      </c>
    </row>
    <row r="83" spans="1:11">
      <c r="A83" s="121">
        <v>82</v>
      </c>
      <c r="B83" s="122" t="s">
        <v>2297</v>
      </c>
      <c r="C83" s="122" t="s">
        <v>2298</v>
      </c>
      <c r="D83" s="122" t="s">
        <v>2296</v>
      </c>
      <c r="E83" s="124">
        <v>42767</v>
      </c>
      <c r="F83" s="124">
        <v>42819</v>
      </c>
      <c r="G83" s="123">
        <v>536</v>
      </c>
      <c r="H83" s="123">
        <v>83</v>
      </c>
      <c r="I83" s="123">
        <v>840</v>
      </c>
      <c r="J83" s="123">
        <v>368</v>
      </c>
      <c r="K83" s="194">
        <f t="shared" si="1"/>
        <v>52</v>
      </c>
    </row>
    <row r="84" spans="1:11">
      <c r="A84" s="121">
        <v>83</v>
      </c>
      <c r="B84" s="122" t="s">
        <v>2297</v>
      </c>
      <c r="C84" s="122" t="s">
        <v>2299</v>
      </c>
      <c r="D84" s="122" t="s">
        <v>2296</v>
      </c>
      <c r="E84" s="124">
        <v>42767</v>
      </c>
      <c r="F84" s="124">
        <v>42819</v>
      </c>
      <c r="G84" s="123">
        <v>494</v>
      </c>
      <c r="H84" s="123">
        <v>134</v>
      </c>
      <c r="I84" s="123">
        <v>298</v>
      </c>
      <c r="J84" s="123">
        <v>22</v>
      </c>
      <c r="K84" s="194">
        <f t="shared" si="1"/>
        <v>52</v>
      </c>
    </row>
    <row r="85" spans="1:11">
      <c r="A85" s="121">
        <v>84</v>
      </c>
      <c r="B85" s="122" t="s">
        <v>2297</v>
      </c>
      <c r="C85" s="122" t="s">
        <v>2300</v>
      </c>
      <c r="D85" s="122" t="s">
        <v>2296</v>
      </c>
      <c r="E85" s="124">
        <v>42767</v>
      </c>
      <c r="F85" s="124">
        <v>42819</v>
      </c>
      <c r="G85" s="132">
        <v>291</v>
      </c>
      <c r="H85" s="123">
        <v>49</v>
      </c>
      <c r="I85" s="123">
        <v>520</v>
      </c>
      <c r="J85" s="123">
        <v>417</v>
      </c>
      <c r="K85" s="194">
        <f t="shared" si="1"/>
        <v>52</v>
      </c>
    </row>
    <row r="86" spans="1:11">
      <c r="A86" s="121">
        <v>85</v>
      </c>
      <c r="B86" s="122" t="s">
        <v>2297</v>
      </c>
      <c r="C86" s="122" t="s">
        <v>2301</v>
      </c>
      <c r="D86" s="122" t="s">
        <v>2296</v>
      </c>
      <c r="E86" s="124">
        <v>42767</v>
      </c>
      <c r="F86" s="124">
        <v>42819</v>
      </c>
      <c r="G86" s="123">
        <v>308</v>
      </c>
      <c r="H86" s="123">
        <v>315</v>
      </c>
      <c r="I86" s="123">
        <v>441</v>
      </c>
      <c r="J86" s="123">
        <v>391</v>
      </c>
      <c r="K86" s="194">
        <f t="shared" si="1"/>
        <v>52</v>
      </c>
    </row>
    <row r="87" spans="1:11">
      <c r="A87" s="121">
        <v>86</v>
      </c>
      <c r="B87" s="122" t="s">
        <v>2297</v>
      </c>
      <c r="C87" s="122" t="s">
        <v>2302</v>
      </c>
      <c r="D87" s="122" t="s">
        <v>2296</v>
      </c>
      <c r="E87" s="124">
        <v>42767</v>
      </c>
      <c r="F87" s="124">
        <v>42819</v>
      </c>
      <c r="G87" s="123">
        <v>723</v>
      </c>
      <c r="H87" s="123">
        <v>1</v>
      </c>
      <c r="I87" s="123">
        <v>561</v>
      </c>
      <c r="J87" s="123">
        <v>62</v>
      </c>
      <c r="K87" s="194">
        <f t="shared" si="1"/>
        <v>52</v>
      </c>
    </row>
    <row r="88" spans="1:11">
      <c r="A88" s="121">
        <v>87</v>
      </c>
      <c r="B88" s="122" t="s">
        <v>2297</v>
      </c>
      <c r="C88" s="122" t="s">
        <v>2303</v>
      </c>
      <c r="D88" s="122" t="s">
        <v>2296</v>
      </c>
      <c r="E88" s="124">
        <v>42767</v>
      </c>
      <c r="F88" s="124">
        <v>42819</v>
      </c>
      <c r="G88" s="123">
        <v>628</v>
      </c>
      <c r="H88" s="123">
        <v>408</v>
      </c>
      <c r="I88" s="123">
        <v>632</v>
      </c>
      <c r="J88" s="123">
        <v>329</v>
      </c>
      <c r="K88" s="194">
        <f t="shared" si="1"/>
        <v>52</v>
      </c>
    </row>
    <row r="89" spans="1:11">
      <c r="A89" s="169">
        <v>88</v>
      </c>
      <c r="B89" s="170" t="s">
        <v>2297</v>
      </c>
      <c r="C89" s="170" t="s">
        <v>2304</v>
      </c>
      <c r="D89" s="170" t="s">
        <v>2296</v>
      </c>
      <c r="E89" s="171">
        <v>42767</v>
      </c>
      <c r="F89" s="169" t="s">
        <v>2057</v>
      </c>
      <c r="G89" s="169">
        <v>569</v>
      </c>
      <c r="H89" s="169">
        <v>385</v>
      </c>
      <c r="I89" s="169">
        <v>611</v>
      </c>
      <c r="J89" s="169">
        <v>288</v>
      </c>
      <c r="K89" s="194" t="str">
        <f t="shared" si="1"/>
        <v/>
      </c>
    </row>
    <row r="90" spans="1:11">
      <c r="A90" s="121">
        <v>89</v>
      </c>
      <c r="B90" s="122" t="s">
        <v>2297</v>
      </c>
      <c r="C90" s="122" t="s">
        <v>2305</v>
      </c>
      <c r="D90" s="122" t="s">
        <v>2306</v>
      </c>
      <c r="E90" s="124">
        <v>42767</v>
      </c>
      <c r="F90" s="124">
        <v>42819</v>
      </c>
      <c r="G90" s="123">
        <v>339</v>
      </c>
      <c r="H90" s="123">
        <v>196</v>
      </c>
      <c r="I90" s="123">
        <v>469</v>
      </c>
      <c r="J90" s="123">
        <v>171</v>
      </c>
      <c r="K90" s="194">
        <f t="shared" si="1"/>
        <v>52</v>
      </c>
    </row>
    <row r="91" spans="1:11">
      <c r="A91" s="121">
        <v>90</v>
      </c>
      <c r="B91" s="122" t="s">
        <v>2297</v>
      </c>
      <c r="C91" s="122" t="s">
        <v>2307</v>
      </c>
      <c r="D91" s="122" t="s">
        <v>2306</v>
      </c>
      <c r="E91" s="124">
        <v>42767</v>
      </c>
      <c r="F91" s="124">
        <v>42819</v>
      </c>
      <c r="G91" s="123">
        <v>592</v>
      </c>
      <c r="H91" s="123">
        <v>94</v>
      </c>
      <c r="I91" s="123">
        <v>355</v>
      </c>
      <c r="J91">
        <v>517</v>
      </c>
      <c r="K91" s="194">
        <f t="shared" si="1"/>
        <v>52</v>
      </c>
    </row>
    <row r="92" spans="1:11">
      <c r="A92" s="121">
        <v>91</v>
      </c>
      <c r="B92" s="122" t="s">
        <v>2297</v>
      </c>
      <c r="C92" s="122" t="s">
        <v>2308</v>
      </c>
      <c r="D92" s="122" t="s">
        <v>2306</v>
      </c>
      <c r="E92" s="124">
        <v>42767</v>
      </c>
      <c r="F92" s="124">
        <v>42819</v>
      </c>
      <c r="G92">
        <v>472</v>
      </c>
      <c r="H92" s="123">
        <v>343</v>
      </c>
      <c r="I92" s="123">
        <v>547</v>
      </c>
      <c r="J92" s="123">
        <v>73</v>
      </c>
      <c r="K92" s="194">
        <f t="shared" si="1"/>
        <v>52</v>
      </c>
    </row>
    <row r="93" spans="1:11">
      <c r="A93" s="121">
        <v>92</v>
      </c>
      <c r="B93" s="122" t="s">
        <v>2297</v>
      </c>
      <c r="C93" s="122" t="s">
        <v>2309</v>
      </c>
      <c r="D93" s="122" t="s">
        <v>2306</v>
      </c>
      <c r="E93" s="124">
        <v>42767</v>
      </c>
      <c r="F93" s="124">
        <v>42819</v>
      </c>
      <c r="G93" s="123">
        <v>529</v>
      </c>
      <c r="H93" s="123">
        <v>445</v>
      </c>
      <c r="I93" s="123">
        <v>763</v>
      </c>
      <c r="J93" s="132">
        <v>4</v>
      </c>
      <c r="K93" s="194">
        <f t="shared" si="1"/>
        <v>52</v>
      </c>
    </row>
    <row r="94" spans="1:11">
      <c r="A94" s="121">
        <v>93</v>
      </c>
      <c r="B94" s="122" t="s">
        <v>2297</v>
      </c>
      <c r="C94" s="122" t="s">
        <v>2310</v>
      </c>
      <c r="D94" s="122" t="s">
        <v>2306</v>
      </c>
      <c r="E94" s="124">
        <v>42767</v>
      </c>
      <c r="F94" s="124">
        <v>42819</v>
      </c>
      <c r="G94" s="123">
        <v>636</v>
      </c>
      <c r="H94" s="123">
        <v>12</v>
      </c>
      <c r="I94" s="123">
        <v>424</v>
      </c>
      <c r="J94" s="123">
        <v>136</v>
      </c>
      <c r="K94" s="194">
        <f t="shared" si="1"/>
        <v>52</v>
      </c>
    </row>
    <row r="95" spans="1:11">
      <c r="A95" s="169">
        <v>94</v>
      </c>
      <c r="B95" s="170" t="s">
        <v>2297</v>
      </c>
      <c r="C95" s="170" t="s">
        <v>2311</v>
      </c>
      <c r="D95" s="170" t="s">
        <v>2306</v>
      </c>
      <c r="E95" s="171">
        <v>42767</v>
      </c>
      <c r="F95" s="171" t="s">
        <v>2057</v>
      </c>
      <c r="G95" s="169">
        <v>534</v>
      </c>
      <c r="H95" s="169">
        <v>244</v>
      </c>
      <c r="I95" s="169">
        <v>588</v>
      </c>
      <c r="J95" s="169">
        <v>358</v>
      </c>
      <c r="K95" s="194" t="str">
        <f t="shared" si="1"/>
        <v/>
      </c>
    </row>
    <row r="96" spans="1:11">
      <c r="A96" s="121">
        <v>95</v>
      </c>
      <c r="B96" s="122" t="s">
        <v>2297</v>
      </c>
      <c r="C96" s="122" t="s">
        <v>2312</v>
      </c>
      <c r="D96" s="122" t="s">
        <v>2306</v>
      </c>
      <c r="E96" s="124">
        <v>42767</v>
      </c>
      <c r="F96" s="124">
        <v>42819</v>
      </c>
      <c r="G96" s="123">
        <v>641</v>
      </c>
      <c r="H96" s="123">
        <v>360</v>
      </c>
      <c r="I96" s="123">
        <v>486</v>
      </c>
      <c r="J96" s="123">
        <v>547</v>
      </c>
      <c r="K96" s="194">
        <f t="shared" si="1"/>
        <v>52</v>
      </c>
    </row>
    <row r="97" spans="1:11">
      <c r="A97" s="121">
        <v>96</v>
      </c>
      <c r="B97" s="122" t="s">
        <v>2297</v>
      </c>
      <c r="C97" s="122" t="s">
        <v>2313</v>
      </c>
      <c r="D97" s="122" t="s">
        <v>2306</v>
      </c>
      <c r="E97" s="124">
        <v>42767</v>
      </c>
      <c r="F97" s="124">
        <v>42819</v>
      </c>
      <c r="G97" s="123">
        <v>479</v>
      </c>
      <c r="H97" s="123">
        <v>318</v>
      </c>
      <c r="I97" s="123">
        <v>545</v>
      </c>
      <c r="J97" s="123">
        <v>588</v>
      </c>
      <c r="K97" s="194">
        <f t="shared" si="1"/>
        <v>52</v>
      </c>
    </row>
    <row r="98" spans="1:11">
      <c r="A98" s="121">
        <v>97</v>
      </c>
      <c r="B98" s="122" t="s">
        <v>2314</v>
      </c>
      <c r="C98" s="122" t="s">
        <v>2315</v>
      </c>
      <c r="D98" s="122" t="s">
        <v>2178</v>
      </c>
      <c r="E98" s="124">
        <v>42762</v>
      </c>
      <c r="F98" s="124">
        <v>42816</v>
      </c>
      <c r="G98" s="123">
        <v>741</v>
      </c>
      <c r="H98" s="123">
        <v>518</v>
      </c>
      <c r="I98" s="123">
        <v>847</v>
      </c>
      <c r="J98" s="123">
        <v>576</v>
      </c>
      <c r="K98" s="194">
        <f t="shared" si="1"/>
        <v>54</v>
      </c>
    </row>
    <row r="99" spans="1:11">
      <c r="A99" s="121">
        <v>98</v>
      </c>
      <c r="B99" s="122" t="s">
        <v>2314</v>
      </c>
      <c r="C99" s="122" t="s">
        <v>2316</v>
      </c>
      <c r="D99" s="122" t="s">
        <v>2178</v>
      </c>
      <c r="E99" s="124">
        <v>42762</v>
      </c>
      <c r="F99" s="124">
        <v>42816</v>
      </c>
      <c r="G99" s="123">
        <v>610</v>
      </c>
      <c r="H99" s="123">
        <v>489</v>
      </c>
      <c r="I99" s="123">
        <v>730</v>
      </c>
      <c r="J99" s="123">
        <v>561</v>
      </c>
      <c r="K99" s="194">
        <f t="shared" si="1"/>
        <v>54</v>
      </c>
    </row>
    <row r="100" spans="1:11">
      <c r="A100" s="121">
        <v>99</v>
      </c>
      <c r="B100" s="122" t="s">
        <v>2314</v>
      </c>
      <c r="C100" s="122" t="s">
        <v>2317</v>
      </c>
      <c r="D100" s="122" t="s">
        <v>2178</v>
      </c>
      <c r="E100" s="124">
        <v>42762</v>
      </c>
      <c r="F100" s="124">
        <v>42816</v>
      </c>
      <c r="G100" s="123">
        <v>765</v>
      </c>
      <c r="H100" s="123">
        <v>549</v>
      </c>
      <c r="I100" s="123">
        <v>691</v>
      </c>
      <c r="J100" s="123">
        <v>496</v>
      </c>
      <c r="K100" s="194">
        <f t="shared" si="1"/>
        <v>54</v>
      </c>
    </row>
    <row r="101" spans="1:11">
      <c r="A101" s="121">
        <v>100</v>
      </c>
      <c r="B101" s="122" t="s">
        <v>2314</v>
      </c>
      <c r="C101" s="122" t="s">
        <v>2318</v>
      </c>
      <c r="D101" s="122" t="s">
        <v>2178</v>
      </c>
      <c r="E101" s="124">
        <v>42762</v>
      </c>
      <c r="F101" s="124">
        <v>42816</v>
      </c>
      <c r="G101" s="123">
        <v>728</v>
      </c>
      <c r="H101" s="123">
        <v>500</v>
      </c>
      <c r="I101" s="123">
        <v>828</v>
      </c>
      <c r="J101" s="123">
        <v>497</v>
      </c>
      <c r="K101" s="194">
        <f t="shared" si="1"/>
        <v>54</v>
      </c>
    </row>
    <row r="102" spans="1:11">
      <c r="A102" s="121">
        <v>101</v>
      </c>
      <c r="B102" s="122" t="s">
        <v>2314</v>
      </c>
      <c r="C102" s="122" t="s">
        <v>2320</v>
      </c>
      <c r="D102" s="122" t="s">
        <v>2178</v>
      </c>
      <c r="E102" s="124">
        <v>42762</v>
      </c>
      <c r="F102" s="124">
        <v>42816</v>
      </c>
      <c r="G102" s="123">
        <v>808</v>
      </c>
      <c r="H102" s="123">
        <v>482</v>
      </c>
      <c r="I102" s="123">
        <v>875</v>
      </c>
      <c r="J102" s="123">
        <v>10</v>
      </c>
      <c r="K102" s="194">
        <f t="shared" si="1"/>
        <v>54</v>
      </c>
    </row>
    <row r="103" spans="1:11">
      <c r="A103" s="121">
        <v>102</v>
      </c>
      <c r="B103" s="122" t="s">
        <v>2314</v>
      </c>
      <c r="C103" s="122" t="s">
        <v>2321</v>
      </c>
      <c r="D103" s="122" t="s">
        <v>2178</v>
      </c>
      <c r="E103" s="124">
        <v>42762</v>
      </c>
      <c r="F103" s="124">
        <v>42816</v>
      </c>
      <c r="G103" s="123">
        <v>892</v>
      </c>
      <c r="H103" s="123">
        <v>569</v>
      </c>
      <c r="I103" s="123">
        <v>824</v>
      </c>
      <c r="J103" s="123">
        <v>26</v>
      </c>
      <c r="K103" s="194">
        <f t="shared" si="1"/>
        <v>54</v>
      </c>
    </row>
    <row r="104" spans="1:11">
      <c r="A104" s="121">
        <v>103</v>
      </c>
      <c r="B104" s="122" t="s">
        <v>2314</v>
      </c>
      <c r="C104" s="122" t="s">
        <v>2322</v>
      </c>
      <c r="D104" s="122" t="s">
        <v>2178</v>
      </c>
      <c r="E104" s="124">
        <v>42762</v>
      </c>
      <c r="F104" s="124">
        <v>42816</v>
      </c>
      <c r="G104" s="123">
        <v>869</v>
      </c>
      <c r="H104" s="123">
        <v>430</v>
      </c>
      <c r="I104" s="123">
        <v>692</v>
      </c>
      <c r="J104" s="123">
        <v>494</v>
      </c>
      <c r="K104" s="194">
        <f t="shared" si="1"/>
        <v>54</v>
      </c>
    </row>
    <row r="105" spans="1:11">
      <c r="A105" s="121">
        <v>104</v>
      </c>
      <c r="B105" s="122" t="s">
        <v>2314</v>
      </c>
      <c r="C105" s="122" t="s">
        <v>2323</v>
      </c>
      <c r="D105" s="122" t="s">
        <v>2178</v>
      </c>
      <c r="E105" s="124">
        <v>42762</v>
      </c>
      <c r="F105" s="124">
        <v>42816</v>
      </c>
      <c r="G105" s="123">
        <v>881</v>
      </c>
      <c r="H105" s="123">
        <v>577</v>
      </c>
      <c r="I105" s="123">
        <v>806</v>
      </c>
      <c r="J105" s="123">
        <v>475</v>
      </c>
      <c r="K105" s="194">
        <f t="shared" si="1"/>
        <v>54</v>
      </c>
    </row>
    <row r="106" spans="1:11">
      <c r="A106" s="121">
        <v>105</v>
      </c>
      <c r="B106" s="122" t="s">
        <v>2314</v>
      </c>
      <c r="C106" s="122" t="s">
        <v>2324</v>
      </c>
      <c r="D106" s="122" t="s">
        <v>2194</v>
      </c>
      <c r="E106" s="124">
        <v>42762</v>
      </c>
      <c r="F106" s="124">
        <v>42816</v>
      </c>
      <c r="G106" s="123">
        <v>729</v>
      </c>
      <c r="H106" s="123">
        <v>548</v>
      </c>
      <c r="I106" s="123">
        <v>861</v>
      </c>
      <c r="J106">
        <v>540</v>
      </c>
      <c r="K106" s="194">
        <f t="shared" si="1"/>
        <v>54</v>
      </c>
    </row>
    <row r="107" spans="1:11">
      <c r="A107" s="121">
        <v>106</v>
      </c>
      <c r="B107" s="122" t="s">
        <v>2314</v>
      </c>
      <c r="C107" s="122" t="s">
        <v>2325</v>
      </c>
      <c r="D107" s="122" t="s">
        <v>2194</v>
      </c>
      <c r="E107" s="124">
        <v>42762</v>
      </c>
      <c r="F107" s="124">
        <v>42816</v>
      </c>
      <c r="G107" s="123">
        <v>837</v>
      </c>
      <c r="H107" s="123">
        <v>590</v>
      </c>
      <c r="I107" s="123">
        <v>738</v>
      </c>
      <c r="J107" s="123">
        <v>593</v>
      </c>
      <c r="K107" s="194">
        <f t="shared" si="1"/>
        <v>54</v>
      </c>
    </row>
    <row r="108" spans="1:11">
      <c r="A108" s="121">
        <v>107</v>
      </c>
      <c r="B108" s="122" t="s">
        <v>2314</v>
      </c>
      <c r="C108" s="122" t="s">
        <v>2326</v>
      </c>
      <c r="D108" s="122" t="s">
        <v>2194</v>
      </c>
      <c r="E108" s="124">
        <v>42762</v>
      </c>
      <c r="F108" s="124">
        <v>42816</v>
      </c>
      <c r="G108" s="123">
        <v>688</v>
      </c>
      <c r="H108" s="123">
        <v>574</v>
      </c>
      <c r="I108" s="123">
        <v>676</v>
      </c>
      <c r="J108" s="123">
        <v>510</v>
      </c>
      <c r="K108" s="194">
        <f t="shared" si="1"/>
        <v>54</v>
      </c>
    </row>
    <row r="109" spans="1:11">
      <c r="A109" s="121">
        <v>108</v>
      </c>
      <c r="B109" s="122" t="s">
        <v>2314</v>
      </c>
      <c r="C109" s="122" t="s">
        <v>2327</v>
      </c>
      <c r="D109" s="122" t="s">
        <v>2194</v>
      </c>
      <c r="E109" s="124">
        <v>42762</v>
      </c>
      <c r="F109" s="124">
        <v>42816</v>
      </c>
      <c r="G109" s="123">
        <v>883</v>
      </c>
      <c r="H109" s="123">
        <v>8</v>
      </c>
      <c r="I109" s="123">
        <v>845</v>
      </c>
      <c r="J109" s="123">
        <v>509</v>
      </c>
      <c r="K109" s="194">
        <f t="shared" si="1"/>
        <v>54</v>
      </c>
    </row>
    <row r="110" spans="1:11">
      <c r="A110" s="121">
        <v>109</v>
      </c>
      <c r="B110" s="122" t="s">
        <v>2314</v>
      </c>
      <c r="C110" s="122" t="s">
        <v>2329</v>
      </c>
      <c r="D110" s="122" t="s">
        <v>2194</v>
      </c>
      <c r="E110" s="124">
        <v>42762</v>
      </c>
      <c r="F110" s="124">
        <v>42816</v>
      </c>
      <c r="G110" s="123">
        <v>704</v>
      </c>
      <c r="H110" s="123">
        <v>552</v>
      </c>
      <c r="I110" s="123">
        <v>887</v>
      </c>
      <c r="J110" s="123">
        <v>33</v>
      </c>
      <c r="K110" s="194">
        <f t="shared" si="1"/>
        <v>54</v>
      </c>
    </row>
    <row r="111" spans="1:11">
      <c r="A111" s="121">
        <v>110</v>
      </c>
      <c r="B111" s="122" t="s">
        <v>2314</v>
      </c>
      <c r="C111" s="122" t="s">
        <v>2330</v>
      </c>
      <c r="D111" s="122" t="s">
        <v>2194</v>
      </c>
      <c r="E111" s="124">
        <v>42762</v>
      </c>
      <c r="F111" s="124">
        <v>42816</v>
      </c>
      <c r="G111" s="123">
        <v>742</v>
      </c>
      <c r="H111" s="123">
        <v>462</v>
      </c>
      <c r="I111" s="178">
        <v>882</v>
      </c>
      <c r="J111" s="165" t="s">
        <v>2497</v>
      </c>
      <c r="K111" s="194">
        <f t="shared" si="1"/>
        <v>54</v>
      </c>
    </row>
    <row r="112" spans="1:11">
      <c r="A112" s="121">
        <v>111</v>
      </c>
      <c r="B112" s="122" t="s">
        <v>2314</v>
      </c>
      <c r="C112" s="122" t="s">
        <v>2331</v>
      </c>
      <c r="D112" s="122" t="s">
        <v>2194</v>
      </c>
      <c r="E112" s="124">
        <v>42762</v>
      </c>
      <c r="F112" s="124">
        <v>42816</v>
      </c>
      <c r="G112" s="123">
        <v>831</v>
      </c>
      <c r="H112" s="123">
        <v>505</v>
      </c>
      <c r="I112" s="123">
        <v>695</v>
      </c>
      <c r="J112" s="123">
        <v>487</v>
      </c>
      <c r="K112" s="194">
        <f t="shared" si="1"/>
        <v>54</v>
      </c>
    </row>
    <row r="113" spans="1:11">
      <c r="A113" s="121">
        <v>112</v>
      </c>
      <c r="B113" s="122" t="s">
        <v>2314</v>
      </c>
      <c r="C113" s="122" t="s">
        <v>2332</v>
      </c>
      <c r="D113" s="122" t="s">
        <v>2194</v>
      </c>
      <c r="E113" s="124">
        <v>42762</v>
      </c>
      <c r="F113" s="124">
        <v>42816</v>
      </c>
      <c r="G113" s="123">
        <v>899</v>
      </c>
      <c r="H113" s="123">
        <v>41</v>
      </c>
      <c r="I113" s="123">
        <v>852</v>
      </c>
      <c r="J113" s="123">
        <v>530</v>
      </c>
      <c r="K113" s="194">
        <f t="shared" si="1"/>
        <v>54</v>
      </c>
    </row>
    <row r="114" spans="1:11">
      <c r="A114" s="121">
        <v>113</v>
      </c>
      <c r="B114" s="122" t="s">
        <v>2314</v>
      </c>
      <c r="C114" s="122" t="s">
        <v>2333</v>
      </c>
      <c r="D114" s="122" t="s">
        <v>2208</v>
      </c>
      <c r="E114" s="124">
        <v>42762</v>
      </c>
      <c r="F114" s="124">
        <v>42816</v>
      </c>
      <c r="G114" s="123">
        <v>724</v>
      </c>
      <c r="H114" s="123">
        <v>428</v>
      </c>
      <c r="I114" s="123">
        <v>769</v>
      </c>
      <c r="J114" s="123">
        <v>578</v>
      </c>
      <c r="K114" s="194">
        <f t="shared" si="1"/>
        <v>54</v>
      </c>
    </row>
    <row r="115" spans="1:11">
      <c r="A115" s="121">
        <v>114</v>
      </c>
      <c r="B115" s="122" t="s">
        <v>2314</v>
      </c>
      <c r="C115" s="122" t="s">
        <v>2334</v>
      </c>
      <c r="D115" s="122" t="s">
        <v>2208</v>
      </c>
      <c r="E115" s="124">
        <v>42762</v>
      </c>
      <c r="F115" s="124">
        <v>42816</v>
      </c>
      <c r="G115" s="123">
        <v>803</v>
      </c>
      <c r="H115" s="123">
        <v>601</v>
      </c>
      <c r="I115" s="123">
        <v>889</v>
      </c>
      <c r="J115" s="123">
        <v>37</v>
      </c>
      <c r="K115" s="194">
        <f t="shared" si="1"/>
        <v>54</v>
      </c>
    </row>
    <row r="116" spans="1:11">
      <c r="A116" s="121">
        <v>115</v>
      </c>
      <c r="B116" s="122" t="s">
        <v>2314</v>
      </c>
      <c r="C116" s="122" t="s">
        <v>2335</v>
      </c>
      <c r="D116" s="122" t="s">
        <v>2208</v>
      </c>
      <c r="E116" s="124">
        <v>42762</v>
      </c>
      <c r="F116" s="124">
        <v>42816</v>
      </c>
      <c r="G116" s="123">
        <v>693</v>
      </c>
      <c r="H116" s="123">
        <v>553</v>
      </c>
      <c r="I116" s="123">
        <v>778</v>
      </c>
      <c r="J116" s="123">
        <v>522</v>
      </c>
      <c r="K116" s="194">
        <f t="shared" si="1"/>
        <v>54</v>
      </c>
    </row>
    <row r="117" spans="1:11">
      <c r="A117" s="121">
        <v>116</v>
      </c>
      <c r="B117" s="122" t="s">
        <v>2314</v>
      </c>
      <c r="C117" s="122" t="s">
        <v>2336</v>
      </c>
      <c r="D117" s="122" t="s">
        <v>2208</v>
      </c>
      <c r="E117" s="124">
        <v>42762</v>
      </c>
      <c r="F117" s="124">
        <v>42816</v>
      </c>
      <c r="G117" s="123">
        <v>897</v>
      </c>
      <c r="H117" s="123">
        <v>459</v>
      </c>
      <c r="I117" s="123">
        <v>563</v>
      </c>
      <c r="J117" s="123">
        <v>480</v>
      </c>
      <c r="K117" s="194">
        <f t="shared" si="1"/>
        <v>54</v>
      </c>
    </row>
    <row r="118" spans="1:11">
      <c r="A118" s="121">
        <v>117</v>
      </c>
      <c r="B118" s="122" t="s">
        <v>2314</v>
      </c>
      <c r="C118" s="122" t="s">
        <v>2337</v>
      </c>
      <c r="D118" s="122" t="s">
        <v>2208</v>
      </c>
      <c r="E118" s="124">
        <v>42762</v>
      </c>
      <c r="F118" s="124">
        <v>42816</v>
      </c>
      <c r="G118" s="123">
        <v>789</v>
      </c>
      <c r="H118" s="123">
        <v>511</v>
      </c>
      <c r="I118" s="123">
        <v>901</v>
      </c>
      <c r="J118" s="123">
        <v>565</v>
      </c>
      <c r="K118" s="194">
        <f t="shared" si="1"/>
        <v>54</v>
      </c>
    </row>
    <row r="119" spans="1:11">
      <c r="A119" s="121">
        <v>118</v>
      </c>
      <c r="B119" s="122" t="s">
        <v>2314</v>
      </c>
      <c r="C119" s="122" t="s">
        <v>2338</v>
      </c>
      <c r="D119" s="122" t="s">
        <v>2208</v>
      </c>
      <c r="E119" s="124">
        <v>42762</v>
      </c>
      <c r="F119" s="124">
        <v>42816</v>
      </c>
      <c r="G119" s="123">
        <v>681</v>
      </c>
      <c r="H119" s="123">
        <v>495</v>
      </c>
      <c r="I119" s="123">
        <v>791</v>
      </c>
      <c r="J119" s="123">
        <v>544</v>
      </c>
      <c r="K119" s="194">
        <f t="shared" si="1"/>
        <v>54</v>
      </c>
    </row>
    <row r="120" spans="1:11">
      <c r="A120" s="121">
        <v>119</v>
      </c>
      <c r="B120" s="122" t="s">
        <v>2314</v>
      </c>
      <c r="C120" s="122" t="s">
        <v>2339</v>
      </c>
      <c r="D120" s="122" t="s">
        <v>2208</v>
      </c>
      <c r="E120" s="124">
        <v>42762</v>
      </c>
      <c r="F120" s="124">
        <v>42816</v>
      </c>
      <c r="G120" s="123">
        <v>657</v>
      </c>
      <c r="H120" s="123">
        <v>584</v>
      </c>
      <c r="I120" s="123">
        <v>802</v>
      </c>
      <c r="J120" s="123">
        <v>526</v>
      </c>
      <c r="K120" s="194">
        <f t="shared" si="1"/>
        <v>54</v>
      </c>
    </row>
    <row r="121" spans="1:11">
      <c r="A121" s="121">
        <v>120</v>
      </c>
      <c r="B121" s="122" t="s">
        <v>2314</v>
      </c>
      <c r="C121" s="122" t="s">
        <v>2340</v>
      </c>
      <c r="D121" s="122" t="s">
        <v>2208</v>
      </c>
      <c r="E121" s="124">
        <v>42762</v>
      </c>
      <c r="F121" s="124">
        <v>42816</v>
      </c>
      <c r="G121" s="123">
        <v>758</v>
      </c>
      <c r="H121" s="123">
        <v>454</v>
      </c>
      <c r="I121" s="123">
        <v>698</v>
      </c>
      <c r="J121" s="123">
        <v>594</v>
      </c>
      <c r="K121" s="194">
        <f t="shared" si="1"/>
        <v>54</v>
      </c>
    </row>
    <row r="122" spans="1:11">
      <c r="A122" s="121">
        <v>121</v>
      </c>
      <c r="B122" s="122" t="s">
        <v>2314</v>
      </c>
      <c r="C122" s="122" t="s">
        <v>2341</v>
      </c>
      <c r="D122" s="122" t="s">
        <v>2218</v>
      </c>
      <c r="E122" s="124">
        <v>42762</v>
      </c>
      <c r="F122" s="124">
        <v>42816</v>
      </c>
      <c r="G122" s="123">
        <v>666</v>
      </c>
      <c r="H122" s="123">
        <v>532</v>
      </c>
      <c r="I122" s="123">
        <v>825</v>
      </c>
      <c r="J122" s="123">
        <v>564</v>
      </c>
      <c r="K122" s="194">
        <f t="shared" si="1"/>
        <v>54</v>
      </c>
    </row>
    <row r="123" spans="1:11">
      <c r="A123" s="121">
        <v>122</v>
      </c>
      <c r="B123" s="122" t="s">
        <v>2314</v>
      </c>
      <c r="C123" s="122" t="s">
        <v>2342</v>
      </c>
      <c r="D123" s="122" t="s">
        <v>2218</v>
      </c>
      <c r="E123" s="124">
        <v>42762</v>
      </c>
      <c r="F123" s="124">
        <v>42816</v>
      </c>
      <c r="G123" s="123">
        <v>860</v>
      </c>
      <c r="H123" s="123">
        <v>11</v>
      </c>
      <c r="I123" s="123">
        <v>839</v>
      </c>
      <c r="J123" s="123">
        <v>429</v>
      </c>
      <c r="K123" s="194">
        <f t="shared" si="1"/>
        <v>54</v>
      </c>
    </row>
    <row r="124" spans="1:11">
      <c r="A124" s="121">
        <v>123</v>
      </c>
      <c r="B124" s="122" t="s">
        <v>2314</v>
      </c>
      <c r="C124" s="122" t="s">
        <v>2343</v>
      </c>
      <c r="D124" s="122" t="s">
        <v>2218</v>
      </c>
      <c r="E124" s="124">
        <v>42762</v>
      </c>
      <c r="F124" s="124">
        <v>42816</v>
      </c>
      <c r="G124" s="123">
        <v>694</v>
      </c>
      <c r="H124" s="129">
        <v>575</v>
      </c>
      <c r="I124" s="123">
        <v>895</v>
      </c>
      <c r="J124" s="123">
        <v>466</v>
      </c>
      <c r="K124" s="194">
        <f t="shared" si="1"/>
        <v>54</v>
      </c>
    </row>
    <row r="125" spans="1:11">
      <c r="A125" s="121">
        <v>124</v>
      </c>
      <c r="B125" s="122" t="s">
        <v>2314</v>
      </c>
      <c r="C125" s="122" t="s">
        <v>2345</v>
      </c>
      <c r="D125" s="122" t="s">
        <v>2218</v>
      </c>
      <c r="E125" s="124">
        <v>42762</v>
      </c>
      <c r="F125" s="124">
        <v>42816</v>
      </c>
      <c r="G125" s="123">
        <v>867</v>
      </c>
      <c r="H125" s="123">
        <v>39</v>
      </c>
      <c r="I125" s="123">
        <v>682</v>
      </c>
      <c r="J125" s="123">
        <v>471</v>
      </c>
      <c r="K125" s="194">
        <f t="shared" si="1"/>
        <v>54</v>
      </c>
    </row>
    <row r="126" spans="1:11">
      <c r="A126" s="121">
        <v>125</v>
      </c>
      <c r="B126" s="122" t="s">
        <v>2314</v>
      </c>
      <c r="C126" s="122" t="s">
        <v>2346</v>
      </c>
      <c r="D126" s="122" t="s">
        <v>2218</v>
      </c>
      <c r="E126" s="124">
        <v>42762</v>
      </c>
      <c r="F126" s="124">
        <v>42816</v>
      </c>
      <c r="G126" s="123">
        <v>793</v>
      </c>
      <c r="H126" s="123">
        <v>560</v>
      </c>
      <c r="I126" s="123">
        <v>740</v>
      </c>
      <c r="J126" s="123">
        <v>486</v>
      </c>
      <c r="K126" s="194">
        <f t="shared" si="1"/>
        <v>54</v>
      </c>
    </row>
    <row r="127" spans="1:11">
      <c r="A127" s="121">
        <v>126</v>
      </c>
      <c r="B127" s="122" t="s">
        <v>2314</v>
      </c>
      <c r="C127" s="122" t="s">
        <v>2347</v>
      </c>
      <c r="D127" s="122" t="s">
        <v>2218</v>
      </c>
      <c r="E127" s="124">
        <v>42762</v>
      </c>
      <c r="F127" s="124">
        <v>42816</v>
      </c>
      <c r="G127" s="123">
        <v>749</v>
      </c>
      <c r="H127" s="123">
        <v>562</v>
      </c>
      <c r="I127" s="123">
        <v>841</v>
      </c>
      <c r="J127" s="129">
        <v>55</v>
      </c>
      <c r="K127" s="194">
        <f t="shared" si="1"/>
        <v>54</v>
      </c>
    </row>
    <row r="128" spans="1:11">
      <c r="A128" s="121">
        <v>127</v>
      </c>
      <c r="B128" s="122" t="s">
        <v>2314</v>
      </c>
      <c r="C128" s="122" t="s">
        <v>2348</v>
      </c>
      <c r="D128" s="122" t="s">
        <v>2218</v>
      </c>
      <c r="E128" s="124">
        <v>42762</v>
      </c>
      <c r="F128" s="124">
        <v>42816</v>
      </c>
      <c r="G128" s="123">
        <v>898</v>
      </c>
      <c r="H128" s="123">
        <v>506</v>
      </c>
      <c r="I128" s="123">
        <v>687</v>
      </c>
      <c r="J128" s="123">
        <v>424</v>
      </c>
      <c r="K128" s="194">
        <f t="shared" si="1"/>
        <v>54</v>
      </c>
    </row>
    <row r="129" spans="1:11">
      <c r="A129" s="121">
        <v>128</v>
      </c>
      <c r="B129" s="122" t="s">
        <v>2314</v>
      </c>
      <c r="C129" s="122" t="s">
        <v>2349</v>
      </c>
      <c r="D129" s="122" t="s">
        <v>2218</v>
      </c>
      <c r="E129" s="124">
        <v>42762</v>
      </c>
      <c r="F129" s="124">
        <v>42816</v>
      </c>
      <c r="G129" s="123">
        <v>834</v>
      </c>
      <c r="H129" s="123">
        <v>554</v>
      </c>
      <c r="I129" s="123">
        <v>833</v>
      </c>
      <c r="J129" s="123">
        <v>418</v>
      </c>
      <c r="K129" s="194">
        <f t="shared" si="1"/>
        <v>54</v>
      </c>
    </row>
    <row r="130" spans="1:11">
      <c r="A130" s="121">
        <v>129</v>
      </c>
      <c r="B130" s="122" t="s">
        <v>2314</v>
      </c>
      <c r="C130" s="122" t="s">
        <v>2350</v>
      </c>
      <c r="D130" s="122" t="s">
        <v>2227</v>
      </c>
      <c r="E130" s="124">
        <v>42762</v>
      </c>
      <c r="F130" s="124">
        <v>42816</v>
      </c>
      <c r="G130" s="123">
        <v>819</v>
      </c>
      <c r="H130" s="123">
        <v>46</v>
      </c>
      <c r="I130" s="123">
        <v>888</v>
      </c>
      <c r="J130" s="123">
        <v>520</v>
      </c>
      <c r="K130" s="194">
        <f t="shared" si="1"/>
        <v>54</v>
      </c>
    </row>
    <row r="131" spans="1:11">
      <c r="A131" s="121">
        <v>130</v>
      </c>
      <c r="B131" s="122" t="s">
        <v>2314</v>
      </c>
      <c r="C131" s="122" t="s">
        <v>2351</v>
      </c>
      <c r="D131" s="122" t="s">
        <v>2227</v>
      </c>
      <c r="E131" s="124">
        <v>42762</v>
      </c>
      <c r="F131" s="124">
        <v>42816</v>
      </c>
      <c r="G131" s="123">
        <v>830</v>
      </c>
      <c r="H131" s="123">
        <v>585</v>
      </c>
      <c r="I131" s="123">
        <v>708</v>
      </c>
      <c r="J131" s="123">
        <v>433</v>
      </c>
      <c r="K131" s="194">
        <f t="shared" ref="K131:K194" si="2">IFERROR(F131-E131,"")</f>
        <v>54</v>
      </c>
    </row>
    <row r="132" spans="1:11">
      <c r="A132" s="121">
        <v>131</v>
      </c>
      <c r="B132" s="122" t="s">
        <v>2314</v>
      </c>
      <c r="C132" s="122" t="s">
        <v>2352</v>
      </c>
      <c r="D132" s="122" t="s">
        <v>2227</v>
      </c>
      <c r="E132" s="124">
        <v>42762</v>
      </c>
      <c r="F132" s="124">
        <v>42816</v>
      </c>
      <c r="G132" s="123">
        <v>746</v>
      </c>
      <c r="H132" s="123">
        <v>476</v>
      </c>
      <c r="I132" s="123">
        <v>768</v>
      </c>
      <c r="J132" s="123">
        <v>592</v>
      </c>
      <c r="K132" s="194">
        <f t="shared" si="2"/>
        <v>54</v>
      </c>
    </row>
    <row r="133" spans="1:11">
      <c r="A133" s="121">
        <v>132</v>
      </c>
      <c r="B133" s="122" t="s">
        <v>2314</v>
      </c>
      <c r="C133" s="122" t="s">
        <v>2353</v>
      </c>
      <c r="D133" s="122" t="s">
        <v>2227</v>
      </c>
      <c r="E133" s="124">
        <v>42762</v>
      </c>
      <c r="F133" s="124">
        <v>42816</v>
      </c>
      <c r="G133" s="123">
        <v>725</v>
      </c>
      <c r="H133" s="123">
        <v>536</v>
      </c>
      <c r="I133" s="123">
        <v>779</v>
      </c>
      <c r="J133" s="123">
        <v>477</v>
      </c>
      <c r="K133" s="194">
        <f t="shared" si="2"/>
        <v>54</v>
      </c>
    </row>
    <row r="134" spans="1:11">
      <c r="A134" s="121">
        <v>133</v>
      </c>
      <c r="B134" s="122" t="s">
        <v>2314</v>
      </c>
      <c r="C134" s="122" t="s">
        <v>2354</v>
      </c>
      <c r="D134" s="122" t="s">
        <v>2227</v>
      </c>
      <c r="E134" s="124">
        <v>42762</v>
      </c>
      <c r="F134" s="124">
        <v>42816</v>
      </c>
      <c r="G134" s="123">
        <v>846</v>
      </c>
      <c r="H134" s="123">
        <v>524</v>
      </c>
      <c r="I134" s="123">
        <v>799</v>
      </c>
      <c r="J134" s="123">
        <v>597</v>
      </c>
      <c r="K134" s="194">
        <f t="shared" si="2"/>
        <v>54</v>
      </c>
    </row>
    <row r="135" spans="1:11">
      <c r="A135" s="121">
        <v>134</v>
      </c>
      <c r="B135" s="122" t="s">
        <v>2314</v>
      </c>
      <c r="C135" s="122" t="s">
        <v>2355</v>
      </c>
      <c r="D135" s="122" t="s">
        <v>2227</v>
      </c>
      <c r="E135" s="124">
        <v>42762</v>
      </c>
      <c r="F135" s="124">
        <v>42816</v>
      </c>
      <c r="G135" s="123">
        <v>756</v>
      </c>
      <c r="H135" s="123">
        <v>600</v>
      </c>
      <c r="I135" s="123">
        <v>820</v>
      </c>
      <c r="J135" s="123">
        <v>467</v>
      </c>
      <c r="K135" s="194">
        <f t="shared" si="2"/>
        <v>54</v>
      </c>
    </row>
    <row r="136" spans="1:11">
      <c r="A136" s="121">
        <v>135</v>
      </c>
      <c r="B136" s="122" t="s">
        <v>2314</v>
      </c>
      <c r="C136" s="122" t="s">
        <v>2356</v>
      </c>
      <c r="D136" s="122" t="s">
        <v>2227</v>
      </c>
      <c r="E136" s="124">
        <v>42762</v>
      </c>
      <c r="F136" s="124">
        <v>42816</v>
      </c>
      <c r="G136" s="123">
        <v>745</v>
      </c>
      <c r="H136" s="123">
        <v>432</v>
      </c>
      <c r="I136" s="123">
        <v>842</v>
      </c>
      <c r="J136" s="123">
        <v>596</v>
      </c>
      <c r="K136" s="194">
        <f t="shared" si="2"/>
        <v>54</v>
      </c>
    </row>
    <row r="137" spans="1:11">
      <c r="A137" s="121">
        <v>136</v>
      </c>
      <c r="B137" s="122" t="s">
        <v>2314</v>
      </c>
      <c r="C137" s="122" t="s">
        <v>2357</v>
      </c>
      <c r="D137" s="122" t="s">
        <v>2227</v>
      </c>
      <c r="E137" s="124">
        <v>42762</v>
      </c>
      <c r="F137" s="124">
        <v>42816</v>
      </c>
      <c r="G137" s="123">
        <v>832</v>
      </c>
      <c r="H137" s="123">
        <v>474</v>
      </c>
      <c r="I137" s="123">
        <v>747</v>
      </c>
      <c r="J137" s="123">
        <v>543</v>
      </c>
      <c r="K137" s="194">
        <f t="shared" si="2"/>
        <v>54</v>
      </c>
    </row>
    <row r="138" spans="1:11">
      <c r="A138" s="121">
        <v>137</v>
      </c>
      <c r="B138" s="122" t="s">
        <v>2314</v>
      </c>
      <c r="C138" s="122" t="s">
        <v>2358</v>
      </c>
      <c r="D138" s="122" t="s">
        <v>2244</v>
      </c>
      <c r="E138" s="124">
        <v>42762</v>
      </c>
      <c r="F138" s="124">
        <v>42816</v>
      </c>
      <c r="G138" s="123">
        <v>805</v>
      </c>
      <c r="H138" s="123">
        <v>34</v>
      </c>
      <c r="I138" s="123">
        <v>857</v>
      </c>
      <c r="J138" s="123">
        <v>483</v>
      </c>
      <c r="K138" s="194">
        <f t="shared" si="2"/>
        <v>54</v>
      </c>
    </row>
    <row r="139" spans="1:11">
      <c r="A139" s="121">
        <v>138</v>
      </c>
      <c r="B139" s="122" t="s">
        <v>2314</v>
      </c>
      <c r="C139" s="122" t="s">
        <v>2359</v>
      </c>
      <c r="D139" s="122" t="s">
        <v>2244</v>
      </c>
      <c r="E139" s="124">
        <v>42762</v>
      </c>
      <c r="F139" s="124">
        <v>42816</v>
      </c>
      <c r="G139" s="123">
        <v>815</v>
      </c>
      <c r="H139" s="123">
        <v>426</v>
      </c>
      <c r="I139" s="123">
        <v>623</v>
      </c>
      <c r="J139" s="123">
        <v>21</v>
      </c>
      <c r="K139" s="194">
        <f t="shared" si="2"/>
        <v>54</v>
      </c>
    </row>
    <row r="140" spans="1:11">
      <c r="A140" s="121">
        <v>139</v>
      </c>
      <c r="B140" s="122" t="s">
        <v>2314</v>
      </c>
      <c r="C140" s="122" t="s">
        <v>2360</v>
      </c>
      <c r="D140" s="122" t="s">
        <v>2244</v>
      </c>
      <c r="E140" s="124">
        <v>42762</v>
      </c>
      <c r="F140" s="124">
        <v>42816</v>
      </c>
      <c r="G140" s="129">
        <v>798</v>
      </c>
      <c r="H140" s="123">
        <v>563</v>
      </c>
      <c r="I140" s="123">
        <v>880</v>
      </c>
      <c r="J140" s="123">
        <v>538</v>
      </c>
      <c r="K140" s="194">
        <f t="shared" si="2"/>
        <v>54</v>
      </c>
    </row>
    <row r="141" spans="1:11">
      <c r="A141" s="121">
        <v>140</v>
      </c>
      <c r="B141" s="122" t="s">
        <v>2314</v>
      </c>
      <c r="C141" s="122" t="s">
        <v>2362</v>
      </c>
      <c r="D141" s="122" t="s">
        <v>2244</v>
      </c>
      <c r="E141" s="124">
        <v>42762</v>
      </c>
      <c r="F141" s="124">
        <v>42816</v>
      </c>
      <c r="G141" s="123">
        <v>787</v>
      </c>
      <c r="H141" s="123">
        <v>535</v>
      </c>
      <c r="I141" s="123">
        <v>706</v>
      </c>
      <c r="J141" s="123">
        <v>559</v>
      </c>
      <c r="K141" s="194">
        <f t="shared" si="2"/>
        <v>54</v>
      </c>
    </row>
    <row r="142" spans="1:11">
      <c r="A142" s="121">
        <v>141</v>
      </c>
      <c r="B142" s="122" t="s">
        <v>2314</v>
      </c>
      <c r="C142" s="122" t="s">
        <v>2363</v>
      </c>
      <c r="D142" s="122" t="s">
        <v>2244</v>
      </c>
      <c r="E142" s="124">
        <v>42762</v>
      </c>
      <c r="F142" s="124">
        <v>42816</v>
      </c>
      <c r="G142" s="123">
        <v>900</v>
      </c>
      <c r="H142" s="123">
        <v>581</v>
      </c>
      <c r="I142" s="123">
        <v>775</v>
      </c>
      <c r="J142" s="123">
        <v>465</v>
      </c>
      <c r="K142" s="194">
        <f t="shared" si="2"/>
        <v>54</v>
      </c>
    </row>
    <row r="143" spans="1:11">
      <c r="A143" s="121">
        <v>142</v>
      </c>
      <c r="B143" s="122" t="s">
        <v>2314</v>
      </c>
      <c r="C143" s="122" t="s">
        <v>2364</v>
      </c>
      <c r="D143" s="122" t="s">
        <v>2244</v>
      </c>
      <c r="E143" s="124">
        <v>42762</v>
      </c>
      <c r="F143" s="124">
        <v>42816</v>
      </c>
      <c r="G143" s="123">
        <v>817</v>
      </c>
      <c r="H143" s="123">
        <v>460</v>
      </c>
      <c r="I143" s="123">
        <v>850</v>
      </c>
      <c r="J143" s="123">
        <v>503</v>
      </c>
      <c r="K143" s="194">
        <f t="shared" si="2"/>
        <v>54</v>
      </c>
    </row>
    <row r="144" spans="1:11">
      <c r="A144" s="121">
        <v>143</v>
      </c>
      <c r="B144" s="122" t="s">
        <v>2314</v>
      </c>
      <c r="C144" s="122" t="s">
        <v>2365</v>
      </c>
      <c r="D144" s="122" t="s">
        <v>2244</v>
      </c>
      <c r="E144" s="124">
        <v>42762</v>
      </c>
      <c r="F144" s="124">
        <v>42816</v>
      </c>
      <c r="G144" s="123">
        <v>836</v>
      </c>
      <c r="H144" s="123">
        <v>456</v>
      </c>
      <c r="I144" s="123">
        <v>697</v>
      </c>
      <c r="J144" s="123">
        <v>567</v>
      </c>
      <c r="K144" s="194">
        <f t="shared" si="2"/>
        <v>54</v>
      </c>
    </row>
    <row r="145" spans="1:11">
      <c r="A145" s="121">
        <v>144</v>
      </c>
      <c r="B145" s="122" t="s">
        <v>2314</v>
      </c>
      <c r="C145" s="122" t="s">
        <v>2366</v>
      </c>
      <c r="D145" s="122" t="s">
        <v>2244</v>
      </c>
      <c r="E145" s="124">
        <v>42762</v>
      </c>
      <c r="F145" s="124">
        <v>42816</v>
      </c>
      <c r="G145" s="123">
        <v>784</v>
      </c>
      <c r="H145" s="123">
        <v>571</v>
      </c>
      <c r="I145" s="123">
        <v>894</v>
      </c>
      <c r="J145" s="123">
        <v>15</v>
      </c>
      <c r="K145" s="194">
        <f t="shared" si="2"/>
        <v>54</v>
      </c>
    </row>
    <row r="146" spans="1:11">
      <c r="A146" s="121">
        <v>145</v>
      </c>
      <c r="B146" s="122" t="s">
        <v>2314</v>
      </c>
      <c r="C146" s="122" t="s">
        <v>2367</v>
      </c>
      <c r="D146" s="122" t="s">
        <v>2256</v>
      </c>
      <c r="E146" s="124">
        <v>42762</v>
      </c>
      <c r="F146" s="124">
        <v>42815</v>
      </c>
      <c r="G146" s="123">
        <v>902</v>
      </c>
      <c r="H146" s="123">
        <v>27</v>
      </c>
      <c r="I146" s="129">
        <v>653</v>
      </c>
      <c r="J146" s="123">
        <v>40</v>
      </c>
      <c r="K146" s="194">
        <f t="shared" si="2"/>
        <v>53</v>
      </c>
    </row>
    <row r="147" spans="1:11">
      <c r="A147" s="121">
        <v>146</v>
      </c>
      <c r="B147" s="122" t="s">
        <v>2314</v>
      </c>
      <c r="C147" s="122" t="s">
        <v>2368</v>
      </c>
      <c r="D147" s="122" t="s">
        <v>2256</v>
      </c>
      <c r="E147" s="124">
        <v>42762</v>
      </c>
      <c r="F147" s="124">
        <v>42815</v>
      </c>
      <c r="G147" s="123">
        <v>689</v>
      </c>
      <c r="H147" s="123">
        <v>492</v>
      </c>
      <c r="I147" s="123">
        <v>762</v>
      </c>
      <c r="J147" s="123">
        <v>468</v>
      </c>
      <c r="K147" s="194">
        <f t="shared" si="2"/>
        <v>53</v>
      </c>
    </row>
    <row r="148" spans="1:11">
      <c r="A148" s="121">
        <v>147</v>
      </c>
      <c r="B148" s="122" t="s">
        <v>2314</v>
      </c>
      <c r="C148" s="122" t="s">
        <v>2369</v>
      </c>
      <c r="D148" s="122" t="s">
        <v>2256</v>
      </c>
      <c r="E148" s="124">
        <v>42762</v>
      </c>
      <c r="F148" s="124">
        <v>42816</v>
      </c>
      <c r="G148" s="123">
        <v>678</v>
      </c>
      <c r="H148" s="123">
        <v>573</v>
      </c>
      <c r="I148" s="123">
        <v>878</v>
      </c>
      <c r="J148" s="123">
        <v>582</v>
      </c>
      <c r="K148" s="194">
        <f t="shared" si="2"/>
        <v>54</v>
      </c>
    </row>
    <row r="149" spans="1:11">
      <c r="A149" s="121">
        <v>148</v>
      </c>
      <c r="B149" s="122" t="s">
        <v>2314</v>
      </c>
      <c r="C149" s="122" t="s">
        <v>2370</v>
      </c>
      <c r="D149" s="122" t="s">
        <v>2256</v>
      </c>
      <c r="E149" s="124">
        <v>42762</v>
      </c>
      <c r="F149" s="124">
        <v>42816</v>
      </c>
      <c r="G149" s="123">
        <v>835</v>
      </c>
      <c r="H149" s="123">
        <v>472</v>
      </c>
      <c r="I149" s="123">
        <v>807</v>
      </c>
      <c r="J149" s="123">
        <v>20</v>
      </c>
      <c r="K149" s="194">
        <f t="shared" si="2"/>
        <v>54</v>
      </c>
    </row>
    <row r="150" spans="1:11">
      <c r="A150" s="121">
        <v>149</v>
      </c>
      <c r="B150" s="122" t="s">
        <v>2314</v>
      </c>
      <c r="C150" s="122" t="s">
        <v>2371</v>
      </c>
      <c r="D150" s="122" t="s">
        <v>2256</v>
      </c>
      <c r="E150" s="124">
        <v>42762</v>
      </c>
      <c r="F150" s="124">
        <v>42816</v>
      </c>
      <c r="G150" s="129">
        <v>733</v>
      </c>
      <c r="H150" s="123">
        <v>545</v>
      </c>
      <c r="I150" s="123">
        <v>696</v>
      </c>
      <c r="J150" s="123">
        <v>533</v>
      </c>
      <c r="K150" s="194">
        <f t="shared" si="2"/>
        <v>54</v>
      </c>
    </row>
    <row r="151" spans="1:11">
      <c r="A151" s="121">
        <v>150</v>
      </c>
      <c r="B151" s="122" t="s">
        <v>2314</v>
      </c>
      <c r="C151" s="122" t="s">
        <v>2372</v>
      </c>
      <c r="D151" s="122" t="s">
        <v>2256</v>
      </c>
      <c r="E151" s="124">
        <v>42762</v>
      </c>
      <c r="F151" s="124">
        <v>42816</v>
      </c>
      <c r="G151" s="123">
        <v>658</v>
      </c>
      <c r="H151" s="123">
        <v>7</v>
      </c>
      <c r="I151" s="123">
        <v>801</v>
      </c>
      <c r="J151" s="123">
        <v>572</v>
      </c>
      <c r="K151" s="194">
        <f t="shared" si="2"/>
        <v>54</v>
      </c>
    </row>
    <row r="152" spans="1:11">
      <c r="A152" s="121">
        <v>151</v>
      </c>
      <c r="B152" s="122" t="s">
        <v>2314</v>
      </c>
      <c r="C152" s="122" t="s">
        <v>2373</v>
      </c>
      <c r="D152" s="122" t="s">
        <v>2256</v>
      </c>
      <c r="E152" s="124">
        <v>42762</v>
      </c>
      <c r="F152" s="124">
        <v>42816</v>
      </c>
      <c r="G152" s="123">
        <v>567</v>
      </c>
      <c r="H152" s="123">
        <v>447</v>
      </c>
      <c r="I152" s="123">
        <v>647</v>
      </c>
      <c r="J152" s="123">
        <v>504</v>
      </c>
      <c r="K152" s="194">
        <f t="shared" si="2"/>
        <v>54</v>
      </c>
    </row>
    <row r="153" spans="1:11">
      <c r="A153" s="121">
        <v>152</v>
      </c>
      <c r="B153" s="122" t="s">
        <v>2314</v>
      </c>
      <c r="C153" s="122" t="s">
        <v>2374</v>
      </c>
      <c r="D153" s="122" t="s">
        <v>2256</v>
      </c>
      <c r="E153" s="124">
        <v>42762</v>
      </c>
      <c r="F153" s="124">
        <v>42816</v>
      </c>
      <c r="G153" s="123">
        <v>853</v>
      </c>
      <c r="H153" s="123">
        <v>591</v>
      </c>
      <c r="I153" s="123">
        <v>744</v>
      </c>
      <c r="J153" s="123">
        <v>579</v>
      </c>
      <c r="K153" s="194">
        <f t="shared" si="2"/>
        <v>54</v>
      </c>
    </row>
    <row r="154" spans="1:11">
      <c r="A154" s="121">
        <v>153</v>
      </c>
      <c r="B154" s="122" t="s">
        <v>2314</v>
      </c>
      <c r="C154" s="122" t="s">
        <v>2376</v>
      </c>
      <c r="D154" s="122" t="s">
        <v>2265</v>
      </c>
      <c r="E154" s="124">
        <v>42762</v>
      </c>
      <c r="F154" s="124">
        <v>42816</v>
      </c>
      <c r="G154" s="123">
        <v>800</v>
      </c>
      <c r="H154" s="123">
        <v>479</v>
      </c>
      <c r="I154" s="123">
        <v>885</v>
      </c>
      <c r="J154" s="123">
        <v>440</v>
      </c>
      <c r="K154" s="194">
        <f t="shared" si="2"/>
        <v>54</v>
      </c>
    </row>
    <row r="155" spans="1:11">
      <c r="A155" s="121">
        <v>154</v>
      </c>
      <c r="B155" s="122" t="s">
        <v>2314</v>
      </c>
      <c r="C155" s="122" t="s">
        <v>2377</v>
      </c>
      <c r="D155" s="122" t="s">
        <v>2265</v>
      </c>
      <c r="E155" s="124">
        <v>42762</v>
      </c>
      <c r="F155" s="124">
        <v>42816</v>
      </c>
      <c r="G155" s="123">
        <v>675</v>
      </c>
      <c r="H155" s="123">
        <v>493</v>
      </c>
      <c r="I155" s="123">
        <v>684</v>
      </c>
      <c r="J155" s="123">
        <v>485</v>
      </c>
      <c r="K155" s="194">
        <f t="shared" si="2"/>
        <v>54</v>
      </c>
    </row>
    <row r="156" spans="1:11">
      <c r="A156" s="121">
        <v>155</v>
      </c>
      <c r="B156" s="122" t="s">
        <v>2314</v>
      </c>
      <c r="C156" s="122" t="s">
        <v>2378</v>
      </c>
      <c r="D156" s="122" t="s">
        <v>2265</v>
      </c>
      <c r="E156" s="124">
        <v>42762</v>
      </c>
      <c r="F156" s="124">
        <v>42816</v>
      </c>
      <c r="G156" s="123">
        <v>859</v>
      </c>
      <c r="H156" s="123">
        <v>484</v>
      </c>
      <c r="I156" s="123">
        <v>827</v>
      </c>
      <c r="J156" s="123">
        <v>556</v>
      </c>
      <c r="K156" s="194">
        <f t="shared" si="2"/>
        <v>54</v>
      </c>
    </row>
    <row r="157" spans="1:11">
      <c r="A157" s="121">
        <v>156</v>
      </c>
      <c r="B157" s="122" t="s">
        <v>2314</v>
      </c>
      <c r="C157" s="122" t="s">
        <v>2379</v>
      </c>
      <c r="D157" s="122" t="s">
        <v>2265</v>
      </c>
      <c r="E157" s="124">
        <v>42762</v>
      </c>
      <c r="F157" s="124">
        <v>42816</v>
      </c>
      <c r="G157" s="123">
        <v>654</v>
      </c>
      <c r="H157" s="123">
        <v>598</v>
      </c>
      <c r="I157" s="123">
        <v>667</v>
      </c>
      <c r="J157" s="123">
        <v>464</v>
      </c>
      <c r="K157" s="194">
        <f t="shared" si="2"/>
        <v>54</v>
      </c>
    </row>
    <row r="158" spans="1:11">
      <c r="A158" s="121">
        <v>157</v>
      </c>
      <c r="B158" s="122" t="s">
        <v>2314</v>
      </c>
      <c r="C158" s="122" t="s">
        <v>2381</v>
      </c>
      <c r="D158" s="122" t="s">
        <v>2265</v>
      </c>
      <c r="E158" s="124">
        <v>42762</v>
      </c>
      <c r="F158" s="124">
        <v>42816</v>
      </c>
      <c r="G158" s="123">
        <v>890</v>
      </c>
      <c r="H158" s="123">
        <v>30</v>
      </c>
      <c r="I158" s="123">
        <v>777</v>
      </c>
      <c r="J158" s="123">
        <v>35</v>
      </c>
      <c r="K158" s="194">
        <f t="shared" si="2"/>
        <v>54</v>
      </c>
    </row>
    <row r="159" spans="1:11">
      <c r="A159" s="121">
        <v>158</v>
      </c>
      <c r="B159" s="122" t="s">
        <v>2314</v>
      </c>
      <c r="C159" s="122" t="s">
        <v>2382</v>
      </c>
      <c r="D159" s="122" t="s">
        <v>2265</v>
      </c>
      <c r="E159" s="124">
        <v>42762</v>
      </c>
      <c r="F159" s="124">
        <v>42816</v>
      </c>
      <c r="G159" s="123">
        <v>576</v>
      </c>
      <c r="H159" s="123">
        <v>16</v>
      </c>
      <c r="I159" s="123">
        <v>884</v>
      </c>
      <c r="J159" s="123">
        <v>570</v>
      </c>
      <c r="K159" s="194">
        <f t="shared" si="2"/>
        <v>54</v>
      </c>
    </row>
    <row r="160" spans="1:11">
      <c r="A160" s="169">
        <v>159</v>
      </c>
      <c r="B160" s="170" t="s">
        <v>2314</v>
      </c>
      <c r="C160" s="170" t="s">
        <v>2383</v>
      </c>
      <c r="D160" s="170" t="s">
        <v>2265</v>
      </c>
      <c r="E160" s="171">
        <v>42762</v>
      </c>
      <c r="F160" s="171">
        <v>42816</v>
      </c>
      <c r="G160" s="169">
        <v>829</v>
      </c>
      <c r="H160" s="169">
        <v>499</v>
      </c>
      <c r="I160" s="169">
        <v>731</v>
      </c>
      <c r="J160" s="169">
        <v>439</v>
      </c>
      <c r="K160" s="194">
        <f t="shared" si="2"/>
        <v>54</v>
      </c>
    </row>
    <row r="161" spans="1:11">
      <c r="A161" s="121">
        <v>160</v>
      </c>
      <c r="B161" s="122" t="s">
        <v>2314</v>
      </c>
      <c r="C161" s="122" t="s">
        <v>2384</v>
      </c>
      <c r="D161" s="122" t="s">
        <v>2265</v>
      </c>
      <c r="E161" s="124">
        <v>42762</v>
      </c>
      <c r="F161" s="124">
        <v>42816</v>
      </c>
      <c r="G161" s="123">
        <v>809</v>
      </c>
      <c r="H161" s="123">
        <v>421</v>
      </c>
      <c r="I161" s="123">
        <v>876</v>
      </c>
      <c r="J161" s="123">
        <v>461</v>
      </c>
      <c r="K161" s="194">
        <f t="shared" si="2"/>
        <v>54</v>
      </c>
    </row>
    <row r="162" spans="1:11">
      <c r="A162" s="121">
        <v>161</v>
      </c>
      <c r="B162" s="122" t="s">
        <v>2385</v>
      </c>
      <c r="C162" s="122" t="s">
        <v>2386</v>
      </c>
      <c r="D162" s="122" t="s">
        <v>2278</v>
      </c>
      <c r="E162" s="124">
        <v>42763</v>
      </c>
      <c r="F162" s="124">
        <v>42814</v>
      </c>
      <c r="G162" s="123">
        <v>252</v>
      </c>
      <c r="H162" s="123">
        <v>124</v>
      </c>
      <c r="I162" s="123">
        <v>351</v>
      </c>
      <c r="J162" s="123">
        <v>253</v>
      </c>
      <c r="K162" s="194">
        <f t="shared" si="2"/>
        <v>51</v>
      </c>
    </row>
    <row r="163" spans="1:11">
      <c r="A163" s="121">
        <v>162</v>
      </c>
      <c r="B163" s="122" t="s">
        <v>2385</v>
      </c>
      <c r="C163" s="122" t="s">
        <v>2387</v>
      </c>
      <c r="D163" s="122" t="s">
        <v>2278</v>
      </c>
      <c r="E163" s="124">
        <v>42763</v>
      </c>
      <c r="F163" s="124">
        <v>42814</v>
      </c>
      <c r="G163" s="123">
        <v>385</v>
      </c>
      <c r="H163" s="123">
        <v>202</v>
      </c>
      <c r="I163" s="123">
        <v>442</v>
      </c>
      <c r="J163" s="123">
        <v>285</v>
      </c>
      <c r="K163" s="194">
        <f t="shared" si="2"/>
        <v>51</v>
      </c>
    </row>
    <row r="164" spans="1:11">
      <c r="A164" s="121">
        <v>163</v>
      </c>
      <c r="B164" s="122" t="s">
        <v>2385</v>
      </c>
      <c r="C164" s="122" t="s">
        <v>2388</v>
      </c>
      <c r="D164" s="122" t="s">
        <v>2278</v>
      </c>
      <c r="E164" s="124">
        <v>42763</v>
      </c>
      <c r="F164" s="124">
        <v>42814</v>
      </c>
      <c r="G164" s="123">
        <v>202</v>
      </c>
      <c r="H164" s="123">
        <v>96</v>
      </c>
      <c r="I164" s="123">
        <v>743</v>
      </c>
      <c r="J164" s="123">
        <v>341</v>
      </c>
      <c r="K164" s="194">
        <f t="shared" si="2"/>
        <v>51</v>
      </c>
    </row>
    <row r="165" spans="1:11">
      <c r="A165" s="121">
        <v>164</v>
      </c>
      <c r="B165" s="122" t="s">
        <v>2385</v>
      </c>
      <c r="C165" s="122" t="s">
        <v>2389</v>
      </c>
      <c r="D165" s="122" t="s">
        <v>2278</v>
      </c>
      <c r="E165" s="124">
        <v>42763</v>
      </c>
      <c r="F165" s="124">
        <v>42814</v>
      </c>
      <c r="G165" s="123">
        <v>686</v>
      </c>
      <c r="H165" s="123">
        <v>317</v>
      </c>
      <c r="I165" s="123">
        <v>390</v>
      </c>
      <c r="J165" s="129">
        <v>264</v>
      </c>
      <c r="K165" s="194">
        <f t="shared" si="2"/>
        <v>51</v>
      </c>
    </row>
    <row r="166" spans="1:11">
      <c r="A166" s="121">
        <v>165</v>
      </c>
      <c r="B166" s="122" t="s">
        <v>2385</v>
      </c>
      <c r="C166" s="122" t="s">
        <v>2390</v>
      </c>
      <c r="D166" s="122" t="s">
        <v>2278</v>
      </c>
      <c r="E166" s="124">
        <v>42763</v>
      </c>
      <c r="F166" s="124">
        <v>42814</v>
      </c>
      <c r="G166" s="123">
        <v>368</v>
      </c>
      <c r="H166" s="123">
        <v>331</v>
      </c>
      <c r="I166" s="123">
        <v>810</v>
      </c>
      <c r="J166" s="123">
        <v>411</v>
      </c>
      <c r="K166" s="194">
        <f t="shared" si="2"/>
        <v>51</v>
      </c>
    </row>
    <row r="167" spans="1:11">
      <c r="A167" s="121">
        <v>166</v>
      </c>
      <c r="B167" s="122" t="s">
        <v>2385</v>
      </c>
      <c r="C167" s="122" t="s">
        <v>2391</v>
      </c>
      <c r="D167" s="122" t="s">
        <v>2278</v>
      </c>
      <c r="E167" s="124">
        <v>42763</v>
      </c>
      <c r="F167" s="124">
        <v>42814</v>
      </c>
      <c r="G167" s="123">
        <v>334</v>
      </c>
      <c r="H167" s="123">
        <v>287</v>
      </c>
      <c r="I167" s="123">
        <v>287</v>
      </c>
      <c r="J167" s="123">
        <v>259</v>
      </c>
      <c r="K167" s="194">
        <f t="shared" si="2"/>
        <v>51</v>
      </c>
    </row>
    <row r="168" spans="1:11">
      <c r="A168" s="121">
        <v>167</v>
      </c>
      <c r="B168" s="122" t="s">
        <v>2385</v>
      </c>
      <c r="C168" s="122" t="s">
        <v>2393</v>
      </c>
      <c r="D168" s="122" t="s">
        <v>2278</v>
      </c>
      <c r="E168" s="124">
        <v>42763</v>
      </c>
      <c r="F168" s="124">
        <v>42814</v>
      </c>
      <c r="G168" s="123">
        <v>429</v>
      </c>
      <c r="H168" s="123">
        <v>255</v>
      </c>
      <c r="I168" s="123">
        <v>443</v>
      </c>
      <c r="J168" s="123">
        <v>215</v>
      </c>
      <c r="K168" s="194">
        <f t="shared" si="2"/>
        <v>51</v>
      </c>
    </row>
    <row r="169" spans="1:11">
      <c r="A169" s="121">
        <v>168</v>
      </c>
      <c r="B169" s="122" t="s">
        <v>2385</v>
      </c>
      <c r="C169" s="122" t="s">
        <v>2394</v>
      </c>
      <c r="D169" s="122" t="s">
        <v>2278</v>
      </c>
      <c r="E169" s="124">
        <v>42763</v>
      </c>
      <c r="F169" s="124">
        <v>42814</v>
      </c>
      <c r="G169" s="123">
        <v>461</v>
      </c>
      <c r="H169" s="123">
        <v>534</v>
      </c>
      <c r="I169" s="123">
        <v>680</v>
      </c>
      <c r="J169" s="123">
        <v>322</v>
      </c>
      <c r="K169" s="194">
        <f t="shared" si="2"/>
        <v>51</v>
      </c>
    </row>
    <row r="170" spans="1:11">
      <c r="A170" s="121">
        <v>169</v>
      </c>
      <c r="B170" s="122" t="s">
        <v>2385</v>
      </c>
      <c r="C170" s="122" t="s">
        <v>2395</v>
      </c>
      <c r="D170" s="122" t="s">
        <v>2287</v>
      </c>
      <c r="E170" s="124">
        <v>42763</v>
      </c>
      <c r="F170" s="124">
        <v>42814</v>
      </c>
      <c r="G170" s="123">
        <v>425</v>
      </c>
      <c r="H170" s="123">
        <v>453</v>
      </c>
      <c r="I170" s="123">
        <v>496</v>
      </c>
      <c r="J170" s="123">
        <v>403</v>
      </c>
      <c r="K170" s="194">
        <f t="shared" si="2"/>
        <v>51</v>
      </c>
    </row>
    <row r="171" spans="1:11">
      <c r="A171" s="121">
        <v>170</v>
      </c>
      <c r="B171" s="122" t="s">
        <v>2385</v>
      </c>
      <c r="C171" s="122" t="s">
        <v>2396</v>
      </c>
      <c r="D171" s="122" t="s">
        <v>2287</v>
      </c>
      <c r="E171" s="124">
        <v>42763</v>
      </c>
      <c r="F171" s="124">
        <v>42814</v>
      </c>
      <c r="G171" s="123">
        <v>433</v>
      </c>
      <c r="H171" s="123">
        <v>330</v>
      </c>
      <c r="I171" s="123">
        <v>674</v>
      </c>
      <c r="J171" s="123">
        <v>583</v>
      </c>
      <c r="K171" s="194">
        <f t="shared" si="2"/>
        <v>51</v>
      </c>
    </row>
    <row r="172" spans="1:11">
      <c r="A172" s="121">
        <v>171</v>
      </c>
      <c r="B172" s="122" t="s">
        <v>2385</v>
      </c>
      <c r="C172" s="122" t="s">
        <v>2397</v>
      </c>
      <c r="D172" s="122" t="s">
        <v>2287</v>
      </c>
      <c r="E172" s="124">
        <v>42763</v>
      </c>
      <c r="F172" s="124">
        <v>42814</v>
      </c>
      <c r="G172" s="123">
        <v>656</v>
      </c>
      <c r="H172" s="123">
        <v>558</v>
      </c>
      <c r="I172" s="123">
        <v>504</v>
      </c>
      <c r="J172" s="123">
        <v>451</v>
      </c>
      <c r="K172" s="194">
        <f t="shared" si="2"/>
        <v>51</v>
      </c>
    </row>
    <row r="173" spans="1:11">
      <c r="A173" s="121">
        <v>172</v>
      </c>
      <c r="B173" s="122" t="s">
        <v>2385</v>
      </c>
      <c r="C173" s="122" t="s">
        <v>2398</v>
      </c>
      <c r="D173" s="122" t="s">
        <v>2287</v>
      </c>
      <c r="E173" s="124">
        <v>42763</v>
      </c>
      <c r="F173" s="124">
        <v>42814</v>
      </c>
      <c r="G173" s="123">
        <v>281</v>
      </c>
      <c r="H173" s="123">
        <v>157</v>
      </c>
      <c r="I173" s="123">
        <v>439</v>
      </c>
      <c r="J173" s="123">
        <v>353</v>
      </c>
      <c r="K173" s="194">
        <f t="shared" si="2"/>
        <v>51</v>
      </c>
    </row>
    <row r="174" spans="1:11">
      <c r="A174" s="121">
        <v>173</v>
      </c>
      <c r="B174" s="122" t="s">
        <v>2385</v>
      </c>
      <c r="C174" s="122" t="s">
        <v>2399</v>
      </c>
      <c r="D174" s="122" t="s">
        <v>2287</v>
      </c>
      <c r="E174" s="124">
        <v>42763</v>
      </c>
      <c r="F174" s="124">
        <v>42814</v>
      </c>
      <c r="G174" s="123">
        <v>216</v>
      </c>
      <c r="H174" s="123">
        <v>57</v>
      </c>
      <c r="I174" s="123">
        <v>865</v>
      </c>
      <c r="J174" s="123">
        <v>105</v>
      </c>
      <c r="K174" s="194">
        <f t="shared" si="2"/>
        <v>51</v>
      </c>
    </row>
    <row r="175" spans="1:11">
      <c r="A175" s="121">
        <v>174</v>
      </c>
      <c r="B175" s="122" t="s">
        <v>2385</v>
      </c>
      <c r="C175" s="122" t="s">
        <v>2400</v>
      </c>
      <c r="D175" s="122" t="s">
        <v>2287</v>
      </c>
      <c r="E175" s="124">
        <v>42763</v>
      </c>
      <c r="F175" s="124">
        <v>42814</v>
      </c>
      <c r="G175" s="123">
        <v>655</v>
      </c>
      <c r="H175" s="123">
        <v>307</v>
      </c>
      <c r="I175" s="123">
        <v>736</v>
      </c>
      <c r="J175" s="123">
        <v>384</v>
      </c>
      <c r="K175" s="194">
        <f t="shared" si="2"/>
        <v>51</v>
      </c>
    </row>
    <row r="176" spans="1:11">
      <c r="A176" s="121">
        <v>175</v>
      </c>
      <c r="B176" s="122" t="s">
        <v>2385</v>
      </c>
      <c r="C176" s="122" t="s">
        <v>2401</v>
      </c>
      <c r="D176" s="122" t="s">
        <v>2287</v>
      </c>
      <c r="E176" s="124">
        <v>42763</v>
      </c>
      <c r="F176" s="124">
        <v>42814</v>
      </c>
      <c r="G176" s="123">
        <v>457</v>
      </c>
      <c r="H176" s="123">
        <v>458</v>
      </c>
      <c r="I176" s="123">
        <v>792</v>
      </c>
      <c r="J176" s="123">
        <v>481</v>
      </c>
      <c r="K176" s="194">
        <f t="shared" si="2"/>
        <v>51</v>
      </c>
    </row>
    <row r="177" spans="1:11">
      <c r="A177" s="121">
        <v>176</v>
      </c>
      <c r="B177" s="122" t="s">
        <v>2385</v>
      </c>
      <c r="C177" s="122" t="s">
        <v>2402</v>
      </c>
      <c r="D177" s="122" t="s">
        <v>2287</v>
      </c>
      <c r="E177" s="124">
        <v>42763</v>
      </c>
      <c r="F177" s="124">
        <v>42814</v>
      </c>
      <c r="G177" s="123">
        <v>454</v>
      </c>
      <c r="H177" s="123">
        <v>326</v>
      </c>
      <c r="I177" s="123">
        <v>470</v>
      </c>
      <c r="J177" s="123">
        <v>490</v>
      </c>
      <c r="K177" s="194">
        <f t="shared" si="2"/>
        <v>51</v>
      </c>
    </row>
    <row r="178" spans="1:11">
      <c r="A178" s="121">
        <v>177</v>
      </c>
      <c r="B178" s="122" t="s">
        <v>2385</v>
      </c>
      <c r="C178" s="122" t="s">
        <v>2403</v>
      </c>
      <c r="D178" s="122" t="s">
        <v>2296</v>
      </c>
      <c r="E178" s="124">
        <v>42763</v>
      </c>
      <c r="F178" s="124">
        <v>42815</v>
      </c>
      <c r="G178" s="123">
        <v>362</v>
      </c>
      <c r="H178" s="123">
        <v>262</v>
      </c>
      <c r="I178" s="123">
        <v>483</v>
      </c>
      <c r="J178" s="123">
        <v>470</v>
      </c>
      <c r="K178" s="194">
        <f t="shared" si="2"/>
        <v>52</v>
      </c>
    </row>
    <row r="179" spans="1:11">
      <c r="A179" s="121">
        <v>178</v>
      </c>
      <c r="B179" s="122" t="s">
        <v>2385</v>
      </c>
      <c r="C179" s="122" t="s">
        <v>2404</v>
      </c>
      <c r="D179" s="122" t="s">
        <v>2296</v>
      </c>
      <c r="E179" s="124">
        <v>42763</v>
      </c>
      <c r="F179" s="124">
        <v>42815</v>
      </c>
      <c r="G179" s="129">
        <v>781</v>
      </c>
      <c r="H179" s="123">
        <v>309</v>
      </c>
      <c r="I179" s="123">
        <v>893</v>
      </c>
      <c r="J179" s="123">
        <v>488</v>
      </c>
      <c r="K179" s="194">
        <f t="shared" si="2"/>
        <v>52</v>
      </c>
    </row>
    <row r="180" spans="1:11">
      <c r="A180" s="121">
        <v>179</v>
      </c>
      <c r="B180" s="122" t="s">
        <v>2385</v>
      </c>
      <c r="C180" s="122" t="s">
        <v>2405</v>
      </c>
      <c r="D180" s="122" t="s">
        <v>2296</v>
      </c>
      <c r="E180" s="124">
        <v>42763</v>
      </c>
      <c r="F180" s="124">
        <v>42815</v>
      </c>
      <c r="G180" s="123">
        <v>451</v>
      </c>
      <c r="H180" s="123">
        <v>32</v>
      </c>
      <c r="I180" s="123">
        <v>826</v>
      </c>
      <c r="J180" s="123">
        <v>273</v>
      </c>
      <c r="K180" s="194">
        <f t="shared" si="2"/>
        <v>52</v>
      </c>
    </row>
    <row r="181" spans="1:11">
      <c r="A181" s="121">
        <v>180</v>
      </c>
      <c r="B181" s="122" t="s">
        <v>2385</v>
      </c>
      <c r="C181" s="122" t="s">
        <v>2406</v>
      </c>
      <c r="D181" s="122" t="s">
        <v>2296</v>
      </c>
      <c r="E181" s="124">
        <v>42763</v>
      </c>
      <c r="F181" s="124">
        <v>42815</v>
      </c>
      <c r="G181" s="123">
        <v>360</v>
      </c>
      <c r="H181" s="123">
        <v>268</v>
      </c>
      <c r="I181" s="123">
        <v>783</v>
      </c>
      <c r="J181" s="123">
        <v>301</v>
      </c>
      <c r="K181" s="194">
        <f t="shared" si="2"/>
        <v>52</v>
      </c>
    </row>
    <row r="182" spans="1:11">
      <c r="A182" s="121">
        <v>181</v>
      </c>
      <c r="B182" s="122" t="s">
        <v>2385</v>
      </c>
      <c r="C182" s="122" t="s">
        <v>2407</v>
      </c>
      <c r="D182" s="122" t="s">
        <v>2296</v>
      </c>
      <c r="E182" s="124">
        <v>42763</v>
      </c>
      <c r="F182" s="124">
        <v>42815</v>
      </c>
      <c r="G182" s="123">
        <v>458</v>
      </c>
      <c r="H182" s="123">
        <v>587</v>
      </c>
      <c r="I182" s="123">
        <v>551</v>
      </c>
      <c r="J182" s="123">
        <v>291</v>
      </c>
      <c r="K182" s="194">
        <f t="shared" si="2"/>
        <v>52</v>
      </c>
    </row>
    <row r="183" spans="1:11">
      <c r="A183" s="121">
        <v>182</v>
      </c>
      <c r="B183" s="122" t="s">
        <v>2385</v>
      </c>
      <c r="C183" s="122" t="s">
        <v>2408</v>
      </c>
      <c r="D183" s="122" t="s">
        <v>2296</v>
      </c>
      <c r="E183" s="124">
        <v>42763</v>
      </c>
      <c r="F183" s="124">
        <v>42815</v>
      </c>
      <c r="G183" s="123">
        <v>403</v>
      </c>
      <c r="H183" s="123">
        <v>444</v>
      </c>
      <c r="I183" s="123">
        <v>818</v>
      </c>
      <c r="J183" s="123">
        <v>537</v>
      </c>
      <c r="K183" s="194">
        <f t="shared" si="2"/>
        <v>52</v>
      </c>
    </row>
    <row r="184" spans="1:11">
      <c r="A184" s="121">
        <v>183</v>
      </c>
      <c r="B184" s="122" t="s">
        <v>2385</v>
      </c>
      <c r="C184" s="122" t="s">
        <v>2409</v>
      </c>
      <c r="D184" s="122" t="s">
        <v>2296</v>
      </c>
      <c r="E184" s="124">
        <v>42763</v>
      </c>
      <c r="F184" s="124">
        <v>42815</v>
      </c>
      <c r="G184" s="123">
        <v>585</v>
      </c>
      <c r="H184" s="123">
        <v>568</v>
      </c>
      <c r="I184" s="123">
        <v>896</v>
      </c>
      <c r="J184" s="123">
        <v>290</v>
      </c>
      <c r="K184" s="194">
        <f t="shared" si="2"/>
        <v>52</v>
      </c>
    </row>
    <row r="185" spans="1:11">
      <c r="A185" s="121">
        <v>184</v>
      </c>
      <c r="B185" s="122" t="s">
        <v>2385</v>
      </c>
      <c r="C185" s="122" t="s">
        <v>2410</v>
      </c>
      <c r="D185" s="122" t="s">
        <v>2296</v>
      </c>
      <c r="E185" s="124">
        <v>42763</v>
      </c>
      <c r="F185" s="124">
        <v>42815</v>
      </c>
      <c r="G185" s="123">
        <v>669</v>
      </c>
      <c r="H185" s="129">
        <v>541</v>
      </c>
      <c r="I185" s="123">
        <v>337</v>
      </c>
      <c r="J185" s="123">
        <v>555</v>
      </c>
      <c r="K185" s="194">
        <f t="shared" si="2"/>
        <v>52</v>
      </c>
    </row>
    <row r="186" spans="1:11">
      <c r="A186" s="121">
        <v>185</v>
      </c>
      <c r="B186" s="122" t="s">
        <v>2385</v>
      </c>
      <c r="C186" s="122" t="s">
        <v>2412</v>
      </c>
      <c r="D186" s="122" t="s">
        <v>2306</v>
      </c>
      <c r="E186" s="124">
        <v>42763</v>
      </c>
      <c r="F186" s="124">
        <v>42815</v>
      </c>
      <c r="G186" s="123">
        <v>423</v>
      </c>
      <c r="H186" s="123">
        <v>51</v>
      </c>
      <c r="I186" s="123">
        <v>564</v>
      </c>
      <c r="J186" s="123">
        <v>539</v>
      </c>
      <c r="K186" s="194">
        <f t="shared" si="2"/>
        <v>52</v>
      </c>
    </row>
    <row r="187" spans="1:11">
      <c r="A187" s="121">
        <v>186</v>
      </c>
      <c r="B187" s="122" t="s">
        <v>2385</v>
      </c>
      <c r="C187" s="122" t="s">
        <v>2413</v>
      </c>
      <c r="D187" s="122" t="s">
        <v>2306</v>
      </c>
      <c r="E187" s="124">
        <v>42763</v>
      </c>
      <c r="F187" s="124">
        <v>42815</v>
      </c>
      <c r="G187" s="123">
        <v>544</v>
      </c>
      <c r="H187" s="123">
        <v>557</v>
      </c>
      <c r="I187" s="123">
        <v>608</v>
      </c>
      <c r="J187" s="123">
        <v>180</v>
      </c>
      <c r="K187" s="194">
        <f t="shared" si="2"/>
        <v>52</v>
      </c>
    </row>
    <row r="188" spans="1:11">
      <c r="A188" s="121">
        <v>187</v>
      </c>
      <c r="B188" s="122" t="s">
        <v>2385</v>
      </c>
      <c r="C188" s="122" t="s">
        <v>2414</v>
      </c>
      <c r="D188" s="122" t="s">
        <v>2306</v>
      </c>
      <c r="E188" s="124">
        <v>42763</v>
      </c>
      <c r="F188" s="124">
        <v>42815</v>
      </c>
      <c r="G188" s="123">
        <v>620</v>
      </c>
      <c r="H188" s="123">
        <v>427</v>
      </c>
      <c r="I188" s="123">
        <v>365</v>
      </c>
      <c r="J188" s="183">
        <v>580</v>
      </c>
      <c r="K188" s="194">
        <f t="shared" si="2"/>
        <v>52</v>
      </c>
    </row>
    <row r="189" spans="1:11">
      <c r="A189" s="121">
        <v>188</v>
      </c>
      <c r="B189" s="122" t="s">
        <v>2385</v>
      </c>
      <c r="C189" s="122" t="s">
        <v>2415</v>
      </c>
      <c r="D189" s="122" t="s">
        <v>2306</v>
      </c>
      <c r="E189" s="124">
        <v>42763</v>
      </c>
      <c r="F189" s="124">
        <v>42815</v>
      </c>
      <c r="G189" s="123">
        <v>420</v>
      </c>
      <c r="H189" s="123">
        <v>223</v>
      </c>
      <c r="I189" s="123">
        <v>375</v>
      </c>
      <c r="J189" s="123">
        <v>222</v>
      </c>
      <c r="K189" s="194">
        <f t="shared" si="2"/>
        <v>52</v>
      </c>
    </row>
    <row r="190" spans="1:11">
      <c r="A190" s="121">
        <v>189</v>
      </c>
      <c r="B190" s="122" t="s">
        <v>2385</v>
      </c>
      <c r="C190" s="122" t="s">
        <v>2417</v>
      </c>
      <c r="D190" s="122" t="s">
        <v>2306</v>
      </c>
      <c r="E190" s="124">
        <v>42763</v>
      </c>
      <c r="F190" s="124">
        <v>42815</v>
      </c>
      <c r="G190" s="129">
        <v>367</v>
      </c>
      <c r="H190" s="123">
        <v>354</v>
      </c>
      <c r="I190" s="123">
        <v>537</v>
      </c>
      <c r="J190" s="123">
        <v>216</v>
      </c>
      <c r="K190" s="194">
        <f t="shared" si="2"/>
        <v>52</v>
      </c>
    </row>
    <row r="191" spans="1:11">
      <c r="A191" s="121">
        <v>190</v>
      </c>
      <c r="B191" s="122" t="s">
        <v>2385</v>
      </c>
      <c r="C191" s="122" t="s">
        <v>2418</v>
      </c>
      <c r="D191" s="122" t="s">
        <v>2306</v>
      </c>
      <c r="E191" s="124">
        <v>42763</v>
      </c>
      <c r="F191" s="124">
        <v>42815</v>
      </c>
      <c r="G191" s="123">
        <v>526</v>
      </c>
      <c r="H191" s="123">
        <v>164</v>
      </c>
      <c r="I191" s="123">
        <v>393</v>
      </c>
      <c r="J191" s="123">
        <v>232</v>
      </c>
      <c r="K191" s="194">
        <f t="shared" si="2"/>
        <v>52</v>
      </c>
    </row>
    <row r="192" spans="1:11">
      <c r="A192" s="121">
        <v>191</v>
      </c>
      <c r="B192" s="122" t="s">
        <v>2385</v>
      </c>
      <c r="C192" s="122" t="s">
        <v>2419</v>
      </c>
      <c r="D192" s="122" t="s">
        <v>2306</v>
      </c>
      <c r="E192" s="124">
        <v>42763</v>
      </c>
      <c r="F192" s="124">
        <v>42815</v>
      </c>
      <c r="G192" s="123">
        <v>522</v>
      </c>
      <c r="H192" s="123">
        <v>336</v>
      </c>
      <c r="I192" s="123">
        <v>417</v>
      </c>
      <c r="J192" s="123">
        <v>387</v>
      </c>
      <c r="K192" s="194">
        <f t="shared" si="2"/>
        <v>52</v>
      </c>
    </row>
    <row r="193" spans="1:11">
      <c r="A193" s="121">
        <v>192</v>
      </c>
      <c r="B193" s="122" t="s">
        <v>2385</v>
      </c>
      <c r="C193" s="122" t="s">
        <v>2420</v>
      </c>
      <c r="D193" s="122" t="s">
        <v>2306</v>
      </c>
      <c r="E193" s="124">
        <v>42763</v>
      </c>
      <c r="F193" s="124">
        <v>42815</v>
      </c>
      <c r="G193" s="123">
        <v>591</v>
      </c>
      <c r="H193" s="123">
        <v>263</v>
      </c>
      <c r="I193" s="129">
        <v>297</v>
      </c>
      <c r="J193" s="123">
        <v>346</v>
      </c>
      <c r="K193" s="194">
        <f t="shared" si="2"/>
        <v>52</v>
      </c>
    </row>
    <row r="194" spans="1:11">
      <c r="A194" s="121">
        <v>193</v>
      </c>
      <c r="B194" s="133" t="s">
        <v>2176</v>
      </c>
      <c r="C194" s="133" t="s">
        <v>2445</v>
      </c>
      <c r="D194" s="122" t="s">
        <v>2455</v>
      </c>
      <c r="E194" s="124">
        <v>42769</v>
      </c>
      <c r="F194" s="124">
        <v>42813</v>
      </c>
      <c r="G194" s="123">
        <v>863</v>
      </c>
      <c r="H194" s="123">
        <v>125</v>
      </c>
      <c r="I194" s="123">
        <v>584</v>
      </c>
      <c r="J194" s="123">
        <v>364</v>
      </c>
      <c r="K194" s="194">
        <f t="shared" si="2"/>
        <v>44</v>
      </c>
    </row>
    <row r="195" spans="1:11">
      <c r="A195" s="121">
        <v>194</v>
      </c>
      <c r="B195" s="133" t="s">
        <v>2176</v>
      </c>
      <c r="C195" s="133" t="s">
        <v>2438</v>
      </c>
      <c r="D195" s="133" t="s">
        <v>2454</v>
      </c>
      <c r="E195" s="124">
        <v>42769</v>
      </c>
      <c r="F195" s="124">
        <v>42813</v>
      </c>
      <c r="G195" s="123">
        <v>615</v>
      </c>
      <c r="H195" s="123">
        <v>289</v>
      </c>
      <c r="I195" s="123">
        <v>713</v>
      </c>
      <c r="J195" s="123">
        <v>167</v>
      </c>
      <c r="K195" s="194">
        <f t="shared" ref="K195:K221" si="3">IFERROR(F195-E195,"")</f>
        <v>44</v>
      </c>
    </row>
    <row r="196" spans="1:11">
      <c r="A196" s="121">
        <v>195</v>
      </c>
      <c r="B196" s="133" t="s">
        <v>2176</v>
      </c>
      <c r="C196" s="133" t="s">
        <v>2430</v>
      </c>
      <c r="D196" s="133" t="s">
        <v>2453</v>
      </c>
      <c r="E196" s="124">
        <v>42769</v>
      </c>
      <c r="F196" s="124">
        <v>42814</v>
      </c>
      <c r="G196" s="123">
        <v>821</v>
      </c>
      <c r="H196" s="123">
        <v>378</v>
      </c>
      <c r="I196" s="123">
        <v>525</v>
      </c>
      <c r="J196" s="123">
        <v>25</v>
      </c>
      <c r="K196" s="194">
        <f t="shared" si="3"/>
        <v>45</v>
      </c>
    </row>
    <row r="197" spans="1:11">
      <c r="A197" s="121">
        <v>196</v>
      </c>
      <c r="B197" s="133" t="s">
        <v>2176</v>
      </c>
      <c r="C197" s="122" t="s">
        <v>2421</v>
      </c>
      <c r="D197" s="133" t="s">
        <v>2452</v>
      </c>
      <c r="E197" s="124">
        <v>42769</v>
      </c>
      <c r="F197" s="124">
        <v>42814</v>
      </c>
      <c r="G197" s="123">
        <v>754</v>
      </c>
      <c r="H197" s="123">
        <v>375</v>
      </c>
      <c r="I197" s="123">
        <v>886</v>
      </c>
      <c r="J197" s="123">
        <v>362</v>
      </c>
      <c r="K197" s="194">
        <f t="shared" si="3"/>
        <v>45</v>
      </c>
    </row>
    <row r="198" spans="1:11">
      <c r="A198" s="121">
        <v>197</v>
      </c>
      <c r="B198" s="133" t="s">
        <v>2176</v>
      </c>
      <c r="C198" s="133" t="s">
        <v>2431</v>
      </c>
      <c r="D198" s="133" t="s">
        <v>2453</v>
      </c>
      <c r="E198" s="124">
        <v>42769</v>
      </c>
      <c r="F198" s="124">
        <v>42814</v>
      </c>
      <c r="G198" s="123">
        <v>715</v>
      </c>
      <c r="H198" s="123">
        <v>219</v>
      </c>
      <c r="I198" s="123">
        <v>388</v>
      </c>
      <c r="J198" s="123">
        <v>370</v>
      </c>
      <c r="K198" s="194">
        <f t="shared" si="3"/>
        <v>45</v>
      </c>
    </row>
    <row r="199" spans="1:11">
      <c r="A199" s="121">
        <v>198</v>
      </c>
      <c r="B199" s="133" t="s">
        <v>2176</v>
      </c>
      <c r="C199" s="133" t="s">
        <v>2439</v>
      </c>
      <c r="D199" s="133" t="s">
        <v>2454</v>
      </c>
      <c r="E199" s="124">
        <v>42769</v>
      </c>
      <c r="F199" s="124">
        <v>42813</v>
      </c>
      <c r="G199" s="123">
        <v>785</v>
      </c>
      <c r="H199" s="123">
        <v>463</v>
      </c>
      <c r="I199" s="123">
        <v>462</v>
      </c>
      <c r="J199" s="123">
        <v>168</v>
      </c>
      <c r="K199" s="194">
        <f t="shared" si="3"/>
        <v>44</v>
      </c>
    </row>
    <row r="200" spans="1:11">
      <c r="A200" s="121">
        <v>199</v>
      </c>
      <c r="B200" s="133" t="s">
        <v>2176</v>
      </c>
      <c r="C200" s="133" t="s">
        <v>2423</v>
      </c>
      <c r="D200" s="133" t="s">
        <v>2452</v>
      </c>
      <c r="E200" s="124">
        <v>42769</v>
      </c>
      <c r="F200" s="124">
        <v>42814</v>
      </c>
      <c r="G200" s="123">
        <v>877</v>
      </c>
      <c r="H200" s="123">
        <v>339</v>
      </c>
      <c r="I200" s="123">
        <v>712</v>
      </c>
      <c r="J200" s="123">
        <v>269</v>
      </c>
      <c r="K200" s="194">
        <f t="shared" si="3"/>
        <v>45</v>
      </c>
    </row>
    <row r="201" spans="1:11">
      <c r="A201" s="121">
        <v>200</v>
      </c>
      <c r="B201" s="133" t="s">
        <v>2176</v>
      </c>
      <c r="C201" s="133" t="s">
        <v>2446</v>
      </c>
      <c r="D201" s="122" t="s">
        <v>2455</v>
      </c>
      <c r="E201" s="124">
        <v>42769</v>
      </c>
      <c r="F201" s="124">
        <v>42813</v>
      </c>
      <c r="G201" s="123">
        <v>816</v>
      </c>
      <c r="H201" s="123">
        <v>303</v>
      </c>
      <c r="I201" s="123">
        <v>709</v>
      </c>
      <c r="J201" s="123">
        <v>359</v>
      </c>
      <c r="K201" s="194">
        <f t="shared" si="3"/>
        <v>44</v>
      </c>
    </row>
    <row r="202" spans="1:11">
      <c r="A202" s="121">
        <v>201</v>
      </c>
      <c r="B202" s="133" t="s">
        <v>2276</v>
      </c>
      <c r="C202" s="133" t="s">
        <v>2447</v>
      </c>
      <c r="D202" s="122" t="s">
        <v>2455</v>
      </c>
      <c r="E202" s="124">
        <v>42769</v>
      </c>
      <c r="F202" s="124">
        <v>42813</v>
      </c>
      <c r="G202" s="123">
        <v>811</v>
      </c>
      <c r="H202" s="123">
        <v>218</v>
      </c>
      <c r="I202" s="123">
        <v>707</v>
      </c>
      <c r="J202" s="123">
        <v>395</v>
      </c>
      <c r="K202" s="194">
        <f t="shared" si="3"/>
        <v>44</v>
      </c>
    </row>
    <row r="203" spans="1:11">
      <c r="A203" s="121">
        <v>202</v>
      </c>
      <c r="B203" s="133" t="s">
        <v>2276</v>
      </c>
      <c r="C203" s="133" t="s">
        <v>2424</v>
      </c>
      <c r="D203" s="133" t="s">
        <v>2452</v>
      </c>
      <c r="E203" s="124">
        <v>42769</v>
      </c>
      <c r="F203" s="124">
        <v>42814</v>
      </c>
      <c r="G203" s="123">
        <v>773</v>
      </c>
      <c r="H203" s="123">
        <v>135</v>
      </c>
      <c r="I203" s="123">
        <v>770</v>
      </c>
      <c r="J203" s="123">
        <v>182</v>
      </c>
      <c r="K203" s="194">
        <f t="shared" si="3"/>
        <v>45</v>
      </c>
    </row>
    <row r="204" spans="1:11">
      <c r="A204" s="121">
        <v>203</v>
      </c>
      <c r="B204" s="133" t="s">
        <v>2276</v>
      </c>
      <c r="C204" s="133" t="s">
        <v>2433</v>
      </c>
      <c r="D204" s="133" t="s">
        <v>2453</v>
      </c>
      <c r="E204" s="124">
        <v>42769</v>
      </c>
      <c r="F204" s="124">
        <v>42814</v>
      </c>
      <c r="G204" s="123">
        <v>645</v>
      </c>
      <c r="H204" s="123">
        <v>372</v>
      </c>
      <c r="I204" s="123">
        <v>753</v>
      </c>
      <c r="J204" s="123">
        <v>342</v>
      </c>
      <c r="K204" s="194">
        <f t="shared" si="3"/>
        <v>45</v>
      </c>
    </row>
    <row r="205" spans="1:11">
      <c r="A205" s="121">
        <v>204</v>
      </c>
      <c r="B205" s="133" t="s">
        <v>2276</v>
      </c>
      <c r="C205" s="133" t="s">
        <v>2440</v>
      </c>
      <c r="D205" s="133" t="s">
        <v>2454</v>
      </c>
      <c r="E205" s="124">
        <v>42769</v>
      </c>
      <c r="F205" s="124">
        <v>42813</v>
      </c>
      <c r="G205" s="123">
        <v>814</v>
      </c>
      <c r="H205" s="123">
        <v>334</v>
      </c>
      <c r="I205" s="123">
        <v>640</v>
      </c>
      <c r="J205" s="123">
        <v>139</v>
      </c>
      <c r="K205" s="194">
        <f t="shared" si="3"/>
        <v>44</v>
      </c>
    </row>
    <row r="206" spans="1:11">
      <c r="A206" s="121">
        <v>205</v>
      </c>
      <c r="B206" s="133" t="s">
        <v>2314</v>
      </c>
      <c r="C206" s="133" t="s">
        <v>2434</v>
      </c>
      <c r="D206" s="133" t="s">
        <v>2453</v>
      </c>
      <c r="E206" s="124">
        <v>42769</v>
      </c>
      <c r="F206" s="124">
        <v>42814</v>
      </c>
      <c r="G206" s="123">
        <v>621</v>
      </c>
      <c r="H206" s="123">
        <v>265</v>
      </c>
      <c r="I206" s="123">
        <v>668</v>
      </c>
      <c r="J206" s="123">
        <v>92</v>
      </c>
      <c r="K206" s="194">
        <f t="shared" si="3"/>
        <v>45</v>
      </c>
    </row>
    <row r="207" spans="1:11">
      <c r="A207" s="121">
        <v>206</v>
      </c>
      <c r="B207" s="133" t="s">
        <v>2314</v>
      </c>
      <c r="C207" s="133" t="s">
        <v>2425</v>
      </c>
      <c r="D207" s="133" t="s">
        <v>2452</v>
      </c>
      <c r="E207" s="124">
        <v>42769</v>
      </c>
      <c r="F207" s="124">
        <v>42814</v>
      </c>
      <c r="G207" s="123">
        <v>677</v>
      </c>
      <c r="H207" s="123">
        <v>234</v>
      </c>
      <c r="I207" s="123">
        <v>891</v>
      </c>
      <c r="J207" s="123">
        <v>328</v>
      </c>
      <c r="K207" s="194">
        <f t="shared" si="3"/>
        <v>45</v>
      </c>
    </row>
    <row r="208" spans="1:11">
      <c r="A208" s="121">
        <v>207</v>
      </c>
      <c r="B208" s="133" t="s">
        <v>2314</v>
      </c>
      <c r="C208" s="133" t="s">
        <v>2448</v>
      </c>
      <c r="D208" s="122" t="s">
        <v>2455</v>
      </c>
      <c r="E208" s="124">
        <v>42769</v>
      </c>
      <c r="F208" s="124">
        <v>42813</v>
      </c>
      <c r="G208" s="123">
        <v>574</v>
      </c>
      <c r="H208" s="123">
        <v>258</v>
      </c>
      <c r="I208" s="123">
        <v>540</v>
      </c>
      <c r="J208" s="123">
        <v>149</v>
      </c>
      <c r="K208" s="194">
        <f t="shared" si="3"/>
        <v>44</v>
      </c>
    </row>
    <row r="209" spans="1:11">
      <c r="A209" s="121">
        <v>208</v>
      </c>
      <c r="B209" s="133" t="s">
        <v>2314</v>
      </c>
      <c r="C209" s="133" t="s">
        <v>2441</v>
      </c>
      <c r="D209" s="133" t="s">
        <v>2454</v>
      </c>
      <c r="E209" s="124">
        <v>42769</v>
      </c>
      <c r="F209" s="124">
        <v>42813</v>
      </c>
      <c r="G209" s="123">
        <v>710</v>
      </c>
      <c r="H209" s="123">
        <v>344</v>
      </c>
      <c r="I209" s="123">
        <v>508</v>
      </c>
      <c r="J209" s="123">
        <v>449</v>
      </c>
      <c r="K209" s="194">
        <f t="shared" si="3"/>
        <v>44</v>
      </c>
    </row>
    <row r="210" spans="1:11">
      <c r="A210" s="121">
        <v>209</v>
      </c>
      <c r="B210" s="133" t="s">
        <v>2314</v>
      </c>
      <c r="C210" s="133" t="s">
        <v>2435</v>
      </c>
      <c r="D210" s="133" t="s">
        <v>2453</v>
      </c>
      <c r="E210" s="124">
        <v>42769</v>
      </c>
      <c r="F210" s="124">
        <v>42814</v>
      </c>
      <c r="G210" s="123">
        <v>604</v>
      </c>
      <c r="H210" s="123">
        <v>271</v>
      </c>
      <c r="I210" s="123">
        <v>637</v>
      </c>
      <c r="J210" s="123">
        <v>142</v>
      </c>
      <c r="K210" s="194">
        <f t="shared" si="3"/>
        <v>45</v>
      </c>
    </row>
    <row r="211" spans="1:11">
      <c r="A211" s="121">
        <v>210</v>
      </c>
      <c r="B211" s="133" t="s">
        <v>2314</v>
      </c>
      <c r="C211" s="133" t="s">
        <v>2449</v>
      </c>
      <c r="D211" s="122" t="s">
        <v>2455</v>
      </c>
      <c r="E211" s="124">
        <v>42769</v>
      </c>
      <c r="F211" s="124">
        <v>42813</v>
      </c>
      <c r="G211" s="123">
        <v>871</v>
      </c>
      <c r="H211" s="123">
        <v>340</v>
      </c>
      <c r="I211" s="123">
        <v>720</v>
      </c>
      <c r="J211" s="123">
        <v>392</v>
      </c>
      <c r="K211" s="194">
        <f t="shared" si="3"/>
        <v>44</v>
      </c>
    </row>
    <row r="212" spans="1:11">
      <c r="A212" s="121">
        <v>211</v>
      </c>
      <c r="B212" s="133" t="s">
        <v>2314</v>
      </c>
      <c r="C212" s="133" t="s">
        <v>2426</v>
      </c>
      <c r="D212" s="133" t="s">
        <v>2452</v>
      </c>
      <c r="E212" s="124">
        <v>42769</v>
      </c>
      <c r="F212" s="124">
        <v>42814</v>
      </c>
      <c r="G212" s="123">
        <v>822</v>
      </c>
      <c r="H212" s="123">
        <v>381</v>
      </c>
      <c r="I212" s="123">
        <v>796</v>
      </c>
      <c r="J212" s="123">
        <v>589</v>
      </c>
      <c r="K212" s="194">
        <f t="shared" si="3"/>
        <v>45</v>
      </c>
    </row>
    <row r="213" spans="1:11">
      <c r="A213" s="121">
        <v>212</v>
      </c>
      <c r="B213" s="133" t="s">
        <v>2314</v>
      </c>
      <c r="C213" s="133" t="s">
        <v>2442</v>
      </c>
      <c r="D213" s="133" t="s">
        <v>2454</v>
      </c>
      <c r="E213" s="124">
        <v>42769</v>
      </c>
      <c r="F213" s="124">
        <v>42813</v>
      </c>
      <c r="G213" s="123">
        <v>786</v>
      </c>
      <c r="H213" s="123">
        <v>93</v>
      </c>
      <c r="I213" s="123">
        <v>560</v>
      </c>
      <c r="J213" s="123">
        <v>130</v>
      </c>
      <c r="K213" s="194">
        <f t="shared" si="3"/>
        <v>44</v>
      </c>
    </row>
    <row r="214" spans="1:11">
      <c r="A214" s="121">
        <v>213</v>
      </c>
      <c r="B214" s="133" t="s">
        <v>2385</v>
      </c>
      <c r="C214" s="133" t="s">
        <v>2450</v>
      </c>
      <c r="D214" s="122" t="s">
        <v>2455</v>
      </c>
      <c r="E214" s="124">
        <v>42769</v>
      </c>
      <c r="F214" s="124">
        <v>42813</v>
      </c>
      <c r="G214" s="123">
        <v>572</v>
      </c>
      <c r="H214" s="123">
        <v>88</v>
      </c>
      <c r="I214" s="123">
        <v>716</v>
      </c>
      <c r="J214" s="123">
        <v>111</v>
      </c>
      <c r="K214" s="194">
        <f t="shared" si="3"/>
        <v>44</v>
      </c>
    </row>
    <row r="215" spans="1:11">
      <c r="A215" s="121">
        <v>214</v>
      </c>
      <c r="B215" s="133" t="s">
        <v>2385</v>
      </c>
      <c r="C215" s="133" t="s">
        <v>2443</v>
      </c>
      <c r="D215" s="133" t="s">
        <v>2454</v>
      </c>
      <c r="E215" s="124">
        <v>42769</v>
      </c>
      <c r="F215" s="124">
        <v>42813</v>
      </c>
      <c r="G215" s="123">
        <v>761</v>
      </c>
      <c r="H215" s="123">
        <v>383</v>
      </c>
      <c r="I215" s="123">
        <v>581</v>
      </c>
      <c r="J215" s="123">
        <v>412</v>
      </c>
      <c r="K215" s="194">
        <f t="shared" si="3"/>
        <v>44</v>
      </c>
    </row>
    <row r="216" spans="1:11">
      <c r="A216" s="121">
        <v>215</v>
      </c>
      <c r="B216" s="133" t="s">
        <v>2385</v>
      </c>
      <c r="C216" s="133" t="s">
        <v>2427</v>
      </c>
      <c r="D216" s="133" t="s">
        <v>2452</v>
      </c>
      <c r="E216" s="124">
        <v>42769</v>
      </c>
      <c r="F216" s="124">
        <v>42814</v>
      </c>
      <c r="G216" s="123">
        <v>858</v>
      </c>
      <c r="H216" s="123">
        <v>145</v>
      </c>
      <c r="I216" s="123">
        <v>718</v>
      </c>
      <c r="J216" s="123">
        <v>434</v>
      </c>
      <c r="K216" s="194">
        <f t="shared" si="3"/>
        <v>45</v>
      </c>
    </row>
    <row r="217" spans="1:11">
      <c r="A217" s="121">
        <v>216</v>
      </c>
      <c r="B217" s="133" t="s">
        <v>2385</v>
      </c>
      <c r="C217" s="133" t="s">
        <v>2436</v>
      </c>
      <c r="D217" s="133" t="s">
        <v>2453</v>
      </c>
      <c r="E217" s="124">
        <v>42769</v>
      </c>
      <c r="F217" s="124">
        <v>42814</v>
      </c>
      <c r="G217" s="123">
        <v>755</v>
      </c>
      <c r="H217" s="123">
        <v>241</v>
      </c>
      <c r="I217" s="123">
        <v>613</v>
      </c>
      <c r="J217" s="123">
        <v>457</v>
      </c>
      <c r="K217" s="194">
        <f t="shared" si="3"/>
        <v>45</v>
      </c>
    </row>
    <row r="218" spans="1:11">
      <c r="A218" s="121">
        <v>217</v>
      </c>
      <c r="B218" s="133" t="s">
        <v>2428</v>
      </c>
      <c r="C218" s="133" t="s">
        <v>2429</v>
      </c>
      <c r="D218" s="133" t="s">
        <v>2452</v>
      </c>
      <c r="E218" s="124">
        <v>42769</v>
      </c>
      <c r="F218" s="124">
        <v>42814</v>
      </c>
      <c r="G218" s="123">
        <v>795</v>
      </c>
      <c r="H218" s="123">
        <v>302</v>
      </c>
      <c r="I218" s="123">
        <v>804</v>
      </c>
      <c r="J218" s="123">
        <v>410</v>
      </c>
      <c r="K218" s="194">
        <f t="shared" si="3"/>
        <v>45</v>
      </c>
    </row>
    <row r="219" spans="1:11">
      <c r="A219" s="121">
        <v>218</v>
      </c>
      <c r="B219" s="133" t="s">
        <v>2428</v>
      </c>
      <c r="C219" s="133" t="s">
        <v>2437</v>
      </c>
      <c r="D219" s="133" t="s">
        <v>2453</v>
      </c>
      <c r="E219" s="124">
        <v>42769</v>
      </c>
      <c r="F219" s="124">
        <v>42814</v>
      </c>
      <c r="G219" s="123">
        <v>251</v>
      </c>
      <c r="H219" s="123">
        <v>442</v>
      </c>
      <c r="I219" s="123">
        <v>587</v>
      </c>
      <c r="J219" s="123">
        <v>103</v>
      </c>
      <c r="K219" s="194">
        <f t="shared" si="3"/>
        <v>45</v>
      </c>
    </row>
    <row r="220" spans="1:11">
      <c r="A220" s="121">
        <v>219</v>
      </c>
      <c r="B220" s="133" t="s">
        <v>2428</v>
      </c>
      <c r="C220" s="133" t="s">
        <v>2444</v>
      </c>
      <c r="D220" s="133" t="s">
        <v>2454</v>
      </c>
      <c r="E220" s="124">
        <v>42769</v>
      </c>
      <c r="F220" s="124">
        <v>42813</v>
      </c>
      <c r="G220" s="164">
        <v>727</v>
      </c>
      <c r="H220" s="164">
        <v>176</v>
      </c>
      <c r="I220" s="164">
        <v>491</v>
      </c>
      <c r="J220" s="164">
        <v>356</v>
      </c>
      <c r="K220" s="194">
        <f t="shared" si="3"/>
        <v>44</v>
      </c>
    </row>
    <row r="221" spans="1:11">
      <c r="A221" s="121">
        <v>220</v>
      </c>
      <c r="B221" s="133" t="s">
        <v>2428</v>
      </c>
      <c r="C221" s="133" t="s">
        <v>2451</v>
      </c>
      <c r="D221" s="122" t="s">
        <v>2455</v>
      </c>
      <c r="E221" s="124">
        <v>42769</v>
      </c>
      <c r="F221" s="124">
        <v>42813</v>
      </c>
      <c r="G221" s="123">
        <v>782</v>
      </c>
      <c r="H221" s="123">
        <v>250</v>
      </c>
      <c r="I221" s="123">
        <v>849</v>
      </c>
      <c r="J221" s="123">
        <v>319</v>
      </c>
      <c r="K221" s="194">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1260</v>
      </c>
      <c r="E7" s="23" t="s">
        <v>129</v>
      </c>
      <c r="F7" s="23"/>
      <c r="G7" s="41" t="s">
        <v>134</v>
      </c>
    </row>
    <row r="8" spans="1:7">
      <c r="G8" s="24" t="s">
        <v>135</v>
      </c>
    </row>
    <row r="9" spans="1:7" s="43" customFormat="1" ht="28.8">
      <c r="A9" s="43">
        <v>7</v>
      </c>
      <c r="B9" s="43" t="s">
        <v>133</v>
      </c>
      <c r="C9" s="44">
        <v>42170</v>
      </c>
      <c r="D9" s="45">
        <f t="shared" ca="1" si="0"/>
        <v>1260</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C05DE-C911-481B-A93A-70E5441F976C}">
  <dimension ref="A1:AO515"/>
  <sheetViews>
    <sheetView topLeftCell="O72" zoomScale="85" zoomScaleNormal="85" workbookViewId="0">
      <selection activeCell="B6" sqref="B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20" t="s">
        <v>0</v>
      </c>
      <c r="C12" s="421"/>
      <c r="D12" s="421"/>
      <c r="E12" s="421"/>
      <c r="F12" s="308" t="s">
        <v>3804</v>
      </c>
      <c r="G12" s="312"/>
      <c r="H12" s="312"/>
      <c r="I12" s="312"/>
      <c r="K12" s="310"/>
      <c r="L12" s="311"/>
      <c r="M12" s="311"/>
    </row>
    <row r="13" spans="2:13" s="303" customFormat="1">
      <c r="B13" s="418" t="s">
        <v>3805</v>
      </c>
      <c r="C13" s="419"/>
      <c r="D13" s="419"/>
      <c r="E13" s="419"/>
      <c r="F13" s="313" t="s">
        <v>3806</v>
      </c>
      <c r="G13" s="312"/>
      <c r="H13" s="312"/>
      <c r="I13" s="312"/>
      <c r="K13" s="310"/>
      <c r="L13" s="311"/>
      <c r="M13" s="311"/>
    </row>
    <row r="14" spans="2:13" s="303" customFormat="1">
      <c r="B14" s="418" t="s">
        <v>1</v>
      </c>
      <c r="C14" s="419"/>
      <c r="D14" s="419"/>
      <c r="E14" s="419"/>
      <c r="F14" s="314" t="s">
        <v>3807</v>
      </c>
      <c r="G14" s="315"/>
      <c r="H14" s="316"/>
      <c r="I14" s="316"/>
      <c r="J14" s="316"/>
      <c r="K14" s="310"/>
      <c r="L14" s="311"/>
      <c r="M14" s="311"/>
    </row>
    <row r="15" spans="2:13" s="303" customFormat="1">
      <c r="B15" s="418" t="s">
        <v>2</v>
      </c>
      <c r="C15" s="419"/>
      <c r="D15" s="419"/>
      <c r="E15" s="419"/>
      <c r="F15" s="317" t="s">
        <v>3808</v>
      </c>
      <c r="G15" s="318"/>
      <c r="H15" s="319"/>
      <c r="I15" s="319"/>
      <c r="K15" s="310"/>
      <c r="L15" s="311"/>
      <c r="M15" s="311"/>
    </row>
    <row r="16" spans="2:13" s="303" customFormat="1">
      <c r="B16" s="418" t="s">
        <v>3</v>
      </c>
      <c r="C16" s="419"/>
      <c r="D16" s="419"/>
      <c r="E16" s="419"/>
      <c r="F16" s="320" t="s">
        <v>3809</v>
      </c>
      <c r="G16" s="319"/>
      <c r="H16" s="319"/>
      <c r="I16" s="319"/>
      <c r="K16" s="310"/>
      <c r="L16" s="311"/>
      <c r="M16" s="311"/>
    </row>
    <row r="17" spans="2:14" s="303" customFormat="1">
      <c r="B17" s="418" t="s">
        <v>4</v>
      </c>
      <c r="C17" s="419"/>
      <c r="D17" s="419"/>
      <c r="E17" s="419"/>
      <c r="F17" s="321" t="s">
        <v>3810</v>
      </c>
      <c r="G17" s="319"/>
      <c r="H17" s="319"/>
      <c r="I17" s="319"/>
      <c r="K17" s="310"/>
      <c r="L17" s="311"/>
      <c r="M17" s="311"/>
    </row>
    <row r="18" spans="2:14" s="303" customFormat="1">
      <c r="B18" s="418" t="s">
        <v>5</v>
      </c>
      <c r="C18" s="419"/>
      <c r="D18" s="419"/>
      <c r="E18" s="419"/>
      <c r="F18" s="321" t="s">
        <v>3811</v>
      </c>
      <c r="G18" s="319"/>
      <c r="H18" s="319"/>
      <c r="I18" s="319"/>
      <c r="K18" s="310"/>
      <c r="L18" s="311"/>
      <c r="M18" s="311"/>
    </row>
    <row r="19" spans="2:14" s="303" customFormat="1">
      <c r="B19" s="418" t="s">
        <v>6</v>
      </c>
      <c r="C19" s="419"/>
      <c r="D19" s="419"/>
      <c r="E19" s="419"/>
      <c r="F19" s="314" t="s">
        <v>3812</v>
      </c>
      <c r="G19" s="318"/>
      <c r="H19" s="322"/>
      <c r="I19" s="322"/>
      <c r="J19" s="322"/>
      <c r="K19" s="322"/>
      <c r="L19" s="322"/>
      <c r="M19" s="322"/>
      <c r="N19" s="322"/>
    </row>
    <row r="20" spans="2:14" s="303" customFormat="1" ht="15" thickBot="1">
      <c r="B20" s="422" t="s">
        <v>7</v>
      </c>
      <c r="C20" s="423"/>
      <c r="D20" s="423"/>
      <c r="E20" s="423"/>
      <c r="F20" s="323" t="s">
        <v>3813</v>
      </c>
      <c r="G20" s="319"/>
      <c r="H20" s="319"/>
      <c r="I20" s="319"/>
      <c r="K20" s="310"/>
      <c r="L20" s="311"/>
      <c r="M20" s="311"/>
    </row>
    <row r="21" spans="2:14">
      <c r="B21" s="312" t="s">
        <v>3814</v>
      </c>
      <c r="C21" s="312"/>
      <c r="D21" s="312"/>
      <c r="E21" s="312"/>
      <c r="F21" s="319"/>
    </row>
    <row r="23" spans="2:14">
      <c r="B23" s="324" t="s">
        <v>3815</v>
      </c>
      <c r="C23" s="312"/>
      <c r="D23" s="325"/>
      <c r="E23" s="326"/>
      <c r="F23" s="303"/>
      <c r="G23" s="303"/>
      <c r="H23" s="303"/>
      <c r="I23" s="303"/>
    </row>
    <row r="24" spans="2:14" ht="15" thickBot="1">
      <c r="B24" s="324" t="s">
        <v>3816</v>
      </c>
      <c r="C24" s="312"/>
      <c r="D24" s="325"/>
      <c r="E24" s="326"/>
      <c r="F24" s="303" t="s">
        <v>3803</v>
      </c>
      <c r="G24" s="303"/>
      <c r="H24" s="303"/>
      <c r="I24" s="303"/>
    </row>
    <row r="25" spans="2:14">
      <c r="B25" s="420" t="s">
        <v>8</v>
      </c>
      <c r="C25" s="421"/>
      <c r="D25" s="421"/>
      <c r="E25" s="421"/>
      <c r="F25" s="327">
        <v>0.84199999999999997</v>
      </c>
      <c r="G25" s="303"/>
      <c r="H25" s="303"/>
      <c r="I25" s="303"/>
    </row>
    <row r="26" spans="2:14">
      <c r="B26" s="418" t="s">
        <v>9</v>
      </c>
      <c r="C26" s="419"/>
      <c r="D26" s="419"/>
      <c r="E26" s="419"/>
      <c r="F26" s="328">
        <v>0.55200000000000005</v>
      </c>
      <c r="G26" s="303"/>
      <c r="H26" s="303"/>
      <c r="I26" s="303"/>
    </row>
    <row r="27" spans="2:14">
      <c r="B27" s="418" t="s">
        <v>10</v>
      </c>
      <c r="C27" s="419"/>
      <c r="D27" s="419"/>
      <c r="E27" s="419"/>
      <c r="F27" s="329">
        <v>0.12180000000000001</v>
      </c>
      <c r="G27" s="303"/>
      <c r="H27" s="303"/>
      <c r="I27" s="303"/>
    </row>
    <row r="28" spans="2:14">
      <c r="B28" s="418" t="s">
        <v>11</v>
      </c>
      <c r="C28" s="419"/>
      <c r="D28" s="419"/>
      <c r="E28" s="419"/>
      <c r="F28" s="329">
        <v>2.8799999999999999E-2</v>
      </c>
      <c r="G28" s="303"/>
      <c r="H28" s="303"/>
      <c r="I28" s="303"/>
    </row>
    <row r="29" spans="2:14">
      <c r="B29" s="418" t="s">
        <v>12</v>
      </c>
      <c r="C29" s="419"/>
      <c r="D29" s="419"/>
      <c r="E29" s="419"/>
      <c r="F29" s="330">
        <f>F27+F28</f>
        <v>0.15060000000000001</v>
      </c>
      <c r="G29" s="303"/>
      <c r="H29" s="303"/>
      <c r="I29" s="303"/>
    </row>
    <row r="30" spans="2:14">
      <c r="B30" s="418" t="s">
        <v>13</v>
      </c>
      <c r="C30" s="419"/>
      <c r="D30" s="419"/>
      <c r="E30" s="419"/>
      <c r="F30" s="329">
        <v>9.9199999999999997E-2</v>
      </c>
      <c r="G30" s="303"/>
      <c r="H30" s="303"/>
      <c r="I30" s="303"/>
    </row>
    <row r="31" spans="2:14">
      <c r="B31" s="418" t="s">
        <v>14</v>
      </c>
      <c r="C31" s="419"/>
      <c r="D31" s="419"/>
      <c r="E31" s="419"/>
      <c r="F31" s="329">
        <v>1</v>
      </c>
      <c r="G31" s="303" t="s">
        <v>3817</v>
      </c>
      <c r="H31" s="303"/>
      <c r="I31" s="303"/>
    </row>
    <row r="32" spans="2:14" ht="15" thickBot="1">
      <c r="B32" s="422" t="s">
        <v>15</v>
      </c>
      <c r="C32" s="423"/>
      <c r="D32" s="423"/>
      <c r="E32" s="423"/>
      <c r="F32" s="331">
        <v>1</v>
      </c>
      <c r="G32" s="303"/>
      <c r="H32" s="303"/>
      <c r="I32" s="303"/>
    </row>
    <row r="33" spans="1:24">
      <c r="A33" s="303"/>
      <c r="B33" s="312"/>
      <c r="C33" s="312"/>
      <c r="D33" s="312"/>
      <c r="E33" s="312"/>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0" t="s">
        <v>3821</v>
      </c>
      <c r="C37" s="431"/>
      <c r="D37" s="431"/>
      <c r="E37" s="432" t="s">
        <v>17</v>
      </c>
      <c r="F37" s="433"/>
      <c r="G37" s="334" t="s">
        <v>3822</v>
      </c>
      <c r="H37" s="335"/>
      <c r="I37" s="335"/>
      <c r="J37" s="336"/>
      <c r="K37" s="425" t="s">
        <v>3823</v>
      </c>
      <c r="L37" s="426"/>
      <c r="M37" s="426"/>
      <c r="N37" s="426"/>
      <c r="O37" s="426"/>
      <c r="P37" s="426"/>
      <c r="Q37" s="426"/>
      <c r="R37" s="427"/>
    </row>
    <row r="38" spans="1:24" ht="15" thickBot="1">
      <c r="A38" s="319"/>
      <c r="B38" s="428" t="s">
        <v>16</v>
      </c>
      <c r="C38" s="429"/>
      <c r="D38" s="429"/>
      <c r="E38" s="337" t="s">
        <v>18</v>
      </c>
      <c r="F38" s="338" t="s">
        <v>212</v>
      </c>
      <c r="G38" s="339" t="s">
        <v>2677</v>
      </c>
      <c r="H38" s="340" t="s">
        <v>2678</v>
      </c>
      <c r="I38" s="340" t="s">
        <v>2679</v>
      </c>
      <c r="J38" s="340" t="s">
        <v>2680</v>
      </c>
      <c r="K38" s="334" t="s">
        <v>204</v>
      </c>
      <c r="L38" s="336" t="s">
        <v>203</v>
      </c>
      <c r="M38" s="336"/>
      <c r="N38" s="336" t="s">
        <v>205</v>
      </c>
      <c r="O38" s="421" t="s">
        <v>216</v>
      </c>
      <c r="P38" s="421"/>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78">
        <v>-3.3978290019999999</v>
      </c>
      <c r="F40" s="354">
        <v>34.837011969999999</v>
      </c>
      <c r="G40" s="355">
        <v>21.13063730679653</v>
      </c>
      <c r="H40" s="356">
        <v>3.0912555579081076</v>
      </c>
      <c r="I40" s="356">
        <v>75.778107135295357</v>
      </c>
      <c r="J40" s="357">
        <v>0.46131099063578063</v>
      </c>
      <c r="K40" s="378" t="s">
        <v>229</v>
      </c>
      <c r="L40" s="424" t="s">
        <v>257</v>
      </c>
      <c r="M40" s="424"/>
      <c r="N40" s="358" t="s">
        <v>2670</v>
      </c>
      <c r="O40" s="358" t="s">
        <v>3826</v>
      </c>
      <c r="P40" s="358"/>
      <c r="Q40" s="358" t="s">
        <v>247</v>
      </c>
      <c r="R40" s="358" t="s">
        <v>247</v>
      </c>
      <c r="S40" s="358" t="s">
        <v>234</v>
      </c>
      <c r="T40" s="313" t="s">
        <v>3827</v>
      </c>
    </row>
    <row r="41" spans="1:24">
      <c r="A41" s="319"/>
      <c r="B41" s="350" t="s">
        <v>3829</v>
      </c>
      <c r="C41" s="351"/>
      <c r="D41" s="352" t="s">
        <v>3825</v>
      </c>
      <c r="E41" s="378">
        <v>-3.3854090330000002</v>
      </c>
      <c r="F41" s="354">
        <v>34.818901029999999</v>
      </c>
      <c r="G41" s="355">
        <v>54.080969906906262</v>
      </c>
      <c r="H41" s="356">
        <v>21.264484651351896</v>
      </c>
      <c r="I41" s="356">
        <v>24.654545441741845</v>
      </c>
      <c r="J41" s="357">
        <v>1.8433218334154755</v>
      </c>
      <c r="K41" s="378" t="s">
        <v>229</v>
      </c>
      <c r="L41" s="424" t="s">
        <v>257</v>
      </c>
      <c r="M41" s="424"/>
      <c r="N41" s="358" t="s">
        <v>2673</v>
      </c>
      <c r="O41" s="358" t="s">
        <v>3826</v>
      </c>
      <c r="P41" s="358"/>
      <c r="Q41" s="358" t="s">
        <v>247</v>
      </c>
      <c r="R41" s="358" t="s">
        <v>247</v>
      </c>
      <c r="S41" s="358" t="s">
        <v>234</v>
      </c>
      <c r="T41" s="313" t="s">
        <v>3827</v>
      </c>
    </row>
    <row r="42" spans="1:24">
      <c r="A42" s="319"/>
      <c r="B42" s="350" t="s">
        <v>3830</v>
      </c>
      <c r="C42" s="351"/>
      <c r="D42" s="352" t="s">
        <v>3825</v>
      </c>
      <c r="E42" s="378">
        <v>-3.3849129919999998</v>
      </c>
      <c r="F42" s="354">
        <v>34.818899020000003</v>
      </c>
      <c r="G42" s="355">
        <v>51.960000000000008</v>
      </c>
      <c r="H42" s="356">
        <v>18.919999999999995</v>
      </c>
      <c r="I42" s="356">
        <v>29.120000000000005</v>
      </c>
      <c r="J42" s="357">
        <v>1.85293247905372</v>
      </c>
      <c r="K42" s="378" t="s">
        <v>229</v>
      </c>
      <c r="L42" s="424" t="s">
        <v>257</v>
      </c>
      <c r="M42" s="424"/>
      <c r="N42" s="358" t="s">
        <v>2673</v>
      </c>
      <c r="O42" s="358" t="s">
        <v>3826</v>
      </c>
      <c r="P42" s="358"/>
      <c r="Q42" s="358" t="s">
        <v>247</v>
      </c>
      <c r="R42" s="358" t="s">
        <v>247</v>
      </c>
      <c r="S42" s="358" t="s">
        <v>234</v>
      </c>
      <c r="T42" s="313" t="s">
        <v>3827</v>
      </c>
    </row>
    <row r="43" spans="1:24">
      <c r="A43" s="319"/>
      <c r="B43" s="350" t="s">
        <v>3831</v>
      </c>
      <c r="C43" s="351"/>
      <c r="D43" s="352" t="s">
        <v>3832</v>
      </c>
      <c r="E43" s="378">
        <v>-3.4092039989999998</v>
      </c>
      <c r="F43" s="354">
        <v>34.852751009999999</v>
      </c>
      <c r="G43" s="355">
        <v>23.96</v>
      </c>
      <c r="H43" s="356">
        <v>0.91999999999999804</v>
      </c>
      <c r="I43" s="356">
        <v>75.12</v>
      </c>
      <c r="J43" s="357">
        <v>1.2493839329719072</v>
      </c>
      <c r="K43" s="378" t="s">
        <v>229</v>
      </c>
      <c r="L43" s="424" t="s">
        <v>244</v>
      </c>
      <c r="M43" s="424"/>
      <c r="N43" s="358" t="s">
        <v>2670</v>
      </c>
      <c r="O43" s="358" t="s">
        <v>3826</v>
      </c>
      <c r="P43" s="358"/>
      <c r="Q43" s="358" t="s">
        <v>247</v>
      </c>
      <c r="R43" s="358" t="s">
        <v>247</v>
      </c>
      <c r="S43" s="358" t="s">
        <v>234</v>
      </c>
      <c r="T43" s="313" t="s">
        <v>3827</v>
      </c>
    </row>
    <row r="44" spans="1:24">
      <c r="A44" s="319"/>
      <c r="B44" s="350" t="s">
        <v>3833</v>
      </c>
      <c r="C44" s="351"/>
      <c r="D44" s="352" t="s">
        <v>3832</v>
      </c>
      <c r="E44" s="378">
        <v>-3.4083420040000001</v>
      </c>
      <c r="F44" s="354">
        <v>34.850283040000001</v>
      </c>
      <c r="G44" s="355">
        <v>19.96</v>
      </c>
      <c r="H44" s="356">
        <v>4.9199999999999982</v>
      </c>
      <c r="I44" s="356">
        <v>75.12</v>
      </c>
      <c r="J44" s="357">
        <v>1.641498275012321</v>
      </c>
      <c r="K44" s="378" t="s">
        <v>229</v>
      </c>
      <c r="L44" s="424" t="s">
        <v>244</v>
      </c>
      <c r="M44" s="424"/>
      <c r="N44" s="358" t="s">
        <v>2671</v>
      </c>
      <c r="O44" s="358" t="s">
        <v>3826</v>
      </c>
      <c r="P44" s="358"/>
      <c r="Q44" s="358" t="s">
        <v>247</v>
      </c>
      <c r="R44" s="358" t="s">
        <v>247</v>
      </c>
      <c r="S44" s="358" t="s">
        <v>234</v>
      </c>
      <c r="T44" s="313" t="s">
        <v>3827</v>
      </c>
    </row>
    <row r="45" spans="1:24">
      <c r="A45" s="319"/>
      <c r="B45" s="350" t="s">
        <v>3834</v>
      </c>
      <c r="C45" s="351"/>
      <c r="D45" s="352" t="s">
        <v>3832</v>
      </c>
      <c r="E45" s="378">
        <v>-3.406225992</v>
      </c>
      <c r="F45" s="354">
        <v>34.85055998</v>
      </c>
      <c r="G45" s="355">
        <v>21.96</v>
      </c>
      <c r="H45" s="356">
        <v>8.9199999999999982</v>
      </c>
      <c r="I45" s="356">
        <v>69.12</v>
      </c>
      <c r="J45" s="357">
        <v>1.7491375061606702</v>
      </c>
      <c r="K45" s="378" t="s">
        <v>229</v>
      </c>
      <c r="L45" s="424" t="s">
        <v>244</v>
      </c>
      <c r="M45" s="424"/>
      <c r="N45" s="358" t="s">
        <v>2670</v>
      </c>
      <c r="O45" s="358" t="s">
        <v>3826</v>
      </c>
      <c r="P45" s="358"/>
      <c r="Q45" s="358" t="s">
        <v>247</v>
      </c>
      <c r="R45" s="358" t="s">
        <v>247</v>
      </c>
      <c r="S45" s="358" t="s">
        <v>234</v>
      </c>
      <c r="T45" s="313" t="s">
        <v>3827</v>
      </c>
    </row>
    <row r="46" spans="1:24">
      <c r="A46" s="319"/>
      <c r="B46" s="350" t="s">
        <v>3835</v>
      </c>
      <c r="C46" s="351"/>
      <c r="D46" s="352" t="s">
        <v>3832</v>
      </c>
      <c r="E46" s="378">
        <v>-3.4064239729999999</v>
      </c>
      <c r="F46" s="354">
        <v>34.851213010000002</v>
      </c>
      <c r="G46" s="355">
        <v>25.96</v>
      </c>
      <c r="H46" s="356">
        <v>6.9200000000000008</v>
      </c>
      <c r="I46" s="356">
        <v>67.12</v>
      </c>
      <c r="J46" s="357">
        <v>1.7568260226712666</v>
      </c>
      <c r="K46" s="378" t="s">
        <v>229</v>
      </c>
      <c r="L46" s="424" t="s">
        <v>244</v>
      </c>
      <c r="M46" s="424"/>
      <c r="N46" s="358" t="s">
        <v>2670</v>
      </c>
      <c r="O46" s="358" t="s">
        <v>3826</v>
      </c>
      <c r="P46" s="358"/>
      <c r="Q46" s="358" t="s">
        <v>247</v>
      </c>
      <c r="R46" s="358" t="s">
        <v>247</v>
      </c>
      <c r="S46" s="358" t="s">
        <v>234</v>
      </c>
      <c r="T46" s="313" t="s">
        <v>3827</v>
      </c>
    </row>
    <row r="47" spans="1:24">
      <c r="A47" s="319"/>
      <c r="B47" s="350" t="s">
        <v>3836</v>
      </c>
      <c r="C47" s="351"/>
      <c r="D47" s="352" t="s">
        <v>3837</v>
      </c>
      <c r="E47" s="378">
        <v>-3.2993960379999998</v>
      </c>
      <c r="F47" s="354">
        <v>34.848240959999998</v>
      </c>
      <c r="G47" s="355">
        <v>47.96</v>
      </c>
      <c r="H47" s="356">
        <v>22.919999999999995</v>
      </c>
      <c r="I47" s="356">
        <v>29.120000000000012</v>
      </c>
      <c r="J47" s="357">
        <v>2.8831936914736325</v>
      </c>
      <c r="K47" s="378" t="s">
        <v>229</v>
      </c>
      <c r="L47" s="424" t="s">
        <v>230</v>
      </c>
      <c r="M47" s="424"/>
      <c r="N47" s="358" t="s">
        <v>2673</v>
      </c>
      <c r="O47" s="358" t="s">
        <v>3826</v>
      </c>
      <c r="P47" s="358"/>
      <c r="Q47" s="358" t="s">
        <v>247</v>
      </c>
      <c r="R47" s="358" t="s">
        <v>247</v>
      </c>
      <c r="S47" s="358" t="s">
        <v>234</v>
      </c>
      <c r="T47" s="313" t="s">
        <v>3827</v>
      </c>
    </row>
    <row r="48" spans="1:24">
      <c r="A48" s="319"/>
      <c r="B48" s="350" t="s">
        <v>3838</v>
      </c>
      <c r="C48" s="351"/>
      <c r="D48" s="352" t="s">
        <v>3837</v>
      </c>
      <c r="E48" s="378">
        <v>-3.3025860229999999</v>
      </c>
      <c r="F48" s="354">
        <v>34.848048009999999</v>
      </c>
      <c r="G48" s="355">
        <v>45.272914521112256</v>
      </c>
      <c r="H48" s="356">
        <v>23.604531410916575</v>
      </c>
      <c r="I48" s="356">
        <v>31.122554067971166</v>
      </c>
      <c r="J48" s="357">
        <v>2.0547560374568752</v>
      </c>
      <c r="K48" s="378" t="s">
        <v>229</v>
      </c>
      <c r="L48" s="424" t="s">
        <v>230</v>
      </c>
      <c r="M48" s="424"/>
      <c r="N48" s="358" t="s">
        <v>2673</v>
      </c>
      <c r="O48" s="358" t="s">
        <v>3826</v>
      </c>
      <c r="P48" s="358"/>
      <c r="Q48" s="358" t="s">
        <v>247</v>
      </c>
      <c r="R48" s="358" t="s">
        <v>247</v>
      </c>
      <c r="S48" s="358" t="s">
        <v>234</v>
      </c>
      <c r="T48" s="313" t="s">
        <v>3827</v>
      </c>
    </row>
    <row r="49" spans="1:20">
      <c r="A49" s="319"/>
      <c r="B49" s="350" t="s">
        <v>3839</v>
      </c>
      <c r="C49" s="351"/>
      <c r="D49" s="352" t="s">
        <v>3837</v>
      </c>
      <c r="E49" s="378">
        <v>-3.2957159630000001</v>
      </c>
      <c r="F49" s="354">
        <v>34.852460999999998</v>
      </c>
      <c r="G49" s="355">
        <v>38.691629007962128</v>
      </c>
      <c r="H49" s="356">
        <v>26.81299763288143</v>
      </c>
      <c r="I49" s="356">
        <v>34.495373359156439</v>
      </c>
      <c r="J49" s="357">
        <v>2.5483587974371611</v>
      </c>
      <c r="K49" s="378" t="s">
        <v>229</v>
      </c>
      <c r="L49" s="424" t="s">
        <v>230</v>
      </c>
      <c r="M49" s="424"/>
      <c r="N49" s="358" t="s">
        <v>2675</v>
      </c>
      <c r="O49" s="358" t="s">
        <v>3826</v>
      </c>
      <c r="P49" s="358"/>
      <c r="Q49" s="358" t="s">
        <v>247</v>
      </c>
      <c r="R49" s="358" t="s">
        <v>247</v>
      </c>
      <c r="S49" s="358" t="s">
        <v>234</v>
      </c>
      <c r="T49" s="313" t="s">
        <v>3827</v>
      </c>
    </row>
    <row r="50" spans="1:20">
      <c r="A50" s="319"/>
      <c r="B50" s="350" t="s">
        <v>3840</v>
      </c>
      <c r="C50" s="351"/>
      <c r="D50" s="352" t="s">
        <v>3837</v>
      </c>
      <c r="E50" s="378">
        <v>-3.2966709980000002</v>
      </c>
      <c r="F50" s="354">
        <v>34.854407019999996</v>
      </c>
      <c r="G50" s="355">
        <v>28.145762029394</v>
      </c>
      <c r="H50" s="356">
        <v>25.085564727199518</v>
      </c>
      <c r="I50" s="356">
        <v>46.768673243406489</v>
      </c>
      <c r="J50" s="357">
        <v>2.1716214884179394</v>
      </c>
      <c r="K50" s="378" t="s">
        <v>229</v>
      </c>
      <c r="L50" s="424" t="s">
        <v>230</v>
      </c>
      <c r="M50" s="424"/>
      <c r="N50" s="358" t="s">
        <v>2670</v>
      </c>
      <c r="O50" s="358" t="s">
        <v>3826</v>
      </c>
      <c r="P50" s="358"/>
      <c r="Q50" s="358" t="s">
        <v>247</v>
      </c>
      <c r="R50" s="358" t="s">
        <v>247</v>
      </c>
      <c r="S50" s="358" t="s">
        <v>234</v>
      </c>
      <c r="T50" s="313" t="s">
        <v>3827</v>
      </c>
    </row>
    <row r="51" spans="1:20">
      <c r="A51" s="303"/>
      <c r="B51" s="350" t="s">
        <v>3841</v>
      </c>
      <c r="C51" s="351"/>
      <c r="D51" s="352" t="s">
        <v>3842</v>
      </c>
      <c r="E51" s="378">
        <v>-2.3691620310000001</v>
      </c>
      <c r="F51" s="354">
        <v>34.06028104</v>
      </c>
      <c r="G51" s="355">
        <v>45.96</v>
      </c>
      <c r="H51" s="356">
        <v>14.920000000000003</v>
      </c>
      <c r="I51" s="356">
        <v>39.119999999999997</v>
      </c>
      <c r="J51" s="357">
        <v>2.0374568753080333</v>
      </c>
      <c r="K51" s="378" t="s">
        <v>229</v>
      </c>
      <c r="L51" s="424" t="s">
        <v>257</v>
      </c>
      <c r="M51" s="424"/>
      <c r="N51" s="358" t="s">
        <v>2673</v>
      </c>
      <c r="O51" s="358" t="s">
        <v>3826</v>
      </c>
      <c r="P51" s="358"/>
      <c r="Q51" s="358" t="s">
        <v>247</v>
      </c>
      <c r="R51" s="358" t="s">
        <v>247</v>
      </c>
      <c r="S51" s="358" t="s">
        <v>234</v>
      </c>
      <c r="T51" s="313" t="s">
        <v>3827</v>
      </c>
    </row>
    <row r="52" spans="1:20">
      <c r="A52" s="303"/>
      <c r="B52" s="350" t="s">
        <v>3843</v>
      </c>
      <c r="C52" s="351"/>
      <c r="D52" s="352" t="s">
        <v>3842</v>
      </c>
      <c r="E52" s="378">
        <v>-2.3698080240000001</v>
      </c>
      <c r="F52" s="354">
        <v>34.059671010000002</v>
      </c>
      <c r="G52" s="355">
        <v>34.344660194174757</v>
      </c>
      <c r="H52" s="356">
        <v>19.22727272727273</v>
      </c>
      <c r="I52" s="356">
        <v>46.428067078552509</v>
      </c>
      <c r="J52" s="357">
        <v>1.7452932479053718</v>
      </c>
      <c r="K52" s="378" t="s">
        <v>229</v>
      </c>
      <c r="L52" s="424" t="s">
        <v>257</v>
      </c>
      <c r="M52" s="424"/>
      <c r="N52" s="358" t="s">
        <v>2670</v>
      </c>
      <c r="O52" s="358" t="s">
        <v>3826</v>
      </c>
      <c r="P52" s="358"/>
      <c r="Q52" s="358" t="s">
        <v>247</v>
      </c>
      <c r="R52" s="358" t="s">
        <v>247</v>
      </c>
      <c r="S52" s="358" t="s">
        <v>234</v>
      </c>
      <c r="T52" s="313" t="s">
        <v>3827</v>
      </c>
    </row>
    <row r="53" spans="1:20">
      <c r="A53" s="303"/>
      <c r="B53" s="350" t="s">
        <v>3844</v>
      </c>
      <c r="C53" s="351"/>
      <c r="D53" s="352" t="s">
        <v>3842</v>
      </c>
      <c r="E53" s="378">
        <v>-2.3487199940000001</v>
      </c>
      <c r="F53" s="354">
        <v>34.051391029999998</v>
      </c>
      <c r="G53" s="355">
        <v>27.96</v>
      </c>
      <c r="H53" s="356">
        <v>4.9200000000000017</v>
      </c>
      <c r="I53" s="356">
        <v>67.12</v>
      </c>
      <c r="J53" s="357">
        <v>0.88610152784622953</v>
      </c>
      <c r="K53" s="378" t="s">
        <v>229</v>
      </c>
      <c r="L53" s="424" t="s">
        <v>257</v>
      </c>
      <c r="M53" s="424"/>
      <c r="N53" s="358" t="s">
        <v>2670</v>
      </c>
      <c r="O53" s="358" t="s">
        <v>3826</v>
      </c>
      <c r="P53" s="358"/>
      <c r="Q53" s="358" t="s">
        <v>247</v>
      </c>
      <c r="R53" s="358" t="s">
        <v>247</v>
      </c>
      <c r="S53" s="358" t="s">
        <v>234</v>
      </c>
      <c r="T53" s="313" t="s">
        <v>3827</v>
      </c>
    </row>
    <row r="54" spans="1:20">
      <c r="A54" s="303"/>
      <c r="B54" s="350" t="s">
        <v>3845</v>
      </c>
      <c r="C54" s="351"/>
      <c r="D54" s="352" t="s">
        <v>3842</v>
      </c>
      <c r="E54" s="378">
        <v>-2.3492639789999998</v>
      </c>
      <c r="F54" s="354">
        <v>34.051464029999998</v>
      </c>
      <c r="G54" s="355">
        <v>17.96</v>
      </c>
      <c r="H54" s="356">
        <v>4.9199999999999982</v>
      </c>
      <c r="I54" s="356">
        <v>77.12</v>
      </c>
      <c r="J54" s="357">
        <v>2.0220798422868409</v>
      </c>
      <c r="K54" s="378" t="s">
        <v>229</v>
      </c>
      <c r="L54" s="424" t="s">
        <v>257</v>
      </c>
      <c r="M54" s="424"/>
      <c r="N54" s="358" t="s">
        <v>2671</v>
      </c>
      <c r="O54" s="358" t="s">
        <v>3826</v>
      </c>
      <c r="P54" s="358"/>
      <c r="Q54" s="358" t="s">
        <v>247</v>
      </c>
      <c r="R54" s="358" t="s">
        <v>247</v>
      </c>
      <c r="S54" s="358" t="s">
        <v>234</v>
      </c>
      <c r="T54" s="313" t="s">
        <v>3827</v>
      </c>
    </row>
    <row r="55" spans="1:20">
      <c r="B55" s="350" t="s">
        <v>3846</v>
      </c>
      <c r="C55" s="351"/>
      <c r="D55" s="352" t="s">
        <v>3847</v>
      </c>
      <c r="E55" s="378">
        <v>-2.3503360249999998</v>
      </c>
      <c r="F55" s="354">
        <v>34.049662009999999</v>
      </c>
      <c r="G55" s="355">
        <v>31.214836424255054</v>
      </c>
      <c r="H55" s="356">
        <v>11.377370285476141</v>
      </c>
      <c r="I55" s="356">
        <v>57.407793290268799</v>
      </c>
      <c r="J55" s="357">
        <v>1.7337604731394776</v>
      </c>
      <c r="K55" s="378" t="s">
        <v>229</v>
      </c>
      <c r="L55" s="424" t="s">
        <v>244</v>
      </c>
      <c r="M55" s="424"/>
      <c r="N55" s="358" t="s">
        <v>2670</v>
      </c>
      <c r="O55" s="358" t="s">
        <v>3826</v>
      </c>
      <c r="P55" s="358"/>
      <c r="Q55" s="358" t="s">
        <v>247</v>
      </c>
      <c r="R55" s="358" t="s">
        <v>247</v>
      </c>
      <c r="S55" s="358" t="s">
        <v>234</v>
      </c>
      <c r="T55" s="313" t="s">
        <v>3827</v>
      </c>
    </row>
    <row r="56" spans="1:20">
      <c r="B56" s="350" t="s">
        <v>3848</v>
      </c>
      <c r="C56" s="351"/>
      <c r="D56" s="352" t="s">
        <v>3847</v>
      </c>
      <c r="E56" s="378">
        <v>-2.348596025</v>
      </c>
      <c r="F56" s="354">
        <v>34.050070959999999</v>
      </c>
      <c r="G56" s="355">
        <v>33.96</v>
      </c>
      <c r="H56" s="356">
        <v>8.9200000000000017</v>
      </c>
      <c r="I56" s="356">
        <v>57.12</v>
      </c>
      <c r="J56" s="357">
        <v>2.072055199605717</v>
      </c>
      <c r="K56" s="378" t="s">
        <v>229</v>
      </c>
      <c r="L56" s="424" t="s">
        <v>244</v>
      </c>
      <c r="M56" s="424"/>
      <c r="N56" s="358" t="s">
        <v>2670</v>
      </c>
      <c r="O56" s="358" t="s">
        <v>3826</v>
      </c>
      <c r="P56" s="358"/>
      <c r="Q56" s="358" t="s">
        <v>247</v>
      </c>
      <c r="R56" s="358" t="s">
        <v>247</v>
      </c>
      <c r="S56" s="358" t="s">
        <v>234</v>
      </c>
      <c r="T56" s="313" t="s">
        <v>3827</v>
      </c>
    </row>
    <row r="57" spans="1:20">
      <c r="B57" s="350" t="s">
        <v>3849</v>
      </c>
      <c r="C57" s="351"/>
      <c r="D57" s="352" t="s">
        <v>3847</v>
      </c>
      <c r="E57" s="378">
        <v>-2.3675269729999999</v>
      </c>
      <c r="F57" s="354">
        <v>34.06035799</v>
      </c>
      <c r="G57" s="355">
        <v>39.96</v>
      </c>
      <c r="H57" s="356">
        <v>12.920000000000002</v>
      </c>
      <c r="I57" s="356">
        <v>47.12</v>
      </c>
      <c r="J57" s="357">
        <v>1.6549531789058647</v>
      </c>
      <c r="K57" s="378" t="s">
        <v>229</v>
      </c>
      <c r="L57" s="424" t="s">
        <v>244</v>
      </c>
      <c r="M57" s="424"/>
      <c r="N57" s="358" t="s">
        <v>2674</v>
      </c>
      <c r="O57" s="358" t="s">
        <v>3826</v>
      </c>
      <c r="P57" s="358"/>
      <c r="Q57" s="358" t="s">
        <v>247</v>
      </c>
      <c r="R57" s="358" t="s">
        <v>247</v>
      </c>
      <c r="S57" s="358" t="s">
        <v>234</v>
      </c>
      <c r="T57" s="313" t="s">
        <v>3827</v>
      </c>
    </row>
    <row r="58" spans="1:20">
      <c r="B58" s="350" t="s">
        <v>3850</v>
      </c>
      <c r="C58" s="351"/>
      <c r="D58" s="352" t="s">
        <v>3847</v>
      </c>
      <c r="E58" s="378">
        <v>-2.3676780150000001</v>
      </c>
      <c r="F58" s="354">
        <v>34.05937797</v>
      </c>
      <c r="G58" s="355">
        <v>27.96</v>
      </c>
      <c r="H58" s="356">
        <v>4.9200000000000017</v>
      </c>
      <c r="I58" s="356">
        <v>67.12</v>
      </c>
      <c r="J58" s="357">
        <v>1.0437161163134547</v>
      </c>
      <c r="K58" s="378" t="s">
        <v>229</v>
      </c>
      <c r="L58" s="424" t="s">
        <v>244</v>
      </c>
      <c r="M58" s="424"/>
      <c r="N58" s="358" t="s">
        <v>2670</v>
      </c>
      <c r="O58" s="358" t="s">
        <v>3826</v>
      </c>
      <c r="P58" s="358"/>
      <c r="Q58" s="358" t="s">
        <v>247</v>
      </c>
      <c r="R58" s="358" t="s">
        <v>247</v>
      </c>
      <c r="S58" s="358" t="s">
        <v>234</v>
      </c>
      <c r="T58" s="313" t="s">
        <v>3827</v>
      </c>
    </row>
    <row r="59" spans="1:20">
      <c r="B59" s="350" t="s">
        <v>3851</v>
      </c>
      <c r="C59" s="351"/>
      <c r="D59" s="352" t="s">
        <v>3852</v>
      </c>
      <c r="E59" s="378">
        <v>-2.272751033</v>
      </c>
      <c r="F59" s="354">
        <v>34.023176030000002</v>
      </c>
      <c r="G59" s="355">
        <v>21.96</v>
      </c>
      <c r="H59" s="356">
        <v>4.9199999999999982</v>
      </c>
      <c r="I59" s="356">
        <v>73.12</v>
      </c>
      <c r="J59" s="357">
        <v>1.2416954164613114</v>
      </c>
      <c r="K59" s="378" t="s">
        <v>229</v>
      </c>
      <c r="L59" s="424" t="s">
        <v>230</v>
      </c>
      <c r="M59" s="424"/>
      <c r="N59" s="358" t="s">
        <v>2670</v>
      </c>
      <c r="O59" s="358" t="s">
        <v>3826</v>
      </c>
      <c r="P59" s="358"/>
      <c r="Q59" s="358" t="s">
        <v>247</v>
      </c>
      <c r="R59" s="358" t="s">
        <v>247</v>
      </c>
      <c r="S59" s="358" t="s">
        <v>234</v>
      </c>
      <c r="T59" s="313" t="s">
        <v>3827</v>
      </c>
    </row>
    <row r="60" spans="1:20">
      <c r="B60" s="350" t="s">
        <v>3853</v>
      </c>
      <c r="C60" s="351"/>
      <c r="D60" s="352" t="s">
        <v>3852</v>
      </c>
      <c r="E60" s="378">
        <v>-2.2784290180000002</v>
      </c>
      <c r="F60" s="354">
        <v>34.024240030000001</v>
      </c>
      <c r="G60" s="355">
        <v>23.96</v>
      </c>
      <c r="H60" s="356">
        <v>4.9199999999999982</v>
      </c>
      <c r="I60" s="356">
        <v>71.12</v>
      </c>
      <c r="J60" s="357">
        <v>3.30913750616067</v>
      </c>
      <c r="K60" s="378" t="s">
        <v>229</v>
      </c>
      <c r="L60" s="424" t="s">
        <v>230</v>
      </c>
      <c r="M60" s="424"/>
      <c r="N60" s="358" t="s">
        <v>2670</v>
      </c>
      <c r="O60" s="358" t="s">
        <v>3826</v>
      </c>
      <c r="P60" s="358"/>
      <c r="Q60" s="358" t="s">
        <v>247</v>
      </c>
      <c r="R60" s="358" t="s">
        <v>247</v>
      </c>
      <c r="S60" s="358" t="s">
        <v>234</v>
      </c>
      <c r="T60" s="313" t="s">
        <v>3827</v>
      </c>
    </row>
    <row r="61" spans="1:20">
      <c r="B61" s="350" t="s">
        <v>3854</v>
      </c>
      <c r="C61" s="351"/>
      <c r="D61" s="352" t="s">
        <v>3852</v>
      </c>
      <c r="E61" s="378">
        <v>-2.277740026</v>
      </c>
      <c r="F61" s="354">
        <v>34.027640990000002</v>
      </c>
      <c r="G61" s="355">
        <v>25.96</v>
      </c>
      <c r="H61" s="356">
        <v>8.9200000000000017</v>
      </c>
      <c r="I61" s="356">
        <v>65.12</v>
      </c>
      <c r="J61" s="357">
        <v>1.614588467225234</v>
      </c>
      <c r="K61" s="378" t="s">
        <v>229</v>
      </c>
      <c r="L61" s="424" t="s">
        <v>230</v>
      </c>
      <c r="M61" s="424"/>
      <c r="N61" s="358" t="s">
        <v>2670</v>
      </c>
      <c r="O61" s="358" t="s">
        <v>3826</v>
      </c>
      <c r="P61" s="358"/>
      <c r="Q61" s="358" t="s">
        <v>247</v>
      </c>
      <c r="R61" s="358" t="s">
        <v>247</v>
      </c>
      <c r="S61" s="358" t="s">
        <v>234</v>
      </c>
      <c r="T61" s="313" t="s">
        <v>3827</v>
      </c>
    </row>
    <row r="62" spans="1:20">
      <c r="B62" s="350" t="s">
        <v>3855</v>
      </c>
      <c r="C62" s="351"/>
      <c r="D62" s="352" t="s">
        <v>3852</v>
      </c>
      <c r="E62" s="378">
        <v>-2.2787330300000002</v>
      </c>
      <c r="F62" s="354">
        <v>34.032136029999997</v>
      </c>
      <c r="G62" s="355">
        <v>25.96</v>
      </c>
      <c r="H62" s="356">
        <v>8.9200000000000017</v>
      </c>
      <c r="I62" s="356">
        <v>65.12</v>
      </c>
      <c r="J62" s="357">
        <v>1.6991621488417901</v>
      </c>
      <c r="K62" s="378" t="s">
        <v>229</v>
      </c>
      <c r="L62" s="424" t="s">
        <v>230</v>
      </c>
      <c r="M62" s="424"/>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37" t="s">
        <v>21</v>
      </c>
      <c r="C68" s="438"/>
      <c r="D68" s="438"/>
      <c r="E68" s="438"/>
      <c r="F68" s="372" t="s">
        <v>3859</v>
      </c>
      <c r="G68" s="373"/>
      <c r="H68" s="373"/>
      <c r="I68" s="373"/>
      <c r="J68" s="373"/>
      <c r="K68" s="373"/>
      <c r="L68" s="374"/>
    </row>
    <row r="69" spans="2:41">
      <c r="B69" s="439" t="s">
        <v>22</v>
      </c>
      <c r="C69" s="440"/>
      <c r="D69" s="440"/>
      <c r="E69" s="440"/>
      <c r="F69" s="375" t="s">
        <v>3860</v>
      </c>
      <c r="G69" s="376"/>
      <c r="H69" s="376"/>
      <c r="I69" s="376"/>
      <c r="J69" s="376"/>
      <c r="K69" s="376"/>
      <c r="L69" s="377"/>
    </row>
    <row r="70" spans="2:41" ht="15" thickBot="1">
      <c r="B70" s="441" t="s">
        <v>25</v>
      </c>
      <c r="C70" s="442"/>
      <c r="D70" s="442"/>
      <c r="E70" s="442"/>
      <c r="F70" s="443" t="s">
        <v>3861</v>
      </c>
      <c r="G70" s="424"/>
      <c r="H70" s="424"/>
      <c r="I70" s="424"/>
      <c r="J70" s="424"/>
      <c r="K70" s="424"/>
      <c r="L70" s="424"/>
      <c r="M70" s="424"/>
      <c r="N70" s="424"/>
    </row>
    <row r="71" spans="2:41">
      <c r="B71" s="333" t="s">
        <v>3862</v>
      </c>
    </row>
    <row r="72" spans="2:41" ht="18">
      <c r="AO72" s="379"/>
    </row>
    <row r="73" spans="2:41">
      <c r="D73" s="434" t="s">
        <v>3885</v>
      </c>
      <c r="E73" s="434"/>
      <c r="F73" s="434"/>
      <c r="G73" s="434"/>
      <c r="H73" s="434"/>
    </row>
    <row r="74" spans="2:41" ht="18.600000000000001" thickBot="1">
      <c r="B74" s="380" t="s">
        <v>3864</v>
      </c>
      <c r="D74" s="435"/>
      <c r="E74" s="435"/>
      <c r="F74" s="435"/>
      <c r="G74" s="435"/>
      <c r="H74" s="435"/>
      <c r="Z74" s="436" t="s">
        <v>3865</v>
      </c>
      <c r="AA74" s="436"/>
      <c r="AB74" s="436"/>
      <c r="AC74" s="436"/>
      <c r="AD74" s="436"/>
      <c r="AE74" s="436"/>
    </row>
    <row r="75" spans="2:41"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30</v>
      </c>
      <c r="O75" s="382" t="s">
        <v>31</v>
      </c>
      <c r="P75" s="109" t="s">
        <v>3874</v>
      </c>
      <c r="Q75" s="109" t="s">
        <v>3875</v>
      </c>
      <c r="R75" s="109" t="s">
        <v>34</v>
      </c>
      <c r="S75" s="109" t="s">
        <v>35</v>
      </c>
      <c r="T75" s="109" t="s">
        <v>3880</v>
      </c>
      <c r="U75" s="109" t="s">
        <v>288</v>
      </c>
      <c r="V75" s="109" t="s">
        <v>291</v>
      </c>
      <c r="W75" s="109" t="s">
        <v>292</v>
      </c>
      <c r="X75" s="109" t="s">
        <v>40</v>
      </c>
      <c r="Y75" s="383" t="s">
        <v>41</v>
      </c>
      <c r="Z75" s="384" t="s">
        <v>3888</v>
      </c>
      <c r="AA75" s="384" t="s">
        <v>3881</v>
      </c>
      <c r="AB75" s="384" t="s">
        <v>3882</v>
      </c>
      <c r="AC75" s="384" t="s">
        <v>3887</v>
      </c>
      <c r="AD75" s="384" t="s">
        <v>3883</v>
      </c>
      <c r="AE75" s="385" t="s">
        <v>3884</v>
      </c>
    </row>
    <row r="76" spans="2:41">
      <c r="B76" t="str">
        <f>'Final data_for_R_analysis_Wetse'!A2</f>
        <v>Wet</v>
      </c>
      <c r="C76" s="263">
        <f>'Final data_for_R_analysis_Wetse'!B2</f>
        <v>1</v>
      </c>
      <c r="D76" t="s">
        <v>3824</v>
      </c>
      <c r="E76" t="s">
        <v>22</v>
      </c>
      <c r="F76" s="386">
        <v>1</v>
      </c>
      <c r="G76" s="16">
        <f>'WetLitterbags placem_collection'!E3</f>
        <v>42766</v>
      </c>
      <c r="H76" t="str">
        <f>'Final data_for_R_analysis_Wetse'!J2</f>
        <v>G436</v>
      </c>
      <c r="I76" t="str">
        <f>'Final data_for_R_analysis_Wetse'!J222</f>
        <v>R17</v>
      </c>
      <c r="J76">
        <f>IFERROR(INDEX('Green_rooibos initial weight'!$C$5:$C$1749,MATCH(H76, 'Green_rooibos initial weight'!$A$5:$A$1749,0)),"")</f>
        <v>2.0329999999999999</v>
      </c>
      <c r="K76">
        <f>IFERROR(INDEX('Green_rooibos initial weight'!$C$5:$C$1749,MATCH(I76, 'Green_rooibos initial weight'!$A$5:$A$1749,0)),"")</f>
        <v>2.169</v>
      </c>
      <c r="L76" s="195">
        <f>IF(J76&gt;0,(J76*$F$31-($F$29+$F$30)),"")</f>
        <v>1.7831999999999999</v>
      </c>
      <c r="M76" s="195">
        <f>AVERAGE(Ashed_controlls!$K$2:$K$11)</f>
        <v>5.5147656768714146</v>
      </c>
      <c r="N76" s="195">
        <f t="shared" ref="N76:N139" si="0">IF(K76&gt;0,(K76*$F$32-($F$29+$F$30)),"")</f>
        <v>1.9192</v>
      </c>
      <c r="O76" s="16">
        <f>IF('WetLitterbags placem_collection'!G3="N.A","",'WetLitterbags placem_collection'!G3)</f>
        <v>42818</v>
      </c>
      <c r="P76" s="195">
        <f>IF(IFERROR(INDEX('Both teabags AfterWet'!$C$3:$C$841,MATCH(H76,'Both teabags AfterWet'!$A$3:$A$841,0)),"")="N.A","",(IFERROR(INDEX('Both teabags AfterWet'!$C$3:$C$841,MATCH(H76,'Both teabags AfterWet'!$A$3:$A$841,0)),"")))</f>
        <v>0.43290000000000001</v>
      </c>
      <c r="Q76" s="195">
        <f>IFERROR(INDEX('Both teabags AfterWet'!$C$3:$C$841,MATCH(I76,'Both teabags AfterWet'!$A$3:$A$841,0)),"")</f>
        <v>1.0208999999999999</v>
      </c>
      <c r="R76" s="195">
        <f>IFERROR(IF(P76&gt;0,P76-($F$29),""),"")</f>
        <v>0.2823</v>
      </c>
      <c r="S76" s="195">
        <f>IFERROR(IF(Q76&gt;0,Q76-($F$29),""),"")</f>
        <v>0.87029999999999985</v>
      </c>
      <c r="T76" s="195">
        <f>IFERROR(1-R76/L76,"")</f>
        <v>0.84168909825033644</v>
      </c>
      <c r="U76" s="195">
        <f>IFERROR($F$26*(1-X76),"")</f>
        <v>0.55179617842539874</v>
      </c>
      <c r="V76" s="195">
        <f>IFERROR(S76/N76,"")</f>
        <v>0.45347019591496451</v>
      </c>
      <c r="W76">
        <f t="shared" ref="W76:W139" si="1">IF((O76-G76)&gt;0,(IFERROR(O76-G76,"")),"")</f>
        <v>52</v>
      </c>
      <c r="X76" s="195">
        <f>IFERROR(1-(T76/$F$25),"")</f>
        <v>3.6924198297327848E-4</v>
      </c>
      <c r="Y76" s="195">
        <f>IFERROR(LN(U76/(V76-(1-U76)))/W76,"")</f>
        <v>8.9458395986105416E-2</v>
      </c>
      <c r="Z76" s="255" t="str">
        <f>IF(ISNUMBER(SEARCH("C",'WetLitterbags placem_collection'!W3)),"YES","NO")</f>
        <v>NO</v>
      </c>
      <c r="AA76" s="255" t="str">
        <f>IF(ISNUMBER(SEARCH("H", 'WetLitterbags placem_collection'!W3)),"YES","NO")</f>
        <v>YES</v>
      </c>
      <c r="AB76" s="255" t="str">
        <f>IF(ISNUMBER(SEARCH("R", 'WetLitterbags placem_collection'!W3)),"YES","NO")</f>
        <v>NO</v>
      </c>
      <c r="AC76" s="255" t="str">
        <f>IF(ISNUMBER(SEARCH("C", 'WetLitterbags placem_collection'!V3)),"YES","NO")</f>
        <v>NO</v>
      </c>
      <c r="AD76" s="255" t="str">
        <f>IF(ISNUMBER(SEARCH("H", 'WetLitterbags placem_collection'!V3)),"YES","NO")</f>
        <v>YES</v>
      </c>
      <c r="AE76" s="255" t="str">
        <f>IF(ISNUMBER(SEARCH("R", 'WetLitterbags placem_collection'!V3)),"YES","NO")</f>
        <v>NO</v>
      </c>
    </row>
    <row r="77" spans="2:41">
      <c r="B77" t="str">
        <f>'Final data_for_R_analysis_Wetse'!A3</f>
        <v>Wet</v>
      </c>
      <c r="C77" s="263">
        <f>'Final data_for_R_analysis_Wetse'!B3</f>
        <v>2</v>
      </c>
      <c r="D77" t="s">
        <v>3824</v>
      </c>
      <c r="E77" t="s">
        <v>22</v>
      </c>
      <c r="F77" s="386">
        <v>2</v>
      </c>
      <c r="G77" s="16">
        <f>'WetLitterbags placem_collection'!E4</f>
        <v>42766</v>
      </c>
      <c r="H77" t="str">
        <f>'Final data_for_R_analysis_Wetse'!J3</f>
        <v>G568</v>
      </c>
      <c r="I77" t="str">
        <f>'Final data_for_R_analysis_Wetse'!J223</f>
        <v>R121</v>
      </c>
      <c r="J77">
        <f>IFERROR(INDEX('Green_rooibos initial weight'!$C$5:$C$1749,MATCH(H77, 'Green_rooibos initial weight'!$A$5:$A$1749,0)),"")</f>
        <v>2.0059999999999998</v>
      </c>
      <c r="K77">
        <f>IFERROR(INDEX('Green_rooibos initial weight'!$C$5:$C$1749,MATCH(I77, 'Green_rooibos initial weight'!$A$5:$A$1749,0)),"")</f>
        <v>2.165</v>
      </c>
      <c r="L77" s="195">
        <f t="shared" ref="L77:L140" si="2">IF(J77&gt;0,(J77*$F$31-($F$29+$F$30)),"")</f>
        <v>1.7561999999999998</v>
      </c>
      <c r="M77" s="195">
        <f>AVERAGE(Ashed_controlls!$K$2:$K$11)</f>
        <v>5.5147656768714146</v>
      </c>
      <c r="N77" s="195">
        <f t="shared" si="0"/>
        <v>1.9152</v>
      </c>
      <c r="O77" s="16">
        <f>IF('WetLitterbags placem_collection'!G4="N.A","",'WetLitterbags placem_collection'!G4)</f>
        <v>42818</v>
      </c>
      <c r="P77" s="195">
        <f>IF(IFERROR(INDEX('Both teabags AfterWet'!$C$3:$C$841,MATCH(H77,'Both teabags AfterWet'!$A$3:$A$841,0)),"")="N.A","",(IFERROR(INDEX('Both teabags AfterWet'!$C$3:$C$841,MATCH(H77,'Both teabags AfterWet'!$A$3:$A$841,0)),"")))</f>
        <v>0.629</v>
      </c>
      <c r="Q77" s="195">
        <f>IFERROR(INDEX('Both teabags AfterWet'!$C$3:$C$841,MATCH(I77,'Both teabags AfterWet'!$A$3:$A$841,0)),"")</f>
        <v>1.3073999999999999</v>
      </c>
      <c r="R77" s="195">
        <f t="shared" ref="R77:S140" si="3">IFERROR(IF(P77&gt;0,P77-($F$29),""),"")</f>
        <v>0.47839999999999999</v>
      </c>
      <c r="S77" s="195">
        <f t="shared" si="3"/>
        <v>1.1567999999999998</v>
      </c>
      <c r="T77" s="195">
        <f t="shared" ref="T77:T140" si="4">IFERROR(1-R77/L77,"")</f>
        <v>0.72759366814713577</v>
      </c>
      <c r="U77" s="195">
        <f t="shared" ref="U77:U140" si="5">IFERROR($F$26*(1-X77),"")</f>
        <v>0.47699727412971377</v>
      </c>
      <c r="V77" s="195">
        <f t="shared" ref="V77:V140" si="6">IFERROR(S77/N77,"")</f>
        <v>0.60401002506265655</v>
      </c>
      <c r="W77">
        <f t="shared" si="1"/>
        <v>52</v>
      </c>
      <c r="X77" s="195">
        <f t="shared" ref="X77:X140" si="7">IFERROR(1-(T77/$F$25),"")</f>
        <v>0.13587450338819973</v>
      </c>
      <c r="Y77" s="195">
        <f t="shared" ref="Y77:Y140" si="8">IFERROR(LN(U77/(V77-(1-U77)))/W77,"")</f>
        <v>3.4095606003091118E-2</v>
      </c>
      <c r="Z77" s="255" t="str">
        <f>IF(ISNUMBER(SEARCH("C",'WetLitterbags placem_collection'!W4)),"YES","NO")</f>
        <v>NO</v>
      </c>
      <c r="AA77" s="255" t="str">
        <f>IF(ISNUMBER(SEARCH("H", 'WetLitterbags placem_collection'!W4)),"YES","NO")</f>
        <v>NO</v>
      </c>
      <c r="AB77" s="255" t="str">
        <f>IF(ISNUMBER(SEARCH("R", 'WetLitterbags placem_collection'!W4)),"YES","NO")</f>
        <v>NO</v>
      </c>
      <c r="AC77" s="255" t="str">
        <f>IF(ISNUMBER(SEARCH("C", 'WetLitterbags placem_collection'!V4)),"YES","NO")</f>
        <v>NO</v>
      </c>
      <c r="AD77" s="255" t="str">
        <f>IF(ISNUMBER(SEARCH("H", 'WetLitterbags placem_collection'!V4)),"YES","NO")</f>
        <v>NO</v>
      </c>
      <c r="AE77" s="255" t="str">
        <f>IF(ISNUMBER(SEARCH("R", 'WetLitterbags placem_collection'!V4)),"YES","NO")</f>
        <v>NO</v>
      </c>
    </row>
    <row r="78" spans="2:41">
      <c r="B78" t="str">
        <f>'Final data_for_R_analysis_Wetse'!A4</f>
        <v>Wet</v>
      </c>
      <c r="C78" s="263">
        <f>'Final data_for_R_analysis_Wetse'!B4</f>
        <v>3</v>
      </c>
      <c r="D78" t="s">
        <v>3824</v>
      </c>
      <c r="E78" t="s">
        <v>22</v>
      </c>
      <c r="F78" s="386">
        <v>3</v>
      </c>
      <c r="G78" s="16">
        <f>'WetLitterbags placem_collection'!E5</f>
        <v>42766</v>
      </c>
      <c r="H78" t="str">
        <f>'Final data_for_R_analysis_Wetse'!J4</f>
        <v>G631</v>
      </c>
      <c r="I78" t="str">
        <f>'Final data_for_R_analysis_Wetse'!J224</f>
        <v>R158</v>
      </c>
      <c r="J78">
        <f>IFERROR(INDEX('Green_rooibos initial weight'!$C$5:$C$1749,MATCH(H78, 'Green_rooibos initial weight'!$A$5:$A$1749,0)),"")</f>
        <v>1.99</v>
      </c>
      <c r="K78">
        <f>IFERROR(INDEX('Green_rooibos initial weight'!$C$5:$C$1749,MATCH(I78, 'Green_rooibos initial weight'!$A$5:$A$1749,0)),"")</f>
        <v>2.2959999999999998</v>
      </c>
      <c r="L78" s="195">
        <f t="shared" si="2"/>
        <v>1.7402</v>
      </c>
      <c r="M78" s="195">
        <f>AVERAGE(Ashed_controlls!$K$2:$K$11)</f>
        <v>5.5147656768714146</v>
      </c>
      <c r="N78" s="195">
        <f t="shared" si="0"/>
        <v>2.0461999999999998</v>
      </c>
      <c r="O78" s="16">
        <f>IF('WetLitterbags placem_collection'!G5="N.A","",'WetLitterbags placem_collection'!G5)</f>
        <v>0</v>
      </c>
      <c r="P78" s="195" t="str">
        <f>IF(IFERROR(INDEX('Both teabags AfterWet'!$C$3:$C$841,MATCH(H78,'Both teabags AfterWet'!$A$3:$A$841,0)),"")="N.A","",(IFERROR(INDEX('Both teabags AfterWet'!$C$3:$C$841,MATCH(H78,'Both teabags AfterWet'!$A$3:$A$841,0)),"")))</f>
        <v/>
      </c>
      <c r="Q78" s="195" t="str">
        <f>IFERROR(INDEX('Both teabags AfterWet'!$C$3:$C$841,MATCH(I78,'Both teabags AfterWet'!$A$3:$A$841,0)),"")</f>
        <v/>
      </c>
      <c r="R78" s="195" t="str">
        <f t="shared" si="3"/>
        <v/>
      </c>
      <c r="S78" s="195" t="str">
        <f t="shared" si="3"/>
        <v/>
      </c>
      <c r="T78" s="195" t="str">
        <f t="shared" si="4"/>
        <v/>
      </c>
      <c r="U78" s="195" t="str">
        <f t="shared" si="5"/>
        <v/>
      </c>
      <c r="V78" s="195" t="str">
        <f t="shared" si="6"/>
        <v/>
      </c>
      <c r="W78" t="str">
        <f t="shared" si="1"/>
        <v/>
      </c>
      <c r="X78" s="195" t="str">
        <f t="shared" si="7"/>
        <v/>
      </c>
      <c r="Y78" s="195" t="str">
        <f t="shared" si="8"/>
        <v/>
      </c>
      <c r="Z78" s="255" t="str">
        <f>IF(ISNUMBER(SEARCH("C",'WetLitterbags placem_collection'!W5)),"YES","NO")</f>
        <v>NO</v>
      </c>
      <c r="AA78" s="255" t="str">
        <f>IF(ISNUMBER(SEARCH("H", 'WetLitterbags placem_collection'!W5)),"YES","NO")</f>
        <v>NO</v>
      </c>
      <c r="AB78" s="255" t="str">
        <f>IF(ISNUMBER(SEARCH("R", 'WetLitterbags placem_collection'!W5)),"YES","NO")</f>
        <v>NO</v>
      </c>
      <c r="AC78" s="255" t="str">
        <f>IF(ISNUMBER(SEARCH("C", 'WetLitterbags placem_collection'!V5)),"YES","NO")</f>
        <v>NO</v>
      </c>
      <c r="AD78" s="255" t="str">
        <f>IF(ISNUMBER(SEARCH("H", 'WetLitterbags placem_collection'!V5)),"YES","NO")</f>
        <v>NO</v>
      </c>
      <c r="AE78" s="255" t="str">
        <f>IF(ISNUMBER(SEARCH("R", 'WetLitterbags placem_collection'!V5)),"YES","NO")</f>
        <v>NO</v>
      </c>
    </row>
    <row r="79" spans="2:41">
      <c r="B79" t="str">
        <f>'Final data_for_R_analysis_Wetse'!A5</f>
        <v>Wet</v>
      </c>
      <c r="C79" s="263">
        <f>'Final data_for_R_analysis_Wetse'!B5</f>
        <v>4</v>
      </c>
      <c r="D79" t="s">
        <v>3824</v>
      </c>
      <c r="E79" t="s">
        <v>22</v>
      </c>
      <c r="F79" s="387">
        <v>4</v>
      </c>
      <c r="G79" s="16">
        <f>'WetLitterbags placem_collection'!E6</f>
        <v>42766</v>
      </c>
      <c r="H79" t="str">
        <f>'Final data_for_R_analysis_Wetse'!J5</f>
        <v>G652</v>
      </c>
      <c r="I79" t="str">
        <f>'Final data_for_R_analysis_Wetse'!J225</f>
        <v>R115</v>
      </c>
      <c r="J79">
        <f>IFERROR(INDEX('Green_rooibos initial weight'!$C$5:$C$1749,MATCH(H79, 'Green_rooibos initial weight'!$A$5:$A$1749,0)),"")</f>
        <v>2.024</v>
      </c>
      <c r="K79">
        <f>IFERROR(INDEX('Green_rooibos initial weight'!$C$5:$C$1749,MATCH(I79, 'Green_rooibos initial weight'!$A$5:$A$1749,0)),"")</f>
        <v>2.3119999999999998</v>
      </c>
      <c r="L79" s="195">
        <f t="shared" si="2"/>
        <v>1.7742</v>
      </c>
      <c r="M79" s="195">
        <f>AVERAGE(Ashed_controlls!$K$2:$K$11)</f>
        <v>5.5147656768714146</v>
      </c>
      <c r="N79" s="195">
        <f t="shared" si="0"/>
        <v>2.0621999999999998</v>
      </c>
      <c r="O79" s="16">
        <f>IF('WetLitterbags placem_collection'!G6="N.A","",'WetLitterbags placem_collection'!G6)</f>
        <v>42818</v>
      </c>
      <c r="P79" s="195" t="str">
        <f>IF(IFERROR(INDEX('Both teabags AfterWet'!$C$3:$C$841,MATCH(H79,'Both teabags AfterWet'!$A$3:$A$841,0)),"")="N.A","",(IFERROR(INDEX('Both teabags AfterWet'!$C$3:$C$841,MATCH(H79,'Both teabags AfterWet'!$A$3:$A$841,0)),"")))</f>
        <v/>
      </c>
      <c r="Q79" s="195">
        <f>IFERROR(INDEX('Both teabags AfterWet'!$C$3:$C$841,MATCH(I79,'Both teabags AfterWet'!$A$3:$A$841,0)),"")</f>
        <v>1.4075</v>
      </c>
      <c r="R79" s="195" t="str">
        <f t="shared" si="3"/>
        <v/>
      </c>
      <c r="S79" s="195">
        <f t="shared" si="3"/>
        <v>1.2568999999999999</v>
      </c>
      <c r="T79" s="195" t="str">
        <f t="shared" si="4"/>
        <v/>
      </c>
      <c r="U79" s="195" t="str">
        <f t="shared" si="5"/>
        <v/>
      </c>
      <c r="V79" s="195">
        <f t="shared" si="6"/>
        <v>0.60949471438269809</v>
      </c>
      <c r="W79">
        <f t="shared" si="1"/>
        <v>52</v>
      </c>
      <c r="X79" s="195" t="str">
        <f t="shared" si="7"/>
        <v/>
      </c>
      <c r="Y79" s="195" t="str">
        <f t="shared" si="8"/>
        <v/>
      </c>
      <c r="Z79" s="255" t="str">
        <f>IF(ISNUMBER(SEARCH("C",'WetLitterbags placem_collection'!W6)),"YES","NO")</f>
        <v>NO</v>
      </c>
      <c r="AA79" s="255" t="str">
        <f>IF(ISNUMBER(SEARCH("H", 'WetLitterbags placem_collection'!W6)),"YES","NO")</f>
        <v>NO</v>
      </c>
      <c r="AB79" s="255" t="str">
        <f>IF(ISNUMBER(SEARCH("R", 'WetLitterbags placem_collection'!W6)),"YES","NO")</f>
        <v>YES</v>
      </c>
      <c r="AC79" s="255" t="str">
        <f>IF(ISNUMBER(SEARCH("C", 'WetLitterbags placem_collection'!V6)),"YES","NO")</f>
        <v>NO</v>
      </c>
      <c r="AD79" s="255" t="str">
        <f>IF(ISNUMBER(SEARCH("H", 'WetLitterbags placem_collection'!V6)),"YES","NO")</f>
        <v>NO</v>
      </c>
      <c r="AE79" s="255" t="str">
        <f>IF(ISNUMBER(SEARCH("R", 'WetLitterbags placem_collection'!V6)),"YES","NO")</f>
        <v>NO</v>
      </c>
    </row>
    <row r="80" spans="2:41">
      <c r="B80" t="str">
        <f>'Final data_for_R_analysis_Wetse'!A6</f>
        <v>Wet</v>
      </c>
      <c r="C80" s="263">
        <f>'Final data_for_R_analysis_Wetse'!B6</f>
        <v>5</v>
      </c>
      <c r="D80" t="s">
        <v>3824</v>
      </c>
      <c r="E80" t="s">
        <v>22</v>
      </c>
      <c r="F80" s="387">
        <v>5</v>
      </c>
      <c r="G80" s="16">
        <f>'WetLitterbags placem_collection'!E7</f>
        <v>42766</v>
      </c>
      <c r="H80" t="str">
        <f>'Final data_for_R_analysis_Wetse'!J6</f>
        <v>G497</v>
      </c>
      <c r="I80" t="str">
        <f>'Final data_for_R_analysis_Wetse'!J226</f>
        <v>R502</v>
      </c>
      <c r="J80">
        <f>IFERROR(INDEX('Green_rooibos initial weight'!$C$5:$C$1749,MATCH(H80, 'Green_rooibos initial weight'!$A$5:$A$1749,0)),"")</f>
        <v>2.0019999999999998</v>
      </c>
      <c r="K80">
        <f>IFERROR(INDEX('Green_rooibos initial weight'!$C$5:$C$1749,MATCH(I80, 'Green_rooibos initial weight'!$A$5:$A$1749,0)),"")</f>
        <v>2.1840000000000002</v>
      </c>
      <c r="L80" s="195">
        <f t="shared" si="2"/>
        <v>1.7521999999999998</v>
      </c>
      <c r="M80" s="195">
        <f>AVERAGE(Ashed_controlls!$K$2:$K$11)</f>
        <v>5.5147656768714146</v>
      </c>
      <c r="N80" s="195">
        <f t="shared" si="0"/>
        <v>1.9342000000000001</v>
      </c>
      <c r="O80" s="16">
        <f>IF('WetLitterbags placem_collection'!G7="N.A","",'WetLitterbags placem_collection'!G7)</f>
        <v>42818</v>
      </c>
      <c r="P80" s="195">
        <f>IF(IFERROR(INDEX('Both teabags AfterWet'!$C$3:$C$841,MATCH(H80,'Both teabags AfterWet'!$A$3:$A$841,0)),"")="N.A","",(IFERROR(INDEX('Both teabags AfterWet'!$C$3:$C$841,MATCH(H80,'Both teabags AfterWet'!$A$3:$A$841,0)),"")))</f>
        <v>0.46</v>
      </c>
      <c r="Q80" s="195">
        <f>IFERROR(INDEX('Both teabags AfterWet'!$C$3:$C$841,MATCH(I80,'Both teabags AfterWet'!$A$3:$A$841,0)),"")</f>
        <v>1.3823000000000001</v>
      </c>
      <c r="R80" s="195">
        <f t="shared" si="3"/>
        <v>0.30940000000000001</v>
      </c>
      <c r="S80" s="195">
        <f t="shared" si="3"/>
        <v>1.2317</v>
      </c>
      <c r="T80" s="195">
        <f t="shared" si="4"/>
        <v>0.82342198379180453</v>
      </c>
      <c r="U80" s="195">
        <f t="shared" si="5"/>
        <v>0.53982058794902155</v>
      </c>
      <c r="V80" s="195">
        <f t="shared" si="6"/>
        <v>0.63680074449384749</v>
      </c>
      <c r="W80">
        <f t="shared" si="1"/>
        <v>52</v>
      </c>
      <c r="X80" s="195">
        <f t="shared" si="7"/>
        <v>2.2064152266265347E-2</v>
      </c>
      <c r="Y80" s="195">
        <f t="shared" si="8"/>
        <v>2.1485168532299852E-2</v>
      </c>
      <c r="Z80" s="255" t="str">
        <f>IF(ISNUMBER(SEARCH("C",'WetLitterbags placem_collection'!W7)),"YES","NO")</f>
        <v>NO</v>
      </c>
      <c r="AA80" s="255" t="str">
        <f>IF(ISNUMBER(SEARCH("H", 'WetLitterbags placem_collection'!W7)),"YES","NO")</f>
        <v>NO</v>
      </c>
      <c r="AB80" s="255" t="str">
        <f>IF(ISNUMBER(SEARCH("R", 'WetLitterbags placem_collection'!W7)),"YES","NO")</f>
        <v>NO</v>
      </c>
      <c r="AC80" s="255" t="str">
        <f>IF(ISNUMBER(SEARCH("C", 'WetLitterbags placem_collection'!V7)),"YES","NO")</f>
        <v>NO</v>
      </c>
      <c r="AD80" s="255" t="str">
        <f>IF(ISNUMBER(SEARCH("H", 'WetLitterbags placem_collection'!V7)),"YES","NO")</f>
        <v>NO</v>
      </c>
      <c r="AE80" s="255" t="str">
        <f>IF(ISNUMBER(SEARCH("R", 'WetLitterbags placem_collection'!V7)),"YES","NO")</f>
        <v>NO</v>
      </c>
    </row>
    <row r="81" spans="2:31">
      <c r="B81" t="str">
        <f>'Final data_for_R_analysis_Wetse'!A7</f>
        <v>Wet</v>
      </c>
      <c r="C81" s="263">
        <f>'Final data_for_R_analysis_Wetse'!B7</f>
        <v>6</v>
      </c>
      <c r="D81" t="s">
        <v>3824</v>
      </c>
      <c r="E81" t="s">
        <v>22</v>
      </c>
      <c r="F81" s="387">
        <v>6</v>
      </c>
      <c r="G81" s="16">
        <f>'WetLitterbags placem_collection'!E8</f>
        <v>42766</v>
      </c>
      <c r="H81" t="str">
        <f>'Final data_for_R_analysis_Wetse'!J7</f>
        <v>G447</v>
      </c>
      <c r="I81" t="str">
        <f>'Final data_for_R_analysis_Wetse'!J227</f>
        <v>R177</v>
      </c>
      <c r="J81">
        <f>IFERROR(INDEX('Green_rooibos initial weight'!$C$5:$C$1749,MATCH(H81, 'Green_rooibos initial weight'!$A$5:$A$1749,0)),"")</f>
        <v>2.0579999999999998</v>
      </c>
      <c r="K81">
        <f>IFERROR(INDEX('Green_rooibos initial weight'!$C$5:$C$1749,MATCH(I81, 'Green_rooibos initial weight'!$A$5:$A$1749,0)),"")</f>
        <v>2.153</v>
      </c>
      <c r="L81" s="195">
        <f t="shared" si="2"/>
        <v>1.8081999999999998</v>
      </c>
      <c r="M81" s="195">
        <f>AVERAGE(Ashed_controlls!$K$2:$K$11)</f>
        <v>5.5147656768714146</v>
      </c>
      <c r="N81" s="195">
        <f t="shared" si="0"/>
        <v>1.9032</v>
      </c>
      <c r="O81" s="16">
        <f>IF('WetLitterbags placem_collection'!G8="N.A","",'WetLitterbags placem_collection'!G8)</f>
        <v>42818</v>
      </c>
      <c r="P81" s="195">
        <f>IF(IFERROR(INDEX('Both teabags AfterWet'!$C$3:$C$841,MATCH(H81,'Both teabags AfterWet'!$A$3:$A$841,0)),"")="N.A","",(IFERROR(INDEX('Both teabags AfterWet'!$C$3:$C$841,MATCH(H81,'Both teabags AfterWet'!$A$3:$A$841,0)),"")))</f>
        <v>0.67749999999999999</v>
      </c>
      <c r="Q81" s="195">
        <f>IFERROR(INDEX('Both teabags AfterWet'!$C$3:$C$841,MATCH(I81,'Both teabags AfterWet'!$A$3:$A$841,0)),"")</f>
        <v>1.4271</v>
      </c>
      <c r="R81" s="195">
        <f t="shared" si="3"/>
        <v>0.52689999999999992</v>
      </c>
      <c r="S81" s="195">
        <f t="shared" si="3"/>
        <v>1.2765</v>
      </c>
      <c r="T81" s="195">
        <f t="shared" si="4"/>
        <v>0.70860524278287795</v>
      </c>
      <c r="U81" s="195">
        <f t="shared" si="5"/>
        <v>0.46454880524483216</v>
      </c>
      <c r="V81" s="195">
        <f t="shared" si="6"/>
        <v>0.67071248423707441</v>
      </c>
      <c r="W81">
        <f t="shared" si="1"/>
        <v>52</v>
      </c>
      <c r="X81" s="195">
        <f t="shared" si="7"/>
        <v>0.15842607745501425</v>
      </c>
      <c r="Y81" s="195">
        <f t="shared" si="8"/>
        <v>2.3728043034048699E-2</v>
      </c>
      <c r="Z81" s="255" t="str">
        <f>IF(ISNUMBER(SEARCH("C",'WetLitterbags placem_collection'!W8)),"YES","NO")</f>
        <v>NO</v>
      </c>
      <c r="AA81" s="255" t="str">
        <f>IF(ISNUMBER(SEARCH("H", 'WetLitterbags placem_collection'!W8)),"YES","NO")</f>
        <v>NO</v>
      </c>
      <c r="AB81" s="255" t="str">
        <f>IF(ISNUMBER(SEARCH("R", 'WetLitterbags placem_collection'!W8)),"YES","NO")</f>
        <v>YES</v>
      </c>
      <c r="AC81" s="255" t="str">
        <f>IF(ISNUMBER(SEARCH("C", 'WetLitterbags placem_collection'!V8)),"YES","NO")</f>
        <v>NO</v>
      </c>
      <c r="AD81" s="255" t="str">
        <f>IF(ISNUMBER(SEARCH("H", 'WetLitterbags placem_collection'!V8)),"YES","NO")</f>
        <v>NO</v>
      </c>
      <c r="AE81" s="255" t="str">
        <f>IF(ISNUMBER(SEARCH("R", 'WetLitterbags placem_collection'!V8)),"YES","NO")</f>
        <v>NO</v>
      </c>
    </row>
    <row r="82" spans="2:31">
      <c r="B82" t="str">
        <f>'Final data_for_R_analysis_Wetse'!A8</f>
        <v>Wet</v>
      </c>
      <c r="C82" s="263">
        <f>'Final data_for_R_analysis_Wetse'!B8</f>
        <v>7</v>
      </c>
      <c r="D82" t="s">
        <v>3824</v>
      </c>
      <c r="E82" t="s">
        <v>22</v>
      </c>
      <c r="F82" s="387">
        <v>7</v>
      </c>
      <c r="G82" s="16">
        <f>'WetLitterbags placem_collection'!E9</f>
        <v>42766</v>
      </c>
      <c r="H82" t="str">
        <f>'Final data_for_R_analysis_Wetse'!J8</f>
        <v>G452</v>
      </c>
      <c r="I82" t="str">
        <f>'Final data_for_R_analysis_Wetse'!J228</f>
        <v>R531</v>
      </c>
      <c r="J82">
        <f>IFERROR(INDEX('Green_rooibos initial weight'!$C$5:$C$1749,MATCH(H82, 'Green_rooibos initial weight'!$A$5:$A$1749,0)),"")</f>
        <v>2.0550000000000002</v>
      </c>
      <c r="K82">
        <f>IFERROR(INDEX('Green_rooibos initial weight'!$C$5:$C$1749,MATCH(I82, 'Green_rooibos initial weight'!$A$5:$A$1749,0)),"")</f>
        <v>2.101</v>
      </c>
      <c r="L82" s="195">
        <f t="shared" si="2"/>
        <v>1.8052000000000001</v>
      </c>
      <c r="M82" s="195">
        <f>AVERAGE(Ashed_controlls!$K$2:$K$11)</f>
        <v>5.5147656768714146</v>
      </c>
      <c r="N82" s="195">
        <f t="shared" si="0"/>
        <v>1.8512</v>
      </c>
      <c r="O82" s="16">
        <f>IF('WetLitterbags placem_collection'!G9="N.A","",'WetLitterbags placem_collection'!G9)</f>
        <v>42818</v>
      </c>
      <c r="P82" s="195">
        <f>IF(IFERROR(INDEX('Both teabags AfterWet'!$C$3:$C$841,MATCH(H82,'Both teabags AfterWet'!$A$3:$A$841,0)),"")="N.A","",(IFERROR(INDEX('Both teabags AfterWet'!$C$3:$C$841,MATCH(H82,'Both teabags AfterWet'!$A$3:$A$841,0)),"")))</f>
        <v>0.67900000000000005</v>
      </c>
      <c r="Q82" s="195">
        <f>IFERROR(INDEX('Both teabags AfterWet'!$C$3:$C$841,MATCH(I82,'Both teabags AfterWet'!$A$3:$A$841,0)),"")</f>
        <v>1.4430000000000001</v>
      </c>
      <c r="R82" s="195">
        <f t="shared" si="3"/>
        <v>0.52839999999999998</v>
      </c>
      <c r="S82" s="195">
        <f t="shared" si="3"/>
        <v>1.2924</v>
      </c>
      <c r="T82" s="195">
        <f t="shared" si="4"/>
        <v>0.7072900509638822</v>
      </c>
      <c r="U82" s="195">
        <f t="shared" si="5"/>
        <v>0.46368658923047862</v>
      </c>
      <c r="V82" s="195">
        <f t="shared" si="6"/>
        <v>0.69814174589455491</v>
      </c>
      <c r="W82">
        <f t="shared" si="1"/>
        <v>52</v>
      </c>
      <c r="X82" s="195">
        <f t="shared" si="7"/>
        <v>0.1599880629882634</v>
      </c>
      <c r="Y82" s="195">
        <f t="shared" si="8"/>
        <v>2.0243706847798783E-2</v>
      </c>
      <c r="Z82" s="255" t="str">
        <f>IF(ISNUMBER(SEARCH("C",'WetLitterbags placem_collection'!W9)),"YES","NO")</f>
        <v>NO</v>
      </c>
      <c r="AA82" s="255" t="str">
        <f>IF(ISNUMBER(SEARCH("H", 'WetLitterbags placem_collection'!W9)),"YES","NO")</f>
        <v>NO</v>
      </c>
      <c r="AB82" s="255" t="str">
        <f>IF(ISNUMBER(SEARCH("R", 'WetLitterbags placem_collection'!W9)),"YES","NO")</f>
        <v>NO</v>
      </c>
      <c r="AC82" s="255" t="str">
        <f>IF(ISNUMBER(SEARCH("C", 'WetLitterbags placem_collection'!V9)),"YES","NO")</f>
        <v>NO</v>
      </c>
      <c r="AD82" s="255" t="str">
        <f>IF(ISNUMBER(SEARCH("H", 'WetLitterbags placem_collection'!V9)),"YES","NO")</f>
        <v>NO</v>
      </c>
      <c r="AE82" s="255" t="str">
        <f>IF(ISNUMBER(SEARCH("R", 'WetLitterbags placem_collection'!V9)),"YES","NO")</f>
        <v>NO</v>
      </c>
    </row>
    <row r="83" spans="2:31">
      <c r="B83" t="str">
        <f>'Final data_for_R_analysis_Wetse'!A9</f>
        <v>Wet</v>
      </c>
      <c r="C83" s="263">
        <f>'Final data_for_R_analysis_Wetse'!B9</f>
        <v>8</v>
      </c>
      <c r="D83" t="s">
        <v>3824</v>
      </c>
      <c r="E83" t="s">
        <v>22</v>
      </c>
      <c r="F83" s="387">
        <v>8</v>
      </c>
      <c r="G83" s="16">
        <f>'WetLitterbags placem_collection'!E10</f>
        <v>42766</v>
      </c>
      <c r="H83" t="str">
        <f>'Final data_for_R_analysis_Wetse'!J9</f>
        <v>G389</v>
      </c>
      <c r="I83" t="str">
        <f>'Final data_for_R_analysis_Wetse'!J229</f>
        <v>R406</v>
      </c>
      <c r="J83">
        <f>IFERROR(INDEX('Green_rooibos initial weight'!$C$5:$C$1749,MATCH(H83, 'Green_rooibos initial weight'!$A$5:$A$1749,0)),"")</f>
        <v>1.9710000000000001</v>
      </c>
      <c r="K83">
        <f>IFERROR(INDEX('Green_rooibos initial weight'!$C$5:$C$1749,MATCH(I83, 'Green_rooibos initial weight'!$A$5:$A$1749,0)),"")</f>
        <v>2.1739999999999999</v>
      </c>
      <c r="L83" s="195">
        <f t="shared" si="2"/>
        <v>1.7212000000000001</v>
      </c>
      <c r="M83" s="195">
        <f>AVERAGE(Ashed_controlls!$K$2:$K$11)</f>
        <v>5.5147656768714146</v>
      </c>
      <c r="N83" s="195">
        <f t="shared" si="0"/>
        <v>1.9241999999999999</v>
      </c>
      <c r="O83" s="16">
        <f>IF('WetLitterbags placem_collection'!G10="N.A","",'WetLitterbags placem_collection'!G10)</f>
        <v>42818</v>
      </c>
      <c r="P83" s="195">
        <f>IF(IFERROR(INDEX('Both teabags AfterWet'!$C$3:$C$841,MATCH(H83,'Both teabags AfterWet'!$A$3:$A$841,0)),"")="N.A","",(IFERROR(INDEX('Both teabags AfterWet'!$C$3:$C$841,MATCH(H83,'Both teabags AfterWet'!$A$3:$A$841,0)),"")))</f>
        <v>0.61950000000000005</v>
      </c>
      <c r="Q83" s="195">
        <f>IFERROR(INDEX('Both teabags AfterWet'!$C$3:$C$841,MATCH(I83,'Both teabags AfterWet'!$A$3:$A$841,0)),"")</f>
        <v>1.4278999999999999</v>
      </c>
      <c r="R83" s="195">
        <f t="shared" si="3"/>
        <v>0.46890000000000004</v>
      </c>
      <c r="S83" s="195">
        <f t="shared" si="3"/>
        <v>1.2772999999999999</v>
      </c>
      <c r="T83" s="195">
        <f t="shared" si="4"/>
        <v>0.72757378573088549</v>
      </c>
      <c r="U83" s="195">
        <f t="shared" si="5"/>
        <v>0.47698423957654257</v>
      </c>
      <c r="V83" s="195">
        <f t="shared" si="6"/>
        <v>0.66380833593181576</v>
      </c>
      <c r="W83">
        <f t="shared" si="1"/>
        <v>52</v>
      </c>
      <c r="X83" s="195">
        <f t="shared" si="7"/>
        <v>0.13589811670916208</v>
      </c>
      <c r="Y83" s="195">
        <f t="shared" si="8"/>
        <v>2.3465302654871581E-2</v>
      </c>
      <c r="Z83" s="255" t="str">
        <f>IF(ISNUMBER(SEARCH("C",'WetLitterbags placem_collection'!W10)),"YES","NO")</f>
        <v>NO</v>
      </c>
      <c r="AA83" s="255" t="str">
        <f>IF(ISNUMBER(SEARCH("H", 'WetLitterbags placem_collection'!W10)),"YES","NO")</f>
        <v>NO</v>
      </c>
      <c r="AB83" s="255" t="str">
        <f>IF(ISNUMBER(SEARCH("R", 'WetLitterbags placem_collection'!W10)),"YES","NO")</f>
        <v>YES</v>
      </c>
      <c r="AC83" s="255" t="str">
        <f>IF(ISNUMBER(SEARCH("C", 'WetLitterbags placem_collection'!V10)),"YES","NO")</f>
        <v>NO</v>
      </c>
      <c r="AD83" s="255" t="str">
        <f>IF(ISNUMBER(SEARCH("H", 'WetLitterbags placem_collection'!V10)),"YES","NO")</f>
        <v>YES</v>
      </c>
      <c r="AE83" s="255" t="str">
        <f>IF(ISNUMBER(SEARCH("R", 'WetLitterbags placem_collection'!V10)),"YES","NO")</f>
        <v>NO</v>
      </c>
    </row>
    <row r="84" spans="2:31">
      <c r="B84" t="str">
        <f>'Final data_for_R_analysis_Wetse'!A10</f>
        <v>Wet</v>
      </c>
      <c r="C84" s="263">
        <f>'Final data_for_R_analysis_Wetse'!B10</f>
        <v>9</v>
      </c>
      <c r="D84" t="s">
        <v>3828</v>
      </c>
      <c r="E84" t="s">
        <v>22</v>
      </c>
      <c r="F84" s="386">
        <v>1</v>
      </c>
      <c r="G84" s="16">
        <f>'WetLitterbags placem_collection'!E11</f>
        <v>42766</v>
      </c>
      <c r="H84" t="str">
        <f>'Final data_for_R_analysis_Wetse'!J10</f>
        <v>G514</v>
      </c>
      <c r="I84" t="str">
        <f>'Final data_for_R_analysis_Wetse'!J230</f>
        <v>R169</v>
      </c>
      <c r="J84">
        <f>IFERROR(INDEX('Green_rooibos initial weight'!$C$5:$C$1749,MATCH(H84, 'Green_rooibos initial weight'!$A$5:$A$1749,0)),"")</f>
        <v>1.9350000000000001</v>
      </c>
      <c r="K84">
        <f>IFERROR(INDEX('Green_rooibos initial weight'!$C$5:$C$1749,MATCH(I84, 'Green_rooibos initial weight'!$A$5:$A$1749,0)),"")</f>
        <v>2.2010000000000001</v>
      </c>
      <c r="L84" s="195">
        <f t="shared" si="2"/>
        <v>1.6852</v>
      </c>
      <c r="M84" s="195">
        <f>AVERAGE(Ashed_controlls!$K$2:$K$11)</f>
        <v>5.5147656768714146</v>
      </c>
      <c r="N84" s="195">
        <f t="shared" si="0"/>
        <v>1.9512</v>
      </c>
      <c r="O84" s="16">
        <f>IF('WetLitterbags placem_collection'!G11="N.A","",'WetLitterbags placem_collection'!G11)</f>
        <v>42818</v>
      </c>
      <c r="P84" s="195" t="str">
        <f>IF(IFERROR(INDEX('Both teabags AfterWet'!$C$3:$C$841,MATCH(H84,'Both teabags AfterWet'!$A$3:$A$841,0)),"")="N.A","",(IFERROR(INDEX('Both teabags AfterWet'!$C$3:$C$841,MATCH(H84,'Both teabags AfterWet'!$A$3:$A$841,0)),"")))</f>
        <v/>
      </c>
      <c r="Q84" s="195">
        <f>IFERROR(INDEX('Both teabags AfterWet'!$C$3:$C$841,MATCH(I84,'Both teabags AfterWet'!$A$3:$A$841,0)),"")</f>
        <v>2.8336999999999999</v>
      </c>
      <c r="R84" s="195" t="str">
        <f t="shared" si="3"/>
        <v/>
      </c>
      <c r="S84" s="195">
        <f t="shared" si="3"/>
        <v>2.6831</v>
      </c>
      <c r="T84" s="195" t="str">
        <f t="shared" si="4"/>
        <v/>
      </c>
      <c r="U84" s="195" t="str">
        <f t="shared" si="5"/>
        <v/>
      </c>
      <c r="V84" s="195">
        <f t="shared" si="6"/>
        <v>1.3751025010250102</v>
      </c>
      <c r="W84">
        <f t="shared" si="1"/>
        <v>52</v>
      </c>
      <c r="X84" s="195" t="str">
        <f t="shared" si="7"/>
        <v/>
      </c>
      <c r="Y84" s="195" t="str">
        <f t="shared" si="8"/>
        <v/>
      </c>
      <c r="Z84" s="255" t="str">
        <f>IF(ISNUMBER(SEARCH("C",'WetLitterbags placem_collection'!W11)),"YES","NO")</f>
        <v>YES</v>
      </c>
      <c r="AA84" s="255" t="str">
        <f>IF(ISNUMBER(SEARCH("H", 'WetLitterbags placem_collection'!W11)),"YES","NO")</f>
        <v>YES</v>
      </c>
      <c r="AB84" s="255" t="str">
        <f>IF(ISNUMBER(SEARCH("R", 'WetLitterbags placem_collection'!W11)),"YES","NO")</f>
        <v>NO</v>
      </c>
      <c r="AC84" s="255" t="str">
        <f>IF(ISNUMBER(SEARCH("C", 'WetLitterbags placem_collection'!V11)),"YES","NO")</f>
        <v>NO</v>
      </c>
      <c r="AD84" s="255" t="str">
        <f>IF(ISNUMBER(SEARCH("H", 'WetLitterbags placem_collection'!V11)),"YES","NO")</f>
        <v>NO</v>
      </c>
      <c r="AE84" s="255" t="str">
        <f>IF(ISNUMBER(SEARCH("R", 'WetLitterbags placem_collection'!V11)),"YES","NO")</f>
        <v>YES</v>
      </c>
    </row>
    <row r="85" spans="2:31">
      <c r="B85" t="str">
        <f>'Final data_for_R_analysis_Wetse'!A11</f>
        <v>Wet</v>
      </c>
      <c r="C85" s="263">
        <f>'Final data_for_R_analysis_Wetse'!B11</f>
        <v>10</v>
      </c>
      <c r="D85" t="s">
        <v>3828</v>
      </c>
      <c r="E85" t="s">
        <v>22</v>
      </c>
      <c r="F85" s="386">
        <v>2</v>
      </c>
      <c r="G85" s="16">
        <f>'WetLitterbags placem_collection'!E12</f>
        <v>42766</v>
      </c>
      <c r="H85" t="str">
        <f>'Final data_for_R_analysis_Wetse'!J11</f>
        <v>G286</v>
      </c>
      <c r="I85" t="str">
        <f>'Final data_for_R_analysis_Wetse'!J231</f>
        <v>R91</v>
      </c>
      <c r="J85">
        <f>IFERROR(INDEX('Green_rooibos initial weight'!$C$5:$C$1749,MATCH(H85, 'Green_rooibos initial weight'!$A$5:$A$1749,0)),"")</f>
        <v>2.0710000000000002</v>
      </c>
      <c r="K85">
        <f>IFERROR(INDEX('Green_rooibos initial weight'!$C$5:$C$1749,MATCH(I85, 'Green_rooibos initial weight'!$A$5:$A$1749,0)),"")</f>
        <v>2.133</v>
      </c>
      <c r="L85" s="195">
        <f t="shared" si="2"/>
        <v>1.8212000000000002</v>
      </c>
      <c r="M85" s="195">
        <f>AVERAGE(Ashed_controlls!$K$2:$K$11)</f>
        <v>5.5147656768714146</v>
      </c>
      <c r="N85" s="195">
        <f t="shared" si="0"/>
        <v>1.8832</v>
      </c>
      <c r="O85" s="16">
        <f>IF('WetLitterbags placem_collection'!G12="N.A","",'WetLitterbags placem_collection'!G12)</f>
        <v>42818</v>
      </c>
      <c r="P85" s="195">
        <f>IF(IFERROR(INDEX('Both teabags AfterWet'!$C$3:$C$841,MATCH(H85,'Both teabags AfterWet'!$A$3:$A$841,0)),"")="N.A","",(IFERROR(INDEX('Both teabags AfterWet'!$C$3:$C$841,MATCH(H85,'Both teabags AfterWet'!$A$3:$A$841,0)),"")))</f>
        <v>0.80200000000000005</v>
      </c>
      <c r="Q85" s="195">
        <f>IFERROR(INDEX('Both teabags AfterWet'!$C$3:$C$841,MATCH(I85,'Both teabags AfterWet'!$A$3:$A$841,0)),"")</f>
        <v>1.3628</v>
      </c>
      <c r="R85" s="195">
        <f t="shared" si="3"/>
        <v>0.65139999999999998</v>
      </c>
      <c r="S85" s="195">
        <f t="shared" si="3"/>
        <v>1.2121999999999999</v>
      </c>
      <c r="T85" s="195">
        <f t="shared" si="4"/>
        <v>0.64232374258730518</v>
      </c>
      <c r="U85" s="195">
        <f t="shared" si="5"/>
        <v>0.42109585024725954</v>
      </c>
      <c r="V85" s="195">
        <f t="shared" si="6"/>
        <v>0.64369158878504673</v>
      </c>
      <c r="W85">
        <f t="shared" si="1"/>
        <v>52</v>
      </c>
      <c r="X85" s="195">
        <f t="shared" si="7"/>
        <v>0.23714519882742846</v>
      </c>
      <c r="Y85" s="195">
        <f t="shared" si="8"/>
        <v>3.5995168040208123E-2</v>
      </c>
      <c r="Z85" s="255" t="str">
        <f>IF(ISNUMBER(SEARCH("C",'WetLitterbags placem_collection'!W12)),"YES","NO")</f>
        <v>NO</v>
      </c>
      <c r="AA85" s="255" t="str">
        <f>IF(ISNUMBER(SEARCH("H", 'WetLitterbags placem_collection'!W12)),"YES","NO")</f>
        <v>NO</v>
      </c>
      <c r="AB85" s="255" t="str">
        <f>IF(ISNUMBER(SEARCH("R", 'WetLitterbags placem_collection'!W12)),"YES","NO")</f>
        <v>NO</v>
      </c>
      <c r="AC85" s="255" t="str">
        <f>IF(ISNUMBER(SEARCH("C", 'WetLitterbags placem_collection'!V12)),"YES","NO")</f>
        <v>NO</v>
      </c>
      <c r="AD85" s="255" t="str">
        <f>IF(ISNUMBER(SEARCH("H", 'WetLitterbags placem_collection'!V12)),"YES","NO")</f>
        <v>NO</v>
      </c>
      <c r="AE85" s="255" t="str">
        <f>IF(ISNUMBER(SEARCH("R", 'WetLitterbags placem_collection'!V12)),"YES","NO")</f>
        <v>NO</v>
      </c>
    </row>
    <row r="86" spans="2:31">
      <c r="B86" t="str">
        <f>'Final data_for_R_analysis_Wetse'!A12</f>
        <v>Wet</v>
      </c>
      <c r="C86" s="263">
        <f>'Final data_for_R_analysis_Wetse'!B12</f>
        <v>11</v>
      </c>
      <c r="D86" t="s">
        <v>3828</v>
      </c>
      <c r="E86" t="s">
        <v>22</v>
      </c>
      <c r="F86" s="386">
        <v>3</v>
      </c>
      <c r="G86" s="16">
        <f>'WetLitterbags placem_collection'!E13</f>
        <v>42766</v>
      </c>
      <c r="H86" t="str">
        <f>'Final data_for_R_analysis_Wetse'!J12</f>
        <v>G543</v>
      </c>
      <c r="I86" t="str">
        <f>'Final data_for_R_analysis_Wetse'!J232</f>
        <v>R446</v>
      </c>
      <c r="J86">
        <f>IFERROR(INDEX('Green_rooibos initial weight'!$C$5:$C$1749,MATCH(H86, 'Green_rooibos initial weight'!$A$5:$A$1749,0)),"")</f>
        <v>2.0920000000000001</v>
      </c>
      <c r="K86">
        <f>IFERROR(INDEX('Green_rooibos initial weight'!$C$5:$C$1749,MATCH(I86, 'Green_rooibos initial weight'!$A$5:$A$1749,0)),"")</f>
        <v>2.2679999999999998</v>
      </c>
      <c r="L86" s="195">
        <f t="shared" si="2"/>
        <v>1.8422000000000001</v>
      </c>
      <c r="M86" s="195">
        <f>AVERAGE(Ashed_controlls!$K$2:$K$11)</f>
        <v>5.5147656768714146</v>
      </c>
      <c r="N86" s="195">
        <f t="shared" si="0"/>
        <v>2.0181999999999998</v>
      </c>
      <c r="O86" s="16">
        <f>IF('WetLitterbags placem_collection'!G13="N.A","",'WetLitterbags placem_collection'!G13)</f>
        <v>42818</v>
      </c>
      <c r="P86" s="195">
        <f>IF(IFERROR(INDEX('Both teabags AfterWet'!$C$3:$C$841,MATCH(H86,'Both teabags AfterWet'!$A$3:$A$841,0)),"")="N.A","",(IFERROR(INDEX('Both teabags AfterWet'!$C$3:$C$841,MATCH(H86,'Both teabags AfterWet'!$A$3:$A$841,0)),"")))</f>
        <v>0.71650000000000003</v>
      </c>
      <c r="Q86" s="195">
        <f>IFERROR(INDEX('Both teabags AfterWet'!$C$3:$C$841,MATCH(I86,'Both teabags AfterWet'!$A$3:$A$841,0)),"")</f>
        <v>1.4224000000000001</v>
      </c>
      <c r="R86" s="195">
        <f t="shared" si="3"/>
        <v>0.56590000000000007</v>
      </c>
      <c r="S86" s="195">
        <f t="shared" si="3"/>
        <v>1.2718</v>
      </c>
      <c r="T86" s="195">
        <f t="shared" si="4"/>
        <v>0.69281294104874602</v>
      </c>
      <c r="U86" s="195">
        <f t="shared" si="5"/>
        <v>0.45419565731461736</v>
      </c>
      <c r="V86" s="195">
        <f t="shared" si="6"/>
        <v>0.63016549400455857</v>
      </c>
      <c r="W86">
        <f t="shared" si="1"/>
        <v>52</v>
      </c>
      <c r="X86" s="195">
        <f t="shared" si="7"/>
        <v>0.17718178022714248</v>
      </c>
      <c r="Y86" s="195">
        <f t="shared" si="8"/>
        <v>3.2373482023911687E-2</v>
      </c>
      <c r="Z86" s="255" t="str">
        <f>IF(ISNUMBER(SEARCH("C",'WetLitterbags placem_collection'!W13)),"YES","NO")</f>
        <v>NO</v>
      </c>
      <c r="AA86" s="255" t="str">
        <f>IF(ISNUMBER(SEARCH("H", 'WetLitterbags placem_collection'!W13)),"YES","NO")</f>
        <v>NO</v>
      </c>
      <c r="AB86" s="255" t="str">
        <f>IF(ISNUMBER(SEARCH("R", 'WetLitterbags placem_collection'!W13)),"YES","NO")</f>
        <v>NO</v>
      </c>
      <c r="AC86" s="255" t="str">
        <f>IF(ISNUMBER(SEARCH("C", 'WetLitterbags placem_collection'!V13)),"YES","NO")</f>
        <v>NO</v>
      </c>
      <c r="AD86" s="255" t="str">
        <f>IF(ISNUMBER(SEARCH("H", 'WetLitterbags placem_collection'!V13)),"YES","NO")</f>
        <v>NO</v>
      </c>
      <c r="AE86" s="255" t="str">
        <f>IF(ISNUMBER(SEARCH("R", 'WetLitterbags placem_collection'!V13)),"YES","NO")</f>
        <v>YES</v>
      </c>
    </row>
    <row r="87" spans="2:31">
      <c r="B87" t="str">
        <f>'Final data_for_R_analysis_Wetse'!A13</f>
        <v>Wet</v>
      </c>
      <c r="C87" s="263">
        <f>'Final data_for_R_analysis_Wetse'!B13</f>
        <v>12</v>
      </c>
      <c r="D87" t="s">
        <v>3828</v>
      </c>
      <c r="E87" t="s">
        <v>22</v>
      </c>
      <c r="F87" s="387">
        <v>4</v>
      </c>
      <c r="G87" s="16">
        <f>'WetLitterbags placem_collection'!E14</f>
        <v>42766</v>
      </c>
      <c r="H87" t="str">
        <f>'Final data_for_R_analysis_Wetse'!J13</f>
        <v>G590</v>
      </c>
      <c r="I87" t="str">
        <f>'Final data_for_R_analysis_Wetse'!J233</f>
        <v>R409</v>
      </c>
      <c r="J87">
        <f>IFERROR(INDEX('Green_rooibos initial weight'!$C$5:$C$1749,MATCH(H87, 'Green_rooibos initial weight'!$A$5:$A$1749,0)),"")</f>
        <v>2.0830000000000002</v>
      </c>
      <c r="K87">
        <f>IFERROR(INDEX('Green_rooibos initial weight'!$C$5:$C$1749,MATCH(I87, 'Green_rooibos initial weight'!$A$5:$A$1749,0)),"")</f>
        <v>2.2000000000000002</v>
      </c>
      <c r="L87" s="195">
        <f t="shared" si="2"/>
        <v>1.8332000000000002</v>
      </c>
      <c r="M87" s="195">
        <f>AVERAGE(Ashed_controlls!$K$2:$K$11)</f>
        <v>5.5147656768714146</v>
      </c>
      <c r="N87" s="195">
        <f t="shared" si="0"/>
        <v>1.9502000000000002</v>
      </c>
      <c r="O87" s="16">
        <f>IF('WetLitterbags placem_collection'!G14="N.A","",'WetLitterbags placem_collection'!G14)</f>
        <v>0</v>
      </c>
      <c r="P87" s="195" t="str">
        <f>IF(IFERROR(INDEX('Both teabags AfterWet'!$C$3:$C$841,MATCH(H87,'Both teabags AfterWet'!$A$3:$A$841,0)),"")="N.A","",(IFERROR(INDEX('Both teabags AfterWet'!$C$3:$C$841,MATCH(H87,'Both teabags AfterWet'!$A$3:$A$841,0)),"")))</f>
        <v/>
      </c>
      <c r="Q87" s="195" t="str">
        <f>IFERROR(INDEX('Both teabags AfterWet'!$C$3:$C$841,MATCH(I87,'Both teabags AfterWet'!$A$3:$A$841,0)),"")</f>
        <v/>
      </c>
      <c r="R87" s="195" t="str">
        <f t="shared" si="3"/>
        <v/>
      </c>
      <c r="S87" s="195" t="str">
        <f t="shared" si="3"/>
        <v/>
      </c>
      <c r="T87" s="195" t="str">
        <f t="shared" si="4"/>
        <v/>
      </c>
      <c r="U87" s="195" t="str">
        <f t="shared" si="5"/>
        <v/>
      </c>
      <c r="V87" s="195" t="str">
        <f t="shared" si="6"/>
        <v/>
      </c>
      <c r="W87" t="str">
        <f t="shared" si="1"/>
        <v/>
      </c>
      <c r="X87" s="195" t="str">
        <f t="shared" si="7"/>
        <v/>
      </c>
      <c r="Y87" s="195" t="str">
        <f t="shared" si="8"/>
        <v/>
      </c>
      <c r="Z87" s="255" t="str">
        <f>IF(ISNUMBER(SEARCH("C",'WetLitterbags placem_collection'!W14)),"YES","NO")</f>
        <v>NO</v>
      </c>
      <c r="AA87" s="255" t="str">
        <f>IF(ISNUMBER(SEARCH("H", 'WetLitterbags placem_collection'!W14)),"YES","NO")</f>
        <v>NO</v>
      </c>
      <c r="AB87" s="255" t="str">
        <f>IF(ISNUMBER(SEARCH("R", 'WetLitterbags placem_collection'!W14)),"YES","NO")</f>
        <v>NO</v>
      </c>
      <c r="AC87" s="255" t="str">
        <f>IF(ISNUMBER(SEARCH("C", 'WetLitterbags placem_collection'!V14)),"YES","NO")</f>
        <v>NO</v>
      </c>
      <c r="AD87" s="255" t="str">
        <f>IF(ISNUMBER(SEARCH("H", 'WetLitterbags placem_collection'!V14)),"YES","NO")</f>
        <v>NO</v>
      </c>
      <c r="AE87" s="255" t="str">
        <f>IF(ISNUMBER(SEARCH("R", 'WetLitterbags placem_collection'!V14)),"YES","NO")</f>
        <v>NO</v>
      </c>
    </row>
    <row r="88" spans="2:31">
      <c r="B88" t="str">
        <f>'Final data_for_R_analysis_Wetse'!A14</f>
        <v>Wet</v>
      </c>
      <c r="C88" s="263">
        <f>'Final data_for_R_analysis_Wetse'!B14</f>
        <v>13</v>
      </c>
      <c r="D88" t="s">
        <v>3828</v>
      </c>
      <c r="E88" t="s">
        <v>22</v>
      </c>
      <c r="F88" s="387">
        <v>5</v>
      </c>
      <c r="G88" s="16">
        <f>'WetLitterbags placem_collection'!E15</f>
        <v>42766</v>
      </c>
      <c r="H88" t="str">
        <f>'Final data_for_R_analysis_Wetse'!J14</f>
        <v>G595</v>
      </c>
      <c r="I88" t="str">
        <f>'Final data_for_R_analysis_Wetse'!J234</f>
        <v>R450</v>
      </c>
      <c r="J88">
        <f>IFERROR(INDEX('Green_rooibos initial weight'!$C$5:$C$1749,MATCH(H88, 'Green_rooibos initial weight'!$A$5:$A$1749,0)),"")</f>
        <v>2.1160000000000001</v>
      </c>
      <c r="K88">
        <f>IFERROR(INDEX('Green_rooibos initial weight'!$C$5:$C$1749,MATCH(I88, 'Green_rooibos initial weight'!$A$5:$A$1749,0)),"")</f>
        <v>2.2250000000000001</v>
      </c>
      <c r="L88" s="195">
        <f t="shared" si="2"/>
        <v>1.8662000000000001</v>
      </c>
      <c r="M88" s="195">
        <f>AVERAGE(Ashed_controlls!$K$2:$K$11)</f>
        <v>5.5147656768714146</v>
      </c>
      <c r="N88" s="195">
        <f t="shared" si="0"/>
        <v>1.9752000000000001</v>
      </c>
      <c r="O88" s="16">
        <f>IF('WetLitterbags placem_collection'!G15="N.A","",'WetLitterbags placem_collection'!G15)</f>
        <v>42818</v>
      </c>
      <c r="P88" s="195">
        <f>IF(IFERROR(INDEX('Both teabags AfterWet'!$C$3:$C$841,MATCH(H88,'Both teabags AfterWet'!$A$3:$A$841,0)),"")="N.A","",(IFERROR(INDEX('Both teabags AfterWet'!$C$3:$C$841,MATCH(H88,'Both teabags AfterWet'!$A$3:$A$841,0)),"")))</f>
        <v>0.62809999999999999</v>
      </c>
      <c r="Q88" s="195">
        <f>IFERROR(INDEX('Both teabags AfterWet'!$C$3:$C$841,MATCH(I88,'Both teabags AfterWet'!$A$3:$A$841,0)),"")</f>
        <v>0.91920000000000002</v>
      </c>
      <c r="R88" s="195">
        <f t="shared" si="3"/>
        <v>0.47749999999999998</v>
      </c>
      <c r="S88" s="195">
        <f t="shared" si="3"/>
        <v>0.76859999999999995</v>
      </c>
      <c r="T88" s="195">
        <f t="shared" si="4"/>
        <v>0.74413246168685032</v>
      </c>
      <c r="U88" s="195">
        <f t="shared" si="5"/>
        <v>0.48783980861180692</v>
      </c>
      <c r="V88" s="195">
        <f t="shared" si="6"/>
        <v>0.38912515188335356</v>
      </c>
      <c r="W88">
        <f t="shared" si="1"/>
        <v>52</v>
      </c>
      <c r="X88" s="195">
        <f t="shared" si="7"/>
        <v>0.11623223077571221</v>
      </c>
      <c r="Y88" s="195" t="str">
        <f t="shared" si="8"/>
        <v/>
      </c>
      <c r="Z88" s="255" t="str">
        <f>IF(ISNUMBER(SEARCH("C",'WetLitterbags placem_collection'!W15)),"YES","NO")</f>
        <v>NO</v>
      </c>
      <c r="AA88" s="255" t="str">
        <f>IF(ISNUMBER(SEARCH("H", 'WetLitterbags placem_collection'!W15)),"YES","NO")</f>
        <v>YES</v>
      </c>
      <c r="AB88" s="255" t="str">
        <f>IF(ISNUMBER(SEARCH("R", 'WetLitterbags placem_collection'!W15)),"YES","NO")</f>
        <v>YES</v>
      </c>
      <c r="AC88" s="255" t="str">
        <f>IF(ISNUMBER(SEARCH("C", 'WetLitterbags placem_collection'!V15)),"YES","NO")</f>
        <v>NO</v>
      </c>
      <c r="AD88" s="255" t="str">
        <f>IF(ISNUMBER(SEARCH("H", 'WetLitterbags placem_collection'!V15)),"YES","NO")</f>
        <v>YES</v>
      </c>
      <c r="AE88" s="255" t="str">
        <f>IF(ISNUMBER(SEARCH("R", 'WetLitterbags placem_collection'!V15)),"YES","NO")</f>
        <v>NO</v>
      </c>
    </row>
    <row r="89" spans="2:31">
      <c r="B89" t="str">
        <f>'Final data_for_R_analysis_Wetse'!A15</f>
        <v>Wet</v>
      </c>
      <c r="C89" s="263">
        <f>'Final data_for_R_analysis_Wetse'!B15</f>
        <v>14</v>
      </c>
      <c r="D89" t="s">
        <v>3828</v>
      </c>
      <c r="E89" t="s">
        <v>22</v>
      </c>
      <c r="F89" s="387">
        <v>6</v>
      </c>
      <c r="G89" s="16">
        <f>'WetLitterbags placem_collection'!E16</f>
        <v>42766</v>
      </c>
      <c r="H89" t="str">
        <f>'Final data_for_R_analysis_Wetse'!J15</f>
        <v>G609</v>
      </c>
      <c r="I89" t="str">
        <f>'Final data_for_R_analysis_Wetse'!J235</f>
        <v>R382</v>
      </c>
      <c r="J89">
        <f>IFERROR(INDEX('Green_rooibos initial weight'!$C$5:$C$1749,MATCH(H89, 'Green_rooibos initial weight'!$A$5:$A$1749,0)),"")</f>
        <v>2.089</v>
      </c>
      <c r="K89">
        <f>IFERROR(INDEX('Green_rooibos initial weight'!$C$5:$C$1749,MATCH(I89, 'Green_rooibos initial weight'!$A$5:$A$1749,0)),"")</f>
        <v>2.2210000000000001</v>
      </c>
      <c r="L89" s="195">
        <f t="shared" si="2"/>
        <v>1.8391999999999999</v>
      </c>
      <c r="M89" s="195">
        <f>AVERAGE(Ashed_controlls!$K$2:$K$11)</f>
        <v>5.5147656768714146</v>
      </c>
      <c r="N89" s="195">
        <f t="shared" si="0"/>
        <v>1.9712000000000001</v>
      </c>
      <c r="O89" s="16">
        <f>IF('WetLitterbags placem_collection'!G16="N.A","",'WetLitterbags placem_collection'!G16)</f>
        <v>42818</v>
      </c>
      <c r="P89" s="195">
        <f>IF(IFERROR(INDEX('Both teabags AfterWet'!$C$3:$C$841,MATCH(H89,'Both teabags AfterWet'!$A$3:$A$841,0)),"")="N.A","",(IFERROR(INDEX('Both teabags AfterWet'!$C$3:$C$841,MATCH(H89,'Both teabags AfterWet'!$A$3:$A$841,0)),"")))</f>
        <v>0.498</v>
      </c>
      <c r="Q89" s="195">
        <f>IFERROR(INDEX('Both teabags AfterWet'!$C$3:$C$841,MATCH(I89,'Both teabags AfterWet'!$A$3:$A$841,0)),"")</f>
        <v>1.794</v>
      </c>
      <c r="R89" s="195">
        <f t="shared" si="3"/>
        <v>0.34739999999999999</v>
      </c>
      <c r="S89" s="195">
        <f t="shared" si="3"/>
        <v>1.6434</v>
      </c>
      <c r="T89" s="195">
        <f t="shared" si="4"/>
        <v>0.81111352762070466</v>
      </c>
      <c r="U89" s="195">
        <f t="shared" si="5"/>
        <v>0.53175138627865681</v>
      </c>
      <c r="V89" s="195">
        <f t="shared" si="6"/>
        <v>0.8337053571428571</v>
      </c>
      <c r="W89">
        <f t="shared" si="1"/>
        <v>52</v>
      </c>
      <c r="X89" s="195">
        <f t="shared" si="7"/>
        <v>3.6682271234317443E-2</v>
      </c>
      <c r="Y89" s="195">
        <f t="shared" si="8"/>
        <v>7.2120795760559787E-3</v>
      </c>
      <c r="Z89" s="255" t="str">
        <f>IF(ISNUMBER(SEARCH("C",'WetLitterbags placem_collection'!W16)),"YES","NO")</f>
        <v>NO</v>
      </c>
      <c r="AA89" s="255" t="str">
        <f>IF(ISNUMBER(SEARCH("H", 'WetLitterbags placem_collection'!W16)),"YES","NO")</f>
        <v>YES</v>
      </c>
      <c r="AB89" s="255" t="str">
        <f>IF(ISNUMBER(SEARCH("R", 'WetLitterbags placem_collection'!W16)),"YES","NO")</f>
        <v>YES</v>
      </c>
      <c r="AC89" s="255" t="str">
        <f>IF(ISNUMBER(SEARCH("C", 'WetLitterbags placem_collection'!V16)),"YES","NO")</f>
        <v>NO</v>
      </c>
      <c r="AD89" s="255" t="str">
        <f>IF(ISNUMBER(SEARCH("H", 'WetLitterbags placem_collection'!V16)),"YES","NO")</f>
        <v>NO</v>
      </c>
      <c r="AE89" s="255" t="str">
        <f>IF(ISNUMBER(SEARCH("R", 'WetLitterbags placem_collection'!V16)),"YES","NO")</f>
        <v>NO</v>
      </c>
    </row>
    <row r="90" spans="2:31">
      <c r="B90" t="str">
        <f>'Final data_for_R_analysis_Wetse'!A16</f>
        <v>Wet</v>
      </c>
      <c r="C90" s="263">
        <f>'Final data_for_R_analysis_Wetse'!B16</f>
        <v>15</v>
      </c>
      <c r="D90" t="s">
        <v>3828</v>
      </c>
      <c r="E90" t="s">
        <v>22</v>
      </c>
      <c r="F90" s="387">
        <v>7</v>
      </c>
      <c r="G90" s="16">
        <f>'WetLitterbags placem_collection'!E17</f>
        <v>42766</v>
      </c>
      <c r="H90" t="str">
        <f>'Final data_for_R_analysis_Wetse'!J16</f>
        <v>G222</v>
      </c>
      <c r="I90" t="str">
        <f>'Final data_for_R_analysis_Wetse'!J236</f>
        <v>R415</v>
      </c>
      <c r="J90">
        <f>IFERROR(INDEX('Green_rooibos initial weight'!$C$5:$C$1749,MATCH(H90, 'Green_rooibos initial weight'!$A$5:$A$1749,0)),"")</f>
        <v>1.889</v>
      </c>
      <c r="K90">
        <f>IFERROR(INDEX('Green_rooibos initial weight'!$C$5:$C$1749,MATCH(I90, 'Green_rooibos initial weight'!$A$5:$A$1749,0)),"")</f>
        <v>2.2160000000000002</v>
      </c>
      <c r="L90" s="195">
        <f t="shared" si="2"/>
        <v>1.6392</v>
      </c>
      <c r="M90" s="195">
        <f>AVERAGE(Ashed_controlls!$K$2:$K$11)</f>
        <v>5.5147656768714146</v>
      </c>
      <c r="N90" s="195">
        <f t="shared" si="0"/>
        <v>1.9662000000000002</v>
      </c>
      <c r="O90" s="16">
        <f>IF('WetLitterbags placem_collection'!G17="N.A","",'WetLitterbags placem_collection'!G17)</f>
        <v>42818</v>
      </c>
      <c r="P90" s="195">
        <f>IF(IFERROR(INDEX('Both teabags AfterWet'!$C$3:$C$841,MATCH(H90,'Both teabags AfterWet'!$A$3:$A$841,0)),"")="N.A","",(IFERROR(INDEX('Both teabags AfterWet'!$C$3:$C$841,MATCH(H90,'Both teabags AfterWet'!$A$3:$A$841,0)),"")))</f>
        <v>0.67100000000000004</v>
      </c>
      <c r="Q90" s="195">
        <f>IFERROR(INDEX('Both teabags AfterWet'!$C$3:$C$841,MATCH(I90,'Both teabags AfterWet'!$A$3:$A$841,0)),"")</f>
        <v>2.96</v>
      </c>
      <c r="R90" s="195">
        <f t="shared" si="3"/>
        <v>0.52039999999999997</v>
      </c>
      <c r="S90" s="195">
        <f t="shared" si="3"/>
        <v>2.8094000000000001</v>
      </c>
      <c r="T90" s="195">
        <f t="shared" si="4"/>
        <v>0.68252806246949738</v>
      </c>
      <c r="U90" s="195">
        <f t="shared" si="5"/>
        <v>0.4474530765833285</v>
      </c>
      <c r="V90" s="195">
        <f t="shared" si="6"/>
        <v>1.4288475231410842</v>
      </c>
      <c r="W90">
        <f t="shared" si="1"/>
        <v>52</v>
      </c>
      <c r="X90" s="195">
        <f t="shared" si="7"/>
        <v>0.18939660039252093</v>
      </c>
      <c r="Y90" s="195">
        <f t="shared" si="8"/>
        <v>-1.2925721288924656E-2</v>
      </c>
      <c r="Z90" s="255" t="str">
        <f>IF(ISNUMBER(SEARCH("C",'WetLitterbags placem_collection'!W17)),"YES","NO")</f>
        <v>YES</v>
      </c>
      <c r="AA90" s="255" t="str">
        <f>IF(ISNUMBER(SEARCH("H", 'WetLitterbags placem_collection'!W17)),"YES","NO")</f>
        <v>YES</v>
      </c>
      <c r="AB90" s="255" t="str">
        <f>IF(ISNUMBER(SEARCH("R", 'WetLitterbags placem_collection'!W17)),"YES","NO")</f>
        <v>YES</v>
      </c>
      <c r="AC90" s="255" t="str">
        <f>IF(ISNUMBER(SEARCH("C", 'WetLitterbags placem_collection'!V17)),"YES","NO")</f>
        <v>NO</v>
      </c>
      <c r="AD90" s="255" t="str">
        <f>IF(ISNUMBER(SEARCH("H", 'WetLitterbags placem_collection'!V17)),"YES","NO")</f>
        <v>NO</v>
      </c>
      <c r="AE90" s="255" t="str">
        <f>IF(ISNUMBER(SEARCH("R", 'WetLitterbags placem_collection'!V17)),"YES","NO")</f>
        <v>NO</v>
      </c>
    </row>
    <row r="91" spans="2:31">
      <c r="B91" t="str">
        <f>'Final data_for_R_analysis_Wetse'!A17</f>
        <v>Wet</v>
      </c>
      <c r="C91" s="263">
        <f>'Final data_for_R_analysis_Wetse'!B17</f>
        <v>16</v>
      </c>
      <c r="D91" t="s">
        <v>3828</v>
      </c>
      <c r="E91" t="s">
        <v>22</v>
      </c>
      <c r="F91" s="387">
        <v>8</v>
      </c>
      <c r="G91" s="16">
        <f>'WetLitterbags placem_collection'!E18</f>
        <v>42766</v>
      </c>
      <c r="H91" t="str">
        <f>'Final data_for_R_analysis_Wetse'!J17</f>
        <v>G405</v>
      </c>
      <c r="I91" t="str">
        <f>'Final data_for_R_analysis_Wetse'!J237</f>
        <v>R519</v>
      </c>
      <c r="J91">
        <f>IFERROR(INDEX('Green_rooibos initial weight'!$C$5:$C$1749,MATCH(H91, 'Green_rooibos initial weight'!$A$5:$A$1749,0)),"")</f>
        <v>2.056</v>
      </c>
      <c r="K91">
        <f>IFERROR(INDEX('Green_rooibos initial weight'!$C$5:$C$1749,MATCH(I91, 'Green_rooibos initial weight'!$A$5:$A$1749,0)),"")</f>
        <v>2.21</v>
      </c>
      <c r="L91" s="195">
        <f t="shared" si="2"/>
        <v>1.8062</v>
      </c>
      <c r="M91" s="195">
        <f>AVERAGE(Ashed_controlls!$K$2:$K$11)</f>
        <v>5.5147656768714146</v>
      </c>
      <c r="N91" s="195">
        <f t="shared" si="0"/>
        <v>1.9601999999999999</v>
      </c>
      <c r="O91" s="16">
        <f>IF('WetLitterbags placem_collection'!G18="N.A","",'WetLitterbags placem_collection'!G18)</f>
        <v>42818</v>
      </c>
      <c r="P91" s="195">
        <f>IF(IFERROR(INDEX('Both teabags AfterWet'!$C$3:$C$841,MATCH(H91,'Both teabags AfterWet'!$A$3:$A$841,0)),"")="N.A","",(IFERROR(INDEX('Both teabags AfterWet'!$C$3:$C$841,MATCH(H91,'Both teabags AfterWet'!$A$3:$A$841,0)),"")))</f>
        <v>0.70150000000000001</v>
      </c>
      <c r="Q91" s="195">
        <f>IFERROR(INDEX('Both teabags AfterWet'!$C$3:$C$841,MATCH(I91,'Both teabags AfterWet'!$A$3:$A$841,0)),"")</f>
        <v>1.4281999999999999</v>
      </c>
      <c r="R91" s="195">
        <f t="shared" si="3"/>
        <v>0.55089999999999995</v>
      </c>
      <c r="S91" s="195">
        <f t="shared" si="3"/>
        <v>1.2775999999999998</v>
      </c>
      <c r="T91" s="195">
        <f t="shared" si="4"/>
        <v>0.69499501716310497</v>
      </c>
      <c r="U91" s="195">
        <f t="shared" si="5"/>
        <v>0.45562618702379337</v>
      </c>
      <c r="V91" s="195">
        <f t="shared" si="6"/>
        <v>0.65177022752780323</v>
      </c>
      <c r="W91">
        <f t="shared" si="1"/>
        <v>52</v>
      </c>
      <c r="X91" s="195">
        <f t="shared" si="7"/>
        <v>0.17459024089892516</v>
      </c>
      <c r="Y91" s="195">
        <f t="shared" si="8"/>
        <v>2.7791267510965615E-2</v>
      </c>
      <c r="Z91" s="255" t="str">
        <f>IF(ISNUMBER(SEARCH("C",'WetLitterbags placem_collection'!W18)),"YES","NO")</f>
        <v>NO</v>
      </c>
      <c r="AA91" s="255" t="str">
        <f>IF(ISNUMBER(SEARCH("H", 'WetLitterbags placem_collection'!W18)),"YES","NO")</f>
        <v>YES</v>
      </c>
      <c r="AB91" s="255" t="str">
        <f>IF(ISNUMBER(SEARCH("R", 'WetLitterbags placem_collection'!W18)),"YES","NO")</f>
        <v>YES</v>
      </c>
      <c r="AC91" s="255" t="str">
        <f>IF(ISNUMBER(SEARCH("C", 'WetLitterbags placem_collection'!V18)),"YES","NO")</f>
        <v>NO</v>
      </c>
      <c r="AD91" s="255" t="str">
        <f>IF(ISNUMBER(SEARCH("H", 'WetLitterbags placem_collection'!V18)),"YES","NO")</f>
        <v>YES</v>
      </c>
      <c r="AE91" s="255" t="str">
        <f>IF(ISNUMBER(SEARCH("R", 'WetLitterbags placem_collection'!V18)),"YES","NO")</f>
        <v>YES</v>
      </c>
    </row>
    <row r="92" spans="2:31">
      <c r="B92" t="str">
        <f>'Final data_for_R_analysis_Wetse'!A18</f>
        <v>Wet</v>
      </c>
      <c r="C92" s="263">
        <f>'Final data_for_R_analysis_Wetse'!B18</f>
        <v>17</v>
      </c>
      <c r="D92" t="s">
        <v>3829</v>
      </c>
      <c r="E92" t="s">
        <v>22</v>
      </c>
      <c r="F92" s="386">
        <v>1</v>
      </c>
      <c r="G92" s="16">
        <f>'WetLitterbags placem_collection'!E19</f>
        <v>42767</v>
      </c>
      <c r="H92" t="str">
        <f>'Final data_for_R_analysis_Wetse'!J18</f>
        <v>G571</v>
      </c>
      <c r="I92" t="str">
        <f>'Final data_for_R_analysis_Wetse'!J238</f>
        <v>R542</v>
      </c>
      <c r="J92">
        <f>IFERROR(INDEX('Green_rooibos initial weight'!$C$5:$C$1749,MATCH(H92, 'Green_rooibos initial weight'!$A$5:$A$1749,0)),"")</f>
        <v>2.0489999999999999</v>
      </c>
      <c r="K92">
        <f>IFERROR(INDEX('Green_rooibos initial weight'!$C$5:$C$1749,MATCH(I92, 'Green_rooibos initial weight'!$A$5:$A$1749,0)),"")</f>
        <v>2.2010000000000001</v>
      </c>
      <c r="L92" s="195">
        <f t="shared" si="2"/>
        <v>1.7991999999999999</v>
      </c>
      <c r="M92" s="195">
        <f>AVERAGE(Ashed_controlls!$K$2:$K$11)</f>
        <v>5.5147656768714146</v>
      </c>
      <c r="N92" s="195">
        <f t="shared" si="0"/>
        <v>1.9512</v>
      </c>
      <c r="O92" s="16">
        <f>IF('WetLitterbags placem_collection'!G19="N.A","",'WetLitterbags placem_collection'!G19)</f>
        <v>42818</v>
      </c>
      <c r="P92" s="195">
        <f>IF(IFERROR(INDEX('Both teabags AfterWet'!$C$3:$C$841,MATCH(H92,'Both teabags AfterWet'!$A$3:$A$841,0)),"")="N.A","",(IFERROR(INDEX('Both teabags AfterWet'!$C$3:$C$841,MATCH(H92,'Both teabags AfterWet'!$A$3:$A$841,0)),"")))</f>
        <v>0.67520000000000002</v>
      </c>
      <c r="Q92" s="195">
        <f>IFERROR(INDEX('Both teabags AfterWet'!$C$3:$C$841,MATCH(I92,'Both teabags AfterWet'!$A$3:$A$841,0)),"")</f>
        <v>1.6227</v>
      </c>
      <c r="R92" s="195">
        <f t="shared" si="3"/>
        <v>0.52459999999999996</v>
      </c>
      <c r="S92" s="195">
        <f t="shared" si="3"/>
        <v>1.4721</v>
      </c>
      <c r="T92" s="195">
        <f t="shared" si="4"/>
        <v>0.70842596709648742</v>
      </c>
      <c r="U92" s="195">
        <f t="shared" si="5"/>
        <v>0.46443127534116524</v>
      </c>
      <c r="V92" s="195">
        <f t="shared" si="6"/>
        <v>0.75445879458794585</v>
      </c>
      <c r="W92">
        <f t="shared" si="1"/>
        <v>51</v>
      </c>
      <c r="X92" s="195">
        <f t="shared" si="7"/>
        <v>0.15863899394716452</v>
      </c>
      <c r="Y92" s="195">
        <f t="shared" si="8"/>
        <v>1.474988143638249E-2</v>
      </c>
      <c r="Z92" s="255" t="str">
        <f>IF(ISNUMBER(SEARCH("C",'WetLitterbags placem_collection'!W19)),"YES","NO")</f>
        <v>NO</v>
      </c>
      <c r="AA92" s="255" t="str">
        <f>IF(ISNUMBER(SEARCH("H", 'WetLitterbags placem_collection'!W19)),"YES","NO")</f>
        <v>NO</v>
      </c>
      <c r="AB92" s="255" t="str">
        <f>IF(ISNUMBER(SEARCH("R", 'WetLitterbags placem_collection'!W19)),"YES","NO")</f>
        <v>YES</v>
      </c>
      <c r="AC92" s="255" t="str">
        <f>IF(ISNUMBER(SEARCH("C", 'WetLitterbags placem_collection'!V19)),"YES","NO")</f>
        <v>NO</v>
      </c>
      <c r="AD92" s="255" t="str">
        <f>IF(ISNUMBER(SEARCH("H", 'WetLitterbags placem_collection'!V19)),"YES","NO")</f>
        <v>NO</v>
      </c>
      <c r="AE92" s="255" t="str">
        <f>IF(ISNUMBER(SEARCH("R", 'WetLitterbags placem_collection'!V19)),"YES","NO")</f>
        <v>NO</v>
      </c>
    </row>
    <row r="93" spans="2:31">
      <c r="B93" t="str">
        <f>'Final data_for_R_analysis_Wetse'!A19</f>
        <v>Wet</v>
      </c>
      <c r="C93" s="263">
        <f>'Final data_for_R_analysis_Wetse'!B19</f>
        <v>18</v>
      </c>
      <c r="D93" t="s">
        <v>3829</v>
      </c>
      <c r="E93" t="s">
        <v>22</v>
      </c>
      <c r="F93" s="386">
        <v>2</v>
      </c>
      <c r="G93" s="16">
        <f>'WetLitterbags placem_collection'!E20</f>
        <v>42767</v>
      </c>
      <c r="H93" t="str">
        <f>'Final data_for_R_analysis_Wetse'!J19</f>
        <v>G419</v>
      </c>
      <c r="I93" t="str">
        <f>'Final data_for_R_analysis_Wetse'!J239</f>
        <v>R128</v>
      </c>
      <c r="J93">
        <f>IFERROR(INDEX('Green_rooibos initial weight'!$C$5:$C$1749,MATCH(H93, 'Green_rooibos initial weight'!$A$5:$A$1749,0)),"")</f>
        <v>2.0779999999999998</v>
      </c>
      <c r="K93">
        <f>IFERROR(INDEX('Green_rooibos initial weight'!$C$5:$C$1749,MATCH(I93, 'Green_rooibos initial weight'!$A$5:$A$1749,0)),"")</f>
        <v>2.2370000000000001</v>
      </c>
      <c r="L93" s="195">
        <f t="shared" si="2"/>
        <v>1.8281999999999998</v>
      </c>
      <c r="M93" s="195">
        <f>AVERAGE(Ashed_controlls!$K$2:$K$11)</f>
        <v>5.5147656768714146</v>
      </c>
      <c r="N93" s="195">
        <f t="shared" si="0"/>
        <v>1.9872000000000001</v>
      </c>
      <c r="O93" s="16">
        <f>IF('WetLitterbags placem_collection'!G20="N.A","",'WetLitterbags placem_collection'!G20)</f>
        <v>42818</v>
      </c>
      <c r="P93" s="195">
        <f>IF(IFERROR(INDEX('Both teabags AfterWet'!$C$3:$C$841,MATCH(H93,'Both teabags AfterWet'!$A$3:$A$841,0)),"")="N.A","",(IFERROR(INDEX('Both teabags AfterWet'!$C$3:$C$841,MATCH(H93,'Both teabags AfterWet'!$A$3:$A$841,0)),"")))</f>
        <v>0.79100000000000004</v>
      </c>
      <c r="Q93" s="195">
        <f>IFERROR(INDEX('Both teabags AfterWet'!$C$3:$C$841,MATCH(I93,'Both teabags AfterWet'!$A$3:$A$841,0)),"")</f>
        <v>1.79</v>
      </c>
      <c r="R93" s="195">
        <f t="shared" si="3"/>
        <v>0.64040000000000008</v>
      </c>
      <c r="S93" s="195">
        <f t="shared" si="3"/>
        <v>1.6394</v>
      </c>
      <c r="T93" s="195">
        <f t="shared" si="4"/>
        <v>0.64971009736352681</v>
      </c>
      <c r="U93" s="195">
        <f t="shared" si="5"/>
        <v>0.42593821109817914</v>
      </c>
      <c r="V93" s="195">
        <f t="shared" si="6"/>
        <v>0.82497987117552329</v>
      </c>
      <c r="W93">
        <f t="shared" si="1"/>
        <v>51</v>
      </c>
      <c r="X93" s="195">
        <f t="shared" si="7"/>
        <v>0.22837280598155962</v>
      </c>
      <c r="Y93" s="195">
        <f t="shared" si="8"/>
        <v>1.0375838646262188E-2</v>
      </c>
      <c r="Z93" s="255" t="str">
        <f>IF(ISNUMBER(SEARCH("C",'WetLitterbags placem_collection'!W20)),"YES","NO")</f>
        <v>NO</v>
      </c>
      <c r="AA93" s="255" t="str">
        <f>IF(ISNUMBER(SEARCH("H", 'WetLitterbags placem_collection'!W20)),"YES","NO")</f>
        <v>NO</v>
      </c>
      <c r="AB93" s="255" t="str">
        <f>IF(ISNUMBER(SEARCH("R", 'WetLitterbags placem_collection'!W20)),"YES","NO")</f>
        <v>NO</v>
      </c>
      <c r="AC93" s="255" t="str">
        <f>IF(ISNUMBER(SEARCH("C", 'WetLitterbags placem_collection'!V20)),"YES","NO")</f>
        <v>NO</v>
      </c>
      <c r="AD93" s="255" t="str">
        <f>IF(ISNUMBER(SEARCH("H", 'WetLitterbags placem_collection'!V20)),"YES","NO")</f>
        <v>NO</v>
      </c>
      <c r="AE93" s="255" t="str">
        <f>IF(ISNUMBER(SEARCH("R", 'WetLitterbags placem_collection'!V20)),"YES","NO")</f>
        <v>YES</v>
      </c>
    </row>
    <row r="94" spans="2:31">
      <c r="B94" t="str">
        <f>'Final data_for_R_analysis_Wetse'!A20</f>
        <v>Wet</v>
      </c>
      <c r="C94" s="263">
        <f>'Final data_for_R_analysis_Wetse'!B20</f>
        <v>19</v>
      </c>
      <c r="D94" t="s">
        <v>3829</v>
      </c>
      <c r="E94" t="s">
        <v>22</v>
      </c>
      <c r="F94" s="386">
        <v>3</v>
      </c>
      <c r="G94" s="16">
        <f>'WetLitterbags placem_collection'!E21</f>
        <v>42767</v>
      </c>
      <c r="H94" t="str">
        <f>'Final data_for_R_analysis_Wetse'!J20</f>
        <v>G240</v>
      </c>
      <c r="I94" t="str">
        <f>'Final data_for_R_analysis_Wetse'!J240</f>
        <v>R82</v>
      </c>
      <c r="J94">
        <f>IFERROR(INDEX('Green_rooibos initial weight'!$C$5:$C$1749,MATCH(H94, 'Green_rooibos initial weight'!$A$5:$A$1749,0)),"")</f>
        <v>2.117</v>
      </c>
      <c r="K94">
        <f>IFERROR(INDEX('Green_rooibos initial weight'!$C$5:$C$1749,MATCH(I94, 'Green_rooibos initial weight'!$A$5:$A$1749,0)),"")</f>
        <v>2.2490000000000001</v>
      </c>
      <c r="L94" s="195">
        <f t="shared" si="2"/>
        <v>1.8672</v>
      </c>
      <c r="M94" s="195">
        <f>AVERAGE(Ashed_controlls!$K$2:$K$11)</f>
        <v>5.5147656768714146</v>
      </c>
      <c r="N94" s="195">
        <f t="shared" si="0"/>
        <v>1.9992000000000001</v>
      </c>
      <c r="O94" s="16">
        <f>IF('WetLitterbags placem_collection'!G21="N.A","",'WetLitterbags placem_collection'!G21)</f>
        <v>42818</v>
      </c>
      <c r="P94" s="195">
        <f>IF(IFERROR(INDEX('Both teabags AfterWet'!$C$3:$C$841,MATCH(H94,'Both teabags AfterWet'!$A$3:$A$841,0)),"")="N.A","",(IFERROR(INDEX('Both teabags AfterWet'!$C$3:$C$841,MATCH(H94,'Both teabags AfterWet'!$A$3:$A$841,0)),"")))</f>
        <v>0.88690000000000002</v>
      </c>
      <c r="Q94" s="195">
        <f>IFERROR(INDEX('Both teabags AfterWet'!$C$3:$C$841,MATCH(I94,'Both teabags AfterWet'!$A$3:$A$841,0)),"")</f>
        <v>1.514</v>
      </c>
      <c r="R94" s="195">
        <f t="shared" si="3"/>
        <v>0.73629999999999995</v>
      </c>
      <c r="S94" s="195">
        <f t="shared" si="3"/>
        <v>1.3633999999999999</v>
      </c>
      <c r="T94" s="195">
        <f t="shared" si="4"/>
        <v>0.60566623821765209</v>
      </c>
      <c r="U94" s="195">
        <f t="shared" si="5"/>
        <v>0.39706385213318768</v>
      </c>
      <c r="V94" s="195">
        <f t="shared" si="6"/>
        <v>0.68197278911564618</v>
      </c>
      <c r="W94">
        <f t="shared" si="1"/>
        <v>51</v>
      </c>
      <c r="X94" s="195">
        <f t="shared" si="7"/>
        <v>0.28068142729494994</v>
      </c>
      <c r="Y94" s="195">
        <f t="shared" si="8"/>
        <v>3.1650696983267168E-2</v>
      </c>
      <c r="Z94" s="255" t="str">
        <f>IF(ISNUMBER(SEARCH("C",'WetLitterbags placem_collection'!W21)),"YES","NO")</f>
        <v>NO</v>
      </c>
      <c r="AA94" s="255" t="str">
        <f>IF(ISNUMBER(SEARCH("H", 'WetLitterbags placem_collection'!W21)),"YES","NO")</f>
        <v>NO</v>
      </c>
      <c r="AB94" s="255" t="str">
        <f>IF(ISNUMBER(SEARCH("R", 'WetLitterbags placem_collection'!W21)),"YES","NO")</f>
        <v>NO</v>
      </c>
      <c r="AC94" s="255" t="str">
        <f>IF(ISNUMBER(SEARCH("C", 'WetLitterbags placem_collection'!V21)),"YES","NO")</f>
        <v>NO</v>
      </c>
      <c r="AD94" s="255" t="str">
        <f>IF(ISNUMBER(SEARCH("H", 'WetLitterbags placem_collection'!V21)),"YES","NO")</f>
        <v>NO</v>
      </c>
      <c r="AE94" s="255" t="str">
        <f>IF(ISNUMBER(SEARCH("R", 'WetLitterbags placem_collection'!V21)),"YES","NO")</f>
        <v>NO</v>
      </c>
    </row>
    <row r="95" spans="2:31">
      <c r="B95" t="str">
        <f>'Final data_for_R_analysis_Wetse'!A21</f>
        <v>Wet</v>
      </c>
      <c r="C95" s="263">
        <f>'Final data_for_R_analysis_Wetse'!B21</f>
        <v>20</v>
      </c>
      <c r="D95" t="s">
        <v>3829</v>
      </c>
      <c r="E95" t="s">
        <v>22</v>
      </c>
      <c r="F95" s="387">
        <v>4</v>
      </c>
      <c r="G95" s="16">
        <f>'WetLitterbags placem_collection'!E22</f>
        <v>42767</v>
      </c>
      <c r="H95" t="str">
        <f>'Final data_for_R_analysis_Wetse'!J21</f>
        <v>G524</v>
      </c>
      <c r="I95" t="str">
        <f>'Final data_for_R_analysis_Wetse'!J241</f>
        <v>R50</v>
      </c>
      <c r="J95">
        <f>IFERROR(INDEX('Green_rooibos initial weight'!$C$5:$C$1749,MATCH(H95, 'Green_rooibos initial weight'!$A$5:$A$1749,0)),"")</f>
        <v>1.962</v>
      </c>
      <c r="K95">
        <f>IFERROR(INDEX('Green_rooibos initial weight'!$C$5:$C$1749,MATCH(I95, 'Green_rooibos initial weight'!$A$5:$A$1749,0)),"")</f>
        <v>2.2490000000000001</v>
      </c>
      <c r="L95" s="195">
        <f t="shared" si="2"/>
        <v>1.7121999999999999</v>
      </c>
      <c r="M95" s="195">
        <f>AVERAGE(Ashed_controlls!$K$2:$K$11)</f>
        <v>5.5147656768714146</v>
      </c>
      <c r="N95" s="195">
        <f t="shared" si="0"/>
        <v>1.9992000000000001</v>
      </c>
      <c r="O95" s="16">
        <f>IF('WetLitterbags placem_collection'!G22="N.A","",'WetLitterbags placem_collection'!G22)</f>
        <v>42818</v>
      </c>
      <c r="P95" s="195">
        <f>IF(IFERROR(INDEX('Both teabags AfterWet'!$C$3:$C$841,MATCH(H95,'Both teabags AfterWet'!$A$3:$A$841,0)),"")="N.A","",(IFERROR(INDEX('Both teabags AfterWet'!$C$3:$C$841,MATCH(H95,'Both teabags AfterWet'!$A$3:$A$841,0)),"")))</f>
        <v>0.71609999999999996</v>
      </c>
      <c r="Q95" s="195">
        <f>IFERROR(INDEX('Both teabags AfterWet'!$C$3:$C$841,MATCH(I95,'Both teabags AfterWet'!$A$3:$A$841,0)),"")</f>
        <v>1.51</v>
      </c>
      <c r="R95" s="195">
        <f t="shared" si="3"/>
        <v>0.56549999999999989</v>
      </c>
      <c r="S95" s="195">
        <f t="shared" si="3"/>
        <v>1.3593999999999999</v>
      </c>
      <c r="T95" s="195">
        <f t="shared" si="4"/>
        <v>0.66972316318187131</v>
      </c>
      <c r="U95" s="195">
        <f t="shared" si="5"/>
        <v>0.43905841576768762</v>
      </c>
      <c r="V95" s="195">
        <f t="shared" si="6"/>
        <v>0.67997198879551812</v>
      </c>
      <c r="W95">
        <f t="shared" si="1"/>
        <v>51</v>
      </c>
      <c r="X95" s="195">
        <f t="shared" si="7"/>
        <v>0.20460431926143552</v>
      </c>
      <c r="Y95" s="195">
        <f t="shared" si="8"/>
        <v>2.5593206053819834E-2</v>
      </c>
      <c r="Z95" s="255" t="str">
        <f>IF(ISNUMBER(SEARCH("C",'WetLitterbags placem_collection'!W22)),"YES","NO")</f>
        <v>NO</v>
      </c>
      <c r="AA95" s="255" t="str">
        <f>IF(ISNUMBER(SEARCH("H", 'WetLitterbags placem_collection'!W22)),"YES","NO")</f>
        <v>NO</v>
      </c>
      <c r="AB95" s="255" t="str">
        <f>IF(ISNUMBER(SEARCH("R", 'WetLitterbags placem_collection'!W22)),"YES","NO")</f>
        <v>NO</v>
      </c>
      <c r="AC95" s="255" t="str">
        <f>IF(ISNUMBER(SEARCH("C", 'WetLitterbags placem_collection'!V22)),"YES","NO")</f>
        <v>NO</v>
      </c>
      <c r="AD95" s="255" t="str">
        <f>IF(ISNUMBER(SEARCH("H", 'WetLitterbags placem_collection'!V22)),"YES","NO")</f>
        <v>NO</v>
      </c>
      <c r="AE95" s="255" t="str">
        <f>IF(ISNUMBER(SEARCH("R", 'WetLitterbags placem_collection'!V22)),"YES","NO")</f>
        <v>NO</v>
      </c>
    </row>
    <row r="96" spans="2:31">
      <c r="B96" t="str">
        <f>'Final data_for_R_analysis_Wetse'!A22</f>
        <v>Wet</v>
      </c>
      <c r="C96" s="263">
        <f>'Final data_for_R_analysis_Wetse'!B22</f>
        <v>21</v>
      </c>
      <c r="D96" t="s">
        <v>3829</v>
      </c>
      <c r="E96" t="s">
        <v>22</v>
      </c>
      <c r="F96" s="387">
        <v>5</v>
      </c>
      <c r="G96" s="16">
        <f>'WetLitterbags placem_collection'!E23</f>
        <v>42767</v>
      </c>
      <c r="H96" t="str">
        <f>'Final data_for_R_analysis_Wetse'!J22</f>
        <v>G699</v>
      </c>
      <c r="I96" t="str">
        <f>'Final data_for_R_analysis_Wetse'!J242</f>
        <v>R529</v>
      </c>
      <c r="J96">
        <f>IFERROR(INDEX('Green_rooibos initial weight'!$C$5:$C$1749,MATCH(H96, 'Green_rooibos initial weight'!$A$5:$A$1749,0)),"")</f>
        <v>1.984</v>
      </c>
      <c r="K96">
        <f>IFERROR(INDEX('Green_rooibos initial weight'!$C$5:$C$1749,MATCH(I96, 'Green_rooibos initial weight'!$A$5:$A$1749,0)),"")</f>
        <v>2.157</v>
      </c>
      <c r="L96" s="195">
        <f t="shared" si="2"/>
        <v>1.7342</v>
      </c>
      <c r="M96" s="195">
        <f>AVERAGE(Ashed_controlls!$K$2:$K$11)</f>
        <v>5.5147656768714146</v>
      </c>
      <c r="N96" s="195">
        <f t="shared" si="0"/>
        <v>1.9072</v>
      </c>
      <c r="O96" s="16">
        <f>IF('WetLitterbags placem_collection'!G23="N.A","",'WetLitterbags placem_collection'!G23)</f>
        <v>42818</v>
      </c>
      <c r="P96" s="195">
        <f>IF(IFERROR(INDEX('Both teabags AfterWet'!$C$3:$C$841,MATCH(H96,'Both teabags AfterWet'!$A$3:$A$841,0)),"")="N.A","",(IFERROR(INDEX('Both teabags AfterWet'!$C$3:$C$841,MATCH(H96,'Both teabags AfterWet'!$A$3:$A$841,0)),"")))</f>
        <v>0.7389</v>
      </c>
      <c r="Q96" s="195">
        <f>IFERROR(INDEX('Both teabags AfterWet'!$C$3:$C$841,MATCH(I96,'Both teabags AfterWet'!$A$3:$A$841,0)),"")</f>
        <v>1.4387000000000001</v>
      </c>
      <c r="R96" s="195">
        <f t="shared" si="3"/>
        <v>0.58830000000000005</v>
      </c>
      <c r="S96" s="195">
        <f t="shared" si="3"/>
        <v>1.2881</v>
      </c>
      <c r="T96" s="195">
        <f t="shared" si="4"/>
        <v>0.66076577096067346</v>
      </c>
      <c r="U96" s="195">
        <f t="shared" si="5"/>
        <v>0.43318611112861255</v>
      </c>
      <c r="V96" s="195">
        <f t="shared" si="6"/>
        <v>0.6753880033557047</v>
      </c>
      <c r="W96">
        <f t="shared" si="1"/>
        <v>51</v>
      </c>
      <c r="X96" s="195">
        <f t="shared" si="7"/>
        <v>0.21524255230323819</v>
      </c>
      <c r="Y96" s="195">
        <f t="shared" si="8"/>
        <v>2.7132047665016409E-2</v>
      </c>
      <c r="Z96" s="255" t="str">
        <f>IF(ISNUMBER(SEARCH("C",'WetLitterbags placem_collection'!W23)),"YES","NO")</f>
        <v>NO</v>
      </c>
      <c r="AA96" s="255" t="str">
        <f>IF(ISNUMBER(SEARCH("H", 'WetLitterbags placem_collection'!W23)),"YES","NO")</f>
        <v>NO</v>
      </c>
      <c r="AB96" s="255" t="str">
        <f>IF(ISNUMBER(SEARCH("R", 'WetLitterbags placem_collection'!W23)),"YES","NO")</f>
        <v>YES</v>
      </c>
      <c r="AC96" s="255" t="str">
        <f>IF(ISNUMBER(SEARCH("C", 'WetLitterbags placem_collection'!V23)),"YES","NO")</f>
        <v>NO</v>
      </c>
      <c r="AD96" s="255" t="str">
        <f>IF(ISNUMBER(SEARCH("H", 'WetLitterbags placem_collection'!V23)),"YES","NO")</f>
        <v>NO</v>
      </c>
      <c r="AE96" s="255" t="str">
        <f>IF(ISNUMBER(SEARCH("R", 'WetLitterbags placem_collection'!V23)),"YES","NO")</f>
        <v>YES</v>
      </c>
    </row>
    <row r="97" spans="2:31">
      <c r="B97" t="str">
        <f>'Final data_for_R_analysis_Wetse'!A23</f>
        <v>Wet</v>
      </c>
      <c r="C97" s="263">
        <f>'Final data_for_R_analysis_Wetse'!B23</f>
        <v>22</v>
      </c>
      <c r="D97" t="s">
        <v>3829</v>
      </c>
      <c r="E97" t="s">
        <v>22</v>
      </c>
      <c r="F97" s="387">
        <v>6</v>
      </c>
      <c r="G97" s="16">
        <f>'WetLitterbags placem_collection'!E24</f>
        <v>42767</v>
      </c>
      <c r="H97" t="str">
        <f>'Final data_for_R_analysis_Wetse'!J23</f>
        <v>G575</v>
      </c>
      <c r="I97" t="str">
        <f>'Final data_for_R_analysis_Wetse'!J243</f>
        <v>R363</v>
      </c>
      <c r="J97">
        <f>IFERROR(INDEX('Green_rooibos initial weight'!$C$5:$C$1749,MATCH(H97, 'Green_rooibos initial weight'!$A$5:$A$1749,0)),"")</f>
        <v>1.9970000000000001</v>
      </c>
      <c r="K97">
        <f>IFERROR(INDEX('Green_rooibos initial weight'!$C$5:$C$1749,MATCH(I97, 'Green_rooibos initial weight'!$A$5:$A$1749,0)),"")</f>
        <v>2.1659999999999999</v>
      </c>
      <c r="L97" s="195">
        <f t="shared" si="2"/>
        <v>1.7472000000000001</v>
      </c>
      <c r="M97" s="195">
        <f>AVERAGE(Ashed_controlls!$K$2:$K$11)</f>
        <v>5.5147656768714146</v>
      </c>
      <c r="N97" s="195">
        <f t="shared" si="0"/>
        <v>1.9161999999999999</v>
      </c>
      <c r="O97" s="16">
        <f>IF('WetLitterbags placem_collection'!G24="N.A","",'WetLitterbags placem_collection'!G24)</f>
        <v>42818</v>
      </c>
      <c r="P97" s="195">
        <f>IF(IFERROR(INDEX('Both teabags AfterWet'!$C$3:$C$841,MATCH(H97,'Both teabags AfterWet'!$A$3:$A$841,0)),"")="N.A","",(IFERROR(INDEX('Both teabags AfterWet'!$C$3:$C$841,MATCH(H97,'Both teabags AfterWet'!$A$3:$A$841,0)),"")))</f>
        <v>0.74019999999999997</v>
      </c>
      <c r="Q97" s="195">
        <f>IFERROR(INDEX('Both teabags AfterWet'!$C$3:$C$841,MATCH(I97,'Both teabags AfterWet'!$A$3:$A$841,0)),"")</f>
        <v>1.5164</v>
      </c>
      <c r="R97" s="195">
        <f t="shared" si="3"/>
        <v>0.5895999999999999</v>
      </c>
      <c r="S97" s="195">
        <f t="shared" si="3"/>
        <v>1.3657999999999999</v>
      </c>
      <c r="T97" s="195">
        <f t="shared" si="4"/>
        <v>0.66254578754578763</v>
      </c>
      <c r="U97" s="195">
        <f t="shared" si="5"/>
        <v>0.43435305786849737</v>
      </c>
      <c r="V97" s="195">
        <f t="shared" si="6"/>
        <v>0.71276484709320531</v>
      </c>
      <c r="W97">
        <f t="shared" si="1"/>
        <v>51</v>
      </c>
      <c r="X97" s="195">
        <f t="shared" si="7"/>
        <v>0.21312851835417146</v>
      </c>
      <c r="Y97" s="195">
        <f t="shared" si="8"/>
        <v>2.1227909037752256E-2</v>
      </c>
      <c r="Z97" s="255" t="str">
        <f>IF(ISNUMBER(SEARCH("C",'WetLitterbags placem_collection'!W24)),"YES","NO")</f>
        <v>NO</v>
      </c>
      <c r="AA97" s="255" t="str">
        <f>IF(ISNUMBER(SEARCH("H", 'WetLitterbags placem_collection'!W24)),"YES","NO")</f>
        <v>NO</v>
      </c>
      <c r="AB97" s="255" t="str">
        <f>IF(ISNUMBER(SEARCH("R", 'WetLitterbags placem_collection'!W24)),"YES","NO")</f>
        <v>NO</v>
      </c>
      <c r="AC97" s="255" t="str">
        <f>IF(ISNUMBER(SEARCH("C", 'WetLitterbags placem_collection'!V24)),"YES","NO")</f>
        <v>NO</v>
      </c>
      <c r="AD97" s="255" t="str">
        <f>IF(ISNUMBER(SEARCH("H", 'WetLitterbags placem_collection'!V24)),"YES","NO")</f>
        <v>NO</v>
      </c>
      <c r="AE97" s="255" t="str">
        <f>IF(ISNUMBER(SEARCH("R", 'WetLitterbags placem_collection'!V24)),"YES","NO")</f>
        <v>YES</v>
      </c>
    </row>
    <row r="98" spans="2:31">
      <c r="B98" t="str">
        <f>'Final data_for_R_analysis_Wetse'!A24</f>
        <v>Wet</v>
      </c>
      <c r="C98" s="263">
        <f>'Final data_for_R_analysis_Wetse'!B24</f>
        <v>23</v>
      </c>
      <c r="D98" t="s">
        <v>3829</v>
      </c>
      <c r="E98" t="s">
        <v>22</v>
      </c>
      <c r="F98" s="387">
        <v>7</v>
      </c>
      <c r="G98" s="16">
        <f>'WetLitterbags placem_collection'!E25</f>
        <v>42767</v>
      </c>
      <c r="H98" t="str">
        <f>'Final data_for_R_analysis_Wetse'!J24</f>
        <v>G492</v>
      </c>
      <c r="I98" t="str">
        <f>'Final data_for_R_analysis_Wetse'!J244</f>
        <v>R190</v>
      </c>
      <c r="J98">
        <f>IFERROR(INDEX('Green_rooibos initial weight'!$C$5:$C$1749,MATCH(H98, 'Green_rooibos initial weight'!$A$5:$A$1749,0)),"")</f>
        <v>1.948</v>
      </c>
      <c r="K98">
        <f>IFERROR(INDEX('Green_rooibos initial weight'!$C$5:$C$1749,MATCH(I98, 'Green_rooibos initial weight'!$A$5:$A$1749,0)),"")</f>
        <v>2.2240000000000002</v>
      </c>
      <c r="L98" s="195">
        <f t="shared" si="2"/>
        <v>1.6981999999999999</v>
      </c>
      <c r="M98" s="195">
        <f>AVERAGE(Ashed_controlls!$K$2:$K$11)</f>
        <v>5.5147656768714146</v>
      </c>
      <c r="N98" s="195">
        <f t="shared" si="0"/>
        <v>1.9742000000000002</v>
      </c>
      <c r="O98" s="16">
        <f>IF('WetLitterbags placem_collection'!G25="N.A","",'WetLitterbags placem_collection'!G25)</f>
        <v>42818</v>
      </c>
      <c r="P98" s="195">
        <f>IF(IFERROR(INDEX('Both teabags AfterWet'!$C$3:$C$841,MATCH(H98,'Both teabags AfterWet'!$A$3:$A$841,0)),"")="N.A","",(IFERROR(INDEX('Both teabags AfterWet'!$C$3:$C$841,MATCH(H98,'Both teabags AfterWet'!$A$3:$A$841,0)),"")))</f>
        <v>0.76959999999999995</v>
      </c>
      <c r="Q98" s="195">
        <f>IFERROR(INDEX('Both teabags AfterWet'!$C$3:$C$841,MATCH(I98,'Both teabags AfterWet'!$A$3:$A$841,0)),"")</f>
        <v>1.5019</v>
      </c>
      <c r="R98" s="195">
        <f t="shared" si="3"/>
        <v>0.61899999999999999</v>
      </c>
      <c r="S98" s="195">
        <f t="shared" si="3"/>
        <v>1.3512999999999999</v>
      </c>
      <c r="T98" s="195">
        <f t="shared" si="4"/>
        <v>0.63549640796137086</v>
      </c>
      <c r="U98" s="195">
        <f t="shared" si="5"/>
        <v>0.41661997291529307</v>
      </c>
      <c r="V98" s="195">
        <f t="shared" si="6"/>
        <v>0.68447978928173425</v>
      </c>
      <c r="W98">
        <f t="shared" si="1"/>
        <v>51</v>
      </c>
      <c r="X98" s="195">
        <f t="shared" si="7"/>
        <v>0.24525367225490391</v>
      </c>
      <c r="Y98" s="195">
        <f t="shared" si="8"/>
        <v>2.7766013656422357E-2</v>
      </c>
      <c r="Z98" s="255" t="str">
        <f>IF(ISNUMBER(SEARCH("C",'WetLitterbags placem_collection'!W25)),"YES","NO")</f>
        <v>NO</v>
      </c>
      <c r="AA98" s="255" t="str">
        <f>IF(ISNUMBER(SEARCH("H", 'WetLitterbags placem_collection'!W25)),"YES","NO")</f>
        <v>NO</v>
      </c>
      <c r="AB98" s="255" t="str">
        <f>IF(ISNUMBER(SEARCH("R", 'WetLitterbags placem_collection'!W25)),"YES","NO")</f>
        <v>NO</v>
      </c>
      <c r="AC98" s="255" t="str">
        <f>IF(ISNUMBER(SEARCH("C", 'WetLitterbags placem_collection'!V25)),"YES","NO")</f>
        <v>NO</v>
      </c>
      <c r="AD98" s="255" t="str">
        <f>IF(ISNUMBER(SEARCH("H", 'WetLitterbags placem_collection'!V25)),"YES","NO")</f>
        <v>NO</v>
      </c>
      <c r="AE98" s="255" t="str">
        <f>IF(ISNUMBER(SEARCH("R", 'WetLitterbags placem_collection'!V25)),"YES","NO")</f>
        <v>YES</v>
      </c>
    </row>
    <row r="99" spans="2:31">
      <c r="B99" t="str">
        <f>'Final data_for_R_analysis_Wetse'!A25</f>
        <v>Wet</v>
      </c>
      <c r="C99" s="263">
        <f>'Final data_for_R_analysis_Wetse'!B25</f>
        <v>24</v>
      </c>
      <c r="D99" t="s">
        <v>3829</v>
      </c>
      <c r="E99" t="s">
        <v>22</v>
      </c>
      <c r="F99" s="387">
        <v>8</v>
      </c>
      <c r="G99" s="16">
        <f>'WetLitterbags placem_collection'!E26</f>
        <v>42767</v>
      </c>
      <c r="H99" t="str">
        <f>'Final data_for_R_analysis_Wetse'!J25</f>
        <v>G813</v>
      </c>
      <c r="I99" t="str">
        <f>'Final data_for_R_analysis_Wetse'!J245</f>
        <v>R144</v>
      </c>
      <c r="J99">
        <f>IFERROR(INDEX('Green_rooibos initial weight'!$C$5:$C$1749,MATCH(H99, 'Green_rooibos initial weight'!$A$5:$A$1749,0)),"")</f>
        <v>1.9550000000000001</v>
      </c>
      <c r="K99">
        <f>IFERROR(INDEX('Green_rooibos initial weight'!$C$5:$C$1749,MATCH(I99, 'Green_rooibos initial weight'!$A$5:$A$1749,0)),"")</f>
        <v>2.1429999999999998</v>
      </c>
      <c r="L99" s="195">
        <f t="shared" si="2"/>
        <v>1.7052</v>
      </c>
      <c r="M99" s="195">
        <f>AVERAGE(Ashed_controlls!$K$2:$K$11)</f>
        <v>5.5147656768714146</v>
      </c>
      <c r="N99" s="195">
        <f t="shared" si="0"/>
        <v>1.8931999999999998</v>
      </c>
      <c r="O99" s="16">
        <f>IF('WetLitterbags placem_collection'!G26="N.A","",'WetLitterbags placem_collection'!G26)</f>
        <v>42818</v>
      </c>
      <c r="P99" s="195">
        <f>IF(IFERROR(INDEX('Both teabags AfterWet'!$C$3:$C$841,MATCH(H99,'Both teabags AfterWet'!$A$3:$A$841,0)),"")="N.A","",(IFERROR(INDEX('Both teabags AfterWet'!$C$3:$C$841,MATCH(H99,'Both teabags AfterWet'!$A$3:$A$841,0)),"")))</f>
        <v>0.74790000000000001</v>
      </c>
      <c r="Q99" s="195">
        <f>IFERROR(INDEX('Both teabags AfterWet'!$C$3:$C$841,MATCH(I99,'Both teabags AfterWet'!$A$3:$A$841,0)),"")</f>
        <v>1.6077999999999999</v>
      </c>
      <c r="R99" s="195">
        <f t="shared" si="3"/>
        <v>0.59729999999999994</v>
      </c>
      <c r="S99" s="195">
        <f t="shared" si="3"/>
        <v>1.4571999999999998</v>
      </c>
      <c r="T99" s="195">
        <f t="shared" si="4"/>
        <v>0.64971850809289244</v>
      </c>
      <c r="U99" s="195">
        <f t="shared" si="5"/>
        <v>0.42594372502051864</v>
      </c>
      <c r="V99" s="195">
        <f t="shared" si="6"/>
        <v>0.76970209169659831</v>
      </c>
      <c r="W99">
        <f t="shared" si="1"/>
        <v>51</v>
      </c>
      <c r="X99" s="195">
        <f t="shared" si="7"/>
        <v>0.22836281699181415</v>
      </c>
      <c r="Y99" s="195">
        <f t="shared" si="8"/>
        <v>1.5254926856585081E-2</v>
      </c>
      <c r="Z99" s="255" t="str">
        <f>IF(ISNUMBER(SEARCH("C",'WetLitterbags placem_collection'!W26)),"YES","NO")</f>
        <v>NO</v>
      </c>
      <c r="AA99" s="255" t="str">
        <f>IF(ISNUMBER(SEARCH("H", 'WetLitterbags placem_collection'!W26)),"YES","NO")</f>
        <v>NO</v>
      </c>
      <c r="AB99" s="255" t="str">
        <f>IF(ISNUMBER(SEARCH("R", 'WetLitterbags placem_collection'!W26)),"YES","NO")</f>
        <v>YES</v>
      </c>
      <c r="AC99" s="255" t="str">
        <f>IF(ISNUMBER(SEARCH("C", 'WetLitterbags placem_collection'!V26)),"YES","NO")</f>
        <v>NO</v>
      </c>
      <c r="AD99" s="255" t="str">
        <f>IF(ISNUMBER(SEARCH("H", 'WetLitterbags placem_collection'!V26)),"YES","NO")</f>
        <v>NO</v>
      </c>
      <c r="AE99" s="255" t="str">
        <f>IF(ISNUMBER(SEARCH("R", 'WetLitterbags placem_collection'!V26)),"YES","NO")</f>
        <v>YES</v>
      </c>
    </row>
    <row r="100" spans="2:31">
      <c r="B100" t="str">
        <f>'Final data_for_R_analysis_Wetse'!A26</f>
        <v>Wet</v>
      </c>
      <c r="C100" s="263">
        <f>'Final data_for_R_analysis_Wetse'!B26</f>
        <v>25</v>
      </c>
      <c r="D100" t="s">
        <v>3830</v>
      </c>
      <c r="E100" t="s">
        <v>22</v>
      </c>
      <c r="F100" s="386">
        <v>1</v>
      </c>
      <c r="G100" s="16">
        <f>'WetLitterbags placem_collection'!E27</f>
        <v>42767</v>
      </c>
      <c r="H100" t="str">
        <f>'Final data_for_R_analysis_Wetse'!J26</f>
        <v>G406</v>
      </c>
      <c r="I100" t="str">
        <f>'Final data_for_R_analysis_Wetse'!J246</f>
        <v>R279</v>
      </c>
      <c r="J100">
        <f>IFERROR(INDEX('Green_rooibos initial weight'!$C$5:$C$1749,MATCH(H100, 'Green_rooibos initial weight'!$A$5:$A$1749,0)),"")</f>
        <v>2.0910000000000002</v>
      </c>
      <c r="K100">
        <f>IFERROR(INDEX('Green_rooibos initial weight'!$C$5:$C$1749,MATCH(I100, 'Green_rooibos initial weight'!$A$5:$A$1749,0)),"")</f>
        <v>2.161</v>
      </c>
      <c r="L100" s="195">
        <f t="shared" si="2"/>
        <v>1.8412000000000002</v>
      </c>
      <c r="M100" s="195">
        <f>AVERAGE(Ashed_controlls!$K$2:$K$11)</f>
        <v>5.5147656768714146</v>
      </c>
      <c r="N100" s="195">
        <f t="shared" si="0"/>
        <v>1.9112</v>
      </c>
      <c r="O100" s="16">
        <f>IF('WetLitterbags placem_collection'!G27="N.A","",'WetLitterbags placem_collection'!G27)</f>
        <v>42818</v>
      </c>
      <c r="P100" s="195">
        <f>IF(IFERROR(INDEX('Both teabags AfterWet'!$C$3:$C$841,MATCH(H100,'Both teabags AfterWet'!$A$3:$A$841,0)),"")="N.A","",(IFERROR(INDEX('Both teabags AfterWet'!$C$3:$C$841,MATCH(H100,'Both teabags AfterWet'!$A$3:$A$841,0)),"")))</f>
        <v>0.68400000000000005</v>
      </c>
      <c r="Q100" s="195" t="str">
        <f>IFERROR(INDEX('Both teabags AfterWet'!$C$3:$C$841,MATCH(I100,'Both teabags AfterWet'!$A$3:$A$841,0)),"")</f>
        <v/>
      </c>
      <c r="R100" s="195">
        <f t="shared" si="3"/>
        <v>0.5334000000000001</v>
      </c>
      <c r="S100" s="195" t="str">
        <f t="shared" si="3"/>
        <v/>
      </c>
      <c r="T100" s="195">
        <f t="shared" si="4"/>
        <v>0.71029763197914408</v>
      </c>
      <c r="U100" s="195">
        <f t="shared" si="5"/>
        <v>0.4656583050504603</v>
      </c>
      <c r="V100" s="195" t="str">
        <f t="shared" si="6"/>
        <v/>
      </c>
      <c r="W100">
        <f t="shared" si="1"/>
        <v>51</v>
      </c>
      <c r="X100" s="195">
        <f t="shared" si="7"/>
        <v>0.15641611403902123</v>
      </c>
      <c r="Y100" s="195" t="str">
        <f t="shared" si="8"/>
        <v/>
      </c>
      <c r="Z100" s="255" t="str">
        <f>IF(ISNUMBER(SEARCH("C",'WetLitterbags placem_collection'!W27)),"YES","NO")</f>
        <v>NO</v>
      </c>
      <c r="AA100" s="255" t="str">
        <f>IF(ISNUMBER(SEARCH("H", 'WetLitterbags placem_collection'!W27)),"YES","NO")</f>
        <v>NO</v>
      </c>
      <c r="AB100" s="255" t="str">
        <f>IF(ISNUMBER(SEARCH("R", 'WetLitterbags placem_collection'!W27)),"YES","NO")</f>
        <v>NO</v>
      </c>
      <c r="AC100" s="255" t="str">
        <f>IF(ISNUMBER(SEARCH("C", 'WetLitterbags placem_collection'!V27)),"YES","NO")</f>
        <v>NO</v>
      </c>
      <c r="AD100" s="255" t="str">
        <f>IF(ISNUMBER(SEARCH("H", 'WetLitterbags placem_collection'!V27)),"YES","NO")</f>
        <v>NO</v>
      </c>
      <c r="AE100" s="255" t="str">
        <f>IF(ISNUMBER(SEARCH("R", 'WetLitterbags placem_collection'!V27)),"YES","NO")</f>
        <v>NO</v>
      </c>
    </row>
    <row r="101" spans="2:31">
      <c r="B101" t="str">
        <f>'Final data_for_R_analysis_Wetse'!A27</f>
        <v>Wet</v>
      </c>
      <c r="C101" s="263">
        <f>'Final data_for_R_analysis_Wetse'!B27</f>
        <v>26</v>
      </c>
      <c r="D101" t="s">
        <v>3830</v>
      </c>
      <c r="E101" t="s">
        <v>22</v>
      </c>
      <c r="F101" s="386">
        <v>2</v>
      </c>
      <c r="G101" s="16">
        <f>'WetLitterbags placem_collection'!E28</f>
        <v>42767</v>
      </c>
      <c r="H101" t="str">
        <f>'Final data_for_R_analysis_Wetse'!J27</f>
        <v>G651</v>
      </c>
      <c r="I101" t="str">
        <f>'Final data_for_R_analysis_Wetse'!J247</f>
        <v>R148</v>
      </c>
      <c r="J101">
        <f>IFERROR(INDEX('Green_rooibos initial weight'!$C$5:$C$1749,MATCH(H101, 'Green_rooibos initial weight'!$A$5:$A$1749,0)),"")</f>
        <v>1.97</v>
      </c>
      <c r="K101">
        <f>IFERROR(INDEX('Green_rooibos initial weight'!$C$5:$C$1749,MATCH(I101, 'Green_rooibos initial weight'!$A$5:$A$1749,0)),"")</f>
        <v>2.149</v>
      </c>
      <c r="L101" s="195">
        <f t="shared" si="2"/>
        <v>1.7202</v>
      </c>
      <c r="M101" s="195">
        <f>AVERAGE(Ashed_controlls!$K$2:$K$11)</f>
        <v>5.5147656768714146</v>
      </c>
      <c r="N101" s="195">
        <f t="shared" si="0"/>
        <v>1.8992</v>
      </c>
      <c r="O101" s="16">
        <f>IF('WetLitterbags placem_collection'!G28="N.A","",'WetLitterbags placem_collection'!G28)</f>
        <v>42818</v>
      </c>
      <c r="P101" s="195">
        <f>IF(IFERROR(INDEX('Both teabags AfterWet'!$C$3:$C$841,MATCH(H101,'Both teabags AfterWet'!$A$3:$A$841,0)),"")="N.A","",(IFERROR(INDEX('Both teabags AfterWet'!$C$3:$C$841,MATCH(H101,'Both teabags AfterWet'!$A$3:$A$841,0)),"")))</f>
        <v>0.77580000000000005</v>
      </c>
      <c r="Q101" s="195">
        <f>IFERROR(INDEX('Both teabags AfterWet'!$C$3:$C$841,MATCH(I101,'Both teabags AfterWet'!$A$3:$A$841,0)),"")</f>
        <v>1.5741000000000001</v>
      </c>
      <c r="R101" s="195">
        <f t="shared" si="3"/>
        <v>0.62519999999999998</v>
      </c>
      <c r="S101" s="195">
        <f t="shared" si="3"/>
        <v>1.4235</v>
      </c>
      <c r="T101" s="195">
        <f t="shared" si="4"/>
        <v>0.63655388908266475</v>
      </c>
      <c r="U101" s="195">
        <f t="shared" si="5"/>
        <v>0.41731323844849288</v>
      </c>
      <c r="V101" s="195">
        <f t="shared" si="6"/>
        <v>0.74952611625947763</v>
      </c>
      <c r="W101">
        <f t="shared" si="1"/>
        <v>51</v>
      </c>
      <c r="X101" s="195">
        <f t="shared" si="7"/>
        <v>0.24399775643388977</v>
      </c>
      <c r="Y101" s="195">
        <f t="shared" si="8"/>
        <v>1.7976582540364727E-2</v>
      </c>
      <c r="Z101" s="255" t="str">
        <f>IF(ISNUMBER(SEARCH("C",'WetLitterbags placem_collection'!W28)),"YES","NO")</f>
        <v>NO</v>
      </c>
      <c r="AA101" s="255" t="str">
        <f>IF(ISNUMBER(SEARCH("H", 'WetLitterbags placem_collection'!W28)),"YES","NO")</f>
        <v>NO</v>
      </c>
      <c r="AB101" s="255" t="str">
        <f>IF(ISNUMBER(SEARCH("R", 'WetLitterbags placem_collection'!W28)),"YES","NO")</f>
        <v>NO</v>
      </c>
      <c r="AC101" s="255" t="str">
        <f>IF(ISNUMBER(SEARCH("C", 'WetLitterbags placem_collection'!V28)),"YES","NO")</f>
        <v>NO</v>
      </c>
      <c r="AD101" s="255" t="str">
        <f>IF(ISNUMBER(SEARCH("H", 'WetLitterbags placem_collection'!V28)),"YES","NO")</f>
        <v>NO</v>
      </c>
      <c r="AE101" s="255" t="str">
        <f>IF(ISNUMBER(SEARCH("R", 'WetLitterbags placem_collection'!V28)),"YES","NO")</f>
        <v>YES</v>
      </c>
    </row>
    <row r="102" spans="2:31">
      <c r="B102" t="str">
        <f>'Final data_for_R_analysis_Wetse'!A28</f>
        <v>Wet</v>
      </c>
      <c r="C102" s="263">
        <f>'Final data_for_R_analysis_Wetse'!B28</f>
        <v>27</v>
      </c>
      <c r="D102" t="s">
        <v>3830</v>
      </c>
      <c r="E102" t="s">
        <v>22</v>
      </c>
      <c r="F102" s="386">
        <v>3</v>
      </c>
      <c r="G102" s="16">
        <f>'WetLitterbags placem_collection'!E29</f>
        <v>42767</v>
      </c>
      <c r="H102" t="str">
        <f>'Final data_for_R_analysis_Wetse'!J28</f>
        <v>G583</v>
      </c>
      <c r="I102" t="str">
        <f>'Final data_for_R_analysis_Wetse'!J248</f>
        <v>R112</v>
      </c>
      <c r="J102">
        <f>IFERROR(INDEX('Green_rooibos initial weight'!$C$5:$C$1749,MATCH(H102, 'Green_rooibos initial weight'!$A$5:$A$1749,0)),"")</f>
        <v>2.1829999999999998</v>
      </c>
      <c r="K102">
        <f>IFERROR(INDEX('Green_rooibos initial weight'!$C$5:$C$1749,MATCH(I102, 'Green_rooibos initial weight'!$A$5:$A$1749,0)),"")</f>
        <v>2.2610000000000001</v>
      </c>
      <c r="L102" s="195">
        <f t="shared" si="2"/>
        <v>1.9331999999999998</v>
      </c>
      <c r="M102" s="195">
        <f>AVERAGE(Ashed_controlls!$K$2:$K$11)</f>
        <v>5.5147656768714146</v>
      </c>
      <c r="N102" s="195">
        <f t="shared" si="0"/>
        <v>2.0112000000000001</v>
      </c>
      <c r="O102" s="16">
        <f>IF('WetLitterbags placem_collection'!G29="N.A","",'WetLitterbags placem_collection'!G29)</f>
        <v>42818</v>
      </c>
      <c r="P102" s="195">
        <f>IF(IFERROR(INDEX('Both teabags AfterWet'!$C$3:$C$841,MATCH(H102,'Both teabags AfterWet'!$A$3:$A$841,0)),"")="N.A","",(IFERROR(INDEX('Both teabags AfterWet'!$C$3:$C$841,MATCH(H102,'Both teabags AfterWet'!$A$3:$A$841,0)),"")))</f>
        <v>0.66169999999999995</v>
      </c>
      <c r="Q102" s="195">
        <f>IFERROR(INDEX('Both teabags AfterWet'!$C$3:$C$841,MATCH(I102,'Both teabags AfterWet'!$A$3:$A$841,0)),"")</f>
        <v>1.3584000000000001</v>
      </c>
      <c r="R102" s="195">
        <f t="shared" si="3"/>
        <v>0.51109999999999989</v>
      </c>
      <c r="S102" s="195">
        <f t="shared" si="3"/>
        <v>1.2078</v>
      </c>
      <c r="T102" s="195">
        <f t="shared" si="4"/>
        <v>0.73561969791020076</v>
      </c>
      <c r="U102" s="195">
        <f t="shared" si="5"/>
        <v>0.48225899435443093</v>
      </c>
      <c r="V102" s="195">
        <f t="shared" si="6"/>
        <v>0.60053699284009543</v>
      </c>
      <c r="W102">
        <f t="shared" si="1"/>
        <v>51</v>
      </c>
      <c r="X102" s="195">
        <f t="shared" si="7"/>
        <v>0.12634240153182807</v>
      </c>
      <c r="Y102" s="195">
        <f t="shared" si="8"/>
        <v>3.4551013843961691E-2</v>
      </c>
      <c r="Z102" s="255" t="str">
        <f>IF(ISNUMBER(SEARCH("C",'WetLitterbags placem_collection'!W29)),"YES","NO")</f>
        <v>NO</v>
      </c>
      <c r="AA102" s="255" t="str">
        <f>IF(ISNUMBER(SEARCH("H", 'WetLitterbags placem_collection'!W29)),"YES","NO")</f>
        <v>NO</v>
      </c>
      <c r="AB102" s="255" t="str">
        <f>IF(ISNUMBER(SEARCH("R", 'WetLitterbags placem_collection'!W29)),"YES","NO")</f>
        <v>NO</v>
      </c>
      <c r="AC102" s="255" t="str">
        <f>IF(ISNUMBER(SEARCH("C", 'WetLitterbags placem_collection'!V29)),"YES","NO")</f>
        <v>NO</v>
      </c>
      <c r="AD102" s="255" t="str">
        <f>IF(ISNUMBER(SEARCH("H", 'WetLitterbags placem_collection'!V29)),"YES","NO")</f>
        <v>NO</v>
      </c>
      <c r="AE102" s="255" t="str">
        <f>IF(ISNUMBER(SEARCH("R", 'WetLitterbags placem_collection'!V29)),"YES","NO")</f>
        <v>NO</v>
      </c>
    </row>
    <row r="103" spans="2:31">
      <c r="B103" t="str">
        <f>'Final data_for_R_analysis_Wetse'!A29</f>
        <v>Wet</v>
      </c>
      <c r="C103" s="263">
        <f>'Final data_for_R_analysis_Wetse'!B29</f>
        <v>28</v>
      </c>
      <c r="D103" t="s">
        <v>3830</v>
      </c>
      <c r="E103" t="s">
        <v>22</v>
      </c>
      <c r="F103" s="387">
        <v>4</v>
      </c>
      <c r="G103" s="16">
        <f>'WetLitterbags placem_collection'!E30</f>
        <v>42767</v>
      </c>
      <c r="H103" t="str">
        <f>'Final data_for_R_analysis_Wetse'!J29</f>
        <v>G702</v>
      </c>
      <c r="I103" t="str">
        <f>'Final data_for_R_analysis_Wetse'!J249</f>
        <v>R436</v>
      </c>
      <c r="J103">
        <f>IFERROR(INDEX('Green_rooibos initial weight'!$C$5:$C$1749,MATCH(H103, 'Green_rooibos initial weight'!$A$5:$A$1749,0)),"")</f>
        <v>2.109</v>
      </c>
      <c r="K103">
        <f>IFERROR(INDEX('Green_rooibos initial weight'!$C$5:$C$1749,MATCH(I103, 'Green_rooibos initial weight'!$A$5:$A$1749,0)),"")</f>
        <v>2.2240000000000002</v>
      </c>
      <c r="L103" s="195">
        <f t="shared" si="2"/>
        <v>1.8592</v>
      </c>
      <c r="M103" s="195">
        <f>AVERAGE(Ashed_controlls!$K$2:$K$11)</f>
        <v>5.5147656768714146</v>
      </c>
      <c r="N103" s="195">
        <f t="shared" si="0"/>
        <v>1.9742000000000002</v>
      </c>
      <c r="O103" s="16">
        <f>IF('WetLitterbags placem_collection'!G30="N.A","",'WetLitterbags placem_collection'!G30)</f>
        <v>42818</v>
      </c>
      <c r="P103" s="195">
        <f>IF(IFERROR(INDEX('Both teabags AfterWet'!$C$3:$C$841,MATCH(H103,'Both teabags AfterWet'!$A$3:$A$841,0)),"")="N.A","",(IFERROR(INDEX('Both teabags AfterWet'!$C$3:$C$841,MATCH(H103,'Both teabags AfterWet'!$A$3:$A$841,0)),"")))</f>
        <v>0.73699999999999999</v>
      </c>
      <c r="Q103" s="195">
        <f>IFERROR(INDEX('Both teabags AfterWet'!$C$3:$C$841,MATCH(I103,'Both teabags AfterWet'!$A$3:$A$841,0)),"")</f>
        <v>1.5295000000000001</v>
      </c>
      <c r="R103" s="195">
        <f t="shared" si="3"/>
        <v>0.58640000000000003</v>
      </c>
      <c r="S103" s="195">
        <f t="shared" si="3"/>
        <v>1.3789</v>
      </c>
      <c r="T103" s="195">
        <f t="shared" si="4"/>
        <v>0.68459552495697074</v>
      </c>
      <c r="U103" s="195">
        <f t="shared" si="5"/>
        <v>0.44880846766775284</v>
      </c>
      <c r="V103" s="195">
        <f t="shared" si="6"/>
        <v>0.69846013575119026</v>
      </c>
      <c r="W103">
        <f t="shared" si="1"/>
        <v>51</v>
      </c>
      <c r="X103" s="195">
        <f t="shared" si="7"/>
        <v>0.18694118176131735</v>
      </c>
      <c r="Y103" s="195">
        <f t="shared" si="8"/>
        <v>2.1849766035748872E-2</v>
      </c>
      <c r="Z103" s="255" t="str">
        <f>IF(ISNUMBER(SEARCH("C",'WetLitterbags placem_collection'!W30)),"YES","NO")</f>
        <v>NO</v>
      </c>
      <c r="AA103" s="255" t="str">
        <f>IF(ISNUMBER(SEARCH("H", 'WetLitterbags placem_collection'!W30)),"YES","NO")</f>
        <v>NO</v>
      </c>
      <c r="AB103" s="255" t="str">
        <f>IF(ISNUMBER(SEARCH("R", 'WetLitterbags placem_collection'!W30)),"YES","NO")</f>
        <v>NO</v>
      </c>
      <c r="AC103" s="255" t="str">
        <f>IF(ISNUMBER(SEARCH("C", 'WetLitterbags placem_collection'!V30)),"YES","NO")</f>
        <v>NO</v>
      </c>
      <c r="AD103" s="255" t="str">
        <f>IF(ISNUMBER(SEARCH("H", 'WetLitterbags placem_collection'!V30)),"YES","NO")</f>
        <v>NO</v>
      </c>
      <c r="AE103" s="255" t="str">
        <f>IF(ISNUMBER(SEARCH("R", 'WetLitterbags placem_collection'!V30)),"YES","NO")</f>
        <v>NO</v>
      </c>
    </row>
    <row r="104" spans="2:31">
      <c r="B104" t="str">
        <f>'Final data_for_R_analysis_Wetse'!A30</f>
        <v>Wet</v>
      </c>
      <c r="C104" s="263">
        <f>'Final data_for_R_analysis_Wetse'!B30</f>
        <v>29</v>
      </c>
      <c r="D104" t="s">
        <v>3830</v>
      </c>
      <c r="E104" t="s">
        <v>22</v>
      </c>
      <c r="F104" s="387">
        <v>5</v>
      </c>
      <c r="G104" s="16">
        <f>'WetLitterbags placem_collection'!E31</f>
        <v>42767</v>
      </c>
      <c r="H104" t="str">
        <f>'Final data_for_R_analysis_Wetse'!J30</f>
        <v>G838</v>
      </c>
      <c r="I104" t="str">
        <f>'Final data_for_R_analysis_Wetse'!J250</f>
        <v>R386</v>
      </c>
      <c r="J104">
        <f>IFERROR(INDEX('Green_rooibos initial weight'!$C$5:$C$1749,MATCH(H104, 'Green_rooibos initial weight'!$A$5:$A$1749,0)),"")</f>
        <v>2.0369999999999999</v>
      </c>
      <c r="K104">
        <f>IFERROR(INDEX('Green_rooibos initial weight'!$C$5:$C$1749,MATCH(I104, 'Green_rooibos initial weight'!$A$5:$A$1749,0)),"")</f>
        <v>2.2309999999999999</v>
      </c>
      <c r="L104" s="195">
        <f t="shared" si="2"/>
        <v>1.7871999999999999</v>
      </c>
      <c r="M104" s="195">
        <f>AVERAGE(Ashed_controlls!$K$2:$K$11)</f>
        <v>5.5147656768714146</v>
      </c>
      <c r="N104" s="195">
        <f t="shared" si="0"/>
        <v>1.9811999999999999</v>
      </c>
      <c r="O104" s="16">
        <f>IF('WetLitterbags placem_collection'!G31="N.A","",'WetLitterbags placem_collection'!G31)</f>
        <v>42818</v>
      </c>
      <c r="P104" s="195">
        <f>IF(IFERROR(INDEX('Both teabags AfterWet'!$C$3:$C$841,MATCH(H104,'Both teabags AfterWet'!$A$3:$A$841,0)),"")="N.A","",(IFERROR(INDEX('Both teabags AfterWet'!$C$3:$C$841,MATCH(H104,'Both teabags AfterWet'!$A$3:$A$841,0)),"")))</f>
        <v>0.70830000000000004</v>
      </c>
      <c r="Q104" s="195">
        <f>IFERROR(INDEX('Both teabags AfterWet'!$C$3:$C$841,MATCH(I104,'Both teabags AfterWet'!$A$3:$A$841,0)),"")</f>
        <v>1.5941000000000001</v>
      </c>
      <c r="R104" s="195">
        <f t="shared" si="3"/>
        <v>0.55770000000000008</v>
      </c>
      <c r="S104" s="195">
        <f t="shared" si="3"/>
        <v>1.4435</v>
      </c>
      <c r="T104" s="195">
        <f t="shared" si="4"/>
        <v>0.68794762757385852</v>
      </c>
      <c r="U104" s="195">
        <f t="shared" si="5"/>
        <v>0.45100604563036811</v>
      </c>
      <c r="V104" s="195">
        <f t="shared" si="6"/>
        <v>0.72859882899252981</v>
      </c>
      <c r="W104">
        <f t="shared" si="1"/>
        <v>51</v>
      </c>
      <c r="X104" s="195">
        <f t="shared" si="7"/>
        <v>0.182960062263826</v>
      </c>
      <c r="Y104" s="195">
        <f t="shared" si="8"/>
        <v>1.8053361711873699E-2</v>
      </c>
      <c r="Z104" s="255" t="str">
        <f>IF(ISNUMBER(SEARCH("C",'WetLitterbags placem_collection'!W31)),"YES","NO")</f>
        <v>NO</v>
      </c>
      <c r="AA104" s="255" t="str">
        <f>IF(ISNUMBER(SEARCH("H", 'WetLitterbags placem_collection'!W31)),"YES","NO")</f>
        <v>YES</v>
      </c>
      <c r="AB104" s="255" t="str">
        <f>IF(ISNUMBER(SEARCH("R", 'WetLitterbags placem_collection'!W31)),"YES","NO")</f>
        <v>YES</v>
      </c>
      <c r="AC104" s="255" t="str">
        <f>IF(ISNUMBER(SEARCH("C", 'WetLitterbags placem_collection'!V31)),"YES","NO")</f>
        <v>NO</v>
      </c>
      <c r="AD104" s="255" t="str">
        <f>IF(ISNUMBER(SEARCH("H", 'WetLitterbags placem_collection'!V31)),"YES","NO")</f>
        <v>NO</v>
      </c>
      <c r="AE104" s="255" t="str">
        <f>IF(ISNUMBER(SEARCH("R", 'WetLitterbags placem_collection'!V31)),"YES","NO")</f>
        <v>YES</v>
      </c>
    </row>
    <row r="105" spans="2:31">
      <c r="B105" t="str">
        <f>'Final data_for_R_analysis_Wetse'!A31</f>
        <v>Wet</v>
      </c>
      <c r="C105" s="263">
        <f>'Final data_for_R_analysis_Wetse'!B31</f>
        <v>30</v>
      </c>
      <c r="D105" t="s">
        <v>3830</v>
      </c>
      <c r="E105" t="s">
        <v>22</v>
      </c>
      <c r="F105" s="387">
        <v>6</v>
      </c>
      <c r="G105" s="16">
        <f>'WetLitterbags placem_collection'!E32</f>
        <v>42767</v>
      </c>
      <c r="H105" t="str">
        <f>'Final data_for_R_analysis_Wetse'!J31</f>
        <v>G518</v>
      </c>
      <c r="I105" t="str">
        <f>'Final data_for_R_analysis_Wetse'!J251</f>
        <v>R507</v>
      </c>
      <c r="J105">
        <f>IFERROR(INDEX('Green_rooibos initial weight'!$C$5:$C$1749,MATCH(H105, 'Green_rooibos initial weight'!$A$5:$A$1749,0)),"")</f>
        <v>1.9950000000000001</v>
      </c>
      <c r="K105">
        <f>IFERROR(INDEX('Green_rooibos initial weight'!$C$5:$C$1749,MATCH(I105, 'Green_rooibos initial weight'!$A$5:$A$1749,0)),"")</f>
        <v>2.1920000000000002</v>
      </c>
      <c r="L105" s="195">
        <f t="shared" si="2"/>
        <v>1.7452000000000001</v>
      </c>
      <c r="M105" s="195">
        <f>AVERAGE(Ashed_controlls!$K$2:$K$11)</f>
        <v>5.5147656768714146</v>
      </c>
      <c r="N105" s="195">
        <f t="shared" si="0"/>
        <v>1.9422000000000001</v>
      </c>
      <c r="O105" s="16">
        <f>IF('WetLitterbags placem_collection'!G32="N.A","",'WetLitterbags placem_collection'!G32)</f>
        <v>42818</v>
      </c>
      <c r="P105" s="195">
        <f>IF(IFERROR(INDEX('Both teabags AfterWet'!$C$3:$C$841,MATCH(H105,'Both teabags AfterWet'!$A$3:$A$841,0)),"")="N.A","",(IFERROR(INDEX('Both teabags AfterWet'!$C$3:$C$841,MATCH(H105,'Both teabags AfterWet'!$A$3:$A$841,0)),"")))</f>
        <v>0.68200000000000005</v>
      </c>
      <c r="Q105" s="195">
        <f>IFERROR(INDEX('Both teabags AfterWet'!$C$3:$C$841,MATCH(I105,'Both teabags AfterWet'!$A$3:$A$841,0)),"")</f>
        <v>1.3523000000000001</v>
      </c>
      <c r="R105" s="195">
        <f t="shared" si="3"/>
        <v>0.53140000000000009</v>
      </c>
      <c r="S105" s="195">
        <f t="shared" si="3"/>
        <v>1.2017</v>
      </c>
      <c r="T105" s="195">
        <f t="shared" si="4"/>
        <v>0.69550767820307124</v>
      </c>
      <c r="U105" s="195">
        <f t="shared" si="5"/>
        <v>0.45596227834690661</v>
      </c>
      <c r="V105" s="195">
        <f t="shared" si="6"/>
        <v>0.61873133559880544</v>
      </c>
      <c r="W105">
        <f t="shared" si="1"/>
        <v>51</v>
      </c>
      <c r="X105" s="195">
        <f t="shared" si="7"/>
        <v>0.17398137980632866</v>
      </c>
      <c r="Y105" s="195">
        <f t="shared" si="8"/>
        <v>3.5470891843779495E-2</v>
      </c>
      <c r="Z105" s="255" t="str">
        <f>IF(ISNUMBER(SEARCH("C",'WetLitterbags placem_collection'!W32)),"YES","NO")</f>
        <v>NO</v>
      </c>
      <c r="AA105" s="255" t="str">
        <f>IF(ISNUMBER(SEARCH("H", 'WetLitterbags placem_collection'!W32)),"YES","NO")</f>
        <v>NO</v>
      </c>
      <c r="AB105" s="255" t="str">
        <f>IF(ISNUMBER(SEARCH("R", 'WetLitterbags placem_collection'!W32)),"YES","NO")</f>
        <v>YES</v>
      </c>
      <c r="AC105" s="255" t="str">
        <f>IF(ISNUMBER(SEARCH("C", 'WetLitterbags placem_collection'!V32)),"YES","NO")</f>
        <v>NO</v>
      </c>
      <c r="AD105" s="255" t="str">
        <f>IF(ISNUMBER(SEARCH("H", 'WetLitterbags placem_collection'!V32)),"YES","NO")</f>
        <v>NO</v>
      </c>
      <c r="AE105" s="255" t="str">
        <f>IF(ISNUMBER(SEARCH("R", 'WetLitterbags placem_collection'!V32)),"YES","NO")</f>
        <v>YES</v>
      </c>
    </row>
    <row r="106" spans="2:31">
      <c r="B106" t="str">
        <f>'Final data_for_R_analysis_Wetse'!A32</f>
        <v>Wet</v>
      </c>
      <c r="C106" s="263">
        <f>'Final data_for_R_analysis_Wetse'!B32</f>
        <v>31</v>
      </c>
      <c r="D106" t="s">
        <v>3830</v>
      </c>
      <c r="E106" t="s">
        <v>22</v>
      </c>
      <c r="F106" s="387">
        <v>7</v>
      </c>
      <c r="G106" s="16">
        <f>'WetLitterbags placem_collection'!E33</f>
        <v>42767</v>
      </c>
      <c r="H106" t="str">
        <f>'Final data_for_R_analysis_Wetse'!J32</f>
        <v>G404</v>
      </c>
      <c r="I106" t="str">
        <f>'Final data_for_R_analysis_Wetse'!J252</f>
        <v>R141</v>
      </c>
      <c r="J106">
        <f>IFERROR(INDEX('Green_rooibos initial weight'!$C$5:$C$1749,MATCH(H106, 'Green_rooibos initial weight'!$A$5:$A$1749,0)),"")</f>
        <v>2.113</v>
      </c>
      <c r="K106">
        <f>IFERROR(INDEX('Green_rooibos initial weight'!$C$5:$C$1749,MATCH(I106, 'Green_rooibos initial weight'!$A$5:$A$1749,0)),"")</f>
        <v>2.2029999999999998</v>
      </c>
      <c r="L106" s="195">
        <f t="shared" si="2"/>
        <v>1.8632</v>
      </c>
      <c r="M106" s="195">
        <f>AVERAGE(Ashed_controlls!$K$2:$K$11)</f>
        <v>5.5147656768714146</v>
      </c>
      <c r="N106" s="195">
        <f t="shared" si="0"/>
        <v>1.9531999999999998</v>
      </c>
      <c r="O106" s="16">
        <f>IF('WetLitterbags placem_collection'!G33="N.A","",'WetLitterbags placem_collection'!G33)</f>
        <v>42818</v>
      </c>
      <c r="P106" s="195">
        <f>IF(IFERROR(INDEX('Both teabags AfterWet'!$C$3:$C$841,MATCH(H106,'Both teabags AfterWet'!$A$3:$A$841,0)),"")="N.A","",(IFERROR(INDEX('Both teabags AfterWet'!$C$3:$C$841,MATCH(H106,'Both teabags AfterWet'!$A$3:$A$841,0)),"")))</f>
        <v>0.75349999999999995</v>
      </c>
      <c r="Q106" s="195">
        <f>IFERROR(INDEX('Both teabags AfterWet'!$C$3:$C$841,MATCH(I106,'Both teabags AfterWet'!$A$3:$A$841,0)),"")</f>
        <v>1.3197000000000001</v>
      </c>
      <c r="R106" s="195">
        <f t="shared" si="3"/>
        <v>0.60289999999999999</v>
      </c>
      <c r="S106" s="195">
        <f t="shared" si="3"/>
        <v>1.1691</v>
      </c>
      <c r="T106" s="195">
        <f t="shared" si="4"/>
        <v>0.67641691713181618</v>
      </c>
      <c r="U106" s="195">
        <f t="shared" si="5"/>
        <v>0.44344672001990804</v>
      </c>
      <c r="V106" s="195">
        <f t="shared" si="6"/>
        <v>0.59855621544132709</v>
      </c>
      <c r="W106">
        <f t="shared" si="1"/>
        <v>51</v>
      </c>
      <c r="X106" s="195">
        <f t="shared" si="7"/>
        <v>0.19665449271755797</v>
      </c>
      <c r="Y106" s="195">
        <f t="shared" si="8"/>
        <v>4.6212512774804121E-2</v>
      </c>
      <c r="Z106" s="255" t="str">
        <f>IF(ISNUMBER(SEARCH("C",'WetLitterbags placem_collection'!W33)),"YES","NO")</f>
        <v>NO</v>
      </c>
      <c r="AA106" s="255" t="str">
        <f>IF(ISNUMBER(SEARCH("H", 'WetLitterbags placem_collection'!W33)),"YES","NO")</f>
        <v>NO</v>
      </c>
      <c r="AB106" s="255" t="str">
        <f>IF(ISNUMBER(SEARCH("R", 'WetLitterbags placem_collection'!W33)),"YES","NO")</f>
        <v>YES</v>
      </c>
      <c r="AC106" s="255" t="str">
        <f>IF(ISNUMBER(SEARCH("C", 'WetLitterbags placem_collection'!V33)),"YES","NO")</f>
        <v>NO</v>
      </c>
      <c r="AD106" s="255" t="str">
        <f>IF(ISNUMBER(SEARCH("H", 'WetLitterbags placem_collection'!V33)),"YES","NO")</f>
        <v>NO</v>
      </c>
      <c r="AE106" s="255" t="str">
        <f>IF(ISNUMBER(SEARCH("R", 'WetLitterbags placem_collection'!V33)),"YES","NO")</f>
        <v>YES</v>
      </c>
    </row>
    <row r="107" spans="2:31">
      <c r="B107" t="str">
        <f>'Final data_for_R_analysis_Wetse'!A33</f>
        <v>Wet</v>
      </c>
      <c r="C107" s="263">
        <f>'Final data_for_R_analysis_Wetse'!B33</f>
        <v>32</v>
      </c>
      <c r="D107" t="s">
        <v>3830</v>
      </c>
      <c r="E107" t="s">
        <v>22</v>
      </c>
      <c r="F107" s="387">
        <v>8</v>
      </c>
      <c r="G107" s="16">
        <f>'WetLitterbags placem_collection'!E34</f>
        <v>42767</v>
      </c>
      <c r="H107" t="str">
        <f>'Final data_for_R_analysis_Wetse'!J33</f>
        <v>G527</v>
      </c>
      <c r="I107" t="str">
        <f>'Final data_for_R_analysis_Wetse'!J253</f>
        <v>R396</v>
      </c>
      <c r="J107">
        <f>IFERROR(INDEX('Green_rooibos initial weight'!$C$5:$C$1749,MATCH(H107, 'Green_rooibos initial weight'!$A$5:$A$1749,0)),"")</f>
        <v>1.913</v>
      </c>
      <c r="K107">
        <f>IFERROR(INDEX('Green_rooibos initial weight'!$C$5:$C$1749,MATCH(I107, 'Green_rooibos initial weight'!$A$5:$A$1749,0)),"")</f>
        <v>2.14</v>
      </c>
      <c r="L107" s="195">
        <f t="shared" si="2"/>
        <v>1.6632</v>
      </c>
      <c r="M107" s="195">
        <f>AVERAGE(Ashed_controlls!$K$2:$K$11)</f>
        <v>5.5147656768714146</v>
      </c>
      <c r="N107" s="195">
        <f t="shared" si="0"/>
        <v>1.8902000000000001</v>
      </c>
      <c r="O107" s="16">
        <f>IF('WetLitterbags placem_collection'!G34="N.A","",'WetLitterbags placem_collection'!G34)</f>
        <v>42818</v>
      </c>
      <c r="P107" s="195">
        <f>IF(IFERROR(INDEX('Both teabags AfterWet'!$C$3:$C$841,MATCH(H107,'Both teabags AfterWet'!$A$3:$A$841,0)),"")="N.A","",(IFERROR(INDEX('Both teabags AfterWet'!$C$3:$C$841,MATCH(H107,'Both teabags AfterWet'!$A$3:$A$841,0)),"")))</f>
        <v>0.66439999999999999</v>
      </c>
      <c r="Q107" s="195">
        <f>IFERROR(INDEX('Both teabags AfterWet'!$C$3:$C$841,MATCH(I107,'Both teabags AfterWet'!$A$3:$A$841,0)),"")</f>
        <v>1.3464</v>
      </c>
      <c r="R107" s="195">
        <f t="shared" si="3"/>
        <v>0.51380000000000003</v>
      </c>
      <c r="S107" s="195">
        <f t="shared" si="3"/>
        <v>1.1958</v>
      </c>
      <c r="T107" s="195">
        <f t="shared" si="4"/>
        <v>0.69107744107744107</v>
      </c>
      <c r="U107" s="195">
        <f t="shared" si="5"/>
        <v>0.45305789486312054</v>
      </c>
      <c r="V107" s="195">
        <f t="shared" si="6"/>
        <v>0.63263146756956934</v>
      </c>
      <c r="W107">
        <f t="shared" si="1"/>
        <v>51</v>
      </c>
      <c r="X107" s="195">
        <f t="shared" si="7"/>
        <v>0.17924294408854979</v>
      </c>
      <c r="Y107" s="195">
        <f t="shared" si="8"/>
        <v>3.265276918209397E-2</v>
      </c>
      <c r="Z107" s="255" t="str">
        <f>IF(ISNUMBER(SEARCH("C",'WetLitterbags placem_collection'!W34)),"YES","NO")</f>
        <v>NO</v>
      </c>
      <c r="AA107" s="255" t="str">
        <f>IF(ISNUMBER(SEARCH("H", 'WetLitterbags placem_collection'!W34)),"YES","NO")</f>
        <v>NO</v>
      </c>
      <c r="AB107" s="255" t="str">
        <f>IF(ISNUMBER(SEARCH("R", 'WetLitterbags placem_collection'!W34)),"YES","NO")</f>
        <v>YES</v>
      </c>
      <c r="AC107" s="255" t="str">
        <f>IF(ISNUMBER(SEARCH("C", 'WetLitterbags placem_collection'!V34)),"YES","NO")</f>
        <v>NO</v>
      </c>
      <c r="AD107" s="255" t="str">
        <f>IF(ISNUMBER(SEARCH("H", 'WetLitterbags placem_collection'!V34)),"YES","NO")</f>
        <v>NO</v>
      </c>
      <c r="AE107" s="255" t="str">
        <f>IF(ISNUMBER(SEARCH("R", 'WetLitterbags placem_collection'!V34)),"YES","NO")</f>
        <v>YES</v>
      </c>
    </row>
    <row r="108" spans="2:31">
      <c r="B108" t="str">
        <f>'Final data_for_R_analysis_Wetse'!A34</f>
        <v>Wet</v>
      </c>
      <c r="C108" s="263">
        <f>'Final data_for_R_analysis_Wetse'!B34</f>
        <v>33</v>
      </c>
      <c r="D108" t="s">
        <v>3831</v>
      </c>
      <c r="E108" t="s">
        <v>22</v>
      </c>
      <c r="F108" s="386">
        <v>1</v>
      </c>
      <c r="G108" s="16">
        <f>'WetLitterbags placem_collection'!E35</f>
        <v>42765</v>
      </c>
      <c r="H108" t="str">
        <f>'Final data_for_R_analysis_Wetse'!J34</f>
        <v>G366</v>
      </c>
      <c r="I108" t="str">
        <f>'Final data_for_R_analysis_Wetse'!J254</f>
        <v>R109</v>
      </c>
      <c r="J108">
        <f>IFERROR(INDEX('Green_rooibos initial weight'!$C$5:$C$1749,MATCH(H108, 'Green_rooibos initial weight'!$A$5:$A$1749,0)),"")</f>
        <v>2.1070000000000002</v>
      </c>
      <c r="K108">
        <f>IFERROR(INDEX('Green_rooibos initial weight'!$C$5:$C$1749,MATCH(I108, 'Green_rooibos initial weight'!$A$5:$A$1749,0)),"")</f>
        <v>2.2090000000000001</v>
      </c>
      <c r="L108" s="195">
        <f t="shared" si="2"/>
        <v>1.8572000000000002</v>
      </c>
      <c r="M108" s="195">
        <f>AVERAGE(Ashed_controlls!$K$2:$K$11)</f>
        <v>5.5147656768714146</v>
      </c>
      <c r="N108" s="195">
        <f t="shared" si="0"/>
        <v>1.9592000000000001</v>
      </c>
      <c r="O108" s="16">
        <f>IF('WetLitterbags placem_collection'!G35="N.A","",'WetLitterbags placem_collection'!G35)</f>
        <v>42820</v>
      </c>
      <c r="P108" s="195">
        <f>IF(IFERROR(INDEX('Both teabags AfterWet'!$C$3:$C$841,MATCH(H108,'Both teabags AfterWet'!$A$3:$A$841,0)),"")="N.A","",(IFERROR(INDEX('Both teabags AfterWet'!$C$3:$C$841,MATCH(H108,'Both teabags AfterWet'!$A$3:$A$841,0)),"")))</f>
        <v>0.76700000000000002</v>
      </c>
      <c r="Q108" s="195">
        <f>IFERROR(INDEX('Both teabags AfterWet'!$C$3:$C$841,MATCH(I108,'Both teabags AfterWet'!$A$3:$A$841,0)),"")</f>
        <v>0.41499999999999998</v>
      </c>
      <c r="R108" s="195">
        <f t="shared" si="3"/>
        <v>0.61640000000000006</v>
      </c>
      <c r="S108" s="195">
        <f t="shared" si="3"/>
        <v>0.26439999999999997</v>
      </c>
      <c r="T108" s="195">
        <f t="shared" si="4"/>
        <v>0.66810251992246394</v>
      </c>
      <c r="U108" s="195">
        <f t="shared" si="5"/>
        <v>0.43799595130308805</v>
      </c>
      <c r="V108" s="195">
        <f t="shared" si="6"/>
        <v>0.13495304205798284</v>
      </c>
      <c r="W108">
        <f t="shared" si="1"/>
        <v>55</v>
      </c>
      <c r="X108" s="195">
        <f t="shared" si="7"/>
        <v>0.20652907372628981</v>
      </c>
      <c r="Y108" s="195" t="str">
        <f t="shared" si="8"/>
        <v/>
      </c>
      <c r="Z108" s="255" t="str">
        <f>IF(ISNUMBER(SEARCH("C",'WetLitterbags placem_collection'!W35)),"YES","NO")</f>
        <v>YES</v>
      </c>
      <c r="AA108" s="255" t="str">
        <f>IF(ISNUMBER(SEARCH("H", 'WetLitterbags placem_collection'!W35)),"YES","NO")</f>
        <v>YES</v>
      </c>
      <c r="AB108" s="255" t="str">
        <f>IF(ISNUMBER(SEARCH("R", 'WetLitterbags placem_collection'!W35)),"YES","NO")</f>
        <v>NO</v>
      </c>
      <c r="AC108" s="255" t="str">
        <f>IF(ISNUMBER(SEARCH("C", 'WetLitterbags placem_collection'!V35)),"YES","NO")</f>
        <v>NO</v>
      </c>
      <c r="AD108" s="255" t="str">
        <f>IF(ISNUMBER(SEARCH("H", 'WetLitterbags placem_collection'!V35)),"YES","NO")</f>
        <v>NO</v>
      </c>
      <c r="AE108" s="255" t="str">
        <f>IF(ISNUMBER(SEARCH("R", 'WetLitterbags placem_collection'!V35)),"YES","NO")</f>
        <v>YES</v>
      </c>
    </row>
    <row r="109" spans="2:31">
      <c r="B109" t="str">
        <f>'Final data_for_R_analysis_Wetse'!A35</f>
        <v>Wet</v>
      </c>
      <c r="C109" s="263">
        <f>'Final data_for_R_analysis_Wetse'!B35</f>
        <v>34</v>
      </c>
      <c r="D109" t="s">
        <v>3831</v>
      </c>
      <c r="E109" t="s">
        <v>22</v>
      </c>
      <c r="F109" s="386">
        <v>2</v>
      </c>
      <c r="G109" s="16">
        <f>'WetLitterbags placem_collection'!E36</f>
        <v>42765</v>
      </c>
      <c r="H109" t="str">
        <f>'Final data_for_R_analysis_Wetse'!J35</f>
        <v>G516</v>
      </c>
      <c r="I109" t="str">
        <f>'Final data_for_R_analysis_Wetse'!J255</f>
        <v>R153</v>
      </c>
      <c r="J109">
        <f>IFERROR(INDEX('Green_rooibos initial weight'!$C$5:$C$1749,MATCH(H109, 'Green_rooibos initial weight'!$A$5:$A$1749,0)),"")</f>
        <v>2.1160000000000001</v>
      </c>
      <c r="K109">
        <f>IFERROR(INDEX('Green_rooibos initial weight'!$C$5:$C$1749,MATCH(I109, 'Green_rooibos initial weight'!$A$5:$A$1749,0)),"")</f>
        <v>2.2200000000000002</v>
      </c>
      <c r="L109" s="195">
        <f t="shared" si="2"/>
        <v>1.8662000000000001</v>
      </c>
      <c r="M109" s="195">
        <f>AVERAGE(Ashed_controlls!$K$2:$K$11)</f>
        <v>5.5147656768714146</v>
      </c>
      <c r="N109" s="195">
        <f t="shared" si="0"/>
        <v>1.9702000000000002</v>
      </c>
      <c r="O109" s="16">
        <f>IF('WetLitterbags placem_collection'!G36="N.A","",'WetLitterbags placem_collection'!G36)</f>
        <v>42820</v>
      </c>
      <c r="P109" s="195">
        <f>IF(IFERROR(INDEX('Both teabags AfterWet'!$C$3:$C$841,MATCH(H109,'Both teabags AfterWet'!$A$3:$A$841,0)),"")="N.A","",(IFERROR(INDEX('Both teabags AfterWet'!$C$3:$C$841,MATCH(H109,'Both teabags AfterWet'!$A$3:$A$841,0)),"")))</f>
        <v>0.87270000000000003</v>
      </c>
      <c r="Q109" s="195">
        <f>IFERROR(INDEX('Both teabags AfterWet'!$C$3:$C$841,MATCH(I109,'Both teabags AfterWet'!$A$3:$A$841,0)),"")</f>
        <v>0.34520000000000001</v>
      </c>
      <c r="R109" s="195">
        <f t="shared" si="3"/>
        <v>0.72209999999999996</v>
      </c>
      <c r="S109" s="195">
        <f t="shared" si="3"/>
        <v>0.1946</v>
      </c>
      <c r="T109" s="195">
        <f t="shared" si="4"/>
        <v>0.61306398028078446</v>
      </c>
      <c r="U109" s="195">
        <f t="shared" si="5"/>
        <v>0.40191367828383973</v>
      </c>
      <c r="V109" s="195">
        <f t="shared" si="6"/>
        <v>9.8771698304740627E-2</v>
      </c>
      <c r="W109">
        <f t="shared" si="1"/>
        <v>55</v>
      </c>
      <c r="X109" s="195">
        <f t="shared" si="7"/>
        <v>0.27189551035536286</v>
      </c>
      <c r="Y109" s="195" t="str">
        <f t="shared" si="8"/>
        <v/>
      </c>
      <c r="Z109" s="255" t="str">
        <f>IF(ISNUMBER(SEARCH("C",'WetLitterbags placem_collection'!W36)),"YES","NO")</f>
        <v>YES</v>
      </c>
      <c r="AA109" s="255" t="str">
        <f>IF(ISNUMBER(SEARCH("H", 'WetLitterbags placem_collection'!W36)),"YES","NO")</f>
        <v>YES</v>
      </c>
      <c r="AB109" s="255" t="str">
        <f>IF(ISNUMBER(SEARCH("R", 'WetLitterbags placem_collection'!W36)),"YES","NO")</f>
        <v>NO</v>
      </c>
      <c r="AC109" s="255" t="str">
        <f>IF(ISNUMBER(SEARCH("C", 'WetLitterbags placem_collection'!V36)),"YES","NO")</f>
        <v>YES</v>
      </c>
      <c r="AD109" s="255" t="str">
        <f>IF(ISNUMBER(SEARCH("H", 'WetLitterbags placem_collection'!V36)),"YES","NO")</f>
        <v>YES</v>
      </c>
      <c r="AE109" s="255" t="str">
        <f>IF(ISNUMBER(SEARCH("R", 'WetLitterbags placem_collection'!V36)),"YES","NO")</f>
        <v>YES</v>
      </c>
    </row>
    <row r="110" spans="2:31">
      <c r="B110" t="str">
        <f>'Final data_for_R_analysis_Wetse'!A36</f>
        <v>Wet</v>
      </c>
      <c r="C110" s="263">
        <f>'Final data_for_R_analysis_Wetse'!B36</f>
        <v>35</v>
      </c>
      <c r="D110" t="s">
        <v>3831</v>
      </c>
      <c r="E110" t="s">
        <v>22</v>
      </c>
      <c r="F110" s="386">
        <v>3</v>
      </c>
      <c r="G110" s="16">
        <f>'WetLitterbags placem_collection'!E37</f>
        <v>42765</v>
      </c>
      <c r="H110" t="str">
        <f>'Final data_for_R_analysis_Wetse'!J36</f>
        <v>G670</v>
      </c>
      <c r="I110" t="str">
        <f>'Final data_for_R_analysis_Wetse'!J256</f>
        <v>R64</v>
      </c>
      <c r="J110">
        <f>IFERROR(INDEX('Green_rooibos initial weight'!$C$5:$C$1749,MATCH(H110, 'Green_rooibos initial weight'!$A$5:$A$1749,0)),"")</f>
        <v>2.0950000000000002</v>
      </c>
      <c r="K110">
        <f>IFERROR(INDEX('Green_rooibos initial weight'!$C$5:$C$1749,MATCH(I110, 'Green_rooibos initial weight'!$A$5:$A$1749,0)),"")</f>
        <v>2.2879999999999998</v>
      </c>
      <c r="L110" s="195">
        <f t="shared" si="2"/>
        <v>1.8452000000000002</v>
      </c>
      <c r="M110" s="195">
        <f>AVERAGE(Ashed_controlls!$K$2:$K$11)</f>
        <v>5.5147656768714146</v>
      </c>
      <c r="N110" s="195">
        <f t="shared" si="0"/>
        <v>2.0381999999999998</v>
      </c>
      <c r="O110" s="16">
        <f>IF('WetLitterbags placem_collection'!G37="N.A","",'WetLitterbags placem_collection'!G37)</f>
        <v>42820</v>
      </c>
      <c r="P110" s="195">
        <f>IF(IFERROR(INDEX('Both teabags AfterWet'!$C$3:$C$841,MATCH(H110,'Both teabags AfterWet'!$A$3:$A$841,0)),"")="N.A","",(IFERROR(INDEX('Both teabags AfterWet'!$C$3:$C$841,MATCH(H110,'Both teabags AfterWet'!$A$3:$A$841,0)),"")))</f>
        <v>0.81699999999999995</v>
      </c>
      <c r="Q110" s="195">
        <f>IFERROR(INDEX('Both teabags AfterWet'!$C$3:$C$841,MATCH(I110,'Both teabags AfterWet'!$A$3:$A$841,0)),"")</f>
        <v>1.615</v>
      </c>
      <c r="R110" s="195">
        <f t="shared" si="3"/>
        <v>0.66639999999999988</v>
      </c>
      <c r="S110" s="195">
        <f t="shared" si="3"/>
        <v>1.4643999999999999</v>
      </c>
      <c r="T110" s="195">
        <f t="shared" si="4"/>
        <v>0.63884673748103205</v>
      </c>
      <c r="U110" s="195">
        <f t="shared" si="5"/>
        <v>0.41881638846737501</v>
      </c>
      <c r="V110" s="195">
        <f t="shared" si="6"/>
        <v>0.718477087626337</v>
      </c>
      <c r="W110">
        <f t="shared" si="1"/>
        <v>55</v>
      </c>
      <c r="X110" s="195">
        <f t="shared" si="7"/>
        <v>0.24127465857359609</v>
      </c>
      <c r="Y110" s="195">
        <f t="shared" si="8"/>
        <v>2.0278396622849085E-2</v>
      </c>
      <c r="Z110" s="255" t="str">
        <f>IF(ISNUMBER(SEARCH("C",'WetLitterbags placem_collection'!W37)),"YES","NO")</f>
        <v>NO</v>
      </c>
      <c r="AA110" s="255" t="str">
        <f>IF(ISNUMBER(SEARCH("H", 'WetLitterbags placem_collection'!W37)),"YES","NO")</f>
        <v>NO</v>
      </c>
      <c r="AB110" s="255" t="str">
        <f>IF(ISNUMBER(SEARCH("R", 'WetLitterbags placem_collection'!W37)),"YES","NO")</f>
        <v>NO</v>
      </c>
      <c r="AC110" s="255" t="str">
        <f>IF(ISNUMBER(SEARCH("C", 'WetLitterbags placem_collection'!V37)),"YES","NO")</f>
        <v>NO</v>
      </c>
      <c r="AD110" s="255" t="str">
        <f>IF(ISNUMBER(SEARCH("H", 'WetLitterbags placem_collection'!V37)),"YES","NO")</f>
        <v>NO</v>
      </c>
      <c r="AE110" s="255" t="str">
        <f>IF(ISNUMBER(SEARCH("R", 'WetLitterbags placem_collection'!V37)),"YES","NO")</f>
        <v>NO</v>
      </c>
    </row>
    <row r="111" spans="2:31">
      <c r="B111" t="str">
        <f>'Final data_for_R_analysis_Wetse'!A37</f>
        <v>Wet</v>
      </c>
      <c r="C111" s="263">
        <f>'Final data_for_R_analysis_Wetse'!B37</f>
        <v>36</v>
      </c>
      <c r="D111" t="s">
        <v>3831</v>
      </c>
      <c r="E111" t="s">
        <v>22</v>
      </c>
      <c r="F111" s="387">
        <v>4</v>
      </c>
      <c r="G111" s="16">
        <f>'WetLitterbags placem_collection'!E38</f>
        <v>42765</v>
      </c>
      <c r="H111" t="str">
        <f>'Final data_for_R_analysis_Wetse'!J37</f>
        <v>G507</v>
      </c>
      <c r="I111" t="str">
        <f>'Final data_for_R_analysis_Wetse'!J257</f>
        <v>R126</v>
      </c>
      <c r="J111">
        <f>IFERROR(INDEX('Green_rooibos initial weight'!$C$5:$C$1749,MATCH(H111, 'Green_rooibos initial weight'!$A$5:$A$1749,0)),"")</f>
        <v>1.99</v>
      </c>
      <c r="K111">
        <f>IFERROR(INDEX('Green_rooibos initial weight'!$C$5:$C$1749,MATCH(I111, 'Green_rooibos initial weight'!$A$5:$A$1749,0)),"")</f>
        <v>2.2400000000000002</v>
      </c>
      <c r="L111" s="195">
        <f t="shared" si="2"/>
        <v>1.7402</v>
      </c>
      <c r="M111" s="195">
        <f>AVERAGE(Ashed_controlls!$K$2:$K$11)</f>
        <v>5.5147656768714146</v>
      </c>
      <c r="N111" s="195">
        <f t="shared" si="0"/>
        <v>1.9902000000000002</v>
      </c>
      <c r="O111" s="16">
        <f>IF('WetLitterbags placem_collection'!G38="N.A","",'WetLitterbags placem_collection'!G38)</f>
        <v>42820</v>
      </c>
      <c r="P111" s="195">
        <f>IF(IFERROR(INDEX('Both teabags AfterWet'!$C$3:$C$841,MATCH(H111,'Both teabags AfterWet'!$A$3:$A$841,0)),"")="N.A","",(IFERROR(INDEX('Both teabags AfterWet'!$C$3:$C$841,MATCH(H111,'Both teabags AfterWet'!$A$3:$A$841,0)),"")))</f>
        <v>0.68100000000000005</v>
      </c>
      <c r="Q111" s="195">
        <f>IFERROR(INDEX('Both teabags AfterWet'!$C$3:$C$841,MATCH(I111,'Both teabags AfterWet'!$A$3:$A$841,0)),"")</f>
        <v>1.6180000000000001</v>
      </c>
      <c r="R111" s="195">
        <f t="shared" si="3"/>
        <v>0.53039999999999998</v>
      </c>
      <c r="S111" s="195">
        <f t="shared" si="3"/>
        <v>1.4674</v>
      </c>
      <c r="T111" s="195">
        <f t="shared" si="4"/>
        <v>0.69520744741983687</v>
      </c>
      <c r="U111" s="195">
        <f t="shared" si="5"/>
        <v>0.45576545246526129</v>
      </c>
      <c r="V111" s="195">
        <f t="shared" si="6"/>
        <v>0.73731283288111737</v>
      </c>
      <c r="W111">
        <f t="shared" si="1"/>
        <v>55</v>
      </c>
      <c r="X111" s="195">
        <f t="shared" si="7"/>
        <v>0.17433794843249772</v>
      </c>
      <c r="Y111" s="195">
        <f t="shared" si="8"/>
        <v>1.561604706071891E-2</v>
      </c>
      <c r="Z111" s="255" t="str">
        <f>IF(ISNUMBER(SEARCH("C",'WetLitterbags placem_collection'!W38)),"YES","NO")</f>
        <v>YES</v>
      </c>
      <c r="AA111" s="255" t="str">
        <f>IF(ISNUMBER(SEARCH("H", 'WetLitterbags placem_collection'!W38)),"YES","NO")</f>
        <v>NO</v>
      </c>
      <c r="AB111" s="255" t="str">
        <f>IF(ISNUMBER(SEARCH("R", 'WetLitterbags placem_collection'!W38)),"YES","NO")</f>
        <v>YES</v>
      </c>
      <c r="AC111" s="255" t="str">
        <f>IF(ISNUMBER(SEARCH("C", 'WetLitterbags placem_collection'!V38)),"YES","NO")</f>
        <v>NO</v>
      </c>
      <c r="AD111" s="255" t="str">
        <f>IF(ISNUMBER(SEARCH("H", 'WetLitterbags placem_collection'!V38)),"YES","NO")</f>
        <v>NO</v>
      </c>
      <c r="AE111" s="255" t="str">
        <f>IF(ISNUMBER(SEARCH("R", 'WetLitterbags placem_collection'!V38)),"YES","NO")</f>
        <v>YES</v>
      </c>
    </row>
    <row r="112" spans="2:31">
      <c r="B112" t="str">
        <f>'Final data_for_R_analysis_Wetse'!A38</f>
        <v>Wet</v>
      </c>
      <c r="C112" s="263">
        <f>'Final data_for_R_analysis_Wetse'!B38</f>
        <v>37</v>
      </c>
      <c r="D112" t="s">
        <v>3831</v>
      </c>
      <c r="E112" t="s">
        <v>22</v>
      </c>
      <c r="F112" s="387">
        <v>5</v>
      </c>
      <c r="G112" s="16">
        <f>'WetLitterbags placem_collection'!E39</f>
        <v>42765</v>
      </c>
      <c r="H112" t="str">
        <f>'Final data_for_R_analysis_Wetse'!J38</f>
        <v>G359</v>
      </c>
      <c r="I112" t="str">
        <f>'Final data_for_R_analysis_Wetse'!J258</f>
        <v>R63</v>
      </c>
      <c r="J112">
        <f>IFERROR(INDEX('Green_rooibos initial weight'!$C$5:$C$1749,MATCH(H112, 'Green_rooibos initial weight'!$A$5:$A$1749,0)),"")</f>
        <v>1.9790000000000001</v>
      </c>
      <c r="K112">
        <f>IFERROR(INDEX('Green_rooibos initial weight'!$C$5:$C$1749,MATCH(I112, 'Green_rooibos initial weight'!$A$5:$A$1749,0)),"")</f>
        <v>2.1749999999999998</v>
      </c>
      <c r="L112" s="195">
        <f t="shared" si="2"/>
        <v>1.7292000000000001</v>
      </c>
      <c r="M112" s="195">
        <f>AVERAGE(Ashed_controlls!$K$2:$K$11)</f>
        <v>5.5147656768714146</v>
      </c>
      <c r="N112" s="195">
        <f t="shared" si="0"/>
        <v>1.9251999999999998</v>
      </c>
      <c r="O112" s="16">
        <f>IF('WetLitterbags placem_collection'!G39="N.A","",'WetLitterbags placem_collection'!G39)</f>
        <v>42820</v>
      </c>
      <c r="P112" s="195">
        <f>IF(IFERROR(INDEX('Both teabags AfterWet'!$C$3:$C$841,MATCH(H112,'Both teabags AfterWet'!$A$3:$A$841,0)),"")="N.A","",(IFERROR(INDEX('Both teabags AfterWet'!$C$3:$C$841,MATCH(H112,'Both teabags AfterWet'!$A$3:$A$841,0)),"")))</f>
        <v>0.94699999999999995</v>
      </c>
      <c r="Q112" s="195">
        <f>IFERROR(INDEX('Both teabags AfterWet'!$C$3:$C$841,MATCH(I112,'Both teabags AfterWet'!$A$3:$A$841,0)),"")</f>
        <v>1.3620000000000001</v>
      </c>
      <c r="R112" s="195">
        <f t="shared" si="3"/>
        <v>0.7964</v>
      </c>
      <c r="S112" s="195">
        <f t="shared" si="3"/>
        <v>1.2114</v>
      </c>
      <c r="T112" s="195">
        <f t="shared" si="4"/>
        <v>0.53944020356234101</v>
      </c>
      <c r="U112" s="195">
        <f t="shared" si="5"/>
        <v>0.35364725934253244</v>
      </c>
      <c r="V112" s="195">
        <f t="shared" si="6"/>
        <v>0.62923332640764607</v>
      </c>
      <c r="W112">
        <f t="shared" si="1"/>
        <v>55</v>
      </c>
      <c r="X112" s="195">
        <f t="shared" si="7"/>
        <v>0.35933467510410799</v>
      </c>
      <c r="Y112" s="195" t="str">
        <f t="shared" si="8"/>
        <v/>
      </c>
      <c r="Z112" s="255" t="str">
        <f>IF(ISNUMBER(SEARCH("C",'WetLitterbags placem_collection'!W39)),"YES","NO")</f>
        <v>YES</v>
      </c>
      <c r="AA112" s="255" t="str">
        <f>IF(ISNUMBER(SEARCH("H", 'WetLitterbags placem_collection'!W39)),"YES","NO")</f>
        <v>YES</v>
      </c>
      <c r="AB112" s="255" t="str">
        <f>IF(ISNUMBER(SEARCH("R", 'WetLitterbags placem_collection'!W39)),"YES","NO")</f>
        <v>YES</v>
      </c>
      <c r="AC112" s="255" t="str">
        <f>IF(ISNUMBER(SEARCH("C", 'WetLitterbags placem_collection'!V39)),"YES","NO")</f>
        <v>YES</v>
      </c>
      <c r="AD112" s="255" t="str">
        <f>IF(ISNUMBER(SEARCH("H", 'WetLitterbags placem_collection'!V39)),"YES","NO")</f>
        <v>YES</v>
      </c>
      <c r="AE112" s="255" t="str">
        <f>IF(ISNUMBER(SEARCH("R", 'WetLitterbags placem_collection'!V39)),"YES","NO")</f>
        <v>NO</v>
      </c>
    </row>
    <row r="113" spans="2:31">
      <c r="B113" t="str">
        <f>'Final data_for_R_analysis_Wetse'!A39</f>
        <v>Wet</v>
      </c>
      <c r="C113" s="263">
        <f>'Final data_for_R_analysis_Wetse'!B39</f>
        <v>38</v>
      </c>
      <c r="D113" t="s">
        <v>3831</v>
      </c>
      <c r="E113" t="s">
        <v>22</v>
      </c>
      <c r="F113" s="387">
        <v>6</v>
      </c>
      <c r="G113" s="16">
        <f>'WetLitterbags placem_collection'!E40</f>
        <v>42765</v>
      </c>
      <c r="H113" t="str">
        <f>'Final data_for_R_analysis_Wetse'!J39</f>
        <v>G499</v>
      </c>
      <c r="I113" t="str">
        <f>'Final data_for_R_analysis_Wetse'!J259</f>
        <v>R87</v>
      </c>
      <c r="J113">
        <f>IFERROR(INDEX('Green_rooibos initial weight'!$C$5:$C$1749,MATCH(H113, 'Green_rooibos initial weight'!$A$5:$A$1749,0)),"")</f>
        <v>1.9419999999999999</v>
      </c>
      <c r="K113">
        <f>IFERROR(INDEX('Green_rooibos initial weight'!$C$5:$C$1749,MATCH(I113, 'Green_rooibos initial weight'!$A$5:$A$1749,0)),"")</f>
        <v>2.2930000000000001</v>
      </c>
      <c r="L113" s="195">
        <f t="shared" si="2"/>
        <v>1.6921999999999999</v>
      </c>
      <c r="M113" s="195">
        <f>AVERAGE(Ashed_controlls!$K$2:$K$11)</f>
        <v>5.5147656768714146</v>
      </c>
      <c r="N113" s="195">
        <f t="shared" si="0"/>
        <v>2.0432000000000001</v>
      </c>
      <c r="O113" s="16">
        <f>IF('WetLitterbags placem_collection'!G40="N.A","",'WetLitterbags placem_collection'!G40)</f>
        <v>42820</v>
      </c>
      <c r="P113" s="195">
        <f>IF(IFERROR(INDEX('Both teabags AfterWet'!$C$3:$C$841,MATCH(H113,'Both teabags AfterWet'!$A$3:$A$841,0)),"")="N.A","",(IFERROR(INDEX('Both teabags AfterWet'!$C$3:$C$841,MATCH(H113,'Both teabags AfterWet'!$A$3:$A$841,0)),"")))</f>
        <v>1.4741</v>
      </c>
      <c r="Q113" s="195">
        <f>IFERROR(INDEX('Both teabags AfterWet'!$C$3:$C$841,MATCH(I113,'Both teabags AfterWet'!$A$3:$A$841,0)),"")</f>
        <v>1.1399999999999999</v>
      </c>
      <c r="R113" s="195">
        <f t="shared" si="3"/>
        <v>1.3234999999999999</v>
      </c>
      <c r="S113" s="195">
        <f t="shared" si="3"/>
        <v>0.98939999999999984</v>
      </c>
      <c r="T113" s="195">
        <f t="shared" si="4"/>
        <v>0.2178820470393571</v>
      </c>
      <c r="U113" s="195">
        <f t="shared" si="5"/>
        <v>0.14283953677639566</v>
      </c>
      <c r="V113" s="195">
        <f t="shared" si="6"/>
        <v>0.48424040720438516</v>
      </c>
      <c r="W113">
        <f t="shared" si="1"/>
        <v>55</v>
      </c>
      <c r="X113" s="195">
        <f t="shared" si="7"/>
        <v>0.74123272323116729</v>
      </c>
      <c r="Y113" s="195" t="str">
        <f t="shared" si="8"/>
        <v/>
      </c>
      <c r="Z113" s="255" t="str">
        <f>IF(ISNUMBER(SEARCH("C",'WetLitterbags placem_collection'!W40)),"YES","NO")</f>
        <v>YES</v>
      </c>
      <c r="AA113" s="255" t="str">
        <f>IF(ISNUMBER(SEARCH("H", 'WetLitterbags placem_collection'!W40)),"YES","NO")</f>
        <v>YES</v>
      </c>
      <c r="AB113" s="255" t="str">
        <f>IF(ISNUMBER(SEARCH("R", 'WetLitterbags placem_collection'!W40)),"YES","NO")</f>
        <v>NO</v>
      </c>
      <c r="AC113" s="255" t="str">
        <f>IF(ISNUMBER(SEARCH("C", 'WetLitterbags placem_collection'!V40)),"YES","NO")</f>
        <v>YES</v>
      </c>
      <c r="AD113" s="255" t="str">
        <f>IF(ISNUMBER(SEARCH("H", 'WetLitterbags placem_collection'!V40)),"YES","NO")</f>
        <v>YES</v>
      </c>
      <c r="AE113" s="255" t="str">
        <f>IF(ISNUMBER(SEARCH("R", 'WetLitterbags placem_collection'!V40)),"YES","NO")</f>
        <v>YES</v>
      </c>
    </row>
    <row r="114" spans="2:31">
      <c r="B114" t="str">
        <f>'Final data_for_R_analysis_Wetse'!A40</f>
        <v>Wet</v>
      </c>
      <c r="C114" s="263">
        <f>'Final data_for_R_analysis_Wetse'!B40</f>
        <v>39</v>
      </c>
      <c r="D114" t="s">
        <v>3831</v>
      </c>
      <c r="E114" t="s">
        <v>22</v>
      </c>
      <c r="F114" s="387">
        <v>7</v>
      </c>
      <c r="G114" s="16">
        <f>'WetLitterbags placem_collection'!E41</f>
        <v>42765</v>
      </c>
      <c r="H114" t="str">
        <f>'Final data_for_R_analysis_Wetse'!J40</f>
        <v>G214</v>
      </c>
      <c r="I114" t="str">
        <f>'Final data_for_R_analysis_Wetse'!J260</f>
        <v>R437</v>
      </c>
      <c r="J114">
        <f>IFERROR(INDEX('Green_rooibos initial weight'!$C$5:$C$1749,MATCH(H114, 'Green_rooibos initial weight'!$A$5:$A$1749,0)),"")</f>
        <v>1.9850000000000001</v>
      </c>
      <c r="K114">
        <f>IFERROR(INDEX('Green_rooibos initial weight'!$C$5:$C$1749,MATCH(I114, 'Green_rooibos initial weight'!$A$5:$A$1749,0)),"")</f>
        <v>2.1970000000000001</v>
      </c>
      <c r="L114" s="195">
        <f t="shared" si="2"/>
        <v>1.7352000000000001</v>
      </c>
      <c r="M114" s="195">
        <f>AVERAGE(Ashed_controlls!$K$2:$K$11)</f>
        <v>5.5147656768714146</v>
      </c>
      <c r="N114" s="195">
        <f t="shared" si="0"/>
        <v>1.9472</v>
      </c>
      <c r="O114" s="16">
        <f>IF('WetLitterbags placem_collection'!G41="N.A","",'WetLitterbags placem_collection'!G41)</f>
        <v>42820</v>
      </c>
      <c r="P114" s="195">
        <f>IF(IFERROR(INDEX('Both teabags AfterWet'!$C$3:$C$841,MATCH(H114,'Both teabags AfterWet'!$A$3:$A$841,0)),"")="N.A","",(IFERROR(INDEX('Both teabags AfterWet'!$C$3:$C$841,MATCH(H114,'Both teabags AfterWet'!$A$3:$A$841,0)),"")))</f>
        <v>0.8327</v>
      </c>
      <c r="Q114" s="195">
        <f>IFERROR(INDEX('Both teabags AfterWet'!$C$3:$C$841,MATCH(I114,'Both teabags AfterWet'!$A$3:$A$841,0)),"")</f>
        <v>1.4531000000000001</v>
      </c>
      <c r="R114" s="195">
        <f t="shared" si="3"/>
        <v>0.68209999999999993</v>
      </c>
      <c r="S114" s="195">
        <f t="shared" si="3"/>
        <v>1.3025</v>
      </c>
      <c r="T114" s="195">
        <f t="shared" si="4"/>
        <v>0.60690410327339794</v>
      </c>
      <c r="U114" s="195">
        <f t="shared" si="5"/>
        <v>0.39787537411747709</v>
      </c>
      <c r="V114" s="195">
        <f t="shared" si="6"/>
        <v>0.66890920295809364</v>
      </c>
      <c r="W114">
        <f t="shared" si="1"/>
        <v>55</v>
      </c>
      <c r="X114" s="195">
        <f t="shared" si="7"/>
        <v>0.27921127877268648</v>
      </c>
      <c r="Y114" s="195">
        <f t="shared" si="8"/>
        <v>3.2448484620141875E-2</v>
      </c>
      <c r="Z114" s="255" t="str">
        <f>IF(ISNUMBER(SEARCH("C",'WetLitterbags placem_collection'!W41)),"YES","NO")</f>
        <v>NO</v>
      </c>
      <c r="AA114" s="255" t="str">
        <f>IF(ISNUMBER(SEARCH("H", 'WetLitterbags placem_collection'!W41)),"YES","NO")</f>
        <v>NO</v>
      </c>
      <c r="AB114" s="255" t="str">
        <f>IF(ISNUMBER(SEARCH("R", 'WetLitterbags placem_collection'!W41)),"YES","NO")</f>
        <v>YES</v>
      </c>
      <c r="AC114" s="255" t="str">
        <f>IF(ISNUMBER(SEARCH("C", 'WetLitterbags placem_collection'!V41)),"YES","NO")</f>
        <v>NO</v>
      </c>
      <c r="AD114" s="255" t="str">
        <f>IF(ISNUMBER(SEARCH("H", 'WetLitterbags placem_collection'!V41)),"YES","NO")</f>
        <v>NO</v>
      </c>
      <c r="AE114" s="255" t="str">
        <f>IF(ISNUMBER(SEARCH("R", 'WetLitterbags placem_collection'!V41)),"YES","NO")</f>
        <v>YES</v>
      </c>
    </row>
    <row r="115" spans="2:31">
      <c r="B115" t="str">
        <f>'Final data_for_R_analysis_Wetse'!A41</f>
        <v>Wet</v>
      </c>
      <c r="C115" s="263">
        <f>'Final data_for_R_analysis_Wetse'!B41</f>
        <v>40</v>
      </c>
      <c r="D115" t="s">
        <v>3831</v>
      </c>
      <c r="E115" t="s">
        <v>22</v>
      </c>
      <c r="F115" s="387">
        <v>8</v>
      </c>
      <c r="G115" s="16">
        <f>'WetLitterbags placem_collection'!E42</f>
        <v>42765</v>
      </c>
      <c r="H115" t="str">
        <f>'Final data_for_R_analysis_Wetse'!J41</f>
        <v>G582</v>
      </c>
      <c r="I115" t="str">
        <f>'Final data_for_R_analysis_Wetse'!J261</f>
        <v>R114</v>
      </c>
      <c r="J115">
        <f>IFERROR(INDEX('Green_rooibos initial weight'!$C$5:$C$1749,MATCH(H115, 'Green_rooibos initial weight'!$A$5:$A$1749,0)),"")</f>
        <v>2.0219999999999998</v>
      </c>
      <c r="K115">
        <f>IFERROR(INDEX('Green_rooibos initial weight'!$C$5:$C$1749,MATCH(I115, 'Green_rooibos initial weight'!$A$5:$A$1749,0)),"")</f>
        <v>2.2450000000000001</v>
      </c>
      <c r="L115" s="195">
        <f t="shared" si="2"/>
        <v>1.7721999999999998</v>
      </c>
      <c r="M115" s="195">
        <f>AVERAGE(Ashed_controlls!$K$2:$K$11)</f>
        <v>5.5147656768714146</v>
      </c>
      <c r="N115" s="195">
        <f t="shared" si="0"/>
        <v>1.9952000000000001</v>
      </c>
      <c r="O115" s="16">
        <f>IF('WetLitterbags placem_collection'!G42="N.A","",'WetLitterbags placem_collection'!G42)</f>
        <v>42820</v>
      </c>
      <c r="P115" s="195">
        <f>IF(IFERROR(INDEX('Both teabags AfterWet'!$C$3:$C$841,MATCH(H115,'Both teabags AfterWet'!$A$3:$A$841,0)),"")="N.A","",(IFERROR(INDEX('Both teabags AfterWet'!$C$3:$C$841,MATCH(H115,'Both teabags AfterWet'!$A$3:$A$841,0)),"")))</f>
        <v>0.89800000000000002</v>
      </c>
      <c r="Q115" s="195">
        <f>IFERROR(INDEX('Both teabags AfterWet'!$C$3:$C$841,MATCH(I115,'Both teabags AfterWet'!$A$3:$A$841,0)),"")</f>
        <v>2.2269999999999999</v>
      </c>
      <c r="R115" s="195">
        <f t="shared" si="3"/>
        <v>0.74740000000000006</v>
      </c>
      <c r="S115" s="195">
        <f t="shared" si="3"/>
        <v>2.0764</v>
      </c>
      <c r="T115" s="195">
        <f t="shared" si="4"/>
        <v>0.57826430425459874</v>
      </c>
      <c r="U115" s="195">
        <f t="shared" si="5"/>
        <v>0.37909963889375126</v>
      </c>
      <c r="V115" s="195">
        <f t="shared" si="6"/>
        <v>1.0406976744186047</v>
      </c>
      <c r="W115">
        <f t="shared" si="1"/>
        <v>55</v>
      </c>
      <c r="X115" s="195">
        <f t="shared" si="7"/>
        <v>0.31322529185914638</v>
      </c>
      <c r="Y115" s="195">
        <f t="shared" si="8"/>
        <v>-1.8540534083072672E-3</v>
      </c>
      <c r="Z115" s="255" t="str">
        <f>IF(ISNUMBER(SEARCH("C",'WetLitterbags placem_collection'!W42)),"YES","NO")</f>
        <v>NO</v>
      </c>
      <c r="AA115" s="255" t="str">
        <f>IF(ISNUMBER(SEARCH("H", 'WetLitterbags placem_collection'!W42)),"YES","NO")</f>
        <v>YES</v>
      </c>
      <c r="AB115" s="255" t="str">
        <f>IF(ISNUMBER(SEARCH("R", 'WetLitterbags placem_collection'!W42)),"YES","NO")</f>
        <v>NO</v>
      </c>
      <c r="AC115" s="255" t="str">
        <f>IF(ISNUMBER(SEARCH("C", 'WetLitterbags placem_collection'!V42)),"YES","NO")</f>
        <v>NO</v>
      </c>
      <c r="AD115" s="255" t="str">
        <f>IF(ISNUMBER(SEARCH("H", 'WetLitterbags placem_collection'!V42)),"YES","NO")</f>
        <v>YES</v>
      </c>
      <c r="AE115" s="255" t="str">
        <f>IF(ISNUMBER(SEARCH("R", 'WetLitterbags placem_collection'!V42)),"YES","NO")</f>
        <v>NO</v>
      </c>
    </row>
    <row r="116" spans="2:31">
      <c r="B116" t="str">
        <f>'Final data_for_R_analysis_Wetse'!A42</f>
        <v>Wet</v>
      </c>
      <c r="C116" s="263">
        <f>'Final data_for_R_analysis_Wetse'!B42</f>
        <v>41</v>
      </c>
      <c r="D116" t="s">
        <v>3833</v>
      </c>
      <c r="E116" t="s">
        <v>22</v>
      </c>
      <c r="F116" s="386">
        <v>1</v>
      </c>
      <c r="G116" s="16">
        <f>'WetLitterbags placem_collection'!E43</f>
        <v>42766</v>
      </c>
      <c r="H116" t="str">
        <f>'Final data_for_R_analysis_Wetse'!J42</f>
        <v>G453</v>
      </c>
      <c r="I116" t="str">
        <f>'Final data_for_R_analysis_Wetse'!J262</f>
        <v>R521</v>
      </c>
      <c r="J116">
        <f>IFERROR(INDEX('Green_rooibos initial weight'!$C$5:$C$1749,MATCH(H116, 'Green_rooibos initial weight'!$A$5:$A$1749,0)),"")</f>
        <v>2.0790000000000002</v>
      </c>
      <c r="K116">
        <f>IFERROR(INDEX('Green_rooibos initial weight'!$C$5:$C$1749,MATCH(I116, 'Green_rooibos initial weight'!$A$5:$A$1749,0)),"")</f>
        <v>2.1440000000000001</v>
      </c>
      <c r="L116" s="195">
        <f t="shared" si="2"/>
        <v>1.8292000000000002</v>
      </c>
      <c r="M116" s="195">
        <f>AVERAGE(Ashed_controlls!$K$2:$K$11)</f>
        <v>5.5147656768714146</v>
      </c>
      <c r="N116" s="195">
        <f t="shared" si="0"/>
        <v>1.8942000000000001</v>
      </c>
      <c r="O116" s="16">
        <f>IF('WetLitterbags placem_collection'!G43="N.A","",'WetLitterbags placem_collection'!G43)</f>
        <v>42820</v>
      </c>
      <c r="P116" s="195">
        <f>IF(IFERROR(INDEX('Both teabags AfterWet'!$C$3:$C$841,MATCH(H116,'Both teabags AfterWet'!$A$3:$A$841,0)),"")="N.A","",(IFERROR(INDEX('Both teabags AfterWet'!$C$3:$C$841,MATCH(H116,'Both teabags AfterWet'!$A$3:$A$841,0)),"")))</f>
        <v>1.0509999999999999</v>
      </c>
      <c r="Q116" s="195">
        <f>IFERROR(INDEX('Both teabags AfterWet'!$C$3:$C$841,MATCH(I116,'Both teabags AfterWet'!$A$3:$A$841,0)),"")</f>
        <v>1.512</v>
      </c>
      <c r="R116" s="195">
        <f t="shared" si="3"/>
        <v>0.90039999999999987</v>
      </c>
      <c r="S116" s="195">
        <f t="shared" si="3"/>
        <v>1.3613999999999999</v>
      </c>
      <c r="T116" s="195">
        <f t="shared" si="4"/>
        <v>0.50776295648370884</v>
      </c>
      <c r="U116" s="195">
        <f t="shared" si="5"/>
        <v>0.33288022800357164</v>
      </c>
      <c r="V116" s="195">
        <f t="shared" si="6"/>
        <v>0.71872030408615772</v>
      </c>
      <c r="W116">
        <f t="shared" si="1"/>
        <v>54</v>
      </c>
      <c r="X116" s="195">
        <f t="shared" si="7"/>
        <v>0.39695610868918185</v>
      </c>
      <c r="Y116" s="195">
        <f t="shared" si="8"/>
        <v>3.4523162321590306E-2</v>
      </c>
      <c r="Z116" s="255" t="str">
        <f>IF(ISNUMBER(SEARCH("C",'WetLitterbags placem_collection'!W43)),"YES","NO")</f>
        <v>NO</v>
      </c>
      <c r="AA116" s="255" t="str">
        <f>IF(ISNUMBER(SEARCH("H", 'WetLitterbags placem_collection'!W43)),"YES","NO")</f>
        <v>NO</v>
      </c>
      <c r="AB116" s="255" t="str">
        <f>IF(ISNUMBER(SEARCH("R", 'WetLitterbags placem_collection'!W43)),"YES","NO")</f>
        <v>NO</v>
      </c>
      <c r="AC116" s="255" t="str">
        <f>IF(ISNUMBER(SEARCH("C", 'WetLitterbags placem_collection'!V43)),"YES","NO")</f>
        <v>NO</v>
      </c>
      <c r="AD116" s="255" t="str">
        <f>IF(ISNUMBER(SEARCH("H", 'WetLitterbags placem_collection'!V43)),"YES","NO")</f>
        <v>YES</v>
      </c>
      <c r="AE116" s="255" t="str">
        <f>IF(ISNUMBER(SEARCH("R", 'WetLitterbags placem_collection'!V43)),"YES","NO")</f>
        <v>YES</v>
      </c>
    </row>
    <row r="117" spans="2:31">
      <c r="B117" t="str">
        <f>'Final data_for_R_analysis_Wetse'!A43</f>
        <v>Wet</v>
      </c>
      <c r="C117" s="263">
        <f>'Final data_for_R_analysis_Wetse'!B43</f>
        <v>42</v>
      </c>
      <c r="D117" t="s">
        <v>3833</v>
      </c>
      <c r="E117" t="s">
        <v>22</v>
      </c>
      <c r="F117" s="386">
        <v>2</v>
      </c>
      <c r="G117" s="16">
        <f>'WetLitterbags placem_collection'!E44</f>
        <v>42766</v>
      </c>
      <c r="H117" t="str">
        <f>'Final data_for_R_analysis_Wetse'!J43</f>
        <v>G764</v>
      </c>
      <c r="I117" t="str">
        <f>'Final data_for_R_analysis_Wetse'!J263</f>
        <v>R371</v>
      </c>
      <c r="J117">
        <f>IFERROR(INDEX('Green_rooibos initial weight'!$C$5:$C$1749,MATCH(H117, 'Green_rooibos initial weight'!$A$5:$A$1749,0)),"")</f>
        <v>1.9510000000000001</v>
      </c>
      <c r="K117">
        <f>IFERROR(INDEX('Green_rooibos initial weight'!$C$5:$C$1749,MATCH(I117, 'Green_rooibos initial weight'!$A$5:$A$1749,0)),"")</f>
        <v>2.2530000000000001</v>
      </c>
      <c r="L117" s="195">
        <f t="shared" si="2"/>
        <v>1.7012</v>
      </c>
      <c r="M117" s="195">
        <f>AVERAGE(Ashed_controlls!$K$2:$K$11)</f>
        <v>5.5147656768714146</v>
      </c>
      <c r="N117" s="195">
        <f t="shared" si="0"/>
        <v>2.0032000000000001</v>
      </c>
      <c r="O117" s="16">
        <f>IF('WetLitterbags placem_collection'!G44="N.A","",'WetLitterbags placem_collection'!G44)</f>
        <v>42820</v>
      </c>
      <c r="P117" s="195">
        <f>IF(IFERROR(INDEX('Both teabags AfterWet'!$C$3:$C$841,MATCH(H117,'Both teabags AfterWet'!$A$3:$A$841,0)),"")="N.A","",(IFERROR(INDEX('Both teabags AfterWet'!$C$3:$C$841,MATCH(H117,'Both teabags AfterWet'!$A$3:$A$841,0)),"")))</f>
        <v>0.72199999999999998</v>
      </c>
      <c r="Q117" s="195">
        <f>IFERROR(INDEX('Both teabags AfterWet'!$C$3:$C$841,MATCH(I117,'Both teabags AfterWet'!$A$3:$A$841,0)),"")</f>
        <v>1.649</v>
      </c>
      <c r="R117" s="195">
        <f t="shared" si="3"/>
        <v>0.57139999999999991</v>
      </c>
      <c r="S117" s="195">
        <f t="shared" si="3"/>
        <v>1.4984</v>
      </c>
      <c r="T117" s="195">
        <f t="shared" si="4"/>
        <v>0.66411944509757825</v>
      </c>
      <c r="U117" s="195">
        <f t="shared" si="5"/>
        <v>0.43538471935138151</v>
      </c>
      <c r="V117" s="195">
        <f t="shared" si="6"/>
        <v>0.7480031948881789</v>
      </c>
      <c r="W117">
        <f t="shared" si="1"/>
        <v>54</v>
      </c>
      <c r="X117" s="195">
        <f t="shared" si="7"/>
        <v>0.21125956639242482</v>
      </c>
      <c r="Y117" s="195">
        <f t="shared" si="8"/>
        <v>1.6011599874893426E-2</v>
      </c>
      <c r="Z117" s="255" t="str">
        <f>IF(ISNUMBER(SEARCH("C",'WetLitterbags placem_collection'!W44)),"YES","NO")</f>
        <v>NO</v>
      </c>
      <c r="AA117" s="255" t="str">
        <f>IF(ISNUMBER(SEARCH("H", 'WetLitterbags placem_collection'!W44)),"YES","NO")</f>
        <v>NO</v>
      </c>
      <c r="AB117" s="255" t="str">
        <f>IF(ISNUMBER(SEARCH("R", 'WetLitterbags placem_collection'!W44)),"YES","NO")</f>
        <v>NO</v>
      </c>
      <c r="AC117" s="255" t="str">
        <f>IF(ISNUMBER(SEARCH("C", 'WetLitterbags placem_collection'!V44)),"YES","NO")</f>
        <v>NO</v>
      </c>
      <c r="AD117" s="255" t="str">
        <f>IF(ISNUMBER(SEARCH("H", 'WetLitterbags placem_collection'!V44)),"YES","NO")</f>
        <v>YES</v>
      </c>
      <c r="AE117" s="255" t="str">
        <f>IF(ISNUMBER(SEARCH("R", 'WetLitterbags placem_collection'!V44)),"YES","NO")</f>
        <v>NO</v>
      </c>
    </row>
    <row r="118" spans="2:31">
      <c r="B118" t="str">
        <f>'Final data_for_R_analysis_Wetse'!A44</f>
        <v>Wet</v>
      </c>
      <c r="C118" s="263">
        <f>'Final data_for_R_analysis_Wetse'!B44</f>
        <v>43</v>
      </c>
      <c r="D118" t="s">
        <v>3833</v>
      </c>
      <c r="E118" t="s">
        <v>22</v>
      </c>
      <c r="F118" s="386">
        <v>3</v>
      </c>
      <c r="G118" s="16">
        <f>'WetLitterbags placem_collection'!E45</f>
        <v>42766</v>
      </c>
      <c r="H118" t="str">
        <f>'Final data_for_R_analysis_Wetse'!J44</f>
        <v>G690</v>
      </c>
      <c r="I118" t="str">
        <f>'Final data_for_R_analysis_Wetse'!J264</f>
        <v>R376</v>
      </c>
      <c r="J118">
        <f>IFERROR(INDEX('Green_rooibos initial weight'!$C$5:$C$1749,MATCH(H118, 'Green_rooibos initial weight'!$A$5:$A$1749,0)),"")</f>
        <v>2.0739999999999998</v>
      </c>
      <c r="K118">
        <f>IFERROR(INDEX('Green_rooibos initial weight'!$C$5:$C$1749,MATCH(I118, 'Green_rooibos initial weight'!$A$5:$A$1749,0)),"")</f>
        <v>2.177</v>
      </c>
      <c r="L118" s="195">
        <f t="shared" si="2"/>
        <v>1.8241999999999998</v>
      </c>
      <c r="M118" s="195">
        <f>AVERAGE(Ashed_controlls!$K$2:$K$11)</f>
        <v>5.5147656768714146</v>
      </c>
      <c r="N118" s="195">
        <f t="shared" si="0"/>
        <v>1.9272</v>
      </c>
      <c r="O118" s="16">
        <f>IF('WetLitterbags placem_collection'!G45="N.A","",'WetLitterbags placem_collection'!G45)</f>
        <v>42820</v>
      </c>
      <c r="P118" s="195">
        <f>IF(IFERROR(INDEX('Both teabags AfterWet'!$C$3:$C$841,MATCH(H118,'Both teabags AfterWet'!$A$3:$A$841,0)),"")="N.A","",(IFERROR(INDEX('Both teabags AfterWet'!$C$3:$C$841,MATCH(H118,'Both teabags AfterWet'!$A$3:$A$841,0)),"")))</f>
        <v>0.71519999999999995</v>
      </c>
      <c r="Q118" s="195">
        <f>IFERROR(INDEX('Both teabags AfterWet'!$C$3:$C$841,MATCH(I118,'Both teabags AfterWet'!$A$3:$A$841,0)),"")</f>
        <v>1.3532999999999999</v>
      </c>
      <c r="R118" s="195">
        <f t="shared" si="3"/>
        <v>0.56459999999999999</v>
      </c>
      <c r="S118" s="195">
        <f t="shared" si="3"/>
        <v>1.2026999999999999</v>
      </c>
      <c r="T118" s="195">
        <f t="shared" si="4"/>
        <v>0.69049446332638964</v>
      </c>
      <c r="U118" s="195">
        <f t="shared" si="5"/>
        <v>0.45267570517359518</v>
      </c>
      <c r="V118" s="195">
        <f t="shared" si="6"/>
        <v>0.62406600249065991</v>
      </c>
      <c r="W118">
        <f t="shared" si="1"/>
        <v>54</v>
      </c>
      <c r="X118" s="195">
        <f t="shared" si="7"/>
        <v>0.17993531671450158</v>
      </c>
      <c r="Y118" s="195">
        <f t="shared" si="8"/>
        <v>3.2865382394999997E-2</v>
      </c>
      <c r="Z118" s="255" t="str">
        <f>IF(ISNUMBER(SEARCH("C",'WetLitterbags placem_collection'!W45)),"YES","NO")</f>
        <v>YES</v>
      </c>
      <c r="AA118" s="255" t="str">
        <f>IF(ISNUMBER(SEARCH("H", 'WetLitterbags placem_collection'!W45)),"YES","NO")</f>
        <v>YES</v>
      </c>
      <c r="AB118" s="255" t="str">
        <f>IF(ISNUMBER(SEARCH("R", 'WetLitterbags placem_collection'!W45)),"YES","NO")</f>
        <v>NO</v>
      </c>
      <c r="AC118" s="255" t="str">
        <f>IF(ISNUMBER(SEARCH("C", 'WetLitterbags placem_collection'!V45)),"YES","NO")</f>
        <v>NO</v>
      </c>
      <c r="AD118" s="255" t="str">
        <f>IF(ISNUMBER(SEARCH("H", 'WetLitterbags placem_collection'!V45)),"YES","NO")</f>
        <v>YES</v>
      </c>
      <c r="AE118" s="255" t="str">
        <f>IF(ISNUMBER(SEARCH("R", 'WetLitterbags placem_collection'!V45)),"YES","NO")</f>
        <v>YES</v>
      </c>
    </row>
    <row r="119" spans="2:31">
      <c r="B119" t="str">
        <f>'Final data_for_R_analysis_Wetse'!A45</f>
        <v>Wet</v>
      </c>
      <c r="C119" s="263">
        <f>'Final data_for_R_analysis_Wetse'!B45</f>
        <v>44</v>
      </c>
      <c r="D119" t="s">
        <v>3833</v>
      </c>
      <c r="E119" t="s">
        <v>22</v>
      </c>
      <c r="F119" s="387">
        <v>4</v>
      </c>
      <c r="G119" s="16">
        <f>'WetLitterbags placem_collection'!E46</f>
        <v>42766</v>
      </c>
      <c r="H119" t="str">
        <f>'Final data_for_R_analysis_Wetse'!J45</f>
        <v>G774</v>
      </c>
      <c r="I119" t="str">
        <f>'Final data_for_R_analysis_Wetse'!J265</f>
        <v>R166</v>
      </c>
      <c r="J119">
        <f>IFERROR(INDEX('Green_rooibos initial weight'!$C$5:$C$1749,MATCH(H119, 'Green_rooibos initial weight'!$A$5:$A$1749,0)),"")</f>
        <v>2.0049999999999999</v>
      </c>
      <c r="K119">
        <f>IFERROR(INDEX('Green_rooibos initial weight'!$C$5:$C$1749,MATCH(I119, 'Green_rooibos initial weight'!$A$5:$A$1749,0)),"")</f>
        <v>2.222</v>
      </c>
      <c r="L119" s="195">
        <f t="shared" si="2"/>
        <v>1.7551999999999999</v>
      </c>
      <c r="M119" s="195">
        <f>AVERAGE(Ashed_controlls!$K$2:$K$11)</f>
        <v>5.5147656768714146</v>
      </c>
      <c r="N119" s="195">
        <f t="shared" si="0"/>
        <v>1.9722</v>
      </c>
      <c r="O119" s="16">
        <f>IF('WetLitterbags placem_collection'!G46="N.A","",'WetLitterbags placem_collection'!G46)</f>
        <v>42820</v>
      </c>
      <c r="P119" s="195">
        <f>IF(IFERROR(INDEX('Both teabags AfterWet'!$C$3:$C$841,MATCH(H119,'Both teabags AfterWet'!$A$3:$A$841,0)),"")="N.A","",(IFERROR(INDEX('Both teabags AfterWet'!$C$3:$C$841,MATCH(H119,'Both teabags AfterWet'!$A$3:$A$841,0)),"")))</f>
        <v>0.89559999999999995</v>
      </c>
      <c r="Q119" s="195">
        <f>IFERROR(INDEX('Both teabags AfterWet'!$C$3:$C$841,MATCH(I119,'Both teabags AfterWet'!$A$3:$A$841,0)),"")</f>
        <v>1.6101000000000001</v>
      </c>
      <c r="R119" s="195">
        <f t="shared" si="3"/>
        <v>0.74499999999999988</v>
      </c>
      <c r="S119" s="195">
        <f t="shared" si="3"/>
        <v>1.4595</v>
      </c>
      <c r="T119" s="195">
        <f t="shared" si="4"/>
        <v>0.57554694621695535</v>
      </c>
      <c r="U119" s="195">
        <f t="shared" si="5"/>
        <v>0.37731818801871658</v>
      </c>
      <c r="V119" s="195">
        <f t="shared" si="6"/>
        <v>0.74003650745360516</v>
      </c>
      <c r="W119">
        <f t="shared" si="1"/>
        <v>54</v>
      </c>
      <c r="X119" s="195">
        <f t="shared" si="7"/>
        <v>0.31645255793710769</v>
      </c>
      <c r="Y119" s="195">
        <f t="shared" si="8"/>
        <v>2.1627553657165281E-2</v>
      </c>
      <c r="Z119" s="255" t="str">
        <f>IF(ISNUMBER(SEARCH("C",'WetLitterbags placem_collection'!W46)),"YES","NO")</f>
        <v>NO</v>
      </c>
      <c r="AA119" s="255" t="str">
        <f>IF(ISNUMBER(SEARCH("H", 'WetLitterbags placem_collection'!W46)),"YES","NO")</f>
        <v>NO</v>
      </c>
      <c r="AB119" s="255" t="str">
        <f>IF(ISNUMBER(SEARCH("R", 'WetLitterbags placem_collection'!W46)),"YES","NO")</f>
        <v>YES</v>
      </c>
      <c r="AC119" s="255" t="str">
        <f>IF(ISNUMBER(SEARCH("C", 'WetLitterbags placem_collection'!V46)),"YES","NO")</f>
        <v>NO</v>
      </c>
      <c r="AD119" s="255" t="str">
        <f>IF(ISNUMBER(SEARCH("H", 'WetLitterbags placem_collection'!V46)),"YES","NO")</f>
        <v>NO</v>
      </c>
      <c r="AE119" s="255" t="str">
        <f>IF(ISNUMBER(SEARCH("R", 'WetLitterbags placem_collection'!V46)),"YES","NO")</f>
        <v>YES</v>
      </c>
    </row>
    <row r="120" spans="2:31">
      <c r="B120" t="str">
        <f>'Final data_for_R_analysis_Wetse'!A46</f>
        <v>Wet</v>
      </c>
      <c r="C120" s="263">
        <f>'Final data_for_R_analysis_Wetse'!B46</f>
        <v>45</v>
      </c>
      <c r="D120" t="s">
        <v>3833</v>
      </c>
      <c r="E120" t="s">
        <v>22</v>
      </c>
      <c r="F120" s="387">
        <v>5</v>
      </c>
      <c r="G120" s="16">
        <f>'WetLitterbags placem_collection'!E47</f>
        <v>42766</v>
      </c>
      <c r="H120" t="str">
        <f>'Final data_for_R_analysis_Wetse'!J46</f>
        <v>G519</v>
      </c>
      <c r="I120" t="str">
        <f>'Final data_for_R_analysis_Wetse'!J266</f>
        <v>R469</v>
      </c>
      <c r="J120">
        <f>IFERROR(INDEX('Green_rooibos initial weight'!$C$5:$C$1749,MATCH(H120, 'Green_rooibos initial weight'!$A$5:$A$1749,0)),"")</f>
        <v>2.1429999999999998</v>
      </c>
      <c r="K120">
        <f>IFERROR(INDEX('Green_rooibos initial weight'!$C$5:$C$1749,MATCH(I120, 'Green_rooibos initial weight'!$A$5:$A$1749,0)),"")</f>
        <v>2.2309999999999999</v>
      </c>
      <c r="L120" s="195">
        <f t="shared" si="2"/>
        <v>1.8931999999999998</v>
      </c>
      <c r="M120" s="195">
        <f>AVERAGE(Ashed_controlls!$K$2:$K$11)</f>
        <v>5.5147656768714146</v>
      </c>
      <c r="N120" s="195">
        <f t="shared" si="0"/>
        <v>1.9811999999999999</v>
      </c>
      <c r="O120" s="16">
        <f>IF('WetLitterbags placem_collection'!G47="N.A","",'WetLitterbags placem_collection'!G47)</f>
        <v>42820</v>
      </c>
      <c r="P120" s="195">
        <f>IF(IFERROR(INDEX('Both teabags AfterWet'!$C$3:$C$841,MATCH(H120,'Both teabags AfterWet'!$A$3:$A$841,0)),"")="N.A","",(IFERROR(INDEX('Both teabags AfterWet'!$C$3:$C$841,MATCH(H120,'Both teabags AfterWet'!$A$3:$A$841,0)),"")))</f>
        <v>0.77569999999999995</v>
      </c>
      <c r="Q120" s="195">
        <f>IFERROR(INDEX('Both teabags AfterWet'!$C$3:$C$841,MATCH(I120,'Both teabags AfterWet'!$A$3:$A$841,0)),"")</f>
        <v>1.5804</v>
      </c>
      <c r="R120" s="195">
        <f t="shared" si="3"/>
        <v>0.62509999999999999</v>
      </c>
      <c r="S120" s="195">
        <f t="shared" si="3"/>
        <v>1.4298</v>
      </c>
      <c r="T120" s="195">
        <f t="shared" si="4"/>
        <v>0.66981829706317342</v>
      </c>
      <c r="U120" s="195">
        <f t="shared" si="5"/>
        <v>0.43912078382288805</v>
      </c>
      <c r="V120" s="195">
        <f t="shared" si="6"/>
        <v>0.72168382798304065</v>
      </c>
      <c r="W120">
        <f t="shared" si="1"/>
        <v>54</v>
      </c>
      <c r="X120" s="195">
        <f t="shared" si="7"/>
        <v>0.20449133365418837</v>
      </c>
      <c r="Y120" s="195">
        <f t="shared" si="8"/>
        <v>1.8603416157536037E-2</v>
      </c>
      <c r="Z120" s="255" t="str">
        <f>IF(ISNUMBER(SEARCH("C",'WetLitterbags placem_collection'!W47)),"YES","NO")</f>
        <v>NO</v>
      </c>
      <c r="AA120" s="255" t="str">
        <f>IF(ISNUMBER(SEARCH("H", 'WetLitterbags placem_collection'!W47)),"YES","NO")</f>
        <v>NO</v>
      </c>
      <c r="AB120" s="255" t="str">
        <f>IF(ISNUMBER(SEARCH("R", 'WetLitterbags placem_collection'!W47)),"YES","NO")</f>
        <v>NO</v>
      </c>
      <c r="AC120" s="255" t="str">
        <f>IF(ISNUMBER(SEARCH("C", 'WetLitterbags placem_collection'!V47)),"YES","NO")</f>
        <v>NO</v>
      </c>
      <c r="AD120" s="255" t="str">
        <f>IF(ISNUMBER(SEARCH("H", 'WetLitterbags placem_collection'!V47)),"YES","NO")</f>
        <v>NO</v>
      </c>
      <c r="AE120" s="255" t="str">
        <f>IF(ISNUMBER(SEARCH("R", 'WetLitterbags placem_collection'!V47)),"YES","NO")</f>
        <v>YES</v>
      </c>
    </row>
    <row r="121" spans="2:31">
      <c r="B121" t="str">
        <f>'Final data_for_R_analysis_Wetse'!A47</f>
        <v>Wet</v>
      </c>
      <c r="C121" s="263">
        <f>'Final data_for_R_analysis_Wetse'!B47</f>
        <v>46</v>
      </c>
      <c r="D121" t="s">
        <v>3833</v>
      </c>
      <c r="E121" t="s">
        <v>22</v>
      </c>
      <c r="F121" s="387">
        <v>6</v>
      </c>
      <c r="G121" s="16">
        <f>'WetLitterbags placem_collection'!E48</f>
        <v>42766</v>
      </c>
      <c r="H121" t="str">
        <f>'Final data_for_R_analysis_Wetse'!J47</f>
        <v>G635</v>
      </c>
      <c r="I121" t="str">
        <f>'Final data_for_R_analysis_Wetse'!J267</f>
        <v>R86</v>
      </c>
      <c r="J121">
        <f>IFERROR(INDEX('Green_rooibos initial weight'!$C$5:$C$1749,MATCH(H121, 'Green_rooibos initial weight'!$A$5:$A$1749,0)),"")</f>
        <v>2.073</v>
      </c>
      <c r="K121">
        <f>IFERROR(INDEX('Green_rooibos initial weight'!$C$5:$C$1749,MATCH(I121, 'Green_rooibos initial weight'!$A$5:$A$1749,0)),"")</f>
        <v>2.242</v>
      </c>
      <c r="L121" s="195">
        <f t="shared" si="2"/>
        <v>1.8231999999999999</v>
      </c>
      <c r="M121" s="195">
        <f>AVERAGE(Ashed_controlls!$K$2:$K$11)</f>
        <v>5.5147656768714146</v>
      </c>
      <c r="N121" s="195">
        <f t="shared" si="0"/>
        <v>1.9922</v>
      </c>
      <c r="O121" s="16">
        <f>IF('WetLitterbags placem_collection'!G48="N.A","",'WetLitterbags placem_collection'!G48)</f>
        <v>42820</v>
      </c>
      <c r="P121" s="195" t="str">
        <f>IF(IFERROR(INDEX('Both teabags AfterWet'!$C$3:$C$841,MATCH(H121,'Both teabags AfterWet'!$A$3:$A$841,0)),"")="N.A","",(IFERROR(INDEX('Both teabags AfterWet'!$C$3:$C$841,MATCH(H121,'Both teabags AfterWet'!$A$3:$A$841,0)),"")))</f>
        <v/>
      </c>
      <c r="Q121" s="195" t="str">
        <f>IFERROR(INDEX('Both teabags AfterWet'!$C$3:$C$841,MATCH(I121,'Both teabags AfterWet'!$A$3:$A$841,0)),"")</f>
        <v/>
      </c>
      <c r="R121" s="195" t="str">
        <f t="shared" si="3"/>
        <v/>
      </c>
      <c r="S121" s="195" t="str">
        <f t="shared" si="3"/>
        <v/>
      </c>
      <c r="T121" s="195" t="str">
        <f t="shared" si="4"/>
        <v/>
      </c>
      <c r="U121" s="195" t="str">
        <f t="shared" si="5"/>
        <v/>
      </c>
      <c r="V121" s="195" t="str">
        <f t="shared" si="6"/>
        <v/>
      </c>
      <c r="W121">
        <f t="shared" si="1"/>
        <v>54</v>
      </c>
      <c r="X121" s="195" t="str">
        <f t="shared" si="7"/>
        <v/>
      </c>
      <c r="Y121" s="195" t="str">
        <f t="shared" si="8"/>
        <v/>
      </c>
      <c r="Z121" s="255" t="str">
        <f>IF(ISNUMBER(SEARCH("C",'WetLitterbags placem_collection'!W48)),"YES","NO")</f>
        <v>NO</v>
      </c>
      <c r="AA121" s="255" t="str">
        <f>IF(ISNUMBER(SEARCH("H", 'WetLitterbags placem_collection'!W48)),"YES","NO")</f>
        <v>NO</v>
      </c>
      <c r="AB121" s="255" t="str">
        <f>IF(ISNUMBER(SEARCH("R", 'WetLitterbags placem_collection'!W48)),"YES","NO")</f>
        <v>NO</v>
      </c>
      <c r="AC121" s="255" t="str">
        <f>IF(ISNUMBER(SEARCH("C", 'WetLitterbags placem_collection'!V48)),"YES","NO")</f>
        <v>NO</v>
      </c>
      <c r="AD121" s="255" t="str">
        <f>IF(ISNUMBER(SEARCH("H", 'WetLitterbags placem_collection'!V48)),"YES","NO")</f>
        <v>NO</v>
      </c>
      <c r="AE121" s="255" t="str">
        <f>IF(ISNUMBER(SEARCH("R", 'WetLitterbags placem_collection'!V48)),"YES","NO")</f>
        <v>NO</v>
      </c>
    </row>
    <row r="122" spans="2:31">
      <c r="B122" t="str">
        <f>'Final data_for_R_analysis_Wetse'!A48</f>
        <v>Wet</v>
      </c>
      <c r="C122" s="263">
        <f>'Final data_for_R_analysis_Wetse'!B48</f>
        <v>47</v>
      </c>
      <c r="D122" t="s">
        <v>3833</v>
      </c>
      <c r="E122" t="s">
        <v>22</v>
      </c>
      <c r="F122" s="387">
        <v>7</v>
      </c>
      <c r="G122" s="16">
        <f>'WetLitterbags placem_collection'!E49</f>
        <v>42766</v>
      </c>
      <c r="H122" t="str">
        <f>'Final data_for_R_analysis_Wetse'!J48</f>
        <v>G539</v>
      </c>
      <c r="I122" t="str">
        <f>'Final data_for_R_analysis_Wetse'!J268</f>
        <v>R146</v>
      </c>
      <c r="J122">
        <f>IFERROR(INDEX('Green_rooibos initial weight'!$C$5:$C$1749,MATCH(H122, 'Green_rooibos initial weight'!$A$5:$A$1749,0)),"")</f>
        <v>2.1219999999999999</v>
      </c>
      <c r="K122">
        <f>IFERROR(INDEX('Green_rooibos initial weight'!$C$5:$C$1749,MATCH(I122, 'Green_rooibos initial weight'!$A$5:$A$1749,0)),"")</f>
        <v>2.2010000000000001</v>
      </c>
      <c r="L122" s="195">
        <f t="shared" si="2"/>
        <v>1.8721999999999999</v>
      </c>
      <c r="M122" s="195">
        <f>AVERAGE(Ashed_controlls!$K$2:$K$11)</f>
        <v>5.5147656768714146</v>
      </c>
      <c r="N122" s="195">
        <f t="shared" si="0"/>
        <v>1.9512</v>
      </c>
      <c r="O122" s="16">
        <f>IF('WetLitterbags placem_collection'!G49="N.A","",'WetLitterbags placem_collection'!G49)</f>
        <v>42820</v>
      </c>
      <c r="P122" s="195">
        <f>IF(IFERROR(INDEX('Both teabags AfterWet'!$C$3:$C$841,MATCH(H122,'Both teabags AfterWet'!$A$3:$A$841,0)),"")="N.A","",(IFERROR(INDEX('Both teabags AfterWet'!$C$3:$C$841,MATCH(H122,'Both teabags AfterWet'!$A$3:$A$841,0)),"")))</f>
        <v>0.80700000000000005</v>
      </c>
      <c r="Q122" s="195">
        <f>IFERROR(INDEX('Both teabags AfterWet'!$C$3:$C$841,MATCH(I122,'Both teabags AfterWet'!$A$3:$A$841,0)),"")</f>
        <v>1.651</v>
      </c>
      <c r="R122" s="195">
        <f t="shared" si="3"/>
        <v>0.65640000000000009</v>
      </c>
      <c r="S122" s="195">
        <f t="shared" si="3"/>
        <v>1.5004</v>
      </c>
      <c r="T122" s="195">
        <f t="shared" si="4"/>
        <v>0.64939643200512753</v>
      </c>
      <c r="U122" s="195">
        <f t="shared" si="5"/>
        <v>0.42573257775158008</v>
      </c>
      <c r="V122" s="195">
        <f t="shared" si="6"/>
        <v>0.76896268962689618</v>
      </c>
      <c r="W122">
        <f t="shared" si="1"/>
        <v>54</v>
      </c>
      <c r="X122" s="195">
        <f t="shared" si="7"/>
        <v>0.22874533016018106</v>
      </c>
      <c r="Y122" s="195">
        <f t="shared" si="8"/>
        <v>1.4488440602979479E-2</v>
      </c>
      <c r="Z122" s="255" t="str">
        <f>IF(ISNUMBER(SEARCH("C",'WetLitterbags placem_collection'!W49)),"YES","NO")</f>
        <v>NO</v>
      </c>
      <c r="AA122" s="255" t="str">
        <f>IF(ISNUMBER(SEARCH("H", 'WetLitterbags placem_collection'!W49)),"YES","NO")</f>
        <v>YES</v>
      </c>
      <c r="AB122" s="255" t="str">
        <f>IF(ISNUMBER(SEARCH("R", 'WetLitterbags placem_collection'!W49)),"YES","NO")</f>
        <v>YES</v>
      </c>
      <c r="AC122" s="255" t="str">
        <f>IF(ISNUMBER(SEARCH("C", 'WetLitterbags placem_collection'!V49)),"YES","NO")</f>
        <v>NO</v>
      </c>
      <c r="AD122" s="255" t="str">
        <f>IF(ISNUMBER(SEARCH("H", 'WetLitterbags placem_collection'!V49)),"YES","NO")</f>
        <v>NO</v>
      </c>
      <c r="AE122" s="255" t="str">
        <f>IF(ISNUMBER(SEARCH("R", 'WetLitterbags placem_collection'!V49)),"YES","NO")</f>
        <v>YES</v>
      </c>
    </row>
    <row r="123" spans="2:31">
      <c r="B123" t="str">
        <f>'Final data_for_R_analysis_Wetse'!A49</f>
        <v>Wet</v>
      </c>
      <c r="C123" s="263">
        <f>'Final data_for_R_analysis_Wetse'!B49</f>
        <v>48</v>
      </c>
      <c r="D123" t="s">
        <v>3833</v>
      </c>
      <c r="E123" t="s">
        <v>22</v>
      </c>
      <c r="F123" s="387">
        <v>8</v>
      </c>
      <c r="G123" s="16">
        <f>'WetLitterbags placem_collection'!E50</f>
        <v>42766</v>
      </c>
      <c r="H123" t="str">
        <f>'Final data_for_R_analysis_Wetse'!J49</f>
        <v>G679</v>
      </c>
      <c r="I123" t="str">
        <f>'Final data_for_R_analysis_Wetse'!J269</f>
        <v>R72</v>
      </c>
      <c r="J123">
        <f>IFERROR(INDEX('Green_rooibos initial weight'!$C$5:$C$1749,MATCH(H123, 'Green_rooibos initial weight'!$A$5:$A$1749,0)),"")</f>
        <v>2.052</v>
      </c>
      <c r="K123">
        <f>IFERROR(INDEX('Green_rooibos initial weight'!$C$5:$C$1749,MATCH(I123, 'Green_rooibos initial weight'!$A$5:$A$1749,0)),"")</f>
        <v>2.2349999999999999</v>
      </c>
      <c r="L123" s="195">
        <f t="shared" si="2"/>
        <v>1.8022</v>
      </c>
      <c r="M123" s="195">
        <f>AVERAGE(Ashed_controlls!$K$2:$K$11)</f>
        <v>5.5147656768714146</v>
      </c>
      <c r="N123" s="195">
        <f t="shared" si="0"/>
        <v>1.9851999999999999</v>
      </c>
      <c r="O123" s="16">
        <f>IF('WetLitterbags placem_collection'!G50="N.A","",'WetLitterbags placem_collection'!G50)</f>
        <v>42820</v>
      </c>
      <c r="P123" s="195">
        <f>IF(IFERROR(INDEX('Both teabags AfterWet'!$C$3:$C$841,MATCH(H123,'Both teabags AfterWet'!$A$3:$A$841,0)),"")="N.A","",(IFERROR(INDEX('Both teabags AfterWet'!$C$3:$C$841,MATCH(H123,'Both teabags AfterWet'!$A$3:$A$841,0)),"")))</f>
        <v>0.83199999999999996</v>
      </c>
      <c r="Q123" s="195">
        <f>IFERROR(INDEX('Both teabags AfterWet'!$C$3:$C$841,MATCH(I123,'Both teabags AfterWet'!$A$3:$A$841,0)),"")</f>
        <v>1.6359999999999999</v>
      </c>
      <c r="R123" s="195">
        <f t="shared" si="3"/>
        <v>0.68140000000000001</v>
      </c>
      <c r="S123" s="195">
        <f t="shared" si="3"/>
        <v>1.4853999999999998</v>
      </c>
      <c r="T123" s="195">
        <f t="shared" si="4"/>
        <v>0.62190655865053823</v>
      </c>
      <c r="U123" s="195">
        <f t="shared" si="5"/>
        <v>0.40771071303455714</v>
      </c>
      <c r="V123" s="195">
        <f t="shared" si="6"/>
        <v>0.74823695345557117</v>
      </c>
      <c r="W123">
        <f t="shared" si="1"/>
        <v>54</v>
      </c>
      <c r="X123" s="195">
        <f t="shared" si="7"/>
        <v>0.26139363580696173</v>
      </c>
      <c r="Y123" s="195">
        <f t="shared" si="8"/>
        <v>1.7796989009063176E-2</v>
      </c>
      <c r="Z123" s="255" t="str">
        <f>IF(ISNUMBER(SEARCH("C",'WetLitterbags placem_collection'!W50)),"YES","NO")</f>
        <v>NO</v>
      </c>
      <c r="AA123" s="255" t="str">
        <f>IF(ISNUMBER(SEARCH("H", 'WetLitterbags placem_collection'!W50)),"YES","NO")</f>
        <v>NO</v>
      </c>
      <c r="AB123" s="255" t="str">
        <f>IF(ISNUMBER(SEARCH("R", 'WetLitterbags placem_collection'!W50)),"YES","NO")</f>
        <v>YES</v>
      </c>
      <c r="AC123" s="255" t="str">
        <f>IF(ISNUMBER(SEARCH("C", 'WetLitterbags placem_collection'!V50)),"YES","NO")</f>
        <v>NO</v>
      </c>
      <c r="AD123" s="255" t="str">
        <f>IF(ISNUMBER(SEARCH("H", 'WetLitterbags placem_collection'!V50)),"YES","NO")</f>
        <v>NO</v>
      </c>
      <c r="AE123" s="255" t="str">
        <f>IF(ISNUMBER(SEARCH("R", 'WetLitterbags placem_collection'!V50)),"YES","NO")</f>
        <v>YES</v>
      </c>
    </row>
    <row r="124" spans="2:31">
      <c r="B124" t="str">
        <f>'Final data_for_R_analysis_Wetse'!A50</f>
        <v>Wet</v>
      </c>
      <c r="C124" s="263">
        <f>'Final data_for_R_analysis_Wetse'!B50</f>
        <v>49</v>
      </c>
      <c r="D124" t="s">
        <v>3834</v>
      </c>
      <c r="E124" t="s">
        <v>22</v>
      </c>
      <c r="F124" s="386">
        <v>1</v>
      </c>
      <c r="G124" s="16">
        <f>'WetLitterbags placem_collection'!E51</f>
        <v>42766</v>
      </c>
      <c r="H124" t="str">
        <f>'Final data_for_R_analysis_Wetse'!J50</f>
        <v>G346</v>
      </c>
      <c r="I124" t="str">
        <f>'Final data_for_R_analysis_Wetse'!J270</f>
        <v>R28</v>
      </c>
      <c r="J124">
        <f>IFERROR(INDEX('Green_rooibos initial weight'!$C$5:$C$1749,MATCH(H124, 'Green_rooibos initial weight'!$A$5:$A$1749,0)),"")</f>
        <v>2.012</v>
      </c>
      <c r="K124">
        <f>IFERROR(INDEX('Green_rooibos initial weight'!$C$5:$C$1749,MATCH(I124, 'Green_rooibos initial weight'!$A$5:$A$1749,0)),"")</f>
        <v>2.1030000000000002</v>
      </c>
      <c r="L124" s="195">
        <f t="shared" si="2"/>
        <v>1.7622</v>
      </c>
      <c r="M124" s="195">
        <f>AVERAGE(Ashed_controlls!$K$2:$K$11)</f>
        <v>5.5147656768714146</v>
      </c>
      <c r="N124" s="195">
        <f t="shared" si="0"/>
        <v>1.8532000000000002</v>
      </c>
      <c r="O124" s="16">
        <f>IF('WetLitterbags placem_collection'!G51="N.A","",'WetLitterbags placem_collection'!G51)</f>
        <v>42820</v>
      </c>
      <c r="P124" s="195">
        <f>IF(IFERROR(INDEX('Both teabags AfterWet'!$C$3:$C$841,MATCH(H124,'Both teabags AfterWet'!$A$3:$A$841,0)),"")="N.A","",(IFERROR(INDEX('Both teabags AfterWet'!$C$3:$C$841,MATCH(H124,'Both teabags AfterWet'!$A$3:$A$841,0)),"")))</f>
        <v>1.0001</v>
      </c>
      <c r="Q124" s="195">
        <f>IFERROR(INDEX('Both teabags AfterWet'!$C$3:$C$841,MATCH(I124,'Both teabags AfterWet'!$A$3:$A$841,0)),"")</f>
        <v>1.5992999999999999</v>
      </c>
      <c r="R124" s="195">
        <f t="shared" si="3"/>
        <v>0.84949999999999992</v>
      </c>
      <c r="S124" s="195">
        <f t="shared" si="3"/>
        <v>1.4486999999999999</v>
      </c>
      <c r="T124" s="195">
        <f t="shared" si="4"/>
        <v>0.51793213029168084</v>
      </c>
      <c r="U124" s="195">
        <f t="shared" si="5"/>
        <v>0.33954695477554375</v>
      </c>
      <c r="V124" s="195">
        <f t="shared" si="6"/>
        <v>0.78172890135980988</v>
      </c>
      <c r="W124">
        <f t="shared" si="1"/>
        <v>54</v>
      </c>
      <c r="X124" s="195">
        <f t="shared" si="7"/>
        <v>0.38487870511676858</v>
      </c>
      <c r="Y124" s="195">
        <f t="shared" si="8"/>
        <v>1.9065638695299446E-2</v>
      </c>
      <c r="Z124" s="255" t="str">
        <f>IF(ISNUMBER(SEARCH("C",'WetLitterbags placem_collection'!W51)),"YES","NO")</f>
        <v>NO</v>
      </c>
      <c r="AA124" s="255" t="str">
        <f>IF(ISNUMBER(SEARCH("H", 'WetLitterbags placem_collection'!W51)),"YES","NO")</f>
        <v>YES</v>
      </c>
      <c r="AB124" s="255" t="str">
        <f>IF(ISNUMBER(SEARCH("R", 'WetLitterbags placem_collection'!W51)),"YES","NO")</f>
        <v>YES</v>
      </c>
      <c r="AC124" s="255" t="str">
        <f>IF(ISNUMBER(SEARCH("C", 'WetLitterbags placem_collection'!V51)),"YES","NO")</f>
        <v>NO</v>
      </c>
      <c r="AD124" s="255" t="str">
        <f>IF(ISNUMBER(SEARCH("H", 'WetLitterbags placem_collection'!V51)),"YES","NO")</f>
        <v>NO</v>
      </c>
      <c r="AE124" s="255" t="str">
        <f>IF(ISNUMBER(SEARCH("R", 'WetLitterbags placem_collection'!V51)),"YES","NO")</f>
        <v>YES</v>
      </c>
    </row>
    <row r="125" spans="2:31">
      <c r="B125" t="str">
        <f>'Final data_for_R_analysis_Wetse'!A51</f>
        <v>Wet</v>
      </c>
      <c r="C125" s="263">
        <f>'Final data_for_R_analysis_Wetse'!B51</f>
        <v>50</v>
      </c>
      <c r="D125" t="s">
        <v>3834</v>
      </c>
      <c r="E125" t="s">
        <v>22</v>
      </c>
      <c r="F125" s="386">
        <v>2</v>
      </c>
      <c r="G125" s="16">
        <f>'WetLitterbags placem_collection'!E52</f>
        <v>42766</v>
      </c>
      <c r="H125" t="str">
        <f>'Final data_for_R_analysis_Wetse'!J51</f>
        <v>G418</v>
      </c>
      <c r="I125" t="str">
        <f>'Final data_for_R_analysis_Wetse'!J271</f>
        <v>R5</v>
      </c>
      <c r="J125">
        <f>IFERROR(INDEX('Green_rooibos initial weight'!$C$5:$C$1749,MATCH(H125, 'Green_rooibos initial weight'!$A$5:$A$1749,0)),"")</f>
        <v>2.016</v>
      </c>
      <c r="K125">
        <f>IFERROR(INDEX('Green_rooibos initial weight'!$C$5:$C$1749,MATCH(I125, 'Green_rooibos initial weight'!$A$5:$A$1749,0)),"")</f>
        <v>2.1800000000000002</v>
      </c>
      <c r="L125" s="195">
        <f t="shared" si="2"/>
        <v>1.7662</v>
      </c>
      <c r="M125" s="195">
        <f>AVERAGE(Ashed_controlls!$K$2:$K$11)</f>
        <v>5.5147656768714146</v>
      </c>
      <c r="N125" s="195">
        <f t="shared" si="0"/>
        <v>1.9302000000000001</v>
      </c>
      <c r="O125" s="16">
        <f>IF('WetLitterbags placem_collection'!G52="N.A","",'WetLitterbags placem_collection'!G52)</f>
        <v>42820</v>
      </c>
      <c r="P125" s="195" t="str">
        <f>IF(IFERROR(INDEX('Both teabags AfterWet'!$C$3:$C$841,MATCH(H125,'Both teabags AfterWet'!$A$3:$A$841,0)),"")="N.A","",(IFERROR(INDEX('Both teabags AfterWet'!$C$3:$C$841,MATCH(H125,'Both teabags AfterWet'!$A$3:$A$841,0)),"")))</f>
        <v/>
      </c>
      <c r="Q125" s="195" t="str">
        <f>IFERROR(INDEX('Both teabags AfterWet'!$C$3:$C$841,MATCH(I125,'Both teabags AfterWet'!$A$3:$A$841,0)),"")</f>
        <v/>
      </c>
      <c r="R125" s="195" t="str">
        <f t="shared" si="3"/>
        <v/>
      </c>
      <c r="S125" s="195" t="str">
        <f t="shared" si="3"/>
        <v/>
      </c>
      <c r="T125" s="195" t="str">
        <f t="shared" si="4"/>
        <v/>
      </c>
      <c r="U125" s="195" t="str">
        <f t="shared" si="5"/>
        <v/>
      </c>
      <c r="V125" s="195" t="str">
        <f t="shared" si="6"/>
        <v/>
      </c>
      <c r="W125">
        <f t="shared" si="1"/>
        <v>54</v>
      </c>
      <c r="X125" s="195" t="str">
        <f t="shared" si="7"/>
        <v/>
      </c>
      <c r="Y125" s="195" t="str">
        <f t="shared" si="8"/>
        <v/>
      </c>
      <c r="Z125" s="255" t="str">
        <f>IF(ISNUMBER(SEARCH("C",'WetLitterbags placem_collection'!W52)),"YES","NO")</f>
        <v>NO</v>
      </c>
      <c r="AA125" s="255" t="str">
        <f>IF(ISNUMBER(SEARCH("H", 'WetLitterbags placem_collection'!W52)),"YES","NO")</f>
        <v>NO</v>
      </c>
      <c r="AB125" s="255" t="str">
        <f>IF(ISNUMBER(SEARCH("R", 'WetLitterbags placem_collection'!W52)),"YES","NO")</f>
        <v>NO</v>
      </c>
      <c r="AC125" s="255" t="str">
        <f>IF(ISNUMBER(SEARCH("C", 'WetLitterbags placem_collection'!V52)),"YES","NO")</f>
        <v>NO</v>
      </c>
      <c r="AD125" s="255" t="str">
        <f>IF(ISNUMBER(SEARCH("H", 'WetLitterbags placem_collection'!V52)),"YES","NO")</f>
        <v>NO</v>
      </c>
      <c r="AE125" s="255" t="str">
        <f>IF(ISNUMBER(SEARCH("R", 'WetLitterbags placem_collection'!V52)),"YES","NO")</f>
        <v>NO</v>
      </c>
    </row>
    <row r="126" spans="2:31">
      <c r="B126" t="str">
        <f>'Final data_for_R_analysis_Wetse'!A52</f>
        <v>Wet</v>
      </c>
      <c r="C126" s="263">
        <f>'Final data_for_R_analysis_Wetse'!B52</f>
        <v>51</v>
      </c>
      <c r="D126" t="s">
        <v>3834</v>
      </c>
      <c r="E126" t="s">
        <v>22</v>
      </c>
      <c r="F126" s="386">
        <v>3</v>
      </c>
      <c r="G126" s="16">
        <f>'WetLitterbags placem_collection'!E53</f>
        <v>42766</v>
      </c>
      <c r="H126" t="str">
        <f>'Final data_for_R_analysis_Wetse'!J52</f>
        <v>G548</v>
      </c>
      <c r="I126" t="str">
        <f>'Final data_for_R_analysis_Wetse'!J272</f>
        <v>R85</v>
      </c>
      <c r="J126">
        <f>IFERROR(INDEX('Green_rooibos initial weight'!$C$5:$C$1749,MATCH(H126, 'Green_rooibos initial weight'!$A$5:$A$1749,0)),"")</f>
        <v>2.169</v>
      </c>
      <c r="K126">
        <f>IFERROR(INDEX('Green_rooibos initial weight'!$C$5:$C$1749,MATCH(I126, 'Green_rooibos initial weight'!$A$5:$A$1749,0)),"")</f>
        <v>2.1930000000000001</v>
      </c>
      <c r="L126" s="195">
        <f t="shared" si="2"/>
        <v>1.9192</v>
      </c>
      <c r="M126" s="195">
        <f>AVERAGE(Ashed_controlls!$K$2:$K$11)</f>
        <v>5.5147656768714146</v>
      </c>
      <c r="N126" s="195">
        <f t="shared" si="0"/>
        <v>1.9432</v>
      </c>
      <c r="O126" s="16">
        <f>IF('WetLitterbags placem_collection'!G53="N.A","",'WetLitterbags placem_collection'!G53)</f>
        <v>42820</v>
      </c>
      <c r="P126" s="195">
        <f>IF(IFERROR(INDEX('Both teabags AfterWet'!$C$3:$C$841,MATCH(H126,'Both teabags AfterWet'!$A$3:$A$841,0)),"")="N.A","",(IFERROR(INDEX('Both teabags AfterWet'!$C$3:$C$841,MATCH(H126,'Both teabags AfterWet'!$A$3:$A$841,0)),"")))</f>
        <v>0.86399999999999999</v>
      </c>
      <c r="Q126" s="195">
        <f>IFERROR(INDEX('Both teabags AfterWet'!$C$3:$C$841,MATCH(I126,'Both teabags AfterWet'!$A$3:$A$841,0)),"")</f>
        <v>1.599</v>
      </c>
      <c r="R126" s="195">
        <f t="shared" si="3"/>
        <v>0.71340000000000003</v>
      </c>
      <c r="S126" s="195">
        <f t="shared" si="3"/>
        <v>1.4483999999999999</v>
      </c>
      <c r="T126" s="195">
        <f t="shared" si="4"/>
        <v>0.62828261775739891</v>
      </c>
      <c r="U126" s="195">
        <f t="shared" si="5"/>
        <v>0.41189074228276035</v>
      </c>
      <c r="V126" s="195">
        <f t="shared" si="6"/>
        <v>0.74536846438863724</v>
      </c>
      <c r="W126">
        <f t="shared" si="1"/>
        <v>54</v>
      </c>
      <c r="X126" s="195">
        <f t="shared" si="7"/>
        <v>0.25382111905297045</v>
      </c>
      <c r="Y126" s="195">
        <f t="shared" si="8"/>
        <v>1.7830790438708017E-2</v>
      </c>
      <c r="Z126" s="255" t="str">
        <f>IF(ISNUMBER(SEARCH("C",'WetLitterbags placem_collection'!W53)),"YES","NO")</f>
        <v>NO</v>
      </c>
      <c r="AA126" s="255" t="str">
        <f>IF(ISNUMBER(SEARCH("H", 'WetLitterbags placem_collection'!W53)),"YES","NO")</f>
        <v>NO</v>
      </c>
      <c r="AB126" s="255" t="str">
        <f>IF(ISNUMBER(SEARCH("R", 'WetLitterbags placem_collection'!W53)),"YES","NO")</f>
        <v>YES</v>
      </c>
      <c r="AC126" s="255" t="str">
        <f>IF(ISNUMBER(SEARCH("C", 'WetLitterbags placem_collection'!V53)),"YES","NO")</f>
        <v>NO</v>
      </c>
      <c r="AD126" s="255" t="str">
        <f>IF(ISNUMBER(SEARCH("H", 'WetLitterbags placem_collection'!V53)),"YES","NO")</f>
        <v>NO</v>
      </c>
      <c r="AE126" s="255" t="str">
        <f>IF(ISNUMBER(SEARCH("R", 'WetLitterbags placem_collection'!V53)),"YES","NO")</f>
        <v>YES</v>
      </c>
    </row>
    <row r="127" spans="2:31">
      <c r="B127" t="str">
        <f>'Final data_for_R_analysis_Wetse'!A53</f>
        <v>Wet</v>
      </c>
      <c r="C127" s="263">
        <f>'Final data_for_R_analysis_Wetse'!B53</f>
        <v>52</v>
      </c>
      <c r="D127" t="s">
        <v>3834</v>
      </c>
      <c r="E127" t="s">
        <v>22</v>
      </c>
      <c r="F127" s="387">
        <v>4</v>
      </c>
      <c r="G127" s="16">
        <f>'WetLitterbags placem_collection'!E54</f>
        <v>42766</v>
      </c>
      <c r="H127" t="str">
        <f>'Final data_for_R_analysis_Wetse'!J53</f>
        <v>G638</v>
      </c>
      <c r="I127" t="str">
        <f>'Final data_for_R_analysis_Wetse'!J273</f>
        <v>R513</v>
      </c>
      <c r="J127">
        <f>IFERROR(INDEX('Green_rooibos initial weight'!$C$5:$C$1749,MATCH(H127, 'Green_rooibos initial weight'!$A$5:$A$1749,0)),"")</f>
        <v>2.0409999999999999</v>
      </c>
      <c r="K127">
        <f>IFERROR(INDEX('Green_rooibos initial weight'!$C$5:$C$1749,MATCH(I127, 'Green_rooibos initial weight'!$A$5:$A$1749,0)),"")</f>
        <v>2.1389999999999998</v>
      </c>
      <c r="L127" s="195">
        <f t="shared" si="2"/>
        <v>1.7911999999999999</v>
      </c>
      <c r="M127" s="195">
        <f>AVERAGE(Ashed_controlls!$K$2:$K$11)</f>
        <v>5.5147656768714146</v>
      </c>
      <c r="N127" s="195">
        <f t="shared" si="0"/>
        <v>1.8891999999999998</v>
      </c>
      <c r="O127" s="16">
        <f>IF('WetLitterbags placem_collection'!G54="N.A","",'WetLitterbags placem_collection'!G54)</f>
        <v>42820</v>
      </c>
      <c r="P127" s="195">
        <f>IF(IFERROR(INDEX('Both teabags AfterWet'!$C$3:$C$841,MATCH(H127,'Both teabags AfterWet'!$A$3:$A$841,0)),"")="N.A","",(IFERROR(INDEX('Both teabags AfterWet'!$C$3:$C$841,MATCH(H127,'Both teabags AfterWet'!$A$3:$A$841,0)),"")))</f>
        <v>1.075</v>
      </c>
      <c r="Q127" s="195">
        <f>IFERROR(INDEX('Both teabags AfterWet'!$C$3:$C$841,MATCH(I127,'Both teabags AfterWet'!$A$3:$A$841,0)),"")</f>
        <v>1.6279999999999999</v>
      </c>
      <c r="R127" s="195">
        <f t="shared" si="3"/>
        <v>0.92439999999999989</v>
      </c>
      <c r="S127" s="195">
        <f t="shared" si="3"/>
        <v>1.4773999999999998</v>
      </c>
      <c r="T127" s="195">
        <f t="shared" si="4"/>
        <v>0.4839213934792318</v>
      </c>
      <c r="U127" s="195">
        <f t="shared" si="5"/>
        <v>0.31725012969184796</v>
      </c>
      <c r="V127" s="195">
        <f t="shared" si="6"/>
        <v>0.78202413720093167</v>
      </c>
      <c r="W127">
        <f t="shared" si="1"/>
        <v>54</v>
      </c>
      <c r="X127" s="195">
        <f t="shared" si="7"/>
        <v>0.42527150418143489</v>
      </c>
      <c r="Y127" s="195">
        <f t="shared" si="8"/>
        <v>2.1514891166947162E-2</v>
      </c>
      <c r="Z127" s="255" t="str">
        <f>IF(ISNUMBER(SEARCH("C",'WetLitterbags placem_collection'!W54)),"YES","NO")</f>
        <v>NO</v>
      </c>
      <c r="AA127" s="255" t="str">
        <f>IF(ISNUMBER(SEARCH("H", 'WetLitterbags placem_collection'!W54)),"YES","NO")</f>
        <v>YES</v>
      </c>
      <c r="AB127" s="255" t="str">
        <f>IF(ISNUMBER(SEARCH("R", 'WetLitterbags placem_collection'!W54)),"YES","NO")</f>
        <v>NO</v>
      </c>
      <c r="AC127" s="255" t="str">
        <f>IF(ISNUMBER(SEARCH("C", 'WetLitterbags placem_collection'!V54)),"YES","NO")</f>
        <v>NO</v>
      </c>
      <c r="AD127" s="255" t="str">
        <f>IF(ISNUMBER(SEARCH("H", 'WetLitterbags placem_collection'!V54)),"YES","NO")</f>
        <v>YES</v>
      </c>
      <c r="AE127" s="255" t="str">
        <f>IF(ISNUMBER(SEARCH("R", 'WetLitterbags placem_collection'!V54)),"YES","NO")</f>
        <v>YES</v>
      </c>
    </row>
    <row r="128" spans="2:31">
      <c r="B128" t="str">
        <f>'Final data_for_R_analysis_Wetse'!A54</f>
        <v>Wet</v>
      </c>
      <c r="C128" s="263">
        <f>'Final data_for_R_analysis_Wetse'!B54</f>
        <v>53</v>
      </c>
      <c r="D128" t="s">
        <v>3834</v>
      </c>
      <c r="E128" t="s">
        <v>22</v>
      </c>
      <c r="F128" s="387">
        <v>5</v>
      </c>
      <c r="G128" s="16">
        <f>'WetLitterbags placem_collection'!E55</f>
        <v>42766</v>
      </c>
      <c r="H128" t="str">
        <f>'Final data_for_R_analysis_Wetse'!J54</f>
        <v>G426</v>
      </c>
      <c r="I128" t="str">
        <f>'Final data_for_R_analysis_Wetse'!J274</f>
        <v>R399</v>
      </c>
      <c r="J128">
        <f>IFERROR(INDEX('Green_rooibos initial weight'!$C$5:$C$1749,MATCH(H128, 'Green_rooibos initial weight'!$A$5:$A$1749,0)),"")</f>
        <v>2.0230000000000001</v>
      </c>
      <c r="K128">
        <f>IFERROR(INDEX('Green_rooibos initial weight'!$C$5:$C$1749,MATCH(I128, 'Green_rooibos initial weight'!$A$5:$A$1749,0)),"")</f>
        <v>2.1389999999999998</v>
      </c>
      <c r="L128" s="195">
        <f t="shared" si="2"/>
        <v>1.7732000000000001</v>
      </c>
      <c r="M128" s="195">
        <f>AVERAGE(Ashed_controlls!$K$2:$K$11)</f>
        <v>5.5147656768714146</v>
      </c>
      <c r="N128" s="195">
        <f t="shared" si="0"/>
        <v>1.8891999999999998</v>
      </c>
      <c r="O128" s="16">
        <f>IF('WetLitterbags placem_collection'!G55="N.A","",'WetLitterbags placem_collection'!G55)</f>
        <v>42820</v>
      </c>
      <c r="P128" s="195" t="str">
        <f>IF(IFERROR(INDEX('Both teabags AfterWet'!$C$3:$C$841,MATCH(H128,'Both teabags AfterWet'!$A$3:$A$841,0)),"")="N.A","",(IFERROR(INDEX('Both teabags AfterWet'!$C$3:$C$841,MATCH(H128,'Both teabags AfterWet'!$A$3:$A$841,0)),"")))</f>
        <v/>
      </c>
      <c r="Q128" s="195" t="str">
        <f>IFERROR(INDEX('Both teabags AfterWet'!$C$3:$C$841,MATCH(I128,'Both teabags AfterWet'!$A$3:$A$841,0)),"")</f>
        <v/>
      </c>
      <c r="R128" s="195" t="str">
        <f t="shared" si="3"/>
        <v/>
      </c>
      <c r="S128" s="195" t="str">
        <f t="shared" si="3"/>
        <v/>
      </c>
      <c r="T128" s="195" t="str">
        <f t="shared" si="4"/>
        <v/>
      </c>
      <c r="U128" s="195" t="str">
        <f t="shared" si="5"/>
        <v/>
      </c>
      <c r="V128" s="195" t="str">
        <f t="shared" si="6"/>
        <v/>
      </c>
      <c r="W128">
        <f t="shared" si="1"/>
        <v>54</v>
      </c>
      <c r="X128" s="195" t="str">
        <f t="shared" si="7"/>
        <v/>
      </c>
      <c r="Y128" s="195" t="str">
        <f t="shared" si="8"/>
        <v/>
      </c>
      <c r="Z128" s="255" t="str">
        <f>IF(ISNUMBER(SEARCH("C",'WetLitterbags placem_collection'!W55)),"YES","NO")</f>
        <v>NO</v>
      </c>
      <c r="AA128" s="255" t="str">
        <f>IF(ISNUMBER(SEARCH("H", 'WetLitterbags placem_collection'!W55)),"YES","NO")</f>
        <v>NO</v>
      </c>
      <c r="AB128" s="255" t="str">
        <f>IF(ISNUMBER(SEARCH("R", 'WetLitterbags placem_collection'!W55)),"YES","NO")</f>
        <v>NO</v>
      </c>
      <c r="AC128" s="255" t="str">
        <f>IF(ISNUMBER(SEARCH("C", 'WetLitterbags placem_collection'!V55)),"YES","NO")</f>
        <v>NO</v>
      </c>
      <c r="AD128" s="255" t="str">
        <f>IF(ISNUMBER(SEARCH("H", 'WetLitterbags placem_collection'!V55)),"YES","NO")</f>
        <v>NO</v>
      </c>
      <c r="AE128" s="255" t="str">
        <f>IF(ISNUMBER(SEARCH("R", 'WetLitterbags placem_collection'!V55)),"YES","NO")</f>
        <v>NO</v>
      </c>
    </row>
    <row r="129" spans="2:31">
      <c r="B129" t="str">
        <f>'Final data_for_R_analysis_Wetse'!A55</f>
        <v>Wet</v>
      </c>
      <c r="C129" s="263">
        <f>'Final data_for_R_analysis_Wetse'!B55</f>
        <v>54</v>
      </c>
      <c r="D129" t="s">
        <v>3834</v>
      </c>
      <c r="E129" t="s">
        <v>22</v>
      </c>
      <c r="F129" s="387">
        <v>6</v>
      </c>
      <c r="G129" s="16">
        <f>'WetLitterbags placem_collection'!E56</f>
        <v>42766</v>
      </c>
      <c r="H129" t="str">
        <f>'Final data_for_R_analysis_Wetse'!J55</f>
        <v>G589</v>
      </c>
      <c r="I129" t="str">
        <f>'Final data_for_R_analysis_Wetse'!J275</f>
        <v>R400</v>
      </c>
      <c r="J129">
        <f>IFERROR(INDEX('Green_rooibos initial weight'!$C$5:$C$1749,MATCH(H129, 'Green_rooibos initial weight'!$A$5:$A$1749,0)),"")</f>
        <v>2.0419999999999998</v>
      </c>
      <c r="K129">
        <f>IFERROR(INDEX('Green_rooibos initial weight'!$C$5:$C$1749,MATCH(I129, 'Green_rooibos initial weight'!$A$5:$A$1749,0)),"")</f>
        <v>2.181</v>
      </c>
      <c r="L129" s="195">
        <f t="shared" si="2"/>
        <v>1.7921999999999998</v>
      </c>
      <c r="M129" s="195">
        <f>AVERAGE(Ashed_controlls!$K$2:$K$11)</f>
        <v>5.5147656768714146</v>
      </c>
      <c r="N129" s="195">
        <f t="shared" si="0"/>
        <v>1.9312</v>
      </c>
      <c r="O129" s="16">
        <f>IF('WetLitterbags placem_collection'!G56="N.A","",'WetLitterbags placem_collection'!G56)</f>
        <v>42820</v>
      </c>
      <c r="P129" s="195" t="str">
        <f>IF(IFERROR(INDEX('Both teabags AfterWet'!$C$3:$C$841,MATCH(H129,'Both teabags AfterWet'!$A$3:$A$841,0)),"")="N.A","",(IFERROR(INDEX('Both teabags AfterWet'!$C$3:$C$841,MATCH(H129,'Both teabags AfterWet'!$A$3:$A$841,0)),"")))</f>
        <v/>
      </c>
      <c r="Q129" s="195" t="str">
        <f>IFERROR(INDEX('Both teabags AfterWet'!$C$3:$C$841,MATCH(I129,'Both teabags AfterWet'!$A$3:$A$841,0)),"")</f>
        <v/>
      </c>
      <c r="R129" s="195" t="str">
        <f t="shared" si="3"/>
        <v/>
      </c>
      <c r="S129" s="195" t="str">
        <f t="shared" si="3"/>
        <v/>
      </c>
      <c r="T129" s="195" t="str">
        <f t="shared" si="4"/>
        <v/>
      </c>
      <c r="U129" s="195" t="str">
        <f t="shared" si="5"/>
        <v/>
      </c>
      <c r="V129" s="195" t="str">
        <f t="shared" si="6"/>
        <v/>
      </c>
      <c r="W129">
        <f t="shared" si="1"/>
        <v>54</v>
      </c>
      <c r="X129" s="195" t="str">
        <f t="shared" si="7"/>
        <v/>
      </c>
      <c r="Y129" s="195" t="str">
        <f t="shared" si="8"/>
        <v/>
      </c>
      <c r="Z129" s="255" t="str">
        <f>IF(ISNUMBER(SEARCH("C",'WetLitterbags placem_collection'!W56)),"YES","NO")</f>
        <v>NO</v>
      </c>
      <c r="AA129" s="255" t="str">
        <f>IF(ISNUMBER(SEARCH("H", 'WetLitterbags placem_collection'!W56)),"YES","NO")</f>
        <v>NO</v>
      </c>
      <c r="AB129" s="255" t="str">
        <f>IF(ISNUMBER(SEARCH("R", 'WetLitterbags placem_collection'!W56)),"YES","NO")</f>
        <v>NO</v>
      </c>
      <c r="AC129" s="255" t="str">
        <f>IF(ISNUMBER(SEARCH("C", 'WetLitterbags placem_collection'!V56)),"YES","NO")</f>
        <v>NO</v>
      </c>
      <c r="AD129" s="255" t="str">
        <f>IF(ISNUMBER(SEARCH("H", 'WetLitterbags placem_collection'!V56)),"YES","NO")</f>
        <v>NO</v>
      </c>
      <c r="AE129" s="255" t="str">
        <f>IF(ISNUMBER(SEARCH("R", 'WetLitterbags placem_collection'!V56)),"YES","NO")</f>
        <v>NO</v>
      </c>
    </row>
    <row r="130" spans="2:31">
      <c r="B130" t="str">
        <f>'Final data_for_R_analysis_Wetse'!A56</f>
        <v>Wet</v>
      </c>
      <c r="C130" s="263">
        <f>'Final data_for_R_analysis_Wetse'!B56</f>
        <v>55</v>
      </c>
      <c r="D130" t="s">
        <v>3834</v>
      </c>
      <c r="E130" t="s">
        <v>22</v>
      </c>
      <c r="F130" s="387">
        <v>7</v>
      </c>
      <c r="G130" s="16">
        <f>'WetLitterbags placem_collection'!E57</f>
        <v>42766</v>
      </c>
      <c r="H130" t="str">
        <f>'Final data_for_R_analysis_Wetse'!J56</f>
        <v>G622</v>
      </c>
      <c r="I130" t="str">
        <f>'Final data_for_R_analysis_Wetse'!J276</f>
        <v>R19</v>
      </c>
      <c r="J130">
        <f>IFERROR(INDEX('Green_rooibos initial weight'!$C$5:$C$1749,MATCH(H130, 'Green_rooibos initial weight'!$A$5:$A$1749,0)),"")</f>
        <v>1.978</v>
      </c>
      <c r="K130">
        <f>IFERROR(INDEX('Green_rooibos initial weight'!$C$5:$C$1749,MATCH(I130, 'Green_rooibos initial weight'!$A$5:$A$1749,0)),"")</f>
        <v>2.2589999999999999</v>
      </c>
      <c r="L130" s="195">
        <f t="shared" si="2"/>
        <v>1.7282</v>
      </c>
      <c r="M130" s="195">
        <f>AVERAGE(Ashed_controlls!$K$2:$K$11)</f>
        <v>5.5147656768714146</v>
      </c>
      <c r="N130" s="195">
        <f t="shared" si="0"/>
        <v>2.0091999999999999</v>
      </c>
      <c r="O130" s="16">
        <f>IF('WetLitterbags placem_collection'!G57="N.A","",'WetLitterbags placem_collection'!G57)</f>
        <v>42820</v>
      </c>
      <c r="P130" s="195" t="str">
        <f>IF(IFERROR(INDEX('Both teabags AfterWet'!$C$3:$C$841,MATCH(H130,'Both teabags AfterWet'!$A$3:$A$841,0)),"")="N.A","",(IFERROR(INDEX('Both teabags AfterWet'!$C$3:$C$841,MATCH(H130,'Both teabags AfterWet'!$A$3:$A$841,0)),"")))</f>
        <v/>
      </c>
      <c r="Q130" s="195">
        <f>IFERROR(INDEX('Both teabags AfterWet'!$C$3:$C$841,MATCH(I130,'Both teabags AfterWet'!$A$3:$A$841,0)),"")</f>
        <v>0.22600000000000001</v>
      </c>
      <c r="R130" s="195" t="str">
        <f t="shared" si="3"/>
        <v/>
      </c>
      <c r="S130" s="195">
        <f t="shared" si="3"/>
        <v>7.5399999999999995E-2</v>
      </c>
      <c r="T130" s="195" t="str">
        <f t="shared" si="4"/>
        <v/>
      </c>
      <c r="U130" s="195" t="str">
        <f t="shared" si="5"/>
        <v/>
      </c>
      <c r="V130" s="195">
        <f t="shared" si="6"/>
        <v>3.7527374079235516E-2</v>
      </c>
      <c r="W130">
        <f t="shared" si="1"/>
        <v>54</v>
      </c>
      <c r="X130" s="195" t="str">
        <f t="shared" si="7"/>
        <v/>
      </c>
      <c r="Y130" s="195" t="str">
        <f t="shared" si="8"/>
        <v/>
      </c>
      <c r="Z130" s="255" t="str">
        <f>IF(ISNUMBER(SEARCH("C",'WetLitterbags placem_collection'!W57)),"YES","NO")</f>
        <v>NO</v>
      </c>
      <c r="AA130" s="255" t="str">
        <f>IF(ISNUMBER(SEARCH("H", 'WetLitterbags placem_collection'!W57)),"YES","NO")</f>
        <v>YES</v>
      </c>
      <c r="AB130" s="255" t="str">
        <f>IF(ISNUMBER(SEARCH("R", 'WetLitterbags placem_collection'!W57)),"YES","NO")</f>
        <v>NO</v>
      </c>
      <c r="AC130" s="255" t="str">
        <f>IF(ISNUMBER(SEARCH("C", 'WetLitterbags placem_collection'!V57)),"YES","NO")</f>
        <v>NO</v>
      </c>
      <c r="AD130" s="255" t="str">
        <f>IF(ISNUMBER(SEARCH("H", 'WetLitterbags placem_collection'!V57)),"YES","NO")</f>
        <v>NO</v>
      </c>
      <c r="AE130" s="255" t="str">
        <f>IF(ISNUMBER(SEARCH("R", 'WetLitterbags placem_collection'!V57)),"YES","NO")</f>
        <v>NO</v>
      </c>
    </row>
    <row r="131" spans="2:31">
      <c r="B131" t="str">
        <f>'Final data_for_R_analysis_Wetse'!A57</f>
        <v>Wet</v>
      </c>
      <c r="C131" s="263">
        <f>'Final data_for_R_analysis_Wetse'!B57</f>
        <v>56</v>
      </c>
      <c r="D131" t="s">
        <v>3834</v>
      </c>
      <c r="E131" t="s">
        <v>22</v>
      </c>
      <c r="F131" s="387">
        <v>8</v>
      </c>
      <c r="G131" s="16">
        <f>'WetLitterbags placem_collection'!E58</f>
        <v>42766</v>
      </c>
      <c r="H131" t="str">
        <f>'Final data_for_R_analysis_Wetse'!J57</f>
        <v>G538</v>
      </c>
      <c r="I131" t="str">
        <f>'Final data_for_R_analysis_Wetse'!J277</f>
        <v>R60</v>
      </c>
      <c r="J131">
        <f>IFERROR(INDEX('Green_rooibos initial weight'!$C$5:$C$1749,MATCH(H131, 'Green_rooibos initial weight'!$A$5:$A$1749,0)),"")</f>
        <v>2.1760000000000002</v>
      </c>
      <c r="K131">
        <f>IFERROR(INDEX('Green_rooibos initial weight'!$C$5:$C$1749,MATCH(I131, 'Green_rooibos initial weight'!$A$5:$A$1749,0)),"")</f>
        <v>2.3220000000000001</v>
      </c>
      <c r="L131" s="195">
        <f t="shared" si="2"/>
        <v>1.9262000000000001</v>
      </c>
      <c r="M131" s="195">
        <f>AVERAGE(Ashed_controlls!$K$2:$K$11)</f>
        <v>5.5147656768714146</v>
      </c>
      <c r="N131" s="195">
        <f t="shared" si="0"/>
        <v>2.0722</v>
      </c>
      <c r="O131" s="16">
        <f>IF('WetLitterbags placem_collection'!G58="N.A","",'WetLitterbags placem_collection'!G58)</f>
        <v>42820</v>
      </c>
      <c r="P131" s="195">
        <f>IF(IFERROR(INDEX('Both teabags AfterWet'!$C$3:$C$841,MATCH(H131,'Both teabags AfterWet'!$A$3:$A$841,0)),"")="N.A","",(IFERROR(INDEX('Both teabags AfterWet'!$C$3:$C$841,MATCH(H131,'Both teabags AfterWet'!$A$3:$A$841,0)),"")))</f>
        <v>0.81</v>
      </c>
      <c r="Q131" s="195">
        <f>IFERROR(INDEX('Both teabags AfterWet'!$C$3:$C$841,MATCH(I131,'Both teabags AfterWet'!$A$3:$A$841,0)),"")</f>
        <v>2.2909999999999999</v>
      </c>
      <c r="R131" s="195">
        <f t="shared" si="3"/>
        <v>0.65939999999999999</v>
      </c>
      <c r="S131" s="195">
        <f t="shared" si="3"/>
        <v>2.1404000000000001</v>
      </c>
      <c r="T131" s="195">
        <f t="shared" si="4"/>
        <v>0.65766794725366007</v>
      </c>
      <c r="U131" s="195">
        <f t="shared" si="5"/>
        <v>0.43115523382900289</v>
      </c>
      <c r="V131" s="195">
        <f t="shared" si="6"/>
        <v>1.0329118810925586</v>
      </c>
      <c r="W131">
        <f t="shared" si="1"/>
        <v>54</v>
      </c>
      <c r="X131" s="195">
        <f t="shared" si="7"/>
        <v>0.21892167784600935</v>
      </c>
      <c r="Y131" s="195">
        <f t="shared" si="8"/>
        <v>-1.3622405451697067E-3</v>
      </c>
      <c r="Z131" s="255" t="str">
        <f>IF(ISNUMBER(SEARCH("C",'WetLitterbags placem_collection'!W58)),"YES","NO")</f>
        <v>YES</v>
      </c>
      <c r="AA131" s="255" t="str">
        <f>IF(ISNUMBER(SEARCH("H", 'WetLitterbags placem_collection'!W58)),"YES","NO")</f>
        <v>YES</v>
      </c>
      <c r="AB131" s="255" t="str">
        <f>IF(ISNUMBER(SEARCH("R", 'WetLitterbags placem_collection'!W58)),"YES","NO")</f>
        <v>NO</v>
      </c>
      <c r="AC131" s="255" t="str">
        <f>IF(ISNUMBER(SEARCH("C", 'WetLitterbags placem_collection'!V58)),"YES","NO")</f>
        <v>NO</v>
      </c>
      <c r="AD131" s="255" t="str">
        <f>IF(ISNUMBER(SEARCH("H", 'WetLitterbags placem_collection'!V58)),"YES","NO")</f>
        <v>YES</v>
      </c>
      <c r="AE131" s="255" t="str">
        <f>IF(ISNUMBER(SEARCH("R", 'WetLitterbags placem_collection'!V58)),"YES","NO")</f>
        <v>YES</v>
      </c>
    </row>
    <row r="132" spans="2:31">
      <c r="B132" t="str">
        <f>'Final data_for_R_analysis_Wetse'!A58</f>
        <v>Wet</v>
      </c>
      <c r="C132" s="263">
        <f>'Final data_for_R_analysis_Wetse'!B58</f>
        <v>57</v>
      </c>
      <c r="D132" t="s">
        <v>3835</v>
      </c>
      <c r="E132" t="s">
        <v>22</v>
      </c>
      <c r="F132" s="386">
        <v>1</v>
      </c>
      <c r="G132" s="16">
        <f>'WetLitterbags placem_collection'!E59</f>
        <v>42766</v>
      </c>
      <c r="H132" t="str">
        <f>'Final data_for_R_analysis_Wetse'!J58</f>
        <v>G546</v>
      </c>
      <c r="I132" t="str">
        <f>'Final data_for_R_analysis_Wetse'!J278</f>
        <v>R161</v>
      </c>
      <c r="J132">
        <f>IFERROR(INDEX('Green_rooibos initial weight'!$C$5:$C$1749,MATCH(H132, 'Green_rooibos initial weight'!$A$5:$A$1749,0)),"")</f>
        <v>2.1429999999999998</v>
      </c>
      <c r="K132">
        <f>IFERROR(INDEX('Green_rooibos initial weight'!$C$5:$C$1749,MATCH(I132, 'Green_rooibos initial weight'!$A$5:$A$1749,0)),"")</f>
        <v>2.1829999999999998</v>
      </c>
      <c r="L132" s="195">
        <f t="shared" si="2"/>
        <v>1.8931999999999998</v>
      </c>
      <c r="M132" s="195">
        <f>AVERAGE(Ashed_controlls!$K$2:$K$11)</f>
        <v>5.5147656768714146</v>
      </c>
      <c r="N132" s="195">
        <f t="shared" si="0"/>
        <v>1.9331999999999998</v>
      </c>
      <c r="O132" s="16">
        <f>IF('WetLitterbags placem_collection'!G59="N.A","",'WetLitterbags placem_collection'!G59)</f>
        <v>42820</v>
      </c>
      <c r="P132" s="195">
        <f>IF(IFERROR(INDEX('Both teabags AfterWet'!$C$3:$C$841,MATCH(H132,'Both teabags AfterWet'!$A$3:$A$841,0)),"")="N.A","",(IFERROR(INDEX('Both teabags AfterWet'!$C$3:$C$841,MATCH(H132,'Both teabags AfterWet'!$A$3:$A$841,0)),"")))</f>
        <v>0.88660000000000005</v>
      </c>
      <c r="Q132" s="195">
        <f>IFERROR(INDEX('Both teabags AfterWet'!$C$3:$C$841,MATCH(I132,'Both teabags AfterWet'!$A$3:$A$841,0)),"")</f>
        <v>1.266</v>
      </c>
      <c r="R132" s="195">
        <f t="shared" si="3"/>
        <v>0.73599999999999999</v>
      </c>
      <c r="S132" s="195">
        <f t="shared" si="3"/>
        <v>1.1153999999999999</v>
      </c>
      <c r="T132" s="195">
        <f t="shared" si="4"/>
        <v>0.61124022818508339</v>
      </c>
      <c r="U132" s="195">
        <f t="shared" si="5"/>
        <v>0.40071805933273885</v>
      </c>
      <c r="V132" s="195">
        <f t="shared" si="6"/>
        <v>0.57697082557417756</v>
      </c>
      <c r="W132">
        <f t="shared" si="1"/>
        <v>54</v>
      </c>
      <c r="X132" s="195">
        <f t="shared" si="7"/>
        <v>0.2740614867160529</v>
      </c>
      <c r="Y132" s="195" t="str">
        <f t="shared" si="8"/>
        <v/>
      </c>
      <c r="Z132" s="255" t="str">
        <f>IF(ISNUMBER(SEARCH("C",'WetLitterbags placem_collection'!W59)),"YES","NO")</f>
        <v>NO</v>
      </c>
      <c r="AA132" s="255" t="str">
        <f>IF(ISNUMBER(SEARCH("H", 'WetLitterbags placem_collection'!W59)),"YES","NO")</f>
        <v>YES</v>
      </c>
      <c r="AB132" s="255" t="str">
        <f>IF(ISNUMBER(SEARCH("R", 'WetLitterbags placem_collection'!W59)),"YES","NO")</f>
        <v>YES</v>
      </c>
      <c r="AC132" s="255" t="str">
        <f>IF(ISNUMBER(SEARCH("C", 'WetLitterbags placem_collection'!V59)),"YES","NO")</f>
        <v>NO</v>
      </c>
      <c r="AD132" s="255" t="str">
        <f>IF(ISNUMBER(SEARCH("H", 'WetLitterbags placem_collection'!V59)),"YES","NO")</f>
        <v>NO</v>
      </c>
      <c r="AE132" s="255" t="str">
        <f>IF(ISNUMBER(SEARCH("R", 'WetLitterbags placem_collection'!V59)),"YES","NO")</f>
        <v>YES</v>
      </c>
    </row>
    <row r="133" spans="2:31">
      <c r="B133" t="str">
        <f>'Final data_for_R_analysis_Wetse'!A59</f>
        <v>Wet</v>
      </c>
      <c r="C133" s="263">
        <f>'Final data_for_R_analysis_Wetse'!B59</f>
        <v>58</v>
      </c>
      <c r="D133" t="s">
        <v>3835</v>
      </c>
      <c r="E133" t="s">
        <v>22</v>
      </c>
      <c r="F133" s="386">
        <v>2</v>
      </c>
      <c r="G133" s="16">
        <f>'WetLitterbags placem_collection'!E60</f>
        <v>42766</v>
      </c>
      <c r="H133" t="str">
        <f>'Final data_for_R_analysis_Wetse'!J59</f>
        <v>G513</v>
      </c>
      <c r="I133" t="str">
        <f>'Final data_for_R_analysis_Wetse'!J279</f>
        <v>R48</v>
      </c>
      <c r="J133">
        <f>IFERROR(INDEX('Green_rooibos initial weight'!$C$5:$C$1749,MATCH(H133, 'Green_rooibos initial weight'!$A$5:$A$1749,0)),"")</f>
        <v>2.0179999999999998</v>
      </c>
      <c r="K133">
        <f>IFERROR(INDEX('Green_rooibos initial weight'!$C$5:$C$1749,MATCH(I133, 'Green_rooibos initial weight'!$A$5:$A$1749,0)),"")</f>
        <v>2.2149999999999999</v>
      </c>
      <c r="L133" s="195">
        <f t="shared" si="2"/>
        <v>1.7681999999999998</v>
      </c>
      <c r="M133" s="195">
        <f>AVERAGE(Ashed_controlls!$K$2:$K$11)</f>
        <v>5.5147656768714146</v>
      </c>
      <c r="N133" s="195">
        <f t="shared" si="0"/>
        <v>1.9651999999999998</v>
      </c>
      <c r="O133" s="16">
        <f>IF('WetLitterbags placem_collection'!G60="N.A","",'WetLitterbags placem_collection'!G60)</f>
        <v>42820</v>
      </c>
      <c r="P133" s="195">
        <f>IF(IFERROR(INDEX('Both teabags AfterWet'!$C$3:$C$841,MATCH(H133,'Both teabags AfterWet'!$A$3:$A$841,0)),"")="N.A","",(IFERROR(INDEX('Both teabags AfterWet'!$C$3:$C$841,MATCH(H133,'Both teabags AfterWet'!$A$3:$A$841,0)),"")))</f>
        <v>0.93279999999999996</v>
      </c>
      <c r="Q133" s="195">
        <f>IFERROR(INDEX('Both teabags AfterWet'!$C$3:$C$841,MATCH(I133,'Both teabags AfterWet'!$A$3:$A$841,0)),"")</f>
        <v>0.74880000000000002</v>
      </c>
      <c r="R133" s="195">
        <f t="shared" si="3"/>
        <v>0.78220000000000001</v>
      </c>
      <c r="S133" s="195">
        <f t="shared" si="3"/>
        <v>0.59820000000000007</v>
      </c>
      <c r="T133" s="195">
        <f t="shared" si="4"/>
        <v>0.55762922746295662</v>
      </c>
      <c r="U133" s="195">
        <f t="shared" si="5"/>
        <v>0.36557165505885048</v>
      </c>
      <c r="V133" s="195">
        <f t="shared" si="6"/>
        <v>0.30439649908406274</v>
      </c>
      <c r="W133">
        <f t="shared" si="1"/>
        <v>54</v>
      </c>
      <c r="X133" s="195">
        <f t="shared" si="7"/>
        <v>0.33773250895135787</v>
      </c>
      <c r="Y133" s="195" t="str">
        <f t="shared" si="8"/>
        <v/>
      </c>
      <c r="Z133" s="255" t="str">
        <f>IF(ISNUMBER(SEARCH("C",'WetLitterbags placem_collection'!W60)),"YES","NO")</f>
        <v>NO</v>
      </c>
      <c r="AA133" s="255" t="str">
        <f>IF(ISNUMBER(SEARCH("H", 'WetLitterbags placem_collection'!W60)),"YES","NO")</f>
        <v>YES</v>
      </c>
      <c r="AB133" s="255" t="str">
        <f>IF(ISNUMBER(SEARCH("R", 'WetLitterbags placem_collection'!W60)),"YES","NO")</f>
        <v>NO</v>
      </c>
      <c r="AC133" s="255" t="str">
        <f>IF(ISNUMBER(SEARCH("C", 'WetLitterbags placem_collection'!V60)),"YES","NO")</f>
        <v>NO</v>
      </c>
      <c r="AD133" s="255" t="str">
        <f>IF(ISNUMBER(SEARCH("H", 'WetLitterbags placem_collection'!V60)),"YES","NO")</f>
        <v>YES</v>
      </c>
      <c r="AE133" s="255" t="str">
        <f>IF(ISNUMBER(SEARCH("R", 'WetLitterbags placem_collection'!V60)),"YES","NO")</f>
        <v>YES</v>
      </c>
    </row>
    <row r="134" spans="2:31">
      <c r="B134" t="str">
        <f>'Final data_for_R_analysis_Wetse'!A60</f>
        <v>Wet</v>
      </c>
      <c r="C134" s="263">
        <f>'Final data_for_R_analysis_Wetse'!B60</f>
        <v>59</v>
      </c>
      <c r="D134" t="s">
        <v>3835</v>
      </c>
      <c r="E134" t="s">
        <v>22</v>
      </c>
      <c r="F134" s="386">
        <v>3</v>
      </c>
      <c r="G134" s="16">
        <f>'WetLitterbags placem_collection'!E61</f>
        <v>42766</v>
      </c>
      <c r="H134" t="str">
        <f>'Final data_for_R_analysis_Wetse'!J60</f>
        <v>G489</v>
      </c>
      <c r="I134" t="str">
        <f>'Final data_for_R_analysis_Wetse'!J280</f>
        <v>R23</v>
      </c>
      <c r="J134">
        <f>IFERROR(INDEX('Green_rooibos initial weight'!$C$5:$C$1749,MATCH(H134, 'Green_rooibos initial weight'!$A$5:$A$1749,0)),"")</f>
        <v>1.9</v>
      </c>
      <c r="K134">
        <f>IFERROR(INDEX('Green_rooibos initial weight'!$C$5:$C$1749,MATCH(I134, 'Green_rooibos initial weight'!$A$5:$A$1749,0)),"")</f>
        <v>2.2770000000000001</v>
      </c>
      <c r="L134" s="195">
        <f t="shared" si="2"/>
        <v>1.6501999999999999</v>
      </c>
      <c r="M134" s="195">
        <f>AVERAGE(Ashed_controlls!$K$2:$K$11)</f>
        <v>5.5147656768714146</v>
      </c>
      <c r="N134" s="195">
        <f t="shared" si="0"/>
        <v>2.0272000000000001</v>
      </c>
      <c r="O134" s="16">
        <f>IF('WetLitterbags placem_collection'!G61="N.A","",'WetLitterbags placem_collection'!G61)</f>
        <v>42820</v>
      </c>
      <c r="P134" s="195">
        <f>IF(IFERROR(INDEX('Both teabags AfterWet'!$C$3:$C$841,MATCH(H134,'Both teabags AfterWet'!$A$3:$A$841,0)),"")="N.A","",(IFERROR(INDEX('Both teabags AfterWet'!$C$3:$C$841,MATCH(H134,'Both teabags AfterWet'!$A$3:$A$841,0)),"")))</f>
        <v>0.88400000000000001</v>
      </c>
      <c r="Q134" s="195">
        <f>IFERROR(INDEX('Both teabags AfterWet'!$C$3:$C$841,MATCH(I134,'Both teabags AfterWet'!$A$3:$A$841,0)),"")</f>
        <v>1.38</v>
      </c>
      <c r="R134" s="195">
        <f t="shared" si="3"/>
        <v>0.73340000000000005</v>
      </c>
      <c r="S134" s="195">
        <f t="shared" si="3"/>
        <v>1.2293999999999998</v>
      </c>
      <c r="T134" s="195">
        <f t="shared" si="4"/>
        <v>0.55556902193673485</v>
      </c>
      <c r="U134" s="195">
        <f t="shared" si="5"/>
        <v>0.36422102150721819</v>
      </c>
      <c r="V134" s="195">
        <f t="shared" si="6"/>
        <v>0.60645224940805043</v>
      </c>
      <c r="W134">
        <f t="shared" si="1"/>
        <v>54</v>
      </c>
      <c r="X134" s="195">
        <f t="shared" si="7"/>
        <v>0.34017930886373526</v>
      </c>
      <c r="Y134" s="195" t="str">
        <f t="shared" si="8"/>
        <v/>
      </c>
      <c r="Z134" s="255" t="str">
        <f>IF(ISNUMBER(SEARCH("C",'WetLitterbags placem_collection'!W61)),"YES","NO")</f>
        <v>NO</v>
      </c>
      <c r="AA134" s="255" t="str">
        <f>IF(ISNUMBER(SEARCH("H", 'WetLitterbags placem_collection'!W61)),"YES","NO")</f>
        <v>NO</v>
      </c>
      <c r="AB134" s="255" t="str">
        <f>IF(ISNUMBER(SEARCH("R", 'WetLitterbags placem_collection'!W61)),"YES","NO")</f>
        <v>NO</v>
      </c>
      <c r="AC134" s="255" t="str">
        <f>IF(ISNUMBER(SEARCH("C", 'WetLitterbags placem_collection'!V61)),"YES","NO")</f>
        <v>NO</v>
      </c>
      <c r="AD134" s="255" t="str">
        <f>IF(ISNUMBER(SEARCH("H", 'WetLitterbags placem_collection'!V61)),"YES","NO")</f>
        <v>NO</v>
      </c>
      <c r="AE134" s="255" t="str">
        <f>IF(ISNUMBER(SEARCH("R", 'WetLitterbags placem_collection'!V61)),"YES","NO")</f>
        <v>NO</v>
      </c>
    </row>
    <row r="135" spans="2:31">
      <c r="B135" t="str">
        <f>'Final data_for_R_analysis_Wetse'!A61</f>
        <v>Wet</v>
      </c>
      <c r="C135" s="263">
        <f>'Final data_for_R_analysis_Wetse'!B61</f>
        <v>60</v>
      </c>
      <c r="D135" t="s">
        <v>3835</v>
      </c>
      <c r="E135" t="s">
        <v>22</v>
      </c>
      <c r="F135" s="387">
        <v>4</v>
      </c>
      <c r="G135" s="16">
        <f>'WetLitterbags placem_collection'!E62</f>
        <v>42766</v>
      </c>
      <c r="H135" t="str">
        <f>'Final data_for_R_analysis_Wetse'!J61</f>
        <v>G633</v>
      </c>
      <c r="I135" t="str">
        <f>'Final data_for_R_analysis_Wetse'!J281</f>
        <v>R78</v>
      </c>
      <c r="J135">
        <f>IFERROR(INDEX('Green_rooibos initial weight'!$C$5:$C$1749,MATCH(H135, 'Green_rooibos initial weight'!$A$5:$A$1749,0)),"")</f>
        <v>2.0630000000000002</v>
      </c>
      <c r="K135">
        <f>IFERROR(INDEX('Green_rooibos initial weight'!$C$5:$C$1749,MATCH(I135, 'Green_rooibos initial weight'!$A$5:$A$1749,0)),"")</f>
        <v>2.2200000000000002</v>
      </c>
      <c r="L135" s="195">
        <f t="shared" si="2"/>
        <v>1.8132000000000001</v>
      </c>
      <c r="M135" s="195">
        <f>AVERAGE(Ashed_controlls!$K$2:$K$11)</f>
        <v>5.5147656768714146</v>
      </c>
      <c r="N135" s="195">
        <f t="shared" si="0"/>
        <v>1.9702000000000002</v>
      </c>
      <c r="O135" s="16">
        <f>IF('WetLitterbags placem_collection'!G62="N.A","",'WetLitterbags placem_collection'!G62)</f>
        <v>42820</v>
      </c>
      <c r="P135" s="195">
        <f>IF(IFERROR(INDEX('Both teabags AfterWet'!$C$3:$C$841,MATCH(H135,'Both teabags AfterWet'!$A$3:$A$841,0)),"")="N.A","",(IFERROR(INDEX('Both teabags AfterWet'!$C$3:$C$841,MATCH(H135,'Both teabags AfterWet'!$A$3:$A$841,0)),"")))</f>
        <v>0.874</v>
      </c>
      <c r="Q135" s="195">
        <f>IFERROR(INDEX('Both teabags AfterWet'!$C$3:$C$841,MATCH(I135,'Both teabags AfterWet'!$A$3:$A$841,0)),"")</f>
        <v>1.665</v>
      </c>
      <c r="R135" s="195">
        <f t="shared" si="3"/>
        <v>0.72340000000000004</v>
      </c>
      <c r="S135" s="195">
        <f t="shared" si="3"/>
        <v>1.5144</v>
      </c>
      <c r="T135" s="195">
        <f t="shared" si="4"/>
        <v>0.60103684094418708</v>
      </c>
      <c r="U135" s="195">
        <f t="shared" si="5"/>
        <v>0.39402890285177111</v>
      </c>
      <c r="V135" s="195">
        <f t="shared" si="6"/>
        <v>0.76865292863668655</v>
      </c>
      <c r="W135">
        <f t="shared" si="1"/>
        <v>54</v>
      </c>
      <c r="X135" s="195">
        <f t="shared" si="7"/>
        <v>0.28617952381925527</v>
      </c>
      <c r="Y135" s="195">
        <f t="shared" si="8"/>
        <v>1.6381998609185364E-2</v>
      </c>
      <c r="Z135" s="255" t="str">
        <f>IF(ISNUMBER(SEARCH("C",'WetLitterbags placem_collection'!W62)),"YES","NO")</f>
        <v>NO</v>
      </c>
      <c r="AA135" s="255" t="str">
        <f>IF(ISNUMBER(SEARCH("H", 'WetLitterbags placem_collection'!W62)),"YES","NO")</f>
        <v>NO</v>
      </c>
      <c r="AB135" s="255" t="str">
        <f>IF(ISNUMBER(SEARCH("R", 'WetLitterbags placem_collection'!W62)),"YES","NO")</f>
        <v>NO</v>
      </c>
      <c r="AC135" s="255" t="str">
        <f>IF(ISNUMBER(SEARCH("C", 'WetLitterbags placem_collection'!V62)),"YES","NO")</f>
        <v>NO</v>
      </c>
      <c r="AD135" s="255" t="str">
        <f>IF(ISNUMBER(SEARCH("H", 'WetLitterbags placem_collection'!V62)),"YES","NO")</f>
        <v>NO</v>
      </c>
      <c r="AE135" s="255" t="str">
        <f>IF(ISNUMBER(SEARCH("R", 'WetLitterbags placem_collection'!V62)),"YES","NO")</f>
        <v>YES</v>
      </c>
    </row>
    <row r="136" spans="2:31">
      <c r="B136" t="str">
        <f>'Final data_for_R_analysis_Wetse'!A62</f>
        <v>Wet</v>
      </c>
      <c r="C136" s="263">
        <f>'Final data_for_R_analysis_Wetse'!B62</f>
        <v>61</v>
      </c>
      <c r="D136" t="s">
        <v>3835</v>
      </c>
      <c r="E136" t="s">
        <v>22</v>
      </c>
      <c r="F136" s="387">
        <v>5</v>
      </c>
      <c r="G136" s="16">
        <f>'WetLitterbags placem_collection'!E63</f>
        <v>42766</v>
      </c>
      <c r="H136" t="str">
        <f>'Final data_for_R_analysis_Wetse'!J62</f>
        <v>G541</v>
      </c>
      <c r="I136" t="str">
        <f>'Final data_for_R_analysis_Wetse'!J282</f>
        <v>R42</v>
      </c>
      <c r="J136">
        <f>IFERROR(INDEX('Green_rooibos initial weight'!$C$5:$C$1749,MATCH(H136, 'Green_rooibos initial weight'!$A$5:$A$1749,0)),"")</f>
        <v>1.978</v>
      </c>
      <c r="K136">
        <f>IFERROR(INDEX('Green_rooibos initial weight'!$C$5:$C$1749,MATCH(I136, 'Green_rooibos initial weight'!$A$5:$A$1749,0)),"")</f>
        <v>2.2389999999999999</v>
      </c>
      <c r="L136" s="195">
        <f t="shared" si="2"/>
        <v>1.7282</v>
      </c>
      <c r="M136" s="195">
        <f>AVERAGE(Ashed_controlls!$K$2:$K$11)</f>
        <v>5.5147656768714146</v>
      </c>
      <c r="N136" s="195">
        <f t="shared" si="0"/>
        <v>1.9891999999999999</v>
      </c>
      <c r="O136" s="16">
        <f>IF('WetLitterbags placem_collection'!G63="N.A","",'WetLitterbags placem_collection'!G63)</f>
        <v>42820</v>
      </c>
      <c r="P136" s="195">
        <f>IF(IFERROR(INDEX('Both teabags AfterWet'!$C$3:$C$841,MATCH(H136,'Both teabags AfterWet'!$A$3:$A$841,0)),"")="N.A","",(IFERROR(INDEX('Both teabags AfterWet'!$C$3:$C$841,MATCH(H136,'Both teabags AfterWet'!$A$3:$A$841,0)),"")))</f>
        <v>0.78600000000000003</v>
      </c>
      <c r="Q136" s="195">
        <f>IFERROR(INDEX('Both teabags AfterWet'!$C$3:$C$841,MATCH(I136,'Both teabags AfterWet'!$A$3:$A$841,0)),"")</f>
        <v>0.182</v>
      </c>
      <c r="R136" s="195">
        <f t="shared" si="3"/>
        <v>0.63539999999999996</v>
      </c>
      <c r="S136" s="195">
        <f t="shared" si="3"/>
        <v>3.1399999999999983E-2</v>
      </c>
      <c r="T136" s="195">
        <f t="shared" si="4"/>
        <v>0.63233422057632227</v>
      </c>
      <c r="U136" s="195">
        <f t="shared" si="5"/>
        <v>0.41454689995027305</v>
      </c>
      <c r="V136" s="195">
        <f t="shared" si="6"/>
        <v>1.578524029760707E-2</v>
      </c>
      <c r="W136">
        <f t="shared" si="1"/>
        <v>54</v>
      </c>
      <c r="X136" s="195">
        <f t="shared" si="7"/>
        <v>0.24900923922051987</v>
      </c>
      <c r="Y136" s="195" t="str">
        <f t="shared" si="8"/>
        <v/>
      </c>
      <c r="Z136" s="255" t="str">
        <f>IF(ISNUMBER(SEARCH("C",'WetLitterbags placem_collection'!W63)),"YES","NO")</f>
        <v>YES</v>
      </c>
      <c r="AA136" s="255" t="str">
        <f>IF(ISNUMBER(SEARCH("H", 'WetLitterbags placem_collection'!W63)),"YES","NO")</f>
        <v>YES</v>
      </c>
      <c r="AB136" s="255" t="str">
        <f>IF(ISNUMBER(SEARCH("R", 'WetLitterbags placem_collection'!W63)),"YES","NO")</f>
        <v>NO</v>
      </c>
      <c r="AC136" s="255" t="str">
        <f>IF(ISNUMBER(SEARCH("C", 'WetLitterbags placem_collection'!V63)),"YES","NO")</f>
        <v>YES</v>
      </c>
      <c r="AD136" s="255" t="str">
        <f>IF(ISNUMBER(SEARCH("H", 'WetLitterbags placem_collection'!V63)),"YES","NO")</f>
        <v>YES</v>
      </c>
      <c r="AE136" s="255" t="str">
        <f>IF(ISNUMBER(SEARCH("R", 'WetLitterbags placem_collection'!V63)),"YES","NO")</f>
        <v>NO</v>
      </c>
    </row>
    <row r="137" spans="2:31">
      <c r="B137" t="str">
        <f>'Final data_for_R_analysis_Wetse'!A63</f>
        <v>Wet</v>
      </c>
      <c r="C137" s="263">
        <f>'Final data_for_R_analysis_Wetse'!B63</f>
        <v>62</v>
      </c>
      <c r="D137" t="s">
        <v>3835</v>
      </c>
      <c r="E137" t="s">
        <v>22</v>
      </c>
      <c r="F137" s="387">
        <v>6</v>
      </c>
      <c r="G137" s="16">
        <f>'WetLitterbags placem_collection'!E64</f>
        <v>42766</v>
      </c>
      <c r="H137" t="str">
        <f>'Final data_for_R_analysis_Wetse'!J63</f>
        <v>G565</v>
      </c>
      <c r="I137" t="str">
        <f>'Final data_for_R_analysis_Wetse'!J283</f>
        <v>R119</v>
      </c>
      <c r="J137">
        <f>IFERROR(INDEX('Green_rooibos initial weight'!$C$5:$C$1749,MATCH(H137, 'Green_rooibos initial weight'!$A$5:$A$1749,0)),"")</f>
        <v>2.109</v>
      </c>
      <c r="K137">
        <f>IFERROR(INDEX('Green_rooibos initial weight'!$C$5:$C$1749,MATCH(I137, 'Green_rooibos initial weight'!$A$5:$A$1749,0)),"")</f>
        <v>2.1589999999999998</v>
      </c>
      <c r="L137" s="195">
        <f t="shared" si="2"/>
        <v>1.8592</v>
      </c>
      <c r="M137" s="195">
        <f>AVERAGE(Ashed_controlls!$K$2:$K$11)</f>
        <v>5.5147656768714146</v>
      </c>
      <c r="N137" s="195">
        <f t="shared" si="0"/>
        <v>1.9091999999999998</v>
      </c>
      <c r="O137" s="16">
        <f>IF('WetLitterbags placem_collection'!G64="N.A","",'WetLitterbags placem_collection'!G64)</f>
        <v>42820</v>
      </c>
      <c r="P137" s="195">
        <f>IF(IFERROR(INDEX('Both teabags AfterWet'!$C$3:$C$841,MATCH(H137,'Both teabags AfterWet'!$A$3:$A$841,0)),"")="N.A","",(IFERROR(INDEX('Both teabags AfterWet'!$C$3:$C$841,MATCH(H137,'Both teabags AfterWet'!$A$3:$A$841,0)),"")))</f>
        <v>0.9224</v>
      </c>
      <c r="Q137" s="195">
        <f>IFERROR(INDEX('Both teabags AfterWet'!$C$3:$C$841,MATCH(I137,'Both teabags AfterWet'!$A$3:$A$841,0)),"")</f>
        <v>1.6374</v>
      </c>
      <c r="R137" s="195">
        <f t="shared" si="3"/>
        <v>0.77180000000000004</v>
      </c>
      <c r="S137" s="195">
        <f t="shared" si="3"/>
        <v>1.4867999999999999</v>
      </c>
      <c r="T137" s="195">
        <f t="shared" si="4"/>
        <v>0.58487521514629948</v>
      </c>
      <c r="U137" s="195">
        <f t="shared" si="5"/>
        <v>0.38343363273249093</v>
      </c>
      <c r="V137" s="195">
        <f t="shared" si="6"/>
        <v>0.77875549968573232</v>
      </c>
      <c r="W137">
        <f t="shared" si="1"/>
        <v>54</v>
      </c>
      <c r="X137" s="195">
        <f t="shared" si="7"/>
        <v>0.30537385374548753</v>
      </c>
      <c r="Y137" s="195">
        <f t="shared" si="8"/>
        <v>1.5933396495466514E-2</v>
      </c>
      <c r="Z137" s="255" t="str">
        <f>IF(ISNUMBER(SEARCH("C",'WetLitterbags placem_collection'!W64)),"YES","NO")</f>
        <v>NO</v>
      </c>
      <c r="AA137" s="255" t="str">
        <f>IF(ISNUMBER(SEARCH("H", 'WetLitterbags placem_collection'!W64)),"YES","NO")</f>
        <v>YES</v>
      </c>
      <c r="AB137" s="255" t="str">
        <f>IF(ISNUMBER(SEARCH("R", 'WetLitterbags placem_collection'!W64)),"YES","NO")</f>
        <v>NO</v>
      </c>
      <c r="AC137" s="255" t="str">
        <f>IF(ISNUMBER(SEARCH("C", 'WetLitterbags placem_collection'!V64)),"YES","NO")</f>
        <v>NO</v>
      </c>
      <c r="AD137" s="255" t="str">
        <f>IF(ISNUMBER(SEARCH("H", 'WetLitterbags placem_collection'!V64)),"YES","NO")</f>
        <v>YES</v>
      </c>
      <c r="AE137" s="255" t="str">
        <f>IF(ISNUMBER(SEARCH("R", 'WetLitterbags placem_collection'!V64)),"YES","NO")</f>
        <v>NO</v>
      </c>
    </row>
    <row r="138" spans="2:31">
      <c r="B138" t="str">
        <f>'Final data_for_R_analysis_Wetse'!A64</f>
        <v>Wet</v>
      </c>
      <c r="C138" s="263">
        <f>'Final data_for_R_analysis_Wetse'!B64</f>
        <v>63</v>
      </c>
      <c r="D138" t="s">
        <v>3835</v>
      </c>
      <c r="E138" t="s">
        <v>22</v>
      </c>
      <c r="F138" s="387">
        <v>7</v>
      </c>
      <c r="G138" s="16">
        <f>'WetLitterbags placem_collection'!E65</f>
        <v>42766</v>
      </c>
      <c r="H138" t="str">
        <f>'Final data_for_R_analysis_Wetse'!J64</f>
        <v>G387</v>
      </c>
      <c r="I138" t="str">
        <f>'Final data_for_R_analysis_Wetse'!J284</f>
        <v>R185</v>
      </c>
      <c r="J138">
        <f>IFERROR(INDEX('Green_rooibos initial weight'!$C$5:$C$1749,MATCH(H138, 'Green_rooibos initial weight'!$A$5:$A$1749,0)),"")</f>
        <v>2.0139999999999998</v>
      </c>
      <c r="K138">
        <f>IFERROR(INDEX('Green_rooibos initial weight'!$C$5:$C$1749,MATCH(I138, 'Green_rooibos initial weight'!$A$5:$A$1749,0)),"")</f>
        <v>2.2909999999999999</v>
      </c>
      <c r="L138" s="195">
        <f t="shared" si="2"/>
        <v>1.7641999999999998</v>
      </c>
      <c r="M138" s="195">
        <f>AVERAGE(Ashed_controlls!$K$2:$K$11)</f>
        <v>5.5147656768714146</v>
      </c>
      <c r="N138" s="195">
        <f t="shared" si="0"/>
        <v>2.0411999999999999</v>
      </c>
      <c r="O138" s="16">
        <f>IF('WetLitterbags placem_collection'!G65="N.A","",'WetLitterbags placem_collection'!G65)</f>
        <v>42820</v>
      </c>
      <c r="P138" s="195">
        <f>IF(IFERROR(INDEX('Both teabags AfterWet'!$C$3:$C$841,MATCH(H138,'Both teabags AfterWet'!$A$3:$A$841,0)),"")="N.A","",(IFERROR(INDEX('Both teabags AfterWet'!$C$3:$C$841,MATCH(H138,'Both teabags AfterWet'!$A$3:$A$841,0)),"")))</f>
        <v>1.083</v>
      </c>
      <c r="Q138" s="195">
        <f>IFERROR(INDEX('Both teabags AfterWet'!$C$3:$C$841,MATCH(I138,'Both teabags AfterWet'!$A$3:$A$841,0)),"")</f>
        <v>1.6850000000000001</v>
      </c>
      <c r="R138" s="195">
        <f t="shared" si="3"/>
        <v>0.9323999999999999</v>
      </c>
      <c r="S138" s="195">
        <f t="shared" si="3"/>
        <v>1.5344</v>
      </c>
      <c r="T138" s="195">
        <f t="shared" si="4"/>
        <v>0.47148849336809884</v>
      </c>
      <c r="U138" s="195">
        <f t="shared" si="5"/>
        <v>0.30909934482089146</v>
      </c>
      <c r="V138" s="195">
        <f t="shared" si="6"/>
        <v>0.75171467764060362</v>
      </c>
      <c r="W138">
        <f t="shared" si="1"/>
        <v>54</v>
      </c>
      <c r="X138" s="195">
        <f t="shared" si="7"/>
        <v>0.44003741880273295</v>
      </c>
      <c r="Y138" s="195">
        <f t="shared" si="8"/>
        <v>3.0108191380188106E-2</v>
      </c>
      <c r="Z138" s="255" t="str">
        <f>IF(ISNUMBER(SEARCH("C",'WetLitterbags placem_collection'!W65)),"YES","NO")</f>
        <v>NO</v>
      </c>
      <c r="AA138" s="255" t="str">
        <f>IF(ISNUMBER(SEARCH("H", 'WetLitterbags placem_collection'!W65)),"YES","NO")</f>
        <v>NO</v>
      </c>
      <c r="AB138" s="255" t="str">
        <f>IF(ISNUMBER(SEARCH("R", 'WetLitterbags placem_collection'!W65)),"YES","NO")</f>
        <v>YES</v>
      </c>
      <c r="AC138" s="255" t="str">
        <f>IF(ISNUMBER(SEARCH("C", 'WetLitterbags placem_collection'!V65)),"YES","NO")</f>
        <v>NO</v>
      </c>
      <c r="AD138" s="255" t="str">
        <f>IF(ISNUMBER(SEARCH("H", 'WetLitterbags placem_collection'!V65)),"YES","NO")</f>
        <v>NO</v>
      </c>
      <c r="AE138" s="255" t="str">
        <f>IF(ISNUMBER(SEARCH("R", 'WetLitterbags placem_collection'!V65)),"YES","NO")</f>
        <v>YES</v>
      </c>
    </row>
    <row r="139" spans="2:31">
      <c r="B139" t="str">
        <f>'Final data_for_R_analysis_Wetse'!A65</f>
        <v>Wet</v>
      </c>
      <c r="C139" s="263">
        <f>'Final data_for_R_analysis_Wetse'!B65</f>
        <v>64</v>
      </c>
      <c r="D139" t="s">
        <v>3835</v>
      </c>
      <c r="E139" t="s">
        <v>22</v>
      </c>
      <c r="F139" s="387">
        <v>8</v>
      </c>
      <c r="G139" s="16">
        <f>'WetLitterbags placem_collection'!E66</f>
        <v>42766</v>
      </c>
      <c r="H139" t="str">
        <f>'Final data_for_R_analysis_Wetse'!J65</f>
        <v>G554</v>
      </c>
      <c r="I139" t="str">
        <f>'Final data_for_R_analysis_Wetse'!J285</f>
        <v>R159</v>
      </c>
      <c r="J139">
        <f>IFERROR(INDEX('Green_rooibos initial weight'!$C$5:$C$1749,MATCH(H139, 'Green_rooibos initial weight'!$A$5:$A$1749,0)),"")</f>
        <v>2.0840000000000001</v>
      </c>
      <c r="K139">
        <f>IFERROR(INDEX('Green_rooibos initial weight'!$C$5:$C$1749,MATCH(I139, 'Green_rooibos initial weight'!$A$5:$A$1749,0)),"")</f>
        <v>2.2930000000000001</v>
      </c>
      <c r="L139" s="195">
        <f t="shared" si="2"/>
        <v>1.8342000000000001</v>
      </c>
      <c r="M139" s="195">
        <f>AVERAGE(Ashed_controlls!$K$2:$K$11)</f>
        <v>5.5147656768714146</v>
      </c>
      <c r="N139" s="195">
        <f t="shared" si="0"/>
        <v>2.0432000000000001</v>
      </c>
      <c r="O139" s="16">
        <f>IF('WetLitterbags placem_collection'!G66="N.A","",'WetLitterbags placem_collection'!G66)</f>
        <v>42820</v>
      </c>
      <c r="P139" s="195">
        <f>IF(IFERROR(INDEX('Both teabags AfterWet'!$C$3:$C$841,MATCH(H139,'Both teabags AfterWet'!$A$3:$A$841,0)),"")="N.A","",(IFERROR(INDEX('Both teabags AfterWet'!$C$3:$C$841,MATCH(H139,'Both teabags AfterWet'!$A$3:$A$841,0)),"")))</f>
        <v>1.29</v>
      </c>
      <c r="Q139" s="195">
        <f>IFERROR(INDEX('Both teabags AfterWet'!$C$3:$C$841,MATCH(I139,'Both teabags AfterWet'!$A$3:$A$841,0)),"")</f>
        <v>1.3160000000000001</v>
      </c>
      <c r="R139" s="195">
        <f t="shared" si="3"/>
        <v>1.1394</v>
      </c>
      <c r="S139" s="195">
        <f t="shared" si="3"/>
        <v>1.1654</v>
      </c>
      <c r="T139" s="195">
        <f t="shared" si="4"/>
        <v>0.37880274779195289</v>
      </c>
      <c r="U139" s="195">
        <f t="shared" si="5"/>
        <v>0.24833624320802619</v>
      </c>
      <c r="V139" s="195">
        <f t="shared" si="6"/>
        <v>0.57037979639780734</v>
      </c>
      <c r="W139">
        <f t="shared" si="1"/>
        <v>54</v>
      </c>
      <c r="X139" s="195">
        <f t="shared" si="7"/>
        <v>0.5501155014347352</v>
      </c>
      <c r="Y139" s="195" t="str">
        <f t="shared" si="8"/>
        <v/>
      </c>
      <c r="Z139" s="255" t="str">
        <f>IF(ISNUMBER(SEARCH("C",'WetLitterbags placem_collection'!W66)),"YES","NO")</f>
        <v>YES</v>
      </c>
      <c r="AA139" s="255" t="str">
        <f>IF(ISNUMBER(SEARCH("H", 'WetLitterbags placem_collection'!W66)),"YES","NO")</f>
        <v>YES</v>
      </c>
      <c r="AB139" s="255" t="str">
        <f>IF(ISNUMBER(SEARCH("R", 'WetLitterbags placem_collection'!W66)),"YES","NO")</f>
        <v>NO</v>
      </c>
      <c r="AC139" s="255" t="str">
        <f>IF(ISNUMBER(SEARCH("C", 'WetLitterbags placem_collection'!V66)),"YES","NO")</f>
        <v>NO</v>
      </c>
      <c r="AD139" s="255" t="str">
        <f>IF(ISNUMBER(SEARCH("H", 'WetLitterbags placem_collection'!V66)),"YES","NO")</f>
        <v>YES</v>
      </c>
      <c r="AE139" s="255" t="str">
        <f>IF(ISNUMBER(SEARCH("R", 'WetLitterbags placem_collection'!V66)),"YES","NO")</f>
        <v>YES</v>
      </c>
    </row>
    <row r="140" spans="2:31">
      <c r="B140" t="str">
        <f>'Final data_for_R_analysis_Wetse'!A66</f>
        <v>Wet</v>
      </c>
      <c r="C140" s="263">
        <f>'Final data_for_R_analysis_Wetse'!B66</f>
        <v>65</v>
      </c>
      <c r="D140" t="s">
        <v>3836</v>
      </c>
      <c r="E140" t="s">
        <v>22</v>
      </c>
      <c r="F140" s="386">
        <v>1</v>
      </c>
      <c r="G140" s="16">
        <f>'WetLitterbags placem_collection'!E67</f>
        <v>42767</v>
      </c>
      <c r="H140" t="str">
        <f>'Final data_for_R_analysis_Wetse'!J66</f>
        <v>G614</v>
      </c>
      <c r="I140" t="str">
        <f>'Final data_for_R_analysis_Wetse'!J286</f>
        <v>R525</v>
      </c>
      <c r="J140">
        <f>IFERROR(INDEX('Green_rooibos initial weight'!$C$5:$C$1749,MATCH(H140, 'Green_rooibos initial weight'!$A$5:$A$1749,0)),"")</f>
        <v>2.1709999999999998</v>
      </c>
      <c r="K140">
        <f>IFERROR(INDEX('Green_rooibos initial weight'!$C$5:$C$1749,MATCH(I140, 'Green_rooibos initial weight'!$A$5:$A$1749,0)),"")</f>
        <v>2.1469999999999998</v>
      </c>
      <c r="L140" s="195">
        <f t="shared" si="2"/>
        <v>1.9211999999999998</v>
      </c>
      <c r="M140" s="195">
        <f>AVERAGE(Ashed_controlls!$K$2:$K$11)</f>
        <v>5.5147656768714146</v>
      </c>
      <c r="N140" s="195">
        <f t="shared" ref="N140:N203" si="9">IF(K140&gt;0,(K140*$F$32-($F$29+$F$30)),"")</f>
        <v>1.8971999999999998</v>
      </c>
      <c r="O140" s="16">
        <f>IF('WetLitterbags placem_collection'!G67="N.A","",'WetLitterbags placem_collection'!G67)</f>
        <v>42818</v>
      </c>
      <c r="P140" s="195">
        <f>IF(IFERROR(INDEX('Both teabags AfterWet'!$C$3:$C$841,MATCH(H140,'Both teabags AfterWet'!$A$3:$A$841,0)),"")="N.A","",(IFERROR(INDEX('Both teabags AfterWet'!$C$3:$C$841,MATCH(H140,'Both teabags AfterWet'!$A$3:$A$841,0)),"")))</f>
        <v>0.96099999999999997</v>
      </c>
      <c r="Q140" s="195">
        <f>IFERROR(INDEX('Both teabags AfterWet'!$C$3:$C$841,MATCH(I140,'Both teabags AfterWet'!$A$3:$A$841,0)),"")</f>
        <v>1.704</v>
      </c>
      <c r="R140" s="195">
        <f t="shared" si="3"/>
        <v>0.81040000000000001</v>
      </c>
      <c r="S140" s="195">
        <f t="shared" si="3"/>
        <v>1.5533999999999999</v>
      </c>
      <c r="T140" s="195">
        <f t="shared" si="4"/>
        <v>0.57818030397668119</v>
      </c>
      <c r="U140" s="195">
        <f t="shared" si="5"/>
        <v>0.37904456982794305</v>
      </c>
      <c r="V140" s="195">
        <f t="shared" si="6"/>
        <v>0.81878557874762814</v>
      </c>
      <c r="W140">
        <f t="shared" ref="W140:W203" si="10">IF((O140-G140)&gt;0,(IFERROR(O140-G140,"")),"")</f>
        <v>51</v>
      </c>
      <c r="X140" s="195">
        <f t="shared" si="7"/>
        <v>0.31332505465952354</v>
      </c>
      <c r="Y140" s="195">
        <f t="shared" si="8"/>
        <v>1.2749901364562137E-2</v>
      </c>
      <c r="Z140" s="255" t="str">
        <f>IF(ISNUMBER(SEARCH("C",'WetLitterbags placem_collection'!W67)),"YES","NO")</f>
        <v>NO</v>
      </c>
      <c r="AA140" s="255" t="str">
        <f>IF(ISNUMBER(SEARCH("H", 'WetLitterbags placem_collection'!W67)),"YES","NO")</f>
        <v>NO</v>
      </c>
      <c r="AB140" s="255" t="str">
        <f>IF(ISNUMBER(SEARCH("R", 'WetLitterbags placem_collection'!W67)),"YES","NO")</f>
        <v>NO</v>
      </c>
      <c r="AC140" s="255" t="str">
        <f>IF(ISNUMBER(SEARCH("C", 'WetLitterbags placem_collection'!V67)),"YES","NO")</f>
        <v>NO</v>
      </c>
      <c r="AD140" s="255" t="str">
        <f>IF(ISNUMBER(SEARCH("H", 'WetLitterbags placem_collection'!V67)),"YES","NO")</f>
        <v>NO</v>
      </c>
      <c r="AE140" s="255" t="str">
        <f>IF(ISNUMBER(SEARCH("R", 'WetLitterbags placem_collection'!V67)),"YES","NO")</f>
        <v>YES</v>
      </c>
    </row>
    <row r="141" spans="2:31">
      <c r="B141" t="str">
        <f>'Final data_for_R_analysis_Wetse'!A67</f>
        <v>Wet</v>
      </c>
      <c r="C141" s="263">
        <f>'Final data_for_R_analysis_Wetse'!B67</f>
        <v>66</v>
      </c>
      <c r="D141" t="s">
        <v>3836</v>
      </c>
      <c r="E141" t="s">
        <v>22</v>
      </c>
      <c r="F141" s="386">
        <v>2</v>
      </c>
      <c r="G141" s="16">
        <f>'WetLitterbags placem_collection'!E68</f>
        <v>42767</v>
      </c>
      <c r="H141" t="str">
        <f>'Final data_for_R_analysis_Wetse'!J67</f>
        <v>G282</v>
      </c>
      <c r="I141" t="str">
        <f>'Final data_for_R_analysis_Wetse'!J287</f>
        <v>R150</v>
      </c>
      <c r="J141">
        <f>IFERROR(INDEX('Green_rooibos initial weight'!$C$5:$C$1749,MATCH(H141, 'Green_rooibos initial weight'!$A$5:$A$1749,0)),"")</f>
        <v>1.9730000000000001</v>
      </c>
      <c r="K141">
        <f>IFERROR(INDEX('Green_rooibos initial weight'!$C$5:$C$1749,MATCH(I141, 'Green_rooibos initial weight'!$A$5:$A$1749,0)),"")</f>
        <v>2.1469999999999998</v>
      </c>
      <c r="L141" s="195">
        <f t="shared" ref="L141:L204" si="11">IF(J141&gt;0,(J141*$F$31-($F$29+$F$30)),"")</f>
        <v>1.7232000000000001</v>
      </c>
      <c r="M141" s="195">
        <f>AVERAGE(Ashed_controlls!$K$2:$K$11)</f>
        <v>5.5147656768714146</v>
      </c>
      <c r="N141" s="195">
        <f t="shared" si="9"/>
        <v>1.8971999999999998</v>
      </c>
      <c r="O141" s="16">
        <f>IF('WetLitterbags placem_collection'!G68="N.A","",'WetLitterbags placem_collection'!G68)</f>
        <v>42818</v>
      </c>
      <c r="P141" s="195">
        <f>IF(IFERROR(INDEX('Both teabags AfterWet'!$C$3:$C$841,MATCH(H141,'Both teabags AfterWet'!$A$3:$A$841,0)),"")="N.A","",(IFERROR(INDEX('Both teabags AfterWet'!$C$3:$C$841,MATCH(H141,'Both teabags AfterWet'!$A$3:$A$841,0)),"")))</f>
        <v>1.1456</v>
      </c>
      <c r="Q141" s="195">
        <f>IFERROR(INDEX('Both teabags AfterWet'!$C$3:$C$841,MATCH(I141,'Both teabags AfterWet'!$A$3:$A$841,0)),"")</f>
        <v>0.21360000000000001</v>
      </c>
      <c r="R141" s="195">
        <f t="shared" ref="R141:S204" si="12">IFERROR(IF(P141&gt;0,P141-($F$29),""),"")</f>
        <v>0.99499999999999988</v>
      </c>
      <c r="S141" s="195">
        <f t="shared" si="12"/>
        <v>6.3E-2</v>
      </c>
      <c r="T141" s="195">
        <f t="shared" ref="T141:T204" si="13">IFERROR(1-R141/L141,"")</f>
        <v>0.42258588672237707</v>
      </c>
      <c r="U141" s="195">
        <f t="shared" ref="U141:U204" si="14">IFERROR($F$26*(1-X141),"")</f>
        <v>0.27703967870635648</v>
      </c>
      <c r="V141" s="195">
        <f t="shared" ref="V141:V204" si="15">IFERROR(S141/N141,"")</f>
        <v>3.3206831119544596E-2</v>
      </c>
      <c r="W141">
        <f t="shared" si="10"/>
        <v>51</v>
      </c>
      <c r="X141" s="195">
        <f t="shared" ref="X141:X204" si="16">IFERROR(1-(T141/$F$25),"")</f>
        <v>0.49811652408268758</v>
      </c>
      <c r="Y141" s="195" t="str">
        <f t="shared" ref="Y141:Y204" si="17">IFERROR(LN(U141/(V141-(1-U141)))/W141,"")</f>
        <v/>
      </c>
      <c r="Z141" s="255" t="str">
        <f>IF(ISNUMBER(SEARCH("C",'WetLitterbags placem_collection'!W68)),"YES","NO")</f>
        <v>NO</v>
      </c>
      <c r="AA141" s="255" t="str">
        <f>IF(ISNUMBER(SEARCH("H", 'WetLitterbags placem_collection'!W68)),"YES","NO")</f>
        <v>YES</v>
      </c>
      <c r="AB141" s="255" t="str">
        <f>IF(ISNUMBER(SEARCH("R", 'WetLitterbags placem_collection'!W68)),"YES","NO")</f>
        <v>NO</v>
      </c>
      <c r="AC141" s="255" t="str">
        <f>IF(ISNUMBER(SEARCH("C", 'WetLitterbags placem_collection'!V68)),"YES","NO")</f>
        <v>NO</v>
      </c>
      <c r="AD141" s="255" t="str">
        <f>IF(ISNUMBER(SEARCH("H", 'WetLitterbags placem_collection'!V68)),"YES","NO")</f>
        <v>NO</v>
      </c>
      <c r="AE141" s="255" t="str">
        <f>IF(ISNUMBER(SEARCH("R", 'WetLitterbags placem_collection'!V68)),"YES","NO")</f>
        <v>YES</v>
      </c>
    </row>
    <row r="142" spans="2:31">
      <c r="B142" t="str">
        <f>'Final data_for_R_analysis_Wetse'!A68</f>
        <v>Wet</v>
      </c>
      <c r="C142" s="263">
        <f>'Final data_for_R_analysis_Wetse'!B68</f>
        <v>67</v>
      </c>
      <c r="D142" t="s">
        <v>3836</v>
      </c>
      <c r="E142" t="s">
        <v>22</v>
      </c>
      <c r="F142" s="386">
        <v>3</v>
      </c>
      <c r="G142" s="16">
        <f>'WetLitterbags placem_collection'!E69</f>
        <v>42767</v>
      </c>
      <c r="H142" t="str">
        <f>'Final data_for_R_analysis_Wetse'!J68</f>
        <v>G450</v>
      </c>
      <c r="I142" t="str">
        <f>'Final data_for_R_analysis_Wetse'!J288</f>
        <v>R165</v>
      </c>
      <c r="J142">
        <f>IFERROR(INDEX('Green_rooibos initial weight'!$C$5:$C$1749,MATCH(H142, 'Green_rooibos initial weight'!$A$5:$A$1749,0)),"")</f>
        <v>2.1629999999999998</v>
      </c>
      <c r="K142">
        <f>IFERROR(INDEX('Green_rooibos initial weight'!$C$5:$C$1749,MATCH(I142, 'Green_rooibos initial weight'!$A$5:$A$1749,0)),"")</f>
        <v>2.169</v>
      </c>
      <c r="L142" s="195">
        <f t="shared" si="11"/>
        <v>1.9131999999999998</v>
      </c>
      <c r="M142" s="195">
        <f>AVERAGE(Ashed_controlls!$K$2:$K$11)</f>
        <v>5.5147656768714146</v>
      </c>
      <c r="N142" s="195">
        <f t="shared" si="9"/>
        <v>1.9192</v>
      </c>
      <c r="O142" s="16">
        <f>IF('WetLitterbags placem_collection'!G69="N.A","",'WetLitterbags placem_collection'!G69)</f>
        <v>42818</v>
      </c>
      <c r="P142" s="195">
        <f>IF(IFERROR(INDEX('Both teabags AfterWet'!$C$3:$C$841,MATCH(H142,'Both teabags AfterWet'!$A$3:$A$841,0)),"")="N.A","",(IFERROR(INDEX('Both teabags AfterWet'!$C$3:$C$841,MATCH(H142,'Both teabags AfterWet'!$A$3:$A$841,0)),"")))</f>
        <v>0.89059999999999995</v>
      </c>
      <c r="Q142" s="195">
        <f>IFERROR(INDEX('Both teabags AfterWet'!$C$3:$C$841,MATCH(I142,'Both teabags AfterWet'!$A$3:$A$841,0)),"")</f>
        <v>1.4942</v>
      </c>
      <c r="R142" s="195">
        <f t="shared" si="12"/>
        <v>0.74</v>
      </c>
      <c r="S142" s="195">
        <f t="shared" si="12"/>
        <v>1.3435999999999999</v>
      </c>
      <c r="T142" s="195">
        <f t="shared" si="13"/>
        <v>0.61321346435291657</v>
      </c>
      <c r="U142" s="195">
        <f t="shared" si="14"/>
        <v>0.40201167734300475</v>
      </c>
      <c r="V142" s="195">
        <f t="shared" si="15"/>
        <v>0.70008336807002913</v>
      </c>
      <c r="W142">
        <f t="shared" si="10"/>
        <v>51</v>
      </c>
      <c r="X142" s="195">
        <f t="shared" si="16"/>
        <v>0.27171797582789003</v>
      </c>
      <c r="Y142" s="195">
        <f t="shared" si="17"/>
        <v>2.6874057629953419E-2</v>
      </c>
      <c r="Z142" s="255" t="str">
        <f>IF(ISNUMBER(SEARCH("C",'WetLitterbags placem_collection'!W69)),"YES","NO")</f>
        <v>NO</v>
      </c>
      <c r="AA142" s="255" t="str">
        <f>IF(ISNUMBER(SEARCH("H", 'WetLitterbags placem_collection'!W69)),"YES","NO")</f>
        <v>NO</v>
      </c>
      <c r="AB142" s="255" t="str">
        <f>IF(ISNUMBER(SEARCH("R", 'WetLitterbags placem_collection'!W69)),"YES","NO")</f>
        <v>NO</v>
      </c>
      <c r="AC142" s="255" t="str">
        <f>IF(ISNUMBER(SEARCH("C", 'WetLitterbags placem_collection'!V69)),"YES","NO")</f>
        <v>NO</v>
      </c>
      <c r="AD142" s="255" t="str">
        <f>IF(ISNUMBER(SEARCH("H", 'WetLitterbags placem_collection'!V69)),"YES","NO")</f>
        <v>YES</v>
      </c>
      <c r="AE142" s="255" t="str">
        <f>IF(ISNUMBER(SEARCH("R", 'WetLitterbags placem_collection'!V69)),"YES","NO")</f>
        <v>YES</v>
      </c>
    </row>
    <row r="143" spans="2:31">
      <c r="B143" t="str">
        <f>'Final data_for_R_analysis_Wetse'!A69</f>
        <v>Wet</v>
      </c>
      <c r="C143" s="263">
        <f>'Final data_for_R_analysis_Wetse'!B69</f>
        <v>68</v>
      </c>
      <c r="D143" t="s">
        <v>3836</v>
      </c>
      <c r="E143" t="s">
        <v>22</v>
      </c>
      <c r="F143" s="387">
        <v>4</v>
      </c>
      <c r="G143" s="16">
        <f>'WetLitterbags placem_collection'!E70</f>
        <v>42767</v>
      </c>
      <c r="H143" t="str">
        <f>'Final data_for_R_analysis_Wetse'!J69</f>
        <v>G269</v>
      </c>
      <c r="I143" t="str">
        <f>'Final data_for_R_analysis_Wetse'!J289</f>
        <v>R129</v>
      </c>
      <c r="J143">
        <f>IFERROR(INDEX('Green_rooibos initial weight'!$C$5:$C$1749,MATCH(H143, 'Green_rooibos initial weight'!$A$5:$A$1749,0)),"")</f>
        <v>2.0419999999999998</v>
      </c>
      <c r="K143">
        <f>IFERROR(INDEX('Green_rooibos initial weight'!$C$5:$C$1749,MATCH(I143, 'Green_rooibos initial weight'!$A$5:$A$1749,0)),"")</f>
        <v>2.2829999999999999</v>
      </c>
      <c r="L143" s="195">
        <f t="shared" si="11"/>
        <v>1.7921999999999998</v>
      </c>
      <c r="M143" s="195">
        <f>AVERAGE(Ashed_controlls!$K$2:$K$11)</f>
        <v>5.5147656768714146</v>
      </c>
      <c r="N143" s="195">
        <f t="shared" si="9"/>
        <v>2.0331999999999999</v>
      </c>
      <c r="O143" s="16">
        <f>IF('WetLitterbags placem_collection'!G70="N.A","",'WetLitterbags placem_collection'!G70)</f>
        <v>42818</v>
      </c>
      <c r="P143" s="195">
        <f>IF(IFERROR(INDEX('Both teabags AfterWet'!$C$3:$C$841,MATCH(H143,'Both teabags AfterWet'!$A$3:$A$841,0)),"")="N.A","",(IFERROR(INDEX('Both teabags AfterWet'!$C$3:$C$841,MATCH(H143,'Both teabags AfterWet'!$A$3:$A$841,0)),"")))</f>
        <v>1.018</v>
      </c>
      <c r="Q143" s="195">
        <f>IFERROR(INDEX('Both teabags AfterWet'!$C$3:$C$841,MATCH(I143,'Both teabags AfterWet'!$A$3:$A$841,0)),"")</f>
        <v>1.885</v>
      </c>
      <c r="R143" s="195">
        <f t="shared" si="12"/>
        <v>0.86739999999999995</v>
      </c>
      <c r="S143" s="195">
        <f t="shared" si="12"/>
        <v>1.7343999999999999</v>
      </c>
      <c r="T143" s="195">
        <f t="shared" si="13"/>
        <v>0.51601383774132348</v>
      </c>
      <c r="U143" s="195">
        <f t="shared" si="14"/>
        <v>0.33828935680903865</v>
      </c>
      <c r="V143" s="195">
        <f t="shared" si="15"/>
        <v>0.85303954357662803</v>
      </c>
      <c r="W143">
        <f t="shared" si="10"/>
        <v>51</v>
      </c>
      <c r="X143" s="195">
        <f t="shared" si="16"/>
        <v>0.38715696230246621</v>
      </c>
      <c r="Y143" s="195">
        <f t="shared" si="17"/>
        <v>1.1174660310154306E-2</v>
      </c>
      <c r="Z143" s="255" t="str">
        <f>IF(ISNUMBER(SEARCH("C",'WetLitterbags placem_collection'!W70)),"YES","NO")</f>
        <v>NO</v>
      </c>
      <c r="AA143" s="255" t="str">
        <f>IF(ISNUMBER(SEARCH("H", 'WetLitterbags placem_collection'!W70)),"YES","NO")</f>
        <v>NO</v>
      </c>
      <c r="AB143" s="255" t="str">
        <f>IF(ISNUMBER(SEARCH("R", 'WetLitterbags placem_collection'!W70)),"YES","NO")</f>
        <v>NO</v>
      </c>
      <c r="AC143" s="255" t="str">
        <f>IF(ISNUMBER(SEARCH("C", 'WetLitterbags placem_collection'!V70)),"YES","NO")</f>
        <v>NO</v>
      </c>
      <c r="AD143" s="255" t="str">
        <f>IF(ISNUMBER(SEARCH("H", 'WetLitterbags placem_collection'!V70)),"YES","NO")</f>
        <v>NO</v>
      </c>
      <c r="AE143" s="255" t="str">
        <f>IF(ISNUMBER(SEARCH("R", 'WetLitterbags placem_collection'!V70)),"YES","NO")</f>
        <v>YES</v>
      </c>
    </row>
    <row r="144" spans="2:31">
      <c r="B144" t="str">
        <f>'Final data_for_R_analysis_Wetse'!A70</f>
        <v>Wet</v>
      </c>
      <c r="C144" s="263">
        <f>'Final data_for_R_analysis_Wetse'!B70</f>
        <v>69</v>
      </c>
      <c r="D144" t="s">
        <v>3836</v>
      </c>
      <c r="E144" t="s">
        <v>22</v>
      </c>
      <c r="F144" s="387">
        <v>5</v>
      </c>
      <c r="G144" s="16">
        <f>'WetLitterbags placem_collection'!E71</f>
        <v>42767</v>
      </c>
      <c r="H144" t="str">
        <f>'Final data_for_R_analysis_Wetse'!J70</f>
        <v>G448</v>
      </c>
      <c r="I144" t="str">
        <f>'Final data_for_R_analysis_Wetse'!J290</f>
        <v>R414</v>
      </c>
      <c r="J144">
        <f>IFERROR(INDEX('Green_rooibos initial weight'!$C$5:$C$1749,MATCH(H144, 'Green_rooibos initial weight'!$A$5:$A$1749,0)),"")</f>
        <v>2.0179999999999998</v>
      </c>
      <c r="K144">
        <f>IFERROR(INDEX('Green_rooibos initial weight'!$C$5:$C$1749,MATCH(I144, 'Green_rooibos initial weight'!$A$5:$A$1749,0)),"")</f>
        <v>2.1349999999999998</v>
      </c>
      <c r="L144" s="195">
        <f t="shared" si="11"/>
        <v>1.7681999999999998</v>
      </c>
      <c r="M144" s="195">
        <f>AVERAGE(Ashed_controlls!$K$2:$K$11)</f>
        <v>5.5147656768714146</v>
      </c>
      <c r="N144" s="195">
        <f t="shared" si="9"/>
        <v>1.8851999999999998</v>
      </c>
      <c r="O144" s="16">
        <f>IF('WetLitterbags placem_collection'!G71="N.A","",'WetLitterbags placem_collection'!G71)</f>
        <v>42818</v>
      </c>
      <c r="P144" s="195" t="str">
        <f>IF(IFERROR(INDEX('Both teabags AfterWet'!$C$3:$C$841,MATCH(H144,'Both teabags AfterWet'!$A$3:$A$841,0)),"")="N.A","",(IFERROR(INDEX('Both teabags AfterWet'!$C$3:$C$841,MATCH(H144,'Both teabags AfterWet'!$A$3:$A$841,0)),"")))</f>
        <v/>
      </c>
      <c r="Q144" s="195">
        <f>IFERROR(INDEX('Both teabags AfterWet'!$C$3:$C$841,MATCH(I144,'Both teabags AfterWet'!$A$3:$A$841,0)),"")</f>
        <v>2.403</v>
      </c>
      <c r="R144" s="195" t="str">
        <f t="shared" si="12"/>
        <v/>
      </c>
      <c r="S144" s="195">
        <f t="shared" si="12"/>
        <v>2.2524000000000002</v>
      </c>
      <c r="T144" s="195" t="str">
        <f t="shared" si="13"/>
        <v/>
      </c>
      <c r="U144" s="195" t="str">
        <f t="shared" si="14"/>
        <v/>
      </c>
      <c r="V144" s="195">
        <f t="shared" si="15"/>
        <v>1.1947803946530875</v>
      </c>
      <c r="W144">
        <f t="shared" si="10"/>
        <v>51</v>
      </c>
      <c r="X144" s="195" t="str">
        <f t="shared" si="16"/>
        <v/>
      </c>
      <c r="Y144" s="195" t="str">
        <f t="shared" si="17"/>
        <v/>
      </c>
      <c r="Z144" s="255" t="str">
        <f>IF(ISNUMBER(SEARCH("C",'WetLitterbags placem_collection'!W71)),"YES","NO")</f>
        <v>NO</v>
      </c>
      <c r="AA144" s="255" t="str">
        <f>IF(ISNUMBER(SEARCH("H", 'WetLitterbags placem_collection'!W71)),"YES","NO")</f>
        <v>NO</v>
      </c>
      <c r="AB144" s="255" t="str">
        <f>IF(ISNUMBER(SEARCH("R", 'WetLitterbags placem_collection'!W71)),"YES","NO")</f>
        <v>NO</v>
      </c>
      <c r="AC144" s="255" t="str">
        <f>IF(ISNUMBER(SEARCH("C", 'WetLitterbags placem_collection'!V71)),"YES","NO")</f>
        <v>NO</v>
      </c>
      <c r="AD144" s="255" t="str">
        <f>IF(ISNUMBER(SEARCH("H", 'WetLitterbags placem_collection'!V71)),"YES","NO")</f>
        <v>NO</v>
      </c>
      <c r="AE144" s="255" t="str">
        <f>IF(ISNUMBER(SEARCH("R", 'WetLitterbags placem_collection'!V71)),"YES","NO")</f>
        <v>NO</v>
      </c>
    </row>
    <row r="145" spans="2:31">
      <c r="B145" t="str">
        <f>'Final data_for_R_analysis_Wetse'!A71</f>
        <v>Wet</v>
      </c>
      <c r="C145" s="263">
        <f>'Final data_for_R_analysis_Wetse'!B71</f>
        <v>70</v>
      </c>
      <c r="D145" t="s">
        <v>3836</v>
      </c>
      <c r="E145" t="s">
        <v>22</v>
      </c>
      <c r="F145" s="387">
        <v>6</v>
      </c>
      <c r="G145" s="16">
        <f>'WetLitterbags placem_collection'!E72</f>
        <v>42767</v>
      </c>
      <c r="H145" t="str">
        <f>'Final data_for_R_analysis_Wetse'!J71</f>
        <v>G358</v>
      </c>
      <c r="I145" t="str">
        <f>'Final data_for_R_analysis_Wetse'!J291</f>
        <v>R151</v>
      </c>
      <c r="J145">
        <f>IFERROR(INDEX('Green_rooibos initial weight'!$C$5:$C$1749,MATCH(H145, 'Green_rooibos initial weight'!$A$5:$A$1749,0)),"")</f>
        <v>2.016</v>
      </c>
      <c r="K145">
        <f>IFERROR(INDEX('Green_rooibos initial weight'!$C$5:$C$1749,MATCH(I145, 'Green_rooibos initial weight'!$A$5:$A$1749,0)),"")</f>
        <v>2.1920000000000002</v>
      </c>
      <c r="L145" s="195">
        <f t="shared" si="11"/>
        <v>1.7662</v>
      </c>
      <c r="M145" s="195">
        <f>AVERAGE(Ashed_controlls!$K$2:$K$11)</f>
        <v>5.5147656768714146</v>
      </c>
      <c r="N145" s="195">
        <f t="shared" si="9"/>
        <v>1.9422000000000001</v>
      </c>
      <c r="O145" s="16">
        <f>IF('WetLitterbags placem_collection'!G72="N.A","",'WetLitterbags placem_collection'!G72)</f>
        <v>42818</v>
      </c>
      <c r="P145" s="195">
        <f>IF(IFERROR(INDEX('Both teabags AfterWet'!$C$3:$C$841,MATCH(H145,'Both teabags AfterWet'!$A$3:$A$841,0)),"")="N.A","",(IFERROR(INDEX('Both teabags AfterWet'!$C$3:$C$841,MATCH(H145,'Both teabags AfterWet'!$A$3:$A$841,0)),"")))</f>
        <v>0.84299999999999997</v>
      </c>
      <c r="Q145" s="195">
        <f>IFERROR(INDEX('Both teabags AfterWet'!$C$3:$C$841,MATCH(I145,'Both teabags AfterWet'!$A$3:$A$841,0)),"")</f>
        <v>1.536</v>
      </c>
      <c r="R145" s="195">
        <f t="shared" si="12"/>
        <v>0.6923999999999999</v>
      </c>
      <c r="S145" s="195">
        <f t="shared" si="12"/>
        <v>1.3854</v>
      </c>
      <c r="T145" s="195">
        <f t="shared" si="13"/>
        <v>0.60797191711018006</v>
      </c>
      <c r="U145" s="195">
        <f t="shared" si="14"/>
        <v>0.3985754135924221</v>
      </c>
      <c r="V145" s="195">
        <f t="shared" si="15"/>
        <v>0.713314797652147</v>
      </c>
      <c r="W145">
        <f t="shared" si="10"/>
        <v>51</v>
      </c>
      <c r="X145" s="195">
        <f t="shared" si="16"/>
        <v>0.27794309131807593</v>
      </c>
      <c r="Y145" s="195">
        <f t="shared" si="17"/>
        <v>2.4909384121300952E-2</v>
      </c>
      <c r="Z145" s="255" t="str">
        <f>IF(ISNUMBER(SEARCH("C",'WetLitterbags placem_collection'!W72)),"YES","NO")</f>
        <v>YES</v>
      </c>
      <c r="AA145" s="255" t="str">
        <f>IF(ISNUMBER(SEARCH("H", 'WetLitterbags placem_collection'!W72)),"YES","NO")</f>
        <v>YES</v>
      </c>
      <c r="AB145" s="255" t="str">
        <f>IF(ISNUMBER(SEARCH("R", 'WetLitterbags placem_collection'!W72)),"YES","NO")</f>
        <v>YES</v>
      </c>
      <c r="AC145" s="255" t="str">
        <f>IF(ISNUMBER(SEARCH("C", 'WetLitterbags placem_collection'!V72)),"YES","NO")</f>
        <v>YES</v>
      </c>
      <c r="AD145" s="255" t="str">
        <f>IF(ISNUMBER(SEARCH("H", 'WetLitterbags placem_collection'!V72)),"YES","NO")</f>
        <v>YES</v>
      </c>
      <c r="AE145" s="255" t="str">
        <f>IF(ISNUMBER(SEARCH("R", 'WetLitterbags placem_collection'!V72)),"YES","NO")</f>
        <v>YES</v>
      </c>
    </row>
    <row r="146" spans="2:31">
      <c r="B146" t="str">
        <f>'Final data_for_R_analysis_Wetse'!A72</f>
        <v>Wet</v>
      </c>
      <c r="C146" s="263">
        <f>'Final data_for_R_analysis_Wetse'!B72</f>
        <v>71</v>
      </c>
      <c r="D146" t="s">
        <v>3836</v>
      </c>
      <c r="E146" t="s">
        <v>22</v>
      </c>
      <c r="F146" s="387">
        <v>7</v>
      </c>
      <c r="G146" s="16">
        <f>'WetLitterbags placem_collection'!E73</f>
        <v>42767</v>
      </c>
      <c r="H146" t="str">
        <f>'Final data_for_R_analysis_Wetse'!J72</f>
        <v>G511</v>
      </c>
      <c r="I146" t="str">
        <f>'Final data_for_R_analysis_Wetse'!J292</f>
        <v>R95</v>
      </c>
      <c r="J146">
        <f>IFERROR(INDEX('Green_rooibos initial weight'!$C$5:$C$1749,MATCH(H146, 'Green_rooibos initial weight'!$A$5:$A$1749,0)),"")</f>
        <v>1.9930000000000001</v>
      </c>
      <c r="K146">
        <f>IFERROR(INDEX('Green_rooibos initial weight'!$C$5:$C$1749,MATCH(I146, 'Green_rooibos initial weight'!$A$5:$A$1749,0)),"")</f>
        <v>2.2160000000000002</v>
      </c>
      <c r="L146" s="195">
        <f t="shared" si="11"/>
        <v>1.7432000000000001</v>
      </c>
      <c r="M146" s="195">
        <f>AVERAGE(Ashed_controlls!$K$2:$K$11)</f>
        <v>5.5147656768714146</v>
      </c>
      <c r="N146" s="195">
        <f t="shared" si="9"/>
        <v>1.9662000000000002</v>
      </c>
      <c r="O146" s="16">
        <f>IF('WetLitterbags placem_collection'!G73="N.A","",'WetLitterbags placem_collection'!G73)</f>
        <v>42818</v>
      </c>
      <c r="P146" s="195">
        <f>IF(IFERROR(INDEX('Both teabags AfterWet'!$C$3:$C$841,MATCH(H146,'Both teabags AfterWet'!$A$3:$A$841,0)),"")="N.A","",(IFERROR(INDEX('Both teabags AfterWet'!$C$3:$C$841,MATCH(H146,'Both teabags AfterWet'!$A$3:$A$841,0)),"")))</f>
        <v>0.83740000000000003</v>
      </c>
      <c r="Q146" s="195">
        <f>IFERROR(INDEX('Both teabags AfterWet'!$C$3:$C$841,MATCH(I146,'Both teabags AfterWet'!$A$3:$A$841,0)),"")</f>
        <v>1.6388</v>
      </c>
      <c r="R146" s="195">
        <f t="shared" si="12"/>
        <v>0.68680000000000008</v>
      </c>
      <c r="S146" s="195">
        <f t="shared" si="12"/>
        <v>1.4882</v>
      </c>
      <c r="T146" s="195">
        <f t="shared" si="13"/>
        <v>0.60601193207893522</v>
      </c>
      <c r="U146" s="195">
        <f t="shared" si="14"/>
        <v>0.39729048278809059</v>
      </c>
      <c r="V146" s="195">
        <f t="shared" si="15"/>
        <v>0.75689146577153887</v>
      </c>
      <c r="W146">
        <f t="shared" si="10"/>
        <v>51</v>
      </c>
      <c r="X146" s="195">
        <f t="shared" si="16"/>
        <v>0.2802708645143287</v>
      </c>
      <c r="Y146" s="195">
        <f t="shared" si="17"/>
        <v>1.8559496444030359E-2</v>
      </c>
      <c r="Z146" s="255" t="str">
        <f>IF(ISNUMBER(SEARCH("C",'WetLitterbags placem_collection'!W73)),"YES","NO")</f>
        <v>NO</v>
      </c>
      <c r="AA146" s="255" t="str">
        <f>IF(ISNUMBER(SEARCH("H", 'WetLitterbags placem_collection'!W73)),"YES","NO")</f>
        <v>NO</v>
      </c>
      <c r="AB146" s="255" t="str">
        <f>IF(ISNUMBER(SEARCH("R", 'WetLitterbags placem_collection'!W73)),"YES","NO")</f>
        <v>YES</v>
      </c>
      <c r="AC146" s="255" t="str">
        <f>IF(ISNUMBER(SEARCH("C", 'WetLitterbags placem_collection'!V73)),"YES","NO")</f>
        <v>NO</v>
      </c>
      <c r="AD146" s="255" t="str">
        <f>IF(ISNUMBER(SEARCH("H", 'WetLitterbags placem_collection'!V73)),"YES","NO")</f>
        <v>NO</v>
      </c>
      <c r="AE146" s="255" t="str">
        <f>IF(ISNUMBER(SEARCH("R", 'WetLitterbags placem_collection'!V73)),"YES","NO")</f>
        <v>YES</v>
      </c>
    </row>
    <row r="147" spans="2:31">
      <c r="B147" t="str">
        <f>'Final data_for_R_analysis_Wetse'!A73</f>
        <v>Wet</v>
      </c>
      <c r="C147" s="263">
        <f>'Final data_for_R_analysis_Wetse'!B73</f>
        <v>72</v>
      </c>
      <c r="D147" t="s">
        <v>3836</v>
      </c>
      <c r="E147" t="s">
        <v>22</v>
      </c>
      <c r="F147" s="387">
        <v>8</v>
      </c>
      <c r="G147" s="16">
        <f>'WetLitterbags placem_collection'!E74</f>
        <v>42767</v>
      </c>
      <c r="H147" t="str">
        <f>'Final data_for_R_analysis_Wetse'!J73</f>
        <v>G383</v>
      </c>
      <c r="I147" t="str">
        <f>'Final data_for_R_analysis_Wetse'!J293</f>
        <v>R546</v>
      </c>
      <c r="J147">
        <f>IFERROR(INDEX('Green_rooibos initial weight'!$C$5:$C$1749,MATCH(H147, 'Green_rooibos initial weight'!$A$5:$A$1749,0)),"")</f>
        <v>1.956</v>
      </c>
      <c r="K147">
        <f>IFERROR(INDEX('Green_rooibos initial weight'!$C$5:$C$1749,MATCH(I147, 'Green_rooibos initial weight'!$A$5:$A$1749,0)),"")</f>
        <v>2.2250000000000001</v>
      </c>
      <c r="L147" s="195">
        <f t="shared" si="11"/>
        <v>1.7061999999999999</v>
      </c>
      <c r="M147" s="195">
        <f>AVERAGE(Ashed_controlls!$K$2:$K$11)</f>
        <v>5.5147656768714146</v>
      </c>
      <c r="N147" s="195">
        <f t="shared" si="9"/>
        <v>1.9752000000000001</v>
      </c>
      <c r="O147" s="16">
        <f>IF('WetLitterbags placem_collection'!G74="N.A","",'WetLitterbags placem_collection'!G74)</f>
        <v>42818</v>
      </c>
      <c r="P147" s="195">
        <f>IF(IFERROR(INDEX('Both teabags AfterWet'!$C$3:$C$841,MATCH(H147,'Both teabags AfterWet'!$A$3:$A$841,0)),"")="N.A","",(IFERROR(INDEX('Both teabags AfterWet'!$C$3:$C$841,MATCH(H147,'Both teabags AfterWet'!$A$3:$A$841,0)),"")))</f>
        <v>0.82550000000000001</v>
      </c>
      <c r="Q147" s="195" t="str">
        <f>IFERROR(INDEX('Both teabags AfterWet'!$C$3:$C$841,MATCH(I147,'Both teabags AfterWet'!$A$3:$A$841,0)),"")</f>
        <v/>
      </c>
      <c r="R147" s="195">
        <f t="shared" si="12"/>
        <v>0.67490000000000006</v>
      </c>
      <c r="S147" s="195" t="str">
        <f t="shared" si="12"/>
        <v/>
      </c>
      <c r="T147" s="195">
        <f t="shared" si="13"/>
        <v>0.60444262102918755</v>
      </c>
      <c r="U147" s="195">
        <f t="shared" si="14"/>
        <v>0.39626167079348168</v>
      </c>
      <c r="V147" s="195" t="str">
        <f t="shared" si="15"/>
        <v/>
      </c>
      <c r="W147">
        <f t="shared" si="10"/>
        <v>51</v>
      </c>
      <c r="X147" s="195">
        <f t="shared" si="16"/>
        <v>0.2821346543596347</v>
      </c>
      <c r="Y147" s="195" t="str">
        <f t="shared" si="17"/>
        <v/>
      </c>
      <c r="Z147" s="255" t="str">
        <f>IF(ISNUMBER(SEARCH("C",'WetLitterbags placem_collection'!W74)),"YES","NO")</f>
        <v>NO</v>
      </c>
      <c r="AA147" s="255" t="str">
        <f>IF(ISNUMBER(SEARCH("H", 'WetLitterbags placem_collection'!W74)),"YES","NO")</f>
        <v>NO</v>
      </c>
      <c r="AB147" s="255" t="str">
        <f>IF(ISNUMBER(SEARCH("R", 'WetLitterbags placem_collection'!W74)),"YES","NO")</f>
        <v>NO</v>
      </c>
      <c r="AC147" s="255" t="str">
        <f>IF(ISNUMBER(SEARCH("C", 'WetLitterbags placem_collection'!V74)),"YES","NO")</f>
        <v>NO</v>
      </c>
      <c r="AD147" s="255" t="str">
        <f>IF(ISNUMBER(SEARCH("H", 'WetLitterbags placem_collection'!V74)),"YES","NO")</f>
        <v>NO</v>
      </c>
      <c r="AE147" s="255" t="str">
        <f>IF(ISNUMBER(SEARCH("R", 'WetLitterbags placem_collection'!V74)),"YES","NO")</f>
        <v>YES</v>
      </c>
    </row>
    <row r="148" spans="2:31">
      <c r="B148" t="str">
        <f>'Final data_for_R_analysis_Wetse'!A74</f>
        <v>Wet</v>
      </c>
      <c r="C148" s="263">
        <f>'Final data_for_R_analysis_Wetse'!B74</f>
        <v>73</v>
      </c>
      <c r="D148" t="s">
        <v>3838</v>
      </c>
      <c r="E148" t="s">
        <v>22</v>
      </c>
      <c r="F148" s="386">
        <v>1</v>
      </c>
      <c r="G148" s="16">
        <f>'WetLitterbags placem_collection'!E75</f>
        <v>42767</v>
      </c>
      <c r="H148" t="str">
        <f>'Final data_for_R_analysis_Wetse'!J74</f>
        <v>G549</v>
      </c>
      <c r="I148" t="str">
        <f>'Final data_for_R_analysis_Wetse'!J294</f>
        <v>R438</v>
      </c>
      <c r="J148">
        <f>IFERROR(INDEX('Green_rooibos initial weight'!$C$5:$C$1749,MATCH(H148, 'Green_rooibos initial weight'!$A$5:$A$1749,0)),"")</f>
        <v>2.016</v>
      </c>
      <c r="K148">
        <f>IFERROR(INDEX('Green_rooibos initial weight'!$C$5:$C$1749,MATCH(I148, 'Green_rooibos initial weight'!$A$5:$A$1749,0)),"")</f>
        <v>2.1829999999999998</v>
      </c>
      <c r="L148" s="195">
        <f t="shared" si="11"/>
        <v>1.7662</v>
      </c>
      <c r="M148" s="195">
        <f>AVERAGE(Ashed_controlls!$K$2:$K$11)</f>
        <v>5.5147656768714146</v>
      </c>
      <c r="N148" s="195">
        <f t="shared" si="9"/>
        <v>1.9331999999999998</v>
      </c>
      <c r="O148" s="16">
        <f>IF('WetLitterbags placem_collection'!G75="N.A","",'WetLitterbags placem_collection'!G75)</f>
        <v>42818</v>
      </c>
      <c r="P148" s="195">
        <f>IF(IFERROR(INDEX('Both teabags AfterWet'!$C$3:$C$841,MATCH(H148,'Both teabags AfterWet'!$A$3:$A$841,0)),"")="N.A","",(IFERROR(INDEX('Both teabags AfterWet'!$C$3:$C$841,MATCH(H148,'Both teabags AfterWet'!$A$3:$A$841,0)),"")))</f>
        <v>0.74199999999999999</v>
      </c>
      <c r="Q148" s="195">
        <f>IFERROR(INDEX('Both teabags AfterWet'!$C$3:$C$841,MATCH(I148,'Both teabags AfterWet'!$A$3:$A$841,0)),"")</f>
        <v>0.17480000000000001</v>
      </c>
      <c r="R148" s="195">
        <f t="shared" si="12"/>
        <v>0.59139999999999993</v>
      </c>
      <c r="S148" s="195">
        <f t="shared" si="12"/>
        <v>2.4199999999999999E-2</v>
      </c>
      <c r="T148" s="195">
        <f t="shared" si="13"/>
        <v>0.66515683388064772</v>
      </c>
      <c r="U148" s="195">
        <f t="shared" si="14"/>
        <v>0.43606481271035341</v>
      </c>
      <c r="V148" s="195">
        <f t="shared" si="15"/>
        <v>1.2518104696875648E-2</v>
      </c>
      <c r="W148">
        <f t="shared" si="10"/>
        <v>51</v>
      </c>
      <c r="X148" s="195">
        <f t="shared" si="16"/>
        <v>0.21002751320588153</v>
      </c>
      <c r="Y148" s="195" t="str">
        <f t="shared" si="17"/>
        <v/>
      </c>
      <c r="Z148" s="255" t="str">
        <f>IF(ISNUMBER(SEARCH("C",'WetLitterbags placem_collection'!W75)),"YES","NO")</f>
        <v>NO</v>
      </c>
      <c r="AA148" s="255" t="str">
        <f>IF(ISNUMBER(SEARCH("H", 'WetLitterbags placem_collection'!W75)),"YES","NO")</f>
        <v>YES</v>
      </c>
      <c r="AB148" s="255" t="str">
        <f>IF(ISNUMBER(SEARCH("R", 'WetLitterbags placem_collection'!W75)),"YES","NO")</f>
        <v>YES</v>
      </c>
      <c r="AC148" s="255" t="str">
        <f>IF(ISNUMBER(SEARCH("C", 'WetLitterbags placem_collection'!V75)),"YES","NO")</f>
        <v>NO</v>
      </c>
      <c r="AD148" s="255" t="str">
        <f>IF(ISNUMBER(SEARCH("H", 'WetLitterbags placem_collection'!V75)),"YES","NO")</f>
        <v>YES</v>
      </c>
      <c r="AE148" s="255" t="str">
        <f>IF(ISNUMBER(SEARCH("R", 'WetLitterbags placem_collection'!V75)),"YES","NO")</f>
        <v>YES</v>
      </c>
    </row>
    <row r="149" spans="2:31">
      <c r="B149" t="str">
        <f>'Final data_for_R_analysis_Wetse'!A75</f>
        <v>Wet</v>
      </c>
      <c r="C149" s="263">
        <f>'Final data_for_R_analysis_Wetse'!B75</f>
        <v>74</v>
      </c>
      <c r="D149" t="s">
        <v>3838</v>
      </c>
      <c r="E149" t="s">
        <v>22</v>
      </c>
      <c r="F149" s="386">
        <v>2</v>
      </c>
      <c r="G149" s="16">
        <f>'WetLitterbags placem_collection'!E76</f>
        <v>42767</v>
      </c>
      <c r="H149" t="str">
        <f>'Final data_for_R_analysis_Wetse'!J75</f>
        <v>G605</v>
      </c>
      <c r="I149" t="str">
        <f>'Final data_for_R_analysis_Wetse'!J295</f>
        <v>R122</v>
      </c>
      <c r="J149">
        <f>IFERROR(INDEX('Green_rooibos initial weight'!$C$5:$C$1749,MATCH(H149, 'Green_rooibos initial weight'!$A$5:$A$1749,0)),"")</f>
        <v>2.0459999999999998</v>
      </c>
      <c r="K149">
        <f>IFERROR(INDEX('Green_rooibos initial weight'!$C$5:$C$1749,MATCH(I149, 'Green_rooibos initial weight'!$A$5:$A$1749,0)),"")</f>
        <v>2.2189999999999999</v>
      </c>
      <c r="L149" s="195">
        <f t="shared" si="11"/>
        <v>1.7961999999999998</v>
      </c>
      <c r="M149" s="195">
        <f>AVERAGE(Ashed_controlls!$K$2:$K$11)</f>
        <v>5.5147656768714146</v>
      </c>
      <c r="N149" s="195">
        <f t="shared" si="9"/>
        <v>1.9691999999999998</v>
      </c>
      <c r="O149" s="16">
        <f>IF('WetLitterbags placem_collection'!G76="N.A","",'WetLitterbags placem_collection'!G76)</f>
        <v>42818</v>
      </c>
      <c r="P149" s="195">
        <f>IF(IFERROR(INDEX('Both teabags AfterWet'!$C$3:$C$841,MATCH(H149,'Both teabags AfterWet'!$A$3:$A$841,0)),"")="N.A","",(IFERROR(INDEX('Both teabags AfterWet'!$C$3:$C$841,MATCH(H149,'Both teabags AfterWet'!$A$3:$A$841,0)),"")))</f>
        <v>1.1950000000000001</v>
      </c>
      <c r="Q149" s="195">
        <f>IFERROR(INDEX('Both teabags AfterWet'!$C$3:$C$841,MATCH(I149,'Both teabags AfterWet'!$A$3:$A$841,0)),"")</f>
        <v>0.35499999999999998</v>
      </c>
      <c r="R149" s="195">
        <f t="shared" si="12"/>
        <v>1.0444</v>
      </c>
      <c r="S149" s="195">
        <f t="shared" si="12"/>
        <v>0.20439999999999997</v>
      </c>
      <c r="T149" s="195">
        <f t="shared" si="13"/>
        <v>0.41855027279812929</v>
      </c>
      <c r="U149" s="195">
        <f t="shared" si="14"/>
        <v>0.27439400306955747</v>
      </c>
      <c r="V149" s="195">
        <f t="shared" si="15"/>
        <v>0.10379849685151329</v>
      </c>
      <c r="W149">
        <f t="shared" si="10"/>
        <v>51</v>
      </c>
      <c r="X149" s="195">
        <f t="shared" si="16"/>
        <v>0.50290941472906259</v>
      </c>
      <c r="Y149" s="195" t="str">
        <f t="shared" si="17"/>
        <v/>
      </c>
      <c r="Z149" s="255" t="str">
        <f>IF(ISNUMBER(SEARCH("C",'WetLitterbags placem_collection'!W76)),"YES","NO")</f>
        <v>YES</v>
      </c>
      <c r="AA149" s="255" t="str">
        <f>IF(ISNUMBER(SEARCH("H", 'WetLitterbags placem_collection'!W76)),"YES","NO")</f>
        <v>YES</v>
      </c>
      <c r="AB149" s="255" t="str">
        <f>IF(ISNUMBER(SEARCH("R", 'WetLitterbags placem_collection'!W76)),"YES","NO")</f>
        <v>NO</v>
      </c>
      <c r="AC149" s="255" t="str">
        <f>IF(ISNUMBER(SEARCH("C", 'WetLitterbags placem_collection'!V76)),"YES","NO")</f>
        <v>NO</v>
      </c>
      <c r="AD149" s="255" t="str">
        <f>IF(ISNUMBER(SEARCH("H", 'WetLitterbags placem_collection'!V76)),"YES","NO")</f>
        <v>YES</v>
      </c>
      <c r="AE149" s="255" t="str">
        <f>IF(ISNUMBER(SEARCH("R", 'WetLitterbags placem_collection'!V76)),"YES","NO")</f>
        <v>YES</v>
      </c>
    </row>
    <row r="150" spans="2:31">
      <c r="B150" t="str">
        <f>'Final data_for_R_analysis_Wetse'!A76</f>
        <v>Wet</v>
      </c>
      <c r="C150" s="263">
        <f>'Final data_for_R_analysis_Wetse'!B76</f>
        <v>75</v>
      </c>
      <c r="D150" t="s">
        <v>3838</v>
      </c>
      <c r="E150" t="s">
        <v>22</v>
      </c>
      <c r="F150" s="386">
        <v>3</v>
      </c>
      <c r="G150" s="16">
        <f>'WetLitterbags placem_collection'!E77</f>
        <v>42767</v>
      </c>
      <c r="H150" t="str">
        <f>'Final data_for_R_analysis_Wetse'!J76</f>
        <v>G408</v>
      </c>
      <c r="I150" t="str">
        <f>'Final data_for_R_analysis_Wetse'!J296</f>
        <v>R404</v>
      </c>
      <c r="J150">
        <f>IFERROR(INDEX('Green_rooibos initial weight'!$C$5:$C$1749,MATCH(H150, 'Green_rooibos initial weight'!$A$5:$A$1749,0)),"")</f>
        <v>2.044</v>
      </c>
      <c r="K150">
        <f>IFERROR(INDEX('Green_rooibos initial weight'!$C$5:$C$1749,MATCH(I150, 'Green_rooibos initial weight'!$A$5:$A$1749,0)),"")</f>
        <v>2.1779999999999999</v>
      </c>
      <c r="L150" s="195">
        <f t="shared" si="11"/>
        <v>1.7942</v>
      </c>
      <c r="M150" s="195">
        <f>AVERAGE(Ashed_controlls!$K$2:$K$11)</f>
        <v>5.5147656768714146</v>
      </c>
      <c r="N150" s="195">
        <f t="shared" si="9"/>
        <v>1.9281999999999999</v>
      </c>
      <c r="O150" s="16">
        <f>IF('WetLitterbags placem_collection'!G77="N.A","",'WetLitterbags placem_collection'!G77)</f>
        <v>42818</v>
      </c>
      <c r="P150" s="195">
        <f>IF(IFERROR(INDEX('Both teabags AfterWet'!$C$3:$C$841,MATCH(H150,'Both teabags AfterWet'!$A$3:$A$841,0)),"")="N.A","",(IFERROR(INDEX('Both teabags AfterWet'!$C$3:$C$841,MATCH(H150,'Both teabags AfterWet'!$A$3:$A$841,0)),"")))</f>
        <v>0.85780000000000001</v>
      </c>
      <c r="Q150" s="195">
        <f>IFERROR(INDEX('Both teabags AfterWet'!$C$3:$C$841,MATCH(I150,'Both teabags AfterWet'!$A$3:$A$841,0)),"")</f>
        <v>0.15579999999999999</v>
      </c>
      <c r="R150" s="195">
        <f t="shared" si="12"/>
        <v>0.70720000000000005</v>
      </c>
      <c r="S150" s="195">
        <f t="shared" si="12"/>
        <v>5.1999999999999824E-3</v>
      </c>
      <c r="T150" s="195">
        <f t="shared" si="13"/>
        <v>0.605841043361944</v>
      </c>
      <c r="U150" s="195">
        <f t="shared" si="14"/>
        <v>0.39717845123015816</v>
      </c>
      <c r="V150" s="195">
        <f t="shared" si="15"/>
        <v>2.6968156830204245E-3</v>
      </c>
      <c r="W150">
        <f t="shared" si="10"/>
        <v>51</v>
      </c>
      <c r="X150" s="195">
        <f t="shared" si="16"/>
        <v>0.28047382023522083</v>
      </c>
      <c r="Y150" s="195" t="str">
        <f t="shared" si="17"/>
        <v/>
      </c>
      <c r="Z150" s="255" t="str">
        <f>IF(ISNUMBER(SEARCH("C",'WetLitterbags placem_collection'!W77)),"YES","NO")</f>
        <v>NO</v>
      </c>
      <c r="AA150" s="255" t="str">
        <f>IF(ISNUMBER(SEARCH("H", 'WetLitterbags placem_collection'!W77)),"YES","NO")</f>
        <v>YES</v>
      </c>
      <c r="AB150" s="255" t="str">
        <f>IF(ISNUMBER(SEARCH("R", 'WetLitterbags placem_collection'!W77)),"YES","NO")</f>
        <v>YES</v>
      </c>
      <c r="AC150" s="255" t="str">
        <f>IF(ISNUMBER(SEARCH("C", 'WetLitterbags placem_collection'!V77)),"YES","NO")</f>
        <v>NO</v>
      </c>
      <c r="AD150" s="255" t="str">
        <f>IF(ISNUMBER(SEARCH("H", 'WetLitterbags placem_collection'!V77)),"YES","NO")</f>
        <v>YES</v>
      </c>
      <c r="AE150" s="255" t="str">
        <f>IF(ISNUMBER(SEARCH("R", 'WetLitterbags placem_collection'!V77)),"YES","NO")</f>
        <v>YES</v>
      </c>
    </row>
    <row r="151" spans="2:31">
      <c r="B151" t="str">
        <f>'Final data_for_R_analysis_Wetse'!A77</f>
        <v>Wet</v>
      </c>
      <c r="C151" s="263">
        <f>'Final data_for_R_analysis_Wetse'!B77</f>
        <v>76</v>
      </c>
      <c r="D151" t="s">
        <v>3838</v>
      </c>
      <c r="E151" t="s">
        <v>22</v>
      </c>
      <c r="F151" s="387">
        <v>4</v>
      </c>
      <c r="G151" s="16">
        <f>'WetLitterbags placem_collection'!E78</f>
        <v>42767</v>
      </c>
      <c r="H151" t="str">
        <f>'Final data_for_R_analysis_Wetse'!J77</f>
        <v>G416</v>
      </c>
      <c r="I151" t="str">
        <f>'Final data_for_R_analysis_Wetse'!J297</f>
        <v>R501</v>
      </c>
      <c r="J151">
        <f>IFERROR(INDEX('Green_rooibos initial weight'!$C$5:$C$1749,MATCH(H151, 'Green_rooibos initial weight'!$A$5:$A$1749,0)),"")</f>
        <v>2.1819999999999999</v>
      </c>
      <c r="K151">
        <f>IFERROR(INDEX('Green_rooibos initial weight'!$C$5:$C$1749,MATCH(I151, 'Green_rooibos initial weight'!$A$5:$A$1749,0)),"")</f>
        <v>2.1379999999999999</v>
      </c>
      <c r="L151" s="195">
        <f t="shared" si="11"/>
        <v>1.9321999999999999</v>
      </c>
      <c r="M151" s="195">
        <f>AVERAGE(Ashed_controlls!$K$2:$K$11)</f>
        <v>5.5147656768714146</v>
      </c>
      <c r="N151" s="195">
        <f t="shared" si="9"/>
        <v>1.8881999999999999</v>
      </c>
      <c r="O151" s="16">
        <f>IF('WetLitterbags placem_collection'!G78="N.A","",'WetLitterbags placem_collection'!G78)</f>
        <v>42818</v>
      </c>
      <c r="P151" s="195">
        <f>IF(IFERROR(INDEX('Both teabags AfterWet'!$C$3:$C$841,MATCH(H151,'Both teabags AfterWet'!$A$3:$A$841,0)),"")="N.A","",(IFERROR(INDEX('Both teabags AfterWet'!$C$3:$C$841,MATCH(H151,'Both teabags AfterWet'!$A$3:$A$841,0)),"")))</f>
        <v>0.94399999999999995</v>
      </c>
      <c r="Q151" s="195">
        <f>IFERROR(INDEX('Both teabags AfterWet'!$C$3:$C$841,MATCH(I151,'Both teabags AfterWet'!$A$3:$A$841,0)),"")</f>
        <v>0.29499999999999998</v>
      </c>
      <c r="R151" s="195">
        <f t="shared" si="12"/>
        <v>0.79339999999999988</v>
      </c>
      <c r="S151" s="195">
        <f t="shared" si="12"/>
        <v>0.14439999999999997</v>
      </c>
      <c r="T151" s="195">
        <f t="shared" si="13"/>
        <v>0.58937998136838843</v>
      </c>
      <c r="U151" s="195">
        <f t="shared" si="14"/>
        <v>0.38638687614649697</v>
      </c>
      <c r="V151" s="195">
        <f t="shared" si="15"/>
        <v>7.6474949687533086E-2</v>
      </c>
      <c r="W151">
        <f t="shared" si="10"/>
        <v>51</v>
      </c>
      <c r="X151" s="195">
        <f t="shared" si="16"/>
        <v>0.30002377509692579</v>
      </c>
      <c r="Y151" s="195" t="str">
        <f t="shared" si="17"/>
        <v/>
      </c>
      <c r="Z151" s="255" t="str">
        <f>IF(ISNUMBER(SEARCH("C",'WetLitterbags placem_collection'!W78)),"YES","NO")</f>
        <v>NO</v>
      </c>
      <c r="AA151" s="255" t="str">
        <f>IF(ISNUMBER(SEARCH("H", 'WetLitterbags placem_collection'!W78)),"YES","NO")</f>
        <v>YES</v>
      </c>
      <c r="AB151" s="255" t="str">
        <f>IF(ISNUMBER(SEARCH("R", 'WetLitterbags placem_collection'!W78)),"YES","NO")</f>
        <v>NO</v>
      </c>
      <c r="AC151" s="255" t="str">
        <f>IF(ISNUMBER(SEARCH("C", 'WetLitterbags placem_collection'!V78)),"YES","NO")</f>
        <v>NO</v>
      </c>
      <c r="AD151" s="255" t="str">
        <f>IF(ISNUMBER(SEARCH("H", 'WetLitterbags placem_collection'!V78)),"YES","NO")</f>
        <v>YES</v>
      </c>
      <c r="AE151" s="255" t="str">
        <f>IF(ISNUMBER(SEARCH("R", 'WetLitterbags placem_collection'!V78)),"YES","NO")</f>
        <v>NO</v>
      </c>
    </row>
    <row r="152" spans="2:31">
      <c r="B152" t="str">
        <f>'Final data_for_R_analysis_Wetse'!A78</f>
        <v>Wet</v>
      </c>
      <c r="C152" s="263">
        <f>'Final data_for_R_analysis_Wetse'!B78</f>
        <v>77</v>
      </c>
      <c r="D152" t="s">
        <v>3838</v>
      </c>
      <c r="E152" t="s">
        <v>22</v>
      </c>
      <c r="F152" s="387">
        <v>5</v>
      </c>
      <c r="G152" s="16">
        <f>'WetLitterbags placem_collection'!E79</f>
        <v>42767</v>
      </c>
      <c r="H152" t="str">
        <f>'Final data_for_R_analysis_Wetse'!J78</f>
        <v>G594</v>
      </c>
      <c r="I152" t="str">
        <f>'Final data_for_R_analysis_Wetse'!J298</f>
        <v>R137</v>
      </c>
      <c r="J152">
        <f>IFERROR(INDEX('Green_rooibos initial weight'!$C$5:$C$1749,MATCH(H152, 'Green_rooibos initial weight'!$A$5:$A$1749,0)),"")</f>
        <v>2.0680000000000001</v>
      </c>
      <c r="K152">
        <f>IFERROR(INDEX('Green_rooibos initial weight'!$C$5:$C$1749,MATCH(I152, 'Green_rooibos initial weight'!$A$5:$A$1749,0)),"")</f>
        <v>2.198</v>
      </c>
      <c r="L152" s="195">
        <f t="shared" si="11"/>
        <v>1.8182</v>
      </c>
      <c r="M152" s="195">
        <f>AVERAGE(Ashed_controlls!$K$2:$K$11)</f>
        <v>5.5147656768714146</v>
      </c>
      <c r="N152" s="195">
        <f t="shared" si="9"/>
        <v>1.9481999999999999</v>
      </c>
      <c r="O152" s="16">
        <f>IF('WetLitterbags placem_collection'!G79="N.A","",'WetLitterbags placem_collection'!G79)</f>
        <v>42818</v>
      </c>
      <c r="P152" s="195">
        <f>IF(IFERROR(INDEX('Both teabags AfterWet'!$C$3:$C$841,MATCH(H152,'Both teabags AfterWet'!$A$3:$A$841,0)),"")="N.A","",(IFERROR(INDEX('Both teabags AfterWet'!$C$3:$C$841,MATCH(H152,'Both teabags AfterWet'!$A$3:$A$841,0)),"")))</f>
        <v>0.94699999999999995</v>
      </c>
      <c r="Q152" s="195">
        <f>IFERROR(INDEX('Both teabags AfterWet'!$C$3:$C$841,MATCH(I152,'Both teabags AfterWet'!$A$3:$A$841,0)),"")</f>
        <v>1.698</v>
      </c>
      <c r="R152" s="195">
        <f t="shared" si="12"/>
        <v>0.7964</v>
      </c>
      <c r="S152" s="195">
        <f t="shared" si="12"/>
        <v>1.5473999999999999</v>
      </c>
      <c r="T152" s="195">
        <f t="shared" si="13"/>
        <v>0.56198438015619845</v>
      </c>
      <c r="U152" s="195">
        <f t="shared" si="14"/>
        <v>0.36842681454420612</v>
      </c>
      <c r="V152" s="195">
        <f t="shared" si="15"/>
        <v>0.79427163535571299</v>
      </c>
      <c r="W152">
        <f t="shared" si="10"/>
        <v>51</v>
      </c>
      <c r="X152" s="195">
        <f t="shared" si="16"/>
        <v>0.33256011857933676</v>
      </c>
      <c r="Y152" s="195">
        <f t="shared" si="17"/>
        <v>1.6026345125444878E-2</v>
      </c>
      <c r="Z152" s="255" t="str">
        <f>IF(ISNUMBER(SEARCH("C",'WetLitterbags placem_collection'!W79)),"YES","NO")</f>
        <v>NO</v>
      </c>
      <c r="AA152" s="255" t="str">
        <f>IF(ISNUMBER(SEARCH("H", 'WetLitterbags placem_collection'!W79)),"YES","NO")</f>
        <v>NO</v>
      </c>
      <c r="AB152" s="255" t="str">
        <f>IF(ISNUMBER(SEARCH("R", 'WetLitterbags placem_collection'!W79)),"YES","NO")</f>
        <v>YES</v>
      </c>
      <c r="AC152" s="255" t="str">
        <f>IF(ISNUMBER(SEARCH("C", 'WetLitterbags placem_collection'!V79)),"YES","NO")</f>
        <v>NO</v>
      </c>
      <c r="AD152" s="255" t="str">
        <f>IF(ISNUMBER(SEARCH("H", 'WetLitterbags placem_collection'!V79)),"YES","NO")</f>
        <v>NO</v>
      </c>
      <c r="AE152" s="255" t="str">
        <f>IF(ISNUMBER(SEARCH("R", 'WetLitterbags placem_collection'!V79)),"YES","NO")</f>
        <v>YES</v>
      </c>
    </row>
    <row r="153" spans="2:31">
      <c r="B153" t="str">
        <f>'Final data_for_R_analysis_Wetse'!A79</f>
        <v>Wet</v>
      </c>
      <c r="C153" s="263">
        <f>'Final data_for_R_analysis_Wetse'!B79</f>
        <v>78</v>
      </c>
      <c r="D153" t="s">
        <v>3838</v>
      </c>
      <c r="E153" t="s">
        <v>22</v>
      </c>
      <c r="F153" s="387">
        <v>6</v>
      </c>
      <c r="G153" s="16">
        <f>'WetLitterbags placem_collection'!E80</f>
        <v>42767</v>
      </c>
      <c r="H153" t="str">
        <f>'Final data_for_R_analysis_Wetse'!J79</f>
        <v>G460</v>
      </c>
      <c r="I153" t="str">
        <f>'Final data_for_R_analysis_Wetse'!J299</f>
        <v>R278</v>
      </c>
      <c r="J153">
        <f>IFERROR(INDEX('Green_rooibos initial weight'!$C$5:$C$1749,MATCH(H153, 'Green_rooibos initial weight'!$A$5:$A$1749,0)),"")</f>
        <v>2.1560000000000001</v>
      </c>
      <c r="K153">
        <f>IFERROR(INDEX('Green_rooibos initial weight'!$C$5:$C$1749,MATCH(I153, 'Green_rooibos initial weight'!$A$5:$A$1749,0)),"")</f>
        <v>2.198</v>
      </c>
      <c r="L153" s="195">
        <f t="shared" si="11"/>
        <v>1.9062000000000001</v>
      </c>
      <c r="M153" s="195">
        <f>AVERAGE(Ashed_controlls!$K$2:$K$11)</f>
        <v>5.5147656768714146</v>
      </c>
      <c r="N153" s="195">
        <f t="shared" si="9"/>
        <v>1.9481999999999999</v>
      </c>
      <c r="O153" s="16">
        <f>IF('WetLitterbags placem_collection'!G80="N.A","",'WetLitterbags placem_collection'!G80)</f>
        <v>42818</v>
      </c>
      <c r="P153" s="195">
        <f>IF(IFERROR(INDEX('Both teabags AfterWet'!$C$3:$C$841,MATCH(H153,'Both teabags AfterWet'!$A$3:$A$841,0)),"")="N.A","",(IFERROR(INDEX('Both teabags AfterWet'!$C$3:$C$841,MATCH(H153,'Both teabags AfterWet'!$A$3:$A$841,0)),"")))</f>
        <v>0.90669999999999995</v>
      </c>
      <c r="Q153" s="195">
        <f>IFERROR(INDEX('Both teabags AfterWet'!$C$3:$C$841,MATCH(I153,'Both teabags AfterWet'!$A$3:$A$841,0)),"")</f>
        <v>1.6845000000000001</v>
      </c>
      <c r="R153" s="195">
        <f t="shared" si="12"/>
        <v>0.75609999999999999</v>
      </c>
      <c r="S153" s="195">
        <f t="shared" si="12"/>
        <v>1.5339</v>
      </c>
      <c r="T153" s="195">
        <f t="shared" si="13"/>
        <v>0.60334697303535834</v>
      </c>
      <c r="U153" s="195">
        <f t="shared" si="14"/>
        <v>0.39554338374764592</v>
      </c>
      <c r="V153" s="195">
        <f t="shared" si="15"/>
        <v>0.78734216199568841</v>
      </c>
      <c r="W153">
        <f t="shared" si="10"/>
        <v>51</v>
      </c>
      <c r="X153" s="195">
        <f t="shared" si="16"/>
        <v>0.2834358990078879</v>
      </c>
      <c r="Y153" s="195">
        <f t="shared" si="17"/>
        <v>1.5125489226115613E-2</v>
      </c>
      <c r="Z153" s="255" t="str">
        <f>IF(ISNUMBER(SEARCH("C",'WetLitterbags placem_collection'!W80)),"YES","NO")</f>
        <v>NO</v>
      </c>
      <c r="AA153" s="255" t="str">
        <f>IF(ISNUMBER(SEARCH("H", 'WetLitterbags placem_collection'!W80)),"YES","NO")</f>
        <v>NO</v>
      </c>
      <c r="AB153" s="255" t="str">
        <f>IF(ISNUMBER(SEARCH("R", 'WetLitterbags placem_collection'!W80)),"YES","NO")</f>
        <v>YES</v>
      </c>
      <c r="AC153" s="255" t="str">
        <f>IF(ISNUMBER(SEARCH("C", 'WetLitterbags placem_collection'!V80)),"YES","NO")</f>
        <v>NO</v>
      </c>
      <c r="AD153" s="255" t="str">
        <f>IF(ISNUMBER(SEARCH("H", 'WetLitterbags placem_collection'!V80)),"YES","NO")</f>
        <v>NO</v>
      </c>
      <c r="AE153" s="255" t="str">
        <f>IF(ISNUMBER(SEARCH("R", 'WetLitterbags placem_collection'!V80)),"YES","NO")</f>
        <v>YES</v>
      </c>
    </row>
    <row r="154" spans="2:31">
      <c r="B154" t="str">
        <f>'Final data_for_R_analysis_Wetse'!A80</f>
        <v>Wet</v>
      </c>
      <c r="C154" s="263">
        <f>'Final data_for_R_analysis_Wetse'!B80</f>
        <v>79</v>
      </c>
      <c r="D154" t="s">
        <v>3838</v>
      </c>
      <c r="E154" t="s">
        <v>22</v>
      </c>
      <c r="F154" s="387">
        <v>7</v>
      </c>
      <c r="G154" s="16">
        <f>'WetLitterbags placem_collection'!E81</f>
        <v>42767</v>
      </c>
      <c r="H154" t="str">
        <f>'Final data_for_R_analysis_Wetse'!J80</f>
        <v>G217</v>
      </c>
      <c r="I154" t="str">
        <f>'Final data_for_R_analysis_Wetse'!J300</f>
        <v>R235</v>
      </c>
      <c r="J154">
        <f>IFERROR(INDEX('Green_rooibos initial weight'!$C$5:$C$1749,MATCH(H154, 'Green_rooibos initial weight'!$A$5:$A$1749,0)),"")</f>
        <v>1.944</v>
      </c>
      <c r="K154">
        <f>IFERROR(INDEX('Green_rooibos initial weight'!$C$5:$C$1749,MATCH(I154, 'Green_rooibos initial weight'!$A$5:$A$1749,0)),"")</f>
        <v>2.169</v>
      </c>
      <c r="L154" s="195">
        <f t="shared" si="11"/>
        <v>1.6941999999999999</v>
      </c>
      <c r="M154" s="195">
        <f>AVERAGE(Ashed_controlls!$K$2:$K$11)</f>
        <v>5.5147656768714146</v>
      </c>
      <c r="N154" s="195">
        <f t="shared" si="9"/>
        <v>1.9192</v>
      </c>
      <c r="O154" s="16">
        <f>IF('WetLitterbags placem_collection'!G81="N.A","",'WetLitterbags placem_collection'!G81)</f>
        <v>42818</v>
      </c>
      <c r="P154" s="195">
        <f>IF(IFERROR(INDEX('Both teabags AfterWet'!$C$3:$C$841,MATCH(H154,'Both teabags AfterWet'!$A$3:$A$841,0)),"")="N.A","",(IFERROR(INDEX('Both teabags AfterWet'!$C$3:$C$841,MATCH(H154,'Both teabags AfterWet'!$A$3:$A$841,0)),"")))</f>
        <v>0.85370000000000001</v>
      </c>
      <c r="Q154" s="195">
        <f>IFERROR(INDEX('Both teabags AfterWet'!$C$3:$C$841,MATCH(I154,'Both teabags AfterWet'!$A$3:$A$841,0)),"")</f>
        <v>1.5528</v>
      </c>
      <c r="R154" s="195">
        <f t="shared" si="12"/>
        <v>0.70310000000000006</v>
      </c>
      <c r="S154" s="195">
        <f t="shared" si="12"/>
        <v>1.4021999999999999</v>
      </c>
      <c r="T154" s="195">
        <f t="shared" si="13"/>
        <v>0.58499586825640415</v>
      </c>
      <c r="U154" s="195">
        <f t="shared" si="14"/>
        <v>0.38351273073341463</v>
      </c>
      <c r="V154" s="195">
        <f t="shared" si="15"/>
        <v>0.73061692371821585</v>
      </c>
      <c r="W154">
        <f t="shared" si="10"/>
        <v>51</v>
      </c>
      <c r="X154" s="195">
        <f t="shared" si="16"/>
        <v>0.30523056026555329</v>
      </c>
      <c r="Y154" s="195">
        <f t="shared" si="17"/>
        <v>2.3765444991071194E-2</v>
      </c>
      <c r="Z154" s="255" t="str">
        <f>IF(ISNUMBER(SEARCH("C",'WetLitterbags placem_collection'!W81)),"YES","NO")</f>
        <v>NO</v>
      </c>
      <c r="AA154" s="255" t="str">
        <f>IF(ISNUMBER(SEARCH("H", 'WetLitterbags placem_collection'!W81)),"YES","NO")</f>
        <v>NO</v>
      </c>
      <c r="AB154" s="255" t="str">
        <f>IF(ISNUMBER(SEARCH("R", 'WetLitterbags placem_collection'!W81)),"YES","NO")</f>
        <v>YES</v>
      </c>
      <c r="AC154" s="255" t="str">
        <f>IF(ISNUMBER(SEARCH("C", 'WetLitterbags placem_collection'!V81)),"YES","NO")</f>
        <v>NO</v>
      </c>
      <c r="AD154" s="255" t="str">
        <f>IF(ISNUMBER(SEARCH("H", 'WetLitterbags placem_collection'!V81)),"YES","NO")</f>
        <v>NO</v>
      </c>
      <c r="AE154" s="255" t="str">
        <f>IF(ISNUMBER(SEARCH("R", 'WetLitterbags placem_collection'!V81)),"YES","NO")</f>
        <v>YES</v>
      </c>
    </row>
    <row r="155" spans="2:31">
      <c r="B155" t="str">
        <f>'Final data_for_R_analysis_Wetse'!A81</f>
        <v>Wet</v>
      </c>
      <c r="C155" s="263">
        <f>'Final data_for_R_analysis_Wetse'!B81</f>
        <v>80</v>
      </c>
      <c r="D155" t="s">
        <v>3838</v>
      </c>
      <c r="E155" t="s">
        <v>22</v>
      </c>
      <c r="F155" s="387">
        <v>8</v>
      </c>
      <c r="G155" s="16">
        <f>'WetLitterbags placem_collection'!E82</f>
        <v>42767</v>
      </c>
      <c r="H155" t="str">
        <f>'Final data_for_R_analysis_Wetse'!J81</f>
        <v>G607</v>
      </c>
      <c r="I155" t="str">
        <f>'Final data_for_R_analysis_Wetse'!J301</f>
        <v>R181</v>
      </c>
      <c r="J155">
        <f>IFERROR(INDEX('Green_rooibos initial weight'!$C$5:$C$1749,MATCH(H155, 'Green_rooibos initial weight'!$A$5:$A$1749,0)),"")</f>
        <v>1.9450000000000001</v>
      </c>
      <c r="K155">
        <f>IFERROR(INDEX('Green_rooibos initial weight'!$C$5:$C$1749,MATCH(I155, 'Green_rooibos initial weight'!$A$5:$A$1749,0)),"")</f>
        <v>2.1749999999999998</v>
      </c>
      <c r="L155" s="195">
        <f t="shared" si="11"/>
        <v>1.6952</v>
      </c>
      <c r="M155" s="195">
        <f>AVERAGE(Ashed_controlls!$K$2:$K$11)</f>
        <v>5.5147656768714146</v>
      </c>
      <c r="N155" s="195">
        <f t="shared" si="9"/>
        <v>1.9251999999999998</v>
      </c>
      <c r="O155" s="16">
        <f>IF('WetLitterbags placem_collection'!G82="N.A","",'WetLitterbags placem_collection'!G82)</f>
        <v>42818</v>
      </c>
      <c r="P155" s="195">
        <f>IF(IFERROR(INDEX('Both teabags AfterWet'!$C$3:$C$841,MATCH(H155,'Both teabags AfterWet'!$A$3:$A$841,0)),"")="N.A","",(IFERROR(INDEX('Both teabags AfterWet'!$C$3:$C$841,MATCH(H155,'Both teabags AfterWet'!$A$3:$A$841,0)),"")))</f>
        <v>0.92400000000000004</v>
      </c>
      <c r="Q155" s="195">
        <f>IFERROR(INDEX('Both teabags AfterWet'!$C$3:$C$841,MATCH(I155,'Both teabags AfterWet'!$A$3:$A$841,0)),"")</f>
        <v>0.23799999999999999</v>
      </c>
      <c r="R155" s="195">
        <f t="shared" si="12"/>
        <v>0.77340000000000009</v>
      </c>
      <c r="S155" s="195">
        <f t="shared" si="12"/>
        <v>8.7399999999999978E-2</v>
      </c>
      <c r="T155" s="195">
        <f t="shared" si="13"/>
        <v>0.54377064653138274</v>
      </c>
      <c r="U155" s="195">
        <f t="shared" si="14"/>
        <v>0.3564862195787688</v>
      </c>
      <c r="V155" s="195">
        <f t="shared" si="15"/>
        <v>4.5397880739663402E-2</v>
      </c>
      <c r="W155">
        <f t="shared" si="10"/>
        <v>51</v>
      </c>
      <c r="X155" s="195">
        <f t="shared" si="16"/>
        <v>0.35419163119788266</v>
      </c>
      <c r="Y155" s="195" t="str">
        <f t="shared" si="17"/>
        <v/>
      </c>
      <c r="Z155" s="255" t="str">
        <f>IF(ISNUMBER(SEARCH("C",'WetLitterbags placem_collection'!W82)),"YES","NO")</f>
        <v>NO</v>
      </c>
      <c r="AA155" s="255" t="str">
        <f>IF(ISNUMBER(SEARCH("H", 'WetLitterbags placem_collection'!W82)),"YES","NO")</f>
        <v>YES</v>
      </c>
      <c r="AB155" s="255" t="str">
        <f>IF(ISNUMBER(SEARCH("R", 'WetLitterbags placem_collection'!W82)),"YES","NO")</f>
        <v>NO</v>
      </c>
      <c r="AC155" s="255" t="str">
        <f>IF(ISNUMBER(SEARCH("C", 'WetLitterbags placem_collection'!V82)),"YES","NO")</f>
        <v>YES</v>
      </c>
      <c r="AD155" s="255" t="str">
        <f>IF(ISNUMBER(SEARCH("H", 'WetLitterbags placem_collection'!V82)),"YES","NO")</f>
        <v>YES</v>
      </c>
      <c r="AE155" s="255" t="str">
        <f>IF(ISNUMBER(SEARCH("R", 'WetLitterbags placem_collection'!V82)),"YES","NO")</f>
        <v>NO</v>
      </c>
    </row>
    <row r="156" spans="2:31">
      <c r="B156" t="str">
        <f>'Final data_for_R_analysis_Wetse'!A82</f>
        <v>Wet</v>
      </c>
      <c r="C156" s="263">
        <f>'Final data_for_R_analysis_Wetse'!B82</f>
        <v>81</v>
      </c>
      <c r="D156" t="s">
        <v>3839</v>
      </c>
      <c r="E156" t="s">
        <v>22</v>
      </c>
      <c r="F156" s="386">
        <v>1</v>
      </c>
      <c r="G156" s="16">
        <f>'WetLitterbags placem_collection'!E83</f>
        <v>42767</v>
      </c>
      <c r="H156" t="str">
        <f>'Final data_for_R_analysis_Wetse'!J82</f>
        <v>G542</v>
      </c>
      <c r="I156" t="str">
        <f>'Final data_for_R_analysis_Wetse'!J302</f>
        <v>R187</v>
      </c>
      <c r="J156">
        <f>IFERROR(INDEX('Green_rooibos initial weight'!$C$5:$C$1749,MATCH(H156, 'Green_rooibos initial weight'!$A$5:$A$1749,0)),"")</f>
        <v>2.0779999999999998</v>
      </c>
      <c r="K156">
        <f>IFERROR(INDEX('Green_rooibos initial weight'!$C$5:$C$1749,MATCH(I156, 'Green_rooibos initial weight'!$A$5:$A$1749,0)),"")</f>
        <v>2.2210000000000001</v>
      </c>
      <c r="L156" s="195">
        <f t="shared" si="11"/>
        <v>1.8281999999999998</v>
      </c>
      <c r="M156" s="195">
        <f>AVERAGE(Ashed_controlls!$K$2:$K$11)</f>
        <v>5.5147656768714146</v>
      </c>
      <c r="N156" s="195">
        <f t="shared" si="9"/>
        <v>1.9712000000000001</v>
      </c>
      <c r="O156" s="16">
        <f>IF('WetLitterbags placem_collection'!G83="N.A","",'WetLitterbags placem_collection'!G83)</f>
        <v>42818</v>
      </c>
      <c r="P156" s="195">
        <f>IF(IFERROR(INDEX('Both teabags AfterWet'!$C$3:$C$841,MATCH(H156,'Both teabags AfterWet'!$A$3:$A$841,0)),"")="N.A","",(IFERROR(INDEX('Both teabags AfterWet'!$C$3:$C$841,MATCH(H156,'Both teabags AfterWet'!$A$3:$A$841,0)),"")))</f>
        <v>0.85099999999999998</v>
      </c>
      <c r="Q156" s="195">
        <f>IFERROR(INDEX('Both teabags AfterWet'!$C$3:$C$841,MATCH(I156,'Both teabags AfterWet'!$A$3:$A$841,0)),"")</f>
        <v>1.8420000000000001</v>
      </c>
      <c r="R156" s="195">
        <f t="shared" si="12"/>
        <v>0.70039999999999991</v>
      </c>
      <c r="S156" s="195">
        <f t="shared" si="12"/>
        <v>1.6914</v>
      </c>
      <c r="T156" s="195">
        <f t="shared" si="13"/>
        <v>0.61689093097035341</v>
      </c>
      <c r="U156" s="195">
        <f t="shared" si="14"/>
        <v>0.40442255807082561</v>
      </c>
      <c r="V156" s="195">
        <f t="shared" si="15"/>
        <v>0.85805600649350644</v>
      </c>
      <c r="W156">
        <f t="shared" si="10"/>
        <v>51</v>
      </c>
      <c r="X156" s="195">
        <f t="shared" si="16"/>
        <v>0.26735043827748994</v>
      </c>
      <c r="Y156" s="195">
        <f t="shared" si="17"/>
        <v>8.4762911230470001E-3</v>
      </c>
      <c r="Z156" s="255" t="str">
        <f>IF(ISNUMBER(SEARCH("C",'WetLitterbags placem_collection'!W83)),"YES","NO")</f>
        <v>NO</v>
      </c>
      <c r="AA156" s="255" t="str">
        <f>IF(ISNUMBER(SEARCH("H", 'WetLitterbags placem_collection'!W83)),"YES","NO")</f>
        <v>NO</v>
      </c>
      <c r="AB156" s="255" t="str">
        <f>IF(ISNUMBER(SEARCH("R", 'WetLitterbags placem_collection'!W83)),"YES","NO")</f>
        <v>NO</v>
      </c>
      <c r="AC156" s="255" t="str">
        <f>IF(ISNUMBER(SEARCH("C", 'WetLitterbags placem_collection'!V83)),"YES","NO")</f>
        <v>NO</v>
      </c>
      <c r="AD156" s="255" t="str">
        <f>IF(ISNUMBER(SEARCH("H", 'WetLitterbags placem_collection'!V83)),"YES","NO")</f>
        <v>YES</v>
      </c>
      <c r="AE156" s="255" t="str">
        <f>IF(ISNUMBER(SEARCH("R", 'WetLitterbags placem_collection'!V83)),"YES","NO")</f>
        <v>YES</v>
      </c>
    </row>
    <row r="157" spans="2:31">
      <c r="B157" t="str">
        <f>'Final data_for_R_analysis_Wetse'!A83</f>
        <v>Wet</v>
      </c>
      <c r="C157" s="263">
        <f>'Final data_for_R_analysis_Wetse'!B83</f>
        <v>82</v>
      </c>
      <c r="D157" t="s">
        <v>3839</v>
      </c>
      <c r="E157" t="s">
        <v>22</v>
      </c>
      <c r="F157" s="386">
        <v>2</v>
      </c>
      <c r="G157" s="16">
        <f>'WetLitterbags placem_collection'!E84</f>
        <v>42767</v>
      </c>
      <c r="H157" t="str">
        <f>'Final data_for_R_analysis_Wetse'!J83</f>
        <v>G536</v>
      </c>
      <c r="I157" t="str">
        <f>'Final data_for_R_analysis_Wetse'!J303</f>
        <v>R83</v>
      </c>
      <c r="J157">
        <f>IFERROR(INDEX('Green_rooibos initial weight'!$C$5:$C$1749,MATCH(H157, 'Green_rooibos initial weight'!$A$5:$A$1749,0)),"")</f>
        <v>2.0510000000000002</v>
      </c>
      <c r="K157">
        <f>IFERROR(INDEX('Green_rooibos initial weight'!$C$5:$C$1749,MATCH(I157, 'Green_rooibos initial weight'!$A$5:$A$1749,0)),"")</f>
        <v>2.0390000000000001</v>
      </c>
      <c r="L157" s="195">
        <f t="shared" si="11"/>
        <v>1.8012000000000001</v>
      </c>
      <c r="M157" s="195">
        <f>AVERAGE(Ashed_controlls!$K$2:$K$11)</f>
        <v>5.5147656768714146</v>
      </c>
      <c r="N157" s="195">
        <f t="shared" si="9"/>
        <v>1.7892000000000001</v>
      </c>
      <c r="O157" s="16">
        <f>IF('WetLitterbags placem_collection'!G84="N.A","",'WetLitterbags placem_collection'!G84)</f>
        <v>42819</v>
      </c>
      <c r="P157" s="195">
        <f>IF(IFERROR(INDEX('Both teabags AfterWet'!$C$3:$C$841,MATCH(H157,'Both teabags AfterWet'!$A$3:$A$841,0)),"")="N.A","",(IFERROR(INDEX('Both teabags AfterWet'!$C$3:$C$841,MATCH(H157,'Both teabags AfterWet'!$A$3:$A$841,0)),"")))</f>
        <v>0.748</v>
      </c>
      <c r="Q157" s="195">
        <f>IFERROR(INDEX('Both teabags AfterWet'!$C$3:$C$841,MATCH(I157,'Both teabags AfterWet'!$A$3:$A$841,0)),"")</f>
        <v>1.5940000000000001</v>
      </c>
      <c r="R157" s="195">
        <f t="shared" si="12"/>
        <v>0.59739999999999993</v>
      </c>
      <c r="S157" s="195">
        <f t="shared" si="12"/>
        <v>1.4434</v>
      </c>
      <c r="T157" s="195">
        <f t="shared" si="13"/>
        <v>0.66833222296246952</v>
      </c>
      <c r="U157" s="195">
        <f t="shared" si="14"/>
        <v>0.4381465404694575</v>
      </c>
      <c r="V157" s="195">
        <f t="shared" si="15"/>
        <v>0.80672926447574334</v>
      </c>
      <c r="W157">
        <f t="shared" si="10"/>
        <v>52</v>
      </c>
      <c r="X157" s="195">
        <f t="shared" si="16"/>
        <v>0.20625626726547563</v>
      </c>
      <c r="Y157" s="195">
        <f t="shared" si="17"/>
        <v>1.1188504966848371E-2</v>
      </c>
      <c r="Z157" s="255" t="str">
        <f>IF(ISNUMBER(SEARCH("C",'WetLitterbags placem_collection'!W84)),"YES","NO")</f>
        <v>NO</v>
      </c>
      <c r="AA157" s="255" t="str">
        <f>IF(ISNUMBER(SEARCH("H", 'WetLitterbags placem_collection'!W84)),"YES","NO")</f>
        <v>YES</v>
      </c>
      <c r="AB157" s="255" t="str">
        <f>IF(ISNUMBER(SEARCH("R", 'WetLitterbags placem_collection'!W84)),"YES","NO")</f>
        <v>YES</v>
      </c>
      <c r="AC157" s="255" t="str">
        <f>IF(ISNUMBER(SEARCH("C", 'WetLitterbags placem_collection'!V84)),"YES","NO")</f>
        <v>NO</v>
      </c>
      <c r="AD157" s="255" t="str">
        <f>IF(ISNUMBER(SEARCH("H", 'WetLitterbags placem_collection'!V84)),"YES","NO")</f>
        <v>YES</v>
      </c>
      <c r="AE157" s="255" t="str">
        <f>IF(ISNUMBER(SEARCH("R", 'WetLitterbags placem_collection'!V84)),"YES","NO")</f>
        <v>YES</v>
      </c>
    </row>
    <row r="158" spans="2:31">
      <c r="B158" t="str">
        <f>'Final data_for_R_analysis_Wetse'!A84</f>
        <v>Wet</v>
      </c>
      <c r="C158" s="263">
        <f>'Final data_for_R_analysis_Wetse'!B84</f>
        <v>83</v>
      </c>
      <c r="D158" t="s">
        <v>3839</v>
      </c>
      <c r="E158" t="s">
        <v>22</v>
      </c>
      <c r="F158" s="386">
        <v>3</v>
      </c>
      <c r="G158" s="16">
        <f>'WetLitterbags placem_collection'!E85</f>
        <v>42767</v>
      </c>
      <c r="H158" t="str">
        <f>'Final data_for_R_analysis_Wetse'!J84</f>
        <v>G494</v>
      </c>
      <c r="I158" t="str">
        <f>'Final data_for_R_analysis_Wetse'!J304</f>
        <v>R134</v>
      </c>
      <c r="J158">
        <f>IFERROR(INDEX('Green_rooibos initial weight'!$C$5:$C$1749,MATCH(H158, 'Green_rooibos initial weight'!$A$5:$A$1749,0)),"")</f>
        <v>1.903</v>
      </c>
      <c r="K158">
        <f>IFERROR(INDEX('Green_rooibos initial weight'!$C$5:$C$1749,MATCH(I158, 'Green_rooibos initial weight'!$A$5:$A$1749,0)),"")</f>
        <v>2.21</v>
      </c>
      <c r="L158" s="195">
        <f t="shared" si="11"/>
        <v>1.6532</v>
      </c>
      <c r="M158" s="195">
        <f>AVERAGE(Ashed_controlls!$K$2:$K$11)</f>
        <v>5.5147656768714146</v>
      </c>
      <c r="N158" s="195">
        <f t="shared" si="9"/>
        <v>1.9601999999999999</v>
      </c>
      <c r="O158" s="16">
        <f>IF('WetLitterbags placem_collection'!G85="N.A","",'WetLitterbags placem_collection'!G85)</f>
        <v>42819</v>
      </c>
      <c r="P158" s="195">
        <f>IF(IFERROR(INDEX('Both teabags AfterWet'!$C$3:$C$841,MATCH(H158,'Both teabags AfterWet'!$A$3:$A$841,0)),"")="N.A","",(IFERROR(INDEX('Both teabags AfterWet'!$C$3:$C$841,MATCH(H158,'Both teabags AfterWet'!$A$3:$A$841,0)),"")))</f>
        <v>0.90200000000000002</v>
      </c>
      <c r="Q158" s="195">
        <f>IFERROR(INDEX('Both teabags AfterWet'!$C$3:$C$841,MATCH(I158,'Both teabags AfterWet'!$A$3:$A$841,0)),"")</f>
        <v>0.98799999999999999</v>
      </c>
      <c r="R158" s="195">
        <f t="shared" si="12"/>
        <v>0.75140000000000007</v>
      </c>
      <c r="S158" s="195">
        <f t="shared" si="12"/>
        <v>0.83739999999999992</v>
      </c>
      <c r="T158" s="195">
        <f t="shared" si="13"/>
        <v>0.54548753931768679</v>
      </c>
      <c r="U158" s="195">
        <f t="shared" si="14"/>
        <v>0.35761178349568068</v>
      </c>
      <c r="V158" s="195">
        <f t="shared" si="15"/>
        <v>0.42720130598918477</v>
      </c>
      <c r="W158">
        <f t="shared" si="10"/>
        <v>52</v>
      </c>
      <c r="X158" s="195">
        <f t="shared" si="16"/>
        <v>0.35215256613101331</v>
      </c>
      <c r="Y158" s="195" t="str">
        <f t="shared" si="17"/>
        <v/>
      </c>
      <c r="Z158" s="255" t="str">
        <f>IF(ISNUMBER(SEARCH("C",'WetLitterbags placem_collection'!W85)),"YES","NO")</f>
        <v>NO</v>
      </c>
      <c r="AA158" s="255" t="str">
        <f>IF(ISNUMBER(SEARCH("H", 'WetLitterbags placem_collection'!W85)),"YES","NO")</f>
        <v>YES</v>
      </c>
      <c r="AB158" s="255" t="str">
        <f>IF(ISNUMBER(SEARCH("R", 'WetLitterbags placem_collection'!W85)),"YES","NO")</f>
        <v>NO</v>
      </c>
      <c r="AC158" s="255" t="str">
        <f>IF(ISNUMBER(SEARCH("C", 'WetLitterbags placem_collection'!V85)),"YES","NO")</f>
        <v>NO</v>
      </c>
      <c r="AD158" s="255" t="str">
        <f>IF(ISNUMBER(SEARCH("H", 'WetLitterbags placem_collection'!V85)),"YES","NO")</f>
        <v>NO</v>
      </c>
      <c r="AE158" s="255" t="str">
        <f>IF(ISNUMBER(SEARCH("R", 'WetLitterbags placem_collection'!V85)),"YES","NO")</f>
        <v>YES</v>
      </c>
    </row>
    <row r="159" spans="2:31">
      <c r="B159" t="str">
        <f>'Final data_for_R_analysis_Wetse'!A85</f>
        <v>Wet</v>
      </c>
      <c r="C159" s="263">
        <f>'Final data_for_R_analysis_Wetse'!B85</f>
        <v>84</v>
      </c>
      <c r="D159" t="s">
        <v>3839</v>
      </c>
      <c r="E159" t="s">
        <v>22</v>
      </c>
      <c r="F159" s="387">
        <v>4</v>
      </c>
      <c r="G159" s="16">
        <f>'WetLitterbags placem_collection'!E86</f>
        <v>42767</v>
      </c>
      <c r="H159" t="str">
        <f>'Final data_for_R_analysis_Wetse'!J85</f>
        <v>G291</v>
      </c>
      <c r="I159" t="str">
        <f>'Final data_for_R_analysis_Wetse'!J305</f>
        <v>R49</v>
      </c>
      <c r="J159">
        <f>IFERROR(INDEX('Green_rooibos initial weight'!$C$5:$C$1749,MATCH(H159, 'Green_rooibos initial weight'!$A$5:$A$1749,0)),"")</f>
        <v>2.0880000000000001</v>
      </c>
      <c r="K159">
        <f>IFERROR(INDEX('Green_rooibos initial weight'!$C$5:$C$1749,MATCH(I159, 'Green_rooibos initial weight'!$A$5:$A$1749,0)),"")</f>
        <v>2.2999999999999998</v>
      </c>
      <c r="L159" s="195">
        <f t="shared" si="11"/>
        <v>1.8382000000000001</v>
      </c>
      <c r="M159" s="195">
        <f>AVERAGE(Ashed_controlls!$K$2:$K$11)</f>
        <v>5.5147656768714146</v>
      </c>
      <c r="N159" s="195">
        <f t="shared" si="9"/>
        <v>2.0501999999999998</v>
      </c>
      <c r="O159" s="16">
        <f>IF('WetLitterbags placem_collection'!G86="N.A","",'WetLitterbags placem_collection'!G86)</f>
        <v>42819</v>
      </c>
      <c r="P159" s="195">
        <f>IF(IFERROR(INDEX('Both teabags AfterWet'!$C$3:$C$841,MATCH(H159,'Both teabags AfterWet'!$A$3:$A$841,0)),"")="N.A","",(IFERROR(INDEX('Both teabags AfterWet'!$C$3:$C$841,MATCH(H159,'Both teabags AfterWet'!$A$3:$A$841,0)),"")))</f>
        <v>0.90300000000000002</v>
      </c>
      <c r="Q159" s="195">
        <f>IFERROR(INDEX('Both teabags AfterWet'!$C$3:$C$841,MATCH(I159,'Both teabags AfterWet'!$A$3:$A$841,0)),"")</f>
        <v>1.6379999999999999</v>
      </c>
      <c r="R159" s="195">
        <f t="shared" si="12"/>
        <v>0.75239999999999996</v>
      </c>
      <c r="S159" s="195">
        <f t="shared" si="12"/>
        <v>1.4873999999999998</v>
      </c>
      <c r="T159" s="195">
        <f t="shared" si="13"/>
        <v>0.5906865411815907</v>
      </c>
      <c r="U159" s="195">
        <f t="shared" si="14"/>
        <v>0.38724343317367949</v>
      </c>
      <c r="V159" s="195">
        <f t="shared" si="15"/>
        <v>0.72549019607843135</v>
      </c>
      <c r="W159">
        <f t="shared" si="10"/>
        <v>52</v>
      </c>
      <c r="X159" s="195">
        <f t="shared" si="16"/>
        <v>0.29847204135202998</v>
      </c>
      <c r="Y159" s="195">
        <f t="shared" si="17"/>
        <v>2.3731264400509981E-2</v>
      </c>
      <c r="Z159" s="255" t="str">
        <f>IF(ISNUMBER(SEARCH("C",'WetLitterbags placem_collection'!W86)),"YES","NO")</f>
        <v>NO</v>
      </c>
      <c r="AA159" s="255" t="str">
        <f>IF(ISNUMBER(SEARCH("H", 'WetLitterbags placem_collection'!W86)),"YES","NO")</f>
        <v>NO</v>
      </c>
      <c r="AB159" s="255" t="str">
        <f>IF(ISNUMBER(SEARCH("R", 'WetLitterbags placem_collection'!W86)),"YES","NO")</f>
        <v>YES</v>
      </c>
      <c r="AC159" s="255" t="str">
        <f>IF(ISNUMBER(SEARCH("C", 'WetLitterbags placem_collection'!V86)),"YES","NO")</f>
        <v>NO</v>
      </c>
      <c r="AD159" s="255" t="str">
        <f>IF(ISNUMBER(SEARCH("H", 'WetLitterbags placem_collection'!V86)),"YES","NO")</f>
        <v>NO</v>
      </c>
      <c r="AE159" s="255" t="str">
        <f>IF(ISNUMBER(SEARCH("R", 'WetLitterbags placem_collection'!V86)),"YES","NO")</f>
        <v>YES</v>
      </c>
    </row>
    <row r="160" spans="2:31">
      <c r="B160" t="str">
        <f>'Final data_for_R_analysis_Wetse'!A86</f>
        <v>Wet</v>
      </c>
      <c r="C160" s="263">
        <f>'Final data_for_R_analysis_Wetse'!B86</f>
        <v>85</v>
      </c>
      <c r="D160" t="s">
        <v>3839</v>
      </c>
      <c r="E160" t="s">
        <v>22</v>
      </c>
      <c r="F160" s="387">
        <v>5</v>
      </c>
      <c r="G160" s="16">
        <f>'WetLitterbags placem_collection'!E87</f>
        <v>42767</v>
      </c>
      <c r="H160" t="str">
        <f>'Final data_for_R_analysis_Wetse'!J86</f>
        <v>G308</v>
      </c>
      <c r="I160" t="str">
        <f>'Final data_for_R_analysis_Wetse'!J306</f>
        <v>R315</v>
      </c>
      <c r="J160">
        <f>IFERROR(INDEX('Green_rooibos initial weight'!$C$5:$C$1749,MATCH(H160, 'Green_rooibos initial weight'!$A$5:$A$1749,0)),"")</f>
        <v>1.982</v>
      </c>
      <c r="K160">
        <f>IFERROR(INDEX('Green_rooibos initial weight'!$C$5:$C$1749,MATCH(I160, 'Green_rooibos initial weight'!$A$5:$A$1749,0)),"")</f>
        <v>2.2440000000000002</v>
      </c>
      <c r="L160" s="195">
        <f t="shared" si="11"/>
        <v>1.7322</v>
      </c>
      <c r="M160" s="195">
        <f>AVERAGE(Ashed_controlls!$K$2:$K$11)</f>
        <v>5.5147656768714146</v>
      </c>
      <c r="N160" s="195">
        <f t="shared" si="9"/>
        <v>1.9942000000000002</v>
      </c>
      <c r="O160" s="16">
        <f>IF('WetLitterbags placem_collection'!G87="N.A","",'WetLitterbags placem_collection'!G87)</f>
        <v>42819</v>
      </c>
      <c r="P160" s="195">
        <f>IF(IFERROR(INDEX('Both teabags AfterWet'!$C$3:$C$841,MATCH(H160,'Both teabags AfterWet'!$A$3:$A$841,0)),"")="N.A","",(IFERROR(INDEX('Both teabags AfterWet'!$C$3:$C$841,MATCH(H160,'Both teabags AfterWet'!$A$3:$A$841,0)),"")))</f>
        <v>1.256</v>
      </c>
      <c r="Q160" s="195">
        <f>IFERROR(INDEX('Both teabags AfterWet'!$C$3:$C$841,MATCH(I160,'Both teabags AfterWet'!$A$3:$A$841,0)),"")</f>
        <v>1.4850000000000001</v>
      </c>
      <c r="R160" s="195">
        <f t="shared" si="12"/>
        <v>1.1053999999999999</v>
      </c>
      <c r="S160" s="195">
        <f t="shared" si="12"/>
        <v>1.3344</v>
      </c>
      <c r="T160" s="195">
        <f t="shared" si="13"/>
        <v>0.3618519801408614</v>
      </c>
      <c r="U160" s="195">
        <f t="shared" si="14"/>
        <v>0.23722362593557661</v>
      </c>
      <c r="V160" s="195">
        <f t="shared" si="15"/>
        <v>0.66914050747166776</v>
      </c>
      <c r="W160">
        <f t="shared" si="10"/>
        <v>52</v>
      </c>
      <c r="X160" s="195">
        <f t="shared" si="16"/>
        <v>0.57024705446453516</v>
      </c>
      <c r="Y160" s="195" t="str">
        <f t="shared" si="17"/>
        <v/>
      </c>
      <c r="Z160" s="255" t="str">
        <f>IF(ISNUMBER(SEARCH("C",'WetLitterbags placem_collection'!W87)),"YES","NO")</f>
        <v>YES</v>
      </c>
      <c r="AA160" s="255" t="str">
        <f>IF(ISNUMBER(SEARCH("H", 'WetLitterbags placem_collection'!W87)),"YES","NO")</f>
        <v>YES</v>
      </c>
      <c r="AB160" s="255" t="str">
        <f>IF(ISNUMBER(SEARCH("R", 'WetLitterbags placem_collection'!W87)),"YES","NO")</f>
        <v>YES</v>
      </c>
      <c r="AC160" s="255" t="str">
        <f>IF(ISNUMBER(SEARCH("C", 'WetLitterbags placem_collection'!V87)),"YES","NO")</f>
        <v>NO</v>
      </c>
      <c r="AD160" s="255" t="str">
        <f>IF(ISNUMBER(SEARCH("H", 'WetLitterbags placem_collection'!V87)),"YES","NO")</f>
        <v>YES</v>
      </c>
      <c r="AE160" s="255" t="str">
        <f>IF(ISNUMBER(SEARCH("R", 'WetLitterbags placem_collection'!V87)),"YES","NO")</f>
        <v>YES</v>
      </c>
    </row>
    <row r="161" spans="2:31">
      <c r="B161" t="str">
        <f>'Final data_for_R_analysis_Wetse'!A87</f>
        <v>Wet</v>
      </c>
      <c r="C161" s="263">
        <f>'Final data_for_R_analysis_Wetse'!B87</f>
        <v>86</v>
      </c>
      <c r="D161" t="s">
        <v>3839</v>
      </c>
      <c r="E161" t="s">
        <v>22</v>
      </c>
      <c r="F161" s="387">
        <v>6</v>
      </c>
      <c r="G161" s="16">
        <f>'WetLitterbags placem_collection'!E88</f>
        <v>42767</v>
      </c>
      <c r="H161" t="str">
        <f>'Final data_for_R_analysis_Wetse'!J87</f>
        <v>G723</v>
      </c>
      <c r="I161" t="str">
        <f>'Final data_for_R_analysis_Wetse'!J307</f>
        <v>R1</v>
      </c>
      <c r="J161">
        <f>IFERROR(INDEX('Green_rooibos initial weight'!$C$5:$C$1749,MATCH(H161, 'Green_rooibos initial weight'!$A$5:$A$1749,0)),"")</f>
        <v>2.0129999999999999</v>
      </c>
      <c r="K161">
        <f>IFERROR(INDEX('Green_rooibos initial weight'!$C$5:$C$1749,MATCH(I161, 'Green_rooibos initial weight'!$A$5:$A$1749,0)),"")</f>
        <v>2.2109999999999999</v>
      </c>
      <c r="L161" s="195">
        <f t="shared" si="11"/>
        <v>1.7631999999999999</v>
      </c>
      <c r="M161" s="195">
        <f>AVERAGE(Ashed_controlls!$K$2:$K$11)</f>
        <v>5.5147656768714146</v>
      </c>
      <c r="N161" s="195">
        <f t="shared" si="9"/>
        <v>1.9611999999999998</v>
      </c>
      <c r="O161" s="16">
        <f>IF('WetLitterbags placem_collection'!G88="N.A","",'WetLitterbags placem_collection'!G88)</f>
        <v>42819</v>
      </c>
      <c r="P161" s="195">
        <f>IF(IFERROR(INDEX('Both teabags AfterWet'!$C$3:$C$841,MATCH(H161,'Both teabags AfterWet'!$A$3:$A$841,0)),"")="N.A","",(IFERROR(INDEX('Both teabags AfterWet'!$C$3:$C$841,MATCH(H161,'Both teabags AfterWet'!$A$3:$A$841,0)),"")))</f>
        <v>0.78249999999999997</v>
      </c>
      <c r="Q161" s="195">
        <f>IFERROR(INDEX('Both teabags AfterWet'!$C$3:$C$841,MATCH(I161,'Both teabags AfterWet'!$A$3:$A$841,0)),"")</f>
        <v>0.38169999999999998</v>
      </c>
      <c r="R161" s="195">
        <f t="shared" si="12"/>
        <v>0.63189999999999991</v>
      </c>
      <c r="S161" s="195">
        <f t="shared" si="12"/>
        <v>0.23109999999999997</v>
      </c>
      <c r="T161" s="195">
        <f t="shared" si="13"/>
        <v>0.64161751361161534</v>
      </c>
      <c r="U161" s="195">
        <f t="shared" si="14"/>
        <v>0.42063285927982386</v>
      </c>
      <c r="V161" s="195">
        <f t="shared" si="15"/>
        <v>0.11783601876402203</v>
      </c>
      <c r="W161">
        <f t="shared" si="10"/>
        <v>52</v>
      </c>
      <c r="X161" s="195">
        <f t="shared" si="16"/>
        <v>0.2379839505800293</v>
      </c>
      <c r="Y161" s="195" t="str">
        <f t="shared" si="17"/>
        <v/>
      </c>
      <c r="Z161" s="255" t="str">
        <f>IF(ISNUMBER(SEARCH("C",'WetLitterbags placem_collection'!W88)),"YES","NO")</f>
        <v>YES</v>
      </c>
      <c r="AA161" s="255" t="str">
        <f>IF(ISNUMBER(SEARCH("H", 'WetLitterbags placem_collection'!W88)),"YES","NO")</f>
        <v>YES</v>
      </c>
      <c r="AB161" s="255" t="str">
        <f>IF(ISNUMBER(SEARCH("R", 'WetLitterbags placem_collection'!W88)),"YES","NO")</f>
        <v>YES</v>
      </c>
      <c r="AC161" s="255" t="str">
        <f>IF(ISNUMBER(SEARCH("C", 'WetLitterbags placem_collection'!V88)),"YES","NO")</f>
        <v>NO</v>
      </c>
      <c r="AD161" s="255" t="str">
        <f>IF(ISNUMBER(SEARCH("H", 'WetLitterbags placem_collection'!V88)),"YES","NO")</f>
        <v>NO</v>
      </c>
      <c r="AE161" s="255" t="str">
        <f>IF(ISNUMBER(SEARCH("R", 'WetLitterbags placem_collection'!V88)),"YES","NO")</f>
        <v>YES</v>
      </c>
    </row>
    <row r="162" spans="2:31">
      <c r="B162" t="str">
        <f>'Final data_for_R_analysis_Wetse'!A88</f>
        <v>Wet</v>
      </c>
      <c r="C162" s="263">
        <f>'Final data_for_R_analysis_Wetse'!B88</f>
        <v>87</v>
      </c>
      <c r="D162" t="s">
        <v>3839</v>
      </c>
      <c r="E162" t="s">
        <v>22</v>
      </c>
      <c r="F162" s="387">
        <v>7</v>
      </c>
      <c r="G162" s="16">
        <f>'WetLitterbags placem_collection'!E89</f>
        <v>42767</v>
      </c>
      <c r="H162" t="str">
        <f>'Final data_for_R_analysis_Wetse'!J88</f>
        <v>G628</v>
      </c>
      <c r="I162" t="str">
        <f>'Final data_for_R_analysis_Wetse'!J308</f>
        <v>R408</v>
      </c>
      <c r="J162">
        <f>IFERROR(INDEX('Green_rooibos initial weight'!$C$5:$C$1749,MATCH(H162, 'Green_rooibos initial weight'!$A$5:$A$1749,0)),"")</f>
        <v>2.0739999999999998</v>
      </c>
      <c r="K162">
        <f>IFERROR(INDEX('Green_rooibos initial weight'!$C$5:$C$1749,MATCH(I162, 'Green_rooibos initial weight'!$A$5:$A$1749,0)),"")</f>
        <v>2.2480000000000002</v>
      </c>
      <c r="L162" s="195">
        <f t="shared" si="11"/>
        <v>1.8241999999999998</v>
      </c>
      <c r="M162" s="195">
        <f>AVERAGE(Ashed_controlls!$K$2:$K$11)</f>
        <v>5.5147656768714146</v>
      </c>
      <c r="N162" s="195">
        <f t="shared" si="9"/>
        <v>1.9982000000000002</v>
      </c>
      <c r="O162" s="16">
        <f>IF('WetLitterbags placem_collection'!G89="N.A","",'WetLitterbags placem_collection'!G89)</f>
        <v>42819</v>
      </c>
      <c r="P162" s="195">
        <f>IF(IFERROR(INDEX('Both teabags AfterWet'!$C$3:$C$841,MATCH(H162,'Both teabags AfterWet'!$A$3:$A$841,0)),"")="N.A","",(IFERROR(INDEX('Both teabags AfterWet'!$C$3:$C$841,MATCH(H162,'Both teabags AfterWet'!$A$3:$A$841,0)),"")))</f>
        <v>0.8639</v>
      </c>
      <c r="Q162" s="195">
        <f>IFERROR(INDEX('Both teabags AfterWet'!$C$3:$C$841,MATCH(I162,'Both teabags AfterWet'!$A$3:$A$841,0)),"")</f>
        <v>0.3599</v>
      </c>
      <c r="R162" s="195">
        <f t="shared" si="12"/>
        <v>0.71330000000000005</v>
      </c>
      <c r="S162" s="195">
        <f t="shared" si="12"/>
        <v>0.20929999999999999</v>
      </c>
      <c r="T162" s="195">
        <f t="shared" si="13"/>
        <v>0.60897927858787404</v>
      </c>
      <c r="U162" s="195">
        <f t="shared" si="14"/>
        <v>0.39923582159205045</v>
      </c>
      <c r="V162" s="195">
        <f t="shared" si="15"/>
        <v>0.10474426984285856</v>
      </c>
      <c r="W162">
        <f t="shared" si="10"/>
        <v>52</v>
      </c>
      <c r="X162" s="195">
        <f t="shared" si="16"/>
        <v>0.27674670001440138</v>
      </c>
      <c r="Y162" s="195" t="str">
        <f t="shared" si="17"/>
        <v/>
      </c>
      <c r="Z162" s="255" t="str">
        <f>IF(ISNUMBER(SEARCH("C",'WetLitterbags placem_collection'!W89)),"YES","NO")</f>
        <v>YES</v>
      </c>
      <c r="AA162" s="255" t="str">
        <f>IF(ISNUMBER(SEARCH("H", 'WetLitterbags placem_collection'!W89)),"YES","NO")</f>
        <v>NO</v>
      </c>
      <c r="AB162" s="255" t="str">
        <f>IF(ISNUMBER(SEARCH("R", 'WetLitterbags placem_collection'!W89)),"YES","NO")</f>
        <v>YES</v>
      </c>
      <c r="AC162" s="255" t="str">
        <f>IF(ISNUMBER(SEARCH("C", 'WetLitterbags placem_collection'!V89)),"YES","NO")</f>
        <v>YES</v>
      </c>
      <c r="AD162" s="255" t="str">
        <f>IF(ISNUMBER(SEARCH("H", 'WetLitterbags placem_collection'!V89)),"YES","NO")</f>
        <v>YES</v>
      </c>
      <c r="AE162" s="255" t="str">
        <f>IF(ISNUMBER(SEARCH("R", 'WetLitterbags placem_collection'!V89)),"YES","NO")</f>
        <v>YES</v>
      </c>
    </row>
    <row r="163" spans="2:31">
      <c r="B163" t="str">
        <f>'Final data_for_R_analysis_Wetse'!A89</f>
        <v>Wet</v>
      </c>
      <c r="C163" s="263">
        <f>'Final data_for_R_analysis_Wetse'!B89</f>
        <v>88</v>
      </c>
      <c r="D163" t="s">
        <v>3839</v>
      </c>
      <c r="E163" t="s">
        <v>22</v>
      </c>
      <c r="F163" s="387">
        <v>8</v>
      </c>
      <c r="G163" s="16">
        <f>'WetLitterbags placem_collection'!E90</f>
        <v>42767</v>
      </c>
      <c r="H163" t="str">
        <f>'Final data_for_R_analysis_Wetse'!J89</f>
        <v>G569</v>
      </c>
      <c r="I163" t="str">
        <f>'Final data_for_R_analysis_Wetse'!J309</f>
        <v>R385</v>
      </c>
      <c r="J163">
        <f>IFERROR(INDEX('Green_rooibos initial weight'!$C$5:$C$1749,MATCH(H163, 'Green_rooibos initial weight'!$A$5:$A$1749,0)),"")</f>
        <v>1.9950000000000001</v>
      </c>
      <c r="K163">
        <f>IFERROR(INDEX('Green_rooibos initial weight'!$C$5:$C$1749,MATCH(I163, 'Green_rooibos initial weight'!$A$5:$A$1749,0)),"")</f>
        <v>2.2559999999999998</v>
      </c>
      <c r="L163" s="195">
        <f t="shared" si="11"/>
        <v>1.7452000000000001</v>
      </c>
      <c r="M163" s="195">
        <f>AVERAGE(Ashed_controlls!$K$2:$K$11)</f>
        <v>5.5147656768714146</v>
      </c>
      <c r="N163" s="195">
        <f t="shared" si="9"/>
        <v>2.0061999999999998</v>
      </c>
      <c r="O163" s="16">
        <f>IF('WetLitterbags placem_collection'!G90="N.A","",'WetLitterbags placem_collection'!G90)</f>
        <v>0</v>
      </c>
      <c r="P163" s="195" t="str">
        <f>IF(IFERROR(INDEX('Both teabags AfterWet'!$C$3:$C$841,MATCH(H163,'Both teabags AfterWet'!$A$3:$A$841,0)),"")="N.A","",(IFERROR(INDEX('Both teabags AfterWet'!$C$3:$C$841,MATCH(H163,'Both teabags AfterWet'!$A$3:$A$841,0)),"")))</f>
        <v/>
      </c>
      <c r="Q163" s="195" t="str">
        <f>IFERROR(INDEX('Both teabags AfterWet'!$C$3:$C$841,MATCH(I163,'Both teabags AfterWet'!$A$3:$A$841,0)),"")</f>
        <v/>
      </c>
      <c r="R163" s="195" t="str">
        <f t="shared" si="12"/>
        <v/>
      </c>
      <c r="S163" s="195" t="str">
        <f t="shared" si="12"/>
        <v/>
      </c>
      <c r="T163" s="195" t="str">
        <f t="shared" si="13"/>
        <v/>
      </c>
      <c r="U163" s="195" t="str">
        <f t="shared" si="14"/>
        <v/>
      </c>
      <c r="V163" s="195" t="str">
        <f t="shared" si="15"/>
        <v/>
      </c>
      <c r="W163" t="str">
        <f t="shared" si="10"/>
        <v/>
      </c>
      <c r="X163" s="195" t="str">
        <f t="shared" si="16"/>
        <v/>
      </c>
      <c r="Y163" s="195" t="str">
        <f t="shared" si="17"/>
        <v/>
      </c>
      <c r="Z163" s="255" t="str">
        <f>IF(ISNUMBER(SEARCH("C",'WetLitterbags placem_collection'!W90)),"YES","NO")</f>
        <v>NO</v>
      </c>
      <c r="AA163" s="255" t="str">
        <f>IF(ISNUMBER(SEARCH("H", 'WetLitterbags placem_collection'!W90)),"YES","NO")</f>
        <v>NO</v>
      </c>
      <c r="AB163" s="255" t="str">
        <f>IF(ISNUMBER(SEARCH("R", 'WetLitterbags placem_collection'!W90)),"YES","NO")</f>
        <v>NO</v>
      </c>
      <c r="AC163" s="255" t="str">
        <f>IF(ISNUMBER(SEARCH("C", 'WetLitterbags placem_collection'!V90)),"YES","NO")</f>
        <v>NO</v>
      </c>
      <c r="AD163" s="255" t="str">
        <f>IF(ISNUMBER(SEARCH("H", 'WetLitterbags placem_collection'!V90)),"YES","NO")</f>
        <v>NO</v>
      </c>
      <c r="AE163" s="255" t="str">
        <f>IF(ISNUMBER(SEARCH("R", 'WetLitterbags placem_collection'!V90)),"YES","NO")</f>
        <v>NO</v>
      </c>
    </row>
    <row r="164" spans="2:31">
      <c r="B164" t="str">
        <f>'Final data_for_R_analysis_Wetse'!A90</f>
        <v>Wet</v>
      </c>
      <c r="C164" s="263">
        <f>'Final data_for_R_analysis_Wetse'!B90</f>
        <v>89</v>
      </c>
      <c r="D164" t="s">
        <v>3840</v>
      </c>
      <c r="E164" t="s">
        <v>22</v>
      </c>
      <c r="F164" s="386">
        <v>1</v>
      </c>
      <c r="G164" s="16">
        <f>'WetLitterbags placem_collection'!E91</f>
        <v>42767</v>
      </c>
      <c r="H164" t="str">
        <f>'Final data_for_R_analysis_Wetse'!J90</f>
        <v>G339</v>
      </c>
      <c r="I164" t="str">
        <f>'Final data_for_R_analysis_Wetse'!J310</f>
        <v>R196</v>
      </c>
      <c r="J164">
        <f>IFERROR(INDEX('Green_rooibos initial weight'!$C$5:$C$1749,MATCH(H164, 'Green_rooibos initial weight'!$A$5:$A$1749,0)),"")</f>
        <v>2.0219999999999998</v>
      </c>
      <c r="K164">
        <f>IFERROR(INDEX('Green_rooibos initial weight'!$C$5:$C$1749,MATCH(I164, 'Green_rooibos initial weight'!$A$5:$A$1749,0)),"")</f>
        <v>2.242</v>
      </c>
      <c r="L164" s="195">
        <f t="shared" si="11"/>
        <v>1.7721999999999998</v>
      </c>
      <c r="M164" s="195">
        <f>AVERAGE(Ashed_controlls!$K$2:$K$11)</f>
        <v>5.5147656768714146</v>
      </c>
      <c r="N164" s="195">
        <f t="shared" si="9"/>
        <v>1.9922</v>
      </c>
      <c r="O164" s="16">
        <f>IF('WetLitterbags placem_collection'!G91="N.A","",'WetLitterbags placem_collection'!G91)</f>
        <v>42819</v>
      </c>
      <c r="P164" s="195" t="str">
        <f>IF(IFERROR(INDEX('Both teabags AfterWet'!$C$3:$C$841,MATCH(H164,'Both teabags AfterWet'!$A$3:$A$841,0)),"")="N.A","",(IFERROR(INDEX('Both teabags AfterWet'!$C$3:$C$841,MATCH(H164,'Both teabags AfterWet'!$A$3:$A$841,0)),"")))</f>
        <v/>
      </c>
      <c r="Q164" s="195">
        <f>IFERROR(INDEX('Both teabags AfterWet'!$C$3:$C$841,MATCH(I164,'Both teabags AfterWet'!$A$3:$A$841,0)),"")</f>
        <v>0.17399999999999999</v>
      </c>
      <c r="R164" s="195" t="str">
        <f t="shared" si="12"/>
        <v/>
      </c>
      <c r="S164" s="195">
        <f t="shared" si="12"/>
        <v>2.3399999999999976E-2</v>
      </c>
      <c r="T164" s="195" t="str">
        <f t="shared" si="13"/>
        <v/>
      </c>
      <c r="U164" s="195" t="str">
        <f t="shared" si="14"/>
        <v/>
      </c>
      <c r="V164" s="195">
        <f t="shared" si="15"/>
        <v>1.1745808653749612E-2</v>
      </c>
      <c r="W164">
        <f t="shared" si="10"/>
        <v>52</v>
      </c>
      <c r="X164" s="195" t="str">
        <f t="shared" si="16"/>
        <v/>
      </c>
      <c r="Y164" s="195" t="str">
        <f t="shared" si="17"/>
        <v/>
      </c>
      <c r="Z164" s="255" t="str">
        <f>IF(ISNUMBER(SEARCH("C",'WetLitterbags placem_collection'!W91)),"YES","NO")</f>
        <v>NO</v>
      </c>
      <c r="AA164" s="255" t="str">
        <f>IF(ISNUMBER(SEARCH("H", 'WetLitterbags placem_collection'!W91)),"YES","NO")</f>
        <v>YES</v>
      </c>
      <c r="AB164" s="255" t="str">
        <f>IF(ISNUMBER(SEARCH("R", 'WetLitterbags placem_collection'!W91)),"YES","NO")</f>
        <v>YES</v>
      </c>
      <c r="AC164" s="255" t="str">
        <f>IF(ISNUMBER(SEARCH("C", 'WetLitterbags placem_collection'!V91)),"YES","NO")</f>
        <v>NO</v>
      </c>
      <c r="AD164" s="255" t="str">
        <f>IF(ISNUMBER(SEARCH("H", 'WetLitterbags placem_collection'!V91)),"YES","NO")</f>
        <v>NO</v>
      </c>
      <c r="AE164" s="255" t="str">
        <f>IF(ISNUMBER(SEARCH("R", 'WetLitterbags placem_collection'!V91)),"YES","NO")</f>
        <v>NO</v>
      </c>
    </row>
    <row r="165" spans="2:31">
      <c r="B165" t="str">
        <f>'Final data_for_R_analysis_Wetse'!A91</f>
        <v>Wet</v>
      </c>
      <c r="C165" s="263">
        <f>'Final data_for_R_analysis_Wetse'!B91</f>
        <v>90</v>
      </c>
      <c r="D165" t="s">
        <v>3840</v>
      </c>
      <c r="E165" t="s">
        <v>22</v>
      </c>
      <c r="F165" s="386">
        <v>2</v>
      </c>
      <c r="G165" s="16">
        <f>'WetLitterbags placem_collection'!E92</f>
        <v>42767</v>
      </c>
      <c r="H165" t="str">
        <f>'Final data_for_R_analysis_Wetse'!J91</f>
        <v>G592</v>
      </c>
      <c r="I165" t="str">
        <f>'Final data_for_R_analysis_Wetse'!J311</f>
        <v>R94</v>
      </c>
      <c r="J165">
        <f>IFERROR(INDEX('Green_rooibos initial weight'!$C$5:$C$1749,MATCH(H165, 'Green_rooibos initial weight'!$A$5:$A$1749,0)),"")</f>
        <v>2.0699999999999998</v>
      </c>
      <c r="K165">
        <f>IFERROR(INDEX('Green_rooibos initial weight'!$C$5:$C$1749,MATCH(I165, 'Green_rooibos initial weight'!$A$5:$A$1749,0)),"")</f>
        <v>2.2770000000000001</v>
      </c>
      <c r="L165" s="195">
        <f t="shared" si="11"/>
        <v>1.8201999999999998</v>
      </c>
      <c r="M165" s="195">
        <f>AVERAGE(Ashed_controlls!$K$2:$K$11)</f>
        <v>5.5147656768714146</v>
      </c>
      <c r="N165" s="195">
        <f t="shared" si="9"/>
        <v>2.0272000000000001</v>
      </c>
      <c r="O165" s="16">
        <f>IF('WetLitterbags placem_collection'!G92="N.A","",'WetLitterbags placem_collection'!G92)</f>
        <v>42819</v>
      </c>
      <c r="P165" s="195">
        <f>IF(IFERROR(INDEX('Both teabags AfterWet'!$C$3:$C$841,MATCH(H165,'Both teabags AfterWet'!$A$3:$A$841,0)),"")="N.A","",(IFERROR(INDEX('Both teabags AfterWet'!$C$3:$C$841,MATCH(H165,'Both teabags AfterWet'!$A$3:$A$841,0)),"")))</f>
        <v>1.0779000000000001</v>
      </c>
      <c r="Q165" s="195">
        <f>IFERROR(INDEX('Both teabags AfterWet'!$C$3:$C$841,MATCH(I165,'Both teabags AfterWet'!$A$3:$A$841,0)),"")</f>
        <v>1.7455000000000001</v>
      </c>
      <c r="R165" s="195">
        <f t="shared" si="12"/>
        <v>0.92730000000000001</v>
      </c>
      <c r="S165" s="195">
        <f t="shared" si="12"/>
        <v>1.5949</v>
      </c>
      <c r="T165" s="195">
        <f t="shared" si="13"/>
        <v>0.49055048895725739</v>
      </c>
      <c r="U165" s="195">
        <f t="shared" si="14"/>
        <v>0.32159604501710942</v>
      </c>
      <c r="V165" s="195">
        <f t="shared" si="15"/>
        <v>0.78675019731649565</v>
      </c>
      <c r="W165">
        <f t="shared" si="10"/>
        <v>52</v>
      </c>
      <c r="X165" s="195">
        <f t="shared" si="16"/>
        <v>0.41739846917190326</v>
      </c>
      <c r="Y165" s="195">
        <f t="shared" si="17"/>
        <v>2.0922388323686054E-2</v>
      </c>
      <c r="Z165" s="255" t="str">
        <f>IF(ISNUMBER(SEARCH("C",'WetLitterbags placem_collection'!W92)),"YES","NO")</f>
        <v>NO</v>
      </c>
      <c r="AA165" s="255" t="str">
        <f>IF(ISNUMBER(SEARCH("H", 'WetLitterbags placem_collection'!W92)),"YES","NO")</f>
        <v>NO</v>
      </c>
      <c r="AB165" s="255" t="str">
        <f>IF(ISNUMBER(SEARCH("R", 'WetLitterbags placem_collection'!W92)),"YES","NO")</f>
        <v>YES</v>
      </c>
      <c r="AC165" s="255" t="str">
        <f>IF(ISNUMBER(SEARCH("C", 'WetLitterbags placem_collection'!V92)),"YES","NO")</f>
        <v>NO</v>
      </c>
      <c r="AD165" s="255" t="str">
        <f>IF(ISNUMBER(SEARCH("H", 'WetLitterbags placem_collection'!V92)),"YES","NO")</f>
        <v>NO</v>
      </c>
      <c r="AE165" s="255" t="str">
        <f>IF(ISNUMBER(SEARCH("R", 'WetLitterbags placem_collection'!V92)),"YES","NO")</f>
        <v>NO</v>
      </c>
    </row>
    <row r="166" spans="2:31">
      <c r="B166" t="str">
        <f>'Final data_for_R_analysis_Wetse'!A92</f>
        <v>Wet</v>
      </c>
      <c r="C166" s="263">
        <f>'Final data_for_R_analysis_Wetse'!B92</f>
        <v>91</v>
      </c>
      <c r="D166" t="s">
        <v>3840</v>
      </c>
      <c r="E166" t="s">
        <v>22</v>
      </c>
      <c r="F166" s="386">
        <v>3</v>
      </c>
      <c r="G166" s="16">
        <f>'WetLitterbags placem_collection'!E93</f>
        <v>42767</v>
      </c>
      <c r="H166" t="str">
        <f>'Final data_for_R_analysis_Wetse'!J92</f>
        <v>G472</v>
      </c>
      <c r="I166" t="str">
        <f>'Final data_for_R_analysis_Wetse'!J312</f>
        <v>R343</v>
      </c>
      <c r="J166">
        <f>IFERROR(INDEX('Green_rooibos initial weight'!$C$5:$C$1749,MATCH(H166, 'Green_rooibos initial weight'!$A$5:$A$1749,0)),"")</f>
        <v>1.9710000000000001</v>
      </c>
      <c r="K166">
        <f>IFERROR(INDEX('Green_rooibos initial weight'!$C$5:$C$1749,MATCH(I166, 'Green_rooibos initial weight'!$A$5:$A$1749,0)),"")</f>
        <v>2.2429999999999999</v>
      </c>
      <c r="L166" s="195">
        <f t="shared" si="11"/>
        <v>1.7212000000000001</v>
      </c>
      <c r="M166" s="195">
        <f>AVERAGE(Ashed_controlls!$K$2:$K$11)</f>
        <v>5.5147656768714146</v>
      </c>
      <c r="N166" s="195">
        <f t="shared" si="9"/>
        <v>1.9931999999999999</v>
      </c>
      <c r="O166" s="16">
        <f>IF('WetLitterbags placem_collection'!G93="N.A","",'WetLitterbags placem_collection'!G93)</f>
        <v>42819</v>
      </c>
      <c r="P166" s="195">
        <f>IF(IFERROR(INDEX('Both teabags AfterWet'!$C$3:$C$841,MATCH(H166,'Both teabags AfterWet'!$A$3:$A$841,0)),"")="N.A","",(IFERROR(INDEX('Both teabags AfterWet'!$C$3:$C$841,MATCH(H166,'Both teabags AfterWet'!$A$3:$A$841,0)),"")))</f>
        <v>0.76100000000000001</v>
      </c>
      <c r="Q166" s="195">
        <f>IFERROR(INDEX('Both teabags AfterWet'!$C$3:$C$841,MATCH(I166,'Both teabags AfterWet'!$A$3:$A$841,0)),"")</f>
        <v>0.16200000000000001</v>
      </c>
      <c r="R166" s="195">
        <f t="shared" si="12"/>
        <v>0.61040000000000005</v>
      </c>
      <c r="S166" s="195">
        <f t="shared" si="12"/>
        <v>1.1399999999999993E-2</v>
      </c>
      <c r="T166" s="195">
        <f t="shared" si="13"/>
        <v>0.64536369974436436</v>
      </c>
      <c r="U166" s="195">
        <f t="shared" si="14"/>
        <v>0.42308879128134108</v>
      </c>
      <c r="V166" s="195">
        <f t="shared" si="15"/>
        <v>5.7194461167971071E-3</v>
      </c>
      <c r="W166">
        <f t="shared" si="10"/>
        <v>52</v>
      </c>
      <c r="X166" s="195">
        <f t="shared" si="16"/>
        <v>0.23353479840336766</v>
      </c>
      <c r="Y166" s="195" t="str">
        <f t="shared" si="17"/>
        <v/>
      </c>
      <c r="Z166" s="255" t="str">
        <f>IF(ISNUMBER(SEARCH("C",'WetLitterbags placem_collection'!W93)),"YES","NO")</f>
        <v>YES</v>
      </c>
      <c r="AA166" s="255" t="str">
        <f>IF(ISNUMBER(SEARCH("H", 'WetLitterbags placem_collection'!W93)),"YES","NO")</f>
        <v>YES</v>
      </c>
      <c r="AB166" s="255" t="str">
        <f>IF(ISNUMBER(SEARCH("R", 'WetLitterbags placem_collection'!W93)),"YES","NO")</f>
        <v>NO</v>
      </c>
      <c r="AC166" s="255" t="str">
        <f>IF(ISNUMBER(SEARCH("C", 'WetLitterbags placem_collection'!V93)),"YES","NO")</f>
        <v>NO</v>
      </c>
      <c r="AD166" s="255" t="str">
        <f>IF(ISNUMBER(SEARCH("H", 'WetLitterbags placem_collection'!V93)),"YES","NO")</f>
        <v>YES</v>
      </c>
      <c r="AE166" s="255" t="str">
        <f>IF(ISNUMBER(SEARCH("R", 'WetLitterbags placem_collection'!V93)),"YES","NO")</f>
        <v>YES</v>
      </c>
    </row>
    <row r="167" spans="2:31">
      <c r="B167" t="str">
        <f>'Final data_for_R_analysis_Wetse'!A93</f>
        <v>Wet</v>
      </c>
      <c r="C167" s="263">
        <f>'Final data_for_R_analysis_Wetse'!B93</f>
        <v>92</v>
      </c>
      <c r="D167" t="s">
        <v>3840</v>
      </c>
      <c r="E167" t="s">
        <v>22</v>
      </c>
      <c r="F167" s="387">
        <v>4</v>
      </c>
      <c r="G167" s="16">
        <f>'WetLitterbags placem_collection'!E94</f>
        <v>42767</v>
      </c>
      <c r="H167" t="str">
        <f>'Final data_for_R_analysis_Wetse'!J93</f>
        <v>G529</v>
      </c>
      <c r="I167" t="str">
        <f>'Final data_for_R_analysis_Wetse'!J313</f>
        <v>R445</v>
      </c>
      <c r="J167">
        <f>IFERROR(INDEX('Green_rooibos initial weight'!$C$5:$C$1749,MATCH(H167, 'Green_rooibos initial weight'!$A$5:$A$1749,0)),"")</f>
        <v>2.089</v>
      </c>
      <c r="K167">
        <f>IFERROR(INDEX('Green_rooibos initial weight'!$C$5:$C$1749,MATCH(I167, 'Green_rooibos initial weight'!$A$5:$A$1749,0)),"")</f>
        <v>2.2389999999999999</v>
      </c>
      <c r="L167" s="195">
        <f t="shared" si="11"/>
        <v>1.8391999999999999</v>
      </c>
      <c r="M167" s="195">
        <f>AVERAGE(Ashed_controlls!$K$2:$K$11)</f>
        <v>5.5147656768714146</v>
      </c>
      <c r="N167" s="195">
        <f t="shared" si="9"/>
        <v>1.9891999999999999</v>
      </c>
      <c r="O167" s="16">
        <f>IF('WetLitterbags placem_collection'!G94="N.A","",'WetLitterbags placem_collection'!G94)</f>
        <v>42819</v>
      </c>
      <c r="P167" s="195">
        <f>IF(IFERROR(INDEX('Both teabags AfterWet'!$C$3:$C$841,MATCH(H167,'Both teabags AfterWet'!$A$3:$A$841,0)),"")="N.A","",(IFERROR(INDEX('Both teabags AfterWet'!$C$3:$C$841,MATCH(H167,'Both teabags AfterWet'!$A$3:$A$841,0)),"")))</f>
        <v>0.76500000000000001</v>
      </c>
      <c r="Q167" s="195">
        <f>IFERROR(INDEX('Both teabags AfterWet'!$C$3:$C$841,MATCH(I167,'Both teabags AfterWet'!$A$3:$A$841,0)),"")</f>
        <v>0.31</v>
      </c>
      <c r="R167" s="195">
        <f t="shared" si="12"/>
        <v>0.61440000000000006</v>
      </c>
      <c r="S167" s="195">
        <f t="shared" si="12"/>
        <v>0.15939999999999999</v>
      </c>
      <c r="T167" s="195">
        <f t="shared" si="13"/>
        <v>0.66594171378860367</v>
      </c>
      <c r="U167" s="195">
        <f t="shared" si="14"/>
        <v>0.43657936580915591</v>
      </c>
      <c r="V167" s="195">
        <f t="shared" si="15"/>
        <v>8.0132716670018103E-2</v>
      </c>
      <c r="W167">
        <f t="shared" si="10"/>
        <v>52</v>
      </c>
      <c r="X167" s="195">
        <f t="shared" si="16"/>
        <v>0.20909535179500749</v>
      </c>
      <c r="Y167" s="195" t="str">
        <f t="shared" si="17"/>
        <v/>
      </c>
      <c r="Z167" s="255" t="str">
        <f>IF(ISNUMBER(SEARCH("C",'WetLitterbags placem_collection'!W94)),"YES","NO")</f>
        <v>YES</v>
      </c>
      <c r="AA167" s="255" t="str">
        <f>IF(ISNUMBER(SEARCH("H", 'WetLitterbags placem_collection'!W94)),"YES","NO")</f>
        <v>YES</v>
      </c>
      <c r="AB167" s="255" t="str">
        <f>IF(ISNUMBER(SEARCH("R", 'WetLitterbags placem_collection'!W94)),"YES","NO")</f>
        <v>NO</v>
      </c>
      <c r="AC167" s="255" t="str">
        <f>IF(ISNUMBER(SEARCH("C", 'WetLitterbags placem_collection'!V94)),"YES","NO")</f>
        <v>YES</v>
      </c>
      <c r="AD167" s="255" t="str">
        <f>IF(ISNUMBER(SEARCH("H", 'WetLitterbags placem_collection'!V94)),"YES","NO")</f>
        <v>YES</v>
      </c>
      <c r="AE167" s="255" t="str">
        <f>IF(ISNUMBER(SEARCH("R", 'WetLitterbags placem_collection'!V94)),"YES","NO")</f>
        <v>NO</v>
      </c>
    </row>
    <row r="168" spans="2:31">
      <c r="B168" t="str">
        <f>'Final data_for_R_analysis_Wetse'!A94</f>
        <v>Wet</v>
      </c>
      <c r="C168" s="263">
        <f>'Final data_for_R_analysis_Wetse'!B94</f>
        <v>93</v>
      </c>
      <c r="D168" t="s">
        <v>3840</v>
      </c>
      <c r="E168" t="s">
        <v>22</v>
      </c>
      <c r="F168" s="387">
        <v>5</v>
      </c>
      <c r="G168" s="16">
        <f>'WetLitterbags placem_collection'!E95</f>
        <v>42767</v>
      </c>
      <c r="H168" t="str">
        <f>'Final data_for_R_analysis_Wetse'!J94</f>
        <v>G636</v>
      </c>
      <c r="I168" t="str">
        <f>'Final data_for_R_analysis_Wetse'!J314</f>
        <v>R12</v>
      </c>
      <c r="J168">
        <f>IFERROR(INDEX('Green_rooibos initial weight'!$C$5:$C$1749,MATCH(H168, 'Green_rooibos initial weight'!$A$5:$A$1749,0)),"")</f>
        <v>2.133</v>
      </c>
      <c r="K168">
        <f>IFERROR(INDEX('Green_rooibos initial weight'!$C$5:$C$1749,MATCH(I168, 'Green_rooibos initial weight'!$A$5:$A$1749,0)),"")</f>
        <v>2.1709999999999998</v>
      </c>
      <c r="L168" s="195">
        <f t="shared" si="11"/>
        <v>1.8832</v>
      </c>
      <c r="M168" s="195">
        <f>AVERAGE(Ashed_controlls!$K$2:$K$11)</f>
        <v>5.5147656768714146</v>
      </c>
      <c r="N168" s="195">
        <f t="shared" si="9"/>
        <v>1.9211999999999998</v>
      </c>
      <c r="O168" s="16">
        <f>IF('WetLitterbags placem_collection'!G95="N.A","",'WetLitterbags placem_collection'!G95)</f>
        <v>42819</v>
      </c>
      <c r="P168" s="195">
        <f>IF(IFERROR(INDEX('Both teabags AfterWet'!$C$3:$C$841,MATCH(H168,'Both teabags AfterWet'!$A$3:$A$841,0)),"")="N.A","",(IFERROR(INDEX('Both teabags AfterWet'!$C$3:$C$841,MATCH(H168,'Both teabags AfterWet'!$A$3:$A$841,0)),"")))</f>
        <v>0.79630000000000001</v>
      </c>
      <c r="Q168" s="195">
        <f>IFERROR(INDEX('Both teabags AfterWet'!$C$3:$C$841,MATCH(I168,'Both teabags AfterWet'!$A$3:$A$841,0)),"")</f>
        <v>0.17</v>
      </c>
      <c r="R168" s="195">
        <f t="shared" si="12"/>
        <v>0.64569999999999994</v>
      </c>
      <c r="S168" s="195">
        <f t="shared" si="12"/>
        <v>1.9400000000000001E-2</v>
      </c>
      <c r="T168" s="195">
        <f t="shared" si="13"/>
        <v>0.65712616822429903</v>
      </c>
      <c r="U168" s="195">
        <f t="shared" si="14"/>
        <v>0.43080005327768778</v>
      </c>
      <c r="V168" s="195">
        <f t="shared" si="15"/>
        <v>1.0097855506974809E-2</v>
      </c>
      <c r="W168">
        <f t="shared" si="10"/>
        <v>52</v>
      </c>
      <c r="X168" s="195">
        <f t="shared" si="16"/>
        <v>0.21956512087375413</v>
      </c>
      <c r="Y168" s="195" t="str">
        <f t="shared" si="17"/>
        <v/>
      </c>
      <c r="Z168" s="255" t="str">
        <f>IF(ISNUMBER(SEARCH("C",'WetLitterbags placem_collection'!W95)),"YES","NO")</f>
        <v>NO</v>
      </c>
      <c r="AA168" s="255" t="str">
        <f>IF(ISNUMBER(SEARCH("H", 'WetLitterbags placem_collection'!W95)),"YES","NO")</f>
        <v>YES</v>
      </c>
      <c r="AB168" s="255" t="str">
        <f>IF(ISNUMBER(SEARCH("R", 'WetLitterbags placem_collection'!W95)),"YES","NO")</f>
        <v>NO</v>
      </c>
      <c r="AC168" s="255" t="str">
        <f>IF(ISNUMBER(SEARCH("C", 'WetLitterbags placem_collection'!V95)),"YES","NO")</f>
        <v>NO</v>
      </c>
      <c r="AD168" s="255" t="str">
        <f>IF(ISNUMBER(SEARCH("H", 'WetLitterbags placem_collection'!V95)),"YES","NO")</f>
        <v>NO</v>
      </c>
      <c r="AE168" s="255" t="str">
        <f>IF(ISNUMBER(SEARCH("R", 'WetLitterbags placem_collection'!V95)),"YES","NO")</f>
        <v>YES</v>
      </c>
    </row>
    <row r="169" spans="2:31">
      <c r="B169" t="str">
        <f>'Final data_for_R_analysis_Wetse'!A95</f>
        <v>Wet</v>
      </c>
      <c r="C169" s="263">
        <f>'Final data_for_R_analysis_Wetse'!B95</f>
        <v>94</v>
      </c>
      <c r="D169" t="s">
        <v>3840</v>
      </c>
      <c r="E169" t="s">
        <v>22</v>
      </c>
      <c r="F169" s="387">
        <v>6</v>
      </c>
      <c r="G169" s="16">
        <f>'WetLitterbags placem_collection'!E96</f>
        <v>42767</v>
      </c>
      <c r="H169" t="str">
        <f>'Final data_for_R_analysis_Wetse'!J95</f>
        <v>G534</v>
      </c>
      <c r="I169" t="str">
        <f>'Final data_for_R_analysis_Wetse'!J315</f>
        <v>R244</v>
      </c>
      <c r="J169">
        <f>IFERROR(INDEX('Green_rooibos initial weight'!$C$5:$C$1749,MATCH(H169, 'Green_rooibos initial weight'!$A$5:$A$1749,0)),"")</f>
        <v>2.169</v>
      </c>
      <c r="K169">
        <f>IFERROR(INDEX('Green_rooibos initial weight'!$C$5:$C$1749,MATCH(I169, 'Green_rooibos initial weight'!$A$5:$A$1749,0)),"")</f>
        <v>2.2490000000000001</v>
      </c>
      <c r="L169" s="195">
        <f t="shared" si="11"/>
        <v>1.9192</v>
      </c>
      <c r="M169" s="195">
        <f>AVERAGE(Ashed_controlls!$K$2:$K$11)</f>
        <v>5.5147656768714146</v>
      </c>
      <c r="N169" s="195">
        <f t="shared" si="9"/>
        <v>1.9992000000000001</v>
      </c>
      <c r="O169" s="16">
        <f>IF('WetLitterbags placem_collection'!G96="N.A","",'WetLitterbags placem_collection'!G96)</f>
        <v>0</v>
      </c>
      <c r="P169" s="195" t="str">
        <f>IF(IFERROR(INDEX('Both teabags AfterWet'!$C$3:$C$841,MATCH(H169,'Both teabags AfterWet'!$A$3:$A$841,0)),"")="N.A","",(IFERROR(INDEX('Both teabags AfterWet'!$C$3:$C$841,MATCH(H169,'Both teabags AfterWet'!$A$3:$A$841,0)),"")))</f>
        <v/>
      </c>
      <c r="Q169" s="195" t="str">
        <f>IFERROR(INDEX('Both teabags AfterWet'!$C$3:$C$841,MATCH(I169,'Both teabags AfterWet'!$A$3:$A$841,0)),"")</f>
        <v/>
      </c>
      <c r="R169" s="195" t="str">
        <f t="shared" si="12"/>
        <v/>
      </c>
      <c r="S169" s="195" t="str">
        <f t="shared" si="12"/>
        <v/>
      </c>
      <c r="T169" s="195" t="str">
        <f t="shared" si="13"/>
        <v/>
      </c>
      <c r="U169" s="195" t="str">
        <f t="shared" si="14"/>
        <v/>
      </c>
      <c r="V169" s="195" t="str">
        <f t="shared" si="15"/>
        <v/>
      </c>
      <c r="W169" t="str">
        <f t="shared" si="10"/>
        <v/>
      </c>
      <c r="X169" s="195" t="str">
        <f t="shared" si="16"/>
        <v/>
      </c>
      <c r="Y169" s="195" t="str">
        <f t="shared" si="17"/>
        <v/>
      </c>
      <c r="Z169" s="255" t="str">
        <f>IF(ISNUMBER(SEARCH("C",'WetLitterbags placem_collection'!W96)),"YES","NO")</f>
        <v>NO</v>
      </c>
      <c r="AA169" s="255" t="str">
        <f>IF(ISNUMBER(SEARCH("H", 'WetLitterbags placem_collection'!W96)),"YES","NO")</f>
        <v>NO</v>
      </c>
      <c r="AB169" s="255" t="str">
        <f>IF(ISNUMBER(SEARCH("R", 'WetLitterbags placem_collection'!W96)),"YES","NO")</f>
        <v>NO</v>
      </c>
      <c r="AC169" s="255" t="str">
        <f>IF(ISNUMBER(SEARCH("C", 'WetLitterbags placem_collection'!V96)),"YES","NO")</f>
        <v>NO</v>
      </c>
      <c r="AD169" s="255" t="str">
        <f>IF(ISNUMBER(SEARCH("H", 'WetLitterbags placem_collection'!V96)),"YES","NO")</f>
        <v>NO</v>
      </c>
      <c r="AE169" s="255" t="str">
        <f>IF(ISNUMBER(SEARCH("R", 'WetLitterbags placem_collection'!V96)),"YES","NO")</f>
        <v>NO</v>
      </c>
    </row>
    <row r="170" spans="2:31">
      <c r="B170" t="str">
        <f>'Final data_for_R_analysis_Wetse'!A96</f>
        <v>Wet</v>
      </c>
      <c r="C170" s="263">
        <f>'Final data_for_R_analysis_Wetse'!B96</f>
        <v>95</v>
      </c>
      <c r="D170" t="s">
        <v>3840</v>
      </c>
      <c r="E170" t="s">
        <v>22</v>
      </c>
      <c r="F170" s="387">
        <v>7</v>
      </c>
      <c r="G170" s="16">
        <f>'WetLitterbags placem_collection'!E97</f>
        <v>42767</v>
      </c>
      <c r="H170" t="str">
        <f>'Final data_for_R_analysis_Wetse'!J96</f>
        <v>G641</v>
      </c>
      <c r="I170" t="str">
        <f>'Final data_for_R_analysis_Wetse'!J316</f>
        <v>R360</v>
      </c>
      <c r="J170">
        <f>IFERROR(INDEX('Green_rooibos initial weight'!$C$5:$C$1749,MATCH(H170, 'Green_rooibos initial weight'!$A$5:$A$1749,0)),"")</f>
        <v>2.14</v>
      </c>
      <c r="K170">
        <f>IFERROR(INDEX('Green_rooibos initial weight'!$C$5:$C$1749,MATCH(I170, 'Green_rooibos initial weight'!$A$5:$A$1749,0)),"")</f>
        <v>2.206</v>
      </c>
      <c r="L170" s="195">
        <f t="shared" si="11"/>
        <v>1.8902000000000001</v>
      </c>
      <c r="M170" s="195">
        <f>AVERAGE(Ashed_controlls!$K$2:$K$11)</f>
        <v>5.5147656768714146</v>
      </c>
      <c r="N170" s="195">
        <f t="shared" si="9"/>
        <v>1.9561999999999999</v>
      </c>
      <c r="O170" s="16">
        <f>IF('WetLitterbags placem_collection'!G97="N.A","",'WetLitterbags placem_collection'!G97)</f>
        <v>42819</v>
      </c>
      <c r="P170" s="195">
        <f>IF(IFERROR(INDEX('Both teabags AfterWet'!$C$3:$C$841,MATCH(H170,'Both teabags AfterWet'!$A$3:$A$841,0)),"")="N.A","",(IFERROR(INDEX('Both teabags AfterWet'!$C$3:$C$841,MATCH(H170,'Both teabags AfterWet'!$A$3:$A$841,0)),"")))</f>
        <v>1.254</v>
      </c>
      <c r="Q170" s="195">
        <f>IFERROR(INDEX('Both teabags AfterWet'!$C$3:$C$841,MATCH(I170,'Both teabags AfterWet'!$A$3:$A$841,0)),"")</f>
        <v>0.45800000000000002</v>
      </c>
      <c r="R170" s="195">
        <f t="shared" si="12"/>
        <v>1.1033999999999999</v>
      </c>
      <c r="S170" s="195">
        <f t="shared" si="12"/>
        <v>0.30740000000000001</v>
      </c>
      <c r="T170" s="195">
        <f t="shared" si="13"/>
        <v>0.41625224843931863</v>
      </c>
      <c r="U170" s="195">
        <f t="shared" si="14"/>
        <v>0.27288745978444645</v>
      </c>
      <c r="V170" s="195">
        <f t="shared" si="15"/>
        <v>0.15714139658521625</v>
      </c>
      <c r="W170">
        <f t="shared" si="10"/>
        <v>52</v>
      </c>
      <c r="X170" s="195">
        <f t="shared" si="16"/>
        <v>0.50563865981078548</v>
      </c>
      <c r="Y170" s="195" t="str">
        <f t="shared" si="17"/>
        <v/>
      </c>
      <c r="Z170" s="255" t="str">
        <f>IF(ISNUMBER(SEARCH("C",'WetLitterbags placem_collection'!W97)),"YES","NO")</f>
        <v>NO</v>
      </c>
      <c r="AA170" s="255" t="str">
        <f>IF(ISNUMBER(SEARCH("H", 'WetLitterbags placem_collection'!W97)),"YES","NO")</f>
        <v>YES</v>
      </c>
      <c r="AB170" s="255" t="str">
        <f>IF(ISNUMBER(SEARCH("R", 'WetLitterbags placem_collection'!W97)),"YES","NO")</f>
        <v>YES</v>
      </c>
      <c r="AC170" s="255" t="str">
        <f>IF(ISNUMBER(SEARCH("C", 'WetLitterbags placem_collection'!V97)),"YES","NO")</f>
        <v>YES</v>
      </c>
      <c r="AD170" s="255" t="str">
        <f>IF(ISNUMBER(SEARCH("H", 'WetLitterbags placem_collection'!V97)),"YES","NO")</f>
        <v>YES</v>
      </c>
      <c r="AE170" s="255" t="str">
        <f>IF(ISNUMBER(SEARCH("R", 'WetLitterbags placem_collection'!V97)),"YES","NO")</f>
        <v>YES</v>
      </c>
    </row>
    <row r="171" spans="2:31">
      <c r="B171" t="str">
        <f>'Final data_for_R_analysis_Wetse'!A97</f>
        <v>Wet</v>
      </c>
      <c r="C171" s="263">
        <f>'Final data_for_R_analysis_Wetse'!B97</f>
        <v>96</v>
      </c>
      <c r="D171" t="s">
        <v>3840</v>
      </c>
      <c r="E171" t="s">
        <v>22</v>
      </c>
      <c r="F171" s="387">
        <v>8</v>
      </c>
      <c r="G171" s="16">
        <f>'WetLitterbags placem_collection'!E98</f>
        <v>42767</v>
      </c>
      <c r="H171" t="str">
        <f>'Final data_for_R_analysis_Wetse'!J97</f>
        <v>G479</v>
      </c>
      <c r="I171" t="str">
        <f>'Final data_for_R_analysis_Wetse'!J317</f>
        <v>R318</v>
      </c>
      <c r="J171">
        <f>IFERROR(INDEX('Green_rooibos initial weight'!$C$5:$C$1749,MATCH(H171, 'Green_rooibos initial weight'!$A$5:$A$1749,0)),"")</f>
        <v>1.982</v>
      </c>
      <c r="K171">
        <f>IFERROR(INDEX('Green_rooibos initial weight'!$C$5:$C$1749,MATCH(I171, 'Green_rooibos initial weight'!$A$5:$A$1749,0)),"")</f>
        <v>2.23</v>
      </c>
      <c r="L171" s="195">
        <f t="shared" si="11"/>
        <v>1.7322</v>
      </c>
      <c r="M171" s="195">
        <f>AVERAGE(Ashed_controlls!$K$2:$K$11)</f>
        <v>5.5147656768714146</v>
      </c>
      <c r="N171" s="195">
        <f t="shared" si="9"/>
        <v>1.9802</v>
      </c>
      <c r="O171" s="16">
        <f>IF('WetLitterbags placem_collection'!G98="N.A","",'WetLitterbags placem_collection'!G98)</f>
        <v>42819</v>
      </c>
      <c r="P171" s="195">
        <f>IF(IFERROR(INDEX('Both teabags AfterWet'!$C$3:$C$841,MATCH(H171,'Both teabags AfterWet'!$A$3:$A$841,0)),"")="N.A","",(IFERROR(INDEX('Both teabags AfterWet'!$C$3:$C$841,MATCH(H171,'Both teabags AfterWet'!$A$3:$A$841,0)),"")))</f>
        <v>0.90410000000000001</v>
      </c>
      <c r="Q171" s="195">
        <f>IFERROR(INDEX('Both teabags AfterWet'!$C$3:$C$841,MATCH(I171,'Both teabags AfterWet'!$A$3:$A$841,0)),"")</f>
        <v>1.748</v>
      </c>
      <c r="R171" s="195">
        <f t="shared" si="12"/>
        <v>0.75350000000000006</v>
      </c>
      <c r="S171" s="195">
        <f t="shared" si="12"/>
        <v>1.5973999999999999</v>
      </c>
      <c r="T171" s="195">
        <f t="shared" si="13"/>
        <v>0.56500404110379865</v>
      </c>
      <c r="U171" s="195">
        <f t="shared" si="14"/>
        <v>0.37040644974975878</v>
      </c>
      <c r="V171" s="195">
        <f t="shared" si="15"/>
        <v>0.80668619331380664</v>
      </c>
      <c r="W171">
        <f t="shared" si="10"/>
        <v>52</v>
      </c>
      <c r="X171" s="195">
        <f t="shared" si="16"/>
        <v>0.32897382291710375</v>
      </c>
      <c r="Y171" s="195">
        <f t="shared" si="17"/>
        <v>1.4190921399401094E-2</v>
      </c>
      <c r="Z171" s="255" t="str">
        <f>IF(ISNUMBER(SEARCH("C",'WetLitterbags placem_collection'!W98)),"YES","NO")</f>
        <v>YES</v>
      </c>
      <c r="AA171" s="255" t="str">
        <f>IF(ISNUMBER(SEARCH("H", 'WetLitterbags placem_collection'!W98)),"YES","NO")</f>
        <v>YES</v>
      </c>
      <c r="AB171" s="255" t="str">
        <f>IF(ISNUMBER(SEARCH("R", 'WetLitterbags placem_collection'!W98)),"YES","NO")</f>
        <v>NO</v>
      </c>
      <c r="AC171" s="255" t="str">
        <f>IF(ISNUMBER(SEARCH("C", 'WetLitterbags placem_collection'!V98)),"YES","NO")</f>
        <v>NO</v>
      </c>
      <c r="AD171" s="255" t="str">
        <f>IF(ISNUMBER(SEARCH("H", 'WetLitterbags placem_collection'!V98)),"YES","NO")</f>
        <v>NO</v>
      </c>
      <c r="AE171" s="255" t="str">
        <f>IF(ISNUMBER(SEARCH("R", 'WetLitterbags placem_collection'!V98)),"YES","NO")</f>
        <v>YES</v>
      </c>
    </row>
    <row r="172" spans="2:31">
      <c r="B172" t="str">
        <f>'Final data_for_R_analysis_Wetse'!A98</f>
        <v>Wet</v>
      </c>
      <c r="C172" s="263">
        <f>'Final data_for_R_analysis_Wetse'!B98</f>
        <v>97</v>
      </c>
      <c r="D172" t="s">
        <v>3841</v>
      </c>
      <c r="E172" t="s">
        <v>22</v>
      </c>
      <c r="F172" s="386">
        <v>1</v>
      </c>
      <c r="G172" s="16">
        <f>'WetLitterbags placem_collection'!E99</f>
        <v>42762</v>
      </c>
      <c r="H172" t="str">
        <f>'Final data_for_R_analysis_Wetse'!J98</f>
        <v>G741</v>
      </c>
      <c r="I172" t="str">
        <f>'Final data_for_R_analysis_Wetse'!J318</f>
        <v>R518</v>
      </c>
      <c r="J172">
        <f>IFERROR(INDEX('Green_rooibos initial weight'!$C$5:$C$1749,MATCH(H172, 'Green_rooibos initial weight'!$A$5:$A$1749,0)),"")</f>
        <v>2.1019999999999999</v>
      </c>
      <c r="K172">
        <f>IFERROR(INDEX('Green_rooibos initial weight'!$C$5:$C$1749,MATCH(I172, 'Green_rooibos initial weight'!$A$5:$A$1749,0)),"")</f>
        <v>2.198</v>
      </c>
      <c r="L172" s="195">
        <f t="shared" si="11"/>
        <v>1.8521999999999998</v>
      </c>
      <c r="M172" s="195">
        <f>AVERAGE(Ashed_controlls!$K$2:$K$11)</f>
        <v>5.5147656768714146</v>
      </c>
      <c r="N172" s="195">
        <f t="shared" si="9"/>
        <v>1.9481999999999999</v>
      </c>
      <c r="O172" s="16">
        <f>IF('WetLitterbags placem_collection'!G99="N.A","",'WetLitterbags placem_collection'!G99)</f>
        <v>42816</v>
      </c>
      <c r="P172" s="195">
        <f>IF(IFERROR(INDEX('Both teabags AfterWet'!$C$3:$C$841,MATCH(H172,'Both teabags AfterWet'!$A$3:$A$841,0)),"")="N.A","",(IFERROR(INDEX('Both teabags AfterWet'!$C$3:$C$841,MATCH(H172,'Both teabags AfterWet'!$A$3:$A$841,0)),"")))</f>
        <v>0.60680000000000001</v>
      </c>
      <c r="Q172" s="195">
        <f>IFERROR(INDEX('Both teabags AfterWet'!$C$3:$C$841,MATCH(I172,'Both teabags AfterWet'!$A$3:$A$841,0)),"")</f>
        <v>0</v>
      </c>
      <c r="R172" s="195">
        <f t="shared" si="12"/>
        <v>0.45619999999999999</v>
      </c>
      <c r="S172" s="195" t="str">
        <f t="shared" si="12"/>
        <v/>
      </c>
      <c r="T172" s="195">
        <f t="shared" si="13"/>
        <v>0.75369830471871291</v>
      </c>
      <c r="U172" s="195">
        <f t="shared" si="14"/>
        <v>0.49411100261844371</v>
      </c>
      <c r="V172" s="195" t="str">
        <f t="shared" si="15"/>
        <v/>
      </c>
      <c r="W172">
        <f t="shared" si="10"/>
        <v>54</v>
      </c>
      <c r="X172" s="195">
        <f t="shared" si="16"/>
        <v>0.10487137206803687</v>
      </c>
      <c r="Y172" s="195" t="str">
        <f t="shared" si="17"/>
        <v/>
      </c>
      <c r="Z172" s="255" t="str">
        <f>IF(ISNUMBER(SEARCH("C",'WetLitterbags placem_collection'!W99)),"YES","NO")</f>
        <v>YES</v>
      </c>
      <c r="AA172" s="255" t="str">
        <f>IF(ISNUMBER(SEARCH("H", 'WetLitterbags placem_collection'!W99)),"YES","NO")</f>
        <v>YES</v>
      </c>
      <c r="AB172" s="255" t="str">
        <f>IF(ISNUMBER(SEARCH("R", 'WetLitterbags placem_collection'!W99)),"YES","NO")</f>
        <v>NO</v>
      </c>
      <c r="AC172" s="255" t="str">
        <f>IF(ISNUMBER(SEARCH("C", 'WetLitterbags placem_collection'!V99)),"YES","NO")</f>
        <v>NO</v>
      </c>
      <c r="AD172" s="255" t="str">
        <f>IF(ISNUMBER(SEARCH("H", 'WetLitterbags placem_collection'!V99)),"YES","NO")</f>
        <v>NO</v>
      </c>
      <c r="AE172" s="255" t="str">
        <f>IF(ISNUMBER(SEARCH("R", 'WetLitterbags placem_collection'!V99)),"YES","NO")</f>
        <v>NO</v>
      </c>
    </row>
    <row r="173" spans="2:31">
      <c r="B173" t="str">
        <f>'Final data_for_R_analysis_Wetse'!A99</f>
        <v>Wet</v>
      </c>
      <c r="C173" s="263">
        <f>'Final data_for_R_analysis_Wetse'!B99</f>
        <v>98</v>
      </c>
      <c r="D173" t="s">
        <v>3841</v>
      </c>
      <c r="E173" t="s">
        <v>22</v>
      </c>
      <c r="F173" s="386">
        <v>2</v>
      </c>
      <c r="G173" s="16">
        <f>'WetLitterbags placem_collection'!E100</f>
        <v>42762</v>
      </c>
      <c r="H173" t="str">
        <f>'Final data_for_R_analysis_Wetse'!J99</f>
        <v>G610</v>
      </c>
      <c r="I173" t="str">
        <f>'Final data_for_R_analysis_Wetse'!J319</f>
        <v>R489</v>
      </c>
      <c r="J173">
        <f>IFERROR(INDEX('Green_rooibos initial weight'!$C$5:$C$1749,MATCH(H173, 'Green_rooibos initial weight'!$A$5:$A$1749,0)),"")</f>
        <v>2.0379999999999998</v>
      </c>
      <c r="K173">
        <f>IFERROR(INDEX('Green_rooibos initial weight'!$C$5:$C$1749,MATCH(I173, 'Green_rooibos initial weight'!$A$5:$A$1749,0)),"")</f>
        <v>2.157</v>
      </c>
      <c r="L173" s="195">
        <f t="shared" si="11"/>
        <v>1.7881999999999998</v>
      </c>
      <c r="M173" s="195">
        <f>AVERAGE(Ashed_controlls!$K$2:$K$11)</f>
        <v>5.5147656768714146</v>
      </c>
      <c r="N173" s="195">
        <f t="shared" si="9"/>
        <v>1.9072</v>
      </c>
      <c r="O173" s="16">
        <f>IF('WetLitterbags placem_collection'!G100="N.A","",'WetLitterbags placem_collection'!G100)</f>
        <v>42816</v>
      </c>
      <c r="P173" s="195">
        <f>IF(IFERROR(INDEX('Both teabags AfterWet'!$C$3:$C$841,MATCH(H173,'Both teabags AfterWet'!$A$3:$A$841,0)),"")="N.A","",(IFERROR(INDEX('Both teabags AfterWet'!$C$3:$C$841,MATCH(H173,'Both teabags AfterWet'!$A$3:$A$841,0)),"")))</f>
        <v>0.56599999999999995</v>
      </c>
      <c r="Q173" s="195">
        <f>IFERROR(INDEX('Both teabags AfterWet'!$C$3:$C$841,MATCH(I173,'Both teabags AfterWet'!$A$3:$A$841,0)),"")</f>
        <v>1.5389999999999999</v>
      </c>
      <c r="R173" s="195">
        <f t="shared" si="12"/>
        <v>0.41539999999999994</v>
      </c>
      <c r="S173" s="195">
        <f t="shared" si="12"/>
        <v>1.3883999999999999</v>
      </c>
      <c r="T173" s="195">
        <f t="shared" si="13"/>
        <v>0.76769936248741755</v>
      </c>
      <c r="U173" s="195">
        <f t="shared" si="14"/>
        <v>0.50328984334091986</v>
      </c>
      <c r="V173" s="195">
        <f t="shared" si="15"/>
        <v>0.727978187919463</v>
      </c>
      <c r="W173">
        <f t="shared" si="10"/>
        <v>54</v>
      </c>
      <c r="X173" s="195">
        <f t="shared" si="16"/>
        <v>8.8243037425869919E-2</v>
      </c>
      <c r="Y173" s="195">
        <f t="shared" si="17"/>
        <v>1.439979420516143E-2</v>
      </c>
      <c r="Z173" s="255" t="str">
        <f>IF(ISNUMBER(SEARCH("C",'WetLitterbags placem_collection'!W100)),"YES","NO")</f>
        <v>NO</v>
      </c>
      <c r="AA173" s="255" t="str">
        <f>IF(ISNUMBER(SEARCH("H", 'WetLitterbags placem_collection'!W100)),"YES","NO")</f>
        <v>NO</v>
      </c>
      <c r="AB173" s="255" t="str">
        <f>IF(ISNUMBER(SEARCH("R", 'WetLitterbags placem_collection'!W100)),"YES","NO")</f>
        <v>NO</v>
      </c>
      <c r="AC173" s="255" t="str">
        <f>IF(ISNUMBER(SEARCH("C", 'WetLitterbags placem_collection'!V100)),"YES","NO")</f>
        <v>NO</v>
      </c>
      <c r="AD173" s="255" t="str">
        <f>IF(ISNUMBER(SEARCH("H", 'WetLitterbags placem_collection'!V100)),"YES","NO")</f>
        <v>NO</v>
      </c>
      <c r="AE173" s="255" t="str">
        <f>IF(ISNUMBER(SEARCH("R", 'WetLitterbags placem_collection'!V100)),"YES","NO")</f>
        <v>NO</v>
      </c>
    </row>
    <row r="174" spans="2:31">
      <c r="B174" t="str">
        <f>'Final data_for_R_analysis_Wetse'!A100</f>
        <v>Wet</v>
      </c>
      <c r="C174" s="263">
        <f>'Final data_for_R_analysis_Wetse'!B100</f>
        <v>99</v>
      </c>
      <c r="D174" t="s">
        <v>3841</v>
      </c>
      <c r="E174" t="s">
        <v>22</v>
      </c>
      <c r="F174" s="386">
        <v>3</v>
      </c>
      <c r="G174" s="16">
        <f>'WetLitterbags placem_collection'!E101</f>
        <v>42762</v>
      </c>
      <c r="H174" t="str">
        <f>'Final data_for_R_analysis_Wetse'!J100</f>
        <v>G765</v>
      </c>
      <c r="I174" t="str">
        <f>'Final data_for_R_analysis_Wetse'!J320</f>
        <v>R549</v>
      </c>
      <c r="J174">
        <f>IFERROR(INDEX('Green_rooibos initial weight'!$C$5:$C$1749,MATCH(H174, 'Green_rooibos initial weight'!$A$5:$A$1749,0)),"")</f>
        <v>2.08</v>
      </c>
      <c r="K174">
        <f>IFERROR(INDEX('Green_rooibos initial weight'!$C$5:$C$1749,MATCH(I174, 'Green_rooibos initial weight'!$A$5:$A$1749,0)),"")</f>
        <v>2.2320000000000002</v>
      </c>
      <c r="L174" s="195">
        <f t="shared" si="11"/>
        <v>1.8302</v>
      </c>
      <c r="M174" s="195">
        <f>AVERAGE(Ashed_controlls!$K$2:$K$11)</f>
        <v>5.5147656768714146</v>
      </c>
      <c r="N174" s="195">
        <f t="shared" si="9"/>
        <v>1.9822000000000002</v>
      </c>
      <c r="O174" s="16">
        <f>IF('WetLitterbags placem_collection'!G101="N.A","",'WetLitterbags placem_collection'!G101)</f>
        <v>42816</v>
      </c>
      <c r="P174" s="195">
        <f>IF(IFERROR(INDEX('Both teabags AfterWet'!$C$3:$C$841,MATCH(H174,'Both teabags AfterWet'!$A$3:$A$841,0)),"")="N.A","",(IFERROR(INDEX('Both teabags AfterWet'!$C$3:$C$841,MATCH(H174,'Both teabags AfterWet'!$A$3:$A$841,0)),"")))</f>
        <v>0.65149999999999997</v>
      </c>
      <c r="Q174" s="195">
        <f>IFERROR(INDEX('Both teabags AfterWet'!$C$3:$C$841,MATCH(I174,'Both teabags AfterWet'!$A$3:$A$841,0)),"")</f>
        <v>1.5992</v>
      </c>
      <c r="R174" s="195">
        <f t="shared" si="12"/>
        <v>0.5008999999999999</v>
      </c>
      <c r="S174" s="195">
        <f t="shared" si="12"/>
        <v>1.4485999999999999</v>
      </c>
      <c r="T174" s="195">
        <f t="shared" si="13"/>
        <v>0.72631406403671739</v>
      </c>
      <c r="U174" s="195">
        <f t="shared" si="14"/>
        <v>0.4761583887746651</v>
      </c>
      <c r="V174" s="195">
        <f t="shared" si="15"/>
        <v>0.73080415699727563</v>
      </c>
      <c r="W174">
        <f t="shared" si="10"/>
        <v>54</v>
      </c>
      <c r="X174" s="195">
        <f t="shared" si="16"/>
        <v>0.13739422323430239</v>
      </c>
      <c r="Y174" s="195">
        <f t="shared" si="17"/>
        <v>1.542986499657268E-2</v>
      </c>
      <c r="Z174" s="255" t="str">
        <f>IF(ISNUMBER(SEARCH("C",'WetLitterbags placem_collection'!W101)),"YES","NO")</f>
        <v>NO</v>
      </c>
      <c r="AA174" s="255" t="str">
        <f>IF(ISNUMBER(SEARCH("H", 'WetLitterbags placem_collection'!W101)),"YES","NO")</f>
        <v>NO</v>
      </c>
      <c r="AB174" s="255" t="str">
        <f>IF(ISNUMBER(SEARCH("R", 'WetLitterbags placem_collection'!W101)),"YES","NO")</f>
        <v>YES</v>
      </c>
      <c r="AC174" s="255" t="str">
        <f>IF(ISNUMBER(SEARCH("C", 'WetLitterbags placem_collection'!V101)),"YES","NO")</f>
        <v>NO</v>
      </c>
      <c r="AD174" s="255" t="str">
        <f>IF(ISNUMBER(SEARCH("H", 'WetLitterbags placem_collection'!V101)),"YES","NO")</f>
        <v>NO</v>
      </c>
      <c r="AE174" s="255" t="str">
        <f>IF(ISNUMBER(SEARCH("R", 'WetLitterbags placem_collection'!V101)),"YES","NO")</f>
        <v>YES</v>
      </c>
    </row>
    <row r="175" spans="2:31">
      <c r="B175" t="str">
        <f>'Final data_for_R_analysis_Wetse'!A101</f>
        <v>Wet</v>
      </c>
      <c r="C175" s="263">
        <f>'Final data_for_R_analysis_Wetse'!B101</f>
        <v>100</v>
      </c>
      <c r="D175" t="s">
        <v>3841</v>
      </c>
      <c r="E175" t="s">
        <v>22</v>
      </c>
      <c r="F175" s="387">
        <v>4</v>
      </c>
      <c r="G175" s="16">
        <f>'WetLitterbags placem_collection'!E102</f>
        <v>42762</v>
      </c>
      <c r="H175" t="str">
        <f>'Final data_for_R_analysis_Wetse'!J101</f>
        <v>G728</v>
      </c>
      <c r="I175" t="str">
        <f>'Final data_for_R_analysis_Wetse'!J321</f>
        <v>R500</v>
      </c>
      <c r="J175">
        <f>IFERROR(INDEX('Green_rooibos initial weight'!$C$5:$C$1749,MATCH(H175, 'Green_rooibos initial weight'!$A$5:$A$1749,0)),"")</f>
        <v>1.962</v>
      </c>
      <c r="K175">
        <f>IFERROR(INDEX('Green_rooibos initial weight'!$C$5:$C$1749,MATCH(I175, 'Green_rooibos initial weight'!$A$5:$A$1749,0)),"")</f>
        <v>2.2069999999999999</v>
      </c>
      <c r="L175" s="195">
        <f t="shared" si="11"/>
        <v>1.7121999999999999</v>
      </c>
      <c r="M175" s="195">
        <f>AVERAGE(Ashed_controlls!$K$2:$K$11)</f>
        <v>5.5147656768714146</v>
      </c>
      <c r="N175" s="195">
        <f t="shared" si="9"/>
        <v>1.9571999999999998</v>
      </c>
      <c r="O175" s="16">
        <f>IF('WetLitterbags placem_collection'!G102="N.A","",'WetLitterbags placem_collection'!G102)</f>
        <v>42816</v>
      </c>
      <c r="P175" s="195">
        <f>IF(IFERROR(INDEX('Both teabags AfterWet'!$C$3:$C$841,MATCH(H175,'Both teabags AfterWet'!$A$3:$A$841,0)),"")="N.A","",(IFERROR(INDEX('Both teabags AfterWet'!$C$3:$C$841,MATCH(H175,'Both teabags AfterWet'!$A$3:$A$841,0)),"")))</f>
        <v>0.59699999999999998</v>
      </c>
      <c r="Q175" s="195">
        <f>IFERROR(INDEX('Both teabags AfterWet'!$C$3:$C$841,MATCH(I175,'Both teabags AfterWet'!$A$3:$A$841,0)),"")</f>
        <v>1.764</v>
      </c>
      <c r="R175" s="195">
        <f t="shared" si="12"/>
        <v>0.44639999999999996</v>
      </c>
      <c r="S175" s="195">
        <f t="shared" si="12"/>
        <v>1.6133999999999999</v>
      </c>
      <c r="T175" s="195">
        <f t="shared" si="13"/>
        <v>0.73928279406611375</v>
      </c>
      <c r="U175" s="195">
        <f t="shared" si="14"/>
        <v>0.48466045406709601</v>
      </c>
      <c r="V175" s="195">
        <f t="shared" si="15"/>
        <v>0.8243408951563459</v>
      </c>
      <c r="W175">
        <f t="shared" si="10"/>
        <v>54</v>
      </c>
      <c r="X175" s="195">
        <f t="shared" si="16"/>
        <v>0.12199193103786965</v>
      </c>
      <c r="Y175" s="195">
        <f t="shared" si="17"/>
        <v>8.3352390322704983E-3</v>
      </c>
      <c r="Z175" s="255" t="str">
        <f>IF(ISNUMBER(SEARCH("C",'WetLitterbags placem_collection'!W102)),"YES","NO")</f>
        <v>YES</v>
      </c>
      <c r="AA175" s="255" t="str">
        <f>IF(ISNUMBER(SEARCH("H", 'WetLitterbags placem_collection'!W102)),"YES","NO")</f>
        <v>YES</v>
      </c>
      <c r="AB175" s="255" t="str">
        <f>IF(ISNUMBER(SEARCH("R", 'WetLitterbags placem_collection'!W102)),"YES","NO")</f>
        <v>NO</v>
      </c>
      <c r="AC175" s="255" t="str">
        <f>IF(ISNUMBER(SEARCH("C", 'WetLitterbags placem_collection'!V102)),"YES","NO")</f>
        <v>YES</v>
      </c>
      <c r="AD175" s="255" t="str">
        <f>IF(ISNUMBER(SEARCH("H", 'WetLitterbags placem_collection'!V102)),"YES","NO")</f>
        <v>NO</v>
      </c>
      <c r="AE175" s="255" t="str">
        <f>IF(ISNUMBER(SEARCH("R", 'WetLitterbags placem_collection'!V102)),"YES","NO")</f>
        <v>NO</v>
      </c>
    </row>
    <row r="176" spans="2:31">
      <c r="B176" t="str">
        <f>'Final data_for_R_analysis_Wetse'!A102</f>
        <v>Wet</v>
      </c>
      <c r="C176" s="263">
        <f>'Final data_for_R_analysis_Wetse'!B102</f>
        <v>101</v>
      </c>
      <c r="D176" t="s">
        <v>3841</v>
      </c>
      <c r="E176" t="s">
        <v>22</v>
      </c>
      <c r="F176" s="387">
        <v>5</v>
      </c>
      <c r="G176" s="16">
        <f>'WetLitterbags placem_collection'!E103</f>
        <v>42762</v>
      </c>
      <c r="H176" t="str">
        <f>'Final data_for_R_analysis_Wetse'!J102</f>
        <v>G808</v>
      </c>
      <c r="I176" t="str">
        <f>'Final data_for_R_analysis_Wetse'!J322</f>
        <v>R482</v>
      </c>
      <c r="J176">
        <f>IFERROR(INDEX('Green_rooibos initial weight'!$C$5:$C$1749,MATCH(H176, 'Green_rooibos initial weight'!$A$5:$A$1749,0)),"")</f>
        <v>1.86</v>
      </c>
      <c r="K176">
        <f>IFERROR(INDEX('Green_rooibos initial weight'!$C$5:$C$1749,MATCH(I176, 'Green_rooibos initial weight'!$A$5:$A$1749,0)),"")</f>
        <v>2.17</v>
      </c>
      <c r="L176" s="195">
        <f t="shared" si="11"/>
        <v>1.6102000000000001</v>
      </c>
      <c r="M176" s="195">
        <f>AVERAGE(Ashed_controlls!$K$2:$K$11)</f>
        <v>5.5147656768714146</v>
      </c>
      <c r="N176" s="195">
        <f t="shared" si="9"/>
        <v>1.9201999999999999</v>
      </c>
      <c r="O176" s="16">
        <f>IF('WetLitterbags placem_collection'!G103="N.A","",'WetLitterbags placem_collection'!G103)</f>
        <v>42816</v>
      </c>
      <c r="P176" s="195">
        <f>IF(IFERROR(INDEX('Both teabags AfterWet'!$C$3:$C$841,MATCH(H176,'Both teabags AfterWet'!$A$3:$A$841,0)),"")="N.A","",(IFERROR(INDEX('Both teabags AfterWet'!$C$3:$C$841,MATCH(H176,'Both teabags AfterWet'!$A$3:$A$841,0)),"")))</f>
        <v>0.54810000000000003</v>
      </c>
      <c r="Q176" s="195">
        <f>IFERROR(INDEX('Both teabags AfterWet'!$C$3:$C$841,MATCH(I176,'Both teabags AfterWet'!$A$3:$A$841,0)),"")</f>
        <v>1.6348</v>
      </c>
      <c r="R176" s="195">
        <f t="shared" si="12"/>
        <v>0.39750000000000002</v>
      </c>
      <c r="S176" s="195">
        <f t="shared" si="12"/>
        <v>1.4842</v>
      </c>
      <c r="T176" s="195">
        <f t="shared" si="13"/>
        <v>0.75313625636566883</v>
      </c>
      <c r="U176" s="195">
        <f t="shared" si="14"/>
        <v>0.49374253386442907</v>
      </c>
      <c r="V176" s="195">
        <f t="shared" si="15"/>
        <v>0.77294031871680036</v>
      </c>
      <c r="W176">
        <f t="shared" si="10"/>
        <v>54</v>
      </c>
      <c r="X176" s="195">
        <f t="shared" si="16"/>
        <v>0.10553888792675903</v>
      </c>
      <c r="Y176" s="195">
        <f t="shared" si="17"/>
        <v>1.1406556675487834E-2</v>
      </c>
      <c r="Z176" s="255" t="str">
        <f>IF(ISNUMBER(SEARCH("C",'WetLitterbags placem_collection'!W103)),"YES","NO")</f>
        <v>NO</v>
      </c>
      <c r="AA176" s="255" t="str">
        <f>IF(ISNUMBER(SEARCH("H", 'WetLitterbags placem_collection'!W103)),"YES","NO")</f>
        <v>NO</v>
      </c>
      <c r="AB176" s="255" t="str">
        <f>IF(ISNUMBER(SEARCH("R", 'WetLitterbags placem_collection'!W103)),"YES","NO")</f>
        <v>NO</v>
      </c>
      <c r="AC176" s="255" t="str">
        <f>IF(ISNUMBER(SEARCH("C", 'WetLitterbags placem_collection'!V103)),"YES","NO")</f>
        <v>NO</v>
      </c>
      <c r="AD176" s="255" t="str">
        <f>IF(ISNUMBER(SEARCH("H", 'WetLitterbags placem_collection'!V103)),"YES","NO")</f>
        <v>YES</v>
      </c>
      <c r="AE176" s="255" t="str">
        <f>IF(ISNUMBER(SEARCH("R", 'WetLitterbags placem_collection'!V103)),"YES","NO")</f>
        <v>NO</v>
      </c>
    </row>
    <row r="177" spans="2:31">
      <c r="B177" t="str">
        <f>'Final data_for_R_analysis_Wetse'!A103</f>
        <v>Wet</v>
      </c>
      <c r="C177" s="263">
        <f>'Final data_for_R_analysis_Wetse'!B103</f>
        <v>102</v>
      </c>
      <c r="D177" t="s">
        <v>3841</v>
      </c>
      <c r="E177" t="s">
        <v>22</v>
      </c>
      <c r="F177" s="387">
        <v>6</v>
      </c>
      <c r="G177" s="16">
        <f>'WetLitterbags placem_collection'!E104</f>
        <v>42762</v>
      </c>
      <c r="H177" t="str">
        <f>'Final data_for_R_analysis_Wetse'!J103</f>
        <v>G892</v>
      </c>
      <c r="I177" t="str">
        <f>'Final data_for_R_analysis_Wetse'!J323</f>
        <v>R569</v>
      </c>
      <c r="J177">
        <f>IFERROR(INDEX('Green_rooibos initial weight'!$C$5:$C$1749,MATCH(H177, 'Green_rooibos initial weight'!$A$5:$A$1749,0)),"")</f>
        <v>1.9510000000000001</v>
      </c>
      <c r="K177">
        <f>IFERROR(INDEX('Green_rooibos initial weight'!$C$5:$C$1749,MATCH(I177, 'Green_rooibos initial weight'!$A$5:$A$1749,0)),"")</f>
        <v>2.0960000000000001</v>
      </c>
      <c r="L177" s="195">
        <f t="shared" si="11"/>
        <v>1.7012</v>
      </c>
      <c r="M177" s="195">
        <f>AVERAGE(Ashed_controlls!$K$2:$K$11)</f>
        <v>5.5147656768714146</v>
      </c>
      <c r="N177" s="195">
        <f t="shared" si="9"/>
        <v>1.8462000000000001</v>
      </c>
      <c r="O177" s="16">
        <f>IF('WetLitterbags placem_collection'!G104="N.A","",'WetLitterbags placem_collection'!G104)</f>
        <v>42816</v>
      </c>
      <c r="P177" s="195">
        <f>IF(IFERROR(INDEX('Both teabags AfterWet'!$C$3:$C$841,MATCH(H177,'Both teabags AfterWet'!$A$3:$A$841,0)),"")="N.A","",(IFERROR(INDEX('Both teabags AfterWet'!$C$3:$C$841,MATCH(H177,'Both teabags AfterWet'!$A$3:$A$841,0)),"")))</f>
        <v>0.63100000000000001</v>
      </c>
      <c r="Q177" s="195">
        <f>IFERROR(INDEX('Both teabags AfterWet'!$C$3:$C$841,MATCH(I177,'Both teabags AfterWet'!$A$3:$A$841,0)),"")</f>
        <v>1.655</v>
      </c>
      <c r="R177" s="195">
        <f t="shared" si="12"/>
        <v>0.48039999999999999</v>
      </c>
      <c r="S177" s="195">
        <f t="shared" si="12"/>
        <v>1.5044</v>
      </c>
      <c r="T177" s="195">
        <f t="shared" si="13"/>
        <v>0.71761109804843648</v>
      </c>
      <c r="U177" s="195">
        <f t="shared" si="14"/>
        <v>0.47045288138092273</v>
      </c>
      <c r="V177" s="195">
        <f t="shared" si="15"/>
        <v>0.81486296175928929</v>
      </c>
      <c r="W177">
        <f t="shared" si="10"/>
        <v>54</v>
      </c>
      <c r="X177" s="195">
        <f t="shared" si="16"/>
        <v>0.14773028735340088</v>
      </c>
      <c r="Y177" s="195">
        <f t="shared" si="17"/>
        <v>9.2610929625657219E-3</v>
      </c>
      <c r="Z177" s="255" t="str">
        <f>IF(ISNUMBER(SEARCH("C",'WetLitterbags placem_collection'!W104)),"YES","NO")</f>
        <v>NO</v>
      </c>
      <c r="AA177" s="255" t="str">
        <f>IF(ISNUMBER(SEARCH("H", 'WetLitterbags placem_collection'!W104)),"YES","NO")</f>
        <v>NO</v>
      </c>
      <c r="AB177" s="255" t="str">
        <f>IF(ISNUMBER(SEARCH("R", 'WetLitterbags placem_collection'!W104)),"YES","NO")</f>
        <v>NO</v>
      </c>
      <c r="AC177" s="255" t="str">
        <f>IF(ISNUMBER(SEARCH("C", 'WetLitterbags placem_collection'!V104)),"YES","NO")</f>
        <v>NO</v>
      </c>
      <c r="AD177" s="255" t="str">
        <f>IF(ISNUMBER(SEARCH("H", 'WetLitterbags placem_collection'!V104)),"YES","NO")</f>
        <v>NO</v>
      </c>
      <c r="AE177" s="255" t="str">
        <f>IF(ISNUMBER(SEARCH("R", 'WetLitterbags placem_collection'!V104)),"YES","NO")</f>
        <v>NO</v>
      </c>
    </row>
    <row r="178" spans="2:31">
      <c r="B178" t="str">
        <f>'Final data_for_R_analysis_Wetse'!A104</f>
        <v>Wet</v>
      </c>
      <c r="C178" s="263">
        <f>'Final data_for_R_analysis_Wetse'!B104</f>
        <v>103</v>
      </c>
      <c r="D178" t="s">
        <v>3841</v>
      </c>
      <c r="E178" t="s">
        <v>22</v>
      </c>
      <c r="F178" s="387">
        <v>7</v>
      </c>
      <c r="G178" s="16">
        <f>'WetLitterbags placem_collection'!E105</f>
        <v>42762</v>
      </c>
      <c r="H178" t="str">
        <f>'Final data_for_R_analysis_Wetse'!J104</f>
        <v>G869</v>
      </c>
      <c r="I178" t="str">
        <f>'Final data_for_R_analysis_Wetse'!J324</f>
        <v>R430</v>
      </c>
      <c r="J178">
        <f>IFERROR(INDEX('Green_rooibos initial weight'!$C$5:$C$1749,MATCH(H178, 'Green_rooibos initial weight'!$A$5:$A$1749,0)),"")</f>
        <v>2.0489999999999999</v>
      </c>
      <c r="K178">
        <f>IFERROR(INDEX('Green_rooibos initial weight'!$C$5:$C$1749,MATCH(I178, 'Green_rooibos initial weight'!$A$5:$A$1749,0)),"")</f>
        <v>2.1829999999999998</v>
      </c>
      <c r="L178" s="195">
        <f t="shared" si="11"/>
        <v>1.7991999999999999</v>
      </c>
      <c r="M178" s="195">
        <f>AVERAGE(Ashed_controlls!$K$2:$K$11)</f>
        <v>5.5147656768714146</v>
      </c>
      <c r="N178" s="195">
        <f t="shared" si="9"/>
        <v>1.9331999999999998</v>
      </c>
      <c r="O178" s="16">
        <f>IF('WetLitterbags placem_collection'!G105="N.A","",'WetLitterbags placem_collection'!G105)</f>
        <v>42816</v>
      </c>
      <c r="P178" s="195">
        <f>IF(IFERROR(INDEX('Both teabags AfterWet'!$C$3:$C$841,MATCH(H178,'Both teabags AfterWet'!$A$3:$A$841,0)),"")="N.A","",(IFERROR(INDEX('Both teabags AfterWet'!$C$3:$C$841,MATCH(H178,'Both teabags AfterWet'!$A$3:$A$841,0)),"")))</f>
        <v>0.55800000000000005</v>
      </c>
      <c r="Q178" s="195">
        <f>IFERROR(INDEX('Both teabags AfterWet'!$C$3:$C$841,MATCH(I178,'Both teabags AfterWet'!$A$3:$A$841,0)),"")</f>
        <v>1.629</v>
      </c>
      <c r="R178" s="195">
        <f t="shared" si="12"/>
        <v>0.40740000000000004</v>
      </c>
      <c r="S178" s="195">
        <f t="shared" si="12"/>
        <v>1.4783999999999999</v>
      </c>
      <c r="T178" s="195">
        <f t="shared" si="13"/>
        <v>0.77356602934637619</v>
      </c>
      <c r="U178" s="195">
        <f t="shared" si="14"/>
        <v>0.50713592422707809</v>
      </c>
      <c r="V178" s="195">
        <f t="shared" si="15"/>
        <v>0.76474239602731231</v>
      </c>
      <c r="W178">
        <f t="shared" si="10"/>
        <v>54</v>
      </c>
      <c r="X178" s="195">
        <f t="shared" si="16"/>
        <v>8.1275499588626787E-2</v>
      </c>
      <c r="Y178" s="195">
        <f t="shared" si="17"/>
        <v>1.1544897196004269E-2</v>
      </c>
      <c r="Z178" s="255" t="str">
        <f>IF(ISNUMBER(SEARCH("C",'WetLitterbags placem_collection'!W105)),"YES","NO")</f>
        <v>NO</v>
      </c>
      <c r="AA178" s="255" t="str">
        <f>IF(ISNUMBER(SEARCH("H", 'WetLitterbags placem_collection'!W105)),"YES","NO")</f>
        <v>NO</v>
      </c>
      <c r="AB178" s="255" t="str">
        <f>IF(ISNUMBER(SEARCH("R", 'WetLitterbags placem_collection'!W105)),"YES","NO")</f>
        <v>NO</v>
      </c>
      <c r="AC178" s="255" t="str">
        <f>IF(ISNUMBER(SEARCH("C", 'WetLitterbags placem_collection'!V105)),"YES","NO")</f>
        <v>NO</v>
      </c>
      <c r="AD178" s="255" t="str">
        <f>IF(ISNUMBER(SEARCH("H", 'WetLitterbags placem_collection'!V105)),"YES","NO")</f>
        <v>NO</v>
      </c>
      <c r="AE178" s="255" t="str">
        <f>IF(ISNUMBER(SEARCH("R", 'WetLitterbags placem_collection'!V105)),"YES","NO")</f>
        <v>NO</v>
      </c>
    </row>
    <row r="179" spans="2:31">
      <c r="B179" t="str">
        <f>'Final data_for_R_analysis_Wetse'!A105</f>
        <v>Wet</v>
      </c>
      <c r="C179" s="263">
        <f>'Final data_for_R_analysis_Wetse'!B105</f>
        <v>104</v>
      </c>
      <c r="D179" t="s">
        <v>3841</v>
      </c>
      <c r="E179" t="s">
        <v>22</v>
      </c>
      <c r="F179" s="387">
        <v>8</v>
      </c>
      <c r="G179" s="16">
        <f>'WetLitterbags placem_collection'!E106</f>
        <v>42762</v>
      </c>
      <c r="H179" t="str">
        <f>'Final data_for_R_analysis_Wetse'!J105</f>
        <v>G881</v>
      </c>
      <c r="I179" t="str">
        <f>'Final data_for_R_analysis_Wetse'!J325</f>
        <v>R577</v>
      </c>
      <c r="J179">
        <f>IFERROR(INDEX('Green_rooibos initial weight'!$C$5:$C$1749,MATCH(H179, 'Green_rooibos initial weight'!$A$5:$A$1749,0)),"")</f>
        <v>1.9570000000000001</v>
      </c>
      <c r="K179">
        <f>IFERROR(INDEX('Green_rooibos initial weight'!$C$5:$C$1749,MATCH(I179, 'Green_rooibos initial weight'!$A$5:$A$1749,0)),"")</f>
        <v>2.0859999999999999</v>
      </c>
      <c r="L179" s="195">
        <f t="shared" si="11"/>
        <v>1.7072000000000001</v>
      </c>
      <c r="M179" s="195">
        <f>AVERAGE(Ashed_controlls!$K$2:$K$11)</f>
        <v>5.5147656768714146</v>
      </c>
      <c r="N179" s="195">
        <f t="shared" si="9"/>
        <v>1.8361999999999998</v>
      </c>
      <c r="O179" s="16">
        <f>IF('WetLitterbags placem_collection'!G106="N.A","",'WetLitterbags placem_collection'!G106)</f>
        <v>42816</v>
      </c>
      <c r="P179" s="195">
        <f>IF(IFERROR(INDEX('Both teabags AfterWet'!$C$3:$C$841,MATCH(H179,'Both teabags AfterWet'!$A$3:$A$841,0)),"")="N.A","",(IFERROR(INDEX('Both teabags AfterWet'!$C$3:$C$841,MATCH(H179,'Both teabags AfterWet'!$A$3:$A$841,0)),"")))</f>
        <v>0.61</v>
      </c>
      <c r="Q179" s="195">
        <f>IFERROR(INDEX('Both teabags AfterWet'!$C$3:$C$841,MATCH(I179,'Both teabags AfterWet'!$A$3:$A$841,0)),"")</f>
        <v>1.4470000000000001</v>
      </c>
      <c r="R179" s="195">
        <f t="shared" si="12"/>
        <v>0.45939999999999998</v>
      </c>
      <c r="S179" s="195">
        <f t="shared" si="12"/>
        <v>1.2964</v>
      </c>
      <c r="T179" s="195">
        <f t="shared" si="13"/>
        <v>0.73090440487347708</v>
      </c>
      <c r="U179" s="195">
        <f t="shared" si="14"/>
        <v>0.47916773336123442</v>
      </c>
      <c r="V179" s="195">
        <f t="shared" si="15"/>
        <v>0.70602330900773347</v>
      </c>
      <c r="W179">
        <f t="shared" si="10"/>
        <v>54</v>
      </c>
      <c r="X179" s="195">
        <f t="shared" si="16"/>
        <v>0.13194251202674934</v>
      </c>
      <c r="Y179" s="195">
        <f t="shared" si="17"/>
        <v>1.7604865860036067E-2</v>
      </c>
      <c r="Z179" s="255" t="str">
        <f>IF(ISNUMBER(SEARCH("C",'WetLitterbags placem_collection'!W106)),"YES","NO")</f>
        <v>NO</v>
      </c>
      <c r="AA179" s="255" t="str">
        <f>IF(ISNUMBER(SEARCH("H", 'WetLitterbags placem_collection'!W106)),"YES","NO")</f>
        <v>NO</v>
      </c>
      <c r="AB179" s="255" t="str">
        <f>IF(ISNUMBER(SEARCH("R", 'WetLitterbags placem_collection'!W106)),"YES","NO")</f>
        <v>NO</v>
      </c>
      <c r="AC179" s="255" t="str">
        <f>IF(ISNUMBER(SEARCH("C", 'WetLitterbags placem_collection'!V106)),"YES","NO")</f>
        <v>NO</v>
      </c>
      <c r="AD179" s="255" t="str">
        <f>IF(ISNUMBER(SEARCH("H", 'WetLitterbags placem_collection'!V106)),"YES","NO")</f>
        <v>NO</v>
      </c>
      <c r="AE179" s="255" t="str">
        <f>IF(ISNUMBER(SEARCH("R", 'WetLitterbags placem_collection'!V106)),"YES","NO")</f>
        <v>NO</v>
      </c>
    </row>
    <row r="180" spans="2:31">
      <c r="B180" t="str">
        <f>'Final data_for_R_analysis_Wetse'!A106</f>
        <v>Wet</v>
      </c>
      <c r="C180" s="263">
        <f>'Final data_for_R_analysis_Wetse'!B106</f>
        <v>105</v>
      </c>
      <c r="D180" t="s">
        <v>3843</v>
      </c>
      <c r="E180" t="s">
        <v>22</v>
      </c>
      <c r="F180" s="386">
        <v>1</v>
      </c>
      <c r="G180" s="16">
        <f>'WetLitterbags placem_collection'!E107</f>
        <v>42762</v>
      </c>
      <c r="H180" t="str">
        <f>'Final data_for_R_analysis_Wetse'!J106</f>
        <v>G729</v>
      </c>
      <c r="I180" t="str">
        <f>'Final data_for_R_analysis_Wetse'!J326</f>
        <v>R548</v>
      </c>
      <c r="J180">
        <f>IFERROR(INDEX('Green_rooibos initial weight'!$C$5:$C$1749,MATCH(H180, 'Green_rooibos initial weight'!$A$5:$A$1749,0)),"")</f>
        <v>1.984</v>
      </c>
      <c r="K180">
        <f>IFERROR(INDEX('Green_rooibos initial weight'!$C$5:$C$1749,MATCH(I180, 'Green_rooibos initial weight'!$A$5:$A$1749,0)),"")</f>
        <v>2.1920000000000002</v>
      </c>
      <c r="L180" s="195">
        <f t="shared" si="11"/>
        <v>1.7342</v>
      </c>
      <c r="M180" s="195">
        <f>AVERAGE(Ashed_controlls!$K$2:$K$11)</f>
        <v>5.5147656768714146</v>
      </c>
      <c r="N180" s="195">
        <f t="shared" si="9"/>
        <v>1.9422000000000001</v>
      </c>
      <c r="O180" s="16">
        <f>IF('WetLitterbags placem_collection'!G107="N.A","",'WetLitterbags placem_collection'!G107)</f>
        <v>42816</v>
      </c>
      <c r="P180" s="195">
        <f>IF(IFERROR(INDEX('Both teabags AfterWet'!$C$3:$C$841,MATCH(H180,'Both teabags AfterWet'!$A$3:$A$841,0)),"")="N.A","",(IFERROR(INDEX('Both teabags AfterWet'!$C$3:$C$841,MATCH(H180,'Both teabags AfterWet'!$A$3:$A$841,0)),"")))</f>
        <v>0.72399999999999998</v>
      </c>
      <c r="Q180" s="195">
        <f>IFERROR(INDEX('Both teabags AfterWet'!$C$3:$C$841,MATCH(I180,'Both teabags AfterWet'!$A$3:$A$841,0)),"")</f>
        <v>1.859</v>
      </c>
      <c r="R180" s="195">
        <f t="shared" si="12"/>
        <v>0.57339999999999991</v>
      </c>
      <c r="S180" s="195">
        <f t="shared" si="12"/>
        <v>1.7083999999999999</v>
      </c>
      <c r="T180" s="195">
        <f t="shared" si="13"/>
        <v>0.66935762887786887</v>
      </c>
      <c r="U180" s="195">
        <f t="shared" si="14"/>
        <v>0.43881877807670272</v>
      </c>
      <c r="V180" s="195">
        <f t="shared" si="15"/>
        <v>0.87962104829574694</v>
      </c>
      <c r="W180">
        <f t="shared" si="10"/>
        <v>54</v>
      </c>
      <c r="X180" s="195">
        <f t="shared" si="16"/>
        <v>0.20503844551321981</v>
      </c>
      <c r="Y180" s="195">
        <f t="shared" si="17"/>
        <v>5.9380183827362062E-3</v>
      </c>
      <c r="Z180" s="255" t="str">
        <f>IF(ISNUMBER(SEARCH("C",'WetLitterbags placem_collection'!W107)),"YES","NO")</f>
        <v>NO</v>
      </c>
      <c r="AA180" s="255" t="str">
        <f>IF(ISNUMBER(SEARCH("H", 'WetLitterbags placem_collection'!W107)),"YES","NO")</f>
        <v>NO</v>
      </c>
      <c r="AB180" s="255" t="str">
        <f>IF(ISNUMBER(SEARCH("R", 'WetLitterbags placem_collection'!W107)),"YES","NO")</f>
        <v>YES</v>
      </c>
      <c r="AC180" s="255" t="str">
        <f>IF(ISNUMBER(SEARCH("C", 'WetLitterbags placem_collection'!V107)),"YES","NO")</f>
        <v>NO</v>
      </c>
      <c r="AD180" s="255" t="str">
        <f>IF(ISNUMBER(SEARCH("H", 'WetLitterbags placem_collection'!V107)),"YES","NO")</f>
        <v>NO</v>
      </c>
      <c r="AE180" s="255" t="str">
        <f>IF(ISNUMBER(SEARCH("R", 'WetLitterbags placem_collection'!V107)),"YES","NO")</f>
        <v>NO</v>
      </c>
    </row>
    <row r="181" spans="2:31">
      <c r="B181" t="str">
        <f>'Final data_for_R_analysis_Wetse'!A107</f>
        <v>Wet</v>
      </c>
      <c r="C181" s="263">
        <f>'Final data_for_R_analysis_Wetse'!B107</f>
        <v>106</v>
      </c>
      <c r="D181" t="s">
        <v>3843</v>
      </c>
      <c r="E181" t="s">
        <v>22</v>
      </c>
      <c r="F181" s="386">
        <v>2</v>
      </c>
      <c r="G181" s="16">
        <f>'WetLitterbags placem_collection'!E108</f>
        <v>42762</v>
      </c>
      <c r="H181" t="str">
        <f>'Final data_for_R_analysis_Wetse'!J107</f>
        <v>G837</v>
      </c>
      <c r="I181" t="str">
        <f>'Final data_for_R_analysis_Wetse'!J327</f>
        <v>R590</v>
      </c>
      <c r="J181">
        <f>IFERROR(INDEX('Green_rooibos initial weight'!$C$5:$C$1749,MATCH(H181, 'Green_rooibos initial weight'!$A$5:$A$1749,0)),"")</f>
        <v>1.1910000000000001</v>
      </c>
      <c r="K181">
        <f>IFERROR(INDEX('Green_rooibos initial weight'!$C$5:$C$1749,MATCH(I181, 'Green_rooibos initial weight'!$A$5:$A$1749,0)),"")</f>
        <v>2.218</v>
      </c>
      <c r="L181" s="195">
        <f t="shared" si="11"/>
        <v>0.94120000000000004</v>
      </c>
      <c r="M181" s="195">
        <f>AVERAGE(Ashed_controlls!$K$2:$K$11)</f>
        <v>5.5147656768714146</v>
      </c>
      <c r="N181" s="195">
        <f t="shared" si="9"/>
        <v>1.9681999999999999</v>
      </c>
      <c r="O181" s="16">
        <f>IF('WetLitterbags placem_collection'!G108="N.A","",'WetLitterbags placem_collection'!G108)</f>
        <v>42816</v>
      </c>
      <c r="P181" s="195">
        <f>IF(IFERROR(INDEX('Both teabags AfterWet'!$C$3:$C$841,MATCH(H181,'Both teabags AfterWet'!$A$3:$A$841,0)),"")="N.A","",(IFERROR(INDEX('Both teabags AfterWet'!$C$3:$C$841,MATCH(H181,'Both teabags AfterWet'!$A$3:$A$841,0)),"")))</f>
        <v>0.62</v>
      </c>
      <c r="Q181" s="195">
        <f>IFERROR(INDEX('Both teabags AfterWet'!$C$3:$C$841,MATCH(I181,'Both teabags AfterWet'!$A$3:$A$841,0)),"")</f>
        <v>1.7769999999999999</v>
      </c>
      <c r="R181" s="195">
        <f t="shared" si="12"/>
        <v>0.46939999999999998</v>
      </c>
      <c r="S181" s="195">
        <f t="shared" si="12"/>
        <v>1.6263999999999998</v>
      </c>
      <c r="T181" s="195">
        <f t="shared" si="13"/>
        <v>0.50127496812579686</v>
      </c>
      <c r="U181" s="195">
        <f t="shared" si="14"/>
        <v>0.32862681995895476</v>
      </c>
      <c r="V181" s="195">
        <f t="shared" si="15"/>
        <v>0.82633878670866778</v>
      </c>
      <c r="W181">
        <f t="shared" si="10"/>
        <v>54</v>
      </c>
      <c r="X181" s="195">
        <f t="shared" si="16"/>
        <v>0.40466155804537185</v>
      </c>
      <c r="Y181" s="195">
        <f t="shared" si="17"/>
        <v>1.3920733727902836E-2</v>
      </c>
      <c r="Z181" s="255" t="str">
        <f>IF(ISNUMBER(SEARCH("C",'WetLitterbags placem_collection'!W108)),"YES","NO")</f>
        <v>NO</v>
      </c>
      <c r="AA181" s="255" t="str">
        <f>IF(ISNUMBER(SEARCH("H", 'WetLitterbags placem_collection'!W108)),"YES","NO")</f>
        <v>NO</v>
      </c>
      <c r="AB181" s="255" t="str">
        <f>IF(ISNUMBER(SEARCH("R", 'WetLitterbags placem_collection'!W108)),"YES","NO")</f>
        <v>YES</v>
      </c>
      <c r="AC181" s="255" t="str">
        <f>IF(ISNUMBER(SEARCH("C", 'WetLitterbags placem_collection'!V108)),"YES","NO")</f>
        <v>NO</v>
      </c>
      <c r="AD181" s="255" t="str">
        <f>IF(ISNUMBER(SEARCH("H", 'WetLitterbags placem_collection'!V108)),"YES","NO")</f>
        <v>NO</v>
      </c>
      <c r="AE181" s="255" t="str">
        <f>IF(ISNUMBER(SEARCH("R", 'WetLitterbags placem_collection'!V108)),"YES","NO")</f>
        <v>YES</v>
      </c>
    </row>
    <row r="182" spans="2:31">
      <c r="B182" t="str">
        <f>'Final data_for_R_analysis_Wetse'!A108</f>
        <v>Wet</v>
      </c>
      <c r="C182" s="263">
        <f>'Final data_for_R_analysis_Wetse'!B108</f>
        <v>107</v>
      </c>
      <c r="D182" t="s">
        <v>3843</v>
      </c>
      <c r="E182" t="s">
        <v>22</v>
      </c>
      <c r="F182" s="386">
        <v>3</v>
      </c>
      <c r="G182" s="16">
        <f>'WetLitterbags placem_collection'!E109</f>
        <v>42762</v>
      </c>
      <c r="H182" t="str">
        <f>'Final data_for_R_analysis_Wetse'!J108</f>
        <v>G688</v>
      </c>
      <c r="I182" t="str">
        <f>'Final data_for_R_analysis_Wetse'!J328</f>
        <v>R574</v>
      </c>
      <c r="J182">
        <f>IFERROR(INDEX('Green_rooibos initial weight'!$C$5:$C$1749,MATCH(H182, 'Green_rooibos initial weight'!$A$5:$A$1749,0)),"")</f>
        <v>2.125</v>
      </c>
      <c r="K182">
        <f>IFERROR(INDEX('Green_rooibos initial weight'!$C$5:$C$1749,MATCH(I182, 'Green_rooibos initial weight'!$A$5:$A$1749,0)),"")</f>
        <v>2.16</v>
      </c>
      <c r="L182" s="195">
        <f t="shared" si="11"/>
        <v>1.8752</v>
      </c>
      <c r="M182" s="195">
        <f>AVERAGE(Ashed_controlls!$K$2:$K$11)</f>
        <v>5.5147656768714146</v>
      </c>
      <c r="N182" s="195">
        <f t="shared" si="9"/>
        <v>1.9102000000000001</v>
      </c>
      <c r="O182" s="16">
        <f>IF('WetLitterbags placem_collection'!G109="N.A","",'WetLitterbags placem_collection'!G109)</f>
        <v>42816</v>
      </c>
      <c r="P182" s="195">
        <f>IF(IFERROR(INDEX('Both teabags AfterWet'!$C$3:$C$841,MATCH(H182,'Both teabags AfterWet'!$A$3:$A$841,0)),"")="N.A","",(IFERROR(INDEX('Both teabags AfterWet'!$C$3:$C$841,MATCH(H182,'Both teabags AfterWet'!$A$3:$A$841,0)),"")))</f>
        <v>0.60899999999999999</v>
      </c>
      <c r="Q182" s="195">
        <f>IFERROR(INDEX('Both teabags AfterWet'!$C$3:$C$841,MATCH(I182,'Both teabags AfterWet'!$A$3:$A$841,0)),"")</f>
        <v>1.706</v>
      </c>
      <c r="R182" s="195">
        <f t="shared" si="12"/>
        <v>0.45839999999999997</v>
      </c>
      <c r="S182" s="195">
        <f t="shared" si="12"/>
        <v>1.5553999999999999</v>
      </c>
      <c r="T182" s="195">
        <f t="shared" si="13"/>
        <v>0.75554607508532423</v>
      </c>
      <c r="U182" s="195">
        <f t="shared" si="14"/>
        <v>0.49532236751436937</v>
      </c>
      <c r="V182" s="195">
        <f t="shared" si="15"/>
        <v>0.81426028688095475</v>
      </c>
      <c r="W182">
        <f t="shared" si="10"/>
        <v>54</v>
      </c>
      <c r="X182" s="195">
        <f t="shared" si="16"/>
        <v>0.10267687044498308</v>
      </c>
      <c r="Y182" s="195">
        <f t="shared" si="17"/>
        <v>8.7034015520679048E-3</v>
      </c>
      <c r="Z182" s="255" t="str">
        <f>IF(ISNUMBER(SEARCH("C",'WetLitterbags placem_collection'!W109)),"YES","NO")</f>
        <v>NO</v>
      </c>
      <c r="AA182" s="255" t="str">
        <f>IF(ISNUMBER(SEARCH("H", 'WetLitterbags placem_collection'!W109)),"YES","NO")</f>
        <v>NO</v>
      </c>
      <c r="AB182" s="255" t="str">
        <f>IF(ISNUMBER(SEARCH("R", 'WetLitterbags placem_collection'!W109)),"YES","NO")</f>
        <v>NO</v>
      </c>
      <c r="AC182" s="255" t="str">
        <f>IF(ISNUMBER(SEARCH("C", 'WetLitterbags placem_collection'!V109)),"YES","NO")</f>
        <v>NO</v>
      </c>
      <c r="AD182" s="255" t="str">
        <f>IF(ISNUMBER(SEARCH("H", 'WetLitterbags placem_collection'!V109)),"YES","NO")</f>
        <v>NO</v>
      </c>
      <c r="AE182" s="255" t="str">
        <f>IF(ISNUMBER(SEARCH("R", 'WetLitterbags placem_collection'!V109)),"YES","NO")</f>
        <v>YES</v>
      </c>
    </row>
    <row r="183" spans="2:31">
      <c r="B183" t="str">
        <f>'Final data_for_R_analysis_Wetse'!A109</f>
        <v>Wet</v>
      </c>
      <c r="C183" s="263">
        <f>'Final data_for_R_analysis_Wetse'!B109</f>
        <v>108</v>
      </c>
      <c r="D183" t="s">
        <v>3843</v>
      </c>
      <c r="E183" t="s">
        <v>22</v>
      </c>
      <c r="F183" s="387">
        <v>4</v>
      </c>
      <c r="G183" s="16">
        <f>'WetLitterbags placem_collection'!E110</f>
        <v>42762</v>
      </c>
      <c r="H183" t="str">
        <f>'Final data_for_R_analysis_Wetse'!J109</f>
        <v>G883</v>
      </c>
      <c r="I183" t="str">
        <f>'Final data_for_R_analysis_Wetse'!J329</f>
        <v>R8</v>
      </c>
      <c r="J183">
        <f>IFERROR(INDEX('Green_rooibos initial weight'!$C$5:$C$1749,MATCH(H183, 'Green_rooibos initial weight'!$A$5:$A$1749,0)),"")</f>
        <v>2.073</v>
      </c>
      <c r="K183">
        <f>IFERROR(INDEX('Green_rooibos initial weight'!$C$5:$C$1749,MATCH(I183, 'Green_rooibos initial weight'!$A$5:$A$1749,0)),"")</f>
        <v>2.23</v>
      </c>
      <c r="L183" s="195">
        <f t="shared" si="11"/>
        <v>1.8231999999999999</v>
      </c>
      <c r="M183" s="195">
        <f>AVERAGE(Ashed_controlls!$K$2:$K$11)</f>
        <v>5.5147656768714146</v>
      </c>
      <c r="N183" s="195">
        <f t="shared" si="9"/>
        <v>1.9802</v>
      </c>
      <c r="O183" s="16">
        <f>IF('WetLitterbags placem_collection'!G110="N.A","",'WetLitterbags placem_collection'!G110)</f>
        <v>42816</v>
      </c>
      <c r="P183" s="195">
        <f>IF(IFERROR(INDEX('Both teabags AfterWet'!$C$3:$C$841,MATCH(H183,'Both teabags AfterWet'!$A$3:$A$841,0)),"")="N.A","",(IFERROR(INDEX('Both teabags AfterWet'!$C$3:$C$841,MATCH(H183,'Both teabags AfterWet'!$A$3:$A$841,0)),"")))</f>
        <v>0.67200000000000004</v>
      </c>
      <c r="Q183" s="195">
        <f>IFERROR(INDEX('Both teabags AfterWet'!$C$3:$C$841,MATCH(I183,'Both teabags AfterWet'!$A$3:$A$841,0)),"")</f>
        <v>1.536</v>
      </c>
      <c r="R183" s="195">
        <f t="shared" si="12"/>
        <v>0.52140000000000009</v>
      </c>
      <c r="S183" s="195">
        <f t="shared" si="12"/>
        <v>1.3854</v>
      </c>
      <c r="T183" s="195">
        <f t="shared" si="13"/>
        <v>0.7140193067134708</v>
      </c>
      <c r="U183" s="195">
        <f t="shared" si="14"/>
        <v>0.46809816782165786</v>
      </c>
      <c r="V183" s="195">
        <f t="shared" si="15"/>
        <v>0.69962630037369966</v>
      </c>
      <c r="W183">
        <f t="shared" si="10"/>
        <v>54</v>
      </c>
      <c r="X183" s="195">
        <f t="shared" si="16"/>
        <v>0.15199607278685179</v>
      </c>
      <c r="Y183" s="195">
        <f t="shared" si="17"/>
        <v>1.900658280506929E-2</v>
      </c>
      <c r="Z183" s="255" t="str">
        <f>IF(ISNUMBER(SEARCH("C",'WetLitterbags placem_collection'!W110)),"YES","NO")</f>
        <v>NO</v>
      </c>
      <c r="AA183" s="255" t="str">
        <f>IF(ISNUMBER(SEARCH("H", 'WetLitterbags placem_collection'!W110)),"YES","NO")</f>
        <v>YES</v>
      </c>
      <c r="AB183" s="255" t="str">
        <f>IF(ISNUMBER(SEARCH("R", 'WetLitterbags placem_collection'!W110)),"YES","NO")</f>
        <v>NO</v>
      </c>
      <c r="AC183" s="255" t="str">
        <f>IF(ISNUMBER(SEARCH("C", 'WetLitterbags placem_collection'!V110)),"YES","NO")</f>
        <v>NO</v>
      </c>
      <c r="AD183" s="255" t="str">
        <f>IF(ISNUMBER(SEARCH("H", 'WetLitterbags placem_collection'!V110)),"YES","NO")</f>
        <v>NO</v>
      </c>
      <c r="AE183" s="255" t="str">
        <f>IF(ISNUMBER(SEARCH("R", 'WetLitterbags placem_collection'!V110)),"YES","NO")</f>
        <v>YES</v>
      </c>
    </row>
    <row r="184" spans="2:31">
      <c r="B184" t="str">
        <f>'Final data_for_R_analysis_Wetse'!A110</f>
        <v>Wet</v>
      </c>
      <c r="C184" s="263">
        <f>'Final data_for_R_analysis_Wetse'!B110</f>
        <v>109</v>
      </c>
      <c r="D184" t="s">
        <v>3843</v>
      </c>
      <c r="E184" t="s">
        <v>22</v>
      </c>
      <c r="F184" s="387">
        <v>5</v>
      </c>
      <c r="G184" s="16">
        <f>'WetLitterbags placem_collection'!E111</f>
        <v>42762</v>
      </c>
      <c r="H184" t="str">
        <f>'Final data_for_R_analysis_Wetse'!J110</f>
        <v>G704</v>
      </c>
      <c r="I184" t="str">
        <f>'Final data_for_R_analysis_Wetse'!J330</f>
        <v>R552</v>
      </c>
      <c r="J184">
        <f>IFERROR(INDEX('Green_rooibos initial weight'!$C$5:$C$1749,MATCH(H184, 'Green_rooibos initial weight'!$A$5:$A$1749,0)),"")</f>
        <v>2.0219999999999998</v>
      </c>
      <c r="K184">
        <f>IFERROR(INDEX('Green_rooibos initial weight'!$C$5:$C$1749,MATCH(I184, 'Green_rooibos initial weight'!$A$5:$A$1749,0)),"")</f>
        <v>2.222</v>
      </c>
      <c r="L184" s="195">
        <f t="shared" si="11"/>
        <v>1.7721999999999998</v>
      </c>
      <c r="M184" s="195">
        <f>AVERAGE(Ashed_controlls!$K$2:$K$11)</f>
        <v>5.5147656768714146</v>
      </c>
      <c r="N184" s="195">
        <f t="shared" si="9"/>
        <v>1.9722</v>
      </c>
      <c r="O184" s="16">
        <f>IF('WetLitterbags placem_collection'!G111="N.A","",'WetLitterbags placem_collection'!G111)</f>
        <v>42816</v>
      </c>
      <c r="P184" s="195">
        <f>IF(IFERROR(INDEX('Both teabags AfterWet'!$C$3:$C$841,MATCH(H184,'Both teabags AfterWet'!$A$3:$A$841,0)),"")="N.A","",(IFERROR(INDEX('Both teabags AfterWet'!$C$3:$C$841,MATCH(H184,'Both teabags AfterWet'!$A$3:$A$841,0)),"")))</f>
        <v>0.63019999999999998</v>
      </c>
      <c r="Q184" s="195">
        <f>IFERROR(INDEX('Both teabags AfterWet'!$C$3:$C$841,MATCH(I184,'Both teabags AfterWet'!$A$3:$A$841,0)),"")</f>
        <v>1.7532000000000001</v>
      </c>
      <c r="R184" s="195">
        <f t="shared" si="12"/>
        <v>0.47959999999999997</v>
      </c>
      <c r="S184" s="195">
        <f t="shared" si="12"/>
        <v>1.6026</v>
      </c>
      <c r="T184" s="195">
        <f t="shared" si="13"/>
        <v>0.72937591693939741</v>
      </c>
      <c r="U184" s="195">
        <f t="shared" si="14"/>
        <v>0.47816568426430806</v>
      </c>
      <c r="V184" s="195">
        <f t="shared" si="15"/>
        <v>0.81259507149376331</v>
      </c>
      <c r="W184">
        <f t="shared" si="10"/>
        <v>54</v>
      </c>
      <c r="X184" s="195">
        <f t="shared" si="16"/>
        <v>0.13375781836176082</v>
      </c>
      <c r="Y184" s="195">
        <f t="shared" si="17"/>
        <v>9.2121575623880722E-3</v>
      </c>
      <c r="Z184" s="255" t="str">
        <f>IF(ISNUMBER(SEARCH("C",'WetLitterbags placem_collection'!W111)),"YES","NO")</f>
        <v>NO</v>
      </c>
      <c r="AA184" s="255" t="str">
        <f>IF(ISNUMBER(SEARCH("H", 'WetLitterbags placem_collection'!W111)),"YES","NO")</f>
        <v>NO</v>
      </c>
      <c r="AB184" s="255" t="str">
        <f>IF(ISNUMBER(SEARCH("R", 'WetLitterbags placem_collection'!W111)),"YES","NO")</f>
        <v>NO</v>
      </c>
      <c r="AC184" s="255" t="str">
        <f>IF(ISNUMBER(SEARCH("C", 'WetLitterbags placem_collection'!V111)),"YES","NO")</f>
        <v>NO</v>
      </c>
      <c r="AD184" s="255" t="str">
        <f>IF(ISNUMBER(SEARCH("H", 'WetLitterbags placem_collection'!V111)),"YES","NO")</f>
        <v>YES</v>
      </c>
      <c r="AE184" s="255" t="str">
        <f>IF(ISNUMBER(SEARCH("R", 'WetLitterbags placem_collection'!V111)),"YES","NO")</f>
        <v>NO</v>
      </c>
    </row>
    <row r="185" spans="2:31">
      <c r="B185" t="str">
        <f>'Final data_for_R_analysis_Wetse'!A111</f>
        <v>Wet</v>
      </c>
      <c r="C185" s="263">
        <f>'Final data_for_R_analysis_Wetse'!B111</f>
        <v>110</v>
      </c>
      <c r="D185" t="s">
        <v>3843</v>
      </c>
      <c r="E185" t="s">
        <v>22</v>
      </c>
      <c r="F185" s="387">
        <v>6</v>
      </c>
      <c r="G185" s="16">
        <f>'WetLitterbags placem_collection'!E112</f>
        <v>42762</v>
      </c>
      <c r="H185" t="str">
        <f>'Final data_for_R_analysis_Wetse'!J111</f>
        <v>G742</v>
      </c>
      <c r="I185" t="str">
        <f>'Final data_for_R_analysis_Wetse'!J331</f>
        <v>R462</v>
      </c>
      <c r="J185">
        <f>IFERROR(INDEX('Green_rooibos initial weight'!$C$5:$C$1749,MATCH(H185, 'Green_rooibos initial weight'!$A$5:$A$1749,0)),"")</f>
        <v>2.0510000000000002</v>
      </c>
      <c r="K185">
        <f>IFERROR(INDEX('Green_rooibos initial weight'!$C$5:$C$1749,MATCH(I185, 'Green_rooibos initial weight'!$A$5:$A$1749,0)),"")</f>
        <v>2.226</v>
      </c>
      <c r="L185" s="195">
        <f t="shared" si="11"/>
        <v>1.8012000000000001</v>
      </c>
      <c r="M185" s="195">
        <f>AVERAGE(Ashed_controlls!$K$2:$K$11)</f>
        <v>5.5147656768714146</v>
      </c>
      <c r="N185" s="195">
        <f t="shared" si="9"/>
        <v>1.9762</v>
      </c>
      <c r="O185" s="16">
        <f>IF('WetLitterbags placem_collection'!G112="N.A","",'WetLitterbags placem_collection'!G112)</f>
        <v>42816</v>
      </c>
      <c r="P185" s="195">
        <f>IF(IFERROR(INDEX('Both teabags AfterWet'!$C$3:$C$841,MATCH(H185,'Both teabags AfterWet'!$A$3:$A$841,0)),"")="N.A","",(IFERROR(INDEX('Both teabags AfterWet'!$C$3:$C$841,MATCH(H185,'Both teabags AfterWet'!$A$3:$A$841,0)),"")))</f>
        <v>0.57879999999999998</v>
      </c>
      <c r="Q185" s="195">
        <f>IFERROR(INDEX('Both teabags AfterWet'!$C$3:$C$841,MATCH(I185,'Both teabags AfterWet'!$A$3:$A$841,0)),"")</f>
        <v>1.5465</v>
      </c>
      <c r="R185" s="195">
        <f t="shared" si="12"/>
        <v>0.42819999999999997</v>
      </c>
      <c r="S185" s="195">
        <f t="shared" si="12"/>
        <v>1.3958999999999999</v>
      </c>
      <c r="T185" s="195">
        <f t="shared" si="13"/>
        <v>0.76226959804574734</v>
      </c>
      <c r="U185" s="195">
        <f t="shared" si="14"/>
        <v>0.49973018779246153</v>
      </c>
      <c r="V185" s="195">
        <f t="shared" si="15"/>
        <v>0.70635563202105045</v>
      </c>
      <c r="W185">
        <f t="shared" si="10"/>
        <v>54</v>
      </c>
      <c r="X185" s="195">
        <f t="shared" si="16"/>
        <v>9.4691688781772698E-2</v>
      </c>
      <c r="Y185" s="195">
        <f t="shared" si="17"/>
        <v>1.6403252690472801E-2</v>
      </c>
      <c r="Z185" s="255" t="str">
        <f>IF(ISNUMBER(SEARCH("C",'WetLitterbags placem_collection'!W112)),"YES","NO")</f>
        <v>NO</v>
      </c>
      <c r="AA185" s="255" t="str">
        <f>IF(ISNUMBER(SEARCH("H", 'WetLitterbags placem_collection'!W112)),"YES","NO")</f>
        <v>NO</v>
      </c>
      <c r="AB185" s="255" t="str">
        <f>IF(ISNUMBER(SEARCH("R", 'WetLitterbags placem_collection'!W112)),"YES","NO")</f>
        <v>NO</v>
      </c>
      <c r="AC185" s="255" t="str">
        <f>IF(ISNUMBER(SEARCH("C", 'WetLitterbags placem_collection'!V112)),"YES","NO")</f>
        <v>NO</v>
      </c>
      <c r="AD185" s="255" t="str">
        <f>IF(ISNUMBER(SEARCH("H", 'WetLitterbags placem_collection'!V112)),"YES","NO")</f>
        <v>NO</v>
      </c>
      <c r="AE185" s="255" t="str">
        <f>IF(ISNUMBER(SEARCH("R", 'WetLitterbags placem_collection'!V112)),"YES","NO")</f>
        <v>NO</v>
      </c>
    </row>
    <row r="186" spans="2:31">
      <c r="B186" t="str">
        <f>'Final data_for_R_analysis_Wetse'!A112</f>
        <v>Wet</v>
      </c>
      <c r="C186" s="263">
        <f>'Final data_for_R_analysis_Wetse'!B112</f>
        <v>111</v>
      </c>
      <c r="D186" t="s">
        <v>3843</v>
      </c>
      <c r="E186" t="s">
        <v>22</v>
      </c>
      <c r="F186" s="387">
        <v>7</v>
      </c>
      <c r="G186" s="16">
        <f>'WetLitterbags placem_collection'!E113</f>
        <v>42762</v>
      </c>
      <c r="H186" t="str">
        <f>'Final data_for_R_analysis_Wetse'!J112</f>
        <v>G831</v>
      </c>
      <c r="I186" t="str">
        <f>'Final data_for_R_analysis_Wetse'!J332</f>
        <v>R505</v>
      </c>
      <c r="J186">
        <f>IFERROR(INDEX('Green_rooibos initial weight'!$C$5:$C$1749,MATCH(H186, 'Green_rooibos initial weight'!$A$5:$A$1749,0)),"")</f>
        <v>2.1190000000000002</v>
      </c>
      <c r="K186">
        <f>IFERROR(INDEX('Green_rooibos initial weight'!$C$5:$C$1749,MATCH(I186, 'Green_rooibos initial weight'!$A$5:$A$1749,0)),"")</f>
        <v>2.198</v>
      </c>
      <c r="L186" s="195">
        <f t="shared" si="11"/>
        <v>1.8692000000000002</v>
      </c>
      <c r="M186" s="195">
        <f>AVERAGE(Ashed_controlls!$K$2:$K$11)</f>
        <v>5.5147656768714146</v>
      </c>
      <c r="N186" s="195">
        <f t="shared" si="9"/>
        <v>1.9481999999999999</v>
      </c>
      <c r="O186" s="16">
        <f>IF('WetLitterbags placem_collection'!G113="N.A","",'WetLitterbags placem_collection'!G113)</f>
        <v>42816</v>
      </c>
      <c r="P186" s="195">
        <f>IF(IFERROR(INDEX('Both teabags AfterWet'!$C$3:$C$841,MATCH(H186,'Both teabags AfterWet'!$A$3:$A$841,0)),"")="N.A","",(IFERROR(INDEX('Both teabags AfterWet'!$C$3:$C$841,MATCH(H186,'Both teabags AfterWet'!$A$3:$A$841,0)),"")))</f>
        <v>0.66200000000000003</v>
      </c>
      <c r="Q186" s="195">
        <f>IFERROR(INDEX('Both teabags AfterWet'!$C$3:$C$841,MATCH(I186,'Both teabags AfterWet'!$A$3:$A$841,0)),"")</f>
        <v>1.673</v>
      </c>
      <c r="R186" s="195">
        <f t="shared" si="12"/>
        <v>0.51140000000000008</v>
      </c>
      <c r="S186" s="195">
        <f t="shared" si="12"/>
        <v>1.5224</v>
      </c>
      <c r="T186" s="195">
        <f t="shared" si="13"/>
        <v>0.72640701904558092</v>
      </c>
      <c r="U186" s="195">
        <f t="shared" si="14"/>
        <v>0.47621932840042841</v>
      </c>
      <c r="V186" s="195">
        <f t="shared" si="15"/>
        <v>0.78143927728159324</v>
      </c>
      <c r="W186">
        <f t="shared" si="10"/>
        <v>54</v>
      </c>
      <c r="X186" s="195">
        <f t="shared" si="16"/>
        <v>0.13728382536154282</v>
      </c>
      <c r="Y186" s="195">
        <f t="shared" si="17"/>
        <v>1.1374871243964479E-2</v>
      </c>
      <c r="Z186" s="255" t="str">
        <f>IF(ISNUMBER(SEARCH("C",'WetLitterbags placem_collection'!W113)),"YES","NO")</f>
        <v>NO</v>
      </c>
      <c r="AA186" s="255" t="str">
        <f>IF(ISNUMBER(SEARCH("H", 'WetLitterbags placem_collection'!W113)),"YES","NO")</f>
        <v>NO</v>
      </c>
      <c r="AB186" s="255" t="str">
        <f>IF(ISNUMBER(SEARCH("R", 'WetLitterbags placem_collection'!W113)),"YES","NO")</f>
        <v>NO</v>
      </c>
      <c r="AC186" s="255" t="str">
        <f>IF(ISNUMBER(SEARCH("C", 'WetLitterbags placem_collection'!V113)),"YES","NO")</f>
        <v>NO</v>
      </c>
      <c r="AD186" s="255" t="str">
        <f>IF(ISNUMBER(SEARCH("H", 'WetLitterbags placem_collection'!V113)),"YES","NO")</f>
        <v>NO</v>
      </c>
      <c r="AE186" s="255" t="str">
        <f>IF(ISNUMBER(SEARCH("R", 'WetLitterbags placem_collection'!V113)),"YES","NO")</f>
        <v>NO</v>
      </c>
    </row>
    <row r="187" spans="2:31">
      <c r="B187" t="str">
        <f>'Final data_for_R_analysis_Wetse'!A113</f>
        <v>Wet</v>
      </c>
      <c r="C187" s="263">
        <f>'Final data_for_R_analysis_Wetse'!B113</f>
        <v>112</v>
      </c>
      <c r="D187" t="s">
        <v>3843</v>
      </c>
      <c r="E187" t="s">
        <v>22</v>
      </c>
      <c r="F187" s="387">
        <v>8</v>
      </c>
      <c r="G187" s="16">
        <f>'WetLitterbags placem_collection'!E114</f>
        <v>42762</v>
      </c>
      <c r="H187" t="str">
        <f>'Final data_for_R_analysis_Wetse'!J113</f>
        <v>G899</v>
      </c>
      <c r="I187" t="str">
        <f>'Final data_for_R_analysis_Wetse'!J333</f>
        <v>R41</v>
      </c>
      <c r="J187">
        <f>IFERROR(INDEX('Green_rooibos initial weight'!$C$5:$C$1749,MATCH(H187, 'Green_rooibos initial weight'!$A$5:$A$1749,0)),"")</f>
        <v>2.0129999999999999</v>
      </c>
      <c r="K187">
        <f>IFERROR(INDEX('Green_rooibos initial weight'!$C$5:$C$1749,MATCH(I187, 'Green_rooibos initial weight'!$A$5:$A$1749,0)),"")</f>
        <v>2.2010000000000001</v>
      </c>
      <c r="L187" s="195">
        <f t="shared" si="11"/>
        <v>1.7631999999999999</v>
      </c>
      <c r="M187" s="195">
        <f>AVERAGE(Ashed_controlls!$K$2:$K$11)</f>
        <v>5.5147656768714146</v>
      </c>
      <c r="N187" s="195">
        <f t="shared" si="9"/>
        <v>1.9512</v>
      </c>
      <c r="O187" s="16">
        <f>IF('WetLitterbags placem_collection'!G114="N.A","",'WetLitterbags placem_collection'!G114)</f>
        <v>42816</v>
      </c>
      <c r="P187" s="195">
        <f>IF(IFERROR(INDEX('Both teabags AfterWet'!$C$3:$C$841,MATCH(H187,'Both teabags AfterWet'!$A$3:$A$841,0)),"")="N.A","",(IFERROR(INDEX('Both teabags AfterWet'!$C$3:$C$841,MATCH(H187,'Both teabags AfterWet'!$A$3:$A$841,0)),"")))</f>
        <v>0.71899999999999997</v>
      </c>
      <c r="Q187" s="195">
        <f>IFERROR(INDEX('Both teabags AfterWet'!$C$3:$C$841,MATCH(I187,'Both teabags AfterWet'!$A$3:$A$841,0)),"")</f>
        <v>1.6910000000000001</v>
      </c>
      <c r="R187" s="195">
        <f t="shared" si="12"/>
        <v>0.56840000000000002</v>
      </c>
      <c r="S187" s="195">
        <f t="shared" si="12"/>
        <v>1.5404</v>
      </c>
      <c r="T187" s="195">
        <f t="shared" si="13"/>
        <v>0.67763157894736836</v>
      </c>
      <c r="U187" s="195">
        <f t="shared" si="14"/>
        <v>0.44424303037879737</v>
      </c>
      <c r="V187" s="195">
        <f t="shared" si="15"/>
        <v>0.78946289462894625</v>
      </c>
      <c r="W187">
        <f t="shared" si="10"/>
        <v>54</v>
      </c>
      <c r="X187" s="195">
        <f t="shared" si="16"/>
        <v>0.19521190148768597</v>
      </c>
      <c r="Y187" s="195">
        <f t="shared" si="17"/>
        <v>1.1894596002352088E-2</v>
      </c>
      <c r="Z187" s="255" t="str">
        <f>IF(ISNUMBER(SEARCH("C",'WetLitterbags placem_collection'!W114)),"YES","NO")</f>
        <v>NO</v>
      </c>
      <c r="AA187" s="255" t="str">
        <f>IF(ISNUMBER(SEARCH("H", 'WetLitterbags placem_collection'!W114)),"YES","NO")</f>
        <v>NO</v>
      </c>
      <c r="AB187" s="255" t="str">
        <f>IF(ISNUMBER(SEARCH("R", 'WetLitterbags placem_collection'!W114)),"YES","NO")</f>
        <v>YES</v>
      </c>
      <c r="AC187" s="255" t="str">
        <f>IF(ISNUMBER(SEARCH("C", 'WetLitterbags placem_collection'!V114)),"YES","NO")</f>
        <v>NO</v>
      </c>
      <c r="AD187" s="255" t="str">
        <f>IF(ISNUMBER(SEARCH("H", 'WetLitterbags placem_collection'!V114)),"YES","NO")</f>
        <v>YES</v>
      </c>
      <c r="AE187" s="255" t="str">
        <f>IF(ISNUMBER(SEARCH("R", 'WetLitterbags placem_collection'!V114)),"YES","NO")</f>
        <v>NO</v>
      </c>
    </row>
    <row r="188" spans="2:31">
      <c r="B188" t="str">
        <f>'Final data_for_R_analysis_Wetse'!A114</f>
        <v>Wet</v>
      </c>
      <c r="C188" s="263">
        <f>'Final data_for_R_analysis_Wetse'!B114</f>
        <v>113</v>
      </c>
      <c r="D188" t="s">
        <v>3844</v>
      </c>
      <c r="E188" t="s">
        <v>22</v>
      </c>
      <c r="F188" s="386">
        <v>1</v>
      </c>
      <c r="G188" s="16">
        <f>'WetLitterbags placem_collection'!E115</f>
        <v>42762</v>
      </c>
      <c r="H188" t="str">
        <f>'Final data_for_R_analysis_Wetse'!J114</f>
        <v>G724</v>
      </c>
      <c r="I188" t="str">
        <f>'Final data_for_R_analysis_Wetse'!J334</f>
        <v>R428</v>
      </c>
      <c r="J188">
        <f>IFERROR(INDEX('Green_rooibos initial weight'!$C$5:$C$1749,MATCH(H188, 'Green_rooibos initial weight'!$A$5:$A$1749,0)),"")</f>
        <v>2.0289999999999999</v>
      </c>
      <c r="K188">
        <f>IFERROR(INDEX('Green_rooibos initial weight'!$C$5:$C$1749,MATCH(I188, 'Green_rooibos initial weight'!$A$5:$A$1749,0)),"")</f>
        <v>2.202</v>
      </c>
      <c r="L188" s="195">
        <f t="shared" si="11"/>
        <v>1.7791999999999999</v>
      </c>
      <c r="M188" s="195">
        <f>AVERAGE(Ashed_controlls!$K$2:$K$11)</f>
        <v>5.5147656768714146</v>
      </c>
      <c r="N188" s="195">
        <f t="shared" si="9"/>
        <v>1.9521999999999999</v>
      </c>
      <c r="O188" s="16">
        <f>IF('WetLitterbags placem_collection'!G115="N.A","",'WetLitterbags placem_collection'!G115)</f>
        <v>42816</v>
      </c>
      <c r="P188" s="195">
        <f>IF(IFERROR(INDEX('Both teabags AfterWet'!$C$3:$C$841,MATCH(H188,'Both teabags AfterWet'!$A$3:$A$841,0)),"")="N.A","",(IFERROR(INDEX('Both teabags AfterWet'!$C$3:$C$841,MATCH(H188,'Both teabags AfterWet'!$A$3:$A$841,0)),"")))</f>
        <v>0.61099999999999999</v>
      </c>
      <c r="Q188" s="195">
        <f>IFERROR(INDEX('Both teabags AfterWet'!$C$3:$C$841,MATCH(I188,'Both teabags AfterWet'!$A$3:$A$841,0)),"")</f>
        <v>1.768</v>
      </c>
      <c r="R188" s="195">
        <f t="shared" si="12"/>
        <v>0.46039999999999998</v>
      </c>
      <c r="S188" s="195">
        <f t="shared" si="12"/>
        <v>1.6173999999999999</v>
      </c>
      <c r="T188" s="195">
        <f t="shared" si="13"/>
        <v>0.74123201438848918</v>
      </c>
      <c r="U188" s="195">
        <f t="shared" si="14"/>
        <v>0.48593832772262002</v>
      </c>
      <c r="V188" s="195">
        <f t="shared" si="15"/>
        <v>0.82850117815797564</v>
      </c>
      <c r="W188">
        <f t="shared" si="10"/>
        <v>54</v>
      </c>
      <c r="X188" s="195">
        <f t="shared" si="16"/>
        <v>0.11967694253148553</v>
      </c>
      <c r="Y188" s="195">
        <f t="shared" si="17"/>
        <v>8.0609261233439717E-3</v>
      </c>
      <c r="Z188" s="255" t="str">
        <f>IF(ISNUMBER(SEARCH("C",'WetLitterbags placem_collection'!W115)),"YES","NO")</f>
        <v>NO</v>
      </c>
      <c r="AA188" s="255" t="str">
        <f>IF(ISNUMBER(SEARCH("H", 'WetLitterbags placem_collection'!W115)),"YES","NO")</f>
        <v>YES</v>
      </c>
      <c r="AB188" s="255" t="str">
        <f>IF(ISNUMBER(SEARCH("R", 'WetLitterbags placem_collection'!W115)),"YES","NO")</f>
        <v>YES</v>
      </c>
      <c r="AC188" s="255" t="str">
        <f>IF(ISNUMBER(SEARCH("C", 'WetLitterbags placem_collection'!V115)),"YES","NO")</f>
        <v>YES</v>
      </c>
      <c r="AD188" s="255" t="str">
        <f>IF(ISNUMBER(SEARCH("H", 'WetLitterbags placem_collection'!V115)),"YES","NO")</f>
        <v>NO</v>
      </c>
      <c r="AE188" s="255" t="str">
        <f>IF(ISNUMBER(SEARCH("R", 'WetLitterbags placem_collection'!V115)),"YES","NO")</f>
        <v>YES</v>
      </c>
    </row>
    <row r="189" spans="2:31">
      <c r="B189" t="str">
        <f>'Final data_for_R_analysis_Wetse'!A115</f>
        <v>Wet</v>
      </c>
      <c r="C189" s="263">
        <f>'Final data_for_R_analysis_Wetse'!B115</f>
        <v>114</v>
      </c>
      <c r="D189" t="s">
        <v>3844</v>
      </c>
      <c r="E189" t="s">
        <v>22</v>
      </c>
      <c r="F189" s="386">
        <v>2</v>
      </c>
      <c r="G189" s="16">
        <f>'WetLitterbags placem_collection'!E116</f>
        <v>42762</v>
      </c>
      <c r="H189" t="str">
        <f>'Final data_for_R_analysis_Wetse'!J115</f>
        <v>G803</v>
      </c>
      <c r="I189" t="str">
        <f>'Final data_for_R_analysis_Wetse'!J335</f>
        <v>R601</v>
      </c>
      <c r="J189">
        <f>IFERROR(INDEX('Green_rooibos initial weight'!$C$5:$C$1749,MATCH(H189, 'Green_rooibos initial weight'!$A$5:$A$1749,0)),"")</f>
        <v>2.0590000000000002</v>
      </c>
      <c r="K189">
        <f>IFERROR(INDEX('Green_rooibos initial weight'!$C$5:$C$1749,MATCH(I189, 'Green_rooibos initial weight'!$A$5:$A$1749,0)),"")</f>
        <v>2.198</v>
      </c>
      <c r="L189" s="195">
        <f t="shared" si="11"/>
        <v>1.8092000000000001</v>
      </c>
      <c r="M189" s="195">
        <f>AVERAGE(Ashed_controlls!$K$2:$K$11)</f>
        <v>5.5147656768714146</v>
      </c>
      <c r="N189" s="195">
        <f t="shared" si="9"/>
        <v>1.9481999999999999</v>
      </c>
      <c r="O189" s="16">
        <f>IF('WetLitterbags placem_collection'!G116="N.A","",'WetLitterbags placem_collection'!G116)</f>
        <v>42816</v>
      </c>
      <c r="P189" s="195">
        <f>IF(IFERROR(INDEX('Both teabags AfterWet'!$C$3:$C$841,MATCH(H189,'Both teabags AfterWet'!$A$3:$A$841,0)),"")="N.A","",(IFERROR(INDEX('Both teabags AfterWet'!$C$3:$C$841,MATCH(H189,'Both teabags AfterWet'!$A$3:$A$841,0)),"")))</f>
        <v>0.64300000000000002</v>
      </c>
      <c r="Q189" s="195">
        <f>IFERROR(INDEX('Both teabags AfterWet'!$C$3:$C$841,MATCH(I189,'Both teabags AfterWet'!$A$3:$A$841,0)),"")</f>
        <v>2.7930000000000001</v>
      </c>
      <c r="R189" s="195">
        <f t="shared" si="12"/>
        <v>0.4924</v>
      </c>
      <c r="S189" s="195">
        <f t="shared" si="12"/>
        <v>2.6424000000000003</v>
      </c>
      <c r="T189" s="195">
        <f t="shared" si="13"/>
        <v>0.72783550740658853</v>
      </c>
      <c r="U189" s="195">
        <f t="shared" si="14"/>
        <v>0.47715581958246667</v>
      </c>
      <c r="V189" s="195">
        <f t="shared" si="15"/>
        <v>1.3563289190021561</v>
      </c>
      <c r="W189">
        <f t="shared" si="10"/>
        <v>54</v>
      </c>
      <c r="X189" s="195">
        <f t="shared" si="16"/>
        <v>0.13558728336509673</v>
      </c>
      <c r="Y189" s="195">
        <f t="shared" si="17"/>
        <v>-1.0329116456495362E-2</v>
      </c>
      <c r="Z189" s="255" t="str">
        <f>IF(ISNUMBER(SEARCH("C",'WetLitterbags placem_collection'!W116)),"YES","NO")</f>
        <v>NO</v>
      </c>
      <c r="AA189" s="255" t="str">
        <f>IF(ISNUMBER(SEARCH("H", 'WetLitterbags placem_collection'!W116)),"YES","NO")</f>
        <v>YES</v>
      </c>
      <c r="AB189" s="255" t="str">
        <f>IF(ISNUMBER(SEARCH("R", 'WetLitterbags placem_collection'!W116)),"YES","NO")</f>
        <v>YES</v>
      </c>
      <c r="AC189" s="255" t="str">
        <f>IF(ISNUMBER(SEARCH("C", 'WetLitterbags placem_collection'!V116)),"YES","NO")</f>
        <v>NO</v>
      </c>
      <c r="AD189" s="255" t="str">
        <f>IF(ISNUMBER(SEARCH("H", 'WetLitterbags placem_collection'!V116)),"YES","NO")</f>
        <v>YES</v>
      </c>
      <c r="AE189" s="255" t="str">
        <f>IF(ISNUMBER(SEARCH("R", 'WetLitterbags placem_collection'!V116)),"YES","NO")</f>
        <v>YES</v>
      </c>
    </row>
    <row r="190" spans="2:31">
      <c r="B190" t="str">
        <f>'Final data_for_R_analysis_Wetse'!A116</f>
        <v>Wet</v>
      </c>
      <c r="C190" s="263">
        <f>'Final data_for_R_analysis_Wetse'!B116</f>
        <v>115</v>
      </c>
      <c r="D190" t="s">
        <v>3844</v>
      </c>
      <c r="E190" t="s">
        <v>22</v>
      </c>
      <c r="F190" s="386">
        <v>3</v>
      </c>
      <c r="G190" s="16">
        <f>'WetLitterbags placem_collection'!E117</f>
        <v>42762</v>
      </c>
      <c r="H190" t="str">
        <f>'Final data_for_R_analysis_Wetse'!J116</f>
        <v>G693</v>
      </c>
      <c r="I190" t="str">
        <f>'Final data_for_R_analysis_Wetse'!J336</f>
        <v>R553</v>
      </c>
      <c r="J190">
        <f>IFERROR(INDEX('Green_rooibos initial weight'!$C$5:$C$1749,MATCH(H190, 'Green_rooibos initial weight'!$A$5:$A$1749,0)),"")</f>
        <v>2.0710000000000002</v>
      </c>
      <c r="K190">
        <f>IFERROR(INDEX('Green_rooibos initial weight'!$C$5:$C$1749,MATCH(I190, 'Green_rooibos initial weight'!$A$5:$A$1749,0)),"")</f>
        <v>2.1949999999999998</v>
      </c>
      <c r="L190" s="195">
        <f t="shared" si="11"/>
        <v>1.8212000000000002</v>
      </c>
      <c r="M190" s="195">
        <f>AVERAGE(Ashed_controlls!$K$2:$K$11)</f>
        <v>5.5147656768714146</v>
      </c>
      <c r="N190" s="195">
        <f t="shared" si="9"/>
        <v>1.9451999999999998</v>
      </c>
      <c r="O190" s="16">
        <f>IF('WetLitterbags placem_collection'!G117="N.A","",'WetLitterbags placem_collection'!G117)</f>
        <v>42816</v>
      </c>
      <c r="P190" s="195">
        <f>IF(IFERROR(INDEX('Both teabags AfterWet'!$C$3:$C$841,MATCH(H190,'Both teabags AfterWet'!$A$3:$A$841,0)),"")="N.A","",(IFERROR(INDEX('Both teabags AfterWet'!$C$3:$C$841,MATCH(H190,'Both teabags AfterWet'!$A$3:$A$841,0)),"")))</f>
        <v>0.63400000000000001</v>
      </c>
      <c r="Q190" s="195">
        <f>IFERROR(INDEX('Both teabags AfterWet'!$C$3:$C$841,MATCH(I190,'Both teabags AfterWet'!$A$3:$A$841,0)),"")</f>
        <v>0.99990000000000001</v>
      </c>
      <c r="R190" s="195">
        <f t="shared" si="12"/>
        <v>0.4834</v>
      </c>
      <c r="S190" s="195">
        <f t="shared" si="12"/>
        <v>0.84929999999999994</v>
      </c>
      <c r="T190" s="195">
        <f t="shared" si="13"/>
        <v>0.73457061278278069</v>
      </c>
      <c r="U190" s="195">
        <f t="shared" si="14"/>
        <v>0.48157123308324823</v>
      </c>
      <c r="V190" s="195">
        <f t="shared" si="15"/>
        <v>0.43661320172732881</v>
      </c>
      <c r="W190">
        <f t="shared" si="10"/>
        <v>54</v>
      </c>
      <c r="X190" s="195">
        <f t="shared" si="16"/>
        <v>0.12758834586368084</v>
      </c>
      <c r="Y190" s="195" t="str">
        <f t="shared" si="17"/>
        <v/>
      </c>
      <c r="Z190" s="255" t="str">
        <f>IF(ISNUMBER(SEARCH("C",'WetLitterbags placem_collection'!W117)),"YES","NO")</f>
        <v>NO</v>
      </c>
      <c r="AA190" s="255" t="str">
        <f>IF(ISNUMBER(SEARCH("H", 'WetLitterbags placem_collection'!W117)),"YES","NO")</f>
        <v>YES</v>
      </c>
      <c r="AB190" s="255" t="str">
        <f>IF(ISNUMBER(SEARCH("R", 'WetLitterbags placem_collection'!W117)),"YES","NO")</f>
        <v>YES</v>
      </c>
      <c r="AC190" s="255" t="str">
        <f>IF(ISNUMBER(SEARCH("C", 'WetLitterbags placem_collection'!V117)),"YES","NO")</f>
        <v>NO</v>
      </c>
      <c r="AD190" s="255" t="str">
        <f>IF(ISNUMBER(SEARCH("H", 'WetLitterbags placem_collection'!V117)),"YES","NO")</f>
        <v>NO</v>
      </c>
      <c r="AE190" s="255" t="str">
        <f>IF(ISNUMBER(SEARCH("R", 'WetLitterbags placem_collection'!V117)),"YES","NO")</f>
        <v>YES</v>
      </c>
    </row>
    <row r="191" spans="2:31">
      <c r="B191" t="str">
        <f>'Final data_for_R_analysis_Wetse'!A117</f>
        <v>Wet</v>
      </c>
      <c r="C191" s="263">
        <f>'Final data_for_R_analysis_Wetse'!B117</f>
        <v>116</v>
      </c>
      <c r="D191" t="s">
        <v>3844</v>
      </c>
      <c r="E191" t="s">
        <v>22</v>
      </c>
      <c r="F191" s="387">
        <v>4</v>
      </c>
      <c r="G191" s="16">
        <f>'WetLitterbags placem_collection'!E118</f>
        <v>42762</v>
      </c>
      <c r="H191" t="str">
        <f>'Final data_for_R_analysis_Wetse'!J117</f>
        <v>G897</v>
      </c>
      <c r="I191" t="str">
        <f>'Final data_for_R_analysis_Wetse'!J337</f>
        <v>R459</v>
      </c>
      <c r="J191">
        <f>IFERROR(INDEX('Green_rooibos initial weight'!$C$5:$C$1749,MATCH(H191, 'Green_rooibos initial weight'!$A$5:$A$1749,0)),"")</f>
        <v>2.0299999999999998</v>
      </c>
      <c r="K191">
        <f>IFERROR(INDEX('Green_rooibos initial weight'!$C$5:$C$1749,MATCH(I191, 'Green_rooibos initial weight'!$A$5:$A$1749,0)),"")</f>
        <v>2.2090000000000001</v>
      </c>
      <c r="L191" s="195">
        <f t="shared" si="11"/>
        <v>1.7801999999999998</v>
      </c>
      <c r="M191" s="195">
        <f>AVERAGE(Ashed_controlls!$K$2:$K$11)</f>
        <v>5.5147656768714146</v>
      </c>
      <c r="N191" s="195">
        <f t="shared" si="9"/>
        <v>1.9592000000000001</v>
      </c>
      <c r="O191" s="16">
        <f>IF('WetLitterbags placem_collection'!G118="N.A","",'WetLitterbags placem_collection'!G118)</f>
        <v>42816</v>
      </c>
      <c r="P191" s="195">
        <f>IF(IFERROR(INDEX('Both teabags AfterWet'!$C$3:$C$841,MATCH(H191,'Both teabags AfterWet'!$A$3:$A$841,0)),"")="N.A","",(IFERROR(INDEX('Both teabags AfterWet'!$C$3:$C$841,MATCH(H191,'Both teabags AfterWet'!$A$3:$A$841,0)),"")))</f>
        <v>0.67869999999999997</v>
      </c>
      <c r="Q191" s="195">
        <f>IFERROR(INDEX('Both teabags AfterWet'!$C$3:$C$841,MATCH(I191,'Both teabags AfterWet'!$A$3:$A$841,0)),"")</f>
        <v>0.68710000000000004</v>
      </c>
      <c r="R191" s="195">
        <f t="shared" si="12"/>
        <v>0.52810000000000001</v>
      </c>
      <c r="S191" s="195">
        <f t="shared" si="12"/>
        <v>0.53649999999999998</v>
      </c>
      <c r="T191" s="195">
        <f t="shared" si="13"/>
        <v>0.70334793843388377</v>
      </c>
      <c r="U191" s="195">
        <f t="shared" si="14"/>
        <v>0.46110221141983837</v>
      </c>
      <c r="V191" s="195">
        <f t="shared" si="15"/>
        <v>0.27383625969783582</v>
      </c>
      <c r="W191">
        <f t="shared" si="10"/>
        <v>54</v>
      </c>
      <c r="X191" s="195">
        <f t="shared" si="16"/>
        <v>0.164669906848119</v>
      </c>
      <c r="Y191" s="195" t="str">
        <f t="shared" si="17"/>
        <v/>
      </c>
      <c r="Z191" s="255" t="str">
        <f>IF(ISNUMBER(SEARCH("C",'WetLitterbags placem_collection'!W118)),"YES","NO")</f>
        <v>NO</v>
      </c>
      <c r="AA191" s="255" t="str">
        <f>IF(ISNUMBER(SEARCH("H", 'WetLitterbags placem_collection'!W118)),"YES","NO")</f>
        <v>YES</v>
      </c>
      <c r="AB191" s="255" t="str">
        <f>IF(ISNUMBER(SEARCH("R", 'WetLitterbags placem_collection'!W118)),"YES","NO")</f>
        <v>YES</v>
      </c>
      <c r="AC191" s="255" t="str">
        <f>IF(ISNUMBER(SEARCH("C", 'WetLitterbags placem_collection'!V118)),"YES","NO")</f>
        <v>NO</v>
      </c>
      <c r="AD191" s="255" t="str">
        <f>IF(ISNUMBER(SEARCH("H", 'WetLitterbags placem_collection'!V118)),"YES","NO")</f>
        <v>NO</v>
      </c>
      <c r="AE191" s="255" t="str">
        <f>IF(ISNUMBER(SEARCH("R", 'WetLitterbags placem_collection'!V118)),"YES","NO")</f>
        <v>NO</v>
      </c>
    </row>
    <row r="192" spans="2:31">
      <c r="B192" t="str">
        <f>'Final data_for_R_analysis_Wetse'!A118</f>
        <v>Wet</v>
      </c>
      <c r="C192" s="263">
        <f>'Final data_for_R_analysis_Wetse'!B118</f>
        <v>117</v>
      </c>
      <c r="D192" t="s">
        <v>3844</v>
      </c>
      <c r="E192" t="s">
        <v>22</v>
      </c>
      <c r="F192" s="387">
        <v>5</v>
      </c>
      <c r="G192" s="16">
        <f>'WetLitterbags placem_collection'!E119</f>
        <v>42762</v>
      </c>
      <c r="H192" t="str">
        <f>'Final data_for_R_analysis_Wetse'!J118</f>
        <v>G789</v>
      </c>
      <c r="I192" t="str">
        <f>'Final data_for_R_analysis_Wetse'!J338</f>
        <v>R511</v>
      </c>
      <c r="J192">
        <f>IFERROR(INDEX('Green_rooibos initial weight'!$C$5:$C$1749,MATCH(H192, 'Green_rooibos initial weight'!$A$5:$A$1749,0)),"")</f>
        <v>2.109</v>
      </c>
      <c r="K192">
        <f>IFERROR(INDEX('Green_rooibos initial weight'!$C$5:$C$1749,MATCH(I192, 'Green_rooibos initial weight'!$A$5:$A$1749,0)),"")</f>
        <v>2.1779999999999999</v>
      </c>
      <c r="L192" s="195">
        <f t="shared" si="11"/>
        <v>1.8592</v>
      </c>
      <c r="M192" s="195">
        <f>AVERAGE(Ashed_controlls!$K$2:$K$11)</f>
        <v>5.5147656768714146</v>
      </c>
      <c r="N192" s="195">
        <f t="shared" si="9"/>
        <v>1.9281999999999999</v>
      </c>
      <c r="O192" s="16">
        <f>IF('WetLitterbags placem_collection'!G119="N.A","",'WetLitterbags placem_collection'!G119)</f>
        <v>42816</v>
      </c>
      <c r="P192" s="195">
        <f>IF(IFERROR(INDEX('Both teabags AfterWet'!$C$3:$C$841,MATCH(H192,'Both teabags AfterWet'!$A$3:$A$841,0)),"")="N.A","",(IFERROR(INDEX('Both teabags AfterWet'!$C$3:$C$841,MATCH(H192,'Both teabags AfterWet'!$A$3:$A$841,0)),"")))</f>
        <v>0.79800000000000004</v>
      </c>
      <c r="Q192" s="195">
        <f>IFERROR(INDEX('Both teabags AfterWet'!$C$3:$C$841,MATCH(I192,'Both teabags AfterWet'!$A$3:$A$841,0)),"")</f>
        <v>0.39700000000000002</v>
      </c>
      <c r="R192" s="195">
        <f t="shared" si="12"/>
        <v>0.64739999999999998</v>
      </c>
      <c r="S192" s="195">
        <f t="shared" si="12"/>
        <v>0.24640000000000001</v>
      </c>
      <c r="T192" s="195">
        <f t="shared" si="13"/>
        <v>0.6517857142857143</v>
      </c>
      <c r="U192" s="195">
        <f t="shared" si="14"/>
        <v>0.42729894808279617</v>
      </c>
      <c r="V192" s="195">
        <f t="shared" si="15"/>
        <v>0.12778757390312209</v>
      </c>
      <c r="W192">
        <f t="shared" si="10"/>
        <v>54</v>
      </c>
      <c r="X192" s="195">
        <f t="shared" si="16"/>
        <v>0.22590770274855776</v>
      </c>
      <c r="Y192" s="195" t="str">
        <f t="shared" si="17"/>
        <v/>
      </c>
      <c r="Z192" s="255" t="str">
        <f>IF(ISNUMBER(SEARCH("C",'WetLitterbags placem_collection'!W119)),"YES","NO")</f>
        <v>NO</v>
      </c>
      <c r="AA192" s="255" t="str">
        <f>IF(ISNUMBER(SEARCH("H", 'WetLitterbags placem_collection'!W119)),"YES","NO")</f>
        <v>YES</v>
      </c>
      <c r="AB192" s="255" t="str">
        <f>IF(ISNUMBER(SEARCH("R", 'WetLitterbags placem_collection'!W119)),"YES","NO")</f>
        <v>YES</v>
      </c>
      <c r="AC192" s="255" t="str">
        <f>IF(ISNUMBER(SEARCH("C", 'WetLitterbags placem_collection'!V119)),"YES","NO")</f>
        <v>NO</v>
      </c>
      <c r="AD192" s="255" t="str">
        <f>IF(ISNUMBER(SEARCH("H", 'WetLitterbags placem_collection'!V119)),"YES","NO")</f>
        <v>YES</v>
      </c>
      <c r="AE192" s="255" t="str">
        <f>IF(ISNUMBER(SEARCH("R", 'WetLitterbags placem_collection'!V119)),"YES","NO")</f>
        <v>YES</v>
      </c>
    </row>
    <row r="193" spans="2:31">
      <c r="B193" t="str">
        <f>'Final data_for_R_analysis_Wetse'!A119</f>
        <v>Wet</v>
      </c>
      <c r="C193" s="263">
        <f>'Final data_for_R_analysis_Wetse'!B119</f>
        <v>118</v>
      </c>
      <c r="D193" t="s">
        <v>3844</v>
      </c>
      <c r="E193" t="s">
        <v>22</v>
      </c>
      <c r="F193" s="387">
        <v>6</v>
      </c>
      <c r="G193" s="16">
        <f>'WetLitterbags placem_collection'!E120</f>
        <v>42762</v>
      </c>
      <c r="H193" t="str">
        <f>'Final data_for_R_analysis_Wetse'!J119</f>
        <v>G681</v>
      </c>
      <c r="I193" t="str">
        <f>'Final data_for_R_analysis_Wetse'!J339</f>
        <v>R495</v>
      </c>
      <c r="J193">
        <f>IFERROR(INDEX('Green_rooibos initial weight'!$C$5:$C$1749,MATCH(H193, 'Green_rooibos initial weight'!$A$5:$A$1749,0)),"")</f>
        <v>2.0790000000000002</v>
      </c>
      <c r="K193">
        <f>IFERROR(INDEX('Green_rooibos initial weight'!$C$5:$C$1749,MATCH(I193, 'Green_rooibos initial weight'!$A$5:$A$1749,0)),"")</f>
        <v>2.25</v>
      </c>
      <c r="L193" s="195">
        <f t="shared" si="11"/>
        <v>1.8292000000000002</v>
      </c>
      <c r="M193" s="195">
        <f>AVERAGE(Ashed_controlls!$K$2:$K$11)</f>
        <v>5.5147656768714146</v>
      </c>
      <c r="N193" s="195">
        <f t="shared" si="9"/>
        <v>2.0002</v>
      </c>
      <c r="O193" s="16">
        <f>IF('WetLitterbags placem_collection'!G120="N.A","",'WetLitterbags placem_collection'!G120)</f>
        <v>42816</v>
      </c>
      <c r="P193" s="195">
        <f>IF(IFERROR(INDEX('Both teabags AfterWet'!$C$3:$C$841,MATCH(H193,'Both teabags AfterWet'!$A$3:$A$841,0)),"")="N.A","",(IFERROR(INDEX('Both teabags AfterWet'!$C$3:$C$841,MATCH(H193,'Both teabags AfterWet'!$A$3:$A$841,0)),"")))</f>
        <v>0.56799999999999995</v>
      </c>
      <c r="Q193" s="195">
        <f>IFERROR(INDEX('Both teabags AfterWet'!$C$3:$C$841,MATCH(I193,'Both teabags AfterWet'!$A$3:$A$841,0)),"")</f>
        <v>1.468</v>
      </c>
      <c r="R193" s="195">
        <f t="shared" si="12"/>
        <v>0.41739999999999994</v>
      </c>
      <c r="S193" s="195">
        <f t="shared" si="12"/>
        <v>1.3173999999999999</v>
      </c>
      <c r="T193" s="195">
        <f t="shared" si="13"/>
        <v>0.77181281434506888</v>
      </c>
      <c r="U193" s="195">
        <f t="shared" si="14"/>
        <v>0.50598654812170796</v>
      </c>
      <c r="V193" s="195">
        <f t="shared" si="15"/>
        <v>0.65863413658634129</v>
      </c>
      <c r="W193">
        <f t="shared" si="10"/>
        <v>54</v>
      </c>
      <c r="X193" s="195">
        <f t="shared" si="16"/>
        <v>8.3357702678065415E-2</v>
      </c>
      <c r="Y193" s="195">
        <f t="shared" si="17"/>
        <v>2.0793817358031954E-2</v>
      </c>
      <c r="Z193" s="255" t="str">
        <f>IF(ISNUMBER(SEARCH("C",'WetLitterbags placem_collection'!W120)),"YES","NO")</f>
        <v>NO</v>
      </c>
      <c r="AA193" s="255" t="str">
        <f>IF(ISNUMBER(SEARCH("H", 'WetLitterbags placem_collection'!W120)),"YES","NO")</f>
        <v>YES</v>
      </c>
      <c r="AB193" s="255" t="str">
        <f>IF(ISNUMBER(SEARCH("R", 'WetLitterbags placem_collection'!W120)),"YES","NO")</f>
        <v>NO</v>
      </c>
      <c r="AC193" s="255" t="str">
        <f>IF(ISNUMBER(SEARCH("C", 'WetLitterbags placem_collection'!V120)),"YES","NO")</f>
        <v>YES</v>
      </c>
      <c r="AD193" s="255" t="str">
        <f>IF(ISNUMBER(SEARCH("H", 'WetLitterbags placem_collection'!V120)),"YES","NO")</f>
        <v>YES</v>
      </c>
      <c r="AE193" s="255" t="str">
        <f>IF(ISNUMBER(SEARCH("R", 'WetLitterbags placem_collection'!V120)),"YES","NO")</f>
        <v>YES</v>
      </c>
    </row>
    <row r="194" spans="2:31">
      <c r="B194" t="str">
        <f>'Final data_for_R_analysis_Wetse'!A120</f>
        <v>Wet</v>
      </c>
      <c r="C194" s="263">
        <f>'Final data_for_R_analysis_Wetse'!B120</f>
        <v>119</v>
      </c>
      <c r="D194" t="s">
        <v>3844</v>
      </c>
      <c r="E194" t="s">
        <v>22</v>
      </c>
      <c r="F194" s="387">
        <v>7</v>
      </c>
      <c r="G194" s="16">
        <f>'WetLitterbags placem_collection'!E121</f>
        <v>42762</v>
      </c>
      <c r="H194" t="str">
        <f>'Final data_for_R_analysis_Wetse'!J120</f>
        <v>G657</v>
      </c>
      <c r="I194" t="str">
        <f>'Final data_for_R_analysis_Wetse'!J340</f>
        <v>R584</v>
      </c>
      <c r="J194">
        <f>IFERROR(INDEX('Green_rooibos initial weight'!$C$5:$C$1749,MATCH(H194, 'Green_rooibos initial weight'!$A$5:$A$1749,0)),"")</f>
        <v>1.9910000000000001</v>
      </c>
      <c r="K194">
        <f>IFERROR(INDEX('Green_rooibos initial weight'!$C$5:$C$1749,MATCH(I194, 'Green_rooibos initial weight'!$A$5:$A$1749,0)),"")</f>
        <v>2.2170000000000001</v>
      </c>
      <c r="L194" s="195">
        <f t="shared" si="11"/>
        <v>1.7412000000000001</v>
      </c>
      <c r="M194" s="195">
        <f>AVERAGE(Ashed_controlls!$K$2:$K$11)</f>
        <v>5.5147656768714146</v>
      </c>
      <c r="N194" s="195">
        <f t="shared" si="9"/>
        <v>1.9672000000000001</v>
      </c>
      <c r="O194" s="16">
        <f>IF('WetLitterbags placem_collection'!G121="N.A","",'WetLitterbags placem_collection'!G121)</f>
        <v>42816</v>
      </c>
      <c r="P194" s="195">
        <f>IF(IFERROR(INDEX('Both teabags AfterWet'!$C$3:$C$841,MATCH(H194,'Both teabags AfterWet'!$A$3:$A$841,0)),"")="N.A","",(IFERROR(INDEX('Both teabags AfterWet'!$C$3:$C$841,MATCH(H194,'Both teabags AfterWet'!$A$3:$A$841,0)),"")))</f>
        <v>0.70099999999999996</v>
      </c>
      <c r="Q194" s="195">
        <f>IFERROR(INDEX('Both teabags AfterWet'!$C$3:$C$841,MATCH(I194,'Both teabags AfterWet'!$A$3:$A$841,0)),"")</f>
        <v>0.435</v>
      </c>
      <c r="R194" s="195">
        <f t="shared" si="12"/>
        <v>0.5504</v>
      </c>
      <c r="S194" s="195">
        <f t="shared" si="12"/>
        <v>0.28439999999999999</v>
      </c>
      <c r="T194" s="195">
        <f t="shared" si="13"/>
        <v>0.68389616356535732</v>
      </c>
      <c r="U194" s="195">
        <f t="shared" si="14"/>
        <v>0.44834997896446233</v>
      </c>
      <c r="V194" s="195">
        <f t="shared" si="15"/>
        <v>0.14457096380642537</v>
      </c>
      <c r="W194">
        <f t="shared" si="10"/>
        <v>54</v>
      </c>
      <c r="X194" s="195">
        <f t="shared" si="16"/>
        <v>0.18777177723829297</v>
      </c>
      <c r="Y194" s="195" t="str">
        <f t="shared" si="17"/>
        <v/>
      </c>
      <c r="Z194" s="255" t="str">
        <f>IF(ISNUMBER(SEARCH("C",'WetLitterbags placem_collection'!W121)),"YES","NO")</f>
        <v>NO</v>
      </c>
      <c r="AA194" s="255" t="str">
        <f>IF(ISNUMBER(SEARCH("H", 'WetLitterbags placem_collection'!W121)),"YES","NO")</f>
        <v>YES</v>
      </c>
      <c r="AB194" s="255" t="str">
        <f>IF(ISNUMBER(SEARCH("R", 'WetLitterbags placem_collection'!W121)),"YES","NO")</f>
        <v>NO</v>
      </c>
      <c r="AC194" s="255" t="str">
        <f>IF(ISNUMBER(SEARCH("C", 'WetLitterbags placem_collection'!V121)),"YES","NO")</f>
        <v>NO</v>
      </c>
      <c r="AD194" s="255" t="str">
        <f>IF(ISNUMBER(SEARCH("H", 'WetLitterbags placem_collection'!V121)),"YES","NO")</f>
        <v>NO</v>
      </c>
      <c r="AE194" s="255" t="str">
        <f>IF(ISNUMBER(SEARCH("R", 'WetLitterbags placem_collection'!V121)),"YES","NO")</f>
        <v>YES</v>
      </c>
    </row>
    <row r="195" spans="2:31">
      <c r="B195" t="str">
        <f>'Final data_for_R_analysis_Wetse'!A121</f>
        <v>Wet</v>
      </c>
      <c r="C195" s="263">
        <f>'Final data_for_R_analysis_Wetse'!B121</f>
        <v>120</v>
      </c>
      <c r="D195" t="s">
        <v>3844</v>
      </c>
      <c r="E195" t="s">
        <v>22</v>
      </c>
      <c r="F195" s="387">
        <v>8</v>
      </c>
      <c r="G195" s="16">
        <f>'WetLitterbags placem_collection'!E122</f>
        <v>42762</v>
      </c>
      <c r="H195" t="str">
        <f>'Final data_for_R_analysis_Wetse'!J121</f>
        <v>G758</v>
      </c>
      <c r="I195" t="str">
        <f>'Final data_for_R_analysis_Wetse'!J341</f>
        <v>R454</v>
      </c>
      <c r="J195">
        <f>IFERROR(INDEX('Green_rooibos initial weight'!$C$5:$C$1749,MATCH(H195, 'Green_rooibos initial weight'!$A$5:$A$1749,0)),"")</f>
        <v>2.0310000000000001</v>
      </c>
      <c r="K195">
        <f>IFERROR(INDEX('Green_rooibos initial weight'!$C$5:$C$1749,MATCH(I195, 'Green_rooibos initial weight'!$A$5:$A$1749,0)),"")</f>
        <v>2.1819999999999999</v>
      </c>
      <c r="L195" s="195">
        <f t="shared" si="11"/>
        <v>1.7812000000000001</v>
      </c>
      <c r="M195" s="195">
        <f>AVERAGE(Ashed_controlls!$K$2:$K$11)</f>
        <v>5.5147656768714146</v>
      </c>
      <c r="N195" s="195">
        <f t="shared" si="9"/>
        <v>1.9321999999999999</v>
      </c>
      <c r="O195" s="16">
        <f>IF('WetLitterbags placem_collection'!G122="N.A","",'WetLitterbags placem_collection'!G122)</f>
        <v>42816</v>
      </c>
      <c r="P195" s="195">
        <f>IF(IFERROR(INDEX('Both teabags AfterWet'!$C$3:$C$841,MATCH(H195,'Both teabags AfterWet'!$A$3:$A$841,0)),"")="N.A","",(IFERROR(INDEX('Both teabags AfterWet'!$C$3:$C$841,MATCH(H195,'Both teabags AfterWet'!$A$3:$A$841,0)),"")))</f>
        <v>0.67110000000000003</v>
      </c>
      <c r="Q195" s="195">
        <f>IFERROR(INDEX('Both teabags AfterWet'!$C$3:$C$841,MATCH(I195,'Both teabags AfterWet'!$A$3:$A$841,0)),"")</f>
        <v>0.3876</v>
      </c>
      <c r="R195" s="195">
        <f t="shared" si="12"/>
        <v>0.52049999999999996</v>
      </c>
      <c r="S195" s="195">
        <f t="shared" si="12"/>
        <v>0.23699999999999999</v>
      </c>
      <c r="T195" s="195">
        <f t="shared" si="13"/>
        <v>0.70778127105322253</v>
      </c>
      <c r="U195" s="195">
        <f t="shared" si="14"/>
        <v>0.4640086242534191</v>
      </c>
      <c r="V195" s="195">
        <f t="shared" si="15"/>
        <v>0.12265810992650865</v>
      </c>
      <c r="W195">
        <f t="shared" si="10"/>
        <v>54</v>
      </c>
      <c r="X195" s="195">
        <f t="shared" si="16"/>
        <v>0.15940466620757421</v>
      </c>
      <c r="Y195" s="195" t="str">
        <f t="shared" si="17"/>
        <v/>
      </c>
      <c r="Z195" s="255" t="str">
        <f>IF(ISNUMBER(SEARCH("C",'WetLitterbags placem_collection'!W122)),"YES","NO")</f>
        <v>NO</v>
      </c>
      <c r="AA195" s="255" t="str">
        <f>IF(ISNUMBER(SEARCH("H", 'WetLitterbags placem_collection'!W122)),"YES","NO")</f>
        <v>YES</v>
      </c>
      <c r="AB195" s="255" t="str">
        <f>IF(ISNUMBER(SEARCH("R", 'WetLitterbags placem_collection'!W122)),"YES","NO")</f>
        <v>NO</v>
      </c>
      <c r="AC195" s="255" t="str">
        <f>IF(ISNUMBER(SEARCH("C", 'WetLitterbags placem_collection'!V122)),"YES","NO")</f>
        <v>NO</v>
      </c>
      <c r="AD195" s="255" t="str">
        <f>IF(ISNUMBER(SEARCH("H", 'WetLitterbags placem_collection'!V122)),"YES","NO")</f>
        <v>YES</v>
      </c>
      <c r="AE195" s="255" t="str">
        <f>IF(ISNUMBER(SEARCH("R", 'WetLitterbags placem_collection'!V122)),"YES","NO")</f>
        <v>NO</v>
      </c>
    </row>
    <row r="196" spans="2:31">
      <c r="B196" t="str">
        <f>'Final data_for_R_analysis_Wetse'!A122</f>
        <v>Wet</v>
      </c>
      <c r="C196" s="263">
        <f>'Final data_for_R_analysis_Wetse'!B122</f>
        <v>121</v>
      </c>
      <c r="D196" t="s">
        <v>3845</v>
      </c>
      <c r="E196" t="s">
        <v>22</v>
      </c>
      <c r="F196" s="386">
        <v>1</v>
      </c>
      <c r="G196" s="16">
        <f>'WetLitterbags placem_collection'!E123</f>
        <v>42762</v>
      </c>
      <c r="H196" t="str">
        <f>'Final data_for_R_analysis_Wetse'!J122</f>
        <v>G666</v>
      </c>
      <c r="I196" t="str">
        <f>'Final data_for_R_analysis_Wetse'!J342</f>
        <v>R532</v>
      </c>
      <c r="J196">
        <f>IFERROR(INDEX('Green_rooibos initial weight'!$C$5:$C$1749,MATCH(H196, 'Green_rooibos initial weight'!$A$5:$A$1749,0)),"")</f>
        <v>2.0819999999999999</v>
      </c>
      <c r="K196">
        <f>IFERROR(INDEX('Green_rooibos initial weight'!$C$5:$C$1749,MATCH(I196, 'Green_rooibos initial weight'!$A$5:$A$1749,0)),"")</f>
        <v>2.19</v>
      </c>
      <c r="L196" s="195">
        <f t="shared" si="11"/>
        <v>1.8321999999999998</v>
      </c>
      <c r="M196" s="195">
        <f>AVERAGE(Ashed_controlls!$K$2:$K$11)</f>
        <v>5.5147656768714146</v>
      </c>
      <c r="N196" s="195">
        <f t="shared" si="9"/>
        <v>1.9401999999999999</v>
      </c>
      <c r="O196" s="16">
        <f>IF('WetLitterbags placem_collection'!G123="N.A","",'WetLitterbags placem_collection'!G123)</f>
        <v>42816</v>
      </c>
      <c r="P196" s="195">
        <f>IF(IFERROR(INDEX('Both teabags AfterWet'!$C$3:$C$841,MATCH(H196,'Both teabags AfterWet'!$A$3:$A$841,0)),"")="N.A","",(IFERROR(INDEX('Both teabags AfterWet'!$C$3:$C$841,MATCH(H196,'Both teabags AfterWet'!$A$3:$A$841,0)),"")))</f>
        <v>0.63500000000000001</v>
      </c>
      <c r="Q196" s="195">
        <f>IFERROR(INDEX('Both teabags AfterWet'!$C$3:$C$841,MATCH(I196,'Both teabags AfterWet'!$A$3:$A$841,0)),"")</f>
        <v>1.7050000000000001</v>
      </c>
      <c r="R196" s="195">
        <f t="shared" si="12"/>
        <v>0.4844</v>
      </c>
      <c r="S196" s="195">
        <f t="shared" si="12"/>
        <v>1.5544</v>
      </c>
      <c r="T196" s="195">
        <f t="shared" si="13"/>
        <v>0.73561838227267762</v>
      </c>
      <c r="U196" s="195">
        <f t="shared" si="14"/>
        <v>0.48225813184622102</v>
      </c>
      <c r="V196" s="195">
        <f t="shared" si="15"/>
        <v>0.80115452015256161</v>
      </c>
      <c r="W196">
        <f t="shared" si="10"/>
        <v>54</v>
      </c>
      <c r="X196" s="195">
        <f t="shared" si="16"/>
        <v>0.12634396404670112</v>
      </c>
      <c r="Y196" s="195">
        <f t="shared" si="17"/>
        <v>9.8439915570158968E-3</v>
      </c>
      <c r="Z196" s="255" t="str">
        <f>IF(ISNUMBER(SEARCH("C",'WetLitterbags placem_collection'!W123)),"YES","NO")</f>
        <v>YES</v>
      </c>
      <c r="AA196" s="255" t="str">
        <f>IF(ISNUMBER(SEARCH("H", 'WetLitterbags placem_collection'!W123)),"YES","NO")</f>
        <v>NO</v>
      </c>
      <c r="AB196" s="255" t="str">
        <f>IF(ISNUMBER(SEARCH("R", 'WetLitterbags placem_collection'!W123)),"YES","NO")</f>
        <v>YES</v>
      </c>
      <c r="AC196" s="255" t="str">
        <f>IF(ISNUMBER(SEARCH("C", 'WetLitterbags placem_collection'!V123)),"YES","NO")</f>
        <v>NO</v>
      </c>
      <c r="AD196" s="255" t="str">
        <f>IF(ISNUMBER(SEARCH("H", 'WetLitterbags placem_collection'!V123)),"YES","NO")</f>
        <v>NO</v>
      </c>
      <c r="AE196" s="255" t="str">
        <f>IF(ISNUMBER(SEARCH("R", 'WetLitterbags placem_collection'!V123)),"YES","NO")</f>
        <v>YES</v>
      </c>
    </row>
    <row r="197" spans="2:31">
      <c r="B197" t="str">
        <f>'Final data_for_R_analysis_Wetse'!A123</f>
        <v>Wet</v>
      </c>
      <c r="C197" s="263">
        <f>'Final data_for_R_analysis_Wetse'!B123</f>
        <v>122</v>
      </c>
      <c r="D197" t="s">
        <v>3845</v>
      </c>
      <c r="E197" t="s">
        <v>22</v>
      </c>
      <c r="F197" s="386">
        <v>2</v>
      </c>
      <c r="G197" s="16">
        <f>'WetLitterbags placem_collection'!E124</f>
        <v>42762</v>
      </c>
      <c r="H197" t="str">
        <f>'Final data_for_R_analysis_Wetse'!J123</f>
        <v>G860</v>
      </c>
      <c r="I197" t="str">
        <f>'Final data_for_R_analysis_Wetse'!J343</f>
        <v>R11</v>
      </c>
      <c r="J197">
        <f>IFERROR(INDEX('Green_rooibos initial weight'!$C$5:$C$1749,MATCH(H197, 'Green_rooibos initial weight'!$A$5:$A$1749,0)),"")</f>
        <v>1.9570000000000001</v>
      </c>
      <c r="K197">
        <f>IFERROR(INDEX('Green_rooibos initial weight'!$C$5:$C$1749,MATCH(I197, 'Green_rooibos initial weight'!$A$5:$A$1749,0)),"")</f>
        <v>2.2160000000000002</v>
      </c>
      <c r="L197" s="195">
        <f t="shared" si="11"/>
        <v>1.7072000000000001</v>
      </c>
      <c r="M197" s="195">
        <f>AVERAGE(Ashed_controlls!$K$2:$K$11)</f>
        <v>5.5147656768714146</v>
      </c>
      <c r="N197" s="195">
        <f t="shared" si="9"/>
        <v>1.9662000000000002</v>
      </c>
      <c r="O197" s="16">
        <f>IF('WetLitterbags placem_collection'!G124="N.A","",'WetLitterbags placem_collection'!G124)</f>
        <v>42816</v>
      </c>
      <c r="P197" s="195">
        <f>IF(IFERROR(INDEX('Both teabags AfterWet'!$C$3:$C$841,MATCH(H197,'Both teabags AfterWet'!$A$3:$A$841,0)),"")="N.A","",(IFERROR(INDEX('Both teabags AfterWet'!$C$3:$C$841,MATCH(H197,'Both teabags AfterWet'!$A$3:$A$841,0)),"")))</f>
        <v>0.76800000000000002</v>
      </c>
      <c r="Q197" s="195">
        <f>IFERROR(INDEX('Both teabags AfterWet'!$C$3:$C$841,MATCH(I197,'Both teabags AfterWet'!$A$3:$A$841,0)),"")</f>
        <v>1.25</v>
      </c>
      <c r="R197" s="195">
        <f t="shared" si="12"/>
        <v>0.61739999999999995</v>
      </c>
      <c r="S197" s="195">
        <f t="shared" si="12"/>
        <v>1.0993999999999999</v>
      </c>
      <c r="T197" s="195">
        <f t="shared" si="13"/>
        <v>0.63835520149953151</v>
      </c>
      <c r="U197" s="195">
        <f t="shared" si="14"/>
        <v>0.41849414635123683</v>
      </c>
      <c r="V197" s="195">
        <f t="shared" si="15"/>
        <v>0.55914962872546015</v>
      </c>
      <c r="W197">
        <f t="shared" si="10"/>
        <v>54</v>
      </c>
      <c r="X197" s="195">
        <f t="shared" si="16"/>
        <v>0.24185843052312173</v>
      </c>
      <c r="Y197" s="195" t="str">
        <f t="shared" si="17"/>
        <v/>
      </c>
      <c r="Z197" s="255" t="str">
        <f>IF(ISNUMBER(SEARCH("C",'WetLitterbags placem_collection'!W124)),"YES","NO")</f>
        <v>NO</v>
      </c>
      <c r="AA197" s="255" t="str">
        <f>IF(ISNUMBER(SEARCH("H", 'WetLitterbags placem_collection'!W124)),"YES","NO")</f>
        <v>NO</v>
      </c>
      <c r="AB197" s="255" t="str">
        <f>IF(ISNUMBER(SEARCH("R", 'WetLitterbags placem_collection'!W124)),"YES","NO")</f>
        <v>YES</v>
      </c>
      <c r="AC197" s="255" t="str">
        <f>IF(ISNUMBER(SEARCH("C", 'WetLitterbags placem_collection'!V124)),"YES","NO")</f>
        <v>NO</v>
      </c>
      <c r="AD197" s="255" t="str">
        <f>IF(ISNUMBER(SEARCH("H", 'WetLitterbags placem_collection'!V124)),"YES","NO")</f>
        <v>YES</v>
      </c>
      <c r="AE197" s="255" t="str">
        <f>IF(ISNUMBER(SEARCH("R", 'WetLitterbags placem_collection'!V124)),"YES","NO")</f>
        <v>YES</v>
      </c>
    </row>
    <row r="198" spans="2:31">
      <c r="B198" t="str">
        <f>'Final data_for_R_analysis_Wetse'!A124</f>
        <v>Wet</v>
      </c>
      <c r="C198" s="263">
        <f>'Final data_for_R_analysis_Wetse'!B124</f>
        <v>123</v>
      </c>
      <c r="D198" t="s">
        <v>3845</v>
      </c>
      <c r="E198" t="s">
        <v>22</v>
      </c>
      <c r="F198" s="386">
        <v>3</v>
      </c>
      <c r="G198" s="16">
        <f>'WetLitterbags placem_collection'!E125</f>
        <v>42762</v>
      </c>
      <c r="H198" t="str">
        <f>'Final data_for_R_analysis_Wetse'!J124</f>
        <v>G694</v>
      </c>
      <c r="I198" t="str">
        <f>'Final data_for_R_analysis_Wetse'!J344</f>
        <v>R575</v>
      </c>
      <c r="J198">
        <f>IFERROR(INDEX('Green_rooibos initial weight'!$C$5:$C$1749,MATCH(H198, 'Green_rooibos initial weight'!$A$5:$A$1749,0)),"")</f>
        <v>1.992</v>
      </c>
      <c r="K198">
        <f>IFERROR(INDEX('Green_rooibos initial weight'!$C$5:$C$1749,MATCH(I198, 'Green_rooibos initial weight'!$A$5:$A$1749,0)),"")</f>
        <v>2.0990000000000002</v>
      </c>
      <c r="L198" s="195">
        <f t="shared" si="11"/>
        <v>1.7422</v>
      </c>
      <c r="M198" s="195">
        <f>AVERAGE(Ashed_controlls!$K$2:$K$11)</f>
        <v>5.5147656768714146</v>
      </c>
      <c r="N198" s="195">
        <f t="shared" si="9"/>
        <v>1.8492000000000002</v>
      </c>
      <c r="O198" s="16">
        <f>IF('WetLitterbags placem_collection'!G125="N.A","",'WetLitterbags placem_collection'!G125)</f>
        <v>42816</v>
      </c>
      <c r="P198" s="195">
        <f>IF(IFERROR(INDEX('Both teabags AfterWet'!$C$3:$C$841,MATCH(H198,'Both teabags AfterWet'!$A$3:$A$841,0)),"")="N.A","",(IFERROR(INDEX('Both teabags AfterWet'!$C$3:$C$841,MATCH(H198,'Both teabags AfterWet'!$A$3:$A$841,0)),"")))</f>
        <v>0.622</v>
      </c>
      <c r="Q198" s="195">
        <f>IFERROR(INDEX('Both teabags AfterWet'!$C$3:$C$841,MATCH(I198,'Both teabags AfterWet'!$A$3:$A$841,0)),"")</f>
        <v>1.6872</v>
      </c>
      <c r="R198" s="195">
        <f t="shared" si="12"/>
        <v>0.47139999999999999</v>
      </c>
      <c r="S198" s="195">
        <f t="shared" si="12"/>
        <v>1.5366</v>
      </c>
      <c r="T198" s="195">
        <f t="shared" si="13"/>
        <v>0.72942256916542303</v>
      </c>
      <c r="U198" s="195">
        <f t="shared" si="14"/>
        <v>0.47819626862151254</v>
      </c>
      <c r="V198" s="195">
        <f t="shared" si="15"/>
        <v>0.83095392602206353</v>
      </c>
      <c r="W198">
        <f t="shared" si="10"/>
        <v>54</v>
      </c>
      <c r="X198" s="195">
        <f t="shared" si="16"/>
        <v>0.13370241191754983</v>
      </c>
      <c r="Y198" s="195">
        <f t="shared" si="17"/>
        <v>8.0776671558193593E-3</v>
      </c>
      <c r="Z198" s="255" t="str">
        <f>IF(ISNUMBER(SEARCH("C",'WetLitterbags placem_collection'!W125)),"YES","NO")</f>
        <v>YES</v>
      </c>
      <c r="AA198" s="255" t="str">
        <f>IF(ISNUMBER(SEARCH("H", 'WetLitterbags placem_collection'!W125)),"YES","NO")</f>
        <v>YES</v>
      </c>
      <c r="AB198" s="255" t="str">
        <f>IF(ISNUMBER(SEARCH("R", 'WetLitterbags placem_collection'!W125)),"YES","NO")</f>
        <v>NO</v>
      </c>
      <c r="AC198" s="255" t="str">
        <f>IF(ISNUMBER(SEARCH("C", 'WetLitterbags placem_collection'!V125)),"YES","NO")</f>
        <v>NO</v>
      </c>
      <c r="AD198" s="255" t="str">
        <f>IF(ISNUMBER(SEARCH("H", 'WetLitterbags placem_collection'!V125)),"YES","NO")</f>
        <v>NO</v>
      </c>
      <c r="AE198" s="255" t="str">
        <f>IF(ISNUMBER(SEARCH("R", 'WetLitterbags placem_collection'!V125)),"YES","NO")</f>
        <v>YES</v>
      </c>
    </row>
    <row r="199" spans="2:31">
      <c r="B199" t="str">
        <f>'Final data_for_R_analysis_Wetse'!A125</f>
        <v>Wet</v>
      </c>
      <c r="C199" s="263">
        <f>'Final data_for_R_analysis_Wetse'!B125</f>
        <v>124</v>
      </c>
      <c r="D199" t="s">
        <v>3845</v>
      </c>
      <c r="E199" t="s">
        <v>22</v>
      </c>
      <c r="F199" s="387">
        <v>4</v>
      </c>
      <c r="G199" s="16">
        <f>'WetLitterbags placem_collection'!E126</f>
        <v>42762</v>
      </c>
      <c r="H199" t="str">
        <f>'Final data_for_R_analysis_Wetse'!J125</f>
        <v>G867</v>
      </c>
      <c r="I199" t="str">
        <f>'Final data_for_R_analysis_Wetse'!J345</f>
        <v>R39</v>
      </c>
      <c r="J199">
        <f>IFERROR(INDEX('Green_rooibos initial weight'!$C$5:$C$1749,MATCH(H199, 'Green_rooibos initial weight'!$A$5:$A$1749,0)),"")</f>
        <v>1.907</v>
      </c>
      <c r="K199">
        <f>IFERROR(INDEX('Green_rooibos initial weight'!$C$5:$C$1749,MATCH(I199, 'Green_rooibos initial weight'!$A$5:$A$1749,0)),"")</f>
        <v>2.1429999999999998</v>
      </c>
      <c r="L199" s="195">
        <f t="shared" si="11"/>
        <v>1.6572</v>
      </c>
      <c r="M199" s="195">
        <f>AVERAGE(Ashed_controlls!$K$2:$K$11)</f>
        <v>5.5147656768714146</v>
      </c>
      <c r="N199" s="195">
        <f t="shared" si="9"/>
        <v>1.8931999999999998</v>
      </c>
      <c r="O199" s="16">
        <f>IF('WetLitterbags placem_collection'!G126="N.A","",'WetLitterbags placem_collection'!G126)</f>
        <v>42816</v>
      </c>
      <c r="P199" s="195" t="str">
        <f>IF(IFERROR(INDEX('Both teabags AfterWet'!$C$3:$C$841,MATCH(H199,'Both teabags AfterWet'!$A$3:$A$841,0)),"")="N.A","",(IFERROR(INDEX('Both teabags AfterWet'!$C$3:$C$841,MATCH(H199,'Both teabags AfterWet'!$A$3:$A$841,0)),"")))</f>
        <v/>
      </c>
      <c r="Q199" s="195">
        <f>IFERROR(INDEX('Both teabags AfterWet'!$C$3:$C$841,MATCH(I199,'Both teabags AfterWet'!$A$3:$A$841,0)),"")</f>
        <v>1.4910000000000001</v>
      </c>
      <c r="R199" s="195" t="str">
        <f t="shared" si="12"/>
        <v/>
      </c>
      <c r="S199" s="195">
        <f t="shared" si="12"/>
        <v>1.3404</v>
      </c>
      <c r="T199" s="195" t="str">
        <f t="shared" si="13"/>
        <v/>
      </c>
      <c r="U199" s="195" t="str">
        <f t="shared" si="14"/>
        <v/>
      </c>
      <c r="V199" s="195">
        <f t="shared" si="15"/>
        <v>0.70800760616944869</v>
      </c>
      <c r="W199">
        <f t="shared" si="10"/>
        <v>54</v>
      </c>
      <c r="X199" s="195" t="str">
        <f t="shared" si="16"/>
        <v/>
      </c>
      <c r="Y199" s="195" t="str">
        <f t="shared" si="17"/>
        <v/>
      </c>
      <c r="Z199" s="255" t="str">
        <f>IF(ISNUMBER(SEARCH("C",'WetLitterbags placem_collection'!W126)),"YES","NO")</f>
        <v>NO</v>
      </c>
      <c r="AA199" s="255" t="str">
        <f>IF(ISNUMBER(SEARCH("H", 'WetLitterbags placem_collection'!W126)),"YES","NO")</f>
        <v>NO</v>
      </c>
      <c r="AB199" s="255" t="str">
        <f>IF(ISNUMBER(SEARCH("R", 'WetLitterbags placem_collection'!W126)),"YES","NO")</f>
        <v>YES</v>
      </c>
      <c r="AC199" s="255" t="str">
        <f>IF(ISNUMBER(SEARCH("C", 'WetLitterbags placem_collection'!V126)),"YES","NO")</f>
        <v>NO</v>
      </c>
      <c r="AD199" s="255" t="str">
        <f>IF(ISNUMBER(SEARCH("H", 'WetLitterbags placem_collection'!V126)),"YES","NO")</f>
        <v>YES</v>
      </c>
      <c r="AE199" s="255" t="str">
        <f>IF(ISNUMBER(SEARCH("R", 'WetLitterbags placem_collection'!V126)),"YES","NO")</f>
        <v>YES</v>
      </c>
    </row>
    <row r="200" spans="2:31">
      <c r="B200" t="str">
        <f>'Final data_for_R_analysis_Wetse'!A126</f>
        <v>Wet</v>
      </c>
      <c r="C200" s="263">
        <f>'Final data_for_R_analysis_Wetse'!B126</f>
        <v>125</v>
      </c>
      <c r="D200" t="s">
        <v>3845</v>
      </c>
      <c r="E200" t="s">
        <v>22</v>
      </c>
      <c r="F200" s="387">
        <v>5</v>
      </c>
      <c r="G200" s="16">
        <f>'WetLitterbags placem_collection'!E127</f>
        <v>42762</v>
      </c>
      <c r="H200" t="str">
        <f>'Final data_for_R_analysis_Wetse'!J126</f>
        <v>G793</v>
      </c>
      <c r="I200" t="str">
        <f>'Final data_for_R_analysis_Wetse'!J346</f>
        <v>R560</v>
      </c>
      <c r="J200">
        <f>IFERROR(INDEX('Green_rooibos initial weight'!$C$5:$C$1749,MATCH(H200, 'Green_rooibos initial weight'!$A$5:$A$1749,0)),"")</f>
        <v>2.0459999999999998</v>
      </c>
      <c r="K200">
        <f>IFERROR(INDEX('Green_rooibos initial weight'!$C$5:$C$1749,MATCH(I200, 'Green_rooibos initial weight'!$A$5:$A$1749,0)),"")</f>
        <v>2.157</v>
      </c>
      <c r="L200" s="195">
        <f t="shared" si="11"/>
        <v>1.7961999999999998</v>
      </c>
      <c r="M200" s="195">
        <f>AVERAGE(Ashed_controlls!$K$2:$K$11)</f>
        <v>5.5147656768714146</v>
      </c>
      <c r="N200" s="195">
        <f t="shared" si="9"/>
        <v>1.9072</v>
      </c>
      <c r="O200" s="16">
        <f>IF('WetLitterbags placem_collection'!G127="N.A","",'WetLitterbags placem_collection'!G127)</f>
        <v>42816</v>
      </c>
      <c r="P200" s="195">
        <f>IF(IFERROR(INDEX('Both teabags AfterWet'!$C$3:$C$841,MATCH(H200,'Both teabags AfterWet'!$A$3:$A$841,0)),"")="N.A","",(IFERROR(INDEX('Both teabags AfterWet'!$C$3:$C$841,MATCH(H200,'Both teabags AfterWet'!$A$3:$A$841,0)),"")))</f>
        <v>0.77200000000000002</v>
      </c>
      <c r="Q200" s="195">
        <f>IFERROR(INDEX('Both teabags AfterWet'!$C$3:$C$841,MATCH(I200,'Both teabags AfterWet'!$A$3:$A$841,0)),"")</f>
        <v>1.254</v>
      </c>
      <c r="R200" s="195">
        <f t="shared" si="12"/>
        <v>0.62139999999999995</v>
      </c>
      <c r="S200" s="195">
        <f t="shared" si="12"/>
        <v>1.1033999999999999</v>
      </c>
      <c r="T200" s="195">
        <f t="shared" si="13"/>
        <v>0.6540474334706603</v>
      </c>
      <c r="U200" s="195">
        <f t="shared" si="14"/>
        <v>0.42878169035131175</v>
      </c>
      <c r="V200" s="195">
        <f t="shared" si="15"/>
        <v>0.57854446308724827</v>
      </c>
      <c r="W200">
        <f t="shared" si="10"/>
        <v>54</v>
      </c>
      <c r="X200" s="195">
        <f t="shared" si="16"/>
        <v>0.22322157545052224</v>
      </c>
      <c r="Y200" s="195">
        <f t="shared" si="17"/>
        <v>7.5361061121904466E-2</v>
      </c>
      <c r="Z200" s="255" t="str">
        <f>IF(ISNUMBER(SEARCH("C",'WetLitterbags placem_collection'!W127)),"YES","NO")</f>
        <v>NO</v>
      </c>
      <c r="AA200" s="255" t="str">
        <f>IF(ISNUMBER(SEARCH("H", 'WetLitterbags placem_collection'!W127)),"YES","NO")</f>
        <v>YES</v>
      </c>
      <c r="AB200" s="255" t="str">
        <f>IF(ISNUMBER(SEARCH("R", 'WetLitterbags placem_collection'!W127)),"YES","NO")</f>
        <v>YES</v>
      </c>
      <c r="AC200" s="255" t="str">
        <f>IF(ISNUMBER(SEARCH("C", 'WetLitterbags placem_collection'!V127)),"YES","NO")</f>
        <v>NO</v>
      </c>
      <c r="AD200" s="255" t="str">
        <f>IF(ISNUMBER(SEARCH("H", 'WetLitterbags placem_collection'!V127)),"YES","NO")</f>
        <v>YES</v>
      </c>
      <c r="AE200" s="255" t="str">
        <f>IF(ISNUMBER(SEARCH("R", 'WetLitterbags placem_collection'!V127)),"YES","NO")</f>
        <v>YES</v>
      </c>
    </row>
    <row r="201" spans="2:31">
      <c r="B201" t="str">
        <f>'Final data_for_R_analysis_Wetse'!A127</f>
        <v>Wet</v>
      </c>
      <c r="C201" s="263">
        <f>'Final data_for_R_analysis_Wetse'!B127</f>
        <v>126</v>
      </c>
      <c r="D201" t="s">
        <v>3845</v>
      </c>
      <c r="E201" t="s">
        <v>22</v>
      </c>
      <c r="F201" s="387">
        <v>6</v>
      </c>
      <c r="G201" s="16">
        <f>'WetLitterbags placem_collection'!E128</f>
        <v>42762</v>
      </c>
      <c r="H201" t="str">
        <f>'Final data_for_R_analysis_Wetse'!J127</f>
        <v>G749</v>
      </c>
      <c r="I201" t="str">
        <f>'Final data_for_R_analysis_Wetse'!J347</f>
        <v>R562</v>
      </c>
      <c r="J201">
        <f>IFERROR(INDEX('Green_rooibos initial weight'!$C$5:$C$1749,MATCH(H201, 'Green_rooibos initial weight'!$A$5:$A$1749,0)),"")</f>
        <v>2.0179999999999998</v>
      </c>
      <c r="K201">
        <f>IFERROR(INDEX('Green_rooibos initial weight'!$C$5:$C$1749,MATCH(I201, 'Green_rooibos initial weight'!$A$5:$A$1749,0)),"")</f>
        <v>2.2810000000000001</v>
      </c>
      <c r="L201" s="195">
        <f t="shared" si="11"/>
        <v>1.7681999999999998</v>
      </c>
      <c r="M201" s="195">
        <f>AVERAGE(Ashed_controlls!$K$2:$K$11)</f>
        <v>5.5147656768714146</v>
      </c>
      <c r="N201" s="195">
        <f t="shared" si="9"/>
        <v>2.0312000000000001</v>
      </c>
      <c r="O201" s="16">
        <f>IF('WetLitterbags placem_collection'!G128="N.A","",'WetLitterbags placem_collection'!G128)</f>
        <v>42816</v>
      </c>
      <c r="P201" s="195">
        <f>IF(IFERROR(INDEX('Both teabags AfterWet'!$C$3:$C$841,MATCH(H201,'Both teabags AfterWet'!$A$3:$A$841,0)),"")="N.A","",(IFERROR(INDEX('Both teabags AfterWet'!$C$3:$C$841,MATCH(H201,'Both teabags AfterWet'!$A$3:$A$841,0)),"")))</f>
        <v>0.67800000000000005</v>
      </c>
      <c r="Q201" s="195">
        <f>IFERROR(INDEX('Both teabags AfterWet'!$C$3:$C$841,MATCH(I201,'Both teabags AfterWet'!$A$3:$A$841,0)),"")</f>
        <v>0.17599999999999999</v>
      </c>
      <c r="R201" s="195">
        <f t="shared" si="12"/>
        <v>0.52740000000000009</v>
      </c>
      <c r="S201" s="195">
        <f t="shared" si="12"/>
        <v>2.5399999999999978E-2</v>
      </c>
      <c r="T201" s="195">
        <f t="shared" si="13"/>
        <v>0.70173057346454004</v>
      </c>
      <c r="U201" s="195">
        <f t="shared" si="14"/>
        <v>0.46004189614302393</v>
      </c>
      <c r="V201" s="195">
        <f t="shared" si="15"/>
        <v>1.250492319810948E-2</v>
      </c>
      <c r="W201">
        <f t="shared" si="10"/>
        <v>54</v>
      </c>
      <c r="X201" s="195">
        <f t="shared" si="16"/>
        <v>0.16659076785684079</v>
      </c>
      <c r="Y201" s="195" t="str">
        <f t="shared" si="17"/>
        <v/>
      </c>
      <c r="Z201" s="255" t="str">
        <f>IF(ISNUMBER(SEARCH("C",'WetLitterbags placem_collection'!W128)),"YES","NO")</f>
        <v>NO</v>
      </c>
      <c r="AA201" s="255" t="str">
        <f>IF(ISNUMBER(SEARCH("H", 'WetLitterbags placem_collection'!W128)),"YES","NO")</f>
        <v>NO</v>
      </c>
      <c r="AB201" s="255" t="str">
        <f>IF(ISNUMBER(SEARCH("R", 'WetLitterbags placem_collection'!W128)),"YES","NO")</f>
        <v>NO</v>
      </c>
      <c r="AC201" s="255" t="str">
        <f>IF(ISNUMBER(SEARCH("C", 'WetLitterbags placem_collection'!V128)),"YES","NO")</f>
        <v>NO</v>
      </c>
      <c r="AD201" s="255" t="str">
        <f>IF(ISNUMBER(SEARCH("H", 'WetLitterbags placem_collection'!V128)),"YES","NO")</f>
        <v>YES</v>
      </c>
      <c r="AE201" s="255" t="str">
        <f>IF(ISNUMBER(SEARCH("R", 'WetLitterbags placem_collection'!V128)),"YES","NO")</f>
        <v>YES</v>
      </c>
    </row>
    <row r="202" spans="2:31">
      <c r="B202" t="str">
        <f>'Final data_for_R_analysis_Wetse'!A128</f>
        <v>Wet</v>
      </c>
      <c r="C202" s="263">
        <f>'Final data_for_R_analysis_Wetse'!B128</f>
        <v>127</v>
      </c>
      <c r="D202" t="s">
        <v>3845</v>
      </c>
      <c r="E202" t="s">
        <v>22</v>
      </c>
      <c r="F202" s="387">
        <v>7</v>
      </c>
      <c r="G202" s="16">
        <f>'WetLitterbags placem_collection'!E129</f>
        <v>42762</v>
      </c>
      <c r="H202" t="str">
        <f>'Final data_for_R_analysis_Wetse'!J128</f>
        <v>G898</v>
      </c>
      <c r="I202" t="str">
        <f>'Final data_for_R_analysis_Wetse'!J348</f>
        <v>R506</v>
      </c>
      <c r="J202">
        <f>IFERROR(INDEX('Green_rooibos initial weight'!$C$5:$C$1749,MATCH(H202, 'Green_rooibos initial weight'!$A$5:$A$1749,0)),"")</f>
        <v>1.893</v>
      </c>
      <c r="K202">
        <f>IFERROR(INDEX('Green_rooibos initial weight'!$C$5:$C$1749,MATCH(I202, 'Green_rooibos initial weight'!$A$5:$A$1749,0)),"")</f>
        <v>2.1579999999999999</v>
      </c>
      <c r="L202" s="195">
        <f t="shared" si="11"/>
        <v>1.6432</v>
      </c>
      <c r="M202" s="195">
        <f>AVERAGE(Ashed_controlls!$K$2:$K$11)</f>
        <v>5.5147656768714146</v>
      </c>
      <c r="N202" s="195">
        <f t="shared" si="9"/>
        <v>1.9081999999999999</v>
      </c>
      <c r="O202" s="16">
        <f>IF('WetLitterbags placem_collection'!G129="N.A","",'WetLitterbags placem_collection'!G129)</f>
        <v>42816</v>
      </c>
      <c r="P202" s="195">
        <f>IF(IFERROR(INDEX('Both teabags AfterWet'!$C$3:$C$841,MATCH(H202,'Both teabags AfterWet'!$A$3:$A$841,0)),"")="N.A","",(IFERROR(INDEX('Both teabags AfterWet'!$C$3:$C$841,MATCH(H202,'Both teabags AfterWet'!$A$3:$A$841,0)),"")))</f>
        <v>0.59099999999999997</v>
      </c>
      <c r="Q202" s="195">
        <f>IFERROR(INDEX('Both teabags AfterWet'!$C$3:$C$841,MATCH(I202,'Both teabags AfterWet'!$A$3:$A$841,0)),"")</f>
        <v>1.4710000000000001</v>
      </c>
      <c r="R202" s="195">
        <f t="shared" si="12"/>
        <v>0.44039999999999996</v>
      </c>
      <c r="S202" s="195">
        <f t="shared" si="12"/>
        <v>1.3204</v>
      </c>
      <c r="T202" s="195">
        <f t="shared" si="13"/>
        <v>0.73198636806231743</v>
      </c>
      <c r="U202" s="195">
        <f t="shared" si="14"/>
        <v>0.47987704889596111</v>
      </c>
      <c r="V202" s="195">
        <f t="shared" si="15"/>
        <v>0.69196101037627089</v>
      </c>
      <c r="W202">
        <f t="shared" si="10"/>
        <v>54</v>
      </c>
      <c r="X202" s="195">
        <f t="shared" si="16"/>
        <v>0.1306575201160125</v>
      </c>
      <c r="Y202" s="195">
        <f t="shared" si="17"/>
        <v>1.9018100101983421E-2</v>
      </c>
      <c r="Z202" s="255" t="str">
        <f>IF(ISNUMBER(SEARCH("C",'WetLitterbags placem_collection'!W129)),"YES","NO")</f>
        <v>NO</v>
      </c>
      <c r="AA202" s="255" t="str">
        <f>IF(ISNUMBER(SEARCH("H", 'WetLitterbags placem_collection'!W129)),"YES","NO")</f>
        <v>NO</v>
      </c>
      <c r="AB202" s="255" t="str">
        <f>IF(ISNUMBER(SEARCH("R", 'WetLitterbags placem_collection'!W129)),"YES","NO")</f>
        <v>NO</v>
      </c>
      <c r="AC202" s="255" t="str">
        <f>IF(ISNUMBER(SEARCH("C", 'WetLitterbags placem_collection'!V129)),"YES","NO")</f>
        <v>NO</v>
      </c>
      <c r="AD202" s="255" t="str">
        <f>IF(ISNUMBER(SEARCH("H", 'WetLitterbags placem_collection'!V129)),"YES","NO")</f>
        <v>YES</v>
      </c>
      <c r="AE202" s="255" t="str">
        <f>IF(ISNUMBER(SEARCH("R", 'WetLitterbags placem_collection'!V129)),"YES","NO")</f>
        <v>YES</v>
      </c>
    </row>
    <row r="203" spans="2:31">
      <c r="B203" t="str">
        <f>'Final data_for_R_analysis_Wetse'!A129</f>
        <v>Wet</v>
      </c>
      <c r="C203" s="263">
        <f>'Final data_for_R_analysis_Wetse'!B129</f>
        <v>128</v>
      </c>
      <c r="D203" t="s">
        <v>3845</v>
      </c>
      <c r="E203" t="s">
        <v>22</v>
      </c>
      <c r="F203" s="387">
        <v>8</v>
      </c>
      <c r="G203" s="16">
        <f>'WetLitterbags placem_collection'!E130</f>
        <v>42762</v>
      </c>
      <c r="H203" t="str">
        <f>'Final data_for_R_analysis_Wetse'!J129</f>
        <v>G834</v>
      </c>
      <c r="I203" t="str">
        <f>'Final data_for_R_analysis_Wetse'!J349</f>
        <v>R554</v>
      </c>
      <c r="J203">
        <f>IFERROR(INDEX('Green_rooibos initial weight'!$C$5:$C$1749,MATCH(H203, 'Green_rooibos initial weight'!$A$5:$A$1749,0)),"")</f>
        <v>1.956</v>
      </c>
      <c r="K203">
        <f>IFERROR(INDEX('Green_rooibos initial weight'!$C$5:$C$1749,MATCH(I203, 'Green_rooibos initial weight'!$A$5:$A$1749,0)),"")</f>
        <v>2.1779999999999999</v>
      </c>
      <c r="L203" s="195">
        <f t="shared" si="11"/>
        <v>1.7061999999999999</v>
      </c>
      <c r="M203" s="195">
        <f>AVERAGE(Ashed_controlls!$K$2:$K$11)</f>
        <v>5.5147656768714146</v>
      </c>
      <c r="N203" s="195">
        <f t="shared" si="9"/>
        <v>1.9281999999999999</v>
      </c>
      <c r="O203" s="16">
        <f>IF('WetLitterbags placem_collection'!G130="N.A","",'WetLitterbags placem_collection'!G130)</f>
        <v>42816</v>
      </c>
      <c r="P203" s="195">
        <f>IF(IFERROR(INDEX('Both teabags AfterWet'!$C$3:$C$841,MATCH(H203,'Both teabags AfterWet'!$A$3:$A$841,0)),"")="N.A","",(IFERROR(INDEX('Both teabags AfterWet'!$C$3:$C$841,MATCH(H203,'Both teabags AfterWet'!$A$3:$A$841,0)),"")))</f>
        <v>0.54500000000000004</v>
      </c>
      <c r="Q203" s="195">
        <f>IFERROR(INDEX('Both teabags AfterWet'!$C$3:$C$841,MATCH(I203,'Both teabags AfterWet'!$A$3:$A$841,0)),"")</f>
        <v>2.5259999999999998</v>
      </c>
      <c r="R203" s="195">
        <f t="shared" si="12"/>
        <v>0.39440000000000003</v>
      </c>
      <c r="S203" s="195">
        <f t="shared" si="12"/>
        <v>2.3754</v>
      </c>
      <c r="T203" s="195">
        <f t="shared" si="13"/>
        <v>0.76884304301957562</v>
      </c>
      <c r="U203" s="195">
        <f t="shared" si="14"/>
        <v>0.50403961965178834</v>
      </c>
      <c r="V203" s="195">
        <f t="shared" si="15"/>
        <v>1.2319261487397573</v>
      </c>
      <c r="W203">
        <f t="shared" si="10"/>
        <v>54</v>
      </c>
      <c r="X203" s="195">
        <f t="shared" si="16"/>
        <v>8.6884747007629826E-2</v>
      </c>
      <c r="Y203" s="195">
        <f t="shared" si="17"/>
        <v>-7.0097913316243821E-3</v>
      </c>
      <c r="Z203" s="255" t="str">
        <f>IF(ISNUMBER(SEARCH("C",'WetLitterbags placem_collection'!W130)),"YES","NO")</f>
        <v>YES</v>
      </c>
      <c r="AA203" s="255" t="str">
        <f>IF(ISNUMBER(SEARCH("H", 'WetLitterbags placem_collection'!W130)),"YES","NO")</f>
        <v>YES</v>
      </c>
      <c r="AB203" s="255" t="str">
        <f>IF(ISNUMBER(SEARCH("R", 'WetLitterbags placem_collection'!W130)),"YES","NO")</f>
        <v>YES</v>
      </c>
      <c r="AC203" s="255" t="str">
        <f>IF(ISNUMBER(SEARCH("C", 'WetLitterbags placem_collection'!V130)),"YES","NO")</f>
        <v>NO</v>
      </c>
      <c r="AD203" s="255" t="str">
        <f>IF(ISNUMBER(SEARCH("H", 'WetLitterbags placem_collection'!V130)),"YES","NO")</f>
        <v>NO</v>
      </c>
      <c r="AE203" s="255" t="str">
        <f>IF(ISNUMBER(SEARCH("R", 'WetLitterbags placem_collection'!V130)),"YES","NO")</f>
        <v>YES</v>
      </c>
    </row>
    <row r="204" spans="2:31">
      <c r="B204" t="str">
        <f>'Final data_for_R_analysis_Wetse'!A130</f>
        <v>Wet</v>
      </c>
      <c r="C204" s="263">
        <f>'Final data_for_R_analysis_Wetse'!B130</f>
        <v>129</v>
      </c>
      <c r="D204" t="s">
        <v>3846</v>
      </c>
      <c r="E204" t="s">
        <v>22</v>
      </c>
      <c r="F204" s="386">
        <v>1</v>
      </c>
      <c r="G204" s="16">
        <f>'WetLitterbags placem_collection'!E131</f>
        <v>42762</v>
      </c>
      <c r="H204" t="str">
        <f>'Final data_for_R_analysis_Wetse'!J130</f>
        <v>G819</v>
      </c>
      <c r="I204" t="str">
        <f>'Final data_for_R_analysis_Wetse'!J350</f>
        <v>R46</v>
      </c>
      <c r="J204">
        <f>IFERROR(INDEX('Green_rooibos initial weight'!$C$5:$C$1749,MATCH(H204, 'Green_rooibos initial weight'!$A$5:$A$1749,0)),"")</f>
        <v>1.9770000000000001</v>
      </c>
      <c r="K204">
        <f>IFERROR(INDEX('Green_rooibos initial weight'!$C$5:$C$1749,MATCH(I204, 'Green_rooibos initial weight'!$A$5:$A$1749,0)),"")</f>
        <v>2.2890000000000001</v>
      </c>
      <c r="L204" s="195">
        <f t="shared" si="11"/>
        <v>1.7272000000000001</v>
      </c>
      <c r="M204" s="195">
        <f>AVERAGE(Ashed_controlls!$K$2:$K$11)</f>
        <v>5.5147656768714146</v>
      </c>
      <c r="N204" s="195">
        <f t="shared" ref="N204:N267" si="18">IF(K204&gt;0,(K204*$F$32-($F$29+$F$30)),"")</f>
        <v>2.0392000000000001</v>
      </c>
      <c r="O204" s="16">
        <f>IF('WetLitterbags placem_collection'!G131="N.A","",'WetLitterbags placem_collection'!G131)</f>
        <v>42816</v>
      </c>
      <c r="P204" s="195">
        <f>IF(IFERROR(INDEX('Both teabags AfterWet'!$C$3:$C$841,MATCH(H204,'Both teabags AfterWet'!$A$3:$A$841,0)),"")="N.A","",(IFERROR(INDEX('Both teabags AfterWet'!$C$3:$C$841,MATCH(H204,'Both teabags AfterWet'!$A$3:$A$841,0)),"")))</f>
        <v>0.59719999999999995</v>
      </c>
      <c r="Q204" s="195">
        <f>IFERROR(INDEX('Both teabags AfterWet'!$C$3:$C$841,MATCH(I204,'Both teabags AfterWet'!$A$3:$A$841,0)),"")</f>
        <v>0.48970000000000002</v>
      </c>
      <c r="R204" s="195">
        <f t="shared" si="12"/>
        <v>0.44659999999999994</v>
      </c>
      <c r="S204" s="195">
        <f t="shared" si="12"/>
        <v>0.33910000000000001</v>
      </c>
      <c r="T204" s="195">
        <f t="shared" si="13"/>
        <v>0.74143121815655399</v>
      </c>
      <c r="U204" s="195">
        <f t="shared" si="14"/>
        <v>0.48606892211688585</v>
      </c>
      <c r="V204" s="195">
        <f t="shared" si="15"/>
        <v>0.16629070223617104</v>
      </c>
      <c r="W204">
        <f t="shared" ref="W204:W267" si="19">IF((O204-G204)&gt;0,(IFERROR(O204-G204,"")),"")</f>
        <v>54</v>
      </c>
      <c r="X204" s="195">
        <f t="shared" si="16"/>
        <v>0.11944035848390255</v>
      </c>
      <c r="Y204" s="195" t="str">
        <f t="shared" si="17"/>
        <v/>
      </c>
      <c r="Z204" s="255" t="str">
        <f>IF(ISNUMBER(SEARCH("C",'WetLitterbags placem_collection'!W131)),"YES","NO")</f>
        <v>NO</v>
      </c>
      <c r="AA204" s="255" t="str">
        <f>IF(ISNUMBER(SEARCH("H", 'WetLitterbags placem_collection'!W131)),"YES","NO")</f>
        <v>YES</v>
      </c>
      <c r="AB204" s="255" t="str">
        <f>IF(ISNUMBER(SEARCH("R", 'WetLitterbags placem_collection'!W131)),"YES","NO")</f>
        <v>NO</v>
      </c>
      <c r="AC204" s="255" t="str">
        <f>IF(ISNUMBER(SEARCH("C", 'WetLitterbags placem_collection'!V131)),"YES","NO")</f>
        <v>NO</v>
      </c>
      <c r="AD204" s="255" t="str">
        <f>IF(ISNUMBER(SEARCH("H", 'WetLitterbags placem_collection'!V131)),"YES","NO")</f>
        <v>NO</v>
      </c>
      <c r="AE204" s="255" t="str">
        <f>IF(ISNUMBER(SEARCH("R", 'WetLitterbags placem_collection'!V131)),"YES","NO")</f>
        <v>NO</v>
      </c>
    </row>
    <row r="205" spans="2:31">
      <c r="B205" t="str">
        <f>'Final data_for_R_analysis_Wetse'!A131</f>
        <v>Wet</v>
      </c>
      <c r="C205" s="263">
        <f>'Final data_for_R_analysis_Wetse'!B131</f>
        <v>130</v>
      </c>
      <c r="D205" t="s">
        <v>3846</v>
      </c>
      <c r="E205" t="s">
        <v>22</v>
      </c>
      <c r="F205" s="386">
        <v>2</v>
      </c>
      <c r="G205" s="16">
        <f>'WetLitterbags placem_collection'!E132</f>
        <v>42762</v>
      </c>
      <c r="H205" t="str">
        <f>'Final data_for_R_analysis_Wetse'!J131</f>
        <v>G830</v>
      </c>
      <c r="I205" t="str">
        <f>'Final data_for_R_analysis_Wetse'!J351</f>
        <v>R585</v>
      </c>
      <c r="J205">
        <f>IFERROR(INDEX('Green_rooibos initial weight'!$C$5:$C$1749,MATCH(H205, 'Green_rooibos initial weight'!$A$5:$A$1749,0)),"")</f>
        <v>1.8939999999999999</v>
      </c>
      <c r="K205">
        <f>IFERROR(INDEX('Green_rooibos initial weight'!$C$5:$C$1749,MATCH(I205, 'Green_rooibos initial weight'!$A$5:$A$1749,0)),"")</f>
        <v>2.17</v>
      </c>
      <c r="L205" s="195">
        <f t="shared" ref="L205:L268" si="20">IF(J205&gt;0,(J205*$F$31-($F$29+$F$30)),"")</f>
        <v>1.6441999999999999</v>
      </c>
      <c r="M205" s="195">
        <f>AVERAGE(Ashed_controlls!$K$2:$K$11)</f>
        <v>5.5147656768714146</v>
      </c>
      <c r="N205" s="195">
        <f t="shared" si="18"/>
        <v>1.9201999999999999</v>
      </c>
      <c r="O205" s="16">
        <f>IF('WetLitterbags placem_collection'!G132="N.A","",'WetLitterbags placem_collection'!G132)</f>
        <v>42816</v>
      </c>
      <c r="P205" s="195">
        <f>IF(IFERROR(INDEX('Both teabags AfterWet'!$C$3:$C$841,MATCH(H205,'Both teabags AfterWet'!$A$3:$A$841,0)),"")="N.A","",(IFERROR(INDEX('Both teabags AfterWet'!$C$3:$C$841,MATCH(H205,'Both teabags AfterWet'!$A$3:$A$841,0)),"")))</f>
        <v>0.54</v>
      </c>
      <c r="Q205" s="195">
        <f>IFERROR(INDEX('Both teabags AfterWet'!$C$3:$C$841,MATCH(I205,'Both teabags AfterWet'!$A$3:$A$841,0)),"")</f>
        <v>1.6379999999999999</v>
      </c>
      <c r="R205" s="195">
        <f t="shared" ref="R205:S268" si="21">IFERROR(IF(P205&gt;0,P205-($F$29),""),"")</f>
        <v>0.38940000000000002</v>
      </c>
      <c r="S205" s="195">
        <f t="shared" si="21"/>
        <v>1.4873999999999998</v>
      </c>
      <c r="T205" s="195">
        <f t="shared" ref="T205:T268" si="22">IFERROR(1-R205/L205,"")</f>
        <v>0.76316749787130522</v>
      </c>
      <c r="U205" s="195">
        <f t="shared" ref="U205:U268" si="23">IFERROR($F$26*(1-X205),"")</f>
        <v>0.50031883470897931</v>
      </c>
      <c r="V205" s="195">
        <f t="shared" ref="V205:V268" si="24">IFERROR(S205/N205,"")</f>
        <v>0.77460681179043844</v>
      </c>
      <c r="W205">
        <f t="shared" si="19"/>
        <v>54</v>
      </c>
      <c r="X205" s="195">
        <f t="shared" ref="X205:X268" si="25">IFERROR(1-(T205/$F$25),"")</f>
        <v>9.3625299440254994E-2</v>
      </c>
      <c r="Y205" s="195">
        <f t="shared" ref="Y205:Y268" si="26">IFERROR(LN(U205/(V205-(1-U205)))/W205,"")</f>
        <v>1.1087868145793659E-2</v>
      </c>
      <c r="Z205" s="255" t="str">
        <f>IF(ISNUMBER(SEARCH("C",'WetLitterbags placem_collection'!W132)),"YES","NO")</f>
        <v>NO</v>
      </c>
      <c r="AA205" s="255" t="str">
        <f>IF(ISNUMBER(SEARCH("H", 'WetLitterbags placem_collection'!W132)),"YES","NO")</f>
        <v>NO</v>
      </c>
      <c r="AB205" s="255" t="str">
        <f>IF(ISNUMBER(SEARCH("R", 'WetLitterbags placem_collection'!W132)),"YES","NO")</f>
        <v>NO</v>
      </c>
      <c r="AC205" s="255" t="str">
        <f>IF(ISNUMBER(SEARCH("C", 'WetLitterbags placem_collection'!V132)),"YES","NO")</f>
        <v>NO</v>
      </c>
      <c r="AD205" s="255" t="str">
        <f>IF(ISNUMBER(SEARCH("H", 'WetLitterbags placem_collection'!V132)),"YES","NO")</f>
        <v>NO</v>
      </c>
      <c r="AE205" s="255" t="str">
        <f>IF(ISNUMBER(SEARCH("R", 'WetLitterbags placem_collection'!V132)),"YES","NO")</f>
        <v>YES</v>
      </c>
    </row>
    <row r="206" spans="2:31">
      <c r="B206" t="str">
        <f>'Final data_for_R_analysis_Wetse'!A132</f>
        <v>Wet</v>
      </c>
      <c r="C206" s="263">
        <f>'Final data_for_R_analysis_Wetse'!B132</f>
        <v>131</v>
      </c>
      <c r="D206" t="s">
        <v>3846</v>
      </c>
      <c r="E206" t="s">
        <v>22</v>
      </c>
      <c r="F206" s="386">
        <v>3</v>
      </c>
      <c r="G206" s="16">
        <f>'WetLitterbags placem_collection'!E133</f>
        <v>42762</v>
      </c>
      <c r="H206" t="str">
        <f>'Final data_for_R_analysis_Wetse'!J132</f>
        <v>G746</v>
      </c>
      <c r="I206" t="str">
        <f>'Final data_for_R_analysis_Wetse'!J352</f>
        <v>R476</v>
      </c>
      <c r="J206">
        <f>IFERROR(INDEX('Green_rooibos initial weight'!$C$5:$C$1749,MATCH(H206, 'Green_rooibos initial weight'!$A$5:$A$1749,0)),"")</f>
        <v>2.198</v>
      </c>
      <c r="K206">
        <f>IFERROR(INDEX('Green_rooibos initial weight'!$C$5:$C$1749,MATCH(I206, 'Green_rooibos initial weight'!$A$5:$A$1749,0)),"")</f>
        <v>2.2429999999999999</v>
      </c>
      <c r="L206" s="195">
        <f t="shared" si="20"/>
        <v>1.9481999999999999</v>
      </c>
      <c r="M206" s="195">
        <f>AVERAGE(Ashed_controlls!$K$2:$K$11)</f>
        <v>5.5147656768714146</v>
      </c>
      <c r="N206" s="195">
        <f t="shared" si="18"/>
        <v>1.9931999999999999</v>
      </c>
      <c r="O206" s="16">
        <f>IF('WetLitterbags placem_collection'!G133="N.A","",'WetLitterbags placem_collection'!G133)</f>
        <v>42816</v>
      </c>
      <c r="P206" s="195">
        <f>IF(IFERROR(INDEX('Both teabags AfterWet'!$C$3:$C$841,MATCH(H206,'Both teabags AfterWet'!$A$3:$A$841,0)),"")="N.A","",(IFERROR(INDEX('Both teabags AfterWet'!$C$3:$C$841,MATCH(H206,'Both teabags AfterWet'!$A$3:$A$841,0)),"")))</f>
        <v>0.6613</v>
      </c>
      <c r="Q206" s="195">
        <f>IFERROR(INDEX('Both teabags AfterWet'!$C$3:$C$841,MATCH(I206,'Both teabags AfterWet'!$A$3:$A$841,0)),"")</f>
        <v>0.64019999999999999</v>
      </c>
      <c r="R206" s="195">
        <f t="shared" si="21"/>
        <v>0.51069999999999993</v>
      </c>
      <c r="S206" s="195">
        <f t="shared" si="21"/>
        <v>0.48959999999999998</v>
      </c>
      <c r="T206" s="195">
        <f t="shared" si="22"/>
        <v>0.7378605892618828</v>
      </c>
      <c r="U206" s="195">
        <f t="shared" si="23"/>
        <v>0.4837280822714482</v>
      </c>
      <c r="V206" s="195">
        <f t="shared" si="24"/>
        <v>0.24563515954244433</v>
      </c>
      <c r="W206">
        <f t="shared" si="19"/>
        <v>54</v>
      </c>
      <c r="X206" s="195">
        <f t="shared" si="25"/>
        <v>0.12368101037781132</v>
      </c>
      <c r="Y206" s="195" t="str">
        <f t="shared" si="26"/>
        <v/>
      </c>
      <c r="Z206" s="255" t="str">
        <f>IF(ISNUMBER(SEARCH("C",'WetLitterbags placem_collection'!W133)),"YES","NO")</f>
        <v>YES</v>
      </c>
      <c r="AA206" s="255" t="str">
        <f>IF(ISNUMBER(SEARCH("H", 'WetLitterbags placem_collection'!W133)),"YES","NO")</f>
        <v>YES</v>
      </c>
      <c r="AB206" s="255" t="str">
        <f>IF(ISNUMBER(SEARCH("R", 'WetLitterbags placem_collection'!W133)),"YES","NO")</f>
        <v>NO</v>
      </c>
      <c r="AC206" s="255" t="str">
        <f>IF(ISNUMBER(SEARCH("C", 'WetLitterbags placem_collection'!V133)),"YES","NO")</f>
        <v>NO</v>
      </c>
      <c r="AD206" s="255" t="str">
        <f>IF(ISNUMBER(SEARCH("H", 'WetLitterbags placem_collection'!V133)),"YES","NO")</f>
        <v>YES</v>
      </c>
      <c r="AE206" s="255" t="str">
        <f>IF(ISNUMBER(SEARCH("R", 'WetLitterbags placem_collection'!V133)),"YES","NO")</f>
        <v>NO</v>
      </c>
    </row>
    <row r="207" spans="2:31">
      <c r="B207" t="str">
        <f>'Final data_for_R_analysis_Wetse'!A133</f>
        <v>Wet</v>
      </c>
      <c r="C207" s="263">
        <f>'Final data_for_R_analysis_Wetse'!B133</f>
        <v>132</v>
      </c>
      <c r="D207" t="s">
        <v>3846</v>
      </c>
      <c r="E207" t="s">
        <v>22</v>
      </c>
      <c r="F207" s="387">
        <v>4</v>
      </c>
      <c r="G207" s="16">
        <f>'WetLitterbags placem_collection'!E134</f>
        <v>42762</v>
      </c>
      <c r="H207" t="str">
        <f>'Final data_for_R_analysis_Wetse'!J133</f>
        <v>G725</v>
      </c>
      <c r="I207" t="str">
        <f>'Final data_for_R_analysis_Wetse'!J353</f>
        <v>R536</v>
      </c>
      <c r="J207">
        <f>IFERROR(INDEX('Green_rooibos initial weight'!$C$5:$C$1749,MATCH(H207, 'Green_rooibos initial weight'!$A$5:$A$1749,0)),"")</f>
        <v>2.0270000000000001</v>
      </c>
      <c r="K207">
        <f>IFERROR(INDEX('Green_rooibos initial weight'!$C$5:$C$1749,MATCH(I207, 'Green_rooibos initial weight'!$A$5:$A$1749,0)),"")</f>
        <v>2.1970000000000001</v>
      </c>
      <c r="L207" s="195">
        <f t="shared" si="20"/>
        <v>1.7772000000000001</v>
      </c>
      <c r="M207" s="195">
        <f>AVERAGE(Ashed_controlls!$K$2:$K$11)</f>
        <v>5.5147656768714146</v>
      </c>
      <c r="N207" s="195">
        <f t="shared" si="18"/>
        <v>1.9472</v>
      </c>
      <c r="O207" s="16">
        <f>IF('WetLitterbags placem_collection'!G134="N.A","",'WetLitterbags placem_collection'!G134)</f>
        <v>42816</v>
      </c>
      <c r="P207" s="195">
        <f>IF(IFERROR(INDEX('Both teabags AfterWet'!$C$3:$C$841,MATCH(H207,'Both teabags AfterWet'!$A$3:$A$841,0)),"")="N.A","",(IFERROR(INDEX('Both teabags AfterWet'!$C$3:$C$841,MATCH(H207,'Both teabags AfterWet'!$A$3:$A$841,0)),"")))</f>
        <v>0.56820000000000004</v>
      </c>
      <c r="Q207" s="195">
        <f>IFERROR(INDEX('Both teabags AfterWet'!$C$3:$C$841,MATCH(I207,'Both teabags AfterWet'!$A$3:$A$841,0)),"")</f>
        <v>1.593</v>
      </c>
      <c r="R207" s="195">
        <f t="shared" si="21"/>
        <v>0.41760000000000003</v>
      </c>
      <c r="S207" s="195">
        <f t="shared" si="21"/>
        <v>1.4423999999999999</v>
      </c>
      <c r="T207" s="195">
        <f t="shared" si="22"/>
        <v>0.76502363268062124</v>
      </c>
      <c r="U207" s="195">
        <f t="shared" si="23"/>
        <v>0.50153568318254504</v>
      </c>
      <c r="V207" s="195">
        <f t="shared" si="24"/>
        <v>0.74075595727198018</v>
      </c>
      <c r="W207">
        <f t="shared" si="19"/>
        <v>54</v>
      </c>
      <c r="X207" s="195">
        <f t="shared" si="25"/>
        <v>9.142086379973724E-2</v>
      </c>
      <c r="Y207" s="195">
        <f t="shared" si="26"/>
        <v>1.3472826506602713E-2</v>
      </c>
      <c r="Z207" s="255" t="str">
        <f>IF(ISNUMBER(SEARCH("C",'WetLitterbags placem_collection'!W134)),"YES","NO")</f>
        <v>YES</v>
      </c>
      <c r="AA207" s="255" t="str">
        <f>IF(ISNUMBER(SEARCH("H", 'WetLitterbags placem_collection'!W134)),"YES","NO")</f>
        <v>YES</v>
      </c>
      <c r="AB207" s="255" t="str">
        <f>IF(ISNUMBER(SEARCH("R", 'WetLitterbags placem_collection'!W134)),"YES","NO")</f>
        <v>NO</v>
      </c>
      <c r="AC207" s="255" t="str">
        <f>IF(ISNUMBER(SEARCH("C", 'WetLitterbags placem_collection'!V134)),"YES","NO")</f>
        <v>NO</v>
      </c>
      <c r="AD207" s="255" t="str">
        <f>IF(ISNUMBER(SEARCH("H", 'WetLitterbags placem_collection'!V134)),"YES","NO")</f>
        <v>NO</v>
      </c>
      <c r="AE207" s="255" t="str">
        <f>IF(ISNUMBER(SEARCH("R", 'WetLitterbags placem_collection'!V134)),"YES","NO")</f>
        <v>NO</v>
      </c>
    </row>
    <row r="208" spans="2:31">
      <c r="B208" t="str">
        <f>'Final data_for_R_analysis_Wetse'!A134</f>
        <v>Wet</v>
      </c>
      <c r="C208" s="263">
        <f>'Final data_for_R_analysis_Wetse'!B134</f>
        <v>133</v>
      </c>
      <c r="D208" t="s">
        <v>3846</v>
      </c>
      <c r="E208" t="s">
        <v>22</v>
      </c>
      <c r="F208" s="387">
        <v>5</v>
      </c>
      <c r="G208" s="16">
        <f>'WetLitterbags placem_collection'!E135</f>
        <v>42762</v>
      </c>
      <c r="H208" t="str">
        <f>'Final data_for_R_analysis_Wetse'!J134</f>
        <v>G846</v>
      </c>
      <c r="I208" t="str">
        <f>'Final data_for_R_analysis_Wetse'!J354</f>
        <v>R524</v>
      </c>
      <c r="J208">
        <f>IFERROR(INDEX('Green_rooibos initial weight'!$C$5:$C$1749,MATCH(H208, 'Green_rooibos initial weight'!$A$5:$A$1749,0)),"")</f>
        <v>2.0350000000000001</v>
      </c>
      <c r="K208">
        <f>IFERROR(INDEX('Green_rooibos initial weight'!$C$5:$C$1749,MATCH(I208, 'Green_rooibos initial weight'!$A$5:$A$1749,0)),"")</f>
        <v>2.1080000000000001</v>
      </c>
      <c r="L208" s="195">
        <f t="shared" si="20"/>
        <v>1.7852000000000001</v>
      </c>
      <c r="M208" s="195">
        <f>AVERAGE(Ashed_controlls!$K$2:$K$11)</f>
        <v>5.5147656768714146</v>
      </c>
      <c r="N208" s="195">
        <f t="shared" si="18"/>
        <v>1.8582000000000001</v>
      </c>
      <c r="O208" s="16">
        <f>IF('WetLitterbags placem_collection'!G135="N.A","",'WetLitterbags placem_collection'!G135)</f>
        <v>42816</v>
      </c>
      <c r="P208" s="195">
        <f>IF(IFERROR(INDEX('Both teabags AfterWet'!$C$3:$C$841,MATCH(H208,'Both teabags AfterWet'!$A$3:$A$841,0)),"")="N.A","",(IFERROR(INDEX('Both teabags AfterWet'!$C$3:$C$841,MATCH(H208,'Both teabags AfterWet'!$A$3:$A$841,0)),"")))</f>
        <v>0.59309999999999996</v>
      </c>
      <c r="Q208" s="195">
        <f>IFERROR(INDEX('Both teabags AfterWet'!$C$3:$C$841,MATCH(I208,'Both teabags AfterWet'!$A$3:$A$841,0)),"")</f>
        <v>1.5687</v>
      </c>
      <c r="R208" s="195">
        <f t="shared" si="21"/>
        <v>0.44249999999999995</v>
      </c>
      <c r="S208" s="195">
        <f t="shared" si="21"/>
        <v>1.4180999999999999</v>
      </c>
      <c r="T208" s="195">
        <f t="shared" si="22"/>
        <v>0.75212861304055578</v>
      </c>
      <c r="U208" s="195">
        <f t="shared" si="23"/>
        <v>0.49308194109072068</v>
      </c>
      <c r="V208" s="195">
        <f t="shared" si="24"/>
        <v>0.76315789473684204</v>
      </c>
      <c r="W208">
        <f t="shared" si="19"/>
        <v>54</v>
      </c>
      <c r="X208" s="195">
        <f t="shared" si="25"/>
        <v>0.10673561396608577</v>
      </c>
      <c r="Y208" s="195">
        <f t="shared" si="26"/>
        <v>1.2121509346994163E-2</v>
      </c>
      <c r="Z208" s="255" t="str">
        <f>IF(ISNUMBER(SEARCH("C",'WetLitterbags placem_collection'!W135)),"YES","NO")</f>
        <v>NO</v>
      </c>
      <c r="AA208" s="255" t="str">
        <f>IF(ISNUMBER(SEARCH("H", 'WetLitterbags placem_collection'!W135)),"YES","NO")</f>
        <v>NO</v>
      </c>
      <c r="AB208" s="255" t="str">
        <f>IF(ISNUMBER(SEARCH("R", 'WetLitterbags placem_collection'!W135)),"YES","NO")</f>
        <v>NO</v>
      </c>
      <c r="AC208" s="255" t="str">
        <f>IF(ISNUMBER(SEARCH("C", 'WetLitterbags placem_collection'!V135)),"YES","NO")</f>
        <v>NO</v>
      </c>
      <c r="AD208" s="255" t="str">
        <f>IF(ISNUMBER(SEARCH("H", 'WetLitterbags placem_collection'!V135)),"YES","NO")</f>
        <v>NO</v>
      </c>
      <c r="AE208" s="255" t="str">
        <f>IF(ISNUMBER(SEARCH("R", 'WetLitterbags placem_collection'!V135)),"YES","NO")</f>
        <v>NO</v>
      </c>
    </row>
    <row r="209" spans="2:31">
      <c r="B209" t="str">
        <f>'Final data_for_R_analysis_Wetse'!A135</f>
        <v>Wet</v>
      </c>
      <c r="C209" s="263">
        <f>'Final data_for_R_analysis_Wetse'!B135</f>
        <v>134</v>
      </c>
      <c r="D209" t="s">
        <v>3846</v>
      </c>
      <c r="E209" t="s">
        <v>22</v>
      </c>
      <c r="F209" s="387">
        <v>6</v>
      </c>
      <c r="G209" s="16">
        <f>'WetLitterbags placem_collection'!E136</f>
        <v>42762</v>
      </c>
      <c r="H209" t="str">
        <f>'Final data_for_R_analysis_Wetse'!J135</f>
        <v>G756</v>
      </c>
      <c r="I209" t="str">
        <f>'Final data_for_R_analysis_Wetse'!J355</f>
        <v>R600</v>
      </c>
      <c r="J209">
        <f>IFERROR(INDEX('Green_rooibos initial weight'!$C$5:$C$1749,MATCH(H209, 'Green_rooibos initial weight'!$A$5:$A$1749,0)),"")</f>
        <v>2.1459999999999999</v>
      </c>
      <c r="K209">
        <f>IFERROR(INDEX('Green_rooibos initial weight'!$C$5:$C$1749,MATCH(I209, 'Green_rooibos initial weight'!$A$5:$A$1749,0)),"")</f>
        <v>2.2440000000000002</v>
      </c>
      <c r="L209" s="195">
        <f t="shared" si="20"/>
        <v>1.8961999999999999</v>
      </c>
      <c r="M209" s="195">
        <f>AVERAGE(Ashed_controlls!$K$2:$K$11)</f>
        <v>5.5147656768714146</v>
      </c>
      <c r="N209" s="195">
        <f t="shared" si="18"/>
        <v>1.9942000000000002</v>
      </c>
      <c r="O209" s="16">
        <f>IF('WetLitterbags placem_collection'!G136="N.A","",'WetLitterbags placem_collection'!G136)</f>
        <v>42816</v>
      </c>
      <c r="P209" s="195">
        <f>IF(IFERROR(INDEX('Both teabags AfterWet'!$C$3:$C$841,MATCH(H209,'Both teabags AfterWet'!$A$3:$A$841,0)),"")="N.A","",(IFERROR(INDEX('Both teabags AfterWet'!$C$3:$C$841,MATCH(H209,'Both teabags AfterWet'!$A$3:$A$841,0)),"")))</f>
        <v>0.69399999999999995</v>
      </c>
      <c r="Q209" s="195">
        <f>IFERROR(INDEX('Both teabags AfterWet'!$C$3:$C$841,MATCH(I209,'Both teabags AfterWet'!$A$3:$A$841,0)),"")</f>
        <v>1.4419999999999999</v>
      </c>
      <c r="R209" s="195">
        <f t="shared" si="21"/>
        <v>0.54339999999999988</v>
      </c>
      <c r="S209" s="195">
        <f t="shared" si="21"/>
        <v>1.2913999999999999</v>
      </c>
      <c r="T209" s="195">
        <f t="shared" si="22"/>
        <v>0.71342685370741488</v>
      </c>
      <c r="U209" s="195">
        <f t="shared" si="23"/>
        <v>0.46770976632600125</v>
      </c>
      <c r="V209" s="195">
        <f t="shared" si="24"/>
        <v>0.64757797613077916</v>
      </c>
      <c r="W209">
        <f t="shared" si="19"/>
        <v>54</v>
      </c>
      <c r="X209" s="195">
        <f t="shared" si="25"/>
        <v>0.15269969868478039</v>
      </c>
      <c r="Y209" s="195">
        <f t="shared" si="26"/>
        <v>2.5933645083252174E-2</v>
      </c>
      <c r="Z209" s="255" t="str">
        <f>IF(ISNUMBER(SEARCH("C",'WetLitterbags placem_collection'!W136)),"YES","NO")</f>
        <v>NO</v>
      </c>
      <c r="AA209" s="255" t="str">
        <f>IF(ISNUMBER(SEARCH("H", 'WetLitterbags placem_collection'!W136)),"YES","NO")</f>
        <v>NO</v>
      </c>
      <c r="AB209" s="255" t="str">
        <f>IF(ISNUMBER(SEARCH("R", 'WetLitterbags placem_collection'!W136)),"YES","NO")</f>
        <v>NO</v>
      </c>
      <c r="AC209" s="255" t="str">
        <f>IF(ISNUMBER(SEARCH("C", 'WetLitterbags placem_collection'!V136)),"YES","NO")</f>
        <v>NO</v>
      </c>
      <c r="AD209" s="255" t="str">
        <f>IF(ISNUMBER(SEARCH("H", 'WetLitterbags placem_collection'!V136)),"YES","NO")</f>
        <v>NO</v>
      </c>
      <c r="AE209" s="255" t="str">
        <f>IF(ISNUMBER(SEARCH("R", 'WetLitterbags placem_collection'!V136)),"YES","NO")</f>
        <v>YES</v>
      </c>
    </row>
    <row r="210" spans="2:31">
      <c r="B210" t="str">
        <f>'Final data_for_R_analysis_Wetse'!A136</f>
        <v>Wet</v>
      </c>
      <c r="C210" s="263">
        <f>'Final data_for_R_analysis_Wetse'!B136</f>
        <v>135</v>
      </c>
      <c r="D210" t="s">
        <v>3846</v>
      </c>
      <c r="E210" t="s">
        <v>22</v>
      </c>
      <c r="F210" s="387">
        <v>7</v>
      </c>
      <c r="G210" s="16">
        <f>'WetLitterbags placem_collection'!E137</f>
        <v>42762</v>
      </c>
      <c r="H210" t="str">
        <f>'Final data_for_R_analysis_Wetse'!J136</f>
        <v>G745</v>
      </c>
      <c r="I210" t="str">
        <f>'Final data_for_R_analysis_Wetse'!J356</f>
        <v>R432</v>
      </c>
      <c r="J210">
        <f>IFERROR(INDEX('Green_rooibos initial weight'!$C$5:$C$1749,MATCH(H210, 'Green_rooibos initial weight'!$A$5:$A$1749,0)),"")</f>
        <v>1.9570000000000001</v>
      </c>
      <c r="K210">
        <f>IFERROR(INDEX('Green_rooibos initial weight'!$C$5:$C$1749,MATCH(I210, 'Green_rooibos initial weight'!$A$5:$A$1749,0)),"")</f>
        <v>2.2240000000000002</v>
      </c>
      <c r="L210" s="195">
        <f t="shared" si="20"/>
        <v>1.7072000000000001</v>
      </c>
      <c r="M210" s="195">
        <f>AVERAGE(Ashed_controlls!$K$2:$K$11)</f>
        <v>5.5147656768714146</v>
      </c>
      <c r="N210" s="195">
        <f t="shared" si="18"/>
        <v>1.9742000000000002</v>
      </c>
      <c r="O210" s="16">
        <f>IF('WetLitterbags placem_collection'!G137="N.A","",'WetLitterbags placem_collection'!G137)</f>
        <v>42816</v>
      </c>
      <c r="P210" s="195">
        <f>IF(IFERROR(INDEX('Both teabags AfterWet'!$C$3:$C$841,MATCH(H210,'Both teabags AfterWet'!$A$3:$A$841,0)),"")="N.A","",(IFERROR(INDEX('Both teabags AfterWet'!$C$3:$C$841,MATCH(H210,'Both teabags AfterWet'!$A$3:$A$841,0)),"")))</f>
        <v>0.61099999999999999</v>
      </c>
      <c r="Q210" s="195">
        <f>IFERROR(INDEX('Both teabags AfterWet'!$C$3:$C$841,MATCH(I210,'Both teabags AfterWet'!$A$3:$A$841,0)),"")</f>
        <v>1.6830000000000001</v>
      </c>
      <c r="R210" s="195">
        <f t="shared" si="21"/>
        <v>0.46039999999999998</v>
      </c>
      <c r="S210" s="195">
        <f t="shared" si="21"/>
        <v>1.5324</v>
      </c>
      <c r="T210" s="195">
        <f t="shared" si="22"/>
        <v>0.73031865042174315</v>
      </c>
      <c r="U210" s="195">
        <f t="shared" si="23"/>
        <v>0.4787837233168673</v>
      </c>
      <c r="V210" s="195">
        <f t="shared" si="24"/>
        <v>0.77621314963022991</v>
      </c>
      <c r="W210">
        <f t="shared" si="19"/>
        <v>54</v>
      </c>
      <c r="X210" s="195">
        <f t="shared" si="25"/>
        <v>0.13263818239697955</v>
      </c>
      <c r="Y210" s="195">
        <f t="shared" si="26"/>
        <v>1.1666624004294877E-2</v>
      </c>
      <c r="Z210" s="255" t="str">
        <f>IF(ISNUMBER(SEARCH("C",'WetLitterbags placem_collection'!W137)),"YES","NO")</f>
        <v>NO</v>
      </c>
      <c r="AA210" s="255" t="str">
        <f>IF(ISNUMBER(SEARCH("H", 'WetLitterbags placem_collection'!W137)),"YES","NO")</f>
        <v>NO</v>
      </c>
      <c r="AB210" s="255" t="str">
        <f>IF(ISNUMBER(SEARCH("R", 'WetLitterbags placem_collection'!W137)),"YES","NO")</f>
        <v>YES</v>
      </c>
      <c r="AC210" s="255" t="str">
        <f>IF(ISNUMBER(SEARCH("C", 'WetLitterbags placem_collection'!V137)),"YES","NO")</f>
        <v>NO</v>
      </c>
      <c r="AD210" s="255" t="str">
        <f>IF(ISNUMBER(SEARCH("H", 'WetLitterbags placem_collection'!V137)),"YES","NO")</f>
        <v>NO</v>
      </c>
      <c r="AE210" s="255" t="str">
        <f>IF(ISNUMBER(SEARCH("R", 'WetLitterbags placem_collection'!V137)),"YES","NO")</f>
        <v>YES</v>
      </c>
    </row>
    <row r="211" spans="2:31">
      <c r="B211" t="str">
        <f>'Final data_for_R_analysis_Wetse'!A137</f>
        <v>Wet</v>
      </c>
      <c r="C211" s="263">
        <f>'Final data_for_R_analysis_Wetse'!B137</f>
        <v>136</v>
      </c>
      <c r="D211" t="s">
        <v>3846</v>
      </c>
      <c r="E211" t="s">
        <v>22</v>
      </c>
      <c r="F211" s="387">
        <v>8</v>
      </c>
      <c r="G211" s="16">
        <f>'WetLitterbags placem_collection'!E138</f>
        <v>42762</v>
      </c>
      <c r="H211" t="str">
        <f>'Final data_for_R_analysis_Wetse'!J137</f>
        <v>G832</v>
      </c>
      <c r="I211" t="str">
        <f>'Final data_for_R_analysis_Wetse'!J357</f>
        <v>R474</v>
      </c>
      <c r="J211">
        <f>IFERROR(INDEX('Green_rooibos initial weight'!$C$5:$C$1749,MATCH(H211, 'Green_rooibos initial weight'!$A$5:$A$1749,0)),"")</f>
        <v>2.0470000000000002</v>
      </c>
      <c r="K211">
        <f>IFERROR(INDEX('Green_rooibos initial weight'!$C$5:$C$1749,MATCH(I211, 'Green_rooibos initial weight'!$A$5:$A$1749,0)),"")</f>
        <v>2.258</v>
      </c>
      <c r="L211" s="195">
        <f t="shared" si="20"/>
        <v>1.7972000000000001</v>
      </c>
      <c r="M211" s="195">
        <f>AVERAGE(Ashed_controlls!$K$2:$K$11)</f>
        <v>5.5147656768714146</v>
      </c>
      <c r="N211" s="195">
        <f t="shared" si="18"/>
        <v>2.0082</v>
      </c>
      <c r="O211" s="16">
        <f>IF('WetLitterbags placem_collection'!G138="N.A","",'WetLitterbags placem_collection'!G138)</f>
        <v>42816</v>
      </c>
      <c r="P211" s="195">
        <f>IF(IFERROR(INDEX('Both teabags AfterWet'!$C$3:$C$841,MATCH(H211,'Both teabags AfterWet'!$A$3:$A$841,0)),"")="N.A","",(IFERROR(INDEX('Both teabags AfterWet'!$C$3:$C$841,MATCH(H211,'Both teabags AfterWet'!$A$3:$A$841,0)),"")))</f>
        <v>0.5796</v>
      </c>
      <c r="Q211" s="195">
        <f>IFERROR(INDEX('Both teabags AfterWet'!$C$3:$C$841,MATCH(I211,'Both teabags AfterWet'!$A$3:$A$841,0)),"")</f>
        <v>1.5827</v>
      </c>
      <c r="R211" s="195">
        <f t="shared" si="21"/>
        <v>0.42899999999999999</v>
      </c>
      <c r="S211" s="195">
        <f t="shared" si="21"/>
        <v>1.4320999999999999</v>
      </c>
      <c r="T211" s="195">
        <f t="shared" si="22"/>
        <v>0.76129534831960832</v>
      </c>
      <c r="U211" s="195">
        <f t="shared" si="23"/>
        <v>0.49909148725941072</v>
      </c>
      <c r="V211" s="195">
        <f t="shared" si="24"/>
        <v>0.71312618265113037</v>
      </c>
      <c r="W211">
        <f t="shared" si="19"/>
        <v>54</v>
      </c>
      <c r="X211" s="195">
        <f t="shared" si="25"/>
        <v>9.5848754964835692E-2</v>
      </c>
      <c r="Y211" s="195">
        <f t="shared" si="26"/>
        <v>1.5836609765865289E-2</v>
      </c>
      <c r="Z211" s="255" t="str">
        <f>IF(ISNUMBER(SEARCH("C",'WetLitterbags placem_collection'!W138)),"YES","NO")</f>
        <v>NO</v>
      </c>
      <c r="AA211" s="255" t="str">
        <f>IF(ISNUMBER(SEARCH("H", 'WetLitterbags placem_collection'!W138)),"YES","NO")</f>
        <v>NO</v>
      </c>
      <c r="AB211" s="255" t="str">
        <f>IF(ISNUMBER(SEARCH("R", 'WetLitterbags placem_collection'!W138)),"YES","NO")</f>
        <v>YES</v>
      </c>
      <c r="AC211" s="255" t="str">
        <f>IF(ISNUMBER(SEARCH("C", 'WetLitterbags placem_collection'!V138)),"YES","NO")</f>
        <v>NO</v>
      </c>
      <c r="AD211" s="255" t="str">
        <f>IF(ISNUMBER(SEARCH("H", 'WetLitterbags placem_collection'!V138)),"YES","NO")</f>
        <v>NO</v>
      </c>
      <c r="AE211" s="255" t="str">
        <f>IF(ISNUMBER(SEARCH("R", 'WetLitterbags placem_collection'!V138)),"YES","NO")</f>
        <v>YES</v>
      </c>
    </row>
    <row r="212" spans="2:31">
      <c r="B212" t="str">
        <f>'Final data_for_R_analysis_Wetse'!A138</f>
        <v>Wet</v>
      </c>
      <c r="C212" s="263">
        <f>'Final data_for_R_analysis_Wetse'!B138</f>
        <v>137</v>
      </c>
      <c r="D212" t="s">
        <v>3848</v>
      </c>
      <c r="E212" t="s">
        <v>22</v>
      </c>
      <c r="F212" s="386">
        <v>1</v>
      </c>
      <c r="G212" s="16">
        <f>'WetLitterbags placem_collection'!E139</f>
        <v>42762</v>
      </c>
      <c r="H212" t="str">
        <f>'Final data_for_R_analysis_Wetse'!J138</f>
        <v>G805</v>
      </c>
      <c r="I212" t="str">
        <f>'Final data_for_R_analysis_Wetse'!J358</f>
        <v>R34</v>
      </c>
      <c r="J212">
        <f>IFERROR(INDEX('Green_rooibos initial weight'!$C$5:$C$1749,MATCH(H212, 'Green_rooibos initial weight'!$A$5:$A$1749,0)),"")</f>
        <v>1.9810000000000001</v>
      </c>
      <c r="K212">
        <f>IFERROR(INDEX('Green_rooibos initial weight'!$C$5:$C$1749,MATCH(I212, 'Green_rooibos initial weight'!$A$5:$A$1749,0)),"")</f>
        <v>2.1349999999999998</v>
      </c>
      <c r="L212" s="195">
        <f t="shared" si="20"/>
        <v>1.7312000000000001</v>
      </c>
      <c r="M212" s="195">
        <f>AVERAGE(Ashed_controlls!$K$2:$K$11)</f>
        <v>5.5147656768714146</v>
      </c>
      <c r="N212" s="195">
        <f t="shared" si="18"/>
        <v>1.8851999999999998</v>
      </c>
      <c r="O212" s="16">
        <f>IF('WetLitterbags placem_collection'!G139="N.A","",'WetLitterbags placem_collection'!G139)</f>
        <v>42816</v>
      </c>
      <c r="P212" s="195">
        <f>IF(IFERROR(INDEX('Both teabags AfterWet'!$C$3:$C$841,MATCH(H212,'Both teabags AfterWet'!$A$3:$A$841,0)),"")="N.A","",(IFERROR(INDEX('Both teabags AfterWet'!$C$3:$C$841,MATCH(H212,'Both teabags AfterWet'!$A$3:$A$841,0)),"")))</f>
        <v>1.5740000000000001</v>
      </c>
      <c r="Q212" s="195">
        <f>IFERROR(INDEX('Both teabags AfterWet'!$C$3:$C$841,MATCH(I212,'Both teabags AfterWet'!$A$3:$A$841,0)),"")</f>
        <v>1.571</v>
      </c>
      <c r="R212" s="195">
        <f t="shared" si="21"/>
        <v>1.4234</v>
      </c>
      <c r="S212" s="195">
        <f t="shared" si="21"/>
        <v>1.4203999999999999</v>
      </c>
      <c r="T212" s="195">
        <f t="shared" si="22"/>
        <v>0.17779574861367842</v>
      </c>
      <c r="U212" s="195">
        <f t="shared" si="23"/>
        <v>0.11655968317666331</v>
      </c>
      <c r="V212" s="195">
        <f t="shared" si="24"/>
        <v>0.75344791003607048</v>
      </c>
      <c r="W212">
        <f t="shared" si="19"/>
        <v>54</v>
      </c>
      <c r="X212" s="195">
        <f t="shared" si="25"/>
        <v>0.78884115366546503</v>
      </c>
      <c r="Y212" s="195" t="str">
        <f t="shared" si="26"/>
        <v/>
      </c>
      <c r="Z212" s="255" t="str">
        <f>IF(ISNUMBER(SEARCH("C",'WetLitterbags placem_collection'!W139)),"YES","NO")</f>
        <v>YES</v>
      </c>
      <c r="AA212" s="255" t="str">
        <f>IF(ISNUMBER(SEARCH("H", 'WetLitterbags placem_collection'!W139)),"YES","NO")</f>
        <v>NO</v>
      </c>
      <c r="AB212" s="255" t="str">
        <f>IF(ISNUMBER(SEARCH("R", 'WetLitterbags placem_collection'!W139)),"YES","NO")</f>
        <v>NO</v>
      </c>
      <c r="AC212" s="255" t="str">
        <f>IF(ISNUMBER(SEARCH("C", 'WetLitterbags placem_collection'!V139)),"YES","NO")</f>
        <v>NO</v>
      </c>
      <c r="AD212" s="255" t="str">
        <f>IF(ISNUMBER(SEARCH("H", 'WetLitterbags placem_collection'!V139)),"YES","NO")</f>
        <v>NO</v>
      </c>
      <c r="AE212" s="255" t="str">
        <f>IF(ISNUMBER(SEARCH("R", 'WetLitterbags placem_collection'!V139)),"YES","NO")</f>
        <v>YES</v>
      </c>
    </row>
    <row r="213" spans="2:31">
      <c r="B213" t="str">
        <f>'Final data_for_R_analysis_Wetse'!A139</f>
        <v>Wet</v>
      </c>
      <c r="C213" s="263">
        <f>'Final data_for_R_analysis_Wetse'!B139</f>
        <v>138</v>
      </c>
      <c r="D213" t="s">
        <v>3848</v>
      </c>
      <c r="E213" t="s">
        <v>22</v>
      </c>
      <c r="F213" s="386">
        <v>2</v>
      </c>
      <c r="G213" s="16">
        <f>'WetLitterbags placem_collection'!E140</f>
        <v>42762</v>
      </c>
      <c r="H213" t="str">
        <f>'Final data_for_R_analysis_Wetse'!J139</f>
        <v>G815</v>
      </c>
      <c r="I213" t="str">
        <f>'Final data_for_R_analysis_Wetse'!J359</f>
        <v>R426</v>
      </c>
      <c r="J213">
        <f>IFERROR(INDEX('Green_rooibos initial weight'!$C$5:$C$1749,MATCH(H213, 'Green_rooibos initial weight'!$A$5:$A$1749,0)),"")</f>
        <v>1.998</v>
      </c>
      <c r="K213">
        <f>IFERROR(INDEX('Green_rooibos initial weight'!$C$5:$C$1749,MATCH(I213, 'Green_rooibos initial weight'!$A$5:$A$1749,0)),"")</f>
        <v>2.153</v>
      </c>
      <c r="L213" s="195">
        <f t="shared" si="20"/>
        <v>1.7482</v>
      </c>
      <c r="M213" s="195">
        <f>AVERAGE(Ashed_controlls!$K$2:$K$11)</f>
        <v>5.5147656768714146</v>
      </c>
      <c r="N213" s="195">
        <f t="shared" si="18"/>
        <v>1.9032</v>
      </c>
      <c r="O213" s="16">
        <f>IF('WetLitterbags placem_collection'!G140="N.A","",'WetLitterbags placem_collection'!G140)</f>
        <v>42816</v>
      </c>
      <c r="P213" s="195">
        <f>IF(IFERROR(INDEX('Both teabags AfterWet'!$C$3:$C$841,MATCH(H213,'Both teabags AfterWet'!$A$3:$A$841,0)),"")="N.A","",(IFERROR(INDEX('Both teabags AfterWet'!$C$3:$C$841,MATCH(H213,'Both teabags AfterWet'!$A$3:$A$841,0)),"")))</f>
        <v>0.64300000000000002</v>
      </c>
      <c r="Q213" s="195">
        <f>IFERROR(INDEX('Both teabags AfterWet'!$C$3:$C$841,MATCH(I213,'Both teabags AfterWet'!$A$3:$A$841,0)),"")</f>
        <v>1.613</v>
      </c>
      <c r="R213" s="195">
        <f t="shared" si="21"/>
        <v>0.4924</v>
      </c>
      <c r="S213" s="195">
        <f t="shared" si="21"/>
        <v>1.4623999999999999</v>
      </c>
      <c r="T213" s="195">
        <f t="shared" si="22"/>
        <v>0.71833886283033976</v>
      </c>
      <c r="U213" s="195">
        <f t="shared" si="23"/>
        <v>0.47092999083414205</v>
      </c>
      <c r="V213" s="195">
        <f t="shared" si="24"/>
        <v>0.76839007986548968</v>
      </c>
      <c r="W213">
        <f t="shared" si="19"/>
        <v>54</v>
      </c>
      <c r="X213" s="195">
        <f t="shared" si="25"/>
        <v>0.1468659586338007</v>
      </c>
      <c r="Y213" s="195">
        <f t="shared" si="26"/>
        <v>1.2535325548331875E-2</v>
      </c>
      <c r="Z213" s="255" t="str">
        <f>IF(ISNUMBER(SEARCH("C",'WetLitterbags placem_collection'!W140)),"YES","NO")</f>
        <v>NO</v>
      </c>
      <c r="AA213" s="255" t="str">
        <f>IF(ISNUMBER(SEARCH("H", 'WetLitterbags placem_collection'!W140)),"YES","NO")</f>
        <v>NO</v>
      </c>
      <c r="AB213" s="255" t="str">
        <f>IF(ISNUMBER(SEARCH("R", 'WetLitterbags placem_collection'!W140)),"YES","NO")</f>
        <v>NO</v>
      </c>
      <c r="AC213" s="255" t="str">
        <f>IF(ISNUMBER(SEARCH("C", 'WetLitterbags placem_collection'!V140)),"YES","NO")</f>
        <v>NO</v>
      </c>
      <c r="AD213" s="255" t="str">
        <f>IF(ISNUMBER(SEARCH("H", 'WetLitterbags placem_collection'!V140)),"YES","NO")</f>
        <v>NO</v>
      </c>
      <c r="AE213" s="255" t="str">
        <f>IF(ISNUMBER(SEARCH("R", 'WetLitterbags placem_collection'!V140)),"YES","NO")</f>
        <v>YES</v>
      </c>
    </row>
    <row r="214" spans="2:31">
      <c r="B214" t="str">
        <f>'Final data_for_R_analysis_Wetse'!A140</f>
        <v>Wet</v>
      </c>
      <c r="C214" s="263">
        <f>'Final data_for_R_analysis_Wetse'!B140</f>
        <v>139</v>
      </c>
      <c r="D214" t="s">
        <v>3848</v>
      </c>
      <c r="E214" t="s">
        <v>22</v>
      </c>
      <c r="F214" s="386">
        <v>3</v>
      </c>
      <c r="G214" s="16">
        <f>'WetLitterbags placem_collection'!E141</f>
        <v>42762</v>
      </c>
      <c r="H214" t="str">
        <f>'Final data_for_R_analysis_Wetse'!J140</f>
        <v>G798</v>
      </c>
      <c r="I214" t="str">
        <f>'Final data_for_R_analysis_Wetse'!J360</f>
        <v>R563</v>
      </c>
      <c r="J214">
        <f>IFERROR(INDEX('Green_rooibos initial weight'!$C$5:$C$1749,MATCH(H214, 'Green_rooibos initial weight'!$A$5:$A$1749,0)),"")</f>
        <v>2.089</v>
      </c>
      <c r="K214">
        <f>IFERROR(INDEX('Green_rooibos initial weight'!$C$5:$C$1749,MATCH(I214, 'Green_rooibos initial weight'!$A$5:$A$1749,0)),"")</f>
        <v>2.1150000000000002</v>
      </c>
      <c r="L214" s="195">
        <f t="shared" si="20"/>
        <v>1.8391999999999999</v>
      </c>
      <c r="M214" s="195">
        <f>AVERAGE(Ashed_controlls!$K$2:$K$11)</f>
        <v>5.5147656768714146</v>
      </c>
      <c r="N214" s="195">
        <f t="shared" si="18"/>
        <v>1.8652000000000002</v>
      </c>
      <c r="O214" s="16">
        <f>IF('WetLitterbags placem_collection'!G141="N.A","",'WetLitterbags placem_collection'!G141)</f>
        <v>42816</v>
      </c>
      <c r="P214" s="195">
        <f>IF(IFERROR(INDEX('Both teabags AfterWet'!$C$3:$C$841,MATCH(H214,'Both teabags AfterWet'!$A$3:$A$841,0)),"")="N.A","",(IFERROR(INDEX('Both teabags AfterWet'!$C$3:$C$841,MATCH(H214,'Both teabags AfterWet'!$A$3:$A$841,0)),"")))</f>
        <v>0.73499999999999999</v>
      </c>
      <c r="Q214" s="195">
        <f>IFERROR(INDEX('Both teabags AfterWet'!$C$3:$C$841,MATCH(I214,'Both teabags AfterWet'!$A$3:$A$841,0)),"")</f>
        <v>2.5009999999999999</v>
      </c>
      <c r="R214" s="195">
        <f t="shared" si="21"/>
        <v>0.58440000000000003</v>
      </c>
      <c r="S214" s="195">
        <f t="shared" si="21"/>
        <v>2.3504</v>
      </c>
      <c r="T214" s="195">
        <f t="shared" si="22"/>
        <v>0.68225315354501959</v>
      </c>
      <c r="U214" s="195">
        <f t="shared" si="23"/>
        <v>0.4472728512551673</v>
      </c>
      <c r="V214" s="195">
        <f t="shared" si="24"/>
        <v>1.2601329616126955</v>
      </c>
      <c r="W214">
        <f t="shared" si="19"/>
        <v>54</v>
      </c>
      <c r="X214" s="195">
        <f t="shared" si="25"/>
        <v>0.18972309555223321</v>
      </c>
      <c r="Y214" s="195">
        <f t="shared" si="26"/>
        <v>-8.4895496311529327E-3</v>
      </c>
      <c r="Z214" s="255" t="str">
        <f>IF(ISNUMBER(SEARCH("C",'WetLitterbags placem_collection'!W141)),"YES","NO")</f>
        <v>YES</v>
      </c>
      <c r="AA214" s="255" t="str">
        <f>IF(ISNUMBER(SEARCH("H", 'WetLitterbags placem_collection'!W141)),"YES","NO")</f>
        <v>YES</v>
      </c>
      <c r="AB214" s="255" t="str">
        <f>IF(ISNUMBER(SEARCH("R", 'WetLitterbags placem_collection'!W141)),"YES","NO")</f>
        <v>YES</v>
      </c>
      <c r="AC214" s="255" t="str">
        <f>IF(ISNUMBER(SEARCH("C", 'WetLitterbags placem_collection'!V141)),"YES","NO")</f>
        <v>NO</v>
      </c>
      <c r="AD214" s="255" t="str">
        <f>IF(ISNUMBER(SEARCH("H", 'WetLitterbags placem_collection'!V141)),"YES","NO")</f>
        <v>NO</v>
      </c>
      <c r="AE214" s="255" t="str">
        <f>IF(ISNUMBER(SEARCH("R", 'WetLitterbags placem_collection'!V141)),"YES","NO")</f>
        <v>NO</v>
      </c>
    </row>
    <row r="215" spans="2:31">
      <c r="B215" t="str">
        <f>'Final data_for_R_analysis_Wetse'!A141</f>
        <v>Wet</v>
      </c>
      <c r="C215" s="263">
        <f>'Final data_for_R_analysis_Wetse'!B141</f>
        <v>140</v>
      </c>
      <c r="D215" t="s">
        <v>3848</v>
      </c>
      <c r="E215" t="s">
        <v>22</v>
      </c>
      <c r="F215" s="387">
        <v>4</v>
      </c>
      <c r="G215" s="16">
        <f>'WetLitterbags placem_collection'!E142</f>
        <v>42762</v>
      </c>
      <c r="H215" t="str">
        <f>'Final data_for_R_analysis_Wetse'!J141</f>
        <v>G787</v>
      </c>
      <c r="I215" t="str">
        <f>'Final data_for_R_analysis_Wetse'!J361</f>
        <v>R535</v>
      </c>
      <c r="J215">
        <f>IFERROR(INDEX('Green_rooibos initial weight'!$C$5:$C$1749,MATCH(H215, 'Green_rooibos initial weight'!$A$5:$A$1749,0)),"")</f>
        <v>2.11</v>
      </c>
      <c r="K215">
        <f>IFERROR(INDEX('Green_rooibos initial weight'!$C$5:$C$1749,MATCH(I215, 'Green_rooibos initial weight'!$A$5:$A$1749,0)),"")</f>
        <v>2.1259999999999999</v>
      </c>
      <c r="L215" s="195">
        <f t="shared" si="20"/>
        <v>1.8601999999999999</v>
      </c>
      <c r="M215" s="195">
        <f>AVERAGE(Ashed_controlls!$K$2:$K$11)</f>
        <v>5.5147656768714146</v>
      </c>
      <c r="N215" s="195">
        <f t="shared" si="18"/>
        <v>1.8761999999999999</v>
      </c>
      <c r="O215" s="16">
        <f>IF('WetLitterbags placem_collection'!G142="N.A","",'WetLitterbags placem_collection'!G142)</f>
        <v>42816</v>
      </c>
      <c r="P215" s="195">
        <f>IF(IFERROR(INDEX('Both teabags AfterWet'!$C$3:$C$841,MATCH(H215,'Both teabags AfterWet'!$A$3:$A$841,0)),"")="N.A","",(IFERROR(INDEX('Both teabags AfterWet'!$C$3:$C$841,MATCH(H215,'Both teabags AfterWet'!$A$3:$A$841,0)),"")))</f>
        <v>0.67869999999999997</v>
      </c>
      <c r="Q215" s="195">
        <f>IFERROR(INDEX('Both teabags AfterWet'!$C$3:$C$841,MATCH(I215,'Both teabags AfterWet'!$A$3:$A$841,0)),"")</f>
        <v>1.5517000000000001</v>
      </c>
      <c r="R215" s="195">
        <f t="shared" si="21"/>
        <v>0.52810000000000001</v>
      </c>
      <c r="S215" s="195">
        <f t="shared" si="21"/>
        <v>1.4011</v>
      </c>
      <c r="T215" s="195">
        <f t="shared" si="22"/>
        <v>0.7161057950757983</v>
      </c>
      <c r="U215" s="195">
        <f t="shared" si="23"/>
        <v>0.46946603192617659</v>
      </c>
      <c r="V215" s="195">
        <f t="shared" si="24"/>
        <v>0.74677539707920271</v>
      </c>
      <c r="W215">
        <f t="shared" si="19"/>
        <v>54</v>
      </c>
      <c r="X215" s="195">
        <f t="shared" si="25"/>
        <v>0.1495180581047526</v>
      </c>
      <c r="Y215" s="195">
        <f t="shared" si="26"/>
        <v>1.4355563633271241E-2</v>
      </c>
      <c r="Z215" s="255" t="str">
        <f>IF(ISNUMBER(SEARCH("C",'WetLitterbags placem_collection'!W142)),"YES","NO")</f>
        <v>NO</v>
      </c>
      <c r="AA215" s="255" t="str">
        <f>IF(ISNUMBER(SEARCH("H", 'WetLitterbags placem_collection'!W142)),"YES","NO")</f>
        <v>NO</v>
      </c>
      <c r="AB215" s="255" t="str">
        <f>IF(ISNUMBER(SEARCH("R", 'WetLitterbags placem_collection'!W142)),"YES","NO")</f>
        <v>YES</v>
      </c>
      <c r="AC215" s="255" t="str">
        <f>IF(ISNUMBER(SEARCH("C", 'WetLitterbags placem_collection'!V142)),"YES","NO")</f>
        <v>NO</v>
      </c>
      <c r="AD215" s="255" t="str">
        <f>IF(ISNUMBER(SEARCH("H", 'WetLitterbags placem_collection'!V142)),"YES","NO")</f>
        <v>NO</v>
      </c>
      <c r="AE215" s="255" t="str">
        <f>IF(ISNUMBER(SEARCH("R", 'WetLitterbags placem_collection'!V142)),"YES","NO")</f>
        <v>NO</v>
      </c>
    </row>
    <row r="216" spans="2:31">
      <c r="B216" t="str">
        <f>'Final data_for_R_analysis_Wetse'!A142</f>
        <v>Wet</v>
      </c>
      <c r="C216" s="263">
        <f>'Final data_for_R_analysis_Wetse'!B142</f>
        <v>141</v>
      </c>
      <c r="D216" t="s">
        <v>3848</v>
      </c>
      <c r="E216" t="s">
        <v>22</v>
      </c>
      <c r="F216" s="387">
        <v>5</v>
      </c>
      <c r="G216" s="16">
        <f>'WetLitterbags placem_collection'!E143</f>
        <v>42762</v>
      </c>
      <c r="H216" t="str">
        <f>'Final data_for_R_analysis_Wetse'!J142</f>
        <v>G900</v>
      </c>
      <c r="I216" t="str">
        <f>'Final data_for_R_analysis_Wetse'!J362</f>
        <v>R581</v>
      </c>
      <c r="J216">
        <f>IFERROR(INDEX('Green_rooibos initial weight'!$C$5:$C$1749,MATCH(H216, 'Green_rooibos initial weight'!$A$5:$A$1749,0)),"")</f>
        <v>2.0910000000000002</v>
      </c>
      <c r="K216">
        <f>IFERROR(INDEX('Green_rooibos initial weight'!$C$5:$C$1749,MATCH(I216, 'Green_rooibos initial weight'!$A$5:$A$1749,0)),"")</f>
        <v>2.069</v>
      </c>
      <c r="L216" s="195">
        <f t="shared" si="20"/>
        <v>1.8412000000000002</v>
      </c>
      <c r="M216" s="195">
        <f>AVERAGE(Ashed_controlls!$K$2:$K$11)</f>
        <v>5.5147656768714146</v>
      </c>
      <c r="N216" s="195">
        <f t="shared" si="18"/>
        <v>1.8191999999999999</v>
      </c>
      <c r="O216" s="16">
        <f>IF('WetLitterbags placem_collection'!G143="N.A","",'WetLitterbags placem_collection'!G143)</f>
        <v>42816</v>
      </c>
      <c r="P216" s="195">
        <f>IF(IFERROR(INDEX('Both teabags AfterWet'!$C$3:$C$841,MATCH(H216,'Both teabags AfterWet'!$A$3:$A$841,0)),"")="N.A","",(IFERROR(INDEX('Both teabags AfterWet'!$C$3:$C$841,MATCH(H216,'Both teabags AfterWet'!$A$3:$A$841,0)),"")))</f>
        <v>1.5369999999999999</v>
      </c>
      <c r="Q216" s="195">
        <f>IFERROR(INDEX('Both teabags AfterWet'!$C$3:$C$841,MATCH(I216,'Both teabags AfterWet'!$A$3:$A$841,0)),"")</f>
        <v>1.2849999999999999</v>
      </c>
      <c r="R216" s="195">
        <f t="shared" si="21"/>
        <v>1.3863999999999999</v>
      </c>
      <c r="S216" s="195">
        <f t="shared" si="21"/>
        <v>1.1343999999999999</v>
      </c>
      <c r="T216" s="195">
        <f t="shared" si="22"/>
        <v>0.24701281772756911</v>
      </c>
      <c r="U216" s="195">
        <f t="shared" si="23"/>
        <v>0.16193714416344199</v>
      </c>
      <c r="V216" s="195">
        <f t="shared" si="24"/>
        <v>0.6235708003518029</v>
      </c>
      <c r="W216">
        <f t="shared" si="19"/>
        <v>54</v>
      </c>
      <c r="X216" s="195">
        <f t="shared" si="25"/>
        <v>0.70663560839956163</v>
      </c>
      <c r="Y216" s="195" t="str">
        <f t="shared" si="26"/>
        <v/>
      </c>
      <c r="Z216" s="255" t="str">
        <f>IF(ISNUMBER(SEARCH("C",'WetLitterbags placem_collection'!W143)),"YES","NO")</f>
        <v>YES</v>
      </c>
      <c r="AA216" s="255" t="str">
        <f>IF(ISNUMBER(SEARCH("H", 'WetLitterbags placem_collection'!W143)),"YES","NO")</f>
        <v>YES</v>
      </c>
      <c r="AB216" s="255" t="str">
        <f>IF(ISNUMBER(SEARCH("R", 'WetLitterbags placem_collection'!W143)),"YES","NO")</f>
        <v>YES</v>
      </c>
      <c r="AC216" s="255" t="str">
        <f>IF(ISNUMBER(SEARCH("C", 'WetLitterbags placem_collection'!V143)),"YES","NO")</f>
        <v>NO</v>
      </c>
      <c r="AD216" s="255" t="str">
        <f>IF(ISNUMBER(SEARCH("H", 'WetLitterbags placem_collection'!V143)),"YES","NO")</f>
        <v>YES</v>
      </c>
      <c r="AE216" s="255" t="str">
        <f>IF(ISNUMBER(SEARCH("R", 'WetLitterbags placem_collection'!V143)),"YES","NO")</f>
        <v>YES</v>
      </c>
    </row>
    <row r="217" spans="2:31">
      <c r="B217" t="str">
        <f>'Final data_for_R_analysis_Wetse'!A143</f>
        <v>Wet</v>
      </c>
      <c r="C217" s="263">
        <f>'Final data_for_R_analysis_Wetse'!B143</f>
        <v>142</v>
      </c>
      <c r="D217" t="s">
        <v>3848</v>
      </c>
      <c r="E217" t="s">
        <v>22</v>
      </c>
      <c r="F217" s="387">
        <v>6</v>
      </c>
      <c r="G217" s="16">
        <f>'WetLitterbags placem_collection'!E144</f>
        <v>42762</v>
      </c>
      <c r="H217" t="str">
        <f>'Final data_for_R_analysis_Wetse'!J143</f>
        <v>G817</v>
      </c>
      <c r="I217" t="str">
        <f>'Final data_for_R_analysis_Wetse'!J363</f>
        <v>R460</v>
      </c>
      <c r="J217">
        <f>IFERROR(INDEX('Green_rooibos initial weight'!$C$5:$C$1749,MATCH(H217, 'Green_rooibos initial weight'!$A$5:$A$1749,0)),"")</f>
        <v>1.9770000000000001</v>
      </c>
      <c r="K217">
        <f>IFERROR(INDEX('Green_rooibos initial weight'!$C$5:$C$1749,MATCH(I217, 'Green_rooibos initial weight'!$A$5:$A$1749,0)),"")</f>
        <v>2.1659999999999999</v>
      </c>
      <c r="L217" s="195">
        <f t="shared" si="20"/>
        <v>1.7272000000000001</v>
      </c>
      <c r="M217" s="195">
        <f>AVERAGE(Ashed_controlls!$K$2:$K$11)</f>
        <v>5.5147656768714146</v>
      </c>
      <c r="N217" s="195">
        <f t="shared" si="18"/>
        <v>1.9161999999999999</v>
      </c>
      <c r="O217" s="16">
        <f>IF('WetLitterbags placem_collection'!G144="N.A","",'WetLitterbags placem_collection'!G144)</f>
        <v>42816</v>
      </c>
      <c r="P217" s="195" t="str">
        <f>IF(IFERROR(INDEX('Both teabags AfterWet'!$C$3:$C$841,MATCH(H217,'Both teabags AfterWet'!$A$3:$A$841,0)),"")="N.A","",(IFERROR(INDEX('Both teabags AfterWet'!$C$3:$C$841,MATCH(H217,'Both teabags AfterWet'!$A$3:$A$841,0)),"")))</f>
        <v/>
      </c>
      <c r="Q217" s="195">
        <f>IFERROR(INDEX('Both teabags AfterWet'!$C$3:$C$841,MATCH(I217,'Both teabags AfterWet'!$A$3:$A$841,0)),"")</f>
        <v>0.14299999999999999</v>
      </c>
      <c r="R217" s="195" t="str">
        <f t="shared" si="21"/>
        <v/>
      </c>
      <c r="S217" s="195">
        <f t="shared" si="21"/>
        <v>-7.6000000000000234E-3</v>
      </c>
      <c r="T217" s="195" t="str">
        <f t="shared" si="22"/>
        <v/>
      </c>
      <c r="U217" s="195" t="str">
        <f t="shared" si="23"/>
        <v/>
      </c>
      <c r="V217" s="195">
        <f t="shared" si="24"/>
        <v>-3.966183070660695E-3</v>
      </c>
      <c r="W217">
        <f t="shared" si="19"/>
        <v>54</v>
      </c>
      <c r="X217" s="195" t="str">
        <f t="shared" si="25"/>
        <v/>
      </c>
      <c r="Y217" s="195" t="str">
        <f t="shared" si="26"/>
        <v/>
      </c>
      <c r="Z217" s="255" t="str">
        <f>IF(ISNUMBER(SEARCH("C",'WetLitterbags placem_collection'!W144)),"YES","NO")</f>
        <v>NO</v>
      </c>
      <c r="AA217" s="255" t="str">
        <f>IF(ISNUMBER(SEARCH("H", 'WetLitterbags placem_collection'!W144)),"YES","NO")</f>
        <v>YES</v>
      </c>
      <c r="AB217" s="255" t="str">
        <f>IF(ISNUMBER(SEARCH("R", 'WetLitterbags placem_collection'!W144)),"YES","NO")</f>
        <v>NO</v>
      </c>
      <c r="AC217" s="255" t="str">
        <f>IF(ISNUMBER(SEARCH("C", 'WetLitterbags placem_collection'!V144)),"YES","NO")</f>
        <v>NO</v>
      </c>
      <c r="AD217" s="255" t="str">
        <f>IF(ISNUMBER(SEARCH("H", 'WetLitterbags placem_collection'!V144)),"YES","NO")</f>
        <v>YES</v>
      </c>
      <c r="AE217" s="255" t="str">
        <f>IF(ISNUMBER(SEARCH("R", 'WetLitterbags placem_collection'!V144)),"YES","NO")</f>
        <v>NO</v>
      </c>
    </row>
    <row r="218" spans="2:31">
      <c r="B218" t="str">
        <f>'Final data_for_R_analysis_Wetse'!A144</f>
        <v>Wet</v>
      </c>
      <c r="C218" s="263">
        <f>'Final data_for_R_analysis_Wetse'!B144</f>
        <v>143</v>
      </c>
      <c r="D218" t="s">
        <v>3848</v>
      </c>
      <c r="E218" t="s">
        <v>22</v>
      </c>
      <c r="F218" s="387">
        <v>7</v>
      </c>
      <c r="G218" s="16">
        <f>'WetLitterbags placem_collection'!E145</f>
        <v>42762</v>
      </c>
      <c r="H218" t="str">
        <f>'Final data_for_R_analysis_Wetse'!J144</f>
        <v>G836</v>
      </c>
      <c r="I218" t="str">
        <f>'Final data_for_R_analysis_Wetse'!J364</f>
        <v>R456</v>
      </c>
      <c r="J218">
        <f>IFERROR(INDEX('Green_rooibos initial weight'!$C$5:$C$1749,MATCH(H218, 'Green_rooibos initial weight'!$A$5:$A$1749,0)),"")</f>
        <v>2.0419999999999998</v>
      </c>
      <c r="K218">
        <f>IFERROR(INDEX('Green_rooibos initial weight'!$C$5:$C$1749,MATCH(I218, 'Green_rooibos initial weight'!$A$5:$A$1749,0)),"")</f>
        <v>2.23</v>
      </c>
      <c r="L218" s="195">
        <f t="shared" si="20"/>
        <v>1.7921999999999998</v>
      </c>
      <c r="M218" s="195">
        <f>AVERAGE(Ashed_controlls!$K$2:$K$11)</f>
        <v>5.5147656768714146</v>
      </c>
      <c r="N218" s="195">
        <f t="shared" si="18"/>
        <v>1.9802</v>
      </c>
      <c r="O218" s="16">
        <f>IF('WetLitterbags placem_collection'!G145="N.A","",'WetLitterbags placem_collection'!G145)</f>
        <v>42816</v>
      </c>
      <c r="P218" s="195">
        <f>IF(IFERROR(INDEX('Both teabags AfterWet'!$C$3:$C$841,MATCH(H218,'Both teabags AfterWet'!$A$3:$A$841,0)),"")="N.A","",(IFERROR(INDEX('Both teabags AfterWet'!$C$3:$C$841,MATCH(H218,'Both teabags AfterWet'!$A$3:$A$841,0)),"")))</f>
        <v>0.60970000000000002</v>
      </c>
      <c r="Q218" s="195">
        <f>IFERROR(INDEX('Both teabags AfterWet'!$C$3:$C$841,MATCH(I218,'Both teabags AfterWet'!$A$3:$A$841,0)),"")</f>
        <v>1.6178999999999999</v>
      </c>
      <c r="R218" s="195">
        <f t="shared" si="21"/>
        <v>0.45910000000000001</v>
      </c>
      <c r="S218" s="195">
        <f t="shared" si="21"/>
        <v>1.4672999999999998</v>
      </c>
      <c r="T218" s="195">
        <f t="shared" si="22"/>
        <v>0.74383439348287017</v>
      </c>
      <c r="U218" s="195">
        <f t="shared" si="23"/>
        <v>0.48764440047808122</v>
      </c>
      <c r="V218" s="195">
        <f t="shared" si="24"/>
        <v>0.74098575901424091</v>
      </c>
      <c r="W218">
        <f t="shared" si="19"/>
        <v>54</v>
      </c>
      <c r="X218" s="195">
        <f t="shared" si="25"/>
        <v>0.11658623101796883</v>
      </c>
      <c r="Y218" s="195">
        <f t="shared" si="26"/>
        <v>1.4027421828525486E-2</v>
      </c>
      <c r="Z218" s="255" t="str">
        <f>IF(ISNUMBER(SEARCH("C",'WetLitterbags placem_collection'!W145)),"YES","NO")</f>
        <v>NO</v>
      </c>
      <c r="AA218" s="255" t="str">
        <f>IF(ISNUMBER(SEARCH("H", 'WetLitterbags placem_collection'!W145)),"YES","NO")</f>
        <v>NO</v>
      </c>
      <c r="AB218" s="255" t="str">
        <f>IF(ISNUMBER(SEARCH("R", 'WetLitterbags placem_collection'!W145)),"YES","NO")</f>
        <v>NO</v>
      </c>
      <c r="AC218" s="255" t="str">
        <f>IF(ISNUMBER(SEARCH("C", 'WetLitterbags placem_collection'!V145)),"YES","NO")</f>
        <v>NO</v>
      </c>
      <c r="AD218" s="255" t="str">
        <f>IF(ISNUMBER(SEARCH("H", 'WetLitterbags placem_collection'!V145)),"YES","NO")</f>
        <v>NO</v>
      </c>
      <c r="AE218" s="255" t="str">
        <f>IF(ISNUMBER(SEARCH("R", 'WetLitterbags placem_collection'!V145)),"YES","NO")</f>
        <v>YES</v>
      </c>
    </row>
    <row r="219" spans="2:31">
      <c r="B219" t="str">
        <f>'Final data_for_R_analysis_Wetse'!A145</f>
        <v>Wet</v>
      </c>
      <c r="C219" s="263">
        <f>'Final data_for_R_analysis_Wetse'!B145</f>
        <v>144</v>
      </c>
      <c r="D219" t="s">
        <v>3848</v>
      </c>
      <c r="E219" t="s">
        <v>22</v>
      </c>
      <c r="F219" s="387">
        <v>8</v>
      </c>
      <c r="G219" s="16">
        <f>'WetLitterbags placem_collection'!E146</f>
        <v>42762</v>
      </c>
      <c r="H219" t="str">
        <f>'Final data_for_R_analysis_Wetse'!J145</f>
        <v>G784</v>
      </c>
      <c r="I219" t="str">
        <f>'Final data_for_R_analysis_Wetse'!J365</f>
        <v>R571</v>
      </c>
      <c r="J219">
        <f>IFERROR(INDEX('Green_rooibos initial weight'!$C$5:$C$1749,MATCH(H219, 'Green_rooibos initial weight'!$A$5:$A$1749,0)),"")</f>
        <v>2.1070000000000002</v>
      </c>
      <c r="K219">
        <f>IFERROR(INDEX('Green_rooibos initial weight'!$C$5:$C$1749,MATCH(I219, 'Green_rooibos initial weight'!$A$5:$A$1749,0)),"")</f>
        <v>2.117</v>
      </c>
      <c r="L219" s="195">
        <f t="shared" si="20"/>
        <v>1.8572000000000002</v>
      </c>
      <c r="M219" s="195">
        <f>AVERAGE(Ashed_controlls!$K$2:$K$11)</f>
        <v>5.5147656768714146</v>
      </c>
      <c r="N219" s="195">
        <f t="shared" si="18"/>
        <v>1.8672</v>
      </c>
      <c r="O219" s="16">
        <f>IF('WetLitterbags placem_collection'!G146="N.A","",'WetLitterbags placem_collection'!G146)</f>
        <v>42816</v>
      </c>
      <c r="P219" s="195">
        <f>IF(IFERROR(INDEX('Both teabags AfterWet'!$C$3:$C$841,MATCH(H219,'Both teabags AfterWet'!$A$3:$A$841,0)),"")="N.A","",(IFERROR(INDEX('Both teabags AfterWet'!$C$3:$C$841,MATCH(H219,'Both teabags AfterWet'!$A$3:$A$841,0)),"")))</f>
        <v>0.78500000000000003</v>
      </c>
      <c r="Q219" s="195">
        <f>IFERROR(INDEX('Both teabags AfterWet'!$C$3:$C$841,MATCH(I219,'Both teabags AfterWet'!$A$3:$A$841,0)),"")</f>
        <v>1.365</v>
      </c>
      <c r="R219" s="195">
        <f t="shared" si="21"/>
        <v>0.63440000000000007</v>
      </c>
      <c r="S219" s="195">
        <f t="shared" si="21"/>
        <v>1.2143999999999999</v>
      </c>
      <c r="T219" s="195">
        <f t="shared" si="22"/>
        <v>0.65841051044583243</v>
      </c>
      <c r="U219" s="195">
        <f t="shared" si="23"/>
        <v>0.43164204485284985</v>
      </c>
      <c r="V219" s="195">
        <f t="shared" si="24"/>
        <v>0.65038560411311053</v>
      </c>
      <c r="W219">
        <f t="shared" si="19"/>
        <v>54</v>
      </c>
      <c r="X219" s="195">
        <f t="shared" si="25"/>
        <v>0.21803977381730111</v>
      </c>
      <c r="Y219" s="195">
        <f t="shared" si="26"/>
        <v>3.0750745776761141E-2</v>
      </c>
      <c r="Z219" s="255" t="str">
        <f>IF(ISNUMBER(SEARCH("C",'WetLitterbags placem_collection'!W146)),"YES","NO")</f>
        <v>NO</v>
      </c>
      <c r="AA219" s="255" t="str">
        <f>IF(ISNUMBER(SEARCH("H", 'WetLitterbags placem_collection'!W146)),"YES","NO")</f>
        <v>YES</v>
      </c>
      <c r="AB219" s="255" t="str">
        <f>IF(ISNUMBER(SEARCH("R", 'WetLitterbags placem_collection'!W146)),"YES","NO")</f>
        <v>NO</v>
      </c>
      <c r="AC219" s="255" t="str">
        <f>IF(ISNUMBER(SEARCH("C", 'WetLitterbags placem_collection'!V146)),"YES","NO")</f>
        <v>NO</v>
      </c>
      <c r="AD219" s="255" t="str">
        <f>IF(ISNUMBER(SEARCH("H", 'WetLitterbags placem_collection'!V146)),"YES","NO")</f>
        <v>NO</v>
      </c>
      <c r="AE219" s="255" t="str">
        <f>IF(ISNUMBER(SEARCH("R", 'WetLitterbags placem_collection'!V146)),"YES","NO")</f>
        <v>YES</v>
      </c>
    </row>
    <row r="220" spans="2:31">
      <c r="B220" t="str">
        <f>'Final data_for_R_analysis_Wetse'!A146</f>
        <v>Wet</v>
      </c>
      <c r="C220" s="263">
        <f>'Final data_for_R_analysis_Wetse'!B146</f>
        <v>145</v>
      </c>
      <c r="D220" t="s">
        <v>3849</v>
      </c>
      <c r="E220" t="s">
        <v>22</v>
      </c>
      <c r="F220" s="386">
        <v>1</v>
      </c>
      <c r="G220" s="16">
        <f>'WetLitterbags placem_collection'!E147</f>
        <v>42762</v>
      </c>
      <c r="H220" t="str">
        <f>'Final data_for_R_analysis_Wetse'!J146</f>
        <v>G902</v>
      </c>
      <c r="I220" t="str">
        <f>'Final data_for_R_analysis_Wetse'!J366</f>
        <v>R27</v>
      </c>
      <c r="J220">
        <f>IFERROR(INDEX('Green_rooibos initial weight'!$C$5:$C$1749,MATCH(H220, 'Green_rooibos initial weight'!$A$5:$A$1749,0)),"")</f>
        <v>2.0750000000000002</v>
      </c>
      <c r="K220">
        <f>IFERROR(INDEX('Green_rooibos initial weight'!$C$5:$C$1749,MATCH(I220, 'Green_rooibos initial weight'!$A$5:$A$1749,0)),"")</f>
        <v>2.0550000000000002</v>
      </c>
      <c r="L220" s="195">
        <f t="shared" si="20"/>
        <v>1.8252000000000002</v>
      </c>
      <c r="M220" s="195">
        <f>AVERAGE(Ashed_controlls!$K$2:$K$11)</f>
        <v>5.5147656768714146</v>
      </c>
      <c r="N220" s="195">
        <f t="shared" si="18"/>
        <v>1.8052000000000001</v>
      </c>
      <c r="O220" s="16">
        <f>IF('WetLitterbags placem_collection'!G147="N.A","",'WetLitterbags placem_collection'!G147)</f>
        <v>42815</v>
      </c>
      <c r="P220" s="195">
        <f>IF(IFERROR(INDEX('Both teabags AfterWet'!$C$3:$C$841,MATCH(H220,'Both teabags AfterWet'!$A$3:$A$841,0)),"")="N.A","",(IFERROR(INDEX('Both teabags AfterWet'!$C$3:$C$841,MATCH(H220,'Both teabags AfterWet'!$A$3:$A$841,0)),"")))</f>
        <v>0.79200000000000004</v>
      </c>
      <c r="Q220" s="195">
        <f>IFERROR(INDEX('Both teabags AfterWet'!$C$3:$C$841,MATCH(I220,'Both teabags AfterWet'!$A$3:$A$841,0)),"")</f>
        <v>1.6830000000000001</v>
      </c>
      <c r="R220" s="195">
        <f t="shared" si="21"/>
        <v>0.64139999999999997</v>
      </c>
      <c r="S220" s="195">
        <f t="shared" si="21"/>
        <v>1.5324</v>
      </c>
      <c r="T220" s="195">
        <f t="shared" si="22"/>
        <v>0.64858645627876399</v>
      </c>
      <c r="U220" s="195">
        <f t="shared" si="23"/>
        <v>0.42520157228726574</v>
      </c>
      <c r="V220" s="195">
        <f t="shared" si="24"/>
        <v>0.84888101041435848</v>
      </c>
      <c r="W220">
        <f t="shared" si="19"/>
        <v>53</v>
      </c>
      <c r="X220" s="195">
        <f t="shared" si="25"/>
        <v>0.22970729658104039</v>
      </c>
      <c r="Y220" s="195">
        <f t="shared" si="26"/>
        <v>8.28554502871366E-3</v>
      </c>
      <c r="Z220" s="255" t="str">
        <f>IF(ISNUMBER(SEARCH("C",'WetLitterbags placem_collection'!W147)),"YES","NO")</f>
        <v>NO</v>
      </c>
      <c r="AA220" s="255" t="str">
        <f>IF(ISNUMBER(SEARCH("H", 'WetLitterbags placem_collection'!W147)),"YES","NO")</f>
        <v>NO</v>
      </c>
      <c r="AB220" s="255" t="str">
        <f>IF(ISNUMBER(SEARCH("R", 'WetLitterbags placem_collection'!W147)),"YES","NO")</f>
        <v>NO</v>
      </c>
      <c r="AC220" s="255" t="str">
        <f>IF(ISNUMBER(SEARCH("C", 'WetLitterbags placem_collection'!V147)),"YES","NO")</f>
        <v>NO</v>
      </c>
      <c r="AD220" s="255" t="str">
        <f>IF(ISNUMBER(SEARCH("H", 'WetLitterbags placem_collection'!V147)),"YES","NO")</f>
        <v>NO</v>
      </c>
      <c r="AE220" s="255" t="str">
        <f>IF(ISNUMBER(SEARCH("R", 'WetLitterbags placem_collection'!V147)),"YES","NO")</f>
        <v>YES</v>
      </c>
    </row>
    <row r="221" spans="2:31">
      <c r="B221" t="str">
        <f>'Final data_for_R_analysis_Wetse'!A147</f>
        <v>Wet</v>
      </c>
      <c r="C221" s="263">
        <f>'Final data_for_R_analysis_Wetse'!B147</f>
        <v>146</v>
      </c>
      <c r="D221" t="s">
        <v>3849</v>
      </c>
      <c r="E221" t="s">
        <v>22</v>
      </c>
      <c r="F221" s="386">
        <v>2</v>
      </c>
      <c r="G221" s="16">
        <f>'WetLitterbags placem_collection'!E148</f>
        <v>42762</v>
      </c>
      <c r="H221" t="str">
        <f>'Final data_for_R_analysis_Wetse'!J147</f>
        <v>G689</v>
      </c>
      <c r="I221" t="str">
        <f>'Final data_for_R_analysis_Wetse'!J367</f>
        <v>R492</v>
      </c>
      <c r="J221">
        <f>IFERROR(INDEX('Green_rooibos initial weight'!$C$5:$C$1749,MATCH(H221, 'Green_rooibos initial weight'!$A$5:$A$1749,0)),"")</f>
        <v>2.0339999999999998</v>
      </c>
      <c r="K221">
        <f>IFERROR(INDEX('Green_rooibos initial weight'!$C$5:$C$1749,MATCH(I221, 'Green_rooibos initial weight'!$A$5:$A$1749,0)),"")</f>
        <v>2.2519999999999998</v>
      </c>
      <c r="L221" s="195">
        <f t="shared" si="20"/>
        <v>1.7841999999999998</v>
      </c>
      <c r="M221" s="195">
        <f>AVERAGE(Ashed_controlls!$K$2:$K$11)</f>
        <v>5.5147656768714146</v>
      </c>
      <c r="N221" s="195">
        <f t="shared" si="18"/>
        <v>2.0021999999999998</v>
      </c>
      <c r="O221" s="16">
        <f>IF('WetLitterbags placem_collection'!G148="N.A","",'WetLitterbags placem_collection'!G148)</f>
        <v>42815</v>
      </c>
      <c r="P221" s="195">
        <f>IF(IFERROR(INDEX('Both teabags AfterWet'!$C$3:$C$841,MATCH(H221,'Both teabags AfterWet'!$A$3:$A$841,0)),"")="N.A","",(IFERROR(INDEX('Both teabags AfterWet'!$C$3:$C$841,MATCH(H221,'Both teabags AfterWet'!$A$3:$A$841,0)),"")))</f>
        <v>0.52200000000000002</v>
      </c>
      <c r="Q221" s="195">
        <f>IFERROR(INDEX('Both teabags AfterWet'!$C$3:$C$841,MATCH(I221,'Both teabags AfterWet'!$A$3:$A$841,0)),"")</f>
        <v>1.6579999999999999</v>
      </c>
      <c r="R221" s="195">
        <f t="shared" si="21"/>
        <v>0.37140000000000001</v>
      </c>
      <c r="S221" s="195">
        <f t="shared" si="21"/>
        <v>1.5073999999999999</v>
      </c>
      <c r="T221" s="195">
        <f t="shared" si="22"/>
        <v>0.79183947987893732</v>
      </c>
      <c r="U221" s="195">
        <f t="shared" si="23"/>
        <v>0.51911566851920832</v>
      </c>
      <c r="V221" s="195">
        <f t="shared" si="24"/>
        <v>0.75287184097492754</v>
      </c>
      <c r="W221">
        <f t="shared" si="19"/>
        <v>53</v>
      </c>
      <c r="X221" s="195">
        <f t="shared" si="25"/>
        <v>5.9573064276796539E-2</v>
      </c>
      <c r="Y221" s="195">
        <f t="shared" si="26"/>
        <v>1.2195671360806844E-2</v>
      </c>
      <c r="Z221" s="255" t="str">
        <f>IF(ISNUMBER(SEARCH("C",'WetLitterbags placem_collection'!W148)),"YES","NO")</f>
        <v>NO</v>
      </c>
      <c r="AA221" s="255" t="str">
        <f>IF(ISNUMBER(SEARCH("H", 'WetLitterbags placem_collection'!W148)),"YES","NO")</f>
        <v>NO</v>
      </c>
      <c r="AB221" s="255" t="str">
        <f>IF(ISNUMBER(SEARCH("R", 'WetLitterbags placem_collection'!W148)),"YES","NO")</f>
        <v>NO</v>
      </c>
      <c r="AC221" s="255" t="str">
        <f>IF(ISNUMBER(SEARCH("C", 'WetLitterbags placem_collection'!V148)),"YES","NO")</f>
        <v>NO</v>
      </c>
      <c r="AD221" s="255" t="str">
        <f>IF(ISNUMBER(SEARCH("H", 'WetLitterbags placem_collection'!V148)),"YES","NO")</f>
        <v>YES</v>
      </c>
      <c r="AE221" s="255" t="str">
        <f>IF(ISNUMBER(SEARCH("R", 'WetLitterbags placem_collection'!V148)),"YES","NO")</f>
        <v>YES</v>
      </c>
    </row>
    <row r="222" spans="2:31">
      <c r="B222" t="str">
        <f>'Final data_for_R_analysis_Wetse'!A148</f>
        <v>Wet</v>
      </c>
      <c r="C222" s="263">
        <f>'Final data_for_R_analysis_Wetse'!B148</f>
        <v>147</v>
      </c>
      <c r="D222" t="s">
        <v>3849</v>
      </c>
      <c r="E222" t="s">
        <v>22</v>
      </c>
      <c r="F222" s="386">
        <v>3</v>
      </c>
      <c r="G222" s="16">
        <f>'WetLitterbags placem_collection'!E149</f>
        <v>42762</v>
      </c>
      <c r="H222" t="str">
        <f>'Final data_for_R_analysis_Wetse'!J148</f>
        <v>G678</v>
      </c>
      <c r="I222" t="str">
        <f>'Final data_for_R_analysis_Wetse'!J368</f>
        <v>R573</v>
      </c>
      <c r="J222">
        <f>IFERROR(INDEX('Green_rooibos initial weight'!$C$5:$C$1749,MATCH(H222, 'Green_rooibos initial weight'!$A$5:$A$1749,0)),"")</f>
        <v>2.012</v>
      </c>
      <c r="K222">
        <f>IFERROR(INDEX('Green_rooibos initial weight'!$C$5:$C$1749,MATCH(I222, 'Green_rooibos initial weight'!$A$5:$A$1749,0)),"")</f>
        <v>2.097</v>
      </c>
      <c r="L222" s="195">
        <f t="shared" si="20"/>
        <v>1.7622</v>
      </c>
      <c r="M222" s="195">
        <f>AVERAGE(Ashed_controlls!$K$2:$K$11)</f>
        <v>5.5147656768714146</v>
      </c>
      <c r="N222" s="195">
        <f t="shared" si="18"/>
        <v>1.8472</v>
      </c>
      <c r="O222" s="16">
        <f>IF('WetLitterbags placem_collection'!G149="N.A","",'WetLitterbags placem_collection'!G149)</f>
        <v>42816</v>
      </c>
      <c r="P222" s="195">
        <f>IF(IFERROR(INDEX('Both teabags AfterWet'!$C$3:$C$841,MATCH(H222,'Both teabags AfterWet'!$A$3:$A$841,0)),"")="N.A","",(IFERROR(INDEX('Both teabags AfterWet'!$C$3:$C$841,MATCH(H222,'Both teabags AfterWet'!$A$3:$A$841,0)),"")))</f>
        <v>0.70199999999999996</v>
      </c>
      <c r="Q222" s="195">
        <f>IFERROR(INDEX('Both teabags AfterWet'!$C$3:$C$841,MATCH(I222,'Both teabags AfterWet'!$A$3:$A$841,0)),"")</f>
        <v>1.746</v>
      </c>
      <c r="R222" s="195">
        <f t="shared" si="21"/>
        <v>0.55139999999999989</v>
      </c>
      <c r="S222" s="195">
        <f t="shared" si="21"/>
        <v>1.5953999999999999</v>
      </c>
      <c r="T222" s="195">
        <f t="shared" si="22"/>
        <v>0.68709567585972087</v>
      </c>
      <c r="U222" s="195">
        <f t="shared" si="23"/>
        <v>0.45044752146623035</v>
      </c>
      <c r="V222" s="195">
        <f t="shared" si="24"/>
        <v>0.86368557817236902</v>
      </c>
      <c r="W222">
        <f t="shared" si="19"/>
        <v>54</v>
      </c>
      <c r="X222" s="195">
        <f t="shared" si="25"/>
        <v>0.18397188140175669</v>
      </c>
      <c r="Y222" s="195">
        <f t="shared" si="26"/>
        <v>6.6745333414398762E-3</v>
      </c>
      <c r="Z222" s="255" t="str">
        <f>IF(ISNUMBER(SEARCH("C",'WetLitterbags placem_collection'!W149)),"YES","NO")</f>
        <v>NO</v>
      </c>
      <c r="AA222" s="255" t="str">
        <f>IF(ISNUMBER(SEARCH("H", 'WetLitterbags placem_collection'!W149)),"YES","NO")</f>
        <v>NO</v>
      </c>
      <c r="AB222" s="255" t="str">
        <f>IF(ISNUMBER(SEARCH("R", 'WetLitterbags placem_collection'!W149)),"YES","NO")</f>
        <v>NO</v>
      </c>
      <c r="AC222" s="255" t="str">
        <f>IF(ISNUMBER(SEARCH("C", 'WetLitterbags placem_collection'!V149)),"YES","NO")</f>
        <v>NO</v>
      </c>
      <c r="AD222" s="255" t="str">
        <f>IF(ISNUMBER(SEARCH("H", 'WetLitterbags placem_collection'!V149)),"YES","NO")</f>
        <v>NO</v>
      </c>
      <c r="AE222" s="255" t="str">
        <f>IF(ISNUMBER(SEARCH("R", 'WetLitterbags placem_collection'!V149)),"YES","NO")</f>
        <v>NO</v>
      </c>
    </row>
    <row r="223" spans="2:31">
      <c r="B223" t="str">
        <f>'Final data_for_R_analysis_Wetse'!A149</f>
        <v>Wet</v>
      </c>
      <c r="C223" s="263">
        <f>'Final data_for_R_analysis_Wetse'!B149</f>
        <v>148</v>
      </c>
      <c r="D223" t="s">
        <v>3849</v>
      </c>
      <c r="E223" t="s">
        <v>22</v>
      </c>
      <c r="F223" s="387">
        <v>4</v>
      </c>
      <c r="G223" s="16">
        <f>'WetLitterbags placem_collection'!E150</f>
        <v>42762</v>
      </c>
      <c r="H223" t="str">
        <f>'Final data_for_R_analysis_Wetse'!J149</f>
        <v>G835</v>
      </c>
      <c r="I223" t="str">
        <f>'Final data_for_R_analysis_Wetse'!J369</f>
        <v>R472</v>
      </c>
      <c r="J223">
        <f>IFERROR(INDEX('Green_rooibos initial weight'!$C$5:$C$1749,MATCH(H223, 'Green_rooibos initial weight'!$A$5:$A$1749,0)),"")</f>
        <v>1.819</v>
      </c>
      <c r="K223">
        <f>IFERROR(INDEX('Green_rooibos initial weight'!$C$5:$C$1749,MATCH(I223, 'Green_rooibos initial weight'!$A$5:$A$1749,0)),"")</f>
        <v>2.2679999999999998</v>
      </c>
      <c r="L223" s="195">
        <f t="shared" si="20"/>
        <v>1.5691999999999999</v>
      </c>
      <c r="M223" s="195">
        <f>AVERAGE(Ashed_controlls!$K$2:$K$11)</f>
        <v>5.5147656768714146</v>
      </c>
      <c r="N223" s="195">
        <f t="shared" si="18"/>
        <v>2.0181999999999998</v>
      </c>
      <c r="O223" s="16">
        <f>IF('WetLitterbags placem_collection'!G150="N.A","",'WetLitterbags placem_collection'!G150)</f>
        <v>42816</v>
      </c>
      <c r="P223" s="195">
        <f>IF(IFERROR(INDEX('Both teabags AfterWet'!$C$3:$C$841,MATCH(H223,'Both teabags AfterWet'!$A$3:$A$841,0)),"")="N.A","",(IFERROR(INDEX('Both teabags AfterWet'!$C$3:$C$841,MATCH(H223,'Both teabags AfterWet'!$A$3:$A$841,0)),"")))</f>
        <v>0.24560000000000001</v>
      </c>
      <c r="Q223" s="195">
        <f>IFERROR(INDEX('Both teabags AfterWet'!$C$3:$C$841,MATCH(I223,'Both teabags AfterWet'!$A$3:$A$841,0)),"")</f>
        <v>0.37559999999999999</v>
      </c>
      <c r="R223" s="195">
        <f t="shared" si="21"/>
        <v>9.5000000000000001E-2</v>
      </c>
      <c r="S223" s="195">
        <f t="shared" si="21"/>
        <v>0.22499999999999998</v>
      </c>
      <c r="T223" s="195">
        <f t="shared" si="22"/>
        <v>0.93945959724700479</v>
      </c>
      <c r="U223" s="195">
        <f t="shared" si="23"/>
        <v>0.61589275258948539</v>
      </c>
      <c r="V223" s="195">
        <f t="shared" si="24"/>
        <v>0.11148548211277376</v>
      </c>
      <c r="W223">
        <f t="shared" si="19"/>
        <v>54</v>
      </c>
      <c r="X223" s="195">
        <f t="shared" si="25"/>
        <v>-0.11574774019834311</v>
      </c>
      <c r="Y223" s="195" t="str">
        <f t="shared" si="26"/>
        <v/>
      </c>
      <c r="Z223" s="255" t="str">
        <f>IF(ISNUMBER(SEARCH("C",'WetLitterbags placem_collection'!W150)),"YES","NO")</f>
        <v>NO</v>
      </c>
      <c r="AA223" s="255" t="str">
        <f>IF(ISNUMBER(SEARCH("H", 'WetLitterbags placem_collection'!W150)),"YES","NO")</f>
        <v>YES</v>
      </c>
      <c r="AB223" s="255" t="str">
        <f>IF(ISNUMBER(SEARCH("R", 'WetLitterbags placem_collection'!W150)),"YES","NO")</f>
        <v>NO</v>
      </c>
      <c r="AC223" s="255" t="str">
        <f>IF(ISNUMBER(SEARCH("C", 'WetLitterbags placem_collection'!V150)),"YES","NO")</f>
        <v>NO</v>
      </c>
      <c r="AD223" s="255" t="str">
        <f>IF(ISNUMBER(SEARCH("H", 'WetLitterbags placem_collection'!V150)),"YES","NO")</f>
        <v>YES</v>
      </c>
      <c r="AE223" s="255" t="str">
        <f>IF(ISNUMBER(SEARCH("R", 'WetLitterbags placem_collection'!V150)),"YES","NO")</f>
        <v>NO</v>
      </c>
    </row>
    <row r="224" spans="2:31">
      <c r="B224" t="str">
        <f>'Final data_for_R_analysis_Wetse'!A150</f>
        <v>Wet</v>
      </c>
      <c r="C224" s="263">
        <f>'Final data_for_R_analysis_Wetse'!B150</f>
        <v>149</v>
      </c>
      <c r="D224" t="s">
        <v>3849</v>
      </c>
      <c r="E224" t="s">
        <v>22</v>
      </c>
      <c r="F224" s="387">
        <v>5</v>
      </c>
      <c r="G224" s="16">
        <f>'WetLitterbags placem_collection'!E151</f>
        <v>42762</v>
      </c>
      <c r="H224" t="str">
        <f>'Final data_for_R_analysis_Wetse'!J150</f>
        <v>G733</v>
      </c>
      <c r="I224" t="str">
        <f>'Final data_for_R_analysis_Wetse'!J370</f>
        <v>R545</v>
      </c>
      <c r="J224">
        <f>IFERROR(INDEX('Green_rooibos initial weight'!$C$5:$C$1749,MATCH(H224, 'Green_rooibos initial weight'!$A$5:$A$1749,0)),"")</f>
        <v>1.8280000000000001</v>
      </c>
      <c r="K224">
        <f>IFERROR(INDEX('Green_rooibos initial weight'!$C$5:$C$1749,MATCH(I224, 'Green_rooibos initial weight'!$A$5:$A$1749,0)),"")</f>
        <v>2.2280000000000002</v>
      </c>
      <c r="L224" s="195">
        <f t="shared" si="20"/>
        <v>1.5782</v>
      </c>
      <c r="M224" s="195">
        <f>AVERAGE(Ashed_controlls!$K$2:$K$11)</f>
        <v>5.5147656768714146</v>
      </c>
      <c r="N224" s="195">
        <f t="shared" si="18"/>
        <v>1.9782000000000002</v>
      </c>
      <c r="O224" s="16">
        <f>IF('WetLitterbags placem_collection'!G151="N.A","",'WetLitterbags placem_collection'!G151)</f>
        <v>42816</v>
      </c>
      <c r="P224" s="195">
        <f>IF(IFERROR(INDEX('Both teabags AfterWet'!$C$3:$C$841,MATCH(H224,'Both teabags AfterWet'!$A$3:$A$841,0)),"")="N.A","",(IFERROR(INDEX('Both teabags AfterWet'!$C$3:$C$841,MATCH(H224,'Both teabags AfterWet'!$A$3:$A$841,0)),"")))</f>
        <v>0.73760000000000003</v>
      </c>
      <c r="Q224" s="195">
        <f>IFERROR(INDEX('Both teabags AfterWet'!$C$3:$C$841,MATCH(I224,'Both teabags AfterWet'!$A$3:$A$841,0)),"")</f>
        <v>1.7096</v>
      </c>
      <c r="R224" s="195">
        <f t="shared" si="21"/>
        <v>0.58699999999999997</v>
      </c>
      <c r="S224" s="195">
        <f t="shared" si="21"/>
        <v>1.5589999999999999</v>
      </c>
      <c r="T224" s="195">
        <f t="shared" si="22"/>
        <v>0.62805728044607778</v>
      </c>
      <c r="U224" s="195">
        <f t="shared" si="23"/>
        <v>0.41174301520930523</v>
      </c>
      <c r="V224" s="195">
        <f t="shared" si="24"/>
        <v>0.78809018299464151</v>
      </c>
      <c r="W224">
        <f t="shared" si="19"/>
        <v>54</v>
      </c>
      <c r="X224" s="195">
        <f t="shared" si="25"/>
        <v>0.25408874056285291</v>
      </c>
      <c r="Y224" s="195">
        <f t="shared" si="26"/>
        <v>1.3387340660298426E-2</v>
      </c>
      <c r="Z224" s="255" t="str">
        <f>IF(ISNUMBER(SEARCH("C",'WetLitterbags placem_collection'!W151)),"YES","NO")</f>
        <v>NO</v>
      </c>
      <c r="AA224" s="255" t="str">
        <f>IF(ISNUMBER(SEARCH("H", 'WetLitterbags placem_collection'!W151)),"YES","NO")</f>
        <v>NO</v>
      </c>
      <c r="AB224" s="255" t="str">
        <f>IF(ISNUMBER(SEARCH("R", 'WetLitterbags placem_collection'!W151)),"YES","NO")</f>
        <v>NO</v>
      </c>
      <c r="AC224" s="255" t="str">
        <f>IF(ISNUMBER(SEARCH("C", 'WetLitterbags placem_collection'!V151)),"YES","NO")</f>
        <v>NO</v>
      </c>
      <c r="AD224" s="255" t="str">
        <f>IF(ISNUMBER(SEARCH("H", 'WetLitterbags placem_collection'!V151)),"YES","NO")</f>
        <v>NO</v>
      </c>
      <c r="AE224" s="255" t="str">
        <f>IF(ISNUMBER(SEARCH("R", 'WetLitterbags placem_collection'!V151)),"YES","NO")</f>
        <v>NO</v>
      </c>
    </row>
    <row r="225" spans="2:31">
      <c r="B225" t="str">
        <f>'Final data_for_R_analysis_Wetse'!A151</f>
        <v>Wet</v>
      </c>
      <c r="C225" s="263">
        <f>'Final data_for_R_analysis_Wetse'!B151</f>
        <v>150</v>
      </c>
      <c r="D225" t="s">
        <v>3849</v>
      </c>
      <c r="E225" t="s">
        <v>22</v>
      </c>
      <c r="F225" s="387">
        <v>6</v>
      </c>
      <c r="G225" s="16">
        <f>'WetLitterbags placem_collection'!E152</f>
        <v>42762</v>
      </c>
      <c r="H225" t="str">
        <f>'Final data_for_R_analysis_Wetse'!J151</f>
        <v>G658</v>
      </c>
      <c r="I225" t="str">
        <f>'Final data_for_R_analysis_Wetse'!J371</f>
        <v>R7</v>
      </c>
      <c r="J225">
        <f>IFERROR(INDEX('Green_rooibos initial weight'!$C$5:$C$1749,MATCH(H225, 'Green_rooibos initial weight'!$A$5:$A$1749,0)),"")</f>
        <v>2.129</v>
      </c>
      <c r="K225">
        <f>IFERROR(INDEX('Green_rooibos initial weight'!$C$5:$C$1749,MATCH(I225, 'Green_rooibos initial weight'!$A$5:$A$1749,0)),"")</f>
        <v>2.2090000000000001</v>
      </c>
      <c r="L225" s="195">
        <f t="shared" si="20"/>
        <v>1.8792</v>
      </c>
      <c r="M225" s="195">
        <f>AVERAGE(Ashed_controlls!$K$2:$K$11)</f>
        <v>5.5147656768714146</v>
      </c>
      <c r="N225" s="195">
        <f t="shared" si="18"/>
        <v>1.9592000000000001</v>
      </c>
      <c r="O225" s="16">
        <f>IF('WetLitterbags placem_collection'!G152="N.A","",'WetLitterbags placem_collection'!G152)</f>
        <v>42816</v>
      </c>
      <c r="P225" s="195">
        <f>IF(IFERROR(INDEX('Both teabags AfterWet'!$C$3:$C$841,MATCH(H225,'Both teabags AfterWet'!$A$3:$A$841,0)),"")="N.A","",(IFERROR(INDEX('Both teabags AfterWet'!$C$3:$C$841,MATCH(H225,'Both teabags AfterWet'!$A$3:$A$841,0)),"")))</f>
        <v>0.71799999999999997</v>
      </c>
      <c r="Q225" s="195">
        <f>IFERROR(INDEX('Both teabags AfterWet'!$C$3:$C$841,MATCH(I225,'Both teabags AfterWet'!$A$3:$A$841,0)),"")</f>
        <v>1.718</v>
      </c>
      <c r="R225" s="195">
        <f t="shared" si="21"/>
        <v>0.5673999999999999</v>
      </c>
      <c r="S225" s="195">
        <f t="shared" si="21"/>
        <v>1.5673999999999999</v>
      </c>
      <c r="T225" s="195">
        <f t="shared" si="22"/>
        <v>0.69806300553427003</v>
      </c>
      <c r="U225" s="195">
        <f t="shared" si="23"/>
        <v>0.45763750481581605</v>
      </c>
      <c r="V225" s="195">
        <f t="shared" si="24"/>
        <v>0.80002041649652911</v>
      </c>
      <c r="W225">
        <f t="shared" si="19"/>
        <v>54</v>
      </c>
      <c r="X225" s="195">
        <f t="shared" si="25"/>
        <v>0.17094654924671016</v>
      </c>
      <c r="Y225" s="195">
        <f t="shared" si="26"/>
        <v>1.0637862551140107E-2</v>
      </c>
      <c r="Z225" s="255" t="str">
        <f>IF(ISNUMBER(SEARCH("C",'WetLitterbags placem_collection'!W152)),"YES","NO")</f>
        <v>NO</v>
      </c>
      <c r="AA225" s="255" t="str">
        <f>IF(ISNUMBER(SEARCH("H", 'WetLitterbags placem_collection'!W152)),"YES","NO")</f>
        <v>NO</v>
      </c>
      <c r="AB225" s="255" t="str">
        <f>IF(ISNUMBER(SEARCH("R", 'WetLitterbags placem_collection'!W152)),"YES","NO")</f>
        <v>NO</v>
      </c>
      <c r="AC225" s="255" t="str">
        <f>IF(ISNUMBER(SEARCH("C", 'WetLitterbags placem_collection'!V152)),"YES","NO")</f>
        <v>NO</v>
      </c>
      <c r="AD225" s="255" t="str">
        <f>IF(ISNUMBER(SEARCH("H", 'WetLitterbags placem_collection'!V152)),"YES","NO")</f>
        <v>NO</v>
      </c>
      <c r="AE225" s="255" t="str">
        <f>IF(ISNUMBER(SEARCH("R", 'WetLitterbags placem_collection'!V152)),"YES","NO")</f>
        <v>NO</v>
      </c>
    </row>
    <row r="226" spans="2:31">
      <c r="B226" t="str">
        <f>'Final data_for_R_analysis_Wetse'!A152</f>
        <v>Wet</v>
      </c>
      <c r="C226" s="263">
        <f>'Final data_for_R_analysis_Wetse'!B152</f>
        <v>151</v>
      </c>
      <c r="D226" t="s">
        <v>3849</v>
      </c>
      <c r="E226" t="s">
        <v>22</v>
      </c>
      <c r="F226" s="387">
        <v>7</v>
      </c>
      <c r="G226" s="16">
        <f>'WetLitterbags placem_collection'!E153</f>
        <v>42762</v>
      </c>
      <c r="H226" t="str">
        <f>'Final data_for_R_analysis_Wetse'!J152</f>
        <v>G567</v>
      </c>
      <c r="I226" t="str">
        <f>'Final data_for_R_analysis_Wetse'!J372</f>
        <v>R447</v>
      </c>
      <c r="J226">
        <f>IFERROR(INDEX('Green_rooibos initial weight'!$C$5:$C$1749,MATCH(H226, 'Green_rooibos initial weight'!$A$5:$A$1749,0)),"")</f>
        <v>2.0569999999999999</v>
      </c>
      <c r="K226">
        <f>IFERROR(INDEX('Green_rooibos initial weight'!$C$5:$C$1749,MATCH(I226, 'Green_rooibos initial weight'!$A$5:$A$1749,0)),"")</f>
        <v>2.206</v>
      </c>
      <c r="L226" s="195">
        <f t="shared" si="20"/>
        <v>1.8071999999999999</v>
      </c>
      <c r="M226" s="195">
        <f>AVERAGE(Ashed_controlls!$K$2:$K$11)</f>
        <v>5.5147656768714146</v>
      </c>
      <c r="N226" s="195">
        <f t="shared" si="18"/>
        <v>1.9561999999999999</v>
      </c>
      <c r="O226" s="16">
        <f>IF('WetLitterbags placem_collection'!G153="N.A","",'WetLitterbags placem_collection'!G153)</f>
        <v>42816</v>
      </c>
      <c r="P226" s="195">
        <f>IF(IFERROR(INDEX('Both teabags AfterWet'!$C$3:$C$841,MATCH(H226,'Both teabags AfterWet'!$A$3:$A$841,0)),"")="N.A","",(IFERROR(INDEX('Both teabags AfterWet'!$C$3:$C$841,MATCH(H226,'Both teabags AfterWet'!$A$3:$A$841,0)),"")))</f>
        <v>0.86499999999999999</v>
      </c>
      <c r="Q226" s="195">
        <f>IFERROR(INDEX('Both teabags AfterWet'!$C$3:$C$841,MATCH(I226,'Both teabags AfterWet'!$A$3:$A$841,0)),"")</f>
        <v>1.782</v>
      </c>
      <c r="R226" s="195">
        <f t="shared" si="21"/>
        <v>0.71439999999999992</v>
      </c>
      <c r="S226" s="195">
        <f t="shared" si="21"/>
        <v>1.6314</v>
      </c>
      <c r="T226" s="195">
        <f t="shared" si="22"/>
        <v>0.60469234174413455</v>
      </c>
      <c r="U226" s="195">
        <f t="shared" si="23"/>
        <v>0.39642538318617854</v>
      </c>
      <c r="V226" s="195">
        <f t="shared" si="24"/>
        <v>0.83396380738165832</v>
      </c>
      <c r="W226">
        <f t="shared" si="19"/>
        <v>54</v>
      </c>
      <c r="X226" s="195">
        <f t="shared" si="25"/>
        <v>0.28183807393808247</v>
      </c>
      <c r="Y226" s="195">
        <f t="shared" si="26"/>
        <v>1.0050330053642531E-2</v>
      </c>
      <c r="Z226" s="255" t="str">
        <f>IF(ISNUMBER(SEARCH("C",'WetLitterbags placem_collection'!W153)),"YES","NO")</f>
        <v>NO</v>
      </c>
      <c r="AA226" s="255" t="str">
        <f>IF(ISNUMBER(SEARCH("H", 'WetLitterbags placem_collection'!W153)),"YES","NO")</f>
        <v>NO</v>
      </c>
      <c r="AB226" s="255" t="str">
        <f>IF(ISNUMBER(SEARCH("R", 'WetLitterbags placem_collection'!W153)),"YES","NO")</f>
        <v>NO</v>
      </c>
      <c r="AC226" s="255" t="str">
        <f>IF(ISNUMBER(SEARCH("C", 'WetLitterbags placem_collection'!V153)),"YES","NO")</f>
        <v>NO</v>
      </c>
      <c r="AD226" s="255" t="str">
        <f>IF(ISNUMBER(SEARCH("H", 'WetLitterbags placem_collection'!V153)),"YES","NO")</f>
        <v>NO</v>
      </c>
      <c r="AE226" s="255" t="str">
        <f>IF(ISNUMBER(SEARCH("R", 'WetLitterbags placem_collection'!V153)),"YES","NO")</f>
        <v>YES</v>
      </c>
    </row>
    <row r="227" spans="2:31">
      <c r="B227" t="str">
        <f>'Final data_for_R_analysis_Wetse'!A153</f>
        <v>Wet</v>
      </c>
      <c r="C227" s="263">
        <f>'Final data_for_R_analysis_Wetse'!B153</f>
        <v>152</v>
      </c>
      <c r="D227" t="s">
        <v>3849</v>
      </c>
      <c r="E227" t="s">
        <v>22</v>
      </c>
      <c r="F227" s="387">
        <v>8</v>
      </c>
      <c r="G227" s="16">
        <f>'WetLitterbags placem_collection'!E154</f>
        <v>42762</v>
      </c>
      <c r="H227" t="str">
        <f>'Final data_for_R_analysis_Wetse'!J153</f>
        <v>G853</v>
      </c>
      <c r="I227" t="str">
        <f>'Final data_for_R_analysis_Wetse'!J373</f>
        <v>R591</v>
      </c>
      <c r="J227">
        <f>IFERROR(INDEX('Green_rooibos initial weight'!$C$5:$C$1749,MATCH(H227, 'Green_rooibos initial weight'!$A$5:$A$1749,0)),"")</f>
        <v>1.972</v>
      </c>
      <c r="K227">
        <f>IFERROR(INDEX('Green_rooibos initial weight'!$C$5:$C$1749,MATCH(I227, 'Green_rooibos initial weight'!$A$5:$A$1749,0)),"")</f>
        <v>2.2599999999999998</v>
      </c>
      <c r="L227" s="195">
        <f t="shared" si="20"/>
        <v>1.7222</v>
      </c>
      <c r="M227" s="195">
        <f>AVERAGE(Ashed_controlls!$K$2:$K$11)</f>
        <v>5.5147656768714146</v>
      </c>
      <c r="N227" s="195">
        <f t="shared" si="18"/>
        <v>2.0101999999999998</v>
      </c>
      <c r="O227" s="16">
        <f>IF('WetLitterbags placem_collection'!G154="N.A","",'WetLitterbags placem_collection'!G154)</f>
        <v>42816</v>
      </c>
      <c r="P227" s="195">
        <f>IF(IFERROR(INDEX('Both teabags AfterWet'!$C$3:$C$841,MATCH(H227,'Both teabags AfterWet'!$A$3:$A$841,0)),"")="N.A","",(IFERROR(INDEX('Both teabags AfterWet'!$C$3:$C$841,MATCH(H227,'Both teabags AfterWet'!$A$3:$A$841,0)),"")))</f>
        <v>0.58509999999999995</v>
      </c>
      <c r="Q227" s="195">
        <f>IFERROR(INDEX('Both teabags AfterWet'!$C$3:$C$841,MATCH(I227,'Both teabags AfterWet'!$A$3:$A$841,0)),"")</f>
        <v>1.6958</v>
      </c>
      <c r="R227" s="195">
        <f t="shared" si="21"/>
        <v>0.43449999999999994</v>
      </c>
      <c r="S227" s="195">
        <f t="shared" si="21"/>
        <v>1.5451999999999999</v>
      </c>
      <c r="T227" s="195">
        <f t="shared" si="22"/>
        <v>0.74770642201834869</v>
      </c>
      <c r="U227" s="195">
        <f t="shared" si="23"/>
        <v>0.49018283248708855</v>
      </c>
      <c r="V227" s="195">
        <f t="shared" si="24"/>
        <v>0.76867973335986473</v>
      </c>
      <c r="W227">
        <f t="shared" si="19"/>
        <v>54</v>
      </c>
      <c r="X227" s="195">
        <f t="shared" si="25"/>
        <v>0.11198762230599912</v>
      </c>
      <c r="Y227" s="195">
        <f t="shared" si="26"/>
        <v>1.1823725221602318E-2</v>
      </c>
      <c r="Z227" s="255" t="str">
        <f>IF(ISNUMBER(SEARCH("C",'WetLitterbags placem_collection'!W154)),"YES","NO")</f>
        <v>NO</v>
      </c>
      <c r="AA227" s="255" t="str">
        <f>IF(ISNUMBER(SEARCH("H", 'WetLitterbags placem_collection'!W154)),"YES","NO")</f>
        <v>NO</v>
      </c>
      <c r="AB227" s="255" t="str">
        <f>IF(ISNUMBER(SEARCH("R", 'WetLitterbags placem_collection'!W154)),"YES","NO")</f>
        <v>YES</v>
      </c>
      <c r="AC227" s="255" t="str">
        <f>IF(ISNUMBER(SEARCH("C", 'WetLitterbags placem_collection'!V154)),"YES","NO")</f>
        <v>NO</v>
      </c>
      <c r="AD227" s="255" t="str">
        <f>IF(ISNUMBER(SEARCH("H", 'WetLitterbags placem_collection'!V154)),"YES","NO")</f>
        <v>NO</v>
      </c>
      <c r="AE227" s="255" t="str">
        <f>IF(ISNUMBER(SEARCH("R", 'WetLitterbags placem_collection'!V154)),"YES","NO")</f>
        <v>NO</v>
      </c>
    </row>
    <row r="228" spans="2:31">
      <c r="B228" t="str">
        <f>'Final data_for_R_analysis_Wetse'!A154</f>
        <v>Wet</v>
      </c>
      <c r="C228" s="263">
        <f>'Final data_for_R_analysis_Wetse'!B154</f>
        <v>153</v>
      </c>
      <c r="D228" t="s">
        <v>3850</v>
      </c>
      <c r="E228" t="s">
        <v>22</v>
      </c>
      <c r="F228" s="386">
        <v>1</v>
      </c>
      <c r="G228" s="16">
        <f>'WetLitterbags placem_collection'!E155</f>
        <v>42762</v>
      </c>
      <c r="H228" t="str">
        <f>'Final data_for_R_analysis_Wetse'!J154</f>
        <v>G800</v>
      </c>
      <c r="I228" t="str">
        <f>'Final data_for_R_analysis_Wetse'!J374</f>
        <v>R479</v>
      </c>
      <c r="J228">
        <f>IFERROR(INDEX('Green_rooibos initial weight'!$C$5:$C$1749,MATCH(H228, 'Green_rooibos initial weight'!$A$5:$A$1749,0)),"")</f>
        <v>2.1179999999999999</v>
      </c>
      <c r="K228">
        <f>IFERROR(INDEX('Green_rooibos initial weight'!$C$5:$C$1749,MATCH(I228, 'Green_rooibos initial weight'!$A$5:$A$1749,0)),"")</f>
        <v>2.2749999999999999</v>
      </c>
      <c r="L228" s="195">
        <f t="shared" si="20"/>
        <v>1.8681999999999999</v>
      </c>
      <c r="M228" s="195">
        <f>AVERAGE(Ashed_controlls!$K$2:$K$11)</f>
        <v>5.5147656768714146</v>
      </c>
      <c r="N228" s="195">
        <f t="shared" si="18"/>
        <v>2.0251999999999999</v>
      </c>
      <c r="O228" s="16">
        <f>IF('WetLitterbags placem_collection'!G155="N.A","",'WetLitterbags placem_collection'!G155)</f>
        <v>42816</v>
      </c>
      <c r="P228" s="195">
        <f>IF(IFERROR(INDEX('Both teabags AfterWet'!$C$3:$C$841,MATCH(H228,'Both teabags AfterWet'!$A$3:$A$841,0)),"")="N.A","",(IFERROR(INDEX('Both teabags AfterWet'!$C$3:$C$841,MATCH(H228,'Both teabags AfterWet'!$A$3:$A$841,0)),"")))</f>
        <v>0.58630000000000004</v>
      </c>
      <c r="Q228" s="195">
        <f>IFERROR(INDEX('Both teabags AfterWet'!$C$3:$C$841,MATCH(I228,'Both teabags AfterWet'!$A$3:$A$841,0)),"")</f>
        <v>1.2541</v>
      </c>
      <c r="R228" s="195">
        <f t="shared" si="21"/>
        <v>0.43570000000000003</v>
      </c>
      <c r="S228" s="195">
        <f t="shared" si="21"/>
        <v>1.1034999999999999</v>
      </c>
      <c r="T228" s="195">
        <f t="shared" si="22"/>
        <v>0.76678085858045175</v>
      </c>
      <c r="U228" s="195">
        <f t="shared" si="23"/>
        <v>0.50268768876058123</v>
      </c>
      <c r="V228" s="195">
        <f t="shared" si="24"/>
        <v>0.5448844558562117</v>
      </c>
      <c r="W228">
        <f t="shared" si="19"/>
        <v>54</v>
      </c>
      <c r="X228" s="195">
        <f t="shared" si="25"/>
        <v>8.9333897172860111E-2</v>
      </c>
      <c r="Y228" s="195">
        <f t="shared" si="26"/>
        <v>4.3661512728713804E-2</v>
      </c>
      <c r="Z228" s="255" t="str">
        <f>IF(ISNUMBER(SEARCH("C",'WetLitterbags placem_collection'!W155)),"YES","NO")</f>
        <v>NO</v>
      </c>
      <c r="AA228" s="255" t="str">
        <f>IF(ISNUMBER(SEARCH("H", 'WetLitterbags placem_collection'!W155)),"YES","NO")</f>
        <v>YES</v>
      </c>
      <c r="AB228" s="255" t="str">
        <f>IF(ISNUMBER(SEARCH("R", 'WetLitterbags placem_collection'!W155)),"YES","NO")</f>
        <v>YES</v>
      </c>
      <c r="AC228" s="255" t="str">
        <f>IF(ISNUMBER(SEARCH("C", 'WetLitterbags placem_collection'!V155)),"YES","NO")</f>
        <v>NO</v>
      </c>
      <c r="AD228" s="255" t="str">
        <f>IF(ISNUMBER(SEARCH("H", 'WetLitterbags placem_collection'!V155)),"YES","NO")</f>
        <v>NO</v>
      </c>
      <c r="AE228" s="255" t="str">
        <f>IF(ISNUMBER(SEARCH("R", 'WetLitterbags placem_collection'!V155)),"YES","NO")</f>
        <v>YES</v>
      </c>
    </row>
    <row r="229" spans="2:31">
      <c r="B229" t="str">
        <f>'Final data_for_R_analysis_Wetse'!A155</f>
        <v>Wet</v>
      </c>
      <c r="C229" s="263">
        <f>'Final data_for_R_analysis_Wetse'!B155</f>
        <v>154</v>
      </c>
      <c r="D229" t="s">
        <v>3850</v>
      </c>
      <c r="E229" t="s">
        <v>22</v>
      </c>
      <c r="F229" s="386">
        <v>2</v>
      </c>
      <c r="G229" s="16">
        <f>'WetLitterbags placem_collection'!E156</f>
        <v>42762</v>
      </c>
      <c r="H229" t="str">
        <f>'Final data_for_R_analysis_Wetse'!J155</f>
        <v>G675</v>
      </c>
      <c r="I229" t="str">
        <f>'Final data_for_R_analysis_Wetse'!J375</f>
        <v>R493</v>
      </c>
      <c r="J229">
        <f>IFERROR(INDEX('Green_rooibos initial weight'!$C$5:$C$1749,MATCH(H229, 'Green_rooibos initial weight'!$A$5:$A$1749,0)),"")</f>
        <v>1.9950000000000001</v>
      </c>
      <c r="K229">
        <f>IFERROR(INDEX('Green_rooibos initial weight'!$C$5:$C$1749,MATCH(I229, 'Green_rooibos initial weight'!$A$5:$A$1749,0)),"")</f>
        <v>2.2410000000000001</v>
      </c>
      <c r="L229" s="195">
        <f t="shared" si="20"/>
        <v>1.7452000000000001</v>
      </c>
      <c r="M229" s="195">
        <f>AVERAGE(Ashed_controlls!$K$2:$K$11)</f>
        <v>5.5147656768714146</v>
      </c>
      <c r="N229" s="195">
        <f t="shared" si="18"/>
        <v>1.9912000000000001</v>
      </c>
      <c r="O229" s="16">
        <f>IF('WetLitterbags placem_collection'!G156="N.A","",'WetLitterbags placem_collection'!G156)</f>
        <v>42816</v>
      </c>
      <c r="P229" s="195">
        <f>IF(IFERROR(INDEX('Both teabags AfterWet'!$C$3:$C$841,MATCH(H229,'Both teabags AfterWet'!$A$3:$A$841,0)),"")="N.A","",(IFERROR(INDEX('Both teabags AfterWet'!$C$3:$C$841,MATCH(H229,'Both teabags AfterWet'!$A$3:$A$841,0)),"")))</f>
        <v>0.61299999999999999</v>
      </c>
      <c r="Q229" s="195">
        <f>IFERROR(INDEX('Both teabags AfterWet'!$C$3:$C$841,MATCH(I229,'Both teabags AfterWet'!$A$3:$A$841,0)),"")</f>
        <v>0.69099999999999995</v>
      </c>
      <c r="R229" s="195">
        <f t="shared" si="21"/>
        <v>0.46239999999999998</v>
      </c>
      <c r="S229" s="195">
        <f t="shared" si="21"/>
        <v>0.54039999999999999</v>
      </c>
      <c r="T229" s="195">
        <f t="shared" si="22"/>
        <v>0.73504469401787764</v>
      </c>
      <c r="U229" s="195">
        <f t="shared" si="23"/>
        <v>0.48188203218274167</v>
      </c>
      <c r="V229" s="195">
        <f t="shared" si="24"/>
        <v>0.2713941341904379</v>
      </c>
      <c r="W229">
        <f t="shared" si="19"/>
        <v>54</v>
      </c>
      <c r="X229" s="195">
        <f t="shared" si="25"/>
        <v>0.12702530401677237</v>
      </c>
      <c r="Y229" s="195" t="str">
        <f t="shared" si="26"/>
        <v/>
      </c>
      <c r="Z229" s="255" t="str">
        <f>IF(ISNUMBER(SEARCH("C",'WetLitterbags placem_collection'!W156)),"YES","NO")</f>
        <v>YES</v>
      </c>
      <c r="AA229" s="255" t="str">
        <f>IF(ISNUMBER(SEARCH("H", 'WetLitterbags placem_collection'!W156)),"YES","NO")</f>
        <v>YES</v>
      </c>
      <c r="AB229" s="255" t="str">
        <f>IF(ISNUMBER(SEARCH("R", 'WetLitterbags placem_collection'!W156)),"YES","NO")</f>
        <v>NO</v>
      </c>
      <c r="AC229" s="255" t="str">
        <f>IF(ISNUMBER(SEARCH("C", 'WetLitterbags placem_collection'!V156)),"YES","NO")</f>
        <v>YES</v>
      </c>
      <c r="AD229" s="255" t="str">
        <f>IF(ISNUMBER(SEARCH("H", 'WetLitterbags placem_collection'!V156)),"YES","NO")</f>
        <v>YES</v>
      </c>
      <c r="AE229" s="255" t="str">
        <f>IF(ISNUMBER(SEARCH("R", 'WetLitterbags placem_collection'!V156)),"YES","NO")</f>
        <v>NO</v>
      </c>
    </row>
    <row r="230" spans="2:31">
      <c r="B230" t="str">
        <f>'Final data_for_R_analysis_Wetse'!A156</f>
        <v>Wet</v>
      </c>
      <c r="C230" s="263">
        <f>'Final data_for_R_analysis_Wetse'!B156</f>
        <v>155</v>
      </c>
      <c r="D230" t="s">
        <v>3850</v>
      </c>
      <c r="E230" t="s">
        <v>22</v>
      </c>
      <c r="F230" s="386">
        <v>3</v>
      </c>
      <c r="G230" s="16">
        <f>'WetLitterbags placem_collection'!E157</f>
        <v>42762</v>
      </c>
      <c r="H230" t="str">
        <f>'Final data_for_R_analysis_Wetse'!J156</f>
        <v>G859</v>
      </c>
      <c r="I230" t="str">
        <f>'Final data_for_R_analysis_Wetse'!J376</f>
        <v>R484</v>
      </c>
      <c r="J230">
        <f>IFERROR(INDEX('Green_rooibos initial weight'!$C$5:$C$1749,MATCH(H230, 'Green_rooibos initial weight'!$A$5:$A$1749,0)),"")</f>
        <v>2</v>
      </c>
      <c r="K230">
        <f>IFERROR(INDEX('Green_rooibos initial weight'!$C$5:$C$1749,MATCH(I230, 'Green_rooibos initial weight'!$A$5:$A$1749,0)),"")</f>
        <v>2.1850000000000001</v>
      </c>
      <c r="L230" s="195">
        <f t="shared" si="20"/>
        <v>1.7502</v>
      </c>
      <c r="M230" s="195">
        <f>AVERAGE(Ashed_controlls!$K$2:$K$11)</f>
        <v>5.5147656768714146</v>
      </c>
      <c r="N230" s="195">
        <f t="shared" si="18"/>
        <v>1.9352</v>
      </c>
      <c r="O230" s="16">
        <f>IF('WetLitterbags placem_collection'!G157="N.A","",'WetLitterbags placem_collection'!G157)</f>
        <v>42816</v>
      </c>
      <c r="P230" s="195">
        <f>IF(IFERROR(INDEX('Both teabags AfterWet'!$C$3:$C$841,MATCH(H230,'Both teabags AfterWet'!$A$3:$A$841,0)),"")="N.A","",(IFERROR(INDEX('Both teabags AfterWet'!$C$3:$C$841,MATCH(H230,'Both teabags AfterWet'!$A$3:$A$841,0)),"")))</f>
        <v>0.71599999999999997</v>
      </c>
      <c r="Q230" s="195">
        <f>IFERROR(INDEX('Both teabags AfterWet'!$C$3:$C$841,MATCH(I230,'Both teabags AfterWet'!$A$3:$A$841,0)),"")</f>
        <v>1.7509999999999999</v>
      </c>
      <c r="R230" s="195">
        <f t="shared" si="21"/>
        <v>0.5653999999999999</v>
      </c>
      <c r="S230" s="195">
        <f t="shared" si="21"/>
        <v>1.6003999999999998</v>
      </c>
      <c r="T230" s="195">
        <f t="shared" si="22"/>
        <v>0.67695120557650568</v>
      </c>
      <c r="U230" s="195">
        <f t="shared" si="23"/>
        <v>0.44379698987913441</v>
      </c>
      <c r="V230" s="195">
        <f t="shared" si="24"/>
        <v>0.82699462587846206</v>
      </c>
      <c r="W230">
        <f t="shared" si="19"/>
        <v>54</v>
      </c>
      <c r="X230" s="195">
        <f t="shared" si="25"/>
        <v>0.19601994587113336</v>
      </c>
      <c r="Y230" s="195">
        <f t="shared" si="26"/>
        <v>9.1484749689491364E-3</v>
      </c>
      <c r="Z230" s="255" t="str">
        <f>IF(ISNUMBER(SEARCH("C",'WetLitterbags placem_collection'!W157)),"YES","NO")</f>
        <v>NO</v>
      </c>
      <c r="AA230" s="255" t="str">
        <f>IF(ISNUMBER(SEARCH("H", 'WetLitterbags placem_collection'!W157)),"YES","NO")</f>
        <v>NO</v>
      </c>
      <c r="AB230" s="255" t="str">
        <f>IF(ISNUMBER(SEARCH("R", 'WetLitterbags placem_collection'!W157)),"YES","NO")</f>
        <v>YES</v>
      </c>
      <c r="AC230" s="255" t="str">
        <f>IF(ISNUMBER(SEARCH("C", 'WetLitterbags placem_collection'!V157)),"YES","NO")</f>
        <v>NO</v>
      </c>
      <c r="AD230" s="255" t="str">
        <f>IF(ISNUMBER(SEARCH("H", 'WetLitterbags placem_collection'!V157)),"YES","NO")</f>
        <v>NO</v>
      </c>
      <c r="AE230" s="255" t="str">
        <f>IF(ISNUMBER(SEARCH("R", 'WetLitterbags placem_collection'!V157)),"YES","NO")</f>
        <v>YES</v>
      </c>
    </row>
    <row r="231" spans="2:31">
      <c r="B231" t="str">
        <f>'Final data_for_R_analysis_Wetse'!A157</f>
        <v>Wet</v>
      </c>
      <c r="C231" s="263">
        <f>'Final data_for_R_analysis_Wetse'!B157</f>
        <v>156</v>
      </c>
      <c r="D231" t="s">
        <v>3850</v>
      </c>
      <c r="E231" t="s">
        <v>22</v>
      </c>
      <c r="F231" s="387">
        <v>4</v>
      </c>
      <c r="G231" s="16">
        <f>'WetLitterbags placem_collection'!E158</f>
        <v>42762</v>
      </c>
      <c r="H231" t="str">
        <f>'Final data_for_R_analysis_Wetse'!J157</f>
        <v>G654</v>
      </c>
      <c r="I231" t="str">
        <f>'Final data_for_R_analysis_Wetse'!J377</f>
        <v>R598</v>
      </c>
      <c r="J231">
        <f>IFERROR(INDEX('Green_rooibos initial weight'!$C$5:$C$1749,MATCH(H231, 'Green_rooibos initial weight'!$A$5:$A$1749,0)),"")</f>
        <v>2.0169999999999999</v>
      </c>
      <c r="K231">
        <f>IFERROR(INDEX('Green_rooibos initial weight'!$C$5:$C$1749,MATCH(I231, 'Green_rooibos initial weight'!$A$5:$A$1749,0)),"")</f>
        <v>2.206</v>
      </c>
      <c r="L231" s="195">
        <f t="shared" si="20"/>
        <v>1.7671999999999999</v>
      </c>
      <c r="M231" s="195">
        <f>AVERAGE(Ashed_controlls!$K$2:$K$11)</f>
        <v>5.5147656768714146</v>
      </c>
      <c r="N231" s="195">
        <f t="shared" si="18"/>
        <v>1.9561999999999999</v>
      </c>
      <c r="O231" s="16">
        <f>IF('WetLitterbags placem_collection'!G158="N.A","",'WetLitterbags placem_collection'!G158)</f>
        <v>42816</v>
      </c>
      <c r="P231" s="195">
        <f>IF(IFERROR(INDEX('Both teabags AfterWet'!$C$3:$C$841,MATCH(H231,'Both teabags AfterWet'!$A$3:$A$841,0)),"")="N.A","",(IFERROR(INDEX('Both teabags AfterWet'!$C$3:$C$841,MATCH(H231,'Both teabags AfterWet'!$A$3:$A$841,0)),"")))</f>
        <v>0.73799999999999999</v>
      </c>
      <c r="Q231" s="195">
        <f>IFERROR(INDEX('Both teabags AfterWet'!$C$3:$C$841,MATCH(I231,'Both teabags AfterWet'!$A$3:$A$841,0)),"")</f>
        <v>1.8080000000000001</v>
      </c>
      <c r="R231" s="195">
        <f t="shared" si="21"/>
        <v>0.58739999999999992</v>
      </c>
      <c r="S231" s="195">
        <f t="shared" si="21"/>
        <v>1.6574</v>
      </c>
      <c r="T231" s="195">
        <f t="shared" si="22"/>
        <v>0.66760977818017198</v>
      </c>
      <c r="U231" s="195">
        <f t="shared" si="23"/>
        <v>0.43767291871194175</v>
      </c>
      <c r="V231" s="195">
        <f t="shared" si="24"/>
        <v>0.84725488191391474</v>
      </c>
      <c r="W231">
        <f t="shared" si="19"/>
        <v>54</v>
      </c>
      <c r="X231" s="195">
        <f t="shared" si="25"/>
        <v>0.20711427769575774</v>
      </c>
      <c r="Y231" s="195">
        <f t="shared" si="26"/>
        <v>7.9488158044892857E-3</v>
      </c>
      <c r="Z231" s="255" t="str">
        <f>IF(ISNUMBER(SEARCH("C",'WetLitterbags placem_collection'!W158)),"YES","NO")</f>
        <v>NO</v>
      </c>
      <c r="AA231" s="255" t="str">
        <f>IF(ISNUMBER(SEARCH("H", 'WetLitterbags placem_collection'!W158)),"YES","NO")</f>
        <v>NO</v>
      </c>
      <c r="AB231" s="255" t="str">
        <f>IF(ISNUMBER(SEARCH("R", 'WetLitterbags placem_collection'!W158)),"YES","NO")</f>
        <v>YES</v>
      </c>
      <c r="AC231" s="255" t="str">
        <f>IF(ISNUMBER(SEARCH("C", 'WetLitterbags placem_collection'!V158)),"YES","NO")</f>
        <v>NO</v>
      </c>
      <c r="AD231" s="255" t="str">
        <f>IF(ISNUMBER(SEARCH("H", 'WetLitterbags placem_collection'!V158)),"YES","NO")</f>
        <v>YES</v>
      </c>
      <c r="AE231" s="255" t="str">
        <f>IF(ISNUMBER(SEARCH("R", 'WetLitterbags placem_collection'!V158)),"YES","NO")</f>
        <v>NO</v>
      </c>
    </row>
    <row r="232" spans="2:31">
      <c r="B232" t="str">
        <f>'Final data_for_R_analysis_Wetse'!A158</f>
        <v>Wet</v>
      </c>
      <c r="C232" s="263">
        <f>'Final data_for_R_analysis_Wetse'!B158</f>
        <v>157</v>
      </c>
      <c r="D232" t="s">
        <v>3850</v>
      </c>
      <c r="E232" t="s">
        <v>22</v>
      </c>
      <c r="F232" s="387">
        <v>5</v>
      </c>
      <c r="G232" s="16">
        <f>'WetLitterbags placem_collection'!E159</f>
        <v>42762</v>
      </c>
      <c r="H232" t="str">
        <f>'Final data_for_R_analysis_Wetse'!J158</f>
        <v>G890</v>
      </c>
      <c r="I232" t="str">
        <f>'Final data_for_R_analysis_Wetse'!J378</f>
        <v>R30</v>
      </c>
      <c r="J232">
        <f>IFERROR(INDEX('Green_rooibos initial weight'!$C$5:$C$1749,MATCH(H232, 'Green_rooibos initial weight'!$A$5:$A$1749,0)),"")</f>
        <v>1.9930000000000001</v>
      </c>
      <c r="K232">
        <f>IFERROR(INDEX('Green_rooibos initial weight'!$C$5:$C$1749,MATCH(I232, 'Green_rooibos initial weight'!$A$5:$A$1749,0)),"")</f>
        <v>2.177</v>
      </c>
      <c r="L232" s="195">
        <f t="shared" si="20"/>
        <v>1.7432000000000001</v>
      </c>
      <c r="M232" s="195">
        <f>AVERAGE(Ashed_controlls!$K$2:$K$11)</f>
        <v>5.5147656768714146</v>
      </c>
      <c r="N232" s="195">
        <f t="shared" si="18"/>
        <v>1.9272</v>
      </c>
      <c r="O232" s="16">
        <f>IF('WetLitterbags placem_collection'!G159="N.A","",'WetLitterbags placem_collection'!G159)</f>
        <v>42816</v>
      </c>
      <c r="P232" s="195">
        <f>IF(IFERROR(INDEX('Both teabags AfterWet'!$C$3:$C$841,MATCH(H232,'Both teabags AfterWet'!$A$3:$A$841,0)),"")="N.A","",(IFERROR(INDEX('Both teabags AfterWet'!$C$3:$C$841,MATCH(H232,'Both teabags AfterWet'!$A$3:$A$841,0)),"")))</f>
        <v>0.74099999999999999</v>
      </c>
      <c r="Q232" s="195">
        <f>IFERROR(INDEX('Both teabags AfterWet'!$C$3:$C$841,MATCH(I232,'Both teabags AfterWet'!$A$3:$A$841,0)),"")</f>
        <v>1.825</v>
      </c>
      <c r="R232" s="195">
        <f t="shared" si="21"/>
        <v>0.59040000000000004</v>
      </c>
      <c r="S232" s="195">
        <f t="shared" si="21"/>
        <v>1.6743999999999999</v>
      </c>
      <c r="T232" s="195">
        <f t="shared" si="22"/>
        <v>0.66131252868288204</v>
      </c>
      <c r="U232" s="195">
        <f t="shared" si="23"/>
        <v>0.43354455562108191</v>
      </c>
      <c r="V232" s="195">
        <f t="shared" si="24"/>
        <v>0.86882523868825234</v>
      </c>
      <c r="W232">
        <f t="shared" si="19"/>
        <v>54</v>
      </c>
      <c r="X232" s="195">
        <f t="shared" si="25"/>
        <v>0.21459319633861984</v>
      </c>
      <c r="Y232" s="195">
        <f t="shared" si="26"/>
        <v>6.6730336907153669E-3</v>
      </c>
      <c r="Z232" s="255" t="str">
        <f>IF(ISNUMBER(SEARCH("C",'WetLitterbags placem_collection'!W159)),"YES","NO")</f>
        <v>YES</v>
      </c>
      <c r="AA232" s="255" t="str">
        <f>IF(ISNUMBER(SEARCH("H", 'WetLitterbags placem_collection'!W159)),"YES","NO")</f>
        <v>NO</v>
      </c>
      <c r="AB232" s="255" t="str">
        <f>IF(ISNUMBER(SEARCH("R", 'WetLitterbags placem_collection'!W159)),"YES","NO")</f>
        <v>YES</v>
      </c>
      <c r="AC232" s="255" t="str">
        <f>IF(ISNUMBER(SEARCH("C", 'WetLitterbags placem_collection'!V159)),"YES","NO")</f>
        <v>NO</v>
      </c>
      <c r="AD232" s="255" t="str">
        <f>IF(ISNUMBER(SEARCH("H", 'WetLitterbags placem_collection'!V159)),"YES","NO")</f>
        <v>NO</v>
      </c>
      <c r="AE232" s="255" t="str">
        <f>IF(ISNUMBER(SEARCH("R", 'WetLitterbags placem_collection'!V159)),"YES","NO")</f>
        <v>YES</v>
      </c>
    </row>
    <row r="233" spans="2:31">
      <c r="B233" t="str">
        <f>'Final data_for_R_analysis_Wetse'!A159</f>
        <v>Wet</v>
      </c>
      <c r="C233" s="263">
        <f>'Final data_for_R_analysis_Wetse'!B159</f>
        <v>158</v>
      </c>
      <c r="D233" t="s">
        <v>3850</v>
      </c>
      <c r="E233" t="s">
        <v>22</v>
      </c>
      <c r="F233" s="387">
        <v>6</v>
      </c>
      <c r="G233" s="16">
        <f>'WetLitterbags placem_collection'!E160</f>
        <v>42762</v>
      </c>
      <c r="H233" t="str">
        <f>'Final data_for_R_analysis_Wetse'!J159</f>
        <v>G576</v>
      </c>
      <c r="I233" t="str">
        <f>'Final data_for_R_analysis_Wetse'!J379</f>
        <v>R16</v>
      </c>
      <c r="J233">
        <f>IFERROR(INDEX('Green_rooibos initial weight'!$C$5:$C$1749,MATCH(H233, 'Green_rooibos initial weight'!$A$5:$A$1749,0)),"")</f>
        <v>2.056</v>
      </c>
      <c r="K233">
        <f>IFERROR(INDEX('Green_rooibos initial weight'!$C$5:$C$1749,MATCH(I233, 'Green_rooibos initial weight'!$A$5:$A$1749,0)),"")</f>
        <v>2.2629999999999999</v>
      </c>
      <c r="L233" s="195">
        <f t="shared" si="20"/>
        <v>1.8062</v>
      </c>
      <c r="M233" s="195">
        <f>AVERAGE(Ashed_controlls!$K$2:$K$11)</f>
        <v>5.5147656768714146</v>
      </c>
      <c r="N233" s="195">
        <f t="shared" si="18"/>
        <v>2.0131999999999999</v>
      </c>
      <c r="O233" s="16">
        <f>IF('WetLitterbags placem_collection'!G160="N.A","",'WetLitterbags placem_collection'!G160)</f>
        <v>42816</v>
      </c>
      <c r="P233" s="195">
        <f>IF(IFERROR(INDEX('Both teabags AfterWet'!$C$3:$C$841,MATCH(H233,'Both teabags AfterWet'!$A$3:$A$841,0)),"")="N.A","",(IFERROR(INDEX('Both teabags AfterWet'!$C$3:$C$841,MATCH(H233,'Both teabags AfterWet'!$A$3:$A$841,0)),"")))</f>
        <v>0.26600000000000001</v>
      </c>
      <c r="Q233" s="195">
        <f>IFERROR(INDEX('Both teabags AfterWet'!$C$3:$C$841,MATCH(I233,'Both teabags AfterWet'!$A$3:$A$841,0)),"")</f>
        <v>1.786</v>
      </c>
      <c r="R233" s="195">
        <f t="shared" si="21"/>
        <v>0.1154</v>
      </c>
      <c r="S233" s="195">
        <f t="shared" si="21"/>
        <v>1.6354</v>
      </c>
      <c r="T233" s="195">
        <f t="shared" si="22"/>
        <v>0.93610895803344041</v>
      </c>
      <c r="U233" s="195">
        <f t="shared" si="23"/>
        <v>0.6136961340076712</v>
      </c>
      <c r="V233" s="195">
        <f t="shared" si="24"/>
        <v>0.81233856546791183</v>
      </c>
      <c r="W233">
        <f t="shared" si="19"/>
        <v>54</v>
      </c>
      <c r="X233" s="195">
        <f t="shared" si="25"/>
        <v>-0.11176835870954926</v>
      </c>
      <c r="Y233" s="195">
        <f t="shared" si="26"/>
        <v>6.7588724587527241E-3</v>
      </c>
      <c r="Z233" s="255" t="str">
        <f>IF(ISNUMBER(SEARCH("C",'WetLitterbags placem_collection'!W160)),"YES","NO")</f>
        <v>NO</v>
      </c>
      <c r="AA233" s="255" t="str">
        <f>IF(ISNUMBER(SEARCH("H", 'WetLitterbags placem_collection'!W160)),"YES","NO")</f>
        <v>NO</v>
      </c>
      <c r="AB233" s="255" t="str">
        <f>IF(ISNUMBER(SEARCH("R", 'WetLitterbags placem_collection'!W160)),"YES","NO")</f>
        <v>YES</v>
      </c>
      <c r="AC233" s="255" t="str">
        <f>IF(ISNUMBER(SEARCH("C", 'WetLitterbags placem_collection'!V160)),"YES","NO")</f>
        <v>NO</v>
      </c>
      <c r="AD233" s="255" t="str">
        <f>IF(ISNUMBER(SEARCH("H", 'WetLitterbags placem_collection'!V160)),"YES","NO")</f>
        <v>YES</v>
      </c>
      <c r="AE233" s="255" t="str">
        <f>IF(ISNUMBER(SEARCH("R", 'WetLitterbags placem_collection'!V160)),"YES","NO")</f>
        <v>YES</v>
      </c>
    </row>
    <row r="234" spans="2:31">
      <c r="B234" t="str">
        <f>'Final data_for_R_analysis_Wetse'!A160</f>
        <v>Wet</v>
      </c>
      <c r="C234" s="263">
        <f>'Final data_for_R_analysis_Wetse'!B160</f>
        <v>159</v>
      </c>
      <c r="D234" t="s">
        <v>3850</v>
      </c>
      <c r="E234" t="s">
        <v>22</v>
      </c>
      <c r="F234" s="387">
        <v>7</v>
      </c>
      <c r="G234" s="16">
        <f>'WetLitterbags placem_collection'!E161</f>
        <v>42762</v>
      </c>
      <c r="H234" t="str">
        <f>'Final data_for_R_analysis_Wetse'!J160</f>
        <v>G829</v>
      </c>
      <c r="I234" t="str">
        <f>'Final data_for_R_analysis_Wetse'!J380</f>
        <v>R499</v>
      </c>
      <c r="J234">
        <f>IFERROR(INDEX('Green_rooibos initial weight'!$C$5:$C$1749,MATCH(H234, 'Green_rooibos initial weight'!$A$5:$A$1749,0)),"")</f>
        <v>1.9610000000000001</v>
      </c>
      <c r="K234">
        <f>IFERROR(INDEX('Green_rooibos initial weight'!$C$5:$C$1749,MATCH(I234, 'Green_rooibos initial weight'!$A$5:$A$1749,0)),"")</f>
        <v>2.194</v>
      </c>
      <c r="L234" s="195">
        <f t="shared" si="20"/>
        <v>1.7112000000000001</v>
      </c>
      <c r="M234" s="195">
        <f>AVERAGE(Ashed_controlls!$K$2:$K$11)</f>
        <v>5.5147656768714146</v>
      </c>
      <c r="N234" s="195">
        <f t="shared" si="18"/>
        <v>1.9441999999999999</v>
      </c>
      <c r="O234" s="16">
        <f>IF('WetLitterbags placem_collection'!G161="N.A","",'WetLitterbags placem_collection'!G161)</f>
        <v>42816</v>
      </c>
      <c r="P234" s="195">
        <f>IF(IFERROR(INDEX('Both teabags AfterWet'!$C$3:$C$841,MATCH(H234,'Both teabags AfterWet'!$A$3:$A$841,0)),"")="N.A","",(IFERROR(INDEX('Both teabags AfterWet'!$C$3:$C$841,MATCH(H234,'Both teabags AfterWet'!$A$3:$A$841,0)),"")))</f>
        <v>0.56499999999999995</v>
      </c>
      <c r="Q234" s="195" t="str">
        <f>IFERROR(INDEX('Both teabags AfterWet'!$C$3:$C$841,MATCH(I234,'Both teabags AfterWet'!$A$3:$A$841,0)),"")</f>
        <v/>
      </c>
      <c r="R234" s="195">
        <f t="shared" si="21"/>
        <v>0.41439999999999994</v>
      </c>
      <c r="S234" s="195" t="str">
        <f t="shared" si="21"/>
        <v/>
      </c>
      <c r="T234" s="195">
        <f t="shared" si="22"/>
        <v>0.75783076203833577</v>
      </c>
      <c r="U234" s="195">
        <f t="shared" si="23"/>
        <v>0.49682016703700876</v>
      </c>
      <c r="V234" s="195" t="str">
        <f t="shared" si="24"/>
        <v/>
      </c>
      <c r="W234">
        <f t="shared" si="19"/>
        <v>54</v>
      </c>
      <c r="X234" s="195">
        <f t="shared" si="25"/>
        <v>9.9963465512665328E-2</v>
      </c>
      <c r="Y234" s="195" t="str">
        <f t="shared" si="26"/>
        <v/>
      </c>
      <c r="Z234" s="255" t="str">
        <f>IF(ISNUMBER(SEARCH("C",'WetLitterbags placem_collection'!W161)),"YES","NO")</f>
        <v>NO</v>
      </c>
      <c r="AA234" s="255" t="str">
        <f>IF(ISNUMBER(SEARCH("H", 'WetLitterbags placem_collection'!W161)),"YES","NO")</f>
        <v>NO</v>
      </c>
      <c r="AB234" s="255" t="str">
        <f>IF(ISNUMBER(SEARCH("R", 'WetLitterbags placem_collection'!W161)),"YES","NO")</f>
        <v>NO</v>
      </c>
      <c r="AC234" s="255" t="str">
        <f>IF(ISNUMBER(SEARCH("C", 'WetLitterbags placem_collection'!V161)),"YES","NO")</f>
        <v>NO</v>
      </c>
      <c r="AD234" s="255" t="str">
        <f>IF(ISNUMBER(SEARCH("H", 'WetLitterbags placem_collection'!V161)),"YES","NO")</f>
        <v>NO</v>
      </c>
      <c r="AE234" s="255" t="str">
        <f>IF(ISNUMBER(SEARCH("R", 'WetLitterbags placem_collection'!V161)),"YES","NO")</f>
        <v>NO</v>
      </c>
    </row>
    <row r="235" spans="2:31">
      <c r="B235" t="str">
        <f>'Final data_for_R_analysis_Wetse'!A161</f>
        <v>Wet</v>
      </c>
      <c r="C235" s="263">
        <f>'Final data_for_R_analysis_Wetse'!B161</f>
        <v>160</v>
      </c>
      <c r="D235" t="s">
        <v>3850</v>
      </c>
      <c r="E235" t="s">
        <v>22</v>
      </c>
      <c r="F235" s="387">
        <v>8</v>
      </c>
      <c r="G235" s="16">
        <f>'WetLitterbags placem_collection'!E162</f>
        <v>42762</v>
      </c>
      <c r="H235" t="str">
        <f>'Final data_for_R_analysis_Wetse'!J161</f>
        <v>G809</v>
      </c>
      <c r="I235" t="str">
        <f>'Final data_for_R_analysis_Wetse'!J381</f>
        <v>R421</v>
      </c>
      <c r="J235">
        <f>IFERROR(INDEX('Green_rooibos initial weight'!$C$5:$C$1749,MATCH(H235, 'Green_rooibos initial weight'!$A$5:$A$1749,0)),"")</f>
        <v>1.9279999999999999</v>
      </c>
      <c r="K235">
        <f>IFERROR(INDEX('Green_rooibos initial weight'!$C$5:$C$1749,MATCH(I235, 'Green_rooibos initial weight'!$A$5:$A$1749,0)),"")</f>
        <v>2.2170000000000001</v>
      </c>
      <c r="L235" s="195">
        <f t="shared" si="20"/>
        <v>1.6781999999999999</v>
      </c>
      <c r="M235" s="195">
        <f>AVERAGE(Ashed_controlls!$K$2:$K$11)</f>
        <v>5.5147656768714146</v>
      </c>
      <c r="N235" s="195">
        <f t="shared" si="18"/>
        <v>1.9672000000000001</v>
      </c>
      <c r="O235" s="16">
        <f>IF('WetLitterbags placem_collection'!G162="N.A","",'WetLitterbags placem_collection'!G162)</f>
        <v>42816</v>
      </c>
      <c r="P235" s="195">
        <f>IF(IFERROR(INDEX('Both teabags AfterWet'!$C$3:$C$841,MATCH(H235,'Both teabags AfterWet'!$A$3:$A$841,0)),"")="N.A","",(IFERROR(INDEX('Both teabags AfterWet'!$C$3:$C$841,MATCH(H235,'Both teabags AfterWet'!$A$3:$A$841,0)),"")))</f>
        <v>0.72</v>
      </c>
      <c r="Q235" s="195">
        <f>IFERROR(INDEX('Both teabags AfterWet'!$C$3:$C$841,MATCH(I235,'Both teabags AfterWet'!$A$3:$A$841,0)),"")</f>
        <v>1.744</v>
      </c>
      <c r="R235" s="195">
        <f t="shared" si="21"/>
        <v>0.56939999999999991</v>
      </c>
      <c r="S235" s="195">
        <f t="shared" si="21"/>
        <v>1.5933999999999999</v>
      </c>
      <c r="T235" s="195">
        <f t="shared" si="22"/>
        <v>0.66070790132284596</v>
      </c>
      <c r="U235" s="195">
        <f t="shared" si="23"/>
        <v>0.43314817283873042</v>
      </c>
      <c r="V235" s="195">
        <f t="shared" si="24"/>
        <v>0.80998373322488815</v>
      </c>
      <c r="W235">
        <f t="shared" si="19"/>
        <v>54</v>
      </c>
      <c r="X235" s="195">
        <f t="shared" si="25"/>
        <v>0.21531128108925657</v>
      </c>
      <c r="Y235" s="195">
        <f t="shared" si="26"/>
        <v>1.0693995382300599E-2</v>
      </c>
      <c r="Z235" s="255" t="str">
        <f>IF(ISNUMBER(SEARCH("C",'WetLitterbags placem_collection'!W162)),"YES","NO")</f>
        <v>NO</v>
      </c>
      <c r="AA235" s="255" t="str">
        <f>IF(ISNUMBER(SEARCH("H", 'WetLitterbags placem_collection'!W162)),"YES","NO")</f>
        <v>NO</v>
      </c>
      <c r="AB235" s="255" t="str">
        <f>IF(ISNUMBER(SEARCH("R", 'WetLitterbags placem_collection'!W162)),"YES","NO")</f>
        <v>YES</v>
      </c>
      <c r="AC235" s="255" t="str">
        <f>IF(ISNUMBER(SEARCH("C", 'WetLitterbags placem_collection'!V162)),"YES","NO")</f>
        <v>NO</v>
      </c>
      <c r="AD235" s="255" t="str">
        <f>IF(ISNUMBER(SEARCH("H", 'WetLitterbags placem_collection'!V162)),"YES","NO")</f>
        <v>NO</v>
      </c>
      <c r="AE235" s="255" t="str">
        <f>IF(ISNUMBER(SEARCH("R", 'WetLitterbags placem_collection'!V162)),"YES","NO")</f>
        <v>YES</v>
      </c>
    </row>
    <row r="236" spans="2:31">
      <c r="B236" t="str">
        <f>'Final data_for_R_analysis_Wetse'!A162</f>
        <v>Wet</v>
      </c>
      <c r="C236" s="263">
        <f>'Final data_for_R_analysis_Wetse'!B162</f>
        <v>161</v>
      </c>
      <c r="D236" t="s">
        <v>3851</v>
      </c>
      <c r="E236" t="s">
        <v>22</v>
      </c>
      <c r="F236" s="386">
        <v>1</v>
      </c>
      <c r="G236" s="16">
        <f>'WetLitterbags placem_collection'!E163</f>
        <v>42763</v>
      </c>
      <c r="H236" t="str">
        <f>'Final data_for_R_analysis_Wetse'!J162</f>
        <v>G252</v>
      </c>
      <c r="I236" t="str">
        <f>'Final data_for_R_analysis_Wetse'!J382</f>
        <v>R124</v>
      </c>
      <c r="J236">
        <f>IFERROR(INDEX('Green_rooibos initial weight'!$C$5:$C$1749,MATCH(H236, 'Green_rooibos initial weight'!$A$5:$A$1749,0)),"")</f>
        <v>2.0190000000000001</v>
      </c>
      <c r="K236">
        <f>IFERROR(INDEX('Green_rooibos initial weight'!$C$5:$C$1749,MATCH(I236, 'Green_rooibos initial weight'!$A$5:$A$1749,0)),"")</f>
        <v>2.2120000000000002</v>
      </c>
      <c r="L236" s="195">
        <f t="shared" si="20"/>
        <v>1.7692000000000001</v>
      </c>
      <c r="M236" s="195">
        <f>AVERAGE(Ashed_controlls!$K$2:$K$11)</f>
        <v>5.5147656768714146</v>
      </c>
      <c r="N236" s="195">
        <f t="shared" si="18"/>
        <v>1.9622000000000002</v>
      </c>
      <c r="O236" s="16">
        <f>IF('WetLitterbags placem_collection'!G163="N.A","",'WetLitterbags placem_collection'!G163)</f>
        <v>42814</v>
      </c>
      <c r="P236" s="195" t="str">
        <f>IF(IFERROR(INDEX('Both teabags AfterWet'!$C$3:$C$841,MATCH(H236,'Both teabags AfterWet'!$A$3:$A$841,0)),"")="N.A","",(IFERROR(INDEX('Both teabags AfterWet'!$C$3:$C$841,MATCH(H236,'Both teabags AfterWet'!$A$3:$A$841,0)),"")))</f>
        <v/>
      </c>
      <c r="Q236" s="195">
        <f>IFERROR(INDEX('Both teabags AfterWet'!$C$3:$C$841,MATCH(I236,'Both teabags AfterWet'!$A$3:$A$841,0)),"")</f>
        <v>1.6863999999999999</v>
      </c>
      <c r="R236" s="195" t="str">
        <f t="shared" si="21"/>
        <v/>
      </c>
      <c r="S236" s="195">
        <f t="shared" si="21"/>
        <v>1.5357999999999998</v>
      </c>
      <c r="T236" s="195" t="str">
        <f t="shared" si="22"/>
        <v/>
      </c>
      <c r="U236" s="195" t="str">
        <f t="shared" si="23"/>
        <v/>
      </c>
      <c r="V236" s="195">
        <f t="shared" si="24"/>
        <v>0.78269289572928336</v>
      </c>
      <c r="W236">
        <f t="shared" si="19"/>
        <v>51</v>
      </c>
      <c r="X236" s="195" t="str">
        <f t="shared" si="25"/>
        <v/>
      </c>
      <c r="Y236" s="195" t="str">
        <f t="shared" si="26"/>
        <v/>
      </c>
      <c r="Z236" s="255" t="str">
        <f>IF(ISNUMBER(SEARCH("C",'WetLitterbags placem_collection'!W163)),"YES","NO")</f>
        <v>NO</v>
      </c>
      <c r="AA236" s="255" t="str">
        <f>IF(ISNUMBER(SEARCH("H", 'WetLitterbags placem_collection'!W163)),"YES","NO")</f>
        <v>NO</v>
      </c>
      <c r="AB236" s="255" t="str">
        <f>IF(ISNUMBER(SEARCH("R", 'WetLitterbags placem_collection'!W163)),"YES","NO")</f>
        <v>NO</v>
      </c>
      <c r="AC236" s="255" t="str">
        <f>IF(ISNUMBER(SEARCH("C", 'WetLitterbags placem_collection'!V163)),"YES","NO")</f>
        <v>NO</v>
      </c>
      <c r="AD236" s="255" t="str">
        <f>IF(ISNUMBER(SEARCH("H", 'WetLitterbags placem_collection'!V163)),"YES","NO")</f>
        <v>NO</v>
      </c>
      <c r="AE236" s="255" t="str">
        <f>IF(ISNUMBER(SEARCH("R", 'WetLitterbags placem_collection'!V163)),"YES","NO")</f>
        <v>NO</v>
      </c>
    </row>
    <row r="237" spans="2:31">
      <c r="B237" t="str">
        <f>'Final data_for_R_analysis_Wetse'!A163</f>
        <v>Wet</v>
      </c>
      <c r="C237" s="263">
        <f>'Final data_for_R_analysis_Wetse'!B163</f>
        <v>162</v>
      </c>
      <c r="D237" t="s">
        <v>3851</v>
      </c>
      <c r="E237" t="s">
        <v>22</v>
      </c>
      <c r="F237" s="386">
        <v>2</v>
      </c>
      <c r="G237" s="16">
        <f>'WetLitterbags placem_collection'!E164</f>
        <v>42763</v>
      </c>
      <c r="H237" t="str">
        <f>'Final data_for_R_analysis_Wetse'!J163</f>
        <v>G385</v>
      </c>
      <c r="I237" t="str">
        <f>'Final data_for_R_analysis_Wetse'!J383</f>
        <v>R202</v>
      </c>
      <c r="J237">
        <f>IFERROR(INDEX('Green_rooibos initial weight'!$C$5:$C$1749,MATCH(H237, 'Green_rooibos initial weight'!$A$5:$A$1749,0)),"")</f>
        <v>1.962</v>
      </c>
      <c r="K237">
        <f>IFERROR(INDEX('Green_rooibos initial weight'!$C$5:$C$1749,MATCH(I237, 'Green_rooibos initial weight'!$A$5:$A$1749,0)),"")</f>
        <v>2.298</v>
      </c>
      <c r="L237" s="195">
        <f t="shared" si="20"/>
        <v>1.7121999999999999</v>
      </c>
      <c r="M237" s="195">
        <f>AVERAGE(Ashed_controlls!$K$2:$K$11)</f>
        <v>5.5147656768714146</v>
      </c>
      <c r="N237" s="195">
        <f t="shared" si="18"/>
        <v>2.0482</v>
      </c>
      <c r="O237" s="16">
        <f>IF('WetLitterbags placem_collection'!G164="N.A","",'WetLitterbags placem_collection'!G164)</f>
        <v>42814</v>
      </c>
      <c r="P237" s="195">
        <f>IF(IFERROR(INDEX('Both teabags AfterWet'!$C$3:$C$841,MATCH(H237,'Both teabags AfterWet'!$A$3:$A$841,0)),"")="N.A","",(IFERROR(INDEX('Both teabags AfterWet'!$C$3:$C$841,MATCH(H237,'Both teabags AfterWet'!$A$3:$A$841,0)),"")))</f>
        <v>0.62280000000000002</v>
      </c>
      <c r="Q237" s="195">
        <f>IFERROR(INDEX('Both teabags AfterWet'!$C$3:$C$841,MATCH(I237,'Both teabags AfterWet'!$A$3:$A$841,0)),"")</f>
        <v>0.52</v>
      </c>
      <c r="R237" s="195">
        <f t="shared" si="21"/>
        <v>0.47220000000000001</v>
      </c>
      <c r="S237" s="195">
        <f t="shared" si="21"/>
        <v>0.36940000000000001</v>
      </c>
      <c r="T237" s="195">
        <f t="shared" si="22"/>
        <v>0.72421446092746167</v>
      </c>
      <c r="U237" s="195">
        <f t="shared" si="23"/>
        <v>0.47478192687881104</v>
      </c>
      <c r="V237" s="195">
        <f t="shared" si="24"/>
        <v>0.18035348110536081</v>
      </c>
      <c r="W237">
        <f t="shared" si="19"/>
        <v>51</v>
      </c>
      <c r="X237" s="195">
        <f t="shared" si="25"/>
        <v>0.13988781362534242</v>
      </c>
      <c r="Y237" s="195" t="str">
        <f t="shared" si="26"/>
        <v/>
      </c>
      <c r="Z237" s="255" t="str">
        <f>IF(ISNUMBER(SEARCH("C",'WetLitterbags placem_collection'!W164)),"YES","NO")</f>
        <v>NO</v>
      </c>
      <c r="AA237" s="255" t="str">
        <f>IF(ISNUMBER(SEARCH("H", 'WetLitterbags placem_collection'!W164)),"YES","NO")</f>
        <v>YES</v>
      </c>
      <c r="AB237" s="255" t="str">
        <f>IF(ISNUMBER(SEARCH("R", 'WetLitterbags placem_collection'!W164)),"YES","NO")</f>
        <v>NO</v>
      </c>
      <c r="AC237" s="255" t="str">
        <f>IF(ISNUMBER(SEARCH("C", 'WetLitterbags placem_collection'!V164)),"YES","NO")</f>
        <v>NO</v>
      </c>
      <c r="AD237" s="255" t="str">
        <f>IF(ISNUMBER(SEARCH("H", 'WetLitterbags placem_collection'!V164)),"YES","NO")</f>
        <v>NO</v>
      </c>
      <c r="AE237" s="255" t="str">
        <f>IF(ISNUMBER(SEARCH("R", 'WetLitterbags placem_collection'!V164)),"YES","NO")</f>
        <v>NO</v>
      </c>
    </row>
    <row r="238" spans="2:31">
      <c r="B238" t="str">
        <f>'Final data_for_R_analysis_Wetse'!A164</f>
        <v>Wet</v>
      </c>
      <c r="C238" s="263">
        <f>'Final data_for_R_analysis_Wetse'!B164</f>
        <v>163</v>
      </c>
      <c r="D238" t="s">
        <v>3851</v>
      </c>
      <c r="E238" t="s">
        <v>22</v>
      </c>
      <c r="F238" s="386">
        <v>3</v>
      </c>
      <c r="G238" s="16">
        <f>'WetLitterbags placem_collection'!E165</f>
        <v>42763</v>
      </c>
      <c r="H238" t="str">
        <f>'Final data_for_R_analysis_Wetse'!J164</f>
        <v>G202</v>
      </c>
      <c r="I238" t="str">
        <f>'Final data_for_R_analysis_Wetse'!J384</f>
        <v>R96</v>
      </c>
      <c r="J238">
        <f>IFERROR(INDEX('Green_rooibos initial weight'!$C$5:$C$1749,MATCH(H238, 'Green_rooibos initial weight'!$A$5:$A$1749,0)),"")</f>
        <v>1.986</v>
      </c>
      <c r="K238">
        <f>IFERROR(INDEX('Green_rooibos initial weight'!$C$5:$C$1749,MATCH(I238, 'Green_rooibos initial weight'!$A$5:$A$1749,0)),"")</f>
        <v>2.2309999999999999</v>
      </c>
      <c r="L238" s="195">
        <f t="shared" si="20"/>
        <v>1.7362</v>
      </c>
      <c r="M238" s="195">
        <f>AVERAGE(Ashed_controlls!$K$2:$K$11)</f>
        <v>5.5147656768714146</v>
      </c>
      <c r="N238" s="195">
        <f t="shared" si="18"/>
        <v>1.9811999999999999</v>
      </c>
      <c r="O238" s="16">
        <f>IF('WetLitterbags placem_collection'!G165="N.A","",'WetLitterbags placem_collection'!G165)</f>
        <v>42814</v>
      </c>
      <c r="P238" s="195">
        <f>IF(IFERROR(INDEX('Both teabags AfterWet'!$C$3:$C$841,MATCH(H238,'Both teabags AfterWet'!$A$3:$A$841,0)),"")="N.A","",(IFERROR(INDEX('Both teabags AfterWet'!$C$3:$C$841,MATCH(H238,'Both teabags AfterWet'!$A$3:$A$841,0)),"")))</f>
        <v>0.64500000000000002</v>
      </c>
      <c r="Q238" s="195">
        <f>IFERROR(INDEX('Both teabags AfterWet'!$C$3:$C$841,MATCH(I238,'Both teabags AfterWet'!$A$3:$A$841,0)),"")</f>
        <v>1.696</v>
      </c>
      <c r="R238" s="195">
        <f t="shared" si="21"/>
        <v>0.49440000000000001</v>
      </c>
      <c r="S238" s="195">
        <f t="shared" si="21"/>
        <v>1.5453999999999999</v>
      </c>
      <c r="T238" s="195">
        <f t="shared" si="22"/>
        <v>0.71524017970279918</v>
      </c>
      <c r="U238" s="195">
        <f t="shared" si="23"/>
        <v>0.46889855011394921</v>
      </c>
      <c r="V238" s="195">
        <f t="shared" si="24"/>
        <v>0.78003230365435094</v>
      </c>
      <c r="W238">
        <f t="shared" si="19"/>
        <v>51</v>
      </c>
      <c r="X238" s="195">
        <f t="shared" si="25"/>
        <v>0.15054610486603415</v>
      </c>
      <c r="Y238" s="195">
        <f t="shared" si="26"/>
        <v>1.2415907290186552E-2</v>
      </c>
      <c r="Z238" s="255" t="str">
        <f>IF(ISNUMBER(SEARCH("C",'WetLitterbags placem_collection'!W165)),"YES","NO")</f>
        <v>NO</v>
      </c>
      <c r="AA238" s="255" t="str">
        <f>IF(ISNUMBER(SEARCH("H", 'WetLitterbags placem_collection'!W165)),"YES","NO")</f>
        <v>NO</v>
      </c>
      <c r="AB238" s="255" t="str">
        <f>IF(ISNUMBER(SEARCH("R", 'WetLitterbags placem_collection'!W165)),"YES","NO")</f>
        <v>NO</v>
      </c>
      <c r="AC238" s="255" t="str">
        <f>IF(ISNUMBER(SEARCH("C", 'WetLitterbags placem_collection'!V165)),"YES","NO")</f>
        <v>NO</v>
      </c>
      <c r="AD238" s="255" t="str">
        <f>IF(ISNUMBER(SEARCH("H", 'WetLitterbags placem_collection'!V165)),"YES","NO")</f>
        <v>YES</v>
      </c>
      <c r="AE238" s="255" t="str">
        <f>IF(ISNUMBER(SEARCH("R", 'WetLitterbags placem_collection'!V165)),"YES","NO")</f>
        <v>NO</v>
      </c>
    </row>
    <row r="239" spans="2:31">
      <c r="B239" t="str">
        <f>'Final data_for_R_analysis_Wetse'!A165</f>
        <v>Wet</v>
      </c>
      <c r="C239" s="263">
        <f>'Final data_for_R_analysis_Wetse'!B165</f>
        <v>164</v>
      </c>
      <c r="D239" t="s">
        <v>3851</v>
      </c>
      <c r="E239" t="s">
        <v>22</v>
      </c>
      <c r="F239" s="387">
        <v>4</v>
      </c>
      <c r="G239" s="16">
        <f>'WetLitterbags placem_collection'!E166</f>
        <v>42763</v>
      </c>
      <c r="H239" t="str">
        <f>'Final data_for_R_analysis_Wetse'!J165</f>
        <v>G686</v>
      </c>
      <c r="I239" t="str">
        <f>'Final data_for_R_analysis_Wetse'!J385</f>
        <v>R317</v>
      </c>
      <c r="J239">
        <f>IFERROR(INDEX('Green_rooibos initial weight'!$C$5:$C$1749,MATCH(H239, 'Green_rooibos initial weight'!$A$5:$A$1749,0)),"")</f>
        <v>1.9510000000000001</v>
      </c>
      <c r="K239">
        <f>IFERROR(INDEX('Green_rooibos initial weight'!$C$5:$C$1749,MATCH(I239, 'Green_rooibos initial weight'!$A$5:$A$1749,0)),"")</f>
        <v>2.2240000000000002</v>
      </c>
      <c r="L239" s="195">
        <f t="shared" si="20"/>
        <v>1.7012</v>
      </c>
      <c r="M239" s="195">
        <f>AVERAGE(Ashed_controlls!$K$2:$K$11)</f>
        <v>5.5147656768714146</v>
      </c>
      <c r="N239" s="195">
        <f t="shared" si="18"/>
        <v>1.9742000000000002</v>
      </c>
      <c r="O239" s="16">
        <f>IF('WetLitterbags placem_collection'!G166="N.A","",'WetLitterbags placem_collection'!G166)</f>
        <v>42814</v>
      </c>
      <c r="P239" s="195">
        <f>IF(IFERROR(INDEX('Both teabags AfterWet'!$C$3:$C$841,MATCH(H239,'Both teabags AfterWet'!$A$3:$A$841,0)),"")="N.A","",(IFERROR(INDEX('Both teabags AfterWet'!$C$3:$C$841,MATCH(H239,'Both teabags AfterWet'!$A$3:$A$841,0)),"")))</f>
        <v>0.628</v>
      </c>
      <c r="Q239" s="195">
        <f>IFERROR(INDEX('Both teabags AfterWet'!$C$3:$C$841,MATCH(I239,'Both teabags AfterWet'!$A$3:$A$841,0)),"")</f>
        <v>1.7210000000000001</v>
      </c>
      <c r="R239" s="195">
        <f t="shared" si="21"/>
        <v>0.47739999999999999</v>
      </c>
      <c r="S239" s="195">
        <f t="shared" si="21"/>
        <v>1.5704</v>
      </c>
      <c r="T239" s="195">
        <f t="shared" si="22"/>
        <v>0.71937455913472848</v>
      </c>
      <c r="U239" s="195">
        <f t="shared" si="23"/>
        <v>0.47160897463464391</v>
      </c>
      <c r="V239" s="195">
        <f t="shared" si="24"/>
        <v>0.79546145274035041</v>
      </c>
      <c r="W239">
        <f t="shared" si="19"/>
        <v>51</v>
      </c>
      <c r="X239" s="195">
        <f t="shared" si="25"/>
        <v>0.14563591551694954</v>
      </c>
      <c r="Y239" s="195">
        <f t="shared" si="26"/>
        <v>1.1149760825637843E-2</v>
      </c>
      <c r="Z239" s="255" t="str">
        <f>IF(ISNUMBER(SEARCH("C",'WetLitterbags placem_collection'!W166)),"YES","NO")</f>
        <v>NO</v>
      </c>
      <c r="AA239" s="255" t="str">
        <f>IF(ISNUMBER(SEARCH("H", 'WetLitterbags placem_collection'!W166)),"YES","NO")</f>
        <v>NO</v>
      </c>
      <c r="AB239" s="255" t="str">
        <f>IF(ISNUMBER(SEARCH("R", 'WetLitterbags placem_collection'!W166)),"YES","NO")</f>
        <v>NO</v>
      </c>
      <c r="AC239" s="255" t="str">
        <f>IF(ISNUMBER(SEARCH("C", 'WetLitterbags placem_collection'!V166)),"YES","NO")</f>
        <v>NO</v>
      </c>
      <c r="AD239" s="255" t="str">
        <f>IF(ISNUMBER(SEARCH("H", 'WetLitterbags placem_collection'!V166)),"YES","NO")</f>
        <v>NO</v>
      </c>
      <c r="AE239" s="255" t="str">
        <f>IF(ISNUMBER(SEARCH("R", 'WetLitterbags placem_collection'!V166)),"YES","NO")</f>
        <v>NO</v>
      </c>
    </row>
    <row r="240" spans="2:31">
      <c r="B240" t="str">
        <f>'Final data_for_R_analysis_Wetse'!A166</f>
        <v>Wet</v>
      </c>
      <c r="C240" s="263">
        <f>'Final data_for_R_analysis_Wetse'!B166</f>
        <v>165</v>
      </c>
      <c r="D240" t="s">
        <v>3851</v>
      </c>
      <c r="E240" t="s">
        <v>22</v>
      </c>
      <c r="F240" s="387">
        <v>5</v>
      </c>
      <c r="G240" s="16">
        <f>'WetLitterbags placem_collection'!E167</f>
        <v>42763</v>
      </c>
      <c r="H240" t="str">
        <f>'Final data_for_R_analysis_Wetse'!J166</f>
        <v>G368</v>
      </c>
      <c r="I240" t="str">
        <f>'Final data_for_R_analysis_Wetse'!J386</f>
        <v>R331</v>
      </c>
      <c r="J240">
        <f>IFERROR(INDEX('Green_rooibos initial weight'!$C$5:$C$1749,MATCH(H240, 'Green_rooibos initial weight'!$A$5:$A$1749,0)),"")</f>
        <v>2.1709999999999998</v>
      </c>
      <c r="K240">
        <f>IFERROR(INDEX('Green_rooibos initial weight'!$C$5:$C$1749,MATCH(I240, 'Green_rooibos initial weight'!$A$5:$A$1749,0)),"")</f>
        <v>2.2410000000000001</v>
      </c>
      <c r="L240" s="195">
        <f t="shared" si="20"/>
        <v>1.9211999999999998</v>
      </c>
      <c r="M240" s="195">
        <f>AVERAGE(Ashed_controlls!$K$2:$K$11)</f>
        <v>5.5147656768714146</v>
      </c>
      <c r="N240" s="195">
        <f t="shared" si="18"/>
        <v>1.9912000000000001</v>
      </c>
      <c r="O240" s="16">
        <f>IF('WetLitterbags placem_collection'!G167="N.A","",'WetLitterbags placem_collection'!G167)</f>
        <v>42814</v>
      </c>
      <c r="P240" s="195">
        <f>IF(IFERROR(INDEX('Both teabags AfterWet'!$C$3:$C$841,MATCH(H240,'Both teabags AfterWet'!$A$3:$A$841,0)),"")="N.A","",(IFERROR(INDEX('Both teabags AfterWet'!$C$3:$C$841,MATCH(H240,'Both teabags AfterWet'!$A$3:$A$841,0)),"")))</f>
        <v>0.72699999999999998</v>
      </c>
      <c r="Q240" s="195">
        <f>IFERROR(INDEX('Both teabags AfterWet'!$C$3:$C$841,MATCH(I240,'Both teabags AfterWet'!$A$3:$A$841,0)),"")</f>
        <v>1.724</v>
      </c>
      <c r="R240" s="195">
        <f t="shared" si="21"/>
        <v>0.57640000000000002</v>
      </c>
      <c r="S240" s="195">
        <f t="shared" si="21"/>
        <v>1.5733999999999999</v>
      </c>
      <c r="T240" s="195">
        <f t="shared" si="22"/>
        <v>0.69997917967936707</v>
      </c>
      <c r="U240" s="195">
        <f t="shared" si="23"/>
        <v>0.45889371399407441</v>
      </c>
      <c r="V240" s="195">
        <f t="shared" si="24"/>
        <v>0.79017677782241857</v>
      </c>
      <c r="W240">
        <f t="shared" si="19"/>
        <v>51</v>
      </c>
      <c r="X240" s="195">
        <f t="shared" si="25"/>
        <v>0.16867080798174927</v>
      </c>
      <c r="Y240" s="195">
        <f t="shared" si="26"/>
        <v>1.198201308345986E-2</v>
      </c>
      <c r="Z240" s="255" t="str">
        <f>IF(ISNUMBER(SEARCH("C",'WetLitterbags placem_collection'!W167)),"YES","NO")</f>
        <v>NO</v>
      </c>
      <c r="AA240" s="255" t="str">
        <f>IF(ISNUMBER(SEARCH("H", 'WetLitterbags placem_collection'!W167)),"YES","NO")</f>
        <v>YES</v>
      </c>
      <c r="AB240" s="255" t="str">
        <f>IF(ISNUMBER(SEARCH("R", 'WetLitterbags placem_collection'!W167)),"YES","NO")</f>
        <v>NO</v>
      </c>
      <c r="AC240" s="255" t="str">
        <f>IF(ISNUMBER(SEARCH("C", 'WetLitterbags placem_collection'!V167)),"YES","NO")</f>
        <v>NO</v>
      </c>
      <c r="AD240" s="255" t="str">
        <f>IF(ISNUMBER(SEARCH("H", 'WetLitterbags placem_collection'!V167)),"YES","NO")</f>
        <v>NO</v>
      </c>
      <c r="AE240" s="255" t="str">
        <f>IF(ISNUMBER(SEARCH("R", 'WetLitterbags placem_collection'!V167)),"YES","NO")</f>
        <v>NO</v>
      </c>
    </row>
    <row r="241" spans="2:31">
      <c r="B241" t="str">
        <f>'Final data_for_R_analysis_Wetse'!A167</f>
        <v>Wet</v>
      </c>
      <c r="C241" s="263">
        <f>'Final data_for_R_analysis_Wetse'!B167</f>
        <v>166</v>
      </c>
      <c r="D241" t="s">
        <v>3851</v>
      </c>
      <c r="E241" t="s">
        <v>22</v>
      </c>
      <c r="F241" s="387">
        <v>6</v>
      </c>
      <c r="G241" s="16">
        <f>'WetLitterbags placem_collection'!E168</f>
        <v>42763</v>
      </c>
      <c r="H241" t="str">
        <f>'Final data_for_R_analysis_Wetse'!J167</f>
        <v>G334</v>
      </c>
      <c r="I241" t="str">
        <f>'Final data_for_R_analysis_Wetse'!J387</f>
        <v>R287</v>
      </c>
      <c r="J241">
        <f>IFERROR(INDEX('Green_rooibos initial weight'!$C$5:$C$1749,MATCH(H241, 'Green_rooibos initial weight'!$A$5:$A$1749,0)),"")</f>
        <v>2.0710000000000002</v>
      </c>
      <c r="K241">
        <f>IFERROR(INDEX('Green_rooibos initial weight'!$C$5:$C$1749,MATCH(I241, 'Green_rooibos initial weight'!$A$5:$A$1749,0)),"")</f>
        <v>2.1960000000000002</v>
      </c>
      <c r="L241" s="195">
        <f t="shared" si="20"/>
        <v>1.8212000000000002</v>
      </c>
      <c r="M241" s="195">
        <f>AVERAGE(Ashed_controlls!$K$2:$K$11)</f>
        <v>5.5147656768714146</v>
      </c>
      <c r="N241" s="195">
        <f t="shared" si="18"/>
        <v>1.9462000000000002</v>
      </c>
      <c r="O241" s="16">
        <f>IF('WetLitterbags placem_collection'!G168="N.A","",'WetLitterbags placem_collection'!G168)</f>
        <v>42814</v>
      </c>
      <c r="P241" s="195">
        <f>IF(IFERROR(INDEX('Both teabags AfterWet'!$C$3:$C$841,MATCH(H241,'Both teabags AfterWet'!$A$3:$A$841,0)),"")="N.A","",(IFERROR(INDEX('Both teabags AfterWet'!$C$3:$C$841,MATCH(H241,'Both teabags AfterWet'!$A$3:$A$841,0)),"")))</f>
        <v>0.80800000000000005</v>
      </c>
      <c r="Q241" s="195">
        <f>IFERROR(INDEX('Both teabags AfterWet'!$C$3:$C$841,MATCH(I241,'Both teabags AfterWet'!$A$3:$A$841,0)),"")</f>
        <v>1.6496999999999999</v>
      </c>
      <c r="R241" s="195">
        <f t="shared" si="21"/>
        <v>0.65739999999999998</v>
      </c>
      <c r="S241" s="195">
        <f t="shared" si="21"/>
        <v>1.4990999999999999</v>
      </c>
      <c r="T241" s="195">
        <f t="shared" si="22"/>
        <v>0.63902921150889525</v>
      </c>
      <c r="U241" s="195">
        <f t="shared" si="23"/>
        <v>0.41893601514597417</v>
      </c>
      <c r="V241" s="195">
        <f t="shared" si="24"/>
        <v>0.77027027027027017</v>
      </c>
      <c r="W241">
        <f t="shared" si="19"/>
        <v>51</v>
      </c>
      <c r="X241" s="195">
        <f t="shared" si="25"/>
        <v>0.24105794357613386</v>
      </c>
      <c r="Y241" s="195">
        <f t="shared" si="26"/>
        <v>1.5585888680329124E-2</v>
      </c>
      <c r="Z241" s="255" t="str">
        <f>IF(ISNUMBER(SEARCH("C",'WetLitterbags placem_collection'!W168)),"YES","NO")</f>
        <v>NO</v>
      </c>
      <c r="AA241" s="255" t="str">
        <f>IF(ISNUMBER(SEARCH("H", 'WetLitterbags placem_collection'!W168)),"YES","NO")</f>
        <v>NO</v>
      </c>
      <c r="AB241" s="255" t="str">
        <f>IF(ISNUMBER(SEARCH("R", 'WetLitterbags placem_collection'!W168)),"YES","NO")</f>
        <v>NO</v>
      </c>
      <c r="AC241" s="255" t="str">
        <f>IF(ISNUMBER(SEARCH("C", 'WetLitterbags placem_collection'!V168)),"YES","NO")</f>
        <v>NO</v>
      </c>
      <c r="AD241" s="255" t="str">
        <f>IF(ISNUMBER(SEARCH("H", 'WetLitterbags placem_collection'!V168)),"YES","NO")</f>
        <v>NO</v>
      </c>
      <c r="AE241" s="255" t="str">
        <f>IF(ISNUMBER(SEARCH("R", 'WetLitterbags placem_collection'!V168)),"YES","NO")</f>
        <v>NO</v>
      </c>
    </row>
    <row r="242" spans="2:31">
      <c r="B242" t="str">
        <f>'Final data_for_R_analysis_Wetse'!A168</f>
        <v>Wet</v>
      </c>
      <c r="C242" s="263">
        <f>'Final data_for_R_analysis_Wetse'!B168</f>
        <v>167</v>
      </c>
      <c r="D242" t="s">
        <v>3851</v>
      </c>
      <c r="E242" t="s">
        <v>22</v>
      </c>
      <c r="F242" s="387">
        <v>7</v>
      </c>
      <c r="G242" s="16">
        <f>'WetLitterbags placem_collection'!E169</f>
        <v>42763</v>
      </c>
      <c r="H242" t="str">
        <f>'Final data_for_R_analysis_Wetse'!J168</f>
        <v>G429</v>
      </c>
      <c r="I242" t="str">
        <f>'Final data_for_R_analysis_Wetse'!J388</f>
        <v>R255</v>
      </c>
      <c r="J242">
        <f>IFERROR(INDEX('Green_rooibos initial weight'!$C$5:$C$1749,MATCH(H242, 'Green_rooibos initial weight'!$A$5:$A$1749,0)),"")</f>
        <v>1.9319999999999999</v>
      </c>
      <c r="K242">
        <f>IFERROR(INDEX('Green_rooibos initial weight'!$C$5:$C$1749,MATCH(I242, 'Green_rooibos initial weight'!$A$5:$A$1749,0)),"")</f>
        <v>2.1859999999999999</v>
      </c>
      <c r="L242" s="195">
        <f t="shared" si="20"/>
        <v>1.6821999999999999</v>
      </c>
      <c r="M242" s="195">
        <f>AVERAGE(Ashed_controlls!$K$2:$K$11)</f>
        <v>5.5147656768714146</v>
      </c>
      <c r="N242" s="195">
        <f t="shared" si="18"/>
        <v>1.9361999999999999</v>
      </c>
      <c r="O242" s="16">
        <f>IF('WetLitterbags placem_collection'!G169="N.A","",'WetLitterbags placem_collection'!G169)</f>
        <v>42814</v>
      </c>
      <c r="P242" s="195">
        <f>IF(IFERROR(INDEX('Both teabags AfterWet'!$C$3:$C$841,MATCH(H242,'Both teabags AfterWet'!$A$3:$A$841,0)),"")="N.A","",(IFERROR(INDEX('Both teabags AfterWet'!$C$3:$C$841,MATCH(H242,'Both teabags AfterWet'!$A$3:$A$841,0)),"")))</f>
        <v>0.64529999999999998</v>
      </c>
      <c r="Q242" s="195">
        <f>IFERROR(INDEX('Both teabags AfterWet'!$C$3:$C$841,MATCH(I242,'Both teabags AfterWet'!$A$3:$A$841,0)),"")</f>
        <v>1.7073</v>
      </c>
      <c r="R242" s="195">
        <f t="shared" si="21"/>
        <v>0.49469999999999997</v>
      </c>
      <c r="S242" s="195">
        <f t="shared" si="21"/>
        <v>1.5567</v>
      </c>
      <c r="T242" s="195">
        <f t="shared" si="22"/>
        <v>0.70592081797645934</v>
      </c>
      <c r="U242" s="195">
        <f t="shared" si="23"/>
        <v>0.46278894480166938</v>
      </c>
      <c r="V242" s="195">
        <f t="shared" si="24"/>
        <v>0.80399752091726062</v>
      </c>
      <c r="W242">
        <f t="shared" si="19"/>
        <v>51</v>
      </c>
      <c r="X242" s="195">
        <f t="shared" si="25"/>
        <v>0.16161423043175849</v>
      </c>
      <c r="Y242" s="195">
        <f t="shared" si="26"/>
        <v>1.08004416241673E-2</v>
      </c>
      <c r="Z242" s="255" t="str">
        <f>IF(ISNUMBER(SEARCH("C",'WetLitterbags placem_collection'!W169)),"YES","NO")</f>
        <v>NO</v>
      </c>
      <c r="AA242" s="255" t="str">
        <f>IF(ISNUMBER(SEARCH("H", 'WetLitterbags placem_collection'!W169)),"YES","NO")</f>
        <v>NO</v>
      </c>
      <c r="AB242" s="255" t="str">
        <f>IF(ISNUMBER(SEARCH("R", 'WetLitterbags placem_collection'!W169)),"YES","NO")</f>
        <v>NO</v>
      </c>
      <c r="AC242" s="255" t="str">
        <f>IF(ISNUMBER(SEARCH("C", 'WetLitterbags placem_collection'!V169)),"YES","NO")</f>
        <v>NO</v>
      </c>
      <c r="AD242" s="255" t="str">
        <f>IF(ISNUMBER(SEARCH("H", 'WetLitterbags placem_collection'!V169)),"YES","NO")</f>
        <v>NO</v>
      </c>
      <c r="AE242" s="255" t="str">
        <f>IF(ISNUMBER(SEARCH("R", 'WetLitterbags placem_collection'!V169)),"YES","NO")</f>
        <v>NO</v>
      </c>
    </row>
    <row r="243" spans="2:31">
      <c r="B243" t="str">
        <f>'Final data_for_R_analysis_Wetse'!A169</f>
        <v>Wet</v>
      </c>
      <c r="C243" s="263">
        <f>'Final data_for_R_analysis_Wetse'!B169</f>
        <v>168</v>
      </c>
      <c r="D243" t="s">
        <v>3851</v>
      </c>
      <c r="E243" t="s">
        <v>22</v>
      </c>
      <c r="F243" s="387">
        <v>8</v>
      </c>
      <c r="G243" s="16">
        <f>'WetLitterbags placem_collection'!E170</f>
        <v>42763</v>
      </c>
      <c r="H243" t="str">
        <f>'Final data_for_R_analysis_Wetse'!J169</f>
        <v>G461</v>
      </c>
      <c r="I243" t="str">
        <f>'Final data_for_R_analysis_Wetse'!J389</f>
        <v>R534</v>
      </c>
      <c r="J243">
        <f>IFERROR(INDEX('Green_rooibos initial weight'!$C$5:$C$1749,MATCH(H243, 'Green_rooibos initial weight'!$A$5:$A$1749,0)),"")</f>
        <v>2.1030000000000002</v>
      </c>
      <c r="K243">
        <f>IFERROR(INDEX('Green_rooibos initial weight'!$C$5:$C$1749,MATCH(I243, 'Green_rooibos initial weight'!$A$5:$A$1749,0)),"")</f>
        <v>2.17</v>
      </c>
      <c r="L243" s="195">
        <f t="shared" si="20"/>
        <v>1.8532000000000002</v>
      </c>
      <c r="M243" s="195">
        <f>AVERAGE(Ashed_controlls!$K$2:$K$11)</f>
        <v>5.5147656768714146</v>
      </c>
      <c r="N243" s="195">
        <f t="shared" si="18"/>
        <v>1.9201999999999999</v>
      </c>
      <c r="O243" s="16">
        <f>IF('WetLitterbags placem_collection'!G170="N.A","",'WetLitterbags placem_collection'!G170)</f>
        <v>42814</v>
      </c>
      <c r="P243" s="195">
        <f>IF(IFERROR(INDEX('Both teabags AfterWet'!$C$3:$C$841,MATCH(H243,'Both teabags AfterWet'!$A$3:$A$841,0)),"")="N.A","",(IFERROR(INDEX('Both teabags AfterWet'!$C$3:$C$841,MATCH(H243,'Both teabags AfterWet'!$A$3:$A$841,0)),"")))</f>
        <v>0.79400000000000004</v>
      </c>
      <c r="Q243" s="195">
        <f>IFERROR(INDEX('Both teabags AfterWet'!$C$3:$C$841,MATCH(I243,'Both teabags AfterWet'!$A$3:$A$841,0)),"")</f>
        <v>1.722</v>
      </c>
      <c r="R243" s="195">
        <f t="shared" si="21"/>
        <v>0.64339999999999997</v>
      </c>
      <c r="S243" s="195">
        <f t="shared" si="21"/>
        <v>1.5713999999999999</v>
      </c>
      <c r="T243" s="195">
        <f t="shared" si="22"/>
        <v>0.65281674940643208</v>
      </c>
      <c r="U243" s="195">
        <f t="shared" si="23"/>
        <v>0.42797487609542817</v>
      </c>
      <c r="V243" s="195">
        <f t="shared" si="24"/>
        <v>0.81835225497344022</v>
      </c>
      <c r="W243">
        <f t="shared" si="19"/>
        <v>51</v>
      </c>
      <c r="X243" s="195">
        <f t="shared" si="25"/>
        <v>0.22468319547929683</v>
      </c>
      <c r="Y243" s="195">
        <f t="shared" si="26"/>
        <v>1.0831451755378356E-2</v>
      </c>
      <c r="Z243" s="255" t="str">
        <f>IF(ISNUMBER(SEARCH("C",'WetLitterbags placem_collection'!W170)),"YES","NO")</f>
        <v>NO</v>
      </c>
      <c r="AA243" s="255" t="str">
        <f>IF(ISNUMBER(SEARCH("H", 'WetLitterbags placem_collection'!W170)),"YES","NO")</f>
        <v>NO</v>
      </c>
      <c r="AB243" s="255" t="str">
        <f>IF(ISNUMBER(SEARCH("R", 'WetLitterbags placem_collection'!W170)),"YES","NO")</f>
        <v>NO</v>
      </c>
      <c r="AC243" s="255" t="str">
        <f>IF(ISNUMBER(SEARCH("C", 'WetLitterbags placem_collection'!V170)),"YES","NO")</f>
        <v>YES</v>
      </c>
      <c r="AD243" s="255" t="str">
        <f>IF(ISNUMBER(SEARCH("H", 'WetLitterbags placem_collection'!V170)),"YES","NO")</f>
        <v>YES</v>
      </c>
      <c r="AE243" s="255" t="str">
        <f>IF(ISNUMBER(SEARCH("R", 'WetLitterbags placem_collection'!V170)),"YES","NO")</f>
        <v>NO</v>
      </c>
    </row>
    <row r="244" spans="2:31">
      <c r="B244" t="str">
        <f>'Final data_for_R_analysis_Wetse'!A170</f>
        <v>Wet</v>
      </c>
      <c r="C244" s="263">
        <f>'Final data_for_R_analysis_Wetse'!B170</f>
        <v>169</v>
      </c>
      <c r="D244" t="s">
        <v>3853</v>
      </c>
      <c r="E244" t="s">
        <v>22</v>
      </c>
      <c r="F244" s="386">
        <v>1</v>
      </c>
      <c r="G244" s="16">
        <f>'WetLitterbags placem_collection'!E171</f>
        <v>42763</v>
      </c>
      <c r="H244" t="str">
        <f>'Final data_for_R_analysis_Wetse'!J170</f>
        <v>G425</v>
      </c>
      <c r="I244" t="str">
        <f>'Final data_for_R_analysis_Wetse'!J390</f>
        <v>R453</v>
      </c>
      <c r="J244">
        <f>IFERROR(INDEX('Green_rooibos initial weight'!$C$5:$C$1749,MATCH(H244, 'Green_rooibos initial weight'!$A$5:$A$1749,0)),"")</f>
        <v>1.9750000000000001</v>
      </c>
      <c r="K244">
        <f>IFERROR(INDEX('Green_rooibos initial weight'!$C$5:$C$1749,MATCH(I244, 'Green_rooibos initial weight'!$A$5:$A$1749,0)),"")</f>
        <v>2.165</v>
      </c>
      <c r="L244" s="195">
        <f t="shared" si="20"/>
        <v>1.7252000000000001</v>
      </c>
      <c r="M244" s="195">
        <f>AVERAGE(Ashed_controlls!$K$2:$K$11)</f>
        <v>5.5147656768714146</v>
      </c>
      <c r="N244" s="195">
        <f t="shared" si="18"/>
        <v>1.9152</v>
      </c>
      <c r="O244" s="16">
        <f>IF('WetLitterbags placem_collection'!G171="N.A","",'WetLitterbags placem_collection'!G171)</f>
        <v>42814</v>
      </c>
      <c r="P244" s="195">
        <f>IF(IFERROR(INDEX('Both teabags AfterWet'!$C$3:$C$841,MATCH(H244,'Both teabags AfterWet'!$A$3:$A$841,0)),"")="N.A","",(IFERROR(INDEX('Both teabags AfterWet'!$C$3:$C$841,MATCH(H244,'Both teabags AfterWet'!$A$3:$A$841,0)),"")))</f>
        <v>0.65800000000000003</v>
      </c>
      <c r="Q244" s="195">
        <f>IFERROR(INDEX('Both teabags AfterWet'!$C$3:$C$841,MATCH(I244,'Both teabags AfterWet'!$A$3:$A$841,0)),"")</f>
        <v>0.14299999999999999</v>
      </c>
      <c r="R244" s="195">
        <f t="shared" si="21"/>
        <v>0.50740000000000007</v>
      </c>
      <c r="S244" s="195">
        <f t="shared" si="21"/>
        <v>-7.6000000000000234E-3</v>
      </c>
      <c r="T244" s="195">
        <f t="shared" si="22"/>
        <v>0.70588917226988168</v>
      </c>
      <c r="U244" s="195">
        <f t="shared" si="23"/>
        <v>0.46276819844771344</v>
      </c>
      <c r="V244" s="195">
        <f t="shared" si="24"/>
        <v>-3.9682539682539802E-3</v>
      </c>
      <c r="W244">
        <f t="shared" si="19"/>
        <v>51</v>
      </c>
      <c r="X244" s="195">
        <f t="shared" si="25"/>
        <v>0.16165181440631626</v>
      </c>
      <c r="Y244" s="195" t="str">
        <f t="shared" si="26"/>
        <v/>
      </c>
      <c r="Z244" s="255" t="str">
        <f>IF(ISNUMBER(SEARCH("C",'WetLitterbags placem_collection'!W171)),"YES","NO")</f>
        <v>YES</v>
      </c>
      <c r="AA244" s="255" t="str">
        <f>IF(ISNUMBER(SEARCH("H", 'WetLitterbags placem_collection'!W171)),"YES","NO")</f>
        <v>YES</v>
      </c>
      <c r="AB244" s="255" t="str">
        <f>IF(ISNUMBER(SEARCH("R", 'WetLitterbags placem_collection'!W171)),"YES","NO")</f>
        <v>NO</v>
      </c>
      <c r="AC244" s="255" t="str">
        <f>IF(ISNUMBER(SEARCH("C", 'WetLitterbags placem_collection'!V171)),"YES","NO")</f>
        <v>NO</v>
      </c>
      <c r="AD244" s="255" t="str">
        <f>IF(ISNUMBER(SEARCH("H", 'WetLitterbags placem_collection'!V171)),"YES","NO")</f>
        <v>NO</v>
      </c>
      <c r="AE244" s="255" t="str">
        <f>IF(ISNUMBER(SEARCH("R", 'WetLitterbags placem_collection'!V171)),"YES","NO")</f>
        <v>NO</v>
      </c>
    </row>
    <row r="245" spans="2:31">
      <c r="B245" t="str">
        <f>'Final data_for_R_analysis_Wetse'!A171</f>
        <v>Wet</v>
      </c>
      <c r="C245" s="263">
        <f>'Final data_for_R_analysis_Wetse'!B171</f>
        <v>170</v>
      </c>
      <c r="D245" t="s">
        <v>3853</v>
      </c>
      <c r="E245" t="s">
        <v>22</v>
      </c>
      <c r="F245" s="386">
        <v>2</v>
      </c>
      <c r="G245" s="16">
        <f>'WetLitterbags placem_collection'!E172</f>
        <v>42763</v>
      </c>
      <c r="H245" t="str">
        <f>'Final data_for_R_analysis_Wetse'!J171</f>
        <v>G433</v>
      </c>
      <c r="I245" t="str">
        <f>'Final data_for_R_analysis_Wetse'!J391</f>
        <v>R330</v>
      </c>
      <c r="J245">
        <f>IFERROR(INDEX('Green_rooibos initial weight'!$C$5:$C$1749,MATCH(H245, 'Green_rooibos initial weight'!$A$5:$A$1749,0)),"")</f>
        <v>2.06</v>
      </c>
      <c r="K245">
        <f>IFERROR(INDEX('Green_rooibos initial weight'!$C$5:$C$1749,MATCH(I245, 'Green_rooibos initial weight'!$A$5:$A$1749,0)),"")</f>
        <v>2.12</v>
      </c>
      <c r="L245" s="195">
        <f t="shared" si="20"/>
        <v>1.8102</v>
      </c>
      <c r="M245" s="195">
        <f>AVERAGE(Ashed_controlls!$K$2:$K$11)</f>
        <v>5.5147656768714146</v>
      </c>
      <c r="N245" s="195">
        <f t="shared" si="18"/>
        <v>1.8702000000000001</v>
      </c>
      <c r="O245" s="16">
        <f>IF('WetLitterbags placem_collection'!G172="N.A","",'WetLitterbags placem_collection'!G172)</f>
        <v>42814</v>
      </c>
      <c r="P245" s="195">
        <f>IF(IFERROR(INDEX('Both teabags AfterWet'!$C$3:$C$841,MATCH(H245,'Both teabags AfterWet'!$A$3:$A$841,0)),"")="N.A","",(IFERROR(INDEX('Both teabags AfterWet'!$C$3:$C$841,MATCH(H245,'Both teabags AfterWet'!$A$3:$A$841,0)),"")))</f>
        <v>0.64800000000000002</v>
      </c>
      <c r="Q245" s="195">
        <f>IFERROR(INDEX('Both teabags AfterWet'!$C$3:$C$841,MATCH(I245,'Both teabags AfterWet'!$A$3:$A$841,0)),"")</f>
        <v>1.7769999999999999</v>
      </c>
      <c r="R245" s="195">
        <f t="shared" si="21"/>
        <v>0.49740000000000001</v>
      </c>
      <c r="S245" s="195">
        <f t="shared" si="21"/>
        <v>1.6263999999999998</v>
      </c>
      <c r="T245" s="195">
        <f t="shared" si="22"/>
        <v>0.72522373218428904</v>
      </c>
      <c r="U245" s="195">
        <f t="shared" si="23"/>
        <v>0.47544358689516342</v>
      </c>
      <c r="V245" s="195">
        <f t="shared" si="24"/>
        <v>0.8696396107368195</v>
      </c>
      <c r="W245">
        <f t="shared" si="19"/>
        <v>51</v>
      </c>
      <c r="X245" s="195">
        <f t="shared" si="25"/>
        <v>0.13868915417542871</v>
      </c>
      <c r="Y245" s="195">
        <f t="shared" si="26"/>
        <v>6.2835822526370278E-3</v>
      </c>
      <c r="Z245" s="255" t="str">
        <f>IF(ISNUMBER(SEARCH("C",'WetLitterbags placem_collection'!W172)),"YES","NO")</f>
        <v>NO</v>
      </c>
      <c r="AA245" s="255" t="str">
        <f>IF(ISNUMBER(SEARCH("H", 'WetLitterbags placem_collection'!W172)),"YES","NO")</f>
        <v>NO</v>
      </c>
      <c r="AB245" s="255" t="str">
        <f>IF(ISNUMBER(SEARCH("R", 'WetLitterbags placem_collection'!W172)),"YES","NO")</f>
        <v>NO</v>
      </c>
      <c r="AC245" s="255" t="str">
        <f>IF(ISNUMBER(SEARCH("C", 'WetLitterbags placem_collection'!V172)),"YES","NO")</f>
        <v>NO</v>
      </c>
      <c r="AD245" s="255" t="str">
        <f>IF(ISNUMBER(SEARCH("H", 'WetLitterbags placem_collection'!V172)),"YES","NO")</f>
        <v>NO</v>
      </c>
      <c r="AE245" s="255" t="str">
        <f>IF(ISNUMBER(SEARCH("R", 'WetLitterbags placem_collection'!V172)),"YES","NO")</f>
        <v>NO</v>
      </c>
    </row>
    <row r="246" spans="2:31">
      <c r="B246" t="str">
        <f>'Final data_for_R_analysis_Wetse'!A172</f>
        <v>Wet</v>
      </c>
      <c r="C246" s="263">
        <f>'Final data_for_R_analysis_Wetse'!B172</f>
        <v>171</v>
      </c>
      <c r="D246" t="s">
        <v>3853</v>
      </c>
      <c r="E246" t="s">
        <v>22</v>
      </c>
      <c r="F246" s="386">
        <v>3</v>
      </c>
      <c r="G246" s="16">
        <f>'WetLitterbags placem_collection'!E173</f>
        <v>42763</v>
      </c>
      <c r="H246" t="str">
        <f>'Final data_for_R_analysis_Wetse'!J172</f>
        <v>G656</v>
      </c>
      <c r="I246" t="str">
        <f>'Final data_for_R_analysis_Wetse'!J392</f>
        <v>R558</v>
      </c>
      <c r="J246">
        <f>IFERROR(INDEX('Green_rooibos initial weight'!$C$5:$C$1749,MATCH(H246, 'Green_rooibos initial weight'!$A$5:$A$1749,0)),"")</f>
        <v>2.1320000000000001</v>
      </c>
      <c r="K246">
        <f>IFERROR(INDEX('Green_rooibos initial weight'!$C$5:$C$1749,MATCH(I246, 'Green_rooibos initial weight'!$A$5:$A$1749,0)),"")</f>
        <v>2.1760000000000002</v>
      </c>
      <c r="L246" s="195">
        <f t="shared" si="20"/>
        <v>1.8822000000000001</v>
      </c>
      <c r="M246" s="195">
        <f>AVERAGE(Ashed_controlls!$K$2:$K$11)</f>
        <v>5.5147656768714146</v>
      </c>
      <c r="N246" s="195">
        <f t="shared" si="18"/>
        <v>1.9262000000000001</v>
      </c>
      <c r="O246" s="16">
        <f>IF('WetLitterbags placem_collection'!G173="N.A","",'WetLitterbags placem_collection'!G173)</f>
        <v>42814</v>
      </c>
      <c r="P246" s="195">
        <f>IF(IFERROR(INDEX('Both teabags AfterWet'!$C$3:$C$841,MATCH(H246,'Both teabags AfterWet'!$A$3:$A$841,0)),"")="N.A","",(IFERROR(INDEX('Both teabags AfterWet'!$C$3:$C$841,MATCH(H246,'Both teabags AfterWet'!$A$3:$A$841,0)),"")))</f>
        <v>0.63100000000000001</v>
      </c>
      <c r="Q246" s="195">
        <f>IFERROR(INDEX('Both teabags AfterWet'!$C$3:$C$841,MATCH(I246,'Both teabags AfterWet'!$A$3:$A$841,0)),"")</f>
        <v>1.61</v>
      </c>
      <c r="R246" s="195">
        <f t="shared" si="21"/>
        <v>0.48039999999999999</v>
      </c>
      <c r="S246" s="195">
        <f t="shared" si="21"/>
        <v>1.4594</v>
      </c>
      <c r="T246" s="195">
        <f t="shared" si="22"/>
        <v>0.74476676229943684</v>
      </c>
      <c r="U246" s="195">
        <f t="shared" si="23"/>
        <v>0.48825564464286125</v>
      </c>
      <c r="V246" s="195">
        <f t="shared" si="24"/>
        <v>0.75765756411587581</v>
      </c>
      <c r="W246">
        <f t="shared" si="19"/>
        <v>51</v>
      </c>
      <c r="X246" s="195">
        <f t="shared" si="25"/>
        <v>0.11547890463249777</v>
      </c>
      <c r="Y246" s="195">
        <f t="shared" si="26"/>
        <v>1.344824444905837E-2</v>
      </c>
      <c r="Z246" s="255" t="str">
        <f>IF(ISNUMBER(SEARCH("C",'WetLitterbags placem_collection'!W173)),"YES","NO")</f>
        <v>NO</v>
      </c>
      <c r="AA246" s="255" t="str">
        <f>IF(ISNUMBER(SEARCH("H", 'WetLitterbags placem_collection'!W173)),"YES","NO")</f>
        <v>NO</v>
      </c>
      <c r="AB246" s="255" t="str">
        <f>IF(ISNUMBER(SEARCH("R", 'WetLitterbags placem_collection'!W173)),"YES","NO")</f>
        <v>NO</v>
      </c>
      <c r="AC246" s="255" t="str">
        <f>IF(ISNUMBER(SEARCH("C", 'WetLitterbags placem_collection'!V173)),"YES","NO")</f>
        <v>NO</v>
      </c>
      <c r="AD246" s="255" t="str">
        <f>IF(ISNUMBER(SEARCH("H", 'WetLitterbags placem_collection'!V173)),"YES","NO")</f>
        <v>NO</v>
      </c>
      <c r="AE246" s="255" t="str">
        <f>IF(ISNUMBER(SEARCH("R", 'WetLitterbags placem_collection'!V173)),"YES","NO")</f>
        <v>YES</v>
      </c>
    </row>
    <row r="247" spans="2:31">
      <c r="B247" t="str">
        <f>'Final data_for_R_analysis_Wetse'!A173</f>
        <v>Wet</v>
      </c>
      <c r="C247" s="263">
        <f>'Final data_for_R_analysis_Wetse'!B173</f>
        <v>172</v>
      </c>
      <c r="D247" t="s">
        <v>3853</v>
      </c>
      <c r="E247" t="s">
        <v>22</v>
      </c>
      <c r="F247" s="387">
        <v>4</v>
      </c>
      <c r="G247" s="16">
        <f>'WetLitterbags placem_collection'!E174</f>
        <v>42763</v>
      </c>
      <c r="H247" t="str">
        <f>'Final data_for_R_analysis_Wetse'!J173</f>
        <v>G281</v>
      </c>
      <c r="I247" t="str">
        <f>'Final data_for_R_analysis_Wetse'!J393</f>
        <v>R157</v>
      </c>
      <c r="J247">
        <f>IFERROR(INDEX('Green_rooibos initial weight'!$C$5:$C$1749,MATCH(H247, 'Green_rooibos initial weight'!$A$5:$A$1749,0)),"")</f>
        <v>2.0419999999999998</v>
      </c>
      <c r="K247">
        <f>IFERROR(INDEX('Green_rooibos initial weight'!$C$5:$C$1749,MATCH(I247, 'Green_rooibos initial weight'!$A$5:$A$1749,0)),"")</f>
        <v>2.1819999999999999</v>
      </c>
      <c r="L247" s="195">
        <f t="shared" si="20"/>
        <v>1.7921999999999998</v>
      </c>
      <c r="M247" s="195">
        <f>AVERAGE(Ashed_controlls!$K$2:$K$11)</f>
        <v>5.5147656768714146</v>
      </c>
      <c r="N247" s="195">
        <f t="shared" si="18"/>
        <v>1.9321999999999999</v>
      </c>
      <c r="O247" s="16">
        <f>IF('WetLitterbags placem_collection'!G174="N.A","",'WetLitterbags placem_collection'!G174)</f>
        <v>42814</v>
      </c>
      <c r="P247" s="195">
        <f>IF(IFERROR(INDEX('Both teabags AfterWet'!$C$3:$C$841,MATCH(H247,'Both teabags AfterWet'!$A$3:$A$841,0)),"")="N.A","",(IFERROR(INDEX('Both teabags AfterWet'!$C$3:$C$841,MATCH(H247,'Both teabags AfterWet'!$A$3:$A$841,0)),"")))</f>
        <v>0.69520000000000004</v>
      </c>
      <c r="Q247" s="195">
        <f>IFERROR(INDEX('Both teabags AfterWet'!$C$3:$C$841,MATCH(I247,'Both teabags AfterWet'!$A$3:$A$841,0)),"")</f>
        <v>1.6782000000000001</v>
      </c>
      <c r="R247" s="195">
        <f t="shared" si="21"/>
        <v>0.54459999999999997</v>
      </c>
      <c r="S247" s="195">
        <f t="shared" si="21"/>
        <v>1.5276000000000001</v>
      </c>
      <c r="T247" s="195">
        <f t="shared" si="22"/>
        <v>0.69612766432317819</v>
      </c>
      <c r="U247" s="195">
        <f t="shared" si="23"/>
        <v>0.45636873005510026</v>
      </c>
      <c r="V247" s="195">
        <f t="shared" si="24"/>
        <v>0.79060138701997729</v>
      </c>
      <c r="W247">
        <f t="shared" si="19"/>
        <v>51</v>
      </c>
      <c r="X247" s="195">
        <f t="shared" si="25"/>
        <v>0.17324505424800685</v>
      </c>
      <c r="Y247" s="195">
        <f t="shared" si="26"/>
        <v>1.2039877558691417E-2</v>
      </c>
      <c r="Z247" s="255" t="str">
        <f>IF(ISNUMBER(SEARCH("C",'WetLitterbags placem_collection'!W174)),"YES","NO")</f>
        <v>NO</v>
      </c>
      <c r="AA247" s="255" t="str">
        <f>IF(ISNUMBER(SEARCH("H", 'WetLitterbags placem_collection'!W174)),"YES","NO")</f>
        <v>NO</v>
      </c>
      <c r="AB247" s="255" t="str">
        <f>IF(ISNUMBER(SEARCH("R", 'WetLitterbags placem_collection'!W174)),"YES","NO")</f>
        <v>YES</v>
      </c>
      <c r="AC247" s="255" t="str">
        <f>IF(ISNUMBER(SEARCH("C", 'WetLitterbags placem_collection'!V174)),"YES","NO")</f>
        <v>NO</v>
      </c>
      <c r="AD247" s="255" t="str">
        <f>IF(ISNUMBER(SEARCH("H", 'WetLitterbags placem_collection'!V174)),"YES","NO")</f>
        <v>NO</v>
      </c>
      <c r="AE247" s="255" t="str">
        <f>IF(ISNUMBER(SEARCH("R", 'WetLitterbags placem_collection'!V174)),"YES","NO")</f>
        <v>YES</v>
      </c>
    </row>
    <row r="248" spans="2:31">
      <c r="B248" t="str">
        <f>'Final data_for_R_analysis_Wetse'!A174</f>
        <v>Wet</v>
      </c>
      <c r="C248" s="263">
        <f>'Final data_for_R_analysis_Wetse'!B174</f>
        <v>173</v>
      </c>
      <c r="D248" t="s">
        <v>3853</v>
      </c>
      <c r="E248" t="s">
        <v>22</v>
      </c>
      <c r="F248" s="387">
        <v>5</v>
      </c>
      <c r="G248" s="16">
        <f>'WetLitterbags placem_collection'!E175</f>
        <v>42763</v>
      </c>
      <c r="H248" t="str">
        <f>'Final data_for_R_analysis_Wetse'!J174</f>
        <v>G216</v>
      </c>
      <c r="I248" t="str">
        <f>'Final data_for_R_analysis_Wetse'!J394</f>
        <v>R57</v>
      </c>
      <c r="J248">
        <f>IFERROR(INDEX('Green_rooibos initial weight'!$C$5:$C$1749,MATCH(H248, 'Green_rooibos initial weight'!$A$5:$A$1749,0)),"")</f>
        <v>2.1150000000000002</v>
      </c>
      <c r="K248">
        <f>IFERROR(INDEX('Green_rooibos initial weight'!$C$5:$C$1749,MATCH(I248, 'Green_rooibos initial weight'!$A$5:$A$1749,0)),"")</f>
        <v>2.1890000000000001</v>
      </c>
      <c r="L248" s="195">
        <f t="shared" si="20"/>
        <v>1.8652000000000002</v>
      </c>
      <c r="M248" s="195">
        <f>AVERAGE(Ashed_controlls!$K$2:$K$11)</f>
        <v>5.5147656768714146</v>
      </c>
      <c r="N248" s="195">
        <f t="shared" si="18"/>
        <v>1.9392</v>
      </c>
      <c r="O248" s="16">
        <f>IF('WetLitterbags placem_collection'!G175="N.A","",'WetLitterbags placem_collection'!G175)</f>
        <v>42814</v>
      </c>
      <c r="P248" s="195">
        <f>IF(IFERROR(INDEX('Both teabags AfterWet'!$C$3:$C$841,MATCH(H248,'Both teabags AfterWet'!$A$3:$A$841,0)),"")="N.A","",(IFERROR(INDEX('Both teabags AfterWet'!$C$3:$C$841,MATCH(H248,'Both teabags AfterWet'!$A$3:$A$841,0)),"")))</f>
        <v>0.57999999999999996</v>
      </c>
      <c r="Q248" s="195" t="str">
        <f>IFERROR(INDEX('Both teabags AfterWet'!$C$3:$C$841,MATCH(I248,'Both teabags AfterWet'!$A$3:$A$841,0)),"")</f>
        <v/>
      </c>
      <c r="R248" s="195">
        <f t="shared" si="21"/>
        <v>0.42939999999999995</v>
      </c>
      <c r="S248" s="195" t="str">
        <f t="shared" si="21"/>
        <v/>
      </c>
      <c r="T248" s="195">
        <f t="shared" si="22"/>
        <v>0.76978340124383449</v>
      </c>
      <c r="U248" s="195">
        <f t="shared" si="23"/>
        <v>0.50465610152802454</v>
      </c>
      <c r="V248" s="195" t="str">
        <f t="shared" si="24"/>
        <v/>
      </c>
      <c r="W248">
        <f t="shared" si="19"/>
        <v>51</v>
      </c>
      <c r="X248" s="195">
        <f t="shared" si="25"/>
        <v>8.5767932014448323E-2</v>
      </c>
      <c r="Y248" s="195" t="str">
        <f t="shared" si="26"/>
        <v/>
      </c>
      <c r="Z248" s="255" t="str">
        <f>IF(ISNUMBER(SEARCH("C",'WetLitterbags placem_collection'!W175)),"YES","NO")</f>
        <v>YES</v>
      </c>
      <c r="AA248" s="255" t="str">
        <f>IF(ISNUMBER(SEARCH("H", 'WetLitterbags placem_collection'!W175)),"YES","NO")</f>
        <v>YES</v>
      </c>
      <c r="AB248" s="255" t="str">
        <f>IF(ISNUMBER(SEARCH("R", 'WetLitterbags placem_collection'!W175)),"YES","NO")</f>
        <v>NO</v>
      </c>
      <c r="AC248" s="255" t="str">
        <f>IF(ISNUMBER(SEARCH("C", 'WetLitterbags placem_collection'!V175)),"YES","NO")</f>
        <v>NO</v>
      </c>
      <c r="AD248" s="255" t="str">
        <f>IF(ISNUMBER(SEARCH("H", 'WetLitterbags placem_collection'!V175)),"YES","NO")</f>
        <v>NO</v>
      </c>
      <c r="AE248" s="255" t="str">
        <f>IF(ISNUMBER(SEARCH("R", 'WetLitterbags placem_collection'!V175)),"YES","NO")</f>
        <v>YES</v>
      </c>
    </row>
    <row r="249" spans="2:31">
      <c r="B249" t="str">
        <f>'Final data_for_R_analysis_Wetse'!A175</f>
        <v>Wet</v>
      </c>
      <c r="C249" s="263">
        <f>'Final data_for_R_analysis_Wetse'!B175</f>
        <v>174</v>
      </c>
      <c r="D249" t="s">
        <v>3853</v>
      </c>
      <c r="E249" t="s">
        <v>22</v>
      </c>
      <c r="F249" s="387">
        <v>6</v>
      </c>
      <c r="G249" s="16">
        <f>'WetLitterbags placem_collection'!E176</f>
        <v>42763</v>
      </c>
      <c r="H249" t="str">
        <f>'Final data_for_R_analysis_Wetse'!J175</f>
        <v>G655</v>
      </c>
      <c r="I249" t="str">
        <f>'Final data_for_R_analysis_Wetse'!J395</f>
        <v>R307</v>
      </c>
      <c r="J249">
        <f>IFERROR(INDEX('Green_rooibos initial weight'!$C$5:$C$1749,MATCH(H249, 'Green_rooibos initial weight'!$A$5:$A$1749,0)),"")</f>
        <v>2.0009999999999999</v>
      </c>
      <c r="K249">
        <f>IFERROR(INDEX('Green_rooibos initial weight'!$C$5:$C$1749,MATCH(I249, 'Green_rooibos initial weight'!$A$5:$A$1749,0)),"")</f>
        <v>2.2010000000000001</v>
      </c>
      <c r="L249" s="195">
        <f t="shared" si="20"/>
        <v>1.7511999999999999</v>
      </c>
      <c r="M249" s="195">
        <f>AVERAGE(Ashed_controlls!$K$2:$K$11)</f>
        <v>5.5147656768714146</v>
      </c>
      <c r="N249" s="195">
        <f t="shared" si="18"/>
        <v>1.9512</v>
      </c>
      <c r="O249" s="16">
        <f>IF('WetLitterbags placem_collection'!G176="N.A","",'WetLitterbags placem_collection'!G176)</f>
        <v>42814</v>
      </c>
      <c r="P249" s="195">
        <f>IF(IFERROR(INDEX('Both teabags AfterWet'!$C$3:$C$841,MATCH(H249,'Both teabags AfterWet'!$A$3:$A$841,0)),"")="N.A","",(IFERROR(INDEX('Both teabags AfterWet'!$C$3:$C$841,MATCH(H249,'Both teabags AfterWet'!$A$3:$A$841,0)),"")))</f>
        <v>0.68300000000000005</v>
      </c>
      <c r="Q249" s="195">
        <f>IFERROR(INDEX('Both teabags AfterWet'!$C$3:$C$841,MATCH(I249,'Both teabags AfterWet'!$A$3:$A$841,0)),"")</f>
        <v>1.724</v>
      </c>
      <c r="R249" s="195">
        <f t="shared" si="21"/>
        <v>0.53239999999999998</v>
      </c>
      <c r="S249" s="195">
        <f t="shared" si="21"/>
        <v>1.5733999999999999</v>
      </c>
      <c r="T249" s="195">
        <f t="shared" si="22"/>
        <v>0.6959798994974874</v>
      </c>
      <c r="U249" s="195">
        <f t="shared" si="23"/>
        <v>0.45627185810286586</v>
      </c>
      <c r="V249" s="195">
        <f t="shared" si="24"/>
        <v>0.80637556375563746</v>
      </c>
      <c r="W249">
        <f t="shared" si="19"/>
        <v>51</v>
      </c>
      <c r="X249" s="195">
        <f t="shared" si="25"/>
        <v>0.17342054691509812</v>
      </c>
      <c r="Y249" s="195">
        <f t="shared" si="26"/>
        <v>1.0828946675497103E-2</v>
      </c>
      <c r="Z249" s="255" t="str">
        <f>IF(ISNUMBER(SEARCH("C",'WetLitterbags placem_collection'!W176)),"YES","NO")</f>
        <v>NO</v>
      </c>
      <c r="AA249" s="255" t="str">
        <f>IF(ISNUMBER(SEARCH("H", 'WetLitterbags placem_collection'!W176)),"YES","NO")</f>
        <v>NO</v>
      </c>
      <c r="AB249" s="255" t="str">
        <f>IF(ISNUMBER(SEARCH("R", 'WetLitterbags placem_collection'!W176)),"YES","NO")</f>
        <v>YES</v>
      </c>
      <c r="AC249" s="255" t="str">
        <f>IF(ISNUMBER(SEARCH("C", 'WetLitterbags placem_collection'!V176)),"YES","NO")</f>
        <v>NO</v>
      </c>
      <c r="AD249" s="255" t="str">
        <f>IF(ISNUMBER(SEARCH("H", 'WetLitterbags placem_collection'!V176)),"YES","NO")</f>
        <v>NO</v>
      </c>
      <c r="AE249" s="255" t="str">
        <f>IF(ISNUMBER(SEARCH("R", 'WetLitterbags placem_collection'!V176)),"YES","NO")</f>
        <v>YES</v>
      </c>
    </row>
    <row r="250" spans="2:31">
      <c r="B250" t="str">
        <f>'Final data_for_R_analysis_Wetse'!A176</f>
        <v>Wet</v>
      </c>
      <c r="C250" s="263">
        <f>'Final data_for_R_analysis_Wetse'!B176</f>
        <v>175</v>
      </c>
      <c r="D250" t="s">
        <v>3853</v>
      </c>
      <c r="E250" t="s">
        <v>22</v>
      </c>
      <c r="F250" s="387">
        <v>7</v>
      </c>
      <c r="G250" s="16">
        <f>'WetLitterbags placem_collection'!E177</f>
        <v>42763</v>
      </c>
      <c r="H250" t="str">
        <f>'Final data_for_R_analysis_Wetse'!J176</f>
        <v>G457</v>
      </c>
      <c r="I250" t="str">
        <f>'Final data_for_R_analysis_Wetse'!J396</f>
        <v>R458</v>
      </c>
      <c r="J250">
        <f>IFERROR(INDEX('Green_rooibos initial weight'!$C$5:$C$1749,MATCH(H250, 'Green_rooibos initial weight'!$A$5:$A$1749,0)),"")</f>
        <v>2.1579999999999999</v>
      </c>
      <c r="K250">
        <f>IFERROR(INDEX('Green_rooibos initial weight'!$C$5:$C$1749,MATCH(I250, 'Green_rooibos initial weight'!$A$5:$A$1749,0)),"")</f>
        <v>2.2370000000000001</v>
      </c>
      <c r="L250" s="195">
        <f t="shared" si="20"/>
        <v>1.9081999999999999</v>
      </c>
      <c r="M250" s="195">
        <f>AVERAGE(Ashed_controlls!$K$2:$K$11)</f>
        <v>5.5147656768714146</v>
      </c>
      <c r="N250" s="195">
        <f t="shared" si="18"/>
        <v>1.9872000000000001</v>
      </c>
      <c r="O250" s="16">
        <f>IF('WetLitterbags placem_collection'!G177="N.A","",'WetLitterbags placem_collection'!G177)</f>
        <v>42814</v>
      </c>
      <c r="P250" s="195">
        <f>IF(IFERROR(INDEX('Both teabags AfterWet'!$C$3:$C$841,MATCH(H250,'Both teabags AfterWet'!$A$3:$A$841,0)),"")="N.A","",(IFERROR(INDEX('Both teabags AfterWet'!$C$3:$C$841,MATCH(H250,'Both teabags AfterWet'!$A$3:$A$841,0)),"")))</f>
        <v>0.68200000000000005</v>
      </c>
      <c r="Q250" s="195">
        <f>IFERROR(INDEX('Both teabags AfterWet'!$C$3:$C$841,MATCH(I250,'Both teabags AfterWet'!$A$3:$A$841,0)),"")</f>
        <v>0.61699999999999999</v>
      </c>
      <c r="R250" s="195">
        <f t="shared" si="21"/>
        <v>0.53140000000000009</v>
      </c>
      <c r="S250" s="195">
        <f t="shared" si="21"/>
        <v>0.46639999999999998</v>
      </c>
      <c r="T250" s="195">
        <f t="shared" si="22"/>
        <v>0.72151766062257616</v>
      </c>
      <c r="U250" s="195">
        <f t="shared" si="23"/>
        <v>0.47301395328225904</v>
      </c>
      <c r="V250" s="195">
        <f t="shared" si="24"/>
        <v>0.23470209339774556</v>
      </c>
      <c r="W250">
        <f t="shared" si="19"/>
        <v>51</v>
      </c>
      <c r="X250" s="195">
        <f t="shared" si="25"/>
        <v>0.14309066434373374</v>
      </c>
      <c r="Y250" s="195" t="str">
        <f t="shared" si="26"/>
        <v/>
      </c>
      <c r="Z250" s="255" t="str">
        <f>IF(ISNUMBER(SEARCH("C",'WetLitterbags placem_collection'!W177)),"YES","NO")</f>
        <v>YES</v>
      </c>
      <c r="AA250" s="255" t="str">
        <f>IF(ISNUMBER(SEARCH("H", 'WetLitterbags placem_collection'!W177)),"YES","NO")</f>
        <v>YES</v>
      </c>
      <c r="AB250" s="255" t="str">
        <f>IF(ISNUMBER(SEARCH("R", 'WetLitterbags placem_collection'!W177)),"YES","NO")</f>
        <v>NO</v>
      </c>
      <c r="AC250" s="255" t="str">
        <f>IF(ISNUMBER(SEARCH("C", 'WetLitterbags placem_collection'!V177)),"YES","NO")</f>
        <v>NO</v>
      </c>
      <c r="AD250" s="255" t="str">
        <f>IF(ISNUMBER(SEARCH("H", 'WetLitterbags placem_collection'!V177)),"YES","NO")</f>
        <v>NO</v>
      </c>
      <c r="AE250" s="255" t="str">
        <f>IF(ISNUMBER(SEARCH("R", 'WetLitterbags placem_collection'!V177)),"YES","NO")</f>
        <v>NO</v>
      </c>
    </row>
    <row r="251" spans="2:31">
      <c r="B251" t="str">
        <f>'Final data_for_R_analysis_Wetse'!A177</f>
        <v>Wet</v>
      </c>
      <c r="C251" s="263">
        <f>'Final data_for_R_analysis_Wetse'!B177</f>
        <v>176</v>
      </c>
      <c r="D251" t="s">
        <v>3853</v>
      </c>
      <c r="E251" t="s">
        <v>22</v>
      </c>
      <c r="F251" s="387">
        <v>8</v>
      </c>
      <c r="G251" s="16">
        <f>'WetLitterbags placem_collection'!E178</f>
        <v>42763</v>
      </c>
      <c r="H251" t="str">
        <f>'Final data_for_R_analysis_Wetse'!J177</f>
        <v>G454</v>
      </c>
      <c r="I251" t="str">
        <f>'Final data_for_R_analysis_Wetse'!J397</f>
        <v>R326</v>
      </c>
      <c r="J251">
        <f>IFERROR(INDEX('Green_rooibos initial weight'!$C$5:$C$1749,MATCH(H251, 'Green_rooibos initial weight'!$A$5:$A$1749,0)),"")</f>
        <v>2.0920000000000001</v>
      </c>
      <c r="K251">
        <f>IFERROR(INDEX('Green_rooibos initial weight'!$C$5:$C$1749,MATCH(I251, 'Green_rooibos initial weight'!$A$5:$A$1749,0)),"")</f>
        <v>2.1890000000000001</v>
      </c>
      <c r="L251" s="195">
        <f t="shared" si="20"/>
        <v>1.8422000000000001</v>
      </c>
      <c r="M251" s="195">
        <f>AVERAGE(Ashed_controlls!$K$2:$K$11)</f>
        <v>5.5147656768714146</v>
      </c>
      <c r="N251" s="195">
        <f t="shared" si="18"/>
        <v>1.9392</v>
      </c>
      <c r="O251" s="16">
        <f>IF('WetLitterbags placem_collection'!G178="N.A","",'WetLitterbags placem_collection'!G178)</f>
        <v>42814</v>
      </c>
      <c r="P251" s="195">
        <f>IF(IFERROR(INDEX('Both teabags AfterWet'!$C$3:$C$841,MATCH(H251,'Both teabags AfterWet'!$A$3:$A$841,0)),"")="N.A","",(IFERROR(INDEX('Both teabags AfterWet'!$C$3:$C$841,MATCH(H251,'Both teabags AfterWet'!$A$3:$A$841,0)),"")))</f>
        <v>0.63900000000000001</v>
      </c>
      <c r="Q251" s="195">
        <f>IFERROR(INDEX('Both teabags AfterWet'!$C$3:$C$841,MATCH(I251,'Both teabags AfterWet'!$A$3:$A$841,0)),"")</f>
        <v>1.694</v>
      </c>
      <c r="R251" s="195">
        <f t="shared" si="21"/>
        <v>0.4884</v>
      </c>
      <c r="S251" s="195">
        <f t="shared" si="21"/>
        <v>1.5433999999999999</v>
      </c>
      <c r="T251" s="195">
        <f t="shared" si="22"/>
        <v>0.73488220605797416</v>
      </c>
      <c r="U251" s="195">
        <f t="shared" si="23"/>
        <v>0.48177550800950331</v>
      </c>
      <c r="V251" s="195">
        <f t="shared" si="24"/>
        <v>0.79589521452145207</v>
      </c>
      <c r="W251">
        <f t="shared" si="19"/>
        <v>51</v>
      </c>
      <c r="X251" s="195">
        <f t="shared" si="25"/>
        <v>0.1272182825914796</v>
      </c>
      <c r="Y251" s="195">
        <f t="shared" si="26"/>
        <v>1.0804750866490282E-2</v>
      </c>
      <c r="Z251" s="255" t="str">
        <f>IF(ISNUMBER(SEARCH("C",'WetLitterbags placem_collection'!W178)),"YES","NO")</f>
        <v>NO</v>
      </c>
      <c r="AA251" s="255" t="str">
        <f>IF(ISNUMBER(SEARCH("H", 'WetLitterbags placem_collection'!W178)),"YES","NO")</f>
        <v>NO</v>
      </c>
      <c r="AB251" s="255" t="str">
        <f>IF(ISNUMBER(SEARCH("R", 'WetLitterbags placem_collection'!W178)),"YES","NO")</f>
        <v>NO</v>
      </c>
      <c r="AC251" s="255" t="str">
        <f>IF(ISNUMBER(SEARCH("C", 'WetLitterbags placem_collection'!V178)),"YES","NO")</f>
        <v>NO</v>
      </c>
      <c r="AD251" s="255" t="str">
        <f>IF(ISNUMBER(SEARCH("H", 'WetLitterbags placem_collection'!V178)),"YES","NO")</f>
        <v>NO</v>
      </c>
      <c r="AE251" s="255" t="str">
        <f>IF(ISNUMBER(SEARCH("R", 'WetLitterbags placem_collection'!V178)),"YES","NO")</f>
        <v>NO</v>
      </c>
    </row>
    <row r="252" spans="2:31">
      <c r="B252" t="str">
        <f>'Final data_for_R_analysis_Wetse'!A178</f>
        <v>Wet</v>
      </c>
      <c r="C252" s="263">
        <f>'Final data_for_R_analysis_Wetse'!B178</f>
        <v>177</v>
      </c>
      <c r="D252" t="s">
        <v>3854</v>
      </c>
      <c r="E252" t="s">
        <v>22</v>
      </c>
      <c r="F252" s="386">
        <v>1</v>
      </c>
      <c r="G252" s="16">
        <f>'WetLitterbags placem_collection'!E179</f>
        <v>42763</v>
      </c>
      <c r="H252" t="str">
        <f>'Final data_for_R_analysis_Wetse'!J178</f>
        <v>G362</v>
      </c>
      <c r="I252" t="str">
        <f>'Final data_for_R_analysis_Wetse'!J398</f>
        <v>R262</v>
      </c>
      <c r="J252">
        <f>IFERROR(INDEX('Green_rooibos initial weight'!$C$5:$C$1749,MATCH(H252, 'Green_rooibos initial weight'!$A$5:$A$1749,0)),"")</f>
        <v>2.0659999999999998</v>
      </c>
      <c r="K252">
        <f>IFERROR(INDEX('Green_rooibos initial weight'!$C$5:$C$1749,MATCH(I252, 'Green_rooibos initial weight'!$A$5:$A$1749,0)),"")</f>
        <v>2.1949999999999998</v>
      </c>
      <c r="L252" s="195">
        <f t="shared" si="20"/>
        <v>1.8161999999999998</v>
      </c>
      <c r="M252" s="195">
        <f>AVERAGE(Ashed_controlls!$K$2:$K$11)</f>
        <v>5.5147656768714146</v>
      </c>
      <c r="N252" s="195">
        <f t="shared" si="18"/>
        <v>1.9451999999999998</v>
      </c>
      <c r="O252" s="16">
        <f>IF('WetLitterbags placem_collection'!G179="N.A","",'WetLitterbags placem_collection'!G179)</f>
        <v>42815</v>
      </c>
      <c r="P252" s="195">
        <f>IF(IFERROR(INDEX('Both teabags AfterWet'!$C$3:$C$841,MATCH(H252,'Both teabags AfterWet'!$A$3:$A$841,0)),"")="N.A","",(IFERROR(INDEX('Both teabags AfterWet'!$C$3:$C$841,MATCH(H252,'Both teabags AfterWet'!$A$3:$A$841,0)),"")))</f>
        <v>0.61299999999999999</v>
      </c>
      <c r="Q252" s="195">
        <f>IFERROR(INDEX('Both teabags AfterWet'!$C$3:$C$841,MATCH(I252,'Both teabags AfterWet'!$A$3:$A$841,0)),"")</f>
        <v>1.671</v>
      </c>
      <c r="R252" s="195">
        <f t="shared" si="21"/>
        <v>0.46239999999999998</v>
      </c>
      <c r="S252" s="195">
        <f t="shared" si="21"/>
        <v>1.5204</v>
      </c>
      <c r="T252" s="195">
        <f t="shared" si="22"/>
        <v>0.74540248871269688</v>
      </c>
      <c r="U252" s="195">
        <f t="shared" si="23"/>
        <v>0.48867241540309825</v>
      </c>
      <c r="V252" s="195">
        <f t="shared" si="24"/>
        <v>0.7816162862430599</v>
      </c>
      <c r="W252">
        <f t="shared" si="19"/>
        <v>52</v>
      </c>
      <c r="X252" s="195">
        <f t="shared" si="25"/>
        <v>0.11472388513931486</v>
      </c>
      <c r="Y252" s="195">
        <f t="shared" si="26"/>
        <v>1.1388494321888256E-2</v>
      </c>
      <c r="Z252" s="255" t="str">
        <f>IF(ISNUMBER(SEARCH("C",'WetLitterbags placem_collection'!W179)),"YES","NO")</f>
        <v>YES</v>
      </c>
      <c r="AA252" s="255" t="str">
        <f>IF(ISNUMBER(SEARCH("H", 'WetLitterbags placem_collection'!W179)),"YES","NO")</f>
        <v>NO</v>
      </c>
      <c r="AB252" s="255" t="str">
        <f>IF(ISNUMBER(SEARCH("R", 'WetLitterbags placem_collection'!W179)),"YES","NO")</f>
        <v>YES</v>
      </c>
      <c r="AC252" s="255" t="str">
        <f>IF(ISNUMBER(SEARCH("C", 'WetLitterbags placem_collection'!V179)),"YES","NO")</f>
        <v>NO</v>
      </c>
      <c r="AD252" s="255" t="str">
        <f>IF(ISNUMBER(SEARCH("H", 'WetLitterbags placem_collection'!V179)),"YES","NO")</f>
        <v>NO</v>
      </c>
      <c r="AE252" s="255" t="str">
        <f>IF(ISNUMBER(SEARCH("R", 'WetLitterbags placem_collection'!V179)),"YES","NO")</f>
        <v>NO</v>
      </c>
    </row>
    <row r="253" spans="2:31">
      <c r="B253" t="str">
        <f>'Final data_for_R_analysis_Wetse'!A179</f>
        <v>Wet</v>
      </c>
      <c r="C253" s="263">
        <f>'Final data_for_R_analysis_Wetse'!B179</f>
        <v>178</v>
      </c>
      <c r="D253" t="s">
        <v>3854</v>
      </c>
      <c r="E253" t="s">
        <v>22</v>
      </c>
      <c r="F253" s="386">
        <v>2</v>
      </c>
      <c r="G253" s="16">
        <f>'WetLitterbags placem_collection'!E180</f>
        <v>42763</v>
      </c>
      <c r="H253" t="str">
        <f>'Final data_for_R_analysis_Wetse'!J179</f>
        <v>G781</v>
      </c>
      <c r="I253" t="str">
        <f>'Final data_for_R_analysis_Wetse'!J399</f>
        <v>R309</v>
      </c>
      <c r="J253">
        <f>IFERROR(INDEX('Green_rooibos initial weight'!$C$5:$C$1749,MATCH(H253, 'Green_rooibos initial weight'!$A$5:$A$1749,0)),"")</f>
        <v>2.0920000000000001</v>
      </c>
      <c r="K253">
        <f>IFERROR(INDEX('Green_rooibos initial weight'!$C$5:$C$1749,MATCH(I253, 'Green_rooibos initial weight'!$A$5:$A$1749,0)),"")</f>
        <v>2.1960000000000002</v>
      </c>
      <c r="L253" s="195">
        <f t="shared" si="20"/>
        <v>1.8422000000000001</v>
      </c>
      <c r="M253" s="195">
        <f>AVERAGE(Ashed_controlls!$K$2:$K$11)</f>
        <v>5.5147656768714146</v>
      </c>
      <c r="N253" s="195">
        <f t="shared" si="18"/>
        <v>1.9462000000000002</v>
      </c>
      <c r="O253" s="16">
        <f>IF('WetLitterbags placem_collection'!G180="N.A","",'WetLitterbags placem_collection'!G180)</f>
        <v>42815</v>
      </c>
      <c r="P253" s="195">
        <f>IF(IFERROR(INDEX('Both teabags AfterWet'!$C$3:$C$841,MATCH(H253,'Both teabags AfterWet'!$A$3:$A$841,0)),"")="N.A","",(IFERROR(INDEX('Both teabags AfterWet'!$C$3:$C$841,MATCH(H253,'Both teabags AfterWet'!$A$3:$A$841,0)),"")))</f>
        <v>0.62549999999999994</v>
      </c>
      <c r="Q253" s="195">
        <f>IFERROR(INDEX('Both teabags AfterWet'!$C$3:$C$841,MATCH(I253,'Both teabags AfterWet'!$A$3:$A$841,0)),"")</f>
        <v>1.6866000000000001</v>
      </c>
      <c r="R253" s="195">
        <f t="shared" si="21"/>
        <v>0.47489999999999993</v>
      </c>
      <c r="S253" s="195">
        <f t="shared" si="21"/>
        <v>1.536</v>
      </c>
      <c r="T253" s="195">
        <f t="shared" si="22"/>
        <v>0.74221040060796883</v>
      </c>
      <c r="U253" s="195">
        <f t="shared" si="23"/>
        <v>0.48657974006603188</v>
      </c>
      <c r="V253" s="195">
        <f t="shared" si="24"/>
        <v>0.78923029493371699</v>
      </c>
      <c r="W253">
        <f t="shared" si="19"/>
        <v>52</v>
      </c>
      <c r="X253" s="195">
        <f t="shared" si="25"/>
        <v>0.11851496364849301</v>
      </c>
      <c r="Y253" s="195">
        <f t="shared" si="26"/>
        <v>1.0917085461919175E-2</v>
      </c>
      <c r="Z253" s="255" t="str">
        <f>IF(ISNUMBER(SEARCH("C",'WetLitterbags placem_collection'!W180)),"YES","NO")</f>
        <v>NO</v>
      </c>
      <c r="AA253" s="255" t="str">
        <f>IF(ISNUMBER(SEARCH("H", 'WetLitterbags placem_collection'!W180)),"YES","NO")</f>
        <v>NO</v>
      </c>
      <c r="AB253" s="255" t="str">
        <f>IF(ISNUMBER(SEARCH("R", 'WetLitterbags placem_collection'!W180)),"YES","NO")</f>
        <v>NO</v>
      </c>
      <c r="AC253" s="255" t="str">
        <f>IF(ISNUMBER(SEARCH("C", 'WetLitterbags placem_collection'!V180)),"YES","NO")</f>
        <v>YES</v>
      </c>
      <c r="AD253" s="255" t="str">
        <f>IF(ISNUMBER(SEARCH("H", 'WetLitterbags placem_collection'!V180)),"YES","NO")</f>
        <v>YES</v>
      </c>
      <c r="AE253" s="255" t="str">
        <f>IF(ISNUMBER(SEARCH("R", 'WetLitterbags placem_collection'!V180)),"YES","NO")</f>
        <v>NO</v>
      </c>
    </row>
    <row r="254" spans="2:31">
      <c r="B254" t="str">
        <f>'Final data_for_R_analysis_Wetse'!A180</f>
        <v>Wet</v>
      </c>
      <c r="C254" s="263">
        <f>'Final data_for_R_analysis_Wetse'!B180</f>
        <v>179</v>
      </c>
      <c r="D254" t="s">
        <v>3854</v>
      </c>
      <c r="E254" t="s">
        <v>22</v>
      </c>
      <c r="F254" s="386">
        <v>3</v>
      </c>
      <c r="G254" s="16">
        <f>'WetLitterbags placem_collection'!E181</f>
        <v>42763</v>
      </c>
      <c r="H254" t="str">
        <f>'Final data_for_R_analysis_Wetse'!J180</f>
        <v>G451</v>
      </c>
      <c r="I254" t="str">
        <f>'Final data_for_R_analysis_Wetse'!J400</f>
        <v>R32</v>
      </c>
      <c r="J254">
        <f>IFERROR(INDEX('Green_rooibos initial weight'!$C$5:$C$1749,MATCH(H254, 'Green_rooibos initial weight'!$A$5:$A$1749,0)),"")</f>
        <v>2.1139999999999999</v>
      </c>
      <c r="K254">
        <f>IFERROR(INDEX('Green_rooibos initial weight'!$C$5:$C$1749,MATCH(I254, 'Green_rooibos initial weight'!$A$5:$A$1749,0)),"")</f>
        <v>2.2290000000000001</v>
      </c>
      <c r="L254" s="195">
        <f t="shared" si="20"/>
        <v>1.8641999999999999</v>
      </c>
      <c r="M254" s="195">
        <f>AVERAGE(Ashed_controlls!$K$2:$K$11)</f>
        <v>5.5147656768714146</v>
      </c>
      <c r="N254" s="195">
        <f t="shared" si="18"/>
        <v>1.9792000000000001</v>
      </c>
      <c r="O254" s="16">
        <f>IF('WetLitterbags placem_collection'!G181="N.A","",'WetLitterbags placem_collection'!G181)</f>
        <v>42815</v>
      </c>
      <c r="P254" s="195">
        <f>IF(IFERROR(INDEX('Both teabags AfterWet'!$C$3:$C$841,MATCH(H254,'Both teabags AfterWet'!$A$3:$A$841,0)),"")="N.A","",(IFERROR(INDEX('Both teabags AfterWet'!$C$3:$C$841,MATCH(H254,'Both teabags AfterWet'!$A$3:$A$841,0)),"")))</f>
        <v>0.60329999999999995</v>
      </c>
      <c r="Q254" s="195">
        <f>IFERROR(INDEX('Both teabags AfterWet'!$C$3:$C$841,MATCH(I254,'Both teabags AfterWet'!$A$3:$A$841,0)),"")</f>
        <v>1.6146</v>
      </c>
      <c r="R254" s="195">
        <f t="shared" si="21"/>
        <v>0.45269999999999994</v>
      </c>
      <c r="S254" s="195">
        <f t="shared" si="21"/>
        <v>1.464</v>
      </c>
      <c r="T254" s="195">
        <f t="shared" si="22"/>
        <v>0.75716124879304791</v>
      </c>
      <c r="U254" s="195">
        <f t="shared" si="23"/>
        <v>0.49638124623962293</v>
      </c>
      <c r="V254" s="195">
        <f t="shared" si="24"/>
        <v>0.73969280517380753</v>
      </c>
      <c r="W254">
        <f t="shared" si="19"/>
        <v>52</v>
      </c>
      <c r="X254" s="195">
        <f t="shared" si="25"/>
        <v>0.10075861188474111</v>
      </c>
      <c r="Y254" s="195">
        <f t="shared" si="26"/>
        <v>1.4292283463461404E-2</v>
      </c>
      <c r="Z254" s="255" t="str">
        <f>IF(ISNUMBER(SEARCH("C",'WetLitterbags placem_collection'!W181)),"YES","NO")</f>
        <v>NO</v>
      </c>
      <c r="AA254" s="255" t="str">
        <f>IF(ISNUMBER(SEARCH("H", 'WetLitterbags placem_collection'!W181)),"YES","NO")</f>
        <v>NO</v>
      </c>
      <c r="AB254" s="255" t="str">
        <f>IF(ISNUMBER(SEARCH("R", 'WetLitterbags placem_collection'!W181)),"YES","NO")</f>
        <v>YES</v>
      </c>
      <c r="AC254" s="255" t="str">
        <f>IF(ISNUMBER(SEARCH("C", 'WetLitterbags placem_collection'!V181)),"YES","NO")</f>
        <v>NO</v>
      </c>
      <c r="AD254" s="255" t="str">
        <f>IF(ISNUMBER(SEARCH("H", 'WetLitterbags placem_collection'!V181)),"YES","NO")</f>
        <v>NO</v>
      </c>
      <c r="AE254" s="255" t="str">
        <f>IF(ISNUMBER(SEARCH("R", 'WetLitterbags placem_collection'!V181)),"YES","NO")</f>
        <v>YES</v>
      </c>
    </row>
    <row r="255" spans="2:31">
      <c r="B255" t="str">
        <f>'Final data_for_R_analysis_Wetse'!A181</f>
        <v>Wet</v>
      </c>
      <c r="C255" s="263">
        <f>'Final data_for_R_analysis_Wetse'!B181</f>
        <v>180</v>
      </c>
      <c r="D255" t="s">
        <v>3854</v>
      </c>
      <c r="E255" t="s">
        <v>22</v>
      </c>
      <c r="F255" s="387">
        <v>4</v>
      </c>
      <c r="G255" s="16">
        <f>'WetLitterbags placem_collection'!E182</f>
        <v>42763</v>
      </c>
      <c r="H255" t="str">
        <f>'Final data_for_R_analysis_Wetse'!J181</f>
        <v>G360</v>
      </c>
      <c r="I255" t="str">
        <f>'Final data_for_R_analysis_Wetse'!J401</f>
        <v>R268</v>
      </c>
      <c r="J255">
        <f>IFERROR(INDEX('Green_rooibos initial weight'!$C$5:$C$1749,MATCH(H255, 'Green_rooibos initial weight'!$A$5:$A$1749,0)),"")</f>
        <v>2.0099999999999998</v>
      </c>
      <c r="K255">
        <f>IFERROR(INDEX('Green_rooibos initial weight'!$C$5:$C$1749,MATCH(I255, 'Green_rooibos initial weight'!$A$5:$A$1749,0)),"")</f>
        <v>2.1709999999999998</v>
      </c>
      <c r="L255" s="195">
        <f t="shared" si="20"/>
        <v>1.7601999999999998</v>
      </c>
      <c r="M255" s="195">
        <f>AVERAGE(Ashed_controlls!$K$2:$K$11)</f>
        <v>5.5147656768714146</v>
      </c>
      <c r="N255" s="195">
        <f t="shared" si="18"/>
        <v>1.9211999999999998</v>
      </c>
      <c r="O255" s="16">
        <f>IF('WetLitterbags placem_collection'!G182="N.A","",'WetLitterbags placem_collection'!G182)</f>
        <v>42815</v>
      </c>
      <c r="P255" s="195">
        <f>IF(IFERROR(INDEX('Both teabags AfterWet'!$C$3:$C$841,MATCH(H255,'Both teabags AfterWet'!$A$3:$A$841,0)),"")="N.A","",(IFERROR(INDEX('Both teabags AfterWet'!$C$3:$C$841,MATCH(H255,'Both teabags AfterWet'!$A$3:$A$841,0)),"")))</f>
        <v>0.62219999999999998</v>
      </c>
      <c r="Q255" s="195">
        <f>IFERROR(INDEX('Both teabags AfterWet'!$C$3:$C$841,MATCH(I255,'Both teabags AfterWet'!$A$3:$A$841,0)),"")</f>
        <v>1.6403000000000001</v>
      </c>
      <c r="R255" s="195">
        <f t="shared" si="21"/>
        <v>0.47159999999999996</v>
      </c>
      <c r="S255" s="195">
        <f t="shared" si="21"/>
        <v>1.4897</v>
      </c>
      <c r="T255" s="195">
        <f t="shared" si="22"/>
        <v>0.73207590046585613</v>
      </c>
      <c r="U255" s="195">
        <f t="shared" si="23"/>
        <v>0.47993574472345918</v>
      </c>
      <c r="V255" s="195">
        <f t="shared" si="24"/>
        <v>0.77540079117218419</v>
      </c>
      <c r="W255">
        <f t="shared" si="19"/>
        <v>52</v>
      </c>
      <c r="X255" s="195">
        <f t="shared" si="25"/>
        <v>0.13055118709518276</v>
      </c>
      <c r="Y255" s="195">
        <f t="shared" si="26"/>
        <v>1.2135957809916944E-2</v>
      </c>
      <c r="Z255" s="255" t="str">
        <f>IF(ISNUMBER(SEARCH("C",'WetLitterbags placem_collection'!W182)),"YES","NO")</f>
        <v>NO</v>
      </c>
      <c r="AA255" s="255" t="str">
        <f>IF(ISNUMBER(SEARCH("H", 'WetLitterbags placem_collection'!W182)),"YES","NO")</f>
        <v>NO</v>
      </c>
      <c r="AB255" s="255" t="str">
        <f>IF(ISNUMBER(SEARCH("R", 'WetLitterbags placem_collection'!W182)),"YES","NO")</f>
        <v>NO</v>
      </c>
      <c r="AC255" s="255" t="str">
        <f>IF(ISNUMBER(SEARCH("C", 'WetLitterbags placem_collection'!V182)),"YES","NO")</f>
        <v>NO</v>
      </c>
      <c r="AD255" s="255" t="str">
        <f>IF(ISNUMBER(SEARCH("H", 'WetLitterbags placem_collection'!V182)),"YES","NO")</f>
        <v>NO</v>
      </c>
      <c r="AE255" s="255" t="str">
        <f>IF(ISNUMBER(SEARCH("R", 'WetLitterbags placem_collection'!V182)),"YES","NO")</f>
        <v>NO</v>
      </c>
    </row>
    <row r="256" spans="2:31">
      <c r="B256" t="str">
        <f>'Final data_for_R_analysis_Wetse'!A182</f>
        <v>Wet</v>
      </c>
      <c r="C256" s="263">
        <f>'Final data_for_R_analysis_Wetse'!B182</f>
        <v>181</v>
      </c>
      <c r="D256" t="s">
        <v>3854</v>
      </c>
      <c r="E256" t="s">
        <v>22</v>
      </c>
      <c r="F256" s="387">
        <v>5</v>
      </c>
      <c r="G256" s="16">
        <f>'WetLitterbags placem_collection'!E183</f>
        <v>42763</v>
      </c>
      <c r="H256" t="str">
        <f>'Final data_for_R_analysis_Wetse'!J182</f>
        <v>G458</v>
      </c>
      <c r="I256" t="str">
        <f>'Final data_for_R_analysis_Wetse'!J402</f>
        <v>R587</v>
      </c>
      <c r="J256">
        <f>IFERROR(INDEX('Green_rooibos initial weight'!$C$5:$C$1749,MATCH(H256, 'Green_rooibos initial weight'!$A$5:$A$1749,0)),"")</f>
        <v>1.9770000000000001</v>
      </c>
      <c r="K256">
        <f>IFERROR(INDEX('Green_rooibos initial weight'!$C$5:$C$1749,MATCH(I256, 'Green_rooibos initial weight'!$A$5:$A$1749,0)),"")</f>
        <v>2.2250000000000001</v>
      </c>
      <c r="L256" s="195">
        <f t="shared" si="20"/>
        <v>1.7272000000000001</v>
      </c>
      <c r="M256" s="195">
        <f>AVERAGE(Ashed_controlls!$K$2:$K$11)</f>
        <v>5.5147656768714146</v>
      </c>
      <c r="N256" s="195">
        <f t="shared" si="18"/>
        <v>1.9752000000000001</v>
      </c>
      <c r="O256" s="16">
        <f>IF('WetLitterbags placem_collection'!G183="N.A","",'WetLitterbags placem_collection'!G183)</f>
        <v>42815</v>
      </c>
      <c r="P256" s="195">
        <f>IF(IFERROR(INDEX('Both teabags AfterWet'!$C$3:$C$841,MATCH(H256,'Both teabags AfterWet'!$A$3:$A$841,0)),"")="N.A","",(IFERROR(INDEX('Both teabags AfterWet'!$C$3:$C$841,MATCH(H256,'Both teabags AfterWet'!$A$3:$A$841,0)),"")))</f>
        <v>0.57499999999999996</v>
      </c>
      <c r="Q256" s="195">
        <f>IFERROR(INDEX('Both teabags AfterWet'!$C$3:$C$841,MATCH(I256,'Both teabags AfterWet'!$A$3:$A$841,0)),"")</f>
        <v>1.5119</v>
      </c>
      <c r="R256" s="195">
        <f t="shared" si="21"/>
        <v>0.42439999999999994</v>
      </c>
      <c r="S256" s="195">
        <f t="shared" si="21"/>
        <v>1.3613</v>
      </c>
      <c r="T256" s="195">
        <f t="shared" si="22"/>
        <v>0.75428439092172306</v>
      </c>
      <c r="U256" s="195">
        <f t="shared" si="23"/>
        <v>0.49449523015295865</v>
      </c>
      <c r="V256" s="195">
        <f t="shared" si="24"/>
        <v>0.68919603078169289</v>
      </c>
      <c r="W256">
        <f t="shared" si="19"/>
        <v>52</v>
      </c>
      <c r="X256" s="195">
        <f t="shared" si="25"/>
        <v>0.10417530769391559</v>
      </c>
      <c r="Y256" s="195">
        <f t="shared" si="26"/>
        <v>1.9043867050252281E-2</v>
      </c>
      <c r="Z256" s="255" t="str">
        <f>IF(ISNUMBER(SEARCH("C",'WetLitterbags placem_collection'!W183)),"YES","NO")</f>
        <v>NO</v>
      </c>
      <c r="AA256" s="255" t="str">
        <f>IF(ISNUMBER(SEARCH("H", 'WetLitterbags placem_collection'!W183)),"YES","NO")</f>
        <v>NO</v>
      </c>
      <c r="AB256" s="255" t="str">
        <f>IF(ISNUMBER(SEARCH("R", 'WetLitterbags placem_collection'!W183)),"YES","NO")</f>
        <v>NO</v>
      </c>
      <c r="AC256" s="255" t="str">
        <f>IF(ISNUMBER(SEARCH("C", 'WetLitterbags placem_collection'!V183)),"YES","NO")</f>
        <v>NO</v>
      </c>
      <c r="AD256" s="255" t="str">
        <f>IF(ISNUMBER(SEARCH("H", 'WetLitterbags placem_collection'!V183)),"YES","NO")</f>
        <v>NO</v>
      </c>
      <c r="AE256" s="255" t="str">
        <f>IF(ISNUMBER(SEARCH("R", 'WetLitterbags placem_collection'!V183)),"YES","NO")</f>
        <v>NO</v>
      </c>
    </row>
    <row r="257" spans="2:31">
      <c r="B257" t="str">
        <f>'Final data_for_R_analysis_Wetse'!A183</f>
        <v>Wet</v>
      </c>
      <c r="C257" s="263">
        <f>'Final data_for_R_analysis_Wetse'!B183</f>
        <v>182</v>
      </c>
      <c r="D257" t="s">
        <v>3854</v>
      </c>
      <c r="E257" t="s">
        <v>22</v>
      </c>
      <c r="F257" s="387">
        <v>6</v>
      </c>
      <c r="G257" s="16">
        <f>'WetLitterbags placem_collection'!E184</f>
        <v>42763</v>
      </c>
      <c r="H257" t="str">
        <f>'Final data_for_R_analysis_Wetse'!J183</f>
        <v>G403</v>
      </c>
      <c r="I257" t="str">
        <f>'Final data_for_R_analysis_Wetse'!J403</f>
        <v>R444</v>
      </c>
      <c r="J257">
        <f>IFERROR(INDEX('Green_rooibos initial weight'!$C$5:$C$1749,MATCH(H257, 'Green_rooibos initial weight'!$A$5:$A$1749,0)),"")</f>
        <v>2.06</v>
      </c>
      <c r="K257">
        <f>IFERROR(INDEX('Green_rooibos initial weight'!$C$5:$C$1749,MATCH(I257, 'Green_rooibos initial weight'!$A$5:$A$1749,0)),"")</f>
        <v>2.2149999999999999</v>
      </c>
      <c r="L257" s="195">
        <f t="shared" si="20"/>
        <v>1.8102</v>
      </c>
      <c r="M257" s="195">
        <f>AVERAGE(Ashed_controlls!$K$2:$K$11)</f>
        <v>5.5147656768714146</v>
      </c>
      <c r="N257" s="195">
        <f t="shared" si="18"/>
        <v>1.9651999999999998</v>
      </c>
      <c r="O257" s="16">
        <f>IF('WetLitterbags placem_collection'!G184="N.A","",'WetLitterbags placem_collection'!G184)</f>
        <v>42815</v>
      </c>
      <c r="P257" s="195">
        <f>IF(IFERROR(INDEX('Both teabags AfterWet'!$C$3:$C$841,MATCH(H257,'Both teabags AfterWet'!$A$3:$A$841,0)),"")="N.A","",(IFERROR(INDEX('Both teabags AfterWet'!$C$3:$C$841,MATCH(H257,'Both teabags AfterWet'!$A$3:$A$841,0)),"")))</f>
        <v>0.69440000000000002</v>
      </c>
      <c r="Q257" s="195">
        <f>IFERROR(INDEX('Both teabags AfterWet'!$C$3:$C$841,MATCH(I257,'Both teabags AfterWet'!$A$3:$A$841,0)),"")</f>
        <v>1.7522</v>
      </c>
      <c r="R257" s="195">
        <f t="shared" si="21"/>
        <v>0.54380000000000006</v>
      </c>
      <c r="S257" s="195">
        <f t="shared" si="21"/>
        <v>1.6015999999999999</v>
      </c>
      <c r="T257" s="195">
        <f t="shared" si="22"/>
        <v>0.69959120539166941</v>
      </c>
      <c r="U257" s="195">
        <f t="shared" si="23"/>
        <v>0.45863936505487118</v>
      </c>
      <c r="V257" s="195">
        <f t="shared" si="24"/>
        <v>0.81498066354569509</v>
      </c>
      <c r="W257">
        <f t="shared" si="19"/>
        <v>52</v>
      </c>
      <c r="X257" s="195">
        <f t="shared" si="25"/>
        <v>0.16913158504552328</v>
      </c>
      <c r="Y257" s="195">
        <f t="shared" si="26"/>
        <v>9.9331503302323501E-3</v>
      </c>
      <c r="Z257" s="255" t="str">
        <f>IF(ISNUMBER(SEARCH("C",'WetLitterbags placem_collection'!W184)),"YES","NO")</f>
        <v>NO</v>
      </c>
      <c r="AA257" s="255" t="str">
        <f>IF(ISNUMBER(SEARCH("H", 'WetLitterbags placem_collection'!W184)),"YES","NO")</f>
        <v>NO</v>
      </c>
      <c r="AB257" s="255" t="str">
        <f>IF(ISNUMBER(SEARCH("R", 'WetLitterbags placem_collection'!W184)),"YES","NO")</f>
        <v>NO</v>
      </c>
      <c r="AC257" s="255" t="str">
        <f>IF(ISNUMBER(SEARCH("C", 'WetLitterbags placem_collection'!V184)),"YES","NO")</f>
        <v>NO</v>
      </c>
      <c r="AD257" s="255" t="str">
        <f>IF(ISNUMBER(SEARCH("H", 'WetLitterbags placem_collection'!V184)),"YES","NO")</f>
        <v>YES</v>
      </c>
      <c r="AE257" s="255" t="str">
        <f>IF(ISNUMBER(SEARCH("R", 'WetLitterbags placem_collection'!V184)),"YES","NO")</f>
        <v>YES</v>
      </c>
    </row>
    <row r="258" spans="2:31">
      <c r="B258" t="str">
        <f>'Final data_for_R_analysis_Wetse'!A184</f>
        <v>Wet</v>
      </c>
      <c r="C258" s="263">
        <f>'Final data_for_R_analysis_Wetse'!B184</f>
        <v>183</v>
      </c>
      <c r="D258" t="s">
        <v>3854</v>
      </c>
      <c r="E258" t="s">
        <v>22</v>
      </c>
      <c r="F258" s="387">
        <v>7</v>
      </c>
      <c r="G258" s="16">
        <f>'WetLitterbags placem_collection'!E185</f>
        <v>42763</v>
      </c>
      <c r="H258" t="str">
        <f>'Final data_for_R_analysis_Wetse'!J184</f>
        <v>G585</v>
      </c>
      <c r="I258" t="str">
        <f>'Final data_for_R_analysis_Wetse'!J404</f>
        <v>R568</v>
      </c>
      <c r="J258">
        <f>IFERROR(INDEX('Green_rooibos initial weight'!$C$5:$C$1749,MATCH(H258, 'Green_rooibos initial weight'!$A$5:$A$1749,0)),"")</f>
        <v>2.1669999999999998</v>
      </c>
      <c r="K258">
        <f>IFERROR(INDEX('Green_rooibos initial weight'!$C$5:$C$1749,MATCH(I258, 'Green_rooibos initial weight'!$A$5:$A$1749,0)),"")</f>
        <v>2.04</v>
      </c>
      <c r="L258" s="195">
        <f t="shared" si="20"/>
        <v>1.9171999999999998</v>
      </c>
      <c r="M258" s="195">
        <f>AVERAGE(Ashed_controlls!$K$2:$K$11)</f>
        <v>5.5147656768714146</v>
      </c>
      <c r="N258" s="195">
        <f t="shared" si="18"/>
        <v>1.7902</v>
      </c>
      <c r="O258" s="16">
        <f>IF('WetLitterbags placem_collection'!G185="N.A","",'WetLitterbags placem_collection'!G185)</f>
        <v>42815</v>
      </c>
      <c r="P258" s="195">
        <f>IF(IFERROR(INDEX('Both teabags AfterWet'!$C$3:$C$841,MATCH(H258,'Both teabags AfterWet'!$A$3:$A$841,0)),"")="N.A","",(IFERROR(INDEX('Both teabags AfterWet'!$C$3:$C$841,MATCH(H258,'Both teabags AfterWet'!$A$3:$A$841,0)),"")))</f>
        <v>0.71799999999999997</v>
      </c>
      <c r="Q258" s="195">
        <f>IFERROR(INDEX('Both teabags AfterWet'!$C$3:$C$841,MATCH(I258,'Both teabags AfterWet'!$A$3:$A$841,0)),"")</f>
        <v>0.30299999999999999</v>
      </c>
      <c r="R258" s="195">
        <f t="shared" si="21"/>
        <v>0.5673999999999999</v>
      </c>
      <c r="S258" s="195">
        <f t="shared" si="21"/>
        <v>0.15239999999999998</v>
      </c>
      <c r="T258" s="195">
        <f t="shared" si="22"/>
        <v>0.70404756937200086</v>
      </c>
      <c r="U258" s="195">
        <f t="shared" si="23"/>
        <v>0.46156087683295077</v>
      </c>
      <c r="V258" s="195">
        <f t="shared" si="24"/>
        <v>8.5130153055524516E-2</v>
      </c>
      <c r="W258">
        <f t="shared" si="19"/>
        <v>52</v>
      </c>
      <c r="X258" s="195">
        <f t="shared" si="25"/>
        <v>0.16383899124465451</v>
      </c>
      <c r="Y258" s="195" t="str">
        <f t="shared" si="26"/>
        <v/>
      </c>
      <c r="Z258" s="255" t="str">
        <f>IF(ISNUMBER(SEARCH("C",'WetLitterbags placem_collection'!W185)),"YES","NO")</f>
        <v>YES</v>
      </c>
      <c r="AA258" s="255" t="str">
        <f>IF(ISNUMBER(SEARCH("H", 'WetLitterbags placem_collection'!W185)),"YES","NO")</f>
        <v>YES</v>
      </c>
      <c r="AB258" s="255" t="str">
        <f>IF(ISNUMBER(SEARCH("R", 'WetLitterbags placem_collection'!W185)),"YES","NO")</f>
        <v>NO</v>
      </c>
      <c r="AC258" s="255" t="str">
        <f>IF(ISNUMBER(SEARCH("C", 'WetLitterbags placem_collection'!V185)),"YES","NO")</f>
        <v>YES</v>
      </c>
      <c r="AD258" s="255" t="str">
        <f>IF(ISNUMBER(SEARCH("H", 'WetLitterbags placem_collection'!V185)),"YES","NO")</f>
        <v>NO</v>
      </c>
      <c r="AE258" s="255" t="str">
        <f>IF(ISNUMBER(SEARCH("R", 'WetLitterbags placem_collection'!V185)),"YES","NO")</f>
        <v>NO</v>
      </c>
    </row>
    <row r="259" spans="2:31">
      <c r="B259" t="str">
        <f>'Final data_for_R_analysis_Wetse'!A185</f>
        <v>Wet</v>
      </c>
      <c r="C259" s="263">
        <f>'Final data_for_R_analysis_Wetse'!B185</f>
        <v>184</v>
      </c>
      <c r="D259" t="s">
        <v>3854</v>
      </c>
      <c r="E259" t="s">
        <v>22</v>
      </c>
      <c r="F259" s="387">
        <v>8</v>
      </c>
      <c r="G259" s="16">
        <f>'WetLitterbags placem_collection'!E186</f>
        <v>42763</v>
      </c>
      <c r="H259" t="str">
        <f>'Final data_for_R_analysis_Wetse'!J185</f>
        <v>G669</v>
      </c>
      <c r="I259" t="str">
        <f>'Final data_for_R_analysis_Wetse'!J405</f>
        <v>R541</v>
      </c>
      <c r="J259">
        <f>IFERROR(INDEX('Green_rooibos initial weight'!$C$5:$C$1749,MATCH(H259, 'Green_rooibos initial weight'!$A$5:$A$1749,0)),"")</f>
        <v>1.9359999999999999</v>
      </c>
      <c r="K259">
        <f>IFERROR(INDEX('Green_rooibos initial weight'!$C$5:$C$1749,MATCH(I259, 'Green_rooibos initial weight'!$A$5:$A$1749,0)),"")</f>
        <v>2.226</v>
      </c>
      <c r="L259" s="195">
        <f t="shared" si="20"/>
        <v>1.6861999999999999</v>
      </c>
      <c r="M259" s="195">
        <f>AVERAGE(Ashed_controlls!$K$2:$K$11)</f>
        <v>5.5147656768714146</v>
      </c>
      <c r="N259" s="195">
        <f t="shared" si="18"/>
        <v>1.9762</v>
      </c>
      <c r="O259" s="16">
        <f>IF('WetLitterbags placem_collection'!G186="N.A","",'WetLitterbags placem_collection'!G186)</f>
        <v>42815</v>
      </c>
      <c r="P259" s="195">
        <f>IF(IFERROR(INDEX('Both teabags AfterWet'!$C$3:$C$841,MATCH(H259,'Both teabags AfterWet'!$A$3:$A$841,0)),"")="N.A","",(IFERROR(INDEX('Both teabags AfterWet'!$C$3:$C$841,MATCH(H259,'Both teabags AfterWet'!$A$3:$A$841,0)),"")))</f>
        <v>0.7097</v>
      </c>
      <c r="Q259" s="195">
        <f>IFERROR(INDEX('Both teabags AfterWet'!$C$3:$C$841,MATCH(I259,'Both teabags AfterWet'!$A$3:$A$841,0)),"")</f>
        <v>1.7278</v>
      </c>
      <c r="R259" s="195">
        <f t="shared" si="21"/>
        <v>0.55909999999999993</v>
      </c>
      <c r="S259" s="195">
        <f t="shared" si="21"/>
        <v>1.5771999999999999</v>
      </c>
      <c r="T259" s="195">
        <f t="shared" si="22"/>
        <v>0.66842604673229755</v>
      </c>
      <c r="U259" s="195">
        <f t="shared" si="23"/>
        <v>0.43820804963922599</v>
      </c>
      <c r="V259" s="195">
        <f t="shared" si="24"/>
        <v>0.79809735856694664</v>
      </c>
      <c r="W259">
        <f t="shared" si="19"/>
        <v>52</v>
      </c>
      <c r="X259" s="195">
        <f t="shared" si="25"/>
        <v>0.20614483761009794</v>
      </c>
      <c r="Y259" s="195">
        <f t="shared" si="26"/>
        <v>1.1876321650216209E-2</v>
      </c>
      <c r="Z259" s="255" t="str">
        <f>IF(ISNUMBER(SEARCH("C",'WetLitterbags placem_collection'!W186)),"YES","NO")</f>
        <v>NO</v>
      </c>
      <c r="AA259" s="255" t="str">
        <f>IF(ISNUMBER(SEARCH("H", 'WetLitterbags placem_collection'!W186)),"YES","NO")</f>
        <v>NO</v>
      </c>
      <c r="AB259" s="255" t="str">
        <f>IF(ISNUMBER(SEARCH("R", 'WetLitterbags placem_collection'!W186)),"YES","NO")</f>
        <v>NO</v>
      </c>
      <c r="AC259" s="255" t="str">
        <f>IF(ISNUMBER(SEARCH("C", 'WetLitterbags placem_collection'!V186)),"YES","NO")</f>
        <v>NO</v>
      </c>
      <c r="AD259" s="255" t="str">
        <f>IF(ISNUMBER(SEARCH("H", 'WetLitterbags placem_collection'!V186)),"YES","NO")</f>
        <v>NO</v>
      </c>
      <c r="AE259" s="255" t="str">
        <f>IF(ISNUMBER(SEARCH("R", 'WetLitterbags placem_collection'!V186)),"YES","NO")</f>
        <v>YES</v>
      </c>
    </row>
    <row r="260" spans="2:31">
      <c r="B260" t="str">
        <f>'Final data_for_R_analysis_Wetse'!A186</f>
        <v>Wet</v>
      </c>
      <c r="C260" s="263">
        <f>'Final data_for_R_analysis_Wetse'!B186</f>
        <v>185</v>
      </c>
      <c r="D260" t="s">
        <v>3855</v>
      </c>
      <c r="E260" t="s">
        <v>22</v>
      </c>
      <c r="F260" s="386">
        <v>1</v>
      </c>
      <c r="G260" s="16">
        <f>'WetLitterbags placem_collection'!E187</f>
        <v>42763</v>
      </c>
      <c r="H260" t="str">
        <f>'Final data_for_R_analysis_Wetse'!J186</f>
        <v>G423</v>
      </c>
      <c r="I260" t="str">
        <f>'Final data_for_R_analysis_Wetse'!J406</f>
        <v>R51</v>
      </c>
      <c r="J260">
        <f>IFERROR(INDEX('Green_rooibos initial weight'!$C$5:$C$1749,MATCH(H260, 'Green_rooibos initial weight'!$A$5:$A$1749,0)),"")</f>
        <v>2.0649999999999999</v>
      </c>
      <c r="K260">
        <f>IFERROR(INDEX('Green_rooibos initial weight'!$C$5:$C$1749,MATCH(I260, 'Green_rooibos initial weight'!$A$5:$A$1749,0)),"")</f>
        <v>2.3149999999999999</v>
      </c>
      <c r="L260" s="195">
        <f t="shared" si="20"/>
        <v>1.8151999999999999</v>
      </c>
      <c r="M260" s="195">
        <f>AVERAGE(Ashed_controlls!$K$2:$K$11)</f>
        <v>5.5147656768714146</v>
      </c>
      <c r="N260" s="195">
        <f t="shared" si="18"/>
        <v>2.0651999999999999</v>
      </c>
      <c r="O260" s="16">
        <f>IF('WetLitterbags placem_collection'!G187="N.A","",'WetLitterbags placem_collection'!G187)</f>
        <v>42815</v>
      </c>
      <c r="P260" s="195">
        <f>IF(IFERROR(INDEX('Both teabags AfterWet'!$C$3:$C$841,MATCH(H260,'Both teabags AfterWet'!$A$3:$A$841,0)),"")="N.A","",(IFERROR(INDEX('Both teabags AfterWet'!$C$3:$C$841,MATCH(H260,'Both teabags AfterWet'!$A$3:$A$841,0)),"")))</f>
        <v>0.62319999999999998</v>
      </c>
      <c r="Q260" s="195">
        <f>IFERROR(INDEX('Both teabags AfterWet'!$C$3:$C$841,MATCH(I260,'Both teabags AfterWet'!$A$3:$A$841,0)),"")</f>
        <v>1.7762</v>
      </c>
      <c r="R260" s="195">
        <f t="shared" si="21"/>
        <v>0.47259999999999996</v>
      </c>
      <c r="S260" s="195">
        <f t="shared" si="21"/>
        <v>1.6255999999999999</v>
      </c>
      <c r="T260" s="195">
        <f t="shared" si="22"/>
        <v>0.73964301454385195</v>
      </c>
      <c r="U260" s="195">
        <f t="shared" si="23"/>
        <v>0.48489660810950869</v>
      </c>
      <c r="V260" s="195">
        <f t="shared" si="24"/>
        <v>0.78713926012008517</v>
      </c>
      <c r="W260">
        <f t="shared" si="19"/>
        <v>52</v>
      </c>
      <c r="X260" s="195">
        <f t="shared" si="25"/>
        <v>0.12156411574364379</v>
      </c>
      <c r="Y260" s="195">
        <f t="shared" si="26"/>
        <v>1.1115418518512669E-2</v>
      </c>
      <c r="Z260" s="255" t="str">
        <f>IF(ISNUMBER(SEARCH("C",'WetLitterbags placem_collection'!W187)),"YES","NO")</f>
        <v>YES</v>
      </c>
      <c r="AA260" s="255" t="str">
        <f>IF(ISNUMBER(SEARCH("H", 'WetLitterbags placem_collection'!W187)),"YES","NO")</f>
        <v>YES</v>
      </c>
      <c r="AB260" s="255" t="str">
        <f>IF(ISNUMBER(SEARCH("R", 'WetLitterbags placem_collection'!W187)),"YES","NO")</f>
        <v>NO</v>
      </c>
      <c r="AC260" s="255" t="str">
        <f>IF(ISNUMBER(SEARCH("C", 'WetLitterbags placem_collection'!V187)),"YES","NO")</f>
        <v>NO</v>
      </c>
      <c r="AD260" s="255" t="str">
        <f>IF(ISNUMBER(SEARCH("H", 'WetLitterbags placem_collection'!V187)),"YES","NO")</f>
        <v>NO</v>
      </c>
      <c r="AE260" s="255" t="str">
        <f>IF(ISNUMBER(SEARCH("R", 'WetLitterbags placem_collection'!V187)),"YES","NO")</f>
        <v>NO</v>
      </c>
    </row>
    <row r="261" spans="2:31">
      <c r="B261" t="str">
        <f>'Final data_for_R_analysis_Wetse'!A187</f>
        <v>Wet</v>
      </c>
      <c r="C261" s="263">
        <f>'Final data_for_R_analysis_Wetse'!B187</f>
        <v>186</v>
      </c>
      <c r="D261" t="s">
        <v>3855</v>
      </c>
      <c r="E261" t="s">
        <v>22</v>
      </c>
      <c r="F261" s="386">
        <v>2</v>
      </c>
      <c r="G261" s="16">
        <f>'WetLitterbags placem_collection'!E188</f>
        <v>42763</v>
      </c>
      <c r="H261" t="str">
        <f>'Final data_for_R_analysis_Wetse'!J187</f>
        <v>G544</v>
      </c>
      <c r="I261" t="str">
        <f>'Final data_for_R_analysis_Wetse'!J407</f>
        <v>R557</v>
      </c>
      <c r="J261">
        <f>IFERROR(INDEX('Green_rooibos initial weight'!$C$5:$C$1749,MATCH(H261, 'Green_rooibos initial weight'!$A$5:$A$1749,0)),"")</f>
        <v>2.0830000000000002</v>
      </c>
      <c r="K261">
        <f>IFERROR(INDEX('Green_rooibos initial weight'!$C$5:$C$1749,MATCH(I261, 'Green_rooibos initial weight'!$A$5:$A$1749,0)),"")</f>
        <v>2.2229999999999999</v>
      </c>
      <c r="L261" s="195">
        <f t="shared" si="20"/>
        <v>1.8332000000000002</v>
      </c>
      <c r="M261" s="195">
        <f>AVERAGE(Ashed_controlls!$K$2:$K$11)</f>
        <v>5.5147656768714146</v>
      </c>
      <c r="N261" s="195">
        <f t="shared" si="18"/>
        <v>1.9731999999999998</v>
      </c>
      <c r="O261" s="16">
        <f>IF('WetLitterbags placem_collection'!G188="N.A","",'WetLitterbags placem_collection'!G188)</f>
        <v>42815</v>
      </c>
      <c r="P261" s="195">
        <f>IF(IFERROR(INDEX('Both teabags AfterWet'!$C$3:$C$841,MATCH(H261,'Both teabags AfterWet'!$A$3:$A$841,0)),"")="N.A","",(IFERROR(INDEX('Both teabags AfterWet'!$C$3:$C$841,MATCH(H261,'Both teabags AfterWet'!$A$3:$A$841,0)),"")))</f>
        <v>0.69</v>
      </c>
      <c r="Q261" s="195">
        <f>IFERROR(INDEX('Both teabags AfterWet'!$C$3:$C$841,MATCH(I261,'Both teabags AfterWet'!$A$3:$A$841,0)),"")</f>
        <v>1.7509999999999999</v>
      </c>
      <c r="R261" s="195">
        <f t="shared" si="21"/>
        <v>0.53939999999999988</v>
      </c>
      <c r="S261" s="195">
        <f t="shared" si="21"/>
        <v>1.6003999999999998</v>
      </c>
      <c r="T261" s="195">
        <f t="shared" si="22"/>
        <v>0.70576041893955932</v>
      </c>
      <c r="U261" s="195">
        <f t="shared" si="23"/>
        <v>0.4626837900886423</v>
      </c>
      <c r="V261" s="195">
        <f t="shared" si="24"/>
        <v>0.81106831542671798</v>
      </c>
      <c r="W261">
        <f t="shared" si="19"/>
        <v>52</v>
      </c>
      <c r="X261" s="195">
        <f t="shared" si="25"/>
        <v>0.16180472810028579</v>
      </c>
      <c r="Y261" s="195">
        <f t="shared" si="26"/>
        <v>1.0092709413661128E-2</v>
      </c>
      <c r="Z261" s="255" t="str">
        <f>IF(ISNUMBER(SEARCH("C",'WetLitterbags placem_collection'!W188)),"YES","NO")</f>
        <v>NO</v>
      </c>
      <c r="AA261" s="255" t="str">
        <f>IF(ISNUMBER(SEARCH("H", 'WetLitterbags placem_collection'!W188)),"YES","NO")</f>
        <v>YES</v>
      </c>
      <c r="AB261" s="255" t="str">
        <f>IF(ISNUMBER(SEARCH("R", 'WetLitterbags placem_collection'!W188)),"YES","NO")</f>
        <v>NO</v>
      </c>
      <c r="AC261" s="255" t="str">
        <f>IF(ISNUMBER(SEARCH("C", 'WetLitterbags placem_collection'!V188)),"YES","NO")</f>
        <v>NO</v>
      </c>
      <c r="AD261" s="255" t="str">
        <f>IF(ISNUMBER(SEARCH("H", 'WetLitterbags placem_collection'!V188)),"YES","NO")</f>
        <v>NO</v>
      </c>
      <c r="AE261" s="255" t="str">
        <f>IF(ISNUMBER(SEARCH("R", 'WetLitterbags placem_collection'!V188)),"YES","NO")</f>
        <v>YES</v>
      </c>
    </row>
    <row r="262" spans="2:31">
      <c r="B262" t="str">
        <f>'Final data_for_R_analysis_Wetse'!A188</f>
        <v>Wet</v>
      </c>
      <c r="C262" s="263">
        <f>'Final data_for_R_analysis_Wetse'!B188</f>
        <v>187</v>
      </c>
      <c r="D262" t="s">
        <v>3855</v>
      </c>
      <c r="E262" t="s">
        <v>22</v>
      </c>
      <c r="F262" s="386">
        <v>3</v>
      </c>
      <c r="G262" s="16">
        <f>'WetLitterbags placem_collection'!E189</f>
        <v>42763</v>
      </c>
      <c r="H262" t="str">
        <f>'Final data_for_R_analysis_Wetse'!J188</f>
        <v>G620</v>
      </c>
      <c r="I262" t="str">
        <f>'Final data_for_R_analysis_Wetse'!J408</f>
        <v>R427</v>
      </c>
      <c r="J262">
        <f>IFERROR(INDEX('Green_rooibos initial weight'!$C$5:$C$1749,MATCH(H262, 'Green_rooibos initial weight'!$A$5:$A$1749,0)),"")</f>
        <v>2.0019999999999998</v>
      </c>
      <c r="K262">
        <f>IFERROR(INDEX('Green_rooibos initial weight'!$C$5:$C$1749,MATCH(I262, 'Green_rooibos initial weight'!$A$5:$A$1749,0)),"")</f>
        <v>2.1760000000000002</v>
      </c>
      <c r="L262" s="195">
        <f t="shared" si="20"/>
        <v>1.7521999999999998</v>
      </c>
      <c r="M262" s="195">
        <f>AVERAGE(Ashed_controlls!$K$2:$K$11)</f>
        <v>5.5147656768714146</v>
      </c>
      <c r="N262" s="195">
        <f t="shared" si="18"/>
        <v>1.9262000000000001</v>
      </c>
      <c r="O262" s="16">
        <f>IF('WetLitterbags placem_collection'!G189="N.A","",'WetLitterbags placem_collection'!G189)</f>
        <v>42815</v>
      </c>
      <c r="P262" s="195">
        <f>IF(IFERROR(INDEX('Both teabags AfterWet'!$C$3:$C$841,MATCH(H262,'Both teabags AfterWet'!$A$3:$A$841,0)),"")="N.A","",(IFERROR(INDEX('Both teabags AfterWet'!$C$3:$C$841,MATCH(H262,'Both teabags AfterWet'!$A$3:$A$841,0)),"")))</f>
        <v>0.59950000000000003</v>
      </c>
      <c r="Q262" s="195">
        <f>IFERROR(INDEX('Both teabags AfterWet'!$C$3:$C$841,MATCH(I262,'Both teabags AfterWet'!$A$3:$A$841,0)),"")</f>
        <v>1.6979</v>
      </c>
      <c r="R262" s="195">
        <f t="shared" si="21"/>
        <v>0.44890000000000002</v>
      </c>
      <c r="S262" s="195">
        <f t="shared" si="21"/>
        <v>1.5472999999999999</v>
      </c>
      <c r="T262" s="195">
        <f t="shared" si="22"/>
        <v>0.74380778449948637</v>
      </c>
      <c r="U262" s="195">
        <f t="shared" si="23"/>
        <v>0.48762695610892698</v>
      </c>
      <c r="V262" s="195">
        <f t="shared" si="24"/>
        <v>0.80329145467760343</v>
      </c>
      <c r="W262">
        <f t="shared" si="19"/>
        <v>52</v>
      </c>
      <c r="X262" s="195">
        <f t="shared" si="25"/>
        <v>0.11661783313600194</v>
      </c>
      <c r="Y262" s="195">
        <f t="shared" si="26"/>
        <v>9.9328428224297449E-3</v>
      </c>
      <c r="Z262" s="255" t="str">
        <f>IF(ISNUMBER(SEARCH("C",'WetLitterbags placem_collection'!W189)),"YES","NO")</f>
        <v>NO</v>
      </c>
      <c r="AA262" s="255" t="str">
        <f>IF(ISNUMBER(SEARCH("H", 'WetLitterbags placem_collection'!W189)),"YES","NO")</f>
        <v>NO</v>
      </c>
      <c r="AB262" s="255" t="str">
        <f>IF(ISNUMBER(SEARCH("R", 'WetLitterbags placem_collection'!W189)),"YES","NO")</f>
        <v>NO</v>
      </c>
      <c r="AC262" s="255" t="str">
        <f>IF(ISNUMBER(SEARCH("C", 'WetLitterbags placem_collection'!V189)),"YES","NO")</f>
        <v>NO</v>
      </c>
      <c r="AD262" s="255" t="str">
        <f>IF(ISNUMBER(SEARCH("H", 'WetLitterbags placem_collection'!V189)),"YES","NO")</f>
        <v>NO</v>
      </c>
      <c r="AE262" s="255" t="str">
        <f>IF(ISNUMBER(SEARCH("R", 'WetLitterbags placem_collection'!V189)),"YES","NO")</f>
        <v>NO</v>
      </c>
    </row>
    <row r="263" spans="2:31">
      <c r="B263" t="str">
        <f>'Final data_for_R_analysis_Wetse'!A189</f>
        <v>Wet</v>
      </c>
      <c r="C263" s="263">
        <f>'Final data_for_R_analysis_Wetse'!B189</f>
        <v>188</v>
      </c>
      <c r="D263" t="s">
        <v>3855</v>
      </c>
      <c r="E263" t="s">
        <v>22</v>
      </c>
      <c r="F263" s="387">
        <v>4</v>
      </c>
      <c r="G263" s="16">
        <f>'WetLitterbags placem_collection'!E190</f>
        <v>42763</v>
      </c>
      <c r="H263" t="str">
        <f>'Final data_for_R_analysis_Wetse'!J189</f>
        <v>G420</v>
      </c>
      <c r="I263" t="str">
        <f>'Final data_for_R_analysis_Wetse'!J409</f>
        <v>R523</v>
      </c>
      <c r="J263">
        <f>IFERROR(INDEX('Green_rooibos initial weight'!$C$5:$C$1749,MATCH(H263, 'Green_rooibos initial weight'!$A$5:$A$1749,0)),"")</f>
        <v>2.0390000000000001</v>
      </c>
      <c r="K263">
        <f>IFERROR(INDEX('Green_rooibos initial weight'!$C$5:$C$1749,MATCH(I263, 'Green_rooibos initial weight'!$A$5:$A$1749,0)),"")</f>
        <v>2.1179999999999999</v>
      </c>
      <c r="L263" s="195">
        <f t="shared" si="20"/>
        <v>1.7892000000000001</v>
      </c>
      <c r="M263" s="195">
        <f>AVERAGE(Ashed_controlls!$K$2:$K$11)</f>
        <v>5.5147656768714146</v>
      </c>
      <c r="N263" s="195">
        <f t="shared" si="18"/>
        <v>1.8681999999999999</v>
      </c>
      <c r="O263" s="16">
        <f>IF('WetLitterbags placem_collection'!G190="N.A","",'WetLitterbags placem_collection'!G190)</f>
        <v>42815</v>
      </c>
      <c r="P263" s="195">
        <f>IF(IFERROR(INDEX('Both teabags AfterWet'!$C$3:$C$841,MATCH(H263,'Both teabags AfterWet'!$A$3:$A$841,0)),"")="N.A","",(IFERROR(INDEX('Both teabags AfterWet'!$C$3:$C$841,MATCH(H263,'Both teabags AfterWet'!$A$3:$A$841,0)),"")))</f>
        <v>0.29980000000000001</v>
      </c>
      <c r="Q263" s="195">
        <f>IFERROR(INDEX('Both teabags AfterWet'!$C$3:$C$841,MATCH(I263,'Both teabags AfterWet'!$A$3:$A$841,0)),"")</f>
        <v>1.54</v>
      </c>
      <c r="R263" s="195">
        <f t="shared" si="21"/>
        <v>0.1492</v>
      </c>
      <c r="S263" s="195">
        <f t="shared" si="21"/>
        <v>1.3894</v>
      </c>
      <c r="T263" s="195">
        <f t="shared" si="22"/>
        <v>0.91661077576570538</v>
      </c>
      <c r="U263" s="195">
        <f t="shared" si="23"/>
        <v>0.60091347769913228</v>
      </c>
      <c r="V263" s="195">
        <f t="shared" si="24"/>
        <v>0.74371052349855482</v>
      </c>
      <c r="W263">
        <f t="shared" si="19"/>
        <v>52</v>
      </c>
      <c r="X263" s="195">
        <f t="shared" si="25"/>
        <v>-8.8611372643355502E-2</v>
      </c>
      <c r="Y263" s="195">
        <f t="shared" si="26"/>
        <v>1.0692249791656021E-2</v>
      </c>
      <c r="Z263" s="255" t="str">
        <f>IF(ISNUMBER(SEARCH("C",'WetLitterbags placem_collection'!W190)),"YES","NO")</f>
        <v>YES</v>
      </c>
      <c r="AA263" s="255" t="str">
        <f>IF(ISNUMBER(SEARCH("H", 'WetLitterbags placem_collection'!W190)),"YES","NO")</f>
        <v>YES</v>
      </c>
      <c r="AB263" s="255" t="str">
        <f>IF(ISNUMBER(SEARCH("R", 'WetLitterbags placem_collection'!W190)),"YES","NO")</f>
        <v>YES</v>
      </c>
      <c r="AC263" s="255" t="str">
        <f>IF(ISNUMBER(SEARCH("C", 'WetLitterbags placem_collection'!V190)),"YES","NO")</f>
        <v>NO</v>
      </c>
      <c r="AD263" s="255" t="str">
        <f>IF(ISNUMBER(SEARCH("H", 'WetLitterbags placem_collection'!V190)),"YES","NO")</f>
        <v>YES</v>
      </c>
      <c r="AE263" s="255" t="str">
        <f>IF(ISNUMBER(SEARCH("R", 'WetLitterbags placem_collection'!V190)),"YES","NO")</f>
        <v>NO</v>
      </c>
    </row>
    <row r="264" spans="2:31">
      <c r="B264" t="str">
        <f>'Final data_for_R_analysis_Wetse'!A190</f>
        <v>Wet</v>
      </c>
      <c r="C264" s="263">
        <f>'Final data_for_R_analysis_Wetse'!B190</f>
        <v>189</v>
      </c>
      <c r="D264" t="s">
        <v>3855</v>
      </c>
      <c r="E264" t="s">
        <v>22</v>
      </c>
      <c r="F264" s="387">
        <v>5</v>
      </c>
      <c r="G264" s="16">
        <f>'WetLitterbags placem_collection'!E191</f>
        <v>42763</v>
      </c>
      <c r="H264" t="str">
        <f>'Final data_for_R_analysis_Wetse'!J190</f>
        <v>G367</v>
      </c>
      <c r="I264" t="str">
        <f>'Final data_for_R_analysis_Wetse'!J410</f>
        <v>R354</v>
      </c>
      <c r="J264">
        <f>IFERROR(INDEX('Green_rooibos initial weight'!$C$5:$C$1749,MATCH(H264, 'Green_rooibos initial weight'!$A$5:$A$1749,0)),"")</f>
        <v>2.0990000000000002</v>
      </c>
      <c r="K264">
        <f>IFERROR(INDEX('Green_rooibos initial weight'!$C$5:$C$1749,MATCH(I264, 'Green_rooibos initial weight'!$A$5:$A$1749,0)),"")</f>
        <v>2.286</v>
      </c>
      <c r="L264" s="195">
        <f t="shared" si="20"/>
        <v>1.8492000000000002</v>
      </c>
      <c r="M264" s="195">
        <f>AVERAGE(Ashed_controlls!$K$2:$K$11)</f>
        <v>5.5147656768714146</v>
      </c>
      <c r="N264" s="195">
        <f t="shared" si="18"/>
        <v>2.0362</v>
      </c>
      <c r="O264" s="16">
        <f>IF('WetLitterbags placem_collection'!G191="N.A","",'WetLitterbags placem_collection'!G191)</f>
        <v>42815</v>
      </c>
      <c r="P264" s="195">
        <f>IF(IFERROR(INDEX('Both teabags AfterWet'!$C$3:$C$841,MATCH(H264,'Both teabags AfterWet'!$A$3:$A$841,0)),"")="N.A","",(IFERROR(INDEX('Both teabags AfterWet'!$C$3:$C$841,MATCH(H264,'Both teabags AfterWet'!$A$3:$A$841,0)),"")))</f>
        <v>0.80840000000000001</v>
      </c>
      <c r="Q264" s="195">
        <f>IFERROR(INDEX('Both teabags AfterWet'!$C$3:$C$841,MATCH(I264,'Both teabags AfterWet'!$A$3:$A$841,0)),"")</f>
        <v>1.7630999999999999</v>
      </c>
      <c r="R264" s="195">
        <f t="shared" si="21"/>
        <v>0.65779999999999994</v>
      </c>
      <c r="S264" s="195">
        <f t="shared" si="21"/>
        <v>1.6124999999999998</v>
      </c>
      <c r="T264" s="195">
        <f t="shared" si="22"/>
        <v>0.64427860696517425</v>
      </c>
      <c r="U264" s="195">
        <f t="shared" si="23"/>
        <v>0.42237742404367723</v>
      </c>
      <c r="V264" s="195">
        <f t="shared" si="24"/>
        <v>0.79191631470386004</v>
      </c>
      <c r="W264">
        <f t="shared" si="19"/>
        <v>52</v>
      </c>
      <c r="X264" s="195">
        <f t="shared" si="25"/>
        <v>0.23482350716725142</v>
      </c>
      <c r="Y264" s="195">
        <f t="shared" si="26"/>
        <v>1.3049069216828206E-2</v>
      </c>
      <c r="Z264" s="255" t="str">
        <f>IF(ISNUMBER(SEARCH("C",'WetLitterbags placem_collection'!W191)),"YES","NO")</f>
        <v>NO</v>
      </c>
      <c r="AA264" s="255" t="str">
        <f>IF(ISNUMBER(SEARCH("H", 'WetLitterbags placem_collection'!W191)),"YES","NO")</f>
        <v>NO</v>
      </c>
      <c r="AB264" s="255" t="str">
        <f>IF(ISNUMBER(SEARCH("R", 'WetLitterbags placem_collection'!W191)),"YES","NO")</f>
        <v>YES</v>
      </c>
      <c r="AC264" s="255" t="str">
        <f>IF(ISNUMBER(SEARCH("C", 'WetLitterbags placem_collection'!V191)),"YES","NO")</f>
        <v>YES</v>
      </c>
      <c r="AD264" s="255" t="str">
        <f>IF(ISNUMBER(SEARCH("H", 'WetLitterbags placem_collection'!V191)),"YES","NO")</f>
        <v>NO</v>
      </c>
      <c r="AE264" s="255" t="str">
        <f>IF(ISNUMBER(SEARCH("R", 'WetLitterbags placem_collection'!V191)),"YES","NO")</f>
        <v>YES</v>
      </c>
    </row>
    <row r="265" spans="2:31">
      <c r="B265" t="str">
        <f>'Final data_for_R_analysis_Wetse'!A191</f>
        <v>Wet</v>
      </c>
      <c r="C265" s="263">
        <f>'Final data_for_R_analysis_Wetse'!B191</f>
        <v>190</v>
      </c>
      <c r="D265" t="s">
        <v>3855</v>
      </c>
      <c r="E265" t="s">
        <v>22</v>
      </c>
      <c r="F265" s="387">
        <v>6</v>
      </c>
      <c r="G265" s="16">
        <f>'WetLitterbags placem_collection'!E192</f>
        <v>42763</v>
      </c>
      <c r="H265" t="str">
        <f>'Final data_for_R_analysis_Wetse'!J191</f>
        <v>G526</v>
      </c>
      <c r="I265" t="str">
        <f>'Final data_for_R_analysis_Wetse'!J411</f>
        <v>R164</v>
      </c>
      <c r="J265">
        <f>IFERROR(INDEX('Green_rooibos initial weight'!$C$5:$C$1749,MATCH(H265, 'Green_rooibos initial weight'!$A$5:$A$1749,0)),"")</f>
        <v>2.0760000000000001</v>
      </c>
      <c r="K265">
        <f>IFERROR(INDEX('Green_rooibos initial weight'!$C$5:$C$1749,MATCH(I265, 'Green_rooibos initial weight'!$A$5:$A$1749,0)),"")</f>
        <v>2.2040000000000002</v>
      </c>
      <c r="L265" s="195">
        <f t="shared" si="20"/>
        <v>1.8262</v>
      </c>
      <c r="M265" s="195">
        <f>AVERAGE(Ashed_controlls!$K$2:$K$11)</f>
        <v>5.5147656768714146</v>
      </c>
      <c r="N265" s="195">
        <f t="shared" si="18"/>
        <v>1.9542000000000002</v>
      </c>
      <c r="O265" s="16">
        <f>IF('WetLitterbags placem_collection'!G192="N.A","",'WetLitterbags placem_collection'!G192)</f>
        <v>42815</v>
      </c>
      <c r="P265" s="195">
        <f>IF(IFERROR(INDEX('Both teabags AfterWet'!$C$3:$C$841,MATCH(H265,'Both teabags AfterWet'!$A$3:$A$841,0)),"")="N.A","",(IFERROR(INDEX('Both teabags AfterWet'!$C$3:$C$841,MATCH(H265,'Both teabags AfterWet'!$A$3:$A$841,0)),"")))</f>
        <v>0.61960000000000004</v>
      </c>
      <c r="Q265" s="195">
        <f>IFERROR(INDEX('Both teabags AfterWet'!$C$3:$C$841,MATCH(I265,'Both teabags AfterWet'!$A$3:$A$841,0)),"")</f>
        <v>1.6649</v>
      </c>
      <c r="R265" s="195">
        <f t="shared" si="21"/>
        <v>0.46900000000000003</v>
      </c>
      <c r="S265" s="195">
        <f t="shared" si="21"/>
        <v>1.5143</v>
      </c>
      <c r="T265" s="195">
        <f t="shared" si="22"/>
        <v>0.74318256488884016</v>
      </c>
      <c r="U265" s="195">
        <f t="shared" si="23"/>
        <v>0.48721707341881215</v>
      </c>
      <c r="V265" s="195">
        <f t="shared" si="24"/>
        <v>0.77489509773820486</v>
      </c>
      <c r="W265">
        <f t="shared" si="19"/>
        <v>52</v>
      </c>
      <c r="X265" s="195">
        <f t="shared" si="25"/>
        <v>0.11736037424128243</v>
      </c>
      <c r="Y265" s="195">
        <f t="shared" si="26"/>
        <v>1.1921869488843211E-2</v>
      </c>
      <c r="Z265" s="255" t="str">
        <f>IF(ISNUMBER(SEARCH("C",'WetLitterbags placem_collection'!W192)),"YES","NO")</f>
        <v>YES</v>
      </c>
      <c r="AA265" s="255" t="str">
        <f>IF(ISNUMBER(SEARCH("H", 'WetLitterbags placem_collection'!W192)),"YES","NO")</f>
        <v>YES</v>
      </c>
      <c r="AB265" s="255" t="str">
        <f>IF(ISNUMBER(SEARCH("R", 'WetLitterbags placem_collection'!W192)),"YES","NO")</f>
        <v>NO</v>
      </c>
      <c r="AC265" s="255" t="str">
        <f>IF(ISNUMBER(SEARCH("C", 'WetLitterbags placem_collection'!V192)),"YES","NO")</f>
        <v>NO</v>
      </c>
      <c r="AD265" s="255" t="str">
        <f>IF(ISNUMBER(SEARCH("H", 'WetLitterbags placem_collection'!V192)),"YES","NO")</f>
        <v>NO</v>
      </c>
      <c r="AE265" s="255" t="str">
        <f>IF(ISNUMBER(SEARCH("R", 'WetLitterbags placem_collection'!V192)),"YES","NO")</f>
        <v>NO</v>
      </c>
    </row>
    <row r="266" spans="2:31">
      <c r="B266" t="str">
        <f>'Final data_for_R_analysis_Wetse'!A192</f>
        <v>Wet</v>
      </c>
      <c r="C266" s="263">
        <f>'Final data_for_R_analysis_Wetse'!B192</f>
        <v>191</v>
      </c>
      <c r="D266" t="s">
        <v>3855</v>
      </c>
      <c r="E266" t="s">
        <v>22</v>
      </c>
      <c r="F266" s="387">
        <v>7</v>
      </c>
      <c r="G266" s="16">
        <f>'WetLitterbags placem_collection'!E193</f>
        <v>42763</v>
      </c>
      <c r="H266" t="str">
        <f>'Final data_for_R_analysis_Wetse'!J192</f>
        <v>G522</v>
      </c>
      <c r="I266" t="str">
        <f>'Final data_for_R_analysis_Wetse'!J412</f>
        <v>R336</v>
      </c>
      <c r="J266">
        <f>IFERROR(INDEX('Green_rooibos initial weight'!$C$5:$C$1749,MATCH(H266, 'Green_rooibos initial weight'!$A$5:$A$1749,0)),"")</f>
        <v>1.821</v>
      </c>
      <c r="K266">
        <f>IFERROR(INDEX('Green_rooibos initial weight'!$C$5:$C$1749,MATCH(I266, 'Green_rooibos initial weight'!$A$5:$A$1749,0)),"")</f>
        <v>2.11</v>
      </c>
      <c r="L266" s="195">
        <f t="shared" si="20"/>
        <v>1.5711999999999999</v>
      </c>
      <c r="M266" s="195">
        <f>AVERAGE(Ashed_controlls!$K$2:$K$11)</f>
        <v>5.5147656768714146</v>
      </c>
      <c r="N266" s="195">
        <f t="shared" si="18"/>
        <v>1.8601999999999999</v>
      </c>
      <c r="O266" s="16">
        <f>IF('WetLitterbags placem_collection'!G193="N.A","",'WetLitterbags placem_collection'!G193)</f>
        <v>42815</v>
      </c>
      <c r="P266" s="195">
        <f>IF(IFERROR(INDEX('Both teabags AfterWet'!$C$3:$C$841,MATCH(H266,'Both teabags AfterWet'!$A$3:$A$841,0)),"")="N.A","",(IFERROR(INDEX('Both teabags AfterWet'!$C$3:$C$841,MATCH(H266,'Both teabags AfterWet'!$A$3:$A$841,0)),"")))</f>
        <v>0.628</v>
      </c>
      <c r="Q266" s="195">
        <f>IFERROR(INDEX('Both teabags AfterWet'!$C$3:$C$841,MATCH(I266,'Both teabags AfterWet'!$A$3:$A$841,0)),"")</f>
        <v>1.671</v>
      </c>
      <c r="R266" s="195">
        <f t="shared" si="21"/>
        <v>0.47739999999999999</v>
      </c>
      <c r="S266" s="195">
        <f t="shared" si="21"/>
        <v>1.5204</v>
      </c>
      <c r="T266" s="195">
        <f t="shared" si="22"/>
        <v>0.69615580448065173</v>
      </c>
      <c r="U266" s="195">
        <f t="shared" si="23"/>
        <v>0.4563871782343466</v>
      </c>
      <c r="V266" s="195">
        <f t="shared" si="24"/>
        <v>0.81733146973443715</v>
      </c>
      <c r="W266">
        <f t="shared" si="19"/>
        <v>52</v>
      </c>
      <c r="X266" s="195">
        <f t="shared" si="25"/>
        <v>0.17321163363343017</v>
      </c>
      <c r="Y266" s="195">
        <f t="shared" si="26"/>
        <v>9.8315534177963061E-3</v>
      </c>
      <c r="Z266" s="255" t="str">
        <f>IF(ISNUMBER(SEARCH("C",'WetLitterbags placem_collection'!W193)),"YES","NO")</f>
        <v>YES</v>
      </c>
      <c r="AA266" s="255" t="str">
        <f>IF(ISNUMBER(SEARCH("H", 'WetLitterbags placem_collection'!W193)),"YES","NO")</f>
        <v>YES</v>
      </c>
      <c r="AB266" s="255" t="str">
        <f>IF(ISNUMBER(SEARCH("R", 'WetLitterbags placem_collection'!W193)),"YES","NO")</f>
        <v>NO</v>
      </c>
      <c r="AC266" s="255" t="str">
        <f>IF(ISNUMBER(SEARCH("C", 'WetLitterbags placem_collection'!V193)),"YES","NO")</f>
        <v>NO</v>
      </c>
      <c r="AD266" s="255" t="str">
        <f>IF(ISNUMBER(SEARCH("H", 'WetLitterbags placem_collection'!V193)),"YES","NO")</f>
        <v>NO</v>
      </c>
      <c r="AE266" s="255" t="str">
        <f>IF(ISNUMBER(SEARCH("R", 'WetLitterbags placem_collection'!V193)),"YES","NO")</f>
        <v>NO</v>
      </c>
    </row>
    <row r="267" spans="2:31">
      <c r="B267" t="str">
        <f>'Final data_for_R_analysis_Wetse'!A193</f>
        <v>Wet</v>
      </c>
      <c r="C267" s="263">
        <f>'Final data_for_R_analysis_Wetse'!B193</f>
        <v>192</v>
      </c>
      <c r="D267" t="s">
        <v>3855</v>
      </c>
      <c r="E267" t="s">
        <v>22</v>
      </c>
      <c r="F267" s="387">
        <v>8</v>
      </c>
      <c r="G267" s="16">
        <f>'WetLitterbags placem_collection'!E194</f>
        <v>42763</v>
      </c>
      <c r="H267" t="str">
        <f>'Final data_for_R_analysis_Wetse'!J193</f>
        <v>G591</v>
      </c>
      <c r="I267" t="str">
        <f>'Final data_for_R_analysis_Wetse'!J413</f>
        <v>R263</v>
      </c>
      <c r="J267">
        <f>IFERROR(INDEX('Green_rooibos initial weight'!$C$5:$C$1749,MATCH(H267, 'Green_rooibos initial weight'!$A$5:$A$1749,0)),"")</f>
        <v>2.0920000000000001</v>
      </c>
      <c r="K267">
        <f>IFERROR(INDEX('Green_rooibos initial weight'!$C$5:$C$1749,MATCH(I267, 'Green_rooibos initial weight'!$A$5:$A$1749,0)),"")</f>
        <v>2.1850000000000001</v>
      </c>
      <c r="L267" s="195">
        <f t="shared" si="20"/>
        <v>1.8422000000000001</v>
      </c>
      <c r="M267" s="195">
        <f>AVERAGE(Ashed_controlls!$K$2:$K$11)</f>
        <v>5.5147656768714146</v>
      </c>
      <c r="N267" s="195">
        <f t="shared" si="18"/>
        <v>1.9352</v>
      </c>
      <c r="O267" s="16">
        <f>IF('WetLitterbags placem_collection'!G194="N.A","",'WetLitterbags placem_collection'!G194)</f>
        <v>42815</v>
      </c>
      <c r="P267" s="195">
        <f>IF(IFERROR(INDEX('Both teabags AfterWet'!$C$3:$C$841,MATCH(H267,'Both teabags AfterWet'!$A$3:$A$841,0)),"")="N.A","",(IFERROR(INDEX('Both teabags AfterWet'!$C$3:$C$841,MATCH(H267,'Both teabags AfterWet'!$A$3:$A$841,0)),"")))</f>
        <v>0.66100000000000003</v>
      </c>
      <c r="Q267" s="195">
        <f>IFERROR(INDEX('Both teabags AfterWet'!$C$3:$C$841,MATCH(I267,'Both teabags AfterWet'!$A$3:$A$841,0)),"")</f>
        <v>1.0369999999999999</v>
      </c>
      <c r="R267" s="195">
        <f t="shared" si="21"/>
        <v>0.51039999999999996</v>
      </c>
      <c r="S267" s="195">
        <f t="shared" si="21"/>
        <v>0.88639999999999985</v>
      </c>
      <c r="T267" s="195">
        <f t="shared" si="22"/>
        <v>0.72293996308761266</v>
      </c>
      <c r="U267" s="195">
        <f t="shared" si="23"/>
        <v>0.47394638910256798</v>
      </c>
      <c r="V267" s="195">
        <f t="shared" si="24"/>
        <v>0.45804051260851586</v>
      </c>
      <c r="W267">
        <f t="shared" si="19"/>
        <v>52</v>
      </c>
      <c r="X267" s="195">
        <f t="shared" si="25"/>
        <v>0.14140146901708706</v>
      </c>
      <c r="Y267" s="195" t="str">
        <f t="shared" si="26"/>
        <v/>
      </c>
      <c r="Z267" s="255" t="str">
        <f>IF(ISNUMBER(SEARCH("C",'WetLitterbags placem_collection'!W194)),"YES","NO")</f>
        <v>YES</v>
      </c>
      <c r="AA267" s="255" t="str">
        <f>IF(ISNUMBER(SEARCH("H", 'WetLitterbags placem_collection'!W194)),"YES","NO")</f>
        <v>YES</v>
      </c>
      <c r="AB267" s="255" t="str">
        <f>IF(ISNUMBER(SEARCH("R", 'WetLitterbags placem_collection'!W194)),"YES","NO")</f>
        <v>NO</v>
      </c>
      <c r="AC267" s="255" t="str">
        <f>IF(ISNUMBER(SEARCH("C", 'WetLitterbags placem_collection'!V194)),"YES","NO")</f>
        <v>NO</v>
      </c>
      <c r="AD267" s="255" t="str">
        <f>IF(ISNUMBER(SEARCH("H", 'WetLitterbags placem_collection'!V194)),"YES","NO")</f>
        <v>NO</v>
      </c>
      <c r="AE267" s="255" t="str">
        <f>IF(ISNUMBER(SEARCH("R", 'WetLitterbags placem_collection'!V194)),"YES","NO")</f>
        <v>NO</v>
      </c>
    </row>
    <row r="268" spans="2:31">
      <c r="B268" t="str">
        <f>'Final data_for_R_analysis_Wetse'!A194</f>
        <v>Wet</v>
      </c>
      <c r="C268" s="263">
        <f>'Final data_for_R_analysis_Wetse'!B194</f>
        <v>193</v>
      </c>
      <c r="D268" t="s">
        <v>2445</v>
      </c>
      <c r="E268" t="s">
        <v>22</v>
      </c>
      <c r="F268" s="387">
        <v>1</v>
      </c>
      <c r="G268" s="16">
        <f>'WetLitterbags placem_collection'!E195</f>
        <v>42769</v>
      </c>
      <c r="H268" t="str">
        <f>'Final data_for_R_analysis_Wetse'!J194</f>
        <v>G863</v>
      </c>
      <c r="I268" t="str">
        <f>'Final data_for_R_analysis_Wetse'!J414</f>
        <v>R125</v>
      </c>
      <c r="J268">
        <f>IFERROR(INDEX('Green_rooibos initial weight'!$C$5:$C$1749,MATCH(H268, 'Green_rooibos initial weight'!$A$5:$A$1749,0)),"")</f>
        <v>2.0230000000000001</v>
      </c>
      <c r="K268">
        <f>IFERROR(INDEX('Green_rooibos initial weight'!$C$5:$C$1749,MATCH(I268, 'Green_rooibos initial weight'!$A$5:$A$1749,0)),"")</f>
        <v>2.2040000000000002</v>
      </c>
      <c r="L268" s="195">
        <f t="shared" si="20"/>
        <v>1.7732000000000001</v>
      </c>
      <c r="M268" s="195">
        <f>AVERAGE(Ashed_controlls!$K$2:$K$11)</f>
        <v>5.5147656768714146</v>
      </c>
      <c r="N268" s="195">
        <f t="shared" ref="N268:N331" si="27">IF(K268&gt;0,(K268*$F$32-($F$29+$F$30)),"")</f>
        <v>1.9542000000000002</v>
      </c>
      <c r="O268" s="16">
        <f>IF('WetLitterbags placem_collection'!G195="N.A","",'WetLitterbags placem_collection'!G195)</f>
        <v>42813</v>
      </c>
      <c r="P268" s="195">
        <f>IF(IFERROR(INDEX('Both teabags AfterWet'!$C$3:$C$841,MATCH(H268,'Both teabags AfterWet'!$A$3:$A$841,0)),"")="N.A","",(IFERROR(INDEX('Both teabags AfterWet'!$C$3:$C$841,MATCH(H268,'Both teabags AfterWet'!$A$3:$A$841,0)),"")))</f>
        <v>0.64890000000000003</v>
      </c>
      <c r="Q268" s="195">
        <f>IFERROR(INDEX('Both teabags AfterWet'!$C$3:$C$841,MATCH(I268,'Both teabags AfterWet'!$A$3:$A$841,0)),"")</f>
        <v>1.2266999999999999</v>
      </c>
      <c r="R268" s="195">
        <f t="shared" si="21"/>
        <v>0.49830000000000002</v>
      </c>
      <c r="S268" s="195">
        <f t="shared" si="21"/>
        <v>1.0760999999999998</v>
      </c>
      <c r="T268" s="195">
        <f t="shared" si="22"/>
        <v>0.71898263027295284</v>
      </c>
      <c r="U268" s="195">
        <f t="shared" si="23"/>
        <v>0.47135203314806418</v>
      </c>
      <c r="V268" s="195">
        <f t="shared" si="24"/>
        <v>0.55066011667178372</v>
      </c>
      <c r="W268">
        <f t="shared" ref="W268:W331" si="28">IF((O268-G268)&gt;0,(IFERROR(O268-G268,"")),"")</f>
        <v>44</v>
      </c>
      <c r="X268" s="195">
        <f t="shared" si="25"/>
        <v>0.14610138922452154</v>
      </c>
      <c r="Y268" s="195">
        <f t="shared" si="26"/>
        <v>6.9636606041708293E-2</v>
      </c>
      <c r="Z268" s="255" t="str">
        <f>IF(ISNUMBER(SEARCH("C",'WetLitterbags placem_collection'!W195)),"YES","NO")</f>
        <v>NO</v>
      </c>
      <c r="AA268" s="255" t="str">
        <f>IF(ISNUMBER(SEARCH("H", 'WetLitterbags placem_collection'!W195)),"YES","NO")</f>
        <v>NO</v>
      </c>
      <c r="AB268" s="255" t="str">
        <f>IF(ISNUMBER(SEARCH("R", 'WetLitterbags placem_collection'!W195)),"YES","NO")</f>
        <v>NO</v>
      </c>
      <c r="AC268" s="255" t="str">
        <f>IF(ISNUMBER(SEARCH("C", 'WetLitterbags placem_collection'!V195)),"YES","NO")</f>
        <v>NO</v>
      </c>
      <c r="AD268" s="255" t="str">
        <f>IF(ISNUMBER(SEARCH("H", 'WetLitterbags placem_collection'!V195)),"YES","NO")</f>
        <v>NO</v>
      </c>
      <c r="AE268" s="255" t="str">
        <f>IF(ISNUMBER(SEARCH("R", 'WetLitterbags placem_collection'!V195)),"YES","NO")</f>
        <v>YES</v>
      </c>
    </row>
    <row r="269" spans="2:31">
      <c r="B269" t="str">
        <f>'Final data_for_R_analysis_Wetse'!A195</f>
        <v>Wet</v>
      </c>
      <c r="C269" s="263">
        <f>'Final data_for_R_analysis_Wetse'!B195</f>
        <v>194</v>
      </c>
      <c r="D269" t="s">
        <v>2438</v>
      </c>
      <c r="E269" t="s">
        <v>22</v>
      </c>
      <c r="F269" s="387">
        <v>2</v>
      </c>
      <c r="G269" s="16">
        <f>'WetLitterbags placem_collection'!E196</f>
        <v>42769</v>
      </c>
      <c r="H269" t="str">
        <f>'Final data_for_R_analysis_Wetse'!J195</f>
        <v>G615</v>
      </c>
      <c r="I269" t="str">
        <f>'Final data_for_R_analysis_Wetse'!J415</f>
        <v>R289</v>
      </c>
      <c r="J269">
        <f>IFERROR(INDEX('Green_rooibos initial weight'!$C$5:$C$1749,MATCH(H269, 'Green_rooibos initial weight'!$A$5:$A$1749,0)),"")</f>
        <v>1.9630000000000001</v>
      </c>
      <c r="K269">
        <f>IFERROR(INDEX('Green_rooibos initial weight'!$C$5:$C$1749,MATCH(I269, 'Green_rooibos initial weight'!$A$5:$A$1749,0)),"")</f>
        <v>2.2160000000000002</v>
      </c>
      <c r="L269" s="195">
        <f t="shared" ref="L269:L332" si="29">IF(J269&gt;0,(J269*$F$31-($F$29+$F$30)),"")</f>
        <v>1.7132000000000001</v>
      </c>
      <c r="M269" s="195">
        <f>AVERAGE(Ashed_controlls!$K$2:$K$11)</f>
        <v>5.5147656768714146</v>
      </c>
      <c r="N269" s="195">
        <f t="shared" si="27"/>
        <v>1.9662000000000002</v>
      </c>
      <c r="O269" s="16">
        <f>IF('WetLitterbags placem_collection'!G196="N.A","",'WetLitterbags placem_collection'!G196)</f>
        <v>42813</v>
      </c>
      <c r="P269" s="195" t="str">
        <f>IF(IFERROR(INDEX('Both teabags AfterWet'!$C$3:$C$841,MATCH(H269,'Both teabags AfterWet'!$A$3:$A$841,0)),"")="N.A","",(IFERROR(INDEX('Both teabags AfterWet'!$C$3:$C$841,MATCH(H269,'Both teabags AfterWet'!$A$3:$A$841,0)),"")))</f>
        <v/>
      </c>
      <c r="Q269" s="195">
        <f>IFERROR(INDEX('Both teabags AfterWet'!$C$3:$C$841,MATCH(I269,'Both teabags AfterWet'!$A$3:$A$841,0)),"")</f>
        <v>1.512</v>
      </c>
      <c r="R269" s="195" t="str">
        <f t="shared" ref="R269:S332" si="30">IFERROR(IF(P269&gt;0,P269-($F$29),""),"")</f>
        <v/>
      </c>
      <c r="S269" s="195">
        <f t="shared" si="30"/>
        <v>1.3613999999999999</v>
      </c>
      <c r="T269" s="195" t="str">
        <f t="shared" ref="T269:T332" si="31">IFERROR(1-R269/L269,"")</f>
        <v/>
      </c>
      <c r="U269" s="195" t="str">
        <f t="shared" ref="U269:U332" si="32">IFERROR($F$26*(1-X269),"")</f>
        <v/>
      </c>
      <c r="V269" s="195">
        <f t="shared" ref="V269:V332" si="33">IFERROR(S269/N269,"")</f>
        <v>0.69240158681721076</v>
      </c>
      <c r="W269">
        <f t="shared" si="28"/>
        <v>44</v>
      </c>
      <c r="X269" s="195" t="str">
        <f t="shared" ref="X269:X332" si="34">IFERROR(1-(T269/$F$25),"")</f>
        <v/>
      </c>
      <c r="Y269" s="195" t="str">
        <f t="shared" ref="Y269:Y332" si="35">IFERROR(LN(U269/(V269-(1-U269)))/W269,"")</f>
        <v/>
      </c>
      <c r="Z269" s="255" t="str">
        <f>IF(ISNUMBER(SEARCH("C",'WetLitterbags placem_collection'!W196)),"YES","NO")</f>
        <v>NO</v>
      </c>
      <c r="AA269" s="255" t="str">
        <f>IF(ISNUMBER(SEARCH("H", 'WetLitterbags placem_collection'!W196)),"YES","NO")</f>
        <v>NO</v>
      </c>
      <c r="AB269" s="255" t="str">
        <f>IF(ISNUMBER(SEARCH("R", 'WetLitterbags placem_collection'!W196)),"YES","NO")</f>
        <v>YES</v>
      </c>
      <c r="AC269" s="255" t="str">
        <f>IF(ISNUMBER(SEARCH("C", 'WetLitterbags placem_collection'!V196)),"YES","NO")</f>
        <v>NO</v>
      </c>
      <c r="AD269" s="255" t="str">
        <f>IF(ISNUMBER(SEARCH("H", 'WetLitterbags placem_collection'!V196)),"YES","NO")</f>
        <v>NO</v>
      </c>
      <c r="AE269" s="255" t="str">
        <f>IF(ISNUMBER(SEARCH("R", 'WetLitterbags placem_collection'!V196)),"YES","NO")</f>
        <v>YES</v>
      </c>
    </row>
    <row r="270" spans="2:31">
      <c r="B270" t="str">
        <f>'Final data_for_R_analysis_Wetse'!A196</f>
        <v>Wet</v>
      </c>
      <c r="C270" s="263">
        <f>'Final data_for_R_analysis_Wetse'!B196</f>
        <v>195</v>
      </c>
      <c r="D270" t="s">
        <v>2430</v>
      </c>
      <c r="E270" t="s">
        <v>22</v>
      </c>
      <c r="F270" s="387">
        <v>3</v>
      </c>
      <c r="G270" s="16">
        <f>'WetLitterbags placem_collection'!E197</f>
        <v>42769</v>
      </c>
      <c r="H270" t="str">
        <f>'Final data_for_R_analysis_Wetse'!J196</f>
        <v>G821</v>
      </c>
      <c r="I270" t="str">
        <f>'Final data_for_R_analysis_Wetse'!J416</f>
        <v>R378</v>
      </c>
      <c r="J270">
        <f>IFERROR(INDEX('Green_rooibos initial weight'!$C$5:$C$1749,MATCH(H270, 'Green_rooibos initial weight'!$A$5:$A$1749,0)),"")</f>
        <v>1.9990000000000001</v>
      </c>
      <c r="K270">
        <f>IFERROR(INDEX('Green_rooibos initial weight'!$C$5:$C$1749,MATCH(I270, 'Green_rooibos initial weight'!$A$5:$A$1749,0)),"")</f>
        <v>2.2320000000000002</v>
      </c>
      <c r="L270" s="195">
        <f t="shared" si="29"/>
        <v>1.7492000000000001</v>
      </c>
      <c r="M270" s="195">
        <f>AVERAGE(Ashed_controlls!$K$2:$K$11)</f>
        <v>5.5147656768714146</v>
      </c>
      <c r="N270" s="195">
        <f t="shared" si="27"/>
        <v>1.9822000000000002</v>
      </c>
      <c r="O270" s="16">
        <f>IF('WetLitterbags placem_collection'!G197="N.A","",'WetLitterbags placem_collection'!G197)</f>
        <v>42814</v>
      </c>
      <c r="P270" s="195">
        <f>IF(IFERROR(INDEX('Both teabags AfterWet'!$C$3:$C$841,MATCH(H270,'Both teabags AfterWet'!$A$3:$A$841,0)),"")="N.A","",(IFERROR(INDEX('Both teabags AfterWet'!$C$3:$C$841,MATCH(H270,'Both teabags AfterWet'!$A$3:$A$841,0)),"")))</f>
        <v>0.7641</v>
      </c>
      <c r="Q270" s="195">
        <f>IFERROR(INDEX('Both teabags AfterWet'!$C$3:$C$841,MATCH(I270,'Both teabags AfterWet'!$A$3:$A$841,0)),"")</f>
        <v>1.5296000000000001</v>
      </c>
      <c r="R270" s="195">
        <f t="shared" si="30"/>
        <v>0.61349999999999993</v>
      </c>
      <c r="S270" s="195">
        <f t="shared" si="30"/>
        <v>1.379</v>
      </c>
      <c r="T270" s="195">
        <f t="shared" si="31"/>
        <v>0.64926823690830093</v>
      </c>
      <c r="U270" s="195">
        <f t="shared" si="32"/>
        <v>0.42564853536031133</v>
      </c>
      <c r="V270" s="195">
        <f t="shared" si="33"/>
        <v>0.69569165573605074</v>
      </c>
      <c r="W270">
        <f t="shared" si="28"/>
        <v>45</v>
      </c>
      <c r="X270" s="195">
        <f t="shared" si="34"/>
        <v>0.22889758086900125</v>
      </c>
      <c r="Y270" s="195">
        <f t="shared" si="35"/>
        <v>2.7889241643985423E-2</v>
      </c>
      <c r="Z270" s="255" t="str">
        <f>IF(ISNUMBER(SEARCH("C",'WetLitterbags placem_collection'!W197)),"YES","NO")</f>
        <v>YES</v>
      </c>
      <c r="AA270" s="255" t="str">
        <f>IF(ISNUMBER(SEARCH("H", 'WetLitterbags placem_collection'!W197)),"YES","NO")</f>
        <v>NO</v>
      </c>
      <c r="AB270" s="255" t="str">
        <f>IF(ISNUMBER(SEARCH("R", 'WetLitterbags placem_collection'!W197)),"YES","NO")</f>
        <v>YES</v>
      </c>
      <c r="AC270" s="255" t="str">
        <f>IF(ISNUMBER(SEARCH("C", 'WetLitterbags placem_collection'!V197)),"YES","NO")</f>
        <v>NO</v>
      </c>
      <c r="AD270" s="255" t="str">
        <f>IF(ISNUMBER(SEARCH("H", 'WetLitterbags placem_collection'!V197)),"YES","NO")</f>
        <v>NO</v>
      </c>
      <c r="AE270" s="255" t="str">
        <f>IF(ISNUMBER(SEARCH("R", 'WetLitterbags placem_collection'!V197)),"YES","NO")</f>
        <v>YES</v>
      </c>
    </row>
    <row r="271" spans="2:31">
      <c r="B271" t="str">
        <f>'Final data_for_R_analysis_Wetse'!A197</f>
        <v>Wet</v>
      </c>
      <c r="C271" s="263">
        <f>'Final data_for_R_analysis_Wetse'!B197</f>
        <v>196</v>
      </c>
      <c r="D271" t="s">
        <v>2421</v>
      </c>
      <c r="E271" t="s">
        <v>22</v>
      </c>
      <c r="F271" s="387">
        <v>4</v>
      </c>
      <c r="G271" s="16">
        <f>'WetLitterbags placem_collection'!E198</f>
        <v>42769</v>
      </c>
      <c r="H271" t="str">
        <f>'Final data_for_R_analysis_Wetse'!J197</f>
        <v>G754</v>
      </c>
      <c r="I271" t="str">
        <f>'Final data_for_R_analysis_Wetse'!J417</f>
        <v>R375</v>
      </c>
      <c r="J271">
        <f>IFERROR(INDEX('Green_rooibos initial weight'!$C$5:$C$1749,MATCH(H271, 'Green_rooibos initial weight'!$A$5:$A$1749,0)),"")</f>
        <v>2.0609999999999999</v>
      </c>
      <c r="K271">
        <f>IFERROR(INDEX('Green_rooibos initial weight'!$C$5:$C$1749,MATCH(I271, 'Green_rooibos initial weight'!$A$5:$A$1749,0)),"")</f>
        <v>2.23</v>
      </c>
      <c r="L271" s="195">
        <f t="shared" si="29"/>
        <v>1.8111999999999999</v>
      </c>
      <c r="M271" s="195">
        <f>AVERAGE(Ashed_controlls!$K$2:$K$11)</f>
        <v>5.5147656768714146</v>
      </c>
      <c r="N271" s="195">
        <f t="shared" si="27"/>
        <v>1.9802</v>
      </c>
      <c r="O271" s="16">
        <f>IF('WetLitterbags placem_collection'!G198="N.A","",'WetLitterbags placem_collection'!G198)</f>
        <v>42814</v>
      </c>
      <c r="P271" s="195">
        <f>IF(IFERROR(INDEX('Both teabags AfterWet'!$C$3:$C$841,MATCH(H271,'Both teabags AfterWet'!$A$3:$A$841,0)),"")="N.A","",(IFERROR(INDEX('Both teabags AfterWet'!$C$3:$C$841,MATCH(H271,'Both teabags AfterWet'!$A$3:$A$841,0)),"")))</f>
        <v>0.6452</v>
      </c>
      <c r="Q271" s="195">
        <f>IFERROR(INDEX('Both teabags AfterWet'!$C$3:$C$841,MATCH(I271,'Both teabags AfterWet'!$A$3:$A$841,0)),"")</f>
        <v>1.3742000000000001</v>
      </c>
      <c r="R271" s="195">
        <f t="shared" si="30"/>
        <v>0.49459999999999998</v>
      </c>
      <c r="S271" s="195">
        <f t="shared" si="30"/>
        <v>1.2236</v>
      </c>
      <c r="T271" s="195">
        <f t="shared" si="31"/>
        <v>0.72692137809187285</v>
      </c>
      <c r="U271" s="195">
        <f t="shared" si="32"/>
        <v>0.47655653290583594</v>
      </c>
      <c r="V271" s="195">
        <f t="shared" si="33"/>
        <v>0.61791738208261793</v>
      </c>
      <c r="W271">
        <f t="shared" si="28"/>
        <v>45</v>
      </c>
      <c r="X271" s="195">
        <f t="shared" si="34"/>
        <v>0.13667294763435522</v>
      </c>
      <c r="Y271" s="195">
        <f t="shared" si="35"/>
        <v>3.5961390966980963E-2</v>
      </c>
      <c r="Z271" s="255" t="str">
        <f>IF(ISNUMBER(SEARCH("C",'WetLitterbags placem_collection'!W198)),"YES","NO")</f>
        <v>NO</v>
      </c>
      <c r="AA271" s="255" t="str">
        <f>IF(ISNUMBER(SEARCH("H", 'WetLitterbags placem_collection'!W198)),"YES","NO")</f>
        <v>NO</v>
      </c>
      <c r="AB271" s="255" t="str">
        <f>IF(ISNUMBER(SEARCH("R", 'WetLitterbags placem_collection'!W198)),"YES","NO")</f>
        <v>NO</v>
      </c>
      <c r="AC271" s="255" t="str">
        <f>IF(ISNUMBER(SEARCH("C", 'WetLitterbags placem_collection'!V198)),"YES","NO")</f>
        <v>NO</v>
      </c>
      <c r="AD271" s="255" t="str">
        <f>IF(ISNUMBER(SEARCH("H", 'WetLitterbags placem_collection'!V198)),"YES","NO")</f>
        <v>NO</v>
      </c>
      <c r="AE271" s="255" t="str">
        <f>IF(ISNUMBER(SEARCH("R", 'WetLitterbags placem_collection'!V198)),"YES","NO")</f>
        <v>YES</v>
      </c>
    </row>
    <row r="272" spans="2:31">
      <c r="B272" t="str">
        <f>'Final data_for_R_analysis_Wetse'!A198</f>
        <v>Wet</v>
      </c>
      <c r="C272" s="263">
        <f>'Final data_for_R_analysis_Wetse'!B198</f>
        <v>197</v>
      </c>
      <c r="D272" t="s">
        <v>2431</v>
      </c>
      <c r="E272" t="s">
        <v>22</v>
      </c>
      <c r="F272" s="387">
        <v>1</v>
      </c>
      <c r="G272" s="16">
        <f>'WetLitterbags placem_collection'!E199</f>
        <v>42769</v>
      </c>
      <c r="H272" t="str">
        <f>'Final data_for_R_analysis_Wetse'!J198</f>
        <v>G715</v>
      </c>
      <c r="I272" t="str">
        <f>'Final data_for_R_analysis_Wetse'!J418</f>
        <v>R219</v>
      </c>
      <c r="J272">
        <f>IFERROR(INDEX('Green_rooibos initial weight'!$C$5:$C$1749,MATCH(H272, 'Green_rooibos initial weight'!$A$5:$A$1749,0)),"")</f>
        <v>2.0179999999999998</v>
      </c>
      <c r="K272">
        <f>IFERROR(INDEX('Green_rooibos initial weight'!$C$5:$C$1749,MATCH(I272, 'Green_rooibos initial weight'!$A$5:$A$1749,0)),"")</f>
        <v>2.2160000000000002</v>
      </c>
      <c r="L272" s="195">
        <f t="shared" si="29"/>
        <v>1.7681999999999998</v>
      </c>
      <c r="M272" s="195">
        <f>AVERAGE(Ashed_controlls!$K$2:$K$11)</f>
        <v>5.5147656768714146</v>
      </c>
      <c r="N272" s="195">
        <f t="shared" si="27"/>
        <v>1.9662000000000002</v>
      </c>
      <c r="O272" s="16">
        <f>IF('WetLitterbags placem_collection'!G199="N.A","",'WetLitterbags placem_collection'!G199)</f>
        <v>42814</v>
      </c>
      <c r="P272" s="195">
        <f>IF(IFERROR(INDEX('Both teabags AfterWet'!$C$3:$C$841,MATCH(H272,'Both teabags AfterWet'!$A$3:$A$841,0)),"")="N.A","",(IFERROR(INDEX('Both teabags AfterWet'!$C$3:$C$841,MATCH(H272,'Both teabags AfterWet'!$A$3:$A$841,0)),"")))</f>
        <v>0.69089999999999996</v>
      </c>
      <c r="Q272" s="195">
        <f>IFERROR(INDEX('Both teabags AfterWet'!$C$3:$C$841,MATCH(I272,'Both teabags AfterWet'!$A$3:$A$841,0)),"")</f>
        <v>1.5786</v>
      </c>
      <c r="R272" s="195">
        <f t="shared" si="30"/>
        <v>0.5403</v>
      </c>
      <c r="S272" s="195">
        <f t="shared" si="30"/>
        <v>1.4279999999999999</v>
      </c>
      <c r="T272" s="195">
        <f t="shared" si="31"/>
        <v>0.69443501866304713</v>
      </c>
      <c r="U272" s="195">
        <f t="shared" si="32"/>
        <v>0.455259062116392</v>
      </c>
      <c r="V272" s="195">
        <f t="shared" si="33"/>
        <v>0.72627403112602984</v>
      </c>
      <c r="W272">
        <f t="shared" si="28"/>
        <v>45</v>
      </c>
      <c r="X272" s="195">
        <f t="shared" si="34"/>
        <v>0.17525532225291307</v>
      </c>
      <c r="Y272" s="195">
        <f t="shared" si="35"/>
        <v>2.043174789362303E-2</v>
      </c>
      <c r="Z272" s="255" t="str">
        <f>IF(ISNUMBER(SEARCH("C",'WetLitterbags placem_collection'!W199)),"YES","NO")</f>
        <v>YES</v>
      </c>
      <c r="AA272" s="255" t="str">
        <f>IF(ISNUMBER(SEARCH("H", 'WetLitterbags placem_collection'!W199)),"YES","NO")</f>
        <v>YES</v>
      </c>
      <c r="AB272" s="255" t="str">
        <f>IF(ISNUMBER(SEARCH("R", 'WetLitterbags placem_collection'!W199)),"YES","NO")</f>
        <v>YES</v>
      </c>
      <c r="AC272" s="255" t="str">
        <f>IF(ISNUMBER(SEARCH("C", 'WetLitterbags placem_collection'!V199)),"YES","NO")</f>
        <v>NO</v>
      </c>
      <c r="AD272" s="255" t="str">
        <f>IF(ISNUMBER(SEARCH("H", 'WetLitterbags placem_collection'!V199)),"YES","NO")</f>
        <v>NO</v>
      </c>
      <c r="AE272" s="255" t="str">
        <f>IF(ISNUMBER(SEARCH("R", 'WetLitterbags placem_collection'!V199)),"YES","NO")</f>
        <v>YES</v>
      </c>
    </row>
    <row r="273" spans="2:31">
      <c r="B273" t="str">
        <f>'Final data_for_R_analysis_Wetse'!A199</f>
        <v>Wet</v>
      </c>
      <c r="C273" s="263">
        <f>'Final data_for_R_analysis_Wetse'!B199</f>
        <v>198</v>
      </c>
      <c r="D273" t="s">
        <v>2439</v>
      </c>
      <c r="E273" t="s">
        <v>22</v>
      </c>
      <c r="F273" s="387">
        <v>2</v>
      </c>
      <c r="G273" s="16">
        <f>'WetLitterbags placem_collection'!E200</f>
        <v>42769</v>
      </c>
      <c r="H273" t="str">
        <f>'Final data_for_R_analysis_Wetse'!J199</f>
        <v>G785</v>
      </c>
      <c r="I273" t="str">
        <f>'Final data_for_R_analysis_Wetse'!J419</f>
        <v>R463</v>
      </c>
      <c r="J273">
        <f>IFERROR(INDEX('Green_rooibos initial weight'!$C$5:$C$1749,MATCH(H273, 'Green_rooibos initial weight'!$A$5:$A$1749,0)),"")</f>
        <v>2.008</v>
      </c>
      <c r="K273">
        <f>IFERROR(INDEX('Green_rooibos initial weight'!$C$5:$C$1749,MATCH(I273, 'Green_rooibos initial weight'!$A$5:$A$1749,0)),"")</f>
        <v>2.1579999999999999</v>
      </c>
      <c r="L273" s="195">
        <f t="shared" si="29"/>
        <v>1.7582</v>
      </c>
      <c r="M273" s="195">
        <f>AVERAGE(Ashed_controlls!$K$2:$K$11)</f>
        <v>5.5147656768714146</v>
      </c>
      <c r="N273" s="195">
        <f t="shared" si="27"/>
        <v>1.9081999999999999</v>
      </c>
      <c r="O273" s="16">
        <f>IF('WetLitterbags placem_collection'!G200="N.A","",'WetLitterbags placem_collection'!G200)</f>
        <v>42813</v>
      </c>
      <c r="P273" s="195">
        <f>IF(IFERROR(INDEX('Both teabags AfterWet'!$C$3:$C$841,MATCH(H273,'Both teabags AfterWet'!$A$3:$A$841,0)),"")="N.A","",(IFERROR(INDEX('Both teabags AfterWet'!$C$3:$C$841,MATCH(H273,'Both teabags AfterWet'!$A$3:$A$841,0)),"")))</f>
        <v>0.64690000000000003</v>
      </c>
      <c r="Q273" s="195">
        <f>IFERROR(INDEX('Both teabags AfterWet'!$C$3:$C$841,MATCH(I273,'Both teabags AfterWet'!$A$3:$A$841,0)),"")</f>
        <v>1.5485</v>
      </c>
      <c r="R273" s="195">
        <f t="shared" si="30"/>
        <v>0.49630000000000002</v>
      </c>
      <c r="S273" s="195">
        <f t="shared" si="30"/>
        <v>1.3978999999999999</v>
      </c>
      <c r="T273" s="195">
        <f t="shared" si="31"/>
        <v>0.71772267091343411</v>
      </c>
      <c r="U273" s="195">
        <f t="shared" si="32"/>
        <v>0.47052602653707326</v>
      </c>
      <c r="V273" s="195">
        <f t="shared" si="33"/>
        <v>0.73257520176082169</v>
      </c>
      <c r="W273">
        <f t="shared" si="28"/>
        <v>44</v>
      </c>
      <c r="X273" s="195">
        <f t="shared" si="34"/>
        <v>0.14759777801254848</v>
      </c>
      <c r="Y273" s="195">
        <f t="shared" si="35"/>
        <v>1.9094244498665487E-2</v>
      </c>
      <c r="Z273" s="255" t="str">
        <f>IF(ISNUMBER(SEARCH("C",'WetLitterbags placem_collection'!W200)),"YES","NO")</f>
        <v>NO</v>
      </c>
      <c r="AA273" s="255" t="str">
        <f>IF(ISNUMBER(SEARCH("H", 'WetLitterbags placem_collection'!W200)),"YES","NO")</f>
        <v>NO</v>
      </c>
      <c r="AB273" s="255" t="str">
        <f>IF(ISNUMBER(SEARCH("R", 'WetLitterbags placem_collection'!W200)),"YES","NO")</f>
        <v>NO</v>
      </c>
      <c r="AC273" s="255" t="str">
        <f>IF(ISNUMBER(SEARCH("C", 'WetLitterbags placem_collection'!V200)),"YES","NO")</f>
        <v>NO</v>
      </c>
      <c r="AD273" s="255" t="str">
        <f>IF(ISNUMBER(SEARCH("H", 'WetLitterbags placem_collection'!V200)),"YES","NO")</f>
        <v>NO</v>
      </c>
      <c r="AE273" s="255" t="str">
        <f>IF(ISNUMBER(SEARCH("R", 'WetLitterbags placem_collection'!V200)),"YES","NO")</f>
        <v>YES</v>
      </c>
    </row>
    <row r="274" spans="2:31">
      <c r="B274" t="str">
        <f>'Final data_for_R_analysis_Wetse'!A200</f>
        <v>Wet</v>
      </c>
      <c r="C274" s="263">
        <f>'Final data_for_R_analysis_Wetse'!B200</f>
        <v>199</v>
      </c>
      <c r="D274" t="s">
        <v>2423</v>
      </c>
      <c r="E274" t="s">
        <v>22</v>
      </c>
      <c r="F274" s="387">
        <v>3</v>
      </c>
      <c r="G274" s="16">
        <f>'WetLitterbags placem_collection'!E201</f>
        <v>42769</v>
      </c>
      <c r="H274" t="str">
        <f>'Final data_for_R_analysis_Wetse'!J200</f>
        <v>G877</v>
      </c>
      <c r="I274" t="str">
        <f>'Final data_for_R_analysis_Wetse'!J420</f>
        <v>R339</v>
      </c>
      <c r="J274">
        <f>IFERROR(INDEX('Green_rooibos initial weight'!$C$5:$C$1749,MATCH(H274, 'Green_rooibos initial weight'!$A$5:$A$1749,0)),"")</f>
        <v>2.0649999999999999</v>
      </c>
      <c r="K274">
        <f>IFERROR(INDEX('Green_rooibos initial weight'!$C$5:$C$1749,MATCH(I274, 'Green_rooibos initial weight'!$A$5:$A$1749,0)),"")</f>
        <v>2.214</v>
      </c>
      <c r="L274" s="195">
        <f t="shared" si="29"/>
        <v>1.8151999999999999</v>
      </c>
      <c r="M274" s="195">
        <f>AVERAGE(Ashed_controlls!$K$2:$K$11)</f>
        <v>5.5147656768714146</v>
      </c>
      <c r="N274" s="195">
        <f t="shared" si="27"/>
        <v>1.9641999999999999</v>
      </c>
      <c r="O274" s="16">
        <f>IF('WetLitterbags placem_collection'!G201="N.A","",'WetLitterbags placem_collection'!G201)</f>
        <v>42814</v>
      </c>
      <c r="P274" s="195">
        <f>IF(IFERROR(INDEX('Both teabags AfterWet'!$C$3:$C$841,MATCH(H274,'Both teabags AfterWet'!$A$3:$A$841,0)),"")="N.A","",(IFERROR(INDEX('Both teabags AfterWet'!$C$3:$C$841,MATCH(H274,'Both teabags AfterWet'!$A$3:$A$841,0)),"")))</f>
        <v>0.67900000000000005</v>
      </c>
      <c r="Q274" s="195">
        <f>IFERROR(INDEX('Both teabags AfterWet'!$C$3:$C$841,MATCH(I274,'Both teabags AfterWet'!$A$3:$A$841,0)),"")</f>
        <v>1.6160000000000001</v>
      </c>
      <c r="R274" s="195">
        <f t="shared" si="30"/>
        <v>0.52839999999999998</v>
      </c>
      <c r="S274" s="195">
        <f t="shared" si="30"/>
        <v>1.4654</v>
      </c>
      <c r="T274" s="195">
        <f t="shared" si="31"/>
        <v>0.70890260026443364</v>
      </c>
      <c r="U274" s="195">
        <f t="shared" si="32"/>
        <v>0.4647437474417665</v>
      </c>
      <c r="V274" s="195">
        <f t="shared" si="33"/>
        <v>0.74605437328174329</v>
      </c>
      <c r="W274">
        <f t="shared" si="28"/>
        <v>45</v>
      </c>
      <c r="X274" s="195">
        <f t="shared" si="34"/>
        <v>0.1580729213011477</v>
      </c>
      <c r="Y274" s="195">
        <f t="shared" si="35"/>
        <v>1.7568561583611975E-2</v>
      </c>
      <c r="Z274" s="255" t="str">
        <f>IF(ISNUMBER(SEARCH("C",'WetLitterbags placem_collection'!W201)),"YES","NO")</f>
        <v>NO</v>
      </c>
      <c r="AA274" s="255" t="str">
        <f>IF(ISNUMBER(SEARCH("H", 'WetLitterbags placem_collection'!W201)),"YES","NO")</f>
        <v>NO</v>
      </c>
      <c r="AB274" s="255" t="str">
        <f>IF(ISNUMBER(SEARCH("R", 'WetLitterbags placem_collection'!W201)),"YES","NO")</f>
        <v>YES</v>
      </c>
      <c r="AC274" s="255" t="str">
        <f>IF(ISNUMBER(SEARCH("C", 'WetLitterbags placem_collection'!V201)),"YES","NO")</f>
        <v>NO</v>
      </c>
      <c r="AD274" s="255" t="str">
        <f>IF(ISNUMBER(SEARCH("H", 'WetLitterbags placem_collection'!V201)),"YES","NO")</f>
        <v>NO</v>
      </c>
      <c r="AE274" s="255" t="str">
        <f>IF(ISNUMBER(SEARCH("R", 'WetLitterbags placem_collection'!V201)),"YES","NO")</f>
        <v>YES</v>
      </c>
    </row>
    <row r="275" spans="2:31">
      <c r="B275" t="str">
        <f>'Final data_for_R_analysis_Wetse'!A201</f>
        <v>Wet</v>
      </c>
      <c r="C275" s="263">
        <f>'Final data_for_R_analysis_Wetse'!B201</f>
        <v>200</v>
      </c>
      <c r="D275" t="s">
        <v>2446</v>
      </c>
      <c r="E275" t="s">
        <v>22</v>
      </c>
      <c r="F275" s="387">
        <v>4</v>
      </c>
      <c r="G275" s="16">
        <f>'WetLitterbags placem_collection'!E202</f>
        <v>42769</v>
      </c>
      <c r="H275" t="str">
        <f>'Final data_for_R_analysis_Wetse'!J201</f>
        <v>G816</v>
      </c>
      <c r="I275" t="str">
        <f>'Final data_for_R_analysis_Wetse'!J421</f>
        <v>R303</v>
      </c>
      <c r="J275">
        <f>IFERROR(INDEX('Green_rooibos initial weight'!$C$5:$C$1749,MATCH(H275, 'Green_rooibos initial weight'!$A$5:$A$1749,0)),"")</f>
        <v>2.0139999999999998</v>
      </c>
      <c r="K275">
        <f>IFERROR(INDEX('Green_rooibos initial weight'!$C$5:$C$1749,MATCH(I275, 'Green_rooibos initial weight'!$A$5:$A$1749,0)),"")</f>
        <v>2.2490000000000001</v>
      </c>
      <c r="L275" s="195">
        <f t="shared" si="29"/>
        <v>1.7641999999999998</v>
      </c>
      <c r="M275" s="195">
        <f>AVERAGE(Ashed_controlls!$K$2:$K$11)</f>
        <v>5.5147656768714146</v>
      </c>
      <c r="N275" s="195">
        <f t="shared" si="27"/>
        <v>1.9992000000000001</v>
      </c>
      <c r="O275" s="16">
        <f>IF('WetLitterbags placem_collection'!G202="N.A","",'WetLitterbags placem_collection'!G202)</f>
        <v>42813</v>
      </c>
      <c r="P275" s="195">
        <f>IF(IFERROR(INDEX('Both teabags AfterWet'!$C$3:$C$841,MATCH(H275,'Both teabags AfterWet'!$A$3:$A$841,0)),"")="N.A","",(IFERROR(INDEX('Both teabags AfterWet'!$C$3:$C$841,MATCH(H275,'Both teabags AfterWet'!$A$3:$A$841,0)),"")))</f>
        <v>0.67120000000000002</v>
      </c>
      <c r="Q275" s="195">
        <f>IFERROR(INDEX('Both teabags AfterWet'!$C$3:$C$841,MATCH(I275,'Both teabags AfterWet'!$A$3:$A$841,0)),"")</f>
        <v>1.5651999999999999</v>
      </c>
      <c r="R275" s="195">
        <f t="shared" si="30"/>
        <v>0.52059999999999995</v>
      </c>
      <c r="S275" s="195">
        <f t="shared" si="30"/>
        <v>1.4145999999999999</v>
      </c>
      <c r="T275" s="195">
        <f t="shared" si="31"/>
        <v>0.70490874050561159</v>
      </c>
      <c r="U275" s="195">
        <f t="shared" si="32"/>
        <v>0.46212544508206371</v>
      </c>
      <c r="V275" s="195">
        <f t="shared" si="33"/>
        <v>0.7075830332132852</v>
      </c>
      <c r="W275">
        <f t="shared" si="28"/>
        <v>44</v>
      </c>
      <c r="X275" s="195">
        <f t="shared" si="34"/>
        <v>0.16281622267742091</v>
      </c>
      <c r="Y275" s="195">
        <f t="shared" si="35"/>
        <v>2.2767142020306507E-2</v>
      </c>
      <c r="Z275" s="255" t="str">
        <f>IF(ISNUMBER(SEARCH("C",'WetLitterbags placem_collection'!W202)),"YES","NO")</f>
        <v>NO</v>
      </c>
      <c r="AA275" s="255" t="str">
        <f>IF(ISNUMBER(SEARCH("H", 'WetLitterbags placem_collection'!W202)),"YES","NO")</f>
        <v>NO</v>
      </c>
      <c r="AB275" s="255" t="str">
        <f>IF(ISNUMBER(SEARCH("R", 'WetLitterbags placem_collection'!W202)),"YES","NO")</f>
        <v>YES</v>
      </c>
      <c r="AC275" s="255" t="str">
        <f>IF(ISNUMBER(SEARCH("C", 'WetLitterbags placem_collection'!V202)),"YES","NO")</f>
        <v>NO</v>
      </c>
      <c r="AD275" s="255" t="str">
        <f>IF(ISNUMBER(SEARCH("H", 'WetLitterbags placem_collection'!V202)),"YES","NO")</f>
        <v>NO</v>
      </c>
      <c r="AE275" s="255" t="str">
        <f>IF(ISNUMBER(SEARCH("R", 'WetLitterbags placem_collection'!V202)),"YES","NO")</f>
        <v>YES</v>
      </c>
    </row>
    <row r="276" spans="2:31">
      <c r="B276" t="str">
        <f>'Final data_for_R_analysis_Wetse'!A202</f>
        <v>Wet</v>
      </c>
      <c r="C276" s="263">
        <f>'Final data_for_R_analysis_Wetse'!B202</f>
        <v>201</v>
      </c>
      <c r="D276" t="s">
        <v>2447</v>
      </c>
      <c r="E276" t="s">
        <v>22</v>
      </c>
      <c r="F276" s="387">
        <v>1</v>
      </c>
      <c r="G276" s="16">
        <f>'WetLitterbags placem_collection'!E203</f>
        <v>42769</v>
      </c>
      <c r="H276" t="str">
        <f>'Final data_for_R_analysis_Wetse'!J202</f>
        <v>G811</v>
      </c>
      <c r="I276" t="str">
        <f>'Final data_for_R_analysis_Wetse'!J422</f>
        <v>R218</v>
      </c>
      <c r="J276">
        <f>IFERROR(INDEX('Green_rooibos initial weight'!$C$5:$C$1749,MATCH(H276, 'Green_rooibos initial weight'!$A$5:$A$1749,0)),"")</f>
        <v>1.9930000000000001</v>
      </c>
      <c r="K276">
        <f>IFERROR(INDEX('Green_rooibos initial weight'!$C$5:$C$1749,MATCH(I276, 'Green_rooibos initial weight'!$A$5:$A$1749,0)),"")</f>
        <v>2.2309999999999999</v>
      </c>
      <c r="L276" s="195">
        <f t="shared" si="29"/>
        <v>1.7432000000000001</v>
      </c>
      <c r="M276" s="195">
        <f>AVERAGE(Ashed_controlls!$K$2:$K$11)</f>
        <v>5.5147656768714146</v>
      </c>
      <c r="N276" s="195">
        <f t="shared" si="27"/>
        <v>1.9811999999999999</v>
      </c>
      <c r="O276" s="16">
        <f>IF('WetLitterbags placem_collection'!G203="N.A","",'WetLitterbags placem_collection'!G203)</f>
        <v>42813</v>
      </c>
      <c r="P276" s="195">
        <f>IF(IFERROR(INDEX('Both teabags AfterWet'!$C$3:$C$841,MATCH(H276,'Both teabags AfterWet'!$A$3:$A$841,0)),"")="N.A","",(IFERROR(INDEX('Both teabags AfterWet'!$C$3:$C$841,MATCH(H276,'Both teabags AfterWet'!$A$3:$A$841,0)),"")))</f>
        <v>0.56630000000000003</v>
      </c>
      <c r="Q276" s="195">
        <f>IFERROR(INDEX('Both teabags AfterWet'!$C$3:$C$841,MATCH(I276,'Both teabags AfterWet'!$A$3:$A$841,0)),"")</f>
        <v>1.5928</v>
      </c>
      <c r="R276" s="195">
        <f t="shared" si="30"/>
        <v>0.41570000000000001</v>
      </c>
      <c r="S276" s="195">
        <f t="shared" si="30"/>
        <v>1.4421999999999999</v>
      </c>
      <c r="T276" s="195">
        <f t="shared" si="31"/>
        <v>0.76153051858650755</v>
      </c>
      <c r="U276" s="195">
        <f t="shared" si="32"/>
        <v>0.49924566064103593</v>
      </c>
      <c r="V276" s="195">
        <f t="shared" si="33"/>
        <v>0.72794266101352723</v>
      </c>
      <c r="W276">
        <f t="shared" si="28"/>
        <v>44</v>
      </c>
      <c r="X276" s="195">
        <f t="shared" si="34"/>
        <v>9.5569455360442257E-2</v>
      </c>
      <c r="Y276" s="195">
        <f t="shared" si="35"/>
        <v>1.789361354874942E-2</v>
      </c>
      <c r="Z276" s="255" t="str">
        <f>IF(ISNUMBER(SEARCH("C",'WetLitterbags placem_collection'!W203)),"YES","NO")</f>
        <v>NO</v>
      </c>
      <c r="AA276" s="255" t="str">
        <f>IF(ISNUMBER(SEARCH("H", 'WetLitterbags placem_collection'!W203)),"YES","NO")</f>
        <v>NO</v>
      </c>
      <c r="AB276" s="255" t="str">
        <f>IF(ISNUMBER(SEARCH("R", 'WetLitterbags placem_collection'!W203)),"YES","NO")</f>
        <v>YES</v>
      </c>
      <c r="AC276" s="255" t="str">
        <f>IF(ISNUMBER(SEARCH("C", 'WetLitterbags placem_collection'!V203)),"YES","NO")</f>
        <v>NO</v>
      </c>
      <c r="AD276" s="255" t="str">
        <f>IF(ISNUMBER(SEARCH("H", 'WetLitterbags placem_collection'!V203)),"YES","NO")</f>
        <v>NO</v>
      </c>
      <c r="AE276" s="255" t="str">
        <f>IF(ISNUMBER(SEARCH("R", 'WetLitterbags placem_collection'!V203)),"YES","NO")</f>
        <v>YES</v>
      </c>
    </row>
    <row r="277" spans="2:31">
      <c r="B277" t="str">
        <f>'Final data_for_R_analysis_Wetse'!A203</f>
        <v>Wet</v>
      </c>
      <c r="C277" s="263">
        <f>'Final data_for_R_analysis_Wetse'!B203</f>
        <v>202</v>
      </c>
      <c r="D277" t="s">
        <v>2424</v>
      </c>
      <c r="E277" t="s">
        <v>22</v>
      </c>
      <c r="F277" s="387">
        <v>2</v>
      </c>
      <c r="G277" s="16">
        <f>'WetLitterbags placem_collection'!E204</f>
        <v>42769</v>
      </c>
      <c r="H277" t="str">
        <f>'Final data_for_R_analysis_Wetse'!J203</f>
        <v>G773</v>
      </c>
      <c r="I277" t="str">
        <f>'Final data_for_R_analysis_Wetse'!J423</f>
        <v>R135</v>
      </c>
      <c r="J277">
        <f>IFERROR(INDEX('Green_rooibos initial weight'!$C$5:$C$1749,MATCH(H277, 'Green_rooibos initial weight'!$A$5:$A$1749,0)),"")</f>
        <v>1.718</v>
      </c>
      <c r="K277">
        <f>IFERROR(INDEX('Green_rooibos initial weight'!$C$5:$C$1749,MATCH(I277, 'Green_rooibos initial weight'!$A$5:$A$1749,0)),"")</f>
        <v>2.286</v>
      </c>
      <c r="L277" s="195">
        <f t="shared" si="29"/>
        <v>1.4681999999999999</v>
      </c>
      <c r="M277" s="195">
        <f>AVERAGE(Ashed_controlls!$K$2:$K$11)</f>
        <v>5.5147656768714146</v>
      </c>
      <c r="N277" s="195">
        <f t="shared" si="27"/>
        <v>2.0362</v>
      </c>
      <c r="O277" s="16">
        <f>IF('WetLitterbags placem_collection'!G204="N.A","",'WetLitterbags placem_collection'!G204)</f>
        <v>42814</v>
      </c>
      <c r="P277" s="195">
        <f>IF(IFERROR(INDEX('Both teabags AfterWet'!$C$3:$C$841,MATCH(H277,'Both teabags AfterWet'!$A$3:$A$841,0)),"")="N.A","",(IFERROR(INDEX('Both teabags AfterWet'!$C$3:$C$841,MATCH(H277,'Both teabags AfterWet'!$A$3:$A$841,0)),"")))</f>
        <v>0.84</v>
      </c>
      <c r="Q277" s="195">
        <f>IFERROR(INDEX('Both teabags AfterWet'!$C$3:$C$841,MATCH(I277,'Both teabags AfterWet'!$A$3:$A$841,0)),"")</f>
        <v>1.6419999999999999</v>
      </c>
      <c r="R277" s="195">
        <f t="shared" si="30"/>
        <v>0.68940000000000001</v>
      </c>
      <c r="S277" s="195">
        <f t="shared" si="30"/>
        <v>1.4913999999999998</v>
      </c>
      <c r="T277" s="195">
        <f t="shared" si="31"/>
        <v>0.53044544340008171</v>
      </c>
      <c r="U277" s="195">
        <f t="shared" si="32"/>
        <v>0.34775045695587309</v>
      </c>
      <c r="V277" s="195">
        <f t="shared" si="33"/>
        <v>0.73244278558098408</v>
      </c>
      <c r="W277">
        <f t="shared" si="28"/>
        <v>45</v>
      </c>
      <c r="X277" s="195">
        <f t="shared" si="34"/>
        <v>0.37001728812341839</v>
      </c>
      <c r="Y277" s="195">
        <f t="shared" si="35"/>
        <v>3.2601019803574376E-2</v>
      </c>
      <c r="Z277" s="255" t="str">
        <f>IF(ISNUMBER(SEARCH("C",'WetLitterbags placem_collection'!W204)),"YES","NO")</f>
        <v>NO</v>
      </c>
      <c r="AA277" s="255" t="str">
        <f>IF(ISNUMBER(SEARCH("H", 'WetLitterbags placem_collection'!W204)),"YES","NO")</f>
        <v>NO</v>
      </c>
      <c r="AB277" s="255" t="str">
        <f>IF(ISNUMBER(SEARCH("R", 'WetLitterbags placem_collection'!W204)),"YES","NO")</f>
        <v>YES</v>
      </c>
      <c r="AC277" s="255" t="str">
        <f>IF(ISNUMBER(SEARCH("C", 'WetLitterbags placem_collection'!V204)),"YES","NO")</f>
        <v>NO</v>
      </c>
      <c r="AD277" s="255" t="str">
        <f>IF(ISNUMBER(SEARCH("H", 'WetLitterbags placem_collection'!V204)),"YES","NO")</f>
        <v>NO</v>
      </c>
      <c r="AE277" s="255" t="str">
        <f>IF(ISNUMBER(SEARCH("R", 'WetLitterbags placem_collection'!V204)),"YES","NO")</f>
        <v>YES</v>
      </c>
    </row>
    <row r="278" spans="2:31">
      <c r="B278" t="str">
        <f>'Final data_for_R_analysis_Wetse'!A204</f>
        <v>Wet</v>
      </c>
      <c r="C278" s="263">
        <f>'Final data_for_R_analysis_Wetse'!B204</f>
        <v>203</v>
      </c>
      <c r="D278" t="s">
        <v>2433</v>
      </c>
      <c r="E278" t="s">
        <v>22</v>
      </c>
      <c r="F278" s="387">
        <v>3</v>
      </c>
      <c r="G278" s="16">
        <f>'WetLitterbags placem_collection'!E205</f>
        <v>42769</v>
      </c>
      <c r="H278" t="str">
        <f>'Final data_for_R_analysis_Wetse'!J204</f>
        <v>G645</v>
      </c>
      <c r="I278" t="str">
        <f>'Final data_for_R_analysis_Wetse'!J424</f>
        <v>R372</v>
      </c>
      <c r="J278">
        <f>IFERROR(INDEX('Green_rooibos initial weight'!$C$5:$C$1749,MATCH(H278, 'Green_rooibos initial weight'!$A$5:$A$1749,0)),"")</f>
        <v>2.238</v>
      </c>
      <c r="K278">
        <f>IFERROR(INDEX('Green_rooibos initial weight'!$C$5:$C$1749,MATCH(I278, 'Green_rooibos initial weight'!$A$5:$A$1749,0)),"")</f>
        <v>2.202</v>
      </c>
      <c r="L278" s="195">
        <f t="shared" si="29"/>
        <v>1.9882</v>
      </c>
      <c r="M278" s="195">
        <f>AVERAGE(Ashed_controlls!$K$2:$K$11)</f>
        <v>5.5147656768714146</v>
      </c>
      <c r="N278" s="195">
        <f t="shared" si="27"/>
        <v>1.9521999999999999</v>
      </c>
      <c r="O278" s="16">
        <f>IF('WetLitterbags placem_collection'!G205="N.A","",'WetLitterbags placem_collection'!G205)</f>
        <v>42814</v>
      </c>
      <c r="P278" s="195">
        <f>IF(IFERROR(INDEX('Both teabags AfterWet'!$C$3:$C$841,MATCH(H278,'Both teabags AfterWet'!$A$3:$A$841,0)),"")="N.A","",(IFERROR(INDEX('Both teabags AfterWet'!$C$3:$C$841,MATCH(H278,'Both teabags AfterWet'!$A$3:$A$841,0)),"")))</f>
        <v>0.80930000000000002</v>
      </c>
      <c r="Q278" s="195">
        <f>IFERROR(INDEX('Both teabags AfterWet'!$C$3:$C$841,MATCH(I278,'Both teabags AfterWet'!$A$3:$A$841,0)),"")</f>
        <v>1.6213</v>
      </c>
      <c r="R278" s="195">
        <f t="shared" si="30"/>
        <v>0.65870000000000006</v>
      </c>
      <c r="S278" s="195">
        <f t="shared" si="30"/>
        <v>1.4706999999999999</v>
      </c>
      <c r="T278" s="195">
        <f t="shared" si="31"/>
        <v>0.66869530228347251</v>
      </c>
      <c r="U278" s="195">
        <f t="shared" si="32"/>
        <v>0.43838456871790604</v>
      </c>
      <c r="V278" s="195">
        <f t="shared" si="33"/>
        <v>0.75335518901751863</v>
      </c>
      <c r="W278">
        <f t="shared" si="28"/>
        <v>45</v>
      </c>
      <c r="X278" s="195">
        <f t="shared" si="34"/>
        <v>0.20582505667046014</v>
      </c>
      <c r="Y278" s="195">
        <f t="shared" si="35"/>
        <v>1.8376833595100978E-2</v>
      </c>
      <c r="Z278" s="255" t="str">
        <f>IF(ISNUMBER(SEARCH("C",'WetLitterbags placem_collection'!W205)),"YES","NO")</f>
        <v>NO</v>
      </c>
      <c r="AA278" s="255" t="str">
        <f>IF(ISNUMBER(SEARCH("H", 'WetLitterbags placem_collection'!W205)),"YES","NO")</f>
        <v>YES</v>
      </c>
      <c r="AB278" s="255" t="str">
        <f>IF(ISNUMBER(SEARCH("R", 'WetLitterbags placem_collection'!W205)),"YES","NO")</f>
        <v>NO</v>
      </c>
      <c r="AC278" s="255" t="str">
        <f>IF(ISNUMBER(SEARCH("C", 'WetLitterbags placem_collection'!V205)),"YES","NO")</f>
        <v>NO</v>
      </c>
      <c r="AD278" s="255" t="str">
        <f>IF(ISNUMBER(SEARCH("H", 'WetLitterbags placem_collection'!V205)),"YES","NO")</f>
        <v>NO</v>
      </c>
      <c r="AE278" s="255" t="str">
        <f>IF(ISNUMBER(SEARCH("R", 'WetLitterbags placem_collection'!V205)),"YES","NO")</f>
        <v>YES</v>
      </c>
    </row>
    <row r="279" spans="2:31">
      <c r="B279" t="str">
        <f>'Final data_for_R_analysis_Wetse'!A205</f>
        <v>Wet</v>
      </c>
      <c r="C279" s="263">
        <f>'Final data_for_R_analysis_Wetse'!B205</f>
        <v>204</v>
      </c>
      <c r="D279" t="s">
        <v>2440</v>
      </c>
      <c r="E279" t="s">
        <v>22</v>
      </c>
      <c r="F279" s="387">
        <v>4</v>
      </c>
      <c r="G279" s="16">
        <f>'WetLitterbags placem_collection'!E206</f>
        <v>42769</v>
      </c>
      <c r="H279" t="str">
        <f>'Final data_for_R_analysis_Wetse'!J205</f>
        <v>G814</v>
      </c>
      <c r="I279" t="str">
        <f>'Final data_for_R_analysis_Wetse'!J425</f>
        <v>R334</v>
      </c>
      <c r="J279">
        <f>IFERROR(INDEX('Green_rooibos initial weight'!$C$5:$C$1749,MATCH(H279, 'Green_rooibos initial weight'!$A$5:$A$1749,0)),"")</f>
        <v>2.1480000000000001</v>
      </c>
      <c r="K279">
        <f>IFERROR(INDEX('Green_rooibos initial weight'!$C$5:$C$1749,MATCH(I279, 'Green_rooibos initial weight'!$A$5:$A$1749,0)),"")</f>
        <v>2.1419999999999999</v>
      </c>
      <c r="L279" s="195">
        <f t="shared" si="29"/>
        <v>1.8982000000000001</v>
      </c>
      <c r="M279" s="195">
        <f>AVERAGE(Ashed_controlls!$K$2:$K$11)</f>
        <v>5.5147656768714146</v>
      </c>
      <c r="N279" s="195">
        <f t="shared" si="27"/>
        <v>1.8921999999999999</v>
      </c>
      <c r="O279" s="16">
        <f>IF('WetLitterbags placem_collection'!G206="N.A","",'WetLitterbags placem_collection'!G206)</f>
        <v>42813</v>
      </c>
      <c r="P279" s="195">
        <f>IF(IFERROR(INDEX('Both teabags AfterWet'!$C$3:$C$841,MATCH(H279,'Both teabags AfterWet'!$A$3:$A$841,0)),"")="N.A","",(IFERROR(INDEX('Both teabags AfterWet'!$C$3:$C$841,MATCH(H279,'Both teabags AfterWet'!$A$3:$A$841,0)),"")))</f>
        <v>0.68300000000000005</v>
      </c>
      <c r="Q279" s="195">
        <f>IFERROR(INDEX('Both teabags AfterWet'!$C$3:$C$841,MATCH(I279,'Both teabags AfterWet'!$A$3:$A$841,0)),"")</f>
        <v>1.544</v>
      </c>
      <c r="R279" s="195">
        <f t="shared" si="30"/>
        <v>0.53239999999999998</v>
      </c>
      <c r="S279" s="195">
        <f t="shared" si="30"/>
        <v>1.3934</v>
      </c>
      <c r="T279" s="195">
        <f t="shared" si="31"/>
        <v>0.71952375935096402</v>
      </c>
      <c r="U279" s="195">
        <f t="shared" si="32"/>
        <v>0.47170678760300733</v>
      </c>
      <c r="V279" s="195">
        <f t="shared" si="33"/>
        <v>0.73639150195539582</v>
      </c>
      <c r="W279">
        <f t="shared" si="28"/>
        <v>44</v>
      </c>
      <c r="X279" s="195">
        <f t="shared" si="34"/>
        <v>0.14545871811049405</v>
      </c>
      <c r="Y279" s="195">
        <f t="shared" si="35"/>
        <v>1.859879695015914E-2</v>
      </c>
      <c r="Z279" s="255" t="str">
        <f>IF(ISNUMBER(SEARCH("C",'WetLitterbags placem_collection'!W206)),"YES","NO")</f>
        <v>NO</v>
      </c>
      <c r="AA279" s="255" t="str">
        <f>IF(ISNUMBER(SEARCH("H", 'WetLitterbags placem_collection'!W206)),"YES","NO")</f>
        <v>NO</v>
      </c>
      <c r="AB279" s="255" t="str">
        <f>IF(ISNUMBER(SEARCH("R", 'WetLitterbags placem_collection'!W206)),"YES","NO")</f>
        <v>YES</v>
      </c>
      <c r="AC279" s="255" t="str">
        <f>IF(ISNUMBER(SEARCH("C", 'WetLitterbags placem_collection'!V206)),"YES","NO")</f>
        <v>NO</v>
      </c>
      <c r="AD279" s="255" t="str">
        <f>IF(ISNUMBER(SEARCH("H", 'WetLitterbags placem_collection'!V206)),"YES","NO")</f>
        <v>NO</v>
      </c>
      <c r="AE279" s="255" t="str">
        <f>IF(ISNUMBER(SEARCH("R", 'WetLitterbags placem_collection'!V206)),"YES","NO")</f>
        <v>YES</v>
      </c>
    </row>
    <row r="280" spans="2:31">
      <c r="B280" t="str">
        <f>'Final data_for_R_analysis_Wetse'!A206</f>
        <v>Wet</v>
      </c>
      <c r="C280" s="263">
        <f>'Final data_for_R_analysis_Wetse'!B206</f>
        <v>205</v>
      </c>
      <c r="D280" t="s">
        <v>2434</v>
      </c>
      <c r="E280" t="s">
        <v>22</v>
      </c>
      <c r="F280" s="387">
        <v>1</v>
      </c>
      <c r="G280" s="16">
        <f>'WetLitterbags placem_collection'!E207</f>
        <v>42769</v>
      </c>
      <c r="H280" t="str">
        <f>'Final data_for_R_analysis_Wetse'!J206</f>
        <v>G621</v>
      </c>
      <c r="I280" t="str">
        <f>'Final data_for_R_analysis_Wetse'!J426</f>
        <v>R265</v>
      </c>
      <c r="J280">
        <f>IFERROR(INDEX('Green_rooibos initial weight'!$C$5:$C$1749,MATCH(H280, 'Green_rooibos initial weight'!$A$5:$A$1749,0)),"")</f>
        <v>1.925</v>
      </c>
      <c r="K280">
        <f>IFERROR(INDEX('Green_rooibos initial weight'!$C$5:$C$1749,MATCH(I280, 'Green_rooibos initial weight'!$A$5:$A$1749,0)),"")</f>
        <v>2.2210000000000001</v>
      </c>
      <c r="L280" s="195">
        <f t="shared" si="29"/>
        <v>1.6752</v>
      </c>
      <c r="M280" s="195">
        <f>AVERAGE(Ashed_controlls!$K$2:$K$11)</f>
        <v>5.5147656768714146</v>
      </c>
      <c r="N280" s="195">
        <f t="shared" si="27"/>
        <v>1.9712000000000001</v>
      </c>
      <c r="O280" s="16">
        <f>IF('WetLitterbags placem_collection'!G207="N.A","",'WetLitterbags placem_collection'!G207)</f>
        <v>42814</v>
      </c>
      <c r="P280" s="195">
        <f>IF(IFERROR(INDEX('Both teabags AfterWet'!$C$3:$C$841,MATCH(H280,'Both teabags AfterWet'!$A$3:$A$841,0)),"")="N.A","",(IFERROR(INDEX('Both teabags AfterWet'!$C$3:$C$841,MATCH(H280,'Both teabags AfterWet'!$A$3:$A$841,0)),"")))</f>
        <v>0.74099999999999999</v>
      </c>
      <c r="Q280" s="195">
        <f>IFERROR(INDEX('Both teabags AfterWet'!$C$3:$C$841,MATCH(I280,'Both teabags AfterWet'!$A$3:$A$841,0)),"")</f>
        <v>1.6680999999999999</v>
      </c>
      <c r="R280" s="195">
        <f t="shared" si="30"/>
        <v>0.59040000000000004</v>
      </c>
      <c r="S280" s="195">
        <f t="shared" si="30"/>
        <v>1.5174999999999998</v>
      </c>
      <c r="T280" s="195">
        <f t="shared" si="31"/>
        <v>0.64756446991404015</v>
      </c>
      <c r="U280" s="195">
        <f t="shared" si="32"/>
        <v>0.42453157647571282</v>
      </c>
      <c r="V280" s="195">
        <f t="shared" si="33"/>
        <v>0.76983563311688297</v>
      </c>
      <c r="W280">
        <f t="shared" si="28"/>
        <v>45</v>
      </c>
      <c r="X280" s="195">
        <f t="shared" si="34"/>
        <v>0.23092105710921595</v>
      </c>
      <c r="Y280" s="195">
        <f t="shared" si="35"/>
        <v>1.7360826338285545E-2</v>
      </c>
      <c r="Z280" s="255" t="str">
        <f>IF(ISNUMBER(SEARCH("C",'WetLitterbags placem_collection'!W207)),"YES","NO")</f>
        <v>NO</v>
      </c>
      <c r="AA280" s="255" t="str">
        <f>IF(ISNUMBER(SEARCH("H", 'WetLitterbags placem_collection'!W207)),"YES","NO")</f>
        <v>NO</v>
      </c>
      <c r="AB280" s="255" t="str">
        <f>IF(ISNUMBER(SEARCH("R", 'WetLitterbags placem_collection'!W207)),"YES","NO")</f>
        <v>YES</v>
      </c>
      <c r="AC280" s="255" t="str">
        <f>IF(ISNUMBER(SEARCH("C", 'WetLitterbags placem_collection'!V207)),"YES","NO")</f>
        <v>NO</v>
      </c>
      <c r="AD280" s="255" t="str">
        <f>IF(ISNUMBER(SEARCH("H", 'WetLitterbags placem_collection'!V207)),"YES","NO")</f>
        <v>YES</v>
      </c>
      <c r="AE280" s="255" t="str">
        <f>IF(ISNUMBER(SEARCH("R", 'WetLitterbags placem_collection'!V207)),"YES","NO")</f>
        <v>YES</v>
      </c>
    </row>
    <row r="281" spans="2:31">
      <c r="B281" t="str">
        <f>'Final data_for_R_analysis_Wetse'!A207</f>
        <v>Wet</v>
      </c>
      <c r="C281" s="263">
        <f>'Final data_for_R_analysis_Wetse'!B207</f>
        <v>206</v>
      </c>
      <c r="D281" t="s">
        <v>2425</v>
      </c>
      <c r="E281" t="s">
        <v>22</v>
      </c>
      <c r="F281" s="387">
        <v>2</v>
      </c>
      <c r="G281" s="16">
        <f>'WetLitterbags placem_collection'!E208</f>
        <v>42769</v>
      </c>
      <c r="H281" t="str">
        <f>'Final data_for_R_analysis_Wetse'!J207</f>
        <v>G677</v>
      </c>
      <c r="I281" t="str">
        <f>'Final data_for_R_analysis_Wetse'!J427</f>
        <v>R234</v>
      </c>
      <c r="J281">
        <f>IFERROR(INDEX('Green_rooibos initial weight'!$C$5:$C$1749,MATCH(H281, 'Green_rooibos initial weight'!$A$5:$A$1749,0)),"")</f>
        <v>2.1269999999999998</v>
      </c>
      <c r="K281">
        <f>IFERROR(INDEX('Green_rooibos initial weight'!$C$5:$C$1749,MATCH(I281, 'Green_rooibos initial weight'!$A$5:$A$1749,0)),"")</f>
        <v>2.194</v>
      </c>
      <c r="L281" s="195">
        <f t="shared" si="29"/>
        <v>1.8771999999999998</v>
      </c>
      <c r="M281" s="195">
        <f>AVERAGE(Ashed_controlls!$K$2:$K$11)</f>
        <v>5.5147656768714146</v>
      </c>
      <c r="N281" s="195">
        <f t="shared" si="27"/>
        <v>1.9441999999999999</v>
      </c>
      <c r="O281" s="16">
        <f>IF('WetLitterbags placem_collection'!G208="N.A","",'WetLitterbags placem_collection'!G208)</f>
        <v>42814</v>
      </c>
      <c r="P281" s="195">
        <f>IF(IFERROR(INDEX('Both teabags AfterWet'!$C$3:$C$841,MATCH(H281,'Both teabags AfterWet'!$A$3:$A$841,0)),"")="N.A","",(IFERROR(INDEX('Both teabags AfterWet'!$C$3:$C$841,MATCH(H281,'Both teabags AfterWet'!$A$3:$A$841,0)),"")))</f>
        <v>0.85699999999999998</v>
      </c>
      <c r="Q281" s="195">
        <f>IFERROR(INDEX('Both teabags AfterWet'!$C$3:$C$841,MATCH(I281,'Both teabags AfterWet'!$A$3:$A$841,0)),"")</f>
        <v>1.7410000000000001</v>
      </c>
      <c r="R281" s="195">
        <f t="shared" si="30"/>
        <v>0.70639999999999992</v>
      </c>
      <c r="S281" s="195">
        <f t="shared" si="30"/>
        <v>1.5904</v>
      </c>
      <c r="T281" s="195">
        <f t="shared" si="31"/>
        <v>0.62369486469209456</v>
      </c>
      <c r="U281" s="195">
        <f t="shared" si="32"/>
        <v>0.40888309419244212</v>
      </c>
      <c r="V281" s="195">
        <f t="shared" si="33"/>
        <v>0.81802283715667112</v>
      </c>
      <c r="W281">
        <f t="shared" si="28"/>
        <v>45</v>
      </c>
      <c r="X281" s="195">
        <f t="shared" si="34"/>
        <v>0.25926975689774989</v>
      </c>
      <c r="Y281" s="195">
        <f t="shared" si="35"/>
        <v>1.3086527770293796E-2</v>
      </c>
      <c r="Z281" s="255" t="str">
        <f>IF(ISNUMBER(SEARCH("C",'WetLitterbags placem_collection'!W208)),"YES","NO")</f>
        <v>NO</v>
      </c>
      <c r="AA281" s="255" t="str">
        <f>IF(ISNUMBER(SEARCH("H", 'WetLitterbags placem_collection'!W208)),"YES","NO")</f>
        <v>NO</v>
      </c>
      <c r="AB281" s="255" t="str">
        <f>IF(ISNUMBER(SEARCH("R", 'WetLitterbags placem_collection'!W208)),"YES","NO")</f>
        <v>NO</v>
      </c>
      <c r="AC281" s="255" t="str">
        <f>IF(ISNUMBER(SEARCH("C", 'WetLitterbags placem_collection'!V208)),"YES","NO")</f>
        <v>NO</v>
      </c>
      <c r="AD281" s="255" t="str">
        <f>IF(ISNUMBER(SEARCH("H", 'WetLitterbags placem_collection'!V208)),"YES","NO")</f>
        <v>NO</v>
      </c>
      <c r="AE281" s="255" t="str">
        <f>IF(ISNUMBER(SEARCH("R", 'WetLitterbags placem_collection'!V208)),"YES","NO")</f>
        <v>YES</v>
      </c>
    </row>
    <row r="282" spans="2:31">
      <c r="B282" t="str">
        <f>'Final data_for_R_analysis_Wetse'!A208</f>
        <v>Wet</v>
      </c>
      <c r="C282" s="263">
        <f>'Final data_for_R_analysis_Wetse'!B208</f>
        <v>207</v>
      </c>
      <c r="D282" t="s">
        <v>2448</v>
      </c>
      <c r="E282" t="s">
        <v>22</v>
      </c>
      <c r="F282" s="387">
        <v>3</v>
      </c>
      <c r="G282" s="16">
        <f>'WetLitterbags placem_collection'!E209</f>
        <v>42769</v>
      </c>
      <c r="H282" t="str">
        <f>'Final data_for_R_analysis_Wetse'!J208</f>
        <v>G574</v>
      </c>
      <c r="I282" t="str">
        <f>'Final data_for_R_analysis_Wetse'!J428</f>
        <v>R258</v>
      </c>
      <c r="J282">
        <f>IFERROR(INDEX('Green_rooibos initial weight'!$C$5:$C$1749,MATCH(H282, 'Green_rooibos initial weight'!$A$5:$A$1749,0)),"")</f>
        <v>1.984</v>
      </c>
      <c r="K282">
        <f>IFERROR(INDEX('Green_rooibos initial weight'!$C$5:$C$1749,MATCH(I282, 'Green_rooibos initial weight'!$A$5:$A$1749,0)),"")</f>
        <v>2.17</v>
      </c>
      <c r="L282" s="195">
        <f t="shared" si="29"/>
        <v>1.7342</v>
      </c>
      <c r="M282" s="195">
        <f>AVERAGE(Ashed_controlls!$K$2:$K$11)</f>
        <v>5.5147656768714146</v>
      </c>
      <c r="N282" s="195">
        <f t="shared" si="27"/>
        <v>1.9201999999999999</v>
      </c>
      <c r="O282" s="16">
        <f>IF('WetLitterbags placem_collection'!G209="N.A","",'WetLitterbags placem_collection'!G209)</f>
        <v>42813</v>
      </c>
      <c r="P282" s="195">
        <f>IF(IFERROR(INDEX('Both teabags AfterWet'!$C$3:$C$841,MATCH(H282,'Both teabags AfterWet'!$A$3:$A$841,0)),"")="N.A","",(IFERROR(INDEX('Both teabags AfterWet'!$C$3:$C$841,MATCH(H282,'Both teabags AfterWet'!$A$3:$A$841,0)),"")))</f>
        <v>0.77700000000000002</v>
      </c>
      <c r="Q282" s="195">
        <f>IFERROR(INDEX('Both teabags AfterWet'!$C$3:$C$841,MATCH(I282,'Both teabags AfterWet'!$A$3:$A$841,0)),"")</f>
        <v>1.5820000000000001</v>
      </c>
      <c r="R282" s="195">
        <f t="shared" si="30"/>
        <v>0.62640000000000007</v>
      </c>
      <c r="S282" s="195">
        <f t="shared" si="30"/>
        <v>1.4314</v>
      </c>
      <c r="T282" s="195">
        <f t="shared" si="31"/>
        <v>0.6387959866220736</v>
      </c>
      <c r="U282" s="195">
        <f t="shared" si="32"/>
        <v>0.41878311712040939</v>
      </c>
      <c r="V282" s="195">
        <f t="shared" si="33"/>
        <v>0.7454431830017707</v>
      </c>
      <c r="W282">
        <f t="shared" si="28"/>
        <v>44</v>
      </c>
      <c r="X282" s="195">
        <f t="shared" si="34"/>
        <v>0.24133493275288165</v>
      </c>
      <c r="Y282" s="195">
        <f t="shared" si="35"/>
        <v>2.1275177504834656E-2</v>
      </c>
      <c r="Z282" s="255" t="str">
        <f>IF(ISNUMBER(SEARCH("C",'WetLitterbags placem_collection'!W209)),"YES","NO")</f>
        <v>YES</v>
      </c>
      <c r="AA282" s="255" t="str">
        <f>IF(ISNUMBER(SEARCH("H", 'WetLitterbags placem_collection'!W209)),"YES","NO")</f>
        <v>YES</v>
      </c>
      <c r="AB282" s="255" t="str">
        <f>IF(ISNUMBER(SEARCH("R", 'WetLitterbags placem_collection'!W209)),"YES","NO")</f>
        <v>NO</v>
      </c>
      <c r="AC282" s="255" t="str">
        <f>IF(ISNUMBER(SEARCH("C", 'WetLitterbags placem_collection'!V209)),"YES","NO")</f>
        <v>NO</v>
      </c>
      <c r="AD282" s="255" t="str">
        <f>IF(ISNUMBER(SEARCH("H", 'WetLitterbags placem_collection'!V209)),"YES","NO")</f>
        <v>NO</v>
      </c>
      <c r="AE282" s="255" t="str">
        <f>IF(ISNUMBER(SEARCH("R", 'WetLitterbags placem_collection'!V209)),"YES","NO")</f>
        <v>YES</v>
      </c>
    </row>
    <row r="283" spans="2:31">
      <c r="B283" t="str">
        <f>'Final data_for_R_analysis_Wetse'!A209</f>
        <v>Wet</v>
      </c>
      <c r="C283" s="263">
        <f>'Final data_for_R_analysis_Wetse'!B209</f>
        <v>208</v>
      </c>
      <c r="D283" t="s">
        <v>2441</v>
      </c>
      <c r="E283" t="s">
        <v>22</v>
      </c>
      <c r="F283" s="387">
        <v>4</v>
      </c>
      <c r="G283" s="16">
        <f>'WetLitterbags placem_collection'!E210</f>
        <v>42769</v>
      </c>
      <c r="H283" t="str">
        <f>'Final data_for_R_analysis_Wetse'!J209</f>
        <v>G710</v>
      </c>
      <c r="I283" t="str">
        <f>'Final data_for_R_analysis_Wetse'!J429</f>
        <v>R344</v>
      </c>
      <c r="J283">
        <f>IFERROR(INDEX('Green_rooibos initial weight'!$C$5:$C$1749,MATCH(H283, 'Green_rooibos initial weight'!$A$5:$A$1749,0)),"")</f>
        <v>2.0270000000000001</v>
      </c>
      <c r="K283">
        <f>IFERROR(INDEX('Green_rooibos initial weight'!$C$5:$C$1749,MATCH(I283, 'Green_rooibos initial weight'!$A$5:$A$1749,0)),"")</f>
        <v>2.153</v>
      </c>
      <c r="L283" s="195">
        <f t="shared" si="29"/>
        <v>1.7772000000000001</v>
      </c>
      <c r="M283" s="195">
        <f>AVERAGE(Ashed_controlls!$K$2:$K$11)</f>
        <v>5.5147656768714146</v>
      </c>
      <c r="N283" s="195">
        <f t="shared" si="27"/>
        <v>1.9032</v>
      </c>
      <c r="O283" s="16">
        <f>IF('WetLitterbags placem_collection'!G210="N.A","",'WetLitterbags placem_collection'!G210)</f>
        <v>42813</v>
      </c>
      <c r="P283" s="195">
        <f>IF(IFERROR(INDEX('Both teabags AfterWet'!$C$3:$C$841,MATCH(H283,'Both teabags AfterWet'!$A$3:$A$841,0)),"")="N.A","",(IFERROR(INDEX('Both teabags AfterWet'!$C$3:$C$841,MATCH(H283,'Both teabags AfterWet'!$A$3:$A$841,0)),"")))</f>
        <v>0.91</v>
      </c>
      <c r="Q283" s="195">
        <f>IFERROR(INDEX('Both teabags AfterWet'!$C$3:$C$841,MATCH(I283,'Both teabags AfterWet'!$A$3:$A$841,0)),"")</f>
        <v>1.476</v>
      </c>
      <c r="R283" s="195">
        <f t="shared" si="30"/>
        <v>0.75940000000000007</v>
      </c>
      <c r="S283" s="195">
        <f t="shared" si="30"/>
        <v>1.3253999999999999</v>
      </c>
      <c r="T283" s="195">
        <f t="shared" si="31"/>
        <v>0.57269862705379249</v>
      </c>
      <c r="U283" s="195">
        <f t="shared" si="32"/>
        <v>0.37545088139393529</v>
      </c>
      <c r="V283" s="195">
        <f t="shared" si="33"/>
        <v>0.69640605296342994</v>
      </c>
      <c r="W283">
        <f t="shared" si="28"/>
        <v>44</v>
      </c>
      <c r="X283" s="195">
        <f t="shared" si="34"/>
        <v>0.31983535979359556</v>
      </c>
      <c r="Y283" s="195">
        <f t="shared" si="35"/>
        <v>3.757842124220527E-2</v>
      </c>
      <c r="Z283" s="255" t="str">
        <f>IF(ISNUMBER(SEARCH("C",'WetLitterbags placem_collection'!W210)),"YES","NO")</f>
        <v>NO</v>
      </c>
      <c r="AA283" s="255" t="str">
        <f>IF(ISNUMBER(SEARCH("H", 'WetLitterbags placem_collection'!W210)),"YES","NO")</f>
        <v>NO</v>
      </c>
      <c r="AB283" s="255" t="str">
        <f>IF(ISNUMBER(SEARCH("R", 'WetLitterbags placem_collection'!W210)),"YES","NO")</f>
        <v>YES</v>
      </c>
      <c r="AC283" s="255" t="str">
        <f>IF(ISNUMBER(SEARCH("C", 'WetLitterbags placem_collection'!V210)),"YES","NO")</f>
        <v>NO</v>
      </c>
      <c r="AD283" s="255" t="str">
        <f>IF(ISNUMBER(SEARCH("H", 'WetLitterbags placem_collection'!V210)),"YES","NO")</f>
        <v>NO</v>
      </c>
      <c r="AE283" s="255" t="str">
        <f>IF(ISNUMBER(SEARCH("R", 'WetLitterbags placem_collection'!V210)),"YES","NO")</f>
        <v>YES</v>
      </c>
    </row>
    <row r="284" spans="2:31">
      <c r="B284" t="str">
        <f>'Final data_for_R_analysis_Wetse'!A210</f>
        <v>Wet</v>
      </c>
      <c r="C284" s="263">
        <f>'Final data_for_R_analysis_Wetse'!B210</f>
        <v>209</v>
      </c>
      <c r="D284" t="s">
        <v>2435</v>
      </c>
      <c r="E284" t="s">
        <v>22</v>
      </c>
      <c r="F284" s="387">
        <v>1</v>
      </c>
      <c r="G284" s="16">
        <f>'WetLitterbags placem_collection'!E211</f>
        <v>42769</v>
      </c>
      <c r="H284" t="str">
        <f>'Final data_for_R_analysis_Wetse'!J210</f>
        <v>G604</v>
      </c>
      <c r="I284" t="str">
        <f>'Final data_for_R_analysis_Wetse'!J430</f>
        <v>R271</v>
      </c>
      <c r="J284">
        <f>IFERROR(INDEX('Green_rooibos initial weight'!$C$5:$C$1749,MATCH(H284, 'Green_rooibos initial weight'!$A$5:$A$1749,0)),"")</f>
        <v>2.0390000000000001</v>
      </c>
      <c r="K284">
        <f>IFERROR(INDEX('Green_rooibos initial weight'!$C$5:$C$1749,MATCH(I284, 'Green_rooibos initial weight'!$A$5:$A$1749,0)),"")</f>
        <v>2.2829999999999999</v>
      </c>
      <c r="L284" s="195">
        <f t="shared" si="29"/>
        <v>1.7892000000000001</v>
      </c>
      <c r="M284" s="195">
        <f>AVERAGE(Ashed_controlls!$K$2:$K$11)</f>
        <v>5.5147656768714146</v>
      </c>
      <c r="N284" s="195">
        <f t="shared" si="27"/>
        <v>2.0331999999999999</v>
      </c>
      <c r="O284" s="16">
        <f>IF('WetLitterbags placem_collection'!G211="N.A","",'WetLitterbags placem_collection'!G211)</f>
        <v>42814</v>
      </c>
      <c r="P284" s="195">
        <f>IF(IFERROR(INDEX('Both teabags AfterWet'!$C$3:$C$841,MATCH(H284,'Both teabags AfterWet'!$A$3:$A$841,0)),"")="N.A","",(IFERROR(INDEX('Both teabags AfterWet'!$C$3:$C$841,MATCH(H284,'Both teabags AfterWet'!$A$3:$A$841,0)),"")))</f>
        <v>0.748</v>
      </c>
      <c r="Q284" s="195">
        <f>IFERROR(INDEX('Both teabags AfterWet'!$C$3:$C$841,MATCH(I284,'Both teabags AfterWet'!$A$3:$A$841,0)),"")</f>
        <v>1.754</v>
      </c>
      <c r="R284" s="195">
        <f t="shared" si="30"/>
        <v>0.59739999999999993</v>
      </c>
      <c r="S284" s="195">
        <f t="shared" si="30"/>
        <v>1.6033999999999999</v>
      </c>
      <c r="T284" s="195">
        <f t="shared" si="31"/>
        <v>0.66610775765705355</v>
      </c>
      <c r="U284" s="195">
        <f t="shared" si="32"/>
        <v>0.43668822117184508</v>
      </c>
      <c r="V284" s="195">
        <f t="shared" si="33"/>
        <v>0.78860908912059813</v>
      </c>
      <c r="W284">
        <f t="shared" si="28"/>
        <v>45</v>
      </c>
      <c r="X284" s="195">
        <f t="shared" si="34"/>
        <v>0.20889815005100532</v>
      </c>
      <c r="Y284" s="195">
        <f t="shared" si="35"/>
        <v>1.4706635083159539E-2</v>
      </c>
      <c r="Z284" s="255" t="str">
        <f>IF(ISNUMBER(SEARCH("C",'WetLitterbags placem_collection'!W211)),"YES","NO")</f>
        <v>NO</v>
      </c>
      <c r="AA284" s="255" t="str">
        <f>IF(ISNUMBER(SEARCH("H", 'WetLitterbags placem_collection'!W211)),"YES","NO")</f>
        <v>NO</v>
      </c>
      <c r="AB284" s="255" t="str">
        <f>IF(ISNUMBER(SEARCH("R", 'WetLitterbags placem_collection'!W211)),"YES","NO")</f>
        <v>YES</v>
      </c>
      <c r="AC284" s="255" t="str">
        <f>IF(ISNUMBER(SEARCH("C", 'WetLitterbags placem_collection'!V211)),"YES","NO")</f>
        <v>NO</v>
      </c>
      <c r="AD284" s="255" t="str">
        <f>IF(ISNUMBER(SEARCH("H", 'WetLitterbags placem_collection'!V211)),"YES","NO")</f>
        <v>NO</v>
      </c>
      <c r="AE284" s="255" t="str">
        <f>IF(ISNUMBER(SEARCH("R", 'WetLitterbags placem_collection'!V211)),"YES","NO")</f>
        <v>YES</v>
      </c>
    </row>
    <row r="285" spans="2:31">
      <c r="B285" t="str">
        <f>'Final data_for_R_analysis_Wetse'!A211</f>
        <v>Wet</v>
      </c>
      <c r="C285" s="263">
        <f>'Final data_for_R_analysis_Wetse'!B211</f>
        <v>210</v>
      </c>
      <c r="D285" t="s">
        <v>2449</v>
      </c>
      <c r="E285" t="s">
        <v>22</v>
      </c>
      <c r="F285" s="387">
        <v>2</v>
      </c>
      <c r="G285" s="16">
        <f>'WetLitterbags placem_collection'!E212</f>
        <v>42769</v>
      </c>
      <c r="H285" t="str">
        <f>'Final data_for_R_analysis_Wetse'!J211</f>
        <v>G871</v>
      </c>
      <c r="I285" t="str">
        <f>'Final data_for_R_analysis_Wetse'!J431</f>
        <v>R340</v>
      </c>
      <c r="J285">
        <f>IFERROR(INDEX('Green_rooibos initial weight'!$C$5:$C$1749,MATCH(H285, 'Green_rooibos initial weight'!$A$5:$A$1749,0)),"")</f>
        <v>2.0680000000000001</v>
      </c>
      <c r="K285">
        <f>IFERROR(INDEX('Green_rooibos initial weight'!$C$5:$C$1749,MATCH(I285, 'Green_rooibos initial weight'!$A$5:$A$1749,0)),"")</f>
        <v>2.2130000000000001</v>
      </c>
      <c r="L285" s="195">
        <f t="shared" si="29"/>
        <v>1.8182</v>
      </c>
      <c r="M285" s="195">
        <f>AVERAGE(Ashed_controlls!$K$2:$K$11)</f>
        <v>5.5147656768714146</v>
      </c>
      <c r="N285" s="195">
        <f t="shared" si="27"/>
        <v>1.9632000000000001</v>
      </c>
      <c r="O285" s="16">
        <f>IF('WetLitterbags placem_collection'!G212="N.A","",'WetLitterbags placem_collection'!G212)</f>
        <v>42813</v>
      </c>
      <c r="P285" s="195">
        <f>IF(IFERROR(INDEX('Both teabags AfterWet'!$C$3:$C$841,MATCH(H285,'Both teabags AfterWet'!$A$3:$A$841,0)),"")="N.A","",(IFERROR(INDEX('Both teabags AfterWet'!$C$3:$C$841,MATCH(H285,'Both teabags AfterWet'!$A$3:$A$841,0)),"")))</f>
        <v>0.83130000000000004</v>
      </c>
      <c r="Q285" s="195">
        <f>IFERROR(INDEX('Both teabags AfterWet'!$C$3:$C$841,MATCH(I285,'Both teabags AfterWet'!$A$3:$A$841,0)),"")</f>
        <v>1.6197999999999999</v>
      </c>
      <c r="R285" s="195">
        <f t="shared" si="30"/>
        <v>0.68070000000000008</v>
      </c>
      <c r="S285" s="195">
        <f t="shared" si="30"/>
        <v>1.4691999999999998</v>
      </c>
      <c r="T285" s="195">
        <f t="shared" si="31"/>
        <v>0.62561874381256177</v>
      </c>
      <c r="U285" s="195">
        <f t="shared" si="32"/>
        <v>0.41014435461346094</v>
      </c>
      <c r="V285" s="195">
        <f t="shared" si="33"/>
        <v>0.74837000814995913</v>
      </c>
      <c r="W285">
        <f t="shared" si="28"/>
        <v>44</v>
      </c>
      <c r="X285" s="195">
        <f t="shared" si="34"/>
        <v>0.25698486483068672</v>
      </c>
      <c r="Y285" s="195">
        <f t="shared" si="35"/>
        <v>2.1605999457692288E-2</v>
      </c>
      <c r="Z285" s="255" t="str">
        <f>IF(ISNUMBER(SEARCH("C",'WetLitterbags placem_collection'!W212)),"YES","NO")</f>
        <v>NO</v>
      </c>
      <c r="AA285" s="255" t="str">
        <f>IF(ISNUMBER(SEARCH("H", 'WetLitterbags placem_collection'!W212)),"YES","NO")</f>
        <v>NO</v>
      </c>
      <c r="AB285" s="255" t="str">
        <f>IF(ISNUMBER(SEARCH("R", 'WetLitterbags placem_collection'!W212)),"YES","NO")</f>
        <v>YES</v>
      </c>
      <c r="AC285" s="255" t="str">
        <f>IF(ISNUMBER(SEARCH("C", 'WetLitterbags placem_collection'!V212)),"YES","NO")</f>
        <v>NO</v>
      </c>
      <c r="AD285" s="255" t="str">
        <f>IF(ISNUMBER(SEARCH("H", 'WetLitterbags placem_collection'!V212)),"YES","NO")</f>
        <v>NO</v>
      </c>
      <c r="AE285" s="255" t="str">
        <f>IF(ISNUMBER(SEARCH("R", 'WetLitterbags placem_collection'!V212)),"YES","NO")</f>
        <v>YES</v>
      </c>
    </row>
    <row r="286" spans="2:31">
      <c r="B286" t="str">
        <f>'Final data_for_R_analysis_Wetse'!A212</f>
        <v>Wet</v>
      </c>
      <c r="C286" s="263">
        <f>'Final data_for_R_analysis_Wetse'!B212</f>
        <v>211</v>
      </c>
      <c r="D286" t="s">
        <v>2426</v>
      </c>
      <c r="E286" t="s">
        <v>22</v>
      </c>
      <c r="F286" s="387">
        <v>3</v>
      </c>
      <c r="G286" s="16">
        <f>'WetLitterbags placem_collection'!E213</f>
        <v>42769</v>
      </c>
      <c r="H286" t="str">
        <f>'Final data_for_R_analysis_Wetse'!J212</f>
        <v>G822</v>
      </c>
      <c r="I286" t="str">
        <f>'Final data_for_R_analysis_Wetse'!J432</f>
        <v>R381</v>
      </c>
      <c r="J286">
        <f>IFERROR(INDEX('Green_rooibos initial weight'!$C$5:$C$1749,MATCH(H286, 'Green_rooibos initial weight'!$A$5:$A$1749,0)),"")</f>
        <v>2.02</v>
      </c>
      <c r="K286">
        <f>IFERROR(INDEX('Green_rooibos initial weight'!$C$5:$C$1749,MATCH(I286, 'Green_rooibos initial weight'!$A$5:$A$1749,0)),"")</f>
        <v>2.2349999999999999</v>
      </c>
      <c r="L286" s="195">
        <f t="shared" si="29"/>
        <v>1.7702</v>
      </c>
      <c r="M286" s="195">
        <f>AVERAGE(Ashed_controlls!$K$2:$K$11)</f>
        <v>5.5147656768714146</v>
      </c>
      <c r="N286" s="195">
        <f t="shared" si="27"/>
        <v>1.9851999999999999</v>
      </c>
      <c r="O286" s="16">
        <f>IF('WetLitterbags placem_collection'!G213="N.A","",'WetLitterbags placem_collection'!G213)</f>
        <v>42814</v>
      </c>
      <c r="P286" s="195">
        <f>IF(IFERROR(INDEX('Both teabags AfterWet'!$C$3:$C$841,MATCH(H286,'Both teabags AfterWet'!$A$3:$A$841,0)),"")="N.A","",(IFERROR(INDEX('Both teabags AfterWet'!$C$3:$C$841,MATCH(H286,'Both teabags AfterWet'!$A$3:$A$841,0)),"")))</f>
        <v>0.85699999999999998</v>
      </c>
      <c r="Q286" s="195">
        <f>IFERROR(INDEX('Both teabags AfterWet'!$C$3:$C$841,MATCH(I286,'Both teabags AfterWet'!$A$3:$A$841,0)),"")</f>
        <v>1.528</v>
      </c>
      <c r="R286" s="195">
        <f t="shared" si="30"/>
        <v>0.70639999999999992</v>
      </c>
      <c r="S286" s="195">
        <f t="shared" si="30"/>
        <v>1.3774</v>
      </c>
      <c r="T286" s="195">
        <f t="shared" si="31"/>
        <v>0.60094904530561521</v>
      </c>
      <c r="U286" s="195">
        <f t="shared" si="32"/>
        <v>0.39397134561603281</v>
      </c>
      <c r="V286" s="195">
        <f t="shared" si="33"/>
        <v>0.69383437437034057</v>
      </c>
      <c r="W286">
        <f t="shared" si="28"/>
        <v>45</v>
      </c>
      <c r="X286" s="195">
        <f t="shared" si="34"/>
        <v>0.28628379417385363</v>
      </c>
      <c r="Y286" s="195">
        <f t="shared" si="35"/>
        <v>3.3358922963616186E-2</v>
      </c>
      <c r="Z286" s="255" t="str">
        <f>IF(ISNUMBER(SEARCH("C",'WetLitterbags placem_collection'!W213)),"YES","NO")</f>
        <v>NO</v>
      </c>
      <c r="AA286" s="255" t="str">
        <f>IF(ISNUMBER(SEARCH("H", 'WetLitterbags placem_collection'!W213)),"YES","NO")</f>
        <v>NO</v>
      </c>
      <c r="AB286" s="255" t="str">
        <f>IF(ISNUMBER(SEARCH("R", 'WetLitterbags placem_collection'!W213)),"YES","NO")</f>
        <v>YES</v>
      </c>
      <c r="AC286" s="255" t="str">
        <f>IF(ISNUMBER(SEARCH("C", 'WetLitterbags placem_collection'!V213)),"YES","NO")</f>
        <v>NO</v>
      </c>
      <c r="AD286" s="255" t="str">
        <f>IF(ISNUMBER(SEARCH("H", 'WetLitterbags placem_collection'!V213)),"YES","NO")</f>
        <v>NO</v>
      </c>
      <c r="AE286" s="255" t="str">
        <f>IF(ISNUMBER(SEARCH("R", 'WetLitterbags placem_collection'!V213)),"YES","NO")</f>
        <v>YES</v>
      </c>
    </row>
    <row r="287" spans="2:31">
      <c r="B287" t="str">
        <f>'Final data_for_R_analysis_Wetse'!A213</f>
        <v>Wet</v>
      </c>
      <c r="C287" s="263">
        <f>'Final data_for_R_analysis_Wetse'!B213</f>
        <v>215</v>
      </c>
      <c r="D287" t="s">
        <v>2427</v>
      </c>
      <c r="E287" t="s">
        <v>22</v>
      </c>
      <c r="F287" s="387">
        <v>3</v>
      </c>
      <c r="G287" s="16">
        <f>'WetLitterbags placem_collection'!E214</f>
        <v>42769</v>
      </c>
      <c r="H287" t="str">
        <f>'Final data_for_R_analysis_Wetse'!J213</f>
        <v>G786</v>
      </c>
      <c r="I287" t="str">
        <f>'Final data_for_R_analysis_Wetse'!J433</f>
        <v>R93</v>
      </c>
      <c r="J287">
        <f>IFERROR(INDEX('Green_rooibos initial weight'!$C$5:$C$1749,MATCH(H287, 'Green_rooibos initial weight'!$A$5:$A$1749,0)),"")</f>
        <v>2.097</v>
      </c>
      <c r="K287">
        <f>IFERROR(INDEX('Green_rooibos initial weight'!$C$5:$C$1749,MATCH(I287, 'Green_rooibos initial weight'!$A$5:$A$1749,0)),"")</f>
        <v>2.1709999999999998</v>
      </c>
      <c r="L287" s="195">
        <f t="shared" si="29"/>
        <v>1.8472</v>
      </c>
      <c r="M287" s="195">
        <f>AVERAGE(Ashed_controlls!$K$2:$K$11)</f>
        <v>5.5147656768714146</v>
      </c>
      <c r="N287" s="195">
        <f t="shared" si="27"/>
        <v>1.9211999999999998</v>
      </c>
      <c r="O287" s="16">
        <f>IF('WetLitterbags placem_collection'!G214="N.A","",'WetLitterbags placem_collection'!G214)</f>
        <v>42813</v>
      </c>
      <c r="P287" s="195">
        <f>IF(IFERROR(INDEX('Both teabags AfterWet'!$C$3:$C$841,MATCH(H287,'Both teabags AfterWet'!$A$3:$A$841,0)),"")="N.A","",(IFERROR(INDEX('Both teabags AfterWet'!$C$3:$C$841,MATCH(H287,'Both teabags AfterWet'!$A$3:$A$841,0)),"")))</f>
        <v>0.86439999999999995</v>
      </c>
      <c r="Q287" s="195">
        <f>IFERROR(INDEX('Both teabags AfterWet'!$C$3:$C$841,MATCH(I287,'Both teabags AfterWet'!$A$3:$A$841,0)),"")</f>
        <v>1.5831999999999999</v>
      </c>
      <c r="R287" s="195">
        <f t="shared" si="30"/>
        <v>0.71379999999999999</v>
      </c>
      <c r="S287" s="195">
        <f t="shared" si="30"/>
        <v>1.4325999999999999</v>
      </c>
      <c r="T287" s="195">
        <f t="shared" si="31"/>
        <v>0.6135773061931572</v>
      </c>
      <c r="U287" s="195">
        <f t="shared" si="32"/>
        <v>0.40225020548530027</v>
      </c>
      <c r="V287" s="195">
        <f t="shared" si="33"/>
        <v>0.74567978346866548</v>
      </c>
      <c r="W287">
        <f t="shared" si="28"/>
        <v>44</v>
      </c>
      <c r="X287" s="195">
        <f t="shared" si="34"/>
        <v>0.27128585962807927</v>
      </c>
      <c r="Y287" s="195">
        <f t="shared" si="35"/>
        <v>2.2734890510879111E-2</v>
      </c>
      <c r="Z287" s="255" t="str">
        <f>IF(ISNUMBER(SEARCH("C",'WetLitterbags placem_collection'!W214)),"YES","NO")</f>
        <v>YES</v>
      </c>
      <c r="AA287" s="255" t="str">
        <f>IF(ISNUMBER(SEARCH("H", 'WetLitterbags placem_collection'!W214)),"YES","NO")</f>
        <v>NO</v>
      </c>
      <c r="AB287" s="255" t="str">
        <f>IF(ISNUMBER(SEARCH("R", 'WetLitterbags placem_collection'!W214)),"YES","NO")</f>
        <v>YES</v>
      </c>
      <c r="AC287" s="255" t="str">
        <f>IF(ISNUMBER(SEARCH("C", 'WetLitterbags placem_collection'!V214)),"YES","NO")</f>
        <v>NO</v>
      </c>
      <c r="AD287" s="255" t="str">
        <f>IF(ISNUMBER(SEARCH("H", 'WetLitterbags placem_collection'!V214)),"YES","NO")</f>
        <v>NO</v>
      </c>
      <c r="AE287" s="255" t="str">
        <f>IF(ISNUMBER(SEARCH("R", 'WetLitterbags placem_collection'!V214)),"YES","NO")</f>
        <v>NO</v>
      </c>
    </row>
    <row r="288" spans="2:31">
      <c r="B288" t="str">
        <f>'Final data_for_R_analysis_Wetse'!A214</f>
        <v>Wet</v>
      </c>
      <c r="C288" s="263">
        <f>'Final data_for_R_analysis_Wetse'!B214</f>
        <v>212</v>
      </c>
      <c r="D288" t="s">
        <v>2442</v>
      </c>
      <c r="E288" t="s">
        <v>22</v>
      </c>
      <c r="F288" s="387">
        <v>4</v>
      </c>
      <c r="G288" s="16">
        <f>'WetLitterbags placem_collection'!E215</f>
        <v>42769</v>
      </c>
      <c r="H288" t="str">
        <f>'Final data_for_R_analysis_Wetse'!J214</f>
        <v>G572</v>
      </c>
      <c r="I288" t="str">
        <f>'Final data_for_R_analysis_Wetse'!J434</f>
        <v>R88</v>
      </c>
      <c r="J288">
        <f>IFERROR(INDEX('Green_rooibos initial weight'!$C$5:$C$1749,MATCH(H288, 'Green_rooibos initial weight'!$A$5:$A$1749,0)),"")</f>
        <v>1.972</v>
      </c>
      <c r="K288">
        <f>IFERROR(INDEX('Green_rooibos initial weight'!$C$5:$C$1749,MATCH(I288, 'Green_rooibos initial weight'!$A$5:$A$1749,0)),"")</f>
        <v>2.1520000000000001</v>
      </c>
      <c r="L288" s="195">
        <f t="shared" si="29"/>
        <v>1.7222</v>
      </c>
      <c r="M288" s="195">
        <f>AVERAGE(Ashed_controlls!$K$2:$K$11)</f>
        <v>5.5147656768714146</v>
      </c>
      <c r="N288" s="195">
        <f t="shared" si="27"/>
        <v>1.9022000000000001</v>
      </c>
      <c r="O288" s="16">
        <f>IF('WetLitterbags placem_collection'!G215="N.A","",'WetLitterbags placem_collection'!G215)</f>
        <v>42813</v>
      </c>
      <c r="P288" s="195">
        <f>IF(IFERROR(INDEX('Both teabags AfterWet'!$C$3:$C$841,MATCH(H288,'Both teabags AfterWet'!$A$3:$A$841,0)),"")="N.A","",(IFERROR(INDEX('Both teabags AfterWet'!$C$3:$C$841,MATCH(H288,'Both teabags AfterWet'!$A$3:$A$841,0)),"")))</f>
        <v>0.71399999999999997</v>
      </c>
      <c r="Q288" s="195">
        <f>IFERROR(INDEX('Both teabags AfterWet'!$C$3:$C$841,MATCH(I288,'Both teabags AfterWet'!$A$3:$A$841,0)),"")</f>
        <v>1.542</v>
      </c>
      <c r="R288" s="195">
        <f t="shared" si="30"/>
        <v>0.5633999999999999</v>
      </c>
      <c r="S288" s="195">
        <f t="shared" si="30"/>
        <v>1.3914</v>
      </c>
      <c r="T288" s="195">
        <f t="shared" si="31"/>
        <v>0.67286029497154809</v>
      </c>
      <c r="U288" s="195">
        <f t="shared" si="32"/>
        <v>0.44111506273669193</v>
      </c>
      <c r="V288" s="195">
        <f t="shared" si="33"/>
        <v>0.73146882557039217</v>
      </c>
      <c r="W288">
        <f t="shared" si="28"/>
        <v>44</v>
      </c>
      <c r="X288" s="195">
        <f t="shared" si="34"/>
        <v>0.20087850953497843</v>
      </c>
      <c r="Y288" s="195">
        <f t="shared" si="35"/>
        <v>2.1327780167317251E-2</v>
      </c>
      <c r="Z288" s="255" t="str">
        <f>IF(ISNUMBER(SEARCH("C",'WetLitterbags placem_collection'!W215)),"YES","NO")</f>
        <v>NO</v>
      </c>
      <c r="AA288" s="255" t="str">
        <f>IF(ISNUMBER(SEARCH("H", 'WetLitterbags placem_collection'!W215)),"YES","NO")</f>
        <v>NO</v>
      </c>
      <c r="AB288" s="255" t="str">
        <f>IF(ISNUMBER(SEARCH("R", 'WetLitterbags placem_collection'!W215)),"YES","NO")</f>
        <v>YES</v>
      </c>
      <c r="AC288" s="255" t="str">
        <f>IF(ISNUMBER(SEARCH("C", 'WetLitterbags placem_collection'!V215)),"YES","NO")</f>
        <v>NO</v>
      </c>
      <c r="AD288" s="255" t="str">
        <f>IF(ISNUMBER(SEARCH("H", 'WetLitterbags placem_collection'!V215)),"YES","NO")</f>
        <v>NO</v>
      </c>
      <c r="AE288" s="255" t="str">
        <f>IF(ISNUMBER(SEARCH("R", 'WetLitterbags placem_collection'!V215)),"YES","NO")</f>
        <v>YES</v>
      </c>
    </row>
    <row r="289" spans="2:31">
      <c r="B289" t="str">
        <f>'Final data_for_R_analysis_Wetse'!A215</f>
        <v>Wet</v>
      </c>
      <c r="C289" s="263">
        <f>'Final data_for_R_analysis_Wetse'!B215</f>
        <v>213</v>
      </c>
      <c r="D289" t="s">
        <v>2450</v>
      </c>
      <c r="E289" t="s">
        <v>22</v>
      </c>
      <c r="F289" s="387">
        <v>1</v>
      </c>
      <c r="G289" s="16">
        <f>'WetLitterbags placem_collection'!E216</f>
        <v>42769</v>
      </c>
      <c r="H289" t="str">
        <f>'Final data_for_R_analysis_Wetse'!J215</f>
        <v>G761</v>
      </c>
      <c r="I289" t="str">
        <f>'Final data_for_R_analysis_Wetse'!J435</f>
        <v>R383</v>
      </c>
      <c r="J289">
        <f>IFERROR(INDEX('Green_rooibos initial weight'!$C$5:$C$1749,MATCH(H289, 'Green_rooibos initial weight'!$A$5:$A$1749,0)),"")</f>
        <v>2.0110000000000001</v>
      </c>
      <c r="K289">
        <f>IFERROR(INDEX('Green_rooibos initial weight'!$C$5:$C$1749,MATCH(I289, 'Green_rooibos initial weight'!$A$5:$A$1749,0)),"")</f>
        <v>2.234</v>
      </c>
      <c r="L289" s="195">
        <f t="shared" si="29"/>
        <v>1.7612000000000001</v>
      </c>
      <c r="M289" s="195">
        <f>AVERAGE(Ashed_controlls!$K$2:$K$11)</f>
        <v>5.5147656768714146</v>
      </c>
      <c r="N289" s="195">
        <f t="shared" si="27"/>
        <v>1.9842</v>
      </c>
      <c r="O289" s="16">
        <f>IF('WetLitterbags placem_collection'!G216="N.A","",'WetLitterbags placem_collection'!G216)</f>
        <v>42813</v>
      </c>
      <c r="P289" s="195">
        <f>IF(IFERROR(INDEX('Both teabags AfterWet'!$C$3:$C$841,MATCH(H289,'Both teabags AfterWet'!$A$3:$A$841,0)),"")="N.A","",(IFERROR(INDEX('Both teabags AfterWet'!$C$3:$C$841,MATCH(H289,'Both teabags AfterWet'!$A$3:$A$841,0)),"")))</f>
        <v>0.71299999999999997</v>
      </c>
      <c r="Q289" s="195">
        <f>IFERROR(INDEX('Both teabags AfterWet'!$C$3:$C$841,MATCH(I289,'Both teabags AfterWet'!$A$3:$A$841,0)),"")</f>
        <v>1.587</v>
      </c>
      <c r="R289" s="195">
        <f t="shared" si="30"/>
        <v>0.56240000000000001</v>
      </c>
      <c r="S289" s="195">
        <f t="shared" si="30"/>
        <v>1.4363999999999999</v>
      </c>
      <c r="T289" s="195">
        <f t="shared" si="31"/>
        <v>0.68067226890756305</v>
      </c>
      <c r="U289" s="195">
        <f t="shared" si="32"/>
        <v>0.44623645182538579</v>
      </c>
      <c r="V289" s="195">
        <f t="shared" si="33"/>
        <v>0.72391895978227994</v>
      </c>
      <c r="W289">
        <f t="shared" si="28"/>
        <v>44</v>
      </c>
      <c r="X289" s="195">
        <f t="shared" si="34"/>
        <v>0.19160063075111278</v>
      </c>
      <c r="Y289" s="195">
        <f t="shared" si="35"/>
        <v>2.1912199254853739E-2</v>
      </c>
      <c r="Z289" s="255" t="str">
        <f>IF(ISNUMBER(SEARCH("C",'WetLitterbags placem_collection'!W216)),"YES","NO")</f>
        <v>NO</v>
      </c>
      <c r="AA289" s="255" t="str">
        <f>IF(ISNUMBER(SEARCH("H", 'WetLitterbags placem_collection'!W216)),"YES","NO")</f>
        <v>NO</v>
      </c>
      <c r="AB289" s="255" t="str">
        <f>IF(ISNUMBER(SEARCH("R", 'WetLitterbags placem_collection'!W216)),"YES","NO")</f>
        <v>YES</v>
      </c>
      <c r="AC289" s="255" t="str">
        <f>IF(ISNUMBER(SEARCH("C", 'WetLitterbags placem_collection'!V216)),"YES","NO")</f>
        <v>NO</v>
      </c>
      <c r="AD289" s="255" t="str">
        <f>IF(ISNUMBER(SEARCH("H", 'WetLitterbags placem_collection'!V216)),"YES","NO")</f>
        <v>NO</v>
      </c>
      <c r="AE289" s="255" t="str">
        <f>IF(ISNUMBER(SEARCH("R", 'WetLitterbags placem_collection'!V216)),"YES","NO")</f>
        <v>YES</v>
      </c>
    </row>
    <row r="290" spans="2:31">
      <c r="B290" t="str">
        <f>'Final data_for_R_analysis_Wetse'!A216</f>
        <v>Wet</v>
      </c>
      <c r="C290" s="263">
        <f>'Final data_for_R_analysis_Wetse'!B216</f>
        <v>214</v>
      </c>
      <c r="D290" t="s">
        <v>2443</v>
      </c>
      <c r="E290" t="s">
        <v>22</v>
      </c>
      <c r="F290" s="387">
        <v>2</v>
      </c>
      <c r="G290" s="16">
        <f>'WetLitterbags placem_collection'!E217</f>
        <v>42769</v>
      </c>
      <c r="H290" t="str">
        <f>'Final data_for_R_analysis_Wetse'!J216</f>
        <v>G858</v>
      </c>
      <c r="I290" t="str">
        <f>'Final data_for_R_analysis_Wetse'!J436</f>
        <v>R145</v>
      </c>
      <c r="J290">
        <f>IFERROR(INDEX('Green_rooibos initial weight'!$C$5:$C$1749,MATCH(H290, 'Green_rooibos initial weight'!$A$5:$A$1749,0)),"")</f>
        <v>2.1040000000000001</v>
      </c>
      <c r="K290">
        <f>IFERROR(INDEX('Green_rooibos initial weight'!$C$5:$C$1749,MATCH(I290, 'Green_rooibos initial weight'!$A$5:$A$1749,0)),"")</f>
        <v>2.2719999999999998</v>
      </c>
      <c r="L290" s="195">
        <f t="shared" si="29"/>
        <v>1.8542000000000001</v>
      </c>
      <c r="M290" s="195">
        <f>AVERAGE(Ashed_controlls!$K$2:$K$11)</f>
        <v>5.5147656768714146</v>
      </c>
      <c r="N290" s="195">
        <f t="shared" si="27"/>
        <v>2.0221999999999998</v>
      </c>
      <c r="O290" s="16">
        <f>IF('WetLitterbags placem_collection'!G217="N.A","",'WetLitterbags placem_collection'!G217)</f>
        <v>42814</v>
      </c>
      <c r="P290" s="195">
        <f>IF(IFERROR(INDEX('Both teabags AfterWet'!$C$3:$C$841,MATCH(H290,'Both teabags AfterWet'!$A$3:$A$841,0)),"")="N.A","",(IFERROR(INDEX('Both teabags AfterWet'!$C$3:$C$841,MATCH(H290,'Both teabags AfterWet'!$A$3:$A$841,0)),"")))</f>
        <v>0.69730000000000003</v>
      </c>
      <c r="Q290" s="195">
        <f>IFERROR(INDEX('Both teabags AfterWet'!$C$3:$C$841,MATCH(I290,'Both teabags AfterWet'!$A$3:$A$841,0)),"")</f>
        <v>1.5481</v>
      </c>
      <c r="R290" s="195">
        <f t="shared" si="30"/>
        <v>0.54669999999999996</v>
      </c>
      <c r="S290" s="195">
        <f t="shared" si="30"/>
        <v>1.3975</v>
      </c>
      <c r="T290" s="195">
        <f t="shared" si="31"/>
        <v>0.70515586236651928</v>
      </c>
      <c r="U290" s="195">
        <f t="shared" si="32"/>
        <v>0.46228745371296753</v>
      </c>
      <c r="V290" s="195">
        <f t="shared" si="33"/>
        <v>0.69107902284640499</v>
      </c>
      <c r="W290">
        <f t="shared" si="28"/>
        <v>45</v>
      </c>
      <c r="X290" s="195">
        <f t="shared" si="34"/>
        <v>0.16252272878085594</v>
      </c>
      <c r="Y290" s="195">
        <f t="shared" si="35"/>
        <v>2.4519034730028141E-2</v>
      </c>
      <c r="Z290" s="255" t="str">
        <f>IF(ISNUMBER(SEARCH("C",'WetLitterbags placem_collection'!W217)),"YES","NO")</f>
        <v>NO</v>
      </c>
      <c r="AA290" s="255" t="str">
        <f>IF(ISNUMBER(SEARCH("H", 'WetLitterbags placem_collection'!W217)),"YES","NO")</f>
        <v>NO</v>
      </c>
      <c r="AB290" s="255" t="str">
        <f>IF(ISNUMBER(SEARCH("R", 'WetLitterbags placem_collection'!W217)),"YES","NO")</f>
        <v>NO</v>
      </c>
      <c r="AC290" s="255" t="str">
        <f>IF(ISNUMBER(SEARCH("C", 'WetLitterbags placem_collection'!V217)),"YES","NO")</f>
        <v>NO</v>
      </c>
      <c r="AD290" s="255" t="str">
        <f>IF(ISNUMBER(SEARCH("H", 'WetLitterbags placem_collection'!V217)),"YES","NO")</f>
        <v>NO</v>
      </c>
      <c r="AE290" s="255" t="str">
        <f>IF(ISNUMBER(SEARCH("R", 'WetLitterbags placem_collection'!V217)),"YES","NO")</f>
        <v>YES</v>
      </c>
    </row>
    <row r="291" spans="2:31">
      <c r="B291" t="str">
        <f>'Final data_for_R_analysis_Wetse'!A217</f>
        <v>Wet</v>
      </c>
      <c r="C291" s="263">
        <f>'Final data_for_R_analysis_Wetse'!B217</f>
        <v>216</v>
      </c>
      <c r="D291" t="s">
        <v>2436</v>
      </c>
      <c r="E291" t="s">
        <v>22</v>
      </c>
      <c r="F291" s="387">
        <v>4</v>
      </c>
      <c r="G291" s="16">
        <f>'WetLitterbags placem_collection'!E218</f>
        <v>42769</v>
      </c>
      <c r="H291" t="str">
        <f>'Final data_for_R_analysis_Wetse'!J217</f>
        <v>G755</v>
      </c>
      <c r="I291" t="str">
        <f>'Final data_for_R_analysis_Wetse'!J437</f>
        <v>R241</v>
      </c>
      <c r="J291">
        <f>IFERROR(INDEX('Green_rooibos initial weight'!$C$5:$C$1749,MATCH(H291, 'Green_rooibos initial weight'!$A$5:$A$1749,0)),"")</f>
        <v>2.0190000000000001</v>
      </c>
      <c r="K291">
        <f>IFERROR(INDEX('Green_rooibos initial weight'!$C$5:$C$1749,MATCH(I291, 'Green_rooibos initial weight'!$A$5:$A$1749,0)),"")</f>
        <v>2.1680000000000001</v>
      </c>
      <c r="L291" s="195">
        <f t="shared" si="29"/>
        <v>1.7692000000000001</v>
      </c>
      <c r="M291" s="195">
        <f>AVERAGE(Ashed_controlls!$K$2:$K$11)</f>
        <v>5.5147656768714146</v>
      </c>
      <c r="N291" s="195">
        <f t="shared" si="27"/>
        <v>1.9182000000000001</v>
      </c>
      <c r="O291" s="16">
        <f>IF('WetLitterbags placem_collection'!G218="N.A","",'WetLitterbags placem_collection'!G218)</f>
        <v>42814</v>
      </c>
      <c r="P291" s="195">
        <f>IF(IFERROR(INDEX('Both teabags AfterWet'!$C$3:$C$841,MATCH(H291,'Both teabags AfterWet'!$A$3:$A$841,0)),"")="N.A","",(IFERROR(INDEX('Both teabags AfterWet'!$C$3:$C$841,MATCH(H291,'Both teabags AfterWet'!$A$3:$A$841,0)),"")))</f>
        <v>0.88700000000000001</v>
      </c>
      <c r="Q291" s="195">
        <f>IFERROR(INDEX('Both teabags AfterWet'!$C$3:$C$841,MATCH(I291,'Both teabags AfterWet'!$A$3:$A$841,0)),"")</f>
        <v>1.5349999999999999</v>
      </c>
      <c r="R291" s="195">
        <f t="shared" si="30"/>
        <v>0.73639999999999994</v>
      </c>
      <c r="S291" s="195">
        <f t="shared" si="30"/>
        <v>1.3843999999999999</v>
      </c>
      <c r="T291" s="195">
        <f t="shared" si="31"/>
        <v>0.58376667420302963</v>
      </c>
      <c r="U291" s="195">
        <f t="shared" si="32"/>
        <v>0.38270689330174867</v>
      </c>
      <c r="V291" s="195">
        <f t="shared" si="33"/>
        <v>0.72171827755187146</v>
      </c>
      <c r="W291">
        <f t="shared" si="28"/>
        <v>45</v>
      </c>
      <c r="X291" s="195">
        <f t="shared" si="34"/>
        <v>0.30669041068523795</v>
      </c>
      <c r="Y291" s="195">
        <f t="shared" si="35"/>
        <v>2.8862192400802955E-2</v>
      </c>
      <c r="Z291" s="255" t="str">
        <f>IF(ISNUMBER(SEARCH("C",'WetLitterbags placem_collection'!W218)),"YES","NO")</f>
        <v>NO</v>
      </c>
      <c r="AA291" s="255" t="str">
        <f>IF(ISNUMBER(SEARCH("H", 'WetLitterbags placem_collection'!W218)),"YES","NO")</f>
        <v>YES</v>
      </c>
      <c r="AB291" s="255" t="str">
        <f>IF(ISNUMBER(SEARCH("R", 'WetLitterbags placem_collection'!W218)),"YES","NO")</f>
        <v>NO</v>
      </c>
      <c r="AC291" s="255" t="str">
        <f>IF(ISNUMBER(SEARCH("C", 'WetLitterbags placem_collection'!V218)),"YES","NO")</f>
        <v>YES</v>
      </c>
      <c r="AD291" s="255" t="str">
        <f>IF(ISNUMBER(SEARCH("H", 'WetLitterbags placem_collection'!V218)),"YES","NO")</f>
        <v>YES</v>
      </c>
      <c r="AE291" s="255" t="str">
        <f>IF(ISNUMBER(SEARCH("R", 'WetLitterbags placem_collection'!V218)),"YES","NO")</f>
        <v>YES</v>
      </c>
    </row>
    <row r="292" spans="2:31">
      <c r="B292" t="str">
        <f>'Final data_for_R_analysis_Wetse'!A218</f>
        <v>Wet</v>
      </c>
      <c r="C292" s="263">
        <f>'Final data_for_R_analysis_Wetse'!B218</f>
        <v>217</v>
      </c>
      <c r="D292" t="s">
        <v>2429</v>
      </c>
      <c r="E292" t="s">
        <v>22</v>
      </c>
      <c r="F292" s="387">
        <v>1</v>
      </c>
      <c r="G292" s="16">
        <f>'WetLitterbags placem_collection'!E219</f>
        <v>42769</v>
      </c>
      <c r="H292" t="str">
        <f>'Final data_for_R_analysis_Wetse'!J218</f>
        <v>G795</v>
      </c>
      <c r="I292" t="str">
        <f>'Final data_for_R_analysis_Wetse'!J438</f>
        <v>R302</v>
      </c>
      <c r="J292">
        <f>IFERROR(INDEX('Green_rooibos initial weight'!$C$5:$C$1749,MATCH(H292, 'Green_rooibos initial weight'!$A$5:$A$1749,0)),"")</f>
        <v>1.9530000000000001</v>
      </c>
      <c r="K292">
        <f>IFERROR(INDEX('Green_rooibos initial weight'!$C$5:$C$1749,MATCH(I292, 'Green_rooibos initial weight'!$A$5:$A$1749,0)),"")</f>
        <v>2.19</v>
      </c>
      <c r="L292" s="195">
        <f t="shared" si="29"/>
        <v>1.7032</v>
      </c>
      <c r="M292" s="195">
        <f>AVERAGE(Ashed_controlls!$K$2:$K$11)</f>
        <v>5.5147656768714146</v>
      </c>
      <c r="N292" s="195">
        <f t="shared" si="27"/>
        <v>1.9401999999999999</v>
      </c>
      <c r="O292" s="16">
        <f>IF('WetLitterbags placem_collection'!G219="N.A","",'WetLitterbags placem_collection'!G219)</f>
        <v>42814</v>
      </c>
      <c r="P292" s="195">
        <f>IF(IFERROR(INDEX('Both teabags AfterWet'!$C$3:$C$841,MATCH(H292,'Both teabags AfterWet'!$A$3:$A$841,0)),"")="N.A","",(IFERROR(INDEX('Both teabags AfterWet'!$C$3:$C$841,MATCH(H292,'Both teabags AfterWet'!$A$3:$A$841,0)),"")))</f>
        <v>0.78100000000000003</v>
      </c>
      <c r="Q292" s="195">
        <f>IFERROR(INDEX('Both teabags AfterWet'!$C$3:$C$841,MATCH(I292,'Both teabags AfterWet'!$A$3:$A$841,0)),"")</f>
        <v>1.38</v>
      </c>
      <c r="R292" s="195">
        <f t="shared" si="30"/>
        <v>0.63040000000000007</v>
      </c>
      <c r="S292" s="195">
        <f t="shared" si="30"/>
        <v>1.2293999999999998</v>
      </c>
      <c r="T292" s="195">
        <f t="shared" si="31"/>
        <v>0.62987317989666503</v>
      </c>
      <c r="U292" s="195">
        <f t="shared" si="32"/>
        <v>0.41293348610802749</v>
      </c>
      <c r="V292" s="195">
        <f t="shared" si="33"/>
        <v>0.63364601587465208</v>
      </c>
      <c r="W292">
        <f t="shared" si="28"/>
        <v>45</v>
      </c>
      <c r="X292" s="195">
        <f t="shared" si="34"/>
        <v>0.25193209038400821</v>
      </c>
      <c r="Y292" s="195">
        <f t="shared" si="35"/>
        <v>4.8491687925816034E-2</v>
      </c>
      <c r="Z292" s="255" t="str">
        <f>IF(ISNUMBER(SEARCH("C",'WetLitterbags placem_collection'!W219)),"YES","NO")</f>
        <v>NO</v>
      </c>
      <c r="AA292" s="255" t="str">
        <f>IF(ISNUMBER(SEARCH("H", 'WetLitterbags placem_collection'!W219)),"YES","NO")</f>
        <v>NO</v>
      </c>
      <c r="AB292" s="255" t="str">
        <f>IF(ISNUMBER(SEARCH("R", 'WetLitterbags placem_collection'!W219)),"YES","NO")</f>
        <v>YES</v>
      </c>
      <c r="AC292" s="255" t="str">
        <f>IF(ISNUMBER(SEARCH("C", 'WetLitterbags placem_collection'!V219)),"YES","NO")</f>
        <v>NO</v>
      </c>
      <c r="AD292" s="255" t="str">
        <f>IF(ISNUMBER(SEARCH("H", 'WetLitterbags placem_collection'!V219)),"YES","NO")</f>
        <v>NO</v>
      </c>
      <c r="AE292" s="255" t="str">
        <f>IF(ISNUMBER(SEARCH("R", 'WetLitterbags placem_collection'!V219)),"YES","NO")</f>
        <v>YES</v>
      </c>
    </row>
    <row r="293" spans="2:31">
      <c r="B293" t="str">
        <f>'Final data_for_R_analysis_Wetse'!A219</f>
        <v>Wet</v>
      </c>
      <c r="C293" s="263">
        <f>'Final data_for_R_analysis_Wetse'!B219</f>
        <v>218</v>
      </c>
      <c r="D293" t="s">
        <v>2437</v>
      </c>
      <c r="E293" t="s">
        <v>22</v>
      </c>
      <c r="F293" s="387">
        <v>2</v>
      </c>
      <c r="G293" s="16">
        <f>'WetLitterbags placem_collection'!E220</f>
        <v>42769</v>
      </c>
      <c r="H293" t="str">
        <f>'Final data_for_R_analysis_Wetse'!J219</f>
        <v>G251</v>
      </c>
      <c r="I293" t="str">
        <f>'Final data_for_R_analysis_Wetse'!J439</f>
        <v>R442</v>
      </c>
      <c r="J293">
        <f>IFERROR(INDEX('Green_rooibos initial weight'!$C$5:$C$1749,MATCH(H293, 'Green_rooibos initial weight'!$A$5:$A$1749,0)),"")</f>
        <v>2.0539999999999998</v>
      </c>
      <c r="K293">
        <f>IFERROR(INDEX('Green_rooibos initial weight'!$C$5:$C$1749,MATCH(I293, 'Green_rooibos initial weight'!$A$5:$A$1749,0)),"")</f>
        <v>2.2290000000000001</v>
      </c>
      <c r="L293" s="195">
        <f t="shared" si="29"/>
        <v>1.8041999999999998</v>
      </c>
      <c r="M293" s="195">
        <f>AVERAGE(Ashed_controlls!$K$2:$K$11)</f>
        <v>5.5147656768714146</v>
      </c>
      <c r="N293" s="195">
        <f t="shared" si="27"/>
        <v>1.9792000000000001</v>
      </c>
      <c r="O293" s="16">
        <f>IF('WetLitterbags placem_collection'!G220="N.A","",'WetLitterbags placem_collection'!G220)</f>
        <v>42814</v>
      </c>
      <c r="P293" s="195">
        <f>IF(IFERROR(INDEX('Both teabags AfterWet'!$C$3:$C$841,MATCH(H293,'Both teabags AfterWet'!$A$3:$A$841,0)),"")="N.A","",(IFERROR(INDEX('Both teabags AfterWet'!$C$3:$C$841,MATCH(H293,'Both teabags AfterWet'!$A$3:$A$841,0)),"")))</f>
        <v>0.75700000000000001</v>
      </c>
      <c r="Q293" s="195">
        <f>IFERROR(INDEX('Both teabags AfterWet'!$C$3:$C$841,MATCH(I293,'Both teabags AfterWet'!$A$3:$A$841,0)),"")</f>
        <v>1.3831</v>
      </c>
      <c r="R293" s="195">
        <f t="shared" si="30"/>
        <v>0.60640000000000005</v>
      </c>
      <c r="S293" s="195">
        <f t="shared" si="30"/>
        <v>1.2324999999999999</v>
      </c>
      <c r="T293" s="195">
        <f t="shared" si="31"/>
        <v>0.6638953552821194</v>
      </c>
      <c r="U293" s="195">
        <f t="shared" si="32"/>
        <v>0.43523781011369356</v>
      </c>
      <c r="V293" s="195">
        <f t="shared" si="33"/>
        <v>0.62272635408245747</v>
      </c>
      <c r="W293">
        <f t="shared" si="28"/>
        <v>45</v>
      </c>
      <c r="X293" s="195">
        <f t="shared" si="34"/>
        <v>0.21152570631577261</v>
      </c>
      <c r="Y293" s="195">
        <f t="shared" si="35"/>
        <v>4.4801502460415525E-2</v>
      </c>
      <c r="Z293" s="255" t="str">
        <f>IF(ISNUMBER(SEARCH("C",'WetLitterbags placem_collection'!W220)),"YES","NO")</f>
        <v>NO</v>
      </c>
      <c r="AA293" s="255" t="str">
        <f>IF(ISNUMBER(SEARCH("H", 'WetLitterbags placem_collection'!W220)),"YES","NO")</f>
        <v>NO</v>
      </c>
      <c r="AB293" s="255" t="str">
        <f>IF(ISNUMBER(SEARCH("R", 'WetLitterbags placem_collection'!W220)),"YES","NO")</f>
        <v>YES</v>
      </c>
      <c r="AC293" s="255" t="str">
        <f>IF(ISNUMBER(SEARCH("C", 'WetLitterbags placem_collection'!V220)),"YES","NO")</f>
        <v>NO</v>
      </c>
      <c r="AD293" s="255" t="str">
        <f>IF(ISNUMBER(SEARCH("H", 'WetLitterbags placem_collection'!V220)),"YES","NO")</f>
        <v>NO</v>
      </c>
      <c r="AE293" s="255" t="str">
        <f>IF(ISNUMBER(SEARCH("R", 'WetLitterbags placem_collection'!V220)),"YES","NO")</f>
        <v>YES</v>
      </c>
    </row>
    <row r="294" spans="2:31">
      <c r="B294" t="str">
        <f>'Final data_for_R_analysis_Wetse'!A220</f>
        <v>Wet</v>
      </c>
      <c r="C294" s="386">
        <f>'Final data_for_R_analysis_Wetse'!B220</f>
        <v>219</v>
      </c>
      <c r="D294" t="s">
        <v>2444</v>
      </c>
      <c r="E294" t="s">
        <v>22</v>
      </c>
      <c r="F294" s="387">
        <v>3</v>
      </c>
      <c r="G294" s="388">
        <f>'WetLitterbags placem_collection'!E221</f>
        <v>42769</v>
      </c>
      <c r="H294" s="92" t="str">
        <f>'Final data_for_R_analysis_Wetse'!J220</f>
        <v>G727</v>
      </c>
      <c r="I294" s="92" t="str">
        <f>'Final data_for_R_analysis_Wetse'!J440</f>
        <v>R176</v>
      </c>
      <c r="J294" s="92">
        <f>IFERROR(INDEX('Green_rooibos initial weight'!$C$5:$C$1749,MATCH(H294, 'Green_rooibos initial weight'!$A$5:$A$1749,0)),"")</f>
        <v>2.0270000000000001</v>
      </c>
      <c r="K294" s="92">
        <f>IFERROR(INDEX('Green_rooibos initial weight'!$C$5:$C$1749,MATCH(I294, 'Green_rooibos initial weight'!$A$5:$A$1749,0)),"")</f>
        <v>2.2160000000000002</v>
      </c>
      <c r="L294" s="195">
        <f t="shared" si="29"/>
        <v>1.7772000000000001</v>
      </c>
      <c r="M294" s="195">
        <f>AVERAGE(Ashed_controlls!$K$2:$K$11)</f>
        <v>5.5147656768714146</v>
      </c>
      <c r="N294" s="195">
        <f t="shared" si="27"/>
        <v>1.9662000000000002</v>
      </c>
      <c r="O294" s="388">
        <f>IF('WetLitterbags placem_collection'!G221="N.A","",'WetLitterbags placem_collection'!G221)</f>
        <v>42813</v>
      </c>
      <c r="P294" s="389">
        <f>IF(IFERROR(INDEX('Both teabags AfterWet'!$C$3:$C$841,MATCH(H294,'Both teabags AfterWet'!$A$3:$A$841,0)),"")="N.A","",(IFERROR(INDEX('Both teabags AfterWet'!$C$3:$C$841,MATCH(H294,'Both teabags AfterWet'!$A$3:$A$841,0)),"")))</f>
        <v>0.70650000000000002</v>
      </c>
      <c r="Q294" s="195">
        <f>IFERROR(INDEX('Both teabags AfterWet'!$C$3:$C$841,MATCH(I294,'Both teabags AfterWet'!$A$3:$A$841,0)),"")</f>
        <v>1.4293</v>
      </c>
      <c r="R294" s="195">
        <f t="shared" si="30"/>
        <v>0.55590000000000006</v>
      </c>
      <c r="S294" s="195">
        <f t="shared" si="30"/>
        <v>1.2786999999999999</v>
      </c>
      <c r="T294" s="195">
        <f t="shared" si="31"/>
        <v>0.6872045914922349</v>
      </c>
      <c r="U294" s="195">
        <f t="shared" si="32"/>
        <v>0.4505189245887336</v>
      </c>
      <c r="V294" s="195">
        <f t="shared" si="33"/>
        <v>0.65034075882412767</v>
      </c>
      <c r="W294" s="92">
        <f t="shared" si="28"/>
        <v>44</v>
      </c>
      <c r="X294" s="195">
        <f t="shared" si="34"/>
        <v>0.18384252791896094</v>
      </c>
      <c r="Y294" s="195">
        <f t="shared" si="35"/>
        <v>3.4015222871945167E-2</v>
      </c>
      <c r="Z294" s="255" t="str">
        <f>IF(ISNUMBER(SEARCH("C",'WetLitterbags placem_collection'!W221)),"YES","NO")</f>
        <v>NO</v>
      </c>
      <c r="AA294" s="255" t="str">
        <f>IF(ISNUMBER(SEARCH("H", 'WetLitterbags placem_collection'!W221)),"YES","NO")</f>
        <v>NO</v>
      </c>
      <c r="AB294" s="255" t="str">
        <f>IF(ISNUMBER(SEARCH("R", 'WetLitterbags placem_collection'!W221)),"YES","NO")</f>
        <v>YES</v>
      </c>
      <c r="AC294" s="255" t="str">
        <f>IF(ISNUMBER(SEARCH("C", 'WetLitterbags placem_collection'!V221)),"YES","NO")</f>
        <v>NO</v>
      </c>
      <c r="AD294" s="255" t="str">
        <f>IF(ISNUMBER(SEARCH("H", 'WetLitterbags placem_collection'!V221)),"YES","NO")</f>
        <v>YES</v>
      </c>
      <c r="AE294" s="255" t="str">
        <f>IF(ISNUMBER(SEARCH("R", 'WetLitterbags placem_collection'!V221)),"YES","NO")</f>
        <v>YES</v>
      </c>
    </row>
    <row r="295" spans="2:31">
      <c r="B295" t="str">
        <f>'Final data_for_R_analysis_Wetse'!A221</f>
        <v>Wet</v>
      </c>
      <c r="C295" s="386">
        <f>'Final data_for_R_analysis_Wetse'!B221</f>
        <v>220</v>
      </c>
      <c r="D295" t="s">
        <v>2451</v>
      </c>
      <c r="E295" t="s">
        <v>22</v>
      </c>
      <c r="F295" s="387">
        <v>4</v>
      </c>
      <c r="G295" s="388">
        <f>'WetLitterbags placem_collection'!E222</f>
        <v>42769</v>
      </c>
      <c r="H295" s="92" t="str">
        <f>'Final data_for_R_analysis_Wetse'!J221</f>
        <v>G782</v>
      </c>
      <c r="I295" s="92" t="str">
        <f>'Final data_for_R_analysis_Wetse'!J441</f>
        <v>R250</v>
      </c>
      <c r="J295" s="92">
        <f>IFERROR(INDEX('Green_rooibos initial weight'!$C$5:$C$1749,MATCH(H295, 'Green_rooibos initial weight'!$A$5:$A$1749,0)),"")</f>
        <v>1.9510000000000001</v>
      </c>
      <c r="K295" s="92">
        <f>IFERROR(INDEX('Green_rooibos initial weight'!$C$5:$C$1749,MATCH(I295, 'Green_rooibos initial weight'!$A$5:$A$1749,0)),"")</f>
        <v>2.2639999999999998</v>
      </c>
      <c r="L295" s="195">
        <f t="shared" si="29"/>
        <v>1.7012</v>
      </c>
      <c r="M295" s="195">
        <f>AVERAGE(Ashed_controlls!$K$2:$K$11)</f>
        <v>5.5147656768714146</v>
      </c>
      <c r="N295" s="195">
        <f t="shared" si="27"/>
        <v>2.0141999999999998</v>
      </c>
      <c r="O295" s="388">
        <f>IF('WetLitterbags placem_collection'!G222="N.A","",'WetLitterbags placem_collection'!G222)</f>
        <v>42813</v>
      </c>
      <c r="P295" s="389">
        <f>IF(IFERROR(INDEX('Both teabags AfterWet'!$C$3:$C$841,MATCH(H295,'Both teabags AfterWet'!$A$3:$A$841,0)),"")="N.A","",(IFERROR(INDEX('Both teabags AfterWet'!$C$3:$C$841,MATCH(H295,'Both teabags AfterWet'!$A$3:$A$841,0)),"")))</f>
        <v>0.6169</v>
      </c>
      <c r="Q295" s="195">
        <f>IFERROR(INDEX('Both teabags AfterWet'!$C$3:$C$841,MATCH(I295,'Both teabags AfterWet'!$A$3:$A$841,0)),"")</f>
        <v>1.5303</v>
      </c>
      <c r="R295" s="195">
        <f t="shared" si="30"/>
        <v>0.46629999999999999</v>
      </c>
      <c r="S295" s="195">
        <f t="shared" si="30"/>
        <v>1.3796999999999999</v>
      </c>
      <c r="T295" s="195">
        <f t="shared" si="31"/>
        <v>0.72589936515400888</v>
      </c>
      <c r="U295" s="195">
        <f t="shared" si="32"/>
        <v>0.47588651967341206</v>
      </c>
      <c r="V295" s="195">
        <f t="shared" si="33"/>
        <v>0.68498659517426275</v>
      </c>
      <c r="W295" s="92">
        <f t="shared" si="28"/>
        <v>44</v>
      </c>
      <c r="X295" s="195">
        <f t="shared" si="34"/>
        <v>0.13788673972207965</v>
      </c>
      <c r="Y295" s="195">
        <f t="shared" si="35"/>
        <v>2.4649169864366868E-2</v>
      </c>
      <c r="Z295" s="255" t="str">
        <f>IF(ISNUMBER(SEARCH("C",'WetLitterbags placem_collection'!W222)),"YES","NO")</f>
        <v>NO</v>
      </c>
      <c r="AA295" s="255" t="str">
        <f>IF(ISNUMBER(SEARCH("H", 'WetLitterbags placem_collection'!W222)),"YES","NO")</f>
        <v>YES</v>
      </c>
      <c r="AB295" s="255" t="str">
        <f>IF(ISNUMBER(SEARCH("R", 'WetLitterbags placem_collection'!W222)),"YES","NO")</f>
        <v>NO</v>
      </c>
      <c r="AC295" s="255" t="str">
        <f>IF(ISNUMBER(SEARCH("C", 'WetLitterbags placem_collection'!V222)),"YES","NO")</f>
        <v>NO</v>
      </c>
      <c r="AD295" s="255" t="str">
        <f>IF(ISNUMBER(SEARCH("H", 'WetLitterbags placem_collection'!V222)),"YES","NO")</f>
        <v>NO</v>
      </c>
      <c r="AE295" s="255" t="str">
        <f>IF(ISNUMBER(SEARCH("R", 'WetLitterbags placem_collection'!V222)),"YES","NO")</f>
        <v>YES</v>
      </c>
    </row>
    <row r="296" spans="2:31">
      <c r="B296" t="str">
        <f>'Final data_for_R_analysis_Wetse'!A442</f>
        <v>Wet</v>
      </c>
      <c r="C296" s="386">
        <f>'Final data_for_R_analysis_Wetse'!B442</f>
        <v>1</v>
      </c>
      <c r="D296" t="s">
        <v>3824</v>
      </c>
      <c r="E296" t="s">
        <v>25</v>
      </c>
      <c r="F296" s="386">
        <v>1</v>
      </c>
      <c r="G296" s="388">
        <f>'WetLitterbags placem_collection'!E3</f>
        <v>42766</v>
      </c>
      <c r="H296" s="92" t="str">
        <f>'Final data_for_R_analysis_Wetse'!J442</f>
        <v>G752</v>
      </c>
      <c r="I296" s="92" t="str">
        <f>'Final data_for_R_analysis_Wetse'!J662</f>
        <v>R133</v>
      </c>
      <c r="J296" s="92">
        <f>IFERROR(INDEX('Green_rooibos initial weight'!$C$5:$C$1749,MATCH(H296, 'Green_rooibos initial weight'!$A$5:$A$1749,0)),"")</f>
        <v>2.15</v>
      </c>
      <c r="K296" s="92">
        <f>IFERROR(INDEX('Green_rooibos initial weight'!$C$5:$C$1749,MATCH(I296, 'Green_rooibos initial weight'!$A$5:$A$1749,0)),"")</f>
        <v>2.1760000000000002</v>
      </c>
      <c r="L296" s="195">
        <f t="shared" si="29"/>
        <v>1.9001999999999999</v>
      </c>
      <c r="M296" s="195">
        <f>AVERAGE(Ashed_controlls!$K$2:$K$11)</f>
        <v>5.5147656768714146</v>
      </c>
      <c r="N296" s="195">
        <f t="shared" si="27"/>
        <v>1.9262000000000001</v>
      </c>
      <c r="O296" s="388">
        <f>IF('WetLitterbags placem_collection'!G3="N.A","",'WetLitterbags placem_collection'!G3)</f>
        <v>42818</v>
      </c>
      <c r="P296" s="389">
        <f>IF(IFERROR(INDEX('Both teabags AfterWet'!$C$3:$C$841,MATCH(H296,'Both teabags AfterWet'!$A$3:$A$841,0)),"")="N.A","",(IFERROR(INDEX('Both teabags AfterWet'!$C$3:$C$841,MATCH(H296,'Both teabags AfterWet'!$A$3:$A$841,0)),"")))</f>
        <v>0.47</v>
      </c>
      <c r="Q296" s="195">
        <f>IFERROR(INDEX('Both teabags AfterWet'!$C$3:$C$841,MATCH(I296,'Both teabags AfterWet'!$A$3:$A$841,0)),"")</f>
        <v>1.4104000000000001</v>
      </c>
      <c r="R296" s="195">
        <f t="shared" si="30"/>
        <v>0.31939999999999996</v>
      </c>
      <c r="S296" s="195">
        <f t="shared" si="30"/>
        <v>1.2598</v>
      </c>
      <c r="T296" s="195">
        <f t="shared" si="31"/>
        <v>0.83191243027049788</v>
      </c>
      <c r="U296" s="195">
        <f t="shared" si="32"/>
        <v>0.54538677138873504</v>
      </c>
      <c r="V296" s="195">
        <f t="shared" si="33"/>
        <v>0.65403384902917661</v>
      </c>
      <c r="W296" s="92">
        <f t="shared" si="28"/>
        <v>52</v>
      </c>
      <c r="X296" s="195">
        <f t="shared" si="34"/>
        <v>1.1980486614610597E-2</v>
      </c>
      <c r="Y296" s="195">
        <f t="shared" si="35"/>
        <v>1.9347672129428277E-2</v>
      </c>
      <c r="Z296" s="255" t="str">
        <f>IF(ISNUMBER(SEARCH("C",'WetLitterbags placem_collection'!Y3)),"YES","NO")</f>
        <v>NO</v>
      </c>
      <c r="AA296" s="255" t="str">
        <f>IF(ISNUMBER(SEARCH("H", 'WetLitterbags placem_collection'!Y3)),"YES","NO")</f>
        <v>NO</v>
      </c>
      <c r="AB296" s="255" t="str">
        <f>IF(ISNUMBER(SEARCH("R", 'WetLitterbags placem_collection'!WY3)),"YES","NO")</f>
        <v>NO</v>
      </c>
      <c r="AC296" s="255" t="str">
        <f>IF(ISNUMBER(SEARCH("C", 'WetLitterbags placem_collection'!VX3)),"YES","NO")</f>
        <v>NO</v>
      </c>
      <c r="AD296" s="255" t="str">
        <f>IF(ISNUMBER(SEARCH("H", 'WetLitterbags placem_collection'!X3)),"YES","NO")</f>
        <v>NO</v>
      </c>
      <c r="AE296" s="255" t="str">
        <f>IF(ISNUMBER(SEARCH("R", 'WetLitterbags placem_collection'!X3)),"YES","NO")</f>
        <v>NO</v>
      </c>
    </row>
    <row r="297" spans="2:31">
      <c r="B297" t="str">
        <f>'Final data_for_R_analysis_Wetse'!A443</f>
        <v>Wet</v>
      </c>
      <c r="C297" s="386">
        <f>'Final data_for_R_analysis_Wetse'!B443</f>
        <v>2</v>
      </c>
      <c r="D297" t="s">
        <v>3824</v>
      </c>
      <c r="E297" t="s">
        <v>25</v>
      </c>
      <c r="F297" s="386">
        <v>2</v>
      </c>
      <c r="G297" s="388">
        <f>'WetLitterbags placem_collection'!E4</f>
        <v>42766</v>
      </c>
      <c r="H297" s="92" t="str">
        <f>'Final data_for_R_analysis_Wetse'!J443</f>
        <v>G737</v>
      </c>
      <c r="I297" s="92" t="str">
        <f>'Final data_for_R_analysis_Wetse'!J663</f>
        <v>R527</v>
      </c>
      <c r="J297" s="92">
        <f>IFERROR(INDEX('Green_rooibos initial weight'!$C$5:$C$1749,MATCH(H297, 'Green_rooibos initial weight'!$A$5:$A$1749,0)),"")</f>
        <v>1.841</v>
      </c>
      <c r="K297" s="92">
        <f>IFERROR(INDEX('Green_rooibos initial weight'!$C$5:$C$1749,MATCH(I297, 'Green_rooibos initial weight'!$A$5:$A$1749,0)),"")</f>
        <v>2.1859999999999999</v>
      </c>
      <c r="L297" s="195">
        <f t="shared" si="29"/>
        <v>1.5911999999999999</v>
      </c>
      <c r="M297" s="195">
        <f>AVERAGE(Ashed_controlls!$K$2:$K$11)</f>
        <v>5.5147656768714146</v>
      </c>
      <c r="N297" s="195">
        <f t="shared" si="27"/>
        <v>1.9361999999999999</v>
      </c>
      <c r="O297" s="388">
        <f>IF('WetLitterbags placem_collection'!G4="N.A","",'WetLitterbags placem_collection'!G4)</f>
        <v>42818</v>
      </c>
      <c r="P297" s="389">
        <f>IF(IFERROR(INDEX('Both teabags AfterWet'!$C$3:$C$841,MATCH(H297,'Both teabags AfterWet'!$A$3:$A$841,0)),"")="N.A","",(IFERROR(INDEX('Both teabags AfterWet'!$C$3:$C$841,MATCH(H297,'Both teabags AfterWet'!$A$3:$A$841,0)),"")))</f>
        <v>0.57869999999999999</v>
      </c>
      <c r="Q297" s="195">
        <f>IFERROR(INDEX('Both teabags AfterWet'!$C$3:$C$841,MATCH(I297,'Both teabags AfterWet'!$A$3:$A$841,0)),"")</f>
        <v>1.3275999999999999</v>
      </c>
      <c r="R297" s="195">
        <f t="shared" si="30"/>
        <v>0.42809999999999998</v>
      </c>
      <c r="S297" s="195">
        <f t="shared" si="30"/>
        <v>1.1769999999999998</v>
      </c>
      <c r="T297" s="195">
        <f t="shared" si="31"/>
        <v>0.73095776772247367</v>
      </c>
      <c r="U297" s="195">
        <f t="shared" si="32"/>
        <v>0.4792027170817168</v>
      </c>
      <c r="V297" s="195">
        <f t="shared" si="33"/>
        <v>0.60789174672038004</v>
      </c>
      <c r="W297" s="92">
        <f t="shared" si="28"/>
        <v>52</v>
      </c>
      <c r="X297" s="195">
        <f t="shared" si="34"/>
        <v>0.13187913572152765</v>
      </c>
      <c r="Y297" s="195">
        <f t="shared" si="35"/>
        <v>3.2790969161218611E-2</v>
      </c>
      <c r="Z297" s="255" t="str">
        <f>IF(ISNUMBER(SEARCH("C",'WetLitterbags placem_collection'!W224)),"YES","NO")</f>
        <v>NO</v>
      </c>
      <c r="AA297" s="255" t="str">
        <f>IF(ISNUMBER(SEARCH("H", 'WetLitterbags placem_collection'!Y4)),"YES","NO")</f>
        <v>NO</v>
      </c>
      <c r="AB297" s="255" t="str">
        <f>IF(ISNUMBER(SEARCH("R", 'WetLitterbags placem_collection'!WY4)),"YES","NO")</f>
        <v>NO</v>
      </c>
      <c r="AC297" s="255" t="str">
        <f>IF(ISNUMBER(SEARCH("C", 'WetLitterbags placem_collection'!VX4)),"YES","NO")</f>
        <v>NO</v>
      </c>
      <c r="AD297" s="255" t="str">
        <f>IF(ISNUMBER(SEARCH("H", 'WetLitterbags placem_collection'!X4)),"YES","NO")</f>
        <v>NO</v>
      </c>
      <c r="AE297" s="255" t="str">
        <f>IF(ISNUMBER(SEARCH("R", 'WetLitterbags placem_collection'!X4)),"YES","NO")</f>
        <v>NO</v>
      </c>
    </row>
    <row r="298" spans="2:31">
      <c r="B298" t="str">
        <f>'Final data_for_R_analysis_Wetse'!A444</f>
        <v>Wet</v>
      </c>
      <c r="C298" s="263">
        <f>'Final data_for_R_analysis_Wetse'!B444</f>
        <v>3</v>
      </c>
      <c r="D298" t="s">
        <v>3824</v>
      </c>
      <c r="E298" t="s">
        <v>25</v>
      </c>
      <c r="F298" s="386">
        <v>3</v>
      </c>
      <c r="G298" s="16">
        <f>'WetLitterbags placem_collection'!E5</f>
        <v>42766</v>
      </c>
      <c r="H298" s="92" t="str">
        <f>'Final data_for_R_analysis_Wetse'!J444</f>
        <v>G661</v>
      </c>
      <c r="I298" t="str">
        <f>'Final data_for_R_analysis_Wetse'!J664</f>
        <v>R498</v>
      </c>
      <c r="J298">
        <f>IFERROR(INDEX('Green_rooibos initial weight'!$C$5:$C$1749,MATCH(H298, 'Green_rooibos initial weight'!$A$5:$A$1749,0)),"")</f>
        <v>2.0630000000000002</v>
      </c>
      <c r="K298">
        <f>IFERROR(INDEX('Green_rooibos initial weight'!$C$5:$C$1749,MATCH(I298, 'Green_rooibos initial weight'!$A$5:$A$1749,0)),"")</f>
        <v>2.1520000000000001</v>
      </c>
      <c r="L298" s="195">
        <f t="shared" si="29"/>
        <v>1.8132000000000001</v>
      </c>
      <c r="M298" s="195">
        <f>AVERAGE(Ashed_controlls!$K$2:$K$11)</f>
        <v>5.5147656768714146</v>
      </c>
      <c r="N298" s="195">
        <f t="shared" si="27"/>
        <v>1.9022000000000001</v>
      </c>
      <c r="O298" s="16">
        <f>IF('WetLitterbags placem_collection'!G5="N.A","",'WetLitterbags placem_collection'!G5)</f>
        <v>0</v>
      </c>
      <c r="P298" s="195" t="str">
        <f>IF(IFERROR(INDEX('Both teabags AfterWet'!$C$3:$C$841,MATCH(H298,'Both teabags AfterWet'!$A$3:$A$841,0)),"")="N.A","",(IFERROR(INDEX('Both teabags AfterWet'!$C$3:$C$841,MATCH(H298,'Both teabags AfterWet'!$A$3:$A$841,0)),"")))</f>
        <v/>
      </c>
      <c r="Q298" s="195" t="str">
        <f>IFERROR(INDEX('Both teabags AfterWet'!$C$3:$C$841,MATCH(I298,'Both teabags AfterWet'!$A$3:$A$841,0)),"")</f>
        <v/>
      </c>
      <c r="R298" s="195" t="str">
        <f t="shared" si="30"/>
        <v/>
      </c>
      <c r="S298" s="195" t="str">
        <f t="shared" si="30"/>
        <v/>
      </c>
      <c r="T298" s="195" t="str">
        <f t="shared" si="31"/>
        <v/>
      </c>
      <c r="U298" s="195" t="str">
        <f t="shared" si="32"/>
        <v/>
      </c>
      <c r="V298" s="195" t="str">
        <f t="shared" si="33"/>
        <v/>
      </c>
      <c r="W298" t="str">
        <f t="shared" si="28"/>
        <v/>
      </c>
      <c r="X298" s="195" t="str">
        <f t="shared" si="34"/>
        <v/>
      </c>
      <c r="Y298" s="195" t="str">
        <f t="shared" si="35"/>
        <v/>
      </c>
      <c r="Z298" s="255" t="str">
        <f>IF(ISNUMBER(SEARCH("C",'WetLitterbags placem_collection'!W225)),"YES","NO")</f>
        <v>NO</v>
      </c>
      <c r="AA298" s="255" t="str">
        <f>IF(ISNUMBER(SEARCH("H", 'WetLitterbags placem_collection'!Y5)),"YES","NO")</f>
        <v>NO</v>
      </c>
      <c r="AB298" s="255" t="str">
        <f>IF(ISNUMBER(SEARCH("R", 'WetLitterbags placem_collection'!WY5)),"YES","NO")</f>
        <v>NO</v>
      </c>
      <c r="AC298" s="255" t="str">
        <f>IF(ISNUMBER(SEARCH("C", 'WetLitterbags placem_collection'!VX5)),"YES","NO")</f>
        <v>NO</v>
      </c>
      <c r="AD298" s="255" t="str">
        <f>IF(ISNUMBER(SEARCH("H", 'WetLitterbags placem_collection'!X5)),"YES","NO")</f>
        <v>NO</v>
      </c>
      <c r="AE298" s="255" t="str">
        <f>IF(ISNUMBER(SEARCH("R", 'WetLitterbags placem_collection'!X5)),"YES","NO")</f>
        <v>NO</v>
      </c>
    </row>
    <row r="299" spans="2:31">
      <c r="B299" t="str">
        <f>'Final data_for_R_analysis_Wetse'!A445</f>
        <v>Wet</v>
      </c>
      <c r="C299" s="263">
        <f>'Final data_for_R_analysis_Wetse'!B445</f>
        <v>4</v>
      </c>
      <c r="D299" t="s">
        <v>3824</v>
      </c>
      <c r="E299" t="s">
        <v>25</v>
      </c>
      <c r="F299" s="387">
        <v>4</v>
      </c>
      <c r="G299" s="16">
        <f>'WetLitterbags placem_collection'!E6</f>
        <v>42766</v>
      </c>
      <c r="H299" s="92" t="str">
        <f>'Final data_for_R_analysis_Wetse'!J445</f>
        <v>G532</v>
      </c>
      <c r="I299" t="str">
        <f>'Final data_for_R_analysis_Wetse'!J665</f>
        <v>R508</v>
      </c>
      <c r="J299">
        <f>IFERROR(INDEX('Green_rooibos initial weight'!$C$5:$C$1749,MATCH(H299, 'Green_rooibos initial weight'!$A$5:$A$1749,0)),"")</f>
        <v>2.036</v>
      </c>
      <c r="K299">
        <f>IFERROR(INDEX('Green_rooibos initial weight'!$C$5:$C$1749,MATCH(I299, 'Green_rooibos initial weight'!$A$5:$A$1749,0)),"")</f>
        <v>2.169</v>
      </c>
      <c r="L299" s="195">
        <f t="shared" si="29"/>
        <v>1.7862</v>
      </c>
      <c r="M299" s="195">
        <f>AVERAGE(Ashed_controlls!$K$2:$K$11)</f>
        <v>5.5147656768714146</v>
      </c>
      <c r="N299" s="195">
        <f t="shared" si="27"/>
        <v>1.9192</v>
      </c>
      <c r="O299" s="16">
        <f>IF('WetLitterbags placem_collection'!G6="N.A","",'WetLitterbags placem_collection'!G6)</f>
        <v>42818</v>
      </c>
      <c r="P299" s="195">
        <f>IF(IFERROR(INDEX('Both teabags AfterWet'!$C$3:$C$841,MATCH(H299,'Both teabags AfterWet'!$A$3:$A$841,0)),"")="N.A","",(IFERROR(INDEX('Both teabags AfterWet'!$C$3:$C$841,MATCH(H299,'Both teabags AfterWet'!$A$3:$A$841,0)),"")))</f>
        <v>0.55969999999999998</v>
      </c>
      <c r="Q299" s="195">
        <f>IFERROR(INDEX('Both teabags AfterWet'!$C$3:$C$841,MATCH(I299,'Both teabags AfterWet'!$A$3:$A$841,0)),"")</f>
        <v>1.3392999999999999</v>
      </c>
      <c r="R299" s="195">
        <f t="shared" si="30"/>
        <v>0.40909999999999996</v>
      </c>
      <c r="S299" s="195">
        <f t="shared" si="30"/>
        <v>1.1886999999999999</v>
      </c>
      <c r="T299" s="195">
        <f t="shared" si="31"/>
        <v>0.77096629716717058</v>
      </c>
      <c r="U299" s="195">
        <f t="shared" si="32"/>
        <v>0.50543158674142308</v>
      </c>
      <c r="V299" s="195">
        <f t="shared" si="33"/>
        <v>0.61937265527303031</v>
      </c>
      <c r="W299">
        <f t="shared" si="28"/>
        <v>52</v>
      </c>
      <c r="X299" s="195">
        <f t="shared" si="34"/>
        <v>8.4363067497422062E-2</v>
      </c>
      <c r="Y299" s="195">
        <f t="shared" si="35"/>
        <v>2.6897427800809795E-2</v>
      </c>
      <c r="Z299" s="255" t="str">
        <f>IF(ISNUMBER(SEARCH("C",'WetLitterbags placem_collection'!W226)),"YES","NO")</f>
        <v>NO</v>
      </c>
      <c r="AA299" s="255" t="str">
        <f>IF(ISNUMBER(SEARCH("H", 'WetLitterbags placem_collection'!Y6)),"YES","NO")</f>
        <v>NO</v>
      </c>
      <c r="AB299" s="255" t="str">
        <f>IF(ISNUMBER(SEARCH("R", 'WetLitterbags placem_collection'!WY6)),"YES","NO")</f>
        <v>NO</v>
      </c>
      <c r="AC299" s="255" t="str">
        <f>IF(ISNUMBER(SEARCH("C", 'WetLitterbags placem_collection'!VX6)),"YES","NO")</f>
        <v>NO</v>
      </c>
      <c r="AD299" s="255" t="str">
        <f>IF(ISNUMBER(SEARCH("H", 'WetLitterbags placem_collection'!X6)),"YES","NO")</f>
        <v>NO</v>
      </c>
      <c r="AE299" s="255" t="str">
        <f>IF(ISNUMBER(SEARCH("R", 'WetLitterbags placem_collection'!X6)),"YES","NO")</f>
        <v>NO</v>
      </c>
    </row>
    <row r="300" spans="2:31">
      <c r="B300" t="str">
        <f>'Final data_for_R_analysis_Wetse'!A446</f>
        <v>Wet</v>
      </c>
      <c r="C300" s="263">
        <f>'Final data_for_R_analysis_Wetse'!B446</f>
        <v>5</v>
      </c>
      <c r="D300" t="s">
        <v>3824</v>
      </c>
      <c r="E300" t="s">
        <v>25</v>
      </c>
      <c r="F300" s="387">
        <v>5</v>
      </c>
      <c r="G300" s="16">
        <f>'WetLitterbags placem_collection'!E7</f>
        <v>42766</v>
      </c>
      <c r="H300" s="92" t="str">
        <f>'Final data_for_R_analysis_Wetse'!J446</f>
        <v>G577</v>
      </c>
      <c r="I300" t="str">
        <f>'Final data_for_R_analysis_Wetse'!J666</f>
        <v>R38</v>
      </c>
      <c r="J300">
        <f>IFERROR(INDEX('Green_rooibos initial weight'!$C$5:$C$1749,MATCH(H300, 'Green_rooibos initial weight'!$A$5:$A$1749,0)),"")</f>
        <v>1.9830000000000001</v>
      </c>
      <c r="K300">
        <f>IFERROR(INDEX('Green_rooibos initial weight'!$C$5:$C$1749,MATCH(I300, 'Green_rooibos initial weight'!$A$5:$A$1749,0)),"")</f>
        <v>2.12</v>
      </c>
      <c r="L300" s="195">
        <f t="shared" si="29"/>
        <v>1.7332000000000001</v>
      </c>
      <c r="M300" s="195">
        <f>AVERAGE(Ashed_controlls!$K$2:$K$11)</f>
        <v>5.5147656768714146</v>
      </c>
      <c r="N300" s="195">
        <f t="shared" si="27"/>
        <v>1.8702000000000001</v>
      </c>
      <c r="O300" s="16">
        <f>IF('WetLitterbags placem_collection'!G7="N.A","",'WetLitterbags placem_collection'!G7)</f>
        <v>42818</v>
      </c>
      <c r="P300" s="195">
        <f>IF(IFERROR(INDEX('Both teabags AfterWet'!$C$3:$C$841,MATCH(H300,'Both teabags AfterWet'!$A$3:$A$841,0)),"")="N.A","",(IFERROR(INDEX('Both teabags AfterWet'!$C$3:$C$841,MATCH(H300,'Both teabags AfterWet'!$A$3:$A$841,0)),"")))</f>
        <v>0.41870000000000002</v>
      </c>
      <c r="Q300" s="195">
        <f>IFERROR(INDEX('Both teabags AfterWet'!$C$3:$C$841,MATCH(I300,'Both teabags AfterWet'!$A$3:$A$841,0)),"")</f>
        <v>1.2627999999999999</v>
      </c>
      <c r="R300" s="195">
        <f t="shared" si="30"/>
        <v>0.2681</v>
      </c>
      <c r="S300" s="195">
        <f t="shared" si="30"/>
        <v>1.1121999999999999</v>
      </c>
      <c r="T300" s="195">
        <f t="shared" si="31"/>
        <v>0.84531502423263327</v>
      </c>
      <c r="U300" s="195">
        <f t="shared" si="32"/>
        <v>0.55417327004324657</v>
      </c>
      <c r="V300" s="195">
        <f t="shared" si="33"/>
        <v>0.59469575446476297</v>
      </c>
      <c r="W300">
        <f t="shared" si="28"/>
        <v>52</v>
      </c>
      <c r="X300" s="195">
        <f t="shared" si="34"/>
        <v>-3.9370834116785325E-3</v>
      </c>
      <c r="Y300" s="195">
        <f t="shared" si="35"/>
        <v>2.5277125200655833E-2</v>
      </c>
      <c r="Z300" s="255" t="str">
        <f>IF(ISNUMBER(SEARCH("C",'WetLitterbags placem_collection'!W227)),"YES","NO")</f>
        <v>NO</v>
      </c>
      <c r="AA300" s="255" t="str">
        <f>IF(ISNUMBER(SEARCH("H", 'WetLitterbags placem_collection'!Y7)),"YES","NO")</f>
        <v>NO</v>
      </c>
      <c r="AB300" s="255" t="str">
        <f>IF(ISNUMBER(SEARCH("R", 'WetLitterbags placem_collection'!WY7)),"YES","NO")</f>
        <v>NO</v>
      </c>
      <c r="AC300" s="255" t="str">
        <f>IF(ISNUMBER(SEARCH("C", 'WetLitterbags placem_collection'!VX7)),"YES","NO")</f>
        <v>NO</v>
      </c>
      <c r="AD300" s="255" t="str">
        <f>IF(ISNUMBER(SEARCH("H", 'WetLitterbags placem_collection'!X7)),"YES","NO")</f>
        <v>NO</v>
      </c>
      <c r="AE300" s="255" t="str">
        <f>IF(ISNUMBER(SEARCH("R", 'WetLitterbags placem_collection'!X7)),"YES","NO")</f>
        <v>NO</v>
      </c>
    </row>
    <row r="301" spans="2:31">
      <c r="B301" t="str">
        <f>'Final data_for_R_analysis_Wetse'!A447</f>
        <v>Wet</v>
      </c>
      <c r="C301" s="263">
        <f>'Final data_for_R_analysis_Wetse'!B447</f>
        <v>6</v>
      </c>
      <c r="D301" t="s">
        <v>3824</v>
      </c>
      <c r="E301" t="s">
        <v>25</v>
      </c>
      <c r="F301" s="387">
        <v>6</v>
      </c>
      <c r="G301" s="16">
        <f>'WetLitterbags placem_collection'!E8</f>
        <v>42766</v>
      </c>
      <c r="H301" s="92" t="str">
        <f>'Final data_for_R_analysis_Wetse'!J447</f>
        <v>G634</v>
      </c>
      <c r="I301" t="str">
        <f>'Final data_for_R_analysis_Wetse'!J667</f>
        <v>R59</v>
      </c>
      <c r="J301">
        <f>IFERROR(INDEX('Green_rooibos initial weight'!$C$5:$C$1749,MATCH(H301, 'Green_rooibos initial weight'!$A$5:$A$1749,0)),"")</f>
        <v>2.02</v>
      </c>
      <c r="K301">
        <f>IFERROR(INDEX('Green_rooibos initial weight'!$C$5:$C$1749,MATCH(I301, 'Green_rooibos initial weight'!$A$5:$A$1749,0)),"")</f>
        <v>2.2029999999999998</v>
      </c>
      <c r="L301" s="195">
        <f t="shared" si="29"/>
        <v>1.7702</v>
      </c>
      <c r="M301" s="195">
        <f>AVERAGE(Ashed_controlls!$K$2:$K$11)</f>
        <v>5.5147656768714146</v>
      </c>
      <c r="N301" s="195">
        <f t="shared" si="27"/>
        <v>1.9531999999999998</v>
      </c>
      <c r="O301" s="16">
        <f>IF('WetLitterbags placem_collection'!G8="N.A","",'WetLitterbags placem_collection'!G8)</f>
        <v>42818</v>
      </c>
      <c r="P301" s="195">
        <f>IF(IFERROR(INDEX('Both teabags AfterWet'!$C$3:$C$841,MATCH(H301,'Both teabags AfterWet'!$A$3:$A$841,0)),"")="N.A","",(IFERROR(INDEX('Both teabags AfterWet'!$C$3:$C$841,MATCH(H301,'Both teabags AfterWet'!$A$3:$A$841,0)),"")))</f>
        <v>0.60129999999999995</v>
      </c>
      <c r="Q301" s="195">
        <f>IFERROR(INDEX('Both teabags AfterWet'!$C$3:$C$841,MATCH(I301,'Both teabags AfterWet'!$A$3:$A$841,0)),"")</f>
        <v>1.4990000000000001</v>
      </c>
      <c r="R301" s="195">
        <f t="shared" si="30"/>
        <v>0.45069999999999993</v>
      </c>
      <c r="S301" s="195">
        <f t="shared" si="30"/>
        <v>1.3484</v>
      </c>
      <c r="T301" s="195">
        <f t="shared" si="31"/>
        <v>0.74539600045192644</v>
      </c>
      <c r="U301" s="195">
        <f t="shared" si="32"/>
        <v>0.48866816181646494</v>
      </c>
      <c r="V301" s="195">
        <f t="shared" si="33"/>
        <v>0.69035429039524887</v>
      </c>
      <c r="W301">
        <f t="shared" si="28"/>
        <v>52</v>
      </c>
      <c r="X301" s="195">
        <f t="shared" si="34"/>
        <v>0.11473159091220131</v>
      </c>
      <c r="Y301" s="195">
        <f t="shared" si="35"/>
        <v>1.9311008155774044E-2</v>
      </c>
      <c r="Z301" s="255" t="str">
        <f>IF(ISNUMBER(SEARCH("C",'WetLitterbags placem_collection'!W228)),"YES","NO")</f>
        <v>NO</v>
      </c>
      <c r="AA301" s="255" t="str">
        <f>IF(ISNUMBER(SEARCH("H", 'WetLitterbags placem_collection'!Y8)),"YES","NO")</f>
        <v>NO</v>
      </c>
      <c r="AB301" s="255" t="str">
        <f>IF(ISNUMBER(SEARCH("R", 'WetLitterbags placem_collection'!WY8)),"YES","NO")</f>
        <v>NO</v>
      </c>
      <c r="AC301" s="255" t="str">
        <f>IF(ISNUMBER(SEARCH("C", 'WetLitterbags placem_collection'!VX8)),"YES","NO")</f>
        <v>NO</v>
      </c>
      <c r="AD301" s="255" t="str">
        <f>IF(ISNUMBER(SEARCH("H", 'WetLitterbags placem_collection'!X8)),"YES","NO")</f>
        <v>NO</v>
      </c>
      <c r="AE301" s="255" t="str">
        <f>IF(ISNUMBER(SEARCH("R", 'WetLitterbags placem_collection'!X8)),"YES","NO")</f>
        <v>YES</v>
      </c>
    </row>
    <row r="302" spans="2:31">
      <c r="B302" t="str">
        <f>'Final data_for_R_analysis_Wetse'!A448</f>
        <v>Wet</v>
      </c>
      <c r="C302" s="263">
        <f>'Final data_for_R_analysis_Wetse'!B448</f>
        <v>7</v>
      </c>
      <c r="D302" t="s">
        <v>3824</v>
      </c>
      <c r="E302" t="s">
        <v>25</v>
      </c>
      <c r="F302" s="387">
        <v>7</v>
      </c>
      <c r="G302" s="16">
        <f>'WetLitterbags placem_collection'!E9</f>
        <v>42766</v>
      </c>
      <c r="H302" s="92" t="str">
        <f>'Final data_for_R_analysis_Wetse'!J448</f>
        <v>G665</v>
      </c>
      <c r="I302" t="str">
        <f>'Final data_for_R_analysis_Wetse'!J668</f>
        <v>R398</v>
      </c>
      <c r="J302">
        <f>IFERROR(INDEX('Green_rooibos initial weight'!$C$5:$C$1749,MATCH(H302, 'Green_rooibos initial weight'!$A$5:$A$1749,0)),"")</f>
        <v>2.09</v>
      </c>
      <c r="K302">
        <f>IFERROR(INDEX('Green_rooibos initial weight'!$C$5:$C$1749,MATCH(I302, 'Green_rooibos initial weight'!$A$5:$A$1749,0)),"")</f>
        <v>2.19</v>
      </c>
      <c r="L302" s="195">
        <f t="shared" si="29"/>
        <v>1.8401999999999998</v>
      </c>
      <c r="M302" s="195">
        <f>AVERAGE(Ashed_controlls!$K$2:$K$11)</f>
        <v>5.5147656768714146</v>
      </c>
      <c r="N302" s="195">
        <f t="shared" si="27"/>
        <v>1.9401999999999999</v>
      </c>
      <c r="O302" s="16">
        <f>IF('WetLitterbags placem_collection'!G9="N.A","",'WetLitterbags placem_collection'!G9)</f>
        <v>42818</v>
      </c>
      <c r="P302" s="195">
        <f>IF(IFERROR(INDEX('Both teabags AfterWet'!$C$3:$C$841,MATCH(H302,'Both teabags AfterWet'!$A$3:$A$841,0)),"")="N.A","",(IFERROR(INDEX('Both teabags AfterWet'!$C$3:$C$841,MATCH(H302,'Both teabags AfterWet'!$A$3:$A$841,0)),"")))</f>
        <v>0.56399999999999995</v>
      </c>
      <c r="Q302" s="195">
        <f>IFERROR(INDEX('Both teabags AfterWet'!$C$3:$C$841,MATCH(I302,'Both teabags AfterWet'!$A$3:$A$841,0)),"")</f>
        <v>1.518</v>
      </c>
      <c r="R302" s="195">
        <f t="shared" si="30"/>
        <v>0.41339999999999993</v>
      </c>
      <c r="S302" s="195">
        <f t="shared" si="30"/>
        <v>1.3673999999999999</v>
      </c>
      <c r="T302" s="195">
        <f t="shared" si="31"/>
        <v>0.77535050537985006</v>
      </c>
      <c r="U302" s="195">
        <f t="shared" si="32"/>
        <v>0.50830579450080438</v>
      </c>
      <c r="V302" s="195">
        <f t="shared" si="33"/>
        <v>0.70477270384496449</v>
      </c>
      <c r="W302">
        <f t="shared" si="28"/>
        <v>52</v>
      </c>
      <c r="X302" s="195">
        <f t="shared" si="34"/>
        <v>7.9156169382600838E-2</v>
      </c>
      <c r="Y302" s="195">
        <f t="shared" si="35"/>
        <v>1.6719665182738073E-2</v>
      </c>
      <c r="Z302" s="255" t="str">
        <f>IF(ISNUMBER(SEARCH("C",'WetLitterbags placem_collection'!W229)),"YES","NO")</f>
        <v>NO</v>
      </c>
      <c r="AA302" s="255" t="str">
        <f>IF(ISNUMBER(SEARCH("H", 'WetLitterbags placem_collection'!Y9)),"YES","NO")</f>
        <v>NO</v>
      </c>
      <c r="AB302" s="255" t="str">
        <f>IF(ISNUMBER(SEARCH("R", 'WetLitterbags placem_collection'!WY9)),"YES","NO")</f>
        <v>NO</v>
      </c>
      <c r="AC302" s="255" t="str">
        <f>IF(ISNUMBER(SEARCH("C", 'WetLitterbags placem_collection'!VX9)),"YES","NO")</f>
        <v>NO</v>
      </c>
      <c r="AD302" s="255" t="str">
        <f>IF(ISNUMBER(SEARCH("H", 'WetLitterbags placem_collection'!X9)),"YES","NO")</f>
        <v>NO</v>
      </c>
      <c r="AE302" s="255" t="str">
        <f>IF(ISNUMBER(SEARCH("R", 'WetLitterbags placem_collection'!X9)),"YES","NO")</f>
        <v>YES</v>
      </c>
    </row>
    <row r="303" spans="2:31">
      <c r="B303" t="str">
        <f>'Final data_for_R_analysis_Wetse'!A449</f>
        <v>Wet</v>
      </c>
      <c r="C303" s="263">
        <f>'Final data_for_R_analysis_Wetse'!B449</f>
        <v>8</v>
      </c>
      <c r="D303" t="s">
        <v>3824</v>
      </c>
      <c r="E303" t="s">
        <v>25</v>
      </c>
      <c r="F303" s="387">
        <v>8</v>
      </c>
      <c r="G303" s="16">
        <f>'WetLitterbags placem_collection'!E10</f>
        <v>42766</v>
      </c>
      <c r="H303" s="92" t="str">
        <f>'Final data_for_R_analysis_Wetse'!J449</f>
        <v>G701</v>
      </c>
      <c r="I303" t="str">
        <f>'Final data_for_R_analysis_Wetse'!J669</f>
        <v>R512</v>
      </c>
      <c r="J303">
        <f>IFERROR(INDEX('Green_rooibos initial weight'!$C$5:$C$1749,MATCH(H303, 'Green_rooibos initial weight'!$A$5:$A$1749,0)),"")</f>
        <v>1.9159999999999999</v>
      </c>
      <c r="K303">
        <f>IFERROR(INDEX('Green_rooibos initial weight'!$C$5:$C$1749,MATCH(I303, 'Green_rooibos initial weight'!$A$5:$A$1749,0)),"")</f>
        <v>2.1509999999999998</v>
      </c>
      <c r="L303" s="195">
        <f t="shared" si="29"/>
        <v>1.6661999999999999</v>
      </c>
      <c r="M303" s="195">
        <f>AVERAGE(Ashed_controlls!$K$2:$K$11)</f>
        <v>5.5147656768714146</v>
      </c>
      <c r="N303" s="195">
        <f t="shared" si="27"/>
        <v>1.9011999999999998</v>
      </c>
      <c r="O303" s="16">
        <f>IF('WetLitterbags placem_collection'!G10="N.A","",'WetLitterbags placem_collection'!G10)</f>
        <v>42818</v>
      </c>
      <c r="P303" s="195">
        <f>IF(IFERROR(INDEX('Both teabags AfterWet'!$C$3:$C$841,MATCH(H303,'Both teabags AfterWet'!$A$3:$A$841,0)),"")="N.A","",(IFERROR(INDEX('Both teabags AfterWet'!$C$3:$C$841,MATCH(H303,'Both teabags AfterWet'!$A$3:$A$841,0)),"")))</f>
        <v>0.59260000000000002</v>
      </c>
      <c r="Q303" s="195">
        <f>IFERROR(INDEX('Both teabags AfterWet'!$C$3:$C$841,MATCH(I303,'Both teabags AfterWet'!$A$3:$A$841,0)),"")</f>
        <v>1.4733000000000001</v>
      </c>
      <c r="R303" s="195">
        <f t="shared" si="30"/>
        <v>0.442</v>
      </c>
      <c r="S303" s="195">
        <f t="shared" si="30"/>
        <v>1.3227</v>
      </c>
      <c r="T303" s="195">
        <f t="shared" si="31"/>
        <v>0.73472572320249663</v>
      </c>
      <c r="U303" s="195">
        <f t="shared" si="32"/>
        <v>0.48167292067432088</v>
      </c>
      <c r="V303" s="195">
        <f t="shared" si="33"/>
        <v>0.69571849358300031</v>
      </c>
      <c r="W303">
        <f t="shared" si="28"/>
        <v>52</v>
      </c>
      <c r="X303" s="195">
        <f t="shared" si="34"/>
        <v>0.12740412921318689</v>
      </c>
      <c r="Y303" s="195">
        <f t="shared" si="35"/>
        <v>1.9209742785314624E-2</v>
      </c>
      <c r="Z303" s="255" t="str">
        <f>IF(ISNUMBER(SEARCH("C",'WetLitterbags placem_collection'!W230)),"YES","NO")</f>
        <v>NO</v>
      </c>
      <c r="AA303" s="255" t="str">
        <f>IF(ISNUMBER(SEARCH("H", 'WetLitterbags placem_collection'!Y10)),"YES","NO")</f>
        <v>NO</v>
      </c>
      <c r="AB303" s="255" t="str">
        <f>IF(ISNUMBER(SEARCH("R", 'WetLitterbags placem_collection'!WY10)),"YES","NO")</f>
        <v>NO</v>
      </c>
      <c r="AC303" s="255" t="str">
        <f>IF(ISNUMBER(SEARCH("C", 'WetLitterbags placem_collection'!VX10)),"YES","NO")</f>
        <v>NO</v>
      </c>
      <c r="AD303" s="255" t="str">
        <f>IF(ISNUMBER(SEARCH("H", 'WetLitterbags placem_collection'!X10)),"YES","NO")</f>
        <v>NO</v>
      </c>
      <c r="AE303" s="255" t="str">
        <f>IF(ISNUMBER(SEARCH("R", 'WetLitterbags placem_collection'!X10)),"YES","NO")</f>
        <v>NO</v>
      </c>
    </row>
    <row r="304" spans="2:31">
      <c r="B304" t="str">
        <f>'Final data_for_R_analysis_Wetse'!A450</f>
        <v>Wet</v>
      </c>
      <c r="C304" s="263">
        <f>'Final data_for_R_analysis_Wetse'!B450</f>
        <v>9</v>
      </c>
      <c r="D304" t="s">
        <v>3828</v>
      </c>
      <c r="E304" t="s">
        <v>25</v>
      </c>
      <c r="F304" s="386">
        <v>1</v>
      </c>
      <c r="G304" s="16">
        <f>'WetLitterbags placem_collection'!E11</f>
        <v>42766</v>
      </c>
      <c r="H304" s="92" t="str">
        <f>'Final data_for_R_analysis_Wetse'!J450</f>
        <v>G476</v>
      </c>
      <c r="I304" t="str">
        <f>'Final data_for_R_analysis_Wetse'!J670</f>
        <v>R101</v>
      </c>
      <c r="J304">
        <f>IFERROR(INDEX('Green_rooibos initial weight'!$C$5:$C$1749,MATCH(H304, 'Green_rooibos initial weight'!$A$5:$A$1749,0)),"")</f>
        <v>2.121</v>
      </c>
      <c r="K304">
        <f>IFERROR(INDEX('Green_rooibos initial weight'!$C$5:$C$1749,MATCH(I304, 'Green_rooibos initial weight'!$A$5:$A$1749,0)),"")</f>
        <v>2.3039999999999998</v>
      </c>
      <c r="L304" s="195">
        <f t="shared" si="29"/>
        <v>1.8712</v>
      </c>
      <c r="M304" s="195">
        <f>AVERAGE(Ashed_controlls!$K$2:$K$11)</f>
        <v>5.5147656768714146</v>
      </c>
      <c r="N304" s="195">
        <f t="shared" si="27"/>
        <v>2.0541999999999998</v>
      </c>
      <c r="O304" s="16">
        <f>IF('WetLitterbags placem_collection'!G11="N.A","",'WetLitterbags placem_collection'!G11)</f>
        <v>42818</v>
      </c>
      <c r="P304" s="195">
        <f>IF(IFERROR(INDEX('Both teabags AfterWet'!$C$3:$C$841,MATCH(H304,'Both teabags AfterWet'!$A$3:$A$841,0)),"")="N.A","",(IFERROR(INDEX('Both teabags AfterWet'!$C$3:$C$841,MATCH(H304,'Both teabags AfterWet'!$A$3:$A$841,0)),"")))</f>
        <v>0.66479999999999995</v>
      </c>
      <c r="Q304" s="195">
        <f>IFERROR(INDEX('Both teabags AfterWet'!$C$3:$C$841,MATCH(I304,'Both teabags AfterWet'!$A$3:$A$841,0)),"")</f>
        <v>1.5383</v>
      </c>
      <c r="R304" s="195">
        <f t="shared" si="30"/>
        <v>0.51419999999999999</v>
      </c>
      <c r="S304" s="195">
        <f t="shared" si="30"/>
        <v>1.3876999999999999</v>
      </c>
      <c r="T304" s="195">
        <f t="shared" si="31"/>
        <v>0.72520307823856345</v>
      </c>
      <c r="U304" s="195">
        <f t="shared" si="32"/>
        <v>0.47543004654119603</v>
      </c>
      <c r="V304" s="195">
        <f t="shared" si="33"/>
        <v>0.67554279038068354</v>
      </c>
      <c r="W304">
        <f t="shared" si="28"/>
        <v>52</v>
      </c>
      <c r="X304" s="195">
        <f t="shared" si="34"/>
        <v>0.13871368380218119</v>
      </c>
      <c r="Y304" s="195">
        <f t="shared" si="35"/>
        <v>2.2059996593908244E-2</v>
      </c>
      <c r="Z304" s="255" t="str">
        <f>IF(ISNUMBER(SEARCH("C",'WetLitterbags placem_collection'!W231)),"YES","NO")</f>
        <v>NO</v>
      </c>
      <c r="AA304" s="255" t="str">
        <f>IF(ISNUMBER(SEARCH("H", 'WetLitterbags placem_collection'!Y11)),"YES","NO")</f>
        <v>NO</v>
      </c>
      <c r="AB304" s="255" t="str">
        <f>IF(ISNUMBER(SEARCH("R", 'WetLitterbags placem_collection'!WY11)),"YES","NO")</f>
        <v>NO</v>
      </c>
      <c r="AC304" s="255" t="str">
        <f>IF(ISNUMBER(SEARCH("C", 'WetLitterbags placem_collection'!VX11)),"YES","NO")</f>
        <v>NO</v>
      </c>
      <c r="AD304" s="255" t="str">
        <f>IF(ISNUMBER(SEARCH("H", 'WetLitterbags placem_collection'!X11)),"YES","NO")</f>
        <v>NO</v>
      </c>
      <c r="AE304" s="255" t="str">
        <f>IF(ISNUMBER(SEARCH("R", 'WetLitterbags placem_collection'!X11)),"YES","NO")</f>
        <v>NO</v>
      </c>
    </row>
    <row r="305" spans="2:31">
      <c r="B305" t="str">
        <f>'Final data_for_R_analysis_Wetse'!A451</f>
        <v>Wet</v>
      </c>
      <c r="C305" s="263">
        <f>'Final data_for_R_analysis_Wetse'!B451</f>
        <v>10</v>
      </c>
      <c r="D305" t="s">
        <v>3828</v>
      </c>
      <c r="E305" t="s">
        <v>25</v>
      </c>
      <c r="F305" s="386">
        <v>2</v>
      </c>
      <c r="G305" s="16">
        <f>'WetLitterbags placem_collection'!E12</f>
        <v>42766</v>
      </c>
      <c r="H305" s="92" t="str">
        <f>'Final data_for_R_analysis_Wetse'!J451</f>
        <v>G606</v>
      </c>
      <c r="I305" t="str">
        <f>'Final data_for_R_analysis_Wetse'!J671</f>
        <v>R515</v>
      </c>
      <c r="J305">
        <f>IFERROR(INDEX('Green_rooibos initial weight'!$C$5:$C$1749,MATCH(H305, 'Green_rooibos initial weight'!$A$5:$A$1749,0)),"")</f>
        <v>1.921</v>
      </c>
      <c r="K305">
        <f>IFERROR(INDEX('Green_rooibos initial weight'!$C$5:$C$1749,MATCH(I305, 'Green_rooibos initial weight'!$A$5:$A$1749,0)),"")</f>
        <v>2.2050000000000001</v>
      </c>
      <c r="L305" s="195">
        <f t="shared" si="29"/>
        <v>1.6712</v>
      </c>
      <c r="M305" s="195">
        <f>AVERAGE(Ashed_controlls!$K$2:$K$11)</f>
        <v>5.5147656768714146</v>
      </c>
      <c r="N305" s="195">
        <f t="shared" si="27"/>
        <v>1.9552</v>
      </c>
      <c r="O305" s="16">
        <f>IF('WetLitterbags placem_collection'!G12="N.A","",'WetLitterbags placem_collection'!G12)</f>
        <v>42818</v>
      </c>
      <c r="P305" s="195">
        <f>IF(IFERROR(INDEX('Both teabags AfterWet'!$C$3:$C$841,MATCH(H305,'Both teabags AfterWet'!$A$3:$A$841,0)),"")="N.A","",(IFERROR(INDEX('Both teabags AfterWet'!$C$3:$C$841,MATCH(H305,'Both teabags AfterWet'!$A$3:$A$841,0)),"")))</f>
        <v>0.63539999999999996</v>
      </c>
      <c r="Q305" s="195">
        <f>IFERROR(INDEX('Both teabags AfterWet'!$C$3:$C$841,MATCH(I305,'Both teabags AfterWet'!$A$3:$A$841,0)),"")</f>
        <v>1.3853</v>
      </c>
      <c r="R305" s="195">
        <f t="shared" si="30"/>
        <v>0.48479999999999995</v>
      </c>
      <c r="S305" s="195">
        <f t="shared" si="30"/>
        <v>1.2346999999999999</v>
      </c>
      <c r="T305" s="195">
        <f t="shared" si="31"/>
        <v>0.70990904739109628</v>
      </c>
      <c r="U305" s="195">
        <f t="shared" si="32"/>
        <v>0.46540355600936484</v>
      </c>
      <c r="V305" s="195">
        <f t="shared" si="33"/>
        <v>0.63149549918166936</v>
      </c>
      <c r="W305">
        <f t="shared" si="28"/>
        <v>52</v>
      </c>
      <c r="X305" s="195">
        <f t="shared" si="34"/>
        <v>0.15687761592506377</v>
      </c>
      <c r="Y305" s="195">
        <f t="shared" si="35"/>
        <v>3.0177598521146373E-2</v>
      </c>
      <c r="Z305" s="255" t="str">
        <f>IF(ISNUMBER(SEARCH("C",'WetLitterbags placem_collection'!W232)),"YES","NO")</f>
        <v>NO</v>
      </c>
      <c r="AA305" s="255" t="str">
        <f>IF(ISNUMBER(SEARCH("H", 'WetLitterbags placem_collection'!Y12)),"YES","NO")</f>
        <v>NO</v>
      </c>
      <c r="AB305" s="255" t="str">
        <f>IF(ISNUMBER(SEARCH("R", 'WetLitterbags placem_collection'!WY12)),"YES","NO")</f>
        <v>NO</v>
      </c>
      <c r="AC305" s="255" t="str">
        <f>IF(ISNUMBER(SEARCH("C", 'WetLitterbags placem_collection'!VX12)),"YES","NO")</f>
        <v>NO</v>
      </c>
      <c r="AD305" s="255" t="str">
        <f>IF(ISNUMBER(SEARCH("H", 'WetLitterbags placem_collection'!X12)),"YES","NO")</f>
        <v>NO</v>
      </c>
      <c r="AE305" s="255" t="str">
        <f>IF(ISNUMBER(SEARCH("R", 'WetLitterbags placem_collection'!X12)),"YES","NO")</f>
        <v>NO</v>
      </c>
    </row>
    <row r="306" spans="2:31">
      <c r="B306" t="str">
        <f>'Final data_for_R_analysis_Wetse'!A452</f>
        <v>Wet</v>
      </c>
      <c r="C306" s="263">
        <f>'Final data_for_R_analysis_Wetse'!B452</f>
        <v>11</v>
      </c>
      <c r="D306" t="s">
        <v>3828</v>
      </c>
      <c r="E306" t="s">
        <v>25</v>
      </c>
      <c r="F306" s="386">
        <v>3</v>
      </c>
      <c r="G306" s="16">
        <f>'WetLitterbags placem_collection'!E13</f>
        <v>42766</v>
      </c>
      <c r="H306" s="92" t="str">
        <f>'Final data_for_R_analysis_Wetse'!J452</f>
        <v>G523</v>
      </c>
      <c r="I306" t="str">
        <f>'Final data_for_R_analysis_Wetse'!J672</f>
        <v>R2</v>
      </c>
      <c r="J306">
        <f>IFERROR(INDEX('Green_rooibos initial weight'!$C$5:$C$1749,MATCH(H306, 'Green_rooibos initial weight'!$A$5:$A$1749,0)),"")</f>
        <v>2.1419999999999999</v>
      </c>
      <c r="K306">
        <f>IFERROR(INDEX('Green_rooibos initial weight'!$C$5:$C$1749,MATCH(I306, 'Green_rooibos initial weight'!$A$5:$A$1749,0)),"")</f>
        <v>2.2679999999999998</v>
      </c>
      <c r="L306" s="195">
        <f t="shared" si="29"/>
        <v>1.8921999999999999</v>
      </c>
      <c r="M306" s="195">
        <f>AVERAGE(Ashed_controlls!$K$2:$K$11)</f>
        <v>5.5147656768714146</v>
      </c>
      <c r="N306" s="195">
        <f t="shared" si="27"/>
        <v>2.0181999999999998</v>
      </c>
      <c r="O306" s="16">
        <f>IF('WetLitterbags placem_collection'!G13="N.A","",'WetLitterbags placem_collection'!G13)</f>
        <v>42818</v>
      </c>
      <c r="P306" s="195">
        <f>IF(IFERROR(INDEX('Both teabags AfterWet'!$C$3:$C$841,MATCH(H306,'Both teabags AfterWet'!$A$3:$A$841,0)),"")="N.A","",(IFERROR(INDEX('Both teabags AfterWet'!$C$3:$C$841,MATCH(H306,'Both teabags AfterWet'!$A$3:$A$841,0)),"")))</f>
        <v>0.63119999999999998</v>
      </c>
      <c r="Q306" s="195">
        <f>IFERROR(INDEX('Both teabags AfterWet'!$C$3:$C$841,MATCH(I306,'Both teabags AfterWet'!$A$3:$A$841,0)),"")</f>
        <v>1.43</v>
      </c>
      <c r="R306" s="195">
        <f t="shared" si="30"/>
        <v>0.48059999999999997</v>
      </c>
      <c r="S306" s="195">
        <f t="shared" si="30"/>
        <v>1.2793999999999999</v>
      </c>
      <c r="T306" s="195">
        <f t="shared" si="31"/>
        <v>0.74600993552478601</v>
      </c>
      <c r="U306" s="195">
        <f t="shared" si="32"/>
        <v>0.48907064656731819</v>
      </c>
      <c r="V306" s="195">
        <f t="shared" si="33"/>
        <v>0.63393122584481221</v>
      </c>
      <c r="W306">
        <f t="shared" si="28"/>
        <v>52</v>
      </c>
      <c r="X306" s="195">
        <f t="shared" si="34"/>
        <v>0.11400245187080049</v>
      </c>
      <c r="Y306" s="195">
        <f t="shared" si="35"/>
        <v>2.6544372546697632E-2</v>
      </c>
      <c r="Z306" s="255" t="str">
        <f>IF(ISNUMBER(SEARCH("C",'WetLitterbags placem_collection'!W233)),"YES","NO")</f>
        <v>NO</v>
      </c>
      <c r="AA306" s="255" t="str">
        <f>IF(ISNUMBER(SEARCH("H", 'WetLitterbags placem_collection'!Y13)),"YES","NO")</f>
        <v>NO</v>
      </c>
      <c r="AB306" s="255" t="str">
        <f>IF(ISNUMBER(SEARCH("R", 'WetLitterbags placem_collection'!WY13)),"YES","NO")</f>
        <v>NO</v>
      </c>
      <c r="AC306" s="255" t="str">
        <f>IF(ISNUMBER(SEARCH("C", 'WetLitterbags placem_collection'!VX13)),"YES","NO")</f>
        <v>NO</v>
      </c>
      <c r="AD306" s="255" t="str">
        <f>IF(ISNUMBER(SEARCH("H", 'WetLitterbags placem_collection'!X13)),"YES","NO")</f>
        <v>NO</v>
      </c>
      <c r="AE306" s="255" t="str">
        <f>IF(ISNUMBER(SEARCH("R", 'WetLitterbags placem_collection'!X13)),"YES","NO")</f>
        <v>NO</v>
      </c>
    </row>
    <row r="307" spans="2:31">
      <c r="B307" t="str">
        <f>'Final data_for_R_analysis_Wetse'!A453</f>
        <v>Wet</v>
      </c>
      <c r="C307" s="263">
        <f>'Final data_for_R_analysis_Wetse'!B453</f>
        <v>12</v>
      </c>
      <c r="D307" t="s">
        <v>3828</v>
      </c>
      <c r="E307" t="s">
        <v>25</v>
      </c>
      <c r="F307" s="387">
        <v>4</v>
      </c>
      <c r="G307" s="16">
        <f>'WetLitterbags placem_collection'!E14</f>
        <v>42766</v>
      </c>
      <c r="H307" s="92" t="str">
        <f>'Final data_for_R_analysis_Wetse'!J453</f>
        <v>G490</v>
      </c>
      <c r="I307" t="str">
        <f>'Final data_for_R_analysis_Wetse'!J673</f>
        <v>R123</v>
      </c>
      <c r="J307">
        <f>IFERROR(INDEX('Green_rooibos initial weight'!$C$5:$C$1749,MATCH(H307, 'Green_rooibos initial weight'!$A$5:$A$1749,0)),"")</f>
        <v>1.881</v>
      </c>
      <c r="K307">
        <f>IFERROR(INDEX('Green_rooibos initial weight'!$C$5:$C$1749,MATCH(I307, 'Green_rooibos initial weight'!$A$5:$A$1749,0)),"")</f>
        <v>2.2610000000000001</v>
      </c>
      <c r="L307" s="195">
        <f t="shared" si="29"/>
        <v>1.6312</v>
      </c>
      <c r="M307" s="195">
        <f>AVERAGE(Ashed_controlls!$K$2:$K$11)</f>
        <v>5.5147656768714146</v>
      </c>
      <c r="N307" s="195">
        <f t="shared" si="27"/>
        <v>2.0112000000000001</v>
      </c>
      <c r="O307" s="16">
        <f>IF('WetLitterbags placem_collection'!G14="N.A","",'WetLitterbags placem_collection'!G14)</f>
        <v>0</v>
      </c>
      <c r="P307" s="195" t="str">
        <f>IF(IFERROR(INDEX('Both teabags AfterWet'!$C$3:$C$841,MATCH(H307,'Both teabags AfterWet'!$A$3:$A$841,0)),"")="N.A","",(IFERROR(INDEX('Both teabags AfterWet'!$C$3:$C$841,MATCH(H307,'Both teabags AfterWet'!$A$3:$A$841,0)),"")))</f>
        <v/>
      </c>
      <c r="Q307" s="195" t="str">
        <f>IFERROR(INDEX('Both teabags AfterWet'!$C$3:$C$841,MATCH(I307,'Both teabags AfterWet'!$A$3:$A$841,0)),"")</f>
        <v/>
      </c>
      <c r="R307" s="195" t="str">
        <f t="shared" si="30"/>
        <v/>
      </c>
      <c r="S307" s="195" t="str">
        <f t="shared" si="30"/>
        <v/>
      </c>
      <c r="T307" s="195" t="str">
        <f t="shared" si="31"/>
        <v/>
      </c>
      <c r="U307" s="195" t="str">
        <f t="shared" si="32"/>
        <v/>
      </c>
      <c r="V307" s="195" t="str">
        <f t="shared" si="33"/>
        <v/>
      </c>
      <c r="W307" t="str">
        <f t="shared" si="28"/>
        <v/>
      </c>
      <c r="X307" s="195" t="str">
        <f t="shared" si="34"/>
        <v/>
      </c>
      <c r="Y307" s="195" t="str">
        <f t="shared" si="35"/>
        <v/>
      </c>
      <c r="Z307" s="255" t="str">
        <f>IF(ISNUMBER(SEARCH("C",'WetLitterbags placem_collection'!W234)),"YES","NO")</f>
        <v>NO</v>
      </c>
      <c r="AA307" s="255" t="str">
        <f>IF(ISNUMBER(SEARCH("H", 'WetLitterbags placem_collection'!Y14)),"YES","NO")</f>
        <v>NO</v>
      </c>
      <c r="AB307" s="255" t="str">
        <f>IF(ISNUMBER(SEARCH("R", 'WetLitterbags placem_collection'!WY14)),"YES","NO")</f>
        <v>NO</v>
      </c>
      <c r="AC307" s="255" t="str">
        <f>IF(ISNUMBER(SEARCH("C", 'WetLitterbags placem_collection'!VX14)),"YES","NO")</f>
        <v>NO</v>
      </c>
      <c r="AD307" s="255" t="str">
        <f>IF(ISNUMBER(SEARCH("H", 'WetLitterbags placem_collection'!X14)),"YES","NO")</f>
        <v>NO</v>
      </c>
      <c r="AE307" s="255" t="str">
        <f>IF(ISNUMBER(SEARCH("R", 'WetLitterbags placem_collection'!X14)),"YES","NO")</f>
        <v>NO</v>
      </c>
    </row>
    <row r="308" spans="2:31">
      <c r="B308" t="str">
        <f>'Final data_for_R_analysis_Wetse'!A454</f>
        <v>Wet</v>
      </c>
      <c r="C308" s="263">
        <f>'Final data_for_R_analysis_Wetse'!B454</f>
        <v>13</v>
      </c>
      <c r="D308" t="s">
        <v>3828</v>
      </c>
      <c r="E308" t="s">
        <v>25</v>
      </c>
      <c r="F308" s="387">
        <v>5</v>
      </c>
      <c r="G308" s="16">
        <f>'WetLitterbags placem_collection'!E15</f>
        <v>42766</v>
      </c>
      <c r="H308" s="92" t="str">
        <f>'Final data_for_R_analysis_Wetse'!J454</f>
        <v>G241</v>
      </c>
      <c r="I308" t="str">
        <f>'Final data_for_R_analysis_Wetse'!J674</f>
        <v>R3</v>
      </c>
      <c r="J308">
        <f>IFERROR(INDEX('Green_rooibos initial weight'!$C$5:$C$1749,MATCH(H308, 'Green_rooibos initial weight'!$A$5:$A$1749,0)),"")</f>
        <v>2.0179999999999998</v>
      </c>
      <c r="K308">
        <f>IFERROR(INDEX('Green_rooibos initial weight'!$C$5:$C$1749,MATCH(I308, 'Green_rooibos initial weight'!$A$5:$A$1749,0)),"")</f>
        <v>2.242</v>
      </c>
      <c r="L308" s="195">
        <f t="shared" si="29"/>
        <v>1.7681999999999998</v>
      </c>
      <c r="M308" s="195">
        <f>AVERAGE(Ashed_controlls!$K$2:$K$11)</f>
        <v>5.5147656768714146</v>
      </c>
      <c r="N308" s="195">
        <f t="shared" si="27"/>
        <v>1.9922</v>
      </c>
      <c r="O308" s="16">
        <f>IF('WetLitterbags placem_collection'!G15="N.A","",'WetLitterbags placem_collection'!G15)</f>
        <v>42818</v>
      </c>
      <c r="P308" s="195">
        <f>IF(IFERROR(INDEX('Both teabags AfterWet'!$C$3:$C$841,MATCH(H308,'Both teabags AfterWet'!$A$3:$A$841,0)),"")="N.A","",(IFERROR(INDEX('Both teabags AfterWet'!$C$3:$C$841,MATCH(H308,'Both teabags AfterWet'!$A$3:$A$841,0)),"")))</f>
        <v>0.52059999999999995</v>
      </c>
      <c r="Q308" s="195">
        <f>IFERROR(INDEX('Both teabags AfterWet'!$C$3:$C$841,MATCH(I308,'Both teabags AfterWet'!$A$3:$A$841,0)),"")</f>
        <v>1.4899</v>
      </c>
      <c r="R308" s="195">
        <f t="shared" si="30"/>
        <v>0.36999999999999994</v>
      </c>
      <c r="S308" s="195">
        <f t="shared" si="30"/>
        <v>1.3392999999999999</v>
      </c>
      <c r="T308" s="195">
        <f t="shared" si="31"/>
        <v>0.79074765298043204</v>
      </c>
      <c r="U308" s="195">
        <f t="shared" si="32"/>
        <v>0.51839988651448754</v>
      </c>
      <c r="V308" s="195">
        <f t="shared" si="33"/>
        <v>0.67227186025499441</v>
      </c>
      <c r="W308">
        <f t="shared" si="28"/>
        <v>52</v>
      </c>
      <c r="X308" s="195">
        <f t="shared" si="34"/>
        <v>6.0869770807087775E-2</v>
      </c>
      <c r="Y308" s="195">
        <f t="shared" si="35"/>
        <v>1.9234491920585697E-2</v>
      </c>
      <c r="Z308" s="255" t="str">
        <f>IF(ISNUMBER(SEARCH("C",'WetLitterbags placem_collection'!W235)),"YES","NO")</f>
        <v>NO</v>
      </c>
      <c r="AA308" s="255" t="str">
        <f>IF(ISNUMBER(SEARCH("H", 'WetLitterbags placem_collection'!Y15)),"YES","NO")</f>
        <v>NO</v>
      </c>
      <c r="AB308" s="255" t="str">
        <f>IF(ISNUMBER(SEARCH("R", 'WetLitterbags placem_collection'!WY15)),"YES","NO")</f>
        <v>NO</v>
      </c>
      <c r="AC308" s="255" t="str">
        <f>IF(ISNUMBER(SEARCH("C", 'WetLitterbags placem_collection'!VX15)),"YES","NO")</f>
        <v>NO</v>
      </c>
      <c r="AD308" s="255" t="str">
        <f>IF(ISNUMBER(SEARCH("H", 'WetLitterbags placem_collection'!X15)),"YES","NO")</f>
        <v>NO</v>
      </c>
      <c r="AE308" s="255" t="str">
        <f>IF(ISNUMBER(SEARCH("R", 'WetLitterbags placem_collection'!X15)),"YES","NO")</f>
        <v>NO</v>
      </c>
    </row>
    <row r="309" spans="2:31">
      <c r="B309" t="str">
        <f>'Final data_for_R_analysis_Wetse'!A455</f>
        <v>Wet</v>
      </c>
      <c r="C309" s="263">
        <f>'Final data_for_R_analysis_Wetse'!B455</f>
        <v>14</v>
      </c>
      <c r="D309" t="s">
        <v>3828</v>
      </c>
      <c r="E309" t="s">
        <v>25</v>
      </c>
      <c r="F309" s="387">
        <v>6</v>
      </c>
      <c r="G309" s="16">
        <f>'WetLitterbags placem_collection'!E16</f>
        <v>42766</v>
      </c>
      <c r="H309" s="92" t="str">
        <f>'Final data_for_R_analysis_Wetse'!J455</f>
        <v>G503</v>
      </c>
      <c r="I309" t="str">
        <f>'Final data_for_R_analysis_Wetse'!J675</f>
        <v>R282</v>
      </c>
      <c r="J309">
        <f>IFERROR(INDEX('Green_rooibos initial weight'!$C$5:$C$1749,MATCH(H309, 'Green_rooibos initial weight'!$A$5:$A$1749,0)),"")</f>
        <v>1.9810000000000001</v>
      </c>
      <c r="K309">
        <f>IFERROR(INDEX('Green_rooibos initial weight'!$C$5:$C$1749,MATCH(I309, 'Green_rooibos initial weight'!$A$5:$A$1749,0)),"")</f>
        <v>2.1829999999999998</v>
      </c>
      <c r="L309" s="195">
        <f t="shared" si="29"/>
        <v>1.7312000000000001</v>
      </c>
      <c r="M309" s="195">
        <f>AVERAGE(Ashed_controlls!$K$2:$K$11)</f>
        <v>5.5147656768714146</v>
      </c>
      <c r="N309" s="195">
        <f t="shared" si="27"/>
        <v>1.9331999999999998</v>
      </c>
      <c r="O309" s="16">
        <f>IF('WetLitterbags placem_collection'!G16="N.A","",'WetLitterbags placem_collection'!G16)</f>
        <v>42818</v>
      </c>
      <c r="P309" s="195">
        <f>IF(IFERROR(INDEX('Both teabags AfterWet'!$C$3:$C$841,MATCH(H309,'Both teabags AfterWet'!$A$3:$A$841,0)),"")="N.A","",(IFERROR(INDEX('Both teabags AfterWet'!$C$3:$C$841,MATCH(H309,'Both teabags AfterWet'!$A$3:$A$841,0)),"")))</f>
        <v>0.501</v>
      </c>
      <c r="Q309" s="195">
        <f>IFERROR(INDEX('Both teabags AfterWet'!$C$3:$C$841,MATCH(I309,'Both teabags AfterWet'!$A$3:$A$841,0)),"")</f>
        <v>1.5669999999999999</v>
      </c>
      <c r="R309" s="195">
        <f t="shared" si="30"/>
        <v>0.35039999999999999</v>
      </c>
      <c r="S309" s="195">
        <f t="shared" si="30"/>
        <v>1.4163999999999999</v>
      </c>
      <c r="T309" s="195">
        <f t="shared" si="31"/>
        <v>0.79759704251386321</v>
      </c>
      <c r="U309" s="195">
        <f t="shared" si="32"/>
        <v>0.52289022264566809</v>
      </c>
      <c r="V309" s="195">
        <f t="shared" si="33"/>
        <v>0.73267121870473828</v>
      </c>
      <c r="W309">
        <f t="shared" si="28"/>
        <v>52</v>
      </c>
      <c r="X309" s="195">
        <f t="shared" si="34"/>
        <v>5.2735103902775249E-2</v>
      </c>
      <c r="Y309" s="195">
        <f t="shared" si="35"/>
        <v>1.3767474750133612E-2</v>
      </c>
      <c r="Z309" s="255" t="str">
        <f>IF(ISNUMBER(SEARCH("C",'WetLitterbags placem_collection'!W236)),"YES","NO")</f>
        <v>NO</v>
      </c>
      <c r="AA309" s="255" t="str">
        <f>IF(ISNUMBER(SEARCH("H", 'WetLitterbags placem_collection'!Y16)),"YES","NO")</f>
        <v>NO</v>
      </c>
      <c r="AB309" s="255" t="str">
        <f>IF(ISNUMBER(SEARCH("R", 'WetLitterbags placem_collection'!WY16)),"YES","NO")</f>
        <v>NO</v>
      </c>
      <c r="AC309" s="255" t="str">
        <f>IF(ISNUMBER(SEARCH("C", 'WetLitterbags placem_collection'!VX16)),"YES","NO")</f>
        <v>NO</v>
      </c>
      <c r="AD309" s="255" t="str">
        <f>IF(ISNUMBER(SEARCH("H", 'WetLitterbags placem_collection'!X16)),"YES","NO")</f>
        <v>NO</v>
      </c>
      <c r="AE309" s="255" t="str">
        <f>IF(ISNUMBER(SEARCH("R", 'WetLitterbags placem_collection'!X16)),"YES","NO")</f>
        <v>NO</v>
      </c>
    </row>
    <row r="310" spans="2:31">
      <c r="B310" t="str">
        <f>'Final data_for_R_analysis_Wetse'!A456</f>
        <v>Wet</v>
      </c>
      <c r="C310" s="263">
        <f>'Final data_for_R_analysis_Wetse'!B456</f>
        <v>15</v>
      </c>
      <c r="D310" t="s">
        <v>3828</v>
      </c>
      <c r="E310" t="s">
        <v>25</v>
      </c>
      <c r="F310" s="387">
        <v>7</v>
      </c>
      <c r="G310" s="16">
        <f>'WetLitterbags placem_collection'!E17</f>
        <v>42766</v>
      </c>
      <c r="H310" s="92" t="str">
        <f>'Final data_for_R_analysis_Wetse'!J456</f>
        <v>G685</v>
      </c>
      <c r="I310" t="str">
        <f>'Final data_for_R_analysis_Wetse'!J676</f>
        <v>R99</v>
      </c>
      <c r="J310">
        <f>IFERROR(INDEX('Green_rooibos initial weight'!$C$5:$C$1749,MATCH(H310, 'Green_rooibos initial weight'!$A$5:$A$1749,0)),"")</f>
        <v>1.9810000000000001</v>
      </c>
      <c r="K310">
        <f>IFERROR(INDEX('Green_rooibos initial weight'!$C$5:$C$1749,MATCH(I310, 'Green_rooibos initial weight'!$A$5:$A$1749,0)),"")</f>
        <v>2.1920000000000002</v>
      </c>
      <c r="L310" s="195">
        <f t="shared" si="29"/>
        <v>1.7312000000000001</v>
      </c>
      <c r="M310" s="195">
        <f>AVERAGE(Ashed_controlls!$K$2:$K$11)</f>
        <v>5.5147656768714146</v>
      </c>
      <c r="N310" s="195">
        <f t="shared" si="27"/>
        <v>1.9422000000000001</v>
      </c>
      <c r="O310" s="16">
        <f>IF('WetLitterbags placem_collection'!G17="N.A","",'WetLitterbags placem_collection'!G17)</f>
        <v>42818</v>
      </c>
      <c r="P310" s="195">
        <f>IF(IFERROR(INDEX('Both teabags AfterWet'!$C$3:$C$841,MATCH(H310,'Both teabags AfterWet'!$A$3:$A$841,0)),"")="N.A","",(IFERROR(INDEX('Both teabags AfterWet'!$C$3:$C$841,MATCH(H310,'Both teabags AfterWet'!$A$3:$A$841,0)),"")))</f>
        <v>0.72199999999999998</v>
      </c>
      <c r="Q310" s="195">
        <f>IFERROR(INDEX('Both teabags AfterWet'!$C$3:$C$841,MATCH(I310,'Both teabags AfterWet'!$A$3:$A$841,0)),"")</f>
        <v>1.355</v>
      </c>
      <c r="R310" s="195">
        <f t="shared" si="30"/>
        <v>0.57139999999999991</v>
      </c>
      <c r="S310" s="195">
        <f t="shared" si="30"/>
        <v>1.2043999999999999</v>
      </c>
      <c r="T310" s="195">
        <f t="shared" si="31"/>
        <v>0.66993992606284669</v>
      </c>
      <c r="U310" s="195">
        <f t="shared" si="32"/>
        <v>0.43920052159939599</v>
      </c>
      <c r="V310" s="195">
        <f t="shared" si="33"/>
        <v>0.62012151168777663</v>
      </c>
      <c r="W310">
        <f t="shared" si="28"/>
        <v>52</v>
      </c>
      <c r="X310" s="195">
        <f t="shared" si="34"/>
        <v>0.20434688116051458</v>
      </c>
      <c r="Y310" s="195">
        <f t="shared" si="35"/>
        <v>3.8499524702639357E-2</v>
      </c>
      <c r="Z310" s="255" t="str">
        <f>IF(ISNUMBER(SEARCH("C",'WetLitterbags placem_collection'!W237)),"YES","NO")</f>
        <v>NO</v>
      </c>
      <c r="AA310" s="255" t="str">
        <f>IF(ISNUMBER(SEARCH("H", 'WetLitterbags placem_collection'!Y17)),"YES","NO")</f>
        <v>NO</v>
      </c>
      <c r="AB310" s="255" t="str">
        <f>IF(ISNUMBER(SEARCH("R", 'WetLitterbags placem_collection'!WY17)),"YES","NO")</f>
        <v>NO</v>
      </c>
      <c r="AC310" s="255" t="str">
        <f>IF(ISNUMBER(SEARCH("C", 'WetLitterbags placem_collection'!VX17)),"YES","NO")</f>
        <v>NO</v>
      </c>
      <c r="AD310" s="255" t="str">
        <f>IF(ISNUMBER(SEARCH("H", 'WetLitterbags placem_collection'!X17)),"YES","NO")</f>
        <v>NO</v>
      </c>
      <c r="AE310" s="255" t="str">
        <f>IF(ISNUMBER(SEARCH("R", 'WetLitterbags placem_collection'!X17)),"YES","NO")</f>
        <v>YES</v>
      </c>
    </row>
    <row r="311" spans="2:31">
      <c r="B311" t="str">
        <f>'Final data_for_R_analysis_Wetse'!A457</f>
        <v>Wet</v>
      </c>
      <c r="C311" s="263">
        <f>'Final data_for_R_analysis_Wetse'!B457</f>
        <v>16</v>
      </c>
      <c r="D311" t="s">
        <v>3828</v>
      </c>
      <c r="E311" t="s">
        <v>25</v>
      </c>
      <c r="F311" s="387">
        <v>8</v>
      </c>
      <c r="G311" s="16">
        <f>'WetLitterbags placem_collection'!E18</f>
        <v>42766</v>
      </c>
      <c r="H311" s="92" t="str">
        <f>'Final data_for_R_analysis_Wetse'!J457</f>
        <v>G644</v>
      </c>
      <c r="I311" t="str">
        <f>'Final data_for_R_analysis_Wetse'!J677</f>
        <v>R154</v>
      </c>
      <c r="J311">
        <f>IFERROR(INDEX('Green_rooibos initial weight'!$C$5:$C$1749,MATCH(H311, 'Green_rooibos initial weight'!$A$5:$A$1749,0)),"")</f>
        <v>2.157</v>
      </c>
      <c r="K311">
        <f>IFERROR(INDEX('Green_rooibos initial weight'!$C$5:$C$1749,MATCH(I311, 'Green_rooibos initial weight'!$A$5:$A$1749,0)),"")</f>
        <v>2.2010000000000001</v>
      </c>
      <c r="L311" s="195">
        <f t="shared" si="29"/>
        <v>1.9072</v>
      </c>
      <c r="M311" s="195">
        <f>AVERAGE(Ashed_controlls!$K$2:$K$11)</f>
        <v>5.5147656768714146</v>
      </c>
      <c r="N311" s="195">
        <f t="shared" si="27"/>
        <v>1.9512</v>
      </c>
      <c r="O311" s="16">
        <f>IF('WetLitterbags placem_collection'!G18="N.A","",'WetLitterbags placem_collection'!G18)</f>
        <v>42818</v>
      </c>
      <c r="P311" s="195">
        <f>IF(IFERROR(INDEX('Both teabags AfterWet'!$C$3:$C$841,MATCH(H311,'Both teabags AfterWet'!$A$3:$A$841,0)),"")="N.A","",(IFERROR(INDEX('Both teabags AfterWet'!$C$3:$C$841,MATCH(H311,'Both teabags AfterWet'!$A$3:$A$841,0)),"")))</f>
        <v>0.65410000000000001</v>
      </c>
      <c r="Q311" s="195">
        <f>IFERROR(INDEX('Both teabags AfterWet'!$C$3:$C$841,MATCH(I311,'Both teabags AfterWet'!$A$3:$A$841,0)),"")</f>
        <v>1.421</v>
      </c>
      <c r="R311" s="195">
        <f t="shared" si="30"/>
        <v>0.50350000000000006</v>
      </c>
      <c r="S311" s="195">
        <f t="shared" si="30"/>
        <v>1.2704</v>
      </c>
      <c r="T311" s="195">
        <f t="shared" si="31"/>
        <v>0.73600041946308714</v>
      </c>
      <c r="U311" s="195">
        <f t="shared" si="32"/>
        <v>0.48250858853162015</v>
      </c>
      <c r="V311" s="195">
        <f t="shared" si="33"/>
        <v>0.6510865108651086</v>
      </c>
      <c r="W311">
        <f t="shared" si="28"/>
        <v>52</v>
      </c>
      <c r="X311" s="195">
        <f t="shared" si="34"/>
        <v>0.1258902381673549</v>
      </c>
      <c r="Y311" s="195">
        <f t="shared" si="35"/>
        <v>2.4695868104203655E-2</v>
      </c>
      <c r="Z311" s="255" t="str">
        <f>IF(ISNUMBER(SEARCH("C",'WetLitterbags placem_collection'!W238)),"YES","NO")</f>
        <v>NO</v>
      </c>
      <c r="AA311" s="255" t="str">
        <f>IF(ISNUMBER(SEARCH("H", 'WetLitterbags placem_collection'!Y18)),"YES","NO")</f>
        <v>NO</v>
      </c>
      <c r="AB311" s="255" t="str">
        <f>IF(ISNUMBER(SEARCH("R", 'WetLitterbags placem_collection'!WY18)),"YES","NO")</f>
        <v>NO</v>
      </c>
      <c r="AC311" s="255" t="str">
        <f>IF(ISNUMBER(SEARCH("C", 'WetLitterbags placem_collection'!VX18)),"YES","NO")</f>
        <v>NO</v>
      </c>
      <c r="AD311" s="255" t="str">
        <f>IF(ISNUMBER(SEARCH("H", 'WetLitterbags placem_collection'!X18)),"YES","NO")</f>
        <v>NO</v>
      </c>
      <c r="AE311" s="255" t="str">
        <f>IF(ISNUMBER(SEARCH("R", 'WetLitterbags placem_collection'!X18)),"YES","NO")</f>
        <v>YES</v>
      </c>
    </row>
    <row r="312" spans="2:31">
      <c r="B312" t="str">
        <f>'Final data_for_R_analysis_Wetse'!A458</f>
        <v>Wet</v>
      </c>
      <c r="C312" s="263">
        <f>'Final data_for_R_analysis_Wetse'!B458</f>
        <v>17</v>
      </c>
      <c r="D312" t="s">
        <v>3829</v>
      </c>
      <c r="E312" t="s">
        <v>25</v>
      </c>
      <c r="F312" s="386">
        <v>1</v>
      </c>
      <c r="G312" s="16">
        <f>'WetLitterbags placem_collection'!E19</f>
        <v>42767</v>
      </c>
      <c r="H312" s="92" t="str">
        <f>'Final data_for_R_analysis_Wetse'!J458</f>
        <v>G648</v>
      </c>
      <c r="I312" t="str">
        <f>'Final data_for_R_analysis_Wetse'!J678</f>
        <v>R380</v>
      </c>
      <c r="J312">
        <f>IFERROR(INDEX('Green_rooibos initial weight'!$C$5:$C$1749,MATCH(H312, 'Green_rooibos initial weight'!$A$5:$A$1749,0)),"")</f>
        <v>2.0249999999999999</v>
      </c>
      <c r="K312">
        <f>IFERROR(INDEX('Green_rooibos initial weight'!$C$5:$C$1749,MATCH(I312, 'Green_rooibos initial weight'!$A$5:$A$1749,0)),"")</f>
        <v>2.2799999999999998</v>
      </c>
      <c r="L312" s="195">
        <f t="shared" si="29"/>
        <v>1.7751999999999999</v>
      </c>
      <c r="M312" s="195">
        <f>AVERAGE(Ashed_controlls!$K$2:$K$11)</f>
        <v>5.5147656768714146</v>
      </c>
      <c r="N312" s="195">
        <f t="shared" si="27"/>
        <v>2.0301999999999998</v>
      </c>
      <c r="O312" s="16">
        <f>IF('WetLitterbags placem_collection'!G19="N.A","",'WetLitterbags placem_collection'!G19)</f>
        <v>42818</v>
      </c>
      <c r="P312" s="195">
        <f>IF(IFERROR(INDEX('Both teabags AfterWet'!$C$3:$C$841,MATCH(H312,'Both teabags AfterWet'!$A$3:$A$841,0)),"")="N.A","",(IFERROR(INDEX('Both teabags AfterWet'!$C$3:$C$841,MATCH(H312,'Both teabags AfterWet'!$A$3:$A$841,0)),"")))</f>
        <v>0.6905</v>
      </c>
      <c r="Q312" s="195">
        <f>IFERROR(INDEX('Both teabags AfterWet'!$C$3:$C$841,MATCH(I312,'Both teabags AfterWet'!$A$3:$A$841,0)),"")</f>
        <v>1.6271</v>
      </c>
      <c r="R312" s="195">
        <f t="shared" si="30"/>
        <v>0.53990000000000005</v>
      </c>
      <c r="S312" s="195">
        <f t="shared" si="30"/>
        <v>1.4764999999999999</v>
      </c>
      <c r="T312" s="195">
        <f t="shared" si="31"/>
        <v>0.69586525461919779</v>
      </c>
      <c r="U312" s="195">
        <f t="shared" si="32"/>
        <v>0.45619669899025794</v>
      </c>
      <c r="V312" s="195">
        <f t="shared" si="33"/>
        <v>0.72726824943355339</v>
      </c>
      <c r="W312">
        <f t="shared" si="28"/>
        <v>51</v>
      </c>
      <c r="X312" s="195">
        <f t="shared" si="34"/>
        <v>0.17355670472779361</v>
      </c>
      <c r="Y312" s="195">
        <f t="shared" si="35"/>
        <v>1.7860792969738453E-2</v>
      </c>
      <c r="Z312" s="255" t="str">
        <f>IF(ISNUMBER(SEARCH("C",'WetLitterbags placem_collection'!W239)),"YES","NO")</f>
        <v>NO</v>
      </c>
      <c r="AA312" s="255" t="str">
        <f>IF(ISNUMBER(SEARCH("H", 'WetLitterbags placem_collection'!Y19)),"YES","NO")</f>
        <v>NO</v>
      </c>
      <c r="AB312" s="255" t="str">
        <f>IF(ISNUMBER(SEARCH("R", 'WetLitterbags placem_collection'!WY19)),"YES","NO")</f>
        <v>NO</v>
      </c>
      <c r="AC312" s="255" t="str">
        <f>IF(ISNUMBER(SEARCH("C", 'WetLitterbags placem_collection'!VX19)),"YES","NO")</f>
        <v>NO</v>
      </c>
      <c r="AD312" s="255" t="str">
        <f>IF(ISNUMBER(SEARCH("H", 'WetLitterbags placem_collection'!X19)),"YES","NO")</f>
        <v>NO</v>
      </c>
      <c r="AE312" s="255" t="str">
        <f>IF(ISNUMBER(SEARCH("R", 'WetLitterbags placem_collection'!X19)),"YES","NO")</f>
        <v>YES</v>
      </c>
    </row>
    <row r="313" spans="2:31">
      <c r="B313" t="str">
        <f>'Final data_for_R_analysis_Wetse'!A459</f>
        <v>Wet</v>
      </c>
      <c r="C313" s="263">
        <f>'Final data_for_R_analysis_Wetse'!B459</f>
        <v>18</v>
      </c>
      <c r="D313" t="s">
        <v>3829</v>
      </c>
      <c r="E313" t="s">
        <v>25</v>
      </c>
      <c r="F313" s="386">
        <v>2</v>
      </c>
      <c r="G313" s="16">
        <f>'WetLitterbags placem_collection'!E20</f>
        <v>42767</v>
      </c>
      <c r="H313" s="92" t="str">
        <f>'Final data_for_R_analysis_Wetse'!J459</f>
        <v>G573</v>
      </c>
      <c r="I313" t="str">
        <f>'Final data_for_R_analysis_Wetse'!J679</f>
        <v>R274</v>
      </c>
      <c r="J313">
        <f>IFERROR(INDEX('Green_rooibos initial weight'!$C$5:$C$1749,MATCH(H313, 'Green_rooibos initial weight'!$A$5:$A$1749,0)),"")</f>
        <v>2.0019999999999998</v>
      </c>
      <c r="K313">
        <f>IFERROR(INDEX('Green_rooibos initial weight'!$C$5:$C$1749,MATCH(I313, 'Green_rooibos initial weight'!$A$5:$A$1749,0)),"")</f>
        <v>2.1880000000000002</v>
      </c>
      <c r="L313" s="195">
        <f t="shared" si="29"/>
        <v>1.7521999999999998</v>
      </c>
      <c r="M313" s="195">
        <f>AVERAGE(Ashed_controlls!$K$2:$K$11)</f>
        <v>5.5147656768714146</v>
      </c>
      <c r="N313" s="195">
        <f t="shared" si="27"/>
        <v>1.9382000000000001</v>
      </c>
      <c r="O313" s="16">
        <f>IF('WetLitterbags placem_collection'!G20="N.A","",'WetLitterbags placem_collection'!G20)</f>
        <v>42818</v>
      </c>
      <c r="P313" s="195">
        <f>IF(IFERROR(INDEX('Both teabags AfterWet'!$C$3:$C$841,MATCH(H313,'Both teabags AfterWet'!$A$3:$A$841,0)),"")="N.A","",(IFERROR(INDEX('Both teabags AfterWet'!$C$3:$C$841,MATCH(H313,'Both teabags AfterWet'!$A$3:$A$841,0)),"")))</f>
        <v>0.72099999999999997</v>
      </c>
      <c r="Q313" s="195">
        <f>IFERROR(INDEX('Both teabags AfterWet'!$C$3:$C$841,MATCH(I313,'Both teabags AfterWet'!$A$3:$A$841,0)),"")</f>
        <v>1.6060000000000001</v>
      </c>
      <c r="R313" s="195">
        <f t="shared" si="30"/>
        <v>0.57040000000000002</v>
      </c>
      <c r="S313" s="195">
        <f t="shared" si="30"/>
        <v>1.4554</v>
      </c>
      <c r="T313" s="195">
        <f t="shared" si="31"/>
        <v>0.67446638511585433</v>
      </c>
      <c r="U313" s="195">
        <f t="shared" si="32"/>
        <v>0.44216798644174776</v>
      </c>
      <c r="V313" s="195">
        <f t="shared" si="33"/>
        <v>0.75090289959756473</v>
      </c>
      <c r="W313">
        <f t="shared" si="28"/>
        <v>51</v>
      </c>
      <c r="X313" s="195">
        <f t="shared" si="34"/>
        <v>0.19897103905480484</v>
      </c>
      <c r="Y313" s="195">
        <f t="shared" si="35"/>
        <v>1.624769535384776E-2</v>
      </c>
      <c r="Z313" s="255" t="str">
        <f>IF(ISNUMBER(SEARCH("C",'WetLitterbags placem_collection'!W240)),"YES","NO")</f>
        <v>NO</v>
      </c>
      <c r="AA313" s="255" t="str">
        <f>IF(ISNUMBER(SEARCH("H", 'WetLitterbags placem_collection'!Y20)),"YES","NO")</f>
        <v>NO</v>
      </c>
      <c r="AB313" s="255" t="str">
        <f>IF(ISNUMBER(SEARCH("R", 'WetLitterbags placem_collection'!WY20)),"YES","NO")</f>
        <v>NO</v>
      </c>
      <c r="AC313" s="255" t="str">
        <f>IF(ISNUMBER(SEARCH("C", 'WetLitterbags placem_collection'!VX20)),"YES","NO")</f>
        <v>NO</v>
      </c>
      <c r="AD313" s="255" t="str">
        <f>IF(ISNUMBER(SEARCH("H", 'WetLitterbags placem_collection'!X20)),"YES","NO")</f>
        <v>NO</v>
      </c>
      <c r="AE313" s="255" t="str">
        <f>IF(ISNUMBER(SEARCH("R", 'WetLitterbags placem_collection'!X20)),"YES","NO")</f>
        <v>YES</v>
      </c>
    </row>
    <row r="314" spans="2:31">
      <c r="B314" t="str">
        <f>'Final data_for_R_analysis_Wetse'!A460</f>
        <v>Wet</v>
      </c>
      <c r="C314" s="263">
        <f>'Final data_for_R_analysis_Wetse'!B460</f>
        <v>19</v>
      </c>
      <c r="D314" t="s">
        <v>3829</v>
      </c>
      <c r="E314" t="s">
        <v>25</v>
      </c>
      <c r="F314" s="386">
        <v>3</v>
      </c>
      <c r="G314" s="16">
        <f>'WetLitterbags placem_collection'!E21</f>
        <v>42767</v>
      </c>
      <c r="H314" s="92" t="str">
        <f>'Final data_for_R_analysis_Wetse'!J460</f>
        <v>G639</v>
      </c>
      <c r="I314" t="str">
        <f>'Final data_for_R_analysis_Wetse'!J680</f>
        <v>R566</v>
      </c>
      <c r="J314">
        <f>IFERROR(INDEX('Green_rooibos initial weight'!$C$5:$C$1749,MATCH(H314, 'Green_rooibos initial weight'!$A$5:$A$1749,0)),"")</f>
        <v>2.1909999999999998</v>
      </c>
      <c r="K314">
        <f>IFERROR(INDEX('Green_rooibos initial weight'!$C$5:$C$1749,MATCH(I314, 'Green_rooibos initial weight'!$A$5:$A$1749,0)),"")</f>
        <v>2.117</v>
      </c>
      <c r="L314" s="195">
        <f t="shared" si="29"/>
        <v>1.9411999999999998</v>
      </c>
      <c r="M314" s="195">
        <f>AVERAGE(Ashed_controlls!$K$2:$K$11)</f>
        <v>5.5147656768714146</v>
      </c>
      <c r="N314" s="195">
        <f t="shared" si="27"/>
        <v>1.8672</v>
      </c>
      <c r="O314" s="16">
        <f>IF('WetLitterbags placem_collection'!G21="N.A","",'WetLitterbags placem_collection'!G21)</f>
        <v>42818</v>
      </c>
      <c r="P314" s="195">
        <f>IF(IFERROR(INDEX('Both teabags AfterWet'!$C$3:$C$841,MATCH(H314,'Both teabags AfterWet'!$A$3:$A$841,0)),"")="N.A","",(IFERROR(INDEX('Both teabags AfterWet'!$C$3:$C$841,MATCH(H314,'Both teabags AfterWet'!$A$3:$A$841,0)),"")))</f>
        <v>0.89200000000000002</v>
      </c>
      <c r="Q314" s="195">
        <f>IFERROR(INDEX('Both teabags AfterWet'!$C$3:$C$841,MATCH(I314,'Both teabags AfterWet'!$A$3:$A$841,0)),"")</f>
        <v>1.4496</v>
      </c>
      <c r="R314" s="195">
        <f t="shared" si="30"/>
        <v>0.74140000000000006</v>
      </c>
      <c r="S314" s="195">
        <f t="shared" si="30"/>
        <v>1.2989999999999999</v>
      </c>
      <c r="T314" s="195">
        <f t="shared" si="31"/>
        <v>0.61807129610550171</v>
      </c>
      <c r="U314" s="195">
        <f t="shared" si="32"/>
        <v>0.40519638414517456</v>
      </c>
      <c r="V314" s="195">
        <f t="shared" si="33"/>
        <v>0.69569408740359895</v>
      </c>
      <c r="W314">
        <f t="shared" si="28"/>
        <v>51</v>
      </c>
      <c r="X314" s="195">
        <f t="shared" si="34"/>
        <v>0.26594857944714756</v>
      </c>
      <c r="Y314" s="195">
        <f t="shared" si="35"/>
        <v>2.7261497262850175E-2</v>
      </c>
      <c r="Z314" s="255" t="str">
        <f>IF(ISNUMBER(SEARCH("C",'WetLitterbags placem_collection'!W241)),"YES","NO")</f>
        <v>NO</v>
      </c>
      <c r="AA314" s="255" t="str">
        <f>IF(ISNUMBER(SEARCH("H", 'WetLitterbags placem_collection'!Y21)),"YES","NO")</f>
        <v>NO</v>
      </c>
      <c r="AB314" s="255" t="str">
        <f>IF(ISNUMBER(SEARCH("R", 'WetLitterbags placem_collection'!WY21)),"YES","NO")</f>
        <v>NO</v>
      </c>
      <c r="AC314" s="255" t="str">
        <f>IF(ISNUMBER(SEARCH("C", 'WetLitterbags placem_collection'!VX21)),"YES","NO")</f>
        <v>NO</v>
      </c>
      <c r="AD314" s="255" t="str">
        <f>IF(ISNUMBER(SEARCH("H", 'WetLitterbags placem_collection'!X21)),"YES","NO")</f>
        <v>NO</v>
      </c>
      <c r="AE314" s="255" t="str">
        <f>IF(ISNUMBER(SEARCH("R", 'WetLitterbags placem_collection'!X21)),"YES","NO")</f>
        <v>NO</v>
      </c>
    </row>
    <row r="315" spans="2:31">
      <c r="B315" t="str">
        <f>'Final data_for_R_analysis_Wetse'!A461</f>
        <v>Wet</v>
      </c>
      <c r="C315" s="263">
        <f>'Final data_for_R_analysis_Wetse'!B461</f>
        <v>20</v>
      </c>
      <c r="D315" t="s">
        <v>3829</v>
      </c>
      <c r="E315" t="s">
        <v>25</v>
      </c>
      <c r="F315" s="387">
        <v>4</v>
      </c>
      <c r="G315" s="16">
        <f>'WetLitterbags placem_collection'!E22</f>
        <v>42767</v>
      </c>
      <c r="H315" s="92" t="str">
        <f>'Final data_for_R_analysis_Wetse'!J461</f>
        <v>G505</v>
      </c>
      <c r="I315" t="str">
        <f>'Final data_for_R_analysis_Wetse'!J681</f>
        <v>R110</v>
      </c>
      <c r="J315">
        <f>IFERROR(INDEX('Green_rooibos initial weight'!$C$5:$C$1749,MATCH(H315, 'Green_rooibos initial weight'!$A$5:$A$1749,0)),"")</f>
        <v>2.0510000000000002</v>
      </c>
      <c r="K315">
        <f>IFERROR(INDEX('Green_rooibos initial weight'!$C$5:$C$1749,MATCH(I315, 'Green_rooibos initial weight'!$A$5:$A$1749,0)),"")</f>
        <v>2.2530000000000001</v>
      </c>
      <c r="L315" s="195">
        <f t="shared" si="29"/>
        <v>1.8012000000000001</v>
      </c>
      <c r="M315" s="195">
        <f>AVERAGE(Ashed_controlls!$K$2:$K$11)</f>
        <v>5.5147656768714146</v>
      </c>
      <c r="N315" s="195">
        <f t="shared" si="27"/>
        <v>2.0032000000000001</v>
      </c>
      <c r="O315" s="16">
        <f>IF('WetLitterbags placem_collection'!G22="N.A","",'WetLitterbags placem_collection'!G22)</f>
        <v>42818</v>
      </c>
      <c r="P315" s="195">
        <f>IF(IFERROR(INDEX('Both teabags AfterWet'!$C$3:$C$841,MATCH(H315,'Both teabags AfterWet'!$A$3:$A$841,0)),"")="N.A","",(IFERROR(INDEX('Both teabags AfterWet'!$C$3:$C$841,MATCH(H315,'Both teabags AfterWet'!$A$3:$A$841,0)),"")))</f>
        <v>0.70330000000000004</v>
      </c>
      <c r="Q315" s="195">
        <f>IFERROR(INDEX('Both teabags AfterWet'!$C$3:$C$841,MATCH(I315,'Both teabags AfterWet'!$A$3:$A$841,0)),"")</f>
        <v>1.6778999999999999</v>
      </c>
      <c r="R315" s="195">
        <f t="shared" si="30"/>
        <v>0.55269999999999997</v>
      </c>
      <c r="S315" s="195">
        <f t="shared" si="30"/>
        <v>1.5272999999999999</v>
      </c>
      <c r="T315" s="195">
        <f t="shared" si="31"/>
        <v>0.69314901176993127</v>
      </c>
      <c r="U315" s="195">
        <f t="shared" si="32"/>
        <v>0.45441597921259158</v>
      </c>
      <c r="V315" s="195">
        <f t="shared" si="33"/>
        <v>0.76243011182108622</v>
      </c>
      <c r="W315">
        <f t="shared" si="28"/>
        <v>51</v>
      </c>
      <c r="X315" s="195">
        <f t="shared" si="34"/>
        <v>0.17678264635400087</v>
      </c>
      <c r="Y315" s="195">
        <f t="shared" si="35"/>
        <v>1.4506376241579626E-2</v>
      </c>
      <c r="Z315" s="255" t="str">
        <f>IF(ISNUMBER(SEARCH("C",'WetLitterbags placem_collection'!W242)),"YES","NO")</f>
        <v>NO</v>
      </c>
      <c r="AA315" s="255" t="str">
        <f>IF(ISNUMBER(SEARCH("H", 'WetLitterbags placem_collection'!Y22)),"YES","NO")</f>
        <v>NO</v>
      </c>
      <c r="AB315" s="255" t="str">
        <f>IF(ISNUMBER(SEARCH("R", 'WetLitterbags placem_collection'!WY22)),"YES","NO")</f>
        <v>NO</v>
      </c>
      <c r="AC315" s="255" t="str">
        <f>IF(ISNUMBER(SEARCH("C", 'WetLitterbags placem_collection'!VX22)),"YES","NO")</f>
        <v>NO</v>
      </c>
      <c r="AD315" s="255" t="str">
        <f>IF(ISNUMBER(SEARCH("H", 'WetLitterbags placem_collection'!X22)),"YES","NO")</f>
        <v>NO</v>
      </c>
      <c r="AE315" s="255" t="str">
        <f>IF(ISNUMBER(SEARCH("R", 'WetLitterbags placem_collection'!X22)),"YES","NO")</f>
        <v>NO</v>
      </c>
    </row>
    <row r="316" spans="2:31">
      <c r="B316" t="str">
        <f>'Final data_for_R_analysis_Wetse'!A462</f>
        <v>Wet</v>
      </c>
      <c r="C316" s="263">
        <f>'Final data_for_R_analysis_Wetse'!B462</f>
        <v>21</v>
      </c>
      <c r="D316" t="s">
        <v>3829</v>
      </c>
      <c r="E316" t="s">
        <v>25</v>
      </c>
      <c r="F316" s="387">
        <v>5</v>
      </c>
      <c r="G316" s="16">
        <f>'WetLitterbags placem_collection'!E23</f>
        <v>42767</v>
      </c>
      <c r="H316" s="92" t="str">
        <f>'Final data_for_R_analysis_Wetse'!J462</f>
        <v>G721</v>
      </c>
      <c r="I316" t="str">
        <f>'Final data_for_R_analysis_Wetse'!J682</f>
        <v>R79</v>
      </c>
      <c r="J316">
        <f>IFERROR(INDEX('Green_rooibos initial weight'!$C$5:$C$1749,MATCH(H316, 'Green_rooibos initial weight'!$A$5:$A$1749,0)),"")</f>
        <v>1.9910000000000001</v>
      </c>
      <c r="K316">
        <f>IFERROR(INDEX('Green_rooibos initial weight'!$C$5:$C$1749,MATCH(I316, 'Green_rooibos initial weight'!$A$5:$A$1749,0)),"")</f>
        <v>2.1890000000000001</v>
      </c>
      <c r="L316" s="195">
        <f t="shared" si="29"/>
        <v>1.7412000000000001</v>
      </c>
      <c r="M316" s="195">
        <f>AVERAGE(Ashed_controlls!$K$2:$K$11)</f>
        <v>5.5147656768714146</v>
      </c>
      <c r="N316" s="195">
        <f t="shared" si="27"/>
        <v>1.9392</v>
      </c>
      <c r="O316" s="16">
        <f>IF('WetLitterbags placem_collection'!G23="N.A","",'WetLitterbags placem_collection'!G23)</f>
        <v>42818</v>
      </c>
      <c r="P316" s="195">
        <f>IF(IFERROR(INDEX('Both teabags AfterWet'!$C$3:$C$841,MATCH(H316,'Both teabags AfterWet'!$A$3:$A$841,0)),"")="N.A","",(IFERROR(INDEX('Both teabags AfterWet'!$C$3:$C$841,MATCH(H316,'Both teabags AfterWet'!$A$3:$A$841,0)),"")))</f>
        <v>0.66739999999999999</v>
      </c>
      <c r="Q316" s="195">
        <f>IFERROR(INDEX('Both teabags AfterWet'!$C$3:$C$841,MATCH(I316,'Both teabags AfterWet'!$A$3:$A$841,0)),"")</f>
        <v>1.4087000000000001</v>
      </c>
      <c r="R316" s="195">
        <f t="shared" si="30"/>
        <v>0.51679999999999993</v>
      </c>
      <c r="S316" s="195">
        <f t="shared" si="30"/>
        <v>1.2581</v>
      </c>
      <c r="T316" s="195">
        <f t="shared" si="31"/>
        <v>0.70319320009189068</v>
      </c>
      <c r="U316" s="195">
        <f t="shared" si="32"/>
        <v>0.46100076775620391</v>
      </c>
      <c r="V316" s="195">
        <f t="shared" si="33"/>
        <v>0.64877268976897684</v>
      </c>
      <c r="W316">
        <f t="shared" si="28"/>
        <v>51</v>
      </c>
      <c r="X316" s="195">
        <f t="shared" si="34"/>
        <v>0.16485368160107994</v>
      </c>
      <c r="Y316" s="195">
        <f t="shared" si="35"/>
        <v>2.8136881241186032E-2</v>
      </c>
      <c r="Z316" s="255" t="str">
        <f>IF(ISNUMBER(SEARCH("C",'WetLitterbags placem_collection'!W243)),"YES","NO")</f>
        <v>NO</v>
      </c>
      <c r="AA316" s="255" t="str">
        <f>IF(ISNUMBER(SEARCH("H", 'WetLitterbags placem_collection'!Y23)),"YES","NO")</f>
        <v>NO</v>
      </c>
      <c r="AB316" s="255" t="str">
        <f>IF(ISNUMBER(SEARCH("R", 'WetLitterbags placem_collection'!WY23)),"YES","NO")</f>
        <v>NO</v>
      </c>
      <c r="AC316" s="255" t="str">
        <f>IF(ISNUMBER(SEARCH("C", 'WetLitterbags placem_collection'!VX23)),"YES","NO")</f>
        <v>NO</v>
      </c>
      <c r="AD316" s="255" t="str">
        <f>IF(ISNUMBER(SEARCH("H", 'WetLitterbags placem_collection'!X23)),"YES","NO")</f>
        <v>NO</v>
      </c>
      <c r="AE316" s="255" t="str">
        <f>IF(ISNUMBER(SEARCH("R", 'WetLitterbags placem_collection'!X23)),"YES","NO")</f>
        <v>NO</v>
      </c>
    </row>
    <row r="317" spans="2:31">
      <c r="B317" t="str">
        <f>'Final data_for_R_analysis_Wetse'!A463</f>
        <v>Wet</v>
      </c>
      <c r="C317" s="263">
        <f>'Final data_for_R_analysis_Wetse'!B463</f>
        <v>22</v>
      </c>
      <c r="D317" t="s">
        <v>3829</v>
      </c>
      <c r="E317" t="s">
        <v>25</v>
      </c>
      <c r="F317" s="387">
        <v>6</v>
      </c>
      <c r="G317" s="16">
        <f>'WetLitterbags placem_collection'!E24</f>
        <v>42767</v>
      </c>
      <c r="H317" s="92" t="str">
        <f>'Final data_for_R_analysis_Wetse'!J463</f>
        <v>G552</v>
      </c>
      <c r="I317" t="str">
        <f>'Final data_for_R_analysis_Wetse'!J683</f>
        <v>R45</v>
      </c>
      <c r="J317">
        <f>IFERROR(INDEX('Green_rooibos initial weight'!$C$5:$C$1749,MATCH(H317, 'Green_rooibos initial weight'!$A$5:$A$1749,0)),"")</f>
        <v>2.1110000000000002</v>
      </c>
      <c r="K317">
        <f>IFERROR(INDEX('Green_rooibos initial weight'!$C$5:$C$1749,MATCH(I317, 'Green_rooibos initial weight'!$A$5:$A$1749,0)),"")</f>
        <v>2.1989999999999998</v>
      </c>
      <c r="L317" s="195">
        <f t="shared" si="29"/>
        <v>1.8612000000000002</v>
      </c>
      <c r="M317" s="195">
        <f>AVERAGE(Ashed_controlls!$K$2:$K$11)</f>
        <v>5.5147656768714146</v>
      </c>
      <c r="N317" s="195">
        <f t="shared" si="27"/>
        <v>1.9491999999999998</v>
      </c>
      <c r="O317" s="16">
        <f>IF('WetLitterbags placem_collection'!G24="N.A","",'WetLitterbags placem_collection'!G24)</f>
        <v>42818</v>
      </c>
      <c r="P317" s="195">
        <f>IF(IFERROR(INDEX('Both teabags AfterWet'!$C$3:$C$841,MATCH(H317,'Both teabags AfterWet'!$A$3:$A$841,0)),"")="N.A","",(IFERROR(INDEX('Both teabags AfterWet'!$C$3:$C$841,MATCH(H317,'Both teabags AfterWet'!$A$3:$A$841,0)),"")))</f>
        <v>0.75929999999999997</v>
      </c>
      <c r="Q317" s="195">
        <f>IFERROR(INDEX('Both teabags AfterWet'!$C$3:$C$841,MATCH(I317,'Both teabags AfterWet'!$A$3:$A$841,0)),"")</f>
        <v>1.4908999999999999</v>
      </c>
      <c r="R317" s="195">
        <f t="shared" si="30"/>
        <v>0.60870000000000002</v>
      </c>
      <c r="S317" s="195">
        <f t="shared" si="30"/>
        <v>1.3402999999999998</v>
      </c>
      <c r="T317" s="195">
        <f t="shared" si="31"/>
        <v>0.67295293359123143</v>
      </c>
      <c r="U317" s="195">
        <f t="shared" si="32"/>
        <v>0.44117579494342019</v>
      </c>
      <c r="V317" s="195">
        <f t="shared" si="33"/>
        <v>0.68761543197209107</v>
      </c>
      <c r="W317">
        <f t="shared" si="28"/>
        <v>51</v>
      </c>
      <c r="X317" s="195">
        <f t="shared" si="34"/>
        <v>0.20076848742134035</v>
      </c>
      <c r="Y317" s="195">
        <f t="shared" si="35"/>
        <v>2.4142171111079396E-2</v>
      </c>
      <c r="Z317" s="255" t="str">
        <f>IF(ISNUMBER(SEARCH("C",'WetLitterbags placem_collection'!W244)),"YES","NO")</f>
        <v>NO</v>
      </c>
      <c r="AA317" s="255" t="str">
        <f>IF(ISNUMBER(SEARCH("H", 'WetLitterbags placem_collection'!Y24)),"YES","NO")</f>
        <v>NO</v>
      </c>
      <c r="AB317" s="255" t="str">
        <f>IF(ISNUMBER(SEARCH("R", 'WetLitterbags placem_collection'!WY24)),"YES","NO")</f>
        <v>NO</v>
      </c>
      <c r="AC317" s="255" t="str">
        <f>IF(ISNUMBER(SEARCH("C", 'WetLitterbags placem_collection'!VX24)),"YES","NO")</f>
        <v>NO</v>
      </c>
      <c r="AD317" s="255" t="str">
        <f>IF(ISNUMBER(SEARCH("H", 'WetLitterbags placem_collection'!X24)),"YES","NO")</f>
        <v>NO</v>
      </c>
      <c r="AE317" s="255" t="str">
        <f>IF(ISNUMBER(SEARCH("R", 'WetLitterbags placem_collection'!X24)),"YES","NO")</f>
        <v>NO</v>
      </c>
    </row>
    <row r="318" spans="2:31">
      <c r="B318" t="str">
        <f>'Final data_for_R_analysis_Wetse'!A464</f>
        <v>Wet</v>
      </c>
      <c r="C318" s="263">
        <f>'Final data_for_R_analysis_Wetse'!B464</f>
        <v>23</v>
      </c>
      <c r="D318" t="s">
        <v>3829</v>
      </c>
      <c r="E318" t="s">
        <v>25</v>
      </c>
      <c r="F318" s="387">
        <v>7</v>
      </c>
      <c r="G318" s="16">
        <f>'WetLitterbags placem_collection'!E25</f>
        <v>42767</v>
      </c>
      <c r="H318" s="92" t="str">
        <f>'Final data_for_R_analysis_Wetse'!J464</f>
        <v>G456</v>
      </c>
      <c r="I318" t="str">
        <f>'Final data_for_R_analysis_Wetse'!J684</f>
        <v>R132</v>
      </c>
      <c r="J318">
        <f>IFERROR(INDEX('Green_rooibos initial weight'!$C$5:$C$1749,MATCH(H318, 'Green_rooibos initial weight'!$A$5:$A$1749,0)),"")</f>
        <v>2.117</v>
      </c>
      <c r="K318">
        <f>IFERROR(INDEX('Green_rooibos initial weight'!$C$5:$C$1749,MATCH(I318, 'Green_rooibos initial weight'!$A$5:$A$1749,0)),"")</f>
        <v>2.133</v>
      </c>
      <c r="L318" s="195">
        <f t="shared" si="29"/>
        <v>1.8672</v>
      </c>
      <c r="M318" s="195">
        <f>AVERAGE(Ashed_controlls!$K$2:$K$11)</f>
        <v>5.5147656768714146</v>
      </c>
      <c r="N318" s="195">
        <f t="shared" si="27"/>
        <v>1.8832</v>
      </c>
      <c r="O318" s="16">
        <f>IF('WetLitterbags placem_collection'!G25="N.A","",'WetLitterbags placem_collection'!G25)</f>
        <v>42818</v>
      </c>
      <c r="P318" s="195">
        <f>IF(IFERROR(INDEX('Both teabags AfterWet'!$C$3:$C$841,MATCH(H318,'Both teabags AfterWet'!$A$3:$A$841,0)),"")="N.A","",(IFERROR(INDEX('Both teabags AfterWet'!$C$3:$C$841,MATCH(H318,'Both teabags AfterWet'!$A$3:$A$841,0)),"")))</f>
        <v>0.72629999999999995</v>
      </c>
      <c r="Q318" s="195">
        <f>IFERROR(INDEX('Both teabags AfterWet'!$C$3:$C$841,MATCH(I318,'Both teabags AfterWet'!$A$3:$A$841,0)),"")</f>
        <v>1.5238</v>
      </c>
      <c r="R318" s="195">
        <f t="shared" si="30"/>
        <v>0.57569999999999988</v>
      </c>
      <c r="S318" s="195">
        <f t="shared" si="30"/>
        <v>1.3732</v>
      </c>
      <c r="T318" s="195">
        <f t="shared" si="31"/>
        <v>0.69167737789203088</v>
      </c>
      <c r="U318" s="195">
        <f t="shared" si="32"/>
        <v>0.45345120260855237</v>
      </c>
      <c r="V318" s="195">
        <f t="shared" si="33"/>
        <v>0.72918436703483436</v>
      </c>
      <c r="W318">
        <f t="shared" si="28"/>
        <v>51</v>
      </c>
      <c r="X318" s="195">
        <f t="shared" si="34"/>
        <v>0.17853043005697045</v>
      </c>
      <c r="Y318" s="195">
        <f t="shared" si="35"/>
        <v>1.7831272890421117E-2</v>
      </c>
      <c r="Z318" s="255" t="str">
        <f>IF(ISNUMBER(SEARCH("C",'WetLitterbags placem_collection'!W245)),"YES","NO")</f>
        <v>NO</v>
      </c>
      <c r="AA318" s="255" t="str">
        <f>IF(ISNUMBER(SEARCH("H", 'WetLitterbags placem_collection'!Y25)),"YES","NO")</f>
        <v>NO</v>
      </c>
      <c r="AB318" s="255" t="str">
        <f>IF(ISNUMBER(SEARCH("R", 'WetLitterbags placem_collection'!WY25)),"YES","NO")</f>
        <v>NO</v>
      </c>
      <c r="AC318" s="255" t="str">
        <f>IF(ISNUMBER(SEARCH("C", 'WetLitterbags placem_collection'!VX25)),"YES","NO")</f>
        <v>NO</v>
      </c>
      <c r="AD318" s="255" t="str">
        <f>IF(ISNUMBER(SEARCH("H", 'WetLitterbags placem_collection'!X25)),"YES","NO")</f>
        <v>NO</v>
      </c>
      <c r="AE318" s="255" t="str">
        <f>IF(ISNUMBER(SEARCH("R", 'WetLitterbags placem_collection'!X25)),"YES","NO")</f>
        <v>NO</v>
      </c>
    </row>
    <row r="319" spans="2:31">
      <c r="B319" t="str">
        <f>'Final data_for_R_analysis_Wetse'!A465</f>
        <v>Wet</v>
      </c>
      <c r="C319" s="263">
        <f>'Final data_for_R_analysis_Wetse'!B465</f>
        <v>24</v>
      </c>
      <c r="D319" t="s">
        <v>3829</v>
      </c>
      <c r="E319" t="s">
        <v>25</v>
      </c>
      <c r="F319" s="387">
        <v>8</v>
      </c>
      <c r="G319" s="16">
        <f>'WetLitterbags placem_collection'!E26</f>
        <v>42767</v>
      </c>
      <c r="H319" s="92" t="str">
        <f>'Final data_for_R_analysis_Wetse'!J465</f>
        <v>G421</v>
      </c>
      <c r="I319" t="str">
        <f>'Final data_for_R_analysis_Wetse'!J685</f>
        <v>R71</v>
      </c>
      <c r="J319">
        <f>IFERROR(INDEX('Green_rooibos initial weight'!$C$5:$C$1749,MATCH(H319, 'Green_rooibos initial weight'!$A$5:$A$1749,0)),"")</f>
        <v>2.052</v>
      </c>
      <c r="K319">
        <f>IFERROR(INDEX('Green_rooibos initial weight'!$C$5:$C$1749,MATCH(I319, 'Green_rooibos initial weight'!$A$5:$A$1749,0)),"")</f>
        <v>2.2440000000000002</v>
      </c>
      <c r="L319" s="195">
        <f t="shared" si="29"/>
        <v>1.8022</v>
      </c>
      <c r="M319" s="195">
        <f>AVERAGE(Ashed_controlls!$K$2:$K$11)</f>
        <v>5.5147656768714146</v>
      </c>
      <c r="N319" s="195">
        <f t="shared" si="27"/>
        <v>1.9942000000000002</v>
      </c>
      <c r="O319" s="16">
        <f>IF('WetLitterbags placem_collection'!G26="N.A","",'WetLitterbags placem_collection'!G26)</f>
        <v>42818</v>
      </c>
      <c r="P319" s="195">
        <f>IF(IFERROR(INDEX('Both teabags AfterWet'!$C$3:$C$841,MATCH(H319,'Both teabags AfterWet'!$A$3:$A$841,0)),"")="N.A","",(IFERROR(INDEX('Both teabags AfterWet'!$C$3:$C$841,MATCH(H319,'Both teabags AfterWet'!$A$3:$A$841,0)),"")))</f>
        <v>0.67</v>
      </c>
      <c r="Q319" s="195">
        <f>IFERROR(INDEX('Both teabags AfterWet'!$C$3:$C$841,MATCH(I319,'Both teabags AfterWet'!$A$3:$A$841,0)),"")</f>
        <v>1.3083</v>
      </c>
      <c r="R319" s="195">
        <f t="shared" si="30"/>
        <v>0.51940000000000008</v>
      </c>
      <c r="S319" s="195">
        <f t="shared" si="30"/>
        <v>1.1577</v>
      </c>
      <c r="T319" s="195">
        <f t="shared" si="31"/>
        <v>0.71179669293086223</v>
      </c>
      <c r="U319" s="195">
        <f t="shared" si="32"/>
        <v>0.4666410623489739</v>
      </c>
      <c r="V319" s="195">
        <f t="shared" si="33"/>
        <v>0.58053354728713258</v>
      </c>
      <c r="W319">
        <f t="shared" si="28"/>
        <v>51</v>
      </c>
      <c r="X319" s="195">
        <f t="shared" si="34"/>
        <v>0.15463575661417783</v>
      </c>
      <c r="Y319" s="195">
        <f t="shared" si="35"/>
        <v>4.4935383188606008E-2</v>
      </c>
      <c r="Z319" s="255" t="str">
        <f>IF(ISNUMBER(SEARCH("C",'WetLitterbags placem_collection'!W246)),"YES","NO")</f>
        <v>NO</v>
      </c>
      <c r="AA319" s="255" t="str">
        <f>IF(ISNUMBER(SEARCH("H", 'WetLitterbags placem_collection'!Y26)),"YES","NO")</f>
        <v>NO</v>
      </c>
      <c r="AB319" s="255" t="str">
        <f>IF(ISNUMBER(SEARCH("R", 'WetLitterbags placem_collection'!WY26)),"YES","NO")</f>
        <v>NO</v>
      </c>
      <c r="AC319" s="255" t="str">
        <f>IF(ISNUMBER(SEARCH("C", 'WetLitterbags placem_collection'!VX26)),"YES","NO")</f>
        <v>NO</v>
      </c>
      <c r="AD319" s="255" t="str">
        <f>IF(ISNUMBER(SEARCH("H", 'WetLitterbags placem_collection'!X26)),"YES","NO")</f>
        <v>NO</v>
      </c>
      <c r="AE319" s="255" t="str">
        <f>IF(ISNUMBER(SEARCH("R", 'WetLitterbags placem_collection'!X26)),"YES","NO")</f>
        <v>NO</v>
      </c>
    </row>
    <row r="320" spans="2:31">
      <c r="B320" t="str">
        <f>'Final data_for_R_analysis_Wetse'!A466</f>
        <v>Wet</v>
      </c>
      <c r="C320" s="263">
        <f>'Final data_for_R_analysis_Wetse'!B466</f>
        <v>25</v>
      </c>
      <c r="D320" t="s">
        <v>3830</v>
      </c>
      <c r="E320" t="s">
        <v>25</v>
      </c>
      <c r="F320" s="386">
        <v>1</v>
      </c>
      <c r="G320" s="16">
        <f>'WetLitterbags placem_collection'!E27</f>
        <v>42767</v>
      </c>
      <c r="H320" s="92" t="str">
        <f>'Final data_for_R_analysis_Wetse'!J466</f>
        <v>G864</v>
      </c>
      <c r="I320" t="str">
        <f>'Final data_for_R_analysis_Wetse'!J686</f>
        <v>R104</v>
      </c>
      <c r="J320">
        <f>IFERROR(INDEX('Green_rooibos initial weight'!$C$5:$C$1749,MATCH(H320, 'Green_rooibos initial weight'!$A$5:$A$1749,0)),"")</f>
        <v>2.0310000000000001</v>
      </c>
      <c r="K320">
        <f>IFERROR(INDEX('Green_rooibos initial weight'!$C$5:$C$1749,MATCH(I320, 'Green_rooibos initial weight'!$A$5:$A$1749,0)),"")</f>
        <v>2.2109999999999999</v>
      </c>
      <c r="L320" s="195">
        <f t="shared" si="29"/>
        <v>1.7812000000000001</v>
      </c>
      <c r="M320" s="195">
        <f>AVERAGE(Ashed_controlls!$K$2:$K$11)</f>
        <v>5.5147656768714146</v>
      </c>
      <c r="N320" s="195">
        <f t="shared" si="27"/>
        <v>1.9611999999999998</v>
      </c>
      <c r="O320" s="16">
        <f>IF('WetLitterbags placem_collection'!G27="N.A","",'WetLitterbags placem_collection'!G27)</f>
        <v>42818</v>
      </c>
      <c r="P320" s="195">
        <f>IF(IFERROR(INDEX('Both teabags AfterWet'!$C$3:$C$841,MATCH(H320,'Both teabags AfterWet'!$A$3:$A$841,0)),"")="N.A","",(IFERROR(INDEX('Both teabags AfterWet'!$C$3:$C$841,MATCH(H320,'Both teabags AfterWet'!$A$3:$A$841,0)),"")))</f>
        <v>0.65839999999999999</v>
      </c>
      <c r="Q320" s="195">
        <f>IFERROR(INDEX('Both teabags AfterWet'!$C$3:$C$841,MATCH(I320,'Both teabags AfterWet'!$A$3:$A$841,0)),"")</f>
        <v>1.4184000000000001</v>
      </c>
      <c r="R320" s="195">
        <f t="shared" si="30"/>
        <v>0.50780000000000003</v>
      </c>
      <c r="S320" s="195">
        <f t="shared" si="30"/>
        <v>1.2678</v>
      </c>
      <c r="T320" s="195">
        <f t="shared" si="31"/>
        <v>0.71491129575567036</v>
      </c>
      <c r="U320" s="195">
        <f t="shared" si="32"/>
        <v>0.46868293973530889</v>
      </c>
      <c r="V320" s="195">
        <f t="shared" si="33"/>
        <v>0.64644095451764239</v>
      </c>
      <c r="W320">
        <f t="shared" si="28"/>
        <v>51</v>
      </c>
      <c r="X320" s="195">
        <f t="shared" si="34"/>
        <v>0.15093670337806364</v>
      </c>
      <c r="Y320" s="195">
        <f t="shared" si="35"/>
        <v>2.7527796379896437E-2</v>
      </c>
      <c r="Z320" s="255" t="str">
        <f>IF(ISNUMBER(SEARCH("C",'WetLitterbags placem_collection'!W247)),"YES","NO")</f>
        <v>NO</v>
      </c>
      <c r="AA320" s="255" t="str">
        <f>IF(ISNUMBER(SEARCH("H", 'WetLitterbags placem_collection'!Y27)),"YES","NO")</f>
        <v>NO</v>
      </c>
      <c r="AB320" s="255" t="str">
        <f>IF(ISNUMBER(SEARCH("R", 'WetLitterbags placem_collection'!WY27)),"YES","NO")</f>
        <v>NO</v>
      </c>
      <c r="AC320" s="255" t="str">
        <f>IF(ISNUMBER(SEARCH("C", 'WetLitterbags placem_collection'!VX27)),"YES","NO")</f>
        <v>NO</v>
      </c>
      <c r="AD320" s="255" t="str">
        <f>IF(ISNUMBER(SEARCH("H", 'WetLitterbags placem_collection'!X27)),"YES","NO")</f>
        <v>NO</v>
      </c>
      <c r="AE320" s="255" t="str">
        <f>IF(ISNUMBER(SEARCH("R", 'WetLitterbags placem_collection'!X27)),"YES","NO")</f>
        <v>NO</v>
      </c>
    </row>
    <row r="321" spans="2:31">
      <c r="B321" t="str">
        <f>'Final data_for_R_analysis_Wetse'!A467</f>
        <v>Wet</v>
      </c>
      <c r="C321" s="263">
        <f>'Final data_for_R_analysis_Wetse'!B467</f>
        <v>26</v>
      </c>
      <c r="D321" t="s">
        <v>3830</v>
      </c>
      <c r="E321" t="s">
        <v>25</v>
      </c>
      <c r="F321" s="386">
        <v>2</v>
      </c>
      <c r="G321" s="16">
        <f>'WetLitterbags placem_collection'!E28</f>
        <v>42767</v>
      </c>
      <c r="H321" s="92" t="str">
        <f>'Final data_for_R_analysis_Wetse'!J467</f>
        <v>G506</v>
      </c>
      <c r="I321" t="str">
        <f>'Final data_for_R_analysis_Wetse'!J687</f>
        <v>R189</v>
      </c>
      <c r="J321">
        <f>IFERROR(INDEX('Green_rooibos initial weight'!$C$5:$C$1749,MATCH(H321, 'Green_rooibos initial weight'!$A$5:$A$1749,0)),"")</f>
        <v>1.9079999999999999</v>
      </c>
      <c r="K321">
        <f>IFERROR(INDEX('Green_rooibos initial weight'!$C$5:$C$1749,MATCH(I321, 'Green_rooibos initial weight'!$A$5:$A$1749,0)),"")</f>
        <v>2.274</v>
      </c>
      <c r="L321" s="195">
        <f t="shared" si="29"/>
        <v>1.6581999999999999</v>
      </c>
      <c r="M321" s="195">
        <f>AVERAGE(Ashed_controlls!$K$2:$K$11)</f>
        <v>5.5147656768714146</v>
      </c>
      <c r="N321" s="195">
        <f t="shared" si="27"/>
        <v>2.0242</v>
      </c>
      <c r="O321" s="16">
        <f>IF('WetLitterbags placem_collection'!G28="N.A","",'WetLitterbags placem_collection'!G28)</f>
        <v>42818</v>
      </c>
      <c r="P321" s="195">
        <f>IF(IFERROR(INDEX('Both teabags AfterWet'!$C$3:$C$841,MATCH(H321,'Both teabags AfterWet'!$A$3:$A$841,0)),"")="N.A","",(IFERROR(INDEX('Both teabags AfterWet'!$C$3:$C$841,MATCH(H321,'Both teabags AfterWet'!$A$3:$A$841,0)),"")))</f>
        <v>0.67589999999999995</v>
      </c>
      <c r="Q321" s="195">
        <f>IFERROR(INDEX('Both teabags AfterWet'!$C$3:$C$841,MATCH(I321,'Both teabags AfterWet'!$A$3:$A$841,0)),"")</f>
        <v>1.464</v>
      </c>
      <c r="R321" s="195">
        <f t="shared" si="30"/>
        <v>0.52529999999999988</v>
      </c>
      <c r="S321" s="195">
        <f t="shared" si="30"/>
        <v>1.3133999999999999</v>
      </c>
      <c r="T321" s="195">
        <f t="shared" si="31"/>
        <v>0.68321071040887715</v>
      </c>
      <c r="U321" s="195">
        <f t="shared" si="32"/>
        <v>0.4479006082490502</v>
      </c>
      <c r="V321" s="195">
        <f t="shared" si="33"/>
        <v>0.64884892797154425</v>
      </c>
      <c r="W321">
        <f t="shared" si="28"/>
        <v>51</v>
      </c>
      <c r="X321" s="195">
        <f t="shared" si="34"/>
        <v>0.18858585462128596</v>
      </c>
      <c r="Y321" s="195">
        <f t="shared" si="35"/>
        <v>3.0047957115714032E-2</v>
      </c>
      <c r="Z321" s="255" t="str">
        <f>IF(ISNUMBER(SEARCH("C",'WetLitterbags placem_collection'!W248)),"YES","NO")</f>
        <v>NO</v>
      </c>
      <c r="AA321" s="255" t="str">
        <f>IF(ISNUMBER(SEARCH("H", 'WetLitterbags placem_collection'!Y28)),"YES","NO")</f>
        <v>NO</v>
      </c>
      <c r="AB321" s="255" t="str">
        <f>IF(ISNUMBER(SEARCH("R", 'WetLitterbags placem_collection'!WY28)),"YES","NO")</f>
        <v>NO</v>
      </c>
      <c r="AC321" s="255" t="str">
        <f>IF(ISNUMBER(SEARCH("C", 'WetLitterbags placem_collection'!VX28)),"YES","NO")</f>
        <v>NO</v>
      </c>
      <c r="AD321" s="255" t="str">
        <f>IF(ISNUMBER(SEARCH("H", 'WetLitterbags placem_collection'!X28)),"YES","NO")</f>
        <v>NO</v>
      </c>
      <c r="AE321" s="255" t="str">
        <f>IF(ISNUMBER(SEARCH("R", 'WetLitterbags placem_collection'!X28)),"YES","NO")</f>
        <v>NO</v>
      </c>
    </row>
    <row r="322" spans="2:31">
      <c r="B322" t="str">
        <f>'Final data_for_R_analysis_Wetse'!A468</f>
        <v>Wet</v>
      </c>
      <c r="C322" s="263">
        <f>'Final data_for_R_analysis_Wetse'!B468</f>
        <v>27</v>
      </c>
      <c r="D322" t="s">
        <v>3830</v>
      </c>
      <c r="E322" t="s">
        <v>25</v>
      </c>
      <c r="F322" s="386">
        <v>3</v>
      </c>
      <c r="G322" s="16">
        <f>'WetLitterbags placem_collection'!E29</f>
        <v>42767</v>
      </c>
      <c r="H322" s="92" t="str">
        <f>'Final data_for_R_analysis_Wetse'!J468</f>
        <v>G449</v>
      </c>
      <c r="I322" t="str">
        <f>'Final data_for_R_analysis_Wetse'!J688</f>
        <v>R217</v>
      </c>
      <c r="J322">
        <f>IFERROR(INDEX('Green_rooibos initial weight'!$C$5:$C$1749,MATCH(H322, 'Green_rooibos initial weight'!$A$5:$A$1749,0)),"")</f>
        <v>2.1749999999999998</v>
      </c>
      <c r="K322">
        <f>IFERROR(INDEX('Green_rooibos initial weight'!$C$5:$C$1749,MATCH(I322, 'Green_rooibos initial weight'!$A$5:$A$1749,0)),"")</f>
        <v>2.2109999999999999</v>
      </c>
      <c r="L322" s="195">
        <f t="shared" si="29"/>
        <v>1.9251999999999998</v>
      </c>
      <c r="M322" s="195">
        <f>AVERAGE(Ashed_controlls!$K$2:$K$11)</f>
        <v>5.5147656768714146</v>
      </c>
      <c r="N322" s="195">
        <f t="shared" si="27"/>
        <v>1.9611999999999998</v>
      </c>
      <c r="O322" s="16">
        <f>IF('WetLitterbags placem_collection'!G29="N.A","",'WetLitterbags placem_collection'!G29)</f>
        <v>42818</v>
      </c>
      <c r="P322" s="195">
        <f>IF(IFERROR(INDEX('Both teabags AfterWet'!$C$3:$C$841,MATCH(H322,'Both teabags AfterWet'!$A$3:$A$841,0)),"")="N.A","",(IFERROR(INDEX('Both teabags AfterWet'!$C$3:$C$841,MATCH(H322,'Both teabags AfterWet'!$A$3:$A$841,0)),"")))</f>
        <v>0.73760000000000003</v>
      </c>
      <c r="Q322" s="195">
        <f>IFERROR(INDEX('Both teabags AfterWet'!$C$3:$C$841,MATCH(I322,'Both teabags AfterWet'!$A$3:$A$841,0)),"")</f>
        <v>1.5392999999999999</v>
      </c>
      <c r="R322" s="195">
        <f t="shared" si="30"/>
        <v>0.58699999999999997</v>
      </c>
      <c r="S322" s="195">
        <f t="shared" si="30"/>
        <v>1.3886999999999998</v>
      </c>
      <c r="T322" s="195">
        <f t="shared" si="31"/>
        <v>0.69509661333887385</v>
      </c>
      <c r="U322" s="195">
        <f t="shared" si="32"/>
        <v>0.45569279164258719</v>
      </c>
      <c r="V322" s="195">
        <f t="shared" si="33"/>
        <v>0.70808688558025701</v>
      </c>
      <c r="W322">
        <f t="shared" si="28"/>
        <v>51</v>
      </c>
      <c r="X322" s="195">
        <f t="shared" si="34"/>
        <v>0.17446958035763194</v>
      </c>
      <c r="Y322" s="195">
        <f t="shared" si="35"/>
        <v>2.0064642880268799E-2</v>
      </c>
      <c r="Z322" s="255" t="str">
        <f>IF(ISNUMBER(SEARCH("C",'WetLitterbags placem_collection'!W249)),"YES","NO")</f>
        <v>NO</v>
      </c>
      <c r="AA322" s="255" t="str">
        <f>IF(ISNUMBER(SEARCH("H", 'WetLitterbags placem_collection'!Y29)),"YES","NO")</f>
        <v>NO</v>
      </c>
      <c r="AB322" s="255" t="str">
        <f>IF(ISNUMBER(SEARCH("R", 'WetLitterbags placem_collection'!WY29)),"YES","NO")</f>
        <v>NO</v>
      </c>
      <c r="AC322" s="255" t="str">
        <f>IF(ISNUMBER(SEARCH("C", 'WetLitterbags placem_collection'!VX29)),"YES","NO")</f>
        <v>NO</v>
      </c>
      <c r="AD322" s="255" t="str">
        <f>IF(ISNUMBER(SEARCH("H", 'WetLitterbags placem_collection'!X29)),"YES","NO")</f>
        <v>NO</v>
      </c>
      <c r="AE322" s="255" t="str">
        <f>IF(ISNUMBER(SEARCH("R", 'WetLitterbags placem_collection'!X29)),"YES","NO")</f>
        <v>NO</v>
      </c>
    </row>
    <row r="323" spans="2:31">
      <c r="B323" t="str">
        <f>'Final data_for_R_analysis_Wetse'!A469</f>
        <v>Wet</v>
      </c>
      <c r="C323" s="263">
        <f>'Final data_for_R_analysis_Wetse'!B469</f>
        <v>28</v>
      </c>
      <c r="D323" t="s">
        <v>3830</v>
      </c>
      <c r="E323" t="s">
        <v>25</v>
      </c>
      <c r="F323" s="387">
        <v>4</v>
      </c>
      <c r="G323" s="16">
        <f>'WetLitterbags placem_collection'!E30</f>
        <v>42767</v>
      </c>
      <c r="H323" s="92" t="str">
        <f>'Final data_for_R_analysis_Wetse'!J469</f>
        <v>G502</v>
      </c>
      <c r="I323" t="str">
        <f>'Final data_for_R_analysis_Wetse'!J689</f>
        <v>R172</v>
      </c>
      <c r="J323">
        <f>IFERROR(INDEX('Green_rooibos initial weight'!$C$5:$C$1749,MATCH(H323, 'Green_rooibos initial weight'!$A$5:$A$1749,0)),"")</f>
        <v>1.929</v>
      </c>
      <c r="K323">
        <f>IFERROR(INDEX('Green_rooibos initial weight'!$C$5:$C$1749,MATCH(I323, 'Green_rooibos initial weight'!$A$5:$A$1749,0)),"")</f>
        <v>2.1520000000000001</v>
      </c>
      <c r="L323" s="195">
        <f t="shared" si="29"/>
        <v>1.6792</v>
      </c>
      <c r="M323" s="195">
        <f>AVERAGE(Ashed_controlls!$K$2:$K$11)</f>
        <v>5.5147656768714146</v>
      </c>
      <c r="N323" s="195">
        <f t="shared" si="27"/>
        <v>1.9022000000000001</v>
      </c>
      <c r="O323" s="16">
        <f>IF('WetLitterbags placem_collection'!G30="N.A","",'WetLitterbags placem_collection'!G30)</f>
        <v>42818</v>
      </c>
      <c r="P323" s="195">
        <f>IF(IFERROR(INDEX('Both teabags AfterWet'!$C$3:$C$841,MATCH(H323,'Both teabags AfterWet'!$A$3:$A$841,0)),"")="N.A","",(IFERROR(INDEX('Both teabags AfterWet'!$C$3:$C$841,MATCH(H323,'Both teabags AfterWet'!$A$3:$A$841,0)),"")))</f>
        <v>0.60960000000000003</v>
      </c>
      <c r="Q323" s="195">
        <f>IFERROR(INDEX('Both teabags AfterWet'!$C$3:$C$841,MATCH(I323,'Both teabags AfterWet'!$A$3:$A$841,0)),"")</f>
        <v>1.4665999999999999</v>
      </c>
      <c r="R323" s="195">
        <f t="shared" si="30"/>
        <v>0.45900000000000002</v>
      </c>
      <c r="S323" s="195">
        <f t="shared" si="30"/>
        <v>1.3159999999999998</v>
      </c>
      <c r="T323" s="195">
        <f t="shared" si="31"/>
        <v>0.72665555026202955</v>
      </c>
      <c r="U323" s="195">
        <f t="shared" si="32"/>
        <v>0.47638226097938285</v>
      </c>
      <c r="V323" s="195">
        <f t="shared" si="33"/>
        <v>0.69183051203869195</v>
      </c>
      <c r="W323">
        <f t="shared" si="28"/>
        <v>51</v>
      </c>
      <c r="X323" s="195">
        <f t="shared" si="34"/>
        <v>0.13698865764604562</v>
      </c>
      <c r="Y323" s="195">
        <f t="shared" si="35"/>
        <v>2.0411586609946564E-2</v>
      </c>
      <c r="Z323" s="255" t="str">
        <f>IF(ISNUMBER(SEARCH("C",'WetLitterbags placem_collection'!W250)),"YES","NO")</f>
        <v>NO</v>
      </c>
      <c r="AA323" s="255" t="str">
        <f>IF(ISNUMBER(SEARCH("H", 'WetLitterbags placem_collection'!Y30)),"YES","NO")</f>
        <v>NO</v>
      </c>
      <c r="AB323" s="255" t="str">
        <f>IF(ISNUMBER(SEARCH("R", 'WetLitterbags placem_collection'!WY30)),"YES","NO")</f>
        <v>NO</v>
      </c>
      <c r="AC323" s="255" t="str">
        <f>IF(ISNUMBER(SEARCH("C", 'WetLitterbags placem_collection'!VX30)),"YES","NO")</f>
        <v>NO</v>
      </c>
      <c r="AD323" s="255" t="str">
        <f>IF(ISNUMBER(SEARCH("H", 'WetLitterbags placem_collection'!X30)),"YES","NO")</f>
        <v>NO</v>
      </c>
      <c r="AE323" s="255" t="str">
        <f>IF(ISNUMBER(SEARCH("R", 'WetLitterbags placem_collection'!X30)),"YES","NO")</f>
        <v>NO</v>
      </c>
    </row>
    <row r="324" spans="2:31">
      <c r="B324" t="str">
        <f>'Final data_for_R_analysis_Wetse'!A470</f>
        <v>Wet</v>
      </c>
      <c r="C324" s="263">
        <f>'Final data_for_R_analysis_Wetse'!B470</f>
        <v>29</v>
      </c>
      <c r="D324" t="s">
        <v>3830</v>
      </c>
      <c r="E324" t="s">
        <v>25</v>
      </c>
      <c r="F324" s="387">
        <v>5</v>
      </c>
      <c r="G324" s="16">
        <f>'WetLitterbags placem_collection'!E31</f>
        <v>42767</v>
      </c>
      <c r="H324" s="92" t="str">
        <f>'Final data_for_R_analysis_Wetse'!J470</f>
        <v>G345</v>
      </c>
      <c r="I324" t="str">
        <f>'Final data_for_R_analysis_Wetse'!J690</f>
        <v>R349</v>
      </c>
      <c r="J324">
        <f>IFERROR(INDEX('Green_rooibos initial weight'!$C$5:$C$1749,MATCH(H324, 'Green_rooibos initial weight'!$A$5:$A$1749,0)),"")</f>
        <v>2.012</v>
      </c>
      <c r="K324">
        <f>IFERROR(INDEX('Green_rooibos initial weight'!$C$5:$C$1749,MATCH(I324, 'Green_rooibos initial weight'!$A$5:$A$1749,0)),"")</f>
        <v>2.2469999999999999</v>
      </c>
      <c r="L324" s="195">
        <f t="shared" si="29"/>
        <v>1.7622</v>
      </c>
      <c r="M324" s="195">
        <f>AVERAGE(Ashed_controlls!$K$2:$K$11)</f>
        <v>5.5147656768714146</v>
      </c>
      <c r="N324" s="195">
        <f t="shared" si="27"/>
        <v>1.9971999999999999</v>
      </c>
      <c r="O324" s="16">
        <f>IF('WetLitterbags placem_collection'!G31="N.A","",'WetLitterbags placem_collection'!G31)</f>
        <v>42818</v>
      </c>
      <c r="P324" s="195">
        <f>IF(IFERROR(INDEX('Both teabags AfterWet'!$C$3:$C$841,MATCH(H324,'Both teabags AfterWet'!$A$3:$A$841,0)),"")="N.A","",(IFERROR(INDEX('Both teabags AfterWet'!$C$3:$C$841,MATCH(H324,'Both teabags AfterWet'!$A$3:$A$841,0)),"")))</f>
        <v>0.64829999999999999</v>
      </c>
      <c r="Q324" s="195" t="str">
        <f>IFERROR(INDEX('Both teabags AfterWet'!$C$3:$C$841,MATCH(I324,'Both teabags AfterWet'!$A$3:$A$841,0)),"")</f>
        <v/>
      </c>
      <c r="R324" s="195">
        <f t="shared" si="30"/>
        <v>0.49769999999999998</v>
      </c>
      <c r="S324" s="195" t="str">
        <f t="shared" si="30"/>
        <v/>
      </c>
      <c r="T324" s="195">
        <f t="shared" si="31"/>
        <v>0.71756894790602654</v>
      </c>
      <c r="U324" s="195">
        <f t="shared" si="32"/>
        <v>0.47042524850846401</v>
      </c>
      <c r="V324" s="195" t="str">
        <f t="shared" si="33"/>
        <v/>
      </c>
      <c r="W324">
        <f t="shared" si="28"/>
        <v>51</v>
      </c>
      <c r="X324" s="195">
        <f t="shared" si="34"/>
        <v>0.14778034690495656</v>
      </c>
      <c r="Y324" s="195" t="str">
        <f t="shared" si="35"/>
        <v/>
      </c>
      <c r="Z324" s="255" t="str">
        <f>IF(ISNUMBER(SEARCH("C",'WetLitterbags placem_collection'!W251)),"YES","NO")</f>
        <v>NO</v>
      </c>
      <c r="AA324" s="255" t="str">
        <f>IF(ISNUMBER(SEARCH("H", 'WetLitterbags placem_collection'!Y31)),"YES","NO")</f>
        <v>NO</v>
      </c>
      <c r="AB324" s="255" t="str">
        <f>IF(ISNUMBER(SEARCH("R", 'WetLitterbags placem_collection'!WY31)),"YES","NO")</f>
        <v>NO</v>
      </c>
      <c r="AC324" s="255" t="str">
        <f>IF(ISNUMBER(SEARCH("C", 'WetLitterbags placem_collection'!VX31)),"YES","NO")</f>
        <v>NO</v>
      </c>
      <c r="AD324" s="255" t="str">
        <f>IF(ISNUMBER(SEARCH("H", 'WetLitterbags placem_collection'!X31)),"YES","NO")</f>
        <v>NO</v>
      </c>
      <c r="AE324" s="255" t="str">
        <f>IF(ISNUMBER(SEARCH("R", 'WetLitterbags placem_collection'!X31)),"YES","NO")</f>
        <v>NO</v>
      </c>
    </row>
    <row r="325" spans="2:31">
      <c r="B325" t="str">
        <f>'Final data_for_R_analysis_Wetse'!A471</f>
        <v>Wet</v>
      </c>
      <c r="C325" s="263">
        <f>'Final data_for_R_analysis_Wetse'!B471</f>
        <v>30</v>
      </c>
      <c r="D325" t="s">
        <v>3830</v>
      </c>
      <c r="E325" t="s">
        <v>25</v>
      </c>
      <c r="F325" s="387">
        <v>6</v>
      </c>
      <c r="G325" s="16">
        <f>'WetLitterbags placem_collection'!E32</f>
        <v>42767</v>
      </c>
      <c r="H325" s="92" t="str">
        <f>'Final data_for_R_analysis_Wetse'!J471</f>
        <v>G500</v>
      </c>
      <c r="I325" t="str">
        <f>'Final data_for_R_analysis_Wetse'!J691</f>
        <v>R296</v>
      </c>
      <c r="J325">
        <f>IFERROR(INDEX('Green_rooibos initial weight'!$C$5:$C$1749,MATCH(H325, 'Green_rooibos initial weight'!$A$5:$A$1749,0)),"")</f>
        <v>2.0830000000000002</v>
      </c>
      <c r="K325">
        <f>IFERROR(INDEX('Green_rooibos initial weight'!$C$5:$C$1749,MATCH(I325, 'Green_rooibos initial weight'!$A$5:$A$1749,0)),"")</f>
        <v>2.226</v>
      </c>
      <c r="L325" s="195">
        <f t="shared" si="29"/>
        <v>1.8332000000000002</v>
      </c>
      <c r="M325" s="195">
        <f>AVERAGE(Ashed_controlls!$K$2:$K$11)</f>
        <v>5.5147656768714146</v>
      </c>
      <c r="N325" s="195">
        <f t="shared" si="27"/>
        <v>1.9762</v>
      </c>
      <c r="O325" s="16">
        <f>IF('WetLitterbags placem_collection'!G32="N.A","",'WetLitterbags placem_collection'!G32)</f>
        <v>42818</v>
      </c>
      <c r="P325" s="195">
        <f>IF(IFERROR(INDEX('Both teabags AfterWet'!$C$3:$C$841,MATCH(H325,'Both teabags AfterWet'!$A$3:$A$841,0)),"")="N.A","",(IFERROR(INDEX('Both teabags AfterWet'!$C$3:$C$841,MATCH(H325,'Both teabags AfterWet'!$A$3:$A$841,0)),"")))</f>
        <v>0.61909999999999998</v>
      </c>
      <c r="Q325" s="195">
        <f>IFERROR(INDEX('Both teabags AfterWet'!$C$3:$C$841,MATCH(I325,'Both teabags AfterWet'!$A$3:$A$841,0)),"")</f>
        <v>1.3653</v>
      </c>
      <c r="R325" s="195">
        <f t="shared" si="30"/>
        <v>0.46849999999999997</v>
      </c>
      <c r="S325" s="195">
        <f t="shared" si="30"/>
        <v>1.2146999999999999</v>
      </c>
      <c r="T325" s="195">
        <f t="shared" si="31"/>
        <v>0.74443595897883486</v>
      </c>
      <c r="U325" s="195">
        <f t="shared" si="32"/>
        <v>0.48803877595762102</v>
      </c>
      <c r="V325" s="195">
        <f t="shared" si="33"/>
        <v>0.61466450764092695</v>
      </c>
      <c r="W325">
        <f t="shared" si="28"/>
        <v>51</v>
      </c>
      <c r="X325" s="195">
        <f t="shared" si="34"/>
        <v>0.11587178268546927</v>
      </c>
      <c r="Y325" s="195">
        <f t="shared" si="35"/>
        <v>3.0559819068247507E-2</v>
      </c>
      <c r="Z325" s="255" t="str">
        <f>IF(ISNUMBER(SEARCH("C",'WetLitterbags placem_collection'!W252)),"YES","NO")</f>
        <v>NO</v>
      </c>
      <c r="AA325" s="255" t="str">
        <f>IF(ISNUMBER(SEARCH("H", 'WetLitterbags placem_collection'!Y32)),"YES","NO")</f>
        <v>NO</v>
      </c>
      <c r="AB325" s="255" t="str">
        <f>IF(ISNUMBER(SEARCH("R", 'WetLitterbags placem_collection'!WY32)),"YES","NO")</f>
        <v>NO</v>
      </c>
      <c r="AC325" s="255" t="str">
        <f>IF(ISNUMBER(SEARCH("C", 'WetLitterbags placem_collection'!VX32)),"YES","NO")</f>
        <v>NO</v>
      </c>
      <c r="AD325" s="255" t="str">
        <f>IF(ISNUMBER(SEARCH("H", 'WetLitterbags placem_collection'!X32)),"YES","NO")</f>
        <v>NO</v>
      </c>
      <c r="AE325" s="255" t="str">
        <f>IF(ISNUMBER(SEARCH("R", 'WetLitterbags placem_collection'!X32)),"YES","NO")</f>
        <v>NO</v>
      </c>
    </row>
    <row r="326" spans="2:31">
      <c r="B326" t="str">
        <f>'Final data_for_R_analysis_Wetse'!A472</f>
        <v>Wet</v>
      </c>
      <c r="C326" s="263">
        <f>'Final data_for_R_analysis_Wetse'!B472</f>
        <v>31</v>
      </c>
      <c r="D326" t="s">
        <v>3830</v>
      </c>
      <c r="E326" t="s">
        <v>25</v>
      </c>
      <c r="F326" s="387">
        <v>7</v>
      </c>
      <c r="G326" s="16">
        <f>'WetLitterbags placem_collection'!E33</f>
        <v>42767</v>
      </c>
      <c r="H326" s="92" t="str">
        <f>'Final data_for_R_analysis_Wetse'!J472</f>
        <v>G521</v>
      </c>
      <c r="I326" t="str">
        <f>'Final data_for_R_analysis_Wetse'!J692</f>
        <v>R323</v>
      </c>
      <c r="J326">
        <f>IFERROR(INDEX('Green_rooibos initial weight'!$C$5:$C$1749,MATCH(H326, 'Green_rooibos initial weight'!$A$5:$A$1749,0)),"")</f>
        <v>2.1709999999999998</v>
      </c>
      <c r="K326">
        <f>IFERROR(INDEX('Green_rooibos initial weight'!$C$5:$C$1749,MATCH(I326, 'Green_rooibos initial weight'!$A$5:$A$1749,0)),"")</f>
        <v>2.1949999999999998</v>
      </c>
      <c r="L326" s="195">
        <f t="shared" si="29"/>
        <v>1.9211999999999998</v>
      </c>
      <c r="M326" s="195">
        <f>AVERAGE(Ashed_controlls!$K$2:$K$11)</f>
        <v>5.5147656768714146</v>
      </c>
      <c r="N326" s="195">
        <f t="shared" si="27"/>
        <v>1.9451999999999998</v>
      </c>
      <c r="O326" s="16">
        <f>IF('WetLitterbags placem_collection'!G33="N.A","",'WetLitterbags placem_collection'!G33)</f>
        <v>42818</v>
      </c>
      <c r="P326" s="195">
        <f>IF(IFERROR(INDEX('Both teabags AfterWet'!$C$3:$C$841,MATCH(H326,'Both teabags AfterWet'!$A$3:$A$841,0)),"")="N.A","",(IFERROR(INDEX('Both teabags AfterWet'!$C$3:$C$841,MATCH(H326,'Both teabags AfterWet'!$A$3:$A$841,0)),"")))</f>
        <v>0.71479999999999999</v>
      </c>
      <c r="Q326" s="195">
        <f>IFERROR(INDEX('Both teabags AfterWet'!$C$3:$C$841,MATCH(I326,'Both teabags AfterWet'!$A$3:$A$841,0)),"")</f>
        <v>1.425</v>
      </c>
      <c r="R326" s="195">
        <f t="shared" si="30"/>
        <v>0.56420000000000003</v>
      </c>
      <c r="S326" s="195">
        <f t="shared" si="30"/>
        <v>1.2744</v>
      </c>
      <c r="T326" s="195">
        <f t="shared" si="31"/>
        <v>0.70632937747241309</v>
      </c>
      <c r="U326" s="195">
        <f t="shared" si="32"/>
        <v>0.46305678903179581</v>
      </c>
      <c r="V326" s="195">
        <f t="shared" si="33"/>
        <v>0.65515114127082053</v>
      </c>
      <c r="W326">
        <f t="shared" si="28"/>
        <v>51</v>
      </c>
      <c r="X326" s="195">
        <f t="shared" si="34"/>
        <v>0.16112900537718156</v>
      </c>
      <c r="Y326" s="195">
        <f t="shared" si="35"/>
        <v>2.6772637374528913E-2</v>
      </c>
      <c r="Z326" s="255" t="str">
        <f>IF(ISNUMBER(SEARCH("C",'WetLitterbags placem_collection'!W253)),"YES","NO")</f>
        <v>NO</v>
      </c>
      <c r="AA326" s="255" t="str">
        <f>IF(ISNUMBER(SEARCH("H", 'WetLitterbags placem_collection'!Y33)),"YES","NO")</f>
        <v>NO</v>
      </c>
      <c r="AB326" s="255" t="str">
        <f>IF(ISNUMBER(SEARCH("R", 'WetLitterbags placem_collection'!WY33)),"YES","NO")</f>
        <v>NO</v>
      </c>
      <c r="AC326" s="255" t="str">
        <f>IF(ISNUMBER(SEARCH("C", 'WetLitterbags placem_collection'!VX33)),"YES","NO")</f>
        <v>NO</v>
      </c>
      <c r="AD326" s="255" t="str">
        <f>IF(ISNUMBER(SEARCH("H", 'WetLitterbags placem_collection'!X33)),"YES","NO")</f>
        <v>NO</v>
      </c>
      <c r="AE326" s="255" t="str">
        <f>IF(ISNUMBER(SEARCH("R", 'WetLitterbags placem_collection'!X33)),"YES","NO")</f>
        <v>YES</v>
      </c>
    </row>
    <row r="327" spans="2:31">
      <c r="B327" t="str">
        <f>'Final data_for_R_analysis_Wetse'!A473</f>
        <v>Wet</v>
      </c>
      <c r="C327" s="263">
        <f>'Final data_for_R_analysis_Wetse'!B473</f>
        <v>32</v>
      </c>
      <c r="D327" t="s">
        <v>3830</v>
      </c>
      <c r="E327" t="s">
        <v>25</v>
      </c>
      <c r="F327" s="387">
        <v>8</v>
      </c>
      <c r="G327" s="16">
        <f>'WetLitterbags placem_collection'!E34</f>
        <v>42767</v>
      </c>
      <c r="H327" s="92" t="str">
        <f>'Final data_for_R_analysis_Wetse'!J473</f>
        <v>G201</v>
      </c>
      <c r="I327" t="str">
        <f>'Final data_for_R_analysis_Wetse'!J693</f>
        <v>R156</v>
      </c>
      <c r="J327">
        <f>IFERROR(INDEX('Green_rooibos initial weight'!$C$5:$C$1749,MATCH(H327, 'Green_rooibos initial weight'!$A$5:$A$1749,0)),"")</f>
        <v>2.2370000000000001</v>
      </c>
      <c r="K327">
        <f>IFERROR(INDEX('Green_rooibos initial weight'!$C$5:$C$1749,MATCH(I327, 'Green_rooibos initial weight'!$A$5:$A$1749,0)),"")</f>
        <v>2.246</v>
      </c>
      <c r="L327" s="195">
        <f t="shared" si="29"/>
        <v>1.9872000000000001</v>
      </c>
      <c r="M327" s="195">
        <f>AVERAGE(Ashed_controlls!$K$2:$K$11)</f>
        <v>5.5147656768714146</v>
      </c>
      <c r="N327" s="195">
        <f t="shared" si="27"/>
        <v>1.9962</v>
      </c>
      <c r="O327" s="16">
        <f>IF('WetLitterbags placem_collection'!G34="N.A","",'WetLitterbags placem_collection'!G34)</f>
        <v>42818</v>
      </c>
      <c r="P327" s="195">
        <f>IF(IFERROR(INDEX('Both teabags AfterWet'!$C$3:$C$841,MATCH(H327,'Both teabags AfterWet'!$A$3:$A$841,0)),"")="N.A","",(IFERROR(INDEX('Both teabags AfterWet'!$C$3:$C$841,MATCH(H327,'Both teabags AfterWet'!$A$3:$A$841,0)),"")))</f>
        <v>0.67359999999999998</v>
      </c>
      <c r="Q327" s="195">
        <f>IFERROR(INDEX('Both teabags AfterWet'!$C$3:$C$841,MATCH(I327,'Both teabags AfterWet'!$A$3:$A$841,0)),"")</f>
        <v>1.2625999999999999</v>
      </c>
      <c r="R327" s="195">
        <f t="shared" si="30"/>
        <v>0.52299999999999991</v>
      </c>
      <c r="S327" s="195">
        <f t="shared" si="30"/>
        <v>1.1119999999999999</v>
      </c>
      <c r="T327" s="195">
        <f t="shared" si="31"/>
        <v>0.73681561996779399</v>
      </c>
      <c r="U327" s="195">
        <f t="shared" si="32"/>
        <v>0.48304301926629734</v>
      </c>
      <c r="V327" s="195">
        <f t="shared" si="33"/>
        <v>0.55705841098086362</v>
      </c>
      <c r="W327">
        <f t="shared" si="28"/>
        <v>51</v>
      </c>
      <c r="X327" s="195">
        <f t="shared" si="34"/>
        <v>0.1249220665465629</v>
      </c>
      <c r="Y327" s="195">
        <f t="shared" si="35"/>
        <v>4.8797915996123979E-2</v>
      </c>
      <c r="Z327" s="255" t="str">
        <f>IF(ISNUMBER(SEARCH("C",'WetLitterbags placem_collection'!W254)),"YES","NO")</f>
        <v>NO</v>
      </c>
      <c r="AA327" s="255" t="str">
        <f>IF(ISNUMBER(SEARCH("H", 'WetLitterbags placem_collection'!Y34)),"YES","NO")</f>
        <v>NO</v>
      </c>
      <c r="AB327" s="255" t="str">
        <f>IF(ISNUMBER(SEARCH("R", 'WetLitterbags placem_collection'!WY34)),"YES","NO")</f>
        <v>NO</v>
      </c>
      <c r="AC327" s="255" t="str">
        <f>IF(ISNUMBER(SEARCH("C", 'WetLitterbags placem_collection'!VX34)),"YES","NO")</f>
        <v>NO</v>
      </c>
      <c r="AD327" s="255" t="str">
        <f>IF(ISNUMBER(SEARCH("H", 'WetLitterbags placem_collection'!X34)),"YES","NO")</f>
        <v>NO</v>
      </c>
      <c r="AE327" s="255" t="str">
        <f>IF(ISNUMBER(SEARCH("R", 'WetLitterbags placem_collection'!X34)),"YES","NO")</f>
        <v>YES</v>
      </c>
    </row>
    <row r="328" spans="2:31">
      <c r="B328" t="str">
        <f>'Final data_for_R_analysis_Wetse'!A474</f>
        <v>Wet</v>
      </c>
      <c r="C328" s="263">
        <f>'Final data_for_R_analysis_Wetse'!B474</f>
        <v>33</v>
      </c>
      <c r="D328" t="s">
        <v>3831</v>
      </c>
      <c r="E328" t="s">
        <v>25</v>
      </c>
      <c r="F328" s="386">
        <v>1</v>
      </c>
      <c r="G328" s="16">
        <f>'WetLitterbags placem_collection'!E35</f>
        <v>42765</v>
      </c>
      <c r="H328" s="92" t="str">
        <f>'Final data_for_R_analysis_Wetse'!J474</f>
        <v>G556</v>
      </c>
      <c r="I328" t="str">
        <f>'Final data_for_R_analysis_Wetse'!J694</f>
        <v>R452</v>
      </c>
      <c r="J328">
        <f>IFERROR(INDEX('Green_rooibos initial weight'!$C$5:$C$1749,MATCH(H328, 'Green_rooibos initial weight'!$A$5:$A$1749,0)),"")</f>
        <v>2.0329999999999999</v>
      </c>
      <c r="K328">
        <f>IFERROR(INDEX('Green_rooibos initial weight'!$C$5:$C$1749,MATCH(I328, 'Green_rooibos initial weight'!$A$5:$A$1749,0)),"")</f>
        <v>2.2320000000000002</v>
      </c>
      <c r="L328" s="195">
        <f t="shared" si="29"/>
        <v>1.7831999999999999</v>
      </c>
      <c r="M328" s="195">
        <f>AVERAGE(Ashed_controlls!$K$2:$K$11)</f>
        <v>5.5147656768714146</v>
      </c>
      <c r="N328" s="195">
        <f t="shared" si="27"/>
        <v>1.9822000000000002</v>
      </c>
      <c r="O328" s="16">
        <f>IF('WetLitterbags placem_collection'!G35="N.A","",'WetLitterbags placem_collection'!G35)</f>
        <v>42820</v>
      </c>
      <c r="P328" s="195">
        <f>IF(IFERROR(INDEX('Both teabags AfterWet'!$C$3:$C$841,MATCH(H328,'Both teabags AfterWet'!$A$3:$A$841,0)),"")="N.A","",(IFERROR(INDEX('Both teabags AfterWet'!$C$3:$C$841,MATCH(H328,'Both teabags AfterWet'!$A$3:$A$841,0)),"")))</f>
        <v>0.64400000000000002</v>
      </c>
      <c r="Q328" s="195">
        <f>IFERROR(INDEX('Both teabags AfterWet'!$C$3:$C$841,MATCH(I328,'Both teabags AfterWet'!$A$3:$A$841,0)),"")</f>
        <v>1.6020000000000001</v>
      </c>
      <c r="R328" s="195">
        <f t="shared" si="30"/>
        <v>0.49340000000000001</v>
      </c>
      <c r="S328" s="195">
        <f t="shared" si="30"/>
        <v>1.4514</v>
      </c>
      <c r="T328" s="195">
        <f t="shared" si="31"/>
        <v>0.72330641543292962</v>
      </c>
      <c r="U328" s="195">
        <f t="shared" si="32"/>
        <v>0.47418662864486605</v>
      </c>
      <c r="V328" s="195">
        <f t="shared" si="33"/>
        <v>0.7322167288870951</v>
      </c>
      <c r="W328">
        <f t="shared" si="28"/>
        <v>55</v>
      </c>
      <c r="X328" s="195">
        <f t="shared" si="34"/>
        <v>0.14096625245495287</v>
      </c>
      <c r="Y328" s="195">
        <f t="shared" si="35"/>
        <v>1.5123066816985622E-2</v>
      </c>
      <c r="Z328" s="255" t="str">
        <f>IF(ISNUMBER(SEARCH("C",'WetLitterbags placem_collection'!W255)),"YES","NO")</f>
        <v>NO</v>
      </c>
      <c r="AA328" s="255" t="str">
        <f>IF(ISNUMBER(SEARCH("H", 'WetLitterbags placem_collection'!Y35)),"YES","NO")</f>
        <v>NO</v>
      </c>
      <c r="AB328" s="255" t="str">
        <f>IF(ISNUMBER(SEARCH("R", 'WetLitterbags placem_collection'!WY35)),"YES","NO")</f>
        <v>NO</v>
      </c>
      <c r="AC328" s="255" t="str">
        <f>IF(ISNUMBER(SEARCH("C", 'WetLitterbags placem_collection'!VX35)),"YES","NO")</f>
        <v>NO</v>
      </c>
      <c r="AD328" s="255" t="str">
        <f>IF(ISNUMBER(SEARCH("H", 'WetLitterbags placem_collection'!X35)),"YES","NO")</f>
        <v>NO</v>
      </c>
      <c r="AE328" s="255" t="str">
        <f>IF(ISNUMBER(SEARCH("R", 'WetLitterbags placem_collection'!X35)),"YES","NO")</f>
        <v>YES</v>
      </c>
    </row>
    <row r="329" spans="2:31">
      <c r="B329" t="str">
        <f>'Final data_for_R_analysis_Wetse'!A475</f>
        <v>Wet</v>
      </c>
      <c r="C329" s="263">
        <f>'Final data_for_R_analysis_Wetse'!B475</f>
        <v>34</v>
      </c>
      <c r="D329" t="s">
        <v>3831</v>
      </c>
      <c r="E329" t="s">
        <v>25</v>
      </c>
      <c r="F329" s="386">
        <v>2</v>
      </c>
      <c r="G329" s="16">
        <f>'WetLitterbags placem_collection'!E36</f>
        <v>42765</v>
      </c>
      <c r="H329" s="92" t="str">
        <f>'Final data_for_R_analysis_Wetse'!J475</f>
        <v>G649</v>
      </c>
      <c r="I329" t="str">
        <f>'Final data_for_R_analysis_Wetse'!J695</f>
        <v>R24</v>
      </c>
      <c r="J329">
        <f>IFERROR(INDEX('Green_rooibos initial weight'!$C$5:$C$1749,MATCH(H329, 'Green_rooibos initial weight'!$A$5:$A$1749,0)),"")</f>
        <v>2.1379999999999999</v>
      </c>
      <c r="K329">
        <f>IFERROR(INDEX('Green_rooibos initial weight'!$C$5:$C$1749,MATCH(I329, 'Green_rooibos initial weight'!$A$5:$A$1749,0)),"")</f>
        <v>2.14</v>
      </c>
      <c r="L329" s="195">
        <f t="shared" si="29"/>
        <v>1.8881999999999999</v>
      </c>
      <c r="M329" s="195">
        <f>AVERAGE(Ashed_controlls!$K$2:$K$11)</f>
        <v>5.5147656768714146</v>
      </c>
      <c r="N329" s="195">
        <f t="shared" si="27"/>
        <v>1.8902000000000001</v>
      </c>
      <c r="O329" s="16">
        <f>IF('WetLitterbags placem_collection'!G36="N.A","",'WetLitterbags placem_collection'!G36)</f>
        <v>42820</v>
      </c>
      <c r="P329" s="195">
        <f>IF(IFERROR(INDEX('Both teabags AfterWet'!$C$3:$C$841,MATCH(H329,'Both teabags AfterWet'!$A$3:$A$841,0)),"")="N.A","",(IFERROR(INDEX('Both teabags AfterWet'!$C$3:$C$841,MATCH(H329,'Both teabags AfterWet'!$A$3:$A$841,0)),"")))</f>
        <v>0.80259999999999998</v>
      </c>
      <c r="Q329" s="195">
        <f>IFERROR(INDEX('Both teabags AfterWet'!$C$3:$C$841,MATCH(I329,'Both teabags AfterWet'!$A$3:$A$841,0)),"")</f>
        <v>1.4662999999999999</v>
      </c>
      <c r="R329" s="195">
        <f t="shared" si="30"/>
        <v>0.65199999999999991</v>
      </c>
      <c r="S329" s="195">
        <f t="shared" si="30"/>
        <v>1.3156999999999999</v>
      </c>
      <c r="T329" s="195">
        <f t="shared" si="31"/>
        <v>0.65469759559368712</v>
      </c>
      <c r="U329" s="195">
        <f t="shared" si="32"/>
        <v>0.42920792490227477</v>
      </c>
      <c r="V329" s="195">
        <f t="shared" si="33"/>
        <v>0.69606390858110245</v>
      </c>
      <c r="W329">
        <f t="shared" si="28"/>
        <v>55</v>
      </c>
      <c r="X329" s="195">
        <f t="shared" si="34"/>
        <v>0.2224494114089226</v>
      </c>
      <c r="Y329" s="195">
        <f t="shared" si="35"/>
        <v>2.2390098744399255E-2</v>
      </c>
      <c r="Z329" s="255" t="str">
        <f>IF(ISNUMBER(SEARCH("C",'WetLitterbags placem_collection'!W256)),"YES","NO")</f>
        <v>NO</v>
      </c>
      <c r="AA329" s="255" t="str">
        <f>IF(ISNUMBER(SEARCH("H", 'WetLitterbags placem_collection'!Y36)),"YES","NO")</f>
        <v>NO</v>
      </c>
      <c r="AB329" s="255" t="str">
        <f>IF(ISNUMBER(SEARCH("R", 'WetLitterbags placem_collection'!WY36)),"YES","NO")</f>
        <v>NO</v>
      </c>
      <c r="AC329" s="255" t="str">
        <f>IF(ISNUMBER(SEARCH("C", 'WetLitterbags placem_collection'!VX36)),"YES","NO")</f>
        <v>NO</v>
      </c>
      <c r="AD329" s="255" t="str">
        <f>IF(ISNUMBER(SEARCH("H", 'WetLitterbags placem_collection'!X36)),"YES","NO")</f>
        <v>NO</v>
      </c>
      <c r="AE329" s="255" t="str">
        <f>IF(ISNUMBER(SEARCH("R", 'WetLitterbags placem_collection'!X36)),"YES","NO")</f>
        <v>YES</v>
      </c>
    </row>
    <row r="330" spans="2:31">
      <c r="B330" t="str">
        <f>'Final data_for_R_analysis_Wetse'!A476</f>
        <v>Wet</v>
      </c>
      <c r="C330" s="263">
        <f>'Final data_for_R_analysis_Wetse'!B476</f>
        <v>35</v>
      </c>
      <c r="D330" t="s">
        <v>3831</v>
      </c>
      <c r="E330" t="s">
        <v>25</v>
      </c>
      <c r="F330" s="386">
        <v>3</v>
      </c>
      <c r="G330" s="16">
        <f>'WetLitterbags placem_collection'!E37</f>
        <v>42765</v>
      </c>
      <c r="H330" s="92" t="str">
        <f>'Final data_for_R_analysis_Wetse'!J476</f>
        <v>G732</v>
      </c>
      <c r="I330" t="str">
        <f>'Final data_for_R_analysis_Wetse'!J696</f>
        <v>R69</v>
      </c>
      <c r="J330">
        <f>IFERROR(INDEX('Green_rooibos initial weight'!$C$5:$C$1749,MATCH(H330, 'Green_rooibos initial weight'!$A$5:$A$1749,0)),"")</f>
        <v>2.0880000000000001</v>
      </c>
      <c r="K330">
        <f>IFERROR(INDEX('Green_rooibos initial weight'!$C$5:$C$1749,MATCH(I330, 'Green_rooibos initial weight'!$A$5:$A$1749,0)),"")</f>
        <v>2.2149999999999999</v>
      </c>
      <c r="L330" s="195">
        <f t="shared" si="29"/>
        <v>1.8382000000000001</v>
      </c>
      <c r="M330" s="195">
        <f>AVERAGE(Ashed_controlls!$K$2:$K$11)</f>
        <v>5.5147656768714146</v>
      </c>
      <c r="N330" s="195">
        <f t="shared" si="27"/>
        <v>1.9651999999999998</v>
      </c>
      <c r="O330" s="16">
        <f>IF('WetLitterbags placem_collection'!G37="N.A","",'WetLitterbags placem_collection'!G37)</f>
        <v>42820</v>
      </c>
      <c r="P330" s="195">
        <f>IF(IFERROR(INDEX('Both teabags AfterWet'!$C$3:$C$841,MATCH(H330,'Both teabags AfterWet'!$A$3:$A$841,0)),"")="N.A","",(IFERROR(INDEX('Both teabags AfterWet'!$C$3:$C$841,MATCH(H330,'Both teabags AfterWet'!$A$3:$A$841,0)),"")))</f>
        <v>0.71699999999999997</v>
      </c>
      <c r="Q330" s="195">
        <f>IFERROR(INDEX('Both teabags AfterWet'!$C$3:$C$841,MATCH(I330,'Both teabags AfterWet'!$A$3:$A$841,0)),"")</f>
        <v>1.498</v>
      </c>
      <c r="R330" s="195">
        <f t="shared" si="30"/>
        <v>0.56640000000000001</v>
      </c>
      <c r="S330" s="195">
        <f t="shared" si="30"/>
        <v>1.3473999999999999</v>
      </c>
      <c r="T330" s="195">
        <f t="shared" si="31"/>
        <v>0.69187248395169187</v>
      </c>
      <c r="U330" s="195">
        <f t="shared" si="32"/>
        <v>0.45357911061916145</v>
      </c>
      <c r="V330" s="195">
        <f t="shared" si="33"/>
        <v>0.68562996132709142</v>
      </c>
      <c r="W330">
        <f t="shared" si="28"/>
        <v>55</v>
      </c>
      <c r="X330" s="195">
        <f t="shared" si="34"/>
        <v>0.1782987126464467</v>
      </c>
      <c r="Y330" s="195">
        <f t="shared" si="35"/>
        <v>2.1476232384032914E-2</v>
      </c>
      <c r="Z330" s="255" t="str">
        <f>IF(ISNUMBER(SEARCH("C",'WetLitterbags placem_collection'!W257)),"YES","NO")</f>
        <v>NO</v>
      </c>
      <c r="AA330" s="255" t="str">
        <f>IF(ISNUMBER(SEARCH("H", 'WetLitterbags placem_collection'!Y37)),"YES","NO")</f>
        <v>NO</v>
      </c>
      <c r="AB330" s="255" t="str">
        <f>IF(ISNUMBER(SEARCH("R", 'WetLitterbags placem_collection'!WY37)),"YES","NO")</f>
        <v>NO</v>
      </c>
      <c r="AC330" s="255" t="str">
        <f>IF(ISNUMBER(SEARCH("C", 'WetLitterbags placem_collection'!VX37)),"YES","NO")</f>
        <v>NO</v>
      </c>
      <c r="AD330" s="255" t="str">
        <f>IF(ISNUMBER(SEARCH("H", 'WetLitterbags placem_collection'!X37)),"YES","NO")</f>
        <v>NO</v>
      </c>
      <c r="AE330" s="255" t="str">
        <f>IF(ISNUMBER(SEARCH("R", 'WetLitterbags placem_collection'!X37)),"YES","NO")</f>
        <v>YES</v>
      </c>
    </row>
    <row r="331" spans="2:31">
      <c r="B331" t="str">
        <f>'Final data_for_R_analysis_Wetse'!A477</f>
        <v>Wet</v>
      </c>
      <c r="C331" s="263">
        <f>'Final data_for_R_analysis_Wetse'!B477</f>
        <v>36</v>
      </c>
      <c r="D331" t="s">
        <v>3831</v>
      </c>
      <c r="E331" t="s">
        <v>25</v>
      </c>
      <c r="F331" s="387">
        <v>4</v>
      </c>
      <c r="G331" s="16">
        <f>'WetLitterbags placem_collection'!E38</f>
        <v>42765</v>
      </c>
      <c r="H331" s="92" t="str">
        <f>'Final data_for_R_analysis_Wetse'!J477</f>
        <v>G550</v>
      </c>
      <c r="I331" t="str">
        <f>'Final data_for_R_analysis_Wetse'!J697</f>
        <v>R97</v>
      </c>
      <c r="J331">
        <f>IFERROR(INDEX('Green_rooibos initial weight'!$C$5:$C$1749,MATCH(H331, 'Green_rooibos initial weight'!$A$5:$A$1749,0)),"")</f>
        <v>2.097</v>
      </c>
      <c r="K331">
        <f>IFERROR(INDEX('Green_rooibos initial weight'!$C$5:$C$1749,MATCH(I331, 'Green_rooibos initial weight'!$A$5:$A$1749,0)),"")</f>
        <v>2.2959999999999998</v>
      </c>
      <c r="L331" s="195">
        <f t="shared" si="29"/>
        <v>1.8472</v>
      </c>
      <c r="M331" s="195">
        <f>AVERAGE(Ashed_controlls!$K$2:$K$11)</f>
        <v>5.5147656768714146</v>
      </c>
      <c r="N331" s="195">
        <f t="shared" si="27"/>
        <v>2.0461999999999998</v>
      </c>
      <c r="O331" s="16">
        <f>IF('WetLitterbags placem_collection'!G38="N.A","",'WetLitterbags placem_collection'!G38)</f>
        <v>42820</v>
      </c>
      <c r="P331" s="195">
        <f>IF(IFERROR(INDEX('Both teabags AfterWet'!$C$3:$C$841,MATCH(H331,'Both teabags AfterWet'!$A$3:$A$841,0)),"")="N.A","",(IFERROR(INDEX('Both teabags AfterWet'!$C$3:$C$841,MATCH(H331,'Both teabags AfterWet'!$A$3:$A$841,0)),"")))</f>
        <v>0.72199999999999998</v>
      </c>
      <c r="Q331" s="195">
        <f>IFERROR(INDEX('Both teabags AfterWet'!$C$3:$C$841,MATCH(I331,'Both teabags AfterWet'!$A$3:$A$841,0)),"")</f>
        <v>1.671</v>
      </c>
      <c r="R331" s="195">
        <f t="shared" si="30"/>
        <v>0.57139999999999991</v>
      </c>
      <c r="S331" s="195">
        <f t="shared" si="30"/>
        <v>1.5204</v>
      </c>
      <c r="T331" s="195">
        <f t="shared" si="31"/>
        <v>0.69066695539194467</v>
      </c>
      <c r="U331" s="195">
        <f t="shared" si="32"/>
        <v>0.452788787857902</v>
      </c>
      <c r="V331" s="195">
        <f t="shared" si="33"/>
        <v>0.74303587137132254</v>
      </c>
      <c r="W331">
        <f t="shared" si="28"/>
        <v>55</v>
      </c>
      <c r="X331" s="195">
        <f t="shared" si="34"/>
        <v>0.17973045677916311</v>
      </c>
      <c r="Y331" s="195">
        <f t="shared" si="35"/>
        <v>1.5240110940233179E-2</v>
      </c>
      <c r="Z331" s="255" t="str">
        <f>IF(ISNUMBER(SEARCH("C",'WetLitterbags placem_collection'!W258)),"YES","NO")</f>
        <v>NO</v>
      </c>
      <c r="AA331" s="255" t="str">
        <f>IF(ISNUMBER(SEARCH("H", 'WetLitterbags placem_collection'!Y38)),"YES","NO")</f>
        <v>NO</v>
      </c>
      <c r="AB331" s="255" t="str">
        <f>IF(ISNUMBER(SEARCH("R", 'WetLitterbags placem_collection'!WY38)),"YES","NO")</f>
        <v>NO</v>
      </c>
      <c r="AC331" s="255" t="str">
        <f>IF(ISNUMBER(SEARCH("C", 'WetLitterbags placem_collection'!VX38)),"YES","NO")</f>
        <v>NO</v>
      </c>
      <c r="AD331" s="255" t="str">
        <f>IF(ISNUMBER(SEARCH("H", 'WetLitterbags placem_collection'!X38)),"YES","NO")</f>
        <v>NO</v>
      </c>
      <c r="AE331" s="255" t="str">
        <f>IF(ISNUMBER(SEARCH("R", 'WetLitterbags placem_collection'!X38)),"YES","NO")</f>
        <v>YES</v>
      </c>
    </row>
    <row r="332" spans="2:31">
      <c r="B332" t="str">
        <f>'Final data_for_R_analysis_Wetse'!A478</f>
        <v>Wet</v>
      </c>
      <c r="C332" s="263">
        <f>'Final data_for_R_analysis_Wetse'!B478</f>
        <v>37</v>
      </c>
      <c r="D332" t="s">
        <v>3831</v>
      </c>
      <c r="E332" t="s">
        <v>25</v>
      </c>
      <c r="F332" s="387">
        <v>5</v>
      </c>
      <c r="G332" s="16">
        <f>'WetLitterbags placem_collection'!E39</f>
        <v>42765</v>
      </c>
      <c r="H332" s="92" t="str">
        <f>'Final data_for_R_analysis_Wetse'!J478</f>
        <v>G528</v>
      </c>
      <c r="I332" t="str">
        <f>'Final data_for_R_analysis_Wetse'!J698</f>
        <v>R89</v>
      </c>
      <c r="J332">
        <f>IFERROR(INDEX('Green_rooibos initial weight'!$C$5:$C$1749,MATCH(H332, 'Green_rooibos initial weight'!$A$5:$A$1749,0)),"")</f>
        <v>2.14</v>
      </c>
      <c r="K332">
        <f>IFERROR(INDEX('Green_rooibos initial weight'!$C$5:$C$1749,MATCH(I332, 'Green_rooibos initial weight'!$A$5:$A$1749,0)),"")</f>
        <v>2.1949999999999998</v>
      </c>
      <c r="L332" s="195">
        <f t="shared" si="29"/>
        <v>1.8902000000000001</v>
      </c>
      <c r="M332" s="195">
        <f>AVERAGE(Ashed_controlls!$K$2:$K$11)</f>
        <v>5.5147656768714146</v>
      </c>
      <c r="N332" s="195">
        <f t="shared" ref="N332:N395" si="36">IF(K332&gt;0,(K332*$F$32-($F$29+$F$30)),"")</f>
        <v>1.9451999999999998</v>
      </c>
      <c r="O332" s="16">
        <f>IF('WetLitterbags placem_collection'!G39="N.A","",'WetLitterbags placem_collection'!G39)</f>
        <v>42820</v>
      </c>
      <c r="P332" s="195">
        <f>IF(IFERROR(INDEX('Both teabags AfterWet'!$C$3:$C$841,MATCH(H332,'Both teabags AfterWet'!$A$3:$A$841,0)),"")="N.A","",(IFERROR(INDEX('Both teabags AfterWet'!$C$3:$C$841,MATCH(H332,'Both teabags AfterWet'!$A$3:$A$841,0)),"")))</f>
        <v>0.89600000000000002</v>
      </c>
      <c r="Q332" s="195">
        <f>IFERROR(INDEX('Both teabags AfterWet'!$C$3:$C$841,MATCH(I332,'Both teabags AfterWet'!$A$3:$A$841,0)),"")</f>
        <v>1.425</v>
      </c>
      <c r="R332" s="195">
        <f t="shared" si="30"/>
        <v>0.74540000000000006</v>
      </c>
      <c r="S332" s="195">
        <f t="shared" si="30"/>
        <v>1.2744</v>
      </c>
      <c r="T332" s="195">
        <f t="shared" si="31"/>
        <v>0.60565019574648182</v>
      </c>
      <c r="U332" s="195">
        <f t="shared" si="32"/>
        <v>0.39705333497869122</v>
      </c>
      <c r="V332" s="195">
        <f t="shared" si="33"/>
        <v>0.65515114127082053</v>
      </c>
      <c r="W332">
        <f t="shared" ref="W332:W395" si="37">IF((O332-G332)&gt;0,(IFERROR(O332-G332,"")),"")</f>
        <v>55</v>
      </c>
      <c r="X332" s="195">
        <f t="shared" si="34"/>
        <v>0.28070048011106674</v>
      </c>
      <c r="Y332" s="195">
        <f t="shared" si="35"/>
        <v>3.6889134065085948E-2</v>
      </c>
      <c r="Z332" s="255" t="str">
        <f>IF(ISNUMBER(SEARCH("C",'WetLitterbags placem_collection'!W259)),"YES","NO")</f>
        <v>NO</v>
      </c>
      <c r="AA332" s="255" t="str">
        <f>IF(ISNUMBER(SEARCH("H", 'WetLitterbags placem_collection'!Y39)),"YES","NO")</f>
        <v>NO</v>
      </c>
      <c r="AB332" s="255" t="str">
        <f>IF(ISNUMBER(SEARCH("R", 'WetLitterbags placem_collection'!WY39)),"YES","NO")</f>
        <v>NO</v>
      </c>
      <c r="AC332" s="255" t="str">
        <f>IF(ISNUMBER(SEARCH("C", 'WetLitterbags placem_collection'!VX39)),"YES","NO")</f>
        <v>NO</v>
      </c>
      <c r="AD332" s="255" t="str">
        <f>IF(ISNUMBER(SEARCH("H", 'WetLitterbags placem_collection'!X39)),"YES","NO")</f>
        <v>NO</v>
      </c>
      <c r="AE332" s="255" t="str">
        <f>IF(ISNUMBER(SEARCH("R", 'WetLitterbags placem_collection'!X39)),"YES","NO")</f>
        <v>YES</v>
      </c>
    </row>
    <row r="333" spans="2:31">
      <c r="B333" t="str">
        <f>'Final data_for_R_analysis_Wetse'!A479</f>
        <v>Wet</v>
      </c>
      <c r="C333" s="263">
        <f>'Final data_for_R_analysis_Wetse'!B479</f>
        <v>38</v>
      </c>
      <c r="D333" t="s">
        <v>3831</v>
      </c>
      <c r="E333" t="s">
        <v>25</v>
      </c>
      <c r="F333" s="387">
        <v>6</v>
      </c>
      <c r="G333" s="16">
        <f>'WetLitterbags placem_collection'!E40</f>
        <v>42765</v>
      </c>
      <c r="H333" s="92" t="str">
        <f>'Final data_for_R_analysis_Wetse'!J479</f>
        <v>G703</v>
      </c>
      <c r="I333" t="str">
        <f>'Final data_for_R_analysis_Wetse'!J699</f>
        <v>R147</v>
      </c>
      <c r="J333">
        <f>IFERROR(INDEX('Green_rooibos initial weight'!$C$5:$C$1749,MATCH(H333, 'Green_rooibos initial weight'!$A$5:$A$1749,0)),"")</f>
        <v>1.9159999999999999</v>
      </c>
      <c r="K333">
        <f>IFERROR(INDEX('Green_rooibos initial weight'!$C$5:$C$1749,MATCH(I333, 'Green_rooibos initial weight'!$A$5:$A$1749,0)),"")</f>
        <v>2.1960000000000002</v>
      </c>
      <c r="L333" s="195">
        <f t="shared" ref="L333:L396" si="38">IF(J333&gt;0,(J333*$F$31-($F$29+$F$30)),"")</f>
        <v>1.6661999999999999</v>
      </c>
      <c r="M333" s="195">
        <f>AVERAGE(Ashed_controlls!$K$2:$K$11)</f>
        <v>5.5147656768714146</v>
      </c>
      <c r="N333" s="195">
        <f t="shared" si="36"/>
        <v>1.9462000000000002</v>
      </c>
      <c r="O333" s="16">
        <f>IF('WetLitterbags placem_collection'!G40="N.A","",'WetLitterbags placem_collection'!G40)</f>
        <v>42820</v>
      </c>
      <c r="P333" s="195">
        <f>IF(IFERROR(INDEX('Both teabags AfterWet'!$C$3:$C$841,MATCH(H333,'Both teabags AfterWet'!$A$3:$A$841,0)),"")="N.A","",(IFERROR(INDEX('Both teabags AfterWet'!$C$3:$C$841,MATCH(H333,'Both teabags AfterWet'!$A$3:$A$841,0)),"")))</f>
        <v>0.81899999999999995</v>
      </c>
      <c r="Q333" s="195">
        <f>IFERROR(INDEX('Both teabags AfterWet'!$C$3:$C$841,MATCH(I333,'Both teabags AfterWet'!$A$3:$A$841,0)),"")</f>
        <v>1.381</v>
      </c>
      <c r="R333" s="195">
        <f t="shared" ref="R333:S396" si="39">IFERROR(IF(P333&gt;0,P333-($F$29),""),"")</f>
        <v>0.66839999999999988</v>
      </c>
      <c r="S333" s="195">
        <f t="shared" si="39"/>
        <v>1.2303999999999999</v>
      </c>
      <c r="T333" s="195">
        <f t="shared" ref="T333:T396" si="40">IFERROR(1-R333/L333,"")</f>
        <v>0.59884767734965794</v>
      </c>
      <c r="U333" s="195">
        <f t="shared" ref="U333:U396" si="41">IFERROR($F$26*(1-X333),"")</f>
        <v>0.39259372671854065</v>
      </c>
      <c r="V333" s="195">
        <f t="shared" ref="V333:V396" si="42">IFERROR(S333/N333,"")</f>
        <v>0.63220635083752952</v>
      </c>
      <c r="W333">
        <f t="shared" si="37"/>
        <v>55</v>
      </c>
      <c r="X333" s="195">
        <f t="shared" ref="X333:X396" si="43">IFERROR(1-(T333/$F$25),"")</f>
        <v>0.28877948058235392</v>
      </c>
      <c r="Y333" s="195">
        <f t="shared" ref="Y333:Y396" si="44">IFERROR(LN(U333/(V333-(1-U333)))/W333,"")</f>
        <v>5.0216882226838067E-2</v>
      </c>
      <c r="Z333" s="255" t="str">
        <f>IF(ISNUMBER(SEARCH("C",'WetLitterbags placem_collection'!W260)),"YES","NO")</f>
        <v>NO</v>
      </c>
      <c r="AA333" s="255" t="str">
        <f>IF(ISNUMBER(SEARCH("H", 'WetLitterbags placem_collection'!Y40)),"YES","NO")</f>
        <v>NO</v>
      </c>
      <c r="AB333" s="255" t="str">
        <f>IF(ISNUMBER(SEARCH("R", 'WetLitterbags placem_collection'!WY40)),"YES","NO")</f>
        <v>NO</v>
      </c>
      <c r="AC333" s="255" t="str">
        <f>IF(ISNUMBER(SEARCH("C", 'WetLitterbags placem_collection'!VX40)),"YES","NO")</f>
        <v>NO</v>
      </c>
      <c r="AD333" s="255" t="str">
        <f>IF(ISNUMBER(SEARCH("H", 'WetLitterbags placem_collection'!X40)),"YES","NO")</f>
        <v>NO</v>
      </c>
      <c r="AE333" s="255" t="str">
        <f>IF(ISNUMBER(SEARCH("R", 'WetLitterbags placem_collection'!X40)),"YES","NO")</f>
        <v>YES</v>
      </c>
    </row>
    <row r="334" spans="2:31">
      <c r="B334" t="str">
        <f>'Final data_for_R_analysis_Wetse'!A480</f>
        <v>Wet</v>
      </c>
      <c r="C334" s="263">
        <f>'Final data_for_R_analysis_Wetse'!B480</f>
        <v>39</v>
      </c>
      <c r="D334" t="s">
        <v>3831</v>
      </c>
      <c r="E334" t="s">
        <v>25</v>
      </c>
      <c r="F334" s="387">
        <v>7</v>
      </c>
      <c r="G334" s="16">
        <f>'WetLitterbags placem_collection'!E41</f>
        <v>42765</v>
      </c>
      <c r="H334" s="92" t="str">
        <f>'Final data_for_R_analysis_Wetse'!J480</f>
        <v>G566</v>
      </c>
      <c r="I334" t="str">
        <f>'Final data_for_R_analysis_Wetse'!J700</f>
        <v>R65</v>
      </c>
      <c r="J334">
        <f>IFERROR(INDEX('Green_rooibos initial weight'!$C$5:$C$1749,MATCH(H334, 'Green_rooibos initial weight'!$A$5:$A$1749,0)),"")</f>
        <v>2.0449999999999999</v>
      </c>
      <c r="K334">
        <f>IFERROR(INDEX('Green_rooibos initial weight'!$C$5:$C$1749,MATCH(I334, 'Green_rooibos initial weight'!$A$5:$A$1749,0)),"")</f>
        <v>2.2559999999999998</v>
      </c>
      <c r="L334" s="195">
        <f t="shared" si="38"/>
        <v>1.7951999999999999</v>
      </c>
      <c r="M334" s="195">
        <f>AVERAGE(Ashed_controlls!$K$2:$K$11)</f>
        <v>5.5147656768714146</v>
      </c>
      <c r="N334" s="195">
        <f t="shared" si="36"/>
        <v>2.0061999999999998</v>
      </c>
      <c r="O334" s="16">
        <f>IF('WetLitterbags placem_collection'!G41="N.A","",'WetLitterbags placem_collection'!G41)</f>
        <v>42820</v>
      </c>
      <c r="P334" s="195">
        <f>IF(IFERROR(INDEX('Both teabags AfterWet'!$C$3:$C$841,MATCH(H334,'Both teabags AfterWet'!$A$3:$A$841,0)),"")="N.A","",(IFERROR(INDEX('Both teabags AfterWet'!$C$3:$C$841,MATCH(H334,'Both teabags AfterWet'!$A$3:$A$841,0)),"")))</f>
        <v>0.78520000000000001</v>
      </c>
      <c r="Q334" s="195">
        <f>IFERROR(INDEX('Both teabags AfterWet'!$C$3:$C$841,MATCH(I334,'Both teabags AfterWet'!$A$3:$A$841,0)),"")</f>
        <v>1.5185</v>
      </c>
      <c r="R334" s="195">
        <f t="shared" si="39"/>
        <v>0.63460000000000005</v>
      </c>
      <c r="S334" s="195">
        <f t="shared" si="39"/>
        <v>1.3678999999999999</v>
      </c>
      <c r="T334" s="195">
        <f t="shared" si="40"/>
        <v>0.64650178253119428</v>
      </c>
      <c r="U334" s="195">
        <f t="shared" si="41"/>
        <v>0.42383489781142436</v>
      </c>
      <c r="V334" s="195">
        <f t="shared" si="42"/>
        <v>0.68183630744691459</v>
      </c>
      <c r="W334">
        <f t="shared" si="37"/>
        <v>55</v>
      </c>
      <c r="X334" s="195">
        <f t="shared" si="43"/>
        <v>0.23218315613872409</v>
      </c>
      <c r="Y334" s="195">
        <f t="shared" si="44"/>
        <v>2.5254755476120237E-2</v>
      </c>
      <c r="Z334" s="255" t="str">
        <f>IF(ISNUMBER(SEARCH("C",'WetLitterbags placem_collection'!W261)),"YES","NO")</f>
        <v>NO</v>
      </c>
      <c r="AA334" s="255" t="str">
        <f>IF(ISNUMBER(SEARCH("H", 'WetLitterbags placem_collection'!Y41)),"YES","NO")</f>
        <v>NO</v>
      </c>
      <c r="AB334" s="255" t="str">
        <f>IF(ISNUMBER(SEARCH("R", 'WetLitterbags placem_collection'!WY41)),"YES","NO")</f>
        <v>NO</v>
      </c>
      <c r="AC334" s="255" t="str">
        <f>IF(ISNUMBER(SEARCH("C", 'WetLitterbags placem_collection'!VX41)),"YES","NO")</f>
        <v>NO</v>
      </c>
      <c r="AD334" s="255" t="str">
        <f>IF(ISNUMBER(SEARCH("H", 'WetLitterbags placem_collection'!X41)),"YES","NO")</f>
        <v>NO</v>
      </c>
      <c r="AE334" s="255" t="str">
        <f>IF(ISNUMBER(SEARCH("R", 'WetLitterbags placem_collection'!X41)),"YES","NO")</f>
        <v>YES</v>
      </c>
    </row>
    <row r="335" spans="2:31">
      <c r="B335" t="str">
        <f>'Final data_for_R_analysis_Wetse'!A481</f>
        <v>Wet</v>
      </c>
      <c r="C335" s="263">
        <f>'Final data_for_R_analysis_Wetse'!B481</f>
        <v>40</v>
      </c>
      <c r="D335" t="s">
        <v>3831</v>
      </c>
      <c r="E335" t="s">
        <v>25</v>
      </c>
      <c r="F335" s="387">
        <v>8</v>
      </c>
      <c r="G335" s="16">
        <f>'WetLitterbags placem_collection'!E42</f>
        <v>42765</v>
      </c>
      <c r="H335" s="92" t="str">
        <f>'Final data_for_R_analysis_Wetse'!J481</f>
        <v>G619</v>
      </c>
      <c r="I335" t="str">
        <f>'Final data_for_R_analysis_Wetse'!J701</f>
        <v>R420</v>
      </c>
      <c r="J335">
        <f>IFERROR(INDEX('Green_rooibos initial weight'!$C$5:$C$1749,MATCH(H335, 'Green_rooibos initial weight'!$A$5:$A$1749,0)),"")</f>
        <v>2.036</v>
      </c>
      <c r="K335">
        <f>IFERROR(INDEX('Green_rooibos initial weight'!$C$5:$C$1749,MATCH(I335, 'Green_rooibos initial weight'!$A$5:$A$1749,0)),"")</f>
        <v>2.2749999999999999</v>
      </c>
      <c r="L335" s="195">
        <f t="shared" si="38"/>
        <v>1.7862</v>
      </c>
      <c r="M335" s="195">
        <f>AVERAGE(Ashed_controlls!$K$2:$K$11)</f>
        <v>5.5147656768714146</v>
      </c>
      <c r="N335" s="195">
        <f t="shared" si="36"/>
        <v>2.0251999999999999</v>
      </c>
      <c r="O335" s="16">
        <f>IF('WetLitterbags placem_collection'!G42="N.A","",'WetLitterbags placem_collection'!G42)</f>
        <v>42820</v>
      </c>
      <c r="P335" s="195">
        <f>IF(IFERROR(INDEX('Both teabags AfterWet'!$C$3:$C$841,MATCH(H335,'Both teabags AfterWet'!$A$3:$A$841,0)),"")="N.A","",(IFERROR(INDEX('Both teabags AfterWet'!$C$3:$C$841,MATCH(H335,'Both teabags AfterWet'!$A$3:$A$841,0)),"")))</f>
        <v>0.70599999999999996</v>
      </c>
      <c r="Q335" s="195">
        <f>IFERROR(INDEX('Both teabags AfterWet'!$C$3:$C$841,MATCH(I335,'Both teabags AfterWet'!$A$3:$A$841,0)),"")</f>
        <v>1.66</v>
      </c>
      <c r="R335" s="195">
        <f t="shared" si="39"/>
        <v>0.55539999999999989</v>
      </c>
      <c r="S335" s="195">
        <f t="shared" si="39"/>
        <v>1.5093999999999999</v>
      </c>
      <c r="T335" s="195">
        <f t="shared" si="40"/>
        <v>0.68906057552345767</v>
      </c>
      <c r="U335" s="195">
        <f t="shared" si="41"/>
        <v>0.4517356742149034</v>
      </c>
      <c r="V335" s="195">
        <f t="shared" si="42"/>
        <v>0.74530910527355321</v>
      </c>
      <c r="W335">
        <f t="shared" si="37"/>
        <v>55</v>
      </c>
      <c r="X335" s="195">
        <f t="shared" si="43"/>
        <v>0.1816382713498127</v>
      </c>
      <c r="Y335" s="195">
        <f t="shared" si="44"/>
        <v>1.5084840131988145E-2</v>
      </c>
      <c r="Z335" s="255" t="str">
        <f>IF(ISNUMBER(SEARCH("C",'WetLitterbags placem_collection'!W262)),"YES","NO")</f>
        <v>NO</v>
      </c>
      <c r="AA335" s="255" t="str">
        <f>IF(ISNUMBER(SEARCH("H", 'WetLitterbags placem_collection'!Y42)),"YES","NO")</f>
        <v>NO</v>
      </c>
      <c r="AB335" s="255" t="str">
        <f>IF(ISNUMBER(SEARCH("R", 'WetLitterbags placem_collection'!WY42)),"YES","NO")</f>
        <v>NO</v>
      </c>
      <c r="AC335" s="255" t="str">
        <f>IF(ISNUMBER(SEARCH("C", 'WetLitterbags placem_collection'!VX42)),"YES","NO")</f>
        <v>NO</v>
      </c>
      <c r="AD335" s="255" t="str">
        <f>IF(ISNUMBER(SEARCH("H", 'WetLitterbags placem_collection'!X42)),"YES","NO")</f>
        <v>NO</v>
      </c>
      <c r="AE335" s="255" t="str">
        <f>IF(ISNUMBER(SEARCH("R", 'WetLitterbags placem_collection'!X42)),"YES","NO")</f>
        <v>YES</v>
      </c>
    </row>
    <row r="336" spans="2:31">
      <c r="B336" t="str">
        <f>'Final data_for_R_analysis_Wetse'!A482</f>
        <v>Wet</v>
      </c>
      <c r="C336" s="263">
        <f>'Final data_for_R_analysis_Wetse'!B482</f>
        <v>41</v>
      </c>
      <c r="D336" t="s">
        <v>3833</v>
      </c>
      <c r="E336" t="s">
        <v>25</v>
      </c>
      <c r="F336" s="386">
        <v>1</v>
      </c>
      <c r="G336" s="16">
        <f>'WetLitterbags placem_collection'!E43</f>
        <v>42766</v>
      </c>
      <c r="H336" s="92" t="str">
        <f>'Final data_for_R_analysis_Wetse'!J482</f>
        <v>G626</v>
      </c>
      <c r="I336" t="str">
        <f>'Final data_for_R_analysis_Wetse'!J702</f>
        <v>R77</v>
      </c>
      <c r="J336">
        <f>IFERROR(INDEX('Green_rooibos initial weight'!$C$5:$C$1749,MATCH(H336, 'Green_rooibos initial weight'!$A$5:$A$1749,0)),"")</f>
        <v>2.1179999999999999</v>
      </c>
      <c r="K336">
        <f>IFERROR(INDEX('Green_rooibos initial weight'!$C$5:$C$1749,MATCH(I336, 'Green_rooibos initial weight'!$A$5:$A$1749,0)),"")</f>
        <v>2.1749999999999998</v>
      </c>
      <c r="L336" s="195">
        <f t="shared" si="38"/>
        <v>1.8681999999999999</v>
      </c>
      <c r="M336" s="195">
        <f>AVERAGE(Ashed_controlls!$K$2:$K$11)</f>
        <v>5.5147656768714146</v>
      </c>
      <c r="N336" s="195">
        <f t="shared" si="36"/>
        <v>1.9251999999999998</v>
      </c>
      <c r="O336" s="16">
        <f>IF('WetLitterbags placem_collection'!G43="N.A","",'WetLitterbags placem_collection'!G43)</f>
        <v>42820</v>
      </c>
      <c r="P336" s="195" t="str">
        <f>IF(IFERROR(INDEX('Both teabags AfterWet'!$C$3:$C$841,MATCH(H336,'Both teabags AfterWet'!$A$3:$A$841,0)),"")="N.A","",(IFERROR(INDEX('Both teabags AfterWet'!$C$3:$C$841,MATCH(H336,'Both teabags AfterWet'!$A$3:$A$841,0)),"")))</f>
        <v/>
      </c>
      <c r="Q336" s="195">
        <f>IFERROR(INDEX('Both teabags AfterWet'!$C$3:$C$841,MATCH(I336,'Both teabags AfterWet'!$A$3:$A$841,0)),"")</f>
        <v>1.5429999999999999</v>
      </c>
      <c r="R336" s="195" t="str">
        <f t="shared" si="39"/>
        <v/>
      </c>
      <c r="S336" s="195">
        <f t="shared" si="39"/>
        <v>1.3923999999999999</v>
      </c>
      <c r="T336" s="195" t="str">
        <f t="shared" si="40"/>
        <v/>
      </c>
      <c r="U336" s="195" t="str">
        <f t="shared" si="41"/>
        <v/>
      </c>
      <c r="V336" s="195">
        <f t="shared" si="42"/>
        <v>0.72324953251610224</v>
      </c>
      <c r="W336">
        <f t="shared" si="37"/>
        <v>54</v>
      </c>
      <c r="X336" s="195" t="str">
        <f t="shared" si="43"/>
        <v/>
      </c>
      <c r="Y336" s="195" t="str">
        <f t="shared" si="44"/>
        <v/>
      </c>
      <c r="Z336" s="255" t="str">
        <f>IF(ISNUMBER(SEARCH("C",'WetLitterbags placem_collection'!W263)),"YES","NO")</f>
        <v>NO</v>
      </c>
      <c r="AA336" s="255" t="str">
        <f>IF(ISNUMBER(SEARCH("H", 'WetLitterbags placem_collection'!Y43)),"YES","NO")</f>
        <v>NO</v>
      </c>
      <c r="AB336" s="255" t="str">
        <f>IF(ISNUMBER(SEARCH("R", 'WetLitterbags placem_collection'!WY43)),"YES","NO")</f>
        <v>NO</v>
      </c>
      <c r="AC336" s="255" t="str">
        <f>IF(ISNUMBER(SEARCH("C", 'WetLitterbags placem_collection'!VX43)),"YES","NO")</f>
        <v>NO</v>
      </c>
      <c r="AD336" s="255" t="str">
        <f>IF(ISNUMBER(SEARCH("H", 'WetLitterbags placem_collection'!X43)),"YES","NO")</f>
        <v>NO</v>
      </c>
      <c r="AE336" s="255" t="str">
        <f>IF(ISNUMBER(SEARCH("R", 'WetLitterbags placem_collection'!X43)),"YES","NO")</f>
        <v>YES</v>
      </c>
    </row>
    <row r="337" spans="2:31">
      <c r="B337" t="str">
        <f>'Final data_for_R_analysis_Wetse'!A483</f>
        <v>Wet</v>
      </c>
      <c r="C337" s="263">
        <f>'Final data_for_R_analysis_Wetse'!B483</f>
        <v>42</v>
      </c>
      <c r="D337" t="s">
        <v>3833</v>
      </c>
      <c r="E337" t="s">
        <v>25</v>
      </c>
      <c r="F337" s="386">
        <v>2</v>
      </c>
      <c r="G337" s="16">
        <f>'WetLitterbags placem_collection'!E44</f>
        <v>42766</v>
      </c>
      <c r="H337" s="92" t="str">
        <f>'Final data_for_R_analysis_Wetse'!J483</f>
        <v>G437</v>
      </c>
      <c r="I337" t="str">
        <f>'Final data_for_R_analysis_Wetse'!J703</f>
        <v>R81</v>
      </c>
      <c r="J337">
        <f>IFERROR(INDEX('Green_rooibos initial weight'!$C$5:$C$1749,MATCH(H337, 'Green_rooibos initial weight'!$A$5:$A$1749,0)),"")</f>
        <v>2.1230000000000002</v>
      </c>
      <c r="K337">
        <f>IFERROR(INDEX('Green_rooibos initial weight'!$C$5:$C$1749,MATCH(I337, 'Green_rooibos initial weight'!$A$5:$A$1749,0)),"")</f>
        <v>2.004</v>
      </c>
      <c r="L337" s="195">
        <f t="shared" si="38"/>
        <v>1.8732000000000002</v>
      </c>
      <c r="M337" s="195">
        <f>AVERAGE(Ashed_controlls!$K$2:$K$11)</f>
        <v>5.5147656768714146</v>
      </c>
      <c r="N337" s="195">
        <f t="shared" si="36"/>
        <v>1.7542</v>
      </c>
      <c r="O337" s="16">
        <f>IF('WetLitterbags placem_collection'!G44="N.A","",'WetLitterbags placem_collection'!G44)</f>
        <v>42820</v>
      </c>
      <c r="P337" s="195">
        <f>IF(IFERROR(INDEX('Both teabags AfterWet'!$C$3:$C$841,MATCH(H337,'Both teabags AfterWet'!$A$3:$A$841,0)),"")="N.A","",(IFERROR(INDEX('Both teabags AfterWet'!$C$3:$C$841,MATCH(H337,'Both teabags AfterWet'!$A$3:$A$841,0)),"")))</f>
        <v>0.64</v>
      </c>
      <c r="Q337" s="195">
        <f>IFERROR(INDEX('Both teabags AfterWet'!$C$3:$C$841,MATCH(I337,'Both teabags AfterWet'!$A$3:$A$841,0)),"")</f>
        <v>1.528</v>
      </c>
      <c r="R337" s="195">
        <f t="shared" si="39"/>
        <v>0.4894</v>
      </c>
      <c r="S337" s="195">
        <f t="shared" si="39"/>
        <v>1.3774</v>
      </c>
      <c r="T337" s="195">
        <f t="shared" si="40"/>
        <v>0.73873585308562895</v>
      </c>
      <c r="U337" s="195">
        <f t="shared" si="41"/>
        <v>0.48430188943380909</v>
      </c>
      <c r="V337" s="195">
        <f t="shared" si="42"/>
        <v>0.785201231330521</v>
      </c>
      <c r="W337">
        <f t="shared" si="37"/>
        <v>54</v>
      </c>
      <c r="X337" s="195">
        <f t="shared" si="43"/>
        <v>0.12264150464889667</v>
      </c>
      <c r="Y337" s="195">
        <f t="shared" si="44"/>
        <v>1.0854231123327503E-2</v>
      </c>
      <c r="Z337" s="255" t="str">
        <f>IF(ISNUMBER(SEARCH("C",'WetLitterbags placem_collection'!W264)),"YES","NO")</f>
        <v>NO</v>
      </c>
      <c r="AA337" s="255" t="str">
        <f>IF(ISNUMBER(SEARCH("H", 'WetLitterbags placem_collection'!Y44)),"YES","NO")</f>
        <v>NO</v>
      </c>
      <c r="AB337" s="255" t="str">
        <f>IF(ISNUMBER(SEARCH("R", 'WetLitterbags placem_collection'!WY44)),"YES","NO")</f>
        <v>NO</v>
      </c>
      <c r="AC337" s="255" t="str">
        <f>IF(ISNUMBER(SEARCH("C", 'WetLitterbags placem_collection'!VX44)),"YES","NO")</f>
        <v>NO</v>
      </c>
      <c r="AD337" s="255" t="str">
        <f>IF(ISNUMBER(SEARCH("H", 'WetLitterbags placem_collection'!X44)),"YES","NO")</f>
        <v>NO</v>
      </c>
      <c r="AE337" s="255" t="str">
        <f>IF(ISNUMBER(SEARCH("R", 'WetLitterbags placem_collection'!X44)),"YES","NO")</f>
        <v>NO</v>
      </c>
    </row>
    <row r="338" spans="2:31">
      <c r="B338" t="str">
        <f>'Final data_for_R_analysis_Wetse'!A484</f>
        <v>Wet</v>
      </c>
      <c r="C338" s="263">
        <f>'Final data_for_R_analysis_Wetse'!B484</f>
        <v>43</v>
      </c>
      <c r="D338" t="s">
        <v>3833</v>
      </c>
      <c r="E338" t="s">
        <v>25</v>
      </c>
      <c r="F338" s="386">
        <v>3</v>
      </c>
      <c r="G338" s="16">
        <f>'WetLitterbags placem_collection'!E45</f>
        <v>42766</v>
      </c>
      <c r="H338" s="92" t="str">
        <f>'Final data_for_R_analysis_Wetse'!J484</f>
        <v>G643</v>
      </c>
      <c r="I338" t="str">
        <f>'Final data_for_R_analysis_Wetse'!J704</f>
        <v>R117</v>
      </c>
      <c r="J338">
        <f>IFERROR(INDEX('Green_rooibos initial weight'!$C$5:$C$1749,MATCH(H338, 'Green_rooibos initial weight'!$A$5:$A$1749,0)),"")</f>
        <v>2.0510000000000002</v>
      </c>
      <c r="K338">
        <f>IFERROR(INDEX('Green_rooibos initial weight'!$C$5:$C$1749,MATCH(I338, 'Green_rooibos initial weight'!$A$5:$A$1749,0)),"")</f>
        <v>2.2029999999999998</v>
      </c>
      <c r="L338" s="195">
        <f t="shared" si="38"/>
        <v>1.8012000000000001</v>
      </c>
      <c r="M338" s="195">
        <f>AVERAGE(Ashed_controlls!$K$2:$K$11)</f>
        <v>5.5147656768714146</v>
      </c>
      <c r="N338" s="195">
        <f t="shared" si="36"/>
        <v>1.9531999999999998</v>
      </c>
      <c r="O338" s="16">
        <f>IF('WetLitterbags placem_collection'!G45="N.A","",'WetLitterbags placem_collection'!G45)</f>
        <v>42820</v>
      </c>
      <c r="P338" s="195">
        <f>IF(IFERROR(INDEX('Both teabags AfterWet'!$C$3:$C$841,MATCH(H338,'Both teabags AfterWet'!$A$3:$A$841,0)),"")="N.A","",(IFERROR(INDEX('Both teabags AfterWet'!$C$3:$C$841,MATCH(H338,'Both teabags AfterWet'!$A$3:$A$841,0)),"")))</f>
        <v>0.74509999999999998</v>
      </c>
      <c r="Q338" s="195">
        <f>IFERROR(INDEX('Both teabags AfterWet'!$C$3:$C$841,MATCH(I338,'Both teabags AfterWet'!$A$3:$A$841,0)),"")</f>
        <v>1.6155999999999999</v>
      </c>
      <c r="R338" s="195">
        <f t="shared" si="39"/>
        <v>0.59450000000000003</v>
      </c>
      <c r="S338" s="195">
        <f t="shared" si="39"/>
        <v>1.4649999999999999</v>
      </c>
      <c r="T338" s="195">
        <f t="shared" si="40"/>
        <v>0.6699422607150789</v>
      </c>
      <c r="U338" s="195">
        <f t="shared" si="41"/>
        <v>0.43920205215525371</v>
      </c>
      <c r="V338" s="195">
        <f t="shared" si="42"/>
        <v>0.75005119803399545</v>
      </c>
      <c r="W338">
        <f t="shared" si="37"/>
        <v>54</v>
      </c>
      <c r="X338" s="195">
        <f t="shared" si="43"/>
        <v>0.20434410841439554</v>
      </c>
      <c r="Y338" s="195">
        <f t="shared" si="44"/>
        <v>1.5590249934211918E-2</v>
      </c>
      <c r="Z338" s="255" t="str">
        <f>IF(ISNUMBER(SEARCH("C",'WetLitterbags placem_collection'!W265)),"YES","NO")</f>
        <v>NO</v>
      </c>
      <c r="AA338" s="255" t="str">
        <f>IF(ISNUMBER(SEARCH("H", 'WetLitterbags placem_collection'!Y45)),"YES","NO")</f>
        <v>NO</v>
      </c>
      <c r="AB338" s="255" t="str">
        <f>IF(ISNUMBER(SEARCH("R", 'WetLitterbags placem_collection'!WY45)),"YES","NO")</f>
        <v>NO</v>
      </c>
      <c r="AC338" s="255" t="str">
        <f>IF(ISNUMBER(SEARCH("C", 'WetLitterbags placem_collection'!VX45)),"YES","NO")</f>
        <v>NO</v>
      </c>
      <c r="AD338" s="255" t="str">
        <f>IF(ISNUMBER(SEARCH("H", 'WetLitterbags placem_collection'!X45)),"YES","NO")</f>
        <v>NO</v>
      </c>
      <c r="AE338" s="255" t="str">
        <f>IF(ISNUMBER(SEARCH("R", 'WetLitterbags placem_collection'!X45)),"YES","NO")</f>
        <v>YES</v>
      </c>
    </row>
    <row r="339" spans="2:31">
      <c r="B339" t="str">
        <f>'Final data_for_R_analysis_Wetse'!A485</f>
        <v>Wet</v>
      </c>
      <c r="C339" s="263">
        <f>'Final data_for_R_analysis_Wetse'!B485</f>
        <v>44</v>
      </c>
      <c r="D339" t="s">
        <v>3833</v>
      </c>
      <c r="E339" t="s">
        <v>25</v>
      </c>
      <c r="F339" s="387">
        <v>4</v>
      </c>
      <c r="G339" s="16">
        <f>'WetLitterbags placem_collection'!E46</f>
        <v>42766</v>
      </c>
      <c r="H339" s="92" t="str">
        <f>'Final data_for_R_analysis_Wetse'!J485</f>
        <v>G283</v>
      </c>
      <c r="I339" t="str">
        <f>'Final data_for_R_analysis_Wetse'!J705</f>
        <v>R6</v>
      </c>
      <c r="J339">
        <f>IFERROR(INDEX('Green_rooibos initial weight'!$C$5:$C$1749,MATCH(H339, 'Green_rooibos initial weight'!$A$5:$A$1749,0)),"")</f>
        <v>1.8660000000000001</v>
      </c>
      <c r="K339">
        <f>IFERROR(INDEX('Green_rooibos initial weight'!$C$5:$C$1749,MATCH(I339, 'Green_rooibos initial weight'!$A$5:$A$1749,0)),"")</f>
        <v>2.226</v>
      </c>
      <c r="L339" s="195">
        <f t="shared" si="38"/>
        <v>1.6162000000000001</v>
      </c>
      <c r="M339" s="195">
        <f>AVERAGE(Ashed_controlls!$K$2:$K$11)</f>
        <v>5.5147656768714146</v>
      </c>
      <c r="N339" s="195">
        <f t="shared" si="36"/>
        <v>1.9762</v>
      </c>
      <c r="O339" s="16">
        <f>IF('WetLitterbags placem_collection'!G46="N.A","",'WetLitterbags placem_collection'!G46)</f>
        <v>42820</v>
      </c>
      <c r="P339" s="195">
        <f>IF(IFERROR(INDEX('Both teabags AfterWet'!$C$3:$C$841,MATCH(H339,'Both teabags AfterWet'!$A$3:$A$841,0)),"")="N.A","",(IFERROR(INDEX('Both teabags AfterWet'!$C$3:$C$841,MATCH(H339,'Both teabags AfterWet'!$A$3:$A$841,0)),"")))</f>
        <v>0.80830000000000002</v>
      </c>
      <c r="Q339" s="195">
        <f>IFERROR(INDEX('Both teabags AfterWet'!$C$3:$C$841,MATCH(I339,'Both teabags AfterWet'!$A$3:$A$841,0)),"")</f>
        <v>1.5294000000000001</v>
      </c>
      <c r="R339" s="195">
        <f t="shared" si="39"/>
        <v>0.65769999999999995</v>
      </c>
      <c r="S339" s="195">
        <f t="shared" si="39"/>
        <v>1.3788</v>
      </c>
      <c r="T339" s="195">
        <f t="shared" si="40"/>
        <v>0.59305778987749047</v>
      </c>
      <c r="U339" s="195">
        <f t="shared" si="41"/>
        <v>0.3887979810123216</v>
      </c>
      <c r="V339" s="195">
        <f t="shared" si="42"/>
        <v>0.6977026616739197</v>
      </c>
      <c r="W339">
        <f t="shared" si="37"/>
        <v>54</v>
      </c>
      <c r="X339" s="195">
        <f t="shared" si="43"/>
        <v>0.29565583149941743</v>
      </c>
      <c r="Y339" s="195">
        <f t="shared" si="44"/>
        <v>2.783163029433855E-2</v>
      </c>
      <c r="Z339" s="255" t="str">
        <f>IF(ISNUMBER(SEARCH("C",'WetLitterbags placem_collection'!W266)),"YES","NO")</f>
        <v>NO</v>
      </c>
      <c r="AA339" s="255" t="str">
        <f>IF(ISNUMBER(SEARCH("H", 'WetLitterbags placem_collection'!Y46)),"YES","NO")</f>
        <v>NO</v>
      </c>
      <c r="AB339" s="255" t="str">
        <f>IF(ISNUMBER(SEARCH("R", 'WetLitterbags placem_collection'!WY46)),"YES","NO")</f>
        <v>NO</v>
      </c>
      <c r="AC339" s="255" t="str">
        <f>IF(ISNUMBER(SEARCH("C", 'WetLitterbags placem_collection'!VX46)),"YES","NO")</f>
        <v>NO</v>
      </c>
      <c r="AD339" s="255" t="str">
        <f>IF(ISNUMBER(SEARCH("H", 'WetLitterbags placem_collection'!X46)),"YES","NO")</f>
        <v>NO</v>
      </c>
      <c r="AE339" s="255" t="str">
        <f>IF(ISNUMBER(SEARCH("R", 'WetLitterbags placem_collection'!X46)),"YES","NO")</f>
        <v>YES</v>
      </c>
    </row>
    <row r="340" spans="2:31">
      <c r="B340" t="str">
        <f>'Final data_for_R_analysis_Wetse'!A486</f>
        <v>Wet</v>
      </c>
      <c r="C340" s="263">
        <f>'Final data_for_R_analysis_Wetse'!B486</f>
        <v>45</v>
      </c>
      <c r="D340" t="s">
        <v>3833</v>
      </c>
      <c r="E340" t="s">
        <v>25</v>
      </c>
      <c r="F340" s="387">
        <v>5</v>
      </c>
      <c r="G340" s="16">
        <f>'WetLitterbags placem_collection'!E47</f>
        <v>42766</v>
      </c>
      <c r="H340" s="92" t="str">
        <f>'Final data_for_R_analysis_Wetse'!J486</f>
        <v>G602</v>
      </c>
      <c r="I340" t="str">
        <f>'Final data_for_R_analysis_Wetse'!J706</f>
        <v>R74</v>
      </c>
      <c r="J340">
        <f>IFERROR(INDEX('Green_rooibos initial weight'!$C$5:$C$1749,MATCH(H340, 'Green_rooibos initial weight'!$A$5:$A$1749,0)),"")</f>
        <v>2.1030000000000002</v>
      </c>
      <c r="K340">
        <f>IFERROR(INDEX('Green_rooibos initial weight'!$C$5:$C$1749,MATCH(I340, 'Green_rooibos initial weight'!$A$5:$A$1749,0)),"")</f>
        <v>2.3340000000000001</v>
      </c>
      <c r="L340" s="195">
        <f t="shared" si="38"/>
        <v>1.8532000000000002</v>
      </c>
      <c r="M340" s="195">
        <f>AVERAGE(Ashed_controlls!$K$2:$K$11)</f>
        <v>5.5147656768714146</v>
      </c>
      <c r="N340" s="195">
        <f t="shared" si="36"/>
        <v>2.0842000000000001</v>
      </c>
      <c r="O340" s="16">
        <f>IF('WetLitterbags placem_collection'!G47="N.A","",'WetLitterbags placem_collection'!G47)</f>
        <v>42820</v>
      </c>
      <c r="P340" s="195">
        <f>IF(IFERROR(INDEX('Both teabags AfterWet'!$C$3:$C$841,MATCH(H340,'Both teabags AfterWet'!$A$3:$A$841,0)),"")="N.A","",(IFERROR(INDEX('Both teabags AfterWet'!$C$3:$C$841,MATCH(H340,'Both teabags AfterWet'!$A$3:$A$841,0)),"")))</f>
        <v>0.77400000000000002</v>
      </c>
      <c r="Q340" s="195">
        <f>IFERROR(INDEX('Both teabags AfterWet'!$C$3:$C$841,MATCH(I340,'Both teabags AfterWet'!$A$3:$A$841,0)),"")</f>
        <v>1.5923</v>
      </c>
      <c r="R340" s="195">
        <f t="shared" si="39"/>
        <v>0.62339999999999995</v>
      </c>
      <c r="S340" s="195">
        <f t="shared" si="39"/>
        <v>1.4417</v>
      </c>
      <c r="T340" s="195">
        <f t="shared" si="40"/>
        <v>0.66360889272609547</v>
      </c>
      <c r="U340" s="195">
        <f t="shared" si="41"/>
        <v>0.43505001043325975</v>
      </c>
      <c r="V340" s="195">
        <f t="shared" si="42"/>
        <v>0.69172824105172248</v>
      </c>
      <c r="W340">
        <f t="shared" si="37"/>
        <v>54</v>
      </c>
      <c r="X340" s="195">
        <f t="shared" si="43"/>
        <v>0.21186592312815267</v>
      </c>
      <c r="Y340" s="195">
        <f t="shared" si="44"/>
        <v>2.2833731147385787E-2</v>
      </c>
      <c r="Z340" s="255" t="str">
        <f>IF(ISNUMBER(SEARCH("C",'WetLitterbags placem_collection'!W267)),"YES","NO")</f>
        <v>NO</v>
      </c>
      <c r="AA340" s="255" t="str">
        <f>IF(ISNUMBER(SEARCH("H", 'WetLitterbags placem_collection'!Y47)),"YES","NO")</f>
        <v>NO</v>
      </c>
      <c r="AB340" s="255" t="str">
        <f>IF(ISNUMBER(SEARCH("R", 'WetLitterbags placem_collection'!WY47)),"YES","NO")</f>
        <v>NO</v>
      </c>
      <c r="AC340" s="255" t="str">
        <f>IF(ISNUMBER(SEARCH("C", 'WetLitterbags placem_collection'!VX47)),"YES","NO")</f>
        <v>NO</v>
      </c>
      <c r="AD340" s="255" t="str">
        <f>IF(ISNUMBER(SEARCH("H", 'WetLitterbags placem_collection'!X47)),"YES","NO")</f>
        <v>NO</v>
      </c>
      <c r="AE340" s="255" t="str">
        <f>IF(ISNUMBER(SEARCH("R", 'WetLitterbags placem_collection'!X47)),"YES","NO")</f>
        <v>YES</v>
      </c>
    </row>
    <row r="341" spans="2:31">
      <c r="B341" t="str">
        <f>'Final data_for_R_analysis_Wetse'!A487</f>
        <v>Wet</v>
      </c>
      <c r="C341" s="263">
        <f>'Final data_for_R_analysis_Wetse'!B487</f>
        <v>46</v>
      </c>
      <c r="D341" t="s">
        <v>3833</v>
      </c>
      <c r="E341" t="s">
        <v>25</v>
      </c>
      <c r="F341" s="387">
        <v>6</v>
      </c>
      <c r="G341" s="16">
        <f>'WetLitterbags placem_collection'!E48</f>
        <v>42766</v>
      </c>
      <c r="H341" s="92" t="str">
        <f>'Final data_for_R_analysis_Wetse'!J487</f>
        <v>G427</v>
      </c>
      <c r="I341" t="str">
        <f>'Final data_for_R_analysis_Wetse'!J707</f>
        <v>R102</v>
      </c>
      <c r="J341">
        <f>IFERROR(INDEX('Green_rooibos initial weight'!$C$5:$C$1749,MATCH(H341, 'Green_rooibos initial weight'!$A$5:$A$1749,0)),"")</f>
        <v>1.8959999999999999</v>
      </c>
      <c r="K341">
        <f>IFERROR(INDEX('Green_rooibos initial weight'!$C$5:$C$1749,MATCH(I341, 'Green_rooibos initial weight'!$A$5:$A$1749,0)),"")</f>
        <v>2.2469999999999999</v>
      </c>
      <c r="L341" s="195">
        <f t="shared" si="38"/>
        <v>1.6461999999999999</v>
      </c>
      <c r="M341" s="195">
        <f>AVERAGE(Ashed_controlls!$K$2:$K$11)</f>
        <v>5.5147656768714146</v>
      </c>
      <c r="N341" s="195">
        <f t="shared" si="36"/>
        <v>1.9971999999999999</v>
      </c>
      <c r="O341" s="16">
        <f>IF('WetLitterbags placem_collection'!G48="N.A","",'WetLitterbags placem_collection'!G48)</f>
        <v>42820</v>
      </c>
      <c r="P341" s="195" t="str">
        <f>IF(IFERROR(INDEX('Both teabags AfterWet'!$C$3:$C$841,MATCH(H341,'Both teabags AfterWet'!$A$3:$A$841,0)),"")="N.A","",(IFERROR(INDEX('Both teabags AfterWet'!$C$3:$C$841,MATCH(H341,'Both teabags AfterWet'!$A$3:$A$841,0)),"")))</f>
        <v/>
      </c>
      <c r="Q341" s="195" t="str">
        <f>IFERROR(INDEX('Both teabags AfterWet'!$C$3:$C$841,MATCH(I341,'Both teabags AfterWet'!$A$3:$A$841,0)),"")</f>
        <v/>
      </c>
      <c r="R341" s="195" t="str">
        <f t="shared" si="39"/>
        <v/>
      </c>
      <c r="S341" s="195" t="str">
        <f t="shared" si="39"/>
        <v/>
      </c>
      <c r="T341" s="195" t="str">
        <f t="shared" si="40"/>
        <v/>
      </c>
      <c r="U341" s="195" t="str">
        <f t="shared" si="41"/>
        <v/>
      </c>
      <c r="V341" s="195" t="str">
        <f t="shared" si="42"/>
        <v/>
      </c>
      <c r="W341">
        <f t="shared" si="37"/>
        <v>54</v>
      </c>
      <c r="X341" s="195" t="str">
        <f t="shared" si="43"/>
        <v/>
      </c>
      <c r="Y341" s="195" t="str">
        <f t="shared" si="44"/>
        <v/>
      </c>
      <c r="Z341" s="255" t="str">
        <f>IF(ISNUMBER(SEARCH("C",'WetLitterbags placem_collection'!W268)),"YES","NO")</f>
        <v>NO</v>
      </c>
      <c r="AA341" s="255" t="str">
        <f>IF(ISNUMBER(SEARCH("H", 'WetLitterbags placem_collection'!Y48)),"YES","NO")</f>
        <v>NO</v>
      </c>
      <c r="AB341" s="255" t="str">
        <f>IF(ISNUMBER(SEARCH("R", 'WetLitterbags placem_collection'!WY48)),"YES","NO")</f>
        <v>NO</v>
      </c>
      <c r="AC341" s="255" t="str">
        <f>IF(ISNUMBER(SEARCH("C", 'WetLitterbags placem_collection'!VX48)),"YES","NO")</f>
        <v>NO</v>
      </c>
      <c r="AD341" s="255" t="str">
        <f>IF(ISNUMBER(SEARCH("H", 'WetLitterbags placem_collection'!X48)),"YES","NO")</f>
        <v>NO</v>
      </c>
      <c r="AE341" s="255" t="str">
        <f>IF(ISNUMBER(SEARCH("R", 'WetLitterbags placem_collection'!X48)),"YES","NO")</f>
        <v>NO</v>
      </c>
    </row>
    <row r="342" spans="2:31">
      <c r="B342" t="str">
        <f>'Final data_for_R_analysis_Wetse'!A488</f>
        <v>Wet</v>
      </c>
      <c r="C342" s="263">
        <f>'Final data_for_R_analysis_Wetse'!B488</f>
        <v>47</v>
      </c>
      <c r="D342" t="s">
        <v>3833</v>
      </c>
      <c r="E342" t="s">
        <v>25</v>
      </c>
      <c r="F342" s="387">
        <v>7</v>
      </c>
      <c r="G342" s="16">
        <f>'WetLitterbags placem_collection'!E49</f>
        <v>42766</v>
      </c>
      <c r="H342" s="92" t="str">
        <f>'Final data_for_R_analysis_Wetse'!J488</f>
        <v>G512</v>
      </c>
      <c r="I342" t="str">
        <f>'Final data_for_R_analysis_Wetse'!J708</f>
        <v>R76</v>
      </c>
      <c r="J342">
        <f>IFERROR(INDEX('Green_rooibos initial weight'!$C$5:$C$1749,MATCH(H342, 'Green_rooibos initial weight'!$A$5:$A$1749,0)),"")</f>
        <v>2.0939999999999999</v>
      </c>
      <c r="K342">
        <f>IFERROR(INDEX('Green_rooibos initial weight'!$C$5:$C$1749,MATCH(I342, 'Green_rooibos initial weight'!$A$5:$A$1749,0)),"")</f>
        <v>2.2970000000000002</v>
      </c>
      <c r="L342" s="195">
        <f t="shared" si="38"/>
        <v>1.8441999999999998</v>
      </c>
      <c r="M342" s="195">
        <f>AVERAGE(Ashed_controlls!$K$2:$K$11)</f>
        <v>5.5147656768714146</v>
      </c>
      <c r="N342" s="195">
        <f t="shared" si="36"/>
        <v>2.0472000000000001</v>
      </c>
      <c r="O342" s="16">
        <f>IF('WetLitterbags placem_collection'!G49="N.A","",'WetLitterbags placem_collection'!G49)</f>
        <v>42820</v>
      </c>
      <c r="P342" s="195">
        <f>IF(IFERROR(INDEX('Both teabags AfterWet'!$C$3:$C$841,MATCH(H342,'Both teabags AfterWet'!$A$3:$A$841,0)),"")="N.A","",(IFERROR(INDEX('Both teabags AfterWet'!$C$3:$C$841,MATCH(H342,'Both teabags AfterWet'!$A$3:$A$841,0)),"")))</f>
        <v>0.77500000000000002</v>
      </c>
      <c r="Q342" s="195">
        <f>IFERROR(INDEX('Both teabags AfterWet'!$C$3:$C$841,MATCH(I342,'Both teabags AfterWet'!$A$3:$A$841,0)),"")</f>
        <v>1.665</v>
      </c>
      <c r="R342" s="195">
        <f t="shared" si="39"/>
        <v>0.62440000000000007</v>
      </c>
      <c r="S342" s="195">
        <f t="shared" si="39"/>
        <v>1.5144</v>
      </c>
      <c r="T342" s="195">
        <f t="shared" si="40"/>
        <v>0.66142500813360794</v>
      </c>
      <c r="U342" s="195">
        <f t="shared" si="41"/>
        <v>0.43361829511846983</v>
      </c>
      <c r="V342" s="195">
        <f t="shared" si="42"/>
        <v>0.73974208675263764</v>
      </c>
      <c r="W342">
        <f t="shared" si="37"/>
        <v>54</v>
      </c>
      <c r="X342" s="195">
        <f t="shared" si="43"/>
        <v>0.21445961029262717</v>
      </c>
      <c r="Y342" s="195">
        <f t="shared" si="44"/>
        <v>1.6977631162683086E-2</v>
      </c>
      <c r="Z342" s="255" t="str">
        <f>IF(ISNUMBER(SEARCH("C",'WetLitterbags placem_collection'!W269)),"YES","NO")</f>
        <v>NO</v>
      </c>
      <c r="AA342" s="255" t="str">
        <f>IF(ISNUMBER(SEARCH("H", 'WetLitterbags placem_collection'!Y49)),"YES","NO")</f>
        <v>NO</v>
      </c>
      <c r="AB342" s="255" t="str">
        <f>IF(ISNUMBER(SEARCH("R", 'WetLitterbags placem_collection'!WY49)),"YES","NO")</f>
        <v>NO</v>
      </c>
      <c r="AC342" s="255" t="str">
        <f>IF(ISNUMBER(SEARCH("C", 'WetLitterbags placem_collection'!VX49)),"YES","NO")</f>
        <v>NO</v>
      </c>
      <c r="AD342" s="255" t="str">
        <f>IF(ISNUMBER(SEARCH("H", 'WetLitterbags placem_collection'!X49)),"YES","NO")</f>
        <v>NO</v>
      </c>
      <c r="AE342" s="255" t="str">
        <f>IF(ISNUMBER(SEARCH("R", 'WetLitterbags placem_collection'!X49)),"YES","NO")</f>
        <v>YES</v>
      </c>
    </row>
    <row r="343" spans="2:31">
      <c r="B343" t="str">
        <f>'Final data_for_R_analysis_Wetse'!A489</f>
        <v>Wet</v>
      </c>
      <c r="C343" s="263">
        <f>'Final data_for_R_analysis_Wetse'!B489</f>
        <v>48</v>
      </c>
      <c r="D343" t="s">
        <v>3833</v>
      </c>
      <c r="E343" t="s">
        <v>25</v>
      </c>
      <c r="F343" s="387">
        <v>8</v>
      </c>
      <c r="G343" s="16">
        <f>'WetLitterbags placem_collection'!E50</f>
        <v>42766</v>
      </c>
      <c r="H343" s="92" t="str">
        <f>'Final data_for_R_analysis_Wetse'!J489</f>
        <v>G299</v>
      </c>
      <c r="I343" t="str">
        <f>'Final data_for_R_analysis_Wetse'!J709</f>
        <v>R107</v>
      </c>
      <c r="J343">
        <f>IFERROR(INDEX('Green_rooibos initial weight'!$C$5:$C$1749,MATCH(H343, 'Green_rooibos initial weight'!$A$5:$A$1749,0)),"")</f>
        <v>2.0110000000000001</v>
      </c>
      <c r="K343">
        <f>IFERROR(INDEX('Green_rooibos initial weight'!$C$5:$C$1749,MATCH(I343, 'Green_rooibos initial weight'!$A$5:$A$1749,0)),"")</f>
        <v>2.19</v>
      </c>
      <c r="L343" s="195">
        <f t="shared" si="38"/>
        <v>1.7612000000000001</v>
      </c>
      <c r="M343" s="195">
        <f>AVERAGE(Ashed_controlls!$K$2:$K$11)</f>
        <v>5.5147656768714146</v>
      </c>
      <c r="N343" s="195">
        <f t="shared" si="36"/>
        <v>1.9401999999999999</v>
      </c>
      <c r="O343" s="16">
        <f>IF('WetLitterbags placem_collection'!G50="N.A","",'WetLitterbags placem_collection'!G50)</f>
        <v>42820</v>
      </c>
      <c r="P343" s="195">
        <f>IF(IFERROR(INDEX('Both teabags AfterWet'!$C$3:$C$841,MATCH(H343,'Both teabags AfterWet'!$A$3:$A$841,0)),"")="N.A","",(IFERROR(INDEX('Both teabags AfterWet'!$C$3:$C$841,MATCH(H343,'Both teabags AfterWet'!$A$3:$A$841,0)),"")))</f>
        <v>0.88100000000000001</v>
      </c>
      <c r="Q343" s="195">
        <f>IFERROR(INDEX('Both teabags AfterWet'!$C$3:$C$841,MATCH(I343,'Both teabags AfterWet'!$A$3:$A$841,0)),"")</f>
        <v>1.5349999999999999</v>
      </c>
      <c r="R343" s="195">
        <f t="shared" si="39"/>
        <v>0.73039999999999994</v>
      </c>
      <c r="S343" s="195">
        <f t="shared" si="39"/>
        <v>1.3843999999999999</v>
      </c>
      <c r="T343" s="195">
        <f t="shared" si="40"/>
        <v>0.58528276175335003</v>
      </c>
      <c r="U343" s="195">
        <f t="shared" si="41"/>
        <v>0.38370081293093733</v>
      </c>
      <c r="V343" s="195">
        <f t="shared" si="42"/>
        <v>0.71353468714565504</v>
      </c>
      <c r="W343">
        <f t="shared" si="37"/>
        <v>54</v>
      </c>
      <c r="X343" s="195">
        <f t="shared" si="43"/>
        <v>0.30488983164685268</v>
      </c>
      <c r="Y343" s="195">
        <f t="shared" si="44"/>
        <v>2.5420874888905164E-2</v>
      </c>
      <c r="Z343" s="255" t="str">
        <f>IF(ISNUMBER(SEARCH("C",'WetLitterbags placem_collection'!W270)),"YES","NO")</f>
        <v>NO</v>
      </c>
      <c r="AA343" s="255" t="str">
        <f>IF(ISNUMBER(SEARCH("H", 'WetLitterbags placem_collection'!Y50)),"YES","NO")</f>
        <v>NO</v>
      </c>
      <c r="AB343" s="255" t="str">
        <f>IF(ISNUMBER(SEARCH("R", 'WetLitterbags placem_collection'!WY50)),"YES","NO")</f>
        <v>NO</v>
      </c>
      <c r="AC343" s="255" t="str">
        <f>IF(ISNUMBER(SEARCH("C", 'WetLitterbags placem_collection'!VX50)),"YES","NO")</f>
        <v>NO</v>
      </c>
      <c r="AD343" s="255" t="str">
        <f>IF(ISNUMBER(SEARCH("H", 'WetLitterbags placem_collection'!X50)),"YES","NO")</f>
        <v>NO</v>
      </c>
      <c r="AE343" s="255" t="str">
        <f>IF(ISNUMBER(SEARCH("R", 'WetLitterbags placem_collection'!X50)),"YES","NO")</f>
        <v>YES</v>
      </c>
    </row>
    <row r="344" spans="2:31">
      <c r="B344" t="str">
        <f>'Final data_for_R_analysis_Wetse'!A490</f>
        <v>Wet</v>
      </c>
      <c r="C344" s="263">
        <f>'Final data_for_R_analysis_Wetse'!B490</f>
        <v>49</v>
      </c>
      <c r="D344" t="s">
        <v>3834</v>
      </c>
      <c r="E344" t="s">
        <v>25</v>
      </c>
      <c r="F344" s="386">
        <v>1</v>
      </c>
      <c r="G344" s="16">
        <f>'WetLitterbags placem_collection'!E51</f>
        <v>42766</v>
      </c>
      <c r="H344" s="92" t="str">
        <f>'Final data_for_R_analysis_Wetse'!J490</f>
        <v>G739</v>
      </c>
      <c r="I344" t="str">
        <f>'Final data_for_R_analysis_Wetse'!J710</f>
        <v>R155</v>
      </c>
      <c r="J344">
        <f>IFERROR(INDEX('Green_rooibos initial weight'!$C$5:$C$1749,MATCH(H344, 'Green_rooibos initial weight'!$A$5:$A$1749,0)),"")</f>
        <v>2.0499999999999998</v>
      </c>
      <c r="K344">
        <f>IFERROR(INDEX('Green_rooibos initial weight'!$C$5:$C$1749,MATCH(I344, 'Green_rooibos initial weight'!$A$5:$A$1749,0)),"")</f>
        <v>2.206</v>
      </c>
      <c r="L344" s="195">
        <f t="shared" si="38"/>
        <v>1.8001999999999998</v>
      </c>
      <c r="M344" s="195">
        <f>AVERAGE(Ashed_controlls!$K$2:$K$11)</f>
        <v>5.5147656768714146</v>
      </c>
      <c r="N344" s="195">
        <f t="shared" si="36"/>
        <v>1.9561999999999999</v>
      </c>
      <c r="O344" s="16">
        <f>IF('WetLitterbags placem_collection'!G51="N.A","",'WetLitterbags placem_collection'!G51)</f>
        <v>42820</v>
      </c>
      <c r="P344" s="195">
        <f>IF(IFERROR(INDEX('Both teabags AfterWet'!$C$3:$C$841,MATCH(H344,'Both teabags AfterWet'!$A$3:$A$841,0)),"")="N.A","",(IFERROR(INDEX('Both teabags AfterWet'!$C$3:$C$841,MATCH(H344,'Both teabags AfterWet'!$A$3:$A$841,0)),"")))</f>
        <v>0.87490000000000001</v>
      </c>
      <c r="Q344" s="195">
        <f>IFERROR(INDEX('Both teabags AfterWet'!$C$3:$C$841,MATCH(I344,'Both teabags AfterWet'!$A$3:$A$841,0)),"")</f>
        <v>1.5909</v>
      </c>
      <c r="R344" s="195">
        <f t="shared" si="39"/>
        <v>0.72429999999999994</v>
      </c>
      <c r="S344" s="195">
        <f t="shared" si="39"/>
        <v>1.4402999999999999</v>
      </c>
      <c r="T344" s="195">
        <f t="shared" si="40"/>
        <v>0.59765581602044215</v>
      </c>
      <c r="U344" s="195">
        <f t="shared" si="41"/>
        <v>0.39181236394689323</v>
      </c>
      <c r="V344" s="195">
        <f t="shared" si="42"/>
        <v>0.73627440956957368</v>
      </c>
      <c r="W344">
        <f t="shared" si="37"/>
        <v>54</v>
      </c>
      <c r="X344" s="195">
        <f t="shared" si="43"/>
        <v>0.29019499284983119</v>
      </c>
      <c r="Y344" s="195">
        <f t="shared" si="44"/>
        <v>2.0705094619619342E-2</v>
      </c>
      <c r="Z344" s="255" t="str">
        <f>IF(ISNUMBER(SEARCH("C",'WetLitterbags placem_collection'!W271)),"YES","NO")</f>
        <v>NO</v>
      </c>
      <c r="AA344" s="255" t="str">
        <f>IF(ISNUMBER(SEARCH("H", 'WetLitterbags placem_collection'!Y51)),"YES","NO")</f>
        <v>NO</v>
      </c>
      <c r="AB344" s="255" t="str">
        <f>IF(ISNUMBER(SEARCH("R", 'WetLitterbags placem_collection'!WY51)),"YES","NO")</f>
        <v>NO</v>
      </c>
      <c r="AC344" s="255" t="str">
        <f>IF(ISNUMBER(SEARCH("C", 'WetLitterbags placem_collection'!VX51)),"YES","NO")</f>
        <v>NO</v>
      </c>
      <c r="AD344" s="255" t="str">
        <f>IF(ISNUMBER(SEARCH("H", 'WetLitterbags placem_collection'!X51)),"YES","NO")</f>
        <v>NO</v>
      </c>
      <c r="AE344" s="255" t="str">
        <f>IF(ISNUMBER(SEARCH("R", 'WetLitterbags placem_collection'!X51)),"YES","NO")</f>
        <v>YES</v>
      </c>
    </row>
    <row r="345" spans="2:31">
      <c r="B345" t="str">
        <f>'Final data_for_R_analysis_Wetse'!A491</f>
        <v>Wet</v>
      </c>
      <c r="C345" s="263">
        <f>'Final data_for_R_analysis_Wetse'!B491</f>
        <v>50</v>
      </c>
      <c r="D345" t="s">
        <v>3834</v>
      </c>
      <c r="E345" t="s">
        <v>25</v>
      </c>
      <c r="F345" s="386">
        <v>2</v>
      </c>
      <c r="G345" s="16">
        <f>'WetLitterbags placem_collection'!E52</f>
        <v>42766</v>
      </c>
      <c r="H345" s="92" t="str">
        <f>'Final data_for_R_analysis_Wetse'!J491</f>
        <v>G559</v>
      </c>
      <c r="I345" t="str">
        <f>'Final data_for_R_analysis_Wetse'!J711</f>
        <v>R98</v>
      </c>
      <c r="J345">
        <f>IFERROR(INDEX('Green_rooibos initial weight'!$C$5:$C$1749,MATCH(H345, 'Green_rooibos initial weight'!$A$5:$A$1749,0)),"")</f>
        <v>2.085</v>
      </c>
      <c r="K345">
        <f>IFERROR(INDEX('Green_rooibos initial weight'!$C$5:$C$1749,MATCH(I345, 'Green_rooibos initial weight'!$A$5:$A$1749,0)),"")</f>
        <v>2.1960000000000002</v>
      </c>
      <c r="L345" s="195">
        <f t="shared" si="38"/>
        <v>1.8351999999999999</v>
      </c>
      <c r="M345" s="195">
        <f>AVERAGE(Ashed_controlls!$K$2:$K$11)</f>
        <v>5.5147656768714146</v>
      </c>
      <c r="N345" s="195">
        <f t="shared" si="36"/>
        <v>1.9462000000000002</v>
      </c>
      <c r="O345" s="16">
        <f>IF('WetLitterbags placem_collection'!G52="N.A","",'WetLitterbags placem_collection'!G52)</f>
        <v>42820</v>
      </c>
      <c r="P345" s="195" t="str">
        <f>IF(IFERROR(INDEX('Both teabags AfterWet'!$C$3:$C$841,MATCH(H345,'Both teabags AfterWet'!$A$3:$A$841,0)),"")="N.A","",(IFERROR(INDEX('Both teabags AfterWet'!$C$3:$C$841,MATCH(H345,'Both teabags AfterWet'!$A$3:$A$841,0)),"")))</f>
        <v/>
      </c>
      <c r="Q345" s="195" t="str">
        <f>IFERROR(INDEX('Both teabags AfterWet'!$C$3:$C$841,MATCH(I345,'Both teabags AfterWet'!$A$3:$A$841,0)),"")</f>
        <v/>
      </c>
      <c r="R345" s="195" t="str">
        <f t="shared" si="39"/>
        <v/>
      </c>
      <c r="S345" s="195" t="str">
        <f t="shared" si="39"/>
        <v/>
      </c>
      <c r="T345" s="195" t="str">
        <f t="shared" si="40"/>
        <v/>
      </c>
      <c r="U345" s="195" t="str">
        <f t="shared" si="41"/>
        <v/>
      </c>
      <c r="V345" s="195" t="str">
        <f t="shared" si="42"/>
        <v/>
      </c>
      <c r="W345">
        <f t="shared" si="37"/>
        <v>54</v>
      </c>
      <c r="X345" s="195" t="str">
        <f t="shared" si="43"/>
        <v/>
      </c>
      <c r="Y345" s="195" t="str">
        <f t="shared" si="44"/>
        <v/>
      </c>
      <c r="Z345" s="255" t="str">
        <f>IF(ISNUMBER(SEARCH("C",'WetLitterbags placem_collection'!W272)),"YES","NO")</f>
        <v>NO</v>
      </c>
      <c r="AA345" s="255" t="str">
        <f>IF(ISNUMBER(SEARCH("H", 'WetLitterbags placem_collection'!Y52)),"YES","NO")</f>
        <v>NO</v>
      </c>
      <c r="AB345" s="255" t="str">
        <f>IF(ISNUMBER(SEARCH("R", 'WetLitterbags placem_collection'!WY52)),"YES","NO")</f>
        <v>NO</v>
      </c>
      <c r="AC345" s="255" t="str">
        <f>IF(ISNUMBER(SEARCH("C", 'WetLitterbags placem_collection'!VX52)),"YES","NO")</f>
        <v>NO</v>
      </c>
      <c r="AD345" s="255" t="str">
        <f>IF(ISNUMBER(SEARCH("H", 'WetLitterbags placem_collection'!X52)),"YES","NO")</f>
        <v>NO</v>
      </c>
      <c r="AE345" s="255" t="str">
        <f>IF(ISNUMBER(SEARCH("R", 'WetLitterbags placem_collection'!X52)),"YES","NO")</f>
        <v>NO</v>
      </c>
    </row>
    <row r="346" spans="2:31">
      <c r="B346" t="str">
        <f>'Final data_for_R_analysis_Wetse'!A492</f>
        <v>Wet</v>
      </c>
      <c r="C346" s="263">
        <f>'Final data_for_R_analysis_Wetse'!B492</f>
        <v>51</v>
      </c>
      <c r="D346" t="s">
        <v>3834</v>
      </c>
      <c r="E346" t="s">
        <v>25</v>
      </c>
      <c r="F346" s="386">
        <v>3</v>
      </c>
      <c r="G346" s="16">
        <f>'WetLitterbags placem_collection'!E53</f>
        <v>42766</v>
      </c>
      <c r="H346" s="92" t="str">
        <f>'Final data_for_R_analysis_Wetse'!J492</f>
        <v>G856</v>
      </c>
      <c r="I346" t="str">
        <f>'Final data_for_R_analysis_Wetse'!J712</f>
        <v>R29</v>
      </c>
      <c r="J346">
        <f>IFERROR(INDEX('Green_rooibos initial weight'!$C$5:$C$1749,MATCH(H346, 'Green_rooibos initial weight'!$A$5:$A$1749,0)),"")</f>
        <v>1.9370000000000001</v>
      </c>
      <c r="K346">
        <f>IFERROR(INDEX('Green_rooibos initial weight'!$C$5:$C$1749,MATCH(I346, 'Green_rooibos initial weight'!$A$5:$A$1749,0)),"")</f>
        <v>2.2400000000000002</v>
      </c>
      <c r="L346" s="195">
        <f t="shared" si="38"/>
        <v>1.6872</v>
      </c>
      <c r="M346" s="195">
        <f>AVERAGE(Ashed_controlls!$K$2:$K$11)</f>
        <v>5.5147656768714146</v>
      </c>
      <c r="N346" s="195">
        <f t="shared" si="36"/>
        <v>1.9902000000000002</v>
      </c>
      <c r="O346" s="16">
        <f>IF('WetLitterbags placem_collection'!G53="N.A","",'WetLitterbags placem_collection'!G53)</f>
        <v>42820</v>
      </c>
      <c r="P346" s="195">
        <f>IF(IFERROR(INDEX('Both teabags AfterWet'!$C$3:$C$841,MATCH(H346,'Both teabags AfterWet'!$A$3:$A$841,0)),"")="N.A","",(IFERROR(INDEX('Both teabags AfterWet'!$C$3:$C$841,MATCH(H346,'Both teabags AfterWet'!$A$3:$A$841,0)),"")))</f>
        <v>0.77600000000000002</v>
      </c>
      <c r="Q346" s="195">
        <f>IFERROR(INDEX('Both teabags AfterWet'!$C$3:$C$841,MATCH(I346,'Both teabags AfterWet'!$A$3:$A$841,0)),"")</f>
        <v>1.4950000000000001</v>
      </c>
      <c r="R346" s="195">
        <f t="shared" si="39"/>
        <v>0.62539999999999996</v>
      </c>
      <c r="S346" s="195">
        <f t="shared" si="39"/>
        <v>1.3444</v>
      </c>
      <c r="T346" s="195">
        <f t="shared" si="40"/>
        <v>0.6293266951161689</v>
      </c>
      <c r="U346" s="195">
        <f t="shared" si="41"/>
        <v>0.4125752205512177</v>
      </c>
      <c r="V346" s="195">
        <f t="shared" si="42"/>
        <v>0.6755099989950758</v>
      </c>
      <c r="W346">
        <f t="shared" si="37"/>
        <v>54</v>
      </c>
      <c r="X346" s="195">
        <f t="shared" si="43"/>
        <v>0.25258112218982309</v>
      </c>
      <c r="Y346" s="195">
        <f t="shared" si="44"/>
        <v>2.8594699855354417E-2</v>
      </c>
      <c r="Z346" s="255" t="str">
        <f>IF(ISNUMBER(SEARCH("C",'WetLitterbags placem_collection'!W273)),"YES","NO")</f>
        <v>NO</v>
      </c>
      <c r="AA346" s="255" t="str">
        <f>IF(ISNUMBER(SEARCH("H", 'WetLitterbags placem_collection'!Y53)),"YES","NO")</f>
        <v>NO</v>
      </c>
      <c r="AB346" s="255" t="str">
        <f>IF(ISNUMBER(SEARCH("R", 'WetLitterbags placem_collection'!WY53)),"YES","NO")</f>
        <v>NO</v>
      </c>
      <c r="AC346" s="255" t="str">
        <f>IF(ISNUMBER(SEARCH("C", 'WetLitterbags placem_collection'!VX53)),"YES","NO")</f>
        <v>NO</v>
      </c>
      <c r="AD346" s="255" t="str">
        <f>IF(ISNUMBER(SEARCH("H", 'WetLitterbags placem_collection'!X53)),"YES","NO")</f>
        <v>NO</v>
      </c>
      <c r="AE346" s="255" t="str">
        <f>IF(ISNUMBER(SEARCH("R", 'WetLitterbags placem_collection'!X53)),"YES","NO")</f>
        <v>YES</v>
      </c>
    </row>
    <row r="347" spans="2:31">
      <c r="B347" t="str">
        <f>'Final data_for_R_analysis_Wetse'!A493</f>
        <v>Wet</v>
      </c>
      <c r="C347" s="263">
        <f>'Final data_for_R_analysis_Wetse'!B493</f>
        <v>52</v>
      </c>
      <c r="D347" t="s">
        <v>3834</v>
      </c>
      <c r="E347" t="s">
        <v>25</v>
      </c>
      <c r="F347" s="387">
        <v>4</v>
      </c>
      <c r="G347" s="16">
        <f>'WetLitterbags placem_collection'!E54</f>
        <v>42766</v>
      </c>
      <c r="H347" s="92" t="str">
        <f>'Final data_for_R_analysis_Wetse'!J493</f>
        <v>G599</v>
      </c>
      <c r="I347" t="str">
        <f>'Final data_for_R_analysis_Wetse'!J713</f>
        <v>R312</v>
      </c>
      <c r="J347">
        <f>IFERROR(INDEX('Green_rooibos initial weight'!$C$5:$C$1749,MATCH(H347, 'Green_rooibos initial weight'!$A$5:$A$1749,0)),"")</f>
        <v>2.0760000000000001</v>
      </c>
      <c r="K347">
        <f>IFERROR(INDEX('Green_rooibos initial weight'!$C$5:$C$1749,MATCH(I347, 'Green_rooibos initial weight'!$A$5:$A$1749,0)),"")</f>
        <v>2.2360000000000002</v>
      </c>
      <c r="L347" s="195">
        <f t="shared" si="38"/>
        <v>1.8262</v>
      </c>
      <c r="M347" s="195">
        <f>AVERAGE(Ashed_controlls!$K$2:$K$11)</f>
        <v>5.5147656768714146</v>
      </c>
      <c r="N347" s="195">
        <f t="shared" si="36"/>
        <v>1.9862000000000002</v>
      </c>
      <c r="O347" s="16">
        <f>IF('WetLitterbags placem_collection'!G54="N.A","",'WetLitterbags placem_collection'!G54)</f>
        <v>42820</v>
      </c>
      <c r="P347" s="195">
        <f>IF(IFERROR(INDEX('Both teabags AfterWet'!$C$3:$C$841,MATCH(H347,'Both teabags AfterWet'!$A$3:$A$841,0)),"")="N.A","",(IFERROR(INDEX('Both teabags AfterWet'!$C$3:$C$841,MATCH(H347,'Both teabags AfterWet'!$A$3:$A$841,0)),"")))</f>
        <v>0.88200000000000001</v>
      </c>
      <c r="Q347" s="195">
        <f>IFERROR(INDEX('Both teabags AfterWet'!$C$3:$C$841,MATCH(I347,'Both teabags AfterWet'!$A$3:$A$841,0)),"")</f>
        <v>1.546</v>
      </c>
      <c r="R347" s="195">
        <f t="shared" si="39"/>
        <v>0.73140000000000005</v>
      </c>
      <c r="S347" s="195">
        <f t="shared" si="39"/>
        <v>1.3954</v>
      </c>
      <c r="T347" s="195">
        <f t="shared" si="40"/>
        <v>0.59949622166246852</v>
      </c>
      <c r="U347" s="195">
        <f t="shared" si="41"/>
        <v>0.39301890066233097</v>
      </c>
      <c r="V347" s="195">
        <f t="shared" si="42"/>
        <v>0.70254757829020231</v>
      </c>
      <c r="W347">
        <f t="shared" si="37"/>
        <v>54</v>
      </c>
      <c r="X347" s="195">
        <f t="shared" si="43"/>
        <v>0.28800923793055988</v>
      </c>
      <c r="Y347" s="195">
        <f t="shared" si="44"/>
        <v>2.6185844148217393E-2</v>
      </c>
      <c r="Z347" s="255" t="str">
        <f>IF(ISNUMBER(SEARCH("C",'WetLitterbags placem_collection'!W274)),"YES","NO")</f>
        <v>NO</v>
      </c>
      <c r="AA347" s="255" t="str">
        <f>IF(ISNUMBER(SEARCH("H", 'WetLitterbags placem_collection'!Y54)),"YES","NO")</f>
        <v>NO</v>
      </c>
      <c r="AB347" s="255" t="str">
        <f>IF(ISNUMBER(SEARCH("R", 'WetLitterbags placem_collection'!WY54)),"YES","NO")</f>
        <v>NO</v>
      </c>
      <c r="AC347" s="255" t="str">
        <f>IF(ISNUMBER(SEARCH("C", 'WetLitterbags placem_collection'!VX54)),"YES","NO")</f>
        <v>NO</v>
      </c>
      <c r="AD347" s="255" t="str">
        <f>IF(ISNUMBER(SEARCH("H", 'WetLitterbags placem_collection'!X54)),"YES","NO")</f>
        <v>NO</v>
      </c>
      <c r="AE347" s="255" t="str">
        <f>IF(ISNUMBER(SEARCH("R", 'WetLitterbags placem_collection'!X54)),"YES","NO")</f>
        <v>YES</v>
      </c>
    </row>
    <row r="348" spans="2:31">
      <c r="B348" t="str">
        <f>'Final data_for_R_analysis_Wetse'!A494</f>
        <v>Wet</v>
      </c>
      <c r="C348" s="263">
        <f>'Final data_for_R_analysis_Wetse'!B494</f>
        <v>53</v>
      </c>
      <c r="D348" t="s">
        <v>3834</v>
      </c>
      <c r="E348" t="s">
        <v>25</v>
      </c>
      <c r="F348" s="387">
        <v>5</v>
      </c>
      <c r="G348" s="16">
        <f>'WetLitterbags placem_collection'!E55</f>
        <v>42766</v>
      </c>
      <c r="H348" s="92" t="str">
        <f>'Final data_for_R_analysis_Wetse'!J494</f>
        <v>G683</v>
      </c>
      <c r="I348" t="str">
        <f>'Final data_for_R_analysis_Wetse'!J714</f>
        <v>R113</v>
      </c>
      <c r="J348">
        <f>IFERROR(INDEX('Green_rooibos initial weight'!$C$5:$C$1749,MATCH(H348, 'Green_rooibos initial weight'!$A$5:$A$1749,0)),"")</f>
        <v>2.1179999999999999</v>
      </c>
      <c r="K348">
        <f>IFERROR(INDEX('Green_rooibos initial weight'!$C$5:$C$1749,MATCH(I348, 'Green_rooibos initial weight'!$A$5:$A$1749,0)),"")</f>
        <v>2.202</v>
      </c>
      <c r="L348" s="195">
        <f t="shared" si="38"/>
        <v>1.8681999999999999</v>
      </c>
      <c r="M348" s="195">
        <f>AVERAGE(Ashed_controlls!$K$2:$K$11)</f>
        <v>5.5147656768714146</v>
      </c>
      <c r="N348" s="195">
        <f t="shared" si="36"/>
        <v>1.9521999999999999</v>
      </c>
      <c r="O348" s="16">
        <f>IF('WetLitterbags placem_collection'!G55="N.A","",'WetLitterbags placem_collection'!G55)</f>
        <v>42820</v>
      </c>
      <c r="P348" s="195" t="str">
        <f>IF(IFERROR(INDEX('Both teabags AfterWet'!$C$3:$C$841,MATCH(H348,'Both teabags AfterWet'!$A$3:$A$841,0)),"")="N.A","",(IFERROR(INDEX('Both teabags AfterWet'!$C$3:$C$841,MATCH(H348,'Both teabags AfterWet'!$A$3:$A$841,0)),"")))</f>
        <v/>
      </c>
      <c r="Q348" s="195" t="str">
        <f>IFERROR(INDEX('Both teabags AfterWet'!$C$3:$C$841,MATCH(I348,'Both teabags AfterWet'!$A$3:$A$841,0)),"")</f>
        <v/>
      </c>
      <c r="R348" s="195" t="str">
        <f t="shared" si="39"/>
        <v/>
      </c>
      <c r="S348" s="195" t="str">
        <f t="shared" si="39"/>
        <v/>
      </c>
      <c r="T348" s="195" t="str">
        <f t="shared" si="40"/>
        <v/>
      </c>
      <c r="U348" s="195" t="str">
        <f t="shared" si="41"/>
        <v/>
      </c>
      <c r="V348" s="195" t="str">
        <f t="shared" si="42"/>
        <v/>
      </c>
      <c r="W348">
        <f t="shared" si="37"/>
        <v>54</v>
      </c>
      <c r="X348" s="195" t="str">
        <f t="shared" si="43"/>
        <v/>
      </c>
      <c r="Y348" s="195" t="str">
        <f t="shared" si="44"/>
        <v/>
      </c>
      <c r="Z348" s="255" t="str">
        <f>IF(ISNUMBER(SEARCH("C",'WetLitterbags placem_collection'!W275)),"YES","NO")</f>
        <v>NO</v>
      </c>
      <c r="AA348" s="255" t="str">
        <f>IF(ISNUMBER(SEARCH("H", 'WetLitterbags placem_collection'!Y55)),"YES","NO")</f>
        <v>NO</v>
      </c>
      <c r="AB348" s="255" t="str">
        <f>IF(ISNUMBER(SEARCH("R", 'WetLitterbags placem_collection'!WY55)),"YES","NO")</f>
        <v>NO</v>
      </c>
      <c r="AC348" s="255" t="str">
        <f>IF(ISNUMBER(SEARCH("C", 'WetLitterbags placem_collection'!VX55)),"YES","NO")</f>
        <v>NO</v>
      </c>
      <c r="AD348" s="255" t="str">
        <f>IF(ISNUMBER(SEARCH("H", 'WetLitterbags placem_collection'!X55)),"YES","NO")</f>
        <v>NO</v>
      </c>
      <c r="AE348" s="255" t="str">
        <f>IF(ISNUMBER(SEARCH("R", 'WetLitterbags placem_collection'!X55)),"YES","NO")</f>
        <v>NO</v>
      </c>
    </row>
    <row r="349" spans="2:31">
      <c r="B349" t="str">
        <f>'Final data_for_R_analysis_Wetse'!A495</f>
        <v>Wet</v>
      </c>
      <c r="C349" s="263">
        <f>'Final data_for_R_analysis_Wetse'!B495</f>
        <v>54</v>
      </c>
      <c r="D349" t="s">
        <v>3834</v>
      </c>
      <c r="E349" t="s">
        <v>25</v>
      </c>
      <c r="F349" s="387">
        <v>6</v>
      </c>
      <c r="G349" s="16">
        <f>'WetLitterbags placem_collection'!E56</f>
        <v>42766</v>
      </c>
      <c r="H349" s="92" t="str">
        <f>'Final data_for_R_analysis_Wetse'!J495</f>
        <v>G288</v>
      </c>
      <c r="I349" t="str">
        <f>'Final data_for_R_analysis_Wetse'!J715</f>
        <v>R441</v>
      </c>
      <c r="J349">
        <f>IFERROR(INDEX('Green_rooibos initial weight'!$C$5:$C$1749,MATCH(H349, 'Green_rooibos initial weight'!$A$5:$A$1749,0)),"")</f>
        <v>1.9830000000000001</v>
      </c>
      <c r="K349">
        <f>IFERROR(INDEX('Green_rooibos initial weight'!$C$5:$C$1749,MATCH(I349, 'Green_rooibos initial weight'!$A$5:$A$1749,0)),"")</f>
        <v>2.1280000000000001</v>
      </c>
      <c r="L349" s="195">
        <f t="shared" si="38"/>
        <v>1.7332000000000001</v>
      </c>
      <c r="M349" s="195">
        <f>AVERAGE(Ashed_controlls!$K$2:$K$11)</f>
        <v>5.5147656768714146</v>
      </c>
      <c r="N349" s="195">
        <f t="shared" si="36"/>
        <v>1.8782000000000001</v>
      </c>
      <c r="O349" s="16">
        <f>IF('WetLitterbags placem_collection'!G56="N.A","",'WetLitterbags placem_collection'!G56)</f>
        <v>42820</v>
      </c>
      <c r="P349" s="195" t="str">
        <f>IF(IFERROR(INDEX('Both teabags AfterWet'!$C$3:$C$841,MATCH(H349,'Both teabags AfterWet'!$A$3:$A$841,0)),"")="N.A","",(IFERROR(INDEX('Both teabags AfterWet'!$C$3:$C$841,MATCH(H349,'Both teabags AfterWet'!$A$3:$A$841,0)),"")))</f>
        <v/>
      </c>
      <c r="Q349" s="195" t="str">
        <f>IFERROR(INDEX('Both teabags AfterWet'!$C$3:$C$841,MATCH(I349,'Both teabags AfterWet'!$A$3:$A$841,0)),"")</f>
        <v/>
      </c>
      <c r="R349" s="195" t="str">
        <f t="shared" si="39"/>
        <v/>
      </c>
      <c r="S349" s="195" t="str">
        <f t="shared" si="39"/>
        <v/>
      </c>
      <c r="T349" s="195" t="str">
        <f t="shared" si="40"/>
        <v/>
      </c>
      <c r="U349" s="195" t="str">
        <f t="shared" si="41"/>
        <v/>
      </c>
      <c r="V349" s="195" t="str">
        <f t="shared" si="42"/>
        <v/>
      </c>
      <c r="W349">
        <f t="shared" si="37"/>
        <v>54</v>
      </c>
      <c r="X349" s="195" t="str">
        <f t="shared" si="43"/>
        <v/>
      </c>
      <c r="Y349" s="195" t="str">
        <f t="shared" si="44"/>
        <v/>
      </c>
      <c r="Z349" s="255" t="str">
        <f>IF(ISNUMBER(SEARCH("C",'WetLitterbags placem_collection'!W276)),"YES","NO")</f>
        <v>NO</v>
      </c>
      <c r="AA349" s="255" t="str">
        <f>IF(ISNUMBER(SEARCH("H", 'WetLitterbags placem_collection'!Y56)),"YES","NO")</f>
        <v>NO</v>
      </c>
      <c r="AB349" s="255" t="str">
        <f>IF(ISNUMBER(SEARCH("R", 'WetLitterbags placem_collection'!WY56)),"YES","NO")</f>
        <v>NO</v>
      </c>
      <c r="AC349" s="255" t="str">
        <f>IF(ISNUMBER(SEARCH("C", 'WetLitterbags placem_collection'!VX56)),"YES","NO")</f>
        <v>NO</v>
      </c>
      <c r="AD349" s="255" t="str">
        <f>IF(ISNUMBER(SEARCH("H", 'WetLitterbags placem_collection'!X56)),"YES","NO")</f>
        <v>NO</v>
      </c>
      <c r="AE349" s="255" t="str">
        <f>IF(ISNUMBER(SEARCH("R", 'WetLitterbags placem_collection'!X56)),"YES","NO")</f>
        <v>NO</v>
      </c>
    </row>
    <row r="350" spans="2:31">
      <c r="B350" t="str">
        <f>'Final data_for_R_analysis_Wetse'!A496</f>
        <v>Wet</v>
      </c>
      <c r="C350" s="263">
        <f>'Final data_for_R_analysis_Wetse'!B496</f>
        <v>55</v>
      </c>
      <c r="D350" t="s">
        <v>3834</v>
      </c>
      <c r="E350" t="s">
        <v>25</v>
      </c>
      <c r="F350" s="387">
        <v>7</v>
      </c>
      <c r="G350" s="16">
        <f>'WetLitterbags placem_collection'!E57</f>
        <v>42766</v>
      </c>
      <c r="H350" s="92" t="str">
        <f>'Final data_for_R_analysis_Wetse'!J496</f>
        <v>G616</v>
      </c>
      <c r="I350" t="str">
        <f>'Final data_for_R_analysis_Wetse'!J716</f>
        <v>R54b</v>
      </c>
      <c r="J350">
        <f>IFERROR(INDEX('Green_rooibos initial weight'!$C$5:$C$1749,MATCH(H350, 'Green_rooibos initial weight'!$A$5:$A$1749,0)),"")</f>
        <v>1.978</v>
      </c>
      <c r="K350" t="str">
        <f>IFERROR(INDEX('Green_rooibos initial weight'!$C$5:$C$1749,MATCH(I350, 'Green_rooibos initial weight'!$A$5:$A$1749,0)),"")</f>
        <v/>
      </c>
      <c r="L350" s="195">
        <f t="shared" si="38"/>
        <v>1.7282</v>
      </c>
      <c r="M350" s="195">
        <f>AVERAGE(Ashed_controlls!$K$2:$K$11)</f>
        <v>5.5147656768714146</v>
      </c>
      <c r="N350" s="195" t="e">
        <f t="shared" si="36"/>
        <v>#VALUE!</v>
      </c>
      <c r="O350" s="16">
        <f>IF('WetLitterbags placem_collection'!G57="N.A","",'WetLitterbags placem_collection'!G57)</f>
        <v>42820</v>
      </c>
      <c r="P350" s="195">
        <f>IF(IFERROR(INDEX('Both teabags AfterWet'!$C$3:$C$841,MATCH(H350,'Both teabags AfterWet'!$A$3:$A$841,0)),"")="N.A","",(IFERROR(INDEX('Both teabags AfterWet'!$C$3:$C$841,MATCH(H350,'Both teabags AfterWet'!$A$3:$A$841,0)),"")))</f>
        <v>0.93200000000000005</v>
      </c>
      <c r="Q350" s="195">
        <f>IFERROR(INDEX('Both teabags AfterWet'!$C$3:$C$841,MATCH(I350,'Both teabags AfterWet'!$A$3:$A$841,0)),"")</f>
        <v>1.5207999999999999</v>
      </c>
      <c r="R350" s="195">
        <f t="shared" si="39"/>
        <v>0.78140000000000009</v>
      </c>
      <c r="S350" s="195">
        <f t="shared" si="39"/>
        <v>1.3701999999999999</v>
      </c>
      <c r="T350" s="195">
        <f t="shared" si="40"/>
        <v>0.54785325772480031</v>
      </c>
      <c r="U350" s="195">
        <f t="shared" si="41"/>
        <v>0.35916270577682874</v>
      </c>
      <c r="V350" s="195" t="str">
        <f t="shared" si="42"/>
        <v/>
      </c>
      <c r="W350">
        <f t="shared" si="37"/>
        <v>54</v>
      </c>
      <c r="X350" s="195">
        <f t="shared" si="43"/>
        <v>0.34934292431733927</v>
      </c>
      <c r="Y350" s="195" t="str">
        <f t="shared" si="44"/>
        <v/>
      </c>
      <c r="Z350" s="255" t="str">
        <f>IF(ISNUMBER(SEARCH("C",'WetLitterbags placem_collection'!W277)),"YES","NO")</f>
        <v>NO</v>
      </c>
      <c r="AA350" s="255" t="str">
        <f>IF(ISNUMBER(SEARCH("H", 'WetLitterbags placem_collection'!Y57)),"YES","NO")</f>
        <v>NO</v>
      </c>
      <c r="AB350" s="255" t="str">
        <f>IF(ISNUMBER(SEARCH("R", 'WetLitterbags placem_collection'!WY57)),"YES","NO")</f>
        <v>NO</v>
      </c>
      <c r="AC350" s="255" t="str">
        <f>IF(ISNUMBER(SEARCH("C", 'WetLitterbags placem_collection'!VX57)),"YES","NO")</f>
        <v>NO</v>
      </c>
      <c r="AD350" s="255" t="str">
        <f>IF(ISNUMBER(SEARCH("H", 'WetLitterbags placem_collection'!X57)),"YES","NO")</f>
        <v>NO</v>
      </c>
      <c r="AE350" s="255" t="str">
        <f>IF(ISNUMBER(SEARCH("R", 'WetLitterbags placem_collection'!X57)),"YES","NO")</f>
        <v>YES</v>
      </c>
    </row>
    <row r="351" spans="2:31">
      <c r="B351" t="str">
        <f>'Final data_for_R_analysis_Wetse'!A497</f>
        <v>Wet</v>
      </c>
      <c r="C351" s="263">
        <f>'Final data_for_R_analysis_Wetse'!B497</f>
        <v>56</v>
      </c>
      <c r="D351" t="s">
        <v>3834</v>
      </c>
      <c r="E351" t="s">
        <v>25</v>
      </c>
      <c r="F351" s="387">
        <v>8</v>
      </c>
      <c r="G351" s="16">
        <f>'WetLitterbags placem_collection'!E58</f>
        <v>42766</v>
      </c>
      <c r="H351" s="92" t="str">
        <f>'Final data_for_R_analysis_Wetse'!J497</f>
        <v>G557</v>
      </c>
      <c r="I351" t="str">
        <f>'Final data_for_R_analysis_Wetse'!J717</f>
        <v>R58</v>
      </c>
      <c r="J351">
        <f>IFERROR(INDEX('Green_rooibos initial weight'!$C$5:$C$1749,MATCH(H351, 'Green_rooibos initial weight'!$A$5:$A$1749,0)),"")</f>
        <v>2.12</v>
      </c>
      <c r="K351">
        <f>IFERROR(INDEX('Green_rooibos initial weight'!$C$5:$C$1749,MATCH(I351, 'Green_rooibos initial weight'!$A$5:$A$1749,0)),"")</f>
        <v>2.1760000000000002</v>
      </c>
      <c r="L351" s="195">
        <f t="shared" si="38"/>
        <v>1.8702000000000001</v>
      </c>
      <c r="M351" s="195">
        <f>AVERAGE(Ashed_controlls!$K$2:$K$11)</f>
        <v>5.5147656768714146</v>
      </c>
      <c r="N351" s="195">
        <f t="shared" si="36"/>
        <v>1.9262000000000001</v>
      </c>
      <c r="O351" s="16">
        <f>IF('WetLitterbags placem_collection'!G58="N.A","",'WetLitterbags placem_collection'!G58)</f>
        <v>42820</v>
      </c>
      <c r="P351" s="195">
        <f>IF(IFERROR(INDEX('Both teabags AfterWet'!$C$3:$C$841,MATCH(H351,'Both teabags AfterWet'!$A$3:$A$841,0)),"")="N.A","",(IFERROR(INDEX('Both teabags AfterWet'!$C$3:$C$841,MATCH(H351,'Both teabags AfterWet'!$A$3:$A$841,0)),"")))</f>
        <v>0.74399999999999999</v>
      </c>
      <c r="Q351" s="195">
        <f>IFERROR(INDEX('Both teabags AfterWet'!$C$3:$C$841,MATCH(I351,'Both teabags AfterWet'!$A$3:$A$841,0)),"")</f>
        <v>1.5980000000000001</v>
      </c>
      <c r="R351" s="195">
        <f t="shared" si="39"/>
        <v>0.59339999999999993</v>
      </c>
      <c r="S351" s="195">
        <f t="shared" si="39"/>
        <v>1.4474</v>
      </c>
      <c r="T351" s="195">
        <f t="shared" si="40"/>
        <v>0.68270773179339117</v>
      </c>
      <c r="U351" s="195">
        <f t="shared" si="41"/>
        <v>0.44757086454863654</v>
      </c>
      <c r="V351" s="195">
        <f t="shared" si="42"/>
        <v>0.75142768144533278</v>
      </c>
      <c r="W351">
        <f t="shared" si="37"/>
        <v>54</v>
      </c>
      <c r="X351" s="195">
        <f t="shared" si="43"/>
        <v>0.18918321639739766</v>
      </c>
      <c r="Y351" s="195">
        <f t="shared" si="44"/>
        <v>1.5009951177338386E-2</v>
      </c>
      <c r="Z351" s="255" t="str">
        <f>IF(ISNUMBER(SEARCH("C",'WetLitterbags placem_collection'!W278)),"YES","NO")</f>
        <v>NO</v>
      </c>
      <c r="AA351" s="255" t="str">
        <f>IF(ISNUMBER(SEARCH("H", 'WetLitterbags placem_collection'!Y58)),"YES","NO")</f>
        <v>NO</v>
      </c>
      <c r="AB351" s="255" t="str">
        <f>IF(ISNUMBER(SEARCH("R", 'WetLitterbags placem_collection'!WY58)),"YES","NO")</f>
        <v>NO</v>
      </c>
      <c r="AC351" s="255" t="str">
        <f>IF(ISNUMBER(SEARCH("C", 'WetLitterbags placem_collection'!VX58)),"YES","NO")</f>
        <v>NO</v>
      </c>
      <c r="AD351" s="255" t="str">
        <f>IF(ISNUMBER(SEARCH("H", 'WetLitterbags placem_collection'!X58)),"YES","NO")</f>
        <v>NO</v>
      </c>
      <c r="AE351" s="255" t="str">
        <f>IF(ISNUMBER(SEARCH("R", 'WetLitterbags placem_collection'!X58)),"YES","NO")</f>
        <v>YES</v>
      </c>
    </row>
    <row r="352" spans="2:31">
      <c r="B352" t="str">
        <f>'Final data_for_R_analysis_Wetse'!A498</f>
        <v>Wet</v>
      </c>
      <c r="C352" s="263">
        <f>'Final data_for_R_analysis_Wetse'!B498</f>
        <v>57</v>
      </c>
      <c r="D352" t="s">
        <v>3835</v>
      </c>
      <c r="E352" t="s">
        <v>25</v>
      </c>
      <c r="F352" s="386">
        <v>1</v>
      </c>
      <c r="G352" s="16">
        <f>'WetLitterbags placem_collection'!E59</f>
        <v>42766</v>
      </c>
      <c r="H352" s="92" t="str">
        <f>'Final data_for_R_analysis_Wetse'!J498</f>
        <v>G618</v>
      </c>
      <c r="I352" t="str">
        <f>'Final data_for_R_analysis_Wetse'!J718</f>
        <v>R435</v>
      </c>
      <c r="J352">
        <f>IFERROR(INDEX('Green_rooibos initial weight'!$C$5:$C$1749,MATCH(H352, 'Green_rooibos initial weight'!$A$5:$A$1749,0)),"")</f>
        <v>2.0449999999999999</v>
      </c>
      <c r="K352">
        <f>IFERROR(INDEX('Green_rooibos initial weight'!$C$5:$C$1749,MATCH(I352, 'Green_rooibos initial weight'!$A$5:$A$1749,0)),"")</f>
        <v>2.141</v>
      </c>
      <c r="L352" s="195">
        <f t="shared" si="38"/>
        <v>1.7951999999999999</v>
      </c>
      <c r="M352" s="195">
        <f>AVERAGE(Ashed_controlls!$K$2:$K$11)</f>
        <v>5.5147656768714146</v>
      </c>
      <c r="N352" s="195">
        <f t="shared" si="36"/>
        <v>1.8912</v>
      </c>
      <c r="O352" s="16">
        <f>IF('WetLitterbags placem_collection'!G59="N.A","",'WetLitterbags placem_collection'!G59)</f>
        <v>42820</v>
      </c>
      <c r="P352" s="195">
        <f>IF(IFERROR(INDEX('Both teabags AfterWet'!$C$3:$C$841,MATCH(H352,'Both teabags AfterWet'!$A$3:$A$841,0)),"")="N.A","",(IFERROR(INDEX('Both teabags AfterWet'!$C$3:$C$841,MATCH(H352,'Both teabags AfterWet'!$A$3:$A$841,0)),"")))</f>
        <v>0.88129999999999997</v>
      </c>
      <c r="Q352" s="195">
        <f>IFERROR(INDEX('Both teabags AfterWet'!$C$3:$C$841,MATCH(I352,'Both teabags AfterWet'!$A$3:$A$841,0)),"")</f>
        <v>1.4594</v>
      </c>
      <c r="R352" s="195">
        <f t="shared" si="39"/>
        <v>0.73069999999999991</v>
      </c>
      <c r="S352" s="195">
        <f t="shared" si="39"/>
        <v>1.3088</v>
      </c>
      <c r="T352" s="195">
        <f t="shared" si="40"/>
        <v>0.59297014260249559</v>
      </c>
      <c r="U352" s="195">
        <f t="shared" si="41"/>
        <v>0.38874052104106599</v>
      </c>
      <c r="V352" s="195">
        <f t="shared" si="42"/>
        <v>0.69204737732656507</v>
      </c>
      <c r="W352">
        <f t="shared" si="37"/>
        <v>54</v>
      </c>
      <c r="X352" s="195">
        <f t="shared" si="43"/>
        <v>0.29575992565024278</v>
      </c>
      <c r="Y352" s="195">
        <f t="shared" si="44"/>
        <v>2.9094164784998048E-2</v>
      </c>
      <c r="Z352" s="255" t="str">
        <f>IF(ISNUMBER(SEARCH("C",'WetLitterbags placem_collection'!W279)),"YES","NO")</f>
        <v>NO</v>
      </c>
      <c r="AA352" s="255" t="str">
        <f>IF(ISNUMBER(SEARCH("H", 'WetLitterbags placem_collection'!Y59)),"YES","NO")</f>
        <v>NO</v>
      </c>
      <c r="AB352" s="255" t="str">
        <f>IF(ISNUMBER(SEARCH("R", 'WetLitterbags placem_collection'!WY59)),"YES","NO")</f>
        <v>NO</v>
      </c>
      <c r="AC352" s="255" t="str">
        <f>IF(ISNUMBER(SEARCH("C", 'WetLitterbags placem_collection'!VX59)),"YES","NO")</f>
        <v>NO</v>
      </c>
      <c r="AD352" s="255" t="str">
        <f>IF(ISNUMBER(SEARCH("H", 'WetLitterbags placem_collection'!X59)),"YES","NO")</f>
        <v>NO</v>
      </c>
      <c r="AE352" s="255" t="str">
        <f>IF(ISNUMBER(SEARCH("R", 'WetLitterbags placem_collection'!X59)),"YES","NO")</f>
        <v>YES</v>
      </c>
    </row>
    <row r="353" spans="2:31">
      <c r="B353" t="str">
        <f>'Final data_for_R_analysis_Wetse'!A499</f>
        <v>Wet</v>
      </c>
      <c r="C353" s="263">
        <f>'Final data_for_R_analysis_Wetse'!B499</f>
        <v>58</v>
      </c>
      <c r="D353" t="s">
        <v>3835</v>
      </c>
      <c r="E353" t="s">
        <v>25</v>
      </c>
      <c r="F353" s="386">
        <v>2</v>
      </c>
      <c r="G353" s="16">
        <f>'WetLitterbags placem_collection'!E60</f>
        <v>42766</v>
      </c>
      <c r="H353" s="92" t="str">
        <f>'Final data_for_R_analysis_Wetse'!J499</f>
        <v>G593</v>
      </c>
      <c r="I353" t="str">
        <f>'Final data_for_R_analysis_Wetse'!J719</f>
        <v>R31</v>
      </c>
      <c r="J353">
        <f>IFERROR(INDEX('Green_rooibos initial weight'!$C$5:$C$1749,MATCH(H353, 'Green_rooibos initial weight'!$A$5:$A$1749,0)),"")</f>
        <v>2.093</v>
      </c>
      <c r="K353">
        <f>IFERROR(INDEX('Green_rooibos initial weight'!$C$5:$C$1749,MATCH(I353, 'Green_rooibos initial weight'!$A$5:$A$1749,0)),"")</f>
        <v>2.1589999999999998</v>
      </c>
      <c r="L353" s="195">
        <f t="shared" si="38"/>
        <v>1.8431999999999999</v>
      </c>
      <c r="M353" s="195">
        <f>AVERAGE(Ashed_controlls!$K$2:$K$11)</f>
        <v>5.5147656768714146</v>
      </c>
      <c r="N353" s="195">
        <f t="shared" si="36"/>
        <v>1.9091999999999998</v>
      </c>
      <c r="O353" s="16">
        <f>IF('WetLitterbags placem_collection'!G60="N.A","",'WetLitterbags placem_collection'!G60)</f>
        <v>42820</v>
      </c>
      <c r="P353" s="195">
        <f>IF(IFERROR(INDEX('Both teabags AfterWet'!$C$3:$C$841,MATCH(H353,'Both teabags AfterWet'!$A$3:$A$841,0)),"")="N.A","",(IFERROR(INDEX('Both teabags AfterWet'!$C$3:$C$841,MATCH(H353,'Both teabags AfterWet'!$A$3:$A$841,0)),"")))</f>
        <v>0.97009999999999996</v>
      </c>
      <c r="Q353" s="195">
        <f>IFERROR(INDEX('Both teabags AfterWet'!$C$3:$C$841,MATCH(I353,'Both teabags AfterWet'!$A$3:$A$841,0)),"")</f>
        <v>1.1857</v>
      </c>
      <c r="R353" s="195">
        <f t="shared" si="39"/>
        <v>0.8194999999999999</v>
      </c>
      <c r="S353" s="195">
        <f t="shared" si="39"/>
        <v>1.0350999999999999</v>
      </c>
      <c r="T353" s="195">
        <f t="shared" si="40"/>
        <v>0.55539279513888895</v>
      </c>
      <c r="U353" s="195">
        <f t="shared" si="41"/>
        <v>0.36410549039984169</v>
      </c>
      <c r="V353" s="195">
        <f t="shared" si="42"/>
        <v>0.54216425728053641</v>
      </c>
      <c r="W353">
        <f t="shared" si="37"/>
        <v>54</v>
      </c>
      <c r="X353" s="195">
        <f t="shared" si="43"/>
        <v>0.34038860434811291</v>
      </c>
      <c r="Y353" s="195" t="str">
        <f t="shared" si="44"/>
        <v/>
      </c>
      <c r="Z353" s="255" t="str">
        <f>IF(ISNUMBER(SEARCH("C",'WetLitterbags placem_collection'!W280)),"YES","NO")</f>
        <v>NO</v>
      </c>
      <c r="AA353" s="255" t="str">
        <f>IF(ISNUMBER(SEARCH("H", 'WetLitterbags placem_collection'!Y60)),"YES","NO")</f>
        <v>NO</v>
      </c>
      <c r="AB353" s="255" t="str">
        <f>IF(ISNUMBER(SEARCH("R", 'WetLitterbags placem_collection'!WY60)),"YES","NO")</f>
        <v>NO</v>
      </c>
      <c r="AC353" s="255" t="str">
        <f>IF(ISNUMBER(SEARCH("C", 'WetLitterbags placem_collection'!VX60)),"YES","NO")</f>
        <v>NO</v>
      </c>
      <c r="AD353" s="255" t="str">
        <f>IF(ISNUMBER(SEARCH("H", 'WetLitterbags placem_collection'!X60)),"YES","NO")</f>
        <v>NO</v>
      </c>
      <c r="AE353" s="255" t="str">
        <f>IF(ISNUMBER(SEARCH("R", 'WetLitterbags placem_collection'!X60)),"YES","NO")</f>
        <v>YES</v>
      </c>
    </row>
    <row r="354" spans="2:31">
      <c r="B354" t="str">
        <f>'Final data_for_R_analysis_Wetse'!A500</f>
        <v>Wet</v>
      </c>
      <c r="C354" s="263">
        <f>'Final data_for_R_analysis_Wetse'!B500</f>
        <v>59</v>
      </c>
      <c r="D354" t="s">
        <v>3835</v>
      </c>
      <c r="E354" t="s">
        <v>25</v>
      </c>
      <c r="F354" s="386">
        <v>3</v>
      </c>
      <c r="G354" s="16">
        <f>'WetLitterbags placem_collection'!E61</f>
        <v>42766</v>
      </c>
      <c r="H354" s="92" t="str">
        <f>'Final data_for_R_analysis_Wetse'!J500</f>
        <v>G600</v>
      </c>
      <c r="I354" t="str">
        <f>'Final data_for_R_analysis_Wetse'!J720</f>
        <v>R120</v>
      </c>
      <c r="J354">
        <f>IFERROR(INDEX('Green_rooibos initial weight'!$C$5:$C$1749,MATCH(H354, 'Green_rooibos initial weight'!$A$5:$A$1749,0)),"")</f>
        <v>2.0049999999999999</v>
      </c>
      <c r="K354">
        <f>IFERROR(INDEX('Green_rooibos initial weight'!$C$5:$C$1749,MATCH(I354, 'Green_rooibos initial weight'!$A$5:$A$1749,0)),"")</f>
        <v>2.2450000000000001</v>
      </c>
      <c r="L354" s="195">
        <f t="shared" si="38"/>
        <v>1.7551999999999999</v>
      </c>
      <c r="M354" s="195">
        <f>AVERAGE(Ashed_controlls!$K$2:$K$11)</f>
        <v>5.5147656768714146</v>
      </c>
      <c r="N354" s="195">
        <f t="shared" si="36"/>
        <v>1.9952000000000001</v>
      </c>
      <c r="O354" s="16">
        <f>IF('WetLitterbags placem_collection'!G61="N.A","",'WetLitterbags placem_collection'!G61)</f>
        <v>42820</v>
      </c>
      <c r="P354" s="195">
        <f>IF(IFERROR(INDEX('Both teabags AfterWet'!$C$3:$C$841,MATCH(H354,'Both teabags AfterWet'!$A$3:$A$841,0)),"")="N.A","",(IFERROR(INDEX('Both teabags AfterWet'!$C$3:$C$841,MATCH(H354,'Both teabags AfterWet'!$A$3:$A$841,0)),"")))</f>
        <v>0.90200000000000002</v>
      </c>
      <c r="Q354" s="195">
        <f>IFERROR(INDEX('Both teabags AfterWet'!$C$3:$C$841,MATCH(I354,'Both teabags AfterWet'!$A$3:$A$841,0)),"")</f>
        <v>1.4690000000000001</v>
      </c>
      <c r="R354" s="195">
        <f t="shared" si="39"/>
        <v>0.75140000000000007</v>
      </c>
      <c r="S354" s="195">
        <f t="shared" si="39"/>
        <v>1.3184</v>
      </c>
      <c r="T354" s="195">
        <f t="shared" si="40"/>
        <v>0.57190063810391978</v>
      </c>
      <c r="U354" s="195">
        <f t="shared" si="41"/>
        <v>0.37492773424389997</v>
      </c>
      <c r="V354" s="195">
        <f t="shared" si="42"/>
        <v>0.66078588612670408</v>
      </c>
      <c r="W354">
        <f t="shared" si="37"/>
        <v>54</v>
      </c>
      <c r="X354" s="195">
        <f t="shared" si="43"/>
        <v>0.32078309013786244</v>
      </c>
      <c r="Y354" s="195">
        <f t="shared" si="44"/>
        <v>4.3540762216786329E-2</v>
      </c>
      <c r="Z354" s="255" t="str">
        <f>IF(ISNUMBER(SEARCH("C",'WetLitterbags placem_collection'!W281)),"YES","NO")</f>
        <v>NO</v>
      </c>
      <c r="AA354" s="255" t="str">
        <f>IF(ISNUMBER(SEARCH("H", 'WetLitterbags placem_collection'!Y61)),"YES","NO")</f>
        <v>NO</v>
      </c>
      <c r="AB354" s="255" t="str">
        <f>IF(ISNUMBER(SEARCH("R", 'WetLitterbags placem_collection'!WY61)),"YES","NO")</f>
        <v>NO</v>
      </c>
      <c r="AC354" s="255" t="str">
        <f>IF(ISNUMBER(SEARCH("C", 'WetLitterbags placem_collection'!VX61)),"YES","NO")</f>
        <v>NO</v>
      </c>
      <c r="AD354" s="255" t="str">
        <f>IF(ISNUMBER(SEARCH("H", 'WetLitterbags placem_collection'!X61)),"YES","NO")</f>
        <v>NO</v>
      </c>
      <c r="AE354" s="255" t="str">
        <f>IF(ISNUMBER(SEARCH("R", 'WetLitterbags placem_collection'!X61)),"YES","NO")</f>
        <v>NO</v>
      </c>
    </row>
    <row r="355" spans="2:31">
      <c r="B355" t="str">
        <f>'Final data_for_R_analysis_Wetse'!A501</f>
        <v>Wet</v>
      </c>
      <c r="C355" s="263">
        <f>'Final data_for_R_analysis_Wetse'!B501</f>
        <v>60</v>
      </c>
      <c r="D355" t="s">
        <v>3835</v>
      </c>
      <c r="E355" t="s">
        <v>25</v>
      </c>
      <c r="F355" s="387">
        <v>4</v>
      </c>
      <c r="G355" s="16">
        <f>'WetLitterbags placem_collection'!E62</f>
        <v>42766</v>
      </c>
      <c r="H355" s="92" t="str">
        <f>'Final data_for_R_analysis_Wetse'!J501</f>
        <v>G535</v>
      </c>
      <c r="I355" t="str">
        <f>'Final data_for_R_analysis_Wetse'!J721</f>
        <v>R390</v>
      </c>
      <c r="J355">
        <f>IFERROR(INDEX('Green_rooibos initial weight'!$C$5:$C$1749,MATCH(H355, 'Green_rooibos initial weight'!$A$5:$A$1749,0)),"")</f>
        <v>2.0920000000000001</v>
      </c>
      <c r="K355">
        <f>IFERROR(INDEX('Green_rooibos initial weight'!$C$5:$C$1749,MATCH(I355, 'Green_rooibos initial weight'!$A$5:$A$1749,0)),"")</f>
        <v>2.2480000000000002</v>
      </c>
      <c r="L355" s="195">
        <f t="shared" si="38"/>
        <v>1.8422000000000001</v>
      </c>
      <c r="M355" s="195">
        <f>AVERAGE(Ashed_controlls!$K$2:$K$11)</f>
        <v>5.5147656768714146</v>
      </c>
      <c r="N355" s="195">
        <f t="shared" si="36"/>
        <v>1.9982000000000002</v>
      </c>
      <c r="O355" s="16">
        <f>IF('WetLitterbags placem_collection'!G62="N.A","",'WetLitterbags placem_collection'!G62)</f>
        <v>42820</v>
      </c>
      <c r="P355" s="195">
        <f>IF(IFERROR(INDEX('Both teabags AfterWet'!$C$3:$C$841,MATCH(H355,'Both teabags AfterWet'!$A$3:$A$841,0)),"")="N.A","",(IFERROR(INDEX('Both teabags AfterWet'!$C$3:$C$841,MATCH(H355,'Both teabags AfterWet'!$A$3:$A$841,0)),"")))</f>
        <v>0.78</v>
      </c>
      <c r="Q355" s="195">
        <f>IFERROR(INDEX('Both teabags AfterWet'!$C$3:$C$841,MATCH(I355,'Both teabags AfterWet'!$A$3:$A$841,0)),"")</f>
        <v>1.5309999999999999</v>
      </c>
      <c r="R355" s="195">
        <f t="shared" si="39"/>
        <v>0.62939999999999996</v>
      </c>
      <c r="S355" s="195">
        <f t="shared" si="39"/>
        <v>1.3803999999999998</v>
      </c>
      <c r="T355" s="195">
        <f t="shared" si="40"/>
        <v>0.65834328520247531</v>
      </c>
      <c r="U355" s="195">
        <f t="shared" si="41"/>
        <v>0.43159797319687221</v>
      </c>
      <c r="V355" s="195">
        <f t="shared" si="42"/>
        <v>0.69082173956560888</v>
      </c>
      <c r="W355">
        <f t="shared" si="37"/>
        <v>54</v>
      </c>
      <c r="X355" s="195">
        <f t="shared" si="43"/>
        <v>0.21811961377378231</v>
      </c>
      <c r="Y355" s="195">
        <f t="shared" si="44"/>
        <v>2.3334057930723615E-2</v>
      </c>
      <c r="Z355" s="255" t="str">
        <f>IF(ISNUMBER(SEARCH("C",'WetLitterbags placem_collection'!W282)),"YES","NO")</f>
        <v>NO</v>
      </c>
      <c r="AA355" s="255" t="str">
        <f>IF(ISNUMBER(SEARCH("H", 'WetLitterbags placem_collection'!Y62)),"YES","NO")</f>
        <v>YES</v>
      </c>
      <c r="AB355" s="255" t="str">
        <f>IF(ISNUMBER(SEARCH("R", 'WetLitterbags placem_collection'!WY62)),"YES","NO")</f>
        <v>NO</v>
      </c>
      <c r="AC355" s="255" t="str">
        <f>IF(ISNUMBER(SEARCH("C", 'WetLitterbags placem_collection'!VX62)),"YES","NO")</f>
        <v>NO</v>
      </c>
      <c r="AD355" s="255" t="str">
        <f>IF(ISNUMBER(SEARCH("H", 'WetLitterbags placem_collection'!X62)),"YES","NO")</f>
        <v>NO</v>
      </c>
      <c r="AE355" s="255" t="str">
        <f>IF(ISNUMBER(SEARCH("R", 'WetLitterbags placem_collection'!X62)),"YES","NO")</f>
        <v>NO</v>
      </c>
    </row>
    <row r="356" spans="2:31">
      <c r="B356" t="str">
        <f>'Final data_for_R_analysis_Wetse'!A502</f>
        <v>Wet</v>
      </c>
      <c r="C356" s="263">
        <f>'Final data_for_R_analysis_Wetse'!B502</f>
        <v>61</v>
      </c>
      <c r="D356" t="s">
        <v>3835</v>
      </c>
      <c r="E356" t="s">
        <v>25</v>
      </c>
      <c r="F356" s="387">
        <v>5</v>
      </c>
      <c r="G356" s="16">
        <f>'WetLitterbags placem_collection'!E63</f>
        <v>42766</v>
      </c>
      <c r="H356" s="92" t="str">
        <f>'Final data_for_R_analysis_Wetse'!J502</f>
        <v>G391</v>
      </c>
      <c r="I356" t="str">
        <f>'Final data_for_R_analysis_Wetse'!J722</f>
        <v>R143</v>
      </c>
      <c r="J356">
        <f>IFERROR(INDEX('Green_rooibos initial weight'!$C$5:$C$1749,MATCH(H356, 'Green_rooibos initial weight'!$A$5:$A$1749,0)),"")</f>
        <v>1.9419999999999999</v>
      </c>
      <c r="K356">
        <f>IFERROR(INDEX('Green_rooibos initial weight'!$C$5:$C$1749,MATCH(I356, 'Green_rooibos initial weight'!$A$5:$A$1749,0)),"")</f>
        <v>2.1560000000000001</v>
      </c>
      <c r="L356" s="195">
        <f t="shared" si="38"/>
        <v>1.6921999999999999</v>
      </c>
      <c r="M356" s="195">
        <f>AVERAGE(Ashed_controlls!$K$2:$K$11)</f>
        <v>5.5147656768714146</v>
      </c>
      <c r="N356" s="195">
        <f t="shared" si="36"/>
        <v>1.9062000000000001</v>
      </c>
      <c r="O356" s="16">
        <f>IF('WetLitterbags placem_collection'!G63="N.A","",'WetLitterbags placem_collection'!G63)</f>
        <v>42820</v>
      </c>
      <c r="P356" s="195">
        <f>IF(IFERROR(INDEX('Both teabags AfterWet'!$C$3:$C$841,MATCH(H356,'Both teabags AfterWet'!$A$3:$A$841,0)),"")="N.A","",(IFERROR(INDEX('Both teabags AfterWet'!$C$3:$C$841,MATCH(H356,'Both teabags AfterWet'!$A$3:$A$841,0)),"")))</f>
        <v>0.628</v>
      </c>
      <c r="Q356" s="195">
        <f>IFERROR(INDEX('Both teabags AfterWet'!$C$3:$C$841,MATCH(I356,'Both teabags AfterWet'!$A$3:$A$841,0)),"")</f>
        <v>1.581</v>
      </c>
      <c r="R356" s="195">
        <f t="shared" si="39"/>
        <v>0.47739999999999999</v>
      </c>
      <c r="S356" s="195">
        <f t="shared" si="39"/>
        <v>1.4303999999999999</v>
      </c>
      <c r="T356" s="195">
        <f t="shared" si="40"/>
        <v>0.71788204703935699</v>
      </c>
      <c r="U356" s="195">
        <f t="shared" si="41"/>
        <v>0.47063051064812961</v>
      </c>
      <c r="V356" s="195">
        <f t="shared" si="42"/>
        <v>0.75039345294302795</v>
      </c>
      <c r="W356">
        <f t="shared" si="37"/>
        <v>54</v>
      </c>
      <c r="X356" s="195">
        <f t="shared" si="43"/>
        <v>0.14740849520266386</v>
      </c>
      <c r="Y356" s="195">
        <f t="shared" si="44"/>
        <v>1.3996336657769519E-2</v>
      </c>
      <c r="Z356" s="255" t="str">
        <f>IF(ISNUMBER(SEARCH("C",'WetLitterbags placem_collection'!W283)),"YES","NO")</f>
        <v>NO</v>
      </c>
      <c r="AA356" s="255" t="str">
        <f>IF(ISNUMBER(SEARCH("H", 'WetLitterbags placem_collection'!Y63)),"YES","NO")</f>
        <v>NO</v>
      </c>
      <c r="AB356" s="255" t="str">
        <f>IF(ISNUMBER(SEARCH("R", 'WetLitterbags placem_collection'!WY63)),"YES","NO")</f>
        <v>NO</v>
      </c>
      <c r="AC356" s="255" t="str">
        <f>IF(ISNUMBER(SEARCH("C", 'WetLitterbags placem_collection'!VX63)),"YES","NO")</f>
        <v>NO</v>
      </c>
      <c r="AD356" s="255" t="str">
        <f>IF(ISNUMBER(SEARCH("H", 'WetLitterbags placem_collection'!X63)),"YES","NO")</f>
        <v>NO</v>
      </c>
      <c r="AE356" s="255" t="str">
        <f>IF(ISNUMBER(SEARCH("R", 'WetLitterbags placem_collection'!X63)),"YES","NO")</f>
        <v>YES</v>
      </c>
    </row>
    <row r="357" spans="2:31">
      <c r="B357" t="str">
        <f>'Final data_for_R_analysis_Wetse'!A503</f>
        <v>Wet</v>
      </c>
      <c r="C357" s="263">
        <f>'Final data_for_R_analysis_Wetse'!B503</f>
        <v>62</v>
      </c>
      <c r="D357" t="s">
        <v>3835</v>
      </c>
      <c r="E357" t="s">
        <v>25</v>
      </c>
      <c r="F357" s="387">
        <v>6</v>
      </c>
      <c r="G357" s="16">
        <f>'WetLitterbags placem_collection'!E64</f>
        <v>42766</v>
      </c>
      <c r="H357" s="92" t="str">
        <f>'Final data_for_R_analysis_Wetse'!J503</f>
        <v>G445</v>
      </c>
      <c r="I357" t="str">
        <f>'Final data_for_R_analysis_Wetse'!J723</f>
        <v>R448</v>
      </c>
      <c r="J357">
        <f>IFERROR(INDEX('Green_rooibos initial weight'!$C$5:$C$1749,MATCH(H357, 'Green_rooibos initial weight'!$A$5:$A$1749,0)),"")</f>
        <v>2.1150000000000002</v>
      </c>
      <c r="K357">
        <f>IFERROR(INDEX('Green_rooibos initial weight'!$C$5:$C$1749,MATCH(I357, 'Green_rooibos initial weight'!$A$5:$A$1749,0)),"")</f>
        <v>2.2029999999999998</v>
      </c>
      <c r="L357" s="195">
        <f t="shared" si="38"/>
        <v>1.8652000000000002</v>
      </c>
      <c r="M357" s="195">
        <f>AVERAGE(Ashed_controlls!$K$2:$K$11)</f>
        <v>5.5147656768714146</v>
      </c>
      <c r="N357" s="195">
        <f t="shared" si="36"/>
        <v>1.9531999999999998</v>
      </c>
      <c r="O357" s="16">
        <f>IF('WetLitterbags placem_collection'!G64="N.A","",'WetLitterbags placem_collection'!G64)</f>
        <v>42820</v>
      </c>
      <c r="P357" s="195">
        <f>IF(IFERROR(INDEX('Both teabags AfterWet'!$C$3:$C$841,MATCH(H357,'Both teabags AfterWet'!$A$3:$A$841,0)),"")="N.A","",(IFERROR(INDEX('Both teabags AfterWet'!$C$3:$C$841,MATCH(H357,'Both teabags AfterWet'!$A$3:$A$841,0)),"")))</f>
        <v>0.80569999999999997</v>
      </c>
      <c r="Q357" s="195">
        <f>IFERROR(INDEX('Both teabags AfterWet'!$C$3:$C$841,MATCH(I357,'Both teabags AfterWet'!$A$3:$A$841,0)),"")</f>
        <v>1.5379</v>
      </c>
      <c r="R357" s="195">
        <f t="shared" si="39"/>
        <v>0.65510000000000002</v>
      </c>
      <c r="S357" s="195">
        <f t="shared" si="39"/>
        <v>1.3873</v>
      </c>
      <c r="T357" s="195">
        <f t="shared" si="40"/>
        <v>0.64877761098005582</v>
      </c>
      <c r="U357" s="195">
        <f t="shared" si="41"/>
        <v>0.42532688985865896</v>
      </c>
      <c r="V357" s="195">
        <f t="shared" si="42"/>
        <v>0.71027032561949621</v>
      </c>
      <c r="W357">
        <f t="shared" si="37"/>
        <v>54</v>
      </c>
      <c r="X357" s="195">
        <f t="shared" si="43"/>
        <v>0.22948027199518306</v>
      </c>
      <c r="Y357" s="195">
        <f t="shared" si="44"/>
        <v>2.1169799729873304E-2</v>
      </c>
      <c r="Z357" s="255" t="str">
        <f>IF(ISNUMBER(SEARCH("C",'WetLitterbags placem_collection'!W284)),"YES","NO")</f>
        <v>NO</v>
      </c>
      <c r="AA357" s="255" t="str">
        <f>IF(ISNUMBER(SEARCH("H", 'WetLitterbags placem_collection'!Y64)),"YES","NO")</f>
        <v>NO</v>
      </c>
      <c r="AB357" s="255" t="str">
        <f>IF(ISNUMBER(SEARCH("R", 'WetLitterbags placem_collection'!WY64)),"YES","NO")</f>
        <v>NO</v>
      </c>
      <c r="AC357" s="255" t="str">
        <f>IF(ISNUMBER(SEARCH("C", 'WetLitterbags placem_collection'!VX64)),"YES","NO")</f>
        <v>NO</v>
      </c>
      <c r="AD357" s="255" t="str">
        <f>IF(ISNUMBER(SEARCH("H", 'WetLitterbags placem_collection'!X64)),"YES","NO")</f>
        <v>NO</v>
      </c>
      <c r="AE357" s="255" t="str">
        <f>IF(ISNUMBER(SEARCH("R", 'WetLitterbags placem_collection'!X64)),"YES","NO")</f>
        <v>NO</v>
      </c>
    </row>
    <row r="358" spans="2:31">
      <c r="B358" t="str">
        <f>'Final data_for_R_analysis_Wetse'!A504</f>
        <v>Wet</v>
      </c>
      <c r="C358" s="263">
        <f>'Final data_for_R_analysis_Wetse'!B504</f>
        <v>63</v>
      </c>
      <c r="D358" t="s">
        <v>3835</v>
      </c>
      <c r="E358" t="s">
        <v>25</v>
      </c>
      <c r="F358" s="387">
        <v>7</v>
      </c>
      <c r="G358" s="16">
        <f>'WetLitterbags placem_collection'!E65</f>
        <v>42766</v>
      </c>
      <c r="H358" s="92" t="str">
        <f>'Final data_for_R_analysis_Wetse'!J504</f>
        <v>G440</v>
      </c>
      <c r="I358" t="str">
        <f>'Final data_for_R_analysis_Wetse'!J724</f>
        <v>R423</v>
      </c>
      <c r="J358">
        <f>IFERROR(INDEX('Green_rooibos initial weight'!$C$5:$C$1749,MATCH(H358, 'Green_rooibos initial weight'!$A$5:$A$1749,0)),"")</f>
        <v>2.1070000000000002</v>
      </c>
      <c r="K358">
        <f>IFERROR(INDEX('Green_rooibos initial weight'!$C$5:$C$1749,MATCH(I358, 'Green_rooibos initial weight'!$A$5:$A$1749,0)),"")</f>
        <v>2.1760000000000002</v>
      </c>
      <c r="L358" s="195">
        <f t="shared" si="38"/>
        <v>1.8572000000000002</v>
      </c>
      <c r="M358" s="195">
        <f>AVERAGE(Ashed_controlls!$K$2:$K$11)</f>
        <v>5.5147656768714146</v>
      </c>
      <c r="N358" s="195">
        <f t="shared" si="36"/>
        <v>1.9262000000000001</v>
      </c>
      <c r="O358" s="16">
        <f>IF('WetLitterbags placem_collection'!G65="N.A","",'WetLitterbags placem_collection'!G65)</f>
        <v>42820</v>
      </c>
      <c r="P358" s="195">
        <f>IF(IFERROR(INDEX('Both teabags AfterWet'!$C$3:$C$841,MATCH(H358,'Both teabags AfterWet'!$A$3:$A$841,0)),"")="N.A","",(IFERROR(INDEX('Both teabags AfterWet'!$C$3:$C$841,MATCH(H358,'Both teabags AfterWet'!$A$3:$A$841,0)),"")))</f>
        <v>0.94199999999999995</v>
      </c>
      <c r="Q358" s="195">
        <f>IFERROR(INDEX('Both teabags AfterWet'!$C$3:$C$841,MATCH(I358,'Both teabags AfterWet'!$A$3:$A$841,0)),"")</f>
        <v>1.6359999999999999</v>
      </c>
      <c r="R358" s="195">
        <f t="shared" si="39"/>
        <v>0.79139999999999988</v>
      </c>
      <c r="S358" s="195">
        <f t="shared" si="39"/>
        <v>1.4853999999999998</v>
      </c>
      <c r="T358" s="195">
        <f t="shared" si="40"/>
        <v>0.57387465001076898</v>
      </c>
      <c r="U358" s="195">
        <f t="shared" si="41"/>
        <v>0.37622186081466091</v>
      </c>
      <c r="V358" s="195">
        <f t="shared" si="42"/>
        <v>0.77115564323538555</v>
      </c>
      <c r="W358">
        <f t="shared" si="37"/>
        <v>54</v>
      </c>
      <c r="X358" s="195">
        <f t="shared" si="43"/>
        <v>0.31843865794445492</v>
      </c>
      <c r="Y358" s="195">
        <f t="shared" si="44"/>
        <v>1.7355216203907158E-2</v>
      </c>
      <c r="Z358" s="255" t="str">
        <f>IF(ISNUMBER(SEARCH("C",'WetLitterbags placem_collection'!W285)),"YES","NO")</f>
        <v>NO</v>
      </c>
      <c r="AA358" s="255" t="str">
        <f>IF(ISNUMBER(SEARCH("H", 'WetLitterbags placem_collection'!Y65)),"YES","NO")</f>
        <v>NO</v>
      </c>
      <c r="AB358" s="255" t="str">
        <f>IF(ISNUMBER(SEARCH("R", 'WetLitterbags placem_collection'!WY65)),"YES","NO")</f>
        <v>NO</v>
      </c>
      <c r="AC358" s="255" t="str">
        <f>IF(ISNUMBER(SEARCH("C", 'WetLitterbags placem_collection'!VX65)),"YES","NO")</f>
        <v>NO</v>
      </c>
      <c r="AD358" s="255" t="str">
        <f>IF(ISNUMBER(SEARCH("H", 'WetLitterbags placem_collection'!X65)),"YES","NO")</f>
        <v>NO</v>
      </c>
      <c r="AE358" s="255" t="str">
        <f>IF(ISNUMBER(SEARCH("R", 'WetLitterbags placem_collection'!X65)),"YES","NO")</f>
        <v>YES</v>
      </c>
    </row>
    <row r="359" spans="2:31">
      <c r="B359" t="str">
        <f>'Final data_for_R_analysis_Wetse'!A505</f>
        <v>Wet</v>
      </c>
      <c r="C359" s="263">
        <f>'Final data_for_R_analysis_Wetse'!B505</f>
        <v>64</v>
      </c>
      <c r="D359" t="s">
        <v>3835</v>
      </c>
      <c r="E359" t="s">
        <v>25</v>
      </c>
      <c r="F359" s="387">
        <v>8</v>
      </c>
      <c r="G359" s="16">
        <f>'WetLitterbags placem_collection'!E66</f>
        <v>42766</v>
      </c>
      <c r="H359" s="92" t="str">
        <f>'Final data_for_R_analysis_Wetse'!J505</f>
        <v>G673</v>
      </c>
      <c r="I359" t="str">
        <f>'Final data_for_R_analysis_Wetse'!J725</f>
        <v>R550</v>
      </c>
      <c r="J359">
        <f>IFERROR(INDEX('Green_rooibos initial weight'!$C$5:$C$1749,MATCH(H359, 'Green_rooibos initial weight'!$A$5:$A$1749,0)),"")</f>
        <v>2.1160000000000001</v>
      </c>
      <c r="K359">
        <f>IFERROR(INDEX('Green_rooibos initial weight'!$C$5:$C$1749,MATCH(I359, 'Green_rooibos initial weight'!$A$5:$A$1749,0)),"")</f>
        <v>2.177</v>
      </c>
      <c r="L359" s="195">
        <f t="shared" si="38"/>
        <v>1.8662000000000001</v>
      </c>
      <c r="M359" s="195">
        <f>AVERAGE(Ashed_controlls!$K$2:$K$11)</f>
        <v>5.5147656768714146</v>
      </c>
      <c r="N359" s="195">
        <f t="shared" si="36"/>
        <v>1.9272</v>
      </c>
      <c r="O359" s="16">
        <f>IF('WetLitterbags placem_collection'!G66="N.A","",'WetLitterbags placem_collection'!G66)</f>
        <v>42820</v>
      </c>
      <c r="P359" s="195">
        <f>IF(IFERROR(INDEX('Both teabags AfterWet'!$C$3:$C$841,MATCH(H359,'Both teabags AfterWet'!$A$3:$A$841,0)),"")="N.A","",(IFERROR(INDEX('Both teabags AfterWet'!$C$3:$C$841,MATCH(H359,'Both teabags AfterWet'!$A$3:$A$841,0)),"")))</f>
        <v>1.0449999999999999</v>
      </c>
      <c r="Q359" s="195">
        <f>IFERROR(INDEX('Both teabags AfterWet'!$C$3:$C$841,MATCH(I359,'Both teabags AfterWet'!$A$3:$A$841,0)),"")</f>
        <v>1.6930000000000001</v>
      </c>
      <c r="R359" s="195">
        <f t="shared" si="39"/>
        <v>0.89439999999999986</v>
      </c>
      <c r="S359" s="195">
        <f t="shared" si="39"/>
        <v>1.5424</v>
      </c>
      <c r="T359" s="195">
        <f t="shared" si="40"/>
        <v>0.52073732718894017</v>
      </c>
      <c r="U359" s="195">
        <f t="shared" si="41"/>
        <v>0.34138599122125296</v>
      </c>
      <c r="V359" s="195">
        <f t="shared" si="42"/>
        <v>0.8003320880033209</v>
      </c>
      <c r="W359">
        <f t="shared" si="37"/>
        <v>54</v>
      </c>
      <c r="X359" s="195">
        <f t="shared" si="43"/>
        <v>0.38154711735280267</v>
      </c>
      <c r="Y359" s="195">
        <f t="shared" si="44"/>
        <v>1.6281000918439117E-2</v>
      </c>
      <c r="Z359" s="255" t="str">
        <f>IF(ISNUMBER(SEARCH("C",'WetLitterbags placem_collection'!W286)),"YES","NO")</f>
        <v>NO</v>
      </c>
      <c r="AA359" s="255" t="str">
        <f>IF(ISNUMBER(SEARCH("H", 'WetLitterbags placem_collection'!Y66)),"YES","NO")</f>
        <v>NO</v>
      </c>
      <c r="AB359" s="255" t="str">
        <f>IF(ISNUMBER(SEARCH("R", 'WetLitterbags placem_collection'!WY66)),"YES","NO")</f>
        <v>NO</v>
      </c>
      <c r="AC359" s="255" t="str">
        <f>IF(ISNUMBER(SEARCH("C", 'WetLitterbags placem_collection'!VX66)),"YES","NO")</f>
        <v>NO</v>
      </c>
      <c r="AD359" s="255" t="str">
        <f>IF(ISNUMBER(SEARCH("H", 'WetLitterbags placem_collection'!X66)),"YES","NO")</f>
        <v>NO</v>
      </c>
      <c r="AE359" s="255" t="str">
        <f>IF(ISNUMBER(SEARCH("R", 'WetLitterbags placem_collection'!X66)),"YES","NO")</f>
        <v>NO</v>
      </c>
    </row>
    <row r="360" spans="2:31">
      <c r="B360" t="str">
        <f>'Final data_for_R_analysis_Wetse'!A506</f>
        <v>Wet</v>
      </c>
      <c r="C360" s="263">
        <f>'Final data_for_R_analysis_Wetse'!B506</f>
        <v>65</v>
      </c>
      <c r="D360" t="s">
        <v>3836</v>
      </c>
      <c r="E360" t="s">
        <v>25</v>
      </c>
      <c r="F360" s="386">
        <v>1</v>
      </c>
      <c r="G360" s="16">
        <f>'WetLitterbags placem_collection'!E67</f>
        <v>42767</v>
      </c>
      <c r="H360" s="92" t="str">
        <f>'Final data_for_R_analysis_Wetse'!J506</f>
        <v>G700</v>
      </c>
      <c r="I360" t="str">
        <f>'Final data_for_R_analysis_Wetse'!J726</f>
        <v>R333</v>
      </c>
      <c r="J360">
        <f>IFERROR(INDEX('Green_rooibos initial weight'!$C$5:$C$1749,MATCH(H360, 'Green_rooibos initial weight'!$A$5:$A$1749,0)),"")</f>
        <v>2.0190000000000001</v>
      </c>
      <c r="K360">
        <f>IFERROR(INDEX('Green_rooibos initial weight'!$C$5:$C$1749,MATCH(I360, 'Green_rooibos initial weight'!$A$5:$A$1749,0)),"")</f>
        <v>2.27</v>
      </c>
      <c r="L360" s="195">
        <f t="shared" si="38"/>
        <v>1.7692000000000001</v>
      </c>
      <c r="M360" s="195">
        <f>AVERAGE(Ashed_controlls!$K$2:$K$11)</f>
        <v>5.5147656768714146</v>
      </c>
      <c r="N360" s="195">
        <f t="shared" si="36"/>
        <v>2.0202</v>
      </c>
      <c r="O360" s="16">
        <f>IF('WetLitterbags placem_collection'!G67="N.A","",'WetLitterbags placem_collection'!G67)</f>
        <v>42818</v>
      </c>
      <c r="P360" s="195">
        <f>IF(IFERROR(INDEX('Both teabags AfterWet'!$C$3:$C$841,MATCH(H360,'Both teabags AfterWet'!$A$3:$A$841,0)),"")="N.A","",(IFERROR(INDEX('Both teabags AfterWet'!$C$3:$C$841,MATCH(H360,'Both teabags AfterWet'!$A$3:$A$841,0)),"")))</f>
        <v>0.82299999999999995</v>
      </c>
      <c r="Q360" s="195">
        <f>IFERROR(INDEX('Both teabags AfterWet'!$C$3:$C$841,MATCH(I360,'Both teabags AfterWet'!$A$3:$A$841,0)),"")</f>
        <v>1.6319999999999999</v>
      </c>
      <c r="R360" s="195">
        <f t="shared" si="39"/>
        <v>0.67239999999999989</v>
      </c>
      <c r="S360" s="195">
        <f t="shared" si="39"/>
        <v>1.4813999999999998</v>
      </c>
      <c r="T360" s="195">
        <f t="shared" si="40"/>
        <v>0.61994121636898036</v>
      </c>
      <c r="U360" s="195">
        <f t="shared" si="41"/>
        <v>0.40642227011363091</v>
      </c>
      <c r="V360" s="195">
        <f t="shared" si="42"/>
        <v>0.73329373329373326</v>
      </c>
      <c r="W360">
        <f t="shared" si="37"/>
        <v>51</v>
      </c>
      <c r="X360" s="195">
        <f t="shared" si="43"/>
        <v>0.26372777153327742</v>
      </c>
      <c r="Y360" s="195">
        <f t="shared" si="44"/>
        <v>2.0936879961572005E-2</v>
      </c>
      <c r="Z360" s="255" t="str">
        <f>IF(ISNUMBER(SEARCH("C",'WetLitterbags placem_collection'!W287)),"YES","NO")</f>
        <v>NO</v>
      </c>
      <c r="AA360" s="255" t="str">
        <f>IF(ISNUMBER(SEARCH("H", 'WetLitterbags placem_collection'!Y67)),"YES","NO")</f>
        <v>NO</v>
      </c>
      <c r="AB360" s="255" t="str">
        <f>IF(ISNUMBER(SEARCH("R", 'WetLitterbags placem_collection'!WY67)),"YES","NO")</f>
        <v>NO</v>
      </c>
      <c r="AC360" s="255" t="str">
        <f>IF(ISNUMBER(SEARCH("C", 'WetLitterbags placem_collection'!VX67)),"YES","NO")</f>
        <v>NO</v>
      </c>
      <c r="AD360" s="255" t="str">
        <f>IF(ISNUMBER(SEARCH("H", 'WetLitterbags placem_collection'!X67)),"YES","NO")</f>
        <v>NO</v>
      </c>
      <c r="AE360" s="255" t="str">
        <f>IF(ISNUMBER(SEARCH("R", 'WetLitterbags placem_collection'!X67)),"YES","NO")</f>
        <v>YES</v>
      </c>
    </row>
    <row r="361" spans="2:31">
      <c r="B361" t="str">
        <f>'Final data_for_R_analysis_Wetse'!A507</f>
        <v>Wet</v>
      </c>
      <c r="C361" s="263">
        <f>'Final data_for_R_analysis_Wetse'!B507</f>
        <v>66</v>
      </c>
      <c r="D361" t="s">
        <v>3836</v>
      </c>
      <c r="E361" t="s">
        <v>25</v>
      </c>
      <c r="F361" s="386">
        <v>2</v>
      </c>
      <c r="G361" s="16">
        <f>'WetLitterbags placem_collection'!E68</f>
        <v>42767</v>
      </c>
      <c r="H361" s="92" t="str">
        <f>'Final data_for_R_analysis_Wetse'!J507</f>
        <v>G760</v>
      </c>
      <c r="I361" t="str">
        <f>'Final data_for_R_analysis_Wetse'!J727</f>
        <v>R252</v>
      </c>
      <c r="J361">
        <f>IFERROR(INDEX('Green_rooibos initial weight'!$C$5:$C$1749,MATCH(H361, 'Green_rooibos initial weight'!$A$5:$A$1749,0)),"")</f>
        <v>1.948</v>
      </c>
      <c r="K361">
        <f>IFERROR(INDEX('Green_rooibos initial weight'!$C$5:$C$1749,MATCH(I361, 'Green_rooibos initial weight'!$A$5:$A$1749,0)),"")</f>
        <v>2.2069999999999999</v>
      </c>
      <c r="L361" s="195">
        <f t="shared" si="38"/>
        <v>1.6981999999999999</v>
      </c>
      <c r="M361" s="195">
        <f>AVERAGE(Ashed_controlls!$K$2:$K$11)</f>
        <v>5.5147656768714146</v>
      </c>
      <c r="N361" s="195">
        <f t="shared" si="36"/>
        <v>1.9571999999999998</v>
      </c>
      <c r="O361" s="16">
        <f>IF('WetLitterbags placem_collection'!G68="N.A","",'WetLitterbags placem_collection'!G68)</f>
        <v>42818</v>
      </c>
      <c r="P361" s="195">
        <f>IF(IFERROR(INDEX('Both teabags AfterWet'!$C$3:$C$841,MATCH(H361,'Both teabags AfterWet'!$A$3:$A$841,0)),"")="N.A","",(IFERROR(INDEX('Both teabags AfterWet'!$C$3:$C$841,MATCH(H361,'Both teabags AfterWet'!$A$3:$A$841,0)),"")))</f>
        <v>0.93500000000000005</v>
      </c>
      <c r="Q361" s="195">
        <f>IFERROR(INDEX('Both teabags AfterWet'!$C$3:$C$841,MATCH(I361,'Both teabags AfterWet'!$A$3:$A$841,0)),"")</f>
        <v>1.6584000000000001</v>
      </c>
      <c r="R361" s="195">
        <f t="shared" si="39"/>
        <v>0.78439999999999999</v>
      </c>
      <c r="S361" s="195">
        <f t="shared" si="39"/>
        <v>1.5078</v>
      </c>
      <c r="T361" s="195">
        <f t="shared" si="40"/>
        <v>0.53809916382051581</v>
      </c>
      <c r="U361" s="195">
        <f t="shared" si="41"/>
        <v>0.3527680978965852</v>
      </c>
      <c r="V361" s="195">
        <f t="shared" si="42"/>
        <v>0.77038626609442074</v>
      </c>
      <c r="W361">
        <f t="shared" si="37"/>
        <v>51</v>
      </c>
      <c r="X361" s="195">
        <f t="shared" si="43"/>
        <v>0.36092735888299787</v>
      </c>
      <c r="Y361" s="195">
        <f t="shared" si="44"/>
        <v>2.0634751652069638E-2</v>
      </c>
      <c r="Z361" s="255" t="str">
        <f>IF(ISNUMBER(SEARCH("C",'WetLitterbags placem_collection'!W288)),"YES","NO")</f>
        <v>NO</v>
      </c>
      <c r="AA361" s="255" t="str">
        <f>IF(ISNUMBER(SEARCH("H", 'WetLitterbags placem_collection'!Y68)),"YES","NO")</f>
        <v>NO</v>
      </c>
      <c r="AB361" s="255" t="str">
        <f>IF(ISNUMBER(SEARCH("R", 'WetLitterbags placem_collection'!WY68)),"YES","NO")</f>
        <v>NO</v>
      </c>
      <c r="AC361" s="255" t="str">
        <f>IF(ISNUMBER(SEARCH("C", 'WetLitterbags placem_collection'!VX68)),"YES","NO")</f>
        <v>NO</v>
      </c>
      <c r="AD361" s="255" t="str">
        <f>IF(ISNUMBER(SEARCH("H", 'WetLitterbags placem_collection'!X68)),"YES","NO")</f>
        <v>NO</v>
      </c>
      <c r="AE361" s="255" t="str">
        <f>IF(ISNUMBER(SEARCH("R", 'WetLitterbags placem_collection'!X68)),"YES","NO")</f>
        <v>YES</v>
      </c>
    </row>
    <row r="362" spans="2:31">
      <c r="B362" t="str">
        <f>'Final data_for_R_analysis_Wetse'!A508</f>
        <v>Wet</v>
      </c>
      <c r="C362" s="263">
        <f>'Final data_for_R_analysis_Wetse'!B508</f>
        <v>67</v>
      </c>
      <c r="D362" t="s">
        <v>3836</v>
      </c>
      <c r="E362" t="s">
        <v>25</v>
      </c>
      <c r="F362" s="386">
        <v>3</v>
      </c>
      <c r="G362" s="16">
        <f>'WetLitterbags placem_collection'!E69</f>
        <v>42767</v>
      </c>
      <c r="H362" s="92" t="str">
        <f>'Final data_for_R_analysis_Wetse'!J508</f>
        <v>G660</v>
      </c>
      <c r="I362" t="str">
        <f>'Final data_for_R_analysis_Wetse'!J728</f>
        <v>R44</v>
      </c>
      <c r="J362">
        <f>IFERROR(INDEX('Green_rooibos initial weight'!$C$5:$C$1749,MATCH(H362, 'Green_rooibos initial weight'!$A$5:$A$1749,0)),"")</f>
        <v>2.0339999999999998</v>
      </c>
      <c r="K362">
        <f>IFERROR(INDEX('Green_rooibos initial weight'!$C$5:$C$1749,MATCH(I362, 'Green_rooibos initial weight'!$A$5:$A$1749,0)),"")</f>
        <v>2.2480000000000002</v>
      </c>
      <c r="L362" s="195">
        <f t="shared" si="38"/>
        <v>1.7841999999999998</v>
      </c>
      <c r="M362" s="195">
        <f>AVERAGE(Ashed_controlls!$K$2:$K$11)</f>
        <v>5.5147656768714146</v>
      </c>
      <c r="N362" s="195">
        <f t="shared" si="36"/>
        <v>1.9982000000000002</v>
      </c>
      <c r="O362" s="16">
        <f>IF('WetLitterbags placem_collection'!G69="N.A","",'WetLitterbags placem_collection'!G69)</f>
        <v>42818</v>
      </c>
      <c r="P362" s="195">
        <f>IF(IFERROR(INDEX('Both teabags AfterWet'!$C$3:$C$841,MATCH(H362,'Both teabags AfterWet'!$A$3:$A$841,0)),"")="N.A","",(IFERROR(INDEX('Both teabags AfterWet'!$C$3:$C$841,MATCH(H362,'Both teabags AfterWet'!$A$3:$A$841,0)),"")))</f>
        <v>0.92510000000000003</v>
      </c>
      <c r="Q362" s="195">
        <f>IFERROR(INDEX('Both teabags AfterWet'!$C$3:$C$841,MATCH(I362,'Both teabags AfterWet'!$A$3:$A$841,0)),"")</f>
        <v>1.5427999999999999</v>
      </c>
      <c r="R362" s="195">
        <f t="shared" si="39"/>
        <v>0.77449999999999997</v>
      </c>
      <c r="S362" s="195">
        <f t="shared" si="39"/>
        <v>1.3921999999999999</v>
      </c>
      <c r="T362" s="195">
        <f t="shared" si="40"/>
        <v>0.56591189328550606</v>
      </c>
      <c r="U362" s="195">
        <f t="shared" si="41"/>
        <v>0.37100162125130565</v>
      </c>
      <c r="V362" s="195">
        <f t="shared" si="42"/>
        <v>0.69672705434891391</v>
      </c>
      <c r="W362">
        <f t="shared" si="37"/>
        <v>51</v>
      </c>
      <c r="X362" s="195">
        <f t="shared" si="43"/>
        <v>0.32789561367517095</v>
      </c>
      <c r="Y362" s="195">
        <f t="shared" si="44"/>
        <v>3.3346995561187115E-2</v>
      </c>
      <c r="Z362" s="255" t="str">
        <f>IF(ISNUMBER(SEARCH("C",'WetLitterbags placem_collection'!W289)),"YES","NO")</f>
        <v>NO</v>
      </c>
      <c r="AA362" s="255" t="str">
        <f>IF(ISNUMBER(SEARCH("H", 'WetLitterbags placem_collection'!Y69)),"YES","NO")</f>
        <v>NO</v>
      </c>
      <c r="AB362" s="255" t="str">
        <f>IF(ISNUMBER(SEARCH("R", 'WetLitterbags placem_collection'!WY69)),"YES","NO")</f>
        <v>NO</v>
      </c>
      <c r="AC362" s="255" t="str">
        <f>IF(ISNUMBER(SEARCH("C", 'WetLitterbags placem_collection'!VX69)),"YES","NO")</f>
        <v>NO</v>
      </c>
      <c r="AD362" s="255" t="str">
        <f>IF(ISNUMBER(SEARCH("H", 'WetLitterbags placem_collection'!X69)),"YES","NO")</f>
        <v>NO</v>
      </c>
      <c r="AE362" s="255" t="str">
        <f>IF(ISNUMBER(SEARCH("R", 'WetLitterbags placem_collection'!X69)),"YES","NO")</f>
        <v>YES</v>
      </c>
    </row>
    <row r="363" spans="2:31">
      <c r="B363" t="str">
        <f>'Final data_for_R_analysis_Wetse'!A509</f>
        <v>Wet</v>
      </c>
      <c r="C363" s="263">
        <f>'Final data_for_R_analysis_Wetse'!B509</f>
        <v>68</v>
      </c>
      <c r="D363" t="s">
        <v>3836</v>
      </c>
      <c r="E363" t="s">
        <v>25</v>
      </c>
      <c r="F363" s="387">
        <v>4</v>
      </c>
      <c r="G363" s="16">
        <f>'WetLitterbags placem_collection'!E70</f>
        <v>42767</v>
      </c>
      <c r="H363" s="92" t="str">
        <f>'Final data_for_R_analysis_Wetse'!J509</f>
        <v>G477</v>
      </c>
      <c r="I363" t="str">
        <f>'Final data_for_R_analysis_Wetse'!J729</f>
        <v>R9</v>
      </c>
      <c r="J363">
        <f>IFERROR(INDEX('Green_rooibos initial weight'!$C$5:$C$1749,MATCH(H363, 'Green_rooibos initial weight'!$A$5:$A$1749,0)),"")</f>
        <v>2.073</v>
      </c>
      <c r="K363">
        <f>IFERROR(INDEX('Green_rooibos initial weight'!$C$5:$C$1749,MATCH(I363, 'Green_rooibos initial weight'!$A$5:$A$1749,0)),"")</f>
        <v>2.2679999999999998</v>
      </c>
      <c r="L363" s="195">
        <f t="shared" si="38"/>
        <v>1.8231999999999999</v>
      </c>
      <c r="M363" s="195">
        <f>AVERAGE(Ashed_controlls!$K$2:$K$11)</f>
        <v>5.5147656768714146</v>
      </c>
      <c r="N363" s="195">
        <f t="shared" si="36"/>
        <v>2.0181999999999998</v>
      </c>
      <c r="O363" s="16">
        <f>IF('WetLitterbags placem_collection'!G70="N.A","",'WetLitterbags placem_collection'!G70)</f>
        <v>42818</v>
      </c>
      <c r="P363" s="195">
        <f>IF(IFERROR(INDEX('Both teabags AfterWet'!$C$3:$C$841,MATCH(H363,'Both teabags AfterWet'!$A$3:$A$841,0)),"")="N.A","",(IFERROR(INDEX('Both teabags AfterWet'!$C$3:$C$841,MATCH(H363,'Both teabags AfterWet'!$A$3:$A$841,0)),"")))</f>
        <v>0.90500000000000003</v>
      </c>
      <c r="Q363" s="195">
        <f>IFERROR(INDEX('Both teabags AfterWet'!$C$3:$C$841,MATCH(I363,'Both teabags AfterWet'!$A$3:$A$841,0)),"")</f>
        <v>1.7050000000000001</v>
      </c>
      <c r="R363" s="195">
        <f t="shared" si="39"/>
        <v>0.75439999999999996</v>
      </c>
      <c r="S363" s="195">
        <f t="shared" si="39"/>
        <v>1.5544</v>
      </c>
      <c r="T363" s="195">
        <f t="shared" si="40"/>
        <v>0.58622202720491445</v>
      </c>
      <c r="U363" s="195">
        <f t="shared" si="41"/>
        <v>0.38431657840512212</v>
      </c>
      <c r="V363" s="195">
        <f t="shared" si="42"/>
        <v>0.77019125953820244</v>
      </c>
      <c r="W363">
        <f t="shared" si="37"/>
        <v>51</v>
      </c>
      <c r="X363" s="195">
        <f t="shared" si="43"/>
        <v>0.30377431448347447</v>
      </c>
      <c r="Y363" s="195">
        <f t="shared" si="44"/>
        <v>1.7867094309647703E-2</v>
      </c>
      <c r="Z363" s="255" t="str">
        <f>IF(ISNUMBER(SEARCH("C",'WetLitterbags placem_collection'!W290)),"YES","NO")</f>
        <v>NO</v>
      </c>
      <c r="AA363" s="255" t="str">
        <f>IF(ISNUMBER(SEARCH("H", 'WetLitterbags placem_collection'!Y70)),"YES","NO")</f>
        <v>NO</v>
      </c>
      <c r="AB363" s="255" t="str">
        <f>IF(ISNUMBER(SEARCH("R", 'WetLitterbags placem_collection'!WY70)),"YES","NO")</f>
        <v>NO</v>
      </c>
      <c r="AC363" s="255" t="str">
        <f>IF(ISNUMBER(SEARCH("C", 'WetLitterbags placem_collection'!VX70)),"YES","NO")</f>
        <v>NO</v>
      </c>
      <c r="AD363" s="255" t="str">
        <f>IF(ISNUMBER(SEARCH("H", 'WetLitterbags placem_collection'!X70)),"YES","NO")</f>
        <v>NO</v>
      </c>
      <c r="AE363" s="255" t="str">
        <f>IF(ISNUMBER(SEARCH("R", 'WetLitterbags placem_collection'!X70)),"YES","NO")</f>
        <v>YES</v>
      </c>
    </row>
    <row r="364" spans="2:31">
      <c r="B364" t="str">
        <f>'Final data_for_R_analysis_Wetse'!A510</f>
        <v>Wet</v>
      </c>
      <c r="C364" s="263">
        <f>'Final data_for_R_analysis_Wetse'!B510</f>
        <v>69</v>
      </c>
      <c r="D364" t="s">
        <v>3836</v>
      </c>
      <c r="E364" t="s">
        <v>25</v>
      </c>
      <c r="F364" s="387">
        <v>5</v>
      </c>
      <c r="G364" s="16">
        <f>'WetLitterbags placem_collection'!E71</f>
        <v>42767</v>
      </c>
      <c r="H364" s="92" t="str">
        <f>'Final data_for_R_analysis_Wetse'!J510</f>
        <v>G386</v>
      </c>
      <c r="I364" t="str">
        <f>'Final data_for_R_analysis_Wetse'!J730</f>
        <v>R251</v>
      </c>
      <c r="J364">
        <f>IFERROR(INDEX('Green_rooibos initial weight'!$C$5:$C$1749,MATCH(H364, 'Green_rooibos initial weight'!$A$5:$A$1749,0)),"")</f>
        <v>1.897</v>
      </c>
      <c r="K364">
        <f>IFERROR(INDEX('Green_rooibos initial weight'!$C$5:$C$1749,MATCH(I364, 'Green_rooibos initial weight'!$A$5:$A$1749,0)),"")</f>
        <v>2.266</v>
      </c>
      <c r="L364" s="195">
        <f t="shared" si="38"/>
        <v>1.6472</v>
      </c>
      <c r="M364" s="195">
        <f>AVERAGE(Ashed_controlls!$K$2:$K$11)</f>
        <v>5.5147656768714146</v>
      </c>
      <c r="N364" s="195">
        <f t="shared" si="36"/>
        <v>2.0162</v>
      </c>
      <c r="O364" s="16">
        <f>IF('WetLitterbags placem_collection'!G71="N.A","",'WetLitterbags placem_collection'!G71)</f>
        <v>42818</v>
      </c>
      <c r="P364" s="195">
        <f>IF(IFERROR(INDEX('Both teabags AfterWet'!$C$3:$C$841,MATCH(H364,'Both teabags AfterWet'!$A$3:$A$841,0)),"")="N.A","",(IFERROR(INDEX('Both teabags AfterWet'!$C$3:$C$841,MATCH(H364,'Both teabags AfterWet'!$A$3:$A$841,0)),"")))</f>
        <v>0.98899999999999999</v>
      </c>
      <c r="Q364" s="195">
        <f>IFERROR(INDEX('Both teabags AfterWet'!$C$3:$C$841,MATCH(I364,'Both teabags AfterWet'!$A$3:$A$841,0)),"")</f>
        <v>1.8979999999999999</v>
      </c>
      <c r="R364" s="195">
        <f t="shared" si="39"/>
        <v>0.83840000000000003</v>
      </c>
      <c r="S364" s="195">
        <f t="shared" si="39"/>
        <v>1.7473999999999998</v>
      </c>
      <c r="T364" s="195">
        <f t="shared" si="40"/>
        <v>0.4910150558523555</v>
      </c>
      <c r="U364" s="195">
        <f t="shared" si="41"/>
        <v>0.32190060668705495</v>
      </c>
      <c r="V364" s="195">
        <f t="shared" si="42"/>
        <v>0.86667989286777103</v>
      </c>
      <c r="W364">
        <f t="shared" si="37"/>
        <v>51</v>
      </c>
      <c r="X364" s="195">
        <f t="shared" si="43"/>
        <v>0.41684672701620484</v>
      </c>
      <c r="Y364" s="195">
        <f t="shared" si="44"/>
        <v>1.048466380277639E-2</v>
      </c>
      <c r="Z364" s="255" t="str">
        <f>IF(ISNUMBER(SEARCH("C",'WetLitterbags placem_collection'!W291)),"YES","NO")</f>
        <v>NO</v>
      </c>
      <c r="AA364" s="255" t="str">
        <f>IF(ISNUMBER(SEARCH("H", 'WetLitterbags placem_collection'!Y71)),"YES","NO")</f>
        <v>NO</v>
      </c>
      <c r="AB364" s="255" t="str">
        <f>IF(ISNUMBER(SEARCH("R", 'WetLitterbags placem_collection'!WY71)),"YES","NO")</f>
        <v>NO</v>
      </c>
      <c r="AC364" s="255" t="str">
        <f>IF(ISNUMBER(SEARCH("C", 'WetLitterbags placem_collection'!VX71)),"YES","NO")</f>
        <v>NO</v>
      </c>
      <c r="AD364" s="255" t="str">
        <f>IF(ISNUMBER(SEARCH("H", 'WetLitterbags placem_collection'!X71)),"YES","NO")</f>
        <v>NO</v>
      </c>
      <c r="AE364" s="255" t="str">
        <f>IF(ISNUMBER(SEARCH("R", 'WetLitterbags placem_collection'!X71)),"YES","NO")</f>
        <v>YES</v>
      </c>
    </row>
    <row r="365" spans="2:31">
      <c r="B365" t="str">
        <f>'Final data_for_R_analysis_Wetse'!A511</f>
        <v>Wet</v>
      </c>
      <c r="C365" s="263">
        <f>'Final data_for_R_analysis_Wetse'!B511</f>
        <v>70</v>
      </c>
      <c r="D365" t="s">
        <v>3836</v>
      </c>
      <c r="E365" t="s">
        <v>25</v>
      </c>
      <c r="F365" s="387">
        <v>6</v>
      </c>
      <c r="G365" s="16">
        <f>'WetLitterbags placem_collection'!E72</f>
        <v>42767</v>
      </c>
      <c r="H365" s="92" t="str">
        <f>'Final data_for_R_analysis_Wetse'!J511</f>
        <v>G414</v>
      </c>
      <c r="I365" t="str">
        <f>'Final data_for_R_analysis_Wetse'!J731</f>
        <v>R266</v>
      </c>
      <c r="J365">
        <f>IFERROR(INDEX('Green_rooibos initial weight'!$C$5:$C$1749,MATCH(H365, 'Green_rooibos initial weight'!$A$5:$A$1749,0)),"")</f>
        <v>2.0590000000000002</v>
      </c>
      <c r="K365">
        <f>IFERROR(INDEX('Green_rooibos initial weight'!$C$5:$C$1749,MATCH(I365, 'Green_rooibos initial weight'!$A$5:$A$1749,0)),"")</f>
        <v>2.1720000000000002</v>
      </c>
      <c r="L365" s="195">
        <f t="shared" si="38"/>
        <v>1.8092000000000001</v>
      </c>
      <c r="M365" s="195">
        <f>AVERAGE(Ashed_controlls!$K$2:$K$11)</f>
        <v>5.5147656768714146</v>
      </c>
      <c r="N365" s="195">
        <f t="shared" si="36"/>
        <v>1.9222000000000001</v>
      </c>
      <c r="O365" s="16">
        <f>IF('WetLitterbags placem_collection'!G72="N.A","",'WetLitterbags placem_collection'!G72)</f>
        <v>42818</v>
      </c>
      <c r="P365" s="195">
        <f>IF(IFERROR(INDEX('Both teabags AfterWet'!$C$3:$C$841,MATCH(H365,'Both teabags AfterWet'!$A$3:$A$841,0)),"")="N.A","",(IFERROR(INDEX('Both teabags AfterWet'!$C$3:$C$841,MATCH(H365,'Both teabags AfterWet'!$A$3:$A$841,0)),"")))</f>
        <v>0.84099999999999997</v>
      </c>
      <c r="Q365" s="195">
        <f>IFERROR(INDEX('Both teabags AfterWet'!$C$3:$C$841,MATCH(I365,'Both teabags AfterWet'!$A$3:$A$841,0)),"")</f>
        <v>1.599</v>
      </c>
      <c r="R365" s="195">
        <f t="shared" si="39"/>
        <v>0.6903999999999999</v>
      </c>
      <c r="S365" s="195">
        <f t="shared" si="39"/>
        <v>1.4483999999999999</v>
      </c>
      <c r="T365" s="195">
        <f t="shared" si="40"/>
        <v>0.6183948706610658</v>
      </c>
      <c r="U365" s="195">
        <f t="shared" si="41"/>
        <v>0.40540851378255149</v>
      </c>
      <c r="V365" s="195">
        <f t="shared" si="42"/>
        <v>0.75351160129018824</v>
      </c>
      <c r="W365">
        <f t="shared" si="37"/>
        <v>51</v>
      </c>
      <c r="X365" s="195">
        <f t="shared" si="43"/>
        <v>0.26556428662581255</v>
      </c>
      <c r="Y365" s="195">
        <f t="shared" si="44"/>
        <v>1.8362619209855699E-2</v>
      </c>
      <c r="Z365" s="255" t="str">
        <f>IF(ISNUMBER(SEARCH("C",'WetLitterbags placem_collection'!W292)),"YES","NO")</f>
        <v>NO</v>
      </c>
      <c r="AA365" s="255" t="str">
        <f>IF(ISNUMBER(SEARCH("H", 'WetLitterbags placem_collection'!Y72)),"YES","NO")</f>
        <v>NO</v>
      </c>
      <c r="AB365" s="255" t="str">
        <f>IF(ISNUMBER(SEARCH("R", 'WetLitterbags placem_collection'!WY72)),"YES","NO")</f>
        <v>NO</v>
      </c>
      <c r="AC365" s="255" t="str">
        <f>IF(ISNUMBER(SEARCH("C", 'WetLitterbags placem_collection'!VX72)),"YES","NO")</f>
        <v>NO</v>
      </c>
      <c r="AD365" s="255" t="str">
        <f>IF(ISNUMBER(SEARCH("H", 'WetLitterbags placem_collection'!X72)),"YES","NO")</f>
        <v>NO</v>
      </c>
      <c r="AE365" s="255" t="str">
        <f>IF(ISNUMBER(SEARCH("R", 'WetLitterbags placem_collection'!X72)),"YES","NO")</f>
        <v>YES</v>
      </c>
    </row>
    <row r="366" spans="2:31">
      <c r="B366" t="str">
        <f>'Final data_for_R_analysis_Wetse'!A512</f>
        <v>Wet</v>
      </c>
      <c r="C366" s="263">
        <f>'Final data_for_R_analysis_Wetse'!B512</f>
        <v>71</v>
      </c>
      <c r="D366" t="s">
        <v>3836</v>
      </c>
      <c r="E366" t="s">
        <v>25</v>
      </c>
      <c r="F366" s="387">
        <v>7</v>
      </c>
      <c r="G366" s="16">
        <f>'WetLitterbags placem_collection'!E73</f>
        <v>42767</v>
      </c>
      <c r="H366" s="92" t="str">
        <f>'Final data_for_R_analysis_Wetse'!J512</f>
        <v>G459</v>
      </c>
      <c r="I366" t="str">
        <f>'Final data_for_R_analysis_Wetse'!J732</f>
        <v>R528</v>
      </c>
      <c r="J366">
        <f>IFERROR(INDEX('Green_rooibos initial weight'!$C$5:$C$1749,MATCH(H366, 'Green_rooibos initial weight'!$A$5:$A$1749,0)),"")</f>
        <v>2.0449999999999999</v>
      </c>
      <c r="K366">
        <f>IFERROR(INDEX('Green_rooibos initial weight'!$C$5:$C$1749,MATCH(I366, 'Green_rooibos initial weight'!$A$5:$A$1749,0)),"")</f>
        <v>2.1019999999999999</v>
      </c>
      <c r="L366" s="195">
        <f t="shared" si="38"/>
        <v>1.7951999999999999</v>
      </c>
      <c r="M366" s="195">
        <f>AVERAGE(Ashed_controlls!$K$2:$K$11)</f>
        <v>5.5147656768714146</v>
      </c>
      <c r="N366" s="195">
        <f t="shared" si="36"/>
        <v>1.8521999999999998</v>
      </c>
      <c r="O366" s="16">
        <f>IF('WetLitterbags placem_collection'!G73="N.A","",'WetLitterbags placem_collection'!G73)</f>
        <v>42818</v>
      </c>
      <c r="P366" s="195">
        <f>IF(IFERROR(INDEX('Both teabags AfterWet'!$C$3:$C$841,MATCH(H366,'Both teabags AfterWet'!$A$3:$A$841,0)),"")="N.A","",(IFERROR(INDEX('Both teabags AfterWet'!$C$3:$C$841,MATCH(H366,'Both teabags AfterWet'!$A$3:$A$841,0)),"")))</f>
        <v>0.89149999999999996</v>
      </c>
      <c r="Q366" s="195">
        <f>IFERROR(INDEX('Both teabags AfterWet'!$C$3:$C$841,MATCH(I366,'Both teabags AfterWet'!$A$3:$A$841,0)),"")</f>
        <v>1.5779000000000001</v>
      </c>
      <c r="R366" s="195">
        <f t="shared" si="39"/>
        <v>0.74089999999999989</v>
      </c>
      <c r="S366" s="195">
        <f t="shared" si="39"/>
        <v>1.4273</v>
      </c>
      <c r="T366" s="195">
        <f t="shared" si="40"/>
        <v>0.58728832442067747</v>
      </c>
      <c r="U366" s="195">
        <f t="shared" si="41"/>
        <v>0.38501562361070546</v>
      </c>
      <c r="V366" s="195">
        <f t="shared" si="42"/>
        <v>0.7705971277399849</v>
      </c>
      <c r="W366">
        <f t="shared" si="37"/>
        <v>51</v>
      </c>
      <c r="X366" s="195">
        <f t="shared" si="43"/>
        <v>0.30250792824147565</v>
      </c>
      <c r="Y366" s="195">
        <f t="shared" si="44"/>
        <v>1.7763006986867801E-2</v>
      </c>
      <c r="Z366" s="255" t="str">
        <f>IF(ISNUMBER(SEARCH("C",'WetLitterbags placem_collection'!W293)),"YES","NO")</f>
        <v>NO</v>
      </c>
      <c r="AA366" s="255" t="str">
        <f>IF(ISNUMBER(SEARCH("H", 'WetLitterbags placem_collection'!Y73)),"YES","NO")</f>
        <v>NO</v>
      </c>
      <c r="AB366" s="255" t="str">
        <f>IF(ISNUMBER(SEARCH("R", 'WetLitterbags placem_collection'!WY73)),"YES","NO")</f>
        <v>NO</v>
      </c>
      <c r="AC366" s="255" t="str">
        <f>IF(ISNUMBER(SEARCH("C", 'WetLitterbags placem_collection'!VX73)),"YES","NO")</f>
        <v>NO</v>
      </c>
      <c r="AD366" s="255" t="str">
        <f>IF(ISNUMBER(SEARCH("H", 'WetLitterbags placem_collection'!X73)),"YES","NO")</f>
        <v>NO</v>
      </c>
      <c r="AE366" s="255" t="str">
        <f>IF(ISNUMBER(SEARCH("R", 'WetLitterbags placem_collection'!X73)),"YES","NO")</f>
        <v>YES</v>
      </c>
    </row>
    <row r="367" spans="2:31">
      <c r="B367" t="str">
        <f>'Final data_for_R_analysis_Wetse'!A513</f>
        <v>Wet</v>
      </c>
      <c r="C367" s="263">
        <f>'Final data_for_R_analysis_Wetse'!B513</f>
        <v>72</v>
      </c>
      <c r="D367" t="s">
        <v>3836</v>
      </c>
      <c r="E367" t="s">
        <v>25</v>
      </c>
      <c r="F367" s="387">
        <v>8</v>
      </c>
      <c r="G367" s="16">
        <f>'WetLitterbags placem_collection'!E74</f>
        <v>42767</v>
      </c>
      <c r="H367" s="92" t="str">
        <f>'Final data_for_R_analysis_Wetse'!J513</f>
        <v>G627</v>
      </c>
      <c r="I367" t="str">
        <f>'Final data_for_R_analysis_Wetse'!J733</f>
        <v>R14</v>
      </c>
      <c r="J367">
        <f>IFERROR(INDEX('Green_rooibos initial weight'!$C$5:$C$1749,MATCH(H367, 'Green_rooibos initial weight'!$A$5:$A$1749,0)),"")</f>
        <v>2.153</v>
      </c>
      <c r="K367">
        <f>IFERROR(INDEX('Green_rooibos initial weight'!$C$5:$C$1749,MATCH(I367, 'Green_rooibos initial weight'!$A$5:$A$1749,0)),"")</f>
        <v>2.181</v>
      </c>
      <c r="L367" s="195">
        <f t="shared" si="38"/>
        <v>1.9032</v>
      </c>
      <c r="M367" s="195">
        <f>AVERAGE(Ashed_controlls!$K$2:$K$11)</f>
        <v>5.5147656768714146</v>
      </c>
      <c r="N367" s="195">
        <f t="shared" si="36"/>
        <v>1.9312</v>
      </c>
      <c r="O367" s="16">
        <f>IF('WetLitterbags placem_collection'!G74="N.A","",'WetLitterbags placem_collection'!G74)</f>
        <v>42818</v>
      </c>
      <c r="P367" s="195">
        <f>IF(IFERROR(INDEX('Both teabags AfterWet'!$C$3:$C$841,MATCH(H367,'Both teabags AfterWet'!$A$3:$A$841,0)),"")="N.A","",(IFERROR(INDEX('Both teabags AfterWet'!$C$3:$C$841,MATCH(H367,'Both teabags AfterWet'!$A$3:$A$841,0)),"")))</f>
        <v>0.86350000000000005</v>
      </c>
      <c r="Q367" s="195">
        <f>IFERROR(INDEX('Both teabags AfterWet'!$C$3:$C$841,MATCH(I367,'Both teabags AfterWet'!$A$3:$A$841,0)),"")</f>
        <v>1.5603</v>
      </c>
      <c r="R367" s="195">
        <f t="shared" si="39"/>
        <v>0.71290000000000009</v>
      </c>
      <c r="S367" s="195">
        <f t="shared" si="39"/>
        <v>1.4097</v>
      </c>
      <c r="T367" s="195">
        <f t="shared" si="40"/>
        <v>0.62542034468263974</v>
      </c>
      <c r="U367" s="195">
        <f t="shared" si="41"/>
        <v>0.41001428772543608</v>
      </c>
      <c r="V367" s="195">
        <f t="shared" si="42"/>
        <v>0.72996064623032308</v>
      </c>
      <c r="W367">
        <f t="shared" si="37"/>
        <v>51</v>
      </c>
      <c r="X367" s="195">
        <f t="shared" si="43"/>
        <v>0.2572204932510217</v>
      </c>
      <c r="Y367" s="195">
        <f t="shared" si="44"/>
        <v>2.1073110662666261E-2</v>
      </c>
      <c r="Z367" s="255" t="str">
        <f>IF(ISNUMBER(SEARCH("C",'WetLitterbags placem_collection'!W294)),"YES","NO")</f>
        <v>NO</v>
      </c>
      <c r="AA367" s="255" t="str">
        <f>IF(ISNUMBER(SEARCH("H", 'WetLitterbags placem_collection'!Y74)),"YES","NO")</f>
        <v>NO</v>
      </c>
      <c r="AB367" s="255" t="str">
        <f>IF(ISNUMBER(SEARCH("R", 'WetLitterbags placem_collection'!WY74)),"YES","NO")</f>
        <v>NO</v>
      </c>
      <c r="AC367" s="255" t="str">
        <f>IF(ISNUMBER(SEARCH("C", 'WetLitterbags placem_collection'!VX74)),"YES","NO")</f>
        <v>NO</v>
      </c>
      <c r="AD367" s="255" t="str">
        <f>IF(ISNUMBER(SEARCH("H", 'WetLitterbags placem_collection'!X74)),"YES","NO")</f>
        <v>NO</v>
      </c>
      <c r="AE367" s="255" t="str">
        <f>IF(ISNUMBER(SEARCH("R", 'WetLitterbags placem_collection'!X74)),"YES","NO")</f>
        <v>YES</v>
      </c>
    </row>
    <row r="368" spans="2:31">
      <c r="B368" t="str">
        <f>'Final data_for_R_analysis_Wetse'!A514</f>
        <v>Wet</v>
      </c>
      <c r="C368" s="263">
        <f>'Final data_for_R_analysis_Wetse'!B514</f>
        <v>73</v>
      </c>
      <c r="D368" t="s">
        <v>3838</v>
      </c>
      <c r="E368" t="s">
        <v>25</v>
      </c>
      <c r="F368" s="386">
        <v>1</v>
      </c>
      <c r="G368" s="16">
        <f>'WetLitterbags placem_collection'!E75</f>
        <v>42767</v>
      </c>
      <c r="H368" s="92" t="str">
        <f>'Final data_for_R_analysis_Wetse'!J514</f>
        <v>G498</v>
      </c>
      <c r="I368" t="str">
        <f>'Final data_for_R_analysis_Wetse'!J734</f>
        <v>R393</v>
      </c>
      <c r="J368">
        <f>IFERROR(INDEX('Green_rooibos initial weight'!$C$5:$C$1749,MATCH(H368, 'Green_rooibos initial weight'!$A$5:$A$1749,0)),"")</f>
        <v>1.744</v>
      </c>
      <c r="K368">
        <f>IFERROR(INDEX('Green_rooibos initial weight'!$C$5:$C$1749,MATCH(I368, 'Green_rooibos initial weight'!$A$5:$A$1749,0)),"")</f>
        <v>2.1829999999999998</v>
      </c>
      <c r="L368" s="195">
        <f t="shared" si="38"/>
        <v>1.4942</v>
      </c>
      <c r="M368" s="195">
        <f>AVERAGE(Ashed_controlls!$K$2:$K$11)</f>
        <v>5.5147656768714146</v>
      </c>
      <c r="N368" s="195">
        <f t="shared" si="36"/>
        <v>1.9331999999999998</v>
      </c>
      <c r="O368" s="16">
        <f>IF('WetLitterbags placem_collection'!G75="N.A","",'WetLitterbags placem_collection'!G75)</f>
        <v>42818</v>
      </c>
      <c r="P368" s="195">
        <f>IF(IFERROR(INDEX('Both teabags AfterWet'!$C$3:$C$841,MATCH(H368,'Both teabags AfterWet'!$A$3:$A$841,0)),"")="N.A","",(IFERROR(INDEX('Both teabags AfterWet'!$C$3:$C$841,MATCH(H368,'Both teabags AfterWet'!$A$3:$A$841,0)),"")))</f>
        <v>0.73209999999999997</v>
      </c>
      <c r="Q368" s="195">
        <f>IFERROR(INDEX('Both teabags AfterWet'!$C$3:$C$841,MATCH(I368,'Both teabags AfterWet'!$A$3:$A$841,0)),"")</f>
        <v>1.6598999999999999</v>
      </c>
      <c r="R368" s="195">
        <f t="shared" si="39"/>
        <v>0.58149999999999991</v>
      </c>
      <c r="S368" s="195">
        <f t="shared" si="39"/>
        <v>1.5092999999999999</v>
      </c>
      <c r="T368" s="195">
        <f t="shared" si="40"/>
        <v>0.61082853700977124</v>
      </c>
      <c r="U368" s="195">
        <f t="shared" si="41"/>
        <v>0.40044816203015887</v>
      </c>
      <c r="V368" s="195">
        <f t="shared" si="42"/>
        <v>0.78072625698324027</v>
      </c>
      <c r="W368">
        <f t="shared" si="37"/>
        <v>51</v>
      </c>
      <c r="X368" s="195">
        <f t="shared" si="43"/>
        <v>0.27455043110478472</v>
      </c>
      <c r="Y368" s="195">
        <f t="shared" si="44"/>
        <v>1.5551453270158585E-2</v>
      </c>
      <c r="Z368" s="255" t="str">
        <f>IF(ISNUMBER(SEARCH("C",'WetLitterbags placem_collection'!W295)),"YES","NO")</f>
        <v>NO</v>
      </c>
      <c r="AA368" s="255" t="str">
        <f>IF(ISNUMBER(SEARCH("H", 'WetLitterbags placem_collection'!Y75)),"YES","NO")</f>
        <v>NO</v>
      </c>
      <c r="AB368" s="255" t="str">
        <f>IF(ISNUMBER(SEARCH("R", 'WetLitterbags placem_collection'!WY75)),"YES","NO")</f>
        <v>NO</v>
      </c>
      <c r="AC368" s="255" t="str">
        <f>IF(ISNUMBER(SEARCH("C", 'WetLitterbags placem_collection'!VX75)),"YES","NO")</f>
        <v>NO</v>
      </c>
      <c r="AD368" s="255" t="str">
        <f>IF(ISNUMBER(SEARCH("H", 'WetLitterbags placem_collection'!X75)),"YES","NO")</f>
        <v>NO</v>
      </c>
      <c r="AE368" s="255" t="str">
        <f>IF(ISNUMBER(SEARCH("R", 'WetLitterbags placem_collection'!X75)),"YES","NO")</f>
        <v>YES</v>
      </c>
    </row>
    <row r="369" spans="2:31">
      <c r="B369" t="str">
        <f>'Final data_for_R_analysis_Wetse'!A515</f>
        <v>Wet</v>
      </c>
      <c r="C369" s="263">
        <f>'Final data_for_R_analysis_Wetse'!B515</f>
        <v>74</v>
      </c>
      <c r="D369" t="s">
        <v>3838</v>
      </c>
      <c r="E369" t="s">
        <v>25</v>
      </c>
      <c r="F369" s="386">
        <v>2</v>
      </c>
      <c r="G369" s="16">
        <f>'WetLitterbags placem_collection'!E76</f>
        <v>42767</v>
      </c>
      <c r="H369" s="92" t="str">
        <f>'Final data_for_R_analysis_Wetse'!J515</f>
        <v>G579</v>
      </c>
      <c r="I369" t="str">
        <f>'Final data_for_R_analysis_Wetse'!J735</f>
        <v>R138</v>
      </c>
      <c r="J369">
        <f>IFERROR(INDEX('Green_rooibos initial weight'!$C$5:$C$1749,MATCH(H369, 'Green_rooibos initial weight'!$A$5:$A$1749,0)),"")</f>
        <v>2.012</v>
      </c>
      <c r="K369">
        <f>IFERROR(INDEX('Green_rooibos initial weight'!$C$5:$C$1749,MATCH(I369, 'Green_rooibos initial weight'!$A$5:$A$1749,0)),"")</f>
        <v>2.3140000000000001</v>
      </c>
      <c r="L369" s="195">
        <f t="shared" si="38"/>
        <v>1.7622</v>
      </c>
      <c r="M369" s="195">
        <f>AVERAGE(Ashed_controlls!$K$2:$K$11)</f>
        <v>5.5147656768714146</v>
      </c>
      <c r="N369" s="195">
        <f t="shared" si="36"/>
        <v>2.0642</v>
      </c>
      <c r="O369" s="16">
        <f>IF('WetLitterbags placem_collection'!G76="N.A","",'WetLitterbags placem_collection'!G76)</f>
        <v>42818</v>
      </c>
      <c r="P369" s="195">
        <f>IF(IFERROR(INDEX('Both teabags AfterWet'!$C$3:$C$841,MATCH(H369,'Both teabags AfterWet'!$A$3:$A$841,0)),"")="N.A","",(IFERROR(INDEX('Both teabags AfterWet'!$C$3:$C$841,MATCH(H369,'Both teabags AfterWet'!$A$3:$A$841,0)),"")))</f>
        <v>0.74199999999999999</v>
      </c>
      <c r="Q369" s="195">
        <f>IFERROR(INDEX('Both teabags AfterWet'!$C$3:$C$841,MATCH(I369,'Both teabags AfterWet'!$A$3:$A$841,0)),"")</f>
        <v>1.6850000000000001</v>
      </c>
      <c r="R369" s="195">
        <f t="shared" si="39"/>
        <v>0.59139999999999993</v>
      </c>
      <c r="S369" s="195">
        <f t="shared" si="39"/>
        <v>1.5344</v>
      </c>
      <c r="T369" s="195">
        <f t="shared" si="40"/>
        <v>0.66439677675632736</v>
      </c>
      <c r="U369" s="195">
        <f t="shared" si="41"/>
        <v>0.43556653298039516</v>
      </c>
      <c r="V369" s="195">
        <f t="shared" si="42"/>
        <v>0.7433388237573878</v>
      </c>
      <c r="W369">
        <f t="shared" si="37"/>
        <v>51</v>
      </c>
      <c r="X369" s="195">
        <f t="shared" si="43"/>
        <v>0.2109301938760958</v>
      </c>
      <c r="Y369" s="195">
        <f t="shared" si="44"/>
        <v>1.7446875013695552E-2</v>
      </c>
      <c r="Z369" s="255" t="str">
        <f>IF(ISNUMBER(SEARCH("C",'WetLitterbags placem_collection'!W296)),"YES","NO")</f>
        <v>NO</v>
      </c>
      <c r="AA369" s="255" t="str">
        <f>IF(ISNUMBER(SEARCH("H", 'WetLitterbags placem_collection'!Y76)),"YES","NO")</f>
        <v>NO</v>
      </c>
      <c r="AB369" s="255" t="str">
        <f>IF(ISNUMBER(SEARCH("R", 'WetLitterbags placem_collection'!WY76)),"YES","NO")</f>
        <v>NO</v>
      </c>
      <c r="AC369" s="255" t="str">
        <f>IF(ISNUMBER(SEARCH("C", 'WetLitterbags placem_collection'!VX76)),"YES","NO")</f>
        <v>NO</v>
      </c>
      <c r="AD369" s="255" t="str">
        <f>IF(ISNUMBER(SEARCH("H", 'WetLitterbags placem_collection'!X76)),"YES","NO")</f>
        <v>NO</v>
      </c>
      <c r="AE369" s="255" t="str">
        <f>IF(ISNUMBER(SEARCH("R", 'WetLitterbags placem_collection'!X76)),"YES","NO")</f>
        <v>YES</v>
      </c>
    </row>
    <row r="370" spans="2:31">
      <c r="B370" t="str">
        <f>'Final data_for_R_analysis_Wetse'!A516</f>
        <v>Wet</v>
      </c>
      <c r="C370" s="263">
        <f>'Final data_for_R_analysis_Wetse'!B516</f>
        <v>75</v>
      </c>
      <c r="D370" t="s">
        <v>3838</v>
      </c>
      <c r="E370" t="s">
        <v>25</v>
      </c>
      <c r="F370" s="386">
        <v>3</v>
      </c>
      <c r="G370" s="16">
        <f>'WetLitterbags placem_collection'!E77</f>
        <v>42767</v>
      </c>
      <c r="H370" s="92" t="str">
        <f>'Final data_for_R_analysis_Wetse'!J516</f>
        <v>G373</v>
      </c>
      <c r="I370" t="str">
        <f>'Final data_for_R_analysis_Wetse'!J736</f>
        <v>R311</v>
      </c>
      <c r="J370">
        <f>IFERROR(INDEX('Green_rooibos initial weight'!$C$5:$C$1749,MATCH(H370, 'Green_rooibos initial weight'!$A$5:$A$1749,0)),"")</f>
        <v>2.1</v>
      </c>
      <c r="K370">
        <f>IFERROR(INDEX('Green_rooibos initial weight'!$C$5:$C$1749,MATCH(I370, 'Green_rooibos initial weight'!$A$5:$A$1749,0)),"")</f>
        <v>2.2719999999999998</v>
      </c>
      <c r="L370" s="195">
        <f t="shared" si="38"/>
        <v>1.8502000000000001</v>
      </c>
      <c r="M370" s="195">
        <f>AVERAGE(Ashed_controlls!$K$2:$K$11)</f>
        <v>5.5147656768714146</v>
      </c>
      <c r="N370" s="195">
        <f t="shared" si="36"/>
        <v>2.0221999999999998</v>
      </c>
      <c r="O370" s="16">
        <f>IF('WetLitterbags placem_collection'!G77="N.A","",'WetLitterbags placem_collection'!G77)</f>
        <v>42818</v>
      </c>
      <c r="P370" s="195">
        <f>IF(IFERROR(INDEX('Both teabags AfterWet'!$C$3:$C$841,MATCH(H370,'Both teabags AfterWet'!$A$3:$A$841,0)),"")="N.A","",(IFERROR(INDEX('Both teabags AfterWet'!$C$3:$C$841,MATCH(H370,'Both teabags AfterWet'!$A$3:$A$841,0)),"")))</f>
        <v>0.93330000000000002</v>
      </c>
      <c r="Q370" s="195">
        <f>IFERROR(INDEX('Both teabags AfterWet'!$C$3:$C$841,MATCH(I370,'Both teabags AfterWet'!$A$3:$A$841,0)),"")</f>
        <v>1.6715</v>
      </c>
      <c r="R370" s="195">
        <f t="shared" si="39"/>
        <v>0.78269999999999995</v>
      </c>
      <c r="S370" s="195">
        <f t="shared" si="39"/>
        <v>1.5208999999999999</v>
      </c>
      <c r="T370" s="195">
        <f t="shared" si="40"/>
        <v>0.57696465247000328</v>
      </c>
      <c r="U370" s="195">
        <f t="shared" si="41"/>
        <v>0.3782476106454179</v>
      </c>
      <c r="V370" s="195">
        <f t="shared" si="42"/>
        <v>0.75210167144693907</v>
      </c>
      <c r="W370">
        <f t="shared" si="37"/>
        <v>51</v>
      </c>
      <c r="X370" s="195">
        <f t="shared" si="43"/>
        <v>0.31476882129453287</v>
      </c>
      <c r="Y370" s="195">
        <f t="shared" si="44"/>
        <v>2.0888851038365092E-2</v>
      </c>
      <c r="Z370" s="255" t="str">
        <f>IF(ISNUMBER(SEARCH("C",'WetLitterbags placem_collection'!W297)),"YES","NO")</f>
        <v>NO</v>
      </c>
      <c r="AA370" s="255" t="str">
        <f>IF(ISNUMBER(SEARCH("H", 'WetLitterbags placem_collection'!Y77)),"YES","NO")</f>
        <v>NO</v>
      </c>
      <c r="AB370" s="255" t="str">
        <f>IF(ISNUMBER(SEARCH("R", 'WetLitterbags placem_collection'!WY77)),"YES","NO")</f>
        <v>NO</v>
      </c>
      <c r="AC370" s="255" t="str">
        <f>IF(ISNUMBER(SEARCH("C", 'WetLitterbags placem_collection'!VX77)),"YES","NO")</f>
        <v>NO</v>
      </c>
      <c r="AD370" s="255" t="str">
        <f>IF(ISNUMBER(SEARCH("H", 'WetLitterbags placem_collection'!X77)),"YES","NO")</f>
        <v>NO</v>
      </c>
      <c r="AE370" s="255" t="str">
        <f>IF(ISNUMBER(SEARCH("R", 'WetLitterbags placem_collection'!X77)),"YES","NO")</f>
        <v>YES</v>
      </c>
    </row>
    <row r="371" spans="2:31">
      <c r="B371" t="str">
        <f>'Final data_for_R_analysis_Wetse'!A517</f>
        <v>Wet</v>
      </c>
      <c r="C371" s="263">
        <f>'Final data_for_R_analysis_Wetse'!B517</f>
        <v>76</v>
      </c>
      <c r="D371" t="s">
        <v>3838</v>
      </c>
      <c r="E371" t="s">
        <v>25</v>
      </c>
      <c r="F371" s="387">
        <v>4</v>
      </c>
      <c r="G371" s="16">
        <f>'WetLitterbags placem_collection'!E78</f>
        <v>42767</v>
      </c>
      <c r="H371" s="92" t="str">
        <f>'Final data_for_R_analysis_Wetse'!J517</f>
        <v>G603</v>
      </c>
      <c r="I371" t="str">
        <f>'Final data_for_R_analysis_Wetse'!J737</f>
        <v>R183</v>
      </c>
      <c r="J371">
        <f>IFERROR(INDEX('Green_rooibos initial weight'!$C$5:$C$1749,MATCH(H371, 'Green_rooibos initial weight'!$A$5:$A$1749,0)),"")</f>
        <v>2.0430000000000001</v>
      </c>
      <c r="K371">
        <f>IFERROR(INDEX('Green_rooibos initial weight'!$C$5:$C$1749,MATCH(I371, 'Green_rooibos initial weight'!$A$5:$A$1749,0)),"")</f>
        <v>2.262</v>
      </c>
      <c r="L371" s="195">
        <f t="shared" si="38"/>
        <v>1.7932000000000001</v>
      </c>
      <c r="M371" s="195">
        <f>AVERAGE(Ashed_controlls!$K$2:$K$11)</f>
        <v>5.5147656768714146</v>
      </c>
      <c r="N371" s="195">
        <f t="shared" si="36"/>
        <v>2.0122</v>
      </c>
      <c r="O371" s="16">
        <f>IF('WetLitterbags placem_collection'!G78="N.A","",'WetLitterbags placem_collection'!G78)</f>
        <v>42818</v>
      </c>
      <c r="P371" s="195">
        <f>IF(IFERROR(INDEX('Both teabags AfterWet'!$C$3:$C$841,MATCH(H371,'Both teabags AfterWet'!$A$3:$A$841,0)),"")="N.A","",(IFERROR(INDEX('Both teabags AfterWet'!$C$3:$C$841,MATCH(H371,'Both teabags AfterWet'!$A$3:$A$841,0)),"")))</f>
        <v>0.82299999999999995</v>
      </c>
      <c r="Q371" s="195">
        <f>IFERROR(INDEX('Both teabags AfterWet'!$C$3:$C$841,MATCH(I371,'Both teabags AfterWet'!$A$3:$A$841,0)),"")</f>
        <v>1.7490000000000001</v>
      </c>
      <c r="R371" s="195">
        <f t="shared" si="39"/>
        <v>0.67239999999999989</v>
      </c>
      <c r="S371" s="195">
        <f t="shared" si="39"/>
        <v>1.5984</v>
      </c>
      <c r="T371" s="195">
        <f t="shared" si="40"/>
        <v>0.62502788311398627</v>
      </c>
      <c r="U371" s="195">
        <f t="shared" si="41"/>
        <v>0.40975699700584378</v>
      </c>
      <c r="V371" s="195">
        <f t="shared" si="42"/>
        <v>0.79435443792863536</v>
      </c>
      <c r="W371">
        <f t="shared" si="37"/>
        <v>51</v>
      </c>
      <c r="X371" s="195">
        <f t="shared" si="43"/>
        <v>0.25768659962709461</v>
      </c>
      <c r="Y371" s="195">
        <f t="shared" si="44"/>
        <v>1.3664670575988812E-2</v>
      </c>
      <c r="Z371" s="255" t="str">
        <f>IF(ISNUMBER(SEARCH("C",'WetLitterbags placem_collection'!W298)),"YES","NO")</f>
        <v>NO</v>
      </c>
      <c r="AA371" s="255" t="str">
        <f>IF(ISNUMBER(SEARCH("H", 'WetLitterbags placem_collection'!Y78)),"YES","NO")</f>
        <v>NO</v>
      </c>
      <c r="AB371" s="255" t="str">
        <f>IF(ISNUMBER(SEARCH("R", 'WetLitterbags placem_collection'!WY78)),"YES","NO")</f>
        <v>NO</v>
      </c>
      <c r="AC371" s="255" t="str">
        <f>IF(ISNUMBER(SEARCH("C", 'WetLitterbags placem_collection'!VX78)),"YES","NO")</f>
        <v>NO</v>
      </c>
      <c r="AD371" s="255" t="str">
        <f>IF(ISNUMBER(SEARCH("H", 'WetLitterbags placem_collection'!X78)),"YES","NO")</f>
        <v>NO</v>
      </c>
      <c r="AE371" s="255" t="str">
        <f>IF(ISNUMBER(SEARCH("R", 'WetLitterbags placem_collection'!X78)),"YES","NO")</f>
        <v>YES</v>
      </c>
    </row>
    <row r="372" spans="2:31">
      <c r="B372" t="str">
        <f>'Final data_for_R_analysis_Wetse'!A518</f>
        <v>Wet</v>
      </c>
      <c r="C372" s="263">
        <f>'Final data_for_R_analysis_Wetse'!B518</f>
        <v>77</v>
      </c>
      <c r="D372" t="s">
        <v>3838</v>
      </c>
      <c r="E372" t="s">
        <v>25</v>
      </c>
      <c r="F372" s="387">
        <v>5</v>
      </c>
      <c r="G372" s="16">
        <f>'WetLitterbags placem_collection'!E79</f>
        <v>42767</v>
      </c>
      <c r="H372" s="92" t="str">
        <f>'Final data_for_R_analysis_Wetse'!J518</f>
        <v>G509</v>
      </c>
      <c r="I372" t="str">
        <f>'Final data_for_R_analysis_Wetse'!J738</f>
        <v>R228</v>
      </c>
      <c r="J372">
        <f>IFERROR(INDEX('Green_rooibos initial weight'!$C$5:$C$1749,MATCH(H372, 'Green_rooibos initial weight'!$A$5:$A$1749,0)),"")</f>
        <v>2.048</v>
      </c>
      <c r="K372">
        <f>IFERROR(INDEX('Green_rooibos initial weight'!$C$5:$C$1749,MATCH(I372, 'Green_rooibos initial weight'!$A$5:$A$1749,0)),"")</f>
        <v>2.2040000000000002</v>
      </c>
      <c r="L372" s="195">
        <f t="shared" si="38"/>
        <v>1.7982</v>
      </c>
      <c r="M372" s="195">
        <f>AVERAGE(Ashed_controlls!$K$2:$K$11)</f>
        <v>5.5147656768714146</v>
      </c>
      <c r="N372" s="195">
        <f t="shared" si="36"/>
        <v>1.9542000000000002</v>
      </c>
      <c r="O372" s="16">
        <f>IF('WetLitterbags placem_collection'!G79="N.A","",'WetLitterbags placem_collection'!G79)</f>
        <v>42818</v>
      </c>
      <c r="P372" s="195">
        <f>IF(IFERROR(INDEX('Both teabags AfterWet'!$C$3:$C$841,MATCH(H372,'Both teabags AfterWet'!$A$3:$A$841,0)),"")="N.A","",(IFERROR(INDEX('Both teabags AfterWet'!$C$3:$C$841,MATCH(H372,'Both teabags AfterWet'!$A$3:$A$841,0)),"")))</f>
        <v>1.012</v>
      </c>
      <c r="Q372" s="195">
        <f>IFERROR(INDEX('Both teabags AfterWet'!$C$3:$C$841,MATCH(I372,'Both teabags AfterWet'!$A$3:$A$841,0)),"")</f>
        <v>2.2429999999999999</v>
      </c>
      <c r="R372" s="195">
        <f t="shared" si="39"/>
        <v>0.86139999999999994</v>
      </c>
      <c r="S372" s="195">
        <f t="shared" si="39"/>
        <v>2.0924</v>
      </c>
      <c r="T372" s="195">
        <f t="shared" si="40"/>
        <v>0.52096540985429884</v>
      </c>
      <c r="U372" s="195">
        <f t="shared" si="41"/>
        <v>0.34153551809925531</v>
      </c>
      <c r="V372" s="195">
        <f t="shared" si="42"/>
        <v>1.0707194760004093</v>
      </c>
      <c r="W372">
        <f t="shared" si="37"/>
        <v>51</v>
      </c>
      <c r="X372" s="195">
        <f t="shared" si="43"/>
        <v>0.38127623532743604</v>
      </c>
      <c r="Y372" s="195">
        <f t="shared" si="44"/>
        <v>-3.6900077620948637E-3</v>
      </c>
      <c r="Z372" s="255" t="str">
        <f>IF(ISNUMBER(SEARCH("C",'WetLitterbags placem_collection'!W299)),"YES","NO")</f>
        <v>NO</v>
      </c>
      <c r="AA372" s="255" t="str">
        <f>IF(ISNUMBER(SEARCH("H", 'WetLitterbags placem_collection'!Y79)),"YES","NO")</f>
        <v>NO</v>
      </c>
      <c r="AB372" s="255" t="str">
        <f>IF(ISNUMBER(SEARCH("R", 'WetLitterbags placem_collection'!WY79)),"YES","NO")</f>
        <v>NO</v>
      </c>
      <c r="AC372" s="255" t="str">
        <f>IF(ISNUMBER(SEARCH("C", 'WetLitterbags placem_collection'!VX79)),"YES","NO")</f>
        <v>NO</v>
      </c>
      <c r="AD372" s="255" t="str">
        <f>IF(ISNUMBER(SEARCH("H", 'WetLitterbags placem_collection'!X79)),"YES","NO")</f>
        <v>NO</v>
      </c>
      <c r="AE372" s="255" t="str">
        <f>IF(ISNUMBER(SEARCH("R", 'WetLitterbags placem_collection'!X79)),"YES","NO")</f>
        <v>YES</v>
      </c>
    </row>
    <row r="373" spans="2:31">
      <c r="B373" t="str">
        <f>'Final data_for_R_analysis_Wetse'!A519</f>
        <v>Wet</v>
      </c>
      <c r="C373" s="263">
        <f>'Final data_for_R_analysis_Wetse'!B519</f>
        <v>78</v>
      </c>
      <c r="D373" t="s">
        <v>3838</v>
      </c>
      <c r="E373" t="s">
        <v>25</v>
      </c>
      <c r="F373" s="387">
        <v>6</v>
      </c>
      <c r="G373" s="16">
        <f>'WetLitterbags placem_collection'!E80</f>
        <v>42767</v>
      </c>
      <c r="H373" s="92" t="str">
        <f>'Final data_for_R_analysis_Wetse'!J519</f>
        <v>G446</v>
      </c>
      <c r="I373" t="str">
        <f>'Final data_for_R_analysis_Wetse'!J739</f>
        <v>R100</v>
      </c>
      <c r="J373">
        <f>IFERROR(INDEX('Green_rooibos initial weight'!$C$5:$C$1749,MATCH(H373, 'Green_rooibos initial weight'!$A$5:$A$1749,0)),"")</f>
        <v>1.9319999999999999</v>
      </c>
      <c r="K373">
        <f>IFERROR(INDEX('Green_rooibos initial weight'!$C$5:$C$1749,MATCH(I373, 'Green_rooibos initial weight'!$A$5:$A$1749,0)),"")</f>
        <v>2.2549999999999999</v>
      </c>
      <c r="L373" s="195">
        <f t="shared" si="38"/>
        <v>1.6821999999999999</v>
      </c>
      <c r="M373" s="195">
        <f>AVERAGE(Ashed_controlls!$K$2:$K$11)</f>
        <v>5.5147656768714146</v>
      </c>
      <c r="N373" s="195">
        <f t="shared" si="36"/>
        <v>2.0051999999999999</v>
      </c>
      <c r="O373" s="16">
        <f>IF('WetLitterbags placem_collection'!G80="N.A","",'WetLitterbags placem_collection'!G80)</f>
        <v>42818</v>
      </c>
      <c r="P373" s="195">
        <f>IF(IFERROR(INDEX('Both teabags AfterWet'!$C$3:$C$841,MATCH(H373,'Both teabags AfterWet'!$A$3:$A$841,0)),"")="N.A","",(IFERROR(INDEX('Both teabags AfterWet'!$C$3:$C$841,MATCH(H373,'Both teabags AfterWet'!$A$3:$A$841,0)),"")))</f>
        <v>0.77859999999999996</v>
      </c>
      <c r="Q373" s="195">
        <f>IFERROR(INDEX('Both teabags AfterWet'!$C$3:$C$841,MATCH(I373,'Both teabags AfterWet'!$A$3:$A$841,0)),"")</f>
        <v>1.7222999999999999</v>
      </c>
      <c r="R373" s="195">
        <f t="shared" si="39"/>
        <v>0.62799999999999989</v>
      </c>
      <c r="S373" s="195">
        <f t="shared" si="39"/>
        <v>1.5716999999999999</v>
      </c>
      <c r="T373" s="195">
        <f t="shared" si="40"/>
        <v>0.62667934847223883</v>
      </c>
      <c r="U373" s="195">
        <f t="shared" si="41"/>
        <v>0.41083966788203785</v>
      </c>
      <c r="V373" s="195">
        <f t="shared" si="42"/>
        <v>0.78381208856971873</v>
      </c>
      <c r="W373">
        <f t="shared" si="37"/>
        <v>51</v>
      </c>
      <c r="X373" s="195">
        <f t="shared" si="43"/>
        <v>0.25572523934413438</v>
      </c>
      <c r="Y373" s="195">
        <f t="shared" si="44"/>
        <v>1.4646881142210567E-2</v>
      </c>
      <c r="Z373" s="255" t="str">
        <f>IF(ISNUMBER(SEARCH("C",'WetLitterbags placem_collection'!W300)),"YES","NO")</f>
        <v>NO</v>
      </c>
      <c r="AA373" s="255" t="str">
        <f>IF(ISNUMBER(SEARCH("H", 'WetLitterbags placem_collection'!Y80)),"YES","NO")</f>
        <v>NO</v>
      </c>
      <c r="AB373" s="255" t="str">
        <f>IF(ISNUMBER(SEARCH("R", 'WetLitterbags placem_collection'!WY80)),"YES","NO")</f>
        <v>NO</v>
      </c>
      <c r="AC373" s="255" t="str">
        <f>IF(ISNUMBER(SEARCH("C", 'WetLitterbags placem_collection'!VX80)),"YES","NO")</f>
        <v>NO</v>
      </c>
      <c r="AD373" s="255" t="str">
        <f>IF(ISNUMBER(SEARCH("H", 'WetLitterbags placem_collection'!X80)),"YES","NO")</f>
        <v>NO</v>
      </c>
      <c r="AE373" s="255" t="str">
        <f>IF(ISNUMBER(SEARCH("R", 'WetLitterbags placem_collection'!X80)),"YES","NO")</f>
        <v>YES</v>
      </c>
    </row>
    <row r="374" spans="2:31">
      <c r="B374" t="str">
        <f>'Final data_for_R_analysis_Wetse'!A520</f>
        <v>Wet</v>
      </c>
      <c r="C374" s="263">
        <f>'Final data_for_R_analysis_Wetse'!B520</f>
        <v>79</v>
      </c>
      <c r="D374" t="s">
        <v>3838</v>
      </c>
      <c r="E374" t="s">
        <v>25</v>
      </c>
      <c r="F374" s="387">
        <v>7</v>
      </c>
      <c r="G374" s="16">
        <f>'WetLitterbags placem_collection'!E81</f>
        <v>42767</v>
      </c>
      <c r="H374" s="92" t="str">
        <f>'Final data_for_R_analysis_Wetse'!J520</f>
        <v>G249</v>
      </c>
      <c r="I374" t="str">
        <f>'Final data_for_R_analysis_Wetse'!J740</f>
        <v>R56</v>
      </c>
      <c r="J374">
        <f>IFERROR(INDEX('Green_rooibos initial weight'!$C$5:$C$1749,MATCH(H374, 'Green_rooibos initial weight'!$A$5:$A$1749,0)),"")</f>
        <v>2.0219999999999998</v>
      </c>
      <c r="K374">
        <f>IFERROR(INDEX('Green_rooibos initial weight'!$C$5:$C$1749,MATCH(I374, 'Green_rooibos initial weight'!$A$5:$A$1749,0)),"")</f>
        <v>2.1829999999999998</v>
      </c>
      <c r="L374" s="195">
        <f t="shared" si="38"/>
        <v>1.7721999999999998</v>
      </c>
      <c r="M374" s="195">
        <f>AVERAGE(Ashed_controlls!$K$2:$K$11)</f>
        <v>5.5147656768714146</v>
      </c>
      <c r="N374" s="195">
        <f t="shared" si="36"/>
        <v>1.9331999999999998</v>
      </c>
      <c r="O374" s="16">
        <f>IF('WetLitterbags placem_collection'!G81="N.A","",'WetLitterbags placem_collection'!G81)</f>
        <v>42818</v>
      </c>
      <c r="P374" s="195">
        <f>IF(IFERROR(INDEX('Both teabags AfterWet'!$C$3:$C$841,MATCH(H374,'Both teabags AfterWet'!$A$3:$A$841,0)),"")="N.A","",(IFERROR(INDEX('Both teabags AfterWet'!$C$3:$C$841,MATCH(H374,'Both teabags AfterWet'!$A$3:$A$841,0)),"")))</f>
        <v>0.97550000000000003</v>
      </c>
      <c r="Q374" s="195">
        <f>IFERROR(INDEX('Both teabags AfterWet'!$C$3:$C$841,MATCH(I374,'Both teabags AfterWet'!$A$3:$A$841,0)),"")</f>
        <v>1.6438999999999999</v>
      </c>
      <c r="R374" s="195">
        <f t="shared" si="39"/>
        <v>0.82489999999999997</v>
      </c>
      <c r="S374" s="195">
        <f t="shared" si="39"/>
        <v>1.4932999999999998</v>
      </c>
      <c r="T374" s="195">
        <f t="shared" si="40"/>
        <v>0.53453334838054389</v>
      </c>
      <c r="U374" s="195">
        <f t="shared" si="41"/>
        <v>0.35043041366515471</v>
      </c>
      <c r="V374" s="195">
        <f t="shared" si="42"/>
        <v>0.77244982412580177</v>
      </c>
      <c r="W374">
        <f t="shared" si="37"/>
        <v>51</v>
      </c>
      <c r="X374" s="195">
        <f t="shared" si="43"/>
        <v>0.36516229408486467</v>
      </c>
      <c r="Y374" s="195">
        <f t="shared" si="44"/>
        <v>2.0548077406665588E-2</v>
      </c>
      <c r="Z374" s="255" t="str">
        <f>IF(ISNUMBER(SEARCH("C",'WetLitterbags placem_collection'!W301)),"YES","NO")</f>
        <v>NO</v>
      </c>
      <c r="AA374" s="255" t="str">
        <f>IF(ISNUMBER(SEARCH("H", 'WetLitterbags placem_collection'!Y81)),"YES","NO")</f>
        <v>NO</v>
      </c>
      <c r="AB374" s="255" t="str">
        <f>IF(ISNUMBER(SEARCH("R", 'WetLitterbags placem_collection'!WY81)),"YES","NO")</f>
        <v>NO</v>
      </c>
      <c r="AC374" s="255" t="str">
        <f>IF(ISNUMBER(SEARCH("C", 'WetLitterbags placem_collection'!VX81)),"YES","NO")</f>
        <v>NO</v>
      </c>
      <c r="AD374" s="255" t="str">
        <f>IF(ISNUMBER(SEARCH("H", 'WetLitterbags placem_collection'!X81)),"YES","NO")</f>
        <v>NO</v>
      </c>
      <c r="AE374" s="255" t="str">
        <f>IF(ISNUMBER(SEARCH("R", 'WetLitterbags placem_collection'!X81)),"YES","NO")</f>
        <v>YES</v>
      </c>
    </row>
    <row r="375" spans="2:31">
      <c r="B375" t="str">
        <f>'Final data_for_R_analysis_Wetse'!A521</f>
        <v>Wet</v>
      </c>
      <c r="C375" s="263">
        <f>'Final data_for_R_analysis_Wetse'!B521</f>
        <v>80</v>
      </c>
      <c r="D375" t="s">
        <v>3838</v>
      </c>
      <c r="E375" t="s">
        <v>25</v>
      </c>
      <c r="F375" s="387">
        <v>8</v>
      </c>
      <c r="G375" s="16">
        <f>'WetLitterbags placem_collection'!E82</f>
        <v>42767</v>
      </c>
      <c r="H375" s="92" t="str">
        <f>'Final data_for_R_analysis_Wetse'!J521</f>
        <v>G474</v>
      </c>
      <c r="I375" t="str">
        <f>'Final data_for_R_analysis_Wetse'!J741</f>
        <v>R68</v>
      </c>
      <c r="J375">
        <f>IFERROR(INDEX('Green_rooibos initial weight'!$C$5:$C$1749,MATCH(H375, 'Green_rooibos initial weight'!$A$5:$A$1749,0)),"")</f>
        <v>2.1930000000000001</v>
      </c>
      <c r="K375">
        <f>IFERROR(INDEX('Green_rooibos initial weight'!$C$5:$C$1749,MATCH(I375, 'Green_rooibos initial weight'!$A$5:$A$1749,0)),"")</f>
        <v>2.2370000000000001</v>
      </c>
      <c r="L375" s="195">
        <f t="shared" si="38"/>
        <v>1.9432</v>
      </c>
      <c r="M375" s="195">
        <f>AVERAGE(Ashed_controlls!$K$2:$K$11)</f>
        <v>5.5147656768714146</v>
      </c>
      <c r="N375" s="195">
        <f t="shared" si="36"/>
        <v>1.9872000000000001</v>
      </c>
      <c r="O375" s="16">
        <f>IF('WetLitterbags placem_collection'!G82="N.A","",'WetLitterbags placem_collection'!G82)</f>
        <v>42818</v>
      </c>
      <c r="P375" s="195">
        <f>IF(IFERROR(INDEX('Both teabags AfterWet'!$C$3:$C$841,MATCH(H375,'Both teabags AfterWet'!$A$3:$A$841,0)),"")="N.A","",(IFERROR(INDEX('Both teabags AfterWet'!$C$3:$C$841,MATCH(H375,'Both teabags AfterWet'!$A$3:$A$841,0)),"")))</f>
        <v>1.0009999999999999</v>
      </c>
      <c r="Q375" s="195">
        <f>IFERROR(INDEX('Both teabags AfterWet'!$C$3:$C$841,MATCH(I375,'Both teabags AfterWet'!$A$3:$A$841,0)),"")</f>
        <v>1.639</v>
      </c>
      <c r="R375" s="195">
        <f t="shared" si="39"/>
        <v>0.85039999999999982</v>
      </c>
      <c r="S375" s="195">
        <f t="shared" si="39"/>
        <v>1.4883999999999999</v>
      </c>
      <c r="T375" s="195">
        <f t="shared" si="40"/>
        <v>0.56237134623301777</v>
      </c>
      <c r="U375" s="195">
        <f t="shared" si="41"/>
        <v>0.368680502518558</v>
      </c>
      <c r="V375" s="195">
        <f t="shared" si="42"/>
        <v>0.74899355877616747</v>
      </c>
      <c r="W375">
        <f t="shared" si="37"/>
        <v>51</v>
      </c>
      <c r="X375" s="195">
        <f t="shared" si="43"/>
        <v>0.33210053891565583</v>
      </c>
      <c r="Y375" s="195">
        <f t="shared" si="44"/>
        <v>2.2392388470399063E-2</v>
      </c>
      <c r="Z375" s="255" t="str">
        <f>IF(ISNUMBER(SEARCH("C",'WetLitterbags placem_collection'!W302)),"YES","NO")</f>
        <v>NO</v>
      </c>
      <c r="AA375" s="255" t="str">
        <f>IF(ISNUMBER(SEARCH("H", 'WetLitterbags placem_collection'!Y82)),"YES","NO")</f>
        <v>NO</v>
      </c>
      <c r="AB375" s="255" t="str">
        <f>IF(ISNUMBER(SEARCH("R", 'WetLitterbags placem_collection'!WY82)),"YES","NO")</f>
        <v>NO</v>
      </c>
      <c r="AC375" s="255" t="str">
        <f>IF(ISNUMBER(SEARCH("C", 'WetLitterbags placem_collection'!VX82)),"YES","NO")</f>
        <v>NO</v>
      </c>
      <c r="AD375" s="255" t="str">
        <f>IF(ISNUMBER(SEARCH("H", 'WetLitterbags placem_collection'!X82)),"YES","NO")</f>
        <v>NO</v>
      </c>
      <c r="AE375" s="255" t="str">
        <f>IF(ISNUMBER(SEARCH("R", 'WetLitterbags placem_collection'!X82)),"YES","NO")</f>
        <v>YES</v>
      </c>
    </row>
    <row r="376" spans="2:31">
      <c r="B376" t="str">
        <f>'Final data_for_R_analysis_Wetse'!A522</f>
        <v>Wet</v>
      </c>
      <c r="C376" s="263">
        <f>'Final data_for_R_analysis_Wetse'!B522</f>
        <v>81</v>
      </c>
      <c r="D376" t="s">
        <v>3839</v>
      </c>
      <c r="E376" t="s">
        <v>25</v>
      </c>
      <c r="F376" s="386">
        <v>1</v>
      </c>
      <c r="G376" s="16">
        <f>'WetLitterbags placem_collection'!E83</f>
        <v>42767</v>
      </c>
      <c r="H376" s="92" t="str">
        <f>'Final data_for_R_analysis_Wetse'!J522</f>
        <v>G475</v>
      </c>
      <c r="I376" t="str">
        <f>'Final data_for_R_analysis_Wetse'!J742</f>
        <v>R293</v>
      </c>
      <c r="J376">
        <f>IFERROR(INDEX('Green_rooibos initial weight'!$C$5:$C$1749,MATCH(H376, 'Green_rooibos initial weight'!$A$5:$A$1749,0)),"")</f>
        <v>2.0110000000000001</v>
      </c>
      <c r="K376">
        <f>IFERROR(INDEX('Green_rooibos initial weight'!$C$5:$C$1749,MATCH(I376, 'Green_rooibos initial weight'!$A$5:$A$1749,0)),"")</f>
        <v>2.165</v>
      </c>
      <c r="L376" s="195">
        <f t="shared" si="38"/>
        <v>1.7612000000000001</v>
      </c>
      <c r="M376" s="195">
        <f>AVERAGE(Ashed_controlls!$K$2:$K$11)</f>
        <v>5.5147656768714146</v>
      </c>
      <c r="N376" s="195">
        <f t="shared" si="36"/>
        <v>1.9152</v>
      </c>
      <c r="O376" s="16">
        <f>IF('WetLitterbags placem_collection'!G83="N.A","",'WetLitterbags placem_collection'!G83)</f>
        <v>42818</v>
      </c>
      <c r="P376" s="195">
        <f>IF(IFERROR(INDEX('Both teabags AfterWet'!$C$3:$C$841,MATCH(H376,'Both teabags AfterWet'!$A$3:$A$841,0)),"")="N.A","",(IFERROR(INDEX('Both teabags AfterWet'!$C$3:$C$841,MATCH(H376,'Both teabags AfterWet'!$A$3:$A$841,0)),"")))</f>
        <v>0.65200000000000002</v>
      </c>
      <c r="Q376" s="195">
        <f>IFERROR(INDEX('Both teabags AfterWet'!$C$3:$C$841,MATCH(I376,'Both teabags AfterWet'!$A$3:$A$841,0)),"")</f>
        <v>1.736</v>
      </c>
      <c r="R376" s="195">
        <f t="shared" si="39"/>
        <v>0.50140000000000007</v>
      </c>
      <c r="S376" s="195">
        <f t="shared" si="39"/>
        <v>1.5853999999999999</v>
      </c>
      <c r="T376" s="195">
        <f t="shared" si="40"/>
        <v>0.71530774471950942</v>
      </c>
      <c r="U376" s="195">
        <f t="shared" si="41"/>
        <v>0.46894284451920337</v>
      </c>
      <c r="V376" s="195">
        <f t="shared" si="42"/>
        <v>0.82779866332497909</v>
      </c>
      <c r="W376">
        <f t="shared" si="37"/>
        <v>51</v>
      </c>
      <c r="X376" s="195">
        <f t="shared" si="43"/>
        <v>0.15046586137825479</v>
      </c>
      <c r="Y376" s="195">
        <f t="shared" si="44"/>
        <v>8.9729309499730573E-3</v>
      </c>
      <c r="Z376" s="255" t="str">
        <f>IF(ISNUMBER(SEARCH("C",'WetLitterbags placem_collection'!W303)),"YES","NO")</f>
        <v>NO</v>
      </c>
      <c r="AA376" s="255" t="str">
        <f>IF(ISNUMBER(SEARCH("H", 'WetLitterbags placem_collection'!Y83)),"YES","NO")</f>
        <v>NO</v>
      </c>
      <c r="AB376" s="255" t="str">
        <f>IF(ISNUMBER(SEARCH("R", 'WetLitterbags placem_collection'!WY83)),"YES","NO")</f>
        <v>NO</v>
      </c>
      <c r="AC376" s="255" t="str">
        <f>IF(ISNUMBER(SEARCH("C", 'WetLitterbags placem_collection'!VX83)),"YES","NO")</f>
        <v>NO</v>
      </c>
      <c r="AD376" s="255" t="str">
        <f>IF(ISNUMBER(SEARCH("H", 'WetLitterbags placem_collection'!X83)),"YES","NO")</f>
        <v>NO</v>
      </c>
      <c r="AE376" s="255" t="str">
        <f>IF(ISNUMBER(SEARCH("R", 'WetLitterbags placem_collection'!X83)),"YES","NO")</f>
        <v>YES</v>
      </c>
    </row>
    <row r="377" spans="2:31">
      <c r="B377" t="str">
        <f>'Final data_for_R_analysis_Wetse'!A523</f>
        <v>Wet</v>
      </c>
      <c r="C377" s="263">
        <f>'Final data_for_R_analysis_Wetse'!B523</f>
        <v>82</v>
      </c>
      <c r="D377" t="s">
        <v>3839</v>
      </c>
      <c r="E377" t="s">
        <v>25</v>
      </c>
      <c r="F377" s="386">
        <v>2</v>
      </c>
      <c r="G377" s="16">
        <f>'WetLitterbags placem_collection'!E84</f>
        <v>42767</v>
      </c>
      <c r="H377" s="92" t="str">
        <f>'Final data_for_R_analysis_Wetse'!J523</f>
        <v>G840</v>
      </c>
      <c r="I377" t="str">
        <f>'Final data_for_R_analysis_Wetse'!J743</f>
        <v>R368</v>
      </c>
      <c r="J377">
        <f>IFERROR(INDEX('Green_rooibos initial weight'!$C$5:$C$1749,MATCH(H377, 'Green_rooibos initial weight'!$A$5:$A$1749,0)),"")</f>
        <v>2.056</v>
      </c>
      <c r="K377">
        <f>IFERROR(INDEX('Green_rooibos initial weight'!$C$5:$C$1749,MATCH(I377, 'Green_rooibos initial weight'!$A$5:$A$1749,0)),"")</f>
        <v>2.2549999999999999</v>
      </c>
      <c r="L377" s="195">
        <f t="shared" si="38"/>
        <v>1.8062</v>
      </c>
      <c r="M377" s="195">
        <f>AVERAGE(Ashed_controlls!$K$2:$K$11)</f>
        <v>5.5147656768714146</v>
      </c>
      <c r="N377" s="195">
        <f t="shared" si="36"/>
        <v>2.0051999999999999</v>
      </c>
      <c r="O377" s="16">
        <f>IF('WetLitterbags placem_collection'!G84="N.A","",'WetLitterbags placem_collection'!G84)</f>
        <v>42819</v>
      </c>
      <c r="P377" s="195">
        <f>IF(IFERROR(INDEX('Both teabags AfterWet'!$C$3:$C$841,MATCH(H377,'Both teabags AfterWet'!$A$3:$A$841,0)),"")="N.A","",(IFERROR(INDEX('Both teabags AfterWet'!$C$3:$C$841,MATCH(H377,'Both teabags AfterWet'!$A$3:$A$841,0)),"")))</f>
        <v>0.74299999999999999</v>
      </c>
      <c r="Q377" s="195">
        <f>IFERROR(INDEX('Both teabags AfterWet'!$C$3:$C$841,MATCH(I377,'Both teabags AfterWet'!$A$3:$A$841,0)),"")</f>
        <v>1.704</v>
      </c>
      <c r="R377" s="195">
        <f t="shared" si="39"/>
        <v>0.59240000000000004</v>
      </c>
      <c r="S377" s="195">
        <f t="shared" si="39"/>
        <v>1.5533999999999999</v>
      </c>
      <c r="T377" s="195">
        <f t="shared" si="40"/>
        <v>0.67201860259107515</v>
      </c>
      <c r="U377" s="195">
        <f t="shared" si="41"/>
        <v>0.44056326440650062</v>
      </c>
      <c r="V377" s="195">
        <f t="shared" si="42"/>
        <v>0.77468581687612204</v>
      </c>
      <c r="W377">
        <f t="shared" si="37"/>
        <v>52</v>
      </c>
      <c r="X377" s="195">
        <f t="shared" si="43"/>
        <v>0.20187814419112216</v>
      </c>
      <c r="Y377" s="195">
        <f t="shared" si="44"/>
        <v>1.3774195758545311E-2</v>
      </c>
      <c r="Z377" s="255" t="str">
        <f>IF(ISNUMBER(SEARCH("C",'WetLitterbags placem_collection'!W304)),"YES","NO")</f>
        <v>NO</v>
      </c>
      <c r="AA377" s="255" t="str">
        <f>IF(ISNUMBER(SEARCH("H", 'WetLitterbags placem_collection'!Y84)),"YES","NO")</f>
        <v>NO</v>
      </c>
      <c r="AB377" s="255" t="str">
        <f>IF(ISNUMBER(SEARCH("R", 'WetLitterbags placem_collection'!WY84)),"YES","NO")</f>
        <v>NO</v>
      </c>
      <c r="AC377" s="255" t="str">
        <f>IF(ISNUMBER(SEARCH("C", 'WetLitterbags placem_collection'!VX84)),"YES","NO")</f>
        <v>NO</v>
      </c>
      <c r="AD377" s="255" t="str">
        <f>IF(ISNUMBER(SEARCH("H", 'WetLitterbags placem_collection'!X84)),"YES","NO")</f>
        <v>NO</v>
      </c>
      <c r="AE377" s="255" t="str">
        <f>IF(ISNUMBER(SEARCH("R", 'WetLitterbags placem_collection'!X84)),"YES","NO")</f>
        <v>YES</v>
      </c>
    </row>
    <row r="378" spans="2:31">
      <c r="B378" t="str">
        <f>'Final data_for_R_analysis_Wetse'!A524</f>
        <v>Wet</v>
      </c>
      <c r="C378" s="263">
        <f>'Final data_for_R_analysis_Wetse'!B524</f>
        <v>83</v>
      </c>
      <c r="D378" t="s">
        <v>3839</v>
      </c>
      <c r="E378" t="s">
        <v>25</v>
      </c>
      <c r="F378" s="386">
        <v>3</v>
      </c>
      <c r="G378" s="16">
        <f>'WetLitterbags placem_collection'!E85</f>
        <v>42767</v>
      </c>
      <c r="H378" s="92" t="str">
        <f>'Final data_for_R_analysis_Wetse'!J524</f>
        <v>G298</v>
      </c>
      <c r="I378" t="str">
        <f>'Final data_for_R_analysis_Wetse'!J744</f>
        <v>R22</v>
      </c>
      <c r="J378">
        <f>IFERROR(INDEX('Green_rooibos initial weight'!$C$5:$C$1749,MATCH(H378, 'Green_rooibos initial weight'!$A$5:$A$1749,0)),"")</f>
        <v>2.0550000000000002</v>
      </c>
      <c r="K378">
        <f>IFERROR(INDEX('Green_rooibos initial weight'!$C$5:$C$1749,MATCH(I378, 'Green_rooibos initial weight'!$A$5:$A$1749,0)),"")</f>
        <v>2.0590000000000002</v>
      </c>
      <c r="L378" s="195">
        <f t="shared" si="38"/>
        <v>1.8052000000000001</v>
      </c>
      <c r="M378" s="195">
        <f>AVERAGE(Ashed_controlls!$K$2:$K$11)</f>
        <v>5.5147656768714146</v>
      </c>
      <c r="N378" s="195">
        <f t="shared" si="36"/>
        <v>1.8092000000000001</v>
      </c>
      <c r="O378" s="16">
        <f>IF('WetLitterbags placem_collection'!G85="N.A","",'WetLitterbags placem_collection'!G85)</f>
        <v>42819</v>
      </c>
      <c r="P378" s="195">
        <f>IF(IFERROR(INDEX('Both teabags AfterWet'!$C$3:$C$841,MATCH(H378,'Both teabags AfterWet'!$A$3:$A$841,0)),"")="N.A","",(IFERROR(INDEX('Both teabags AfterWet'!$C$3:$C$841,MATCH(H378,'Both teabags AfterWet'!$A$3:$A$841,0)),"")))</f>
        <v>0.88800000000000001</v>
      </c>
      <c r="Q378" s="195">
        <f>IFERROR(INDEX('Both teabags AfterWet'!$C$3:$C$841,MATCH(I378,'Both teabags AfterWet'!$A$3:$A$841,0)),"")</f>
        <v>1.637</v>
      </c>
      <c r="R378" s="195">
        <f t="shared" si="39"/>
        <v>0.73740000000000006</v>
      </c>
      <c r="S378" s="195">
        <f t="shared" si="39"/>
        <v>1.4863999999999999</v>
      </c>
      <c r="T378" s="195">
        <f t="shared" si="40"/>
        <v>0.5915134057168181</v>
      </c>
      <c r="U378" s="195">
        <f t="shared" si="41"/>
        <v>0.38778551063620381</v>
      </c>
      <c r="V378" s="195">
        <f t="shared" si="42"/>
        <v>0.82157859827548074</v>
      </c>
      <c r="W378">
        <f t="shared" si="37"/>
        <v>52</v>
      </c>
      <c r="X378" s="195">
        <f t="shared" si="43"/>
        <v>0.29749001696339894</v>
      </c>
      <c r="Y378" s="195">
        <f t="shared" si="44"/>
        <v>1.1853413366191843E-2</v>
      </c>
      <c r="Z378" s="255" t="str">
        <f>IF(ISNUMBER(SEARCH("C",'WetLitterbags placem_collection'!W305)),"YES","NO")</f>
        <v>NO</v>
      </c>
      <c r="AA378" s="255" t="str">
        <f>IF(ISNUMBER(SEARCH("H", 'WetLitterbags placem_collection'!Y85)),"YES","NO")</f>
        <v>NO</v>
      </c>
      <c r="AB378" s="255" t="str">
        <f>IF(ISNUMBER(SEARCH("R", 'WetLitterbags placem_collection'!WY85)),"YES","NO")</f>
        <v>NO</v>
      </c>
      <c r="AC378" s="255" t="str">
        <f>IF(ISNUMBER(SEARCH("C", 'WetLitterbags placem_collection'!VX85)),"YES","NO")</f>
        <v>NO</v>
      </c>
      <c r="AD378" s="255" t="str">
        <f>IF(ISNUMBER(SEARCH("H", 'WetLitterbags placem_collection'!X85)),"YES","NO")</f>
        <v>NO</v>
      </c>
      <c r="AE378" s="255" t="str">
        <f>IF(ISNUMBER(SEARCH("R", 'WetLitterbags placem_collection'!X85)),"YES","NO")</f>
        <v>YES</v>
      </c>
    </row>
    <row r="379" spans="2:31">
      <c r="B379" t="str">
        <f>'Final data_for_R_analysis_Wetse'!A525</f>
        <v>Wet</v>
      </c>
      <c r="C379" s="263">
        <f>'Final data_for_R_analysis_Wetse'!B525</f>
        <v>84</v>
      </c>
      <c r="D379" t="s">
        <v>3839</v>
      </c>
      <c r="E379" t="s">
        <v>25</v>
      </c>
      <c r="F379" s="387">
        <v>4</v>
      </c>
      <c r="G379" s="16">
        <f>'WetLitterbags placem_collection'!E86</f>
        <v>42767</v>
      </c>
      <c r="H379" s="92" t="str">
        <f>'Final data_for_R_analysis_Wetse'!J525</f>
        <v>G520</v>
      </c>
      <c r="I379" t="str">
        <f>'Final data_for_R_analysis_Wetse'!J745</f>
        <v>R417</v>
      </c>
      <c r="J379">
        <f>IFERROR(INDEX('Green_rooibos initial weight'!$C$5:$C$1749,MATCH(H379, 'Green_rooibos initial weight'!$A$5:$A$1749,0)),"")</f>
        <v>1.929</v>
      </c>
      <c r="K379">
        <f>IFERROR(INDEX('Green_rooibos initial weight'!$C$5:$C$1749,MATCH(I379, 'Green_rooibos initial weight'!$A$5:$A$1749,0)),"")</f>
        <v>2.2269999999999999</v>
      </c>
      <c r="L379" s="195">
        <f t="shared" si="38"/>
        <v>1.6792</v>
      </c>
      <c r="M379" s="195">
        <f>AVERAGE(Ashed_controlls!$K$2:$K$11)</f>
        <v>5.5147656768714146</v>
      </c>
      <c r="N379" s="195">
        <f t="shared" si="36"/>
        <v>1.9771999999999998</v>
      </c>
      <c r="O379" s="16">
        <f>IF('WetLitterbags placem_collection'!G86="N.A","",'WetLitterbags placem_collection'!G86)</f>
        <v>42819</v>
      </c>
      <c r="P379" s="195">
        <f>IF(IFERROR(INDEX('Both teabags AfterWet'!$C$3:$C$841,MATCH(H379,'Both teabags AfterWet'!$A$3:$A$841,0)),"")="N.A","",(IFERROR(INDEX('Both teabags AfterWet'!$C$3:$C$841,MATCH(H379,'Both teabags AfterWet'!$A$3:$A$841,0)),"")))</f>
        <v>0.81299999999999994</v>
      </c>
      <c r="Q379" s="195">
        <f>IFERROR(INDEX('Both teabags AfterWet'!$C$3:$C$841,MATCH(I379,'Both teabags AfterWet'!$A$3:$A$841,0)),"")</f>
        <v>1.5820000000000001</v>
      </c>
      <c r="R379" s="195">
        <f t="shared" si="39"/>
        <v>0.66239999999999988</v>
      </c>
      <c r="S379" s="195">
        <f t="shared" si="39"/>
        <v>1.4314</v>
      </c>
      <c r="T379" s="195">
        <f t="shared" si="40"/>
        <v>0.60552644116245835</v>
      </c>
      <c r="U379" s="195">
        <f t="shared" si="41"/>
        <v>0.39697220370745495</v>
      </c>
      <c r="V379" s="195">
        <f t="shared" si="42"/>
        <v>0.72395306494031975</v>
      </c>
      <c r="W379">
        <f t="shared" si="37"/>
        <v>52</v>
      </c>
      <c r="X379" s="195">
        <f t="shared" si="43"/>
        <v>0.2808474570517121</v>
      </c>
      <c r="Y379" s="195">
        <f t="shared" si="44"/>
        <v>2.2859490809087994E-2</v>
      </c>
      <c r="Z379" s="255" t="str">
        <f>IF(ISNUMBER(SEARCH("C",'WetLitterbags placem_collection'!W306)),"YES","NO")</f>
        <v>NO</v>
      </c>
      <c r="AA379" s="255" t="str">
        <f>IF(ISNUMBER(SEARCH("H", 'WetLitterbags placem_collection'!Y86)),"YES","NO")</f>
        <v>NO</v>
      </c>
      <c r="AB379" s="255" t="str">
        <f>IF(ISNUMBER(SEARCH("R", 'WetLitterbags placem_collection'!WY86)),"YES","NO")</f>
        <v>NO</v>
      </c>
      <c r="AC379" s="255" t="str">
        <f>IF(ISNUMBER(SEARCH("C", 'WetLitterbags placem_collection'!VX86)),"YES","NO")</f>
        <v>NO</v>
      </c>
      <c r="AD379" s="255" t="str">
        <f>IF(ISNUMBER(SEARCH("H", 'WetLitterbags placem_collection'!X86)),"YES","NO")</f>
        <v>NO</v>
      </c>
      <c r="AE379" s="255" t="str">
        <f>IF(ISNUMBER(SEARCH("R", 'WetLitterbags placem_collection'!X86)),"YES","NO")</f>
        <v>YES</v>
      </c>
    </row>
    <row r="380" spans="2:31">
      <c r="B380" t="str">
        <f>'Final data_for_R_analysis_Wetse'!A526</f>
        <v>Wet</v>
      </c>
      <c r="C380" s="263">
        <f>'Final data_for_R_analysis_Wetse'!B526</f>
        <v>85</v>
      </c>
      <c r="D380" t="s">
        <v>3839</v>
      </c>
      <c r="E380" t="s">
        <v>25</v>
      </c>
      <c r="F380" s="387">
        <v>5</v>
      </c>
      <c r="G380" s="16">
        <f>'WetLitterbags placem_collection'!E87</f>
        <v>42767</v>
      </c>
      <c r="H380" s="92" t="str">
        <f>'Final data_for_R_analysis_Wetse'!J526</f>
        <v>G441</v>
      </c>
      <c r="I380" t="str">
        <f>'Final data_for_R_analysis_Wetse'!J746</f>
        <v>R391</v>
      </c>
      <c r="J380">
        <f>IFERROR(INDEX('Green_rooibos initial weight'!$C$5:$C$1749,MATCH(H380, 'Green_rooibos initial weight'!$A$5:$A$1749,0)),"")</f>
        <v>2.1040000000000001</v>
      </c>
      <c r="K380">
        <f>IFERROR(INDEX('Green_rooibos initial weight'!$C$5:$C$1749,MATCH(I380, 'Green_rooibos initial weight'!$A$5:$A$1749,0)),"")</f>
        <v>2.1960000000000002</v>
      </c>
      <c r="L380" s="195">
        <f t="shared" si="38"/>
        <v>1.8542000000000001</v>
      </c>
      <c r="M380" s="195">
        <f>AVERAGE(Ashed_controlls!$K$2:$K$11)</f>
        <v>5.5147656768714146</v>
      </c>
      <c r="N380" s="195">
        <f t="shared" si="36"/>
        <v>1.9462000000000002</v>
      </c>
      <c r="O380" s="16">
        <f>IF('WetLitterbags placem_collection'!G87="N.A","",'WetLitterbags placem_collection'!G87)</f>
        <v>42819</v>
      </c>
      <c r="P380" s="195">
        <f>IF(IFERROR(INDEX('Both teabags AfterWet'!$C$3:$C$841,MATCH(H380,'Both teabags AfterWet'!$A$3:$A$841,0)),"")="N.A","",(IFERROR(INDEX('Both teabags AfterWet'!$C$3:$C$841,MATCH(H380,'Both teabags AfterWet'!$A$3:$A$841,0)),"")))</f>
        <v>0.96599999999999997</v>
      </c>
      <c r="Q380" s="195">
        <f>IFERROR(INDEX('Both teabags AfterWet'!$C$3:$C$841,MATCH(I380,'Both teabags AfterWet'!$A$3:$A$841,0)),"")</f>
        <v>1.6220000000000001</v>
      </c>
      <c r="R380" s="195">
        <f t="shared" si="39"/>
        <v>0.8153999999999999</v>
      </c>
      <c r="S380" s="195">
        <f t="shared" si="39"/>
        <v>1.4714</v>
      </c>
      <c r="T380" s="195">
        <f t="shared" si="40"/>
        <v>0.56024161363391234</v>
      </c>
      <c r="U380" s="195">
        <f t="shared" si="41"/>
        <v>0.3672842882730637</v>
      </c>
      <c r="V380" s="195">
        <f t="shared" si="42"/>
        <v>0.75603740622752025</v>
      </c>
      <c r="W380">
        <f t="shared" si="37"/>
        <v>52</v>
      </c>
      <c r="X380" s="195">
        <f t="shared" si="43"/>
        <v>0.3346299125487977</v>
      </c>
      <c r="Y380" s="195">
        <f t="shared" si="44"/>
        <v>2.0987304462108985E-2</v>
      </c>
      <c r="Z380" s="255" t="str">
        <f>IF(ISNUMBER(SEARCH("C",'WetLitterbags placem_collection'!W307)),"YES","NO")</f>
        <v>NO</v>
      </c>
      <c r="AA380" s="255" t="str">
        <f>IF(ISNUMBER(SEARCH("H", 'WetLitterbags placem_collection'!Y87)),"YES","NO")</f>
        <v>NO</v>
      </c>
      <c r="AB380" s="255" t="str">
        <f>IF(ISNUMBER(SEARCH("R", 'WetLitterbags placem_collection'!WY87)),"YES","NO")</f>
        <v>NO</v>
      </c>
      <c r="AC380" s="255" t="str">
        <f>IF(ISNUMBER(SEARCH("C", 'WetLitterbags placem_collection'!VX87)),"YES","NO")</f>
        <v>NO</v>
      </c>
      <c r="AD380" s="255" t="str">
        <f>IF(ISNUMBER(SEARCH("H", 'WetLitterbags placem_collection'!X87)),"YES","NO")</f>
        <v>NO</v>
      </c>
      <c r="AE380" s="255" t="str">
        <f>IF(ISNUMBER(SEARCH("R", 'WetLitterbags placem_collection'!X87)),"YES","NO")</f>
        <v>YES</v>
      </c>
    </row>
    <row r="381" spans="2:31">
      <c r="B381" t="str">
        <f>'Final data_for_R_analysis_Wetse'!A527</f>
        <v>Wet</v>
      </c>
      <c r="C381" s="263">
        <f>'Final data_for_R_analysis_Wetse'!B527</f>
        <v>86</v>
      </c>
      <c r="D381" t="s">
        <v>3839</v>
      </c>
      <c r="E381" t="s">
        <v>25</v>
      </c>
      <c r="F381" s="387">
        <v>6</v>
      </c>
      <c r="G381" s="16">
        <f>'WetLitterbags placem_collection'!E88</f>
        <v>42767</v>
      </c>
      <c r="H381" s="92" t="str">
        <f>'Final data_for_R_analysis_Wetse'!J527</f>
        <v>G561</v>
      </c>
      <c r="I381" t="str">
        <f>'Final data_for_R_analysis_Wetse'!J747</f>
        <v>R62</v>
      </c>
      <c r="J381">
        <f>IFERROR(INDEX('Green_rooibos initial weight'!$C$5:$C$1749,MATCH(H381, 'Green_rooibos initial weight'!$A$5:$A$1749,0)),"")</f>
        <v>2.1259999999999999</v>
      </c>
      <c r="K381">
        <f>IFERROR(INDEX('Green_rooibos initial weight'!$C$5:$C$1749,MATCH(I381, 'Green_rooibos initial weight'!$A$5:$A$1749,0)),"")</f>
        <v>2.3660000000000001</v>
      </c>
      <c r="L381" s="195">
        <f t="shared" si="38"/>
        <v>1.8761999999999999</v>
      </c>
      <c r="M381" s="195">
        <f>AVERAGE(Ashed_controlls!$K$2:$K$11)</f>
        <v>5.5147656768714146</v>
      </c>
      <c r="N381" s="195">
        <f t="shared" si="36"/>
        <v>2.1162000000000001</v>
      </c>
      <c r="O381" s="16">
        <f>IF('WetLitterbags placem_collection'!G88="N.A","",'WetLitterbags placem_collection'!G88)</f>
        <v>42819</v>
      </c>
      <c r="P381" s="195">
        <f>IF(IFERROR(INDEX('Both teabags AfterWet'!$C$3:$C$841,MATCH(H381,'Both teabags AfterWet'!$A$3:$A$841,0)),"")="N.A","",(IFERROR(INDEX('Both teabags AfterWet'!$C$3:$C$841,MATCH(H381,'Both teabags AfterWet'!$A$3:$A$841,0)),"")))</f>
        <v>0.74650000000000005</v>
      </c>
      <c r="Q381" s="195">
        <f>IFERROR(INDEX('Both teabags AfterWet'!$C$3:$C$841,MATCH(I381,'Both teabags AfterWet'!$A$3:$A$841,0)),"")</f>
        <v>1.6786000000000001</v>
      </c>
      <c r="R381" s="195">
        <f t="shared" si="39"/>
        <v>0.5959000000000001</v>
      </c>
      <c r="S381" s="195">
        <f t="shared" si="39"/>
        <v>1.528</v>
      </c>
      <c r="T381" s="195">
        <f t="shared" si="40"/>
        <v>0.6823899371069182</v>
      </c>
      <c r="U381" s="195">
        <f t="shared" si="41"/>
        <v>0.4473625240890961</v>
      </c>
      <c r="V381" s="195">
        <f t="shared" si="42"/>
        <v>0.72204895567526695</v>
      </c>
      <c r="W381">
        <f t="shared" si="37"/>
        <v>52</v>
      </c>
      <c r="X381" s="195">
        <f t="shared" si="43"/>
        <v>0.18956064476613033</v>
      </c>
      <c r="Y381" s="195">
        <f t="shared" si="44"/>
        <v>1.8673821820217214E-2</v>
      </c>
      <c r="Z381" s="255" t="str">
        <f>IF(ISNUMBER(SEARCH("C",'WetLitterbags placem_collection'!W308)),"YES","NO")</f>
        <v>NO</v>
      </c>
      <c r="AA381" s="255" t="str">
        <f>IF(ISNUMBER(SEARCH("H", 'WetLitterbags placem_collection'!Y88)),"YES","NO")</f>
        <v>NO</v>
      </c>
      <c r="AB381" s="255" t="str">
        <f>IF(ISNUMBER(SEARCH("R", 'WetLitterbags placem_collection'!WY88)),"YES","NO")</f>
        <v>NO</v>
      </c>
      <c r="AC381" s="255" t="str">
        <f>IF(ISNUMBER(SEARCH("C", 'WetLitterbags placem_collection'!VX88)),"YES","NO")</f>
        <v>NO</v>
      </c>
      <c r="AD381" s="255" t="str">
        <f>IF(ISNUMBER(SEARCH("H", 'WetLitterbags placem_collection'!X88)),"YES","NO")</f>
        <v>NO</v>
      </c>
      <c r="AE381" s="255" t="str">
        <f>IF(ISNUMBER(SEARCH("R", 'WetLitterbags placem_collection'!X88)),"YES","NO")</f>
        <v>YES</v>
      </c>
    </row>
    <row r="382" spans="2:31">
      <c r="B382" t="str">
        <f>'Final data_for_R_analysis_Wetse'!A528</f>
        <v>Wet</v>
      </c>
      <c r="C382" s="263">
        <f>'Final data_for_R_analysis_Wetse'!B528</f>
        <v>87</v>
      </c>
      <c r="D382" t="s">
        <v>3839</v>
      </c>
      <c r="E382" t="s">
        <v>25</v>
      </c>
      <c r="F382" s="387">
        <v>7</v>
      </c>
      <c r="G382" s="16">
        <f>'WetLitterbags placem_collection'!E89</f>
        <v>42767</v>
      </c>
      <c r="H382" s="92" t="str">
        <f>'Final data_for_R_analysis_Wetse'!J528</f>
        <v>G632</v>
      </c>
      <c r="I382" t="str">
        <f>'Final data_for_R_analysis_Wetse'!J748</f>
        <v>R329</v>
      </c>
      <c r="J382">
        <f>IFERROR(INDEX('Green_rooibos initial weight'!$C$5:$C$1749,MATCH(H382, 'Green_rooibos initial weight'!$A$5:$A$1749,0)),"")</f>
        <v>2.0779999999999998</v>
      </c>
      <c r="K382">
        <f>IFERROR(INDEX('Green_rooibos initial weight'!$C$5:$C$1749,MATCH(I382, 'Green_rooibos initial weight'!$A$5:$A$1749,0)),"")</f>
        <v>2.2120000000000002</v>
      </c>
      <c r="L382" s="195">
        <f t="shared" si="38"/>
        <v>1.8281999999999998</v>
      </c>
      <c r="M382" s="195">
        <f>AVERAGE(Ashed_controlls!$K$2:$K$11)</f>
        <v>5.5147656768714146</v>
      </c>
      <c r="N382" s="195">
        <f t="shared" si="36"/>
        <v>1.9622000000000002</v>
      </c>
      <c r="O382" s="16">
        <f>IF('WetLitterbags placem_collection'!G89="N.A","",'WetLitterbags placem_collection'!G89)</f>
        <v>42819</v>
      </c>
      <c r="P382" s="195">
        <f>IF(IFERROR(INDEX('Both teabags AfterWet'!$C$3:$C$841,MATCH(H382,'Both teabags AfterWet'!$A$3:$A$841,0)),"")="N.A","",(IFERROR(INDEX('Both teabags AfterWet'!$C$3:$C$841,MATCH(H382,'Both teabags AfterWet'!$A$3:$A$841,0)),"")))</f>
        <v>0.81640000000000001</v>
      </c>
      <c r="Q382" s="195">
        <f>IFERROR(INDEX('Both teabags AfterWet'!$C$3:$C$841,MATCH(I382,'Both teabags AfterWet'!$A$3:$A$841,0)),"")</f>
        <v>1.7085999999999999</v>
      </c>
      <c r="R382" s="195">
        <f t="shared" si="39"/>
        <v>0.66579999999999995</v>
      </c>
      <c r="S382" s="195">
        <f t="shared" si="39"/>
        <v>1.5579999999999998</v>
      </c>
      <c r="T382" s="195">
        <f t="shared" si="40"/>
        <v>0.63581665025708345</v>
      </c>
      <c r="U382" s="195">
        <f t="shared" si="41"/>
        <v>0.41682991798326613</v>
      </c>
      <c r="V382" s="195">
        <f t="shared" si="42"/>
        <v>0.79400672714300258</v>
      </c>
      <c r="W382">
        <f t="shared" si="37"/>
        <v>52</v>
      </c>
      <c r="X382" s="195">
        <f t="shared" si="43"/>
        <v>0.24487333698683678</v>
      </c>
      <c r="Y382" s="195">
        <f t="shared" si="44"/>
        <v>1.3107589002582333E-2</v>
      </c>
      <c r="Z382" s="255" t="str">
        <f>IF(ISNUMBER(SEARCH("C",'WetLitterbags placem_collection'!W309)),"YES","NO")</f>
        <v>NO</v>
      </c>
      <c r="AA382" s="255" t="str">
        <f>IF(ISNUMBER(SEARCH("H", 'WetLitterbags placem_collection'!Y89)),"YES","NO")</f>
        <v>NO</v>
      </c>
      <c r="AB382" s="255" t="str">
        <f>IF(ISNUMBER(SEARCH("R", 'WetLitterbags placem_collection'!WY89)),"YES","NO")</f>
        <v>NO</v>
      </c>
      <c r="AC382" s="255" t="str">
        <f>IF(ISNUMBER(SEARCH("C", 'WetLitterbags placem_collection'!VX89)),"YES","NO")</f>
        <v>NO</v>
      </c>
      <c r="AD382" s="255" t="str">
        <f>IF(ISNUMBER(SEARCH("H", 'WetLitterbags placem_collection'!X89)),"YES","NO")</f>
        <v>NO</v>
      </c>
      <c r="AE382" s="255" t="str">
        <f>IF(ISNUMBER(SEARCH("R", 'WetLitterbags placem_collection'!X89)),"YES","NO")</f>
        <v>YES</v>
      </c>
    </row>
    <row r="383" spans="2:31">
      <c r="B383" t="str">
        <f>'Final data_for_R_analysis_Wetse'!A529</f>
        <v>Wet</v>
      </c>
      <c r="C383" s="263">
        <f>'Final data_for_R_analysis_Wetse'!B529</f>
        <v>88</v>
      </c>
      <c r="D383" t="s">
        <v>3839</v>
      </c>
      <c r="E383" t="s">
        <v>25</v>
      </c>
      <c r="F383" s="387">
        <v>8</v>
      </c>
      <c r="G383" s="16">
        <f>'WetLitterbags placem_collection'!E90</f>
        <v>42767</v>
      </c>
      <c r="H383" s="92" t="str">
        <f>'Final data_for_R_analysis_Wetse'!J529</f>
        <v>G611</v>
      </c>
      <c r="I383" t="str">
        <f>'Final data_for_R_analysis_Wetse'!J749</f>
        <v>R288</v>
      </c>
      <c r="J383">
        <f>IFERROR(INDEX('Green_rooibos initial weight'!$C$5:$C$1749,MATCH(H383, 'Green_rooibos initial weight'!$A$5:$A$1749,0)),"")</f>
        <v>1.99</v>
      </c>
      <c r="K383">
        <f>IFERROR(INDEX('Green_rooibos initial weight'!$C$5:$C$1749,MATCH(I383, 'Green_rooibos initial weight'!$A$5:$A$1749,0)),"")</f>
        <v>2.2450000000000001</v>
      </c>
      <c r="L383" s="195">
        <f t="shared" si="38"/>
        <v>1.7402</v>
      </c>
      <c r="M383" s="195">
        <f>AVERAGE(Ashed_controlls!$K$2:$K$11)</f>
        <v>5.5147656768714146</v>
      </c>
      <c r="N383" s="195">
        <f t="shared" si="36"/>
        <v>1.9952000000000001</v>
      </c>
      <c r="O383" s="16">
        <f>IF('WetLitterbags placem_collection'!G90="N.A","",'WetLitterbags placem_collection'!G90)</f>
        <v>0</v>
      </c>
      <c r="P383" s="195" t="str">
        <f>IF(IFERROR(INDEX('Both teabags AfterWet'!$C$3:$C$841,MATCH(H383,'Both teabags AfterWet'!$A$3:$A$841,0)),"")="N.A","",(IFERROR(INDEX('Both teabags AfterWet'!$C$3:$C$841,MATCH(H383,'Both teabags AfterWet'!$A$3:$A$841,0)),"")))</f>
        <v/>
      </c>
      <c r="Q383" s="195" t="str">
        <f>IFERROR(INDEX('Both teabags AfterWet'!$C$3:$C$841,MATCH(I383,'Both teabags AfterWet'!$A$3:$A$841,0)),"")</f>
        <v/>
      </c>
      <c r="R383" s="195" t="str">
        <f t="shared" si="39"/>
        <v/>
      </c>
      <c r="S383" s="195" t="str">
        <f t="shared" si="39"/>
        <v/>
      </c>
      <c r="T383" s="195" t="str">
        <f t="shared" si="40"/>
        <v/>
      </c>
      <c r="U383" s="195" t="str">
        <f t="shared" si="41"/>
        <v/>
      </c>
      <c r="V383" s="195" t="str">
        <f t="shared" si="42"/>
        <v/>
      </c>
      <c r="W383" t="str">
        <f t="shared" si="37"/>
        <v/>
      </c>
      <c r="X383" s="195" t="str">
        <f t="shared" si="43"/>
        <v/>
      </c>
      <c r="Y383" s="195" t="str">
        <f t="shared" si="44"/>
        <v/>
      </c>
      <c r="Z383" s="255" t="str">
        <f>IF(ISNUMBER(SEARCH("C",'WetLitterbags placem_collection'!W310)),"YES","NO")</f>
        <v>NO</v>
      </c>
      <c r="AA383" s="255" t="str">
        <f>IF(ISNUMBER(SEARCH("H", 'WetLitterbags placem_collection'!Y90)),"YES","NO")</f>
        <v>NO</v>
      </c>
      <c r="AB383" s="255" t="str">
        <f>IF(ISNUMBER(SEARCH("R", 'WetLitterbags placem_collection'!WY90)),"YES","NO")</f>
        <v>NO</v>
      </c>
      <c r="AC383" s="255" t="str">
        <f>IF(ISNUMBER(SEARCH("C", 'WetLitterbags placem_collection'!VX90)),"YES","NO")</f>
        <v>NO</v>
      </c>
      <c r="AD383" s="255" t="str">
        <f>IF(ISNUMBER(SEARCH("H", 'WetLitterbags placem_collection'!X90)),"YES","NO")</f>
        <v>NO</v>
      </c>
      <c r="AE383" s="255" t="str">
        <f>IF(ISNUMBER(SEARCH("R", 'WetLitterbags placem_collection'!X90)),"YES","NO")</f>
        <v>NO</v>
      </c>
    </row>
    <row r="384" spans="2:31">
      <c r="B384" t="str">
        <f>'Final data_for_R_analysis_Wetse'!A530</f>
        <v>Wet</v>
      </c>
      <c r="C384" s="263">
        <f>'Final data_for_R_analysis_Wetse'!B530</f>
        <v>89</v>
      </c>
      <c r="D384" t="s">
        <v>3840</v>
      </c>
      <c r="E384" t="s">
        <v>25</v>
      </c>
      <c r="F384" s="386">
        <v>1</v>
      </c>
      <c r="G384" s="16">
        <f>'WetLitterbags placem_collection'!E91</f>
        <v>42767</v>
      </c>
      <c r="H384" s="92" t="str">
        <f>'Final data_for_R_analysis_Wetse'!J530</f>
        <v>G469</v>
      </c>
      <c r="I384" t="str">
        <f>'Final data_for_R_analysis_Wetse'!J750</f>
        <v>R171</v>
      </c>
      <c r="J384">
        <f>IFERROR(INDEX('Green_rooibos initial weight'!$C$5:$C$1749,MATCH(H384, 'Green_rooibos initial weight'!$A$5:$A$1749,0)),"")</f>
        <v>1.9630000000000001</v>
      </c>
      <c r="K384">
        <f>IFERROR(INDEX('Green_rooibos initial weight'!$C$5:$C$1749,MATCH(I384, 'Green_rooibos initial weight'!$A$5:$A$1749,0)),"")</f>
        <v>2.1160000000000001</v>
      </c>
      <c r="L384" s="195">
        <f t="shared" si="38"/>
        <v>1.7132000000000001</v>
      </c>
      <c r="M384" s="195">
        <f>AVERAGE(Ashed_controlls!$K$2:$K$11)</f>
        <v>5.5147656768714146</v>
      </c>
      <c r="N384" s="195">
        <f t="shared" si="36"/>
        <v>1.8662000000000001</v>
      </c>
      <c r="O384" s="16">
        <f>IF('WetLitterbags placem_collection'!G91="N.A","",'WetLitterbags placem_collection'!G91)</f>
        <v>42819</v>
      </c>
      <c r="P384" s="195">
        <f>IF(IFERROR(INDEX('Both teabags AfterWet'!$C$3:$C$841,MATCH(H384,'Both teabags AfterWet'!$A$3:$A$841,0)),"")="N.A","",(IFERROR(INDEX('Both teabags AfterWet'!$C$3:$C$841,MATCH(H384,'Both teabags AfterWet'!$A$3:$A$841,0)),"")))</f>
        <v>1.5169999999999999</v>
      </c>
      <c r="Q384" s="195">
        <f>IFERROR(INDEX('Both teabags AfterWet'!$C$3:$C$841,MATCH(I384,'Both teabags AfterWet'!$A$3:$A$841,0)),"")</f>
        <v>2.0529999999999999</v>
      </c>
      <c r="R384" s="195">
        <f t="shared" si="39"/>
        <v>1.3663999999999998</v>
      </c>
      <c r="S384" s="195">
        <f t="shared" si="39"/>
        <v>1.9023999999999999</v>
      </c>
      <c r="T384" s="195">
        <f t="shared" si="40"/>
        <v>0.20242820452953547</v>
      </c>
      <c r="U384" s="195">
        <f t="shared" si="41"/>
        <v>0.132708276603686</v>
      </c>
      <c r="V384" s="195">
        <f t="shared" si="42"/>
        <v>1.0193977065694995</v>
      </c>
      <c r="W384">
        <f t="shared" si="37"/>
        <v>52</v>
      </c>
      <c r="X384" s="195">
        <f t="shared" si="43"/>
        <v>0.7595864554281051</v>
      </c>
      <c r="Y384" s="195">
        <f t="shared" si="44"/>
        <v>-2.6235427963711049E-3</v>
      </c>
      <c r="Z384" s="255" t="str">
        <f>IF(ISNUMBER(SEARCH("C",'WetLitterbags placem_collection'!W311)),"YES","NO")</f>
        <v>NO</v>
      </c>
      <c r="AA384" s="255" t="str">
        <f>IF(ISNUMBER(SEARCH("H", 'WetLitterbags placem_collection'!Y91)),"YES","NO")</f>
        <v>NO</v>
      </c>
      <c r="AB384" s="255" t="str">
        <f>IF(ISNUMBER(SEARCH("R", 'WetLitterbags placem_collection'!WY91)),"YES","NO")</f>
        <v>NO</v>
      </c>
      <c r="AC384" s="255" t="str">
        <f>IF(ISNUMBER(SEARCH("C", 'WetLitterbags placem_collection'!VX91)),"YES","NO")</f>
        <v>NO</v>
      </c>
      <c r="AD384" s="255" t="str">
        <f>IF(ISNUMBER(SEARCH("H", 'WetLitterbags placem_collection'!X91)),"YES","NO")</f>
        <v>NO</v>
      </c>
      <c r="AE384" s="255" t="str">
        <f>IF(ISNUMBER(SEARCH("R", 'WetLitterbags placem_collection'!X91)),"YES","NO")</f>
        <v>YES</v>
      </c>
    </row>
    <row r="385" spans="2:31">
      <c r="B385" t="str">
        <f>'Final data_for_R_analysis_Wetse'!A531</f>
        <v>Wet</v>
      </c>
      <c r="C385" s="263">
        <f>'Final data_for_R_analysis_Wetse'!B531</f>
        <v>90</v>
      </c>
      <c r="D385" t="s">
        <v>3840</v>
      </c>
      <c r="E385" t="s">
        <v>25</v>
      </c>
      <c r="F385" s="386">
        <v>2</v>
      </c>
      <c r="G385" s="16">
        <f>'WetLitterbags placem_collection'!E92</f>
        <v>42767</v>
      </c>
      <c r="H385" s="92" t="str">
        <f>'Final data_for_R_analysis_Wetse'!J531</f>
        <v>G355</v>
      </c>
      <c r="I385" t="str">
        <f>'Final data_for_R_analysis_Wetse'!J751</f>
        <v>R517</v>
      </c>
      <c r="J385">
        <f>IFERROR(INDEX('Green_rooibos initial weight'!$C$5:$C$1749,MATCH(H385, 'Green_rooibos initial weight'!$A$5:$A$1749,0)),"")</f>
        <v>2.0489999999999999</v>
      </c>
      <c r="K385">
        <f>IFERROR(INDEX('Green_rooibos initial weight'!$C$5:$C$1749,MATCH(I385, 'Green_rooibos initial weight'!$A$5:$A$1749,0)),"")</f>
        <v>2.222</v>
      </c>
      <c r="L385" s="195">
        <f t="shared" si="38"/>
        <v>1.7991999999999999</v>
      </c>
      <c r="M385" s="195">
        <f>AVERAGE(Ashed_controlls!$K$2:$K$11)</f>
        <v>5.5147656768714146</v>
      </c>
      <c r="N385" s="195">
        <f t="shared" si="36"/>
        <v>1.9722</v>
      </c>
      <c r="O385" s="16">
        <f>IF('WetLitterbags placem_collection'!G92="N.A","",'WetLitterbags placem_collection'!G92)</f>
        <v>42819</v>
      </c>
      <c r="P385" s="195">
        <f>IF(IFERROR(INDEX('Both teabags AfterWet'!$C$3:$C$841,MATCH(H385,'Both teabags AfterWet'!$A$3:$A$841,0)),"")="N.A","",(IFERROR(INDEX('Both teabags AfterWet'!$C$3:$C$841,MATCH(H385,'Both teabags AfterWet'!$A$3:$A$841,0)),"")))</f>
        <v>0.78380000000000005</v>
      </c>
      <c r="Q385" s="195">
        <f>IFERROR(INDEX('Both teabags AfterWet'!$C$3:$C$841,MATCH(I385,'Both teabags AfterWet'!$A$3:$A$841,0)),"")</f>
        <v>2.2749000000000001</v>
      </c>
      <c r="R385" s="195">
        <f t="shared" si="39"/>
        <v>0.63319999999999999</v>
      </c>
      <c r="S385" s="195">
        <f t="shared" si="39"/>
        <v>2.1243000000000003</v>
      </c>
      <c r="T385" s="195">
        <f t="shared" si="40"/>
        <v>0.64806580702534466</v>
      </c>
      <c r="U385" s="195">
        <f t="shared" si="41"/>
        <v>0.4248602440356179</v>
      </c>
      <c r="V385" s="195">
        <f t="shared" si="42"/>
        <v>1.0771219957407974</v>
      </c>
      <c r="W385">
        <f t="shared" si="37"/>
        <v>52</v>
      </c>
      <c r="X385" s="195">
        <f t="shared" si="43"/>
        <v>0.2303256448630111</v>
      </c>
      <c r="Y385" s="195">
        <f t="shared" si="44"/>
        <v>-3.2077781317730552E-3</v>
      </c>
      <c r="Z385" s="255" t="str">
        <f>IF(ISNUMBER(SEARCH("C",'WetLitterbags placem_collection'!W312)),"YES","NO")</f>
        <v>NO</v>
      </c>
      <c r="AA385" s="255" t="str">
        <f>IF(ISNUMBER(SEARCH("H", 'WetLitterbags placem_collection'!Y92)),"YES","NO")</f>
        <v>NO</v>
      </c>
      <c r="AB385" s="255" t="str">
        <f>IF(ISNUMBER(SEARCH("R", 'WetLitterbags placem_collection'!WY92)),"YES","NO")</f>
        <v>NO</v>
      </c>
      <c r="AC385" s="255" t="str">
        <f>IF(ISNUMBER(SEARCH("C", 'WetLitterbags placem_collection'!VX92)),"YES","NO")</f>
        <v>NO</v>
      </c>
      <c r="AD385" s="255" t="str">
        <f>IF(ISNUMBER(SEARCH("H", 'WetLitterbags placem_collection'!X92)),"YES","NO")</f>
        <v>NO</v>
      </c>
      <c r="AE385" s="255" t="str">
        <f>IF(ISNUMBER(SEARCH("R", 'WetLitterbags placem_collection'!X92)),"YES","NO")</f>
        <v>NO</v>
      </c>
    </row>
    <row r="386" spans="2:31">
      <c r="B386" t="str">
        <f>'Final data_for_R_analysis_Wetse'!A532</f>
        <v>Wet</v>
      </c>
      <c r="C386" s="263">
        <f>'Final data_for_R_analysis_Wetse'!B532</f>
        <v>91</v>
      </c>
      <c r="D386" t="s">
        <v>3840</v>
      </c>
      <c r="E386" t="s">
        <v>25</v>
      </c>
      <c r="F386" s="386">
        <v>3</v>
      </c>
      <c r="G386" s="16">
        <f>'WetLitterbags placem_collection'!E93</f>
        <v>42767</v>
      </c>
      <c r="H386" s="92" t="str">
        <f>'Final data_for_R_analysis_Wetse'!J532</f>
        <v>G547</v>
      </c>
      <c r="I386" t="str">
        <f>'Final data_for_R_analysis_Wetse'!J752</f>
        <v>R73</v>
      </c>
      <c r="J386">
        <f>IFERROR(INDEX('Green_rooibos initial weight'!$C$5:$C$1749,MATCH(H386, 'Green_rooibos initial weight'!$A$5:$A$1749,0)),"")</f>
        <v>2.121</v>
      </c>
      <c r="K386">
        <f>IFERROR(INDEX('Green_rooibos initial weight'!$C$5:$C$1749,MATCH(I386, 'Green_rooibos initial weight'!$A$5:$A$1749,0)),"")</f>
        <v>2.1459999999999999</v>
      </c>
      <c r="L386" s="195">
        <f t="shared" si="38"/>
        <v>1.8712</v>
      </c>
      <c r="M386" s="195">
        <f>AVERAGE(Ashed_controlls!$K$2:$K$11)</f>
        <v>5.5147656768714146</v>
      </c>
      <c r="N386" s="195">
        <f t="shared" si="36"/>
        <v>1.8961999999999999</v>
      </c>
      <c r="O386" s="16">
        <f>IF('WetLitterbags placem_collection'!G93="N.A","",'WetLitterbags placem_collection'!G93)</f>
        <v>42819</v>
      </c>
      <c r="P386" s="195">
        <f>IF(IFERROR(INDEX('Both teabags AfterWet'!$C$3:$C$841,MATCH(H386,'Both teabags AfterWet'!$A$3:$A$841,0)),"")="N.A","",(IFERROR(INDEX('Both teabags AfterWet'!$C$3:$C$841,MATCH(H386,'Both teabags AfterWet'!$A$3:$A$841,0)),"")))</f>
        <v>1.069</v>
      </c>
      <c r="Q386" s="195">
        <f>IFERROR(INDEX('Both teabags AfterWet'!$C$3:$C$841,MATCH(I386,'Both teabags AfterWet'!$A$3:$A$841,0)),"")</f>
        <v>1.663</v>
      </c>
      <c r="R386" s="195">
        <f t="shared" si="39"/>
        <v>0.91839999999999988</v>
      </c>
      <c r="S386" s="195">
        <f t="shared" si="39"/>
        <v>1.5124</v>
      </c>
      <c r="T386" s="195">
        <f t="shared" si="40"/>
        <v>0.50919196237708431</v>
      </c>
      <c r="U386" s="195">
        <f t="shared" si="41"/>
        <v>0.33381705847048759</v>
      </c>
      <c r="V386" s="195">
        <f t="shared" si="42"/>
        <v>0.79759519038076154</v>
      </c>
      <c r="W386">
        <f t="shared" si="37"/>
        <v>52</v>
      </c>
      <c r="X386" s="195">
        <f t="shared" si="43"/>
        <v>0.39525895204621819</v>
      </c>
      <c r="Y386" s="195">
        <f t="shared" si="44"/>
        <v>1.792795757761563E-2</v>
      </c>
      <c r="Z386" s="255" t="str">
        <f>IF(ISNUMBER(SEARCH("C",'WetLitterbags placem_collection'!W313)),"YES","NO")</f>
        <v>NO</v>
      </c>
      <c r="AA386" s="255" t="str">
        <f>IF(ISNUMBER(SEARCH("H", 'WetLitterbags placem_collection'!Y93)),"YES","NO")</f>
        <v>NO</v>
      </c>
      <c r="AB386" s="255" t="str">
        <f>IF(ISNUMBER(SEARCH("R", 'WetLitterbags placem_collection'!WY93)),"YES","NO")</f>
        <v>NO</v>
      </c>
      <c r="AC386" s="255" t="str">
        <f>IF(ISNUMBER(SEARCH("C", 'WetLitterbags placem_collection'!VX93)),"YES","NO")</f>
        <v>NO</v>
      </c>
      <c r="AD386" s="255" t="str">
        <f>IF(ISNUMBER(SEARCH("H", 'WetLitterbags placem_collection'!X93)),"YES","NO")</f>
        <v>NO</v>
      </c>
      <c r="AE386" s="255" t="str">
        <f>IF(ISNUMBER(SEARCH("R", 'WetLitterbags placem_collection'!X93)),"YES","NO")</f>
        <v>YES</v>
      </c>
    </row>
    <row r="387" spans="2:31">
      <c r="B387" t="str">
        <f>'Final data_for_R_analysis_Wetse'!A533</f>
        <v>Wet</v>
      </c>
      <c r="C387" s="263">
        <f>'Final data_for_R_analysis_Wetse'!B533</f>
        <v>92</v>
      </c>
      <c r="D387" t="s">
        <v>3840</v>
      </c>
      <c r="E387" t="s">
        <v>25</v>
      </c>
      <c r="F387" s="387">
        <v>4</v>
      </c>
      <c r="G387" s="16">
        <f>'WetLitterbags placem_collection'!E94</f>
        <v>42767</v>
      </c>
      <c r="H387" s="92" t="str">
        <f>'Final data_for_R_analysis_Wetse'!J533</f>
        <v>G763</v>
      </c>
      <c r="I387" t="str">
        <f>'Final data_for_R_analysis_Wetse'!J753</f>
        <v>R4</v>
      </c>
      <c r="J387">
        <f>IFERROR(INDEX('Green_rooibos initial weight'!$C$5:$C$1749,MATCH(H387, 'Green_rooibos initial weight'!$A$5:$A$1749,0)),"")</f>
        <v>2.0590000000000002</v>
      </c>
      <c r="K387">
        <f>IFERROR(INDEX('Green_rooibos initial weight'!$C$5:$C$1749,MATCH(I387, 'Green_rooibos initial weight'!$A$5:$A$1749,0)),"")</f>
        <v>2.1549999999999998</v>
      </c>
      <c r="L387" s="195">
        <f t="shared" si="38"/>
        <v>1.8092000000000001</v>
      </c>
      <c r="M387" s="195">
        <f>AVERAGE(Ashed_controlls!$K$2:$K$11)</f>
        <v>5.5147656768714146</v>
      </c>
      <c r="N387" s="195">
        <f t="shared" si="36"/>
        <v>1.9051999999999998</v>
      </c>
      <c r="O387" s="16">
        <f>IF('WetLitterbags placem_collection'!G94="N.A","",'WetLitterbags placem_collection'!G94)</f>
        <v>42819</v>
      </c>
      <c r="P387" s="195" t="str">
        <f>IF(IFERROR(INDEX('Both teabags AfterWet'!$C$3:$C$841,MATCH(H387,'Both teabags AfterWet'!$A$3:$A$841,0)),"")="N.A","",(IFERROR(INDEX('Both teabags AfterWet'!$C$3:$C$841,MATCH(H387,'Both teabags AfterWet'!$A$3:$A$841,0)),"")))</f>
        <v/>
      </c>
      <c r="Q387" s="195">
        <f>IFERROR(INDEX('Both teabags AfterWet'!$C$3:$C$841,MATCH(I387,'Both teabags AfterWet'!$A$3:$A$841,0)),"")</f>
        <v>1.6779999999999999</v>
      </c>
      <c r="R387" s="195" t="str">
        <f t="shared" si="39"/>
        <v/>
      </c>
      <c r="S387" s="195">
        <f t="shared" si="39"/>
        <v>1.5273999999999999</v>
      </c>
      <c r="T387" s="195" t="str">
        <f t="shared" si="40"/>
        <v/>
      </c>
      <c r="U387" s="195" t="str">
        <f t="shared" si="41"/>
        <v/>
      </c>
      <c r="V387" s="195">
        <f t="shared" si="42"/>
        <v>0.80170060885996219</v>
      </c>
      <c r="W387">
        <f t="shared" si="37"/>
        <v>52</v>
      </c>
      <c r="X387" s="195" t="str">
        <f t="shared" si="43"/>
        <v/>
      </c>
      <c r="Y387" s="195" t="str">
        <f t="shared" si="44"/>
        <v/>
      </c>
      <c r="Z387" s="255" t="str">
        <f>IF(ISNUMBER(SEARCH("C",'WetLitterbags placem_collection'!W314)),"YES","NO")</f>
        <v>NO</v>
      </c>
      <c r="AA387" s="255" t="str">
        <f>IF(ISNUMBER(SEARCH("H", 'WetLitterbags placem_collection'!Y94)),"YES","NO")</f>
        <v>NO</v>
      </c>
      <c r="AB387" s="255" t="str">
        <f>IF(ISNUMBER(SEARCH("R", 'WetLitterbags placem_collection'!WY94)),"YES","NO")</f>
        <v>NO</v>
      </c>
      <c r="AC387" s="255" t="str">
        <f>IF(ISNUMBER(SEARCH("C", 'WetLitterbags placem_collection'!VX94)),"YES","NO")</f>
        <v>NO</v>
      </c>
      <c r="AD387" s="255" t="str">
        <f>IF(ISNUMBER(SEARCH("H", 'WetLitterbags placem_collection'!X94)),"YES","NO")</f>
        <v>NO</v>
      </c>
      <c r="AE387" s="255" t="str">
        <f>IF(ISNUMBER(SEARCH("R", 'WetLitterbags placem_collection'!X94)),"YES","NO")</f>
        <v>YES</v>
      </c>
    </row>
    <row r="388" spans="2:31">
      <c r="B388" t="str">
        <f>'Final data_for_R_analysis_Wetse'!A534</f>
        <v>Wet</v>
      </c>
      <c r="C388" s="263">
        <f>'Final data_for_R_analysis_Wetse'!B534</f>
        <v>93</v>
      </c>
      <c r="D388" t="s">
        <v>3840</v>
      </c>
      <c r="E388" t="s">
        <v>25</v>
      </c>
      <c r="F388" s="387">
        <v>5</v>
      </c>
      <c r="G388" s="16">
        <f>'WetLitterbags placem_collection'!E95</f>
        <v>42767</v>
      </c>
      <c r="H388" s="92" t="str">
        <f>'Final data_for_R_analysis_Wetse'!J534</f>
        <v>G424</v>
      </c>
      <c r="I388" t="str">
        <f>'Final data_for_R_analysis_Wetse'!J754</f>
        <v>R136</v>
      </c>
      <c r="J388">
        <f>IFERROR(INDEX('Green_rooibos initial weight'!$C$5:$C$1749,MATCH(H388, 'Green_rooibos initial weight'!$A$5:$A$1749,0)),"")</f>
        <v>1.9590000000000001</v>
      </c>
      <c r="K388">
        <f>IFERROR(INDEX('Green_rooibos initial weight'!$C$5:$C$1749,MATCH(I388, 'Green_rooibos initial weight'!$A$5:$A$1749,0)),"")</f>
        <v>2.21</v>
      </c>
      <c r="L388" s="195">
        <f t="shared" si="38"/>
        <v>1.7092000000000001</v>
      </c>
      <c r="M388" s="195">
        <f>AVERAGE(Ashed_controlls!$K$2:$K$11)</f>
        <v>5.5147656768714146</v>
      </c>
      <c r="N388" s="195">
        <f t="shared" si="36"/>
        <v>1.9601999999999999</v>
      </c>
      <c r="O388" s="16">
        <f>IF('WetLitterbags placem_collection'!G95="N.A","",'WetLitterbags placem_collection'!G95)</f>
        <v>42819</v>
      </c>
      <c r="P388" s="195">
        <f>IF(IFERROR(INDEX('Both teabags AfterWet'!$C$3:$C$841,MATCH(H388,'Both teabags AfterWet'!$A$3:$A$841,0)),"")="N.A","",(IFERROR(INDEX('Both teabags AfterWet'!$C$3:$C$841,MATCH(H388,'Both teabags AfterWet'!$A$3:$A$841,0)),"")))</f>
        <v>0.66039999999999999</v>
      </c>
      <c r="Q388" s="195">
        <f>IFERROR(INDEX('Both teabags AfterWet'!$C$3:$C$841,MATCH(I388,'Both teabags AfterWet'!$A$3:$A$841,0)),"")</f>
        <v>1.6368</v>
      </c>
      <c r="R388" s="195">
        <f t="shared" si="39"/>
        <v>0.50980000000000003</v>
      </c>
      <c r="S388" s="195">
        <f t="shared" si="39"/>
        <v>1.4862</v>
      </c>
      <c r="T388" s="195">
        <f t="shared" si="40"/>
        <v>0.70173180435291371</v>
      </c>
      <c r="U388" s="195">
        <f t="shared" si="41"/>
        <v>0.46004270309122142</v>
      </c>
      <c r="V388" s="195">
        <f t="shared" si="42"/>
        <v>0.75818794000612177</v>
      </c>
      <c r="W388">
        <f t="shared" si="37"/>
        <v>52</v>
      </c>
      <c r="X388" s="195">
        <f t="shared" si="43"/>
        <v>0.16658930599416422</v>
      </c>
      <c r="Y388" s="195">
        <f t="shared" si="44"/>
        <v>1.4341669588772275E-2</v>
      </c>
      <c r="Z388" s="255" t="str">
        <f>IF(ISNUMBER(SEARCH("C",'WetLitterbags placem_collection'!W315)),"YES","NO")</f>
        <v>NO</v>
      </c>
      <c r="AA388" s="255" t="str">
        <f>IF(ISNUMBER(SEARCH("H", 'WetLitterbags placem_collection'!Y95)),"YES","NO")</f>
        <v>NO</v>
      </c>
      <c r="AB388" s="255" t="str">
        <f>IF(ISNUMBER(SEARCH("R", 'WetLitterbags placem_collection'!WY95)),"YES","NO")</f>
        <v>NO</v>
      </c>
      <c r="AC388" s="255" t="str">
        <f>IF(ISNUMBER(SEARCH("C", 'WetLitterbags placem_collection'!VX95)),"YES","NO")</f>
        <v>NO</v>
      </c>
      <c r="AD388" s="255" t="str">
        <f>IF(ISNUMBER(SEARCH("H", 'WetLitterbags placem_collection'!X95)),"YES","NO")</f>
        <v>NO</v>
      </c>
      <c r="AE388" s="255" t="str">
        <f>IF(ISNUMBER(SEARCH("R", 'WetLitterbags placem_collection'!X95)),"YES","NO")</f>
        <v>YES</v>
      </c>
    </row>
    <row r="389" spans="2:31">
      <c r="B389" t="str">
        <f>'Final data_for_R_analysis_Wetse'!A535</f>
        <v>Wet</v>
      </c>
      <c r="C389" s="263">
        <f>'Final data_for_R_analysis_Wetse'!B535</f>
        <v>94</v>
      </c>
      <c r="D389" t="s">
        <v>3840</v>
      </c>
      <c r="E389" t="s">
        <v>25</v>
      </c>
      <c r="F389" s="387">
        <v>6</v>
      </c>
      <c r="G389" s="16">
        <f>'WetLitterbags placem_collection'!E96</f>
        <v>42767</v>
      </c>
      <c r="H389" s="92" t="str">
        <f>'Final data_for_R_analysis_Wetse'!J535</f>
        <v>G588</v>
      </c>
      <c r="I389" t="str">
        <f>'Final data_for_R_analysis_Wetse'!J755</f>
        <v>R358</v>
      </c>
      <c r="J389">
        <f>IFERROR(INDEX('Green_rooibos initial weight'!$C$5:$C$1749,MATCH(H389, 'Green_rooibos initial weight'!$A$5:$A$1749,0)),"")</f>
        <v>2.14</v>
      </c>
      <c r="K389">
        <f>IFERROR(INDEX('Green_rooibos initial weight'!$C$5:$C$1749,MATCH(I389, 'Green_rooibos initial weight'!$A$5:$A$1749,0)),"")</f>
        <v>2.2210000000000001</v>
      </c>
      <c r="L389" s="195">
        <f t="shared" si="38"/>
        <v>1.8902000000000001</v>
      </c>
      <c r="M389" s="195">
        <f>AVERAGE(Ashed_controlls!$K$2:$K$11)</f>
        <v>5.5147656768714146</v>
      </c>
      <c r="N389" s="195">
        <f t="shared" si="36"/>
        <v>1.9712000000000001</v>
      </c>
      <c r="O389" s="16">
        <f>IF('WetLitterbags placem_collection'!G96="N.A","",'WetLitterbags placem_collection'!G96)</f>
        <v>0</v>
      </c>
      <c r="P389" s="195" t="str">
        <f>IF(IFERROR(INDEX('Both teabags AfterWet'!$C$3:$C$841,MATCH(H389,'Both teabags AfterWet'!$A$3:$A$841,0)),"")="N.A","",(IFERROR(INDEX('Both teabags AfterWet'!$C$3:$C$841,MATCH(H389,'Both teabags AfterWet'!$A$3:$A$841,0)),"")))</f>
        <v/>
      </c>
      <c r="Q389" s="195" t="str">
        <f>IFERROR(INDEX('Both teabags AfterWet'!$C$3:$C$841,MATCH(I389,'Both teabags AfterWet'!$A$3:$A$841,0)),"")</f>
        <v/>
      </c>
      <c r="R389" s="195" t="str">
        <f t="shared" si="39"/>
        <v/>
      </c>
      <c r="S389" s="195" t="str">
        <f t="shared" si="39"/>
        <v/>
      </c>
      <c r="T389" s="195" t="str">
        <f t="shared" si="40"/>
        <v/>
      </c>
      <c r="U389" s="195" t="str">
        <f t="shared" si="41"/>
        <v/>
      </c>
      <c r="V389" s="195" t="str">
        <f t="shared" si="42"/>
        <v/>
      </c>
      <c r="W389" t="str">
        <f t="shared" si="37"/>
        <v/>
      </c>
      <c r="X389" s="195" t="str">
        <f t="shared" si="43"/>
        <v/>
      </c>
      <c r="Y389" s="195" t="str">
        <f t="shared" si="44"/>
        <v/>
      </c>
      <c r="Z389" s="255" t="str">
        <f>IF(ISNUMBER(SEARCH("C",'WetLitterbags placem_collection'!W316)),"YES","NO")</f>
        <v>NO</v>
      </c>
      <c r="AA389" s="255" t="str">
        <f>IF(ISNUMBER(SEARCH("H", 'WetLitterbags placem_collection'!Y96)),"YES","NO")</f>
        <v>NO</v>
      </c>
      <c r="AB389" s="255" t="str">
        <f>IF(ISNUMBER(SEARCH("R", 'WetLitterbags placem_collection'!WY96)),"YES","NO")</f>
        <v>NO</v>
      </c>
      <c r="AC389" s="255" t="str">
        <f>IF(ISNUMBER(SEARCH("C", 'WetLitterbags placem_collection'!VX96)),"YES","NO")</f>
        <v>NO</v>
      </c>
      <c r="AD389" s="255" t="str">
        <f>IF(ISNUMBER(SEARCH("H", 'WetLitterbags placem_collection'!X96)),"YES","NO")</f>
        <v>NO</v>
      </c>
      <c r="AE389" s="255" t="str">
        <f>IF(ISNUMBER(SEARCH("R", 'WetLitterbags placem_collection'!X96)),"YES","NO")</f>
        <v>NO</v>
      </c>
    </row>
    <row r="390" spans="2:31">
      <c r="B390" t="str">
        <f>'Final data_for_R_analysis_Wetse'!A536</f>
        <v>Wet</v>
      </c>
      <c r="C390" s="263">
        <f>'Final data_for_R_analysis_Wetse'!B536</f>
        <v>95</v>
      </c>
      <c r="D390" t="s">
        <v>3840</v>
      </c>
      <c r="E390" t="s">
        <v>25</v>
      </c>
      <c r="F390" s="387">
        <v>7</v>
      </c>
      <c r="G390" s="16">
        <f>'WetLitterbags placem_collection'!E97</f>
        <v>42767</v>
      </c>
      <c r="H390" s="92" t="str">
        <f>'Final data_for_R_analysis_Wetse'!J536</f>
        <v>G486</v>
      </c>
      <c r="I390" t="str">
        <f>'Final data_for_R_analysis_Wetse'!J756</f>
        <v>R547</v>
      </c>
      <c r="J390">
        <f>IFERROR(INDEX('Green_rooibos initial weight'!$C$5:$C$1749,MATCH(H390, 'Green_rooibos initial weight'!$A$5:$A$1749,0)),"")</f>
        <v>2.0049999999999999</v>
      </c>
      <c r="K390">
        <f>IFERROR(INDEX('Green_rooibos initial weight'!$C$5:$C$1749,MATCH(I390, 'Green_rooibos initial weight'!$A$5:$A$1749,0)),"")</f>
        <v>2.194</v>
      </c>
      <c r="L390" s="195">
        <f t="shared" si="38"/>
        <v>1.7551999999999999</v>
      </c>
      <c r="M390" s="195">
        <f>AVERAGE(Ashed_controlls!$K$2:$K$11)</f>
        <v>5.5147656768714146</v>
      </c>
      <c r="N390" s="195">
        <f t="shared" si="36"/>
        <v>1.9441999999999999</v>
      </c>
      <c r="O390" s="16">
        <f>IF('WetLitterbags placem_collection'!G97="N.A","",'WetLitterbags placem_collection'!G97)</f>
        <v>42819</v>
      </c>
      <c r="P390" s="195">
        <f>IF(IFERROR(INDEX('Both teabags AfterWet'!$C$3:$C$841,MATCH(H390,'Both teabags AfterWet'!$A$3:$A$841,0)),"")="N.A","",(IFERROR(INDEX('Both teabags AfterWet'!$C$3:$C$841,MATCH(H390,'Both teabags AfterWet'!$A$3:$A$841,0)),"")))</f>
        <v>0.90400000000000003</v>
      </c>
      <c r="Q390" s="195">
        <f>IFERROR(INDEX('Both teabags AfterWet'!$C$3:$C$841,MATCH(I390,'Both teabags AfterWet'!$A$3:$A$841,0)),"")</f>
        <v>1.5620000000000001</v>
      </c>
      <c r="R390" s="195">
        <f t="shared" si="39"/>
        <v>0.75340000000000007</v>
      </c>
      <c r="S390" s="195">
        <f t="shared" si="39"/>
        <v>1.4114</v>
      </c>
      <c r="T390" s="195">
        <f t="shared" si="40"/>
        <v>0.57076116681859612</v>
      </c>
      <c r="U390" s="195">
        <f t="shared" si="41"/>
        <v>0.37418071743926973</v>
      </c>
      <c r="V390" s="195">
        <f t="shared" si="42"/>
        <v>0.7259541199465076</v>
      </c>
      <c r="W390">
        <f t="shared" si="37"/>
        <v>52</v>
      </c>
      <c r="X390" s="195">
        <f t="shared" si="43"/>
        <v>0.32213638145059842</v>
      </c>
      <c r="Y390" s="195">
        <f t="shared" si="44"/>
        <v>2.5350408284870816E-2</v>
      </c>
      <c r="Z390" s="255" t="str">
        <f>IF(ISNUMBER(SEARCH("C",'WetLitterbags placem_collection'!W317)),"YES","NO")</f>
        <v>NO</v>
      </c>
      <c r="AA390" s="255" t="str">
        <f>IF(ISNUMBER(SEARCH("H", 'WetLitterbags placem_collection'!Y97)),"YES","NO")</f>
        <v>NO</v>
      </c>
      <c r="AB390" s="255" t="str">
        <f>IF(ISNUMBER(SEARCH("R", 'WetLitterbags placem_collection'!WY97)),"YES","NO")</f>
        <v>NO</v>
      </c>
      <c r="AC390" s="255" t="str">
        <f>IF(ISNUMBER(SEARCH("C", 'WetLitterbags placem_collection'!VX97)),"YES","NO")</f>
        <v>NO</v>
      </c>
      <c r="AD390" s="255" t="str">
        <f>IF(ISNUMBER(SEARCH("H", 'WetLitterbags placem_collection'!X97)),"YES","NO")</f>
        <v>NO</v>
      </c>
      <c r="AE390" s="255" t="str">
        <f>IF(ISNUMBER(SEARCH("R", 'WetLitterbags placem_collection'!X97)),"YES","NO")</f>
        <v>YES</v>
      </c>
    </row>
    <row r="391" spans="2:31">
      <c r="B391" t="str">
        <f>'Final data_for_R_analysis_Wetse'!A537</f>
        <v>Wet</v>
      </c>
      <c r="C391" s="263">
        <f>'Final data_for_R_analysis_Wetse'!B537</f>
        <v>96</v>
      </c>
      <c r="D391" t="s">
        <v>3840</v>
      </c>
      <c r="E391" t="s">
        <v>25</v>
      </c>
      <c r="F391" s="387">
        <v>8</v>
      </c>
      <c r="G391" s="16">
        <f>'WetLitterbags placem_collection'!E98</f>
        <v>42767</v>
      </c>
      <c r="H391" s="92" t="str">
        <f>'Final data_for_R_analysis_Wetse'!J537</f>
        <v>G545</v>
      </c>
      <c r="I391" t="str">
        <f>'Final data_for_R_analysis_Wetse'!J757</f>
        <v>R588</v>
      </c>
      <c r="J391">
        <f>IFERROR(INDEX('Green_rooibos initial weight'!$C$5:$C$1749,MATCH(H391, 'Green_rooibos initial weight'!$A$5:$A$1749,0)),"")</f>
        <v>2.0720000000000001</v>
      </c>
      <c r="K391">
        <f>IFERROR(INDEX('Green_rooibos initial weight'!$C$5:$C$1749,MATCH(I391, 'Green_rooibos initial weight'!$A$5:$A$1749,0)),"")</f>
        <v>2.1360000000000001</v>
      </c>
      <c r="L391" s="195">
        <f t="shared" si="38"/>
        <v>1.8222</v>
      </c>
      <c r="M391" s="195">
        <f>AVERAGE(Ashed_controlls!$K$2:$K$11)</f>
        <v>5.5147656768714146</v>
      </c>
      <c r="N391" s="195">
        <f t="shared" si="36"/>
        <v>1.8862000000000001</v>
      </c>
      <c r="O391" s="16">
        <f>IF('WetLitterbags placem_collection'!G98="N.A","",'WetLitterbags placem_collection'!G98)</f>
        <v>42819</v>
      </c>
      <c r="P391" s="195">
        <f>IF(IFERROR(INDEX('Both teabags AfterWet'!$C$3:$C$841,MATCH(H391,'Both teabags AfterWet'!$A$3:$A$841,0)),"")="N.A","",(IFERROR(INDEX('Both teabags AfterWet'!$C$3:$C$841,MATCH(H391,'Both teabags AfterWet'!$A$3:$A$841,0)),"")))</f>
        <v>0.73950000000000005</v>
      </c>
      <c r="Q391" s="195">
        <f>IFERROR(INDEX('Both teabags AfterWet'!$C$3:$C$841,MATCH(I391,'Both teabags AfterWet'!$A$3:$A$841,0)),"")</f>
        <v>0.87350000000000005</v>
      </c>
      <c r="R391" s="195">
        <f t="shared" si="39"/>
        <v>0.58889999999999998</v>
      </c>
      <c r="S391" s="195">
        <f t="shared" si="39"/>
        <v>0.7229000000000001</v>
      </c>
      <c r="T391" s="195">
        <f t="shared" si="40"/>
        <v>0.67681922950279882</v>
      </c>
      <c r="U391" s="195">
        <f t="shared" si="41"/>
        <v>0.44371046874767817</v>
      </c>
      <c r="V391" s="195">
        <f t="shared" si="42"/>
        <v>0.383257342805641</v>
      </c>
      <c r="W391">
        <f t="shared" si="37"/>
        <v>52</v>
      </c>
      <c r="X391" s="195">
        <f t="shared" si="43"/>
        <v>0.19617668705130775</v>
      </c>
      <c r="Y391" s="195" t="str">
        <f t="shared" si="44"/>
        <v/>
      </c>
      <c r="Z391" s="255" t="str">
        <f>IF(ISNUMBER(SEARCH("C",'WetLitterbags placem_collection'!W318)),"YES","NO")</f>
        <v>NO</v>
      </c>
      <c r="AA391" s="255" t="str">
        <f>IF(ISNUMBER(SEARCH("H", 'WetLitterbags placem_collection'!Y98)),"YES","NO")</f>
        <v>NO</v>
      </c>
      <c r="AB391" s="255" t="str">
        <f>IF(ISNUMBER(SEARCH("R", 'WetLitterbags placem_collection'!WY98)),"YES","NO")</f>
        <v>NO</v>
      </c>
      <c r="AC391" s="255" t="str">
        <f>IF(ISNUMBER(SEARCH("C", 'WetLitterbags placem_collection'!VX98)),"YES","NO")</f>
        <v>NO</v>
      </c>
      <c r="AD391" s="255" t="str">
        <f>IF(ISNUMBER(SEARCH("H", 'WetLitterbags placem_collection'!X98)),"YES","NO")</f>
        <v>NO</v>
      </c>
      <c r="AE391" s="255" t="str">
        <f>IF(ISNUMBER(SEARCH("R", 'WetLitterbags placem_collection'!X98)),"YES","NO")</f>
        <v>YES</v>
      </c>
    </row>
    <row r="392" spans="2:31">
      <c r="B392" t="str">
        <f>'Final data_for_R_analysis_Wetse'!A538</f>
        <v>Wet</v>
      </c>
      <c r="C392" s="263">
        <f>'Final data_for_R_analysis_Wetse'!B538</f>
        <v>97</v>
      </c>
      <c r="D392" t="s">
        <v>3841</v>
      </c>
      <c r="E392" t="s">
        <v>25</v>
      </c>
      <c r="F392" s="386">
        <v>1</v>
      </c>
      <c r="G392" s="16">
        <f>'WetLitterbags placem_collection'!E99</f>
        <v>42762</v>
      </c>
      <c r="H392" s="92" t="str">
        <f>'Final data_for_R_analysis_Wetse'!J538</f>
        <v>G847</v>
      </c>
      <c r="I392" t="str">
        <f>'Final data_for_R_analysis_Wetse'!J758</f>
        <v>R576</v>
      </c>
      <c r="J392">
        <f>IFERROR(INDEX('Green_rooibos initial weight'!$C$5:$C$1749,MATCH(H392, 'Green_rooibos initial weight'!$A$5:$A$1749,0)),"")</f>
        <v>2.1019999999999999</v>
      </c>
      <c r="K392">
        <f>IFERROR(INDEX('Green_rooibos initial weight'!$C$5:$C$1749,MATCH(I392, 'Green_rooibos initial weight'!$A$5:$A$1749,0)),"")</f>
        <v>2.109</v>
      </c>
      <c r="L392" s="195">
        <f t="shared" si="38"/>
        <v>1.8521999999999998</v>
      </c>
      <c r="M392" s="195">
        <f>AVERAGE(Ashed_controlls!$K$2:$K$11)</f>
        <v>5.5147656768714146</v>
      </c>
      <c r="N392" s="195">
        <f t="shared" si="36"/>
        <v>1.8592</v>
      </c>
      <c r="O392" s="16">
        <f>IF('WetLitterbags placem_collection'!G99="N.A","",'WetLitterbags placem_collection'!G99)</f>
        <v>42816</v>
      </c>
      <c r="P392" s="195">
        <f>IF(IFERROR(INDEX('Both teabags AfterWet'!$C$3:$C$841,MATCH(H392,'Both teabags AfterWet'!$A$3:$A$841,0)),"")="N.A","",(IFERROR(INDEX('Both teabags AfterWet'!$C$3:$C$841,MATCH(H392,'Both teabags AfterWet'!$A$3:$A$841,0)),"")))</f>
        <v>0.61809999999999998</v>
      </c>
      <c r="Q392" s="195" t="str">
        <f>IFERROR(INDEX('Both teabags AfterWet'!$C$3:$C$841,MATCH(I392,'Both teabags AfterWet'!$A$3:$A$841,0)),"")</f>
        <v/>
      </c>
      <c r="R392" s="195">
        <f t="shared" si="39"/>
        <v>0.46749999999999997</v>
      </c>
      <c r="S392" s="195" t="str">
        <f t="shared" si="39"/>
        <v/>
      </c>
      <c r="T392" s="195">
        <f t="shared" si="40"/>
        <v>0.74759745167908431</v>
      </c>
      <c r="U392" s="195">
        <f t="shared" si="41"/>
        <v>0.49011139349982735</v>
      </c>
      <c r="V392" s="195" t="str">
        <f t="shared" si="42"/>
        <v/>
      </c>
      <c r="W392">
        <f t="shared" si="37"/>
        <v>54</v>
      </c>
      <c r="X392" s="195">
        <f t="shared" si="43"/>
        <v>0.11211704076118245</v>
      </c>
      <c r="Y392" s="195" t="str">
        <f t="shared" si="44"/>
        <v/>
      </c>
      <c r="Z392" s="255" t="str">
        <f>IF(ISNUMBER(SEARCH("C",'WetLitterbags placem_collection'!W319)),"YES","NO")</f>
        <v>NO</v>
      </c>
      <c r="AA392" s="255" t="str">
        <f>IF(ISNUMBER(SEARCH("H", 'WetLitterbags placem_collection'!Y99)),"YES","NO")</f>
        <v>NO</v>
      </c>
      <c r="AB392" s="255" t="str">
        <f>IF(ISNUMBER(SEARCH("R", 'WetLitterbags placem_collection'!WY99)),"YES","NO")</f>
        <v>NO</v>
      </c>
      <c r="AC392" s="255" t="str">
        <f>IF(ISNUMBER(SEARCH("C", 'WetLitterbags placem_collection'!VX99)),"YES","NO")</f>
        <v>NO</v>
      </c>
      <c r="AD392" s="255" t="str">
        <f>IF(ISNUMBER(SEARCH("H", 'WetLitterbags placem_collection'!X99)),"YES","NO")</f>
        <v>NO</v>
      </c>
      <c r="AE392" s="255" t="str">
        <f>IF(ISNUMBER(SEARCH("R", 'WetLitterbags placem_collection'!X99)),"YES","NO")</f>
        <v>NO</v>
      </c>
    </row>
    <row r="393" spans="2:31">
      <c r="B393" t="str">
        <f>'Final data_for_R_analysis_Wetse'!A539</f>
        <v>Wet</v>
      </c>
      <c r="C393" s="263">
        <f>'Final data_for_R_analysis_Wetse'!B539</f>
        <v>98</v>
      </c>
      <c r="D393" t="s">
        <v>3841</v>
      </c>
      <c r="E393" t="s">
        <v>25</v>
      </c>
      <c r="F393" s="386">
        <v>2</v>
      </c>
      <c r="G393" s="16">
        <f>'WetLitterbags placem_collection'!E100</f>
        <v>42762</v>
      </c>
      <c r="H393" s="92" t="str">
        <f>'Final data_for_R_analysis_Wetse'!J539</f>
        <v>G730</v>
      </c>
      <c r="I393" t="str">
        <f>'Final data_for_R_analysis_Wetse'!J759</f>
        <v>R561</v>
      </c>
      <c r="J393">
        <f>IFERROR(INDEX('Green_rooibos initial weight'!$C$5:$C$1749,MATCH(H393, 'Green_rooibos initial weight'!$A$5:$A$1749,0)),"")</f>
        <v>2.048</v>
      </c>
      <c r="K393">
        <f>IFERROR(INDEX('Green_rooibos initial weight'!$C$5:$C$1749,MATCH(I393, 'Green_rooibos initial weight'!$A$5:$A$1749,0)),"")</f>
        <v>2.0760000000000001</v>
      </c>
      <c r="L393" s="195">
        <f t="shared" si="38"/>
        <v>1.7982</v>
      </c>
      <c r="M393" s="195">
        <f>AVERAGE(Ashed_controlls!$K$2:$K$11)</f>
        <v>5.5147656768714146</v>
      </c>
      <c r="N393" s="195">
        <f t="shared" si="36"/>
        <v>1.8262</v>
      </c>
      <c r="O393" s="16">
        <f>IF('WetLitterbags placem_collection'!G100="N.A","",'WetLitterbags placem_collection'!G100)</f>
        <v>42816</v>
      </c>
      <c r="P393" s="195">
        <f>IF(IFERROR(INDEX('Both teabags AfterWet'!$C$3:$C$841,MATCH(H393,'Both teabags AfterWet'!$A$3:$A$841,0)),"")="N.A","",(IFERROR(INDEX('Both teabags AfterWet'!$C$3:$C$841,MATCH(H393,'Both teabags AfterWet'!$A$3:$A$841,0)),"")))</f>
        <v>0.629</v>
      </c>
      <c r="Q393" s="195">
        <f>IFERROR(INDEX('Both teabags AfterWet'!$C$3:$C$841,MATCH(I393,'Both teabags AfterWet'!$A$3:$A$841,0)),"")</f>
        <v>1.661</v>
      </c>
      <c r="R393" s="195">
        <f t="shared" si="39"/>
        <v>0.47839999999999999</v>
      </c>
      <c r="S393" s="195">
        <f t="shared" si="39"/>
        <v>1.5104</v>
      </c>
      <c r="T393" s="195">
        <f t="shared" si="40"/>
        <v>0.73395617840062277</v>
      </c>
      <c r="U393" s="195">
        <f t="shared" si="41"/>
        <v>0.48116842099423257</v>
      </c>
      <c r="V393" s="195">
        <f t="shared" si="42"/>
        <v>0.82707260979082242</v>
      </c>
      <c r="W393">
        <f t="shared" si="37"/>
        <v>54</v>
      </c>
      <c r="X393" s="195">
        <f t="shared" si="43"/>
        <v>0.12831807790899907</v>
      </c>
      <c r="Y393" s="195">
        <f t="shared" si="44"/>
        <v>8.2469502223020547E-3</v>
      </c>
      <c r="Z393" s="255" t="str">
        <f>IF(ISNUMBER(SEARCH("C",'WetLitterbags placem_collection'!W320)),"YES","NO")</f>
        <v>NO</v>
      </c>
      <c r="AA393" s="255" t="str">
        <f>IF(ISNUMBER(SEARCH("H", 'WetLitterbags placem_collection'!Y100)),"YES","NO")</f>
        <v>NO</v>
      </c>
      <c r="AB393" s="255" t="str">
        <f>IF(ISNUMBER(SEARCH("R", 'WetLitterbags placem_collection'!WY100)),"YES","NO")</f>
        <v>NO</v>
      </c>
      <c r="AC393" s="255" t="str">
        <f>IF(ISNUMBER(SEARCH("C", 'WetLitterbags placem_collection'!VX100)),"YES","NO")</f>
        <v>NO</v>
      </c>
      <c r="AD393" s="255" t="str">
        <f>IF(ISNUMBER(SEARCH("H", 'WetLitterbags placem_collection'!X100)),"YES","NO")</f>
        <v>NO</v>
      </c>
      <c r="AE393" s="255" t="str">
        <f>IF(ISNUMBER(SEARCH("R", 'WetLitterbags placem_collection'!X100)),"YES","NO")</f>
        <v>NO</v>
      </c>
    </row>
    <row r="394" spans="2:31">
      <c r="B394" t="str">
        <f>'Final data_for_R_analysis_Wetse'!A540</f>
        <v>Wet</v>
      </c>
      <c r="C394" s="263">
        <f>'Final data_for_R_analysis_Wetse'!B540</f>
        <v>99</v>
      </c>
      <c r="D394" t="s">
        <v>3841</v>
      </c>
      <c r="E394" t="s">
        <v>25</v>
      </c>
      <c r="F394" s="386">
        <v>3</v>
      </c>
      <c r="G394" s="16">
        <f>'WetLitterbags placem_collection'!E101</f>
        <v>42762</v>
      </c>
      <c r="H394" s="92" t="str">
        <f>'Final data_for_R_analysis_Wetse'!J540</f>
        <v>G691</v>
      </c>
      <c r="I394" t="str">
        <f>'Final data_for_R_analysis_Wetse'!J760</f>
        <v>R496</v>
      </c>
      <c r="J394">
        <f>IFERROR(INDEX('Green_rooibos initial weight'!$C$5:$C$1749,MATCH(H394, 'Green_rooibos initial weight'!$A$5:$A$1749,0)),"")</f>
        <v>2.0950000000000002</v>
      </c>
      <c r="K394">
        <f>IFERROR(INDEX('Green_rooibos initial weight'!$C$5:$C$1749,MATCH(I394, 'Green_rooibos initial weight'!$A$5:$A$1749,0)),"")</f>
        <v>2.2389999999999999</v>
      </c>
      <c r="L394" s="195">
        <f t="shared" si="38"/>
        <v>1.8452000000000002</v>
      </c>
      <c r="M394" s="195">
        <f>AVERAGE(Ashed_controlls!$K$2:$K$11)</f>
        <v>5.5147656768714146</v>
      </c>
      <c r="N394" s="195">
        <f t="shared" si="36"/>
        <v>1.9891999999999999</v>
      </c>
      <c r="O394" s="16">
        <f>IF('WetLitterbags placem_collection'!G101="N.A","",'WetLitterbags placem_collection'!G101)</f>
        <v>42816</v>
      </c>
      <c r="P394" s="195">
        <f>IF(IFERROR(INDEX('Both teabags AfterWet'!$C$3:$C$841,MATCH(H394,'Both teabags AfterWet'!$A$3:$A$841,0)),"")="N.A","",(IFERROR(INDEX('Both teabags AfterWet'!$C$3:$C$841,MATCH(H394,'Both teabags AfterWet'!$A$3:$A$841,0)),"")))</f>
        <v>0.52829999999999999</v>
      </c>
      <c r="Q394" s="195">
        <f>IFERROR(INDEX('Both teabags AfterWet'!$C$3:$C$841,MATCH(I394,'Both teabags AfterWet'!$A$3:$A$841,0)),"")</f>
        <v>1.5016</v>
      </c>
      <c r="R394" s="195">
        <f t="shared" si="39"/>
        <v>0.37769999999999998</v>
      </c>
      <c r="S394" s="195">
        <f t="shared" si="39"/>
        <v>1.351</v>
      </c>
      <c r="T394" s="195">
        <f t="shared" si="40"/>
        <v>0.79530674181660532</v>
      </c>
      <c r="U394" s="195">
        <f t="shared" si="41"/>
        <v>0.52138874285364156</v>
      </c>
      <c r="V394" s="195">
        <f t="shared" si="42"/>
        <v>0.67916750452443198</v>
      </c>
      <c r="W394">
        <f t="shared" si="37"/>
        <v>54</v>
      </c>
      <c r="X394" s="195">
        <f t="shared" si="43"/>
        <v>5.5455175989779892E-2</v>
      </c>
      <c r="Y394" s="195">
        <f t="shared" si="44"/>
        <v>1.7692614223705907E-2</v>
      </c>
      <c r="Z394" s="255" t="str">
        <f>IF(ISNUMBER(SEARCH("C",'WetLitterbags placem_collection'!W321)),"YES","NO")</f>
        <v>NO</v>
      </c>
      <c r="AA394" s="255" t="str">
        <f>IF(ISNUMBER(SEARCH("H", 'WetLitterbags placem_collection'!Y101)),"YES","NO")</f>
        <v>NO</v>
      </c>
      <c r="AB394" s="255" t="str">
        <f>IF(ISNUMBER(SEARCH("R", 'WetLitterbags placem_collection'!WY101)),"YES","NO")</f>
        <v>NO</v>
      </c>
      <c r="AC394" s="255" t="str">
        <f>IF(ISNUMBER(SEARCH("C", 'WetLitterbags placem_collection'!VX101)),"YES","NO")</f>
        <v>NO</v>
      </c>
      <c r="AD394" s="255" t="str">
        <f>IF(ISNUMBER(SEARCH("H", 'WetLitterbags placem_collection'!X101)),"YES","NO")</f>
        <v>NO</v>
      </c>
      <c r="AE394" s="255" t="str">
        <f>IF(ISNUMBER(SEARCH("R", 'WetLitterbags placem_collection'!X101)),"YES","NO")</f>
        <v>NO</v>
      </c>
    </row>
    <row r="395" spans="2:31">
      <c r="B395" t="str">
        <f>'Final data_for_R_analysis_Wetse'!A541</f>
        <v>Wet</v>
      </c>
      <c r="C395" s="263">
        <f>'Final data_for_R_analysis_Wetse'!B541</f>
        <v>100</v>
      </c>
      <c r="D395" t="s">
        <v>3841</v>
      </c>
      <c r="E395" t="s">
        <v>25</v>
      </c>
      <c r="F395" s="387">
        <v>4</v>
      </c>
      <c r="G395" s="16">
        <f>'WetLitterbags placem_collection'!E102</f>
        <v>42762</v>
      </c>
      <c r="H395" s="92" t="str">
        <f>'Final data_for_R_analysis_Wetse'!J541</f>
        <v>G828</v>
      </c>
      <c r="I395" t="str">
        <f>'Final data_for_R_analysis_Wetse'!J761</f>
        <v>R497</v>
      </c>
      <c r="J395">
        <f>IFERROR(INDEX('Green_rooibos initial weight'!$C$5:$C$1749,MATCH(H395, 'Green_rooibos initial weight'!$A$5:$A$1749,0)),"")</f>
        <v>1.986</v>
      </c>
      <c r="K395">
        <f>IFERROR(INDEX('Green_rooibos initial weight'!$C$5:$C$1749,MATCH(I395, 'Green_rooibos initial weight'!$A$5:$A$1749,0)),"")</f>
        <v>2.2240000000000002</v>
      </c>
      <c r="L395" s="195">
        <f t="shared" si="38"/>
        <v>1.7362</v>
      </c>
      <c r="M395" s="195">
        <f>AVERAGE(Ashed_controlls!$K$2:$K$11)</f>
        <v>5.5147656768714146</v>
      </c>
      <c r="N395" s="195">
        <f t="shared" si="36"/>
        <v>1.9742000000000002</v>
      </c>
      <c r="O395" s="16">
        <f>IF('WetLitterbags placem_collection'!G102="N.A","",'WetLitterbags placem_collection'!G102)</f>
        <v>42816</v>
      </c>
      <c r="P395" s="195">
        <f>IF(IFERROR(INDEX('Both teabags AfterWet'!$C$3:$C$841,MATCH(H395,'Both teabags AfterWet'!$A$3:$A$841,0)),"")="N.A","",(IFERROR(INDEX('Both teabags AfterWet'!$C$3:$C$841,MATCH(H395,'Both teabags AfterWet'!$A$3:$A$841,0)),"")))</f>
        <v>0.57399999999999995</v>
      </c>
      <c r="Q395" s="195">
        <f>IFERROR(INDEX('Both teabags AfterWet'!$C$3:$C$841,MATCH(I395,'Both teabags AfterWet'!$A$3:$A$841,0)),"")</f>
        <v>1.66</v>
      </c>
      <c r="R395" s="195">
        <f t="shared" si="39"/>
        <v>0.42339999999999994</v>
      </c>
      <c r="S395" s="195">
        <f t="shared" si="39"/>
        <v>1.5093999999999999</v>
      </c>
      <c r="T395" s="195">
        <f t="shared" si="40"/>
        <v>0.75613408593480014</v>
      </c>
      <c r="U395" s="195">
        <f t="shared" si="41"/>
        <v>0.49570785681236307</v>
      </c>
      <c r="V395" s="195">
        <f t="shared" si="42"/>
        <v>0.76456286090568315</v>
      </c>
      <c r="W395">
        <f t="shared" si="37"/>
        <v>54</v>
      </c>
      <c r="X395" s="195">
        <f t="shared" si="43"/>
        <v>0.10197852026745824</v>
      </c>
      <c r="Y395" s="195">
        <f t="shared" si="44"/>
        <v>1.1930823028198157E-2</v>
      </c>
      <c r="Z395" s="255" t="str">
        <f>IF(ISNUMBER(SEARCH("C",'WetLitterbags placem_collection'!W322)),"YES","NO")</f>
        <v>NO</v>
      </c>
      <c r="AA395" s="255" t="str">
        <f>IF(ISNUMBER(SEARCH("H", 'WetLitterbags placem_collection'!Y102)),"YES","NO")</f>
        <v>NO</v>
      </c>
      <c r="AB395" s="255" t="str">
        <f>IF(ISNUMBER(SEARCH("R", 'WetLitterbags placem_collection'!WY102)),"YES","NO")</f>
        <v>NO</v>
      </c>
      <c r="AC395" s="255" t="str">
        <f>IF(ISNUMBER(SEARCH("C", 'WetLitterbags placem_collection'!VX102)),"YES","NO")</f>
        <v>NO</v>
      </c>
      <c r="AD395" s="255" t="str">
        <f>IF(ISNUMBER(SEARCH("H", 'WetLitterbags placem_collection'!X102)),"YES","NO")</f>
        <v>NO</v>
      </c>
      <c r="AE395" s="255" t="str">
        <f>IF(ISNUMBER(SEARCH("R", 'WetLitterbags placem_collection'!X102)),"YES","NO")</f>
        <v>NO</v>
      </c>
    </row>
    <row r="396" spans="2:31">
      <c r="B396" t="str">
        <f>'Final data_for_R_analysis_Wetse'!A542</f>
        <v>Wet</v>
      </c>
      <c r="C396" s="263">
        <f>'Final data_for_R_analysis_Wetse'!B542</f>
        <v>101</v>
      </c>
      <c r="D396" t="s">
        <v>3841</v>
      </c>
      <c r="E396" t="s">
        <v>25</v>
      </c>
      <c r="F396" s="387">
        <v>5</v>
      </c>
      <c r="G396" s="16">
        <f>'WetLitterbags placem_collection'!E103</f>
        <v>42762</v>
      </c>
      <c r="H396" s="92" t="str">
        <f>'Final data_for_R_analysis_Wetse'!J542</f>
        <v>G875</v>
      </c>
      <c r="I396" t="str">
        <f>'Final data_for_R_analysis_Wetse'!J762</f>
        <v>R10</v>
      </c>
      <c r="J396">
        <f>IFERROR(INDEX('Green_rooibos initial weight'!$C$5:$C$1749,MATCH(H396, 'Green_rooibos initial weight'!$A$5:$A$1749,0)),"")</f>
        <v>2.0880000000000001</v>
      </c>
      <c r="K396">
        <f>IFERROR(INDEX('Green_rooibos initial weight'!$C$5:$C$1749,MATCH(I396, 'Green_rooibos initial weight'!$A$5:$A$1749,0)),"")</f>
        <v>2.29</v>
      </c>
      <c r="L396" s="195">
        <f t="shared" si="38"/>
        <v>1.8382000000000001</v>
      </c>
      <c r="M396" s="195">
        <f>AVERAGE(Ashed_controlls!$K$2:$K$11)</f>
        <v>5.5147656768714146</v>
      </c>
      <c r="N396" s="195">
        <f t="shared" ref="N396:N459" si="45">IF(K396&gt;0,(K396*$F$32-($F$29+$F$30)),"")</f>
        <v>2.0402</v>
      </c>
      <c r="O396" s="16">
        <f>IF('WetLitterbags placem_collection'!G103="N.A","",'WetLitterbags placem_collection'!G103)</f>
        <v>42816</v>
      </c>
      <c r="P396" s="195">
        <f>IF(IFERROR(INDEX('Both teabags AfterWet'!$C$3:$C$841,MATCH(H396,'Both teabags AfterWet'!$A$3:$A$841,0)),"")="N.A","",(IFERROR(INDEX('Both teabags AfterWet'!$C$3:$C$841,MATCH(H396,'Both teabags AfterWet'!$A$3:$A$841,0)),"")))</f>
        <v>0.62450000000000006</v>
      </c>
      <c r="Q396" s="195">
        <f>IFERROR(INDEX('Both teabags AfterWet'!$C$3:$C$841,MATCH(I396,'Both teabags AfterWet'!$A$3:$A$841,0)),"")</f>
        <v>1.5687</v>
      </c>
      <c r="R396" s="195">
        <f t="shared" si="39"/>
        <v>0.47390000000000004</v>
      </c>
      <c r="S396" s="195">
        <f t="shared" si="39"/>
        <v>1.4180999999999999</v>
      </c>
      <c r="T396" s="195">
        <f t="shared" si="40"/>
        <v>0.7421934501142422</v>
      </c>
      <c r="U396" s="195">
        <f t="shared" si="41"/>
        <v>0.48656862762833936</v>
      </c>
      <c r="V396" s="195">
        <f t="shared" si="42"/>
        <v>0.69507891383197717</v>
      </c>
      <c r="W396">
        <f t="shared" ref="W396:W459" si="46">IF((O396-G396)&gt;0,(IFERROR(O396-G396,"")),"")</f>
        <v>54</v>
      </c>
      <c r="X396" s="195">
        <f t="shared" si="43"/>
        <v>0.11853509487619684</v>
      </c>
      <c r="Y396" s="195">
        <f t="shared" si="44"/>
        <v>1.8246476510625297E-2</v>
      </c>
      <c r="Z396" s="255" t="str">
        <f>IF(ISNUMBER(SEARCH("C",'WetLitterbags placem_collection'!W323)),"YES","NO")</f>
        <v>NO</v>
      </c>
      <c r="AA396" s="255" t="str">
        <f>IF(ISNUMBER(SEARCH("H", 'WetLitterbags placem_collection'!Y103)),"YES","NO")</f>
        <v>NO</v>
      </c>
      <c r="AB396" s="255" t="str">
        <f>IF(ISNUMBER(SEARCH("R", 'WetLitterbags placem_collection'!WY103)),"YES","NO")</f>
        <v>NO</v>
      </c>
      <c r="AC396" s="255" t="str">
        <f>IF(ISNUMBER(SEARCH("C", 'WetLitterbags placem_collection'!VX103)),"YES","NO")</f>
        <v>NO</v>
      </c>
      <c r="AD396" s="255" t="str">
        <f>IF(ISNUMBER(SEARCH("H", 'WetLitterbags placem_collection'!X103)),"YES","NO")</f>
        <v>NO</v>
      </c>
      <c r="AE396" s="255" t="str">
        <f>IF(ISNUMBER(SEARCH("R", 'WetLitterbags placem_collection'!X103)),"YES","NO")</f>
        <v>NO</v>
      </c>
    </row>
    <row r="397" spans="2:31">
      <c r="B397" t="str">
        <f>'Final data_for_R_analysis_Wetse'!A543</f>
        <v>Wet</v>
      </c>
      <c r="C397" s="263">
        <f>'Final data_for_R_analysis_Wetse'!B543</f>
        <v>102</v>
      </c>
      <c r="D397" t="s">
        <v>3841</v>
      </c>
      <c r="E397" t="s">
        <v>25</v>
      </c>
      <c r="F397" s="387">
        <v>6</v>
      </c>
      <c r="G397" s="16">
        <f>'WetLitterbags placem_collection'!E104</f>
        <v>42762</v>
      </c>
      <c r="H397" s="92" t="str">
        <f>'Final data_for_R_analysis_Wetse'!J543</f>
        <v>G824</v>
      </c>
      <c r="I397" t="str">
        <f>'Final data_for_R_analysis_Wetse'!J763</f>
        <v>R26</v>
      </c>
      <c r="J397">
        <f>IFERROR(INDEX('Green_rooibos initial weight'!$C$5:$C$1749,MATCH(H397, 'Green_rooibos initial weight'!$A$5:$A$1749,0)),"")</f>
        <v>1.931</v>
      </c>
      <c r="K397">
        <f>IFERROR(INDEX('Green_rooibos initial weight'!$C$5:$C$1749,MATCH(I397, 'Green_rooibos initial weight'!$A$5:$A$1749,0)),"")</f>
        <v>2.2559999999999998</v>
      </c>
      <c r="L397" s="195">
        <f t="shared" ref="L397:L460" si="47">IF(J397&gt;0,(J397*$F$31-($F$29+$F$30)),"")</f>
        <v>1.6812</v>
      </c>
      <c r="M397" s="195">
        <f>AVERAGE(Ashed_controlls!$K$2:$K$11)</f>
        <v>5.5147656768714146</v>
      </c>
      <c r="N397" s="195">
        <f t="shared" si="45"/>
        <v>2.0061999999999998</v>
      </c>
      <c r="O397" s="16">
        <f>IF('WetLitterbags placem_collection'!G104="N.A","",'WetLitterbags placem_collection'!G104)</f>
        <v>42816</v>
      </c>
      <c r="P397" s="195">
        <f>IF(IFERROR(INDEX('Both teabags AfterWet'!$C$3:$C$841,MATCH(H397,'Both teabags AfterWet'!$A$3:$A$841,0)),"")="N.A","",(IFERROR(INDEX('Both teabags AfterWet'!$C$3:$C$841,MATCH(H397,'Both teabags AfterWet'!$A$3:$A$841,0)),"")))</f>
        <v>0.63800000000000001</v>
      </c>
      <c r="Q397" s="195">
        <f>IFERROR(INDEX('Both teabags AfterWet'!$C$3:$C$841,MATCH(I397,'Both teabags AfterWet'!$A$3:$A$841,0)),"")</f>
        <v>1.6240000000000001</v>
      </c>
      <c r="R397" s="195">
        <f t="shared" ref="R397:S460" si="48">IFERROR(IF(P397&gt;0,P397-($F$29),""),"")</f>
        <v>0.4874</v>
      </c>
      <c r="S397" s="195">
        <f t="shared" si="48"/>
        <v>1.4734</v>
      </c>
      <c r="T397" s="195">
        <f t="shared" ref="T397:T460" si="49">IFERROR(1-R397/L397,"")</f>
        <v>0.71008803235783957</v>
      </c>
      <c r="U397" s="195">
        <f t="shared" ref="U397:U460" si="50">IFERROR($F$26*(1-X397),"")</f>
        <v>0.4655208953224792</v>
      </c>
      <c r="V397" s="195">
        <f t="shared" ref="V397:V460" si="51">IFERROR(S397/N397,"")</f>
        <v>0.73442328780779598</v>
      </c>
      <c r="W397">
        <f t="shared" si="46"/>
        <v>54</v>
      </c>
      <c r="X397" s="195">
        <f t="shared" ref="X397:X460" si="52">IFERROR(1-(T397/$F$25),"")</f>
        <v>0.15666504470565368</v>
      </c>
      <c r="Y397" s="195">
        <f t="shared" ref="Y397:Y460" si="53">IFERROR(LN(U397/(V397-(1-U397)))/W397,"")</f>
        <v>1.5650347043932686E-2</v>
      </c>
      <c r="Z397" s="255" t="str">
        <f>IF(ISNUMBER(SEARCH("C",'WetLitterbags placem_collection'!W324)),"YES","NO")</f>
        <v>NO</v>
      </c>
      <c r="AA397" s="255" t="str">
        <f>IF(ISNUMBER(SEARCH("H", 'WetLitterbags placem_collection'!Y104)),"YES","NO")</f>
        <v>NO</v>
      </c>
      <c r="AB397" s="255" t="str">
        <f>IF(ISNUMBER(SEARCH("R", 'WetLitterbags placem_collection'!WY104)),"YES","NO")</f>
        <v>NO</v>
      </c>
      <c r="AC397" s="255" t="str">
        <f>IF(ISNUMBER(SEARCH("C", 'WetLitterbags placem_collection'!VX104)),"YES","NO")</f>
        <v>NO</v>
      </c>
      <c r="AD397" s="255" t="str">
        <f>IF(ISNUMBER(SEARCH("H", 'WetLitterbags placem_collection'!X104)),"YES","NO")</f>
        <v>NO</v>
      </c>
      <c r="AE397" s="255" t="str">
        <f>IF(ISNUMBER(SEARCH("R", 'WetLitterbags placem_collection'!X104)),"YES","NO")</f>
        <v>NO</v>
      </c>
    </row>
    <row r="398" spans="2:31">
      <c r="B398" t="str">
        <f>'Final data_for_R_analysis_Wetse'!A544</f>
        <v>Wet</v>
      </c>
      <c r="C398" s="263">
        <f>'Final data_for_R_analysis_Wetse'!B544</f>
        <v>103</v>
      </c>
      <c r="D398" t="s">
        <v>3841</v>
      </c>
      <c r="E398" t="s">
        <v>25</v>
      </c>
      <c r="F398" s="387">
        <v>7</v>
      </c>
      <c r="G398" s="16">
        <f>'WetLitterbags placem_collection'!E105</f>
        <v>42762</v>
      </c>
      <c r="H398" s="92" t="str">
        <f>'Final data_for_R_analysis_Wetse'!J544</f>
        <v>G692</v>
      </c>
      <c r="I398" t="str">
        <f>'Final data_for_R_analysis_Wetse'!J764</f>
        <v>R494</v>
      </c>
      <c r="J398">
        <f>IFERROR(INDEX('Green_rooibos initial weight'!$C$5:$C$1749,MATCH(H398, 'Green_rooibos initial weight'!$A$5:$A$1749,0)),"")</f>
        <v>2.028</v>
      </c>
      <c r="K398">
        <f>IFERROR(INDEX('Green_rooibos initial weight'!$C$5:$C$1749,MATCH(I398, 'Green_rooibos initial weight'!$A$5:$A$1749,0)),"")</f>
        <v>2.2130000000000001</v>
      </c>
      <c r="L398" s="195">
        <f t="shared" si="47"/>
        <v>1.7782</v>
      </c>
      <c r="M398" s="195">
        <f>AVERAGE(Ashed_controlls!$K$2:$K$11)</f>
        <v>5.5147656768714146</v>
      </c>
      <c r="N398" s="195">
        <f t="shared" si="45"/>
        <v>1.9632000000000001</v>
      </c>
      <c r="O398" s="16">
        <f>IF('WetLitterbags placem_collection'!G105="N.A","",'WetLitterbags placem_collection'!G105)</f>
        <v>42816</v>
      </c>
      <c r="P398" s="195">
        <f>IF(IFERROR(INDEX('Both teabags AfterWet'!$C$3:$C$841,MATCH(H398,'Both teabags AfterWet'!$A$3:$A$841,0)),"")="N.A","",(IFERROR(INDEX('Both teabags AfterWet'!$C$3:$C$841,MATCH(H398,'Both teabags AfterWet'!$A$3:$A$841,0)),"")))</f>
        <v>0.58699999999999997</v>
      </c>
      <c r="Q398" s="195">
        <f>IFERROR(INDEX('Both teabags AfterWet'!$C$3:$C$841,MATCH(I398,'Both teabags AfterWet'!$A$3:$A$841,0)),"")</f>
        <v>1.6919999999999999</v>
      </c>
      <c r="R398" s="195">
        <f t="shared" si="48"/>
        <v>0.43639999999999995</v>
      </c>
      <c r="S398" s="195">
        <f t="shared" si="48"/>
        <v>1.5413999999999999</v>
      </c>
      <c r="T398" s="195">
        <f t="shared" si="49"/>
        <v>0.75458328646946349</v>
      </c>
      <c r="U398" s="195">
        <f t="shared" si="50"/>
        <v>0.49469118067831819</v>
      </c>
      <c r="V398" s="195">
        <f t="shared" si="51"/>
        <v>0.7851466992665036</v>
      </c>
      <c r="W398">
        <f t="shared" si="46"/>
        <v>54</v>
      </c>
      <c r="X398" s="195">
        <f t="shared" si="52"/>
        <v>0.10382032485811932</v>
      </c>
      <c r="Y398" s="195">
        <f t="shared" si="53"/>
        <v>1.0550430651329889E-2</v>
      </c>
      <c r="Z398" s="255" t="str">
        <f>IF(ISNUMBER(SEARCH("C",'WetLitterbags placem_collection'!W325)),"YES","NO")</f>
        <v>NO</v>
      </c>
      <c r="AA398" s="255" t="str">
        <f>IF(ISNUMBER(SEARCH("H", 'WetLitterbags placem_collection'!Y105)),"YES","NO")</f>
        <v>NO</v>
      </c>
      <c r="AB398" s="255" t="str">
        <f>IF(ISNUMBER(SEARCH("R", 'WetLitterbags placem_collection'!WY105)),"YES","NO")</f>
        <v>NO</v>
      </c>
      <c r="AC398" s="255" t="str">
        <f>IF(ISNUMBER(SEARCH("C", 'WetLitterbags placem_collection'!VX105)),"YES","NO")</f>
        <v>NO</v>
      </c>
      <c r="AD398" s="255" t="str">
        <f>IF(ISNUMBER(SEARCH("H", 'WetLitterbags placem_collection'!X105)),"YES","NO")</f>
        <v>NO</v>
      </c>
      <c r="AE398" s="255" t="str">
        <f>IF(ISNUMBER(SEARCH("R", 'WetLitterbags placem_collection'!X105)),"YES","NO")</f>
        <v>NO</v>
      </c>
    </row>
    <row r="399" spans="2:31">
      <c r="B399" t="str">
        <f>'Final data_for_R_analysis_Wetse'!A545</f>
        <v>Wet</v>
      </c>
      <c r="C399" s="263">
        <f>'Final data_for_R_analysis_Wetse'!B545</f>
        <v>104</v>
      </c>
      <c r="D399" t="s">
        <v>3841</v>
      </c>
      <c r="E399" t="s">
        <v>25</v>
      </c>
      <c r="F399" s="387">
        <v>8</v>
      </c>
      <c r="G399" s="16">
        <f>'WetLitterbags placem_collection'!E106</f>
        <v>42762</v>
      </c>
      <c r="H399" s="92" t="str">
        <f>'Final data_for_R_analysis_Wetse'!J545</f>
        <v>G806</v>
      </c>
      <c r="I399" t="str">
        <f>'Final data_for_R_analysis_Wetse'!J765</f>
        <v>R475</v>
      </c>
      <c r="J399">
        <f>IFERROR(INDEX('Green_rooibos initial weight'!$C$5:$C$1749,MATCH(H399, 'Green_rooibos initial weight'!$A$5:$A$1749,0)),"")</f>
        <v>2.0419999999999998</v>
      </c>
      <c r="K399">
        <f>IFERROR(INDEX('Green_rooibos initial weight'!$C$5:$C$1749,MATCH(I399, 'Green_rooibos initial weight'!$A$5:$A$1749,0)),"")</f>
        <v>2.2210000000000001</v>
      </c>
      <c r="L399" s="195">
        <f t="shared" si="47"/>
        <v>1.7921999999999998</v>
      </c>
      <c r="M399" s="195">
        <f>AVERAGE(Ashed_controlls!$K$2:$K$11)</f>
        <v>5.5147656768714146</v>
      </c>
      <c r="N399" s="195">
        <f t="shared" si="45"/>
        <v>1.9712000000000001</v>
      </c>
      <c r="O399" s="16">
        <f>IF('WetLitterbags placem_collection'!G106="N.A","",'WetLitterbags placem_collection'!G106)</f>
        <v>42816</v>
      </c>
      <c r="P399" s="195">
        <f>IF(IFERROR(INDEX('Both teabags AfterWet'!$C$3:$C$841,MATCH(H399,'Both teabags AfterWet'!$A$3:$A$841,0)),"")="N.A","",(IFERROR(INDEX('Both teabags AfterWet'!$C$3:$C$841,MATCH(H399,'Both teabags AfterWet'!$A$3:$A$841,0)),"")))</f>
        <v>0.72499999999999998</v>
      </c>
      <c r="Q399" s="195">
        <f>IFERROR(INDEX('Both teabags AfterWet'!$C$3:$C$841,MATCH(I399,'Both teabags AfterWet'!$A$3:$A$841,0)),"")</f>
        <v>1.4970000000000001</v>
      </c>
      <c r="R399" s="195">
        <f t="shared" si="48"/>
        <v>0.57440000000000002</v>
      </c>
      <c r="S399" s="195">
        <f t="shared" si="48"/>
        <v>1.3464</v>
      </c>
      <c r="T399" s="195">
        <f t="shared" si="49"/>
        <v>0.67950005579734407</v>
      </c>
      <c r="U399" s="195">
        <f t="shared" si="50"/>
        <v>0.44546797007141803</v>
      </c>
      <c r="V399" s="195">
        <f t="shared" si="51"/>
        <v>0.6830357142857143</v>
      </c>
      <c r="W399">
        <f t="shared" si="46"/>
        <v>54</v>
      </c>
      <c r="X399" s="195">
        <f t="shared" si="52"/>
        <v>0.19299280784163408</v>
      </c>
      <c r="Y399" s="195">
        <f t="shared" si="53"/>
        <v>2.3021625403279272E-2</v>
      </c>
      <c r="Z399" s="255" t="str">
        <f>IF(ISNUMBER(SEARCH("C",'WetLitterbags placem_collection'!W326)),"YES","NO")</f>
        <v>NO</v>
      </c>
      <c r="AA399" s="255" t="str">
        <f>IF(ISNUMBER(SEARCH("H", 'WetLitterbags placem_collection'!Y106)),"YES","NO")</f>
        <v>NO</v>
      </c>
      <c r="AB399" s="255" t="str">
        <f>IF(ISNUMBER(SEARCH("R", 'WetLitterbags placem_collection'!WY106)),"YES","NO")</f>
        <v>NO</v>
      </c>
      <c r="AC399" s="255" t="str">
        <f>IF(ISNUMBER(SEARCH("C", 'WetLitterbags placem_collection'!VX106)),"YES","NO")</f>
        <v>NO</v>
      </c>
      <c r="AD399" s="255" t="str">
        <f>IF(ISNUMBER(SEARCH("H", 'WetLitterbags placem_collection'!X106)),"YES","NO")</f>
        <v>NO</v>
      </c>
      <c r="AE399" s="255" t="str">
        <f>IF(ISNUMBER(SEARCH("R", 'WetLitterbags placem_collection'!X106)),"YES","NO")</f>
        <v>NO</v>
      </c>
    </row>
    <row r="400" spans="2:31">
      <c r="B400" t="str">
        <f>'Final data_for_R_analysis_Wetse'!A546</f>
        <v>Wet</v>
      </c>
      <c r="C400" s="263">
        <f>'Final data_for_R_analysis_Wetse'!B546</f>
        <v>105</v>
      </c>
      <c r="D400" t="s">
        <v>3843</v>
      </c>
      <c r="E400" t="s">
        <v>25</v>
      </c>
      <c r="F400" s="386">
        <v>1</v>
      </c>
      <c r="G400" s="16">
        <f>'WetLitterbags placem_collection'!E107</f>
        <v>42762</v>
      </c>
      <c r="H400" s="92" t="str">
        <f>'Final data_for_R_analysis_Wetse'!J546</f>
        <v>G861</v>
      </c>
      <c r="I400" t="str">
        <f>'Final data_for_R_analysis_Wetse'!J766</f>
        <v>R540</v>
      </c>
      <c r="J400">
        <f>IFERROR(INDEX('Green_rooibos initial weight'!$C$5:$C$1749,MATCH(H400, 'Green_rooibos initial weight'!$A$5:$A$1749,0)),"")</f>
        <v>1.9339999999999999</v>
      </c>
      <c r="K400">
        <f>IFERROR(INDEX('Green_rooibos initial weight'!$C$5:$C$1749,MATCH(I400, 'Green_rooibos initial weight'!$A$5:$A$1749,0)),"")</f>
        <v>2.194</v>
      </c>
      <c r="L400" s="195">
        <f t="shared" si="47"/>
        <v>1.6841999999999999</v>
      </c>
      <c r="M400" s="195">
        <f>AVERAGE(Ashed_controlls!$K$2:$K$11)</f>
        <v>5.5147656768714146</v>
      </c>
      <c r="N400" s="195">
        <f t="shared" si="45"/>
        <v>1.9441999999999999</v>
      </c>
      <c r="O400" s="16">
        <f>IF('WetLitterbags placem_collection'!G107="N.A","",'WetLitterbags placem_collection'!G107)</f>
        <v>42816</v>
      </c>
      <c r="P400" s="195">
        <f>IF(IFERROR(INDEX('Both teabags AfterWet'!$C$3:$C$841,MATCH(H400,'Both teabags AfterWet'!$A$3:$A$841,0)),"")="N.A","",(IFERROR(INDEX('Both teabags AfterWet'!$C$3:$C$841,MATCH(H400,'Both teabags AfterWet'!$A$3:$A$841,0)),"")))</f>
        <v>0.626</v>
      </c>
      <c r="Q400" s="195">
        <f>IFERROR(INDEX('Both teabags AfterWet'!$C$3:$C$841,MATCH(I400,'Both teabags AfterWet'!$A$3:$A$841,0)),"")</f>
        <v>1.8080000000000001</v>
      </c>
      <c r="R400" s="195">
        <f t="shared" si="48"/>
        <v>0.47539999999999999</v>
      </c>
      <c r="S400" s="195">
        <f t="shared" si="48"/>
        <v>1.6574</v>
      </c>
      <c r="T400" s="195">
        <f t="shared" si="49"/>
        <v>0.71772948580928631</v>
      </c>
      <c r="U400" s="195">
        <f t="shared" si="50"/>
        <v>0.47053049425976973</v>
      </c>
      <c r="V400" s="195">
        <f t="shared" si="51"/>
        <v>0.85248431231354804</v>
      </c>
      <c r="W400">
        <f t="shared" si="46"/>
        <v>54</v>
      </c>
      <c r="X400" s="195">
        <f t="shared" si="52"/>
        <v>0.14758968431201147</v>
      </c>
      <c r="Y400" s="195">
        <f t="shared" si="53"/>
        <v>6.9659741930236767E-3</v>
      </c>
      <c r="Z400" s="255" t="str">
        <f>IF(ISNUMBER(SEARCH("C",'WetLitterbags placem_collection'!W327)),"YES","NO")</f>
        <v>NO</v>
      </c>
      <c r="AA400" s="255" t="str">
        <f>IF(ISNUMBER(SEARCH("H", 'WetLitterbags placem_collection'!Y107)),"YES","NO")</f>
        <v>NO</v>
      </c>
      <c r="AB400" s="255" t="str">
        <f>IF(ISNUMBER(SEARCH("R", 'WetLitterbags placem_collection'!WY107)),"YES","NO")</f>
        <v>NO</v>
      </c>
      <c r="AC400" s="255" t="str">
        <f>IF(ISNUMBER(SEARCH("C", 'WetLitterbags placem_collection'!VX107)),"YES","NO")</f>
        <v>NO</v>
      </c>
      <c r="AD400" s="255" t="str">
        <f>IF(ISNUMBER(SEARCH("H", 'WetLitterbags placem_collection'!X107)),"YES","NO")</f>
        <v>NO</v>
      </c>
      <c r="AE400" s="255" t="str">
        <f>IF(ISNUMBER(SEARCH("R", 'WetLitterbags placem_collection'!X107)),"YES","NO")</f>
        <v>NO</v>
      </c>
    </row>
    <row r="401" spans="2:31">
      <c r="B401" t="str">
        <f>'Final data_for_R_analysis_Wetse'!A547</f>
        <v>Wet</v>
      </c>
      <c r="C401" s="263">
        <f>'Final data_for_R_analysis_Wetse'!B547</f>
        <v>106</v>
      </c>
      <c r="D401" t="s">
        <v>3843</v>
      </c>
      <c r="E401" t="s">
        <v>25</v>
      </c>
      <c r="F401" s="386">
        <v>2</v>
      </c>
      <c r="G401" s="16">
        <f>'WetLitterbags placem_collection'!E108</f>
        <v>42762</v>
      </c>
      <c r="H401" s="92" t="str">
        <f>'Final data_for_R_analysis_Wetse'!J547</f>
        <v>G738</v>
      </c>
      <c r="I401" t="str">
        <f>'Final data_for_R_analysis_Wetse'!J767</f>
        <v>R593</v>
      </c>
      <c r="J401">
        <f>IFERROR(INDEX('Green_rooibos initial weight'!$C$5:$C$1749,MATCH(H401, 'Green_rooibos initial weight'!$A$5:$A$1749,0)),"")</f>
        <v>2.0089999999999999</v>
      </c>
      <c r="K401">
        <f>IFERROR(INDEX('Green_rooibos initial weight'!$C$5:$C$1749,MATCH(I401, 'Green_rooibos initial weight'!$A$5:$A$1749,0)),"")</f>
        <v>2.2090000000000001</v>
      </c>
      <c r="L401" s="195">
        <f t="shared" si="47"/>
        <v>1.7591999999999999</v>
      </c>
      <c r="M401" s="195">
        <f>AVERAGE(Ashed_controlls!$K$2:$K$11)</f>
        <v>5.5147656768714146</v>
      </c>
      <c r="N401" s="195">
        <f t="shared" si="45"/>
        <v>1.9592000000000001</v>
      </c>
      <c r="O401" s="16">
        <f>IF('WetLitterbags placem_collection'!G108="N.A","",'WetLitterbags placem_collection'!G108)</f>
        <v>42816</v>
      </c>
      <c r="P401" s="195">
        <f>IF(IFERROR(INDEX('Both teabags AfterWet'!$C$3:$C$841,MATCH(H401,'Both teabags AfterWet'!$A$3:$A$841,0)),"")="N.A","",(IFERROR(INDEX('Both teabags AfterWet'!$C$3:$C$841,MATCH(H401,'Both teabags AfterWet'!$A$3:$A$841,0)),"")))</f>
        <v>0.626</v>
      </c>
      <c r="Q401" s="195">
        <f>IFERROR(INDEX('Both teabags AfterWet'!$C$3:$C$841,MATCH(I401,'Both teabags AfterWet'!$A$3:$A$841,0)),"")</f>
        <v>1.7729999999999999</v>
      </c>
      <c r="R401" s="195">
        <f t="shared" si="48"/>
        <v>0.47539999999999999</v>
      </c>
      <c r="S401" s="195">
        <f t="shared" si="48"/>
        <v>1.6223999999999998</v>
      </c>
      <c r="T401" s="195">
        <f t="shared" si="49"/>
        <v>0.7297635288767621</v>
      </c>
      <c r="U401" s="195">
        <f t="shared" si="50"/>
        <v>0.47841979565317422</v>
      </c>
      <c r="V401" s="195">
        <f t="shared" si="51"/>
        <v>0.82809309922417307</v>
      </c>
      <c r="W401">
        <f t="shared" si="46"/>
        <v>54</v>
      </c>
      <c r="X401" s="195">
        <f t="shared" si="52"/>
        <v>0.13329747164280037</v>
      </c>
      <c r="Y401" s="195">
        <f t="shared" si="53"/>
        <v>8.2449769404587658E-3</v>
      </c>
      <c r="Z401" s="255" t="str">
        <f>IF(ISNUMBER(SEARCH("C",'WetLitterbags placem_collection'!W328)),"YES","NO")</f>
        <v>NO</v>
      </c>
      <c r="AA401" s="255" t="str">
        <f>IF(ISNUMBER(SEARCH("H", 'WetLitterbags placem_collection'!Y108)),"YES","NO")</f>
        <v>NO</v>
      </c>
      <c r="AB401" s="255" t="str">
        <f>IF(ISNUMBER(SEARCH("R", 'WetLitterbags placem_collection'!WY108)),"YES","NO")</f>
        <v>NO</v>
      </c>
      <c r="AC401" s="255" t="str">
        <f>IF(ISNUMBER(SEARCH("C", 'WetLitterbags placem_collection'!VX108)),"YES","NO")</f>
        <v>NO</v>
      </c>
      <c r="AD401" s="255" t="str">
        <f>IF(ISNUMBER(SEARCH("H", 'WetLitterbags placem_collection'!X108)),"YES","NO")</f>
        <v>NO</v>
      </c>
      <c r="AE401" s="255" t="str">
        <f>IF(ISNUMBER(SEARCH("R", 'WetLitterbags placem_collection'!X108)),"YES","NO")</f>
        <v>YES</v>
      </c>
    </row>
    <row r="402" spans="2:31">
      <c r="B402" t="str">
        <f>'Final data_for_R_analysis_Wetse'!A548</f>
        <v>Wet</v>
      </c>
      <c r="C402" s="263">
        <f>'Final data_for_R_analysis_Wetse'!B548</f>
        <v>107</v>
      </c>
      <c r="D402" t="s">
        <v>3843</v>
      </c>
      <c r="E402" t="s">
        <v>25</v>
      </c>
      <c r="F402" s="386">
        <v>3</v>
      </c>
      <c r="G402" s="16">
        <f>'WetLitterbags placem_collection'!E109</f>
        <v>42762</v>
      </c>
      <c r="H402" s="92" t="str">
        <f>'Final data_for_R_analysis_Wetse'!J548</f>
        <v>G676</v>
      </c>
      <c r="I402" t="str">
        <f>'Final data_for_R_analysis_Wetse'!J768</f>
        <v>R510</v>
      </c>
      <c r="J402">
        <f>IFERROR(INDEX('Green_rooibos initial weight'!$C$5:$C$1749,MATCH(H402, 'Green_rooibos initial weight'!$A$5:$A$1749,0)),"")</f>
        <v>2.048</v>
      </c>
      <c r="K402">
        <f>IFERROR(INDEX('Green_rooibos initial weight'!$C$5:$C$1749,MATCH(I402, 'Green_rooibos initial weight'!$A$5:$A$1749,0)),"")</f>
        <v>2.2349999999999999</v>
      </c>
      <c r="L402" s="195">
        <f t="shared" si="47"/>
        <v>1.7982</v>
      </c>
      <c r="M402" s="195">
        <f>AVERAGE(Ashed_controlls!$K$2:$K$11)</f>
        <v>5.5147656768714146</v>
      </c>
      <c r="N402" s="195">
        <f t="shared" si="45"/>
        <v>1.9851999999999999</v>
      </c>
      <c r="O402" s="16">
        <f>IF('WetLitterbags placem_collection'!G109="N.A","",'WetLitterbags placem_collection'!G109)</f>
        <v>42816</v>
      </c>
      <c r="P402" s="195">
        <f>IF(IFERROR(INDEX('Both teabags AfterWet'!$C$3:$C$841,MATCH(H402,'Both teabags AfterWet'!$A$3:$A$841,0)),"")="N.A","",(IFERROR(INDEX('Both teabags AfterWet'!$C$3:$C$841,MATCH(H402,'Both teabags AfterWet'!$A$3:$A$841,0)),"")))</f>
        <v>0.67630000000000001</v>
      </c>
      <c r="Q402" s="195">
        <f>IFERROR(INDEX('Both teabags AfterWet'!$C$3:$C$841,MATCH(I402,'Both teabags AfterWet'!$A$3:$A$841,0)),"")</f>
        <v>1.5944</v>
      </c>
      <c r="R402" s="195">
        <f t="shared" si="48"/>
        <v>0.52570000000000006</v>
      </c>
      <c r="S402" s="195">
        <f t="shared" si="48"/>
        <v>1.4438</v>
      </c>
      <c r="T402" s="195">
        <f t="shared" si="49"/>
        <v>0.70765209654098538</v>
      </c>
      <c r="U402" s="195">
        <f t="shared" si="50"/>
        <v>0.46392393977508783</v>
      </c>
      <c r="V402" s="195">
        <f t="shared" si="51"/>
        <v>0.72728188595607501</v>
      </c>
      <c r="W402">
        <f t="shared" si="46"/>
        <v>54</v>
      </c>
      <c r="X402" s="195">
        <f t="shared" si="52"/>
        <v>0.15955808011759454</v>
      </c>
      <c r="Y402" s="195">
        <f t="shared" si="53"/>
        <v>1.6414261970973051E-2</v>
      </c>
      <c r="Z402" s="255" t="str">
        <f>IF(ISNUMBER(SEARCH("C",'WetLitterbags placem_collection'!W329)),"YES","NO")</f>
        <v>NO</v>
      </c>
      <c r="AA402" s="255" t="str">
        <f>IF(ISNUMBER(SEARCH("H", 'WetLitterbags placem_collection'!Y109)),"YES","NO")</f>
        <v>NO</v>
      </c>
      <c r="AB402" s="255" t="str">
        <f>IF(ISNUMBER(SEARCH("R", 'WetLitterbags placem_collection'!WY109)),"YES","NO")</f>
        <v>NO</v>
      </c>
      <c r="AC402" s="255" t="str">
        <f>IF(ISNUMBER(SEARCH("C", 'WetLitterbags placem_collection'!VX109)),"YES","NO")</f>
        <v>NO</v>
      </c>
      <c r="AD402" s="255" t="str">
        <f>IF(ISNUMBER(SEARCH("H", 'WetLitterbags placem_collection'!X109)),"YES","NO")</f>
        <v>NO</v>
      </c>
      <c r="AE402" s="255" t="str">
        <f>IF(ISNUMBER(SEARCH("R", 'WetLitterbags placem_collection'!X109)),"YES","NO")</f>
        <v>YES</v>
      </c>
    </row>
    <row r="403" spans="2:31">
      <c r="B403" t="str">
        <f>'Final data_for_R_analysis_Wetse'!A549</f>
        <v>Wet</v>
      </c>
      <c r="C403" s="263">
        <f>'Final data_for_R_analysis_Wetse'!B549</f>
        <v>108</v>
      </c>
      <c r="D403" t="s">
        <v>3843</v>
      </c>
      <c r="E403" t="s">
        <v>25</v>
      </c>
      <c r="F403" s="387">
        <v>4</v>
      </c>
      <c r="G403" s="16">
        <f>'WetLitterbags placem_collection'!E110</f>
        <v>42762</v>
      </c>
      <c r="H403" s="92" t="str">
        <f>'Final data_for_R_analysis_Wetse'!J549</f>
        <v>G845</v>
      </c>
      <c r="I403" t="str">
        <f>'Final data_for_R_analysis_Wetse'!J769</f>
        <v>R509</v>
      </c>
      <c r="J403">
        <f>IFERROR(INDEX('Green_rooibos initial weight'!$C$5:$C$1749,MATCH(H403, 'Green_rooibos initial weight'!$A$5:$A$1749,0)),"")</f>
        <v>2.0459999999999998</v>
      </c>
      <c r="K403">
        <f>IFERROR(INDEX('Green_rooibos initial weight'!$C$5:$C$1749,MATCH(I403, 'Green_rooibos initial weight'!$A$5:$A$1749,0)),"")</f>
        <v>2.161</v>
      </c>
      <c r="L403" s="195">
        <f t="shared" si="47"/>
        <v>1.7961999999999998</v>
      </c>
      <c r="M403" s="195">
        <f>AVERAGE(Ashed_controlls!$K$2:$K$11)</f>
        <v>5.5147656768714146</v>
      </c>
      <c r="N403" s="195">
        <f t="shared" si="45"/>
        <v>1.9112</v>
      </c>
      <c r="O403" s="16">
        <f>IF('WetLitterbags placem_collection'!G110="N.A","",'WetLitterbags placem_collection'!G110)</f>
        <v>42816</v>
      </c>
      <c r="P403" s="195">
        <f>IF(IFERROR(INDEX('Both teabags AfterWet'!$C$3:$C$841,MATCH(H403,'Both teabags AfterWet'!$A$3:$A$841,0)),"")="N.A","",(IFERROR(INDEX('Both teabags AfterWet'!$C$3:$C$841,MATCH(H403,'Both teabags AfterWet'!$A$3:$A$841,0)),"")))</f>
        <v>0.57699999999999996</v>
      </c>
      <c r="Q403" s="195">
        <f>IFERROR(INDEX('Both teabags AfterWet'!$C$3:$C$841,MATCH(I403,'Both teabags AfterWet'!$A$3:$A$841,0)),"")</f>
        <v>1.6739999999999999</v>
      </c>
      <c r="R403" s="195">
        <f t="shared" si="48"/>
        <v>0.42639999999999995</v>
      </c>
      <c r="S403" s="195">
        <f t="shared" si="48"/>
        <v>1.5233999999999999</v>
      </c>
      <c r="T403" s="195">
        <f t="shared" si="49"/>
        <v>0.76260995434806811</v>
      </c>
      <c r="U403" s="195">
        <f t="shared" si="50"/>
        <v>0.4999533192400637</v>
      </c>
      <c r="V403" s="195">
        <f t="shared" si="51"/>
        <v>0.79709083298451222</v>
      </c>
      <c r="W403">
        <f t="shared" si="46"/>
        <v>54</v>
      </c>
      <c r="X403" s="195">
        <f t="shared" si="52"/>
        <v>9.4287465144812233E-2</v>
      </c>
      <c r="Y403" s="195">
        <f t="shared" si="53"/>
        <v>9.6413693352084984E-3</v>
      </c>
      <c r="Z403" s="255" t="str">
        <f>IF(ISNUMBER(SEARCH("C",'WetLitterbags placem_collection'!W330)),"YES","NO")</f>
        <v>NO</v>
      </c>
      <c r="AA403" s="255" t="str">
        <f>IF(ISNUMBER(SEARCH("H", 'WetLitterbags placem_collection'!Y110)),"YES","NO")</f>
        <v>NO</v>
      </c>
      <c r="AB403" s="255" t="str">
        <f>IF(ISNUMBER(SEARCH("R", 'WetLitterbags placem_collection'!WY110)),"YES","NO")</f>
        <v>NO</v>
      </c>
      <c r="AC403" s="255" t="str">
        <f>IF(ISNUMBER(SEARCH("C", 'WetLitterbags placem_collection'!VX110)),"YES","NO")</f>
        <v>NO</v>
      </c>
      <c r="AD403" s="255" t="str">
        <f>IF(ISNUMBER(SEARCH("H", 'WetLitterbags placem_collection'!X110)),"YES","NO")</f>
        <v>NO</v>
      </c>
      <c r="AE403" s="255" t="str">
        <f>IF(ISNUMBER(SEARCH("R", 'WetLitterbags placem_collection'!X110)),"YES","NO")</f>
        <v>YES</v>
      </c>
    </row>
    <row r="404" spans="2:31">
      <c r="B404" t="str">
        <f>'Final data_for_R_analysis_Wetse'!A550</f>
        <v>Wet</v>
      </c>
      <c r="C404" s="263">
        <f>'Final data_for_R_analysis_Wetse'!B550</f>
        <v>109</v>
      </c>
      <c r="D404" t="s">
        <v>3843</v>
      </c>
      <c r="E404" t="s">
        <v>25</v>
      </c>
      <c r="F404" s="387">
        <v>5</v>
      </c>
      <c r="G404" s="16">
        <f>'WetLitterbags placem_collection'!E111</f>
        <v>42762</v>
      </c>
      <c r="H404" s="92" t="str">
        <f>'Final data_for_R_analysis_Wetse'!J550</f>
        <v>G887</v>
      </c>
      <c r="I404" t="str">
        <f>'Final data_for_R_analysis_Wetse'!J770</f>
        <v>R33</v>
      </c>
      <c r="J404">
        <f>IFERROR(INDEX('Green_rooibos initial weight'!$C$5:$C$1749,MATCH(H404, 'Green_rooibos initial weight'!$A$5:$A$1749,0)),"")</f>
        <v>1.998</v>
      </c>
      <c r="K404">
        <f>IFERROR(INDEX('Green_rooibos initial weight'!$C$5:$C$1749,MATCH(I404, 'Green_rooibos initial weight'!$A$5:$A$1749,0)),"")</f>
        <v>2.1989999999999998</v>
      </c>
      <c r="L404" s="195">
        <f t="shared" si="47"/>
        <v>1.7482</v>
      </c>
      <c r="M404" s="195">
        <f>AVERAGE(Ashed_controlls!$K$2:$K$11)</f>
        <v>5.5147656768714146</v>
      </c>
      <c r="N404" s="195">
        <f t="shared" si="45"/>
        <v>1.9491999999999998</v>
      </c>
      <c r="O404" s="16">
        <f>IF('WetLitterbags placem_collection'!G111="N.A","",'WetLitterbags placem_collection'!G111)</f>
        <v>42816</v>
      </c>
      <c r="P404" s="195">
        <f>IF(IFERROR(INDEX('Both teabags AfterWet'!$C$3:$C$841,MATCH(H404,'Both teabags AfterWet'!$A$3:$A$841,0)),"")="N.A","",(IFERROR(INDEX('Both teabags AfterWet'!$C$3:$C$841,MATCH(H404,'Both teabags AfterWet'!$A$3:$A$841,0)),"")))</f>
        <v>0.64870000000000005</v>
      </c>
      <c r="Q404" s="195">
        <f>IFERROR(INDEX('Both teabags AfterWet'!$C$3:$C$841,MATCH(I404,'Both teabags AfterWet'!$A$3:$A$841,0)),"")</f>
        <v>1.5922000000000001</v>
      </c>
      <c r="R404" s="195">
        <f t="shared" si="48"/>
        <v>0.49810000000000004</v>
      </c>
      <c r="S404" s="195">
        <f t="shared" si="48"/>
        <v>1.4416</v>
      </c>
      <c r="T404" s="195">
        <f t="shared" si="49"/>
        <v>0.71507836631964306</v>
      </c>
      <c r="U404" s="195">
        <f t="shared" si="50"/>
        <v>0.46879246818104869</v>
      </c>
      <c r="V404" s="195">
        <f t="shared" si="51"/>
        <v>0.7395854709624462</v>
      </c>
      <c r="W404">
        <f t="shared" si="46"/>
        <v>54</v>
      </c>
      <c r="X404" s="195">
        <f t="shared" si="52"/>
        <v>0.15073828228070896</v>
      </c>
      <c r="Y404" s="195">
        <f t="shared" si="53"/>
        <v>1.5014939369033172E-2</v>
      </c>
      <c r="Z404" s="255" t="str">
        <f>IF(ISNUMBER(SEARCH("C",'WetLitterbags placem_collection'!W331)),"YES","NO")</f>
        <v>NO</v>
      </c>
      <c r="AA404" s="255" t="str">
        <f>IF(ISNUMBER(SEARCH("H", 'WetLitterbags placem_collection'!Y111)),"YES","NO")</f>
        <v>NO</v>
      </c>
      <c r="AB404" s="255" t="str">
        <f>IF(ISNUMBER(SEARCH("R", 'WetLitterbags placem_collection'!WY111)),"YES","NO")</f>
        <v>NO</v>
      </c>
      <c r="AC404" s="255" t="str">
        <f>IF(ISNUMBER(SEARCH("C", 'WetLitterbags placem_collection'!VX111)),"YES","NO")</f>
        <v>NO</v>
      </c>
      <c r="AD404" s="255" t="str">
        <f>IF(ISNUMBER(SEARCH("H", 'WetLitterbags placem_collection'!X111)),"YES","NO")</f>
        <v>NO</v>
      </c>
      <c r="AE404" s="255" t="str">
        <f>IF(ISNUMBER(SEARCH("R", 'WetLitterbags placem_collection'!X111)),"YES","NO")</f>
        <v>NO</v>
      </c>
    </row>
    <row r="405" spans="2:31">
      <c r="B405" t="str">
        <f>'Final data_for_R_analysis_Wetse'!A551</f>
        <v>Wet</v>
      </c>
      <c r="C405" s="263">
        <f>'Final data_for_R_analysis_Wetse'!B551</f>
        <v>110</v>
      </c>
      <c r="D405" t="s">
        <v>3843</v>
      </c>
      <c r="E405" t="s">
        <v>25</v>
      </c>
      <c r="F405" s="387">
        <v>6</v>
      </c>
      <c r="G405" s="16">
        <f>'WetLitterbags placem_collection'!E112</f>
        <v>42762</v>
      </c>
      <c r="H405" s="92" t="str">
        <f>'Final data_for_R_analysis_Wetse'!J551</f>
        <v>G882</v>
      </c>
      <c r="I405" t="str">
        <f>'Final data_for_R_analysis_Wetse'!J771</f>
        <v>R54a</v>
      </c>
      <c r="J405">
        <f>IFERROR(INDEX('Green_rooibos initial weight'!$C$5:$C$1749,MATCH(H405, 'Green_rooibos initial weight'!$A$5:$A$1749,0)),"")</f>
        <v>2.0979999999999999</v>
      </c>
      <c r="K405" t="str">
        <f>IFERROR(INDEX('Green_rooibos initial weight'!$C$5:$C$1749,MATCH(I405, 'Green_rooibos initial weight'!$A$5:$A$1749,0)),"")</f>
        <v/>
      </c>
      <c r="L405" s="195">
        <f t="shared" si="47"/>
        <v>1.8481999999999998</v>
      </c>
      <c r="M405" s="195">
        <f>AVERAGE(Ashed_controlls!$K$2:$K$11)</f>
        <v>5.5147656768714146</v>
      </c>
      <c r="N405" s="195" t="e">
        <f t="shared" si="45"/>
        <v>#VALUE!</v>
      </c>
      <c r="O405" s="16">
        <f>IF('WetLitterbags placem_collection'!G112="N.A","",'WetLitterbags placem_collection'!G112)</f>
        <v>42816</v>
      </c>
      <c r="P405" s="195">
        <f>IF(IFERROR(INDEX('Both teabags AfterWet'!$C$3:$C$841,MATCH(H405,'Both teabags AfterWet'!$A$3:$A$841,0)),"")="N.A","",(IFERROR(INDEX('Both teabags AfterWet'!$C$3:$C$841,MATCH(H405,'Both teabags AfterWet'!$A$3:$A$841,0)),"")))</f>
        <v>0.56669999999999998</v>
      </c>
      <c r="Q405" s="195">
        <f>IFERROR(INDEX('Both teabags AfterWet'!$C$3:$C$841,MATCH(I405,'Both teabags AfterWet'!$A$3:$A$841,0)),"")</f>
        <v>1.4870000000000001</v>
      </c>
      <c r="R405" s="195">
        <f t="shared" si="48"/>
        <v>0.41609999999999997</v>
      </c>
      <c r="S405" s="195">
        <f t="shared" si="48"/>
        <v>1.3364</v>
      </c>
      <c r="T405" s="195">
        <f t="shared" si="49"/>
        <v>0.77486202791905634</v>
      </c>
      <c r="U405" s="195">
        <f t="shared" si="50"/>
        <v>0.50798555749562846</v>
      </c>
      <c r="V405" s="195" t="str">
        <f t="shared" si="51"/>
        <v/>
      </c>
      <c r="W405">
        <f t="shared" si="46"/>
        <v>54</v>
      </c>
      <c r="X405" s="195">
        <f t="shared" si="52"/>
        <v>7.9736308884731155E-2</v>
      </c>
      <c r="Y405" s="195" t="str">
        <f t="shared" si="53"/>
        <v/>
      </c>
      <c r="Z405" s="255" t="str">
        <f>IF(ISNUMBER(SEARCH("C",'WetLitterbags placem_collection'!W332)),"YES","NO")</f>
        <v>NO</v>
      </c>
      <c r="AA405" s="255" t="str">
        <f>IF(ISNUMBER(SEARCH("H", 'WetLitterbags placem_collection'!Y112)),"YES","NO")</f>
        <v>NO</v>
      </c>
      <c r="AB405" s="255" t="str">
        <f>IF(ISNUMBER(SEARCH("R", 'WetLitterbags placem_collection'!WY112)),"YES","NO")</f>
        <v>NO</v>
      </c>
      <c r="AC405" s="255" t="str">
        <f>IF(ISNUMBER(SEARCH("C", 'WetLitterbags placem_collection'!VX112)),"YES","NO")</f>
        <v>NO</v>
      </c>
      <c r="AD405" s="255" t="str">
        <f>IF(ISNUMBER(SEARCH("H", 'WetLitterbags placem_collection'!X112)),"YES","NO")</f>
        <v>NO</v>
      </c>
      <c r="AE405" s="255" t="str">
        <f>IF(ISNUMBER(SEARCH("R", 'WetLitterbags placem_collection'!X112)),"YES","NO")</f>
        <v>NO</v>
      </c>
    </row>
    <row r="406" spans="2:31">
      <c r="B406" t="str">
        <f>'Final data_for_R_analysis_Wetse'!A552</f>
        <v>Wet</v>
      </c>
      <c r="C406" s="263">
        <f>'Final data_for_R_analysis_Wetse'!B552</f>
        <v>111</v>
      </c>
      <c r="D406" t="s">
        <v>3843</v>
      </c>
      <c r="E406" t="s">
        <v>25</v>
      </c>
      <c r="F406" s="387">
        <v>7</v>
      </c>
      <c r="G406" s="16">
        <f>'WetLitterbags placem_collection'!E113</f>
        <v>42762</v>
      </c>
      <c r="H406" s="92" t="str">
        <f>'Final data_for_R_analysis_Wetse'!J552</f>
        <v>G695</v>
      </c>
      <c r="I406" t="str">
        <f>'Final data_for_R_analysis_Wetse'!J772</f>
        <v>R487</v>
      </c>
      <c r="J406">
        <f>IFERROR(INDEX('Green_rooibos initial weight'!$C$5:$C$1749,MATCH(H406, 'Green_rooibos initial weight'!$A$5:$A$1749,0)),"")</f>
        <v>2.0190000000000001</v>
      </c>
      <c r="K406">
        <f>IFERROR(INDEX('Green_rooibos initial weight'!$C$5:$C$1749,MATCH(I406, 'Green_rooibos initial weight'!$A$5:$A$1749,0)),"")</f>
        <v>2.222</v>
      </c>
      <c r="L406" s="195">
        <f t="shared" si="47"/>
        <v>1.7692000000000001</v>
      </c>
      <c r="M406" s="195">
        <f>AVERAGE(Ashed_controlls!$K$2:$K$11)</f>
        <v>5.5147656768714146</v>
      </c>
      <c r="N406" s="195">
        <f t="shared" si="45"/>
        <v>1.9722</v>
      </c>
      <c r="O406" s="16">
        <f>IF('WetLitterbags placem_collection'!G113="N.A","",'WetLitterbags placem_collection'!G113)</f>
        <v>42816</v>
      </c>
      <c r="P406" s="195">
        <f>IF(IFERROR(INDEX('Both teabags AfterWet'!$C$3:$C$841,MATCH(H406,'Both teabags AfterWet'!$A$3:$A$841,0)),"")="N.A","",(IFERROR(INDEX('Both teabags AfterWet'!$C$3:$C$841,MATCH(H406,'Both teabags AfterWet'!$A$3:$A$841,0)),"")))</f>
        <v>0.621</v>
      </c>
      <c r="Q406" s="195">
        <f>IFERROR(INDEX('Both teabags AfterWet'!$C$3:$C$841,MATCH(I406,'Both teabags AfterWet'!$A$3:$A$841,0)),"")</f>
        <v>1.609</v>
      </c>
      <c r="R406" s="195">
        <f t="shared" si="48"/>
        <v>0.47039999999999998</v>
      </c>
      <c r="S406" s="195">
        <f t="shared" si="48"/>
        <v>1.4583999999999999</v>
      </c>
      <c r="T406" s="195">
        <f t="shared" si="49"/>
        <v>0.73411711508026234</v>
      </c>
      <c r="U406" s="195">
        <f t="shared" si="50"/>
        <v>0.48127392817613407</v>
      </c>
      <c r="V406" s="195">
        <f t="shared" si="51"/>
        <v>0.73947875469019364</v>
      </c>
      <c r="W406">
        <f t="shared" si="46"/>
        <v>54</v>
      </c>
      <c r="X406" s="195">
        <f t="shared" si="52"/>
        <v>0.12812694170990213</v>
      </c>
      <c r="Y406" s="195">
        <f t="shared" si="53"/>
        <v>1.4433215044932593E-2</v>
      </c>
      <c r="Z406" s="255" t="str">
        <f>IF(ISNUMBER(SEARCH("C",'WetLitterbags placem_collection'!W333)),"YES","NO")</f>
        <v>NO</v>
      </c>
      <c r="AA406" s="255" t="str">
        <f>IF(ISNUMBER(SEARCH("H", 'WetLitterbags placem_collection'!Y113)),"YES","NO")</f>
        <v>NO</v>
      </c>
      <c r="AB406" s="255" t="str">
        <f>IF(ISNUMBER(SEARCH("R", 'WetLitterbags placem_collection'!WY113)),"YES","NO")</f>
        <v>NO</v>
      </c>
      <c r="AC406" s="255" t="str">
        <f>IF(ISNUMBER(SEARCH("C", 'WetLitterbags placem_collection'!VX113)),"YES","NO")</f>
        <v>NO</v>
      </c>
      <c r="AD406" s="255" t="str">
        <f>IF(ISNUMBER(SEARCH("H", 'WetLitterbags placem_collection'!X113)),"YES","NO")</f>
        <v>NO</v>
      </c>
      <c r="AE406" s="255" t="str">
        <f>IF(ISNUMBER(SEARCH("R", 'WetLitterbags placem_collection'!X113)),"YES","NO")</f>
        <v>YES</v>
      </c>
    </row>
    <row r="407" spans="2:31">
      <c r="B407" t="str">
        <f>'Final data_for_R_analysis_Wetse'!A553</f>
        <v>Wet</v>
      </c>
      <c r="C407" s="263">
        <f>'Final data_for_R_analysis_Wetse'!B553</f>
        <v>112</v>
      </c>
      <c r="D407" t="s">
        <v>3843</v>
      </c>
      <c r="E407" t="s">
        <v>25</v>
      </c>
      <c r="F407" s="387">
        <v>8</v>
      </c>
      <c r="G407" s="16">
        <f>'WetLitterbags placem_collection'!E114</f>
        <v>42762</v>
      </c>
      <c r="H407" s="92" t="str">
        <f>'Final data_for_R_analysis_Wetse'!J553</f>
        <v>G852</v>
      </c>
      <c r="I407" t="str">
        <f>'Final data_for_R_analysis_Wetse'!J773</f>
        <v>R530</v>
      </c>
      <c r="J407">
        <f>IFERROR(INDEX('Green_rooibos initial weight'!$C$5:$C$1749,MATCH(H407, 'Green_rooibos initial weight'!$A$5:$A$1749,0)),"")</f>
        <v>2.0630000000000002</v>
      </c>
      <c r="K407">
        <f>IFERROR(INDEX('Green_rooibos initial weight'!$C$5:$C$1749,MATCH(I407, 'Green_rooibos initial weight'!$A$5:$A$1749,0)),"")</f>
        <v>2.1659999999999999</v>
      </c>
      <c r="L407" s="195">
        <f t="shared" si="47"/>
        <v>1.8132000000000001</v>
      </c>
      <c r="M407" s="195">
        <f>AVERAGE(Ashed_controlls!$K$2:$K$11)</f>
        <v>5.5147656768714146</v>
      </c>
      <c r="N407" s="195">
        <f t="shared" si="45"/>
        <v>1.9161999999999999</v>
      </c>
      <c r="O407" s="16">
        <f>IF('WetLitterbags placem_collection'!G114="N.A","",'WetLitterbags placem_collection'!G114)</f>
        <v>42816</v>
      </c>
      <c r="P407" s="195">
        <f>IF(IFERROR(INDEX('Both teabags AfterWet'!$C$3:$C$841,MATCH(H407,'Both teabags AfterWet'!$A$3:$A$841,0)),"")="N.A","",(IFERROR(INDEX('Both teabags AfterWet'!$C$3:$C$841,MATCH(H407,'Both teabags AfterWet'!$A$3:$A$841,0)),"")))</f>
        <v>0.69799999999999995</v>
      </c>
      <c r="Q407" s="195">
        <f>IFERROR(INDEX('Both teabags AfterWet'!$C$3:$C$841,MATCH(I407,'Both teabags AfterWet'!$A$3:$A$841,0)),"")</f>
        <v>1.627</v>
      </c>
      <c r="R407" s="195">
        <f t="shared" si="48"/>
        <v>0.54739999999999989</v>
      </c>
      <c r="S407" s="195">
        <f t="shared" si="48"/>
        <v>1.4763999999999999</v>
      </c>
      <c r="T407" s="195">
        <f t="shared" si="49"/>
        <v>0.698102801676594</v>
      </c>
      <c r="U407" s="195">
        <f t="shared" si="50"/>
        <v>0.45766359444831345</v>
      </c>
      <c r="V407" s="195">
        <f t="shared" si="51"/>
        <v>0.77048324809518842</v>
      </c>
      <c r="W407">
        <f t="shared" si="46"/>
        <v>54</v>
      </c>
      <c r="X407" s="195">
        <f t="shared" si="52"/>
        <v>0.1708992854197221</v>
      </c>
      <c r="Y407" s="195">
        <f t="shared" si="53"/>
        <v>1.2891572896339309E-2</v>
      </c>
      <c r="Z407" s="255" t="str">
        <f>IF(ISNUMBER(SEARCH("C",'WetLitterbags placem_collection'!W334)),"YES","NO")</f>
        <v>NO</v>
      </c>
      <c r="AA407" s="255" t="str">
        <f>IF(ISNUMBER(SEARCH("H", 'WetLitterbags placem_collection'!Y114)),"YES","NO")</f>
        <v>NO</v>
      </c>
      <c r="AB407" s="255" t="str">
        <f>IF(ISNUMBER(SEARCH("R", 'WetLitterbags placem_collection'!WY114)),"YES","NO")</f>
        <v>NO</v>
      </c>
      <c r="AC407" s="255" t="str">
        <f>IF(ISNUMBER(SEARCH("C", 'WetLitterbags placem_collection'!VX114)),"YES","NO")</f>
        <v>NO</v>
      </c>
      <c r="AD407" s="255" t="str">
        <f>IF(ISNUMBER(SEARCH("H", 'WetLitterbags placem_collection'!X114)),"YES","NO")</f>
        <v>NO</v>
      </c>
      <c r="AE407" s="255" t="str">
        <f>IF(ISNUMBER(SEARCH("R", 'WetLitterbags placem_collection'!X114)),"YES","NO")</f>
        <v>NO</v>
      </c>
    </row>
    <row r="408" spans="2:31">
      <c r="B408" t="str">
        <f>'Final data_for_R_analysis_Wetse'!A554</f>
        <v>Wet</v>
      </c>
      <c r="C408" s="263">
        <f>'Final data_for_R_analysis_Wetse'!B554</f>
        <v>113</v>
      </c>
      <c r="D408" t="s">
        <v>3844</v>
      </c>
      <c r="E408" t="s">
        <v>25</v>
      </c>
      <c r="F408" s="386">
        <v>1</v>
      </c>
      <c r="G408" s="16">
        <f>'WetLitterbags placem_collection'!E115</f>
        <v>42762</v>
      </c>
      <c r="H408" s="92" t="str">
        <f>'Final data_for_R_analysis_Wetse'!J554</f>
        <v>G769</v>
      </c>
      <c r="I408" t="str">
        <f>'Final data_for_R_analysis_Wetse'!J774</f>
        <v>R578</v>
      </c>
      <c r="J408">
        <f>IFERROR(INDEX('Green_rooibos initial weight'!$C$5:$C$1749,MATCH(H408, 'Green_rooibos initial weight'!$A$5:$A$1749,0)),"")</f>
        <v>2.0550000000000002</v>
      </c>
      <c r="K408">
        <f>IFERROR(INDEX('Green_rooibos initial weight'!$C$5:$C$1749,MATCH(I408, 'Green_rooibos initial weight'!$A$5:$A$1749,0)),"")</f>
        <v>2.1259999999999999</v>
      </c>
      <c r="L408" s="195">
        <f t="shared" si="47"/>
        <v>1.8052000000000001</v>
      </c>
      <c r="M408" s="195">
        <f>AVERAGE(Ashed_controlls!$K$2:$K$11)</f>
        <v>5.5147656768714146</v>
      </c>
      <c r="N408" s="195">
        <f t="shared" si="45"/>
        <v>1.8761999999999999</v>
      </c>
      <c r="O408" s="16">
        <f>IF('WetLitterbags placem_collection'!G115="N.A","",'WetLitterbags placem_collection'!G115)</f>
        <v>42816</v>
      </c>
      <c r="P408" s="195">
        <f>IF(IFERROR(INDEX('Both teabags AfterWet'!$C$3:$C$841,MATCH(H408,'Both teabags AfterWet'!$A$3:$A$841,0)),"")="N.A","",(IFERROR(INDEX('Both teabags AfterWet'!$C$3:$C$841,MATCH(H408,'Both teabags AfterWet'!$A$3:$A$841,0)),"")))</f>
        <v>0.70799999999999996</v>
      </c>
      <c r="Q408" s="195">
        <f>IFERROR(INDEX('Both teabags AfterWet'!$C$3:$C$841,MATCH(I408,'Both teabags AfterWet'!$A$3:$A$841,0)),"")</f>
        <v>1.421</v>
      </c>
      <c r="R408" s="195">
        <f t="shared" si="48"/>
        <v>0.5573999999999999</v>
      </c>
      <c r="S408" s="195">
        <f t="shared" si="48"/>
        <v>1.2704</v>
      </c>
      <c r="T408" s="195">
        <f t="shared" si="49"/>
        <v>0.69122534899180155</v>
      </c>
      <c r="U408" s="195">
        <f t="shared" si="50"/>
        <v>0.45315486062170368</v>
      </c>
      <c r="V408" s="195">
        <f t="shared" si="51"/>
        <v>0.67711331414561349</v>
      </c>
      <c r="W408">
        <f t="shared" si="46"/>
        <v>54</v>
      </c>
      <c r="X408" s="195">
        <f t="shared" si="52"/>
        <v>0.1790672814824209</v>
      </c>
      <c r="Y408" s="195">
        <f t="shared" si="53"/>
        <v>2.3085902116310231E-2</v>
      </c>
      <c r="Z408" s="255" t="str">
        <f>IF(ISNUMBER(SEARCH("C",'WetLitterbags placem_collection'!W335)),"YES","NO")</f>
        <v>NO</v>
      </c>
      <c r="AA408" s="255" t="str">
        <f>IF(ISNUMBER(SEARCH("H", 'WetLitterbags placem_collection'!Y115)),"YES","NO")</f>
        <v>NO</v>
      </c>
      <c r="AB408" s="255" t="str">
        <f>IF(ISNUMBER(SEARCH("R", 'WetLitterbags placem_collection'!WY115)),"YES","NO")</f>
        <v>NO</v>
      </c>
      <c r="AC408" s="255" t="str">
        <f>IF(ISNUMBER(SEARCH("C", 'WetLitterbags placem_collection'!VX115)),"YES","NO")</f>
        <v>NO</v>
      </c>
      <c r="AD408" s="255" t="str">
        <f>IF(ISNUMBER(SEARCH("H", 'WetLitterbags placem_collection'!X115)),"YES","NO")</f>
        <v>NO</v>
      </c>
      <c r="AE408" s="255" t="str">
        <f>IF(ISNUMBER(SEARCH("R", 'WetLitterbags placem_collection'!X115)),"YES","NO")</f>
        <v>YES</v>
      </c>
    </row>
    <row r="409" spans="2:31">
      <c r="B409" t="str">
        <f>'Final data_for_R_analysis_Wetse'!A555</f>
        <v>Wet</v>
      </c>
      <c r="C409" s="263">
        <f>'Final data_for_R_analysis_Wetse'!B555</f>
        <v>114</v>
      </c>
      <c r="D409" t="s">
        <v>3844</v>
      </c>
      <c r="E409" t="s">
        <v>25</v>
      </c>
      <c r="F409" s="386">
        <v>2</v>
      </c>
      <c r="G409" s="16">
        <f>'WetLitterbags placem_collection'!E116</f>
        <v>42762</v>
      </c>
      <c r="H409" s="92" t="str">
        <f>'Final data_for_R_analysis_Wetse'!J555</f>
        <v>G889</v>
      </c>
      <c r="I409" t="str">
        <f>'Final data_for_R_analysis_Wetse'!J775</f>
        <v>R37</v>
      </c>
      <c r="J409">
        <f>IFERROR(INDEX('Green_rooibos initial weight'!$C$5:$C$1749,MATCH(H409, 'Green_rooibos initial weight'!$A$5:$A$1749,0)),"")</f>
        <v>1.9830000000000001</v>
      </c>
      <c r="K409">
        <f>IFERROR(INDEX('Green_rooibos initial weight'!$C$5:$C$1749,MATCH(I409, 'Green_rooibos initial weight'!$A$5:$A$1749,0)),"")</f>
        <v>2.0979999999999999</v>
      </c>
      <c r="L409" s="195">
        <f t="shared" si="47"/>
        <v>1.7332000000000001</v>
      </c>
      <c r="M409" s="195">
        <f>AVERAGE(Ashed_controlls!$K$2:$K$11)</f>
        <v>5.5147656768714146</v>
      </c>
      <c r="N409" s="195">
        <f t="shared" si="45"/>
        <v>1.8481999999999998</v>
      </c>
      <c r="O409" s="16">
        <f>IF('WetLitterbags placem_collection'!G116="N.A","",'WetLitterbags placem_collection'!G116)</f>
        <v>42816</v>
      </c>
      <c r="P409" s="195">
        <f>IF(IFERROR(INDEX('Both teabags AfterWet'!$C$3:$C$841,MATCH(H409,'Both teabags AfterWet'!$A$3:$A$841,0)),"")="N.A","",(IFERROR(INDEX('Both teabags AfterWet'!$C$3:$C$841,MATCH(H409,'Both teabags AfterWet'!$A$3:$A$841,0)),"")))</f>
        <v>0.65700000000000003</v>
      </c>
      <c r="Q409" s="195">
        <f>IFERROR(INDEX('Both teabags AfterWet'!$C$3:$C$841,MATCH(I409,'Both teabags AfterWet'!$A$3:$A$841,0)),"")</f>
        <v>1.504</v>
      </c>
      <c r="R409" s="195">
        <f t="shared" si="48"/>
        <v>0.50639999999999996</v>
      </c>
      <c r="S409" s="195">
        <f t="shared" si="48"/>
        <v>1.3533999999999999</v>
      </c>
      <c r="T409" s="195">
        <f t="shared" si="49"/>
        <v>0.7078236787445189</v>
      </c>
      <c r="U409" s="195">
        <f t="shared" si="50"/>
        <v>0.46403642597027844</v>
      </c>
      <c r="V409" s="195">
        <f t="shared" si="51"/>
        <v>0.73228005627096637</v>
      </c>
      <c r="W409">
        <f t="shared" si="46"/>
        <v>54</v>
      </c>
      <c r="X409" s="195">
        <f t="shared" si="52"/>
        <v>0.15935430077848112</v>
      </c>
      <c r="Y409" s="195">
        <f t="shared" si="53"/>
        <v>1.59302776126528E-2</v>
      </c>
      <c r="Z409" s="255" t="str">
        <f>IF(ISNUMBER(SEARCH("C",'WetLitterbags placem_collection'!W336)),"YES","NO")</f>
        <v>NO</v>
      </c>
      <c r="AA409" s="255" t="str">
        <f>IF(ISNUMBER(SEARCH("H", 'WetLitterbags placem_collection'!Y116)),"YES","NO")</f>
        <v>NO</v>
      </c>
      <c r="AB409" s="255" t="str">
        <f>IF(ISNUMBER(SEARCH("R", 'WetLitterbags placem_collection'!WY116)),"YES","NO")</f>
        <v>NO</v>
      </c>
      <c r="AC409" s="255" t="str">
        <f>IF(ISNUMBER(SEARCH("C", 'WetLitterbags placem_collection'!VX116)),"YES","NO")</f>
        <v>NO</v>
      </c>
      <c r="AD409" s="255" t="str">
        <f>IF(ISNUMBER(SEARCH("H", 'WetLitterbags placem_collection'!X116)),"YES","NO")</f>
        <v>NO</v>
      </c>
      <c r="AE409" s="255" t="str">
        <f>IF(ISNUMBER(SEARCH("R", 'WetLitterbags placem_collection'!X116)),"YES","NO")</f>
        <v>YES</v>
      </c>
    </row>
    <row r="410" spans="2:31">
      <c r="B410" t="str">
        <f>'Final data_for_R_analysis_Wetse'!A556</f>
        <v>Wet</v>
      </c>
      <c r="C410" s="263">
        <f>'Final data_for_R_analysis_Wetse'!B556</f>
        <v>115</v>
      </c>
      <c r="D410" t="s">
        <v>3844</v>
      </c>
      <c r="E410" t="s">
        <v>25</v>
      </c>
      <c r="F410" s="386">
        <v>3</v>
      </c>
      <c r="G410" s="16">
        <f>'WetLitterbags placem_collection'!E117</f>
        <v>42762</v>
      </c>
      <c r="H410" s="92" t="str">
        <f>'Final data_for_R_analysis_Wetse'!J556</f>
        <v>G778</v>
      </c>
      <c r="I410" t="str">
        <f>'Final data_for_R_analysis_Wetse'!J776</f>
        <v>R522</v>
      </c>
      <c r="J410">
        <f>IFERROR(INDEX('Green_rooibos initial weight'!$C$5:$C$1749,MATCH(H410, 'Green_rooibos initial weight'!$A$5:$A$1749,0)),"")</f>
        <v>1.992</v>
      </c>
      <c r="K410">
        <f>IFERROR(INDEX('Green_rooibos initial weight'!$C$5:$C$1749,MATCH(I410, 'Green_rooibos initial weight'!$A$5:$A$1749,0)),"")</f>
        <v>2.1819999999999999</v>
      </c>
      <c r="L410" s="195">
        <f t="shared" si="47"/>
        <v>1.7422</v>
      </c>
      <c r="M410" s="195">
        <f>AVERAGE(Ashed_controlls!$K$2:$K$11)</f>
        <v>5.5147656768714146</v>
      </c>
      <c r="N410" s="195">
        <f t="shared" si="45"/>
        <v>1.9321999999999999</v>
      </c>
      <c r="O410" s="16">
        <f>IF('WetLitterbags placem_collection'!G117="N.A","",'WetLitterbags placem_collection'!G117)</f>
        <v>42816</v>
      </c>
      <c r="P410" s="195">
        <f>IF(IFERROR(INDEX('Both teabags AfterWet'!$C$3:$C$841,MATCH(H410,'Both teabags AfterWet'!$A$3:$A$841,0)),"")="N.A","",(IFERROR(INDEX('Both teabags AfterWet'!$C$3:$C$841,MATCH(H410,'Both teabags AfterWet'!$A$3:$A$841,0)),"")))</f>
        <v>0.73709999999999998</v>
      </c>
      <c r="Q410" s="195">
        <f>IFERROR(INDEX('Both teabags AfterWet'!$C$3:$C$841,MATCH(I410,'Both teabags AfterWet'!$A$3:$A$841,0)),"")</f>
        <v>1.401</v>
      </c>
      <c r="R410" s="195">
        <f t="shared" si="48"/>
        <v>0.58650000000000002</v>
      </c>
      <c r="S410" s="195">
        <f t="shared" si="48"/>
        <v>1.2504</v>
      </c>
      <c r="T410" s="195">
        <f t="shared" si="49"/>
        <v>0.66335667546779931</v>
      </c>
      <c r="U410" s="195">
        <f t="shared" si="50"/>
        <v>0.43488466135181147</v>
      </c>
      <c r="V410" s="195">
        <f t="shared" si="51"/>
        <v>0.64713797743504808</v>
      </c>
      <c r="W410">
        <f t="shared" si="46"/>
        <v>54</v>
      </c>
      <c r="X410" s="195">
        <f t="shared" si="52"/>
        <v>0.21216546856555896</v>
      </c>
      <c r="Y410" s="195">
        <f t="shared" si="53"/>
        <v>3.0890473290490935E-2</v>
      </c>
      <c r="Z410" s="255" t="str">
        <f>IF(ISNUMBER(SEARCH("C",'WetLitterbags placem_collection'!W337)),"YES","NO")</f>
        <v>NO</v>
      </c>
      <c r="AA410" s="255" t="str">
        <f>IF(ISNUMBER(SEARCH("H", 'WetLitterbags placem_collection'!Y117)),"YES","NO")</f>
        <v>NO</v>
      </c>
      <c r="AB410" s="255" t="str">
        <f>IF(ISNUMBER(SEARCH("R", 'WetLitterbags placem_collection'!WY117)),"YES","NO")</f>
        <v>NO</v>
      </c>
      <c r="AC410" s="255" t="str">
        <f>IF(ISNUMBER(SEARCH("C", 'WetLitterbags placem_collection'!VX117)),"YES","NO")</f>
        <v>NO</v>
      </c>
      <c r="AD410" s="255" t="str">
        <f>IF(ISNUMBER(SEARCH("H", 'WetLitterbags placem_collection'!X117)),"YES","NO")</f>
        <v>NO</v>
      </c>
      <c r="AE410" s="255" t="str">
        <f>IF(ISNUMBER(SEARCH("R", 'WetLitterbags placem_collection'!X117)),"YES","NO")</f>
        <v>YES</v>
      </c>
    </row>
    <row r="411" spans="2:31">
      <c r="B411" t="str">
        <f>'Final data_for_R_analysis_Wetse'!A557</f>
        <v>Wet</v>
      </c>
      <c r="C411" s="263">
        <f>'Final data_for_R_analysis_Wetse'!B557</f>
        <v>116</v>
      </c>
      <c r="D411" t="s">
        <v>3844</v>
      </c>
      <c r="E411" t="s">
        <v>25</v>
      </c>
      <c r="F411" s="387">
        <v>4</v>
      </c>
      <c r="G411" s="16">
        <f>'WetLitterbags placem_collection'!E118</f>
        <v>42762</v>
      </c>
      <c r="H411" s="92" t="str">
        <f>'Final data_for_R_analysis_Wetse'!J557</f>
        <v>G563</v>
      </c>
      <c r="I411" t="str">
        <f>'Final data_for_R_analysis_Wetse'!J777</f>
        <v>R480</v>
      </c>
      <c r="J411">
        <f>IFERROR(INDEX('Green_rooibos initial weight'!$C$5:$C$1749,MATCH(H411, 'Green_rooibos initial weight'!$A$5:$A$1749,0)),"")</f>
        <v>1.9390000000000001</v>
      </c>
      <c r="K411">
        <f>IFERROR(INDEX('Green_rooibos initial weight'!$C$5:$C$1749,MATCH(I411, 'Green_rooibos initial weight'!$A$5:$A$1749,0)),"")</f>
        <v>2.17</v>
      </c>
      <c r="L411" s="195">
        <f t="shared" si="47"/>
        <v>1.6892</v>
      </c>
      <c r="M411" s="195">
        <f>AVERAGE(Ashed_controlls!$K$2:$K$11)</f>
        <v>5.5147656768714146</v>
      </c>
      <c r="N411" s="195">
        <f t="shared" si="45"/>
        <v>1.9201999999999999</v>
      </c>
      <c r="O411" s="16">
        <f>IF('WetLitterbags placem_collection'!G118="N.A","",'WetLitterbags placem_collection'!G118)</f>
        <v>42816</v>
      </c>
      <c r="P411" s="195">
        <f>IF(IFERROR(INDEX('Both teabags AfterWet'!$C$3:$C$841,MATCH(H411,'Both teabags AfterWet'!$A$3:$A$841,0)),"")="N.A","",(IFERROR(INDEX('Both teabags AfterWet'!$C$3:$C$841,MATCH(H411,'Both teabags AfterWet'!$A$3:$A$841,0)),"")))</f>
        <v>0.61660000000000004</v>
      </c>
      <c r="Q411" s="195">
        <f>IFERROR(INDEX('Both teabags AfterWet'!$C$3:$C$841,MATCH(I411,'Both teabags AfterWet'!$A$3:$A$841,0)),"")</f>
        <v>1.389</v>
      </c>
      <c r="R411" s="195">
        <f t="shared" si="48"/>
        <v>0.46600000000000003</v>
      </c>
      <c r="S411" s="195">
        <f t="shared" si="48"/>
        <v>1.2383999999999999</v>
      </c>
      <c r="T411" s="195">
        <f t="shared" si="49"/>
        <v>0.72412976556950037</v>
      </c>
      <c r="U411" s="195">
        <f t="shared" si="50"/>
        <v>0.47472640213107392</v>
      </c>
      <c r="V411" s="195">
        <f t="shared" si="51"/>
        <v>0.64493281949796899</v>
      </c>
      <c r="W411">
        <f t="shared" si="46"/>
        <v>54</v>
      </c>
      <c r="X411" s="195">
        <f t="shared" si="52"/>
        <v>0.13998840193646034</v>
      </c>
      <c r="Y411" s="195">
        <f t="shared" si="53"/>
        <v>2.5520199249746394E-2</v>
      </c>
      <c r="Z411" s="255" t="str">
        <f>IF(ISNUMBER(SEARCH("C",'WetLitterbags placem_collection'!W338)),"YES","NO")</f>
        <v>YES</v>
      </c>
      <c r="AA411" s="255" t="str">
        <f>IF(ISNUMBER(SEARCH("H", 'WetLitterbags placem_collection'!Y118)),"YES","NO")</f>
        <v>NO</v>
      </c>
      <c r="AB411" s="255" t="str">
        <f>IF(ISNUMBER(SEARCH("R", 'WetLitterbags placem_collection'!WY118)),"YES","NO")</f>
        <v>NO</v>
      </c>
      <c r="AC411" s="255" t="str">
        <f>IF(ISNUMBER(SEARCH("C", 'WetLitterbags placem_collection'!VX118)),"YES","NO")</f>
        <v>NO</v>
      </c>
      <c r="AD411" s="255" t="str">
        <f>IF(ISNUMBER(SEARCH("H", 'WetLitterbags placem_collection'!X118)),"YES","NO")</f>
        <v>NO</v>
      </c>
      <c r="AE411" s="255" t="str">
        <f>IF(ISNUMBER(SEARCH("R", 'WetLitterbags placem_collection'!X118)),"YES","NO")</f>
        <v>YES</v>
      </c>
    </row>
    <row r="412" spans="2:31">
      <c r="B412" t="str">
        <f>'Final data_for_R_analysis_Wetse'!A558</f>
        <v>Wet</v>
      </c>
      <c r="C412" s="263">
        <f>'Final data_for_R_analysis_Wetse'!B558</f>
        <v>117</v>
      </c>
      <c r="D412" t="s">
        <v>3844</v>
      </c>
      <c r="E412" t="s">
        <v>25</v>
      </c>
      <c r="F412" s="387">
        <v>5</v>
      </c>
      <c r="G412" s="16">
        <f>'WetLitterbags placem_collection'!E119</f>
        <v>42762</v>
      </c>
      <c r="H412" s="92" t="str">
        <f>'Final data_for_R_analysis_Wetse'!J558</f>
        <v>G901</v>
      </c>
      <c r="I412" t="str">
        <f>'Final data_for_R_analysis_Wetse'!J778</f>
        <v>R565</v>
      </c>
      <c r="J412">
        <f>IFERROR(INDEX('Green_rooibos initial weight'!$C$5:$C$1749,MATCH(H412, 'Green_rooibos initial weight'!$A$5:$A$1749,0)),"")</f>
        <v>2.0270000000000001</v>
      </c>
      <c r="K412">
        <f>IFERROR(INDEX('Green_rooibos initial weight'!$C$5:$C$1749,MATCH(I412, 'Green_rooibos initial weight'!$A$5:$A$1749,0)),"")</f>
        <v>2.0649999999999999</v>
      </c>
      <c r="L412" s="195">
        <f t="shared" si="47"/>
        <v>1.7772000000000001</v>
      </c>
      <c r="M412" s="195">
        <f>AVERAGE(Ashed_controlls!$K$2:$K$11)</f>
        <v>5.5147656768714146</v>
      </c>
      <c r="N412" s="195">
        <f t="shared" si="45"/>
        <v>1.8151999999999999</v>
      </c>
      <c r="O412" s="16">
        <f>IF('WetLitterbags placem_collection'!G119="N.A","",'WetLitterbags placem_collection'!G119)</f>
        <v>42816</v>
      </c>
      <c r="P412" s="195">
        <f>IF(IFERROR(INDEX('Both teabags AfterWet'!$C$3:$C$841,MATCH(H412,'Both teabags AfterWet'!$A$3:$A$841,0)),"")="N.A","",(IFERROR(INDEX('Both teabags AfterWet'!$C$3:$C$841,MATCH(H412,'Both teabags AfterWet'!$A$3:$A$841,0)),"")))</f>
        <v>0.621</v>
      </c>
      <c r="Q412" s="195">
        <f>IFERROR(INDEX('Both teabags AfterWet'!$C$3:$C$841,MATCH(I412,'Both teabags AfterWet'!$A$3:$A$841,0)),"")</f>
        <v>1.343</v>
      </c>
      <c r="R412" s="195">
        <f t="shared" si="48"/>
        <v>0.47039999999999998</v>
      </c>
      <c r="S412" s="195">
        <f t="shared" si="48"/>
        <v>1.1923999999999999</v>
      </c>
      <c r="T412" s="195">
        <f t="shared" si="49"/>
        <v>0.73531397704253887</v>
      </c>
      <c r="U412" s="195">
        <f t="shared" si="50"/>
        <v>0.48205856927254337</v>
      </c>
      <c r="V412" s="195">
        <f t="shared" si="51"/>
        <v>0.65689731159100928</v>
      </c>
      <c r="W412">
        <f t="shared" si="46"/>
        <v>54</v>
      </c>
      <c r="X412" s="195">
        <f t="shared" si="52"/>
        <v>0.12670549044829105</v>
      </c>
      <c r="Y412" s="195">
        <f t="shared" si="53"/>
        <v>2.303535445914769E-2</v>
      </c>
      <c r="Z412" s="255" t="str">
        <f>IF(ISNUMBER(SEARCH("C",'WetLitterbags placem_collection'!W339)),"YES","NO")</f>
        <v>NO</v>
      </c>
      <c r="AA412" s="255" t="str">
        <f>IF(ISNUMBER(SEARCH("H", 'WetLitterbags placem_collection'!Y119)),"YES","NO")</f>
        <v>NO</v>
      </c>
      <c r="AB412" s="255" t="str">
        <f>IF(ISNUMBER(SEARCH("R", 'WetLitterbags placem_collection'!WY119)),"YES","NO")</f>
        <v>NO</v>
      </c>
      <c r="AC412" s="255" t="str">
        <f>IF(ISNUMBER(SEARCH("C", 'WetLitterbags placem_collection'!VX119)),"YES","NO")</f>
        <v>NO</v>
      </c>
      <c r="AD412" s="255" t="str">
        <f>IF(ISNUMBER(SEARCH("H", 'WetLitterbags placem_collection'!X119)),"YES","NO")</f>
        <v>NO</v>
      </c>
      <c r="AE412" s="255" t="str">
        <f>IF(ISNUMBER(SEARCH("R", 'WetLitterbags placem_collection'!X119)),"YES","NO")</f>
        <v>YES</v>
      </c>
    </row>
    <row r="413" spans="2:31">
      <c r="B413" t="str">
        <f>'Final data_for_R_analysis_Wetse'!A559</f>
        <v>Wet</v>
      </c>
      <c r="C413" s="263">
        <f>'Final data_for_R_analysis_Wetse'!B559</f>
        <v>118</v>
      </c>
      <c r="D413" t="s">
        <v>3844</v>
      </c>
      <c r="E413" t="s">
        <v>25</v>
      </c>
      <c r="F413" s="387">
        <v>6</v>
      </c>
      <c r="G413" s="16">
        <f>'WetLitterbags placem_collection'!E120</f>
        <v>42762</v>
      </c>
      <c r="H413" s="92" t="str">
        <f>'Final data_for_R_analysis_Wetse'!J559</f>
        <v>G791</v>
      </c>
      <c r="I413" t="str">
        <f>'Final data_for_R_analysis_Wetse'!J779</f>
        <v>R544</v>
      </c>
      <c r="J413">
        <f>IFERROR(INDEX('Green_rooibos initial weight'!$C$5:$C$1749,MATCH(H413, 'Green_rooibos initial weight'!$A$5:$A$1749,0)),"")</f>
        <v>2.0680000000000001</v>
      </c>
      <c r="K413">
        <f>IFERROR(INDEX('Green_rooibos initial weight'!$C$5:$C$1749,MATCH(I413, 'Green_rooibos initial weight'!$A$5:$A$1749,0)),"")</f>
        <v>2.2109999999999999</v>
      </c>
      <c r="L413" s="195">
        <f t="shared" si="47"/>
        <v>1.8182</v>
      </c>
      <c r="M413" s="195">
        <f>AVERAGE(Ashed_controlls!$K$2:$K$11)</f>
        <v>5.5147656768714146</v>
      </c>
      <c r="N413" s="195">
        <f t="shared" si="45"/>
        <v>1.9611999999999998</v>
      </c>
      <c r="O413" s="16">
        <f>IF('WetLitterbags placem_collection'!G120="N.A","",'WetLitterbags placem_collection'!G120)</f>
        <v>42816</v>
      </c>
      <c r="P413" s="195">
        <f>IF(IFERROR(INDEX('Both teabags AfterWet'!$C$3:$C$841,MATCH(H413,'Both teabags AfterWet'!$A$3:$A$841,0)),"")="N.A","",(IFERROR(INDEX('Both teabags AfterWet'!$C$3:$C$841,MATCH(H413,'Both teabags AfterWet'!$A$3:$A$841,0)),"")))</f>
        <v>0.64600000000000002</v>
      </c>
      <c r="Q413" s="195">
        <f>IFERROR(INDEX('Both teabags AfterWet'!$C$3:$C$841,MATCH(I413,'Both teabags AfterWet'!$A$3:$A$841,0)),"")</f>
        <v>1.599</v>
      </c>
      <c r="R413" s="195">
        <f t="shared" si="48"/>
        <v>0.49540000000000001</v>
      </c>
      <c r="S413" s="195">
        <f t="shared" si="48"/>
        <v>1.4483999999999999</v>
      </c>
      <c r="T413" s="195">
        <f t="shared" si="49"/>
        <v>0.72753272467275321</v>
      </c>
      <c r="U413" s="195">
        <f t="shared" si="50"/>
        <v>0.47695732068807578</v>
      </c>
      <c r="V413" s="195">
        <f t="shared" si="51"/>
        <v>0.73852743218437689</v>
      </c>
      <c r="W413">
        <f t="shared" si="46"/>
        <v>54</v>
      </c>
      <c r="X413" s="195">
        <f t="shared" si="52"/>
        <v>0.13594688281145695</v>
      </c>
      <c r="Y413" s="195">
        <f t="shared" si="53"/>
        <v>1.4713645513482476E-2</v>
      </c>
      <c r="Z413" s="255" t="str">
        <f>IF(ISNUMBER(SEARCH("C",'WetLitterbags placem_collection'!W340)),"YES","NO")</f>
        <v>YES</v>
      </c>
      <c r="AA413" s="255" t="str">
        <f>IF(ISNUMBER(SEARCH("H", 'WetLitterbags placem_collection'!Y120)),"YES","NO")</f>
        <v>NO</v>
      </c>
      <c r="AB413" s="255" t="str">
        <f>IF(ISNUMBER(SEARCH("R", 'WetLitterbags placem_collection'!WY120)),"YES","NO")</f>
        <v>NO</v>
      </c>
      <c r="AC413" s="255" t="str">
        <f>IF(ISNUMBER(SEARCH("C", 'WetLitterbags placem_collection'!VX120)),"YES","NO")</f>
        <v>NO</v>
      </c>
      <c r="AD413" s="255" t="str">
        <f>IF(ISNUMBER(SEARCH("H", 'WetLitterbags placem_collection'!X120)),"YES","NO")</f>
        <v>NO</v>
      </c>
      <c r="AE413" s="255" t="str">
        <f>IF(ISNUMBER(SEARCH("R", 'WetLitterbags placem_collection'!X120)),"YES","NO")</f>
        <v>YES</v>
      </c>
    </row>
    <row r="414" spans="2:31">
      <c r="B414" t="str">
        <f>'Final data_for_R_analysis_Wetse'!A560</f>
        <v>Wet</v>
      </c>
      <c r="C414" s="263">
        <f>'Final data_for_R_analysis_Wetse'!B560</f>
        <v>119</v>
      </c>
      <c r="D414" t="s">
        <v>3844</v>
      </c>
      <c r="E414" t="s">
        <v>25</v>
      </c>
      <c r="F414" s="387">
        <v>7</v>
      </c>
      <c r="G414" s="16">
        <f>'WetLitterbags placem_collection'!E121</f>
        <v>42762</v>
      </c>
      <c r="H414" s="92" t="str">
        <f>'Final data_for_R_analysis_Wetse'!J560</f>
        <v>G802</v>
      </c>
      <c r="I414" t="str">
        <f>'Final data_for_R_analysis_Wetse'!J780</f>
        <v>R526</v>
      </c>
      <c r="J414">
        <f>IFERROR(INDEX('Green_rooibos initial weight'!$C$5:$C$1749,MATCH(H414, 'Green_rooibos initial weight'!$A$5:$A$1749,0)),"")</f>
        <v>2.194</v>
      </c>
      <c r="K414">
        <f>IFERROR(INDEX('Green_rooibos initial weight'!$C$5:$C$1749,MATCH(I414, 'Green_rooibos initial weight'!$A$5:$A$1749,0)),"")</f>
        <v>2.0960000000000001</v>
      </c>
      <c r="L414" s="195">
        <f t="shared" si="47"/>
        <v>1.9441999999999999</v>
      </c>
      <c r="M414" s="195">
        <f>AVERAGE(Ashed_controlls!$K$2:$K$11)</f>
        <v>5.5147656768714146</v>
      </c>
      <c r="N414" s="195">
        <f t="shared" si="45"/>
        <v>1.8462000000000001</v>
      </c>
      <c r="O414" s="16">
        <f>IF('WetLitterbags placem_collection'!G121="N.A","",'WetLitterbags placem_collection'!G121)</f>
        <v>42816</v>
      </c>
      <c r="P414" s="195">
        <f>IF(IFERROR(INDEX('Both teabags AfterWet'!$C$3:$C$841,MATCH(H414,'Both teabags AfterWet'!$A$3:$A$841,0)),"")="N.A","",(IFERROR(INDEX('Both teabags AfterWet'!$C$3:$C$841,MATCH(H414,'Both teabags AfterWet'!$A$3:$A$841,0)),"")))</f>
        <v>0.65200000000000002</v>
      </c>
      <c r="Q414" s="195">
        <f>IFERROR(INDEX('Both teabags AfterWet'!$C$3:$C$841,MATCH(I414,'Both teabags AfterWet'!$A$3:$A$841,0)),"")</f>
        <v>1.3</v>
      </c>
      <c r="R414" s="195">
        <f t="shared" si="48"/>
        <v>0.50140000000000007</v>
      </c>
      <c r="S414" s="195">
        <f t="shared" si="48"/>
        <v>1.1494</v>
      </c>
      <c r="T414" s="195">
        <f t="shared" si="49"/>
        <v>0.74210472173644682</v>
      </c>
      <c r="U414" s="195">
        <f t="shared" si="50"/>
        <v>0.48651045890560413</v>
      </c>
      <c r="V414" s="195">
        <f t="shared" si="51"/>
        <v>0.62257610226410998</v>
      </c>
      <c r="W414">
        <f t="shared" si="46"/>
        <v>54</v>
      </c>
      <c r="X414" s="195">
        <f t="shared" si="52"/>
        <v>0.11864047299709402</v>
      </c>
      <c r="Y414" s="195">
        <f t="shared" si="53"/>
        <v>2.7687346174447333E-2</v>
      </c>
      <c r="Z414" s="255" t="str">
        <f>IF(ISNUMBER(SEARCH("C",'WetLitterbags placem_collection'!W341)),"YES","NO")</f>
        <v>NO</v>
      </c>
      <c r="AA414" s="255" t="str">
        <f>IF(ISNUMBER(SEARCH("H", 'WetLitterbags placem_collection'!Y121)),"YES","NO")</f>
        <v>NO</v>
      </c>
      <c r="AB414" s="255" t="str">
        <f>IF(ISNUMBER(SEARCH("R", 'WetLitterbags placem_collection'!WY121)),"YES","NO")</f>
        <v>NO</v>
      </c>
      <c r="AC414" s="255" t="str">
        <f>IF(ISNUMBER(SEARCH("C", 'WetLitterbags placem_collection'!VX121)),"YES","NO")</f>
        <v>NO</v>
      </c>
      <c r="AD414" s="255" t="str">
        <f>IF(ISNUMBER(SEARCH("H", 'WetLitterbags placem_collection'!X121)),"YES","NO")</f>
        <v>NO</v>
      </c>
      <c r="AE414" s="255" t="str">
        <f>IF(ISNUMBER(SEARCH("R", 'WetLitterbags placem_collection'!X121)),"YES","NO")</f>
        <v>YES</v>
      </c>
    </row>
    <row r="415" spans="2:31">
      <c r="B415" t="str">
        <f>'Final data_for_R_analysis_Wetse'!A561</f>
        <v>Wet</v>
      </c>
      <c r="C415" s="263">
        <f>'Final data_for_R_analysis_Wetse'!B561</f>
        <v>120</v>
      </c>
      <c r="D415" t="s">
        <v>3844</v>
      </c>
      <c r="E415" t="s">
        <v>25</v>
      </c>
      <c r="F415" s="387">
        <v>8</v>
      </c>
      <c r="G415" s="16">
        <f>'WetLitterbags placem_collection'!E122</f>
        <v>42762</v>
      </c>
      <c r="H415" s="92" t="str">
        <f>'Final data_for_R_analysis_Wetse'!J561</f>
        <v>G698</v>
      </c>
      <c r="I415" t="str">
        <f>'Final data_for_R_analysis_Wetse'!J781</f>
        <v>R594</v>
      </c>
      <c r="J415">
        <f>IFERROR(INDEX('Green_rooibos initial weight'!$C$5:$C$1749,MATCH(H415, 'Green_rooibos initial weight'!$A$5:$A$1749,0)),"")</f>
        <v>2.085</v>
      </c>
      <c r="K415">
        <f>IFERROR(INDEX('Green_rooibos initial weight'!$C$5:$C$1749,MATCH(I415, 'Green_rooibos initial weight'!$A$5:$A$1749,0)),"")</f>
        <v>2.2400000000000002</v>
      </c>
      <c r="L415" s="195">
        <f t="shared" si="47"/>
        <v>1.8351999999999999</v>
      </c>
      <c r="M415" s="195">
        <f>AVERAGE(Ashed_controlls!$K$2:$K$11)</f>
        <v>5.5147656768714146</v>
      </c>
      <c r="N415" s="195">
        <f t="shared" si="45"/>
        <v>1.9902000000000002</v>
      </c>
      <c r="O415" s="16">
        <f>IF('WetLitterbags placem_collection'!G122="N.A","",'WetLitterbags placem_collection'!G122)</f>
        <v>42816</v>
      </c>
      <c r="P415" s="195">
        <f>IF(IFERROR(INDEX('Both teabags AfterWet'!$C$3:$C$841,MATCH(H415,'Both teabags AfterWet'!$A$3:$A$841,0)),"")="N.A","",(IFERROR(INDEX('Both teabags AfterWet'!$C$3:$C$841,MATCH(H415,'Both teabags AfterWet'!$A$3:$A$841,0)),"")))</f>
        <v>0.55310000000000004</v>
      </c>
      <c r="Q415" s="195">
        <f>IFERROR(INDEX('Both teabags AfterWet'!$C$3:$C$841,MATCH(I415,'Both teabags AfterWet'!$A$3:$A$841,0)),"")</f>
        <v>1.4142999999999999</v>
      </c>
      <c r="R415" s="195">
        <f t="shared" si="48"/>
        <v>0.40250000000000002</v>
      </c>
      <c r="S415" s="195">
        <f t="shared" si="48"/>
        <v>1.2636999999999998</v>
      </c>
      <c r="T415" s="195">
        <f t="shared" si="49"/>
        <v>0.78067785527462941</v>
      </c>
      <c r="U415" s="195">
        <f t="shared" si="50"/>
        <v>0.51179830892113476</v>
      </c>
      <c r="V415" s="195">
        <f t="shared" si="51"/>
        <v>0.63496131042106307</v>
      </c>
      <c r="W415">
        <f t="shared" si="46"/>
        <v>54</v>
      </c>
      <c r="X415" s="195">
        <f t="shared" si="52"/>
        <v>7.2829150505190676E-2</v>
      </c>
      <c r="Y415" s="195">
        <f t="shared" si="53"/>
        <v>2.3132122477795371E-2</v>
      </c>
      <c r="Z415" s="255" t="str">
        <f>IF(ISNUMBER(SEARCH("C",'WetLitterbags placem_collection'!W342)),"YES","NO")</f>
        <v>NO</v>
      </c>
      <c r="AA415" s="255" t="str">
        <f>IF(ISNUMBER(SEARCH("H", 'WetLitterbags placem_collection'!Y122)),"YES","NO")</f>
        <v>NO</v>
      </c>
      <c r="AB415" s="255" t="str">
        <f>IF(ISNUMBER(SEARCH("R", 'WetLitterbags placem_collection'!WY122)),"YES","NO")</f>
        <v>NO</v>
      </c>
      <c r="AC415" s="255" t="str">
        <f>IF(ISNUMBER(SEARCH("C", 'WetLitterbags placem_collection'!VX122)),"YES","NO")</f>
        <v>NO</v>
      </c>
      <c r="AD415" s="255" t="str">
        <f>IF(ISNUMBER(SEARCH("H", 'WetLitterbags placem_collection'!X122)),"YES","NO")</f>
        <v>NO</v>
      </c>
      <c r="AE415" s="255" t="str">
        <f>IF(ISNUMBER(SEARCH("R", 'WetLitterbags placem_collection'!X122)),"YES","NO")</f>
        <v>NO</v>
      </c>
    </row>
    <row r="416" spans="2:31">
      <c r="B416" t="str">
        <f>'Final data_for_R_analysis_Wetse'!A562</f>
        <v>Wet</v>
      </c>
      <c r="C416" s="263">
        <f>'Final data_for_R_analysis_Wetse'!B562</f>
        <v>121</v>
      </c>
      <c r="D416" t="s">
        <v>3845</v>
      </c>
      <c r="E416" t="s">
        <v>25</v>
      </c>
      <c r="F416" s="386">
        <v>1</v>
      </c>
      <c r="G416" s="16">
        <f>'WetLitterbags placem_collection'!E123</f>
        <v>42762</v>
      </c>
      <c r="H416" s="92" t="str">
        <f>'Final data_for_R_analysis_Wetse'!J562</f>
        <v>G825</v>
      </c>
      <c r="I416" t="str">
        <f>'Final data_for_R_analysis_Wetse'!J782</f>
        <v>R564</v>
      </c>
      <c r="J416">
        <f>IFERROR(INDEX('Green_rooibos initial weight'!$C$5:$C$1749,MATCH(H416, 'Green_rooibos initial weight'!$A$5:$A$1749,0)),"")</f>
        <v>2.1240000000000001</v>
      </c>
      <c r="K416">
        <f>IFERROR(INDEX('Green_rooibos initial weight'!$C$5:$C$1749,MATCH(I416, 'Green_rooibos initial weight'!$A$5:$A$1749,0)),"")</f>
        <v>2.145</v>
      </c>
      <c r="L416" s="195">
        <f t="shared" si="47"/>
        <v>1.8742000000000001</v>
      </c>
      <c r="M416" s="195">
        <f>AVERAGE(Ashed_controlls!$K$2:$K$11)</f>
        <v>5.5147656768714146</v>
      </c>
      <c r="N416" s="195">
        <f t="shared" si="45"/>
        <v>1.8952</v>
      </c>
      <c r="O416" s="16">
        <f>IF('WetLitterbags placem_collection'!G123="N.A","",'WetLitterbags placem_collection'!G123)</f>
        <v>42816</v>
      </c>
      <c r="P416" s="195">
        <f>IF(IFERROR(INDEX('Both teabags AfterWet'!$C$3:$C$841,MATCH(H416,'Both teabags AfterWet'!$A$3:$A$841,0)),"")="N.A","",(IFERROR(INDEX('Both teabags AfterWet'!$C$3:$C$841,MATCH(H416,'Both teabags AfterWet'!$A$3:$A$841,0)),"")))</f>
        <v>0.61199999999999999</v>
      </c>
      <c r="Q416" s="195">
        <f>IFERROR(INDEX('Both teabags AfterWet'!$C$3:$C$841,MATCH(I416,'Both teabags AfterWet'!$A$3:$A$841,0)),"")</f>
        <v>1.53</v>
      </c>
      <c r="R416" s="195">
        <f t="shared" si="48"/>
        <v>0.46139999999999998</v>
      </c>
      <c r="S416" s="195">
        <f t="shared" si="48"/>
        <v>1.3794</v>
      </c>
      <c r="T416" s="195">
        <f t="shared" si="49"/>
        <v>0.75381496105004808</v>
      </c>
      <c r="U416" s="195">
        <f t="shared" si="50"/>
        <v>0.49418748040335697</v>
      </c>
      <c r="V416" s="195">
        <f t="shared" si="51"/>
        <v>0.72783875052764879</v>
      </c>
      <c r="W416">
        <f t="shared" si="46"/>
        <v>54</v>
      </c>
      <c r="X416" s="195">
        <f t="shared" si="52"/>
        <v>0.1047328253562374</v>
      </c>
      <c r="Y416" s="195">
        <f t="shared" si="53"/>
        <v>1.481702644329176E-2</v>
      </c>
      <c r="Z416" s="255" t="str">
        <f>IF(ISNUMBER(SEARCH("C",'WetLitterbags placem_collection'!W343)),"YES","NO")</f>
        <v>NO</v>
      </c>
      <c r="AA416" s="255" t="str">
        <f>IF(ISNUMBER(SEARCH("H", 'WetLitterbags placem_collection'!Y123)),"YES","NO")</f>
        <v>NO</v>
      </c>
      <c r="AB416" s="255" t="str">
        <f>IF(ISNUMBER(SEARCH("R", 'WetLitterbags placem_collection'!WY123)),"YES","NO")</f>
        <v>NO</v>
      </c>
      <c r="AC416" s="255" t="str">
        <f>IF(ISNUMBER(SEARCH("C", 'WetLitterbags placem_collection'!VX123)),"YES","NO")</f>
        <v>NO</v>
      </c>
      <c r="AD416" s="255" t="str">
        <f>IF(ISNUMBER(SEARCH("H", 'WetLitterbags placem_collection'!X123)),"YES","NO")</f>
        <v>NO</v>
      </c>
      <c r="AE416" s="255" t="str">
        <f>IF(ISNUMBER(SEARCH("R", 'WetLitterbags placem_collection'!X123)),"YES","NO")</f>
        <v>YES</v>
      </c>
    </row>
    <row r="417" spans="2:31">
      <c r="B417" t="str">
        <f>'Final data_for_R_analysis_Wetse'!A563</f>
        <v>Wet</v>
      </c>
      <c r="C417" s="263">
        <f>'Final data_for_R_analysis_Wetse'!B563</f>
        <v>122</v>
      </c>
      <c r="D417" t="s">
        <v>3845</v>
      </c>
      <c r="E417" t="s">
        <v>25</v>
      </c>
      <c r="F417" s="386">
        <v>2</v>
      </c>
      <c r="G417" s="16">
        <f>'WetLitterbags placem_collection'!E124</f>
        <v>42762</v>
      </c>
      <c r="H417" s="92" t="str">
        <f>'Final data_for_R_analysis_Wetse'!J563</f>
        <v>G839</v>
      </c>
      <c r="I417" t="str">
        <f>'Final data_for_R_analysis_Wetse'!J783</f>
        <v>R429</v>
      </c>
      <c r="J417">
        <f>IFERROR(INDEX('Green_rooibos initial weight'!$C$5:$C$1749,MATCH(H417, 'Green_rooibos initial weight'!$A$5:$A$1749,0)),"")</f>
        <v>2.0230000000000001</v>
      </c>
      <c r="K417">
        <f>IFERROR(INDEX('Green_rooibos initial weight'!$C$5:$C$1749,MATCH(I417, 'Green_rooibos initial weight'!$A$5:$A$1749,0)),"")</f>
        <v>2.21</v>
      </c>
      <c r="L417" s="195">
        <f t="shared" si="47"/>
        <v>1.7732000000000001</v>
      </c>
      <c r="M417" s="195">
        <f>AVERAGE(Ashed_controlls!$K$2:$K$11)</f>
        <v>5.5147656768714146</v>
      </c>
      <c r="N417" s="195">
        <f t="shared" si="45"/>
        <v>1.9601999999999999</v>
      </c>
      <c r="O417" s="16">
        <f>IF('WetLitterbags placem_collection'!G124="N.A","",'WetLitterbags placem_collection'!G124)</f>
        <v>42816</v>
      </c>
      <c r="P417" s="195">
        <f>IF(IFERROR(INDEX('Both teabags AfterWet'!$C$3:$C$841,MATCH(H417,'Both teabags AfterWet'!$A$3:$A$841,0)),"")="N.A","",(IFERROR(INDEX('Both teabags AfterWet'!$C$3:$C$841,MATCH(H417,'Both teabags AfterWet'!$A$3:$A$841,0)),"")))</f>
        <v>0.64200000000000002</v>
      </c>
      <c r="Q417" s="195">
        <f>IFERROR(INDEX('Both teabags AfterWet'!$C$3:$C$841,MATCH(I417,'Both teabags AfterWet'!$A$3:$A$841,0)),"")</f>
        <v>1.2190000000000001</v>
      </c>
      <c r="R417" s="195">
        <f t="shared" si="48"/>
        <v>0.4914</v>
      </c>
      <c r="S417" s="195">
        <f t="shared" si="48"/>
        <v>1.0684</v>
      </c>
      <c r="T417" s="195">
        <f t="shared" si="49"/>
        <v>0.72287390029325516</v>
      </c>
      <c r="U417" s="195">
        <f t="shared" si="50"/>
        <v>0.4739030795271697</v>
      </c>
      <c r="V417" s="195">
        <f t="shared" si="51"/>
        <v>0.54504642383430268</v>
      </c>
      <c r="W417">
        <f t="shared" si="46"/>
        <v>54</v>
      </c>
      <c r="X417" s="195">
        <f t="shared" si="52"/>
        <v>0.14147992839280854</v>
      </c>
      <c r="Y417" s="195">
        <f t="shared" si="53"/>
        <v>5.9615279701277751E-2</v>
      </c>
      <c r="Z417" s="255" t="str">
        <f>IF(ISNUMBER(SEARCH("C",'WetLitterbags placem_collection'!W344)),"YES","NO")</f>
        <v>NO</v>
      </c>
      <c r="AA417" s="255" t="str">
        <f>IF(ISNUMBER(SEARCH("H", 'WetLitterbags placem_collection'!Y124)),"YES","NO")</f>
        <v>NO</v>
      </c>
      <c r="AB417" s="255" t="str">
        <f>IF(ISNUMBER(SEARCH("R", 'WetLitterbags placem_collection'!WY124)),"YES","NO")</f>
        <v>NO</v>
      </c>
      <c r="AC417" s="255" t="str">
        <f>IF(ISNUMBER(SEARCH("C", 'WetLitterbags placem_collection'!VX124)),"YES","NO")</f>
        <v>NO</v>
      </c>
      <c r="AD417" s="255" t="str">
        <f>IF(ISNUMBER(SEARCH("H", 'WetLitterbags placem_collection'!X124)),"YES","NO")</f>
        <v>NO</v>
      </c>
      <c r="AE417" s="255" t="str">
        <f>IF(ISNUMBER(SEARCH("R", 'WetLitterbags placem_collection'!X124)),"YES","NO")</f>
        <v>YES</v>
      </c>
    </row>
    <row r="418" spans="2:31">
      <c r="B418" t="str">
        <f>'Final data_for_R_analysis_Wetse'!A564</f>
        <v>Wet</v>
      </c>
      <c r="C418" s="263">
        <f>'Final data_for_R_analysis_Wetse'!B564</f>
        <v>123</v>
      </c>
      <c r="D418" t="s">
        <v>3845</v>
      </c>
      <c r="E418" t="s">
        <v>25</v>
      </c>
      <c r="F418" s="386">
        <v>3</v>
      </c>
      <c r="G418" s="16">
        <f>'WetLitterbags placem_collection'!E125</f>
        <v>42762</v>
      </c>
      <c r="H418" s="92" t="str">
        <f>'Final data_for_R_analysis_Wetse'!J564</f>
        <v>G895</v>
      </c>
      <c r="I418" t="str">
        <f>'Final data_for_R_analysis_Wetse'!J784</f>
        <v>R466</v>
      </c>
      <c r="J418">
        <f>IFERROR(INDEX('Green_rooibos initial weight'!$C$5:$C$1749,MATCH(H418, 'Green_rooibos initial weight'!$A$5:$A$1749,0)),"")</f>
        <v>1.9259999999999999</v>
      </c>
      <c r="K418">
        <f>IFERROR(INDEX('Green_rooibos initial weight'!$C$5:$C$1749,MATCH(I418, 'Green_rooibos initial weight'!$A$5:$A$1749,0)),"")</f>
        <v>2.2269999999999999</v>
      </c>
      <c r="L418" s="195">
        <f t="shared" si="47"/>
        <v>1.6761999999999999</v>
      </c>
      <c r="M418" s="195">
        <f>AVERAGE(Ashed_controlls!$K$2:$K$11)</f>
        <v>5.5147656768714146</v>
      </c>
      <c r="N418" s="195">
        <f t="shared" si="45"/>
        <v>1.9771999999999998</v>
      </c>
      <c r="O418" s="16">
        <f>IF('WetLitterbags placem_collection'!G125="N.A","",'WetLitterbags placem_collection'!G125)</f>
        <v>42816</v>
      </c>
      <c r="P418" s="195">
        <f>IF(IFERROR(INDEX('Both teabags AfterWet'!$C$3:$C$841,MATCH(H418,'Both teabags AfterWet'!$A$3:$A$841,0)),"")="N.A","",(IFERROR(INDEX('Both teabags AfterWet'!$C$3:$C$841,MATCH(H418,'Both teabags AfterWet'!$A$3:$A$841,0)),"")))</f>
        <v>0.878</v>
      </c>
      <c r="Q418" s="195">
        <f>IFERROR(INDEX('Both teabags AfterWet'!$C$3:$C$841,MATCH(I418,'Both teabags AfterWet'!$A$3:$A$841,0)),"")</f>
        <v>1.5760000000000001</v>
      </c>
      <c r="R418" s="195">
        <f t="shared" si="48"/>
        <v>0.72740000000000005</v>
      </c>
      <c r="S418" s="195">
        <f t="shared" si="48"/>
        <v>1.4254</v>
      </c>
      <c r="T418" s="195">
        <f t="shared" si="49"/>
        <v>0.56604223839637269</v>
      </c>
      <c r="U418" s="195">
        <f t="shared" si="50"/>
        <v>0.37108707315296646</v>
      </c>
      <c r="V418" s="195">
        <f t="shared" si="51"/>
        <v>0.72091847056443459</v>
      </c>
      <c r="W418">
        <f t="shared" si="46"/>
        <v>54</v>
      </c>
      <c r="X418" s="195">
        <f t="shared" si="52"/>
        <v>0.32774080950549556</v>
      </c>
      <c r="Y418" s="195">
        <f t="shared" si="53"/>
        <v>2.5825701862298347E-2</v>
      </c>
      <c r="Z418" s="255" t="str">
        <f>IF(ISNUMBER(SEARCH("C",'WetLitterbags placem_collection'!W345)),"YES","NO")</f>
        <v>NO</v>
      </c>
      <c r="AA418" s="255" t="str">
        <f>IF(ISNUMBER(SEARCH("H", 'WetLitterbags placem_collection'!Y125)),"YES","NO")</f>
        <v>NO</v>
      </c>
      <c r="AB418" s="255" t="str">
        <f>IF(ISNUMBER(SEARCH("R", 'WetLitterbags placem_collection'!WY125)),"YES","NO")</f>
        <v>NO</v>
      </c>
      <c r="AC418" s="255" t="str">
        <f>IF(ISNUMBER(SEARCH("C", 'WetLitterbags placem_collection'!VX125)),"YES","NO")</f>
        <v>NO</v>
      </c>
      <c r="AD418" s="255" t="str">
        <f>IF(ISNUMBER(SEARCH("H", 'WetLitterbags placem_collection'!X125)),"YES","NO")</f>
        <v>NO</v>
      </c>
      <c r="AE418" s="255" t="str">
        <f>IF(ISNUMBER(SEARCH("R", 'WetLitterbags placem_collection'!X125)),"YES","NO")</f>
        <v>NO</v>
      </c>
    </row>
    <row r="419" spans="2:31">
      <c r="B419" t="str">
        <f>'Final data_for_R_analysis_Wetse'!A565</f>
        <v>Wet</v>
      </c>
      <c r="C419" s="263">
        <f>'Final data_for_R_analysis_Wetse'!B565</f>
        <v>124</v>
      </c>
      <c r="D419" t="s">
        <v>3845</v>
      </c>
      <c r="E419" t="s">
        <v>25</v>
      </c>
      <c r="F419" s="387">
        <v>4</v>
      </c>
      <c r="G419" s="16">
        <f>'WetLitterbags placem_collection'!E126</f>
        <v>42762</v>
      </c>
      <c r="H419" s="92" t="str">
        <f>'Final data_for_R_analysis_Wetse'!J565</f>
        <v>G682</v>
      </c>
      <c r="I419" t="str">
        <f>'Final data_for_R_analysis_Wetse'!J785</f>
        <v>R471</v>
      </c>
      <c r="J419">
        <f>IFERROR(INDEX('Green_rooibos initial weight'!$C$5:$C$1749,MATCH(H419, 'Green_rooibos initial weight'!$A$5:$A$1749,0)),"")</f>
        <v>2.0230000000000001</v>
      </c>
      <c r="K419">
        <f>IFERROR(INDEX('Green_rooibos initial weight'!$C$5:$C$1749,MATCH(I419, 'Green_rooibos initial weight'!$A$5:$A$1749,0)),"")</f>
        <v>2.238</v>
      </c>
      <c r="L419" s="195">
        <f t="shared" si="47"/>
        <v>1.7732000000000001</v>
      </c>
      <c r="M419" s="195">
        <f>AVERAGE(Ashed_controlls!$K$2:$K$11)</f>
        <v>5.5147656768714146</v>
      </c>
      <c r="N419" s="195">
        <f t="shared" si="45"/>
        <v>1.9882</v>
      </c>
      <c r="O419" s="16">
        <f>IF('WetLitterbags placem_collection'!G126="N.A","",'WetLitterbags placem_collection'!G126)</f>
        <v>42816</v>
      </c>
      <c r="P419" s="195">
        <f>IF(IFERROR(INDEX('Both teabags AfterWet'!$C$3:$C$841,MATCH(H419,'Both teabags AfterWet'!$A$3:$A$841,0)),"")="N.A","",(IFERROR(INDEX('Both teabags AfterWet'!$C$3:$C$841,MATCH(H419,'Both teabags AfterWet'!$A$3:$A$841,0)),"")))</f>
        <v>0.61199999999999999</v>
      </c>
      <c r="Q419" s="195">
        <f>IFERROR(INDEX('Both teabags AfterWet'!$C$3:$C$841,MATCH(I419,'Both teabags AfterWet'!$A$3:$A$841,0)),"")</f>
        <v>1.518</v>
      </c>
      <c r="R419" s="195">
        <f t="shared" si="48"/>
        <v>0.46139999999999998</v>
      </c>
      <c r="S419" s="195">
        <f t="shared" si="48"/>
        <v>1.3673999999999999</v>
      </c>
      <c r="T419" s="195">
        <f t="shared" si="49"/>
        <v>0.7397924655989172</v>
      </c>
      <c r="U419" s="195">
        <f t="shared" si="50"/>
        <v>0.48499458552328067</v>
      </c>
      <c r="V419" s="195">
        <f t="shared" si="51"/>
        <v>0.68775777084800316</v>
      </c>
      <c r="W419">
        <f t="shared" si="46"/>
        <v>54</v>
      </c>
      <c r="X419" s="195">
        <f t="shared" si="52"/>
        <v>0.12138662042883941</v>
      </c>
      <c r="Y419" s="195">
        <f t="shared" si="53"/>
        <v>1.911627081659514E-2</v>
      </c>
      <c r="Z419" s="255" t="str">
        <f>IF(ISNUMBER(SEARCH("C",'WetLitterbags placem_collection'!W346)),"YES","NO")</f>
        <v>NO</v>
      </c>
      <c r="AA419" s="255" t="str">
        <f>IF(ISNUMBER(SEARCH("H", 'WetLitterbags placem_collection'!Y126)),"YES","NO")</f>
        <v>NO</v>
      </c>
      <c r="AB419" s="255" t="str">
        <f>IF(ISNUMBER(SEARCH("R", 'WetLitterbags placem_collection'!WY126)),"YES","NO")</f>
        <v>NO</v>
      </c>
      <c r="AC419" s="255" t="str">
        <f>IF(ISNUMBER(SEARCH("C", 'WetLitterbags placem_collection'!VX126)),"YES","NO")</f>
        <v>NO</v>
      </c>
      <c r="AD419" s="255" t="str">
        <f>IF(ISNUMBER(SEARCH("H", 'WetLitterbags placem_collection'!X126)),"YES","NO")</f>
        <v>NO</v>
      </c>
      <c r="AE419" s="255" t="str">
        <f>IF(ISNUMBER(SEARCH("R", 'WetLitterbags placem_collection'!X126)),"YES","NO")</f>
        <v>NO</v>
      </c>
    </row>
    <row r="420" spans="2:31">
      <c r="B420" t="str">
        <f>'Final data_for_R_analysis_Wetse'!A566</f>
        <v>Wet</v>
      </c>
      <c r="C420" s="263">
        <f>'Final data_for_R_analysis_Wetse'!B566</f>
        <v>125</v>
      </c>
      <c r="D420" t="s">
        <v>3845</v>
      </c>
      <c r="E420" t="s">
        <v>25</v>
      </c>
      <c r="F420" s="387">
        <v>5</v>
      </c>
      <c r="G420" s="16">
        <f>'WetLitterbags placem_collection'!E127</f>
        <v>42762</v>
      </c>
      <c r="H420" s="92" t="str">
        <f>'Final data_for_R_analysis_Wetse'!J566</f>
        <v>G740</v>
      </c>
      <c r="I420" t="str">
        <f>'Final data_for_R_analysis_Wetse'!J786</f>
        <v>R486</v>
      </c>
      <c r="J420">
        <f>IFERROR(INDEX('Green_rooibos initial weight'!$C$5:$C$1749,MATCH(H420, 'Green_rooibos initial weight'!$A$5:$A$1749,0)),"")</f>
        <v>1.915</v>
      </c>
      <c r="K420">
        <f>IFERROR(INDEX('Green_rooibos initial weight'!$C$5:$C$1749,MATCH(I420, 'Green_rooibos initial weight'!$A$5:$A$1749,0)),"")</f>
        <v>2.218</v>
      </c>
      <c r="L420" s="195">
        <f t="shared" si="47"/>
        <v>1.6652</v>
      </c>
      <c r="M420" s="195">
        <f>AVERAGE(Ashed_controlls!$K$2:$K$11)</f>
        <v>5.5147656768714146</v>
      </c>
      <c r="N420" s="195">
        <f t="shared" si="45"/>
        <v>1.9681999999999999</v>
      </c>
      <c r="O420" s="16">
        <f>IF('WetLitterbags placem_collection'!G127="N.A","",'WetLitterbags placem_collection'!G127)</f>
        <v>42816</v>
      </c>
      <c r="P420" s="195">
        <f>IF(IFERROR(INDEX('Both teabags AfterWet'!$C$3:$C$841,MATCH(H420,'Both teabags AfterWet'!$A$3:$A$841,0)),"")="N.A","",(IFERROR(INDEX('Both teabags AfterWet'!$C$3:$C$841,MATCH(H420,'Both teabags AfterWet'!$A$3:$A$841,0)),"")))</f>
        <v>0.60099999999999998</v>
      </c>
      <c r="Q420" s="195" t="str">
        <f>IFERROR(INDEX('Both teabags AfterWet'!$C$3:$C$841,MATCH(I420,'Both teabags AfterWet'!$A$3:$A$841,0)),"")</f>
        <v/>
      </c>
      <c r="R420" s="195">
        <f t="shared" si="48"/>
        <v>0.45039999999999997</v>
      </c>
      <c r="S420" s="195" t="str">
        <f t="shared" si="48"/>
        <v/>
      </c>
      <c r="T420" s="195">
        <f t="shared" si="49"/>
        <v>0.72952197934182084</v>
      </c>
      <c r="U420" s="195">
        <f t="shared" si="50"/>
        <v>0.47826144013858096</v>
      </c>
      <c r="V420" s="195" t="str">
        <f t="shared" si="51"/>
        <v/>
      </c>
      <c r="W420">
        <f t="shared" si="46"/>
        <v>54</v>
      </c>
      <c r="X420" s="195">
        <f t="shared" si="52"/>
        <v>0.13358434757503457</v>
      </c>
      <c r="Y420" s="195" t="str">
        <f t="shared" si="53"/>
        <v/>
      </c>
      <c r="Z420" s="255" t="str">
        <f>IF(ISNUMBER(SEARCH("C",'WetLitterbags placem_collection'!W347)),"YES","NO")</f>
        <v>NO</v>
      </c>
      <c r="AA420" s="255" t="str">
        <f>IF(ISNUMBER(SEARCH("H", 'WetLitterbags placem_collection'!Y127)),"YES","NO")</f>
        <v>NO</v>
      </c>
      <c r="AB420" s="255" t="str">
        <f>IF(ISNUMBER(SEARCH("R", 'WetLitterbags placem_collection'!WY127)),"YES","NO")</f>
        <v>NO</v>
      </c>
      <c r="AC420" s="255" t="str">
        <f>IF(ISNUMBER(SEARCH("C", 'WetLitterbags placem_collection'!VX127)),"YES","NO")</f>
        <v>NO</v>
      </c>
      <c r="AD420" s="255" t="str">
        <f>IF(ISNUMBER(SEARCH("H", 'WetLitterbags placem_collection'!X127)),"YES","NO")</f>
        <v>NO</v>
      </c>
      <c r="AE420" s="255" t="str">
        <f>IF(ISNUMBER(SEARCH("R", 'WetLitterbags placem_collection'!X127)),"YES","NO")</f>
        <v>YES</v>
      </c>
    </row>
    <row r="421" spans="2:31">
      <c r="B421" t="str">
        <f>'Final data_for_R_analysis_Wetse'!A567</f>
        <v>Wet</v>
      </c>
      <c r="C421" s="263">
        <f>'Final data_for_R_analysis_Wetse'!B567</f>
        <v>126</v>
      </c>
      <c r="D421" t="s">
        <v>3845</v>
      </c>
      <c r="E421" t="s">
        <v>25</v>
      </c>
      <c r="F421" s="387">
        <v>6</v>
      </c>
      <c r="G421" s="16">
        <f>'WetLitterbags placem_collection'!E128</f>
        <v>42762</v>
      </c>
      <c r="H421" s="92" t="str">
        <f>'Final data_for_R_analysis_Wetse'!J567</f>
        <v>G841</v>
      </c>
      <c r="I421" t="str">
        <f>'Final data_for_R_analysis_Wetse'!J787</f>
        <v>R55</v>
      </c>
      <c r="J421">
        <f>IFERROR(INDEX('Green_rooibos initial weight'!$C$5:$C$1749,MATCH(H421, 'Green_rooibos initial weight'!$A$5:$A$1749,0)),"")</f>
        <v>1.96</v>
      </c>
      <c r="K421">
        <f>IFERROR(INDEX('Green_rooibos initial weight'!$C$5:$C$1749,MATCH(I421, 'Green_rooibos initial weight'!$A$5:$A$1749,0)),"")</f>
        <v>2.2010000000000001</v>
      </c>
      <c r="L421" s="195">
        <f t="shared" si="47"/>
        <v>1.7101999999999999</v>
      </c>
      <c r="M421" s="195">
        <f>AVERAGE(Ashed_controlls!$K$2:$K$11)</f>
        <v>5.5147656768714146</v>
      </c>
      <c r="N421" s="195">
        <f t="shared" si="45"/>
        <v>1.9512</v>
      </c>
      <c r="O421" s="16">
        <f>IF('WetLitterbags placem_collection'!G128="N.A","",'WetLitterbags placem_collection'!G128)</f>
        <v>42816</v>
      </c>
      <c r="P421" s="195">
        <f>IF(IFERROR(INDEX('Both teabags AfterWet'!$C$3:$C$841,MATCH(H421,'Both teabags AfterWet'!$A$3:$A$841,0)),"")="N.A","",(IFERROR(INDEX('Both teabags AfterWet'!$C$3:$C$841,MATCH(H421,'Both teabags AfterWet'!$A$3:$A$841,0)),"")))</f>
        <v>0.58499999999999996</v>
      </c>
      <c r="Q421" s="195">
        <f>IFERROR(INDEX('Both teabags AfterWet'!$C$3:$C$841,MATCH(I421,'Both teabags AfterWet'!$A$3:$A$841,0)),"")</f>
        <v>1.4419999999999999</v>
      </c>
      <c r="R421" s="195">
        <f t="shared" si="48"/>
        <v>0.43439999999999995</v>
      </c>
      <c r="S421" s="195">
        <f t="shared" si="48"/>
        <v>1.2913999999999999</v>
      </c>
      <c r="T421" s="195">
        <f t="shared" si="49"/>
        <v>0.74599462051222076</v>
      </c>
      <c r="U421" s="195">
        <f t="shared" si="50"/>
        <v>0.48906060632155096</v>
      </c>
      <c r="V421" s="195">
        <f t="shared" si="51"/>
        <v>0.66184911849118488</v>
      </c>
      <c r="W421">
        <f t="shared" si="46"/>
        <v>54</v>
      </c>
      <c r="X421" s="195">
        <f t="shared" si="52"/>
        <v>0.11402064072182805</v>
      </c>
      <c r="Y421" s="195">
        <f t="shared" si="53"/>
        <v>2.1774159481355325E-2</v>
      </c>
      <c r="Z421" s="255" t="str">
        <f>IF(ISNUMBER(SEARCH("C",'WetLitterbags placem_collection'!W348)),"YES","NO")</f>
        <v>NO</v>
      </c>
      <c r="AA421" s="255" t="str">
        <f>IF(ISNUMBER(SEARCH("H", 'WetLitterbags placem_collection'!Y128)),"YES","NO")</f>
        <v>NO</v>
      </c>
      <c r="AB421" s="255" t="str">
        <f>IF(ISNUMBER(SEARCH("R", 'WetLitterbags placem_collection'!WY128)),"YES","NO")</f>
        <v>NO</v>
      </c>
      <c r="AC421" s="255" t="str">
        <f>IF(ISNUMBER(SEARCH("C", 'WetLitterbags placem_collection'!VX128)),"YES","NO")</f>
        <v>NO</v>
      </c>
      <c r="AD421" s="255" t="str">
        <f>IF(ISNUMBER(SEARCH("H", 'WetLitterbags placem_collection'!X128)),"YES","NO")</f>
        <v>NO</v>
      </c>
      <c r="AE421" s="255" t="str">
        <f>IF(ISNUMBER(SEARCH("R", 'WetLitterbags placem_collection'!X128)),"YES","NO")</f>
        <v>YES</v>
      </c>
    </row>
    <row r="422" spans="2:31">
      <c r="B422" t="str">
        <f>'Final data_for_R_analysis_Wetse'!A568</f>
        <v>Wet</v>
      </c>
      <c r="C422" s="263">
        <f>'Final data_for_R_analysis_Wetse'!B568</f>
        <v>127</v>
      </c>
      <c r="D422" t="s">
        <v>3845</v>
      </c>
      <c r="E422" t="s">
        <v>25</v>
      </c>
      <c r="F422" s="387">
        <v>7</v>
      </c>
      <c r="G422" s="16">
        <f>'WetLitterbags placem_collection'!E129</f>
        <v>42762</v>
      </c>
      <c r="H422" s="92" t="str">
        <f>'Final data_for_R_analysis_Wetse'!J568</f>
        <v>G687</v>
      </c>
      <c r="I422" t="str">
        <f>'Final data_for_R_analysis_Wetse'!J788</f>
        <v>R424</v>
      </c>
      <c r="J422">
        <f>IFERROR(INDEX('Green_rooibos initial weight'!$C$5:$C$1749,MATCH(H422, 'Green_rooibos initial weight'!$A$5:$A$1749,0)),"")</f>
        <v>2.0649999999999999</v>
      </c>
      <c r="K422">
        <f>IFERROR(INDEX('Green_rooibos initial weight'!$C$5:$C$1749,MATCH(I422, 'Green_rooibos initial weight'!$A$5:$A$1749,0)),"")</f>
        <v>2.214</v>
      </c>
      <c r="L422" s="195">
        <f t="shared" si="47"/>
        <v>1.8151999999999999</v>
      </c>
      <c r="M422" s="195">
        <f>AVERAGE(Ashed_controlls!$K$2:$K$11)</f>
        <v>5.5147656768714146</v>
      </c>
      <c r="N422" s="195">
        <f t="shared" si="45"/>
        <v>1.9641999999999999</v>
      </c>
      <c r="O422" s="16">
        <f>IF('WetLitterbags placem_collection'!G129="N.A","",'WetLitterbags placem_collection'!G129)</f>
        <v>42816</v>
      </c>
      <c r="P422" s="195">
        <f>IF(IFERROR(INDEX('Both teabags AfterWet'!$C$3:$C$841,MATCH(H422,'Both teabags AfterWet'!$A$3:$A$841,0)),"")="N.A","",(IFERROR(INDEX('Both teabags AfterWet'!$C$3:$C$841,MATCH(H422,'Both teabags AfterWet'!$A$3:$A$841,0)),"")))</f>
        <v>0.57699999999999996</v>
      </c>
      <c r="Q422" s="195">
        <f>IFERROR(INDEX('Both teabags AfterWet'!$C$3:$C$841,MATCH(I422,'Both teabags AfterWet'!$A$3:$A$841,0)),"")</f>
        <v>1.552</v>
      </c>
      <c r="R422" s="195">
        <f t="shared" si="48"/>
        <v>0.42639999999999995</v>
      </c>
      <c r="S422" s="195">
        <f t="shared" si="48"/>
        <v>1.4014</v>
      </c>
      <c r="T422" s="195">
        <f t="shared" si="49"/>
        <v>0.76509475539885408</v>
      </c>
      <c r="U422" s="195">
        <f t="shared" si="50"/>
        <v>0.50158230995269293</v>
      </c>
      <c r="V422" s="195">
        <f t="shared" si="51"/>
        <v>0.71347113328581613</v>
      </c>
      <c r="W422">
        <f t="shared" si="46"/>
        <v>54</v>
      </c>
      <c r="X422" s="195">
        <f t="shared" si="52"/>
        <v>9.1336395013237426E-2</v>
      </c>
      <c r="Y422" s="195">
        <f t="shared" si="53"/>
        <v>1.5682984278083862E-2</v>
      </c>
      <c r="Z422" s="255" t="str">
        <f>IF(ISNUMBER(SEARCH("C",'WetLitterbags placem_collection'!W349)),"YES","NO")</f>
        <v>NO</v>
      </c>
      <c r="AA422" s="255" t="str">
        <f>IF(ISNUMBER(SEARCH("H", 'WetLitterbags placem_collection'!Y129)),"YES","NO")</f>
        <v>NO</v>
      </c>
      <c r="AB422" s="255" t="str">
        <f>IF(ISNUMBER(SEARCH("R", 'WetLitterbags placem_collection'!WY129)),"YES","NO")</f>
        <v>NO</v>
      </c>
      <c r="AC422" s="255" t="str">
        <f>IF(ISNUMBER(SEARCH("C", 'WetLitterbags placem_collection'!VX129)),"YES","NO")</f>
        <v>NO</v>
      </c>
      <c r="AD422" s="255" t="str">
        <f>IF(ISNUMBER(SEARCH("H", 'WetLitterbags placem_collection'!X129)),"YES","NO")</f>
        <v>NO</v>
      </c>
      <c r="AE422" s="255" t="str">
        <f>IF(ISNUMBER(SEARCH("R", 'WetLitterbags placem_collection'!X129)),"YES","NO")</f>
        <v>YES</v>
      </c>
    </row>
    <row r="423" spans="2:31">
      <c r="B423" t="str">
        <f>'Final data_for_R_analysis_Wetse'!A569</f>
        <v>Wet</v>
      </c>
      <c r="C423" s="263">
        <f>'Final data_for_R_analysis_Wetse'!B569</f>
        <v>128</v>
      </c>
      <c r="D423" t="s">
        <v>3845</v>
      </c>
      <c r="E423" t="s">
        <v>25</v>
      </c>
      <c r="F423" s="387">
        <v>8</v>
      </c>
      <c r="G423" s="16">
        <f>'WetLitterbags placem_collection'!E130</f>
        <v>42762</v>
      </c>
      <c r="H423" s="92" t="str">
        <f>'Final data_for_R_analysis_Wetse'!J569</f>
        <v>G833</v>
      </c>
      <c r="I423" t="str">
        <f>'Final data_for_R_analysis_Wetse'!J789</f>
        <v>R418</v>
      </c>
      <c r="J423">
        <f>IFERROR(INDEX('Green_rooibos initial weight'!$C$5:$C$1749,MATCH(H423, 'Green_rooibos initial weight'!$A$5:$A$1749,0)),"")</f>
        <v>1.964</v>
      </c>
      <c r="K423">
        <f>IFERROR(INDEX('Green_rooibos initial weight'!$C$5:$C$1749,MATCH(I423, 'Green_rooibos initial weight'!$A$5:$A$1749,0)),"")</f>
        <v>2.2029999999999998</v>
      </c>
      <c r="L423" s="195">
        <f t="shared" si="47"/>
        <v>1.7141999999999999</v>
      </c>
      <c r="M423" s="195">
        <f>AVERAGE(Ashed_controlls!$K$2:$K$11)</f>
        <v>5.5147656768714146</v>
      </c>
      <c r="N423" s="195">
        <f t="shared" si="45"/>
        <v>1.9531999999999998</v>
      </c>
      <c r="O423" s="16">
        <f>IF('WetLitterbags placem_collection'!G130="N.A","",'WetLitterbags placem_collection'!G130)</f>
        <v>42816</v>
      </c>
      <c r="P423" s="195">
        <f>IF(IFERROR(INDEX('Both teabags AfterWet'!$C$3:$C$841,MATCH(H423,'Both teabags AfterWet'!$A$3:$A$841,0)),"")="N.A","",(IFERROR(INDEX('Both teabags AfterWet'!$C$3:$C$841,MATCH(H423,'Both teabags AfterWet'!$A$3:$A$841,0)),"")))</f>
        <v>0.57199999999999995</v>
      </c>
      <c r="Q423" s="195">
        <f>IFERROR(INDEX('Both teabags AfterWet'!$C$3:$C$841,MATCH(I423,'Both teabags AfterWet'!$A$3:$A$841,0)),"")</f>
        <v>1.4119999999999999</v>
      </c>
      <c r="R423" s="195">
        <f t="shared" si="48"/>
        <v>0.42139999999999994</v>
      </c>
      <c r="S423" s="195">
        <f t="shared" si="48"/>
        <v>1.2613999999999999</v>
      </c>
      <c r="T423" s="195">
        <f t="shared" si="49"/>
        <v>0.75417104188542761</v>
      </c>
      <c r="U423" s="195">
        <f t="shared" si="50"/>
        <v>0.4944209205709692</v>
      </c>
      <c r="V423" s="195">
        <f t="shared" si="51"/>
        <v>0.64581200081916856</v>
      </c>
      <c r="W423">
        <f t="shared" si="46"/>
        <v>54</v>
      </c>
      <c r="X423" s="195">
        <f t="shared" si="52"/>
        <v>0.10430992650186743</v>
      </c>
      <c r="Y423" s="195">
        <f t="shared" si="53"/>
        <v>2.3334860295377305E-2</v>
      </c>
      <c r="Z423" s="255" t="str">
        <f>IF(ISNUMBER(SEARCH("C",'WetLitterbags placem_collection'!W350)),"YES","NO")</f>
        <v>YES</v>
      </c>
      <c r="AA423" s="255" t="str">
        <f>IF(ISNUMBER(SEARCH("H", 'WetLitterbags placem_collection'!Y130)),"YES","NO")</f>
        <v>NO</v>
      </c>
      <c r="AB423" s="255" t="str">
        <f>IF(ISNUMBER(SEARCH("R", 'WetLitterbags placem_collection'!WY130)),"YES","NO")</f>
        <v>NO</v>
      </c>
      <c r="AC423" s="255" t="str">
        <f>IF(ISNUMBER(SEARCH("C", 'WetLitterbags placem_collection'!VX130)),"YES","NO")</f>
        <v>NO</v>
      </c>
      <c r="AD423" s="255" t="str">
        <f>IF(ISNUMBER(SEARCH("H", 'WetLitterbags placem_collection'!X130)),"YES","NO")</f>
        <v>NO</v>
      </c>
      <c r="AE423" s="255" t="str">
        <f>IF(ISNUMBER(SEARCH("R", 'WetLitterbags placem_collection'!X130)),"YES","NO")</f>
        <v>YES</v>
      </c>
    </row>
    <row r="424" spans="2:31">
      <c r="B424" t="str">
        <f>'Final data_for_R_analysis_Wetse'!A570</f>
        <v>Wet</v>
      </c>
      <c r="C424" s="263">
        <f>'Final data_for_R_analysis_Wetse'!B570</f>
        <v>129</v>
      </c>
      <c r="D424" t="s">
        <v>3846</v>
      </c>
      <c r="E424" t="s">
        <v>25</v>
      </c>
      <c r="F424" s="386">
        <v>1</v>
      </c>
      <c r="G424" s="16">
        <f>'WetLitterbags placem_collection'!E131</f>
        <v>42762</v>
      </c>
      <c r="H424" s="92" t="str">
        <f>'Final data_for_R_analysis_Wetse'!J570</f>
        <v>G888</v>
      </c>
      <c r="I424" t="str">
        <f>'Final data_for_R_analysis_Wetse'!J790</f>
        <v>R520</v>
      </c>
      <c r="J424">
        <f>IFERROR(INDEX('Green_rooibos initial weight'!$C$5:$C$1749,MATCH(H424, 'Green_rooibos initial weight'!$A$5:$A$1749,0)),"")</f>
        <v>2.089</v>
      </c>
      <c r="K424">
        <f>IFERROR(INDEX('Green_rooibos initial weight'!$C$5:$C$1749,MATCH(I424, 'Green_rooibos initial weight'!$A$5:$A$1749,0)),"")</f>
        <v>2.2210000000000001</v>
      </c>
      <c r="L424" s="195">
        <f t="shared" si="47"/>
        <v>1.8391999999999999</v>
      </c>
      <c r="M424" s="195">
        <f>AVERAGE(Ashed_controlls!$K$2:$K$11)</f>
        <v>5.5147656768714146</v>
      </c>
      <c r="N424" s="195">
        <f t="shared" si="45"/>
        <v>1.9712000000000001</v>
      </c>
      <c r="O424" s="16">
        <f>IF('WetLitterbags placem_collection'!G131="N.A","",'WetLitterbags placem_collection'!G131)</f>
        <v>42816</v>
      </c>
      <c r="P424" s="195">
        <f>IF(IFERROR(INDEX('Both teabags AfterWet'!$C$3:$C$841,MATCH(H424,'Both teabags AfterWet'!$A$3:$A$841,0)),"")="N.A","",(IFERROR(INDEX('Both teabags AfterWet'!$C$3:$C$841,MATCH(H424,'Both teabags AfterWet'!$A$3:$A$841,0)),"")))</f>
        <v>0.59440000000000004</v>
      </c>
      <c r="Q424" s="195">
        <f>IFERROR(INDEX('Both teabags AfterWet'!$C$3:$C$841,MATCH(I424,'Both teabags AfterWet'!$A$3:$A$841,0)),"")</f>
        <v>1.5878000000000001</v>
      </c>
      <c r="R424" s="195">
        <f t="shared" si="48"/>
        <v>0.44380000000000003</v>
      </c>
      <c r="S424" s="195">
        <f t="shared" si="48"/>
        <v>1.4372</v>
      </c>
      <c r="T424" s="195">
        <f t="shared" si="49"/>
        <v>0.75869943453675504</v>
      </c>
      <c r="U424" s="195">
        <f t="shared" si="50"/>
        <v>0.49738965304547367</v>
      </c>
      <c r="V424" s="195">
        <f t="shared" si="51"/>
        <v>0.72909902597402598</v>
      </c>
      <c r="W424">
        <f t="shared" si="46"/>
        <v>54</v>
      </c>
      <c r="X424" s="195">
        <f t="shared" si="52"/>
        <v>9.8931787961098472E-2</v>
      </c>
      <c r="Y424" s="195">
        <f t="shared" si="53"/>
        <v>1.4568125326907419E-2</v>
      </c>
      <c r="Z424" s="255" t="str">
        <f>IF(ISNUMBER(SEARCH("C",'WetLitterbags placem_collection'!W351)),"YES","NO")</f>
        <v>NO</v>
      </c>
      <c r="AA424" s="255" t="str">
        <f>IF(ISNUMBER(SEARCH("H", 'WetLitterbags placem_collection'!Y131)),"YES","NO")</f>
        <v>NO</v>
      </c>
      <c r="AB424" s="255" t="str">
        <f>IF(ISNUMBER(SEARCH("R", 'WetLitterbags placem_collection'!WY131)),"YES","NO")</f>
        <v>NO</v>
      </c>
      <c r="AC424" s="255" t="str">
        <f>IF(ISNUMBER(SEARCH("C", 'WetLitterbags placem_collection'!VX131)),"YES","NO")</f>
        <v>NO</v>
      </c>
      <c r="AD424" s="255" t="str">
        <f>IF(ISNUMBER(SEARCH("H", 'WetLitterbags placem_collection'!X131)),"YES","NO")</f>
        <v>NO</v>
      </c>
      <c r="AE424" s="255" t="str">
        <f>IF(ISNUMBER(SEARCH("R", 'WetLitterbags placem_collection'!X131)),"YES","NO")</f>
        <v>YES</v>
      </c>
    </row>
    <row r="425" spans="2:31">
      <c r="B425" t="str">
        <f>'Final data_for_R_analysis_Wetse'!A571</f>
        <v>Wet</v>
      </c>
      <c r="C425" s="263">
        <f>'Final data_for_R_analysis_Wetse'!B571</f>
        <v>130</v>
      </c>
      <c r="D425" t="s">
        <v>3846</v>
      </c>
      <c r="E425" t="s">
        <v>25</v>
      </c>
      <c r="F425" s="386">
        <v>2</v>
      </c>
      <c r="G425" s="16">
        <f>'WetLitterbags placem_collection'!E132</f>
        <v>42762</v>
      </c>
      <c r="H425" s="92" t="str">
        <f>'Final data_for_R_analysis_Wetse'!J571</f>
        <v>G708</v>
      </c>
      <c r="I425" t="str">
        <f>'Final data_for_R_analysis_Wetse'!J791</f>
        <v>R433</v>
      </c>
      <c r="J425">
        <f>IFERROR(INDEX('Green_rooibos initial weight'!$C$5:$C$1749,MATCH(H425, 'Green_rooibos initial weight'!$A$5:$A$1749,0)),"")</f>
        <v>2.0030000000000001</v>
      </c>
      <c r="K425">
        <f>IFERROR(INDEX('Green_rooibos initial weight'!$C$5:$C$1749,MATCH(I425, 'Green_rooibos initial weight'!$A$5:$A$1749,0)),"")</f>
        <v>2.0750000000000002</v>
      </c>
      <c r="L425" s="195">
        <f t="shared" si="47"/>
        <v>1.7532000000000001</v>
      </c>
      <c r="M425" s="195">
        <f>AVERAGE(Ashed_controlls!$K$2:$K$11)</f>
        <v>5.5147656768714146</v>
      </c>
      <c r="N425" s="195">
        <f t="shared" si="45"/>
        <v>1.8252000000000002</v>
      </c>
      <c r="O425" s="16">
        <f>IF('WetLitterbags placem_collection'!G132="N.A","",'WetLitterbags placem_collection'!G132)</f>
        <v>42816</v>
      </c>
      <c r="P425" s="195">
        <f>IF(IFERROR(INDEX('Both teabags AfterWet'!$C$3:$C$841,MATCH(H425,'Both teabags AfterWet'!$A$3:$A$841,0)),"")="N.A","",(IFERROR(INDEX('Both teabags AfterWet'!$C$3:$C$841,MATCH(H425,'Both teabags AfterWet'!$A$3:$A$841,0)),"")))</f>
        <v>0.56599999999999995</v>
      </c>
      <c r="Q425" s="195">
        <f>IFERROR(INDEX('Both teabags AfterWet'!$C$3:$C$841,MATCH(I425,'Both teabags AfterWet'!$A$3:$A$841,0)),"")</f>
        <v>1.5069999999999999</v>
      </c>
      <c r="R425" s="195">
        <f t="shared" si="48"/>
        <v>0.41539999999999994</v>
      </c>
      <c r="S425" s="195">
        <f t="shared" si="48"/>
        <v>1.3563999999999998</v>
      </c>
      <c r="T425" s="195">
        <f t="shared" si="49"/>
        <v>0.76306182979694281</v>
      </c>
      <c r="U425" s="195">
        <f t="shared" si="50"/>
        <v>0.50024956062697445</v>
      </c>
      <c r="V425" s="195">
        <f t="shared" si="51"/>
        <v>0.74315143545912765</v>
      </c>
      <c r="W425">
        <f t="shared" si="46"/>
        <v>54</v>
      </c>
      <c r="X425" s="195">
        <f t="shared" si="52"/>
        <v>9.3750795965626077E-2</v>
      </c>
      <c r="Y425" s="195">
        <f t="shared" si="53"/>
        <v>1.3340681893114411E-2</v>
      </c>
      <c r="Z425" s="255" t="str">
        <f>IF(ISNUMBER(SEARCH("C",'WetLitterbags placem_collection'!W352)),"YES","NO")</f>
        <v>NO</v>
      </c>
      <c r="AA425" s="255" t="str">
        <f>IF(ISNUMBER(SEARCH("H", 'WetLitterbags placem_collection'!Y132)),"YES","NO")</f>
        <v>NO</v>
      </c>
      <c r="AB425" s="255" t="str">
        <f>IF(ISNUMBER(SEARCH("R", 'WetLitterbags placem_collection'!WY132)),"YES","NO")</f>
        <v>NO</v>
      </c>
      <c r="AC425" s="255" t="str">
        <f>IF(ISNUMBER(SEARCH("C", 'WetLitterbags placem_collection'!VX132)),"YES","NO")</f>
        <v>NO</v>
      </c>
      <c r="AD425" s="255" t="str">
        <f>IF(ISNUMBER(SEARCH("H", 'WetLitterbags placem_collection'!X132)),"YES","NO")</f>
        <v>NO</v>
      </c>
      <c r="AE425" s="255" t="str">
        <f>IF(ISNUMBER(SEARCH("R", 'WetLitterbags placem_collection'!X132)),"YES","NO")</f>
        <v>NO</v>
      </c>
    </row>
    <row r="426" spans="2:31">
      <c r="B426" t="str">
        <f>'Final data_for_R_analysis_Wetse'!A572</f>
        <v>Wet</v>
      </c>
      <c r="C426" s="263">
        <f>'Final data_for_R_analysis_Wetse'!B572</f>
        <v>131</v>
      </c>
      <c r="D426" t="s">
        <v>3846</v>
      </c>
      <c r="E426" t="s">
        <v>25</v>
      </c>
      <c r="F426" s="386">
        <v>3</v>
      </c>
      <c r="G426" s="16">
        <f>'WetLitterbags placem_collection'!E133</f>
        <v>42762</v>
      </c>
      <c r="H426" s="92" t="str">
        <f>'Final data_for_R_analysis_Wetse'!J572</f>
        <v>G768</v>
      </c>
      <c r="I426" t="str">
        <f>'Final data_for_R_analysis_Wetse'!J792</f>
        <v>R592</v>
      </c>
      <c r="J426">
        <f>IFERROR(INDEX('Green_rooibos initial weight'!$C$5:$C$1749,MATCH(H426, 'Green_rooibos initial weight'!$A$5:$A$1749,0)),"")</f>
        <v>2.0089999999999999</v>
      </c>
      <c r="K426">
        <f>IFERROR(INDEX('Green_rooibos initial weight'!$C$5:$C$1749,MATCH(I426, 'Green_rooibos initial weight'!$A$5:$A$1749,0)),"")</f>
        <v>2.2549999999999999</v>
      </c>
      <c r="L426" s="195">
        <f t="shared" si="47"/>
        <v>1.7591999999999999</v>
      </c>
      <c r="M426" s="195">
        <f>AVERAGE(Ashed_controlls!$K$2:$K$11)</f>
        <v>5.5147656768714146</v>
      </c>
      <c r="N426" s="195">
        <f t="shared" si="45"/>
        <v>2.0051999999999999</v>
      </c>
      <c r="O426" s="16">
        <f>IF('WetLitterbags placem_collection'!G133="N.A","",'WetLitterbags placem_collection'!G133)</f>
        <v>42816</v>
      </c>
      <c r="P426" s="195">
        <f>IF(IFERROR(INDEX('Both teabags AfterWet'!$C$3:$C$841,MATCH(H426,'Both teabags AfterWet'!$A$3:$A$841,0)),"")="N.A","",(IFERROR(INDEX('Both teabags AfterWet'!$C$3:$C$841,MATCH(H426,'Both teabags AfterWet'!$A$3:$A$841,0)),"")))</f>
        <v>0.62819999999999998</v>
      </c>
      <c r="Q426" s="195">
        <f>IFERROR(INDEX('Both teabags AfterWet'!$C$3:$C$841,MATCH(I426,'Both teabags AfterWet'!$A$3:$A$841,0)),"")</f>
        <v>1.6073999999999999</v>
      </c>
      <c r="R426" s="195">
        <f t="shared" si="48"/>
        <v>0.47759999999999997</v>
      </c>
      <c r="S426" s="195">
        <f t="shared" si="48"/>
        <v>1.4567999999999999</v>
      </c>
      <c r="T426" s="195">
        <f t="shared" si="49"/>
        <v>0.72851296043656211</v>
      </c>
      <c r="U426" s="195">
        <f t="shared" si="50"/>
        <v>0.47759994555936147</v>
      </c>
      <c r="V426" s="195">
        <f t="shared" si="51"/>
        <v>0.72651107121484138</v>
      </c>
      <c r="W426">
        <f t="shared" si="46"/>
        <v>54</v>
      </c>
      <c r="X426" s="195">
        <f t="shared" si="52"/>
        <v>0.13478270731999742</v>
      </c>
      <c r="Y426" s="195">
        <f t="shared" si="53"/>
        <v>1.5742766711032228E-2</v>
      </c>
      <c r="Z426" s="255" t="str">
        <f>IF(ISNUMBER(SEARCH("C",'WetLitterbags placem_collection'!W353)),"YES","NO")</f>
        <v>NO</v>
      </c>
      <c r="AA426" s="255" t="str">
        <f>IF(ISNUMBER(SEARCH("H", 'WetLitterbags placem_collection'!Y133)),"YES","NO")</f>
        <v>NO</v>
      </c>
      <c r="AB426" s="255" t="str">
        <f>IF(ISNUMBER(SEARCH("R", 'WetLitterbags placem_collection'!WY133)),"YES","NO")</f>
        <v>NO</v>
      </c>
      <c r="AC426" s="255" t="str">
        <f>IF(ISNUMBER(SEARCH("C", 'WetLitterbags placem_collection'!VX133)),"YES","NO")</f>
        <v>NO</v>
      </c>
      <c r="AD426" s="255" t="str">
        <f>IF(ISNUMBER(SEARCH("H", 'WetLitterbags placem_collection'!X133)),"YES","NO")</f>
        <v>NO</v>
      </c>
      <c r="AE426" s="255" t="str">
        <f>IF(ISNUMBER(SEARCH("R", 'WetLitterbags placem_collection'!X133)),"YES","NO")</f>
        <v>NO</v>
      </c>
    </row>
    <row r="427" spans="2:31">
      <c r="B427" t="str">
        <f>'Final data_for_R_analysis_Wetse'!A573</f>
        <v>Wet</v>
      </c>
      <c r="C427" s="263">
        <f>'Final data_for_R_analysis_Wetse'!B573</f>
        <v>132</v>
      </c>
      <c r="D427" t="s">
        <v>3846</v>
      </c>
      <c r="E427" t="s">
        <v>25</v>
      </c>
      <c r="F427" s="387">
        <v>4</v>
      </c>
      <c r="G427" s="16">
        <f>'WetLitterbags placem_collection'!E134</f>
        <v>42762</v>
      </c>
      <c r="H427" s="92" t="str">
        <f>'Final data_for_R_analysis_Wetse'!J573</f>
        <v>G779</v>
      </c>
      <c r="I427" t="str">
        <f>'Final data_for_R_analysis_Wetse'!J793</f>
        <v>R477</v>
      </c>
      <c r="J427">
        <f>IFERROR(INDEX('Green_rooibos initial weight'!$C$5:$C$1749,MATCH(H427, 'Green_rooibos initial weight'!$A$5:$A$1749,0)),"")</f>
        <v>2.0110000000000001</v>
      </c>
      <c r="K427">
        <f>IFERROR(INDEX('Green_rooibos initial weight'!$C$5:$C$1749,MATCH(I427, 'Green_rooibos initial weight'!$A$5:$A$1749,0)),"")</f>
        <v>2.169</v>
      </c>
      <c r="L427" s="195">
        <f t="shared" si="47"/>
        <v>1.7612000000000001</v>
      </c>
      <c r="M427" s="195">
        <f>AVERAGE(Ashed_controlls!$K$2:$K$11)</f>
        <v>5.5147656768714146</v>
      </c>
      <c r="N427" s="195">
        <f t="shared" si="45"/>
        <v>1.9192</v>
      </c>
      <c r="O427" s="16">
        <f>IF('WetLitterbags placem_collection'!G134="N.A","",'WetLitterbags placem_collection'!G134)</f>
        <v>42816</v>
      </c>
      <c r="P427" s="195">
        <f>IF(IFERROR(INDEX('Both teabags AfterWet'!$C$3:$C$841,MATCH(H427,'Both teabags AfterWet'!$A$3:$A$841,0)),"")="N.A","",(IFERROR(INDEX('Both teabags AfterWet'!$C$3:$C$841,MATCH(H427,'Both teabags AfterWet'!$A$3:$A$841,0)),"")))</f>
        <v>0.63490000000000002</v>
      </c>
      <c r="Q427" s="195">
        <f>IFERROR(INDEX('Both teabags AfterWet'!$C$3:$C$841,MATCH(I427,'Both teabags AfterWet'!$A$3:$A$841,0)),"")</f>
        <v>1.573</v>
      </c>
      <c r="R427" s="195">
        <f t="shared" si="48"/>
        <v>0.48430000000000001</v>
      </c>
      <c r="S427" s="195">
        <f t="shared" si="48"/>
        <v>1.4223999999999999</v>
      </c>
      <c r="T427" s="195">
        <f t="shared" si="49"/>
        <v>0.72501703384056326</v>
      </c>
      <c r="U427" s="195">
        <f t="shared" si="50"/>
        <v>0.47530807919238832</v>
      </c>
      <c r="V427" s="195">
        <f t="shared" si="51"/>
        <v>0.7411421425593997</v>
      </c>
      <c r="W427">
        <f t="shared" si="46"/>
        <v>54</v>
      </c>
      <c r="X427" s="195">
        <f t="shared" si="52"/>
        <v>0.1389346391442241</v>
      </c>
      <c r="Y427" s="195">
        <f t="shared" si="53"/>
        <v>1.4566714503410979E-2</v>
      </c>
      <c r="Z427" s="255" t="str">
        <f>IF(ISNUMBER(SEARCH("C",'WetLitterbags placem_collection'!W354)),"YES","NO")</f>
        <v>NO</v>
      </c>
      <c r="AA427" s="255" t="str">
        <f>IF(ISNUMBER(SEARCH("H", 'WetLitterbags placem_collection'!Y134)),"YES","NO")</f>
        <v>NO</v>
      </c>
      <c r="AB427" s="255" t="str">
        <f>IF(ISNUMBER(SEARCH("R", 'WetLitterbags placem_collection'!WY134)),"YES","NO")</f>
        <v>NO</v>
      </c>
      <c r="AC427" s="255" t="str">
        <f>IF(ISNUMBER(SEARCH("C", 'WetLitterbags placem_collection'!VX134)),"YES","NO")</f>
        <v>NO</v>
      </c>
      <c r="AD427" s="255" t="str">
        <f>IF(ISNUMBER(SEARCH("H", 'WetLitterbags placem_collection'!X134)),"YES","NO")</f>
        <v>NO</v>
      </c>
      <c r="AE427" s="255" t="str">
        <f>IF(ISNUMBER(SEARCH("R", 'WetLitterbags placem_collection'!X134)),"YES","NO")</f>
        <v>NO</v>
      </c>
    </row>
    <row r="428" spans="2:31">
      <c r="B428" t="str">
        <f>'Final data_for_R_analysis_Wetse'!A574</f>
        <v>Wet</v>
      </c>
      <c r="C428" s="263">
        <f>'Final data_for_R_analysis_Wetse'!B574</f>
        <v>133</v>
      </c>
      <c r="D428" t="s">
        <v>3846</v>
      </c>
      <c r="E428" t="s">
        <v>25</v>
      </c>
      <c r="F428" s="387">
        <v>5</v>
      </c>
      <c r="G428" s="16">
        <f>'WetLitterbags placem_collection'!E135</f>
        <v>42762</v>
      </c>
      <c r="H428" s="92" t="str">
        <f>'Final data_for_R_analysis_Wetse'!J574</f>
        <v>G799</v>
      </c>
      <c r="I428" t="str">
        <f>'Final data_for_R_analysis_Wetse'!J794</f>
        <v>R597</v>
      </c>
      <c r="J428">
        <f>IFERROR(INDEX('Green_rooibos initial weight'!$C$5:$C$1749,MATCH(H428, 'Green_rooibos initial weight'!$A$5:$A$1749,0)),"")</f>
        <v>2.093</v>
      </c>
      <c r="K428">
        <f>IFERROR(INDEX('Green_rooibos initial weight'!$C$5:$C$1749,MATCH(I428, 'Green_rooibos initial weight'!$A$5:$A$1749,0)),"")</f>
        <v>2.165</v>
      </c>
      <c r="L428" s="195">
        <f t="shared" si="47"/>
        <v>1.8431999999999999</v>
      </c>
      <c r="M428" s="195">
        <f>AVERAGE(Ashed_controlls!$K$2:$K$11)</f>
        <v>5.5147656768714146</v>
      </c>
      <c r="N428" s="195">
        <f t="shared" si="45"/>
        <v>1.9152</v>
      </c>
      <c r="O428" s="16">
        <f>IF('WetLitterbags placem_collection'!G135="N.A","",'WetLitterbags placem_collection'!G135)</f>
        <v>42816</v>
      </c>
      <c r="P428" s="195">
        <f>IF(IFERROR(INDEX('Both teabags AfterWet'!$C$3:$C$841,MATCH(H428,'Both teabags AfterWet'!$A$3:$A$841,0)),"")="N.A","",(IFERROR(INDEX('Both teabags AfterWet'!$C$3:$C$841,MATCH(H428,'Both teabags AfterWet'!$A$3:$A$841,0)),"")))</f>
        <v>0.63380000000000003</v>
      </c>
      <c r="Q428" s="195">
        <f>IFERROR(INDEX('Both teabags AfterWet'!$C$3:$C$841,MATCH(I428,'Both teabags AfterWet'!$A$3:$A$841,0)),"")</f>
        <v>1.5714999999999999</v>
      </c>
      <c r="R428" s="195">
        <f t="shared" si="48"/>
        <v>0.48320000000000002</v>
      </c>
      <c r="S428" s="195">
        <f t="shared" si="48"/>
        <v>1.4208999999999998</v>
      </c>
      <c r="T428" s="195">
        <f t="shared" si="49"/>
        <v>0.73784722222222221</v>
      </c>
      <c r="U428" s="195">
        <f t="shared" si="50"/>
        <v>0.48371931908155191</v>
      </c>
      <c r="V428" s="195">
        <f t="shared" si="51"/>
        <v>0.7419068504594819</v>
      </c>
      <c r="W428">
        <f t="shared" si="46"/>
        <v>54</v>
      </c>
      <c r="X428" s="195">
        <f t="shared" si="52"/>
        <v>0.12369688572182636</v>
      </c>
      <c r="Y428" s="195">
        <f t="shared" si="53"/>
        <v>1.4122690863154668E-2</v>
      </c>
      <c r="Z428" s="255" t="str">
        <f>IF(ISNUMBER(SEARCH("C",'WetLitterbags placem_collection'!W355)),"YES","NO")</f>
        <v>YES</v>
      </c>
      <c r="AA428" s="255" t="str">
        <f>IF(ISNUMBER(SEARCH("H", 'WetLitterbags placem_collection'!Y135)),"YES","NO")</f>
        <v>NO</v>
      </c>
      <c r="AB428" s="255" t="str">
        <f>IF(ISNUMBER(SEARCH("R", 'WetLitterbags placem_collection'!WY135)),"YES","NO")</f>
        <v>NO</v>
      </c>
      <c r="AC428" s="255" t="str">
        <f>IF(ISNUMBER(SEARCH("C", 'WetLitterbags placem_collection'!VX135)),"YES","NO")</f>
        <v>NO</v>
      </c>
      <c r="AD428" s="255" t="str">
        <f>IF(ISNUMBER(SEARCH("H", 'WetLitterbags placem_collection'!X135)),"YES","NO")</f>
        <v>NO</v>
      </c>
      <c r="AE428" s="255" t="str">
        <f>IF(ISNUMBER(SEARCH("R", 'WetLitterbags placem_collection'!X135)),"YES","NO")</f>
        <v>NO</v>
      </c>
    </row>
    <row r="429" spans="2:31">
      <c r="B429" t="str">
        <f>'Final data_for_R_analysis_Wetse'!A575</f>
        <v>Wet</v>
      </c>
      <c r="C429" s="263">
        <f>'Final data_for_R_analysis_Wetse'!B575</f>
        <v>134</v>
      </c>
      <c r="D429" t="s">
        <v>3846</v>
      </c>
      <c r="E429" t="s">
        <v>25</v>
      </c>
      <c r="F429" s="387">
        <v>6</v>
      </c>
      <c r="G429" s="16">
        <f>'WetLitterbags placem_collection'!E136</f>
        <v>42762</v>
      </c>
      <c r="H429" s="92" t="str">
        <f>'Final data_for_R_analysis_Wetse'!J575</f>
        <v>G820</v>
      </c>
      <c r="I429" t="str">
        <f>'Final data_for_R_analysis_Wetse'!J795</f>
        <v>R467</v>
      </c>
      <c r="J429">
        <f>IFERROR(INDEX('Green_rooibos initial weight'!$C$5:$C$1749,MATCH(H429, 'Green_rooibos initial weight'!$A$5:$A$1749,0)),"")</f>
        <v>1.927</v>
      </c>
      <c r="K429">
        <f>IFERROR(INDEX('Green_rooibos initial weight'!$C$5:$C$1749,MATCH(I429, 'Green_rooibos initial weight'!$A$5:$A$1749,0)),"")</f>
        <v>2.3140000000000001</v>
      </c>
      <c r="L429" s="195">
        <f t="shared" si="47"/>
        <v>1.6772</v>
      </c>
      <c r="M429" s="195">
        <f>AVERAGE(Ashed_controlls!$K$2:$K$11)</f>
        <v>5.5147656768714146</v>
      </c>
      <c r="N429" s="195">
        <f t="shared" si="45"/>
        <v>2.0642</v>
      </c>
      <c r="O429" s="16">
        <f>IF('WetLitterbags placem_collection'!G136="N.A","",'WetLitterbags placem_collection'!G136)</f>
        <v>42816</v>
      </c>
      <c r="P429" s="195">
        <f>IF(IFERROR(INDEX('Both teabags AfterWet'!$C$3:$C$841,MATCH(H429,'Both teabags AfterWet'!$A$3:$A$841,0)),"")="N.A","",(IFERROR(INDEX('Both teabags AfterWet'!$C$3:$C$841,MATCH(H429,'Both teabags AfterWet'!$A$3:$A$841,0)),"")))</f>
        <v>0.53400000000000003</v>
      </c>
      <c r="Q429" s="195">
        <f>IFERROR(INDEX('Both teabags AfterWet'!$C$3:$C$841,MATCH(I429,'Both teabags AfterWet'!$A$3:$A$841,0)),"")</f>
        <v>1.591</v>
      </c>
      <c r="R429" s="195">
        <f t="shared" si="48"/>
        <v>0.38340000000000002</v>
      </c>
      <c r="S429" s="195">
        <f t="shared" si="48"/>
        <v>1.4403999999999999</v>
      </c>
      <c r="T429" s="195">
        <f t="shared" si="49"/>
        <v>0.77140472215597422</v>
      </c>
      <c r="U429" s="195">
        <f t="shared" si="50"/>
        <v>0.50571901024952237</v>
      </c>
      <c r="V429" s="195">
        <f t="shared" si="51"/>
        <v>0.69780060071698469</v>
      </c>
      <c r="W429">
        <f t="shared" si="46"/>
        <v>54</v>
      </c>
      <c r="X429" s="195">
        <f t="shared" si="52"/>
        <v>8.3842372736372628E-2</v>
      </c>
      <c r="Y429" s="195">
        <f t="shared" si="53"/>
        <v>1.6855904272312667E-2</v>
      </c>
      <c r="Z429" s="255" t="str">
        <f>IF(ISNUMBER(SEARCH("C",'WetLitterbags placem_collection'!W356)),"YES","NO")</f>
        <v>NO</v>
      </c>
      <c r="AA429" s="255" t="str">
        <f>IF(ISNUMBER(SEARCH("H", 'WetLitterbags placem_collection'!Y136)),"YES","NO")</f>
        <v>NO</v>
      </c>
      <c r="AB429" s="255" t="str">
        <f>IF(ISNUMBER(SEARCH("R", 'WetLitterbags placem_collection'!WY136)),"YES","NO")</f>
        <v>NO</v>
      </c>
      <c r="AC429" s="255" t="str">
        <f>IF(ISNUMBER(SEARCH("C", 'WetLitterbags placem_collection'!VX136)),"YES","NO")</f>
        <v>NO</v>
      </c>
      <c r="AD429" s="255" t="str">
        <f>IF(ISNUMBER(SEARCH("H", 'WetLitterbags placem_collection'!X136)),"YES","NO")</f>
        <v>NO</v>
      </c>
      <c r="AE429" s="255" t="str">
        <f>IF(ISNUMBER(SEARCH("R", 'WetLitterbags placem_collection'!X136)),"YES","NO")</f>
        <v>NO</v>
      </c>
    </row>
    <row r="430" spans="2:31">
      <c r="B430" t="str">
        <f>'Final data_for_R_analysis_Wetse'!A576</f>
        <v>Wet</v>
      </c>
      <c r="C430" s="263">
        <f>'Final data_for_R_analysis_Wetse'!B576</f>
        <v>135</v>
      </c>
      <c r="D430" t="s">
        <v>3846</v>
      </c>
      <c r="E430" t="s">
        <v>25</v>
      </c>
      <c r="F430" s="387">
        <v>7</v>
      </c>
      <c r="G430" s="16">
        <f>'WetLitterbags placem_collection'!E137</f>
        <v>42762</v>
      </c>
      <c r="H430" s="92" t="str">
        <f>'Final data_for_R_analysis_Wetse'!J576</f>
        <v>G842</v>
      </c>
      <c r="I430" t="str">
        <f>'Final data_for_R_analysis_Wetse'!J796</f>
        <v>R596</v>
      </c>
      <c r="J430">
        <f>IFERROR(INDEX('Green_rooibos initial weight'!$C$5:$C$1749,MATCH(H430, 'Green_rooibos initial weight'!$A$5:$A$1749,0)),"")</f>
        <v>1.9670000000000001</v>
      </c>
      <c r="K430">
        <f>IFERROR(INDEX('Green_rooibos initial weight'!$C$5:$C$1749,MATCH(I430, 'Green_rooibos initial weight'!$A$5:$A$1749,0)),"")</f>
        <v>2.1749999999999998</v>
      </c>
      <c r="L430" s="195">
        <f t="shared" si="47"/>
        <v>1.7172000000000001</v>
      </c>
      <c r="M430" s="195">
        <f>AVERAGE(Ashed_controlls!$K$2:$K$11)</f>
        <v>5.5147656768714146</v>
      </c>
      <c r="N430" s="195">
        <f t="shared" si="45"/>
        <v>1.9251999999999998</v>
      </c>
      <c r="O430" s="16">
        <f>IF('WetLitterbags placem_collection'!G137="N.A","",'WetLitterbags placem_collection'!G137)</f>
        <v>42816</v>
      </c>
      <c r="P430" s="195">
        <f>IF(IFERROR(INDEX('Both teabags AfterWet'!$C$3:$C$841,MATCH(H430,'Both teabags AfterWet'!$A$3:$A$841,0)),"")="N.A","",(IFERROR(INDEX('Both teabags AfterWet'!$C$3:$C$841,MATCH(H430,'Both teabags AfterWet'!$A$3:$A$841,0)),"")))</f>
        <v>0.56399999999999995</v>
      </c>
      <c r="Q430" s="195">
        <f>IFERROR(INDEX('Both teabags AfterWet'!$C$3:$C$841,MATCH(I430,'Both teabags AfterWet'!$A$3:$A$841,0)),"")</f>
        <v>1.512</v>
      </c>
      <c r="R430" s="195">
        <f t="shared" si="48"/>
        <v>0.41339999999999993</v>
      </c>
      <c r="S430" s="195">
        <f t="shared" si="48"/>
        <v>1.3613999999999999</v>
      </c>
      <c r="T430" s="195">
        <f t="shared" si="49"/>
        <v>0.7592592592592593</v>
      </c>
      <c r="U430" s="195">
        <f t="shared" si="50"/>
        <v>0.49775666402744795</v>
      </c>
      <c r="V430" s="195">
        <f t="shared" si="51"/>
        <v>0.70714730937045511</v>
      </c>
      <c r="W430">
        <f t="shared" si="46"/>
        <v>54</v>
      </c>
      <c r="X430" s="195">
        <f t="shared" si="52"/>
        <v>9.8266912993753786E-2</v>
      </c>
      <c r="Y430" s="195">
        <f t="shared" si="53"/>
        <v>1.6436479337256518E-2</v>
      </c>
      <c r="Z430" s="255" t="str">
        <f>IF(ISNUMBER(SEARCH("C",'WetLitterbags placem_collection'!W357)),"YES","NO")</f>
        <v>NO</v>
      </c>
      <c r="AA430" s="255" t="str">
        <f>IF(ISNUMBER(SEARCH("H", 'WetLitterbags placem_collection'!Y137)),"YES","NO")</f>
        <v>NO</v>
      </c>
      <c r="AB430" s="255" t="str">
        <f>IF(ISNUMBER(SEARCH("R", 'WetLitterbags placem_collection'!WY137)),"YES","NO")</f>
        <v>NO</v>
      </c>
      <c r="AC430" s="255" t="str">
        <f>IF(ISNUMBER(SEARCH("C", 'WetLitterbags placem_collection'!VX137)),"YES","NO")</f>
        <v>NO</v>
      </c>
      <c r="AD430" s="255" t="str">
        <f>IF(ISNUMBER(SEARCH("H", 'WetLitterbags placem_collection'!X137)),"YES","NO")</f>
        <v>NO</v>
      </c>
      <c r="AE430" s="255" t="str">
        <f>IF(ISNUMBER(SEARCH("R", 'WetLitterbags placem_collection'!X137)),"YES","NO")</f>
        <v>NO</v>
      </c>
    </row>
    <row r="431" spans="2:31">
      <c r="B431" t="str">
        <f>'Final data_for_R_analysis_Wetse'!A577</f>
        <v>Wet</v>
      </c>
      <c r="C431" s="263">
        <f>'Final data_for_R_analysis_Wetse'!B577</f>
        <v>136</v>
      </c>
      <c r="D431" t="s">
        <v>3846</v>
      </c>
      <c r="E431" t="s">
        <v>25</v>
      </c>
      <c r="F431" s="387">
        <v>8</v>
      </c>
      <c r="G431" s="16">
        <f>'WetLitterbags placem_collection'!E138</f>
        <v>42762</v>
      </c>
      <c r="H431" s="92" t="str">
        <f>'Final data_for_R_analysis_Wetse'!J577</f>
        <v>G747</v>
      </c>
      <c r="I431" t="str">
        <f>'Final data_for_R_analysis_Wetse'!J797</f>
        <v>R543</v>
      </c>
      <c r="J431">
        <f>IFERROR(INDEX('Green_rooibos initial weight'!$C$5:$C$1749,MATCH(H431, 'Green_rooibos initial weight'!$A$5:$A$1749,0)),"")</f>
        <v>2.044</v>
      </c>
      <c r="K431">
        <f>IFERROR(INDEX('Green_rooibos initial weight'!$C$5:$C$1749,MATCH(I431, 'Green_rooibos initial weight'!$A$5:$A$1749,0)),"")</f>
        <v>2.2730000000000001</v>
      </c>
      <c r="L431" s="195">
        <f t="shared" si="47"/>
        <v>1.7942</v>
      </c>
      <c r="M431" s="195">
        <f>AVERAGE(Ashed_controlls!$K$2:$K$11)</f>
        <v>5.5147656768714146</v>
      </c>
      <c r="N431" s="195">
        <f t="shared" si="45"/>
        <v>2.0232000000000001</v>
      </c>
      <c r="O431" s="16">
        <f>IF('WetLitterbags placem_collection'!G138="N.A","",'WetLitterbags placem_collection'!G138)</f>
        <v>42816</v>
      </c>
      <c r="P431" s="195">
        <f>IF(IFERROR(INDEX('Both teabags AfterWet'!$C$3:$C$841,MATCH(H431,'Both teabags AfterWet'!$A$3:$A$841,0)),"")="N.A","",(IFERROR(INDEX('Both teabags AfterWet'!$C$3:$C$841,MATCH(H431,'Both teabags AfterWet'!$A$3:$A$841,0)),"")))</f>
        <v>0.59630000000000005</v>
      </c>
      <c r="Q431" s="195">
        <f>IFERROR(INDEX('Both teabags AfterWet'!$C$3:$C$841,MATCH(I431,'Both teabags AfterWet'!$A$3:$A$841,0)),"")</f>
        <v>1.5604</v>
      </c>
      <c r="R431" s="195">
        <f t="shared" si="48"/>
        <v>0.44570000000000004</v>
      </c>
      <c r="S431" s="195">
        <f t="shared" si="48"/>
        <v>1.4097999999999999</v>
      </c>
      <c r="T431" s="195">
        <f t="shared" si="49"/>
        <v>0.75158845167762789</v>
      </c>
      <c r="U431" s="195">
        <f t="shared" si="50"/>
        <v>0.49272782105231666</v>
      </c>
      <c r="V431" s="195">
        <f t="shared" si="51"/>
        <v>0.69681692368525106</v>
      </c>
      <c r="W431">
        <f t="shared" si="46"/>
        <v>54</v>
      </c>
      <c r="X431" s="195">
        <f t="shared" si="52"/>
        <v>0.10737713577478869</v>
      </c>
      <c r="Y431" s="195">
        <f t="shared" si="53"/>
        <v>1.7691329959885146E-2</v>
      </c>
      <c r="Z431" s="255" t="str">
        <f>IF(ISNUMBER(SEARCH("C",'WetLitterbags placem_collection'!W358)),"YES","NO")</f>
        <v>NO</v>
      </c>
      <c r="AA431" s="255" t="str">
        <f>IF(ISNUMBER(SEARCH("H", 'WetLitterbags placem_collection'!Y138)),"YES","NO")</f>
        <v>NO</v>
      </c>
      <c r="AB431" s="255" t="str">
        <f>IF(ISNUMBER(SEARCH("R", 'WetLitterbags placem_collection'!WY138)),"YES","NO")</f>
        <v>NO</v>
      </c>
      <c r="AC431" s="255" t="str">
        <f>IF(ISNUMBER(SEARCH("C", 'WetLitterbags placem_collection'!VX138)),"YES","NO")</f>
        <v>NO</v>
      </c>
      <c r="AD431" s="255" t="str">
        <f>IF(ISNUMBER(SEARCH("H", 'WetLitterbags placem_collection'!X138)),"YES","NO")</f>
        <v>NO</v>
      </c>
      <c r="AE431" s="255" t="str">
        <f>IF(ISNUMBER(SEARCH("R", 'WetLitterbags placem_collection'!X138)),"YES","NO")</f>
        <v>YES</v>
      </c>
    </row>
    <row r="432" spans="2:31">
      <c r="B432" t="str">
        <f>'Final data_for_R_analysis_Wetse'!A578</f>
        <v>Wet</v>
      </c>
      <c r="C432" s="263">
        <f>'Final data_for_R_analysis_Wetse'!B578</f>
        <v>137</v>
      </c>
      <c r="D432" t="s">
        <v>3848</v>
      </c>
      <c r="E432" t="s">
        <v>25</v>
      </c>
      <c r="F432" s="386">
        <v>1</v>
      </c>
      <c r="G432" s="16">
        <f>'WetLitterbags placem_collection'!E139</f>
        <v>42762</v>
      </c>
      <c r="H432" s="92" t="str">
        <f>'Final data_for_R_analysis_Wetse'!J578</f>
        <v>G857</v>
      </c>
      <c r="I432" t="str">
        <f>'Final data_for_R_analysis_Wetse'!J798</f>
        <v>R483</v>
      </c>
      <c r="J432">
        <f>IFERROR(INDEX('Green_rooibos initial weight'!$C$5:$C$1749,MATCH(H432, 'Green_rooibos initial weight'!$A$5:$A$1749,0)),"")</f>
        <v>1.927</v>
      </c>
      <c r="K432">
        <f>IFERROR(INDEX('Green_rooibos initial weight'!$C$5:$C$1749,MATCH(I432, 'Green_rooibos initial weight'!$A$5:$A$1749,0)),"")</f>
        <v>2.1970000000000001</v>
      </c>
      <c r="L432" s="195">
        <f t="shared" si="47"/>
        <v>1.6772</v>
      </c>
      <c r="M432" s="195">
        <f>AVERAGE(Ashed_controlls!$K$2:$K$11)</f>
        <v>5.5147656768714146</v>
      </c>
      <c r="N432" s="195">
        <f t="shared" si="45"/>
        <v>1.9472</v>
      </c>
      <c r="O432" s="16">
        <f>IF('WetLitterbags placem_collection'!G139="N.A","",'WetLitterbags placem_collection'!G139)</f>
        <v>42816</v>
      </c>
      <c r="P432" s="195">
        <f>IF(IFERROR(INDEX('Both teabags AfterWet'!$C$3:$C$841,MATCH(H432,'Both teabags AfterWet'!$A$3:$A$841,0)),"")="N.A","",(IFERROR(INDEX('Both teabags AfterWet'!$C$3:$C$841,MATCH(H432,'Both teabags AfterWet'!$A$3:$A$841,0)),"")))</f>
        <v>0.6</v>
      </c>
      <c r="Q432" s="195">
        <f>IFERROR(INDEX('Both teabags AfterWet'!$C$3:$C$841,MATCH(I432,'Both teabags AfterWet'!$A$3:$A$841,0)),"")</f>
        <v>1.778</v>
      </c>
      <c r="R432" s="195">
        <f t="shared" si="48"/>
        <v>0.44939999999999997</v>
      </c>
      <c r="S432" s="195">
        <f t="shared" si="48"/>
        <v>1.6274</v>
      </c>
      <c r="T432" s="195">
        <f t="shared" si="49"/>
        <v>0.73205342237061766</v>
      </c>
      <c r="U432" s="195">
        <f t="shared" si="50"/>
        <v>0.47992100849000119</v>
      </c>
      <c r="V432" s="195">
        <f t="shared" si="51"/>
        <v>0.83576417419884963</v>
      </c>
      <c r="W432">
        <f t="shared" si="46"/>
        <v>54</v>
      </c>
      <c r="X432" s="195">
        <f t="shared" si="52"/>
        <v>0.13057788317028773</v>
      </c>
      <c r="Y432" s="195">
        <f t="shared" si="53"/>
        <v>7.7569641673095194E-3</v>
      </c>
      <c r="Z432" s="255" t="str">
        <f>IF(ISNUMBER(SEARCH("C",'WetLitterbags placem_collection'!W359)),"YES","NO")</f>
        <v>NO</v>
      </c>
      <c r="AA432" s="255" t="str">
        <f>IF(ISNUMBER(SEARCH("H", 'WetLitterbags placem_collection'!Y139)),"YES","NO")</f>
        <v>NO</v>
      </c>
      <c r="AB432" s="255" t="str">
        <f>IF(ISNUMBER(SEARCH("R", 'WetLitterbags placem_collection'!WY139)),"YES","NO")</f>
        <v>NO</v>
      </c>
      <c r="AC432" s="255" t="str">
        <f>IF(ISNUMBER(SEARCH("C", 'WetLitterbags placem_collection'!VX139)),"YES","NO")</f>
        <v>NO</v>
      </c>
      <c r="AD432" s="255" t="str">
        <f>IF(ISNUMBER(SEARCH("H", 'WetLitterbags placem_collection'!X139)),"YES","NO")</f>
        <v>NO</v>
      </c>
      <c r="AE432" s="255" t="str">
        <f>IF(ISNUMBER(SEARCH("R", 'WetLitterbags placem_collection'!X139)),"YES","NO")</f>
        <v>NO</v>
      </c>
    </row>
    <row r="433" spans="2:31">
      <c r="B433" t="str">
        <f>'Final data_for_R_analysis_Wetse'!A579</f>
        <v>Wet</v>
      </c>
      <c r="C433" s="263">
        <f>'Final data_for_R_analysis_Wetse'!B579</f>
        <v>138</v>
      </c>
      <c r="D433" t="s">
        <v>3848</v>
      </c>
      <c r="E433" t="s">
        <v>25</v>
      </c>
      <c r="F433" s="386">
        <v>2</v>
      </c>
      <c r="G433" s="16">
        <f>'WetLitterbags placem_collection'!E140</f>
        <v>42762</v>
      </c>
      <c r="H433" s="92" t="str">
        <f>'Final data_for_R_analysis_Wetse'!J579</f>
        <v>G623</v>
      </c>
      <c r="I433" t="str">
        <f>'Final data_for_R_analysis_Wetse'!J799</f>
        <v>R21</v>
      </c>
      <c r="J433">
        <f>IFERROR(INDEX('Green_rooibos initial weight'!$C$5:$C$1749,MATCH(H433, 'Green_rooibos initial weight'!$A$5:$A$1749,0)),"")</f>
        <v>2.1040000000000001</v>
      </c>
      <c r="K433">
        <f>IFERROR(INDEX('Green_rooibos initial weight'!$C$5:$C$1749,MATCH(I433, 'Green_rooibos initial weight'!$A$5:$A$1749,0)),"")</f>
        <v>2.0249999999999999</v>
      </c>
      <c r="L433" s="195">
        <f t="shared" si="47"/>
        <v>1.8542000000000001</v>
      </c>
      <c r="M433" s="195">
        <f>AVERAGE(Ashed_controlls!$K$2:$K$11)</f>
        <v>5.5147656768714146</v>
      </c>
      <c r="N433" s="195">
        <f t="shared" si="45"/>
        <v>1.7751999999999999</v>
      </c>
      <c r="O433" s="16">
        <f>IF('WetLitterbags placem_collection'!G140="N.A","",'WetLitterbags placem_collection'!G140)</f>
        <v>42816</v>
      </c>
      <c r="P433" s="195">
        <f>IF(IFERROR(INDEX('Both teabags AfterWet'!$C$3:$C$841,MATCH(H433,'Both teabags AfterWet'!$A$3:$A$841,0)),"")="N.A","",(IFERROR(INDEX('Both teabags AfterWet'!$C$3:$C$841,MATCH(H433,'Both teabags AfterWet'!$A$3:$A$841,0)),"")))</f>
        <v>0.64800000000000002</v>
      </c>
      <c r="Q433" s="195">
        <f>IFERROR(INDEX('Both teabags AfterWet'!$C$3:$C$841,MATCH(I433,'Both teabags AfterWet'!$A$3:$A$841,0)),"")</f>
        <v>1.522</v>
      </c>
      <c r="R433" s="195">
        <f t="shared" si="48"/>
        <v>0.49740000000000001</v>
      </c>
      <c r="S433" s="195">
        <f t="shared" si="48"/>
        <v>1.3714</v>
      </c>
      <c r="T433" s="195">
        <f t="shared" si="49"/>
        <v>0.73174414841980373</v>
      </c>
      <c r="U433" s="195">
        <f t="shared" si="50"/>
        <v>0.47971825407094026</v>
      </c>
      <c r="V433" s="195">
        <f t="shared" si="51"/>
        <v>0.77253267237494372</v>
      </c>
      <c r="W433">
        <f t="shared" si="46"/>
        <v>54</v>
      </c>
      <c r="X433" s="195">
        <f t="shared" si="52"/>
        <v>0.1309451919004706</v>
      </c>
      <c r="Y433" s="195">
        <f t="shared" si="53"/>
        <v>1.1903233868994691E-2</v>
      </c>
      <c r="Z433" s="255" t="str">
        <f>IF(ISNUMBER(SEARCH("C",'WetLitterbags placem_collection'!W360)),"YES","NO")</f>
        <v>NO</v>
      </c>
      <c r="AA433" s="255" t="str">
        <f>IF(ISNUMBER(SEARCH("H", 'WetLitterbags placem_collection'!Y140)),"YES","NO")</f>
        <v>NO</v>
      </c>
      <c r="AB433" s="255" t="str">
        <f>IF(ISNUMBER(SEARCH("R", 'WetLitterbags placem_collection'!WY140)),"YES","NO")</f>
        <v>NO</v>
      </c>
      <c r="AC433" s="255" t="str">
        <f>IF(ISNUMBER(SEARCH("C", 'WetLitterbags placem_collection'!VX140)),"YES","NO")</f>
        <v>NO</v>
      </c>
      <c r="AD433" s="255" t="str">
        <f>IF(ISNUMBER(SEARCH("H", 'WetLitterbags placem_collection'!X140)),"YES","NO")</f>
        <v>NO</v>
      </c>
      <c r="AE433" s="255" t="str">
        <f>IF(ISNUMBER(SEARCH("R", 'WetLitterbags placem_collection'!X140)),"YES","NO")</f>
        <v>YES</v>
      </c>
    </row>
    <row r="434" spans="2:31">
      <c r="B434" t="str">
        <f>'Final data_for_R_analysis_Wetse'!A580</f>
        <v>Wet</v>
      </c>
      <c r="C434" s="263">
        <f>'Final data_for_R_analysis_Wetse'!B580</f>
        <v>139</v>
      </c>
      <c r="D434" t="s">
        <v>3848</v>
      </c>
      <c r="E434" t="s">
        <v>25</v>
      </c>
      <c r="F434" s="386">
        <v>3</v>
      </c>
      <c r="G434" s="16">
        <f>'WetLitterbags placem_collection'!E141</f>
        <v>42762</v>
      </c>
      <c r="H434" s="92" t="str">
        <f>'Final data_for_R_analysis_Wetse'!J580</f>
        <v>G880</v>
      </c>
      <c r="I434" t="str">
        <f>'Final data_for_R_analysis_Wetse'!J800</f>
        <v>R538</v>
      </c>
      <c r="J434">
        <f>IFERROR(INDEX('Green_rooibos initial weight'!$C$5:$C$1749,MATCH(H434, 'Green_rooibos initial weight'!$A$5:$A$1749,0)),"")</f>
        <v>2.1030000000000002</v>
      </c>
      <c r="K434">
        <f>IFERROR(INDEX('Green_rooibos initial weight'!$C$5:$C$1749,MATCH(I434, 'Green_rooibos initial weight'!$A$5:$A$1749,0)),"")</f>
        <v>2.2000000000000002</v>
      </c>
      <c r="L434" s="195">
        <f t="shared" si="47"/>
        <v>1.8532000000000002</v>
      </c>
      <c r="M434" s="195">
        <f>AVERAGE(Ashed_controlls!$K$2:$K$11)</f>
        <v>5.5147656768714146</v>
      </c>
      <c r="N434" s="195">
        <f t="shared" si="45"/>
        <v>1.9502000000000002</v>
      </c>
      <c r="O434" s="16">
        <f>IF('WetLitterbags placem_collection'!G141="N.A","",'WetLitterbags placem_collection'!G141)</f>
        <v>42816</v>
      </c>
      <c r="P434" s="195">
        <f>IF(IFERROR(INDEX('Both teabags AfterWet'!$C$3:$C$841,MATCH(H434,'Both teabags AfterWet'!$A$3:$A$841,0)),"")="N.A","",(IFERROR(INDEX('Both teabags AfterWet'!$C$3:$C$841,MATCH(H434,'Both teabags AfterWet'!$A$3:$A$841,0)),"")))</f>
        <v>0.73599999999999999</v>
      </c>
      <c r="Q434" s="195">
        <f>IFERROR(INDEX('Both teabags AfterWet'!$C$3:$C$841,MATCH(I434,'Both teabags AfterWet'!$A$3:$A$841,0)),"")</f>
        <v>1.415</v>
      </c>
      <c r="R434" s="195">
        <f t="shared" si="48"/>
        <v>0.58539999999999992</v>
      </c>
      <c r="S434" s="195">
        <f t="shared" si="48"/>
        <v>1.2644</v>
      </c>
      <c r="T434" s="195">
        <f t="shared" si="49"/>
        <v>0.68411396503345578</v>
      </c>
      <c r="U434" s="195">
        <f t="shared" si="50"/>
        <v>0.44849276567513968</v>
      </c>
      <c r="V434" s="195">
        <f t="shared" si="51"/>
        <v>0.6483437596143985</v>
      </c>
      <c r="W434">
        <f t="shared" si="46"/>
        <v>54</v>
      </c>
      <c r="X434" s="195">
        <f t="shared" si="52"/>
        <v>0.1875131056609789</v>
      </c>
      <c r="Y434" s="195">
        <f t="shared" si="53"/>
        <v>2.838645001556955E-2</v>
      </c>
      <c r="Z434" s="255" t="str">
        <f>IF(ISNUMBER(SEARCH("C",'WetLitterbags placem_collection'!W361)),"YES","NO")</f>
        <v>NO</v>
      </c>
      <c r="AA434" s="255" t="str">
        <f>IF(ISNUMBER(SEARCH("H", 'WetLitterbags placem_collection'!Y141)),"YES","NO")</f>
        <v>NO</v>
      </c>
      <c r="AB434" s="255" t="str">
        <f>IF(ISNUMBER(SEARCH("R", 'WetLitterbags placem_collection'!WY141)),"YES","NO")</f>
        <v>NO</v>
      </c>
      <c r="AC434" s="255" t="str">
        <f>IF(ISNUMBER(SEARCH("C", 'WetLitterbags placem_collection'!VX141)),"YES","NO")</f>
        <v>NO</v>
      </c>
      <c r="AD434" s="255" t="str">
        <f>IF(ISNUMBER(SEARCH("H", 'WetLitterbags placem_collection'!X141)),"YES","NO")</f>
        <v>NO</v>
      </c>
      <c r="AE434" s="255" t="str">
        <f>IF(ISNUMBER(SEARCH("R", 'WetLitterbags placem_collection'!X141)),"YES","NO")</f>
        <v>YES</v>
      </c>
    </row>
    <row r="435" spans="2:31">
      <c r="B435" t="str">
        <f>'Final data_for_R_analysis_Wetse'!A581</f>
        <v>Wet</v>
      </c>
      <c r="C435" s="263">
        <f>'Final data_for_R_analysis_Wetse'!B581</f>
        <v>140</v>
      </c>
      <c r="D435" t="s">
        <v>3848</v>
      </c>
      <c r="E435" t="s">
        <v>25</v>
      </c>
      <c r="F435" s="387">
        <v>4</v>
      </c>
      <c r="G435" s="16">
        <f>'WetLitterbags placem_collection'!E142</f>
        <v>42762</v>
      </c>
      <c r="H435" s="92" t="str">
        <f>'Final data_for_R_analysis_Wetse'!J581</f>
        <v>G706</v>
      </c>
      <c r="I435" t="str">
        <f>'Final data_for_R_analysis_Wetse'!J801</f>
        <v>R559</v>
      </c>
      <c r="J435">
        <f>IFERROR(INDEX('Green_rooibos initial weight'!$C$5:$C$1749,MATCH(H435, 'Green_rooibos initial weight'!$A$5:$A$1749,0)),"")</f>
        <v>1.9450000000000001</v>
      </c>
      <c r="K435">
        <f>IFERROR(INDEX('Green_rooibos initial weight'!$C$5:$C$1749,MATCH(I435, 'Green_rooibos initial weight'!$A$5:$A$1749,0)),"")</f>
        <v>2.161</v>
      </c>
      <c r="L435" s="195">
        <f t="shared" si="47"/>
        <v>1.6952</v>
      </c>
      <c r="M435" s="195">
        <f>AVERAGE(Ashed_controlls!$K$2:$K$11)</f>
        <v>5.5147656768714146</v>
      </c>
      <c r="N435" s="195">
        <f t="shared" si="45"/>
        <v>1.9112</v>
      </c>
      <c r="O435" s="16">
        <f>IF('WetLitterbags placem_collection'!G142="N.A","",'WetLitterbags placem_collection'!G142)</f>
        <v>42816</v>
      </c>
      <c r="P435" s="195">
        <f>IF(IFERROR(INDEX('Both teabags AfterWet'!$C$3:$C$841,MATCH(H435,'Both teabags AfterWet'!$A$3:$A$841,0)),"")="N.A","",(IFERROR(INDEX('Both teabags AfterWet'!$C$3:$C$841,MATCH(H435,'Both teabags AfterWet'!$A$3:$A$841,0)),"")))</f>
        <v>0.60780000000000001</v>
      </c>
      <c r="Q435" s="195">
        <f>IFERROR(INDEX('Both teabags AfterWet'!$C$3:$C$841,MATCH(I435,'Both teabags AfterWet'!$A$3:$A$841,0)),"")</f>
        <v>1.6634</v>
      </c>
      <c r="R435" s="195">
        <f t="shared" si="48"/>
        <v>0.4572</v>
      </c>
      <c r="S435" s="195">
        <f t="shared" si="48"/>
        <v>1.5127999999999999</v>
      </c>
      <c r="T435" s="195">
        <f t="shared" si="49"/>
        <v>0.73029731005191123</v>
      </c>
      <c r="U435" s="195">
        <f t="shared" si="50"/>
        <v>0.47876973295564734</v>
      </c>
      <c r="V435" s="195">
        <f t="shared" si="51"/>
        <v>0.79154457932189193</v>
      </c>
      <c r="W435">
        <f t="shared" si="46"/>
        <v>54</v>
      </c>
      <c r="X435" s="195">
        <f t="shared" si="52"/>
        <v>0.13266352725426211</v>
      </c>
      <c r="Y435" s="195">
        <f t="shared" si="53"/>
        <v>1.0585821404153662E-2</v>
      </c>
      <c r="Z435" s="255" t="str">
        <f>IF(ISNUMBER(SEARCH("C",'WetLitterbags placem_collection'!W362)),"YES","NO")</f>
        <v>NO</v>
      </c>
      <c r="AA435" s="255" t="str">
        <f>IF(ISNUMBER(SEARCH("H", 'WetLitterbags placem_collection'!Y142)),"YES","NO")</f>
        <v>NO</v>
      </c>
      <c r="AB435" s="255" t="str">
        <f>IF(ISNUMBER(SEARCH("R", 'WetLitterbags placem_collection'!WY142)),"YES","NO")</f>
        <v>NO</v>
      </c>
      <c r="AC435" s="255" t="str">
        <f>IF(ISNUMBER(SEARCH("C", 'WetLitterbags placem_collection'!VX142)),"YES","NO")</f>
        <v>NO</v>
      </c>
      <c r="AD435" s="255" t="str">
        <f>IF(ISNUMBER(SEARCH("H", 'WetLitterbags placem_collection'!X142)),"YES","NO")</f>
        <v>NO</v>
      </c>
      <c r="AE435" s="255" t="str">
        <f>IF(ISNUMBER(SEARCH("R", 'WetLitterbags placem_collection'!X142)),"YES","NO")</f>
        <v>NO</v>
      </c>
    </row>
    <row r="436" spans="2:31">
      <c r="B436" t="str">
        <f>'Final data_for_R_analysis_Wetse'!A582</f>
        <v>Wet</v>
      </c>
      <c r="C436" s="263">
        <f>'Final data_for_R_analysis_Wetse'!B582</f>
        <v>141</v>
      </c>
      <c r="D436" t="s">
        <v>3848</v>
      </c>
      <c r="E436" t="s">
        <v>25</v>
      </c>
      <c r="F436" s="387">
        <v>5</v>
      </c>
      <c r="G436" s="16">
        <f>'WetLitterbags placem_collection'!E143</f>
        <v>42762</v>
      </c>
      <c r="H436" s="92" t="str">
        <f>'Final data_for_R_analysis_Wetse'!J582</f>
        <v>G775</v>
      </c>
      <c r="I436" t="str">
        <f>'Final data_for_R_analysis_Wetse'!J802</f>
        <v>R465</v>
      </c>
      <c r="J436">
        <f>IFERROR(INDEX('Green_rooibos initial weight'!$C$5:$C$1749,MATCH(H436, 'Green_rooibos initial weight'!$A$5:$A$1749,0)),"")</f>
        <v>2.1389999999999998</v>
      </c>
      <c r="K436">
        <f>IFERROR(INDEX('Green_rooibos initial weight'!$C$5:$C$1749,MATCH(I436, 'Green_rooibos initial weight'!$A$5:$A$1749,0)),"")</f>
        <v>2.206</v>
      </c>
      <c r="L436" s="195">
        <f t="shared" si="47"/>
        <v>1.8891999999999998</v>
      </c>
      <c r="M436" s="195">
        <f>AVERAGE(Ashed_controlls!$K$2:$K$11)</f>
        <v>5.5147656768714146</v>
      </c>
      <c r="N436" s="195">
        <f t="shared" si="45"/>
        <v>1.9561999999999999</v>
      </c>
      <c r="O436" s="16">
        <f>IF('WetLitterbags placem_collection'!G143="N.A","",'WetLitterbags placem_collection'!G143)</f>
        <v>42816</v>
      </c>
      <c r="P436" s="195">
        <f>IF(IFERROR(INDEX('Both teabags AfterWet'!$C$3:$C$841,MATCH(H436,'Both teabags AfterWet'!$A$3:$A$841,0)),"")="N.A","",(IFERROR(INDEX('Both teabags AfterWet'!$C$3:$C$841,MATCH(H436,'Both teabags AfterWet'!$A$3:$A$841,0)),"")))</f>
        <v>0.69099999999999995</v>
      </c>
      <c r="Q436" s="195">
        <f>IFERROR(INDEX('Both teabags AfterWet'!$C$3:$C$841,MATCH(I436,'Both teabags AfterWet'!$A$3:$A$841,0)),"")</f>
        <v>1.6759999999999999</v>
      </c>
      <c r="R436" s="195">
        <f t="shared" si="48"/>
        <v>0.54039999999999999</v>
      </c>
      <c r="S436" s="195">
        <f t="shared" si="48"/>
        <v>1.5253999999999999</v>
      </c>
      <c r="T436" s="195">
        <f t="shared" si="49"/>
        <v>0.71395299597713313</v>
      </c>
      <c r="U436" s="195">
        <f t="shared" si="50"/>
        <v>0.46805469569997332</v>
      </c>
      <c r="V436" s="195">
        <f t="shared" si="51"/>
        <v>0.77977711890399748</v>
      </c>
      <c r="W436">
        <f t="shared" si="46"/>
        <v>54</v>
      </c>
      <c r="X436" s="195">
        <f t="shared" si="52"/>
        <v>0.15207482663048322</v>
      </c>
      <c r="Y436" s="195">
        <f t="shared" si="53"/>
        <v>1.1774718723263489E-2</v>
      </c>
      <c r="Z436" s="255" t="str">
        <f>IF(ISNUMBER(SEARCH("C",'WetLitterbags placem_collection'!W363)),"YES","NO")</f>
        <v>NO</v>
      </c>
      <c r="AA436" s="255" t="str">
        <f>IF(ISNUMBER(SEARCH("H", 'WetLitterbags placem_collection'!Y143)),"YES","NO")</f>
        <v>NO</v>
      </c>
      <c r="AB436" s="255" t="str">
        <f>IF(ISNUMBER(SEARCH("R", 'WetLitterbags placem_collection'!WY143)),"YES","NO")</f>
        <v>NO</v>
      </c>
      <c r="AC436" s="255" t="str">
        <f>IF(ISNUMBER(SEARCH("C", 'WetLitterbags placem_collection'!VX143)),"YES","NO")</f>
        <v>NO</v>
      </c>
      <c r="AD436" s="255" t="str">
        <f>IF(ISNUMBER(SEARCH("H", 'WetLitterbags placem_collection'!X143)),"YES","NO")</f>
        <v>NO</v>
      </c>
      <c r="AE436" s="255" t="str">
        <f>IF(ISNUMBER(SEARCH("R", 'WetLitterbags placem_collection'!X143)),"YES","NO")</f>
        <v>NO</v>
      </c>
    </row>
    <row r="437" spans="2:31">
      <c r="B437" t="str">
        <f>'Final data_for_R_analysis_Wetse'!A583</f>
        <v>Wet</v>
      </c>
      <c r="C437" s="263">
        <f>'Final data_for_R_analysis_Wetse'!B583</f>
        <v>142</v>
      </c>
      <c r="D437" t="s">
        <v>3848</v>
      </c>
      <c r="E437" t="s">
        <v>25</v>
      </c>
      <c r="F437" s="387">
        <v>6</v>
      </c>
      <c r="G437" s="16">
        <f>'WetLitterbags placem_collection'!E144</f>
        <v>42762</v>
      </c>
      <c r="H437" s="92" t="str">
        <f>'Final data_for_R_analysis_Wetse'!J583</f>
        <v>G850</v>
      </c>
      <c r="I437" t="str">
        <f>'Final data_for_R_analysis_Wetse'!J803</f>
        <v>R503</v>
      </c>
      <c r="J437">
        <f>IFERROR(INDEX('Green_rooibos initial weight'!$C$5:$C$1749,MATCH(H437, 'Green_rooibos initial weight'!$A$5:$A$1749,0)),"")</f>
        <v>2.0379999999999998</v>
      </c>
      <c r="K437">
        <f>IFERROR(INDEX('Green_rooibos initial weight'!$C$5:$C$1749,MATCH(I437, 'Green_rooibos initial weight'!$A$5:$A$1749,0)),"")</f>
        <v>2.1709999999999998</v>
      </c>
      <c r="L437" s="195">
        <f t="shared" si="47"/>
        <v>1.7881999999999998</v>
      </c>
      <c r="M437" s="195">
        <f>AVERAGE(Ashed_controlls!$K$2:$K$11)</f>
        <v>5.5147656768714146</v>
      </c>
      <c r="N437" s="195">
        <f t="shared" si="45"/>
        <v>1.9211999999999998</v>
      </c>
      <c r="O437" s="16">
        <f>IF('WetLitterbags placem_collection'!G144="N.A","",'WetLitterbags placem_collection'!G144)</f>
        <v>42816</v>
      </c>
      <c r="P437" s="195">
        <f>IF(IFERROR(INDEX('Both teabags AfterWet'!$C$3:$C$841,MATCH(H437,'Both teabags AfterWet'!$A$3:$A$841,0)),"")="N.A","",(IFERROR(INDEX('Both teabags AfterWet'!$C$3:$C$841,MATCH(H437,'Both teabags AfterWet'!$A$3:$A$841,0)),"")))</f>
        <v>0.78500000000000003</v>
      </c>
      <c r="Q437" s="195" t="str">
        <f>IFERROR(INDEX('Both teabags AfterWet'!$C$3:$C$841,MATCH(I437,'Both teabags AfterWet'!$A$3:$A$841,0)),"")</f>
        <v/>
      </c>
      <c r="R437" s="195">
        <f t="shared" si="48"/>
        <v>0.63440000000000007</v>
      </c>
      <c r="S437" s="195" t="str">
        <f t="shared" si="48"/>
        <v/>
      </c>
      <c r="T437" s="195">
        <f t="shared" si="49"/>
        <v>0.64522984006263273</v>
      </c>
      <c r="U437" s="195">
        <f t="shared" si="50"/>
        <v>0.42300103529046712</v>
      </c>
      <c r="V437" s="195" t="str">
        <f t="shared" si="51"/>
        <v/>
      </c>
      <c r="W437">
        <f t="shared" si="46"/>
        <v>54</v>
      </c>
      <c r="X437" s="195">
        <f t="shared" si="52"/>
        <v>0.23369377664770452</v>
      </c>
      <c r="Y437" s="195" t="str">
        <f t="shared" si="53"/>
        <v/>
      </c>
      <c r="Z437" s="255" t="str">
        <f>IF(ISNUMBER(SEARCH("C",'WetLitterbags placem_collection'!W364)),"YES","NO")</f>
        <v>NO</v>
      </c>
      <c r="AA437" s="255" t="str">
        <f>IF(ISNUMBER(SEARCH("H", 'WetLitterbags placem_collection'!Y144)),"YES","NO")</f>
        <v>NO</v>
      </c>
      <c r="AB437" s="255" t="str">
        <f>IF(ISNUMBER(SEARCH("R", 'WetLitterbags placem_collection'!WY144)),"YES","NO")</f>
        <v>NO</v>
      </c>
      <c r="AC437" s="255" t="str">
        <f>IF(ISNUMBER(SEARCH("C", 'WetLitterbags placem_collection'!VX144)),"YES","NO")</f>
        <v>NO</v>
      </c>
      <c r="AD437" s="255" t="str">
        <f>IF(ISNUMBER(SEARCH("H", 'WetLitterbags placem_collection'!X144)),"YES","NO")</f>
        <v>NO</v>
      </c>
      <c r="AE437" s="255" t="str">
        <f>IF(ISNUMBER(SEARCH("R", 'WetLitterbags placem_collection'!X144)),"YES","NO")</f>
        <v>NO</v>
      </c>
    </row>
    <row r="438" spans="2:31">
      <c r="B438" t="str">
        <f>'Final data_for_R_analysis_Wetse'!A584</f>
        <v>Wet</v>
      </c>
      <c r="C438" s="263">
        <f>'Final data_for_R_analysis_Wetse'!B584</f>
        <v>143</v>
      </c>
      <c r="D438" t="s">
        <v>3848</v>
      </c>
      <c r="E438" t="s">
        <v>25</v>
      </c>
      <c r="F438" s="387">
        <v>7</v>
      </c>
      <c r="G438" s="16">
        <f>'WetLitterbags placem_collection'!E145</f>
        <v>42762</v>
      </c>
      <c r="H438" s="92" t="str">
        <f>'Final data_for_R_analysis_Wetse'!J584</f>
        <v>G697</v>
      </c>
      <c r="I438" t="str">
        <f>'Final data_for_R_analysis_Wetse'!J804</f>
        <v>R567</v>
      </c>
      <c r="J438">
        <f>IFERROR(INDEX('Green_rooibos initial weight'!$C$5:$C$1749,MATCH(H438, 'Green_rooibos initial weight'!$A$5:$A$1749,0)),"")</f>
        <v>2.1110000000000002</v>
      </c>
      <c r="K438">
        <f>IFERROR(INDEX('Green_rooibos initial weight'!$C$5:$C$1749,MATCH(I438, 'Green_rooibos initial weight'!$A$5:$A$1749,0)),"")</f>
        <v>2.097</v>
      </c>
      <c r="L438" s="195">
        <f t="shared" si="47"/>
        <v>1.8612000000000002</v>
      </c>
      <c r="M438" s="195">
        <f>AVERAGE(Ashed_controlls!$K$2:$K$11)</f>
        <v>5.5147656768714146</v>
      </c>
      <c r="N438" s="195">
        <f t="shared" si="45"/>
        <v>1.8472</v>
      </c>
      <c r="O438" s="16">
        <f>IF('WetLitterbags placem_collection'!G145="N.A","",'WetLitterbags placem_collection'!G145)</f>
        <v>42816</v>
      </c>
      <c r="P438" s="195">
        <f>IF(IFERROR(INDEX('Both teabags AfterWet'!$C$3:$C$841,MATCH(H438,'Both teabags AfterWet'!$A$3:$A$841,0)),"")="N.A","",(IFERROR(INDEX('Both teabags AfterWet'!$C$3:$C$841,MATCH(H438,'Both teabags AfterWet'!$A$3:$A$841,0)),"")))</f>
        <v>0.67500000000000004</v>
      </c>
      <c r="Q438" s="195">
        <f>IFERROR(INDEX('Both teabags AfterWet'!$C$3:$C$841,MATCH(I438,'Both teabags AfterWet'!$A$3:$A$841,0)),"")</f>
        <v>1.5908</v>
      </c>
      <c r="R438" s="195">
        <f t="shared" si="48"/>
        <v>0.52439999999999998</v>
      </c>
      <c r="S438" s="195">
        <f t="shared" si="48"/>
        <v>1.4401999999999999</v>
      </c>
      <c r="T438" s="195">
        <f t="shared" si="49"/>
        <v>0.71824629271437779</v>
      </c>
      <c r="U438" s="195">
        <f t="shared" si="50"/>
        <v>0.4708693035372169</v>
      </c>
      <c r="V438" s="195">
        <f t="shared" si="51"/>
        <v>0.77966652230402766</v>
      </c>
      <c r="W438">
        <f t="shared" si="46"/>
        <v>54</v>
      </c>
      <c r="X438" s="195">
        <f t="shared" si="52"/>
        <v>0.14697589938909994</v>
      </c>
      <c r="Y438" s="195">
        <f t="shared" si="53"/>
        <v>1.1684789642562268E-2</v>
      </c>
      <c r="Z438" s="255" t="str">
        <f>IF(ISNUMBER(SEARCH("C",'WetLitterbags placem_collection'!W365)),"YES","NO")</f>
        <v>NO</v>
      </c>
      <c r="AA438" s="255" t="str">
        <f>IF(ISNUMBER(SEARCH("H", 'WetLitterbags placem_collection'!Y145)),"YES","NO")</f>
        <v>NO</v>
      </c>
      <c r="AB438" s="255" t="str">
        <f>IF(ISNUMBER(SEARCH("R", 'WetLitterbags placem_collection'!WY145)),"YES","NO")</f>
        <v>NO</v>
      </c>
      <c r="AC438" s="255" t="str">
        <f>IF(ISNUMBER(SEARCH("C", 'WetLitterbags placem_collection'!VX145)),"YES","NO")</f>
        <v>NO</v>
      </c>
      <c r="AD438" s="255" t="str">
        <f>IF(ISNUMBER(SEARCH("H", 'WetLitterbags placem_collection'!X145)),"YES","NO")</f>
        <v>NO</v>
      </c>
      <c r="AE438" s="255" t="str">
        <f>IF(ISNUMBER(SEARCH("R", 'WetLitterbags placem_collection'!X145)),"YES","NO")</f>
        <v>YES</v>
      </c>
    </row>
    <row r="439" spans="2:31">
      <c r="B439" t="str">
        <f>'Final data_for_R_analysis_Wetse'!A585</f>
        <v>Wet</v>
      </c>
      <c r="C439" s="263">
        <f>'Final data_for_R_analysis_Wetse'!B585</f>
        <v>144</v>
      </c>
      <c r="D439" t="s">
        <v>3848</v>
      </c>
      <c r="E439" t="s">
        <v>25</v>
      </c>
      <c r="F439" s="387">
        <v>8</v>
      </c>
      <c r="G439" s="16">
        <f>'WetLitterbags placem_collection'!E146</f>
        <v>42762</v>
      </c>
      <c r="H439" s="92" t="str">
        <f>'Final data_for_R_analysis_Wetse'!J585</f>
        <v>G894</v>
      </c>
      <c r="I439" t="str">
        <f>'Final data_for_R_analysis_Wetse'!J805</f>
        <v>R15</v>
      </c>
      <c r="J439">
        <f>IFERROR(INDEX('Green_rooibos initial weight'!$C$5:$C$1749,MATCH(H439, 'Green_rooibos initial weight'!$A$5:$A$1749,0)),"")</f>
        <v>1.9630000000000001</v>
      </c>
      <c r="K439">
        <f>IFERROR(INDEX('Green_rooibos initial weight'!$C$5:$C$1749,MATCH(I439, 'Green_rooibos initial weight'!$A$5:$A$1749,0)),"")</f>
        <v>2.2269999999999999</v>
      </c>
      <c r="L439" s="195">
        <f t="shared" si="47"/>
        <v>1.7132000000000001</v>
      </c>
      <c r="M439" s="195">
        <f>AVERAGE(Ashed_controlls!$K$2:$K$11)</f>
        <v>5.5147656768714146</v>
      </c>
      <c r="N439" s="195">
        <f t="shared" si="45"/>
        <v>1.9771999999999998</v>
      </c>
      <c r="O439" s="16">
        <f>IF('WetLitterbags placem_collection'!G146="N.A","",'WetLitterbags placem_collection'!G146)</f>
        <v>42816</v>
      </c>
      <c r="P439" s="195">
        <f>IF(IFERROR(INDEX('Both teabags AfterWet'!$C$3:$C$841,MATCH(H439,'Both teabags AfterWet'!$A$3:$A$841,0)),"")="N.A","",(IFERROR(INDEX('Both teabags AfterWet'!$C$3:$C$841,MATCH(H439,'Both teabags AfterWet'!$A$3:$A$841,0)),"")))</f>
        <v>0.68200000000000005</v>
      </c>
      <c r="Q439" s="195">
        <f>IFERROR(INDEX('Both teabags AfterWet'!$C$3:$C$841,MATCH(I439,'Both teabags AfterWet'!$A$3:$A$841,0)),"")</f>
        <v>1.7290000000000001</v>
      </c>
      <c r="R439" s="195">
        <f t="shared" si="48"/>
        <v>0.53140000000000009</v>
      </c>
      <c r="S439" s="195">
        <f t="shared" si="48"/>
        <v>1.5784</v>
      </c>
      <c r="T439" s="195">
        <f t="shared" si="49"/>
        <v>0.68982021947233241</v>
      </c>
      <c r="U439" s="195">
        <f t="shared" si="50"/>
        <v>0.45223368307449829</v>
      </c>
      <c r="V439" s="195">
        <f t="shared" si="51"/>
        <v>0.79830062714950445</v>
      </c>
      <c r="W439">
        <f t="shared" si="46"/>
        <v>54</v>
      </c>
      <c r="X439" s="195">
        <f t="shared" si="52"/>
        <v>0.18073608138677855</v>
      </c>
      <c r="Y439" s="195">
        <f t="shared" si="53"/>
        <v>1.0937095668136587E-2</v>
      </c>
      <c r="Z439" s="255" t="str">
        <f>IF(ISNUMBER(SEARCH("C",'WetLitterbags placem_collection'!W366)),"YES","NO")</f>
        <v>NO</v>
      </c>
      <c r="AA439" s="255" t="str">
        <f>IF(ISNUMBER(SEARCH("H", 'WetLitterbags placem_collection'!Y146)),"YES","NO")</f>
        <v>NO</v>
      </c>
      <c r="AB439" s="255" t="str">
        <f>IF(ISNUMBER(SEARCH("R", 'WetLitterbags placem_collection'!WY146)),"YES","NO")</f>
        <v>NO</v>
      </c>
      <c r="AC439" s="255" t="str">
        <f>IF(ISNUMBER(SEARCH("C", 'WetLitterbags placem_collection'!VX146)),"YES","NO")</f>
        <v>NO</v>
      </c>
      <c r="AD439" s="255" t="str">
        <f>IF(ISNUMBER(SEARCH("H", 'WetLitterbags placem_collection'!X146)),"YES","NO")</f>
        <v>NO</v>
      </c>
      <c r="AE439" s="255" t="str">
        <f>IF(ISNUMBER(SEARCH("R", 'WetLitterbags placem_collection'!X146)),"YES","NO")</f>
        <v>YES</v>
      </c>
    </row>
    <row r="440" spans="2:31">
      <c r="B440" t="str">
        <f>'Final data_for_R_analysis_Wetse'!A586</f>
        <v>Wet</v>
      </c>
      <c r="C440" s="263">
        <f>'Final data_for_R_analysis_Wetse'!B586</f>
        <v>145</v>
      </c>
      <c r="D440" t="s">
        <v>3849</v>
      </c>
      <c r="E440" t="s">
        <v>25</v>
      </c>
      <c r="F440" s="386">
        <v>1</v>
      </c>
      <c r="G440" s="16">
        <f>'WetLitterbags placem_collection'!E147</f>
        <v>42762</v>
      </c>
      <c r="H440" s="92" t="str">
        <f>'Final data_for_R_analysis_Wetse'!J586</f>
        <v>G653</v>
      </c>
      <c r="I440" t="str">
        <f>'Final data_for_R_analysis_Wetse'!J806</f>
        <v>R40</v>
      </c>
      <c r="J440">
        <f>IFERROR(INDEX('Green_rooibos initial weight'!$C$5:$C$1749,MATCH(H440, 'Green_rooibos initial weight'!$A$5:$A$1749,0)),"")</f>
        <v>2.089</v>
      </c>
      <c r="K440">
        <f>IFERROR(INDEX('Green_rooibos initial weight'!$C$5:$C$1749,MATCH(I440, 'Green_rooibos initial weight'!$A$5:$A$1749,0)),"")</f>
        <v>2.121</v>
      </c>
      <c r="L440" s="195">
        <f t="shared" si="47"/>
        <v>1.8391999999999999</v>
      </c>
      <c r="M440" s="195">
        <f>AVERAGE(Ashed_controlls!$K$2:$K$11)</f>
        <v>5.5147656768714146</v>
      </c>
      <c r="N440" s="195">
        <f t="shared" si="45"/>
        <v>1.8712</v>
      </c>
      <c r="O440" s="16">
        <f>IF('WetLitterbags placem_collection'!G147="N.A","",'WetLitterbags placem_collection'!G147)</f>
        <v>42815</v>
      </c>
      <c r="P440" s="195">
        <f>IF(IFERROR(INDEX('Both teabags AfterWet'!$C$3:$C$841,MATCH(H440,'Both teabags AfterWet'!$A$3:$A$841,0)),"")="N.A","",(IFERROR(INDEX('Both teabags AfterWet'!$C$3:$C$841,MATCH(H440,'Both teabags AfterWet'!$A$3:$A$841,0)),"")))</f>
        <v>0.69799999999999995</v>
      </c>
      <c r="Q440" s="195">
        <f>IFERROR(INDEX('Both teabags AfterWet'!$C$3:$C$841,MATCH(I440,'Both teabags AfterWet'!$A$3:$A$841,0)),"")</f>
        <v>1.589</v>
      </c>
      <c r="R440" s="195">
        <f t="shared" si="48"/>
        <v>0.54739999999999989</v>
      </c>
      <c r="S440" s="195">
        <f t="shared" si="48"/>
        <v>1.4383999999999999</v>
      </c>
      <c r="T440" s="195">
        <f t="shared" si="49"/>
        <v>0.70237059591126583</v>
      </c>
      <c r="U440" s="195">
        <f t="shared" si="50"/>
        <v>0.46046148330524794</v>
      </c>
      <c r="V440" s="195">
        <f t="shared" si="51"/>
        <v>0.76870457460453179</v>
      </c>
      <c r="W440">
        <f t="shared" si="46"/>
        <v>53</v>
      </c>
      <c r="X440" s="195">
        <f t="shared" si="52"/>
        <v>0.16583064618614507</v>
      </c>
      <c r="Y440" s="195">
        <f t="shared" si="53"/>
        <v>1.3165704277186913E-2</v>
      </c>
      <c r="Z440" s="255" t="str">
        <f>IF(ISNUMBER(SEARCH("C",'WetLitterbags placem_collection'!W367)),"YES","NO")</f>
        <v>NO</v>
      </c>
      <c r="AA440" s="255" t="str">
        <f>IF(ISNUMBER(SEARCH("H", 'WetLitterbags placem_collection'!Y147)),"YES","NO")</f>
        <v>NO</v>
      </c>
      <c r="AB440" s="255" t="str">
        <f>IF(ISNUMBER(SEARCH("R", 'WetLitterbags placem_collection'!WY147)),"YES","NO")</f>
        <v>NO</v>
      </c>
      <c r="AC440" s="255" t="str">
        <f>IF(ISNUMBER(SEARCH("C", 'WetLitterbags placem_collection'!VX147)),"YES","NO")</f>
        <v>NO</v>
      </c>
      <c r="AD440" s="255" t="str">
        <f>IF(ISNUMBER(SEARCH("H", 'WetLitterbags placem_collection'!X147)),"YES","NO")</f>
        <v>NO</v>
      </c>
      <c r="AE440" s="255" t="str">
        <f>IF(ISNUMBER(SEARCH("R", 'WetLitterbags placem_collection'!X147)),"YES","NO")</f>
        <v>NO</v>
      </c>
    </row>
    <row r="441" spans="2:31">
      <c r="B441" t="str">
        <f>'Final data_for_R_analysis_Wetse'!A587</f>
        <v>Wet</v>
      </c>
      <c r="C441" s="263">
        <f>'Final data_for_R_analysis_Wetse'!B587</f>
        <v>146</v>
      </c>
      <c r="D441" t="s">
        <v>3849</v>
      </c>
      <c r="E441" t="s">
        <v>25</v>
      </c>
      <c r="F441" s="386">
        <v>2</v>
      </c>
      <c r="G441" s="16">
        <f>'WetLitterbags placem_collection'!E148</f>
        <v>42762</v>
      </c>
      <c r="H441" s="92" t="str">
        <f>'Final data_for_R_analysis_Wetse'!J587</f>
        <v>G762</v>
      </c>
      <c r="I441" t="str">
        <f>'Final data_for_R_analysis_Wetse'!J807</f>
        <v>R468</v>
      </c>
      <c r="J441">
        <f>IFERROR(INDEX('Green_rooibos initial weight'!$C$5:$C$1749,MATCH(H441, 'Green_rooibos initial weight'!$A$5:$A$1749,0)),"")</f>
        <v>2.016</v>
      </c>
      <c r="K441">
        <f>IFERROR(INDEX('Green_rooibos initial weight'!$C$5:$C$1749,MATCH(I441, 'Green_rooibos initial weight'!$A$5:$A$1749,0)),"")</f>
        <v>2.2869999999999999</v>
      </c>
      <c r="L441" s="195">
        <f t="shared" si="47"/>
        <v>1.7662</v>
      </c>
      <c r="M441" s="195">
        <f>AVERAGE(Ashed_controlls!$K$2:$K$11)</f>
        <v>5.5147656768714146</v>
      </c>
      <c r="N441" s="195">
        <f t="shared" si="45"/>
        <v>2.0371999999999999</v>
      </c>
      <c r="O441" s="16">
        <f>IF('WetLitterbags placem_collection'!G148="N.A","",'WetLitterbags placem_collection'!G148)</f>
        <v>42815</v>
      </c>
      <c r="P441" s="195">
        <f>IF(IFERROR(INDEX('Both teabags AfterWet'!$C$3:$C$841,MATCH(H441,'Both teabags AfterWet'!$A$3:$A$841,0)),"")="N.A","",(IFERROR(INDEX('Both teabags AfterWet'!$C$3:$C$841,MATCH(H441,'Both teabags AfterWet'!$A$3:$A$841,0)),"")))</f>
        <v>0.59199999999999997</v>
      </c>
      <c r="Q441" s="195">
        <f>IFERROR(INDEX('Both teabags AfterWet'!$C$3:$C$841,MATCH(I441,'Both teabags AfterWet'!$A$3:$A$841,0)),"")</f>
        <v>1.657</v>
      </c>
      <c r="R441" s="195">
        <f t="shared" si="48"/>
        <v>0.44139999999999996</v>
      </c>
      <c r="S441" s="195">
        <f t="shared" si="48"/>
        <v>1.5064</v>
      </c>
      <c r="T441" s="195">
        <f t="shared" si="49"/>
        <v>0.75008492809421357</v>
      </c>
      <c r="U441" s="195">
        <f t="shared" si="50"/>
        <v>0.49174213813302364</v>
      </c>
      <c r="V441" s="195">
        <f t="shared" si="51"/>
        <v>0.73944629884154722</v>
      </c>
      <c r="W441">
        <f t="shared" si="46"/>
        <v>53</v>
      </c>
      <c r="X441" s="195">
        <f t="shared" si="52"/>
        <v>0.10916279323727607</v>
      </c>
      <c r="Y441" s="195">
        <f t="shared" si="53"/>
        <v>1.424002541795168E-2</v>
      </c>
      <c r="Z441" s="255" t="str">
        <f>IF(ISNUMBER(SEARCH("C",'WetLitterbags placem_collection'!W368)),"YES","NO")</f>
        <v>NO</v>
      </c>
      <c r="AA441" s="255" t="str">
        <f>IF(ISNUMBER(SEARCH("H", 'WetLitterbags placem_collection'!Y148)),"YES","NO")</f>
        <v>NO</v>
      </c>
      <c r="AB441" s="255" t="str">
        <f>IF(ISNUMBER(SEARCH("R", 'WetLitterbags placem_collection'!WY148)),"YES","NO")</f>
        <v>NO</v>
      </c>
      <c r="AC441" s="255" t="str">
        <f>IF(ISNUMBER(SEARCH("C", 'WetLitterbags placem_collection'!VX148)),"YES","NO")</f>
        <v>NO</v>
      </c>
      <c r="AD441" s="255" t="str">
        <f>IF(ISNUMBER(SEARCH("H", 'WetLitterbags placem_collection'!X148)),"YES","NO")</f>
        <v>NO</v>
      </c>
      <c r="AE441" s="255" t="str">
        <f>IF(ISNUMBER(SEARCH("R", 'WetLitterbags placem_collection'!X148)),"YES","NO")</f>
        <v>YES</v>
      </c>
    </row>
    <row r="442" spans="2:31">
      <c r="B442" t="str">
        <f>'Final data_for_R_analysis_Wetse'!A588</f>
        <v>Wet</v>
      </c>
      <c r="C442" s="263">
        <f>'Final data_for_R_analysis_Wetse'!B588</f>
        <v>147</v>
      </c>
      <c r="D442" t="s">
        <v>3849</v>
      </c>
      <c r="E442" t="s">
        <v>25</v>
      </c>
      <c r="F442" s="386">
        <v>3</v>
      </c>
      <c r="G442" s="16">
        <f>'WetLitterbags placem_collection'!E149</f>
        <v>42762</v>
      </c>
      <c r="H442" s="92" t="str">
        <f>'Final data_for_R_analysis_Wetse'!J588</f>
        <v>G878</v>
      </c>
      <c r="I442" t="str">
        <f>'Final data_for_R_analysis_Wetse'!J808</f>
        <v>R582</v>
      </c>
      <c r="J442">
        <f>IFERROR(INDEX('Green_rooibos initial weight'!$C$5:$C$1749,MATCH(H442, 'Green_rooibos initial weight'!$A$5:$A$1749,0)),"")</f>
        <v>2.0939999999999999</v>
      </c>
      <c r="K442">
        <f>IFERROR(INDEX('Green_rooibos initial weight'!$C$5:$C$1749,MATCH(I442, 'Green_rooibos initial weight'!$A$5:$A$1749,0)),"")</f>
        <v>2.2360000000000002</v>
      </c>
      <c r="L442" s="195">
        <f t="shared" si="47"/>
        <v>1.8441999999999998</v>
      </c>
      <c r="M442" s="195">
        <f>AVERAGE(Ashed_controlls!$K$2:$K$11)</f>
        <v>5.5147656768714146</v>
      </c>
      <c r="N442" s="195">
        <f t="shared" si="45"/>
        <v>1.9862000000000002</v>
      </c>
      <c r="O442" s="16">
        <f>IF('WetLitterbags placem_collection'!G149="N.A","",'WetLitterbags placem_collection'!G149)</f>
        <v>42816</v>
      </c>
      <c r="P442" s="195">
        <f>IF(IFERROR(INDEX('Both teabags AfterWet'!$C$3:$C$841,MATCH(H442,'Both teabags AfterWet'!$A$3:$A$841,0)),"")="N.A","",(IFERROR(INDEX('Both teabags AfterWet'!$C$3:$C$841,MATCH(H442,'Both teabags AfterWet'!$A$3:$A$841,0)),"")))</f>
        <v>0.628</v>
      </c>
      <c r="Q442" s="195">
        <f>IFERROR(INDEX('Both teabags AfterWet'!$C$3:$C$841,MATCH(I442,'Both teabags AfterWet'!$A$3:$A$841,0)),"")</f>
        <v>1.742</v>
      </c>
      <c r="R442" s="195">
        <f t="shared" si="48"/>
        <v>0.47739999999999999</v>
      </c>
      <c r="S442" s="195">
        <f t="shared" si="48"/>
        <v>1.5913999999999999</v>
      </c>
      <c r="T442" s="195">
        <f t="shared" si="49"/>
        <v>0.74113436720529224</v>
      </c>
      <c r="U442" s="195">
        <f t="shared" si="50"/>
        <v>0.48587431199206815</v>
      </c>
      <c r="V442" s="195">
        <f t="shared" si="51"/>
        <v>0.80122847648776552</v>
      </c>
      <c r="W442">
        <f t="shared" si="46"/>
        <v>54</v>
      </c>
      <c r="X442" s="195">
        <f t="shared" si="52"/>
        <v>0.11979291305784767</v>
      </c>
      <c r="Y442" s="195">
        <f t="shared" si="53"/>
        <v>9.7427717314761807E-3</v>
      </c>
      <c r="Z442" s="255" t="str">
        <f>IF(ISNUMBER(SEARCH("C",'WetLitterbags placem_collection'!W369)),"YES","NO")</f>
        <v>NO</v>
      </c>
      <c r="AA442" s="255" t="str">
        <f>IF(ISNUMBER(SEARCH("H", 'WetLitterbags placem_collection'!Y149)),"YES","NO")</f>
        <v>NO</v>
      </c>
      <c r="AB442" s="255" t="str">
        <f>IF(ISNUMBER(SEARCH("R", 'WetLitterbags placem_collection'!WY149)),"YES","NO")</f>
        <v>NO</v>
      </c>
      <c r="AC442" s="255" t="str">
        <f>IF(ISNUMBER(SEARCH("C", 'WetLitterbags placem_collection'!VX149)),"YES","NO")</f>
        <v>NO</v>
      </c>
      <c r="AD442" s="255" t="str">
        <f>IF(ISNUMBER(SEARCH("H", 'WetLitterbags placem_collection'!X149)),"YES","NO")</f>
        <v>NO</v>
      </c>
      <c r="AE442" s="255" t="str">
        <f>IF(ISNUMBER(SEARCH("R", 'WetLitterbags placem_collection'!X149)),"YES","NO")</f>
        <v>NO</v>
      </c>
    </row>
    <row r="443" spans="2:31">
      <c r="B443" t="str">
        <f>'Final data_for_R_analysis_Wetse'!A589</f>
        <v>Wet</v>
      </c>
      <c r="C443" s="263">
        <f>'Final data_for_R_analysis_Wetse'!B589</f>
        <v>148</v>
      </c>
      <c r="D443" t="s">
        <v>3849</v>
      </c>
      <c r="E443" t="s">
        <v>25</v>
      </c>
      <c r="F443" s="387">
        <v>4</v>
      </c>
      <c r="G443" s="16">
        <f>'WetLitterbags placem_collection'!E150</f>
        <v>42762</v>
      </c>
      <c r="H443" s="92" t="str">
        <f>'Final data_for_R_analysis_Wetse'!J589</f>
        <v>G807</v>
      </c>
      <c r="I443" t="str">
        <f>'Final data_for_R_analysis_Wetse'!J809</f>
        <v>R20</v>
      </c>
      <c r="J443">
        <f>IFERROR(INDEX('Green_rooibos initial weight'!$C$5:$C$1749,MATCH(H443, 'Green_rooibos initial weight'!$A$5:$A$1749,0)),"")</f>
        <v>2.0310000000000001</v>
      </c>
      <c r="K443">
        <f>IFERROR(INDEX('Green_rooibos initial weight'!$C$5:$C$1749,MATCH(I443, 'Green_rooibos initial weight'!$A$5:$A$1749,0)),"")</f>
        <v>2.2400000000000002</v>
      </c>
      <c r="L443" s="195">
        <f t="shared" si="47"/>
        <v>1.7812000000000001</v>
      </c>
      <c r="M443" s="195">
        <f>AVERAGE(Ashed_controlls!$K$2:$K$11)</f>
        <v>5.5147656768714146</v>
      </c>
      <c r="N443" s="195">
        <f t="shared" si="45"/>
        <v>1.9902000000000002</v>
      </c>
      <c r="O443" s="16">
        <f>IF('WetLitterbags placem_collection'!G150="N.A","",'WetLitterbags placem_collection'!G150)</f>
        <v>42816</v>
      </c>
      <c r="P443" s="195">
        <f>IF(IFERROR(INDEX('Both teabags AfterWet'!$C$3:$C$841,MATCH(H443,'Both teabags AfterWet'!$A$3:$A$841,0)),"")="N.A","",(IFERROR(INDEX('Both teabags AfterWet'!$C$3:$C$841,MATCH(H443,'Both teabags AfterWet'!$A$3:$A$841,0)),"")))</f>
        <v>0.74309999999999998</v>
      </c>
      <c r="Q443" s="195">
        <f>IFERROR(INDEX('Both teabags AfterWet'!$C$3:$C$841,MATCH(I443,'Both teabags AfterWet'!$A$3:$A$841,0)),"")</f>
        <v>1.6375999999999999</v>
      </c>
      <c r="R443" s="195">
        <f t="shared" si="48"/>
        <v>0.59250000000000003</v>
      </c>
      <c r="S443" s="195">
        <f t="shared" si="48"/>
        <v>1.4869999999999999</v>
      </c>
      <c r="T443" s="195">
        <f t="shared" si="49"/>
        <v>0.66735908376375486</v>
      </c>
      <c r="U443" s="195">
        <f t="shared" si="50"/>
        <v>0.43750856797813864</v>
      </c>
      <c r="V443" s="195">
        <f t="shared" si="51"/>
        <v>0.74716108933775482</v>
      </c>
      <c r="W443">
        <f t="shared" si="46"/>
        <v>54</v>
      </c>
      <c r="X443" s="195">
        <f t="shared" si="52"/>
        <v>0.20741201453235758</v>
      </c>
      <c r="Y443" s="195">
        <f t="shared" si="53"/>
        <v>1.597273512512018E-2</v>
      </c>
      <c r="Z443" s="255" t="str">
        <f>IF(ISNUMBER(SEARCH("C",'WetLitterbags placem_collection'!W370)),"YES","NO")</f>
        <v>NO</v>
      </c>
      <c r="AA443" s="255" t="str">
        <f>IF(ISNUMBER(SEARCH("H", 'WetLitterbags placem_collection'!Y150)),"YES","NO")</f>
        <v>NO</v>
      </c>
      <c r="AB443" s="255" t="str">
        <f>IF(ISNUMBER(SEARCH("R", 'WetLitterbags placem_collection'!WY150)),"YES","NO")</f>
        <v>NO</v>
      </c>
      <c r="AC443" s="255" t="str">
        <f>IF(ISNUMBER(SEARCH("C", 'WetLitterbags placem_collection'!VX150)),"YES","NO")</f>
        <v>NO</v>
      </c>
      <c r="AD443" s="255" t="str">
        <f>IF(ISNUMBER(SEARCH("H", 'WetLitterbags placem_collection'!X150)),"YES","NO")</f>
        <v>NO</v>
      </c>
      <c r="AE443" s="255" t="str">
        <f>IF(ISNUMBER(SEARCH("R", 'WetLitterbags placem_collection'!X150)),"YES","NO")</f>
        <v>YES</v>
      </c>
    </row>
    <row r="444" spans="2:31">
      <c r="B444" t="str">
        <f>'Final data_for_R_analysis_Wetse'!A590</f>
        <v>Wet</v>
      </c>
      <c r="C444" s="263">
        <f>'Final data_for_R_analysis_Wetse'!B590</f>
        <v>149</v>
      </c>
      <c r="D444" t="s">
        <v>3849</v>
      </c>
      <c r="E444" t="s">
        <v>25</v>
      </c>
      <c r="F444" s="387">
        <v>5</v>
      </c>
      <c r="G444" s="16">
        <f>'WetLitterbags placem_collection'!E151</f>
        <v>42762</v>
      </c>
      <c r="H444" s="92" t="str">
        <f>'Final data_for_R_analysis_Wetse'!J590</f>
        <v>G696</v>
      </c>
      <c r="I444" t="str">
        <f>'Final data_for_R_analysis_Wetse'!J810</f>
        <v>R533</v>
      </c>
      <c r="J444">
        <f>IFERROR(INDEX('Green_rooibos initial weight'!$C$5:$C$1749,MATCH(H444, 'Green_rooibos initial weight'!$A$5:$A$1749,0)),"")</f>
        <v>2.036</v>
      </c>
      <c r="K444">
        <f>IFERROR(INDEX('Green_rooibos initial weight'!$C$5:$C$1749,MATCH(I444, 'Green_rooibos initial weight'!$A$5:$A$1749,0)),"")</f>
        <v>2.1970000000000001</v>
      </c>
      <c r="L444" s="195">
        <f t="shared" si="47"/>
        <v>1.7862</v>
      </c>
      <c r="M444" s="195">
        <f>AVERAGE(Ashed_controlls!$K$2:$K$11)</f>
        <v>5.5147656768714146</v>
      </c>
      <c r="N444" s="195">
        <f t="shared" si="45"/>
        <v>1.9472</v>
      </c>
      <c r="O444" s="16">
        <f>IF('WetLitterbags placem_collection'!G151="N.A","",'WetLitterbags placem_collection'!G151)</f>
        <v>42816</v>
      </c>
      <c r="P444" s="195">
        <f>IF(IFERROR(INDEX('Both teabags AfterWet'!$C$3:$C$841,MATCH(H444,'Both teabags AfterWet'!$A$3:$A$841,0)),"")="N.A","",(IFERROR(INDEX('Both teabags AfterWet'!$C$3:$C$841,MATCH(H444,'Both teabags AfterWet'!$A$3:$A$841,0)),"")))</f>
        <v>0.82469999999999999</v>
      </c>
      <c r="Q444" s="195">
        <f>IFERROR(INDEX('Both teabags AfterWet'!$C$3:$C$841,MATCH(I444,'Both teabags AfterWet'!$A$3:$A$841,0)),"")</f>
        <v>1.7899</v>
      </c>
      <c r="R444" s="195">
        <f t="shared" si="48"/>
        <v>0.67409999999999992</v>
      </c>
      <c r="S444" s="195">
        <f t="shared" si="48"/>
        <v>1.6393</v>
      </c>
      <c r="T444" s="195">
        <f t="shared" si="49"/>
        <v>0.62260665099093049</v>
      </c>
      <c r="U444" s="195">
        <f t="shared" si="50"/>
        <v>0.40816968093467182</v>
      </c>
      <c r="V444" s="195">
        <f t="shared" si="51"/>
        <v>0.84187551355792933</v>
      </c>
      <c r="W444">
        <f t="shared" si="46"/>
        <v>54</v>
      </c>
      <c r="X444" s="195">
        <f t="shared" si="52"/>
        <v>0.26056217221979749</v>
      </c>
      <c r="Y444" s="195">
        <f t="shared" si="53"/>
        <v>9.0748387610672925E-3</v>
      </c>
      <c r="Z444" s="255" t="str">
        <f>IF(ISNUMBER(SEARCH("C",'WetLitterbags placem_collection'!W371)),"YES","NO")</f>
        <v>NO</v>
      </c>
      <c r="AA444" s="255" t="str">
        <f>IF(ISNUMBER(SEARCH("H", 'WetLitterbags placem_collection'!Y151)),"YES","NO")</f>
        <v>NO</v>
      </c>
      <c r="AB444" s="255" t="str">
        <f>IF(ISNUMBER(SEARCH("R", 'WetLitterbags placem_collection'!WY151)),"YES","NO")</f>
        <v>NO</v>
      </c>
      <c r="AC444" s="255" t="str">
        <f>IF(ISNUMBER(SEARCH("C", 'WetLitterbags placem_collection'!VX151)),"YES","NO")</f>
        <v>NO</v>
      </c>
      <c r="AD444" s="255" t="str">
        <f>IF(ISNUMBER(SEARCH("H", 'WetLitterbags placem_collection'!X151)),"YES","NO")</f>
        <v>NO</v>
      </c>
      <c r="AE444" s="255" t="str">
        <f>IF(ISNUMBER(SEARCH("R", 'WetLitterbags placem_collection'!X151)),"YES","NO")</f>
        <v>NO</v>
      </c>
    </row>
    <row r="445" spans="2:31">
      <c r="B445" t="str">
        <f>'Final data_for_R_analysis_Wetse'!A591</f>
        <v>Wet</v>
      </c>
      <c r="C445" s="263">
        <f>'Final data_for_R_analysis_Wetse'!B591</f>
        <v>150</v>
      </c>
      <c r="D445" t="s">
        <v>3849</v>
      </c>
      <c r="E445" t="s">
        <v>25</v>
      </c>
      <c r="F445" s="387">
        <v>6</v>
      </c>
      <c r="G445" s="16">
        <f>'WetLitterbags placem_collection'!E152</f>
        <v>42762</v>
      </c>
      <c r="H445" s="92" t="str">
        <f>'Final data_for_R_analysis_Wetse'!J591</f>
        <v>G801</v>
      </c>
      <c r="I445" t="str">
        <f>'Final data_for_R_analysis_Wetse'!J811</f>
        <v>R572</v>
      </c>
      <c r="J445">
        <f>IFERROR(INDEX('Green_rooibos initial weight'!$C$5:$C$1749,MATCH(H445, 'Green_rooibos initial weight'!$A$5:$A$1749,0)),"")</f>
        <v>2.0720000000000001</v>
      </c>
      <c r="K445">
        <f>IFERROR(INDEX('Green_rooibos initial weight'!$C$5:$C$1749,MATCH(I445, 'Green_rooibos initial weight'!$A$5:$A$1749,0)),"")</f>
        <v>2.0819999999999999</v>
      </c>
      <c r="L445" s="195">
        <f t="shared" si="47"/>
        <v>1.8222</v>
      </c>
      <c r="M445" s="195">
        <f>AVERAGE(Ashed_controlls!$K$2:$K$11)</f>
        <v>5.5147656768714146</v>
      </c>
      <c r="N445" s="195">
        <f t="shared" si="45"/>
        <v>1.8321999999999998</v>
      </c>
      <c r="O445" s="16">
        <f>IF('WetLitterbags placem_collection'!G152="N.A","",'WetLitterbags placem_collection'!G152)</f>
        <v>42816</v>
      </c>
      <c r="P445" s="195">
        <f>IF(IFERROR(INDEX('Both teabags AfterWet'!$C$3:$C$841,MATCH(H445,'Both teabags AfterWet'!$A$3:$A$841,0)),"")="N.A","",(IFERROR(INDEX('Both teabags AfterWet'!$C$3:$C$841,MATCH(H445,'Both teabags AfterWet'!$A$3:$A$841,0)),"")))</f>
        <v>0.60099999999999998</v>
      </c>
      <c r="Q445" s="195">
        <f>IFERROR(INDEX('Both teabags AfterWet'!$C$3:$C$841,MATCH(I445,'Both teabags AfterWet'!$A$3:$A$841,0)),"")</f>
        <v>1.5680000000000001</v>
      </c>
      <c r="R445" s="195">
        <f t="shared" si="48"/>
        <v>0.45039999999999997</v>
      </c>
      <c r="S445" s="195">
        <f t="shared" si="48"/>
        <v>1.4174</v>
      </c>
      <c r="T445" s="195">
        <f t="shared" si="49"/>
        <v>0.75282625397870706</v>
      </c>
      <c r="U445" s="195">
        <f t="shared" si="50"/>
        <v>0.49353930189577949</v>
      </c>
      <c r="V445" s="195">
        <f t="shared" si="51"/>
        <v>0.77360550158279673</v>
      </c>
      <c r="W445">
        <f t="shared" si="46"/>
        <v>54</v>
      </c>
      <c r="X445" s="195">
        <f t="shared" si="52"/>
        <v>0.10590706178300824</v>
      </c>
      <c r="Y445" s="195">
        <f t="shared" si="53"/>
        <v>1.1366882375683514E-2</v>
      </c>
      <c r="Z445" s="255" t="str">
        <f>IF(ISNUMBER(SEARCH("C",'WetLitterbags placem_collection'!W372)),"YES","NO")</f>
        <v>NO</v>
      </c>
      <c r="AA445" s="255" t="str">
        <f>IF(ISNUMBER(SEARCH("H", 'WetLitterbags placem_collection'!Y152)),"YES","NO")</f>
        <v>NO</v>
      </c>
      <c r="AB445" s="255" t="str">
        <f>IF(ISNUMBER(SEARCH("R", 'WetLitterbags placem_collection'!WY152)),"YES","NO")</f>
        <v>NO</v>
      </c>
      <c r="AC445" s="255" t="str">
        <f>IF(ISNUMBER(SEARCH("C", 'WetLitterbags placem_collection'!VX152)),"YES","NO")</f>
        <v>NO</v>
      </c>
      <c r="AD445" s="255" t="str">
        <f>IF(ISNUMBER(SEARCH("H", 'WetLitterbags placem_collection'!X152)),"YES","NO")</f>
        <v>NO</v>
      </c>
      <c r="AE445" s="255" t="str">
        <f>IF(ISNUMBER(SEARCH("R", 'WetLitterbags placem_collection'!X152)),"YES","NO")</f>
        <v>NO</v>
      </c>
    </row>
    <row r="446" spans="2:31">
      <c r="B446" t="str">
        <f>'Final data_for_R_analysis_Wetse'!A592</f>
        <v>Wet</v>
      </c>
      <c r="C446" s="263">
        <f>'Final data_for_R_analysis_Wetse'!B592</f>
        <v>151</v>
      </c>
      <c r="D446" t="s">
        <v>3849</v>
      </c>
      <c r="E446" t="s">
        <v>25</v>
      </c>
      <c r="F446" s="387">
        <v>7</v>
      </c>
      <c r="G446" s="16">
        <f>'WetLitterbags placem_collection'!E153</f>
        <v>42762</v>
      </c>
      <c r="H446" s="92" t="str">
        <f>'Final data_for_R_analysis_Wetse'!J592</f>
        <v>G647</v>
      </c>
      <c r="I446" t="str">
        <f>'Final data_for_R_analysis_Wetse'!J812</f>
        <v>R504</v>
      </c>
      <c r="J446">
        <f>IFERROR(INDEX('Green_rooibos initial weight'!$C$5:$C$1749,MATCH(H446, 'Green_rooibos initial weight'!$A$5:$A$1749,0)),"")</f>
        <v>2.1240000000000001</v>
      </c>
      <c r="K446">
        <f>IFERROR(INDEX('Green_rooibos initial weight'!$C$5:$C$1749,MATCH(I446, 'Green_rooibos initial weight'!$A$5:$A$1749,0)),"")</f>
        <v>2.1629999999999998</v>
      </c>
      <c r="L446" s="195">
        <f t="shared" si="47"/>
        <v>1.8742000000000001</v>
      </c>
      <c r="M446" s="195">
        <f>AVERAGE(Ashed_controlls!$K$2:$K$11)</f>
        <v>5.5147656768714146</v>
      </c>
      <c r="N446" s="195">
        <f t="shared" si="45"/>
        <v>1.9131999999999998</v>
      </c>
      <c r="O446" s="16">
        <f>IF('WetLitterbags placem_collection'!G153="N.A","",'WetLitterbags placem_collection'!G153)</f>
        <v>42816</v>
      </c>
      <c r="P446" s="195">
        <f>IF(IFERROR(INDEX('Both teabags AfterWet'!$C$3:$C$841,MATCH(H446,'Both teabags AfterWet'!$A$3:$A$841,0)),"")="N.A","",(IFERROR(INDEX('Both teabags AfterWet'!$C$3:$C$841,MATCH(H446,'Both teabags AfterWet'!$A$3:$A$841,0)),"")))</f>
        <v>0.78700000000000003</v>
      </c>
      <c r="Q446" s="195">
        <f>IFERROR(INDEX('Both teabags AfterWet'!$C$3:$C$841,MATCH(I446,'Both teabags AfterWet'!$A$3:$A$841,0)),"")</f>
        <v>1.798</v>
      </c>
      <c r="R446" s="195">
        <f t="shared" si="48"/>
        <v>0.63640000000000008</v>
      </c>
      <c r="S446" s="195">
        <f t="shared" si="48"/>
        <v>1.6474</v>
      </c>
      <c r="T446" s="195">
        <f t="shared" si="49"/>
        <v>0.6604417884964251</v>
      </c>
      <c r="U446" s="195">
        <f t="shared" si="50"/>
        <v>0.43297371407366592</v>
      </c>
      <c r="V446" s="195">
        <f t="shared" si="51"/>
        <v>0.86107045787162872</v>
      </c>
      <c r="W446">
        <f t="shared" si="46"/>
        <v>54</v>
      </c>
      <c r="X446" s="195">
        <f t="shared" si="52"/>
        <v>0.21562732957669228</v>
      </c>
      <c r="Y446" s="195">
        <f t="shared" si="53"/>
        <v>7.1656855345829957E-3</v>
      </c>
      <c r="Z446" s="255" t="str">
        <f>IF(ISNUMBER(SEARCH("C",'WetLitterbags placem_collection'!W373)),"YES","NO")</f>
        <v>NO</v>
      </c>
      <c r="AA446" s="255" t="str">
        <f>IF(ISNUMBER(SEARCH("H", 'WetLitterbags placem_collection'!Y153)),"YES","NO")</f>
        <v>NO</v>
      </c>
      <c r="AB446" s="255" t="str">
        <f>IF(ISNUMBER(SEARCH("R", 'WetLitterbags placem_collection'!WY153)),"YES","NO")</f>
        <v>NO</v>
      </c>
      <c r="AC446" s="255" t="str">
        <f>IF(ISNUMBER(SEARCH("C", 'WetLitterbags placem_collection'!VX153)),"YES","NO")</f>
        <v>NO</v>
      </c>
      <c r="AD446" s="255" t="str">
        <f>IF(ISNUMBER(SEARCH("H", 'WetLitterbags placem_collection'!X153)),"YES","NO")</f>
        <v>NO</v>
      </c>
      <c r="AE446" s="255" t="str">
        <f>IF(ISNUMBER(SEARCH("R", 'WetLitterbags placem_collection'!X153)),"YES","NO")</f>
        <v>YES</v>
      </c>
    </row>
    <row r="447" spans="2:31">
      <c r="B447" t="str">
        <f>'Final data_for_R_analysis_Wetse'!A593</f>
        <v>Wet</v>
      </c>
      <c r="C447" s="263">
        <f>'Final data_for_R_analysis_Wetse'!B593</f>
        <v>152</v>
      </c>
      <c r="D447" t="s">
        <v>3849</v>
      </c>
      <c r="E447" t="s">
        <v>25</v>
      </c>
      <c r="F447" s="387">
        <v>8</v>
      </c>
      <c r="G447" s="16">
        <f>'WetLitterbags placem_collection'!E154</f>
        <v>42762</v>
      </c>
      <c r="H447" s="92" t="str">
        <f>'Final data_for_R_analysis_Wetse'!J593</f>
        <v>G744</v>
      </c>
      <c r="I447" t="str">
        <f>'Final data_for_R_analysis_Wetse'!J813</f>
        <v>R579</v>
      </c>
      <c r="J447">
        <f>IFERROR(INDEX('Green_rooibos initial weight'!$C$5:$C$1749,MATCH(H447, 'Green_rooibos initial weight'!$A$5:$A$1749,0)),"")</f>
        <v>2.085</v>
      </c>
      <c r="K447">
        <f>IFERROR(INDEX('Green_rooibos initial weight'!$C$5:$C$1749,MATCH(I447, 'Green_rooibos initial weight'!$A$5:$A$1749,0)),"")</f>
        <v>2.1349999999999998</v>
      </c>
      <c r="L447" s="195">
        <f t="shared" si="47"/>
        <v>1.8351999999999999</v>
      </c>
      <c r="M447" s="195">
        <f>AVERAGE(Ashed_controlls!$K$2:$K$11)</f>
        <v>5.5147656768714146</v>
      </c>
      <c r="N447" s="195">
        <f t="shared" si="45"/>
        <v>1.8851999999999998</v>
      </c>
      <c r="O447" s="16">
        <f>IF('WetLitterbags placem_collection'!G154="N.A","",'WetLitterbags placem_collection'!G154)</f>
        <v>42816</v>
      </c>
      <c r="P447" s="195">
        <f>IF(IFERROR(INDEX('Both teabags AfterWet'!$C$3:$C$841,MATCH(H447,'Both teabags AfterWet'!$A$3:$A$841,0)),"")="N.A","",(IFERROR(INDEX('Both teabags AfterWet'!$C$3:$C$841,MATCH(H447,'Both teabags AfterWet'!$A$3:$A$841,0)),"")))</f>
        <v>0.62919999999999998</v>
      </c>
      <c r="Q447" s="195">
        <f>IFERROR(INDEX('Both teabags AfterWet'!$C$3:$C$841,MATCH(I447,'Both teabags AfterWet'!$A$3:$A$841,0)),"")</f>
        <v>1.5234000000000001</v>
      </c>
      <c r="R447" s="195">
        <f t="shared" si="48"/>
        <v>0.47859999999999997</v>
      </c>
      <c r="S447" s="195">
        <f t="shared" si="48"/>
        <v>1.3728</v>
      </c>
      <c r="T447" s="195">
        <f t="shared" si="49"/>
        <v>0.73921098517872719</v>
      </c>
      <c r="U447" s="195">
        <f t="shared" si="50"/>
        <v>0.48461337745683786</v>
      </c>
      <c r="V447" s="195">
        <f t="shared" si="51"/>
        <v>0.72819859961807776</v>
      </c>
      <c r="W447">
        <f t="shared" si="46"/>
        <v>54</v>
      </c>
      <c r="X447" s="195">
        <f t="shared" si="52"/>
        <v>0.12207721475210542</v>
      </c>
      <c r="Y447" s="195">
        <f t="shared" si="53"/>
        <v>1.5239673593024965E-2</v>
      </c>
      <c r="Z447" s="255" t="str">
        <f>IF(ISNUMBER(SEARCH("C",'WetLitterbags placem_collection'!W374)),"YES","NO")</f>
        <v>NO</v>
      </c>
      <c r="AA447" s="255" t="str">
        <f>IF(ISNUMBER(SEARCH("H", 'WetLitterbags placem_collection'!Y154)),"YES","NO")</f>
        <v>NO</v>
      </c>
      <c r="AB447" s="255" t="str">
        <f>IF(ISNUMBER(SEARCH("R", 'WetLitterbags placem_collection'!WY154)),"YES","NO")</f>
        <v>NO</v>
      </c>
      <c r="AC447" s="255" t="str">
        <f>IF(ISNUMBER(SEARCH("C", 'WetLitterbags placem_collection'!VX154)),"YES","NO")</f>
        <v>NO</v>
      </c>
      <c r="AD447" s="255" t="str">
        <f>IF(ISNUMBER(SEARCH("H", 'WetLitterbags placem_collection'!X154)),"YES","NO")</f>
        <v>NO</v>
      </c>
      <c r="AE447" s="255" t="str">
        <f>IF(ISNUMBER(SEARCH("R", 'WetLitterbags placem_collection'!X154)),"YES","NO")</f>
        <v>YES</v>
      </c>
    </row>
    <row r="448" spans="2:31">
      <c r="B448" t="str">
        <f>'Final data_for_R_analysis_Wetse'!A594</f>
        <v>Wet</v>
      </c>
      <c r="C448" s="263">
        <f>'Final data_for_R_analysis_Wetse'!B594</f>
        <v>153</v>
      </c>
      <c r="D448" t="s">
        <v>3850</v>
      </c>
      <c r="E448" t="s">
        <v>25</v>
      </c>
      <c r="F448" s="386">
        <v>1</v>
      </c>
      <c r="G448" s="16">
        <f>'WetLitterbags placem_collection'!E155</f>
        <v>42762</v>
      </c>
      <c r="H448" s="92" t="str">
        <f>'Final data_for_R_analysis_Wetse'!J594</f>
        <v>G885</v>
      </c>
      <c r="I448" t="str">
        <f>'Final data_for_R_analysis_Wetse'!J814</f>
        <v>R440</v>
      </c>
      <c r="J448">
        <f>IFERROR(INDEX('Green_rooibos initial weight'!$C$5:$C$1749,MATCH(H448, 'Green_rooibos initial weight'!$A$5:$A$1749,0)),"")</f>
        <v>1.8939999999999999</v>
      </c>
      <c r="K448">
        <f>IFERROR(INDEX('Green_rooibos initial weight'!$C$5:$C$1749,MATCH(I448, 'Green_rooibos initial weight'!$A$5:$A$1749,0)),"")</f>
        <v>2.1110000000000002</v>
      </c>
      <c r="L448" s="195">
        <f t="shared" si="47"/>
        <v>1.6441999999999999</v>
      </c>
      <c r="M448" s="195">
        <f>AVERAGE(Ashed_controlls!$K$2:$K$11)</f>
        <v>5.5147656768714146</v>
      </c>
      <c r="N448" s="195">
        <f t="shared" si="45"/>
        <v>1.8612000000000002</v>
      </c>
      <c r="O448" s="16">
        <f>IF('WetLitterbags placem_collection'!G155="N.A","",'WetLitterbags placem_collection'!G155)</f>
        <v>42816</v>
      </c>
      <c r="P448" s="195">
        <f>IF(IFERROR(INDEX('Both teabags AfterWet'!$C$3:$C$841,MATCH(H448,'Both teabags AfterWet'!$A$3:$A$841,0)),"")="N.A","",(IFERROR(INDEX('Both teabags AfterWet'!$C$3:$C$841,MATCH(H448,'Both teabags AfterWet'!$A$3:$A$841,0)),"")))</f>
        <v>0.5756</v>
      </c>
      <c r="Q448" s="195">
        <f>IFERROR(INDEX('Both teabags AfterWet'!$C$3:$C$841,MATCH(I448,'Both teabags AfterWet'!$A$3:$A$841,0)),"")</f>
        <v>1.6322000000000001</v>
      </c>
      <c r="R448" s="195">
        <f t="shared" si="48"/>
        <v>0.42499999999999999</v>
      </c>
      <c r="S448" s="195">
        <f t="shared" si="48"/>
        <v>1.4816</v>
      </c>
      <c r="T448" s="195">
        <f t="shared" si="49"/>
        <v>0.74151563070186111</v>
      </c>
      <c r="U448" s="195">
        <f t="shared" si="50"/>
        <v>0.48612426145775223</v>
      </c>
      <c r="V448" s="195">
        <f t="shared" si="51"/>
        <v>0.7960455620030088</v>
      </c>
      <c r="W448">
        <f t="shared" si="46"/>
        <v>54</v>
      </c>
      <c r="X448" s="195">
        <f t="shared" si="52"/>
        <v>0.11934010605479672</v>
      </c>
      <c r="Y448" s="195">
        <f t="shared" si="53"/>
        <v>1.0073243938806827E-2</v>
      </c>
      <c r="Z448" s="255" t="str">
        <f>IF(ISNUMBER(SEARCH("C",'WetLitterbags placem_collection'!W375)),"YES","NO")</f>
        <v>NO</v>
      </c>
      <c r="AA448" s="255" t="str">
        <f>IF(ISNUMBER(SEARCH("H", 'WetLitterbags placem_collection'!Y155)),"YES","NO")</f>
        <v>NO</v>
      </c>
      <c r="AB448" s="255" t="str">
        <f>IF(ISNUMBER(SEARCH("R", 'WetLitterbags placem_collection'!WY155)),"YES","NO")</f>
        <v>NO</v>
      </c>
      <c r="AC448" s="255" t="str">
        <f>IF(ISNUMBER(SEARCH("C", 'WetLitterbags placem_collection'!VX155)),"YES","NO")</f>
        <v>NO</v>
      </c>
      <c r="AD448" s="255" t="str">
        <f>IF(ISNUMBER(SEARCH("H", 'WetLitterbags placem_collection'!X155)),"YES","NO")</f>
        <v>NO</v>
      </c>
      <c r="AE448" s="255" t="str">
        <f>IF(ISNUMBER(SEARCH("R", 'WetLitterbags placem_collection'!X155)),"YES","NO")</f>
        <v>YES</v>
      </c>
    </row>
    <row r="449" spans="2:31">
      <c r="B449" t="str">
        <f>'Final data_for_R_analysis_Wetse'!A595</f>
        <v>Wet</v>
      </c>
      <c r="C449" s="263">
        <f>'Final data_for_R_analysis_Wetse'!B595</f>
        <v>154</v>
      </c>
      <c r="D449" t="s">
        <v>3850</v>
      </c>
      <c r="E449" t="s">
        <v>25</v>
      </c>
      <c r="F449" s="386">
        <v>2</v>
      </c>
      <c r="G449" s="16">
        <f>'WetLitterbags placem_collection'!E156</f>
        <v>42762</v>
      </c>
      <c r="H449" s="92" t="str">
        <f>'Final data_for_R_analysis_Wetse'!J595</f>
        <v>G684</v>
      </c>
      <c r="I449" t="str">
        <f>'Final data_for_R_analysis_Wetse'!J815</f>
        <v>R485</v>
      </c>
      <c r="J449">
        <f>IFERROR(INDEX('Green_rooibos initial weight'!$C$5:$C$1749,MATCH(H449, 'Green_rooibos initial weight'!$A$5:$A$1749,0)),"")</f>
        <v>2.0819999999999999</v>
      </c>
      <c r="K449">
        <f>IFERROR(INDEX('Green_rooibos initial weight'!$C$5:$C$1749,MATCH(I449, 'Green_rooibos initial weight'!$A$5:$A$1749,0)),"")</f>
        <v>2.242</v>
      </c>
      <c r="L449" s="195">
        <f t="shared" si="47"/>
        <v>1.8321999999999998</v>
      </c>
      <c r="M449" s="195">
        <f>AVERAGE(Ashed_controlls!$K$2:$K$11)</f>
        <v>5.5147656768714146</v>
      </c>
      <c r="N449" s="195">
        <f t="shared" si="45"/>
        <v>1.9922</v>
      </c>
      <c r="O449" s="16">
        <f>IF('WetLitterbags placem_collection'!G156="N.A","",'WetLitterbags placem_collection'!G156)</f>
        <v>42816</v>
      </c>
      <c r="P449" s="195">
        <f>IF(IFERROR(INDEX('Both teabags AfterWet'!$C$3:$C$841,MATCH(H449,'Both teabags AfterWet'!$A$3:$A$841,0)),"")="N.A","",(IFERROR(INDEX('Both teabags AfterWet'!$C$3:$C$841,MATCH(H449,'Both teabags AfterWet'!$A$3:$A$841,0)),"")))</f>
        <v>0.60499999999999998</v>
      </c>
      <c r="Q449" s="195">
        <f>IFERROR(INDEX('Both teabags AfterWet'!$C$3:$C$841,MATCH(I449,'Both teabags AfterWet'!$A$3:$A$841,0)),"")</f>
        <v>1.839</v>
      </c>
      <c r="R449" s="195">
        <f t="shared" si="48"/>
        <v>0.45439999999999997</v>
      </c>
      <c r="S449" s="195">
        <f t="shared" si="48"/>
        <v>1.6883999999999999</v>
      </c>
      <c r="T449" s="195">
        <f t="shared" si="49"/>
        <v>0.75199214059600483</v>
      </c>
      <c r="U449" s="195">
        <f t="shared" si="50"/>
        <v>0.49299247221970866</v>
      </c>
      <c r="V449" s="195">
        <f t="shared" si="51"/>
        <v>0.84750527055516511</v>
      </c>
      <c r="W449">
        <f t="shared" si="46"/>
        <v>54</v>
      </c>
      <c r="X449" s="195">
        <f t="shared" si="52"/>
        <v>0.10689769525415105</v>
      </c>
      <c r="Y449" s="195">
        <f t="shared" si="53"/>
        <v>6.8534334847403849E-3</v>
      </c>
      <c r="Z449" s="255" t="str">
        <f>IF(ISNUMBER(SEARCH("C",'WetLitterbags placem_collection'!W376)),"YES","NO")</f>
        <v>NO</v>
      </c>
      <c r="AA449" s="255" t="str">
        <f>IF(ISNUMBER(SEARCH("H", 'WetLitterbags placem_collection'!Y156)),"YES","NO")</f>
        <v>NO</v>
      </c>
      <c r="AB449" s="255" t="str">
        <f>IF(ISNUMBER(SEARCH("R", 'WetLitterbags placem_collection'!WY156)),"YES","NO")</f>
        <v>NO</v>
      </c>
      <c r="AC449" s="255" t="str">
        <f>IF(ISNUMBER(SEARCH("C", 'WetLitterbags placem_collection'!VX156)),"YES","NO")</f>
        <v>NO</v>
      </c>
      <c r="AD449" s="255" t="str">
        <f>IF(ISNUMBER(SEARCH("H", 'WetLitterbags placem_collection'!X156)),"YES","NO")</f>
        <v>NO</v>
      </c>
      <c r="AE449" s="255" t="str">
        <f>IF(ISNUMBER(SEARCH("R", 'WetLitterbags placem_collection'!X156)),"YES","NO")</f>
        <v>YES</v>
      </c>
    </row>
    <row r="450" spans="2:31">
      <c r="B450" t="str">
        <f>'Final data_for_R_analysis_Wetse'!A596</f>
        <v>Wet</v>
      </c>
      <c r="C450" s="263">
        <f>'Final data_for_R_analysis_Wetse'!B596</f>
        <v>155</v>
      </c>
      <c r="D450" t="s">
        <v>3850</v>
      </c>
      <c r="E450" t="s">
        <v>25</v>
      </c>
      <c r="F450" s="386">
        <v>3</v>
      </c>
      <c r="G450" s="16">
        <f>'WetLitterbags placem_collection'!E157</f>
        <v>42762</v>
      </c>
      <c r="H450" s="92" t="str">
        <f>'Final data_for_R_analysis_Wetse'!J596</f>
        <v>G827</v>
      </c>
      <c r="I450" t="str">
        <f>'Final data_for_R_analysis_Wetse'!J816</f>
        <v>R556</v>
      </c>
      <c r="J450">
        <f>IFERROR(INDEX('Green_rooibos initial weight'!$C$5:$C$1749,MATCH(H450, 'Green_rooibos initial weight'!$A$5:$A$1749,0)),"")</f>
        <v>1.883</v>
      </c>
      <c r="K450">
        <f>IFERROR(INDEX('Green_rooibos initial weight'!$C$5:$C$1749,MATCH(I450, 'Green_rooibos initial weight'!$A$5:$A$1749,0)),"")</f>
        <v>2.0830000000000002</v>
      </c>
      <c r="L450" s="195">
        <f t="shared" si="47"/>
        <v>1.6332</v>
      </c>
      <c r="M450" s="195">
        <f>AVERAGE(Ashed_controlls!$K$2:$K$11)</f>
        <v>5.5147656768714146</v>
      </c>
      <c r="N450" s="195">
        <f t="shared" si="45"/>
        <v>1.8332000000000002</v>
      </c>
      <c r="O450" s="16">
        <f>IF('WetLitterbags placem_collection'!G157="N.A","",'WetLitterbags placem_collection'!G157)</f>
        <v>42816</v>
      </c>
      <c r="P450" s="195" t="str">
        <f>IF(IFERROR(INDEX('Both teabags AfterWet'!$C$3:$C$841,MATCH(H450,'Both teabags AfterWet'!$A$3:$A$841,0)),"")="N.A","",(IFERROR(INDEX('Both teabags AfterWet'!$C$3:$C$841,MATCH(H450,'Both teabags AfterWet'!$A$3:$A$841,0)),"")))</f>
        <v/>
      </c>
      <c r="Q450" s="195">
        <f>IFERROR(INDEX('Both teabags AfterWet'!$C$3:$C$841,MATCH(I450,'Both teabags AfterWet'!$A$3:$A$841,0)),"")</f>
        <v>1.643</v>
      </c>
      <c r="R450" s="195" t="str">
        <f t="shared" si="48"/>
        <v/>
      </c>
      <c r="S450" s="195">
        <f t="shared" si="48"/>
        <v>1.4923999999999999</v>
      </c>
      <c r="T450" s="195" t="str">
        <f t="shared" si="49"/>
        <v/>
      </c>
      <c r="U450" s="195" t="str">
        <f t="shared" si="50"/>
        <v/>
      </c>
      <c r="V450" s="195">
        <f t="shared" si="51"/>
        <v>0.8140955705869517</v>
      </c>
      <c r="W450">
        <f t="shared" si="46"/>
        <v>54</v>
      </c>
      <c r="X450" s="195" t="str">
        <f t="shared" si="52"/>
        <v/>
      </c>
      <c r="Y450" s="195" t="str">
        <f t="shared" si="53"/>
        <v/>
      </c>
      <c r="Z450" s="255" t="str">
        <f>IF(ISNUMBER(SEARCH("C",'WetLitterbags placem_collection'!W377)),"YES","NO")</f>
        <v>NO</v>
      </c>
      <c r="AA450" s="255" t="str">
        <f>IF(ISNUMBER(SEARCH("H", 'WetLitterbags placem_collection'!Y157)),"YES","NO")</f>
        <v>NO</v>
      </c>
      <c r="AB450" s="255" t="str">
        <f>IF(ISNUMBER(SEARCH("R", 'WetLitterbags placem_collection'!WY157)),"YES","NO")</f>
        <v>NO</v>
      </c>
      <c r="AC450" s="255" t="str">
        <f>IF(ISNUMBER(SEARCH("C", 'WetLitterbags placem_collection'!VX157)),"YES","NO")</f>
        <v>NO</v>
      </c>
      <c r="AD450" s="255" t="str">
        <f>IF(ISNUMBER(SEARCH("H", 'WetLitterbags placem_collection'!X157)),"YES","NO")</f>
        <v>NO</v>
      </c>
      <c r="AE450" s="255" t="str">
        <f>IF(ISNUMBER(SEARCH("R", 'WetLitterbags placem_collection'!X157)),"YES","NO")</f>
        <v>NO</v>
      </c>
    </row>
    <row r="451" spans="2:31">
      <c r="B451" t="str">
        <f>'Final data_for_R_analysis_Wetse'!A597</f>
        <v>Wet</v>
      </c>
      <c r="C451" s="263">
        <f>'Final data_for_R_analysis_Wetse'!B597</f>
        <v>156</v>
      </c>
      <c r="D451" t="s">
        <v>3850</v>
      </c>
      <c r="E451" t="s">
        <v>25</v>
      </c>
      <c r="F451" s="387">
        <v>4</v>
      </c>
      <c r="G451" s="16">
        <f>'WetLitterbags placem_collection'!E158</f>
        <v>42762</v>
      </c>
      <c r="H451" s="92" t="str">
        <f>'Final data_for_R_analysis_Wetse'!J597</f>
        <v>G667</v>
      </c>
      <c r="I451" t="str">
        <f>'Final data_for_R_analysis_Wetse'!J817</f>
        <v>R464</v>
      </c>
      <c r="J451">
        <f>IFERROR(INDEX('Green_rooibos initial weight'!$C$5:$C$1749,MATCH(H451, 'Green_rooibos initial weight'!$A$5:$A$1749,0)),"")</f>
        <v>2.048</v>
      </c>
      <c r="K451">
        <f>IFERROR(INDEX('Green_rooibos initial weight'!$C$5:$C$1749,MATCH(I451, 'Green_rooibos initial weight'!$A$5:$A$1749,0)),"")</f>
        <v>2.2040000000000002</v>
      </c>
      <c r="L451" s="195">
        <f t="shared" si="47"/>
        <v>1.7982</v>
      </c>
      <c r="M451" s="195">
        <f>AVERAGE(Ashed_controlls!$K$2:$K$11)</f>
        <v>5.5147656768714146</v>
      </c>
      <c r="N451" s="195">
        <f t="shared" si="45"/>
        <v>1.9542000000000002</v>
      </c>
      <c r="O451" s="16">
        <f>IF('WetLitterbags placem_collection'!G158="N.A","",'WetLitterbags placem_collection'!G158)</f>
        <v>42816</v>
      </c>
      <c r="P451" s="195">
        <f>IF(IFERROR(INDEX('Both teabags AfterWet'!$C$3:$C$841,MATCH(H451,'Both teabags AfterWet'!$A$3:$A$841,0)),"")="N.A","",(IFERROR(INDEX('Both teabags AfterWet'!$C$3:$C$841,MATCH(H451,'Both teabags AfterWet'!$A$3:$A$841,0)),"")))</f>
        <v>0.65800000000000003</v>
      </c>
      <c r="Q451" s="195">
        <f>IFERROR(INDEX('Both teabags AfterWet'!$C$3:$C$841,MATCH(I451,'Both teabags AfterWet'!$A$3:$A$841,0)),"")</f>
        <v>1.802</v>
      </c>
      <c r="R451" s="195">
        <f t="shared" si="48"/>
        <v>0.50740000000000007</v>
      </c>
      <c r="S451" s="195">
        <f t="shared" si="48"/>
        <v>1.6514</v>
      </c>
      <c r="T451" s="195">
        <f t="shared" si="49"/>
        <v>0.71782894005116216</v>
      </c>
      <c r="U451" s="195">
        <f t="shared" si="50"/>
        <v>0.47059569466537005</v>
      </c>
      <c r="V451" s="195">
        <f t="shared" si="51"/>
        <v>0.84505168355337212</v>
      </c>
      <c r="W451">
        <f t="shared" si="46"/>
        <v>54</v>
      </c>
      <c r="X451" s="195">
        <f t="shared" si="52"/>
        <v>0.14747156763519931</v>
      </c>
      <c r="Y451" s="195">
        <f t="shared" si="53"/>
        <v>7.395807941494247E-3</v>
      </c>
      <c r="Z451" s="255" t="str">
        <f>IF(ISNUMBER(SEARCH("C",'WetLitterbags placem_collection'!W378)),"YES","NO")</f>
        <v>NO</v>
      </c>
      <c r="AA451" s="255" t="str">
        <f>IF(ISNUMBER(SEARCH("H", 'WetLitterbags placem_collection'!Y158)),"YES","NO")</f>
        <v>NO</v>
      </c>
      <c r="AB451" s="255" t="str">
        <f>IF(ISNUMBER(SEARCH("R", 'WetLitterbags placem_collection'!WY158)),"YES","NO")</f>
        <v>NO</v>
      </c>
      <c r="AC451" s="255" t="str">
        <f>IF(ISNUMBER(SEARCH("C", 'WetLitterbags placem_collection'!VX158)),"YES","NO")</f>
        <v>NO</v>
      </c>
      <c r="AD451" s="255" t="str">
        <f>IF(ISNUMBER(SEARCH("H", 'WetLitterbags placem_collection'!X158)),"YES","NO")</f>
        <v>NO</v>
      </c>
      <c r="AE451" s="255" t="str">
        <f>IF(ISNUMBER(SEARCH("R", 'WetLitterbags placem_collection'!X158)),"YES","NO")</f>
        <v>YES</v>
      </c>
    </row>
    <row r="452" spans="2:31">
      <c r="B452" t="str">
        <f>'Final data_for_R_analysis_Wetse'!A598</f>
        <v>Wet</v>
      </c>
      <c r="C452" s="263">
        <f>'Final data_for_R_analysis_Wetse'!B598</f>
        <v>157</v>
      </c>
      <c r="D452" t="s">
        <v>3850</v>
      </c>
      <c r="E452" t="s">
        <v>25</v>
      </c>
      <c r="F452" s="387">
        <v>5</v>
      </c>
      <c r="G452" s="16">
        <f>'WetLitterbags placem_collection'!E159</f>
        <v>42762</v>
      </c>
      <c r="H452" s="92" t="str">
        <f>'Final data_for_R_analysis_Wetse'!J598</f>
        <v>G777</v>
      </c>
      <c r="I452" t="str">
        <f>'Final data_for_R_analysis_Wetse'!J818</f>
        <v>R35</v>
      </c>
      <c r="J452">
        <f>IFERROR(INDEX('Green_rooibos initial weight'!$C$5:$C$1749,MATCH(H452, 'Green_rooibos initial weight'!$A$5:$A$1749,0)),"")</f>
        <v>2.0470000000000002</v>
      </c>
      <c r="K452">
        <f>IFERROR(INDEX('Green_rooibos initial weight'!$C$5:$C$1749,MATCH(I452, 'Green_rooibos initial weight'!$A$5:$A$1749,0)),"")</f>
        <v>2.0630000000000002</v>
      </c>
      <c r="L452" s="195">
        <f t="shared" si="47"/>
        <v>1.7972000000000001</v>
      </c>
      <c r="M452" s="195">
        <f>AVERAGE(Ashed_controlls!$K$2:$K$11)</f>
        <v>5.5147656768714146</v>
      </c>
      <c r="N452" s="195">
        <f t="shared" si="45"/>
        <v>1.8132000000000001</v>
      </c>
      <c r="O452" s="16">
        <f>IF('WetLitterbags placem_collection'!G159="N.A","",'WetLitterbags placem_collection'!G159)</f>
        <v>42816</v>
      </c>
      <c r="P452" s="195">
        <f>IF(IFERROR(INDEX('Both teabags AfterWet'!$C$3:$C$841,MATCH(H452,'Both teabags AfterWet'!$A$3:$A$841,0)),"")="N.A","",(IFERROR(INDEX('Both teabags AfterWet'!$C$3:$C$841,MATCH(H452,'Both teabags AfterWet'!$A$3:$A$841,0)),"")))</f>
        <v>0.70499999999999996</v>
      </c>
      <c r="Q452" s="195">
        <f>IFERROR(INDEX('Both teabags AfterWet'!$C$3:$C$841,MATCH(I452,'Both teabags AfterWet'!$A$3:$A$841,0)),"")</f>
        <v>1.994</v>
      </c>
      <c r="R452" s="195">
        <f t="shared" si="48"/>
        <v>0.5544</v>
      </c>
      <c r="S452" s="195">
        <f t="shared" si="48"/>
        <v>1.8433999999999999</v>
      </c>
      <c r="T452" s="195">
        <f t="shared" si="49"/>
        <v>0.69152014244380156</v>
      </c>
      <c r="U452" s="195">
        <f t="shared" si="50"/>
        <v>0.4533481218871479</v>
      </c>
      <c r="V452" s="195">
        <f t="shared" si="51"/>
        <v>1.0166556364438561</v>
      </c>
      <c r="W452">
        <f t="shared" si="46"/>
        <v>54</v>
      </c>
      <c r="X452" s="195">
        <f t="shared" si="52"/>
        <v>0.17871717049429736</v>
      </c>
      <c r="Y452" s="195">
        <f t="shared" si="53"/>
        <v>-6.6815518113489281E-4</v>
      </c>
      <c r="Z452" s="255" t="str">
        <f>IF(ISNUMBER(SEARCH("C",'WetLitterbags placem_collection'!W379)),"YES","NO")</f>
        <v>NO</v>
      </c>
      <c r="AA452" s="255" t="str">
        <f>IF(ISNUMBER(SEARCH("H", 'WetLitterbags placem_collection'!Y159)),"YES","NO")</f>
        <v>NO</v>
      </c>
      <c r="AB452" s="255" t="str">
        <f>IF(ISNUMBER(SEARCH("R", 'WetLitterbags placem_collection'!WY159)),"YES","NO")</f>
        <v>NO</v>
      </c>
      <c r="AC452" s="255" t="str">
        <f>IF(ISNUMBER(SEARCH("C", 'WetLitterbags placem_collection'!VX159)),"YES","NO")</f>
        <v>NO</v>
      </c>
      <c r="AD452" s="255" t="str">
        <f>IF(ISNUMBER(SEARCH("H", 'WetLitterbags placem_collection'!X159)),"YES","NO")</f>
        <v>NO</v>
      </c>
      <c r="AE452" s="255" t="str">
        <f>IF(ISNUMBER(SEARCH("R", 'WetLitterbags placem_collection'!X159)),"YES","NO")</f>
        <v>YES</v>
      </c>
    </row>
    <row r="453" spans="2:31">
      <c r="B453" t="str">
        <f>'Final data_for_R_analysis_Wetse'!A599</f>
        <v>Wet</v>
      </c>
      <c r="C453" s="263">
        <f>'Final data_for_R_analysis_Wetse'!B599</f>
        <v>158</v>
      </c>
      <c r="D453" t="s">
        <v>3850</v>
      </c>
      <c r="E453" t="s">
        <v>25</v>
      </c>
      <c r="F453" s="387">
        <v>6</v>
      </c>
      <c r="G453" s="16">
        <f>'WetLitterbags placem_collection'!E160</f>
        <v>42762</v>
      </c>
      <c r="H453" s="92" t="str">
        <f>'Final data_for_R_analysis_Wetse'!J599</f>
        <v>G884</v>
      </c>
      <c r="I453" t="str">
        <f>'Final data_for_R_analysis_Wetse'!J819</f>
        <v>R570</v>
      </c>
      <c r="J453">
        <f>IFERROR(INDEX('Green_rooibos initial weight'!$C$5:$C$1749,MATCH(H453, 'Green_rooibos initial weight'!$A$5:$A$1749,0)),"")</f>
        <v>2.0710000000000002</v>
      </c>
      <c r="K453">
        <f>IFERROR(INDEX('Green_rooibos initial weight'!$C$5:$C$1749,MATCH(I453, 'Green_rooibos initial weight'!$A$5:$A$1749,0)),"")</f>
        <v>2.0910000000000002</v>
      </c>
      <c r="L453" s="195">
        <f t="shared" si="47"/>
        <v>1.8212000000000002</v>
      </c>
      <c r="M453" s="195">
        <f>AVERAGE(Ashed_controlls!$K$2:$K$11)</f>
        <v>5.5147656768714146</v>
      </c>
      <c r="N453" s="195">
        <f t="shared" si="45"/>
        <v>1.8412000000000002</v>
      </c>
      <c r="O453" s="16">
        <f>IF('WetLitterbags placem_collection'!G160="N.A","",'WetLitterbags placem_collection'!G160)</f>
        <v>42816</v>
      </c>
      <c r="P453" s="195">
        <f>IF(IFERROR(INDEX('Both teabags AfterWet'!$C$3:$C$841,MATCH(H453,'Both teabags AfterWet'!$A$3:$A$841,0)),"")="N.A","",(IFERROR(INDEX('Both teabags AfterWet'!$C$3:$C$841,MATCH(H453,'Both teabags AfterWet'!$A$3:$A$841,0)),"")))</f>
        <v>0.629</v>
      </c>
      <c r="Q453" s="195">
        <f>IFERROR(INDEX('Both teabags AfterWet'!$C$3:$C$841,MATCH(I453,'Both teabags AfterWet'!$A$3:$A$841,0)),"")</f>
        <v>1.718</v>
      </c>
      <c r="R453" s="195">
        <f t="shared" si="48"/>
        <v>0.47839999999999999</v>
      </c>
      <c r="S453" s="195">
        <f t="shared" si="48"/>
        <v>1.5673999999999999</v>
      </c>
      <c r="T453" s="195">
        <f t="shared" si="49"/>
        <v>0.73731605534812217</v>
      </c>
      <c r="U453" s="195">
        <f t="shared" si="50"/>
        <v>0.48337109566765257</v>
      </c>
      <c r="V453" s="195">
        <f t="shared" si="51"/>
        <v>0.85129263523788823</v>
      </c>
      <c r="W453">
        <f t="shared" si="46"/>
        <v>54</v>
      </c>
      <c r="X453" s="195">
        <f t="shared" si="52"/>
        <v>0.12432772523975988</v>
      </c>
      <c r="Y453" s="195">
        <f t="shared" si="53"/>
        <v>6.8084895057716468E-3</v>
      </c>
      <c r="Z453" s="255" t="str">
        <f>IF(ISNUMBER(SEARCH("C",'WetLitterbags placem_collection'!W380)),"YES","NO")</f>
        <v>NO</v>
      </c>
      <c r="AA453" s="255" t="str">
        <f>IF(ISNUMBER(SEARCH("H", 'WetLitterbags placem_collection'!Y160)),"YES","NO")</f>
        <v>NO</v>
      </c>
      <c r="AB453" s="255" t="str">
        <f>IF(ISNUMBER(SEARCH("R", 'WetLitterbags placem_collection'!WY160)),"YES","NO")</f>
        <v>NO</v>
      </c>
      <c r="AC453" s="255" t="str">
        <f>IF(ISNUMBER(SEARCH("C", 'WetLitterbags placem_collection'!VX160)),"YES","NO")</f>
        <v>NO</v>
      </c>
      <c r="AD453" s="255" t="str">
        <f>IF(ISNUMBER(SEARCH("H", 'WetLitterbags placem_collection'!X160)),"YES","NO")</f>
        <v>NO</v>
      </c>
      <c r="AE453" s="255" t="str">
        <f>IF(ISNUMBER(SEARCH("R", 'WetLitterbags placem_collection'!X160)),"YES","NO")</f>
        <v>YES</v>
      </c>
    </row>
    <row r="454" spans="2:31">
      <c r="B454" t="str">
        <f>'Final data_for_R_analysis_Wetse'!A600</f>
        <v>Wet</v>
      </c>
      <c r="C454" s="263">
        <f>'Final data_for_R_analysis_Wetse'!B600</f>
        <v>159</v>
      </c>
      <c r="D454" t="s">
        <v>3850</v>
      </c>
      <c r="E454" t="s">
        <v>25</v>
      </c>
      <c r="F454" s="387">
        <v>7</v>
      </c>
      <c r="G454" s="16">
        <f>'WetLitterbags placem_collection'!E161</f>
        <v>42762</v>
      </c>
      <c r="H454" s="92" t="str">
        <f>'Final data_for_R_analysis_Wetse'!J600</f>
        <v>G731</v>
      </c>
      <c r="I454" t="str">
        <f>'Final data_for_R_analysis_Wetse'!J820</f>
        <v>R439</v>
      </c>
      <c r="J454">
        <f>IFERROR(INDEX('Green_rooibos initial weight'!$C$5:$C$1749,MATCH(H454, 'Green_rooibos initial weight'!$A$5:$A$1749,0)),"")</f>
        <v>2.14</v>
      </c>
      <c r="K454">
        <f>IFERROR(INDEX('Green_rooibos initial weight'!$C$5:$C$1749,MATCH(I454, 'Green_rooibos initial weight'!$A$5:$A$1749,0)),"")</f>
        <v>2.2450000000000001</v>
      </c>
      <c r="L454" s="195">
        <f t="shared" si="47"/>
        <v>1.8902000000000001</v>
      </c>
      <c r="M454" s="195">
        <f>AVERAGE(Ashed_controlls!$K$2:$K$11)</f>
        <v>5.5147656768714146</v>
      </c>
      <c r="N454" s="195">
        <f t="shared" si="45"/>
        <v>1.9952000000000001</v>
      </c>
      <c r="O454" s="16">
        <f>IF('WetLitterbags placem_collection'!G161="N.A","",'WetLitterbags placem_collection'!G161)</f>
        <v>42816</v>
      </c>
      <c r="P454" s="195" t="str">
        <f>IF(IFERROR(INDEX('Both teabags AfterWet'!$C$3:$C$841,MATCH(H454,'Both teabags AfterWet'!$A$3:$A$841,0)),"")="N.A","",(IFERROR(INDEX('Both teabags AfterWet'!$C$3:$C$841,MATCH(H454,'Both teabags AfterWet'!$A$3:$A$841,0)),"")))</f>
        <v/>
      </c>
      <c r="Q454" s="195" t="str">
        <f>IFERROR(INDEX('Both teabags AfterWet'!$C$3:$C$841,MATCH(I454,'Both teabags AfterWet'!$A$3:$A$841,0)),"")</f>
        <v/>
      </c>
      <c r="R454" s="195" t="str">
        <f t="shared" si="48"/>
        <v/>
      </c>
      <c r="S454" s="195" t="str">
        <f t="shared" si="48"/>
        <v/>
      </c>
      <c r="T454" s="195" t="str">
        <f t="shared" si="49"/>
        <v/>
      </c>
      <c r="U454" s="195" t="str">
        <f t="shared" si="50"/>
        <v/>
      </c>
      <c r="V454" s="195" t="str">
        <f t="shared" si="51"/>
        <v/>
      </c>
      <c r="W454">
        <f t="shared" si="46"/>
        <v>54</v>
      </c>
      <c r="X454" s="195" t="str">
        <f t="shared" si="52"/>
        <v/>
      </c>
      <c r="Y454" s="195" t="str">
        <f t="shared" si="53"/>
        <v/>
      </c>
      <c r="Z454" s="255" t="str">
        <f>IF(ISNUMBER(SEARCH("C",'WetLitterbags placem_collection'!W381)),"YES","NO")</f>
        <v>NO</v>
      </c>
      <c r="AA454" s="255" t="str">
        <f>IF(ISNUMBER(SEARCH("H", 'WetLitterbags placem_collection'!Y161)),"YES","NO")</f>
        <v>NO</v>
      </c>
      <c r="AB454" s="255" t="str">
        <f>IF(ISNUMBER(SEARCH("R", 'WetLitterbags placem_collection'!WY161)),"YES","NO")</f>
        <v>NO</v>
      </c>
      <c r="AC454" s="255" t="str">
        <f>IF(ISNUMBER(SEARCH("C", 'WetLitterbags placem_collection'!VX161)),"YES","NO")</f>
        <v>NO</v>
      </c>
      <c r="AD454" s="255" t="str">
        <f>IF(ISNUMBER(SEARCH("H", 'WetLitterbags placem_collection'!X161)),"YES","NO")</f>
        <v>NO</v>
      </c>
      <c r="AE454" s="255" t="str">
        <f>IF(ISNUMBER(SEARCH("R", 'WetLitterbags placem_collection'!X161)),"YES","NO")</f>
        <v>NO</v>
      </c>
    </row>
    <row r="455" spans="2:31">
      <c r="B455" t="str">
        <f>'Final data_for_R_analysis_Wetse'!A601</f>
        <v>Wet</v>
      </c>
      <c r="C455" s="263">
        <f>'Final data_for_R_analysis_Wetse'!B601</f>
        <v>160</v>
      </c>
      <c r="D455" t="s">
        <v>3850</v>
      </c>
      <c r="E455" t="s">
        <v>25</v>
      </c>
      <c r="F455" s="387">
        <v>8</v>
      </c>
      <c r="G455" s="16">
        <f>'WetLitterbags placem_collection'!E162</f>
        <v>42762</v>
      </c>
      <c r="H455" s="92" t="str">
        <f>'Final data_for_R_analysis_Wetse'!J601</f>
        <v>G876</v>
      </c>
      <c r="I455" t="str">
        <f>'Final data_for_R_analysis_Wetse'!J821</f>
        <v>R461</v>
      </c>
      <c r="J455">
        <f>IFERROR(INDEX('Green_rooibos initial weight'!$C$5:$C$1749,MATCH(H455, 'Green_rooibos initial weight'!$A$5:$A$1749,0)),"")</f>
        <v>1.9550000000000001</v>
      </c>
      <c r="K455">
        <f>IFERROR(INDEX('Green_rooibos initial weight'!$C$5:$C$1749,MATCH(I455, 'Green_rooibos initial weight'!$A$5:$A$1749,0)),"")</f>
        <v>2.1930000000000001</v>
      </c>
      <c r="L455" s="195">
        <f t="shared" si="47"/>
        <v>1.7052</v>
      </c>
      <c r="M455" s="195">
        <f>AVERAGE(Ashed_controlls!$K$2:$K$11)</f>
        <v>5.5147656768714146</v>
      </c>
      <c r="N455" s="195">
        <f t="shared" si="45"/>
        <v>1.9432</v>
      </c>
      <c r="O455" s="16">
        <f>IF('WetLitterbags placem_collection'!G162="N.A","",'WetLitterbags placem_collection'!G162)</f>
        <v>42816</v>
      </c>
      <c r="P455" s="195">
        <f>IF(IFERROR(INDEX('Both teabags AfterWet'!$C$3:$C$841,MATCH(H455,'Both teabags AfterWet'!$A$3:$A$841,0)),"")="N.A","",(IFERROR(INDEX('Both teabags AfterWet'!$C$3:$C$841,MATCH(H455,'Both teabags AfterWet'!$A$3:$A$841,0)),"")))</f>
        <v>0.68100000000000005</v>
      </c>
      <c r="Q455" s="195">
        <f>IFERROR(INDEX('Both teabags AfterWet'!$C$3:$C$841,MATCH(I455,'Both teabags AfterWet'!$A$3:$A$841,0)),"")</f>
        <v>1.744</v>
      </c>
      <c r="R455" s="195">
        <f t="shared" si="48"/>
        <v>0.53039999999999998</v>
      </c>
      <c r="S455" s="195">
        <f t="shared" si="48"/>
        <v>1.5933999999999999</v>
      </c>
      <c r="T455" s="195">
        <f t="shared" si="49"/>
        <v>0.68895144264602393</v>
      </c>
      <c r="U455" s="195">
        <f t="shared" si="50"/>
        <v>0.45166412867055256</v>
      </c>
      <c r="V455" s="195">
        <f t="shared" si="51"/>
        <v>0.81998764923836964</v>
      </c>
      <c r="W455">
        <f t="shared" si="46"/>
        <v>54</v>
      </c>
      <c r="X455" s="195">
        <f t="shared" si="52"/>
        <v>0.181767882843202</v>
      </c>
      <c r="Y455" s="195">
        <f t="shared" si="53"/>
        <v>9.4151445856047421E-3</v>
      </c>
      <c r="Z455" s="255" t="str">
        <f>IF(ISNUMBER(SEARCH("C",'WetLitterbags placem_collection'!W382)),"YES","NO")</f>
        <v>NO</v>
      </c>
      <c r="AA455" s="255" t="str">
        <f>IF(ISNUMBER(SEARCH("H", 'WetLitterbags placem_collection'!Y162)),"YES","NO")</f>
        <v>NO</v>
      </c>
      <c r="AB455" s="255" t="str">
        <f>IF(ISNUMBER(SEARCH("R", 'WetLitterbags placem_collection'!WY162)),"YES","NO")</f>
        <v>NO</v>
      </c>
      <c r="AC455" s="255" t="str">
        <f>IF(ISNUMBER(SEARCH("C", 'WetLitterbags placem_collection'!VX162)),"YES","NO")</f>
        <v>NO</v>
      </c>
      <c r="AD455" s="255" t="str">
        <f>IF(ISNUMBER(SEARCH("H", 'WetLitterbags placem_collection'!X162)),"YES","NO")</f>
        <v>NO</v>
      </c>
      <c r="AE455" s="255" t="str">
        <f>IF(ISNUMBER(SEARCH("R", 'WetLitterbags placem_collection'!X162)),"YES","NO")</f>
        <v>YES</v>
      </c>
    </row>
    <row r="456" spans="2:31">
      <c r="B456" t="str">
        <f>'Final data_for_R_analysis_Wetse'!A602</f>
        <v>Wet</v>
      </c>
      <c r="C456" s="263">
        <f>'Final data_for_R_analysis_Wetse'!B602</f>
        <v>161</v>
      </c>
      <c r="D456" t="s">
        <v>3851</v>
      </c>
      <c r="E456" t="s">
        <v>25</v>
      </c>
      <c r="F456" s="386">
        <v>1</v>
      </c>
      <c r="G456" s="16">
        <f>'WetLitterbags placem_collection'!E163</f>
        <v>42763</v>
      </c>
      <c r="H456" s="92" t="str">
        <f>'Final data_for_R_analysis_Wetse'!J602</f>
        <v>G351</v>
      </c>
      <c r="I456" t="str">
        <f>'Final data_for_R_analysis_Wetse'!J822</f>
        <v>R253</v>
      </c>
      <c r="J456">
        <f>IFERROR(INDEX('Green_rooibos initial weight'!$C$5:$C$1749,MATCH(H456, 'Green_rooibos initial weight'!$A$5:$A$1749,0)),"")</f>
        <v>1.909</v>
      </c>
      <c r="K456">
        <f>IFERROR(INDEX('Green_rooibos initial weight'!$C$5:$C$1749,MATCH(I456, 'Green_rooibos initial weight'!$A$5:$A$1749,0)),"")</f>
        <v>2.2130000000000001</v>
      </c>
      <c r="L456" s="195">
        <f t="shared" si="47"/>
        <v>1.6592</v>
      </c>
      <c r="M456" s="195">
        <f>AVERAGE(Ashed_controlls!$K$2:$K$11)</f>
        <v>5.5147656768714146</v>
      </c>
      <c r="N456" s="195">
        <f t="shared" si="45"/>
        <v>1.9632000000000001</v>
      </c>
      <c r="O456" s="16">
        <f>IF('WetLitterbags placem_collection'!G163="N.A","",'WetLitterbags placem_collection'!G163)</f>
        <v>42814</v>
      </c>
      <c r="P456" s="195">
        <f>IF(IFERROR(INDEX('Both teabags AfterWet'!$C$3:$C$841,MATCH(H456,'Both teabags AfterWet'!$A$3:$A$841,0)),"")="N.A","",(IFERROR(INDEX('Both teabags AfterWet'!$C$3:$C$841,MATCH(H456,'Both teabags AfterWet'!$A$3:$A$841,0)),"")))</f>
        <v>0.58709999999999996</v>
      </c>
      <c r="Q456" s="195">
        <f>IFERROR(INDEX('Both teabags AfterWet'!$C$3:$C$841,MATCH(I456,'Both teabags AfterWet'!$A$3:$A$841,0)),"")</f>
        <v>1.7033</v>
      </c>
      <c r="R456" s="195">
        <f t="shared" si="48"/>
        <v>0.43649999999999994</v>
      </c>
      <c r="S456" s="195">
        <f t="shared" si="48"/>
        <v>1.5527</v>
      </c>
      <c r="T456" s="195">
        <f t="shared" si="49"/>
        <v>0.73692140790742533</v>
      </c>
      <c r="U456" s="195">
        <f t="shared" si="50"/>
        <v>0.4831123719298086</v>
      </c>
      <c r="V456" s="195">
        <f t="shared" si="51"/>
        <v>0.79090260798695999</v>
      </c>
      <c r="W456">
        <f t="shared" si="46"/>
        <v>51</v>
      </c>
      <c r="X456" s="195">
        <f t="shared" si="52"/>
        <v>0.12479642766339027</v>
      </c>
      <c r="Y456" s="195">
        <f t="shared" si="53"/>
        <v>1.1118951069981408E-2</v>
      </c>
      <c r="Z456" s="255" t="str">
        <f>IF(ISNUMBER(SEARCH("C",'WetLitterbags placem_collection'!W383)),"YES","NO")</f>
        <v>NO</v>
      </c>
      <c r="AA456" s="255" t="str">
        <f>IF(ISNUMBER(SEARCH("H", 'WetLitterbags placem_collection'!Y163)),"YES","NO")</f>
        <v>NO</v>
      </c>
      <c r="AB456" s="255" t="str">
        <f>IF(ISNUMBER(SEARCH("R", 'WetLitterbags placem_collection'!WY163)),"YES","NO")</f>
        <v>NO</v>
      </c>
      <c r="AC456" s="255" t="str">
        <f>IF(ISNUMBER(SEARCH("C", 'WetLitterbags placem_collection'!VX163)),"YES","NO")</f>
        <v>NO</v>
      </c>
      <c r="AD456" s="255" t="str">
        <f>IF(ISNUMBER(SEARCH("H", 'WetLitterbags placem_collection'!X163)),"YES","NO")</f>
        <v>NO</v>
      </c>
      <c r="AE456" s="255" t="str">
        <f>IF(ISNUMBER(SEARCH("R", 'WetLitterbags placem_collection'!X163)),"YES","NO")</f>
        <v>NO</v>
      </c>
    </row>
    <row r="457" spans="2:31">
      <c r="B457" t="str">
        <f>'Final data_for_R_analysis_Wetse'!A603</f>
        <v>Wet</v>
      </c>
      <c r="C457" s="263">
        <f>'Final data_for_R_analysis_Wetse'!B603</f>
        <v>162</v>
      </c>
      <c r="D457" t="s">
        <v>3851</v>
      </c>
      <c r="E457" t="s">
        <v>25</v>
      </c>
      <c r="F457" s="386">
        <v>2</v>
      </c>
      <c r="G457" s="16">
        <f>'WetLitterbags placem_collection'!E164</f>
        <v>42763</v>
      </c>
      <c r="H457" s="92" t="str">
        <f>'Final data_for_R_analysis_Wetse'!J603</f>
        <v>G442</v>
      </c>
      <c r="I457" t="str">
        <f>'Final data_for_R_analysis_Wetse'!J823</f>
        <v>R285</v>
      </c>
      <c r="J457">
        <f>IFERROR(INDEX('Green_rooibos initial weight'!$C$5:$C$1749,MATCH(H457, 'Green_rooibos initial weight'!$A$5:$A$1749,0)),"")</f>
        <v>2.056</v>
      </c>
      <c r="K457">
        <f>IFERROR(INDEX('Green_rooibos initial weight'!$C$5:$C$1749,MATCH(I457, 'Green_rooibos initial weight'!$A$5:$A$1749,0)),"")</f>
        <v>2.2400000000000002</v>
      </c>
      <c r="L457" s="195">
        <f t="shared" si="47"/>
        <v>1.8062</v>
      </c>
      <c r="M457" s="195">
        <f>AVERAGE(Ashed_controlls!$K$2:$K$11)</f>
        <v>5.5147656768714146</v>
      </c>
      <c r="N457" s="195">
        <f t="shared" si="45"/>
        <v>1.9902000000000002</v>
      </c>
      <c r="O457" s="16">
        <f>IF('WetLitterbags placem_collection'!G164="N.A","",'WetLitterbags placem_collection'!G164)</f>
        <v>42814</v>
      </c>
      <c r="P457" s="195">
        <f>IF(IFERROR(INDEX('Both teabags AfterWet'!$C$3:$C$841,MATCH(H457,'Both teabags AfterWet'!$A$3:$A$841,0)),"")="N.A","",(IFERROR(INDEX('Both teabags AfterWet'!$C$3:$C$841,MATCH(H457,'Both teabags AfterWet'!$A$3:$A$841,0)),"")))</f>
        <v>0.66290000000000004</v>
      </c>
      <c r="Q457" s="195">
        <f>IFERROR(INDEX('Both teabags AfterWet'!$C$3:$C$841,MATCH(I457,'Both teabags AfterWet'!$A$3:$A$841,0)),"")</f>
        <v>1.6621999999999999</v>
      </c>
      <c r="R457" s="195">
        <f t="shared" si="48"/>
        <v>0.51229999999999998</v>
      </c>
      <c r="S457" s="195">
        <f t="shared" si="48"/>
        <v>1.5115999999999998</v>
      </c>
      <c r="T457" s="195">
        <f t="shared" si="49"/>
        <v>0.71636585095781202</v>
      </c>
      <c r="U457" s="195">
        <f t="shared" si="50"/>
        <v>0.46963651986782928</v>
      </c>
      <c r="V457" s="195">
        <f t="shared" si="51"/>
        <v>0.75952165611496314</v>
      </c>
      <c r="W457">
        <f t="shared" si="46"/>
        <v>51</v>
      </c>
      <c r="X457" s="195">
        <f t="shared" si="52"/>
        <v>0.14920920313799046</v>
      </c>
      <c r="Y457" s="195">
        <f t="shared" si="53"/>
        <v>1.4069540070446694E-2</v>
      </c>
      <c r="Z457" s="255" t="str">
        <f>IF(ISNUMBER(SEARCH("C",'WetLitterbags placem_collection'!W384)),"YES","NO")</f>
        <v>NO</v>
      </c>
      <c r="AA457" s="255" t="str">
        <f>IF(ISNUMBER(SEARCH("H", 'WetLitterbags placem_collection'!Y164)),"YES","NO")</f>
        <v>NO</v>
      </c>
      <c r="AB457" s="255" t="str">
        <f>IF(ISNUMBER(SEARCH("R", 'WetLitterbags placem_collection'!WY164)),"YES","NO")</f>
        <v>NO</v>
      </c>
      <c r="AC457" s="255" t="str">
        <f>IF(ISNUMBER(SEARCH("C", 'WetLitterbags placem_collection'!VX164)),"YES","NO")</f>
        <v>NO</v>
      </c>
      <c r="AD457" s="255" t="str">
        <f>IF(ISNUMBER(SEARCH("H", 'WetLitterbags placem_collection'!X164)),"YES","NO")</f>
        <v>NO</v>
      </c>
      <c r="AE457" s="255" t="str">
        <f>IF(ISNUMBER(SEARCH("R", 'WetLitterbags placem_collection'!X164)),"YES","NO")</f>
        <v>NO</v>
      </c>
    </row>
    <row r="458" spans="2:31">
      <c r="B458" t="str">
        <f>'Final data_for_R_analysis_Wetse'!A604</f>
        <v>Wet</v>
      </c>
      <c r="C458" s="263">
        <f>'Final data_for_R_analysis_Wetse'!B604</f>
        <v>163</v>
      </c>
      <c r="D458" t="s">
        <v>3851</v>
      </c>
      <c r="E458" t="s">
        <v>25</v>
      </c>
      <c r="F458" s="386">
        <v>3</v>
      </c>
      <c r="G458" s="16">
        <f>'WetLitterbags placem_collection'!E165</f>
        <v>42763</v>
      </c>
      <c r="H458" s="92" t="str">
        <f>'Final data_for_R_analysis_Wetse'!J604</f>
        <v>G743</v>
      </c>
      <c r="I458" t="str">
        <f>'Final data_for_R_analysis_Wetse'!J824</f>
        <v>R341</v>
      </c>
      <c r="J458">
        <f>IFERROR(INDEX('Green_rooibos initial weight'!$C$5:$C$1749,MATCH(H458, 'Green_rooibos initial weight'!$A$5:$A$1749,0)),"")</f>
        <v>2.0339999999999998</v>
      </c>
      <c r="K458">
        <f>IFERROR(INDEX('Green_rooibos initial weight'!$C$5:$C$1749,MATCH(I458, 'Green_rooibos initial weight'!$A$5:$A$1749,0)),"")</f>
        <v>2.1560000000000001</v>
      </c>
      <c r="L458" s="195">
        <f t="shared" si="47"/>
        <v>1.7841999999999998</v>
      </c>
      <c r="M458" s="195">
        <f>AVERAGE(Ashed_controlls!$K$2:$K$11)</f>
        <v>5.5147656768714146</v>
      </c>
      <c r="N458" s="195">
        <f t="shared" si="45"/>
        <v>1.9062000000000001</v>
      </c>
      <c r="O458" s="16">
        <f>IF('WetLitterbags placem_collection'!G165="N.A","",'WetLitterbags placem_collection'!G165)</f>
        <v>42814</v>
      </c>
      <c r="P458" s="195">
        <f>IF(IFERROR(INDEX('Both teabags AfterWet'!$C$3:$C$841,MATCH(H458,'Both teabags AfterWet'!$A$3:$A$841,0)),"")="N.A","",(IFERROR(INDEX('Both teabags AfterWet'!$C$3:$C$841,MATCH(H458,'Both teabags AfterWet'!$A$3:$A$841,0)),"")))</f>
        <v>0.68700000000000006</v>
      </c>
      <c r="Q458" s="195">
        <f>IFERROR(INDEX('Both teabags AfterWet'!$C$3:$C$841,MATCH(I458,'Both teabags AfterWet'!$A$3:$A$841,0)),"")</f>
        <v>1.738</v>
      </c>
      <c r="R458" s="195">
        <f t="shared" si="48"/>
        <v>0.53639999999999999</v>
      </c>
      <c r="S458" s="195">
        <f t="shared" si="48"/>
        <v>1.5873999999999999</v>
      </c>
      <c r="T458" s="195">
        <f t="shared" si="49"/>
        <v>0.6993610581773344</v>
      </c>
      <c r="U458" s="195">
        <f t="shared" si="50"/>
        <v>0.45848848469582976</v>
      </c>
      <c r="V458" s="195">
        <f t="shared" si="51"/>
        <v>0.83275626901689215</v>
      </c>
      <c r="W458">
        <f t="shared" si="46"/>
        <v>51</v>
      </c>
      <c r="X458" s="195">
        <f t="shared" si="52"/>
        <v>0.169404919029294</v>
      </c>
      <c r="Y458" s="195">
        <f t="shared" si="53"/>
        <v>8.8974742058777357E-3</v>
      </c>
      <c r="Z458" s="255" t="str">
        <f>IF(ISNUMBER(SEARCH("C",'WetLitterbags placem_collection'!W385)),"YES","NO")</f>
        <v>NO</v>
      </c>
      <c r="AA458" s="255" t="str">
        <f>IF(ISNUMBER(SEARCH("H", 'WetLitterbags placem_collection'!Y165)),"YES","NO")</f>
        <v>NO</v>
      </c>
      <c r="AB458" s="255" t="str">
        <f>IF(ISNUMBER(SEARCH("R", 'WetLitterbags placem_collection'!WY165)),"YES","NO")</f>
        <v>NO</v>
      </c>
      <c r="AC458" s="255" t="str">
        <f>IF(ISNUMBER(SEARCH("C", 'WetLitterbags placem_collection'!VX165)),"YES","NO")</f>
        <v>NO</v>
      </c>
      <c r="AD458" s="255" t="str">
        <f>IF(ISNUMBER(SEARCH("H", 'WetLitterbags placem_collection'!X165)),"YES","NO")</f>
        <v>NO</v>
      </c>
      <c r="AE458" s="255" t="str">
        <f>IF(ISNUMBER(SEARCH("R", 'WetLitterbags placem_collection'!X165)),"YES","NO")</f>
        <v>NO</v>
      </c>
    </row>
    <row r="459" spans="2:31">
      <c r="B459" t="str">
        <f>'Final data_for_R_analysis_Wetse'!A605</f>
        <v>Wet</v>
      </c>
      <c r="C459" s="263">
        <f>'Final data_for_R_analysis_Wetse'!B605</f>
        <v>164</v>
      </c>
      <c r="D459" t="s">
        <v>3851</v>
      </c>
      <c r="E459" t="s">
        <v>25</v>
      </c>
      <c r="F459" s="387">
        <v>4</v>
      </c>
      <c r="G459" s="16">
        <f>'WetLitterbags placem_collection'!E166</f>
        <v>42763</v>
      </c>
      <c r="H459" s="92" t="str">
        <f>'Final data_for_R_analysis_Wetse'!J605</f>
        <v>G390</v>
      </c>
      <c r="I459" t="str">
        <f>'Final data_for_R_analysis_Wetse'!J825</f>
        <v>R264</v>
      </c>
      <c r="J459">
        <f>IFERROR(INDEX('Green_rooibos initial weight'!$C$5:$C$1749,MATCH(H459, 'Green_rooibos initial weight'!$A$5:$A$1749,0)),"")</f>
        <v>2.0630000000000002</v>
      </c>
      <c r="K459">
        <f>IFERROR(INDEX('Green_rooibos initial weight'!$C$5:$C$1749,MATCH(I459, 'Green_rooibos initial weight'!$A$5:$A$1749,0)),"")</f>
        <v>2.2250000000000001</v>
      </c>
      <c r="L459" s="195">
        <f t="shared" si="47"/>
        <v>1.8132000000000001</v>
      </c>
      <c r="M459" s="195">
        <f>AVERAGE(Ashed_controlls!$K$2:$K$11)</f>
        <v>5.5147656768714146</v>
      </c>
      <c r="N459" s="195">
        <f t="shared" si="45"/>
        <v>1.9752000000000001</v>
      </c>
      <c r="O459" s="16">
        <f>IF('WetLitterbags placem_collection'!G166="N.A","",'WetLitterbags placem_collection'!G166)</f>
        <v>42814</v>
      </c>
      <c r="P459" s="195">
        <f>IF(IFERROR(INDEX('Both teabags AfterWet'!$C$3:$C$841,MATCH(H459,'Both teabags AfterWet'!$A$3:$A$841,0)),"")="N.A","",(IFERROR(INDEX('Both teabags AfterWet'!$C$3:$C$841,MATCH(H459,'Both teabags AfterWet'!$A$3:$A$841,0)),"")))</f>
        <v>0.63800000000000001</v>
      </c>
      <c r="Q459" s="195">
        <f>IFERROR(INDEX('Both teabags AfterWet'!$C$3:$C$841,MATCH(I459,'Both teabags AfterWet'!$A$3:$A$841,0)),"")</f>
        <v>1.7050000000000001</v>
      </c>
      <c r="R459" s="195">
        <f t="shared" si="48"/>
        <v>0.4874</v>
      </c>
      <c r="S459" s="195">
        <f t="shared" si="48"/>
        <v>1.5544</v>
      </c>
      <c r="T459" s="195">
        <f t="shared" si="49"/>
        <v>0.73119347010809621</v>
      </c>
      <c r="U459" s="195">
        <f t="shared" si="50"/>
        <v>0.47935723931077096</v>
      </c>
      <c r="V459" s="195">
        <f t="shared" si="51"/>
        <v>0.7869582827055488</v>
      </c>
      <c r="W459">
        <f t="shared" si="46"/>
        <v>51</v>
      </c>
      <c r="X459" s="195">
        <f t="shared" si="52"/>
        <v>0.13159920414715409</v>
      </c>
      <c r="Y459" s="195">
        <f t="shared" si="53"/>
        <v>1.1524791037832991E-2</v>
      </c>
      <c r="Z459" s="255" t="str">
        <f>IF(ISNUMBER(SEARCH("C",'WetLitterbags placem_collection'!W386)),"YES","NO")</f>
        <v>NO</v>
      </c>
      <c r="AA459" s="255" t="str">
        <f>IF(ISNUMBER(SEARCH("H", 'WetLitterbags placem_collection'!Y166)),"YES","NO")</f>
        <v>NO</v>
      </c>
      <c r="AB459" s="255" t="str">
        <f>IF(ISNUMBER(SEARCH("R", 'WetLitterbags placem_collection'!WY166)),"YES","NO")</f>
        <v>NO</v>
      </c>
      <c r="AC459" s="255" t="str">
        <f>IF(ISNUMBER(SEARCH("C", 'WetLitterbags placem_collection'!VX166)),"YES","NO")</f>
        <v>NO</v>
      </c>
      <c r="AD459" s="255" t="str">
        <f>IF(ISNUMBER(SEARCH("H", 'WetLitterbags placem_collection'!X166)),"YES","NO")</f>
        <v>NO</v>
      </c>
      <c r="AE459" s="255" t="str">
        <f>IF(ISNUMBER(SEARCH("R", 'WetLitterbags placem_collection'!X166)),"YES","NO")</f>
        <v>NO</v>
      </c>
    </row>
    <row r="460" spans="2:31">
      <c r="B460" t="str">
        <f>'Final data_for_R_analysis_Wetse'!A606</f>
        <v>Wet</v>
      </c>
      <c r="C460" s="263">
        <f>'Final data_for_R_analysis_Wetse'!B606</f>
        <v>165</v>
      </c>
      <c r="D460" t="s">
        <v>3851</v>
      </c>
      <c r="E460" t="s">
        <v>25</v>
      </c>
      <c r="F460" s="387">
        <v>5</v>
      </c>
      <c r="G460" s="16">
        <f>'WetLitterbags placem_collection'!E167</f>
        <v>42763</v>
      </c>
      <c r="H460" s="92" t="str">
        <f>'Final data_for_R_analysis_Wetse'!J606</f>
        <v>G810</v>
      </c>
      <c r="I460" t="str">
        <f>'Final data_for_R_analysis_Wetse'!J826</f>
        <v>R411</v>
      </c>
      <c r="J460">
        <f>IFERROR(INDEX('Green_rooibos initial weight'!$C$5:$C$1749,MATCH(H460, 'Green_rooibos initial weight'!$A$5:$A$1749,0)),"")</f>
        <v>1.946</v>
      </c>
      <c r="K460">
        <f>IFERROR(INDEX('Green_rooibos initial weight'!$C$5:$C$1749,MATCH(I460, 'Green_rooibos initial weight'!$A$5:$A$1749,0)),"")</f>
        <v>2.2240000000000002</v>
      </c>
      <c r="L460" s="195">
        <f t="shared" si="47"/>
        <v>1.6961999999999999</v>
      </c>
      <c r="M460" s="195">
        <f>AVERAGE(Ashed_controlls!$K$2:$K$11)</f>
        <v>5.5147656768714146</v>
      </c>
      <c r="N460" s="195">
        <f t="shared" ref="N460:N515" si="54">IF(K460&gt;0,(K460*$F$32-($F$29+$F$30)),"")</f>
        <v>1.9742000000000002</v>
      </c>
      <c r="O460" s="16">
        <f>IF('WetLitterbags placem_collection'!G167="N.A","",'WetLitterbags placem_collection'!G167)</f>
        <v>42814</v>
      </c>
      <c r="P460" s="195">
        <f>IF(IFERROR(INDEX('Both teabags AfterWet'!$C$3:$C$841,MATCH(H460,'Both teabags AfterWet'!$A$3:$A$841,0)),"")="N.A","",(IFERROR(INDEX('Both teabags AfterWet'!$C$3:$C$841,MATCH(H460,'Both teabags AfterWet'!$A$3:$A$841,0)),"")))</f>
        <v>0.64800000000000002</v>
      </c>
      <c r="Q460" s="195">
        <f>IFERROR(INDEX('Both teabags AfterWet'!$C$3:$C$841,MATCH(I460,'Both teabags AfterWet'!$A$3:$A$841,0)),"")</f>
        <v>1.728</v>
      </c>
      <c r="R460" s="195">
        <f t="shared" si="48"/>
        <v>0.49740000000000001</v>
      </c>
      <c r="S460" s="195">
        <f t="shared" si="48"/>
        <v>1.5773999999999999</v>
      </c>
      <c r="T460" s="195">
        <f t="shared" si="49"/>
        <v>0.70675627874071445</v>
      </c>
      <c r="U460" s="195">
        <f t="shared" si="50"/>
        <v>0.46333665779676297</v>
      </c>
      <c r="V460" s="195">
        <f t="shared" si="51"/>
        <v>0.79900719278695154</v>
      </c>
      <c r="W460">
        <f t="shared" ref="W460:W515" si="55">IF((O460-G460)&gt;0,(IFERROR(O460-G460,"")),"")</f>
        <v>51</v>
      </c>
      <c r="X460" s="195">
        <f t="shared" si="52"/>
        <v>0.16062199674499467</v>
      </c>
      <c r="Y460" s="195">
        <f t="shared" si="53"/>
        <v>1.1152899263052954E-2</v>
      </c>
      <c r="Z460" s="255" t="str">
        <f>IF(ISNUMBER(SEARCH("C",'WetLitterbags placem_collection'!W387)),"YES","NO")</f>
        <v>NO</v>
      </c>
      <c r="AA460" s="255" t="str">
        <f>IF(ISNUMBER(SEARCH("H", 'WetLitterbags placem_collection'!Y167)),"YES","NO")</f>
        <v>NO</v>
      </c>
      <c r="AB460" s="255" t="str">
        <f>IF(ISNUMBER(SEARCH("R", 'WetLitterbags placem_collection'!WY167)),"YES","NO")</f>
        <v>NO</v>
      </c>
      <c r="AC460" s="255" t="str">
        <f>IF(ISNUMBER(SEARCH("C", 'WetLitterbags placem_collection'!VX167)),"YES","NO")</f>
        <v>NO</v>
      </c>
      <c r="AD460" s="255" t="str">
        <f>IF(ISNUMBER(SEARCH("H", 'WetLitterbags placem_collection'!X167)),"YES","NO")</f>
        <v>NO</v>
      </c>
      <c r="AE460" s="255" t="str">
        <f>IF(ISNUMBER(SEARCH("R", 'WetLitterbags placem_collection'!X167)),"YES","NO")</f>
        <v>NO</v>
      </c>
    </row>
    <row r="461" spans="2:31">
      <c r="B461" t="str">
        <f>'Final data_for_R_analysis_Wetse'!A607</f>
        <v>Wet</v>
      </c>
      <c r="C461" s="263">
        <f>'Final data_for_R_analysis_Wetse'!B607</f>
        <v>166</v>
      </c>
      <c r="D461" t="s">
        <v>3851</v>
      </c>
      <c r="E461" t="s">
        <v>25</v>
      </c>
      <c r="F461" s="387">
        <v>6</v>
      </c>
      <c r="G461" s="16">
        <f>'WetLitterbags placem_collection'!E168</f>
        <v>42763</v>
      </c>
      <c r="H461" s="92" t="str">
        <f>'Final data_for_R_analysis_Wetse'!J607</f>
        <v>G287</v>
      </c>
      <c r="I461" t="str">
        <f>'Final data_for_R_analysis_Wetse'!J827</f>
        <v>R259</v>
      </c>
      <c r="J461">
        <f>IFERROR(INDEX('Green_rooibos initial weight'!$C$5:$C$1749,MATCH(H461, 'Green_rooibos initial weight'!$A$5:$A$1749,0)),"")</f>
        <v>1.9970000000000001</v>
      </c>
      <c r="K461">
        <f>IFERROR(INDEX('Green_rooibos initial weight'!$C$5:$C$1749,MATCH(I461, 'Green_rooibos initial weight'!$A$5:$A$1749,0)),"")</f>
        <v>2.218</v>
      </c>
      <c r="L461" s="195">
        <f t="shared" ref="L461:L515" si="56">IF(J461&gt;0,(J461*$F$31-($F$29+$F$30)),"")</f>
        <v>1.7472000000000001</v>
      </c>
      <c r="M461" s="195">
        <f>AVERAGE(Ashed_controlls!$K$2:$K$11)</f>
        <v>5.5147656768714146</v>
      </c>
      <c r="N461" s="195">
        <f t="shared" si="54"/>
        <v>1.9681999999999999</v>
      </c>
      <c r="O461" s="16">
        <f>IF('WetLitterbags placem_collection'!G168="N.A","",'WetLitterbags placem_collection'!G168)</f>
        <v>42814</v>
      </c>
      <c r="P461" s="195">
        <f>IF(IFERROR(INDEX('Both teabags AfterWet'!$C$3:$C$841,MATCH(H461,'Both teabags AfterWet'!$A$3:$A$841,0)),"")="N.A","",(IFERROR(INDEX('Both teabags AfterWet'!$C$3:$C$841,MATCH(H461,'Both teabags AfterWet'!$A$3:$A$841,0)),"")))</f>
        <v>0.72240000000000004</v>
      </c>
      <c r="Q461" s="195">
        <f>IFERROR(INDEX('Both teabags AfterWet'!$C$3:$C$841,MATCH(I461,'Both teabags AfterWet'!$A$3:$A$841,0)),"")</f>
        <v>1.7169000000000001</v>
      </c>
      <c r="R461" s="195">
        <f t="shared" ref="R461:S515" si="57">IFERROR(IF(P461&gt;0,P461-($F$29),""),"")</f>
        <v>0.57180000000000009</v>
      </c>
      <c r="S461" s="195">
        <f t="shared" si="57"/>
        <v>1.5663</v>
      </c>
      <c r="T461" s="195">
        <f t="shared" ref="T461:T515" si="58">IFERROR(1-R461/L461,"")</f>
        <v>0.67273351648351642</v>
      </c>
      <c r="U461" s="195">
        <f t="shared" ref="U461:U515" si="59">IFERROR($F$26*(1-X461),"")</f>
        <v>0.44103194904857612</v>
      </c>
      <c r="V461" s="195">
        <f t="shared" ref="V461:V515" si="60">IFERROR(S461/N461,"")</f>
        <v>0.79580327202520074</v>
      </c>
      <c r="W461">
        <f t="shared" si="55"/>
        <v>51</v>
      </c>
      <c r="X461" s="195">
        <f t="shared" ref="X461:X515" si="61">IFERROR(1-(T461/$F$25),"")</f>
        <v>0.20102907781055057</v>
      </c>
      <c r="Y461" s="195">
        <f t="shared" ref="Y461:Y515" si="62">IFERROR(LN(U461/(V461-(1-U461)))/W461,"")</f>
        <v>1.2191229216720135E-2</v>
      </c>
      <c r="Z461" s="255" t="str">
        <f>IF(ISNUMBER(SEARCH("C",'WetLitterbags placem_collection'!W388)),"YES","NO")</f>
        <v>NO</v>
      </c>
      <c r="AA461" s="255" t="str">
        <f>IF(ISNUMBER(SEARCH("H", 'WetLitterbags placem_collection'!Y168)),"YES","NO")</f>
        <v>NO</v>
      </c>
      <c r="AB461" s="255" t="str">
        <f>IF(ISNUMBER(SEARCH("R", 'WetLitterbags placem_collection'!WY168)),"YES","NO")</f>
        <v>NO</v>
      </c>
      <c r="AC461" s="255" t="str">
        <f>IF(ISNUMBER(SEARCH("C", 'WetLitterbags placem_collection'!VX168)),"YES","NO")</f>
        <v>NO</v>
      </c>
      <c r="AD461" s="255" t="str">
        <f>IF(ISNUMBER(SEARCH("H", 'WetLitterbags placem_collection'!X168)),"YES","NO")</f>
        <v>NO</v>
      </c>
      <c r="AE461" s="255" t="str">
        <f>IF(ISNUMBER(SEARCH("R", 'WetLitterbags placem_collection'!X168)),"YES","NO")</f>
        <v>NO</v>
      </c>
    </row>
    <row r="462" spans="2:31">
      <c r="B462" t="str">
        <f>'Final data_for_R_analysis_Wetse'!A608</f>
        <v>Wet</v>
      </c>
      <c r="C462" s="263">
        <f>'Final data_for_R_analysis_Wetse'!B608</f>
        <v>167</v>
      </c>
      <c r="D462" t="s">
        <v>3851</v>
      </c>
      <c r="E462" t="s">
        <v>25</v>
      </c>
      <c r="F462" s="387">
        <v>7</v>
      </c>
      <c r="G462" s="16">
        <f>'WetLitterbags placem_collection'!E169</f>
        <v>42763</v>
      </c>
      <c r="H462" s="92" t="str">
        <f>'Final data_for_R_analysis_Wetse'!J608</f>
        <v>G443</v>
      </c>
      <c r="I462" t="str">
        <f>'Final data_for_R_analysis_Wetse'!J828</f>
        <v>R215</v>
      </c>
      <c r="J462">
        <f>IFERROR(INDEX('Green_rooibos initial weight'!$C$5:$C$1749,MATCH(H462, 'Green_rooibos initial weight'!$A$5:$A$1749,0)),"")</f>
        <v>2.0310000000000001</v>
      </c>
      <c r="K462">
        <f>IFERROR(INDEX('Green_rooibos initial weight'!$C$5:$C$1749,MATCH(I462, 'Green_rooibos initial weight'!$A$5:$A$1749,0)),"")</f>
        <v>2.1949999999999998</v>
      </c>
      <c r="L462" s="195">
        <f t="shared" si="56"/>
        <v>1.7812000000000001</v>
      </c>
      <c r="M462" s="195">
        <f>AVERAGE(Ashed_controlls!$K$2:$K$11)</f>
        <v>5.5147656768714146</v>
      </c>
      <c r="N462" s="195">
        <f t="shared" si="54"/>
        <v>1.9451999999999998</v>
      </c>
      <c r="O462" s="16">
        <f>IF('WetLitterbags placem_collection'!G169="N.A","",'WetLitterbags placem_collection'!G169)</f>
        <v>42814</v>
      </c>
      <c r="P462" s="195">
        <f>IF(IFERROR(INDEX('Both teabags AfterWet'!$C$3:$C$841,MATCH(H462,'Both teabags AfterWet'!$A$3:$A$841,0)),"")="N.A","",(IFERROR(INDEX('Both teabags AfterWet'!$C$3:$C$841,MATCH(H462,'Both teabags AfterWet'!$A$3:$A$841,0)),"")))</f>
        <v>0.69789999999999996</v>
      </c>
      <c r="Q462" s="195">
        <f>IFERROR(INDEX('Both teabags AfterWet'!$C$3:$C$841,MATCH(I462,'Both teabags AfterWet'!$A$3:$A$841,0)),"")</f>
        <v>1.7432000000000001</v>
      </c>
      <c r="R462" s="195">
        <f t="shared" si="57"/>
        <v>0.5472999999999999</v>
      </c>
      <c r="S462" s="195">
        <f t="shared" si="57"/>
        <v>1.5926</v>
      </c>
      <c r="T462" s="195">
        <f t="shared" si="58"/>
        <v>0.69273523467325404</v>
      </c>
      <c r="U462" s="195">
        <f t="shared" si="59"/>
        <v>0.45414471441762028</v>
      </c>
      <c r="V462" s="195">
        <f t="shared" si="60"/>
        <v>0.81873329220645696</v>
      </c>
      <c r="W462">
        <f t="shared" si="55"/>
        <v>51</v>
      </c>
      <c r="X462" s="195">
        <f t="shared" si="61"/>
        <v>0.17727406808402135</v>
      </c>
      <c r="Y462" s="195">
        <f t="shared" si="62"/>
        <v>9.9880601636159489E-3</v>
      </c>
      <c r="Z462" s="255" t="str">
        <f>IF(ISNUMBER(SEARCH("C",'WetLitterbags placem_collection'!W389)),"YES","NO")</f>
        <v>NO</v>
      </c>
      <c r="AA462" s="255" t="str">
        <f>IF(ISNUMBER(SEARCH("H", 'WetLitterbags placem_collection'!Y169)),"YES","NO")</f>
        <v>NO</v>
      </c>
      <c r="AB462" s="255" t="str">
        <f>IF(ISNUMBER(SEARCH("R", 'WetLitterbags placem_collection'!WY169)),"YES","NO")</f>
        <v>NO</v>
      </c>
      <c r="AC462" s="255" t="str">
        <f>IF(ISNUMBER(SEARCH("C", 'WetLitterbags placem_collection'!VX169)),"YES","NO")</f>
        <v>NO</v>
      </c>
      <c r="AD462" s="255" t="str">
        <f>IF(ISNUMBER(SEARCH("H", 'WetLitterbags placem_collection'!X169)),"YES","NO")</f>
        <v>NO</v>
      </c>
      <c r="AE462" s="255" t="str">
        <f>IF(ISNUMBER(SEARCH("R", 'WetLitterbags placem_collection'!X169)),"YES","NO")</f>
        <v>NO</v>
      </c>
    </row>
    <row r="463" spans="2:31">
      <c r="B463" t="str">
        <f>'Final data_for_R_analysis_Wetse'!A609</f>
        <v>Wet</v>
      </c>
      <c r="C463" s="263">
        <f>'Final data_for_R_analysis_Wetse'!B609</f>
        <v>168</v>
      </c>
      <c r="D463" t="s">
        <v>3851</v>
      </c>
      <c r="E463" t="s">
        <v>25</v>
      </c>
      <c r="F463" s="387">
        <v>8</v>
      </c>
      <c r="G463" s="16">
        <f>'WetLitterbags placem_collection'!E170</f>
        <v>42763</v>
      </c>
      <c r="H463" s="92" t="str">
        <f>'Final data_for_R_analysis_Wetse'!J609</f>
        <v>G680</v>
      </c>
      <c r="I463" t="str">
        <f>'Final data_for_R_analysis_Wetse'!J829</f>
        <v>R322</v>
      </c>
      <c r="J463">
        <f>IFERROR(INDEX('Green_rooibos initial weight'!$C$5:$C$1749,MATCH(H463, 'Green_rooibos initial weight'!$A$5:$A$1749,0)),"")</f>
        <v>2.0049999999999999</v>
      </c>
      <c r="K463">
        <f>IFERROR(INDEX('Green_rooibos initial weight'!$C$5:$C$1749,MATCH(I463, 'Green_rooibos initial weight'!$A$5:$A$1749,0)),"")</f>
        <v>2.1909999999999998</v>
      </c>
      <c r="L463" s="195">
        <f t="shared" si="56"/>
        <v>1.7551999999999999</v>
      </c>
      <c r="M463" s="195">
        <f>AVERAGE(Ashed_controlls!$K$2:$K$11)</f>
        <v>5.5147656768714146</v>
      </c>
      <c r="N463" s="195">
        <f t="shared" si="54"/>
        <v>1.9411999999999998</v>
      </c>
      <c r="O463" s="16">
        <f>IF('WetLitterbags placem_collection'!G170="N.A","",'WetLitterbags placem_collection'!G170)</f>
        <v>42814</v>
      </c>
      <c r="P463" s="195">
        <f>IF(IFERROR(INDEX('Both teabags AfterWet'!$C$3:$C$841,MATCH(H463,'Both teabags AfterWet'!$A$3:$A$841,0)),"")="N.A","",(IFERROR(INDEX('Both teabags AfterWet'!$C$3:$C$841,MATCH(H463,'Both teabags AfterWet'!$A$3:$A$841,0)),"")))</f>
        <v>0.998</v>
      </c>
      <c r="Q463" s="195">
        <f>IFERROR(INDEX('Both teabags AfterWet'!$C$3:$C$841,MATCH(I463,'Both teabags AfterWet'!$A$3:$A$841,0)),"")</f>
        <v>1.6950000000000001</v>
      </c>
      <c r="R463" s="195">
        <f t="shared" si="57"/>
        <v>0.84739999999999993</v>
      </c>
      <c r="S463" s="195">
        <f t="shared" si="57"/>
        <v>1.5444</v>
      </c>
      <c r="T463" s="195">
        <f t="shared" si="58"/>
        <v>0.51720601640838648</v>
      </c>
      <c r="U463" s="195">
        <f t="shared" si="59"/>
        <v>0.33907092762165009</v>
      </c>
      <c r="V463" s="195">
        <f t="shared" si="60"/>
        <v>0.79559035648052756</v>
      </c>
      <c r="W463">
        <f t="shared" si="55"/>
        <v>51</v>
      </c>
      <c r="X463" s="195">
        <f t="shared" si="61"/>
        <v>0.38574107314918471</v>
      </c>
      <c r="Y463" s="195">
        <f t="shared" si="62"/>
        <v>1.8106797893379462E-2</v>
      </c>
      <c r="Z463" s="255" t="str">
        <f>IF(ISNUMBER(SEARCH("C",'WetLitterbags placem_collection'!W390)),"YES","NO")</f>
        <v>NO</v>
      </c>
      <c r="AA463" s="255" t="str">
        <f>IF(ISNUMBER(SEARCH("H", 'WetLitterbags placem_collection'!Y170)),"YES","NO")</f>
        <v>NO</v>
      </c>
      <c r="AB463" s="255" t="str">
        <f>IF(ISNUMBER(SEARCH("R", 'WetLitterbags placem_collection'!WY170)),"YES","NO")</f>
        <v>NO</v>
      </c>
      <c r="AC463" s="255" t="str">
        <f>IF(ISNUMBER(SEARCH("C", 'WetLitterbags placem_collection'!VX170)),"YES","NO")</f>
        <v>NO</v>
      </c>
      <c r="AD463" s="255" t="str">
        <f>IF(ISNUMBER(SEARCH("H", 'WetLitterbags placem_collection'!X170)),"YES","NO")</f>
        <v>NO</v>
      </c>
      <c r="AE463" s="255" t="str">
        <f>IF(ISNUMBER(SEARCH("R", 'WetLitterbags placem_collection'!X170)),"YES","NO")</f>
        <v>NO</v>
      </c>
    </row>
    <row r="464" spans="2:31">
      <c r="B464" t="str">
        <f>'Final data_for_R_analysis_Wetse'!A610</f>
        <v>Wet</v>
      </c>
      <c r="C464" s="263">
        <f>'Final data_for_R_analysis_Wetse'!B610</f>
        <v>169</v>
      </c>
      <c r="D464" t="s">
        <v>3853</v>
      </c>
      <c r="E464" t="s">
        <v>25</v>
      </c>
      <c r="F464" s="386">
        <v>1</v>
      </c>
      <c r="G464" s="16">
        <f>'WetLitterbags placem_collection'!E171</f>
        <v>42763</v>
      </c>
      <c r="H464" s="92" t="str">
        <f>'Final data_for_R_analysis_Wetse'!J610</f>
        <v>G496</v>
      </c>
      <c r="I464" t="str">
        <f>'Final data_for_R_analysis_Wetse'!J830</f>
        <v>R403</v>
      </c>
      <c r="J464">
        <f>IFERROR(INDEX('Green_rooibos initial weight'!$C$5:$C$1749,MATCH(H464, 'Green_rooibos initial weight'!$A$5:$A$1749,0)),"")</f>
        <v>1.8480000000000001</v>
      </c>
      <c r="K464">
        <f>IFERROR(INDEX('Green_rooibos initial weight'!$C$5:$C$1749,MATCH(I464, 'Green_rooibos initial weight'!$A$5:$A$1749,0)),"")</f>
        <v>2.2679999999999998</v>
      </c>
      <c r="L464" s="195">
        <f t="shared" si="56"/>
        <v>1.5982000000000001</v>
      </c>
      <c r="M464" s="195">
        <f>AVERAGE(Ashed_controlls!$K$2:$K$11)</f>
        <v>5.5147656768714146</v>
      </c>
      <c r="N464" s="195">
        <f t="shared" si="54"/>
        <v>2.0181999999999998</v>
      </c>
      <c r="O464" s="16">
        <f>IF('WetLitterbags placem_collection'!G171="N.A","",'WetLitterbags placem_collection'!G171)</f>
        <v>42814</v>
      </c>
      <c r="P464" s="195">
        <f>IF(IFERROR(INDEX('Both teabags AfterWet'!$C$3:$C$841,MATCH(H464,'Both teabags AfterWet'!$A$3:$A$841,0)),"")="N.A","",(IFERROR(INDEX('Both teabags AfterWet'!$C$3:$C$841,MATCH(H464,'Both teabags AfterWet'!$A$3:$A$841,0)),"")))</f>
        <v>0.57199999999999995</v>
      </c>
      <c r="Q464" s="195">
        <f>IFERROR(INDEX('Both teabags AfterWet'!$C$3:$C$841,MATCH(I464,'Both teabags AfterWet'!$A$3:$A$841,0)),"")</f>
        <v>1.736</v>
      </c>
      <c r="R464" s="195">
        <f t="shared" si="57"/>
        <v>0.42139999999999994</v>
      </c>
      <c r="S464" s="195">
        <f t="shared" si="57"/>
        <v>1.5853999999999999</v>
      </c>
      <c r="T464" s="195">
        <f t="shared" si="58"/>
        <v>0.73632836941559265</v>
      </c>
      <c r="U464" s="195">
        <f t="shared" si="59"/>
        <v>0.48272358660024606</v>
      </c>
      <c r="V464" s="195">
        <f t="shared" si="60"/>
        <v>0.78555148151818455</v>
      </c>
      <c r="W464">
        <f t="shared" si="55"/>
        <v>51</v>
      </c>
      <c r="X464" s="195">
        <f t="shared" si="61"/>
        <v>0.12550074891259777</v>
      </c>
      <c r="Y464" s="195">
        <f t="shared" si="62"/>
        <v>1.1518262306625657E-2</v>
      </c>
      <c r="Z464" s="255" t="str">
        <f>IF(ISNUMBER(SEARCH("C",'WetLitterbags placem_collection'!W391)),"YES","NO")</f>
        <v>NO</v>
      </c>
      <c r="AA464" s="255" t="str">
        <f>IF(ISNUMBER(SEARCH("H", 'WetLitterbags placem_collection'!Y171)),"YES","NO")</f>
        <v>NO</v>
      </c>
      <c r="AB464" s="255" t="str">
        <f>IF(ISNUMBER(SEARCH("R", 'WetLitterbags placem_collection'!WY171)),"YES","NO")</f>
        <v>NO</v>
      </c>
      <c r="AC464" s="255" t="str">
        <f>IF(ISNUMBER(SEARCH("C", 'WetLitterbags placem_collection'!VX171)),"YES","NO")</f>
        <v>NO</v>
      </c>
      <c r="AD464" s="255" t="str">
        <f>IF(ISNUMBER(SEARCH("H", 'WetLitterbags placem_collection'!X171)),"YES","NO")</f>
        <v>NO</v>
      </c>
      <c r="AE464" s="255" t="str">
        <f>IF(ISNUMBER(SEARCH("R", 'WetLitterbags placem_collection'!X171)),"YES","NO")</f>
        <v>NO</v>
      </c>
    </row>
    <row r="465" spans="2:31">
      <c r="B465" t="str">
        <f>'Final data_for_R_analysis_Wetse'!A611</f>
        <v>Wet</v>
      </c>
      <c r="C465" s="263">
        <f>'Final data_for_R_analysis_Wetse'!B611</f>
        <v>170</v>
      </c>
      <c r="D465" t="s">
        <v>3853</v>
      </c>
      <c r="E465" t="s">
        <v>25</v>
      </c>
      <c r="F465" s="386">
        <v>2</v>
      </c>
      <c r="G465" s="16">
        <f>'WetLitterbags placem_collection'!E172</f>
        <v>42763</v>
      </c>
      <c r="H465" s="92" t="str">
        <f>'Final data_for_R_analysis_Wetse'!J611</f>
        <v>G674</v>
      </c>
      <c r="I465" t="str">
        <f>'Final data_for_R_analysis_Wetse'!J831</f>
        <v>R583</v>
      </c>
      <c r="J465">
        <f>IFERROR(INDEX('Green_rooibos initial weight'!$C$5:$C$1749,MATCH(H465, 'Green_rooibos initial weight'!$A$5:$A$1749,0)),"")</f>
        <v>1.9950000000000001</v>
      </c>
      <c r="K465">
        <f>IFERROR(INDEX('Green_rooibos initial weight'!$C$5:$C$1749,MATCH(I465, 'Green_rooibos initial weight'!$A$5:$A$1749,0)),"")</f>
        <v>2.2549999999999999</v>
      </c>
      <c r="L465" s="195">
        <f t="shared" si="56"/>
        <v>1.7452000000000001</v>
      </c>
      <c r="M465" s="195">
        <f>AVERAGE(Ashed_controlls!$K$2:$K$11)</f>
        <v>5.5147656768714146</v>
      </c>
      <c r="N465" s="195">
        <f t="shared" si="54"/>
        <v>2.0051999999999999</v>
      </c>
      <c r="O465" s="16">
        <f>IF('WetLitterbags placem_collection'!G172="N.A","",'WetLitterbags placem_collection'!G172)</f>
        <v>42814</v>
      </c>
      <c r="P465" s="195">
        <f>IF(IFERROR(INDEX('Both teabags AfterWet'!$C$3:$C$841,MATCH(H465,'Both teabags AfterWet'!$A$3:$A$841,0)),"")="N.A","",(IFERROR(INDEX('Both teabags AfterWet'!$C$3:$C$841,MATCH(H465,'Both teabags AfterWet'!$A$3:$A$841,0)),"")))</f>
        <v>0.61299999999999999</v>
      </c>
      <c r="Q465" s="195">
        <f>IFERROR(INDEX('Both teabags AfterWet'!$C$3:$C$841,MATCH(I465,'Both teabags AfterWet'!$A$3:$A$841,0)),"")</f>
        <v>1.71</v>
      </c>
      <c r="R465" s="195">
        <f t="shared" si="57"/>
        <v>0.46239999999999998</v>
      </c>
      <c r="S465" s="195">
        <f t="shared" si="57"/>
        <v>1.5593999999999999</v>
      </c>
      <c r="T465" s="195">
        <f t="shared" si="58"/>
        <v>0.73504469401787764</v>
      </c>
      <c r="U465" s="195">
        <f t="shared" si="59"/>
        <v>0.48188203218274167</v>
      </c>
      <c r="V465" s="195">
        <f t="shared" si="60"/>
        <v>0.77767803710353078</v>
      </c>
      <c r="W465">
        <f t="shared" si="55"/>
        <v>51</v>
      </c>
      <c r="X465" s="195">
        <f t="shared" si="61"/>
        <v>0.12702530401677237</v>
      </c>
      <c r="Y465" s="195">
        <f t="shared" si="62"/>
        <v>1.2131591782276772E-2</v>
      </c>
      <c r="Z465" s="255" t="str">
        <f>IF(ISNUMBER(SEARCH("C",'WetLitterbags placem_collection'!W392)),"YES","NO")</f>
        <v>NO</v>
      </c>
      <c r="AA465" s="255" t="str">
        <f>IF(ISNUMBER(SEARCH("H", 'WetLitterbags placem_collection'!Y172)),"YES","NO")</f>
        <v>NO</v>
      </c>
      <c r="AB465" s="255" t="str">
        <f>IF(ISNUMBER(SEARCH("R", 'WetLitterbags placem_collection'!WY172)),"YES","NO")</f>
        <v>NO</v>
      </c>
      <c r="AC465" s="255" t="str">
        <f>IF(ISNUMBER(SEARCH("C", 'WetLitterbags placem_collection'!VX172)),"YES","NO")</f>
        <v>NO</v>
      </c>
      <c r="AD465" s="255" t="str">
        <f>IF(ISNUMBER(SEARCH("H", 'WetLitterbags placem_collection'!X172)),"YES","NO")</f>
        <v>NO</v>
      </c>
      <c r="AE465" s="255" t="str">
        <f>IF(ISNUMBER(SEARCH("R", 'WetLitterbags placem_collection'!X172)),"YES","NO")</f>
        <v>NO</v>
      </c>
    </row>
    <row r="466" spans="2:31">
      <c r="B466" t="str">
        <f>'Final data_for_R_analysis_Wetse'!A612</f>
        <v>Wet</v>
      </c>
      <c r="C466" s="263">
        <f>'Final data_for_R_analysis_Wetse'!B612</f>
        <v>171</v>
      </c>
      <c r="D466" t="s">
        <v>3853</v>
      </c>
      <c r="E466" t="s">
        <v>25</v>
      </c>
      <c r="F466" s="386">
        <v>3</v>
      </c>
      <c r="G466" s="16">
        <f>'WetLitterbags placem_collection'!E173</f>
        <v>42763</v>
      </c>
      <c r="H466" s="92" t="str">
        <f>'Final data_for_R_analysis_Wetse'!J612</f>
        <v>G504</v>
      </c>
      <c r="I466" t="str">
        <f>'Final data_for_R_analysis_Wetse'!J832</f>
        <v>R451</v>
      </c>
      <c r="J466">
        <f>IFERROR(INDEX('Green_rooibos initial weight'!$C$5:$C$1749,MATCH(H466, 'Green_rooibos initial weight'!$A$5:$A$1749,0)),"")</f>
        <v>2.0009999999999999</v>
      </c>
      <c r="K466">
        <f>IFERROR(INDEX('Green_rooibos initial weight'!$C$5:$C$1749,MATCH(I466, 'Green_rooibos initial weight'!$A$5:$A$1749,0)),"")</f>
        <v>2.1970000000000001</v>
      </c>
      <c r="L466" s="195">
        <f t="shared" si="56"/>
        <v>1.7511999999999999</v>
      </c>
      <c r="M466" s="195">
        <f>AVERAGE(Ashed_controlls!$K$2:$K$11)</f>
        <v>5.5147656768714146</v>
      </c>
      <c r="N466" s="195">
        <f t="shared" si="54"/>
        <v>1.9472</v>
      </c>
      <c r="O466" s="16">
        <f>IF('WetLitterbags placem_collection'!G173="N.A","",'WetLitterbags placem_collection'!G173)</f>
        <v>42814</v>
      </c>
      <c r="P466" s="195">
        <f>IF(IFERROR(INDEX('Both teabags AfterWet'!$C$3:$C$841,MATCH(H466,'Both teabags AfterWet'!$A$3:$A$841,0)),"")="N.A","",(IFERROR(INDEX('Both teabags AfterWet'!$C$3:$C$841,MATCH(H466,'Both teabags AfterWet'!$A$3:$A$841,0)),"")))</f>
        <v>0.53500000000000003</v>
      </c>
      <c r="Q466" s="195">
        <f>IFERROR(INDEX('Both teabags AfterWet'!$C$3:$C$841,MATCH(I466,'Both teabags AfterWet'!$A$3:$A$841,0)),"")</f>
        <v>1.629</v>
      </c>
      <c r="R466" s="195">
        <f t="shared" si="57"/>
        <v>0.38440000000000002</v>
      </c>
      <c r="S466" s="195">
        <f t="shared" si="57"/>
        <v>1.4783999999999999</v>
      </c>
      <c r="T466" s="195">
        <f t="shared" si="58"/>
        <v>0.78049337597076285</v>
      </c>
      <c r="U466" s="195">
        <f t="shared" si="59"/>
        <v>0.51167736761978755</v>
      </c>
      <c r="V466" s="195">
        <f t="shared" si="60"/>
        <v>0.75924404272801971</v>
      </c>
      <c r="W466">
        <f t="shared" si="55"/>
        <v>51</v>
      </c>
      <c r="X466" s="195">
        <f t="shared" si="61"/>
        <v>7.3048247065602312E-2</v>
      </c>
      <c r="Y466" s="195">
        <f t="shared" si="62"/>
        <v>1.246795107733384E-2</v>
      </c>
      <c r="Z466" s="255" t="str">
        <f>IF(ISNUMBER(SEARCH("C",'WetLitterbags placem_collection'!W393)),"YES","NO")</f>
        <v>NO</v>
      </c>
      <c r="AA466" s="255" t="str">
        <f>IF(ISNUMBER(SEARCH("H", 'WetLitterbags placem_collection'!Y173)),"YES","NO")</f>
        <v>NO</v>
      </c>
      <c r="AB466" s="255" t="str">
        <f>IF(ISNUMBER(SEARCH("R", 'WetLitterbags placem_collection'!WY173)),"YES","NO")</f>
        <v>NO</v>
      </c>
      <c r="AC466" s="255" t="str">
        <f>IF(ISNUMBER(SEARCH("C", 'WetLitterbags placem_collection'!VX173)),"YES","NO")</f>
        <v>NO</v>
      </c>
      <c r="AD466" s="255" t="str">
        <f>IF(ISNUMBER(SEARCH("H", 'WetLitterbags placem_collection'!X173)),"YES","NO")</f>
        <v>NO</v>
      </c>
      <c r="AE466" s="255" t="str">
        <f>IF(ISNUMBER(SEARCH("R", 'WetLitterbags placem_collection'!X173)),"YES","NO")</f>
        <v>NO</v>
      </c>
    </row>
    <row r="467" spans="2:31">
      <c r="B467" t="str">
        <f>'Final data_for_R_analysis_Wetse'!A613</f>
        <v>Wet</v>
      </c>
      <c r="C467" s="263">
        <f>'Final data_for_R_analysis_Wetse'!B613</f>
        <v>172</v>
      </c>
      <c r="D467" t="s">
        <v>3853</v>
      </c>
      <c r="E467" t="s">
        <v>25</v>
      </c>
      <c r="F467" s="387">
        <v>4</v>
      </c>
      <c r="G467" s="16">
        <f>'WetLitterbags placem_collection'!E174</f>
        <v>42763</v>
      </c>
      <c r="H467" s="92" t="str">
        <f>'Final data_for_R_analysis_Wetse'!J613</f>
        <v>G439</v>
      </c>
      <c r="I467" t="str">
        <f>'Final data_for_R_analysis_Wetse'!J833</f>
        <v>R353</v>
      </c>
      <c r="J467">
        <f>IFERROR(INDEX('Green_rooibos initial weight'!$C$5:$C$1749,MATCH(H467, 'Green_rooibos initial weight'!$A$5:$A$1749,0)),"")</f>
        <v>2.069</v>
      </c>
      <c r="K467">
        <f>IFERROR(INDEX('Green_rooibos initial weight'!$C$5:$C$1749,MATCH(I467, 'Green_rooibos initial weight'!$A$5:$A$1749,0)),"")</f>
        <v>2.2909999999999999</v>
      </c>
      <c r="L467" s="195">
        <f t="shared" si="56"/>
        <v>1.8191999999999999</v>
      </c>
      <c r="M467" s="195">
        <f>AVERAGE(Ashed_controlls!$K$2:$K$11)</f>
        <v>5.5147656768714146</v>
      </c>
      <c r="N467" s="195">
        <f t="shared" si="54"/>
        <v>2.0411999999999999</v>
      </c>
      <c r="O467" s="16">
        <f>IF('WetLitterbags placem_collection'!G174="N.A","",'WetLitterbags placem_collection'!G174)</f>
        <v>42814</v>
      </c>
      <c r="P467" s="195">
        <f>IF(IFERROR(INDEX('Both teabags AfterWet'!$C$3:$C$841,MATCH(H467,'Both teabags AfterWet'!$A$3:$A$841,0)),"")="N.A","",(IFERROR(INDEX('Both teabags AfterWet'!$C$3:$C$841,MATCH(H467,'Both teabags AfterWet'!$A$3:$A$841,0)),"")))</f>
        <v>0.59599999999999997</v>
      </c>
      <c r="Q467" s="195">
        <f>IFERROR(INDEX('Both teabags AfterWet'!$C$3:$C$841,MATCH(I467,'Both teabags AfterWet'!$A$3:$A$841,0)),"")</f>
        <v>1.7694000000000001</v>
      </c>
      <c r="R467" s="195">
        <f t="shared" si="57"/>
        <v>0.44539999999999996</v>
      </c>
      <c r="S467" s="195">
        <f t="shared" si="57"/>
        <v>1.6188</v>
      </c>
      <c r="T467" s="195">
        <f t="shared" si="58"/>
        <v>0.75516710642040463</v>
      </c>
      <c r="U467" s="195">
        <f t="shared" si="59"/>
        <v>0.49507392249888765</v>
      </c>
      <c r="V467" s="195">
        <f t="shared" si="60"/>
        <v>0.79306290417401537</v>
      </c>
      <c r="W467">
        <f t="shared" si="55"/>
        <v>51</v>
      </c>
      <c r="X467" s="195">
        <f t="shared" si="61"/>
        <v>0.10312695199476885</v>
      </c>
      <c r="Y467" s="195">
        <f t="shared" si="62"/>
        <v>1.0613169213156607E-2</v>
      </c>
      <c r="Z467" s="255" t="str">
        <f>IF(ISNUMBER(SEARCH("C",'WetLitterbags placem_collection'!W394)),"YES","NO")</f>
        <v>NO</v>
      </c>
      <c r="AA467" s="255" t="str">
        <f>IF(ISNUMBER(SEARCH("H", 'WetLitterbags placem_collection'!Y174)),"YES","NO")</f>
        <v>NO</v>
      </c>
      <c r="AB467" s="255" t="str">
        <f>IF(ISNUMBER(SEARCH("R", 'WetLitterbags placem_collection'!WY174)),"YES","NO")</f>
        <v>NO</v>
      </c>
      <c r="AC467" s="255" t="str">
        <f>IF(ISNUMBER(SEARCH("C", 'WetLitterbags placem_collection'!VX174)),"YES","NO")</f>
        <v>NO</v>
      </c>
      <c r="AD467" s="255" t="str">
        <f>IF(ISNUMBER(SEARCH("H", 'WetLitterbags placem_collection'!X174)),"YES","NO")</f>
        <v>NO</v>
      </c>
      <c r="AE467" s="255" t="str">
        <f>IF(ISNUMBER(SEARCH("R", 'WetLitterbags placem_collection'!X174)),"YES","NO")</f>
        <v>NO</v>
      </c>
    </row>
    <row r="468" spans="2:31">
      <c r="B468" t="str">
        <f>'Final data_for_R_analysis_Wetse'!A614</f>
        <v>Wet</v>
      </c>
      <c r="C468" s="263">
        <f>'Final data_for_R_analysis_Wetse'!B614</f>
        <v>173</v>
      </c>
      <c r="D468" t="s">
        <v>3853</v>
      </c>
      <c r="E468" t="s">
        <v>25</v>
      </c>
      <c r="F468" s="387">
        <v>5</v>
      </c>
      <c r="G468" s="16">
        <f>'WetLitterbags placem_collection'!E175</f>
        <v>42763</v>
      </c>
      <c r="H468" s="92" t="str">
        <f>'Final data_for_R_analysis_Wetse'!J614</f>
        <v>G865</v>
      </c>
      <c r="I468" t="str">
        <f>'Final data_for_R_analysis_Wetse'!J834</f>
        <v>R105</v>
      </c>
      <c r="J468">
        <f>IFERROR(INDEX('Green_rooibos initial weight'!$C$5:$C$1749,MATCH(H468, 'Green_rooibos initial weight'!$A$5:$A$1749,0)),"")</f>
        <v>2.036</v>
      </c>
      <c r="K468">
        <f>IFERROR(INDEX('Green_rooibos initial weight'!$C$5:$C$1749,MATCH(I468, 'Green_rooibos initial weight'!$A$5:$A$1749,0)),"")</f>
        <v>2.254</v>
      </c>
      <c r="L468" s="195">
        <f t="shared" si="56"/>
        <v>1.7862</v>
      </c>
      <c r="M468" s="195">
        <f>AVERAGE(Ashed_controlls!$K$2:$K$11)</f>
        <v>5.5147656768714146</v>
      </c>
      <c r="N468" s="195">
        <f t="shared" si="54"/>
        <v>2.0042</v>
      </c>
      <c r="O468" s="16">
        <f>IF('WetLitterbags placem_collection'!G175="N.A","",'WetLitterbags placem_collection'!G175)</f>
        <v>42814</v>
      </c>
      <c r="P468" s="195">
        <f>IF(IFERROR(INDEX('Both teabags AfterWet'!$C$3:$C$841,MATCH(H468,'Both teabags AfterWet'!$A$3:$A$841,0)),"")="N.A","",(IFERROR(INDEX('Both teabags AfterWet'!$C$3:$C$841,MATCH(H468,'Both teabags AfterWet'!$A$3:$A$841,0)),"")))</f>
        <v>0.65549999999999997</v>
      </c>
      <c r="Q468" s="195">
        <f>IFERROR(INDEX('Both teabags AfterWet'!$C$3:$C$841,MATCH(I468,'Both teabags AfterWet'!$A$3:$A$841,0)),"")</f>
        <v>1.6919999999999999</v>
      </c>
      <c r="R468" s="195">
        <f t="shared" si="57"/>
        <v>0.5048999999999999</v>
      </c>
      <c r="S468" s="195">
        <f t="shared" si="57"/>
        <v>1.5413999999999999</v>
      </c>
      <c r="T468" s="195">
        <f t="shared" si="58"/>
        <v>0.71733288545515628</v>
      </c>
      <c r="U468" s="195">
        <f t="shared" si="59"/>
        <v>0.47027049022713341</v>
      </c>
      <c r="V468" s="195">
        <f t="shared" si="60"/>
        <v>0.76908492166450448</v>
      </c>
      <c r="W468">
        <f t="shared" si="55"/>
        <v>51</v>
      </c>
      <c r="X468" s="195">
        <f t="shared" si="61"/>
        <v>0.14806070611026567</v>
      </c>
      <c r="Y468" s="195">
        <f t="shared" si="62"/>
        <v>1.3242323802229724E-2</v>
      </c>
      <c r="Z468" s="255" t="str">
        <f>IF(ISNUMBER(SEARCH("C",'WetLitterbags placem_collection'!W395)),"YES","NO")</f>
        <v>NO</v>
      </c>
      <c r="AA468" s="255" t="str">
        <f>IF(ISNUMBER(SEARCH("H", 'WetLitterbags placem_collection'!Y175)),"YES","NO")</f>
        <v>NO</v>
      </c>
      <c r="AB468" s="255" t="str">
        <f>IF(ISNUMBER(SEARCH("R", 'WetLitterbags placem_collection'!WY175)),"YES","NO")</f>
        <v>NO</v>
      </c>
      <c r="AC468" s="255" t="str">
        <f>IF(ISNUMBER(SEARCH("C", 'WetLitterbags placem_collection'!VX175)),"YES","NO")</f>
        <v>NO</v>
      </c>
      <c r="AD468" s="255" t="str">
        <f>IF(ISNUMBER(SEARCH("H", 'WetLitterbags placem_collection'!X175)),"YES","NO")</f>
        <v>NO</v>
      </c>
      <c r="AE468" s="255" t="str">
        <f>IF(ISNUMBER(SEARCH("R", 'WetLitterbags placem_collection'!X175)),"YES","NO")</f>
        <v>NO</v>
      </c>
    </row>
    <row r="469" spans="2:31">
      <c r="B469" t="str">
        <f>'Final data_for_R_analysis_Wetse'!A615</f>
        <v>Wet</v>
      </c>
      <c r="C469" s="263">
        <f>'Final data_for_R_analysis_Wetse'!B615</f>
        <v>174</v>
      </c>
      <c r="D469" t="s">
        <v>3853</v>
      </c>
      <c r="E469" t="s">
        <v>25</v>
      </c>
      <c r="F469" s="387">
        <v>6</v>
      </c>
      <c r="G469" s="16">
        <f>'WetLitterbags placem_collection'!E176</f>
        <v>42763</v>
      </c>
      <c r="H469" s="92" t="str">
        <f>'Final data_for_R_analysis_Wetse'!J615</f>
        <v>G736</v>
      </c>
      <c r="I469" t="str">
        <f>'Final data_for_R_analysis_Wetse'!J835</f>
        <v>R384</v>
      </c>
      <c r="J469">
        <f>IFERROR(INDEX('Green_rooibos initial weight'!$C$5:$C$1749,MATCH(H469, 'Green_rooibos initial weight'!$A$5:$A$1749,0)),"")</f>
        <v>2.0760000000000001</v>
      </c>
      <c r="K469">
        <f>IFERROR(INDEX('Green_rooibos initial weight'!$C$5:$C$1749,MATCH(I469, 'Green_rooibos initial weight'!$A$5:$A$1749,0)),"")</f>
        <v>2.2240000000000002</v>
      </c>
      <c r="L469" s="195">
        <f t="shared" si="56"/>
        <v>1.8262</v>
      </c>
      <c r="M469" s="195">
        <f>AVERAGE(Ashed_controlls!$K$2:$K$11)</f>
        <v>5.5147656768714146</v>
      </c>
      <c r="N469" s="195">
        <f t="shared" si="54"/>
        <v>1.9742000000000002</v>
      </c>
      <c r="O469" s="16">
        <f>IF('WetLitterbags placem_collection'!G176="N.A","",'WetLitterbags placem_collection'!G176)</f>
        <v>42814</v>
      </c>
      <c r="P469" s="195">
        <f>IF(IFERROR(INDEX('Both teabags AfterWet'!$C$3:$C$841,MATCH(H469,'Both teabags AfterWet'!$A$3:$A$841,0)),"")="N.A","",(IFERROR(INDEX('Both teabags AfterWet'!$C$3:$C$841,MATCH(H469,'Both teabags AfterWet'!$A$3:$A$841,0)),"")))</f>
        <v>0.63500000000000001</v>
      </c>
      <c r="Q469" s="195">
        <f>IFERROR(INDEX('Both teabags AfterWet'!$C$3:$C$841,MATCH(I469,'Both teabags AfterWet'!$A$3:$A$841,0)),"")</f>
        <v>1.772</v>
      </c>
      <c r="R469" s="195">
        <f t="shared" si="57"/>
        <v>0.4844</v>
      </c>
      <c r="S469" s="195">
        <f t="shared" si="57"/>
        <v>1.6214</v>
      </c>
      <c r="T469" s="195">
        <f t="shared" si="58"/>
        <v>0.73474975358668271</v>
      </c>
      <c r="U469" s="195">
        <f t="shared" si="59"/>
        <v>0.48168867456039066</v>
      </c>
      <c r="V469" s="195">
        <f t="shared" si="60"/>
        <v>0.8212947016513017</v>
      </c>
      <c r="W469">
        <f t="shared" si="55"/>
        <v>51</v>
      </c>
      <c r="X469" s="195">
        <f t="shared" si="61"/>
        <v>0.12737558956450978</v>
      </c>
      <c r="Y469" s="195">
        <f t="shared" si="62"/>
        <v>9.0905894499408273E-3</v>
      </c>
      <c r="Z469" s="255" t="str">
        <f>IF(ISNUMBER(SEARCH("C",'WetLitterbags placem_collection'!W396)),"YES","NO")</f>
        <v>NO</v>
      </c>
      <c r="AA469" s="255" t="str">
        <f>IF(ISNUMBER(SEARCH("H", 'WetLitterbags placem_collection'!Y176)),"YES","NO")</f>
        <v>NO</v>
      </c>
      <c r="AB469" s="255" t="str">
        <f>IF(ISNUMBER(SEARCH("R", 'WetLitterbags placem_collection'!WY176)),"YES","NO")</f>
        <v>NO</v>
      </c>
      <c r="AC469" s="255" t="str">
        <f>IF(ISNUMBER(SEARCH("C", 'WetLitterbags placem_collection'!VX176)),"YES","NO")</f>
        <v>NO</v>
      </c>
      <c r="AD469" s="255" t="str">
        <f>IF(ISNUMBER(SEARCH("H", 'WetLitterbags placem_collection'!X176)),"YES","NO")</f>
        <v>NO</v>
      </c>
      <c r="AE469" s="255" t="str">
        <f>IF(ISNUMBER(SEARCH("R", 'WetLitterbags placem_collection'!X176)),"YES","NO")</f>
        <v>NO</v>
      </c>
    </row>
    <row r="470" spans="2:31">
      <c r="B470" t="str">
        <f>'Final data_for_R_analysis_Wetse'!A616</f>
        <v>Wet</v>
      </c>
      <c r="C470" s="263">
        <f>'Final data_for_R_analysis_Wetse'!B616</f>
        <v>175</v>
      </c>
      <c r="D470" t="s">
        <v>3853</v>
      </c>
      <c r="E470" t="s">
        <v>25</v>
      </c>
      <c r="F470" s="387">
        <v>7</v>
      </c>
      <c r="G470" s="16">
        <f>'WetLitterbags placem_collection'!E177</f>
        <v>42763</v>
      </c>
      <c r="H470" s="92" t="str">
        <f>'Final data_for_R_analysis_Wetse'!J616</f>
        <v>G792</v>
      </c>
      <c r="I470" t="str">
        <f>'Final data_for_R_analysis_Wetse'!J836</f>
        <v>R481</v>
      </c>
      <c r="J470">
        <f>IFERROR(INDEX('Green_rooibos initial weight'!$C$5:$C$1749,MATCH(H470, 'Green_rooibos initial weight'!$A$5:$A$1749,0)),"")</f>
        <v>2.0550000000000002</v>
      </c>
      <c r="K470">
        <f>IFERROR(INDEX('Green_rooibos initial weight'!$C$5:$C$1749,MATCH(I470, 'Green_rooibos initial weight'!$A$5:$A$1749,0)),"")</f>
        <v>2.1589999999999998</v>
      </c>
      <c r="L470" s="195">
        <f t="shared" si="56"/>
        <v>1.8052000000000001</v>
      </c>
      <c r="M470" s="195">
        <f>AVERAGE(Ashed_controlls!$K$2:$K$11)</f>
        <v>5.5147656768714146</v>
      </c>
      <c r="N470" s="195">
        <f t="shared" si="54"/>
        <v>1.9091999999999998</v>
      </c>
      <c r="O470" s="16">
        <f>IF('WetLitterbags placem_collection'!G177="N.A","",'WetLitterbags placem_collection'!G177)</f>
        <v>42814</v>
      </c>
      <c r="P470" s="195" t="str">
        <f>IF(IFERROR(INDEX('Both teabags AfterWet'!$C$3:$C$841,MATCH(H470,'Both teabags AfterWet'!$A$3:$A$841,0)),"")="N.A","",(IFERROR(INDEX('Both teabags AfterWet'!$C$3:$C$841,MATCH(H470,'Both teabags AfterWet'!$A$3:$A$841,0)),"")))</f>
        <v/>
      </c>
      <c r="Q470" s="195">
        <f>IFERROR(INDEX('Both teabags AfterWet'!$C$3:$C$841,MATCH(I470,'Both teabags AfterWet'!$A$3:$A$841,0)),"")</f>
        <v>1.681</v>
      </c>
      <c r="R470" s="195" t="str">
        <f t="shared" si="57"/>
        <v/>
      </c>
      <c r="S470" s="195">
        <f t="shared" si="57"/>
        <v>1.5304</v>
      </c>
      <c r="T470" s="195" t="str">
        <f t="shared" si="58"/>
        <v/>
      </c>
      <c r="U470" s="195" t="str">
        <f t="shared" si="59"/>
        <v/>
      </c>
      <c r="V470" s="195">
        <f t="shared" si="60"/>
        <v>0.80159228996438303</v>
      </c>
      <c r="W470">
        <f t="shared" si="55"/>
        <v>51</v>
      </c>
      <c r="X470" s="195" t="str">
        <f t="shared" si="61"/>
        <v/>
      </c>
      <c r="Y470" s="195" t="str">
        <f t="shared" si="62"/>
        <v/>
      </c>
      <c r="Z470" s="255" t="str">
        <f>IF(ISNUMBER(SEARCH("C",'WetLitterbags placem_collection'!W397)),"YES","NO")</f>
        <v>NO</v>
      </c>
      <c r="AA470" s="255" t="str">
        <f>IF(ISNUMBER(SEARCH("H", 'WetLitterbags placem_collection'!Y177)),"YES","NO")</f>
        <v>NO</v>
      </c>
      <c r="AB470" s="255" t="str">
        <f>IF(ISNUMBER(SEARCH("R", 'WetLitterbags placem_collection'!WY177)),"YES","NO")</f>
        <v>NO</v>
      </c>
      <c r="AC470" s="255" t="str">
        <f>IF(ISNUMBER(SEARCH("C", 'WetLitterbags placem_collection'!VX177)),"YES","NO")</f>
        <v>NO</v>
      </c>
      <c r="AD470" s="255" t="str">
        <f>IF(ISNUMBER(SEARCH("H", 'WetLitterbags placem_collection'!X177)),"YES","NO")</f>
        <v>NO</v>
      </c>
      <c r="AE470" s="255" t="str">
        <f>IF(ISNUMBER(SEARCH("R", 'WetLitterbags placem_collection'!X177)),"YES","NO")</f>
        <v>NO</v>
      </c>
    </row>
    <row r="471" spans="2:31">
      <c r="B471" t="str">
        <f>'Final data_for_R_analysis_Wetse'!A617</f>
        <v>Wet</v>
      </c>
      <c r="C471" s="263">
        <f>'Final data_for_R_analysis_Wetse'!B617</f>
        <v>176</v>
      </c>
      <c r="D471" t="s">
        <v>3853</v>
      </c>
      <c r="E471" t="s">
        <v>25</v>
      </c>
      <c r="F471" s="387">
        <v>8</v>
      </c>
      <c r="G471" s="16">
        <f>'WetLitterbags placem_collection'!E178</f>
        <v>42763</v>
      </c>
      <c r="H471" s="92" t="str">
        <f>'Final data_for_R_analysis_Wetse'!J617</f>
        <v>G470</v>
      </c>
      <c r="I471" t="str">
        <f>'Final data_for_R_analysis_Wetse'!J837</f>
        <v>R490</v>
      </c>
      <c r="J471">
        <f>IFERROR(INDEX('Green_rooibos initial weight'!$C$5:$C$1749,MATCH(H471, 'Green_rooibos initial weight'!$A$5:$A$1749,0)),"")</f>
        <v>1.9970000000000001</v>
      </c>
      <c r="K471">
        <f>IFERROR(INDEX('Green_rooibos initial weight'!$C$5:$C$1749,MATCH(I471, 'Green_rooibos initial weight'!$A$5:$A$1749,0)),"")</f>
        <v>2.1890000000000001</v>
      </c>
      <c r="L471" s="195">
        <f t="shared" si="56"/>
        <v>1.7472000000000001</v>
      </c>
      <c r="M471" s="195">
        <f>AVERAGE(Ashed_controlls!$K$2:$K$11)</f>
        <v>5.5147656768714146</v>
      </c>
      <c r="N471" s="195">
        <f t="shared" si="54"/>
        <v>1.9392</v>
      </c>
      <c r="O471" s="16">
        <f>IF('WetLitterbags placem_collection'!G178="N.A","",'WetLitterbags placem_collection'!G178)</f>
        <v>42814</v>
      </c>
      <c r="P471" s="195">
        <f>IF(IFERROR(INDEX('Both teabags AfterWet'!$C$3:$C$841,MATCH(H471,'Both teabags AfterWet'!$A$3:$A$841,0)),"")="N.A","",(IFERROR(INDEX('Both teabags AfterWet'!$C$3:$C$841,MATCH(H471,'Both teabags AfterWet'!$A$3:$A$841,0)),"")))</f>
        <v>0.60299999999999998</v>
      </c>
      <c r="Q471" s="195">
        <f>IFERROR(INDEX('Both teabags AfterWet'!$C$3:$C$841,MATCH(I471,'Both teabags AfterWet'!$A$3:$A$841,0)),"")</f>
        <v>1.7070000000000001</v>
      </c>
      <c r="R471" s="195">
        <f t="shared" si="57"/>
        <v>0.45239999999999997</v>
      </c>
      <c r="S471" s="195">
        <f t="shared" si="57"/>
        <v>1.5564</v>
      </c>
      <c r="T471" s="195">
        <f t="shared" si="58"/>
        <v>0.7410714285714286</v>
      </c>
      <c r="U471" s="195">
        <f t="shared" si="59"/>
        <v>0.48583305055989146</v>
      </c>
      <c r="V471" s="195">
        <f t="shared" si="60"/>
        <v>0.80259900990099009</v>
      </c>
      <c r="W471">
        <f t="shared" si="55"/>
        <v>51</v>
      </c>
      <c r="X471" s="195">
        <f t="shared" si="61"/>
        <v>0.1198676620291822</v>
      </c>
      <c r="Y471" s="195">
        <f t="shared" si="62"/>
        <v>1.0223636894893362E-2</v>
      </c>
      <c r="Z471" s="255" t="str">
        <f>IF(ISNUMBER(SEARCH("C",'WetLitterbags placem_collection'!W398)),"YES","NO")</f>
        <v>NO</v>
      </c>
      <c r="AA471" s="255" t="str">
        <f>IF(ISNUMBER(SEARCH("H", 'WetLitterbags placem_collection'!Y178)),"YES","NO")</f>
        <v>NO</v>
      </c>
      <c r="AB471" s="255" t="str">
        <f>IF(ISNUMBER(SEARCH("R", 'WetLitterbags placem_collection'!WY178)),"YES","NO")</f>
        <v>NO</v>
      </c>
      <c r="AC471" s="255" t="str">
        <f>IF(ISNUMBER(SEARCH("C", 'WetLitterbags placem_collection'!VX178)),"YES","NO")</f>
        <v>NO</v>
      </c>
      <c r="AD471" s="255" t="str">
        <f>IF(ISNUMBER(SEARCH("H", 'WetLitterbags placem_collection'!X178)),"YES","NO")</f>
        <v>NO</v>
      </c>
      <c r="AE471" s="255" t="str">
        <f>IF(ISNUMBER(SEARCH("R", 'WetLitterbags placem_collection'!X178)),"YES","NO")</f>
        <v>NO</v>
      </c>
    </row>
    <row r="472" spans="2:31">
      <c r="B472" t="str">
        <f>'Final data_for_R_analysis_Wetse'!A618</f>
        <v>Wet</v>
      </c>
      <c r="C472" s="263">
        <f>'Final data_for_R_analysis_Wetse'!B618</f>
        <v>177</v>
      </c>
      <c r="D472" t="s">
        <v>3854</v>
      </c>
      <c r="E472" t="s">
        <v>25</v>
      </c>
      <c r="F472" s="386">
        <v>1</v>
      </c>
      <c r="G472" s="16">
        <f>'WetLitterbags placem_collection'!E179</f>
        <v>42763</v>
      </c>
      <c r="H472" s="92" t="str">
        <f>'Final data_for_R_analysis_Wetse'!J618</f>
        <v>G483</v>
      </c>
      <c r="I472" t="str">
        <f>'Final data_for_R_analysis_Wetse'!J838</f>
        <v>R470</v>
      </c>
      <c r="J472">
        <f>IFERROR(INDEX('Green_rooibos initial weight'!$C$5:$C$1749,MATCH(H472, 'Green_rooibos initial weight'!$A$5:$A$1749,0)),"")</f>
        <v>1.9750000000000001</v>
      </c>
      <c r="K472">
        <f>IFERROR(INDEX('Green_rooibos initial weight'!$C$5:$C$1749,MATCH(I472, 'Green_rooibos initial weight'!$A$5:$A$1749,0)),"")</f>
        <v>2.1240000000000001</v>
      </c>
      <c r="L472" s="195">
        <f t="shared" si="56"/>
        <v>1.7252000000000001</v>
      </c>
      <c r="M472" s="195">
        <f>AVERAGE(Ashed_controlls!$K$2:$K$11)</f>
        <v>5.5147656768714146</v>
      </c>
      <c r="N472" s="195">
        <f t="shared" si="54"/>
        <v>1.8742000000000001</v>
      </c>
      <c r="O472" s="16">
        <f>IF('WetLitterbags placem_collection'!G179="N.A","",'WetLitterbags placem_collection'!G179)</f>
        <v>42815</v>
      </c>
      <c r="P472" s="195">
        <f>IF(IFERROR(INDEX('Both teabags AfterWet'!$C$3:$C$841,MATCH(H472,'Both teabags AfterWet'!$A$3:$A$841,0)),"")="N.A","",(IFERROR(INDEX('Both teabags AfterWet'!$C$3:$C$841,MATCH(H472,'Both teabags AfterWet'!$A$3:$A$841,0)),"")))</f>
        <v>0.58399999999999996</v>
      </c>
      <c r="Q472" s="195">
        <f>IFERROR(INDEX('Both teabags AfterWet'!$C$3:$C$841,MATCH(I472,'Both teabags AfterWet'!$A$3:$A$841,0)),"")</f>
        <v>1.677</v>
      </c>
      <c r="R472" s="195">
        <f t="shared" si="57"/>
        <v>0.43339999999999995</v>
      </c>
      <c r="S472" s="195">
        <f t="shared" si="57"/>
        <v>1.5264</v>
      </c>
      <c r="T472" s="195">
        <f t="shared" si="58"/>
        <v>0.74878274982610715</v>
      </c>
      <c r="U472" s="195">
        <f t="shared" si="59"/>
        <v>0.49088845356770922</v>
      </c>
      <c r="V472" s="195">
        <f t="shared" si="60"/>
        <v>0.81442748906199969</v>
      </c>
      <c r="W472">
        <f t="shared" si="55"/>
        <v>52</v>
      </c>
      <c r="X472" s="195">
        <f t="shared" si="61"/>
        <v>0.11070932324690363</v>
      </c>
      <c r="Y472" s="195">
        <f t="shared" si="62"/>
        <v>9.1321115752032375E-3</v>
      </c>
      <c r="Z472" s="255" t="str">
        <f>IF(ISNUMBER(SEARCH("C",'WetLitterbags placem_collection'!W399)),"YES","NO")</f>
        <v>NO</v>
      </c>
      <c r="AA472" s="255" t="str">
        <f>IF(ISNUMBER(SEARCH("H", 'WetLitterbags placem_collection'!Y179)),"YES","NO")</f>
        <v>NO</v>
      </c>
      <c r="AB472" s="255" t="str">
        <f>IF(ISNUMBER(SEARCH("R", 'WetLitterbags placem_collection'!WY179)),"YES","NO")</f>
        <v>NO</v>
      </c>
      <c r="AC472" s="255" t="str">
        <f>IF(ISNUMBER(SEARCH("C", 'WetLitterbags placem_collection'!VX179)),"YES","NO")</f>
        <v>NO</v>
      </c>
      <c r="AD472" s="255" t="str">
        <f>IF(ISNUMBER(SEARCH("H", 'WetLitterbags placem_collection'!X179)),"YES","NO")</f>
        <v>NO</v>
      </c>
      <c r="AE472" s="255" t="str">
        <f>IF(ISNUMBER(SEARCH("R", 'WetLitterbags placem_collection'!X179)),"YES","NO")</f>
        <v>NO</v>
      </c>
    </row>
    <row r="473" spans="2:31">
      <c r="B473" t="str">
        <f>'Final data_for_R_analysis_Wetse'!A619</f>
        <v>Wet</v>
      </c>
      <c r="C473" s="263">
        <f>'Final data_for_R_analysis_Wetse'!B619</f>
        <v>178</v>
      </c>
      <c r="D473" t="s">
        <v>3854</v>
      </c>
      <c r="E473" t="s">
        <v>25</v>
      </c>
      <c r="F473" s="386">
        <v>2</v>
      </c>
      <c r="G473" s="16">
        <f>'WetLitterbags placem_collection'!E180</f>
        <v>42763</v>
      </c>
      <c r="H473" s="92" t="str">
        <f>'Final data_for_R_analysis_Wetse'!J619</f>
        <v>G893</v>
      </c>
      <c r="I473" t="str">
        <f>'Final data_for_R_analysis_Wetse'!J839</f>
        <v>R488</v>
      </c>
      <c r="J473">
        <f>IFERROR(INDEX('Green_rooibos initial weight'!$C$5:$C$1749,MATCH(H473, 'Green_rooibos initial weight'!$A$5:$A$1749,0)),"")</f>
        <v>2.036</v>
      </c>
      <c r="K473">
        <f>IFERROR(INDEX('Green_rooibos initial weight'!$C$5:$C$1749,MATCH(I473, 'Green_rooibos initial weight'!$A$5:$A$1749,0)),"")</f>
        <v>2.1589999999999998</v>
      </c>
      <c r="L473" s="195">
        <f t="shared" si="56"/>
        <v>1.7862</v>
      </c>
      <c r="M473" s="195">
        <f>AVERAGE(Ashed_controlls!$K$2:$K$11)</f>
        <v>5.5147656768714146</v>
      </c>
      <c r="N473" s="195">
        <f t="shared" si="54"/>
        <v>1.9091999999999998</v>
      </c>
      <c r="O473" s="16">
        <f>IF('WetLitterbags placem_collection'!G180="N.A","",'WetLitterbags placem_collection'!G180)</f>
        <v>42815</v>
      </c>
      <c r="P473" s="195">
        <f>IF(IFERROR(INDEX('Both teabags AfterWet'!$C$3:$C$841,MATCH(H473,'Both teabags AfterWet'!$A$3:$A$841,0)),"")="N.A","",(IFERROR(INDEX('Both teabags AfterWet'!$C$3:$C$841,MATCH(H473,'Both teabags AfterWet'!$A$3:$A$841,0)),"")))</f>
        <v>0.60699999999999998</v>
      </c>
      <c r="Q473" s="195">
        <f>IFERROR(INDEX('Both teabags AfterWet'!$C$3:$C$841,MATCH(I473,'Both teabags AfterWet'!$A$3:$A$841,0)),"")</f>
        <v>1.6446000000000001</v>
      </c>
      <c r="R473" s="195">
        <f t="shared" si="57"/>
        <v>0.45639999999999997</v>
      </c>
      <c r="S473" s="195">
        <f t="shared" si="57"/>
        <v>1.494</v>
      </c>
      <c r="T473" s="195">
        <f t="shared" si="58"/>
        <v>0.74448549994401525</v>
      </c>
      <c r="U473" s="195">
        <f t="shared" si="59"/>
        <v>0.48807125412006708</v>
      </c>
      <c r="V473" s="195">
        <f t="shared" si="60"/>
        <v>0.78252671275927099</v>
      </c>
      <c r="W473">
        <f t="shared" si="55"/>
        <v>52</v>
      </c>
      <c r="X473" s="195">
        <f t="shared" si="61"/>
        <v>0.11581294543466114</v>
      </c>
      <c r="Y473" s="195">
        <f t="shared" si="62"/>
        <v>1.1342830873214187E-2</v>
      </c>
      <c r="Z473" s="255" t="str">
        <f>IF(ISNUMBER(SEARCH("C",'WetLitterbags placem_collection'!W400)),"YES","NO")</f>
        <v>NO</v>
      </c>
      <c r="AA473" s="255" t="str">
        <f>IF(ISNUMBER(SEARCH("H", 'WetLitterbags placem_collection'!Y180)),"YES","NO")</f>
        <v>NO</v>
      </c>
      <c r="AB473" s="255" t="str">
        <f>IF(ISNUMBER(SEARCH("R", 'WetLitterbags placem_collection'!WY180)),"YES","NO")</f>
        <v>NO</v>
      </c>
      <c r="AC473" s="255" t="str">
        <f>IF(ISNUMBER(SEARCH("C", 'WetLitterbags placem_collection'!VX180)),"YES","NO")</f>
        <v>NO</v>
      </c>
      <c r="AD473" s="255" t="str">
        <f>IF(ISNUMBER(SEARCH("H", 'WetLitterbags placem_collection'!X180)),"YES","NO")</f>
        <v>NO</v>
      </c>
      <c r="AE473" s="255" t="str">
        <f>IF(ISNUMBER(SEARCH("R", 'WetLitterbags placem_collection'!X180)),"YES","NO")</f>
        <v>YES</v>
      </c>
    </row>
    <row r="474" spans="2:31">
      <c r="B474" t="str">
        <f>'Final data_for_R_analysis_Wetse'!A620</f>
        <v>Wet</v>
      </c>
      <c r="C474" s="263">
        <f>'Final data_for_R_analysis_Wetse'!B620</f>
        <v>179</v>
      </c>
      <c r="D474" t="s">
        <v>3854</v>
      </c>
      <c r="E474" t="s">
        <v>25</v>
      </c>
      <c r="F474" s="386">
        <v>3</v>
      </c>
      <c r="G474" s="16">
        <f>'WetLitterbags placem_collection'!E181</f>
        <v>42763</v>
      </c>
      <c r="H474" s="92" t="str">
        <f>'Final data_for_R_analysis_Wetse'!J620</f>
        <v>G826</v>
      </c>
      <c r="I474" t="str">
        <f>'Final data_for_R_analysis_Wetse'!J840</f>
        <v>R273</v>
      </c>
      <c r="J474">
        <f>IFERROR(INDEX('Green_rooibos initial weight'!$C$5:$C$1749,MATCH(H474, 'Green_rooibos initial weight'!$A$5:$A$1749,0)),"")</f>
        <v>2.15</v>
      </c>
      <c r="K474">
        <f>IFERROR(INDEX('Green_rooibos initial weight'!$C$5:$C$1749,MATCH(I474, 'Green_rooibos initial weight'!$A$5:$A$1749,0)),"")</f>
        <v>2.2090000000000001</v>
      </c>
      <c r="L474" s="195">
        <f t="shared" si="56"/>
        <v>1.9001999999999999</v>
      </c>
      <c r="M474" s="195">
        <f>AVERAGE(Ashed_controlls!$K$2:$K$11)</f>
        <v>5.5147656768714146</v>
      </c>
      <c r="N474" s="195">
        <f t="shared" si="54"/>
        <v>1.9592000000000001</v>
      </c>
      <c r="O474" s="16">
        <f>IF('WetLitterbags placem_collection'!G181="N.A","",'WetLitterbags placem_collection'!G181)</f>
        <v>42815</v>
      </c>
      <c r="P474" s="195">
        <f>IF(IFERROR(INDEX('Both teabags AfterWet'!$C$3:$C$841,MATCH(H474,'Both teabags AfterWet'!$A$3:$A$841,0)),"")="N.A","",(IFERROR(INDEX('Both teabags AfterWet'!$C$3:$C$841,MATCH(H474,'Both teabags AfterWet'!$A$3:$A$841,0)),"")))</f>
        <v>0.60060000000000002</v>
      </c>
      <c r="Q474" s="195">
        <f>IFERROR(INDEX('Both teabags AfterWet'!$C$3:$C$841,MATCH(I474,'Both teabags AfterWet'!$A$3:$A$841,0)),"")</f>
        <v>1.655</v>
      </c>
      <c r="R474" s="195">
        <f t="shared" si="57"/>
        <v>0.45</v>
      </c>
      <c r="S474" s="195">
        <f t="shared" si="57"/>
        <v>1.5044</v>
      </c>
      <c r="T474" s="195">
        <f t="shared" si="58"/>
        <v>0.76318282286075145</v>
      </c>
      <c r="U474" s="195">
        <f t="shared" si="59"/>
        <v>0.50032888149540955</v>
      </c>
      <c r="V474" s="195">
        <f t="shared" si="60"/>
        <v>0.76786443446304609</v>
      </c>
      <c r="W474">
        <f t="shared" si="55"/>
        <v>52</v>
      </c>
      <c r="X474" s="195">
        <f t="shared" si="61"/>
        <v>9.3607098740200123E-2</v>
      </c>
      <c r="Y474" s="195">
        <f t="shared" si="62"/>
        <v>1.1991492240381724E-2</v>
      </c>
      <c r="Z474" s="255" t="str">
        <f>IF(ISNUMBER(SEARCH("C",'WetLitterbags placem_collection'!W401)),"YES","NO")</f>
        <v>NO</v>
      </c>
      <c r="AA474" s="255" t="str">
        <f>IF(ISNUMBER(SEARCH("H", 'WetLitterbags placem_collection'!Y181)),"YES","NO")</f>
        <v>NO</v>
      </c>
      <c r="AB474" s="255" t="str">
        <f>IF(ISNUMBER(SEARCH("R", 'WetLitterbags placem_collection'!WY181)),"YES","NO")</f>
        <v>NO</v>
      </c>
      <c r="AC474" s="255" t="str">
        <f>IF(ISNUMBER(SEARCH("C", 'WetLitterbags placem_collection'!VX181)),"YES","NO")</f>
        <v>NO</v>
      </c>
      <c r="AD474" s="255" t="str">
        <f>IF(ISNUMBER(SEARCH("H", 'WetLitterbags placem_collection'!X181)),"YES","NO")</f>
        <v>NO</v>
      </c>
      <c r="AE474" s="255" t="str">
        <f>IF(ISNUMBER(SEARCH("R", 'WetLitterbags placem_collection'!X181)),"YES","NO")</f>
        <v>NO</v>
      </c>
    </row>
    <row r="475" spans="2:31">
      <c r="B475" t="str">
        <f>'Final data_for_R_analysis_Wetse'!A621</f>
        <v>Wet</v>
      </c>
      <c r="C475" s="263">
        <f>'Final data_for_R_analysis_Wetse'!B621</f>
        <v>180</v>
      </c>
      <c r="D475" t="s">
        <v>3854</v>
      </c>
      <c r="E475" t="s">
        <v>25</v>
      </c>
      <c r="F475" s="387">
        <v>4</v>
      </c>
      <c r="G475" s="16">
        <f>'WetLitterbags placem_collection'!E182</f>
        <v>42763</v>
      </c>
      <c r="H475" s="92" t="str">
        <f>'Final data_for_R_analysis_Wetse'!J621</f>
        <v>G783</v>
      </c>
      <c r="I475" t="str">
        <f>'Final data_for_R_analysis_Wetse'!J841</f>
        <v>R301</v>
      </c>
      <c r="J475">
        <f>IFERROR(INDEX('Green_rooibos initial weight'!$C$5:$C$1749,MATCH(H475, 'Green_rooibos initial weight'!$A$5:$A$1749,0)),"")</f>
        <v>1.976</v>
      </c>
      <c r="K475">
        <f>IFERROR(INDEX('Green_rooibos initial weight'!$C$5:$C$1749,MATCH(I475, 'Green_rooibos initial weight'!$A$5:$A$1749,0)),"")</f>
        <v>2.2530000000000001</v>
      </c>
      <c r="L475" s="195">
        <f t="shared" si="56"/>
        <v>1.7262</v>
      </c>
      <c r="M475" s="195">
        <f>AVERAGE(Ashed_controlls!$K$2:$K$11)</f>
        <v>5.5147656768714146</v>
      </c>
      <c r="N475" s="195">
        <f t="shared" si="54"/>
        <v>2.0032000000000001</v>
      </c>
      <c r="O475" s="16">
        <f>IF('WetLitterbags placem_collection'!G182="N.A","",'WetLitterbags placem_collection'!G182)</f>
        <v>42815</v>
      </c>
      <c r="P475" s="195">
        <f>IF(IFERROR(INDEX('Both teabags AfterWet'!$C$3:$C$841,MATCH(H475,'Both teabags AfterWet'!$A$3:$A$841,0)),"")="N.A","",(IFERROR(INDEX('Both teabags AfterWet'!$C$3:$C$841,MATCH(H475,'Both teabags AfterWet'!$A$3:$A$841,0)),"")))</f>
        <v>0.627</v>
      </c>
      <c r="Q475" s="195">
        <f>IFERROR(INDEX('Both teabags AfterWet'!$C$3:$C$841,MATCH(I475,'Both teabags AfterWet'!$A$3:$A$841,0)),"")</f>
        <v>1.6709000000000001</v>
      </c>
      <c r="R475" s="195">
        <f t="shared" si="57"/>
        <v>0.47639999999999999</v>
      </c>
      <c r="S475" s="195">
        <f t="shared" si="57"/>
        <v>1.5203</v>
      </c>
      <c r="T475" s="195">
        <f t="shared" si="58"/>
        <v>0.72401807438303789</v>
      </c>
      <c r="U475" s="195">
        <f t="shared" si="59"/>
        <v>0.47465317940550705</v>
      </c>
      <c r="V475" s="195">
        <f t="shared" si="60"/>
        <v>0.75893570287539935</v>
      </c>
      <c r="W475">
        <f t="shared" si="55"/>
        <v>52</v>
      </c>
      <c r="X475" s="195">
        <f t="shared" si="61"/>
        <v>0.14012105180161771</v>
      </c>
      <c r="Y475" s="195">
        <f t="shared" si="62"/>
        <v>1.3635033305392523E-2</v>
      </c>
      <c r="Z475" s="255" t="str">
        <f>IF(ISNUMBER(SEARCH("C",'WetLitterbags placem_collection'!W402)),"YES","NO")</f>
        <v>NO</v>
      </c>
      <c r="AA475" s="255" t="str">
        <f>IF(ISNUMBER(SEARCH("H", 'WetLitterbags placem_collection'!Y182)),"YES","NO")</f>
        <v>NO</v>
      </c>
      <c r="AB475" s="255" t="str">
        <f>IF(ISNUMBER(SEARCH("R", 'WetLitterbags placem_collection'!WY182)),"YES","NO")</f>
        <v>NO</v>
      </c>
      <c r="AC475" s="255" t="str">
        <f>IF(ISNUMBER(SEARCH("C", 'WetLitterbags placem_collection'!VX182)),"YES","NO")</f>
        <v>NO</v>
      </c>
      <c r="AD475" s="255" t="str">
        <f>IF(ISNUMBER(SEARCH("H", 'WetLitterbags placem_collection'!X182)),"YES","NO")</f>
        <v>NO</v>
      </c>
      <c r="AE475" s="255" t="str">
        <f>IF(ISNUMBER(SEARCH("R", 'WetLitterbags placem_collection'!X182)),"YES","NO")</f>
        <v>NO</v>
      </c>
    </row>
    <row r="476" spans="2:31">
      <c r="B476" t="str">
        <f>'Final data_for_R_analysis_Wetse'!A622</f>
        <v>Wet</v>
      </c>
      <c r="C476" s="263">
        <f>'Final data_for_R_analysis_Wetse'!B622</f>
        <v>181</v>
      </c>
      <c r="D476" t="s">
        <v>3854</v>
      </c>
      <c r="E476" t="s">
        <v>25</v>
      </c>
      <c r="F476" s="387">
        <v>5</v>
      </c>
      <c r="G476" s="16">
        <f>'WetLitterbags placem_collection'!E183</f>
        <v>42763</v>
      </c>
      <c r="H476" s="92" t="str">
        <f>'Final data_for_R_analysis_Wetse'!J622</f>
        <v>G551</v>
      </c>
      <c r="I476" t="str">
        <f>'Final data_for_R_analysis_Wetse'!J842</f>
        <v>R291</v>
      </c>
      <c r="J476">
        <f>IFERROR(INDEX('Green_rooibos initial weight'!$C$5:$C$1749,MATCH(H476, 'Green_rooibos initial weight'!$A$5:$A$1749,0)),"")</f>
        <v>2.1160000000000001</v>
      </c>
      <c r="K476">
        <f>IFERROR(INDEX('Green_rooibos initial weight'!$C$5:$C$1749,MATCH(I476, 'Green_rooibos initial weight'!$A$5:$A$1749,0)),"")</f>
        <v>2.2320000000000002</v>
      </c>
      <c r="L476" s="195">
        <f t="shared" si="56"/>
        <v>1.8662000000000001</v>
      </c>
      <c r="M476" s="195">
        <f>AVERAGE(Ashed_controlls!$K$2:$K$11)</f>
        <v>5.5147656768714146</v>
      </c>
      <c r="N476" s="195">
        <f t="shared" si="54"/>
        <v>1.9822000000000002</v>
      </c>
      <c r="O476" s="16">
        <f>IF('WetLitterbags placem_collection'!G183="N.A","",'WetLitterbags placem_collection'!G183)</f>
        <v>42815</v>
      </c>
      <c r="P476" s="195">
        <f>IF(IFERROR(INDEX('Both teabags AfterWet'!$C$3:$C$841,MATCH(H476,'Both teabags AfterWet'!$A$3:$A$841,0)),"")="N.A","",(IFERROR(INDEX('Both teabags AfterWet'!$C$3:$C$841,MATCH(H476,'Both teabags AfterWet'!$A$3:$A$841,0)),"")))</f>
        <v>0.61199999999999999</v>
      </c>
      <c r="Q476" s="195">
        <f>IFERROR(INDEX('Both teabags AfterWet'!$C$3:$C$841,MATCH(I476,'Both teabags AfterWet'!$A$3:$A$841,0)),"")</f>
        <v>1.6970000000000001</v>
      </c>
      <c r="R476" s="195">
        <f t="shared" si="57"/>
        <v>0.46139999999999998</v>
      </c>
      <c r="S476" s="195">
        <f t="shared" si="57"/>
        <v>1.5464</v>
      </c>
      <c r="T476" s="195">
        <f t="shared" si="58"/>
        <v>0.75275961847604766</v>
      </c>
      <c r="U476" s="195">
        <f t="shared" si="59"/>
        <v>0.49349561686315718</v>
      </c>
      <c r="V476" s="195">
        <f t="shared" si="60"/>
        <v>0.78014327514882442</v>
      </c>
      <c r="W476">
        <f t="shared" si="55"/>
        <v>52</v>
      </c>
      <c r="X476" s="195">
        <f t="shared" si="61"/>
        <v>0.10598620133486025</v>
      </c>
      <c r="Y476" s="195">
        <f t="shared" si="62"/>
        <v>1.1340474082405324E-2</v>
      </c>
      <c r="Z476" s="255" t="str">
        <f>IF(ISNUMBER(SEARCH("C",'WetLitterbags placem_collection'!W403)),"YES","NO")</f>
        <v>NO</v>
      </c>
      <c r="AA476" s="255" t="str">
        <f>IF(ISNUMBER(SEARCH("H", 'WetLitterbags placem_collection'!Y183)),"YES","NO")</f>
        <v>NO</v>
      </c>
      <c r="AB476" s="255" t="str">
        <f>IF(ISNUMBER(SEARCH("R", 'WetLitterbags placem_collection'!WY183)),"YES","NO")</f>
        <v>NO</v>
      </c>
      <c r="AC476" s="255" t="str">
        <f>IF(ISNUMBER(SEARCH("C", 'WetLitterbags placem_collection'!VX183)),"YES","NO")</f>
        <v>NO</v>
      </c>
      <c r="AD476" s="255" t="str">
        <f>IF(ISNUMBER(SEARCH("H", 'WetLitterbags placem_collection'!X183)),"YES","NO")</f>
        <v>NO</v>
      </c>
      <c r="AE476" s="255" t="str">
        <f>IF(ISNUMBER(SEARCH("R", 'WetLitterbags placem_collection'!X183)),"YES","NO")</f>
        <v>NO</v>
      </c>
    </row>
    <row r="477" spans="2:31">
      <c r="B477" t="str">
        <f>'Final data_for_R_analysis_Wetse'!A623</f>
        <v>Wet</v>
      </c>
      <c r="C477" s="263">
        <f>'Final data_for_R_analysis_Wetse'!B623</f>
        <v>182</v>
      </c>
      <c r="D477" t="s">
        <v>3854</v>
      </c>
      <c r="E477" t="s">
        <v>25</v>
      </c>
      <c r="F477" s="387">
        <v>6</v>
      </c>
      <c r="G477" s="16">
        <f>'WetLitterbags placem_collection'!E184</f>
        <v>42763</v>
      </c>
      <c r="H477" s="92" t="str">
        <f>'Final data_for_R_analysis_Wetse'!J623</f>
        <v>G818</v>
      </c>
      <c r="I477" t="str">
        <f>'Final data_for_R_analysis_Wetse'!J843</f>
        <v>R537</v>
      </c>
      <c r="J477">
        <f>IFERROR(INDEX('Green_rooibos initial weight'!$C$5:$C$1749,MATCH(H477, 'Green_rooibos initial weight'!$A$5:$A$1749,0)),"")</f>
        <v>2.0099999999999998</v>
      </c>
      <c r="K477">
        <f>IFERROR(INDEX('Green_rooibos initial weight'!$C$5:$C$1749,MATCH(I477, 'Green_rooibos initial weight'!$A$5:$A$1749,0)),"")</f>
        <v>2.145</v>
      </c>
      <c r="L477" s="195">
        <f t="shared" si="56"/>
        <v>1.7601999999999998</v>
      </c>
      <c r="M477" s="195">
        <f>AVERAGE(Ashed_controlls!$K$2:$K$11)</f>
        <v>5.5147656768714146</v>
      </c>
      <c r="N477" s="195">
        <f t="shared" si="54"/>
        <v>1.8952</v>
      </c>
      <c r="O477" s="16">
        <f>IF('WetLitterbags placem_collection'!G184="N.A","",'WetLitterbags placem_collection'!G184)</f>
        <v>42815</v>
      </c>
      <c r="P477" s="195">
        <f>IF(IFERROR(INDEX('Both teabags AfterWet'!$C$3:$C$841,MATCH(H477,'Both teabags AfterWet'!$A$3:$A$841,0)),"")="N.A","",(IFERROR(INDEX('Both teabags AfterWet'!$C$3:$C$841,MATCH(H477,'Both teabags AfterWet'!$A$3:$A$841,0)),"")))</f>
        <v>0.60450000000000004</v>
      </c>
      <c r="Q477" s="195">
        <f>IFERROR(INDEX('Both teabags AfterWet'!$C$3:$C$841,MATCH(I477,'Both teabags AfterWet'!$A$3:$A$841,0)),"")</f>
        <v>1.7152000000000001</v>
      </c>
      <c r="R477" s="195">
        <f t="shared" si="57"/>
        <v>0.45390000000000003</v>
      </c>
      <c r="S477" s="195">
        <f t="shared" si="57"/>
        <v>1.5646</v>
      </c>
      <c r="T477" s="195">
        <f t="shared" si="58"/>
        <v>0.74213157595727752</v>
      </c>
      <c r="U477" s="195">
        <f t="shared" si="59"/>
        <v>0.48652806404800147</v>
      </c>
      <c r="V477" s="195">
        <f t="shared" si="60"/>
        <v>0.82555930772477837</v>
      </c>
      <c r="W477">
        <f t="shared" si="55"/>
        <v>52</v>
      </c>
      <c r="X477" s="195">
        <f t="shared" si="61"/>
        <v>0.11860857962318583</v>
      </c>
      <c r="Y477" s="195">
        <f t="shared" si="62"/>
        <v>8.5386807544270815E-3</v>
      </c>
      <c r="Z477" s="255" t="str">
        <f>IF(ISNUMBER(SEARCH("C",'WetLitterbags placem_collection'!W404)),"YES","NO")</f>
        <v>NO</v>
      </c>
      <c r="AA477" s="255" t="str">
        <f>IF(ISNUMBER(SEARCH("H", 'WetLitterbags placem_collection'!Y184)),"YES","NO")</f>
        <v>NO</v>
      </c>
      <c r="AB477" s="255" t="str">
        <f>IF(ISNUMBER(SEARCH("R", 'WetLitterbags placem_collection'!WY184)),"YES","NO")</f>
        <v>NO</v>
      </c>
      <c r="AC477" s="255" t="str">
        <f>IF(ISNUMBER(SEARCH("C", 'WetLitterbags placem_collection'!VX184)),"YES","NO")</f>
        <v>NO</v>
      </c>
      <c r="AD477" s="255" t="str">
        <f>IF(ISNUMBER(SEARCH("H", 'WetLitterbags placem_collection'!X184)),"YES","NO")</f>
        <v>NO</v>
      </c>
      <c r="AE477" s="255" t="str">
        <f>IF(ISNUMBER(SEARCH("R", 'WetLitterbags placem_collection'!X184)),"YES","NO")</f>
        <v>NO</v>
      </c>
    </row>
    <row r="478" spans="2:31">
      <c r="B478" t="str">
        <f>'Final data_for_R_analysis_Wetse'!A624</f>
        <v>Wet</v>
      </c>
      <c r="C478" s="263">
        <f>'Final data_for_R_analysis_Wetse'!B624</f>
        <v>183</v>
      </c>
      <c r="D478" t="s">
        <v>3854</v>
      </c>
      <c r="E478" t="s">
        <v>25</v>
      </c>
      <c r="F478" s="387">
        <v>7</v>
      </c>
      <c r="G478" s="16">
        <f>'WetLitterbags placem_collection'!E185</f>
        <v>42763</v>
      </c>
      <c r="H478" s="92" t="str">
        <f>'Final data_for_R_analysis_Wetse'!J624</f>
        <v>G896</v>
      </c>
      <c r="I478" t="str">
        <f>'Final data_for_R_analysis_Wetse'!J844</f>
        <v>R290</v>
      </c>
      <c r="J478">
        <f>IFERROR(INDEX('Green_rooibos initial weight'!$C$5:$C$1749,MATCH(H478, 'Green_rooibos initial weight'!$A$5:$A$1749,0)),"")</f>
        <v>1.982</v>
      </c>
      <c r="K478">
        <f>IFERROR(INDEX('Green_rooibos initial weight'!$C$5:$C$1749,MATCH(I478, 'Green_rooibos initial weight'!$A$5:$A$1749,0)),"")</f>
        <v>2.153</v>
      </c>
      <c r="L478" s="195">
        <f t="shared" si="56"/>
        <v>1.7322</v>
      </c>
      <c r="M478" s="195">
        <f>AVERAGE(Ashed_controlls!$K$2:$K$11)</f>
        <v>5.5147656768714146</v>
      </c>
      <c r="N478" s="195">
        <f t="shared" si="54"/>
        <v>1.9032</v>
      </c>
      <c r="O478" s="16">
        <f>IF('WetLitterbags placem_collection'!G185="N.A","",'WetLitterbags placem_collection'!G185)</f>
        <v>42815</v>
      </c>
      <c r="P478" s="195">
        <f>IF(IFERROR(INDEX('Both teabags AfterWet'!$C$3:$C$841,MATCH(H478,'Both teabags AfterWet'!$A$3:$A$841,0)),"")="N.A","",(IFERROR(INDEX('Both teabags AfterWet'!$C$3:$C$841,MATCH(H478,'Both teabags AfterWet'!$A$3:$A$841,0)),"")))</f>
        <v>0.61</v>
      </c>
      <c r="Q478" s="195">
        <f>IFERROR(INDEX('Both teabags AfterWet'!$C$3:$C$841,MATCH(I478,'Both teabags AfterWet'!$A$3:$A$841,0)),"")</f>
        <v>1.7310000000000001</v>
      </c>
      <c r="R478" s="195">
        <f t="shared" si="57"/>
        <v>0.45939999999999998</v>
      </c>
      <c r="S478" s="195">
        <f t="shared" si="57"/>
        <v>1.5804</v>
      </c>
      <c r="T478" s="195">
        <f t="shared" si="58"/>
        <v>0.73478813070084281</v>
      </c>
      <c r="U478" s="195">
        <f t="shared" si="59"/>
        <v>0.48171383390364048</v>
      </c>
      <c r="V478" s="195">
        <f t="shared" si="60"/>
        <v>0.83039092055485497</v>
      </c>
      <c r="W478">
        <f t="shared" si="55"/>
        <v>52</v>
      </c>
      <c r="X478" s="195">
        <f t="shared" si="61"/>
        <v>0.12733001104412967</v>
      </c>
      <c r="Y478" s="195">
        <f t="shared" si="62"/>
        <v>8.3463721003159807E-3</v>
      </c>
      <c r="Z478" s="255" t="str">
        <f>IF(ISNUMBER(SEARCH("C",'WetLitterbags placem_collection'!W405)),"YES","NO")</f>
        <v>NO</v>
      </c>
      <c r="AA478" s="255" t="str">
        <f>IF(ISNUMBER(SEARCH("H", 'WetLitterbags placem_collection'!Y185)),"YES","NO")</f>
        <v>NO</v>
      </c>
      <c r="AB478" s="255" t="str">
        <f>IF(ISNUMBER(SEARCH("R", 'WetLitterbags placem_collection'!WY185)),"YES","NO")</f>
        <v>NO</v>
      </c>
      <c r="AC478" s="255" t="str">
        <f>IF(ISNUMBER(SEARCH("C", 'WetLitterbags placem_collection'!VX185)),"YES","NO")</f>
        <v>NO</v>
      </c>
      <c r="AD478" s="255" t="str">
        <f>IF(ISNUMBER(SEARCH("H", 'WetLitterbags placem_collection'!X185)),"YES","NO")</f>
        <v>NO</v>
      </c>
      <c r="AE478" s="255" t="str">
        <f>IF(ISNUMBER(SEARCH("R", 'WetLitterbags placem_collection'!X185)),"YES","NO")</f>
        <v>NO</v>
      </c>
    </row>
    <row r="479" spans="2:31">
      <c r="B479" t="str">
        <f>'Final data_for_R_analysis_Wetse'!A625</f>
        <v>Wet</v>
      </c>
      <c r="C479" s="263">
        <f>'Final data_for_R_analysis_Wetse'!B625</f>
        <v>184</v>
      </c>
      <c r="D479" t="s">
        <v>3854</v>
      </c>
      <c r="E479" t="s">
        <v>25</v>
      </c>
      <c r="F479" s="387">
        <v>8</v>
      </c>
      <c r="G479" s="16">
        <f>'WetLitterbags placem_collection'!E186</f>
        <v>42763</v>
      </c>
      <c r="H479" s="92" t="str">
        <f>'Final data_for_R_analysis_Wetse'!J625</f>
        <v>G337</v>
      </c>
      <c r="I479" t="str">
        <f>'Final data_for_R_analysis_Wetse'!J845</f>
        <v>R555</v>
      </c>
      <c r="J479">
        <f>IFERROR(INDEX('Green_rooibos initial weight'!$C$5:$C$1749,MATCH(H479, 'Green_rooibos initial weight'!$A$5:$A$1749,0)),"")</f>
        <v>1.8680000000000001</v>
      </c>
      <c r="K479">
        <f>IFERROR(INDEX('Green_rooibos initial weight'!$C$5:$C$1749,MATCH(I479, 'Green_rooibos initial weight'!$A$5:$A$1749,0)),"")</f>
        <v>2.1789999999999998</v>
      </c>
      <c r="L479" s="195">
        <f t="shared" si="56"/>
        <v>1.6182000000000001</v>
      </c>
      <c r="M479" s="195">
        <f>AVERAGE(Ashed_controlls!$K$2:$K$11)</f>
        <v>5.5147656768714146</v>
      </c>
      <c r="N479" s="195">
        <f t="shared" si="54"/>
        <v>1.9291999999999998</v>
      </c>
      <c r="O479" s="16">
        <f>IF('WetLitterbags placem_collection'!G186="N.A","",'WetLitterbags placem_collection'!G186)</f>
        <v>42815</v>
      </c>
      <c r="P479" s="195">
        <f>IF(IFERROR(INDEX('Both teabags AfterWet'!$C$3:$C$841,MATCH(H479,'Both teabags AfterWet'!$A$3:$A$841,0)),"")="N.A","",(IFERROR(INDEX('Both teabags AfterWet'!$C$3:$C$841,MATCH(H479,'Both teabags AfterWet'!$A$3:$A$841,0)),"")))</f>
        <v>0.63060000000000005</v>
      </c>
      <c r="Q479" s="195">
        <f>IFERROR(INDEX('Both teabags AfterWet'!$C$3:$C$841,MATCH(I479,'Both teabags AfterWet'!$A$3:$A$841,0)),"")</f>
        <v>1.7096</v>
      </c>
      <c r="R479" s="195">
        <f t="shared" si="57"/>
        <v>0.48000000000000004</v>
      </c>
      <c r="S479" s="195">
        <f t="shared" si="57"/>
        <v>1.5589999999999999</v>
      </c>
      <c r="T479" s="195">
        <f t="shared" si="58"/>
        <v>0.70337411939191696</v>
      </c>
      <c r="U479" s="195">
        <f t="shared" si="59"/>
        <v>0.46111937518329948</v>
      </c>
      <c r="V479" s="195">
        <f t="shared" si="60"/>
        <v>0.80810698735227038</v>
      </c>
      <c r="W479">
        <f t="shared" si="55"/>
        <v>52</v>
      </c>
      <c r="X479" s="195">
        <f t="shared" si="61"/>
        <v>0.16463881307373285</v>
      </c>
      <c r="Y479" s="195">
        <f t="shared" si="62"/>
        <v>1.0348162224138469E-2</v>
      </c>
      <c r="Z479" s="255" t="str">
        <f>IF(ISNUMBER(SEARCH("C",'WetLitterbags placem_collection'!W406)),"YES","NO")</f>
        <v>NO</v>
      </c>
      <c r="AA479" s="255" t="str">
        <f>IF(ISNUMBER(SEARCH("H", 'WetLitterbags placem_collection'!Y186)),"YES","NO")</f>
        <v>NO</v>
      </c>
      <c r="AB479" s="255" t="str">
        <f>IF(ISNUMBER(SEARCH("R", 'WetLitterbags placem_collection'!WY186)),"YES","NO")</f>
        <v>NO</v>
      </c>
      <c r="AC479" s="255" t="str">
        <f>IF(ISNUMBER(SEARCH("C", 'WetLitterbags placem_collection'!VX186)),"YES","NO")</f>
        <v>NO</v>
      </c>
      <c r="AD479" s="255" t="str">
        <f>IF(ISNUMBER(SEARCH("H", 'WetLitterbags placem_collection'!X186)),"YES","NO")</f>
        <v>YES</v>
      </c>
      <c r="AE479" s="255" t="str">
        <f>IF(ISNUMBER(SEARCH("R", 'WetLitterbags placem_collection'!X186)),"YES","NO")</f>
        <v>NO</v>
      </c>
    </row>
    <row r="480" spans="2:31">
      <c r="B480" t="str">
        <f>'Final data_for_R_analysis_Wetse'!A626</f>
        <v>Wet</v>
      </c>
      <c r="C480" s="263">
        <f>'Final data_for_R_analysis_Wetse'!B626</f>
        <v>185</v>
      </c>
      <c r="D480" t="s">
        <v>3855</v>
      </c>
      <c r="E480" t="s">
        <v>25</v>
      </c>
      <c r="F480" s="386">
        <v>1</v>
      </c>
      <c r="G480" s="16">
        <f>'WetLitterbags placem_collection'!E187</f>
        <v>42763</v>
      </c>
      <c r="H480" s="92" t="str">
        <f>'Final data_for_R_analysis_Wetse'!J626</f>
        <v>G564</v>
      </c>
      <c r="I480" t="str">
        <f>'Final data_for_R_analysis_Wetse'!J846</f>
        <v>R539</v>
      </c>
      <c r="J480">
        <f>IFERROR(INDEX('Green_rooibos initial weight'!$C$5:$C$1749,MATCH(H480, 'Green_rooibos initial weight'!$A$5:$A$1749,0)),"")</f>
        <v>1.95</v>
      </c>
      <c r="K480">
        <f>IFERROR(INDEX('Green_rooibos initial weight'!$C$5:$C$1749,MATCH(I480, 'Green_rooibos initial weight'!$A$5:$A$1749,0)),"")</f>
        <v>2.16</v>
      </c>
      <c r="L480" s="195">
        <f t="shared" si="56"/>
        <v>1.7001999999999999</v>
      </c>
      <c r="M480" s="195">
        <f>AVERAGE(Ashed_controlls!$K$2:$K$11)</f>
        <v>5.5147656768714146</v>
      </c>
      <c r="N480" s="195">
        <f t="shared" si="54"/>
        <v>1.9102000000000001</v>
      </c>
      <c r="O480" s="16">
        <f>IF('WetLitterbags placem_collection'!G187="N.A","",'WetLitterbags placem_collection'!G187)</f>
        <v>42815</v>
      </c>
      <c r="P480" s="195">
        <f>IF(IFERROR(INDEX('Both teabags AfterWet'!$C$3:$C$841,MATCH(H480,'Both teabags AfterWet'!$A$3:$A$841,0)),"")="N.A","",(IFERROR(INDEX('Both teabags AfterWet'!$C$3:$C$841,MATCH(H480,'Both teabags AfterWet'!$A$3:$A$841,0)),"")))</f>
        <v>0.626</v>
      </c>
      <c r="Q480" s="195">
        <f>IFERROR(INDEX('Both teabags AfterWet'!$C$3:$C$841,MATCH(I480,'Both teabags AfterWet'!$A$3:$A$841,0)),"")</f>
        <v>1.7513000000000001</v>
      </c>
      <c r="R480" s="195">
        <f t="shared" si="57"/>
        <v>0.47539999999999999</v>
      </c>
      <c r="S480" s="195">
        <f t="shared" si="57"/>
        <v>1.6007</v>
      </c>
      <c r="T480" s="195">
        <f t="shared" si="58"/>
        <v>0.72038583696035752</v>
      </c>
      <c r="U480" s="195">
        <f t="shared" si="59"/>
        <v>0.47227195012127959</v>
      </c>
      <c r="V480" s="195">
        <f t="shared" si="60"/>
        <v>0.83797508114333574</v>
      </c>
      <c r="W480">
        <f t="shared" si="55"/>
        <v>52</v>
      </c>
      <c r="X480" s="195">
        <f t="shared" si="61"/>
        <v>0.1444348729686965</v>
      </c>
      <c r="Y480" s="195">
        <f t="shared" si="62"/>
        <v>8.0805024997524962E-3</v>
      </c>
      <c r="Z480" s="255" t="str">
        <f>IF(ISNUMBER(SEARCH("C",'WetLitterbags placem_collection'!W407)),"YES","NO")</f>
        <v>NO</v>
      </c>
      <c r="AA480" s="255" t="str">
        <f>IF(ISNUMBER(SEARCH("H", 'WetLitterbags placem_collection'!Y187)),"YES","NO")</f>
        <v>NO</v>
      </c>
      <c r="AB480" s="255" t="str">
        <f>IF(ISNUMBER(SEARCH("R", 'WetLitterbags placem_collection'!WY187)),"YES","NO")</f>
        <v>NO</v>
      </c>
      <c r="AC480" s="255" t="str">
        <f>IF(ISNUMBER(SEARCH("C", 'WetLitterbags placem_collection'!VX187)),"YES","NO")</f>
        <v>NO</v>
      </c>
      <c r="AD480" s="255" t="str">
        <f>IF(ISNUMBER(SEARCH("H", 'WetLitterbags placem_collection'!X187)),"YES","NO")</f>
        <v>NO</v>
      </c>
      <c r="AE480" s="255" t="str">
        <f>IF(ISNUMBER(SEARCH("R", 'WetLitterbags placem_collection'!X187)),"YES","NO")</f>
        <v>NO</v>
      </c>
    </row>
    <row r="481" spans="2:31">
      <c r="B481" t="str">
        <f>'Final data_for_R_analysis_Wetse'!A627</f>
        <v>Wet</v>
      </c>
      <c r="C481" s="263">
        <f>'Final data_for_R_analysis_Wetse'!B627</f>
        <v>186</v>
      </c>
      <c r="D481" t="s">
        <v>3855</v>
      </c>
      <c r="E481" t="s">
        <v>25</v>
      </c>
      <c r="F481" s="386">
        <v>2</v>
      </c>
      <c r="G481" s="16">
        <f>'WetLitterbags placem_collection'!E188</f>
        <v>42763</v>
      </c>
      <c r="H481" s="92" t="str">
        <f>'Final data_for_R_analysis_Wetse'!J627</f>
        <v>G608</v>
      </c>
      <c r="I481" t="str">
        <f>'Final data_for_R_analysis_Wetse'!J847</f>
        <v>R186</v>
      </c>
      <c r="J481">
        <f>IFERROR(INDEX('Green_rooibos initial weight'!$C$5:$C$1749,MATCH(H481, 'Green_rooibos initial weight'!$A$5:$A$1749,0)),"")</f>
        <v>2.0259999999999998</v>
      </c>
      <c r="K481">
        <f>IFERROR(INDEX('Green_rooibos initial weight'!$C$5:$C$1749,MATCH(I481, 'Green_rooibos initial weight'!$A$5:$A$1749,0)),"")</f>
        <v>2.2530000000000001</v>
      </c>
      <c r="L481" s="195">
        <f t="shared" si="56"/>
        <v>1.7761999999999998</v>
      </c>
      <c r="M481" s="195">
        <f>AVERAGE(Ashed_controlls!$K$2:$K$11)</f>
        <v>5.5147656768714146</v>
      </c>
      <c r="N481" s="195">
        <f t="shared" si="54"/>
        <v>2.0032000000000001</v>
      </c>
      <c r="O481" s="16">
        <f>IF('WetLitterbags placem_collection'!G188="N.A","",'WetLitterbags placem_collection'!G188)</f>
        <v>42815</v>
      </c>
      <c r="P481" s="195" t="str">
        <f>IF(IFERROR(INDEX('Both teabags AfterWet'!$C$3:$C$841,MATCH(H481,'Both teabags AfterWet'!$A$3:$A$841,0)),"")="N.A","",(IFERROR(INDEX('Both teabags AfterWet'!$C$3:$C$841,MATCH(H481,'Both teabags AfterWet'!$A$3:$A$841,0)),"")))</f>
        <v/>
      </c>
      <c r="Q481" s="195">
        <f>IFERROR(INDEX('Both teabags AfterWet'!$C$3:$C$841,MATCH(I481,'Both teabags AfterWet'!$A$3:$A$841,0)),"")</f>
        <v>1.7809999999999999</v>
      </c>
      <c r="R481" s="195" t="str">
        <f t="shared" si="57"/>
        <v/>
      </c>
      <c r="S481" s="195">
        <f t="shared" si="57"/>
        <v>1.6303999999999998</v>
      </c>
      <c r="T481" s="195" t="str">
        <f t="shared" si="58"/>
        <v/>
      </c>
      <c r="U481" s="195" t="str">
        <f t="shared" si="59"/>
        <v/>
      </c>
      <c r="V481" s="195">
        <f t="shared" si="60"/>
        <v>0.8138977635782747</v>
      </c>
      <c r="W481">
        <f t="shared" si="55"/>
        <v>52</v>
      </c>
      <c r="X481" s="195" t="str">
        <f t="shared" si="61"/>
        <v/>
      </c>
      <c r="Y481" s="195" t="str">
        <f t="shared" si="62"/>
        <v/>
      </c>
      <c r="Z481" s="255" t="str">
        <f>IF(ISNUMBER(SEARCH("C",'WetLitterbags placem_collection'!W408)),"YES","NO")</f>
        <v>NO</v>
      </c>
      <c r="AA481" s="255" t="str">
        <f>IF(ISNUMBER(SEARCH("H", 'WetLitterbags placem_collection'!Y188)),"YES","NO")</f>
        <v>NO</v>
      </c>
      <c r="AB481" s="255" t="str">
        <f>IF(ISNUMBER(SEARCH("R", 'WetLitterbags placem_collection'!WY188)),"YES","NO")</f>
        <v>NO</v>
      </c>
      <c r="AC481" s="255" t="str">
        <f>IF(ISNUMBER(SEARCH("C", 'WetLitterbags placem_collection'!VX188)),"YES","NO")</f>
        <v>NO</v>
      </c>
      <c r="AD481" s="255" t="str">
        <f>IF(ISNUMBER(SEARCH("H", 'WetLitterbags placem_collection'!X188)),"YES","NO")</f>
        <v>NO</v>
      </c>
      <c r="AE481" s="255" t="str">
        <f>IF(ISNUMBER(SEARCH("R", 'WetLitterbags placem_collection'!X188)),"YES","NO")</f>
        <v>NO</v>
      </c>
    </row>
    <row r="482" spans="2:31">
      <c r="B482" t="str">
        <f>'Final data_for_R_analysis_Wetse'!A628</f>
        <v>Wet</v>
      </c>
      <c r="C482" s="263">
        <f>'Final data_for_R_analysis_Wetse'!B628</f>
        <v>187</v>
      </c>
      <c r="D482" t="s">
        <v>3855</v>
      </c>
      <c r="E482" t="s">
        <v>25</v>
      </c>
      <c r="F482" s="386">
        <v>3</v>
      </c>
      <c r="G482" s="16">
        <f>'WetLitterbags placem_collection'!E189</f>
        <v>42763</v>
      </c>
      <c r="H482" s="92" t="str">
        <f>'Final data_for_R_analysis_Wetse'!J628</f>
        <v>G365</v>
      </c>
      <c r="I482" t="str">
        <f>'Final data_for_R_analysis_Wetse'!J848</f>
        <v>R580</v>
      </c>
      <c r="J482">
        <f>IFERROR(INDEX('Green_rooibos initial weight'!$C$5:$C$1749,MATCH(H482, 'Green_rooibos initial weight'!$A$5:$A$1749,0)),"")</f>
        <v>1.954</v>
      </c>
      <c r="K482">
        <f>IFERROR(INDEX('Green_rooibos initial weight'!$C$5:$C$1749,MATCH(I482, 'Green_rooibos initial weight'!$A$5:$A$1749,0)),"")</f>
        <v>2.0870000000000002</v>
      </c>
      <c r="L482" s="195">
        <f t="shared" si="56"/>
        <v>1.7041999999999999</v>
      </c>
      <c r="M482" s="195">
        <f>AVERAGE(Ashed_controlls!$K$2:$K$11)</f>
        <v>5.5147656768714146</v>
      </c>
      <c r="N482" s="195">
        <f t="shared" si="54"/>
        <v>1.8372000000000002</v>
      </c>
      <c r="O482" s="16">
        <f>IF('WetLitterbags placem_collection'!G189="N.A","",'WetLitterbags placem_collection'!G189)</f>
        <v>42815</v>
      </c>
      <c r="P482" s="195">
        <f>IF(IFERROR(INDEX('Both teabags AfterWet'!$C$3:$C$841,MATCH(H482,'Both teabags AfterWet'!$A$3:$A$841,0)),"")="N.A","",(IFERROR(INDEX('Both teabags AfterWet'!$C$3:$C$841,MATCH(H482,'Both teabags AfterWet'!$A$3:$A$841,0)),"")))</f>
        <v>0.6714</v>
      </c>
      <c r="Q482" s="195">
        <f>IFERROR(INDEX('Both teabags AfterWet'!$C$3:$C$841,MATCH(I482,'Both teabags AfterWet'!$A$3:$A$841,0)),"")</f>
        <v>1.6225000000000001</v>
      </c>
      <c r="R482" s="195">
        <f t="shared" si="57"/>
        <v>0.52079999999999993</v>
      </c>
      <c r="S482" s="195">
        <f t="shared" si="57"/>
        <v>1.4719</v>
      </c>
      <c r="T482" s="195">
        <f t="shared" si="58"/>
        <v>0.69440206548527172</v>
      </c>
      <c r="U482" s="195">
        <f t="shared" si="59"/>
        <v>0.45523745860792164</v>
      </c>
      <c r="V482" s="195">
        <f t="shared" si="60"/>
        <v>0.80116481602438483</v>
      </c>
      <c r="W482">
        <f t="shared" si="55"/>
        <v>52</v>
      </c>
      <c r="X482" s="195">
        <f t="shared" si="61"/>
        <v>0.17529445904362029</v>
      </c>
      <c r="Y482" s="195">
        <f t="shared" si="62"/>
        <v>1.1039837950723609E-2</v>
      </c>
      <c r="Z482" s="255" t="str">
        <f>IF(ISNUMBER(SEARCH("C",'WetLitterbags placem_collection'!W409)),"YES","NO")</f>
        <v>NO</v>
      </c>
      <c r="AA482" s="255" t="str">
        <f>IF(ISNUMBER(SEARCH("H", 'WetLitterbags placem_collection'!Y189)),"YES","NO")</f>
        <v>NO</v>
      </c>
      <c r="AB482" s="255" t="str">
        <f>IF(ISNUMBER(SEARCH("R", 'WetLitterbags placem_collection'!WY189)),"YES","NO")</f>
        <v>NO</v>
      </c>
      <c r="AC482" s="255" t="str">
        <f>IF(ISNUMBER(SEARCH("C", 'WetLitterbags placem_collection'!VX189)),"YES","NO")</f>
        <v>NO</v>
      </c>
      <c r="AD482" s="255" t="str">
        <f>IF(ISNUMBER(SEARCH("H", 'WetLitterbags placem_collection'!X189)),"YES","NO")</f>
        <v>NO</v>
      </c>
      <c r="AE482" s="255" t="str">
        <f>IF(ISNUMBER(SEARCH("R", 'WetLitterbags placem_collection'!X189)),"YES","NO")</f>
        <v>NO</v>
      </c>
    </row>
    <row r="483" spans="2:31">
      <c r="B483" t="str">
        <f>'Final data_for_R_analysis_Wetse'!A629</f>
        <v>Wet</v>
      </c>
      <c r="C483" s="263">
        <f>'Final data_for_R_analysis_Wetse'!B629</f>
        <v>188</v>
      </c>
      <c r="D483" t="s">
        <v>3855</v>
      </c>
      <c r="E483" t="s">
        <v>25</v>
      </c>
      <c r="F483" s="387">
        <v>4</v>
      </c>
      <c r="G483" s="16">
        <f>'WetLitterbags placem_collection'!E190</f>
        <v>42763</v>
      </c>
      <c r="H483" s="92" t="str">
        <f>'Final data_for_R_analysis_Wetse'!J629</f>
        <v>G375</v>
      </c>
      <c r="I483" t="str">
        <f>'Final data_for_R_analysis_Wetse'!J849</f>
        <v>R222</v>
      </c>
      <c r="J483">
        <f>IFERROR(INDEX('Green_rooibos initial weight'!$C$5:$C$1749,MATCH(H483, 'Green_rooibos initial weight'!$A$5:$A$1749,0)),"")</f>
        <v>1.9810000000000001</v>
      </c>
      <c r="K483">
        <f>IFERROR(INDEX('Green_rooibos initial weight'!$C$5:$C$1749,MATCH(I483, 'Green_rooibos initial weight'!$A$5:$A$1749,0)),"")</f>
        <v>2.194</v>
      </c>
      <c r="L483" s="195">
        <f t="shared" si="56"/>
        <v>1.7312000000000001</v>
      </c>
      <c r="M483" s="195">
        <f>AVERAGE(Ashed_controlls!$K$2:$K$11)</f>
        <v>5.5147656768714146</v>
      </c>
      <c r="N483" s="195">
        <f t="shared" si="54"/>
        <v>1.9441999999999999</v>
      </c>
      <c r="O483" s="16">
        <f>IF('WetLitterbags placem_collection'!G190="N.A","",'WetLitterbags placem_collection'!G190)</f>
        <v>42815</v>
      </c>
      <c r="P483" s="195">
        <f>IF(IFERROR(INDEX('Both teabags AfterWet'!$C$3:$C$841,MATCH(H483,'Both teabags AfterWet'!$A$3:$A$841,0)),"")="N.A","",(IFERROR(INDEX('Both teabags AfterWet'!$C$3:$C$841,MATCH(H483,'Both teabags AfterWet'!$A$3:$A$841,0)),"")))</f>
        <v>0.55700000000000005</v>
      </c>
      <c r="Q483" s="195">
        <f>IFERROR(INDEX('Both teabags AfterWet'!$C$3:$C$841,MATCH(I483,'Both teabags AfterWet'!$A$3:$A$841,0)),"")</f>
        <v>1.5732999999999999</v>
      </c>
      <c r="R483" s="195">
        <f t="shared" si="57"/>
        <v>0.40640000000000004</v>
      </c>
      <c r="S483" s="195">
        <f t="shared" si="57"/>
        <v>1.4226999999999999</v>
      </c>
      <c r="T483" s="195">
        <f t="shared" si="58"/>
        <v>0.76524953789279115</v>
      </c>
      <c r="U483" s="195">
        <f t="shared" si="59"/>
        <v>0.50168378256154489</v>
      </c>
      <c r="V483" s="195">
        <f t="shared" si="60"/>
        <v>0.73176627918938375</v>
      </c>
      <c r="W483">
        <f t="shared" si="55"/>
        <v>52</v>
      </c>
      <c r="X483" s="195">
        <f t="shared" si="61"/>
        <v>9.11525678232884E-2</v>
      </c>
      <c r="Y483" s="195">
        <f t="shared" si="62"/>
        <v>1.4711573462774E-2</v>
      </c>
      <c r="Z483" s="255" t="str">
        <f>IF(ISNUMBER(SEARCH("C",'WetLitterbags placem_collection'!W410)),"YES","NO")</f>
        <v>NO</v>
      </c>
      <c r="AA483" s="255" t="str">
        <f>IF(ISNUMBER(SEARCH("H", 'WetLitterbags placem_collection'!Y190)),"YES","NO")</f>
        <v>NO</v>
      </c>
      <c r="AB483" s="255" t="str">
        <f>IF(ISNUMBER(SEARCH("R", 'WetLitterbags placem_collection'!WY190)),"YES","NO")</f>
        <v>NO</v>
      </c>
      <c r="AC483" s="255" t="str">
        <f>IF(ISNUMBER(SEARCH("C", 'WetLitterbags placem_collection'!VX190)),"YES","NO")</f>
        <v>NO</v>
      </c>
      <c r="AD483" s="255" t="str">
        <f>IF(ISNUMBER(SEARCH("H", 'WetLitterbags placem_collection'!X190)),"YES","NO")</f>
        <v>NO</v>
      </c>
      <c r="AE483" s="255" t="str">
        <f>IF(ISNUMBER(SEARCH("R", 'WetLitterbags placem_collection'!X190)),"YES","NO")</f>
        <v>NO</v>
      </c>
    </row>
    <row r="484" spans="2:31">
      <c r="B484" t="str">
        <f>'Final data_for_R_analysis_Wetse'!A630</f>
        <v>Wet</v>
      </c>
      <c r="C484" s="263">
        <f>'Final data_for_R_analysis_Wetse'!B630</f>
        <v>189</v>
      </c>
      <c r="D484" t="s">
        <v>3855</v>
      </c>
      <c r="E484" t="s">
        <v>25</v>
      </c>
      <c r="F484" s="387">
        <v>5</v>
      </c>
      <c r="G484" s="16">
        <f>'WetLitterbags placem_collection'!E191</f>
        <v>42763</v>
      </c>
      <c r="H484" s="92" t="str">
        <f>'Final data_for_R_analysis_Wetse'!J630</f>
        <v>G537</v>
      </c>
      <c r="I484" t="str">
        <f>'Final data_for_R_analysis_Wetse'!J850</f>
        <v>R216</v>
      </c>
      <c r="J484">
        <f>IFERROR(INDEX('Green_rooibos initial weight'!$C$5:$C$1749,MATCH(H484, 'Green_rooibos initial weight'!$A$5:$A$1749,0)),"")</f>
        <v>1.9630000000000001</v>
      </c>
      <c r="K484">
        <f>IFERROR(INDEX('Green_rooibos initial weight'!$C$5:$C$1749,MATCH(I484, 'Green_rooibos initial weight'!$A$5:$A$1749,0)),"")</f>
        <v>2.1880000000000002</v>
      </c>
      <c r="L484" s="195">
        <f t="shared" si="56"/>
        <v>1.7132000000000001</v>
      </c>
      <c r="M484" s="195">
        <f>AVERAGE(Ashed_controlls!$K$2:$K$11)</f>
        <v>5.5147656768714146</v>
      </c>
      <c r="N484" s="195">
        <f t="shared" si="54"/>
        <v>1.9382000000000001</v>
      </c>
      <c r="O484" s="16">
        <f>IF('WetLitterbags placem_collection'!G191="N.A","",'WetLitterbags placem_collection'!G191)</f>
        <v>42815</v>
      </c>
      <c r="P484" s="195">
        <f>IF(IFERROR(INDEX('Both teabags AfterWet'!$C$3:$C$841,MATCH(H484,'Both teabags AfterWet'!$A$3:$A$841,0)),"")="N.A","",(IFERROR(INDEX('Both teabags AfterWet'!$C$3:$C$841,MATCH(H484,'Both teabags AfterWet'!$A$3:$A$841,0)),"")))</f>
        <v>0.72030000000000005</v>
      </c>
      <c r="Q484" s="195">
        <f>IFERROR(INDEX('Both teabags AfterWet'!$C$3:$C$841,MATCH(I484,'Both teabags AfterWet'!$A$3:$A$841,0)),"")</f>
        <v>1.6973</v>
      </c>
      <c r="R484" s="195">
        <f t="shared" si="57"/>
        <v>0.5697000000000001</v>
      </c>
      <c r="S484" s="195">
        <f t="shared" si="57"/>
        <v>1.5467</v>
      </c>
      <c r="T484" s="195">
        <f t="shared" si="58"/>
        <v>0.66746439411627367</v>
      </c>
      <c r="U484" s="195">
        <f t="shared" si="59"/>
        <v>0.43757760754416042</v>
      </c>
      <c r="V484" s="195">
        <f t="shared" si="60"/>
        <v>0.79800846145908566</v>
      </c>
      <c r="W484">
        <f t="shared" si="55"/>
        <v>52</v>
      </c>
      <c r="X484" s="195">
        <f t="shared" si="61"/>
        <v>0.20728694285478189</v>
      </c>
      <c r="Y484" s="195">
        <f t="shared" si="62"/>
        <v>1.1907264588013656E-2</v>
      </c>
      <c r="Z484" s="255" t="str">
        <f>IF(ISNUMBER(SEARCH("C",'WetLitterbags placem_collection'!W411)),"YES","NO")</f>
        <v>NO</v>
      </c>
      <c r="AA484" s="255" t="str">
        <f>IF(ISNUMBER(SEARCH("H", 'WetLitterbags placem_collection'!Y191)),"YES","NO")</f>
        <v>NO</v>
      </c>
      <c r="AB484" s="255" t="str">
        <f>IF(ISNUMBER(SEARCH("R", 'WetLitterbags placem_collection'!WY191)),"YES","NO")</f>
        <v>NO</v>
      </c>
      <c r="AC484" s="255" t="str">
        <f>IF(ISNUMBER(SEARCH("C", 'WetLitterbags placem_collection'!VX191)),"YES","NO")</f>
        <v>NO</v>
      </c>
      <c r="AD484" s="255" t="str">
        <f>IF(ISNUMBER(SEARCH("H", 'WetLitterbags placem_collection'!X191)),"YES","NO")</f>
        <v>NO</v>
      </c>
      <c r="AE484" s="255" t="str">
        <f>IF(ISNUMBER(SEARCH("R", 'WetLitterbags placem_collection'!X191)),"YES","NO")</f>
        <v>NO</v>
      </c>
    </row>
    <row r="485" spans="2:31">
      <c r="B485" t="str">
        <f>'Final data_for_R_analysis_Wetse'!A631</f>
        <v>Wet</v>
      </c>
      <c r="C485" s="263">
        <f>'Final data_for_R_analysis_Wetse'!B631</f>
        <v>190</v>
      </c>
      <c r="D485" t="s">
        <v>3855</v>
      </c>
      <c r="E485" t="s">
        <v>25</v>
      </c>
      <c r="F485" s="387">
        <v>6</v>
      </c>
      <c r="G485" s="16">
        <f>'WetLitterbags placem_collection'!E192</f>
        <v>42763</v>
      </c>
      <c r="H485" s="92" t="str">
        <f>'Final data_for_R_analysis_Wetse'!J631</f>
        <v>G393</v>
      </c>
      <c r="I485" t="str">
        <f>'Final data_for_R_analysis_Wetse'!J851</f>
        <v>R232</v>
      </c>
      <c r="J485">
        <f>IFERROR(INDEX('Green_rooibos initial weight'!$C$5:$C$1749,MATCH(H485, 'Green_rooibos initial weight'!$A$5:$A$1749,0)),"")</f>
        <v>2.0089999999999999</v>
      </c>
      <c r="K485">
        <f>IFERROR(INDEX('Green_rooibos initial weight'!$C$5:$C$1749,MATCH(I485, 'Green_rooibos initial weight'!$A$5:$A$1749,0)),"")</f>
        <v>2.2440000000000002</v>
      </c>
      <c r="L485" s="195">
        <f t="shared" si="56"/>
        <v>1.7591999999999999</v>
      </c>
      <c r="M485" s="195">
        <f>AVERAGE(Ashed_controlls!$K$2:$K$11)</f>
        <v>5.5147656768714146</v>
      </c>
      <c r="N485" s="195">
        <f t="shared" si="54"/>
        <v>1.9942000000000002</v>
      </c>
      <c r="O485" s="16">
        <f>IF('WetLitterbags placem_collection'!G192="N.A","",'WetLitterbags placem_collection'!G192)</f>
        <v>42815</v>
      </c>
      <c r="P485" s="195">
        <f>IF(IFERROR(INDEX('Both teabags AfterWet'!$C$3:$C$841,MATCH(H485,'Both teabags AfterWet'!$A$3:$A$841,0)),"")="N.A","",(IFERROR(INDEX('Both teabags AfterWet'!$C$3:$C$841,MATCH(H485,'Both teabags AfterWet'!$A$3:$A$841,0)),"")))</f>
        <v>0.62090000000000001</v>
      </c>
      <c r="Q485" s="195">
        <f>IFERROR(INDEX('Both teabags AfterWet'!$C$3:$C$841,MATCH(I485,'Both teabags AfterWet'!$A$3:$A$841,0)),"")</f>
        <v>1.7355</v>
      </c>
      <c r="R485" s="195">
        <f t="shared" si="57"/>
        <v>0.4703</v>
      </c>
      <c r="S485" s="195">
        <f t="shared" si="57"/>
        <v>1.5849</v>
      </c>
      <c r="T485" s="195">
        <f t="shared" si="58"/>
        <v>0.732662573897226</v>
      </c>
      <c r="U485" s="195">
        <f t="shared" si="59"/>
        <v>0.48032035723428596</v>
      </c>
      <c r="V485" s="195">
        <f t="shared" si="60"/>
        <v>0.79475478888777451</v>
      </c>
      <c r="W485">
        <f t="shared" si="55"/>
        <v>52</v>
      </c>
      <c r="X485" s="195">
        <f t="shared" si="61"/>
        <v>0.12985442530020663</v>
      </c>
      <c r="Y485" s="195">
        <f t="shared" si="62"/>
        <v>1.0719403331215009E-2</v>
      </c>
      <c r="Z485" s="255" t="str">
        <f>IF(ISNUMBER(SEARCH("C",'WetLitterbags placem_collection'!W412)),"YES","NO")</f>
        <v>NO</v>
      </c>
      <c r="AA485" s="255" t="str">
        <f>IF(ISNUMBER(SEARCH("H", 'WetLitterbags placem_collection'!Y192)),"YES","NO")</f>
        <v>NO</v>
      </c>
      <c r="AB485" s="255" t="str">
        <f>IF(ISNUMBER(SEARCH("R", 'WetLitterbags placem_collection'!WY192)),"YES","NO")</f>
        <v>NO</v>
      </c>
      <c r="AC485" s="255" t="str">
        <f>IF(ISNUMBER(SEARCH("C", 'WetLitterbags placem_collection'!VX192)),"YES","NO")</f>
        <v>NO</v>
      </c>
      <c r="AD485" s="255" t="str">
        <f>IF(ISNUMBER(SEARCH("H", 'WetLitterbags placem_collection'!X192)),"YES","NO")</f>
        <v>NO</v>
      </c>
      <c r="AE485" s="255" t="str">
        <f>IF(ISNUMBER(SEARCH("R", 'WetLitterbags placem_collection'!X192)),"YES","NO")</f>
        <v>NO</v>
      </c>
    </row>
    <row r="486" spans="2:31">
      <c r="B486" t="str">
        <f>'Final data_for_R_analysis_Wetse'!A632</f>
        <v>Wet</v>
      </c>
      <c r="C486" s="263">
        <f>'Final data_for_R_analysis_Wetse'!B632</f>
        <v>191</v>
      </c>
      <c r="D486" t="s">
        <v>3855</v>
      </c>
      <c r="E486" t="s">
        <v>25</v>
      </c>
      <c r="F486" s="387">
        <v>7</v>
      </c>
      <c r="G486" s="16">
        <f>'WetLitterbags placem_collection'!E193</f>
        <v>42763</v>
      </c>
      <c r="H486" s="92" t="str">
        <f>'Final data_for_R_analysis_Wetse'!J632</f>
        <v>G417</v>
      </c>
      <c r="I486" t="str">
        <f>'Final data_for_R_analysis_Wetse'!J852</f>
        <v>R387</v>
      </c>
      <c r="J486">
        <f>IFERROR(INDEX('Green_rooibos initial weight'!$C$5:$C$1749,MATCH(H486, 'Green_rooibos initial weight'!$A$5:$A$1749,0)),"")</f>
        <v>2.0209999999999999</v>
      </c>
      <c r="K486">
        <f>IFERROR(INDEX('Green_rooibos initial weight'!$C$5:$C$1749,MATCH(I486, 'Green_rooibos initial weight'!$A$5:$A$1749,0)),"")</f>
        <v>2.1080000000000001</v>
      </c>
      <c r="L486" s="195">
        <f t="shared" si="56"/>
        <v>1.7711999999999999</v>
      </c>
      <c r="M486" s="195">
        <f>AVERAGE(Ashed_controlls!$K$2:$K$11)</f>
        <v>5.5147656768714146</v>
      </c>
      <c r="N486" s="195">
        <f t="shared" si="54"/>
        <v>1.8582000000000001</v>
      </c>
      <c r="O486" s="16">
        <f>IF('WetLitterbags placem_collection'!G193="N.A","",'WetLitterbags placem_collection'!G193)</f>
        <v>42815</v>
      </c>
      <c r="P486" s="195">
        <f>IF(IFERROR(INDEX('Both teabags AfterWet'!$C$3:$C$841,MATCH(H486,'Both teabags AfterWet'!$A$3:$A$841,0)),"")="N.A","",(IFERROR(INDEX('Both teabags AfterWet'!$C$3:$C$841,MATCH(H486,'Both teabags AfterWet'!$A$3:$A$841,0)),"")))</f>
        <v>0.62309999999999999</v>
      </c>
      <c r="Q486" s="195">
        <f>IFERROR(INDEX('Both teabags AfterWet'!$C$3:$C$841,MATCH(I486,'Both teabags AfterWet'!$A$3:$A$841,0)),"")</f>
        <v>1.6520999999999999</v>
      </c>
      <c r="R486" s="195">
        <f t="shared" si="57"/>
        <v>0.47249999999999998</v>
      </c>
      <c r="S486" s="195">
        <f t="shared" si="57"/>
        <v>1.5014999999999998</v>
      </c>
      <c r="T486" s="195">
        <f t="shared" si="58"/>
        <v>0.7332317073170731</v>
      </c>
      <c r="U486" s="195">
        <f t="shared" si="59"/>
        <v>0.48069347083019526</v>
      </c>
      <c r="V486" s="195">
        <f t="shared" si="60"/>
        <v>0.80804003874717456</v>
      </c>
      <c r="W486">
        <f t="shared" si="55"/>
        <v>52</v>
      </c>
      <c r="X486" s="195">
        <f t="shared" si="61"/>
        <v>0.12917849487283473</v>
      </c>
      <c r="Y486" s="195">
        <f t="shared" si="62"/>
        <v>9.8024161858107171E-3</v>
      </c>
      <c r="Z486" s="255" t="str">
        <f>IF(ISNUMBER(SEARCH("C",'WetLitterbags placem_collection'!W413)),"YES","NO")</f>
        <v>NO</v>
      </c>
      <c r="AA486" s="255" t="str">
        <f>IF(ISNUMBER(SEARCH("H", 'WetLitterbags placem_collection'!Y193)),"YES","NO")</f>
        <v>NO</v>
      </c>
      <c r="AB486" s="255" t="str">
        <f>IF(ISNUMBER(SEARCH("R", 'WetLitterbags placem_collection'!WY193)),"YES","NO")</f>
        <v>NO</v>
      </c>
      <c r="AC486" s="255" t="str">
        <f>IF(ISNUMBER(SEARCH("C", 'WetLitterbags placem_collection'!VX193)),"YES","NO")</f>
        <v>NO</v>
      </c>
      <c r="AD486" s="255" t="str">
        <f>IF(ISNUMBER(SEARCH("H", 'WetLitterbags placem_collection'!X193)),"YES","NO")</f>
        <v>NO</v>
      </c>
      <c r="AE486" s="255" t="str">
        <f>IF(ISNUMBER(SEARCH("R", 'WetLitterbags placem_collection'!X193)),"YES","NO")</f>
        <v>NO</v>
      </c>
    </row>
    <row r="487" spans="2:31">
      <c r="B487" t="str">
        <f>'Final data_for_R_analysis_Wetse'!A633</f>
        <v>Wet</v>
      </c>
      <c r="C487" s="263">
        <f>'Final data_for_R_analysis_Wetse'!B633</f>
        <v>192</v>
      </c>
      <c r="D487" t="s">
        <v>3855</v>
      </c>
      <c r="E487" t="s">
        <v>25</v>
      </c>
      <c r="F487" s="387">
        <v>8</v>
      </c>
      <c r="G487" s="16">
        <f>'WetLitterbags placem_collection'!E194</f>
        <v>42763</v>
      </c>
      <c r="H487" s="92" t="str">
        <f>'Final data_for_R_analysis_Wetse'!J633</f>
        <v>G297</v>
      </c>
      <c r="I487" t="str">
        <f>'Final data_for_R_analysis_Wetse'!J853</f>
        <v>R346</v>
      </c>
      <c r="J487">
        <f>IFERROR(INDEX('Green_rooibos initial weight'!$C$5:$C$1749,MATCH(H487, 'Green_rooibos initial weight'!$A$5:$A$1749,0)),"")</f>
        <v>1.9419999999999999</v>
      </c>
      <c r="K487">
        <f>IFERROR(INDEX('Green_rooibos initial weight'!$C$5:$C$1749,MATCH(I487, 'Green_rooibos initial weight'!$A$5:$A$1749,0)),"")</f>
        <v>2.2349999999999999</v>
      </c>
      <c r="L487" s="195">
        <f t="shared" si="56"/>
        <v>1.6921999999999999</v>
      </c>
      <c r="M487" s="195">
        <f>AVERAGE(Ashed_controlls!$K$2:$K$11)</f>
        <v>5.5147656768714146</v>
      </c>
      <c r="N487" s="195">
        <f t="shared" si="54"/>
        <v>1.9851999999999999</v>
      </c>
      <c r="O487" s="16">
        <f>IF('WetLitterbags placem_collection'!G194="N.A","",'WetLitterbags placem_collection'!G194)</f>
        <v>42815</v>
      </c>
      <c r="P487" s="195">
        <f>IF(IFERROR(INDEX('Both teabags AfterWet'!$C$3:$C$841,MATCH(H487,'Both teabags AfterWet'!$A$3:$A$841,0)),"")="N.A","",(IFERROR(INDEX('Both teabags AfterWet'!$C$3:$C$841,MATCH(H487,'Both teabags AfterWet'!$A$3:$A$841,0)),"")))</f>
        <v>0.60899999999999999</v>
      </c>
      <c r="Q487" s="195">
        <f>IFERROR(INDEX('Both teabags AfterWet'!$C$3:$C$841,MATCH(I487,'Both teabags AfterWet'!$A$3:$A$841,0)),"")</f>
        <v>1.6679999999999999</v>
      </c>
      <c r="R487" s="195">
        <f t="shared" si="57"/>
        <v>0.45839999999999997</v>
      </c>
      <c r="S487" s="195">
        <f t="shared" si="57"/>
        <v>1.5173999999999999</v>
      </c>
      <c r="T487" s="195">
        <f t="shared" si="58"/>
        <v>0.72911003427490839</v>
      </c>
      <c r="U487" s="195">
        <f t="shared" si="59"/>
        <v>0.47799137638925115</v>
      </c>
      <c r="V487" s="195">
        <f t="shared" si="60"/>
        <v>0.76435623614749137</v>
      </c>
      <c r="W487">
        <f t="shared" si="55"/>
        <v>52</v>
      </c>
      <c r="X487" s="195">
        <f t="shared" si="61"/>
        <v>0.13407359349773351</v>
      </c>
      <c r="Y487" s="195">
        <f t="shared" si="62"/>
        <v>1.3061915006963104E-2</v>
      </c>
      <c r="Z487" s="255" t="str">
        <f>IF(ISNUMBER(SEARCH("C",'WetLitterbags placem_collection'!W414)),"YES","NO")</f>
        <v>NO</v>
      </c>
      <c r="AA487" s="255" t="str">
        <f>IF(ISNUMBER(SEARCH("H", 'WetLitterbags placem_collection'!Y194)),"YES","NO")</f>
        <v>NO</v>
      </c>
      <c r="AB487" s="255" t="str">
        <f>IF(ISNUMBER(SEARCH("R", 'WetLitterbags placem_collection'!WY194)),"YES","NO")</f>
        <v>NO</v>
      </c>
      <c r="AC487" s="255" t="str">
        <f>IF(ISNUMBER(SEARCH("C", 'WetLitterbags placem_collection'!VX194)),"YES","NO")</f>
        <v>NO</v>
      </c>
      <c r="AD487" s="255" t="str">
        <f>IF(ISNUMBER(SEARCH("H", 'WetLitterbags placem_collection'!X194)),"YES","NO")</f>
        <v>NO</v>
      </c>
      <c r="AE487" s="255" t="str">
        <f>IF(ISNUMBER(SEARCH("R", 'WetLitterbags placem_collection'!X194)),"YES","NO")</f>
        <v>NO</v>
      </c>
    </row>
    <row r="488" spans="2:31">
      <c r="B488" t="str">
        <f>'Final data_for_R_analysis_Wetse'!A634</f>
        <v>Wet</v>
      </c>
      <c r="C488" s="263">
        <f>'Final data_for_R_analysis_Wetse'!B634</f>
        <v>193</v>
      </c>
      <c r="D488" t="s">
        <v>2445</v>
      </c>
      <c r="E488" t="s">
        <v>25</v>
      </c>
      <c r="F488" s="387">
        <v>1</v>
      </c>
      <c r="G488" s="16">
        <f>'WetLitterbags placem_collection'!E195</f>
        <v>42769</v>
      </c>
      <c r="H488" s="92" t="str">
        <f>'Final data_for_R_analysis_Wetse'!J634</f>
        <v>G584</v>
      </c>
      <c r="I488" t="str">
        <f>'Final data_for_R_analysis_Wetse'!J854</f>
        <v>R364</v>
      </c>
      <c r="J488">
        <f>IFERROR(INDEX('Green_rooibos initial weight'!$C$5:$C$1749,MATCH(H488, 'Green_rooibos initial weight'!$A$5:$A$1749,0)),"")</f>
        <v>2.1960000000000002</v>
      </c>
      <c r="K488">
        <f>IFERROR(INDEX('Green_rooibos initial weight'!$C$5:$C$1749,MATCH(I488, 'Green_rooibos initial weight'!$A$5:$A$1749,0)),"")</f>
        <v>2.234</v>
      </c>
      <c r="L488" s="195">
        <f t="shared" si="56"/>
        <v>1.9462000000000002</v>
      </c>
      <c r="M488" s="195">
        <f>AVERAGE(Ashed_controlls!$K$2:$K$11)</f>
        <v>5.5147656768714146</v>
      </c>
      <c r="N488" s="195">
        <f t="shared" si="54"/>
        <v>1.9842</v>
      </c>
      <c r="O488" s="16">
        <f>IF('WetLitterbags placem_collection'!G195="N.A","",'WetLitterbags placem_collection'!G195)</f>
        <v>42813</v>
      </c>
      <c r="P488" s="195">
        <f>IF(IFERROR(INDEX('Both teabags AfterWet'!$C$3:$C$841,MATCH(H488,'Both teabags AfterWet'!$A$3:$A$841,0)),"")="N.A","",(IFERROR(INDEX('Both teabags AfterWet'!$C$3:$C$841,MATCH(H488,'Both teabags AfterWet'!$A$3:$A$841,0)),"")))</f>
        <v>0.63959999999999995</v>
      </c>
      <c r="Q488" s="195">
        <f>IFERROR(INDEX('Both teabags AfterWet'!$C$3:$C$841,MATCH(I488,'Both teabags AfterWet'!$A$3:$A$841,0)),"")</f>
        <v>1.3913</v>
      </c>
      <c r="R488" s="195">
        <f t="shared" si="57"/>
        <v>0.48899999999999993</v>
      </c>
      <c r="S488" s="195">
        <f t="shared" si="57"/>
        <v>1.2406999999999999</v>
      </c>
      <c r="T488" s="195">
        <f t="shared" si="58"/>
        <v>0.74874113657383623</v>
      </c>
      <c r="U488" s="195">
        <f t="shared" si="59"/>
        <v>0.49086117267073354</v>
      </c>
      <c r="V488" s="195">
        <f t="shared" si="60"/>
        <v>0.62528978933575241</v>
      </c>
      <c r="W488">
        <f t="shared" si="55"/>
        <v>44</v>
      </c>
      <c r="X488" s="195">
        <f t="shared" si="61"/>
        <v>0.11075874516171469</v>
      </c>
      <c r="Y488" s="195">
        <f t="shared" si="62"/>
        <v>3.2756150048454766E-2</v>
      </c>
      <c r="Z488" s="255" t="str">
        <f>IF(ISNUMBER(SEARCH("C",'WetLitterbags placem_collection'!W415)),"YES","NO")</f>
        <v>NO</v>
      </c>
      <c r="AA488" s="255" t="str">
        <f>IF(ISNUMBER(SEARCH("H", 'WetLitterbags placem_collection'!Y195)),"YES","NO")</f>
        <v>NO</v>
      </c>
      <c r="AB488" s="255" t="str">
        <f>IF(ISNUMBER(SEARCH("R", 'WetLitterbags placem_collection'!WY195)),"YES","NO")</f>
        <v>NO</v>
      </c>
      <c r="AC488" s="255" t="str">
        <f>IF(ISNUMBER(SEARCH("C", 'WetLitterbags placem_collection'!VX195)),"YES","NO")</f>
        <v>NO</v>
      </c>
      <c r="AD488" s="255" t="str">
        <f>IF(ISNUMBER(SEARCH("H", 'WetLitterbags placem_collection'!X195)),"YES","NO")</f>
        <v>NO</v>
      </c>
      <c r="AE488" s="255" t="str">
        <f>IF(ISNUMBER(SEARCH("R", 'WetLitterbags placem_collection'!X195)),"YES","NO")</f>
        <v>YES</v>
      </c>
    </row>
    <row r="489" spans="2:31">
      <c r="B489" t="str">
        <f>'Final data_for_R_analysis_Wetse'!A635</f>
        <v>Wet</v>
      </c>
      <c r="C489" s="263">
        <f>'Final data_for_R_analysis_Wetse'!B635</f>
        <v>194</v>
      </c>
      <c r="D489" t="s">
        <v>2438</v>
      </c>
      <c r="E489" t="s">
        <v>25</v>
      </c>
      <c r="F489" s="387">
        <v>2</v>
      </c>
      <c r="G489" s="16">
        <f>'WetLitterbags placem_collection'!E196</f>
        <v>42769</v>
      </c>
      <c r="H489" s="92" t="str">
        <f>'Final data_for_R_analysis_Wetse'!J635</f>
        <v>G713</v>
      </c>
      <c r="I489" t="str">
        <f>'Final data_for_R_analysis_Wetse'!J855</f>
        <v>R167</v>
      </c>
      <c r="J489">
        <f>IFERROR(INDEX('Green_rooibos initial weight'!$C$5:$C$1749,MATCH(H489, 'Green_rooibos initial weight'!$A$5:$A$1749,0)),"")</f>
        <v>2.1779999999999999</v>
      </c>
      <c r="K489">
        <f>IFERROR(INDEX('Green_rooibos initial weight'!$C$5:$C$1749,MATCH(I489, 'Green_rooibos initial weight'!$A$5:$A$1749,0)),"")</f>
        <v>2.177</v>
      </c>
      <c r="L489" s="195">
        <f t="shared" si="56"/>
        <v>1.9281999999999999</v>
      </c>
      <c r="M489" s="195">
        <f>AVERAGE(Ashed_controlls!$K$2:$K$11)</f>
        <v>5.5147656768714146</v>
      </c>
      <c r="N489" s="195">
        <f t="shared" si="54"/>
        <v>1.9272</v>
      </c>
      <c r="O489" s="16">
        <f>IF('WetLitterbags placem_collection'!G196="N.A","",'WetLitterbags placem_collection'!G196)</f>
        <v>42813</v>
      </c>
      <c r="P489" s="195">
        <f>IF(IFERROR(INDEX('Both teabags AfterWet'!$C$3:$C$841,MATCH(H489,'Both teabags AfterWet'!$A$3:$A$841,0)),"")="N.A","",(IFERROR(INDEX('Both teabags AfterWet'!$C$3:$C$841,MATCH(H489,'Both teabags AfterWet'!$A$3:$A$841,0)),"")))</f>
        <v>0.63500000000000001</v>
      </c>
      <c r="Q489" s="195">
        <f>IFERROR(INDEX('Both teabags AfterWet'!$C$3:$C$841,MATCH(I489,'Both teabags AfterWet'!$A$3:$A$841,0)),"")</f>
        <v>1.4750000000000001</v>
      </c>
      <c r="R489" s="195">
        <f t="shared" si="57"/>
        <v>0.4844</v>
      </c>
      <c r="S489" s="195">
        <f t="shared" si="57"/>
        <v>1.3244</v>
      </c>
      <c r="T489" s="195">
        <f t="shared" si="58"/>
        <v>0.748781246758635</v>
      </c>
      <c r="U489" s="195">
        <f t="shared" si="59"/>
        <v>0.49088746818380824</v>
      </c>
      <c r="V489" s="195">
        <f t="shared" si="60"/>
        <v>0.68721461187214616</v>
      </c>
      <c r="W489">
        <f t="shared" si="55"/>
        <v>44</v>
      </c>
      <c r="X489" s="195">
        <f t="shared" si="61"/>
        <v>0.11071110836266629</v>
      </c>
      <c r="Y489" s="195">
        <f t="shared" si="62"/>
        <v>2.304222825268137E-2</v>
      </c>
      <c r="Z489" s="255" t="str">
        <f>IF(ISNUMBER(SEARCH("C",'WetLitterbags placem_collection'!W416)),"YES","NO")</f>
        <v>NO</v>
      </c>
      <c r="AA489" s="255" t="str">
        <f>IF(ISNUMBER(SEARCH("H", 'WetLitterbags placem_collection'!Y196)),"YES","NO")</f>
        <v>NO</v>
      </c>
      <c r="AB489" s="255" t="str">
        <f>IF(ISNUMBER(SEARCH("R", 'WetLitterbags placem_collection'!WY196)),"YES","NO")</f>
        <v>NO</v>
      </c>
      <c r="AC489" s="255" t="str">
        <f>IF(ISNUMBER(SEARCH("C", 'WetLitterbags placem_collection'!VX196)),"YES","NO")</f>
        <v>NO</v>
      </c>
      <c r="AD489" s="255" t="str">
        <f>IF(ISNUMBER(SEARCH("H", 'WetLitterbags placem_collection'!X196)),"YES","NO")</f>
        <v>NO</v>
      </c>
      <c r="AE489" s="255" t="str">
        <f>IF(ISNUMBER(SEARCH("R", 'WetLitterbags placem_collection'!X196)),"YES","NO")</f>
        <v>YES</v>
      </c>
    </row>
    <row r="490" spans="2:31">
      <c r="B490" t="str">
        <f>'Final data_for_R_analysis_Wetse'!A636</f>
        <v>Wet</v>
      </c>
      <c r="C490" s="263">
        <f>'Final data_for_R_analysis_Wetse'!B636</f>
        <v>195</v>
      </c>
      <c r="D490" t="s">
        <v>2430</v>
      </c>
      <c r="E490" t="s">
        <v>25</v>
      </c>
      <c r="F490" s="387">
        <v>3</v>
      </c>
      <c r="G490" s="16">
        <f>'WetLitterbags placem_collection'!E197</f>
        <v>42769</v>
      </c>
      <c r="H490" s="92" t="str">
        <f>'Final data_for_R_analysis_Wetse'!J636</f>
        <v>G525</v>
      </c>
      <c r="I490" t="str">
        <f>'Final data_for_R_analysis_Wetse'!J856</f>
        <v>R25</v>
      </c>
      <c r="J490">
        <f>IFERROR(INDEX('Green_rooibos initial weight'!$C$5:$C$1749,MATCH(H490, 'Green_rooibos initial weight'!$A$5:$A$1749,0)),"")</f>
        <v>2.0790000000000002</v>
      </c>
      <c r="K490">
        <f>IFERROR(INDEX('Green_rooibos initial weight'!$C$5:$C$1749,MATCH(I490, 'Green_rooibos initial weight'!$A$5:$A$1749,0)),"")</f>
        <v>2.16</v>
      </c>
      <c r="L490" s="195">
        <f t="shared" si="56"/>
        <v>1.8292000000000002</v>
      </c>
      <c r="M490" s="195">
        <f>AVERAGE(Ashed_controlls!$K$2:$K$11)</f>
        <v>5.5147656768714146</v>
      </c>
      <c r="N490" s="195">
        <f t="shared" si="54"/>
        <v>1.9102000000000001</v>
      </c>
      <c r="O490" s="16">
        <f>IF('WetLitterbags placem_collection'!G197="N.A","",'WetLitterbags placem_collection'!G197)</f>
        <v>42814</v>
      </c>
      <c r="P490" s="195">
        <f>IF(IFERROR(INDEX('Both teabags AfterWet'!$C$3:$C$841,MATCH(H490,'Both teabags AfterWet'!$A$3:$A$841,0)),"")="N.A","",(IFERROR(INDEX('Both teabags AfterWet'!$C$3:$C$841,MATCH(H490,'Both teabags AfterWet'!$A$3:$A$841,0)),"")))</f>
        <v>0.67859999999999998</v>
      </c>
      <c r="Q490" s="195">
        <f>IFERROR(INDEX('Both teabags AfterWet'!$C$3:$C$841,MATCH(I490,'Both teabags AfterWet'!$A$3:$A$841,0)),"")</f>
        <v>1.3527</v>
      </c>
      <c r="R490" s="195">
        <f t="shared" si="57"/>
        <v>0.52800000000000002</v>
      </c>
      <c r="S490" s="195">
        <f t="shared" si="57"/>
        <v>1.2020999999999999</v>
      </c>
      <c r="T490" s="195">
        <f t="shared" si="58"/>
        <v>0.71134922370435172</v>
      </c>
      <c r="U490" s="195">
        <f t="shared" si="59"/>
        <v>0.46634770960190286</v>
      </c>
      <c r="V490" s="195">
        <f t="shared" si="60"/>
        <v>0.62930583185006794</v>
      </c>
      <c r="W490">
        <f t="shared" si="55"/>
        <v>45</v>
      </c>
      <c r="X490" s="195">
        <f t="shared" si="61"/>
        <v>0.1551671927501761</v>
      </c>
      <c r="Y490" s="195">
        <f t="shared" si="62"/>
        <v>3.5204417633761538E-2</v>
      </c>
      <c r="Z490" s="255" t="str">
        <f>IF(ISNUMBER(SEARCH("C",'WetLitterbags placem_collection'!W417)),"YES","NO")</f>
        <v>NO</v>
      </c>
      <c r="AA490" s="255" t="str">
        <f>IF(ISNUMBER(SEARCH("H", 'WetLitterbags placem_collection'!Y197)),"YES","NO")</f>
        <v>NO</v>
      </c>
      <c r="AB490" s="255" t="str">
        <f>IF(ISNUMBER(SEARCH("R", 'WetLitterbags placem_collection'!WY197)),"YES","NO")</f>
        <v>NO</v>
      </c>
      <c r="AC490" s="255" t="str">
        <f>IF(ISNUMBER(SEARCH("C", 'WetLitterbags placem_collection'!VX197)),"YES","NO")</f>
        <v>NO</v>
      </c>
      <c r="AD490" s="255" t="str">
        <f>IF(ISNUMBER(SEARCH("H", 'WetLitterbags placem_collection'!X197)),"YES","NO")</f>
        <v>NO</v>
      </c>
      <c r="AE490" s="255" t="str">
        <f>IF(ISNUMBER(SEARCH("R", 'WetLitterbags placem_collection'!X197)),"YES","NO")</f>
        <v>YES</v>
      </c>
    </row>
    <row r="491" spans="2:31">
      <c r="B491" t="str">
        <f>'Final data_for_R_analysis_Wetse'!A637</f>
        <v>Wet</v>
      </c>
      <c r="C491" s="263">
        <f>'Final data_for_R_analysis_Wetse'!B637</f>
        <v>196</v>
      </c>
      <c r="D491" t="s">
        <v>2421</v>
      </c>
      <c r="E491" t="s">
        <v>25</v>
      </c>
      <c r="F491" s="387">
        <v>4</v>
      </c>
      <c r="G491" s="16">
        <f>'WetLitterbags placem_collection'!E198</f>
        <v>42769</v>
      </c>
      <c r="H491" s="92" t="str">
        <f>'Final data_for_R_analysis_Wetse'!J637</f>
        <v>G886</v>
      </c>
      <c r="I491" t="str">
        <f>'Final data_for_R_analysis_Wetse'!J857</f>
        <v>R362</v>
      </c>
      <c r="J491">
        <f>IFERROR(INDEX('Green_rooibos initial weight'!$C$5:$C$1749,MATCH(H491, 'Green_rooibos initial weight'!$A$5:$A$1749,0)),"")</f>
        <v>1.9590000000000001</v>
      </c>
      <c r="K491">
        <f>IFERROR(INDEX('Green_rooibos initial weight'!$C$5:$C$1749,MATCH(I491, 'Green_rooibos initial weight'!$A$5:$A$1749,0)),"")</f>
        <v>2.246</v>
      </c>
      <c r="L491" s="195">
        <f t="shared" si="56"/>
        <v>1.7092000000000001</v>
      </c>
      <c r="M491" s="195">
        <f>AVERAGE(Ashed_controlls!$K$2:$K$11)</f>
        <v>5.5147656768714146</v>
      </c>
      <c r="N491" s="195">
        <f t="shared" si="54"/>
        <v>1.9962</v>
      </c>
      <c r="O491" s="16">
        <f>IF('WetLitterbags placem_collection'!G198="N.A","",'WetLitterbags placem_collection'!G198)</f>
        <v>42814</v>
      </c>
      <c r="P491" s="195">
        <f>IF(IFERROR(INDEX('Both teabags AfterWet'!$C$3:$C$841,MATCH(H491,'Both teabags AfterWet'!$A$3:$A$841,0)),"")="N.A","",(IFERROR(INDEX('Both teabags AfterWet'!$C$3:$C$841,MATCH(H491,'Both teabags AfterWet'!$A$3:$A$841,0)),"")))</f>
        <v>0.58389999999999997</v>
      </c>
      <c r="Q491" s="195">
        <f>IFERROR(INDEX('Both teabags AfterWet'!$C$3:$C$841,MATCH(I491,'Both teabags AfterWet'!$A$3:$A$841,0)),"")</f>
        <v>1.5253000000000001</v>
      </c>
      <c r="R491" s="195">
        <f t="shared" si="57"/>
        <v>0.43329999999999996</v>
      </c>
      <c r="S491" s="195">
        <f t="shared" si="57"/>
        <v>1.3747</v>
      </c>
      <c r="T491" s="195">
        <f t="shared" si="58"/>
        <v>0.74648958577112101</v>
      </c>
      <c r="U491" s="195">
        <f t="shared" si="59"/>
        <v>0.48938509661004614</v>
      </c>
      <c r="V491" s="195">
        <f t="shared" si="60"/>
        <v>0.68865845105700829</v>
      </c>
      <c r="W491">
        <f t="shared" si="55"/>
        <v>45</v>
      </c>
      <c r="X491" s="195">
        <f t="shared" si="61"/>
        <v>0.1134327959962933</v>
      </c>
      <c r="Y491" s="195">
        <f t="shared" si="62"/>
        <v>2.2469367288658258E-2</v>
      </c>
      <c r="Z491" s="255" t="str">
        <f>IF(ISNUMBER(SEARCH("C",'WetLitterbags placem_collection'!W418)),"YES","NO")</f>
        <v>NO</v>
      </c>
      <c r="AA491" s="255" t="str">
        <f>IF(ISNUMBER(SEARCH("H", 'WetLitterbags placem_collection'!Y198)),"YES","NO")</f>
        <v>NO</v>
      </c>
      <c r="AB491" s="255" t="str">
        <f>IF(ISNUMBER(SEARCH("R", 'WetLitterbags placem_collection'!WY198)),"YES","NO")</f>
        <v>NO</v>
      </c>
      <c r="AC491" s="255" t="str">
        <f>IF(ISNUMBER(SEARCH("C", 'WetLitterbags placem_collection'!VX198)),"YES","NO")</f>
        <v>NO</v>
      </c>
      <c r="AD491" s="255" t="str">
        <f>IF(ISNUMBER(SEARCH("H", 'WetLitterbags placem_collection'!X198)),"YES","NO")</f>
        <v>NO</v>
      </c>
      <c r="AE491" s="255" t="str">
        <f>IF(ISNUMBER(SEARCH("R", 'WetLitterbags placem_collection'!X198)),"YES","NO")</f>
        <v>NO</v>
      </c>
    </row>
    <row r="492" spans="2:31">
      <c r="B492" t="str">
        <f>'Final data_for_R_analysis_Wetse'!A638</f>
        <v>Wet</v>
      </c>
      <c r="C492" s="263">
        <f>'Final data_for_R_analysis_Wetse'!B638</f>
        <v>197</v>
      </c>
      <c r="D492" t="s">
        <v>2431</v>
      </c>
      <c r="E492" t="s">
        <v>25</v>
      </c>
      <c r="F492" s="387">
        <v>1</v>
      </c>
      <c r="G492" s="16">
        <f>'WetLitterbags placem_collection'!E199</f>
        <v>42769</v>
      </c>
      <c r="H492" s="92" t="str">
        <f>'Final data_for_R_analysis_Wetse'!J638</f>
        <v>G388</v>
      </c>
      <c r="I492" t="str">
        <f>'Final data_for_R_analysis_Wetse'!J858</f>
        <v>R370</v>
      </c>
      <c r="J492">
        <f>IFERROR(INDEX('Green_rooibos initial weight'!$C$5:$C$1749,MATCH(H492, 'Green_rooibos initial weight'!$A$5:$A$1749,0)),"")</f>
        <v>2.024</v>
      </c>
      <c r="K492">
        <f>IFERROR(INDEX('Green_rooibos initial weight'!$C$5:$C$1749,MATCH(I492, 'Green_rooibos initial weight'!$A$5:$A$1749,0)),"")</f>
        <v>2.2290000000000001</v>
      </c>
      <c r="L492" s="195">
        <f t="shared" si="56"/>
        <v>1.7742</v>
      </c>
      <c r="M492" s="195">
        <f>AVERAGE(Ashed_controlls!$K$2:$K$11)</f>
        <v>5.5147656768714146</v>
      </c>
      <c r="N492" s="195">
        <f t="shared" si="54"/>
        <v>1.9792000000000001</v>
      </c>
      <c r="O492" s="16">
        <f>IF('WetLitterbags placem_collection'!G199="N.A","",'WetLitterbags placem_collection'!G199)</f>
        <v>42814</v>
      </c>
      <c r="P492" s="195">
        <f>IF(IFERROR(INDEX('Both teabags AfterWet'!$C$3:$C$841,MATCH(H492,'Both teabags AfterWet'!$A$3:$A$841,0)),"")="N.A","",(IFERROR(INDEX('Both teabags AfterWet'!$C$3:$C$841,MATCH(H492,'Both teabags AfterWet'!$A$3:$A$841,0)),"")))</f>
        <v>0.7046</v>
      </c>
      <c r="Q492" s="195">
        <f>IFERROR(INDEX('Both teabags AfterWet'!$C$3:$C$841,MATCH(I492,'Both teabags AfterWet'!$A$3:$A$841,0)),"")</f>
        <v>1.488</v>
      </c>
      <c r="R492" s="195">
        <f t="shared" si="57"/>
        <v>0.55400000000000005</v>
      </c>
      <c r="S492" s="195">
        <f t="shared" si="57"/>
        <v>1.3373999999999999</v>
      </c>
      <c r="T492" s="195">
        <f t="shared" si="58"/>
        <v>0.68774659001239991</v>
      </c>
      <c r="U492" s="195">
        <f t="shared" si="59"/>
        <v>0.45087424903425749</v>
      </c>
      <c r="V492" s="195">
        <f t="shared" si="60"/>
        <v>0.67572756669361356</v>
      </c>
      <c r="W492">
        <f t="shared" si="55"/>
        <v>45</v>
      </c>
      <c r="X492" s="195">
        <f t="shared" si="61"/>
        <v>0.18319882421330169</v>
      </c>
      <c r="Y492" s="195">
        <f t="shared" si="62"/>
        <v>2.8225369373303947E-2</v>
      </c>
      <c r="Z492" s="255" t="str">
        <f>IF(ISNUMBER(SEARCH("C",'WetLitterbags placem_collection'!W419)),"YES","NO")</f>
        <v>NO</v>
      </c>
      <c r="AA492" s="255" t="str">
        <f>IF(ISNUMBER(SEARCH("H", 'WetLitterbags placem_collection'!Y199)),"YES","NO")</f>
        <v>NO</v>
      </c>
      <c r="AB492" s="255" t="str">
        <f>IF(ISNUMBER(SEARCH("R", 'WetLitterbags placem_collection'!WY199)),"YES","NO")</f>
        <v>NO</v>
      </c>
      <c r="AC492" s="255" t="str">
        <f>IF(ISNUMBER(SEARCH("C", 'WetLitterbags placem_collection'!VX199)),"YES","NO")</f>
        <v>NO</v>
      </c>
      <c r="AD492" s="255" t="str">
        <f>IF(ISNUMBER(SEARCH("H", 'WetLitterbags placem_collection'!X199)),"YES","NO")</f>
        <v>NO</v>
      </c>
      <c r="AE492" s="255" t="str">
        <f>IF(ISNUMBER(SEARCH("R", 'WetLitterbags placem_collection'!X199)),"YES","NO")</f>
        <v>YES</v>
      </c>
    </row>
    <row r="493" spans="2:31">
      <c r="B493" t="str">
        <f>'Final data_for_R_analysis_Wetse'!A639</f>
        <v>Wet</v>
      </c>
      <c r="C493" s="263">
        <f>'Final data_for_R_analysis_Wetse'!B639</f>
        <v>198</v>
      </c>
      <c r="D493" t="s">
        <v>2439</v>
      </c>
      <c r="E493" t="s">
        <v>25</v>
      </c>
      <c r="F493" s="387">
        <v>2</v>
      </c>
      <c r="G493" s="16">
        <f>'WetLitterbags placem_collection'!E200</f>
        <v>42769</v>
      </c>
      <c r="H493" s="92" t="str">
        <f>'Final data_for_R_analysis_Wetse'!J639</f>
        <v>G462</v>
      </c>
      <c r="I493" t="str">
        <f>'Final data_for_R_analysis_Wetse'!J859</f>
        <v>R168</v>
      </c>
      <c r="J493">
        <f>IFERROR(INDEX('Green_rooibos initial weight'!$C$5:$C$1749,MATCH(H493, 'Green_rooibos initial weight'!$A$5:$A$1749,0)),"")</f>
        <v>2.169</v>
      </c>
      <c r="K493">
        <f>IFERROR(INDEX('Green_rooibos initial weight'!$C$5:$C$1749,MATCH(I493, 'Green_rooibos initial weight'!$A$5:$A$1749,0)),"")</f>
        <v>2.1459999999999999</v>
      </c>
      <c r="L493" s="195">
        <f t="shared" si="56"/>
        <v>1.9192</v>
      </c>
      <c r="M493" s="195">
        <f>AVERAGE(Ashed_controlls!$K$2:$K$11)</f>
        <v>5.5147656768714146</v>
      </c>
      <c r="N493" s="195">
        <f t="shared" si="54"/>
        <v>1.8961999999999999</v>
      </c>
      <c r="O493" s="16">
        <f>IF('WetLitterbags placem_collection'!G200="N.A","",'WetLitterbags placem_collection'!G200)</f>
        <v>42813</v>
      </c>
      <c r="P493" s="195">
        <f>IF(IFERROR(INDEX('Both teabags AfterWet'!$C$3:$C$841,MATCH(H493,'Both teabags AfterWet'!$A$3:$A$841,0)),"")="N.A","",(IFERROR(INDEX('Both teabags AfterWet'!$C$3:$C$841,MATCH(H493,'Both teabags AfterWet'!$A$3:$A$841,0)),"")))</f>
        <v>0.71250000000000002</v>
      </c>
      <c r="Q493" s="195">
        <f>IFERROR(INDEX('Both teabags AfterWet'!$C$3:$C$841,MATCH(I493,'Both teabags AfterWet'!$A$3:$A$841,0)),"")</f>
        <v>1.5734999999999999</v>
      </c>
      <c r="R493" s="195">
        <f t="shared" si="57"/>
        <v>0.56190000000000007</v>
      </c>
      <c r="S493" s="195">
        <f t="shared" si="57"/>
        <v>1.4228999999999998</v>
      </c>
      <c r="T493" s="195">
        <f t="shared" si="58"/>
        <v>0.7072217590662776</v>
      </c>
      <c r="U493" s="195">
        <f t="shared" si="59"/>
        <v>0.46364181829523193</v>
      </c>
      <c r="V493" s="195">
        <f t="shared" si="60"/>
        <v>0.75039552789790098</v>
      </c>
      <c r="W493">
        <f t="shared" si="55"/>
        <v>44</v>
      </c>
      <c r="X493" s="195">
        <f t="shared" si="61"/>
        <v>0.16006916975501473</v>
      </c>
      <c r="Y493" s="195">
        <f t="shared" si="62"/>
        <v>1.7567313547233277E-2</v>
      </c>
      <c r="Z493" s="255" t="str">
        <f>IF(ISNUMBER(SEARCH("C",'WetLitterbags placem_collection'!W420)),"YES","NO")</f>
        <v>NO</v>
      </c>
      <c r="AA493" s="255" t="str">
        <f>IF(ISNUMBER(SEARCH("H", 'WetLitterbags placem_collection'!Y200)),"YES","NO")</f>
        <v>NO</v>
      </c>
      <c r="AB493" s="255" t="str">
        <f>IF(ISNUMBER(SEARCH("R", 'WetLitterbags placem_collection'!WY200)),"YES","NO")</f>
        <v>NO</v>
      </c>
      <c r="AC493" s="255" t="str">
        <f>IF(ISNUMBER(SEARCH("C", 'WetLitterbags placem_collection'!VX200)),"YES","NO")</f>
        <v>NO</v>
      </c>
      <c r="AD493" s="255" t="str">
        <f>IF(ISNUMBER(SEARCH("H", 'WetLitterbags placem_collection'!X200)),"YES","NO")</f>
        <v>NO</v>
      </c>
      <c r="AE493" s="255" t="str">
        <f>IF(ISNUMBER(SEARCH("R", 'WetLitterbags placem_collection'!X200)),"YES","NO")</f>
        <v>YES</v>
      </c>
    </row>
    <row r="494" spans="2:31">
      <c r="B494" t="str">
        <f>'Final data_for_R_analysis_Wetse'!A640</f>
        <v>Wet</v>
      </c>
      <c r="C494" s="263">
        <f>'Final data_for_R_analysis_Wetse'!B640</f>
        <v>199</v>
      </c>
      <c r="D494" t="s">
        <v>2423</v>
      </c>
      <c r="E494" t="s">
        <v>25</v>
      </c>
      <c r="F494" s="387">
        <v>3</v>
      </c>
      <c r="G494" s="16">
        <f>'WetLitterbags placem_collection'!E201</f>
        <v>42769</v>
      </c>
      <c r="H494" s="92" t="str">
        <f>'Final data_for_R_analysis_Wetse'!J640</f>
        <v>G712</v>
      </c>
      <c r="I494" t="str">
        <f>'Final data_for_R_analysis_Wetse'!J860</f>
        <v>R369</v>
      </c>
      <c r="J494">
        <f>IFERROR(INDEX('Green_rooibos initial weight'!$C$5:$C$1749,MATCH(H494, 'Green_rooibos initial weight'!$A$5:$A$1749,0)),"")</f>
        <v>2.0630000000000002</v>
      </c>
      <c r="K494">
        <f>IFERROR(INDEX('Green_rooibos initial weight'!$C$5:$C$1749,MATCH(I494, 'Green_rooibos initial weight'!$A$5:$A$1749,0)),"")</f>
        <v>2.2400000000000002</v>
      </c>
      <c r="L494" s="195">
        <f t="shared" si="56"/>
        <v>1.8132000000000001</v>
      </c>
      <c r="M494" s="195">
        <f>AVERAGE(Ashed_controlls!$K$2:$K$11)</f>
        <v>5.5147656768714146</v>
      </c>
      <c r="N494" s="195">
        <f t="shared" si="54"/>
        <v>1.9902000000000002</v>
      </c>
      <c r="O494" s="16">
        <f>IF('WetLitterbags placem_collection'!G201="N.A","",'WetLitterbags placem_collection'!G201)</f>
        <v>42814</v>
      </c>
      <c r="P494" s="195">
        <f>IF(IFERROR(INDEX('Both teabags AfterWet'!$C$3:$C$841,MATCH(H494,'Both teabags AfterWet'!$A$3:$A$841,0)),"")="N.A","",(IFERROR(INDEX('Both teabags AfterWet'!$C$3:$C$841,MATCH(H494,'Both teabags AfterWet'!$A$3:$A$841,0)),"")))</f>
        <v>0.65500000000000003</v>
      </c>
      <c r="Q494" s="195" t="str">
        <f>IFERROR(INDEX('Both teabags AfterWet'!$C$3:$C$841,MATCH(I494,'Both teabags AfterWet'!$A$3:$A$841,0)),"")</f>
        <v/>
      </c>
      <c r="R494" s="195">
        <f t="shared" si="57"/>
        <v>0.50439999999999996</v>
      </c>
      <c r="S494" s="195" t="str">
        <f t="shared" si="57"/>
        <v/>
      </c>
      <c r="T494" s="195">
        <f t="shared" si="58"/>
        <v>0.72181778071917058</v>
      </c>
      <c r="U494" s="195">
        <f t="shared" si="59"/>
        <v>0.47321070659974135</v>
      </c>
      <c r="V494" s="195" t="str">
        <f t="shared" si="60"/>
        <v/>
      </c>
      <c r="W494">
        <f t="shared" si="55"/>
        <v>45</v>
      </c>
      <c r="X494" s="195">
        <f t="shared" si="61"/>
        <v>0.14273422717438167</v>
      </c>
      <c r="Y494" s="195" t="str">
        <f t="shared" si="62"/>
        <v/>
      </c>
      <c r="Z494" s="255" t="str">
        <f>IF(ISNUMBER(SEARCH("C",'WetLitterbags placem_collection'!W421)),"YES","NO")</f>
        <v>NO</v>
      </c>
      <c r="AA494" s="255" t="str">
        <f>IF(ISNUMBER(SEARCH("H", 'WetLitterbags placem_collection'!Y201)),"YES","NO")</f>
        <v>NO</v>
      </c>
      <c r="AB494" s="255" t="str">
        <f>IF(ISNUMBER(SEARCH("R", 'WetLitterbags placem_collection'!WY201)),"YES","NO")</f>
        <v>NO</v>
      </c>
      <c r="AC494" s="255" t="str">
        <f>IF(ISNUMBER(SEARCH("C", 'WetLitterbags placem_collection'!VX201)),"YES","NO")</f>
        <v>NO</v>
      </c>
      <c r="AD494" s="255" t="str">
        <f>IF(ISNUMBER(SEARCH("H", 'WetLitterbags placem_collection'!X201)),"YES","NO")</f>
        <v>NO</v>
      </c>
      <c r="AE494" s="255" t="str">
        <f>IF(ISNUMBER(SEARCH("R", 'WetLitterbags placem_collection'!X201)),"YES","NO")</f>
        <v>NO</v>
      </c>
    </row>
    <row r="495" spans="2:31">
      <c r="B495" t="str">
        <f>'Final data_for_R_analysis_Wetse'!A641</f>
        <v>Wet</v>
      </c>
      <c r="C495" s="263">
        <f>'Final data_for_R_analysis_Wetse'!B641</f>
        <v>200</v>
      </c>
      <c r="D495" t="s">
        <v>2446</v>
      </c>
      <c r="E495" t="s">
        <v>25</v>
      </c>
      <c r="F495" s="387">
        <v>4</v>
      </c>
      <c r="G495" s="16">
        <f>'WetLitterbags placem_collection'!E202</f>
        <v>42769</v>
      </c>
      <c r="H495" s="92" t="str">
        <f>'Final data_for_R_analysis_Wetse'!J641</f>
        <v>G709</v>
      </c>
      <c r="I495" t="str">
        <f>'Final data_for_R_analysis_Wetse'!J861</f>
        <v>R359</v>
      </c>
      <c r="J495">
        <f>IFERROR(INDEX('Green_rooibos initial weight'!$C$5:$C$1749,MATCH(H495, 'Green_rooibos initial weight'!$A$5:$A$1749,0)),"")</f>
        <v>1.9670000000000001</v>
      </c>
      <c r="K495">
        <f>IFERROR(INDEX('Green_rooibos initial weight'!$C$5:$C$1749,MATCH(I495, 'Green_rooibos initial weight'!$A$5:$A$1749,0)),"")</f>
        <v>2.198</v>
      </c>
      <c r="L495" s="195">
        <f t="shared" si="56"/>
        <v>1.7172000000000001</v>
      </c>
      <c r="M495" s="195">
        <f>AVERAGE(Ashed_controlls!$K$2:$K$11)</f>
        <v>5.5147656768714146</v>
      </c>
      <c r="N495" s="195">
        <f t="shared" si="54"/>
        <v>1.9481999999999999</v>
      </c>
      <c r="O495" s="16">
        <f>IF('WetLitterbags placem_collection'!G202="N.A","",'WetLitterbags placem_collection'!G202)</f>
        <v>42813</v>
      </c>
      <c r="P495" s="195">
        <f>IF(IFERROR(INDEX('Both teabags AfterWet'!$C$3:$C$841,MATCH(H495,'Both teabags AfterWet'!$A$3:$A$841,0)),"")="N.A","",(IFERROR(INDEX('Both teabags AfterWet'!$C$3:$C$841,MATCH(H495,'Both teabags AfterWet'!$A$3:$A$841,0)),"")))</f>
        <v>0.56469999999999998</v>
      </c>
      <c r="Q495" s="195">
        <f>IFERROR(INDEX('Both teabags AfterWet'!$C$3:$C$841,MATCH(I495,'Both teabags AfterWet'!$A$3:$A$841,0)),"")</f>
        <v>1.4882</v>
      </c>
      <c r="R495" s="195">
        <f t="shared" si="57"/>
        <v>0.41409999999999997</v>
      </c>
      <c r="S495" s="195">
        <f t="shared" si="57"/>
        <v>1.3375999999999999</v>
      </c>
      <c r="T495" s="195">
        <f t="shared" si="58"/>
        <v>0.75885161891451203</v>
      </c>
      <c r="U495" s="195">
        <f t="shared" si="59"/>
        <v>0.4974894223762597</v>
      </c>
      <c r="V495" s="195">
        <f t="shared" si="60"/>
        <v>0.68658248639770036</v>
      </c>
      <c r="W495">
        <f t="shared" si="55"/>
        <v>44</v>
      </c>
      <c r="X495" s="195">
        <f t="shared" si="61"/>
        <v>9.8751046419819466E-2</v>
      </c>
      <c r="Y495" s="195">
        <f t="shared" si="62"/>
        <v>2.2596541022727651E-2</v>
      </c>
      <c r="Z495" s="255" t="str">
        <f>IF(ISNUMBER(SEARCH("C",'WetLitterbags placem_collection'!W422)),"YES","NO")</f>
        <v>NO</v>
      </c>
      <c r="AA495" s="255" t="str">
        <f>IF(ISNUMBER(SEARCH("H", 'WetLitterbags placem_collection'!Y202)),"YES","NO")</f>
        <v>NO</v>
      </c>
      <c r="AB495" s="255" t="str">
        <f>IF(ISNUMBER(SEARCH("R", 'WetLitterbags placem_collection'!WY202)),"YES","NO")</f>
        <v>NO</v>
      </c>
      <c r="AC495" s="255" t="str">
        <f>IF(ISNUMBER(SEARCH("C", 'WetLitterbags placem_collection'!VX202)),"YES","NO")</f>
        <v>NO</v>
      </c>
      <c r="AD495" s="255" t="str">
        <f>IF(ISNUMBER(SEARCH("H", 'WetLitterbags placem_collection'!X202)),"YES","NO")</f>
        <v>NO</v>
      </c>
      <c r="AE495" s="255" t="str">
        <f>IF(ISNUMBER(SEARCH("R", 'WetLitterbags placem_collection'!X202)),"YES","NO")</f>
        <v>YES</v>
      </c>
    </row>
    <row r="496" spans="2:31">
      <c r="B496" t="str">
        <f>'Final data_for_R_analysis_Wetse'!A642</f>
        <v>Wet</v>
      </c>
      <c r="C496" s="263">
        <f>'Final data_for_R_analysis_Wetse'!B642</f>
        <v>201</v>
      </c>
      <c r="D496" t="s">
        <v>2447</v>
      </c>
      <c r="E496" t="s">
        <v>25</v>
      </c>
      <c r="F496" s="387">
        <v>1</v>
      </c>
      <c r="G496" s="16">
        <f>'WetLitterbags placem_collection'!E203</f>
        <v>42769</v>
      </c>
      <c r="H496" s="92" t="str">
        <f>'Final data_for_R_analysis_Wetse'!J642</f>
        <v>G707</v>
      </c>
      <c r="I496" t="str">
        <f>'Final data_for_R_analysis_Wetse'!J862</f>
        <v>R395</v>
      </c>
      <c r="J496">
        <f>IFERROR(INDEX('Green_rooibos initial weight'!$C$5:$C$1749,MATCH(H496, 'Green_rooibos initial weight'!$A$5:$A$1749,0)),"")</f>
        <v>2.008</v>
      </c>
      <c r="K496">
        <f>IFERROR(INDEX('Green_rooibos initial weight'!$C$5:$C$1749,MATCH(I496, 'Green_rooibos initial weight'!$A$5:$A$1749,0)),"")</f>
        <v>2.1280000000000001</v>
      </c>
      <c r="L496" s="195">
        <f t="shared" si="56"/>
        <v>1.7582</v>
      </c>
      <c r="M496" s="195">
        <f>AVERAGE(Ashed_controlls!$K$2:$K$11)</f>
        <v>5.5147656768714146</v>
      </c>
      <c r="N496" s="195">
        <f t="shared" si="54"/>
        <v>1.8782000000000001</v>
      </c>
      <c r="O496" s="16">
        <f>IF('WetLitterbags placem_collection'!G203="N.A","",'WetLitterbags placem_collection'!G203)</f>
        <v>42813</v>
      </c>
      <c r="P496" s="195">
        <f>IF(IFERROR(INDEX('Both teabags AfterWet'!$C$3:$C$841,MATCH(H496,'Both teabags AfterWet'!$A$3:$A$841,0)),"")="N.A","",(IFERROR(INDEX('Both teabags AfterWet'!$C$3:$C$841,MATCH(H496,'Both teabags AfterWet'!$A$3:$A$841,0)),"")))</f>
        <v>0.63959999999999995</v>
      </c>
      <c r="Q496" s="195">
        <f>IFERROR(INDEX('Both teabags AfterWet'!$C$3:$C$841,MATCH(I496,'Both teabags AfterWet'!$A$3:$A$841,0)),"")</f>
        <v>1.5786</v>
      </c>
      <c r="R496" s="195">
        <f t="shared" si="57"/>
        <v>0.48899999999999993</v>
      </c>
      <c r="S496" s="195">
        <f t="shared" si="57"/>
        <v>1.4279999999999999</v>
      </c>
      <c r="T496" s="195">
        <f t="shared" si="58"/>
        <v>0.72187464452280747</v>
      </c>
      <c r="U496" s="195">
        <f t="shared" si="59"/>
        <v>0.47324798548288571</v>
      </c>
      <c r="V496" s="195">
        <f t="shared" si="60"/>
        <v>0.76030241720796499</v>
      </c>
      <c r="W496">
        <f t="shared" si="55"/>
        <v>44</v>
      </c>
      <c r="X496" s="195">
        <f t="shared" si="61"/>
        <v>0.14266669296578682</v>
      </c>
      <c r="Y496" s="195">
        <f t="shared" si="62"/>
        <v>1.6050491412394646E-2</v>
      </c>
      <c r="Z496" s="255" t="str">
        <f>IF(ISNUMBER(SEARCH("C",'WetLitterbags placem_collection'!W423)),"YES","NO")</f>
        <v>NO</v>
      </c>
      <c r="AA496" s="255" t="str">
        <f>IF(ISNUMBER(SEARCH("H", 'WetLitterbags placem_collection'!Y203)),"YES","NO")</f>
        <v>NO</v>
      </c>
      <c r="AB496" s="255" t="str">
        <f>IF(ISNUMBER(SEARCH("R", 'WetLitterbags placem_collection'!WY203)),"YES","NO")</f>
        <v>NO</v>
      </c>
      <c r="AC496" s="255" t="str">
        <f>IF(ISNUMBER(SEARCH("C", 'WetLitterbags placem_collection'!VX203)),"YES","NO")</f>
        <v>NO</v>
      </c>
      <c r="AD496" s="255" t="str">
        <f>IF(ISNUMBER(SEARCH("H", 'WetLitterbags placem_collection'!X203)),"YES","NO")</f>
        <v>NO</v>
      </c>
      <c r="AE496" s="255" t="str">
        <f>IF(ISNUMBER(SEARCH("R", 'WetLitterbags placem_collection'!X203)),"YES","NO")</f>
        <v>YES</v>
      </c>
    </row>
    <row r="497" spans="2:31">
      <c r="B497" t="str">
        <f>'Final data_for_R_analysis_Wetse'!A643</f>
        <v>Wet</v>
      </c>
      <c r="C497" s="263">
        <f>'Final data_for_R_analysis_Wetse'!B643</f>
        <v>202</v>
      </c>
      <c r="D497" t="s">
        <v>2424</v>
      </c>
      <c r="E497" t="s">
        <v>25</v>
      </c>
      <c r="F497" s="387">
        <v>2</v>
      </c>
      <c r="G497" s="16">
        <f>'WetLitterbags placem_collection'!E204</f>
        <v>42769</v>
      </c>
      <c r="H497" s="92" t="str">
        <f>'Final data_for_R_analysis_Wetse'!J643</f>
        <v>G770</v>
      </c>
      <c r="I497" t="str">
        <f>'Final data_for_R_analysis_Wetse'!J863</f>
        <v>R182</v>
      </c>
      <c r="J497">
        <f>IFERROR(INDEX('Green_rooibos initial weight'!$C$5:$C$1749,MATCH(H497, 'Green_rooibos initial weight'!$A$5:$A$1749,0)),"")</f>
        <v>1.958</v>
      </c>
      <c r="K497">
        <f>IFERROR(INDEX('Green_rooibos initial weight'!$C$5:$C$1749,MATCH(I497, 'Green_rooibos initial weight'!$A$5:$A$1749,0)),"")</f>
        <v>2.161</v>
      </c>
      <c r="L497" s="195">
        <f t="shared" si="56"/>
        <v>1.7081999999999999</v>
      </c>
      <c r="M497" s="195">
        <f>AVERAGE(Ashed_controlls!$K$2:$K$11)</f>
        <v>5.5147656768714146</v>
      </c>
      <c r="N497" s="195">
        <f t="shared" si="54"/>
        <v>1.9112</v>
      </c>
      <c r="O497" s="16">
        <f>IF('WetLitterbags placem_collection'!G204="N.A","",'WetLitterbags placem_collection'!G204)</f>
        <v>42814</v>
      </c>
      <c r="P497" s="195">
        <f>IF(IFERROR(INDEX('Both teabags AfterWet'!$C$3:$C$841,MATCH(H497,'Both teabags AfterWet'!$A$3:$A$841,0)),"")="N.A","",(IFERROR(INDEX('Both teabags AfterWet'!$C$3:$C$841,MATCH(H497,'Both teabags AfterWet'!$A$3:$A$841,0)),"")))</f>
        <v>0.98199999999999998</v>
      </c>
      <c r="Q497" s="195">
        <f>IFERROR(INDEX('Both teabags AfterWet'!$C$3:$C$841,MATCH(I497,'Both teabags AfterWet'!$A$3:$A$841,0)),"")</f>
        <v>1.679</v>
      </c>
      <c r="R497" s="195">
        <f t="shared" si="57"/>
        <v>0.83139999999999992</v>
      </c>
      <c r="S497" s="195">
        <f t="shared" si="57"/>
        <v>1.5284</v>
      </c>
      <c r="T497" s="195">
        <f t="shared" si="58"/>
        <v>0.51328884205596537</v>
      </c>
      <c r="U497" s="195">
        <f t="shared" si="59"/>
        <v>0.33650289883003914</v>
      </c>
      <c r="V497" s="195">
        <f t="shared" si="60"/>
        <v>0.79970699037254078</v>
      </c>
      <c r="W497">
        <f t="shared" si="55"/>
        <v>45</v>
      </c>
      <c r="X497" s="195">
        <f t="shared" si="61"/>
        <v>0.39039329922094368</v>
      </c>
      <c r="Y497" s="195">
        <f t="shared" si="62"/>
        <v>2.0097994770457112E-2</v>
      </c>
      <c r="Z497" s="255" t="str">
        <f>IF(ISNUMBER(SEARCH("C",'WetLitterbags placem_collection'!W424)),"YES","NO")</f>
        <v>NO</v>
      </c>
      <c r="AA497" s="255" t="str">
        <f>IF(ISNUMBER(SEARCH("H", 'WetLitterbags placem_collection'!Y204)),"YES","NO")</f>
        <v>NO</v>
      </c>
      <c r="AB497" s="255" t="str">
        <f>IF(ISNUMBER(SEARCH("R", 'WetLitterbags placem_collection'!WY204)),"YES","NO")</f>
        <v>NO</v>
      </c>
      <c r="AC497" s="255" t="str">
        <f>IF(ISNUMBER(SEARCH("C", 'WetLitterbags placem_collection'!VX204)),"YES","NO")</f>
        <v>NO</v>
      </c>
      <c r="AD497" s="255" t="str">
        <f>IF(ISNUMBER(SEARCH("H", 'WetLitterbags placem_collection'!X204)),"YES","NO")</f>
        <v>NO</v>
      </c>
      <c r="AE497" s="255" t="str">
        <f>IF(ISNUMBER(SEARCH("R", 'WetLitterbags placem_collection'!X204)),"YES","NO")</f>
        <v>YES</v>
      </c>
    </row>
    <row r="498" spans="2:31">
      <c r="B498" t="str">
        <f>'Final data_for_R_analysis_Wetse'!A644</f>
        <v>Wet</v>
      </c>
      <c r="C498" s="263">
        <f>'Final data_for_R_analysis_Wetse'!B644</f>
        <v>203</v>
      </c>
      <c r="D498" t="s">
        <v>2433</v>
      </c>
      <c r="E498" t="s">
        <v>25</v>
      </c>
      <c r="F498" s="387">
        <v>3</v>
      </c>
      <c r="G498" s="16">
        <f>'WetLitterbags placem_collection'!E205</f>
        <v>42769</v>
      </c>
      <c r="H498" s="92" t="str">
        <f>'Final data_for_R_analysis_Wetse'!J644</f>
        <v>G753</v>
      </c>
      <c r="I498" t="str">
        <f>'Final data_for_R_analysis_Wetse'!J864</f>
        <v>R342</v>
      </c>
      <c r="J498">
        <f>IFERROR(INDEX('Green_rooibos initial weight'!$C$5:$C$1749,MATCH(H498, 'Green_rooibos initial weight'!$A$5:$A$1749,0)),"")</f>
        <v>2.0649999999999999</v>
      </c>
      <c r="K498">
        <f>IFERROR(INDEX('Green_rooibos initial weight'!$C$5:$C$1749,MATCH(I498, 'Green_rooibos initial weight'!$A$5:$A$1749,0)),"")</f>
        <v>2.2450000000000001</v>
      </c>
      <c r="L498" s="195">
        <f t="shared" si="56"/>
        <v>1.8151999999999999</v>
      </c>
      <c r="M498" s="195">
        <f>AVERAGE(Ashed_controlls!$K$2:$K$11)</f>
        <v>5.5147656768714146</v>
      </c>
      <c r="N498" s="195">
        <f t="shared" si="54"/>
        <v>1.9952000000000001</v>
      </c>
      <c r="O498" s="16">
        <f>IF('WetLitterbags placem_collection'!G205="N.A","",'WetLitterbags placem_collection'!G205)</f>
        <v>42814</v>
      </c>
      <c r="P498" s="195">
        <f>IF(IFERROR(INDEX('Both teabags AfterWet'!$C$3:$C$841,MATCH(H498,'Both teabags AfterWet'!$A$3:$A$841,0)),"")="N.A","",(IFERROR(INDEX('Both teabags AfterWet'!$C$3:$C$841,MATCH(H498,'Both teabags AfterWet'!$A$3:$A$841,0)),"")))</f>
        <v>0.7681</v>
      </c>
      <c r="Q498" s="195">
        <f>IFERROR(INDEX('Both teabags AfterWet'!$C$3:$C$841,MATCH(I498,'Both teabags AfterWet'!$A$3:$A$841,0)),"")</f>
        <v>1.5906</v>
      </c>
      <c r="R498" s="195">
        <f t="shared" si="57"/>
        <v>0.61749999999999994</v>
      </c>
      <c r="S498" s="195">
        <f t="shared" si="57"/>
        <v>1.44</v>
      </c>
      <c r="T498" s="195">
        <f t="shared" si="58"/>
        <v>0.65981710004407224</v>
      </c>
      <c r="U498" s="195">
        <f t="shared" si="59"/>
        <v>0.43256417960133958</v>
      </c>
      <c r="V498" s="195">
        <f t="shared" si="60"/>
        <v>0.72173215717722528</v>
      </c>
      <c r="W498">
        <f t="shared" si="55"/>
        <v>45</v>
      </c>
      <c r="X498" s="195">
        <f t="shared" si="61"/>
        <v>0.21636923985264578</v>
      </c>
      <c r="Y498" s="195">
        <f t="shared" si="62"/>
        <v>2.2907904207135611E-2</v>
      </c>
      <c r="Z498" s="255" t="str">
        <f>IF(ISNUMBER(SEARCH("C",'WetLitterbags placem_collection'!W425)),"YES","NO")</f>
        <v>NO</v>
      </c>
      <c r="AA498" s="255" t="str">
        <f>IF(ISNUMBER(SEARCH("H", 'WetLitterbags placem_collection'!Y205)),"YES","NO")</f>
        <v>NO</v>
      </c>
      <c r="AB498" s="255" t="str">
        <f>IF(ISNUMBER(SEARCH("R", 'WetLitterbags placem_collection'!WY205)),"YES","NO")</f>
        <v>NO</v>
      </c>
      <c r="AC498" s="255" t="str">
        <f>IF(ISNUMBER(SEARCH("C", 'WetLitterbags placem_collection'!VX205)),"YES","NO")</f>
        <v>NO</v>
      </c>
      <c r="AD498" s="255" t="str">
        <f>IF(ISNUMBER(SEARCH("H", 'WetLitterbags placem_collection'!X205)),"YES","NO")</f>
        <v>NO</v>
      </c>
      <c r="AE498" s="255" t="str">
        <f>IF(ISNUMBER(SEARCH("R", 'WetLitterbags placem_collection'!X205)),"YES","NO")</f>
        <v>YES</v>
      </c>
    </row>
    <row r="499" spans="2:31">
      <c r="B499" t="str">
        <f>'Final data_for_R_analysis_Wetse'!A645</f>
        <v>Wet</v>
      </c>
      <c r="C499" s="263">
        <f>'Final data_for_R_analysis_Wetse'!B645</f>
        <v>204</v>
      </c>
      <c r="D499" t="s">
        <v>2440</v>
      </c>
      <c r="E499" t="s">
        <v>25</v>
      </c>
      <c r="F499" s="387">
        <v>4</v>
      </c>
      <c r="G499" s="16">
        <f>'WetLitterbags placem_collection'!E206</f>
        <v>42769</v>
      </c>
      <c r="H499" s="92" t="str">
        <f>'Final data_for_R_analysis_Wetse'!J645</f>
        <v>G640</v>
      </c>
      <c r="I499" t="str">
        <f>'Final data_for_R_analysis_Wetse'!J865</f>
        <v>R139</v>
      </c>
      <c r="J499">
        <f>IFERROR(INDEX('Green_rooibos initial weight'!$C$5:$C$1749,MATCH(H499, 'Green_rooibos initial weight'!$A$5:$A$1749,0)),"")</f>
        <v>2.0640000000000001</v>
      </c>
      <c r="K499">
        <f>IFERROR(INDEX('Green_rooibos initial weight'!$C$5:$C$1749,MATCH(I499, 'Green_rooibos initial weight'!$A$5:$A$1749,0)),"")</f>
        <v>2.2829999999999999</v>
      </c>
      <c r="L499" s="195">
        <f t="shared" si="56"/>
        <v>1.8142</v>
      </c>
      <c r="M499" s="195">
        <f>AVERAGE(Ashed_controlls!$K$2:$K$11)</f>
        <v>5.5147656768714146</v>
      </c>
      <c r="N499" s="195">
        <f t="shared" si="54"/>
        <v>2.0331999999999999</v>
      </c>
      <c r="O499" s="16">
        <f>IF('WetLitterbags placem_collection'!G206="N.A","",'WetLitterbags placem_collection'!G206)</f>
        <v>42813</v>
      </c>
      <c r="P499" s="195">
        <f>IF(IFERROR(INDEX('Both teabags AfterWet'!$C$3:$C$841,MATCH(H499,'Both teabags AfterWet'!$A$3:$A$841,0)),"")="N.A","",(IFERROR(INDEX('Both teabags AfterWet'!$C$3:$C$841,MATCH(H499,'Both teabags AfterWet'!$A$3:$A$841,0)),"")))</f>
        <v>0.72450000000000003</v>
      </c>
      <c r="Q499" s="195">
        <f>IFERROR(INDEX('Both teabags AfterWet'!$C$3:$C$841,MATCH(I499,'Both teabags AfterWet'!$A$3:$A$841,0)),"")</f>
        <v>1.6255999999999999</v>
      </c>
      <c r="R499" s="195">
        <f t="shared" si="57"/>
        <v>0.57390000000000008</v>
      </c>
      <c r="S499" s="195">
        <f t="shared" si="57"/>
        <v>1.4749999999999999</v>
      </c>
      <c r="T499" s="195">
        <f t="shared" si="58"/>
        <v>0.68366222026237455</v>
      </c>
      <c r="U499" s="195">
        <f t="shared" si="59"/>
        <v>0.44819660995823135</v>
      </c>
      <c r="V499" s="195">
        <f t="shared" si="60"/>
        <v>0.72545740704308481</v>
      </c>
      <c r="W499">
        <f t="shared" si="55"/>
        <v>44</v>
      </c>
      <c r="X499" s="195">
        <f t="shared" si="61"/>
        <v>0.18804961964088529</v>
      </c>
      <c r="Y499" s="195">
        <f t="shared" si="62"/>
        <v>2.1549251954294885E-2</v>
      </c>
      <c r="Z499" s="255" t="str">
        <f>IF(ISNUMBER(SEARCH("C",'WetLitterbags placem_collection'!W426)),"YES","NO")</f>
        <v>NO</v>
      </c>
      <c r="AA499" s="255" t="str">
        <f>IF(ISNUMBER(SEARCH("H", 'WetLitterbags placem_collection'!Y206)),"YES","NO")</f>
        <v>NO</v>
      </c>
      <c r="AB499" s="255" t="str">
        <f>IF(ISNUMBER(SEARCH("R", 'WetLitterbags placem_collection'!WY206)),"YES","NO")</f>
        <v>NO</v>
      </c>
      <c r="AC499" s="255" t="str">
        <f>IF(ISNUMBER(SEARCH("C", 'WetLitterbags placem_collection'!VX206)),"YES","NO")</f>
        <v>NO</v>
      </c>
      <c r="AD499" s="255" t="str">
        <f>IF(ISNUMBER(SEARCH("H", 'WetLitterbags placem_collection'!X206)),"YES","NO")</f>
        <v>NO</v>
      </c>
      <c r="AE499" s="255" t="str">
        <f>IF(ISNUMBER(SEARCH("R", 'WetLitterbags placem_collection'!X206)),"YES","NO")</f>
        <v>YES</v>
      </c>
    </row>
    <row r="500" spans="2:31">
      <c r="B500" t="str">
        <f>'Final data_for_R_analysis_Wetse'!A646</f>
        <v>Wet</v>
      </c>
      <c r="C500" s="263">
        <f>'Final data_for_R_analysis_Wetse'!B646</f>
        <v>205</v>
      </c>
      <c r="D500" t="s">
        <v>2434</v>
      </c>
      <c r="E500" t="s">
        <v>25</v>
      </c>
      <c r="F500" s="387">
        <v>1</v>
      </c>
      <c r="G500" s="16">
        <f>'WetLitterbags placem_collection'!E207</f>
        <v>42769</v>
      </c>
      <c r="H500" s="92" t="str">
        <f>'Final data_for_R_analysis_Wetse'!J646</f>
        <v>G668</v>
      </c>
      <c r="I500" t="str">
        <f>'Final data_for_R_analysis_Wetse'!J866</f>
        <v>R92</v>
      </c>
      <c r="J500">
        <f>IFERROR(INDEX('Green_rooibos initial weight'!$C$5:$C$1749,MATCH(H500, 'Green_rooibos initial weight'!$A$5:$A$1749,0)),"")</f>
        <v>2.0299999999999998</v>
      </c>
      <c r="K500">
        <f>IFERROR(INDEX('Green_rooibos initial weight'!$C$5:$C$1749,MATCH(I500, 'Green_rooibos initial weight'!$A$5:$A$1749,0)),"")</f>
        <v>2.246</v>
      </c>
      <c r="L500" s="195">
        <f t="shared" si="56"/>
        <v>1.7801999999999998</v>
      </c>
      <c r="M500" s="195">
        <f>AVERAGE(Ashed_controlls!$K$2:$K$11)</f>
        <v>5.5147656768714146</v>
      </c>
      <c r="N500" s="195">
        <f t="shared" si="54"/>
        <v>1.9962</v>
      </c>
      <c r="O500" s="16">
        <f>IF('WetLitterbags placem_collection'!G207="N.A","",'WetLitterbags placem_collection'!G207)</f>
        <v>42814</v>
      </c>
      <c r="P500" s="195">
        <f>IF(IFERROR(INDEX('Both teabags AfterWet'!$C$3:$C$841,MATCH(H500,'Both teabags AfterWet'!$A$3:$A$841,0)),"")="N.A","",(IFERROR(INDEX('Both teabags AfterWet'!$C$3:$C$841,MATCH(H500,'Both teabags AfterWet'!$A$3:$A$841,0)),"")))</f>
        <v>0.71</v>
      </c>
      <c r="Q500" s="195">
        <f>IFERROR(INDEX('Both teabags AfterWet'!$C$3:$C$841,MATCH(I500,'Both teabags AfterWet'!$A$3:$A$841,0)),"")</f>
        <v>1.7204999999999999</v>
      </c>
      <c r="R500" s="195">
        <f t="shared" si="57"/>
        <v>0.5593999999999999</v>
      </c>
      <c r="S500" s="195">
        <f t="shared" si="57"/>
        <v>1.5698999999999999</v>
      </c>
      <c r="T500" s="195">
        <f t="shared" si="58"/>
        <v>0.68576564430962816</v>
      </c>
      <c r="U500" s="195">
        <f t="shared" si="59"/>
        <v>0.44957557679206034</v>
      </c>
      <c r="V500" s="195">
        <f t="shared" si="60"/>
        <v>0.78644424406372104</v>
      </c>
      <c r="W500">
        <f t="shared" si="55"/>
        <v>45</v>
      </c>
      <c r="X500" s="195">
        <f t="shared" si="61"/>
        <v>0.18555149131873139</v>
      </c>
      <c r="Y500" s="195">
        <f t="shared" si="62"/>
        <v>1.431973748547335E-2</v>
      </c>
      <c r="Z500" s="255" t="str">
        <f>IF(ISNUMBER(SEARCH("C",'WetLitterbags placem_collection'!W427)),"YES","NO")</f>
        <v>NO</v>
      </c>
      <c r="AA500" s="255" t="str">
        <f>IF(ISNUMBER(SEARCH("H", 'WetLitterbags placem_collection'!Y207)),"YES","NO")</f>
        <v>NO</v>
      </c>
      <c r="AB500" s="255" t="str">
        <f>IF(ISNUMBER(SEARCH("R", 'WetLitterbags placem_collection'!WY207)),"YES","NO")</f>
        <v>NO</v>
      </c>
      <c r="AC500" s="255" t="str">
        <f>IF(ISNUMBER(SEARCH("C", 'WetLitterbags placem_collection'!VX207)),"YES","NO")</f>
        <v>NO</v>
      </c>
      <c r="AD500" s="255" t="str">
        <f>IF(ISNUMBER(SEARCH("H", 'WetLitterbags placem_collection'!X207)),"YES","NO")</f>
        <v>NO</v>
      </c>
      <c r="AE500" s="255" t="str">
        <f>IF(ISNUMBER(SEARCH("R", 'WetLitterbags placem_collection'!X207)),"YES","NO")</f>
        <v>YES</v>
      </c>
    </row>
    <row r="501" spans="2:31">
      <c r="B501" t="str">
        <f>'Final data_for_R_analysis_Wetse'!A647</f>
        <v>Wet</v>
      </c>
      <c r="C501" s="263">
        <f>'Final data_for_R_analysis_Wetse'!B647</f>
        <v>206</v>
      </c>
      <c r="D501" t="s">
        <v>2425</v>
      </c>
      <c r="E501" t="s">
        <v>25</v>
      </c>
      <c r="F501" s="387">
        <v>2</v>
      </c>
      <c r="G501" s="16">
        <f>'WetLitterbags placem_collection'!E208</f>
        <v>42769</v>
      </c>
      <c r="H501" s="92" t="str">
        <f>'Final data_for_R_analysis_Wetse'!J647</f>
        <v>G891</v>
      </c>
      <c r="I501" t="str">
        <f>'Final data_for_R_analysis_Wetse'!J867</f>
        <v>R328</v>
      </c>
      <c r="J501">
        <f>IFERROR(INDEX('Green_rooibos initial weight'!$C$5:$C$1749,MATCH(H501, 'Green_rooibos initial weight'!$A$5:$A$1749,0)),"")</f>
        <v>2.0169999999999999</v>
      </c>
      <c r="K501">
        <f>IFERROR(INDEX('Green_rooibos initial weight'!$C$5:$C$1749,MATCH(I501, 'Green_rooibos initial weight'!$A$5:$A$1749,0)),"")</f>
        <v>2.2549999999999999</v>
      </c>
      <c r="L501" s="195">
        <f t="shared" si="56"/>
        <v>1.7671999999999999</v>
      </c>
      <c r="M501" s="195">
        <f>AVERAGE(Ashed_controlls!$K$2:$K$11)</f>
        <v>5.5147656768714146</v>
      </c>
      <c r="N501" s="195">
        <f t="shared" si="54"/>
        <v>2.0051999999999999</v>
      </c>
      <c r="O501" s="16">
        <f>IF('WetLitterbags placem_collection'!G208="N.A","",'WetLitterbags placem_collection'!G208)</f>
        <v>42814</v>
      </c>
      <c r="P501" s="195">
        <f>IF(IFERROR(INDEX('Both teabags AfterWet'!$C$3:$C$841,MATCH(H501,'Both teabags AfterWet'!$A$3:$A$841,0)),"")="N.A","",(IFERROR(INDEX('Both teabags AfterWet'!$C$3:$C$841,MATCH(H501,'Both teabags AfterWet'!$A$3:$A$841,0)),"")))</f>
        <v>0.70199999999999996</v>
      </c>
      <c r="Q501" s="195">
        <f>IFERROR(INDEX('Both teabags AfterWet'!$C$3:$C$841,MATCH(I501,'Both teabags AfterWet'!$A$3:$A$841,0)),"")</f>
        <v>1.609</v>
      </c>
      <c r="R501" s="195">
        <f t="shared" si="57"/>
        <v>0.55139999999999989</v>
      </c>
      <c r="S501" s="195">
        <f t="shared" si="57"/>
        <v>1.4583999999999999</v>
      </c>
      <c r="T501" s="195">
        <f t="shared" si="58"/>
        <v>0.6879809868718878</v>
      </c>
      <c r="U501" s="195">
        <f t="shared" si="59"/>
        <v>0.45102791538394549</v>
      </c>
      <c r="V501" s="195">
        <f t="shared" si="60"/>
        <v>0.72730899660881709</v>
      </c>
      <c r="W501">
        <f t="shared" si="55"/>
        <v>45</v>
      </c>
      <c r="X501" s="195">
        <f t="shared" si="61"/>
        <v>0.18292044314502631</v>
      </c>
      <c r="Y501" s="195">
        <f t="shared" si="62"/>
        <v>2.0618993532220718E-2</v>
      </c>
      <c r="Z501" s="255" t="str">
        <f>IF(ISNUMBER(SEARCH("C",'WetLitterbags placem_collection'!W428)),"YES","NO")</f>
        <v>NO</v>
      </c>
      <c r="AA501" s="255" t="str">
        <f>IF(ISNUMBER(SEARCH("H", 'WetLitterbags placem_collection'!Y208)),"YES","NO")</f>
        <v>NO</v>
      </c>
      <c r="AB501" s="255" t="str">
        <f>IF(ISNUMBER(SEARCH("R", 'WetLitterbags placem_collection'!WY208)),"YES","NO")</f>
        <v>NO</v>
      </c>
      <c r="AC501" s="255" t="str">
        <f>IF(ISNUMBER(SEARCH("C", 'WetLitterbags placem_collection'!VX208)),"YES","NO")</f>
        <v>NO</v>
      </c>
      <c r="AD501" s="255" t="str">
        <f>IF(ISNUMBER(SEARCH("H", 'WetLitterbags placem_collection'!X208)),"YES","NO")</f>
        <v>NO</v>
      </c>
      <c r="AE501" s="255" t="str">
        <f>IF(ISNUMBER(SEARCH("R", 'WetLitterbags placem_collection'!X208)),"YES","NO")</f>
        <v>YES</v>
      </c>
    </row>
    <row r="502" spans="2:31">
      <c r="B502" t="str">
        <f>'Final data_for_R_analysis_Wetse'!A648</f>
        <v>Wet</v>
      </c>
      <c r="C502" s="263">
        <f>'Final data_for_R_analysis_Wetse'!B648</f>
        <v>207</v>
      </c>
      <c r="D502" t="s">
        <v>2448</v>
      </c>
      <c r="E502" t="s">
        <v>25</v>
      </c>
      <c r="F502" s="387">
        <v>3</v>
      </c>
      <c r="G502" s="16">
        <f>'WetLitterbags placem_collection'!E209</f>
        <v>42769</v>
      </c>
      <c r="H502" s="92" t="str">
        <f>'Final data_for_R_analysis_Wetse'!J648</f>
        <v>G540</v>
      </c>
      <c r="I502" t="str">
        <f>'Final data_for_R_analysis_Wetse'!J868</f>
        <v>R149</v>
      </c>
      <c r="J502">
        <f>IFERROR(INDEX('Green_rooibos initial weight'!$C$5:$C$1749,MATCH(H502, 'Green_rooibos initial weight'!$A$5:$A$1749,0)),"")</f>
        <v>2.0830000000000002</v>
      </c>
      <c r="K502">
        <f>IFERROR(INDEX('Green_rooibos initial weight'!$C$5:$C$1749,MATCH(I502, 'Green_rooibos initial weight'!$A$5:$A$1749,0)),"")</f>
        <v>2.2400000000000002</v>
      </c>
      <c r="L502" s="195">
        <f t="shared" si="56"/>
        <v>1.8332000000000002</v>
      </c>
      <c r="M502" s="195">
        <f>AVERAGE(Ashed_controlls!$K$2:$K$11)</f>
        <v>5.5147656768714146</v>
      </c>
      <c r="N502" s="195">
        <f t="shared" si="54"/>
        <v>1.9902000000000002</v>
      </c>
      <c r="O502" s="16">
        <f>IF('WetLitterbags placem_collection'!G209="N.A","",'WetLitterbags placem_collection'!G209)</f>
        <v>42813</v>
      </c>
      <c r="P502" s="195">
        <f>IF(IFERROR(INDEX('Both teabags AfterWet'!$C$3:$C$841,MATCH(H502,'Both teabags AfterWet'!$A$3:$A$841,0)),"")="N.A","",(IFERROR(INDEX('Both teabags AfterWet'!$C$3:$C$841,MATCH(H502,'Both teabags AfterWet'!$A$3:$A$841,0)),"")))</f>
        <v>0.73299999999999998</v>
      </c>
      <c r="Q502" s="195">
        <f>IFERROR(INDEX('Both teabags AfterWet'!$C$3:$C$841,MATCH(I502,'Both teabags AfterWet'!$A$3:$A$841,0)),"")</f>
        <v>1.401</v>
      </c>
      <c r="R502" s="195">
        <f t="shared" si="57"/>
        <v>0.58240000000000003</v>
      </c>
      <c r="S502" s="195">
        <f t="shared" si="57"/>
        <v>1.2504</v>
      </c>
      <c r="T502" s="195">
        <f t="shared" si="58"/>
        <v>0.68230416757582368</v>
      </c>
      <c r="U502" s="195">
        <f t="shared" si="59"/>
        <v>0.44730629513284409</v>
      </c>
      <c r="V502" s="195">
        <f t="shared" si="60"/>
        <v>0.62827856496834478</v>
      </c>
      <c r="W502">
        <f t="shared" si="55"/>
        <v>44</v>
      </c>
      <c r="X502" s="195">
        <f t="shared" si="61"/>
        <v>0.1896625088173115</v>
      </c>
      <c r="Y502" s="195">
        <f t="shared" si="62"/>
        <v>4.0408808728347206E-2</v>
      </c>
      <c r="Z502" s="255" t="str">
        <f>IF(ISNUMBER(SEARCH("C",'WetLitterbags placem_collection'!W429)),"YES","NO")</f>
        <v>NO</v>
      </c>
      <c r="AA502" s="255" t="str">
        <f>IF(ISNUMBER(SEARCH("H", 'WetLitterbags placem_collection'!Y209)),"YES","NO")</f>
        <v>NO</v>
      </c>
      <c r="AB502" s="255" t="str">
        <f>IF(ISNUMBER(SEARCH("R", 'WetLitterbags placem_collection'!WY209)),"YES","NO")</f>
        <v>NO</v>
      </c>
      <c r="AC502" s="255" t="str">
        <f>IF(ISNUMBER(SEARCH("C", 'WetLitterbags placem_collection'!VX209)),"YES","NO")</f>
        <v>NO</v>
      </c>
      <c r="AD502" s="255" t="str">
        <f>IF(ISNUMBER(SEARCH("H", 'WetLitterbags placem_collection'!X209)),"YES","NO")</f>
        <v>NO</v>
      </c>
      <c r="AE502" s="255" t="str">
        <f>IF(ISNUMBER(SEARCH("R", 'WetLitterbags placem_collection'!X209)),"YES","NO")</f>
        <v>YES</v>
      </c>
    </row>
    <row r="503" spans="2:31">
      <c r="B503" t="str">
        <f>'Final data_for_R_analysis_Wetse'!A649</f>
        <v>Wet</v>
      </c>
      <c r="C503" s="263">
        <f>'Final data_for_R_analysis_Wetse'!B649</f>
        <v>208</v>
      </c>
      <c r="D503" t="s">
        <v>2441</v>
      </c>
      <c r="E503" t="s">
        <v>25</v>
      </c>
      <c r="F503" s="387">
        <v>4</v>
      </c>
      <c r="G503" s="16">
        <f>'WetLitterbags placem_collection'!E210</f>
        <v>42769</v>
      </c>
      <c r="H503" s="92" t="str">
        <f>'Final data_for_R_analysis_Wetse'!J649</f>
        <v>G508</v>
      </c>
      <c r="I503" t="str">
        <f>'Final data_for_R_analysis_Wetse'!J869</f>
        <v>R449</v>
      </c>
      <c r="J503">
        <f>IFERROR(INDEX('Green_rooibos initial weight'!$C$5:$C$1749,MATCH(H503, 'Green_rooibos initial weight'!$A$5:$A$1749,0)),"")</f>
        <v>1.9910000000000001</v>
      </c>
      <c r="K503">
        <f>IFERROR(INDEX('Green_rooibos initial weight'!$C$5:$C$1749,MATCH(I503, 'Green_rooibos initial weight'!$A$5:$A$1749,0)),"")</f>
        <v>2.2709999999999999</v>
      </c>
      <c r="L503" s="195">
        <f t="shared" si="56"/>
        <v>1.7412000000000001</v>
      </c>
      <c r="M503" s="195">
        <f>AVERAGE(Ashed_controlls!$K$2:$K$11)</f>
        <v>5.5147656768714146</v>
      </c>
      <c r="N503" s="195">
        <f t="shared" si="54"/>
        <v>2.0211999999999999</v>
      </c>
      <c r="O503" s="16">
        <f>IF('WetLitterbags placem_collection'!G210="N.A","",'WetLitterbags placem_collection'!G210)</f>
        <v>42813</v>
      </c>
      <c r="P503" s="195">
        <f>IF(IFERROR(INDEX('Both teabags AfterWet'!$C$3:$C$841,MATCH(H503,'Both teabags AfterWet'!$A$3:$A$841,0)),"")="N.A","",(IFERROR(INDEX('Both teabags AfterWet'!$C$3:$C$841,MATCH(H503,'Both teabags AfterWet'!$A$3:$A$841,0)),"")))</f>
        <v>0.84599999999999997</v>
      </c>
      <c r="Q503" s="195">
        <f>IFERROR(INDEX('Both teabags AfterWet'!$C$3:$C$841,MATCH(I503,'Both teabags AfterWet'!$A$3:$A$841,0)),"")</f>
        <v>1.611</v>
      </c>
      <c r="R503" s="195">
        <f t="shared" si="57"/>
        <v>0.69540000000000002</v>
      </c>
      <c r="S503" s="195">
        <f t="shared" si="57"/>
        <v>1.4603999999999999</v>
      </c>
      <c r="T503" s="195">
        <f t="shared" si="58"/>
        <v>0.60062026188835294</v>
      </c>
      <c r="U503" s="195">
        <f t="shared" si="59"/>
        <v>0.39375580114295827</v>
      </c>
      <c r="V503" s="195">
        <f t="shared" si="60"/>
        <v>0.72254106471403123</v>
      </c>
      <c r="W503">
        <f t="shared" si="55"/>
        <v>44</v>
      </c>
      <c r="X503" s="195">
        <f t="shared" si="61"/>
        <v>0.28667427329174233</v>
      </c>
      <c r="Y503" s="195">
        <f t="shared" si="62"/>
        <v>2.771783665250931E-2</v>
      </c>
      <c r="Z503" s="255" t="str">
        <f>IF(ISNUMBER(SEARCH("C",'WetLitterbags placem_collection'!W430)),"YES","NO")</f>
        <v>NO</v>
      </c>
      <c r="AA503" s="255" t="str">
        <f>IF(ISNUMBER(SEARCH("H", 'WetLitterbags placem_collection'!Y210)),"YES","NO")</f>
        <v>NO</v>
      </c>
      <c r="AB503" s="255" t="str">
        <f>IF(ISNUMBER(SEARCH("R", 'WetLitterbags placem_collection'!WY210)),"YES","NO")</f>
        <v>NO</v>
      </c>
      <c r="AC503" s="255" t="str">
        <f>IF(ISNUMBER(SEARCH("C", 'WetLitterbags placem_collection'!VX210)),"YES","NO")</f>
        <v>NO</v>
      </c>
      <c r="AD503" s="255" t="str">
        <f>IF(ISNUMBER(SEARCH("H", 'WetLitterbags placem_collection'!X210)),"YES","NO")</f>
        <v>NO</v>
      </c>
      <c r="AE503" s="255" t="str">
        <f>IF(ISNUMBER(SEARCH("R", 'WetLitterbags placem_collection'!X210)),"YES","NO")</f>
        <v>YES</v>
      </c>
    </row>
    <row r="504" spans="2:31">
      <c r="B504" t="str">
        <f>'Final data_for_R_analysis_Wetse'!A650</f>
        <v>Wet</v>
      </c>
      <c r="C504" s="263">
        <f>'Final data_for_R_analysis_Wetse'!B650</f>
        <v>209</v>
      </c>
      <c r="D504" t="s">
        <v>2435</v>
      </c>
      <c r="E504" t="s">
        <v>25</v>
      </c>
      <c r="F504" s="387">
        <v>1</v>
      </c>
      <c r="G504" s="16">
        <f>'WetLitterbags placem_collection'!E211</f>
        <v>42769</v>
      </c>
      <c r="H504" s="92" t="str">
        <f>'Final data_for_R_analysis_Wetse'!J650</f>
        <v>G637</v>
      </c>
      <c r="I504" t="str">
        <f>'Final data_for_R_analysis_Wetse'!J870</f>
        <v>R142</v>
      </c>
      <c r="J504">
        <f>IFERROR(INDEX('Green_rooibos initial weight'!$C$5:$C$1749,MATCH(H504, 'Green_rooibos initial weight'!$A$5:$A$1749,0)),"")</f>
        <v>2.1110000000000002</v>
      </c>
      <c r="K504">
        <f>IFERROR(INDEX('Green_rooibos initial weight'!$C$5:$C$1749,MATCH(I504, 'Green_rooibos initial weight'!$A$5:$A$1749,0)),"")</f>
        <v>2.0870000000000002</v>
      </c>
      <c r="L504" s="195">
        <f t="shared" si="56"/>
        <v>1.8612000000000002</v>
      </c>
      <c r="M504" s="195">
        <f>AVERAGE(Ashed_controlls!$K$2:$K$11)</f>
        <v>5.5147656768714146</v>
      </c>
      <c r="N504" s="195">
        <f t="shared" si="54"/>
        <v>1.8372000000000002</v>
      </c>
      <c r="O504" s="16">
        <f>IF('WetLitterbags placem_collection'!G211="N.A","",'WetLitterbags placem_collection'!G211)</f>
        <v>42814</v>
      </c>
      <c r="P504" s="195">
        <f>IF(IFERROR(INDEX('Both teabags AfterWet'!$C$3:$C$841,MATCH(H504,'Both teabags AfterWet'!$A$3:$A$841,0)),"")="N.A","",(IFERROR(INDEX('Both teabags AfterWet'!$C$3:$C$841,MATCH(H504,'Both teabags AfterWet'!$A$3:$A$841,0)),"")))</f>
        <v>0.86399999999999999</v>
      </c>
      <c r="Q504" s="195">
        <f>IFERROR(INDEX('Both teabags AfterWet'!$C$3:$C$841,MATCH(I504,'Both teabags AfterWet'!$A$3:$A$841,0)),"")</f>
        <v>1.5780000000000001</v>
      </c>
      <c r="R504" s="195">
        <f t="shared" si="57"/>
        <v>0.71340000000000003</v>
      </c>
      <c r="S504" s="195">
        <f t="shared" si="57"/>
        <v>1.4274</v>
      </c>
      <c r="T504" s="195">
        <f t="shared" si="58"/>
        <v>0.61669890393294646</v>
      </c>
      <c r="U504" s="195">
        <f t="shared" si="59"/>
        <v>0.40429666861162289</v>
      </c>
      <c r="V504" s="195">
        <f t="shared" si="60"/>
        <v>0.77694317439581961</v>
      </c>
      <c r="W504">
        <f t="shared" si="55"/>
        <v>45</v>
      </c>
      <c r="X504" s="195">
        <f t="shared" si="61"/>
        <v>0.26757849889198759</v>
      </c>
      <c r="Y504" s="195">
        <f t="shared" si="62"/>
        <v>1.782950406968305E-2</v>
      </c>
      <c r="Z504" s="255" t="str">
        <f>IF(ISNUMBER(SEARCH("C",'WetLitterbags placem_collection'!W431)),"YES","NO")</f>
        <v>NO</v>
      </c>
      <c r="AA504" s="255" t="str">
        <f>IF(ISNUMBER(SEARCH("H", 'WetLitterbags placem_collection'!Y211)),"YES","NO")</f>
        <v>NO</v>
      </c>
      <c r="AB504" s="255" t="str">
        <f>IF(ISNUMBER(SEARCH("R", 'WetLitterbags placem_collection'!WY211)),"YES","NO")</f>
        <v>NO</v>
      </c>
      <c r="AC504" s="255" t="str">
        <f>IF(ISNUMBER(SEARCH("C", 'WetLitterbags placem_collection'!VX211)),"YES","NO")</f>
        <v>NO</v>
      </c>
      <c r="AD504" s="255" t="str">
        <f>IF(ISNUMBER(SEARCH("H", 'WetLitterbags placem_collection'!X211)),"YES","NO")</f>
        <v>NO</v>
      </c>
      <c r="AE504" s="255" t="str">
        <f>IF(ISNUMBER(SEARCH("R", 'WetLitterbags placem_collection'!X211)),"YES","NO")</f>
        <v>YES</v>
      </c>
    </row>
    <row r="505" spans="2:31">
      <c r="B505" t="str">
        <f>'Final data_for_R_analysis_Wetse'!A651</f>
        <v>Wet</v>
      </c>
      <c r="C505" s="263">
        <f>'Final data_for_R_analysis_Wetse'!B651</f>
        <v>210</v>
      </c>
      <c r="D505" t="s">
        <v>2449</v>
      </c>
      <c r="E505" t="s">
        <v>25</v>
      </c>
      <c r="F505" s="387">
        <v>2</v>
      </c>
      <c r="G505" s="16">
        <f>'WetLitterbags placem_collection'!E212</f>
        <v>42769</v>
      </c>
      <c r="H505" s="92" t="str">
        <f>'Final data_for_R_analysis_Wetse'!J651</f>
        <v>G720</v>
      </c>
      <c r="I505" t="str">
        <f>'Final data_for_R_analysis_Wetse'!J871</f>
        <v>R392</v>
      </c>
      <c r="J505">
        <f>IFERROR(INDEX('Green_rooibos initial weight'!$C$5:$C$1749,MATCH(H505, 'Green_rooibos initial weight'!$A$5:$A$1749,0)),"")</f>
        <v>2.0350000000000001</v>
      </c>
      <c r="K505">
        <f>IFERROR(INDEX('Green_rooibos initial weight'!$C$5:$C$1749,MATCH(I505, 'Green_rooibos initial weight'!$A$5:$A$1749,0)),"")</f>
        <v>2.2309999999999999</v>
      </c>
      <c r="L505" s="195">
        <f t="shared" si="56"/>
        <v>1.7852000000000001</v>
      </c>
      <c r="M505" s="195">
        <f>AVERAGE(Ashed_controlls!$K$2:$K$11)</f>
        <v>5.5147656768714146</v>
      </c>
      <c r="N505" s="195">
        <f t="shared" si="54"/>
        <v>1.9811999999999999</v>
      </c>
      <c r="O505" s="16">
        <f>IF('WetLitterbags placem_collection'!G212="N.A","",'WetLitterbags placem_collection'!G212)</f>
        <v>42813</v>
      </c>
      <c r="P505" s="195">
        <f>IF(IFERROR(INDEX('Both teabags AfterWet'!$C$3:$C$841,MATCH(H505,'Both teabags AfterWet'!$A$3:$A$841,0)),"")="N.A","",(IFERROR(INDEX('Both teabags AfterWet'!$C$3:$C$841,MATCH(H505,'Both teabags AfterWet'!$A$3:$A$841,0)),"")))</f>
        <v>0.72160000000000002</v>
      </c>
      <c r="Q505" s="195">
        <f>IFERROR(INDEX('Both teabags AfterWet'!$C$3:$C$841,MATCH(I505,'Both teabags AfterWet'!$A$3:$A$841,0)),"")</f>
        <v>1.6165</v>
      </c>
      <c r="R505" s="195">
        <f t="shared" si="57"/>
        <v>0.57099999999999995</v>
      </c>
      <c r="S505" s="195">
        <f t="shared" si="57"/>
        <v>1.4659</v>
      </c>
      <c r="T505" s="195">
        <f t="shared" si="58"/>
        <v>0.6801478825901861</v>
      </c>
      <c r="U505" s="195">
        <f t="shared" si="59"/>
        <v>0.4458926736220698</v>
      </c>
      <c r="V505" s="195">
        <f t="shared" si="60"/>
        <v>0.73990510801534426</v>
      </c>
      <c r="W505">
        <f t="shared" si="55"/>
        <v>44</v>
      </c>
      <c r="X505" s="195">
        <f t="shared" si="61"/>
        <v>0.19222341735132287</v>
      </c>
      <c r="Y505" s="195">
        <f t="shared" si="62"/>
        <v>1.9895895322009652E-2</v>
      </c>
      <c r="Z505" s="255" t="str">
        <f>IF(ISNUMBER(SEARCH("C",'WetLitterbags placem_collection'!W432)),"YES","NO")</f>
        <v>NO</v>
      </c>
      <c r="AA505" s="255" t="str">
        <f>IF(ISNUMBER(SEARCH("H", 'WetLitterbags placem_collection'!Y212)),"YES","NO")</f>
        <v>NO</v>
      </c>
      <c r="AB505" s="255" t="str">
        <f>IF(ISNUMBER(SEARCH("R", 'WetLitterbags placem_collection'!WY212)),"YES","NO")</f>
        <v>NO</v>
      </c>
      <c r="AC505" s="255" t="str">
        <f>IF(ISNUMBER(SEARCH("C", 'WetLitterbags placem_collection'!VX212)),"YES","NO")</f>
        <v>NO</v>
      </c>
      <c r="AD505" s="255" t="str">
        <f>IF(ISNUMBER(SEARCH("H", 'WetLitterbags placem_collection'!X212)),"YES","NO")</f>
        <v>NO</v>
      </c>
      <c r="AE505" s="255" t="str">
        <f>IF(ISNUMBER(SEARCH("R", 'WetLitterbags placem_collection'!X212)),"YES","NO")</f>
        <v>YES</v>
      </c>
    </row>
    <row r="506" spans="2:31">
      <c r="B506" t="str">
        <f>'Final data_for_R_analysis_Wetse'!A652</f>
        <v>Wet</v>
      </c>
      <c r="C506" s="263">
        <f>'Final data_for_R_analysis_Wetse'!B652</f>
        <v>211</v>
      </c>
      <c r="D506" t="s">
        <v>2426</v>
      </c>
      <c r="E506" t="s">
        <v>25</v>
      </c>
      <c r="F506" s="387">
        <v>3</v>
      </c>
      <c r="G506" s="16">
        <f>'WetLitterbags placem_collection'!E213</f>
        <v>42769</v>
      </c>
      <c r="H506" s="92" t="str">
        <f>'Final data_for_R_analysis_Wetse'!J652</f>
        <v>G796</v>
      </c>
      <c r="I506" t="str">
        <f>'Final data_for_R_analysis_Wetse'!J872</f>
        <v>R589</v>
      </c>
      <c r="J506">
        <f>IFERROR(INDEX('Green_rooibos initial weight'!$C$5:$C$1749,MATCH(H506, 'Green_rooibos initial weight'!$A$5:$A$1749,0)),"")</f>
        <v>2.1070000000000002</v>
      </c>
      <c r="K506">
        <f>IFERROR(INDEX('Green_rooibos initial weight'!$C$5:$C$1749,MATCH(I506, 'Green_rooibos initial weight'!$A$5:$A$1749,0)),"")</f>
        <v>2.157</v>
      </c>
      <c r="L506" s="195">
        <f t="shared" si="56"/>
        <v>1.8572000000000002</v>
      </c>
      <c r="M506" s="195">
        <f>AVERAGE(Ashed_controlls!$K$2:$K$11)</f>
        <v>5.5147656768714146</v>
      </c>
      <c r="N506" s="195">
        <f t="shared" si="54"/>
        <v>1.9072</v>
      </c>
      <c r="O506" s="16">
        <f>IF('WetLitterbags placem_collection'!G213="N.A","",'WetLitterbags placem_collection'!G213)</f>
        <v>42814</v>
      </c>
      <c r="P506" s="195">
        <f>IF(IFERROR(INDEX('Both teabags AfterWet'!$C$3:$C$841,MATCH(H506,'Both teabags AfterWet'!$A$3:$A$841,0)),"")="N.A","",(IFERROR(INDEX('Both teabags AfterWet'!$C$3:$C$841,MATCH(H506,'Both teabags AfterWet'!$A$3:$A$841,0)),"")))</f>
        <v>0.67200000000000004</v>
      </c>
      <c r="Q506" s="195">
        <f>IFERROR(INDEX('Both teabags AfterWet'!$C$3:$C$841,MATCH(I506,'Both teabags AfterWet'!$A$3:$A$841,0)),"")</f>
        <v>1.5489999999999999</v>
      </c>
      <c r="R506" s="195">
        <f t="shared" si="57"/>
        <v>0.52140000000000009</v>
      </c>
      <c r="S506" s="195">
        <f t="shared" si="57"/>
        <v>1.3983999999999999</v>
      </c>
      <c r="T506" s="195">
        <f t="shared" si="58"/>
        <v>0.71925479216024124</v>
      </c>
      <c r="U506" s="195">
        <f t="shared" si="59"/>
        <v>0.4715304575682342</v>
      </c>
      <c r="V506" s="195">
        <f t="shared" si="60"/>
        <v>0.73322147651006708</v>
      </c>
      <c r="W506">
        <f t="shared" si="55"/>
        <v>45</v>
      </c>
      <c r="X506" s="195">
        <f t="shared" si="61"/>
        <v>0.14577815657928594</v>
      </c>
      <c r="Y506" s="195">
        <f t="shared" si="62"/>
        <v>1.8537433965027557E-2</v>
      </c>
      <c r="Z506" s="255" t="str">
        <f>IF(ISNUMBER(SEARCH("C",'WetLitterbags placem_collection'!W433)),"YES","NO")</f>
        <v>NO</v>
      </c>
      <c r="AA506" s="255" t="str">
        <f>IF(ISNUMBER(SEARCH("H", 'WetLitterbags placem_collection'!Y213)),"YES","NO")</f>
        <v>NO</v>
      </c>
      <c r="AB506" s="255" t="str">
        <f>IF(ISNUMBER(SEARCH("R", 'WetLitterbags placem_collection'!WY213)),"YES","NO")</f>
        <v>NO</v>
      </c>
      <c r="AC506" s="255" t="str">
        <f>IF(ISNUMBER(SEARCH("C", 'WetLitterbags placem_collection'!VX213)),"YES","NO")</f>
        <v>NO</v>
      </c>
      <c r="AD506" s="255" t="str">
        <f>IF(ISNUMBER(SEARCH("H", 'WetLitterbags placem_collection'!X213)),"YES","NO")</f>
        <v>NO</v>
      </c>
      <c r="AE506" s="255" t="str">
        <f>IF(ISNUMBER(SEARCH("R", 'WetLitterbags placem_collection'!X213)),"YES","NO")</f>
        <v>YES</v>
      </c>
    </row>
    <row r="507" spans="2:31">
      <c r="B507" t="str">
        <f>'Final data_for_R_analysis_Wetse'!A653</f>
        <v>Wet</v>
      </c>
      <c r="C507" s="263">
        <f>'Final data_for_R_analysis_Wetse'!B653</f>
        <v>215</v>
      </c>
      <c r="D507" t="s">
        <v>2427</v>
      </c>
      <c r="E507" t="s">
        <v>25</v>
      </c>
      <c r="F507" s="387">
        <v>3</v>
      </c>
      <c r="G507" s="16">
        <f>'WetLitterbags placem_collection'!E214</f>
        <v>42769</v>
      </c>
      <c r="H507" s="92" t="str">
        <f>'Final data_for_R_analysis_Wetse'!J653</f>
        <v>G560</v>
      </c>
      <c r="I507" t="str">
        <f>'Final data_for_R_analysis_Wetse'!J873</f>
        <v>R130</v>
      </c>
      <c r="J507">
        <f>IFERROR(INDEX('Green_rooibos initial weight'!$C$5:$C$1749,MATCH(H507, 'Green_rooibos initial weight'!$A$5:$A$1749,0)),"")</f>
        <v>2.1219999999999999</v>
      </c>
      <c r="K507">
        <f>IFERROR(INDEX('Green_rooibos initial weight'!$C$5:$C$1749,MATCH(I507, 'Green_rooibos initial weight'!$A$5:$A$1749,0)),"")</f>
        <v>2.2410000000000001</v>
      </c>
      <c r="L507" s="195">
        <f t="shared" si="56"/>
        <v>1.8721999999999999</v>
      </c>
      <c r="M507" s="195">
        <f>AVERAGE(Ashed_controlls!$K$2:$K$11)</f>
        <v>5.5147656768714146</v>
      </c>
      <c r="N507" s="195">
        <f t="shared" si="54"/>
        <v>1.9912000000000001</v>
      </c>
      <c r="O507" s="16">
        <f>IF('WetLitterbags placem_collection'!G214="N.A","",'WetLitterbags placem_collection'!G214)</f>
        <v>42813</v>
      </c>
      <c r="P507" s="195">
        <f>IF(IFERROR(INDEX('Both teabags AfterWet'!$C$3:$C$841,MATCH(H507,'Both teabags AfterWet'!$A$3:$A$841,0)),"")="N.A","",(IFERROR(INDEX('Both teabags AfterWet'!$C$3:$C$841,MATCH(H507,'Both teabags AfterWet'!$A$3:$A$841,0)),"")))</f>
        <v>1.4097999999999999</v>
      </c>
      <c r="Q507" s="195">
        <f>IFERROR(INDEX('Both teabags AfterWet'!$C$3:$C$841,MATCH(I507,'Both teabags AfterWet'!$A$3:$A$841,0)),"")</f>
        <v>1.6712</v>
      </c>
      <c r="R507" s="195">
        <f t="shared" si="57"/>
        <v>1.2591999999999999</v>
      </c>
      <c r="S507" s="195">
        <f t="shared" si="57"/>
        <v>1.5206</v>
      </c>
      <c r="T507" s="195">
        <f t="shared" si="58"/>
        <v>0.32742228394402306</v>
      </c>
      <c r="U507" s="195">
        <f t="shared" si="59"/>
        <v>0.21465213864263746</v>
      </c>
      <c r="V507" s="195">
        <f t="shared" si="60"/>
        <v>0.76366010445962229</v>
      </c>
      <c r="W507">
        <f t="shared" si="55"/>
        <v>44</v>
      </c>
      <c r="X507" s="195">
        <f t="shared" si="61"/>
        <v>0.61113742999522203</v>
      </c>
      <c r="Y507" s="195" t="str">
        <f t="shared" si="62"/>
        <v/>
      </c>
      <c r="Z507" s="255" t="str">
        <f>IF(ISNUMBER(SEARCH("C",'WetLitterbags placem_collection'!W434)),"YES","NO")</f>
        <v>NO</v>
      </c>
      <c r="AA507" s="255" t="str">
        <f>IF(ISNUMBER(SEARCH("H", 'WetLitterbags placem_collection'!Y214)),"YES","NO")</f>
        <v>NO</v>
      </c>
      <c r="AB507" s="255" t="str">
        <f>IF(ISNUMBER(SEARCH("R", 'WetLitterbags placem_collection'!WY214)),"YES","NO")</f>
        <v>NO</v>
      </c>
      <c r="AC507" s="255" t="str">
        <f>IF(ISNUMBER(SEARCH("C", 'WetLitterbags placem_collection'!VX214)),"YES","NO")</f>
        <v>NO</v>
      </c>
      <c r="AD507" s="255" t="str">
        <f>IF(ISNUMBER(SEARCH("H", 'WetLitterbags placem_collection'!X214)),"YES","NO")</f>
        <v>NO</v>
      </c>
      <c r="AE507" s="255" t="str">
        <f>IF(ISNUMBER(SEARCH("R", 'WetLitterbags placem_collection'!X214)),"YES","NO")</f>
        <v>YES</v>
      </c>
    </row>
    <row r="508" spans="2:31">
      <c r="B508" t="str">
        <f>'Final data_for_R_analysis_Wetse'!A654</f>
        <v>Wet</v>
      </c>
      <c r="C508" s="263">
        <f>'Final data_for_R_analysis_Wetse'!B654</f>
        <v>212</v>
      </c>
      <c r="D508" t="s">
        <v>2442</v>
      </c>
      <c r="E508" t="s">
        <v>25</v>
      </c>
      <c r="F508" s="387">
        <v>4</v>
      </c>
      <c r="G508" s="16">
        <f>'WetLitterbags placem_collection'!E215</f>
        <v>42769</v>
      </c>
      <c r="H508" s="92" t="str">
        <f>'Final data_for_R_analysis_Wetse'!J654</f>
        <v>G716</v>
      </c>
      <c r="I508" t="str">
        <f>'Final data_for_R_analysis_Wetse'!J874</f>
        <v>R111</v>
      </c>
      <c r="J508">
        <f>IFERROR(INDEX('Green_rooibos initial weight'!$C$5:$C$1749,MATCH(H508, 'Green_rooibos initial weight'!$A$5:$A$1749,0)),"")</f>
        <v>2.117</v>
      </c>
      <c r="K508">
        <f>IFERROR(INDEX('Green_rooibos initial weight'!$C$5:$C$1749,MATCH(I508, 'Green_rooibos initial weight'!$A$5:$A$1749,0)),"")</f>
        <v>2.3170000000000002</v>
      </c>
      <c r="L508" s="195">
        <f t="shared" si="56"/>
        <v>1.8672</v>
      </c>
      <c r="M508" s="195">
        <f>AVERAGE(Ashed_controlls!$K$2:$K$11)</f>
        <v>5.5147656768714146</v>
      </c>
      <c r="N508" s="195">
        <f t="shared" si="54"/>
        <v>2.0672000000000001</v>
      </c>
      <c r="O508" s="16">
        <f>IF('WetLitterbags placem_collection'!G215="N.A","",'WetLitterbags placem_collection'!G215)</f>
        <v>42813</v>
      </c>
      <c r="P508" s="195">
        <f>IF(IFERROR(INDEX('Both teabags AfterWet'!$C$3:$C$841,MATCH(H508,'Both teabags AfterWet'!$A$3:$A$841,0)),"")="N.A","",(IFERROR(INDEX('Both teabags AfterWet'!$C$3:$C$841,MATCH(H508,'Both teabags AfterWet'!$A$3:$A$841,0)),"")))</f>
        <v>0.83</v>
      </c>
      <c r="Q508" s="195">
        <f>IFERROR(INDEX('Both teabags AfterWet'!$C$3:$C$841,MATCH(I508,'Both teabags AfterWet'!$A$3:$A$841,0)),"")</f>
        <v>1.587</v>
      </c>
      <c r="R508" s="195">
        <f t="shared" si="57"/>
        <v>0.6794</v>
      </c>
      <c r="S508" s="195">
        <f t="shared" si="57"/>
        <v>1.4363999999999999</v>
      </c>
      <c r="T508" s="195">
        <f t="shared" si="58"/>
        <v>0.63613967437874885</v>
      </c>
      <c r="U508" s="195">
        <f t="shared" si="59"/>
        <v>0.41704168676611569</v>
      </c>
      <c r="V508" s="195">
        <f t="shared" si="60"/>
        <v>0.69485294117647045</v>
      </c>
      <c r="W508">
        <f t="shared" si="55"/>
        <v>44</v>
      </c>
      <c r="X508" s="195">
        <f t="shared" si="61"/>
        <v>0.24448969788747166</v>
      </c>
      <c r="Y508" s="195">
        <f t="shared" si="62"/>
        <v>2.990064951280047E-2</v>
      </c>
      <c r="Z508" s="255" t="str">
        <f>IF(ISNUMBER(SEARCH("C",'WetLitterbags placem_collection'!W435)),"YES","NO")</f>
        <v>NO</v>
      </c>
      <c r="AA508" s="255" t="str">
        <f>IF(ISNUMBER(SEARCH("H", 'WetLitterbags placem_collection'!Y215)),"YES","NO")</f>
        <v>NO</v>
      </c>
      <c r="AB508" s="255" t="str">
        <f>IF(ISNUMBER(SEARCH("R", 'WetLitterbags placem_collection'!WY215)),"YES","NO")</f>
        <v>NO</v>
      </c>
      <c r="AC508" s="255" t="str">
        <f>IF(ISNUMBER(SEARCH("C", 'WetLitterbags placem_collection'!VX215)),"YES","NO")</f>
        <v>NO</v>
      </c>
      <c r="AD508" s="255" t="str">
        <f>IF(ISNUMBER(SEARCH("H", 'WetLitterbags placem_collection'!X215)),"YES","NO")</f>
        <v>NO</v>
      </c>
      <c r="AE508" s="255" t="str">
        <f>IF(ISNUMBER(SEARCH("R", 'WetLitterbags placem_collection'!X215)),"YES","NO")</f>
        <v>YES</v>
      </c>
    </row>
    <row r="509" spans="2:31">
      <c r="B509" t="str">
        <f>'Final data_for_R_analysis_Wetse'!A655</f>
        <v>Wet</v>
      </c>
      <c r="C509" s="263">
        <f>'Final data_for_R_analysis_Wetse'!B655</f>
        <v>213</v>
      </c>
      <c r="D509" t="s">
        <v>2450</v>
      </c>
      <c r="E509" t="s">
        <v>25</v>
      </c>
      <c r="F509" s="387">
        <v>1</v>
      </c>
      <c r="G509" s="16">
        <f>'WetLitterbags placem_collection'!E216</f>
        <v>42769</v>
      </c>
      <c r="H509" s="92" t="str">
        <f>'Final data_for_R_analysis_Wetse'!J655</f>
        <v>G581</v>
      </c>
      <c r="I509" t="str">
        <f>'Final data_for_R_analysis_Wetse'!J875</f>
        <v>R412</v>
      </c>
      <c r="J509">
        <f>IFERROR(INDEX('Green_rooibos initial weight'!$C$5:$C$1749,MATCH(H509, 'Green_rooibos initial weight'!$A$5:$A$1749,0)),"")</f>
        <v>2.0070000000000001</v>
      </c>
      <c r="K509">
        <f>IFERROR(INDEX('Green_rooibos initial weight'!$C$5:$C$1749,MATCH(I509, 'Green_rooibos initial weight'!$A$5:$A$1749,0)),"")</f>
        <v>2.2709999999999999</v>
      </c>
      <c r="L509" s="195">
        <f t="shared" si="56"/>
        <v>1.7572000000000001</v>
      </c>
      <c r="M509" s="195">
        <f>AVERAGE(Ashed_controlls!$K$2:$K$11)</f>
        <v>5.5147656768714146</v>
      </c>
      <c r="N509" s="195">
        <f t="shared" si="54"/>
        <v>2.0211999999999999</v>
      </c>
      <c r="O509" s="16">
        <f>IF('WetLitterbags placem_collection'!G216="N.A","",'WetLitterbags placem_collection'!G216)</f>
        <v>42813</v>
      </c>
      <c r="P509" s="195">
        <f>IF(IFERROR(INDEX('Both teabags AfterWet'!$C$3:$C$841,MATCH(H509,'Both teabags AfterWet'!$A$3:$A$841,0)),"")="N.A","",(IFERROR(INDEX('Both teabags AfterWet'!$C$3:$C$841,MATCH(H509,'Both teabags AfterWet'!$A$3:$A$841,0)),"")))</f>
        <v>0.63400000000000001</v>
      </c>
      <c r="Q509" s="195">
        <f>IFERROR(INDEX('Both teabags AfterWet'!$C$3:$C$841,MATCH(I509,'Both teabags AfterWet'!$A$3:$A$841,0)),"")</f>
        <v>1.4850000000000001</v>
      </c>
      <c r="R509" s="195">
        <f t="shared" si="57"/>
        <v>0.4834</v>
      </c>
      <c r="S509" s="195">
        <f t="shared" si="57"/>
        <v>1.3344</v>
      </c>
      <c r="T509" s="195">
        <f t="shared" si="58"/>
        <v>0.72490325517869336</v>
      </c>
      <c r="U509" s="195">
        <f t="shared" si="59"/>
        <v>0.47523348795562803</v>
      </c>
      <c r="V509" s="195">
        <f t="shared" si="60"/>
        <v>0.66020186028102124</v>
      </c>
      <c r="W509">
        <f t="shared" si="55"/>
        <v>44</v>
      </c>
      <c r="X509" s="195">
        <f t="shared" si="61"/>
        <v>0.1390697681963261</v>
      </c>
      <c r="Y509" s="195">
        <f t="shared" si="62"/>
        <v>2.8529814663242944E-2</v>
      </c>
      <c r="Z509" s="255" t="str">
        <f>IF(ISNUMBER(SEARCH("C",'WetLitterbags placem_collection'!W436)),"YES","NO")</f>
        <v>NO</v>
      </c>
      <c r="AA509" s="255" t="str">
        <f>IF(ISNUMBER(SEARCH("H", 'WetLitterbags placem_collection'!Y216)),"YES","NO")</f>
        <v>NO</v>
      </c>
      <c r="AB509" s="255" t="str">
        <f>IF(ISNUMBER(SEARCH("R", 'WetLitterbags placem_collection'!WY216)),"YES","NO")</f>
        <v>NO</v>
      </c>
      <c r="AC509" s="255" t="str">
        <f>IF(ISNUMBER(SEARCH("C", 'WetLitterbags placem_collection'!VX216)),"YES","NO")</f>
        <v>NO</v>
      </c>
      <c r="AD509" s="255" t="str">
        <f>IF(ISNUMBER(SEARCH("H", 'WetLitterbags placem_collection'!X216)),"YES","NO")</f>
        <v>NO</v>
      </c>
      <c r="AE509" s="255" t="str">
        <f>IF(ISNUMBER(SEARCH("R", 'WetLitterbags placem_collection'!X216)),"YES","NO")</f>
        <v>YES</v>
      </c>
    </row>
    <row r="510" spans="2:31">
      <c r="B510" t="str">
        <f>'Final data_for_R_analysis_Wetse'!A656</f>
        <v>Wet</v>
      </c>
      <c r="C510" s="263">
        <f>'Final data_for_R_analysis_Wetse'!B656</f>
        <v>214</v>
      </c>
      <c r="D510" t="s">
        <v>2443</v>
      </c>
      <c r="E510" t="s">
        <v>25</v>
      </c>
      <c r="F510" s="387">
        <v>2</v>
      </c>
      <c r="G510" s="16">
        <f>'WetLitterbags placem_collection'!E217</f>
        <v>42769</v>
      </c>
      <c r="H510" s="92" t="str">
        <f>'Final data_for_R_analysis_Wetse'!J656</f>
        <v>G718</v>
      </c>
      <c r="I510" t="str">
        <f>'Final data_for_R_analysis_Wetse'!J876</f>
        <v>R434</v>
      </c>
      <c r="J510">
        <f>IFERROR(INDEX('Green_rooibos initial weight'!$C$5:$C$1749,MATCH(H510, 'Green_rooibos initial weight'!$A$5:$A$1749,0)),"")</f>
        <v>2.0369999999999999</v>
      </c>
      <c r="K510">
        <f>IFERROR(INDEX('Green_rooibos initial weight'!$C$5:$C$1749,MATCH(I510, 'Green_rooibos initial weight'!$A$5:$A$1749,0)),"")</f>
        <v>2.0840000000000001</v>
      </c>
      <c r="L510" s="195">
        <f t="shared" si="56"/>
        <v>1.7871999999999999</v>
      </c>
      <c r="M510" s="195">
        <f>AVERAGE(Ashed_controlls!$K$2:$K$11)</f>
        <v>5.5147656768714146</v>
      </c>
      <c r="N510" s="195">
        <f t="shared" si="54"/>
        <v>1.8342000000000001</v>
      </c>
      <c r="O510" s="16">
        <f>IF('WetLitterbags placem_collection'!G217="N.A","",'WetLitterbags placem_collection'!G217)</f>
        <v>42814</v>
      </c>
      <c r="P510" s="195">
        <f>IF(IFERROR(INDEX('Both teabags AfterWet'!$C$3:$C$841,MATCH(H510,'Both teabags AfterWet'!$A$3:$A$841,0)),"")="N.A","",(IFERROR(INDEX('Both teabags AfterWet'!$C$3:$C$841,MATCH(H510,'Both teabags AfterWet'!$A$3:$A$841,0)),"")))</f>
        <v>0.67769999999999997</v>
      </c>
      <c r="Q510" s="195">
        <f>IFERROR(INDEX('Both teabags AfterWet'!$C$3:$C$841,MATCH(I510,'Both teabags AfterWet'!$A$3:$A$841,0)),"")</f>
        <v>1.5467</v>
      </c>
      <c r="R510" s="195">
        <f t="shared" si="57"/>
        <v>0.5270999999999999</v>
      </c>
      <c r="S510" s="195">
        <f t="shared" si="57"/>
        <v>1.3960999999999999</v>
      </c>
      <c r="T510" s="195">
        <f t="shared" si="58"/>
        <v>0.70506938227394811</v>
      </c>
      <c r="U510" s="195">
        <f t="shared" si="59"/>
        <v>0.46223075892543869</v>
      </c>
      <c r="V510" s="195">
        <f t="shared" si="60"/>
        <v>0.76114927488823458</v>
      </c>
      <c r="W510">
        <f t="shared" si="55"/>
        <v>45</v>
      </c>
      <c r="X510" s="195">
        <f t="shared" si="61"/>
        <v>0.16262543672927776</v>
      </c>
      <c r="Y510" s="195">
        <f t="shared" si="62"/>
        <v>1.6159771913157133E-2</v>
      </c>
      <c r="Z510" s="255" t="str">
        <f>IF(ISNUMBER(SEARCH("C",'WetLitterbags placem_collection'!W437)),"YES","NO")</f>
        <v>NO</v>
      </c>
      <c r="AA510" s="255" t="str">
        <f>IF(ISNUMBER(SEARCH("H", 'WetLitterbags placem_collection'!Y217)),"YES","NO")</f>
        <v>NO</v>
      </c>
      <c r="AB510" s="255" t="str">
        <f>IF(ISNUMBER(SEARCH("R", 'WetLitterbags placem_collection'!WY217)),"YES","NO")</f>
        <v>NO</v>
      </c>
      <c r="AC510" s="255" t="str">
        <f>IF(ISNUMBER(SEARCH("C", 'WetLitterbags placem_collection'!VX217)),"YES","NO")</f>
        <v>NO</v>
      </c>
      <c r="AD510" s="255" t="str">
        <f>IF(ISNUMBER(SEARCH("H", 'WetLitterbags placem_collection'!X217)),"YES","NO")</f>
        <v>NO</v>
      </c>
      <c r="AE510" s="255" t="str">
        <f>IF(ISNUMBER(SEARCH("R", 'WetLitterbags placem_collection'!X217)),"YES","NO")</f>
        <v>YES</v>
      </c>
    </row>
    <row r="511" spans="2:31">
      <c r="B511" t="str">
        <f>'Final data_for_R_analysis_Wetse'!A657</f>
        <v>Wet</v>
      </c>
      <c r="C511" s="263">
        <f>'Final data_for_R_analysis_Wetse'!B657</f>
        <v>216</v>
      </c>
      <c r="D511" t="s">
        <v>2436</v>
      </c>
      <c r="E511" t="s">
        <v>25</v>
      </c>
      <c r="F511" s="387">
        <v>4</v>
      </c>
      <c r="G511" s="16">
        <f>'WetLitterbags placem_collection'!E218</f>
        <v>42769</v>
      </c>
      <c r="H511" s="92" t="str">
        <f>'Final data_for_R_analysis_Wetse'!J657</f>
        <v>G613</v>
      </c>
      <c r="I511" t="str">
        <f>'Final data_for_R_analysis_Wetse'!J877</f>
        <v>R457</v>
      </c>
      <c r="J511">
        <f>IFERROR(INDEX('Green_rooibos initial weight'!$C$5:$C$1749,MATCH(H511, 'Green_rooibos initial weight'!$A$5:$A$1749,0)),"")</f>
        <v>2.0339999999999998</v>
      </c>
      <c r="K511">
        <f>IFERROR(INDEX('Green_rooibos initial weight'!$C$5:$C$1749,MATCH(I511, 'Green_rooibos initial weight'!$A$5:$A$1749,0)),"")</f>
        <v>2.2410000000000001</v>
      </c>
      <c r="L511" s="195">
        <f t="shared" si="56"/>
        <v>1.7841999999999998</v>
      </c>
      <c r="M511" s="195">
        <f>AVERAGE(Ashed_controlls!$K$2:$K$11)</f>
        <v>5.5147656768714146</v>
      </c>
      <c r="N511" s="195">
        <f t="shared" si="54"/>
        <v>1.9912000000000001</v>
      </c>
      <c r="O511" s="16">
        <f>IF('WetLitterbags placem_collection'!G218="N.A","",'WetLitterbags placem_collection'!G218)</f>
        <v>42814</v>
      </c>
      <c r="P511" s="195">
        <f>IF(IFERROR(INDEX('Both teabags AfterWet'!$C$3:$C$841,MATCH(H511,'Both teabags AfterWet'!$A$3:$A$841,0)),"")="N.A","",(IFERROR(INDEX('Both teabags AfterWet'!$C$3:$C$841,MATCH(H511,'Both teabags AfterWet'!$A$3:$A$841,0)),"")))</f>
        <v>0.82499999999999996</v>
      </c>
      <c r="Q511" s="195">
        <f>IFERROR(INDEX('Both teabags AfterWet'!$C$3:$C$841,MATCH(I511,'Both teabags AfterWet'!$A$3:$A$841,0)),"")</f>
        <v>1.5940000000000001</v>
      </c>
      <c r="R511" s="195">
        <f t="shared" si="57"/>
        <v>0.67439999999999989</v>
      </c>
      <c r="S511" s="195">
        <f t="shared" si="57"/>
        <v>1.4434</v>
      </c>
      <c r="T511" s="195">
        <f t="shared" si="58"/>
        <v>0.62201546911781191</v>
      </c>
      <c r="U511" s="195">
        <f t="shared" si="59"/>
        <v>0.4077821127708221</v>
      </c>
      <c r="V511" s="195">
        <f t="shared" si="60"/>
        <v>0.72488951386098832</v>
      </c>
      <c r="W511">
        <f t="shared" si="55"/>
        <v>45</v>
      </c>
      <c r="X511" s="195">
        <f t="shared" si="61"/>
        <v>0.26126428845865568</v>
      </c>
      <c r="Y511" s="195">
        <f t="shared" si="62"/>
        <v>2.4952353151991596E-2</v>
      </c>
      <c r="Z511" s="255" t="str">
        <f>IF(ISNUMBER(SEARCH("C",'WetLitterbags placem_collection'!W438)),"YES","NO")</f>
        <v>NO</v>
      </c>
      <c r="AA511" s="255" t="str">
        <f>IF(ISNUMBER(SEARCH("H", 'WetLitterbags placem_collection'!Y218)),"YES","NO")</f>
        <v>NO</v>
      </c>
      <c r="AB511" s="255" t="str">
        <f>IF(ISNUMBER(SEARCH("R", 'WetLitterbags placem_collection'!WY218)),"YES","NO")</f>
        <v>NO</v>
      </c>
      <c r="AC511" s="255" t="str">
        <f>IF(ISNUMBER(SEARCH("C", 'WetLitterbags placem_collection'!VX218)),"YES","NO")</f>
        <v>NO</v>
      </c>
      <c r="AD511" s="255" t="str">
        <f>IF(ISNUMBER(SEARCH("H", 'WetLitterbags placem_collection'!X218)),"YES","NO")</f>
        <v>NO</v>
      </c>
      <c r="AE511" s="255" t="str">
        <f>IF(ISNUMBER(SEARCH("R", 'WetLitterbags placem_collection'!X218)),"YES","NO")</f>
        <v>YES</v>
      </c>
    </row>
    <row r="512" spans="2:31">
      <c r="B512" t="str">
        <f>'Final data_for_R_analysis_Wetse'!A658</f>
        <v>Wet</v>
      </c>
      <c r="C512" s="263">
        <f>'Final data_for_R_analysis_Wetse'!B658</f>
        <v>217</v>
      </c>
      <c r="D512" t="s">
        <v>2429</v>
      </c>
      <c r="E512" t="s">
        <v>25</v>
      </c>
      <c r="F512" s="387">
        <v>1</v>
      </c>
      <c r="G512" s="16">
        <f>'WetLitterbags placem_collection'!E219</f>
        <v>42769</v>
      </c>
      <c r="H512" s="92" t="str">
        <f>'Final data_for_R_analysis_Wetse'!J658</f>
        <v>G804</v>
      </c>
      <c r="I512" t="str">
        <f>'Final data_for_R_analysis_Wetse'!J878</f>
        <v>R410</v>
      </c>
      <c r="J512">
        <f>IFERROR(INDEX('Green_rooibos initial weight'!$C$5:$C$1749,MATCH(H512, 'Green_rooibos initial weight'!$A$5:$A$1749,0)),"")</f>
        <v>2.028</v>
      </c>
      <c r="K512">
        <f>IFERROR(INDEX('Green_rooibos initial weight'!$C$5:$C$1749,MATCH(I512, 'Green_rooibos initial weight'!$A$5:$A$1749,0)),"")</f>
        <v>2.1930000000000001</v>
      </c>
      <c r="L512" s="195">
        <f t="shared" si="56"/>
        <v>1.7782</v>
      </c>
      <c r="M512" s="195">
        <f>AVERAGE(Ashed_controlls!$K$2:$K$11)</f>
        <v>5.5147656768714146</v>
      </c>
      <c r="N512" s="195">
        <f t="shared" si="54"/>
        <v>1.9432</v>
      </c>
      <c r="O512" s="16">
        <f>IF('WetLitterbags placem_collection'!G219="N.A","",'WetLitterbags placem_collection'!G219)</f>
        <v>42814</v>
      </c>
      <c r="P512" s="195">
        <f>IF(IFERROR(INDEX('Both teabags AfterWet'!$C$3:$C$841,MATCH(H512,'Both teabags AfterWet'!$A$3:$A$841,0)),"")="N.A","",(IFERROR(INDEX('Both teabags AfterWet'!$C$3:$C$841,MATCH(H512,'Both teabags AfterWet'!$A$3:$A$841,0)),"")))</f>
        <v>0.66200000000000003</v>
      </c>
      <c r="Q512" s="195">
        <f>IFERROR(INDEX('Both teabags AfterWet'!$C$3:$C$841,MATCH(I512,'Both teabags AfterWet'!$A$3:$A$841,0)),"")</f>
        <v>1.488</v>
      </c>
      <c r="R512" s="195">
        <f t="shared" si="57"/>
        <v>0.51140000000000008</v>
      </c>
      <c r="S512" s="195">
        <f t="shared" si="57"/>
        <v>1.3373999999999999</v>
      </c>
      <c r="T512" s="195">
        <f t="shared" si="58"/>
        <v>0.71240580362163985</v>
      </c>
      <c r="U512" s="195">
        <f t="shared" si="59"/>
        <v>0.46704038432202521</v>
      </c>
      <c r="V512" s="195">
        <f t="shared" si="60"/>
        <v>0.68824619184849722</v>
      </c>
      <c r="W512">
        <f t="shared" si="55"/>
        <v>45</v>
      </c>
      <c r="X512" s="195">
        <f t="shared" si="61"/>
        <v>0.15391234724270797</v>
      </c>
      <c r="Y512" s="195">
        <f t="shared" si="62"/>
        <v>2.4469854258393486E-2</v>
      </c>
      <c r="Z512" s="255" t="str">
        <f>IF(ISNUMBER(SEARCH("C",'WetLitterbags placem_collection'!W439)),"YES","NO")</f>
        <v>NO</v>
      </c>
      <c r="AA512" s="255" t="str">
        <f>IF(ISNUMBER(SEARCH("H", 'WetLitterbags placem_collection'!Y219)),"YES","NO")</f>
        <v>NO</v>
      </c>
      <c r="AB512" s="255" t="str">
        <f>IF(ISNUMBER(SEARCH("R", 'WetLitterbags placem_collection'!WY219)),"YES","NO")</f>
        <v>NO</v>
      </c>
      <c r="AC512" s="255" t="str">
        <f>IF(ISNUMBER(SEARCH("C", 'WetLitterbags placem_collection'!VX219)),"YES","NO")</f>
        <v>NO</v>
      </c>
      <c r="AD512" s="255" t="str">
        <f>IF(ISNUMBER(SEARCH("H", 'WetLitterbags placem_collection'!X219)),"YES","NO")</f>
        <v>NO</v>
      </c>
      <c r="AE512" s="255" t="str">
        <f>IF(ISNUMBER(SEARCH("R", 'WetLitterbags placem_collection'!X219)),"YES","NO")</f>
        <v>YES</v>
      </c>
    </row>
    <row r="513" spans="2:31">
      <c r="B513" t="str">
        <f>'Final data_for_R_analysis_Wetse'!A659</f>
        <v>Wet</v>
      </c>
      <c r="C513" s="263">
        <f>'Final data_for_R_analysis_Wetse'!B659</f>
        <v>218</v>
      </c>
      <c r="D513" t="s">
        <v>2437</v>
      </c>
      <c r="E513" t="s">
        <v>25</v>
      </c>
      <c r="F513" s="387">
        <v>2</v>
      </c>
      <c r="G513" s="16">
        <f>'WetLitterbags placem_collection'!E220</f>
        <v>42769</v>
      </c>
      <c r="H513" s="92" t="str">
        <f>'Final data_for_R_analysis_Wetse'!J659</f>
        <v>G587</v>
      </c>
      <c r="I513" t="str">
        <f>'Final data_for_R_analysis_Wetse'!J879</f>
        <v>R103</v>
      </c>
      <c r="J513">
        <f>IFERROR(INDEX('Green_rooibos initial weight'!$C$5:$C$1749,MATCH(H513, 'Green_rooibos initial weight'!$A$5:$A$1749,0)),"")</f>
        <v>2.0640000000000001</v>
      </c>
      <c r="K513">
        <f>IFERROR(INDEX('Green_rooibos initial weight'!$C$5:$C$1749,MATCH(I513, 'Green_rooibos initial weight'!$A$5:$A$1749,0)),"")</f>
        <v>2.246</v>
      </c>
      <c r="L513" s="195">
        <f t="shared" si="56"/>
        <v>1.8142</v>
      </c>
      <c r="M513" s="195">
        <f>AVERAGE(Ashed_controlls!$K$2:$K$11)</f>
        <v>5.5147656768714146</v>
      </c>
      <c r="N513" s="195">
        <f t="shared" si="54"/>
        <v>1.9962</v>
      </c>
      <c r="O513" s="16">
        <f>IF('WetLitterbags placem_collection'!G220="N.A","",'WetLitterbags placem_collection'!G220)</f>
        <v>42814</v>
      </c>
      <c r="P513" s="195">
        <f>IF(IFERROR(INDEX('Both teabags AfterWet'!$C$3:$C$841,MATCH(H513,'Both teabags AfterWet'!$A$3:$A$841,0)),"")="N.A","",(IFERROR(INDEX('Both teabags AfterWet'!$C$3:$C$841,MATCH(H513,'Both teabags AfterWet'!$A$3:$A$841,0)),"")))</f>
        <v>0.7167</v>
      </c>
      <c r="Q513" s="195">
        <f>IFERROR(INDEX('Both teabags AfterWet'!$C$3:$C$841,MATCH(I513,'Both teabags AfterWet'!$A$3:$A$841,0)),"")</f>
        <v>1.4296</v>
      </c>
      <c r="R513" s="195">
        <f t="shared" si="57"/>
        <v>0.56610000000000005</v>
      </c>
      <c r="S513" s="195">
        <f t="shared" si="57"/>
        <v>1.2789999999999999</v>
      </c>
      <c r="T513" s="195">
        <f t="shared" si="58"/>
        <v>0.68796163598280224</v>
      </c>
      <c r="U513" s="195">
        <f t="shared" si="59"/>
        <v>0.45101522929038823</v>
      </c>
      <c r="V513" s="195">
        <f t="shared" si="60"/>
        <v>0.64071736298968041</v>
      </c>
      <c r="W513">
        <f t="shared" si="55"/>
        <v>45</v>
      </c>
      <c r="X513" s="195">
        <f t="shared" si="61"/>
        <v>0.1829434251985721</v>
      </c>
      <c r="Y513" s="195">
        <f t="shared" si="62"/>
        <v>3.5391630394317704E-2</v>
      </c>
      <c r="Z513" s="255" t="str">
        <f>IF(ISNUMBER(SEARCH("C",'WetLitterbags placem_collection'!W440)),"YES","NO")</f>
        <v>NO</v>
      </c>
      <c r="AA513" s="255" t="str">
        <f>IF(ISNUMBER(SEARCH("H", 'WetLitterbags placem_collection'!Y220)),"YES","NO")</f>
        <v>NO</v>
      </c>
      <c r="AB513" s="255" t="str">
        <f>IF(ISNUMBER(SEARCH("R", 'WetLitterbags placem_collection'!WY220)),"YES","NO")</f>
        <v>NO</v>
      </c>
      <c r="AC513" s="255" t="str">
        <f>IF(ISNUMBER(SEARCH("C", 'WetLitterbags placem_collection'!VX220)),"YES","NO")</f>
        <v>NO</v>
      </c>
      <c r="AD513" s="255" t="str">
        <f>IF(ISNUMBER(SEARCH("H", 'WetLitterbags placem_collection'!X220)),"YES","NO")</f>
        <v>NO</v>
      </c>
      <c r="AE513" s="255" t="str">
        <f>IF(ISNUMBER(SEARCH("R", 'WetLitterbags placem_collection'!X220)),"YES","NO")</f>
        <v>YES</v>
      </c>
    </row>
    <row r="514" spans="2:31">
      <c r="B514" t="str">
        <f>'Final data_for_R_analysis_Wetse'!A660</f>
        <v>Wet</v>
      </c>
      <c r="C514" s="263">
        <f>'Final data_for_R_analysis_Wetse'!B660</f>
        <v>219</v>
      </c>
      <c r="D514" t="s">
        <v>2444</v>
      </c>
      <c r="E514" t="s">
        <v>25</v>
      </c>
      <c r="F514" s="387">
        <v>3</v>
      </c>
      <c r="G514" s="16">
        <f>'WetLitterbags placem_collection'!E221</f>
        <v>42769</v>
      </c>
      <c r="H514" s="92" t="str">
        <f>'Final data_for_R_analysis_Wetse'!J660</f>
        <v>G491</v>
      </c>
      <c r="I514" t="str">
        <f>'Final data_for_R_analysis_Wetse'!J880</f>
        <v>R356</v>
      </c>
      <c r="J514">
        <f>IFERROR(INDEX('Green_rooibos initial weight'!$C$5:$C$1749,MATCH(H514, 'Green_rooibos initial weight'!$A$5:$A$1749,0)),"")</f>
        <v>2.0249999999999999</v>
      </c>
      <c r="K514">
        <f>IFERROR(INDEX('Green_rooibos initial weight'!$C$5:$C$1749,MATCH(I514, 'Green_rooibos initial weight'!$A$5:$A$1749,0)),"")</f>
        <v>2.1619999999999999</v>
      </c>
      <c r="L514" s="195">
        <f t="shared" si="56"/>
        <v>1.7751999999999999</v>
      </c>
      <c r="M514" s="195">
        <f>AVERAGE(Ashed_controlls!$K$2:$K$11)</f>
        <v>5.5147656768714146</v>
      </c>
      <c r="N514" s="195">
        <f t="shared" si="54"/>
        <v>1.9121999999999999</v>
      </c>
      <c r="O514" s="16">
        <f>IF('WetLitterbags placem_collection'!G221="N.A","",'WetLitterbags placem_collection'!G221)</f>
        <v>42813</v>
      </c>
      <c r="P514" s="195">
        <f>IF(IFERROR(INDEX('Both teabags AfterWet'!$C$3:$C$841,MATCH(H514,'Both teabags AfterWet'!$A$3:$A$841,0)),"")="N.A","",(IFERROR(INDEX('Both teabags AfterWet'!$C$3:$C$841,MATCH(H514,'Both teabags AfterWet'!$A$3:$A$841,0)),"")))</f>
        <v>0.65569999999999995</v>
      </c>
      <c r="Q514" s="195">
        <f>IFERROR(INDEX('Both teabags AfterWet'!$C$3:$C$841,MATCH(I514,'Both teabags AfterWet'!$A$3:$A$841,0)),"")</f>
        <v>1.4823</v>
      </c>
      <c r="R514" s="195">
        <f t="shared" si="57"/>
        <v>0.50509999999999988</v>
      </c>
      <c r="S514" s="195">
        <f t="shared" si="57"/>
        <v>1.3316999999999999</v>
      </c>
      <c r="T514" s="195">
        <f t="shared" si="58"/>
        <v>0.71546867958539884</v>
      </c>
      <c r="U514" s="195">
        <f t="shared" si="59"/>
        <v>0.46904835051204297</v>
      </c>
      <c r="V514" s="195">
        <f t="shared" si="60"/>
        <v>0.69642296830875428</v>
      </c>
      <c r="W514">
        <f t="shared" si="55"/>
        <v>44</v>
      </c>
      <c r="X514" s="195">
        <f t="shared" si="61"/>
        <v>0.15027472733325553</v>
      </c>
      <c r="Y514" s="195">
        <f t="shared" si="62"/>
        <v>2.3679726733780458E-2</v>
      </c>
      <c r="Z514" s="255" t="str">
        <f>IF(ISNUMBER(SEARCH("C",'WetLitterbags placem_collection'!W441)),"YES","NO")</f>
        <v>NO</v>
      </c>
      <c r="AA514" s="255" t="str">
        <f>IF(ISNUMBER(SEARCH("H", 'WetLitterbags placem_collection'!Y221)),"YES","NO")</f>
        <v>NO</v>
      </c>
      <c r="AB514" s="255" t="str">
        <f>IF(ISNUMBER(SEARCH("R", 'WetLitterbags placem_collection'!WY221)),"YES","NO")</f>
        <v>NO</v>
      </c>
      <c r="AC514" s="255" t="str">
        <f>IF(ISNUMBER(SEARCH("C", 'WetLitterbags placem_collection'!VX221)),"YES","NO")</f>
        <v>NO</v>
      </c>
      <c r="AD514" s="255" t="str">
        <f>IF(ISNUMBER(SEARCH("H", 'WetLitterbags placem_collection'!X221)),"YES","NO")</f>
        <v>NO</v>
      </c>
      <c r="AE514" s="255" t="str">
        <f>IF(ISNUMBER(SEARCH("R", 'WetLitterbags placem_collection'!X221)),"YES","NO")</f>
        <v>YES</v>
      </c>
    </row>
    <row r="515" spans="2:31">
      <c r="B515" t="str">
        <f>'Final data_for_R_analysis_Wetse'!A661</f>
        <v>Wet</v>
      </c>
      <c r="C515" s="386">
        <f>'Final data_for_R_analysis_Wetse'!B661</f>
        <v>220</v>
      </c>
      <c r="D515" t="s">
        <v>2451</v>
      </c>
      <c r="E515" t="s">
        <v>25</v>
      </c>
      <c r="F515" s="387">
        <v>4</v>
      </c>
      <c r="G515" s="388">
        <f>'WetLitterbags placem_collection'!E222</f>
        <v>42769</v>
      </c>
      <c r="H515" s="92" t="str">
        <f>'Final data_for_R_analysis_Wetse'!J661</f>
        <v>G849</v>
      </c>
      <c r="I515" s="92" t="str">
        <f>'Final data_for_R_analysis_Wetse'!J881</f>
        <v>R319</v>
      </c>
      <c r="J515" s="92">
        <f>IFERROR(INDEX('Green_rooibos initial weight'!$C$5:$C$1749,MATCH(H515, 'Green_rooibos initial weight'!$A$5:$A$1749,0)),"")</f>
        <v>2.1070000000000002</v>
      </c>
      <c r="K515" s="92">
        <f>IFERROR(INDEX('Green_rooibos initial weight'!$C$5:$C$1749,MATCH(I515, 'Green_rooibos initial weight'!$A$5:$A$1749,0)),"")</f>
        <v>2.1709999999999998</v>
      </c>
      <c r="L515" s="195">
        <f t="shared" si="56"/>
        <v>1.8572000000000002</v>
      </c>
      <c r="M515" s="195">
        <f>AVERAGE(Ashed_controlls!$K$2:$K$11)</f>
        <v>5.5147656768714146</v>
      </c>
      <c r="N515" s="195">
        <f t="shared" si="54"/>
        <v>1.9211999999999998</v>
      </c>
      <c r="O515" s="388">
        <f>IF('WetLitterbags placem_collection'!G222="N.A","",'WetLitterbags placem_collection'!G222)</f>
        <v>42813</v>
      </c>
      <c r="P515" s="389">
        <f>IF(IFERROR(INDEX('Both teabags AfterWet'!$C$3:$C$841,MATCH(H515,'Both teabags AfterWet'!$A$3:$A$841,0)),"")="N.A","",(IFERROR(INDEX('Both teabags AfterWet'!$C$3:$C$841,MATCH(H515,'Both teabags AfterWet'!$A$3:$A$841,0)),"")))</f>
        <v>0.65239999999999998</v>
      </c>
      <c r="Q515" s="195">
        <f>IFERROR(INDEX('Both teabags AfterWet'!$C$3:$C$841,MATCH(I515,'Both teabags AfterWet'!$A$3:$A$841,0)),"")</f>
        <v>1.5328999999999999</v>
      </c>
      <c r="R515" s="195">
        <f t="shared" si="57"/>
        <v>0.50180000000000002</v>
      </c>
      <c r="S515" s="195">
        <f t="shared" si="57"/>
        <v>1.3822999999999999</v>
      </c>
      <c r="T515" s="195">
        <f t="shared" si="58"/>
        <v>0.72980831359035103</v>
      </c>
      <c r="U515" s="195">
        <f t="shared" si="59"/>
        <v>0.47844915570293806</v>
      </c>
      <c r="V515" s="195">
        <f t="shared" si="60"/>
        <v>0.71949823027274618</v>
      </c>
      <c r="W515" s="92">
        <f t="shared" si="55"/>
        <v>44</v>
      </c>
      <c r="X515" s="195">
        <f t="shared" si="61"/>
        <v>0.13324428314685144</v>
      </c>
      <c r="Y515" s="195">
        <f t="shared" si="62"/>
        <v>2.0057924536043888E-2</v>
      </c>
      <c r="Z515" s="255" t="str">
        <f>IF(ISNUMBER(SEARCH("C",'WetLitterbags placem_collection'!W442)),"YES","NO")</f>
        <v>NO</v>
      </c>
      <c r="AA515" s="255" t="str">
        <f>IF(ISNUMBER(SEARCH("H", 'WetLitterbags placem_collection'!Y222)),"YES","NO")</f>
        <v>NO</v>
      </c>
      <c r="AB515" s="255" t="str">
        <f>IF(ISNUMBER(SEARCH("R", 'WetLitterbags placem_collection'!WY222)),"YES","NO")</f>
        <v>NO</v>
      </c>
      <c r="AC515" s="255" t="str">
        <f>IF(ISNUMBER(SEARCH("C", 'WetLitterbags placem_collection'!VX222)),"YES","NO")</f>
        <v>NO</v>
      </c>
      <c r="AD515" s="255" t="str">
        <f>IF(ISNUMBER(SEARCH("H", 'WetLitterbags placem_collection'!X222)),"YES","NO")</f>
        <v>NO</v>
      </c>
      <c r="AE515" s="255" t="str">
        <f>IF(ISNUMBER(SEARCH("R", 'WetLitterbags placem_collection'!X222)),"YES","NO")</f>
        <v>YES</v>
      </c>
    </row>
  </sheetData>
  <mergeCells count="51">
    <mergeCell ref="D73:H74"/>
    <mergeCell ref="Z74:AE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T39:T63" xr:uid="{04660C6F-4CB2-4378-84C5-6E134BF8DC38}">
      <formula1>aspect</formula1>
    </dataValidation>
    <dataValidation type="list" allowBlank="1" showInputMessage="1" showErrorMessage="1" sqref="S39:S63" xr:uid="{BB368BA4-6A64-4C0B-B702-BFBD16988D54}">
      <formula1>slope</formula1>
    </dataValidation>
    <dataValidation type="list" allowBlank="1" showInputMessage="1" showErrorMessage="1" sqref="R39:R63" xr:uid="{3C5C2EFD-718C-4A9F-A4EE-45A2C4061667}">
      <formula1>rootingdepth</formula1>
    </dataValidation>
    <dataValidation type="list" allowBlank="1" showInputMessage="1" showErrorMessage="1" sqref="Q39:Q63" xr:uid="{FF40A457-4679-4194-9900-B18BE152914A}">
      <formula1>soildepth</formula1>
    </dataValidation>
    <dataValidation type="list" allowBlank="1" showInputMessage="1" showErrorMessage="1" sqref="O39:O63" xr:uid="{FABCA808-9B30-49A4-B319-FF64C8DB761D}">
      <formula1>ecosystem</formula1>
    </dataValidation>
    <dataValidation type="list" allowBlank="1" showInputMessage="1" showErrorMessage="1" sqref="L39:L63" xr:uid="{8CB0FA61-0B71-4E4F-8F4C-99ECF38B5ADF}">
      <formula1>human_impact</formula1>
    </dataValidation>
    <dataValidation type="list" allowBlank="1" showInputMessage="1" showErrorMessage="1" sqref="K39:K63" xr:uid="{44A305A3-2FAF-4378-9917-D93B3C1AD50B}">
      <formula1>shading</formula1>
    </dataValidation>
  </dataValidations>
  <hyperlinks>
    <hyperlink ref="F16" r:id="rId1" xr:uid="{46BA2912-3B10-41B2-A13C-6F7CF5BBB88A}"/>
    <hyperlink ref="F15" r:id="rId2" xr:uid="{BAA89DE6-AADE-407B-965B-3DE59A67DDBC}"/>
  </hyperlinks>
  <pageMargins left="0.7" right="0.7" top="0.75" bottom="0.75" header="0.3" footer="0.3"/>
  <pageSetup paperSize="9" orientation="portrait" r:id="rId3"/>
  <legacyDrawing r:id="rId4"/>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A73" zoomScale="85" zoomScaleNormal="85" workbookViewId="0">
      <selection activeCell="H76" sqref="H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20" t="s">
        <v>0</v>
      </c>
      <c r="C12" s="421"/>
      <c r="D12" s="421"/>
      <c r="E12" s="421"/>
      <c r="F12" s="308" t="s">
        <v>3804</v>
      </c>
      <c r="G12" s="309"/>
      <c r="H12" s="309"/>
      <c r="I12" s="309"/>
      <c r="K12" s="310"/>
      <c r="L12" s="311"/>
      <c r="M12" s="311"/>
    </row>
    <row r="13" spans="2:13" s="303" customFormat="1">
      <c r="B13" s="418" t="s">
        <v>3805</v>
      </c>
      <c r="C13" s="419"/>
      <c r="D13" s="419"/>
      <c r="E13" s="419"/>
      <c r="F13" s="313" t="s">
        <v>3806</v>
      </c>
      <c r="G13" s="309"/>
      <c r="H13" s="309"/>
      <c r="I13" s="309"/>
      <c r="K13" s="310"/>
      <c r="L13" s="311"/>
      <c r="M13" s="311"/>
    </row>
    <row r="14" spans="2:13" s="303" customFormat="1">
      <c r="B14" s="418" t="s">
        <v>1</v>
      </c>
      <c r="C14" s="419"/>
      <c r="D14" s="419"/>
      <c r="E14" s="419"/>
      <c r="F14" s="314" t="s">
        <v>3807</v>
      </c>
      <c r="G14" s="315"/>
      <c r="H14" s="316"/>
      <c r="I14" s="316"/>
      <c r="J14" s="316"/>
      <c r="K14" s="310"/>
      <c r="L14" s="311"/>
      <c r="M14" s="311"/>
    </row>
    <row r="15" spans="2:13" s="303" customFormat="1">
      <c r="B15" s="418" t="s">
        <v>2</v>
      </c>
      <c r="C15" s="419"/>
      <c r="D15" s="419"/>
      <c r="E15" s="419"/>
      <c r="F15" s="317" t="s">
        <v>3808</v>
      </c>
      <c r="G15" s="318"/>
      <c r="H15" s="319"/>
      <c r="I15" s="319"/>
      <c r="K15" s="310"/>
      <c r="L15" s="311"/>
      <c r="M15" s="311"/>
    </row>
    <row r="16" spans="2:13" s="303" customFormat="1">
      <c r="B16" s="418" t="s">
        <v>3</v>
      </c>
      <c r="C16" s="419"/>
      <c r="D16" s="419"/>
      <c r="E16" s="419"/>
      <c r="F16" s="320" t="s">
        <v>3809</v>
      </c>
      <c r="G16" s="319"/>
      <c r="H16" s="319"/>
      <c r="I16" s="319"/>
      <c r="K16" s="310"/>
      <c r="L16" s="311"/>
      <c r="M16" s="311"/>
    </row>
    <row r="17" spans="2:14" s="303" customFormat="1">
      <c r="B17" s="418" t="s">
        <v>4</v>
      </c>
      <c r="C17" s="419"/>
      <c r="D17" s="419"/>
      <c r="E17" s="419"/>
      <c r="F17" s="321" t="s">
        <v>3810</v>
      </c>
      <c r="G17" s="319"/>
      <c r="H17" s="319"/>
      <c r="I17" s="319"/>
      <c r="K17" s="310"/>
      <c r="L17" s="311"/>
      <c r="M17" s="311"/>
    </row>
    <row r="18" spans="2:14" s="303" customFormat="1">
      <c r="B18" s="418" t="s">
        <v>5</v>
      </c>
      <c r="C18" s="419"/>
      <c r="D18" s="419"/>
      <c r="E18" s="419"/>
      <c r="F18" s="321" t="s">
        <v>3811</v>
      </c>
      <c r="G18" s="319"/>
      <c r="H18" s="319"/>
      <c r="I18" s="319"/>
      <c r="K18" s="310"/>
      <c r="L18" s="311"/>
      <c r="M18" s="311"/>
    </row>
    <row r="19" spans="2:14" s="303" customFormat="1">
      <c r="B19" s="418" t="s">
        <v>6</v>
      </c>
      <c r="C19" s="419"/>
      <c r="D19" s="419"/>
      <c r="E19" s="419"/>
      <c r="F19" s="314" t="s">
        <v>3812</v>
      </c>
      <c r="G19" s="318"/>
      <c r="H19" s="322"/>
      <c r="I19" s="322"/>
      <c r="J19" s="322"/>
      <c r="K19" s="322"/>
      <c r="L19" s="322"/>
      <c r="M19" s="322"/>
      <c r="N19" s="322"/>
    </row>
    <row r="20" spans="2:14" s="303" customFormat="1" ht="15" thickBot="1">
      <c r="B20" s="422" t="s">
        <v>7</v>
      </c>
      <c r="C20" s="423"/>
      <c r="D20" s="423"/>
      <c r="E20" s="423"/>
      <c r="F20" s="323" t="s">
        <v>3813</v>
      </c>
      <c r="G20" s="319"/>
      <c r="H20" s="319"/>
      <c r="I20" s="319"/>
      <c r="K20" s="310"/>
      <c r="L20" s="311"/>
      <c r="M20" s="311"/>
    </row>
    <row r="21" spans="2:14">
      <c r="B21" s="309" t="s">
        <v>3814</v>
      </c>
      <c r="C21" s="309"/>
      <c r="D21" s="309"/>
      <c r="E21" s="309"/>
      <c r="F21" s="319"/>
    </row>
    <row r="23" spans="2:14">
      <c r="B23" s="324" t="s">
        <v>3815</v>
      </c>
      <c r="C23" s="309"/>
      <c r="D23" s="325"/>
      <c r="E23" s="326"/>
      <c r="F23" s="303"/>
      <c r="G23" s="303"/>
      <c r="H23" s="303"/>
      <c r="I23" s="303"/>
    </row>
    <row r="24" spans="2:14" ht="15" thickBot="1">
      <c r="B24" s="324" t="s">
        <v>3816</v>
      </c>
      <c r="C24" s="309"/>
      <c r="D24" s="325"/>
      <c r="E24" s="326"/>
      <c r="F24" s="303" t="s">
        <v>3803</v>
      </c>
      <c r="G24" s="303"/>
      <c r="H24" s="303"/>
      <c r="I24" s="303"/>
    </row>
    <row r="25" spans="2:14">
      <c r="B25" s="420" t="s">
        <v>8</v>
      </c>
      <c r="C25" s="421"/>
      <c r="D25" s="421"/>
      <c r="E25" s="421"/>
      <c r="F25" s="327">
        <v>0.84199999999999997</v>
      </c>
      <c r="G25" s="303"/>
      <c r="H25" s="303"/>
      <c r="I25" s="303"/>
    </row>
    <row r="26" spans="2:14">
      <c r="B26" s="418" t="s">
        <v>9</v>
      </c>
      <c r="C26" s="419"/>
      <c r="D26" s="419"/>
      <c r="E26" s="419"/>
      <c r="F26" s="328">
        <v>0.55200000000000005</v>
      </c>
      <c r="G26" s="303"/>
      <c r="H26" s="303"/>
      <c r="I26" s="303"/>
    </row>
    <row r="27" spans="2:14">
      <c r="B27" s="418" t="s">
        <v>10</v>
      </c>
      <c r="C27" s="419"/>
      <c r="D27" s="419"/>
      <c r="E27" s="419"/>
      <c r="F27" s="329">
        <v>0.12180000000000001</v>
      </c>
      <c r="G27" s="303"/>
      <c r="H27" s="303"/>
      <c r="I27" s="303"/>
    </row>
    <row r="28" spans="2:14">
      <c r="B28" s="418" t="s">
        <v>11</v>
      </c>
      <c r="C28" s="419"/>
      <c r="D28" s="419"/>
      <c r="E28" s="419"/>
      <c r="F28" s="329">
        <v>2.8799999999999999E-2</v>
      </c>
      <c r="G28" s="303"/>
      <c r="H28" s="303"/>
      <c r="I28" s="303"/>
    </row>
    <row r="29" spans="2:14">
      <c r="B29" s="418" t="s">
        <v>12</v>
      </c>
      <c r="C29" s="419"/>
      <c r="D29" s="419"/>
      <c r="E29" s="419"/>
      <c r="F29" s="330">
        <f>F27+F28</f>
        <v>0.15060000000000001</v>
      </c>
      <c r="G29" s="303"/>
      <c r="H29" s="303"/>
      <c r="I29" s="303"/>
    </row>
    <row r="30" spans="2:14">
      <c r="B30" s="418" t="s">
        <v>13</v>
      </c>
      <c r="C30" s="419"/>
      <c r="D30" s="419"/>
      <c r="E30" s="419"/>
      <c r="F30" s="329">
        <v>9.9199999999999997E-2</v>
      </c>
      <c r="G30" s="303"/>
      <c r="H30" s="303"/>
      <c r="I30" s="303"/>
    </row>
    <row r="31" spans="2:14">
      <c r="B31" s="418" t="s">
        <v>14</v>
      </c>
      <c r="C31" s="419"/>
      <c r="D31" s="419"/>
      <c r="E31" s="419"/>
      <c r="F31" s="329">
        <v>1</v>
      </c>
      <c r="G31" s="303" t="s">
        <v>3817</v>
      </c>
      <c r="H31" s="303"/>
      <c r="I31" s="303"/>
    </row>
    <row r="32" spans="2:14" ht="15" thickBot="1">
      <c r="B32" s="422" t="s">
        <v>15</v>
      </c>
      <c r="C32" s="423"/>
      <c r="D32" s="423"/>
      <c r="E32" s="423"/>
      <c r="F32" s="331">
        <v>1</v>
      </c>
      <c r="G32" s="303"/>
      <c r="H32" s="303"/>
      <c r="I32" s="303"/>
    </row>
    <row r="33" spans="1:24">
      <c r="A33" s="303"/>
      <c r="B33" s="309"/>
      <c r="C33" s="309"/>
      <c r="D33" s="309"/>
      <c r="E33" s="309"/>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0" t="s">
        <v>3821</v>
      </c>
      <c r="C37" s="431"/>
      <c r="D37" s="431"/>
      <c r="E37" s="432" t="s">
        <v>17</v>
      </c>
      <c r="F37" s="433"/>
      <c r="G37" s="334" t="s">
        <v>3822</v>
      </c>
      <c r="H37" s="335"/>
      <c r="I37" s="335"/>
      <c r="J37" s="336"/>
      <c r="K37" s="425" t="s">
        <v>3823</v>
      </c>
      <c r="L37" s="426"/>
      <c r="M37" s="426"/>
      <c r="N37" s="426"/>
      <c r="O37" s="426"/>
      <c r="P37" s="426"/>
      <c r="Q37" s="426"/>
      <c r="R37" s="427"/>
    </row>
    <row r="38" spans="1:24" ht="15" thickBot="1">
      <c r="A38" s="319"/>
      <c r="B38" s="428" t="s">
        <v>16</v>
      </c>
      <c r="C38" s="429"/>
      <c r="D38" s="429"/>
      <c r="E38" s="337" t="s">
        <v>18</v>
      </c>
      <c r="F38" s="338" t="s">
        <v>212</v>
      </c>
      <c r="G38" s="339" t="s">
        <v>2677</v>
      </c>
      <c r="H38" s="340" t="s">
        <v>2678</v>
      </c>
      <c r="I38" s="340" t="s">
        <v>2679</v>
      </c>
      <c r="J38" s="340" t="s">
        <v>2680</v>
      </c>
      <c r="K38" s="334" t="s">
        <v>204</v>
      </c>
      <c r="L38" s="336" t="s">
        <v>203</v>
      </c>
      <c r="M38" s="336"/>
      <c r="N38" s="336" t="s">
        <v>205</v>
      </c>
      <c r="O38" s="421" t="s">
        <v>216</v>
      </c>
      <c r="P38" s="421"/>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53">
        <v>-3.3978290019999999</v>
      </c>
      <c r="F40" s="354">
        <v>34.837011969999999</v>
      </c>
      <c r="G40" s="355">
        <v>21.13063730679653</v>
      </c>
      <c r="H40" s="356">
        <v>3.0912555579081076</v>
      </c>
      <c r="I40" s="356">
        <v>75.778107135295357</v>
      </c>
      <c r="J40" s="357">
        <v>0.46131099063578063</v>
      </c>
      <c r="K40" s="353" t="s">
        <v>229</v>
      </c>
      <c r="L40" s="424" t="s">
        <v>257</v>
      </c>
      <c r="M40" s="424"/>
      <c r="N40" s="358" t="s">
        <v>2670</v>
      </c>
      <c r="O40" s="358" t="s">
        <v>3826</v>
      </c>
      <c r="P40" s="358"/>
      <c r="Q40" s="358" t="s">
        <v>247</v>
      </c>
      <c r="R40" s="358" t="s">
        <v>247</v>
      </c>
      <c r="S40" s="358" t="s">
        <v>234</v>
      </c>
      <c r="T40" s="313" t="s">
        <v>3827</v>
      </c>
    </row>
    <row r="41" spans="1:24">
      <c r="A41" s="319"/>
      <c r="B41" s="350" t="s">
        <v>3829</v>
      </c>
      <c r="C41" s="351"/>
      <c r="D41" s="352" t="s">
        <v>3825</v>
      </c>
      <c r="E41" s="353">
        <v>-3.3854090330000002</v>
      </c>
      <c r="F41" s="354">
        <v>34.818901029999999</v>
      </c>
      <c r="G41" s="355">
        <v>54.080969906906262</v>
      </c>
      <c r="H41" s="356">
        <v>21.264484651351896</v>
      </c>
      <c r="I41" s="356">
        <v>24.654545441741845</v>
      </c>
      <c r="J41" s="357">
        <v>1.8433218334154755</v>
      </c>
      <c r="K41" s="353" t="s">
        <v>229</v>
      </c>
      <c r="L41" s="424" t="s">
        <v>257</v>
      </c>
      <c r="M41" s="424"/>
      <c r="N41" s="358" t="s">
        <v>2673</v>
      </c>
      <c r="O41" s="358" t="s">
        <v>3826</v>
      </c>
      <c r="P41" s="358"/>
      <c r="Q41" s="358" t="s">
        <v>247</v>
      </c>
      <c r="R41" s="358" t="s">
        <v>247</v>
      </c>
      <c r="S41" s="358" t="s">
        <v>234</v>
      </c>
      <c r="T41" s="313" t="s">
        <v>3827</v>
      </c>
    </row>
    <row r="42" spans="1:24">
      <c r="A42" s="319"/>
      <c r="B42" s="350" t="s">
        <v>3830</v>
      </c>
      <c r="C42" s="351"/>
      <c r="D42" s="352" t="s">
        <v>3825</v>
      </c>
      <c r="E42" s="353">
        <v>-3.3849129919999998</v>
      </c>
      <c r="F42" s="354">
        <v>34.818899020000003</v>
      </c>
      <c r="G42" s="355">
        <v>51.960000000000008</v>
      </c>
      <c r="H42" s="356">
        <v>18.919999999999995</v>
      </c>
      <c r="I42" s="356">
        <v>29.120000000000005</v>
      </c>
      <c r="J42" s="357">
        <v>1.85293247905372</v>
      </c>
      <c r="K42" s="353" t="s">
        <v>229</v>
      </c>
      <c r="L42" s="424" t="s">
        <v>257</v>
      </c>
      <c r="M42" s="424"/>
      <c r="N42" s="358" t="s">
        <v>2673</v>
      </c>
      <c r="O42" s="358" t="s">
        <v>3826</v>
      </c>
      <c r="P42" s="358"/>
      <c r="Q42" s="358" t="s">
        <v>247</v>
      </c>
      <c r="R42" s="358" t="s">
        <v>247</v>
      </c>
      <c r="S42" s="358" t="s">
        <v>234</v>
      </c>
      <c r="T42" s="313" t="s">
        <v>3827</v>
      </c>
    </row>
    <row r="43" spans="1:24">
      <c r="A43" s="319"/>
      <c r="B43" s="350" t="s">
        <v>3831</v>
      </c>
      <c r="C43" s="351"/>
      <c r="D43" s="352" t="s">
        <v>3832</v>
      </c>
      <c r="E43" s="353">
        <v>-3.4092039989999998</v>
      </c>
      <c r="F43" s="354">
        <v>34.852751009999999</v>
      </c>
      <c r="G43" s="355">
        <v>23.96</v>
      </c>
      <c r="H43" s="356">
        <v>0.91999999999999804</v>
      </c>
      <c r="I43" s="356">
        <v>75.12</v>
      </c>
      <c r="J43" s="357">
        <v>1.2493839329719072</v>
      </c>
      <c r="K43" s="353" t="s">
        <v>229</v>
      </c>
      <c r="L43" s="424" t="s">
        <v>244</v>
      </c>
      <c r="M43" s="424"/>
      <c r="N43" s="358" t="s">
        <v>2670</v>
      </c>
      <c r="O43" s="358" t="s">
        <v>3826</v>
      </c>
      <c r="P43" s="358"/>
      <c r="Q43" s="358" t="s">
        <v>247</v>
      </c>
      <c r="R43" s="358" t="s">
        <v>247</v>
      </c>
      <c r="S43" s="358" t="s">
        <v>234</v>
      </c>
      <c r="T43" s="313" t="s">
        <v>3827</v>
      </c>
    </row>
    <row r="44" spans="1:24">
      <c r="A44" s="319"/>
      <c r="B44" s="350" t="s">
        <v>3833</v>
      </c>
      <c r="C44" s="351"/>
      <c r="D44" s="352" t="s">
        <v>3832</v>
      </c>
      <c r="E44" s="353">
        <v>-3.4083420040000001</v>
      </c>
      <c r="F44" s="354">
        <v>34.850283040000001</v>
      </c>
      <c r="G44" s="355">
        <v>19.96</v>
      </c>
      <c r="H44" s="356">
        <v>4.9199999999999982</v>
      </c>
      <c r="I44" s="356">
        <v>75.12</v>
      </c>
      <c r="J44" s="357">
        <v>1.641498275012321</v>
      </c>
      <c r="K44" s="353" t="s">
        <v>229</v>
      </c>
      <c r="L44" s="424" t="s">
        <v>244</v>
      </c>
      <c r="M44" s="424"/>
      <c r="N44" s="358" t="s">
        <v>2671</v>
      </c>
      <c r="O44" s="358" t="s">
        <v>3826</v>
      </c>
      <c r="P44" s="358"/>
      <c r="Q44" s="358" t="s">
        <v>247</v>
      </c>
      <c r="R44" s="358" t="s">
        <v>247</v>
      </c>
      <c r="S44" s="358" t="s">
        <v>234</v>
      </c>
      <c r="T44" s="313" t="s">
        <v>3827</v>
      </c>
    </row>
    <row r="45" spans="1:24">
      <c r="A45" s="319"/>
      <c r="B45" s="350" t="s">
        <v>3834</v>
      </c>
      <c r="C45" s="351"/>
      <c r="D45" s="352" t="s">
        <v>3832</v>
      </c>
      <c r="E45" s="353">
        <v>-3.406225992</v>
      </c>
      <c r="F45" s="354">
        <v>34.85055998</v>
      </c>
      <c r="G45" s="355">
        <v>21.96</v>
      </c>
      <c r="H45" s="356">
        <v>8.9199999999999982</v>
      </c>
      <c r="I45" s="356">
        <v>69.12</v>
      </c>
      <c r="J45" s="357">
        <v>1.7491375061606702</v>
      </c>
      <c r="K45" s="353" t="s">
        <v>229</v>
      </c>
      <c r="L45" s="424" t="s">
        <v>244</v>
      </c>
      <c r="M45" s="424"/>
      <c r="N45" s="358" t="s">
        <v>2670</v>
      </c>
      <c r="O45" s="358" t="s">
        <v>3826</v>
      </c>
      <c r="P45" s="358"/>
      <c r="Q45" s="358" t="s">
        <v>247</v>
      </c>
      <c r="R45" s="358" t="s">
        <v>247</v>
      </c>
      <c r="S45" s="358" t="s">
        <v>234</v>
      </c>
      <c r="T45" s="313" t="s">
        <v>3827</v>
      </c>
    </row>
    <row r="46" spans="1:24">
      <c r="A46" s="319"/>
      <c r="B46" s="350" t="s">
        <v>3835</v>
      </c>
      <c r="C46" s="351"/>
      <c r="D46" s="352" t="s">
        <v>3832</v>
      </c>
      <c r="E46" s="353">
        <v>-3.4064239729999999</v>
      </c>
      <c r="F46" s="354">
        <v>34.851213010000002</v>
      </c>
      <c r="G46" s="355">
        <v>25.96</v>
      </c>
      <c r="H46" s="356">
        <v>6.9200000000000008</v>
      </c>
      <c r="I46" s="356">
        <v>67.12</v>
      </c>
      <c r="J46" s="357">
        <v>1.7568260226712666</v>
      </c>
      <c r="K46" s="353" t="s">
        <v>229</v>
      </c>
      <c r="L46" s="424" t="s">
        <v>244</v>
      </c>
      <c r="M46" s="424"/>
      <c r="N46" s="358" t="s">
        <v>2670</v>
      </c>
      <c r="O46" s="358" t="s">
        <v>3826</v>
      </c>
      <c r="P46" s="358"/>
      <c r="Q46" s="358" t="s">
        <v>247</v>
      </c>
      <c r="R46" s="358" t="s">
        <v>247</v>
      </c>
      <c r="S46" s="358" t="s">
        <v>234</v>
      </c>
      <c r="T46" s="313" t="s">
        <v>3827</v>
      </c>
    </row>
    <row r="47" spans="1:24">
      <c r="A47" s="319"/>
      <c r="B47" s="350" t="s">
        <v>3836</v>
      </c>
      <c r="C47" s="351"/>
      <c r="D47" s="352" t="s">
        <v>3837</v>
      </c>
      <c r="E47" s="353">
        <v>-3.2993960379999998</v>
      </c>
      <c r="F47" s="354">
        <v>34.848240959999998</v>
      </c>
      <c r="G47" s="355">
        <v>47.96</v>
      </c>
      <c r="H47" s="356">
        <v>22.919999999999995</v>
      </c>
      <c r="I47" s="356">
        <v>29.120000000000012</v>
      </c>
      <c r="J47" s="357">
        <v>2.8831936914736325</v>
      </c>
      <c r="K47" s="353" t="s">
        <v>229</v>
      </c>
      <c r="L47" s="424" t="s">
        <v>230</v>
      </c>
      <c r="M47" s="424"/>
      <c r="N47" s="358" t="s">
        <v>2673</v>
      </c>
      <c r="O47" s="358" t="s">
        <v>3826</v>
      </c>
      <c r="P47" s="358"/>
      <c r="Q47" s="358" t="s">
        <v>247</v>
      </c>
      <c r="R47" s="358" t="s">
        <v>247</v>
      </c>
      <c r="S47" s="358" t="s">
        <v>234</v>
      </c>
      <c r="T47" s="313" t="s">
        <v>3827</v>
      </c>
    </row>
    <row r="48" spans="1:24">
      <c r="A48" s="319"/>
      <c r="B48" s="350" t="s">
        <v>3838</v>
      </c>
      <c r="C48" s="351"/>
      <c r="D48" s="352" t="s">
        <v>3837</v>
      </c>
      <c r="E48" s="353">
        <v>-3.3025860229999999</v>
      </c>
      <c r="F48" s="354">
        <v>34.848048009999999</v>
      </c>
      <c r="G48" s="355">
        <v>45.272914521112256</v>
      </c>
      <c r="H48" s="356">
        <v>23.604531410916575</v>
      </c>
      <c r="I48" s="356">
        <v>31.122554067971166</v>
      </c>
      <c r="J48" s="357">
        <v>2.0547560374568752</v>
      </c>
      <c r="K48" s="353" t="s">
        <v>229</v>
      </c>
      <c r="L48" s="424" t="s">
        <v>230</v>
      </c>
      <c r="M48" s="424"/>
      <c r="N48" s="358" t="s">
        <v>2673</v>
      </c>
      <c r="O48" s="358" t="s">
        <v>3826</v>
      </c>
      <c r="P48" s="358"/>
      <c r="Q48" s="358" t="s">
        <v>247</v>
      </c>
      <c r="R48" s="358" t="s">
        <v>247</v>
      </c>
      <c r="S48" s="358" t="s">
        <v>234</v>
      </c>
      <c r="T48" s="313" t="s">
        <v>3827</v>
      </c>
    </row>
    <row r="49" spans="1:20">
      <c r="A49" s="319"/>
      <c r="B49" s="350" t="s">
        <v>3839</v>
      </c>
      <c r="C49" s="351"/>
      <c r="D49" s="352" t="s">
        <v>3837</v>
      </c>
      <c r="E49" s="353">
        <v>-3.2957159630000001</v>
      </c>
      <c r="F49" s="354">
        <v>34.852460999999998</v>
      </c>
      <c r="G49" s="355">
        <v>38.691629007962128</v>
      </c>
      <c r="H49" s="356">
        <v>26.81299763288143</v>
      </c>
      <c r="I49" s="356">
        <v>34.495373359156439</v>
      </c>
      <c r="J49" s="357">
        <v>2.5483587974371611</v>
      </c>
      <c r="K49" s="353" t="s">
        <v>229</v>
      </c>
      <c r="L49" s="424" t="s">
        <v>230</v>
      </c>
      <c r="M49" s="424"/>
      <c r="N49" s="358" t="s">
        <v>2675</v>
      </c>
      <c r="O49" s="358" t="s">
        <v>3826</v>
      </c>
      <c r="P49" s="358"/>
      <c r="Q49" s="358" t="s">
        <v>247</v>
      </c>
      <c r="R49" s="358" t="s">
        <v>247</v>
      </c>
      <c r="S49" s="358" t="s">
        <v>234</v>
      </c>
      <c r="T49" s="313" t="s">
        <v>3827</v>
      </c>
    </row>
    <row r="50" spans="1:20">
      <c r="A50" s="319"/>
      <c r="B50" s="350" t="s">
        <v>3840</v>
      </c>
      <c r="C50" s="351"/>
      <c r="D50" s="352" t="s">
        <v>3837</v>
      </c>
      <c r="E50" s="353">
        <v>-3.2966709980000002</v>
      </c>
      <c r="F50" s="354">
        <v>34.854407019999996</v>
      </c>
      <c r="G50" s="355">
        <v>28.145762029394</v>
      </c>
      <c r="H50" s="356">
        <v>25.085564727199518</v>
      </c>
      <c r="I50" s="356">
        <v>46.768673243406489</v>
      </c>
      <c r="J50" s="357">
        <v>2.1716214884179394</v>
      </c>
      <c r="K50" s="353" t="s">
        <v>229</v>
      </c>
      <c r="L50" s="424" t="s">
        <v>230</v>
      </c>
      <c r="M50" s="424"/>
      <c r="N50" s="358" t="s">
        <v>2670</v>
      </c>
      <c r="O50" s="358" t="s">
        <v>3826</v>
      </c>
      <c r="P50" s="358"/>
      <c r="Q50" s="358" t="s">
        <v>247</v>
      </c>
      <c r="R50" s="358" t="s">
        <v>247</v>
      </c>
      <c r="S50" s="358" t="s">
        <v>234</v>
      </c>
      <c r="T50" s="313" t="s">
        <v>3827</v>
      </c>
    </row>
    <row r="51" spans="1:20">
      <c r="A51" s="303"/>
      <c r="B51" s="350" t="s">
        <v>3841</v>
      </c>
      <c r="C51" s="351"/>
      <c r="D51" s="352" t="s">
        <v>3842</v>
      </c>
      <c r="E51" s="353">
        <v>-2.3691620310000001</v>
      </c>
      <c r="F51" s="354">
        <v>34.06028104</v>
      </c>
      <c r="G51" s="355">
        <v>45.96</v>
      </c>
      <c r="H51" s="356">
        <v>14.920000000000003</v>
      </c>
      <c r="I51" s="356">
        <v>39.119999999999997</v>
      </c>
      <c r="J51" s="357">
        <v>2.0374568753080333</v>
      </c>
      <c r="K51" s="353" t="s">
        <v>229</v>
      </c>
      <c r="L51" s="424" t="s">
        <v>257</v>
      </c>
      <c r="M51" s="424"/>
      <c r="N51" s="358" t="s">
        <v>2673</v>
      </c>
      <c r="O51" s="358" t="s">
        <v>3826</v>
      </c>
      <c r="P51" s="358"/>
      <c r="Q51" s="358" t="s">
        <v>247</v>
      </c>
      <c r="R51" s="358" t="s">
        <v>247</v>
      </c>
      <c r="S51" s="358" t="s">
        <v>234</v>
      </c>
      <c r="T51" s="313" t="s">
        <v>3827</v>
      </c>
    </row>
    <row r="52" spans="1:20">
      <c r="A52" s="303"/>
      <c r="B52" s="350" t="s">
        <v>3843</v>
      </c>
      <c r="C52" s="351"/>
      <c r="D52" s="352" t="s">
        <v>3842</v>
      </c>
      <c r="E52" s="353">
        <v>-2.3698080240000001</v>
      </c>
      <c r="F52" s="354">
        <v>34.059671010000002</v>
      </c>
      <c r="G52" s="355">
        <v>34.344660194174757</v>
      </c>
      <c r="H52" s="356">
        <v>19.22727272727273</v>
      </c>
      <c r="I52" s="356">
        <v>46.428067078552509</v>
      </c>
      <c r="J52" s="357">
        <v>1.7452932479053718</v>
      </c>
      <c r="K52" s="353" t="s">
        <v>229</v>
      </c>
      <c r="L52" s="424" t="s">
        <v>257</v>
      </c>
      <c r="M52" s="424"/>
      <c r="N52" s="358" t="s">
        <v>2670</v>
      </c>
      <c r="O52" s="358" t="s">
        <v>3826</v>
      </c>
      <c r="P52" s="358"/>
      <c r="Q52" s="358" t="s">
        <v>247</v>
      </c>
      <c r="R52" s="358" t="s">
        <v>247</v>
      </c>
      <c r="S52" s="358" t="s">
        <v>234</v>
      </c>
      <c r="T52" s="313" t="s">
        <v>3827</v>
      </c>
    </row>
    <row r="53" spans="1:20">
      <c r="A53" s="303"/>
      <c r="B53" s="350" t="s">
        <v>3844</v>
      </c>
      <c r="C53" s="351"/>
      <c r="D53" s="352" t="s">
        <v>3842</v>
      </c>
      <c r="E53" s="353">
        <v>-2.3487199940000001</v>
      </c>
      <c r="F53" s="354">
        <v>34.051391029999998</v>
      </c>
      <c r="G53" s="355">
        <v>27.96</v>
      </c>
      <c r="H53" s="356">
        <v>4.9200000000000017</v>
      </c>
      <c r="I53" s="356">
        <v>67.12</v>
      </c>
      <c r="J53" s="357">
        <v>0.88610152784622953</v>
      </c>
      <c r="K53" s="353" t="s">
        <v>229</v>
      </c>
      <c r="L53" s="424" t="s">
        <v>257</v>
      </c>
      <c r="M53" s="424"/>
      <c r="N53" s="358" t="s">
        <v>2670</v>
      </c>
      <c r="O53" s="358" t="s">
        <v>3826</v>
      </c>
      <c r="P53" s="358"/>
      <c r="Q53" s="358" t="s">
        <v>247</v>
      </c>
      <c r="R53" s="358" t="s">
        <v>247</v>
      </c>
      <c r="S53" s="358" t="s">
        <v>234</v>
      </c>
      <c r="T53" s="313" t="s">
        <v>3827</v>
      </c>
    </row>
    <row r="54" spans="1:20">
      <c r="A54" s="303"/>
      <c r="B54" s="350" t="s">
        <v>3845</v>
      </c>
      <c r="C54" s="351"/>
      <c r="D54" s="352" t="s">
        <v>3842</v>
      </c>
      <c r="E54" s="353">
        <v>-2.3492639789999998</v>
      </c>
      <c r="F54" s="354">
        <v>34.051464029999998</v>
      </c>
      <c r="G54" s="355">
        <v>17.96</v>
      </c>
      <c r="H54" s="356">
        <v>4.9199999999999982</v>
      </c>
      <c r="I54" s="356">
        <v>77.12</v>
      </c>
      <c r="J54" s="357">
        <v>2.0220798422868409</v>
      </c>
      <c r="K54" s="353" t="s">
        <v>229</v>
      </c>
      <c r="L54" s="424" t="s">
        <v>257</v>
      </c>
      <c r="M54" s="424"/>
      <c r="N54" s="358" t="s">
        <v>2671</v>
      </c>
      <c r="O54" s="358" t="s">
        <v>3826</v>
      </c>
      <c r="P54" s="358"/>
      <c r="Q54" s="358" t="s">
        <v>247</v>
      </c>
      <c r="R54" s="358" t="s">
        <v>247</v>
      </c>
      <c r="S54" s="358" t="s">
        <v>234</v>
      </c>
      <c r="T54" s="313" t="s">
        <v>3827</v>
      </c>
    </row>
    <row r="55" spans="1:20">
      <c r="B55" s="350" t="s">
        <v>3846</v>
      </c>
      <c r="C55" s="351"/>
      <c r="D55" s="352" t="s">
        <v>3847</v>
      </c>
      <c r="E55" s="353">
        <v>-2.3503360249999998</v>
      </c>
      <c r="F55" s="354">
        <v>34.049662009999999</v>
      </c>
      <c r="G55" s="355">
        <v>31.214836424255054</v>
      </c>
      <c r="H55" s="356">
        <v>11.377370285476141</v>
      </c>
      <c r="I55" s="356">
        <v>57.407793290268799</v>
      </c>
      <c r="J55" s="357">
        <v>1.7337604731394776</v>
      </c>
      <c r="K55" s="353" t="s">
        <v>229</v>
      </c>
      <c r="L55" s="424" t="s">
        <v>244</v>
      </c>
      <c r="M55" s="424"/>
      <c r="N55" s="358" t="s">
        <v>2670</v>
      </c>
      <c r="O55" s="358" t="s">
        <v>3826</v>
      </c>
      <c r="P55" s="358"/>
      <c r="Q55" s="358" t="s">
        <v>247</v>
      </c>
      <c r="R55" s="358" t="s">
        <v>247</v>
      </c>
      <c r="S55" s="358" t="s">
        <v>234</v>
      </c>
      <c r="T55" s="313" t="s">
        <v>3827</v>
      </c>
    </row>
    <row r="56" spans="1:20">
      <c r="B56" s="350" t="s">
        <v>3848</v>
      </c>
      <c r="C56" s="351"/>
      <c r="D56" s="352" t="s">
        <v>3847</v>
      </c>
      <c r="E56" s="353">
        <v>-2.348596025</v>
      </c>
      <c r="F56" s="354">
        <v>34.050070959999999</v>
      </c>
      <c r="G56" s="355">
        <v>33.96</v>
      </c>
      <c r="H56" s="356">
        <v>8.9200000000000017</v>
      </c>
      <c r="I56" s="356">
        <v>57.12</v>
      </c>
      <c r="J56" s="357">
        <v>2.072055199605717</v>
      </c>
      <c r="K56" s="353" t="s">
        <v>229</v>
      </c>
      <c r="L56" s="424" t="s">
        <v>244</v>
      </c>
      <c r="M56" s="424"/>
      <c r="N56" s="358" t="s">
        <v>2670</v>
      </c>
      <c r="O56" s="358" t="s">
        <v>3826</v>
      </c>
      <c r="P56" s="358"/>
      <c r="Q56" s="358" t="s">
        <v>247</v>
      </c>
      <c r="R56" s="358" t="s">
        <v>247</v>
      </c>
      <c r="S56" s="358" t="s">
        <v>234</v>
      </c>
      <c r="T56" s="313" t="s">
        <v>3827</v>
      </c>
    </row>
    <row r="57" spans="1:20">
      <c r="B57" s="350" t="s">
        <v>3849</v>
      </c>
      <c r="C57" s="351"/>
      <c r="D57" s="352" t="s">
        <v>3847</v>
      </c>
      <c r="E57" s="353">
        <v>-2.3675269729999999</v>
      </c>
      <c r="F57" s="354">
        <v>34.06035799</v>
      </c>
      <c r="G57" s="355">
        <v>39.96</v>
      </c>
      <c r="H57" s="356">
        <v>12.920000000000002</v>
      </c>
      <c r="I57" s="356">
        <v>47.12</v>
      </c>
      <c r="J57" s="357">
        <v>1.6549531789058647</v>
      </c>
      <c r="K57" s="353" t="s">
        <v>229</v>
      </c>
      <c r="L57" s="424" t="s">
        <v>244</v>
      </c>
      <c r="M57" s="424"/>
      <c r="N57" s="358" t="s">
        <v>2674</v>
      </c>
      <c r="O57" s="358" t="s">
        <v>3826</v>
      </c>
      <c r="P57" s="358"/>
      <c r="Q57" s="358" t="s">
        <v>247</v>
      </c>
      <c r="R57" s="358" t="s">
        <v>247</v>
      </c>
      <c r="S57" s="358" t="s">
        <v>234</v>
      </c>
      <c r="T57" s="313" t="s">
        <v>3827</v>
      </c>
    </row>
    <row r="58" spans="1:20">
      <c r="B58" s="350" t="s">
        <v>3850</v>
      </c>
      <c r="C58" s="351"/>
      <c r="D58" s="352" t="s">
        <v>3847</v>
      </c>
      <c r="E58" s="353">
        <v>-2.3676780150000001</v>
      </c>
      <c r="F58" s="354">
        <v>34.05937797</v>
      </c>
      <c r="G58" s="355">
        <v>27.96</v>
      </c>
      <c r="H58" s="356">
        <v>4.9200000000000017</v>
      </c>
      <c r="I58" s="356">
        <v>67.12</v>
      </c>
      <c r="J58" s="357">
        <v>1.0437161163134547</v>
      </c>
      <c r="K58" s="353" t="s">
        <v>229</v>
      </c>
      <c r="L58" s="424" t="s">
        <v>244</v>
      </c>
      <c r="M58" s="424"/>
      <c r="N58" s="358" t="s">
        <v>2670</v>
      </c>
      <c r="O58" s="358" t="s">
        <v>3826</v>
      </c>
      <c r="P58" s="358"/>
      <c r="Q58" s="358" t="s">
        <v>247</v>
      </c>
      <c r="R58" s="358" t="s">
        <v>247</v>
      </c>
      <c r="S58" s="358" t="s">
        <v>234</v>
      </c>
      <c r="T58" s="313" t="s">
        <v>3827</v>
      </c>
    </row>
    <row r="59" spans="1:20">
      <c r="B59" s="350" t="s">
        <v>3851</v>
      </c>
      <c r="C59" s="351"/>
      <c r="D59" s="352" t="s">
        <v>3852</v>
      </c>
      <c r="E59" s="353">
        <v>-2.272751033</v>
      </c>
      <c r="F59" s="354">
        <v>34.023176030000002</v>
      </c>
      <c r="G59" s="355">
        <v>21.96</v>
      </c>
      <c r="H59" s="356">
        <v>4.9199999999999982</v>
      </c>
      <c r="I59" s="356">
        <v>73.12</v>
      </c>
      <c r="J59" s="357">
        <v>1.2416954164613114</v>
      </c>
      <c r="K59" s="353" t="s">
        <v>229</v>
      </c>
      <c r="L59" s="424" t="s">
        <v>230</v>
      </c>
      <c r="M59" s="424"/>
      <c r="N59" s="358" t="s">
        <v>2670</v>
      </c>
      <c r="O59" s="358" t="s">
        <v>3826</v>
      </c>
      <c r="P59" s="358"/>
      <c r="Q59" s="358" t="s">
        <v>247</v>
      </c>
      <c r="R59" s="358" t="s">
        <v>247</v>
      </c>
      <c r="S59" s="358" t="s">
        <v>234</v>
      </c>
      <c r="T59" s="313" t="s">
        <v>3827</v>
      </c>
    </row>
    <row r="60" spans="1:20">
      <c r="B60" s="350" t="s">
        <v>3853</v>
      </c>
      <c r="C60" s="351"/>
      <c r="D60" s="352" t="s">
        <v>3852</v>
      </c>
      <c r="E60" s="353">
        <v>-2.2784290180000002</v>
      </c>
      <c r="F60" s="354">
        <v>34.024240030000001</v>
      </c>
      <c r="G60" s="355">
        <v>23.96</v>
      </c>
      <c r="H60" s="356">
        <v>4.9199999999999982</v>
      </c>
      <c r="I60" s="356">
        <v>71.12</v>
      </c>
      <c r="J60" s="357">
        <v>3.30913750616067</v>
      </c>
      <c r="K60" s="353" t="s">
        <v>229</v>
      </c>
      <c r="L60" s="424" t="s">
        <v>230</v>
      </c>
      <c r="M60" s="424"/>
      <c r="N60" s="358" t="s">
        <v>2670</v>
      </c>
      <c r="O60" s="358" t="s">
        <v>3826</v>
      </c>
      <c r="P60" s="358"/>
      <c r="Q60" s="358" t="s">
        <v>247</v>
      </c>
      <c r="R60" s="358" t="s">
        <v>247</v>
      </c>
      <c r="S60" s="358" t="s">
        <v>234</v>
      </c>
      <c r="T60" s="313" t="s">
        <v>3827</v>
      </c>
    </row>
    <row r="61" spans="1:20">
      <c r="B61" s="350" t="s">
        <v>3854</v>
      </c>
      <c r="C61" s="351"/>
      <c r="D61" s="352" t="s">
        <v>3852</v>
      </c>
      <c r="E61" s="353">
        <v>-2.277740026</v>
      </c>
      <c r="F61" s="354">
        <v>34.027640990000002</v>
      </c>
      <c r="G61" s="355">
        <v>25.96</v>
      </c>
      <c r="H61" s="356">
        <v>8.9200000000000017</v>
      </c>
      <c r="I61" s="356">
        <v>65.12</v>
      </c>
      <c r="J61" s="357">
        <v>1.614588467225234</v>
      </c>
      <c r="K61" s="353" t="s">
        <v>229</v>
      </c>
      <c r="L61" s="424" t="s">
        <v>230</v>
      </c>
      <c r="M61" s="424"/>
      <c r="N61" s="358" t="s">
        <v>2670</v>
      </c>
      <c r="O61" s="358" t="s">
        <v>3826</v>
      </c>
      <c r="P61" s="358"/>
      <c r="Q61" s="358" t="s">
        <v>247</v>
      </c>
      <c r="R61" s="358" t="s">
        <v>247</v>
      </c>
      <c r="S61" s="358" t="s">
        <v>234</v>
      </c>
      <c r="T61" s="313" t="s">
        <v>3827</v>
      </c>
    </row>
    <row r="62" spans="1:20">
      <c r="B62" s="350" t="s">
        <v>3855</v>
      </c>
      <c r="C62" s="351"/>
      <c r="D62" s="352" t="s">
        <v>3852</v>
      </c>
      <c r="E62" s="353">
        <v>-2.2787330300000002</v>
      </c>
      <c r="F62" s="354">
        <v>34.032136029999997</v>
      </c>
      <c r="G62" s="355">
        <v>25.96</v>
      </c>
      <c r="H62" s="356">
        <v>8.9200000000000017</v>
      </c>
      <c r="I62" s="356">
        <v>65.12</v>
      </c>
      <c r="J62" s="357">
        <v>1.6991621488417901</v>
      </c>
      <c r="K62" s="353" t="s">
        <v>229</v>
      </c>
      <c r="L62" s="424" t="s">
        <v>230</v>
      </c>
      <c r="M62" s="424"/>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37" t="s">
        <v>21</v>
      </c>
      <c r="C68" s="438"/>
      <c r="D68" s="438"/>
      <c r="E68" s="438"/>
      <c r="F68" s="372" t="s">
        <v>3859</v>
      </c>
      <c r="G68" s="373"/>
      <c r="H68" s="373"/>
      <c r="I68" s="373"/>
      <c r="J68" s="373"/>
      <c r="K68" s="373"/>
      <c r="L68" s="374"/>
    </row>
    <row r="69" spans="2:41">
      <c r="B69" s="439" t="s">
        <v>22</v>
      </c>
      <c r="C69" s="440"/>
      <c r="D69" s="440"/>
      <c r="E69" s="440"/>
      <c r="F69" s="375" t="s">
        <v>3860</v>
      </c>
      <c r="G69" s="376"/>
      <c r="H69" s="376"/>
      <c r="I69" s="376"/>
      <c r="J69" s="376"/>
      <c r="K69" s="376"/>
      <c r="L69" s="377"/>
    </row>
    <row r="70" spans="2:41" ht="15" thickBot="1">
      <c r="B70" s="441" t="s">
        <v>25</v>
      </c>
      <c r="C70" s="442"/>
      <c r="D70" s="442"/>
      <c r="E70" s="442"/>
      <c r="F70" s="443" t="s">
        <v>3861</v>
      </c>
      <c r="G70" s="424"/>
      <c r="H70" s="424"/>
      <c r="I70" s="424"/>
      <c r="J70" s="424"/>
      <c r="K70" s="424"/>
      <c r="L70" s="424"/>
      <c r="M70" s="424"/>
      <c r="N70" s="424"/>
    </row>
    <row r="71" spans="2:41">
      <c r="B71" s="333" t="s">
        <v>3862</v>
      </c>
    </row>
    <row r="72" spans="2:41" ht="18">
      <c r="AO72" s="379"/>
    </row>
    <row r="73" spans="2:41">
      <c r="D73" s="434" t="s">
        <v>3863</v>
      </c>
      <c r="E73" s="434"/>
      <c r="F73" s="434"/>
      <c r="G73" s="434"/>
      <c r="H73" s="434"/>
    </row>
    <row r="74" spans="2:41" ht="18.600000000000001" thickBot="1">
      <c r="B74" s="380" t="s">
        <v>3864</v>
      </c>
      <c r="D74" s="435"/>
      <c r="E74" s="435"/>
      <c r="F74" s="435"/>
      <c r="G74" s="435"/>
      <c r="H74" s="435"/>
      <c r="AG74" s="436" t="s">
        <v>3865</v>
      </c>
      <c r="AH74" s="436"/>
      <c r="AI74" s="436"/>
      <c r="AJ74" s="436"/>
      <c r="AK74" s="436"/>
      <c r="AL74" s="436"/>
    </row>
    <row r="75" spans="2:41"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3871</v>
      </c>
      <c r="O75" s="109" t="s">
        <v>30</v>
      </c>
      <c r="P75" s="109" t="s">
        <v>3872</v>
      </c>
      <c r="Q75" s="109" t="s">
        <v>3873</v>
      </c>
      <c r="R75" s="382" t="s">
        <v>31</v>
      </c>
      <c r="S75" s="109" t="s">
        <v>3874</v>
      </c>
      <c r="T75" s="109" t="s">
        <v>3875</v>
      </c>
      <c r="U75" s="109" t="s">
        <v>34</v>
      </c>
      <c r="V75" s="109" t="s">
        <v>35</v>
      </c>
      <c r="W75" s="109" t="s">
        <v>3876</v>
      </c>
      <c r="X75" s="109" t="s">
        <v>3877</v>
      </c>
      <c r="Y75" s="109" t="s">
        <v>3878</v>
      </c>
      <c r="Z75" s="109" t="s">
        <v>3879</v>
      </c>
      <c r="AA75" s="109" t="s">
        <v>3880</v>
      </c>
      <c r="AB75" s="109" t="s">
        <v>288</v>
      </c>
      <c r="AC75" s="109" t="s">
        <v>291</v>
      </c>
      <c r="AD75" s="109" t="s">
        <v>292</v>
      </c>
      <c r="AE75" s="109" t="s">
        <v>40</v>
      </c>
      <c r="AF75" s="383" t="s">
        <v>41</v>
      </c>
      <c r="AG75" s="384" t="s">
        <v>3888</v>
      </c>
      <c r="AH75" s="384" t="s">
        <v>3881</v>
      </c>
      <c r="AI75" s="384" t="s">
        <v>3882</v>
      </c>
      <c r="AJ75" s="384" t="s">
        <v>3887</v>
      </c>
      <c r="AK75" s="384" t="s">
        <v>3883</v>
      </c>
      <c r="AL75" s="385" t="s">
        <v>3884</v>
      </c>
    </row>
    <row r="76" spans="2:41">
      <c r="B76" t="str">
        <f>'Final data_for_R_analysis_Wetse'!A2</f>
        <v>Wet</v>
      </c>
      <c r="C76" s="263">
        <f>'Final data_for_R_analysis_Wetse'!B2</f>
        <v>1</v>
      </c>
      <c r="D76" t="s">
        <v>3824</v>
      </c>
      <c r="E76" t="s">
        <v>22</v>
      </c>
      <c r="F76" s="386">
        <v>1</v>
      </c>
      <c r="G76" s="16">
        <f>'WetLitterbags placem_collection'!E3</f>
        <v>42766</v>
      </c>
      <c r="H76" t="str">
        <f>'Final data_for_R_analysis_Wetse'!J2</f>
        <v>G436</v>
      </c>
      <c r="I76" t="str">
        <f>'Final data_for_R_analysis_Wetse'!J222</f>
        <v>R17</v>
      </c>
      <c r="J76">
        <f>IFERROR(INDEX('Green_rooibos initial weight'!$C$5:$C$1749,MATCH(H76, 'Green_rooibos initial weight'!$A$5:$A$1749,0)),"")</f>
        <v>2.0329999999999999</v>
      </c>
      <c r="K76">
        <f>IFERROR(INDEX('Green_rooibos initial weight'!$C$5:$C$1749,MATCH(I76, 'Green_rooibos initial weight'!$A$5:$A$1749,0)),"")</f>
        <v>2.169</v>
      </c>
      <c r="L76" s="195">
        <f>IF(J76&gt;0,(J76*$F$31-($F$29+$F$30)),"")</f>
        <v>1.7831999999999999</v>
      </c>
      <c r="M76" s="195">
        <f>AVERAGE(Ashed_controlls!$K$2:$K$11)</f>
        <v>5.5147656768714146</v>
      </c>
      <c r="N76" s="195">
        <f t="shared" ref="N76:N139" si="0">IFERROR(L76-(M76/100)*L76,"")</f>
        <v>1.6848606984500289</v>
      </c>
      <c r="O76" s="195">
        <f>IF(K76&gt;0,(K76*$F$32-($F$29+$F$30)),"")</f>
        <v>1.9192</v>
      </c>
      <c r="P76" s="195">
        <f>AVERAGE(Ashed_controlls!$K$12:$K$14)</f>
        <v>2.2816647271287041</v>
      </c>
      <c r="Q76" s="195">
        <f>IFERROR(O76-(P76/100)*O76,"")</f>
        <v>1.8754102905569459</v>
      </c>
      <c r="R76" s="16">
        <f>IF('WetLitterbags placem_collection'!G3="N.A","",'WetLitterbags placem_collection'!G3)</f>
        <v>42818</v>
      </c>
      <c r="S76" s="195">
        <f>IF(IFERROR(INDEX('Both teabags AfterWet'!$C$3:$C$841,MATCH(H76,'Both teabags AfterWet'!$A$3:$A$841,0)),"")="N.A","",(IFERROR(INDEX('Both teabags AfterWet'!$C$3:$C$841,MATCH(H76,'Both teabags AfterWet'!$A$3:$A$841,0)),"")))</f>
        <v>0.43290000000000001</v>
      </c>
      <c r="T76" s="195">
        <f>IFERROR(INDEX('Both teabags AfterWet'!$C$3:$C$841,MATCH(I76,'Both teabags AfterWet'!$A$3:$A$841,0)),"")</f>
        <v>1.0208999999999999</v>
      </c>
      <c r="U76" s="195">
        <f>IFERROR(IF(S76&gt;0,S76-($F$29),""),"")</f>
        <v>0.2823</v>
      </c>
      <c r="V76" s="195">
        <f>IFERROR(IF(T76&gt;0,T76-($F$29),""),"")</f>
        <v>0.87029999999999985</v>
      </c>
      <c r="W76" s="195">
        <f>IFERROR(INDEX('Ashed teabags wet'!$K$2:$K$821,MATCH(H76,'Ashed teabags wet'!$A$2:$A$821,0)),"")</f>
        <v>27.683896620278237</v>
      </c>
      <c r="X76" s="195">
        <f>IFERROR(INDEX('Ashed teabags wet'!$K$2:$K$821,MATCH(I76,'Ashed teabags wet'!$A$2:$A$821,0)),"")</f>
        <v>17.918507609229575</v>
      </c>
      <c r="Y76" s="195">
        <f t="shared" ref="Y76:Z139" si="1">IFERROR(U76-(W76/100)*U76,"")</f>
        <v>0.20414835984095453</v>
      </c>
      <c r="Z76" s="195">
        <f t="shared" si="1"/>
        <v>0.71435522827687492</v>
      </c>
      <c r="AA76" s="195">
        <f>IFERROR(1-Y76/N76,"")</f>
        <v>0.87883368635237391</v>
      </c>
      <c r="AB76" s="195">
        <f>IFERROR($F$26*(1-AE76),"")</f>
        <v>0.57614749984146141</v>
      </c>
      <c r="AC76" s="195">
        <f t="shared" ref="AC76:AC139" si="2">IFERROR(Z76/Q76,"")</f>
        <v>0.38090610458617608</v>
      </c>
      <c r="AD76">
        <f t="shared" ref="AD76:AD139" si="3">IF((R76-G76)&gt;0,(IFERROR(R76-G76,"")),"")</f>
        <v>52</v>
      </c>
      <c r="AE76" s="195">
        <f>IFERROR(1-(AA76/$F$25),"")</f>
        <v>-4.3745470727285074E-2</v>
      </c>
      <c r="AF76" s="195" t="str">
        <f>IFERROR(LN(AB76/(AC76-(1-AB76)))/AD76,"")</f>
        <v/>
      </c>
      <c r="AG76" s="255" t="str">
        <f>IF(ISNUMBER(SEARCH("C",'WetLitterbags placem_collection'!AD3)),"YES","NO")</f>
        <v>NO</v>
      </c>
      <c r="AH76" s="255" t="str">
        <f>IF(ISNUMBER(SEARCH("H", 'WetLitterbags placem_collection'!AD3)),"YES","NO")</f>
        <v>YES</v>
      </c>
      <c r="AI76" s="255" t="str">
        <f>IF(ISNUMBER(SEARCH("R", 'WetLitterbags placem_collection'!AD3)),"YES","NO")</f>
        <v>YES</v>
      </c>
      <c r="AJ76" s="255" t="str">
        <f>IF(ISNUMBER(SEARCH("C", 'WetLitterbags placem_collection'!AC3)),"YES","NO")</f>
        <v>NO</v>
      </c>
      <c r="AK76" s="255" t="str">
        <f>IF(ISNUMBER(SEARCH("H", 'WetLitterbags placem_collection'!AC3)),"YES","NO")</f>
        <v>NO</v>
      </c>
      <c r="AL76" s="255" t="str">
        <f>IF(ISNUMBER(SEARCH("R", 'WetLitterbags placem_collection'!AC3)),"YES","NO")</f>
        <v>NO</v>
      </c>
    </row>
    <row r="77" spans="2:41">
      <c r="B77" t="str">
        <f>'Final data_for_R_analysis_Wetse'!A3</f>
        <v>Wet</v>
      </c>
      <c r="C77" s="263">
        <f>'Final data_for_R_analysis_Wetse'!B3</f>
        <v>2</v>
      </c>
      <c r="D77" t="s">
        <v>3824</v>
      </c>
      <c r="E77" t="s">
        <v>22</v>
      </c>
      <c r="F77" s="386">
        <v>2</v>
      </c>
      <c r="G77" s="16">
        <f>'WetLitterbags placem_collection'!E4</f>
        <v>42766</v>
      </c>
      <c r="H77" t="str">
        <f>'Final data_for_R_analysis_Wetse'!J3</f>
        <v>G568</v>
      </c>
      <c r="I77" t="str">
        <f>'Final data_for_R_analysis_Wetse'!J223</f>
        <v>R121</v>
      </c>
      <c r="J77">
        <f>IFERROR(INDEX('Green_rooibos initial weight'!$C$5:$C$1749,MATCH(H77, 'Green_rooibos initial weight'!$A$5:$A$1749,0)),"")</f>
        <v>2.0059999999999998</v>
      </c>
      <c r="K77">
        <f>IFERROR(INDEX('Green_rooibos initial weight'!$C$5:$C$1749,MATCH(I77, 'Green_rooibos initial weight'!$A$5:$A$1749,0)),"")</f>
        <v>2.165</v>
      </c>
      <c r="L77" s="195">
        <f t="shared" ref="L77:L140" si="4">IF(J77&gt;0,(J77*$F$31-($F$29+$F$30)),"")</f>
        <v>1.7561999999999998</v>
      </c>
      <c r="M77" s="195">
        <f>AVERAGE(Ashed_controlls!$K$2:$K$11)</f>
        <v>5.5147656768714146</v>
      </c>
      <c r="N77" s="195">
        <f t="shared" si="0"/>
        <v>1.659349685182784</v>
      </c>
      <c r="O77" s="195">
        <f t="shared" ref="O77:O140" si="5">IF(K77&gt;0,(K77*$F$32-($F$29+$F$30)),"")</f>
        <v>1.9152</v>
      </c>
      <c r="P77" s="195">
        <f>AVERAGE(Ashed_controlls!$K$12:$K$14)</f>
        <v>2.2816647271287041</v>
      </c>
      <c r="Q77" s="195">
        <f t="shared" ref="Q77:Q140" si="6">IFERROR(O77-(P77/100)*O77,"")</f>
        <v>1.8715015571460312</v>
      </c>
      <c r="R77" s="16">
        <f>IF('WetLitterbags placem_collection'!G4="N.A","",'WetLitterbags placem_collection'!G4)</f>
        <v>42818</v>
      </c>
      <c r="S77" s="195">
        <f>IF(IFERROR(INDEX('Both teabags AfterWet'!$C$3:$C$841,MATCH(H77,'Both teabags AfterWet'!$A$3:$A$841,0)),"")="N.A","",(IFERROR(INDEX('Both teabags AfterWet'!$C$3:$C$841,MATCH(H77,'Both teabags AfterWet'!$A$3:$A$841,0)),"")))</f>
        <v>0.629</v>
      </c>
      <c r="T77" s="195">
        <f>IFERROR(INDEX('Both teabags AfterWet'!$C$3:$C$841,MATCH(I77,'Both teabags AfterWet'!$A$3:$A$841,0)),"")</f>
        <v>1.3073999999999999</v>
      </c>
      <c r="U77" s="195">
        <f t="shared" ref="U77:V140" si="7">IFERROR(IF(S77&gt;0,S77-($F$29),""),"")</f>
        <v>0.47839999999999999</v>
      </c>
      <c r="V77" s="195">
        <f t="shared" si="7"/>
        <v>1.1567999999999998</v>
      </c>
      <c r="W77" s="195">
        <f>IFERROR(INDEX('Ashed teabags wet'!$K$2:$K$821,MATCH(H77,'Ashed teabags wet'!$A$2:$A$821,0)),"")</f>
        <v>8.5032322227742174</v>
      </c>
      <c r="X77" s="195">
        <f>IFERROR(INDEX('Ashed teabags wet'!$K$2:$K$821,MATCH(I77,'Ashed teabags wet'!$A$2:$A$821,0)),"")</f>
        <v>5.6218905472635869</v>
      </c>
      <c r="Y77" s="195">
        <f t="shared" si="1"/>
        <v>0.43772053704624814</v>
      </c>
      <c r="Z77" s="195">
        <f t="shared" si="1"/>
        <v>1.0917659701492546</v>
      </c>
      <c r="AA77" s="195">
        <f t="shared" ref="AA77:AA140" si="8">IFERROR(1-Y77/N77,"")</f>
        <v>0.73620958803627246</v>
      </c>
      <c r="AB77" s="195">
        <f t="shared" ref="AB77:AB140" si="9">IFERROR($F$26*(1-AE77),"")</f>
        <v>0.48264571567223569</v>
      </c>
      <c r="AC77" s="195">
        <f t="shared" si="2"/>
        <v>0.58336364507981298</v>
      </c>
      <c r="AD77">
        <f t="shared" si="3"/>
        <v>52</v>
      </c>
      <c r="AE77" s="195">
        <f t="shared" ref="AE77:AE140" si="10">IFERROR(1-(AA77/$F$25),"")</f>
        <v>0.12564181943435571</v>
      </c>
      <c r="AF77" s="195">
        <f t="shared" ref="AF77:AF140" si="11">IFERROR(LN(AB77/(AC77-(1-AB77)))/AD77,"")</f>
        <v>3.825935221217263E-2</v>
      </c>
      <c r="AG77" s="255" t="str">
        <f>IF(ISNUMBER(SEARCH("C",'WetLitterbags placem_collection'!AD4)),"YES","NO")</f>
        <v>NO</v>
      </c>
      <c r="AH77" s="255" t="str">
        <f>IF(ISNUMBER(SEARCH("H", 'WetLitterbags placem_collection'!AD4)),"YES","NO")</f>
        <v>NO</v>
      </c>
      <c r="AI77" s="255" t="str">
        <f>IF(ISNUMBER(SEARCH("R", 'WetLitterbags placem_collection'!AD4)),"YES","NO")</f>
        <v>NO</v>
      </c>
      <c r="AJ77" s="255" t="str">
        <f>IF(ISNUMBER(SEARCH("C", 'WetLitterbags placem_collection'!AC4)),"YES","NO")</f>
        <v>NO</v>
      </c>
      <c r="AK77" s="255" t="str">
        <f>IF(ISNUMBER(SEARCH("H", 'WetLitterbags placem_collection'!AC4)),"YES","NO")</f>
        <v>NO</v>
      </c>
      <c r="AL77" s="255" t="str">
        <f>IF(ISNUMBER(SEARCH("R", 'WetLitterbags placem_collection'!AC4)),"YES","NO")</f>
        <v>NO</v>
      </c>
    </row>
    <row r="78" spans="2:41">
      <c r="B78" t="str">
        <f>'Final data_for_R_analysis_Wetse'!A4</f>
        <v>Wet</v>
      </c>
      <c r="C78" s="263">
        <f>'Final data_for_R_analysis_Wetse'!B4</f>
        <v>3</v>
      </c>
      <c r="D78" t="s">
        <v>3824</v>
      </c>
      <c r="E78" t="s">
        <v>22</v>
      </c>
      <c r="F78" s="386">
        <v>3</v>
      </c>
      <c r="G78" s="16">
        <f>'WetLitterbags placem_collection'!E5</f>
        <v>42766</v>
      </c>
      <c r="H78" t="str">
        <f>'Final data_for_R_analysis_Wetse'!J4</f>
        <v>G631</v>
      </c>
      <c r="I78" t="str">
        <f>'Final data_for_R_analysis_Wetse'!J224</f>
        <v>R158</v>
      </c>
      <c r="J78">
        <f>IFERROR(INDEX('Green_rooibos initial weight'!$C$5:$C$1749,MATCH(H78, 'Green_rooibos initial weight'!$A$5:$A$1749,0)),"")</f>
        <v>1.99</v>
      </c>
      <c r="K78">
        <f>IFERROR(INDEX('Green_rooibos initial weight'!$C$5:$C$1749,MATCH(I78, 'Green_rooibos initial weight'!$A$5:$A$1749,0)),"")</f>
        <v>2.2959999999999998</v>
      </c>
      <c r="L78" s="195">
        <f t="shared" si="4"/>
        <v>1.7402</v>
      </c>
      <c r="M78" s="195">
        <f>AVERAGE(Ashed_controlls!$K$2:$K$11)</f>
        <v>5.5147656768714146</v>
      </c>
      <c r="N78" s="195">
        <f t="shared" si="0"/>
        <v>1.6442320476910837</v>
      </c>
      <c r="O78" s="195">
        <f t="shared" si="5"/>
        <v>2.0461999999999998</v>
      </c>
      <c r="P78" s="195">
        <f>AVERAGE(Ashed_controlls!$K$12:$K$14)</f>
        <v>2.2816647271287041</v>
      </c>
      <c r="Q78" s="195">
        <f t="shared" si="6"/>
        <v>1.9995125763534922</v>
      </c>
      <c r="R78" s="16">
        <f>IF('WetLitterbags placem_collection'!G5="N.A","",'WetLitterbags placem_collection'!G5)</f>
        <v>0</v>
      </c>
      <c r="S78" s="195" t="str">
        <f>IF(IFERROR(INDEX('Both teabags AfterWet'!$C$3:$C$841,MATCH(H78,'Both teabags AfterWet'!$A$3:$A$841,0)),"")="N.A","",(IFERROR(INDEX('Both teabags AfterWet'!$C$3:$C$841,MATCH(H78,'Both teabags AfterWet'!$A$3:$A$841,0)),"")))</f>
        <v/>
      </c>
      <c r="T78" s="195" t="str">
        <f>IFERROR(INDEX('Both teabags AfterWet'!$C$3:$C$841,MATCH(I78,'Both teabags AfterWet'!$A$3:$A$841,0)),"")</f>
        <v/>
      </c>
      <c r="U78" s="195" t="str">
        <f t="shared" si="7"/>
        <v/>
      </c>
      <c r="V78" s="195" t="str">
        <f t="shared" si="7"/>
        <v/>
      </c>
      <c r="W78" s="195" t="str">
        <f>IFERROR(INDEX('Ashed teabags wet'!$K$2:$K$821,MATCH(H78,'Ashed teabags wet'!$A$2:$A$821,0)),"")</f>
        <v/>
      </c>
      <c r="X78" s="195" t="str">
        <f>IFERROR(INDEX('Ashed teabags wet'!$K$2:$K$821,MATCH(I78,'Ashed teabags wet'!$A$2:$A$821,0)),"")</f>
        <v/>
      </c>
      <c r="Y78" s="195" t="str">
        <f t="shared" si="1"/>
        <v/>
      </c>
      <c r="Z78" s="195" t="str">
        <f t="shared" si="1"/>
        <v/>
      </c>
      <c r="AA78" s="195" t="str">
        <f t="shared" si="8"/>
        <v/>
      </c>
      <c r="AB78" s="195" t="str">
        <f t="shared" si="9"/>
        <v/>
      </c>
      <c r="AC78" s="195" t="str">
        <f t="shared" si="2"/>
        <v/>
      </c>
      <c r="AD78" t="str">
        <f t="shared" si="3"/>
        <v/>
      </c>
      <c r="AE78" s="195" t="str">
        <f t="shared" si="10"/>
        <v/>
      </c>
      <c r="AF78" s="195" t="str">
        <f t="shared" si="11"/>
        <v/>
      </c>
      <c r="AG78" s="255" t="str">
        <f>IF(ISNUMBER(SEARCH("C",'WetLitterbags placem_collection'!AD5)),"YES","NO")</f>
        <v>NO</v>
      </c>
      <c r="AH78" s="255" t="str">
        <f>IF(ISNUMBER(SEARCH("H", 'WetLitterbags placem_collection'!AD5)),"YES","NO")</f>
        <v>NO</v>
      </c>
      <c r="AI78" s="255" t="str">
        <f>IF(ISNUMBER(SEARCH("R", 'WetLitterbags placem_collection'!AD5)),"YES","NO")</f>
        <v>NO</v>
      </c>
      <c r="AJ78" s="255" t="str">
        <f>IF(ISNUMBER(SEARCH("C", 'WetLitterbags placem_collection'!AC5)),"YES","NO")</f>
        <v>NO</v>
      </c>
      <c r="AK78" s="255" t="str">
        <f>IF(ISNUMBER(SEARCH("H", 'WetLitterbags placem_collection'!AC5)),"YES","NO")</f>
        <v>NO</v>
      </c>
      <c r="AL78" s="255" t="str">
        <f>IF(ISNUMBER(SEARCH("R", 'WetLitterbags placem_collection'!AC5)),"YES","NO")</f>
        <v>NO</v>
      </c>
    </row>
    <row r="79" spans="2:41">
      <c r="B79" t="str">
        <f>'Final data_for_R_analysis_Wetse'!A5</f>
        <v>Wet</v>
      </c>
      <c r="C79" s="263">
        <f>'Final data_for_R_analysis_Wetse'!B5</f>
        <v>4</v>
      </c>
      <c r="D79" t="s">
        <v>3824</v>
      </c>
      <c r="E79" t="s">
        <v>22</v>
      </c>
      <c r="F79" s="387">
        <v>4</v>
      </c>
      <c r="G79" s="16">
        <f>'WetLitterbags placem_collection'!E6</f>
        <v>42766</v>
      </c>
      <c r="H79" t="str">
        <f>'Final data_for_R_analysis_Wetse'!J5</f>
        <v>G652</v>
      </c>
      <c r="I79" t="str">
        <f>'Final data_for_R_analysis_Wetse'!J225</f>
        <v>R115</v>
      </c>
      <c r="J79">
        <f>IFERROR(INDEX('Green_rooibos initial weight'!$C$5:$C$1749,MATCH(H79, 'Green_rooibos initial weight'!$A$5:$A$1749,0)),"")</f>
        <v>2.024</v>
      </c>
      <c r="K79">
        <f>IFERROR(INDEX('Green_rooibos initial weight'!$C$5:$C$1749,MATCH(I79, 'Green_rooibos initial weight'!$A$5:$A$1749,0)),"")</f>
        <v>2.3119999999999998</v>
      </c>
      <c r="L79" s="195">
        <f t="shared" si="4"/>
        <v>1.7742</v>
      </c>
      <c r="M79" s="195">
        <f>AVERAGE(Ashed_controlls!$K$2:$K$11)</f>
        <v>5.5147656768714146</v>
      </c>
      <c r="N79" s="195">
        <f t="shared" si="0"/>
        <v>1.6763570273609474</v>
      </c>
      <c r="O79" s="195">
        <f t="shared" si="5"/>
        <v>2.0621999999999998</v>
      </c>
      <c r="P79" s="195">
        <f>AVERAGE(Ashed_controlls!$K$12:$K$14)</f>
        <v>2.2816647271287041</v>
      </c>
      <c r="Q79" s="195">
        <f t="shared" si="6"/>
        <v>2.0151475099971519</v>
      </c>
      <c r="R79" s="16">
        <f>IF('WetLitterbags placem_collection'!G6="N.A","",'WetLitterbags placem_collection'!G6)</f>
        <v>42818</v>
      </c>
      <c r="S79" s="195" t="str">
        <f>IF(IFERROR(INDEX('Both teabags AfterWet'!$C$3:$C$841,MATCH(H79,'Both teabags AfterWet'!$A$3:$A$841,0)),"")="N.A","",(IFERROR(INDEX('Both teabags AfterWet'!$C$3:$C$841,MATCH(H79,'Both teabags AfterWet'!$A$3:$A$841,0)),"")))</f>
        <v/>
      </c>
      <c r="T79" s="195">
        <f>IFERROR(INDEX('Both teabags AfterWet'!$C$3:$C$841,MATCH(I79,'Both teabags AfterWet'!$A$3:$A$841,0)),"")</f>
        <v>1.4075</v>
      </c>
      <c r="U79" s="195" t="str">
        <f t="shared" si="7"/>
        <v/>
      </c>
      <c r="V79" s="195">
        <f t="shared" si="7"/>
        <v>1.2568999999999999</v>
      </c>
      <c r="W79" s="195" t="str">
        <f>IFERROR(INDEX('Ashed teabags wet'!$K$2:$K$821,MATCH(H79,'Ashed teabags wet'!$A$2:$A$821,0)),"")</f>
        <v/>
      </c>
      <c r="X79" s="195">
        <f>IFERROR(INDEX('Ashed teabags wet'!$K$2:$K$821,MATCH(I79,'Ashed teabags wet'!$A$2:$A$821,0)),"")</f>
        <v>5.3919121318019663</v>
      </c>
      <c r="Y79" s="195" t="str">
        <f t="shared" si="1"/>
        <v/>
      </c>
      <c r="Z79" s="195">
        <f t="shared" si="1"/>
        <v>1.1891290564153809</v>
      </c>
      <c r="AA79" s="195" t="str">
        <f t="shared" si="8"/>
        <v/>
      </c>
      <c r="AB79" s="195" t="str">
        <f t="shared" si="9"/>
        <v/>
      </c>
      <c r="AC79" s="195">
        <f t="shared" si="2"/>
        <v>0.59009529104748348</v>
      </c>
      <c r="AD79">
        <f t="shared" si="3"/>
        <v>52</v>
      </c>
      <c r="AE79" s="195" t="str">
        <f t="shared" si="10"/>
        <v/>
      </c>
      <c r="AF79" s="195" t="str">
        <f t="shared" si="11"/>
        <v/>
      </c>
      <c r="AG79" s="255" t="str">
        <f>IF(ISNUMBER(SEARCH("C",'WetLitterbags placem_collection'!AD6)),"YES","NO")</f>
        <v>NO</v>
      </c>
      <c r="AH79" s="255" t="str">
        <f>IF(ISNUMBER(SEARCH("H", 'WetLitterbags placem_collection'!AD6)),"YES","NO")</f>
        <v>NO</v>
      </c>
      <c r="AI79" s="255" t="str">
        <f>IF(ISNUMBER(SEARCH("R", 'WetLitterbags placem_collection'!AD6)),"YES","NO")</f>
        <v>NO</v>
      </c>
      <c r="AJ79" s="255" t="str">
        <f>IF(ISNUMBER(SEARCH("C", 'WetLitterbags placem_collection'!AC6)),"YES","NO")</f>
        <v>NO</v>
      </c>
      <c r="AK79" s="255" t="str">
        <f>IF(ISNUMBER(SEARCH("H", 'WetLitterbags placem_collection'!AC6)),"YES","NO")</f>
        <v>NO</v>
      </c>
      <c r="AL79" s="255" t="str">
        <f>IF(ISNUMBER(SEARCH("R", 'WetLitterbags placem_collection'!AC6)),"YES","NO")</f>
        <v>NO</v>
      </c>
    </row>
    <row r="80" spans="2:41">
      <c r="B80" t="str">
        <f>'Final data_for_R_analysis_Wetse'!A6</f>
        <v>Wet</v>
      </c>
      <c r="C80" s="263">
        <f>'Final data_for_R_analysis_Wetse'!B6</f>
        <v>5</v>
      </c>
      <c r="D80" t="s">
        <v>3824</v>
      </c>
      <c r="E80" t="s">
        <v>22</v>
      </c>
      <c r="F80" s="387">
        <v>5</v>
      </c>
      <c r="G80" s="16">
        <f>'WetLitterbags placem_collection'!E7</f>
        <v>42766</v>
      </c>
      <c r="H80" t="str">
        <f>'Final data_for_R_analysis_Wetse'!J6</f>
        <v>G497</v>
      </c>
      <c r="I80" t="str">
        <f>'Final data_for_R_analysis_Wetse'!J226</f>
        <v>R502</v>
      </c>
      <c r="J80">
        <f>IFERROR(INDEX('Green_rooibos initial weight'!$C$5:$C$1749,MATCH(H80, 'Green_rooibos initial weight'!$A$5:$A$1749,0)),"")</f>
        <v>2.0019999999999998</v>
      </c>
      <c r="K80">
        <f>IFERROR(INDEX('Green_rooibos initial weight'!$C$5:$C$1749,MATCH(I80, 'Green_rooibos initial weight'!$A$5:$A$1749,0)),"")</f>
        <v>2.1840000000000002</v>
      </c>
      <c r="L80" s="195">
        <f t="shared" si="4"/>
        <v>1.7521999999999998</v>
      </c>
      <c r="M80" s="195">
        <f>AVERAGE(Ashed_controlls!$K$2:$K$11)</f>
        <v>5.5147656768714146</v>
      </c>
      <c r="N80" s="195">
        <f t="shared" si="0"/>
        <v>1.6555702758098589</v>
      </c>
      <c r="O80" s="195">
        <f t="shared" si="5"/>
        <v>1.9342000000000001</v>
      </c>
      <c r="P80" s="195">
        <f>AVERAGE(Ashed_controlls!$K$12:$K$14)</f>
        <v>2.2816647271287041</v>
      </c>
      <c r="Q80" s="195">
        <f t="shared" si="6"/>
        <v>1.8900680408478767</v>
      </c>
      <c r="R80" s="16">
        <f>IF('WetLitterbags placem_collection'!G7="N.A","",'WetLitterbags placem_collection'!G7)</f>
        <v>42818</v>
      </c>
      <c r="S80" s="195">
        <f>IF(IFERROR(INDEX('Both teabags AfterWet'!$C$3:$C$841,MATCH(H80,'Both teabags AfterWet'!$A$3:$A$841,0)),"")="N.A","",(IFERROR(INDEX('Both teabags AfterWet'!$C$3:$C$841,MATCH(H80,'Both teabags AfterWet'!$A$3:$A$841,0)),"")))</f>
        <v>0.46</v>
      </c>
      <c r="T80" s="195">
        <f>IFERROR(INDEX('Both teabags AfterWet'!$C$3:$C$841,MATCH(I80,'Both teabags AfterWet'!$A$3:$A$841,0)),"")</f>
        <v>1.3823000000000001</v>
      </c>
      <c r="U80" s="195">
        <f t="shared" si="7"/>
        <v>0.30940000000000001</v>
      </c>
      <c r="V80" s="195">
        <f t="shared" si="7"/>
        <v>1.2317</v>
      </c>
      <c r="W80" s="195">
        <f>IFERROR(INDEX('Ashed teabags wet'!$K$2:$K$821,MATCH(H80,'Ashed teabags wet'!$A$2:$A$821,0)),"")</f>
        <v>19.444444444444176</v>
      </c>
      <c r="X80" s="195">
        <f>IFERROR(INDEX('Ashed teabags wet'!$K$2:$K$821,MATCH(I80,'Ashed teabags wet'!$A$2:$A$821,0)),"")</f>
        <v>4.6214355948865089</v>
      </c>
      <c r="Y80" s="195">
        <f t="shared" si="1"/>
        <v>0.24923888888888973</v>
      </c>
      <c r="Z80" s="195">
        <f t="shared" si="1"/>
        <v>1.1747777777777828</v>
      </c>
      <c r="AA80" s="195">
        <f t="shared" si="8"/>
        <v>0.84945435870007446</v>
      </c>
      <c r="AB80" s="195">
        <f t="shared" si="9"/>
        <v>0.55688694299577335</v>
      </c>
      <c r="AC80" s="195">
        <f t="shared" si="2"/>
        <v>0.62155316760489865</v>
      </c>
      <c r="AD80">
        <f t="shared" si="3"/>
        <v>52</v>
      </c>
      <c r="AE80" s="195">
        <f t="shared" si="10"/>
        <v>-8.8531576010386637E-3</v>
      </c>
      <c r="AF80" s="195">
        <f t="shared" si="11"/>
        <v>2.1886715661006455E-2</v>
      </c>
      <c r="AG80" s="255" t="str">
        <f>IF(ISNUMBER(SEARCH("C",'WetLitterbags placem_collection'!AD7)),"YES","NO")</f>
        <v>NO</v>
      </c>
      <c r="AH80" s="255" t="str">
        <f>IF(ISNUMBER(SEARCH("H", 'WetLitterbags placem_collection'!AD7)),"YES","NO")</f>
        <v>NO</v>
      </c>
      <c r="AI80" s="255" t="str">
        <f>IF(ISNUMBER(SEARCH("R", 'WetLitterbags placem_collection'!AD7)),"YES","NO")</f>
        <v>NO</v>
      </c>
      <c r="AJ80" s="255" t="str">
        <f>IF(ISNUMBER(SEARCH("C", 'WetLitterbags placem_collection'!AC7)),"YES","NO")</f>
        <v>NO</v>
      </c>
      <c r="AK80" s="255" t="str">
        <f>IF(ISNUMBER(SEARCH("H", 'WetLitterbags placem_collection'!AC7)),"YES","NO")</f>
        <v>NO</v>
      </c>
      <c r="AL80" s="255" t="str">
        <f>IF(ISNUMBER(SEARCH("R", 'WetLitterbags placem_collection'!AC7)),"YES","NO")</f>
        <v>NO</v>
      </c>
    </row>
    <row r="81" spans="2:38">
      <c r="B81" t="str">
        <f>'Final data_for_R_analysis_Wetse'!A7</f>
        <v>Wet</v>
      </c>
      <c r="C81" s="263">
        <f>'Final data_for_R_analysis_Wetse'!B7</f>
        <v>6</v>
      </c>
      <c r="D81" t="s">
        <v>3824</v>
      </c>
      <c r="E81" t="s">
        <v>22</v>
      </c>
      <c r="F81" s="387">
        <v>6</v>
      </c>
      <c r="G81" s="16">
        <f>'WetLitterbags placem_collection'!E8</f>
        <v>42766</v>
      </c>
      <c r="H81" t="str">
        <f>'Final data_for_R_analysis_Wetse'!J7</f>
        <v>G447</v>
      </c>
      <c r="I81" t="str">
        <f>'Final data_for_R_analysis_Wetse'!J227</f>
        <v>R177</v>
      </c>
      <c r="J81">
        <f>IFERROR(INDEX('Green_rooibos initial weight'!$C$5:$C$1749,MATCH(H81, 'Green_rooibos initial weight'!$A$5:$A$1749,0)),"")</f>
        <v>2.0579999999999998</v>
      </c>
      <c r="K81">
        <f>IFERROR(INDEX('Green_rooibos initial weight'!$C$5:$C$1749,MATCH(I81, 'Green_rooibos initial weight'!$A$5:$A$1749,0)),"")</f>
        <v>2.153</v>
      </c>
      <c r="L81" s="195">
        <f t="shared" si="4"/>
        <v>1.8081999999999998</v>
      </c>
      <c r="M81" s="195">
        <f>AVERAGE(Ashed_controlls!$K$2:$K$11)</f>
        <v>5.5147656768714146</v>
      </c>
      <c r="N81" s="195">
        <f t="shared" si="0"/>
        <v>1.7084820070308109</v>
      </c>
      <c r="O81" s="195">
        <f t="shared" si="5"/>
        <v>1.9032</v>
      </c>
      <c r="P81" s="195">
        <f>AVERAGE(Ashed_controlls!$K$12:$K$14)</f>
        <v>2.2816647271287041</v>
      </c>
      <c r="Q81" s="195">
        <f t="shared" si="6"/>
        <v>1.8597753569132864</v>
      </c>
      <c r="R81" s="16">
        <f>IF('WetLitterbags placem_collection'!G8="N.A","",'WetLitterbags placem_collection'!G8)</f>
        <v>42818</v>
      </c>
      <c r="S81" s="195">
        <f>IF(IFERROR(INDEX('Both teabags AfterWet'!$C$3:$C$841,MATCH(H81,'Both teabags AfterWet'!$A$3:$A$841,0)),"")="N.A","",(IFERROR(INDEX('Both teabags AfterWet'!$C$3:$C$841,MATCH(H81,'Both teabags AfterWet'!$A$3:$A$841,0)),"")))</f>
        <v>0.67749999999999999</v>
      </c>
      <c r="T81" s="195">
        <f>IFERROR(INDEX('Both teabags AfterWet'!$C$3:$C$841,MATCH(I81,'Both teabags AfterWet'!$A$3:$A$841,0)),"")</f>
        <v>1.4271</v>
      </c>
      <c r="U81" s="195">
        <f t="shared" si="7"/>
        <v>0.52689999999999992</v>
      </c>
      <c r="V81" s="195">
        <f t="shared" si="7"/>
        <v>1.2765</v>
      </c>
      <c r="W81" s="195">
        <f>IFERROR(INDEX('Ashed teabags wet'!$K$2:$K$821,MATCH(H81,'Ashed teabags wet'!$A$2:$A$821,0)),"")</f>
        <v>11.472945891783862</v>
      </c>
      <c r="X81" s="195">
        <f>IFERROR(INDEX('Ashed teabags wet'!$K$2:$K$821,MATCH(I81,'Ashed teabags wet'!$A$2:$A$821,0)),"")</f>
        <v>14.46446446446422</v>
      </c>
      <c r="Y81" s="195">
        <f t="shared" si="1"/>
        <v>0.46644904809619075</v>
      </c>
      <c r="Z81" s="195">
        <f t="shared" si="1"/>
        <v>1.0918611111111143</v>
      </c>
      <c r="AA81" s="195">
        <f t="shared" si="8"/>
        <v>0.72698041525948676</v>
      </c>
      <c r="AB81" s="195">
        <f t="shared" si="9"/>
        <v>0.47659523660716951</v>
      </c>
      <c r="AC81" s="195">
        <f t="shared" si="2"/>
        <v>0.58709300940695452</v>
      </c>
      <c r="AD81">
        <f t="shared" si="3"/>
        <v>52</v>
      </c>
      <c r="AE81" s="195">
        <f t="shared" si="10"/>
        <v>0.13660283223338865</v>
      </c>
      <c r="AF81" s="195">
        <f t="shared" si="11"/>
        <v>3.8705145105853538E-2</v>
      </c>
      <c r="AG81" s="255" t="str">
        <f>IF(ISNUMBER(SEARCH("C",'WetLitterbags placem_collection'!AD8)),"YES","NO")</f>
        <v>NO</v>
      </c>
      <c r="AH81" s="255" t="str">
        <f>IF(ISNUMBER(SEARCH("H", 'WetLitterbags placem_collection'!AD8)),"YES","NO")</f>
        <v>NO</v>
      </c>
      <c r="AI81" s="255" t="str">
        <f>IF(ISNUMBER(SEARCH("R", 'WetLitterbags placem_collection'!AD8)),"YES","NO")</f>
        <v>NO</v>
      </c>
      <c r="AJ81" s="255" t="str">
        <f>IF(ISNUMBER(SEARCH("C", 'WetLitterbags placem_collection'!AC8)),"YES","NO")</f>
        <v>NO</v>
      </c>
      <c r="AK81" s="255" t="str">
        <f>IF(ISNUMBER(SEARCH("H", 'WetLitterbags placem_collection'!AC8)),"YES","NO")</f>
        <v>NO</v>
      </c>
      <c r="AL81" s="255" t="str">
        <f>IF(ISNUMBER(SEARCH("R", 'WetLitterbags placem_collection'!AC8)),"YES","NO")</f>
        <v>NO</v>
      </c>
    </row>
    <row r="82" spans="2:38">
      <c r="B82" t="str">
        <f>'Final data_for_R_analysis_Wetse'!A8</f>
        <v>Wet</v>
      </c>
      <c r="C82" s="263">
        <f>'Final data_for_R_analysis_Wetse'!B8</f>
        <v>7</v>
      </c>
      <c r="D82" t="s">
        <v>3824</v>
      </c>
      <c r="E82" t="s">
        <v>22</v>
      </c>
      <c r="F82" s="387">
        <v>7</v>
      </c>
      <c r="G82" s="16">
        <f>'WetLitterbags placem_collection'!E9</f>
        <v>42766</v>
      </c>
      <c r="H82" t="str">
        <f>'Final data_for_R_analysis_Wetse'!J8</f>
        <v>G452</v>
      </c>
      <c r="I82" t="str">
        <f>'Final data_for_R_analysis_Wetse'!J228</f>
        <v>R531</v>
      </c>
      <c r="J82">
        <f>IFERROR(INDEX('Green_rooibos initial weight'!$C$5:$C$1749,MATCH(H82, 'Green_rooibos initial weight'!$A$5:$A$1749,0)),"")</f>
        <v>2.0550000000000002</v>
      </c>
      <c r="K82">
        <f>IFERROR(INDEX('Green_rooibos initial weight'!$C$5:$C$1749,MATCH(I82, 'Green_rooibos initial weight'!$A$5:$A$1749,0)),"")</f>
        <v>2.101</v>
      </c>
      <c r="L82" s="195">
        <f t="shared" si="4"/>
        <v>1.8052000000000001</v>
      </c>
      <c r="M82" s="195">
        <f>AVERAGE(Ashed_controlls!$K$2:$K$11)</f>
        <v>5.5147656768714146</v>
      </c>
      <c r="N82" s="195">
        <f t="shared" si="0"/>
        <v>1.7056474500011174</v>
      </c>
      <c r="O82" s="195">
        <f t="shared" si="5"/>
        <v>1.8512</v>
      </c>
      <c r="P82" s="195">
        <f>AVERAGE(Ashed_controlls!$K$12:$K$14)</f>
        <v>2.2816647271287041</v>
      </c>
      <c r="Q82" s="195">
        <f t="shared" si="6"/>
        <v>1.8089618225713935</v>
      </c>
      <c r="R82" s="16">
        <f>IF('WetLitterbags placem_collection'!G9="N.A","",'WetLitterbags placem_collection'!G9)</f>
        <v>42818</v>
      </c>
      <c r="S82" s="195">
        <f>IF(IFERROR(INDEX('Both teabags AfterWet'!$C$3:$C$841,MATCH(H82,'Both teabags AfterWet'!$A$3:$A$841,0)),"")="N.A","",(IFERROR(INDEX('Both teabags AfterWet'!$C$3:$C$841,MATCH(H82,'Both teabags AfterWet'!$A$3:$A$841,0)),"")))</f>
        <v>0.67900000000000005</v>
      </c>
      <c r="T82" s="195">
        <f>IFERROR(INDEX('Both teabags AfterWet'!$C$3:$C$841,MATCH(I82,'Both teabags AfterWet'!$A$3:$A$841,0)),"")</f>
        <v>1.4430000000000001</v>
      </c>
      <c r="U82" s="195">
        <f t="shared" si="7"/>
        <v>0.52839999999999998</v>
      </c>
      <c r="V82" s="195">
        <f t="shared" si="7"/>
        <v>1.2924</v>
      </c>
      <c r="W82" s="195">
        <f>IFERROR(INDEX('Ashed teabags wet'!$K$2:$K$821,MATCH(H82,'Ashed teabags wet'!$A$2:$A$821,0)),"")</f>
        <v>11.36705057586399</v>
      </c>
      <c r="X82" s="195">
        <f>IFERROR(INDEX('Ashed teabags wet'!$K$2:$K$821,MATCH(I82,'Ashed teabags wet'!$A$2:$A$821,0)),"")</f>
        <v>3.1630170316302406</v>
      </c>
      <c r="Y82" s="195">
        <f t="shared" si="1"/>
        <v>0.46833650475713468</v>
      </c>
      <c r="Z82" s="195">
        <f t="shared" si="1"/>
        <v>1.2515211678832108</v>
      </c>
      <c r="AA82" s="195">
        <f t="shared" si="8"/>
        <v>0.72542010087909559</v>
      </c>
      <c r="AB82" s="195">
        <f t="shared" si="9"/>
        <v>0.47557232266658056</v>
      </c>
      <c r="AC82" s="195">
        <f t="shared" si="2"/>
        <v>0.69184498659247828</v>
      </c>
      <c r="AD82">
        <f t="shared" si="3"/>
        <v>52</v>
      </c>
      <c r="AE82" s="195">
        <f t="shared" si="10"/>
        <v>0.13845593719822369</v>
      </c>
      <c r="AF82" s="195">
        <f t="shared" si="11"/>
        <v>2.0077488755003252E-2</v>
      </c>
      <c r="AG82" s="255" t="str">
        <f>IF(ISNUMBER(SEARCH("C",'WetLitterbags placem_collection'!AD9)),"YES","NO")</f>
        <v>NO</v>
      </c>
      <c r="AH82" s="255" t="str">
        <f>IF(ISNUMBER(SEARCH("H", 'WetLitterbags placem_collection'!AD9)),"YES","NO")</f>
        <v>NO</v>
      </c>
      <c r="AI82" s="255" t="str">
        <f>IF(ISNUMBER(SEARCH("R", 'WetLitterbags placem_collection'!AD9)),"YES","NO")</f>
        <v>NO</v>
      </c>
      <c r="AJ82" s="255" t="str">
        <f>IF(ISNUMBER(SEARCH("C", 'WetLitterbags placem_collection'!AC9)),"YES","NO")</f>
        <v>NO</v>
      </c>
      <c r="AK82" s="255" t="str">
        <f>IF(ISNUMBER(SEARCH("H", 'WetLitterbags placem_collection'!AC9)),"YES","NO")</f>
        <v>NO</v>
      </c>
      <c r="AL82" s="255" t="str">
        <f>IF(ISNUMBER(SEARCH("R", 'WetLitterbags placem_collection'!AC9)),"YES","NO")</f>
        <v>NO</v>
      </c>
    </row>
    <row r="83" spans="2:38">
      <c r="B83" t="str">
        <f>'Final data_for_R_analysis_Wetse'!A9</f>
        <v>Wet</v>
      </c>
      <c r="C83" s="263">
        <f>'Final data_for_R_analysis_Wetse'!B9</f>
        <v>8</v>
      </c>
      <c r="D83" t="s">
        <v>3824</v>
      </c>
      <c r="E83" t="s">
        <v>22</v>
      </c>
      <c r="F83" s="387">
        <v>8</v>
      </c>
      <c r="G83" s="16">
        <f>'WetLitterbags placem_collection'!E10</f>
        <v>42766</v>
      </c>
      <c r="H83" t="str">
        <f>'Final data_for_R_analysis_Wetse'!J9</f>
        <v>G389</v>
      </c>
      <c r="I83" t="str">
        <f>'Final data_for_R_analysis_Wetse'!J229</f>
        <v>R406</v>
      </c>
      <c r="J83">
        <f>IFERROR(INDEX('Green_rooibos initial weight'!$C$5:$C$1749,MATCH(H83, 'Green_rooibos initial weight'!$A$5:$A$1749,0)),"")</f>
        <v>1.9710000000000001</v>
      </c>
      <c r="K83">
        <f>IFERROR(INDEX('Green_rooibos initial weight'!$C$5:$C$1749,MATCH(I83, 'Green_rooibos initial weight'!$A$5:$A$1749,0)),"")</f>
        <v>2.1739999999999999</v>
      </c>
      <c r="L83" s="195">
        <f t="shared" si="4"/>
        <v>1.7212000000000001</v>
      </c>
      <c r="M83" s="195">
        <f>AVERAGE(Ashed_controlls!$K$2:$K$11)</f>
        <v>5.5147656768714146</v>
      </c>
      <c r="N83" s="195">
        <f t="shared" si="0"/>
        <v>1.6262798531696894</v>
      </c>
      <c r="O83" s="195">
        <f t="shared" si="5"/>
        <v>1.9241999999999999</v>
      </c>
      <c r="P83" s="195">
        <f>AVERAGE(Ashed_controlls!$K$12:$K$14)</f>
        <v>2.2816647271287041</v>
      </c>
      <c r="Q83" s="195">
        <f t="shared" si="6"/>
        <v>1.8802962073205893</v>
      </c>
      <c r="R83" s="16">
        <f>IF('WetLitterbags placem_collection'!G10="N.A","",'WetLitterbags placem_collection'!G10)</f>
        <v>42818</v>
      </c>
      <c r="S83" s="195">
        <f>IF(IFERROR(INDEX('Both teabags AfterWet'!$C$3:$C$841,MATCH(H83,'Both teabags AfterWet'!$A$3:$A$841,0)),"")="N.A","",(IFERROR(INDEX('Both teabags AfterWet'!$C$3:$C$841,MATCH(H83,'Both teabags AfterWet'!$A$3:$A$841,0)),"")))</f>
        <v>0.61950000000000005</v>
      </c>
      <c r="T83" s="195">
        <f>IFERROR(INDEX('Both teabags AfterWet'!$C$3:$C$841,MATCH(I83,'Both teabags AfterWet'!$A$3:$A$841,0)),"")</f>
        <v>1.4278999999999999</v>
      </c>
      <c r="U83" s="195">
        <f t="shared" si="7"/>
        <v>0.46890000000000004</v>
      </c>
      <c r="V83" s="195">
        <f t="shared" si="7"/>
        <v>1.2772999999999999</v>
      </c>
      <c r="W83" s="195">
        <f>IFERROR(INDEX('Ashed teabags wet'!$K$2:$K$821,MATCH(H83,'Ashed teabags wet'!$A$2:$A$821,0)),"")</f>
        <v>9.7706879361918428</v>
      </c>
      <c r="X83" s="195">
        <f>IFERROR(INDEX('Ashed teabags wet'!$K$2:$K$821,MATCH(I83,'Ashed teabags wet'!$A$2:$A$821,0)),"")</f>
        <v>2.5291828793778013</v>
      </c>
      <c r="Y83" s="195">
        <f t="shared" si="1"/>
        <v>0.42308524426719651</v>
      </c>
      <c r="Z83" s="195">
        <f t="shared" si="1"/>
        <v>1.2449947470817073</v>
      </c>
      <c r="AA83" s="195">
        <f t="shared" si="8"/>
        <v>0.73984474846528703</v>
      </c>
      <c r="AB83" s="195">
        <f t="shared" si="9"/>
        <v>0.48502886122664901</v>
      </c>
      <c r="AC83" s="195">
        <f t="shared" si="2"/>
        <v>0.66212692565913178</v>
      </c>
      <c r="AD83">
        <f t="shared" si="3"/>
        <v>52</v>
      </c>
      <c r="AE83" s="195">
        <f t="shared" si="10"/>
        <v>0.12132452676331706</v>
      </c>
      <c r="AF83" s="195">
        <f t="shared" si="11"/>
        <v>2.2936857625070192E-2</v>
      </c>
      <c r="AG83" s="255" t="str">
        <f>IF(ISNUMBER(SEARCH("C",'WetLitterbags placem_collection'!AD10)),"YES","NO")</f>
        <v>NO</v>
      </c>
      <c r="AH83" s="255" t="str">
        <f>IF(ISNUMBER(SEARCH("H", 'WetLitterbags placem_collection'!AD10)),"YES","NO")</f>
        <v>NO</v>
      </c>
      <c r="AI83" s="255" t="str">
        <f>IF(ISNUMBER(SEARCH("R", 'WetLitterbags placem_collection'!AD10)),"YES","NO")</f>
        <v>NO</v>
      </c>
      <c r="AJ83" s="255" t="str">
        <f>IF(ISNUMBER(SEARCH("C", 'WetLitterbags placem_collection'!AC10)),"YES","NO")</f>
        <v>NO</v>
      </c>
      <c r="AK83" s="255" t="str">
        <f>IF(ISNUMBER(SEARCH("H", 'WetLitterbags placem_collection'!AC10)),"YES","NO")</f>
        <v>NO</v>
      </c>
      <c r="AL83" s="255" t="str">
        <f>IF(ISNUMBER(SEARCH("R", 'WetLitterbags placem_collection'!AC10)),"YES","NO")</f>
        <v>NO</v>
      </c>
    </row>
    <row r="84" spans="2:38">
      <c r="B84" t="str">
        <f>'Final data_for_R_analysis_Wetse'!A10</f>
        <v>Wet</v>
      </c>
      <c r="C84" s="263">
        <f>'Final data_for_R_analysis_Wetse'!B10</f>
        <v>9</v>
      </c>
      <c r="D84" t="s">
        <v>3828</v>
      </c>
      <c r="E84" t="s">
        <v>22</v>
      </c>
      <c r="F84" s="386">
        <v>1</v>
      </c>
      <c r="G84" s="16">
        <f>'WetLitterbags placem_collection'!E11</f>
        <v>42766</v>
      </c>
      <c r="H84" t="str">
        <f>'Final data_for_R_analysis_Wetse'!J10</f>
        <v>G514</v>
      </c>
      <c r="I84" t="str">
        <f>'Final data_for_R_analysis_Wetse'!J230</f>
        <v>R169</v>
      </c>
      <c r="J84">
        <f>IFERROR(INDEX('Green_rooibos initial weight'!$C$5:$C$1749,MATCH(H84, 'Green_rooibos initial weight'!$A$5:$A$1749,0)),"")</f>
        <v>1.9350000000000001</v>
      </c>
      <c r="K84">
        <f>IFERROR(INDEX('Green_rooibos initial weight'!$C$5:$C$1749,MATCH(I84, 'Green_rooibos initial weight'!$A$5:$A$1749,0)),"")</f>
        <v>2.2010000000000001</v>
      </c>
      <c r="L84" s="195">
        <f t="shared" si="4"/>
        <v>1.6852</v>
      </c>
      <c r="M84" s="195">
        <f>AVERAGE(Ashed_controlls!$K$2:$K$11)</f>
        <v>5.5147656768714146</v>
      </c>
      <c r="N84" s="195">
        <f t="shared" si="0"/>
        <v>1.5922651688133629</v>
      </c>
      <c r="O84" s="195">
        <f t="shared" si="5"/>
        <v>1.9512</v>
      </c>
      <c r="P84" s="195">
        <f>AVERAGE(Ashed_controlls!$K$12:$K$14)</f>
        <v>2.2816647271287041</v>
      </c>
      <c r="Q84" s="195">
        <f t="shared" si="6"/>
        <v>1.9066801578442647</v>
      </c>
      <c r="R84" s="16">
        <f>IF('WetLitterbags placem_collection'!G11="N.A","",'WetLitterbags placem_collection'!G11)</f>
        <v>42818</v>
      </c>
      <c r="S84" s="195" t="str">
        <f>IF(IFERROR(INDEX('Both teabags AfterWet'!$C$3:$C$841,MATCH(H84,'Both teabags AfterWet'!$A$3:$A$841,0)),"")="N.A","",(IFERROR(INDEX('Both teabags AfterWet'!$C$3:$C$841,MATCH(H84,'Both teabags AfterWet'!$A$3:$A$841,0)),"")))</f>
        <v/>
      </c>
      <c r="T84" s="195">
        <f>IFERROR(INDEX('Both teabags AfterWet'!$C$3:$C$841,MATCH(I84,'Both teabags AfterWet'!$A$3:$A$841,0)),"")</f>
        <v>2.8336999999999999</v>
      </c>
      <c r="U84" s="195" t="str">
        <f t="shared" si="7"/>
        <v/>
      </c>
      <c r="V84" s="195">
        <f t="shared" si="7"/>
        <v>2.6831</v>
      </c>
      <c r="W84" s="195">
        <f>IFERROR(INDEX('Ashed teabags wet'!$K$2:$K$821,MATCH(H84,'Ashed teabags wet'!$A$2:$A$821,0)),"")</f>
        <v>9.2933204259437421</v>
      </c>
      <c r="X84" s="195">
        <f>IFERROR(INDEX('Ashed teabags wet'!$K$2:$K$821,MATCH(I84,'Ashed teabags wet'!$A$2:$A$821,0)),"")</f>
        <v>95.2866861030124</v>
      </c>
      <c r="Y84" s="195" t="str">
        <f t="shared" si="1"/>
        <v/>
      </c>
      <c r="Z84" s="195">
        <f t="shared" si="1"/>
        <v>0.1264629251700744</v>
      </c>
      <c r="AA84" s="195" t="str">
        <f t="shared" si="8"/>
        <v/>
      </c>
      <c r="AB84" s="195" t="str">
        <f t="shared" si="9"/>
        <v/>
      </c>
      <c r="AC84" s="195">
        <f t="shared" si="2"/>
        <v>6.6326239694577946E-2</v>
      </c>
      <c r="AD84">
        <f t="shared" si="3"/>
        <v>52</v>
      </c>
      <c r="AE84" s="195" t="str">
        <f t="shared" si="10"/>
        <v/>
      </c>
      <c r="AF84" s="195" t="str">
        <f t="shared" si="11"/>
        <v/>
      </c>
      <c r="AG84" s="255" t="str">
        <f>IF(ISNUMBER(SEARCH("C",'WetLitterbags placem_collection'!AD11)),"YES","NO")</f>
        <v>NO</v>
      </c>
      <c r="AH84" s="255" t="str">
        <f>IF(ISNUMBER(SEARCH("H", 'WetLitterbags placem_collection'!AD11)),"YES","NO")</f>
        <v>NO</v>
      </c>
      <c r="AI84" s="255" t="str">
        <f>IF(ISNUMBER(SEARCH("R", 'WetLitterbags placem_collection'!AD11)),"YES","NO")</f>
        <v>NO</v>
      </c>
      <c r="AJ84" s="255" t="str">
        <f>IF(ISNUMBER(SEARCH("C", 'WetLitterbags placem_collection'!AC11)),"YES","NO")</f>
        <v>NO</v>
      </c>
      <c r="AK84" s="255" t="str">
        <f>IF(ISNUMBER(SEARCH("H", 'WetLitterbags placem_collection'!AC11)),"YES","NO")</f>
        <v>NO</v>
      </c>
      <c r="AL84" s="255" t="str">
        <f>IF(ISNUMBER(SEARCH("R", 'WetLitterbags placem_collection'!AC11)),"YES","NO")</f>
        <v>NO</v>
      </c>
    </row>
    <row r="85" spans="2:38">
      <c r="B85" t="str">
        <f>'Final data_for_R_analysis_Wetse'!A11</f>
        <v>Wet</v>
      </c>
      <c r="C85" s="263">
        <f>'Final data_for_R_analysis_Wetse'!B11</f>
        <v>10</v>
      </c>
      <c r="D85" t="s">
        <v>3828</v>
      </c>
      <c r="E85" t="s">
        <v>22</v>
      </c>
      <c r="F85" s="386">
        <v>2</v>
      </c>
      <c r="G85" s="16">
        <f>'WetLitterbags placem_collection'!E12</f>
        <v>42766</v>
      </c>
      <c r="H85" t="str">
        <f>'Final data_for_R_analysis_Wetse'!J11</f>
        <v>G286</v>
      </c>
      <c r="I85" t="str">
        <f>'Final data_for_R_analysis_Wetse'!J231</f>
        <v>R91</v>
      </c>
      <c r="J85">
        <f>IFERROR(INDEX('Green_rooibos initial weight'!$C$5:$C$1749,MATCH(H85, 'Green_rooibos initial weight'!$A$5:$A$1749,0)),"")</f>
        <v>2.0710000000000002</v>
      </c>
      <c r="K85">
        <f>IFERROR(INDEX('Green_rooibos initial weight'!$C$5:$C$1749,MATCH(I85, 'Green_rooibos initial weight'!$A$5:$A$1749,0)),"")</f>
        <v>2.133</v>
      </c>
      <c r="L85" s="195">
        <f t="shared" si="4"/>
        <v>1.8212000000000002</v>
      </c>
      <c r="M85" s="195">
        <f>AVERAGE(Ashed_controlls!$K$2:$K$11)</f>
        <v>5.5147656768714146</v>
      </c>
      <c r="N85" s="195">
        <f t="shared" si="0"/>
        <v>1.720765087492818</v>
      </c>
      <c r="O85" s="195">
        <f t="shared" si="5"/>
        <v>1.8832</v>
      </c>
      <c r="P85" s="195">
        <f>AVERAGE(Ashed_controlls!$K$12:$K$14)</f>
        <v>2.2816647271287041</v>
      </c>
      <c r="Q85" s="195">
        <f t="shared" si="6"/>
        <v>1.8402316898587123</v>
      </c>
      <c r="R85" s="16">
        <f>IF('WetLitterbags placem_collection'!G12="N.A","",'WetLitterbags placem_collection'!G12)</f>
        <v>42818</v>
      </c>
      <c r="S85" s="195">
        <f>IF(IFERROR(INDEX('Both teabags AfterWet'!$C$3:$C$841,MATCH(H85,'Both teabags AfterWet'!$A$3:$A$841,0)),"")="N.A","",(IFERROR(INDEX('Both teabags AfterWet'!$C$3:$C$841,MATCH(H85,'Both teabags AfterWet'!$A$3:$A$841,0)),"")))</f>
        <v>0.80200000000000005</v>
      </c>
      <c r="T85" s="195">
        <f>IFERROR(INDEX('Both teabags AfterWet'!$C$3:$C$841,MATCH(I85,'Both teabags AfterWet'!$A$3:$A$841,0)),"")</f>
        <v>1.3628</v>
      </c>
      <c r="U85" s="195">
        <f t="shared" si="7"/>
        <v>0.65139999999999998</v>
      </c>
      <c r="V85" s="195">
        <f t="shared" si="7"/>
        <v>1.2121999999999999</v>
      </c>
      <c r="W85" s="195">
        <f>IFERROR(INDEX('Ashed teabags wet'!$K$2:$K$821,MATCH(H85,'Ashed teabags wet'!$A$2:$A$821,0)),"")</f>
        <v>14.321233217304874</v>
      </c>
      <c r="X85" s="195">
        <f>IFERROR(INDEX('Ashed teabags wet'!$K$2:$K$821,MATCH(I85,'Ashed teabags wet'!$A$2:$A$821,0)),"")</f>
        <v>4.3562439496613994</v>
      </c>
      <c r="Y85" s="195">
        <f t="shared" si="1"/>
        <v>0.55811148682247602</v>
      </c>
      <c r="Z85" s="195">
        <f t="shared" si="1"/>
        <v>1.1593936108422045</v>
      </c>
      <c r="AA85" s="195">
        <f t="shared" si="8"/>
        <v>0.67566084942154814</v>
      </c>
      <c r="AB85" s="195">
        <f t="shared" si="9"/>
        <v>0.44295105567778459</v>
      </c>
      <c r="AC85" s="195">
        <f t="shared" si="2"/>
        <v>0.63002589143067056</v>
      </c>
      <c r="AD85">
        <f t="shared" si="3"/>
        <v>52</v>
      </c>
      <c r="AE85" s="195">
        <f t="shared" si="10"/>
        <v>0.19755243536633238</v>
      </c>
      <c r="AF85" s="195">
        <f t="shared" si="11"/>
        <v>3.4679147728915685E-2</v>
      </c>
      <c r="AG85" s="255" t="str">
        <f>IF(ISNUMBER(SEARCH("C",'WetLitterbags placem_collection'!AD12)),"YES","NO")</f>
        <v>NO</v>
      </c>
      <c r="AH85" s="255" t="str">
        <f>IF(ISNUMBER(SEARCH("H", 'WetLitterbags placem_collection'!AD12)),"YES","NO")</f>
        <v>NO</v>
      </c>
      <c r="AI85" s="255" t="str">
        <f>IF(ISNUMBER(SEARCH("R", 'WetLitterbags placem_collection'!AD12)),"YES","NO")</f>
        <v>NO</v>
      </c>
      <c r="AJ85" s="255" t="str">
        <f>IF(ISNUMBER(SEARCH("C", 'WetLitterbags placem_collection'!AC12)),"YES","NO")</f>
        <v>NO</v>
      </c>
      <c r="AK85" s="255" t="str">
        <f>IF(ISNUMBER(SEARCH("H", 'WetLitterbags placem_collection'!AC12)),"YES","NO")</f>
        <v>NO</v>
      </c>
      <c r="AL85" s="255" t="str">
        <f>IF(ISNUMBER(SEARCH("R", 'WetLitterbags placem_collection'!AC12)),"YES","NO")</f>
        <v>NO</v>
      </c>
    </row>
    <row r="86" spans="2:38">
      <c r="B86" t="str">
        <f>'Final data_for_R_analysis_Wetse'!A12</f>
        <v>Wet</v>
      </c>
      <c r="C86" s="263">
        <f>'Final data_for_R_analysis_Wetse'!B12</f>
        <v>11</v>
      </c>
      <c r="D86" t="s">
        <v>3828</v>
      </c>
      <c r="E86" t="s">
        <v>22</v>
      </c>
      <c r="F86" s="386">
        <v>3</v>
      </c>
      <c r="G86" s="16">
        <f>'WetLitterbags placem_collection'!E13</f>
        <v>42766</v>
      </c>
      <c r="H86" t="str">
        <f>'Final data_for_R_analysis_Wetse'!J12</f>
        <v>G543</v>
      </c>
      <c r="I86" t="str">
        <f>'Final data_for_R_analysis_Wetse'!J232</f>
        <v>R446</v>
      </c>
      <c r="J86">
        <f>IFERROR(INDEX('Green_rooibos initial weight'!$C$5:$C$1749,MATCH(H86, 'Green_rooibos initial weight'!$A$5:$A$1749,0)),"")</f>
        <v>2.0920000000000001</v>
      </c>
      <c r="K86">
        <f>IFERROR(INDEX('Green_rooibos initial weight'!$C$5:$C$1749,MATCH(I86, 'Green_rooibos initial weight'!$A$5:$A$1749,0)),"")</f>
        <v>2.2679999999999998</v>
      </c>
      <c r="L86" s="195">
        <f t="shared" si="4"/>
        <v>1.8422000000000001</v>
      </c>
      <c r="M86" s="195">
        <f>AVERAGE(Ashed_controlls!$K$2:$K$11)</f>
        <v>5.5147656768714146</v>
      </c>
      <c r="N86" s="195">
        <f t="shared" si="0"/>
        <v>1.7406069867006748</v>
      </c>
      <c r="O86" s="195">
        <f t="shared" si="5"/>
        <v>2.0181999999999998</v>
      </c>
      <c r="P86" s="195">
        <f>AVERAGE(Ashed_controlls!$K$12:$K$14)</f>
        <v>2.2816647271287041</v>
      </c>
      <c r="Q86" s="195">
        <f t="shared" si="6"/>
        <v>1.9721514424770883</v>
      </c>
      <c r="R86" s="16">
        <f>IF('WetLitterbags placem_collection'!G13="N.A","",'WetLitterbags placem_collection'!G13)</f>
        <v>42818</v>
      </c>
      <c r="S86" s="195">
        <f>IF(IFERROR(INDEX('Both teabags AfterWet'!$C$3:$C$841,MATCH(H86,'Both teabags AfterWet'!$A$3:$A$841,0)),"")="N.A","",(IFERROR(INDEX('Both teabags AfterWet'!$C$3:$C$841,MATCH(H86,'Both teabags AfterWet'!$A$3:$A$841,0)),"")))</f>
        <v>0.71650000000000003</v>
      </c>
      <c r="T86" s="195">
        <f>IFERROR(INDEX('Both teabags AfterWet'!$C$3:$C$841,MATCH(I86,'Both teabags AfterWet'!$A$3:$A$841,0)),"")</f>
        <v>1.4224000000000001</v>
      </c>
      <c r="U86" s="195">
        <f t="shared" si="7"/>
        <v>0.56590000000000007</v>
      </c>
      <c r="V86" s="195">
        <f t="shared" si="7"/>
        <v>1.2718</v>
      </c>
      <c r="W86" s="195">
        <f>IFERROR(INDEX('Ashed teabags wet'!$K$2:$K$821,MATCH(H86,'Ashed teabags wet'!$A$2:$A$821,0)),"")</f>
        <v>12.04819277108421</v>
      </c>
      <c r="X86" s="195">
        <f>IFERROR(INDEX('Ashed teabags wet'!$K$2:$K$821,MATCH(I86,'Ashed teabags wet'!$A$2:$A$821,0)),"")</f>
        <v>5.1775147928992347</v>
      </c>
      <c r="Y86" s="195">
        <f t="shared" si="1"/>
        <v>0.4977192771084345</v>
      </c>
      <c r="Z86" s="195">
        <f t="shared" si="1"/>
        <v>1.2059523668639076</v>
      </c>
      <c r="AA86" s="195">
        <f t="shared" si="8"/>
        <v>0.71405418861849868</v>
      </c>
      <c r="AB86" s="195">
        <f t="shared" si="9"/>
        <v>0.46812103576889708</v>
      </c>
      <c r="AC86" s="195">
        <f t="shared" si="2"/>
        <v>0.61149075111046802</v>
      </c>
      <c r="AD86">
        <f t="shared" si="3"/>
        <v>52</v>
      </c>
      <c r="AE86" s="195">
        <f t="shared" si="10"/>
        <v>0.15195464534620107</v>
      </c>
      <c r="AF86" s="195">
        <f t="shared" si="11"/>
        <v>3.4068552454925731E-2</v>
      </c>
      <c r="AG86" s="255" t="str">
        <f>IF(ISNUMBER(SEARCH("C",'WetLitterbags placem_collection'!AD13)),"YES","NO")</f>
        <v>NO</v>
      </c>
      <c r="AH86" s="255" t="str">
        <f>IF(ISNUMBER(SEARCH("H", 'WetLitterbags placem_collection'!AD13)),"YES","NO")</f>
        <v>NO</v>
      </c>
      <c r="AI86" s="255" t="str">
        <f>IF(ISNUMBER(SEARCH("R", 'WetLitterbags placem_collection'!AD13)),"YES","NO")</f>
        <v>NO</v>
      </c>
      <c r="AJ86" s="255" t="str">
        <f>IF(ISNUMBER(SEARCH("C", 'WetLitterbags placem_collection'!AC13)),"YES","NO")</f>
        <v>NO</v>
      </c>
      <c r="AK86" s="255" t="str">
        <f>IF(ISNUMBER(SEARCH("H", 'WetLitterbags placem_collection'!AC13)),"YES","NO")</f>
        <v>NO</v>
      </c>
      <c r="AL86" s="255" t="str">
        <f>IF(ISNUMBER(SEARCH("R", 'WetLitterbags placem_collection'!AC13)),"YES","NO")</f>
        <v>NO</v>
      </c>
    </row>
    <row r="87" spans="2:38">
      <c r="B87" t="str">
        <f>'Final data_for_R_analysis_Wetse'!A13</f>
        <v>Wet</v>
      </c>
      <c r="C87" s="263">
        <f>'Final data_for_R_analysis_Wetse'!B13</f>
        <v>12</v>
      </c>
      <c r="D87" t="s">
        <v>3828</v>
      </c>
      <c r="E87" t="s">
        <v>22</v>
      </c>
      <c r="F87" s="387">
        <v>4</v>
      </c>
      <c r="G87" s="16">
        <f>'WetLitterbags placem_collection'!E14</f>
        <v>42766</v>
      </c>
      <c r="H87" t="str">
        <f>'Final data_for_R_analysis_Wetse'!J13</f>
        <v>G590</v>
      </c>
      <c r="I87" t="str">
        <f>'Final data_for_R_analysis_Wetse'!J233</f>
        <v>R409</v>
      </c>
      <c r="J87">
        <f>IFERROR(INDEX('Green_rooibos initial weight'!$C$5:$C$1749,MATCH(H87, 'Green_rooibos initial weight'!$A$5:$A$1749,0)),"")</f>
        <v>2.0830000000000002</v>
      </c>
      <c r="K87">
        <f>IFERROR(INDEX('Green_rooibos initial weight'!$C$5:$C$1749,MATCH(I87, 'Green_rooibos initial weight'!$A$5:$A$1749,0)),"")</f>
        <v>2.2000000000000002</v>
      </c>
      <c r="L87" s="195">
        <f t="shared" si="4"/>
        <v>1.8332000000000002</v>
      </c>
      <c r="M87" s="195">
        <f>AVERAGE(Ashed_controlls!$K$2:$K$11)</f>
        <v>5.5147656768714146</v>
      </c>
      <c r="N87" s="195">
        <f t="shared" si="0"/>
        <v>1.7321033156115935</v>
      </c>
      <c r="O87" s="195">
        <f t="shared" si="5"/>
        <v>1.9502000000000002</v>
      </c>
      <c r="P87" s="195">
        <f>AVERAGE(Ashed_controlls!$K$12:$K$14)</f>
        <v>2.2816647271287041</v>
      </c>
      <c r="Q87" s="195">
        <f t="shared" si="6"/>
        <v>1.9057029744915361</v>
      </c>
      <c r="R87" s="16">
        <f>IF('WetLitterbags placem_collection'!G14="N.A","",'WetLitterbags placem_collection'!G14)</f>
        <v>0</v>
      </c>
      <c r="S87" s="195" t="str">
        <f>IF(IFERROR(INDEX('Both teabags AfterWet'!$C$3:$C$841,MATCH(H87,'Both teabags AfterWet'!$A$3:$A$841,0)),"")="N.A","",(IFERROR(INDEX('Both teabags AfterWet'!$C$3:$C$841,MATCH(H87,'Both teabags AfterWet'!$A$3:$A$841,0)),"")))</f>
        <v/>
      </c>
      <c r="T87" s="195" t="str">
        <f>IFERROR(INDEX('Both teabags AfterWet'!$C$3:$C$841,MATCH(I87,'Both teabags AfterWet'!$A$3:$A$841,0)),"")</f>
        <v/>
      </c>
      <c r="U87" s="195" t="str">
        <f t="shared" si="7"/>
        <v/>
      </c>
      <c r="V87" s="195" t="str">
        <f t="shared" si="7"/>
        <v/>
      </c>
      <c r="W87" s="195" t="str">
        <f>IFERROR(INDEX('Ashed teabags wet'!$K$2:$K$821,MATCH(H87,'Ashed teabags wet'!$A$2:$A$821,0)),"")</f>
        <v/>
      </c>
      <c r="X87" s="195" t="str">
        <f>IFERROR(INDEX('Ashed teabags wet'!$K$2:$K$821,MATCH(I87,'Ashed teabags wet'!$A$2:$A$821,0)),"")</f>
        <v/>
      </c>
      <c r="Y87" s="195" t="str">
        <f t="shared" si="1"/>
        <v/>
      </c>
      <c r="Z87" s="195" t="str">
        <f t="shared" si="1"/>
        <v/>
      </c>
      <c r="AA87" s="195" t="str">
        <f t="shared" si="8"/>
        <v/>
      </c>
      <c r="AB87" s="195" t="str">
        <f t="shared" si="9"/>
        <v/>
      </c>
      <c r="AC87" s="195" t="str">
        <f t="shared" si="2"/>
        <v/>
      </c>
      <c r="AD87" t="str">
        <f t="shared" si="3"/>
        <v/>
      </c>
      <c r="AE87" s="195" t="str">
        <f t="shared" si="10"/>
        <v/>
      </c>
      <c r="AF87" s="195" t="str">
        <f t="shared" si="11"/>
        <v/>
      </c>
      <c r="AG87" s="255" t="str">
        <f>IF(ISNUMBER(SEARCH("C",'WetLitterbags placem_collection'!AD14)),"YES","NO")</f>
        <v>NO</v>
      </c>
      <c r="AH87" s="255" t="str">
        <f>IF(ISNUMBER(SEARCH("H", 'WetLitterbags placem_collection'!AD14)),"YES","NO")</f>
        <v>NO</v>
      </c>
      <c r="AI87" s="255" t="str">
        <f>IF(ISNUMBER(SEARCH("R", 'WetLitterbags placem_collection'!AD14)),"YES","NO")</f>
        <v>NO</v>
      </c>
      <c r="AJ87" s="255" t="str">
        <f>IF(ISNUMBER(SEARCH("C", 'WetLitterbags placem_collection'!AC14)),"YES","NO")</f>
        <v>NO</v>
      </c>
      <c r="AK87" s="255" t="str">
        <f>IF(ISNUMBER(SEARCH("H", 'WetLitterbags placem_collection'!AC14)),"YES","NO")</f>
        <v>NO</v>
      </c>
      <c r="AL87" s="255" t="str">
        <f>IF(ISNUMBER(SEARCH("R", 'WetLitterbags placem_collection'!AC14)),"YES","NO")</f>
        <v>NO</v>
      </c>
    </row>
    <row r="88" spans="2:38">
      <c r="B88" t="str">
        <f>'Final data_for_R_analysis_Wetse'!A14</f>
        <v>Wet</v>
      </c>
      <c r="C88" s="263">
        <f>'Final data_for_R_analysis_Wetse'!B14</f>
        <v>13</v>
      </c>
      <c r="D88" t="s">
        <v>3828</v>
      </c>
      <c r="E88" t="s">
        <v>22</v>
      </c>
      <c r="F88" s="387">
        <v>5</v>
      </c>
      <c r="G88" s="16">
        <f>'WetLitterbags placem_collection'!E15</f>
        <v>42766</v>
      </c>
      <c r="H88" t="str">
        <f>'Final data_for_R_analysis_Wetse'!J14</f>
        <v>G595</v>
      </c>
      <c r="I88" t="str">
        <f>'Final data_for_R_analysis_Wetse'!J234</f>
        <v>R450</v>
      </c>
      <c r="J88">
        <f>IFERROR(INDEX('Green_rooibos initial weight'!$C$5:$C$1749,MATCH(H88, 'Green_rooibos initial weight'!$A$5:$A$1749,0)),"")</f>
        <v>2.1160000000000001</v>
      </c>
      <c r="K88">
        <f>IFERROR(INDEX('Green_rooibos initial weight'!$C$5:$C$1749,MATCH(I88, 'Green_rooibos initial weight'!$A$5:$A$1749,0)),"")</f>
        <v>2.2250000000000001</v>
      </c>
      <c r="L88" s="195">
        <f t="shared" si="4"/>
        <v>1.8662000000000001</v>
      </c>
      <c r="M88" s="195">
        <f>AVERAGE(Ashed_controlls!$K$2:$K$11)</f>
        <v>5.5147656768714146</v>
      </c>
      <c r="N88" s="195">
        <f t="shared" si="0"/>
        <v>1.7632834429382258</v>
      </c>
      <c r="O88" s="195">
        <f t="shared" si="5"/>
        <v>1.9752000000000001</v>
      </c>
      <c r="P88" s="195">
        <f>AVERAGE(Ashed_controlls!$K$12:$K$14)</f>
        <v>2.2816647271287041</v>
      </c>
      <c r="Q88" s="195">
        <f t="shared" si="6"/>
        <v>1.9301325583097539</v>
      </c>
      <c r="R88" s="16">
        <f>IF('WetLitterbags placem_collection'!G15="N.A","",'WetLitterbags placem_collection'!G15)</f>
        <v>42818</v>
      </c>
      <c r="S88" s="195">
        <f>IF(IFERROR(INDEX('Both teabags AfterWet'!$C$3:$C$841,MATCH(H88,'Both teabags AfterWet'!$A$3:$A$841,0)),"")="N.A","",(IFERROR(INDEX('Both teabags AfterWet'!$C$3:$C$841,MATCH(H88,'Both teabags AfterWet'!$A$3:$A$841,0)),"")))</f>
        <v>0.62809999999999999</v>
      </c>
      <c r="T88" s="195">
        <f>IFERROR(INDEX('Both teabags AfterWet'!$C$3:$C$841,MATCH(I88,'Both teabags AfterWet'!$A$3:$A$841,0)),"")</f>
        <v>0.91920000000000002</v>
      </c>
      <c r="U88" s="195">
        <f t="shared" si="7"/>
        <v>0.47749999999999998</v>
      </c>
      <c r="V88" s="195">
        <f t="shared" si="7"/>
        <v>0.76859999999999995</v>
      </c>
      <c r="W88" s="195">
        <f>IFERROR(INDEX('Ashed teabags wet'!$K$2:$K$821,MATCH(H88,'Ashed teabags wet'!$A$2:$A$821,0)),"")</f>
        <v>29.168740666998239</v>
      </c>
      <c r="X88" s="195">
        <f>IFERROR(INDEX('Ashed teabags wet'!$K$2:$K$821,MATCH(I88,'Ashed teabags wet'!$A$2:$A$821,0)),"")</f>
        <v>41.214534594325485</v>
      </c>
      <c r="Y88" s="195">
        <f t="shared" si="1"/>
        <v>0.3382192633150834</v>
      </c>
      <c r="Z88" s="195">
        <f t="shared" si="1"/>
        <v>0.45182508710801428</v>
      </c>
      <c r="AA88" s="195">
        <f t="shared" si="8"/>
        <v>0.8081878074284552</v>
      </c>
      <c r="AB88" s="195">
        <f t="shared" si="9"/>
        <v>0.5298333369364695</v>
      </c>
      <c r="AC88" s="195">
        <f t="shared" si="2"/>
        <v>0.23409018471958437</v>
      </c>
      <c r="AD88">
        <f t="shared" si="3"/>
        <v>52</v>
      </c>
      <c r="AE88" s="195">
        <f t="shared" si="10"/>
        <v>4.0156998303497393E-2</v>
      </c>
      <c r="AF88" s="195" t="str">
        <f t="shared" si="11"/>
        <v/>
      </c>
      <c r="AG88" s="255" t="str">
        <f>IF(ISNUMBER(SEARCH("C",'WetLitterbags placem_collection'!AD15)),"YES","NO")</f>
        <v>NO</v>
      </c>
      <c r="AH88" s="255" t="str">
        <f>IF(ISNUMBER(SEARCH("H", 'WetLitterbags placem_collection'!AD15)),"YES","NO")</f>
        <v>NO</v>
      </c>
      <c r="AI88" s="255" t="str">
        <f>IF(ISNUMBER(SEARCH("R", 'WetLitterbags placem_collection'!AD15)),"YES","NO")</f>
        <v>NO</v>
      </c>
      <c r="AJ88" s="255" t="str">
        <f>IF(ISNUMBER(SEARCH("C", 'WetLitterbags placem_collection'!AC15)),"YES","NO")</f>
        <v>NO</v>
      </c>
      <c r="AK88" s="255" t="str">
        <f>IF(ISNUMBER(SEARCH("H", 'WetLitterbags placem_collection'!AC15)),"YES","NO")</f>
        <v>NO</v>
      </c>
      <c r="AL88" s="255" t="str">
        <f>IF(ISNUMBER(SEARCH("R", 'WetLitterbags placem_collection'!AC15)),"YES","NO")</f>
        <v>NO</v>
      </c>
    </row>
    <row r="89" spans="2:38">
      <c r="B89" t="str">
        <f>'Final data_for_R_analysis_Wetse'!A15</f>
        <v>Wet</v>
      </c>
      <c r="C89" s="263">
        <f>'Final data_for_R_analysis_Wetse'!B15</f>
        <v>14</v>
      </c>
      <c r="D89" t="s">
        <v>3828</v>
      </c>
      <c r="E89" t="s">
        <v>22</v>
      </c>
      <c r="F89" s="387">
        <v>6</v>
      </c>
      <c r="G89" s="16">
        <f>'WetLitterbags placem_collection'!E16</f>
        <v>42766</v>
      </c>
      <c r="H89" t="str">
        <f>'Final data_for_R_analysis_Wetse'!J15</f>
        <v>G609</v>
      </c>
      <c r="I89" t="str">
        <f>'Final data_for_R_analysis_Wetse'!J235</f>
        <v>R382</v>
      </c>
      <c r="J89">
        <f>IFERROR(INDEX('Green_rooibos initial weight'!$C$5:$C$1749,MATCH(H89, 'Green_rooibos initial weight'!$A$5:$A$1749,0)),"")</f>
        <v>2.089</v>
      </c>
      <c r="K89">
        <f>IFERROR(INDEX('Green_rooibos initial weight'!$C$5:$C$1749,MATCH(I89, 'Green_rooibos initial weight'!$A$5:$A$1749,0)),"")</f>
        <v>2.2210000000000001</v>
      </c>
      <c r="L89" s="195">
        <f t="shared" si="4"/>
        <v>1.8391999999999999</v>
      </c>
      <c r="M89" s="195">
        <f>AVERAGE(Ashed_controlls!$K$2:$K$11)</f>
        <v>5.5147656768714146</v>
      </c>
      <c r="N89" s="195">
        <f t="shared" si="0"/>
        <v>1.7377724296709809</v>
      </c>
      <c r="O89" s="195">
        <f t="shared" si="5"/>
        <v>1.9712000000000001</v>
      </c>
      <c r="P89" s="195">
        <f>AVERAGE(Ashed_controlls!$K$12:$K$14)</f>
        <v>2.2816647271287041</v>
      </c>
      <c r="Q89" s="195">
        <f t="shared" si="6"/>
        <v>1.926223824898839</v>
      </c>
      <c r="R89" s="16">
        <f>IF('WetLitterbags placem_collection'!G16="N.A","",'WetLitterbags placem_collection'!G16)</f>
        <v>42818</v>
      </c>
      <c r="S89" s="195">
        <f>IF(IFERROR(INDEX('Both teabags AfterWet'!$C$3:$C$841,MATCH(H89,'Both teabags AfterWet'!$A$3:$A$841,0)),"")="N.A","",(IFERROR(INDEX('Both teabags AfterWet'!$C$3:$C$841,MATCH(H89,'Both teabags AfterWet'!$A$3:$A$841,0)),"")))</f>
        <v>0.498</v>
      </c>
      <c r="T89" s="195">
        <f>IFERROR(INDEX('Both teabags AfterWet'!$C$3:$C$841,MATCH(I89,'Both teabags AfterWet'!$A$3:$A$841,0)),"")</f>
        <v>1.794</v>
      </c>
      <c r="U89" s="195">
        <f t="shared" si="7"/>
        <v>0.34739999999999999</v>
      </c>
      <c r="V89" s="195">
        <f t="shared" si="7"/>
        <v>1.6434</v>
      </c>
      <c r="W89" s="195">
        <f>IFERROR(INDEX('Ashed teabags wet'!$K$2:$K$821,MATCH(H89,'Ashed teabags wet'!$A$2:$A$821,0)),"")</f>
        <v>16.033966033965626</v>
      </c>
      <c r="X89" s="195">
        <f>IFERROR(INDEX('Ashed teabags wet'!$K$2:$K$821,MATCH(I89,'Ashed teabags wet'!$A$2:$A$821,0)),"")</f>
        <v>87.890437289764591</v>
      </c>
      <c r="Y89" s="195">
        <f t="shared" si="1"/>
        <v>0.29169800199800339</v>
      </c>
      <c r="Z89" s="195">
        <f t="shared" si="1"/>
        <v>0.1990085535800088</v>
      </c>
      <c r="AA89" s="195">
        <f t="shared" si="8"/>
        <v>0.83214257688894766</v>
      </c>
      <c r="AB89" s="195">
        <f t="shared" si="9"/>
        <v>0.54553765135712495</v>
      </c>
      <c r="AC89" s="195">
        <f t="shared" si="2"/>
        <v>0.10331538370960616</v>
      </c>
      <c r="AD89">
        <f t="shared" si="3"/>
        <v>52</v>
      </c>
      <c r="AE89" s="195">
        <f t="shared" si="10"/>
        <v>1.1707153338541887E-2</v>
      </c>
      <c r="AF89" s="195" t="str">
        <f t="shared" si="11"/>
        <v/>
      </c>
      <c r="AG89" s="255" t="str">
        <f>IF(ISNUMBER(SEARCH("C",'WetLitterbags placem_collection'!AD16)),"YES","NO")</f>
        <v>NO</v>
      </c>
      <c r="AH89" s="255" t="str">
        <f>IF(ISNUMBER(SEARCH("H", 'WetLitterbags placem_collection'!AD16)),"YES","NO")</f>
        <v>NO</v>
      </c>
      <c r="AI89" s="255" t="str">
        <f>IF(ISNUMBER(SEARCH("R", 'WetLitterbags placem_collection'!AD16)),"YES","NO")</f>
        <v>NO</v>
      </c>
      <c r="AJ89" s="255" t="str">
        <f>IF(ISNUMBER(SEARCH("C", 'WetLitterbags placem_collection'!AC16)),"YES","NO")</f>
        <v>NO</v>
      </c>
      <c r="AK89" s="255" t="str">
        <f>IF(ISNUMBER(SEARCH("H", 'WetLitterbags placem_collection'!AC16)),"YES","NO")</f>
        <v>NO</v>
      </c>
      <c r="AL89" s="255" t="str">
        <f>IF(ISNUMBER(SEARCH("R", 'WetLitterbags placem_collection'!AC16)),"YES","NO")</f>
        <v>NO</v>
      </c>
    </row>
    <row r="90" spans="2:38">
      <c r="B90" t="str">
        <f>'Final data_for_R_analysis_Wetse'!A16</f>
        <v>Wet</v>
      </c>
      <c r="C90" s="263">
        <f>'Final data_for_R_analysis_Wetse'!B16</f>
        <v>15</v>
      </c>
      <c r="D90" t="s">
        <v>3828</v>
      </c>
      <c r="E90" t="s">
        <v>22</v>
      </c>
      <c r="F90" s="387">
        <v>7</v>
      </c>
      <c r="G90" s="16">
        <f>'WetLitterbags placem_collection'!E17</f>
        <v>42766</v>
      </c>
      <c r="H90" t="str">
        <f>'Final data_for_R_analysis_Wetse'!J16</f>
        <v>G222</v>
      </c>
      <c r="I90" t="str">
        <f>'Final data_for_R_analysis_Wetse'!J236</f>
        <v>R415</v>
      </c>
      <c r="J90">
        <f>IFERROR(INDEX('Green_rooibos initial weight'!$C$5:$C$1749,MATCH(H90, 'Green_rooibos initial weight'!$A$5:$A$1749,0)),"")</f>
        <v>1.889</v>
      </c>
      <c r="K90">
        <f>IFERROR(INDEX('Green_rooibos initial weight'!$C$5:$C$1749,MATCH(I90, 'Green_rooibos initial weight'!$A$5:$A$1749,0)),"")</f>
        <v>2.2160000000000002</v>
      </c>
      <c r="L90" s="195">
        <f t="shared" si="4"/>
        <v>1.6392</v>
      </c>
      <c r="M90" s="195">
        <f>AVERAGE(Ashed_controlls!$K$2:$K$11)</f>
        <v>5.5147656768714146</v>
      </c>
      <c r="N90" s="195">
        <f t="shared" si="0"/>
        <v>1.5488019610247237</v>
      </c>
      <c r="O90" s="195">
        <f t="shared" si="5"/>
        <v>1.9662000000000002</v>
      </c>
      <c r="P90" s="195">
        <f>AVERAGE(Ashed_controlls!$K$12:$K$14)</f>
        <v>2.2816647271287041</v>
      </c>
      <c r="Q90" s="195">
        <f t="shared" si="6"/>
        <v>1.9213379081351956</v>
      </c>
      <c r="R90" s="16">
        <f>IF('WetLitterbags placem_collection'!G17="N.A","",'WetLitterbags placem_collection'!G17)</f>
        <v>42818</v>
      </c>
      <c r="S90" s="195">
        <f>IF(IFERROR(INDEX('Both teabags AfterWet'!$C$3:$C$841,MATCH(H90,'Both teabags AfterWet'!$A$3:$A$841,0)),"")="N.A","",(IFERROR(INDEX('Both teabags AfterWet'!$C$3:$C$841,MATCH(H90,'Both teabags AfterWet'!$A$3:$A$841,0)),"")))</f>
        <v>0.67100000000000004</v>
      </c>
      <c r="T90" s="195">
        <f>IFERROR(INDEX('Both teabags AfterWet'!$C$3:$C$841,MATCH(I90,'Both teabags AfterWet'!$A$3:$A$841,0)),"")</f>
        <v>2.96</v>
      </c>
      <c r="U90" s="195">
        <f t="shared" si="7"/>
        <v>0.52039999999999997</v>
      </c>
      <c r="V90" s="195">
        <f t="shared" si="7"/>
        <v>2.8094000000000001</v>
      </c>
      <c r="W90" s="195">
        <f>IFERROR(INDEX('Ashed teabags wet'!$K$2:$K$821,MATCH(H90,'Ashed teabags wet'!$A$2:$A$821,0)),"")</f>
        <v>15.805168986083718</v>
      </c>
      <c r="X90" s="195">
        <f>IFERROR(INDEX('Ashed teabags wet'!$K$2:$K$821,MATCH(I90,'Ashed teabags wet'!$A$2:$A$821,0)),"")</f>
        <v>78.641732283464947</v>
      </c>
      <c r="Y90" s="195">
        <f t="shared" si="1"/>
        <v>0.43814990059642034</v>
      </c>
      <c r="Z90" s="195">
        <f t="shared" si="1"/>
        <v>0.60003917322833589</v>
      </c>
      <c r="AA90" s="195">
        <f t="shared" si="8"/>
        <v>0.71710398642152406</v>
      </c>
      <c r="AB90" s="195">
        <f t="shared" si="9"/>
        <v>0.47012042815282823</v>
      </c>
      <c r="AC90" s="195">
        <f t="shared" si="2"/>
        <v>0.31230278166463676</v>
      </c>
      <c r="AD90">
        <f t="shared" si="3"/>
        <v>52</v>
      </c>
      <c r="AE90" s="195">
        <f t="shared" si="10"/>
        <v>0.14833255769415188</v>
      </c>
      <c r="AF90" s="195" t="str">
        <f t="shared" si="11"/>
        <v/>
      </c>
      <c r="AG90" s="255" t="str">
        <f>IF(ISNUMBER(SEARCH("C",'WetLitterbags placem_collection'!AD17)),"YES","NO")</f>
        <v>NO</v>
      </c>
      <c r="AH90" s="255" t="str">
        <f>IF(ISNUMBER(SEARCH("H", 'WetLitterbags placem_collection'!AD17)),"YES","NO")</f>
        <v>YES</v>
      </c>
      <c r="AI90" s="255" t="str">
        <f>IF(ISNUMBER(SEARCH("R", 'WetLitterbags placem_collection'!AD17)),"YES","NO")</f>
        <v>YES</v>
      </c>
      <c r="AJ90" s="255" t="str">
        <f>IF(ISNUMBER(SEARCH("C", 'WetLitterbags placem_collection'!AC17)),"YES","NO")</f>
        <v>NO</v>
      </c>
      <c r="AK90" s="255" t="str">
        <f>IF(ISNUMBER(SEARCH("H", 'WetLitterbags placem_collection'!AC17)),"YES","NO")</f>
        <v>NO</v>
      </c>
      <c r="AL90" s="255" t="str">
        <f>IF(ISNUMBER(SEARCH("R", 'WetLitterbags placem_collection'!AC17)),"YES","NO")</f>
        <v>NO</v>
      </c>
    </row>
    <row r="91" spans="2:38">
      <c r="B91" t="str">
        <f>'Final data_for_R_analysis_Wetse'!A17</f>
        <v>Wet</v>
      </c>
      <c r="C91" s="263">
        <f>'Final data_for_R_analysis_Wetse'!B17</f>
        <v>16</v>
      </c>
      <c r="D91" t="s">
        <v>3828</v>
      </c>
      <c r="E91" t="s">
        <v>22</v>
      </c>
      <c r="F91" s="387">
        <v>8</v>
      </c>
      <c r="G91" s="16">
        <f>'WetLitterbags placem_collection'!E18</f>
        <v>42766</v>
      </c>
      <c r="H91" t="str">
        <f>'Final data_for_R_analysis_Wetse'!J17</f>
        <v>G405</v>
      </c>
      <c r="I91" t="str">
        <f>'Final data_for_R_analysis_Wetse'!J237</f>
        <v>R519</v>
      </c>
      <c r="J91">
        <f>IFERROR(INDEX('Green_rooibos initial weight'!$C$5:$C$1749,MATCH(H91, 'Green_rooibos initial weight'!$A$5:$A$1749,0)),"")</f>
        <v>2.056</v>
      </c>
      <c r="K91">
        <f>IFERROR(INDEX('Green_rooibos initial weight'!$C$5:$C$1749,MATCH(I91, 'Green_rooibos initial weight'!$A$5:$A$1749,0)),"")</f>
        <v>2.21</v>
      </c>
      <c r="L91" s="195">
        <f t="shared" si="4"/>
        <v>1.8062</v>
      </c>
      <c r="M91" s="195">
        <f>AVERAGE(Ashed_controlls!$K$2:$K$11)</f>
        <v>5.5147656768714146</v>
      </c>
      <c r="N91" s="195">
        <f t="shared" si="0"/>
        <v>1.7065923023443486</v>
      </c>
      <c r="O91" s="195">
        <f t="shared" si="5"/>
        <v>1.9601999999999999</v>
      </c>
      <c r="P91" s="195">
        <f>AVERAGE(Ashed_controlls!$K$12:$K$14)</f>
        <v>2.2816647271287041</v>
      </c>
      <c r="Q91" s="195">
        <f t="shared" si="6"/>
        <v>1.9154748080188231</v>
      </c>
      <c r="R91" s="16">
        <f>IF('WetLitterbags placem_collection'!G18="N.A","",'WetLitterbags placem_collection'!G18)</f>
        <v>42818</v>
      </c>
      <c r="S91" s="195">
        <f>IF(IFERROR(INDEX('Both teabags AfterWet'!$C$3:$C$841,MATCH(H91,'Both teabags AfterWet'!$A$3:$A$841,0)),"")="N.A","",(IFERROR(INDEX('Both teabags AfterWet'!$C$3:$C$841,MATCH(H91,'Both teabags AfterWet'!$A$3:$A$841,0)),"")))</f>
        <v>0.70150000000000001</v>
      </c>
      <c r="T91" s="195">
        <f>IFERROR(INDEX('Both teabags AfterWet'!$C$3:$C$841,MATCH(I91,'Both teabags AfterWet'!$A$3:$A$841,0)),"")</f>
        <v>1.4281999999999999</v>
      </c>
      <c r="U91" s="195">
        <f t="shared" si="7"/>
        <v>0.55089999999999995</v>
      </c>
      <c r="V91" s="195">
        <f t="shared" si="7"/>
        <v>1.2775999999999998</v>
      </c>
      <c r="W91" s="195">
        <f>IFERROR(INDEX('Ashed teabags wet'!$K$2:$K$821,MATCH(H91,'Ashed teabags wet'!$A$2:$A$821,0)),"")</f>
        <v>15.725413826680606</v>
      </c>
      <c r="X91" s="195">
        <f>IFERROR(INDEX('Ashed teabags wet'!$K$2:$K$821,MATCH(I91,'Ashed teabags wet'!$A$2:$A$821,0)),"")</f>
        <v>5.8709364386224854</v>
      </c>
      <c r="Y91" s="195">
        <f t="shared" si="1"/>
        <v>0.46426869522881647</v>
      </c>
      <c r="Z91" s="195">
        <f t="shared" si="1"/>
        <v>1.2025929160601589</v>
      </c>
      <c r="AA91" s="195">
        <f t="shared" si="8"/>
        <v>0.72795570764555206</v>
      </c>
      <c r="AB91" s="195">
        <f t="shared" si="9"/>
        <v>0.4772346206892456</v>
      </c>
      <c r="AC91" s="195">
        <f t="shared" si="2"/>
        <v>0.62783019177579347</v>
      </c>
      <c r="AD91">
        <f t="shared" si="3"/>
        <v>52</v>
      </c>
      <c r="AE91" s="195">
        <f t="shared" si="10"/>
        <v>0.13544452773687399</v>
      </c>
      <c r="AF91" s="195">
        <f t="shared" si="11"/>
        <v>2.9104438767934209E-2</v>
      </c>
      <c r="AG91" s="255" t="str">
        <f>IF(ISNUMBER(SEARCH("C",'WetLitterbags placem_collection'!AD18)),"YES","NO")</f>
        <v>NO</v>
      </c>
      <c r="AH91" s="255" t="str">
        <f>IF(ISNUMBER(SEARCH("H", 'WetLitterbags placem_collection'!AD18)),"YES","NO")</f>
        <v>NO</v>
      </c>
      <c r="AI91" s="255" t="str">
        <f>IF(ISNUMBER(SEARCH("R", 'WetLitterbags placem_collection'!AD18)),"YES","NO")</f>
        <v>NO</v>
      </c>
      <c r="AJ91" s="255" t="str">
        <f>IF(ISNUMBER(SEARCH("C", 'WetLitterbags placem_collection'!AC18)),"YES","NO")</f>
        <v>NO</v>
      </c>
      <c r="AK91" s="255" t="str">
        <f>IF(ISNUMBER(SEARCH("H", 'WetLitterbags placem_collection'!AC18)),"YES","NO")</f>
        <v>NO</v>
      </c>
      <c r="AL91" s="255" t="str">
        <f>IF(ISNUMBER(SEARCH("R", 'WetLitterbags placem_collection'!AC18)),"YES","NO")</f>
        <v>NO</v>
      </c>
    </row>
    <row r="92" spans="2:38">
      <c r="B92" t="str">
        <f>'Final data_for_R_analysis_Wetse'!A18</f>
        <v>Wet</v>
      </c>
      <c r="C92" s="263">
        <f>'Final data_for_R_analysis_Wetse'!B18</f>
        <v>17</v>
      </c>
      <c r="D92" t="s">
        <v>3829</v>
      </c>
      <c r="E92" t="s">
        <v>22</v>
      </c>
      <c r="F92" s="386">
        <v>1</v>
      </c>
      <c r="G92" s="16">
        <f>'WetLitterbags placem_collection'!E19</f>
        <v>42767</v>
      </c>
      <c r="H92" t="str">
        <f>'Final data_for_R_analysis_Wetse'!J18</f>
        <v>G571</v>
      </c>
      <c r="I92" t="str">
        <f>'Final data_for_R_analysis_Wetse'!J238</f>
        <v>R542</v>
      </c>
      <c r="J92">
        <f>IFERROR(INDEX('Green_rooibos initial weight'!$C$5:$C$1749,MATCH(H92, 'Green_rooibos initial weight'!$A$5:$A$1749,0)),"")</f>
        <v>2.0489999999999999</v>
      </c>
      <c r="K92">
        <f>IFERROR(INDEX('Green_rooibos initial weight'!$C$5:$C$1749,MATCH(I92, 'Green_rooibos initial weight'!$A$5:$A$1749,0)),"")</f>
        <v>2.2010000000000001</v>
      </c>
      <c r="L92" s="195">
        <f t="shared" si="4"/>
        <v>1.7991999999999999</v>
      </c>
      <c r="M92" s="195">
        <f>AVERAGE(Ashed_controlls!$K$2:$K$11)</f>
        <v>5.5147656768714146</v>
      </c>
      <c r="N92" s="195">
        <f t="shared" si="0"/>
        <v>1.6999783359417293</v>
      </c>
      <c r="O92" s="195">
        <f t="shared" si="5"/>
        <v>1.9512</v>
      </c>
      <c r="P92" s="195">
        <f>AVERAGE(Ashed_controlls!$K$12:$K$14)</f>
        <v>2.2816647271287041</v>
      </c>
      <c r="Q92" s="195">
        <f t="shared" si="6"/>
        <v>1.9066801578442647</v>
      </c>
      <c r="R92" s="16">
        <f>IF('WetLitterbags placem_collection'!G19="N.A","",'WetLitterbags placem_collection'!G19)</f>
        <v>42818</v>
      </c>
      <c r="S92" s="195">
        <f>IF(IFERROR(INDEX('Both teabags AfterWet'!$C$3:$C$841,MATCH(H92,'Both teabags AfterWet'!$A$3:$A$841,0)),"")="N.A","",(IFERROR(INDEX('Both teabags AfterWet'!$C$3:$C$841,MATCH(H92,'Both teabags AfterWet'!$A$3:$A$841,0)),"")))</f>
        <v>0.67520000000000002</v>
      </c>
      <c r="T92" s="195">
        <f>IFERROR(INDEX('Both teabags AfterWet'!$C$3:$C$841,MATCH(I92,'Both teabags AfterWet'!$A$3:$A$841,0)),"")</f>
        <v>1.6227</v>
      </c>
      <c r="U92" s="195">
        <f t="shared" si="7"/>
        <v>0.52459999999999996</v>
      </c>
      <c r="V92" s="195">
        <f t="shared" si="7"/>
        <v>1.4721</v>
      </c>
      <c r="W92" s="195">
        <f>IFERROR(INDEX('Ashed teabags wet'!$K$2:$K$821,MATCH(H92,'Ashed teabags wet'!$A$2:$A$821,0)),"")</f>
        <v>9.6710849288172405</v>
      </c>
      <c r="X92" s="195">
        <f>IFERROR(INDEX('Ashed teabags wet'!$K$2:$K$821,MATCH(I92,'Ashed teabags wet'!$A$2:$A$821,0)),"")</f>
        <v>7.361376673040378</v>
      </c>
      <c r="Y92" s="195">
        <f t="shared" si="1"/>
        <v>0.47386548846342469</v>
      </c>
      <c r="Z92" s="195">
        <f t="shared" si="1"/>
        <v>1.3637331739961727</v>
      </c>
      <c r="AA92" s="195">
        <f t="shared" si="8"/>
        <v>0.72125204277916899</v>
      </c>
      <c r="AB92" s="195">
        <f t="shared" si="9"/>
        <v>0.47283981901912275</v>
      </c>
      <c r="AC92" s="195">
        <f t="shared" si="2"/>
        <v>0.71523961078927889</v>
      </c>
      <c r="AD92">
        <f t="shared" si="3"/>
        <v>51</v>
      </c>
      <c r="AE92" s="195">
        <f t="shared" si="10"/>
        <v>0.14340612496535743</v>
      </c>
      <c r="AF92" s="195">
        <f t="shared" si="11"/>
        <v>1.8076319795018926E-2</v>
      </c>
      <c r="AG92" s="255" t="str">
        <f>IF(ISNUMBER(SEARCH("C",'WetLitterbags placem_collection'!AD19)),"YES","NO")</f>
        <v>NO</v>
      </c>
      <c r="AH92" s="255" t="str">
        <f>IF(ISNUMBER(SEARCH("H", 'WetLitterbags placem_collection'!AD19)),"YES","NO")</f>
        <v>NO</v>
      </c>
      <c r="AI92" s="255" t="str">
        <f>IF(ISNUMBER(SEARCH("R", 'WetLitterbags placem_collection'!AD19)),"YES","NO")</f>
        <v>YES</v>
      </c>
      <c r="AJ92" s="255" t="str">
        <f>IF(ISNUMBER(SEARCH("C", 'WetLitterbags placem_collection'!AC19)),"YES","NO")</f>
        <v>NO</v>
      </c>
      <c r="AK92" s="255" t="str">
        <f>IF(ISNUMBER(SEARCH("H", 'WetLitterbags placem_collection'!AC19)),"YES","NO")</f>
        <v>NO</v>
      </c>
      <c r="AL92" s="255" t="str">
        <f>IF(ISNUMBER(SEARCH("R", 'WetLitterbags placem_collection'!AC19)),"YES","NO")</f>
        <v>NO</v>
      </c>
    </row>
    <row r="93" spans="2:38">
      <c r="B93" t="str">
        <f>'Final data_for_R_analysis_Wetse'!A19</f>
        <v>Wet</v>
      </c>
      <c r="C93" s="263">
        <f>'Final data_for_R_analysis_Wetse'!B19</f>
        <v>18</v>
      </c>
      <c r="D93" t="s">
        <v>3829</v>
      </c>
      <c r="E93" t="s">
        <v>22</v>
      </c>
      <c r="F93" s="386">
        <v>2</v>
      </c>
      <c r="G93" s="16">
        <f>'WetLitterbags placem_collection'!E20</f>
        <v>42767</v>
      </c>
      <c r="H93" t="str">
        <f>'Final data_for_R_analysis_Wetse'!J19</f>
        <v>G419</v>
      </c>
      <c r="I93" t="str">
        <f>'Final data_for_R_analysis_Wetse'!J239</f>
        <v>R128</v>
      </c>
      <c r="J93">
        <f>IFERROR(INDEX('Green_rooibos initial weight'!$C$5:$C$1749,MATCH(H93, 'Green_rooibos initial weight'!$A$5:$A$1749,0)),"")</f>
        <v>2.0779999999999998</v>
      </c>
      <c r="K93">
        <f>IFERROR(INDEX('Green_rooibos initial weight'!$C$5:$C$1749,MATCH(I93, 'Green_rooibos initial weight'!$A$5:$A$1749,0)),"")</f>
        <v>2.2370000000000001</v>
      </c>
      <c r="L93" s="195">
        <f t="shared" si="4"/>
        <v>1.8281999999999998</v>
      </c>
      <c r="M93" s="195">
        <f>AVERAGE(Ashed_controlls!$K$2:$K$11)</f>
        <v>5.5147656768714146</v>
      </c>
      <c r="N93" s="195">
        <f t="shared" si="0"/>
        <v>1.7273790538954366</v>
      </c>
      <c r="O93" s="195">
        <f t="shared" si="5"/>
        <v>1.9872000000000001</v>
      </c>
      <c r="P93" s="195">
        <f>AVERAGE(Ashed_controlls!$K$12:$K$14)</f>
        <v>2.2816647271287041</v>
      </c>
      <c r="Q93" s="195">
        <f t="shared" si="6"/>
        <v>1.9418587585424985</v>
      </c>
      <c r="R93" s="16">
        <f>IF('WetLitterbags placem_collection'!G20="N.A","",'WetLitterbags placem_collection'!G20)</f>
        <v>42818</v>
      </c>
      <c r="S93" s="195">
        <f>IF(IFERROR(INDEX('Both teabags AfterWet'!$C$3:$C$841,MATCH(H93,'Both teabags AfterWet'!$A$3:$A$841,0)),"")="N.A","",(IFERROR(INDEX('Both teabags AfterWet'!$C$3:$C$841,MATCH(H93,'Both teabags AfterWet'!$A$3:$A$841,0)),"")))</f>
        <v>0.79100000000000004</v>
      </c>
      <c r="T93" s="195">
        <f>IFERROR(INDEX('Both teabags AfterWet'!$C$3:$C$841,MATCH(I93,'Both teabags AfterWet'!$A$3:$A$841,0)),"")</f>
        <v>1.79</v>
      </c>
      <c r="U93" s="195">
        <f t="shared" si="7"/>
        <v>0.64040000000000008</v>
      </c>
      <c r="V93" s="195">
        <f t="shared" si="7"/>
        <v>1.6394</v>
      </c>
      <c r="W93" s="195">
        <f>IFERROR(INDEX('Ashed teabags wet'!$K$2:$K$821,MATCH(H93,'Ashed teabags wet'!$A$2:$A$821,0)),"")</f>
        <v>15.166340508806261</v>
      </c>
      <c r="X93" s="195">
        <f>IFERROR(INDEX('Ashed teabags wet'!$K$2:$K$821,MATCH(I93,'Ashed teabags wet'!$A$2:$A$821,0)),"")</f>
        <v>6.4723320158097151</v>
      </c>
      <c r="Y93" s="195">
        <f t="shared" si="1"/>
        <v>0.54327475538160475</v>
      </c>
      <c r="Z93" s="195">
        <f t="shared" si="1"/>
        <v>1.5332925889328155</v>
      </c>
      <c r="AA93" s="195">
        <f t="shared" si="8"/>
        <v>0.68549187038220805</v>
      </c>
      <c r="AB93" s="195">
        <f t="shared" si="9"/>
        <v>0.44939609554748089</v>
      </c>
      <c r="AC93" s="195">
        <f t="shared" si="2"/>
        <v>0.78960047026471658</v>
      </c>
      <c r="AD93">
        <f t="shared" si="3"/>
        <v>51</v>
      </c>
      <c r="AE93" s="195">
        <f t="shared" si="10"/>
        <v>0.18587663850094049</v>
      </c>
      <c r="AF93" s="195">
        <f t="shared" si="11"/>
        <v>1.2381480171107543E-2</v>
      </c>
      <c r="AG93" s="255" t="str">
        <f>IF(ISNUMBER(SEARCH("C",'WetLitterbags placem_collection'!AD20)),"YES","NO")</f>
        <v>NO</v>
      </c>
      <c r="AH93" s="255" t="str">
        <f>IF(ISNUMBER(SEARCH("H", 'WetLitterbags placem_collection'!AD20)),"YES","NO")</f>
        <v>NO</v>
      </c>
      <c r="AI93" s="255" t="str">
        <f>IF(ISNUMBER(SEARCH("R", 'WetLitterbags placem_collection'!AD20)),"YES","NO")</f>
        <v>YES</v>
      </c>
      <c r="AJ93" s="255" t="str">
        <f>IF(ISNUMBER(SEARCH("C", 'WetLitterbags placem_collection'!AC20)),"YES","NO")</f>
        <v>NO</v>
      </c>
      <c r="AK93" s="255" t="str">
        <f>IF(ISNUMBER(SEARCH("H", 'WetLitterbags placem_collection'!AC20)),"YES","NO")</f>
        <v>NO</v>
      </c>
      <c r="AL93" s="255" t="str">
        <f>IF(ISNUMBER(SEARCH("R", 'WetLitterbags placem_collection'!AC20)),"YES","NO")</f>
        <v>NO</v>
      </c>
    </row>
    <row r="94" spans="2:38">
      <c r="B94" t="str">
        <f>'Final data_for_R_analysis_Wetse'!A20</f>
        <v>Wet</v>
      </c>
      <c r="C94" s="263">
        <f>'Final data_for_R_analysis_Wetse'!B20</f>
        <v>19</v>
      </c>
      <c r="D94" t="s">
        <v>3829</v>
      </c>
      <c r="E94" t="s">
        <v>22</v>
      </c>
      <c r="F94" s="386">
        <v>3</v>
      </c>
      <c r="G94" s="16">
        <f>'WetLitterbags placem_collection'!E21</f>
        <v>42767</v>
      </c>
      <c r="H94" t="str">
        <f>'Final data_for_R_analysis_Wetse'!J20</f>
        <v>G240</v>
      </c>
      <c r="I94" t="str">
        <f>'Final data_for_R_analysis_Wetse'!J240</f>
        <v>R82</v>
      </c>
      <c r="J94">
        <f>IFERROR(INDEX('Green_rooibos initial weight'!$C$5:$C$1749,MATCH(H94, 'Green_rooibos initial weight'!$A$5:$A$1749,0)),"")</f>
        <v>2.117</v>
      </c>
      <c r="K94">
        <f>IFERROR(INDEX('Green_rooibos initial weight'!$C$5:$C$1749,MATCH(I94, 'Green_rooibos initial weight'!$A$5:$A$1749,0)),"")</f>
        <v>2.2490000000000001</v>
      </c>
      <c r="L94" s="195">
        <f t="shared" si="4"/>
        <v>1.8672</v>
      </c>
      <c r="M94" s="195">
        <f>AVERAGE(Ashed_controlls!$K$2:$K$11)</f>
        <v>5.5147656768714146</v>
      </c>
      <c r="N94" s="195">
        <f t="shared" si="0"/>
        <v>1.764228295281457</v>
      </c>
      <c r="O94" s="195">
        <f t="shared" si="5"/>
        <v>1.9992000000000001</v>
      </c>
      <c r="P94" s="195">
        <f>AVERAGE(Ashed_controlls!$K$12:$K$14)</f>
        <v>2.2816647271287041</v>
      </c>
      <c r="Q94" s="195">
        <f t="shared" si="6"/>
        <v>1.953584958775243</v>
      </c>
      <c r="R94" s="16">
        <f>IF('WetLitterbags placem_collection'!G21="N.A","",'WetLitterbags placem_collection'!G21)</f>
        <v>42818</v>
      </c>
      <c r="S94" s="195">
        <f>IF(IFERROR(INDEX('Both teabags AfterWet'!$C$3:$C$841,MATCH(H94,'Both teabags AfterWet'!$A$3:$A$841,0)),"")="N.A","",(IFERROR(INDEX('Both teabags AfterWet'!$C$3:$C$841,MATCH(H94,'Both teabags AfterWet'!$A$3:$A$841,0)),"")))</f>
        <v>0.88690000000000002</v>
      </c>
      <c r="T94" s="195">
        <f>IFERROR(INDEX('Both teabags AfterWet'!$C$3:$C$841,MATCH(I94,'Both teabags AfterWet'!$A$3:$A$841,0)),"")</f>
        <v>1.514</v>
      </c>
      <c r="U94" s="195">
        <f t="shared" si="7"/>
        <v>0.73629999999999995</v>
      </c>
      <c r="V94" s="195">
        <f t="shared" si="7"/>
        <v>1.3633999999999999</v>
      </c>
      <c r="W94" s="195">
        <f>IFERROR(INDEX('Ashed teabags wet'!$K$2:$K$821,MATCH(H94,'Ashed teabags wet'!$A$2:$A$821,0)),"")</f>
        <v>18.480392156862031</v>
      </c>
      <c r="X94" s="195">
        <f>IFERROR(INDEX('Ashed teabags wet'!$K$2:$K$821,MATCH(I94,'Ashed teabags wet'!$A$2:$A$821,0)),"")</f>
        <v>11.013215859030426</v>
      </c>
      <c r="Y94" s="195">
        <f t="shared" si="1"/>
        <v>0.60022887254902479</v>
      </c>
      <c r="Z94" s="195">
        <f t="shared" si="1"/>
        <v>1.213245814977979</v>
      </c>
      <c r="AA94" s="195">
        <f t="shared" si="8"/>
        <v>0.65977823042835448</v>
      </c>
      <c r="AB94" s="195">
        <f t="shared" si="9"/>
        <v>0.4325386973829593</v>
      </c>
      <c r="AC94" s="195">
        <f t="shared" si="2"/>
        <v>0.62103560407149982</v>
      </c>
      <c r="AD94">
        <f t="shared" si="3"/>
        <v>51</v>
      </c>
      <c r="AE94" s="195">
        <f t="shared" si="10"/>
        <v>0.21641540329174047</v>
      </c>
      <c r="AF94" s="195">
        <f t="shared" si="11"/>
        <v>4.095298614627664E-2</v>
      </c>
      <c r="AG94" s="255" t="str">
        <f>IF(ISNUMBER(SEARCH("C",'WetLitterbags placem_collection'!AD21)),"YES","NO")</f>
        <v>NO</v>
      </c>
      <c r="AH94" s="255" t="str">
        <f>IF(ISNUMBER(SEARCH("H", 'WetLitterbags placem_collection'!AD21)),"YES","NO")</f>
        <v>NO</v>
      </c>
      <c r="AI94" s="255" t="str">
        <f>IF(ISNUMBER(SEARCH("R", 'WetLitterbags placem_collection'!AD21)),"YES","NO")</f>
        <v>YES</v>
      </c>
      <c r="AJ94" s="255" t="str">
        <f>IF(ISNUMBER(SEARCH("C", 'WetLitterbags placem_collection'!AC21)),"YES","NO")</f>
        <v>NO</v>
      </c>
      <c r="AK94" s="255" t="str">
        <f>IF(ISNUMBER(SEARCH("H", 'WetLitterbags placem_collection'!AC21)),"YES","NO")</f>
        <v>NO</v>
      </c>
      <c r="AL94" s="255" t="str">
        <f>IF(ISNUMBER(SEARCH("R", 'WetLitterbags placem_collection'!AC21)),"YES","NO")</f>
        <v>NO</v>
      </c>
    </row>
    <row r="95" spans="2:38">
      <c r="B95" t="str">
        <f>'Final data_for_R_analysis_Wetse'!A21</f>
        <v>Wet</v>
      </c>
      <c r="C95" s="263">
        <f>'Final data_for_R_analysis_Wetse'!B21</f>
        <v>20</v>
      </c>
      <c r="D95" t="s">
        <v>3829</v>
      </c>
      <c r="E95" t="s">
        <v>22</v>
      </c>
      <c r="F95" s="387">
        <v>4</v>
      </c>
      <c r="G95" s="16">
        <f>'WetLitterbags placem_collection'!E22</f>
        <v>42767</v>
      </c>
      <c r="H95" t="str">
        <f>'Final data_for_R_analysis_Wetse'!J21</f>
        <v>G524</v>
      </c>
      <c r="I95" t="str">
        <f>'Final data_for_R_analysis_Wetse'!J241</f>
        <v>R50</v>
      </c>
      <c r="J95">
        <f>IFERROR(INDEX('Green_rooibos initial weight'!$C$5:$C$1749,MATCH(H95, 'Green_rooibos initial weight'!$A$5:$A$1749,0)),"")</f>
        <v>1.962</v>
      </c>
      <c r="K95">
        <f>IFERROR(INDEX('Green_rooibos initial weight'!$C$5:$C$1749,MATCH(I95, 'Green_rooibos initial weight'!$A$5:$A$1749,0)),"")</f>
        <v>2.2490000000000001</v>
      </c>
      <c r="L95" s="195">
        <f t="shared" si="4"/>
        <v>1.7121999999999999</v>
      </c>
      <c r="M95" s="195">
        <f>AVERAGE(Ashed_controlls!$K$2:$K$11)</f>
        <v>5.5147656768714146</v>
      </c>
      <c r="N95" s="195">
        <f t="shared" si="0"/>
        <v>1.6177761820806076</v>
      </c>
      <c r="O95" s="195">
        <f t="shared" si="5"/>
        <v>1.9992000000000001</v>
      </c>
      <c r="P95" s="195">
        <f>AVERAGE(Ashed_controlls!$K$12:$K$14)</f>
        <v>2.2816647271287041</v>
      </c>
      <c r="Q95" s="195">
        <f t="shared" si="6"/>
        <v>1.953584958775243</v>
      </c>
      <c r="R95" s="16">
        <f>IF('WetLitterbags placem_collection'!G22="N.A","",'WetLitterbags placem_collection'!G22)</f>
        <v>42818</v>
      </c>
      <c r="S95" s="195">
        <f>IF(IFERROR(INDEX('Both teabags AfterWet'!$C$3:$C$841,MATCH(H95,'Both teabags AfterWet'!$A$3:$A$841,0)),"")="N.A","",(IFERROR(INDEX('Both teabags AfterWet'!$C$3:$C$841,MATCH(H95,'Both teabags AfterWet'!$A$3:$A$841,0)),"")))</f>
        <v>0.71609999999999996</v>
      </c>
      <c r="T95" s="195">
        <f>IFERROR(INDEX('Both teabags AfterWet'!$C$3:$C$841,MATCH(I95,'Both teabags AfterWet'!$A$3:$A$841,0)),"")</f>
        <v>1.51</v>
      </c>
      <c r="U95" s="195">
        <f t="shared" si="7"/>
        <v>0.56549999999999989</v>
      </c>
      <c r="V95" s="195">
        <f t="shared" si="7"/>
        <v>1.3593999999999999</v>
      </c>
      <c r="W95" s="195">
        <f>IFERROR(INDEX('Ashed teabags wet'!$K$2:$K$821,MATCH(H95,'Ashed teabags wet'!$A$2:$A$821,0)),"")</f>
        <v>12.986381322956955</v>
      </c>
      <c r="X95" s="195">
        <f>IFERROR(INDEX('Ashed teabags wet'!$K$2:$K$821,MATCH(I95,'Ashed teabags wet'!$A$2:$A$821,0)),"")</f>
        <v>8.4126189283921065</v>
      </c>
      <c r="Y95" s="195">
        <f t="shared" si="1"/>
        <v>0.4920620136186783</v>
      </c>
      <c r="Z95" s="195">
        <f t="shared" si="1"/>
        <v>1.2450388582874377</v>
      </c>
      <c r="AA95" s="195">
        <f t="shared" si="8"/>
        <v>0.69584048827703615</v>
      </c>
      <c r="AB95" s="195">
        <f t="shared" si="9"/>
        <v>0.45618046262342515</v>
      </c>
      <c r="AC95" s="195">
        <f t="shared" si="2"/>
        <v>0.63730980968853657</v>
      </c>
      <c r="AD95">
        <f t="shared" si="3"/>
        <v>51</v>
      </c>
      <c r="AE95" s="195">
        <f t="shared" si="10"/>
        <v>0.17358611843582405</v>
      </c>
      <c r="AF95" s="195">
        <f t="shared" si="11"/>
        <v>3.1079041003033835E-2</v>
      </c>
      <c r="AG95" s="255" t="str">
        <f>IF(ISNUMBER(SEARCH("C",'WetLitterbags placem_collection'!AD22)),"YES","NO")</f>
        <v>NO</v>
      </c>
      <c r="AH95" s="255" t="str">
        <f>IF(ISNUMBER(SEARCH("H", 'WetLitterbags placem_collection'!AD22)),"YES","NO")</f>
        <v>NO</v>
      </c>
      <c r="AI95" s="255" t="str">
        <f>IF(ISNUMBER(SEARCH("R", 'WetLitterbags placem_collection'!AD22)),"YES","NO")</f>
        <v>YES</v>
      </c>
      <c r="AJ95" s="255" t="str">
        <f>IF(ISNUMBER(SEARCH("C", 'WetLitterbags placem_collection'!AC22)),"YES","NO")</f>
        <v>NO</v>
      </c>
      <c r="AK95" s="255" t="str">
        <f>IF(ISNUMBER(SEARCH("H", 'WetLitterbags placem_collection'!AC22)),"YES","NO")</f>
        <v>NO</v>
      </c>
      <c r="AL95" s="255" t="str">
        <f>IF(ISNUMBER(SEARCH("R", 'WetLitterbags placem_collection'!AC22)),"YES","NO")</f>
        <v>NO</v>
      </c>
    </row>
    <row r="96" spans="2:38">
      <c r="B96" t="str">
        <f>'Final data_for_R_analysis_Wetse'!A22</f>
        <v>Wet</v>
      </c>
      <c r="C96" s="263">
        <f>'Final data_for_R_analysis_Wetse'!B22</f>
        <v>21</v>
      </c>
      <c r="D96" t="s">
        <v>3829</v>
      </c>
      <c r="E96" t="s">
        <v>22</v>
      </c>
      <c r="F96" s="387">
        <v>5</v>
      </c>
      <c r="G96" s="16">
        <f>'WetLitterbags placem_collection'!E23</f>
        <v>42767</v>
      </c>
      <c r="H96" t="str">
        <f>'Final data_for_R_analysis_Wetse'!J22</f>
        <v>G699</v>
      </c>
      <c r="I96" t="str">
        <f>'Final data_for_R_analysis_Wetse'!J242</f>
        <v>R529</v>
      </c>
      <c r="J96">
        <f>IFERROR(INDEX('Green_rooibos initial weight'!$C$5:$C$1749,MATCH(H96, 'Green_rooibos initial weight'!$A$5:$A$1749,0)),"")</f>
        <v>1.984</v>
      </c>
      <c r="K96">
        <f>IFERROR(INDEX('Green_rooibos initial weight'!$C$5:$C$1749,MATCH(I96, 'Green_rooibos initial weight'!$A$5:$A$1749,0)),"")</f>
        <v>2.157</v>
      </c>
      <c r="L96" s="195">
        <f t="shared" si="4"/>
        <v>1.7342</v>
      </c>
      <c r="M96" s="195">
        <f>AVERAGE(Ashed_controlls!$K$2:$K$11)</f>
        <v>5.5147656768714146</v>
      </c>
      <c r="N96" s="195">
        <f t="shared" si="0"/>
        <v>1.6385629336316958</v>
      </c>
      <c r="O96" s="195">
        <f t="shared" si="5"/>
        <v>1.9072</v>
      </c>
      <c r="P96" s="195">
        <f>AVERAGE(Ashed_controlls!$K$12:$K$14)</f>
        <v>2.2816647271287041</v>
      </c>
      <c r="Q96" s="195">
        <f t="shared" si="6"/>
        <v>1.8636840903242013</v>
      </c>
      <c r="R96" s="16">
        <f>IF('WetLitterbags placem_collection'!G23="N.A","",'WetLitterbags placem_collection'!G23)</f>
        <v>42818</v>
      </c>
      <c r="S96" s="195">
        <f>IF(IFERROR(INDEX('Both teabags AfterWet'!$C$3:$C$841,MATCH(H96,'Both teabags AfterWet'!$A$3:$A$841,0)),"")="N.A","",(IFERROR(INDEX('Both teabags AfterWet'!$C$3:$C$841,MATCH(H96,'Both teabags AfterWet'!$A$3:$A$841,0)),"")))</f>
        <v>0.7389</v>
      </c>
      <c r="T96" s="195">
        <f>IFERROR(INDEX('Both teabags AfterWet'!$C$3:$C$841,MATCH(I96,'Both teabags AfterWet'!$A$3:$A$841,0)),"")</f>
        <v>1.4387000000000001</v>
      </c>
      <c r="U96" s="195">
        <f t="shared" si="7"/>
        <v>0.58830000000000005</v>
      </c>
      <c r="V96" s="195">
        <f t="shared" si="7"/>
        <v>1.2881</v>
      </c>
      <c r="W96" s="195">
        <f>IFERROR(INDEX('Ashed teabags wet'!$K$2:$K$821,MATCH(H96,'Ashed teabags wet'!$A$2:$A$821,0)),"")</f>
        <v>10.099009900989453</v>
      </c>
      <c r="X96" s="195">
        <f>IFERROR(INDEX('Ashed teabags wet'!$K$2:$K$821,MATCH(I96,'Ashed teabags wet'!$A$2:$A$821,0)),"")</f>
        <v>6.9930069930072492</v>
      </c>
      <c r="Y96" s="195">
        <f t="shared" si="1"/>
        <v>0.52888752475247913</v>
      </c>
      <c r="Z96" s="195">
        <f t="shared" si="1"/>
        <v>1.1980230769230737</v>
      </c>
      <c r="AA96" s="195">
        <f t="shared" si="8"/>
        <v>0.67722477184305774</v>
      </c>
      <c r="AB96" s="195">
        <f t="shared" si="9"/>
        <v>0.44397633498499756</v>
      </c>
      <c r="AC96" s="195">
        <f t="shared" si="2"/>
        <v>0.64282518863734517</v>
      </c>
      <c r="AD96">
        <f t="shared" si="3"/>
        <v>51</v>
      </c>
      <c r="AE96" s="195">
        <f t="shared" si="10"/>
        <v>0.19569504531703352</v>
      </c>
      <c r="AF96" s="195">
        <f t="shared" si="11"/>
        <v>3.2002884052222909E-2</v>
      </c>
      <c r="AG96" s="255" t="str">
        <f>IF(ISNUMBER(SEARCH("C",'WetLitterbags placem_collection'!AD23)),"YES","NO")</f>
        <v>NO</v>
      </c>
      <c r="AH96" s="255" t="str">
        <f>IF(ISNUMBER(SEARCH("H", 'WetLitterbags placem_collection'!AD23)),"YES","NO")</f>
        <v>NO</v>
      </c>
      <c r="AI96" s="255" t="str">
        <f>IF(ISNUMBER(SEARCH("R", 'WetLitterbags placem_collection'!AD23)),"YES","NO")</f>
        <v>YES</v>
      </c>
      <c r="AJ96" s="255" t="str">
        <f>IF(ISNUMBER(SEARCH("C", 'WetLitterbags placem_collection'!AC23)),"YES","NO")</f>
        <v>NO</v>
      </c>
      <c r="AK96" s="255" t="str">
        <f>IF(ISNUMBER(SEARCH("H", 'WetLitterbags placem_collection'!AC23)),"YES","NO")</f>
        <v>NO</v>
      </c>
      <c r="AL96" s="255" t="str">
        <f>IF(ISNUMBER(SEARCH("R", 'WetLitterbags placem_collection'!AC23)),"YES","NO")</f>
        <v>NO</v>
      </c>
    </row>
    <row r="97" spans="2:38">
      <c r="B97" t="str">
        <f>'Final data_for_R_analysis_Wetse'!A23</f>
        <v>Wet</v>
      </c>
      <c r="C97" s="263">
        <f>'Final data_for_R_analysis_Wetse'!B23</f>
        <v>22</v>
      </c>
      <c r="D97" t="s">
        <v>3829</v>
      </c>
      <c r="E97" t="s">
        <v>22</v>
      </c>
      <c r="F97" s="387">
        <v>6</v>
      </c>
      <c r="G97" s="16">
        <f>'WetLitterbags placem_collection'!E24</f>
        <v>42767</v>
      </c>
      <c r="H97" t="str">
        <f>'Final data_for_R_analysis_Wetse'!J23</f>
        <v>G575</v>
      </c>
      <c r="I97" t="str">
        <f>'Final data_for_R_analysis_Wetse'!J243</f>
        <v>R363</v>
      </c>
      <c r="J97">
        <f>IFERROR(INDEX('Green_rooibos initial weight'!$C$5:$C$1749,MATCH(H97, 'Green_rooibos initial weight'!$A$5:$A$1749,0)),"")</f>
        <v>1.9970000000000001</v>
      </c>
      <c r="K97">
        <f>IFERROR(INDEX('Green_rooibos initial weight'!$C$5:$C$1749,MATCH(I97, 'Green_rooibos initial weight'!$A$5:$A$1749,0)),"")</f>
        <v>2.1659999999999999</v>
      </c>
      <c r="L97" s="195">
        <f t="shared" si="4"/>
        <v>1.7472000000000001</v>
      </c>
      <c r="M97" s="195">
        <f>AVERAGE(Ashed_controlls!$K$2:$K$11)</f>
        <v>5.5147656768714146</v>
      </c>
      <c r="N97" s="195">
        <f t="shared" si="0"/>
        <v>1.6508460140937027</v>
      </c>
      <c r="O97" s="195">
        <f t="shared" si="5"/>
        <v>1.9161999999999999</v>
      </c>
      <c r="P97" s="195">
        <f>AVERAGE(Ashed_controlls!$K$12:$K$14)</f>
        <v>2.2816647271287041</v>
      </c>
      <c r="Q97" s="195">
        <f t="shared" si="6"/>
        <v>1.8724787404987597</v>
      </c>
      <c r="R97" s="16">
        <f>IF('WetLitterbags placem_collection'!G24="N.A","",'WetLitterbags placem_collection'!G24)</f>
        <v>42818</v>
      </c>
      <c r="S97" s="195">
        <f>IF(IFERROR(INDEX('Both teabags AfterWet'!$C$3:$C$841,MATCH(H97,'Both teabags AfterWet'!$A$3:$A$841,0)),"")="N.A","",(IFERROR(INDEX('Both teabags AfterWet'!$C$3:$C$841,MATCH(H97,'Both teabags AfterWet'!$A$3:$A$841,0)),"")))</f>
        <v>0.74019999999999997</v>
      </c>
      <c r="T97" s="195">
        <f>IFERROR(INDEX('Both teabags AfterWet'!$C$3:$C$841,MATCH(I97,'Both teabags AfterWet'!$A$3:$A$841,0)),"")</f>
        <v>1.5164</v>
      </c>
      <c r="U97" s="195">
        <f t="shared" si="7"/>
        <v>0.5895999999999999</v>
      </c>
      <c r="V97" s="195">
        <f t="shared" si="7"/>
        <v>1.3657999999999999</v>
      </c>
      <c r="W97" s="195">
        <f>IFERROR(INDEX('Ashed teabags wet'!$K$2:$K$821,MATCH(H97,'Ashed teabags wet'!$A$2:$A$821,0)),"")</f>
        <v>9.8263027295288854</v>
      </c>
      <c r="X97" s="195">
        <f>IFERROR(INDEX('Ashed teabags wet'!$K$2:$K$821,MATCH(I97,'Ashed teabags wet'!$A$2:$A$821,0)),"")</f>
        <v>3.5079051383401243</v>
      </c>
      <c r="Y97" s="195">
        <f t="shared" si="1"/>
        <v>0.53166411910669764</v>
      </c>
      <c r="Z97" s="195">
        <f t="shared" si="1"/>
        <v>1.3178890316205505</v>
      </c>
      <c r="AA97" s="195">
        <f t="shared" si="8"/>
        <v>0.67794445116761803</v>
      </c>
      <c r="AB97" s="195">
        <f t="shared" si="9"/>
        <v>0.44444814375834346</v>
      </c>
      <c r="AC97" s="195">
        <f t="shared" si="2"/>
        <v>0.70382055780751518</v>
      </c>
      <c r="AD97">
        <f t="shared" si="3"/>
        <v>51</v>
      </c>
      <c r="AE97" s="195">
        <f t="shared" si="10"/>
        <v>0.19484031927836332</v>
      </c>
      <c r="AF97" s="195">
        <f t="shared" si="11"/>
        <v>2.1525631518107571E-2</v>
      </c>
      <c r="AG97" s="255" t="str">
        <f>IF(ISNUMBER(SEARCH("C",'WetLitterbags placem_collection'!AD24)),"YES","NO")</f>
        <v>NO</v>
      </c>
      <c r="AH97" s="255" t="str">
        <f>IF(ISNUMBER(SEARCH("H", 'WetLitterbags placem_collection'!AD24)),"YES","NO")</f>
        <v>NO</v>
      </c>
      <c r="AI97" s="255" t="str">
        <f>IF(ISNUMBER(SEARCH("R", 'WetLitterbags placem_collection'!AD24)),"YES","NO")</f>
        <v>YES</v>
      </c>
      <c r="AJ97" s="255" t="str">
        <f>IF(ISNUMBER(SEARCH("C", 'WetLitterbags placem_collection'!AC24)),"YES","NO")</f>
        <v>NO</v>
      </c>
      <c r="AK97" s="255" t="str">
        <f>IF(ISNUMBER(SEARCH("H", 'WetLitterbags placem_collection'!AC24)),"YES","NO")</f>
        <v>NO</v>
      </c>
      <c r="AL97" s="255" t="str">
        <f>IF(ISNUMBER(SEARCH("R", 'WetLitterbags placem_collection'!AC24)),"YES","NO")</f>
        <v>NO</v>
      </c>
    </row>
    <row r="98" spans="2:38">
      <c r="B98" t="str">
        <f>'Final data_for_R_analysis_Wetse'!A24</f>
        <v>Wet</v>
      </c>
      <c r="C98" s="263">
        <f>'Final data_for_R_analysis_Wetse'!B24</f>
        <v>23</v>
      </c>
      <c r="D98" t="s">
        <v>3829</v>
      </c>
      <c r="E98" t="s">
        <v>22</v>
      </c>
      <c r="F98" s="387">
        <v>7</v>
      </c>
      <c r="G98" s="16">
        <f>'WetLitterbags placem_collection'!E25</f>
        <v>42767</v>
      </c>
      <c r="H98" t="str">
        <f>'Final data_for_R_analysis_Wetse'!J24</f>
        <v>G492</v>
      </c>
      <c r="I98" t="str">
        <f>'Final data_for_R_analysis_Wetse'!J244</f>
        <v>R190</v>
      </c>
      <c r="J98">
        <f>IFERROR(INDEX('Green_rooibos initial weight'!$C$5:$C$1749,MATCH(H98, 'Green_rooibos initial weight'!$A$5:$A$1749,0)),"")</f>
        <v>1.948</v>
      </c>
      <c r="K98">
        <f>IFERROR(INDEX('Green_rooibos initial weight'!$C$5:$C$1749,MATCH(I98, 'Green_rooibos initial weight'!$A$5:$A$1749,0)),"")</f>
        <v>2.2240000000000002</v>
      </c>
      <c r="L98" s="195">
        <f t="shared" si="4"/>
        <v>1.6981999999999999</v>
      </c>
      <c r="M98" s="195">
        <f>AVERAGE(Ashed_controlls!$K$2:$K$11)</f>
        <v>5.5147656768714146</v>
      </c>
      <c r="N98" s="195">
        <f t="shared" si="0"/>
        <v>1.6045482492753695</v>
      </c>
      <c r="O98" s="195">
        <f t="shared" si="5"/>
        <v>1.9742000000000002</v>
      </c>
      <c r="P98" s="195">
        <f>AVERAGE(Ashed_controlls!$K$12:$K$14)</f>
        <v>2.2816647271287041</v>
      </c>
      <c r="Q98" s="195">
        <f t="shared" si="6"/>
        <v>1.9291553749570254</v>
      </c>
      <c r="R98" s="16">
        <f>IF('WetLitterbags placem_collection'!G25="N.A","",'WetLitterbags placem_collection'!G25)</f>
        <v>42818</v>
      </c>
      <c r="S98" s="195">
        <f>IF(IFERROR(INDEX('Both teabags AfterWet'!$C$3:$C$841,MATCH(H98,'Both teabags AfterWet'!$A$3:$A$841,0)),"")="N.A","",(IFERROR(INDEX('Both teabags AfterWet'!$C$3:$C$841,MATCH(H98,'Both teabags AfterWet'!$A$3:$A$841,0)),"")))</f>
        <v>0.76959999999999995</v>
      </c>
      <c r="T98" s="195">
        <f>IFERROR(INDEX('Both teabags AfterWet'!$C$3:$C$841,MATCH(I98,'Both teabags AfterWet'!$A$3:$A$841,0)),"")</f>
        <v>1.5019</v>
      </c>
      <c r="U98" s="195">
        <f t="shared" si="7"/>
        <v>0.61899999999999999</v>
      </c>
      <c r="V98" s="195">
        <f t="shared" si="7"/>
        <v>1.3512999999999999</v>
      </c>
      <c r="W98" s="195">
        <f>IFERROR(INDEX('Ashed teabags wet'!$K$2:$K$821,MATCH(H98,'Ashed teabags wet'!$A$2:$A$821,0)),"")</f>
        <v>11.478696741854373</v>
      </c>
      <c r="X98" s="195">
        <f>IFERROR(INDEX('Ashed teabags wet'!$K$2:$K$821,MATCH(I98,'Ashed teabags wet'!$A$2:$A$821,0)),"")</f>
        <v>3.0390738060779063</v>
      </c>
      <c r="Y98" s="195">
        <f t="shared" si="1"/>
        <v>0.5479468671679214</v>
      </c>
      <c r="Z98" s="195">
        <f t="shared" si="1"/>
        <v>1.3102329956584693</v>
      </c>
      <c r="AA98" s="195">
        <f t="shared" si="8"/>
        <v>0.65850396370730524</v>
      </c>
      <c r="AB98" s="195">
        <f t="shared" si="9"/>
        <v>0.43170331112402915</v>
      </c>
      <c r="AC98" s="195">
        <f t="shared" si="2"/>
        <v>0.67917442662577476</v>
      </c>
      <c r="AD98">
        <f t="shared" si="3"/>
        <v>51</v>
      </c>
      <c r="AE98" s="195">
        <f t="shared" si="10"/>
        <v>0.21792878419559947</v>
      </c>
      <c r="AF98" s="195">
        <f t="shared" si="11"/>
        <v>2.6653145881436118E-2</v>
      </c>
      <c r="AG98" s="255" t="str">
        <f>IF(ISNUMBER(SEARCH("C",'WetLitterbags placem_collection'!AD25)),"YES","NO")</f>
        <v>NO</v>
      </c>
      <c r="AH98" s="255" t="str">
        <f>IF(ISNUMBER(SEARCH("H", 'WetLitterbags placem_collection'!AD25)),"YES","NO")</f>
        <v>NO</v>
      </c>
      <c r="AI98" s="255" t="str">
        <f>IF(ISNUMBER(SEARCH("R", 'WetLitterbags placem_collection'!AD25)),"YES","NO")</f>
        <v>YES</v>
      </c>
      <c r="AJ98" s="255" t="str">
        <f>IF(ISNUMBER(SEARCH("C", 'WetLitterbags placem_collection'!AC25)),"YES","NO")</f>
        <v>NO</v>
      </c>
      <c r="AK98" s="255" t="str">
        <f>IF(ISNUMBER(SEARCH("H", 'WetLitterbags placem_collection'!AC25)),"YES","NO")</f>
        <v>NO</v>
      </c>
      <c r="AL98" s="255" t="str">
        <f>IF(ISNUMBER(SEARCH("R", 'WetLitterbags placem_collection'!AC25)),"YES","NO")</f>
        <v>NO</v>
      </c>
    </row>
    <row r="99" spans="2:38">
      <c r="B99" t="str">
        <f>'Final data_for_R_analysis_Wetse'!A25</f>
        <v>Wet</v>
      </c>
      <c r="C99" s="263">
        <f>'Final data_for_R_analysis_Wetse'!B25</f>
        <v>24</v>
      </c>
      <c r="D99" t="s">
        <v>3829</v>
      </c>
      <c r="E99" t="s">
        <v>22</v>
      </c>
      <c r="F99" s="387">
        <v>8</v>
      </c>
      <c r="G99" s="16">
        <f>'WetLitterbags placem_collection'!E26</f>
        <v>42767</v>
      </c>
      <c r="H99" t="str">
        <f>'Final data_for_R_analysis_Wetse'!J25</f>
        <v>G813</v>
      </c>
      <c r="I99" t="str">
        <f>'Final data_for_R_analysis_Wetse'!J245</f>
        <v>R144</v>
      </c>
      <c r="J99">
        <f>IFERROR(INDEX('Green_rooibos initial weight'!$C$5:$C$1749,MATCH(H99, 'Green_rooibos initial weight'!$A$5:$A$1749,0)),"")</f>
        <v>1.9550000000000001</v>
      </c>
      <c r="K99">
        <f>IFERROR(INDEX('Green_rooibos initial weight'!$C$5:$C$1749,MATCH(I99, 'Green_rooibos initial weight'!$A$5:$A$1749,0)),"")</f>
        <v>2.1429999999999998</v>
      </c>
      <c r="L99" s="195">
        <f t="shared" si="4"/>
        <v>1.7052</v>
      </c>
      <c r="M99" s="195">
        <f>AVERAGE(Ashed_controlls!$K$2:$K$11)</f>
        <v>5.5147656768714146</v>
      </c>
      <c r="N99" s="195">
        <f t="shared" si="0"/>
        <v>1.6111622156779888</v>
      </c>
      <c r="O99" s="195">
        <f t="shared" si="5"/>
        <v>1.8931999999999998</v>
      </c>
      <c r="P99" s="195">
        <f>AVERAGE(Ashed_controlls!$K$12:$K$14)</f>
        <v>2.2816647271287041</v>
      </c>
      <c r="Q99" s="195">
        <f t="shared" si="6"/>
        <v>1.850003523385999</v>
      </c>
      <c r="R99" s="16">
        <f>IF('WetLitterbags placem_collection'!G26="N.A","",'WetLitterbags placem_collection'!G26)</f>
        <v>42818</v>
      </c>
      <c r="S99" s="195">
        <f>IF(IFERROR(INDEX('Both teabags AfterWet'!$C$3:$C$841,MATCH(H99,'Both teabags AfterWet'!$A$3:$A$841,0)),"")="N.A","",(IFERROR(INDEX('Both teabags AfterWet'!$C$3:$C$841,MATCH(H99,'Both teabags AfterWet'!$A$3:$A$841,0)),"")))</f>
        <v>0.74790000000000001</v>
      </c>
      <c r="T99" s="195">
        <f>IFERROR(INDEX('Both teabags AfterWet'!$C$3:$C$841,MATCH(I99,'Both teabags AfterWet'!$A$3:$A$841,0)),"")</f>
        <v>1.6077999999999999</v>
      </c>
      <c r="U99" s="195">
        <f t="shared" si="7"/>
        <v>0.59729999999999994</v>
      </c>
      <c r="V99" s="195">
        <f t="shared" si="7"/>
        <v>1.4571999999999998</v>
      </c>
      <c r="W99" s="195">
        <f>IFERROR(INDEX('Ashed teabags wet'!$K$2:$K$821,MATCH(H99,'Ashed teabags wet'!$A$2:$A$821,0)),"")</f>
        <v>11.584158415841873</v>
      </c>
      <c r="X99" s="195">
        <f>IFERROR(INDEX('Ashed teabags wet'!$K$2:$K$821,MATCH(I99,'Ashed teabags wet'!$A$2:$A$821,0)),"")</f>
        <v>4.9655850540802868</v>
      </c>
      <c r="Y99" s="195">
        <f t="shared" si="1"/>
        <v>0.52810782178217641</v>
      </c>
      <c r="Z99" s="195">
        <f t="shared" si="1"/>
        <v>1.3848414945919418</v>
      </c>
      <c r="AA99" s="195">
        <f t="shared" si="8"/>
        <v>0.67221933543175549</v>
      </c>
      <c r="AB99" s="195">
        <f t="shared" si="9"/>
        <v>0.44069486123316992</v>
      </c>
      <c r="AC99" s="195">
        <f t="shared" si="2"/>
        <v>0.74856154438955513</v>
      </c>
      <c r="AD99">
        <f t="shared" si="3"/>
        <v>51</v>
      </c>
      <c r="AE99" s="195">
        <f t="shared" si="10"/>
        <v>0.20163974414280816</v>
      </c>
      <c r="AF99" s="195">
        <f t="shared" si="11"/>
        <v>1.6573528865851082E-2</v>
      </c>
      <c r="AG99" s="255" t="str">
        <f>IF(ISNUMBER(SEARCH("C",'WetLitterbags placem_collection'!AD26)),"YES","NO")</f>
        <v>NO</v>
      </c>
      <c r="AH99" s="255" t="str">
        <f>IF(ISNUMBER(SEARCH("H", 'WetLitterbags placem_collection'!AD26)),"YES","NO")</f>
        <v>NO</v>
      </c>
      <c r="AI99" s="255" t="str">
        <f>IF(ISNUMBER(SEARCH("R", 'WetLitterbags placem_collection'!AD26)),"YES","NO")</f>
        <v>YES</v>
      </c>
      <c r="AJ99" s="255" t="str">
        <f>IF(ISNUMBER(SEARCH("C", 'WetLitterbags placem_collection'!AC26)),"YES","NO")</f>
        <v>NO</v>
      </c>
      <c r="AK99" s="255" t="str">
        <f>IF(ISNUMBER(SEARCH("H", 'WetLitterbags placem_collection'!AC26)),"YES","NO")</f>
        <v>NO</v>
      </c>
      <c r="AL99" s="255" t="str">
        <f>IF(ISNUMBER(SEARCH("R", 'WetLitterbags placem_collection'!AC26)),"YES","NO")</f>
        <v>NO</v>
      </c>
    </row>
    <row r="100" spans="2:38">
      <c r="B100" t="str">
        <f>'Final data_for_R_analysis_Wetse'!A26</f>
        <v>Wet</v>
      </c>
      <c r="C100" s="263">
        <f>'Final data_for_R_analysis_Wetse'!B26</f>
        <v>25</v>
      </c>
      <c r="D100" t="s">
        <v>3830</v>
      </c>
      <c r="E100" t="s">
        <v>22</v>
      </c>
      <c r="F100" s="386">
        <v>1</v>
      </c>
      <c r="G100" s="16">
        <f>'WetLitterbags placem_collection'!E27</f>
        <v>42767</v>
      </c>
      <c r="H100" t="str">
        <f>'Final data_for_R_analysis_Wetse'!J26</f>
        <v>G406</v>
      </c>
      <c r="I100" t="str">
        <f>'Final data_for_R_analysis_Wetse'!J246</f>
        <v>R279</v>
      </c>
      <c r="J100">
        <f>IFERROR(INDEX('Green_rooibos initial weight'!$C$5:$C$1749,MATCH(H100, 'Green_rooibos initial weight'!$A$5:$A$1749,0)),"")</f>
        <v>2.0910000000000002</v>
      </c>
      <c r="K100">
        <f>IFERROR(INDEX('Green_rooibos initial weight'!$C$5:$C$1749,MATCH(I100, 'Green_rooibos initial weight'!$A$5:$A$1749,0)),"")</f>
        <v>2.161</v>
      </c>
      <c r="L100" s="195">
        <f t="shared" si="4"/>
        <v>1.8412000000000002</v>
      </c>
      <c r="M100" s="195">
        <f>AVERAGE(Ashed_controlls!$K$2:$K$11)</f>
        <v>5.5147656768714146</v>
      </c>
      <c r="N100" s="195">
        <f t="shared" si="0"/>
        <v>1.7396621343574437</v>
      </c>
      <c r="O100" s="195">
        <f t="shared" si="5"/>
        <v>1.9112</v>
      </c>
      <c r="P100" s="195">
        <f>AVERAGE(Ashed_controlls!$K$12:$K$14)</f>
        <v>2.2816647271287041</v>
      </c>
      <c r="Q100" s="195">
        <f t="shared" si="6"/>
        <v>1.8675928237351163</v>
      </c>
      <c r="R100" s="16">
        <f>IF('WetLitterbags placem_collection'!G27="N.A","",'WetLitterbags placem_collection'!G27)</f>
        <v>42818</v>
      </c>
      <c r="S100" s="195">
        <f>IF(IFERROR(INDEX('Both teabags AfterWet'!$C$3:$C$841,MATCH(H100,'Both teabags AfterWet'!$A$3:$A$841,0)),"")="N.A","",(IFERROR(INDEX('Both teabags AfterWet'!$C$3:$C$841,MATCH(H100,'Both teabags AfterWet'!$A$3:$A$841,0)),"")))</f>
        <v>0.68400000000000005</v>
      </c>
      <c r="T100" s="195" t="str">
        <f>IFERROR(INDEX('Both teabags AfterWet'!$C$3:$C$841,MATCH(I100,'Both teabags AfterWet'!$A$3:$A$841,0)),"")</f>
        <v/>
      </c>
      <c r="U100" s="195">
        <f t="shared" si="7"/>
        <v>0.5334000000000001</v>
      </c>
      <c r="V100" s="195" t="str">
        <f t="shared" si="7"/>
        <v/>
      </c>
      <c r="W100" s="195">
        <f>IFERROR(INDEX('Ashed teabags wet'!$K$2:$K$821,MATCH(H100,'Ashed teabags wet'!$A$2:$A$821,0)),"")</f>
        <v>12.537313432835518</v>
      </c>
      <c r="X100" s="195">
        <f>IFERROR(INDEX('Ashed teabags wet'!$K$2:$K$821,MATCH(I100,'Ashed teabags wet'!$A$2:$A$821,0)),"")</f>
        <v>2.7040077257358202</v>
      </c>
      <c r="Y100" s="195">
        <f t="shared" si="1"/>
        <v>0.46652597014925545</v>
      </c>
      <c r="Z100" s="195" t="str">
        <f t="shared" si="1"/>
        <v/>
      </c>
      <c r="AA100" s="195">
        <f t="shared" si="8"/>
        <v>0.7318295541785933</v>
      </c>
      <c r="AB100" s="195">
        <f t="shared" si="9"/>
        <v>0.47977424454463607</v>
      </c>
      <c r="AC100" s="195" t="str">
        <f t="shared" si="2"/>
        <v/>
      </c>
      <c r="AD100">
        <f t="shared" si="3"/>
        <v>51</v>
      </c>
      <c r="AE100" s="195">
        <f t="shared" si="10"/>
        <v>0.13084375988290575</v>
      </c>
      <c r="AF100" s="195" t="str">
        <f t="shared" si="11"/>
        <v/>
      </c>
      <c r="AG100" s="255" t="str">
        <f>IF(ISNUMBER(SEARCH("C",'WetLitterbags placem_collection'!AD27)),"YES","NO")</f>
        <v>NO</v>
      </c>
      <c r="AH100" s="255" t="str">
        <f>IF(ISNUMBER(SEARCH("H", 'WetLitterbags placem_collection'!AD27)),"YES","NO")</f>
        <v>NO</v>
      </c>
      <c r="AI100" s="255" t="str">
        <f>IF(ISNUMBER(SEARCH("R", 'WetLitterbags placem_collection'!AD27)),"YES","NO")</f>
        <v>YES</v>
      </c>
      <c r="AJ100" s="255" t="str">
        <f>IF(ISNUMBER(SEARCH("C", 'WetLitterbags placem_collection'!AC27)),"YES","NO")</f>
        <v>NO</v>
      </c>
      <c r="AK100" s="255" t="str">
        <f>IF(ISNUMBER(SEARCH("H", 'WetLitterbags placem_collection'!AC27)),"YES","NO")</f>
        <v>NO</v>
      </c>
      <c r="AL100" s="255" t="str">
        <f>IF(ISNUMBER(SEARCH("R", 'WetLitterbags placem_collection'!AC27)),"YES","NO")</f>
        <v>NO</v>
      </c>
    </row>
    <row r="101" spans="2:38">
      <c r="B101" t="str">
        <f>'Final data_for_R_analysis_Wetse'!A27</f>
        <v>Wet</v>
      </c>
      <c r="C101" s="263">
        <f>'Final data_for_R_analysis_Wetse'!B27</f>
        <v>26</v>
      </c>
      <c r="D101" t="s">
        <v>3830</v>
      </c>
      <c r="E101" t="s">
        <v>22</v>
      </c>
      <c r="F101" s="386">
        <v>2</v>
      </c>
      <c r="G101" s="16">
        <f>'WetLitterbags placem_collection'!E28</f>
        <v>42767</v>
      </c>
      <c r="H101" t="str">
        <f>'Final data_for_R_analysis_Wetse'!J27</f>
        <v>G651</v>
      </c>
      <c r="I101" t="str">
        <f>'Final data_for_R_analysis_Wetse'!J247</f>
        <v>R148</v>
      </c>
      <c r="J101">
        <f>IFERROR(INDEX('Green_rooibos initial weight'!$C$5:$C$1749,MATCH(H101, 'Green_rooibos initial weight'!$A$5:$A$1749,0)),"")</f>
        <v>1.97</v>
      </c>
      <c r="K101">
        <f>IFERROR(INDEX('Green_rooibos initial weight'!$C$5:$C$1749,MATCH(I101, 'Green_rooibos initial weight'!$A$5:$A$1749,0)),"")</f>
        <v>2.149</v>
      </c>
      <c r="L101" s="195">
        <f t="shared" si="4"/>
        <v>1.7202</v>
      </c>
      <c r="M101" s="195">
        <f>AVERAGE(Ashed_controlls!$K$2:$K$11)</f>
        <v>5.5147656768714146</v>
      </c>
      <c r="N101" s="195">
        <f t="shared" si="0"/>
        <v>1.6253350008264578</v>
      </c>
      <c r="O101" s="195">
        <f t="shared" si="5"/>
        <v>1.8992</v>
      </c>
      <c r="P101" s="195">
        <f>AVERAGE(Ashed_controlls!$K$12:$K$14)</f>
        <v>2.2816647271287041</v>
      </c>
      <c r="Q101" s="195">
        <f t="shared" si="6"/>
        <v>1.8558666235023717</v>
      </c>
      <c r="R101" s="16">
        <f>IF('WetLitterbags placem_collection'!G28="N.A","",'WetLitterbags placem_collection'!G28)</f>
        <v>42818</v>
      </c>
      <c r="S101" s="195">
        <f>IF(IFERROR(INDEX('Both teabags AfterWet'!$C$3:$C$841,MATCH(H101,'Both teabags AfterWet'!$A$3:$A$841,0)),"")="N.A","",(IFERROR(INDEX('Both teabags AfterWet'!$C$3:$C$841,MATCH(H101,'Both teabags AfterWet'!$A$3:$A$841,0)),"")))</f>
        <v>0.77580000000000005</v>
      </c>
      <c r="T101" s="195">
        <f>IFERROR(INDEX('Both teabags AfterWet'!$C$3:$C$841,MATCH(I101,'Both teabags AfterWet'!$A$3:$A$841,0)),"")</f>
        <v>1.5741000000000001</v>
      </c>
      <c r="U101" s="195">
        <f t="shared" si="7"/>
        <v>0.62519999999999998</v>
      </c>
      <c r="V101" s="195">
        <f t="shared" si="7"/>
        <v>1.4235</v>
      </c>
      <c r="W101" s="195">
        <f>IFERROR(INDEX('Ashed teabags wet'!$K$2:$K$821,MATCH(H101,'Ashed teabags wet'!$A$2:$A$821,0)),"")</f>
        <v>12.512218963832606</v>
      </c>
      <c r="X101" s="195">
        <f>IFERROR(INDEX('Ashed teabags wet'!$K$2:$K$821,MATCH(I101,'Ashed teabags wet'!$A$2:$A$821,0)),"")</f>
        <v>3.3466533466532278</v>
      </c>
      <c r="Y101" s="195">
        <f t="shared" si="1"/>
        <v>0.54697360703811859</v>
      </c>
      <c r="Z101" s="195">
        <f t="shared" si="1"/>
        <v>1.3758603896103914</v>
      </c>
      <c r="AA101" s="195">
        <f t="shared" si="8"/>
        <v>0.66347023428401464</v>
      </c>
      <c r="AB101" s="195">
        <f t="shared" si="9"/>
        <v>0.43495910846172936</v>
      </c>
      <c r="AC101" s="195">
        <f t="shared" si="2"/>
        <v>0.74135736490259319</v>
      </c>
      <c r="AD101">
        <f t="shared" si="3"/>
        <v>51</v>
      </c>
      <c r="AE101" s="195">
        <f t="shared" si="10"/>
        <v>0.21203060061280921</v>
      </c>
      <c r="AF101" s="195">
        <f t="shared" si="11"/>
        <v>1.7705323504038164E-2</v>
      </c>
      <c r="AG101" s="255" t="str">
        <f>IF(ISNUMBER(SEARCH("C",'WetLitterbags placem_collection'!AD28)),"YES","NO")</f>
        <v>NO</v>
      </c>
      <c r="AH101" s="255" t="str">
        <f>IF(ISNUMBER(SEARCH("H", 'WetLitterbags placem_collection'!AD28)),"YES","NO")</f>
        <v>NO</v>
      </c>
      <c r="AI101" s="255" t="str">
        <f>IF(ISNUMBER(SEARCH("R", 'WetLitterbags placem_collection'!AD28)),"YES","NO")</f>
        <v>YES</v>
      </c>
      <c r="AJ101" s="255" t="str">
        <f>IF(ISNUMBER(SEARCH("C", 'WetLitterbags placem_collection'!AC28)),"YES","NO")</f>
        <v>NO</v>
      </c>
      <c r="AK101" s="255" t="str">
        <f>IF(ISNUMBER(SEARCH("H", 'WetLitterbags placem_collection'!AC28)),"YES","NO")</f>
        <v>NO</v>
      </c>
      <c r="AL101" s="255" t="str">
        <f>IF(ISNUMBER(SEARCH("R", 'WetLitterbags placem_collection'!AC28)),"YES","NO")</f>
        <v>NO</v>
      </c>
    </row>
    <row r="102" spans="2:38">
      <c r="B102" t="str">
        <f>'Final data_for_R_analysis_Wetse'!A28</f>
        <v>Wet</v>
      </c>
      <c r="C102" s="263">
        <f>'Final data_for_R_analysis_Wetse'!B28</f>
        <v>27</v>
      </c>
      <c r="D102" t="s">
        <v>3830</v>
      </c>
      <c r="E102" t="s">
        <v>22</v>
      </c>
      <c r="F102" s="386">
        <v>3</v>
      </c>
      <c r="G102" s="16">
        <f>'WetLitterbags placem_collection'!E29</f>
        <v>42767</v>
      </c>
      <c r="H102" t="str">
        <f>'Final data_for_R_analysis_Wetse'!J28</f>
        <v>G583</v>
      </c>
      <c r="I102" t="str">
        <f>'Final data_for_R_analysis_Wetse'!J248</f>
        <v>R112</v>
      </c>
      <c r="J102">
        <f>IFERROR(INDEX('Green_rooibos initial weight'!$C$5:$C$1749,MATCH(H102, 'Green_rooibos initial weight'!$A$5:$A$1749,0)),"")</f>
        <v>2.1829999999999998</v>
      </c>
      <c r="K102">
        <f>IFERROR(INDEX('Green_rooibos initial weight'!$C$5:$C$1749,MATCH(I102, 'Green_rooibos initial weight'!$A$5:$A$1749,0)),"")</f>
        <v>2.2610000000000001</v>
      </c>
      <c r="L102" s="195">
        <f t="shared" si="4"/>
        <v>1.9331999999999998</v>
      </c>
      <c r="M102" s="195">
        <f>AVERAGE(Ashed_controlls!$K$2:$K$11)</f>
        <v>5.5147656768714146</v>
      </c>
      <c r="N102" s="195">
        <f t="shared" si="0"/>
        <v>1.8265885499347216</v>
      </c>
      <c r="O102" s="195">
        <f t="shared" si="5"/>
        <v>2.0112000000000001</v>
      </c>
      <c r="P102" s="195">
        <f>AVERAGE(Ashed_controlls!$K$12:$K$14)</f>
        <v>2.2816647271287041</v>
      </c>
      <c r="Q102" s="195">
        <f t="shared" si="6"/>
        <v>1.9653111590079877</v>
      </c>
      <c r="R102" s="16">
        <f>IF('WetLitterbags placem_collection'!G29="N.A","",'WetLitterbags placem_collection'!G29)</f>
        <v>42818</v>
      </c>
      <c r="S102" s="195">
        <f>IF(IFERROR(INDEX('Both teabags AfterWet'!$C$3:$C$841,MATCH(H102,'Both teabags AfterWet'!$A$3:$A$841,0)),"")="N.A","",(IFERROR(INDEX('Both teabags AfterWet'!$C$3:$C$841,MATCH(H102,'Both teabags AfterWet'!$A$3:$A$841,0)),"")))</f>
        <v>0.66169999999999995</v>
      </c>
      <c r="T102" s="195">
        <f>IFERROR(INDEX('Both teabags AfterWet'!$C$3:$C$841,MATCH(I102,'Both teabags AfterWet'!$A$3:$A$841,0)),"")</f>
        <v>1.3584000000000001</v>
      </c>
      <c r="U102" s="195">
        <f t="shared" si="7"/>
        <v>0.51109999999999989</v>
      </c>
      <c r="V102" s="195">
        <f t="shared" si="7"/>
        <v>1.2078</v>
      </c>
      <c r="W102" s="195">
        <f>IFERROR(INDEX('Ashed teabags wet'!$K$2:$K$821,MATCH(H102,'Ashed teabags wet'!$A$2:$A$821,0)),"")</f>
        <v>12.756598240469378</v>
      </c>
      <c r="X102" s="195">
        <f>IFERROR(INDEX('Ashed teabags wet'!$K$2:$K$821,MATCH(I102,'Ashed teabags wet'!$A$2:$A$821,0)),"")</f>
        <v>6.1105722599418044</v>
      </c>
      <c r="Y102" s="195">
        <f t="shared" si="1"/>
        <v>0.44590102639296092</v>
      </c>
      <c r="Z102" s="195">
        <f t="shared" si="1"/>
        <v>1.1339965082444228</v>
      </c>
      <c r="AA102" s="195">
        <f t="shared" si="8"/>
        <v>0.7558831591225641</v>
      </c>
      <c r="AB102" s="195">
        <f t="shared" si="9"/>
        <v>0.49554335372405633</v>
      </c>
      <c r="AC102" s="195">
        <f t="shared" si="2"/>
        <v>0.57700609038256312</v>
      </c>
      <c r="AD102">
        <f t="shared" si="3"/>
        <v>51</v>
      </c>
      <c r="AE102" s="195">
        <f t="shared" si="10"/>
        <v>0.10227653310859364</v>
      </c>
      <c r="AF102" s="195">
        <f t="shared" si="11"/>
        <v>3.7674245642247035E-2</v>
      </c>
      <c r="AG102" s="255" t="str">
        <f>IF(ISNUMBER(SEARCH("C",'WetLitterbags placem_collection'!AD29)),"YES","NO")</f>
        <v>NO</v>
      </c>
      <c r="AH102" s="255" t="str">
        <f>IF(ISNUMBER(SEARCH("H", 'WetLitterbags placem_collection'!AD29)),"YES","NO")</f>
        <v>NO</v>
      </c>
      <c r="AI102" s="255" t="str">
        <f>IF(ISNUMBER(SEARCH("R", 'WetLitterbags placem_collection'!AD29)),"YES","NO")</f>
        <v>YES</v>
      </c>
      <c r="AJ102" s="255" t="str">
        <f>IF(ISNUMBER(SEARCH("C", 'WetLitterbags placem_collection'!AC29)),"YES","NO")</f>
        <v>NO</v>
      </c>
      <c r="AK102" s="255" t="str">
        <f>IF(ISNUMBER(SEARCH("H", 'WetLitterbags placem_collection'!AC29)),"YES","NO")</f>
        <v>NO</v>
      </c>
      <c r="AL102" s="255" t="str">
        <f>IF(ISNUMBER(SEARCH("R", 'WetLitterbags placem_collection'!AC29)),"YES","NO")</f>
        <v>NO</v>
      </c>
    </row>
    <row r="103" spans="2:38">
      <c r="B103" t="str">
        <f>'Final data_for_R_analysis_Wetse'!A29</f>
        <v>Wet</v>
      </c>
      <c r="C103" s="263">
        <f>'Final data_for_R_analysis_Wetse'!B29</f>
        <v>28</v>
      </c>
      <c r="D103" t="s">
        <v>3830</v>
      </c>
      <c r="E103" t="s">
        <v>22</v>
      </c>
      <c r="F103" s="387">
        <v>4</v>
      </c>
      <c r="G103" s="16">
        <f>'WetLitterbags placem_collection'!E30</f>
        <v>42767</v>
      </c>
      <c r="H103" t="str">
        <f>'Final data_for_R_analysis_Wetse'!J29</f>
        <v>G702</v>
      </c>
      <c r="I103" t="str">
        <f>'Final data_for_R_analysis_Wetse'!J249</f>
        <v>R436</v>
      </c>
      <c r="J103">
        <f>IFERROR(INDEX('Green_rooibos initial weight'!$C$5:$C$1749,MATCH(H103, 'Green_rooibos initial weight'!$A$5:$A$1749,0)),"")</f>
        <v>2.109</v>
      </c>
      <c r="K103">
        <f>IFERROR(INDEX('Green_rooibos initial weight'!$C$5:$C$1749,MATCH(I103, 'Green_rooibos initial weight'!$A$5:$A$1749,0)),"")</f>
        <v>2.2240000000000002</v>
      </c>
      <c r="L103" s="195">
        <f t="shared" si="4"/>
        <v>1.8592</v>
      </c>
      <c r="M103" s="195">
        <f>AVERAGE(Ashed_controlls!$K$2:$K$11)</f>
        <v>5.5147656768714146</v>
      </c>
      <c r="N103" s="195">
        <f t="shared" si="0"/>
        <v>1.7566694765356066</v>
      </c>
      <c r="O103" s="195">
        <f t="shared" si="5"/>
        <v>1.9742000000000002</v>
      </c>
      <c r="P103" s="195">
        <f>AVERAGE(Ashed_controlls!$K$12:$K$14)</f>
        <v>2.2816647271287041</v>
      </c>
      <c r="Q103" s="195">
        <f t="shared" si="6"/>
        <v>1.9291553749570254</v>
      </c>
      <c r="R103" s="16">
        <f>IF('WetLitterbags placem_collection'!G30="N.A","",'WetLitterbags placem_collection'!G30)</f>
        <v>42818</v>
      </c>
      <c r="S103" s="195">
        <f>IF(IFERROR(INDEX('Both teabags AfterWet'!$C$3:$C$841,MATCH(H103,'Both teabags AfterWet'!$A$3:$A$841,0)),"")="N.A","",(IFERROR(INDEX('Both teabags AfterWet'!$C$3:$C$841,MATCH(H103,'Both teabags AfterWet'!$A$3:$A$841,0)),"")))</f>
        <v>0.73699999999999999</v>
      </c>
      <c r="T103" s="195">
        <f>IFERROR(INDEX('Both teabags AfterWet'!$C$3:$C$841,MATCH(I103,'Both teabags AfterWet'!$A$3:$A$841,0)),"")</f>
        <v>1.5295000000000001</v>
      </c>
      <c r="U103" s="195">
        <f t="shared" si="7"/>
        <v>0.58640000000000003</v>
      </c>
      <c r="V103" s="195">
        <f t="shared" si="7"/>
        <v>1.3789</v>
      </c>
      <c r="W103" s="195">
        <f>IFERROR(INDEX('Ashed teabags wet'!$K$2:$K$821,MATCH(H103,'Ashed teabags wet'!$A$2:$A$821,0)),"")</f>
        <v>10.710760118459444</v>
      </c>
      <c r="X103" s="195">
        <f>IFERROR(INDEX('Ashed teabags wet'!$K$2:$K$821,MATCH(I103,'Ashed teabags wet'!$A$2:$A$821,0)),"")</f>
        <v>4.1749502982106899</v>
      </c>
      <c r="Y103" s="195">
        <f t="shared" si="1"/>
        <v>0.52359210266535383</v>
      </c>
      <c r="Z103" s="195">
        <f t="shared" si="1"/>
        <v>1.3213316103379729</v>
      </c>
      <c r="AA103" s="195">
        <f t="shared" si="8"/>
        <v>0.70194045626730572</v>
      </c>
      <c r="AB103" s="195">
        <f t="shared" si="9"/>
        <v>0.46017949151965892</v>
      </c>
      <c r="AC103" s="195">
        <f t="shared" si="2"/>
        <v>0.68492752190445383</v>
      </c>
      <c r="AD103">
        <f t="shared" si="3"/>
        <v>51</v>
      </c>
      <c r="AE103" s="195">
        <f t="shared" si="10"/>
        <v>0.16634150087018318</v>
      </c>
      <c r="AF103" s="195">
        <f t="shared" si="11"/>
        <v>2.2630296441205254E-2</v>
      </c>
      <c r="AG103" s="255" t="str">
        <f>IF(ISNUMBER(SEARCH("C",'WetLitterbags placem_collection'!AD30)),"YES","NO")</f>
        <v>NO</v>
      </c>
      <c r="AH103" s="255" t="str">
        <f>IF(ISNUMBER(SEARCH("H", 'WetLitterbags placem_collection'!AD30)),"YES","NO")</f>
        <v>NO</v>
      </c>
      <c r="AI103" s="255" t="str">
        <f>IF(ISNUMBER(SEARCH("R", 'WetLitterbags placem_collection'!AD30)),"YES","NO")</f>
        <v>YES</v>
      </c>
      <c r="AJ103" s="255" t="str">
        <f>IF(ISNUMBER(SEARCH("C", 'WetLitterbags placem_collection'!AC30)),"YES","NO")</f>
        <v>NO</v>
      </c>
      <c r="AK103" s="255" t="str">
        <f>IF(ISNUMBER(SEARCH("H", 'WetLitterbags placem_collection'!AC30)),"YES","NO")</f>
        <v>NO</v>
      </c>
      <c r="AL103" s="255" t="str">
        <f>IF(ISNUMBER(SEARCH("R", 'WetLitterbags placem_collection'!AC30)),"YES","NO")</f>
        <v>NO</v>
      </c>
    </row>
    <row r="104" spans="2:38">
      <c r="B104" t="str">
        <f>'Final data_for_R_analysis_Wetse'!A30</f>
        <v>Wet</v>
      </c>
      <c r="C104" s="263">
        <f>'Final data_for_R_analysis_Wetse'!B30</f>
        <v>29</v>
      </c>
      <c r="D104" t="s">
        <v>3830</v>
      </c>
      <c r="E104" t="s">
        <v>22</v>
      </c>
      <c r="F104" s="387">
        <v>5</v>
      </c>
      <c r="G104" s="16">
        <f>'WetLitterbags placem_collection'!E31</f>
        <v>42767</v>
      </c>
      <c r="H104" t="str">
        <f>'Final data_for_R_analysis_Wetse'!J30</f>
        <v>G838</v>
      </c>
      <c r="I104" t="str">
        <f>'Final data_for_R_analysis_Wetse'!J250</f>
        <v>R386</v>
      </c>
      <c r="J104">
        <f>IFERROR(INDEX('Green_rooibos initial weight'!$C$5:$C$1749,MATCH(H104, 'Green_rooibos initial weight'!$A$5:$A$1749,0)),"")</f>
        <v>2.0369999999999999</v>
      </c>
      <c r="K104">
        <f>IFERROR(INDEX('Green_rooibos initial weight'!$C$5:$C$1749,MATCH(I104, 'Green_rooibos initial weight'!$A$5:$A$1749,0)),"")</f>
        <v>2.2309999999999999</v>
      </c>
      <c r="L104" s="195">
        <f t="shared" si="4"/>
        <v>1.7871999999999999</v>
      </c>
      <c r="M104" s="195">
        <f>AVERAGE(Ashed_controlls!$K$2:$K$11)</f>
        <v>5.5147656768714146</v>
      </c>
      <c r="N104" s="195">
        <f t="shared" si="0"/>
        <v>1.688640107822954</v>
      </c>
      <c r="O104" s="195">
        <f t="shared" si="5"/>
        <v>1.9811999999999999</v>
      </c>
      <c r="P104" s="195">
        <f>AVERAGE(Ashed_controlls!$K$12:$K$14)</f>
        <v>2.2816647271287041</v>
      </c>
      <c r="Q104" s="195">
        <f t="shared" si="6"/>
        <v>1.935995658426126</v>
      </c>
      <c r="R104" s="16">
        <f>IF('WetLitterbags placem_collection'!G31="N.A","",'WetLitterbags placem_collection'!G31)</f>
        <v>42818</v>
      </c>
      <c r="S104" s="195">
        <f>IF(IFERROR(INDEX('Both teabags AfterWet'!$C$3:$C$841,MATCH(H104,'Both teabags AfterWet'!$A$3:$A$841,0)),"")="N.A","",(IFERROR(INDEX('Both teabags AfterWet'!$C$3:$C$841,MATCH(H104,'Both teabags AfterWet'!$A$3:$A$841,0)),"")))</f>
        <v>0.70830000000000004</v>
      </c>
      <c r="T104" s="195">
        <f>IFERROR(INDEX('Both teabags AfterWet'!$C$3:$C$841,MATCH(I104,'Both teabags AfterWet'!$A$3:$A$841,0)),"")</f>
        <v>1.5941000000000001</v>
      </c>
      <c r="U104" s="195">
        <f t="shared" si="7"/>
        <v>0.55770000000000008</v>
      </c>
      <c r="V104" s="195">
        <f t="shared" si="7"/>
        <v>1.4435</v>
      </c>
      <c r="W104" s="195">
        <f>IFERROR(INDEX('Ashed teabags wet'!$K$2:$K$821,MATCH(H104,'Ashed teabags wet'!$A$2:$A$821,0)),"")</f>
        <v>8.2404265632568467</v>
      </c>
      <c r="X104" s="195">
        <f>IFERROR(INDEX('Ashed teabags wet'!$K$2:$K$821,MATCH(I104,'Ashed teabags wet'!$A$2:$A$821,0)),"")</f>
        <v>10.99756690997477</v>
      </c>
      <c r="Y104" s="195">
        <f t="shared" si="1"/>
        <v>0.51174314105671659</v>
      </c>
      <c r="Z104" s="195">
        <f t="shared" si="1"/>
        <v>1.2847501216545143</v>
      </c>
      <c r="AA104" s="195">
        <f t="shared" si="8"/>
        <v>0.69694955207686538</v>
      </c>
      <c r="AB104" s="195">
        <f t="shared" si="9"/>
        <v>0.45690754482948898</v>
      </c>
      <c r="AC104" s="195">
        <f t="shared" si="2"/>
        <v>0.66361208821044371</v>
      </c>
      <c r="AD104">
        <f t="shared" si="3"/>
        <v>51</v>
      </c>
      <c r="AE104" s="195">
        <f t="shared" si="10"/>
        <v>0.17226894052628816</v>
      </c>
      <c r="AF104" s="195">
        <f t="shared" si="11"/>
        <v>2.6130752785664811E-2</v>
      </c>
      <c r="AG104" s="255" t="str">
        <f>IF(ISNUMBER(SEARCH("C",'WetLitterbags placem_collection'!AD31)),"YES","NO")</f>
        <v>NO</v>
      </c>
      <c r="AH104" s="255" t="str">
        <f>IF(ISNUMBER(SEARCH("H", 'WetLitterbags placem_collection'!AD31)),"YES","NO")</f>
        <v>NO</v>
      </c>
      <c r="AI104" s="255" t="str">
        <f>IF(ISNUMBER(SEARCH("R", 'WetLitterbags placem_collection'!AD31)),"YES","NO")</f>
        <v>YES</v>
      </c>
      <c r="AJ104" s="255" t="str">
        <f>IF(ISNUMBER(SEARCH("C", 'WetLitterbags placem_collection'!AC31)),"YES","NO")</f>
        <v>NO</v>
      </c>
      <c r="AK104" s="255" t="str">
        <f>IF(ISNUMBER(SEARCH("H", 'WetLitterbags placem_collection'!AC31)),"YES","NO")</f>
        <v>NO</v>
      </c>
      <c r="AL104" s="255" t="str">
        <f>IF(ISNUMBER(SEARCH("R", 'WetLitterbags placem_collection'!AC31)),"YES","NO")</f>
        <v>NO</v>
      </c>
    </row>
    <row r="105" spans="2:38">
      <c r="B105" t="str">
        <f>'Final data_for_R_analysis_Wetse'!A31</f>
        <v>Wet</v>
      </c>
      <c r="C105" s="263">
        <f>'Final data_for_R_analysis_Wetse'!B31</f>
        <v>30</v>
      </c>
      <c r="D105" t="s">
        <v>3830</v>
      </c>
      <c r="E105" t="s">
        <v>22</v>
      </c>
      <c r="F105" s="387">
        <v>6</v>
      </c>
      <c r="G105" s="16">
        <f>'WetLitterbags placem_collection'!E32</f>
        <v>42767</v>
      </c>
      <c r="H105" t="str">
        <f>'Final data_for_R_analysis_Wetse'!J31</f>
        <v>G518</v>
      </c>
      <c r="I105" t="str">
        <f>'Final data_for_R_analysis_Wetse'!J251</f>
        <v>R507</v>
      </c>
      <c r="J105">
        <f>IFERROR(INDEX('Green_rooibos initial weight'!$C$5:$C$1749,MATCH(H105, 'Green_rooibos initial weight'!$A$5:$A$1749,0)),"")</f>
        <v>1.9950000000000001</v>
      </c>
      <c r="K105">
        <f>IFERROR(INDEX('Green_rooibos initial weight'!$C$5:$C$1749,MATCH(I105, 'Green_rooibos initial weight'!$A$5:$A$1749,0)),"")</f>
        <v>2.1920000000000002</v>
      </c>
      <c r="L105" s="195">
        <f t="shared" si="4"/>
        <v>1.7452000000000001</v>
      </c>
      <c r="M105" s="195">
        <f>AVERAGE(Ashed_controlls!$K$2:$K$11)</f>
        <v>5.5147656768714146</v>
      </c>
      <c r="N105" s="195">
        <f t="shared" si="0"/>
        <v>1.6489563094072401</v>
      </c>
      <c r="O105" s="195">
        <f t="shared" si="5"/>
        <v>1.9422000000000001</v>
      </c>
      <c r="P105" s="195">
        <f>AVERAGE(Ashed_controlls!$K$12:$K$14)</f>
        <v>2.2816647271287041</v>
      </c>
      <c r="Q105" s="195">
        <f t="shared" si="6"/>
        <v>1.8978855076697065</v>
      </c>
      <c r="R105" s="16">
        <f>IF('WetLitterbags placem_collection'!G32="N.A","",'WetLitterbags placem_collection'!G32)</f>
        <v>42818</v>
      </c>
      <c r="S105" s="195">
        <f>IF(IFERROR(INDEX('Both teabags AfterWet'!$C$3:$C$841,MATCH(H105,'Both teabags AfterWet'!$A$3:$A$841,0)),"")="N.A","",(IFERROR(INDEX('Both teabags AfterWet'!$C$3:$C$841,MATCH(H105,'Both teabags AfterWet'!$A$3:$A$841,0)),"")))</f>
        <v>0.68200000000000005</v>
      </c>
      <c r="T105" s="195">
        <f>IFERROR(INDEX('Both teabags AfterWet'!$C$3:$C$841,MATCH(I105,'Both teabags AfterWet'!$A$3:$A$841,0)),"")</f>
        <v>1.3523000000000001</v>
      </c>
      <c r="U105" s="195">
        <f t="shared" si="7"/>
        <v>0.53140000000000009</v>
      </c>
      <c r="V105" s="195">
        <f t="shared" si="7"/>
        <v>1.2017</v>
      </c>
      <c r="W105" s="195">
        <f>IFERROR(INDEX('Ashed teabags wet'!$K$2:$K$821,MATCH(H105,'Ashed teabags wet'!$A$2:$A$821,0)),"")</f>
        <v>11.009615384615254</v>
      </c>
      <c r="X105" s="195">
        <f>IFERROR(INDEX('Ashed teabags wet'!$K$2:$K$821,MATCH(I105,'Ashed teabags wet'!$A$2:$A$821,0)),"")</f>
        <v>4.821073558648326</v>
      </c>
      <c r="Y105" s="195">
        <f t="shared" si="1"/>
        <v>0.47289490384615462</v>
      </c>
      <c r="Z105" s="195">
        <f t="shared" si="1"/>
        <v>1.143765159045723</v>
      </c>
      <c r="AA105" s="195">
        <f t="shared" si="8"/>
        <v>0.71321562545453432</v>
      </c>
      <c r="AB105" s="195">
        <f t="shared" si="9"/>
        <v>0.46757128889655941</v>
      </c>
      <c r="AC105" s="195">
        <f t="shared" si="2"/>
        <v>0.60265234885010521</v>
      </c>
      <c r="AD105">
        <f t="shared" si="3"/>
        <v>51</v>
      </c>
      <c r="AE105" s="195">
        <f t="shared" si="10"/>
        <v>0.15295056359318959</v>
      </c>
      <c r="AF105" s="195">
        <f t="shared" si="11"/>
        <v>3.7173859849596799E-2</v>
      </c>
      <c r="AG105" s="255" t="str">
        <f>IF(ISNUMBER(SEARCH("C",'WetLitterbags placem_collection'!AD32)),"YES","NO")</f>
        <v>NO</v>
      </c>
      <c r="AH105" s="255" t="str">
        <f>IF(ISNUMBER(SEARCH("H", 'WetLitterbags placem_collection'!AD32)),"YES","NO")</f>
        <v>NO</v>
      </c>
      <c r="AI105" s="255" t="str">
        <f>IF(ISNUMBER(SEARCH("R", 'WetLitterbags placem_collection'!AD32)),"YES","NO")</f>
        <v>YES</v>
      </c>
      <c r="AJ105" s="255" t="str">
        <f>IF(ISNUMBER(SEARCH("C", 'WetLitterbags placem_collection'!AC32)),"YES","NO")</f>
        <v>NO</v>
      </c>
      <c r="AK105" s="255" t="str">
        <f>IF(ISNUMBER(SEARCH("H", 'WetLitterbags placem_collection'!AC32)),"YES","NO")</f>
        <v>NO</v>
      </c>
      <c r="AL105" s="255" t="str">
        <f>IF(ISNUMBER(SEARCH("R", 'WetLitterbags placem_collection'!AC32)),"YES","NO")</f>
        <v>NO</v>
      </c>
    </row>
    <row r="106" spans="2:38">
      <c r="B106" t="str">
        <f>'Final data_for_R_analysis_Wetse'!A32</f>
        <v>Wet</v>
      </c>
      <c r="C106" s="263">
        <f>'Final data_for_R_analysis_Wetse'!B32</f>
        <v>31</v>
      </c>
      <c r="D106" t="s">
        <v>3830</v>
      </c>
      <c r="E106" t="s">
        <v>22</v>
      </c>
      <c r="F106" s="387">
        <v>7</v>
      </c>
      <c r="G106" s="16">
        <f>'WetLitterbags placem_collection'!E33</f>
        <v>42767</v>
      </c>
      <c r="H106" t="str">
        <f>'Final data_for_R_analysis_Wetse'!J32</f>
        <v>G404</v>
      </c>
      <c r="I106" t="str">
        <f>'Final data_for_R_analysis_Wetse'!J252</f>
        <v>R141</v>
      </c>
      <c r="J106">
        <f>IFERROR(INDEX('Green_rooibos initial weight'!$C$5:$C$1749,MATCH(H106, 'Green_rooibos initial weight'!$A$5:$A$1749,0)),"")</f>
        <v>2.113</v>
      </c>
      <c r="K106">
        <f>IFERROR(INDEX('Green_rooibos initial weight'!$C$5:$C$1749,MATCH(I106, 'Green_rooibos initial weight'!$A$5:$A$1749,0)),"")</f>
        <v>2.2029999999999998</v>
      </c>
      <c r="L106" s="195">
        <f t="shared" si="4"/>
        <v>1.8632</v>
      </c>
      <c r="M106" s="195">
        <f>AVERAGE(Ashed_controlls!$K$2:$K$11)</f>
        <v>5.5147656768714146</v>
      </c>
      <c r="N106" s="195">
        <f t="shared" si="0"/>
        <v>1.7604488859085319</v>
      </c>
      <c r="O106" s="195">
        <f t="shared" si="5"/>
        <v>1.9531999999999998</v>
      </c>
      <c r="P106" s="195">
        <f>AVERAGE(Ashed_controlls!$K$12:$K$14)</f>
        <v>2.2816647271287041</v>
      </c>
      <c r="Q106" s="195">
        <f t="shared" si="6"/>
        <v>1.908634524549722</v>
      </c>
      <c r="R106" s="16">
        <f>IF('WetLitterbags placem_collection'!G33="N.A","",'WetLitterbags placem_collection'!G33)</f>
        <v>42818</v>
      </c>
      <c r="S106" s="195">
        <f>IF(IFERROR(INDEX('Both teabags AfterWet'!$C$3:$C$841,MATCH(H106,'Both teabags AfterWet'!$A$3:$A$841,0)),"")="N.A","",(IFERROR(INDEX('Both teabags AfterWet'!$C$3:$C$841,MATCH(H106,'Both teabags AfterWet'!$A$3:$A$841,0)),"")))</f>
        <v>0.75349999999999995</v>
      </c>
      <c r="T106" s="195">
        <f>IFERROR(INDEX('Both teabags AfterWet'!$C$3:$C$841,MATCH(I106,'Both teabags AfterWet'!$A$3:$A$841,0)),"")</f>
        <v>1.3197000000000001</v>
      </c>
      <c r="U106" s="195">
        <f t="shared" si="7"/>
        <v>0.60289999999999999</v>
      </c>
      <c r="V106" s="195">
        <f t="shared" si="7"/>
        <v>1.1691</v>
      </c>
      <c r="W106" s="195">
        <f>IFERROR(INDEX('Ashed teabags wet'!$K$2:$K$821,MATCH(H106,'Ashed teabags wet'!$A$2:$A$821,0)),"")</f>
        <v>13.930110100526482</v>
      </c>
      <c r="X106" s="195">
        <f>IFERROR(INDEX('Ashed teabags wet'!$K$2:$K$821,MATCH(I106,'Ashed teabags wet'!$A$2:$A$821,0)),"")</f>
        <v>5.5501460564756266</v>
      </c>
      <c r="Y106" s="195">
        <f t="shared" si="1"/>
        <v>0.51891536620392587</v>
      </c>
      <c r="Z106" s="195">
        <f t="shared" si="1"/>
        <v>1.1042132424537434</v>
      </c>
      <c r="AA106" s="195">
        <f t="shared" si="8"/>
        <v>0.70523690272545214</v>
      </c>
      <c r="AB106" s="195">
        <f t="shared" si="9"/>
        <v>0.46234058230932262</v>
      </c>
      <c r="AC106" s="195">
        <f t="shared" si="2"/>
        <v>0.57853571663451142</v>
      </c>
      <c r="AD106">
        <f t="shared" si="3"/>
        <v>51</v>
      </c>
      <c r="AE106" s="195">
        <f t="shared" si="10"/>
        <v>0.16242648132369097</v>
      </c>
      <c r="AF106" s="195">
        <f t="shared" si="11"/>
        <v>4.7563753009423886E-2</v>
      </c>
      <c r="AG106" s="255" t="str">
        <f>IF(ISNUMBER(SEARCH("C",'WetLitterbags placem_collection'!AD33)),"YES","NO")</f>
        <v>NO</v>
      </c>
      <c r="AH106" s="255" t="str">
        <f>IF(ISNUMBER(SEARCH("H", 'WetLitterbags placem_collection'!AD33)),"YES","NO")</f>
        <v>NO</v>
      </c>
      <c r="AI106" s="255" t="str">
        <f>IF(ISNUMBER(SEARCH("R", 'WetLitterbags placem_collection'!AD33)),"YES","NO")</f>
        <v>YES</v>
      </c>
      <c r="AJ106" s="255" t="str">
        <f>IF(ISNUMBER(SEARCH("C", 'WetLitterbags placem_collection'!AC33)),"YES","NO")</f>
        <v>NO</v>
      </c>
      <c r="AK106" s="255" t="str">
        <f>IF(ISNUMBER(SEARCH("H", 'WetLitterbags placem_collection'!AC33)),"YES","NO")</f>
        <v>NO</v>
      </c>
      <c r="AL106" s="255" t="str">
        <f>IF(ISNUMBER(SEARCH("R", 'WetLitterbags placem_collection'!AC33)),"YES","NO")</f>
        <v>NO</v>
      </c>
    </row>
    <row r="107" spans="2:38">
      <c r="B107" t="str">
        <f>'Final data_for_R_analysis_Wetse'!A33</f>
        <v>Wet</v>
      </c>
      <c r="C107" s="263">
        <f>'Final data_for_R_analysis_Wetse'!B33</f>
        <v>32</v>
      </c>
      <c r="D107" t="s">
        <v>3830</v>
      </c>
      <c r="E107" t="s">
        <v>22</v>
      </c>
      <c r="F107" s="387">
        <v>8</v>
      </c>
      <c r="G107" s="16">
        <f>'WetLitterbags placem_collection'!E34</f>
        <v>42767</v>
      </c>
      <c r="H107" t="str">
        <f>'Final data_for_R_analysis_Wetse'!J33</f>
        <v>G527</v>
      </c>
      <c r="I107" t="str">
        <f>'Final data_for_R_analysis_Wetse'!J253</f>
        <v>R396</v>
      </c>
      <c r="J107">
        <f>IFERROR(INDEX('Green_rooibos initial weight'!$C$5:$C$1749,MATCH(H107, 'Green_rooibos initial weight'!$A$5:$A$1749,0)),"")</f>
        <v>1.913</v>
      </c>
      <c r="K107">
        <f>IFERROR(INDEX('Green_rooibos initial weight'!$C$5:$C$1749,MATCH(I107, 'Green_rooibos initial weight'!$A$5:$A$1749,0)),"")</f>
        <v>2.14</v>
      </c>
      <c r="L107" s="195">
        <f t="shared" si="4"/>
        <v>1.6632</v>
      </c>
      <c r="M107" s="195">
        <f>AVERAGE(Ashed_controlls!$K$2:$K$11)</f>
        <v>5.5147656768714146</v>
      </c>
      <c r="N107" s="195">
        <f t="shared" si="0"/>
        <v>1.5714784172622747</v>
      </c>
      <c r="O107" s="195">
        <f t="shared" si="5"/>
        <v>1.8902000000000001</v>
      </c>
      <c r="P107" s="195">
        <f>AVERAGE(Ashed_controlls!$K$12:$K$14)</f>
        <v>2.2816647271287041</v>
      </c>
      <c r="Q107" s="195">
        <f t="shared" si="6"/>
        <v>1.8470719733278134</v>
      </c>
      <c r="R107" s="16">
        <f>IF('WetLitterbags placem_collection'!G34="N.A","",'WetLitterbags placem_collection'!G34)</f>
        <v>42818</v>
      </c>
      <c r="S107" s="195">
        <f>IF(IFERROR(INDEX('Both teabags AfterWet'!$C$3:$C$841,MATCH(H107,'Both teabags AfterWet'!$A$3:$A$841,0)),"")="N.A","",(IFERROR(INDEX('Both teabags AfterWet'!$C$3:$C$841,MATCH(H107,'Both teabags AfterWet'!$A$3:$A$841,0)),"")))</f>
        <v>0.66439999999999999</v>
      </c>
      <c r="T107" s="195">
        <f>IFERROR(INDEX('Both teabags AfterWet'!$C$3:$C$841,MATCH(I107,'Both teabags AfterWet'!$A$3:$A$841,0)),"")</f>
        <v>1.3464</v>
      </c>
      <c r="U107" s="195">
        <f t="shared" si="7"/>
        <v>0.51380000000000003</v>
      </c>
      <c r="V107" s="195">
        <f t="shared" si="7"/>
        <v>1.1958</v>
      </c>
      <c r="W107" s="195">
        <f>IFERROR(INDEX('Ashed teabags wet'!$K$2:$K$821,MATCH(H107,'Ashed teabags wet'!$A$2:$A$821,0)),"")</f>
        <v>8.4915084915079166</v>
      </c>
      <c r="X107" s="195">
        <f>IFERROR(INDEX('Ashed teabags wet'!$K$2:$K$821,MATCH(I107,'Ashed teabags wet'!$A$2:$A$821,0)),"")</f>
        <v>7.5764934434188538</v>
      </c>
      <c r="Y107" s="195">
        <f t="shared" si="1"/>
        <v>0.47017062937063236</v>
      </c>
      <c r="Z107" s="195">
        <f t="shared" si="1"/>
        <v>1.1052002914035972</v>
      </c>
      <c r="AA107" s="195">
        <f t="shared" si="8"/>
        <v>0.70080999891189566</v>
      </c>
      <c r="AB107" s="195">
        <f t="shared" si="9"/>
        <v>0.45943838408475829</v>
      </c>
      <c r="AC107" s="195">
        <f t="shared" si="2"/>
        <v>0.59835258580226924</v>
      </c>
      <c r="AD107">
        <f t="shared" si="3"/>
        <v>51</v>
      </c>
      <c r="AE107" s="195">
        <f t="shared" si="10"/>
        <v>0.1676840868029742</v>
      </c>
      <c r="AF107" s="195">
        <f t="shared" si="11"/>
        <v>4.0650437377726265E-2</v>
      </c>
      <c r="AG107" s="255" t="str">
        <f>IF(ISNUMBER(SEARCH("C",'WetLitterbags placem_collection'!AD34)),"YES","NO")</f>
        <v>NO</v>
      </c>
      <c r="AH107" s="255" t="str">
        <f>IF(ISNUMBER(SEARCH("H", 'WetLitterbags placem_collection'!AD34)),"YES","NO")</f>
        <v>NO</v>
      </c>
      <c r="AI107" s="255" t="str">
        <f>IF(ISNUMBER(SEARCH("R", 'WetLitterbags placem_collection'!AD34)),"YES","NO")</f>
        <v>YES</v>
      </c>
      <c r="AJ107" s="255" t="str">
        <f>IF(ISNUMBER(SEARCH("C", 'WetLitterbags placem_collection'!AC34)),"YES","NO")</f>
        <v>NO</v>
      </c>
      <c r="AK107" s="255" t="str">
        <f>IF(ISNUMBER(SEARCH("H", 'WetLitterbags placem_collection'!AC34)),"YES","NO")</f>
        <v>NO</v>
      </c>
      <c r="AL107" s="255" t="str">
        <f>IF(ISNUMBER(SEARCH("R", 'WetLitterbags placem_collection'!AC34)),"YES","NO")</f>
        <v>NO</v>
      </c>
    </row>
    <row r="108" spans="2:38">
      <c r="B108" t="str">
        <f>'Final data_for_R_analysis_Wetse'!A34</f>
        <v>Wet</v>
      </c>
      <c r="C108" s="263">
        <f>'Final data_for_R_analysis_Wetse'!B34</f>
        <v>33</v>
      </c>
      <c r="D108" t="s">
        <v>3831</v>
      </c>
      <c r="E108" t="s">
        <v>22</v>
      </c>
      <c r="F108" s="386">
        <v>1</v>
      </c>
      <c r="G108" s="16">
        <f>'WetLitterbags placem_collection'!E35</f>
        <v>42765</v>
      </c>
      <c r="H108" t="str">
        <f>'Final data_for_R_analysis_Wetse'!J34</f>
        <v>G366</v>
      </c>
      <c r="I108" t="str">
        <f>'Final data_for_R_analysis_Wetse'!J254</f>
        <v>R109</v>
      </c>
      <c r="J108">
        <f>IFERROR(INDEX('Green_rooibos initial weight'!$C$5:$C$1749,MATCH(H108, 'Green_rooibos initial weight'!$A$5:$A$1749,0)),"")</f>
        <v>2.1070000000000002</v>
      </c>
      <c r="K108">
        <f>IFERROR(INDEX('Green_rooibos initial weight'!$C$5:$C$1749,MATCH(I108, 'Green_rooibos initial weight'!$A$5:$A$1749,0)),"")</f>
        <v>2.2090000000000001</v>
      </c>
      <c r="L108" s="195">
        <f t="shared" si="4"/>
        <v>1.8572000000000002</v>
      </c>
      <c r="M108" s="195">
        <f>AVERAGE(Ashed_controlls!$K$2:$K$11)</f>
        <v>5.5147656768714146</v>
      </c>
      <c r="N108" s="195">
        <f t="shared" si="0"/>
        <v>1.7547797718491442</v>
      </c>
      <c r="O108" s="195">
        <f t="shared" si="5"/>
        <v>1.9592000000000001</v>
      </c>
      <c r="P108" s="195">
        <f>AVERAGE(Ashed_controlls!$K$12:$K$14)</f>
        <v>2.2816647271287041</v>
      </c>
      <c r="Q108" s="195">
        <f t="shared" si="6"/>
        <v>1.9144976246660945</v>
      </c>
      <c r="R108" s="16">
        <f>IF('WetLitterbags placem_collection'!G35="N.A","",'WetLitterbags placem_collection'!G35)</f>
        <v>42820</v>
      </c>
      <c r="S108" s="195">
        <f>IF(IFERROR(INDEX('Both teabags AfterWet'!$C$3:$C$841,MATCH(H108,'Both teabags AfterWet'!$A$3:$A$841,0)),"")="N.A","",(IFERROR(INDEX('Both teabags AfterWet'!$C$3:$C$841,MATCH(H108,'Both teabags AfterWet'!$A$3:$A$841,0)),"")))</f>
        <v>0.76700000000000002</v>
      </c>
      <c r="T108" s="195">
        <f>IFERROR(INDEX('Both teabags AfterWet'!$C$3:$C$841,MATCH(I108,'Both teabags AfterWet'!$A$3:$A$841,0)),"")</f>
        <v>0.41499999999999998</v>
      </c>
      <c r="U108" s="195">
        <f t="shared" si="7"/>
        <v>0.61640000000000006</v>
      </c>
      <c r="V108" s="195">
        <f t="shared" si="7"/>
        <v>0.26439999999999997</v>
      </c>
      <c r="W108" s="195">
        <f>IFERROR(INDEX('Ashed teabags wet'!$K$2:$K$821,MATCH(H108,'Ashed teabags wet'!$A$2:$A$821,0)),"")</f>
        <v>9.3672147483803556</v>
      </c>
      <c r="X108" s="195" t="str">
        <f>IFERROR(INDEX('Ashed teabags wet'!$K$2:$K$821,MATCH(I108,'Ashed teabags wet'!$A$2:$A$821,0)),"")</f>
        <v/>
      </c>
      <c r="Y108" s="195">
        <f t="shared" si="1"/>
        <v>0.55866048829098358</v>
      </c>
      <c r="Z108" s="195" t="str">
        <f t="shared" si="1"/>
        <v/>
      </c>
      <c r="AA108" s="195">
        <f t="shared" si="8"/>
        <v>0.68163498505440323</v>
      </c>
      <c r="AB108" s="195">
        <f t="shared" si="9"/>
        <v>0.44686759115205538</v>
      </c>
      <c r="AC108" s="195" t="str">
        <f t="shared" si="2"/>
        <v/>
      </c>
      <c r="AD108">
        <f t="shared" si="3"/>
        <v>55</v>
      </c>
      <c r="AE108" s="195">
        <f t="shared" si="10"/>
        <v>0.19045726240569683</v>
      </c>
      <c r="AF108" s="195" t="str">
        <f t="shared" si="11"/>
        <v/>
      </c>
      <c r="AG108" s="255" t="str">
        <f>IF(ISNUMBER(SEARCH("C",'WetLitterbags placem_collection'!AD35)),"YES","NO")</f>
        <v>NO</v>
      </c>
      <c r="AH108" s="255" t="str">
        <f>IF(ISNUMBER(SEARCH("H", 'WetLitterbags placem_collection'!AD35)),"YES","NO")</f>
        <v>NO</v>
      </c>
      <c r="AI108" s="255" t="str">
        <f>IF(ISNUMBER(SEARCH("R", 'WetLitterbags placem_collection'!AD35)),"YES","NO")</f>
        <v>NO</v>
      </c>
      <c r="AJ108" s="255" t="str">
        <f>IF(ISNUMBER(SEARCH("C", 'WetLitterbags placem_collection'!AC35)),"YES","NO")</f>
        <v>NO</v>
      </c>
      <c r="AK108" s="255" t="str">
        <f>IF(ISNUMBER(SEARCH("H", 'WetLitterbags placem_collection'!AC35)),"YES","NO")</f>
        <v>NO</v>
      </c>
      <c r="AL108" s="255" t="str">
        <f>IF(ISNUMBER(SEARCH("R", 'WetLitterbags placem_collection'!AC35)),"YES","NO")</f>
        <v>NO</v>
      </c>
    </row>
    <row r="109" spans="2:38">
      <c r="B109" t="str">
        <f>'Final data_for_R_analysis_Wetse'!A35</f>
        <v>Wet</v>
      </c>
      <c r="C109" s="263">
        <f>'Final data_for_R_analysis_Wetse'!B35</f>
        <v>34</v>
      </c>
      <c r="D109" t="s">
        <v>3831</v>
      </c>
      <c r="E109" t="s">
        <v>22</v>
      </c>
      <c r="F109" s="386">
        <v>2</v>
      </c>
      <c r="G109" s="16">
        <f>'WetLitterbags placem_collection'!E36</f>
        <v>42765</v>
      </c>
      <c r="H109" t="str">
        <f>'Final data_for_R_analysis_Wetse'!J35</f>
        <v>G516</v>
      </c>
      <c r="I109" t="str">
        <f>'Final data_for_R_analysis_Wetse'!J255</f>
        <v>R153</v>
      </c>
      <c r="J109">
        <f>IFERROR(INDEX('Green_rooibos initial weight'!$C$5:$C$1749,MATCH(H109, 'Green_rooibos initial weight'!$A$5:$A$1749,0)),"")</f>
        <v>2.1160000000000001</v>
      </c>
      <c r="K109">
        <f>IFERROR(INDEX('Green_rooibos initial weight'!$C$5:$C$1749,MATCH(I109, 'Green_rooibos initial weight'!$A$5:$A$1749,0)),"")</f>
        <v>2.2200000000000002</v>
      </c>
      <c r="L109" s="195">
        <f t="shared" si="4"/>
        <v>1.8662000000000001</v>
      </c>
      <c r="M109" s="195">
        <f>AVERAGE(Ashed_controlls!$K$2:$K$11)</f>
        <v>5.5147656768714146</v>
      </c>
      <c r="N109" s="195">
        <f t="shared" si="0"/>
        <v>1.7632834429382258</v>
      </c>
      <c r="O109" s="195">
        <f t="shared" si="5"/>
        <v>1.9702000000000002</v>
      </c>
      <c r="P109" s="195">
        <f>AVERAGE(Ashed_controlls!$K$12:$K$14)</f>
        <v>2.2816647271287041</v>
      </c>
      <c r="Q109" s="195">
        <f t="shared" si="6"/>
        <v>1.9252466415461105</v>
      </c>
      <c r="R109" s="16">
        <f>IF('WetLitterbags placem_collection'!G36="N.A","",'WetLitterbags placem_collection'!G36)</f>
        <v>42820</v>
      </c>
      <c r="S109" s="195">
        <f>IF(IFERROR(INDEX('Both teabags AfterWet'!$C$3:$C$841,MATCH(H109,'Both teabags AfterWet'!$A$3:$A$841,0)),"")="N.A","",(IFERROR(INDEX('Both teabags AfterWet'!$C$3:$C$841,MATCH(H109,'Both teabags AfterWet'!$A$3:$A$841,0)),"")))</f>
        <v>0.87270000000000003</v>
      </c>
      <c r="T109" s="195">
        <f>IFERROR(INDEX('Both teabags AfterWet'!$C$3:$C$841,MATCH(I109,'Both teabags AfterWet'!$A$3:$A$841,0)),"")</f>
        <v>0.34520000000000001</v>
      </c>
      <c r="U109" s="195">
        <f t="shared" si="7"/>
        <v>0.72209999999999996</v>
      </c>
      <c r="V109" s="195">
        <f t="shared" si="7"/>
        <v>0.1946</v>
      </c>
      <c r="W109" s="195">
        <f>IFERROR(INDEX('Ashed teabags wet'!$K$2:$K$821,MATCH(H109,'Ashed teabags wet'!$A$2:$A$821,0)),"")</f>
        <v>39.314115308151266</v>
      </c>
      <c r="X109" s="195" t="str">
        <f>IFERROR(INDEX('Ashed teabags wet'!$K$2:$K$821,MATCH(I109,'Ashed teabags wet'!$A$2:$A$821,0)),"")</f>
        <v/>
      </c>
      <c r="Y109" s="195">
        <f t="shared" si="1"/>
        <v>0.43821277335983971</v>
      </c>
      <c r="Z109" s="195" t="str">
        <f t="shared" si="1"/>
        <v/>
      </c>
      <c r="AA109" s="195">
        <f t="shared" si="8"/>
        <v>0.75147910841286569</v>
      </c>
      <c r="AB109" s="195">
        <f t="shared" si="9"/>
        <v>0.49265613758183124</v>
      </c>
      <c r="AC109" s="195" t="str">
        <f t="shared" si="2"/>
        <v/>
      </c>
      <c r="AD109">
        <f t="shared" si="3"/>
        <v>55</v>
      </c>
      <c r="AE109" s="195">
        <f t="shared" si="10"/>
        <v>0.10750699713436374</v>
      </c>
      <c r="AF109" s="195" t="str">
        <f t="shared" si="11"/>
        <v/>
      </c>
      <c r="AG109" s="255" t="str">
        <f>IF(ISNUMBER(SEARCH("C",'WetLitterbags placem_collection'!AD36)),"YES","NO")</f>
        <v>NO</v>
      </c>
      <c r="AH109" s="255" t="str">
        <f>IF(ISNUMBER(SEARCH("H", 'WetLitterbags placem_collection'!AD36)),"YES","NO")</f>
        <v>NO</v>
      </c>
      <c r="AI109" s="255" t="str">
        <f>IF(ISNUMBER(SEARCH("R", 'WetLitterbags placem_collection'!AD36)),"YES","NO")</f>
        <v>NO</v>
      </c>
      <c r="AJ109" s="255" t="str">
        <f>IF(ISNUMBER(SEARCH("C", 'WetLitterbags placem_collection'!AC36)),"YES","NO")</f>
        <v>NO</v>
      </c>
      <c r="AK109" s="255" t="str">
        <f>IF(ISNUMBER(SEARCH("H", 'WetLitterbags placem_collection'!AC36)),"YES","NO")</f>
        <v>NO</v>
      </c>
      <c r="AL109" s="255" t="str">
        <f>IF(ISNUMBER(SEARCH("R", 'WetLitterbags placem_collection'!AC36)),"YES","NO")</f>
        <v>NO</v>
      </c>
    </row>
    <row r="110" spans="2:38">
      <c r="B110" t="str">
        <f>'Final data_for_R_analysis_Wetse'!A36</f>
        <v>Wet</v>
      </c>
      <c r="C110" s="263">
        <f>'Final data_for_R_analysis_Wetse'!B36</f>
        <v>35</v>
      </c>
      <c r="D110" t="s">
        <v>3831</v>
      </c>
      <c r="E110" t="s">
        <v>22</v>
      </c>
      <c r="F110" s="386">
        <v>3</v>
      </c>
      <c r="G110" s="16">
        <f>'WetLitterbags placem_collection'!E37</f>
        <v>42765</v>
      </c>
      <c r="H110" t="str">
        <f>'Final data_for_R_analysis_Wetse'!J36</f>
        <v>G670</v>
      </c>
      <c r="I110" t="str">
        <f>'Final data_for_R_analysis_Wetse'!J256</f>
        <v>R64</v>
      </c>
      <c r="J110">
        <f>IFERROR(INDEX('Green_rooibos initial weight'!$C$5:$C$1749,MATCH(H110, 'Green_rooibos initial weight'!$A$5:$A$1749,0)),"")</f>
        <v>2.0950000000000002</v>
      </c>
      <c r="K110">
        <f>IFERROR(INDEX('Green_rooibos initial weight'!$C$5:$C$1749,MATCH(I110, 'Green_rooibos initial weight'!$A$5:$A$1749,0)),"")</f>
        <v>2.2879999999999998</v>
      </c>
      <c r="L110" s="195">
        <f t="shared" si="4"/>
        <v>1.8452000000000002</v>
      </c>
      <c r="M110" s="195">
        <f>AVERAGE(Ashed_controlls!$K$2:$K$11)</f>
        <v>5.5147656768714146</v>
      </c>
      <c r="N110" s="195">
        <f t="shared" si="0"/>
        <v>1.7434415437303687</v>
      </c>
      <c r="O110" s="195">
        <f t="shared" si="5"/>
        <v>2.0381999999999998</v>
      </c>
      <c r="P110" s="195">
        <f>AVERAGE(Ashed_controlls!$K$12:$K$14)</f>
        <v>2.2816647271287041</v>
      </c>
      <c r="Q110" s="195">
        <f t="shared" si="6"/>
        <v>1.9916951095316626</v>
      </c>
      <c r="R110" s="16">
        <f>IF('WetLitterbags placem_collection'!G37="N.A","",'WetLitterbags placem_collection'!G37)</f>
        <v>42820</v>
      </c>
      <c r="S110" s="195">
        <f>IF(IFERROR(INDEX('Both teabags AfterWet'!$C$3:$C$841,MATCH(H110,'Both teabags AfterWet'!$A$3:$A$841,0)),"")="N.A","",(IFERROR(INDEX('Both teabags AfterWet'!$C$3:$C$841,MATCH(H110,'Both teabags AfterWet'!$A$3:$A$841,0)),"")))</f>
        <v>0.81699999999999995</v>
      </c>
      <c r="T110" s="195">
        <f>IFERROR(INDEX('Both teabags AfterWet'!$C$3:$C$841,MATCH(I110,'Both teabags AfterWet'!$A$3:$A$841,0)),"")</f>
        <v>1.615</v>
      </c>
      <c r="U110" s="195">
        <f t="shared" si="7"/>
        <v>0.66639999999999988</v>
      </c>
      <c r="V110" s="195">
        <f t="shared" si="7"/>
        <v>1.4643999999999999</v>
      </c>
      <c r="W110" s="195">
        <f>IFERROR(INDEX('Ashed teabags wet'!$K$2:$K$821,MATCH(H110,'Ashed teabags wet'!$A$2:$A$821,0)),"")</f>
        <v>18.585762064022571</v>
      </c>
      <c r="X110" s="195">
        <f>IFERROR(INDEX('Ashed teabags wet'!$K$2:$K$821,MATCH(I110,'Ashed teabags wet'!$A$2:$A$821,0)),"")</f>
        <v>5.3045186640471123</v>
      </c>
      <c r="Y110" s="195">
        <f t="shared" si="1"/>
        <v>0.54254448160535351</v>
      </c>
      <c r="Z110" s="195">
        <f t="shared" si="1"/>
        <v>1.3867206286836939</v>
      </c>
      <c r="AA110" s="195">
        <f t="shared" si="8"/>
        <v>0.6888083322573042</v>
      </c>
      <c r="AB110" s="195">
        <f t="shared" si="9"/>
        <v>0.45157030808317333</v>
      </c>
      <c r="AC110" s="195">
        <f t="shared" si="2"/>
        <v>0.69625146040036945</v>
      </c>
      <c r="AD110">
        <f t="shared" si="3"/>
        <v>55</v>
      </c>
      <c r="AE110" s="195">
        <f t="shared" si="10"/>
        <v>0.18193784767541066</v>
      </c>
      <c r="AF110" s="195">
        <f t="shared" si="11"/>
        <v>2.0304069105443422E-2</v>
      </c>
      <c r="AG110" s="255" t="str">
        <f>IF(ISNUMBER(SEARCH("C",'WetLitterbags placem_collection'!AD37)),"YES","NO")</f>
        <v>NO</v>
      </c>
      <c r="AH110" s="255" t="str">
        <f>IF(ISNUMBER(SEARCH("H", 'WetLitterbags placem_collection'!AD37)),"YES","NO")</f>
        <v>NO</v>
      </c>
      <c r="AI110" s="255" t="str">
        <f>IF(ISNUMBER(SEARCH("R", 'WetLitterbags placem_collection'!AD37)),"YES","NO")</f>
        <v>NO</v>
      </c>
      <c r="AJ110" s="255" t="str">
        <f>IF(ISNUMBER(SEARCH("C", 'WetLitterbags placem_collection'!AC37)),"YES","NO")</f>
        <v>NO</v>
      </c>
      <c r="AK110" s="255" t="str">
        <f>IF(ISNUMBER(SEARCH("H", 'WetLitterbags placem_collection'!AC37)),"YES","NO")</f>
        <v>NO</v>
      </c>
      <c r="AL110" s="255" t="str">
        <f>IF(ISNUMBER(SEARCH("R", 'WetLitterbags placem_collection'!AC37)),"YES","NO")</f>
        <v>NO</v>
      </c>
    </row>
    <row r="111" spans="2:38">
      <c r="B111" t="str">
        <f>'Final data_for_R_analysis_Wetse'!A37</f>
        <v>Wet</v>
      </c>
      <c r="C111" s="263">
        <f>'Final data_for_R_analysis_Wetse'!B37</f>
        <v>36</v>
      </c>
      <c r="D111" t="s">
        <v>3831</v>
      </c>
      <c r="E111" t="s">
        <v>22</v>
      </c>
      <c r="F111" s="387">
        <v>4</v>
      </c>
      <c r="G111" s="16">
        <f>'WetLitterbags placem_collection'!E38</f>
        <v>42765</v>
      </c>
      <c r="H111" t="str">
        <f>'Final data_for_R_analysis_Wetse'!J37</f>
        <v>G507</v>
      </c>
      <c r="I111" t="str">
        <f>'Final data_for_R_analysis_Wetse'!J257</f>
        <v>R126</v>
      </c>
      <c r="J111">
        <f>IFERROR(INDEX('Green_rooibos initial weight'!$C$5:$C$1749,MATCH(H111, 'Green_rooibos initial weight'!$A$5:$A$1749,0)),"")</f>
        <v>1.99</v>
      </c>
      <c r="K111">
        <f>IFERROR(INDEX('Green_rooibos initial weight'!$C$5:$C$1749,MATCH(I111, 'Green_rooibos initial weight'!$A$5:$A$1749,0)),"")</f>
        <v>2.2400000000000002</v>
      </c>
      <c r="L111" s="195">
        <f t="shared" si="4"/>
        <v>1.7402</v>
      </c>
      <c r="M111" s="195">
        <f>AVERAGE(Ashed_controlls!$K$2:$K$11)</f>
        <v>5.5147656768714146</v>
      </c>
      <c r="N111" s="195">
        <f t="shared" si="0"/>
        <v>1.6442320476910837</v>
      </c>
      <c r="O111" s="195">
        <f t="shared" si="5"/>
        <v>1.9902000000000002</v>
      </c>
      <c r="P111" s="195">
        <f>AVERAGE(Ashed_controlls!$K$12:$K$14)</f>
        <v>2.2816647271287041</v>
      </c>
      <c r="Q111" s="195">
        <f t="shared" si="6"/>
        <v>1.9447903086006848</v>
      </c>
      <c r="R111" s="16">
        <f>IF('WetLitterbags placem_collection'!G38="N.A","",'WetLitterbags placem_collection'!G38)</f>
        <v>42820</v>
      </c>
      <c r="S111" s="195">
        <f>IF(IFERROR(INDEX('Both teabags AfterWet'!$C$3:$C$841,MATCH(H111,'Both teabags AfterWet'!$A$3:$A$841,0)),"")="N.A","",(IFERROR(INDEX('Both teabags AfterWet'!$C$3:$C$841,MATCH(H111,'Both teabags AfterWet'!$A$3:$A$841,0)),"")))</f>
        <v>0.68100000000000005</v>
      </c>
      <c r="T111" s="195">
        <f>IFERROR(INDEX('Both teabags AfterWet'!$C$3:$C$841,MATCH(I111,'Both teabags AfterWet'!$A$3:$A$841,0)),"")</f>
        <v>1.6180000000000001</v>
      </c>
      <c r="U111" s="195">
        <f t="shared" si="7"/>
        <v>0.53039999999999998</v>
      </c>
      <c r="V111" s="195">
        <f t="shared" si="7"/>
        <v>1.4674</v>
      </c>
      <c r="W111" s="195">
        <f>IFERROR(INDEX('Ashed teabags wet'!$K$2:$K$821,MATCH(H111,'Ashed teabags wet'!$A$2:$A$821,0)),"")</f>
        <v>8.3009708737862624</v>
      </c>
      <c r="X111" s="195">
        <f>IFERROR(INDEX('Ashed teabags wet'!$K$2:$K$821,MATCH(I111,'Ashed teabags wet'!$A$2:$A$821,0)),"")</f>
        <v>3.2897919690366213</v>
      </c>
      <c r="Y111" s="195">
        <f t="shared" si="1"/>
        <v>0.48637165048543762</v>
      </c>
      <c r="Z111" s="195">
        <f t="shared" si="1"/>
        <v>1.4191255926463566</v>
      </c>
      <c r="AA111" s="195">
        <f t="shared" si="8"/>
        <v>0.70419524958875113</v>
      </c>
      <c r="AB111" s="195">
        <f t="shared" si="9"/>
        <v>0.46165769331709106</v>
      </c>
      <c r="AC111" s="195">
        <f t="shared" si="2"/>
        <v>0.72970622404399255</v>
      </c>
      <c r="AD111">
        <f t="shared" si="3"/>
        <v>55</v>
      </c>
      <c r="AE111" s="195">
        <f t="shared" si="10"/>
        <v>0.16366359906324091</v>
      </c>
      <c r="AF111" s="195">
        <f t="shared" si="11"/>
        <v>1.6011759112616365E-2</v>
      </c>
      <c r="AG111" s="255" t="str">
        <f>IF(ISNUMBER(SEARCH("C",'WetLitterbags placem_collection'!AD38)),"YES","NO")</f>
        <v>NO</v>
      </c>
      <c r="AH111" s="255" t="str">
        <f>IF(ISNUMBER(SEARCH("H", 'WetLitterbags placem_collection'!AD38)),"YES","NO")</f>
        <v>NO</v>
      </c>
      <c r="AI111" s="255" t="str">
        <f>IF(ISNUMBER(SEARCH("R", 'WetLitterbags placem_collection'!AD38)),"YES","NO")</f>
        <v>NO</v>
      </c>
      <c r="AJ111" s="255" t="str">
        <f>IF(ISNUMBER(SEARCH("C", 'WetLitterbags placem_collection'!AC38)),"YES","NO")</f>
        <v>NO</v>
      </c>
      <c r="AK111" s="255" t="str">
        <f>IF(ISNUMBER(SEARCH("H", 'WetLitterbags placem_collection'!AC38)),"YES","NO")</f>
        <v>NO</v>
      </c>
      <c r="AL111" s="255" t="str">
        <f>IF(ISNUMBER(SEARCH("R", 'WetLitterbags placem_collection'!AC38)),"YES","NO")</f>
        <v>NO</v>
      </c>
    </row>
    <row r="112" spans="2:38">
      <c r="B112" t="str">
        <f>'Final data_for_R_analysis_Wetse'!A38</f>
        <v>Wet</v>
      </c>
      <c r="C112" s="263">
        <f>'Final data_for_R_analysis_Wetse'!B38</f>
        <v>37</v>
      </c>
      <c r="D112" t="s">
        <v>3831</v>
      </c>
      <c r="E112" t="s">
        <v>22</v>
      </c>
      <c r="F112" s="387">
        <v>5</v>
      </c>
      <c r="G112" s="16">
        <f>'WetLitterbags placem_collection'!E39</f>
        <v>42765</v>
      </c>
      <c r="H112" t="str">
        <f>'Final data_for_R_analysis_Wetse'!J38</f>
        <v>G359</v>
      </c>
      <c r="I112" t="str">
        <f>'Final data_for_R_analysis_Wetse'!J258</f>
        <v>R63</v>
      </c>
      <c r="J112">
        <f>IFERROR(INDEX('Green_rooibos initial weight'!$C$5:$C$1749,MATCH(H112, 'Green_rooibos initial weight'!$A$5:$A$1749,0)),"")</f>
        <v>1.9790000000000001</v>
      </c>
      <c r="K112">
        <f>IFERROR(INDEX('Green_rooibos initial weight'!$C$5:$C$1749,MATCH(I112, 'Green_rooibos initial weight'!$A$5:$A$1749,0)),"")</f>
        <v>2.1749999999999998</v>
      </c>
      <c r="L112" s="195">
        <f t="shared" si="4"/>
        <v>1.7292000000000001</v>
      </c>
      <c r="M112" s="195">
        <f>AVERAGE(Ashed_controlls!$K$2:$K$11)</f>
        <v>5.5147656768714146</v>
      </c>
      <c r="N112" s="195">
        <f t="shared" si="0"/>
        <v>1.6338386719155396</v>
      </c>
      <c r="O112" s="195">
        <f t="shared" si="5"/>
        <v>1.9251999999999998</v>
      </c>
      <c r="P112" s="195">
        <f>AVERAGE(Ashed_controlls!$K$12:$K$14)</f>
        <v>2.2816647271287041</v>
      </c>
      <c r="Q112" s="195">
        <f t="shared" si="6"/>
        <v>1.8812733906733179</v>
      </c>
      <c r="R112" s="16">
        <f>IF('WetLitterbags placem_collection'!G39="N.A","",'WetLitterbags placem_collection'!G39)</f>
        <v>42820</v>
      </c>
      <c r="S112" s="195">
        <f>IF(IFERROR(INDEX('Both teabags AfterWet'!$C$3:$C$841,MATCH(H112,'Both teabags AfterWet'!$A$3:$A$841,0)),"")="N.A","",(IFERROR(INDEX('Both teabags AfterWet'!$C$3:$C$841,MATCH(H112,'Both teabags AfterWet'!$A$3:$A$841,0)),"")))</f>
        <v>0.94699999999999995</v>
      </c>
      <c r="T112" s="195">
        <f>IFERROR(INDEX('Both teabags AfterWet'!$C$3:$C$841,MATCH(I112,'Both teabags AfterWet'!$A$3:$A$841,0)),"")</f>
        <v>1.3620000000000001</v>
      </c>
      <c r="U112" s="195">
        <f t="shared" si="7"/>
        <v>0.7964</v>
      </c>
      <c r="V112" s="195">
        <f t="shared" si="7"/>
        <v>1.2114</v>
      </c>
      <c r="W112" s="195">
        <f>IFERROR(INDEX('Ashed teabags wet'!$K$2:$K$821,MATCH(H112,'Ashed teabags wet'!$A$2:$A$821,0)),"")</f>
        <v>25.172074729596577</v>
      </c>
      <c r="X112" s="195">
        <f>IFERROR(INDEX('Ashed teabags wet'!$K$2:$K$821,MATCH(I112,'Ashed teabags wet'!$A$2:$A$821,0)),"")</f>
        <v>70.931372549019429</v>
      </c>
      <c r="Y112" s="195">
        <f t="shared" si="1"/>
        <v>0.59592959685349289</v>
      </c>
      <c r="Z112" s="195">
        <f t="shared" si="1"/>
        <v>0.35213735294117854</v>
      </c>
      <c r="AA112" s="195">
        <f t="shared" si="8"/>
        <v>0.63525799266654936</v>
      </c>
      <c r="AB112" s="195">
        <f t="shared" si="9"/>
        <v>0.41646367215194213</v>
      </c>
      <c r="AC112" s="195">
        <f t="shared" si="2"/>
        <v>0.18718031876012806</v>
      </c>
      <c r="AD112">
        <f t="shared" si="3"/>
        <v>55</v>
      </c>
      <c r="AE112" s="195">
        <f t="shared" si="10"/>
        <v>0.24553682581169911</v>
      </c>
      <c r="AF112" s="195" t="str">
        <f t="shared" si="11"/>
        <v/>
      </c>
      <c r="AG112" s="255" t="str">
        <f>IF(ISNUMBER(SEARCH("C",'WetLitterbags placem_collection'!AD39)),"YES","NO")</f>
        <v>NO</v>
      </c>
      <c r="AH112" s="255" t="str">
        <f>IF(ISNUMBER(SEARCH("H", 'WetLitterbags placem_collection'!AD39)),"YES","NO")</f>
        <v>NO</v>
      </c>
      <c r="AI112" s="255" t="str">
        <f>IF(ISNUMBER(SEARCH("R", 'WetLitterbags placem_collection'!AD39)),"YES","NO")</f>
        <v>NO</v>
      </c>
      <c r="AJ112" s="255" t="str">
        <f>IF(ISNUMBER(SEARCH("C", 'WetLitterbags placem_collection'!AC39)),"YES","NO")</f>
        <v>NO</v>
      </c>
      <c r="AK112" s="255" t="str">
        <f>IF(ISNUMBER(SEARCH("H", 'WetLitterbags placem_collection'!AC39)),"YES","NO")</f>
        <v>NO</v>
      </c>
      <c r="AL112" s="255" t="str">
        <f>IF(ISNUMBER(SEARCH("R", 'WetLitterbags placem_collection'!AC39)),"YES","NO")</f>
        <v>NO</v>
      </c>
    </row>
    <row r="113" spans="2:38">
      <c r="B113" t="str">
        <f>'Final data_for_R_analysis_Wetse'!A39</f>
        <v>Wet</v>
      </c>
      <c r="C113" s="263">
        <f>'Final data_for_R_analysis_Wetse'!B39</f>
        <v>38</v>
      </c>
      <c r="D113" t="s">
        <v>3831</v>
      </c>
      <c r="E113" t="s">
        <v>22</v>
      </c>
      <c r="F113" s="387">
        <v>6</v>
      </c>
      <c r="G113" s="16">
        <f>'WetLitterbags placem_collection'!E40</f>
        <v>42765</v>
      </c>
      <c r="H113" t="str">
        <f>'Final data_for_R_analysis_Wetse'!J39</f>
        <v>G499</v>
      </c>
      <c r="I113" t="str">
        <f>'Final data_for_R_analysis_Wetse'!J259</f>
        <v>R87</v>
      </c>
      <c r="J113">
        <f>IFERROR(INDEX('Green_rooibos initial weight'!$C$5:$C$1749,MATCH(H113, 'Green_rooibos initial weight'!$A$5:$A$1749,0)),"")</f>
        <v>1.9419999999999999</v>
      </c>
      <c r="K113">
        <f>IFERROR(INDEX('Green_rooibos initial weight'!$C$5:$C$1749,MATCH(I113, 'Green_rooibos initial weight'!$A$5:$A$1749,0)),"")</f>
        <v>2.2930000000000001</v>
      </c>
      <c r="L113" s="195">
        <f t="shared" si="4"/>
        <v>1.6921999999999999</v>
      </c>
      <c r="M113" s="195">
        <f>AVERAGE(Ashed_controlls!$K$2:$K$11)</f>
        <v>5.5147656768714146</v>
      </c>
      <c r="N113" s="195">
        <f t="shared" si="0"/>
        <v>1.5988791352159819</v>
      </c>
      <c r="O113" s="195">
        <f t="shared" si="5"/>
        <v>2.0432000000000001</v>
      </c>
      <c r="P113" s="195">
        <f>AVERAGE(Ashed_controlls!$K$12:$K$14)</f>
        <v>2.2816647271287041</v>
      </c>
      <c r="Q113" s="195">
        <f t="shared" si="6"/>
        <v>1.9965810262953065</v>
      </c>
      <c r="R113" s="16">
        <f>IF('WetLitterbags placem_collection'!G40="N.A","",'WetLitterbags placem_collection'!G40)</f>
        <v>42820</v>
      </c>
      <c r="S113" s="195">
        <f>IF(IFERROR(INDEX('Both teabags AfterWet'!$C$3:$C$841,MATCH(H113,'Both teabags AfterWet'!$A$3:$A$841,0)),"")="N.A","",(IFERROR(INDEX('Both teabags AfterWet'!$C$3:$C$841,MATCH(H113,'Both teabags AfterWet'!$A$3:$A$841,0)),"")))</f>
        <v>1.4741</v>
      </c>
      <c r="T113" s="195">
        <f>IFERROR(INDEX('Both teabags AfterWet'!$C$3:$C$841,MATCH(I113,'Both teabags AfterWet'!$A$3:$A$841,0)),"")</f>
        <v>1.1399999999999999</v>
      </c>
      <c r="U113" s="195">
        <f t="shared" si="7"/>
        <v>1.3234999999999999</v>
      </c>
      <c r="V113" s="195">
        <f t="shared" si="7"/>
        <v>0.98939999999999984</v>
      </c>
      <c r="W113" s="195">
        <f>IFERROR(INDEX('Ashed teabags wet'!$K$2:$K$821,MATCH(H113,'Ashed teabags wet'!$A$2:$A$821,0)),"")</f>
        <v>18.802992518703331</v>
      </c>
      <c r="X113" s="195">
        <f>IFERROR(INDEX('Ashed teabags wet'!$K$2:$K$821,MATCH(I113,'Ashed teabags wet'!$A$2:$A$821,0)),"")</f>
        <v>21.801629132725651</v>
      </c>
      <c r="Y113" s="195">
        <f t="shared" si="1"/>
        <v>1.0746423940149614</v>
      </c>
      <c r="Z113" s="195">
        <f t="shared" si="1"/>
        <v>0.77369468136081232</v>
      </c>
      <c r="AA113" s="195">
        <f t="shared" si="8"/>
        <v>0.32787765482361164</v>
      </c>
      <c r="AB113" s="195">
        <f t="shared" si="9"/>
        <v>0.21495067157082381</v>
      </c>
      <c r="AC113" s="195">
        <f t="shared" si="2"/>
        <v>0.38750978356055865</v>
      </c>
      <c r="AD113">
        <f t="shared" si="3"/>
        <v>55</v>
      </c>
      <c r="AE113" s="195">
        <f t="shared" si="10"/>
        <v>0.61059660947314531</v>
      </c>
      <c r="AF113" s="195" t="str">
        <f t="shared" si="11"/>
        <v/>
      </c>
      <c r="AG113" s="255" t="str">
        <f>IF(ISNUMBER(SEARCH("C",'WetLitterbags placem_collection'!AD40)),"YES","NO")</f>
        <v>NO</v>
      </c>
      <c r="AH113" s="255" t="str">
        <f>IF(ISNUMBER(SEARCH("H", 'WetLitterbags placem_collection'!AD40)),"YES","NO")</f>
        <v>NO</v>
      </c>
      <c r="AI113" s="255" t="str">
        <f>IF(ISNUMBER(SEARCH("R", 'WetLitterbags placem_collection'!AD40)),"YES","NO")</f>
        <v>NO</v>
      </c>
      <c r="AJ113" s="255" t="str">
        <f>IF(ISNUMBER(SEARCH("C", 'WetLitterbags placem_collection'!AC40)),"YES","NO")</f>
        <v>NO</v>
      </c>
      <c r="AK113" s="255" t="str">
        <f>IF(ISNUMBER(SEARCH("H", 'WetLitterbags placem_collection'!AC40)),"YES","NO")</f>
        <v>NO</v>
      </c>
      <c r="AL113" s="255" t="str">
        <f>IF(ISNUMBER(SEARCH("R", 'WetLitterbags placem_collection'!AC40)),"YES","NO")</f>
        <v>NO</v>
      </c>
    </row>
    <row r="114" spans="2:38">
      <c r="B114" t="str">
        <f>'Final data_for_R_analysis_Wetse'!A40</f>
        <v>Wet</v>
      </c>
      <c r="C114" s="263">
        <f>'Final data_for_R_analysis_Wetse'!B40</f>
        <v>39</v>
      </c>
      <c r="D114" t="s">
        <v>3831</v>
      </c>
      <c r="E114" t="s">
        <v>22</v>
      </c>
      <c r="F114" s="387">
        <v>7</v>
      </c>
      <c r="G114" s="16">
        <f>'WetLitterbags placem_collection'!E41</f>
        <v>42765</v>
      </c>
      <c r="H114" t="str">
        <f>'Final data_for_R_analysis_Wetse'!J40</f>
        <v>G214</v>
      </c>
      <c r="I114" t="str">
        <f>'Final data_for_R_analysis_Wetse'!J260</f>
        <v>R437</v>
      </c>
      <c r="J114">
        <f>IFERROR(INDEX('Green_rooibos initial weight'!$C$5:$C$1749,MATCH(H114, 'Green_rooibos initial weight'!$A$5:$A$1749,0)),"")</f>
        <v>1.9850000000000001</v>
      </c>
      <c r="K114">
        <f>IFERROR(INDEX('Green_rooibos initial weight'!$C$5:$C$1749,MATCH(I114, 'Green_rooibos initial weight'!$A$5:$A$1749,0)),"")</f>
        <v>2.1970000000000001</v>
      </c>
      <c r="L114" s="195">
        <f t="shared" si="4"/>
        <v>1.7352000000000001</v>
      </c>
      <c r="M114" s="195">
        <f>AVERAGE(Ashed_controlls!$K$2:$K$11)</f>
        <v>5.5147656768714146</v>
      </c>
      <c r="N114" s="195">
        <f t="shared" si="0"/>
        <v>1.6395077859749272</v>
      </c>
      <c r="O114" s="195">
        <f t="shared" si="5"/>
        <v>1.9472</v>
      </c>
      <c r="P114" s="195">
        <f>AVERAGE(Ashed_controlls!$K$12:$K$14)</f>
        <v>2.2816647271287041</v>
      </c>
      <c r="Q114" s="195">
        <f t="shared" si="6"/>
        <v>1.90277142443335</v>
      </c>
      <c r="R114" s="16">
        <f>IF('WetLitterbags placem_collection'!G41="N.A","",'WetLitterbags placem_collection'!G41)</f>
        <v>42820</v>
      </c>
      <c r="S114" s="195">
        <f>IF(IFERROR(INDEX('Both teabags AfterWet'!$C$3:$C$841,MATCH(H114,'Both teabags AfterWet'!$A$3:$A$841,0)),"")="N.A","",(IFERROR(INDEX('Both teabags AfterWet'!$C$3:$C$841,MATCH(H114,'Both teabags AfterWet'!$A$3:$A$841,0)),"")))</f>
        <v>0.8327</v>
      </c>
      <c r="T114" s="195">
        <f>IFERROR(INDEX('Both teabags AfterWet'!$C$3:$C$841,MATCH(I114,'Both teabags AfterWet'!$A$3:$A$841,0)),"")</f>
        <v>1.4531000000000001</v>
      </c>
      <c r="U114" s="195">
        <f t="shared" si="7"/>
        <v>0.68209999999999993</v>
      </c>
      <c r="V114" s="195">
        <f t="shared" si="7"/>
        <v>1.3025</v>
      </c>
      <c r="W114" s="195">
        <f>IFERROR(INDEX('Ashed teabags wet'!$K$2:$K$821,MATCH(H114,'Ashed teabags wet'!$A$2:$A$821,0)),"")</f>
        <v>9.9461048505627083</v>
      </c>
      <c r="X114" s="195">
        <f>IFERROR(INDEX('Ashed teabags wet'!$K$2:$K$821,MATCH(I114,'Ashed teabags wet'!$A$2:$A$821,0)),"")</f>
        <v>3.6638983878844686</v>
      </c>
      <c r="Y114" s="195">
        <f t="shared" si="1"/>
        <v>0.61425761881431173</v>
      </c>
      <c r="Z114" s="195">
        <f t="shared" si="1"/>
        <v>1.2547777234978048</v>
      </c>
      <c r="AA114" s="195">
        <f t="shared" si="8"/>
        <v>0.6253402246278168</v>
      </c>
      <c r="AB114" s="195">
        <f t="shared" si="9"/>
        <v>0.40996176246384192</v>
      </c>
      <c r="AC114" s="195">
        <f t="shared" si="2"/>
        <v>0.65944742883212082</v>
      </c>
      <c r="AD114">
        <f t="shared" si="3"/>
        <v>55</v>
      </c>
      <c r="AE114" s="195">
        <f t="shared" si="10"/>
        <v>0.25731564771043136</v>
      </c>
      <c r="AF114" s="195">
        <f t="shared" si="11"/>
        <v>3.2291719907260326E-2</v>
      </c>
      <c r="AG114" s="255" t="str">
        <f>IF(ISNUMBER(SEARCH("C",'WetLitterbags placem_collection'!AD41)),"YES","NO")</f>
        <v>NO</v>
      </c>
      <c r="AH114" s="255" t="str">
        <f>IF(ISNUMBER(SEARCH("H", 'WetLitterbags placem_collection'!AD41)),"YES","NO")</f>
        <v>NO</v>
      </c>
      <c r="AI114" s="255" t="str">
        <f>IF(ISNUMBER(SEARCH("R", 'WetLitterbags placem_collection'!AD41)),"YES","NO")</f>
        <v>NO</v>
      </c>
      <c r="AJ114" s="255" t="str">
        <f>IF(ISNUMBER(SEARCH("C", 'WetLitterbags placem_collection'!AC41)),"YES","NO")</f>
        <v>NO</v>
      </c>
      <c r="AK114" s="255" t="str">
        <f>IF(ISNUMBER(SEARCH("H", 'WetLitterbags placem_collection'!AC41)),"YES","NO")</f>
        <v>NO</v>
      </c>
      <c r="AL114" s="255" t="str">
        <f>IF(ISNUMBER(SEARCH("R", 'WetLitterbags placem_collection'!AC41)),"YES","NO")</f>
        <v>NO</v>
      </c>
    </row>
    <row r="115" spans="2:38">
      <c r="B115" t="str">
        <f>'Final data_for_R_analysis_Wetse'!A41</f>
        <v>Wet</v>
      </c>
      <c r="C115" s="263">
        <f>'Final data_for_R_analysis_Wetse'!B41</f>
        <v>40</v>
      </c>
      <c r="D115" t="s">
        <v>3831</v>
      </c>
      <c r="E115" t="s">
        <v>22</v>
      </c>
      <c r="F115" s="387">
        <v>8</v>
      </c>
      <c r="G115" s="16">
        <f>'WetLitterbags placem_collection'!E42</f>
        <v>42765</v>
      </c>
      <c r="H115" t="str">
        <f>'Final data_for_R_analysis_Wetse'!J41</f>
        <v>G582</v>
      </c>
      <c r="I115" t="str">
        <f>'Final data_for_R_analysis_Wetse'!J261</f>
        <v>R114</v>
      </c>
      <c r="J115">
        <f>IFERROR(INDEX('Green_rooibos initial weight'!$C$5:$C$1749,MATCH(H115, 'Green_rooibos initial weight'!$A$5:$A$1749,0)),"")</f>
        <v>2.0219999999999998</v>
      </c>
      <c r="K115">
        <f>IFERROR(INDEX('Green_rooibos initial weight'!$C$5:$C$1749,MATCH(I115, 'Green_rooibos initial weight'!$A$5:$A$1749,0)),"")</f>
        <v>2.2450000000000001</v>
      </c>
      <c r="L115" s="195">
        <f t="shared" si="4"/>
        <v>1.7721999999999998</v>
      </c>
      <c r="M115" s="195">
        <f>AVERAGE(Ashed_controlls!$K$2:$K$11)</f>
        <v>5.5147656768714146</v>
      </c>
      <c r="N115" s="195">
        <f t="shared" si="0"/>
        <v>1.6744673226744846</v>
      </c>
      <c r="O115" s="195">
        <f t="shared" si="5"/>
        <v>1.9952000000000001</v>
      </c>
      <c r="P115" s="195">
        <f>AVERAGE(Ashed_controlls!$K$12:$K$14)</f>
        <v>2.2816647271287041</v>
      </c>
      <c r="Q115" s="195">
        <f t="shared" si="6"/>
        <v>1.9496762253643283</v>
      </c>
      <c r="R115" s="16">
        <f>IF('WetLitterbags placem_collection'!G42="N.A","",'WetLitterbags placem_collection'!G42)</f>
        <v>42820</v>
      </c>
      <c r="S115" s="195">
        <f>IF(IFERROR(INDEX('Both teabags AfterWet'!$C$3:$C$841,MATCH(H115,'Both teabags AfterWet'!$A$3:$A$841,0)),"")="N.A","",(IFERROR(INDEX('Both teabags AfterWet'!$C$3:$C$841,MATCH(H115,'Both teabags AfterWet'!$A$3:$A$841,0)),"")))</f>
        <v>0.89800000000000002</v>
      </c>
      <c r="T115" s="195">
        <f>IFERROR(INDEX('Both teabags AfterWet'!$C$3:$C$841,MATCH(I115,'Both teabags AfterWet'!$A$3:$A$841,0)),"")</f>
        <v>2.2269999999999999</v>
      </c>
      <c r="U115" s="195">
        <f t="shared" si="7"/>
        <v>0.74740000000000006</v>
      </c>
      <c r="V115" s="195">
        <f t="shared" si="7"/>
        <v>2.0764</v>
      </c>
      <c r="W115" s="195">
        <f>IFERROR(INDEX('Ashed teabags wet'!$K$2:$K$821,MATCH(H115,'Ashed teabags wet'!$A$2:$A$821,0)),"")</f>
        <v>16.507777220271233</v>
      </c>
      <c r="X115" s="195">
        <f>IFERROR(INDEX('Ashed teabags wet'!$K$2:$K$821,MATCH(I115,'Ashed teabags wet'!$A$2:$A$821,0)),"")</f>
        <v>24.826560951436655</v>
      </c>
      <c r="Y115" s="195">
        <f t="shared" si="1"/>
        <v>0.62402087305569287</v>
      </c>
      <c r="Z115" s="195">
        <f t="shared" si="1"/>
        <v>1.5609012884043694</v>
      </c>
      <c r="AA115" s="195">
        <f t="shared" si="8"/>
        <v>0.62733171044568536</v>
      </c>
      <c r="AB115" s="195">
        <f t="shared" si="9"/>
        <v>0.41126734461522368</v>
      </c>
      <c r="AC115" s="195">
        <f t="shared" si="2"/>
        <v>0.80059512861561921</v>
      </c>
      <c r="AD115">
        <f t="shared" si="3"/>
        <v>55</v>
      </c>
      <c r="AE115" s="195">
        <f t="shared" si="10"/>
        <v>0.25495046265358035</v>
      </c>
      <c r="AF115" s="195">
        <f t="shared" si="11"/>
        <v>1.206011133734158E-2</v>
      </c>
      <c r="AG115" s="255" t="str">
        <f>IF(ISNUMBER(SEARCH("C",'WetLitterbags placem_collection'!AD42)),"YES","NO")</f>
        <v>NO</v>
      </c>
      <c r="AH115" s="255" t="str">
        <f>IF(ISNUMBER(SEARCH("H", 'WetLitterbags placem_collection'!AD42)),"YES","NO")</f>
        <v>YES</v>
      </c>
      <c r="AI115" s="255" t="str">
        <f>IF(ISNUMBER(SEARCH("R", 'WetLitterbags placem_collection'!AD42)),"YES","NO")</f>
        <v>YES</v>
      </c>
      <c r="AJ115" s="255" t="str">
        <f>IF(ISNUMBER(SEARCH("C", 'WetLitterbags placem_collection'!AC42)),"YES","NO")</f>
        <v>NO</v>
      </c>
      <c r="AK115" s="255" t="str">
        <f>IF(ISNUMBER(SEARCH("H", 'WetLitterbags placem_collection'!AC42)),"YES","NO")</f>
        <v>NO</v>
      </c>
      <c r="AL115" s="255" t="str">
        <f>IF(ISNUMBER(SEARCH("R", 'WetLitterbags placem_collection'!AC42)),"YES","NO")</f>
        <v>NO</v>
      </c>
    </row>
    <row r="116" spans="2:38">
      <c r="B116" t="str">
        <f>'Final data_for_R_analysis_Wetse'!A42</f>
        <v>Wet</v>
      </c>
      <c r="C116" s="263">
        <f>'Final data_for_R_analysis_Wetse'!B42</f>
        <v>41</v>
      </c>
      <c r="D116" t="s">
        <v>3833</v>
      </c>
      <c r="E116" t="s">
        <v>22</v>
      </c>
      <c r="F116" s="386">
        <v>1</v>
      </c>
      <c r="G116" s="16">
        <f>'WetLitterbags placem_collection'!E43</f>
        <v>42766</v>
      </c>
      <c r="H116" t="str">
        <f>'Final data_for_R_analysis_Wetse'!J42</f>
        <v>G453</v>
      </c>
      <c r="I116" t="str">
        <f>'Final data_for_R_analysis_Wetse'!J262</f>
        <v>R521</v>
      </c>
      <c r="J116">
        <f>IFERROR(INDEX('Green_rooibos initial weight'!$C$5:$C$1749,MATCH(H116, 'Green_rooibos initial weight'!$A$5:$A$1749,0)),"")</f>
        <v>2.0790000000000002</v>
      </c>
      <c r="K116">
        <f>IFERROR(INDEX('Green_rooibos initial weight'!$C$5:$C$1749,MATCH(I116, 'Green_rooibos initial weight'!$A$5:$A$1749,0)),"")</f>
        <v>2.1440000000000001</v>
      </c>
      <c r="L116" s="195">
        <f t="shared" si="4"/>
        <v>1.8292000000000002</v>
      </c>
      <c r="M116" s="195">
        <f>AVERAGE(Ashed_controlls!$K$2:$K$11)</f>
        <v>5.5147656768714146</v>
      </c>
      <c r="N116" s="195">
        <f t="shared" si="0"/>
        <v>1.7283239062386682</v>
      </c>
      <c r="O116" s="195">
        <f t="shared" si="5"/>
        <v>1.8942000000000001</v>
      </c>
      <c r="P116" s="195">
        <f>AVERAGE(Ashed_controlls!$K$12:$K$14)</f>
        <v>2.2816647271287041</v>
      </c>
      <c r="Q116" s="195">
        <f t="shared" si="6"/>
        <v>1.8509807067387283</v>
      </c>
      <c r="R116" s="16">
        <f>IF('WetLitterbags placem_collection'!G43="N.A","",'WetLitterbags placem_collection'!G43)</f>
        <v>42820</v>
      </c>
      <c r="S116" s="195">
        <f>IF(IFERROR(INDEX('Both teabags AfterWet'!$C$3:$C$841,MATCH(H116,'Both teabags AfterWet'!$A$3:$A$841,0)),"")="N.A","",(IFERROR(INDEX('Both teabags AfterWet'!$C$3:$C$841,MATCH(H116,'Both teabags AfterWet'!$A$3:$A$841,0)),"")))</f>
        <v>1.0509999999999999</v>
      </c>
      <c r="T116" s="195">
        <f>IFERROR(INDEX('Both teabags AfterWet'!$C$3:$C$841,MATCH(I116,'Both teabags AfterWet'!$A$3:$A$841,0)),"")</f>
        <v>1.512</v>
      </c>
      <c r="U116" s="195">
        <f t="shared" si="7"/>
        <v>0.90039999999999987</v>
      </c>
      <c r="V116" s="195">
        <f t="shared" si="7"/>
        <v>1.3613999999999999</v>
      </c>
      <c r="W116" s="195">
        <f>IFERROR(INDEX('Ashed teabags wet'!$K$2:$K$821,MATCH(H116,'Ashed teabags wet'!$A$2:$A$821,0)),"")</f>
        <v>20.029673590504579</v>
      </c>
      <c r="X116" s="195">
        <f>IFERROR(INDEX('Ashed teabags wet'!$K$2:$K$821,MATCH(I116,'Ashed teabags wet'!$A$2:$A$821,0)),"")</f>
        <v>6.8728522336777456</v>
      </c>
      <c r="Y116" s="195">
        <f t="shared" si="1"/>
        <v>0.72005281899109663</v>
      </c>
      <c r="Z116" s="195">
        <f t="shared" si="1"/>
        <v>1.267832989690711</v>
      </c>
      <c r="AA116" s="195">
        <f t="shared" si="8"/>
        <v>0.58338086027049207</v>
      </c>
      <c r="AB116" s="195">
        <f t="shared" si="9"/>
        <v>0.38245396065238912</v>
      </c>
      <c r="AC116" s="195">
        <f t="shared" si="2"/>
        <v>0.68495202844362746</v>
      </c>
      <c r="AD116">
        <f t="shared" si="3"/>
        <v>54</v>
      </c>
      <c r="AE116" s="195">
        <f t="shared" si="10"/>
        <v>0.30714862200654147</v>
      </c>
      <c r="AF116" s="195">
        <f t="shared" si="11"/>
        <v>3.2145822384312357E-2</v>
      </c>
      <c r="AG116" s="255" t="str">
        <f>IF(ISNUMBER(SEARCH("C",'WetLitterbags placem_collection'!AD43)),"YES","NO")</f>
        <v>NO</v>
      </c>
      <c r="AH116" s="255" t="str">
        <f>IF(ISNUMBER(SEARCH("H", 'WetLitterbags placem_collection'!AD43)),"YES","NO")</f>
        <v>NO</v>
      </c>
      <c r="AI116" s="255" t="str">
        <f>IF(ISNUMBER(SEARCH("R", 'WetLitterbags placem_collection'!AD43)),"YES","NO")</f>
        <v>NO</v>
      </c>
      <c r="AJ116" s="255" t="str">
        <f>IF(ISNUMBER(SEARCH("C", 'WetLitterbags placem_collection'!AC43)),"YES","NO")</f>
        <v>NO</v>
      </c>
      <c r="AK116" s="255" t="str">
        <f>IF(ISNUMBER(SEARCH("H", 'WetLitterbags placem_collection'!AC43)),"YES","NO")</f>
        <v>NO</v>
      </c>
      <c r="AL116" s="255" t="str">
        <f>IF(ISNUMBER(SEARCH("R", 'WetLitterbags placem_collection'!AC43)),"YES","NO")</f>
        <v>NO</v>
      </c>
    </row>
    <row r="117" spans="2:38">
      <c r="B117" t="str">
        <f>'Final data_for_R_analysis_Wetse'!A43</f>
        <v>Wet</v>
      </c>
      <c r="C117" s="263">
        <f>'Final data_for_R_analysis_Wetse'!B43</f>
        <v>42</v>
      </c>
      <c r="D117" t="s">
        <v>3833</v>
      </c>
      <c r="E117" t="s">
        <v>22</v>
      </c>
      <c r="F117" s="386">
        <v>2</v>
      </c>
      <c r="G117" s="16">
        <f>'WetLitterbags placem_collection'!E44</f>
        <v>42766</v>
      </c>
      <c r="H117" t="str">
        <f>'Final data_for_R_analysis_Wetse'!J43</f>
        <v>G764</v>
      </c>
      <c r="I117" t="str">
        <f>'Final data_for_R_analysis_Wetse'!J263</f>
        <v>R371</v>
      </c>
      <c r="J117">
        <f>IFERROR(INDEX('Green_rooibos initial weight'!$C$5:$C$1749,MATCH(H117, 'Green_rooibos initial weight'!$A$5:$A$1749,0)),"")</f>
        <v>1.9510000000000001</v>
      </c>
      <c r="K117">
        <f>IFERROR(INDEX('Green_rooibos initial weight'!$C$5:$C$1749,MATCH(I117, 'Green_rooibos initial weight'!$A$5:$A$1749,0)),"")</f>
        <v>2.2530000000000001</v>
      </c>
      <c r="L117" s="195">
        <f t="shared" si="4"/>
        <v>1.7012</v>
      </c>
      <c r="M117" s="195">
        <f>AVERAGE(Ashed_controlls!$K$2:$K$11)</f>
        <v>5.5147656768714146</v>
      </c>
      <c r="N117" s="195">
        <f t="shared" si="0"/>
        <v>1.6073828063050635</v>
      </c>
      <c r="O117" s="195">
        <f t="shared" si="5"/>
        <v>2.0032000000000001</v>
      </c>
      <c r="P117" s="195">
        <f>AVERAGE(Ashed_controlls!$K$12:$K$14)</f>
        <v>2.2816647271287041</v>
      </c>
      <c r="Q117" s="195">
        <f t="shared" si="6"/>
        <v>1.9574936921861579</v>
      </c>
      <c r="R117" s="16">
        <f>IF('WetLitterbags placem_collection'!G44="N.A","",'WetLitterbags placem_collection'!G44)</f>
        <v>42820</v>
      </c>
      <c r="S117" s="195">
        <f>IF(IFERROR(INDEX('Both teabags AfterWet'!$C$3:$C$841,MATCH(H117,'Both teabags AfterWet'!$A$3:$A$841,0)),"")="N.A","",(IFERROR(INDEX('Both teabags AfterWet'!$C$3:$C$841,MATCH(H117,'Both teabags AfterWet'!$A$3:$A$841,0)),"")))</f>
        <v>0.72199999999999998</v>
      </c>
      <c r="T117" s="195">
        <f>IFERROR(INDEX('Both teabags AfterWet'!$C$3:$C$841,MATCH(I117,'Both teabags AfterWet'!$A$3:$A$841,0)),"")</f>
        <v>1.649</v>
      </c>
      <c r="U117" s="195">
        <f t="shared" si="7"/>
        <v>0.57139999999999991</v>
      </c>
      <c r="V117" s="195">
        <f t="shared" si="7"/>
        <v>1.4984</v>
      </c>
      <c r="W117" s="195">
        <f>IFERROR(INDEX('Ashed teabags wet'!$K$2:$K$821,MATCH(H117,'Ashed teabags wet'!$A$2:$A$821,0)),"")</f>
        <v>14.236790606653615</v>
      </c>
      <c r="X117" s="195">
        <f>IFERROR(INDEX('Ashed teabags wet'!$K$2:$K$821,MATCH(I117,'Ashed teabags wet'!$A$2:$A$821,0)),"")</f>
        <v>2.6627218934911183</v>
      </c>
      <c r="Y117" s="195">
        <f t="shared" si="1"/>
        <v>0.49005097847358114</v>
      </c>
      <c r="Z117" s="195">
        <f t="shared" si="1"/>
        <v>1.458501775147929</v>
      </c>
      <c r="AA117" s="195">
        <f t="shared" si="8"/>
        <v>0.69512490954157014</v>
      </c>
      <c r="AB117" s="195">
        <f t="shared" si="9"/>
        <v>0.45571134212226461</v>
      </c>
      <c r="AC117" s="195">
        <f t="shared" si="2"/>
        <v>0.74508632184610146</v>
      </c>
      <c r="AD117">
        <f t="shared" si="3"/>
        <v>54</v>
      </c>
      <c r="AE117" s="195">
        <f t="shared" si="10"/>
        <v>0.17443597441618741</v>
      </c>
      <c r="AF117" s="195">
        <f t="shared" si="11"/>
        <v>1.5177070986734285E-2</v>
      </c>
      <c r="AG117" s="255" t="str">
        <f>IF(ISNUMBER(SEARCH("C",'WetLitterbags placem_collection'!AD44)),"YES","NO")</f>
        <v>NO</v>
      </c>
      <c r="AH117" s="255" t="str">
        <f>IF(ISNUMBER(SEARCH("H", 'WetLitterbags placem_collection'!AD44)),"YES","NO")</f>
        <v>YES</v>
      </c>
      <c r="AI117" s="255" t="str">
        <f>IF(ISNUMBER(SEARCH("R", 'WetLitterbags placem_collection'!AD44)),"YES","NO")</f>
        <v>YES</v>
      </c>
      <c r="AJ117" s="255" t="str">
        <f>IF(ISNUMBER(SEARCH("C", 'WetLitterbags placem_collection'!AC44)),"YES","NO")</f>
        <v>NO</v>
      </c>
      <c r="AK117" s="255" t="str">
        <f>IF(ISNUMBER(SEARCH("H", 'WetLitterbags placem_collection'!AC44)),"YES","NO")</f>
        <v>NO</v>
      </c>
      <c r="AL117" s="255" t="str">
        <f>IF(ISNUMBER(SEARCH("R", 'WetLitterbags placem_collection'!AC44)),"YES","NO")</f>
        <v>NO</v>
      </c>
    </row>
    <row r="118" spans="2:38">
      <c r="B118" t="str">
        <f>'Final data_for_R_analysis_Wetse'!A44</f>
        <v>Wet</v>
      </c>
      <c r="C118" s="263">
        <f>'Final data_for_R_analysis_Wetse'!B44</f>
        <v>43</v>
      </c>
      <c r="D118" t="s">
        <v>3833</v>
      </c>
      <c r="E118" t="s">
        <v>22</v>
      </c>
      <c r="F118" s="386">
        <v>3</v>
      </c>
      <c r="G118" s="16">
        <f>'WetLitterbags placem_collection'!E45</f>
        <v>42766</v>
      </c>
      <c r="H118" t="str">
        <f>'Final data_for_R_analysis_Wetse'!J44</f>
        <v>G690</v>
      </c>
      <c r="I118" t="str">
        <f>'Final data_for_R_analysis_Wetse'!J264</f>
        <v>R376</v>
      </c>
      <c r="J118">
        <f>IFERROR(INDEX('Green_rooibos initial weight'!$C$5:$C$1749,MATCH(H118, 'Green_rooibos initial weight'!$A$5:$A$1749,0)),"")</f>
        <v>2.0739999999999998</v>
      </c>
      <c r="K118">
        <f>IFERROR(INDEX('Green_rooibos initial weight'!$C$5:$C$1749,MATCH(I118, 'Green_rooibos initial weight'!$A$5:$A$1749,0)),"")</f>
        <v>2.177</v>
      </c>
      <c r="L118" s="195">
        <f t="shared" si="4"/>
        <v>1.8241999999999998</v>
      </c>
      <c r="M118" s="195">
        <f>AVERAGE(Ashed_controlls!$K$2:$K$11)</f>
        <v>5.5147656768714146</v>
      </c>
      <c r="N118" s="195">
        <f t="shared" si="0"/>
        <v>1.7235996445225115</v>
      </c>
      <c r="O118" s="195">
        <f t="shared" si="5"/>
        <v>1.9272</v>
      </c>
      <c r="P118" s="195">
        <f>AVERAGE(Ashed_controlls!$K$12:$K$14)</f>
        <v>2.2816647271287041</v>
      </c>
      <c r="Q118" s="195">
        <f t="shared" si="6"/>
        <v>1.8832277573787757</v>
      </c>
      <c r="R118" s="16">
        <f>IF('WetLitterbags placem_collection'!G45="N.A","",'WetLitterbags placem_collection'!G45)</f>
        <v>42820</v>
      </c>
      <c r="S118" s="195">
        <f>IF(IFERROR(INDEX('Both teabags AfterWet'!$C$3:$C$841,MATCH(H118,'Both teabags AfterWet'!$A$3:$A$841,0)),"")="N.A","",(IFERROR(INDEX('Both teabags AfterWet'!$C$3:$C$841,MATCH(H118,'Both teabags AfterWet'!$A$3:$A$841,0)),"")))</f>
        <v>0.71519999999999995</v>
      </c>
      <c r="T118" s="195">
        <f>IFERROR(INDEX('Both teabags AfterWet'!$C$3:$C$841,MATCH(I118,'Both teabags AfterWet'!$A$3:$A$841,0)),"")</f>
        <v>1.3532999999999999</v>
      </c>
      <c r="U118" s="195">
        <f t="shared" si="7"/>
        <v>0.56459999999999999</v>
      </c>
      <c r="V118" s="195">
        <f t="shared" si="7"/>
        <v>1.2026999999999999</v>
      </c>
      <c r="W118" s="195">
        <f>IFERROR(INDEX('Ashed teabags wet'!$K$2:$K$821,MATCH(H118,'Ashed teabags wet'!$A$2:$A$821,0)),"")</f>
        <v>10.60532687651348</v>
      </c>
      <c r="X118" s="195">
        <f>IFERROR(INDEX('Ashed teabags wet'!$K$2:$K$821,MATCH(I118,'Ashed teabags wet'!$A$2:$A$821,0)),"")</f>
        <v>6.7788461538456346</v>
      </c>
      <c r="Y118" s="195">
        <f t="shared" si="1"/>
        <v>0.50472232445520493</v>
      </c>
      <c r="Z118" s="195">
        <f t="shared" si="1"/>
        <v>1.1211708173076984</v>
      </c>
      <c r="AA118" s="195">
        <f t="shared" si="8"/>
        <v>0.70716962836516006</v>
      </c>
      <c r="AB118" s="195">
        <f t="shared" si="9"/>
        <v>0.46360764234865609</v>
      </c>
      <c r="AC118" s="195">
        <f t="shared" si="2"/>
        <v>0.59534531227823029</v>
      </c>
      <c r="AD118">
        <f t="shared" si="3"/>
        <v>54</v>
      </c>
      <c r="AE118" s="195">
        <f t="shared" si="10"/>
        <v>0.16013108270171006</v>
      </c>
      <c r="AF118" s="195">
        <f t="shared" si="11"/>
        <v>3.8190719435097033E-2</v>
      </c>
      <c r="AG118" s="255" t="str">
        <f>IF(ISNUMBER(SEARCH("C",'WetLitterbags placem_collection'!AD45)),"YES","NO")</f>
        <v>NO</v>
      </c>
      <c r="AH118" s="255" t="str">
        <f>IF(ISNUMBER(SEARCH("H", 'WetLitterbags placem_collection'!AD45)),"YES","NO")</f>
        <v>NO</v>
      </c>
      <c r="AI118" s="255" t="str">
        <f>IF(ISNUMBER(SEARCH("R", 'WetLitterbags placem_collection'!AD45)),"YES","NO")</f>
        <v>NO</v>
      </c>
      <c r="AJ118" s="255" t="str">
        <f>IF(ISNUMBER(SEARCH("C", 'WetLitterbags placem_collection'!AC45)),"YES","NO")</f>
        <v>NO</v>
      </c>
      <c r="AK118" s="255" t="str">
        <f>IF(ISNUMBER(SEARCH("H", 'WetLitterbags placem_collection'!AC45)),"YES","NO")</f>
        <v>NO</v>
      </c>
      <c r="AL118" s="255" t="str">
        <f>IF(ISNUMBER(SEARCH("R", 'WetLitterbags placem_collection'!AC45)),"YES","NO")</f>
        <v>NO</v>
      </c>
    </row>
    <row r="119" spans="2:38">
      <c r="B119" t="str">
        <f>'Final data_for_R_analysis_Wetse'!A45</f>
        <v>Wet</v>
      </c>
      <c r="C119" s="263">
        <f>'Final data_for_R_analysis_Wetse'!B45</f>
        <v>44</v>
      </c>
      <c r="D119" t="s">
        <v>3833</v>
      </c>
      <c r="E119" t="s">
        <v>22</v>
      </c>
      <c r="F119" s="387">
        <v>4</v>
      </c>
      <c r="G119" s="16">
        <f>'WetLitterbags placem_collection'!E46</f>
        <v>42766</v>
      </c>
      <c r="H119" t="str">
        <f>'Final data_for_R_analysis_Wetse'!J45</f>
        <v>G774</v>
      </c>
      <c r="I119" t="str">
        <f>'Final data_for_R_analysis_Wetse'!J265</f>
        <v>R166</v>
      </c>
      <c r="J119">
        <f>IFERROR(INDEX('Green_rooibos initial weight'!$C$5:$C$1749,MATCH(H119, 'Green_rooibos initial weight'!$A$5:$A$1749,0)),"")</f>
        <v>2.0049999999999999</v>
      </c>
      <c r="K119">
        <f>IFERROR(INDEX('Green_rooibos initial weight'!$C$5:$C$1749,MATCH(I119, 'Green_rooibos initial weight'!$A$5:$A$1749,0)),"")</f>
        <v>2.222</v>
      </c>
      <c r="L119" s="195">
        <f t="shared" si="4"/>
        <v>1.7551999999999999</v>
      </c>
      <c r="M119" s="195">
        <f>AVERAGE(Ashed_controlls!$K$2:$K$11)</f>
        <v>5.5147656768714146</v>
      </c>
      <c r="N119" s="195">
        <f t="shared" si="0"/>
        <v>1.6584048328395529</v>
      </c>
      <c r="O119" s="195">
        <f t="shared" si="5"/>
        <v>1.9722</v>
      </c>
      <c r="P119" s="195">
        <f>AVERAGE(Ashed_controlls!$K$12:$K$14)</f>
        <v>2.2816647271287041</v>
      </c>
      <c r="Q119" s="195">
        <f t="shared" si="6"/>
        <v>1.9272010082515676</v>
      </c>
      <c r="R119" s="16">
        <f>IF('WetLitterbags placem_collection'!G46="N.A","",'WetLitterbags placem_collection'!G46)</f>
        <v>42820</v>
      </c>
      <c r="S119" s="195">
        <f>IF(IFERROR(INDEX('Both teabags AfterWet'!$C$3:$C$841,MATCH(H119,'Both teabags AfterWet'!$A$3:$A$841,0)),"")="N.A","",(IFERROR(INDEX('Both teabags AfterWet'!$C$3:$C$841,MATCH(H119,'Both teabags AfterWet'!$A$3:$A$841,0)),"")))</f>
        <v>0.89559999999999995</v>
      </c>
      <c r="T119" s="195">
        <f>IFERROR(INDEX('Both teabags AfterWet'!$C$3:$C$841,MATCH(I119,'Both teabags AfterWet'!$A$3:$A$841,0)),"")</f>
        <v>1.6101000000000001</v>
      </c>
      <c r="U119" s="195">
        <f t="shared" si="7"/>
        <v>0.74499999999999988</v>
      </c>
      <c r="V119" s="195">
        <f t="shared" si="7"/>
        <v>1.4595</v>
      </c>
      <c r="W119" s="195">
        <f>IFERROR(INDEX('Ashed teabags wet'!$K$2:$K$821,MATCH(H119,'Ashed teabags wet'!$A$2:$A$821,0)),"")</f>
        <v>8.346293416277824</v>
      </c>
      <c r="X119" s="195">
        <f>IFERROR(INDEX('Ashed teabags wet'!$K$2:$K$821,MATCH(I119,'Ashed teabags wet'!$A$2:$A$821,0)),"")</f>
        <v>4.868355688028041</v>
      </c>
      <c r="Y119" s="195">
        <f t="shared" si="1"/>
        <v>0.68282011404873011</v>
      </c>
      <c r="Z119" s="195">
        <f t="shared" si="1"/>
        <v>1.3884463487332308</v>
      </c>
      <c r="AA119" s="195">
        <f t="shared" si="8"/>
        <v>0.58826692944472891</v>
      </c>
      <c r="AB119" s="195">
        <f t="shared" si="9"/>
        <v>0.38565717939844463</v>
      </c>
      <c r="AC119" s="195">
        <f t="shared" si="2"/>
        <v>0.72044708506710664</v>
      </c>
      <c r="AD119">
        <f t="shared" si="3"/>
        <v>54</v>
      </c>
      <c r="AE119" s="195">
        <f t="shared" si="10"/>
        <v>0.30134568949557139</v>
      </c>
      <c r="AF119" s="195">
        <f t="shared" si="11"/>
        <v>2.389864075672567E-2</v>
      </c>
      <c r="AG119" s="255" t="str">
        <f>IF(ISNUMBER(SEARCH("C",'WetLitterbags placem_collection'!AD46)),"YES","NO")</f>
        <v>NO</v>
      </c>
      <c r="AH119" s="255" t="str">
        <f>IF(ISNUMBER(SEARCH("H", 'WetLitterbags placem_collection'!AD46)),"YES","NO")</f>
        <v>NO</v>
      </c>
      <c r="AI119" s="255" t="str">
        <f>IF(ISNUMBER(SEARCH("R", 'WetLitterbags placem_collection'!AD46)),"YES","NO")</f>
        <v>NO</v>
      </c>
      <c r="AJ119" s="255" t="str">
        <f>IF(ISNUMBER(SEARCH("C", 'WetLitterbags placem_collection'!AC46)),"YES","NO")</f>
        <v>NO</v>
      </c>
      <c r="AK119" s="255" t="str">
        <f>IF(ISNUMBER(SEARCH("H", 'WetLitterbags placem_collection'!AC46)),"YES","NO")</f>
        <v>NO</v>
      </c>
      <c r="AL119" s="255" t="str">
        <f>IF(ISNUMBER(SEARCH("R", 'WetLitterbags placem_collection'!AC46)),"YES","NO")</f>
        <v>NO</v>
      </c>
    </row>
    <row r="120" spans="2:38">
      <c r="B120" t="str">
        <f>'Final data_for_R_analysis_Wetse'!A46</f>
        <v>Wet</v>
      </c>
      <c r="C120" s="263">
        <f>'Final data_for_R_analysis_Wetse'!B46</f>
        <v>45</v>
      </c>
      <c r="D120" t="s">
        <v>3833</v>
      </c>
      <c r="E120" t="s">
        <v>22</v>
      </c>
      <c r="F120" s="387">
        <v>5</v>
      </c>
      <c r="G120" s="16">
        <f>'WetLitterbags placem_collection'!E47</f>
        <v>42766</v>
      </c>
      <c r="H120" t="str">
        <f>'Final data_for_R_analysis_Wetse'!J46</f>
        <v>G519</v>
      </c>
      <c r="I120" t="str">
        <f>'Final data_for_R_analysis_Wetse'!J266</f>
        <v>R469</v>
      </c>
      <c r="J120">
        <f>IFERROR(INDEX('Green_rooibos initial weight'!$C$5:$C$1749,MATCH(H120, 'Green_rooibos initial weight'!$A$5:$A$1749,0)),"")</f>
        <v>2.1429999999999998</v>
      </c>
      <c r="K120">
        <f>IFERROR(INDEX('Green_rooibos initial weight'!$C$5:$C$1749,MATCH(I120, 'Green_rooibos initial weight'!$A$5:$A$1749,0)),"")</f>
        <v>2.2309999999999999</v>
      </c>
      <c r="L120" s="195">
        <f t="shared" si="4"/>
        <v>1.8931999999999998</v>
      </c>
      <c r="M120" s="195">
        <f>AVERAGE(Ashed_controlls!$K$2:$K$11)</f>
        <v>5.5147656768714146</v>
      </c>
      <c r="N120" s="195">
        <f t="shared" si="0"/>
        <v>1.7887944562054701</v>
      </c>
      <c r="O120" s="195">
        <f t="shared" si="5"/>
        <v>1.9811999999999999</v>
      </c>
      <c r="P120" s="195">
        <f>AVERAGE(Ashed_controlls!$K$12:$K$14)</f>
        <v>2.2816647271287041</v>
      </c>
      <c r="Q120" s="195">
        <f t="shared" si="6"/>
        <v>1.935995658426126</v>
      </c>
      <c r="R120" s="16">
        <f>IF('WetLitterbags placem_collection'!G47="N.A","",'WetLitterbags placem_collection'!G47)</f>
        <v>42820</v>
      </c>
      <c r="S120" s="195">
        <f>IF(IFERROR(INDEX('Both teabags AfterWet'!$C$3:$C$841,MATCH(H120,'Both teabags AfterWet'!$A$3:$A$841,0)),"")="N.A","",(IFERROR(INDEX('Both teabags AfterWet'!$C$3:$C$841,MATCH(H120,'Both teabags AfterWet'!$A$3:$A$841,0)),"")))</f>
        <v>0.77569999999999995</v>
      </c>
      <c r="T120" s="195">
        <f>IFERROR(INDEX('Both teabags AfterWet'!$C$3:$C$841,MATCH(I120,'Both teabags AfterWet'!$A$3:$A$841,0)),"")</f>
        <v>1.5804</v>
      </c>
      <c r="U120" s="195">
        <f t="shared" si="7"/>
        <v>0.62509999999999999</v>
      </c>
      <c r="V120" s="195">
        <f t="shared" si="7"/>
        <v>1.4298</v>
      </c>
      <c r="W120" s="195">
        <f>IFERROR(INDEX('Ashed teabags wet'!$K$2:$K$821,MATCH(H120,'Ashed teabags wet'!$A$2:$A$821,0)),"")</f>
        <v>9.376558603491624</v>
      </c>
      <c r="X120" s="195">
        <f>IFERROR(INDEX('Ashed teabags wet'!$K$2:$K$821,MATCH(I120,'Ashed teabags wet'!$A$2:$A$821,0)),"")</f>
        <v>3.5248672139064463</v>
      </c>
      <c r="Y120" s="195">
        <f t="shared" si="1"/>
        <v>0.5664871321695738</v>
      </c>
      <c r="Z120" s="195">
        <f t="shared" si="1"/>
        <v>1.3794014485755657</v>
      </c>
      <c r="AA120" s="195">
        <f t="shared" si="8"/>
        <v>0.68331345716977987</v>
      </c>
      <c r="AB120" s="195">
        <f t="shared" si="9"/>
        <v>0.4479679671706871</v>
      </c>
      <c r="AC120" s="195">
        <f t="shared" si="2"/>
        <v>0.71250234605223994</v>
      </c>
      <c r="AD120">
        <f t="shared" si="3"/>
        <v>54</v>
      </c>
      <c r="AE120" s="195">
        <f t="shared" si="10"/>
        <v>0.188463827589335</v>
      </c>
      <c r="AF120" s="195">
        <f t="shared" si="11"/>
        <v>1.9011347534972928E-2</v>
      </c>
      <c r="AG120" s="255" t="str">
        <f>IF(ISNUMBER(SEARCH("C",'WetLitterbags placem_collection'!AD47)),"YES","NO")</f>
        <v>NO</v>
      </c>
      <c r="AH120" s="255" t="str">
        <f>IF(ISNUMBER(SEARCH("H", 'WetLitterbags placem_collection'!AD47)),"YES","NO")</f>
        <v>NO</v>
      </c>
      <c r="AI120" s="255" t="str">
        <f>IF(ISNUMBER(SEARCH("R", 'WetLitterbags placem_collection'!AD47)),"YES","NO")</f>
        <v>NO</v>
      </c>
      <c r="AJ120" s="255" t="str">
        <f>IF(ISNUMBER(SEARCH("C", 'WetLitterbags placem_collection'!AC47)),"YES","NO")</f>
        <v>NO</v>
      </c>
      <c r="AK120" s="255" t="str">
        <f>IF(ISNUMBER(SEARCH("H", 'WetLitterbags placem_collection'!AC47)),"YES","NO")</f>
        <v>NO</v>
      </c>
      <c r="AL120" s="255" t="str">
        <f>IF(ISNUMBER(SEARCH("R", 'WetLitterbags placem_collection'!AC47)),"YES","NO")</f>
        <v>NO</v>
      </c>
    </row>
    <row r="121" spans="2:38">
      <c r="B121" t="str">
        <f>'Final data_for_R_analysis_Wetse'!A47</f>
        <v>Wet</v>
      </c>
      <c r="C121" s="263">
        <f>'Final data_for_R_analysis_Wetse'!B47</f>
        <v>46</v>
      </c>
      <c r="D121" t="s">
        <v>3833</v>
      </c>
      <c r="E121" t="s">
        <v>22</v>
      </c>
      <c r="F121" s="387">
        <v>6</v>
      </c>
      <c r="G121" s="16">
        <f>'WetLitterbags placem_collection'!E48</f>
        <v>42766</v>
      </c>
      <c r="H121" t="str">
        <f>'Final data_for_R_analysis_Wetse'!J47</f>
        <v>G635</v>
      </c>
      <c r="I121" t="str">
        <f>'Final data_for_R_analysis_Wetse'!J267</f>
        <v>R86</v>
      </c>
      <c r="J121">
        <f>IFERROR(INDEX('Green_rooibos initial weight'!$C$5:$C$1749,MATCH(H121, 'Green_rooibos initial weight'!$A$5:$A$1749,0)),"")</f>
        <v>2.073</v>
      </c>
      <c r="K121">
        <f>IFERROR(INDEX('Green_rooibos initial weight'!$C$5:$C$1749,MATCH(I121, 'Green_rooibos initial weight'!$A$5:$A$1749,0)),"")</f>
        <v>2.242</v>
      </c>
      <c r="L121" s="195">
        <f t="shared" si="4"/>
        <v>1.8231999999999999</v>
      </c>
      <c r="M121" s="195">
        <f>AVERAGE(Ashed_controlls!$K$2:$K$11)</f>
        <v>5.5147656768714146</v>
      </c>
      <c r="N121" s="195">
        <f t="shared" si="0"/>
        <v>1.7226547921792803</v>
      </c>
      <c r="O121" s="195">
        <f t="shared" si="5"/>
        <v>1.9922</v>
      </c>
      <c r="P121" s="195">
        <f>AVERAGE(Ashed_controlls!$K$12:$K$14)</f>
        <v>2.2816647271287041</v>
      </c>
      <c r="Q121" s="195">
        <f t="shared" si="6"/>
        <v>1.9467446753061419</v>
      </c>
      <c r="R121" s="16">
        <f>IF('WetLitterbags placem_collection'!G48="N.A","",'WetLitterbags placem_collection'!G48)</f>
        <v>42820</v>
      </c>
      <c r="S121" s="195" t="str">
        <f>IF(IFERROR(INDEX('Both teabags AfterWet'!$C$3:$C$841,MATCH(H121,'Both teabags AfterWet'!$A$3:$A$841,0)),"")="N.A","",(IFERROR(INDEX('Both teabags AfterWet'!$C$3:$C$841,MATCH(H121,'Both teabags AfterWet'!$A$3:$A$841,0)),"")))</f>
        <v/>
      </c>
      <c r="T121" s="195" t="str">
        <f>IFERROR(INDEX('Both teabags AfterWet'!$C$3:$C$841,MATCH(I121,'Both teabags AfterWet'!$A$3:$A$841,0)),"")</f>
        <v/>
      </c>
      <c r="U121" s="195" t="str">
        <f t="shared" si="7"/>
        <v/>
      </c>
      <c r="V121" s="195" t="str">
        <f t="shared" si="7"/>
        <v/>
      </c>
      <c r="W121" s="195" t="str">
        <f>IFERROR(INDEX('Ashed teabags wet'!$K$2:$K$821,MATCH(H121,'Ashed teabags wet'!$A$2:$A$821,0)),"")</f>
        <v/>
      </c>
      <c r="X121" s="195" t="str">
        <f>IFERROR(INDEX('Ashed teabags wet'!$K$2:$K$821,MATCH(I121,'Ashed teabags wet'!$A$2:$A$821,0)),"")</f>
        <v/>
      </c>
      <c r="Y121" s="195" t="str">
        <f t="shared" si="1"/>
        <v/>
      </c>
      <c r="Z121" s="195" t="str">
        <f t="shared" si="1"/>
        <v/>
      </c>
      <c r="AA121" s="195" t="str">
        <f t="shared" si="8"/>
        <v/>
      </c>
      <c r="AB121" s="195" t="str">
        <f t="shared" si="9"/>
        <v/>
      </c>
      <c r="AC121" s="195" t="str">
        <f t="shared" si="2"/>
        <v/>
      </c>
      <c r="AD121">
        <f t="shared" si="3"/>
        <v>54</v>
      </c>
      <c r="AE121" s="195" t="str">
        <f t="shared" si="10"/>
        <v/>
      </c>
      <c r="AF121" s="195" t="str">
        <f t="shared" si="11"/>
        <v/>
      </c>
      <c r="AG121" s="255" t="str">
        <f>IF(ISNUMBER(SEARCH("C",'WetLitterbags placem_collection'!AD48)),"YES","NO")</f>
        <v>NO</v>
      </c>
      <c r="AH121" s="255" t="str">
        <f>IF(ISNUMBER(SEARCH("H", 'WetLitterbags placem_collection'!AD48)),"YES","NO")</f>
        <v>NO</v>
      </c>
      <c r="AI121" s="255" t="str">
        <f>IF(ISNUMBER(SEARCH("R", 'WetLitterbags placem_collection'!AD48)),"YES","NO")</f>
        <v>NO</v>
      </c>
      <c r="AJ121" s="255" t="str">
        <f>IF(ISNUMBER(SEARCH("C", 'WetLitterbags placem_collection'!AC48)),"YES","NO")</f>
        <v>NO</v>
      </c>
      <c r="AK121" s="255" t="str">
        <f>IF(ISNUMBER(SEARCH("H", 'WetLitterbags placem_collection'!AC48)),"YES","NO")</f>
        <v>NO</v>
      </c>
      <c r="AL121" s="255" t="str">
        <f>IF(ISNUMBER(SEARCH("R", 'WetLitterbags placem_collection'!AC48)),"YES","NO")</f>
        <v>NO</v>
      </c>
    </row>
    <row r="122" spans="2:38">
      <c r="B122" t="str">
        <f>'Final data_for_R_analysis_Wetse'!A48</f>
        <v>Wet</v>
      </c>
      <c r="C122" s="263">
        <f>'Final data_for_R_analysis_Wetse'!B48</f>
        <v>47</v>
      </c>
      <c r="D122" t="s">
        <v>3833</v>
      </c>
      <c r="E122" t="s">
        <v>22</v>
      </c>
      <c r="F122" s="387">
        <v>7</v>
      </c>
      <c r="G122" s="16">
        <f>'WetLitterbags placem_collection'!E49</f>
        <v>42766</v>
      </c>
      <c r="H122" t="str">
        <f>'Final data_for_R_analysis_Wetse'!J48</f>
        <v>G539</v>
      </c>
      <c r="I122" t="str">
        <f>'Final data_for_R_analysis_Wetse'!J268</f>
        <v>R146</v>
      </c>
      <c r="J122">
        <f>IFERROR(INDEX('Green_rooibos initial weight'!$C$5:$C$1749,MATCH(H122, 'Green_rooibos initial weight'!$A$5:$A$1749,0)),"")</f>
        <v>2.1219999999999999</v>
      </c>
      <c r="K122">
        <f>IFERROR(INDEX('Green_rooibos initial weight'!$C$5:$C$1749,MATCH(I122, 'Green_rooibos initial weight'!$A$5:$A$1749,0)),"")</f>
        <v>2.2010000000000001</v>
      </c>
      <c r="L122" s="195">
        <f t="shared" si="4"/>
        <v>1.8721999999999999</v>
      </c>
      <c r="M122" s="195">
        <f>AVERAGE(Ashed_controlls!$K$2:$K$11)</f>
        <v>5.5147656768714146</v>
      </c>
      <c r="N122" s="195">
        <f t="shared" si="0"/>
        <v>1.7689525569976132</v>
      </c>
      <c r="O122" s="195">
        <f t="shared" si="5"/>
        <v>1.9512</v>
      </c>
      <c r="P122" s="195">
        <f>AVERAGE(Ashed_controlls!$K$12:$K$14)</f>
        <v>2.2816647271287041</v>
      </c>
      <c r="Q122" s="195">
        <f t="shared" si="6"/>
        <v>1.9066801578442647</v>
      </c>
      <c r="R122" s="16">
        <f>IF('WetLitterbags placem_collection'!G49="N.A","",'WetLitterbags placem_collection'!G49)</f>
        <v>42820</v>
      </c>
      <c r="S122" s="195">
        <f>IF(IFERROR(INDEX('Both teabags AfterWet'!$C$3:$C$841,MATCH(H122,'Both teabags AfterWet'!$A$3:$A$841,0)),"")="N.A","",(IFERROR(INDEX('Both teabags AfterWet'!$C$3:$C$841,MATCH(H122,'Both teabags AfterWet'!$A$3:$A$841,0)),"")))</f>
        <v>0.80700000000000005</v>
      </c>
      <c r="T122" s="195">
        <f>IFERROR(INDEX('Both teabags AfterWet'!$C$3:$C$841,MATCH(I122,'Both teabags AfterWet'!$A$3:$A$841,0)),"")</f>
        <v>1.651</v>
      </c>
      <c r="U122" s="195">
        <f t="shared" si="7"/>
        <v>0.65640000000000009</v>
      </c>
      <c r="V122" s="195">
        <f t="shared" si="7"/>
        <v>1.5004</v>
      </c>
      <c r="W122" s="195">
        <f>IFERROR(INDEX('Ashed teabags wet'!$K$2:$K$821,MATCH(H122,'Ashed teabags wet'!$A$2:$A$821,0)),"")</f>
        <v>11.917347429120182</v>
      </c>
      <c r="X122" s="195">
        <f>IFERROR(INDEX('Ashed teabags wet'!$K$2:$K$821,MATCH(I122,'Ashed teabags wet'!$A$2:$A$821,0)),"")</f>
        <v>7.3593073593070963</v>
      </c>
      <c r="Y122" s="195">
        <f t="shared" si="1"/>
        <v>0.57817453147525522</v>
      </c>
      <c r="Z122" s="195">
        <f t="shared" si="1"/>
        <v>1.3899809523809563</v>
      </c>
      <c r="AA122" s="195">
        <f t="shared" si="8"/>
        <v>0.67315430298675027</v>
      </c>
      <c r="AB122" s="195">
        <f t="shared" si="9"/>
        <v>0.44130780908395034</v>
      </c>
      <c r="AC122" s="195">
        <f t="shared" si="2"/>
        <v>0.72900583071704061</v>
      </c>
      <c r="AD122">
        <f t="shared" si="3"/>
        <v>54</v>
      </c>
      <c r="AE122" s="195">
        <f t="shared" si="10"/>
        <v>0.20052933136965523</v>
      </c>
      <c r="AF122" s="195">
        <f t="shared" si="11"/>
        <v>1.7631498787218286E-2</v>
      </c>
      <c r="AG122" s="255" t="str">
        <f>IF(ISNUMBER(SEARCH("C",'WetLitterbags placem_collection'!AD49)),"YES","NO")</f>
        <v>NO</v>
      </c>
      <c r="AH122" s="255" t="str">
        <f>IF(ISNUMBER(SEARCH("H", 'WetLitterbags placem_collection'!AD49)),"YES","NO")</f>
        <v>YES</v>
      </c>
      <c r="AI122" s="255" t="str">
        <f>IF(ISNUMBER(SEARCH("R", 'WetLitterbags placem_collection'!AD49)),"YES","NO")</f>
        <v>YES</v>
      </c>
      <c r="AJ122" s="255" t="str">
        <f>IF(ISNUMBER(SEARCH("C", 'WetLitterbags placem_collection'!AC49)),"YES","NO")</f>
        <v>NO</v>
      </c>
      <c r="AK122" s="255" t="str">
        <f>IF(ISNUMBER(SEARCH("H", 'WetLitterbags placem_collection'!AC49)),"YES","NO")</f>
        <v>NO</v>
      </c>
      <c r="AL122" s="255" t="str">
        <f>IF(ISNUMBER(SEARCH("R", 'WetLitterbags placem_collection'!AC49)),"YES","NO")</f>
        <v>NO</v>
      </c>
    </row>
    <row r="123" spans="2:38">
      <c r="B123" t="str">
        <f>'Final data_for_R_analysis_Wetse'!A49</f>
        <v>Wet</v>
      </c>
      <c r="C123" s="263">
        <f>'Final data_for_R_analysis_Wetse'!B49</f>
        <v>48</v>
      </c>
      <c r="D123" t="s">
        <v>3833</v>
      </c>
      <c r="E123" t="s">
        <v>22</v>
      </c>
      <c r="F123" s="387">
        <v>8</v>
      </c>
      <c r="G123" s="16">
        <f>'WetLitterbags placem_collection'!E50</f>
        <v>42766</v>
      </c>
      <c r="H123" t="str">
        <f>'Final data_for_R_analysis_Wetse'!J49</f>
        <v>G679</v>
      </c>
      <c r="I123" t="str">
        <f>'Final data_for_R_analysis_Wetse'!J269</f>
        <v>R72</v>
      </c>
      <c r="J123">
        <f>IFERROR(INDEX('Green_rooibos initial weight'!$C$5:$C$1749,MATCH(H123, 'Green_rooibos initial weight'!$A$5:$A$1749,0)),"")</f>
        <v>2.052</v>
      </c>
      <c r="K123">
        <f>IFERROR(INDEX('Green_rooibos initial weight'!$C$5:$C$1749,MATCH(I123, 'Green_rooibos initial weight'!$A$5:$A$1749,0)),"")</f>
        <v>2.2349999999999999</v>
      </c>
      <c r="L123" s="195">
        <f t="shared" si="4"/>
        <v>1.8022</v>
      </c>
      <c r="M123" s="195">
        <f>AVERAGE(Ashed_controlls!$K$2:$K$11)</f>
        <v>5.5147656768714146</v>
      </c>
      <c r="N123" s="195">
        <f t="shared" si="0"/>
        <v>1.7028128929714235</v>
      </c>
      <c r="O123" s="195">
        <f t="shared" si="5"/>
        <v>1.9851999999999999</v>
      </c>
      <c r="P123" s="195">
        <f>AVERAGE(Ashed_controlls!$K$12:$K$14)</f>
        <v>2.2816647271287041</v>
      </c>
      <c r="Q123" s="195">
        <f t="shared" si="6"/>
        <v>1.9399043918370409</v>
      </c>
      <c r="R123" s="16">
        <f>IF('WetLitterbags placem_collection'!G50="N.A","",'WetLitterbags placem_collection'!G50)</f>
        <v>42820</v>
      </c>
      <c r="S123" s="195">
        <f>IF(IFERROR(INDEX('Both teabags AfterWet'!$C$3:$C$841,MATCH(H123,'Both teabags AfterWet'!$A$3:$A$841,0)),"")="N.A","",(IFERROR(INDEX('Both teabags AfterWet'!$C$3:$C$841,MATCH(H123,'Both teabags AfterWet'!$A$3:$A$841,0)),"")))</f>
        <v>0.83199999999999996</v>
      </c>
      <c r="T123" s="195">
        <f>IFERROR(INDEX('Both teabags AfterWet'!$C$3:$C$841,MATCH(I123,'Both teabags AfterWet'!$A$3:$A$841,0)),"")</f>
        <v>1.6359999999999999</v>
      </c>
      <c r="U123" s="195">
        <f t="shared" si="7"/>
        <v>0.68140000000000001</v>
      </c>
      <c r="V123" s="195">
        <f t="shared" si="7"/>
        <v>1.4853999999999998</v>
      </c>
      <c r="W123" s="195">
        <f>IFERROR(INDEX('Ashed teabags wet'!$K$2:$K$821,MATCH(H123,'Ashed teabags wet'!$A$2:$A$821,0)),"")</f>
        <v>7.6283618581914308</v>
      </c>
      <c r="X123" s="195">
        <f>IFERROR(INDEX('Ashed teabags wet'!$K$2:$K$821,MATCH(I123,'Ashed teabags wet'!$A$2:$A$821,0)),"")</f>
        <v>4.6647230320703335</v>
      </c>
      <c r="Y123" s="195">
        <f t="shared" si="1"/>
        <v>0.62942034229828359</v>
      </c>
      <c r="Z123" s="195">
        <f t="shared" si="1"/>
        <v>1.4161102040816271</v>
      </c>
      <c r="AA123" s="195">
        <f t="shared" si="8"/>
        <v>0.63036435482941433</v>
      </c>
      <c r="AB123" s="195">
        <f t="shared" si="9"/>
        <v>0.41325549152712204</v>
      </c>
      <c r="AC123" s="195">
        <f t="shared" si="2"/>
        <v>0.72998968920350049</v>
      </c>
      <c r="AD123">
        <f t="shared" si="3"/>
        <v>54</v>
      </c>
      <c r="AE123" s="195">
        <f t="shared" si="10"/>
        <v>0.25134874723347467</v>
      </c>
      <c r="AF123" s="195">
        <f t="shared" si="11"/>
        <v>1.9620524307127966E-2</v>
      </c>
      <c r="AG123" s="255" t="str">
        <f>IF(ISNUMBER(SEARCH("C",'WetLitterbags placem_collection'!AD50)),"YES","NO")</f>
        <v>NO</v>
      </c>
      <c r="AH123" s="255" t="str">
        <f>IF(ISNUMBER(SEARCH("H", 'WetLitterbags placem_collection'!AD50)),"YES","NO")</f>
        <v>NO</v>
      </c>
      <c r="AI123" s="255" t="str">
        <f>IF(ISNUMBER(SEARCH("R", 'WetLitterbags placem_collection'!AD50)),"YES","NO")</f>
        <v>NO</v>
      </c>
      <c r="AJ123" s="255" t="str">
        <f>IF(ISNUMBER(SEARCH("C", 'WetLitterbags placem_collection'!AC50)),"YES","NO")</f>
        <v>NO</v>
      </c>
      <c r="AK123" s="255" t="str">
        <f>IF(ISNUMBER(SEARCH("H", 'WetLitterbags placem_collection'!AC50)),"YES","NO")</f>
        <v>NO</v>
      </c>
      <c r="AL123" s="255" t="str">
        <f>IF(ISNUMBER(SEARCH("R", 'WetLitterbags placem_collection'!AC50)),"YES","NO")</f>
        <v>NO</v>
      </c>
    </row>
    <row r="124" spans="2:38">
      <c r="B124" t="str">
        <f>'Final data_for_R_analysis_Wetse'!A50</f>
        <v>Wet</v>
      </c>
      <c r="C124" s="263">
        <f>'Final data_for_R_analysis_Wetse'!B50</f>
        <v>49</v>
      </c>
      <c r="D124" t="s">
        <v>3834</v>
      </c>
      <c r="E124" t="s">
        <v>22</v>
      </c>
      <c r="F124" s="386">
        <v>1</v>
      </c>
      <c r="G124" s="16">
        <f>'WetLitterbags placem_collection'!E51</f>
        <v>42766</v>
      </c>
      <c r="H124" t="str">
        <f>'Final data_for_R_analysis_Wetse'!J50</f>
        <v>G346</v>
      </c>
      <c r="I124" t="str">
        <f>'Final data_for_R_analysis_Wetse'!J270</f>
        <v>R28</v>
      </c>
      <c r="J124">
        <f>IFERROR(INDEX('Green_rooibos initial weight'!$C$5:$C$1749,MATCH(H124, 'Green_rooibos initial weight'!$A$5:$A$1749,0)),"")</f>
        <v>2.012</v>
      </c>
      <c r="K124">
        <f>IFERROR(INDEX('Green_rooibos initial weight'!$C$5:$C$1749,MATCH(I124, 'Green_rooibos initial weight'!$A$5:$A$1749,0)),"")</f>
        <v>2.1030000000000002</v>
      </c>
      <c r="L124" s="195">
        <f t="shared" si="4"/>
        <v>1.7622</v>
      </c>
      <c r="M124" s="195">
        <f>AVERAGE(Ashed_controlls!$K$2:$K$11)</f>
        <v>5.5147656768714146</v>
      </c>
      <c r="N124" s="195">
        <f t="shared" si="0"/>
        <v>1.6650187992421719</v>
      </c>
      <c r="O124" s="195">
        <f t="shared" si="5"/>
        <v>1.8532000000000002</v>
      </c>
      <c r="P124" s="195">
        <f>AVERAGE(Ashed_controlls!$K$12:$K$14)</f>
        <v>2.2816647271287041</v>
      </c>
      <c r="Q124" s="195">
        <f t="shared" si="6"/>
        <v>1.8109161892768511</v>
      </c>
      <c r="R124" s="16">
        <f>IF('WetLitterbags placem_collection'!G51="N.A","",'WetLitterbags placem_collection'!G51)</f>
        <v>42820</v>
      </c>
      <c r="S124" s="195">
        <f>IF(IFERROR(INDEX('Both teabags AfterWet'!$C$3:$C$841,MATCH(H124,'Both teabags AfterWet'!$A$3:$A$841,0)),"")="N.A","",(IFERROR(INDEX('Both teabags AfterWet'!$C$3:$C$841,MATCH(H124,'Both teabags AfterWet'!$A$3:$A$841,0)),"")))</f>
        <v>1.0001</v>
      </c>
      <c r="T124" s="195">
        <f>IFERROR(INDEX('Both teabags AfterWet'!$C$3:$C$841,MATCH(I124,'Both teabags AfterWet'!$A$3:$A$841,0)),"")</f>
        <v>1.5992999999999999</v>
      </c>
      <c r="U124" s="195">
        <f t="shared" si="7"/>
        <v>0.84949999999999992</v>
      </c>
      <c r="V124" s="195">
        <f t="shared" si="7"/>
        <v>1.4486999999999999</v>
      </c>
      <c r="W124" s="195">
        <f>IFERROR(INDEX('Ashed teabags wet'!$K$2:$K$821,MATCH(H124,'Ashed teabags wet'!$A$2:$A$821,0)),"")</f>
        <v>20.217498764212234</v>
      </c>
      <c r="X124" s="195">
        <f>IFERROR(INDEX('Ashed teabags wet'!$K$2:$K$821,MATCH(I124,'Ashed teabags wet'!$A$2:$A$821,0)),"")</f>
        <v>11.563275434243886</v>
      </c>
      <c r="Y124" s="195">
        <f t="shared" si="1"/>
        <v>0.67775234799801698</v>
      </c>
      <c r="Z124" s="195">
        <f t="shared" si="1"/>
        <v>1.2811828287841087</v>
      </c>
      <c r="AA124" s="195">
        <f t="shared" si="8"/>
        <v>0.59294612871248431</v>
      </c>
      <c r="AB124" s="195">
        <f t="shared" si="9"/>
        <v>0.38872477796827953</v>
      </c>
      <c r="AC124" s="195">
        <f t="shared" si="2"/>
        <v>0.70747770458428583</v>
      </c>
      <c r="AD124">
        <f t="shared" si="3"/>
        <v>54</v>
      </c>
      <c r="AE124" s="195">
        <f t="shared" si="10"/>
        <v>0.29578844570963858</v>
      </c>
      <c r="AF124" s="195">
        <f t="shared" si="11"/>
        <v>2.5859563297516392E-2</v>
      </c>
      <c r="AG124" s="255" t="str">
        <f>IF(ISNUMBER(SEARCH("C",'WetLitterbags placem_collection'!AD51)),"YES","NO")</f>
        <v>NO</v>
      </c>
      <c r="AH124" s="255" t="str">
        <f>IF(ISNUMBER(SEARCH("H", 'WetLitterbags placem_collection'!AD51)),"YES","NO")</f>
        <v>YES</v>
      </c>
      <c r="AI124" s="255" t="str">
        <f>IF(ISNUMBER(SEARCH("R", 'WetLitterbags placem_collection'!AD51)),"YES","NO")</f>
        <v>YES</v>
      </c>
      <c r="AJ124" s="255" t="str">
        <f>IF(ISNUMBER(SEARCH("C", 'WetLitterbags placem_collection'!AC51)),"YES","NO")</f>
        <v>NO</v>
      </c>
      <c r="AK124" s="255" t="str">
        <f>IF(ISNUMBER(SEARCH("H", 'WetLitterbags placem_collection'!AC51)),"YES","NO")</f>
        <v>NO</v>
      </c>
      <c r="AL124" s="255" t="str">
        <f>IF(ISNUMBER(SEARCH("R", 'WetLitterbags placem_collection'!AC51)),"YES","NO")</f>
        <v>NO</v>
      </c>
    </row>
    <row r="125" spans="2:38">
      <c r="B125" t="str">
        <f>'Final data_for_R_analysis_Wetse'!A51</f>
        <v>Wet</v>
      </c>
      <c r="C125" s="263">
        <f>'Final data_for_R_analysis_Wetse'!B51</f>
        <v>50</v>
      </c>
      <c r="D125" t="s">
        <v>3834</v>
      </c>
      <c r="E125" t="s">
        <v>22</v>
      </c>
      <c r="F125" s="386">
        <v>2</v>
      </c>
      <c r="G125" s="16">
        <f>'WetLitterbags placem_collection'!E52</f>
        <v>42766</v>
      </c>
      <c r="H125" t="str">
        <f>'Final data_for_R_analysis_Wetse'!J51</f>
        <v>G418</v>
      </c>
      <c r="I125" t="str">
        <f>'Final data_for_R_analysis_Wetse'!J271</f>
        <v>R5</v>
      </c>
      <c r="J125">
        <f>IFERROR(INDEX('Green_rooibos initial weight'!$C$5:$C$1749,MATCH(H125, 'Green_rooibos initial weight'!$A$5:$A$1749,0)),"")</f>
        <v>2.016</v>
      </c>
      <c r="K125">
        <f>IFERROR(INDEX('Green_rooibos initial weight'!$C$5:$C$1749,MATCH(I125, 'Green_rooibos initial weight'!$A$5:$A$1749,0)),"")</f>
        <v>2.1800000000000002</v>
      </c>
      <c r="L125" s="195">
        <f t="shared" si="4"/>
        <v>1.7662</v>
      </c>
      <c r="M125" s="195">
        <f>AVERAGE(Ashed_controlls!$K$2:$K$11)</f>
        <v>5.5147656768714146</v>
      </c>
      <c r="N125" s="195">
        <f t="shared" si="0"/>
        <v>1.668798208615097</v>
      </c>
      <c r="O125" s="195">
        <f t="shared" si="5"/>
        <v>1.9302000000000001</v>
      </c>
      <c r="P125" s="195">
        <f>AVERAGE(Ashed_controlls!$K$12:$K$14)</f>
        <v>2.2816647271287041</v>
      </c>
      <c r="Q125" s="195">
        <f t="shared" si="6"/>
        <v>1.8861593074369618</v>
      </c>
      <c r="R125" s="16">
        <f>IF('WetLitterbags placem_collection'!G52="N.A","",'WetLitterbags placem_collection'!G52)</f>
        <v>42820</v>
      </c>
      <c r="S125" s="195" t="str">
        <f>IF(IFERROR(INDEX('Both teabags AfterWet'!$C$3:$C$841,MATCH(H125,'Both teabags AfterWet'!$A$3:$A$841,0)),"")="N.A","",(IFERROR(INDEX('Both teabags AfterWet'!$C$3:$C$841,MATCH(H125,'Both teabags AfterWet'!$A$3:$A$841,0)),"")))</f>
        <v/>
      </c>
      <c r="T125" s="195" t="str">
        <f>IFERROR(INDEX('Both teabags AfterWet'!$C$3:$C$841,MATCH(I125,'Both teabags AfterWet'!$A$3:$A$841,0)),"")</f>
        <v/>
      </c>
      <c r="U125" s="195" t="str">
        <f t="shared" si="7"/>
        <v/>
      </c>
      <c r="V125" s="195" t="str">
        <f t="shared" si="7"/>
        <v/>
      </c>
      <c r="W125" s="195" t="str">
        <f>IFERROR(INDEX('Ashed teabags wet'!$K$2:$K$821,MATCH(H125,'Ashed teabags wet'!$A$2:$A$821,0)),"")</f>
        <v/>
      </c>
      <c r="X125" s="195" t="str">
        <f>IFERROR(INDEX('Ashed teabags wet'!$K$2:$K$821,MATCH(I125,'Ashed teabags wet'!$A$2:$A$821,0)),"")</f>
        <v/>
      </c>
      <c r="Y125" s="195" t="str">
        <f t="shared" si="1"/>
        <v/>
      </c>
      <c r="Z125" s="195" t="str">
        <f t="shared" si="1"/>
        <v/>
      </c>
      <c r="AA125" s="195" t="str">
        <f t="shared" si="8"/>
        <v/>
      </c>
      <c r="AB125" s="195" t="str">
        <f t="shared" si="9"/>
        <v/>
      </c>
      <c r="AC125" s="195" t="str">
        <f t="shared" si="2"/>
        <v/>
      </c>
      <c r="AD125">
        <f t="shared" si="3"/>
        <v>54</v>
      </c>
      <c r="AE125" s="195" t="str">
        <f t="shared" si="10"/>
        <v/>
      </c>
      <c r="AF125" s="195" t="str">
        <f t="shared" si="11"/>
        <v/>
      </c>
      <c r="AG125" s="255" t="str">
        <f>IF(ISNUMBER(SEARCH("C",'WetLitterbags placem_collection'!AD52)),"YES","NO")</f>
        <v>NO</v>
      </c>
      <c r="AH125" s="255" t="str">
        <f>IF(ISNUMBER(SEARCH("H", 'WetLitterbags placem_collection'!AD52)),"YES","NO")</f>
        <v>NO</v>
      </c>
      <c r="AI125" s="255" t="str">
        <f>IF(ISNUMBER(SEARCH("R", 'WetLitterbags placem_collection'!AD52)),"YES","NO")</f>
        <v>NO</v>
      </c>
      <c r="AJ125" s="255" t="str">
        <f>IF(ISNUMBER(SEARCH("C", 'WetLitterbags placem_collection'!AC52)),"YES","NO")</f>
        <v>NO</v>
      </c>
      <c r="AK125" s="255" t="str">
        <f>IF(ISNUMBER(SEARCH("H", 'WetLitterbags placem_collection'!AC52)),"YES","NO")</f>
        <v>NO</v>
      </c>
      <c r="AL125" s="255" t="str">
        <f>IF(ISNUMBER(SEARCH("R", 'WetLitterbags placem_collection'!AC52)),"YES","NO")</f>
        <v>NO</v>
      </c>
    </row>
    <row r="126" spans="2:38">
      <c r="B126" t="str">
        <f>'Final data_for_R_analysis_Wetse'!A52</f>
        <v>Wet</v>
      </c>
      <c r="C126" s="263">
        <f>'Final data_for_R_analysis_Wetse'!B52</f>
        <v>51</v>
      </c>
      <c r="D126" t="s">
        <v>3834</v>
      </c>
      <c r="E126" t="s">
        <v>22</v>
      </c>
      <c r="F126" s="386">
        <v>3</v>
      </c>
      <c r="G126" s="16">
        <f>'WetLitterbags placem_collection'!E53</f>
        <v>42766</v>
      </c>
      <c r="H126" t="str">
        <f>'Final data_for_R_analysis_Wetse'!J52</f>
        <v>G548</v>
      </c>
      <c r="I126" t="str">
        <f>'Final data_for_R_analysis_Wetse'!J272</f>
        <v>R85</v>
      </c>
      <c r="J126">
        <f>IFERROR(INDEX('Green_rooibos initial weight'!$C$5:$C$1749,MATCH(H126, 'Green_rooibos initial weight'!$A$5:$A$1749,0)),"")</f>
        <v>2.169</v>
      </c>
      <c r="K126">
        <f>IFERROR(INDEX('Green_rooibos initial weight'!$C$5:$C$1749,MATCH(I126, 'Green_rooibos initial weight'!$A$5:$A$1749,0)),"")</f>
        <v>2.1930000000000001</v>
      </c>
      <c r="L126" s="195">
        <f t="shared" si="4"/>
        <v>1.9192</v>
      </c>
      <c r="M126" s="195">
        <f>AVERAGE(Ashed_controlls!$K$2:$K$11)</f>
        <v>5.5147656768714146</v>
      </c>
      <c r="N126" s="195">
        <f t="shared" si="0"/>
        <v>1.8133606171294838</v>
      </c>
      <c r="O126" s="195">
        <f t="shared" si="5"/>
        <v>1.9432</v>
      </c>
      <c r="P126" s="195">
        <f>AVERAGE(Ashed_controlls!$K$12:$K$14)</f>
        <v>2.2816647271287041</v>
      </c>
      <c r="Q126" s="195">
        <f t="shared" si="6"/>
        <v>1.8988626910224351</v>
      </c>
      <c r="R126" s="16">
        <f>IF('WetLitterbags placem_collection'!G53="N.A","",'WetLitterbags placem_collection'!G53)</f>
        <v>42820</v>
      </c>
      <c r="S126" s="195">
        <f>IF(IFERROR(INDEX('Both teabags AfterWet'!$C$3:$C$841,MATCH(H126,'Both teabags AfterWet'!$A$3:$A$841,0)),"")="N.A","",(IFERROR(INDEX('Both teabags AfterWet'!$C$3:$C$841,MATCH(H126,'Both teabags AfterWet'!$A$3:$A$841,0)),"")))</f>
        <v>0.86399999999999999</v>
      </c>
      <c r="T126" s="195">
        <f>IFERROR(INDEX('Both teabags AfterWet'!$C$3:$C$841,MATCH(I126,'Both teabags AfterWet'!$A$3:$A$841,0)),"")</f>
        <v>1.599</v>
      </c>
      <c r="U126" s="195">
        <f t="shared" si="7"/>
        <v>0.71340000000000003</v>
      </c>
      <c r="V126" s="195">
        <f t="shared" si="7"/>
        <v>1.4483999999999999</v>
      </c>
      <c r="W126" s="195">
        <f>IFERROR(INDEX('Ashed teabags wet'!$K$2:$K$821,MATCH(H126,'Ashed teabags wet'!$A$2:$A$821,0)),"")</f>
        <v>8.9955022488745993</v>
      </c>
      <c r="X126" s="195">
        <f>IFERROR(INDEX('Ashed teabags wet'!$K$2:$K$821,MATCH(I126,'Ashed teabags wet'!$A$2:$A$821,0)),"")</f>
        <v>6.0009601536244919</v>
      </c>
      <c r="Y126" s="195">
        <f t="shared" si="1"/>
        <v>0.64922608695652861</v>
      </c>
      <c r="Z126" s="195">
        <f t="shared" si="1"/>
        <v>1.3614820931349028</v>
      </c>
      <c r="AA126" s="195">
        <f t="shared" si="8"/>
        <v>0.64197629482863627</v>
      </c>
      <c r="AB126" s="195">
        <f t="shared" si="9"/>
        <v>0.42086806976889218</v>
      </c>
      <c r="AC126" s="195">
        <f t="shared" si="2"/>
        <v>0.71699870642137797</v>
      </c>
      <c r="AD126">
        <f t="shared" si="3"/>
        <v>54</v>
      </c>
      <c r="AE126" s="195">
        <f t="shared" si="10"/>
        <v>0.23755784462157215</v>
      </c>
      <c r="AF126" s="195">
        <f t="shared" si="11"/>
        <v>2.0667251521434116E-2</v>
      </c>
      <c r="AG126" s="255" t="str">
        <f>IF(ISNUMBER(SEARCH("C",'WetLitterbags placem_collection'!AD53)),"YES","NO")</f>
        <v>NO</v>
      </c>
      <c r="AH126" s="255" t="str">
        <f>IF(ISNUMBER(SEARCH("H", 'WetLitterbags placem_collection'!AD53)),"YES","NO")</f>
        <v>NO</v>
      </c>
      <c r="AI126" s="255" t="str">
        <f>IF(ISNUMBER(SEARCH("R", 'WetLitterbags placem_collection'!AD53)),"YES","NO")</f>
        <v>NO</v>
      </c>
      <c r="AJ126" s="255" t="str">
        <f>IF(ISNUMBER(SEARCH("C", 'WetLitterbags placem_collection'!AC53)),"YES","NO")</f>
        <v>NO</v>
      </c>
      <c r="AK126" s="255" t="str">
        <f>IF(ISNUMBER(SEARCH("H", 'WetLitterbags placem_collection'!AC53)),"YES","NO")</f>
        <v>NO</v>
      </c>
      <c r="AL126" s="255" t="str">
        <f>IF(ISNUMBER(SEARCH("R", 'WetLitterbags placem_collection'!AC53)),"YES","NO")</f>
        <v>NO</v>
      </c>
    </row>
    <row r="127" spans="2:38">
      <c r="B127" t="str">
        <f>'Final data_for_R_analysis_Wetse'!A53</f>
        <v>Wet</v>
      </c>
      <c r="C127" s="263">
        <f>'Final data_for_R_analysis_Wetse'!B53</f>
        <v>52</v>
      </c>
      <c r="D127" t="s">
        <v>3834</v>
      </c>
      <c r="E127" t="s">
        <v>22</v>
      </c>
      <c r="F127" s="387">
        <v>4</v>
      </c>
      <c r="G127" s="16">
        <f>'WetLitterbags placem_collection'!E54</f>
        <v>42766</v>
      </c>
      <c r="H127" t="str">
        <f>'Final data_for_R_analysis_Wetse'!J53</f>
        <v>G638</v>
      </c>
      <c r="I127" t="str">
        <f>'Final data_for_R_analysis_Wetse'!J273</f>
        <v>R513</v>
      </c>
      <c r="J127">
        <f>IFERROR(INDEX('Green_rooibos initial weight'!$C$5:$C$1749,MATCH(H127, 'Green_rooibos initial weight'!$A$5:$A$1749,0)),"")</f>
        <v>2.0409999999999999</v>
      </c>
      <c r="K127">
        <f>IFERROR(INDEX('Green_rooibos initial weight'!$C$5:$C$1749,MATCH(I127, 'Green_rooibos initial weight'!$A$5:$A$1749,0)),"")</f>
        <v>2.1389999999999998</v>
      </c>
      <c r="L127" s="195">
        <f t="shared" si="4"/>
        <v>1.7911999999999999</v>
      </c>
      <c r="M127" s="195">
        <f>AVERAGE(Ashed_controlls!$K$2:$K$11)</f>
        <v>5.5147656768714146</v>
      </c>
      <c r="N127" s="195">
        <f t="shared" si="0"/>
        <v>1.6924195171958791</v>
      </c>
      <c r="O127" s="195">
        <f t="shared" si="5"/>
        <v>1.8891999999999998</v>
      </c>
      <c r="P127" s="195">
        <f>AVERAGE(Ashed_controlls!$K$12:$K$14)</f>
        <v>2.2816647271287041</v>
      </c>
      <c r="Q127" s="195">
        <f t="shared" si="6"/>
        <v>1.8460947899750844</v>
      </c>
      <c r="R127" s="16">
        <f>IF('WetLitterbags placem_collection'!G54="N.A","",'WetLitterbags placem_collection'!G54)</f>
        <v>42820</v>
      </c>
      <c r="S127" s="195">
        <f>IF(IFERROR(INDEX('Both teabags AfterWet'!$C$3:$C$841,MATCH(H127,'Both teabags AfterWet'!$A$3:$A$841,0)),"")="N.A","",(IFERROR(INDEX('Both teabags AfterWet'!$C$3:$C$841,MATCH(H127,'Both teabags AfterWet'!$A$3:$A$841,0)),"")))</f>
        <v>1.075</v>
      </c>
      <c r="T127" s="195">
        <f>IFERROR(INDEX('Both teabags AfterWet'!$C$3:$C$841,MATCH(I127,'Both teabags AfterWet'!$A$3:$A$841,0)),"")</f>
        <v>1.6279999999999999</v>
      </c>
      <c r="U127" s="195">
        <f t="shared" si="7"/>
        <v>0.92439999999999989</v>
      </c>
      <c r="V127" s="195">
        <f t="shared" si="7"/>
        <v>1.4773999999999998</v>
      </c>
      <c r="W127" s="195">
        <f>IFERROR(INDEX('Ashed teabags wet'!$K$2:$K$821,MATCH(H127,'Ashed teabags wet'!$A$2:$A$821,0)),"")</f>
        <v>30.654761904762275</v>
      </c>
      <c r="X127" s="195">
        <f>IFERROR(INDEX('Ashed teabags wet'!$K$2:$K$821,MATCH(I127,'Ashed teabags wet'!$A$2:$A$821,0)),"")</f>
        <v>11.073500967118232</v>
      </c>
      <c r="Y127" s="195">
        <f t="shared" si="1"/>
        <v>0.64102738095237743</v>
      </c>
      <c r="Z127" s="195">
        <f t="shared" si="1"/>
        <v>1.3138000967117951</v>
      </c>
      <c r="AA127" s="195">
        <f t="shared" si="8"/>
        <v>0.62123612116310434</v>
      </c>
      <c r="AB127" s="195">
        <f t="shared" si="9"/>
        <v>0.40727118632070503</v>
      </c>
      <c r="AC127" s="195">
        <f t="shared" si="2"/>
        <v>0.71166448431909968</v>
      </c>
      <c r="AD127">
        <f t="shared" si="3"/>
        <v>54</v>
      </c>
      <c r="AE127" s="195">
        <f t="shared" si="10"/>
        <v>0.26218987985379527</v>
      </c>
      <c r="AF127" s="195">
        <f t="shared" si="11"/>
        <v>2.2794379720940658E-2</v>
      </c>
      <c r="AG127" s="255" t="str">
        <f>IF(ISNUMBER(SEARCH("C",'WetLitterbags placem_collection'!AD54)),"YES","NO")</f>
        <v>NO</v>
      </c>
      <c r="AH127" s="255" t="str">
        <f>IF(ISNUMBER(SEARCH("H", 'WetLitterbags placem_collection'!AD54)),"YES","NO")</f>
        <v>YES</v>
      </c>
      <c r="AI127" s="255" t="str">
        <f>IF(ISNUMBER(SEARCH("R", 'WetLitterbags placem_collection'!AD54)),"YES","NO")</f>
        <v>YES</v>
      </c>
      <c r="AJ127" s="255" t="str">
        <f>IF(ISNUMBER(SEARCH("C", 'WetLitterbags placem_collection'!AC54)),"YES","NO")</f>
        <v>NO</v>
      </c>
      <c r="AK127" s="255" t="str">
        <f>IF(ISNUMBER(SEARCH("H", 'WetLitterbags placem_collection'!AC54)),"YES","NO")</f>
        <v>NO</v>
      </c>
      <c r="AL127" s="255" t="str">
        <f>IF(ISNUMBER(SEARCH("R", 'WetLitterbags placem_collection'!AC54)),"YES","NO")</f>
        <v>NO</v>
      </c>
    </row>
    <row r="128" spans="2:38">
      <c r="B128" t="str">
        <f>'Final data_for_R_analysis_Wetse'!A54</f>
        <v>Wet</v>
      </c>
      <c r="C128" s="263">
        <f>'Final data_for_R_analysis_Wetse'!B54</f>
        <v>53</v>
      </c>
      <c r="D128" t="s">
        <v>3834</v>
      </c>
      <c r="E128" t="s">
        <v>22</v>
      </c>
      <c r="F128" s="387">
        <v>5</v>
      </c>
      <c r="G128" s="16">
        <f>'WetLitterbags placem_collection'!E55</f>
        <v>42766</v>
      </c>
      <c r="H128" t="str">
        <f>'Final data_for_R_analysis_Wetse'!J54</f>
        <v>G426</v>
      </c>
      <c r="I128" t="str">
        <f>'Final data_for_R_analysis_Wetse'!J274</f>
        <v>R399</v>
      </c>
      <c r="J128">
        <f>IFERROR(INDEX('Green_rooibos initial weight'!$C$5:$C$1749,MATCH(H128, 'Green_rooibos initial weight'!$A$5:$A$1749,0)),"")</f>
        <v>2.0230000000000001</v>
      </c>
      <c r="K128">
        <f>IFERROR(INDEX('Green_rooibos initial weight'!$C$5:$C$1749,MATCH(I128, 'Green_rooibos initial weight'!$A$5:$A$1749,0)),"")</f>
        <v>2.1389999999999998</v>
      </c>
      <c r="L128" s="195">
        <f t="shared" si="4"/>
        <v>1.7732000000000001</v>
      </c>
      <c r="M128" s="195">
        <f>AVERAGE(Ashed_controlls!$K$2:$K$11)</f>
        <v>5.5147656768714146</v>
      </c>
      <c r="N128" s="195">
        <f t="shared" si="0"/>
        <v>1.6754121750177162</v>
      </c>
      <c r="O128" s="195">
        <f t="shared" si="5"/>
        <v>1.8891999999999998</v>
      </c>
      <c r="P128" s="195">
        <f>AVERAGE(Ashed_controlls!$K$12:$K$14)</f>
        <v>2.2816647271287041</v>
      </c>
      <c r="Q128" s="195">
        <f t="shared" si="6"/>
        <v>1.8460947899750844</v>
      </c>
      <c r="R128" s="16">
        <f>IF('WetLitterbags placem_collection'!G55="N.A","",'WetLitterbags placem_collection'!G55)</f>
        <v>42820</v>
      </c>
      <c r="S128" s="195" t="str">
        <f>IF(IFERROR(INDEX('Both teabags AfterWet'!$C$3:$C$841,MATCH(H128,'Both teabags AfterWet'!$A$3:$A$841,0)),"")="N.A","",(IFERROR(INDEX('Both teabags AfterWet'!$C$3:$C$841,MATCH(H128,'Both teabags AfterWet'!$A$3:$A$841,0)),"")))</f>
        <v/>
      </c>
      <c r="T128" s="195" t="str">
        <f>IFERROR(INDEX('Both teabags AfterWet'!$C$3:$C$841,MATCH(I128,'Both teabags AfterWet'!$A$3:$A$841,0)),"")</f>
        <v/>
      </c>
      <c r="U128" s="195" t="str">
        <f t="shared" si="7"/>
        <v/>
      </c>
      <c r="V128" s="195" t="str">
        <f t="shared" si="7"/>
        <v/>
      </c>
      <c r="W128" s="195" t="str">
        <f>IFERROR(INDEX('Ashed teabags wet'!$K$2:$K$821,MATCH(H128,'Ashed teabags wet'!$A$2:$A$821,0)),"")</f>
        <v/>
      </c>
      <c r="X128" s="195" t="str">
        <f>IFERROR(INDEX('Ashed teabags wet'!$K$2:$K$821,MATCH(I128,'Ashed teabags wet'!$A$2:$A$821,0)),"")</f>
        <v/>
      </c>
      <c r="Y128" s="195" t="str">
        <f t="shared" si="1"/>
        <v/>
      </c>
      <c r="Z128" s="195" t="str">
        <f t="shared" si="1"/>
        <v/>
      </c>
      <c r="AA128" s="195" t="str">
        <f t="shared" si="8"/>
        <v/>
      </c>
      <c r="AB128" s="195" t="str">
        <f t="shared" si="9"/>
        <v/>
      </c>
      <c r="AC128" s="195" t="str">
        <f t="shared" si="2"/>
        <v/>
      </c>
      <c r="AD128">
        <f t="shared" si="3"/>
        <v>54</v>
      </c>
      <c r="AE128" s="195" t="str">
        <f t="shared" si="10"/>
        <v/>
      </c>
      <c r="AF128" s="195" t="str">
        <f t="shared" si="11"/>
        <v/>
      </c>
      <c r="AG128" s="255" t="str">
        <f>IF(ISNUMBER(SEARCH("C",'WetLitterbags placem_collection'!AD55)),"YES","NO")</f>
        <v>NO</v>
      </c>
      <c r="AH128" s="255" t="str">
        <f>IF(ISNUMBER(SEARCH("H", 'WetLitterbags placem_collection'!AD55)),"YES","NO")</f>
        <v>NO</v>
      </c>
      <c r="AI128" s="255" t="str">
        <f>IF(ISNUMBER(SEARCH("R", 'WetLitterbags placem_collection'!AD55)),"YES","NO")</f>
        <v>NO</v>
      </c>
      <c r="AJ128" s="255" t="str">
        <f>IF(ISNUMBER(SEARCH("C", 'WetLitterbags placem_collection'!AC55)),"YES","NO")</f>
        <v>NO</v>
      </c>
      <c r="AK128" s="255" t="str">
        <f>IF(ISNUMBER(SEARCH("H", 'WetLitterbags placem_collection'!AC55)),"YES","NO")</f>
        <v>NO</v>
      </c>
      <c r="AL128" s="255" t="str">
        <f>IF(ISNUMBER(SEARCH("R", 'WetLitterbags placem_collection'!AC55)),"YES","NO")</f>
        <v>NO</v>
      </c>
    </row>
    <row r="129" spans="2:38">
      <c r="B129" t="str">
        <f>'Final data_for_R_analysis_Wetse'!A55</f>
        <v>Wet</v>
      </c>
      <c r="C129" s="263">
        <f>'Final data_for_R_analysis_Wetse'!B55</f>
        <v>54</v>
      </c>
      <c r="D129" t="s">
        <v>3834</v>
      </c>
      <c r="E129" t="s">
        <v>22</v>
      </c>
      <c r="F129" s="387">
        <v>6</v>
      </c>
      <c r="G129" s="16">
        <f>'WetLitterbags placem_collection'!E56</f>
        <v>42766</v>
      </c>
      <c r="H129" t="str">
        <f>'Final data_for_R_analysis_Wetse'!J55</f>
        <v>G589</v>
      </c>
      <c r="I129" t="str">
        <f>'Final data_for_R_analysis_Wetse'!J275</f>
        <v>R400</v>
      </c>
      <c r="J129">
        <f>IFERROR(INDEX('Green_rooibos initial weight'!$C$5:$C$1749,MATCH(H129, 'Green_rooibos initial weight'!$A$5:$A$1749,0)),"")</f>
        <v>2.0419999999999998</v>
      </c>
      <c r="K129">
        <f>IFERROR(INDEX('Green_rooibos initial weight'!$C$5:$C$1749,MATCH(I129, 'Green_rooibos initial weight'!$A$5:$A$1749,0)),"")</f>
        <v>2.181</v>
      </c>
      <c r="L129" s="195">
        <f t="shared" si="4"/>
        <v>1.7921999999999998</v>
      </c>
      <c r="M129" s="195">
        <f>AVERAGE(Ashed_controlls!$K$2:$K$11)</f>
        <v>5.5147656768714146</v>
      </c>
      <c r="N129" s="195">
        <f t="shared" si="0"/>
        <v>1.6933643695391103</v>
      </c>
      <c r="O129" s="195">
        <f t="shared" si="5"/>
        <v>1.9312</v>
      </c>
      <c r="P129" s="195">
        <f>AVERAGE(Ashed_controlls!$K$12:$K$14)</f>
        <v>2.2816647271287041</v>
      </c>
      <c r="Q129" s="195">
        <f t="shared" si="6"/>
        <v>1.8871364907896906</v>
      </c>
      <c r="R129" s="16">
        <f>IF('WetLitterbags placem_collection'!G56="N.A","",'WetLitterbags placem_collection'!G56)</f>
        <v>42820</v>
      </c>
      <c r="S129" s="195" t="str">
        <f>IF(IFERROR(INDEX('Both teabags AfterWet'!$C$3:$C$841,MATCH(H129,'Both teabags AfterWet'!$A$3:$A$841,0)),"")="N.A","",(IFERROR(INDEX('Both teabags AfterWet'!$C$3:$C$841,MATCH(H129,'Both teabags AfterWet'!$A$3:$A$841,0)),"")))</f>
        <v/>
      </c>
      <c r="T129" s="195" t="str">
        <f>IFERROR(INDEX('Both teabags AfterWet'!$C$3:$C$841,MATCH(I129,'Both teabags AfterWet'!$A$3:$A$841,0)),"")</f>
        <v/>
      </c>
      <c r="U129" s="195" t="str">
        <f t="shared" si="7"/>
        <v/>
      </c>
      <c r="V129" s="195" t="str">
        <f t="shared" si="7"/>
        <v/>
      </c>
      <c r="W129" s="195" t="str">
        <f>IFERROR(INDEX('Ashed teabags wet'!$K$2:$K$821,MATCH(H129,'Ashed teabags wet'!$A$2:$A$821,0)),"")</f>
        <v/>
      </c>
      <c r="X129" s="195" t="str">
        <f>IFERROR(INDEX('Ashed teabags wet'!$K$2:$K$821,MATCH(I129,'Ashed teabags wet'!$A$2:$A$821,0)),"")</f>
        <v/>
      </c>
      <c r="Y129" s="195" t="str">
        <f t="shared" si="1"/>
        <v/>
      </c>
      <c r="Z129" s="195" t="str">
        <f t="shared" si="1"/>
        <v/>
      </c>
      <c r="AA129" s="195" t="str">
        <f t="shared" si="8"/>
        <v/>
      </c>
      <c r="AB129" s="195" t="str">
        <f t="shared" si="9"/>
        <v/>
      </c>
      <c r="AC129" s="195" t="str">
        <f t="shared" si="2"/>
        <v/>
      </c>
      <c r="AD129">
        <f t="shared" si="3"/>
        <v>54</v>
      </c>
      <c r="AE129" s="195" t="str">
        <f t="shared" si="10"/>
        <v/>
      </c>
      <c r="AF129" s="195" t="str">
        <f t="shared" si="11"/>
        <v/>
      </c>
      <c r="AG129" s="255" t="str">
        <f>IF(ISNUMBER(SEARCH("C",'WetLitterbags placem_collection'!AD56)),"YES","NO")</f>
        <v>NO</v>
      </c>
      <c r="AH129" s="255" t="str">
        <f>IF(ISNUMBER(SEARCH("H", 'WetLitterbags placem_collection'!AD56)),"YES","NO")</f>
        <v>NO</v>
      </c>
      <c r="AI129" s="255" t="str">
        <f>IF(ISNUMBER(SEARCH("R", 'WetLitterbags placem_collection'!AD56)),"YES","NO")</f>
        <v>NO</v>
      </c>
      <c r="AJ129" s="255" t="str">
        <f>IF(ISNUMBER(SEARCH("C", 'WetLitterbags placem_collection'!AC56)),"YES","NO")</f>
        <v>NO</v>
      </c>
      <c r="AK129" s="255" t="str">
        <f>IF(ISNUMBER(SEARCH("H", 'WetLitterbags placem_collection'!AC56)),"YES","NO")</f>
        <v>NO</v>
      </c>
      <c r="AL129" s="255" t="str">
        <f>IF(ISNUMBER(SEARCH("R", 'WetLitterbags placem_collection'!AC56)),"YES","NO")</f>
        <v>NO</v>
      </c>
    </row>
    <row r="130" spans="2:38">
      <c r="B130" t="str">
        <f>'Final data_for_R_analysis_Wetse'!A56</f>
        <v>Wet</v>
      </c>
      <c r="C130" s="263">
        <f>'Final data_for_R_analysis_Wetse'!B56</f>
        <v>55</v>
      </c>
      <c r="D130" t="s">
        <v>3834</v>
      </c>
      <c r="E130" t="s">
        <v>22</v>
      </c>
      <c r="F130" s="387">
        <v>7</v>
      </c>
      <c r="G130" s="16">
        <f>'WetLitterbags placem_collection'!E57</f>
        <v>42766</v>
      </c>
      <c r="H130" t="str">
        <f>'Final data_for_R_analysis_Wetse'!J56</f>
        <v>G622</v>
      </c>
      <c r="I130" t="str">
        <f>'Final data_for_R_analysis_Wetse'!J276</f>
        <v>R19</v>
      </c>
      <c r="J130">
        <f>IFERROR(INDEX('Green_rooibos initial weight'!$C$5:$C$1749,MATCH(H130, 'Green_rooibos initial weight'!$A$5:$A$1749,0)),"")</f>
        <v>1.978</v>
      </c>
      <c r="K130">
        <f>IFERROR(INDEX('Green_rooibos initial weight'!$C$5:$C$1749,MATCH(I130, 'Green_rooibos initial weight'!$A$5:$A$1749,0)),"")</f>
        <v>2.2589999999999999</v>
      </c>
      <c r="L130" s="195">
        <f t="shared" si="4"/>
        <v>1.7282</v>
      </c>
      <c r="M130" s="195">
        <f>AVERAGE(Ashed_controlls!$K$2:$K$11)</f>
        <v>5.5147656768714146</v>
      </c>
      <c r="N130" s="195">
        <f t="shared" si="0"/>
        <v>1.6328938195723082</v>
      </c>
      <c r="O130" s="195">
        <f t="shared" si="5"/>
        <v>2.0091999999999999</v>
      </c>
      <c r="P130" s="195">
        <f>AVERAGE(Ashed_controlls!$K$12:$K$14)</f>
        <v>2.2816647271287041</v>
      </c>
      <c r="Q130" s="195">
        <f t="shared" si="6"/>
        <v>1.9633567923025299</v>
      </c>
      <c r="R130" s="16">
        <f>IF('WetLitterbags placem_collection'!G57="N.A","",'WetLitterbags placem_collection'!G57)</f>
        <v>42820</v>
      </c>
      <c r="S130" s="195" t="str">
        <f>IF(IFERROR(INDEX('Both teabags AfterWet'!$C$3:$C$841,MATCH(H130,'Both teabags AfterWet'!$A$3:$A$841,0)),"")="N.A","",(IFERROR(INDEX('Both teabags AfterWet'!$C$3:$C$841,MATCH(H130,'Both teabags AfterWet'!$A$3:$A$841,0)),"")))</f>
        <v/>
      </c>
      <c r="T130" s="195">
        <f>IFERROR(INDEX('Both teabags AfterWet'!$C$3:$C$841,MATCH(I130,'Both teabags AfterWet'!$A$3:$A$841,0)),"")</f>
        <v>0.22600000000000001</v>
      </c>
      <c r="U130" s="195" t="str">
        <f t="shared" si="7"/>
        <v/>
      </c>
      <c r="V130" s="195">
        <f t="shared" si="7"/>
        <v>7.5399999999999995E-2</v>
      </c>
      <c r="W130" s="195" t="str">
        <f>IFERROR(INDEX('Ashed teabags wet'!$K$2:$K$821,MATCH(H130,'Ashed teabags wet'!$A$2:$A$821,0)),"")</f>
        <v/>
      </c>
      <c r="X130" s="195" t="str">
        <f>IFERROR(INDEX('Ashed teabags wet'!$K$2:$K$821,MATCH(I130,'Ashed teabags wet'!$A$2:$A$821,0)),"")</f>
        <v/>
      </c>
      <c r="Y130" s="195" t="str">
        <f t="shared" si="1"/>
        <v/>
      </c>
      <c r="Z130" s="195" t="str">
        <f t="shared" si="1"/>
        <v/>
      </c>
      <c r="AA130" s="195" t="str">
        <f t="shared" si="8"/>
        <v/>
      </c>
      <c r="AB130" s="195" t="str">
        <f t="shared" si="9"/>
        <v/>
      </c>
      <c r="AC130" s="195" t="str">
        <f t="shared" si="2"/>
        <v/>
      </c>
      <c r="AD130">
        <f t="shared" si="3"/>
        <v>54</v>
      </c>
      <c r="AE130" s="195" t="str">
        <f t="shared" si="10"/>
        <v/>
      </c>
      <c r="AF130" s="195" t="str">
        <f t="shared" si="11"/>
        <v/>
      </c>
      <c r="AG130" s="255" t="str">
        <f>IF(ISNUMBER(SEARCH("C",'WetLitterbags placem_collection'!AD57)),"YES","NO")</f>
        <v>NO</v>
      </c>
      <c r="AH130" s="255" t="str">
        <f>IF(ISNUMBER(SEARCH("H", 'WetLitterbags placem_collection'!AD57)),"YES","NO")</f>
        <v>NO</v>
      </c>
      <c r="AI130" s="255" t="str">
        <f>IF(ISNUMBER(SEARCH("R", 'WetLitterbags placem_collection'!AD57)),"YES","NO")</f>
        <v>NO</v>
      </c>
      <c r="AJ130" s="255" t="str">
        <f>IF(ISNUMBER(SEARCH("C", 'WetLitterbags placem_collection'!AC57)),"YES","NO")</f>
        <v>NO</v>
      </c>
      <c r="AK130" s="255" t="str">
        <f>IF(ISNUMBER(SEARCH("H", 'WetLitterbags placem_collection'!AC57)),"YES","NO")</f>
        <v>NO</v>
      </c>
      <c r="AL130" s="255" t="str">
        <f>IF(ISNUMBER(SEARCH("R", 'WetLitterbags placem_collection'!AC57)),"YES","NO")</f>
        <v>NO</v>
      </c>
    </row>
    <row r="131" spans="2:38">
      <c r="B131" t="str">
        <f>'Final data_for_R_analysis_Wetse'!A57</f>
        <v>Wet</v>
      </c>
      <c r="C131" s="263">
        <f>'Final data_for_R_analysis_Wetse'!B57</f>
        <v>56</v>
      </c>
      <c r="D131" t="s">
        <v>3834</v>
      </c>
      <c r="E131" t="s">
        <v>22</v>
      </c>
      <c r="F131" s="387">
        <v>8</v>
      </c>
      <c r="G131" s="16">
        <f>'WetLitterbags placem_collection'!E58</f>
        <v>42766</v>
      </c>
      <c r="H131" t="str">
        <f>'Final data_for_R_analysis_Wetse'!J57</f>
        <v>G538</v>
      </c>
      <c r="I131" t="str">
        <f>'Final data_for_R_analysis_Wetse'!J277</f>
        <v>R60</v>
      </c>
      <c r="J131">
        <f>IFERROR(INDEX('Green_rooibos initial weight'!$C$5:$C$1749,MATCH(H131, 'Green_rooibos initial weight'!$A$5:$A$1749,0)),"")</f>
        <v>2.1760000000000002</v>
      </c>
      <c r="K131">
        <f>IFERROR(INDEX('Green_rooibos initial weight'!$C$5:$C$1749,MATCH(I131, 'Green_rooibos initial weight'!$A$5:$A$1749,0)),"")</f>
        <v>2.3220000000000001</v>
      </c>
      <c r="L131" s="195">
        <f t="shared" si="4"/>
        <v>1.9262000000000001</v>
      </c>
      <c r="M131" s="195">
        <f>AVERAGE(Ashed_controlls!$K$2:$K$11)</f>
        <v>5.5147656768714146</v>
      </c>
      <c r="N131" s="195">
        <f t="shared" si="0"/>
        <v>1.8199745835321028</v>
      </c>
      <c r="O131" s="195">
        <f t="shared" si="5"/>
        <v>2.0722</v>
      </c>
      <c r="P131" s="195">
        <f>AVERAGE(Ashed_controlls!$K$12:$K$14)</f>
        <v>2.2816647271287041</v>
      </c>
      <c r="Q131" s="195">
        <f t="shared" si="6"/>
        <v>2.0249193435244393</v>
      </c>
      <c r="R131" s="16">
        <f>IF('WetLitterbags placem_collection'!G58="N.A","",'WetLitterbags placem_collection'!G58)</f>
        <v>42820</v>
      </c>
      <c r="S131" s="195">
        <f>IF(IFERROR(INDEX('Both teabags AfterWet'!$C$3:$C$841,MATCH(H131,'Both teabags AfterWet'!$A$3:$A$841,0)),"")="N.A","",(IFERROR(INDEX('Both teabags AfterWet'!$C$3:$C$841,MATCH(H131,'Both teabags AfterWet'!$A$3:$A$841,0)),"")))</f>
        <v>0.81</v>
      </c>
      <c r="T131" s="195">
        <f>IFERROR(INDEX('Both teabags AfterWet'!$C$3:$C$841,MATCH(I131,'Both teabags AfterWet'!$A$3:$A$841,0)),"")</f>
        <v>2.2909999999999999</v>
      </c>
      <c r="U131" s="195">
        <f t="shared" si="7"/>
        <v>0.65939999999999999</v>
      </c>
      <c r="V131" s="195">
        <f t="shared" si="7"/>
        <v>2.1404000000000001</v>
      </c>
      <c r="W131" s="195">
        <f>IFERROR(INDEX('Ashed teabags wet'!$K$2:$K$821,MATCH(H131,'Ashed teabags wet'!$A$2:$A$821,0)),"")</f>
        <v>21.852387843704392</v>
      </c>
      <c r="X131" s="195">
        <f>IFERROR(INDEX('Ashed teabags wet'!$K$2:$K$821,MATCH(I131,'Ashed teabags wet'!$A$2:$A$821,0)),"")</f>
        <v>90.284005979073754</v>
      </c>
      <c r="Y131" s="195">
        <f t="shared" si="1"/>
        <v>0.51530535455861326</v>
      </c>
      <c r="Z131" s="195">
        <f t="shared" si="1"/>
        <v>0.20796113602390531</v>
      </c>
      <c r="AA131" s="195">
        <f t="shared" si="8"/>
        <v>0.71686123574399696</v>
      </c>
      <c r="AB131" s="195">
        <f t="shared" si="9"/>
        <v>0.46996128519083891</v>
      </c>
      <c r="AC131" s="195">
        <f t="shared" si="2"/>
        <v>0.10270094791130893</v>
      </c>
      <c r="AD131">
        <f t="shared" si="3"/>
        <v>54</v>
      </c>
      <c r="AE131" s="195">
        <f t="shared" si="10"/>
        <v>0.14862086016152376</v>
      </c>
      <c r="AF131" s="195" t="str">
        <f t="shared" si="11"/>
        <v/>
      </c>
      <c r="AG131" s="255" t="str">
        <f>IF(ISNUMBER(SEARCH("C",'WetLitterbags placem_collection'!AD58)),"YES","NO")</f>
        <v>NO</v>
      </c>
      <c r="AH131" s="255" t="str">
        <f>IF(ISNUMBER(SEARCH("H", 'WetLitterbags placem_collection'!AD58)),"YES","NO")</f>
        <v>NO</v>
      </c>
      <c r="AI131" s="255" t="str">
        <f>IF(ISNUMBER(SEARCH("R", 'WetLitterbags placem_collection'!AD58)),"YES","NO")</f>
        <v>NO</v>
      </c>
      <c r="AJ131" s="255" t="str">
        <f>IF(ISNUMBER(SEARCH("C", 'WetLitterbags placem_collection'!AC58)),"YES","NO")</f>
        <v>NO</v>
      </c>
      <c r="AK131" s="255" t="str">
        <f>IF(ISNUMBER(SEARCH("H", 'WetLitterbags placem_collection'!AC58)),"YES","NO")</f>
        <v>NO</v>
      </c>
      <c r="AL131" s="255" t="str">
        <f>IF(ISNUMBER(SEARCH("R", 'WetLitterbags placem_collection'!AC58)),"YES","NO")</f>
        <v>NO</v>
      </c>
    </row>
    <row r="132" spans="2:38">
      <c r="B132" t="str">
        <f>'Final data_for_R_analysis_Wetse'!A58</f>
        <v>Wet</v>
      </c>
      <c r="C132" s="263">
        <f>'Final data_for_R_analysis_Wetse'!B58</f>
        <v>57</v>
      </c>
      <c r="D132" t="s">
        <v>3835</v>
      </c>
      <c r="E132" t="s">
        <v>22</v>
      </c>
      <c r="F132" s="386">
        <v>1</v>
      </c>
      <c r="G132" s="16">
        <f>'WetLitterbags placem_collection'!E59</f>
        <v>42766</v>
      </c>
      <c r="H132" t="str">
        <f>'Final data_for_R_analysis_Wetse'!J58</f>
        <v>G546</v>
      </c>
      <c r="I132" t="str">
        <f>'Final data_for_R_analysis_Wetse'!J278</f>
        <v>R161</v>
      </c>
      <c r="J132">
        <f>IFERROR(INDEX('Green_rooibos initial weight'!$C$5:$C$1749,MATCH(H132, 'Green_rooibos initial weight'!$A$5:$A$1749,0)),"")</f>
        <v>2.1429999999999998</v>
      </c>
      <c r="K132">
        <f>IFERROR(INDEX('Green_rooibos initial weight'!$C$5:$C$1749,MATCH(I132, 'Green_rooibos initial weight'!$A$5:$A$1749,0)),"")</f>
        <v>2.1829999999999998</v>
      </c>
      <c r="L132" s="195">
        <f t="shared" si="4"/>
        <v>1.8931999999999998</v>
      </c>
      <c r="M132" s="195">
        <f>AVERAGE(Ashed_controlls!$K$2:$K$11)</f>
        <v>5.5147656768714146</v>
      </c>
      <c r="N132" s="195">
        <f t="shared" si="0"/>
        <v>1.7887944562054701</v>
      </c>
      <c r="O132" s="195">
        <f t="shared" si="5"/>
        <v>1.9331999999999998</v>
      </c>
      <c r="P132" s="195">
        <f>AVERAGE(Ashed_controlls!$K$12:$K$14)</f>
        <v>2.2816647271287041</v>
      </c>
      <c r="Q132" s="195">
        <f t="shared" si="6"/>
        <v>1.8890908574951477</v>
      </c>
      <c r="R132" s="16">
        <f>IF('WetLitterbags placem_collection'!G59="N.A","",'WetLitterbags placem_collection'!G59)</f>
        <v>42820</v>
      </c>
      <c r="S132" s="195">
        <f>IF(IFERROR(INDEX('Both teabags AfterWet'!$C$3:$C$841,MATCH(H132,'Both teabags AfterWet'!$A$3:$A$841,0)),"")="N.A","",(IFERROR(INDEX('Both teabags AfterWet'!$C$3:$C$841,MATCH(H132,'Both teabags AfterWet'!$A$3:$A$841,0)),"")))</f>
        <v>0.88660000000000005</v>
      </c>
      <c r="T132" s="195">
        <f>IFERROR(INDEX('Both teabags AfterWet'!$C$3:$C$841,MATCH(I132,'Both teabags AfterWet'!$A$3:$A$841,0)),"")</f>
        <v>1.266</v>
      </c>
      <c r="U132" s="195">
        <f t="shared" si="7"/>
        <v>0.73599999999999999</v>
      </c>
      <c r="V132" s="195">
        <f t="shared" si="7"/>
        <v>1.1153999999999999</v>
      </c>
      <c r="W132" s="195">
        <f>IFERROR(INDEX('Ashed teabags wet'!$K$2:$K$821,MATCH(H132,'Ashed teabags wet'!$A$2:$A$821,0)),"")</f>
        <v>16.553398058252881</v>
      </c>
      <c r="X132" s="195">
        <f>IFERROR(INDEX('Ashed teabags wet'!$K$2:$K$821,MATCH(I132,'Ashed teabags wet'!$A$2:$A$821,0)),"")</f>
        <v>9.63680387409185</v>
      </c>
      <c r="Y132" s="195">
        <f t="shared" si="1"/>
        <v>0.61416699029125876</v>
      </c>
      <c r="Z132" s="195">
        <f t="shared" si="1"/>
        <v>1.0079110895883794</v>
      </c>
      <c r="AA132" s="195">
        <f t="shared" si="8"/>
        <v>0.65665871326878023</v>
      </c>
      <c r="AB132" s="195">
        <f t="shared" si="9"/>
        <v>0.43049359824746641</v>
      </c>
      <c r="AC132" s="195">
        <f t="shared" si="2"/>
        <v>0.53354293976353562</v>
      </c>
      <c r="AD132">
        <f t="shared" si="3"/>
        <v>54</v>
      </c>
      <c r="AE132" s="195">
        <f t="shared" si="10"/>
        <v>0.22012029302995217</v>
      </c>
      <c r="AF132" s="195" t="str">
        <f t="shared" si="11"/>
        <v/>
      </c>
      <c r="AG132" s="255" t="str">
        <f>IF(ISNUMBER(SEARCH("C",'WetLitterbags placem_collection'!AD59)),"YES","NO")</f>
        <v>NO</v>
      </c>
      <c r="AH132" s="255" t="str">
        <f>IF(ISNUMBER(SEARCH("H", 'WetLitterbags placem_collection'!AD59)),"YES","NO")</f>
        <v>YES</v>
      </c>
      <c r="AI132" s="255" t="str">
        <f>IF(ISNUMBER(SEARCH("R", 'WetLitterbags placem_collection'!AD59)),"YES","NO")</f>
        <v>YES</v>
      </c>
      <c r="AJ132" s="255" t="str">
        <f>IF(ISNUMBER(SEARCH("C", 'WetLitterbags placem_collection'!AC59)),"YES","NO")</f>
        <v>NO</v>
      </c>
      <c r="AK132" s="255" t="str">
        <f>IF(ISNUMBER(SEARCH("H", 'WetLitterbags placem_collection'!AC59)),"YES","NO")</f>
        <v>NO</v>
      </c>
      <c r="AL132" s="255" t="str">
        <f>IF(ISNUMBER(SEARCH("R", 'WetLitterbags placem_collection'!AC59)),"YES","NO")</f>
        <v>NO</v>
      </c>
    </row>
    <row r="133" spans="2:38">
      <c r="B133" t="str">
        <f>'Final data_for_R_analysis_Wetse'!A59</f>
        <v>Wet</v>
      </c>
      <c r="C133" s="263">
        <f>'Final data_for_R_analysis_Wetse'!B59</f>
        <v>58</v>
      </c>
      <c r="D133" t="s">
        <v>3835</v>
      </c>
      <c r="E133" t="s">
        <v>22</v>
      </c>
      <c r="F133" s="386">
        <v>2</v>
      </c>
      <c r="G133" s="16">
        <f>'WetLitterbags placem_collection'!E60</f>
        <v>42766</v>
      </c>
      <c r="H133" t="str">
        <f>'Final data_for_R_analysis_Wetse'!J59</f>
        <v>G513</v>
      </c>
      <c r="I133" t="str">
        <f>'Final data_for_R_analysis_Wetse'!J279</f>
        <v>R48</v>
      </c>
      <c r="J133">
        <f>IFERROR(INDEX('Green_rooibos initial weight'!$C$5:$C$1749,MATCH(H133, 'Green_rooibos initial weight'!$A$5:$A$1749,0)),"")</f>
        <v>2.0179999999999998</v>
      </c>
      <c r="K133">
        <f>IFERROR(INDEX('Green_rooibos initial weight'!$C$5:$C$1749,MATCH(I133, 'Green_rooibos initial weight'!$A$5:$A$1749,0)),"")</f>
        <v>2.2149999999999999</v>
      </c>
      <c r="L133" s="195">
        <f t="shared" si="4"/>
        <v>1.7681999999999998</v>
      </c>
      <c r="M133" s="195">
        <f>AVERAGE(Ashed_controlls!$K$2:$K$11)</f>
        <v>5.5147656768714146</v>
      </c>
      <c r="N133" s="195">
        <f t="shared" si="0"/>
        <v>1.6706879133015595</v>
      </c>
      <c r="O133" s="195">
        <f t="shared" si="5"/>
        <v>1.9651999999999998</v>
      </c>
      <c r="P133" s="195">
        <f>AVERAGE(Ashed_controlls!$K$12:$K$14)</f>
        <v>2.2816647271287041</v>
      </c>
      <c r="Q133" s="195">
        <f t="shared" si="6"/>
        <v>1.9203607247824666</v>
      </c>
      <c r="R133" s="16">
        <f>IF('WetLitterbags placem_collection'!G60="N.A","",'WetLitterbags placem_collection'!G60)</f>
        <v>42820</v>
      </c>
      <c r="S133" s="195">
        <f>IF(IFERROR(INDEX('Both teabags AfterWet'!$C$3:$C$841,MATCH(H133,'Both teabags AfterWet'!$A$3:$A$841,0)),"")="N.A","",(IFERROR(INDEX('Both teabags AfterWet'!$C$3:$C$841,MATCH(H133,'Both teabags AfterWet'!$A$3:$A$841,0)),"")))</f>
        <v>0.93279999999999996</v>
      </c>
      <c r="T133" s="195">
        <f>IFERROR(INDEX('Both teabags AfterWet'!$C$3:$C$841,MATCH(I133,'Both teabags AfterWet'!$A$3:$A$841,0)),"")</f>
        <v>0.74880000000000002</v>
      </c>
      <c r="U133" s="195">
        <f t="shared" si="7"/>
        <v>0.78220000000000001</v>
      </c>
      <c r="V133" s="195">
        <f t="shared" si="7"/>
        <v>0.59820000000000007</v>
      </c>
      <c r="W133" s="195">
        <f>IFERROR(INDEX('Ashed teabags wet'!$K$2:$K$821,MATCH(H133,'Ashed teabags wet'!$A$2:$A$821,0)),"")</f>
        <v>17.757936507936094</v>
      </c>
      <c r="X133" s="195">
        <f>IFERROR(INDEX('Ashed teabags wet'!$K$2:$K$821,MATCH(I133,'Ashed teabags wet'!$A$2:$A$821,0)),"")</f>
        <v>25.956144824069355</v>
      </c>
      <c r="Y133" s="195">
        <f t="shared" si="1"/>
        <v>0.6432974206349239</v>
      </c>
      <c r="Z133" s="195">
        <f t="shared" si="1"/>
        <v>0.44293034166241718</v>
      </c>
      <c r="AA133" s="195">
        <f t="shared" si="8"/>
        <v>0.61495057484215576</v>
      </c>
      <c r="AB133" s="195">
        <f t="shared" si="9"/>
        <v>0.40315049562098582</v>
      </c>
      <c r="AC133" s="195">
        <f t="shared" si="2"/>
        <v>0.23064955242332982</v>
      </c>
      <c r="AD133">
        <f t="shared" si="3"/>
        <v>54</v>
      </c>
      <c r="AE133" s="195">
        <f t="shared" si="10"/>
        <v>0.26965489923734465</v>
      </c>
      <c r="AF133" s="195" t="str">
        <f t="shared" si="11"/>
        <v/>
      </c>
      <c r="AG133" s="255" t="str">
        <f>IF(ISNUMBER(SEARCH("C",'WetLitterbags placem_collection'!AD60)),"YES","NO")</f>
        <v>NO</v>
      </c>
      <c r="AH133" s="255" t="str">
        <f>IF(ISNUMBER(SEARCH("H", 'WetLitterbags placem_collection'!AD60)),"YES","NO")</f>
        <v>NO</v>
      </c>
      <c r="AI133" s="255" t="str">
        <f>IF(ISNUMBER(SEARCH("R", 'WetLitterbags placem_collection'!AD60)),"YES","NO")</f>
        <v>NO</v>
      </c>
      <c r="AJ133" s="255" t="str">
        <f>IF(ISNUMBER(SEARCH("C", 'WetLitterbags placem_collection'!AC60)),"YES","NO")</f>
        <v>NO</v>
      </c>
      <c r="AK133" s="255" t="str">
        <f>IF(ISNUMBER(SEARCH("H", 'WetLitterbags placem_collection'!AC60)),"YES","NO")</f>
        <v>NO</v>
      </c>
      <c r="AL133" s="255" t="str">
        <f>IF(ISNUMBER(SEARCH("R", 'WetLitterbags placem_collection'!AC60)),"YES","NO")</f>
        <v>NO</v>
      </c>
    </row>
    <row r="134" spans="2:38">
      <c r="B134" t="str">
        <f>'Final data_for_R_analysis_Wetse'!A60</f>
        <v>Wet</v>
      </c>
      <c r="C134" s="263">
        <f>'Final data_for_R_analysis_Wetse'!B60</f>
        <v>59</v>
      </c>
      <c r="D134" t="s">
        <v>3835</v>
      </c>
      <c r="E134" t="s">
        <v>22</v>
      </c>
      <c r="F134" s="386">
        <v>3</v>
      </c>
      <c r="G134" s="16">
        <f>'WetLitterbags placem_collection'!E61</f>
        <v>42766</v>
      </c>
      <c r="H134" t="str">
        <f>'Final data_for_R_analysis_Wetse'!J60</f>
        <v>G489</v>
      </c>
      <c r="I134" t="str">
        <f>'Final data_for_R_analysis_Wetse'!J280</f>
        <v>R23</v>
      </c>
      <c r="J134">
        <f>IFERROR(INDEX('Green_rooibos initial weight'!$C$5:$C$1749,MATCH(H134, 'Green_rooibos initial weight'!$A$5:$A$1749,0)),"")</f>
        <v>1.9</v>
      </c>
      <c r="K134">
        <f>IFERROR(INDEX('Green_rooibos initial weight'!$C$5:$C$1749,MATCH(I134, 'Green_rooibos initial weight'!$A$5:$A$1749,0)),"")</f>
        <v>2.2770000000000001</v>
      </c>
      <c r="L134" s="195">
        <f t="shared" si="4"/>
        <v>1.6501999999999999</v>
      </c>
      <c r="M134" s="195">
        <f>AVERAGE(Ashed_controlls!$K$2:$K$11)</f>
        <v>5.5147656768714146</v>
      </c>
      <c r="N134" s="195">
        <f t="shared" si="0"/>
        <v>1.5591953368002678</v>
      </c>
      <c r="O134" s="195">
        <f t="shared" si="5"/>
        <v>2.0272000000000001</v>
      </c>
      <c r="P134" s="195">
        <f>AVERAGE(Ashed_controlls!$K$12:$K$14)</f>
        <v>2.2816647271287041</v>
      </c>
      <c r="Q134" s="195">
        <f t="shared" si="6"/>
        <v>1.9809460926516471</v>
      </c>
      <c r="R134" s="16">
        <f>IF('WetLitterbags placem_collection'!G61="N.A","",'WetLitterbags placem_collection'!G61)</f>
        <v>42820</v>
      </c>
      <c r="S134" s="195">
        <f>IF(IFERROR(INDEX('Both teabags AfterWet'!$C$3:$C$841,MATCH(H134,'Both teabags AfterWet'!$A$3:$A$841,0)),"")="N.A","",(IFERROR(INDEX('Both teabags AfterWet'!$C$3:$C$841,MATCH(H134,'Both teabags AfterWet'!$A$3:$A$841,0)),"")))</f>
        <v>0.88400000000000001</v>
      </c>
      <c r="T134" s="195">
        <f>IFERROR(INDEX('Both teabags AfterWet'!$C$3:$C$841,MATCH(I134,'Both teabags AfterWet'!$A$3:$A$841,0)),"")</f>
        <v>1.38</v>
      </c>
      <c r="U134" s="195">
        <f t="shared" si="7"/>
        <v>0.73340000000000005</v>
      </c>
      <c r="V134" s="195">
        <f t="shared" si="7"/>
        <v>1.2293999999999998</v>
      </c>
      <c r="W134" s="195">
        <f>IFERROR(INDEX('Ashed teabags wet'!$K$2:$K$821,MATCH(H134,'Ashed teabags wet'!$A$2:$A$821,0)),"")</f>
        <v>11.144278606964582</v>
      </c>
      <c r="X134" s="195">
        <f>IFERROR(INDEX('Ashed teabags wet'!$K$2:$K$821,MATCH(I134,'Ashed teabags wet'!$A$2:$A$821,0)),"")</f>
        <v>6.2753036437244685</v>
      </c>
      <c r="Y134" s="195">
        <f t="shared" si="1"/>
        <v>0.65166786069652183</v>
      </c>
      <c r="Z134" s="195">
        <f t="shared" si="1"/>
        <v>1.1522514170040512</v>
      </c>
      <c r="AA134" s="195">
        <f t="shared" si="8"/>
        <v>0.58204860846117312</v>
      </c>
      <c r="AB134" s="195">
        <f t="shared" si="9"/>
        <v>0.38158056041635108</v>
      </c>
      <c r="AC134" s="195">
        <f t="shared" si="2"/>
        <v>0.58166722521039171</v>
      </c>
      <c r="AD134">
        <f t="shared" si="3"/>
        <v>54</v>
      </c>
      <c r="AE134" s="195">
        <f t="shared" si="10"/>
        <v>0.30873086881095824</v>
      </c>
      <c r="AF134" s="195" t="str">
        <f t="shared" si="11"/>
        <v/>
      </c>
      <c r="AG134" s="255" t="str">
        <f>IF(ISNUMBER(SEARCH("C",'WetLitterbags placem_collection'!AD61)),"YES","NO")</f>
        <v>NO</v>
      </c>
      <c r="AH134" s="255" t="str">
        <f>IF(ISNUMBER(SEARCH("H", 'WetLitterbags placem_collection'!AD61)),"YES","NO")</f>
        <v>NO</v>
      </c>
      <c r="AI134" s="255" t="str">
        <f>IF(ISNUMBER(SEARCH("R", 'WetLitterbags placem_collection'!AD61)),"YES","NO")</f>
        <v>NO</v>
      </c>
      <c r="AJ134" s="255" t="str">
        <f>IF(ISNUMBER(SEARCH("C", 'WetLitterbags placem_collection'!AC61)),"YES","NO")</f>
        <v>NO</v>
      </c>
      <c r="AK134" s="255" t="str">
        <f>IF(ISNUMBER(SEARCH("H", 'WetLitterbags placem_collection'!AC61)),"YES","NO")</f>
        <v>NO</v>
      </c>
      <c r="AL134" s="255" t="str">
        <f>IF(ISNUMBER(SEARCH("R", 'WetLitterbags placem_collection'!AC61)),"YES","NO")</f>
        <v>NO</v>
      </c>
    </row>
    <row r="135" spans="2:38">
      <c r="B135" t="str">
        <f>'Final data_for_R_analysis_Wetse'!A61</f>
        <v>Wet</v>
      </c>
      <c r="C135" s="263">
        <f>'Final data_for_R_analysis_Wetse'!B61</f>
        <v>60</v>
      </c>
      <c r="D135" t="s">
        <v>3835</v>
      </c>
      <c r="E135" t="s">
        <v>22</v>
      </c>
      <c r="F135" s="387">
        <v>4</v>
      </c>
      <c r="G135" s="16">
        <f>'WetLitterbags placem_collection'!E62</f>
        <v>42766</v>
      </c>
      <c r="H135" t="str">
        <f>'Final data_for_R_analysis_Wetse'!J61</f>
        <v>G633</v>
      </c>
      <c r="I135" t="str">
        <f>'Final data_for_R_analysis_Wetse'!J281</f>
        <v>R78</v>
      </c>
      <c r="J135">
        <f>IFERROR(INDEX('Green_rooibos initial weight'!$C$5:$C$1749,MATCH(H135, 'Green_rooibos initial weight'!$A$5:$A$1749,0)),"")</f>
        <v>2.0630000000000002</v>
      </c>
      <c r="K135">
        <f>IFERROR(INDEX('Green_rooibos initial weight'!$C$5:$C$1749,MATCH(I135, 'Green_rooibos initial weight'!$A$5:$A$1749,0)),"")</f>
        <v>2.2200000000000002</v>
      </c>
      <c r="L135" s="195">
        <f t="shared" si="4"/>
        <v>1.8132000000000001</v>
      </c>
      <c r="M135" s="195">
        <f>AVERAGE(Ashed_controlls!$K$2:$K$11)</f>
        <v>5.5147656768714146</v>
      </c>
      <c r="N135" s="195">
        <f t="shared" si="0"/>
        <v>1.7132062687469676</v>
      </c>
      <c r="O135" s="195">
        <f t="shared" si="5"/>
        <v>1.9702000000000002</v>
      </c>
      <c r="P135" s="195">
        <f>AVERAGE(Ashed_controlls!$K$12:$K$14)</f>
        <v>2.2816647271287041</v>
      </c>
      <c r="Q135" s="195">
        <f t="shared" si="6"/>
        <v>1.9252466415461105</v>
      </c>
      <c r="R135" s="16">
        <f>IF('WetLitterbags placem_collection'!G62="N.A","",'WetLitterbags placem_collection'!G62)</f>
        <v>42820</v>
      </c>
      <c r="S135" s="195">
        <f>IF(IFERROR(INDEX('Both teabags AfterWet'!$C$3:$C$841,MATCH(H135,'Both teabags AfterWet'!$A$3:$A$841,0)),"")="N.A","",(IFERROR(INDEX('Both teabags AfterWet'!$C$3:$C$841,MATCH(H135,'Both teabags AfterWet'!$A$3:$A$841,0)),"")))</f>
        <v>0.874</v>
      </c>
      <c r="T135" s="195">
        <f>IFERROR(INDEX('Both teabags AfterWet'!$C$3:$C$841,MATCH(I135,'Both teabags AfterWet'!$A$3:$A$841,0)),"")</f>
        <v>1.665</v>
      </c>
      <c r="U135" s="195">
        <f t="shared" si="7"/>
        <v>0.72340000000000004</v>
      </c>
      <c r="V135" s="195">
        <f t="shared" si="7"/>
        <v>1.5144</v>
      </c>
      <c r="W135" s="195">
        <f>IFERROR(INDEX('Ashed teabags wet'!$K$2:$K$821,MATCH(H135,'Ashed teabags wet'!$A$2:$A$821,0)),"")</f>
        <v>12.827988338192315</v>
      </c>
      <c r="X135" s="195">
        <f>IFERROR(INDEX('Ashed teabags wet'!$K$2:$K$821,MATCH(I135,'Ashed teabags wet'!$A$2:$A$821,0)),"")</f>
        <v>5.8219178082196645</v>
      </c>
      <c r="Y135" s="195">
        <f t="shared" si="1"/>
        <v>0.63060233236151686</v>
      </c>
      <c r="Z135" s="195">
        <f t="shared" si="1"/>
        <v>1.4262328767123214</v>
      </c>
      <c r="AA135" s="195">
        <f t="shared" si="8"/>
        <v>0.63191686613268294</v>
      </c>
      <c r="AB135" s="195">
        <f t="shared" si="9"/>
        <v>0.41427328991121265</v>
      </c>
      <c r="AC135" s="195">
        <f t="shared" si="2"/>
        <v>0.74080527966378096</v>
      </c>
      <c r="AD135">
        <f t="shared" si="3"/>
        <v>54</v>
      </c>
      <c r="AE135" s="195">
        <f t="shared" si="10"/>
        <v>0.24950490958113658</v>
      </c>
      <c r="AF135" s="195">
        <f t="shared" si="11"/>
        <v>1.8196184956067306E-2</v>
      </c>
      <c r="AG135" s="255" t="str">
        <f>IF(ISNUMBER(SEARCH("C",'WetLitterbags placem_collection'!AD62)),"YES","NO")</f>
        <v>NO</v>
      </c>
      <c r="AH135" s="255" t="str">
        <f>IF(ISNUMBER(SEARCH("H", 'WetLitterbags placem_collection'!AD62)),"YES","NO")</f>
        <v>YES</v>
      </c>
      <c r="AI135" s="255" t="str">
        <f>IF(ISNUMBER(SEARCH("R", 'WetLitterbags placem_collection'!AD62)),"YES","NO")</f>
        <v>YES</v>
      </c>
      <c r="AJ135" s="255" t="str">
        <f>IF(ISNUMBER(SEARCH("C", 'WetLitterbags placem_collection'!AC62)),"YES","NO")</f>
        <v>NO</v>
      </c>
      <c r="AK135" s="255" t="str">
        <f>IF(ISNUMBER(SEARCH("H", 'WetLitterbags placem_collection'!AC62)),"YES","NO")</f>
        <v>NO</v>
      </c>
      <c r="AL135" s="255" t="str">
        <f>IF(ISNUMBER(SEARCH("R", 'WetLitterbags placem_collection'!AC62)),"YES","NO")</f>
        <v>NO</v>
      </c>
    </row>
    <row r="136" spans="2:38">
      <c r="B136" t="str">
        <f>'Final data_for_R_analysis_Wetse'!A62</f>
        <v>Wet</v>
      </c>
      <c r="C136" s="263">
        <f>'Final data_for_R_analysis_Wetse'!B62</f>
        <v>61</v>
      </c>
      <c r="D136" t="s">
        <v>3835</v>
      </c>
      <c r="E136" t="s">
        <v>22</v>
      </c>
      <c r="F136" s="387">
        <v>5</v>
      </c>
      <c r="G136" s="16">
        <f>'WetLitterbags placem_collection'!E63</f>
        <v>42766</v>
      </c>
      <c r="H136" t="str">
        <f>'Final data_for_R_analysis_Wetse'!J62</f>
        <v>G541</v>
      </c>
      <c r="I136" t="str">
        <f>'Final data_for_R_analysis_Wetse'!J282</f>
        <v>R42</v>
      </c>
      <c r="J136">
        <f>IFERROR(INDEX('Green_rooibos initial weight'!$C$5:$C$1749,MATCH(H136, 'Green_rooibos initial weight'!$A$5:$A$1749,0)),"")</f>
        <v>1.978</v>
      </c>
      <c r="K136">
        <f>IFERROR(INDEX('Green_rooibos initial weight'!$C$5:$C$1749,MATCH(I136, 'Green_rooibos initial weight'!$A$5:$A$1749,0)),"")</f>
        <v>2.2389999999999999</v>
      </c>
      <c r="L136" s="195">
        <f t="shared" si="4"/>
        <v>1.7282</v>
      </c>
      <c r="M136" s="195">
        <f>AVERAGE(Ashed_controlls!$K$2:$K$11)</f>
        <v>5.5147656768714146</v>
      </c>
      <c r="N136" s="195">
        <f t="shared" si="0"/>
        <v>1.6328938195723082</v>
      </c>
      <c r="O136" s="195">
        <f t="shared" si="5"/>
        <v>1.9891999999999999</v>
      </c>
      <c r="P136" s="195">
        <f>AVERAGE(Ashed_controlls!$K$12:$K$14)</f>
        <v>2.2816647271287041</v>
      </c>
      <c r="Q136" s="195">
        <f t="shared" si="6"/>
        <v>1.9438131252479556</v>
      </c>
      <c r="R136" s="16">
        <f>IF('WetLitterbags placem_collection'!G63="N.A","",'WetLitterbags placem_collection'!G63)</f>
        <v>42820</v>
      </c>
      <c r="S136" s="195">
        <f>IF(IFERROR(INDEX('Both teabags AfterWet'!$C$3:$C$841,MATCH(H136,'Both teabags AfterWet'!$A$3:$A$841,0)),"")="N.A","",(IFERROR(INDEX('Both teabags AfterWet'!$C$3:$C$841,MATCH(H136,'Both teabags AfterWet'!$A$3:$A$841,0)),"")))</f>
        <v>0.78600000000000003</v>
      </c>
      <c r="T136" s="195">
        <f>IFERROR(INDEX('Both teabags AfterWet'!$C$3:$C$841,MATCH(I136,'Both teabags AfterWet'!$A$3:$A$841,0)),"")</f>
        <v>0.182</v>
      </c>
      <c r="U136" s="195">
        <f t="shared" si="7"/>
        <v>0.63539999999999996</v>
      </c>
      <c r="V136" s="195">
        <f t="shared" si="7"/>
        <v>3.1399999999999983E-2</v>
      </c>
      <c r="W136" s="195">
        <f>IFERROR(INDEX('Ashed teabags wet'!$K$2:$K$821,MATCH(H136,'Ashed teabags wet'!$A$2:$A$821,0)),"")</f>
        <v>12.728194726166139</v>
      </c>
      <c r="X136" s="195" t="str">
        <f>IFERROR(INDEX('Ashed teabags wet'!$K$2:$K$821,MATCH(I136,'Ashed teabags wet'!$A$2:$A$821,0)),"")</f>
        <v/>
      </c>
      <c r="Y136" s="195">
        <f t="shared" si="1"/>
        <v>0.55452505070994029</v>
      </c>
      <c r="Z136" s="195" t="str">
        <f t="shared" si="1"/>
        <v/>
      </c>
      <c r="AA136" s="195">
        <f t="shared" si="8"/>
        <v>0.66040348486640554</v>
      </c>
      <c r="AB136" s="195">
        <f t="shared" si="9"/>
        <v>0.43294860290529202</v>
      </c>
      <c r="AC136" s="195" t="str">
        <f t="shared" si="2"/>
        <v/>
      </c>
      <c r="AD136">
        <f t="shared" si="3"/>
        <v>54</v>
      </c>
      <c r="AE136" s="195">
        <f t="shared" si="10"/>
        <v>0.21567282082374639</v>
      </c>
      <c r="AF136" s="195" t="str">
        <f t="shared" si="11"/>
        <v/>
      </c>
      <c r="AG136" s="255" t="str">
        <f>IF(ISNUMBER(SEARCH("C",'WetLitterbags placem_collection'!AD63)),"YES","NO")</f>
        <v>NO</v>
      </c>
      <c r="AH136" s="255" t="str">
        <f>IF(ISNUMBER(SEARCH("H", 'WetLitterbags placem_collection'!AD63)),"YES","NO")</f>
        <v>NO</v>
      </c>
      <c r="AI136" s="255" t="str">
        <f>IF(ISNUMBER(SEARCH("R", 'WetLitterbags placem_collection'!AD63)),"YES","NO")</f>
        <v>NO</v>
      </c>
      <c r="AJ136" s="255" t="str">
        <f>IF(ISNUMBER(SEARCH("C", 'WetLitterbags placem_collection'!AC63)),"YES","NO")</f>
        <v>NO</v>
      </c>
      <c r="AK136" s="255" t="str">
        <f>IF(ISNUMBER(SEARCH("H", 'WetLitterbags placem_collection'!AC63)),"YES","NO")</f>
        <v>NO</v>
      </c>
      <c r="AL136" s="255" t="str">
        <f>IF(ISNUMBER(SEARCH("R", 'WetLitterbags placem_collection'!AC63)),"YES","NO")</f>
        <v>NO</v>
      </c>
    </row>
    <row r="137" spans="2:38">
      <c r="B137" t="str">
        <f>'Final data_for_R_analysis_Wetse'!A63</f>
        <v>Wet</v>
      </c>
      <c r="C137" s="263">
        <f>'Final data_for_R_analysis_Wetse'!B63</f>
        <v>62</v>
      </c>
      <c r="D137" t="s">
        <v>3835</v>
      </c>
      <c r="E137" t="s">
        <v>22</v>
      </c>
      <c r="F137" s="387">
        <v>6</v>
      </c>
      <c r="G137" s="16">
        <f>'WetLitterbags placem_collection'!E64</f>
        <v>42766</v>
      </c>
      <c r="H137" t="str">
        <f>'Final data_for_R_analysis_Wetse'!J63</f>
        <v>G565</v>
      </c>
      <c r="I137" t="str">
        <f>'Final data_for_R_analysis_Wetse'!J283</f>
        <v>R119</v>
      </c>
      <c r="J137">
        <f>IFERROR(INDEX('Green_rooibos initial weight'!$C$5:$C$1749,MATCH(H137, 'Green_rooibos initial weight'!$A$5:$A$1749,0)),"")</f>
        <v>2.109</v>
      </c>
      <c r="K137">
        <f>IFERROR(INDEX('Green_rooibos initial weight'!$C$5:$C$1749,MATCH(I137, 'Green_rooibos initial weight'!$A$5:$A$1749,0)),"")</f>
        <v>2.1589999999999998</v>
      </c>
      <c r="L137" s="195">
        <f t="shared" si="4"/>
        <v>1.8592</v>
      </c>
      <c r="M137" s="195">
        <f>AVERAGE(Ashed_controlls!$K$2:$K$11)</f>
        <v>5.5147656768714146</v>
      </c>
      <c r="N137" s="195">
        <f t="shared" si="0"/>
        <v>1.7566694765356066</v>
      </c>
      <c r="O137" s="195">
        <f t="shared" si="5"/>
        <v>1.9091999999999998</v>
      </c>
      <c r="P137" s="195">
        <f>AVERAGE(Ashed_controlls!$K$12:$K$14)</f>
        <v>2.2816647271287041</v>
      </c>
      <c r="Q137" s="195">
        <f t="shared" si="6"/>
        <v>1.8656384570296585</v>
      </c>
      <c r="R137" s="16">
        <f>IF('WetLitterbags placem_collection'!G64="N.A","",'WetLitterbags placem_collection'!G64)</f>
        <v>42820</v>
      </c>
      <c r="S137" s="195">
        <f>IF(IFERROR(INDEX('Both teabags AfterWet'!$C$3:$C$841,MATCH(H137,'Both teabags AfterWet'!$A$3:$A$841,0)),"")="N.A","",(IFERROR(INDEX('Both teabags AfterWet'!$C$3:$C$841,MATCH(H137,'Both teabags AfterWet'!$A$3:$A$841,0)),"")))</f>
        <v>0.9224</v>
      </c>
      <c r="T137" s="195">
        <f>IFERROR(INDEX('Both teabags AfterWet'!$C$3:$C$841,MATCH(I137,'Both teabags AfterWet'!$A$3:$A$841,0)),"")</f>
        <v>1.6374</v>
      </c>
      <c r="U137" s="195">
        <f t="shared" si="7"/>
        <v>0.77180000000000004</v>
      </c>
      <c r="V137" s="195">
        <f t="shared" si="7"/>
        <v>1.4867999999999999</v>
      </c>
      <c r="W137" s="195">
        <f>IFERROR(INDEX('Ashed teabags wet'!$K$2:$K$821,MATCH(H137,'Ashed teabags wet'!$A$2:$A$821,0)),"")</f>
        <v>20.729927007299029</v>
      </c>
      <c r="X137" s="195">
        <f>IFERROR(INDEX('Ashed teabags wet'!$K$2:$K$821,MATCH(I137,'Ashed teabags wet'!$A$2:$A$821,0)),"")</f>
        <v>8.4343434343433188</v>
      </c>
      <c r="Y137" s="195">
        <f t="shared" si="1"/>
        <v>0.61180642335766611</v>
      </c>
      <c r="Z137" s="195">
        <f t="shared" si="1"/>
        <v>1.3613981818181835</v>
      </c>
      <c r="AA137" s="195">
        <f t="shared" si="8"/>
        <v>0.65172365574186875</v>
      </c>
      <c r="AB137" s="195">
        <f t="shared" si="9"/>
        <v>0.42725826362174774</v>
      </c>
      <c r="AC137" s="195">
        <f t="shared" si="2"/>
        <v>0.72972240505039132</v>
      </c>
      <c r="AD137">
        <f t="shared" si="3"/>
        <v>54</v>
      </c>
      <c r="AE137" s="195">
        <f t="shared" si="10"/>
        <v>0.22598140648234111</v>
      </c>
      <c r="AF137" s="195">
        <f t="shared" si="11"/>
        <v>1.8541962869228715E-2</v>
      </c>
      <c r="AG137" s="255" t="str">
        <f>IF(ISNUMBER(SEARCH("C",'WetLitterbags placem_collection'!AD64)),"YES","NO")</f>
        <v>NO</v>
      </c>
      <c r="AH137" s="255" t="str">
        <f>IF(ISNUMBER(SEARCH("H", 'WetLitterbags placem_collection'!AD64)),"YES","NO")</f>
        <v>YES</v>
      </c>
      <c r="AI137" s="255" t="str">
        <f>IF(ISNUMBER(SEARCH("R", 'WetLitterbags placem_collection'!AD64)),"YES","NO")</f>
        <v>YES</v>
      </c>
      <c r="AJ137" s="255" t="str">
        <f>IF(ISNUMBER(SEARCH("C", 'WetLitterbags placem_collection'!AC64)),"YES","NO")</f>
        <v>NO</v>
      </c>
      <c r="AK137" s="255" t="str">
        <f>IF(ISNUMBER(SEARCH("H", 'WetLitterbags placem_collection'!AC64)),"YES","NO")</f>
        <v>NO</v>
      </c>
      <c r="AL137" s="255" t="str">
        <f>IF(ISNUMBER(SEARCH("R", 'WetLitterbags placem_collection'!AC64)),"YES","NO")</f>
        <v>NO</v>
      </c>
    </row>
    <row r="138" spans="2:38">
      <c r="B138" t="str">
        <f>'Final data_for_R_analysis_Wetse'!A64</f>
        <v>Wet</v>
      </c>
      <c r="C138" s="263">
        <f>'Final data_for_R_analysis_Wetse'!B64</f>
        <v>63</v>
      </c>
      <c r="D138" t="s">
        <v>3835</v>
      </c>
      <c r="E138" t="s">
        <v>22</v>
      </c>
      <c r="F138" s="387">
        <v>7</v>
      </c>
      <c r="G138" s="16">
        <f>'WetLitterbags placem_collection'!E65</f>
        <v>42766</v>
      </c>
      <c r="H138" t="str">
        <f>'Final data_for_R_analysis_Wetse'!J64</f>
        <v>G387</v>
      </c>
      <c r="I138" t="str">
        <f>'Final data_for_R_analysis_Wetse'!J284</f>
        <v>R185</v>
      </c>
      <c r="J138">
        <f>IFERROR(INDEX('Green_rooibos initial weight'!$C$5:$C$1749,MATCH(H138, 'Green_rooibos initial weight'!$A$5:$A$1749,0)),"")</f>
        <v>2.0139999999999998</v>
      </c>
      <c r="K138">
        <f>IFERROR(INDEX('Green_rooibos initial weight'!$C$5:$C$1749,MATCH(I138, 'Green_rooibos initial weight'!$A$5:$A$1749,0)),"")</f>
        <v>2.2909999999999999</v>
      </c>
      <c r="L138" s="195">
        <f t="shared" si="4"/>
        <v>1.7641999999999998</v>
      </c>
      <c r="M138" s="195">
        <f>AVERAGE(Ashed_controlls!$K$2:$K$11)</f>
        <v>5.5147656768714146</v>
      </c>
      <c r="N138" s="195">
        <f t="shared" si="0"/>
        <v>1.6669085039286342</v>
      </c>
      <c r="O138" s="195">
        <f t="shared" si="5"/>
        <v>2.0411999999999999</v>
      </c>
      <c r="P138" s="195">
        <f>AVERAGE(Ashed_controlls!$K$12:$K$14)</f>
        <v>2.2816647271287041</v>
      </c>
      <c r="Q138" s="195">
        <f t="shared" si="6"/>
        <v>1.9946266595898487</v>
      </c>
      <c r="R138" s="16">
        <f>IF('WetLitterbags placem_collection'!G65="N.A","",'WetLitterbags placem_collection'!G65)</f>
        <v>42820</v>
      </c>
      <c r="S138" s="195">
        <f>IF(IFERROR(INDEX('Both teabags AfterWet'!$C$3:$C$841,MATCH(H138,'Both teabags AfterWet'!$A$3:$A$841,0)),"")="N.A","",(IFERROR(INDEX('Both teabags AfterWet'!$C$3:$C$841,MATCH(H138,'Both teabags AfterWet'!$A$3:$A$841,0)),"")))</f>
        <v>1.083</v>
      </c>
      <c r="T138" s="195">
        <f>IFERROR(INDEX('Both teabags AfterWet'!$C$3:$C$841,MATCH(I138,'Both teabags AfterWet'!$A$3:$A$841,0)),"")</f>
        <v>1.6850000000000001</v>
      </c>
      <c r="U138" s="195">
        <f t="shared" si="7"/>
        <v>0.9323999999999999</v>
      </c>
      <c r="V138" s="195">
        <f t="shared" si="7"/>
        <v>1.5344</v>
      </c>
      <c r="W138" s="195">
        <f>IFERROR(INDEX('Ashed teabags wet'!$K$2:$K$821,MATCH(H138,'Ashed teabags wet'!$A$2:$A$821,0)),"")</f>
        <v>20.515313563441481</v>
      </c>
      <c r="X138" s="195">
        <f>IFERROR(INDEX('Ashed teabags wet'!$K$2:$K$821,MATCH(I138,'Ashed teabags wet'!$A$2:$A$821,0)),"")</f>
        <v>8.6122047244091302</v>
      </c>
      <c r="Y138" s="195">
        <f t="shared" si="1"/>
        <v>0.74111521633447153</v>
      </c>
      <c r="Z138" s="195">
        <f t="shared" si="1"/>
        <v>1.4022543307086663</v>
      </c>
      <c r="AA138" s="195">
        <f t="shared" si="8"/>
        <v>0.5553953833772024</v>
      </c>
      <c r="AB138" s="195">
        <f t="shared" si="9"/>
        <v>0.36410718720215651</v>
      </c>
      <c r="AC138" s="195">
        <f t="shared" si="2"/>
        <v>0.70301593732684253</v>
      </c>
      <c r="AD138">
        <f t="shared" si="3"/>
        <v>54</v>
      </c>
      <c r="AE138" s="195">
        <f t="shared" si="10"/>
        <v>0.34038553043087594</v>
      </c>
      <c r="AF138" s="195">
        <f t="shared" si="11"/>
        <v>3.1313327447470805E-2</v>
      </c>
      <c r="AG138" s="255" t="str">
        <f>IF(ISNUMBER(SEARCH("C",'WetLitterbags placem_collection'!AD65)),"YES","NO")</f>
        <v>NO</v>
      </c>
      <c r="AH138" s="255" t="str">
        <f>IF(ISNUMBER(SEARCH("H", 'WetLitterbags placem_collection'!AD65)),"YES","NO")</f>
        <v>NO</v>
      </c>
      <c r="AI138" s="255" t="str">
        <f>IF(ISNUMBER(SEARCH("R", 'WetLitterbags placem_collection'!AD65)),"YES","NO")</f>
        <v>NO</v>
      </c>
      <c r="AJ138" s="255" t="str">
        <f>IF(ISNUMBER(SEARCH("C", 'WetLitterbags placem_collection'!AC65)),"YES","NO")</f>
        <v>NO</v>
      </c>
      <c r="AK138" s="255" t="str">
        <f>IF(ISNUMBER(SEARCH("H", 'WetLitterbags placem_collection'!AC65)),"YES","NO")</f>
        <v>NO</v>
      </c>
      <c r="AL138" s="255" t="str">
        <f>IF(ISNUMBER(SEARCH("R", 'WetLitterbags placem_collection'!AC65)),"YES","NO")</f>
        <v>NO</v>
      </c>
    </row>
    <row r="139" spans="2:38">
      <c r="B139" t="str">
        <f>'Final data_for_R_analysis_Wetse'!A65</f>
        <v>Wet</v>
      </c>
      <c r="C139" s="263">
        <f>'Final data_for_R_analysis_Wetse'!B65</f>
        <v>64</v>
      </c>
      <c r="D139" t="s">
        <v>3835</v>
      </c>
      <c r="E139" t="s">
        <v>22</v>
      </c>
      <c r="F139" s="387">
        <v>8</v>
      </c>
      <c r="G139" s="16">
        <f>'WetLitterbags placem_collection'!E66</f>
        <v>42766</v>
      </c>
      <c r="H139" t="str">
        <f>'Final data_for_R_analysis_Wetse'!J65</f>
        <v>G554</v>
      </c>
      <c r="I139" t="str">
        <f>'Final data_for_R_analysis_Wetse'!J285</f>
        <v>R159</v>
      </c>
      <c r="J139">
        <f>IFERROR(INDEX('Green_rooibos initial weight'!$C$5:$C$1749,MATCH(H139, 'Green_rooibos initial weight'!$A$5:$A$1749,0)),"")</f>
        <v>2.0840000000000001</v>
      </c>
      <c r="K139">
        <f>IFERROR(INDEX('Green_rooibos initial weight'!$C$5:$C$1749,MATCH(I139, 'Green_rooibos initial weight'!$A$5:$A$1749,0)),"")</f>
        <v>2.2930000000000001</v>
      </c>
      <c r="L139" s="195">
        <f t="shared" si="4"/>
        <v>1.8342000000000001</v>
      </c>
      <c r="M139" s="195">
        <f>AVERAGE(Ashed_controlls!$K$2:$K$11)</f>
        <v>5.5147656768714146</v>
      </c>
      <c r="N139" s="195">
        <f t="shared" si="0"/>
        <v>1.7330481679548246</v>
      </c>
      <c r="O139" s="195">
        <f t="shared" si="5"/>
        <v>2.0432000000000001</v>
      </c>
      <c r="P139" s="195">
        <f>AVERAGE(Ashed_controlls!$K$12:$K$14)</f>
        <v>2.2816647271287041</v>
      </c>
      <c r="Q139" s="195">
        <f t="shared" si="6"/>
        <v>1.9965810262953065</v>
      </c>
      <c r="R139" s="16">
        <f>IF('WetLitterbags placem_collection'!G66="N.A","",'WetLitterbags placem_collection'!G66)</f>
        <v>42820</v>
      </c>
      <c r="S139" s="195">
        <f>IF(IFERROR(INDEX('Both teabags AfterWet'!$C$3:$C$841,MATCH(H139,'Both teabags AfterWet'!$A$3:$A$841,0)),"")="N.A","",(IFERROR(INDEX('Both teabags AfterWet'!$C$3:$C$841,MATCH(H139,'Both teabags AfterWet'!$A$3:$A$841,0)),"")))</f>
        <v>1.29</v>
      </c>
      <c r="T139" s="195">
        <f>IFERROR(INDEX('Both teabags AfterWet'!$C$3:$C$841,MATCH(I139,'Both teabags AfterWet'!$A$3:$A$841,0)),"")</f>
        <v>1.3160000000000001</v>
      </c>
      <c r="U139" s="195">
        <f t="shared" si="7"/>
        <v>1.1394</v>
      </c>
      <c r="V139" s="195">
        <f t="shared" si="7"/>
        <v>1.1654</v>
      </c>
      <c r="W139" s="195">
        <f>IFERROR(INDEX('Ashed teabags wet'!$K$2:$K$821,MATCH(H139,'Ashed teabags wet'!$A$2:$A$821,0)),"")</f>
        <v>36.815920398009624</v>
      </c>
      <c r="X139" s="195">
        <f>IFERROR(INDEX('Ashed teabags wet'!$K$2:$K$821,MATCH(I139,'Ashed teabags wet'!$A$2:$A$821,0)),"")</f>
        <v>82.454411039920885</v>
      </c>
      <c r="Y139" s="195">
        <f t="shared" si="1"/>
        <v>0.71991940298507839</v>
      </c>
      <c r="Z139" s="195">
        <f t="shared" si="1"/>
        <v>0.20447629374076204</v>
      </c>
      <c r="AA139" s="195">
        <f t="shared" si="8"/>
        <v>0.58459354085082504</v>
      </c>
      <c r="AB139" s="195">
        <f t="shared" si="9"/>
        <v>0.38324897214923453</v>
      </c>
      <c r="AC139" s="195">
        <f t="shared" si="2"/>
        <v>0.10241322092505889</v>
      </c>
      <c r="AD139">
        <f t="shared" si="3"/>
        <v>54</v>
      </c>
      <c r="AE139" s="195">
        <f t="shared" si="10"/>
        <v>0.30570838378761866</v>
      </c>
      <c r="AF139" s="195" t="str">
        <f t="shared" si="11"/>
        <v/>
      </c>
      <c r="AG139" s="255" t="str">
        <f>IF(ISNUMBER(SEARCH("C",'WetLitterbags placem_collection'!AD66)),"YES","NO")</f>
        <v>NO</v>
      </c>
      <c r="AH139" s="255" t="str">
        <f>IF(ISNUMBER(SEARCH("H", 'WetLitterbags placem_collection'!AD66)),"YES","NO")</f>
        <v>NO</v>
      </c>
      <c r="AI139" s="255" t="str">
        <f>IF(ISNUMBER(SEARCH("R", 'WetLitterbags placem_collection'!AD66)),"YES","NO")</f>
        <v>NO</v>
      </c>
      <c r="AJ139" s="255" t="str">
        <f>IF(ISNUMBER(SEARCH("C", 'WetLitterbags placem_collection'!AC66)),"YES","NO")</f>
        <v>NO</v>
      </c>
      <c r="AK139" s="255" t="str">
        <f>IF(ISNUMBER(SEARCH("H", 'WetLitterbags placem_collection'!AC66)),"YES","NO")</f>
        <v>NO</v>
      </c>
      <c r="AL139" s="255" t="str">
        <f>IF(ISNUMBER(SEARCH("R", 'WetLitterbags placem_collection'!AC66)),"YES","NO")</f>
        <v>NO</v>
      </c>
    </row>
    <row r="140" spans="2:38">
      <c r="B140" t="str">
        <f>'Final data_for_R_analysis_Wetse'!A66</f>
        <v>Wet</v>
      </c>
      <c r="C140" s="263">
        <f>'Final data_for_R_analysis_Wetse'!B66</f>
        <v>65</v>
      </c>
      <c r="D140" t="s">
        <v>3836</v>
      </c>
      <c r="E140" t="s">
        <v>22</v>
      </c>
      <c r="F140" s="386">
        <v>1</v>
      </c>
      <c r="G140" s="16">
        <f>'WetLitterbags placem_collection'!E67</f>
        <v>42767</v>
      </c>
      <c r="H140" t="str">
        <f>'Final data_for_R_analysis_Wetse'!J66</f>
        <v>G614</v>
      </c>
      <c r="I140" t="str">
        <f>'Final data_for_R_analysis_Wetse'!J286</f>
        <v>R525</v>
      </c>
      <c r="J140">
        <f>IFERROR(INDEX('Green_rooibos initial weight'!$C$5:$C$1749,MATCH(H140, 'Green_rooibos initial weight'!$A$5:$A$1749,0)),"")</f>
        <v>2.1709999999999998</v>
      </c>
      <c r="K140">
        <f>IFERROR(INDEX('Green_rooibos initial weight'!$C$5:$C$1749,MATCH(I140, 'Green_rooibos initial weight'!$A$5:$A$1749,0)),"")</f>
        <v>2.1469999999999998</v>
      </c>
      <c r="L140" s="195">
        <f t="shared" si="4"/>
        <v>1.9211999999999998</v>
      </c>
      <c r="M140" s="195">
        <f>AVERAGE(Ashed_controlls!$K$2:$K$11)</f>
        <v>5.5147656768714146</v>
      </c>
      <c r="N140" s="195">
        <f t="shared" ref="N140:N203" si="12">IFERROR(L140-(M140/100)*L140,"")</f>
        <v>1.8152503218159461</v>
      </c>
      <c r="O140" s="195">
        <f t="shared" si="5"/>
        <v>1.8971999999999998</v>
      </c>
      <c r="P140" s="195">
        <f>AVERAGE(Ashed_controlls!$K$12:$K$14)</f>
        <v>2.2816647271287041</v>
      </c>
      <c r="Q140" s="195">
        <f t="shared" si="6"/>
        <v>1.853912256796914</v>
      </c>
      <c r="R140" s="16">
        <f>IF('WetLitterbags placem_collection'!G67="N.A","",'WetLitterbags placem_collection'!G67)</f>
        <v>42818</v>
      </c>
      <c r="S140" s="195">
        <f>IF(IFERROR(INDEX('Both teabags AfterWet'!$C$3:$C$841,MATCH(H140,'Both teabags AfterWet'!$A$3:$A$841,0)),"")="N.A","",(IFERROR(INDEX('Both teabags AfterWet'!$C$3:$C$841,MATCH(H140,'Both teabags AfterWet'!$A$3:$A$841,0)),"")))</f>
        <v>0.96099999999999997</v>
      </c>
      <c r="T140" s="195">
        <f>IFERROR(INDEX('Both teabags AfterWet'!$C$3:$C$841,MATCH(I140,'Both teabags AfterWet'!$A$3:$A$841,0)),"")</f>
        <v>1.704</v>
      </c>
      <c r="U140" s="195">
        <f t="shared" si="7"/>
        <v>0.81040000000000001</v>
      </c>
      <c r="V140" s="195">
        <f t="shared" si="7"/>
        <v>1.5533999999999999</v>
      </c>
      <c r="W140" s="195">
        <f>IFERROR(INDEX('Ashed teabags wet'!$K$2:$K$821,MATCH(H140,'Ashed teabags wet'!$A$2:$A$821,0)),"")</f>
        <v>15.67460317460233</v>
      </c>
      <c r="X140" s="195">
        <f>IFERROR(INDEX('Ashed teabags wet'!$K$2:$K$821,MATCH(I140,'Ashed teabags wet'!$A$2:$A$821,0)),"")</f>
        <v>3.9941548952748618</v>
      </c>
      <c r="Y140" s="195">
        <f t="shared" ref="Y140:Z203" si="13">IFERROR(U140-(W140/100)*U140,"")</f>
        <v>0.68337301587302268</v>
      </c>
      <c r="Z140" s="195">
        <f t="shared" si="13"/>
        <v>1.4913547978568003</v>
      </c>
      <c r="AA140" s="195">
        <f t="shared" si="8"/>
        <v>0.62353786270678757</v>
      </c>
      <c r="AB140" s="195">
        <f t="shared" si="9"/>
        <v>0.4087801665251149</v>
      </c>
      <c r="AC140" s="195">
        <f t="shared" ref="AC140:AC203" si="14">IFERROR(Z140/Q140,"")</f>
        <v>0.80443655970724293</v>
      </c>
      <c r="AD140">
        <f t="shared" ref="AD140:AD203" si="15">IF((R140-G140)&gt;0,(IFERROR(R140-G140,"")),"")</f>
        <v>51</v>
      </c>
      <c r="AE140" s="195">
        <f t="shared" si="10"/>
        <v>0.25945622006319768</v>
      </c>
      <c r="AF140" s="195">
        <f t="shared" si="11"/>
        <v>1.2762125076915515E-2</v>
      </c>
      <c r="AG140" s="255" t="str">
        <f>IF(ISNUMBER(SEARCH("C",'WetLitterbags placem_collection'!AD67)),"YES","NO")</f>
        <v>NO</v>
      </c>
      <c r="AH140" s="255" t="str">
        <f>IF(ISNUMBER(SEARCH("H", 'WetLitterbags placem_collection'!AD67)),"YES","NO")</f>
        <v>NO</v>
      </c>
      <c r="AI140" s="255" t="str">
        <f>IF(ISNUMBER(SEARCH("R", 'WetLitterbags placem_collection'!AD67)),"YES","NO")</f>
        <v>NO</v>
      </c>
      <c r="AJ140" s="255" t="str">
        <f>IF(ISNUMBER(SEARCH("C", 'WetLitterbags placem_collection'!AC67)),"YES","NO")</f>
        <v>NO</v>
      </c>
      <c r="AK140" s="255" t="str">
        <f>IF(ISNUMBER(SEARCH("H", 'WetLitterbags placem_collection'!AC67)),"YES","NO")</f>
        <v>NO</v>
      </c>
      <c r="AL140" s="255" t="str">
        <f>IF(ISNUMBER(SEARCH("R", 'WetLitterbags placem_collection'!AC67)),"YES","NO")</f>
        <v>NO</v>
      </c>
    </row>
    <row r="141" spans="2:38">
      <c r="B141" t="str">
        <f>'Final data_for_R_analysis_Wetse'!A67</f>
        <v>Wet</v>
      </c>
      <c r="C141" s="263">
        <f>'Final data_for_R_analysis_Wetse'!B67</f>
        <v>66</v>
      </c>
      <c r="D141" t="s">
        <v>3836</v>
      </c>
      <c r="E141" t="s">
        <v>22</v>
      </c>
      <c r="F141" s="386">
        <v>2</v>
      </c>
      <c r="G141" s="16">
        <f>'WetLitterbags placem_collection'!E68</f>
        <v>42767</v>
      </c>
      <c r="H141" t="str">
        <f>'Final data_for_R_analysis_Wetse'!J67</f>
        <v>G282</v>
      </c>
      <c r="I141" t="str">
        <f>'Final data_for_R_analysis_Wetse'!J287</f>
        <v>R150</v>
      </c>
      <c r="J141">
        <f>IFERROR(INDEX('Green_rooibos initial weight'!$C$5:$C$1749,MATCH(H141, 'Green_rooibos initial weight'!$A$5:$A$1749,0)),"")</f>
        <v>1.9730000000000001</v>
      </c>
      <c r="K141">
        <f>IFERROR(INDEX('Green_rooibos initial weight'!$C$5:$C$1749,MATCH(I141, 'Green_rooibos initial weight'!$A$5:$A$1749,0)),"")</f>
        <v>2.1469999999999998</v>
      </c>
      <c r="L141" s="195">
        <f t="shared" ref="L141:L204" si="16">IF(J141&gt;0,(J141*$F$31-($F$29+$F$30)),"")</f>
        <v>1.7232000000000001</v>
      </c>
      <c r="M141" s="195">
        <f>AVERAGE(Ashed_controlls!$K$2:$K$11)</f>
        <v>5.5147656768714146</v>
      </c>
      <c r="N141" s="195">
        <f t="shared" si="12"/>
        <v>1.6281695578561519</v>
      </c>
      <c r="O141" s="195">
        <f t="shared" ref="O141:O204" si="17">IF(K141&gt;0,(K141*$F$32-($F$29+$F$30)),"")</f>
        <v>1.8971999999999998</v>
      </c>
      <c r="P141" s="195">
        <f>AVERAGE(Ashed_controlls!$K$12:$K$14)</f>
        <v>2.2816647271287041</v>
      </c>
      <c r="Q141" s="195">
        <f t="shared" ref="Q141:Q204" si="18">IFERROR(O141-(P141/100)*O141,"")</f>
        <v>1.853912256796914</v>
      </c>
      <c r="R141" s="16">
        <f>IF('WetLitterbags placem_collection'!G68="N.A","",'WetLitterbags placem_collection'!G68)</f>
        <v>42818</v>
      </c>
      <c r="S141" s="195">
        <f>IF(IFERROR(INDEX('Both teabags AfterWet'!$C$3:$C$841,MATCH(H141,'Both teabags AfterWet'!$A$3:$A$841,0)),"")="N.A","",(IFERROR(INDEX('Both teabags AfterWet'!$C$3:$C$841,MATCH(H141,'Both teabags AfterWet'!$A$3:$A$841,0)),"")))</f>
        <v>1.1456</v>
      </c>
      <c r="T141" s="195">
        <f>IFERROR(INDEX('Both teabags AfterWet'!$C$3:$C$841,MATCH(I141,'Both teabags AfterWet'!$A$3:$A$841,0)),"")</f>
        <v>0.21360000000000001</v>
      </c>
      <c r="U141" s="195">
        <f t="shared" ref="U141:V204" si="19">IFERROR(IF(S141&gt;0,S141-($F$29),""),"")</f>
        <v>0.99499999999999988</v>
      </c>
      <c r="V141" s="195">
        <f t="shared" si="19"/>
        <v>6.3E-2</v>
      </c>
      <c r="W141" s="195">
        <f>IFERROR(INDEX('Ashed teabags wet'!$K$2:$K$821,MATCH(H141,'Ashed teabags wet'!$A$2:$A$821,0)),"")</f>
        <v>31.190019193858088</v>
      </c>
      <c r="X141" s="195" t="str">
        <f>IFERROR(INDEX('Ashed teabags wet'!$K$2:$K$821,MATCH(I141,'Ashed teabags wet'!$A$2:$A$821,0)),"")</f>
        <v/>
      </c>
      <c r="Y141" s="195">
        <f t="shared" si="13"/>
        <v>0.68465930902111194</v>
      </c>
      <c r="Z141" s="195" t="str">
        <f t="shared" si="13"/>
        <v/>
      </c>
      <c r="AA141" s="195">
        <f t="shared" ref="AA141:AA204" si="20">IFERROR(1-Y141/N141,"")</f>
        <v>0.57949139528034266</v>
      </c>
      <c r="AB141" s="195">
        <f t="shared" ref="AB141:AB204" si="21">IFERROR($F$26*(1-AE141),"")</f>
        <v>0.37990409761846694</v>
      </c>
      <c r="AC141" s="195" t="str">
        <f t="shared" si="14"/>
        <v/>
      </c>
      <c r="AD141">
        <f t="shared" si="15"/>
        <v>51</v>
      </c>
      <c r="AE141" s="195">
        <f t="shared" ref="AE141:AE204" si="22">IFERROR(1-(AA141/$F$25),"")</f>
        <v>0.3117679390969802</v>
      </c>
      <c r="AF141" s="195" t="str">
        <f t="shared" ref="AF141:AF204" si="23">IFERROR(LN(AB141/(AC141-(1-AB141)))/AD141,"")</f>
        <v/>
      </c>
      <c r="AG141" s="255" t="str">
        <f>IF(ISNUMBER(SEARCH("C",'WetLitterbags placem_collection'!AD68)),"YES","NO")</f>
        <v>NO</v>
      </c>
      <c r="AH141" s="255" t="str">
        <f>IF(ISNUMBER(SEARCH("H", 'WetLitterbags placem_collection'!AD68)),"YES","NO")</f>
        <v>NO</v>
      </c>
      <c r="AI141" s="255" t="str">
        <f>IF(ISNUMBER(SEARCH("R", 'WetLitterbags placem_collection'!AD68)),"YES","NO")</f>
        <v>NO</v>
      </c>
      <c r="AJ141" s="255" t="str">
        <f>IF(ISNUMBER(SEARCH("C", 'WetLitterbags placem_collection'!AC68)),"YES","NO")</f>
        <v>NO</v>
      </c>
      <c r="AK141" s="255" t="str">
        <f>IF(ISNUMBER(SEARCH("H", 'WetLitterbags placem_collection'!AC68)),"YES","NO")</f>
        <v>NO</v>
      </c>
      <c r="AL141" s="255" t="str">
        <f>IF(ISNUMBER(SEARCH("R", 'WetLitterbags placem_collection'!AC68)),"YES","NO")</f>
        <v>NO</v>
      </c>
    </row>
    <row r="142" spans="2:38">
      <c r="B142" t="str">
        <f>'Final data_for_R_analysis_Wetse'!A68</f>
        <v>Wet</v>
      </c>
      <c r="C142" s="263">
        <f>'Final data_for_R_analysis_Wetse'!B68</f>
        <v>67</v>
      </c>
      <c r="D142" t="s">
        <v>3836</v>
      </c>
      <c r="E142" t="s">
        <v>22</v>
      </c>
      <c r="F142" s="386">
        <v>3</v>
      </c>
      <c r="G142" s="16">
        <f>'WetLitterbags placem_collection'!E69</f>
        <v>42767</v>
      </c>
      <c r="H142" t="str">
        <f>'Final data_for_R_analysis_Wetse'!J68</f>
        <v>G450</v>
      </c>
      <c r="I142" t="str">
        <f>'Final data_for_R_analysis_Wetse'!J288</f>
        <v>R165</v>
      </c>
      <c r="J142">
        <f>IFERROR(INDEX('Green_rooibos initial weight'!$C$5:$C$1749,MATCH(H142, 'Green_rooibos initial weight'!$A$5:$A$1749,0)),"")</f>
        <v>2.1629999999999998</v>
      </c>
      <c r="K142">
        <f>IFERROR(INDEX('Green_rooibos initial weight'!$C$5:$C$1749,MATCH(I142, 'Green_rooibos initial weight'!$A$5:$A$1749,0)),"")</f>
        <v>2.169</v>
      </c>
      <c r="L142" s="195">
        <f t="shared" si="16"/>
        <v>1.9131999999999998</v>
      </c>
      <c r="M142" s="195">
        <f>AVERAGE(Ashed_controlls!$K$2:$K$11)</f>
        <v>5.5147656768714146</v>
      </c>
      <c r="N142" s="195">
        <f t="shared" si="12"/>
        <v>1.807691503070096</v>
      </c>
      <c r="O142" s="195">
        <f t="shared" si="17"/>
        <v>1.9192</v>
      </c>
      <c r="P142" s="195">
        <f>AVERAGE(Ashed_controlls!$K$12:$K$14)</f>
        <v>2.2816647271287041</v>
      </c>
      <c r="Q142" s="195">
        <f t="shared" si="18"/>
        <v>1.8754102905569459</v>
      </c>
      <c r="R142" s="16">
        <f>IF('WetLitterbags placem_collection'!G69="N.A","",'WetLitterbags placem_collection'!G69)</f>
        <v>42818</v>
      </c>
      <c r="S142" s="195">
        <f>IF(IFERROR(INDEX('Both teabags AfterWet'!$C$3:$C$841,MATCH(H142,'Both teabags AfterWet'!$A$3:$A$841,0)),"")="N.A","",(IFERROR(INDEX('Both teabags AfterWet'!$C$3:$C$841,MATCH(H142,'Both teabags AfterWet'!$A$3:$A$841,0)),"")))</f>
        <v>0.89059999999999995</v>
      </c>
      <c r="T142" s="195">
        <f>IFERROR(INDEX('Both teabags AfterWet'!$C$3:$C$841,MATCH(I142,'Both teabags AfterWet'!$A$3:$A$841,0)),"")</f>
        <v>1.4942</v>
      </c>
      <c r="U142" s="195">
        <f t="shared" si="19"/>
        <v>0.74</v>
      </c>
      <c r="V142" s="195">
        <f t="shared" si="19"/>
        <v>1.3435999999999999</v>
      </c>
      <c r="W142" s="195">
        <f>IFERROR(INDEX('Ashed teabags wet'!$K$2:$K$821,MATCH(H142,'Ashed teabags wet'!$A$2:$A$821,0)),"")</f>
        <v>13.860419716935581</v>
      </c>
      <c r="X142" s="195">
        <f>IFERROR(INDEX('Ashed teabags wet'!$K$2:$K$821,MATCH(I142,'Ashed teabags wet'!$A$2:$A$821,0)),"")</f>
        <v>4.9107142857138548</v>
      </c>
      <c r="Y142" s="195">
        <f t="shared" si="13"/>
        <v>0.63743289409467674</v>
      </c>
      <c r="Z142" s="195">
        <f t="shared" si="13"/>
        <v>1.2776196428571485</v>
      </c>
      <c r="AA142" s="195">
        <f t="shared" si="20"/>
        <v>0.64737739099171976</v>
      </c>
      <c r="AB142" s="195">
        <f t="shared" si="21"/>
        <v>0.42440893091143628</v>
      </c>
      <c r="AC142" s="195">
        <f t="shared" si="14"/>
        <v>0.68124807104355289</v>
      </c>
      <c r="AD142">
        <f t="shared" si="15"/>
        <v>51</v>
      </c>
      <c r="AE142" s="195">
        <f t="shared" si="22"/>
        <v>0.23114324110247053</v>
      </c>
      <c r="AF142" s="195">
        <f t="shared" si="23"/>
        <v>2.7264694769776662E-2</v>
      </c>
      <c r="AG142" s="255" t="str">
        <f>IF(ISNUMBER(SEARCH("C",'WetLitterbags placem_collection'!AD69)),"YES","NO")</f>
        <v>NO</v>
      </c>
      <c r="AH142" s="255" t="str">
        <f>IF(ISNUMBER(SEARCH("H", 'WetLitterbags placem_collection'!AD69)),"YES","NO")</f>
        <v>NO</v>
      </c>
      <c r="AI142" s="255" t="str">
        <f>IF(ISNUMBER(SEARCH("R", 'WetLitterbags placem_collection'!AD69)),"YES","NO")</f>
        <v>NO</v>
      </c>
      <c r="AJ142" s="255" t="str">
        <f>IF(ISNUMBER(SEARCH("C", 'WetLitterbags placem_collection'!AC69)),"YES","NO")</f>
        <v>NO</v>
      </c>
      <c r="AK142" s="255" t="str">
        <f>IF(ISNUMBER(SEARCH("H", 'WetLitterbags placem_collection'!AC69)),"YES","NO")</f>
        <v>NO</v>
      </c>
      <c r="AL142" s="255" t="str">
        <f>IF(ISNUMBER(SEARCH("R", 'WetLitterbags placem_collection'!AC69)),"YES","NO")</f>
        <v>NO</v>
      </c>
    </row>
    <row r="143" spans="2:38">
      <c r="B143" t="str">
        <f>'Final data_for_R_analysis_Wetse'!A69</f>
        <v>Wet</v>
      </c>
      <c r="C143" s="263">
        <f>'Final data_for_R_analysis_Wetse'!B69</f>
        <v>68</v>
      </c>
      <c r="D143" t="s">
        <v>3836</v>
      </c>
      <c r="E143" t="s">
        <v>22</v>
      </c>
      <c r="F143" s="387">
        <v>4</v>
      </c>
      <c r="G143" s="16">
        <f>'WetLitterbags placem_collection'!E70</f>
        <v>42767</v>
      </c>
      <c r="H143" t="str">
        <f>'Final data_for_R_analysis_Wetse'!J69</f>
        <v>G269</v>
      </c>
      <c r="I143" t="str">
        <f>'Final data_for_R_analysis_Wetse'!J289</f>
        <v>R129</v>
      </c>
      <c r="J143">
        <f>IFERROR(INDEX('Green_rooibos initial weight'!$C$5:$C$1749,MATCH(H143, 'Green_rooibos initial weight'!$A$5:$A$1749,0)),"")</f>
        <v>2.0419999999999998</v>
      </c>
      <c r="K143">
        <f>IFERROR(INDEX('Green_rooibos initial weight'!$C$5:$C$1749,MATCH(I143, 'Green_rooibos initial weight'!$A$5:$A$1749,0)),"")</f>
        <v>2.2829999999999999</v>
      </c>
      <c r="L143" s="195">
        <f t="shared" si="16"/>
        <v>1.7921999999999998</v>
      </c>
      <c r="M143" s="195">
        <f>AVERAGE(Ashed_controlls!$K$2:$K$11)</f>
        <v>5.5147656768714146</v>
      </c>
      <c r="N143" s="195">
        <f t="shared" si="12"/>
        <v>1.6933643695391103</v>
      </c>
      <c r="O143" s="195">
        <f t="shared" si="17"/>
        <v>2.0331999999999999</v>
      </c>
      <c r="P143" s="195">
        <f>AVERAGE(Ashed_controlls!$K$12:$K$14)</f>
        <v>2.2816647271287041</v>
      </c>
      <c r="Q143" s="195">
        <f t="shared" si="18"/>
        <v>1.9868091927680191</v>
      </c>
      <c r="R143" s="16">
        <f>IF('WetLitterbags placem_collection'!G70="N.A","",'WetLitterbags placem_collection'!G70)</f>
        <v>42818</v>
      </c>
      <c r="S143" s="195">
        <f>IF(IFERROR(INDEX('Both teabags AfterWet'!$C$3:$C$841,MATCH(H143,'Both teabags AfterWet'!$A$3:$A$841,0)),"")="N.A","",(IFERROR(INDEX('Both teabags AfterWet'!$C$3:$C$841,MATCH(H143,'Both teabags AfterWet'!$A$3:$A$841,0)),"")))</f>
        <v>1.018</v>
      </c>
      <c r="T143" s="195">
        <f>IFERROR(INDEX('Both teabags AfterWet'!$C$3:$C$841,MATCH(I143,'Both teabags AfterWet'!$A$3:$A$841,0)),"")</f>
        <v>1.885</v>
      </c>
      <c r="U143" s="195">
        <f t="shared" si="19"/>
        <v>0.86739999999999995</v>
      </c>
      <c r="V143" s="195">
        <f t="shared" si="19"/>
        <v>1.7343999999999999</v>
      </c>
      <c r="W143" s="195">
        <f>IFERROR(INDEX('Ashed teabags wet'!$K$2:$K$821,MATCH(H143,'Ashed teabags wet'!$A$2:$A$821,0)),"")</f>
        <v>19.040626529613323</v>
      </c>
      <c r="X143" s="195">
        <f>IFERROR(INDEX('Ashed teabags wet'!$K$2:$K$821,MATCH(I143,'Ashed teabags wet'!$A$2:$A$821,0)),"")</f>
        <v>14.637752587481726</v>
      </c>
      <c r="Y143" s="195">
        <f t="shared" si="13"/>
        <v>0.70224160548213399</v>
      </c>
      <c r="Z143" s="195">
        <f t="shared" si="13"/>
        <v>1.4805228191227169</v>
      </c>
      <c r="AA143" s="195">
        <f t="shared" si="20"/>
        <v>0.58529799131579352</v>
      </c>
      <c r="AB143" s="195">
        <f t="shared" si="21"/>
        <v>0.38371079715714734</v>
      </c>
      <c r="AC143" s="195">
        <f t="shared" si="14"/>
        <v>0.74517614701593715</v>
      </c>
      <c r="AD143">
        <f t="shared" si="15"/>
        <v>51</v>
      </c>
      <c r="AE143" s="195">
        <f t="shared" si="22"/>
        <v>0.30487174428053021</v>
      </c>
      <c r="AF143" s="195">
        <f t="shared" si="23"/>
        <v>2.1391245452935203E-2</v>
      </c>
      <c r="AG143" s="255" t="str">
        <f>IF(ISNUMBER(SEARCH("C",'WetLitterbags placem_collection'!AD70)),"YES","NO")</f>
        <v>NO</v>
      </c>
      <c r="AH143" s="255" t="str">
        <f>IF(ISNUMBER(SEARCH("H", 'WetLitterbags placem_collection'!AD70)),"YES","NO")</f>
        <v>NO</v>
      </c>
      <c r="AI143" s="255" t="str">
        <f>IF(ISNUMBER(SEARCH("R", 'WetLitterbags placem_collection'!AD70)),"YES","NO")</f>
        <v>NO</v>
      </c>
      <c r="AJ143" s="255" t="str">
        <f>IF(ISNUMBER(SEARCH("C", 'WetLitterbags placem_collection'!AC70)),"YES","NO")</f>
        <v>NO</v>
      </c>
      <c r="AK143" s="255" t="str">
        <f>IF(ISNUMBER(SEARCH("H", 'WetLitterbags placem_collection'!AC70)),"YES","NO")</f>
        <v>NO</v>
      </c>
      <c r="AL143" s="255" t="str">
        <f>IF(ISNUMBER(SEARCH("R", 'WetLitterbags placem_collection'!AC70)),"YES","NO")</f>
        <v>NO</v>
      </c>
    </row>
    <row r="144" spans="2:38">
      <c r="B144" t="str">
        <f>'Final data_for_R_analysis_Wetse'!A70</f>
        <v>Wet</v>
      </c>
      <c r="C144" s="263">
        <f>'Final data_for_R_analysis_Wetse'!B70</f>
        <v>69</v>
      </c>
      <c r="D144" t="s">
        <v>3836</v>
      </c>
      <c r="E144" t="s">
        <v>22</v>
      </c>
      <c r="F144" s="387">
        <v>5</v>
      </c>
      <c r="G144" s="16">
        <f>'WetLitterbags placem_collection'!E71</f>
        <v>42767</v>
      </c>
      <c r="H144" t="str">
        <f>'Final data_for_R_analysis_Wetse'!J70</f>
        <v>G448</v>
      </c>
      <c r="I144" t="str">
        <f>'Final data_for_R_analysis_Wetse'!J290</f>
        <v>R414</v>
      </c>
      <c r="J144">
        <f>IFERROR(INDEX('Green_rooibos initial weight'!$C$5:$C$1749,MATCH(H144, 'Green_rooibos initial weight'!$A$5:$A$1749,0)),"")</f>
        <v>2.0179999999999998</v>
      </c>
      <c r="K144">
        <f>IFERROR(INDEX('Green_rooibos initial weight'!$C$5:$C$1749,MATCH(I144, 'Green_rooibos initial weight'!$A$5:$A$1749,0)),"")</f>
        <v>2.1349999999999998</v>
      </c>
      <c r="L144" s="195">
        <f t="shared" si="16"/>
        <v>1.7681999999999998</v>
      </c>
      <c r="M144" s="195">
        <f>AVERAGE(Ashed_controlls!$K$2:$K$11)</f>
        <v>5.5147656768714146</v>
      </c>
      <c r="N144" s="195">
        <f t="shared" si="12"/>
        <v>1.6706879133015595</v>
      </c>
      <c r="O144" s="195">
        <f t="shared" si="17"/>
        <v>1.8851999999999998</v>
      </c>
      <c r="P144" s="195">
        <f>AVERAGE(Ashed_controlls!$K$12:$K$14)</f>
        <v>2.2816647271287041</v>
      </c>
      <c r="Q144" s="195">
        <f t="shared" si="18"/>
        <v>1.8421860565641694</v>
      </c>
      <c r="R144" s="16">
        <f>IF('WetLitterbags placem_collection'!G71="N.A","",'WetLitterbags placem_collection'!G71)</f>
        <v>42818</v>
      </c>
      <c r="S144" s="195" t="str">
        <f>IF(IFERROR(INDEX('Both teabags AfterWet'!$C$3:$C$841,MATCH(H144,'Both teabags AfterWet'!$A$3:$A$841,0)),"")="N.A","",(IFERROR(INDEX('Both teabags AfterWet'!$C$3:$C$841,MATCH(H144,'Both teabags AfterWet'!$A$3:$A$841,0)),"")))</f>
        <v/>
      </c>
      <c r="T144" s="195">
        <f>IFERROR(INDEX('Both teabags AfterWet'!$C$3:$C$841,MATCH(I144,'Both teabags AfterWet'!$A$3:$A$841,0)),"")</f>
        <v>2.403</v>
      </c>
      <c r="U144" s="195" t="str">
        <f t="shared" si="19"/>
        <v/>
      </c>
      <c r="V144" s="195">
        <f t="shared" si="19"/>
        <v>2.2524000000000002</v>
      </c>
      <c r="W144" s="195" t="str">
        <f>IFERROR(INDEX('Ashed teabags wet'!$K$2:$K$821,MATCH(H144,'Ashed teabags wet'!$A$2:$A$821,0)),"")</f>
        <v/>
      </c>
      <c r="X144" s="195">
        <f>IFERROR(INDEX('Ashed teabags wet'!$K$2:$K$821,MATCH(I144,'Ashed teabags wet'!$A$2:$A$821,0)),"")</f>
        <v>16.515513126491193</v>
      </c>
      <c r="Y144" s="195" t="str">
        <f t="shared" si="13"/>
        <v/>
      </c>
      <c r="Z144" s="195">
        <f t="shared" si="13"/>
        <v>1.8804045823389126</v>
      </c>
      <c r="AA144" s="195" t="str">
        <f t="shared" si="20"/>
        <v/>
      </c>
      <c r="AB144" s="195" t="str">
        <f t="shared" si="21"/>
        <v/>
      </c>
      <c r="AC144" s="195">
        <f t="shared" si="14"/>
        <v>1.0207462897890043</v>
      </c>
      <c r="AD144">
        <f t="shared" si="15"/>
        <v>51</v>
      </c>
      <c r="AE144" s="195" t="str">
        <f t="shared" si="22"/>
        <v/>
      </c>
      <c r="AF144" s="195" t="str">
        <f t="shared" si="23"/>
        <v/>
      </c>
      <c r="AG144" s="255" t="str">
        <f>IF(ISNUMBER(SEARCH("C",'WetLitterbags placem_collection'!AD71)),"YES","NO")</f>
        <v>NO</v>
      </c>
      <c r="AH144" s="255" t="str">
        <f>IF(ISNUMBER(SEARCH("H", 'WetLitterbags placem_collection'!AD71)),"YES","NO")</f>
        <v>NO</v>
      </c>
      <c r="AI144" s="255" t="str">
        <f>IF(ISNUMBER(SEARCH("R", 'WetLitterbags placem_collection'!AD71)),"YES","NO")</f>
        <v>NO</v>
      </c>
      <c r="AJ144" s="255" t="str">
        <f>IF(ISNUMBER(SEARCH("C", 'WetLitterbags placem_collection'!AC71)),"YES","NO")</f>
        <v>NO</v>
      </c>
      <c r="AK144" s="255" t="str">
        <f>IF(ISNUMBER(SEARCH("H", 'WetLitterbags placem_collection'!AC71)),"YES","NO")</f>
        <v>NO</v>
      </c>
      <c r="AL144" s="255" t="str">
        <f>IF(ISNUMBER(SEARCH("R", 'WetLitterbags placem_collection'!AC71)),"YES","NO")</f>
        <v>NO</v>
      </c>
    </row>
    <row r="145" spans="2:38">
      <c r="B145" t="str">
        <f>'Final data_for_R_analysis_Wetse'!A71</f>
        <v>Wet</v>
      </c>
      <c r="C145" s="263">
        <f>'Final data_for_R_analysis_Wetse'!B71</f>
        <v>70</v>
      </c>
      <c r="D145" t="s">
        <v>3836</v>
      </c>
      <c r="E145" t="s">
        <v>22</v>
      </c>
      <c r="F145" s="387">
        <v>6</v>
      </c>
      <c r="G145" s="16">
        <f>'WetLitterbags placem_collection'!E72</f>
        <v>42767</v>
      </c>
      <c r="H145" t="str">
        <f>'Final data_for_R_analysis_Wetse'!J71</f>
        <v>G358</v>
      </c>
      <c r="I145" t="str">
        <f>'Final data_for_R_analysis_Wetse'!J291</f>
        <v>R151</v>
      </c>
      <c r="J145">
        <f>IFERROR(INDEX('Green_rooibos initial weight'!$C$5:$C$1749,MATCH(H145, 'Green_rooibos initial weight'!$A$5:$A$1749,0)),"")</f>
        <v>2.016</v>
      </c>
      <c r="K145">
        <f>IFERROR(INDEX('Green_rooibos initial weight'!$C$5:$C$1749,MATCH(I145, 'Green_rooibos initial weight'!$A$5:$A$1749,0)),"")</f>
        <v>2.1920000000000002</v>
      </c>
      <c r="L145" s="195">
        <f t="shared" si="16"/>
        <v>1.7662</v>
      </c>
      <c r="M145" s="195">
        <f>AVERAGE(Ashed_controlls!$K$2:$K$11)</f>
        <v>5.5147656768714146</v>
      </c>
      <c r="N145" s="195">
        <f t="shared" si="12"/>
        <v>1.668798208615097</v>
      </c>
      <c r="O145" s="195">
        <f t="shared" si="17"/>
        <v>1.9422000000000001</v>
      </c>
      <c r="P145" s="195">
        <f>AVERAGE(Ashed_controlls!$K$12:$K$14)</f>
        <v>2.2816647271287041</v>
      </c>
      <c r="Q145" s="195">
        <f t="shared" si="18"/>
        <v>1.8978855076697065</v>
      </c>
      <c r="R145" s="16">
        <f>IF('WetLitterbags placem_collection'!G72="N.A","",'WetLitterbags placem_collection'!G72)</f>
        <v>42818</v>
      </c>
      <c r="S145" s="195">
        <f>IF(IFERROR(INDEX('Both teabags AfterWet'!$C$3:$C$841,MATCH(H145,'Both teabags AfterWet'!$A$3:$A$841,0)),"")="N.A","",(IFERROR(INDEX('Both teabags AfterWet'!$C$3:$C$841,MATCH(H145,'Both teabags AfterWet'!$A$3:$A$841,0)),"")))</f>
        <v>0.84299999999999997</v>
      </c>
      <c r="T145" s="195">
        <f>IFERROR(INDEX('Both teabags AfterWet'!$C$3:$C$841,MATCH(I145,'Both teabags AfterWet'!$A$3:$A$841,0)),"")</f>
        <v>1.536</v>
      </c>
      <c r="U145" s="195">
        <f t="shared" si="19"/>
        <v>0.6923999999999999</v>
      </c>
      <c r="V145" s="195">
        <f t="shared" si="19"/>
        <v>1.3854</v>
      </c>
      <c r="W145" s="195">
        <f>IFERROR(INDEX('Ashed teabags wet'!$K$2:$K$821,MATCH(H145,'Ashed teabags wet'!$A$2:$A$821,0)),"")</f>
        <v>13.570741097208547</v>
      </c>
      <c r="X145" s="195">
        <f>IFERROR(INDEX('Ashed teabags wet'!$K$2:$K$821,MATCH(I145,'Ashed teabags wet'!$A$2:$A$821,0)),"")</f>
        <v>89.048562933597623</v>
      </c>
      <c r="Y145" s="195">
        <f t="shared" si="13"/>
        <v>0.59843618864292791</v>
      </c>
      <c r="Z145" s="195">
        <f t="shared" si="13"/>
        <v>0.15172120911793852</v>
      </c>
      <c r="AA145" s="195">
        <f t="shared" si="20"/>
        <v>0.6413969133274906</v>
      </c>
      <c r="AB145" s="195">
        <f t="shared" si="21"/>
        <v>0.42048823771588462</v>
      </c>
      <c r="AC145" s="195">
        <f t="shared" si="14"/>
        <v>7.9942234926609138E-2</v>
      </c>
      <c r="AD145">
        <f t="shared" si="15"/>
        <v>51</v>
      </c>
      <c r="AE145" s="195">
        <f t="shared" si="22"/>
        <v>0.23824594616687578</v>
      </c>
      <c r="AF145" s="195" t="str">
        <f t="shared" si="23"/>
        <v/>
      </c>
      <c r="AG145" s="255" t="str">
        <f>IF(ISNUMBER(SEARCH("C",'WetLitterbags placem_collection'!AD72)),"YES","NO")</f>
        <v>NO</v>
      </c>
      <c r="AH145" s="255" t="str">
        <f>IF(ISNUMBER(SEARCH("H", 'WetLitterbags placem_collection'!AD72)),"YES","NO")</f>
        <v>NO</v>
      </c>
      <c r="AI145" s="255" t="str">
        <f>IF(ISNUMBER(SEARCH("R", 'WetLitterbags placem_collection'!AD72)),"YES","NO")</f>
        <v>NO</v>
      </c>
      <c r="AJ145" s="255" t="str">
        <f>IF(ISNUMBER(SEARCH("C", 'WetLitterbags placem_collection'!AC72)),"YES","NO")</f>
        <v>NO</v>
      </c>
      <c r="AK145" s="255" t="str">
        <f>IF(ISNUMBER(SEARCH("H", 'WetLitterbags placem_collection'!AC72)),"YES","NO")</f>
        <v>NO</v>
      </c>
      <c r="AL145" s="255" t="str">
        <f>IF(ISNUMBER(SEARCH("R", 'WetLitterbags placem_collection'!AC72)),"YES","NO")</f>
        <v>NO</v>
      </c>
    </row>
    <row r="146" spans="2:38">
      <c r="B146" t="str">
        <f>'Final data_for_R_analysis_Wetse'!A72</f>
        <v>Wet</v>
      </c>
      <c r="C146" s="263">
        <f>'Final data_for_R_analysis_Wetse'!B72</f>
        <v>71</v>
      </c>
      <c r="D146" t="s">
        <v>3836</v>
      </c>
      <c r="E146" t="s">
        <v>22</v>
      </c>
      <c r="F146" s="387">
        <v>7</v>
      </c>
      <c r="G146" s="16">
        <f>'WetLitterbags placem_collection'!E73</f>
        <v>42767</v>
      </c>
      <c r="H146" t="str">
        <f>'Final data_for_R_analysis_Wetse'!J72</f>
        <v>G511</v>
      </c>
      <c r="I146" t="str">
        <f>'Final data_for_R_analysis_Wetse'!J292</f>
        <v>R95</v>
      </c>
      <c r="J146">
        <f>IFERROR(INDEX('Green_rooibos initial weight'!$C$5:$C$1749,MATCH(H146, 'Green_rooibos initial weight'!$A$5:$A$1749,0)),"")</f>
        <v>1.9930000000000001</v>
      </c>
      <c r="K146">
        <f>IFERROR(INDEX('Green_rooibos initial weight'!$C$5:$C$1749,MATCH(I146, 'Green_rooibos initial weight'!$A$5:$A$1749,0)),"")</f>
        <v>2.2160000000000002</v>
      </c>
      <c r="L146" s="195">
        <f t="shared" si="16"/>
        <v>1.7432000000000001</v>
      </c>
      <c r="M146" s="195">
        <f>AVERAGE(Ashed_controlls!$K$2:$K$11)</f>
        <v>5.5147656768714146</v>
      </c>
      <c r="N146" s="195">
        <f t="shared" si="12"/>
        <v>1.6470666047207776</v>
      </c>
      <c r="O146" s="195">
        <f t="shared" si="17"/>
        <v>1.9662000000000002</v>
      </c>
      <c r="P146" s="195">
        <f>AVERAGE(Ashed_controlls!$K$12:$K$14)</f>
        <v>2.2816647271287041</v>
      </c>
      <c r="Q146" s="195">
        <f t="shared" si="18"/>
        <v>1.9213379081351956</v>
      </c>
      <c r="R146" s="16">
        <f>IF('WetLitterbags placem_collection'!G73="N.A","",'WetLitterbags placem_collection'!G73)</f>
        <v>42818</v>
      </c>
      <c r="S146" s="195">
        <f>IF(IFERROR(INDEX('Both teabags AfterWet'!$C$3:$C$841,MATCH(H146,'Both teabags AfterWet'!$A$3:$A$841,0)),"")="N.A","",(IFERROR(INDEX('Both teabags AfterWet'!$C$3:$C$841,MATCH(H146,'Both teabags AfterWet'!$A$3:$A$841,0)),"")))</f>
        <v>0.83740000000000003</v>
      </c>
      <c r="T146" s="195">
        <f>IFERROR(INDEX('Both teabags AfterWet'!$C$3:$C$841,MATCH(I146,'Both teabags AfterWet'!$A$3:$A$841,0)),"")</f>
        <v>1.6388</v>
      </c>
      <c r="U146" s="195">
        <f t="shared" si="19"/>
        <v>0.68680000000000008</v>
      </c>
      <c r="V146" s="195">
        <f t="shared" si="19"/>
        <v>1.4882</v>
      </c>
      <c r="W146" s="195">
        <f>IFERROR(INDEX('Ashed teabags wet'!$K$2:$K$821,MATCH(H146,'Ashed teabags wet'!$A$2:$A$821,0)),"")</f>
        <v>9.3359960059912463</v>
      </c>
      <c r="X146" s="195">
        <f>IFERROR(INDEX('Ashed teabags wet'!$K$2:$K$821,MATCH(I146,'Ashed teabags wet'!$A$2:$A$821,0)),"")</f>
        <v>3.275434243175928</v>
      </c>
      <c r="Y146" s="195">
        <f t="shared" si="13"/>
        <v>0.62268037943085219</v>
      </c>
      <c r="Z146" s="195">
        <f t="shared" si="13"/>
        <v>1.4394549875930558</v>
      </c>
      <c r="AA146" s="195">
        <f t="shared" si="20"/>
        <v>0.62194584138483378</v>
      </c>
      <c r="AB146" s="195">
        <f t="shared" si="21"/>
        <v>0.40773646608601932</v>
      </c>
      <c r="AC146" s="195">
        <f t="shared" si="14"/>
        <v>0.74919408059259929</v>
      </c>
      <c r="AD146">
        <f t="shared" si="15"/>
        <v>51</v>
      </c>
      <c r="AE146" s="195">
        <f t="shared" si="22"/>
        <v>0.2613469817282259</v>
      </c>
      <c r="AF146" s="195">
        <f t="shared" si="23"/>
        <v>1.8721916071122599E-2</v>
      </c>
      <c r="AG146" s="255" t="str">
        <f>IF(ISNUMBER(SEARCH("C",'WetLitterbags placem_collection'!AD73)),"YES","NO")</f>
        <v>NO</v>
      </c>
      <c r="AH146" s="255" t="str">
        <f>IF(ISNUMBER(SEARCH("H", 'WetLitterbags placem_collection'!AD73)),"YES","NO")</f>
        <v>NO</v>
      </c>
      <c r="AI146" s="255" t="str">
        <f>IF(ISNUMBER(SEARCH("R", 'WetLitterbags placem_collection'!AD73)),"YES","NO")</f>
        <v>NO</v>
      </c>
      <c r="AJ146" s="255" t="str">
        <f>IF(ISNUMBER(SEARCH("C", 'WetLitterbags placem_collection'!AC73)),"YES","NO")</f>
        <v>NO</v>
      </c>
      <c r="AK146" s="255" t="str">
        <f>IF(ISNUMBER(SEARCH("H", 'WetLitterbags placem_collection'!AC73)),"YES","NO")</f>
        <v>NO</v>
      </c>
      <c r="AL146" s="255" t="str">
        <f>IF(ISNUMBER(SEARCH("R", 'WetLitterbags placem_collection'!AC73)),"YES","NO")</f>
        <v>NO</v>
      </c>
    </row>
    <row r="147" spans="2:38">
      <c r="B147" t="str">
        <f>'Final data_for_R_analysis_Wetse'!A73</f>
        <v>Wet</v>
      </c>
      <c r="C147" s="263">
        <f>'Final data_for_R_analysis_Wetse'!B73</f>
        <v>72</v>
      </c>
      <c r="D147" t="s">
        <v>3836</v>
      </c>
      <c r="E147" t="s">
        <v>22</v>
      </c>
      <c r="F147" s="387">
        <v>8</v>
      </c>
      <c r="G147" s="16">
        <f>'WetLitterbags placem_collection'!E74</f>
        <v>42767</v>
      </c>
      <c r="H147" t="str">
        <f>'Final data_for_R_analysis_Wetse'!J73</f>
        <v>G383</v>
      </c>
      <c r="I147" t="str">
        <f>'Final data_for_R_analysis_Wetse'!J293</f>
        <v>R546</v>
      </c>
      <c r="J147">
        <f>IFERROR(INDEX('Green_rooibos initial weight'!$C$5:$C$1749,MATCH(H147, 'Green_rooibos initial weight'!$A$5:$A$1749,0)),"")</f>
        <v>1.956</v>
      </c>
      <c r="K147">
        <f>IFERROR(INDEX('Green_rooibos initial weight'!$C$5:$C$1749,MATCH(I147, 'Green_rooibos initial weight'!$A$5:$A$1749,0)),"")</f>
        <v>2.2250000000000001</v>
      </c>
      <c r="L147" s="195">
        <f t="shared" si="16"/>
        <v>1.7061999999999999</v>
      </c>
      <c r="M147" s="195">
        <f>AVERAGE(Ashed_controlls!$K$2:$K$11)</f>
        <v>5.5147656768714146</v>
      </c>
      <c r="N147" s="195">
        <f t="shared" si="12"/>
        <v>1.6121070680212199</v>
      </c>
      <c r="O147" s="195">
        <f t="shared" si="17"/>
        <v>1.9752000000000001</v>
      </c>
      <c r="P147" s="195">
        <f>AVERAGE(Ashed_controlls!$K$12:$K$14)</f>
        <v>2.2816647271287041</v>
      </c>
      <c r="Q147" s="195">
        <f t="shared" si="18"/>
        <v>1.9301325583097539</v>
      </c>
      <c r="R147" s="16">
        <f>IF('WetLitterbags placem_collection'!G74="N.A","",'WetLitterbags placem_collection'!G74)</f>
        <v>42818</v>
      </c>
      <c r="S147" s="195">
        <f>IF(IFERROR(INDEX('Both teabags AfterWet'!$C$3:$C$841,MATCH(H147,'Both teabags AfterWet'!$A$3:$A$841,0)),"")="N.A","",(IFERROR(INDEX('Both teabags AfterWet'!$C$3:$C$841,MATCH(H147,'Both teabags AfterWet'!$A$3:$A$841,0)),"")))</f>
        <v>0.82550000000000001</v>
      </c>
      <c r="T147" s="195" t="str">
        <f>IFERROR(INDEX('Both teabags AfterWet'!$C$3:$C$841,MATCH(I147,'Both teabags AfterWet'!$A$3:$A$841,0)),"")</f>
        <v/>
      </c>
      <c r="U147" s="195">
        <f t="shared" si="19"/>
        <v>0.67490000000000006</v>
      </c>
      <c r="V147" s="195" t="str">
        <f t="shared" si="19"/>
        <v/>
      </c>
      <c r="W147" s="195">
        <f>IFERROR(INDEX('Ashed teabags wet'!$K$2:$K$821,MATCH(H147,'Ashed teabags wet'!$A$2:$A$821,0)),"")</f>
        <v>8.9603960396033298</v>
      </c>
      <c r="X147" s="195">
        <f>IFERROR(INDEX('Ashed teabags wet'!$K$2:$K$821,MATCH(I147,'Ashed teabags wet'!$A$2:$A$821,0)),"")</f>
        <v>5.6566650270533065</v>
      </c>
      <c r="Y147" s="195">
        <f t="shared" si="13"/>
        <v>0.61442628712871716</v>
      </c>
      <c r="Z147" s="195" t="str">
        <f t="shared" si="13"/>
        <v/>
      </c>
      <c r="AA147" s="195">
        <f t="shared" si="20"/>
        <v>0.61886756821747924</v>
      </c>
      <c r="AB147" s="195">
        <f t="shared" si="21"/>
        <v>0.40571840576727863</v>
      </c>
      <c r="AC147" s="195" t="str">
        <f t="shared" si="14"/>
        <v/>
      </c>
      <c r="AD147">
        <f t="shared" si="15"/>
        <v>51</v>
      </c>
      <c r="AE147" s="195">
        <f t="shared" si="22"/>
        <v>0.26500288810275618</v>
      </c>
      <c r="AF147" s="195" t="str">
        <f t="shared" si="23"/>
        <v/>
      </c>
      <c r="AG147" s="255" t="str">
        <f>IF(ISNUMBER(SEARCH("C",'WetLitterbags placem_collection'!AD74)),"YES","NO")</f>
        <v>NO</v>
      </c>
      <c r="AH147" s="255" t="str">
        <f>IF(ISNUMBER(SEARCH("H", 'WetLitterbags placem_collection'!AD74)),"YES","NO")</f>
        <v>YES</v>
      </c>
      <c r="AI147" s="255" t="str">
        <f>IF(ISNUMBER(SEARCH("R", 'WetLitterbags placem_collection'!AD74)),"YES","NO")</f>
        <v>YES</v>
      </c>
      <c r="AJ147" s="255" t="str">
        <f>IF(ISNUMBER(SEARCH("C", 'WetLitterbags placem_collection'!AC74)),"YES","NO")</f>
        <v>NO</v>
      </c>
      <c r="AK147" s="255" t="str">
        <f>IF(ISNUMBER(SEARCH("H", 'WetLitterbags placem_collection'!AC74)),"YES","NO")</f>
        <v>NO</v>
      </c>
      <c r="AL147" s="255" t="str">
        <f>IF(ISNUMBER(SEARCH("R", 'WetLitterbags placem_collection'!AC74)),"YES","NO")</f>
        <v>NO</v>
      </c>
    </row>
    <row r="148" spans="2:38">
      <c r="B148" t="str">
        <f>'Final data_for_R_analysis_Wetse'!A74</f>
        <v>Wet</v>
      </c>
      <c r="C148" s="263">
        <f>'Final data_for_R_analysis_Wetse'!B74</f>
        <v>73</v>
      </c>
      <c r="D148" t="s">
        <v>3838</v>
      </c>
      <c r="E148" t="s">
        <v>22</v>
      </c>
      <c r="F148" s="386">
        <v>1</v>
      </c>
      <c r="G148" s="16">
        <f>'WetLitterbags placem_collection'!E75</f>
        <v>42767</v>
      </c>
      <c r="H148" t="str">
        <f>'Final data_for_R_analysis_Wetse'!J74</f>
        <v>G549</v>
      </c>
      <c r="I148" t="str">
        <f>'Final data_for_R_analysis_Wetse'!J294</f>
        <v>R438</v>
      </c>
      <c r="J148">
        <f>IFERROR(INDEX('Green_rooibos initial weight'!$C$5:$C$1749,MATCH(H148, 'Green_rooibos initial weight'!$A$5:$A$1749,0)),"")</f>
        <v>2.016</v>
      </c>
      <c r="K148">
        <f>IFERROR(INDEX('Green_rooibos initial weight'!$C$5:$C$1749,MATCH(I148, 'Green_rooibos initial weight'!$A$5:$A$1749,0)),"")</f>
        <v>2.1829999999999998</v>
      </c>
      <c r="L148" s="195">
        <f t="shared" si="16"/>
        <v>1.7662</v>
      </c>
      <c r="M148" s="195">
        <f>AVERAGE(Ashed_controlls!$K$2:$K$11)</f>
        <v>5.5147656768714146</v>
      </c>
      <c r="N148" s="195">
        <f t="shared" si="12"/>
        <v>1.668798208615097</v>
      </c>
      <c r="O148" s="195">
        <f t="shared" si="17"/>
        <v>1.9331999999999998</v>
      </c>
      <c r="P148" s="195">
        <f>AVERAGE(Ashed_controlls!$K$12:$K$14)</f>
        <v>2.2816647271287041</v>
      </c>
      <c r="Q148" s="195">
        <f t="shared" si="18"/>
        <v>1.8890908574951477</v>
      </c>
      <c r="R148" s="16">
        <f>IF('WetLitterbags placem_collection'!G75="N.A","",'WetLitterbags placem_collection'!G75)</f>
        <v>42818</v>
      </c>
      <c r="S148" s="195">
        <f>IF(IFERROR(INDEX('Both teabags AfterWet'!$C$3:$C$841,MATCH(H148,'Both teabags AfterWet'!$A$3:$A$841,0)),"")="N.A","",(IFERROR(INDEX('Both teabags AfterWet'!$C$3:$C$841,MATCH(H148,'Both teabags AfterWet'!$A$3:$A$841,0)),"")))</f>
        <v>0.74199999999999999</v>
      </c>
      <c r="T148" s="195">
        <f>IFERROR(INDEX('Both teabags AfterWet'!$C$3:$C$841,MATCH(I148,'Both teabags AfterWet'!$A$3:$A$841,0)),"")</f>
        <v>0.17480000000000001</v>
      </c>
      <c r="U148" s="195">
        <f t="shared" si="19"/>
        <v>0.59139999999999993</v>
      </c>
      <c r="V148" s="195">
        <f t="shared" si="19"/>
        <v>2.4199999999999999E-2</v>
      </c>
      <c r="W148" s="195">
        <f>IFERROR(INDEX('Ashed teabags wet'!$K$2:$K$821,MATCH(H148,'Ashed teabags wet'!$A$2:$A$821,0)),"")</f>
        <v>10.980392156862093</v>
      </c>
      <c r="X148" s="195" t="str">
        <f>IFERROR(INDEX('Ashed teabags wet'!$K$2:$K$821,MATCH(I148,'Ashed teabags wet'!$A$2:$A$821,0)),"")</f>
        <v/>
      </c>
      <c r="Y148" s="195">
        <f t="shared" si="13"/>
        <v>0.52646196078431751</v>
      </c>
      <c r="Z148" s="195" t="str">
        <f t="shared" si="13"/>
        <v/>
      </c>
      <c r="AA148" s="195">
        <f t="shared" si="20"/>
        <v>0.68452629079628635</v>
      </c>
      <c r="AB148" s="195">
        <f t="shared" si="21"/>
        <v>0.44876307900184098</v>
      </c>
      <c r="AC148" s="195" t="str">
        <f t="shared" si="14"/>
        <v/>
      </c>
      <c r="AD148">
        <f t="shared" si="15"/>
        <v>51</v>
      </c>
      <c r="AE148" s="195">
        <f t="shared" si="22"/>
        <v>0.18702340760536063</v>
      </c>
      <c r="AF148" s="195" t="str">
        <f t="shared" si="23"/>
        <v/>
      </c>
      <c r="AG148" s="255" t="str">
        <f>IF(ISNUMBER(SEARCH("C",'WetLitterbags placem_collection'!AD75)),"YES","NO")</f>
        <v>NO</v>
      </c>
      <c r="AH148" s="255" t="str">
        <f>IF(ISNUMBER(SEARCH("H", 'WetLitterbags placem_collection'!AD75)),"YES","NO")</f>
        <v>NO</v>
      </c>
      <c r="AI148" s="255" t="str">
        <f>IF(ISNUMBER(SEARCH("R", 'WetLitterbags placem_collection'!AD75)),"YES","NO")</f>
        <v>NO</v>
      </c>
      <c r="AJ148" s="255" t="str">
        <f>IF(ISNUMBER(SEARCH("C", 'WetLitterbags placem_collection'!AC75)),"YES","NO")</f>
        <v>NO</v>
      </c>
      <c r="AK148" s="255" t="str">
        <f>IF(ISNUMBER(SEARCH("H", 'WetLitterbags placem_collection'!AC75)),"YES","NO")</f>
        <v>NO</v>
      </c>
      <c r="AL148" s="255" t="str">
        <f>IF(ISNUMBER(SEARCH("R", 'WetLitterbags placem_collection'!AC75)),"YES","NO")</f>
        <v>NO</v>
      </c>
    </row>
    <row r="149" spans="2:38">
      <c r="B149" t="str">
        <f>'Final data_for_R_analysis_Wetse'!A75</f>
        <v>Wet</v>
      </c>
      <c r="C149" s="263">
        <f>'Final data_for_R_analysis_Wetse'!B75</f>
        <v>74</v>
      </c>
      <c r="D149" t="s">
        <v>3838</v>
      </c>
      <c r="E149" t="s">
        <v>22</v>
      </c>
      <c r="F149" s="386">
        <v>2</v>
      </c>
      <c r="G149" s="16">
        <f>'WetLitterbags placem_collection'!E76</f>
        <v>42767</v>
      </c>
      <c r="H149" t="str">
        <f>'Final data_for_R_analysis_Wetse'!J75</f>
        <v>G605</v>
      </c>
      <c r="I149" t="str">
        <f>'Final data_for_R_analysis_Wetse'!J295</f>
        <v>R122</v>
      </c>
      <c r="J149">
        <f>IFERROR(INDEX('Green_rooibos initial weight'!$C$5:$C$1749,MATCH(H149, 'Green_rooibos initial weight'!$A$5:$A$1749,0)),"")</f>
        <v>2.0459999999999998</v>
      </c>
      <c r="K149">
        <f>IFERROR(INDEX('Green_rooibos initial weight'!$C$5:$C$1749,MATCH(I149, 'Green_rooibos initial weight'!$A$5:$A$1749,0)),"")</f>
        <v>2.2189999999999999</v>
      </c>
      <c r="L149" s="195">
        <f t="shared" si="16"/>
        <v>1.7961999999999998</v>
      </c>
      <c r="M149" s="195">
        <f>AVERAGE(Ashed_controlls!$K$2:$K$11)</f>
        <v>5.5147656768714146</v>
      </c>
      <c r="N149" s="195">
        <f t="shared" si="12"/>
        <v>1.6971437789120354</v>
      </c>
      <c r="O149" s="195">
        <f t="shared" si="17"/>
        <v>1.9691999999999998</v>
      </c>
      <c r="P149" s="195">
        <f>AVERAGE(Ashed_controlls!$K$12:$K$14)</f>
        <v>2.2816647271287041</v>
      </c>
      <c r="Q149" s="195">
        <f t="shared" si="18"/>
        <v>1.9242694581933815</v>
      </c>
      <c r="R149" s="16">
        <f>IF('WetLitterbags placem_collection'!G76="N.A","",'WetLitterbags placem_collection'!G76)</f>
        <v>42818</v>
      </c>
      <c r="S149" s="195">
        <f>IF(IFERROR(INDEX('Both teabags AfterWet'!$C$3:$C$841,MATCH(H149,'Both teabags AfterWet'!$A$3:$A$841,0)),"")="N.A","",(IFERROR(INDEX('Both teabags AfterWet'!$C$3:$C$841,MATCH(H149,'Both teabags AfterWet'!$A$3:$A$841,0)),"")))</f>
        <v>1.1950000000000001</v>
      </c>
      <c r="T149" s="195">
        <f>IFERROR(INDEX('Both teabags AfterWet'!$C$3:$C$841,MATCH(I149,'Both teabags AfterWet'!$A$3:$A$841,0)),"")</f>
        <v>0.35499999999999998</v>
      </c>
      <c r="U149" s="195">
        <f t="shared" si="19"/>
        <v>1.0444</v>
      </c>
      <c r="V149" s="195">
        <f t="shared" si="19"/>
        <v>0.20439999999999997</v>
      </c>
      <c r="W149" s="195">
        <f>IFERROR(INDEX('Ashed teabags wet'!$K$2:$K$821,MATCH(H149,'Ashed teabags wet'!$A$2:$A$821,0)),"")</f>
        <v>62.512315270936703</v>
      </c>
      <c r="X149" s="195" t="str">
        <f>IFERROR(INDEX('Ashed teabags wet'!$K$2:$K$821,MATCH(I149,'Ashed teabags wet'!$A$2:$A$821,0)),"")</f>
        <v/>
      </c>
      <c r="Y149" s="195">
        <f t="shared" si="13"/>
        <v>0.39152137931033704</v>
      </c>
      <c r="Z149" s="195" t="str">
        <f t="shared" si="13"/>
        <v/>
      </c>
      <c r="AA149" s="195">
        <f t="shared" si="20"/>
        <v>0.76930570987843805</v>
      </c>
      <c r="AB149" s="195">
        <f t="shared" si="21"/>
        <v>0.50434293569227773</v>
      </c>
      <c r="AC149" s="195" t="str">
        <f t="shared" si="14"/>
        <v/>
      </c>
      <c r="AD149">
        <f t="shared" si="15"/>
        <v>51</v>
      </c>
      <c r="AE149" s="195">
        <f t="shared" si="22"/>
        <v>8.6335261427033183E-2</v>
      </c>
      <c r="AF149" s="195" t="str">
        <f t="shared" si="23"/>
        <v/>
      </c>
      <c r="AG149" s="255" t="str">
        <f>IF(ISNUMBER(SEARCH("C",'WetLitterbags placem_collection'!AD76)),"YES","NO")</f>
        <v>NO</v>
      </c>
      <c r="AH149" s="255" t="str">
        <f>IF(ISNUMBER(SEARCH("H", 'WetLitterbags placem_collection'!AD76)),"YES","NO")</f>
        <v>NO</v>
      </c>
      <c r="AI149" s="255" t="str">
        <f>IF(ISNUMBER(SEARCH("R", 'WetLitterbags placem_collection'!AD76)),"YES","NO")</f>
        <v>NO</v>
      </c>
      <c r="AJ149" s="255" t="str">
        <f>IF(ISNUMBER(SEARCH("C", 'WetLitterbags placem_collection'!AC76)),"YES","NO")</f>
        <v>NO</v>
      </c>
      <c r="AK149" s="255" t="str">
        <f>IF(ISNUMBER(SEARCH("H", 'WetLitterbags placem_collection'!AC76)),"YES","NO")</f>
        <v>NO</v>
      </c>
      <c r="AL149" s="255" t="str">
        <f>IF(ISNUMBER(SEARCH("R", 'WetLitterbags placem_collection'!AC76)),"YES","NO")</f>
        <v>NO</v>
      </c>
    </row>
    <row r="150" spans="2:38">
      <c r="B150" t="str">
        <f>'Final data_for_R_analysis_Wetse'!A76</f>
        <v>Wet</v>
      </c>
      <c r="C150" s="263">
        <f>'Final data_for_R_analysis_Wetse'!B76</f>
        <v>75</v>
      </c>
      <c r="D150" t="s">
        <v>3838</v>
      </c>
      <c r="E150" t="s">
        <v>22</v>
      </c>
      <c r="F150" s="386">
        <v>3</v>
      </c>
      <c r="G150" s="16">
        <f>'WetLitterbags placem_collection'!E77</f>
        <v>42767</v>
      </c>
      <c r="H150" t="str">
        <f>'Final data_for_R_analysis_Wetse'!J76</f>
        <v>G408</v>
      </c>
      <c r="I150" t="str">
        <f>'Final data_for_R_analysis_Wetse'!J296</f>
        <v>R404</v>
      </c>
      <c r="J150">
        <f>IFERROR(INDEX('Green_rooibos initial weight'!$C$5:$C$1749,MATCH(H150, 'Green_rooibos initial weight'!$A$5:$A$1749,0)),"")</f>
        <v>2.044</v>
      </c>
      <c r="K150">
        <f>IFERROR(INDEX('Green_rooibos initial weight'!$C$5:$C$1749,MATCH(I150, 'Green_rooibos initial weight'!$A$5:$A$1749,0)),"")</f>
        <v>2.1779999999999999</v>
      </c>
      <c r="L150" s="195">
        <f t="shared" si="16"/>
        <v>1.7942</v>
      </c>
      <c r="M150" s="195">
        <f>AVERAGE(Ashed_controlls!$K$2:$K$11)</f>
        <v>5.5147656768714146</v>
      </c>
      <c r="N150" s="195">
        <f t="shared" si="12"/>
        <v>1.6952540742255731</v>
      </c>
      <c r="O150" s="195">
        <f t="shared" si="17"/>
        <v>1.9281999999999999</v>
      </c>
      <c r="P150" s="195">
        <f>AVERAGE(Ashed_controlls!$K$12:$K$14)</f>
        <v>2.2816647271287041</v>
      </c>
      <c r="Q150" s="195">
        <f t="shared" si="18"/>
        <v>1.8842049407315042</v>
      </c>
      <c r="R150" s="16">
        <f>IF('WetLitterbags placem_collection'!G77="N.A","",'WetLitterbags placem_collection'!G77)</f>
        <v>42818</v>
      </c>
      <c r="S150" s="195">
        <f>IF(IFERROR(INDEX('Both teabags AfterWet'!$C$3:$C$841,MATCH(H150,'Both teabags AfterWet'!$A$3:$A$841,0)),"")="N.A","",(IFERROR(INDEX('Both teabags AfterWet'!$C$3:$C$841,MATCH(H150,'Both teabags AfterWet'!$A$3:$A$841,0)),"")))</f>
        <v>0.85780000000000001</v>
      </c>
      <c r="T150" s="195">
        <f>IFERROR(INDEX('Both teabags AfterWet'!$C$3:$C$841,MATCH(I150,'Both teabags AfterWet'!$A$3:$A$841,0)),"")</f>
        <v>0.15579999999999999</v>
      </c>
      <c r="U150" s="195">
        <f t="shared" si="19"/>
        <v>0.70720000000000005</v>
      </c>
      <c r="V150" s="195">
        <f t="shared" si="19"/>
        <v>5.1999999999999824E-3</v>
      </c>
      <c r="W150" s="195">
        <f>IFERROR(INDEX('Ashed teabags wet'!$K$2:$K$821,MATCH(H150,'Ashed teabags wet'!$A$2:$A$821,0)),"")</f>
        <v>10.812157448929053</v>
      </c>
      <c r="X150" s="195" t="str">
        <f>IFERROR(INDEX('Ashed teabags wet'!$K$2:$K$821,MATCH(I150,'Ashed teabags wet'!$A$2:$A$821,0)),"")</f>
        <v/>
      </c>
      <c r="Y150" s="195">
        <f t="shared" si="13"/>
        <v>0.63073642252117379</v>
      </c>
      <c r="Z150" s="195" t="str">
        <f t="shared" si="13"/>
        <v/>
      </c>
      <c r="AA150" s="195">
        <f t="shared" si="20"/>
        <v>0.62793988694036496</v>
      </c>
      <c r="AB150" s="195">
        <f t="shared" si="21"/>
        <v>0.41166605414617757</v>
      </c>
      <c r="AC150" s="195" t="str">
        <f t="shared" si="14"/>
        <v/>
      </c>
      <c r="AD150">
        <f t="shared" si="15"/>
        <v>51</v>
      </c>
      <c r="AE150" s="195">
        <f t="shared" si="22"/>
        <v>0.25422816277866389</v>
      </c>
      <c r="AF150" s="195" t="str">
        <f t="shared" si="23"/>
        <v/>
      </c>
      <c r="AG150" s="255" t="str">
        <f>IF(ISNUMBER(SEARCH("C",'WetLitterbags placem_collection'!AD77)),"YES","NO")</f>
        <v>NO</v>
      </c>
      <c r="AH150" s="255" t="str">
        <f>IF(ISNUMBER(SEARCH("H", 'WetLitterbags placem_collection'!AD77)),"YES","NO")</f>
        <v>NO</v>
      </c>
      <c r="AI150" s="255" t="str">
        <f>IF(ISNUMBER(SEARCH("R", 'WetLitterbags placem_collection'!AD77)),"YES","NO")</f>
        <v>NO</v>
      </c>
      <c r="AJ150" s="255" t="str">
        <f>IF(ISNUMBER(SEARCH("C", 'WetLitterbags placem_collection'!AC77)),"YES","NO")</f>
        <v>NO</v>
      </c>
      <c r="AK150" s="255" t="str">
        <f>IF(ISNUMBER(SEARCH("H", 'WetLitterbags placem_collection'!AC77)),"YES","NO")</f>
        <v>NO</v>
      </c>
      <c r="AL150" s="255" t="str">
        <f>IF(ISNUMBER(SEARCH("R", 'WetLitterbags placem_collection'!AC77)),"YES","NO")</f>
        <v>NO</v>
      </c>
    </row>
    <row r="151" spans="2:38">
      <c r="B151" t="str">
        <f>'Final data_for_R_analysis_Wetse'!A77</f>
        <v>Wet</v>
      </c>
      <c r="C151" s="263">
        <f>'Final data_for_R_analysis_Wetse'!B77</f>
        <v>76</v>
      </c>
      <c r="D151" t="s">
        <v>3838</v>
      </c>
      <c r="E151" t="s">
        <v>22</v>
      </c>
      <c r="F151" s="387">
        <v>4</v>
      </c>
      <c r="G151" s="16">
        <f>'WetLitterbags placem_collection'!E78</f>
        <v>42767</v>
      </c>
      <c r="H151" t="str">
        <f>'Final data_for_R_analysis_Wetse'!J77</f>
        <v>G416</v>
      </c>
      <c r="I151" t="str">
        <f>'Final data_for_R_analysis_Wetse'!J297</f>
        <v>R501</v>
      </c>
      <c r="J151">
        <f>IFERROR(INDEX('Green_rooibos initial weight'!$C$5:$C$1749,MATCH(H151, 'Green_rooibos initial weight'!$A$5:$A$1749,0)),"")</f>
        <v>2.1819999999999999</v>
      </c>
      <c r="K151">
        <f>IFERROR(INDEX('Green_rooibos initial weight'!$C$5:$C$1749,MATCH(I151, 'Green_rooibos initial weight'!$A$5:$A$1749,0)),"")</f>
        <v>2.1379999999999999</v>
      </c>
      <c r="L151" s="195">
        <f t="shared" si="16"/>
        <v>1.9321999999999999</v>
      </c>
      <c r="M151" s="195">
        <f>AVERAGE(Ashed_controlls!$K$2:$K$11)</f>
        <v>5.5147656768714146</v>
      </c>
      <c r="N151" s="195">
        <f t="shared" si="12"/>
        <v>1.8256436975914905</v>
      </c>
      <c r="O151" s="195">
        <f t="shared" si="17"/>
        <v>1.8881999999999999</v>
      </c>
      <c r="P151" s="195">
        <f>AVERAGE(Ashed_controlls!$K$12:$K$14)</f>
        <v>2.2816647271287041</v>
      </c>
      <c r="Q151" s="195">
        <f t="shared" si="18"/>
        <v>1.8451176066223556</v>
      </c>
      <c r="R151" s="16">
        <f>IF('WetLitterbags placem_collection'!G78="N.A","",'WetLitterbags placem_collection'!G78)</f>
        <v>42818</v>
      </c>
      <c r="S151" s="195">
        <f>IF(IFERROR(INDEX('Both teabags AfterWet'!$C$3:$C$841,MATCH(H151,'Both teabags AfterWet'!$A$3:$A$841,0)),"")="N.A","",(IFERROR(INDEX('Both teabags AfterWet'!$C$3:$C$841,MATCH(H151,'Both teabags AfterWet'!$A$3:$A$841,0)),"")))</f>
        <v>0.94399999999999995</v>
      </c>
      <c r="T151" s="195">
        <f>IFERROR(INDEX('Both teabags AfterWet'!$C$3:$C$841,MATCH(I151,'Both teabags AfterWet'!$A$3:$A$841,0)),"")</f>
        <v>0.29499999999999998</v>
      </c>
      <c r="U151" s="195">
        <f t="shared" si="19"/>
        <v>0.79339999999999988</v>
      </c>
      <c r="V151" s="195">
        <f t="shared" si="19"/>
        <v>0.14439999999999997</v>
      </c>
      <c r="W151" s="195">
        <f>IFERROR(INDEX('Ashed teabags wet'!$K$2:$K$821,MATCH(H151,'Ashed teabags wet'!$A$2:$A$821,0)),"")</f>
        <v>14.711729622266519</v>
      </c>
      <c r="X151" s="195">
        <f>IFERROR(INDEX('Ashed teabags wet'!$K$2:$K$821,MATCH(I151,'Ashed teabags wet'!$A$2:$A$821,0)),"")</f>
        <v>84.313725490194741</v>
      </c>
      <c r="Y151" s="195">
        <f t="shared" si="13"/>
        <v>0.67667713717693734</v>
      </c>
      <c r="Z151" s="195">
        <f t="shared" si="13"/>
        <v>2.2650980392158779E-2</v>
      </c>
      <c r="AA151" s="195">
        <f t="shared" si="20"/>
        <v>0.62934873980631911</v>
      </c>
      <c r="AB151" s="195">
        <f t="shared" si="21"/>
        <v>0.41258967265212371</v>
      </c>
      <c r="AC151" s="195">
        <f t="shared" si="14"/>
        <v>1.2276171616845239E-2</v>
      </c>
      <c r="AD151">
        <f t="shared" si="15"/>
        <v>51</v>
      </c>
      <c r="AE151" s="195">
        <f t="shared" si="22"/>
        <v>0.25255494084760199</v>
      </c>
      <c r="AF151" s="195" t="str">
        <f t="shared" si="23"/>
        <v/>
      </c>
      <c r="AG151" s="255" t="str">
        <f>IF(ISNUMBER(SEARCH("C",'WetLitterbags placem_collection'!AD78)),"YES","NO")</f>
        <v>NO</v>
      </c>
      <c r="AH151" s="255" t="str">
        <f>IF(ISNUMBER(SEARCH("H", 'WetLitterbags placem_collection'!AD78)),"YES","NO")</f>
        <v>NO</v>
      </c>
      <c r="AI151" s="255" t="str">
        <f>IF(ISNUMBER(SEARCH("R", 'WetLitterbags placem_collection'!AD78)),"YES","NO")</f>
        <v>NO</v>
      </c>
      <c r="AJ151" s="255" t="str">
        <f>IF(ISNUMBER(SEARCH("C", 'WetLitterbags placem_collection'!AC78)),"YES","NO")</f>
        <v>NO</v>
      </c>
      <c r="AK151" s="255" t="str">
        <f>IF(ISNUMBER(SEARCH("H", 'WetLitterbags placem_collection'!AC78)),"YES","NO")</f>
        <v>NO</v>
      </c>
      <c r="AL151" s="255" t="str">
        <f>IF(ISNUMBER(SEARCH("R", 'WetLitterbags placem_collection'!AC78)),"YES","NO")</f>
        <v>NO</v>
      </c>
    </row>
    <row r="152" spans="2:38">
      <c r="B152" t="str">
        <f>'Final data_for_R_analysis_Wetse'!A78</f>
        <v>Wet</v>
      </c>
      <c r="C152" s="263">
        <f>'Final data_for_R_analysis_Wetse'!B78</f>
        <v>77</v>
      </c>
      <c r="D152" t="s">
        <v>3838</v>
      </c>
      <c r="E152" t="s">
        <v>22</v>
      </c>
      <c r="F152" s="387">
        <v>5</v>
      </c>
      <c r="G152" s="16">
        <f>'WetLitterbags placem_collection'!E79</f>
        <v>42767</v>
      </c>
      <c r="H152" t="str">
        <f>'Final data_for_R_analysis_Wetse'!J78</f>
        <v>G594</v>
      </c>
      <c r="I152" t="str">
        <f>'Final data_for_R_analysis_Wetse'!J298</f>
        <v>R137</v>
      </c>
      <c r="J152">
        <f>IFERROR(INDEX('Green_rooibos initial weight'!$C$5:$C$1749,MATCH(H152, 'Green_rooibos initial weight'!$A$5:$A$1749,0)),"")</f>
        <v>2.0680000000000001</v>
      </c>
      <c r="K152">
        <f>IFERROR(INDEX('Green_rooibos initial weight'!$C$5:$C$1749,MATCH(I152, 'Green_rooibos initial weight'!$A$5:$A$1749,0)),"")</f>
        <v>2.198</v>
      </c>
      <c r="L152" s="195">
        <f t="shared" si="16"/>
        <v>1.8182</v>
      </c>
      <c r="M152" s="195">
        <f>AVERAGE(Ashed_controlls!$K$2:$K$11)</f>
        <v>5.5147656768714146</v>
      </c>
      <c r="N152" s="195">
        <f t="shared" si="12"/>
        <v>1.7179305304631241</v>
      </c>
      <c r="O152" s="195">
        <f t="shared" si="17"/>
        <v>1.9481999999999999</v>
      </c>
      <c r="P152" s="195">
        <f>AVERAGE(Ashed_controlls!$K$12:$K$14)</f>
        <v>2.2816647271287041</v>
      </c>
      <c r="Q152" s="195">
        <f t="shared" si="18"/>
        <v>1.9037486077860786</v>
      </c>
      <c r="R152" s="16">
        <f>IF('WetLitterbags placem_collection'!G79="N.A","",'WetLitterbags placem_collection'!G79)</f>
        <v>42818</v>
      </c>
      <c r="S152" s="195">
        <f>IF(IFERROR(INDEX('Both teabags AfterWet'!$C$3:$C$841,MATCH(H152,'Both teabags AfterWet'!$A$3:$A$841,0)),"")="N.A","",(IFERROR(INDEX('Both teabags AfterWet'!$C$3:$C$841,MATCH(H152,'Both teabags AfterWet'!$A$3:$A$841,0)),"")))</f>
        <v>0.94699999999999995</v>
      </c>
      <c r="T152" s="195">
        <f>IFERROR(INDEX('Both teabags AfterWet'!$C$3:$C$841,MATCH(I152,'Both teabags AfterWet'!$A$3:$A$841,0)),"")</f>
        <v>1.698</v>
      </c>
      <c r="U152" s="195">
        <f t="shared" si="19"/>
        <v>0.7964</v>
      </c>
      <c r="V152" s="195">
        <f t="shared" si="19"/>
        <v>1.5473999999999999</v>
      </c>
      <c r="W152" s="195">
        <f>IFERROR(INDEX('Ashed teabags wet'!$K$2:$K$821,MATCH(H152,'Ashed teabags wet'!$A$2:$A$821,0)),"")</f>
        <v>12.475633528264789</v>
      </c>
      <c r="X152" s="195">
        <f>IFERROR(INDEX('Ashed teabags wet'!$K$2:$K$821,MATCH(I152,'Ashed teabags wet'!$A$2:$A$821,0)),"")</f>
        <v>11.808300395256206</v>
      </c>
      <c r="Y152" s="195">
        <f t="shared" si="13"/>
        <v>0.69704405458089924</v>
      </c>
      <c r="Z152" s="195">
        <f t="shared" si="13"/>
        <v>1.3646783596838055</v>
      </c>
      <c r="AA152" s="195">
        <f t="shared" si="20"/>
        <v>0.59425364284492432</v>
      </c>
      <c r="AB152" s="195">
        <f t="shared" si="21"/>
        <v>0.38958196062992673</v>
      </c>
      <c r="AC152" s="195">
        <f t="shared" si="14"/>
        <v>0.71683748269201752</v>
      </c>
      <c r="AD152">
        <f t="shared" si="15"/>
        <v>51</v>
      </c>
      <c r="AE152" s="195">
        <f t="shared" si="22"/>
        <v>0.29423557856897342</v>
      </c>
      <c r="AF152" s="195">
        <f t="shared" si="23"/>
        <v>2.544482294530637E-2</v>
      </c>
      <c r="AG152" s="255" t="str">
        <f>IF(ISNUMBER(SEARCH("C",'WetLitterbags placem_collection'!AD79)),"YES","NO")</f>
        <v>NO</v>
      </c>
      <c r="AH152" s="255" t="str">
        <f>IF(ISNUMBER(SEARCH("H", 'WetLitterbags placem_collection'!AD79)),"YES","NO")</f>
        <v>NO</v>
      </c>
      <c r="AI152" s="255" t="str">
        <f>IF(ISNUMBER(SEARCH("R", 'WetLitterbags placem_collection'!AD79)),"YES","NO")</f>
        <v>NO</v>
      </c>
      <c r="AJ152" s="255" t="str">
        <f>IF(ISNUMBER(SEARCH("C", 'WetLitterbags placem_collection'!AC79)),"YES","NO")</f>
        <v>NO</v>
      </c>
      <c r="AK152" s="255" t="str">
        <f>IF(ISNUMBER(SEARCH("H", 'WetLitterbags placem_collection'!AC79)),"YES","NO")</f>
        <v>NO</v>
      </c>
      <c r="AL152" s="255" t="str">
        <f>IF(ISNUMBER(SEARCH("R", 'WetLitterbags placem_collection'!AC79)),"YES","NO")</f>
        <v>NO</v>
      </c>
    </row>
    <row r="153" spans="2:38">
      <c r="B153" t="str">
        <f>'Final data_for_R_analysis_Wetse'!A79</f>
        <v>Wet</v>
      </c>
      <c r="C153" s="263">
        <f>'Final data_for_R_analysis_Wetse'!B79</f>
        <v>78</v>
      </c>
      <c r="D153" t="s">
        <v>3838</v>
      </c>
      <c r="E153" t="s">
        <v>22</v>
      </c>
      <c r="F153" s="387">
        <v>6</v>
      </c>
      <c r="G153" s="16">
        <f>'WetLitterbags placem_collection'!E80</f>
        <v>42767</v>
      </c>
      <c r="H153" t="str">
        <f>'Final data_for_R_analysis_Wetse'!J79</f>
        <v>G460</v>
      </c>
      <c r="I153" t="str">
        <f>'Final data_for_R_analysis_Wetse'!J299</f>
        <v>R278</v>
      </c>
      <c r="J153">
        <f>IFERROR(INDEX('Green_rooibos initial weight'!$C$5:$C$1749,MATCH(H153, 'Green_rooibos initial weight'!$A$5:$A$1749,0)),"")</f>
        <v>2.1560000000000001</v>
      </c>
      <c r="K153">
        <f>IFERROR(INDEX('Green_rooibos initial weight'!$C$5:$C$1749,MATCH(I153, 'Green_rooibos initial weight'!$A$5:$A$1749,0)),"")</f>
        <v>2.198</v>
      </c>
      <c r="L153" s="195">
        <f t="shared" si="16"/>
        <v>1.9062000000000001</v>
      </c>
      <c r="M153" s="195">
        <f>AVERAGE(Ashed_controlls!$K$2:$K$11)</f>
        <v>5.5147656768714146</v>
      </c>
      <c r="N153" s="195">
        <f t="shared" si="12"/>
        <v>1.8010775366674772</v>
      </c>
      <c r="O153" s="195">
        <f t="shared" si="17"/>
        <v>1.9481999999999999</v>
      </c>
      <c r="P153" s="195">
        <f>AVERAGE(Ashed_controlls!$K$12:$K$14)</f>
        <v>2.2816647271287041</v>
      </c>
      <c r="Q153" s="195">
        <f t="shared" si="18"/>
        <v>1.9037486077860786</v>
      </c>
      <c r="R153" s="16">
        <f>IF('WetLitterbags placem_collection'!G80="N.A","",'WetLitterbags placem_collection'!G80)</f>
        <v>42818</v>
      </c>
      <c r="S153" s="195">
        <f>IF(IFERROR(INDEX('Both teabags AfterWet'!$C$3:$C$841,MATCH(H153,'Both teabags AfterWet'!$A$3:$A$841,0)),"")="N.A","",(IFERROR(INDEX('Both teabags AfterWet'!$C$3:$C$841,MATCH(H153,'Both teabags AfterWet'!$A$3:$A$841,0)),"")))</f>
        <v>0.90669999999999995</v>
      </c>
      <c r="T153" s="195">
        <f>IFERROR(INDEX('Both teabags AfterWet'!$C$3:$C$841,MATCH(I153,'Both teabags AfterWet'!$A$3:$A$841,0)),"")</f>
        <v>1.6845000000000001</v>
      </c>
      <c r="U153" s="195">
        <f t="shared" si="19"/>
        <v>0.75609999999999999</v>
      </c>
      <c r="V153" s="195">
        <f t="shared" si="19"/>
        <v>1.5339</v>
      </c>
      <c r="W153" s="195">
        <f>IFERROR(INDEX('Ashed teabags wet'!$K$2:$K$821,MATCH(H153,'Ashed teabags wet'!$A$2:$A$821,0)),"")</f>
        <v>10.069790628115374</v>
      </c>
      <c r="X153" s="195" t="str">
        <f>IFERROR(INDEX('Ashed teabags wet'!$K$2:$K$821,MATCH(I153,'Ashed teabags wet'!$A$2:$A$821,0)),"")</f>
        <v/>
      </c>
      <c r="Y153" s="195">
        <f t="shared" si="13"/>
        <v>0.67996231306081967</v>
      </c>
      <c r="Z153" s="195" t="str">
        <f t="shared" si="13"/>
        <v/>
      </c>
      <c r="AA153" s="195">
        <f t="shared" si="20"/>
        <v>0.62246916125612795</v>
      </c>
      <c r="AB153" s="195">
        <f t="shared" si="21"/>
        <v>0.40807954514653527</v>
      </c>
      <c r="AC153" s="195" t="str">
        <f t="shared" si="14"/>
        <v/>
      </c>
      <c r="AD153">
        <f t="shared" si="15"/>
        <v>51</v>
      </c>
      <c r="AE153" s="195">
        <f t="shared" si="22"/>
        <v>0.26072546169105937</v>
      </c>
      <c r="AF153" s="195" t="str">
        <f t="shared" si="23"/>
        <v/>
      </c>
      <c r="AG153" s="255" t="str">
        <f>IF(ISNUMBER(SEARCH("C",'WetLitterbags placem_collection'!AD80)),"YES","NO")</f>
        <v>NO</v>
      </c>
      <c r="AH153" s="255" t="str">
        <f>IF(ISNUMBER(SEARCH("H", 'WetLitterbags placem_collection'!AD80)),"YES","NO")</f>
        <v>NO</v>
      </c>
      <c r="AI153" s="255" t="str">
        <f>IF(ISNUMBER(SEARCH("R", 'WetLitterbags placem_collection'!AD80)),"YES","NO")</f>
        <v>NO</v>
      </c>
      <c r="AJ153" s="255" t="str">
        <f>IF(ISNUMBER(SEARCH("C", 'WetLitterbags placem_collection'!AC80)),"YES","NO")</f>
        <v>NO</v>
      </c>
      <c r="AK153" s="255" t="str">
        <f>IF(ISNUMBER(SEARCH("H", 'WetLitterbags placem_collection'!AC80)),"YES","NO")</f>
        <v>NO</v>
      </c>
      <c r="AL153" s="255" t="str">
        <f>IF(ISNUMBER(SEARCH("R", 'WetLitterbags placem_collection'!AC80)),"YES","NO")</f>
        <v>NO</v>
      </c>
    </row>
    <row r="154" spans="2:38">
      <c r="B154" t="str">
        <f>'Final data_for_R_analysis_Wetse'!A80</f>
        <v>Wet</v>
      </c>
      <c r="C154" s="263">
        <f>'Final data_for_R_analysis_Wetse'!B80</f>
        <v>79</v>
      </c>
      <c r="D154" t="s">
        <v>3838</v>
      </c>
      <c r="E154" t="s">
        <v>22</v>
      </c>
      <c r="F154" s="387">
        <v>7</v>
      </c>
      <c r="G154" s="16">
        <f>'WetLitterbags placem_collection'!E81</f>
        <v>42767</v>
      </c>
      <c r="H154" t="str">
        <f>'Final data_for_R_analysis_Wetse'!J80</f>
        <v>G217</v>
      </c>
      <c r="I154" t="str">
        <f>'Final data_for_R_analysis_Wetse'!J300</f>
        <v>R235</v>
      </c>
      <c r="J154">
        <f>IFERROR(INDEX('Green_rooibos initial weight'!$C$5:$C$1749,MATCH(H154, 'Green_rooibos initial weight'!$A$5:$A$1749,0)),"")</f>
        <v>1.944</v>
      </c>
      <c r="K154">
        <f>IFERROR(INDEX('Green_rooibos initial weight'!$C$5:$C$1749,MATCH(I154, 'Green_rooibos initial weight'!$A$5:$A$1749,0)),"")</f>
        <v>2.169</v>
      </c>
      <c r="L154" s="195">
        <f t="shared" si="16"/>
        <v>1.6941999999999999</v>
      </c>
      <c r="M154" s="195">
        <f>AVERAGE(Ashed_controlls!$K$2:$K$11)</f>
        <v>5.5147656768714146</v>
      </c>
      <c r="N154" s="195">
        <f t="shared" si="12"/>
        <v>1.6007688399024445</v>
      </c>
      <c r="O154" s="195">
        <f t="shared" si="17"/>
        <v>1.9192</v>
      </c>
      <c r="P154" s="195">
        <f>AVERAGE(Ashed_controlls!$K$12:$K$14)</f>
        <v>2.2816647271287041</v>
      </c>
      <c r="Q154" s="195">
        <f t="shared" si="18"/>
        <v>1.8754102905569459</v>
      </c>
      <c r="R154" s="16">
        <f>IF('WetLitterbags placem_collection'!G81="N.A","",'WetLitterbags placem_collection'!G81)</f>
        <v>42818</v>
      </c>
      <c r="S154" s="195">
        <f>IF(IFERROR(INDEX('Both teabags AfterWet'!$C$3:$C$841,MATCH(H154,'Both teabags AfterWet'!$A$3:$A$841,0)),"")="N.A","",(IFERROR(INDEX('Both teabags AfterWet'!$C$3:$C$841,MATCH(H154,'Both teabags AfterWet'!$A$3:$A$841,0)),"")))</f>
        <v>0.85370000000000001</v>
      </c>
      <c r="T154" s="195">
        <f>IFERROR(INDEX('Both teabags AfterWet'!$C$3:$C$841,MATCH(I154,'Both teabags AfterWet'!$A$3:$A$841,0)),"")</f>
        <v>1.5528</v>
      </c>
      <c r="U154" s="195">
        <f t="shared" si="19"/>
        <v>0.70310000000000006</v>
      </c>
      <c r="V154" s="195">
        <f t="shared" si="19"/>
        <v>1.4021999999999999</v>
      </c>
      <c r="W154" s="195">
        <f>IFERROR(INDEX('Ashed teabags wet'!$K$2:$K$821,MATCH(H154,'Ashed teabags wet'!$A$2:$A$821,0)),"")</f>
        <v>15.104419621176483</v>
      </c>
      <c r="X154" s="195">
        <f>IFERROR(INDEX('Ashed teabags wet'!$K$2:$K$821,MATCH(I154,'Ashed teabags wet'!$A$2:$A$821,0)),"")</f>
        <v>8.7084148727974071</v>
      </c>
      <c r="Y154" s="195">
        <f t="shared" si="13"/>
        <v>0.59690082564350821</v>
      </c>
      <c r="Z154" s="195">
        <f t="shared" si="13"/>
        <v>1.2800906066536346</v>
      </c>
      <c r="AA154" s="195">
        <f t="shared" si="20"/>
        <v>0.62711616395538716</v>
      </c>
      <c r="AB154" s="195">
        <f t="shared" si="21"/>
        <v>0.41112603622728472</v>
      </c>
      <c r="AC154" s="195">
        <f t="shared" si="14"/>
        <v>0.68256563009125992</v>
      </c>
      <c r="AD154">
        <f t="shared" si="15"/>
        <v>51</v>
      </c>
      <c r="AE154" s="195">
        <f t="shared" si="22"/>
        <v>0.25520645610999149</v>
      </c>
      <c r="AF154" s="195">
        <f t="shared" si="23"/>
        <v>2.8997854504346048E-2</v>
      </c>
      <c r="AG154" s="255" t="str">
        <f>IF(ISNUMBER(SEARCH("C",'WetLitterbags placem_collection'!AD81)),"YES","NO")</f>
        <v>NO</v>
      </c>
      <c r="AH154" s="255" t="str">
        <f>IF(ISNUMBER(SEARCH("H", 'WetLitterbags placem_collection'!AD81)),"YES","NO")</f>
        <v>NO</v>
      </c>
      <c r="AI154" s="255" t="str">
        <f>IF(ISNUMBER(SEARCH("R", 'WetLitterbags placem_collection'!AD81)),"YES","NO")</f>
        <v>NO</v>
      </c>
      <c r="AJ154" s="255" t="str">
        <f>IF(ISNUMBER(SEARCH("C", 'WetLitterbags placem_collection'!AC81)),"YES","NO")</f>
        <v>NO</v>
      </c>
      <c r="AK154" s="255" t="str">
        <f>IF(ISNUMBER(SEARCH("H", 'WetLitterbags placem_collection'!AC81)),"YES","NO")</f>
        <v>NO</v>
      </c>
      <c r="AL154" s="255" t="str">
        <f>IF(ISNUMBER(SEARCH("R", 'WetLitterbags placem_collection'!AC81)),"YES","NO")</f>
        <v>NO</v>
      </c>
    </row>
    <row r="155" spans="2:38">
      <c r="B155" t="str">
        <f>'Final data_for_R_analysis_Wetse'!A81</f>
        <v>Wet</v>
      </c>
      <c r="C155" s="263">
        <f>'Final data_for_R_analysis_Wetse'!B81</f>
        <v>80</v>
      </c>
      <c r="D155" t="s">
        <v>3838</v>
      </c>
      <c r="E155" t="s">
        <v>22</v>
      </c>
      <c r="F155" s="387">
        <v>8</v>
      </c>
      <c r="G155" s="16">
        <f>'WetLitterbags placem_collection'!E82</f>
        <v>42767</v>
      </c>
      <c r="H155" t="str">
        <f>'Final data_for_R_analysis_Wetse'!J81</f>
        <v>G607</v>
      </c>
      <c r="I155" t="str">
        <f>'Final data_for_R_analysis_Wetse'!J301</f>
        <v>R181</v>
      </c>
      <c r="J155">
        <f>IFERROR(INDEX('Green_rooibos initial weight'!$C$5:$C$1749,MATCH(H155, 'Green_rooibos initial weight'!$A$5:$A$1749,0)),"")</f>
        <v>1.9450000000000001</v>
      </c>
      <c r="K155">
        <f>IFERROR(INDEX('Green_rooibos initial weight'!$C$5:$C$1749,MATCH(I155, 'Green_rooibos initial weight'!$A$5:$A$1749,0)),"")</f>
        <v>2.1749999999999998</v>
      </c>
      <c r="L155" s="195">
        <f t="shared" si="16"/>
        <v>1.6952</v>
      </c>
      <c r="M155" s="195">
        <f>AVERAGE(Ashed_controlls!$K$2:$K$11)</f>
        <v>5.5147656768714146</v>
      </c>
      <c r="N155" s="195">
        <f t="shared" si="12"/>
        <v>1.6017136922456758</v>
      </c>
      <c r="O155" s="195">
        <f t="shared" si="17"/>
        <v>1.9251999999999998</v>
      </c>
      <c r="P155" s="195">
        <f>AVERAGE(Ashed_controlls!$K$12:$K$14)</f>
        <v>2.2816647271287041</v>
      </c>
      <c r="Q155" s="195">
        <f t="shared" si="18"/>
        <v>1.8812733906733179</v>
      </c>
      <c r="R155" s="16">
        <f>IF('WetLitterbags placem_collection'!G82="N.A","",'WetLitterbags placem_collection'!G82)</f>
        <v>42818</v>
      </c>
      <c r="S155" s="195">
        <f>IF(IFERROR(INDEX('Both teabags AfterWet'!$C$3:$C$841,MATCH(H155,'Both teabags AfterWet'!$A$3:$A$841,0)),"")="N.A","",(IFERROR(INDEX('Both teabags AfterWet'!$C$3:$C$841,MATCH(H155,'Both teabags AfterWet'!$A$3:$A$841,0)),"")))</f>
        <v>0.92400000000000004</v>
      </c>
      <c r="T155" s="195">
        <f>IFERROR(INDEX('Both teabags AfterWet'!$C$3:$C$841,MATCH(I155,'Both teabags AfterWet'!$A$3:$A$841,0)),"")</f>
        <v>0.23799999999999999</v>
      </c>
      <c r="U155" s="195">
        <f t="shared" si="19"/>
        <v>0.77340000000000009</v>
      </c>
      <c r="V155" s="195">
        <f t="shared" si="19"/>
        <v>8.7399999999999978E-2</v>
      </c>
      <c r="W155" s="195">
        <f>IFERROR(INDEX('Ashed teabags wet'!$K$2:$K$821,MATCH(H155,'Ashed teabags wet'!$A$2:$A$821,0)),"")</f>
        <v>13.619696176008233</v>
      </c>
      <c r="X155" s="195" t="str">
        <f>IFERROR(INDEX('Ashed teabags wet'!$K$2:$K$821,MATCH(I155,'Ashed teabags wet'!$A$2:$A$821,0)),"")</f>
        <v/>
      </c>
      <c r="Y155" s="195">
        <f t="shared" si="13"/>
        <v>0.66806526977475245</v>
      </c>
      <c r="Z155" s="195" t="str">
        <f t="shared" si="13"/>
        <v/>
      </c>
      <c r="AA155" s="195">
        <f t="shared" si="20"/>
        <v>0.58290593817794334</v>
      </c>
      <c r="AB155" s="195">
        <f t="shared" si="21"/>
        <v>0.38214261030192964</v>
      </c>
      <c r="AC155" s="195" t="str">
        <f t="shared" si="14"/>
        <v/>
      </c>
      <c r="AD155">
        <f t="shared" si="15"/>
        <v>51</v>
      </c>
      <c r="AE155" s="195">
        <f t="shared" si="22"/>
        <v>0.30771266249650431</v>
      </c>
      <c r="AF155" s="195" t="str">
        <f t="shared" si="23"/>
        <v/>
      </c>
      <c r="AG155" s="255" t="str">
        <f>IF(ISNUMBER(SEARCH("C",'WetLitterbags placem_collection'!AD82)),"YES","NO")</f>
        <v>NO</v>
      </c>
      <c r="AH155" s="255" t="str">
        <f>IF(ISNUMBER(SEARCH("H", 'WetLitterbags placem_collection'!AD82)),"YES","NO")</f>
        <v>NO</v>
      </c>
      <c r="AI155" s="255" t="str">
        <f>IF(ISNUMBER(SEARCH("R", 'WetLitterbags placem_collection'!AD82)),"YES","NO")</f>
        <v>NO</v>
      </c>
      <c r="AJ155" s="255" t="str">
        <f>IF(ISNUMBER(SEARCH("C", 'WetLitterbags placem_collection'!AC82)),"YES","NO")</f>
        <v>NO</v>
      </c>
      <c r="AK155" s="255" t="str">
        <f>IF(ISNUMBER(SEARCH("H", 'WetLitterbags placem_collection'!AC82)),"YES","NO")</f>
        <v>NO</v>
      </c>
      <c r="AL155" s="255" t="str">
        <f>IF(ISNUMBER(SEARCH("R", 'WetLitterbags placem_collection'!AC82)),"YES","NO")</f>
        <v>NO</v>
      </c>
    </row>
    <row r="156" spans="2:38">
      <c r="B156" t="str">
        <f>'Final data_for_R_analysis_Wetse'!A82</f>
        <v>Wet</v>
      </c>
      <c r="C156" s="263">
        <f>'Final data_for_R_analysis_Wetse'!B82</f>
        <v>81</v>
      </c>
      <c r="D156" t="s">
        <v>3839</v>
      </c>
      <c r="E156" t="s">
        <v>22</v>
      </c>
      <c r="F156" s="386">
        <v>1</v>
      </c>
      <c r="G156" s="16">
        <f>'WetLitterbags placem_collection'!E83</f>
        <v>42767</v>
      </c>
      <c r="H156" t="str">
        <f>'Final data_for_R_analysis_Wetse'!J82</f>
        <v>G542</v>
      </c>
      <c r="I156" t="str">
        <f>'Final data_for_R_analysis_Wetse'!J302</f>
        <v>R187</v>
      </c>
      <c r="J156">
        <f>IFERROR(INDEX('Green_rooibos initial weight'!$C$5:$C$1749,MATCH(H156, 'Green_rooibos initial weight'!$A$5:$A$1749,0)),"")</f>
        <v>2.0779999999999998</v>
      </c>
      <c r="K156">
        <f>IFERROR(INDEX('Green_rooibos initial weight'!$C$5:$C$1749,MATCH(I156, 'Green_rooibos initial weight'!$A$5:$A$1749,0)),"")</f>
        <v>2.2210000000000001</v>
      </c>
      <c r="L156" s="195">
        <f t="shared" si="16"/>
        <v>1.8281999999999998</v>
      </c>
      <c r="M156" s="195">
        <f>AVERAGE(Ashed_controlls!$K$2:$K$11)</f>
        <v>5.5147656768714146</v>
      </c>
      <c r="N156" s="195">
        <f t="shared" si="12"/>
        <v>1.7273790538954366</v>
      </c>
      <c r="O156" s="195">
        <f t="shared" si="17"/>
        <v>1.9712000000000001</v>
      </c>
      <c r="P156" s="195">
        <f>AVERAGE(Ashed_controlls!$K$12:$K$14)</f>
        <v>2.2816647271287041</v>
      </c>
      <c r="Q156" s="195">
        <f t="shared" si="18"/>
        <v>1.926223824898839</v>
      </c>
      <c r="R156" s="16">
        <f>IF('WetLitterbags placem_collection'!G83="N.A","",'WetLitterbags placem_collection'!G83)</f>
        <v>42818</v>
      </c>
      <c r="S156" s="195">
        <f>IF(IFERROR(INDEX('Both teabags AfterWet'!$C$3:$C$841,MATCH(H156,'Both teabags AfterWet'!$A$3:$A$841,0)),"")="N.A","",(IFERROR(INDEX('Both teabags AfterWet'!$C$3:$C$841,MATCH(H156,'Both teabags AfterWet'!$A$3:$A$841,0)),"")))</f>
        <v>0.85099999999999998</v>
      </c>
      <c r="T156" s="195">
        <f>IFERROR(INDEX('Both teabags AfterWet'!$C$3:$C$841,MATCH(I156,'Both teabags AfterWet'!$A$3:$A$841,0)),"")</f>
        <v>1.8420000000000001</v>
      </c>
      <c r="U156" s="195">
        <f t="shared" si="19"/>
        <v>0.70039999999999991</v>
      </c>
      <c r="V156" s="195">
        <f t="shared" si="19"/>
        <v>1.6914</v>
      </c>
      <c r="W156" s="195">
        <f>IFERROR(INDEX('Ashed teabags wet'!$K$2:$K$821,MATCH(H156,'Ashed teabags wet'!$A$2:$A$821,0)),"")</f>
        <v>15.009940357852306</v>
      </c>
      <c r="X156" s="195">
        <f>IFERROR(INDEX('Ashed teabags wet'!$K$2:$K$821,MATCH(I156,'Ashed teabags wet'!$A$2:$A$821,0)),"")</f>
        <v>4.2141794744665662</v>
      </c>
      <c r="Y156" s="195">
        <f t="shared" si="13"/>
        <v>0.59527037773360236</v>
      </c>
      <c r="Z156" s="195">
        <f t="shared" si="13"/>
        <v>1.6201213683688724</v>
      </c>
      <c r="AA156" s="195">
        <f t="shared" si="20"/>
        <v>0.65539099458732009</v>
      </c>
      <c r="AB156" s="195">
        <f t="shared" si="21"/>
        <v>0.429662504765084</v>
      </c>
      <c r="AC156" s="195">
        <f t="shared" si="14"/>
        <v>0.84108676646337177</v>
      </c>
      <c r="AD156">
        <f t="shared" si="15"/>
        <v>51</v>
      </c>
      <c r="AE156" s="195">
        <f t="shared" si="22"/>
        <v>0.22162589716470293</v>
      </c>
      <c r="AF156" s="195">
        <f t="shared" si="23"/>
        <v>9.0550359543918896E-3</v>
      </c>
      <c r="AG156" s="255" t="str">
        <f>IF(ISNUMBER(SEARCH("C",'WetLitterbags placem_collection'!AD83)),"YES","NO")</f>
        <v>NO</v>
      </c>
      <c r="AH156" s="255" t="str">
        <f>IF(ISNUMBER(SEARCH("H", 'WetLitterbags placem_collection'!AD83)),"YES","NO")</f>
        <v>NO</v>
      </c>
      <c r="AI156" s="255" t="str">
        <f>IF(ISNUMBER(SEARCH("R", 'WetLitterbags placem_collection'!AD83)),"YES","NO")</f>
        <v>NO</v>
      </c>
      <c r="AJ156" s="255" t="str">
        <f>IF(ISNUMBER(SEARCH("C", 'WetLitterbags placem_collection'!AC83)),"YES","NO")</f>
        <v>NO</v>
      </c>
      <c r="AK156" s="255" t="str">
        <f>IF(ISNUMBER(SEARCH("H", 'WetLitterbags placem_collection'!AC83)),"YES","NO")</f>
        <v>NO</v>
      </c>
      <c r="AL156" s="255" t="str">
        <f>IF(ISNUMBER(SEARCH("R", 'WetLitterbags placem_collection'!AC83)),"YES","NO")</f>
        <v>NO</v>
      </c>
    </row>
    <row r="157" spans="2:38">
      <c r="B157" t="str">
        <f>'Final data_for_R_analysis_Wetse'!A83</f>
        <v>Wet</v>
      </c>
      <c r="C157" s="263">
        <f>'Final data_for_R_analysis_Wetse'!B83</f>
        <v>82</v>
      </c>
      <c r="D157" t="s">
        <v>3839</v>
      </c>
      <c r="E157" t="s">
        <v>22</v>
      </c>
      <c r="F157" s="386">
        <v>2</v>
      </c>
      <c r="G157" s="16">
        <f>'WetLitterbags placem_collection'!E84</f>
        <v>42767</v>
      </c>
      <c r="H157" t="str">
        <f>'Final data_for_R_analysis_Wetse'!J83</f>
        <v>G536</v>
      </c>
      <c r="I157" t="str">
        <f>'Final data_for_R_analysis_Wetse'!J303</f>
        <v>R83</v>
      </c>
      <c r="J157">
        <f>IFERROR(INDEX('Green_rooibos initial weight'!$C$5:$C$1749,MATCH(H157, 'Green_rooibos initial weight'!$A$5:$A$1749,0)),"")</f>
        <v>2.0510000000000002</v>
      </c>
      <c r="K157">
        <f>IFERROR(INDEX('Green_rooibos initial weight'!$C$5:$C$1749,MATCH(I157, 'Green_rooibos initial weight'!$A$5:$A$1749,0)),"")</f>
        <v>2.0390000000000001</v>
      </c>
      <c r="L157" s="195">
        <f t="shared" si="16"/>
        <v>1.8012000000000001</v>
      </c>
      <c r="M157" s="195">
        <f>AVERAGE(Ashed_controlls!$K$2:$K$11)</f>
        <v>5.5147656768714146</v>
      </c>
      <c r="N157" s="195">
        <f t="shared" si="12"/>
        <v>1.7018680406281923</v>
      </c>
      <c r="O157" s="195">
        <f t="shared" si="17"/>
        <v>1.7892000000000001</v>
      </c>
      <c r="P157" s="195">
        <f>AVERAGE(Ashed_controlls!$K$12:$K$14)</f>
        <v>2.2816647271287041</v>
      </c>
      <c r="Q157" s="195">
        <f t="shared" si="18"/>
        <v>1.7483764547022134</v>
      </c>
      <c r="R157" s="16">
        <f>IF('WetLitterbags placem_collection'!G84="N.A","",'WetLitterbags placem_collection'!G84)</f>
        <v>42819</v>
      </c>
      <c r="S157" s="195">
        <f>IF(IFERROR(INDEX('Both teabags AfterWet'!$C$3:$C$841,MATCH(H157,'Both teabags AfterWet'!$A$3:$A$841,0)),"")="N.A","",(IFERROR(INDEX('Both teabags AfterWet'!$C$3:$C$841,MATCH(H157,'Both teabags AfterWet'!$A$3:$A$841,0)),"")))</f>
        <v>0.748</v>
      </c>
      <c r="T157" s="195">
        <f>IFERROR(INDEX('Both teabags AfterWet'!$C$3:$C$841,MATCH(I157,'Both teabags AfterWet'!$A$3:$A$841,0)),"")</f>
        <v>1.5940000000000001</v>
      </c>
      <c r="U157" s="195">
        <f t="shared" si="19"/>
        <v>0.59739999999999993</v>
      </c>
      <c r="V157" s="195">
        <f t="shared" si="19"/>
        <v>1.4434</v>
      </c>
      <c r="W157" s="195">
        <f>IFERROR(INDEX('Ashed teabags wet'!$K$2:$K$821,MATCH(H157,'Ashed teabags wet'!$A$2:$A$821,0)),"")</f>
        <v>10.317848410758481</v>
      </c>
      <c r="X157" s="195">
        <f>IFERROR(INDEX('Ashed teabags wet'!$K$2:$K$821,MATCH(I157,'Ashed teabags wet'!$A$2:$A$821,0)),"")</f>
        <v>4.9489795918371247</v>
      </c>
      <c r="Y157" s="195">
        <f t="shared" si="13"/>
        <v>0.53576117359412878</v>
      </c>
      <c r="Z157" s="195">
        <f t="shared" si="13"/>
        <v>1.371966428571423</v>
      </c>
      <c r="AA157" s="195">
        <f t="shared" si="20"/>
        <v>0.68519229411208116</v>
      </c>
      <c r="AB157" s="195">
        <f t="shared" si="21"/>
        <v>0.44919969875281335</v>
      </c>
      <c r="AC157" s="195">
        <f t="shared" si="14"/>
        <v>0.78470882222278548</v>
      </c>
      <c r="AD157">
        <f t="shared" si="15"/>
        <v>52</v>
      </c>
      <c r="AE157" s="195">
        <f t="shared" si="22"/>
        <v>0.18623242979562804</v>
      </c>
      <c r="AF157" s="195">
        <f t="shared" si="23"/>
        <v>1.2548797102174084E-2</v>
      </c>
      <c r="AG157" s="255" t="str">
        <f>IF(ISNUMBER(SEARCH("C",'WetLitterbags placem_collection'!AD84)),"YES","NO")</f>
        <v>NO</v>
      </c>
      <c r="AH157" s="255" t="str">
        <f>IF(ISNUMBER(SEARCH("H", 'WetLitterbags placem_collection'!AD84)),"YES","NO")</f>
        <v>NO</v>
      </c>
      <c r="AI157" s="255" t="str">
        <f>IF(ISNUMBER(SEARCH("R", 'WetLitterbags placem_collection'!AD84)),"YES","NO")</f>
        <v>NO</v>
      </c>
      <c r="AJ157" s="255" t="str">
        <f>IF(ISNUMBER(SEARCH("C", 'WetLitterbags placem_collection'!AC84)),"YES","NO")</f>
        <v>NO</v>
      </c>
      <c r="AK157" s="255" t="str">
        <f>IF(ISNUMBER(SEARCH("H", 'WetLitterbags placem_collection'!AC84)),"YES","NO")</f>
        <v>NO</v>
      </c>
      <c r="AL157" s="255" t="str">
        <f>IF(ISNUMBER(SEARCH("R", 'WetLitterbags placem_collection'!AC84)),"YES","NO")</f>
        <v>NO</v>
      </c>
    </row>
    <row r="158" spans="2:38">
      <c r="B158" t="str">
        <f>'Final data_for_R_analysis_Wetse'!A84</f>
        <v>Wet</v>
      </c>
      <c r="C158" s="263">
        <f>'Final data_for_R_analysis_Wetse'!B84</f>
        <v>83</v>
      </c>
      <c r="D158" t="s">
        <v>3839</v>
      </c>
      <c r="E158" t="s">
        <v>22</v>
      </c>
      <c r="F158" s="386">
        <v>3</v>
      </c>
      <c r="G158" s="16">
        <f>'WetLitterbags placem_collection'!E85</f>
        <v>42767</v>
      </c>
      <c r="H158" t="str">
        <f>'Final data_for_R_analysis_Wetse'!J84</f>
        <v>G494</v>
      </c>
      <c r="I158" t="str">
        <f>'Final data_for_R_analysis_Wetse'!J304</f>
        <v>R134</v>
      </c>
      <c r="J158">
        <f>IFERROR(INDEX('Green_rooibos initial weight'!$C$5:$C$1749,MATCH(H158, 'Green_rooibos initial weight'!$A$5:$A$1749,0)),"")</f>
        <v>1.903</v>
      </c>
      <c r="K158">
        <f>IFERROR(INDEX('Green_rooibos initial weight'!$C$5:$C$1749,MATCH(I158, 'Green_rooibos initial weight'!$A$5:$A$1749,0)),"")</f>
        <v>2.21</v>
      </c>
      <c r="L158" s="195">
        <f t="shared" si="16"/>
        <v>1.6532</v>
      </c>
      <c r="M158" s="195">
        <f>AVERAGE(Ashed_controlls!$K$2:$K$11)</f>
        <v>5.5147656768714146</v>
      </c>
      <c r="N158" s="195">
        <f t="shared" si="12"/>
        <v>1.5620298938299617</v>
      </c>
      <c r="O158" s="195">
        <f t="shared" si="17"/>
        <v>1.9601999999999999</v>
      </c>
      <c r="P158" s="195">
        <f>AVERAGE(Ashed_controlls!$K$12:$K$14)</f>
        <v>2.2816647271287041</v>
      </c>
      <c r="Q158" s="195">
        <f t="shared" si="18"/>
        <v>1.9154748080188231</v>
      </c>
      <c r="R158" s="16">
        <f>IF('WetLitterbags placem_collection'!G85="N.A","",'WetLitterbags placem_collection'!G85)</f>
        <v>42819</v>
      </c>
      <c r="S158" s="195">
        <f>IF(IFERROR(INDEX('Both teabags AfterWet'!$C$3:$C$841,MATCH(H158,'Both teabags AfterWet'!$A$3:$A$841,0)),"")="N.A","",(IFERROR(INDEX('Both teabags AfterWet'!$C$3:$C$841,MATCH(H158,'Both teabags AfterWet'!$A$3:$A$841,0)),"")))</f>
        <v>0.90200000000000002</v>
      </c>
      <c r="T158" s="195">
        <f>IFERROR(INDEX('Both teabags AfterWet'!$C$3:$C$841,MATCH(I158,'Both teabags AfterWet'!$A$3:$A$841,0)),"")</f>
        <v>0.98799999999999999</v>
      </c>
      <c r="U158" s="195">
        <f t="shared" si="19"/>
        <v>0.75140000000000007</v>
      </c>
      <c r="V158" s="195">
        <f t="shared" si="19"/>
        <v>0.83739999999999992</v>
      </c>
      <c r="W158" s="195">
        <f>IFERROR(INDEX('Ashed teabags wet'!$K$2:$K$821,MATCH(H158,'Ashed teabags wet'!$A$2:$A$821,0)),"")</f>
        <v>18.525798525798983</v>
      </c>
      <c r="X158" s="195">
        <f>IFERROR(INDEX('Ashed teabags wet'!$K$2:$K$821,MATCH(I158,'Ashed teabags wet'!$A$2:$A$821,0)),"")</f>
        <v>61.99804113614087</v>
      </c>
      <c r="Y158" s="195">
        <f t="shared" si="13"/>
        <v>0.61219714987714646</v>
      </c>
      <c r="Z158" s="195">
        <f t="shared" si="13"/>
        <v>0.31822840352595638</v>
      </c>
      <c r="AA158" s="195">
        <f t="shared" si="20"/>
        <v>0.60807590668057432</v>
      </c>
      <c r="AB158" s="195">
        <f t="shared" si="21"/>
        <v>0.39864358727752619</v>
      </c>
      <c r="AC158" s="195">
        <f t="shared" si="14"/>
        <v>0.16613552012991506</v>
      </c>
      <c r="AD158">
        <f t="shared" si="15"/>
        <v>52</v>
      </c>
      <c r="AE158" s="195">
        <f t="shared" si="22"/>
        <v>0.27781958826535114</v>
      </c>
      <c r="AF158" s="195" t="str">
        <f t="shared" si="23"/>
        <v/>
      </c>
      <c r="AG158" s="255" t="str">
        <f>IF(ISNUMBER(SEARCH("C",'WetLitterbags placem_collection'!AD85)),"YES","NO")</f>
        <v>NO</v>
      </c>
      <c r="AH158" s="255" t="str">
        <f>IF(ISNUMBER(SEARCH("H", 'WetLitterbags placem_collection'!AD85)),"YES","NO")</f>
        <v>NO</v>
      </c>
      <c r="AI158" s="255" t="str">
        <f>IF(ISNUMBER(SEARCH("R", 'WetLitterbags placem_collection'!AD85)),"YES","NO")</f>
        <v>NO</v>
      </c>
      <c r="AJ158" s="255" t="str">
        <f>IF(ISNUMBER(SEARCH("C", 'WetLitterbags placem_collection'!AC85)),"YES","NO")</f>
        <v>NO</v>
      </c>
      <c r="AK158" s="255" t="str">
        <f>IF(ISNUMBER(SEARCH("H", 'WetLitterbags placem_collection'!AC85)),"YES","NO")</f>
        <v>NO</v>
      </c>
      <c r="AL158" s="255" t="str">
        <f>IF(ISNUMBER(SEARCH("R", 'WetLitterbags placem_collection'!AC85)),"YES","NO")</f>
        <v>NO</v>
      </c>
    </row>
    <row r="159" spans="2:38">
      <c r="B159" t="str">
        <f>'Final data_for_R_analysis_Wetse'!A85</f>
        <v>Wet</v>
      </c>
      <c r="C159" s="263">
        <f>'Final data_for_R_analysis_Wetse'!B85</f>
        <v>84</v>
      </c>
      <c r="D159" t="s">
        <v>3839</v>
      </c>
      <c r="E159" t="s">
        <v>22</v>
      </c>
      <c r="F159" s="387">
        <v>4</v>
      </c>
      <c r="G159" s="16">
        <f>'WetLitterbags placem_collection'!E86</f>
        <v>42767</v>
      </c>
      <c r="H159" t="str">
        <f>'Final data_for_R_analysis_Wetse'!J85</f>
        <v>G291</v>
      </c>
      <c r="I159" t="str">
        <f>'Final data_for_R_analysis_Wetse'!J305</f>
        <v>R49</v>
      </c>
      <c r="J159">
        <f>IFERROR(INDEX('Green_rooibos initial weight'!$C$5:$C$1749,MATCH(H159, 'Green_rooibos initial weight'!$A$5:$A$1749,0)),"")</f>
        <v>2.0880000000000001</v>
      </c>
      <c r="K159">
        <f>IFERROR(INDEX('Green_rooibos initial weight'!$C$5:$C$1749,MATCH(I159, 'Green_rooibos initial weight'!$A$5:$A$1749,0)),"")</f>
        <v>2.2999999999999998</v>
      </c>
      <c r="L159" s="195">
        <f t="shared" si="16"/>
        <v>1.8382000000000001</v>
      </c>
      <c r="M159" s="195">
        <f>AVERAGE(Ashed_controlls!$K$2:$K$11)</f>
        <v>5.5147656768714146</v>
      </c>
      <c r="N159" s="195">
        <f t="shared" si="12"/>
        <v>1.7368275773277497</v>
      </c>
      <c r="O159" s="195">
        <f t="shared" si="17"/>
        <v>2.0501999999999998</v>
      </c>
      <c r="P159" s="195">
        <f>AVERAGE(Ashed_controlls!$K$12:$K$14)</f>
        <v>2.2816647271287041</v>
      </c>
      <c r="Q159" s="195">
        <f t="shared" si="18"/>
        <v>2.0034213097644069</v>
      </c>
      <c r="R159" s="16">
        <f>IF('WetLitterbags placem_collection'!G86="N.A","",'WetLitterbags placem_collection'!G86)</f>
        <v>42819</v>
      </c>
      <c r="S159" s="195">
        <f>IF(IFERROR(INDEX('Both teabags AfterWet'!$C$3:$C$841,MATCH(H159,'Both teabags AfterWet'!$A$3:$A$841,0)),"")="N.A","",(IFERROR(INDEX('Both teabags AfterWet'!$C$3:$C$841,MATCH(H159,'Both teabags AfterWet'!$A$3:$A$841,0)),"")))</f>
        <v>0.90300000000000002</v>
      </c>
      <c r="T159" s="195">
        <f>IFERROR(INDEX('Both teabags AfterWet'!$C$3:$C$841,MATCH(I159,'Both teabags AfterWet'!$A$3:$A$841,0)),"")</f>
        <v>1.6379999999999999</v>
      </c>
      <c r="U159" s="195">
        <f t="shared" si="19"/>
        <v>0.75239999999999996</v>
      </c>
      <c r="V159" s="195">
        <f t="shared" si="19"/>
        <v>1.4873999999999998</v>
      </c>
      <c r="W159" s="195">
        <f>IFERROR(INDEX('Ashed teabags wet'!$K$2:$K$821,MATCH(H159,'Ashed teabags wet'!$A$2:$A$821,0)),"")</f>
        <v>11.922503725782521</v>
      </c>
      <c r="X159" s="195">
        <f>IFERROR(INDEX('Ashed teabags wet'!$K$2:$K$821,MATCH(I159,'Ashed teabags wet'!$A$2:$A$821,0)),"")</f>
        <v>8.8249634324722646</v>
      </c>
      <c r="Y159" s="195">
        <f t="shared" si="13"/>
        <v>0.66269508196721227</v>
      </c>
      <c r="Z159" s="195">
        <f t="shared" si="13"/>
        <v>1.3561374939054074</v>
      </c>
      <c r="AA159" s="195">
        <f t="shared" si="20"/>
        <v>0.6184450945978055</v>
      </c>
      <c r="AB159" s="195">
        <f t="shared" si="21"/>
        <v>0.40544143968882262</v>
      </c>
      <c r="AC159" s="195">
        <f t="shared" si="14"/>
        <v>0.67691078621145484</v>
      </c>
      <c r="AD159">
        <f t="shared" si="15"/>
        <v>52</v>
      </c>
      <c r="AE159" s="195">
        <f t="shared" si="22"/>
        <v>0.26550463824488657</v>
      </c>
      <c r="AF159" s="195">
        <f t="shared" si="23"/>
        <v>3.065328773159812E-2</v>
      </c>
      <c r="AG159" s="255" t="str">
        <f>IF(ISNUMBER(SEARCH("C",'WetLitterbags placem_collection'!AD86)),"YES","NO")</f>
        <v>NO</v>
      </c>
      <c r="AH159" s="255" t="str">
        <f>IF(ISNUMBER(SEARCH("H", 'WetLitterbags placem_collection'!AD86)),"YES","NO")</f>
        <v>NO</v>
      </c>
      <c r="AI159" s="255" t="str">
        <f>IF(ISNUMBER(SEARCH("R", 'WetLitterbags placem_collection'!AD86)),"YES","NO")</f>
        <v>NO</v>
      </c>
      <c r="AJ159" s="255" t="str">
        <f>IF(ISNUMBER(SEARCH("C", 'WetLitterbags placem_collection'!AC86)),"YES","NO")</f>
        <v>NO</v>
      </c>
      <c r="AK159" s="255" t="str">
        <f>IF(ISNUMBER(SEARCH("H", 'WetLitterbags placem_collection'!AC86)),"YES","NO")</f>
        <v>NO</v>
      </c>
      <c r="AL159" s="255" t="str">
        <f>IF(ISNUMBER(SEARCH("R", 'WetLitterbags placem_collection'!AC86)),"YES","NO")</f>
        <v>NO</v>
      </c>
    </row>
    <row r="160" spans="2:38">
      <c r="B160" t="str">
        <f>'Final data_for_R_analysis_Wetse'!A86</f>
        <v>Wet</v>
      </c>
      <c r="C160" s="263">
        <f>'Final data_for_R_analysis_Wetse'!B86</f>
        <v>85</v>
      </c>
      <c r="D160" t="s">
        <v>3839</v>
      </c>
      <c r="E160" t="s">
        <v>22</v>
      </c>
      <c r="F160" s="387">
        <v>5</v>
      </c>
      <c r="G160" s="16">
        <f>'WetLitterbags placem_collection'!E87</f>
        <v>42767</v>
      </c>
      <c r="H160" t="str">
        <f>'Final data_for_R_analysis_Wetse'!J86</f>
        <v>G308</v>
      </c>
      <c r="I160" t="str">
        <f>'Final data_for_R_analysis_Wetse'!J306</f>
        <v>R315</v>
      </c>
      <c r="J160">
        <f>IFERROR(INDEX('Green_rooibos initial weight'!$C$5:$C$1749,MATCH(H160, 'Green_rooibos initial weight'!$A$5:$A$1749,0)),"")</f>
        <v>1.982</v>
      </c>
      <c r="K160">
        <f>IFERROR(INDEX('Green_rooibos initial weight'!$C$5:$C$1749,MATCH(I160, 'Green_rooibos initial weight'!$A$5:$A$1749,0)),"")</f>
        <v>2.2440000000000002</v>
      </c>
      <c r="L160" s="195">
        <f t="shared" si="16"/>
        <v>1.7322</v>
      </c>
      <c r="M160" s="195">
        <f>AVERAGE(Ashed_controlls!$K$2:$K$11)</f>
        <v>5.5147656768714146</v>
      </c>
      <c r="N160" s="195">
        <f t="shared" si="12"/>
        <v>1.6366732289452333</v>
      </c>
      <c r="O160" s="195">
        <f t="shared" si="17"/>
        <v>1.9942000000000002</v>
      </c>
      <c r="P160" s="195">
        <f>AVERAGE(Ashed_controlls!$K$12:$K$14)</f>
        <v>2.2816647271287041</v>
      </c>
      <c r="Q160" s="195">
        <f t="shared" si="18"/>
        <v>1.9486990420115995</v>
      </c>
      <c r="R160" s="16">
        <f>IF('WetLitterbags placem_collection'!G87="N.A","",'WetLitterbags placem_collection'!G87)</f>
        <v>42819</v>
      </c>
      <c r="S160" s="195">
        <f>IF(IFERROR(INDEX('Both teabags AfterWet'!$C$3:$C$841,MATCH(H160,'Both teabags AfterWet'!$A$3:$A$841,0)),"")="N.A","",(IFERROR(INDEX('Both teabags AfterWet'!$C$3:$C$841,MATCH(H160,'Both teabags AfterWet'!$A$3:$A$841,0)),"")))</f>
        <v>1.256</v>
      </c>
      <c r="T160" s="195">
        <f>IFERROR(INDEX('Both teabags AfterWet'!$C$3:$C$841,MATCH(I160,'Both teabags AfterWet'!$A$3:$A$841,0)),"")</f>
        <v>1.4850000000000001</v>
      </c>
      <c r="U160" s="195">
        <f t="shared" si="19"/>
        <v>1.1053999999999999</v>
      </c>
      <c r="V160" s="195">
        <f t="shared" si="19"/>
        <v>1.3344</v>
      </c>
      <c r="W160" s="195">
        <f>IFERROR(INDEX('Ashed teabags wet'!$K$2:$K$821,MATCH(H160,'Ashed teabags wet'!$A$2:$A$821,0)),"")</f>
        <v>39.801980198020281</v>
      </c>
      <c r="X160" s="195">
        <f>IFERROR(INDEX('Ashed teabags wet'!$K$2:$K$821,MATCH(I160,'Ashed teabags wet'!$A$2:$A$821,0)),"")</f>
        <v>10.368550368550631</v>
      </c>
      <c r="Y160" s="195">
        <f t="shared" si="13"/>
        <v>0.6654289108910838</v>
      </c>
      <c r="Z160" s="195">
        <f t="shared" si="13"/>
        <v>1.1960420638820604</v>
      </c>
      <c r="AA160" s="195">
        <f t="shared" si="20"/>
        <v>0.59342592087247337</v>
      </c>
      <c r="AB160" s="195">
        <f t="shared" si="21"/>
        <v>0.38903932104703726</v>
      </c>
      <c r="AC160" s="195">
        <f t="shared" si="14"/>
        <v>0.61376438233756825</v>
      </c>
      <c r="AD160">
        <f t="shared" si="15"/>
        <v>52</v>
      </c>
      <c r="AE160" s="195">
        <f t="shared" si="22"/>
        <v>0.29521862129159926</v>
      </c>
      <c r="AF160" s="195">
        <f t="shared" si="23"/>
        <v>9.4860370005136627E-2</v>
      </c>
      <c r="AG160" s="255" t="str">
        <f>IF(ISNUMBER(SEARCH("C",'WetLitterbags placem_collection'!AD87)),"YES","NO")</f>
        <v>NO</v>
      </c>
      <c r="AH160" s="255" t="str">
        <f>IF(ISNUMBER(SEARCH("H", 'WetLitterbags placem_collection'!AD87)),"YES","NO")</f>
        <v>NO</v>
      </c>
      <c r="AI160" s="255" t="str">
        <f>IF(ISNUMBER(SEARCH("R", 'WetLitterbags placem_collection'!AD87)),"YES","NO")</f>
        <v>NO</v>
      </c>
      <c r="AJ160" s="255" t="str">
        <f>IF(ISNUMBER(SEARCH("C", 'WetLitterbags placem_collection'!AC87)),"YES","NO")</f>
        <v>NO</v>
      </c>
      <c r="AK160" s="255" t="str">
        <f>IF(ISNUMBER(SEARCH("H", 'WetLitterbags placem_collection'!AC87)),"YES","NO")</f>
        <v>NO</v>
      </c>
      <c r="AL160" s="255" t="str">
        <f>IF(ISNUMBER(SEARCH("R", 'WetLitterbags placem_collection'!AC87)),"YES","NO")</f>
        <v>NO</v>
      </c>
    </row>
    <row r="161" spans="2:38">
      <c r="B161" t="str">
        <f>'Final data_for_R_analysis_Wetse'!A87</f>
        <v>Wet</v>
      </c>
      <c r="C161" s="263">
        <f>'Final data_for_R_analysis_Wetse'!B87</f>
        <v>86</v>
      </c>
      <c r="D161" t="s">
        <v>3839</v>
      </c>
      <c r="E161" t="s">
        <v>22</v>
      </c>
      <c r="F161" s="387">
        <v>6</v>
      </c>
      <c r="G161" s="16">
        <f>'WetLitterbags placem_collection'!E88</f>
        <v>42767</v>
      </c>
      <c r="H161" t="str">
        <f>'Final data_for_R_analysis_Wetse'!J87</f>
        <v>G723</v>
      </c>
      <c r="I161" t="str">
        <f>'Final data_for_R_analysis_Wetse'!J307</f>
        <v>R1</v>
      </c>
      <c r="J161">
        <f>IFERROR(INDEX('Green_rooibos initial weight'!$C$5:$C$1749,MATCH(H161, 'Green_rooibos initial weight'!$A$5:$A$1749,0)),"")</f>
        <v>2.0129999999999999</v>
      </c>
      <c r="K161">
        <f>IFERROR(INDEX('Green_rooibos initial weight'!$C$5:$C$1749,MATCH(I161, 'Green_rooibos initial weight'!$A$5:$A$1749,0)),"")</f>
        <v>2.2109999999999999</v>
      </c>
      <c r="L161" s="195">
        <f t="shared" si="16"/>
        <v>1.7631999999999999</v>
      </c>
      <c r="M161" s="195">
        <f>AVERAGE(Ashed_controlls!$K$2:$K$11)</f>
        <v>5.5147656768714146</v>
      </c>
      <c r="N161" s="195">
        <f t="shared" si="12"/>
        <v>1.665963651585403</v>
      </c>
      <c r="O161" s="195">
        <f t="shared" si="17"/>
        <v>1.9611999999999998</v>
      </c>
      <c r="P161" s="195">
        <f>AVERAGE(Ashed_controlls!$K$12:$K$14)</f>
        <v>2.2816647271287041</v>
      </c>
      <c r="Q161" s="195">
        <f t="shared" si="18"/>
        <v>1.9164519913715516</v>
      </c>
      <c r="R161" s="16">
        <f>IF('WetLitterbags placem_collection'!G88="N.A","",'WetLitterbags placem_collection'!G88)</f>
        <v>42819</v>
      </c>
      <c r="S161" s="195">
        <f>IF(IFERROR(INDEX('Both teabags AfterWet'!$C$3:$C$841,MATCH(H161,'Both teabags AfterWet'!$A$3:$A$841,0)),"")="N.A","",(IFERROR(INDEX('Both teabags AfterWet'!$C$3:$C$841,MATCH(H161,'Both teabags AfterWet'!$A$3:$A$841,0)),"")))</f>
        <v>0.78249999999999997</v>
      </c>
      <c r="T161" s="195">
        <f>IFERROR(INDEX('Both teabags AfterWet'!$C$3:$C$841,MATCH(I161,'Both teabags AfterWet'!$A$3:$A$841,0)),"")</f>
        <v>0.38169999999999998</v>
      </c>
      <c r="U161" s="195">
        <f t="shared" si="19"/>
        <v>0.63189999999999991</v>
      </c>
      <c r="V161" s="195">
        <f t="shared" si="19"/>
        <v>0.23109999999999997</v>
      </c>
      <c r="W161" s="195">
        <f>IFERROR(INDEX('Ashed teabags wet'!$K$2:$K$821,MATCH(H161,'Ashed teabags wet'!$A$2:$A$821,0)),"")</f>
        <v>7.4680306905364882</v>
      </c>
      <c r="X161" s="195" t="str">
        <f>IFERROR(INDEX('Ashed teabags wet'!$K$2:$K$821,MATCH(I161,'Ashed teabags wet'!$A$2:$A$821,0)),"")</f>
        <v/>
      </c>
      <c r="Y161" s="195">
        <f t="shared" si="13"/>
        <v>0.58470951406649985</v>
      </c>
      <c r="Z161" s="195" t="str">
        <f t="shared" si="13"/>
        <v/>
      </c>
      <c r="AA161" s="195">
        <f t="shared" si="20"/>
        <v>0.64902624765548456</v>
      </c>
      <c r="AB161" s="195">
        <f t="shared" si="21"/>
        <v>0.42548989157461697</v>
      </c>
      <c r="AC161" s="195" t="str">
        <f t="shared" si="14"/>
        <v/>
      </c>
      <c r="AD161">
        <f t="shared" si="15"/>
        <v>52</v>
      </c>
      <c r="AE161" s="195">
        <f t="shared" si="22"/>
        <v>0.22918497903149104</v>
      </c>
      <c r="AF161" s="195" t="str">
        <f t="shared" si="23"/>
        <v/>
      </c>
      <c r="AG161" s="255" t="str">
        <f>IF(ISNUMBER(SEARCH("C",'WetLitterbags placem_collection'!AD88)),"YES","NO")</f>
        <v>NO</v>
      </c>
      <c r="AH161" s="255" t="str">
        <f>IF(ISNUMBER(SEARCH("H", 'WetLitterbags placem_collection'!AD88)),"YES","NO")</f>
        <v>NO</v>
      </c>
      <c r="AI161" s="255" t="str">
        <f>IF(ISNUMBER(SEARCH("R", 'WetLitterbags placem_collection'!AD88)),"YES","NO")</f>
        <v>NO</v>
      </c>
      <c r="AJ161" s="255" t="str">
        <f>IF(ISNUMBER(SEARCH("C", 'WetLitterbags placem_collection'!AC88)),"YES","NO")</f>
        <v>NO</v>
      </c>
      <c r="AK161" s="255" t="str">
        <f>IF(ISNUMBER(SEARCH("H", 'WetLitterbags placem_collection'!AC88)),"YES","NO")</f>
        <v>NO</v>
      </c>
      <c r="AL161" s="255" t="str">
        <f>IF(ISNUMBER(SEARCH("R", 'WetLitterbags placem_collection'!AC88)),"YES","NO")</f>
        <v>NO</v>
      </c>
    </row>
    <row r="162" spans="2:38">
      <c r="B162" t="str">
        <f>'Final data_for_R_analysis_Wetse'!A88</f>
        <v>Wet</v>
      </c>
      <c r="C162" s="263">
        <f>'Final data_for_R_analysis_Wetse'!B88</f>
        <v>87</v>
      </c>
      <c r="D162" t="s">
        <v>3839</v>
      </c>
      <c r="E162" t="s">
        <v>22</v>
      </c>
      <c r="F162" s="387">
        <v>7</v>
      </c>
      <c r="G162" s="16">
        <f>'WetLitterbags placem_collection'!E89</f>
        <v>42767</v>
      </c>
      <c r="H162" t="str">
        <f>'Final data_for_R_analysis_Wetse'!J88</f>
        <v>G628</v>
      </c>
      <c r="I162" t="str">
        <f>'Final data_for_R_analysis_Wetse'!J308</f>
        <v>R408</v>
      </c>
      <c r="J162">
        <f>IFERROR(INDEX('Green_rooibos initial weight'!$C$5:$C$1749,MATCH(H162, 'Green_rooibos initial weight'!$A$5:$A$1749,0)),"")</f>
        <v>2.0739999999999998</v>
      </c>
      <c r="K162">
        <f>IFERROR(INDEX('Green_rooibos initial weight'!$C$5:$C$1749,MATCH(I162, 'Green_rooibos initial weight'!$A$5:$A$1749,0)),"")</f>
        <v>2.2480000000000002</v>
      </c>
      <c r="L162" s="195">
        <f t="shared" si="16"/>
        <v>1.8241999999999998</v>
      </c>
      <c r="M162" s="195">
        <f>AVERAGE(Ashed_controlls!$K$2:$K$11)</f>
        <v>5.5147656768714146</v>
      </c>
      <c r="N162" s="195">
        <f t="shared" si="12"/>
        <v>1.7235996445225115</v>
      </c>
      <c r="O162" s="195">
        <f t="shared" si="17"/>
        <v>1.9982000000000002</v>
      </c>
      <c r="P162" s="195">
        <f>AVERAGE(Ashed_controlls!$K$12:$K$14)</f>
        <v>2.2816647271287041</v>
      </c>
      <c r="Q162" s="195">
        <f t="shared" si="18"/>
        <v>1.9526077754225144</v>
      </c>
      <c r="R162" s="16">
        <f>IF('WetLitterbags placem_collection'!G89="N.A","",'WetLitterbags placem_collection'!G89)</f>
        <v>42819</v>
      </c>
      <c r="S162" s="195">
        <f>IF(IFERROR(INDEX('Both teabags AfterWet'!$C$3:$C$841,MATCH(H162,'Both teabags AfterWet'!$A$3:$A$841,0)),"")="N.A","",(IFERROR(INDEX('Both teabags AfterWet'!$C$3:$C$841,MATCH(H162,'Both teabags AfterWet'!$A$3:$A$841,0)),"")))</f>
        <v>0.8639</v>
      </c>
      <c r="T162" s="195">
        <f>IFERROR(INDEX('Both teabags AfterWet'!$C$3:$C$841,MATCH(I162,'Both teabags AfterWet'!$A$3:$A$841,0)),"")</f>
        <v>0.3599</v>
      </c>
      <c r="U162" s="195">
        <f t="shared" si="19"/>
        <v>0.71330000000000005</v>
      </c>
      <c r="V162" s="195">
        <f t="shared" si="19"/>
        <v>0.20929999999999999</v>
      </c>
      <c r="W162" s="195">
        <f>IFERROR(INDEX('Ashed teabags wet'!$K$2:$K$821,MATCH(H162,'Ashed teabags wet'!$A$2:$A$821,0)),"")</f>
        <v>12.74038461538643</v>
      </c>
      <c r="X162" s="195" t="str">
        <f>IFERROR(INDEX('Ashed teabags wet'!$K$2:$K$821,MATCH(I162,'Ashed teabags wet'!$A$2:$A$821,0)),"")</f>
        <v/>
      </c>
      <c r="Y162" s="195">
        <f t="shared" si="13"/>
        <v>0.62242283653844865</v>
      </c>
      <c r="Z162" s="195" t="str">
        <f t="shared" si="13"/>
        <v/>
      </c>
      <c r="AA162" s="195">
        <f t="shared" si="20"/>
        <v>0.63888201154109758</v>
      </c>
      <c r="AB162" s="195">
        <f t="shared" si="21"/>
        <v>0.41883951350437754</v>
      </c>
      <c r="AC162" s="195" t="str">
        <f t="shared" si="14"/>
        <v/>
      </c>
      <c r="AD162">
        <f t="shared" si="15"/>
        <v>52</v>
      </c>
      <c r="AE162" s="195">
        <f t="shared" si="22"/>
        <v>0.24123276539062044</v>
      </c>
      <c r="AF162" s="195" t="str">
        <f t="shared" si="23"/>
        <v/>
      </c>
      <c r="AG162" s="255" t="str">
        <f>IF(ISNUMBER(SEARCH("C",'WetLitterbags placem_collection'!AD89)),"YES","NO")</f>
        <v>NO</v>
      </c>
      <c r="AH162" s="255" t="str">
        <f>IF(ISNUMBER(SEARCH("H", 'WetLitterbags placem_collection'!AD89)),"YES","NO")</f>
        <v>NO</v>
      </c>
      <c r="AI162" s="255" t="str">
        <f>IF(ISNUMBER(SEARCH("R", 'WetLitterbags placem_collection'!AD89)),"YES","NO")</f>
        <v>NO</v>
      </c>
      <c r="AJ162" s="255" t="str">
        <f>IF(ISNUMBER(SEARCH("C", 'WetLitterbags placem_collection'!AC89)),"YES","NO")</f>
        <v>NO</v>
      </c>
      <c r="AK162" s="255" t="str">
        <f>IF(ISNUMBER(SEARCH("H", 'WetLitterbags placem_collection'!AC89)),"YES","NO")</f>
        <v>NO</v>
      </c>
      <c r="AL162" s="255" t="str">
        <f>IF(ISNUMBER(SEARCH("R", 'WetLitterbags placem_collection'!AC89)),"YES","NO")</f>
        <v>NO</v>
      </c>
    </row>
    <row r="163" spans="2:38">
      <c r="B163" t="str">
        <f>'Final data_for_R_analysis_Wetse'!A89</f>
        <v>Wet</v>
      </c>
      <c r="C163" s="263">
        <f>'Final data_for_R_analysis_Wetse'!B89</f>
        <v>88</v>
      </c>
      <c r="D163" t="s">
        <v>3839</v>
      </c>
      <c r="E163" t="s">
        <v>22</v>
      </c>
      <c r="F163" s="387">
        <v>8</v>
      </c>
      <c r="G163" s="16">
        <f>'WetLitterbags placem_collection'!E90</f>
        <v>42767</v>
      </c>
      <c r="H163" t="str">
        <f>'Final data_for_R_analysis_Wetse'!J89</f>
        <v>G569</v>
      </c>
      <c r="I163" t="str">
        <f>'Final data_for_R_analysis_Wetse'!J309</f>
        <v>R385</v>
      </c>
      <c r="J163">
        <f>IFERROR(INDEX('Green_rooibos initial weight'!$C$5:$C$1749,MATCH(H163, 'Green_rooibos initial weight'!$A$5:$A$1749,0)),"")</f>
        <v>1.9950000000000001</v>
      </c>
      <c r="K163">
        <f>IFERROR(INDEX('Green_rooibos initial weight'!$C$5:$C$1749,MATCH(I163, 'Green_rooibos initial weight'!$A$5:$A$1749,0)),"")</f>
        <v>2.2559999999999998</v>
      </c>
      <c r="L163" s="195">
        <f t="shared" si="16"/>
        <v>1.7452000000000001</v>
      </c>
      <c r="M163" s="195">
        <f>AVERAGE(Ashed_controlls!$K$2:$K$11)</f>
        <v>5.5147656768714146</v>
      </c>
      <c r="N163" s="195">
        <f t="shared" si="12"/>
        <v>1.6489563094072401</v>
      </c>
      <c r="O163" s="195">
        <f t="shared" si="17"/>
        <v>2.0061999999999998</v>
      </c>
      <c r="P163" s="195">
        <f>AVERAGE(Ashed_controlls!$K$12:$K$14)</f>
        <v>2.2816647271287041</v>
      </c>
      <c r="Q163" s="195">
        <f t="shared" si="18"/>
        <v>1.9604252422443438</v>
      </c>
      <c r="R163" s="16">
        <f>IF('WetLitterbags placem_collection'!G90="N.A","",'WetLitterbags placem_collection'!G90)</f>
        <v>0</v>
      </c>
      <c r="S163" s="195" t="str">
        <f>IF(IFERROR(INDEX('Both teabags AfterWet'!$C$3:$C$841,MATCH(H163,'Both teabags AfterWet'!$A$3:$A$841,0)),"")="N.A","",(IFERROR(INDEX('Both teabags AfterWet'!$C$3:$C$841,MATCH(H163,'Both teabags AfterWet'!$A$3:$A$841,0)),"")))</f>
        <v/>
      </c>
      <c r="T163" s="195" t="str">
        <f>IFERROR(INDEX('Both teabags AfterWet'!$C$3:$C$841,MATCH(I163,'Both teabags AfterWet'!$A$3:$A$841,0)),"")</f>
        <v/>
      </c>
      <c r="U163" s="195" t="str">
        <f t="shared" si="19"/>
        <v/>
      </c>
      <c r="V163" s="195" t="str">
        <f t="shared" si="19"/>
        <v/>
      </c>
      <c r="W163" s="195" t="str">
        <f>IFERROR(INDEX('Ashed teabags wet'!$K$2:$K$821,MATCH(H163,'Ashed teabags wet'!$A$2:$A$821,0)),"")</f>
        <v/>
      </c>
      <c r="X163" s="195" t="str">
        <f>IFERROR(INDEX('Ashed teabags wet'!$K$2:$K$821,MATCH(I163,'Ashed teabags wet'!$A$2:$A$821,0)),"")</f>
        <v/>
      </c>
      <c r="Y163" s="195" t="str">
        <f t="shared" si="13"/>
        <v/>
      </c>
      <c r="Z163" s="195" t="str">
        <f t="shared" si="13"/>
        <v/>
      </c>
      <c r="AA163" s="195" t="str">
        <f t="shared" si="20"/>
        <v/>
      </c>
      <c r="AB163" s="195" t="str">
        <f t="shared" si="21"/>
        <v/>
      </c>
      <c r="AC163" s="195" t="str">
        <f t="shared" si="14"/>
        <v/>
      </c>
      <c r="AD163" t="str">
        <f t="shared" si="15"/>
        <v/>
      </c>
      <c r="AE163" s="195" t="str">
        <f t="shared" si="22"/>
        <v/>
      </c>
      <c r="AF163" s="195" t="str">
        <f t="shared" si="23"/>
        <v/>
      </c>
      <c r="AG163" s="255" t="str">
        <f>IF(ISNUMBER(SEARCH("C",'WetLitterbags placem_collection'!AD90)),"YES","NO")</f>
        <v>NO</v>
      </c>
      <c r="AH163" s="255" t="str">
        <f>IF(ISNUMBER(SEARCH("H", 'WetLitterbags placem_collection'!AD90)),"YES","NO")</f>
        <v>NO</v>
      </c>
      <c r="AI163" s="255" t="str">
        <f>IF(ISNUMBER(SEARCH("R", 'WetLitterbags placem_collection'!AD90)),"YES","NO")</f>
        <v>NO</v>
      </c>
      <c r="AJ163" s="255" t="str">
        <f>IF(ISNUMBER(SEARCH("C", 'WetLitterbags placem_collection'!AC90)),"YES","NO")</f>
        <v>NO</v>
      </c>
      <c r="AK163" s="255" t="str">
        <f>IF(ISNUMBER(SEARCH("H", 'WetLitterbags placem_collection'!AC90)),"YES","NO")</f>
        <v>NO</v>
      </c>
      <c r="AL163" s="255" t="str">
        <f>IF(ISNUMBER(SEARCH("R", 'WetLitterbags placem_collection'!AC90)),"YES","NO")</f>
        <v>NO</v>
      </c>
    </row>
    <row r="164" spans="2:38">
      <c r="B164" t="str">
        <f>'Final data_for_R_analysis_Wetse'!A90</f>
        <v>Wet</v>
      </c>
      <c r="C164" s="263">
        <f>'Final data_for_R_analysis_Wetse'!B90</f>
        <v>89</v>
      </c>
      <c r="D164" t="s">
        <v>3840</v>
      </c>
      <c r="E164" t="s">
        <v>22</v>
      </c>
      <c r="F164" s="386">
        <v>1</v>
      </c>
      <c r="G164" s="16">
        <f>'WetLitterbags placem_collection'!E91</f>
        <v>42767</v>
      </c>
      <c r="H164" t="str">
        <f>'Final data_for_R_analysis_Wetse'!J90</f>
        <v>G339</v>
      </c>
      <c r="I164" t="str">
        <f>'Final data_for_R_analysis_Wetse'!J310</f>
        <v>R196</v>
      </c>
      <c r="J164">
        <f>IFERROR(INDEX('Green_rooibos initial weight'!$C$5:$C$1749,MATCH(H164, 'Green_rooibos initial weight'!$A$5:$A$1749,0)),"")</f>
        <v>2.0219999999999998</v>
      </c>
      <c r="K164">
        <f>IFERROR(INDEX('Green_rooibos initial weight'!$C$5:$C$1749,MATCH(I164, 'Green_rooibos initial weight'!$A$5:$A$1749,0)),"")</f>
        <v>2.242</v>
      </c>
      <c r="L164" s="195">
        <f t="shared" si="16"/>
        <v>1.7721999999999998</v>
      </c>
      <c r="M164" s="195">
        <f>AVERAGE(Ashed_controlls!$K$2:$K$11)</f>
        <v>5.5147656768714146</v>
      </c>
      <c r="N164" s="195">
        <f t="shared" si="12"/>
        <v>1.6744673226744846</v>
      </c>
      <c r="O164" s="195">
        <f t="shared" si="17"/>
        <v>1.9922</v>
      </c>
      <c r="P164" s="195">
        <f>AVERAGE(Ashed_controlls!$K$12:$K$14)</f>
        <v>2.2816647271287041</v>
      </c>
      <c r="Q164" s="195">
        <f t="shared" si="18"/>
        <v>1.9467446753061419</v>
      </c>
      <c r="R164" s="16">
        <f>IF('WetLitterbags placem_collection'!G91="N.A","",'WetLitterbags placem_collection'!G91)</f>
        <v>42819</v>
      </c>
      <c r="S164" s="195" t="str">
        <f>IF(IFERROR(INDEX('Both teabags AfterWet'!$C$3:$C$841,MATCH(H164,'Both teabags AfterWet'!$A$3:$A$841,0)),"")="N.A","",(IFERROR(INDEX('Both teabags AfterWet'!$C$3:$C$841,MATCH(H164,'Both teabags AfterWet'!$A$3:$A$841,0)),"")))</f>
        <v/>
      </c>
      <c r="T164" s="195">
        <f>IFERROR(INDEX('Both teabags AfterWet'!$C$3:$C$841,MATCH(I164,'Both teabags AfterWet'!$A$3:$A$841,0)),"")</f>
        <v>0.17399999999999999</v>
      </c>
      <c r="U164" s="195" t="str">
        <f t="shared" si="19"/>
        <v/>
      </c>
      <c r="V164" s="195">
        <f t="shared" si="19"/>
        <v>2.3399999999999976E-2</v>
      </c>
      <c r="W164" s="195" t="str">
        <f>IFERROR(INDEX('Ashed teabags wet'!$K$2:$K$821,MATCH(H164,'Ashed teabags wet'!$A$2:$A$821,0)),"")</f>
        <v/>
      </c>
      <c r="X164" s="195" t="str">
        <f>IFERROR(INDEX('Ashed teabags wet'!$K$2:$K$821,MATCH(I164,'Ashed teabags wet'!$A$2:$A$821,0)),"")</f>
        <v/>
      </c>
      <c r="Y164" s="195" t="str">
        <f t="shared" si="13"/>
        <v/>
      </c>
      <c r="Z164" s="195" t="str">
        <f t="shared" si="13"/>
        <v/>
      </c>
      <c r="AA164" s="195" t="str">
        <f t="shared" si="20"/>
        <v/>
      </c>
      <c r="AB164" s="195" t="str">
        <f t="shared" si="21"/>
        <v/>
      </c>
      <c r="AC164" s="195" t="str">
        <f t="shared" si="14"/>
        <v/>
      </c>
      <c r="AD164">
        <f t="shared" si="15"/>
        <v>52</v>
      </c>
      <c r="AE164" s="195" t="str">
        <f t="shared" si="22"/>
        <v/>
      </c>
      <c r="AF164" s="195" t="str">
        <f t="shared" si="23"/>
        <v/>
      </c>
      <c r="AG164" s="255" t="str">
        <f>IF(ISNUMBER(SEARCH("C",'WetLitterbags placem_collection'!AD91)),"YES","NO")</f>
        <v>NO</v>
      </c>
      <c r="AH164" s="255" t="str">
        <f>IF(ISNUMBER(SEARCH("H", 'WetLitterbags placem_collection'!AD91)),"YES","NO")</f>
        <v>NO</v>
      </c>
      <c r="AI164" s="255" t="str">
        <f>IF(ISNUMBER(SEARCH("R", 'WetLitterbags placem_collection'!AD91)),"YES","NO")</f>
        <v>NO</v>
      </c>
      <c r="AJ164" s="255" t="str">
        <f>IF(ISNUMBER(SEARCH("C", 'WetLitterbags placem_collection'!AC91)),"YES","NO")</f>
        <v>NO</v>
      </c>
      <c r="AK164" s="255" t="str">
        <f>IF(ISNUMBER(SEARCH("H", 'WetLitterbags placem_collection'!AC91)),"YES","NO")</f>
        <v>NO</v>
      </c>
      <c r="AL164" s="255" t="str">
        <f>IF(ISNUMBER(SEARCH("R", 'WetLitterbags placem_collection'!AC91)),"YES","NO")</f>
        <v>NO</v>
      </c>
    </row>
    <row r="165" spans="2:38">
      <c r="B165" t="str">
        <f>'Final data_for_R_analysis_Wetse'!A91</f>
        <v>Wet</v>
      </c>
      <c r="C165" s="263">
        <f>'Final data_for_R_analysis_Wetse'!B91</f>
        <v>90</v>
      </c>
      <c r="D165" t="s">
        <v>3840</v>
      </c>
      <c r="E165" t="s">
        <v>22</v>
      </c>
      <c r="F165" s="386">
        <v>2</v>
      </c>
      <c r="G165" s="16">
        <f>'WetLitterbags placem_collection'!E92</f>
        <v>42767</v>
      </c>
      <c r="H165" t="str">
        <f>'Final data_for_R_analysis_Wetse'!J91</f>
        <v>G592</v>
      </c>
      <c r="I165" t="str">
        <f>'Final data_for_R_analysis_Wetse'!J311</f>
        <v>R94</v>
      </c>
      <c r="J165">
        <f>IFERROR(INDEX('Green_rooibos initial weight'!$C$5:$C$1749,MATCH(H165, 'Green_rooibos initial weight'!$A$5:$A$1749,0)),"")</f>
        <v>2.0699999999999998</v>
      </c>
      <c r="K165">
        <f>IFERROR(INDEX('Green_rooibos initial weight'!$C$5:$C$1749,MATCH(I165, 'Green_rooibos initial weight'!$A$5:$A$1749,0)),"")</f>
        <v>2.2770000000000001</v>
      </c>
      <c r="L165" s="195">
        <f t="shared" si="16"/>
        <v>1.8201999999999998</v>
      </c>
      <c r="M165" s="195">
        <f>AVERAGE(Ashed_controlls!$K$2:$K$11)</f>
        <v>5.5147656768714146</v>
      </c>
      <c r="N165" s="195">
        <f t="shared" si="12"/>
        <v>1.7198202351495864</v>
      </c>
      <c r="O165" s="195">
        <f t="shared" si="17"/>
        <v>2.0272000000000001</v>
      </c>
      <c r="P165" s="195">
        <f>AVERAGE(Ashed_controlls!$K$12:$K$14)</f>
        <v>2.2816647271287041</v>
      </c>
      <c r="Q165" s="195">
        <f t="shared" si="18"/>
        <v>1.9809460926516471</v>
      </c>
      <c r="R165" s="16">
        <f>IF('WetLitterbags placem_collection'!G92="N.A","",'WetLitterbags placem_collection'!G92)</f>
        <v>42819</v>
      </c>
      <c r="S165" s="195">
        <f>IF(IFERROR(INDEX('Both teabags AfterWet'!$C$3:$C$841,MATCH(H165,'Both teabags AfterWet'!$A$3:$A$841,0)),"")="N.A","",(IFERROR(INDEX('Both teabags AfterWet'!$C$3:$C$841,MATCH(H165,'Both teabags AfterWet'!$A$3:$A$841,0)),"")))</f>
        <v>1.0779000000000001</v>
      </c>
      <c r="T165" s="195">
        <f>IFERROR(INDEX('Both teabags AfterWet'!$C$3:$C$841,MATCH(I165,'Both teabags AfterWet'!$A$3:$A$841,0)),"")</f>
        <v>1.7455000000000001</v>
      </c>
      <c r="U165" s="195">
        <f t="shared" si="19"/>
        <v>0.92730000000000001</v>
      </c>
      <c r="V165" s="195">
        <f t="shared" si="19"/>
        <v>1.5949</v>
      </c>
      <c r="W165" s="195">
        <f>IFERROR(INDEX('Ashed teabags wet'!$K$2:$K$821,MATCH(H165,'Ashed teabags wet'!$A$2:$A$821,0)),"")</f>
        <v>33.166583291646958</v>
      </c>
      <c r="X165" s="195">
        <f>IFERROR(INDEX('Ashed teabags wet'!$K$2:$K$821,MATCH(I165,'Ashed teabags wet'!$A$2:$A$821,0)),"")</f>
        <v>4.0694789081900105</v>
      </c>
      <c r="Y165" s="195">
        <f t="shared" si="13"/>
        <v>0.61974627313655772</v>
      </c>
      <c r="Z165" s="195">
        <f t="shared" si="13"/>
        <v>1.5299958808932774</v>
      </c>
      <c r="AA165" s="195">
        <f t="shared" si="20"/>
        <v>0.63964473700784574</v>
      </c>
      <c r="AB165" s="195">
        <f t="shared" si="21"/>
        <v>0.41933954255146183</v>
      </c>
      <c r="AC165" s="195">
        <f t="shared" si="14"/>
        <v>0.77235614162789334</v>
      </c>
      <c r="AD165">
        <f t="shared" si="15"/>
        <v>52</v>
      </c>
      <c r="AE165" s="195">
        <f t="shared" si="22"/>
        <v>0.24032691566764164</v>
      </c>
      <c r="AF165" s="195">
        <f t="shared" si="23"/>
        <v>1.505330422020452E-2</v>
      </c>
      <c r="AG165" s="255" t="str">
        <f>IF(ISNUMBER(SEARCH("C",'WetLitterbags placem_collection'!AD92)),"YES","NO")</f>
        <v>NO</v>
      </c>
      <c r="AH165" s="255" t="str">
        <f>IF(ISNUMBER(SEARCH("H", 'WetLitterbags placem_collection'!AD92)),"YES","NO")</f>
        <v>NO</v>
      </c>
      <c r="AI165" s="255" t="str">
        <f>IF(ISNUMBER(SEARCH("R", 'WetLitterbags placem_collection'!AD92)),"YES","NO")</f>
        <v>NO</v>
      </c>
      <c r="AJ165" s="255" t="str">
        <f>IF(ISNUMBER(SEARCH("C", 'WetLitterbags placem_collection'!AC92)),"YES","NO")</f>
        <v>NO</v>
      </c>
      <c r="AK165" s="255" t="str">
        <f>IF(ISNUMBER(SEARCH("H", 'WetLitterbags placem_collection'!AC92)),"YES","NO")</f>
        <v>NO</v>
      </c>
      <c r="AL165" s="255" t="str">
        <f>IF(ISNUMBER(SEARCH("R", 'WetLitterbags placem_collection'!AC92)),"YES","NO")</f>
        <v>NO</v>
      </c>
    </row>
    <row r="166" spans="2:38">
      <c r="B166" t="str">
        <f>'Final data_for_R_analysis_Wetse'!A92</f>
        <v>Wet</v>
      </c>
      <c r="C166" s="263">
        <f>'Final data_for_R_analysis_Wetse'!B92</f>
        <v>91</v>
      </c>
      <c r="D166" t="s">
        <v>3840</v>
      </c>
      <c r="E166" t="s">
        <v>22</v>
      </c>
      <c r="F166" s="386">
        <v>3</v>
      </c>
      <c r="G166" s="16">
        <f>'WetLitterbags placem_collection'!E93</f>
        <v>42767</v>
      </c>
      <c r="H166" t="str">
        <f>'Final data_for_R_analysis_Wetse'!J92</f>
        <v>G472</v>
      </c>
      <c r="I166" t="str">
        <f>'Final data_for_R_analysis_Wetse'!J312</f>
        <v>R343</v>
      </c>
      <c r="J166">
        <f>IFERROR(INDEX('Green_rooibos initial weight'!$C$5:$C$1749,MATCH(H166, 'Green_rooibos initial weight'!$A$5:$A$1749,0)),"")</f>
        <v>1.9710000000000001</v>
      </c>
      <c r="K166">
        <f>IFERROR(INDEX('Green_rooibos initial weight'!$C$5:$C$1749,MATCH(I166, 'Green_rooibos initial weight'!$A$5:$A$1749,0)),"")</f>
        <v>2.2429999999999999</v>
      </c>
      <c r="L166" s="195">
        <f t="shared" si="16"/>
        <v>1.7212000000000001</v>
      </c>
      <c r="M166" s="195">
        <f>AVERAGE(Ashed_controlls!$K$2:$K$11)</f>
        <v>5.5147656768714146</v>
      </c>
      <c r="N166" s="195">
        <f t="shared" si="12"/>
        <v>1.6262798531696894</v>
      </c>
      <c r="O166" s="195">
        <f t="shared" si="17"/>
        <v>1.9931999999999999</v>
      </c>
      <c r="P166" s="195">
        <f>AVERAGE(Ashed_controlls!$K$12:$K$14)</f>
        <v>2.2816647271287041</v>
      </c>
      <c r="Q166" s="195">
        <f t="shared" si="18"/>
        <v>1.9477218586588705</v>
      </c>
      <c r="R166" s="16">
        <f>IF('WetLitterbags placem_collection'!G93="N.A","",'WetLitterbags placem_collection'!G93)</f>
        <v>42819</v>
      </c>
      <c r="S166" s="195">
        <f>IF(IFERROR(INDEX('Both teabags AfterWet'!$C$3:$C$841,MATCH(H166,'Both teabags AfterWet'!$A$3:$A$841,0)),"")="N.A","",(IFERROR(INDEX('Both teabags AfterWet'!$C$3:$C$841,MATCH(H166,'Both teabags AfterWet'!$A$3:$A$841,0)),"")))</f>
        <v>0.76100000000000001</v>
      </c>
      <c r="T166" s="195">
        <f>IFERROR(INDEX('Both teabags AfterWet'!$C$3:$C$841,MATCH(I166,'Both teabags AfterWet'!$A$3:$A$841,0)),"")</f>
        <v>0.16200000000000001</v>
      </c>
      <c r="U166" s="195">
        <f t="shared" si="19"/>
        <v>0.61040000000000005</v>
      </c>
      <c r="V166" s="195">
        <f t="shared" si="19"/>
        <v>1.1399999999999993E-2</v>
      </c>
      <c r="W166" s="195">
        <f>IFERROR(INDEX('Ashed teabags wet'!$K$2:$K$821,MATCH(H166,'Ashed teabags wet'!$A$2:$A$821,0)),"")</f>
        <v>13.069604406610589</v>
      </c>
      <c r="X166" s="195">
        <f>IFERROR(INDEX('Ashed teabags wet'!$K$2:$K$821,MATCH(I166,'Ashed teabags wet'!$A$2:$A$821,0)),"")</f>
        <v>83.97683397683403</v>
      </c>
      <c r="Y166" s="195">
        <f t="shared" si="13"/>
        <v>0.53062313470204903</v>
      </c>
      <c r="Z166" s="195">
        <f t="shared" si="13"/>
        <v>1.8266409266409194E-3</v>
      </c>
      <c r="AA166" s="195">
        <f t="shared" si="20"/>
        <v>0.67371966536519423</v>
      </c>
      <c r="AB166" s="195">
        <f t="shared" si="21"/>
        <v>0.44167845045319154</v>
      </c>
      <c r="AC166" s="195">
        <f t="shared" si="14"/>
        <v>9.378345878906329E-4</v>
      </c>
      <c r="AD166">
        <f t="shared" si="15"/>
        <v>52</v>
      </c>
      <c r="AE166" s="195">
        <f t="shared" si="22"/>
        <v>0.19985787961378354</v>
      </c>
      <c r="AF166" s="195" t="str">
        <f t="shared" si="23"/>
        <v/>
      </c>
      <c r="AG166" s="255" t="str">
        <f>IF(ISNUMBER(SEARCH("C",'WetLitterbags placem_collection'!AD93)),"YES","NO")</f>
        <v>NO</v>
      </c>
      <c r="AH166" s="255" t="str">
        <f>IF(ISNUMBER(SEARCH("H", 'WetLitterbags placem_collection'!AD93)),"YES","NO")</f>
        <v>NO</v>
      </c>
      <c r="AI166" s="255" t="str">
        <f>IF(ISNUMBER(SEARCH("R", 'WetLitterbags placem_collection'!AD93)),"YES","NO")</f>
        <v>NO</v>
      </c>
      <c r="AJ166" s="255" t="str">
        <f>IF(ISNUMBER(SEARCH("C", 'WetLitterbags placem_collection'!AC93)),"YES","NO")</f>
        <v>NO</v>
      </c>
      <c r="AK166" s="255" t="str">
        <f>IF(ISNUMBER(SEARCH("H", 'WetLitterbags placem_collection'!AC93)),"YES","NO")</f>
        <v>NO</v>
      </c>
      <c r="AL166" s="255" t="str">
        <f>IF(ISNUMBER(SEARCH("R", 'WetLitterbags placem_collection'!AC93)),"YES","NO")</f>
        <v>NO</v>
      </c>
    </row>
    <row r="167" spans="2:38">
      <c r="B167" t="str">
        <f>'Final data_for_R_analysis_Wetse'!A93</f>
        <v>Wet</v>
      </c>
      <c r="C167" s="263">
        <f>'Final data_for_R_analysis_Wetse'!B93</f>
        <v>92</v>
      </c>
      <c r="D167" t="s">
        <v>3840</v>
      </c>
      <c r="E167" t="s">
        <v>22</v>
      </c>
      <c r="F167" s="387">
        <v>4</v>
      </c>
      <c r="G167" s="16">
        <f>'WetLitterbags placem_collection'!E94</f>
        <v>42767</v>
      </c>
      <c r="H167" t="str">
        <f>'Final data_for_R_analysis_Wetse'!J93</f>
        <v>G529</v>
      </c>
      <c r="I167" t="str">
        <f>'Final data_for_R_analysis_Wetse'!J313</f>
        <v>R445</v>
      </c>
      <c r="J167">
        <f>IFERROR(INDEX('Green_rooibos initial weight'!$C$5:$C$1749,MATCH(H167, 'Green_rooibos initial weight'!$A$5:$A$1749,0)),"")</f>
        <v>2.089</v>
      </c>
      <c r="K167">
        <f>IFERROR(INDEX('Green_rooibos initial weight'!$C$5:$C$1749,MATCH(I167, 'Green_rooibos initial weight'!$A$5:$A$1749,0)),"")</f>
        <v>2.2389999999999999</v>
      </c>
      <c r="L167" s="195">
        <f t="shared" si="16"/>
        <v>1.8391999999999999</v>
      </c>
      <c r="M167" s="195">
        <f>AVERAGE(Ashed_controlls!$K$2:$K$11)</f>
        <v>5.5147656768714146</v>
      </c>
      <c r="N167" s="195">
        <f t="shared" si="12"/>
        <v>1.7377724296709809</v>
      </c>
      <c r="O167" s="195">
        <f t="shared" si="17"/>
        <v>1.9891999999999999</v>
      </c>
      <c r="P167" s="195">
        <f>AVERAGE(Ashed_controlls!$K$12:$K$14)</f>
        <v>2.2816647271287041</v>
      </c>
      <c r="Q167" s="195">
        <f t="shared" si="18"/>
        <v>1.9438131252479556</v>
      </c>
      <c r="R167" s="16">
        <f>IF('WetLitterbags placem_collection'!G94="N.A","",'WetLitterbags placem_collection'!G94)</f>
        <v>42819</v>
      </c>
      <c r="S167" s="195">
        <f>IF(IFERROR(INDEX('Both teabags AfterWet'!$C$3:$C$841,MATCH(H167,'Both teabags AfterWet'!$A$3:$A$841,0)),"")="N.A","",(IFERROR(INDEX('Both teabags AfterWet'!$C$3:$C$841,MATCH(H167,'Both teabags AfterWet'!$A$3:$A$841,0)),"")))</f>
        <v>0.76500000000000001</v>
      </c>
      <c r="T167" s="195">
        <f>IFERROR(INDEX('Both teabags AfterWet'!$C$3:$C$841,MATCH(I167,'Both teabags AfterWet'!$A$3:$A$841,0)),"")</f>
        <v>0.31</v>
      </c>
      <c r="U167" s="195">
        <f t="shared" si="19"/>
        <v>0.61440000000000006</v>
      </c>
      <c r="V167" s="195">
        <f t="shared" si="19"/>
        <v>0.15939999999999999</v>
      </c>
      <c r="W167" s="195">
        <f>IFERROR(INDEX('Ashed teabags wet'!$K$2:$K$821,MATCH(H167,'Ashed teabags wet'!$A$2:$A$821,0)),"")</f>
        <v>11.868446139180241</v>
      </c>
      <c r="X167" s="195" t="str">
        <f>IFERROR(INDEX('Ashed teabags wet'!$K$2:$K$821,MATCH(I167,'Ashed teabags wet'!$A$2:$A$821,0)),"")</f>
        <v/>
      </c>
      <c r="Y167" s="195">
        <f t="shared" si="13"/>
        <v>0.5414802669208767</v>
      </c>
      <c r="Z167" s="195" t="str">
        <f t="shared" si="13"/>
        <v/>
      </c>
      <c r="AA167" s="195">
        <f t="shared" si="20"/>
        <v>0.68840553706828156</v>
      </c>
      <c r="AB167" s="195">
        <f t="shared" si="21"/>
        <v>0.4513062428286122</v>
      </c>
      <c r="AC167" s="195" t="str">
        <f t="shared" si="14"/>
        <v/>
      </c>
      <c r="AD167">
        <f t="shared" si="15"/>
        <v>52</v>
      </c>
      <c r="AE167" s="195">
        <f t="shared" si="22"/>
        <v>0.18241622675976055</v>
      </c>
      <c r="AF167" s="195" t="str">
        <f t="shared" si="23"/>
        <v/>
      </c>
      <c r="AG167" s="255" t="str">
        <f>IF(ISNUMBER(SEARCH("C",'WetLitterbags placem_collection'!AD94)),"YES","NO")</f>
        <v>NO</v>
      </c>
      <c r="AH167" s="255" t="str">
        <f>IF(ISNUMBER(SEARCH("H", 'WetLitterbags placem_collection'!AD94)),"YES","NO")</f>
        <v>NO</v>
      </c>
      <c r="AI167" s="255" t="str">
        <f>IF(ISNUMBER(SEARCH("R", 'WetLitterbags placem_collection'!AD94)),"YES","NO")</f>
        <v>NO</v>
      </c>
      <c r="AJ167" s="255" t="str">
        <f>IF(ISNUMBER(SEARCH("C", 'WetLitterbags placem_collection'!AC94)),"YES","NO")</f>
        <v>NO</v>
      </c>
      <c r="AK167" s="255" t="str">
        <f>IF(ISNUMBER(SEARCH("H", 'WetLitterbags placem_collection'!AC94)),"YES","NO")</f>
        <v>NO</v>
      </c>
      <c r="AL167" s="255" t="str">
        <f>IF(ISNUMBER(SEARCH("R", 'WetLitterbags placem_collection'!AC94)),"YES","NO")</f>
        <v>NO</v>
      </c>
    </row>
    <row r="168" spans="2:38">
      <c r="B168" t="str">
        <f>'Final data_for_R_analysis_Wetse'!A94</f>
        <v>Wet</v>
      </c>
      <c r="C168" s="263">
        <f>'Final data_for_R_analysis_Wetse'!B94</f>
        <v>93</v>
      </c>
      <c r="D168" t="s">
        <v>3840</v>
      </c>
      <c r="E168" t="s">
        <v>22</v>
      </c>
      <c r="F168" s="387">
        <v>5</v>
      </c>
      <c r="G168" s="16">
        <f>'WetLitterbags placem_collection'!E95</f>
        <v>42767</v>
      </c>
      <c r="H168" t="str">
        <f>'Final data_for_R_analysis_Wetse'!J94</f>
        <v>G636</v>
      </c>
      <c r="I168" t="str">
        <f>'Final data_for_R_analysis_Wetse'!J314</f>
        <v>R12</v>
      </c>
      <c r="J168">
        <f>IFERROR(INDEX('Green_rooibos initial weight'!$C$5:$C$1749,MATCH(H168, 'Green_rooibos initial weight'!$A$5:$A$1749,0)),"")</f>
        <v>2.133</v>
      </c>
      <c r="K168">
        <f>IFERROR(INDEX('Green_rooibos initial weight'!$C$5:$C$1749,MATCH(I168, 'Green_rooibos initial weight'!$A$5:$A$1749,0)),"")</f>
        <v>2.1709999999999998</v>
      </c>
      <c r="L168" s="195">
        <f t="shared" si="16"/>
        <v>1.8832</v>
      </c>
      <c r="M168" s="195">
        <f>AVERAGE(Ashed_controlls!$K$2:$K$11)</f>
        <v>5.5147656768714146</v>
      </c>
      <c r="N168" s="195">
        <f t="shared" si="12"/>
        <v>1.7793459327731576</v>
      </c>
      <c r="O168" s="195">
        <f t="shared" si="17"/>
        <v>1.9211999999999998</v>
      </c>
      <c r="P168" s="195">
        <f>AVERAGE(Ashed_controlls!$K$12:$K$14)</f>
        <v>2.2816647271287041</v>
      </c>
      <c r="Q168" s="195">
        <f t="shared" si="18"/>
        <v>1.8773646572624032</v>
      </c>
      <c r="R168" s="16">
        <f>IF('WetLitterbags placem_collection'!G95="N.A","",'WetLitterbags placem_collection'!G95)</f>
        <v>42819</v>
      </c>
      <c r="S168" s="195">
        <f>IF(IFERROR(INDEX('Both teabags AfterWet'!$C$3:$C$841,MATCH(H168,'Both teabags AfterWet'!$A$3:$A$841,0)),"")="N.A","",(IFERROR(INDEX('Both teabags AfterWet'!$C$3:$C$841,MATCH(H168,'Both teabags AfterWet'!$A$3:$A$841,0)),"")))</f>
        <v>0.79630000000000001</v>
      </c>
      <c r="T168" s="195">
        <f>IFERROR(INDEX('Both teabags AfterWet'!$C$3:$C$841,MATCH(I168,'Both teabags AfterWet'!$A$3:$A$841,0)),"")</f>
        <v>0.17</v>
      </c>
      <c r="U168" s="195">
        <f t="shared" si="19"/>
        <v>0.64569999999999994</v>
      </c>
      <c r="V168" s="195">
        <f t="shared" si="19"/>
        <v>1.9400000000000001E-2</v>
      </c>
      <c r="W168" s="195">
        <f>IFERROR(INDEX('Ashed teabags wet'!$K$2:$K$821,MATCH(H168,'Ashed teabags wet'!$A$2:$A$821,0)),"")</f>
        <v>13.477619281849297</v>
      </c>
      <c r="X168" s="195" t="str">
        <f>IFERROR(INDEX('Ashed teabags wet'!$K$2:$K$821,MATCH(I168,'Ashed teabags wet'!$A$2:$A$821,0)),"")</f>
        <v/>
      </c>
      <c r="Y168" s="195">
        <f t="shared" si="13"/>
        <v>0.55867501229709904</v>
      </c>
      <c r="Z168" s="195" t="str">
        <f t="shared" si="13"/>
        <v/>
      </c>
      <c r="AA168" s="195">
        <f t="shared" si="20"/>
        <v>0.68602226132251343</v>
      </c>
      <c r="AB168" s="195">
        <f t="shared" si="21"/>
        <v>0.44974381027319177</v>
      </c>
      <c r="AC168" s="195" t="str">
        <f t="shared" si="14"/>
        <v/>
      </c>
      <c r="AD168">
        <f t="shared" si="15"/>
        <v>52</v>
      </c>
      <c r="AE168" s="195">
        <f t="shared" si="22"/>
        <v>0.18524672051958024</v>
      </c>
      <c r="AF168" s="195" t="str">
        <f t="shared" si="23"/>
        <v/>
      </c>
      <c r="AG168" s="255" t="str">
        <f>IF(ISNUMBER(SEARCH("C",'WetLitterbags placem_collection'!AD95)),"YES","NO")</f>
        <v>NO</v>
      </c>
      <c r="AH168" s="255" t="str">
        <f>IF(ISNUMBER(SEARCH("H", 'WetLitterbags placem_collection'!AD95)),"YES","NO")</f>
        <v>NO</v>
      </c>
      <c r="AI168" s="255" t="str">
        <f>IF(ISNUMBER(SEARCH("R", 'WetLitterbags placem_collection'!AD95)),"YES","NO")</f>
        <v>NO</v>
      </c>
      <c r="AJ168" s="255" t="str">
        <f>IF(ISNUMBER(SEARCH("C", 'WetLitterbags placem_collection'!AC95)),"YES","NO")</f>
        <v>NO</v>
      </c>
      <c r="AK168" s="255" t="str">
        <f>IF(ISNUMBER(SEARCH("H", 'WetLitterbags placem_collection'!AC95)),"YES","NO")</f>
        <v>NO</v>
      </c>
      <c r="AL168" s="255" t="str">
        <f>IF(ISNUMBER(SEARCH("R", 'WetLitterbags placem_collection'!AC95)),"YES","NO")</f>
        <v>NO</v>
      </c>
    </row>
    <row r="169" spans="2:38">
      <c r="B169" t="str">
        <f>'Final data_for_R_analysis_Wetse'!A95</f>
        <v>Wet</v>
      </c>
      <c r="C169" s="263">
        <f>'Final data_for_R_analysis_Wetse'!B95</f>
        <v>94</v>
      </c>
      <c r="D169" t="s">
        <v>3840</v>
      </c>
      <c r="E169" t="s">
        <v>22</v>
      </c>
      <c r="F169" s="387">
        <v>6</v>
      </c>
      <c r="G169" s="16">
        <f>'WetLitterbags placem_collection'!E96</f>
        <v>42767</v>
      </c>
      <c r="H169" t="str">
        <f>'Final data_for_R_analysis_Wetse'!J95</f>
        <v>G534</v>
      </c>
      <c r="I169" t="str">
        <f>'Final data_for_R_analysis_Wetse'!J315</f>
        <v>R244</v>
      </c>
      <c r="J169">
        <f>IFERROR(INDEX('Green_rooibos initial weight'!$C$5:$C$1749,MATCH(H169, 'Green_rooibos initial weight'!$A$5:$A$1749,0)),"")</f>
        <v>2.169</v>
      </c>
      <c r="K169">
        <f>IFERROR(INDEX('Green_rooibos initial weight'!$C$5:$C$1749,MATCH(I169, 'Green_rooibos initial weight'!$A$5:$A$1749,0)),"")</f>
        <v>2.2490000000000001</v>
      </c>
      <c r="L169" s="195">
        <f t="shared" si="16"/>
        <v>1.9192</v>
      </c>
      <c r="M169" s="195">
        <f>AVERAGE(Ashed_controlls!$K$2:$K$11)</f>
        <v>5.5147656768714146</v>
      </c>
      <c r="N169" s="195">
        <f t="shared" si="12"/>
        <v>1.8133606171294838</v>
      </c>
      <c r="O169" s="195">
        <f t="shared" si="17"/>
        <v>1.9992000000000001</v>
      </c>
      <c r="P169" s="195">
        <f>AVERAGE(Ashed_controlls!$K$12:$K$14)</f>
        <v>2.2816647271287041</v>
      </c>
      <c r="Q169" s="195">
        <f t="shared" si="18"/>
        <v>1.953584958775243</v>
      </c>
      <c r="R169" s="16">
        <f>IF('WetLitterbags placem_collection'!G96="N.A","",'WetLitterbags placem_collection'!G96)</f>
        <v>0</v>
      </c>
      <c r="S169" s="195" t="str">
        <f>IF(IFERROR(INDEX('Both teabags AfterWet'!$C$3:$C$841,MATCH(H169,'Both teabags AfterWet'!$A$3:$A$841,0)),"")="N.A","",(IFERROR(INDEX('Both teabags AfterWet'!$C$3:$C$841,MATCH(H169,'Both teabags AfterWet'!$A$3:$A$841,0)),"")))</f>
        <v/>
      </c>
      <c r="T169" s="195" t="str">
        <f>IFERROR(INDEX('Both teabags AfterWet'!$C$3:$C$841,MATCH(I169,'Both teabags AfterWet'!$A$3:$A$841,0)),"")</f>
        <v/>
      </c>
      <c r="U169" s="195" t="str">
        <f t="shared" si="19"/>
        <v/>
      </c>
      <c r="V169" s="195" t="str">
        <f t="shared" si="19"/>
        <v/>
      </c>
      <c r="W169" s="195" t="str">
        <f>IFERROR(INDEX('Ashed teabags wet'!$K$2:$K$821,MATCH(H169,'Ashed teabags wet'!$A$2:$A$821,0)),"")</f>
        <v/>
      </c>
      <c r="X169" s="195" t="str">
        <f>IFERROR(INDEX('Ashed teabags wet'!$K$2:$K$821,MATCH(I169,'Ashed teabags wet'!$A$2:$A$821,0)),"")</f>
        <v/>
      </c>
      <c r="Y169" s="195" t="str">
        <f t="shared" si="13"/>
        <v/>
      </c>
      <c r="Z169" s="195" t="str">
        <f t="shared" si="13"/>
        <v/>
      </c>
      <c r="AA169" s="195" t="str">
        <f t="shared" si="20"/>
        <v/>
      </c>
      <c r="AB169" s="195" t="str">
        <f t="shared" si="21"/>
        <v/>
      </c>
      <c r="AC169" s="195" t="str">
        <f t="shared" si="14"/>
        <v/>
      </c>
      <c r="AD169" t="str">
        <f t="shared" si="15"/>
        <v/>
      </c>
      <c r="AE169" s="195" t="str">
        <f t="shared" si="22"/>
        <v/>
      </c>
      <c r="AF169" s="195" t="str">
        <f t="shared" si="23"/>
        <v/>
      </c>
      <c r="AG169" s="255" t="str">
        <f>IF(ISNUMBER(SEARCH("C",'WetLitterbags placem_collection'!AD96)),"YES","NO")</f>
        <v>NO</v>
      </c>
      <c r="AH169" s="255" t="str">
        <f>IF(ISNUMBER(SEARCH("H", 'WetLitterbags placem_collection'!AD96)),"YES","NO")</f>
        <v>NO</v>
      </c>
      <c r="AI169" s="255" t="str">
        <f>IF(ISNUMBER(SEARCH("R", 'WetLitterbags placem_collection'!AD96)),"YES","NO")</f>
        <v>NO</v>
      </c>
      <c r="AJ169" s="255" t="str">
        <f>IF(ISNUMBER(SEARCH("C", 'WetLitterbags placem_collection'!AC96)),"YES","NO")</f>
        <v>NO</v>
      </c>
      <c r="AK169" s="255" t="str">
        <f>IF(ISNUMBER(SEARCH("H", 'WetLitterbags placem_collection'!AC96)),"YES","NO")</f>
        <v>NO</v>
      </c>
      <c r="AL169" s="255" t="str">
        <f>IF(ISNUMBER(SEARCH("R", 'WetLitterbags placem_collection'!AC96)),"YES","NO")</f>
        <v>NO</v>
      </c>
    </row>
    <row r="170" spans="2:38">
      <c r="B170" t="str">
        <f>'Final data_for_R_analysis_Wetse'!A96</f>
        <v>Wet</v>
      </c>
      <c r="C170" s="263">
        <f>'Final data_for_R_analysis_Wetse'!B96</f>
        <v>95</v>
      </c>
      <c r="D170" t="s">
        <v>3840</v>
      </c>
      <c r="E170" t="s">
        <v>22</v>
      </c>
      <c r="F170" s="387">
        <v>7</v>
      </c>
      <c r="G170" s="16">
        <f>'WetLitterbags placem_collection'!E97</f>
        <v>42767</v>
      </c>
      <c r="H170" t="str">
        <f>'Final data_for_R_analysis_Wetse'!J96</f>
        <v>G641</v>
      </c>
      <c r="I170" t="str">
        <f>'Final data_for_R_analysis_Wetse'!J316</f>
        <v>R360</v>
      </c>
      <c r="J170">
        <f>IFERROR(INDEX('Green_rooibos initial weight'!$C$5:$C$1749,MATCH(H170, 'Green_rooibos initial weight'!$A$5:$A$1749,0)),"")</f>
        <v>2.14</v>
      </c>
      <c r="K170">
        <f>IFERROR(INDEX('Green_rooibos initial weight'!$C$5:$C$1749,MATCH(I170, 'Green_rooibos initial weight'!$A$5:$A$1749,0)),"")</f>
        <v>2.206</v>
      </c>
      <c r="L170" s="195">
        <f t="shared" si="16"/>
        <v>1.8902000000000001</v>
      </c>
      <c r="M170" s="195">
        <f>AVERAGE(Ashed_controlls!$K$2:$K$11)</f>
        <v>5.5147656768714146</v>
      </c>
      <c r="N170" s="195">
        <f t="shared" si="12"/>
        <v>1.7859598991757766</v>
      </c>
      <c r="O170" s="195">
        <f t="shared" si="17"/>
        <v>1.9561999999999999</v>
      </c>
      <c r="P170" s="195">
        <f>AVERAGE(Ashed_controlls!$K$12:$K$14)</f>
        <v>2.2816647271287041</v>
      </c>
      <c r="Q170" s="195">
        <f t="shared" si="18"/>
        <v>1.9115660746079082</v>
      </c>
      <c r="R170" s="16">
        <f>IF('WetLitterbags placem_collection'!G97="N.A","",'WetLitterbags placem_collection'!G97)</f>
        <v>42819</v>
      </c>
      <c r="S170" s="195">
        <f>IF(IFERROR(INDEX('Both teabags AfterWet'!$C$3:$C$841,MATCH(H170,'Both teabags AfterWet'!$A$3:$A$841,0)),"")="N.A","",(IFERROR(INDEX('Both teabags AfterWet'!$C$3:$C$841,MATCH(H170,'Both teabags AfterWet'!$A$3:$A$841,0)),"")))</f>
        <v>1.254</v>
      </c>
      <c r="T170" s="195">
        <f>IFERROR(INDEX('Both teabags AfterWet'!$C$3:$C$841,MATCH(I170,'Both teabags AfterWet'!$A$3:$A$841,0)),"")</f>
        <v>0.45800000000000002</v>
      </c>
      <c r="U170" s="195">
        <f t="shared" si="19"/>
        <v>1.1033999999999999</v>
      </c>
      <c r="V170" s="195">
        <f t="shared" si="19"/>
        <v>0.30740000000000001</v>
      </c>
      <c r="W170" s="195">
        <f>IFERROR(INDEX('Ashed teabags wet'!$K$2:$K$821,MATCH(H170,'Ashed teabags wet'!$A$2:$A$821,0)),"")</f>
        <v>33.235294117646788</v>
      </c>
      <c r="X170" s="195">
        <f>IFERROR(INDEX('Ashed teabags wet'!$K$2:$K$821,MATCH(I170,'Ashed teabags wet'!$A$2:$A$821,0)),"")</f>
        <v>89.327146171693883</v>
      </c>
      <c r="Y170" s="195">
        <f t="shared" si="13"/>
        <v>0.73668176470588531</v>
      </c>
      <c r="Z170" s="195">
        <f t="shared" si="13"/>
        <v>3.2808352668213026E-2</v>
      </c>
      <c r="AA170" s="195">
        <f t="shared" si="20"/>
        <v>0.58751494641852531</v>
      </c>
      <c r="AB170" s="195">
        <f t="shared" si="21"/>
        <v>0.38516419290145604</v>
      </c>
      <c r="AC170" s="195">
        <f t="shared" si="14"/>
        <v>1.716307539876304E-2</v>
      </c>
      <c r="AD170">
        <f t="shared" si="15"/>
        <v>52</v>
      </c>
      <c r="AE170" s="195">
        <f t="shared" si="22"/>
        <v>0.30223878097562318</v>
      </c>
      <c r="AF170" s="195" t="str">
        <f t="shared" si="23"/>
        <v/>
      </c>
      <c r="AG170" s="255" t="str">
        <f>IF(ISNUMBER(SEARCH("C",'WetLitterbags placem_collection'!AD97)),"YES","NO")</f>
        <v>NO</v>
      </c>
      <c r="AH170" s="255" t="str">
        <f>IF(ISNUMBER(SEARCH("H", 'WetLitterbags placem_collection'!AD97)),"YES","NO")</f>
        <v>NO</v>
      </c>
      <c r="AI170" s="255" t="str">
        <f>IF(ISNUMBER(SEARCH("R", 'WetLitterbags placem_collection'!AD97)),"YES","NO")</f>
        <v>NO</v>
      </c>
      <c r="AJ170" s="255" t="str">
        <f>IF(ISNUMBER(SEARCH("C", 'WetLitterbags placem_collection'!AC97)),"YES","NO")</f>
        <v>NO</v>
      </c>
      <c r="AK170" s="255" t="str">
        <f>IF(ISNUMBER(SEARCH("H", 'WetLitterbags placem_collection'!AC97)),"YES","NO")</f>
        <v>NO</v>
      </c>
      <c r="AL170" s="255" t="str">
        <f>IF(ISNUMBER(SEARCH("R", 'WetLitterbags placem_collection'!AC97)),"YES","NO")</f>
        <v>NO</v>
      </c>
    </row>
    <row r="171" spans="2:38">
      <c r="B171" t="str">
        <f>'Final data_for_R_analysis_Wetse'!A97</f>
        <v>Wet</v>
      </c>
      <c r="C171" s="263">
        <f>'Final data_for_R_analysis_Wetse'!B97</f>
        <v>96</v>
      </c>
      <c r="D171" t="s">
        <v>3840</v>
      </c>
      <c r="E171" t="s">
        <v>22</v>
      </c>
      <c r="F171" s="387">
        <v>8</v>
      </c>
      <c r="G171" s="16">
        <f>'WetLitterbags placem_collection'!E98</f>
        <v>42767</v>
      </c>
      <c r="H171" t="str">
        <f>'Final data_for_R_analysis_Wetse'!J97</f>
        <v>G479</v>
      </c>
      <c r="I171" t="str">
        <f>'Final data_for_R_analysis_Wetse'!J317</f>
        <v>R318</v>
      </c>
      <c r="J171">
        <f>IFERROR(INDEX('Green_rooibos initial weight'!$C$5:$C$1749,MATCH(H171, 'Green_rooibos initial weight'!$A$5:$A$1749,0)),"")</f>
        <v>1.982</v>
      </c>
      <c r="K171">
        <f>IFERROR(INDEX('Green_rooibos initial weight'!$C$5:$C$1749,MATCH(I171, 'Green_rooibos initial weight'!$A$5:$A$1749,0)),"")</f>
        <v>2.23</v>
      </c>
      <c r="L171" s="195">
        <f t="shared" si="16"/>
        <v>1.7322</v>
      </c>
      <c r="M171" s="195">
        <f>AVERAGE(Ashed_controlls!$K$2:$K$11)</f>
        <v>5.5147656768714146</v>
      </c>
      <c r="N171" s="195">
        <f t="shared" si="12"/>
        <v>1.6366732289452333</v>
      </c>
      <c r="O171" s="195">
        <f t="shared" si="17"/>
        <v>1.9802</v>
      </c>
      <c r="P171" s="195">
        <f>AVERAGE(Ashed_controlls!$K$12:$K$14)</f>
        <v>2.2816647271287041</v>
      </c>
      <c r="Q171" s="195">
        <f t="shared" si="18"/>
        <v>1.9350184750733974</v>
      </c>
      <c r="R171" s="16">
        <f>IF('WetLitterbags placem_collection'!G98="N.A","",'WetLitterbags placem_collection'!G98)</f>
        <v>42819</v>
      </c>
      <c r="S171" s="195">
        <f>IF(IFERROR(INDEX('Both teabags AfterWet'!$C$3:$C$841,MATCH(H171,'Both teabags AfterWet'!$A$3:$A$841,0)),"")="N.A","",(IFERROR(INDEX('Both teabags AfterWet'!$C$3:$C$841,MATCH(H171,'Both teabags AfterWet'!$A$3:$A$841,0)),"")))</f>
        <v>0.90410000000000001</v>
      </c>
      <c r="T171" s="195">
        <f>IFERROR(INDEX('Both teabags AfterWet'!$C$3:$C$841,MATCH(I171,'Both teabags AfterWet'!$A$3:$A$841,0)),"")</f>
        <v>1.748</v>
      </c>
      <c r="U171" s="195">
        <f t="shared" si="19"/>
        <v>0.75350000000000006</v>
      </c>
      <c r="V171" s="195">
        <f t="shared" si="19"/>
        <v>1.5973999999999999</v>
      </c>
      <c r="W171" s="195">
        <f>IFERROR(INDEX('Ashed teabags wet'!$K$2:$K$821,MATCH(H171,'Ashed teabags wet'!$A$2:$A$821,0)),"")</f>
        <v>16.839506172838583</v>
      </c>
      <c r="X171" s="195">
        <f>IFERROR(INDEX('Ashed teabags wet'!$K$2:$K$821,MATCH(I171,'Ashed teabags wet'!$A$2:$A$821,0)),"")</f>
        <v>11.127670144063339</v>
      </c>
      <c r="Y171" s="195">
        <f t="shared" si="13"/>
        <v>0.62661432098766134</v>
      </c>
      <c r="Z171" s="195">
        <f t="shared" si="13"/>
        <v>1.4196465971187322</v>
      </c>
      <c r="AA171" s="195">
        <f t="shared" si="20"/>
        <v>0.61714146116296664</v>
      </c>
      <c r="AB171" s="195">
        <f t="shared" si="21"/>
        <v>0.40458680114246748</v>
      </c>
      <c r="AC171" s="195">
        <f t="shared" si="14"/>
        <v>0.73366048717694199</v>
      </c>
      <c r="AD171">
        <f t="shared" si="15"/>
        <v>52</v>
      </c>
      <c r="AE171" s="195">
        <f t="shared" si="22"/>
        <v>0.26705289648103725</v>
      </c>
      <c r="AF171" s="195">
        <f t="shared" si="23"/>
        <v>2.0650428390897542E-2</v>
      </c>
      <c r="AG171" s="255" t="str">
        <f>IF(ISNUMBER(SEARCH("C",'WetLitterbags placem_collection'!AD98)),"YES","NO")</f>
        <v>NO</v>
      </c>
      <c r="AH171" s="255" t="str">
        <f>IF(ISNUMBER(SEARCH("H", 'WetLitterbags placem_collection'!AD98)),"YES","NO")</f>
        <v>NO</v>
      </c>
      <c r="AI171" s="255" t="str">
        <f>IF(ISNUMBER(SEARCH("R", 'WetLitterbags placem_collection'!AD98)),"YES","NO")</f>
        <v>NO</v>
      </c>
      <c r="AJ171" s="255" t="str">
        <f>IF(ISNUMBER(SEARCH("C", 'WetLitterbags placem_collection'!AC98)),"YES","NO")</f>
        <v>NO</v>
      </c>
      <c r="AK171" s="255" t="str">
        <f>IF(ISNUMBER(SEARCH("H", 'WetLitterbags placem_collection'!AC98)),"YES","NO")</f>
        <v>NO</v>
      </c>
      <c r="AL171" s="255" t="str">
        <f>IF(ISNUMBER(SEARCH("R", 'WetLitterbags placem_collection'!AC98)),"YES","NO")</f>
        <v>NO</v>
      </c>
    </row>
    <row r="172" spans="2:38">
      <c r="B172" t="str">
        <f>'Final data_for_R_analysis_Wetse'!A98</f>
        <v>Wet</v>
      </c>
      <c r="C172" s="263">
        <f>'Final data_for_R_analysis_Wetse'!B98</f>
        <v>97</v>
      </c>
      <c r="D172" t="s">
        <v>3841</v>
      </c>
      <c r="E172" t="s">
        <v>22</v>
      </c>
      <c r="F172" s="386">
        <v>1</v>
      </c>
      <c r="G172" s="16">
        <f>'WetLitterbags placem_collection'!E99</f>
        <v>42762</v>
      </c>
      <c r="H172" t="str">
        <f>'Final data_for_R_analysis_Wetse'!J98</f>
        <v>G741</v>
      </c>
      <c r="I172" t="str">
        <f>'Final data_for_R_analysis_Wetse'!J318</f>
        <v>R518</v>
      </c>
      <c r="J172">
        <f>IFERROR(INDEX('Green_rooibos initial weight'!$C$5:$C$1749,MATCH(H172, 'Green_rooibos initial weight'!$A$5:$A$1749,0)),"")</f>
        <v>2.1019999999999999</v>
      </c>
      <c r="K172">
        <f>IFERROR(INDEX('Green_rooibos initial weight'!$C$5:$C$1749,MATCH(I172, 'Green_rooibos initial weight'!$A$5:$A$1749,0)),"")</f>
        <v>2.198</v>
      </c>
      <c r="L172" s="195">
        <f t="shared" si="16"/>
        <v>1.8521999999999998</v>
      </c>
      <c r="M172" s="195">
        <f>AVERAGE(Ashed_controlls!$K$2:$K$11)</f>
        <v>5.5147656768714146</v>
      </c>
      <c r="N172" s="195">
        <f t="shared" si="12"/>
        <v>1.7500555101329875</v>
      </c>
      <c r="O172" s="195">
        <f t="shared" si="17"/>
        <v>1.9481999999999999</v>
      </c>
      <c r="P172" s="195">
        <f>AVERAGE(Ashed_controlls!$K$12:$K$14)</f>
        <v>2.2816647271287041</v>
      </c>
      <c r="Q172" s="195">
        <f t="shared" si="18"/>
        <v>1.9037486077860786</v>
      </c>
      <c r="R172" s="16">
        <f>IF('WetLitterbags placem_collection'!G99="N.A","",'WetLitterbags placem_collection'!G99)</f>
        <v>42816</v>
      </c>
      <c r="S172" s="195">
        <f>IF(IFERROR(INDEX('Both teabags AfterWet'!$C$3:$C$841,MATCH(H172,'Both teabags AfterWet'!$A$3:$A$841,0)),"")="N.A","",(IFERROR(INDEX('Both teabags AfterWet'!$C$3:$C$841,MATCH(H172,'Both teabags AfterWet'!$A$3:$A$841,0)),"")))</f>
        <v>0.60680000000000001</v>
      </c>
      <c r="T172" s="195">
        <f>IFERROR(INDEX('Both teabags AfterWet'!$C$3:$C$841,MATCH(I172,'Both teabags AfterWet'!$A$3:$A$841,0)),"")</f>
        <v>0</v>
      </c>
      <c r="U172" s="195">
        <f t="shared" si="19"/>
        <v>0.45619999999999999</v>
      </c>
      <c r="V172" s="195" t="str">
        <f t="shared" si="19"/>
        <v/>
      </c>
      <c r="W172" s="195">
        <f>IFERROR(INDEX('Ashed teabags wet'!$K$2:$K$821,MATCH(H172,'Ashed teabags wet'!$A$2:$A$821,0)),"")</f>
        <v>20.517928286852939</v>
      </c>
      <c r="X172" s="195" t="str">
        <f>IFERROR(INDEX('Ashed teabags wet'!$K$2:$K$821,MATCH(I172,'Ashed teabags wet'!$A$2:$A$821,0)),"")</f>
        <v/>
      </c>
      <c r="Y172" s="195">
        <f t="shared" si="13"/>
        <v>0.36259721115537691</v>
      </c>
      <c r="Z172" s="195" t="str">
        <f t="shared" si="13"/>
        <v/>
      </c>
      <c r="AA172" s="195">
        <f t="shared" si="20"/>
        <v>0.79280816576622593</v>
      </c>
      <c r="AB172" s="195">
        <f t="shared" si="21"/>
        <v>0.51975072149994861</v>
      </c>
      <c r="AC172" s="195" t="str">
        <f t="shared" si="14"/>
        <v/>
      </c>
      <c r="AD172">
        <f t="shared" si="15"/>
        <v>54</v>
      </c>
      <c r="AE172" s="195">
        <f t="shared" si="22"/>
        <v>5.8422605978354025E-2</v>
      </c>
      <c r="AF172" s="195" t="str">
        <f t="shared" si="23"/>
        <v/>
      </c>
      <c r="AG172" s="255" t="str">
        <f>IF(ISNUMBER(SEARCH("C",'WetLitterbags placem_collection'!AD99)),"YES","NO")</f>
        <v>NO</v>
      </c>
      <c r="AH172" s="255" t="str">
        <f>IF(ISNUMBER(SEARCH("H", 'WetLitterbags placem_collection'!AD99)),"YES","NO")</f>
        <v>NO</v>
      </c>
      <c r="AI172" s="255" t="str">
        <f>IF(ISNUMBER(SEARCH("R", 'WetLitterbags placem_collection'!AD99)),"YES","NO")</f>
        <v>NO</v>
      </c>
      <c r="AJ172" s="255" t="str">
        <f>IF(ISNUMBER(SEARCH("C", 'WetLitterbags placem_collection'!AC99)),"YES","NO")</f>
        <v>NO</v>
      </c>
      <c r="AK172" s="255" t="str">
        <f>IF(ISNUMBER(SEARCH("H", 'WetLitterbags placem_collection'!AC99)),"YES","NO")</f>
        <v>NO</v>
      </c>
      <c r="AL172" s="255" t="str">
        <f>IF(ISNUMBER(SEARCH("R", 'WetLitterbags placem_collection'!AC99)),"YES","NO")</f>
        <v>NO</v>
      </c>
    </row>
    <row r="173" spans="2:38">
      <c r="B173" t="str">
        <f>'Final data_for_R_analysis_Wetse'!A99</f>
        <v>Wet</v>
      </c>
      <c r="C173" s="263">
        <f>'Final data_for_R_analysis_Wetse'!B99</f>
        <v>98</v>
      </c>
      <c r="D173" t="s">
        <v>3841</v>
      </c>
      <c r="E173" t="s">
        <v>22</v>
      </c>
      <c r="F173" s="386">
        <v>2</v>
      </c>
      <c r="G173" s="16">
        <f>'WetLitterbags placem_collection'!E100</f>
        <v>42762</v>
      </c>
      <c r="H173" t="str">
        <f>'Final data_for_R_analysis_Wetse'!J99</f>
        <v>G610</v>
      </c>
      <c r="I173" t="str">
        <f>'Final data_for_R_analysis_Wetse'!J319</f>
        <v>R489</v>
      </c>
      <c r="J173">
        <f>IFERROR(INDEX('Green_rooibos initial weight'!$C$5:$C$1749,MATCH(H173, 'Green_rooibos initial weight'!$A$5:$A$1749,0)),"")</f>
        <v>2.0379999999999998</v>
      </c>
      <c r="K173">
        <f>IFERROR(INDEX('Green_rooibos initial weight'!$C$5:$C$1749,MATCH(I173, 'Green_rooibos initial weight'!$A$5:$A$1749,0)),"")</f>
        <v>2.157</v>
      </c>
      <c r="L173" s="195">
        <f t="shared" si="16"/>
        <v>1.7881999999999998</v>
      </c>
      <c r="M173" s="195">
        <f>AVERAGE(Ashed_controlls!$K$2:$K$11)</f>
        <v>5.5147656768714146</v>
      </c>
      <c r="N173" s="195">
        <f t="shared" si="12"/>
        <v>1.6895849601661852</v>
      </c>
      <c r="O173" s="195">
        <f t="shared" si="17"/>
        <v>1.9072</v>
      </c>
      <c r="P173" s="195">
        <f>AVERAGE(Ashed_controlls!$K$12:$K$14)</f>
        <v>2.2816647271287041</v>
      </c>
      <c r="Q173" s="195">
        <f t="shared" si="18"/>
        <v>1.8636840903242013</v>
      </c>
      <c r="R173" s="16">
        <f>IF('WetLitterbags placem_collection'!G100="N.A","",'WetLitterbags placem_collection'!G100)</f>
        <v>42816</v>
      </c>
      <c r="S173" s="195">
        <f>IF(IFERROR(INDEX('Both teabags AfterWet'!$C$3:$C$841,MATCH(H173,'Both teabags AfterWet'!$A$3:$A$841,0)),"")="N.A","",(IFERROR(INDEX('Both teabags AfterWet'!$C$3:$C$841,MATCH(H173,'Both teabags AfterWet'!$A$3:$A$841,0)),"")))</f>
        <v>0.56599999999999995</v>
      </c>
      <c r="T173" s="195">
        <f>IFERROR(INDEX('Both teabags AfterWet'!$C$3:$C$841,MATCH(I173,'Both teabags AfterWet'!$A$3:$A$841,0)),"")</f>
        <v>1.5389999999999999</v>
      </c>
      <c r="U173" s="195">
        <f t="shared" si="19"/>
        <v>0.41539999999999994</v>
      </c>
      <c r="V173" s="195">
        <f t="shared" si="19"/>
        <v>1.3883999999999999</v>
      </c>
      <c r="W173" s="195">
        <f>IFERROR(INDEX('Ashed teabags wet'!$K$2:$K$821,MATCH(H173,'Ashed teabags wet'!$A$2:$A$821,0)),"")</f>
        <v>14.682539682539385</v>
      </c>
      <c r="X173" s="195">
        <f>IFERROR(INDEX('Ashed teabags wet'!$K$2:$K$821,MATCH(I173,'Ashed teabags wet'!$A$2:$A$821,0)),"")</f>
        <v>12.679544328875947</v>
      </c>
      <c r="Y173" s="195">
        <f t="shared" si="13"/>
        <v>0.35440873015873131</v>
      </c>
      <c r="Z173" s="195">
        <f t="shared" si="13"/>
        <v>1.2123572065378863</v>
      </c>
      <c r="AA173" s="195">
        <f t="shared" si="20"/>
        <v>0.79023917795535292</v>
      </c>
      <c r="AB173" s="195">
        <f t="shared" si="21"/>
        <v>0.5180665394671673</v>
      </c>
      <c r="AC173" s="195">
        <f t="shared" si="14"/>
        <v>0.65051647585132732</v>
      </c>
      <c r="AD173">
        <f t="shared" si="15"/>
        <v>54</v>
      </c>
      <c r="AE173" s="195">
        <f t="shared" si="22"/>
        <v>6.1473660385566564E-2</v>
      </c>
      <c r="AF173" s="195">
        <f t="shared" si="23"/>
        <v>2.0790284955504456E-2</v>
      </c>
      <c r="AG173" s="255" t="str">
        <f>IF(ISNUMBER(SEARCH("C",'WetLitterbags placem_collection'!AD100)),"YES","NO")</f>
        <v>NO</v>
      </c>
      <c r="AH173" s="255" t="str">
        <f>IF(ISNUMBER(SEARCH("H", 'WetLitterbags placem_collection'!AD100)),"YES","NO")</f>
        <v>NO</v>
      </c>
      <c r="AI173" s="255" t="str">
        <f>IF(ISNUMBER(SEARCH("R", 'WetLitterbags placem_collection'!AD100)),"YES","NO")</f>
        <v>NO</v>
      </c>
      <c r="AJ173" s="255" t="str">
        <f>IF(ISNUMBER(SEARCH("C", 'WetLitterbags placem_collection'!AC100)),"YES","NO")</f>
        <v>NO</v>
      </c>
      <c r="AK173" s="255" t="str">
        <f>IF(ISNUMBER(SEARCH("H", 'WetLitterbags placem_collection'!AC100)),"YES","NO")</f>
        <v>NO</v>
      </c>
      <c r="AL173" s="255" t="str">
        <f>IF(ISNUMBER(SEARCH("R", 'WetLitterbags placem_collection'!AC100)),"YES","NO")</f>
        <v>NO</v>
      </c>
    </row>
    <row r="174" spans="2:38">
      <c r="B174" t="str">
        <f>'Final data_for_R_analysis_Wetse'!A100</f>
        <v>Wet</v>
      </c>
      <c r="C174" s="263">
        <f>'Final data_for_R_analysis_Wetse'!B100</f>
        <v>99</v>
      </c>
      <c r="D174" t="s">
        <v>3841</v>
      </c>
      <c r="E174" t="s">
        <v>22</v>
      </c>
      <c r="F174" s="386">
        <v>3</v>
      </c>
      <c r="G174" s="16">
        <f>'WetLitterbags placem_collection'!E101</f>
        <v>42762</v>
      </c>
      <c r="H174" t="str">
        <f>'Final data_for_R_analysis_Wetse'!J100</f>
        <v>G765</v>
      </c>
      <c r="I174" t="str">
        <f>'Final data_for_R_analysis_Wetse'!J320</f>
        <v>R549</v>
      </c>
      <c r="J174">
        <f>IFERROR(INDEX('Green_rooibos initial weight'!$C$5:$C$1749,MATCH(H174, 'Green_rooibos initial weight'!$A$5:$A$1749,0)),"")</f>
        <v>2.08</v>
      </c>
      <c r="K174">
        <f>IFERROR(INDEX('Green_rooibos initial weight'!$C$5:$C$1749,MATCH(I174, 'Green_rooibos initial weight'!$A$5:$A$1749,0)),"")</f>
        <v>2.2320000000000002</v>
      </c>
      <c r="L174" s="195">
        <f t="shared" si="16"/>
        <v>1.8302</v>
      </c>
      <c r="M174" s="195">
        <f>AVERAGE(Ashed_controlls!$K$2:$K$11)</f>
        <v>5.5147656768714146</v>
      </c>
      <c r="N174" s="195">
        <f t="shared" si="12"/>
        <v>1.7292687585818993</v>
      </c>
      <c r="O174" s="195">
        <f t="shared" si="17"/>
        <v>1.9822000000000002</v>
      </c>
      <c r="P174" s="195">
        <f>AVERAGE(Ashed_controlls!$K$12:$K$14)</f>
        <v>2.2816647271287041</v>
      </c>
      <c r="Q174" s="195">
        <f t="shared" si="18"/>
        <v>1.936972841778855</v>
      </c>
      <c r="R174" s="16">
        <f>IF('WetLitterbags placem_collection'!G101="N.A","",'WetLitterbags placem_collection'!G101)</f>
        <v>42816</v>
      </c>
      <c r="S174" s="195">
        <f>IF(IFERROR(INDEX('Both teabags AfterWet'!$C$3:$C$841,MATCH(H174,'Both teabags AfterWet'!$A$3:$A$841,0)),"")="N.A","",(IFERROR(INDEX('Both teabags AfterWet'!$C$3:$C$841,MATCH(H174,'Both teabags AfterWet'!$A$3:$A$841,0)),"")))</f>
        <v>0.65149999999999997</v>
      </c>
      <c r="T174" s="195">
        <f>IFERROR(INDEX('Both teabags AfterWet'!$C$3:$C$841,MATCH(I174,'Both teabags AfterWet'!$A$3:$A$841,0)),"")</f>
        <v>1.5992</v>
      </c>
      <c r="U174" s="195">
        <f t="shared" si="19"/>
        <v>0.5008999999999999</v>
      </c>
      <c r="V174" s="195">
        <f t="shared" si="19"/>
        <v>1.4485999999999999</v>
      </c>
      <c r="W174" s="195">
        <f>IFERROR(INDEX('Ashed teabags wet'!$K$2:$K$821,MATCH(H174,'Ashed teabags wet'!$A$2:$A$821,0)),"")</f>
        <v>16.733295259852824</v>
      </c>
      <c r="X174" s="195">
        <f>IFERROR(INDEX('Ashed teabags wet'!$K$2:$K$821,MATCH(I174,'Ashed teabags wet'!$A$2:$A$821,0)),"")</f>
        <v>3.4003831417629944</v>
      </c>
      <c r="Y174" s="195">
        <f t="shared" si="13"/>
        <v>0.41708292404339714</v>
      </c>
      <c r="Z174" s="195">
        <f t="shared" si="13"/>
        <v>1.3993420498084213</v>
      </c>
      <c r="AA174" s="195">
        <f t="shared" si="20"/>
        <v>0.75880965756564678</v>
      </c>
      <c r="AB174" s="195">
        <f t="shared" si="21"/>
        <v>0.49746191327344069</v>
      </c>
      <c r="AC174" s="195">
        <f t="shared" si="14"/>
        <v>0.72243761999435652</v>
      </c>
      <c r="AD174">
        <f t="shared" si="15"/>
        <v>54</v>
      </c>
      <c r="AE174" s="195">
        <f t="shared" si="22"/>
        <v>9.8800881751013314E-2</v>
      </c>
      <c r="AF174" s="195">
        <f t="shared" si="23"/>
        <v>1.5117559673149818E-2</v>
      </c>
      <c r="AG174" s="255" t="str">
        <f>IF(ISNUMBER(SEARCH("C",'WetLitterbags placem_collection'!AD101)),"YES","NO")</f>
        <v>NO</v>
      </c>
      <c r="AH174" s="255" t="str">
        <f>IF(ISNUMBER(SEARCH("H", 'WetLitterbags placem_collection'!AD101)),"YES","NO")</f>
        <v>NO</v>
      </c>
      <c r="AI174" s="255" t="str">
        <f>IF(ISNUMBER(SEARCH("R", 'WetLitterbags placem_collection'!AD101)),"YES","NO")</f>
        <v>NO</v>
      </c>
      <c r="AJ174" s="255" t="str">
        <f>IF(ISNUMBER(SEARCH("C", 'WetLitterbags placem_collection'!AC101)),"YES","NO")</f>
        <v>NO</v>
      </c>
      <c r="AK174" s="255" t="str">
        <f>IF(ISNUMBER(SEARCH("H", 'WetLitterbags placem_collection'!AC101)),"YES","NO")</f>
        <v>NO</v>
      </c>
      <c r="AL174" s="255" t="str">
        <f>IF(ISNUMBER(SEARCH("R", 'WetLitterbags placem_collection'!AC101)),"YES","NO")</f>
        <v>NO</v>
      </c>
    </row>
    <row r="175" spans="2:38">
      <c r="B175" t="str">
        <f>'Final data_for_R_analysis_Wetse'!A101</f>
        <v>Wet</v>
      </c>
      <c r="C175" s="263">
        <f>'Final data_for_R_analysis_Wetse'!B101</f>
        <v>100</v>
      </c>
      <c r="D175" t="s">
        <v>3841</v>
      </c>
      <c r="E175" t="s">
        <v>22</v>
      </c>
      <c r="F175" s="387">
        <v>4</v>
      </c>
      <c r="G175" s="16">
        <f>'WetLitterbags placem_collection'!E102</f>
        <v>42762</v>
      </c>
      <c r="H175" t="str">
        <f>'Final data_for_R_analysis_Wetse'!J101</f>
        <v>G728</v>
      </c>
      <c r="I175" t="str">
        <f>'Final data_for_R_analysis_Wetse'!J321</f>
        <v>R500</v>
      </c>
      <c r="J175">
        <f>IFERROR(INDEX('Green_rooibos initial weight'!$C$5:$C$1749,MATCH(H175, 'Green_rooibos initial weight'!$A$5:$A$1749,0)),"")</f>
        <v>1.962</v>
      </c>
      <c r="K175">
        <f>IFERROR(INDEX('Green_rooibos initial weight'!$C$5:$C$1749,MATCH(I175, 'Green_rooibos initial weight'!$A$5:$A$1749,0)),"")</f>
        <v>2.2069999999999999</v>
      </c>
      <c r="L175" s="195">
        <f t="shared" si="16"/>
        <v>1.7121999999999999</v>
      </c>
      <c r="M175" s="195">
        <f>AVERAGE(Ashed_controlls!$K$2:$K$11)</f>
        <v>5.5147656768714146</v>
      </c>
      <c r="N175" s="195">
        <f t="shared" si="12"/>
        <v>1.6177761820806076</v>
      </c>
      <c r="O175" s="195">
        <f t="shared" si="17"/>
        <v>1.9571999999999998</v>
      </c>
      <c r="P175" s="195">
        <f>AVERAGE(Ashed_controlls!$K$12:$K$14)</f>
        <v>2.2816647271287041</v>
      </c>
      <c r="Q175" s="195">
        <f t="shared" si="18"/>
        <v>1.9125432579606367</v>
      </c>
      <c r="R175" s="16">
        <f>IF('WetLitterbags placem_collection'!G102="N.A","",'WetLitterbags placem_collection'!G102)</f>
        <v>42816</v>
      </c>
      <c r="S175" s="195">
        <f>IF(IFERROR(INDEX('Both teabags AfterWet'!$C$3:$C$841,MATCH(H175,'Both teabags AfterWet'!$A$3:$A$841,0)),"")="N.A","",(IFERROR(INDEX('Both teabags AfterWet'!$C$3:$C$841,MATCH(H175,'Both teabags AfterWet'!$A$3:$A$841,0)),"")))</f>
        <v>0.59699999999999998</v>
      </c>
      <c r="T175" s="195">
        <f>IFERROR(INDEX('Both teabags AfterWet'!$C$3:$C$841,MATCH(I175,'Both teabags AfterWet'!$A$3:$A$841,0)),"")</f>
        <v>1.764</v>
      </c>
      <c r="U175" s="195">
        <f t="shared" si="19"/>
        <v>0.44639999999999996</v>
      </c>
      <c r="V175" s="195">
        <f t="shared" si="19"/>
        <v>1.6133999999999999</v>
      </c>
      <c r="W175" s="195">
        <f>IFERROR(INDEX('Ashed teabags wet'!$K$2:$K$821,MATCH(H175,'Ashed teabags wet'!$A$2:$A$821,0)),"")</f>
        <v>12.794117647059169</v>
      </c>
      <c r="X175" s="195">
        <f>IFERROR(INDEX('Ashed teabags wet'!$K$2:$K$821,MATCH(I175,'Ashed teabags wet'!$A$2:$A$821,0)),"")</f>
        <v>22.316525212181858</v>
      </c>
      <c r="Y175" s="195">
        <f t="shared" si="13"/>
        <v>0.38928705882352782</v>
      </c>
      <c r="Z175" s="195">
        <f t="shared" si="13"/>
        <v>1.2533451822266579</v>
      </c>
      <c r="AA175" s="195">
        <f t="shared" si="20"/>
        <v>0.75936902574318454</v>
      </c>
      <c r="AB175" s="195">
        <f t="shared" si="21"/>
        <v>0.49782862495277663</v>
      </c>
      <c r="AC175" s="195">
        <f t="shared" si="14"/>
        <v>0.6553290635439597</v>
      </c>
      <c r="AD175">
        <f t="shared" si="15"/>
        <v>54</v>
      </c>
      <c r="AE175" s="195">
        <f t="shared" si="22"/>
        <v>9.8136548998593143E-2</v>
      </c>
      <c r="AF175" s="195">
        <f t="shared" si="23"/>
        <v>2.1829404755284235E-2</v>
      </c>
      <c r="AG175" s="255" t="str">
        <f>IF(ISNUMBER(SEARCH("C",'WetLitterbags placem_collection'!AD102)),"YES","NO")</f>
        <v>NO</v>
      </c>
      <c r="AH175" s="255" t="str">
        <f>IF(ISNUMBER(SEARCH("H", 'WetLitterbags placem_collection'!AD102)),"YES","NO")</f>
        <v>NO</v>
      </c>
      <c r="AI175" s="255" t="str">
        <f>IF(ISNUMBER(SEARCH("R", 'WetLitterbags placem_collection'!AD102)),"YES","NO")</f>
        <v>NO</v>
      </c>
      <c r="AJ175" s="255" t="str">
        <f>IF(ISNUMBER(SEARCH("C", 'WetLitterbags placem_collection'!AC102)),"YES","NO")</f>
        <v>NO</v>
      </c>
      <c r="AK175" s="255" t="str">
        <f>IF(ISNUMBER(SEARCH("H", 'WetLitterbags placem_collection'!AC102)),"YES","NO")</f>
        <v>NO</v>
      </c>
      <c r="AL175" s="255" t="str">
        <f>IF(ISNUMBER(SEARCH("R", 'WetLitterbags placem_collection'!AC102)),"YES","NO")</f>
        <v>NO</v>
      </c>
    </row>
    <row r="176" spans="2:38">
      <c r="B176" t="str">
        <f>'Final data_for_R_analysis_Wetse'!A102</f>
        <v>Wet</v>
      </c>
      <c r="C176" s="263">
        <f>'Final data_for_R_analysis_Wetse'!B102</f>
        <v>101</v>
      </c>
      <c r="D176" t="s">
        <v>3841</v>
      </c>
      <c r="E176" t="s">
        <v>22</v>
      </c>
      <c r="F176" s="387">
        <v>5</v>
      </c>
      <c r="G176" s="16">
        <f>'WetLitterbags placem_collection'!E103</f>
        <v>42762</v>
      </c>
      <c r="H176" t="str">
        <f>'Final data_for_R_analysis_Wetse'!J102</f>
        <v>G808</v>
      </c>
      <c r="I176" t="str">
        <f>'Final data_for_R_analysis_Wetse'!J322</f>
        <v>R482</v>
      </c>
      <c r="J176">
        <f>IFERROR(INDEX('Green_rooibos initial weight'!$C$5:$C$1749,MATCH(H176, 'Green_rooibos initial weight'!$A$5:$A$1749,0)),"")</f>
        <v>1.86</v>
      </c>
      <c r="K176">
        <f>IFERROR(INDEX('Green_rooibos initial weight'!$C$5:$C$1749,MATCH(I176, 'Green_rooibos initial weight'!$A$5:$A$1749,0)),"")</f>
        <v>2.17</v>
      </c>
      <c r="L176" s="195">
        <f t="shared" si="16"/>
        <v>1.6102000000000001</v>
      </c>
      <c r="M176" s="195">
        <f>AVERAGE(Ashed_controlls!$K$2:$K$11)</f>
        <v>5.5147656768714146</v>
      </c>
      <c r="N176" s="195">
        <f t="shared" si="12"/>
        <v>1.5214012430710167</v>
      </c>
      <c r="O176" s="195">
        <f t="shared" si="17"/>
        <v>1.9201999999999999</v>
      </c>
      <c r="P176" s="195">
        <f>AVERAGE(Ashed_controlls!$K$12:$K$14)</f>
        <v>2.2816647271287041</v>
      </c>
      <c r="Q176" s="195">
        <f t="shared" si="18"/>
        <v>1.8763874739096746</v>
      </c>
      <c r="R176" s="16">
        <f>IF('WetLitterbags placem_collection'!G103="N.A","",'WetLitterbags placem_collection'!G103)</f>
        <v>42816</v>
      </c>
      <c r="S176" s="195">
        <f>IF(IFERROR(INDEX('Both teabags AfterWet'!$C$3:$C$841,MATCH(H176,'Both teabags AfterWet'!$A$3:$A$841,0)),"")="N.A","",(IFERROR(INDEX('Both teabags AfterWet'!$C$3:$C$841,MATCH(H176,'Both teabags AfterWet'!$A$3:$A$841,0)),"")))</f>
        <v>0.54810000000000003</v>
      </c>
      <c r="T176" s="195">
        <f>IFERROR(INDEX('Both teabags AfterWet'!$C$3:$C$841,MATCH(I176,'Both teabags AfterWet'!$A$3:$A$841,0)),"")</f>
        <v>1.6348</v>
      </c>
      <c r="U176" s="195">
        <f t="shared" si="19"/>
        <v>0.39750000000000002</v>
      </c>
      <c r="V176" s="195">
        <f t="shared" si="19"/>
        <v>1.4842</v>
      </c>
      <c r="W176" s="195">
        <f>IFERROR(INDEX('Ashed teabags wet'!$K$2:$K$821,MATCH(H176,'Ashed teabags wet'!$A$2:$A$821,0)),"")</f>
        <v>16.81547619047533</v>
      </c>
      <c r="X176" s="195">
        <f>IFERROR(INDEX('Ashed teabags wet'!$K$2:$K$821,MATCH(I176,'Ashed teabags wet'!$A$2:$A$821,0)),"")</f>
        <v>8.9805825242718385</v>
      </c>
      <c r="Y176" s="195">
        <f t="shared" si="13"/>
        <v>0.33065848214286059</v>
      </c>
      <c r="Z176" s="195">
        <f t="shared" si="13"/>
        <v>1.3509101941747574</v>
      </c>
      <c r="AA176" s="195">
        <f t="shared" si="20"/>
        <v>0.78266188249234525</v>
      </c>
      <c r="AB176" s="195">
        <f t="shared" si="21"/>
        <v>0.51309900134890096</v>
      </c>
      <c r="AC176" s="195">
        <f t="shared" si="14"/>
        <v>0.71995268192660478</v>
      </c>
      <c r="AD176">
        <f t="shared" si="15"/>
        <v>54</v>
      </c>
      <c r="AE176" s="195">
        <f t="shared" si="22"/>
        <v>7.0472823643295435E-2</v>
      </c>
      <c r="AF176" s="195">
        <f t="shared" si="23"/>
        <v>1.4614973445111479E-2</v>
      </c>
      <c r="AG176" s="255" t="str">
        <f>IF(ISNUMBER(SEARCH("C",'WetLitterbags placem_collection'!AD103)),"YES","NO")</f>
        <v>NO</v>
      </c>
      <c r="AH176" s="255" t="str">
        <f>IF(ISNUMBER(SEARCH("H", 'WetLitterbags placem_collection'!AD103)),"YES","NO")</f>
        <v>NO</v>
      </c>
      <c r="AI176" s="255" t="str">
        <f>IF(ISNUMBER(SEARCH("R", 'WetLitterbags placem_collection'!AD103)),"YES","NO")</f>
        <v>NO</v>
      </c>
      <c r="AJ176" s="255" t="str">
        <f>IF(ISNUMBER(SEARCH("C", 'WetLitterbags placem_collection'!AC103)),"YES","NO")</f>
        <v>NO</v>
      </c>
      <c r="AK176" s="255" t="str">
        <f>IF(ISNUMBER(SEARCH("H", 'WetLitterbags placem_collection'!AC103)),"YES","NO")</f>
        <v>NO</v>
      </c>
      <c r="AL176" s="255" t="str">
        <f>IF(ISNUMBER(SEARCH("R", 'WetLitterbags placem_collection'!AC103)),"YES","NO")</f>
        <v>NO</v>
      </c>
    </row>
    <row r="177" spans="2:38">
      <c r="B177" t="str">
        <f>'Final data_for_R_analysis_Wetse'!A103</f>
        <v>Wet</v>
      </c>
      <c r="C177" s="263">
        <f>'Final data_for_R_analysis_Wetse'!B103</f>
        <v>102</v>
      </c>
      <c r="D177" t="s">
        <v>3841</v>
      </c>
      <c r="E177" t="s">
        <v>22</v>
      </c>
      <c r="F177" s="387">
        <v>6</v>
      </c>
      <c r="G177" s="16">
        <f>'WetLitterbags placem_collection'!E104</f>
        <v>42762</v>
      </c>
      <c r="H177" t="str">
        <f>'Final data_for_R_analysis_Wetse'!J103</f>
        <v>G892</v>
      </c>
      <c r="I177" t="str">
        <f>'Final data_for_R_analysis_Wetse'!J323</f>
        <v>R569</v>
      </c>
      <c r="J177">
        <f>IFERROR(INDEX('Green_rooibos initial weight'!$C$5:$C$1749,MATCH(H177, 'Green_rooibos initial weight'!$A$5:$A$1749,0)),"")</f>
        <v>1.9510000000000001</v>
      </c>
      <c r="K177">
        <f>IFERROR(INDEX('Green_rooibos initial weight'!$C$5:$C$1749,MATCH(I177, 'Green_rooibos initial weight'!$A$5:$A$1749,0)),"")</f>
        <v>2.0960000000000001</v>
      </c>
      <c r="L177" s="195">
        <f t="shared" si="16"/>
        <v>1.7012</v>
      </c>
      <c r="M177" s="195">
        <f>AVERAGE(Ashed_controlls!$K$2:$K$11)</f>
        <v>5.5147656768714146</v>
      </c>
      <c r="N177" s="195">
        <f t="shared" si="12"/>
        <v>1.6073828063050635</v>
      </c>
      <c r="O177" s="195">
        <f t="shared" si="17"/>
        <v>1.8462000000000001</v>
      </c>
      <c r="P177" s="195">
        <f>AVERAGE(Ashed_controlls!$K$12:$K$14)</f>
        <v>2.2816647271287041</v>
      </c>
      <c r="Q177" s="195">
        <f t="shared" si="18"/>
        <v>1.80407590580775</v>
      </c>
      <c r="R177" s="16">
        <f>IF('WetLitterbags placem_collection'!G104="N.A","",'WetLitterbags placem_collection'!G104)</f>
        <v>42816</v>
      </c>
      <c r="S177" s="195">
        <f>IF(IFERROR(INDEX('Both teabags AfterWet'!$C$3:$C$841,MATCH(H177,'Both teabags AfterWet'!$A$3:$A$841,0)),"")="N.A","",(IFERROR(INDEX('Both teabags AfterWet'!$C$3:$C$841,MATCH(H177,'Both teabags AfterWet'!$A$3:$A$841,0)),"")))</f>
        <v>0.63100000000000001</v>
      </c>
      <c r="T177" s="195">
        <f>IFERROR(INDEX('Both teabags AfterWet'!$C$3:$C$841,MATCH(I177,'Both teabags AfterWet'!$A$3:$A$841,0)),"")</f>
        <v>1.655</v>
      </c>
      <c r="U177" s="195">
        <f t="shared" si="19"/>
        <v>0.48039999999999999</v>
      </c>
      <c r="V177" s="195">
        <f t="shared" si="19"/>
        <v>1.5044</v>
      </c>
      <c r="W177" s="195">
        <f>IFERROR(INDEX('Ashed teabags wet'!$K$2:$K$821,MATCH(H177,'Ashed teabags wet'!$A$2:$A$821,0)),"")</f>
        <v>12.703905091448961</v>
      </c>
      <c r="X177" s="195">
        <f>IFERROR(INDEX('Ashed teabags wet'!$K$2:$K$821,MATCH(I177,'Ashed teabags wet'!$A$2:$A$821,0)),"")</f>
        <v>6.4211050273764974</v>
      </c>
      <c r="Y177" s="195">
        <f t="shared" si="13"/>
        <v>0.41937043994067918</v>
      </c>
      <c r="Z177" s="195">
        <f t="shared" si="13"/>
        <v>1.4078008959681478</v>
      </c>
      <c r="AA177" s="195">
        <f t="shared" si="20"/>
        <v>0.73909734613579825</v>
      </c>
      <c r="AB177" s="195">
        <f t="shared" si="21"/>
        <v>0.48453887775173476</v>
      </c>
      <c r="AC177" s="195">
        <f t="shared" si="14"/>
        <v>0.78034460270551886</v>
      </c>
      <c r="AD177">
        <f t="shared" si="15"/>
        <v>54</v>
      </c>
      <c r="AE177" s="195">
        <f t="shared" si="22"/>
        <v>0.12221217798598782</v>
      </c>
      <c r="AF177" s="195">
        <f t="shared" si="23"/>
        <v>1.1183474782323311E-2</v>
      </c>
      <c r="AG177" s="255" t="str">
        <f>IF(ISNUMBER(SEARCH("C",'WetLitterbags placem_collection'!AD104)),"YES","NO")</f>
        <v>NO</v>
      </c>
      <c r="AH177" s="255" t="str">
        <f>IF(ISNUMBER(SEARCH("H", 'WetLitterbags placem_collection'!AD104)),"YES","NO")</f>
        <v>NO</v>
      </c>
      <c r="AI177" s="255" t="str">
        <f>IF(ISNUMBER(SEARCH("R", 'WetLitterbags placem_collection'!AD104)),"YES","NO")</f>
        <v>NO</v>
      </c>
      <c r="AJ177" s="255" t="str">
        <f>IF(ISNUMBER(SEARCH("C", 'WetLitterbags placem_collection'!AC104)),"YES","NO")</f>
        <v>NO</v>
      </c>
      <c r="AK177" s="255" t="str">
        <f>IF(ISNUMBER(SEARCH("H", 'WetLitterbags placem_collection'!AC104)),"YES","NO")</f>
        <v>NO</v>
      </c>
      <c r="AL177" s="255" t="str">
        <f>IF(ISNUMBER(SEARCH("R", 'WetLitterbags placem_collection'!AC104)),"YES","NO")</f>
        <v>NO</v>
      </c>
    </row>
    <row r="178" spans="2:38">
      <c r="B178" t="str">
        <f>'Final data_for_R_analysis_Wetse'!A104</f>
        <v>Wet</v>
      </c>
      <c r="C178" s="263">
        <f>'Final data_for_R_analysis_Wetse'!B104</f>
        <v>103</v>
      </c>
      <c r="D178" t="s">
        <v>3841</v>
      </c>
      <c r="E178" t="s">
        <v>22</v>
      </c>
      <c r="F178" s="387">
        <v>7</v>
      </c>
      <c r="G178" s="16">
        <f>'WetLitterbags placem_collection'!E105</f>
        <v>42762</v>
      </c>
      <c r="H178" t="str">
        <f>'Final data_for_R_analysis_Wetse'!J104</f>
        <v>G869</v>
      </c>
      <c r="I178" t="str">
        <f>'Final data_for_R_analysis_Wetse'!J324</f>
        <v>R430</v>
      </c>
      <c r="J178">
        <f>IFERROR(INDEX('Green_rooibos initial weight'!$C$5:$C$1749,MATCH(H178, 'Green_rooibos initial weight'!$A$5:$A$1749,0)),"")</f>
        <v>2.0489999999999999</v>
      </c>
      <c r="K178">
        <f>IFERROR(INDEX('Green_rooibos initial weight'!$C$5:$C$1749,MATCH(I178, 'Green_rooibos initial weight'!$A$5:$A$1749,0)),"")</f>
        <v>2.1829999999999998</v>
      </c>
      <c r="L178" s="195">
        <f t="shared" si="16"/>
        <v>1.7991999999999999</v>
      </c>
      <c r="M178" s="195">
        <f>AVERAGE(Ashed_controlls!$K$2:$K$11)</f>
        <v>5.5147656768714146</v>
      </c>
      <c r="N178" s="195">
        <f t="shared" si="12"/>
        <v>1.6999783359417293</v>
      </c>
      <c r="O178" s="195">
        <f t="shared" si="17"/>
        <v>1.9331999999999998</v>
      </c>
      <c r="P178" s="195">
        <f>AVERAGE(Ashed_controlls!$K$12:$K$14)</f>
        <v>2.2816647271287041</v>
      </c>
      <c r="Q178" s="195">
        <f t="shared" si="18"/>
        <v>1.8890908574951477</v>
      </c>
      <c r="R178" s="16">
        <f>IF('WetLitterbags placem_collection'!G105="N.A","",'WetLitterbags placem_collection'!G105)</f>
        <v>42816</v>
      </c>
      <c r="S178" s="195">
        <f>IF(IFERROR(INDEX('Both teabags AfterWet'!$C$3:$C$841,MATCH(H178,'Both teabags AfterWet'!$A$3:$A$841,0)),"")="N.A","",(IFERROR(INDEX('Both teabags AfterWet'!$C$3:$C$841,MATCH(H178,'Both teabags AfterWet'!$A$3:$A$841,0)),"")))</f>
        <v>0.55800000000000005</v>
      </c>
      <c r="T178" s="195">
        <f>IFERROR(INDEX('Both teabags AfterWet'!$C$3:$C$841,MATCH(I178,'Both teabags AfterWet'!$A$3:$A$841,0)),"")</f>
        <v>1.629</v>
      </c>
      <c r="U178" s="195">
        <f t="shared" si="19"/>
        <v>0.40740000000000004</v>
      </c>
      <c r="V178" s="195">
        <f t="shared" si="19"/>
        <v>1.4783999999999999</v>
      </c>
      <c r="W178" s="195">
        <f>IFERROR(INDEX('Ashed teabags wet'!$K$2:$K$821,MATCH(H178,'Ashed teabags wet'!$A$2:$A$821,0)),"")</f>
        <v>13.925925925925654</v>
      </c>
      <c r="X178" s="195">
        <f>IFERROR(INDEX('Ashed teabags wet'!$K$2:$K$821,MATCH(I178,'Ashed teabags wet'!$A$2:$A$821,0)),"")</f>
        <v>4.7409579667641673</v>
      </c>
      <c r="Y178" s="195">
        <f t="shared" si="13"/>
        <v>0.35066577777777891</v>
      </c>
      <c r="Z178" s="195">
        <f t="shared" si="13"/>
        <v>1.4083096774193584</v>
      </c>
      <c r="AA178" s="195">
        <f t="shared" si="20"/>
        <v>0.79372338437270606</v>
      </c>
      <c r="AB178" s="195">
        <f t="shared" si="21"/>
        <v>0.52035072229659596</v>
      </c>
      <c r="AC178" s="195">
        <f t="shared" si="14"/>
        <v>0.74549599974599201</v>
      </c>
      <c r="AD178">
        <f t="shared" si="15"/>
        <v>54</v>
      </c>
      <c r="AE178" s="195">
        <f t="shared" si="22"/>
        <v>5.7335648013413176E-2</v>
      </c>
      <c r="AF178" s="195">
        <f t="shared" si="23"/>
        <v>1.2436724822359682E-2</v>
      </c>
      <c r="AG178" s="255" t="str">
        <f>IF(ISNUMBER(SEARCH("C",'WetLitterbags placem_collection'!AD105)),"YES","NO")</f>
        <v>NO</v>
      </c>
      <c r="AH178" s="255" t="str">
        <f>IF(ISNUMBER(SEARCH("H", 'WetLitterbags placem_collection'!AD105)),"YES","NO")</f>
        <v>NO</v>
      </c>
      <c r="AI178" s="255" t="str">
        <f>IF(ISNUMBER(SEARCH("R", 'WetLitterbags placem_collection'!AD105)),"YES","NO")</f>
        <v>NO</v>
      </c>
      <c r="AJ178" s="255" t="str">
        <f>IF(ISNUMBER(SEARCH("C", 'WetLitterbags placem_collection'!AC105)),"YES","NO")</f>
        <v>NO</v>
      </c>
      <c r="AK178" s="255" t="str">
        <f>IF(ISNUMBER(SEARCH("H", 'WetLitterbags placem_collection'!AC105)),"YES","NO")</f>
        <v>NO</v>
      </c>
      <c r="AL178" s="255" t="str">
        <f>IF(ISNUMBER(SEARCH("R", 'WetLitterbags placem_collection'!AC105)),"YES","NO")</f>
        <v>NO</v>
      </c>
    </row>
    <row r="179" spans="2:38">
      <c r="B179" t="str">
        <f>'Final data_for_R_analysis_Wetse'!A105</f>
        <v>Wet</v>
      </c>
      <c r="C179" s="263">
        <f>'Final data_for_R_analysis_Wetse'!B105</f>
        <v>104</v>
      </c>
      <c r="D179" t="s">
        <v>3841</v>
      </c>
      <c r="E179" t="s">
        <v>22</v>
      </c>
      <c r="F179" s="387">
        <v>8</v>
      </c>
      <c r="G179" s="16">
        <f>'WetLitterbags placem_collection'!E106</f>
        <v>42762</v>
      </c>
      <c r="H179" t="str">
        <f>'Final data_for_R_analysis_Wetse'!J105</f>
        <v>G881</v>
      </c>
      <c r="I179" t="str">
        <f>'Final data_for_R_analysis_Wetse'!J325</f>
        <v>R577</v>
      </c>
      <c r="J179">
        <f>IFERROR(INDEX('Green_rooibos initial weight'!$C$5:$C$1749,MATCH(H179, 'Green_rooibos initial weight'!$A$5:$A$1749,0)),"")</f>
        <v>1.9570000000000001</v>
      </c>
      <c r="K179">
        <f>IFERROR(INDEX('Green_rooibos initial weight'!$C$5:$C$1749,MATCH(I179, 'Green_rooibos initial weight'!$A$5:$A$1749,0)),"")</f>
        <v>2.0859999999999999</v>
      </c>
      <c r="L179" s="195">
        <f t="shared" si="16"/>
        <v>1.7072000000000001</v>
      </c>
      <c r="M179" s="195">
        <f>AVERAGE(Ashed_controlls!$K$2:$K$11)</f>
        <v>5.5147656768714146</v>
      </c>
      <c r="N179" s="195">
        <f t="shared" si="12"/>
        <v>1.6130519203644513</v>
      </c>
      <c r="O179" s="195">
        <f t="shared" si="17"/>
        <v>1.8361999999999998</v>
      </c>
      <c r="P179" s="195">
        <f>AVERAGE(Ashed_controlls!$K$12:$K$14)</f>
        <v>2.2816647271287041</v>
      </c>
      <c r="Q179" s="195">
        <f t="shared" si="18"/>
        <v>1.7943040722804626</v>
      </c>
      <c r="R179" s="16">
        <f>IF('WetLitterbags placem_collection'!G106="N.A","",'WetLitterbags placem_collection'!G106)</f>
        <v>42816</v>
      </c>
      <c r="S179" s="195">
        <f>IF(IFERROR(INDEX('Both teabags AfterWet'!$C$3:$C$841,MATCH(H179,'Both teabags AfterWet'!$A$3:$A$841,0)),"")="N.A","",(IFERROR(INDEX('Both teabags AfterWet'!$C$3:$C$841,MATCH(H179,'Both teabags AfterWet'!$A$3:$A$841,0)),"")))</f>
        <v>0.61</v>
      </c>
      <c r="T179" s="195">
        <f>IFERROR(INDEX('Both teabags AfterWet'!$C$3:$C$841,MATCH(I179,'Both teabags AfterWet'!$A$3:$A$841,0)),"")</f>
        <v>1.4470000000000001</v>
      </c>
      <c r="U179" s="195">
        <f t="shared" si="19"/>
        <v>0.45939999999999998</v>
      </c>
      <c r="V179" s="195">
        <f t="shared" si="19"/>
        <v>1.2964</v>
      </c>
      <c r="W179" s="195">
        <f>IFERROR(INDEX('Ashed teabags wet'!$K$2:$K$821,MATCH(H179,'Ashed teabags wet'!$A$2:$A$821,0)),"")</f>
        <v>13.465250965250315</v>
      </c>
      <c r="X179" s="195">
        <f>IFERROR(INDEX('Ashed teabags wet'!$K$2:$K$821,MATCH(I179,'Ashed teabags wet'!$A$2:$A$821,0)),"")</f>
        <v>6.3583815028902215</v>
      </c>
      <c r="Y179" s="195">
        <f t="shared" si="13"/>
        <v>0.39754063706564002</v>
      </c>
      <c r="Z179" s="195">
        <f t="shared" si="13"/>
        <v>1.2139699421965311</v>
      </c>
      <c r="AA179" s="195">
        <f t="shared" si="20"/>
        <v>0.75354752562718497</v>
      </c>
      <c r="AB179" s="195">
        <f t="shared" si="21"/>
        <v>0.49401215456794079</v>
      </c>
      <c r="AC179" s="195">
        <f t="shared" si="14"/>
        <v>0.67656868250521296</v>
      </c>
      <c r="AD179">
        <f t="shared" si="15"/>
        <v>54</v>
      </c>
      <c r="AE179" s="195">
        <f t="shared" si="22"/>
        <v>0.10505044462329571</v>
      </c>
      <c r="AF179" s="195">
        <f t="shared" si="23"/>
        <v>1.9691681836618593E-2</v>
      </c>
      <c r="AG179" s="255" t="str">
        <f>IF(ISNUMBER(SEARCH("C",'WetLitterbags placem_collection'!AD106)),"YES","NO")</f>
        <v>NO</v>
      </c>
      <c r="AH179" s="255" t="str">
        <f>IF(ISNUMBER(SEARCH("H", 'WetLitterbags placem_collection'!AD106)),"YES","NO")</f>
        <v>NO</v>
      </c>
      <c r="AI179" s="255" t="str">
        <f>IF(ISNUMBER(SEARCH("R", 'WetLitterbags placem_collection'!AD106)),"YES","NO")</f>
        <v>NO</v>
      </c>
      <c r="AJ179" s="255" t="str">
        <f>IF(ISNUMBER(SEARCH("C", 'WetLitterbags placem_collection'!AC106)),"YES","NO")</f>
        <v>NO</v>
      </c>
      <c r="AK179" s="255" t="str">
        <f>IF(ISNUMBER(SEARCH("H", 'WetLitterbags placem_collection'!AC106)),"YES","NO")</f>
        <v>NO</v>
      </c>
      <c r="AL179" s="255" t="str">
        <f>IF(ISNUMBER(SEARCH("R", 'WetLitterbags placem_collection'!AC106)),"YES","NO")</f>
        <v>NO</v>
      </c>
    </row>
    <row r="180" spans="2:38">
      <c r="B180" t="str">
        <f>'Final data_for_R_analysis_Wetse'!A106</f>
        <v>Wet</v>
      </c>
      <c r="C180" s="263">
        <f>'Final data_for_R_analysis_Wetse'!B106</f>
        <v>105</v>
      </c>
      <c r="D180" t="s">
        <v>3843</v>
      </c>
      <c r="E180" t="s">
        <v>22</v>
      </c>
      <c r="F180" s="386">
        <v>1</v>
      </c>
      <c r="G180" s="16">
        <f>'WetLitterbags placem_collection'!E107</f>
        <v>42762</v>
      </c>
      <c r="H180" t="str">
        <f>'Final data_for_R_analysis_Wetse'!J106</f>
        <v>G729</v>
      </c>
      <c r="I180" t="str">
        <f>'Final data_for_R_analysis_Wetse'!J326</f>
        <v>R548</v>
      </c>
      <c r="J180">
        <f>IFERROR(INDEX('Green_rooibos initial weight'!$C$5:$C$1749,MATCH(H180, 'Green_rooibos initial weight'!$A$5:$A$1749,0)),"")</f>
        <v>1.984</v>
      </c>
      <c r="K180">
        <f>IFERROR(INDEX('Green_rooibos initial weight'!$C$5:$C$1749,MATCH(I180, 'Green_rooibos initial weight'!$A$5:$A$1749,0)),"")</f>
        <v>2.1920000000000002</v>
      </c>
      <c r="L180" s="195">
        <f t="shared" si="16"/>
        <v>1.7342</v>
      </c>
      <c r="M180" s="195">
        <f>AVERAGE(Ashed_controlls!$K$2:$K$11)</f>
        <v>5.5147656768714146</v>
      </c>
      <c r="N180" s="195">
        <f t="shared" si="12"/>
        <v>1.6385629336316958</v>
      </c>
      <c r="O180" s="195">
        <f t="shared" si="17"/>
        <v>1.9422000000000001</v>
      </c>
      <c r="P180" s="195">
        <f>AVERAGE(Ashed_controlls!$K$12:$K$14)</f>
        <v>2.2816647271287041</v>
      </c>
      <c r="Q180" s="195">
        <f t="shared" si="18"/>
        <v>1.8978855076697065</v>
      </c>
      <c r="R180" s="16">
        <f>IF('WetLitterbags placem_collection'!G107="N.A","",'WetLitterbags placem_collection'!G107)</f>
        <v>42816</v>
      </c>
      <c r="S180" s="195">
        <f>IF(IFERROR(INDEX('Both teabags AfterWet'!$C$3:$C$841,MATCH(H180,'Both teabags AfterWet'!$A$3:$A$841,0)),"")="N.A","",(IFERROR(INDEX('Both teabags AfterWet'!$C$3:$C$841,MATCH(H180,'Both teabags AfterWet'!$A$3:$A$841,0)),"")))</f>
        <v>0.72399999999999998</v>
      </c>
      <c r="T180" s="195">
        <f>IFERROR(INDEX('Both teabags AfterWet'!$C$3:$C$841,MATCH(I180,'Both teabags AfterWet'!$A$3:$A$841,0)),"")</f>
        <v>1.859</v>
      </c>
      <c r="U180" s="195">
        <f t="shared" si="19"/>
        <v>0.57339999999999991</v>
      </c>
      <c r="V180" s="195">
        <f t="shared" si="19"/>
        <v>1.7083999999999999</v>
      </c>
      <c r="W180" s="195">
        <f>IFERROR(INDEX('Ashed teabags wet'!$K$2:$K$821,MATCH(H180,'Ashed teabags wet'!$A$2:$A$821,0)),"")</f>
        <v>19.719771665802661</v>
      </c>
      <c r="X180" s="195">
        <f>IFERROR(INDEX('Ashed teabags wet'!$K$2:$K$821,MATCH(I180,'Ashed teabags wet'!$A$2:$A$821,0)),"")</f>
        <v>16.476991588322143</v>
      </c>
      <c r="Y180" s="195">
        <f t="shared" si="13"/>
        <v>0.4603268292682875</v>
      </c>
      <c r="Z180" s="195">
        <f t="shared" si="13"/>
        <v>1.4269070757051043</v>
      </c>
      <c r="AA180" s="195">
        <f t="shared" si="20"/>
        <v>0.71906673840837876</v>
      </c>
      <c r="AB180" s="195">
        <f t="shared" si="21"/>
        <v>0.47140717292330775</v>
      </c>
      <c r="AC180" s="195">
        <f t="shared" si="14"/>
        <v>0.75184044028931607</v>
      </c>
      <c r="AD180">
        <f t="shared" si="15"/>
        <v>54</v>
      </c>
      <c r="AE180" s="195">
        <f t="shared" si="22"/>
        <v>0.14600149832734111</v>
      </c>
      <c r="AF180" s="195">
        <f t="shared" si="23"/>
        <v>1.3841494036995118E-2</v>
      </c>
      <c r="AG180" s="255" t="str">
        <f>IF(ISNUMBER(SEARCH("C",'WetLitterbags placem_collection'!AD107)),"YES","NO")</f>
        <v>NO</v>
      </c>
      <c r="AH180" s="255" t="str">
        <f>IF(ISNUMBER(SEARCH("H", 'WetLitterbags placem_collection'!AD107)),"YES","NO")</f>
        <v>NO</v>
      </c>
      <c r="AI180" s="255" t="str">
        <f>IF(ISNUMBER(SEARCH("R", 'WetLitterbags placem_collection'!AD107)),"YES","NO")</f>
        <v>NO</v>
      </c>
      <c r="AJ180" s="255" t="str">
        <f>IF(ISNUMBER(SEARCH("C", 'WetLitterbags placem_collection'!AC107)),"YES","NO")</f>
        <v>NO</v>
      </c>
      <c r="AK180" s="255" t="str">
        <f>IF(ISNUMBER(SEARCH("H", 'WetLitterbags placem_collection'!AC107)),"YES","NO")</f>
        <v>NO</v>
      </c>
      <c r="AL180" s="255" t="str">
        <f>IF(ISNUMBER(SEARCH("R", 'WetLitterbags placem_collection'!AC107)),"YES","NO")</f>
        <v>NO</v>
      </c>
    </row>
    <row r="181" spans="2:38">
      <c r="B181" t="str">
        <f>'Final data_for_R_analysis_Wetse'!A107</f>
        <v>Wet</v>
      </c>
      <c r="C181" s="263">
        <f>'Final data_for_R_analysis_Wetse'!B107</f>
        <v>106</v>
      </c>
      <c r="D181" t="s">
        <v>3843</v>
      </c>
      <c r="E181" t="s">
        <v>22</v>
      </c>
      <c r="F181" s="386">
        <v>2</v>
      </c>
      <c r="G181" s="16">
        <f>'WetLitterbags placem_collection'!E108</f>
        <v>42762</v>
      </c>
      <c r="H181" t="str">
        <f>'Final data_for_R_analysis_Wetse'!J107</f>
        <v>G837</v>
      </c>
      <c r="I181" t="str">
        <f>'Final data_for_R_analysis_Wetse'!J327</f>
        <v>R590</v>
      </c>
      <c r="J181">
        <f>IFERROR(INDEX('Green_rooibos initial weight'!$C$5:$C$1749,MATCH(H181, 'Green_rooibos initial weight'!$A$5:$A$1749,0)),"")</f>
        <v>1.1910000000000001</v>
      </c>
      <c r="K181">
        <f>IFERROR(INDEX('Green_rooibos initial weight'!$C$5:$C$1749,MATCH(I181, 'Green_rooibos initial weight'!$A$5:$A$1749,0)),"")</f>
        <v>2.218</v>
      </c>
      <c r="L181" s="195">
        <f t="shared" si="16"/>
        <v>0.94120000000000004</v>
      </c>
      <c r="M181" s="195">
        <f>AVERAGE(Ashed_controlls!$K$2:$K$11)</f>
        <v>5.5147656768714146</v>
      </c>
      <c r="N181" s="195">
        <f t="shared" si="12"/>
        <v>0.88929502544928629</v>
      </c>
      <c r="O181" s="195">
        <f t="shared" si="17"/>
        <v>1.9681999999999999</v>
      </c>
      <c r="P181" s="195">
        <f>AVERAGE(Ashed_controlls!$K$12:$K$14)</f>
        <v>2.2816647271287041</v>
      </c>
      <c r="Q181" s="195">
        <f t="shared" si="18"/>
        <v>1.9232922748406529</v>
      </c>
      <c r="R181" s="16">
        <f>IF('WetLitterbags placem_collection'!G108="N.A","",'WetLitterbags placem_collection'!G108)</f>
        <v>42816</v>
      </c>
      <c r="S181" s="195">
        <f>IF(IFERROR(INDEX('Both teabags AfterWet'!$C$3:$C$841,MATCH(H181,'Both teabags AfterWet'!$A$3:$A$841,0)),"")="N.A","",(IFERROR(INDEX('Both teabags AfterWet'!$C$3:$C$841,MATCH(H181,'Both teabags AfterWet'!$A$3:$A$841,0)),"")))</f>
        <v>0.62</v>
      </c>
      <c r="T181" s="195">
        <f>IFERROR(INDEX('Both teabags AfterWet'!$C$3:$C$841,MATCH(I181,'Both teabags AfterWet'!$A$3:$A$841,0)),"")</f>
        <v>1.7769999999999999</v>
      </c>
      <c r="U181" s="195">
        <f t="shared" si="19"/>
        <v>0.46939999999999998</v>
      </c>
      <c r="V181" s="195">
        <f t="shared" si="19"/>
        <v>1.6263999999999998</v>
      </c>
      <c r="W181" s="195">
        <f>IFERROR(INDEX('Ashed teabags wet'!$K$2:$K$821,MATCH(H181,'Ashed teabags wet'!$A$2:$A$821,0)),"")</f>
        <v>13.95235780262451</v>
      </c>
      <c r="X181" s="195">
        <f>IFERROR(INDEX('Ashed teabags wet'!$K$2:$K$821,MATCH(I181,'Ashed teabags wet'!$A$2:$A$821,0)),"")</f>
        <v>10.077145612343887</v>
      </c>
      <c r="Y181" s="195">
        <f t="shared" si="13"/>
        <v>0.40390763247448053</v>
      </c>
      <c r="Z181" s="195">
        <f t="shared" si="13"/>
        <v>1.4625053037608389</v>
      </c>
      <c r="AA181" s="195">
        <f t="shared" si="20"/>
        <v>0.5458114338709813</v>
      </c>
      <c r="AB181" s="195">
        <f t="shared" si="21"/>
        <v>0.35782412291779303</v>
      </c>
      <c r="AC181" s="195">
        <f t="shared" si="14"/>
        <v>0.76041760417407656</v>
      </c>
      <c r="AD181">
        <f t="shared" si="15"/>
        <v>54</v>
      </c>
      <c r="AE181" s="195">
        <f t="shared" si="22"/>
        <v>0.35176789326486779</v>
      </c>
      <c r="AF181" s="195">
        <f t="shared" si="23"/>
        <v>2.0505750465967906E-2</v>
      </c>
      <c r="AG181" s="255" t="str">
        <f>IF(ISNUMBER(SEARCH("C",'WetLitterbags placem_collection'!AD108)),"YES","NO")</f>
        <v>NO</v>
      </c>
      <c r="AH181" s="255" t="str">
        <f>IF(ISNUMBER(SEARCH("H", 'WetLitterbags placem_collection'!AD108)),"YES","NO")</f>
        <v>NO</v>
      </c>
      <c r="AI181" s="255" t="str">
        <f>IF(ISNUMBER(SEARCH("R", 'WetLitterbags placem_collection'!AD108)),"YES","NO")</f>
        <v>NO</v>
      </c>
      <c r="AJ181" s="255" t="str">
        <f>IF(ISNUMBER(SEARCH("C", 'WetLitterbags placem_collection'!AC108)),"YES","NO")</f>
        <v>NO</v>
      </c>
      <c r="AK181" s="255" t="str">
        <f>IF(ISNUMBER(SEARCH("H", 'WetLitterbags placem_collection'!AC108)),"YES","NO")</f>
        <v>NO</v>
      </c>
      <c r="AL181" s="255" t="str">
        <f>IF(ISNUMBER(SEARCH("R", 'WetLitterbags placem_collection'!AC108)),"YES","NO")</f>
        <v>NO</v>
      </c>
    </row>
    <row r="182" spans="2:38">
      <c r="B182" t="str">
        <f>'Final data_for_R_analysis_Wetse'!A108</f>
        <v>Wet</v>
      </c>
      <c r="C182" s="263">
        <f>'Final data_for_R_analysis_Wetse'!B108</f>
        <v>107</v>
      </c>
      <c r="D182" t="s">
        <v>3843</v>
      </c>
      <c r="E182" t="s">
        <v>22</v>
      </c>
      <c r="F182" s="386">
        <v>3</v>
      </c>
      <c r="G182" s="16">
        <f>'WetLitterbags placem_collection'!E109</f>
        <v>42762</v>
      </c>
      <c r="H182" t="str">
        <f>'Final data_for_R_analysis_Wetse'!J108</f>
        <v>G688</v>
      </c>
      <c r="I182" t="str">
        <f>'Final data_for_R_analysis_Wetse'!J328</f>
        <v>R574</v>
      </c>
      <c r="J182">
        <f>IFERROR(INDEX('Green_rooibos initial weight'!$C$5:$C$1749,MATCH(H182, 'Green_rooibos initial weight'!$A$5:$A$1749,0)),"")</f>
        <v>2.125</v>
      </c>
      <c r="K182">
        <f>IFERROR(INDEX('Green_rooibos initial weight'!$C$5:$C$1749,MATCH(I182, 'Green_rooibos initial weight'!$A$5:$A$1749,0)),"")</f>
        <v>2.16</v>
      </c>
      <c r="L182" s="195">
        <f t="shared" si="16"/>
        <v>1.8752</v>
      </c>
      <c r="M182" s="195">
        <f>AVERAGE(Ashed_controlls!$K$2:$K$11)</f>
        <v>5.5147656768714146</v>
      </c>
      <c r="N182" s="195">
        <f t="shared" si="12"/>
        <v>1.7717871140273072</v>
      </c>
      <c r="O182" s="195">
        <f t="shared" si="17"/>
        <v>1.9102000000000001</v>
      </c>
      <c r="P182" s="195">
        <f>AVERAGE(Ashed_controlls!$K$12:$K$14)</f>
        <v>2.2816647271287041</v>
      </c>
      <c r="Q182" s="195">
        <f t="shared" si="18"/>
        <v>1.8666156403823877</v>
      </c>
      <c r="R182" s="16">
        <f>IF('WetLitterbags placem_collection'!G109="N.A","",'WetLitterbags placem_collection'!G109)</f>
        <v>42816</v>
      </c>
      <c r="S182" s="195">
        <f>IF(IFERROR(INDEX('Both teabags AfterWet'!$C$3:$C$841,MATCH(H182,'Both teabags AfterWet'!$A$3:$A$841,0)),"")="N.A","",(IFERROR(INDEX('Both teabags AfterWet'!$C$3:$C$841,MATCH(H182,'Both teabags AfterWet'!$A$3:$A$841,0)),"")))</f>
        <v>0.60899999999999999</v>
      </c>
      <c r="T182" s="195">
        <f>IFERROR(INDEX('Both teabags AfterWet'!$C$3:$C$841,MATCH(I182,'Both teabags AfterWet'!$A$3:$A$841,0)),"")</f>
        <v>1.706</v>
      </c>
      <c r="U182" s="195">
        <f t="shared" si="19"/>
        <v>0.45839999999999997</v>
      </c>
      <c r="V182" s="195">
        <f t="shared" si="19"/>
        <v>1.5553999999999999</v>
      </c>
      <c r="W182" s="195">
        <f>IFERROR(INDEX('Ashed teabags wet'!$K$2:$K$821,MATCH(H182,'Ashed teabags wet'!$A$2:$A$821,0)),"")</f>
        <v>14.504950495050023</v>
      </c>
      <c r="X182" s="195">
        <f>IFERROR(INDEX('Ashed teabags wet'!$K$2:$K$821,MATCH(I182,'Ashed teabags wet'!$A$2:$A$821,0)),"")</f>
        <v>6.0532687651327608</v>
      </c>
      <c r="Y182" s="195">
        <f t="shared" si="13"/>
        <v>0.3919093069306907</v>
      </c>
      <c r="Z182" s="195">
        <f t="shared" si="13"/>
        <v>1.461247457627125</v>
      </c>
      <c r="AA182" s="195">
        <f t="shared" si="20"/>
        <v>0.77880564553837783</v>
      </c>
      <c r="AB182" s="195">
        <f t="shared" si="21"/>
        <v>0.51057092201565868</v>
      </c>
      <c r="AC182" s="195">
        <f t="shared" si="14"/>
        <v>0.78283253714073642</v>
      </c>
      <c r="AD182">
        <f t="shared" si="15"/>
        <v>54</v>
      </c>
      <c r="AE182" s="195">
        <f t="shared" si="22"/>
        <v>7.5052677507864818E-2</v>
      </c>
      <c r="AF182" s="195">
        <f t="shared" si="23"/>
        <v>1.0258905536854036E-2</v>
      </c>
      <c r="AG182" s="255" t="str">
        <f>IF(ISNUMBER(SEARCH("C",'WetLitterbags placem_collection'!AD109)),"YES","NO")</f>
        <v>NO</v>
      </c>
      <c r="AH182" s="255" t="str">
        <f>IF(ISNUMBER(SEARCH("H", 'WetLitterbags placem_collection'!AD109)),"YES","NO")</f>
        <v>NO</v>
      </c>
      <c r="AI182" s="255" t="str">
        <f>IF(ISNUMBER(SEARCH("R", 'WetLitterbags placem_collection'!AD109)),"YES","NO")</f>
        <v>NO</v>
      </c>
      <c r="AJ182" s="255" t="str">
        <f>IF(ISNUMBER(SEARCH("C", 'WetLitterbags placem_collection'!AC109)),"YES","NO")</f>
        <v>NO</v>
      </c>
      <c r="AK182" s="255" t="str">
        <f>IF(ISNUMBER(SEARCH("H", 'WetLitterbags placem_collection'!AC109)),"YES","NO")</f>
        <v>NO</v>
      </c>
      <c r="AL182" s="255" t="str">
        <f>IF(ISNUMBER(SEARCH("R", 'WetLitterbags placem_collection'!AC109)),"YES","NO")</f>
        <v>NO</v>
      </c>
    </row>
    <row r="183" spans="2:38">
      <c r="B183" t="str">
        <f>'Final data_for_R_analysis_Wetse'!A109</f>
        <v>Wet</v>
      </c>
      <c r="C183" s="263">
        <f>'Final data_for_R_analysis_Wetse'!B109</f>
        <v>108</v>
      </c>
      <c r="D183" t="s">
        <v>3843</v>
      </c>
      <c r="E183" t="s">
        <v>22</v>
      </c>
      <c r="F183" s="387">
        <v>4</v>
      </c>
      <c r="G183" s="16">
        <f>'WetLitterbags placem_collection'!E110</f>
        <v>42762</v>
      </c>
      <c r="H183" t="str">
        <f>'Final data_for_R_analysis_Wetse'!J109</f>
        <v>G883</v>
      </c>
      <c r="I183" t="str">
        <f>'Final data_for_R_analysis_Wetse'!J329</f>
        <v>R8</v>
      </c>
      <c r="J183">
        <f>IFERROR(INDEX('Green_rooibos initial weight'!$C$5:$C$1749,MATCH(H183, 'Green_rooibos initial weight'!$A$5:$A$1749,0)),"")</f>
        <v>2.073</v>
      </c>
      <c r="K183">
        <f>IFERROR(INDEX('Green_rooibos initial weight'!$C$5:$C$1749,MATCH(I183, 'Green_rooibos initial weight'!$A$5:$A$1749,0)),"")</f>
        <v>2.23</v>
      </c>
      <c r="L183" s="195">
        <f t="shared" si="16"/>
        <v>1.8231999999999999</v>
      </c>
      <c r="M183" s="195">
        <f>AVERAGE(Ashed_controlls!$K$2:$K$11)</f>
        <v>5.5147656768714146</v>
      </c>
      <c r="N183" s="195">
        <f t="shared" si="12"/>
        <v>1.7226547921792803</v>
      </c>
      <c r="O183" s="195">
        <f t="shared" si="17"/>
        <v>1.9802</v>
      </c>
      <c r="P183" s="195">
        <f>AVERAGE(Ashed_controlls!$K$12:$K$14)</f>
        <v>2.2816647271287041</v>
      </c>
      <c r="Q183" s="195">
        <f t="shared" si="18"/>
        <v>1.9350184750733974</v>
      </c>
      <c r="R183" s="16">
        <f>IF('WetLitterbags placem_collection'!G110="N.A","",'WetLitterbags placem_collection'!G110)</f>
        <v>42816</v>
      </c>
      <c r="S183" s="195">
        <f>IF(IFERROR(INDEX('Both teabags AfterWet'!$C$3:$C$841,MATCH(H183,'Both teabags AfterWet'!$A$3:$A$841,0)),"")="N.A","",(IFERROR(INDEX('Both teabags AfterWet'!$C$3:$C$841,MATCH(H183,'Both teabags AfterWet'!$A$3:$A$841,0)),"")))</f>
        <v>0.67200000000000004</v>
      </c>
      <c r="T183" s="195">
        <f>IFERROR(INDEX('Both teabags AfterWet'!$C$3:$C$841,MATCH(I183,'Both teabags AfterWet'!$A$3:$A$841,0)),"")</f>
        <v>1.536</v>
      </c>
      <c r="U183" s="195">
        <f t="shared" si="19"/>
        <v>0.52140000000000009</v>
      </c>
      <c r="V183" s="195">
        <f t="shared" si="19"/>
        <v>1.3854</v>
      </c>
      <c r="W183" s="195">
        <f>IFERROR(INDEX('Ashed teabags wet'!$K$2:$K$821,MATCH(H183,'Ashed teabags wet'!$A$2:$A$821,0)),"")</f>
        <v>14.878892733563953</v>
      </c>
      <c r="X183" s="195">
        <f>IFERROR(INDEX('Ashed teabags wet'!$K$2:$K$821,MATCH(I183,'Ashed teabags wet'!$A$2:$A$821,0)),"")</f>
        <v>8.2171314741042973</v>
      </c>
      <c r="Y183" s="195">
        <f t="shared" si="13"/>
        <v>0.44382145328719763</v>
      </c>
      <c r="Z183" s="195">
        <f t="shared" si="13"/>
        <v>1.2715598605577589</v>
      </c>
      <c r="AA183" s="195">
        <f t="shared" si="20"/>
        <v>0.74236193153607277</v>
      </c>
      <c r="AB183" s="195">
        <f t="shared" si="21"/>
        <v>0.48667908100702167</v>
      </c>
      <c r="AC183" s="195">
        <f t="shared" si="14"/>
        <v>0.65713060466232875</v>
      </c>
      <c r="AD183">
        <f t="shared" si="15"/>
        <v>54</v>
      </c>
      <c r="AE183" s="195">
        <f t="shared" si="22"/>
        <v>0.11833499817568549</v>
      </c>
      <c r="AF183" s="195">
        <f t="shared" si="23"/>
        <v>2.2576187712356557E-2</v>
      </c>
      <c r="AG183" s="255" t="str">
        <f>IF(ISNUMBER(SEARCH("C",'WetLitterbags placem_collection'!AD110)),"YES","NO")</f>
        <v>YES</v>
      </c>
      <c r="AH183" s="255" t="str">
        <f>IF(ISNUMBER(SEARCH("H", 'WetLitterbags placem_collection'!AD110)),"YES","NO")</f>
        <v>NO</v>
      </c>
      <c r="AI183" s="255" t="str">
        <f>IF(ISNUMBER(SEARCH("R", 'WetLitterbags placem_collection'!AD110)),"YES","NO")</f>
        <v>YES</v>
      </c>
      <c r="AJ183" s="255" t="str">
        <f>IF(ISNUMBER(SEARCH("C", 'WetLitterbags placem_collection'!AC110)),"YES","NO")</f>
        <v>NO</v>
      </c>
      <c r="AK183" s="255" t="str">
        <f>IF(ISNUMBER(SEARCH("H", 'WetLitterbags placem_collection'!AC110)),"YES","NO")</f>
        <v>NO</v>
      </c>
      <c r="AL183" s="255" t="str">
        <f>IF(ISNUMBER(SEARCH("R", 'WetLitterbags placem_collection'!AC110)),"YES","NO")</f>
        <v>NO</v>
      </c>
    </row>
    <row r="184" spans="2:38">
      <c r="B184" t="str">
        <f>'Final data_for_R_analysis_Wetse'!A110</f>
        <v>Wet</v>
      </c>
      <c r="C184" s="263">
        <f>'Final data_for_R_analysis_Wetse'!B110</f>
        <v>109</v>
      </c>
      <c r="D184" t="s">
        <v>3843</v>
      </c>
      <c r="E184" t="s">
        <v>22</v>
      </c>
      <c r="F184" s="387">
        <v>5</v>
      </c>
      <c r="G184" s="16">
        <f>'WetLitterbags placem_collection'!E111</f>
        <v>42762</v>
      </c>
      <c r="H184" t="str">
        <f>'Final data_for_R_analysis_Wetse'!J110</f>
        <v>G704</v>
      </c>
      <c r="I184" t="str">
        <f>'Final data_for_R_analysis_Wetse'!J330</f>
        <v>R552</v>
      </c>
      <c r="J184">
        <f>IFERROR(INDEX('Green_rooibos initial weight'!$C$5:$C$1749,MATCH(H184, 'Green_rooibos initial weight'!$A$5:$A$1749,0)),"")</f>
        <v>2.0219999999999998</v>
      </c>
      <c r="K184">
        <f>IFERROR(INDEX('Green_rooibos initial weight'!$C$5:$C$1749,MATCH(I184, 'Green_rooibos initial weight'!$A$5:$A$1749,0)),"")</f>
        <v>2.222</v>
      </c>
      <c r="L184" s="195">
        <f t="shared" si="16"/>
        <v>1.7721999999999998</v>
      </c>
      <c r="M184" s="195">
        <f>AVERAGE(Ashed_controlls!$K$2:$K$11)</f>
        <v>5.5147656768714146</v>
      </c>
      <c r="N184" s="195">
        <f t="shared" si="12"/>
        <v>1.6744673226744846</v>
      </c>
      <c r="O184" s="195">
        <f t="shared" si="17"/>
        <v>1.9722</v>
      </c>
      <c r="P184" s="195">
        <f>AVERAGE(Ashed_controlls!$K$12:$K$14)</f>
        <v>2.2816647271287041</v>
      </c>
      <c r="Q184" s="195">
        <f t="shared" si="18"/>
        <v>1.9272010082515676</v>
      </c>
      <c r="R184" s="16">
        <f>IF('WetLitterbags placem_collection'!G111="N.A","",'WetLitterbags placem_collection'!G111)</f>
        <v>42816</v>
      </c>
      <c r="S184" s="195">
        <f>IF(IFERROR(INDEX('Both teabags AfterWet'!$C$3:$C$841,MATCH(H184,'Both teabags AfterWet'!$A$3:$A$841,0)),"")="N.A","",(IFERROR(INDEX('Both teabags AfterWet'!$C$3:$C$841,MATCH(H184,'Both teabags AfterWet'!$A$3:$A$841,0)),"")))</f>
        <v>0.63019999999999998</v>
      </c>
      <c r="T184" s="195">
        <f>IFERROR(INDEX('Both teabags AfterWet'!$C$3:$C$841,MATCH(I184,'Both teabags AfterWet'!$A$3:$A$841,0)),"")</f>
        <v>1.7532000000000001</v>
      </c>
      <c r="U184" s="195">
        <f t="shared" si="19"/>
        <v>0.47959999999999997</v>
      </c>
      <c r="V184" s="195">
        <f t="shared" si="19"/>
        <v>1.6026</v>
      </c>
      <c r="W184" s="195">
        <f>IFERROR(INDEX('Ashed teabags wet'!$K$2:$K$821,MATCH(H184,'Ashed teabags wet'!$A$2:$A$821,0)),"")</f>
        <v>7.733990147783028</v>
      </c>
      <c r="X184" s="195">
        <f>IFERROR(INDEX('Ashed teabags wet'!$K$2:$K$821,MATCH(I184,'Ashed teabags wet'!$A$2:$A$821,0)),"")</f>
        <v>9.2346938775513898</v>
      </c>
      <c r="Y184" s="195">
        <f t="shared" si="13"/>
        <v>0.44250778325123258</v>
      </c>
      <c r="Z184" s="195">
        <f t="shared" si="13"/>
        <v>1.4546047959183614</v>
      </c>
      <c r="AA184" s="195">
        <f t="shared" si="20"/>
        <v>0.73573220733597089</v>
      </c>
      <c r="AB184" s="195">
        <f t="shared" si="21"/>
        <v>0.48233275350291682</v>
      </c>
      <c r="AC184" s="195">
        <f t="shared" si="14"/>
        <v>0.75477585871441399</v>
      </c>
      <c r="AD184">
        <f t="shared" si="15"/>
        <v>54</v>
      </c>
      <c r="AE184" s="195">
        <f t="shared" si="22"/>
        <v>0.12620877988602031</v>
      </c>
      <c r="AF184" s="195">
        <f t="shared" si="23"/>
        <v>1.3150294819835475E-2</v>
      </c>
      <c r="AG184" s="255" t="str">
        <f>IF(ISNUMBER(SEARCH("C",'WetLitterbags placem_collection'!AD111)),"YES","NO")</f>
        <v>NO</v>
      </c>
      <c r="AH184" s="255" t="str">
        <f>IF(ISNUMBER(SEARCH("H", 'WetLitterbags placem_collection'!AD111)),"YES","NO")</f>
        <v>NO</v>
      </c>
      <c r="AI184" s="255" t="str">
        <f>IF(ISNUMBER(SEARCH("R", 'WetLitterbags placem_collection'!AD111)),"YES","NO")</f>
        <v>NO</v>
      </c>
      <c r="AJ184" s="255" t="str">
        <f>IF(ISNUMBER(SEARCH("C", 'WetLitterbags placem_collection'!AC111)),"YES","NO")</f>
        <v>NO</v>
      </c>
      <c r="AK184" s="255" t="str">
        <f>IF(ISNUMBER(SEARCH("H", 'WetLitterbags placem_collection'!AC111)),"YES","NO")</f>
        <v>NO</v>
      </c>
      <c r="AL184" s="255" t="str">
        <f>IF(ISNUMBER(SEARCH("R", 'WetLitterbags placem_collection'!AC111)),"YES","NO")</f>
        <v>NO</v>
      </c>
    </row>
    <row r="185" spans="2:38">
      <c r="B185" t="str">
        <f>'Final data_for_R_analysis_Wetse'!A111</f>
        <v>Wet</v>
      </c>
      <c r="C185" s="263">
        <f>'Final data_for_R_analysis_Wetse'!B111</f>
        <v>110</v>
      </c>
      <c r="D185" t="s">
        <v>3843</v>
      </c>
      <c r="E185" t="s">
        <v>22</v>
      </c>
      <c r="F185" s="387">
        <v>6</v>
      </c>
      <c r="G185" s="16">
        <f>'WetLitterbags placem_collection'!E112</f>
        <v>42762</v>
      </c>
      <c r="H185" t="str">
        <f>'Final data_for_R_analysis_Wetse'!J111</f>
        <v>G742</v>
      </c>
      <c r="I185" t="str">
        <f>'Final data_for_R_analysis_Wetse'!J331</f>
        <v>R462</v>
      </c>
      <c r="J185">
        <f>IFERROR(INDEX('Green_rooibos initial weight'!$C$5:$C$1749,MATCH(H185, 'Green_rooibos initial weight'!$A$5:$A$1749,0)),"")</f>
        <v>2.0510000000000002</v>
      </c>
      <c r="K185">
        <f>IFERROR(INDEX('Green_rooibos initial weight'!$C$5:$C$1749,MATCH(I185, 'Green_rooibos initial weight'!$A$5:$A$1749,0)),"")</f>
        <v>2.226</v>
      </c>
      <c r="L185" s="195">
        <f t="shared" si="16"/>
        <v>1.8012000000000001</v>
      </c>
      <c r="M185" s="195">
        <f>AVERAGE(Ashed_controlls!$K$2:$K$11)</f>
        <v>5.5147656768714146</v>
      </c>
      <c r="N185" s="195">
        <f t="shared" si="12"/>
        <v>1.7018680406281923</v>
      </c>
      <c r="O185" s="195">
        <f t="shared" si="17"/>
        <v>1.9762</v>
      </c>
      <c r="P185" s="195">
        <f>AVERAGE(Ashed_controlls!$K$12:$K$14)</f>
        <v>2.2816647271287041</v>
      </c>
      <c r="Q185" s="195">
        <f t="shared" si="18"/>
        <v>1.9311097416624825</v>
      </c>
      <c r="R185" s="16">
        <f>IF('WetLitterbags placem_collection'!G112="N.A","",'WetLitterbags placem_collection'!G112)</f>
        <v>42816</v>
      </c>
      <c r="S185" s="195">
        <f>IF(IFERROR(INDEX('Both teabags AfterWet'!$C$3:$C$841,MATCH(H185,'Both teabags AfterWet'!$A$3:$A$841,0)),"")="N.A","",(IFERROR(INDEX('Both teabags AfterWet'!$C$3:$C$841,MATCH(H185,'Both teabags AfterWet'!$A$3:$A$841,0)),"")))</f>
        <v>0.57879999999999998</v>
      </c>
      <c r="T185" s="195">
        <f>IFERROR(INDEX('Both teabags AfterWet'!$C$3:$C$841,MATCH(I185,'Both teabags AfterWet'!$A$3:$A$841,0)),"")</f>
        <v>1.5465</v>
      </c>
      <c r="U185" s="195">
        <f t="shared" si="19"/>
        <v>0.42819999999999997</v>
      </c>
      <c r="V185" s="195">
        <f t="shared" si="19"/>
        <v>1.3958999999999999</v>
      </c>
      <c r="W185" s="195">
        <f>IFERROR(INDEX('Ashed teabags wet'!$K$2:$K$821,MATCH(H185,'Ashed teabags wet'!$A$2:$A$821,0)),"")</f>
        <v>13.253612356751738</v>
      </c>
      <c r="X185" s="195">
        <f>IFERROR(INDEX('Ashed teabags wet'!$K$2:$K$821,MATCH(I185,'Ashed teabags wet'!$A$2:$A$821,0)),"")</f>
        <v>7.3158914728682047</v>
      </c>
      <c r="Y185" s="195">
        <f t="shared" si="13"/>
        <v>0.37144803188838904</v>
      </c>
      <c r="Z185" s="195">
        <f t="shared" si="13"/>
        <v>1.2937774709302325</v>
      </c>
      <c r="AA185" s="195">
        <f t="shared" si="20"/>
        <v>0.78174099106339623</v>
      </c>
      <c r="AB185" s="195">
        <f t="shared" si="21"/>
        <v>0.51249528155225033</v>
      </c>
      <c r="AC185" s="195">
        <f t="shared" si="14"/>
        <v>0.66996579377018006</v>
      </c>
      <c r="AD185">
        <f t="shared" si="15"/>
        <v>54</v>
      </c>
      <c r="AE185" s="195">
        <f t="shared" si="22"/>
        <v>7.1566518927082878E-2</v>
      </c>
      <c r="AF185" s="195">
        <f t="shared" si="23"/>
        <v>1.9125085923583016E-2</v>
      </c>
      <c r="AG185" s="255" t="str">
        <f>IF(ISNUMBER(SEARCH("C",'WetLitterbags placem_collection'!AD112)),"YES","NO")</f>
        <v>NO</v>
      </c>
      <c r="AH185" s="255" t="str">
        <f>IF(ISNUMBER(SEARCH("H", 'WetLitterbags placem_collection'!AD112)),"YES","NO")</f>
        <v>NO</v>
      </c>
      <c r="AI185" s="255" t="str">
        <f>IF(ISNUMBER(SEARCH("R", 'WetLitterbags placem_collection'!AD112)),"YES","NO")</f>
        <v>NO</v>
      </c>
      <c r="AJ185" s="255" t="str">
        <f>IF(ISNUMBER(SEARCH("C", 'WetLitterbags placem_collection'!AC112)),"YES","NO")</f>
        <v>NO</v>
      </c>
      <c r="AK185" s="255" t="str">
        <f>IF(ISNUMBER(SEARCH("H", 'WetLitterbags placem_collection'!AC112)),"YES","NO")</f>
        <v>NO</v>
      </c>
      <c r="AL185" s="255" t="str">
        <f>IF(ISNUMBER(SEARCH("R", 'WetLitterbags placem_collection'!AC112)),"YES","NO")</f>
        <v>NO</v>
      </c>
    </row>
    <row r="186" spans="2:38">
      <c r="B186" t="str">
        <f>'Final data_for_R_analysis_Wetse'!A112</f>
        <v>Wet</v>
      </c>
      <c r="C186" s="263">
        <f>'Final data_for_R_analysis_Wetse'!B112</f>
        <v>111</v>
      </c>
      <c r="D186" t="s">
        <v>3843</v>
      </c>
      <c r="E186" t="s">
        <v>22</v>
      </c>
      <c r="F186" s="387">
        <v>7</v>
      </c>
      <c r="G186" s="16">
        <f>'WetLitterbags placem_collection'!E113</f>
        <v>42762</v>
      </c>
      <c r="H186" t="str">
        <f>'Final data_for_R_analysis_Wetse'!J112</f>
        <v>G831</v>
      </c>
      <c r="I186" t="str">
        <f>'Final data_for_R_analysis_Wetse'!J332</f>
        <v>R505</v>
      </c>
      <c r="J186">
        <f>IFERROR(INDEX('Green_rooibos initial weight'!$C$5:$C$1749,MATCH(H186, 'Green_rooibos initial weight'!$A$5:$A$1749,0)),"")</f>
        <v>2.1190000000000002</v>
      </c>
      <c r="K186">
        <f>IFERROR(INDEX('Green_rooibos initial weight'!$C$5:$C$1749,MATCH(I186, 'Green_rooibos initial weight'!$A$5:$A$1749,0)),"")</f>
        <v>2.198</v>
      </c>
      <c r="L186" s="195">
        <f t="shared" si="16"/>
        <v>1.8692000000000002</v>
      </c>
      <c r="M186" s="195">
        <f>AVERAGE(Ashed_controlls!$K$2:$K$11)</f>
        <v>5.5147656768714146</v>
      </c>
      <c r="N186" s="195">
        <f t="shared" si="12"/>
        <v>1.7661179999679197</v>
      </c>
      <c r="O186" s="195">
        <f t="shared" si="17"/>
        <v>1.9481999999999999</v>
      </c>
      <c r="P186" s="195">
        <f>AVERAGE(Ashed_controlls!$K$12:$K$14)</f>
        <v>2.2816647271287041</v>
      </c>
      <c r="Q186" s="195">
        <f t="shared" si="18"/>
        <v>1.9037486077860786</v>
      </c>
      <c r="R186" s="16">
        <f>IF('WetLitterbags placem_collection'!G113="N.A","",'WetLitterbags placem_collection'!G113)</f>
        <v>42816</v>
      </c>
      <c r="S186" s="195">
        <f>IF(IFERROR(INDEX('Both teabags AfterWet'!$C$3:$C$841,MATCH(H186,'Both teabags AfterWet'!$A$3:$A$841,0)),"")="N.A","",(IFERROR(INDEX('Both teabags AfterWet'!$C$3:$C$841,MATCH(H186,'Both teabags AfterWet'!$A$3:$A$841,0)),"")))</f>
        <v>0.66200000000000003</v>
      </c>
      <c r="T186" s="195">
        <f>IFERROR(INDEX('Both teabags AfterWet'!$C$3:$C$841,MATCH(I186,'Both teabags AfterWet'!$A$3:$A$841,0)),"")</f>
        <v>1.673</v>
      </c>
      <c r="U186" s="195">
        <f t="shared" si="19"/>
        <v>0.51140000000000008</v>
      </c>
      <c r="V186" s="195">
        <f t="shared" si="19"/>
        <v>1.5224</v>
      </c>
      <c r="W186" s="195">
        <f>IFERROR(INDEX('Ashed teabags wet'!$K$2:$K$821,MATCH(H186,'Ashed teabags wet'!$A$2:$A$821,0)),"")</f>
        <v>14.3622200584224</v>
      </c>
      <c r="X186" s="195">
        <f>IFERROR(INDEX('Ashed teabags wet'!$K$2:$K$821,MATCH(I186,'Ashed teabags wet'!$A$2:$A$821,0)),"")</f>
        <v>8.7623762376235934</v>
      </c>
      <c r="Y186" s="195">
        <f t="shared" si="13"/>
        <v>0.4379516066212279</v>
      </c>
      <c r="Z186" s="195">
        <f t="shared" si="13"/>
        <v>1.3890015841584185</v>
      </c>
      <c r="AA186" s="195">
        <f t="shared" si="20"/>
        <v>0.75202585182350046</v>
      </c>
      <c r="AB186" s="195">
        <f t="shared" si="21"/>
        <v>0.49301457269189114</v>
      </c>
      <c r="AC186" s="195">
        <f t="shared" si="14"/>
        <v>0.72961397238983483</v>
      </c>
      <c r="AD186">
        <f t="shared" si="15"/>
        <v>54</v>
      </c>
      <c r="AE186" s="195">
        <f t="shared" si="22"/>
        <v>0.10685765816686399</v>
      </c>
      <c r="AF186" s="195">
        <f t="shared" si="23"/>
        <v>1.4722853098704435E-2</v>
      </c>
      <c r="AG186" s="255" t="str">
        <f>IF(ISNUMBER(SEARCH("C",'WetLitterbags placem_collection'!AD113)),"YES","NO")</f>
        <v>NO</v>
      </c>
      <c r="AH186" s="255" t="str">
        <f>IF(ISNUMBER(SEARCH("H", 'WetLitterbags placem_collection'!AD113)),"YES","NO")</f>
        <v>NO</v>
      </c>
      <c r="AI186" s="255" t="str">
        <f>IF(ISNUMBER(SEARCH("R", 'WetLitterbags placem_collection'!AD113)),"YES","NO")</f>
        <v>NO</v>
      </c>
      <c r="AJ186" s="255" t="str">
        <f>IF(ISNUMBER(SEARCH("C", 'WetLitterbags placem_collection'!AC113)),"YES","NO")</f>
        <v>NO</v>
      </c>
      <c r="AK186" s="255" t="str">
        <f>IF(ISNUMBER(SEARCH("H", 'WetLitterbags placem_collection'!AC113)),"YES","NO")</f>
        <v>NO</v>
      </c>
      <c r="AL186" s="255" t="str">
        <f>IF(ISNUMBER(SEARCH("R", 'WetLitterbags placem_collection'!AC113)),"YES","NO")</f>
        <v>NO</v>
      </c>
    </row>
    <row r="187" spans="2:38">
      <c r="B187" t="str">
        <f>'Final data_for_R_analysis_Wetse'!A113</f>
        <v>Wet</v>
      </c>
      <c r="C187" s="263">
        <f>'Final data_for_R_analysis_Wetse'!B113</f>
        <v>112</v>
      </c>
      <c r="D187" t="s">
        <v>3843</v>
      </c>
      <c r="E187" t="s">
        <v>22</v>
      </c>
      <c r="F187" s="387">
        <v>8</v>
      </c>
      <c r="G187" s="16">
        <f>'WetLitterbags placem_collection'!E114</f>
        <v>42762</v>
      </c>
      <c r="H187" t="str">
        <f>'Final data_for_R_analysis_Wetse'!J113</f>
        <v>G899</v>
      </c>
      <c r="I187" t="str">
        <f>'Final data_for_R_analysis_Wetse'!J333</f>
        <v>R41</v>
      </c>
      <c r="J187">
        <f>IFERROR(INDEX('Green_rooibos initial weight'!$C$5:$C$1749,MATCH(H187, 'Green_rooibos initial weight'!$A$5:$A$1749,0)),"")</f>
        <v>2.0129999999999999</v>
      </c>
      <c r="K187">
        <f>IFERROR(INDEX('Green_rooibos initial weight'!$C$5:$C$1749,MATCH(I187, 'Green_rooibos initial weight'!$A$5:$A$1749,0)),"")</f>
        <v>2.2010000000000001</v>
      </c>
      <c r="L187" s="195">
        <f t="shared" si="16"/>
        <v>1.7631999999999999</v>
      </c>
      <c r="M187" s="195">
        <f>AVERAGE(Ashed_controlls!$K$2:$K$11)</f>
        <v>5.5147656768714146</v>
      </c>
      <c r="N187" s="195">
        <f t="shared" si="12"/>
        <v>1.665963651585403</v>
      </c>
      <c r="O187" s="195">
        <f t="shared" si="17"/>
        <v>1.9512</v>
      </c>
      <c r="P187" s="195">
        <f>AVERAGE(Ashed_controlls!$K$12:$K$14)</f>
        <v>2.2816647271287041</v>
      </c>
      <c r="Q187" s="195">
        <f t="shared" si="18"/>
        <v>1.9066801578442647</v>
      </c>
      <c r="R187" s="16">
        <f>IF('WetLitterbags placem_collection'!G114="N.A","",'WetLitterbags placem_collection'!G114)</f>
        <v>42816</v>
      </c>
      <c r="S187" s="195">
        <f>IF(IFERROR(INDEX('Both teabags AfterWet'!$C$3:$C$841,MATCH(H187,'Both teabags AfterWet'!$A$3:$A$841,0)),"")="N.A","",(IFERROR(INDEX('Both teabags AfterWet'!$C$3:$C$841,MATCH(H187,'Both teabags AfterWet'!$A$3:$A$841,0)),"")))</f>
        <v>0.71899999999999997</v>
      </c>
      <c r="T187" s="195">
        <f>IFERROR(INDEX('Both teabags AfterWet'!$C$3:$C$841,MATCH(I187,'Both teabags AfterWet'!$A$3:$A$841,0)),"")</f>
        <v>1.6910000000000001</v>
      </c>
      <c r="U187" s="195">
        <f t="shared" si="19"/>
        <v>0.56840000000000002</v>
      </c>
      <c r="V187" s="195">
        <f t="shared" si="19"/>
        <v>1.5404</v>
      </c>
      <c r="W187" s="195">
        <f>IFERROR(INDEX('Ashed teabags wet'!$K$2:$K$821,MATCH(H187,'Ashed teabags wet'!$A$2:$A$821,0)),"")</f>
        <v>25.775193798450474</v>
      </c>
      <c r="X187" s="195">
        <f>IFERROR(INDEX('Ashed teabags wet'!$K$2:$K$821,MATCH(I187,'Ashed teabags wet'!$A$2:$A$821,0)),"")</f>
        <v>6.9995105237407165</v>
      </c>
      <c r="Y187" s="195">
        <f t="shared" si="13"/>
        <v>0.4218937984496075</v>
      </c>
      <c r="Z187" s="195">
        <f t="shared" si="13"/>
        <v>1.432579539892298</v>
      </c>
      <c r="AA187" s="195">
        <f t="shared" si="20"/>
        <v>0.74675690069941503</v>
      </c>
      <c r="AB187" s="195">
        <f t="shared" si="21"/>
        <v>0.48956034345139804</v>
      </c>
      <c r="AC187" s="195">
        <f t="shared" si="14"/>
        <v>0.75134758915832245</v>
      </c>
      <c r="AD187">
        <f t="shared" si="15"/>
        <v>54</v>
      </c>
      <c r="AE187" s="195">
        <f t="shared" si="22"/>
        <v>0.11311531983442391</v>
      </c>
      <c r="AF187" s="195">
        <f t="shared" si="23"/>
        <v>1.3131349850552969E-2</v>
      </c>
      <c r="AG187" s="255" t="str">
        <f>IF(ISNUMBER(SEARCH("C",'WetLitterbags placem_collection'!AD114)),"YES","NO")</f>
        <v>NO</v>
      </c>
      <c r="AH187" s="255" t="str">
        <f>IF(ISNUMBER(SEARCH("H", 'WetLitterbags placem_collection'!AD114)),"YES","NO")</f>
        <v>NO</v>
      </c>
      <c r="AI187" s="255" t="str">
        <f>IF(ISNUMBER(SEARCH("R", 'WetLitterbags placem_collection'!AD114)),"YES","NO")</f>
        <v>NO</v>
      </c>
      <c r="AJ187" s="255" t="str">
        <f>IF(ISNUMBER(SEARCH("C", 'WetLitterbags placem_collection'!AC114)),"YES","NO")</f>
        <v>NO</v>
      </c>
      <c r="AK187" s="255" t="str">
        <f>IF(ISNUMBER(SEARCH("H", 'WetLitterbags placem_collection'!AC114)),"YES","NO")</f>
        <v>NO</v>
      </c>
      <c r="AL187" s="255" t="str">
        <f>IF(ISNUMBER(SEARCH("R", 'WetLitterbags placem_collection'!AC114)),"YES","NO")</f>
        <v>NO</v>
      </c>
    </row>
    <row r="188" spans="2:38">
      <c r="B188" t="str">
        <f>'Final data_for_R_analysis_Wetse'!A114</f>
        <v>Wet</v>
      </c>
      <c r="C188" s="263">
        <f>'Final data_for_R_analysis_Wetse'!B114</f>
        <v>113</v>
      </c>
      <c r="D188" t="s">
        <v>3844</v>
      </c>
      <c r="E188" t="s">
        <v>22</v>
      </c>
      <c r="F188" s="386">
        <v>1</v>
      </c>
      <c r="G188" s="16">
        <f>'WetLitterbags placem_collection'!E115</f>
        <v>42762</v>
      </c>
      <c r="H188" t="str">
        <f>'Final data_for_R_analysis_Wetse'!J114</f>
        <v>G724</v>
      </c>
      <c r="I188" t="str">
        <f>'Final data_for_R_analysis_Wetse'!J334</f>
        <v>R428</v>
      </c>
      <c r="J188">
        <f>IFERROR(INDEX('Green_rooibos initial weight'!$C$5:$C$1749,MATCH(H188, 'Green_rooibos initial weight'!$A$5:$A$1749,0)),"")</f>
        <v>2.0289999999999999</v>
      </c>
      <c r="K188">
        <f>IFERROR(INDEX('Green_rooibos initial weight'!$C$5:$C$1749,MATCH(I188, 'Green_rooibos initial weight'!$A$5:$A$1749,0)),"")</f>
        <v>2.202</v>
      </c>
      <c r="L188" s="195">
        <f t="shared" si="16"/>
        <v>1.7791999999999999</v>
      </c>
      <c r="M188" s="195">
        <f>AVERAGE(Ashed_controlls!$K$2:$K$11)</f>
        <v>5.5147656768714146</v>
      </c>
      <c r="N188" s="195">
        <f t="shared" si="12"/>
        <v>1.6810812890771036</v>
      </c>
      <c r="O188" s="195">
        <f t="shared" si="17"/>
        <v>1.9521999999999999</v>
      </c>
      <c r="P188" s="195">
        <f>AVERAGE(Ashed_controlls!$K$12:$K$14)</f>
        <v>2.2816647271287041</v>
      </c>
      <c r="Q188" s="195">
        <f t="shared" si="18"/>
        <v>1.9076573411969935</v>
      </c>
      <c r="R188" s="16">
        <f>IF('WetLitterbags placem_collection'!G115="N.A","",'WetLitterbags placem_collection'!G115)</f>
        <v>42816</v>
      </c>
      <c r="S188" s="195">
        <f>IF(IFERROR(INDEX('Both teabags AfterWet'!$C$3:$C$841,MATCH(H188,'Both teabags AfterWet'!$A$3:$A$841,0)),"")="N.A","",(IFERROR(INDEX('Both teabags AfterWet'!$C$3:$C$841,MATCH(H188,'Both teabags AfterWet'!$A$3:$A$841,0)),"")))</f>
        <v>0.61099999999999999</v>
      </c>
      <c r="T188" s="195">
        <f>IFERROR(INDEX('Both teabags AfterWet'!$C$3:$C$841,MATCH(I188,'Both teabags AfterWet'!$A$3:$A$841,0)),"")</f>
        <v>1.768</v>
      </c>
      <c r="U188" s="195">
        <f t="shared" si="19"/>
        <v>0.46039999999999998</v>
      </c>
      <c r="V188" s="195">
        <f t="shared" si="19"/>
        <v>1.6173999999999999</v>
      </c>
      <c r="W188" s="195">
        <f>IFERROR(INDEX('Ashed teabags wet'!$K$2:$K$821,MATCH(H188,'Ashed teabags wet'!$A$2:$A$821,0)),"")</f>
        <v>15.414073719482863</v>
      </c>
      <c r="X188" s="195">
        <f>IFERROR(INDEX('Ashed teabags wet'!$K$2:$K$821,MATCH(I188,'Ashed teabags wet'!$A$2:$A$821,0)),"")</f>
        <v>90.530490827962367</v>
      </c>
      <c r="Y188" s="195">
        <f t="shared" si="13"/>
        <v>0.38943360459550092</v>
      </c>
      <c r="Z188" s="195">
        <f t="shared" si="13"/>
        <v>0.15315984134853666</v>
      </c>
      <c r="AA188" s="195">
        <f t="shared" si="20"/>
        <v>0.76834338284182802</v>
      </c>
      <c r="AB188" s="195">
        <f t="shared" si="21"/>
        <v>0.50371205145925069</v>
      </c>
      <c r="AC188" s="195">
        <f t="shared" si="14"/>
        <v>8.0286872301937512E-2</v>
      </c>
      <c r="AD188">
        <f t="shared" si="15"/>
        <v>54</v>
      </c>
      <c r="AE188" s="195">
        <f t="shared" si="22"/>
        <v>8.7478167646285021E-2</v>
      </c>
      <c r="AF188" s="195" t="str">
        <f t="shared" si="23"/>
        <v/>
      </c>
      <c r="AG188" s="255" t="str">
        <f>IF(ISNUMBER(SEARCH("C",'WetLitterbags placem_collection'!AD115)),"YES","NO")</f>
        <v>NO</v>
      </c>
      <c r="AH188" s="255" t="str">
        <f>IF(ISNUMBER(SEARCH("H", 'WetLitterbags placem_collection'!AD115)),"YES","NO")</f>
        <v>NO</v>
      </c>
      <c r="AI188" s="255" t="str">
        <f>IF(ISNUMBER(SEARCH("R", 'WetLitterbags placem_collection'!AD115)),"YES","NO")</f>
        <v>NO</v>
      </c>
      <c r="AJ188" s="255" t="str">
        <f>IF(ISNUMBER(SEARCH("C", 'WetLitterbags placem_collection'!AC115)),"YES","NO")</f>
        <v>NO</v>
      </c>
      <c r="AK188" s="255" t="str">
        <f>IF(ISNUMBER(SEARCH("H", 'WetLitterbags placem_collection'!AC115)),"YES","NO")</f>
        <v>NO</v>
      </c>
      <c r="AL188" s="255" t="str">
        <f>IF(ISNUMBER(SEARCH("R", 'WetLitterbags placem_collection'!AC115)),"YES","NO")</f>
        <v>NO</v>
      </c>
    </row>
    <row r="189" spans="2:38">
      <c r="B189" t="str">
        <f>'Final data_for_R_analysis_Wetse'!A115</f>
        <v>Wet</v>
      </c>
      <c r="C189" s="263">
        <f>'Final data_for_R_analysis_Wetse'!B115</f>
        <v>114</v>
      </c>
      <c r="D189" t="s">
        <v>3844</v>
      </c>
      <c r="E189" t="s">
        <v>22</v>
      </c>
      <c r="F189" s="386">
        <v>2</v>
      </c>
      <c r="G189" s="16">
        <f>'WetLitterbags placem_collection'!E116</f>
        <v>42762</v>
      </c>
      <c r="H189" t="str">
        <f>'Final data_for_R_analysis_Wetse'!J115</f>
        <v>G803</v>
      </c>
      <c r="I189" t="str">
        <f>'Final data_for_R_analysis_Wetse'!J335</f>
        <v>R601</v>
      </c>
      <c r="J189">
        <f>IFERROR(INDEX('Green_rooibos initial weight'!$C$5:$C$1749,MATCH(H189, 'Green_rooibos initial weight'!$A$5:$A$1749,0)),"")</f>
        <v>2.0590000000000002</v>
      </c>
      <c r="K189">
        <f>IFERROR(INDEX('Green_rooibos initial weight'!$C$5:$C$1749,MATCH(I189, 'Green_rooibos initial weight'!$A$5:$A$1749,0)),"")</f>
        <v>2.198</v>
      </c>
      <c r="L189" s="195">
        <f t="shared" si="16"/>
        <v>1.8092000000000001</v>
      </c>
      <c r="M189" s="195">
        <f>AVERAGE(Ashed_controlls!$K$2:$K$11)</f>
        <v>5.5147656768714146</v>
      </c>
      <c r="N189" s="195">
        <f t="shared" si="12"/>
        <v>1.7094268593740425</v>
      </c>
      <c r="O189" s="195">
        <f t="shared" si="17"/>
        <v>1.9481999999999999</v>
      </c>
      <c r="P189" s="195">
        <f>AVERAGE(Ashed_controlls!$K$12:$K$14)</f>
        <v>2.2816647271287041</v>
      </c>
      <c r="Q189" s="195">
        <f t="shared" si="18"/>
        <v>1.9037486077860786</v>
      </c>
      <c r="R189" s="16">
        <f>IF('WetLitterbags placem_collection'!G116="N.A","",'WetLitterbags placem_collection'!G116)</f>
        <v>42816</v>
      </c>
      <c r="S189" s="195">
        <f>IF(IFERROR(INDEX('Both teabags AfterWet'!$C$3:$C$841,MATCH(H189,'Both teabags AfterWet'!$A$3:$A$841,0)),"")="N.A","",(IFERROR(INDEX('Both teabags AfterWet'!$C$3:$C$841,MATCH(H189,'Both teabags AfterWet'!$A$3:$A$841,0)),"")))</f>
        <v>0.64300000000000002</v>
      </c>
      <c r="T189" s="195">
        <f>IFERROR(INDEX('Both teabags AfterWet'!$C$3:$C$841,MATCH(I189,'Both teabags AfterWet'!$A$3:$A$841,0)),"")</f>
        <v>2.7930000000000001</v>
      </c>
      <c r="U189" s="195">
        <f t="shared" si="19"/>
        <v>0.4924</v>
      </c>
      <c r="V189" s="195">
        <f t="shared" si="19"/>
        <v>2.6424000000000003</v>
      </c>
      <c r="W189" s="195">
        <f>IFERROR(INDEX('Ashed teabags wet'!$K$2:$K$821,MATCH(H189,'Ashed teabags wet'!$A$2:$A$821,0)),"")</f>
        <v>21.028971028971405</v>
      </c>
      <c r="X189" s="195">
        <f>IFERROR(INDEX('Ashed teabags wet'!$K$2:$K$821,MATCH(I189,'Ashed teabags wet'!$A$2:$A$821,0)),"")</f>
        <v>95.101842870998382</v>
      </c>
      <c r="Y189" s="195">
        <f t="shared" si="13"/>
        <v>0.38885334665334481</v>
      </c>
      <c r="Z189" s="195">
        <f t="shared" si="13"/>
        <v>0.12942890397673867</v>
      </c>
      <c r="AA189" s="195">
        <f t="shared" si="20"/>
        <v>0.7725241389995855</v>
      </c>
      <c r="AB189" s="195">
        <f t="shared" si="21"/>
        <v>0.50645287972419384</v>
      </c>
      <c r="AC189" s="195">
        <f t="shared" si="14"/>
        <v>6.7986342024042287E-2</v>
      </c>
      <c r="AD189">
        <f t="shared" si="15"/>
        <v>54</v>
      </c>
      <c r="AE189" s="195">
        <f t="shared" si="22"/>
        <v>8.2512899050373512E-2</v>
      </c>
      <c r="AF189" s="195" t="str">
        <f t="shared" si="23"/>
        <v/>
      </c>
      <c r="AG189" s="255" t="str">
        <f>IF(ISNUMBER(SEARCH("C",'WetLitterbags placem_collection'!AD116)),"YES","NO")</f>
        <v>NO</v>
      </c>
      <c r="AH189" s="255" t="str">
        <f>IF(ISNUMBER(SEARCH("H", 'WetLitterbags placem_collection'!AD116)),"YES","NO")</f>
        <v>NO</v>
      </c>
      <c r="AI189" s="255" t="str">
        <f>IF(ISNUMBER(SEARCH("R", 'WetLitterbags placem_collection'!AD116)),"YES","NO")</f>
        <v>NO</v>
      </c>
      <c r="AJ189" s="255" t="str">
        <f>IF(ISNUMBER(SEARCH("C", 'WetLitterbags placem_collection'!AC116)),"YES","NO")</f>
        <v>NO</v>
      </c>
      <c r="AK189" s="255" t="str">
        <f>IF(ISNUMBER(SEARCH("H", 'WetLitterbags placem_collection'!AC116)),"YES","NO")</f>
        <v>NO</v>
      </c>
      <c r="AL189" s="255" t="str">
        <f>IF(ISNUMBER(SEARCH("R", 'WetLitterbags placem_collection'!AC116)),"YES","NO")</f>
        <v>NO</v>
      </c>
    </row>
    <row r="190" spans="2:38">
      <c r="B190" t="str">
        <f>'Final data_for_R_analysis_Wetse'!A116</f>
        <v>Wet</v>
      </c>
      <c r="C190" s="263">
        <f>'Final data_for_R_analysis_Wetse'!B116</f>
        <v>115</v>
      </c>
      <c r="D190" t="s">
        <v>3844</v>
      </c>
      <c r="E190" t="s">
        <v>22</v>
      </c>
      <c r="F190" s="386">
        <v>3</v>
      </c>
      <c r="G190" s="16">
        <f>'WetLitterbags placem_collection'!E117</f>
        <v>42762</v>
      </c>
      <c r="H190" t="str">
        <f>'Final data_for_R_analysis_Wetse'!J116</f>
        <v>G693</v>
      </c>
      <c r="I190" t="str">
        <f>'Final data_for_R_analysis_Wetse'!J336</f>
        <v>R553</v>
      </c>
      <c r="J190">
        <f>IFERROR(INDEX('Green_rooibos initial weight'!$C$5:$C$1749,MATCH(H190, 'Green_rooibos initial weight'!$A$5:$A$1749,0)),"")</f>
        <v>2.0710000000000002</v>
      </c>
      <c r="K190">
        <f>IFERROR(INDEX('Green_rooibos initial weight'!$C$5:$C$1749,MATCH(I190, 'Green_rooibos initial weight'!$A$5:$A$1749,0)),"")</f>
        <v>2.1949999999999998</v>
      </c>
      <c r="L190" s="195">
        <f t="shared" si="16"/>
        <v>1.8212000000000002</v>
      </c>
      <c r="M190" s="195">
        <f>AVERAGE(Ashed_controlls!$K$2:$K$11)</f>
        <v>5.5147656768714146</v>
      </c>
      <c r="N190" s="195">
        <f t="shared" si="12"/>
        <v>1.720765087492818</v>
      </c>
      <c r="O190" s="195">
        <f t="shared" si="17"/>
        <v>1.9451999999999998</v>
      </c>
      <c r="P190" s="195">
        <f>AVERAGE(Ashed_controlls!$K$12:$K$14)</f>
        <v>2.2816647271287041</v>
      </c>
      <c r="Q190" s="195">
        <f t="shared" si="18"/>
        <v>1.9008170577278922</v>
      </c>
      <c r="R190" s="16">
        <f>IF('WetLitterbags placem_collection'!G117="N.A","",'WetLitterbags placem_collection'!G117)</f>
        <v>42816</v>
      </c>
      <c r="S190" s="195">
        <f>IF(IFERROR(INDEX('Both teabags AfterWet'!$C$3:$C$841,MATCH(H190,'Both teabags AfterWet'!$A$3:$A$841,0)),"")="N.A","",(IFERROR(INDEX('Both teabags AfterWet'!$C$3:$C$841,MATCH(H190,'Both teabags AfterWet'!$A$3:$A$841,0)),"")))</f>
        <v>0.63400000000000001</v>
      </c>
      <c r="T190" s="195">
        <f>IFERROR(INDEX('Both teabags AfterWet'!$C$3:$C$841,MATCH(I190,'Both teabags AfterWet'!$A$3:$A$841,0)),"")</f>
        <v>0.99990000000000001</v>
      </c>
      <c r="U190" s="195">
        <f t="shared" si="19"/>
        <v>0.4834</v>
      </c>
      <c r="V190" s="195">
        <f t="shared" si="19"/>
        <v>0.84929999999999994</v>
      </c>
      <c r="W190" s="195">
        <f>IFERROR(INDEX('Ashed teabags wet'!$K$2:$K$821,MATCH(H190,'Ashed teabags wet'!$A$2:$A$821,0)),"")</f>
        <v>16.568993074054781</v>
      </c>
      <c r="X190" s="195">
        <f>IFERROR(INDEX('Ashed teabags wet'!$K$2:$K$821,MATCH(I190,'Ashed teabags wet'!$A$2:$A$821,0)),"")</f>
        <v>91.722365038559602</v>
      </c>
      <c r="Y190" s="195">
        <f t="shared" si="13"/>
        <v>0.40330548748001921</v>
      </c>
      <c r="Z190" s="195">
        <f t="shared" si="13"/>
        <v>7.0301953727513244E-2</v>
      </c>
      <c r="AA190" s="195">
        <f t="shared" si="20"/>
        <v>0.76562432001241865</v>
      </c>
      <c r="AB190" s="195">
        <f t="shared" si="21"/>
        <v>0.5019294829535097</v>
      </c>
      <c r="AC190" s="195">
        <f t="shared" si="14"/>
        <v>3.6985123550788958E-2</v>
      </c>
      <c r="AD190">
        <f t="shared" si="15"/>
        <v>54</v>
      </c>
      <c r="AE190" s="195">
        <f t="shared" si="22"/>
        <v>9.0707458417555009E-2</v>
      </c>
      <c r="AF190" s="195" t="str">
        <f t="shared" si="23"/>
        <v/>
      </c>
      <c r="AG190" s="255" t="str">
        <f>IF(ISNUMBER(SEARCH("C",'WetLitterbags placem_collection'!AD117)),"YES","NO")</f>
        <v>NO</v>
      </c>
      <c r="AH190" s="255" t="str">
        <f>IF(ISNUMBER(SEARCH("H", 'WetLitterbags placem_collection'!AD117)),"YES","NO")</f>
        <v>NO</v>
      </c>
      <c r="AI190" s="255" t="str">
        <f>IF(ISNUMBER(SEARCH("R", 'WetLitterbags placem_collection'!AD117)),"YES","NO")</f>
        <v>NO</v>
      </c>
      <c r="AJ190" s="255" t="str">
        <f>IF(ISNUMBER(SEARCH("C", 'WetLitterbags placem_collection'!AC117)),"YES","NO")</f>
        <v>NO</v>
      </c>
      <c r="AK190" s="255" t="str">
        <f>IF(ISNUMBER(SEARCH("H", 'WetLitterbags placem_collection'!AC117)),"YES","NO")</f>
        <v>NO</v>
      </c>
      <c r="AL190" s="255" t="str">
        <f>IF(ISNUMBER(SEARCH("R", 'WetLitterbags placem_collection'!AC117)),"YES","NO")</f>
        <v>NO</v>
      </c>
    </row>
    <row r="191" spans="2:38">
      <c r="B191" t="str">
        <f>'Final data_for_R_analysis_Wetse'!A117</f>
        <v>Wet</v>
      </c>
      <c r="C191" s="263">
        <f>'Final data_for_R_analysis_Wetse'!B117</f>
        <v>116</v>
      </c>
      <c r="D191" t="s">
        <v>3844</v>
      </c>
      <c r="E191" t="s">
        <v>22</v>
      </c>
      <c r="F191" s="387">
        <v>4</v>
      </c>
      <c r="G191" s="16">
        <f>'WetLitterbags placem_collection'!E118</f>
        <v>42762</v>
      </c>
      <c r="H191" t="str">
        <f>'Final data_for_R_analysis_Wetse'!J117</f>
        <v>G897</v>
      </c>
      <c r="I191" t="str">
        <f>'Final data_for_R_analysis_Wetse'!J337</f>
        <v>R459</v>
      </c>
      <c r="J191">
        <f>IFERROR(INDEX('Green_rooibos initial weight'!$C$5:$C$1749,MATCH(H191, 'Green_rooibos initial weight'!$A$5:$A$1749,0)),"")</f>
        <v>2.0299999999999998</v>
      </c>
      <c r="K191">
        <f>IFERROR(INDEX('Green_rooibos initial weight'!$C$5:$C$1749,MATCH(I191, 'Green_rooibos initial weight'!$A$5:$A$1749,0)),"")</f>
        <v>2.2090000000000001</v>
      </c>
      <c r="L191" s="195">
        <f t="shared" si="16"/>
        <v>1.7801999999999998</v>
      </c>
      <c r="M191" s="195">
        <f>AVERAGE(Ashed_controlls!$K$2:$K$11)</f>
        <v>5.5147656768714146</v>
      </c>
      <c r="N191" s="195">
        <f t="shared" si="12"/>
        <v>1.6820261414203348</v>
      </c>
      <c r="O191" s="195">
        <f t="shared" si="17"/>
        <v>1.9592000000000001</v>
      </c>
      <c r="P191" s="195">
        <f>AVERAGE(Ashed_controlls!$K$12:$K$14)</f>
        <v>2.2816647271287041</v>
      </c>
      <c r="Q191" s="195">
        <f t="shared" si="18"/>
        <v>1.9144976246660945</v>
      </c>
      <c r="R191" s="16">
        <f>IF('WetLitterbags placem_collection'!G118="N.A","",'WetLitterbags placem_collection'!G118)</f>
        <v>42816</v>
      </c>
      <c r="S191" s="195">
        <f>IF(IFERROR(INDEX('Both teabags AfterWet'!$C$3:$C$841,MATCH(H191,'Both teabags AfterWet'!$A$3:$A$841,0)),"")="N.A","",(IFERROR(INDEX('Both teabags AfterWet'!$C$3:$C$841,MATCH(H191,'Both teabags AfterWet'!$A$3:$A$841,0)),"")))</f>
        <v>0.67869999999999997</v>
      </c>
      <c r="T191" s="195">
        <f>IFERROR(INDEX('Both teabags AfterWet'!$C$3:$C$841,MATCH(I191,'Both teabags AfterWet'!$A$3:$A$841,0)),"")</f>
        <v>0.68710000000000004</v>
      </c>
      <c r="U191" s="195">
        <f t="shared" si="19"/>
        <v>0.52810000000000001</v>
      </c>
      <c r="V191" s="195">
        <f t="shared" si="19"/>
        <v>0.53649999999999998</v>
      </c>
      <c r="W191" s="195">
        <f>IFERROR(INDEX('Ashed teabags wet'!$K$2:$K$821,MATCH(H191,'Ashed teabags wet'!$A$2:$A$821,0)),"")</f>
        <v>16.164658634537794</v>
      </c>
      <c r="X191" s="195">
        <f>IFERROR(INDEX('Ashed teabags wet'!$K$2:$K$821,MATCH(I191,'Ashed teabags wet'!$A$2:$A$821,0)),"")</f>
        <v>84.783689706613757</v>
      </c>
      <c r="Y191" s="195">
        <f t="shared" si="13"/>
        <v>0.44273443775100596</v>
      </c>
      <c r="Z191" s="195">
        <f t="shared" si="13"/>
        <v>8.1635504724017205E-2</v>
      </c>
      <c r="AA191" s="195">
        <f t="shared" si="20"/>
        <v>0.73678504343746254</v>
      </c>
      <c r="AB191" s="195">
        <f t="shared" si="21"/>
        <v>0.48302297384498738</v>
      </c>
      <c r="AC191" s="195">
        <f t="shared" si="14"/>
        <v>4.2640692614207429E-2</v>
      </c>
      <c r="AD191">
        <f t="shared" si="15"/>
        <v>54</v>
      </c>
      <c r="AE191" s="195">
        <f t="shared" si="22"/>
        <v>0.12495838071560261</v>
      </c>
      <c r="AF191" s="195" t="str">
        <f t="shared" si="23"/>
        <v/>
      </c>
      <c r="AG191" s="255" t="str">
        <f>IF(ISNUMBER(SEARCH("C",'WetLitterbags placem_collection'!AD118)),"YES","NO")</f>
        <v>NO</v>
      </c>
      <c r="AH191" s="255" t="str">
        <f>IF(ISNUMBER(SEARCH("H", 'WetLitterbags placem_collection'!AD118)),"YES","NO")</f>
        <v>NO</v>
      </c>
      <c r="AI191" s="255" t="str">
        <f>IF(ISNUMBER(SEARCH("R", 'WetLitterbags placem_collection'!AD118)),"YES","NO")</f>
        <v>NO</v>
      </c>
      <c r="AJ191" s="255" t="str">
        <f>IF(ISNUMBER(SEARCH("C", 'WetLitterbags placem_collection'!AC118)),"YES","NO")</f>
        <v>NO</v>
      </c>
      <c r="AK191" s="255" t="str">
        <f>IF(ISNUMBER(SEARCH("H", 'WetLitterbags placem_collection'!AC118)),"YES","NO")</f>
        <v>NO</v>
      </c>
      <c r="AL191" s="255" t="str">
        <f>IF(ISNUMBER(SEARCH("R", 'WetLitterbags placem_collection'!AC118)),"YES","NO")</f>
        <v>NO</v>
      </c>
    </row>
    <row r="192" spans="2:38">
      <c r="B192" t="str">
        <f>'Final data_for_R_analysis_Wetse'!A118</f>
        <v>Wet</v>
      </c>
      <c r="C192" s="263">
        <f>'Final data_for_R_analysis_Wetse'!B118</f>
        <v>117</v>
      </c>
      <c r="D192" t="s">
        <v>3844</v>
      </c>
      <c r="E192" t="s">
        <v>22</v>
      </c>
      <c r="F192" s="387">
        <v>5</v>
      </c>
      <c r="G192" s="16">
        <f>'WetLitterbags placem_collection'!E119</f>
        <v>42762</v>
      </c>
      <c r="H192" t="str">
        <f>'Final data_for_R_analysis_Wetse'!J118</f>
        <v>G789</v>
      </c>
      <c r="I192" t="str">
        <f>'Final data_for_R_analysis_Wetse'!J338</f>
        <v>R511</v>
      </c>
      <c r="J192">
        <f>IFERROR(INDEX('Green_rooibos initial weight'!$C$5:$C$1749,MATCH(H192, 'Green_rooibos initial weight'!$A$5:$A$1749,0)),"")</f>
        <v>2.109</v>
      </c>
      <c r="K192">
        <f>IFERROR(INDEX('Green_rooibos initial weight'!$C$5:$C$1749,MATCH(I192, 'Green_rooibos initial weight'!$A$5:$A$1749,0)),"")</f>
        <v>2.1779999999999999</v>
      </c>
      <c r="L192" s="195">
        <f t="shared" si="16"/>
        <v>1.8592</v>
      </c>
      <c r="M192" s="195">
        <f>AVERAGE(Ashed_controlls!$K$2:$K$11)</f>
        <v>5.5147656768714146</v>
      </c>
      <c r="N192" s="195">
        <f t="shared" si="12"/>
        <v>1.7566694765356066</v>
      </c>
      <c r="O192" s="195">
        <f t="shared" si="17"/>
        <v>1.9281999999999999</v>
      </c>
      <c r="P192" s="195">
        <f>AVERAGE(Ashed_controlls!$K$12:$K$14)</f>
        <v>2.2816647271287041</v>
      </c>
      <c r="Q192" s="195">
        <f t="shared" si="18"/>
        <v>1.8842049407315042</v>
      </c>
      <c r="R192" s="16">
        <f>IF('WetLitterbags placem_collection'!G119="N.A","",'WetLitterbags placem_collection'!G119)</f>
        <v>42816</v>
      </c>
      <c r="S192" s="195">
        <f>IF(IFERROR(INDEX('Both teabags AfterWet'!$C$3:$C$841,MATCH(H192,'Both teabags AfterWet'!$A$3:$A$841,0)),"")="N.A","",(IFERROR(INDEX('Both teabags AfterWet'!$C$3:$C$841,MATCH(H192,'Both teabags AfterWet'!$A$3:$A$841,0)),"")))</f>
        <v>0.79800000000000004</v>
      </c>
      <c r="T192" s="195">
        <f>IFERROR(INDEX('Both teabags AfterWet'!$C$3:$C$841,MATCH(I192,'Both teabags AfterWet'!$A$3:$A$841,0)),"")</f>
        <v>0.39700000000000002</v>
      </c>
      <c r="U192" s="195">
        <f t="shared" si="19"/>
        <v>0.64739999999999998</v>
      </c>
      <c r="V192" s="195">
        <f t="shared" si="19"/>
        <v>0.24640000000000001</v>
      </c>
      <c r="W192" s="195">
        <f>IFERROR(INDEX('Ashed teabags wet'!$K$2:$K$821,MATCH(H192,'Ashed teabags wet'!$A$2:$A$821,0)),"")</f>
        <v>28.215353938185377</v>
      </c>
      <c r="X192" s="195">
        <f>IFERROR(INDEX('Ashed teabags wet'!$K$2:$K$821,MATCH(I192,'Ashed teabags wet'!$A$2:$A$821,0)),"")</f>
        <v>90.300678952473106</v>
      </c>
      <c r="Y192" s="195">
        <f t="shared" si="13"/>
        <v>0.46473379860418784</v>
      </c>
      <c r="Z192" s="195">
        <f t="shared" si="13"/>
        <v>2.3899127061106279E-2</v>
      </c>
      <c r="AA192" s="195">
        <f t="shared" si="20"/>
        <v>0.73544607860967293</v>
      </c>
      <c r="AB192" s="195">
        <f t="shared" si="21"/>
        <v>0.48214517267522505</v>
      </c>
      <c r="AC192" s="195">
        <f t="shared" si="14"/>
        <v>1.2683931850761377E-2</v>
      </c>
      <c r="AD192">
        <f t="shared" si="15"/>
        <v>54</v>
      </c>
      <c r="AE192" s="195">
        <f t="shared" si="22"/>
        <v>0.12654860022604164</v>
      </c>
      <c r="AF192" s="195" t="str">
        <f t="shared" si="23"/>
        <v/>
      </c>
      <c r="AG192" s="255" t="str">
        <f>IF(ISNUMBER(SEARCH("C",'WetLitterbags placem_collection'!AD119)),"YES","NO")</f>
        <v>NO</v>
      </c>
      <c r="AH192" s="255" t="str">
        <f>IF(ISNUMBER(SEARCH("H", 'WetLitterbags placem_collection'!AD119)),"YES","NO")</f>
        <v>NO</v>
      </c>
      <c r="AI192" s="255" t="str">
        <f>IF(ISNUMBER(SEARCH("R", 'WetLitterbags placem_collection'!AD119)),"YES","NO")</f>
        <v>NO</v>
      </c>
      <c r="AJ192" s="255" t="str">
        <f>IF(ISNUMBER(SEARCH("C", 'WetLitterbags placem_collection'!AC119)),"YES","NO")</f>
        <v>NO</v>
      </c>
      <c r="AK192" s="255" t="str">
        <f>IF(ISNUMBER(SEARCH("H", 'WetLitterbags placem_collection'!AC119)),"YES","NO")</f>
        <v>NO</v>
      </c>
      <c r="AL192" s="255" t="str">
        <f>IF(ISNUMBER(SEARCH("R", 'WetLitterbags placem_collection'!AC119)),"YES","NO")</f>
        <v>NO</v>
      </c>
    </row>
    <row r="193" spans="2:38">
      <c r="B193" t="str">
        <f>'Final data_for_R_analysis_Wetse'!A119</f>
        <v>Wet</v>
      </c>
      <c r="C193" s="263">
        <f>'Final data_for_R_analysis_Wetse'!B119</f>
        <v>118</v>
      </c>
      <c r="D193" t="s">
        <v>3844</v>
      </c>
      <c r="E193" t="s">
        <v>22</v>
      </c>
      <c r="F193" s="387">
        <v>6</v>
      </c>
      <c r="G193" s="16">
        <f>'WetLitterbags placem_collection'!E120</f>
        <v>42762</v>
      </c>
      <c r="H193" t="str">
        <f>'Final data_for_R_analysis_Wetse'!J119</f>
        <v>G681</v>
      </c>
      <c r="I193" t="str">
        <f>'Final data_for_R_analysis_Wetse'!J339</f>
        <v>R495</v>
      </c>
      <c r="J193">
        <f>IFERROR(INDEX('Green_rooibos initial weight'!$C$5:$C$1749,MATCH(H193, 'Green_rooibos initial weight'!$A$5:$A$1749,0)),"")</f>
        <v>2.0790000000000002</v>
      </c>
      <c r="K193">
        <f>IFERROR(INDEX('Green_rooibos initial weight'!$C$5:$C$1749,MATCH(I193, 'Green_rooibos initial weight'!$A$5:$A$1749,0)),"")</f>
        <v>2.25</v>
      </c>
      <c r="L193" s="195">
        <f t="shared" si="16"/>
        <v>1.8292000000000002</v>
      </c>
      <c r="M193" s="195">
        <f>AVERAGE(Ashed_controlls!$K$2:$K$11)</f>
        <v>5.5147656768714146</v>
      </c>
      <c r="N193" s="195">
        <f t="shared" si="12"/>
        <v>1.7283239062386682</v>
      </c>
      <c r="O193" s="195">
        <f t="shared" si="17"/>
        <v>2.0002</v>
      </c>
      <c r="P193" s="195">
        <f>AVERAGE(Ashed_controlls!$K$12:$K$14)</f>
        <v>2.2816647271287041</v>
      </c>
      <c r="Q193" s="195">
        <f t="shared" si="18"/>
        <v>1.9545621421279717</v>
      </c>
      <c r="R193" s="16">
        <f>IF('WetLitterbags placem_collection'!G120="N.A","",'WetLitterbags placem_collection'!G120)</f>
        <v>42816</v>
      </c>
      <c r="S193" s="195">
        <f>IF(IFERROR(INDEX('Both teabags AfterWet'!$C$3:$C$841,MATCH(H193,'Both teabags AfterWet'!$A$3:$A$841,0)),"")="N.A","",(IFERROR(INDEX('Both teabags AfterWet'!$C$3:$C$841,MATCH(H193,'Both teabags AfterWet'!$A$3:$A$841,0)),"")))</f>
        <v>0.56799999999999995</v>
      </c>
      <c r="T193" s="195">
        <f>IFERROR(INDEX('Both teabags AfterWet'!$C$3:$C$841,MATCH(I193,'Both teabags AfterWet'!$A$3:$A$841,0)),"")</f>
        <v>1.468</v>
      </c>
      <c r="U193" s="195">
        <f t="shared" si="19"/>
        <v>0.41739999999999994</v>
      </c>
      <c r="V193" s="195">
        <f t="shared" si="19"/>
        <v>1.3173999999999999</v>
      </c>
      <c r="W193" s="195">
        <f>IFERROR(INDEX('Ashed teabags wet'!$K$2:$K$821,MATCH(H193,'Ashed teabags wet'!$A$2:$A$821,0)),"")</f>
        <v>15.039447731755478</v>
      </c>
      <c r="X193" s="195">
        <f>IFERROR(INDEX('Ashed teabags wet'!$K$2:$K$821,MATCH(I193,'Ashed teabags wet'!$A$2:$A$821,0)),"")</f>
        <v>90.558576371725209</v>
      </c>
      <c r="Y193" s="195">
        <f t="shared" si="13"/>
        <v>0.35462534516765259</v>
      </c>
      <c r="Z193" s="195">
        <f t="shared" si="13"/>
        <v>0.12438131487889215</v>
      </c>
      <c r="AA193" s="195">
        <f t="shared" si="20"/>
        <v>0.79481546029215111</v>
      </c>
      <c r="AB193" s="195">
        <f t="shared" si="21"/>
        <v>0.52106666755494946</v>
      </c>
      <c r="AC193" s="195">
        <f t="shared" si="14"/>
        <v>6.3636408481479986E-2</v>
      </c>
      <c r="AD193">
        <f t="shared" si="15"/>
        <v>54</v>
      </c>
      <c r="AE193" s="195">
        <f t="shared" si="22"/>
        <v>5.6038645733787251E-2</v>
      </c>
      <c r="AF193" s="195" t="str">
        <f t="shared" si="23"/>
        <v/>
      </c>
      <c r="AG193" s="255" t="str">
        <f>IF(ISNUMBER(SEARCH("C",'WetLitterbags placem_collection'!AD120)),"YES","NO")</f>
        <v>NO</v>
      </c>
      <c r="AH193" s="255" t="str">
        <f>IF(ISNUMBER(SEARCH("H", 'WetLitterbags placem_collection'!AD120)),"YES","NO")</f>
        <v>NO</v>
      </c>
      <c r="AI193" s="255" t="str">
        <f>IF(ISNUMBER(SEARCH("R", 'WetLitterbags placem_collection'!AD120)),"YES","NO")</f>
        <v>NO</v>
      </c>
      <c r="AJ193" s="255" t="str">
        <f>IF(ISNUMBER(SEARCH("C", 'WetLitterbags placem_collection'!AC120)),"YES","NO")</f>
        <v>NO</v>
      </c>
      <c r="AK193" s="255" t="str">
        <f>IF(ISNUMBER(SEARCH("H", 'WetLitterbags placem_collection'!AC120)),"YES","NO")</f>
        <v>NO</v>
      </c>
      <c r="AL193" s="255" t="str">
        <f>IF(ISNUMBER(SEARCH("R", 'WetLitterbags placem_collection'!AC120)),"YES","NO")</f>
        <v>NO</v>
      </c>
    </row>
    <row r="194" spans="2:38">
      <c r="B194" t="str">
        <f>'Final data_for_R_analysis_Wetse'!A120</f>
        <v>Wet</v>
      </c>
      <c r="C194" s="263">
        <f>'Final data_for_R_analysis_Wetse'!B120</f>
        <v>119</v>
      </c>
      <c r="D194" t="s">
        <v>3844</v>
      </c>
      <c r="E194" t="s">
        <v>22</v>
      </c>
      <c r="F194" s="387">
        <v>7</v>
      </c>
      <c r="G194" s="16">
        <f>'WetLitterbags placem_collection'!E121</f>
        <v>42762</v>
      </c>
      <c r="H194" t="str">
        <f>'Final data_for_R_analysis_Wetse'!J120</f>
        <v>G657</v>
      </c>
      <c r="I194" t="str">
        <f>'Final data_for_R_analysis_Wetse'!J340</f>
        <v>R584</v>
      </c>
      <c r="J194">
        <f>IFERROR(INDEX('Green_rooibos initial weight'!$C$5:$C$1749,MATCH(H194, 'Green_rooibos initial weight'!$A$5:$A$1749,0)),"")</f>
        <v>1.9910000000000001</v>
      </c>
      <c r="K194">
        <f>IFERROR(INDEX('Green_rooibos initial weight'!$C$5:$C$1749,MATCH(I194, 'Green_rooibos initial weight'!$A$5:$A$1749,0)),"")</f>
        <v>2.2170000000000001</v>
      </c>
      <c r="L194" s="195">
        <f t="shared" si="16"/>
        <v>1.7412000000000001</v>
      </c>
      <c r="M194" s="195">
        <f>AVERAGE(Ashed_controlls!$K$2:$K$11)</f>
        <v>5.5147656768714146</v>
      </c>
      <c r="N194" s="195">
        <f t="shared" si="12"/>
        <v>1.645176900034315</v>
      </c>
      <c r="O194" s="195">
        <f t="shared" si="17"/>
        <v>1.9672000000000001</v>
      </c>
      <c r="P194" s="195">
        <f>AVERAGE(Ashed_controlls!$K$12:$K$14)</f>
        <v>2.2816647271287041</v>
      </c>
      <c r="Q194" s="195">
        <f t="shared" si="18"/>
        <v>1.9223150914879241</v>
      </c>
      <c r="R194" s="16">
        <f>IF('WetLitterbags placem_collection'!G121="N.A","",'WetLitterbags placem_collection'!G121)</f>
        <v>42816</v>
      </c>
      <c r="S194" s="195">
        <f>IF(IFERROR(INDEX('Both teabags AfterWet'!$C$3:$C$841,MATCH(H194,'Both teabags AfterWet'!$A$3:$A$841,0)),"")="N.A","",(IFERROR(INDEX('Both teabags AfterWet'!$C$3:$C$841,MATCH(H194,'Both teabags AfterWet'!$A$3:$A$841,0)),"")))</f>
        <v>0.70099999999999996</v>
      </c>
      <c r="T194" s="195">
        <f>IFERROR(INDEX('Both teabags AfterWet'!$C$3:$C$841,MATCH(I194,'Both teabags AfterWet'!$A$3:$A$841,0)),"")</f>
        <v>0.435</v>
      </c>
      <c r="U194" s="195">
        <f t="shared" si="19"/>
        <v>0.5504</v>
      </c>
      <c r="V194" s="195">
        <f t="shared" si="19"/>
        <v>0.28439999999999999</v>
      </c>
      <c r="W194" s="195">
        <f>IFERROR(INDEX('Ashed teabags wet'!$K$2:$K$821,MATCH(H194,'Ashed teabags wet'!$A$2:$A$821,0)),"")</f>
        <v>15.711556829035821</v>
      </c>
      <c r="X194" s="195" t="str">
        <f>IFERROR(INDEX('Ashed teabags wet'!$K$2:$K$821,MATCH(I194,'Ashed teabags wet'!$A$2:$A$821,0)),"")</f>
        <v/>
      </c>
      <c r="Y194" s="195">
        <f t="shared" si="13"/>
        <v>0.46392359121298682</v>
      </c>
      <c r="Z194" s="195" t="str">
        <f t="shared" si="13"/>
        <v/>
      </c>
      <c r="AA194" s="195">
        <f t="shared" si="20"/>
        <v>0.71800990446479629</v>
      </c>
      <c r="AB194" s="195">
        <f t="shared" si="21"/>
        <v>0.47071433166813254</v>
      </c>
      <c r="AC194" s="195" t="str">
        <f t="shared" si="14"/>
        <v/>
      </c>
      <c r="AD194">
        <f t="shared" si="15"/>
        <v>54</v>
      </c>
      <c r="AE194" s="195">
        <f t="shared" si="22"/>
        <v>0.14725664552874551</v>
      </c>
      <c r="AF194" s="195" t="str">
        <f t="shared" si="23"/>
        <v/>
      </c>
      <c r="AG194" s="255" t="str">
        <f>IF(ISNUMBER(SEARCH("C",'WetLitterbags placem_collection'!AD121)),"YES","NO")</f>
        <v>NO</v>
      </c>
      <c r="AH194" s="255" t="str">
        <f>IF(ISNUMBER(SEARCH("H", 'WetLitterbags placem_collection'!AD121)),"YES","NO")</f>
        <v>NO</v>
      </c>
      <c r="AI194" s="255" t="str">
        <f>IF(ISNUMBER(SEARCH("R", 'WetLitterbags placem_collection'!AD121)),"YES","NO")</f>
        <v>NO</v>
      </c>
      <c r="AJ194" s="255" t="str">
        <f>IF(ISNUMBER(SEARCH("C", 'WetLitterbags placem_collection'!AC121)),"YES","NO")</f>
        <v>NO</v>
      </c>
      <c r="AK194" s="255" t="str">
        <f>IF(ISNUMBER(SEARCH("H", 'WetLitterbags placem_collection'!AC121)),"YES","NO")</f>
        <v>NO</v>
      </c>
      <c r="AL194" s="255" t="str">
        <f>IF(ISNUMBER(SEARCH("R", 'WetLitterbags placem_collection'!AC121)),"YES","NO")</f>
        <v>NO</v>
      </c>
    </row>
    <row r="195" spans="2:38">
      <c r="B195" t="str">
        <f>'Final data_for_R_analysis_Wetse'!A121</f>
        <v>Wet</v>
      </c>
      <c r="C195" s="263">
        <f>'Final data_for_R_analysis_Wetse'!B121</f>
        <v>120</v>
      </c>
      <c r="D195" t="s">
        <v>3844</v>
      </c>
      <c r="E195" t="s">
        <v>22</v>
      </c>
      <c r="F195" s="387">
        <v>8</v>
      </c>
      <c r="G195" s="16">
        <f>'WetLitterbags placem_collection'!E122</f>
        <v>42762</v>
      </c>
      <c r="H195" t="str">
        <f>'Final data_for_R_analysis_Wetse'!J121</f>
        <v>G758</v>
      </c>
      <c r="I195" t="str">
        <f>'Final data_for_R_analysis_Wetse'!J341</f>
        <v>R454</v>
      </c>
      <c r="J195">
        <f>IFERROR(INDEX('Green_rooibos initial weight'!$C$5:$C$1749,MATCH(H195, 'Green_rooibos initial weight'!$A$5:$A$1749,0)),"")</f>
        <v>2.0310000000000001</v>
      </c>
      <c r="K195">
        <f>IFERROR(INDEX('Green_rooibos initial weight'!$C$5:$C$1749,MATCH(I195, 'Green_rooibos initial weight'!$A$5:$A$1749,0)),"")</f>
        <v>2.1819999999999999</v>
      </c>
      <c r="L195" s="195">
        <f t="shared" si="16"/>
        <v>1.7812000000000001</v>
      </c>
      <c r="M195" s="195">
        <f>AVERAGE(Ashed_controlls!$K$2:$K$11)</f>
        <v>5.5147656768714146</v>
      </c>
      <c r="N195" s="195">
        <f t="shared" si="12"/>
        <v>1.6829709937635664</v>
      </c>
      <c r="O195" s="195">
        <f t="shared" si="17"/>
        <v>1.9321999999999999</v>
      </c>
      <c r="P195" s="195">
        <f>AVERAGE(Ashed_controlls!$K$12:$K$14)</f>
        <v>2.2816647271287041</v>
      </c>
      <c r="Q195" s="195">
        <f t="shared" si="18"/>
        <v>1.8881136741424192</v>
      </c>
      <c r="R195" s="16">
        <f>IF('WetLitterbags placem_collection'!G122="N.A","",'WetLitterbags placem_collection'!G122)</f>
        <v>42816</v>
      </c>
      <c r="S195" s="195">
        <f>IF(IFERROR(INDEX('Both teabags AfterWet'!$C$3:$C$841,MATCH(H195,'Both teabags AfterWet'!$A$3:$A$841,0)),"")="N.A","",(IFERROR(INDEX('Both teabags AfterWet'!$C$3:$C$841,MATCH(H195,'Both teabags AfterWet'!$A$3:$A$841,0)),"")))</f>
        <v>0.67110000000000003</v>
      </c>
      <c r="T195" s="195">
        <f>IFERROR(INDEX('Both teabags AfterWet'!$C$3:$C$841,MATCH(I195,'Both teabags AfterWet'!$A$3:$A$841,0)),"")</f>
        <v>0.3876</v>
      </c>
      <c r="U195" s="195">
        <f t="shared" si="19"/>
        <v>0.52049999999999996</v>
      </c>
      <c r="V195" s="195">
        <f t="shared" si="19"/>
        <v>0.23699999999999999</v>
      </c>
      <c r="W195" s="195">
        <f>IFERROR(INDEX('Ashed teabags wet'!$K$2:$K$821,MATCH(H195,'Ashed teabags wet'!$A$2:$A$821,0)),"")</f>
        <v>20.466444550213541</v>
      </c>
      <c r="X195" s="195" t="str">
        <f>IFERROR(INDEX('Ashed teabags wet'!$K$2:$K$821,MATCH(I195,'Ashed teabags wet'!$A$2:$A$821,0)),"")</f>
        <v/>
      </c>
      <c r="Y195" s="195">
        <f t="shared" si="13"/>
        <v>0.41397215611613847</v>
      </c>
      <c r="Z195" s="195" t="str">
        <f t="shared" si="13"/>
        <v/>
      </c>
      <c r="AA195" s="195">
        <f t="shared" si="20"/>
        <v>0.75402300001000744</v>
      </c>
      <c r="AB195" s="195">
        <f t="shared" si="21"/>
        <v>0.49432386698993369</v>
      </c>
      <c r="AC195" s="195" t="str">
        <f t="shared" si="14"/>
        <v/>
      </c>
      <c r="AD195">
        <f t="shared" si="15"/>
        <v>54</v>
      </c>
      <c r="AE195" s="195">
        <f t="shared" si="22"/>
        <v>0.10448574820664192</v>
      </c>
      <c r="AF195" s="195" t="str">
        <f t="shared" si="23"/>
        <v/>
      </c>
      <c r="AG195" s="255" t="str">
        <f>IF(ISNUMBER(SEARCH("C",'WetLitterbags placem_collection'!AD122)),"YES","NO")</f>
        <v>NO</v>
      </c>
      <c r="AH195" s="255" t="str">
        <f>IF(ISNUMBER(SEARCH("H", 'WetLitterbags placem_collection'!AD122)),"YES","NO")</f>
        <v>NO</v>
      </c>
      <c r="AI195" s="255" t="str">
        <f>IF(ISNUMBER(SEARCH("R", 'WetLitterbags placem_collection'!AD122)),"YES","NO")</f>
        <v>NO</v>
      </c>
      <c r="AJ195" s="255" t="str">
        <f>IF(ISNUMBER(SEARCH("C", 'WetLitterbags placem_collection'!AC122)),"YES","NO")</f>
        <v>NO</v>
      </c>
      <c r="AK195" s="255" t="str">
        <f>IF(ISNUMBER(SEARCH("H", 'WetLitterbags placem_collection'!AC122)),"YES","NO")</f>
        <v>NO</v>
      </c>
      <c r="AL195" s="255" t="str">
        <f>IF(ISNUMBER(SEARCH("R", 'WetLitterbags placem_collection'!AC122)),"YES","NO")</f>
        <v>NO</v>
      </c>
    </row>
    <row r="196" spans="2:38">
      <c r="B196" t="str">
        <f>'Final data_for_R_analysis_Wetse'!A122</f>
        <v>Wet</v>
      </c>
      <c r="C196" s="263">
        <f>'Final data_for_R_analysis_Wetse'!B122</f>
        <v>121</v>
      </c>
      <c r="D196" t="s">
        <v>3845</v>
      </c>
      <c r="E196" t="s">
        <v>22</v>
      </c>
      <c r="F196" s="386">
        <v>1</v>
      </c>
      <c r="G196" s="16">
        <f>'WetLitterbags placem_collection'!E123</f>
        <v>42762</v>
      </c>
      <c r="H196" t="str">
        <f>'Final data_for_R_analysis_Wetse'!J122</f>
        <v>G666</v>
      </c>
      <c r="I196" t="str">
        <f>'Final data_for_R_analysis_Wetse'!J342</f>
        <v>R532</v>
      </c>
      <c r="J196">
        <f>IFERROR(INDEX('Green_rooibos initial weight'!$C$5:$C$1749,MATCH(H196, 'Green_rooibos initial weight'!$A$5:$A$1749,0)),"")</f>
        <v>2.0819999999999999</v>
      </c>
      <c r="K196">
        <f>IFERROR(INDEX('Green_rooibos initial weight'!$C$5:$C$1749,MATCH(I196, 'Green_rooibos initial weight'!$A$5:$A$1749,0)),"")</f>
        <v>2.19</v>
      </c>
      <c r="L196" s="195">
        <f t="shared" si="16"/>
        <v>1.8321999999999998</v>
      </c>
      <c r="M196" s="195">
        <f>AVERAGE(Ashed_controlls!$K$2:$K$11)</f>
        <v>5.5147656768714146</v>
      </c>
      <c r="N196" s="195">
        <f t="shared" si="12"/>
        <v>1.7311584632683619</v>
      </c>
      <c r="O196" s="195">
        <f t="shared" si="17"/>
        <v>1.9401999999999999</v>
      </c>
      <c r="P196" s="195">
        <f>AVERAGE(Ashed_controlls!$K$12:$K$14)</f>
        <v>2.2816647271287041</v>
      </c>
      <c r="Q196" s="195">
        <f t="shared" si="18"/>
        <v>1.8959311409642488</v>
      </c>
      <c r="R196" s="16">
        <f>IF('WetLitterbags placem_collection'!G123="N.A","",'WetLitterbags placem_collection'!G123)</f>
        <v>42816</v>
      </c>
      <c r="S196" s="195">
        <f>IF(IFERROR(INDEX('Both teabags AfterWet'!$C$3:$C$841,MATCH(H196,'Both teabags AfterWet'!$A$3:$A$841,0)),"")="N.A","",(IFERROR(INDEX('Both teabags AfterWet'!$C$3:$C$841,MATCH(H196,'Both teabags AfterWet'!$A$3:$A$841,0)),"")))</f>
        <v>0.63500000000000001</v>
      </c>
      <c r="T196" s="195">
        <f>IFERROR(INDEX('Both teabags AfterWet'!$C$3:$C$841,MATCH(I196,'Both teabags AfterWet'!$A$3:$A$841,0)),"")</f>
        <v>1.7050000000000001</v>
      </c>
      <c r="U196" s="195">
        <f t="shared" si="19"/>
        <v>0.4844</v>
      </c>
      <c r="V196" s="195">
        <f t="shared" si="19"/>
        <v>1.5544</v>
      </c>
      <c r="W196" s="195">
        <f>IFERROR(INDEX('Ashed teabags wet'!$K$2:$K$821,MATCH(H196,'Ashed teabags wet'!$A$2:$A$821,0)),"")</f>
        <v>11.971153846154037</v>
      </c>
      <c r="X196" s="195">
        <f>IFERROR(INDEX('Ashed teabags wet'!$K$2:$K$821,MATCH(I196,'Ashed teabags wet'!$A$2:$A$821,0)),"")</f>
        <v>7.423795476892864</v>
      </c>
      <c r="Y196" s="195">
        <f t="shared" si="13"/>
        <v>0.42641173076922984</v>
      </c>
      <c r="Z196" s="195">
        <f t="shared" si="13"/>
        <v>1.4390045231071773</v>
      </c>
      <c r="AA196" s="195">
        <f t="shared" si="20"/>
        <v>0.75368417171690882</v>
      </c>
      <c r="AB196" s="195">
        <f t="shared" si="21"/>
        <v>0.49410173727759349</v>
      </c>
      <c r="AC196" s="195">
        <f t="shared" si="14"/>
        <v>0.75899619559775577</v>
      </c>
      <c r="AD196">
        <f t="shared" si="15"/>
        <v>54</v>
      </c>
      <c r="AE196" s="195">
        <f t="shared" si="22"/>
        <v>0.10488815710580901</v>
      </c>
      <c r="AF196" s="195">
        <f t="shared" si="23"/>
        <v>1.2388239659209656E-2</v>
      </c>
      <c r="AG196" s="255" t="str">
        <f>IF(ISNUMBER(SEARCH("C",'WetLitterbags placem_collection'!AD123)),"YES","NO")</f>
        <v>NO</v>
      </c>
      <c r="AH196" s="255" t="str">
        <f>IF(ISNUMBER(SEARCH("H", 'WetLitterbags placem_collection'!AD123)),"YES","NO")</f>
        <v>NO</v>
      </c>
      <c r="AI196" s="255" t="str">
        <f>IF(ISNUMBER(SEARCH("R", 'WetLitterbags placem_collection'!AD123)),"YES","NO")</f>
        <v>NO</v>
      </c>
      <c r="AJ196" s="255" t="str">
        <f>IF(ISNUMBER(SEARCH("C", 'WetLitterbags placem_collection'!AC123)),"YES","NO")</f>
        <v>NO</v>
      </c>
      <c r="AK196" s="255" t="str">
        <f>IF(ISNUMBER(SEARCH("H", 'WetLitterbags placem_collection'!AC123)),"YES","NO")</f>
        <v>NO</v>
      </c>
      <c r="AL196" s="255" t="str">
        <f>IF(ISNUMBER(SEARCH("R", 'WetLitterbags placem_collection'!AC123)),"YES","NO")</f>
        <v>NO</v>
      </c>
    </row>
    <row r="197" spans="2:38">
      <c r="B197" t="str">
        <f>'Final data_for_R_analysis_Wetse'!A123</f>
        <v>Wet</v>
      </c>
      <c r="C197" s="263">
        <f>'Final data_for_R_analysis_Wetse'!B123</f>
        <v>122</v>
      </c>
      <c r="D197" t="s">
        <v>3845</v>
      </c>
      <c r="E197" t="s">
        <v>22</v>
      </c>
      <c r="F197" s="386">
        <v>2</v>
      </c>
      <c r="G197" s="16">
        <f>'WetLitterbags placem_collection'!E124</f>
        <v>42762</v>
      </c>
      <c r="H197" t="str">
        <f>'Final data_for_R_analysis_Wetse'!J123</f>
        <v>G860</v>
      </c>
      <c r="I197" t="str">
        <f>'Final data_for_R_analysis_Wetse'!J343</f>
        <v>R11</v>
      </c>
      <c r="J197">
        <f>IFERROR(INDEX('Green_rooibos initial weight'!$C$5:$C$1749,MATCH(H197, 'Green_rooibos initial weight'!$A$5:$A$1749,0)),"")</f>
        <v>1.9570000000000001</v>
      </c>
      <c r="K197">
        <f>IFERROR(INDEX('Green_rooibos initial weight'!$C$5:$C$1749,MATCH(I197, 'Green_rooibos initial weight'!$A$5:$A$1749,0)),"")</f>
        <v>2.2160000000000002</v>
      </c>
      <c r="L197" s="195">
        <f t="shared" si="16"/>
        <v>1.7072000000000001</v>
      </c>
      <c r="M197" s="195">
        <f>AVERAGE(Ashed_controlls!$K$2:$K$11)</f>
        <v>5.5147656768714146</v>
      </c>
      <c r="N197" s="195">
        <f t="shared" si="12"/>
        <v>1.6130519203644513</v>
      </c>
      <c r="O197" s="195">
        <f t="shared" si="17"/>
        <v>1.9662000000000002</v>
      </c>
      <c r="P197" s="195">
        <f>AVERAGE(Ashed_controlls!$K$12:$K$14)</f>
        <v>2.2816647271287041</v>
      </c>
      <c r="Q197" s="195">
        <f t="shared" si="18"/>
        <v>1.9213379081351956</v>
      </c>
      <c r="R197" s="16">
        <f>IF('WetLitterbags placem_collection'!G124="N.A","",'WetLitterbags placem_collection'!G124)</f>
        <v>42816</v>
      </c>
      <c r="S197" s="195">
        <f>IF(IFERROR(INDEX('Both teabags AfterWet'!$C$3:$C$841,MATCH(H197,'Both teabags AfterWet'!$A$3:$A$841,0)),"")="N.A","",(IFERROR(INDEX('Both teabags AfterWet'!$C$3:$C$841,MATCH(H197,'Both teabags AfterWet'!$A$3:$A$841,0)),"")))</f>
        <v>0.76800000000000002</v>
      </c>
      <c r="T197" s="195">
        <f>IFERROR(INDEX('Both teabags AfterWet'!$C$3:$C$841,MATCH(I197,'Both teabags AfterWet'!$A$3:$A$841,0)),"")</f>
        <v>1.25</v>
      </c>
      <c r="U197" s="195">
        <f t="shared" si="19"/>
        <v>0.61739999999999995</v>
      </c>
      <c r="V197" s="195">
        <f t="shared" si="19"/>
        <v>1.0993999999999999</v>
      </c>
      <c r="W197" s="195">
        <f>IFERROR(INDEX('Ashed teabags wet'!$K$2:$K$821,MATCH(H197,'Ashed teabags wet'!$A$2:$A$821,0)),"")</f>
        <v>32.606541129831015</v>
      </c>
      <c r="X197" s="195">
        <f>IFERROR(INDEX('Ashed teabags wet'!$K$2:$K$821,MATCH(I197,'Ashed teabags wet'!$A$2:$A$821,0)),"")</f>
        <v>8.4720121028745492</v>
      </c>
      <c r="Y197" s="195">
        <f t="shared" si="13"/>
        <v>0.41608721506442325</v>
      </c>
      <c r="Z197" s="195">
        <f t="shared" si="13"/>
        <v>1.0062586989409972</v>
      </c>
      <c r="AA197" s="195">
        <f t="shared" si="20"/>
        <v>0.74204970725901187</v>
      </c>
      <c r="AB197" s="195">
        <f t="shared" si="21"/>
        <v>0.48647439240733326</v>
      </c>
      <c r="AC197" s="195">
        <f t="shared" si="14"/>
        <v>0.52372812438684857</v>
      </c>
      <c r="AD197">
        <f t="shared" si="15"/>
        <v>54</v>
      </c>
      <c r="AE197" s="195">
        <f t="shared" si="22"/>
        <v>0.1187058108562804</v>
      </c>
      <c r="AF197" s="195">
        <f t="shared" si="23"/>
        <v>7.1565737583185879E-2</v>
      </c>
      <c r="AG197" s="255" t="str">
        <f>IF(ISNUMBER(SEARCH("C",'WetLitterbags placem_collection'!AD124)),"YES","NO")</f>
        <v>NO</v>
      </c>
      <c r="AH197" s="255" t="str">
        <f>IF(ISNUMBER(SEARCH("H", 'WetLitterbags placem_collection'!AD124)),"YES","NO")</f>
        <v>NO</v>
      </c>
      <c r="AI197" s="255" t="str">
        <f>IF(ISNUMBER(SEARCH("R", 'WetLitterbags placem_collection'!AD124)),"YES","NO")</f>
        <v>NO</v>
      </c>
      <c r="AJ197" s="255" t="str">
        <f>IF(ISNUMBER(SEARCH("C", 'WetLitterbags placem_collection'!AC124)),"YES","NO")</f>
        <v>NO</v>
      </c>
      <c r="AK197" s="255" t="str">
        <f>IF(ISNUMBER(SEARCH("H", 'WetLitterbags placem_collection'!AC124)),"YES","NO")</f>
        <v>NO</v>
      </c>
      <c r="AL197" s="255" t="str">
        <f>IF(ISNUMBER(SEARCH("R", 'WetLitterbags placem_collection'!AC124)),"YES","NO")</f>
        <v>NO</v>
      </c>
    </row>
    <row r="198" spans="2:38">
      <c r="B198" t="str">
        <f>'Final data_for_R_analysis_Wetse'!A124</f>
        <v>Wet</v>
      </c>
      <c r="C198" s="263">
        <f>'Final data_for_R_analysis_Wetse'!B124</f>
        <v>123</v>
      </c>
      <c r="D198" t="s">
        <v>3845</v>
      </c>
      <c r="E198" t="s">
        <v>22</v>
      </c>
      <c r="F198" s="386">
        <v>3</v>
      </c>
      <c r="G198" s="16">
        <f>'WetLitterbags placem_collection'!E125</f>
        <v>42762</v>
      </c>
      <c r="H198" t="str">
        <f>'Final data_for_R_analysis_Wetse'!J124</f>
        <v>G694</v>
      </c>
      <c r="I198" t="str">
        <f>'Final data_for_R_analysis_Wetse'!J344</f>
        <v>R575</v>
      </c>
      <c r="J198">
        <f>IFERROR(INDEX('Green_rooibos initial weight'!$C$5:$C$1749,MATCH(H198, 'Green_rooibos initial weight'!$A$5:$A$1749,0)),"")</f>
        <v>1.992</v>
      </c>
      <c r="K198">
        <f>IFERROR(INDEX('Green_rooibos initial weight'!$C$5:$C$1749,MATCH(I198, 'Green_rooibos initial weight'!$A$5:$A$1749,0)),"")</f>
        <v>2.0990000000000002</v>
      </c>
      <c r="L198" s="195">
        <f t="shared" si="16"/>
        <v>1.7422</v>
      </c>
      <c r="M198" s="195">
        <f>AVERAGE(Ashed_controlls!$K$2:$K$11)</f>
        <v>5.5147656768714146</v>
      </c>
      <c r="N198" s="195">
        <f t="shared" si="12"/>
        <v>1.6461217523775462</v>
      </c>
      <c r="O198" s="195">
        <f t="shared" si="17"/>
        <v>1.8492000000000002</v>
      </c>
      <c r="P198" s="195">
        <f>AVERAGE(Ashed_controlls!$K$12:$K$14)</f>
        <v>2.2816647271287041</v>
      </c>
      <c r="Q198" s="195">
        <f t="shared" si="18"/>
        <v>1.8070074558659361</v>
      </c>
      <c r="R198" s="16">
        <f>IF('WetLitterbags placem_collection'!G125="N.A","",'WetLitterbags placem_collection'!G125)</f>
        <v>42816</v>
      </c>
      <c r="S198" s="195">
        <f>IF(IFERROR(INDEX('Both teabags AfterWet'!$C$3:$C$841,MATCH(H198,'Both teabags AfterWet'!$A$3:$A$841,0)),"")="N.A","",(IFERROR(INDEX('Both teabags AfterWet'!$C$3:$C$841,MATCH(H198,'Both teabags AfterWet'!$A$3:$A$841,0)),"")))</f>
        <v>0.622</v>
      </c>
      <c r="T198" s="195">
        <f>IFERROR(INDEX('Both teabags AfterWet'!$C$3:$C$841,MATCH(I198,'Both teabags AfterWet'!$A$3:$A$841,0)),"")</f>
        <v>1.6872</v>
      </c>
      <c r="U198" s="195">
        <f t="shared" si="19"/>
        <v>0.47139999999999999</v>
      </c>
      <c r="V198" s="195">
        <f t="shared" si="19"/>
        <v>1.5366</v>
      </c>
      <c r="W198" s="195">
        <f>IFERROR(INDEX('Ashed teabags wet'!$K$2:$K$821,MATCH(H198,'Ashed teabags wet'!$A$2:$A$821,0)),"")</f>
        <v>15.574174470182131</v>
      </c>
      <c r="X198" s="195">
        <f>IFERROR(INDEX('Ashed teabags wet'!$K$2:$K$821,MATCH(I198,'Ashed teabags wet'!$A$2:$A$821,0)),"")</f>
        <v>26.082677165354383</v>
      </c>
      <c r="Y198" s="195">
        <f t="shared" si="13"/>
        <v>0.39798334154756143</v>
      </c>
      <c r="Z198" s="195">
        <f t="shared" si="13"/>
        <v>1.1358135826771645</v>
      </c>
      <c r="AA198" s="195">
        <f t="shared" si="20"/>
        <v>0.75822970507938348</v>
      </c>
      <c r="AB198" s="195">
        <f t="shared" si="21"/>
        <v>0.49708170689289755</v>
      </c>
      <c r="AC198" s="195">
        <f t="shared" si="14"/>
        <v>0.62856054024020125</v>
      </c>
      <c r="AD198">
        <f t="shared" si="15"/>
        <v>54</v>
      </c>
      <c r="AE198" s="195">
        <f t="shared" si="22"/>
        <v>9.9489661425910314E-2</v>
      </c>
      <c r="AF198" s="195">
        <f t="shared" si="23"/>
        <v>2.5468812088328466E-2</v>
      </c>
      <c r="AG198" s="255" t="str">
        <f>IF(ISNUMBER(SEARCH("C",'WetLitterbags placem_collection'!AD125)),"YES","NO")</f>
        <v>YES</v>
      </c>
      <c r="AH198" s="255" t="str">
        <f>IF(ISNUMBER(SEARCH("H", 'WetLitterbags placem_collection'!AD125)),"YES","NO")</f>
        <v>YES</v>
      </c>
      <c r="AI198" s="255" t="str">
        <f>IF(ISNUMBER(SEARCH("R", 'WetLitterbags placem_collection'!AD125)),"YES","NO")</f>
        <v>YES</v>
      </c>
      <c r="AJ198" s="255" t="str">
        <f>IF(ISNUMBER(SEARCH("C", 'WetLitterbags placem_collection'!AC125)),"YES","NO")</f>
        <v>NO</v>
      </c>
      <c r="AK198" s="255" t="str">
        <f>IF(ISNUMBER(SEARCH("H", 'WetLitterbags placem_collection'!AC125)),"YES","NO")</f>
        <v>NO</v>
      </c>
      <c r="AL198" s="255" t="str">
        <f>IF(ISNUMBER(SEARCH("R", 'WetLitterbags placem_collection'!AC125)),"YES","NO")</f>
        <v>NO</v>
      </c>
    </row>
    <row r="199" spans="2:38">
      <c r="B199" t="str">
        <f>'Final data_for_R_analysis_Wetse'!A125</f>
        <v>Wet</v>
      </c>
      <c r="C199" s="263">
        <f>'Final data_for_R_analysis_Wetse'!B125</f>
        <v>124</v>
      </c>
      <c r="D199" t="s">
        <v>3845</v>
      </c>
      <c r="E199" t="s">
        <v>22</v>
      </c>
      <c r="F199" s="387">
        <v>4</v>
      </c>
      <c r="G199" s="16">
        <f>'WetLitterbags placem_collection'!E126</f>
        <v>42762</v>
      </c>
      <c r="H199" t="str">
        <f>'Final data_for_R_analysis_Wetse'!J125</f>
        <v>G867</v>
      </c>
      <c r="I199" t="str">
        <f>'Final data_for_R_analysis_Wetse'!J345</f>
        <v>R39</v>
      </c>
      <c r="J199">
        <f>IFERROR(INDEX('Green_rooibos initial weight'!$C$5:$C$1749,MATCH(H199, 'Green_rooibos initial weight'!$A$5:$A$1749,0)),"")</f>
        <v>1.907</v>
      </c>
      <c r="K199">
        <f>IFERROR(INDEX('Green_rooibos initial weight'!$C$5:$C$1749,MATCH(I199, 'Green_rooibos initial weight'!$A$5:$A$1749,0)),"")</f>
        <v>2.1429999999999998</v>
      </c>
      <c r="L199" s="195">
        <f t="shared" si="16"/>
        <v>1.6572</v>
      </c>
      <c r="M199" s="195">
        <f>AVERAGE(Ashed_controlls!$K$2:$K$11)</f>
        <v>5.5147656768714146</v>
      </c>
      <c r="N199" s="195">
        <f t="shared" si="12"/>
        <v>1.565809303202887</v>
      </c>
      <c r="O199" s="195">
        <f t="shared" si="17"/>
        <v>1.8931999999999998</v>
      </c>
      <c r="P199" s="195">
        <f>AVERAGE(Ashed_controlls!$K$12:$K$14)</f>
        <v>2.2816647271287041</v>
      </c>
      <c r="Q199" s="195">
        <f t="shared" si="18"/>
        <v>1.850003523385999</v>
      </c>
      <c r="R199" s="16">
        <f>IF('WetLitterbags placem_collection'!G126="N.A","",'WetLitterbags placem_collection'!G126)</f>
        <v>42816</v>
      </c>
      <c r="S199" s="195" t="str">
        <f>IF(IFERROR(INDEX('Both teabags AfterWet'!$C$3:$C$841,MATCH(H199,'Both teabags AfterWet'!$A$3:$A$841,0)),"")="N.A","",(IFERROR(INDEX('Both teabags AfterWet'!$C$3:$C$841,MATCH(H199,'Both teabags AfterWet'!$A$3:$A$841,0)),"")))</f>
        <v/>
      </c>
      <c r="T199" s="195">
        <f>IFERROR(INDEX('Both teabags AfterWet'!$C$3:$C$841,MATCH(I199,'Both teabags AfterWet'!$A$3:$A$841,0)),"")</f>
        <v>1.4910000000000001</v>
      </c>
      <c r="U199" s="195" t="str">
        <f t="shared" si="19"/>
        <v/>
      </c>
      <c r="V199" s="195">
        <f t="shared" si="19"/>
        <v>1.3404</v>
      </c>
      <c r="W199" s="195">
        <f>IFERROR(INDEX('Ashed teabags wet'!$K$2:$K$821,MATCH(H199,'Ashed teabags wet'!$A$2:$A$821,0)),"")</f>
        <v>31.594202898550535</v>
      </c>
      <c r="X199" s="195">
        <f>IFERROR(INDEX('Ashed teabags wet'!$K$2:$K$821,MATCH(I199,'Ashed teabags wet'!$A$2:$A$821,0)),"")</f>
        <v>7.1782178217821846</v>
      </c>
      <c r="Y199" s="195" t="str">
        <f t="shared" si="13"/>
        <v/>
      </c>
      <c r="Z199" s="195">
        <f t="shared" si="13"/>
        <v>1.2441831683168316</v>
      </c>
      <c r="AA199" s="195" t="str">
        <f t="shared" si="20"/>
        <v/>
      </c>
      <c r="AB199" s="195" t="str">
        <f t="shared" si="21"/>
        <v/>
      </c>
      <c r="AC199" s="195">
        <f t="shared" si="14"/>
        <v>0.67253016147755496</v>
      </c>
      <c r="AD199">
        <f t="shared" si="15"/>
        <v>54</v>
      </c>
      <c r="AE199" s="195" t="str">
        <f t="shared" si="22"/>
        <v/>
      </c>
      <c r="AF199" s="195" t="str">
        <f t="shared" si="23"/>
        <v/>
      </c>
      <c r="AG199" s="255" t="str">
        <f>IF(ISNUMBER(SEARCH("C",'WetLitterbags placem_collection'!AD126)),"YES","NO")</f>
        <v>NO</v>
      </c>
      <c r="AH199" s="255" t="str">
        <f>IF(ISNUMBER(SEARCH("H", 'WetLitterbags placem_collection'!AD126)),"YES","NO")</f>
        <v>NO</v>
      </c>
      <c r="AI199" s="255" t="str">
        <f>IF(ISNUMBER(SEARCH("R", 'WetLitterbags placem_collection'!AD126)),"YES","NO")</f>
        <v>NO</v>
      </c>
      <c r="AJ199" s="255" t="str">
        <f>IF(ISNUMBER(SEARCH("C", 'WetLitterbags placem_collection'!AC126)),"YES","NO")</f>
        <v>NO</v>
      </c>
      <c r="AK199" s="255" t="str">
        <f>IF(ISNUMBER(SEARCH("H", 'WetLitterbags placem_collection'!AC126)),"YES","NO")</f>
        <v>NO</v>
      </c>
      <c r="AL199" s="255" t="str">
        <f>IF(ISNUMBER(SEARCH("R", 'WetLitterbags placem_collection'!AC126)),"YES","NO")</f>
        <v>NO</v>
      </c>
    </row>
    <row r="200" spans="2:38">
      <c r="B200" t="str">
        <f>'Final data_for_R_analysis_Wetse'!A126</f>
        <v>Wet</v>
      </c>
      <c r="C200" s="263">
        <f>'Final data_for_R_analysis_Wetse'!B126</f>
        <v>125</v>
      </c>
      <c r="D200" t="s">
        <v>3845</v>
      </c>
      <c r="E200" t="s">
        <v>22</v>
      </c>
      <c r="F200" s="387">
        <v>5</v>
      </c>
      <c r="G200" s="16">
        <f>'WetLitterbags placem_collection'!E127</f>
        <v>42762</v>
      </c>
      <c r="H200" t="str">
        <f>'Final data_for_R_analysis_Wetse'!J126</f>
        <v>G793</v>
      </c>
      <c r="I200" t="str">
        <f>'Final data_for_R_analysis_Wetse'!J346</f>
        <v>R560</v>
      </c>
      <c r="J200">
        <f>IFERROR(INDEX('Green_rooibos initial weight'!$C$5:$C$1749,MATCH(H200, 'Green_rooibos initial weight'!$A$5:$A$1749,0)),"")</f>
        <v>2.0459999999999998</v>
      </c>
      <c r="K200">
        <f>IFERROR(INDEX('Green_rooibos initial weight'!$C$5:$C$1749,MATCH(I200, 'Green_rooibos initial weight'!$A$5:$A$1749,0)),"")</f>
        <v>2.157</v>
      </c>
      <c r="L200" s="195">
        <f t="shared" si="16"/>
        <v>1.7961999999999998</v>
      </c>
      <c r="M200" s="195">
        <f>AVERAGE(Ashed_controlls!$K$2:$K$11)</f>
        <v>5.5147656768714146</v>
      </c>
      <c r="N200" s="195">
        <f t="shared" si="12"/>
        <v>1.6971437789120354</v>
      </c>
      <c r="O200" s="195">
        <f t="shared" si="17"/>
        <v>1.9072</v>
      </c>
      <c r="P200" s="195">
        <f>AVERAGE(Ashed_controlls!$K$12:$K$14)</f>
        <v>2.2816647271287041</v>
      </c>
      <c r="Q200" s="195">
        <f t="shared" si="18"/>
        <v>1.8636840903242013</v>
      </c>
      <c r="R200" s="16">
        <f>IF('WetLitterbags placem_collection'!G127="N.A","",'WetLitterbags placem_collection'!G127)</f>
        <v>42816</v>
      </c>
      <c r="S200" s="195">
        <f>IF(IFERROR(INDEX('Both teabags AfterWet'!$C$3:$C$841,MATCH(H200,'Both teabags AfterWet'!$A$3:$A$841,0)),"")="N.A","",(IFERROR(INDEX('Both teabags AfterWet'!$C$3:$C$841,MATCH(H200,'Both teabags AfterWet'!$A$3:$A$841,0)),"")))</f>
        <v>0.77200000000000002</v>
      </c>
      <c r="T200" s="195">
        <f>IFERROR(INDEX('Both teabags AfterWet'!$C$3:$C$841,MATCH(I200,'Both teabags AfterWet'!$A$3:$A$841,0)),"")</f>
        <v>1.254</v>
      </c>
      <c r="U200" s="195">
        <f t="shared" si="19"/>
        <v>0.62139999999999995</v>
      </c>
      <c r="V200" s="195">
        <f t="shared" si="19"/>
        <v>1.1033999999999999</v>
      </c>
      <c r="W200" s="195">
        <f>IFERROR(INDEX('Ashed teabags wet'!$K$2:$K$821,MATCH(H200,'Ashed teabags wet'!$A$2:$A$821,0)),"")</f>
        <v>27.918529557873711</v>
      </c>
      <c r="X200" s="195">
        <f>IFERROR(INDEX('Ashed teabags wet'!$K$2:$K$821,MATCH(I200,'Ashed teabags wet'!$A$2:$A$821,0)),"")</f>
        <v>92.570579494799119</v>
      </c>
      <c r="Y200" s="195">
        <f t="shared" si="13"/>
        <v>0.44791425732737272</v>
      </c>
      <c r="Z200" s="195">
        <f t="shared" si="13"/>
        <v>8.1976225854386575E-2</v>
      </c>
      <c r="AA200" s="195">
        <f t="shared" si="20"/>
        <v>0.73607760114790577</v>
      </c>
      <c r="AB200" s="195">
        <f t="shared" si="21"/>
        <v>0.48255918745088366</v>
      </c>
      <c r="AC200" s="195">
        <f t="shared" si="14"/>
        <v>4.3986116681463017E-2</v>
      </c>
      <c r="AD200">
        <f t="shared" si="15"/>
        <v>54</v>
      </c>
      <c r="AE200" s="195">
        <f t="shared" si="22"/>
        <v>0.12579857345854417</v>
      </c>
      <c r="AF200" s="195" t="str">
        <f t="shared" si="23"/>
        <v/>
      </c>
      <c r="AG200" s="255" t="str">
        <f>IF(ISNUMBER(SEARCH("C",'WetLitterbags placem_collection'!AD127)),"YES","NO")</f>
        <v>NO</v>
      </c>
      <c r="AH200" s="255" t="str">
        <f>IF(ISNUMBER(SEARCH("H", 'WetLitterbags placem_collection'!AD127)),"YES","NO")</f>
        <v>NO</v>
      </c>
      <c r="AI200" s="255" t="str">
        <f>IF(ISNUMBER(SEARCH("R", 'WetLitterbags placem_collection'!AD127)),"YES","NO")</f>
        <v>NO</v>
      </c>
      <c r="AJ200" s="255" t="str">
        <f>IF(ISNUMBER(SEARCH("C", 'WetLitterbags placem_collection'!AC127)),"YES","NO")</f>
        <v>NO</v>
      </c>
      <c r="AK200" s="255" t="str">
        <f>IF(ISNUMBER(SEARCH("H", 'WetLitterbags placem_collection'!AC127)),"YES","NO")</f>
        <v>NO</v>
      </c>
      <c r="AL200" s="255" t="str">
        <f>IF(ISNUMBER(SEARCH("R", 'WetLitterbags placem_collection'!AC127)),"YES","NO")</f>
        <v>NO</v>
      </c>
    </row>
    <row r="201" spans="2:38">
      <c r="B201" t="str">
        <f>'Final data_for_R_analysis_Wetse'!A127</f>
        <v>Wet</v>
      </c>
      <c r="C201" s="263">
        <f>'Final data_for_R_analysis_Wetse'!B127</f>
        <v>126</v>
      </c>
      <c r="D201" t="s">
        <v>3845</v>
      </c>
      <c r="E201" t="s">
        <v>22</v>
      </c>
      <c r="F201" s="387">
        <v>6</v>
      </c>
      <c r="G201" s="16">
        <f>'WetLitterbags placem_collection'!E128</f>
        <v>42762</v>
      </c>
      <c r="H201" t="str">
        <f>'Final data_for_R_analysis_Wetse'!J127</f>
        <v>G749</v>
      </c>
      <c r="I201" t="str">
        <f>'Final data_for_R_analysis_Wetse'!J347</f>
        <v>R562</v>
      </c>
      <c r="J201">
        <f>IFERROR(INDEX('Green_rooibos initial weight'!$C$5:$C$1749,MATCH(H201, 'Green_rooibos initial weight'!$A$5:$A$1749,0)),"")</f>
        <v>2.0179999999999998</v>
      </c>
      <c r="K201">
        <f>IFERROR(INDEX('Green_rooibos initial weight'!$C$5:$C$1749,MATCH(I201, 'Green_rooibos initial weight'!$A$5:$A$1749,0)),"")</f>
        <v>2.2810000000000001</v>
      </c>
      <c r="L201" s="195">
        <f t="shared" si="16"/>
        <v>1.7681999999999998</v>
      </c>
      <c r="M201" s="195">
        <f>AVERAGE(Ashed_controlls!$K$2:$K$11)</f>
        <v>5.5147656768714146</v>
      </c>
      <c r="N201" s="195">
        <f t="shared" si="12"/>
        <v>1.6706879133015595</v>
      </c>
      <c r="O201" s="195">
        <f t="shared" si="17"/>
        <v>2.0312000000000001</v>
      </c>
      <c r="P201" s="195">
        <f>AVERAGE(Ashed_controlls!$K$12:$K$14)</f>
        <v>2.2816647271287041</v>
      </c>
      <c r="Q201" s="195">
        <f t="shared" si="18"/>
        <v>1.9848548260625618</v>
      </c>
      <c r="R201" s="16">
        <f>IF('WetLitterbags placem_collection'!G128="N.A","",'WetLitterbags placem_collection'!G128)</f>
        <v>42816</v>
      </c>
      <c r="S201" s="195">
        <f>IF(IFERROR(INDEX('Both teabags AfterWet'!$C$3:$C$841,MATCH(H201,'Both teabags AfterWet'!$A$3:$A$841,0)),"")="N.A","",(IFERROR(INDEX('Both teabags AfterWet'!$C$3:$C$841,MATCH(H201,'Both teabags AfterWet'!$A$3:$A$841,0)),"")))</f>
        <v>0.67800000000000005</v>
      </c>
      <c r="T201" s="195">
        <f>IFERROR(INDEX('Both teabags AfterWet'!$C$3:$C$841,MATCH(I201,'Both teabags AfterWet'!$A$3:$A$841,0)),"")</f>
        <v>0.17599999999999999</v>
      </c>
      <c r="U201" s="195">
        <f t="shared" si="19"/>
        <v>0.52740000000000009</v>
      </c>
      <c r="V201" s="195">
        <f t="shared" si="19"/>
        <v>2.5399999999999978E-2</v>
      </c>
      <c r="W201" s="195">
        <f>IFERROR(INDEX('Ashed teabags wet'!$K$2:$K$821,MATCH(H201,'Ashed teabags wet'!$A$2:$A$821,0)),"")</f>
        <v>14.484818317570399</v>
      </c>
      <c r="X201" s="195" t="str">
        <f>IFERROR(INDEX('Ashed teabags wet'!$K$2:$K$821,MATCH(I201,'Ashed teabags wet'!$A$2:$A$821,0)),"")</f>
        <v/>
      </c>
      <c r="Y201" s="195">
        <f t="shared" si="13"/>
        <v>0.4510070681931338</v>
      </c>
      <c r="Z201" s="195" t="str">
        <f t="shared" si="13"/>
        <v/>
      </c>
      <c r="AA201" s="195">
        <f t="shared" si="20"/>
        <v>0.73004708742887336</v>
      </c>
      <c r="AB201" s="195">
        <f t="shared" si="21"/>
        <v>0.47860569152106669</v>
      </c>
      <c r="AC201" s="195" t="str">
        <f t="shared" si="14"/>
        <v/>
      </c>
      <c r="AD201">
        <f t="shared" si="15"/>
        <v>54</v>
      </c>
      <c r="AE201" s="195">
        <f t="shared" si="22"/>
        <v>0.13296070376618363</v>
      </c>
      <c r="AF201" s="195" t="str">
        <f t="shared" si="23"/>
        <v/>
      </c>
      <c r="AG201" s="255" t="str">
        <f>IF(ISNUMBER(SEARCH("C",'WetLitterbags placem_collection'!AD128)),"YES","NO")</f>
        <v>NO</v>
      </c>
      <c r="AH201" s="255" t="str">
        <f>IF(ISNUMBER(SEARCH("H", 'WetLitterbags placem_collection'!AD128)),"YES","NO")</f>
        <v>NO</v>
      </c>
      <c r="AI201" s="255" t="str">
        <f>IF(ISNUMBER(SEARCH("R", 'WetLitterbags placem_collection'!AD128)),"YES","NO")</f>
        <v>NO</v>
      </c>
      <c r="AJ201" s="255" t="str">
        <f>IF(ISNUMBER(SEARCH("C", 'WetLitterbags placem_collection'!AC128)),"YES","NO")</f>
        <v>NO</v>
      </c>
      <c r="AK201" s="255" t="str">
        <f>IF(ISNUMBER(SEARCH("H", 'WetLitterbags placem_collection'!AC128)),"YES","NO")</f>
        <v>NO</v>
      </c>
      <c r="AL201" s="255" t="str">
        <f>IF(ISNUMBER(SEARCH("R", 'WetLitterbags placem_collection'!AC128)),"YES","NO")</f>
        <v>NO</v>
      </c>
    </row>
    <row r="202" spans="2:38">
      <c r="B202" t="str">
        <f>'Final data_for_R_analysis_Wetse'!A128</f>
        <v>Wet</v>
      </c>
      <c r="C202" s="263">
        <f>'Final data_for_R_analysis_Wetse'!B128</f>
        <v>127</v>
      </c>
      <c r="D202" t="s">
        <v>3845</v>
      </c>
      <c r="E202" t="s">
        <v>22</v>
      </c>
      <c r="F202" s="387">
        <v>7</v>
      </c>
      <c r="G202" s="16">
        <f>'WetLitterbags placem_collection'!E129</f>
        <v>42762</v>
      </c>
      <c r="H202" t="str">
        <f>'Final data_for_R_analysis_Wetse'!J128</f>
        <v>G898</v>
      </c>
      <c r="I202" t="str">
        <f>'Final data_for_R_analysis_Wetse'!J348</f>
        <v>R506</v>
      </c>
      <c r="J202">
        <f>IFERROR(INDEX('Green_rooibos initial weight'!$C$5:$C$1749,MATCH(H202, 'Green_rooibos initial weight'!$A$5:$A$1749,0)),"")</f>
        <v>1.893</v>
      </c>
      <c r="K202">
        <f>IFERROR(INDEX('Green_rooibos initial weight'!$C$5:$C$1749,MATCH(I202, 'Green_rooibos initial weight'!$A$5:$A$1749,0)),"")</f>
        <v>2.1579999999999999</v>
      </c>
      <c r="L202" s="195">
        <f t="shared" si="16"/>
        <v>1.6432</v>
      </c>
      <c r="M202" s="195">
        <f>AVERAGE(Ashed_controlls!$K$2:$K$11)</f>
        <v>5.5147656768714146</v>
      </c>
      <c r="N202" s="195">
        <f t="shared" si="12"/>
        <v>1.552581370397649</v>
      </c>
      <c r="O202" s="195">
        <f t="shared" si="17"/>
        <v>1.9081999999999999</v>
      </c>
      <c r="P202" s="195">
        <f>AVERAGE(Ashed_controlls!$K$12:$K$14)</f>
        <v>2.2816647271287041</v>
      </c>
      <c r="Q202" s="195">
        <f t="shared" si="18"/>
        <v>1.8646612736769299</v>
      </c>
      <c r="R202" s="16">
        <f>IF('WetLitterbags placem_collection'!G129="N.A","",'WetLitterbags placem_collection'!G129)</f>
        <v>42816</v>
      </c>
      <c r="S202" s="195">
        <f>IF(IFERROR(INDEX('Both teabags AfterWet'!$C$3:$C$841,MATCH(H202,'Both teabags AfterWet'!$A$3:$A$841,0)),"")="N.A","",(IFERROR(INDEX('Both teabags AfterWet'!$C$3:$C$841,MATCH(H202,'Both teabags AfterWet'!$A$3:$A$841,0)),"")))</f>
        <v>0.59099999999999997</v>
      </c>
      <c r="T202" s="195">
        <f>IFERROR(INDEX('Both teabags AfterWet'!$C$3:$C$841,MATCH(I202,'Both teabags AfterWet'!$A$3:$A$841,0)),"")</f>
        <v>1.4710000000000001</v>
      </c>
      <c r="U202" s="195">
        <f t="shared" si="19"/>
        <v>0.44039999999999996</v>
      </c>
      <c r="V202" s="195">
        <f t="shared" si="19"/>
        <v>1.3204</v>
      </c>
      <c r="W202" s="195">
        <f>IFERROR(INDEX('Ashed teabags wet'!$K$2:$K$821,MATCH(H202,'Ashed teabags wet'!$A$2:$A$821,0)),"")</f>
        <v>18.25037707390678</v>
      </c>
      <c r="X202" s="195">
        <f>IFERROR(INDEX('Ashed teabags wet'!$K$2:$K$821,MATCH(I202,'Ashed teabags wet'!$A$2:$A$821,0)),"")</f>
        <v>5.8622374206153776</v>
      </c>
      <c r="Y202" s="195">
        <f t="shared" si="13"/>
        <v>0.36002533936651449</v>
      </c>
      <c r="Z202" s="195">
        <f t="shared" si="13"/>
        <v>1.2429950170981945</v>
      </c>
      <c r="AA202" s="195">
        <f t="shared" si="20"/>
        <v>0.76811177421618526</v>
      </c>
      <c r="AB202" s="195">
        <f t="shared" si="21"/>
        <v>0.50356021302533771</v>
      </c>
      <c r="AC202" s="195">
        <f t="shared" si="14"/>
        <v>0.66660633469752373</v>
      </c>
      <c r="AD202">
        <f t="shared" si="15"/>
        <v>54</v>
      </c>
      <c r="AE202" s="195">
        <f t="shared" si="22"/>
        <v>8.7753237272939044E-2</v>
      </c>
      <c r="AF202" s="195">
        <f t="shared" si="23"/>
        <v>2.009121562934087E-2</v>
      </c>
      <c r="AG202" s="255" t="str">
        <f>IF(ISNUMBER(SEARCH("C",'WetLitterbags placem_collection'!AD129)),"YES","NO")</f>
        <v>NO</v>
      </c>
      <c r="AH202" s="255" t="str">
        <f>IF(ISNUMBER(SEARCH("H", 'WetLitterbags placem_collection'!AD129)),"YES","NO")</f>
        <v>NO</v>
      </c>
      <c r="AI202" s="255" t="str">
        <f>IF(ISNUMBER(SEARCH("R", 'WetLitterbags placem_collection'!AD129)),"YES","NO")</f>
        <v>NO</v>
      </c>
      <c r="AJ202" s="255" t="str">
        <f>IF(ISNUMBER(SEARCH("C", 'WetLitterbags placem_collection'!AC129)),"YES","NO")</f>
        <v>NO</v>
      </c>
      <c r="AK202" s="255" t="str">
        <f>IF(ISNUMBER(SEARCH("H", 'WetLitterbags placem_collection'!AC129)),"YES","NO")</f>
        <v>NO</v>
      </c>
      <c r="AL202" s="255" t="str">
        <f>IF(ISNUMBER(SEARCH("R", 'WetLitterbags placem_collection'!AC129)),"YES","NO")</f>
        <v>NO</v>
      </c>
    </row>
    <row r="203" spans="2:38">
      <c r="B203" t="str">
        <f>'Final data_for_R_analysis_Wetse'!A129</f>
        <v>Wet</v>
      </c>
      <c r="C203" s="263">
        <f>'Final data_for_R_analysis_Wetse'!B129</f>
        <v>128</v>
      </c>
      <c r="D203" t="s">
        <v>3845</v>
      </c>
      <c r="E203" t="s">
        <v>22</v>
      </c>
      <c r="F203" s="387">
        <v>8</v>
      </c>
      <c r="G203" s="16">
        <f>'WetLitterbags placem_collection'!E130</f>
        <v>42762</v>
      </c>
      <c r="H203" t="str">
        <f>'Final data_for_R_analysis_Wetse'!J129</f>
        <v>G834</v>
      </c>
      <c r="I203" t="str">
        <f>'Final data_for_R_analysis_Wetse'!J349</f>
        <v>R554</v>
      </c>
      <c r="J203">
        <f>IFERROR(INDEX('Green_rooibos initial weight'!$C$5:$C$1749,MATCH(H203, 'Green_rooibos initial weight'!$A$5:$A$1749,0)),"")</f>
        <v>1.956</v>
      </c>
      <c r="K203">
        <f>IFERROR(INDEX('Green_rooibos initial weight'!$C$5:$C$1749,MATCH(I203, 'Green_rooibos initial weight'!$A$5:$A$1749,0)),"")</f>
        <v>2.1779999999999999</v>
      </c>
      <c r="L203" s="195">
        <f t="shared" si="16"/>
        <v>1.7061999999999999</v>
      </c>
      <c r="M203" s="195">
        <f>AVERAGE(Ashed_controlls!$K$2:$K$11)</f>
        <v>5.5147656768714146</v>
      </c>
      <c r="N203" s="195">
        <f t="shared" si="12"/>
        <v>1.6121070680212199</v>
      </c>
      <c r="O203" s="195">
        <f t="shared" si="17"/>
        <v>1.9281999999999999</v>
      </c>
      <c r="P203" s="195">
        <f>AVERAGE(Ashed_controlls!$K$12:$K$14)</f>
        <v>2.2816647271287041</v>
      </c>
      <c r="Q203" s="195">
        <f t="shared" si="18"/>
        <v>1.8842049407315042</v>
      </c>
      <c r="R203" s="16">
        <f>IF('WetLitterbags placem_collection'!G130="N.A","",'WetLitterbags placem_collection'!G130)</f>
        <v>42816</v>
      </c>
      <c r="S203" s="195">
        <f>IF(IFERROR(INDEX('Both teabags AfterWet'!$C$3:$C$841,MATCH(H203,'Both teabags AfterWet'!$A$3:$A$841,0)),"")="N.A","",(IFERROR(INDEX('Both teabags AfterWet'!$C$3:$C$841,MATCH(H203,'Both teabags AfterWet'!$A$3:$A$841,0)),"")))</f>
        <v>0.54500000000000004</v>
      </c>
      <c r="T203" s="195">
        <f>IFERROR(INDEX('Both teabags AfterWet'!$C$3:$C$841,MATCH(I203,'Both teabags AfterWet'!$A$3:$A$841,0)),"")</f>
        <v>2.5259999999999998</v>
      </c>
      <c r="U203" s="195">
        <f t="shared" si="19"/>
        <v>0.39440000000000003</v>
      </c>
      <c r="V203" s="195">
        <f t="shared" si="19"/>
        <v>2.3754</v>
      </c>
      <c r="W203" s="195">
        <f>IFERROR(INDEX('Ashed teabags wet'!$K$2:$K$821,MATCH(H203,'Ashed teabags wet'!$A$2:$A$821,0)),"")</f>
        <v>12.928123492523619</v>
      </c>
      <c r="X203" s="195">
        <f>IFERROR(INDEX('Ashed teabags wet'!$K$2:$K$821,MATCH(I203,'Ashed teabags wet'!$A$2:$A$821,0)),"")</f>
        <v>66.458433445459406</v>
      </c>
      <c r="Y203" s="195">
        <f t="shared" si="13"/>
        <v>0.3434114809454869</v>
      </c>
      <c r="Z203" s="195">
        <f t="shared" si="13"/>
        <v>0.79674637193655728</v>
      </c>
      <c r="AA203" s="195">
        <f t="shared" si="20"/>
        <v>0.78697973121164511</v>
      </c>
      <c r="AB203" s="195">
        <f t="shared" si="21"/>
        <v>0.51592970502236124</v>
      </c>
      <c r="AC203" s="195">
        <f t="shared" si="14"/>
        <v>0.42285547326249806</v>
      </c>
      <c r="AD203">
        <f t="shared" si="15"/>
        <v>54</v>
      </c>
      <c r="AE203" s="195">
        <f t="shared" si="22"/>
        <v>6.5344737278331233E-2</v>
      </c>
      <c r="AF203" s="195" t="str">
        <f t="shared" si="23"/>
        <v/>
      </c>
      <c r="AG203" s="255" t="str">
        <f>IF(ISNUMBER(SEARCH("C",'WetLitterbags placem_collection'!AD130)),"YES","NO")</f>
        <v>NO</v>
      </c>
      <c r="AH203" s="255" t="str">
        <f>IF(ISNUMBER(SEARCH("H", 'WetLitterbags placem_collection'!AD130)),"YES","NO")</f>
        <v>NO</v>
      </c>
      <c r="AI203" s="255" t="str">
        <f>IF(ISNUMBER(SEARCH("R", 'WetLitterbags placem_collection'!AD130)),"YES","NO")</f>
        <v>NO</v>
      </c>
      <c r="AJ203" s="255" t="str">
        <f>IF(ISNUMBER(SEARCH("C", 'WetLitterbags placem_collection'!AC130)),"YES","NO")</f>
        <v>NO</v>
      </c>
      <c r="AK203" s="255" t="str">
        <f>IF(ISNUMBER(SEARCH("H", 'WetLitterbags placem_collection'!AC130)),"YES","NO")</f>
        <v>NO</v>
      </c>
      <c r="AL203" s="255" t="str">
        <f>IF(ISNUMBER(SEARCH("R", 'WetLitterbags placem_collection'!AC130)),"YES","NO")</f>
        <v>NO</v>
      </c>
    </row>
    <row r="204" spans="2:38">
      <c r="B204" t="str">
        <f>'Final data_for_R_analysis_Wetse'!A130</f>
        <v>Wet</v>
      </c>
      <c r="C204" s="263">
        <f>'Final data_for_R_analysis_Wetse'!B130</f>
        <v>129</v>
      </c>
      <c r="D204" t="s">
        <v>3846</v>
      </c>
      <c r="E204" t="s">
        <v>22</v>
      </c>
      <c r="F204" s="386">
        <v>1</v>
      </c>
      <c r="G204" s="16">
        <f>'WetLitterbags placem_collection'!E131</f>
        <v>42762</v>
      </c>
      <c r="H204" t="str">
        <f>'Final data_for_R_analysis_Wetse'!J130</f>
        <v>G819</v>
      </c>
      <c r="I204" t="str">
        <f>'Final data_for_R_analysis_Wetse'!J350</f>
        <v>R46</v>
      </c>
      <c r="J204">
        <f>IFERROR(INDEX('Green_rooibos initial weight'!$C$5:$C$1749,MATCH(H204, 'Green_rooibos initial weight'!$A$5:$A$1749,0)),"")</f>
        <v>1.9770000000000001</v>
      </c>
      <c r="K204">
        <f>IFERROR(INDEX('Green_rooibos initial weight'!$C$5:$C$1749,MATCH(I204, 'Green_rooibos initial weight'!$A$5:$A$1749,0)),"")</f>
        <v>2.2890000000000001</v>
      </c>
      <c r="L204" s="195">
        <f t="shared" si="16"/>
        <v>1.7272000000000001</v>
      </c>
      <c r="M204" s="195">
        <f>AVERAGE(Ashed_controlls!$K$2:$K$11)</f>
        <v>5.5147656768714146</v>
      </c>
      <c r="N204" s="195">
        <f t="shared" ref="N204:N267" si="24">IFERROR(L204-(M204/100)*L204,"")</f>
        <v>1.631948967229077</v>
      </c>
      <c r="O204" s="195">
        <f t="shared" si="17"/>
        <v>2.0392000000000001</v>
      </c>
      <c r="P204" s="195">
        <f>AVERAGE(Ashed_controlls!$K$12:$K$14)</f>
        <v>2.2816647271287041</v>
      </c>
      <c r="Q204" s="195">
        <f t="shared" si="18"/>
        <v>1.9926722928843916</v>
      </c>
      <c r="R204" s="16">
        <f>IF('WetLitterbags placem_collection'!G131="N.A","",'WetLitterbags placem_collection'!G131)</f>
        <v>42816</v>
      </c>
      <c r="S204" s="195">
        <f>IF(IFERROR(INDEX('Both teabags AfterWet'!$C$3:$C$841,MATCH(H204,'Both teabags AfterWet'!$A$3:$A$841,0)),"")="N.A","",(IFERROR(INDEX('Both teabags AfterWet'!$C$3:$C$841,MATCH(H204,'Both teabags AfterWet'!$A$3:$A$841,0)),"")))</f>
        <v>0.59719999999999995</v>
      </c>
      <c r="T204" s="195">
        <f>IFERROR(INDEX('Both teabags AfterWet'!$C$3:$C$841,MATCH(I204,'Both teabags AfterWet'!$A$3:$A$841,0)),"")</f>
        <v>0.48970000000000002</v>
      </c>
      <c r="U204" s="195">
        <f t="shared" si="19"/>
        <v>0.44659999999999994</v>
      </c>
      <c r="V204" s="195">
        <f t="shared" si="19"/>
        <v>0.33910000000000001</v>
      </c>
      <c r="W204" s="195">
        <f>IFERROR(INDEX('Ashed teabags wet'!$K$2:$K$821,MATCH(H204,'Ashed teabags wet'!$A$2:$A$821,0)),"")</f>
        <v>16.047548291233621</v>
      </c>
      <c r="X204" s="195" t="str">
        <f>IFERROR(INDEX('Ashed teabags wet'!$K$2:$K$821,MATCH(I204,'Ashed teabags wet'!$A$2:$A$821,0)),"")</f>
        <v/>
      </c>
      <c r="Y204" s="195">
        <f t="shared" ref="Y204:Z267" si="25">IFERROR(U204-(W204/100)*U204,"")</f>
        <v>0.37493164933135059</v>
      </c>
      <c r="Z204" s="195" t="str">
        <f t="shared" si="25"/>
        <v/>
      </c>
      <c r="AA204" s="195">
        <f t="shared" si="20"/>
        <v>0.7702552856368079</v>
      </c>
      <c r="AB204" s="195">
        <f t="shared" si="21"/>
        <v>0.50496546041747981</v>
      </c>
      <c r="AC204" s="195" t="str">
        <f t="shared" ref="AC204:AC267" si="26">IFERROR(Z204/Q204,"")</f>
        <v/>
      </c>
      <c r="AD204">
        <f t="shared" ref="AD204:AD267" si="27">IF((R204-G204)&gt;0,(IFERROR(R204-G204,"")),"")</f>
        <v>54</v>
      </c>
      <c r="AE204" s="195">
        <f t="shared" si="22"/>
        <v>8.5207499243696083E-2</v>
      </c>
      <c r="AF204" s="195" t="str">
        <f t="shared" si="23"/>
        <v/>
      </c>
      <c r="AG204" s="255" t="str">
        <f>IF(ISNUMBER(SEARCH("C",'WetLitterbags placem_collection'!AD131)),"YES","NO")</f>
        <v>NO</v>
      </c>
      <c r="AH204" s="255" t="str">
        <f>IF(ISNUMBER(SEARCH("H", 'WetLitterbags placem_collection'!AD131)),"YES","NO")</f>
        <v>NO</v>
      </c>
      <c r="AI204" s="255" t="str">
        <f>IF(ISNUMBER(SEARCH("R", 'WetLitterbags placem_collection'!AD131)),"YES","NO")</f>
        <v>NO</v>
      </c>
      <c r="AJ204" s="255" t="str">
        <f>IF(ISNUMBER(SEARCH("C", 'WetLitterbags placem_collection'!AC131)),"YES","NO")</f>
        <v>NO</v>
      </c>
      <c r="AK204" s="255" t="str">
        <f>IF(ISNUMBER(SEARCH("H", 'WetLitterbags placem_collection'!AC131)),"YES","NO")</f>
        <v>NO</v>
      </c>
      <c r="AL204" s="255" t="str">
        <f>IF(ISNUMBER(SEARCH("R", 'WetLitterbags placem_collection'!AC131)),"YES","NO")</f>
        <v>NO</v>
      </c>
    </row>
    <row r="205" spans="2:38">
      <c r="B205" t="str">
        <f>'Final data_for_R_analysis_Wetse'!A131</f>
        <v>Wet</v>
      </c>
      <c r="C205" s="263">
        <f>'Final data_for_R_analysis_Wetse'!B131</f>
        <v>130</v>
      </c>
      <c r="D205" t="s">
        <v>3846</v>
      </c>
      <c r="E205" t="s">
        <v>22</v>
      </c>
      <c r="F205" s="386">
        <v>2</v>
      </c>
      <c r="G205" s="16">
        <f>'WetLitterbags placem_collection'!E132</f>
        <v>42762</v>
      </c>
      <c r="H205" t="str">
        <f>'Final data_for_R_analysis_Wetse'!J131</f>
        <v>G830</v>
      </c>
      <c r="I205" t="str">
        <f>'Final data_for_R_analysis_Wetse'!J351</f>
        <v>R585</v>
      </c>
      <c r="J205">
        <f>IFERROR(INDEX('Green_rooibos initial weight'!$C$5:$C$1749,MATCH(H205, 'Green_rooibos initial weight'!$A$5:$A$1749,0)),"")</f>
        <v>1.8939999999999999</v>
      </c>
      <c r="K205">
        <f>IFERROR(INDEX('Green_rooibos initial weight'!$C$5:$C$1749,MATCH(I205, 'Green_rooibos initial weight'!$A$5:$A$1749,0)),"")</f>
        <v>2.17</v>
      </c>
      <c r="L205" s="195">
        <f t="shared" ref="L205:L268" si="28">IF(J205&gt;0,(J205*$F$31-($F$29+$F$30)),"")</f>
        <v>1.6441999999999999</v>
      </c>
      <c r="M205" s="195">
        <f>AVERAGE(Ashed_controlls!$K$2:$K$11)</f>
        <v>5.5147656768714146</v>
      </c>
      <c r="N205" s="195">
        <f t="shared" si="24"/>
        <v>1.5535262227408801</v>
      </c>
      <c r="O205" s="195">
        <f t="shared" ref="O205:O268" si="29">IF(K205&gt;0,(K205*$F$32-($F$29+$F$30)),"")</f>
        <v>1.9201999999999999</v>
      </c>
      <c r="P205" s="195">
        <f>AVERAGE(Ashed_controlls!$K$12:$K$14)</f>
        <v>2.2816647271287041</v>
      </c>
      <c r="Q205" s="195">
        <f t="shared" ref="Q205:Q268" si="30">IFERROR(O205-(P205/100)*O205,"")</f>
        <v>1.8763874739096746</v>
      </c>
      <c r="R205" s="16">
        <f>IF('WetLitterbags placem_collection'!G132="N.A","",'WetLitterbags placem_collection'!G132)</f>
        <v>42816</v>
      </c>
      <c r="S205" s="195">
        <f>IF(IFERROR(INDEX('Both teabags AfterWet'!$C$3:$C$841,MATCH(H205,'Both teabags AfterWet'!$A$3:$A$841,0)),"")="N.A","",(IFERROR(INDEX('Both teabags AfterWet'!$C$3:$C$841,MATCH(H205,'Both teabags AfterWet'!$A$3:$A$841,0)),"")))</f>
        <v>0.54</v>
      </c>
      <c r="T205" s="195">
        <f>IFERROR(INDEX('Both teabags AfterWet'!$C$3:$C$841,MATCH(I205,'Both teabags AfterWet'!$A$3:$A$841,0)),"")</f>
        <v>1.6379999999999999</v>
      </c>
      <c r="U205" s="195">
        <f t="shared" ref="U205:V268" si="31">IFERROR(IF(S205&gt;0,S205-($F$29),""),"")</f>
        <v>0.38940000000000002</v>
      </c>
      <c r="V205" s="195">
        <f t="shared" si="31"/>
        <v>1.4873999999999998</v>
      </c>
      <c r="W205" s="195">
        <f>IFERROR(INDEX('Ashed teabags wet'!$K$2:$K$821,MATCH(H205,'Ashed teabags wet'!$A$2:$A$821,0)),"")</f>
        <v>12.680978532201229</v>
      </c>
      <c r="X205" s="195">
        <f>IFERROR(INDEX('Ashed teabags wet'!$K$2:$K$821,MATCH(I205,'Ashed teabags wet'!$A$2:$A$821,0)),"")</f>
        <v>4.8913043478256997</v>
      </c>
      <c r="Y205" s="195">
        <f t="shared" si="25"/>
        <v>0.34002026959560844</v>
      </c>
      <c r="Z205" s="195">
        <f t="shared" si="25"/>
        <v>1.4146467391304405</v>
      </c>
      <c r="AA205" s="195">
        <f t="shared" ref="AA205:AA268" si="32">IFERROR(1-Y205/N205,"")</f>
        <v>0.78113000951106448</v>
      </c>
      <c r="AB205" s="195">
        <f t="shared" ref="AB205:AB268" si="33">IFERROR($F$26*(1-AE205),"")</f>
        <v>0.51209473307613729</v>
      </c>
      <c r="AC205" s="195">
        <f t="shared" si="26"/>
        <v>0.75392037028623793</v>
      </c>
      <c r="AD205">
        <f t="shared" si="27"/>
        <v>54</v>
      </c>
      <c r="AE205" s="195">
        <f t="shared" ref="AE205:AE268" si="34">IFERROR(1-(AA205/$F$25),"")</f>
        <v>7.2292150224388951E-2</v>
      </c>
      <c r="AF205" s="195">
        <f t="shared" ref="AF205:AF268" si="35">IFERROR(LN(AB205/(AC205-(1-AB205)))/AD205,"")</f>
        <v>1.2128824939557812E-2</v>
      </c>
      <c r="AG205" s="255" t="str">
        <f>IF(ISNUMBER(SEARCH("C",'WetLitterbags placem_collection'!AD132)),"YES","NO")</f>
        <v>NO</v>
      </c>
      <c r="AH205" s="255" t="str">
        <f>IF(ISNUMBER(SEARCH("H", 'WetLitterbags placem_collection'!AD132)),"YES","NO")</f>
        <v>NO</v>
      </c>
      <c r="AI205" s="255" t="str">
        <f>IF(ISNUMBER(SEARCH("R", 'WetLitterbags placem_collection'!AD132)),"YES","NO")</f>
        <v>NO</v>
      </c>
      <c r="AJ205" s="255" t="str">
        <f>IF(ISNUMBER(SEARCH("C", 'WetLitterbags placem_collection'!AC132)),"YES","NO")</f>
        <v>NO</v>
      </c>
      <c r="AK205" s="255" t="str">
        <f>IF(ISNUMBER(SEARCH("H", 'WetLitterbags placem_collection'!AC132)),"YES","NO")</f>
        <v>NO</v>
      </c>
      <c r="AL205" s="255" t="str">
        <f>IF(ISNUMBER(SEARCH("R", 'WetLitterbags placem_collection'!AC132)),"YES","NO")</f>
        <v>NO</v>
      </c>
    </row>
    <row r="206" spans="2:38">
      <c r="B206" t="str">
        <f>'Final data_for_R_analysis_Wetse'!A132</f>
        <v>Wet</v>
      </c>
      <c r="C206" s="263">
        <f>'Final data_for_R_analysis_Wetse'!B132</f>
        <v>131</v>
      </c>
      <c r="D206" t="s">
        <v>3846</v>
      </c>
      <c r="E206" t="s">
        <v>22</v>
      </c>
      <c r="F206" s="386">
        <v>3</v>
      </c>
      <c r="G206" s="16">
        <f>'WetLitterbags placem_collection'!E133</f>
        <v>42762</v>
      </c>
      <c r="H206" t="str">
        <f>'Final data_for_R_analysis_Wetse'!J132</f>
        <v>G746</v>
      </c>
      <c r="I206" t="str">
        <f>'Final data_for_R_analysis_Wetse'!J352</f>
        <v>R476</v>
      </c>
      <c r="J206">
        <f>IFERROR(INDEX('Green_rooibos initial weight'!$C$5:$C$1749,MATCH(H206, 'Green_rooibos initial weight'!$A$5:$A$1749,0)),"")</f>
        <v>2.198</v>
      </c>
      <c r="K206">
        <f>IFERROR(INDEX('Green_rooibos initial weight'!$C$5:$C$1749,MATCH(I206, 'Green_rooibos initial weight'!$A$5:$A$1749,0)),"")</f>
        <v>2.2429999999999999</v>
      </c>
      <c r="L206" s="195">
        <f t="shared" si="28"/>
        <v>1.9481999999999999</v>
      </c>
      <c r="M206" s="195">
        <f>AVERAGE(Ashed_controlls!$K$2:$K$11)</f>
        <v>5.5147656768714146</v>
      </c>
      <c r="N206" s="195">
        <f t="shared" si="24"/>
        <v>1.8407613350831911</v>
      </c>
      <c r="O206" s="195">
        <f t="shared" si="29"/>
        <v>1.9931999999999999</v>
      </c>
      <c r="P206" s="195">
        <f>AVERAGE(Ashed_controlls!$K$12:$K$14)</f>
        <v>2.2816647271287041</v>
      </c>
      <c r="Q206" s="195">
        <f t="shared" si="30"/>
        <v>1.9477218586588705</v>
      </c>
      <c r="R206" s="16">
        <f>IF('WetLitterbags placem_collection'!G133="N.A","",'WetLitterbags placem_collection'!G133)</f>
        <v>42816</v>
      </c>
      <c r="S206" s="195">
        <f>IF(IFERROR(INDEX('Both teabags AfterWet'!$C$3:$C$841,MATCH(H206,'Both teabags AfterWet'!$A$3:$A$841,0)),"")="N.A","",(IFERROR(INDEX('Both teabags AfterWet'!$C$3:$C$841,MATCH(H206,'Both teabags AfterWet'!$A$3:$A$841,0)),"")))</f>
        <v>0.6613</v>
      </c>
      <c r="T206" s="195">
        <f>IFERROR(INDEX('Both teabags AfterWet'!$C$3:$C$841,MATCH(I206,'Both teabags AfterWet'!$A$3:$A$841,0)),"")</f>
        <v>0.64019999999999999</v>
      </c>
      <c r="U206" s="195">
        <f t="shared" si="31"/>
        <v>0.51069999999999993</v>
      </c>
      <c r="V206" s="195">
        <f t="shared" si="31"/>
        <v>0.48959999999999998</v>
      </c>
      <c r="W206" s="195">
        <f>IFERROR(INDEX('Ashed teabags wet'!$K$2:$K$821,MATCH(H206,'Ashed teabags wet'!$A$2:$A$821,0)),"")</f>
        <v>16.72456575682352</v>
      </c>
      <c r="X206" s="195" t="str">
        <f>IFERROR(INDEX('Ashed teabags wet'!$K$2:$K$821,MATCH(I206,'Ashed teabags wet'!$A$2:$A$821,0)),"")</f>
        <v/>
      </c>
      <c r="Y206" s="195">
        <f t="shared" si="25"/>
        <v>0.42528764267990221</v>
      </c>
      <c r="Z206" s="195" t="str">
        <f t="shared" si="25"/>
        <v/>
      </c>
      <c r="AA206" s="195">
        <f t="shared" si="32"/>
        <v>0.76896100837500381</v>
      </c>
      <c r="AB206" s="195">
        <f t="shared" si="33"/>
        <v>0.50411695560926617</v>
      </c>
      <c r="AC206" s="195" t="str">
        <f t="shared" si="26"/>
        <v/>
      </c>
      <c r="AD206">
        <f t="shared" si="27"/>
        <v>54</v>
      </c>
      <c r="AE206" s="195">
        <f t="shared" si="34"/>
        <v>8.6744645635387418E-2</v>
      </c>
      <c r="AF206" s="195" t="str">
        <f t="shared" si="35"/>
        <v/>
      </c>
      <c r="AG206" s="255" t="str">
        <f>IF(ISNUMBER(SEARCH("C",'WetLitterbags placem_collection'!AD133)),"YES","NO")</f>
        <v>NO</v>
      </c>
      <c r="AH206" s="255" t="str">
        <f>IF(ISNUMBER(SEARCH("H", 'WetLitterbags placem_collection'!AD133)),"YES","NO")</f>
        <v>NO</v>
      </c>
      <c r="AI206" s="255" t="str">
        <f>IF(ISNUMBER(SEARCH("R", 'WetLitterbags placem_collection'!AD133)),"YES","NO")</f>
        <v>NO</v>
      </c>
      <c r="AJ206" s="255" t="str">
        <f>IF(ISNUMBER(SEARCH("C", 'WetLitterbags placem_collection'!AC133)),"YES","NO")</f>
        <v>NO</v>
      </c>
      <c r="AK206" s="255" t="str">
        <f>IF(ISNUMBER(SEARCH("H", 'WetLitterbags placem_collection'!AC133)),"YES","NO")</f>
        <v>NO</v>
      </c>
      <c r="AL206" s="255" t="str">
        <f>IF(ISNUMBER(SEARCH("R", 'WetLitterbags placem_collection'!AC133)),"YES","NO")</f>
        <v>NO</v>
      </c>
    </row>
    <row r="207" spans="2:38">
      <c r="B207" t="str">
        <f>'Final data_for_R_analysis_Wetse'!A133</f>
        <v>Wet</v>
      </c>
      <c r="C207" s="263">
        <f>'Final data_for_R_analysis_Wetse'!B133</f>
        <v>132</v>
      </c>
      <c r="D207" t="s">
        <v>3846</v>
      </c>
      <c r="E207" t="s">
        <v>22</v>
      </c>
      <c r="F207" s="387">
        <v>4</v>
      </c>
      <c r="G207" s="16">
        <f>'WetLitterbags placem_collection'!E134</f>
        <v>42762</v>
      </c>
      <c r="H207" t="str">
        <f>'Final data_for_R_analysis_Wetse'!J133</f>
        <v>G725</v>
      </c>
      <c r="I207" t="str">
        <f>'Final data_for_R_analysis_Wetse'!J353</f>
        <v>R536</v>
      </c>
      <c r="J207">
        <f>IFERROR(INDEX('Green_rooibos initial weight'!$C$5:$C$1749,MATCH(H207, 'Green_rooibos initial weight'!$A$5:$A$1749,0)),"")</f>
        <v>2.0270000000000001</v>
      </c>
      <c r="K207">
        <f>IFERROR(INDEX('Green_rooibos initial weight'!$C$5:$C$1749,MATCH(I207, 'Green_rooibos initial weight'!$A$5:$A$1749,0)),"")</f>
        <v>2.1970000000000001</v>
      </c>
      <c r="L207" s="195">
        <f t="shared" si="28"/>
        <v>1.7772000000000001</v>
      </c>
      <c r="M207" s="195">
        <f>AVERAGE(Ashed_controlls!$K$2:$K$11)</f>
        <v>5.5147656768714146</v>
      </c>
      <c r="N207" s="195">
        <f t="shared" si="24"/>
        <v>1.6791915843906413</v>
      </c>
      <c r="O207" s="195">
        <f t="shared" si="29"/>
        <v>1.9472</v>
      </c>
      <c r="P207" s="195">
        <f>AVERAGE(Ashed_controlls!$K$12:$K$14)</f>
        <v>2.2816647271287041</v>
      </c>
      <c r="Q207" s="195">
        <f t="shared" si="30"/>
        <v>1.90277142443335</v>
      </c>
      <c r="R207" s="16">
        <f>IF('WetLitterbags placem_collection'!G134="N.A","",'WetLitterbags placem_collection'!G134)</f>
        <v>42816</v>
      </c>
      <c r="S207" s="195">
        <f>IF(IFERROR(INDEX('Both teabags AfterWet'!$C$3:$C$841,MATCH(H207,'Both teabags AfterWet'!$A$3:$A$841,0)),"")="N.A","",(IFERROR(INDEX('Both teabags AfterWet'!$C$3:$C$841,MATCH(H207,'Both teabags AfterWet'!$A$3:$A$841,0)),"")))</f>
        <v>0.56820000000000004</v>
      </c>
      <c r="T207" s="195">
        <f>IFERROR(INDEX('Both teabags AfterWet'!$C$3:$C$841,MATCH(I207,'Both teabags AfterWet'!$A$3:$A$841,0)),"")</f>
        <v>1.593</v>
      </c>
      <c r="U207" s="195">
        <f t="shared" si="31"/>
        <v>0.41760000000000003</v>
      </c>
      <c r="V207" s="195">
        <f t="shared" si="31"/>
        <v>1.4423999999999999</v>
      </c>
      <c r="W207" s="195">
        <f>IFERROR(INDEX('Ashed teabags wet'!$K$2:$K$821,MATCH(H207,'Ashed teabags wet'!$A$2:$A$821,0)),"")</f>
        <v>14.355948869222813</v>
      </c>
      <c r="X207" s="195">
        <f>IFERROR(INDEX('Ashed teabags wet'!$K$2:$K$821,MATCH(I207,'Ashed teabags wet'!$A$2:$A$821,0)),"")</f>
        <v>91.768144179250029</v>
      </c>
      <c r="Y207" s="195">
        <f t="shared" si="25"/>
        <v>0.35764955752212557</v>
      </c>
      <c r="Z207" s="195">
        <f t="shared" si="25"/>
        <v>0.11873628835849748</v>
      </c>
      <c r="AA207" s="195">
        <f t="shared" si="32"/>
        <v>0.78701086829713218</v>
      </c>
      <c r="AB207" s="195">
        <f t="shared" si="33"/>
        <v>0.51595011793351186</v>
      </c>
      <c r="AC207" s="195">
        <f t="shared" si="26"/>
        <v>6.2401761364404257E-2</v>
      </c>
      <c r="AD207">
        <f t="shared" si="27"/>
        <v>54</v>
      </c>
      <c r="AE207" s="195">
        <f t="shared" si="34"/>
        <v>6.5307757366826369E-2</v>
      </c>
      <c r="AF207" s="195" t="str">
        <f t="shared" si="35"/>
        <v/>
      </c>
      <c r="AG207" s="255" t="str">
        <f>IF(ISNUMBER(SEARCH("C",'WetLitterbags placem_collection'!AD134)),"YES","NO")</f>
        <v>NO</v>
      </c>
      <c r="AH207" s="255" t="str">
        <f>IF(ISNUMBER(SEARCH("H", 'WetLitterbags placem_collection'!AD134)),"YES","NO")</f>
        <v>NO</v>
      </c>
      <c r="AI207" s="255" t="str">
        <f>IF(ISNUMBER(SEARCH("R", 'WetLitterbags placem_collection'!AD134)),"YES","NO")</f>
        <v>NO</v>
      </c>
      <c r="AJ207" s="255" t="str">
        <f>IF(ISNUMBER(SEARCH("C", 'WetLitterbags placem_collection'!AC134)),"YES","NO")</f>
        <v>NO</v>
      </c>
      <c r="AK207" s="255" t="str">
        <f>IF(ISNUMBER(SEARCH("H", 'WetLitterbags placem_collection'!AC134)),"YES","NO")</f>
        <v>NO</v>
      </c>
      <c r="AL207" s="255" t="str">
        <f>IF(ISNUMBER(SEARCH("R", 'WetLitterbags placem_collection'!AC134)),"YES","NO")</f>
        <v>NO</v>
      </c>
    </row>
    <row r="208" spans="2:38">
      <c r="B208" t="str">
        <f>'Final data_for_R_analysis_Wetse'!A134</f>
        <v>Wet</v>
      </c>
      <c r="C208" s="263">
        <f>'Final data_for_R_analysis_Wetse'!B134</f>
        <v>133</v>
      </c>
      <c r="D208" t="s">
        <v>3846</v>
      </c>
      <c r="E208" t="s">
        <v>22</v>
      </c>
      <c r="F208" s="387">
        <v>5</v>
      </c>
      <c r="G208" s="16">
        <f>'WetLitterbags placem_collection'!E135</f>
        <v>42762</v>
      </c>
      <c r="H208" t="str">
        <f>'Final data_for_R_analysis_Wetse'!J134</f>
        <v>G846</v>
      </c>
      <c r="I208" t="str">
        <f>'Final data_for_R_analysis_Wetse'!J354</f>
        <v>R524</v>
      </c>
      <c r="J208">
        <f>IFERROR(INDEX('Green_rooibos initial weight'!$C$5:$C$1749,MATCH(H208, 'Green_rooibos initial weight'!$A$5:$A$1749,0)),"")</f>
        <v>2.0350000000000001</v>
      </c>
      <c r="K208">
        <f>IFERROR(INDEX('Green_rooibos initial weight'!$C$5:$C$1749,MATCH(I208, 'Green_rooibos initial weight'!$A$5:$A$1749,0)),"")</f>
        <v>2.1080000000000001</v>
      </c>
      <c r="L208" s="195">
        <f t="shared" si="28"/>
        <v>1.7852000000000001</v>
      </c>
      <c r="M208" s="195">
        <f>AVERAGE(Ashed_controlls!$K$2:$K$11)</f>
        <v>5.5147656768714146</v>
      </c>
      <c r="N208" s="195">
        <f t="shared" si="24"/>
        <v>1.6867504031364917</v>
      </c>
      <c r="O208" s="195">
        <f t="shared" si="29"/>
        <v>1.8582000000000001</v>
      </c>
      <c r="P208" s="195">
        <f>AVERAGE(Ashed_controlls!$K$12:$K$14)</f>
        <v>2.2816647271287041</v>
      </c>
      <c r="Q208" s="195">
        <f t="shared" si="30"/>
        <v>1.8158021060404945</v>
      </c>
      <c r="R208" s="16">
        <f>IF('WetLitterbags placem_collection'!G135="N.A","",'WetLitterbags placem_collection'!G135)</f>
        <v>42816</v>
      </c>
      <c r="S208" s="195">
        <f>IF(IFERROR(INDEX('Both teabags AfterWet'!$C$3:$C$841,MATCH(H208,'Both teabags AfterWet'!$A$3:$A$841,0)),"")="N.A","",(IFERROR(INDEX('Both teabags AfterWet'!$C$3:$C$841,MATCH(H208,'Both teabags AfterWet'!$A$3:$A$841,0)),"")))</f>
        <v>0.59309999999999996</v>
      </c>
      <c r="T208" s="195">
        <f>IFERROR(INDEX('Both teabags AfterWet'!$C$3:$C$841,MATCH(I208,'Both teabags AfterWet'!$A$3:$A$841,0)),"")</f>
        <v>1.5687</v>
      </c>
      <c r="U208" s="195">
        <f t="shared" si="31"/>
        <v>0.44249999999999995</v>
      </c>
      <c r="V208" s="195">
        <f t="shared" si="31"/>
        <v>1.4180999999999999</v>
      </c>
      <c r="W208" s="195">
        <f>IFERROR(INDEX('Ashed teabags wet'!$K$2:$K$821,MATCH(H208,'Ashed teabags wet'!$A$2:$A$821,0)),"")</f>
        <v>11.326378539493467</v>
      </c>
      <c r="X208" s="195">
        <f>IFERROR(INDEX('Ashed teabags wet'!$K$2:$K$821,MATCH(I208,'Ashed teabags wet'!$A$2:$A$821,0)),"")</f>
        <v>2.521432173474186</v>
      </c>
      <c r="Y208" s="195">
        <f t="shared" si="25"/>
        <v>0.39238077496274137</v>
      </c>
      <c r="Z208" s="195">
        <f t="shared" si="25"/>
        <v>1.3823435703479625</v>
      </c>
      <c r="AA208" s="195">
        <f t="shared" si="32"/>
        <v>0.76737472584377975</v>
      </c>
      <c r="AB208" s="195">
        <f t="shared" si="33"/>
        <v>0.50307701741777489</v>
      </c>
      <c r="AC208" s="195">
        <f t="shared" si="26"/>
        <v>0.76128536570666072</v>
      </c>
      <c r="AD208">
        <f t="shared" si="27"/>
        <v>54</v>
      </c>
      <c r="AE208" s="195">
        <f t="shared" si="34"/>
        <v>8.8628591634465792E-2</v>
      </c>
      <c r="AF208" s="195">
        <f t="shared" si="35"/>
        <v>1.1915230541889312E-2</v>
      </c>
      <c r="AG208" s="255" t="str">
        <f>IF(ISNUMBER(SEARCH("C",'WetLitterbags placem_collection'!AD135)),"YES","NO")</f>
        <v>NO</v>
      </c>
      <c r="AH208" s="255" t="str">
        <f>IF(ISNUMBER(SEARCH("H", 'WetLitterbags placem_collection'!AD135)),"YES","NO")</f>
        <v>NO</v>
      </c>
      <c r="AI208" s="255" t="str">
        <f>IF(ISNUMBER(SEARCH("R", 'WetLitterbags placem_collection'!AD135)),"YES","NO")</f>
        <v>NO</v>
      </c>
      <c r="AJ208" s="255" t="str">
        <f>IF(ISNUMBER(SEARCH("C", 'WetLitterbags placem_collection'!AC135)),"YES","NO")</f>
        <v>NO</v>
      </c>
      <c r="AK208" s="255" t="str">
        <f>IF(ISNUMBER(SEARCH("H", 'WetLitterbags placem_collection'!AC135)),"YES","NO")</f>
        <v>NO</v>
      </c>
      <c r="AL208" s="255" t="str">
        <f>IF(ISNUMBER(SEARCH("R", 'WetLitterbags placem_collection'!AC135)),"YES","NO")</f>
        <v>NO</v>
      </c>
    </row>
    <row r="209" spans="2:38">
      <c r="B209" t="str">
        <f>'Final data_for_R_analysis_Wetse'!A135</f>
        <v>Wet</v>
      </c>
      <c r="C209" s="263">
        <f>'Final data_for_R_analysis_Wetse'!B135</f>
        <v>134</v>
      </c>
      <c r="D209" t="s">
        <v>3846</v>
      </c>
      <c r="E209" t="s">
        <v>22</v>
      </c>
      <c r="F209" s="387">
        <v>6</v>
      </c>
      <c r="G209" s="16">
        <f>'WetLitterbags placem_collection'!E136</f>
        <v>42762</v>
      </c>
      <c r="H209" t="str">
        <f>'Final data_for_R_analysis_Wetse'!J135</f>
        <v>G756</v>
      </c>
      <c r="I209" t="str">
        <f>'Final data_for_R_analysis_Wetse'!J355</f>
        <v>R600</v>
      </c>
      <c r="J209">
        <f>IFERROR(INDEX('Green_rooibos initial weight'!$C$5:$C$1749,MATCH(H209, 'Green_rooibos initial weight'!$A$5:$A$1749,0)),"")</f>
        <v>2.1459999999999999</v>
      </c>
      <c r="K209">
        <f>IFERROR(INDEX('Green_rooibos initial weight'!$C$5:$C$1749,MATCH(I209, 'Green_rooibos initial weight'!$A$5:$A$1749,0)),"")</f>
        <v>2.2440000000000002</v>
      </c>
      <c r="L209" s="195">
        <f t="shared" si="28"/>
        <v>1.8961999999999999</v>
      </c>
      <c r="M209" s="195">
        <f>AVERAGE(Ashed_controlls!$K$2:$K$11)</f>
        <v>5.5147656768714146</v>
      </c>
      <c r="N209" s="195">
        <f t="shared" si="24"/>
        <v>1.7916290132351642</v>
      </c>
      <c r="O209" s="195">
        <f t="shared" si="29"/>
        <v>1.9942000000000002</v>
      </c>
      <c r="P209" s="195">
        <f>AVERAGE(Ashed_controlls!$K$12:$K$14)</f>
        <v>2.2816647271287041</v>
      </c>
      <c r="Q209" s="195">
        <f t="shared" si="30"/>
        <v>1.9486990420115995</v>
      </c>
      <c r="R209" s="16">
        <f>IF('WetLitterbags placem_collection'!G136="N.A","",'WetLitterbags placem_collection'!G136)</f>
        <v>42816</v>
      </c>
      <c r="S209" s="195">
        <f>IF(IFERROR(INDEX('Both teabags AfterWet'!$C$3:$C$841,MATCH(H209,'Both teabags AfterWet'!$A$3:$A$841,0)),"")="N.A","",(IFERROR(INDEX('Both teabags AfterWet'!$C$3:$C$841,MATCH(H209,'Both teabags AfterWet'!$A$3:$A$841,0)),"")))</f>
        <v>0.69399999999999995</v>
      </c>
      <c r="T209" s="195">
        <f>IFERROR(INDEX('Both teabags AfterWet'!$C$3:$C$841,MATCH(I209,'Both teabags AfterWet'!$A$3:$A$841,0)),"")</f>
        <v>1.4419999999999999</v>
      </c>
      <c r="U209" s="195">
        <f t="shared" si="31"/>
        <v>0.54339999999999988</v>
      </c>
      <c r="V209" s="195">
        <f t="shared" si="31"/>
        <v>1.2913999999999999</v>
      </c>
      <c r="W209" s="195">
        <f>IFERROR(INDEX('Ashed teabags wet'!$K$2:$K$821,MATCH(H209,'Ashed teabags wet'!$A$2:$A$821,0)),"")</f>
        <v>17.213930348258991</v>
      </c>
      <c r="X209" s="195">
        <f>IFERROR(INDEX('Ashed teabags wet'!$K$2:$K$821,MATCH(I209,'Ashed teabags wet'!$A$2:$A$821,0)),"")</f>
        <v>7.2860635696819331</v>
      </c>
      <c r="Y209" s="195">
        <f t="shared" si="25"/>
        <v>0.44985950248756057</v>
      </c>
      <c r="Z209" s="195">
        <f t="shared" si="25"/>
        <v>1.1973077750611274</v>
      </c>
      <c r="AA209" s="195">
        <f t="shared" si="32"/>
        <v>0.74891034965143577</v>
      </c>
      <c r="AB209" s="195">
        <f t="shared" si="33"/>
        <v>0.49097210570972993</v>
      </c>
      <c r="AC209" s="195">
        <f t="shared" si="26"/>
        <v>0.61441389832324889</v>
      </c>
      <c r="AD209">
        <f t="shared" si="27"/>
        <v>54</v>
      </c>
      <c r="AE209" s="195">
        <f t="shared" si="34"/>
        <v>0.11055777951135892</v>
      </c>
      <c r="AF209" s="195">
        <f t="shared" si="35"/>
        <v>2.8495508829070364E-2</v>
      </c>
      <c r="AG209" s="255" t="str">
        <f>IF(ISNUMBER(SEARCH("C",'WetLitterbags placem_collection'!AD136)),"YES","NO")</f>
        <v>NO</v>
      </c>
      <c r="AH209" s="255" t="str">
        <f>IF(ISNUMBER(SEARCH("H", 'WetLitterbags placem_collection'!AD136)),"YES","NO")</f>
        <v>NO</v>
      </c>
      <c r="AI209" s="255" t="str">
        <f>IF(ISNUMBER(SEARCH("R", 'WetLitterbags placem_collection'!AD136)),"YES","NO")</f>
        <v>NO</v>
      </c>
      <c r="AJ209" s="255" t="str">
        <f>IF(ISNUMBER(SEARCH("C", 'WetLitterbags placem_collection'!AC136)),"YES","NO")</f>
        <v>NO</v>
      </c>
      <c r="AK209" s="255" t="str">
        <f>IF(ISNUMBER(SEARCH("H", 'WetLitterbags placem_collection'!AC136)),"YES","NO")</f>
        <v>NO</v>
      </c>
      <c r="AL209" s="255" t="str">
        <f>IF(ISNUMBER(SEARCH("R", 'WetLitterbags placem_collection'!AC136)),"YES","NO")</f>
        <v>NO</v>
      </c>
    </row>
    <row r="210" spans="2:38">
      <c r="B210" t="str">
        <f>'Final data_for_R_analysis_Wetse'!A136</f>
        <v>Wet</v>
      </c>
      <c r="C210" s="263">
        <f>'Final data_for_R_analysis_Wetse'!B136</f>
        <v>135</v>
      </c>
      <c r="D210" t="s">
        <v>3846</v>
      </c>
      <c r="E210" t="s">
        <v>22</v>
      </c>
      <c r="F210" s="387">
        <v>7</v>
      </c>
      <c r="G210" s="16">
        <f>'WetLitterbags placem_collection'!E137</f>
        <v>42762</v>
      </c>
      <c r="H210" t="str">
        <f>'Final data_for_R_analysis_Wetse'!J136</f>
        <v>G745</v>
      </c>
      <c r="I210" t="str">
        <f>'Final data_for_R_analysis_Wetse'!J356</f>
        <v>R432</v>
      </c>
      <c r="J210">
        <f>IFERROR(INDEX('Green_rooibos initial weight'!$C$5:$C$1749,MATCH(H210, 'Green_rooibos initial weight'!$A$5:$A$1749,0)),"")</f>
        <v>1.9570000000000001</v>
      </c>
      <c r="K210">
        <f>IFERROR(INDEX('Green_rooibos initial weight'!$C$5:$C$1749,MATCH(I210, 'Green_rooibos initial weight'!$A$5:$A$1749,0)),"")</f>
        <v>2.2240000000000002</v>
      </c>
      <c r="L210" s="195">
        <f t="shared" si="28"/>
        <v>1.7072000000000001</v>
      </c>
      <c r="M210" s="195">
        <f>AVERAGE(Ashed_controlls!$K$2:$K$11)</f>
        <v>5.5147656768714146</v>
      </c>
      <c r="N210" s="195">
        <f t="shared" si="24"/>
        <v>1.6130519203644513</v>
      </c>
      <c r="O210" s="195">
        <f t="shared" si="29"/>
        <v>1.9742000000000002</v>
      </c>
      <c r="P210" s="195">
        <f>AVERAGE(Ashed_controlls!$K$12:$K$14)</f>
        <v>2.2816647271287041</v>
      </c>
      <c r="Q210" s="195">
        <f t="shared" si="30"/>
        <v>1.9291553749570254</v>
      </c>
      <c r="R210" s="16">
        <f>IF('WetLitterbags placem_collection'!G137="N.A","",'WetLitterbags placem_collection'!G137)</f>
        <v>42816</v>
      </c>
      <c r="S210" s="195">
        <f>IF(IFERROR(INDEX('Both teabags AfterWet'!$C$3:$C$841,MATCH(H210,'Both teabags AfterWet'!$A$3:$A$841,0)),"")="N.A","",(IFERROR(INDEX('Both teabags AfterWet'!$C$3:$C$841,MATCH(H210,'Both teabags AfterWet'!$A$3:$A$841,0)),"")))</f>
        <v>0.61099999999999999</v>
      </c>
      <c r="T210" s="195">
        <f>IFERROR(INDEX('Both teabags AfterWet'!$C$3:$C$841,MATCH(I210,'Both teabags AfterWet'!$A$3:$A$841,0)),"")</f>
        <v>1.6830000000000001</v>
      </c>
      <c r="U210" s="195">
        <f t="shared" si="31"/>
        <v>0.46039999999999998</v>
      </c>
      <c r="V210" s="195">
        <f t="shared" si="31"/>
        <v>1.5324</v>
      </c>
      <c r="W210" s="195">
        <f>IFERROR(INDEX('Ashed teabags wet'!$K$2:$K$821,MATCH(H210,'Ashed teabags wet'!$A$2:$A$821,0)),"")</f>
        <v>14.334637964774716</v>
      </c>
      <c r="X210" s="195">
        <f>IFERROR(INDEX('Ashed teabags wet'!$K$2:$K$821,MATCH(I210,'Ashed teabags wet'!$A$2:$A$821,0)),"")</f>
        <v>13.470757430488819</v>
      </c>
      <c r="Y210" s="195">
        <f t="shared" si="25"/>
        <v>0.3944033268101772</v>
      </c>
      <c r="Z210" s="195">
        <f t="shared" si="25"/>
        <v>1.3259741131351892</v>
      </c>
      <c r="AA210" s="195">
        <f t="shared" si="32"/>
        <v>0.75549247867913261</v>
      </c>
      <c r="AB210" s="195">
        <f t="shared" si="33"/>
        <v>0.49528723067800623</v>
      </c>
      <c r="AC210" s="195">
        <f t="shared" si="26"/>
        <v>0.68733401692164231</v>
      </c>
      <c r="AD210">
        <f t="shared" si="27"/>
        <v>54</v>
      </c>
      <c r="AE210" s="195">
        <f t="shared" si="34"/>
        <v>0.10274052413404677</v>
      </c>
      <c r="AF210" s="195">
        <f t="shared" si="35"/>
        <v>1.8476361767432385E-2</v>
      </c>
      <c r="AG210" s="255" t="str">
        <f>IF(ISNUMBER(SEARCH("C",'WetLitterbags placem_collection'!AD137)),"YES","NO")</f>
        <v>NO</v>
      </c>
      <c r="AH210" s="255" t="str">
        <f>IF(ISNUMBER(SEARCH("H", 'WetLitterbags placem_collection'!AD137)),"YES","NO")</f>
        <v>NO</v>
      </c>
      <c r="AI210" s="255" t="str">
        <f>IF(ISNUMBER(SEARCH("R", 'WetLitterbags placem_collection'!AD137)),"YES","NO")</f>
        <v>NO</v>
      </c>
      <c r="AJ210" s="255" t="str">
        <f>IF(ISNUMBER(SEARCH("C", 'WetLitterbags placem_collection'!AC137)),"YES","NO")</f>
        <v>NO</v>
      </c>
      <c r="AK210" s="255" t="str">
        <f>IF(ISNUMBER(SEARCH("H", 'WetLitterbags placem_collection'!AC137)),"YES","NO")</f>
        <v>NO</v>
      </c>
      <c r="AL210" s="255" t="str">
        <f>IF(ISNUMBER(SEARCH("R", 'WetLitterbags placem_collection'!AC137)),"YES","NO")</f>
        <v>NO</v>
      </c>
    </row>
    <row r="211" spans="2:38">
      <c r="B211" t="str">
        <f>'Final data_for_R_analysis_Wetse'!A137</f>
        <v>Wet</v>
      </c>
      <c r="C211" s="263">
        <f>'Final data_for_R_analysis_Wetse'!B137</f>
        <v>136</v>
      </c>
      <c r="D211" t="s">
        <v>3846</v>
      </c>
      <c r="E211" t="s">
        <v>22</v>
      </c>
      <c r="F211" s="387">
        <v>8</v>
      </c>
      <c r="G211" s="16">
        <f>'WetLitterbags placem_collection'!E138</f>
        <v>42762</v>
      </c>
      <c r="H211" t="str">
        <f>'Final data_for_R_analysis_Wetse'!J137</f>
        <v>G832</v>
      </c>
      <c r="I211" t="str">
        <f>'Final data_for_R_analysis_Wetse'!J357</f>
        <v>R474</v>
      </c>
      <c r="J211">
        <f>IFERROR(INDEX('Green_rooibos initial weight'!$C$5:$C$1749,MATCH(H211, 'Green_rooibos initial weight'!$A$5:$A$1749,0)),"")</f>
        <v>2.0470000000000002</v>
      </c>
      <c r="K211">
        <f>IFERROR(INDEX('Green_rooibos initial weight'!$C$5:$C$1749,MATCH(I211, 'Green_rooibos initial weight'!$A$5:$A$1749,0)),"")</f>
        <v>2.258</v>
      </c>
      <c r="L211" s="195">
        <f t="shared" si="28"/>
        <v>1.7972000000000001</v>
      </c>
      <c r="M211" s="195">
        <f>AVERAGE(Ashed_controlls!$K$2:$K$11)</f>
        <v>5.5147656768714146</v>
      </c>
      <c r="N211" s="195">
        <f t="shared" si="24"/>
        <v>1.698088631255267</v>
      </c>
      <c r="O211" s="195">
        <f t="shared" si="29"/>
        <v>2.0082</v>
      </c>
      <c r="P211" s="195">
        <f>AVERAGE(Ashed_controlls!$K$12:$K$14)</f>
        <v>2.2816647271287041</v>
      </c>
      <c r="Q211" s="195">
        <f t="shared" si="30"/>
        <v>1.9623796089498013</v>
      </c>
      <c r="R211" s="16">
        <f>IF('WetLitterbags placem_collection'!G138="N.A","",'WetLitterbags placem_collection'!G138)</f>
        <v>42816</v>
      </c>
      <c r="S211" s="195">
        <f>IF(IFERROR(INDEX('Both teabags AfterWet'!$C$3:$C$841,MATCH(H211,'Both teabags AfterWet'!$A$3:$A$841,0)),"")="N.A","",(IFERROR(INDEX('Both teabags AfterWet'!$C$3:$C$841,MATCH(H211,'Both teabags AfterWet'!$A$3:$A$841,0)),"")))</f>
        <v>0.5796</v>
      </c>
      <c r="T211" s="195">
        <f>IFERROR(INDEX('Both teabags AfterWet'!$C$3:$C$841,MATCH(I211,'Both teabags AfterWet'!$A$3:$A$841,0)),"")</f>
        <v>1.5827</v>
      </c>
      <c r="U211" s="195">
        <f t="shared" si="31"/>
        <v>0.42899999999999999</v>
      </c>
      <c r="V211" s="195">
        <f t="shared" si="31"/>
        <v>1.4320999999999999</v>
      </c>
      <c r="W211" s="195">
        <f>IFERROR(INDEX('Ashed teabags wet'!$K$2:$K$821,MATCH(H211,'Ashed teabags wet'!$A$2:$A$821,0)),"")</f>
        <v>15.08132084770828</v>
      </c>
      <c r="X211" s="195">
        <f>IFERROR(INDEX('Ashed teabags wet'!$K$2:$K$821,MATCH(I211,'Ashed teabags wet'!$A$2:$A$821,0)),"")</f>
        <v>5.0395256916988718</v>
      </c>
      <c r="Y211" s="195">
        <f t="shared" si="25"/>
        <v>0.36430113356333149</v>
      </c>
      <c r="Z211" s="195">
        <f t="shared" si="25"/>
        <v>1.3599289525691804</v>
      </c>
      <c r="AA211" s="195">
        <f t="shared" si="32"/>
        <v>0.78546400531871441</v>
      </c>
      <c r="AB211" s="195">
        <f t="shared" si="33"/>
        <v>0.51493602248922854</v>
      </c>
      <c r="AC211" s="195">
        <f t="shared" si="26"/>
        <v>0.69299994066742676</v>
      </c>
      <c r="AD211">
        <f t="shared" si="27"/>
        <v>54</v>
      </c>
      <c r="AE211" s="195">
        <f t="shared" si="34"/>
        <v>6.7144886794875958E-2</v>
      </c>
      <c r="AF211" s="195">
        <f t="shared" si="35"/>
        <v>1.6792824109442335E-2</v>
      </c>
      <c r="AG211" s="255" t="str">
        <f>IF(ISNUMBER(SEARCH("C",'WetLitterbags placem_collection'!AD138)),"YES","NO")</f>
        <v>NO</v>
      </c>
      <c r="AH211" s="255" t="str">
        <f>IF(ISNUMBER(SEARCH("H", 'WetLitterbags placem_collection'!AD138)),"YES","NO")</f>
        <v>NO</v>
      </c>
      <c r="AI211" s="255" t="str">
        <f>IF(ISNUMBER(SEARCH("R", 'WetLitterbags placem_collection'!AD138)),"YES","NO")</f>
        <v>NO</v>
      </c>
      <c r="AJ211" s="255" t="str">
        <f>IF(ISNUMBER(SEARCH("C", 'WetLitterbags placem_collection'!AC138)),"YES","NO")</f>
        <v>NO</v>
      </c>
      <c r="AK211" s="255" t="str">
        <f>IF(ISNUMBER(SEARCH("H", 'WetLitterbags placem_collection'!AC138)),"YES","NO")</f>
        <v>NO</v>
      </c>
      <c r="AL211" s="255" t="str">
        <f>IF(ISNUMBER(SEARCH("R", 'WetLitterbags placem_collection'!AC138)),"YES","NO")</f>
        <v>NO</v>
      </c>
    </row>
    <row r="212" spans="2:38">
      <c r="B212" t="str">
        <f>'Final data_for_R_analysis_Wetse'!A138</f>
        <v>Wet</v>
      </c>
      <c r="C212" s="263">
        <f>'Final data_for_R_analysis_Wetse'!B138</f>
        <v>137</v>
      </c>
      <c r="D212" t="s">
        <v>3848</v>
      </c>
      <c r="E212" t="s">
        <v>22</v>
      </c>
      <c r="F212" s="386">
        <v>1</v>
      </c>
      <c r="G212" s="16">
        <f>'WetLitterbags placem_collection'!E139</f>
        <v>42762</v>
      </c>
      <c r="H212" t="str">
        <f>'Final data_for_R_analysis_Wetse'!J138</f>
        <v>G805</v>
      </c>
      <c r="I212" t="str">
        <f>'Final data_for_R_analysis_Wetse'!J358</f>
        <v>R34</v>
      </c>
      <c r="J212">
        <f>IFERROR(INDEX('Green_rooibos initial weight'!$C$5:$C$1749,MATCH(H212, 'Green_rooibos initial weight'!$A$5:$A$1749,0)),"")</f>
        <v>1.9810000000000001</v>
      </c>
      <c r="K212">
        <f>IFERROR(INDEX('Green_rooibos initial weight'!$C$5:$C$1749,MATCH(I212, 'Green_rooibos initial weight'!$A$5:$A$1749,0)),"")</f>
        <v>2.1349999999999998</v>
      </c>
      <c r="L212" s="195">
        <f t="shared" si="28"/>
        <v>1.7312000000000001</v>
      </c>
      <c r="M212" s="195">
        <f>AVERAGE(Ashed_controlls!$K$2:$K$11)</f>
        <v>5.5147656768714146</v>
      </c>
      <c r="N212" s="195">
        <f t="shared" si="24"/>
        <v>1.6357283766020021</v>
      </c>
      <c r="O212" s="195">
        <f t="shared" si="29"/>
        <v>1.8851999999999998</v>
      </c>
      <c r="P212" s="195">
        <f>AVERAGE(Ashed_controlls!$K$12:$K$14)</f>
        <v>2.2816647271287041</v>
      </c>
      <c r="Q212" s="195">
        <f t="shared" si="30"/>
        <v>1.8421860565641694</v>
      </c>
      <c r="R212" s="16">
        <f>IF('WetLitterbags placem_collection'!G139="N.A","",'WetLitterbags placem_collection'!G139)</f>
        <v>42816</v>
      </c>
      <c r="S212" s="195">
        <f>IF(IFERROR(INDEX('Both teabags AfterWet'!$C$3:$C$841,MATCH(H212,'Both teabags AfterWet'!$A$3:$A$841,0)),"")="N.A","",(IFERROR(INDEX('Both teabags AfterWet'!$C$3:$C$841,MATCH(H212,'Both teabags AfterWet'!$A$3:$A$841,0)),"")))</f>
        <v>1.5740000000000001</v>
      </c>
      <c r="T212" s="195">
        <f>IFERROR(INDEX('Both teabags AfterWet'!$C$3:$C$841,MATCH(I212,'Both teabags AfterWet'!$A$3:$A$841,0)),"")</f>
        <v>1.571</v>
      </c>
      <c r="U212" s="195">
        <f t="shared" si="31"/>
        <v>1.4234</v>
      </c>
      <c r="V212" s="195">
        <f t="shared" si="31"/>
        <v>1.4203999999999999</v>
      </c>
      <c r="W212" s="195">
        <f>IFERROR(INDEX('Ashed teabags wet'!$K$2:$K$821,MATCH(H212,'Ashed teabags wet'!$A$2:$A$821,0)),"")</f>
        <v>15.662650602409292</v>
      </c>
      <c r="X212" s="195">
        <f>IFERROR(INDEX('Ashed teabags wet'!$K$2:$K$821,MATCH(I212,'Ashed teabags wet'!$A$2:$A$821,0)),"")</f>
        <v>7.897334649555618</v>
      </c>
      <c r="Y212" s="195">
        <f t="shared" si="25"/>
        <v>1.200457831325306</v>
      </c>
      <c r="Z212" s="195">
        <f t="shared" si="25"/>
        <v>1.3082262586377118</v>
      </c>
      <c r="AA212" s="195">
        <f t="shared" si="32"/>
        <v>0.26610197114811318</v>
      </c>
      <c r="AB212" s="195">
        <f t="shared" si="33"/>
        <v>0.17445164854365619</v>
      </c>
      <c r="AC212" s="195">
        <f t="shared" si="26"/>
        <v>0.71014882236035526</v>
      </c>
      <c r="AD212">
        <f t="shared" si="27"/>
        <v>54</v>
      </c>
      <c r="AE212" s="195">
        <f t="shared" si="34"/>
        <v>0.6839644048122171</v>
      </c>
      <c r="AF212" s="195" t="str">
        <f t="shared" si="35"/>
        <v/>
      </c>
      <c r="AG212" s="255" t="str">
        <f>IF(ISNUMBER(SEARCH("C",'WetLitterbags placem_collection'!AD139)),"YES","NO")</f>
        <v>NO</v>
      </c>
      <c r="AH212" s="255" t="str">
        <f>IF(ISNUMBER(SEARCH("H", 'WetLitterbags placem_collection'!AD139)),"YES","NO")</f>
        <v>NO</v>
      </c>
      <c r="AI212" s="255" t="str">
        <f>IF(ISNUMBER(SEARCH("R", 'WetLitterbags placem_collection'!AD139)),"YES","NO")</f>
        <v>NO</v>
      </c>
      <c r="AJ212" s="255" t="str">
        <f>IF(ISNUMBER(SEARCH("C", 'WetLitterbags placem_collection'!AC139)),"YES","NO")</f>
        <v>NO</v>
      </c>
      <c r="AK212" s="255" t="str">
        <f>IF(ISNUMBER(SEARCH("H", 'WetLitterbags placem_collection'!AC139)),"YES","NO")</f>
        <v>NO</v>
      </c>
      <c r="AL212" s="255" t="str">
        <f>IF(ISNUMBER(SEARCH("R", 'WetLitterbags placem_collection'!AC139)),"YES","NO")</f>
        <v>NO</v>
      </c>
    </row>
    <row r="213" spans="2:38">
      <c r="B213" t="str">
        <f>'Final data_for_R_analysis_Wetse'!A139</f>
        <v>Wet</v>
      </c>
      <c r="C213" s="263">
        <f>'Final data_for_R_analysis_Wetse'!B139</f>
        <v>138</v>
      </c>
      <c r="D213" t="s">
        <v>3848</v>
      </c>
      <c r="E213" t="s">
        <v>22</v>
      </c>
      <c r="F213" s="386">
        <v>2</v>
      </c>
      <c r="G213" s="16">
        <f>'WetLitterbags placem_collection'!E140</f>
        <v>42762</v>
      </c>
      <c r="H213" t="str">
        <f>'Final data_for_R_analysis_Wetse'!J139</f>
        <v>G815</v>
      </c>
      <c r="I213" t="str">
        <f>'Final data_for_R_analysis_Wetse'!J359</f>
        <v>R426</v>
      </c>
      <c r="J213">
        <f>IFERROR(INDEX('Green_rooibos initial weight'!$C$5:$C$1749,MATCH(H213, 'Green_rooibos initial weight'!$A$5:$A$1749,0)),"")</f>
        <v>1.998</v>
      </c>
      <c r="K213">
        <f>IFERROR(INDEX('Green_rooibos initial weight'!$C$5:$C$1749,MATCH(I213, 'Green_rooibos initial weight'!$A$5:$A$1749,0)),"")</f>
        <v>2.153</v>
      </c>
      <c r="L213" s="195">
        <f t="shared" si="28"/>
        <v>1.7482</v>
      </c>
      <c r="M213" s="195">
        <f>AVERAGE(Ashed_controlls!$K$2:$K$11)</f>
        <v>5.5147656768714146</v>
      </c>
      <c r="N213" s="195">
        <f t="shared" si="24"/>
        <v>1.6517908664369338</v>
      </c>
      <c r="O213" s="195">
        <f t="shared" si="29"/>
        <v>1.9032</v>
      </c>
      <c r="P213" s="195">
        <f>AVERAGE(Ashed_controlls!$K$12:$K$14)</f>
        <v>2.2816647271287041</v>
      </c>
      <c r="Q213" s="195">
        <f t="shared" si="30"/>
        <v>1.8597753569132864</v>
      </c>
      <c r="R213" s="16">
        <f>IF('WetLitterbags placem_collection'!G140="N.A","",'WetLitterbags placem_collection'!G140)</f>
        <v>42816</v>
      </c>
      <c r="S213" s="195">
        <f>IF(IFERROR(INDEX('Both teabags AfterWet'!$C$3:$C$841,MATCH(H213,'Both teabags AfterWet'!$A$3:$A$841,0)),"")="N.A","",(IFERROR(INDEX('Both teabags AfterWet'!$C$3:$C$841,MATCH(H213,'Both teabags AfterWet'!$A$3:$A$841,0)),"")))</f>
        <v>0.64300000000000002</v>
      </c>
      <c r="T213" s="195">
        <f>IFERROR(INDEX('Both teabags AfterWet'!$C$3:$C$841,MATCH(I213,'Both teabags AfterWet'!$A$3:$A$841,0)),"")</f>
        <v>1.613</v>
      </c>
      <c r="U213" s="195">
        <f t="shared" si="31"/>
        <v>0.4924</v>
      </c>
      <c r="V213" s="195">
        <f t="shared" si="31"/>
        <v>1.4623999999999999</v>
      </c>
      <c r="W213" s="195">
        <f>IFERROR(INDEX('Ashed teabags wet'!$K$2:$K$821,MATCH(H213,'Ashed teabags wet'!$A$2:$A$821,0)),"")</f>
        <v>14.392059553350164</v>
      </c>
      <c r="X213" s="195">
        <f>IFERROR(INDEX('Ashed teabags wet'!$K$2:$K$821,MATCH(I213,'Ashed teabags wet'!$A$2:$A$821,0)),"")</f>
        <v>4.7996041563577378</v>
      </c>
      <c r="Y213" s="195">
        <f t="shared" si="25"/>
        <v>0.42153349875930379</v>
      </c>
      <c r="Z213" s="195">
        <f t="shared" si="25"/>
        <v>1.3922105888174243</v>
      </c>
      <c r="AA213" s="195">
        <f t="shared" si="32"/>
        <v>0.74480213728957678</v>
      </c>
      <c r="AB213" s="195">
        <f t="shared" si="33"/>
        <v>0.48827883584779858</v>
      </c>
      <c r="AC213" s="195">
        <f t="shared" si="26"/>
        <v>0.74859072825231399</v>
      </c>
      <c r="AD213">
        <f t="shared" si="27"/>
        <v>54</v>
      </c>
      <c r="AE213" s="195">
        <f t="shared" si="34"/>
        <v>0.11543689158007508</v>
      </c>
      <c r="AF213" s="195">
        <f t="shared" si="35"/>
        <v>1.3395870378251826E-2</v>
      </c>
      <c r="AG213" s="255" t="str">
        <f>IF(ISNUMBER(SEARCH("C",'WetLitterbags placem_collection'!AD140)),"YES","NO")</f>
        <v>NO</v>
      </c>
      <c r="AH213" s="255" t="str">
        <f>IF(ISNUMBER(SEARCH("H", 'WetLitterbags placem_collection'!AD140)),"YES","NO")</f>
        <v>NO</v>
      </c>
      <c r="AI213" s="255" t="str">
        <f>IF(ISNUMBER(SEARCH("R", 'WetLitterbags placem_collection'!AD140)),"YES","NO")</f>
        <v>NO</v>
      </c>
      <c r="AJ213" s="255" t="str">
        <f>IF(ISNUMBER(SEARCH("C", 'WetLitterbags placem_collection'!AC140)),"YES","NO")</f>
        <v>NO</v>
      </c>
      <c r="AK213" s="255" t="str">
        <f>IF(ISNUMBER(SEARCH("H", 'WetLitterbags placem_collection'!AC140)),"YES","NO")</f>
        <v>NO</v>
      </c>
      <c r="AL213" s="255" t="str">
        <f>IF(ISNUMBER(SEARCH("R", 'WetLitterbags placem_collection'!AC140)),"YES","NO")</f>
        <v>NO</v>
      </c>
    </row>
    <row r="214" spans="2:38">
      <c r="B214" t="str">
        <f>'Final data_for_R_analysis_Wetse'!A140</f>
        <v>Wet</v>
      </c>
      <c r="C214" s="263">
        <f>'Final data_for_R_analysis_Wetse'!B140</f>
        <v>139</v>
      </c>
      <c r="D214" t="s">
        <v>3848</v>
      </c>
      <c r="E214" t="s">
        <v>22</v>
      </c>
      <c r="F214" s="386">
        <v>3</v>
      </c>
      <c r="G214" s="16">
        <f>'WetLitterbags placem_collection'!E141</f>
        <v>42762</v>
      </c>
      <c r="H214" t="str">
        <f>'Final data_for_R_analysis_Wetse'!J140</f>
        <v>G798</v>
      </c>
      <c r="I214" t="str">
        <f>'Final data_for_R_analysis_Wetse'!J360</f>
        <v>R563</v>
      </c>
      <c r="J214">
        <f>IFERROR(INDEX('Green_rooibos initial weight'!$C$5:$C$1749,MATCH(H214, 'Green_rooibos initial weight'!$A$5:$A$1749,0)),"")</f>
        <v>2.089</v>
      </c>
      <c r="K214">
        <f>IFERROR(INDEX('Green_rooibos initial weight'!$C$5:$C$1749,MATCH(I214, 'Green_rooibos initial weight'!$A$5:$A$1749,0)),"")</f>
        <v>2.1150000000000002</v>
      </c>
      <c r="L214" s="195">
        <f t="shared" si="28"/>
        <v>1.8391999999999999</v>
      </c>
      <c r="M214" s="195">
        <f>AVERAGE(Ashed_controlls!$K$2:$K$11)</f>
        <v>5.5147656768714146</v>
      </c>
      <c r="N214" s="195">
        <f t="shared" si="24"/>
        <v>1.7377724296709809</v>
      </c>
      <c r="O214" s="195">
        <f t="shared" si="29"/>
        <v>1.8652000000000002</v>
      </c>
      <c r="P214" s="195">
        <f>AVERAGE(Ashed_controlls!$K$12:$K$14)</f>
        <v>2.2816647271287041</v>
      </c>
      <c r="Q214" s="195">
        <f t="shared" si="30"/>
        <v>1.8226423895095956</v>
      </c>
      <c r="R214" s="16">
        <f>IF('WetLitterbags placem_collection'!G141="N.A","",'WetLitterbags placem_collection'!G141)</f>
        <v>42816</v>
      </c>
      <c r="S214" s="195">
        <f>IF(IFERROR(INDEX('Both teabags AfterWet'!$C$3:$C$841,MATCH(H214,'Both teabags AfterWet'!$A$3:$A$841,0)),"")="N.A","",(IFERROR(INDEX('Both teabags AfterWet'!$C$3:$C$841,MATCH(H214,'Both teabags AfterWet'!$A$3:$A$841,0)),"")))</f>
        <v>0.73499999999999999</v>
      </c>
      <c r="T214" s="195">
        <f>IFERROR(INDEX('Both teabags AfterWet'!$C$3:$C$841,MATCH(I214,'Both teabags AfterWet'!$A$3:$A$841,0)),"")</f>
        <v>2.5009999999999999</v>
      </c>
      <c r="U214" s="195">
        <f t="shared" si="31"/>
        <v>0.58440000000000003</v>
      </c>
      <c r="V214" s="195">
        <f t="shared" si="31"/>
        <v>2.3504</v>
      </c>
      <c r="W214" s="195">
        <f>IFERROR(INDEX('Ashed teabags wet'!$K$2:$K$821,MATCH(H214,'Ashed teabags wet'!$A$2:$A$821,0)),"")</f>
        <v>19.704433497536826</v>
      </c>
      <c r="X214" s="195">
        <f>IFERROR(INDEX('Ashed teabags wet'!$K$2:$K$821,MATCH(I214,'Ashed teabags wet'!$A$2:$A$821,0)),"")</f>
        <v>90.192212912765001</v>
      </c>
      <c r="Y214" s="195">
        <f t="shared" si="25"/>
        <v>0.46924729064039483</v>
      </c>
      <c r="Z214" s="195">
        <f t="shared" si="25"/>
        <v>0.23052222769837138</v>
      </c>
      <c r="AA214" s="195">
        <f t="shared" si="32"/>
        <v>0.72997195568971063</v>
      </c>
      <c r="AB214" s="195">
        <f t="shared" si="33"/>
        <v>0.47855643650916901</v>
      </c>
      <c r="AC214" s="195">
        <f t="shared" si="26"/>
        <v>0.12647693756337811</v>
      </c>
      <c r="AD214">
        <f t="shared" si="27"/>
        <v>54</v>
      </c>
      <c r="AE214" s="195">
        <f t="shared" si="34"/>
        <v>0.13304993386020114</v>
      </c>
      <c r="AF214" s="195" t="str">
        <f t="shared" si="35"/>
        <v/>
      </c>
      <c r="AG214" s="255" t="str">
        <f>IF(ISNUMBER(SEARCH("C",'WetLitterbags placem_collection'!AD141)),"YES","NO")</f>
        <v>NO</v>
      </c>
      <c r="AH214" s="255" t="str">
        <f>IF(ISNUMBER(SEARCH("H", 'WetLitterbags placem_collection'!AD141)),"YES","NO")</f>
        <v>NO</v>
      </c>
      <c r="AI214" s="255" t="str">
        <f>IF(ISNUMBER(SEARCH("R", 'WetLitterbags placem_collection'!AD141)),"YES","NO")</f>
        <v>NO</v>
      </c>
      <c r="AJ214" s="255" t="str">
        <f>IF(ISNUMBER(SEARCH("C", 'WetLitterbags placem_collection'!AC141)),"YES","NO")</f>
        <v>NO</v>
      </c>
      <c r="AK214" s="255" t="str">
        <f>IF(ISNUMBER(SEARCH("H", 'WetLitterbags placem_collection'!AC141)),"YES","NO")</f>
        <v>NO</v>
      </c>
      <c r="AL214" s="255" t="str">
        <f>IF(ISNUMBER(SEARCH("R", 'WetLitterbags placem_collection'!AC141)),"YES","NO")</f>
        <v>NO</v>
      </c>
    </row>
    <row r="215" spans="2:38">
      <c r="B215" t="str">
        <f>'Final data_for_R_analysis_Wetse'!A141</f>
        <v>Wet</v>
      </c>
      <c r="C215" s="263">
        <f>'Final data_for_R_analysis_Wetse'!B141</f>
        <v>140</v>
      </c>
      <c r="D215" t="s">
        <v>3848</v>
      </c>
      <c r="E215" t="s">
        <v>22</v>
      </c>
      <c r="F215" s="387">
        <v>4</v>
      </c>
      <c r="G215" s="16">
        <f>'WetLitterbags placem_collection'!E142</f>
        <v>42762</v>
      </c>
      <c r="H215" t="str">
        <f>'Final data_for_R_analysis_Wetse'!J141</f>
        <v>G787</v>
      </c>
      <c r="I215" t="str">
        <f>'Final data_for_R_analysis_Wetse'!J361</f>
        <v>R535</v>
      </c>
      <c r="J215">
        <f>IFERROR(INDEX('Green_rooibos initial weight'!$C$5:$C$1749,MATCH(H215, 'Green_rooibos initial weight'!$A$5:$A$1749,0)),"")</f>
        <v>2.11</v>
      </c>
      <c r="K215">
        <f>IFERROR(INDEX('Green_rooibos initial weight'!$C$5:$C$1749,MATCH(I215, 'Green_rooibos initial weight'!$A$5:$A$1749,0)),"")</f>
        <v>2.1259999999999999</v>
      </c>
      <c r="L215" s="195">
        <f t="shared" si="28"/>
        <v>1.8601999999999999</v>
      </c>
      <c r="M215" s="195">
        <f>AVERAGE(Ashed_controlls!$K$2:$K$11)</f>
        <v>5.5147656768714146</v>
      </c>
      <c r="N215" s="195">
        <f t="shared" si="24"/>
        <v>1.7576143288788377</v>
      </c>
      <c r="O215" s="195">
        <f t="shared" si="29"/>
        <v>1.8761999999999999</v>
      </c>
      <c r="P215" s="195">
        <f>AVERAGE(Ashed_controlls!$K$12:$K$14)</f>
        <v>2.2816647271287041</v>
      </c>
      <c r="Q215" s="195">
        <f t="shared" si="30"/>
        <v>1.8333914063896111</v>
      </c>
      <c r="R215" s="16">
        <f>IF('WetLitterbags placem_collection'!G142="N.A","",'WetLitterbags placem_collection'!G142)</f>
        <v>42816</v>
      </c>
      <c r="S215" s="195">
        <f>IF(IFERROR(INDEX('Both teabags AfterWet'!$C$3:$C$841,MATCH(H215,'Both teabags AfterWet'!$A$3:$A$841,0)),"")="N.A","",(IFERROR(INDEX('Both teabags AfterWet'!$C$3:$C$841,MATCH(H215,'Both teabags AfterWet'!$A$3:$A$841,0)),"")))</f>
        <v>0.67869999999999997</v>
      </c>
      <c r="T215" s="195">
        <f>IFERROR(INDEX('Both teabags AfterWet'!$C$3:$C$841,MATCH(I215,'Both teabags AfterWet'!$A$3:$A$841,0)),"")</f>
        <v>1.5517000000000001</v>
      </c>
      <c r="U215" s="195">
        <f t="shared" si="31"/>
        <v>0.52810000000000001</v>
      </c>
      <c r="V215" s="195">
        <f t="shared" si="31"/>
        <v>1.4011</v>
      </c>
      <c r="W215" s="195">
        <f>IFERROR(INDEX('Ashed teabags wet'!$K$2:$K$821,MATCH(H215,'Ashed teabags wet'!$A$2:$A$821,0)),"")</f>
        <v>15.0602409638563</v>
      </c>
      <c r="X215" s="195">
        <f>IFERROR(INDEX('Ashed teabags wet'!$K$2:$K$821,MATCH(I215,'Ashed teabags wet'!$A$2:$A$821,0)),"")</f>
        <v>6.5646594274426793</v>
      </c>
      <c r="Y215" s="195">
        <f t="shared" si="25"/>
        <v>0.4485668674698749</v>
      </c>
      <c r="Z215" s="195">
        <f t="shared" si="25"/>
        <v>1.3091225567621005</v>
      </c>
      <c r="AA215" s="195">
        <f t="shared" si="32"/>
        <v>0.74478652108166954</v>
      </c>
      <c r="AB215" s="195">
        <f t="shared" si="33"/>
        <v>0.48826859814380241</v>
      </c>
      <c r="AC215" s="195">
        <f t="shared" si="26"/>
        <v>0.71404423092615987</v>
      </c>
      <c r="AD215">
        <f t="shared" si="27"/>
        <v>54</v>
      </c>
      <c r="AE215" s="195">
        <f t="shared" si="34"/>
        <v>0.11545543814528558</v>
      </c>
      <c r="AF215" s="195">
        <f t="shared" si="35"/>
        <v>1.6315750041474775E-2</v>
      </c>
      <c r="AG215" s="255" t="str">
        <f>IF(ISNUMBER(SEARCH("C",'WetLitterbags placem_collection'!AD142)),"YES","NO")</f>
        <v>NO</v>
      </c>
      <c r="AH215" s="255" t="str">
        <f>IF(ISNUMBER(SEARCH("H", 'WetLitterbags placem_collection'!AD142)),"YES","NO")</f>
        <v>NO</v>
      </c>
      <c r="AI215" s="255" t="str">
        <f>IF(ISNUMBER(SEARCH("R", 'WetLitterbags placem_collection'!AD142)),"YES","NO")</f>
        <v>NO</v>
      </c>
      <c r="AJ215" s="255" t="str">
        <f>IF(ISNUMBER(SEARCH("C", 'WetLitterbags placem_collection'!AC142)),"YES","NO")</f>
        <v>NO</v>
      </c>
      <c r="AK215" s="255" t="str">
        <f>IF(ISNUMBER(SEARCH("H", 'WetLitterbags placem_collection'!AC142)),"YES","NO")</f>
        <v>NO</v>
      </c>
      <c r="AL215" s="255" t="str">
        <f>IF(ISNUMBER(SEARCH("R", 'WetLitterbags placem_collection'!AC142)),"YES","NO")</f>
        <v>NO</v>
      </c>
    </row>
    <row r="216" spans="2:38">
      <c r="B216" t="str">
        <f>'Final data_for_R_analysis_Wetse'!A142</f>
        <v>Wet</v>
      </c>
      <c r="C216" s="263">
        <f>'Final data_for_R_analysis_Wetse'!B142</f>
        <v>141</v>
      </c>
      <c r="D216" t="s">
        <v>3848</v>
      </c>
      <c r="E216" t="s">
        <v>22</v>
      </c>
      <c r="F216" s="387">
        <v>5</v>
      </c>
      <c r="G216" s="16">
        <f>'WetLitterbags placem_collection'!E143</f>
        <v>42762</v>
      </c>
      <c r="H216" t="str">
        <f>'Final data_for_R_analysis_Wetse'!J142</f>
        <v>G900</v>
      </c>
      <c r="I216" t="str">
        <f>'Final data_for_R_analysis_Wetse'!J362</f>
        <v>R581</v>
      </c>
      <c r="J216">
        <f>IFERROR(INDEX('Green_rooibos initial weight'!$C$5:$C$1749,MATCH(H216, 'Green_rooibos initial weight'!$A$5:$A$1749,0)),"")</f>
        <v>2.0910000000000002</v>
      </c>
      <c r="K216">
        <f>IFERROR(INDEX('Green_rooibos initial weight'!$C$5:$C$1749,MATCH(I216, 'Green_rooibos initial weight'!$A$5:$A$1749,0)),"")</f>
        <v>2.069</v>
      </c>
      <c r="L216" s="195">
        <f t="shared" si="28"/>
        <v>1.8412000000000002</v>
      </c>
      <c r="M216" s="195">
        <f>AVERAGE(Ashed_controlls!$K$2:$K$11)</f>
        <v>5.5147656768714146</v>
      </c>
      <c r="N216" s="195">
        <f t="shared" si="24"/>
        <v>1.7396621343574437</v>
      </c>
      <c r="O216" s="195">
        <f t="shared" si="29"/>
        <v>1.8191999999999999</v>
      </c>
      <c r="P216" s="195">
        <f>AVERAGE(Ashed_controlls!$K$12:$K$14)</f>
        <v>2.2816647271287041</v>
      </c>
      <c r="Q216" s="195">
        <f t="shared" si="30"/>
        <v>1.7776919552840746</v>
      </c>
      <c r="R216" s="16">
        <f>IF('WetLitterbags placem_collection'!G143="N.A","",'WetLitterbags placem_collection'!G143)</f>
        <v>42816</v>
      </c>
      <c r="S216" s="195">
        <f>IF(IFERROR(INDEX('Both teabags AfterWet'!$C$3:$C$841,MATCH(H216,'Both teabags AfterWet'!$A$3:$A$841,0)),"")="N.A","",(IFERROR(INDEX('Both teabags AfterWet'!$C$3:$C$841,MATCH(H216,'Both teabags AfterWet'!$A$3:$A$841,0)),"")))</f>
        <v>1.5369999999999999</v>
      </c>
      <c r="T216" s="195">
        <f>IFERROR(INDEX('Both teabags AfterWet'!$C$3:$C$841,MATCH(I216,'Both teabags AfterWet'!$A$3:$A$841,0)),"")</f>
        <v>1.2849999999999999</v>
      </c>
      <c r="U216" s="195">
        <f t="shared" si="31"/>
        <v>1.3863999999999999</v>
      </c>
      <c r="V216" s="195">
        <f t="shared" si="31"/>
        <v>1.1343999999999999</v>
      </c>
      <c r="W216" s="195">
        <f>IFERROR(INDEX('Ashed teabags wet'!$K$2:$K$821,MATCH(H216,'Ashed teabags wet'!$A$2:$A$821,0)),"")</f>
        <v>34.652509652509345</v>
      </c>
      <c r="X216" s="195">
        <f>IFERROR(INDEX('Ashed teabags wet'!$K$2:$K$821,MATCH(I216,'Ashed teabags wet'!$A$2:$A$821,0)),"")</f>
        <v>87.823960880195301</v>
      </c>
      <c r="Y216" s="195">
        <f t="shared" si="25"/>
        <v>0.90597760617761036</v>
      </c>
      <c r="Z216" s="195">
        <f t="shared" si="25"/>
        <v>0.13812498777506443</v>
      </c>
      <c r="AA216" s="195">
        <f t="shared" si="32"/>
        <v>0.4792220924482905</v>
      </c>
      <c r="AB216" s="195">
        <f t="shared" si="33"/>
        <v>0.31416935276895058</v>
      </c>
      <c r="AC216" s="195">
        <f t="shared" si="26"/>
        <v>7.769905655729431E-2</v>
      </c>
      <c r="AD216">
        <f t="shared" si="27"/>
        <v>54</v>
      </c>
      <c r="AE216" s="195">
        <f t="shared" si="34"/>
        <v>0.43085262179537942</v>
      </c>
      <c r="AF216" s="195" t="str">
        <f t="shared" si="35"/>
        <v/>
      </c>
      <c r="AG216" s="255" t="str">
        <f>IF(ISNUMBER(SEARCH("C",'WetLitterbags placem_collection'!AD143)),"YES","NO")</f>
        <v>NO</v>
      </c>
      <c r="AH216" s="255" t="str">
        <f>IF(ISNUMBER(SEARCH("H", 'WetLitterbags placem_collection'!AD143)),"YES","NO")</f>
        <v>NO</v>
      </c>
      <c r="AI216" s="255" t="str">
        <f>IF(ISNUMBER(SEARCH("R", 'WetLitterbags placem_collection'!AD143)),"YES","NO")</f>
        <v>NO</v>
      </c>
      <c r="AJ216" s="255" t="str">
        <f>IF(ISNUMBER(SEARCH("C", 'WetLitterbags placem_collection'!AC143)),"YES","NO")</f>
        <v>NO</v>
      </c>
      <c r="AK216" s="255" t="str">
        <f>IF(ISNUMBER(SEARCH("H", 'WetLitterbags placem_collection'!AC143)),"YES","NO")</f>
        <v>NO</v>
      </c>
      <c r="AL216" s="255" t="str">
        <f>IF(ISNUMBER(SEARCH("R", 'WetLitterbags placem_collection'!AC143)),"YES","NO")</f>
        <v>NO</v>
      </c>
    </row>
    <row r="217" spans="2:38">
      <c r="B217" t="str">
        <f>'Final data_for_R_analysis_Wetse'!A143</f>
        <v>Wet</v>
      </c>
      <c r="C217" s="263">
        <f>'Final data_for_R_analysis_Wetse'!B143</f>
        <v>142</v>
      </c>
      <c r="D217" t="s">
        <v>3848</v>
      </c>
      <c r="E217" t="s">
        <v>22</v>
      </c>
      <c r="F217" s="387">
        <v>6</v>
      </c>
      <c r="G217" s="16">
        <f>'WetLitterbags placem_collection'!E144</f>
        <v>42762</v>
      </c>
      <c r="H217" t="str">
        <f>'Final data_for_R_analysis_Wetse'!J143</f>
        <v>G817</v>
      </c>
      <c r="I217" t="str">
        <f>'Final data_for_R_analysis_Wetse'!J363</f>
        <v>R460</v>
      </c>
      <c r="J217">
        <f>IFERROR(INDEX('Green_rooibos initial weight'!$C$5:$C$1749,MATCH(H217, 'Green_rooibos initial weight'!$A$5:$A$1749,0)),"")</f>
        <v>1.9770000000000001</v>
      </c>
      <c r="K217">
        <f>IFERROR(INDEX('Green_rooibos initial weight'!$C$5:$C$1749,MATCH(I217, 'Green_rooibos initial weight'!$A$5:$A$1749,0)),"")</f>
        <v>2.1659999999999999</v>
      </c>
      <c r="L217" s="195">
        <f t="shared" si="28"/>
        <v>1.7272000000000001</v>
      </c>
      <c r="M217" s="195">
        <f>AVERAGE(Ashed_controlls!$K$2:$K$11)</f>
        <v>5.5147656768714146</v>
      </c>
      <c r="N217" s="195">
        <f t="shared" si="24"/>
        <v>1.631948967229077</v>
      </c>
      <c r="O217" s="195">
        <f t="shared" si="29"/>
        <v>1.9161999999999999</v>
      </c>
      <c r="P217" s="195">
        <f>AVERAGE(Ashed_controlls!$K$12:$K$14)</f>
        <v>2.2816647271287041</v>
      </c>
      <c r="Q217" s="195">
        <f t="shared" si="30"/>
        <v>1.8724787404987597</v>
      </c>
      <c r="R217" s="16">
        <f>IF('WetLitterbags placem_collection'!G144="N.A","",'WetLitterbags placem_collection'!G144)</f>
        <v>42816</v>
      </c>
      <c r="S217" s="195" t="str">
        <f>IF(IFERROR(INDEX('Both teabags AfterWet'!$C$3:$C$841,MATCH(H217,'Both teabags AfterWet'!$A$3:$A$841,0)),"")="N.A","",(IFERROR(INDEX('Both teabags AfterWet'!$C$3:$C$841,MATCH(H217,'Both teabags AfterWet'!$A$3:$A$841,0)),"")))</f>
        <v/>
      </c>
      <c r="T217" s="195">
        <f>IFERROR(INDEX('Both teabags AfterWet'!$C$3:$C$841,MATCH(I217,'Both teabags AfterWet'!$A$3:$A$841,0)),"")</f>
        <v>0.14299999999999999</v>
      </c>
      <c r="U217" s="195" t="str">
        <f t="shared" si="31"/>
        <v/>
      </c>
      <c r="V217" s="195">
        <f t="shared" si="31"/>
        <v>-7.6000000000000234E-3</v>
      </c>
      <c r="W217" s="195">
        <f>IFERROR(INDEX('Ashed teabags wet'!$K$2:$K$821,MATCH(H217,'Ashed teabags wet'!$A$2:$A$821,0)),"")</f>
        <v>45.987198424421408</v>
      </c>
      <c r="X217" s="195" t="str">
        <f>IFERROR(INDEX('Ashed teabags wet'!$K$2:$K$821,MATCH(I217,'Ashed teabags wet'!$A$2:$A$821,0)),"")</f>
        <v/>
      </c>
      <c r="Y217" s="195" t="str">
        <f t="shared" si="25"/>
        <v/>
      </c>
      <c r="Z217" s="195" t="str">
        <f t="shared" si="25"/>
        <v/>
      </c>
      <c r="AA217" s="195" t="str">
        <f t="shared" si="32"/>
        <v/>
      </c>
      <c r="AB217" s="195" t="str">
        <f t="shared" si="33"/>
        <v/>
      </c>
      <c r="AC217" s="195" t="str">
        <f t="shared" si="26"/>
        <v/>
      </c>
      <c r="AD217">
        <f t="shared" si="27"/>
        <v>54</v>
      </c>
      <c r="AE217" s="195" t="str">
        <f t="shared" si="34"/>
        <v/>
      </c>
      <c r="AF217" s="195" t="str">
        <f t="shared" si="35"/>
        <v/>
      </c>
      <c r="AG217" s="255" t="str">
        <f>IF(ISNUMBER(SEARCH("C",'WetLitterbags placem_collection'!AD144)),"YES","NO")</f>
        <v>NO</v>
      </c>
      <c r="AH217" s="255" t="str">
        <f>IF(ISNUMBER(SEARCH("H", 'WetLitterbags placem_collection'!AD144)),"YES","NO")</f>
        <v>NO</v>
      </c>
      <c r="AI217" s="255" t="str">
        <f>IF(ISNUMBER(SEARCH("R", 'WetLitterbags placem_collection'!AD144)),"YES","NO")</f>
        <v>NO</v>
      </c>
      <c r="AJ217" s="255" t="str">
        <f>IF(ISNUMBER(SEARCH("C", 'WetLitterbags placem_collection'!AC144)),"YES","NO")</f>
        <v>NO</v>
      </c>
      <c r="AK217" s="255" t="str">
        <f>IF(ISNUMBER(SEARCH("H", 'WetLitterbags placem_collection'!AC144)),"YES","NO")</f>
        <v>NO</v>
      </c>
      <c r="AL217" s="255" t="str">
        <f>IF(ISNUMBER(SEARCH("R", 'WetLitterbags placem_collection'!AC144)),"YES","NO")</f>
        <v>NO</v>
      </c>
    </row>
    <row r="218" spans="2:38">
      <c r="B218" t="str">
        <f>'Final data_for_R_analysis_Wetse'!A144</f>
        <v>Wet</v>
      </c>
      <c r="C218" s="263">
        <f>'Final data_for_R_analysis_Wetse'!B144</f>
        <v>143</v>
      </c>
      <c r="D218" t="s">
        <v>3848</v>
      </c>
      <c r="E218" t="s">
        <v>22</v>
      </c>
      <c r="F218" s="387">
        <v>7</v>
      </c>
      <c r="G218" s="16">
        <f>'WetLitterbags placem_collection'!E145</f>
        <v>42762</v>
      </c>
      <c r="H218" t="str">
        <f>'Final data_for_R_analysis_Wetse'!J144</f>
        <v>G836</v>
      </c>
      <c r="I218" t="str">
        <f>'Final data_for_R_analysis_Wetse'!J364</f>
        <v>R456</v>
      </c>
      <c r="J218">
        <f>IFERROR(INDEX('Green_rooibos initial weight'!$C$5:$C$1749,MATCH(H218, 'Green_rooibos initial weight'!$A$5:$A$1749,0)),"")</f>
        <v>2.0419999999999998</v>
      </c>
      <c r="K218">
        <f>IFERROR(INDEX('Green_rooibos initial weight'!$C$5:$C$1749,MATCH(I218, 'Green_rooibos initial weight'!$A$5:$A$1749,0)),"")</f>
        <v>2.23</v>
      </c>
      <c r="L218" s="195">
        <f t="shared" si="28"/>
        <v>1.7921999999999998</v>
      </c>
      <c r="M218" s="195">
        <f>AVERAGE(Ashed_controlls!$K$2:$K$11)</f>
        <v>5.5147656768714146</v>
      </c>
      <c r="N218" s="195">
        <f t="shared" si="24"/>
        <v>1.6933643695391103</v>
      </c>
      <c r="O218" s="195">
        <f t="shared" si="29"/>
        <v>1.9802</v>
      </c>
      <c r="P218" s="195">
        <f>AVERAGE(Ashed_controlls!$K$12:$K$14)</f>
        <v>2.2816647271287041</v>
      </c>
      <c r="Q218" s="195">
        <f t="shared" si="30"/>
        <v>1.9350184750733974</v>
      </c>
      <c r="R218" s="16">
        <f>IF('WetLitterbags placem_collection'!G145="N.A","",'WetLitterbags placem_collection'!G145)</f>
        <v>42816</v>
      </c>
      <c r="S218" s="195">
        <f>IF(IFERROR(INDEX('Both teabags AfterWet'!$C$3:$C$841,MATCH(H218,'Both teabags AfterWet'!$A$3:$A$841,0)),"")="N.A","",(IFERROR(INDEX('Both teabags AfterWet'!$C$3:$C$841,MATCH(H218,'Both teabags AfterWet'!$A$3:$A$841,0)),"")))</f>
        <v>0.60970000000000002</v>
      </c>
      <c r="T218" s="195">
        <f>IFERROR(INDEX('Both teabags AfterWet'!$C$3:$C$841,MATCH(I218,'Both teabags AfterWet'!$A$3:$A$841,0)),"")</f>
        <v>1.6178999999999999</v>
      </c>
      <c r="U218" s="195">
        <f t="shared" si="31"/>
        <v>0.45910000000000001</v>
      </c>
      <c r="V218" s="195">
        <f t="shared" si="31"/>
        <v>1.4672999999999998</v>
      </c>
      <c r="W218" s="195">
        <f>IFERROR(INDEX('Ashed teabags wet'!$K$2:$K$821,MATCH(H218,'Ashed teabags wet'!$A$2:$A$821,0)),"")</f>
        <v>13.060240963856003</v>
      </c>
      <c r="X218" s="195">
        <f>IFERROR(INDEX('Ashed teabags wet'!$K$2:$K$821,MATCH(I218,'Ashed teabags wet'!$A$2:$A$821,0)),"")</f>
        <v>1.7996108949419758</v>
      </c>
      <c r="Y218" s="195">
        <f t="shared" si="25"/>
        <v>0.39914043373493707</v>
      </c>
      <c r="Z218" s="195">
        <f t="shared" si="25"/>
        <v>1.4408943093385163</v>
      </c>
      <c r="AA218" s="195">
        <f t="shared" si="32"/>
        <v>0.76429146560844863</v>
      </c>
      <c r="AB218" s="195">
        <f t="shared" si="33"/>
        <v>0.50105568766729658</v>
      </c>
      <c r="AC218" s="195">
        <f t="shared" si="26"/>
        <v>0.74464111216502027</v>
      </c>
      <c r="AD218">
        <f t="shared" si="27"/>
        <v>54</v>
      </c>
      <c r="AE218" s="195">
        <f t="shared" si="34"/>
        <v>9.2290420892578773E-2</v>
      </c>
      <c r="AF218" s="195">
        <f t="shared" si="35"/>
        <v>1.3196648022028601E-2</v>
      </c>
      <c r="AG218" s="255" t="str">
        <f>IF(ISNUMBER(SEARCH("C",'WetLitterbags placem_collection'!AD145)),"YES","NO")</f>
        <v>NO</v>
      </c>
      <c r="AH218" s="255" t="str">
        <f>IF(ISNUMBER(SEARCH("H", 'WetLitterbags placem_collection'!AD145)),"YES","NO")</f>
        <v>NO</v>
      </c>
      <c r="AI218" s="255" t="str">
        <f>IF(ISNUMBER(SEARCH("R", 'WetLitterbags placem_collection'!AD145)),"YES","NO")</f>
        <v>NO</v>
      </c>
      <c r="AJ218" s="255" t="str">
        <f>IF(ISNUMBER(SEARCH("C", 'WetLitterbags placem_collection'!AC145)),"YES","NO")</f>
        <v>NO</v>
      </c>
      <c r="AK218" s="255" t="str">
        <f>IF(ISNUMBER(SEARCH("H", 'WetLitterbags placem_collection'!AC145)),"YES","NO")</f>
        <v>NO</v>
      </c>
      <c r="AL218" s="255" t="str">
        <f>IF(ISNUMBER(SEARCH("R", 'WetLitterbags placem_collection'!AC145)),"YES","NO")</f>
        <v>NO</v>
      </c>
    </row>
    <row r="219" spans="2:38">
      <c r="B219" t="str">
        <f>'Final data_for_R_analysis_Wetse'!A145</f>
        <v>Wet</v>
      </c>
      <c r="C219" s="263">
        <f>'Final data_for_R_analysis_Wetse'!B145</f>
        <v>144</v>
      </c>
      <c r="D219" t="s">
        <v>3848</v>
      </c>
      <c r="E219" t="s">
        <v>22</v>
      </c>
      <c r="F219" s="387">
        <v>8</v>
      </c>
      <c r="G219" s="16">
        <f>'WetLitterbags placem_collection'!E146</f>
        <v>42762</v>
      </c>
      <c r="H219" t="str">
        <f>'Final data_for_R_analysis_Wetse'!J145</f>
        <v>G784</v>
      </c>
      <c r="I219" t="str">
        <f>'Final data_for_R_analysis_Wetse'!J365</f>
        <v>R571</v>
      </c>
      <c r="J219">
        <f>IFERROR(INDEX('Green_rooibos initial weight'!$C$5:$C$1749,MATCH(H219, 'Green_rooibos initial weight'!$A$5:$A$1749,0)),"")</f>
        <v>2.1070000000000002</v>
      </c>
      <c r="K219">
        <f>IFERROR(INDEX('Green_rooibos initial weight'!$C$5:$C$1749,MATCH(I219, 'Green_rooibos initial weight'!$A$5:$A$1749,0)),"")</f>
        <v>2.117</v>
      </c>
      <c r="L219" s="195">
        <f t="shared" si="28"/>
        <v>1.8572000000000002</v>
      </c>
      <c r="M219" s="195">
        <f>AVERAGE(Ashed_controlls!$K$2:$K$11)</f>
        <v>5.5147656768714146</v>
      </c>
      <c r="N219" s="195">
        <f t="shared" si="24"/>
        <v>1.7547797718491442</v>
      </c>
      <c r="O219" s="195">
        <f t="shared" si="29"/>
        <v>1.8672</v>
      </c>
      <c r="P219" s="195">
        <f>AVERAGE(Ashed_controlls!$K$12:$K$14)</f>
        <v>2.2816647271287041</v>
      </c>
      <c r="Q219" s="195">
        <f t="shared" si="30"/>
        <v>1.8245967562150529</v>
      </c>
      <c r="R219" s="16">
        <f>IF('WetLitterbags placem_collection'!G146="N.A","",'WetLitterbags placem_collection'!G146)</f>
        <v>42816</v>
      </c>
      <c r="S219" s="195">
        <f>IF(IFERROR(INDEX('Both teabags AfterWet'!$C$3:$C$841,MATCH(H219,'Both teabags AfterWet'!$A$3:$A$841,0)),"")="N.A","",(IFERROR(INDEX('Both teabags AfterWet'!$C$3:$C$841,MATCH(H219,'Both teabags AfterWet'!$A$3:$A$841,0)),"")))</f>
        <v>0.78500000000000003</v>
      </c>
      <c r="T219" s="195">
        <f>IFERROR(INDEX('Both teabags AfterWet'!$C$3:$C$841,MATCH(I219,'Both teabags AfterWet'!$A$3:$A$841,0)),"")</f>
        <v>1.365</v>
      </c>
      <c r="U219" s="195">
        <f t="shared" si="31"/>
        <v>0.63440000000000007</v>
      </c>
      <c r="V219" s="195">
        <f t="shared" si="31"/>
        <v>1.2143999999999999</v>
      </c>
      <c r="W219" s="195">
        <f>IFERROR(INDEX('Ashed teabags wet'!$K$2:$K$821,MATCH(H219,'Ashed teabags wet'!$A$2:$A$821,0)),"")</f>
        <v>26.404773744405041</v>
      </c>
      <c r="X219" s="195">
        <f>IFERROR(INDEX('Ashed teabags wet'!$K$2:$K$821,MATCH(I219,'Ashed teabags wet'!$A$2:$A$821,0)),"")</f>
        <v>77.783132530120469</v>
      </c>
      <c r="Y219" s="195">
        <f t="shared" si="25"/>
        <v>0.46688811536549446</v>
      </c>
      <c r="Z219" s="195">
        <f t="shared" si="25"/>
        <v>0.26980163855421702</v>
      </c>
      <c r="AA219" s="195">
        <f t="shared" si="32"/>
        <v>0.73393349817709652</v>
      </c>
      <c r="AB219" s="195">
        <f t="shared" si="33"/>
        <v>0.48115355224911799</v>
      </c>
      <c r="AC219" s="195">
        <f t="shared" si="26"/>
        <v>0.14786918678617739</v>
      </c>
      <c r="AD219">
        <f t="shared" si="27"/>
        <v>54</v>
      </c>
      <c r="AE219" s="195">
        <f t="shared" si="34"/>
        <v>0.12834501404145304</v>
      </c>
      <c r="AF219" s="195" t="str">
        <f t="shared" si="35"/>
        <v/>
      </c>
      <c r="AG219" s="255" t="str">
        <f>IF(ISNUMBER(SEARCH("C",'WetLitterbags placem_collection'!AD146)),"YES","NO")</f>
        <v>NO</v>
      </c>
      <c r="AH219" s="255" t="str">
        <f>IF(ISNUMBER(SEARCH("H", 'WetLitterbags placem_collection'!AD146)),"YES","NO")</f>
        <v>NO</v>
      </c>
      <c r="AI219" s="255" t="str">
        <f>IF(ISNUMBER(SEARCH("R", 'WetLitterbags placem_collection'!AD146)),"YES","NO")</f>
        <v>NO</v>
      </c>
      <c r="AJ219" s="255" t="str">
        <f>IF(ISNUMBER(SEARCH("C", 'WetLitterbags placem_collection'!AC146)),"YES","NO")</f>
        <v>NO</v>
      </c>
      <c r="AK219" s="255" t="str">
        <f>IF(ISNUMBER(SEARCH("H", 'WetLitterbags placem_collection'!AC146)),"YES","NO")</f>
        <v>NO</v>
      </c>
      <c r="AL219" s="255" t="str">
        <f>IF(ISNUMBER(SEARCH("R", 'WetLitterbags placem_collection'!AC146)),"YES","NO")</f>
        <v>NO</v>
      </c>
    </row>
    <row r="220" spans="2:38">
      <c r="B220" t="str">
        <f>'Final data_for_R_analysis_Wetse'!A146</f>
        <v>Wet</v>
      </c>
      <c r="C220" s="263">
        <f>'Final data_for_R_analysis_Wetse'!B146</f>
        <v>145</v>
      </c>
      <c r="D220" t="s">
        <v>3849</v>
      </c>
      <c r="E220" t="s">
        <v>22</v>
      </c>
      <c r="F220" s="386">
        <v>1</v>
      </c>
      <c r="G220" s="16">
        <f>'WetLitterbags placem_collection'!E147</f>
        <v>42762</v>
      </c>
      <c r="H220" t="str">
        <f>'Final data_for_R_analysis_Wetse'!J146</f>
        <v>G902</v>
      </c>
      <c r="I220" t="str">
        <f>'Final data_for_R_analysis_Wetse'!J366</f>
        <v>R27</v>
      </c>
      <c r="J220">
        <f>IFERROR(INDEX('Green_rooibos initial weight'!$C$5:$C$1749,MATCH(H220, 'Green_rooibos initial weight'!$A$5:$A$1749,0)),"")</f>
        <v>2.0750000000000002</v>
      </c>
      <c r="K220">
        <f>IFERROR(INDEX('Green_rooibos initial weight'!$C$5:$C$1749,MATCH(I220, 'Green_rooibos initial weight'!$A$5:$A$1749,0)),"")</f>
        <v>2.0550000000000002</v>
      </c>
      <c r="L220" s="195">
        <f t="shared" si="28"/>
        <v>1.8252000000000002</v>
      </c>
      <c r="M220" s="195">
        <f>AVERAGE(Ashed_controlls!$K$2:$K$11)</f>
        <v>5.5147656768714146</v>
      </c>
      <c r="N220" s="195">
        <f t="shared" si="24"/>
        <v>1.7245444968657431</v>
      </c>
      <c r="O220" s="195">
        <f t="shared" si="29"/>
        <v>1.8052000000000001</v>
      </c>
      <c r="P220" s="195">
        <f>AVERAGE(Ashed_controlls!$K$12:$K$14)</f>
        <v>2.2816647271287041</v>
      </c>
      <c r="Q220" s="195">
        <f t="shared" si="30"/>
        <v>1.7640113883458728</v>
      </c>
      <c r="R220" s="16">
        <f>IF('WetLitterbags placem_collection'!G147="N.A","",'WetLitterbags placem_collection'!G147)</f>
        <v>42815</v>
      </c>
      <c r="S220" s="195">
        <f>IF(IFERROR(INDEX('Both teabags AfterWet'!$C$3:$C$841,MATCH(H220,'Both teabags AfterWet'!$A$3:$A$841,0)),"")="N.A","",(IFERROR(INDEX('Both teabags AfterWet'!$C$3:$C$841,MATCH(H220,'Both teabags AfterWet'!$A$3:$A$841,0)),"")))</f>
        <v>0.79200000000000004</v>
      </c>
      <c r="T220" s="195">
        <f>IFERROR(INDEX('Both teabags AfterWet'!$C$3:$C$841,MATCH(I220,'Both teabags AfterWet'!$A$3:$A$841,0)),"")</f>
        <v>1.6830000000000001</v>
      </c>
      <c r="U220" s="195">
        <f t="shared" si="31"/>
        <v>0.64139999999999997</v>
      </c>
      <c r="V220" s="195">
        <f t="shared" si="31"/>
        <v>1.5324</v>
      </c>
      <c r="W220" s="195">
        <f>IFERROR(INDEX('Ashed teabags wet'!$K$2:$K$821,MATCH(H220,'Ashed teabags wet'!$A$2:$A$821,0)),"")</f>
        <v>20.158102766798436</v>
      </c>
      <c r="X220" s="195">
        <f>IFERROR(INDEX('Ashed teabags wet'!$K$2:$K$821,MATCH(I220,'Ashed teabags wet'!$A$2:$A$821,0)),"")</f>
        <v>8.5603112840463975</v>
      </c>
      <c r="Y220" s="195">
        <f t="shared" si="25"/>
        <v>0.51210592885375483</v>
      </c>
      <c r="Z220" s="195">
        <f t="shared" si="25"/>
        <v>1.4012217898832731</v>
      </c>
      <c r="AA220" s="195">
        <f t="shared" si="32"/>
        <v>0.70304858483821264</v>
      </c>
      <c r="AB220" s="195">
        <f t="shared" si="33"/>
        <v>0.46090596060652428</v>
      </c>
      <c r="AC220" s="195">
        <f t="shared" si="26"/>
        <v>0.7943382900703434</v>
      </c>
      <c r="AD220">
        <f t="shared" si="27"/>
        <v>53</v>
      </c>
      <c r="AE220" s="195">
        <f t="shared" si="34"/>
        <v>0.16502543368383293</v>
      </c>
      <c r="AF220" s="195">
        <f t="shared" si="35"/>
        <v>1.1150435842864397E-2</v>
      </c>
      <c r="AG220" s="255" t="str">
        <f>IF(ISNUMBER(SEARCH("C",'WetLitterbags placem_collection'!AD147)),"YES","NO")</f>
        <v>NO</v>
      </c>
      <c r="AH220" s="255" t="str">
        <f>IF(ISNUMBER(SEARCH("H", 'WetLitterbags placem_collection'!AD147)),"YES","NO")</f>
        <v>NO</v>
      </c>
      <c r="AI220" s="255" t="str">
        <f>IF(ISNUMBER(SEARCH("R", 'WetLitterbags placem_collection'!AD147)),"YES","NO")</f>
        <v>NO</v>
      </c>
      <c r="AJ220" s="255" t="str">
        <f>IF(ISNUMBER(SEARCH("C", 'WetLitterbags placem_collection'!AC147)),"YES","NO")</f>
        <v>NO</v>
      </c>
      <c r="AK220" s="255" t="str">
        <f>IF(ISNUMBER(SEARCH("H", 'WetLitterbags placem_collection'!AC147)),"YES","NO")</f>
        <v>NO</v>
      </c>
      <c r="AL220" s="255" t="str">
        <f>IF(ISNUMBER(SEARCH("R", 'WetLitterbags placem_collection'!AC147)),"YES","NO")</f>
        <v>NO</v>
      </c>
    </row>
    <row r="221" spans="2:38">
      <c r="B221" t="str">
        <f>'Final data_for_R_analysis_Wetse'!A147</f>
        <v>Wet</v>
      </c>
      <c r="C221" s="263">
        <f>'Final data_for_R_analysis_Wetse'!B147</f>
        <v>146</v>
      </c>
      <c r="D221" t="s">
        <v>3849</v>
      </c>
      <c r="E221" t="s">
        <v>22</v>
      </c>
      <c r="F221" s="386">
        <v>2</v>
      </c>
      <c r="G221" s="16">
        <f>'WetLitterbags placem_collection'!E148</f>
        <v>42762</v>
      </c>
      <c r="H221" t="str">
        <f>'Final data_for_R_analysis_Wetse'!J147</f>
        <v>G689</v>
      </c>
      <c r="I221" t="str">
        <f>'Final data_for_R_analysis_Wetse'!J367</f>
        <v>R492</v>
      </c>
      <c r="J221">
        <f>IFERROR(INDEX('Green_rooibos initial weight'!$C$5:$C$1749,MATCH(H221, 'Green_rooibos initial weight'!$A$5:$A$1749,0)),"")</f>
        <v>2.0339999999999998</v>
      </c>
      <c r="K221">
        <f>IFERROR(INDEX('Green_rooibos initial weight'!$C$5:$C$1749,MATCH(I221, 'Green_rooibos initial weight'!$A$5:$A$1749,0)),"")</f>
        <v>2.2519999999999998</v>
      </c>
      <c r="L221" s="195">
        <f t="shared" si="28"/>
        <v>1.7841999999999998</v>
      </c>
      <c r="M221" s="195">
        <f>AVERAGE(Ashed_controlls!$K$2:$K$11)</f>
        <v>5.5147656768714146</v>
      </c>
      <c r="N221" s="195">
        <f t="shared" si="24"/>
        <v>1.6858055507932601</v>
      </c>
      <c r="O221" s="195">
        <f t="shared" si="29"/>
        <v>2.0021999999999998</v>
      </c>
      <c r="P221" s="195">
        <f>AVERAGE(Ashed_controlls!$K$12:$K$14)</f>
        <v>2.2816647271287041</v>
      </c>
      <c r="Q221" s="195">
        <f t="shared" si="30"/>
        <v>1.9565165088334289</v>
      </c>
      <c r="R221" s="16">
        <f>IF('WetLitterbags placem_collection'!G148="N.A","",'WetLitterbags placem_collection'!G148)</f>
        <v>42815</v>
      </c>
      <c r="S221" s="195">
        <f>IF(IFERROR(INDEX('Both teabags AfterWet'!$C$3:$C$841,MATCH(H221,'Both teabags AfterWet'!$A$3:$A$841,0)),"")="N.A","",(IFERROR(INDEX('Both teabags AfterWet'!$C$3:$C$841,MATCH(H221,'Both teabags AfterWet'!$A$3:$A$841,0)),"")))</f>
        <v>0.52200000000000002</v>
      </c>
      <c r="T221" s="195">
        <f>IFERROR(INDEX('Both teabags AfterWet'!$C$3:$C$841,MATCH(I221,'Both teabags AfterWet'!$A$3:$A$841,0)),"")</f>
        <v>1.6579999999999999</v>
      </c>
      <c r="U221" s="195">
        <f t="shared" si="31"/>
        <v>0.37140000000000001</v>
      </c>
      <c r="V221" s="195">
        <f t="shared" si="31"/>
        <v>1.5073999999999999</v>
      </c>
      <c r="W221" s="195">
        <f>IFERROR(INDEX('Ashed teabags wet'!$K$2:$K$821,MATCH(H221,'Ashed teabags wet'!$A$2:$A$821,0)),"")</f>
        <v>14.092009685229803</v>
      </c>
      <c r="X221" s="195">
        <f>IFERROR(INDEX('Ashed teabags wet'!$K$2:$K$821,MATCH(I221,'Ashed teabags wet'!$A$2:$A$821,0)),"")</f>
        <v>4.0599323344614637</v>
      </c>
      <c r="Y221" s="195">
        <f t="shared" si="25"/>
        <v>0.31906227602905651</v>
      </c>
      <c r="Z221" s="195">
        <f t="shared" si="25"/>
        <v>1.4462005799903277</v>
      </c>
      <c r="AA221" s="195">
        <f t="shared" si="32"/>
        <v>0.81073601526645767</v>
      </c>
      <c r="AB221" s="195">
        <f t="shared" si="33"/>
        <v>0.53150389599416226</v>
      </c>
      <c r="AC221" s="195">
        <f t="shared" si="26"/>
        <v>0.73917116132724248</v>
      </c>
      <c r="AD221">
        <f t="shared" si="27"/>
        <v>53</v>
      </c>
      <c r="AE221" s="195">
        <f t="shared" si="34"/>
        <v>3.7130623198981416E-2</v>
      </c>
      <c r="AF221" s="195">
        <f t="shared" si="35"/>
        <v>1.2731914659862249E-2</v>
      </c>
      <c r="AG221" s="255" t="str">
        <f>IF(ISNUMBER(SEARCH("C",'WetLitterbags placem_collection'!AD148)),"YES","NO")</f>
        <v>NO</v>
      </c>
      <c r="AH221" s="255" t="str">
        <f>IF(ISNUMBER(SEARCH("H", 'WetLitterbags placem_collection'!AD148)),"YES","NO")</f>
        <v>NO</v>
      </c>
      <c r="AI221" s="255" t="str">
        <f>IF(ISNUMBER(SEARCH("R", 'WetLitterbags placem_collection'!AD148)),"YES","NO")</f>
        <v>NO</v>
      </c>
      <c r="AJ221" s="255" t="str">
        <f>IF(ISNUMBER(SEARCH("C", 'WetLitterbags placem_collection'!AC148)),"YES","NO")</f>
        <v>NO</v>
      </c>
      <c r="AK221" s="255" t="str">
        <f>IF(ISNUMBER(SEARCH("H", 'WetLitterbags placem_collection'!AC148)),"YES","NO")</f>
        <v>NO</v>
      </c>
      <c r="AL221" s="255" t="str">
        <f>IF(ISNUMBER(SEARCH("R", 'WetLitterbags placem_collection'!AC148)),"YES","NO")</f>
        <v>NO</v>
      </c>
    </row>
    <row r="222" spans="2:38">
      <c r="B222" t="str">
        <f>'Final data_for_R_analysis_Wetse'!A148</f>
        <v>Wet</v>
      </c>
      <c r="C222" s="263">
        <f>'Final data_for_R_analysis_Wetse'!B148</f>
        <v>147</v>
      </c>
      <c r="D222" t="s">
        <v>3849</v>
      </c>
      <c r="E222" t="s">
        <v>22</v>
      </c>
      <c r="F222" s="386">
        <v>3</v>
      </c>
      <c r="G222" s="16">
        <f>'WetLitterbags placem_collection'!E149</f>
        <v>42762</v>
      </c>
      <c r="H222" t="str">
        <f>'Final data_for_R_analysis_Wetse'!J148</f>
        <v>G678</v>
      </c>
      <c r="I222" t="str">
        <f>'Final data_for_R_analysis_Wetse'!J368</f>
        <v>R573</v>
      </c>
      <c r="J222">
        <f>IFERROR(INDEX('Green_rooibos initial weight'!$C$5:$C$1749,MATCH(H222, 'Green_rooibos initial weight'!$A$5:$A$1749,0)),"")</f>
        <v>2.012</v>
      </c>
      <c r="K222">
        <f>IFERROR(INDEX('Green_rooibos initial weight'!$C$5:$C$1749,MATCH(I222, 'Green_rooibos initial weight'!$A$5:$A$1749,0)),"")</f>
        <v>2.097</v>
      </c>
      <c r="L222" s="195">
        <f t="shared" si="28"/>
        <v>1.7622</v>
      </c>
      <c r="M222" s="195">
        <f>AVERAGE(Ashed_controlls!$K$2:$K$11)</f>
        <v>5.5147656768714146</v>
      </c>
      <c r="N222" s="195">
        <f t="shared" si="24"/>
        <v>1.6650187992421719</v>
      </c>
      <c r="O222" s="195">
        <f t="shared" si="29"/>
        <v>1.8472</v>
      </c>
      <c r="P222" s="195">
        <f>AVERAGE(Ashed_controlls!$K$12:$K$14)</f>
        <v>2.2816647271287041</v>
      </c>
      <c r="Q222" s="195">
        <f t="shared" si="30"/>
        <v>1.8050530891604786</v>
      </c>
      <c r="R222" s="16">
        <f>IF('WetLitterbags placem_collection'!G149="N.A","",'WetLitterbags placem_collection'!G149)</f>
        <v>42816</v>
      </c>
      <c r="S222" s="195">
        <f>IF(IFERROR(INDEX('Both teabags AfterWet'!$C$3:$C$841,MATCH(H222,'Both teabags AfterWet'!$A$3:$A$841,0)),"")="N.A","",(IFERROR(INDEX('Both teabags AfterWet'!$C$3:$C$841,MATCH(H222,'Both teabags AfterWet'!$A$3:$A$841,0)),"")))</f>
        <v>0.70199999999999996</v>
      </c>
      <c r="T222" s="195">
        <f>IFERROR(INDEX('Both teabags AfterWet'!$C$3:$C$841,MATCH(I222,'Both teabags AfterWet'!$A$3:$A$841,0)),"")</f>
        <v>1.746</v>
      </c>
      <c r="U222" s="195">
        <f t="shared" si="31"/>
        <v>0.55139999999999989</v>
      </c>
      <c r="V222" s="195">
        <f t="shared" si="31"/>
        <v>1.5953999999999999</v>
      </c>
      <c r="W222" s="195">
        <f>IFERROR(INDEX('Ashed teabags wet'!$K$2:$K$821,MATCH(H222,'Ashed teabags wet'!$A$2:$A$821,0)),"")</f>
        <v>16.333666333666116</v>
      </c>
      <c r="X222" s="195">
        <f>IFERROR(INDEX('Ashed teabags wet'!$K$2:$K$821,MATCH(I222,'Ashed teabags wet'!$A$2:$A$821,0)),"")</f>
        <v>8.8007736943911006</v>
      </c>
      <c r="Y222" s="195">
        <f t="shared" si="25"/>
        <v>0.46133616383616494</v>
      </c>
      <c r="Z222" s="195">
        <f t="shared" si="25"/>
        <v>1.4549924564796843</v>
      </c>
      <c r="AA222" s="195">
        <f t="shared" si="32"/>
        <v>0.72292435133696942</v>
      </c>
      <c r="AB222" s="195">
        <f t="shared" si="33"/>
        <v>0.4739361543206736</v>
      </c>
      <c r="AC222" s="195">
        <f t="shared" si="26"/>
        <v>0.80606629534447338</v>
      </c>
      <c r="AD222">
        <f t="shared" si="27"/>
        <v>54</v>
      </c>
      <c r="AE222" s="195">
        <f t="shared" si="34"/>
        <v>0.14142001028863482</v>
      </c>
      <c r="AF222" s="195">
        <f t="shared" si="35"/>
        <v>9.7458197252173889E-3</v>
      </c>
      <c r="AG222" s="255" t="str">
        <f>IF(ISNUMBER(SEARCH("C",'WetLitterbags placem_collection'!AD149)),"YES","NO")</f>
        <v>NO</v>
      </c>
      <c r="AH222" s="255" t="str">
        <f>IF(ISNUMBER(SEARCH("H", 'WetLitterbags placem_collection'!AD149)),"YES","NO")</f>
        <v>NO</v>
      </c>
      <c r="AI222" s="255" t="str">
        <f>IF(ISNUMBER(SEARCH("R", 'WetLitterbags placem_collection'!AD149)),"YES","NO")</f>
        <v>NO</v>
      </c>
      <c r="AJ222" s="255" t="str">
        <f>IF(ISNUMBER(SEARCH("C", 'WetLitterbags placem_collection'!AC149)),"YES","NO")</f>
        <v>NO</v>
      </c>
      <c r="AK222" s="255" t="str">
        <f>IF(ISNUMBER(SEARCH("H", 'WetLitterbags placem_collection'!AC149)),"YES","NO")</f>
        <v>NO</v>
      </c>
      <c r="AL222" s="255" t="str">
        <f>IF(ISNUMBER(SEARCH("R", 'WetLitterbags placem_collection'!AC149)),"YES","NO")</f>
        <v>NO</v>
      </c>
    </row>
    <row r="223" spans="2:38">
      <c r="B223" t="str">
        <f>'Final data_for_R_analysis_Wetse'!A149</f>
        <v>Wet</v>
      </c>
      <c r="C223" s="263">
        <f>'Final data_for_R_analysis_Wetse'!B149</f>
        <v>148</v>
      </c>
      <c r="D223" t="s">
        <v>3849</v>
      </c>
      <c r="E223" t="s">
        <v>22</v>
      </c>
      <c r="F223" s="387">
        <v>4</v>
      </c>
      <c r="G223" s="16">
        <f>'WetLitterbags placem_collection'!E150</f>
        <v>42762</v>
      </c>
      <c r="H223" t="str">
        <f>'Final data_for_R_analysis_Wetse'!J149</f>
        <v>G835</v>
      </c>
      <c r="I223" t="str">
        <f>'Final data_for_R_analysis_Wetse'!J369</f>
        <v>R472</v>
      </c>
      <c r="J223">
        <f>IFERROR(INDEX('Green_rooibos initial weight'!$C$5:$C$1749,MATCH(H223, 'Green_rooibos initial weight'!$A$5:$A$1749,0)),"")</f>
        <v>1.819</v>
      </c>
      <c r="K223">
        <f>IFERROR(INDEX('Green_rooibos initial weight'!$C$5:$C$1749,MATCH(I223, 'Green_rooibos initial weight'!$A$5:$A$1749,0)),"")</f>
        <v>2.2679999999999998</v>
      </c>
      <c r="L223" s="195">
        <f t="shared" si="28"/>
        <v>1.5691999999999999</v>
      </c>
      <c r="M223" s="195">
        <f>AVERAGE(Ashed_controlls!$K$2:$K$11)</f>
        <v>5.5147656768714146</v>
      </c>
      <c r="N223" s="195">
        <f t="shared" si="24"/>
        <v>1.4826622969985337</v>
      </c>
      <c r="O223" s="195">
        <f t="shared" si="29"/>
        <v>2.0181999999999998</v>
      </c>
      <c r="P223" s="195">
        <f>AVERAGE(Ashed_controlls!$K$12:$K$14)</f>
        <v>2.2816647271287041</v>
      </c>
      <c r="Q223" s="195">
        <f t="shared" si="30"/>
        <v>1.9721514424770883</v>
      </c>
      <c r="R223" s="16">
        <f>IF('WetLitterbags placem_collection'!G150="N.A","",'WetLitterbags placem_collection'!G150)</f>
        <v>42816</v>
      </c>
      <c r="S223" s="195">
        <f>IF(IFERROR(INDEX('Both teabags AfterWet'!$C$3:$C$841,MATCH(H223,'Both teabags AfterWet'!$A$3:$A$841,0)),"")="N.A","",(IFERROR(INDEX('Both teabags AfterWet'!$C$3:$C$841,MATCH(H223,'Both teabags AfterWet'!$A$3:$A$841,0)),"")))</f>
        <v>0.24560000000000001</v>
      </c>
      <c r="T223" s="195">
        <f>IFERROR(INDEX('Both teabags AfterWet'!$C$3:$C$841,MATCH(I223,'Both teabags AfterWet'!$A$3:$A$841,0)),"")</f>
        <v>0.37559999999999999</v>
      </c>
      <c r="U223" s="195">
        <f t="shared" si="31"/>
        <v>9.5000000000000001E-2</v>
      </c>
      <c r="V223" s="195">
        <f t="shared" si="31"/>
        <v>0.22499999999999998</v>
      </c>
      <c r="W223" s="195" t="str">
        <f>IFERROR(INDEX('Ashed teabags wet'!$K$2:$K$821,MATCH(H223,'Ashed teabags wet'!$A$2:$A$821,0)),"")</f>
        <v/>
      </c>
      <c r="X223" s="195" t="str">
        <f>IFERROR(INDEX('Ashed teabags wet'!$K$2:$K$821,MATCH(I223,'Ashed teabags wet'!$A$2:$A$821,0)),"")</f>
        <v/>
      </c>
      <c r="Y223" s="195" t="str">
        <f t="shared" si="25"/>
        <v/>
      </c>
      <c r="Z223" s="195" t="str">
        <f t="shared" si="25"/>
        <v/>
      </c>
      <c r="AA223" s="195" t="str">
        <f t="shared" si="32"/>
        <v/>
      </c>
      <c r="AB223" s="195" t="str">
        <f t="shared" si="33"/>
        <v/>
      </c>
      <c r="AC223" s="195" t="str">
        <f t="shared" si="26"/>
        <v/>
      </c>
      <c r="AD223">
        <f t="shared" si="27"/>
        <v>54</v>
      </c>
      <c r="AE223" s="195" t="str">
        <f t="shared" si="34"/>
        <v/>
      </c>
      <c r="AF223" s="195" t="str">
        <f t="shared" si="35"/>
        <v/>
      </c>
      <c r="AG223" s="255" t="str">
        <f>IF(ISNUMBER(SEARCH("C",'WetLitterbags placem_collection'!AD150)),"YES","NO")</f>
        <v>NO</v>
      </c>
      <c r="AH223" s="255" t="str">
        <f>IF(ISNUMBER(SEARCH("H", 'WetLitterbags placem_collection'!AD150)),"YES","NO")</f>
        <v>NO</v>
      </c>
      <c r="AI223" s="255" t="str">
        <f>IF(ISNUMBER(SEARCH("R", 'WetLitterbags placem_collection'!AD150)),"YES","NO")</f>
        <v>NO</v>
      </c>
      <c r="AJ223" s="255" t="str">
        <f>IF(ISNUMBER(SEARCH("C", 'WetLitterbags placem_collection'!AC150)),"YES","NO")</f>
        <v>NO</v>
      </c>
      <c r="AK223" s="255" t="str">
        <f>IF(ISNUMBER(SEARCH("H", 'WetLitterbags placem_collection'!AC150)),"YES","NO")</f>
        <v>NO</v>
      </c>
      <c r="AL223" s="255" t="str">
        <f>IF(ISNUMBER(SEARCH("R", 'WetLitterbags placem_collection'!AC150)),"YES","NO")</f>
        <v>NO</v>
      </c>
    </row>
    <row r="224" spans="2:38">
      <c r="B224" t="str">
        <f>'Final data_for_R_analysis_Wetse'!A150</f>
        <v>Wet</v>
      </c>
      <c r="C224" s="263">
        <f>'Final data_for_R_analysis_Wetse'!B150</f>
        <v>149</v>
      </c>
      <c r="D224" t="s">
        <v>3849</v>
      </c>
      <c r="E224" t="s">
        <v>22</v>
      </c>
      <c r="F224" s="387">
        <v>5</v>
      </c>
      <c r="G224" s="16">
        <f>'WetLitterbags placem_collection'!E151</f>
        <v>42762</v>
      </c>
      <c r="H224" t="str">
        <f>'Final data_for_R_analysis_Wetse'!J150</f>
        <v>G733</v>
      </c>
      <c r="I224" t="str">
        <f>'Final data_for_R_analysis_Wetse'!J370</f>
        <v>R545</v>
      </c>
      <c r="J224">
        <f>IFERROR(INDEX('Green_rooibos initial weight'!$C$5:$C$1749,MATCH(H224, 'Green_rooibos initial weight'!$A$5:$A$1749,0)),"")</f>
        <v>1.8280000000000001</v>
      </c>
      <c r="K224">
        <f>IFERROR(INDEX('Green_rooibos initial weight'!$C$5:$C$1749,MATCH(I224, 'Green_rooibos initial weight'!$A$5:$A$1749,0)),"")</f>
        <v>2.2280000000000002</v>
      </c>
      <c r="L224" s="195">
        <f t="shared" si="28"/>
        <v>1.5782</v>
      </c>
      <c r="M224" s="195">
        <f>AVERAGE(Ashed_controlls!$K$2:$K$11)</f>
        <v>5.5147656768714146</v>
      </c>
      <c r="N224" s="195">
        <f t="shared" si="24"/>
        <v>1.4911659680876155</v>
      </c>
      <c r="O224" s="195">
        <f t="shared" si="29"/>
        <v>1.9782000000000002</v>
      </c>
      <c r="P224" s="195">
        <f>AVERAGE(Ashed_controlls!$K$12:$K$14)</f>
        <v>2.2816647271287041</v>
      </c>
      <c r="Q224" s="195">
        <f t="shared" si="30"/>
        <v>1.9330641083679401</v>
      </c>
      <c r="R224" s="16">
        <f>IF('WetLitterbags placem_collection'!G151="N.A","",'WetLitterbags placem_collection'!G151)</f>
        <v>42816</v>
      </c>
      <c r="S224" s="195">
        <f>IF(IFERROR(INDEX('Both teabags AfterWet'!$C$3:$C$841,MATCH(H224,'Both teabags AfterWet'!$A$3:$A$841,0)),"")="N.A","",(IFERROR(INDEX('Both teabags AfterWet'!$C$3:$C$841,MATCH(H224,'Both teabags AfterWet'!$A$3:$A$841,0)),"")))</f>
        <v>0.73760000000000003</v>
      </c>
      <c r="T224" s="195">
        <f>IFERROR(INDEX('Both teabags AfterWet'!$C$3:$C$841,MATCH(I224,'Both teabags AfterWet'!$A$3:$A$841,0)),"")</f>
        <v>1.7096</v>
      </c>
      <c r="U224" s="195">
        <f t="shared" si="31"/>
        <v>0.58699999999999997</v>
      </c>
      <c r="V224" s="195">
        <f t="shared" si="31"/>
        <v>1.5589999999999999</v>
      </c>
      <c r="W224" s="195">
        <f>IFERROR(INDEX('Ashed teabags wet'!$K$2:$K$821,MATCH(H224,'Ashed teabags wet'!$A$2:$A$821,0)),"")</f>
        <v>30.262506191183512</v>
      </c>
      <c r="X224" s="195">
        <f>IFERROR(INDEX('Ashed teabags wet'!$K$2:$K$821,MATCH(I224,'Ashed teabags wet'!$A$2:$A$821,0)),"")</f>
        <v>8.8976767177461902</v>
      </c>
      <c r="Y224" s="195">
        <f t="shared" si="25"/>
        <v>0.40935908865775272</v>
      </c>
      <c r="Z224" s="195">
        <f t="shared" si="25"/>
        <v>1.4202852199703369</v>
      </c>
      <c r="AA224" s="195">
        <f t="shared" si="32"/>
        <v>0.72547717865185324</v>
      </c>
      <c r="AB224" s="195">
        <f t="shared" si="33"/>
        <v>0.47560974182401783</v>
      </c>
      <c r="AC224" s="195">
        <f t="shared" si="26"/>
        <v>0.73473260086002246</v>
      </c>
      <c r="AD224">
        <f t="shared" si="27"/>
        <v>54</v>
      </c>
      <c r="AE224" s="195">
        <f t="shared" si="34"/>
        <v>0.13838814886953299</v>
      </c>
      <c r="AF224" s="195">
        <f t="shared" si="35"/>
        <v>1.510854150371589E-2</v>
      </c>
      <c r="AG224" s="255" t="str">
        <f>IF(ISNUMBER(SEARCH("C",'WetLitterbags placem_collection'!AD151)),"YES","NO")</f>
        <v>NO</v>
      </c>
      <c r="AH224" s="255" t="str">
        <f>IF(ISNUMBER(SEARCH("H", 'WetLitterbags placem_collection'!AD151)),"YES","NO")</f>
        <v>NO</v>
      </c>
      <c r="AI224" s="255" t="str">
        <f>IF(ISNUMBER(SEARCH("R", 'WetLitterbags placem_collection'!AD151)),"YES","NO")</f>
        <v>NO</v>
      </c>
      <c r="AJ224" s="255" t="str">
        <f>IF(ISNUMBER(SEARCH("C", 'WetLitterbags placem_collection'!AC151)),"YES","NO")</f>
        <v>NO</v>
      </c>
      <c r="AK224" s="255" t="str">
        <f>IF(ISNUMBER(SEARCH("H", 'WetLitterbags placem_collection'!AC151)),"YES","NO")</f>
        <v>NO</v>
      </c>
      <c r="AL224" s="255" t="str">
        <f>IF(ISNUMBER(SEARCH("R", 'WetLitterbags placem_collection'!AC151)),"YES","NO")</f>
        <v>NO</v>
      </c>
    </row>
    <row r="225" spans="2:38">
      <c r="B225" t="str">
        <f>'Final data_for_R_analysis_Wetse'!A151</f>
        <v>Wet</v>
      </c>
      <c r="C225" s="263">
        <f>'Final data_for_R_analysis_Wetse'!B151</f>
        <v>150</v>
      </c>
      <c r="D225" t="s">
        <v>3849</v>
      </c>
      <c r="E225" t="s">
        <v>22</v>
      </c>
      <c r="F225" s="387">
        <v>6</v>
      </c>
      <c r="G225" s="16">
        <f>'WetLitterbags placem_collection'!E152</f>
        <v>42762</v>
      </c>
      <c r="H225" t="str">
        <f>'Final data_for_R_analysis_Wetse'!J151</f>
        <v>G658</v>
      </c>
      <c r="I225" t="str">
        <f>'Final data_for_R_analysis_Wetse'!J371</f>
        <v>R7</v>
      </c>
      <c r="J225">
        <f>IFERROR(INDEX('Green_rooibos initial weight'!$C$5:$C$1749,MATCH(H225, 'Green_rooibos initial weight'!$A$5:$A$1749,0)),"")</f>
        <v>2.129</v>
      </c>
      <c r="K225">
        <f>IFERROR(INDEX('Green_rooibos initial weight'!$C$5:$C$1749,MATCH(I225, 'Green_rooibos initial weight'!$A$5:$A$1749,0)),"")</f>
        <v>2.2090000000000001</v>
      </c>
      <c r="L225" s="195">
        <f t="shared" si="28"/>
        <v>1.8792</v>
      </c>
      <c r="M225" s="195">
        <f>AVERAGE(Ashed_controlls!$K$2:$K$11)</f>
        <v>5.5147656768714146</v>
      </c>
      <c r="N225" s="195">
        <f t="shared" si="24"/>
        <v>1.7755665234002325</v>
      </c>
      <c r="O225" s="195">
        <f t="shared" si="29"/>
        <v>1.9592000000000001</v>
      </c>
      <c r="P225" s="195">
        <f>AVERAGE(Ashed_controlls!$K$12:$K$14)</f>
        <v>2.2816647271287041</v>
      </c>
      <c r="Q225" s="195">
        <f t="shared" si="30"/>
        <v>1.9144976246660945</v>
      </c>
      <c r="R225" s="16">
        <f>IF('WetLitterbags placem_collection'!G152="N.A","",'WetLitterbags placem_collection'!G152)</f>
        <v>42816</v>
      </c>
      <c r="S225" s="195">
        <f>IF(IFERROR(INDEX('Both teabags AfterWet'!$C$3:$C$841,MATCH(H225,'Both teabags AfterWet'!$A$3:$A$841,0)),"")="N.A","",(IFERROR(INDEX('Both teabags AfterWet'!$C$3:$C$841,MATCH(H225,'Both teabags AfterWet'!$A$3:$A$841,0)),"")))</f>
        <v>0.71799999999999997</v>
      </c>
      <c r="T225" s="195">
        <f>IFERROR(INDEX('Both teabags AfterWet'!$C$3:$C$841,MATCH(I225,'Both teabags AfterWet'!$A$3:$A$841,0)),"")</f>
        <v>1.718</v>
      </c>
      <c r="U225" s="195">
        <f t="shared" si="31"/>
        <v>0.5673999999999999</v>
      </c>
      <c r="V225" s="195">
        <f t="shared" si="31"/>
        <v>1.5673999999999999</v>
      </c>
      <c r="W225" s="195">
        <f>IFERROR(INDEX('Ashed teabags wet'!$K$2:$K$821,MATCH(H225,'Ashed teabags wet'!$A$2:$A$821,0)),"")</f>
        <v>23.716990533134794</v>
      </c>
      <c r="X225" s="195">
        <f>IFERROR(INDEX('Ashed teabags wet'!$K$2:$K$821,MATCH(I225,'Ashed teabags wet'!$A$2:$A$821,0)),"")</f>
        <v>10.190151145782695</v>
      </c>
      <c r="Y225" s="195">
        <f t="shared" si="25"/>
        <v>0.43282979571499314</v>
      </c>
      <c r="Z225" s="195">
        <f t="shared" si="25"/>
        <v>1.4076795709410019</v>
      </c>
      <c r="AA225" s="195">
        <f t="shared" si="32"/>
        <v>0.75623003136704869</v>
      </c>
      <c r="AB225" s="195">
        <f t="shared" si="33"/>
        <v>0.49577075690571371</v>
      </c>
      <c r="AC225" s="195">
        <f t="shared" si="26"/>
        <v>0.73527360535979447</v>
      </c>
      <c r="AD225">
        <f t="shared" si="27"/>
        <v>54</v>
      </c>
      <c r="AE225" s="195">
        <f t="shared" si="34"/>
        <v>0.1018645708229825</v>
      </c>
      <c r="AF225" s="195">
        <f t="shared" si="35"/>
        <v>1.413896110563434E-2</v>
      </c>
      <c r="AG225" s="255" t="str">
        <f>IF(ISNUMBER(SEARCH("C",'WetLitterbags placem_collection'!AD152)),"YES","NO")</f>
        <v>NO</v>
      </c>
      <c r="AH225" s="255" t="str">
        <f>IF(ISNUMBER(SEARCH("H", 'WetLitterbags placem_collection'!AD152)),"YES","NO")</f>
        <v>NO</v>
      </c>
      <c r="AI225" s="255" t="str">
        <f>IF(ISNUMBER(SEARCH("R", 'WetLitterbags placem_collection'!AD152)),"YES","NO")</f>
        <v>NO</v>
      </c>
      <c r="AJ225" s="255" t="str">
        <f>IF(ISNUMBER(SEARCH("C", 'WetLitterbags placem_collection'!AC152)),"YES","NO")</f>
        <v>NO</v>
      </c>
      <c r="AK225" s="255" t="str">
        <f>IF(ISNUMBER(SEARCH("H", 'WetLitterbags placem_collection'!AC152)),"YES","NO")</f>
        <v>NO</v>
      </c>
      <c r="AL225" s="255" t="str">
        <f>IF(ISNUMBER(SEARCH("R", 'WetLitterbags placem_collection'!AC152)),"YES","NO")</f>
        <v>NO</v>
      </c>
    </row>
    <row r="226" spans="2:38">
      <c r="B226" t="str">
        <f>'Final data_for_R_analysis_Wetse'!A152</f>
        <v>Wet</v>
      </c>
      <c r="C226" s="263">
        <f>'Final data_for_R_analysis_Wetse'!B152</f>
        <v>151</v>
      </c>
      <c r="D226" t="s">
        <v>3849</v>
      </c>
      <c r="E226" t="s">
        <v>22</v>
      </c>
      <c r="F226" s="387">
        <v>7</v>
      </c>
      <c r="G226" s="16">
        <f>'WetLitterbags placem_collection'!E153</f>
        <v>42762</v>
      </c>
      <c r="H226" t="str">
        <f>'Final data_for_R_analysis_Wetse'!J152</f>
        <v>G567</v>
      </c>
      <c r="I226" t="str">
        <f>'Final data_for_R_analysis_Wetse'!J372</f>
        <v>R447</v>
      </c>
      <c r="J226">
        <f>IFERROR(INDEX('Green_rooibos initial weight'!$C$5:$C$1749,MATCH(H226, 'Green_rooibos initial weight'!$A$5:$A$1749,0)),"")</f>
        <v>2.0569999999999999</v>
      </c>
      <c r="K226">
        <f>IFERROR(INDEX('Green_rooibos initial weight'!$C$5:$C$1749,MATCH(I226, 'Green_rooibos initial weight'!$A$5:$A$1749,0)),"")</f>
        <v>2.206</v>
      </c>
      <c r="L226" s="195">
        <f t="shared" si="28"/>
        <v>1.8071999999999999</v>
      </c>
      <c r="M226" s="195">
        <f>AVERAGE(Ashed_controlls!$K$2:$K$11)</f>
        <v>5.5147656768714146</v>
      </c>
      <c r="N226" s="195">
        <f t="shared" si="24"/>
        <v>1.7075371546875797</v>
      </c>
      <c r="O226" s="195">
        <f t="shared" si="29"/>
        <v>1.9561999999999999</v>
      </c>
      <c r="P226" s="195">
        <f>AVERAGE(Ashed_controlls!$K$12:$K$14)</f>
        <v>2.2816647271287041</v>
      </c>
      <c r="Q226" s="195">
        <f t="shared" si="30"/>
        <v>1.9115660746079082</v>
      </c>
      <c r="R226" s="16">
        <f>IF('WetLitterbags placem_collection'!G153="N.A","",'WetLitterbags placem_collection'!G153)</f>
        <v>42816</v>
      </c>
      <c r="S226" s="195">
        <f>IF(IFERROR(INDEX('Both teabags AfterWet'!$C$3:$C$841,MATCH(H226,'Both teabags AfterWet'!$A$3:$A$841,0)),"")="N.A","",(IFERROR(INDEX('Both teabags AfterWet'!$C$3:$C$841,MATCH(H226,'Both teabags AfterWet'!$A$3:$A$841,0)),"")))</f>
        <v>0.86499999999999999</v>
      </c>
      <c r="T226" s="195">
        <f>IFERROR(INDEX('Both teabags AfterWet'!$C$3:$C$841,MATCH(I226,'Both teabags AfterWet'!$A$3:$A$841,0)),"")</f>
        <v>1.782</v>
      </c>
      <c r="U226" s="195">
        <f t="shared" si="31"/>
        <v>0.71439999999999992</v>
      </c>
      <c r="V226" s="195">
        <f t="shared" si="31"/>
        <v>1.6314</v>
      </c>
      <c r="W226" s="195">
        <f>IFERROR(INDEX('Ashed teabags wet'!$K$2:$K$821,MATCH(H226,'Ashed teabags wet'!$A$2:$A$821,0)),"")</f>
        <v>20.077034183919789</v>
      </c>
      <c r="X226" s="195">
        <f>IFERROR(INDEX('Ashed teabags wet'!$K$2:$K$821,MATCH(I226,'Ashed teabags wet'!$A$2:$A$821,0)),"")</f>
        <v>6.4642507345735885</v>
      </c>
      <c r="Y226" s="195">
        <f t="shared" si="25"/>
        <v>0.57096966779007696</v>
      </c>
      <c r="Z226" s="195">
        <f t="shared" si="25"/>
        <v>1.5259422135161664</v>
      </c>
      <c r="AA226" s="195">
        <f t="shared" si="32"/>
        <v>0.66561801233862772</v>
      </c>
      <c r="AB226" s="195">
        <f t="shared" si="33"/>
        <v>0.43636715298209328</v>
      </c>
      <c r="AC226" s="195">
        <f t="shared" si="26"/>
        <v>0.79826809744421778</v>
      </c>
      <c r="AD226">
        <f t="shared" si="27"/>
        <v>54</v>
      </c>
      <c r="AE226" s="195">
        <f t="shared" si="34"/>
        <v>0.20947979532229488</v>
      </c>
      <c r="AF226" s="195">
        <f t="shared" si="35"/>
        <v>1.1489848157017422E-2</v>
      </c>
      <c r="AG226" s="255" t="str">
        <f>IF(ISNUMBER(SEARCH("C",'WetLitterbags placem_collection'!AD153)),"YES","NO")</f>
        <v>NO</v>
      </c>
      <c r="AH226" s="255" t="str">
        <f>IF(ISNUMBER(SEARCH("H", 'WetLitterbags placem_collection'!AD153)),"YES","NO")</f>
        <v>NO</v>
      </c>
      <c r="AI226" s="255" t="str">
        <f>IF(ISNUMBER(SEARCH("R", 'WetLitterbags placem_collection'!AD153)),"YES","NO")</f>
        <v>NO</v>
      </c>
      <c r="AJ226" s="255" t="str">
        <f>IF(ISNUMBER(SEARCH("C", 'WetLitterbags placem_collection'!AC153)),"YES","NO")</f>
        <v>NO</v>
      </c>
      <c r="AK226" s="255" t="str">
        <f>IF(ISNUMBER(SEARCH("H", 'WetLitterbags placem_collection'!AC153)),"YES","NO")</f>
        <v>NO</v>
      </c>
      <c r="AL226" s="255" t="str">
        <f>IF(ISNUMBER(SEARCH("R", 'WetLitterbags placem_collection'!AC153)),"YES","NO")</f>
        <v>NO</v>
      </c>
    </row>
    <row r="227" spans="2:38">
      <c r="B227" t="str">
        <f>'Final data_for_R_analysis_Wetse'!A153</f>
        <v>Wet</v>
      </c>
      <c r="C227" s="263">
        <f>'Final data_for_R_analysis_Wetse'!B153</f>
        <v>152</v>
      </c>
      <c r="D227" t="s">
        <v>3849</v>
      </c>
      <c r="E227" t="s">
        <v>22</v>
      </c>
      <c r="F227" s="387">
        <v>8</v>
      </c>
      <c r="G227" s="16">
        <f>'WetLitterbags placem_collection'!E154</f>
        <v>42762</v>
      </c>
      <c r="H227" t="str">
        <f>'Final data_for_R_analysis_Wetse'!J153</f>
        <v>G853</v>
      </c>
      <c r="I227" t="str">
        <f>'Final data_for_R_analysis_Wetse'!J373</f>
        <v>R591</v>
      </c>
      <c r="J227">
        <f>IFERROR(INDEX('Green_rooibos initial weight'!$C$5:$C$1749,MATCH(H227, 'Green_rooibos initial weight'!$A$5:$A$1749,0)),"")</f>
        <v>1.972</v>
      </c>
      <c r="K227">
        <f>IFERROR(INDEX('Green_rooibos initial weight'!$C$5:$C$1749,MATCH(I227, 'Green_rooibos initial weight'!$A$5:$A$1749,0)),"")</f>
        <v>2.2599999999999998</v>
      </c>
      <c r="L227" s="195">
        <f t="shared" si="28"/>
        <v>1.7222</v>
      </c>
      <c r="M227" s="195">
        <f>AVERAGE(Ashed_controlls!$K$2:$K$11)</f>
        <v>5.5147656768714146</v>
      </c>
      <c r="N227" s="195">
        <f t="shared" si="24"/>
        <v>1.6272247055129205</v>
      </c>
      <c r="O227" s="195">
        <f t="shared" si="29"/>
        <v>2.0101999999999998</v>
      </c>
      <c r="P227" s="195">
        <f>AVERAGE(Ashed_controlls!$K$12:$K$14)</f>
        <v>2.2816647271287041</v>
      </c>
      <c r="Q227" s="195">
        <f t="shared" si="30"/>
        <v>1.9643339756552585</v>
      </c>
      <c r="R227" s="16">
        <f>IF('WetLitterbags placem_collection'!G154="N.A","",'WetLitterbags placem_collection'!G154)</f>
        <v>42816</v>
      </c>
      <c r="S227" s="195">
        <f>IF(IFERROR(INDEX('Both teabags AfterWet'!$C$3:$C$841,MATCH(H227,'Both teabags AfterWet'!$A$3:$A$841,0)),"")="N.A","",(IFERROR(INDEX('Both teabags AfterWet'!$C$3:$C$841,MATCH(H227,'Both teabags AfterWet'!$A$3:$A$841,0)),"")))</f>
        <v>0.58509999999999995</v>
      </c>
      <c r="T227" s="195">
        <f>IFERROR(INDEX('Both teabags AfterWet'!$C$3:$C$841,MATCH(I227,'Both teabags AfterWet'!$A$3:$A$841,0)),"")</f>
        <v>1.6958</v>
      </c>
      <c r="U227" s="195">
        <f t="shared" si="31"/>
        <v>0.43449999999999994</v>
      </c>
      <c r="V227" s="195">
        <f t="shared" si="31"/>
        <v>1.5451999999999999</v>
      </c>
      <c r="W227" s="195">
        <f>IFERROR(INDEX('Ashed teabags wet'!$K$2:$K$821,MATCH(H227,'Ashed teabags wet'!$A$2:$A$821,0)),"")</f>
        <v>20.802377414561477</v>
      </c>
      <c r="X227" s="195">
        <f>IFERROR(INDEX('Ashed teabags wet'!$K$2:$K$821,MATCH(I227,'Ashed teabags wet'!$A$2:$A$821,0)),"")</f>
        <v>6.0969755160831145</v>
      </c>
      <c r="Y227" s="195">
        <f t="shared" si="25"/>
        <v>0.34411367013373034</v>
      </c>
      <c r="Z227" s="195">
        <f t="shared" si="25"/>
        <v>1.4509895343254837</v>
      </c>
      <c r="AA227" s="195">
        <f t="shared" si="32"/>
        <v>0.78852725811751878</v>
      </c>
      <c r="AB227" s="195">
        <f t="shared" si="33"/>
        <v>0.5169442357254993</v>
      </c>
      <c r="AC227" s="195">
        <f t="shared" si="26"/>
        <v>0.73866743247744604</v>
      </c>
      <c r="AD227">
        <f t="shared" si="27"/>
        <v>54</v>
      </c>
      <c r="AE227" s="195">
        <f t="shared" si="34"/>
        <v>6.3506819337863618E-2</v>
      </c>
      <c r="AF227" s="195">
        <f t="shared" si="35"/>
        <v>1.3042141402172625E-2</v>
      </c>
      <c r="AG227" s="255" t="str">
        <f>IF(ISNUMBER(SEARCH("C",'WetLitterbags placem_collection'!AD154)),"YES","NO")</f>
        <v>NO</v>
      </c>
      <c r="AH227" s="255" t="str">
        <f>IF(ISNUMBER(SEARCH("H", 'WetLitterbags placem_collection'!AD154)),"YES","NO")</f>
        <v>YES</v>
      </c>
      <c r="AI227" s="255" t="str">
        <f>IF(ISNUMBER(SEARCH("R", 'WetLitterbags placem_collection'!AD154)),"YES","NO")</f>
        <v>YES</v>
      </c>
      <c r="AJ227" s="255" t="str">
        <f>IF(ISNUMBER(SEARCH("C", 'WetLitterbags placem_collection'!AC154)),"YES","NO")</f>
        <v>NO</v>
      </c>
      <c r="AK227" s="255" t="str">
        <f>IF(ISNUMBER(SEARCH("H", 'WetLitterbags placem_collection'!AC154)),"YES","NO")</f>
        <v>NO</v>
      </c>
      <c r="AL227" s="255" t="str">
        <f>IF(ISNUMBER(SEARCH("R", 'WetLitterbags placem_collection'!AC154)),"YES","NO")</f>
        <v>NO</v>
      </c>
    </row>
    <row r="228" spans="2:38">
      <c r="B228" t="str">
        <f>'Final data_for_R_analysis_Wetse'!A154</f>
        <v>Wet</v>
      </c>
      <c r="C228" s="263">
        <f>'Final data_for_R_analysis_Wetse'!B154</f>
        <v>153</v>
      </c>
      <c r="D228" t="s">
        <v>3850</v>
      </c>
      <c r="E228" t="s">
        <v>22</v>
      </c>
      <c r="F228" s="386">
        <v>1</v>
      </c>
      <c r="G228" s="16">
        <f>'WetLitterbags placem_collection'!E155</f>
        <v>42762</v>
      </c>
      <c r="H228" t="str">
        <f>'Final data_for_R_analysis_Wetse'!J154</f>
        <v>G800</v>
      </c>
      <c r="I228" t="str">
        <f>'Final data_for_R_analysis_Wetse'!J374</f>
        <v>R479</v>
      </c>
      <c r="J228">
        <f>IFERROR(INDEX('Green_rooibos initial weight'!$C$5:$C$1749,MATCH(H228, 'Green_rooibos initial weight'!$A$5:$A$1749,0)),"")</f>
        <v>2.1179999999999999</v>
      </c>
      <c r="K228">
        <f>IFERROR(INDEX('Green_rooibos initial weight'!$C$5:$C$1749,MATCH(I228, 'Green_rooibos initial weight'!$A$5:$A$1749,0)),"")</f>
        <v>2.2749999999999999</v>
      </c>
      <c r="L228" s="195">
        <f t="shared" si="28"/>
        <v>1.8681999999999999</v>
      </c>
      <c r="M228" s="195">
        <f>AVERAGE(Ashed_controlls!$K$2:$K$11)</f>
        <v>5.5147656768714146</v>
      </c>
      <c r="N228" s="195">
        <f t="shared" si="24"/>
        <v>1.7651731476246881</v>
      </c>
      <c r="O228" s="195">
        <f t="shared" si="29"/>
        <v>2.0251999999999999</v>
      </c>
      <c r="P228" s="195">
        <f>AVERAGE(Ashed_controlls!$K$12:$K$14)</f>
        <v>2.2816647271287041</v>
      </c>
      <c r="Q228" s="195">
        <f t="shared" si="30"/>
        <v>1.9789917259461893</v>
      </c>
      <c r="R228" s="16">
        <f>IF('WetLitterbags placem_collection'!G155="N.A","",'WetLitterbags placem_collection'!G155)</f>
        <v>42816</v>
      </c>
      <c r="S228" s="195">
        <f>IF(IFERROR(INDEX('Both teabags AfterWet'!$C$3:$C$841,MATCH(H228,'Both teabags AfterWet'!$A$3:$A$841,0)),"")="N.A","",(IFERROR(INDEX('Both teabags AfterWet'!$C$3:$C$841,MATCH(H228,'Both teabags AfterWet'!$A$3:$A$841,0)),"")))</f>
        <v>0.58630000000000004</v>
      </c>
      <c r="T228" s="195">
        <f>IFERROR(INDEX('Both teabags AfterWet'!$C$3:$C$841,MATCH(I228,'Both teabags AfterWet'!$A$3:$A$841,0)),"")</f>
        <v>1.2541</v>
      </c>
      <c r="U228" s="195">
        <f t="shared" si="31"/>
        <v>0.43570000000000003</v>
      </c>
      <c r="V228" s="195">
        <f t="shared" si="31"/>
        <v>1.1034999999999999</v>
      </c>
      <c r="W228" s="195">
        <f>IFERROR(INDEX('Ashed teabags wet'!$K$2:$K$821,MATCH(H228,'Ashed teabags wet'!$A$2:$A$821,0)),"")</f>
        <v>16.871618298081419</v>
      </c>
      <c r="X228" s="195">
        <f>IFERROR(INDEX('Ashed teabags wet'!$K$2:$K$821,MATCH(I228,'Ashed teabags wet'!$A$2:$A$821,0)),"")</f>
        <v>77.007481296757646</v>
      </c>
      <c r="Y228" s="195">
        <f t="shared" si="25"/>
        <v>0.36219035907525926</v>
      </c>
      <c r="Z228" s="195">
        <f t="shared" si="25"/>
        <v>0.25372244389027931</v>
      </c>
      <c r="AA228" s="195">
        <f t="shared" si="32"/>
        <v>0.79481312665409509</v>
      </c>
      <c r="AB228" s="195">
        <f t="shared" si="33"/>
        <v>0.52106513766396745</v>
      </c>
      <c r="AC228" s="195">
        <f t="shared" si="26"/>
        <v>0.12820793566934716</v>
      </c>
      <c r="AD228">
        <f t="shared" si="27"/>
        <v>54</v>
      </c>
      <c r="AE228" s="195">
        <f t="shared" si="34"/>
        <v>5.6041417275421446E-2</v>
      </c>
      <c r="AF228" s="195" t="str">
        <f t="shared" si="35"/>
        <v/>
      </c>
      <c r="AG228" s="255" t="str">
        <f>IF(ISNUMBER(SEARCH("C",'WetLitterbags placem_collection'!AD155)),"YES","NO")</f>
        <v>NO</v>
      </c>
      <c r="AH228" s="255" t="str">
        <f>IF(ISNUMBER(SEARCH("H", 'WetLitterbags placem_collection'!AD155)),"YES","NO")</f>
        <v>NO</v>
      </c>
      <c r="AI228" s="255" t="str">
        <f>IF(ISNUMBER(SEARCH("R", 'WetLitterbags placem_collection'!AD155)),"YES","NO")</f>
        <v>NO</v>
      </c>
      <c r="AJ228" s="255" t="str">
        <f>IF(ISNUMBER(SEARCH("C", 'WetLitterbags placem_collection'!AC155)),"YES","NO")</f>
        <v>NO</v>
      </c>
      <c r="AK228" s="255" t="str">
        <f>IF(ISNUMBER(SEARCH("H", 'WetLitterbags placem_collection'!AC155)),"YES","NO")</f>
        <v>NO</v>
      </c>
      <c r="AL228" s="255" t="str">
        <f>IF(ISNUMBER(SEARCH("R", 'WetLitterbags placem_collection'!AC155)),"YES","NO")</f>
        <v>NO</v>
      </c>
    </row>
    <row r="229" spans="2:38">
      <c r="B229" t="str">
        <f>'Final data_for_R_analysis_Wetse'!A155</f>
        <v>Wet</v>
      </c>
      <c r="C229" s="263">
        <f>'Final data_for_R_analysis_Wetse'!B155</f>
        <v>154</v>
      </c>
      <c r="D229" t="s">
        <v>3850</v>
      </c>
      <c r="E229" t="s">
        <v>22</v>
      </c>
      <c r="F229" s="386">
        <v>2</v>
      </c>
      <c r="G229" s="16">
        <f>'WetLitterbags placem_collection'!E156</f>
        <v>42762</v>
      </c>
      <c r="H229" t="str">
        <f>'Final data_for_R_analysis_Wetse'!J155</f>
        <v>G675</v>
      </c>
      <c r="I229" t="str">
        <f>'Final data_for_R_analysis_Wetse'!J375</f>
        <v>R493</v>
      </c>
      <c r="J229">
        <f>IFERROR(INDEX('Green_rooibos initial weight'!$C$5:$C$1749,MATCH(H229, 'Green_rooibos initial weight'!$A$5:$A$1749,0)),"")</f>
        <v>1.9950000000000001</v>
      </c>
      <c r="K229">
        <f>IFERROR(INDEX('Green_rooibos initial weight'!$C$5:$C$1749,MATCH(I229, 'Green_rooibos initial weight'!$A$5:$A$1749,0)),"")</f>
        <v>2.2410000000000001</v>
      </c>
      <c r="L229" s="195">
        <f t="shared" si="28"/>
        <v>1.7452000000000001</v>
      </c>
      <c r="M229" s="195">
        <f>AVERAGE(Ashed_controlls!$K$2:$K$11)</f>
        <v>5.5147656768714146</v>
      </c>
      <c r="N229" s="195">
        <f t="shared" si="24"/>
        <v>1.6489563094072401</v>
      </c>
      <c r="O229" s="195">
        <f t="shared" si="29"/>
        <v>1.9912000000000001</v>
      </c>
      <c r="P229" s="195">
        <f>AVERAGE(Ashed_controlls!$K$12:$K$14)</f>
        <v>2.2816647271287041</v>
      </c>
      <c r="Q229" s="195">
        <f t="shared" si="30"/>
        <v>1.9457674919534134</v>
      </c>
      <c r="R229" s="16">
        <f>IF('WetLitterbags placem_collection'!G156="N.A","",'WetLitterbags placem_collection'!G156)</f>
        <v>42816</v>
      </c>
      <c r="S229" s="195">
        <f>IF(IFERROR(INDEX('Both teabags AfterWet'!$C$3:$C$841,MATCH(H229,'Both teabags AfterWet'!$A$3:$A$841,0)),"")="N.A","",(IFERROR(INDEX('Both teabags AfterWet'!$C$3:$C$841,MATCH(H229,'Both teabags AfterWet'!$A$3:$A$841,0)),"")))</f>
        <v>0.61299999999999999</v>
      </c>
      <c r="T229" s="195">
        <f>IFERROR(INDEX('Both teabags AfterWet'!$C$3:$C$841,MATCH(I229,'Both teabags AfterWet'!$A$3:$A$841,0)),"")</f>
        <v>0.69099999999999995</v>
      </c>
      <c r="U229" s="195">
        <f t="shared" si="31"/>
        <v>0.46239999999999998</v>
      </c>
      <c r="V229" s="195">
        <f t="shared" si="31"/>
        <v>0.54039999999999999</v>
      </c>
      <c r="W229" s="195">
        <f>IFERROR(INDEX('Ashed teabags wet'!$K$2:$K$821,MATCH(H229,'Ashed teabags wet'!$A$2:$A$821,0)),"")</f>
        <v>18.033573141486571</v>
      </c>
      <c r="X229" s="195" t="str">
        <f>IFERROR(INDEX('Ashed teabags wet'!$K$2:$K$821,MATCH(I229,'Ashed teabags wet'!$A$2:$A$821,0)),"")</f>
        <v/>
      </c>
      <c r="Y229" s="195">
        <f t="shared" si="25"/>
        <v>0.37901275779376609</v>
      </c>
      <c r="Z229" s="195" t="str">
        <f t="shared" si="25"/>
        <v/>
      </c>
      <c r="AA229" s="195">
        <f t="shared" si="32"/>
        <v>0.77014990898696889</v>
      </c>
      <c r="AB229" s="195">
        <f t="shared" si="33"/>
        <v>0.50489637738813165</v>
      </c>
      <c r="AC229" s="195" t="str">
        <f t="shared" si="26"/>
        <v/>
      </c>
      <c r="AD229">
        <f t="shared" si="27"/>
        <v>54</v>
      </c>
      <c r="AE229" s="195">
        <f t="shared" si="34"/>
        <v>8.5332649659181858E-2</v>
      </c>
      <c r="AF229" s="195" t="str">
        <f t="shared" si="35"/>
        <v/>
      </c>
      <c r="AG229" s="255" t="str">
        <f>IF(ISNUMBER(SEARCH("C",'WetLitterbags placem_collection'!AD156)),"YES","NO")</f>
        <v>NO</v>
      </c>
      <c r="AH229" s="255" t="str">
        <f>IF(ISNUMBER(SEARCH("H", 'WetLitterbags placem_collection'!AD156)),"YES","NO")</f>
        <v>NO</v>
      </c>
      <c r="AI229" s="255" t="str">
        <f>IF(ISNUMBER(SEARCH("R", 'WetLitterbags placem_collection'!AD156)),"YES","NO")</f>
        <v>NO</v>
      </c>
      <c r="AJ229" s="255" t="str">
        <f>IF(ISNUMBER(SEARCH("C", 'WetLitterbags placem_collection'!AC156)),"YES","NO")</f>
        <v>NO</v>
      </c>
      <c r="AK229" s="255" t="str">
        <f>IF(ISNUMBER(SEARCH("H", 'WetLitterbags placem_collection'!AC156)),"YES","NO")</f>
        <v>NO</v>
      </c>
      <c r="AL229" s="255" t="str">
        <f>IF(ISNUMBER(SEARCH("R", 'WetLitterbags placem_collection'!AC156)),"YES","NO")</f>
        <v>NO</v>
      </c>
    </row>
    <row r="230" spans="2:38">
      <c r="B230" t="str">
        <f>'Final data_for_R_analysis_Wetse'!A156</f>
        <v>Wet</v>
      </c>
      <c r="C230" s="263">
        <f>'Final data_for_R_analysis_Wetse'!B156</f>
        <v>155</v>
      </c>
      <c r="D230" t="s">
        <v>3850</v>
      </c>
      <c r="E230" t="s">
        <v>22</v>
      </c>
      <c r="F230" s="386">
        <v>3</v>
      </c>
      <c r="G230" s="16">
        <f>'WetLitterbags placem_collection'!E157</f>
        <v>42762</v>
      </c>
      <c r="H230" t="str">
        <f>'Final data_for_R_analysis_Wetse'!J156</f>
        <v>G859</v>
      </c>
      <c r="I230" t="str">
        <f>'Final data_for_R_analysis_Wetse'!J376</f>
        <v>R484</v>
      </c>
      <c r="J230">
        <f>IFERROR(INDEX('Green_rooibos initial weight'!$C$5:$C$1749,MATCH(H230, 'Green_rooibos initial weight'!$A$5:$A$1749,0)),"")</f>
        <v>2</v>
      </c>
      <c r="K230">
        <f>IFERROR(INDEX('Green_rooibos initial weight'!$C$5:$C$1749,MATCH(I230, 'Green_rooibos initial weight'!$A$5:$A$1749,0)),"")</f>
        <v>2.1850000000000001</v>
      </c>
      <c r="L230" s="195">
        <f t="shared" si="28"/>
        <v>1.7502</v>
      </c>
      <c r="M230" s="195">
        <f>AVERAGE(Ashed_controlls!$K$2:$K$11)</f>
        <v>5.5147656768714146</v>
      </c>
      <c r="N230" s="195">
        <f t="shared" si="24"/>
        <v>1.6536805711233964</v>
      </c>
      <c r="O230" s="195">
        <f t="shared" si="29"/>
        <v>1.9352</v>
      </c>
      <c r="P230" s="195">
        <f>AVERAGE(Ashed_controlls!$K$12:$K$14)</f>
        <v>2.2816647271287041</v>
      </c>
      <c r="Q230" s="195">
        <f t="shared" si="30"/>
        <v>1.8910452242006053</v>
      </c>
      <c r="R230" s="16">
        <f>IF('WetLitterbags placem_collection'!G157="N.A","",'WetLitterbags placem_collection'!G157)</f>
        <v>42816</v>
      </c>
      <c r="S230" s="195">
        <f>IF(IFERROR(INDEX('Both teabags AfterWet'!$C$3:$C$841,MATCH(H230,'Both teabags AfterWet'!$A$3:$A$841,0)),"")="N.A","",(IFERROR(INDEX('Both teabags AfterWet'!$C$3:$C$841,MATCH(H230,'Both teabags AfterWet'!$A$3:$A$841,0)),"")))</f>
        <v>0.71599999999999997</v>
      </c>
      <c r="T230" s="195">
        <f>IFERROR(INDEX('Both teabags AfterWet'!$C$3:$C$841,MATCH(I230,'Both teabags AfterWet'!$A$3:$A$841,0)),"")</f>
        <v>1.7509999999999999</v>
      </c>
      <c r="U230" s="195">
        <f t="shared" si="31"/>
        <v>0.5653999999999999</v>
      </c>
      <c r="V230" s="195">
        <f t="shared" si="31"/>
        <v>1.6003999999999998</v>
      </c>
      <c r="W230" s="195">
        <f>IFERROR(INDEX('Ashed teabags wet'!$K$2:$K$821,MATCH(H230,'Ashed teabags wet'!$A$2:$A$821,0)),"")</f>
        <v>17.148456638902378</v>
      </c>
      <c r="X230" s="195">
        <f>IFERROR(INDEX('Ashed teabags wet'!$K$2:$K$821,MATCH(I230,'Ashed teabags wet'!$A$2:$A$821,0)),"")</f>
        <v>9.822309970384735</v>
      </c>
      <c r="Y230" s="195">
        <f t="shared" si="25"/>
        <v>0.4684426261636459</v>
      </c>
      <c r="Z230" s="195">
        <f t="shared" si="25"/>
        <v>1.4432037512339626</v>
      </c>
      <c r="AA230" s="195">
        <f t="shared" si="32"/>
        <v>0.71672726018337496</v>
      </c>
      <c r="AB230" s="195">
        <f t="shared" si="33"/>
        <v>0.46987345323185631</v>
      </c>
      <c r="AC230" s="195">
        <f t="shared" si="26"/>
        <v>0.76317780916320654</v>
      </c>
      <c r="AD230">
        <f t="shared" si="27"/>
        <v>54</v>
      </c>
      <c r="AE230" s="195">
        <f t="shared" si="34"/>
        <v>0.14877997602924586</v>
      </c>
      <c r="AF230" s="195">
        <f t="shared" si="35"/>
        <v>1.2985277228910146E-2</v>
      </c>
      <c r="AG230" s="255" t="str">
        <f>IF(ISNUMBER(SEARCH("C",'WetLitterbags placem_collection'!AD157)),"YES","NO")</f>
        <v>NO</v>
      </c>
      <c r="AH230" s="255" t="str">
        <f>IF(ISNUMBER(SEARCH("H", 'WetLitterbags placem_collection'!AD157)),"YES","NO")</f>
        <v>NO</v>
      </c>
      <c r="AI230" s="255" t="str">
        <f>IF(ISNUMBER(SEARCH("R", 'WetLitterbags placem_collection'!AD157)),"YES","NO")</f>
        <v>NO</v>
      </c>
      <c r="AJ230" s="255" t="str">
        <f>IF(ISNUMBER(SEARCH("C", 'WetLitterbags placem_collection'!AC157)),"YES","NO")</f>
        <v>NO</v>
      </c>
      <c r="AK230" s="255" t="str">
        <f>IF(ISNUMBER(SEARCH("H", 'WetLitterbags placem_collection'!AC157)),"YES","NO")</f>
        <v>NO</v>
      </c>
      <c r="AL230" s="255" t="str">
        <f>IF(ISNUMBER(SEARCH("R", 'WetLitterbags placem_collection'!AC157)),"YES","NO")</f>
        <v>NO</v>
      </c>
    </row>
    <row r="231" spans="2:38">
      <c r="B231" t="str">
        <f>'Final data_for_R_analysis_Wetse'!A157</f>
        <v>Wet</v>
      </c>
      <c r="C231" s="263">
        <f>'Final data_for_R_analysis_Wetse'!B157</f>
        <v>156</v>
      </c>
      <c r="D231" t="s">
        <v>3850</v>
      </c>
      <c r="E231" t="s">
        <v>22</v>
      </c>
      <c r="F231" s="387">
        <v>4</v>
      </c>
      <c r="G231" s="16">
        <f>'WetLitterbags placem_collection'!E158</f>
        <v>42762</v>
      </c>
      <c r="H231" t="str">
        <f>'Final data_for_R_analysis_Wetse'!J157</f>
        <v>G654</v>
      </c>
      <c r="I231" t="str">
        <f>'Final data_for_R_analysis_Wetse'!J377</f>
        <v>R598</v>
      </c>
      <c r="J231">
        <f>IFERROR(INDEX('Green_rooibos initial weight'!$C$5:$C$1749,MATCH(H231, 'Green_rooibos initial weight'!$A$5:$A$1749,0)),"")</f>
        <v>2.0169999999999999</v>
      </c>
      <c r="K231">
        <f>IFERROR(INDEX('Green_rooibos initial weight'!$C$5:$C$1749,MATCH(I231, 'Green_rooibos initial weight'!$A$5:$A$1749,0)),"")</f>
        <v>2.206</v>
      </c>
      <c r="L231" s="195">
        <f t="shared" si="28"/>
        <v>1.7671999999999999</v>
      </c>
      <c r="M231" s="195">
        <f>AVERAGE(Ashed_controlls!$K$2:$K$11)</f>
        <v>5.5147656768714146</v>
      </c>
      <c r="N231" s="195">
        <f t="shared" si="24"/>
        <v>1.6697430609583281</v>
      </c>
      <c r="O231" s="195">
        <f t="shared" si="29"/>
        <v>1.9561999999999999</v>
      </c>
      <c r="P231" s="195">
        <f>AVERAGE(Ashed_controlls!$K$12:$K$14)</f>
        <v>2.2816647271287041</v>
      </c>
      <c r="Q231" s="195">
        <f t="shared" si="30"/>
        <v>1.9115660746079082</v>
      </c>
      <c r="R231" s="16">
        <f>IF('WetLitterbags placem_collection'!G158="N.A","",'WetLitterbags placem_collection'!G158)</f>
        <v>42816</v>
      </c>
      <c r="S231" s="195">
        <f>IF(IFERROR(INDEX('Both teabags AfterWet'!$C$3:$C$841,MATCH(H231,'Both teabags AfterWet'!$A$3:$A$841,0)),"")="N.A","",(IFERROR(INDEX('Both teabags AfterWet'!$C$3:$C$841,MATCH(H231,'Both teabags AfterWet'!$A$3:$A$841,0)),"")))</f>
        <v>0.73799999999999999</v>
      </c>
      <c r="T231" s="195">
        <f>IFERROR(INDEX('Both teabags AfterWet'!$C$3:$C$841,MATCH(I231,'Both teabags AfterWet'!$A$3:$A$841,0)),"")</f>
        <v>1.8080000000000001</v>
      </c>
      <c r="U231" s="195">
        <f t="shared" si="31"/>
        <v>0.58739999999999992</v>
      </c>
      <c r="V231" s="195">
        <f t="shared" si="31"/>
        <v>1.6574</v>
      </c>
      <c r="W231" s="195">
        <f>IFERROR(INDEX('Ashed teabags wet'!$K$2:$K$821,MATCH(H231,'Ashed teabags wet'!$A$2:$A$821,0)),"")</f>
        <v>25.036109773712322</v>
      </c>
      <c r="X231" s="195">
        <f>IFERROR(INDEX('Ashed teabags wet'!$K$2:$K$821,MATCH(I231,'Ashed teabags wet'!$A$2:$A$821,0)),"")</f>
        <v>7.6581027667986037</v>
      </c>
      <c r="Y231" s="195">
        <f t="shared" si="25"/>
        <v>0.44033789118921374</v>
      </c>
      <c r="Z231" s="195">
        <f t="shared" si="25"/>
        <v>1.5304746047430799</v>
      </c>
      <c r="AA231" s="195">
        <f t="shared" si="32"/>
        <v>0.73628404184744012</v>
      </c>
      <c r="AB231" s="195">
        <f t="shared" si="33"/>
        <v>0.48269452624677789</v>
      </c>
      <c r="AC231" s="195">
        <f t="shared" si="26"/>
        <v>0.80063913305063439</v>
      </c>
      <c r="AD231">
        <f t="shared" si="27"/>
        <v>54</v>
      </c>
      <c r="AE231" s="195">
        <f t="shared" si="34"/>
        <v>0.12555339448047487</v>
      </c>
      <c r="AF231" s="195">
        <f t="shared" si="35"/>
        <v>9.8659035455426619E-3</v>
      </c>
      <c r="AG231" s="255" t="str">
        <f>IF(ISNUMBER(SEARCH("C",'WetLitterbags placem_collection'!AD158)),"YES","NO")</f>
        <v>YES</v>
      </c>
      <c r="AH231" s="255" t="str">
        <f>IF(ISNUMBER(SEARCH("H", 'WetLitterbags placem_collection'!AD158)),"YES","NO")</f>
        <v>YES</v>
      </c>
      <c r="AI231" s="255" t="str">
        <f>IF(ISNUMBER(SEARCH("R", 'WetLitterbags placem_collection'!AD158)),"YES","NO")</f>
        <v>NO</v>
      </c>
      <c r="AJ231" s="255" t="str">
        <f>IF(ISNUMBER(SEARCH("C", 'WetLitterbags placem_collection'!AC158)),"YES","NO")</f>
        <v>NO</v>
      </c>
      <c r="AK231" s="255" t="str">
        <f>IF(ISNUMBER(SEARCH("H", 'WetLitterbags placem_collection'!AC158)),"YES","NO")</f>
        <v>NO</v>
      </c>
      <c r="AL231" s="255" t="str">
        <f>IF(ISNUMBER(SEARCH("R", 'WetLitterbags placem_collection'!AC158)),"YES","NO")</f>
        <v>NO</v>
      </c>
    </row>
    <row r="232" spans="2:38">
      <c r="B232" t="str">
        <f>'Final data_for_R_analysis_Wetse'!A158</f>
        <v>Wet</v>
      </c>
      <c r="C232" s="263">
        <f>'Final data_for_R_analysis_Wetse'!B158</f>
        <v>157</v>
      </c>
      <c r="D232" t="s">
        <v>3850</v>
      </c>
      <c r="E232" t="s">
        <v>22</v>
      </c>
      <c r="F232" s="387">
        <v>5</v>
      </c>
      <c r="G232" s="16">
        <f>'WetLitterbags placem_collection'!E159</f>
        <v>42762</v>
      </c>
      <c r="H232" t="str">
        <f>'Final data_for_R_analysis_Wetse'!J158</f>
        <v>G890</v>
      </c>
      <c r="I232" t="str">
        <f>'Final data_for_R_analysis_Wetse'!J378</f>
        <v>R30</v>
      </c>
      <c r="J232">
        <f>IFERROR(INDEX('Green_rooibos initial weight'!$C$5:$C$1749,MATCH(H232, 'Green_rooibos initial weight'!$A$5:$A$1749,0)),"")</f>
        <v>1.9930000000000001</v>
      </c>
      <c r="K232">
        <f>IFERROR(INDEX('Green_rooibos initial weight'!$C$5:$C$1749,MATCH(I232, 'Green_rooibos initial weight'!$A$5:$A$1749,0)),"")</f>
        <v>2.177</v>
      </c>
      <c r="L232" s="195">
        <f t="shared" si="28"/>
        <v>1.7432000000000001</v>
      </c>
      <c r="M232" s="195">
        <f>AVERAGE(Ashed_controlls!$K$2:$K$11)</f>
        <v>5.5147656768714146</v>
      </c>
      <c r="N232" s="195">
        <f t="shared" si="24"/>
        <v>1.6470666047207776</v>
      </c>
      <c r="O232" s="195">
        <f t="shared" si="29"/>
        <v>1.9272</v>
      </c>
      <c r="P232" s="195">
        <f>AVERAGE(Ashed_controlls!$K$12:$K$14)</f>
        <v>2.2816647271287041</v>
      </c>
      <c r="Q232" s="195">
        <f t="shared" si="30"/>
        <v>1.8832277573787757</v>
      </c>
      <c r="R232" s="16">
        <f>IF('WetLitterbags placem_collection'!G159="N.A","",'WetLitterbags placem_collection'!G159)</f>
        <v>42816</v>
      </c>
      <c r="S232" s="195">
        <f>IF(IFERROR(INDEX('Both teabags AfterWet'!$C$3:$C$841,MATCH(H232,'Both teabags AfterWet'!$A$3:$A$841,0)),"")="N.A","",(IFERROR(INDEX('Both teabags AfterWet'!$C$3:$C$841,MATCH(H232,'Both teabags AfterWet'!$A$3:$A$841,0)),"")))</f>
        <v>0.74099999999999999</v>
      </c>
      <c r="T232" s="195">
        <f>IFERROR(INDEX('Both teabags AfterWet'!$C$3:$C$841,MATCH(I232,'Both teabags AfterWet'!$A$3:$A$841,0)),"")</f>
        <v>1.825</v>
      </c>
      <c r="U232" s="195">
        <f t="shared" si="31"/>
        <v>0.59040000000000004</v>
      </c>
      <c r="V232" s="195">
        <f t="shared" si="31"/>
        <v>1.6743999999999999</v>
      </c>
      <c r="W232" s="195">
        <f>IFERROR(INDEX('Ashed teabags wet'!$K$2:$K$821,MATCH(H232,'Ashed teabags wet'!$A$2:$A$821,0)),"")</f>
        <v>13.769192669637922</v>
      </c>
      <c r="X232" s="195">
        <f>IFERROR(INDEX('Ashed teabags wet'!$K$2:$K$821,MATCH(I232,'Ashed teabags wet'!$A$2:$A$821,0)),"")</f>
        <v>8.6618004866182261</v>
      </c>
      <c r="Y232" s="195">
        <f t="shared" si="25"/>
        <v>0.50910668647845769</v>
      </c>
      <c r="Z232" s="195">
        <f t="shared" si="25"/>
        <v>1.5293668126520643</v>
      </c>
      <c r="AA232" s="195">
        <f t="shared" si="32"/>
        <v>0.69090097205585377</v>
      </c>
      <c r="AB232" s="195">
        <f t="shared" si="33"/>
        <v>0.45294220495823195</v>
      </c>
      <c r="AC232" s="195">
        <f t="shared" si="26"/>
        <v>0.81209869951192581</v>
      </c>
      <c r="AD232">
        <f t="shared" si="27"/>
        <v>54</v>
      </c>
      <c r="AE232" s="195">
        <f t="shared" si="34"/>
        <v>0.17945252724957983</v>
      </c>
      <c r="AF232" s="195">
        <f t="shared" si="35"/>
        <v>9.9237104426729769E-3</v>
      </c>
      <c r="AG232" s="255" t="str">
        <f>IF(ISNUMBER(SEARCH("C",'WetLitterbags placem_collection'!AD159)),"YES","NO")</f>
        <v>NO</v>
      </c>
      <c r="AH232" s="255" t="str">
        <f>IF(ISNUMBER(SEARCH("H", 'WetLitterbags placem_collection'!AD159)),"YES","NO")</f>
        <v>NO</v>
      </c>
      <c r="AI232" s="255" t="str">
        <f>IF(ISNUMBER(SEARCH("R", 'WetLitterbags placem_collection'!AD159)),"YES","NO")</f>
        <v>NO</v>
      </c>
      <c r="AJ232" s="255" t="str">
        <f>IF(ISNUMBER(SEARCH("C", 'WetLitterbags placem_collection'!AC159)),"YES","NO")</f>
        <v>NO</v>
      </c>
      <c r="AK232" s="255" t="str">
        <f>IF(ISNUMBER(SEARCH("H", 'WetLitterbags placem_collection'!AC159)),"YES","NO")</f>
        <v>NO</v>
      </c>
      <c r="AL232" s="255" t="str">
        <f>IF(ISNUMBER(SEARCH("R", 'WetLitterbags placem_collection'!AC159)),"YES","NO")</f>
        <v>NO</v>
      </c>
    </row>
    <row r="233" spans="2:38">
      <c r="B233" t="str">
        <f>'Final data_for_R_analysis_Wetse'!A159</f>
        <v>Wet</v>
      </c>
      <c r="C233" s="263">
        <f>'Final data_for_R_analysis_Wetse'!B159</f>
        <v>158</v>
      </c>
      <c r="D233" t="s">
        <v>3850</v>
      </c>
      <c r="E233" t="s">
        <v>22</v>
      </c>
      <c r="F233" s="387">
        <v>6</v>
      </c>
      <c r="G233" s="16">
        <f>'WetLitterbags placem_collection'!E160</f>
        <v>42762</v>
      </c>
      <c r="H233" t="str">
        <f>'Final data_for_R_analysis_Wetse'!J159</f>
        <v>G576</v>
      </c>
      <c r="I233" t="str">
        <f>'Final data_for_R_analysis_Wetse'!J379</f>
        <v>R16</v>
      </c>
      <c r="J233">
        <f>IFERROR(INDEX('Green_rooibos initial weight'!$C$5:$C$1749,MATCH(H233, 'Green_rooibos initial weight'!$A$5:$A$1749,0)),"")</f>
        <v>2.056</v>
      </c>
      <c r="K233">
        <f>IFERROR(INDEX('Green_rooibos initial weight'!$C$5:$C$1749,MATCH(I233, 'Green_rooibos initial weight'!$A$5:$A$1749,0)),"")</f>
        <v>2.2629999999999999</v>
      </c>
      <c r="L233" s="195">
        <f t="shared" si="28"/>
        <v>1.8062</v>
      </c>
      <c r="M233" s="195">
        <f>AVERAGE(Ashed_controlls!$K$2:$K$11)</f>
        <v>5.5147656768714146</v>
      </c>
      <c r="N233" s="195">
        <f t="shared" si="24"/>
        <v>1.7065923023443486</v>
      </c>
      <c r="O233" s="195">
        <f t="shared" si="29"/>
        <v>2.0131999999999999</v>
      </c>
      <c r="P233" s="195">
        <f>AVERAGE(Ashed_controlls!$K$12:$K$14)</f>
        <v>2.2816647271287041</v>
      </c>
      <c r="Q233" s="195">
        <f t="shared" si="30"/>
        <v>1.9672655257134448</v>
      </c>
      <c r="R233" s="16">
        <f>IF('WetLitterbags placem_collection'!G160="N.A","",'WetLitterbags placem_collection'!G160)</f>
        <v>42816</v>
      </c>
      <c r="S233" s="195">
        <f>IF(IFERROR(INDEX('Both teabags AfterWet'!$C$3:$C$841,MATCH(H233,'Both teabags AfterWet'!$A$3:$A$841,0)),"")="N.A","",(IFERROR(INDEX('Both teabags AfterWet'!$C$3:$C$841,MATCH(H233,'Both teabags AfterWet'!$A$3:$A$841,0)),"")))</f>
        <v>0.26600000000000001</v>
      </c>
      <c r="T233" s="195">
        <f>IFERROR(INDEX('Both teabags AfterWet'!$C$3:$C$841,MATCH(I233,'Both teabags AfterWet'!$A$3:$A$841,0)),"")</f>
        <v>1.786</v>
      </c>
      <c r="U233" s="195">
        <f t="shared" si="31"/>
        <v>0.1154</v>
      </c>
      <c r="V233" s="195">
        <f t="shared" si="31"/>
        <v>1.6354</v>
      </c>
      <c r="W233" s="195" t="str">
        <f>IFERROR(INDEX('Ashed teabags wet'!$K$2:$K$821,MATCH(H233,'Ashed teabags wet'!$A$2:$A$821,0)),"")</f>
        <v/>
      </c>
      <c r="X233" s="195">
        <f>IFERROR(INDEX('Ashed teabags wet'!$K$2:$K$821,MATCH(I233,'Ashed teabags wet'!$A$2:$A$821,0)),"")</f>
        <v>4.8505634492893828</v>
      </c>
      <c r="Y233" s="195" t="str">
        <f t="shared" si="25"/>
        <v/>
      </c>
      <c r="Z233" s="195">
        <f t="shared" si="25"/>
        <v>1.5560738853503213</v>
      </c>
      <c r="AA233" s="195" t="str">
        <f t="shared" si="32"/>
        <v/>
      </c>
      <c r="AB233" s="195" t="str">
        <f t="shared" si="33"/>
        <v/>
      </c>
      <c r="AC233" s="195">
        <f t="shared" si="26"/>
        <v>0.79098315149196674</v>
      </c>
      <c r="AD233">
        <f t="shared" si="27"/>
        <v>54</v>
      </c>
      <c r="AE233" s="195" t="str">
        <f t="shared" si="34"/>
        <v/>
      </c>
      <c r="AF233" s="195" t="str">
        <f t="shared" si="35"/>
        <v/>
      </c>
      <c r="AG233" s="255" t="str">
        <f>IF(ISNUMBER(SEARCH("C",'WetLitterbags placem_collection'!AD160)),"YES","NO")</f>
        <v>NO</v>
      </c>
      <c r="AH233" s="255" t="str">
        <f>IF(ISNUMBER(SEARCH("H", 'WetLitterbags placem_collection'!AD160)),"YES","NO")</f>
        <v>NO</v>
      </c>
      <c r="AI233" s="255" t="str">
        <f>IF(ISNUMBER(SEARCH("R", 'WetLitterbags placem_collection'!AD160)),"YES","NO")</f>
        <v>NO</v>
      </c>
      <c r="AJ233" s="255" t="str">
        <f>IF(ISNUMBER(SEARCH("C", 'WetLitterbags placem_collection'!AC160)),"YES","NO")</f>
        <v>NO</v>
      </c>
      <c r="AK233" s="255" t="str">
        <f>IF(ISNUMBER(SEARCH("H", 'WetLitterbags placem_collection'!AC160)),"YES","NO")</f>
        <v>NO</v>
      </c>
      <c r="AL233" s="255" t="str">
        <f>IF(ISNUMBER(SEARCH("R", 'WetLitterbags placem_collection'!AC160)),"YES","NO")</f>
        <v>NO</v>
      </c>
    </row>
    <row r="234" spans="2:38">
      <c r="B234" t="str">
        <f>'Final data_for_R_analysis_Wetse'!A160</f>
        <v>Wet</v>
      </c>
      <c r="C234" s="263">
        <f>'Final data_for_R_analysis_Wetse'!B160</f>
        <v>159</v>
      </c>
      <c r="D234" t="s">
        <v>3850</v>
      </c>
      <c r="E234" t="s">
        <v>22</v>
      </c>
      <c r="F234" s="387">
        <v>7</v>
      </c>
      <c r="G234" s="16">
        <f>'WetLitterbags placem_collection'!E161</f>
        <v>42762</v>
      </c>
      <c r="H234" t="str">
        <f>'Final data_for_R_analysis_Wetse'!J160</f>
        <v>G829</v>
      </c>
      <c r="I234" t="str">
        <f>'Final data_for_R_analysis_Wetse'!J380</f>
        <v>R499</v>
      </c>
      <c r="J234">
        <f>IFERROR(INDEX('Green_rooibos initial weight'!$C$5:$C$1749,MATCH(H234, 'Green_rooibos initial weight'!$A$5:$A$1749,0)),"")</f>
        <v>1.9610000000000001</v>
      </c>
      <c r="K234">
        <f>IFERROR(INDEX('Green_rooibos initial weight'!$C$5:$C$1749,MATCH(I234, 'Green_rooibos initial weight'!$A$5:$A$1749,0)),"")</f>
        <v>2.194</v>
      </c>
      <c r="L234" s="195">
        <f t="shared" si="28"/>
        <v>1.7112000000000001</v>
      </c>
      <c r="M234" s="195">
        <f>AVERAGE(Ashed_controlls!$K$2:$K$11)</f>
        <v>5.5147656768714146</v>
      </c>
      <c r="N234" s="195">
        <f t="shared" si="24"/>
        <v>1.6168313297373764</v>
      </c>
      <c r="O234" s="195">
        <f t="shared" si="29"/>
        <v>1.9441999999999999</v>
      </c>
      <c r="P234" s="195">
        <f>AVERAGE(Ashed_controlls!$K$12:$K$14)</f>
        <v>2.2816647271287041</v>
      </c>
      <c r="Q234" s="195">
        <f t="shared" si="30"/>
        <v>1.8998398743751637</v>
      </c>
      <c r="R234" s="16">
        <f>IF('WetLitterbags placem_collection'!G161="N.A","",'WetLitterbags placem_collection'!G161)</f>
        <v>42816</v>
      </c>
      <c r="S234" s="195">
        <f>IF(IFERROR(INDEX('Both teabags AfterWet'!$C$3:$C$841,MATCH(H234,'Both teabags AfterWet'!$A$3:$A$841,0)),"")="N.A","",(IFERROR(INDEX('Both teabags AfterWet'!$C$3:$C$841,MATCH(H234,'Both teabags AfterWet'!$A$3:$A$841,0)),"")))</f>
        <v>0.56499999999999995</v>
      </c>
      <c r="T234" s="195" t="str">
        <f>IFERROR(INDEX('Both teabags AfterWet'!$C$3:$C$841,MATCH(I234,'Both teabags AfterWet'!$A$3:$A$841,0)),"")</f>
        <v/>
      </c>
      <c r="U234" s="195">
        <f t="shared" si="31"/>
        <v>0.41439999999999994</v>
      </c>
      <c r="V234" s="195" t="str">
        <f t="shared" si="31"/>
        <v/>
      </c>
      <c r="W234" s="195" t="str">
        <f>IFERROR(INDEX('Ashed teabags wet'!$K$2:$K$821,MATCH(H234,'Ashed teabags wet'!$A$2:$A$821,0)),"")</f>
        <v/>
      </c>
      <c r="X234" s="195" t="str">
        <f>IFERROR(INDEX('Ashed teabags wet'!$K$2:$K$821,MATCH(I234,'Ashed teabags wet'!$A$2:$A$821,0)),"")</f>
        <v/>
      </c>
      <c r="Y234" s="195" t="str">
        <f t="shared" si="25"/>
        <v/>
      </c>
      <c r="Z234" s="195" t="str">
        <f t="shared" si="25"/>
        <v/>
      </c>
      <c r="AA234" s="195" t="str">
        <f t="shared" si="32"/>
        <v/>
      </c>
      <c r="AB234" s="195" t="str">
        <f t="shared" si="33"/>
        <v/>
      </c>
      <c r="AC234" s="195" t="str">
        <f t="shared" si="26"/>
        <v/>
      </c>
      <c r="AD234">
        <f t="shared" si="27"/>
        <v>54</v>
      </c>
      <c r="AE234" s="195" t="str">
        <f t="shared" si="34"/>
        <v/>
      </c>
      <c r="AF234" s="195" t="str">
        <f t="shared" si="35"/>
        <v/>
      </c>
      <c r="AG234" s="255" t="str">
        <f>IF(ISNUMBER(SEARCH("C",'WetLitterbags placem_collection'!AD161)),"YES","NO")</f>
        <v>NO</v>
      </c>
      <c r="AH234" s="255" t="str">
        <f>IF(ISNUMBER(SEARCH("H", 'WetLitterbags placem_collection'!AD161)),"YES","NO")</f>
        <v>NO</v>
      </c>
      <c r="AI234" s="255" t="str">
        <f>IF(ISNUMBER(SEARCH("R", 'WetLitterbags placem_collection'!AD161)),"YES","NO")</f>
        <v>NO</v>
      </c>
      <c r="AJ234" s="255" t="str">
        <f>IF(ISNUMBER(SEARCH("C", 'WetLitterbags placem_collection'!AC161)),"YES","NO")</f>
        <v>NO</v>
      </c>
      <c r="AK234" s="255" t="str">
        <f>IF(ISNUMBER(SEARCH("H", 'WetLitterbags placem_collection'!AC161)),"YES","NO")</f>
        <v>NO</v>
      </c>
      <c r="AL234" s="255" t="str">
        <f>IF(ISNUMBER(SEARCH("R", 'WetLitterbags placem_collection'!AC161)),"YES","NO")</f>
        <v>NO</v>
      </c>
    </row>
    <row r="235" spans="2:38">
      <c r="B235" t="str">
        <f>'Final data_for_R_analysis_Wetse'!A161</f>
        <v>Wet</v>
      </c>
      <c r="C235" s="263">
        <f>'Final data_for_R_analysis_Wetse'!B161</f>
        <v>160</v>
      </c>
      <c r="D235" t="s">
        <v>3850</v>
      </c>
      <c r="E235" t="s">
        <v>22</v>
      </c>
      <c r="F235" s="387">
        <v>8</v>
      </c>
      <c r="G235" s="16">
        <f>'WetLitterbags placem_collection'!E162</f>
        <v>42762</v>
      </c>
      <c r="H235" t="str">
        <f>'Final data_for_R_analysis_Wetse'!J161</f>
        <v>G809</v>
      </c>
      <c r="I235" t="str">
        <f>'Final data_for_R_analysis_Wetse'!J381</f>
        <v>R421</v>
      </c>
      <c r="J235">
        <f>IFERROR(INDEX('Green_rooibos initial weight'!$C$5:$C$1749,MATCH(H235, 'Green_rooibos initial weight'!$A$5:$A$1749,0)),"")</f>
        <v>1.9279999999999999</v>
      </c>
      <c r="K235">
        <f>IFERROR(INDEX('Green_rooibos initial weight'!$C$5:$C$1749,MATCH(I235, 'Green_rooibos initial weight'!$A$5:$A$1749,0)),"")</f>
        <v>2.2170000000000001</v>
      </c>
      <c r="L235" s="195">
        <f t="shared" si="28"/>
        <v>1.6781999999999999</v>
      </c>
      <c r="M235" s="195">
        <f>AVERAGE(Ashed_controlls!$K$2:$K$11)</f>
        <v>5.5147656768714146</v>
      </c>
      <c r="N235" s="195">
        <f t="shared" si="24"/>
        <v>1.5856512024107439</v>
      </c>
      <c r="O235" s="195">
        <f t="shared" si="29"/>
        <v>1.9672000000000001</v>
      </c>
      <c r="P235" s="195">
        <f>AVERAGE(Ashed_controlls!$K$12:$K$14)</f>
        <v>2.2816647271287041</v>
      </c>
      <c r="Q235" s="195">
        <f t="shared" si="30"/>
        <v>1.9223150914879241</v>
      </c>
      <c r="R235" s="16">
        <f>IF('WetLitterbags placem_collection'!G162="N.A","",'WetLitterbags placem_collection'!G162)</f>
        <v>42816</v>
      </c>
      <c r="S235" s="195">
        <f>IF(IFERROR(INDEX('Both teabags AfterWet'!$C$3:$C$841,MATCH(H235,'Both teabags AfterWet'!$A$3:$A$841,0)),"")="N.A","",(IFERROR(INDEX('Both teabags AfterWet'!$C$3:$C$841,MATCH(H235,'Both teabags AfterWet'!$A$3:$A$841,0)),"")))</f>
        <v>0.72</v>
      </c>
      <c r="T235" s="195">
        <f>IFERROR(INDEX('Both teabags AfterWet'!$C$3:$C$841,MATCH(I235,'Both teabags AfterWet'!$A$3:$A$841,0)),"")</f>
        <v>1.744</v>
      </c>
      <c r="U235" s="195">
        <f t="shared" si="31"/>
        <v>0.56939999999999991</v>
      </c>
      <c r="V235" s="195">
        <f t="shared" si="31"/>
        <v>1.5933999999999999</v>
      </c>
      <c r="W235" s="195">
        <f>IFERROR(INDEX('Ashed teabags wet'!$K$2:$K$821,MATCH(H235,'Ashed teabags wet'!$A$2:$A$821,0)),"")</f>
        <v>14.278846153846089</v>
      </c>
      <c r="X235" s="195">
        <f>IFERROR(INDEX('Ashed teabags wet'!$K$2:$K$821,MATCH(I235,'Ashed teabags wet'!$A$2:$A$821,0)),"")</f>
        <v>4.8926610084872157</v>
      </c>
      <c r="Y235" s="195">
        <f t="shared" si="25"/>
        <v>0.48809625000000029</v>
      </c>
      <c r="Z235" s="195">
        <f t="shared" si="25"/>
        <v>1.5154403394907647</v>
      </c>
      <c r="AA235" s="195">
        <f t="shared" si="32"/>
        <v>0.69217930825018548</v>
      </c>
      <c r="AB235" s="195">
        <f t="shared" si="33"/>
        <v>0.45378025909038294</v>
      </c>
      <c r="AC235" s="195">
        <f t="shared" si="26"/>
        <v>0.78834127984594493</v>
      </c>
      <c r="AD235">
        <f t="shared" si="27"/>
        <v>54</v>
      </c>
      <c r="AE235" s="195">
        <f t="shared" si="34"/>
        <v>0.17793431324205999</v>
      </c>
      <c r="AF235" s="195">
        <f t="shared" si="35"/>
        <v>1.1632837832659972E-2</v>
      </c>
      <c r="AG235" s="255" t="str">
        <f>IF(ISNUMBER(SEARCH("C",'WetLitterbags placem_collection'!AD162)),"YES","NO")</f>
        <v>NO</v>
      </c>
      <c r="AH235" s="255" t="str">
        <f>IF(ISNUMBER(SEARCH("H", 'WetLitterbags placem_collection'!AD162)),"YES","NO")</f>
        <v>NO</v>
      </c>
      <c r="AI235" s="255" t="str">
        <f>IF(ISNUMBER(SEARCH("R", 'WetLitterbags placem_collection'!AD162)),"YES","NO")</f>
        <v>NO</v>
      </c>
      <c r="AJ235" s="255" t="str">
        <f>IF(ISNUMBER(SEARCH("C", 'WetLitterbags placem_collection'!AC162)),"YES","NO")</f>
        <v>NO</v>
      </c>
      <c r="AK235" s="255" t="str">
        <f>IF(ISNUMBER(SEARCH("H", 'WetLitterbags placem_collection'!AC162)),"YES","NO")</f>
        <v>NO</v>
      </c>
      <c r="AL235" s="255" t="str">
        <f>IF(ISNUMBER(SEARCH("R", 'WetLitterbags placem_collection'!AC162)),"YES","NO")</f>
        <v>NO</v>
      </c>
    </row>
    <row r="236" spans="2:38">
      <c r="B236" t="str">
        <f>'Final data_for_R_analysis_Wetse'!A162</f>
        <v>Wet</v>
      </c>
      <c r="C236" s="263">
        <f>'Final data_for_R_analysis_Wetse'!B162</f>
        <v>161</v>
      </c>
      <c r="D236" t="s">
        <v>3851</v>
      </c>
      <c r="E236" t="s">
        <v>22</v>
      </c>
      <c r="F236" s="386">
        <v>1</v>
      </c>
      <c r="G236" s="16">
        <f>'WetLitterbags placem_collection'!E163</f>
        <v>42763</v>
      </c>
      <c r="H236" t="str">
        <f>'Final data_for_R_analysis_Wetse'!J162</f>
        <v>G252</v>
      </c>
      <c r="I236" t="str">
        <f>'Final data_for_R_analysis_Wetse'!J382</f>
        <v>R124</v>
      </c>
      <c r="J236">
        <f>IFERROR(INDEX('Green_rooibos initial weight'!$C$5:$C$1749,MATCH(H236, 'Green_rooibos initial weight'!$A$5:$A$1749,0)),"")</f>
        <v>2.0190000000000001</v>
      </c>
      <c r="K236">
        <f>IFERROR(INDEX('Green_rooibos initial weight'!$C$5:$C$1749,MATCH(I236, 'Green_rooibos initial weight'!$A$5:$A$1749,0)),"")</f>
        <v>2.2120000000000002</v>
      </c>
      <c r="L236" s="195">
        <f t="shared" si="28"/>
        <v>1.7692000000000001</v>
      </c>
      <c r="M236" s="195">
        <f>AVERAGE(Ashed_controlls!$K$2:$K$11)</f>
        <v>5.5147656768714146</v>
      </c>
      <c r="N236" s="195">
        <f t="shared" si="24"/>
        <v>1.6716327656447911</v>
      </c>
      <c r="O236" s="195">
        <f t="shared" si="29"/>
        <v>1.9622000000000002</v>
      </c>
      <c r="P236" s="195">
        <f>AVERAGE(Ashed_controlls!$K$12:$K$14)</f>
        <v>2.2816647271287041</v>
      </c>
      <c r="Q236" s="195">
        <f t="shared" si="30"/>
        <v>1.9174291747242806</v>
      </c>
      <c r="R236" s="16">
        <f>IF('WetLitterbags placem_collection'!G163="N.A","",'WetLitterbags placem_collection'!G163)</f>
        <v>42814</v>
      </c>
      <c r="S236" s="195" t="str">
        <f>IF(IFERROR(INDEX('Both teabags AfterWet'!$C$3:$C$841,MATCH(H236,'Both teabags AfterWet'!$A$3:$A$841,0)),"")="N.A","",(IFERROR(INDEX('Both teabags AfterWet'!$C$3:$C$841,MATCH(H236,'Both teabags AfterWet'!$A$3:$A$841,0)),"")))</f>
        <v/>
      </c>
      <c r="T236" s="195">
        <f>IFERROR(INDEX('Both teabags AfterWet'!$C$3:$C$841,MATCH(I236,'Both teabags AfterWet'!$A$3:$A$841,0)),"")</f>
        <v>1.6863999999999999</v>
      </c>
      <c r="U236" s="195" t="str">
        <f t="shared" si="31"/>
        <v/>
      </c>
      <c r="V236" s="195">
        <f t="shared" si="31"/>
        <v>1.5357999999999998</v>
      </c>
      <c r="W236" s="195" t="str">
        <f>IFERROR(INDEX('Ashed teabags wet'!$K$2:$K$821,MATCH(H236,'Ashed teabags wet'!$A$2:$A$821,0)),"")</f>
        <v/>
      </c>
      <c r="X236" s="195">
        <f>IFERROR(INDEX('Ashed teabags wet'!$K$2:$K$821,MATCH(I236,'Ashed teabags wet'!$A$2:$A$821,0)),"")</f>
        <v>1.0140028971511033</v>
      </c>
      <c r="Y236" s="195" t="str">
        <f t="shared" si="25"/>
        <v/>
      </c>
      <c r="Z236" s="195">
        <f t="shared" si="25"/>
        <v>1.5202269435055531</v>
      </c>
      <c r="AA236" s="195" t="str">
        <f t="shared" si="32"/>
        <v/>
      </c>
      <c r="AB236" s="195" t="str">
        <f t="shared" si="33"/>
        <v/>
      </c>
      <c r="AC236" s="195">
        <f t="shared" si="26"/>
        <v>0.79284646522819091</v>
      </c>
      <c r="AD236">
        <f t="shared" si="27"/>
        <v>51</v>
      </c>
      <c r="AE236" s="195" t="str">
        <f t="shared" si="34"/>
        <v/>
      </c>
      <c r="AF236" s="195" t="str">
        <f t="shared" si="35"/>
        <v/>
      </c>
      <c r="AG236" s="255" t="str">
        <f>IF(ISNUMBER(SEARCH("C",'WetLitterbags placem_collection'!AD163)),"YES","NO")</f>
        <v>NO</v>
      </c>
      <c r="AH236" s="255" t="str">
        <f>IF(ISNUMBER(SEARCH("H", 'WetLitterbags placem_collection'!AD163)),"YES","NO")</f>
        <v>NO</v>
      </c>
      <c r="AI236" s="255" t="str">
        <f>IF(ISNUMBER(SEARCH("R", 'WetLitterbags placem_collection'!AD163)),"YES","NO")</f>
        <v>NO</v>
      </c>
      <c r="AJ236" s="255" t="str">
        <f>IF(ISNUMBER(SEARCH("C", 'WetLitterbags placem_collection'!AC163)),"YES","NO")</f>
        <v>NO</v>
      </c>
      <c r="AK236" s="255" t="str">
        <f>IF(ISNUMBER(SEARCH("H", 'WetLitterbags placem_collection'!AC163)),"YES","NO")</f>
        <v>NO</v>
      </c>
      <c r="AL236" s="255" t="str">
        <f>IF(ISNUMBER(SEARCH("R", 'WetLitterbags placem_collection'!AC163)),"YES","NO")</f>
        <v>NO</v>
      </c>
    </row>
    <row r="237" spans="2:38">
      <c r="B237" t="str">
        <f>'Final data_for_R_analysis_Wetse'!A163</f>
        <v>Wet</v>
      </c>
      <c r="C237" s="263">
        <f>'Final data_for_R_analysis_Wetse'!B163</f>
        <v>162</v>
      </c>
      <c r="D237" t="s">
        <v>3851</v>
      </c>
      <c r="E237" t="s">
        <v>22</v>
      </c>
      <c r="F237" s="386">
        <v>2</v>
      </c>
      <c r="G237" s="16">
        <f>'WetLitterbags placem_collection'!E164</f>
        <v>42763</v>
      </c>
      <c r="H237" t="str">
        <f>'Final data_for_R_analysis_Wetse'!J163</f>
        <v>G385</v>
      </c>
      <c r="I237" t="str">
        <f>'Final data_for_R_analysis_Wetse'!J383</f>
        <v>R202</v>
      </c>
      <c r="J237">
        <f>IFERROR(INDEX('Green_rooibos initial weight'!$C$5:$C$1749,MATCH(H237, 'Green_rooibos initial weight'!$A$5:$A$1749,0)),"")</f>
        <v>1.962</v>
      </c>
      <c r="K237">
        <f>IFERROR(INDEX('Green_rooibos initial weight'!$C$5:$C$1749,MATCH(I237, 'Green_rooibos initial weight'!$A$5:$A$1749,0)),"")</f>
        <v>2.298</v>
      </c>
      <c r="L237" s="195">
        <f t="shared" si="28"/>
        <v>1.7121999999999999</v>
      </c>
      <c r="M237" s="195">
        <f>AVERAGE(Ashed_controlls!$K$2:$K$11)</f>
        <v>5.5147656768714146</v>
      </c>
      <c r="N237" s="195">
        <f t="shared" si="24"/>
        <v>1.6177761820806076</v>
      </c>
      <c r="O237" s="195">
        <f t="shared" si="29"/>
        <v>2.0482</v>
      </c>
      <c r="P237" s="195">
        <f>AVERAGE(Ashed_controlls!$K$12:$K$14)</f>
        <v>2.2816647271287041</v>
      </c>
      <c r="Q237" s="195">
        <f t="shared" si="30"/>
        <v>2.0014669430589498</v>
      </c>
      <c r="R237" s="16">
        <f>IF('WetLitterbags placem_collection'!G164="N.A","",'WetLitterbags placem_collection'!G164)</f>
        <v>42814</v>
      </c>
      <c r="S237" s="195">
        <f>IF(IFERROR(INDEX('Both teabags AfterWet'!$C$3:$C$841,MATCH(H237,'Both teabags AfterWet'!$A$3:$A$841,0)),"")="N.A","",(IFERROR(INDEX('Both teabags AfterWet'!$C$3:$C$841,MATCH(H237,'Both teabags AfterWet'!$A$3:$A$841,0)),"")))</f>
        <v>0.62280000000000002</v>
      </c>
      <c r="T237" s="195">
        <f>IFERROR(INDEX('Both teabags AfterWet'!$C$3:$C$841,MATCH(I237,'Both teabags AfterWet'!$A$3:$A$841,0)),"")</f>
        <v>0.52</v>
      </c>
      <c r="U237" s="195">
        <f t="shared" si="31"/>
        <v>0.47220000000000001</v>
      </c>
      <c r="V237" s="195">
        <f t="shared" si="31"/>
        <v>0.36940000000000001</v>
      </c>
      <c r="W237" s="195">
        <f>IFERROR(INDEX('Ashed teabags wet'!$K$2:$K$821,MATCH(H237,'Ashed teabags wet'!$A$2:$A$821,0)),"")</f>
        <v>8.5545722713864567</v>
      </c>
      <c r="X237" s="195">
        <f>IFERROR(INDEX('Ashed teabags wet'!$K$2:$K$821,MATCH(I237,'Ashed teabags wet'!$A$2:$A$821,0)),"")</f>
        <v>79.460269865066508</v>
      </c>
      <c r="Y237" s="195">
        <f t="shared" si="25"/>
        <v>0.43180530973451314</v>
      </c>
      <c r="Z237" s="195">
        <f t="shared" si="25"/>
        <v>7.5873763118444293E-2</v>
      </c>
      <c r="AA237" s="195">
        <f t="shared" si="32"/>
        <v>0.73308711395468062</v>
      </c>
      <c r="AB237" s="195">
        <f t="shared" si="33"/>
        <v>0.4805986780320472</v>
      </c>
      <c r="AC237" s="195">
        <f t="shared" si="26"/>
        <v>3.7909076331024652E-2</v>
      </c>
      <c r="AD237">
        <f t="shared" si="27"/>
        <v>51</v>
      </c>
      <c r="AE237" s="195">
        <f t="shared" si="34"/>
        <v>0.12935022095643633</v>
      </c>
      <c r="AF237" s="195" t="str">
        <f t="shared" si="35"/>
        <v/>
      </c>
      <c r="AG237" s="255" t="str">
        <f>IF(ISNUMBER(SEARCH("C",'WetLitterbags placem_collection'!AD164)),"YES","NO")</f>
        <v>NO</v>
      </c>
      <c r="AH237" s="255" t="str">
        <f>IF(ISNUMBER(SEARCH("H", 'WetLitterbags placem_collection'!AD164)),"YES","NO")</f>
        <v>NO</v>
      </c>
      <c r="AI237" s="255" t="str">
        <f>IF(ISNUMBER(SEARCH("R", 'WetLitterbags placem_collection'!AD164)),"YES","NO")</f>
        <v>NO</v>
      </c>
      <c r="AJ237" s="255" t="str">
        <f>IF(ISNUMBER(SEARCH("C", 'WetLitterbags placem_collection'!AC164)),"YES","NO")</f>
        <v>NO</v>
      </c>
      <c r="AK237" s="255" t="str">
        <f>IF(ISNUMBER(SEARCH("H", 'WetLitterbags placem_collection'!AC164)),"YES","NO")</f>
        <v>NO</v>
      </c>
      <c r="AL237" s="255" t="str">
        <f>IF(ISNUMBER(SEARCH("R", 'WetLitterbags placem_collection'!AC164)),"YES","NO")</f>
        <v>NO</v>
      </c>
    </row>
    <row r="238" spans="2:38">
      <c r="B238" t="str">
        <f>'Final data_for_R_analysis_Wetse'!A164</f>
        <v>Wet</v>
      </c>
      <c r="C238" s="263">
        <f>'Final data_for_R_analysis_Wetse'!B164</f>
        <v>163</v>
      </c>
      <c r="D238" t="s">
        <v>3851</v>
      </c>
      <c r="E238" t="s">
        <v>22</v>
      </c>
      <c r="F238" s="386">
        <v>3</v>
      </c>
      <c r="G238" s="16">
        <f>'WetLitterbags placem_collection'!E165</f>
        <v>42763</v>
      </c>
      <c r="H238" t="str">
        <f>'Final data_for_R_analysis_Wetse'!J164</f>
        <v>G202</v>
      </c>
      <c r="I238" t="str">
        <f>'Final data_for_R_analysis_Wetse'!J384</f>
        <v>R96</v>
      </c>
      <c r="J238">
        <f>IFERROR(INDEX('Green_rooibos initial weight'!$C$5:$C$1749,MATCH(H238, 'Green_rooibos initial weight'!$A$5:$A$1749,0)),"")</f>
        <v>1.986</v>
      </c>
      <c r="K238">
        <f>IFERROR(INDEX('Green_rooibos initial weight'!$C$5:$C$1749,MATCH(I238, 'Green_rooibos initial weight'!$A$5:$A$1749,0)),"")</f>
        <v>2.2309999999999999</v>
      </c>
      <c r="L238" s="195">
        <f t="shared" si="28"/>
        <v>1.7362</v>
      </c>
      <c r="M238" s="195">
        <f>AVERAGE(Ashed_controlls!$K$2:$K$11)</f>
        <v>5.5147656768714146</v>
      </c>
      <c r="N238" s="195">
        <f t="shared" si="24"/>
        <v>1.6404526383181586</v>
      </c>
      <c r="O238" s="195">
        <f t="shared" si="29"/>
        <v>1.9811999999999999</v>
      </c>
      <c r="P238" s="195">
        <f>AVERAGE(Ashed_controlls!$K$12:$K$14)</f>
        <v>2.2816647271287041</v>
      </c>
      <c r="Q238" s="195">
        <f t="shared" si="30"/>
        <v>1.935995658426126</v>
      </c>
      <c r="R238" s="16">
        <f>IF('WetLitterbags placem_collection'!G165="N.A","",'WetLitterbags placem_collection'!G165)</f>
        <v>42814</v>
      </c>
      <c r="S238" s="195">
        <f>IF(IFERROR(INDEX('Both teabags AfterWet'!$C$3:$C$841,MATCH(H238,'Both teabags AfterWet'!$A$3:$A$841,0)),"")="N.A","",(IFERROR(INDEX('Both teabags AfterWet'!$C$3:$C$841,MATCH(H238,'Both teabags AfterWet'!$A$3:$A$841,0)),"")))</f>
        <v>0.64500000000000002</v>
      </c>
      <c r="T238" s="195">
        <f>IFERROR(INDEX('Both teabags AfterWet'!$C$3:$C$841,MATCH(I238,'Both teabags AfterWet'!$A$3:$A$841,0)),"")</f>
        <v>1.696</v>
      </c>
      <c r="U238" s="195">
        <f t="shared" si="31"/>
        <v>0.49440000000000001</v>
      </c>
      <c r="V238" s="195">
        <f t="shared" si="31"/>
        <v>1.5453999999999999</v>
      </c>
      <c r="W238" s="195">
        <f>IFERROR(INDEX('Ashed teabags wet'!$K$2:$K$821,MATCH(H238,'Ashed teabags wet'!$A$2:$A$821,0)),"")</f>
        <v>9.4152626362733951</v>
      </c>
      <c r="X238" s="195">
        <f>IFERROR(INDEX('Ashed teabags wet'!$K$2:$K$821,MATCH(I238,'Ashed teabags wet'!$A$2:$A$821,0)),"")</f>
        <v>2.3336643495531879</v>
      </c>
      <c r="Y238" s="195">
        <f t="shared" si="25"/>
        <v>0.44785094152626437</v>
      </c>
      <c r="Z238" s="195">
        <f t="shared" si="25"/>
        <v>1.509335551142005</v>
      </c>
      <c r="AA238" s="195">
        <f t="shared" si="32"/>
        <v>0.72699550656615441</v>
      </c>
      <c r="AB238" s="195">
        <f t="shared" si="33"/>
        <v>0.47660513019538869</v>
      </c>
      <c r="AC238" s="195">
        <f t="shared" si="26"/>
        <v>0.77961721896061709</v>
      </c>
      <c r="AD238">
        <f t="shared" si="27"/>
        <v>51</v>
      </c>
      <c r="AE238" s="195">
        <f t="shared" si="34"/>
        <v>0.13658490906632492</v>
      </c>
      <c r="AF238" s="195">
        <f t="shared" si="35"/>
        <v>1.2169464899257612E-2</v>
      </c>
      <c r="AG238" s="255" t="str">
        <f>IF(ISNUMBER(SEARCH("C",'WetLitterbags placem_collection'!AD165)),"YES","NO")</f>
        <v>NO</v>
      </c>
      <c r="AH238" s="255" t="str">
        <f>IF(ISNUMBER(SEARCH("H", 'WetLitterbags placem_collection'!AD165)),"YES","NO")</f>
        <v>NO</v>
      </c>
      <c r="AI238" s="255" t="str">
        <f>IF(ISNUMBER(SEARCH("R", 'WetLitterbags placem_collection'!AD165)),"YES","NO")</f>
        <v>NO</v>
      </c>
      <c r="AJ238" s="255" t="str">
        <f>IF(ISNUMBER(SEARCH("C", 'WetLitterbags placem_collection'!AC165)),"YES","NO")</f>
        <v>NO</v>
      </c>
      <c r="AK238" s="255" t="str">
        <f>IF(ISNUMBER(SEARCH("H", 'WetLitterbags placem_collection'!AC165)),"YES","NO")</f>
        <v>NO</v>
      </c>
      <c r="AL238" s="255" t="str">
        <f>IF(ISNUMBER(SEARCH("R", 'WetLitterbags placem_collection'!AC165)),"YES","NO")</f>
        <v>NO</v>
      </c>
    </row>
    <row r="239" spans="2:38">
      <c r="B239" t="str">
        <f>'Final data_for_R_analysis_Wetse'!A165</f>
        <v>Wet</v>
      </c>
      <c r="C239" s="263">
        <f>'Final data_for_R_analysis_Wetse'!B165</f>
        <v>164</v>
      </c>
      <c r="D239" t="s">
        <v>3851</v>
      </c>
      <c r="E239" t="s">
        <v>22</v>
      </c>
      <c r="F239" s="387">
        <v>4</v>
      </c>
      <c r="G239" s="16">
        <f>'WetLitterbags placem_collection'!E166</f>
        <v>42763</v>
      </c>
      <c r="H239" t="str">
        <f>'Final data_for_R_analysis_Wetse'!J165</f>
        <v>G686</v>
      </c>
      <c r="I239" t="str">
        <f>'Final data_for_R_analysis_Wetse'!J385</f>
        <v>R317</v>
      </c>
      <c r="J239">
        <f>IFERROR(INDEX('Green_rooibos initial weight'!$C$5:$C$1749,MATCH(H239, 'Green_rooibos initial weight'!$A$5:$A$1749,0)),"")</f>
        <v>1.9510000000000001</v>
      </c>
      <c r="K239">
        <f>IFERROR(INDEX('Green_rooibos initial weight'!$C$5:$C$1749,MATCH(I239, 'Green_rooibos initial weight'!$A$5:$A$1749,0)),"")</f>
        <v>2.2240000000000002</v>
      </c>
      <c r="L239" s="195">
        <f t="shared" si="28"/>
        <v>1.7012</v>
      </c>
      <c r="M239" s="195">
        <f>AVERAGE(Ashed_controlls!$K$2:$K$11)</f>
        <v>5.5147656768714146</v>
      </c>
      <c r="N239" s="195">
        <f t="shared" si="24"/>
        <v>1.6073828063050635</v>
      </c>
      <c r="O239" s="195">
        <f t="shared" si="29"/>
        <v>1.9742000000000002</v>
      </c>
      <c r="P239" s="195">
        <f>AVERAGE(Ashed_controlls!$K$12:$K$14)</f>
        <v>2.2816647271287041</v>
      </c>
      <c r="Q239" s="195">
        <f t="shared" si="30"/>
        <v>1.9291553749570254</v>
      </c>
      <c r="R239" s="16">
        <f>IF('WetLitterbags placem_collection'!G166="N.A","",'WetLitterbags placem_collection'!G166)</f>
        <v>42814</v>
      </c>
      <c r="S239" s="195">
        <f>IF(IFERROR(INDEX('Both teabags AfterWet'!$C$3:$C$841,MATCH(H239,'Both teabags AfterWet'!$A$3:$A$841,0)),"")="N.A","",(IFERROR(INDEX('Both teabags AfterWet'!$C$3:$C$841,MATCH(H239,'Both teabags AfterWet'!$A$3:$A$841,0)),"")))</f>
        <v>0.628</v>
      </c>
      <c r="T239" s="195">
        <f>IFERROR(INDEX('Both teabags AfterWet'!$C$3:$C$841,MATCH(I239,'Both teabags AfterWet'!$A$3:$A$841,0)),"")</f>
        <v>1.7210000000000001</v>
      </c>
      <c r="U239" s="195">
        <f t="shared" si="31"/>
        <v>0.47739999999999999</v>
      </c>
      <c r="V239" s="195">
        <f t="shared" si="31"/>
        <v>1.5704</v>
      </c>
      <c r="W239" s="195">
        <f>IFERROR(INDEX('Ashed teabags wet'!$K$2:$K$821,MATCH(H239,'Ashed teabags wet'!$A$2:$A$821,0)),"")</f>
        <v>9.7268806899849256</v>
      </c>
      <c r="X239" s="195">
        <f>IFERROR(INDEX('Ashed teabags wet'!$K$2:$K$821,MATCH(I239,'Ashed teabags wet'!$A$2:$A$821,0)),"")</f>
        <v>2.0937188434697482</v>
      </c>
      <c r="Y239" s="195">
        <f t="shared" si="25"/>
        <v>0.43096387158601196</v>
      </c>
      <c r="Z239" s="195">
        <f t="shared" si="25"/>
        <v>1.5375202392821512</v>
      </c>
      <c r="AA239" s="195">
        <f t="shared" si="32"/>
        <v>0.73188473218978811</v>
      </c>
      <c r="AB239" s="195">
        <f t="shared" si="33"/>
        <v>0.47981041825268772</v>
      </c>
      <c r="AC239" s="195">
        <f t="shared" si="26"/>
        <v>0.79699139801862851</v>
      </c>
      <c r="AD239">
        <f t="shared" si="27"/>
        <v>51</v>
      </c>
      <c r="AE239" s="195">
        <f t="shared" si="34"/>
        <v>0.130778227803102</v>
      </c>
      <c r="AF239" s="195">
        <f t="shared" si="35"/>
        <v>1.0786064284598601E-2</v>
      </c>
      <c r="AG239" s="255" t="str">
        <f>IF(ISNUMBER(SEARCH("C",'WetLitterbags placem_collection'!AD166)),"YES","NO")</f>
        <v>NO</v>
      </c>
      <c r="AH239" s="255" t="str">
        <f>IF(ISNUMBER(SEARCH("H", 'WetLitterbags placem_collection'!AD166)),"YES","NO")</f>
        <v>NO</v>
      </c>
      <c r="AI239" s="255" t="str">
        <f>IF(ISNUMBER(SEARCH("R", 'WetLitterbags placem_collection'!AD166)),"YES","NO")</f>
        <v>NO</v>
      </c>
      <c r="AJ239" s="255" t="str">
        <f>IF(ISNUMBER(SEARCH("C", 'WetLitterbags placem_collection'!AC166)),"YES","NO")</f>
        <v>NO</v>
      </c>
      <c r="AK239" s="255" t="str">
        <f>IF(ISNUMBER(SEARCH("H", 'WetLitterbags placem_collection'!AC166)),"YES","NO")</f>
        <v>NO</v>
      </c>
      <c r="AL239" s="255" t="str">
        <f>IF(ISNUMBER(SEARCH("R", 'WetLitterbags placem_collection'!AC166)),"YES","NO")</f>
        <v>NO</v>
      </c>
    </row>
    <row r="240" spans="2:38">
      <c r="B240" t="str">
        <f>'Final data_for_R_analysis_Wetse'!A166</f>
        <v>Wet</v>
      </c>
      <c r="C240" s="263">
        <f>'Final data_for_R_analysis_Wetse'!B166</f>
        <v>165</v>
      </c>
      <c r="D240" t="s">
        <v>3851</v>
      </c>
      <c r="E240" t="s">
        <v>22</v>
      </c>
      <c r="F240" s="387">
        <v>5</v>
      </c>
      <c r="G240" s="16">
        <f>'WetLitterbags placem_collection'!E167</f>
        <v>42763</v>
      </c>
      <c r="H240" t="str">
        <f>'Final data_for_R_analysis_Wetse'!J166</f>
        <v>G368</v>
      </c>
      <c r="I240" t="str">
        <f>'Final data_for_R_analysis_Wetse'!J386</f>
        <v>R331</v>
      </c>
      <c r="J240">
        <f>IFERROR(INDEX('Green_rooibos initial weight'!$C$5:$C$1749,MATCH(H240, 'Green_rooibos initial weight'!$A$5:$A$1749,0)),"")</f>
        <v>2.1709999999999998</v>
      </c>
      <c r="K240">
        <f>IFERROR(INDEX('Green_rooibos initial weight'!$C$5:$C$1749,MATCH(I240, 'Green_rooibos initial weight'!$A$5:$A$1749,0)),"")</f>
        <v>2.2410000000000001</v>
      </c>
      <c r="L240" s="195">
        <f t="shared" si="28"/>
        <v>1.9211999999999998</v>
      </c>
      <c r="M240" s="195">
        <f>AVERAGE(Ashed_controlls!$K$2:$K$11)</f>
        <v>5.5147656768714146</v>
      </c>
      <c r="N240" s="195">
        <f t="shared" si="24"/>
        <v>1.8152503218159461</v>
      </c>
      <c r="O240" s="195">
        <f t="shared" si="29"/>
        <v>1.9912000000000001</v>
      </c>
      <c r="P240" s="195">
        <f>AVERAGE(Ashed_controlls!$K$12:$K$14)</f>
        <v>2.2816647271287041</v>
      </c>
      <c r="Q240" s="195">
        <f t="shared" si="30"/>
        <v>1.9457674919534134</v>
      </c>
      <c r="R240" s="16">
        <f>IF('WetLitterbags placem_collection'!G167="N.A","",'WetLitterbags placem_collection'!G167)</f>
        <v>42814</v>
      </c>
      <c r="S240" s="195">
        <f>IF(IFERROR(INDEX('Both teabags AfterWet'!$C$3:$C$841,MATCH(H240,'Both teabags AfterWet'!$A$3:$A$841,0)),"")="N.A","",(IFERROR(INDEX('Both teabags AfterWet'!$C$3:$C$841,MATCH(H240,'Both teabags AfterWet'!$A$3:$A$841,0)),"")))</f>
        <v>0.72699999999999998</v>
      </c>
      <c r="T240" s="195">
        <f>IFERROR(INDEX('Both teabags AfterWet'!$C$3:$C$841,MATCH(I240,'Both teabags AfterWet'!$A$3:$A$841,0)),"")</f>
        <v>1.724</v>
      </c>
      <c r="U240" s="195">
        <f t="shared" si="31"/>
        <v>0.57640000000000002</v>
      </c>
      <c r="V240" s="195">
        <f t="shared" si="31"/>
        <v>1.5733999999999999</v>
      </c>
      <c r="W240" s="195">
        <f>IFERROR(INDEX('Ashed teabags wet'!$K$2:$K$821,MATCH(H240,'Ashed teabags wet'!$A$2:$A$821,0)),"")</f>
        <v>7.2371638141808248</v>
      </c>
      <c r="X240" s="195">
        <f>IFERROR(INDEX('Ashed teabags wet'!$K$2:$K$821,MATCH(I240,'Ashed teabags wet'!$A$2:$A$821,0)),"")</f>
        <v>2.562929061785161</v>
      </c>
      <c r="Y240" s="195">
        <f t="shared" si="25"/>
        <v>0.53468498777506179</v>
      </c>
      <c r="Z240" s="195">
        <f t="shared" si="25"/>
        <v>1.5330748741418723</v>
      </c>
      <c r="AA240" s="195">
        <f t="shared" si="32"/>
        <v>0.70544834431420356</v>
      </c>
      <c r="AB240" s="195">
        <f t="shared" si="33"/>
        <v>0.46247919959791017</v>
      </c>
      <c r="AC240" s="195">
        <f t="shared" si="26"/>
        <v>0.78790239865852274</v>
      </c>
      <c r="AD240">
        <f t="shared" si="27"/>
        <v>51</v>
      </c>
      <c r="AE240" s="195">
        <f t="shared" si="34"/>
        <v>0.16217536304726421</v>
      </c>
      <c r="AF240" s="195">
        <f t="shared" si="35"/>
        <v>1.2031675195383265E-2</v>
      </c>
      <c r="AG240" s="255" t="str">
        <f>IF(ISNUMBER(SEARCH("C",'WetLitterbags placem_collection'!AD167)),"YES","NO")</f>
        <v>NO</v>
      </c>
      <c r="AH240" s="255" t="str">
        <f>IF(ISNUMBER(SEARCH("H", 'WetLitterbags placem_collection'!AD167)),"YES","NO")</f>
        <v>NO</v>
      </c>
      <c r="AI240" s="255" t="str">
        <f>IF(ISNUMBER(SEARCH("R", 'WetLitterbags placem_collection'!AD167)),"YES","NO")</f>
        <v>NO</v>
      </c>
      <c r="AJ240" s="255" t="str">
        <f>IF(ISNUMBER(SEARCH("C", 'WetLitterbags placem_collection'!AC167)),"YES","NO")</f>
        <v>NO</v>
      </c>
      <c r="AK240" s="255" t="str">
        <f>IF(ISNUMBER(SEARCH("H", 'WetLitterbags placem_collection'!AC167)),"YES","NO")</f>
        <v>NO</v>
      </c>
      <c r="AL240" s="255" t="str">
        <f>IF(ISNUMBER(SEARCH("R", 'WetLitterbags placem_collection'!AC167)),"YES","NO")</f>
        <v>NO</v>
      </c>
    </row>
    <row r="241" spans="2:38">
      <c r="B241" t="str">
        <f>'Final data_for_R_analysis_Wetse'!A167</f>
        <v>Wet</v>
      </c>
      <c r="C241" s="263">
        <f>'Final data_for_R_analysis_Wetse'!B167</f>
        <v>166</v>
      </c>
      <c r="D241" t="s">
        <v>3851</v>
      </c>
      <c r="E241" t="s">
        <v>22</v>
      </c>
      <c r="F241" s="387">
        <v>6</v>
      </c>
      <c r="G241" s="16">
        <f>'WetLitterbags placem_collection'!E168</f>
        <v>42763</v>
      </c>
      <c r="H241" t="str">
        <f>'Final data_for_R_analysis_Wetse'!J167</f>
        <v>G334</v>
      </c>
      <c r="I241" t="str">
        <f>'Final data_for_R_analysis_Wetse'!J387</f>
        <v>R287</v>
      </c>
      <c r="J241">
        <f>IFERROR(INDEX('Green_rooibos initial weight'!$C$5:$C$1749,MATCH(H241, 'Green_rooibos initial weight'!$A$5:$A$1749,0)),"")</f>
        <v>2.0710000000000002</v>
      </c>
      <c r="K241">
        <f>IFERROR(INDEX('Green_rooibos initial weight'!$C$5:$C$1749,MATCH(I241, 'Green_rooibos initial weight'!$A$5:$A$1749,0)),"")</f>
        <v>2.1960000000000002</v>
      </c>
      <c r="L241" s="195">
        <f t="shared" si="28"/>
        <v>1.8212000000000002</v>
      </c>
      <c r="M241" s="195">
        <f>AVERAGE(Ashed_controlls!$K$2:$K$11)</f>
        <v>5.5147656768714146</v>
      </c>
      <c r="N241" s="195">
        <f t="shared" si="24"/>
        <v>1.720765087492818</v>
      </c>
      <c r="O241" s="195">
        <f t="shared" si="29"/>
        <v>1.9462000000000002</v>
      </c>
      <c r="P241" s="195">
        <f>AVERAGE(Ashed_controlls!$K$12:$K$14)</f>
        <v>2.2816647271287041</v>
      </c>
      <c r="Q241" s="195">
        <f t="shared" si="30"/>
        <v>1.9017942410806212</v>
      </c>
      <c r="R241" s="16">
        <f>IF('WetLitterbags placem_collection'!G168="N.A","",'WetLitterbags placem_collection'!G168)</f>
        <v>42814</v>
      </c>
      <c r="S241" s="195">
        <f>IF(IFERROR(INDEX('Both teabags AfterWet'!$C$3:$C$841,MATCH(H241,'Both teabags AfterWet'!$A$3:$A$841,0)),"")="N.A","",(IFERROR(INDEX('Both teabags AfterWet'!$C$3:$C$841,MATCH(H241,'Both teabags AfterWet'!$A$3:$A$841,0)),"")))</f>
        <v>0.80800000000000005</v>
      </c>
      <c r="T241" s="195">
        <f>IFERROR(INDEX('Both teabags AfterWet'!$C$3:$C$841,MATCH(I241,'Both teabags AfterWet'!$A$3:$A$841,0)),"")</f>
        <v>1.6496999999999999</v>
      </c>
      <c r="U241" s="195">
        <f t="shared" si="31"/>
        <v>0.65739999999999998</v>
      </c>
      <c r="V241" s="195">
        <f t="shared" si="31"/>
        <v>1.4990999999999999</v>
      </c>
      <c r="W241" s="195">
        <f>IFERROR(INDEX('Ashed teabags wet'!$K$2:$K$821,MATCH(H241,'Ashed teabags wet'!$A$2:$A$821,0)),"")</f>
        <v>13.234567901234151</v>
      </c>
      <c r="X241" s="195">
        <f>IFERROR(INDEX('Ashed teabags wet'!$K$2:$K$821,MATCH(I241,'Ashed teabags wet'!$A$2:$A$821,0)),"")</f>
        <v>1.9136408243378245</v>
      </c>
      <c r="Y241" s="195">
        <f t="shared" si="25"/>
        <v>0.57039595061728665</v>
      </c>
      <c r="Z241" s="195">
        <f t="shared" si="25"/>
        <v>1.4704126104023516</v>
      </c>
      <c r="AA241" s="195">
        <f t="shared" si="32"/>
        <v>0.668521894845994</v>
      </c>
      <c r="AB241" s="195">
        <f t="shared" si="33"/>
        <v>0.43827088593229063</v>
      </c>
      <c r="AC241" s="195">
        <f t="shared" si="26"/>
        <v>0.77317123936964194</v>
      </c>
      <c r="AD241">
        <f t="shared" si="27"/>
        <v>51</v>
      </c>
      <c r="AE241" s="195">
        <f t="shared" si="34"/>
        <v>0.20603100374585037</v>
      </c>
      <c r="AF241" s="195">
        <f t="shared" si="35"/>
        <v>1.4291879577155688E-2</v>
      </c>
      <c r="AG241" s="255" t="str">
        <f>IF(ISNUMBER(SEARCH("C",'WetLitterbags placem_collection'!AD168)),"YES","NO")</f>
        <v>NO</v>
      </c>
      <c r="AH241" s="255" t="str">
        <f>IF(ISNUMBER(SEARCH("H", 'WetLitterbags placem_collection'!AD168)),"YES","NO")</f>
        <v>NO</v>
      </c>
      <c r="AI241" s="255" t="str">
        <f>IF(ISNUMBER(SEARCH("R", 'WetLitterbags placem_collection'!AD168)),"YES","NO")</f>
        <v>YES</v>
      </c>
      <c r="AJ241" s="255" t="str">
        <f>IF(ISNUMBER(SEARCH("C", 'WetLitterbags placem_collection'!AC168)),"YES","NO")</f>
        <v>NO</v>
      </c>
      <c r="AK241" s="255" t="str">
        <f>IF(ISNUMBER(SEARCH("H", 'WetLitterbags placem_collection'!AC168)),"YES","NO")</f>
        <v>NO</v>
      </c>
      <c r="AL241" s="255" t="str">
        <f>IF(ISNUMBER(SEARCH("R", 'WetLitterbags placem_collection'!AC168)),"YES","NO")</f>
        <v>NO</v>
      </c>
    </row>
    <row r="242" spans="2:38">
      <c r="B242" t="str">
        <f>'Final data_for_R_analysis_Wetse'!A168</f>
        <v>Wet</v>
      </c>
      <c r="C242" s="263">
        <f>'Final data_for_R_analysis_Wetse'!B168</f>
        <v>167</v>
      </c>
      <c r="D242" t="s">
        <v>3851</v>
      </c>
      <c r="E242" t="s">
        <v>22</v>
      </c>
      <c r="F242" s="387">
        <v>7</v>
      </c>
      <c r="G242" s="16">
        <f>'WetLitterbags placem_collection'!E169</f>
        <v>42763</v>
      </c>
      <c r="H242" t="str">
        <f>'Final data_for_R_analysis_Wetse'!J168</f>
        <v>G429</v>
      </c>
      <c r="I242" t="str">
        <f>'Final data_for_R_analysis_Wetse'!J388</f>
        <v>R255</v>
      </c>
      <c r="J242">
        <f>IFERROR(INDEX('Green_rooibos initial weight'!$C$5:$C$1749,MATCH(H242, 'Green_rooibos initial weight'!$A$5:$A$1749,0)),"")</f>
        <v>1.9319999999999999</v>
      </c>
      <c r="K242">
        <f>IFERROR(INDEX('Green_rooibos initial weight'!$C$5:$C$1749,MATCH(I242, 'Green_rooibos initial weight'!$A$5:$A$1749,0)),"")</f>
        <v>2.1859999999999999</v>
      </c>
      <c r="L242" s="195">
        <f t="shared" si="28"/>
        <v>1.6821999999999999</v>
      </c>
      <c r="M242" s="195">
        <f>AVERAGE(Ashed_controlls!$K$2:$K$11)</f>
        <v>5.5147656768714146</v>
      </c>
      <c r="N242" s="195">
        <f t="shared" si="24"/>
        <v>1.589430611783669</v>
      </c>
      <c r="O242" s="195">
        <f t="shared" si="29"/>
        <v>1.9361999999999999</v>
      </c>
      <c r="P242" s="195">
        <f>AVERAGE(Ashed_controlls!$K$12:$K$14)</f>
        <v>2.2816647271287041</v>
      </c>
      <c r="Q242" s="195">
        <f t="shared" si="30"/>
        <v>1.8920224075533341</v>
      </c>
      <c r="R242" s="16">
        <f>IF('WetLitterbags placem_collection'!G169="N.A","",'WetLitterbags placem_collection'!G169)</f>
        <v>42814</v>
      </c>
      <c r="S242" s="195">
        <f>IF(IFERROR(INDEX('Both teabags AfterWet'!$C$3:$C$841,MATCH(H242,'Both teabags AfterWet'!$A$3:$A$841,0)),"")="N.A","",(IFERROR(INDEX('Both teabags AfterWet'!$C$3:$C$841,MATCH(H242,'Both teabags AfterWet'!$A$3:$A$841,0)),"")))</f>
        <v>0.64529999999999998</v>
      </c>
      <c r="T242" s="195">
        <f>IFERROR(INDEX('Both teabags AfterWet'!$C$3:$C$841,MATCH(I242,'Both teabags AfterWet'!$A$3:$A$841,0)),"")</f>
        <v>1.7073</v>
      </c>
      <c r="U242" s="195">
        <f t="shared" si="31"/>
        <v>0.49469999999999997</v>
      </c>
      <c r="V242" s="195">
        <f t="shared" si="31"/>
        <v>1.5567</v>
      </c>
      <c r="W242" s="195">
        <f>IFERROR(INDEX('Ashed teabags wet'!$K$2:$K$821,MATCH(H242,'Ashed teabags wet'!$A$2:$A$821,0)),"")</f>
        <v>8.4409136047665729</v>
      </c>
      <c r="X242" s="195">
        <f>IFERROR(INDEX('Ashed teabags wet'!$K$2:$K$821,MATCH(I242,'Ashed teabags wet'!$A$2:$A$821,0)),"")</f>
        <v>1.7424975798647639</v>
      </c>
      <c r="Y242" s="195">
        <f t="shared" si="25"/>
        <v>0.45294280039721974</v>
      </c>
      <c r="Z242" s="195">
        <f t="shared" si="25"/>
        <v>1.5295745401742451</v>
      </c>
      <c r="AA242" s="195">
        <f t="shared" si="32"/>
        <v>0.71502826418516974</v>
      </c>
      <c r="AB242" s="195">
        <f t="shared" si="33"/>
        <v>0.46875962212614458</v>
      </c>
      <c r="AC242" s="195">
        <f t="shared" si="26"/>
        <v>0.80843362851722889</v>
      </c>
      <c r="AD242">
        <f t="shared" si="27"/>
        <v>51</v>
      </c>
      <c r="AE242" s="195">
        <f t="shared" si="34"/>
        <v>0.15079778600336136</v>
      </c>
      <c r="AF242" s="195">
        <f t="shared" si="35"/>
        <v>1.0301474227165455E-2</v>
      </c>
      <c r="AG242" s="255" t="str">
        <f>IF(ISNUMBER(SEARCH("C",'WetLitterbags placem_collection'!AD169)),"YES","NO")</f>
        <v>NO</v>
      </c>
      <c r="AH242" s="255" t="str">
        <f>IF(ISNUMBER(SEARCH("H", 'WetLitterbags placem_collection'!AD169)),"YES","NO")</f>
        <v>NO</v>
      </c>
      <c r="AI242" s="255" t="str">
        <f>IF(ISNUMBER(SEARCH("R", 'WetLitterbags placem_collection'!AD169)),"YES","NO")</f>
        <v>NO</v>
      </c>
      <c r="AJ242" s="255" t="str">
        <f>IF(ISNUMBER(SEARCH("C", 'WetLitterbags placem_collection'!AC169)),"YES","NO")</f>
        <v>NO</v>
      </c>
      <c r="AK242" s="255" t="str">
        <f>IF(ISNUMBER(SEARCH("H", 'WetLitterbags placem_collection'!AC169)),"YES","NO")</f>
        <v>NO</v>
      </c>
      <c r="AL242" s="255" t="str">
        <f>IF(ISNUMBER(SEARCH("R", 'WetLitterbags placem_collection'!AC169)),"YES","NO")</f>
        <v>NO</v>
      </c>
    </row>
    <row r="243" spans="2:38">
      <c r="B243" t="str">
        <f>'Final data_for_R_analysis_Wetse'!A169</f>
        <v>Wet</v>
      </c>
      <c r="C243" s="263">
        <f>'Final data_for_R_analysis_Wetse'!B169</f>
        <v>168</v>
      </c>
      <c r="D243" t="s">
        <v>3851</v>
      </c>
      <c r="E243" t="s">
        <v>22</v>
      </c>
      <c r="F243" s="387">
        <v>8</v>
      </c>
      <c r="G243" s="16">
        <f>'WetLitterbags placem_collection'!E170</f>
        <v>42763</v>
      </c>
      <c r="H243" t="str">
        <f>'Final data_for_R_analysis_Wetse'!J169</f>
        <v>G461</v>
      </c>
      <c r="I243" t="str">
        <f>'Final data_for_R_analysis_Wetse'!J389</f>
        <v>R534</v>
      </c>
      <c r="J243">
        <f>IFERROR(INDEX('Green_rooibos initial weight'!$C$5:$C$1749,MATCH(H243, 'Green_rooibos initial weight'!$A$5:$A$1749,0)),"")</f>
        <v>2.1030000000000002</v>
      </c>
      <c r="K243">
        <f>IFERROR(INDEX('Green_rooibos initial weight'!$C$5:$C$1749,MATCH(I243, 'Green_rooibos initial weight'!$A$5:$A$1749,0)),"")</f>
        <v>2.17</v>
      </c>
      <c r="L243" s="195">
        <f t="shared" si="28"/>
        <v>1.8532000000000002</v>
      </c>
      <c r="M243" s="195">
        <f>AVERAGE(Ashed_controlls!$K$2:$K$11)</f>
        <v>5.5147656768714146</v>
      </c>
      <c r="N243" s="195">
        <f t="shared" si="24"/>
        <v>1.7510003624762192</v>
      </c>
      <c r="O243" s="195">
        <f t="shared" si="29"/>
        <v>1.9201999999999999</v>
      </c>
      <c r="P243" s="195">
        <f>AVERAGE(Ashed_controlls!$K$12:$K$14)</f>
        <v>2.2816647271287041</v>
      </c>
      <c r="Q243" s="195">
        <f t="shared" si="30"/>
        <v>1.8763874739096746</v>
      </c>
      <c r="R243" s="16">
        <f>IF('WetLitterbags placem_collection'!G170="N.A","",'WetLitterbags placem_collection'!G170)</f>
        <v>42814</v>
      </c>
      <c r="S243" s="195">
        <f>IF(IFERROR(INDEX('Both teabags AfterWet'!$C$3:$C$841,MATCH(H243,'Both teabags AfterWet'!$A$3:$A$841,0)),"")="N.A","",(IFERROR(INDEX('Both teabags AfterWet'!$C$3:$C$841,MATCH(H243,'Both teabags AfterWet'!$A$3:$A$841,0)),"")))</f>
        <v>0.79400000000000004</v>
      </c>
      <c r="T243" s="195">
        <f>IFERROR(INDEX('Both teabags AfterWet'!$C$3:$C$841,MATCH(I243,'Both teabags AfterWet'!$A$3:$A$841,0)),"")</f>
        <v>1.722</v>
      </c>
      <c r="U243" s="195">
        <f t="shared" si="31"/>
        <v>0.64339999999999997</v>
      </c>
      <c r="V243" s="195">
        <f t="shared" si="31"/>
        <v>1.5713999999999999</v>
      </c>
      <c r="W243" s="195">
        <f>IFERROR(INDEX('Ashed teabags wet'!$K$2:$K$821,MATCH(H243,'Ashed teabags wet'!$A$2:$A$821,0)),"")</f>
        <v>8.9463220675947444</v>
      </c>
      <c r="X243" s="195">
        <f>IFERROR(INDEX('Ashed teabags wet'!$K$2:$K$821,MATCH(I243,'Ashed teabags wet'!$A$2:$A$821,0)),"")</f>
        <v>1.9733596447958683</v>
      </c>
      <c r="Y243" s="195">
        <f t="shared" si="25"/>
        <v>0.58583936381709534</v>
      </c>
      <c r="Z243" s="195">
        <f t="shared" si="25"/>
        <v>1.5403906265416776</v>
      </c>
      <c r="AA243" s="195">
        <f t="shared" si="32"/>
        <v>0.66542590374532162</v>
      </c>
      <c r="AB243" s="195">
        <f t="shared" si="33"/>
        <v>0.43624121005631544</v>
      </c>
      <c r="AC243" s="195">
        <f t="shared" si="26"/>
        <v>0.82093418761322889</v>
      </c>
      <c r="AD243">
        <f t="shared" si="27"/>
        <v>51</v>
      </c>
      <c r="AE243" s="195">
        <f t="shared" si="34"/>
        <v>0.20970795279653009</v>
      </c>
      <c r="AF243" s="195">
        <f t="shared" si="35"/>
        <v>1.0361509630006227E-2</v>
      </c>
      <c r="AG243" s="255" t="str">
        <f>IF(ISNUMBER(SEARCH("C",'WetLitterbags placem_collection'!AD170)),"YES","NO")</f>
        <v>NO</v>
      </c>
      <c r="AH243" s="255" t="str">
        <f>IF(ISNUMBER(SEARCH("H", 'WetLitterbags placem_collection'!AD170)),"YES","NO")</f>
        <v>NO</v>
      </c>
      <c r="AI243" s="255" t="str">
        <f>IF(ISNUMBER(SEARCH("R", 'WetLitterbags placem_collection'!AD170)),"YES","NO")</f>
        <v>NO</v>
      </c>
      <c r="AJ243" s="255" t="str">
        <f>IF(ISNUMBER(SEARCH("C", 'WetLitterbags placem_collection'!AC170)),"YES","NO")</f>
        <v>NO</v>
      </c>
      <c r="AK243" s="255" t="str">
        <f>IF(ISNUMBER(SEARCH("H", 'WetLitterbags placem_collection'!AC170)),"YES","NO")</f>
        <v>NO</v>
      </c>
      <c r="AL243" s="255" t="str">
        <f>IF(ISNUMBER(SEARCH("R", 'WetLitterbags placem_collection'!AC170)),"YES","NO")</f>
        <v>NO</v>
      </c>
    </row>
    <row r="244" spans="2:38">
      <c r="B244" t="str">
        <f>'Final data_for_R_analysis_Wetse'!A170</f>
        <v>Wet</v>
      </c>
      <c r="C244" s="263">
        <f>'Final data_for_R_analysis_Wetse'!B170</f>
        <v>169</v>
      </c>
      <c r="D244" t="s">
        <v>3853</v>
      </c>
      <c r="E244" t="s">
        <v>22</v>
      </c>
      <c r="F244" s="386">
        <v>1</v>
      </c>
      <c r="G244" s="16">
        <f>'WetLitterbags placem_collection'!E171</f>
        <v>42763</v>
      </c>
      <c r="H244" t="str">
        <f>'Final data_for_R_analysis_Wetse'!J170</f>
        <v>G425</v>
      </c>
      <c r="I244" t="str">
        <f>'Final data_for_R_analysis_Wetse'!J390</f>
        <v>R453</v>
      </c>
      <c r="J244">
        <f>IFERROR(INDEX('Green_rooibos initial weight'!$C$5:$C$1749,MATCH(H244, 'Green_rooibos initial weight'!$A$5:$A$1749,0)),"")</f>
        <v>1.9750000000000001</v>
      </c>
      <c r="K244">
        <f>IFERROR(INDEX('Green_rooibos initial weight'!$C$5:$C$1749,MATCH(I244, 'Green_rooibos initial weight'!$A$5:$A$1749,0)),"")</f>
        <v>2.165</v>
      </c>
      <c r="L244" s="195">
        <f t="shared" si="28"/>
        <v>1.7252000000000001</v>
      </c>
      <c r="M244" s="195">
        <f>AVERAGE(Ashed_controlls!$K$2:$K$11)</f>
        <v>5.5147656768714146</v>
      </c>
      <c r="N244" s="195">
        <f t="shared" si="24"/>
        <v>1.6300592625426145</v>
      </c>
      <c r="O244" s="195">
        <f t="shared" si="29"/>
        <v>1.9152</v>
      </c>
      <c r="P244" s="195">
        <f>AVERAGE(Ashed_controlls!$K$12:$K$14)</f>
        <v>2.2816647271287041</v>
      </c>
      <c r="Q244" s="195">
        <f t="shared" si="30"/>
        <v>1.8715015571460312</v>
      </c>
      <c r="R244" s="16">
        <f>IF('WetLitterbags placem_collection'!G171="N.A","",'WetLitterbags placem_collection'!G171)</f>
        <v>42814</v>
      </c>
      <c r="S244" s="195">
        <f>IF(IFERROR(INDEX('Both teabags AfterWet'!$C$3:$C$841,MATCH(H244,'Both teabags AfterWet'!$A$3:$A$841,0)),"")="N.A","",(IFERROR(INDEX('Both teabags AfterWet'!$C$3:$C$841,MATCH(H244,'Both teabags AfterWet'!$A$3:$A$841,0)),"")))</f>
        <v>0.65800000000000003</v>
      </c>
      <c r="T244" s="195">
        <f>IFERROR(INDEX('Both teabags AfterWet'!$C$3:$C$841,MATCH(I244,'Both teabags AfterWet'!$A$3:$A$841,0)),"")</f>
        <v>0.14299999999999999</v>
      </c>
      <c r="U244" s="195">
        <f t="shared" si="31"/>
        <v>0.50740000000000007</v>
      </c>
      <c r="V244" s="195">
        <f t="shared" si="31"/>
        <v>-7.6000000000000234E-3</v>
      </c>
      <c r="W244" s="195">
        <f>IFERROR(INDEX('Ashed teabags wet'!$K$2:$K$821,MATCH(H244,'Ashed teabags wet'!$A$2:$A$821,0)),"")</f>
        <v>11.404382470119883</v>
      </c>
      <c r="X244" s="195" t="str">
        <f>IFERROR(INDEX('Ashed teabags wet'!$K$2:$K$821,MATCH(I244,'Ashed teabags wet'!$A$2:$A$821,0)),"")</f>
        <v/>
      </c>
      <c r="Y244" s="195">
        <f t="shared" si="25"/>
        <v>0.44953416334661178</v>
      </c>
      <c r="Z244" s="195" t="str">
        <f t="shared" si="25"/>
        <v/>
      </c>
      <c r="AA244" s="195">
        <f t="shared" si="32"/>
        <v>0.72422219628664597</v>
      </c>
      <c r="AB244" s="195">
        <f t="shared" si="33"/>
        <v>0.47478699804065155</v>
      </c>
      <c r="AC244" s="195" t="str">
        <f t="shared" si="26"/>
        <v/>
      </c>
      <c r="AD244">
        <f t="shared" si="27"/>
        <v>51</v>
      </c>
      <c r="AE244" s="195">
        <f t="shared" si="34"/>
        <v>0.13987862673795015</v>
      </c>
      <c r="AF244" s="195" t="str">
        <f t="shared" si="35"/>
        <v/>
      </c>
      <c r="AG244" s="255" t="str">
        <f>IF(ISNUMBER(SEARCH("C",'WetLitterbags placem_collection'!AD171)),"YES","NO")</f>
        <v>YES</v>
      </c>
      <c r="AH244" s="255" t="str">
        <f>IF(ISNUMBER(SEARCH("H", 'WetLitterbags placem_collection'!AD171)),"YES","NO")</f>
        <v>NO</v>
      </c>
      <c r="AI244" s="255" t="str">
        <f>IF(ISNUMBER(SEARCH("R", 'WetLitterbags placem_collection'!AD171)),"YES","NO")</f>
        <v>YES</v>
      </c>
      <c r="AJ244" s="255" t="str">
        <f>IF(ISNUMBER(SEARCH("C", 'WetLitterbags placem_collection'!AC171)),"YES","NO")</f>
        <v>NO</v>
      </c>
      <c r="AK244" s="255" t="str">
        <f>IF(ISNUMBER(SEARCH("H", 'WetLitterbags placem_collection'!AC171)),"YES","NO")</f>
        <v>NO</v>
      </c>
      <c r="AL244" s="255" t="str">
        <f>IF(ISNUMBER(SEARCH("R", 'WetLitterbags placem_collection'!AC171)),"YES","NO")</f>
        <v>NO</v>
      </c>
    </row>
    <row r="245" spans="2:38">
      <c r="B245" t="str">
        <f>'Final data_for_R_analysis_Wetse'!A171</f>
        <v>Wet</v>
      </c>
      <c r="C245" s="263">
        <f>'Final data_for_R_analysis_Wetse'!B171</f>
        <v>170</v>
      </c>
      <c r="D245" t="s">
        <v>3853</v>
      </c>
      <c r="E245" t="s">
        <v>22</v>
      </c>
      <c r="F245" s="386">
        <v>2</v>
      </c>
      <c r="G245" s="16">
        <f>'WetLitterbags placem_collection'!E172</f>
        <v>42763</v>
      </c>
      <c r="H245" t="str">
        <f>'Final data_for_R_analysis_Wetse'!J171</f>
        <v>G433</v>
      </c>
      <c r="I245" t="str">
        <f>'Final data_for_R_analysis_Wetse'!J391</f>
        <v>R330</v>
      </c>
      <c r="J245">
        <f>IFERROR(INDEX('Green_rooibos initial weight'!$C$5:$C$1749,MATCH(H245, 'Green_rooibos initial weight'!$A$5:$A$1749,0)),"")</f>
        <v>2.06</v>
      </c>
      <c r="K245">
        <f>IFERROR(INDEX('Green_rooibos initial weight'!$C$5:$C$1749,MATCH(I245, 'Green_rooibos initial weight'!$A$5:$A$1749,0)),"")</f>
        <v>2.12</v>
      </c>
      <c r="L245" s="195">
        <f t="shared" si="28"/>
        <v>1.8102</v>
      </c>
      <c r="M245" s="195">
        <f>AVERAGE(Ashed_controlls!$K$2:$K$11)</f>
        <v>5.5147656768714146</v>
      </c>
      <c r="N245" s="195">
        <f t="shared" si="24"/>
        <v>1.7103717117172736</v>
      </c>
      <c r="O245" s="195">
        <f t="shared" si="29"/>
        <v>1.8702000000000001</v>
      </c>
      <c r="P245" s="195">
        <f>AVERAGE(Ashed_controlls!$K$12:$K$14)</f>
        <v>2.2816647271287041</v>
      </c>
      <c r="Q245" s="195">
        <f t="shared" si="30"/>
        <v>1.827528306273239</v>
      </c>
      <c r="R245" s="16">
        <f>IF('WetLitterbags placem_collection'!G172="N.A","",'WetLitterbags placem_collection'!G172)</f>
        <v>42814</v>
      </c>
      <c r="S245" s="195">
        <f>IF(IFERROR(INDEX('Both teabags AfterWet'!$C$3:$C$841,MATCH(H245,'Both teabags AfterWet'!$A$3:$A$841,0)),"")="N.A","",(IFERROR(INDEX('Both teabags AfterWet'!$C$3:$C$841,MATCH(H245,'Both teabags AfterWet'!$A$3:$A$841,0)),"")))</f>
        <v>0.64800000000000002</v>
      </c>
      <c r="T245" s="195">
        <f>IFERROR(INDEX('Both teabags AfterWet'!$C$3:$C$841,MATCH(I245,'Both teabags AfterWet'!$A$3:$A$841,0)),"")</f>
        <v>1.7769999999999999</v>
      </c>
      <c r="U245" s="195">
        <f t="shared" si="31"/>
        <v>0.49740000000000001</v>
      </c>
      <c r="V245" s="195">
        <f t="shared" si="31"/>
        <v>1.6263999999999998</v>
      </c>
      <c r="W245" s="195">
        <f>IFERROR(INDEX('Ashed teabags wet'!$K$2:$K$821,MATCH(H245,'Ashed teabags wet'!$A$2:$A$821,0)),"")</f>
        <v>9.4836146971203146</v>
      </c>
      <c r="X245" s="195">
        <f>IFERROR(INDEX('Ashed teabags wet'!$K$2:$K$821,MATCH(I245,'Ashed teabags wet'!$A$2:$A$821,0)),"")</f>
        <v>2.1642892277422194</v>
      </c>
      <c r="Y245" s="195">
        <f t="shared" si="25"/>
        <v>0.45022850049652358</v>
      </c>
      <c r="Z245" s="195">
        <f t="shared" si="25"/>
        <v>1.5912000000000004</v>
      </c>
      <c r="AA245" s="195">
        <f t="shared" si="32"/>
        <v>0.73676569986972118</v>
      </c>
      <c r="AB245" s="195">
        <f t="shared" si="33"/>
        <v>0.48301029255117123</v>
      </c>
      <c r="AC245" s="195">
        <f t="shared" si="26"/>
        <v>0.87068418833130534</v>
      </c>
      <c r="AD245">
        <f t="shared" si="27"/>
        <v>51</v>
      </c>
      <c r="AE245" s="195">
        <f t="shared" si="34"/>
        <v>0.12498135407396527</v>
      </c>
      <c r="AF245" s="195">
        <f t="shared" si="35"/>
        <v>6.1098915866027968E-3</v>
      </c>
      <c r="AG245" s="255" t="str">
        <f>IF(ISNUMBER(SEARCH("C",'WetLitterbags placem_collection'!AD172)),"YES","NO")</f>
        <v>NO</v>
      </c>
      <c r="AH245" s="255" t="str">
        <f>IF(ISNUMBER(SEARCH("H", 'WetLitterbags placem_collection'!AD172)),"YES","NO")</f>
        <v>NO</v>
      </c>
      <c r="AI245" s="255" t="str">
        <f>IF(ISNUMBER(SEARCH("R", 'WetLitterbags placem_collection'!AD172)),"YES","NO")</f>
        <v>NO</v>
      </c>
      <c r="AJ245" s="255" t="str">
        <f>IF(ISNUMBER(SEARCH("C", 'WetLitterbags placem_collection'!AC172)),"YES","NO")</f>
        <v>NO</v>
      </c>
      <c r="AK245" s="255" t="str">
        <f>IF(ISNUMBER(SEARCH("H", 'WetLitterbags placem_collection'!AC172)),"YES","NO")</f>
        <v>NO</v>
      </c>
      <c r="AL245" s="255" t="str">
        <f>IF(ISNUMBER(SEARCH("R", 'WetLitterbags placem_collection'!AC172)),"YES","NO")</f>
        <v>NO</v>
      </c>
    </row>
    <row r="246" spans="2:38">
      <c r="B246" t="str">
        <f>'Final data_for_R_analysis_Wetse'!A172</f>
        <v>Wet</v>
      </c>
      <c r="C246" s="263">
        <f>'Final data_for_R_analysis_Wetse'!B172</f>
        <v>171</v>
      </c>
      <c r="D246" t="s">
        <v>3853</v>
      </c>
      <c r="E246" t="s">
        <v>22</v>
      </c>
      <c r="F246" s="386">
        <v>3</v>
      </c>
      <c r="G246" s="16">
        <f>'WetLitterbags placem_collection'!E173</f>
        <v>42763</v>
      </c>
      <c r="H246" t="str">
        <f>'Final data_for_R_analysis_Wetse'!J172</f>
        <v>G656</v>
      </c>
      <c r="I246" t="str">
        <f>'Final data_for_R_analysis_Wetse'!J392</f>
        <v>R558</v>
      </c>
      <c r="J246">
        <f>IFERROR(INDEX('Green_rooibos initial weight'!$C$5:$C$1749,MATCH(H246, 'Green_rooibos initial weight'!$A$5:$A$1749,0)),"")</f>
        <v>2.1320000000000001</v>
      </c>
      <c r="K246">
        <f>IFERROR(INDEX('Green_rooibos initial weight'!$C$5:$C$1749,MATCH(I246, 'Green_rooibos initial weight'!$A$5:$A$1749,0)),"")</f>
        <v>2.1760000000000002</v>
      </c>
      <c r="L246" s="195">
        <f t="shared" si="28"/>
        <v>1.8822000000000001</v>
      </c>
      <c r="M246" s="195">
        <f>AVERAGE(Ashed_controlls!$K$2:$K$11)</f>
        <v>5.5147656768714146</v>
      </c>
      <c r="N246" s="195">
        <f t="shared" si="24"/>
        <v>1.7784010804299264</v>
      </c>
      <c r="O246" s="195">
        <f t="shared" si="29"/>
        <v>1.9262000000000001</v>
      </c>
      <c r="P246" s="195">
        <f>AVERAGE(Ashed_controlls!$K$12:$K$14)</f>
        <v>2.2816647271287041</v>
      </c>
      <c r="Q246" s="195">
        <f t="shared" si="30"/>
        <v>1.8822505740260471</v>
      </c>
      <c r="R246" s="16">
        <f>IF('WetLitterbags placem_collection'!G173="N.A","",'WetLitterbags placem_collection'!G173)</f>
        <v>42814</v>
      </c>
      <c r="S246" s="195">
        <f>IF(IFERROR(INDEX('Both teabags AfterWet'!$C$3:$C$841,MATCH(H246,'Both teabags AfterWet'!$A$3:$A$841,0)),"")="N.A","",(IFERROR(INDEX('Both teabags AfterWet'!$C$3:$C$841,MATCH(H246,'Both teabags AfterWet'!$A$3:$A$841,0)),"")))</f>
        <v>0.63100000000000001</v>
      </c>
      <c r="T246" s="195">
        <f>IFERROR(INDEX('Both teabags AfterWet'!$C$3:$C$841,MATCH(I246,'Both teabags AfterWet'!$A$3:$A$841,0)),"")</f>
        <v>1.61</v>
      </c>
      <c r="U246" s="195">
        <f t="shared" si="31"/>
        <v>0.48039999999999999</v>
      </c>
      <c r="V246" s="195">
        <f t="shared" si="31"/>
        <v>1.4594</v>
      </c>
      <c r="W246" s="195">
        <f>IFERROR(INDEX('Ashed teabags wet'!$K$2:$K$821,MATCH(H246,'Ashed teabags wet'!$A$2:$A$821,0)),"")</f>
        <v>12.283308568598626</v>
      </c>
      <c r="X246" s="195">
        <f>IFERROR(INDEX('Ashed teabags wet'!$K$2:$K$821,MATCH(I246,'Ashed teabags wet'!$A$2:$A$821,0)),"")</f>
        <v>2.9640427599611376</v>
      </c>
      <c r="Y246" s="195">
        <f t="shared" si="25"/>
        <v>0.42139098563645216</v>
      </c>
      <c r="Z246" s="195">
        <f t="shared" si="25"/>
        <v>1.4161427599611272</v>
      </c>
      <c r="AA246" s="195">
        <f t="shared" si="32"/>
        <v>0.76305064685712998</v>
      </c>
      <c r="AB246" s="195">
        <f t="shared" si="33"/>
        <v>0.50024222929351048</v>
      </c>
      <c r="AC246" s="195">
        <f t="shared" si="26"/>
        <v>0.75236675685111531</v>
      </c>
      <c r="AD246">
        <f t="shared" si="27"/>
        <v>51</v>
      </c>
      <c r="AE246" s="195">
        <f t="shared" si="34"/>
        <v>9.3764077366829013E-2</v>
      </c>
      <c r="AF246" s="195">
        <f t="shared" si="35"/>
        <v>1.3397052074721041E-2</v>
      </c>
      <c r="AG246" s="255" t="str">
        <f>IF(ISNUMBER(SEARCH("C",'WetLitterbags placem_collection'!AD173)),"YES","NO")</f>
        <v>NO</v>
      </c>
      <c r="AH246" s="255" t="str">
        <f>IF(ISNUMBER(SEARCH("H", 'WetLitterbags placem_collection'!AD173)),"YES","NO")</f>
        <v>NO</v>
      </c>
      <c r="AI246" s="255" t="str">
        <f>IF(ISNUMBER(SEARCH("R", 'WetLitterbags placem_collection'!AD173)),"YES","NO")</f>
        <v>NO</v>
      </c>
      <c r="AJ246" s="255" t="str">
        <f>IF(ISNUMBER(SEARCH("C", 'WetLitterbags placem_collection'!AC173)),"YES","NO")</f>
        <v>NO</v>
      </c>
      <c r="AK246" s="255" t="str">
        <f>IF(ISNUMBER(SEARCH("H", 'WetLitterbags placem_collection'!AC173)),"YES","NO")</f>
        <v>NO</v>
      </c>
      <c r="AL246" s="255" t="str">
        <f>IF(ISNUMBER(SEARCH("R", 'WetLitterbags placem_collection'!AC173)),"YES","NO")</f>
        <v>NO</v>
      </c>
    </row>
    <row r="247" spans="2:38">
      <c r="B247" t="str">
        <f>'Final data_for_R_analysis_Wetse'!A173</f>
        <v>Wet</v>
      </c>
      <c r="C247" s="263">
        <f>'Final data_for_R_analysis_Wetse'!B173</f>
        <v>172</v>
      </c>
      <c r="D247" t="s">
        <v>3853</v>
      </c>
      <c r="E247" t="s">
        <v>22</v>
      </c>
      <c r="F247" s="387">
        <v>4</v>
      </c>
      <c r="G247" s="16">
        <f>'WetLitterbags placem_collection'!E174</f>
        <v>42763</v>
      </c>
      <c r="H247" t="str">
        <f>'Final data_for_R_analysis_Wetse'!J173</f>
        <v>G281</v>
      </c>
      <c r="I247" t="str">
        <f>'Final data_for_R_analysis_Wetse'!J393</f>
        <v>R157</v>
      </c>
      <c r="J247">
        <f>IFERROR(INDEX('Green_rooibos initial weight'!$C$5:$C$1749,MATCH(H247, 'Green_rooibos initial weight'!$A$5:$A$1749,0)),"")</f>
        <v>2.0419999999999998</v>
      </c>
      <c r="K247">
        <f>IFERROR(INDEX('Green_rooibos initial weight'!$C$5:$C$1749,MATCH(I247, 'Green_rooibos initial weight'!$A$5:$A$1749,0)),"")</f>
        <v>2.1819999999999999</v>
      </c>
      <c r="L247" s="195">
        <f t="shared" si="28"/>
        <v>1.7921999999999998</v>
      </c>
      <c r="M247" s="195">
        <f>AVERAGE(Ashed_controlls!$K$2:$K$11)</f>
        <v>5.5147656768714146</v>
      </c>
      <c r="N247" s="195">
        <f t="shared" si="24"/>
        <v>1.6933643695391103</v>
      </c>
      <c r="O247" s="195">
        <f t="shared" si="29"/>
        <v>1.9321999999999999</v>
      </c>
      <c r="P247" s="195">
        <f>AVERAGE(Ashed_controlls!$K$12:$K$14)</f>
        <v>2.2816647271287041</v>
      </c>
      <c r="Q247" s="195">
        <f t="shared" si="30"/>
        <v>1.8881136741424192</v>
      </c>
      <c r="R247" s="16">
        <f>IF('WetLitterbags placem_collection'!G174="N.A","",'WetLitterbags placem_collection'!G174)</f>
        <v>42814</v>
      </c>
      <c r="S247" s="195">
        <f>IF(IFERROR(INDEX('Both teabags AfterWet'!$C$3:$C$841,MATCH(H247,'Both teabags AfterWet'!$A$3:$A$841,0)),"")="N.A","",(IFERROR(INDEX('Both teabags AfterWet'!$C$3:$C$841,MATCH(H247,'Both teabags AfterWet'!$A$3:$A$841,0)),"")))</f>
        <v>0.69520000000000004</v>
      </c>
      <c r="T247" s="195">
        <f>IFERROR(INDEX('Both teabags AfterWet'!$C$3:$C$841,MATCH(I247,'Both teabags AfterWet'!$A$3:$A$841,0)),"")</f>
        <v>1.6782000000000001</v>
      </c>
      <c r="U247" s="195">
        <f t="shared" si="31"/>
        <v>0.54459999999999997</v>
      </c>
      <c r="V247" s="195">
        <f t="shared" si="31"/>
        <v>1.5276000000000001</v>
      </c>
      <c r="W247" s="195">
        <f>IFERROR(INDEX('Ashed teabags wet'!$K$2:$K$821,MATCH(H247,'Ashed teabags wet'!$A$2:$A$821,0)),"")</f>
        <v>8.6181277860327441</v>
      </c>
      <c r="X247" s="195">
        <f>IFERROR(INDEX('Ashed teabags wet'!$K$2:$K$821,MATCH(I247,'Ashed teabags wet'!$A$2:$A$821,0)),"")</f>
        <v>4.6332046332039889</v>
      </c>
      <c r="Y247" s="195">
        <f t="shared" si="25"/>
        <v>0.49766567607726564</v>
      </c>
      <c r="Z247" s="195">
        <f t="shared" si="25"/>
        <v>1.4568231660231759</v>
      </c>
      <c r="AA247" s="195">
        <f t="shared" si="32"/>
        <v>0.70610833378245852</v>
      </c>
      <c r="AB247" s="195">
        <f t="shared" si="33"/>
        <v>0.46291187677899903</v>
      </c>
      <c r="AC247" s="195">
        <f t="shared" si="26"/>
        <v>0.77157598399623084</v>
      </c>
      <c r="AD247">
        <f t="shared" si="27"/>
        <v>51</v>
      </c>
      <c r="AE247" s="195">
        <f t="shared" si="34"/>
        <v>0.16139152757427722</v>
      </c>
      <c r="AF247" s="195">
        <f t="shared" si="35"/>
        <v>1.3335938919816461E-2</v>
      </c>
      <c r="AG247" s="255" t="str">
        <f>IF(ISNUMBER(SEARCH("C",'WetLitterbags placem_collection'!AD174)),"YES","NO")</f>
        <v>NO</v>
      </c>
      <c r="AH247" s="255" t="str">
        <f>IF(ISNUMBER(SEARCH("H", 'WetLitterbags placem_collection'!AD174)),"YES","NO")</f>
        <v>NO</v>
      </c>
      <c r="AI247" s="255" t="str">
        <f>IF(ISNUMBER(SEARCH("R", 'WetLitterbags placem_collection'!AD174)),"YES","NO")</f>
        <v>NO</v>
      </c>
      <c r="AJ247" s="255" t="str">
        <f>IF(ISNUMBER(SEARCH("C", 'WetLitterbags placem_collection'!AC174)),"YES","NO")</f>
        <v>NO</v>
      </c>
      <c r="AK247" s="255" t="str">
        <f>IF(ISNUMBER(SEARCH("H", 'WetLitterbags placem_collection'!AC174)),"YES","NO")</f>
        <v>NO</v>
      </c>
      <c r="AL247" s="255" t="str">
        <f>IF(ISNUMBER(SEARCH("R", 'WetLitterbags placem_collection'!AC174)),"YES","NO")</f>
        <v>NO</v>
      </c>
    </row>
    <row r="248" spans="2:38">
      <c r="B248" t="str">
        <f>'Final data_for_R_analysis_Wetse'!A174</f>
        <v>Wet</v>
      </c>
      <c r="C248" s="263">
        <f>'Final data_for_R_analysis_Wetse'!B174</f>
        <v>173</v>
      </c>
      <c r="D248" t="s">
        <v>3853</v>
      </c>
      <c r="E248" t="s">
        <v>22</v>
      </c>
      <c r="F248" s="387">
        <v>5</v>
      </c>
      <c r="G248" s="16">
        <f>'WetLitterbags placem_collection'!E175</f>
        <v>42763</v>
      </c>
      <c r="H248" t="str">
        <f>'Final data_for_R_analysis_Wetse'!J174</f>
        <v>G216</v>
      </c>
      <c r="I248" t="str">
        <f>'Final data_for_R_analysis_Wetse'!J394</f>
        <v>R57</v>
      </c>
      <c r="J248">
        <f>IFERROR(INDEX('Green_rooibos initial weight'!$C$5:$C$1749,MATCH(H248, 'Green_rooibos initial weight'!$A$5:$A$1749,0)),"")</f>
        <v>2.1150000000000002</v>
      </c>
      <c r="K248">
        <f>IFERROR(INDEX('Green_rooibos initial weight'!$C$5:$C$1749,MATCH(I248, 'Green_rooibos initial weight'!$A$5:$A$1749,0)),"")</f>
        <v>2.1890000000000001</v>
      </c>
      <c r="L248" s="195">
        <f t="shared" si="28"/>
        <v>1.8652000000000002</v>
      </c>
      <c r="M248" s="195">
        <f>AVERAGE(Ashed_controlls!$K$2:$K$11)</f>
        <v>5.5147656768714146</v>
      </c>
      <c r="N248" s="195">
        <f t="shared" si="24"/>
        <v>1.7623385905949946</v>
      </c>
      <c r="O248" s="195">
        <f t="shared" si="29"/>
        <v>1.9392</v>
      </c>
      <c r="P248" s="195">
        <f>AVERAGE(Ashed_controlls!$K$12:$K$14)</f>
        <v>2.2816647271287041</v>
      </c>
      <c r="Q248" s="195">
        <f t="shared" si="30"/>
        <v>1.8949539576115202</v>
      </c>
      <c r="R248" s="16">
        <f>IF('WetLitterbags placem_collection'!G175="N.A","",'WetLitterbags placem_collection'!G175)</f>
        <v>42814</v>
      </c>
      <c r="S248" s="195">
        <f>IF(IFERROR(INDEX('Both teabags AfterWet'!$C$3:$C$841,MATCH(H248,'Both teabags AfterWet'!$A$3:$A$841,0)),"")="N.A","",(IFERROR(INDEX('Both teabags AfterWet'!$C$3:$C$841,MATCH(H248,'Both teabags AfterWet'!$A$3:$A$841,0)),"")))</f>
        <v>0.57999999999999996</v>
      </c>
      <c r="T248" s="195" t="str">
        <f>IFERROR(INDEX('Both teabags AfterWet'!$C$3:$C$841,MATCH(I248,'Both teabags AfterWet'!$A$3:$A$841,0)),"")</f>
        <v/>
      </c>
      <c r="U248" s="195">
        <f t="shared" si="31"/>
        <v>0.42939999999999995</v>
      </c>
      <c r="V248" s="195" t="str">
        <f t="shared" si="31"/>
        <v/>
      </c>
      <c r="W248" s="195">
        <f>IFERROR(INDEX('Ashed teabags wet'!$K$2:$K$821,MATCH(H248,'Ashed teabags wet'!$A$2:$A$821,0)),"")</f>
        <v>9.4980314960627936</v>
      </c>
      <c r="X248" s="195" t="str">
        <f>IFERROR(INDEX('Ashed teabags wet'!$K$2:$K$821,MATCH(I248,'Ashed teabags wet'!$A$2:$A$821,0)),"")</f>
        <v/>
      </c>
      <c r="Y248" s="195">
        <f t="shared" si="25"/>
        <v>0.38861545275590631</v>
      </c>
      <c r="Z248" s="195" t="str">
        <f t="shared" si="25"/>
        <v/>
      </c>
      <c r="AA248" s="195">
        <f t="shared" si="32"/>
        <v>0.77948876859996385</v>
      </c>
      <c r="AB248" s="195">
        <f t="shared" si="33"/>
        <v>0.51101876516292177</v>
      </c>
      <c r="AC248" s="195" t="str">
        <f t="shared" si="26"/>
        <v/>
      </c>
      <c r="AD248">
        <f t="shared" si="27"/>
        <v>51</v>
      </c>
      <c r="AE248" s="195">
        <f t="shared" si="34"/>
        <v>7.4241367458475205E-2</v>
      </c>
      <c r="AF248" s="195" t="str">
        <f t="shared" si="35"/>
        <v/>
      </c>
      <c r="AG248" s="255" t="str">
        <f>IF(ISNUMBER(SEARCH("C",'WetLitterbags placem_collection'!AD175)),"YES","NO")</f>
        <v>YES</v>
      </c>
      <c r="AH248" s="255" t="str">
        <f>IF(ISNUMBER(SEARCH("H", 'WetLitterbags placem_collection'!AD175)),"YES","NO")</f>
        <v>NO</v>
      </c>
      <c r="AI248" s="255" t="str">
        <f>IF(ISNUMBER(SEARCH("R", 'WetLitterbags placem_collection'!AD175)),"YES","NO")</f>
        <v>YES</v>
      </c>
      <c r="AJ248" s="255" t="str">
        <f>IF(ISNUMBER(SEARCH("C", 'WetLitterbags placem_collection'!AC175)),"YES","NO")</f>
        <v>NO</v>
      </c>
      <c r="AK248" s="255" t="str">
        <f>IF(ISNUMBER(SEARCH("H", 'WetLitterbags placem_collection'!AC175)),"YES","NO")</f>
        <v>NO</v>
      </c>
      <c r="AL248" s="255" t="str">
        <f>IF(ISNUMBER(SEARCH("R", 'WetLitterbags placem_collection'!AC175)),"YES","NO")</f>
        <v>NO</v>
      </c>
    </row>
    <row r="249" spans="2:38">
      <c r="B249" t="str">
        <f>'Final data_for_R_analysis_Wetse'!A175</f>
        <v>Wet</v>
      </c>
      <c r="C249" s="263">
        <f>'Final data_for_R_analysis_Wetse'!B175</f>
        <v>174</v>
      </c>
      <c r="D249" t="s">
        <v>3853</v>
      </c>
      <c r="E249" t="s">
        <v>22</v>
      </c>
      <c r="F249" s="387">
        <v>6</v>
      </c>
      <c r="G249" s="16">
        <f>'WetLitterbags placem_collection'!E176</f>
        <v>42763</v>
      </c>
      <c r="H249" t="str">
        <f>'Final data_for_R_analysis_Wetse'!J175</f>
        <v>G655</v>
      </c>
      <c r="I249" t="str">
        <f>'Final data_for_R_analysis_Wetse'!J395</f>
        <v>R307</v>
      </c>
      <c r="J249">
        <f>IFERROR(INDEX('Green_rooibos initial weight'!$C$5:$C$1749,MATCH(H249, 'Green_rooibos initial weight'!$A$5:$A$1749,0)),"")</f>
        <v>2.0009999999999999</v>
      </c>
      <c r="K249">
        <f>IFERROR(INDEX('Green_rooibos initial weight'!$C$5:$C$1749,MATCH(I249, 'Green_rooibos initial weight'!$A$5:$A$1749,0)),"")</f>
        <v>2.2010000000000001</v>
      </c>
      <c r="L249" s="195">
        <f t="shared" si="28"/>
        <v>1.7511999999999999</v>
      </c>
      <c r="M249" s="195">
        <f>AVERAGE(Ashed_controlls!$K$2:$K$11)</f>
        <v>5.5147656768714146</v>
      </c>
      <c r="N249" s="195">
        <f t="shared" si="24"/>
        <v>1.6546254234666278</v>
      </c>
      <c r="O249" s="195">
        <f t="shared" si="29"/>
        <v>1.9512</v>
      </c>
      <c r="P249" s="195">
        <f>AVERAGE(Ashed_controlls!$K$12:$K$14)</f>
        <v>2.2816647271287041</v>
      </c>
      <c r="Q249" s="195">
        <f t="shared" si="30"/>
        <v>1.9066801578442647</v>
      </c>
      <c r="R249" s="16">
        <f>IF('WetLitterbags placem_collection'!G176="N.A","",'WetLitterbags placem_collection'!G176)</f>
        <v>42814</v>
      </c>
      <c r="S249" s="195">
        <f>IF(IFERROR(INDEX('Both teabags AfterWet'!$C$3:$C$841,MATCH(H249,'Both teabags AfterWet'!$A$3:$A$841,0)),"")="N.A","",(IFERROR(INDEX('Both teabags AfterWet'!$C$3:$C$841,MATCH(H249,'Both teabags AfterWet'!$A$3:$A$841,0)),"")))</f>
        <v>0.68300000000000005</v>
      </c>
      <c r="T249" s="195">
        <f>IFERROR(INDEX('Both teabags AfterWet'!$C$3:$C$841,MATCH(I249,'Both teabags AfterWet'!$A$3:$A$841,0)),"")</f>
        <v>1.724</v>
      </c>
      <c r="U249" s="195">
        <f t="shared" si="31"/>
        <v>0.53239999999999998</v>
      </c>
      <c r="V249" s="195">
        <f t="shared" si="31"/>
        <v>1.5733999999999999</v>
      </c>
      <c r="W249" s="195">
        <f>IFERROR(INDEX('Ashed teabags wet'!$K$2:$K$821,MATCH(H249,'Ashed teabags wet'!$A$2:$A$821,0)),"")</f>
        <v>7.6961026147010658</v>
      </c>
      <c r="X249" s="195">
        <f>IFERROR(INDEX('Ashed teabags wet'!$K$2:$K$821,MATCH(I249,'Ashed teabags wet'!$A$2:$A$821,0)),"")</f>
        <v>1.5880893300249692</v>
      </c>
      <c r="Y249" s="195">
        <f t="shared" si="25"/>
        <v>0.49142594967933151</v>
      </c>
      <c r="Z249" s="195">
        <f t="shared" si="25"/>
        <v>1.5484130024813871</v>
      </c>
      <c r="AA249" s="195">
        <f t="shared" si="32"/>
        <v>0.70299867105284863</v>
      </c>
      <c r="AB249" s="195">
        <f t="shared" si="33"/>
        <v>0.46087323802989605</v>
      </c>
      <c r="AC249" s="195">
        <f t="shared" si="26"/>
        <v>0.81209897533735154</v>
      </c>
      <c r="AD249">
        <f t="shared" si="27"/>
        <v>51</v>
      </c>
      <c r="AE249" s="195">
        <f t="shared" si="34"/>
        <v>0.1650847137139565</v>
      </c>
      <c r="AF249" s="195">
        <f t="shared" si="35"/>
        <v>1.0269667176121461E-2</v>
      </c>
      <c r="AG249" s="255" t="str">
        <f>IF(ISNUMBER(SEARCH("C",'WetLitterbags placem_collection'!AD176)),"YES","NO")</f>
        <v>NO</v>
      </c>
      <c r="AH249" s="255" t="str">
        <f>IF(ISNUMBER(SEARCH("H", 'WetLitterbags placem_collection'!AD176)),"YES","NO")</f>
        <v>NO</v>
      </c>
      <c r="AI249" s="255" t="str">
        <f>IF(ISNUMBER(SEARCH("R", 'WetLitterbags placem_collection'!AD176)),"YES","NO")</f>
        <v>NO</v>
      </c>
      <c r="AJ249" s="255" t="str">
        <f>IF(ISNUMBER(SEARCH("C", 'WetLitterbags placem_collection'!AC176)),"YES","NO")</f>
        <v>NO</v>
      </c>
      <c r="AK249" s="255" t="str">
        <f>IF(ISNUMBER(SEARCH("H", 'WetLitterbags placem_collection'!AC176)),"YES","NO")</f>
        <v>NO</v>
      </c>
      <c r="AL249" s="255" t="str">
        <f>IF(ISNUMBER(SEARCH("R", 'WetLitterbags placem_collection'!AC176)),"YES","NO")</f>
        <v>NO</v>
      </c>
    </row>
    <row r="250" spans="2:38">
      <c r="B250" t="str">
        <f>'Final data_for_R_analysis_Wetse'!A176</f>
        <v>Wet</v>
      </c>
      <c r="C250" s="263">
        <f>'Final data_for_R_analysis_Wetse'!B176</f>
        <v>175</v>
      </c>
      <c r="D250" t="s">
        <v>3853</v>
      </c>
      <c r="E250" t="s">
        <v>22</v>
      </c>
      <c r="F250" s="387">
        <v>7</v>
      </c>
      <c r="G250" s="16">
        <f>'WetLitterbags placem_collection'!E177</f>
        <v>42763</v>
      </c>
      <c r="H250" t="str">
        <f>'Final data_for_R_analysis_Wetse'!J176</f>
        <v>G457</v>
      </c>
      <c r="I250" t="str">
        <f>'Final data_for_R_analysis_Wetse'!J396</f>
        <v>R458</v>
      </c>
      <c r="J250">
        <f>IFERROR(INDEX('Green_rooibos initial weight'!$C$5:$C$1749,MATCH(H250, 'Green_rooibos initial weight'!$A$5:$A$1749,0)),"")</f>
        <v>2.1579999999999999</v>
      </c>
      <c r="K250">
        <f>IFERROR(INDEX('Green_rooibos initial weight'!$C$5:$C$1749,MATCH(I250, 'Green_rooibos initial weight'!$A$5:$A$1749,0)),"")</f>
        <v>2.2370000000000001</v>
      </c>
      <c r="L250" s="195">
        <f t="shared" si="28"/>
        <v>1.9081999999999999</v>
      </c>
      <c r="M250" s="195">
        <f>AVERAGE(Ashed_controlls!$K$2:$K$11)</f>
        <v>5.5147656768714146</v>
      </c>
      <c r="N250" s="195">
        <f t="shared" si="24"/>
        <v>1.8029672413539395</v>
      </c>
      <c r="O250" s="195">
        <f t="shared" si="29"/>
        <v>1.9872000000000001</v>
      </c>
      <c r="P250" s="195">
        <f>AVERAGE(Ashed_controlls!$K$12:$K$14)</f>
        <v>2.2816647271287041</v>
      </c>
      <c r="Q250" s="195">
        <f t="shared" si="30"/>
        <v>1.9418587585424985</v>
      </c>
      <c r="R250" s="16">
        <f>IF('WetLitterbags placem_collection'!G177="N.A","",'WetLitterbags placem_collection'!G177)</f>
        <v>42814</v>
      </c>
      <c r="S250" s="195">
        <f>IF(IFERROR(INDEX('Both teabags AfterWet'!$C$3:$C$841,MATCH(H250,'Both teabags AfterWet'!$A$3:$A$841,0)),"")="N.A","",(IFERROR(INDEX('Both teabags AfterWet'!$C$3:$C$841,MATCH(H250,'Both teabags AfterWet'!$A$3:$A$841,0)),"")))</f>
        <v>0.68200000000000005</v>
      </c>
      <c r="T250" s="195">
        <f>IFERROR(INDEX('Both teabags AfterWet'!$C$3:$C$841,MATCH(I250,'Both teabags AfterWet'!$A$3:$A$841,0)),"")</f>
        <v>0.61699999999999999</v>
      </c>
      <c r="U250" s="195">
        <f t="shared" si="31"/>
        <v>0.53140000000000009</v>
      </c>
      <c r="V250" s="195">
        <f t="shared" si="31"/>
        <v>0.46639999999999998</v>
      </c>
      <c r="W250" s="195">
        <f>IFERROR(INDEX('Ashed teabags wet'!$K$2:$K$821,MATCH(H250,'Ashed teabags wet'!$A$2:$A$821,0)),"")</f>
        <v>9.6918489065609759</v>
      </c>
      <c r="X250" s="195">
        <f>IFERROR(INDEX('Ashed teabags wet'!$K$2:$K$821,MATCH(I250,'Ashed teabags wet'!$A$2:$A$821,0)),"")</f>
        <v>65.665665665665671</v>
      </c>
      <c r="Y250" s="195">
        <f t="shared" si="25"/>
        <v>0.47989751491053506</v>
      </c>
      <c r="Z250" s="195">
        <f t="shared" si="25"/>
        <v>0.1601353353353353</v>
      </c>
      <c r="AA250" s="195">
        <f t="shared" si="32"/>
        <v>0.7338290436435464</v>
      </c>
      <c r="AB250" s="195">
        <f t="shared" si="33"/>
        <v>0.48108507374256254</v>
      </c>
      <c r="AC250" s="195">
        <f t="shared" si="26"/>
        <v>8.2464975699637469E-2</v>
      </c>
      <c r="AD250">
        <f t="shared" si="27"/>
        <v>51</v>
      </c>
      <c r="AE250" s="195">
        <f t="shared" si="34"/>
        <v>0.12846906930695201</v>
      </c>
      <c r="AF250" s="195" t="str">
        <f t="shared" si="35"/>
        <v/>
      </c>
      <c r="AG250" s="255" t="str">
        <f>IF(ISNUMBER(SEARCH("C",'WetLitterbags placem_collection'!AD177)),"YES","NO")</f>
        <v>NO</v>
      </c>
      <c r="AH250" s="255" t="str">
        <f>IF(ISNUMBER(SEARCH("H", 'WetLitterbags placem_collection'!AD177)),"YES","NO")</f>
        <v>NO</v>
      </c>
      <c r="AI250" s="255" t="str">
        <f>IF(ISNUMBER(SEARCH("R", 'WetLitterbags placem_collection'!AD177)),"YES","NO")</f>
        <v>NO</v>
      </c>
      <c r="AJ250" s="255" t="str">
        <f>IF(ISNUMBER(SEARCH("C", 'WetLitterbags placem_collection'!AC177)),"YES","NO")</f>
        <v>NO</v>
      </c>
      <c r="AK250" s="255" t="str">
        <f>IF(ISNUMBER(SEARCH("H", 'WetLitterbags placem_collection'!AC177)),"YES","NO")</f>
        <v>NO</v>
      </c>
      <c r="AL250" s="255" t="str">
        <f>IF(ISNUMBER(SEARCH("R", 'WetLitterbags placem_collection'!AC177)),"YES","NO")</f>
        <v>NO</v>
      </c>
    </row>
    <row r="251" spans="2:38">
      <c r="B251" t="str">
        <f>'Final data_for_R_analysis_Wetse'!A177</f>
        <v>Wet</v>
      </c>
      <c r="C251" s="263">
        <f>'Final data_for_R_analysis_Wetse'!B177</f>
        <v>176</v>
      </c>
      <c r="D251" t="s">
        <v>3853</v>
      </c>
      <c r="E251" t="s">
        <v>22</v>
      </c>
      <c r="F251" s="387">
        <v>8</v>
      </c>
      <c r="G251" s="16">
        <f>'WetLitterbags placem_collection'!E178</f>
        <v>42763</v>
      </c>
      <c r="H251" t="str">
        <f>'Final data_for_R_analysis_Wetse'!J177</f>
        <v>G454</v>
      </c>
      <c r="I251" t="str">
        <f>'Final data_for_R_analysis_Wetse'!J397</f>
        <v>R326</v>
      </c>
      <c r="J251">
        <f>IFERROR(INDEX('Green_rooibos initial weight'!$C$5:$C$1749,MATCH(H251, 'Green_rooibos initial weight'!$A$5:$A$1749,0)),"")</f>
        <v>2.0920000000000001</v>
      </c>
      <c r="K251">
        <f>IFERROR(INDEX('Green_rooibos initial weight'!$C$5:$C$1749,MATCH(I251, 'Green_rooibos initial weight'!$A$5:$A$1749,0)),"")</f>
        <v>2.1890000000000001</v>
      </c>
      <c r="L251" s="195">
        <f t="shared" si="28"/>
        <v>1.8422000000000001</v>
      </c>
      <c r="M251" s="195">
        <f>AVERAGE(Ashed_controlls!$K$2:$K$11)</f>
        <v>5.5147656768714146</v>
      </c>
      <c r="N251" s="195">
        <f t="shared" si="24"/>
        <v>1.7406069867006748</v>
      </c>
      <c r="O251" s="195">
        <f t="shared" si="29"/>
        <v>1.9392</v>
      </c>
      <c r="P251" s="195">
        <f>AVERAGE(Ashed_controlls!$K$12:$K$14)</f>
        <v>2.2816647271287041</v>
      </c>
      <c r="Q251" s="195">
        <f t="shared" si="30"/>
        <v>1.8949539576115202</v>
      </c>
      <c r="R251" s="16">
        <f>IF('WetLitterbags placem_collection'!G178="N.A","",'WetLitterbags placem_collection'!G178)</f>
        <v>42814</v>
      </c>
      <c r="S251" s="195">
        <f>IF(IFERROR(INDEX('Both teabags AfterWet'!$C$3:$C$841,MATCH(H251,'Both teabags AfterWet'!$A$3:$A$841,0)),"")="N.A","",(IFERROR(INDEX('Both teabags AfterWet'!$C$3:$C$841,MATCH(H251,'Both teabags AfterWet'!$A$3:$A$841,0)),"")))</f>
        <v>0.63900000000000001</v>
      </c>
      <c r="T251" s="195">
        <f>IFERROR(INDEX('Both teabags AfterWet'!$C$3:$C$841,MATCH(I251,'Both teabags AfterWet'!$A$3:$A$841,0)),"")</f>
        <v>1.694</v>
      </c>
      <c r="U251" s="195">
        <f t="shared" si="31"/>
        <v>0.4884</v>
      </c>
      <c r="V251" s="195">
        <f t="shared" si="31"/>
        <v>1.5433999999999999</v>
      </c>
      <c r="W251" s="195">
        <f>IFERROR(INDEX('Ashed teabags wet'!$K$2:$K$821,MATCH(H251,'Ashed teabags wet'!$A$2:$A$821,0)),"")</f>
        <v>10.539215686274888</v>
      </c>
      <c r="X251" s="195">
        <f>IFERROR(INDEX('Ashed teabags wet'!$K$2:$K$821,MATCH(I251,'Ashed teabags wet'!$A$2:$A$821,0)),"")</f>
        <v>5.9808612440189712</v>
      </c>
      <c r="Y251" s="195">
        <f t="shared" si="25"/>
        <v>0.43692647058823342</v>
      </c>
      <c r="Z251" s="195">
        <f t="shared" si="25"/>
        <v>1.451091387559811</v>
      </c>
      <c r="AA251" s="195">
        <f t="shared" si="32"/>
        <v>0.74898039940858285</v>
      </c>
      <c r="AB251" s="195">
        <f t="shared" si="33"/>
        <v>0.49101802906595932</v>
      </c>
      <c r="AC251" s="195">
        <f t="shared" si="26"/>
        <v>0.76576603971361279</v>
      </c>
      <c r="AD251">
        <f t="shared" si="27"/>
        <v>51</v>
      </c>
      <c r="AE251" s="195">
        <f t="shared" si="34"/>
        <v>0.11047458502543606</v>
      </c>
      <c r="AF251" s="195">
        <f t="shared" si="35"/>
        <v>1.2710692426803677E-2</v>
      </c>
      <c r="AG251" s="255" t="str">
        <f>IF(ISNUMBER(SEARCH("C",'WetLitterbags placem_collection'!AD178)),"YES","NO")</f>
        <v>NO</v>
      </c>
      <c r="AH251" s="255" t="str">
        <f>IF(ISNUMBER(SEARCH("H", 'WetLitterbags placem_collection'!AD178)),"YES","NO")</f>
        <v>NO</v>
      </c>
      <c r="AI251" s="255" t="str">
        <f>IF(ISNUMBER(SEARCH("R", 'WetLitterbags placem_collection'!AD178)),"YES","NO")</f>
        <v>NO</v>
      </c>
      <c r="AJ251" s="255" t="str">
        <f>IF(ISNUMBER(SEARCH("C", 'WetLitterbags placem_collection'!AC178)),"YES","NO")</f>
        <v>NO</v>
      </c>
      <c r="AK251" s="255" t="str">
        <f>IF(ISNUMBER(SEARCH("H", 'WetLitterbags placem_collection'!AC178)),"YES","NO")</f>
        <v>NO</v>
      </c>
      <c r="AL251" s="255" t="str">
        <f>IF(ISNUMBER(SEARCH("R", 'WetLitterbags placem_collection'!AC178)),"YES","NO")</f>
        <v>NO</v>
      </c>
    </row>
    <row r="252" spans="2:38">
      <c r="B252" t="str">
        <f>'Final data_for_R_analysis_Wetse'!A178</f>
        <v>Wet</v>
      </c>
      <c r="C252" s="263">
        <f>'Final data_for_R_analysis_Wetse'!B178</f>
        <v>177</v>
      </c>
      <c r="D252" t="s">
        <v>3854</v>
      </c>
      <c r="E252" t="s">
        <v>22</v>
      </c>
      <c r="F252" s="386">
        <v>1</v>
      </c>
      <c r="G252" s="16">
        <f>'WetLitterbags placem_collection'!E179</f>
        <v>42763</v>
      </c>
      <c r="H252" t="str">
        <f>'Final data_for_R_analysis_Wetse'!J178</f>
        <v>G362</v>
      </c>
      <c r="I252" t="str">
        <f>'Final data_for_R_analysis_Wetse'!J398</f>
        <v>R262</v>
      </c>
      <c r="J252">
        <f>IFERROR(INDEX('Green_rooibos initial weight'!$C$5:$C$1749,MATCH(H252, 'Green_rooibos initial weight'!$A$5:$A$1749,0)),"")</f>
        <v>2.0659999999999998</v>
      </c>
      <c r="K252">
        <f>IFERROR(INDEX('Green_rooibos initial weight'!$C$5:$C$1749,MATCH(I252, 'Green_rooibos initial weight'!$A$5:$A$1749,0)),"")</f>
        <v>2.1949999999999998</v>
      </c>
      <c r="L252" s="195">
        <f t="shared" si="28"/>
        <v>1.8161999999999998</v>
      </c>
      <c r="M252" s="195">
        <f>AVERAGE(Ashed_controlls!$K$2:$K$11)</f>
        <v>5.5147656768714146</v>
      </c>
      <c r="N252" s="195">
        <f t="shared" si="24"/>
        <v>1.7160408257766613</v>
      </c>
      <c r="O252" s="195">
        <f t="shared" si="29"/>
        <v>1.9451999999999998</v>
      </c>
      <c r="P252" s="195">
        <f>AVERAGE(Ashed_controlls!$K$12:$K$14)</f>
        <v>2.2816647271287041</v>
      </c>
      <c r="Q252" s="195">
        <f t="shared" si="30"/>
        <v>1.9008170577278922</v>
      </c>
      <c r="R252" s="16">
        <f>IF('WetLitterbags placem_collection'!G179="N.A","",'WetLitterbags placem_collection'!G179)</f>
        <v>42815</v>
      </c>
      <c r="S252" s="195">
        <f>IF(IFERROR(INDEX('Both teabags AfterWet'!$C$3:$C$841,MATCH(H252,'Both teabags AfterWet'!$A$3:$A$841,0)),"")="N.A","",(IFERROR(INDEX('Both teabags AfterWet'!$C$3:$C$841,MATCH(H252,'Both teabags AfterWet'!$A$3:$A$841,0)),"")))</f>
        <v>0.61299999999999999</v>
      </c>
      <c r="T252" s="195">
        <f>IFERROR(INDEX('Both teabags AfterWet'!$C$3:$C$841,MATCH(I252,'Both teabags AfterWet'!$A$3:$A$841,0)),"")</f>
        <v>1.671</v>
      </c>
      <c r="U252" s="195">
        <f t="shared" si="31"/>
        <v>0.46239999999999998</v>
      </c>
      <c r="V252" s="195">
        <f t="shared" si="31"/>
        <v>1.5204</v>
      </c>
      <c r="W252" s="195">
        <f>IFERROR(INDEX('Ashed teabags wet'!$K$2:$K$821,MATCH(H252,'Ashed teabags wet'!$A$2:$A$821,0)),"")</f>
        <v>9.1395235780264326</v>
      </c>
      <c r="X252" s="195">
        <f>IFERROR(INDEX('Ashed teabags wet'!$K$2:$K$821,MATCH(I252,'Ashed teabags wet'!$A$2:$A$821,0)),"")</f>
        <v>2.7363184079606433</v>
      </c>
      <c r="Y252" s="195">
        <f t="shared" si="25"/>
        <v>0.42013884297520576</v>
      </c>
      <c r="Z252" s="195">
        <f t="shared" si="25"/>
        <v>1.4787970149253664</v>
      </c>
      <c r="AA252" s="195">
        <f t="shared" si="32"/>
        <v>0.75516966923846029</v>
      </c>
      <c r="AB252" s="195">
        <f t="shared" si="33"/>
        <v>0.49507560263614026</v>
      </c>
      <c r="AC252" s="195">
        <f t="shared" si="26"/>
        <v>0.77797966348903669</v>
      </c>
      <c r="AD252">
        <f t="shared" si="27"/>
        <v>52</v>
      </c>
      <c r="AE252" s="195">
        <f t="shared" si="34"/>
        <v>0.10312390826786189</v>
      </c>
      <c r="AF252" s="195">
        <f t="shared" si="35"/>
        <v>1.1443005169015584E-2</v>
      </c>
      <c r="AG252" s="255" t="str">
        <f>IF(ISNUMBER(SEARCH("C",'WetLitterbags placem_collection'!AD179)),"YES","NO")</f>
        <v>NO</v>
      </c>
      <c r="AH252" s="255" t="str">
        <f>IF(ISNUMBER(SEARCH("H", 'WetLitterbags placem_collection'!AD179)),"YES","NO")</f>
        <v>NO</v>
      </c>
      <c r="AI252" s="255" t="str">
        <f>IF(ISNUMBER(SEARCH("R", 'WetLitterbags placem_collection'!AD179)),"YES","NO")</f>
        <v>NO</v>
      </c>
      <c r="AJ252" s="255" t="str">
        <f>IF(ISNUMBER(SEARCH("C", 'WetLitterbags placem_collection'!AC179)),"YES","NO")</f>
        <v>NO</v>
      </c>
      <c r="AK252" s="255" t="str">
        <f>IF(ISNUMBER(SEARCH("H", 'WetLitterbags placem_collection'!AC179)),"YES","NO")</f>
        <v>NO</v>
      </c>
      <c r="AL252" s="255" t="str">
        <f>IF(ISNUMBER(SEARCH("R", 'WetLitterbags placem_collection'!AC179)),"YES","NO")</f>
        <v>NO</v>
      </c>
    </row>
    <row r="253" spans="2:38">
      <c r="B253" t="str">
        <f>'Final data_for_R_analysis_Wetse'!A179</f>
        <v>Wet</v>
      </c>
      <c r="C253" s="263">
        <f>'Final data_for_R_analysis_Wetse'!B179</f>
        <v>178</v>
      </c>
      <c r="D253" t="s">
        <v>3854</v>
      </c>
      <c r="E253" t="s">
        <v>22</v>
      </c>
      <c r="F253" s="386">
        <v>2</v>
      </c>
      <c r="G253" s="16">
        <f>'WetLitterbags placem_collection'!E180</f>
        <v>42763</v>
      </c>
      <c r="H253" t="str">
        <f>'Final data_for_R_analysis_Wetse'!J179</f>
        <v>G781</v>
      </c>
      <c r="I253" t="str">
        <f>'Final data_for_R_analysis_Wetse'!J399</f>
        <v>R309</v>
      </c>
      <c r="J253">
        <f>IFERROR(INDEX('Green_rooibos initial weight'!$C$5:$C$1749,MATCH(H253, 'Green_rooibos initial weight'!$A$5:$A$1749,0)),"")</f>
        <v>2.0920000000000001</v>
      </c>
      <c r="K253">
        <f>IFERROR(INDEX('Green_rooibos initial weight'!$C$5:$C$1749,MATCH(I253, 'Green_rooibos initial weight'!$A$5:$A$1749,0)),"")</f>
        <v>2.1960000000000002</v>
      </c>
      <c r="L253" s="195">
        <f t="shared" si="28"/>
        <v>1.8422000000000001</v>
      </c>
      <c r="M253" s="195">
        <f>AVERAGE(Ashed_controlls!$K$2:$K$11)</f>
        <v>5.5147656768714146</v>
      </c>
      <c r="N253" s="195">
        <f t="shared" si="24"/>
        <v>1.7406069867006748</v>
      </c>
      <c r="O253" s="195">
        <f t="shared" si="29"/>
        <v>1.9462000000000002</v>
      </c>
      <c r="P253" s="195">
        <f>AVERAGE(Ashed_controlls!$K$12:$K$14)</f>
        <v>2.2816647271287041</v>
      </c>
      <c r="Q253" s="195">
        <f t="shared" si="30"/>
        <v>1.9017942410806212</v>
      </c>
      <c r="R253" s="16">
        <f>IF('WetLitterbags placem_collection'!G180="N.A","",'WetLitterbags placem_collection'!G180)</f>
        <v>42815</v>
      </c>
      <c r="S253" s="195">
        <f>IF(IFERROR(INDEX('Both teabags AfterWet'!$C$3:$C$841,MATCH(H253,'Both teabags AfterWet'!$A$3:$A$841,0)),"")="N.A","",(IFERROR(INDEX('Both teabags AfterWet'!$C$3:$C$841,MATCH(H253,'Both teabags AfterWet'!$A$3:$A$841,0)),"")))</f>
        <v>0.62549999999999994</v>
      </c>
      <c r="T253" s="195">
        <f>IFERROR(INDEX('Both teabags AfterWet'!$C$3:$C$841,MATCH(I253,'Both teabags AfterWet'!$A$3:$A$841,0)),"")</f>
        <v>1.6866000000000001</v>
      </c>
      <c r="U253" s="195">
        <f t="shared" si="31"/>
        <v>0.47489999999999993</v>
      </c>
      <c r="V253" s="195">
        <f t="shared" si="31"/>
        <v>1.536</v>
      </c>
      <c r="W253" s="195">
        <f>IFERROR(INDEX('Ashed teabags wet'!$K$2:$K$821,MATCH(H253,'Ashed teabags wet'!$A$2:$A$821,0)),"")</f>
        <v>7.0843373493975461</v>
      </c>
      <c r="X253" s="195">
        <f>IFERROR(INDEX('Ashed teabags wet'!$K$2:$K$821,MATCH(I253,'Ashed teabags wet'!$A$2:$A$821,0)),"")</f>
        <v>0.87633885102250153</v>
      </c>
      <c r="Y253" s="195">
        <f t="shared" si="25"/>
        <v>0.441256481927711</v>
      </c>
      <c r="Z253" s="195">
        <f t="shared" si="25"/>
        <v>1.5225394352482944</v>
      </c>
      <c r="AA253" s="195">
        <f t="shared" si="32"/>
        <v>0.74649275494170353</v>
      </c>
      <c r="AB253" s="195">
        <f t="shared" si="33"/>
        <v>0.48938717426106937</v>
      </c>
      <c r="AC253" s="195">
        <f t="shared" si="26"/>
        <v>0.80058052672573565</v>
      </c>
      <c r="AD253">
        <f t="shared" si="27"/>
        <v>52</v>
      </c>
      <c r="AE253" s="195">
        <f t="shared" si="34"/>
        <v>0.11342903213574396</v>
      </c>
      <c r="AF253" s="195">
        <f t="shared" si="35"/>
        <v>1.0065084667832113E-2</v>
      </c>
      <c r="AG253" s="255" t="str">
        <f>IF(ISNUMBER(SEARCH("C",'WetLitterbags placem_collection'!AD180)),"YES","NO")</f>
        <v>NO</v>
      </c>
      <c r="AH253" s="255" t="str">
        <f>IF(ISNUMBER(SEARCH("H", 'WetLitterbags placem_collection'!AD180)),"YES","NO")</f>
        <v>NO</v>
      </c>
      <c r="AI253" s="255" t="str">
        <f>IF(ISNUMBER(SEARCH("R", 'WetLitterbags placem_collection'!AD180)),"YES","NO")</f>
        <v>NO</v>
      </c>
      <c r="AJ253" s="255" t="str">
        <f>IF(ISNUMBER(SEARCH("C", 'WetLitterbags placem_collection'!AC180)),"YES","NO")</f>
        <v>NO</v>
      </c>
      <c r="AK253" s="255" t="str">
        <f>IF(ISNUMBER(SEARCH("H", 'WetLitterbags placem_collection'!AC180)),"YES","NO")</f>
        <v>NO</v>
      </c>
      <c r="AL253" s="255" t="str">
        <f>IF(ISNUMBER(SEARCH("R", 'WetLitterbags placem_collection'!AC180)),"YES","NO")</f>
        <v>NO</v>
      </c>
    </row>
    <row r="254" spans="2:38">
      <c r="B254" t="str">
        <f>'Final data_for_R_analysis_Wetse'!A180</f>
        <v>Wet</v>
      </c>
      <c r="C254" s="263">
        <f>'Final data_for_R_analysis_Wetse'!B180</f>
        <v>179</v>
      </c>
      <c r="D254" t="s">
        <v>3854</v>
      </c>
      <c r="E254" t="s">
        <v>22</v>
      </c>
      <c r="F254" s="386">
        <v>3</v>
      </c>
      <c r="G254" s="16">
        <f>'WetLitterbags placem_collection'!E181</f>
        <v>42763</v>
      </c>
      <c r="H254" t="str">
        <f>'Final data_for_R_analysis_Wetse'!J180</f>
        <v>G451</v>
      </c>
      <c r="I254" t="str">
        <f>'Final data_for_R_analysis_Wetse'!J400</f>
        <v>R32</v>
      </c>
      <c r="J254">
        <f>IFERROR(INDEX('Green_rooibos initial weight'!$C$5:$C$1749,MATCH(H254, 'Green_rooibos initial weight'!$A$5:$A$1749,0)),"")</f>
        <v>2.1139999999999999</v>
      </c>
      <c r="K254">
        <f>IFERROR(INDEX('Green_rooibos initial weight'!$C$5:$C$1749,MATCH(I254, 'Green_rooibos initial weight'!$A$5:$A$1749,0)),"")</f>
        <v>2.2290000000000001</v>
      </c>
      <c r="L254" s="195">
        <f t="shared" si="28"/>
        <v>1.8641999999999999</v>
      </c>
      <c r="M254" s="195">
        <f>AVERAGE(Ashed_controlls!$K$2:$K$11)</f>
        <v>5.5147656768714146</v>
      </c>
      <c r="N254" s="195">
        <f t="shared" si="24"/>
        <v>1.761393738251763</v>
      </c>
      <c r="O254" s="195">
        <f t="shared" si="29"/>
        <v>1.9792000000000001</v>
      </c>
      <c r="P254" s="195">
        <f>AVERAGE(Ashed_controlls!$K$12:$K$14)</f>
        <v>2.2816647271287041</v>
      </c>
      <c r="Q254" s="195">
        <f t="shared" si="30"/>
        <v>1.9340412917206689</v>
      </c>
      <c r="R254" s="16">
        <f>IF('WetLitterbags placem_collection'!G181="N.A","",'WetLitterbags placem_collection'!G181)</f>
        <v>42815</v>
      </c>
      <c r="S254" s="195">
        <f>IF(IFERROR(INDEX('Both teabags AfterWet'!$C$3:$C$841,MATCH(H254,'Both teabags AfterWet'!$A$3:$A$841,0)),"")="N.A","",(IFERROR(INDEX('Both teabags AfterWet'!$C$3:$C$841,MATCH(H254,'Both teabags AfterWet'!$A$3:$A$841,0)),"")))</f>
        <v>0.60329999999999995</v>
      </c>
      <c r="T254" s="195">
        <f>IFERROR(INDEX('Both teabags AfterWet'!$C$3:$C$841,MATCH(I254,'Both teabags AfterWet'!$A$3:$A$841,0)),"")</f>
        <v>1.6146</v>
      </c>
      <c r="U254" s="195">
        <f t="shared" si="31"/>
        <v>0.45269999999999994</v>
      </c>
      <c r="V254" s="195">
        <f t="shared" si="31"/>
        <v>1.464</v>
      </c>
      <c r="W254" s="195">
        <f>IFERROR(INDEX('Ashed teabags wet'!$K$2:$K$821,MATCH(H254,'Ashed teabags wet'!$A$2:$A$821,0)),"")</f>
        <v>8.9466089466084018</v>
      </c>
      <c r="X254" s="195">
        <f>IFERROR(INDEX('Ashed teabags wet'!$K$2:$K$821,MATCH(I254,'Ashed teabags wet'!$A$2:$A$821,0)),"")</f>
        <v>1.8482490272371503</v>
      </c>
      <c r="Y254" s="195">
        <f t="shared" si="25"/>
        <v>0.41219870129870373</v>
      </c>
      <c r="Z254" s="195">
        <f t="shared" si="25"/>
        <v>1.436941634241248</v>
      </c>
      <c r="AA254" s="195">
        <f t="shared" si="32"/>
        <v>0.76598151092110534</v>
      </c>
      <c r="AB254" s="195">
        <f t="shared" si="33"/>
        <v>0.5021636508651427</v>
      </c>
      <c r="AC254" s="195">
        <f t="shared" si="26"/>
        <v>0.74297360681624147</v>
      </c>
      <c r="AD254">
        <f t="shared" si="27"/>
        <v>52</v>
      </c>
      <c r="AE254" s="195">
        <f t="shared" si="34"/>
        <v>9.0283241186335683E-2</v>
      </c>
      <c r="AF254" s="195">
        <f t="shared" si="35"/>
        <v>1.3790534138455284E-2</v>
      </c>
      <c r="AG254" s="255" t="str">
        <f>IF(ISNUMBER(SEARCH("C",'WetLitterbags placem_collection'!AD181)),"YES","NO")</f>
        <v>NO</v>
      </c>
      <c r="AH254" s="255" t="str">
        <f>IF(ISNUMBER(SEARCH("H", 'WetLitterbags placem_collection'!AD181)),"YES","NO")</f>
        <v>NO</v>
      </c>
      <c r="AI254" s="255" t="str">
        <f>IF(ISNUMBER(SEARCH("R", 'WetLitterbags placem_collection'!AD181)),"YES","NO")</f>
        <v>NO</v>
      </c>
      <c r="AJ254" s="255" t="str">
        <f>IF(ISNUMBER(SEARCH("C", 'WetLitterbags placem_collection'!AC181)),"YES","NO")</f>
        <v>NO</v>
      </c>
      <c r="AK254" s="255" t="str">
        <f>IF(ISNUMBER(SEARCH("H", 'WetLitterbags placem_collection'!AC181)),"YES","NO")</f>
        <v>NO</v>
      </c>
      <c r="AL254" s="255" t="str">
        <f>IF(ISNUMBER(SEARCH("R", 'WetLitterbags placem_collection'!AC181)),"YES","NO")</f>
        <v>NO</v>
      </c>
    </row>
    <row r="255" spans="2:38">
      <c r="B255" t="str">
        <f>'Final data_for_R_analysis_Wetse'!A181</f>
        <v>Wet</v>
      </c>
      <c r="C255" s="263">
        <f>'Final data_for_R_analysis_Wetse'!B181</f>
        <v>180</v>
      </c>
      <c r="D255" t="s">
        <v>3854</v>
      </c>
      <c r="E255" t="s">
        <v>22</v>
      </c>
      <c r="F255" s="387">
        <v>4</v>
      </c>
      <c r="G255" s="16">
        <f>'WetLitterbags placem_collection'!E182</f>
        <v>42763</v>
      </c>
      <c r="H255" t="str">
        <f>'Final data_for_R_analysis_Wetse'!J181</f>
        <v>G360</v>
      </c>
      <c r="I255" t="str">
        <f>'Final data_for_R_analysis_Wetse'!J401</f>
        <v>R268</v>
      </c>
      <c r="J255">
        <f>IFERROR(INDEX('Green_rooibos initial weight'!$C$5:$C$1749,MATCH(H255, 'Green_rooibos initial weight'!$A$5:$A$1749,0)),"")</f>
        <v>2.0099999999999998</v>
      </c>
      <c r="K255">
        <f>IFERROR(INDEX('Green_rooibos initial weight'!$C$5:$C$1749,MATCH(I255, 'Green_rooibos initial weight'!$A$5:$A$1749,0)),"")</f>
        <v>2.1709999999999998</v>
      </c>
      <c r="L255" s="195">
        <f t="shared" si="28"/>
        <v>1.7601999999999998</v>
      </c>
      <c r="M255" s="195">
        <f>AVERAGE(Ashed_controlls!$K$2:$K$11)</f>
        <v>5.5147656768714146</v>
      </c>
      <c r="N255" s="195">
        <f t="shared" si="24"/>
        <v>1.6631290945557091</v>
      </c>
      <c r="O255" s="195">
        <f t="shared" si="29"/>
        <v>1.9211999999999998</v>
      </c>
      <c r="P255" s="195">
        <f>AVERAGE(Ashed_controlls!$K$12:$K$14)</f>
        <v>2.2816647271287041</v>
      </c>
      <c r="Q255" s="195">
        <f t="shared" si="30"/>
        <v>1.8773646572624032</v>
      </c>
      <c r="R255" s="16">
        <f>IF('WetLitterbags placem_collection'!G182="N.A","",'WetLitterbags placem_collection'!G182)</f>
        <v>42815</v>
      </c>
      <c r="S255" s="195">
        <f>IF(IFERROR(INDEX('Both teabags AfterWet'!$C$3:$C$841,MATCH(H255,'Both teabags AfterWet'!$A$3:$A$841,0)),"")="N.A","",(IFERROR(INDEX('Both teabags AfterWet'!$C$3:$C$841,MATCH(H255,'Both teabags AfterWet'!$A$3:$A$841,0)),"")))</f>
        <v>0.62219999999999998</v>
      </c>
      <c r="T255" s="195">
        <f>IFERROR(INDEX('Both teabags AfterWet'!$C$3:$C$841,MATCH(I255,'Both teabags AfterWet'!$A$3:$A$841,0)),"")</f>
        <v>1.6403000000000001</v>
      </c>
      <c r="U255" s="195">
        <f t="shared" si="31"/>
        <v>0.47159999999999996</v>
      </c>
      <c r="V255" s="195">
        <f t="shared" si="31"/>
        <v>1.4897</v>
      </c>
      <c r="W255" s="195">
        <f>IFERROR(INDEX('Ashed teabags wet'!$K$2:$K$821,MATCH(H255,'Ashed teabags wet'!$A$2:$A$821,0)),"")</f>
        <v>9.1525423728814648</v>
      </c>
      <c r="X255" s="195">
        <f>IFERROR(INDEX('Ashed teabags wet'!$K$2:$K$821,MATCH(I255,'Ashed teabags wet'!$A$2:$A$821,0)),"")</f>
        <v>2.0588235294118782</v>
      </c>
      <c r="Y255" s="195">
        <f t="shared" si="25"/>
        <v>0.42843661016949097</v>
      </c>
      <c r="Z255" s="195">
        <f t="shared" si="25"/>
        <v>1.4590297058823514</v>
      </c>
      <c r="AA255" s="195">
        <f t="shared" si="32"/>
        <v>0.7423912481767122</v>
      </c>
      <c r="AB255" s="195">
        <f t="shared" si="33"/>
        <v>0.48669830046739332</v>
      </c>
      <c r="AC255" s="195">
        <f t="shared" si="26"/>
        <v>0.77716904930442599</v>
      </c>
      <c r="AD255">
        <f t="shared" si="27"/>
        <v>52</v>
      </c>
      <c r="AE255" s="195">
        <f t="shared" si="34"/>
        <v>0.11830018031269329</v>
      </c>
      <c r="AF255" s="195">
        <f t="shared" si="35"/>
        <v>1.1773036749966213E-2</v>
      </c>
      <c r="AG255" s="255" t="str">
        <f>IF(ISNUMBER(SEARCH("C",'WetLitterbags placem_collection'!AD182)),"YES","NO")</f>
        <v>NO</v>
      </c>
      <c r="AH255" s="255" t="str">
        <f>IF(ISNUMBER(SEARCH("H", 'WetLitterbags placem_collection'!AD182)),"YES","NO")</f>
        <v>NO</v>
      </c>
      <c r="AI255" s="255" t="str">
        <f>IF(ISNUMBER(SEARCH("R", 'WetLitterbags placem_collection'!AD182)),"YES","NO")</f>
        <v>NO</v>
      </c>
      <c r="AJ255" s="255" t="str">
        <f>IF(ISNUMBER(SEARCH("C", 'WetLitterbags placem_collection'!AC182)),"YES","NO")</f>
        <v>NO</v>
      </c>
      <c r="AK255" s="255" t="str">
        <f>IF(ISNUMBER(SEARCH("H", 'WetLitterbags placem_collection'!AC182)),"YES","NO")</f>
        <v>NO</v>
      </c>
      <c r="AL255" s="255" t="str">
        <f>IF(ISNUMBER(SEARCH("R", 'WetLitterbags placem_collection'!AC182)),"YES","NO")</f>
        <v>NO</v>
      </c>
    </row>
    <row r="256" spans="2:38">
      <c r="B256" t="str">
        <f>'Final data_for_R_analysis_Wetse'!A182</f>
        <v>Wet</v>
      </c>
      <c r="C256" s="263">
        <f>'Final data_for_R_analysis_Wetse'!B182</f>
        <v>181</v>
      </c>
      <c r="D256" t="s">
        <v>3854</v>
      </c>
      <c r="E256" t="s">
        <v>22</v>
      </c>
      <c r="F256" s="387">
        <v>5</v>
      </c>
      <c r="G256" s="16">
        <f>'WetLitterbags placem_collection'!E183</f>
        <v>42763</v>
      </c>
      <c r="H256" t="str">
        <f>'Final data_for_R_analysis_Wetse'!J182</f>
        <v>G458</v>
      </c>
      <c r="I256" t="str">
        <f>'Final data_for_R_analysis_Wetse'!J402</f>
        <v>R587</v>
      </c>
      <c r="J256">
        <f>IFERROR(INDEX('Green_rooibos initial weight'!$C$5:$C$1749,MATCH(H256, 'Green_rooibos initial weight'!$A$5:$A$1749,0)),"")</f>
        <v>1.9770000000000001</v>
      </c>
      <c r="K256">
        <f>IFERROR(INDEX('Green_rooibos initial weight'!$C$5:$C$1749,MATCH(I256, 'Green_rooibos initial weight'!$A$5:$A$1749,0)),"")</f>
        <v>2.2250000000000001</v>
      </c>
      <c r="L256" s="195">
        <f t="shared" si="28"/>
        <v>1.7272000000000001</v>
      </c>
      <c r="M256" s="195">
        <f>AVERAGE(Ashed_controlls!$K$2:$K$11)</f>
        <v>5.5147656768714146</v>
      </c>
      <c r="N256" s="195">
        <f t="shared" si="24"/>
        <v>1.631948967229077</v>
      </c>
      <c r="O256" s="195">
        <f t="shared" si="29"/>
        <v>1.9752000000000001</v>
      </c>
      <c r="P256" s="195">
        <f>AVERAGE(Ashed_controlls!$K$12:$K$14)</f>
        <v>2.2816647271287041</v>
      </c>
      <c r="Q256" s="195">
        <f t="shared" si="30"/>
        <v>1.9301325583097539</v>
      </c>
      <c r="R256" s="16">
        <f>IF('WetLitterbags placem_collection'!G183="N.A","",'WetLitterbags placem_collection'!G183)</f>
        <v>42815</v>
      </c>
      <c r="S256" s="195">
        <f>IF(IFERROR(INDEX('Both teabags AfterWet'!$C$3:$C$841,MATCH(H256,'Both teabags AfterWet'!$A$3:$A$841,0)),"")="N.A","",(IFERROR(INDEX('Both teabags AfterWet'!$C$3:$C$841,MATCH(H256,'Both teabags AfterWet'!$A$3:$A$841,0)),"")))</f>
        <v>0.57499999999999996</v>
      </c>
      <c r="T256" s="195">
        <f>IFERROR(INDEX('Both teabags AfterWet'!$C$3:$C$841,MATCH(I256,'Both teabags AfterWet'!$A$3:$A$841,0)),"")</f>
        <v>1.5119</v>
      </c>
      <c r="U256" s="195">
        <f t="shared" si="31"/>
        <v>0.42439999999999994</v>
      </c>
      <c r="V256" s="195">
        <f t="shared" si="31"/>
        <v>1.3613</v>
      </c>
      <c r="W256" s="195">
        <f>IFERROR(INDEX('Ashed teabags wet'!$K$2:$K$821,MATCH(H256,'Ashed teabags wet'!$A$2:$A$821,0)),"")</f>
        <v>9.1358024691352888</v>
      </c>
      <c r="X256" s="195">
        <f>IFERROR(INDEX('Ashed teabags wet'!$K$2:$K$821,MATCH(I256,'Ashed teabags wet'!$A$2:$A$821,0)),"")</f>
        <v>1.9743336623894387</v>
      </c>
      <c r="Y256" s="195">
        <f t="shared" si="25"/>
        <v>0.38562765432098978</v>
      </c>
      <c r="Z256" s="195">
        <f t="shared" si="25"/>
        <v>1.3344233958538925</v>
      </c>
      <c r="AA256" s="195">
        <f t="shared" si="32"/>
        <v>0.76370115606264599</v>
      </c>
      <c r="AB256" s="195">
        <f t="shared" si="33"/>
        <v>0.50066869138548764</v>
      </c>
      <c r="AC256" s="195">
        <f t="shared" si="26"/>
        <v>0.69136360096555605</v>
      </c>
      <c r="AD256">
        <f t="shared" si="27"/>
        <v>52</v>
      </c>
      <c r="AE256" s="195">
        <f t="shared" si="34"/>
        <v>9.2991501113247055E-2</v>
      </c>
      <c r="AF256" s="195">
        <f t="shared" si="35"/>
        <v>1.8428481547682306E-2</v>
      </c>
      <c r="AG256" s="255" t="str">
        <f>IF(ISNUMBER(SEARCH("C",'WetLitterbags placem_collection'!AD183)),"YES","NO")</f>
        <v>NO</v>
      </c>
      <c r="AH256" s="255" t="str">
        <f>IF(ISNUMBER(SEARCH("H", 'WetLitterbags placem_collection'!AD183)),"YES","NO")</f>
        <v>NO</v>
      </c>
      <c r="AI256" s="255" t="str">
        <f>IF(ISNUMBER(SEARCH("R", 'WetLitterbags placem_collection'!AD183)),"YES","NO")</f>
        <v>NO</v>
      </c>
      <c r="AJ256" s="255" t="str">
        <f>IF(ISNUMBER(SEARCH("C", 'WetLitterbags placem_collection'!AC183)),"YES","NO")</f>
        <v>NO</v>
      </c>
      <c r="AK256" s="255" t="str">
        <f>IF(ISNUMBER(SEARCH("H", 'WetLitterbags placem_collection'!AC183)),"YES","NO")</f>
        <v>NO</v>
      </c>
      <c r="AL256" s="255" t="str">
        <f>IF(ISNUMBER(SEARCH("R", 'WetLitterbags placem_collection'!AC183)),"YES","NO")</f>
        <v>NO</v>
      </c>
    </row>
    <row r="257" spans="2:38">
      <c r="B257" t="str">
        <f>'Final data_for_R_analysis_Wetse'!A183</f>
        <v>Wet</v>
      </c>
      <c r="C257" s="263">
        <f>'Final data_for_R_analysis_Wetse'!B183</f>
        <v>182</v>
      </c>
      <c r="D257" t="s">
        <v>3854</v>
      </c>
      <c r="E257" t="s">
        <v>22</v>
      </c>
      <c r="F257" s="387">
        <v>6</v>
      </c>
      <c r="G257" s="16">
        <f>'WetLitterbags placem_collection'!E184</f>
        <v>42763</v>
      </c>
      <c r="H257" t="str">
        <f>'Final data_for_R_analysis_Wetse'!J183</f>
        <v>G403</v>
      </c>
      <c r="I257" t="str">
        <f>'Final data_for_R_analysis_Wetse'!J403</f>
        <v>R444</v>
      </c>
      <c r="J257">
        <f>IFERROR(INDEX('Green_rooibos initial weight'!$C$5:$C$1749,MATCH(H257, 'Green_rooibos initial weight'!$A$5:$A$1749,0)),"")</f>
        <v>2.06</v>
      </c>
      <c r="K257">
        <f>IFERROR(INDEX('Green_rooibos initial weight'!$C$5:$C$1749,MATCH(I257, 'Green_rooibos initial weight'!$A$5:$A$1749,0)),"")</f>
        <v>2.2149999999999999</v>
      </c>
      <c r="L257" s="195">
        <f t="shared" si="28"/>
        <v>1.8102</v>
      </c>
      <c r="M257" s="195">
        <f>AVERAGE(Ashed_controlls!$K$2:$K$11)</f>
        <v>5.5147656768714146</v>
      </c>
      <c r="N257" s="195">
        <f t="shared" si="24"/>
        <v>1.7103717117172736</v>
      </c>
      <c r="O257" s="195">
        <f t="shared" si="29"/>
        <v>1.9651999999999998</v>
      </c>
      <c r="P257" s="195">
        <f>AVERAGE(Ashed_controlls!$K$12:$K$14)</f>
        <v>2.2816647271287041</v>
      </c>
      <c r="Q257" s="195">
        <f t="shared" si="30"/>
        <v>1.9203607247824666</v>
      </c>
      <c r="R257" s="16">
        <f>IF('WetLitterbags placem_collection'!G184="N.A","",'WetLitterbags placem_collection'!G184)</f>
        <v>42815</v>
      </c>
      <c r="S257" s="195">
        <f>IF(IFERROR(INDEX('Both teabags AfterWet'!$C$3:$C$841,MATCH(H257,'Both teabags AfterWet'!$A$3:$A$841,0)),"")="N.A","",(IFERROR(INDEX('Both teabags AfterWet'!$C$3:$C$841,MATCH(H257,'Both teabags AfterWet'!$A$3:$A$841,0)),"")))</f>
        <v>0.69440000000000002</v>
      </c>
      <c r="T257" s="195">
        <f>IFERROR(INDEX('Both teabags AfterWet'!$C$3:$C$841,MATCH(I257,'Both teabags AfterWet'!$A$3:$A$841,0)),"")</f>
        <v>1.7522</v>
      </c>
      <c r="U257" s="195">
        <f t="shared" si="31"/>
        <v>0.54380000000000006</v>
      </c>
      <c r="V257" s="195">
        <f t="shared" si="31"/>
        <v>1.6015999999999999</v>
      </c>
      <c r="W257" s="195">
        <f>IFERROR(INDEX('Ashed teabags wet'!$K$2:$K$821,MATCH(H257,'Ashed teabags wet'!$A$2:$A$821,0)),"")</f>
        <v>8.8845014807495417</v>
      </c>
      <c r="X257" s="195">
        <f>IFERROR(INDEX('Ashed teabags wet'!$K$2:$K$821,MATCH(I257,'Ashed teabags wet'!$A$2:$A$821,0)),"")</f>
        <v>2.2682445759369214</v>
      </c>
      <c r="Y257" s="195">
        <f t="shared" si="25"/>
        <v>0.49548608094768404</v>
      </c>
      <c r="Z257" s="195">
        <f t="shared" si="25"/>
        <v>1.5652717948717942</v>
      </c>
      <c r="AA257" s="195">
        <f t="shared" si="32"/>
        <v>0.71030503044849913</v>
      </c>
      <c r="AB257" s="195">
        <f t="shared" si="33"/>
        <v>0.46566315535341041</v>
      </c>
      <c r="AC257" s="195">
        <f t="shared" si="26"/>
        <v>0.81509258894529002</v>
      </c>
      <c r="AD257">
        <f t="shared" si="27"/>
        <v>52</v>
      </c>
      <c r="AE257" s="195">
        <f t="shared" si="34"/>
        <v>0.15640732725831452</v>
      </c>
      <c r="AF257" s="195">
        <f t="shared" si="35"/>
        <v>9.7303360808274533E-3</v>
      </c>
      <c r="AG257" s="255" t="str">
        <f>IF(ISNUMBER(SEARCH("C",'WetLitterbags placem_collection'!AD184)),"YES","NO")</f>
        <v>NO</v>
      </c>
      <c r="AH257" s="255" t="str">
        <f>IF(ISNUMBER(SEARCH("H", 'WetLitterbags placem_collection'!AD184)),"YES","NO")</f>
        <v>NO</v>
      </c>
      <c r="AI257" s="255" t="str">
        <f>IF(ISNUMBER(SEARCH("R", 'WetLitterbags placem_collection'!AD184)),"YES","NO")</f>
        <v>NO</v>
      </c>
      <c r="AJ257" s="255" t="str">
        <f>IF(ISNUMBER(SEARCH("C", 'WetLitterbags placem_collection'!AC184)),"YES","NO")</f>
        <v>NO</v>
      </c>
      <c r="AK257" s="255" t="str">
        <f>IF(ISNUMBER(SEARCH("H", 'WetLitterbags placem_collection'!AC184)),"YES","NO")</f>
        <v>NO</v>
      </c>
      <c r="AL257" s="255" t="str">
        <f>IF(ISNUMBER(SEARCH("R", 'WetLitterbags placem_collection'!AC184)),"YES","NO")</f>
        <v>NO</v>
      </c>
    </row>
    <row r="258" spans="2:38">
      <c r="B258" t="str">
        <f>'Final data_for_R_analysis_Wetse'!A184</f>
        <v>Wet</v>
      </c>
      <c r="C258" s="263">
        <f>'Final data_for_R_analysis_Wetse'!B184</f>
        <v>183</v>
      </c>
      <c r="D258" t="s">
        <v>3854</v>
      </c>
      <c r="E258" t="s">
        <v>22</v>
      </c>
      <c r="F258" s="387">
        <v>7</v>
      </c>
      <c r="G258" s="16">
        <f>'WetLitterbags placem_collection'!E185</f>
        <v>42763</v>
      </c>
      <c r="H258" t="str">
        <f>'Final data_for_R_analysis_Wetse'!J184</f>
        <v>G585</v>
      </c>
      <c r="I258" t="str">
        <f>'Final data_for_R_analysis_Wetse'!J404</f>
        <v>R568</v>
      </c>
      <c r="J258">
        <f>IFERROR(INDEX('Green_rooibos initial weight'!$C$5:$C$1749,MATCH(H258, 'Green_rooibos initial weight'!$A$5:$A$1749,0)),"")</f>
        <v>2.1669999999999998</v>
      </c>
      <c r="K258">
        <f>IFERROR(INDEX('Green_rooibos initial weight'!$C$5:$C$1749,MATCH(I258, 'Green_rooibos initial weight'!$A$5:$A$1749,0)),"")</f>
        <v>2.04</v>
      </c>
      <c r="L258" s="195">
        <f t="shared" si="28"/>
        <v>1.9171999999999998</v>
      </c>
      <c r="M258" s="195">
        <f>AVERAGE(Ashed_controlls!$K$2:$K$11)</f>
        <v>5.5147656768714146</v>
      </c>
      <c r="N258" s="195">
        <f t="shared" si="24"/>
        <v>1.8114709124430211</v>
      </c>
      <c r="O258" s="195">
        <f t="shared" si="29"/>
        <v>1.7902</v>
      </c>
      <c r="P258" s="195">
        <f>AVERAGE(Ashed_controlls!$K$12:$K$14)</f>
        <v>2.2816647271287041</v>
      </c>
      <c r="Q258" s="195">
        <f t="shared" si="30"/>
        <v>1.7493536380549419</v>
      </c>
      <c r="R258" s="16">
        <f>IF('WetLitterbags placem_collection'!G185="N.A","",'WetLitterbags placem_collection'!G185)</f>
        <v>42815</v>
      </c>
      <c r="S258" s="195">
        <f>IF(IFERROR(INDEX('Both teabags AfterWet'!$C$3:$C$841,MATCH(H258,'Both teabags AfterWet'!$A$3:$A$841,0)),"")="N.A","",(IFERROR(INDEX('Both teabags AfterWet'!$C$3:$C$841,MATCH(H258,'Both teabags AfterWet'!$A$3:$A$841,0)),"")))</f>
        <v>0.71799999999999997</v>
      </c>
      <c r="T258" s="195">
        <f>IFERROR(INDEX('Both teabags AfterWet'!$C$3:$C$841,MATCH(I258,'Both teabags AfterWet'!$A$3:$A$841,0)),"")</f>
        <v>0.30299999999999999</v>
      </c>
      <c r="U258" s="195">
        <f t="shared" si="31"/>
        <v>0.5673999999999999</v>
      </c>
      <c r="V258" s="195">
        <f t="shared" si="31"/>
        <v>0.15239999999999998</v>
      </c>
      <c r="W258" s="195">
        <f>IFERROR(INDEX('Ashed teabags wet'!$K$2:$K$821,MATCH(H258,'Ashed teabags wet'!$A$2:$A$821,0)),"")</f>
        <v>10.155490767735316</v>
      </c>
      <c r="X258" s="195" t="str">
        <f>IFERROR(INDEX('Ashed teabags wet'!$K$2:$K$821,MATCH(I258,'Ashed teabags wet'!$A$2:$A$821,0)),"")</f>
        <v/>
      </c>
      <c r="Y258" s="195">
        <f t="shared" si="25"/>
        <v>0.50977774538386977</v>
      </c>
      <c r="Z258" s="195" t="str">
        <f t="shared" si="25"/>
        <v/>
      </c>
      <c r="AA258" s="195">
        <f t="shared" si="32"/>
        <v>0.71858353237570705</v>
      </c>
      <c r="AB258" s="195">
        <f t="shared" si="33"/>
        <v>0.47109039177124745</v>
      </c>
      <c r="AC258" s="195" t="str">
        <f t="shared" si="26"/>
        <v/>
      </c>
      <c r="AD258">
        <f t="shared" si="27"/>
        <v>52</v>
      </c>
      <c r="AE258" s="195">
        <f t="shared" si="34"/>
        <v>0.14657537722600111</v>
      </c>
      <c r="AF258" s="195" t="str">
        <f t="shared" si="35"/>
        <v/>
      </c>
      <c r="AG258" s="255" t="str">
        <f>IF(ISNUMBER(SEARCH("C",'WetLitterbags placem_collection'!AD185)),"YES","NO")</f>
        <v>NO</v>
      </c>
      <c r="AH258" s="255" t="str">
        <f>IF(ISNUMBER(SEARCH("H", 'WetLitterbags placem_collection'!AD185)),"YES","NO")</f>
        <v>NO</v>
      </c>
      <c r="AI258" s="255" t="str">
        <f>IF(ISNUMBER(SEARCH("R", 'WetLitterbags placem_collection'!AD185)),"YES","NO")</f>
        <v>NO</v>
      </c>
      <c r="AJ258" s="255" t="str">
        <f>IF(ISNUMBER(SEARCH("C", 'WetLitterbags placem_collection'!AC185)),"YES","NO")</f>
        <v>NO</v>
      </c>
      <c r="AK258" s="255" t="str">
        <f>IF(ISNUMBER(SEARCH("H", 'WetLitterbags placem_collection'!AC185)),"YES","NO")</f>
        <v>NO</v>
      </c>
      <c r="AL258" s="255" t="str">
        <f>IF(ISNUMBER(SEARCH("R", 'WetLitterbags placem_collection'!AC185)),"YES","NO")</f>
        <v>NO</v>
      </c>
    </row>
    <row r="259" spans="2:38">
      <c r="B259" t="str">
        <f>'Final data_for_R_analysis_Wetse'!A185</f>
        <v>Wet</v>
      </c>
      <c r="C259" s="263">
        <f>'Final data_for_R_analysis_Wetse'!B185</f>
        <v>184</v>
      </c>
      <c r="D259" t="s">
        <v>3854</v>
      </c>
      <c r="E259" t="s">
        <v>22</v>
      </c>
      <c r="F259" s="387">
        <v>8</v>
      </c>
      <c r="G259" s="16">
        <f>'WetLitterbags placem_collection'!E186</f>
        <v>42763</v>
      </c>
      <c r="H259" t="str">
        <f>'Final data_for_R_analysis_Wetse'!J185</f>
        <v>G669</v>
      </c>
      <c r="I259" t="str">
        <f>'Final data_for_R_analysis_Wetse'!J405</f>
        <v>R541</v>
      </c>
      <c r="J259">
        <f>IFERROR(INDEX('Green_rooibos initial weight'!$C$5:$C$1749,MATCH(H259, 'Green_rooibos initial weight'!$A$5:$A$1749,0)),"")</f>
        <v>1.9359999999999999</v>
      </c>
      <c r="K259">
        <f>IFERROR(INDEX('Green_rooibos initial weight'!$C$5:$C$1749,MATCH(I259, 'Green_rooibos initial weight'!$A$5:$A$1749,0)),"")</f>
        <v>2.226</v>
      </c>
      <c r="L259" s="195">
        <f t="shared" si="28"/>
        <v>1.6861999999999999</v>
      </c>
      <c r="M259" s="195">
        <f>AVERAGE(Ashed_controlls!$K$2:$K$11)</f>
        <v>5.5147656768714146</v>
      </c>
      <c r="N259" s="195">
        <f t="shared" si="24"/>
        <v>1.593210021156594</v>
      </c>
      <c r="O259" s="195">
        <f t="shared" si="29"/>
        <v>1.9762</v>
      </c>
      <c r="P259" s="195">
        <f>AVERAGE(Ashed_controlls!$K$12:$K$14)</f>
        <v>2.2816647271287041</v>
      </c>
      <c r="Q259" s="195">
        <f t="shared" si="30"/>
        <v>1.9311097416624825</v>
      </c>
      <c r="R259" s="16">
        <f>IF('WetLitterbags placem_collection'!G186="N.A","",'WetLitterbags placem_collection'!G186)</f>
        <v>42815</v>
      </c>
      <c r="S259" s="195">
        <f>IF(IFERROR(INDEX('Both teabags AfterWet'!$C$3:$C$841,MATCH(H259,'Both teabags AfterWet'!$A$3:$A$841,0)),"")="N.A","",(IFERROR(INDEX('Both teabags AfterWet'!$C$3:$C$841,MATCH(H259,'Both teabags AfterWet'!$A$3:$A$841,0)),"")))</f>
        <v>0.7097</v>
      </c>
      <c r="T259" s="195">
        <f>IFERROR(INDEX('Both teabags AfterWet'!$C$3:$C$841,MATCH(I259,'Both teabags AfterWet'!$A$3:$A$841,0)),"")</f>
        <v>1.7278</v>
      </c>
      <c r="U259" s="195">
        <f t="shared" si="31"/>
        <v>0.55909999999999993</v>
      </c>
      <c r="V259" s="195">
        <f t="shared" si="31"/>
        <v>1.5771999999999999</v>
      </c>
      <c r="W259" s="195">
        <f>IFERROR(INDEX('Ashed teabags wet'!$K$2:$K$821,MATCH(H259,'Ashed teabags wet'!$A$2:$A$821,0)),"")</f>
        <v>8.7171867261018541</v>
      </c>
      <c r="X259" s="195">
        <f>IFERROR(INDEX('Ashed teabags wet'!$K$2:$K$821,MATCH(I259,'Ashed teabags wet'!$A$2:$A$821,0)),"")</f>
        <v>2.6018654884636851</v>
      </c>
      <c r="Y259" s="195">
        <f t="shared" si="25"/>
        <v>0.51036220901436447</v>
      </c>
      <c r="Z259" s="195">
        <f t="shared" si="25"/>
        <v>1.5361633775159507</v>
      </c>
      <c r="AA259" s="195">
        <f t="shared" si="32"/>
        <v>0.67966419854435389</v>
      </c>
      <c r="AB259" s="195">
        <f t="shared" si="33"/>
        <v>0.44557557909321066</v>
      </c>
      <c r="AC259" s="195">
        <f t="shared" si="26"/>
        <v>0.79548217502826923</v>
      </c>
      <c r="AD259">
        <f t="shared" si="27"/>
        <v>52</v>
      </c>
      <c r="AE259" s="195">
        <f t="shared" si="34"/>
        <v>0.19279786396157494</v>
      </c>
      <c r="AF259" s="195">
        <f t="shared" si="35"/>
        <v>1.1814044887009746E-2</v>
      </c>
      <c r="AG259" s="255" t="str">
        <f>IF(ISNUMBER(SEARCH("C",'WetLitterbags placem_collection'!AD186)),"YES","NO")</f>
        <v>YES</v>
      </c>
      <c r="AH259" s="255" t="str">
        <f>IF(ISNUMBER(SEARCH("H", 'WetLitterbags placem_collection'!AD186)),"YES","NO")</f>
        <v>NO</v>
      </c>
      <c r="AI259" s="255" t="str">
        <f>IF(ISNUMBER(SEARCH("R", 'WetLitterbags placem_collection'!AD186)),"YES","NO")</f>
        <v>YES</v>
      </c>
      <c r="AJ259" s="255" t="str">
        <f>IF(ISNUMBER(SEARCH("C", 'WetLitterbags placem_collection'!AC186)),"YES","NO")</f>
        <v>NO</v>
      </c>
      <c r="AK259" s="255" t="str">
        <f>IF(ISNUMBER(SEARCH("H", 'WetLitterbags placem_collection'!AC186)),"YES","NO")</f>
        <v>NO</v>
      </c>
      <c r="AL259" s="255" t="str">
        <f>IF(ISNUMBER(SEARCH("R", 'WetLitterbags placem_collection'!AC186)),"YES","NO")</f>
        <v>NO</v>
      </c>
    </row>
    <row r="260" spans="2:38">
      <c r="B260" t="str">
        <f>'Final data_for_R_analysis_Wetse'!A186</f>
        <v>Wet</v>
      </c>
      <c r="C260" s="263">
        <f>'Final data_for_R_analysis_Wetse'!B186</f>
        <v>185</v>
      </c>
      <c r="D260" t="s">
        <v>3855</v>
      </c>
      <c r="E260" t="s">
        <v>22</v>
      </c>
      <c r="F260" s="386">
        <v>1</v>
      </c>
      <c r="G260" s="16">
        <f>'WetLitterbags placem_collection'!E187</f>
        <v>42763</v>
      </c>
      <c r="H260" t="str">
        <f>'Final data_for_R_analysis_Wetse'!J186</f>
        <v>G423</v>
      </c>
      <c r="I260" t="str">
        <f>'Final data_for_R_analysis_Wetse'!J406</f>
        <v>R51</v>
      </c>
      <c r="J260">
        <f>IFERROR(INDEX('Green_rooibos initial weight'!$C$5:$C$1749,MATCH(H260, 'Green_rooibos initial weight'!$A$5:$A$1749,0)),"")</f>
        <v>2.0649999999999999</v>
      </c>
      <c r="K260">
        <f>IFERROR(INDEX('Green_rooibos initial weight'!$C$5:$C$1749,MATCH(I260, 'Green_rooibos initial weight'!$A$5:$A$1749,0)),"")</f>
        <v>2.3149999999999999</v>
      </c>
      <c r="L260" s="195">
        <f t="shared" si="28"/>
        <v>1.8151999999999999</v>
      </c>
      <c r="M260" s="195">
        <f>AVERAGE(Ashed_controlls!$K$2:$K$11)</f>
        <v>5.5147656768714146</v>
      </c>
      <c r="N260" s="195">
        <f t="shared" si="24"/>
        <v>1.7150959734334301</v>
      </c>
      <c r="O260" s="195">
        <f t="shared" si="29"/>
        <v>2.0651999999999999</v>
      </c>
      <c r="P260" s="195">
        <f>AVERAGE(Ashed_controlls!$K$12:$K$14)</f>
        <v>2.2816647271287041</v>
      </c>
      <c r="Q260" s="195">
        <f t="shared" si="30"/>
        <v>2.0180790600553378</v>
      </c>
      <c r="R260" s="16">
        <f>IF('WetLitterbags placem_collection'!G187="N.A","",'WetLitterbags placem_collection'!G187)</f>
        <v>42815</v>
      </c>
      <c r="S260" s="195">
        <f>IF(IFERROR(INDEX('Both teabags AfterWet'!$C$3:$C$841,MATCH(H260,'Both teabags AfterWet'!$A$3:$A$841,0)),"")="N.A","",(IFERROR(INDEX('Both teabags AfterWet'!$C$3:$C$841,MATCH(H260,'Both teabags AfterWet'!$A$3:$A$841,0)),"")))</f>
        <v>0.62319999999999998</v>
      </c>
      <c r="T260" s="195">
        <f>IFERROR(INDEX('Both teabags AfterWet'!$C$3:$C$841,MATCH(I260,'Both teabags AfterWet'!$A$3:$A$841,0)),"")</f>
        <v>1.7762</v>
      </c>
      <c r="U260" s="195">
        <f t="shared" si="31"/>
        <v>0.47259999999999996</v>
      </c>
      <c r="V260" s="195">
        <f t="shared" si="31"/>
        <v>1.6255999999999999</v>
      </c>
      <c r="W260" s="195">
        <f>IFERROR(INDEX('Ashed teabags wet'!$K$2:$K$821,MATCH(H260,'Ashed teabags wet'!$A$2:$A$821,0)),"")</f>
        <v>9.4793713163063114</v>
      </c>
      <c r="X260" s="195">
        <f>IFERROR(INDEX('Ashed teabags wet'!$K$2:$K$821,MATCH(I260,'Ashed teabags wet'!$A$2:$A$821,0)),"")</f>
        <v>2.0874751491048897</v>
      </c>
      <c r="Y260" s="195">
        <f t="shared" si="25"/>
        <v>0.42780049115913632</v>
      </c>
      <c r="Z260" s="195">
        <f t="shared" si="25"/>
        <v>1.5916660039761508</v>
      </c>
      <c r="AA260" s="195">
        <f t="shared" si="32"/>
        <v>0.75056760800229294</v>
      </c>
      <c r="AB260" s="195">
        <f t="shared" si="33"/>
        <v>0.492058574367299</v>
      </c>
      <c r="AC260" s="195">
        <f t="shared" si="26"/>
        <v>0.78870349307945631</v>
      </c>
      <c r="AD260">
        <f t="shared" si="27"/>
        <v>52</v>
      </c>
      <c r="AE260" s="195">
        <f t="shared" si="34"/>
        <v>0.10858953918967584</v>
      </c>
      <c r="AF260" s="195">
        <f t="shared" si="35"/>
        <v>1.0790195911766675E-2</v>
      </c>
      <c r="AG260" s="255" t="str">
        <f>IF(ISNUMBER(SEARCH("C",'WetLitterbags placem_collection'!AD187)),"YES","NO")</f>
        <v>NO</v>
      </c>
      <c r="AH260" s="255" t="str">
        <f>IF(ISNUMBER(SEARCH("H", 'WetLitterbags placem_collection'!AD187)),"YES","NO")</f>
        <v>NO</v>
      </c>
      <c r="AI260" s="255" t="str">
        <f>IF(ISNUMBER(SEARCH("R", 'WetLitterbags placem_collection'!AD187)),"YES","NO")</f>
        <v>NO</v>
      </c>
      <c r="AJ260" s="255" t="str">
        <f>IF(ISNUMBER(SEARCH("C", 'WetLitterbags placem_collection'!AC187)),"YES","NO")</f>
        <v>NO</v>
      </c>
      <c r="AK260" s="255" t="str">
        <f>IF(ISNUMBER(SEARCH("H", 'WetLitterbags placem_collection'!AC187)),"YES","NO")</f>
        <v>NO</v>
      </c>
      <c r="AL260" s="255" t="str">
        <f>IF(ISNUMBER(SEARCH("R", 'WetLitterbags placem_collection'!AC187)),"YES","NO")</f>
        <v>NO</v>
      </c>
    </row>
    <row r="261" spans="2:38">
      <c r="B261" t="str">
        <f>'Final data_for_R_analysis_Wetse'!A187</f>
        <v>Wet</v>
      </c>
      <c r="C261" s="263">
        <f>'Final data_for_R_analysis_Wetse'!B187</f>
        <v>186</v>
      </c>
      <c r="D261" t="s">
        <v>3855</v>
      </c>
      <c r="E261" t="s">
        <v>22</v>
      </c>
      <c r="F261" s="386">
        <v>2</v>
      </c>
      <c r="G261" s="16">
        <f>'WetLitterbags placem_collection'!E188</f>
        <v>42763</v>
      </c>
      <c r="H261" t="str">
        <f>'Final data_for_R_analysis_Wetse'!J187</f>
        <v>G544</v>
      </c>
      <c r="I261" t="str">
        <f>'Final data_for_R_analysis_Wetse'!J407</f>
        <v>R557</v>
      </c>
      <c r="J261">
        <f>IFERROR(INDEX('Green_rooibos initial weight'!$C$5:$C$1749,MATCH(H261, 'Green_rooibos initial weight'!$A$5:$A$1749,0)),"")</f>
        <v>2.0830000000000002</v>
      </c>
      <c r="K261">
        <f>IFERROR(INDEX('Green_rooibos initial weight'!$C$5:$C$1749,MATCH(I261, 'Green_rooibos initial weight'!$A$5:$A$1749,0)),"")</f>
        <v>2.2229999999999999</v>
      </c>
      <c r="L261" s="195">
        <f t="shared" si="28"/>
        <v>1.8332000000000002</v>
      </c>
      <c r="M261" s="195">
        <f>AVERAGE(Ashed_controlls!$K$2:$K$11)</f>
        <v>5.5147656768714146</v>
      </c>
      <c r="N261" s="195">
        <f t="shared" si="24"/>
        <v>1.7321033156115935</v>
      </c>
      <c r="O261" s="195">
        <f t="shared" si="29"/>
        <v>1.9731999999999998</v>
      </c>
      <c r="P261" s="195">
        <f>AVERAGE(Ashed_controlls!$K$12:$K$14)</f>
        <v>2.2816647271287041</v>
      </c>
      <c r="Q261" s="195">
        <f t="shared" si="30"/>
        <v>1.9281781916042962</v>
      </c>
      <c r="R261" s="16">
        <f>IF('WetLitterbags placem_collection'!G188="N.A","",'WetLitterbags placem_collection'!G188)</f>
        <v>42815</v>
      </c>
      <c r="S261" s="195">
        <f>IF(IFERROR(INDEX('Both teabags AfterWet'!$C$3:$C$841,MATCH(H261,'Both teabags AfterWet'!$A$3:$A$841,0)),"")="N.A","",(IFERROR(INDEX('Both teabags AfterWet'!$C$3:$C$841,MATCH(H261,'Both teabags AfterWet'!$A$3:$A$841,0)),"")))</f>
        <v>0.69</v>
      </c>
      <c r="T261" s="195">
        <f>IFERROR(INDEX('Both teabags AfterWet'!$C$3:$C$841,MATCH(I261,'Both teabags AfterWet'!$A$3:$A$841,0)),"")</f>
        <v>1.7509999999999999</v>
      </c>
      <c r="U261" s="195">
        <f t="shared" si="31"/>
        <v>0.53939999999999988</v>
      </c>
      <c r="V261" s="195">
        <f t="shared" si="31"/>
        <v>1.6003999999999998</v>
      </c>
      <c r="W261" s="195">
        <f>IFERROR(INDEX('Ashed teabags wet'!$K$2:$K$821,MATCH(H261,'Ashed teabags wet'!$A$2:$A$821,0)),"")</f>
        <v>9.5401174168302578</v>
      </c>
      <c r="X261" s="195">
        <f>IFERROR(INDEX('Ashed teabags wet'!$K$2:$K$821,MATCH(I261,'Ashed teabags wet'!$A$2:$A$821,0)),"")</f>
        <v>2.1547502448572287</v>
      </c>
      <c r="Y261" s="195">
        <f t="shared" si="25"/>
        <v>0.48794060665361749</v>
      </c>
      <c r="Z261" s="195">
        <f t="shared" si="25"/>
        <v>1.5659153770813048</v>
      </c>
      <c r="AA261" s="195">
        <f t="shared" si="32"/>
        <v>0.71829589940982874</v>
      </c>
      <c r="AB261" s="195">
        <f t="shared" si="33"/>
        <v>0.47090182479124171</v>
      </c>
      <c r="AC261" s="195">
        <f t="shared" si="26"/>
        <v>0.81212171359454133</v>
      </c>
      <c r="AD261">
        <f t="shared" si="27"/>
        <v>52</v>
      </c>
      <c r="AE261" s="195">
        <f t="shared" si="34"/>
        <v>0.14691698407383758</v>
      </c>
      <c r="AF261" s="195">
        <f t="shared" si="35"/>
        <v>9.7907608396851659E-3</v>
      </c>
      <c r="AG261" s="255" t="str">
        <f>IF(ISNUMBER(SEARCH("C",'WetLitterbags placem_collection'!AD188)),"YES","NO")</f>
        <v>NO</v>
      </c>
      <c r="AH261" s="255" t="str">
        <f>IF(ISNUMBER(SEARCH("H", 'WetLitterbags placem_collection'!AD188)),"YES","NO")</f>
        <v>NO</v>
      </c>
      <c r="AI261" s="255" t="str">
        <f>IF(ISNUMBER(SEARCH("R", 'WetLitterbags placem_collection'!AD188)),"YES","NO")</f>
        <v>NO</v>
      </c>
      <c r="AJ261" s="255" t="str">
        <f>IF(ISNUMBER(SEARCH("C", 'WetLitterbags placem_collection'!AC188)),"YES","NO")</f>
        <v>NO</v>
      </c>
      <c r="AK261" s="255" t="str">
        <f>IF(ISNUMBER(SEARCH("H", 'WetLitterbags placem_collection'!AC188)),"YES","NO")</f>
        <v>NO</v>
      </c>
      <c r="AL261" s="255" t="str">
        <f>IF(ISNUMBER(SEARCH("R", 'WetLitterbags placem_collection'!AC188)),"YES","NO")</f>
        <v>NO</v>
      </c>
    </row>
    <row r="262" spans="2:38">
      <c r="B262" t="str">
        <f>'Final data_for_R_analysis_Wetse'!A188</f>
        <v>Wet</v>
      </c>
      <c r="C262" s="263">
        <f>'Final data_for_R_analysis_Wetse'!B188</f>
        <v>187</v>
      </c>
      <c r="D262" t="s">
        <v>3855</v>
      </c>
      <c r="E262" t="s">
        <v>22</v>
      </c>
      <c r="F262" s="386">
        <v>3</v>
      </c>
      <c r="G262" s="16">
        <f>'WetLitterbags placem_collection'!E189</f>
        <v>42763</v>
      </c>
      <c r="H262" t="str">
        <f>'Final data_for_R_analysis_Wetse'!J188</f>
        <v>G620</v>
      </c>
      <c r="I262" t="str">
        <f>'Final data_for_R_analysis_Wetse'!J408</f>
        <v>R427</v>
      </c>
      <c r="J262">
        <f>IFERROR(INDEX('Green_rooibos initial weight'!$C$5:$C$1749,MATCH(H262, 'Green_rooibos initial weight'!$A$5:$A$1749,0)),"")</f>
        <v>2.0019999999999998</v>
      </c>
      <c r="K262">
        <f>IFERROR(INDEX('Green_rooibos initial weight'!$C$5:$C$1749,MATCH(I262, 'Green_rooibos initial weight'!$A$5:$A$1749,0)),"")</f>
        <v>2.1760000000000002</v>
      </c>
      <c r="L262" s="195">
        <f t="shared" si="28"/>
        <v>1.7521999999999998</v>
      </c>
      <c r="M262" s="195">
        <f>AVERAGE(Ashed_controlls!$K$2:$K$11)</f>
        <v>5.5147656768714146</v>
      </c>
      <c r="N262" s="195">
        <f t="shared" si="24"/>
        <v>1.6555702758098589</v>
      </c>
      <c r="O262" s="195">
        <f t="shared" si="29"/>
        <v>1.9262000000000001</v>
      </c>
      <c r="P262" s="195">
        <f>AVERAGE(Ashed_controlls!$K$12:$K$14)</f>
        <v>2.2816647271287041</v>
      </c>
      <c r="Q262" s="195">
        <f t="shared" si="30"/>
        <v>1.8822505740260471</v>
      </c>
      <c r="R262" s="16">
        <f>IF('WetLitterbags placem_collection'!G189="N.A","",'WetLitterbags placem_collection'!G189)</f>
        <v>42815</v>
      </c>
      <c r="S262" s="195">
        <f>IF(IFERROR(INDEX('Both teabags AfterWet'!$C$3:$C$841,MATCH(H262,'Both teabags AfterWet'!$A$3:$A$841,0)),"")="N.A","",(IFERROR(INDEX('Both teabags AfterWet'!$C$3:$C$841,MATCH(H262,'Both teabags AfterWet'!$A$3:$A$841,0)),"")))</f>
        <v>0.59950000000000003</v>
      </c>
      <c r="T262" s="195">
        <f>IFERROR(INDEX('Both teabags AfterWet'!$C$3:$C$841,MATCH(I262,'Both teabags AfterWet'!$A$3:$A$841,0)),"")</f>
        <v>1.6979</v>
      </c>
      <c r="U262" s="195">
        <f t="shared" si="31"/>
        <v>0.44890000000000002</v>
      </c>
      <c r="V262" s="195">
        <f t="shared" si="31"/>
        <v>1.5472999999999999</v>
      </c>
      <c r="W262" s="195">
        <f>IFERROR(INDEX('Ashed teabags wet'!$K$2:$K$821,MATCH(H262,'Ashed teabags wet'!$A$2:$A$821,0)),"")</f>
        <v>8.6766844401358867</v>
      </c>
      <c r="X262" s="195">
        <f>IFERROR(INDEX('Ashed teabags wet'!$K$2:$K$821,MATCH(I262,'Ashed teabags wet'!$A$2:$A$821,0)),"")</f>
        <v>1.9455252918283636</v>
      </c>
      <c r="Y262" s="195">
        <f t="shared" si="25"/>
        <v>0.40995036354823</v>
      </c>
      <c r="Z262" s="195">
        <f t="shared" si="25"/>
        <v>1.5171968871595396</v>
      </c>
      <c r="AA262" s="195">
        <f t="shared" si="32"/>
        <v>0.75238117672311211</v>
      </c>
      <c r="AB262" s="195">
        <f t="shared" si="33"/>
        <v>0.49324751728166027</v>
      </c>
      <c r="AC262" s="195">
        <f t="shared" si="26"/>
        <v>0.80605468161145277</v>
      </c>
      <c r="AD262">
        <f t="shared" si="27"/>
        <v>52</v>
      </c>
      <c r="AE262" s="195">
        <f t="shared" si="34"/>
        <v>0.10643565709844161</v>
      </c>
      <c r="AF262" s="195">
        <f t="shared" si="35"/>
        <v>9.6068721131686678E-3</v>
      </c>
      <c r="AG262" s="255" t="str">
        <f>IF(ISNUMBER(SEARCH("C",'WetLitterbags placem_collection'!AD189)),"YES","NO")</f>
        <v>NO</v>
      </c>
      <c r="AH262" s="255" t="str">
        <f>IF(ISNUMBER(SEARCH("H", 'WetLitterbags placem_collection'!AD189)),"YES","NO")</f>
        <v>NO</v>
      </c>
      <c r="AI262" s="255" t="str">
        <f>IF(ISNUMBER(SEARCH("R", 'WetLitterbags placem_collection'!AD189)),"YES","NO")</f>
        <v>NO</v>
      </c>
      <c r="AJ262" s="255" t="str">
        <f>IF(ISNUMBER(SEARCH("C", 'WetLitterbags placem_collection'!AC189)),"YES","NO")</f>
        <v>NO</v>
      </c>
      <c r="AK262" s="255" t="str">
        <f>IF(ISNUMBER(SEARCH("H", 'WetLitterbags placem_collection'!AC189)),"YES","NO")</f>
        <v>NO</v>
      </c>
      <c r="AL262" s="255" t="str">
        <f>IF(ISNUMBER(SEARCH("R", 'WetLitterbags placem_collection'!AC189)),"YES","NO")</f>
        <v>NO</v>
      </c>
    </row>
    <row r="263" spans="2:38">
      <c r="B263" t="str">
        <f>'Final data_for_R_analysis_Wetse'!A189</f>
        <v>Wet</v>
      </c>
      <c r="C263" s="263">
        <f>'Final data_for_R_analysis_Wetse'!B189</f>
        <v>188</v>
      </c>
      <c r="D263" t="s">
        <v>3855</v>
      </c>
      <c r="E263" t="s">
        <v>22</v>
      </c>
      <c r="F263" s="387">
        <v>4</v>
      </c>
      <c r="G263" s="16">
        <f>'WetLitterbags placem_collection'!E190</f>
        <v>42763</v>
      </c>
      <c r="H263" t="str">
        <f>'Final data_for_R_analysis_Wetse'!J189</f>
        <v>G420</v>
      </c>
      <c r="I263" t="str">
        <f>'Final data_for_R_analysis_Wetse'!J409</f>
        <v>R523</v>
      </c>
      <c r="J263">
        <f>IFERROR(INDEX('Green_rooibos initial weight'!$C$5:$C$1749,MATCH(H263, 'Green_rooibos initial weight'!$A$5:$A$1749,0)),"")</f>
        <v>2.0390000000000001</v>
      </c>
      <c r="K263">
        <f>IFERROR(INDEX('Green_rooibos initial weight'!$C$5:$C$1749,MATCH(I263, 'Green_rooibos initial weight'!$A$5:$A$1749,0)),"")</f>
        <v>2.1179999999999999</v>
      </c>
      <c r="L263" s="195">
        <f t="shared" si="28"/>
        <v>1.7892000000000001</v>
      </c>
      <c r="M263" s="195">
        <f>AVERAGE(Ashed_controlls!$K$2:$K$11)</f>
        <v>5.5147656768714146</v>
      </c>
      <c r="N263" s="195">
        <f t="shared" si="24"/>
        <v>1.6905298125094168</v>
      </c>
      <c r="O263" s="195">
        <f t="shared" si="29"/>
        <v>1.8681999999999999</v>
      </c>
      <c r="P263" s="195">
        <f>AVERAGE(Ashed_controlls!$K$12:$K$14)</f>
        <v>2.2816647271287041</v>
      </c>
      <c r="Q263" s="195">
        <f t="shared" si="30"/>
        <v>1.8255739395677815</v>
      </c>
      <c r="R263" s="16">
        <f>IF('WetLitterbags placem_collection'!G190="N.A","",'WetLitterbags placem_collection'!G190)</f>
        <v>42815</v>
      </c>
      <c r="S263" s="195">
        <f>IF(IFERROR(INDEX('Both teabags AfterWet'!$C$3:$C$841,MATCH(H263,'Both teabags AfterWet'!$A$3:$A$841,0)),"")="N.A","",(IFERROR(INDEX('Both teabags AfterWet'!$C$3:$C$841,MATCH(H263,'Both teabags AfterWet'!$A$3:$A$841,0)),"")))</f>
        <v>0.29980000000000001</v>
      </c>
      <c r="T263" s="195">
        <f>IFERROR(INDEX('Both teabags AfterWet'!$C$3:$C$841,MATCH(I263,'Both teabags AfterWet'!$A$3:$A$841,0)),"")</f>
        <v>1.54</v>
      </c>
      <c r="U263" s="195">
        <f t="shared" si="31"/>
        <v>0.1492</v>
      </c>
      <c r="V263" s="195">
        <f t="shared" si="31"/>
        <v>1.3894</v>
      </c>
      <c r="W263" s="195">
        <f>IFERROR(INDEX('Ashed teabags wet'!$K$2:$K$821,MATCH(H263,'Ashed teabags wet'!$A$2:$A$821,0)),"")</f>
        <v>12.313003452243912</v>
      </c>
      <c r="X263" s="195">
        <f>IFERROR(INDEX('Ashed teabags wet'!$K$2:$K$821,MATCH(I263,'Ashed teabags wet'!$A$2:$A$821,0)),"")</f>
        <v>2.4709302325582305</v>
      </c>
      <c r="Y263" s="195">
        <f t="shared" si="25"/>
        <v>0.13082899884925209</v>
      </c>
      <c r="Z263" s="195">
        <f t="shared" si="25"/>
        <v>1.3550688953488359</v>
      </c>
      <c r="AA263" s="195">
        <f t="shared" si="32"/>
        <v>0.92261065265980136</v>
      </c>
      <c r="AB263" s="195">
        <f t="shared" si="33"/>
        <v>0.6048468886795848</v>
      </c>
      <c r="AC263" s="195">
        <f t="shared" si="26"/>
        <v>0.74227006969088238</v>
      </c>
      <c r="AD263">
        <f t="shared" si="27"/>
        <v>52</v>
      </c>
      <c r="AE263" s="195">
        <f t="shared" si="34"/>
        <v>-9.5737117173160691E-2</v>
      </c>
      <c r="AF263" s="195">
        <f t="shared" si="35"/>
        <v>1.067910712422916E-2</v>
      </c>
      <c r="AG263" s="255" t="str">
        <f>IF(ISNUMBER(SEARCH("C",'WetLitterbags placem_collection'!AD190)),"YES","NO")</f>
        <v>NO</v>
      </c>
      <c r="AH263" s="255" t="str">
        <f>IF(ISNUMBER(SEARCH("H", 'WetLitterbags placem_collection'!AD190)),"YES","NO")</f>
        <v>NO</v>
      </c>
      <c r="AI263" s="255" t="str">
        <f>IF(ISNUMBER(SEARCH("R", 'WetLitterbags placem_collection'!AD190)),"YES","NO")</f>
        <v>YES</v>
      </c>
      <c r="AJ263" s="255" t="str">
        <f>IF(ISNUMBER(SEARCH("C", 'WetLitterbags placem_collection'!AC190)),"YES","NO")</f>
        <v>NO</v>
      </c>
      <c r="AK263" s="255" t="str">
        <f>IF(ISNUMBER(SEARCH("H", 'WetLitterbags placem_collection'!AC190)),"YES","NO")</f>
        <v>NO</v>
      </c>
      <c r="AL263" s="255" t="str">
        <f>IF(ISNUMBER(SEARCH("R", 'WetLitterbags placem_collection'!AC190)),"YES","NO")</f>
        <v>NO</v>
      </c>
    </row>
    <row r="264" spans="2:38">
      <c r="B264" t="str">
        <f>'Final data_for_R_analysis_Wetse'!A190</f>
        <v>Wet</v>
      </c>
      <c r="C264" s="263">
        <f>'Final data_for_R_analysis_Wetse'!B190</f>
        <v>189</v>
      </c>
      <c r="D264" t="s">
        <v>3855</v>
      </c>
      <c r="E264" t="s">
        <v>22</v>
      </c>
      <c r="F264" s="387">
        <v>5</v>
      </c>
      <c r="G264" s="16">
        <f>'WetLitterbags placem_collection'!E191</f>
        <v>42763</v>
      </c>
      <c r="H264" t="str">
        <f>'Final data_for_R_analysis_Wetse'!J190</f>
        <v>G367</v>
      </c>
      <c r="I264" t="str">
        <f>'Final data_for_R_analysis_Wetse'!J410</f>
        <v>R354</v>
      </c>
      <c r="J264">
        <f>IFERROR(INDEX('Green_rooibos initial weight'!$C$5:$C$1749,MATCH(H264, 'Green_rooibos initial weight'!$A$5:$A$1749,0)),"")</f>
        <v>2.0990000000000002</v>
      </c>
      <c r="K264">
        <f>IFERROR(INDEX('Green_rooibos initial weight'!$C$5:$C$1749,MATCH(I264, 'Green_rooibos initial weight'!$A$5:$A$1749,0)),"")</f>
        <v>2.286</v>
      </c>
      <c r="L264" s="195">
        <f t="shared" si="28"/>
        <v>1.8492000000000002</v>
      </c>
      <c r="M264" s="195">
        <f>AVERAGE(Ashed_controlls!$K$2:$K$11)</f>
        <v>5.5147656768714146</v>
      </c>
      <c r="N264" s="195">
        <f t="shared" si="24"/>
        <v>1.7472209531032941</v>
      </c>
      <c r="O264" s="195">
        <f t="shared" si="29"/>
        <v>2.0362</v>
      </c>
      <c r="P264" s="195">
        <f>AVERAGE(Ashed_controlls!$K$12:$K$14)</f>
        <v>2.2816647271287041</v>
      </c>
      <c r="Q264" s="195">
        <f t="shared" si="30"/>
        <v>1.9897407428262053</v>
      </c>
      <c r="R264" s="16">
        <f>IF('WetLitterbags placem_collection'!G191="N.A","",'WetLitterbags placem_collection'!G191)</f>
        <v>42815</v>
      </c>
      <c r="S264" s="195">
        <f>IF(IFERROR(INDEX('Both teabags AfterWet'!$C$3:$C$841,MATCH(H264,'Both teabags AfterWet'!$A$3:$A$841,0)),"")="N.A","",(IFERROR(INDEX('Both teabags AfterWet'!$C$3:$C$841,MATCH(H264,'Both teabags AfterWet'!$A$3:$A$841,0)),"")))</f>
        <v>0.80840000000000001</v>
      </c>
      <c r="T264" s="195">
        <f>IFERROR(INDEX('Both teabags AfterWet'!$C$3:$C$841,MATCH(I264,'Both teabags AfterWet'!$A$3:$A$841,0)),"")</f>
        <v>1.7630999999999999</v>
      </c>
      <c r="U264" s="195">
        <f t="shared" si="31"/>
        <v>0.65779999999999994</v>
      </c>
      <c r="V264" s="195">
        <f t="shared" si="31"/>
        <v>1.6124999999999998</v>
      </c>
      <c r="W264" s="195">
        <f>IFERROR(INDEX('Ashed teabags wet'!$K$2:$K$821,MATCH(H264,'Ashed teabags wet'!$A$2:$A$821,0)),"")</f>
        <v>9.3843098311821134</v>
      </c>
      <c r="X264" s="195">
        <f>IFERROR(INDEX('Ashed teabags wet'!$K$2:$K$821,MATCH(I264,'Ashed teabags wet'!$A$2:$A$821,0)),"")</f>
        <v>2.4789291026277223</v>
      </c>
      <c r="Y264" s="195">
        <f t="shared" si="25"/>
        <v>0.59607000993048398</v>
      </c>
      <c r="Z264" s="195">
        <f t="shared" si="25"/>
        <v>1.5725272682201279</v>
      </c>
      <c r="AA264" s="195">
        <f t="shared" si="32"/>
        <v>0.65884680533862339</v>
      </c>
      <c r="AB264" s="195">
        <f t="shared" si="33"/>
        <v>0.43192807190845622</v>
      </c>
      <c r="AC264" s="195">
        <f t="shared" si="26"/>
        <v>0.79031767022397492</v>
      </c>
      <c r="AD264">
        <f t="shared" si="27"/>
        <v>52</v>
      </c>
      <c r="AE264" s="195">
        <f t="shared" si="34"/>
        <v>0.21752160886149241</v>
      </c>
      <c r="AF264" s="195">
        <f t="shared" si="35"/>
        <v>1.2778372268621467E-2</v>
      </c>
      <c r="AG264" s="255" t="str">
        <f>IF(ISNUMBER(SEARCH("C",'WetLitterbags placem_collection'!AD191)),"YES","NO")</f>
        <v>NO</v>
      </c>
      <c r="AH264" s="255" t="str">
        <f>IF(ISNUMBER(SEARCH("H", 'WetLitterbags placem_collection'!AD191)),"YES","NO")</f>
        <v>NO</v>
      </c>
      <c r="AI264" s="255" t="str">
        <f>IF(ISNUMBER(SEARCH("R", 'WetLitterbags placem_collection'!AD191)),"YES","NO")</f>
        <v>NO</v>
      </c>
      <c r="AJ264" s="255" t="str">
        <f>IF(ISNUMBER(SEARCH("C", 'WetLitterbags placem_collection'!AC191)),"YES","NO")</f>
        <v>NO</v>
      </c>
      <c r="AK264" s="255" t="str">
        <f>IF(ISNUMBER(SEARCH("H", 'WetLitterbags placem_collection'!AC191)),"YES","NO")</f>
        <v>NO</v>
      </c>
      <c r="AL264" s="255" t="str">
        <f>IF(ISNUMBER(SEARCH("R", 'WetLitterbags placem_collection'!AC191)),"YES","NO")</f>
        <v>NO</v>
      </c>
    </row>
    <row r="265" spans="2:38">
      <c r="B265" t="str">
        <f>'Final data_for_R_analysis_Wetse'!A191</f>
        <v>Wet</v>
      </c>
      <c r="C265" s="263">
        <f>'Final data_for_R_analysis_Wetse'!B191</f>
        <v>190</v>
      </c>
      <c r="D265" t="s">
        <v>3855</v>
      </c>
      <c r="E265" t="s">
        <v>22</v>
      </c>
      <c r="F265" s="387">
        <v>6</v>
      </c>
      <c r="G265" s="16">
        <f>'WetLitterbags placem_collection'!E192</f>
        <v>42763</v>
      </c>
      <c r="H265" t="str">
        <f>'Final data_for_R_analysis_Wetse'!J191</f>
        <v>G526</v>
      </c>
      <c r="I265" t="str">
        <f>'Final data_for_R_analysis_Wetse'!J411</f>
        <v>R164</v>
      </c>
      <c r="J265">
        <f>IFERROR(INDEX('Green_rooibos initial weight'!$C$5:$C$1749,MATCH(H265, 'Green_rooibos initial weight'!$A$5:$A$1749,0)),"")</f>
        <v>2.0760000000000001</v>
      </c>
      <c r="K265">
        <f>IFERROR(INDEX('Green_rooibos initial weight'!$C$5:$C$1749,MATCH(I265, 'Green_rooibos initial weight'!$A$5:$A$1749,0)),"")</f>
        <v>2.2040000000000002</v>
      </c>
      <c r="L265" s="195">
        <f t="shared" si="28"/>
        <v>1.8262</v>
      </c>
      <c r="M265" s="195">
        <f>AVERAGE(Ashed_controlls!$K$2:$K$11)</f>
        <v>5.5147656768714146</v>
      </c>
      <c r="N265" s="195">
        <f t="shared" si="24"/>
        <v>1.7254893492089742</v>
      </c>
      <c r="O265" s="195">
        <f t="shared" si="29"/>
        <v>1.9542000000000002</v>
      </c>
      <c r="P265" s="195">
        <f>AVERAGE(Ashed_controlls!$K$12:$K$14)</f>
        <v>2.2816647271287041</v>
      </c>
      <c r="Q265" s="195">
        <f t="shared" si="30"/>
        <v>1.909611707902451</v>
      </c>
      <c r="R265" s="16">
        <f>IF('WetLitterbags placem_collection'!G192="N.A","",'WetLitterbags placem_collection'!G192)</f>
        <v>42815</v>
      </c>
      <c r="S265" s="195">
        <f>IF(IFERROR(INDEX('Both teabags AfterWet'!$C$3:$C$841,MATCH(H265,'Both teabags AfterWet'!$A$3:$A$841,0)),"")="N.A","",(IFERROR(INDEX('Both teabags AfterWet'!$C$3:$C$841,MATCH(H265,'Both teabags AfterWet'!$A$3:$A$841,0)),"")))</f>
        <v>0.61960000000000004</v>
      </c>
      <c r="T265" s="195">
        <f>IFERROR(INDEX('Both teabags AfterWet'!$C$3:$C$841,MATCH(I265,'Both teabags AfterWet'!$A$3:$A$841,0)),"")</f>
        <v>1.6649</v>
      </c>
      <c r="U265" s="195">
        <f t="shared" si="31"/>
        <v>0.46900000000000003</v>
      </c>
      <c r="V265" s="195">
        <f t="shared" si="31"/>
        <v>1.5143</v>
      </c>
      <c r="W265" s="195">
        <f>IFERROR(INDEX('Ashed teabags wet'!$K$2:$K$821,MATCH(H265,'Ashed teabags wet'!$A$2:$A$821,0)),"")</f>
        <v>9.78043912175667</v>
      </c>
      <c r="X265" s="195">
        <f>IFERROR(INDEX('Ashed teabags wet'!$K$2:$K$821,MATCH(I265,'Ashed teabags wet'!$A$2:$A$821,0)),"")</f>
        <v>2.591687041564656</v>
      </c>
      <c r="Y265" s="195">
        <f t="shared" si="25"/>
        <v>0.42312974051896124</v>
      </c>
      <c r="Z265" s="195">
        <f t="shared" si="25"/>
        <v>1.4750540831295864</v>
      </c>
      <c r="AA265" s="195">
        <f t="shared" si="32"/>
        <v>0.75477696184393195</v>
      </c>
      <c r="AB265" s="195">
        <f t="shared" si="33"/>
        <v>0.49481815075754215</v>
      </c>
      <c r="AC265" s="195">
        <f t="shared" si="26"/>
        <v>0.77243665663833305</v>
      </c>
      <c r="AD265">
        <f t="shared" si="27"/>
        <v>52</v>
      </c>
      <c r="AE265" s="195">
        <f t="shared" si="34"/>
        <v>0.10359030659865565</v>
      </c>
      <c r="AF265" s="195">
        <f t="shared" si="35"/>
        <v>1.1845918937224963E-2</v>
      </c>
      <c r="AG265" s="255" t="str">
        <f>IF(ISNUMBER(SEARCH("C",'WetLitterbags placem_collection'!AD192)),"YES","NO")</f>
        <v>NO</v>
      </c>
      <c r="AH265" s="255" t="str">
        <f>IF(ISNUMBER(SEARCH("H", 'WetLitterbags placem_collection'!AD192)),"YES","NO")</f>
        <v>NO</v>
      </c>
      <c r="AI265" s="255" t="str">
        <f>IF(ISNUMBER(SEARCH("R", 'WetLitterbags placem_collection'!AD192)),"YES","NO")</f>
        <v>NO</v>
      </c>
      <c r="AJ265" s="255" t="str">
        <f>IF(ISNUMBER(SEARCH("C", 'WetLitterbags placem_collection'!AC192)),"YES","NO")</f>
        <v>NO</v>
      </c>
      <c r="AK265" s="255" t="str">
        <f>IF(ISNUMBER(SEARCH("H", 'WetLitterbags placem_collection'!AC192)),"YES","NO")</f>
        <v>NO</v>
      </c>
      <c r="AL265" s="255" t="str">
        <f>IF(ISNUMBER(SEARCH("R", 'WetLitterbags placem_collection'!AC192)),"YES","NO")</f>
        <v>NO</v>
      </c>
    </row>
    <row r="266" spans="2:38">
      <c r="B266" t="str">
        <f>'Final data_for_R_analysis_Wetse'!A192</f>
        <v>Wet</v>
      </c>
      <c r="C266" s="263">
        <f>'Final data_for_R_analysis_Wetse'!B192</f>
        <v>191</v>
      </c>
      <c r="D266" t="s">
        <v>3855</v>
      </c>
      <c r="E266" t="s">
        <v>22</v>
      </c>
      <c r="F266" s="387">
        <v>7</v>
      </c>
      <c r="G266" s="16">
        <f>'WetLitterbags placem_collection'!E193</f>
        <v>42763</v>
      </c>
      <c r="H266" t="str">
        <f>'Final data_for_R_analysis_Wetse'!J192</f>
        <v>G522</v>
      </c>
      <c r="I266" t="str">
        <f>'Final data_for_R_analysis_Wetse'!J412</f>
        <v>R336</v>
      </c>
      <c r="J266">
        <f>IFERROR(INDEX('Green_rooibos initial weight'!$C$5:$C$1749,MATCH(H266, 'Green_rooibos initial weight'!$A$5:$A$1749,0)),"")</f>
        <v>1.821</v>
      </c>
      <c r="K266">
        <f>IFERROR(INDEX('Green_rooibos initial weight'!$C$5:$C$1749,MATCH(I266, 'Green_rooibos initial weight'!$A$5:$A$1749,0)),"")</f>
        <v>2.11</v>
      </c>
      <c r="L266" s="195">
        <f t="shared" si="28"/>
        <v>1.5711999999999999</v>
      </c>
      <c r="M266" s="195">
        <f>AVERAGE(Ashed_controlls!$K$2:$K$11)</f>
        <v>5.5147656768714146</v>
      </c>
      <c r="N266" s="195">
        <f t="shared" si="24"/>
        <v>1.4845520016849962</v>
      </c>
      <c r="O266" s="195">
        <f t="shared" si="29"/>
        <v>1.8601999999999999</v>
      </c>
      <c r="P266" s="195">
        <f>AVERAGE(Ashed_controlls!$K$12:$K$14)</f>
        <v>2.2816647271287041</v>
      </c>
      <c r="Q266" s="195">
        <f t="shared" si="30"/>
        <v>1.8177564727459516</v>
      </c>
      <c r="R266" s="16">
        <f>IF('WetLitterbags placem_collection'!G193="N.A","",'WetLitterbags placem_collection'!G193)</f>
        <v>42815</v>
      </c>
      <c r="S266" s="195">
        <f>IF(IFERROR(INDEX('Both teabags AfterWet'!$C$3:$C$841,MATCH(H266,'Both teabags AfterWet'!$A$3:$A$841,0)),"")="N.A","",(IFERROR(INDEX('Both teabags AfterWet'!$C$3:$C$841,MATCH(H266,'Both teabags AfterWet'!$A$3:$A$841,0)),"")))</f>
        <v>0.628</v>
      </c>
      <c r="T266" s="195">
        <f>IFERROR(INDEX('Both teabags AfterWet'!$C$3:$C$841,MATCH(I266,'Both teabags AfterWet'!$A$3:$A$841,0)),"")</f>
        <v>1.671</v>
      </c>
      <c r="U266" s="195">
        <f t="shared" si="31"/>
        <v>0.47739999999999999</v>
      </c>
      <c r="V266" s="195">
        <f t="shared" si="31"/>
        <v>1.5204</v>
      </c>
      <c r="W266" s="195">
        <f>IFERROR(INDEX('Ashed teabags wet'!$K$2:$K$821,MATCH(H266,'Ashed teabags wet'!$A$2:$A$821,0)),"")</f>
        <v>9.2361457813275862</v>
      </c>
      <c r="X266" s="195">
        <f>IFERROR(INDEX('Ashed teabags wet'!$K$2:$K$821,MATCH(I266,'Ashed teabags wet'!$A$2:$A$821,0)),"")</f>
        <v>1.9089574155652842</v>
      </c>
      <c r="Y266" s="195">
        <f t="shared" si="25"/>
        <v>0.43330664003994213</v>
      </c>
      <c r="Z266" s="195">
        <f t="shared" si="25"/>
        <v>1.4913762114537454</v>
      </c>
      <c r="AA266" s="195">
        <f t="shared" si="32"/>
        <v>0.7081229626526182</v>
      </c>
      <c r="AB266" s="195">
        <f t="shared" si="33"/>
        <v>0.46423263109767848</v>
      </c>
      <c r="AC266" s="195">
        <f t="shared" si="26"/>
        <v>0.82044885209559038</v>
      </c>
      <c r="AD266">
        <f t="shared" si="27"/>
        <v>52</v>
      </c>
      <c r="AE266" s="195">
        <f t="shared" si="34"/>
        <v>0.15899885670710423</v>
      </c>
      <c r="AF266" s="195">
        <f t="shared" si="35"/>
        <v>9.4041314280248964E-3</v>
      </c>
      <c r="AG266" s="255" t="str">
        <f>IF(ISNUMBER(SEARCH("C",'WetLitterbags placem_collection'!AD193)),"YES","NO")</f>
        <v>NO</v>
      </c>
      <c r="AH266" s="255" t="str">
        <f>IF(ISNUMBER(SEARCH("H", 'WetLitterbags placem_collection'!AD193)),"YES","NO")</f>
        <v>NO</v>
      </c>
      <c r="AI266" s="255" t="str">
        <f>IF(ISNUMBER(SEARCH("R", 'WetLitterbags placem_collection'!AD193)),"YES","NO")</f>
        <v>NO</v>
      </c>
      <c r="AJ266" s="255" t="str">
        <f>IF(ISNUMBER(SEARCH("C", 'WetLitterbags placem_collection'!AC193)),"YES","NO")</f>
        <v>NO</v>
      </c>
      <c r="AK266" s="255" t="str">
        <f>IF(ISNUMBER(SEARCH("H", 'WetLitterbags placem_collection'!AC193)),"YES","NO")</f>
        <v>NO</v>
      </c>
      <c r="AL266" s="255" t="str">
        <f>IF(ISNUMBER(SEARCH("R", 'WetLitterbags placem_collection'!AC193)),"YES","NO")</f>
        <v>NO</v>
      </c>
    </row>
    <row r="267" spans="2:38">
      <c r="B267" t="str">
        <f>'Final data_for_R_analysis_Wetse'!A193</f>
        <v>Wet</v>
      </c>
      <c r="C267" s="263">
        <f>'Final data_for_R_analysis_Wetse'!B193</f>
        <v>192</v>
      </c>
      <c r="D267" t="s">
        <v>3855</v>
      </c>
      <c r="E267" t="s">
        <v>22</v>
      </c>
      <c r="F267" s="387">
        <v>8</v>
      </c>
      <c r="G267" s="16">
        <f>'WetLitterbags placem_collection'!E194</f>
        <v>42763</v>
      </c>
      <c r="H267" t="str">
        <f>'Final data_for_R_analysis_Wetse'!J193</f>
        <v>G591</v>
      </c>
      <c r="I267" t="str">
        <f>'Final data_for_R_analysis_Wetse'!J413</f>
        <v>R263</v>
      </c>
      <c r="J267">
        <f>IFERROR(INDEX('Green_rooibos initial weight'!$C$5:$C$1749,MATCH(H267, 'Green_rooibos initial weight'!$A$5:$A$1749,0)),"")</f>
        <v>2.0920000000000001</v>
      </c>
      <c r="K267">
        <f>IFERROR(INDEX('Green_rooibos initial weight'!$C$5:$C$1749,MATCH(I267, 'Green_rooibos initial weight'!$A$5:$A$1749,0)),"")</f>
        <v>2.1850000000000001</v>
      </c>
      <c r="L267" s="195">
        <f t="shared" si="28"/>
        <v>1.8422000000000001</v>
      </c>
      <c r="M267" s="195">
        <f>AVERAGE(Ashed_controlls!$K$2:$K$11)</f>
        <v>5.5147656768714146</v>
      </c>
      <c r="N267" s="195">
        <f t="shared" si="24"/>
        <v>1.7406069867006748</v>
      </c>
      <c r="O267" s="195">
        <f t="shared" si="29"/>
        <v>1.9352</v>
      </c>
      <c r="P267" s="195">
        <f>AVERAGE(Ashed_controlls!$K$12:$K$14)</f>
        <v>2.2816647271287041</v>
      </c>
      <c r="Q267" s="195">
        <f t="shared" si="30"/>
        <v>1.8910452242006053</v>
      </c>
      <c r="R267" s="16">
        <f>IF('WetLitterbags placem_collection'!G194="N.A","",'WetLitterbags placem_collection'!G194)</f>
        <v>42815</v>
      </c>
      <c r="S267" s="195">
        <f>IF(IFERROR(INDEX('Both teabags AfterWet'!$C$3:$C$841,MATCH(H267,'Both teabags AfterWet'!$A$3:$A$841,0)),"")="N.A","",(IFERROR(INDEX('Both teabags AfterWet'!$C$3:$C$841,MATCH(H267,'Both teabags AfterWet'!$A$3:$A$841,0)),"")))</f>
        <v>0.66100000000000003</v>
      </c>
      <c r="T267" s="195">
        <f>IFERROR(INDEX('Both teabags AfterWet'!$C$3:$C$841,MATCH(I267,'Both teabags AfterWet'!$A$3:$A$841,0)),"")</f>
        <v>1.0369999999999999</v>
      </c>
      <c r="U267" s="195">
        <f t="shared" si="31"/>
        <v>0.51039999999999996</v>
      </c>
      <c r="V267" s="195">
        <f t="shared" si="31"/>
        <v>0.88639999999999985</v>
      </c>
      <c r="W267" s="195">
        <f>IFERROR(INDEX('Ashed teabags wet'!$K$2:$K$821,MATCH(H267,'Ashed teabags wet'!$A$2:$A$821,0)),"")</f>
        <v>10.322580645161365</v>
      </c>
      <c r="X267" s="195">
        <f>IFERROR(INDEX('Ashed teabags wet'!$K$2:$K$821,MATCH(I267,'Ashed teabags wet'!$A$2:$A$821,0)),"")</f>
        <v>44.460570875664885</v>
      </c>
      <c r="Y267" s="195">
        <f t="shared" si="25"/>
        <v>0.45771354838709638</v>
      </c>
      <c r="Z267" s="195">
        <f t="shared" si="25"/>
        <v>0.49230149975810639</v>
      </c>
      <c r="AA267" s="195">
        <f t="shared" si="32"/>
        <v>0.73703796900488516</v>
      </c>
      <c r="AB267" s="195">
        <f t="shared" si="33"/>
        <v>0.48318878728111242</v>
      </c>
      <c r="AC267" s="195">
        <f t="shared" si="26"/>
        <v>0.26033301237743545</v>
      </c>
      <c r="AD267">
        <f t="shared" si="27"/>
        <v>52</v>
      </c>
      <c r="AE267" s="195">
        <f t="shared" si="34"/>
        <v>0.12465799405595579</v>
      </c>
      <c r="AF267" s="195" t="str">
        <f t="shared" si="35"/>
        <v/>
      </c>
      <c r="AG267" s="255" t="str">
        <f>IF(ISNUMBER(SEARCH("C",'WetLitterbags placem_collection'!AD194)),"YES","NO")</f>
        <v>NO</v>
      </c>
      <c r="AH267" s="255" t="str">
        <f>IF(ISNUMBER(SEARCH("H", 'WetLitterbags placem_collection'!AD194)),"YES","NO")</f>
        <v>NO</v>
      </c>
      <c r="AI267" s="255" t="str">
        <f>IF(ISNUMBER(SEARCH("R", 'WetLitterbags placem_collection'!AD194)),"YES","NO")</f>
        <v>NO</v>
      </c>
      <c r="AJ267" s="255" t="str">
        <f>IF(ISNUMBER(SEARCH("C", 'WetLitterbags placem_collection'!AC194)),"YES","NO")</f>
        <v>NO</v>
      </c>
      <c r="AK267" s="255" t="str">
        <f>IF(ISNUMBER(SEARCH("H", 'WetLitterbags placem_collection'!AC194)),"YES","NO")</f>
        <v>NO</v>
      </c>
      <c r="AL267" s="255" t="str">
        <f>IF(ISNUMBER(SEARCH("R", 'WetLitterbags placem_collection'!AC194)),"YES","NO")</f>
        <v>NO</v>
      </c>
    </row>
    <row r="268" spans="2:38">
      <c r="B268" t="str">
        <f>'Final data_for_R_analysis_Wetse'!A194</f>
        <v>Wet</v>
      </c>
      <c r="C268" s="263">
        <f>'Final data_for_R_analysis_Wetse'!B194</f>
        <v>193</v>
      </c>
      <c r="D268" t="s">
        <v>2445</v>
      </c>
      <c r="E268" t="s">
        <v>22</v>
      </c>
      <c r="F268" s="387">
        <v>1</v>
      </c>
      <c r="G268" s="16">
        <f>'WetLitterbags placem_collection'!E195</f>
        <v>42769</v>
      </c>
      <c r="H268" t="str">
        <f>'Final data_for_R_analysis_Wetse'!J194</f>
        <v>G863</v>
      </c>
      <c r="I268" t="str">
        <f>'Final data_for_R_analysis_Wetse'!J414</f>
        <v>R125</v>
      </c>
      <c r="J268">
        <f>IFERROR(INDEX('Green_rooibos initial weight'!$C$5:$C$1749,MATCH(H268, 'Green_rooibos initial weight'!$A$5:$A$1749,0)),"")</f>
        <v>2.0230000000000001</v>
      </c>
      <c r="K268">
        <f>IFERROR(INDEX('Green_rooibos initial weight'!$C$5:$C$1749,MATCH(I268, 'Green_rooibos initial weight'!$A$5:$A$1749,0)),"")</f>
        <v>2.2040000000000002</v>
      </c>
      <c r="L268" s="195">
        <f t="shared" si="28"/>
        <v>1.7732000000000001</v>
      </c>
      <c r="M268" s="195">
        <f>AVERAGE(Ashed_controlls!$K$2:$K$11)</f>
        <v>5.5147656768714146</v>
      </c>
      <c r="N268" s="195">
        <f t="shared" ref="N268:N331" si="36">IFERROR(L268-(M268/100)*L268,"")</f>
        <v>1.6754121750177162</v>
      </c>
      <c r="O268" s="195">
        <f t="shared" si="29"/>
        <v>1.9542000000000002</v>
      </c>
      <c r="P268" s="195">
        <f>AVERAGE(Ashed_controlls!$K$12:$K$14)</f>
        <v>2.2816647271287041</v>
      </c>
      <c r="Q268" s="195">
        <f t="shared" si="30"/>
        <v>1.909611707902451</v>
      </c>
      <c r="R268" s="16">
        <f>IF('WetLitterbags placem_collection'!G195="N.A","",'WetLitterbags placem_collection'!G195)</f>
        <v>42813</v>
      </c>
      <c r="S268" s="195">
        <f>IF(IFERROR(INDEX('Both teabags AfterWet'!$C$3:$C$841,MATCH(H268,'Both teabags AfterWet'!$A$3:$A$841,0)),"")="N.A","",(IFERROR(INDEX('Both teabags AfterWet'!$C$3:$C$841,MATCH(H268,'Both teabags AfterWet'!$A$3:$A$841,0)),"")))</f>
        <v>0.64890000000000003</v>
      </c>
      <c r="T268" s="195">
        <f>IFERROR(INDEX('Both teabags AfterWet'!$C$3:$C$841,MATCH(I268,'Both teabags AfterWet'!$A$3:$A$841,0)),"")</f>
        <v>1.2266999999999999</v>
      </c>
      <c r="U268" s="195">
        <f t="shared" si="31"/>
        <v>0.49830000000000002</v>
      </c>
      <c r="V268" s="195">
        <f t="shared" si="31"/>
        <v>1.0760999999999998</v>
      </c>
      <c r="W268" s="195">
        <f>IFERROR(INDEX('Ashed teabags wet'!$K$2:$K$821,MATCH(H268,'Ashed teabags wet'!$A$2:$A$821,0)),"")</f>
        <v>8.2238442822379554</v>
      </c>
      <c r="X268" s="195">
        <f>IFERROR(INDEX('Ashed teabags wet'!$K$2:$K$821,MATCH(I268,'Ashed teabags wet'!$A$2:$A$821,0)),"")</f>
        <v>4.8379052369080275</v>
      </c>
      <c r="Y268" s="195">
        <f t="shared" ref="Y268:Z331" si="37">IFERROR(U268-(W268/100)*U268,"")</f>
        <v>0.45732058394160829</v>
      </c>
      <c r="Z268" s="195">
        <f t="shared" si="37"/>
        <v>1.0240393017456326</v>
      </c>
      <c r="AA268" s="195">
        <f t="shared" si="32"/>
        <v>0.72703995425079659</v>
      </c>
      <c r="AB268" s="195">
        <f t="shared" si="33"/>
        <v>0.47663426929505914</v>
      </c>
      <c r="AC268" s="195">
        <f t="shared" ref="AC268:AC331" si="38">IFERROR(Z268/Q268,"")</f>
        <v>0.53625524891154663</v>
      </c>
      <c r="AD268">
        <f t="shared" ref="AD268:AD331" si="39">IF((R268-G268)&gt;0,(IFERROR(R268-G268,"")),"")</f>
        <v>44</v>
      </c>
      <c r="AE268" s="195">
        <f t="shared" si="34"/>
        <v>0.13653212084228428</v>
      </c>
      <c r="AF268" s="195">
        <f t="shared" si="35"/>
        <v>8.2053068791122508E-2</v>
      </c>
      <c r="AG268" s="255" t="str">
        <f>IF(ISNUMBER(SEARCH("C",'WetLitterbags placem_collection'!AD195)),"YES","NO")</f>
        <v>NO</v>
      </c>
      <c r="AH268" s="255" t="str">
        <f>IF(ISNUMBER(SEARCH("H", 'WetLitterbags placem_collection'!AD195)),"YES","NO")</f>
        <v>NO</v>
      </c>
      <c r="AI268" s="255" t="str">
        <f>IF(ISNUMBER(SEARCH("R", 'WetLitterbags placem_collection'!AD195)),"YES","NO")</f>
        <v>NO</v>
      </c>
      <c r="AJ268" s="255" t="str">
        <f>IF(ISNUMBER(SEARCH("C", 'WetLitterbags placem_collection'!AC195)),"YES","NO")</f>
        <v>NO</v>
      </c>
      <c r="AK268" s="255" t="str">
        <f>IF(ISNUMBER(SEARCH("H", 'WetLitterbags placem_collection'!AC195)),"YES","NO")</f>
        <v>NO</v>
      </c>
      <c r="AL268" s="255" t="str">
        <f>IF(ISNUMBER(SEARCH("R", 'WetLitterbags placem_collection'!AC195)),"YES","NO")</f>
        <v>NO</v>
      </c>
    </row>
    <row r="269" spans="2:38">
      <c r="B269" t="str">
        <f>'Final data_for_R_analysis_Wetse'!A195</f>
        <v>Wet</v>
      </c>
      <c r="C269" s="263">
        <f>'Final data_for_R_analysis_Wetse'!B195</f>
        <v>194</v>
      </c>
      <c r="D269" t="s">
        <v>2438</v>
      </c>
      <c r="E269" t="s">
        <v>22</v>
      </c>
      <c r="F269" s="387">
        <v>2</v>
      </c>
      <c r="G269" s="16">
        <f>'WetLitterbags placem_collection'!E196</f>
        <v>42769</v>
      </c>
      <c r="H269" t="str">
        <f>'Final data_for_R_analysis_Wetse'!J195</f>
        <v>G615</v>
      </c>
      <c r="I269" t="str">
        <f>'Final data_for_R_analysis_Wetse'!J415</f>
        <v>R289</v>
      </c>
      <c r="J269">
        <f>IFERROR(INDEX('Green_rooibos initial weight'!$C$5:$C$1749,MATCH(H269, 'Green_rooibos initial weight'!$A$5:$A$1749,0)),"")</f>
        <v>1.9630000000000001</v>
      </c>
      <c r="K269">
        <f>IFERROR(INDEX('Green_rooibos initial weight'!$C$5:$C$1749,MATCH(I269, 'Green_rooibos initial weight'!$A$5:$A$1749,0)),"")</f>
        <v>2.2160000000000002</v>
      </c>
      <c r="L269" s="195">
        <f t="shared" ref="L269:L332" si="40">IF(J269&gt;0,(J269*$F$31-($F$29+$F$30)),"")</f>
        <v>1.7132000000000001</v>
      </c>
      <c r="M269" s="195">
        <f>AVERAGE(Ashed_controlls!$K$2:$K$11)</f>
        <v>5.5147656768714146</v>
      </c>
      <c r="N269" s="195">
        <f t="shared" si="36"/>
        <v>1.618721034423839</v>
      </c>
      <c r="O269" s="195">
        <f t="shared" ref="O269:O332" si="41">IF(K269&gt;0,(K269*$F$32-($F$29+$F$30)),"")</f>
        <v>1.9662000000000002</v>
      </c>
      <c r="P269" s="195">
        <f>AVERAGE(Ashed_controlls!$K$12:$K$14)</f>
        <v>2.2816647271287041</v>
      </c>
      <c r="Q269" s="195">
        <f t="shared" ref="Q269:Q332" si="42">IFERROR(O269-(P269/100)*O269,"")</f>
        <v>1.9213379081351956</v>
      </c>
      <c r="R269" s="16">
        <f>IF('WetLitterbags placem_collection'!G196="N.A","",'WetLitterbags placem_collection'!G196)</f>
        <v>42813</v>
      </c>
      <c r="S269" s="195" t="str">
        <f>IF(IFERROR(INDEX('Both teabags AfterWet'!$C$3:$C$841,MATCH(H269,'Both teabags AfterWet'!$A$3:$A$841,0)),"")="N.A","",(IFERROR(INDEX('Both teabags AfterWet'!$C$3:$C$841,MATCH(H269,'Both teabags AfterWet'!$A$3:$A$841,0)),"")))</f>
        <v/>
      </c>
      <c r="T269" s="195">
        <f>IFERROR(INDEX('Both teabags AfterWet'!$C$3:$C$841,MATCH(I269,'Both teabags AfterWet'!$A$3:$A$841,0)),"")</f>
        <v>1.512</v>
      </c>
      <c r="U269" s="195" t="str">
        <f t="shared" ref="U269:V332" si="43">IFERROR(IF(S269&gt;0,S269-($F$29),""),"")</f>
        <v/>
      </c>
      <c r="V269" s="195">
        <f t="shared" si="43"/>
        <v>1.3613999999999999</v>
      </c>
      <c r="W269" s="195">
        <f>IFERROR(INDEX('Ashed teabags wet'!$K$2:$K$821,MATCH(H269,'Ashed teabags wet'!$A$2:$A$821,0)),"")</f>
        <v>11.187777230163009</v>
      </c>
      <c r="X269" s="195">
        <f>IFERROR(INDEX('Ashed teabags wet'!$K$2:$K$821,MATCH(I269,'Ashed teabags wet'!$A$2:$A$821,0)),"")</f>
        <v>3.5180722891571889</v>
      </c>
      <c r="Y269" s="195" t="str">
        <f t="shared" si="37"/>
        <v/>
      </c>
      <c r="Z269" s="195">
        <f t="shared" si="37"/>
        <v>1.3135049638554139</v>
      </c>
      <c r="AA269" s="195" t="str">
        <f t="shared" ref="AA269:AA332" si="44">IFERROR(1-Y269/N269,"")</f>
        <v/>
      </c>
      <c r="AB269" s="195" t="str">
        <f t="shared" ref="AB269:AB332" si="45">IFERROR($F$26*(1-AE269),"")</f>
        <v/>
      </c>
      <c r="AC269" s="195">
        <f t="shared" si="38"/>
        <v>0.68364078920936422</v>
      </c>
      <c r="AD269">
        <f t="shared" si="39"/>
        <v>44</v>
      </c>
      <c r="AE269" s="195" t="str">
        <f t="shared" ref="AE269:AE332" si="46">IFERROR(1-(AA269/$F$25),"")</f>
        <v/>
      </c>
      <c r="AF269" s="195" t="str">
        <f t="shared" ref="AF269:AF332" si="47">IFERROR(LN(AB269/(AC269-(1-AB269)))/AD269,"")</f>
        <v/>
      </c>
      <c r="AG269" s="255" t="str">
        <f>IF(ISNUMBER(SEARCH("C",'WetLitterbags placem_collection'!AD196)),"YES","NO")</f>
        <v>NO</v>
      </c>
      <c r="AH269" s="255" t="str">
        <f>IF(ISNUMBER(SEARCH("H", 'WetLitterbags placem_collection'!AD196)),"YES","NO")</f>
        <v>NO</v>
      </c>
      <c r="AI269" s="255" t="str">
        <f>IF(ISNUMBER(SEARCH("R", 'WetLitterbags placem_collection'!AD196)),"YES","NO")</f>
        <v>NO</v>
      </c>
      <c r="AJ269" s="255" t="str">
        <f>IF(ISNUMBER(SEARCH("C", 'WetLitterbags placem_collection'!AC196)),"YES","NO")</f>
        <v>NO</v>
      </c>
      <c r="AK269" s="255" t="str">
        <f>IF(ISNUMBER(SEARCH("H", 'WetLitterbags placem_collection'!AC196)),"YES","NO")</f>
        <v>NO</v>
      </c>
      <c r="AL269" s="255" t="str">
        <f>IF(ISNUMBER(SEARCH("R", 'WetLitterbags placem_collection'!AC196)),"YES","NO")</f>
        <v>NO</v>
      </c>
    </row>
    <row r="270" spans="2:38">
      <c r="B270" t="str">
        <f>'Final data_for_R_analysis_Wetse'!A196</f>
        <v>Wet</v>
      </c>
      <c r="C270" s="263">
        <f>'Final data_for_R_analysis_Wetse'!B196</f>
        <v>195</v>
      </c>
      <c r="D270" t="s">
        <v>2430</v>
      </c>
      <c r="E270" t="s">
        <v>22</v>
      </c>
      <c r="F270" s="387">
        <v>3</v>
      </c>
      <c r="G270" s="16">
        <f>'WetLitterbags placem_collection'!E197</f>
        <v>42769</v>
      </c>
      <c r="H270" t="str">
        <f>'Final data_for_R_analysis_Wetse'!J196</f>
        <v>G821</v>
      </c>
      <c r="I270" t="str">
        <f>'Final data_for_R_analysis_Wetse'!J416</f>
        <v>R378</v>
      </c>
      <c r="J270">
        <f>IFERROR(INDEX('Green_rooibos initial weight'!$C$5:$C$1749,MATCH(H270, 'Green_rooibos initial weight'!$A$5:$A$1749,0)),"")</f>
        <v>1.9990000000000001</v>
      </c>
      <c r="K270">
        <f>IFERROR(INDEX('Green_rooibos initial weight'!$C$5:$C$1749,MATCH(I270, 'Green_rooibos initial weight'!$A$5:$A$1749,0)),"")</f>
        <v>2.2320000000000002</v>
      </c>
      <c r="L270" s="195">
        <f t="shared" si="40"/>
        <v>1.7492000000000001</v>
      </c>
      <c r="M270" s="195">
        <f>AVERAGE(Ashed_controlls!$K$2:$K$11)</f>
        <v>5.5147656768714146</v>
      </c>
      <c r="N270" s="195">
        <f t="shared" si="36"/>
        <v>1.6527357187801652</v>
      </c>
      <c r="O270" s="195">
        <f t="shared" si="41"/>
        <v>1.9822000000000002</v>
      </c>
      <c r="P270" s="195">
        <f>AVERAGE(Ashed_controlls!$K$12:$K$14)</f>
        <v>2.2816647271287041</v>
      </c>
      <c r="Q270" s="195">
        <f t="shared" si="42"/>
        <v>1.936972841778855</v>
      </c>
      <c r="R270" s="16">
        <f>IF('WetLitterbags placem_collection'!G197="N.A","",'WetLitterbags placem_collection'!G197)</f>
        <v>42814</v>
      </c>
      <c r="S270" s="195">
        <f>IF(IFERROR(INDEX('Both teabags AfterWet'!$C$3:$C$841,MATCH(H270,'Both teabags AfterWet'!$A$3:$A$841,0)),"")="N.A","",(IFERROR(INDEX('Both teabags AfterWet'!$C$3:$C$841,MATCH(H270,'Both teabags AfterWet'!$A$3:$A$841,0)),"")))</f>
        <v>0.7641</v>
      </c>
      <c r="T270" s="195">
        <f>IFERROR(INDEX('Both teabags AfterWet'!$C$3:$C$841,MATCH(I270,'Both teabags AfterWet'!$A$3:$A$841,0)),"")</f>
        <v>1.5296000000000001</v>
      </c>
      <c r="U270" s="195">
        <f t="shared" si="43"/>
        <v>0.61349999999999993</v>
      </c>
      <c r="V270" s="195">
        <f t="shared" si="43"/>
        <v>1.379</v>
      </c>
      <c r="W270" s="195">
        <f>IFERROR(INDEX('Ashed teabags wet'!$K$2:$K$821,MATCH(H270,'Ashed teabags wet'!$A$2:$A$821,0)),"")</f>
        <v>15.097159940208879</v>
      </c>
      <c r="X270" s="195">
        <f>IFERROR(INDEX('Ashed teabags wet'!$K$2:$K$821,MATCH(I270,'Ashed teabags wet'!$A$2:$A$821,0)),"")</f>
        <v>1.2339585389935566</v>
      </c>
      <c r="Y270" s="195">
        <f t="shared" si="37"/>
        <v>0.52087892376681844</v>
      </c>
      <c r="Z270" s="195">
        <f t="shared" si="37"/>
        <v>1.3619837117472788</v>
      </c>
      <c r="AA270" s="195">
        <f t="shared" si="44"/>
        <v>0.68483834538817634</v>
      </c>
      <c r="AB270" s="195">
        <f t="shared" si="45"/>
        <v>0.44896765635899449</v>
      </c>
      <c r="AC270" s="195">
        <f t="shared" si="38"/>
        <v>0.70315064949309036</v>
      </c>
      <c r="AD270">
        <f t="shared" si="39"/>
        <v>45</v>
      </c>
      <c r="AE270" s="195">
        <f t="shared" si="46"/>
        <v>0.186652796451097</v>
      </c>
      <c r="AF270" s="195">
        <f t="shared" si="47"/>
        <v>2.4050940094045358E-2</v>
      </c>
      <c r="AG270" s="255" t="str">
        <f>IF(ISNUMBER(SEARCH("C",'WetLitterbags placem_collection'!AD197)),"YES","NO")</f>
        <v>NO</v>
      </c>
      <c r="AH270" s="255" t="str">
        <f>IF(ISNUMBER(SEARCH("H", 'WetLitterbags placem_collection'!AD197)),"YES","NO")</f>
        <v>NO</v>
      </c>
      <c r="AI270" s="255" t="str">
        <f>IF(ISNUMBER(SEARCH("R", 'WetLitterbags placem_collection'!AD197)),"YES","NO")</f>
        <v>NO</v>
      </c>
      <c r="AJ270" s="255" t="str">
        <f>IF(ISNUMBER(SEARCH("C", 'WetLitterbags placem_collection'!AC197)),"YES","NO")</f>
        <v>NO</v>
      </c>
      <c r="AK270" s="255" t="str">
        <f>IF(ISNUMBER(SEARCH("H", 'WetLitterbags placem_collection'!AC197)),"YES","NO")</f>
        <v>NO</v>
      </c>
      <c r="AL270" s="255" t="str">
        <f>IF(ISNUMBER(SEARCH("R", 'WetLitterbags placem_collection'!AC197)),"YES","NO")</f>
        <v>NO</v>
      </c>
    </row>
    <row r="271" spans="2:38">
      <c r="B271" t="str">
        <f>'Final data_for_R_analysis_Wetse'!A197</f>
        <v>Wet</v>
      </c>
      <c r="C271" s="263">
        <f>'Final data_for_R_analysis_Wetse'!B197</f>
        <v>196</v>
      </c>
      <c r="D271" t="s">
        <v>2421</v>
      </c>
      <c r="E271" t="s">
        <v>22</v>
      </c>
      <c r="F271" s="387">
        <v>4</v>
      </c>
      <c r="G271" s="16">
        <f>'WetLitterbags placem_collection'!E198</f>
        <v>42769</v>
      </c>
      <c r="H271" t="str">
        <f>'Final data_for_R_analysis_Wetse'!J197</f>
        <v>G754</v>
      </c>
      <c r="I271" t="str">
        <f>'Final data_for_R_analysis_Wetse'!J417</f>
        <v>R375</v>
      </c>
      <c r="J271">
        <f>IFERROR(INDEX('Green_rooibos initial weight'!$C$5:$C$1749,MATCH(H271, 'Green_rooibos initial weight'!$A$5:$A$1749,0)),"")</f>
        <v>2.0609999999999999</v>
      </c>
      <c r="K271">
        <f>IFERROR(INDEX('Green_rooibos initial weight'!$C$5:$C$1749,MATCH(I271, 'Green_rooibos initial weight'!$A$5:$A$1749,0)),"")</f>
        <v>2.23</v>
      </c>
      <c r="L271" s="195">
        <f t="shared" si="40"/>
        <v>1.8111999999999999</v>
      </c>
      <c r="M271" s="195">
        <f>AVERAGE(Ashed_controlls!$K$2:$K$11)</f>
        <v>5.5147656768714146</v>
      </c>
      <c r="N271" s="195">
        <f t="shared" si="36"/>
        <v>1.7113165640605048</v>
      </c>
      <c r="O271" s="195">
        <f t="shared" si="41"/>
        <v>1.9802</v>
      </c>
      <c r="P271" s="195">
        <f>AVERAGE(Ashed_controlls!$K$12:$K$14)</f>
        <v>2.2816647271287041</v>
      </c>
      <c r="Q271" s="195">
        <f t="shared" si="42"/>
        <v>1.9350184750733974</v>
      </c>
      <c r="R271" s="16">
        <f>IF('WetLitterbags placem_collection'!G198="N.A","",'WetLitterbags placem_collection'!G198)</f>
        <v>42814</v>
      </c>
      <c r="S271" s="195">
        <f>IF(IFERROR(INDEX('Both teabags AfterWet'!$C$3:$C$841,MATCH(H271,'Both teabags AfterWet'!$A$3:$A$841,0)),"")="N.A","",(IFERROR(INDEX('Both teabags AfterWet'!$C$3:$C$841,MATCH(H271,'Both teabags AfterWet'!$A$3:$A$841,0)),"")))</f>
        <v>0.6452</v>
      </c>
      <c r="T271" s="195">
        <f>IFERROR(INDEX('Both teabags AfterWet'!$C$3:$C$841,MATCH(I271,'Both teabags AfterWet'!$A$3:$A$841,0)),"")</f>
        <v>1.3742000000000001</v>
      </c>
      <c r="U271" s="195">
        <f t="shared" si="43"/>
        <v>0.49459999999999998</v>
      </c>
      <c r="V271" s="195">
        <f t="shared" si="43"/>
        <v>1.2236</v>
      </c>
      <c r="W271" s="195">
        <f>IFERROR(INDEX('Ashed teabags wet'!$K$2:$K$821,MATCH(H271,'Ashed teabags wet'!$A$2:$A$821,0)),"")</f>
        <v>10.498306724722434</v>
      </c>
      <c r="X271" s="195">
        <f>IFERROR(INDEX('Ashed teabags wet'!$K$2:$K$821,MATCH(I271,'Ashed teabags wet'!$A$2:$A$821,0)),"")</f>
        <v>5.0314465408809701</v>
      </c>
      <c r="Y271" s="195">
        <f t="shared" si="37"/>
        <v>0.4426753749395228</v>
      </c>
      <c r="Z271" s="195">
        <f t="shared" si="37"/>
        <v>1.1620352201257804</v>
      </c>
      <c r="AA271" s="195">
        <f t="shared" si="44"/>
        <v>0.74132467117061585</v>
      </c>
      <c r="AB271" s="195">
        <f t="shared" si="45"/>
        <v>0.4859990718363183</v>
      </c>
      <c r="AC271" s="195">
        <f t="shared" si="38"/>
        <v>0.60052926372276783</v>
      </c>
      <c r="AD271">
        <f t="shared" si="39"/>
        <v>45</v>
      </c>
      <c r="AE271" s="195">
        <f t="shared" si="46"/>
        <v>0.11956689884724958</v>
      </c>
      <c r="AF271" s="195">
        <f t="shared" si="47"/>
        <v>3.8349661668521273E-2</v>
      </c>
      <c r="AG271" s="255" t="str">
        <f>IF(ISNUMBER(SEARCH("C",'WetLitterbags placem_collection'!AD198)),"YES","NO")</f>
        <v>NO</v>
      </c>
      <c r="AH271" s="255" t="str">
        <f>IF(ISNUMBER(SEARCH("H", 'WetLitterbags placem_collection'!AD198)),"YES","NO")</f>
        <v>YES</v>
      </c>
      <c r="AI271" s="255" t="str">
        <f>IF(ISNUMBER(SEARCH("R", 'WetLitterbags placem_collection'!AD198)),"YES","NO")</f>
        <v>YES</v>
      </c>
      <c r="AJ271" s="255" t="str">
        <f>IF(ISNUMBER(SEARCH("C", 'WetLitterbags placem_collection'!AC198)),"YES","NO")</f>
        <v>NO</v>
      </c>
      <c r="AK271" s="255" t="str">
        <f>IF(ISNUMBER(SEARCH("H", 'WetLitterbags placem_collection'!AC198)),"YES","NO")</f>
        <v>NO</v>
      </c>
      <c r="AL271" s="255" t="str">
        <f>IF(ISNUMBER(SEARCH("R", 'WetLitterbags placem_collection'!AC198)),"YES","NO")</f>
        <v>NO</v>
      </c>
    </row>
    <row r="272" spans="2:38">
      <c r="B272" t="str">
        <f>'Final data_for_R_analysis_Wetse'!A198</f>
        <v>Wet</v>
      </c>
      <c r="C272" s="263">
        <f>'Final data_for_R_analysis_Wetse'!B198</f>
        <v>197</v>
      </c>
      <c r="D272" t="s">
        <v>2431</v>
      </c>
      <c r="E272" t="s">
        <v>22</v>
      </c>
      <c r="F272" s="387">
        <v>1</v>
      </c>
      <c r="G272" s="16">
        <f>'WetLitterbags placem_collection'!E199</f>
        <v>42769</v>
      </c>
      <c r="H272" t="str">
        <f>'Final data_for_R_analysis_Wetse'!J198</f>
        <v>G715</v>
      </c>
      <c r="I272" t="str">
        <f>'Final data_for_R_analysis_Wetse'!J418</f>
        <v>R219</v>
      </c>
      <c r="J272">
        <f>IFERROR(INDEX('Green_rooibos initial weight'!$C$5:$C$1749,MATCH(H272, 'Green_rooibos initial weight'!$A$5:$A$1749,0)),"")</f>
        <v>2.0179999999999998</v>
      </c>
      <c r="K272">
        <f>IFERROR(INDEX('Green_rooibos initial weight'!$C$5:$C$1749,MATCH(I272, 'Green_rooibos initial weight'!$A$5:$A$1749,0)),"")</f>
        <v>2.2160000000000002</v>
      </c>
      <c r="L272" s="195">
        <f t="shared" si="40"/>
        <v>1.7681999999999998</v>
      </c>
      <c r="M272" s="195">
        <f>AVERAGE(Ashed_controlls!$K$2:$K$11)</f>
        <v>5.5147656768714146</v>
      </c>
      <c r="N272" s="195">
        <f t="shared" si="36"/>
        <v>1.6706879133015595</v>
      </c>
      <c r="O272" s="195">
        <f t="shared" si="41"/>
        <v>1.9662000000000002</v>
      </c>
      <c r="P272" s="195">
        <f>AVERAGE(Ashed_controlls!$K$12:$K$14)</f>
        <v>2.2816647271287041</v>
      </c>
      <c r="Q272" s="195">
        <f t="shared" si="42"/>
        <v>1.9213379081351956</v>
      </c>
      <c r="R272" s="16">
        <f>IF('WetLitterbags placem_collection'!G199="N.A","",'WetLitterbags placem_collection'!G199)</f>
        <v>42814</v>
      </c>
      <c r="S272" s="195">
        <f>IF(IFERROR(INDEX('Both teabags AfterWet'!$C$3:$C$841,MATCH(H272,'Both teabags AfterWet'!$A$3:$A$841,0)),"")="N.A","",(IFERROR(INDEX('Both teabags AfterWet'!$C$3:$C$841,MATCH(H272,'Both teabags AfterWet'!$A$3:$A$841,0)),"")))</f>
        <v>0.69089999999999996</v>
      </c>
      <c r="T272" s="195">
        <f>IFERROR(INDEX('Both teabags AfterWet'!$C$3:$C$841,MATCH(I272,'Both teabags AfterWet'!$A$3:$A$841,0)),"")</f>
        <v>1.5786</v>
      </c>
      <c r="U272" s="195">
        <f t="shared" si="43"/>
        <v>0.5403</v>
      </c>
      <c r="V272" s="195">
        <f t="shared" si="43"/>
        <v>1.4279999999999999</v>
      </c>
      <c r="W272" s="195">
        <f>IFERROR(INDEX('Ashed teabags wet'!$K$2:$K$821,MATCH(H272,'Ashed teabags wet'!$A$2:$A$821,0)),"")</f>
        <v>12.326732673267644</v>
      </c>
      <c r="X272" s="195">
        <f>IFERROR(INDEX('Ashed teabags wet'!$K$2:$K$821,MATCH(I272,'Ashed teabags wet'!$A$2:$A$821,0)),"")</f>
        <v>11.480214948704322</v>
      </c>
      <c r="Y272" s="195">
        <f t="shared" si="37"/>
        <v>0.47369866336633493</v>
      </c>
      <c r="Z272" s="195">
        <f t="shared" si="37"/>
        <v>1.2640625305325022</v>
      </c>
      <c r="AA272" s="195">
        <f t="shared" si="44"/>
        <v>0.71646490071851487</v>
      </c>
      <c r="AB272" s="195">
        <f t="shared" si="45"/>
        <v>0.46970145510287437</v>
      </c>
      <c r="AC272" s="195">
        <f t="shared" si="38"/>
        <v>0.65790745354073132</v>
      </c>
      <c r="AD272">
        <f t="shared" si="39"/>
        <v>45</v>
      </c>
      <c r="AE272" s="195">
        <f t="shared" si="46"/>
        <v>0.14909156684261893</v>
      </c>
      <c r="AF272" s="195">
        <f t="shared" si="47"/>
        <v>2.8958380123097007E-2</v>
      </c>
      <c r="AG272" s="255" t="str">
        <f>IF(ISNUMBER(SEARCH("C",'WetLitterbags placem_collection'!AD199)),"YES","NO")</f>
        <v>NO</v>
      </c>
      <c r="AH272" s="255" t="str">
        <f>IF(ISNUMBER(SEARCH("H", 'WetLitterbags placem_collection'!AD199)),"YES","NO")</f>
        <v>NO</v>
      </c>
      <c r="AI272" s="255" t="str">
        <f>IF(ISNUMBER(SEARCH("R", 'WetLitterbags placem_collection'!AD199)),"YES","NO")</f>
        <v>NO</v>
      </c>
      <c r="AJ272" s="255" t="str">
        <f>IF(ISNUMBER(SEARCH("C", 'WetLitterbags placem_collection'!AC199)),"YES","NO")</f>
        <v>NO</v>
      </c>
      <c r="AK272" s="255" t="str">
        <f>IF(ISNUMBER(SEARCH("H", 'WetLitterbags placem_collection'!AC199)),"YES","NO")</f>
        <v>NO</v>
      </c>
      <c r="AL272" s="255" t="str">
        <f>IF(ISNUMBER(SEARCH("R", 'WetLitterbags placem_collection'!AC199)),"YES","NO")</f>
        <v>NO</v>
      </c>
    </row>
    <row r="273" spans="2:38">
      <c r="B273" t="str">
        <f>'Final data_for_R_analysis_Wetse'!A199</f>
        <v>Wet</v>
      </c>
      <c r="C273" s="263">
        <f>'Final data_for_R_analysis_Wetse'!B199</f>
        <v>198</v>
      </c>
      <c r="D273" t="s">
        <v>2439</v>
      </c>
      <c r="E273" t="s">
        <v>22</v>
      </c>
      <c r="F273" s="387">
        <v>2</v>
      </c>
      <c r="G273" s="16">
        <f>'WetLitterbags placem_collection'!E200</f>
        <v>42769</v>
      </c>
      <c r="H273" t="str">
        <f>'Final data_for_R_analysis_Wetse'!J199</f>
        <v>G785</v>
      </c>
      <c r="I273" t="str">
        <f>'Final data_for_R_analysis_Wetse'!J419</f>
        <v>R463</v>
      </c>
      <c r="J273">
        <f>IFERROR(INDEX('Green_rooibos initial weight'!$C$5:$C$1749,MATCH(H273, 'Green_rooibos initial weight'!$A$5:$A$1749,0)),"")</f>
        <v>2.008</v>
      </c>
      <c r="K273">
        <f>IFERROR(INDEX('Green_rooibos initial weight'!$C$5:$C$1749,MATCH(I273, 'Green_rooibos initial weight'!$A$5:$A$1749,0)),"")</f>
        <v>2.1579999999999999</v>
      </c>
      <c r="L273" s="195">
        <f t="shared" si="40"/>
        <v>1.7582</v>
      </c>
      <c r="M273" s="195">
        <f>AVERAGE(Ashed_controlls!$K$2:$K$11)</f>
        <v>5.5147656768714146</v>
      </c>
      <c r="N273" s="195">
        <f t="shared" si="36"/>
        <v>1.6612393898692468</v>
      </c>
      <c r="O273" s="195">
        <f t="shared" si="41"/>
        <v>1.9081999999999999</v>
      </c>
      <c r="P273" s="195">
        <f>AVERAGE(Ashed_controlls!$K$12:$K$14)</f>
        <v>2.2816647271287041</v>
      </c>
      <c r="Q273" s="195">
        <f t="shared" si="42"/>
        <v>1.8646612736769299</v>
      </c>
      <c r="R273" s="16">
        <f>IF('WetLitterbags placem_collection'!G200="N.A","",'WetLitterbags placem_collection'!G200)</f>
        <v>42813</v>
      </c>
      <c r="S273" s="195">
        <f>IF(IFERROR(INDEX('Both teabags AfterWet'!$C$3:$C$841,MATCH(H273,'Both teabags AfterWet'!$A$3:$A$841,0)),"")="N.A","",(IFERROR(INDEX('Both teabags AfterWet'!$C$3:$C$841,MATCH(H273,'Both teabags AfterWet'!$A$3:$A$841,0)),"")))</f>
        <v>0.64690000000000003</v>
      </c>
      <c r="T273" s="195">
        <f>IFERROR(INDEX('Both teabags AfterWet'!$C$3:$C$841,MATCH(I273,'Both teabags AfterWet'!$A$3:$A$841,0)),"")</f>
        <v>1.5485</v>
      </c>
      <c r="U273" s="195">
        <f t="shared" si="43"/>
        <v>0.49630000000000002</v>
      </c>
      <c r="V273" s="195">
        <f t="shared" si="43"/>
        <v>1.3978999999999999</v>
      </c>
      <c r="W273" s="195">
        <f>IFERROR(INDEX('Ashed teabags wet'!$K$2:$K$821,MATCH(H273,'Ashed teabags wet'!$A$2:$A$821,0)),"")</f>
        <v>9.3718843469595843</v>
      </c>
      <c r="X273" s="195">
        <f>IFERROR(INDEX('Ashed teabags wet'!$K$2:$K$821,MATCH(I273,'Ashed teabags wet'!$A$2:$A$821,0)),"")</f>
        <v>7.7074128620517337</v>
      </c>
      <c r="Y273" s="195">
        <f t="shared" si="37"/>
        <v>0.44978733798603959</v>
      </c>
      <c r="Z273" s="195">
        <f t="shared" si="37"/>
        <v>1.2901580756013789</v>
      </c>
      <c r="AA273" s="195">
        <f t="shared" si="44"/>
        <v>0.72924592281583123</v>
      </c>
      <c r="AB273" s="195">
        <f t="shared" si="45"/>
        <v>0.47808046246358538</v>
      </c>
      <c r="AC273" s="195">
        <f t="shared" si="38"/>
        <v>0.6918994317167928</v>
      </c>
      <c r="AD273">
        <f t="shared" si="39"/>
        <v>44</v>
      </c>
      <c r="AE273" s="195">
        <f t="shared" si="46"/>
        <v>0.13391220568191065</v>
      </c>
      <c r="AF273" s="195">
        <f t="shared" si="47"/>
        <v>2.3502247484327065E-2</v>
      </c>
      <c r="AG273" s="255" t="str">
        <f>IF(ISNUMBER(SEARCH("C",'WetLitterbags placem_collection'!AD200)),"YES","NO")</f>
        <v>NO</v>
      </c>
      <c r="AH273" s="255" t="str">
        <f>IF(ISNUMBER(SEARCH("H", 'WetLitterbags placem_collection'!AD200)),"YES","NO")</f>
        <v>NO</v>
      </c>
      <c r="AI273" s="255" t="str">
        <f>IF(ISNUMBER(SEARCH("R", 'WetLitterbags placem_collection'!AD200)),"YES","NO")</f>
        <v>NO</v>
      </c>
      <c r="AJ273" s="255" t="str">
        <f>IF(ISNUMBER(SEARCH("C", 'WetLitterbags placem_collection'!AC200)),"YES","NO")</f>
        <v>NO</v>
      </c>
      <c r="AK273" s="255" t="str">
        <f>IF(ISNUMBER(SEARCH("H", 'WetLitterbags placem_collection'!AC200)),"YES","NO")</f>
        <v>NO</v>
      </c>
      <c r="AL273" s="255" t="str">
        <f>IF(ISNUMBER(SEARCH("R", 'WetLitterbags placem_collection'!AC200)),"YES","NO")</f>
        <v>NO</v>
      </c>
    </row>
    <row r="274" spans="2:38">
      <c r="B274" t="str">
        <f>'Final data_for_R_analysis_Wetse'!A200</f>
        <v>Wet</v>
      </c>
      <c r="C274" s="263">
        <f>'Final data_for_R_analysis_Wetse'!B200</f>
        <v>199</v>
      </c>
      <c r="D274" t="s">
        <v>2423</v>
      </c>
      <c r="E274" t="s">
        <v>22</v>
      </c>
      <c r="F274" s="387">
        <v>3</v>
      </c>
      <c r="G274" s="16">
        <f>'WetLitterbags placem_collection'!E201</f>
        <v>42769</v>
      </c>
      <c r="H274" t="str">
        <f>'Final data_for_R_analysis_Wetse'!J200</f>
        <v>G877</v>
      </c>
      <c r="I274" t="str">
        <f>'Final data_for_R_analysis_Wetse'!J420</f>
        <v>R339</v>
      </c>
      <c r="J274">
        <f>IFERROR(INDEX('Green_rooibos initial weight'!$C$5:$C$1749,MATCH(H274, 'Green_rooibos initial weight'!$A$5:$A$1749,0)),"")</f>
        <v>2.0649999999999999</v>
      </c>
      <c r="K274">
        <f>IFERROR(INDEX('Green_rooibos initial weight'!$C$5:$C$1749,MATCH(I274, 'Green_rooibos initial weight'!$A$5:$A$1749,0)),"")</f>
        <v>2.214</v>
      </c>
      <c r="L274" s="195">
        <f t="shared" si="40"/>
        <v>1.8151999999999999</v>
      </c>
      <c r="M274" s="195">
        <f>AVERAGE(Ashed_controlls!$K$2:$K$11)</f>
        <v>5.5147656768714146</v>
      </c>
      <c r="N274" s="195">
        <f t="shared" si="36"/>
        <v>1.7150959734334301</v>
      </c>
      <c r="O274" s="195">
        <f t="shared" si="41"/>
        <v>1.9641999999999999</v>
      </c>
      <c r="P274" s="195">
        <f>AVERAGE(Ashed_controlls!$K$12:$K$14)</f>
        <v>2.2816647271287041</v>
      </c>
      <c r="Q274" s="195">
        <f t="shared" si="42"/>
        <v>1.919383541429738</v>
      </c>
      <c r="R274" s="16">
        <f>IF('WetLitterbags placem_collection'!G201="N.A","",'WetLitterbags placem_collection'!G201)</f>
        <v>42814</v>
      </c>
      <c r="S274" s="195">
        <f>IF(IFERROR(INDEX('Both teabags AfterWet'!$C$3:$C$841,MATCH(H274,'Both teabags AfterWet'!$A$3:$A$841,0)),"")="N.A","",(IFERROR(INDEX('Both teabags AfterWet'!$C$3:$C$841,MATCH(H274,'Both teabags AfterWet'!$A$3:$A$841,0)),"")))</f>
        <v>0.67900000000000005</v>
      </c>
      <c r="T274" s="195">
        <f>IFERROR(INDEX('Both teabags AfterWet'!$C$3:$C$841,MATCH(I274,'Both teabags AfterWet'!$A$3:$A$841,0)),"")</f>
        <v>1.6160000000000001</v>
      </c>
      <c r="U274" s="195">
        <f t="shared" si="43"/>
        <v>0.52839999999999998</v>
      </c>
      <c r="V274" s="195">
        <f t="shared" si="43"/>
        <v>1.4654</v>
      </c>
      <c r="W274" s="195">
        <f>IFERROR(INDEX('Ashed teabags wet'!$K$2:$K$821,MATCH(H274,'Ashed teabags wet'!$A$2:$A$821,0)),"")</f>
        <v>11.636001989060295</v>
      </c>
      <c r="X274" s="195">
        <f>IFERROR(INDEX('Ashed teabags wet'!$K$2:$K$821,MATCH(I274,'Ashed teabags wet'!$A$2:$A$821,0)),"")</f>
        <v>3.6390101892290181</v>
      </c>
      <c r="Y274" s="195">
        <f t="shared" si="37"/>
        <v>0.46691536548980539</v>
      </c>
      <c r="Z274" s="195">
        <f t="shared" si="37"/>
        <v>1.4120739446870381</v>
      </c>
      <c r="AA274" s="195">
        <f t="shared" si="44"/>
        <v>0.72776137736765067</v>
      </c>
      <c r="AB274" s="195">
        <f t="shared" si="45"/>
        <v>0.47710722126715349</v>
      </c>
      <c r="AC274" s="195">
        <f t="shared" si="38"/>
        <v>0.73569138955687419</v>
      </c>
      <c r="AD274">
        <f t="shared" si="39"/>
        <v>45</v>
      </c>
      <c r="AE274" s="195">
        <f t="shared" si="46"/>
        <v>0.13567532379138869</v>
      </c>
      <c r="AF274" s="195">
        <f t="shared" si="47"/>
        <v>1.7942111528792205E-2</v>
      </c>
      <c r="AG274" s="255" t="str">
        <f>IF(ISNUMBER(SEARCH("C",'WetLitterbags placem_collection'!AD201)),"YES","NO")</f>
        <v>NO</v>
      </c>
      <c r="AH274" s="255" t="str">
        <f>IF(ISNUMBER(SEARCH("H", 'WetLitterbags placem_collection'!AD201)),"YES","NO")</f>
        <v>NO</v>
      </c>
      <c r="AI274" s="255" t="str">
        <f>IF(ISNUMBER(SEARCH("R", 'WetLitterbags placem_collection'!AD201)),"YES","NO")</f>
        <v>NO</v>
      </c>
      <c r="AJ274" s="255" t="str">
        <f>IF(ISNUMBER(SEARCH("C", 'WetLitterbags placem_collection'!AC201)),"YES","NO")</f>
        <v>NO</v>
      </c>
      <c r="AK274" s="255" t="str">
        <f>IF(ISNUMBER(SEARCH("H", 'WetLitterbags placem_collection'!AC201)),"YES","NO")</f>
        <v>NO</v>
      </c>
      <c r="AL274" s="255" t="str">
        <f>IF(ISNUMBER(SEARCH("R", 'WetLitterbags placem_collection'!AC201)),"YES","NO")</f>
        <v>NO</v>
      </c>
    </row>
    <row r="275" spans="2:38">
      <c r="B275" t="str">
        <f>'Final data_for_R_analysis_Wetse'!A201</f>
        <v>Wet</v>
      </c>
      <c r="C275" s="263">
        <f>'Final data_for_R_analysis_Wetse'!B201</f>
        <v>200</v>
      </c>
      <c r="D275" t="s">
        <v>2446</v>
      </c>
      <c r="E275" t="s">
        <v>22</v>
      </c>
      <c r="F275" s="387">
        <v>4</v>
      </c>
      <c r="G275" s="16">
        <f>'WetLitterbags placem_collection'!E202</f>
        <v>42769</v>
      </c>
      <c r="H275" t="str">
        <f>'Final data_for_R_analysis_Wetse'!J201</f>
        <v>G816</v>
      </c>
      <c r="I275" t="str">
        <f>'Final data_for_R_analysis_Wetse'!J421</f>
        <v>R303</v>
      </c>
      <c r="J275">
        <f>IFERROR(INDEX('Green_rooibos initial weight'!$C$5:$C$1749,MATCH(H275, 'Green_rooibos initial weight'!$A$5:$A$1749,0)),"")</f>
        <v>2.0139999999999998</v>
      </c>
      <c r="K275">
        <f>IFERROR(INDEX('Green_rooibos initial weight'!$C$5:$C$1749,MATCH(I275, 'Green_rooibos initial weight'!$A$5:$A$1749,0)),"")</f>
        <v>2.2490000000000001</v>
      </c>
      <c r="L275" s="195">
        <f t="shared" si="40"/>
        <v>1.7641999999999998</v>
      </c>
      <c r="M275" s="195">
        <f>AVERAGE(Ashed_controlls!$K$2:$K$11)</f>
        <v>5.5147656768714146</v>
      </c>
      <c r="N275" s="195">
        <f t="shared" si="36"/>
        <v>1.6669085039286342</v>
      </c>
      <c r="O275" s="195">
        <f t="shared" si="41"/>
        <v>1.9992000000000001</v>
      </c>
      <c r="P275" s="195">
        <f>AVERAGE(Ashed_controlls!$K$12:$K$14)</f>
        <v>2.2816647271287041</v>
      </c>
      <c r="Q275" s="195">
        <f t="shared" si="42"/>
        <v>1.953584958775243</v>
      </c>
      <c r="R275" s="16">
        <f>IF('WetLitterbags placem_collection'!G202="N.A","",'WetLitterbags placem_collection'!G202)</f>
        <v>42813</v>
      </c>
      <c r="S275" s="195">
        <f>IF(IFERROR(INDEX('Both teabags AfterWet'!$C$3:$C$841,MATCH(H275,'Both teabags AfterWet'!$A$3:$A$841,0)),"")="N.A","",(IFERROR(INDEX('Both teabags AfterWet'!$C$3:$C$841,MATCH(H275,'Both teabags AfterWet'!$A$3:$A$841,0)),"")))</f>
        <v>0.67120000000000002</v>
      </c>
      <c r="T275" s="195">
        <f>IFERROR(INDEX('Both teabags AfterWet'!$C$3:$C$841,MATCH(I275,'Both teabags AfterWet'!$A$3:$A$841,0)),"")</f>
        <v>1.5651999999999999</v>
      </c>
      <c r="U275" s="195">
        <f t="shared" si="43"/>
        <v>0.52059999999999995</v>
      </c>
      <c r="V275" s="195">
        <f t="shared" si="43"/>
        <v>1.4145999999999999</v>
      </c>
      <c r="W275" s="195">
        <f>IFERROR(INDEX('Ashed teabags wet'!$K$2:$K$821,MATCH(H275,'Ashed teabags wet'!$A$2:$A$821,0)),"")</f>
        <v>11.089206505668416</v>
      </c>
      <c r="X275" s="195">
        <f>IFERROR(INDEX('Ashed teabags wet'!$K$2:$K$821,MATCH(I275,'Ashed teabags wet'!$A$2:$A$821,0)),"")</f>
        <v>4.4411177644712749</v>
      </c>
      <c r="Y275" s="195">
        <f t="shared" si="37"/>
        <v>0.46286959093149016</v>
      </c>
      <c r="Z275" s="195">
        <f t="shared" si="37"/>
        <v>1.3517759481037892</v>
      </c>
      <c r="AA275" s="195">
        <f t="shared" si="44"/>
        <v>0.72231853767583454</v>
      </c>
      <c r="AB275" s="195">
        <f t="shared" si="45"/>
        <v>0.47353899382073716</v>
      </c>
      <c r="AC275" s="195">
        <f t="shared" si="38"/>
        <v>0.69194633283379459</v>
      </c>
      <c r="AD275">
        <f t="shared" si="39"/>
        <v>44</v>
      </c>
      <c r="AE275" s="195">
        <f t="shared" si="46"/>
        <v>0.14213950394793995</v>
      </c>
      <c r="AF275" s="195">
        <f t="shared" si="47"/>
        <v>2.3894357530924039E-2</v>
      </c>
      <c r="AG275" s="255" t="str">
        <f>IF(ISNUMBER(SEARCH("C",'WetLitterbags placem_collection'!AD202)),"YES","NO")</f>
        <v>NO</v>
      </c>
      <c r="AH275" s="255" t="str">
        <f>IF(ISNUMBER(SEARCH("H", 'WetLitterbags placem_collection'!AD202)),"YES","NO")</f>
        <v>NO</v>
      </c>
      <c r="AI275" s="255" t="str">
        <f>IF(ISNUMBER(SEARCH("R", 'WetLitterbags placem_collection'!AD202)),"YES","NO")</f>
        <v>NO</v>
      </c>
      <c r="AJ275" s="255" t="str">
        <f>IF(ISNUMBER(SEARCH("C", 'WetLitterbags placem_collection'!AC202)),"YES","NO")</f>
        <v>NO</v>
      </c>
      <c r="AK275" s="255" t="str">
        <f>IF(ISNUMBER(SEARCH("H", 'WetLitterbags placem_collection'!AC202)),"YES","NO")</f>
        <v>NO</v>
      </c>
      <c r="AL275" s="255" t="str">
        <f>IF(ISNUMBER(SEARCH("R", 'WetLitterbags placem_collection'!AC202)),"YES","NO")</f>
        <v>NO</v>
      </c>
    </row>
    <row r="276" spans="2:38">
      <c r="B276" t="str">
        <f>'Final data_for_R_analysis_Wetse'!A202</f>
        <v>Wet</v>
      </c>
      <c r="C276" s="263">
        <f>'Final data_for_R_analysis_Wetse'!B202</f>
        <v>201</v>
      </c>
      <c r="D276" t="s">
        <v>2447</v>
      </c>
      <c r="E276" t="s">
        <v>22</v>
      </c>
      <c r="F276" s="387">
        <v>1</v>
      </c>
      <c r="G276" s="16">
        <f>'WetLitterbags placem_collection'!E203</f>
        <v>42769</v>
      </c>
      <c r="H276" t="str">
        <f>'Final data_for_R_analysis_Wetse'!J202</f>
        <v>G811</v>
      </c>
      <c r="I276" t="str">
        <f>'Final data_for_R_analysis_Wetse'!J422</f>
        <v>R218</v>
      </c>
      <c r="J276">
        <f>IFERROR(INDEX('Green_rooibos initial weight'!$C$5:$C$1749,MATCH(H276, 'Green_rooibos initial weight'!$A$5:$A$1749,0)),"")</f>
        <v>1.9930000000000001</v>
      </c>
      <c r="K276">
        <f>IFERROR(INDEX('Green_rooibos initial weight'!$C$5:$C$1749,MATCH(I276, 'Green_rooibos initial weight'!$A$5:$A$1749,0)),"")</f>
        <v>2.2309999999999999</v>
      </c>
      <c r="L276" s="195">
        <f t="shared" si="40"/>
        <v>1.7432000000000001</v>
      </c>
      <c r="M276" s="195">
        <f>AVERAGE(Ashed_controlls!$K$2:$K$11)</f>
        <v>5.5147656768714146</v>
      </c>
      <c r="N276" s="195">
        <f t="shared" si="36"/>
        <v>1.6470666047207776</v>
      </c>
      <c r="O276" s="195">
        <f t="shared" si="41"/>
        <v>1.9811999999999999</v>
      </c>
      <c r="P276" s="195">
        <f>AVERAGE(Ashed_controlls!$K$12:$K$14)</f>
        <v>2.2816647271287041</v>
      </c>
      <c r="Q276" s="195">
        <f t="shared" si="42"/>
        <v>1.935995658426126</v>
      </c>
      <c r="R276" s="16">
        <f>IF('WetLitterbags placem_collection'!G203="N.A","",'WetLitterbags placem_collection'!G203)</f>
        <v>42813</v>
      </c>
      <c r="S276" s="195">
        <f>IF(IFERROR(INDEX('Both teabags AfterWet'!$C$3:$C$841,MATCH(H276,'Both teabags AfterWet'!$A$3:$A$841,0)),"")="N.A","",(IFERROR(INDEX('Both teabags AfterWet'!$C$3:$C$841,MATCH(H276,'Both teabags AfterWet'!$A$3:$A$841,0)),"")))</f>
        <v>0.56630000000000003</v>
      </c>
      <c r="T276" s="195">
        <f>IFERROR(INDEX('Both teabags AfterWet'!$C$3:$C$841,MATCH(I276,'Both teabags AfterWet'!$A$3:$A$841,0)),"")</f>
        <v>1.5928</v>
      </c>
      <c r="U276" s="195">
        <f t="shared" si="43"/>
        <v>0.41570000000000001</v>
      </c>
      <c r="V276" s="195">
        <f t="shared" si="43"/>
        <v>1.4421999999999999</v>
      </c>
      <c r="W276" s="195">
        <f>IFERROR(INDEX('Ashed teabags wet'!$K$2:$K$821,MATCH(H276,'Ashed teabags wet'!$A$2:$A$821,0)),"")</f>
        <v>11.712158808933365</v>
      </c>
      <c r="X276" s="195">
        <f>IFERROR(INDEX('Ashed teabags wet'!$K$2:$K$821,MATCH(I276,'Ashed teabags wet'!$A$2:$A$821,0)),"")</f>
        <v>3.3009708737867043</v>
      </c>
      <c r="Y276" s="195">
        <f t="shared" si="37"/>
        <v>0.36701255583126402</v>
      </c>
      <c r="Z276" s="195">
        <f t="shared" si="37"/>
        <v>1.3945933980582481</v>
      </c>
      <c r="AA276" s="195">
        <f t="shared" si="44"/>
        <v>0.7771720009504518</v>
      </c>
      <c r="AB276" s="195">
        <f t="shared" si="45"/>
        <v>0.50949993411478556</v>
      </c>
      <c r="AC276" s="195">
        <f t="shared" si="38"/>
        <v>0.72034944499410059</v>
      </c>
      <c r="AD276">
        <f t="shared" si="39"/>
        <v>44</v>
      </c>
      <c r="AE276" s="195">
        <f t="shared" si="46"/>
        <v>7.699287298046098E-2</v>
      </c>
      <c r="AF276" s="195">
        <f t="shared" si="47"/>
        <v>1.809103414520458E-2</v>
      </c>
      <c r="AG276" s="255" t="str">
        <f>IF(ISNUMBER(SEARCH("C",'WetLitterbags placem_collection'!AD203)),"YES","NO")</f>
        <v>NO</v>
      </c>
      <c r="AH276" s="255" t="str">
        <f>IF(ISNUMBER(SEARCH("H", 'WetLitterbags placem_collection'!AD203)),"YES","NO")</f>
        <v>NO</v>
      </c>
      <c r="AI276" s="255" t="str">
        <f>IF(ISNUMBER(SEARCH("R", 'WetLitterbags placem_collection'!AD203)),"YES","NO")</f>
        <v>NO</v>
      </c>
      <c r="AJ276" s="255" t="str">
        <f>IF(ISNUMBER(SEARCH("C", 'WetLitterbags placem_collection'!AC203)),"YES","NO")</f>
        <v>NO</v>
      </c>
      <c r="AK276" s="255" t="str">
        <f>IF(ISNUMBER(SEARCH("H", 'WetLitterbags placem_collection'!AC203)),"YES","NO")</f>
        <v>NO</v>
      </c>
      <c r="AL276" s="255" t="str">
        <f>IF(ISNUMBER(SEARCH("R", 'WetLitterbags placem_collection'!AC203)),"YES","NO")</f>
        <v>NO</v>
      </c>
    </row>
    <row r="277" spans="2:38">
      <c r="B277" t="str">
        <f>'Final data_for_R_analysis_Wetse'!A203</f>
        <v>Wet</v>
      </c>
      <c r="C277" s="263">
        <f>'Final data_for_R_analysis_Wetse'!B203</f>
        <v>202</v>
      </c>
      <c r="D277" t="s">
        <v>2424</v>
      </c>
      <c r="E277" t="s">
        <v>22</v>
      </c>
      <c r="F277" s="387">
        <v>2</v>
      </c>
      <c r="G277" s="16">
        <f>'WetLitterbags placem_collection'!E204</f>
        <v>42769</v>
      </c>
      <c r="H277" t="str">
        <f>'Final data_for_R_analysis_Wetse'!J203</f>
        <v>G773</v>
      </c>
      <c r="I277" t="str">
        <f>'Final data_for_R_analysis_Wetse'!J423</f>
        <v>R135</v>
      </c>
      <c r="J277">
        <f>IFERROR(INDEX('Green_rooibos initial weight'!$C$5:$C$1749,MATCH(H277, 'Green_rooibos initial weight'!$A$5:$A$1749,0)),"")</f>
        <v>1.718</v>
      </c>
      <c r="K277">
        <f>IFERROR(INDEX('Green_rooibos initial weight'!$C$5:$C$1749,MATCH(I277, 'Green_rooibos initial weight'!$A$5:$A$1749,0)),"")</f>
        <v>2.286</v>
      </c>
      <c r="L277" s="195">
        <f t="shared" si="40"/>
        <v>1.4681999999999999</v>
      </c>
      <c r="M277" s="195">
        <f>AVERAGE(Ashed_controlls!$K$2:$K$11)</f>
        <v>5.5147656768714146</v>
      </c>
      <c r="N277" s="195">
        <f t="shared" si="36"/>
        <v>1.3872322103321739</v>
      </c>
      <c r="O277" s="195">
        <f t="shared" si="41"/>
        <v>2.0362</v>
      </c>
      <c r="P277" s="195">
        <f>AVERAGE(Ashed_controlls!$K$12:$K$14)</f>
        <v>2.2816647271287041</v>
      </c>
      <c r="Q277" s="195">
        <f t="shared" si="42"/>
        <v>1.9897407428262053</v>
      </c>
      <c r="R277" s="16">
        <f>IF('WetLitterbags placem_collection'!G204="N.A","",'WetLitterbags placem_collection'!G204)</f>
        <v>42814</v>
      </c>
      <c r="S277" s="195">
        <f>IF(IFERROR(INDEX('Both teabags AfterWet'!$C$3:$C$841,MATCH(H277,'Both teabags AfterWet'!$A$3:$A$841,0)),"")="N.A","",(IFERROR(INDEX('Both teabags AfterWet'!$C$3:$C$841,MATCH(H277,'Both teabags AfterWet'!$A$3:$A$841,0)),"")))</f>
        <v>0.84</v>
      </c>
      <c r="T277" s="195">
        <f>IFERROR(INDEX('Both teabags AfterWet'!$C$3:$C$841,MATCH(I277,'Both teabags AfterWet'!$A$3:$A$841,0)),"")</f>
        <v>1.6419999999999999</v>
      </c>
      <c r="U277" s="195">
        <f t="shared" si="43"/>
        <v>0.68940000000000001</v>
      </c>
      <c r="V277" s="195">
        <f t="shared" si="43"/>
        <v>1.4913999999999998</v>
      </c>
      <c r="W277" s="195">
        <f>IFERROR(INDEX('Ashed teabags wet'!$K$2:$K$821,MATCH(H277,'Ashed teabags wet'!$A$2:$A$821,0)),"")</f>
        <v>12.200000000000349</v>
      </c>
      <c r="X277" s="195">
        <f>IFERROR(INDEX('Ashed teabags wet'!$K$2:$K$821,MATCH(I277,'Ashed teabags wet'!$A$2:$A$821,0)),"")</f>
        <v>3.9196472317485203</v>
      </c>
      <c r="Y277" s="195">
        <f t="shared" si="37"/>
        <v>0.60529319999999764</v>
      </c>
      <c r="Z277" s="195">
        <f t="shared" si="37"/>
        <v>1.4329423811857025</v>
      </c>
      <c r="AA277" s="195">
        <f t="shared" si="44"/>
        <v>0.56366843597507033</v>
      </c>
      <c r="AB277" s="195">
        <f t="shared" si="45"/>
        <v>0.3695308511380509</v>
      </c>
      <c r="AC277" s="195">
        <f t="shared" si="38"/>
        <v>0.72016537146963544</v>
      </c>
      <c r="AD277">
        <f t="shared" si="39"/>
        <v>45</v>
      </c>
      <c r="AE277" s="195">
        <f t="shared" si="46"/>
        <v>0.33056005228613972</v>
      </c>
      <c r="AF277" s="195">
        <f t="shared" si="47"/>
        <v>3.1462346097913312E-2</v>
      </c>
      <c r="AG277" s="255" t="str">
        <f>IF(ISNUMBER(SEARCH("C",'WetLitterbags placem_collection'!AD204)),"YES","NO")</f>
        <v>NO</v>
      </c>
      <c r="AH277" s="255" t="str">
        <f>IF(ISNUMBER(SEARCH("H", 'WetLitterbags placem_collection'!AD204)),"YES","NO")</f>
        <v>NO</v>
      </c>
      <c r="AI277" s="255" t="str">
        <f>IF(ISNUMBER(SEARCH("R", 'WetLitterbags placem_collection'!AD204)),"YES","NO")</f>
        <v>NO</v>
      </c>
      <c r="AJ277" s="255" t="str">
        <f>IF(ISNUMBER(SEARCH("C", 'WetLitterbags placem_collection'!AC204)),"YES","NO")</f>
        <v>NO</v>
      </c>
      <c r="AK277" s="255" t="str">
        <f>IF(ISNUMBER(SEARCH("H", 'WetLitterbags placem_collection'!AC204)),"YES","NO")</f>
        <v>NO</v>
      </c>
      <c r="AL277" s="255" t="str">
        <f>IF(ISNUMBER(SEARCH("R", 'WetLitterbags placem_collection'!AC204)),"YES","NO")</f>
        <v>NO</v>
      </c>
    </row>
    <row r="278" spans="2:38">
      <c r="B278" t="str">
        <f>'Final data_for_R_analysis_Wetse'!A204</f>
        <v>Wet</v>
      </c>
      <c r="C278" s="263">
        <f>'Final data_for_R_analysis_Wetse'!B204</f>
        <v>203</v>
      </c>
      <c r="D278" t="s">
        <v>2433</v>
      </c>
      <c r="E278" t="s">
        <v>22</v>
      </c>
      <c r="F278" s="387">
        <v>3</v>
      </c>
      <c r="G278" s="16">
        <f>'WetLitterbags placem_collection'!E205</f>
        <v>42769</v>
      </c>
      <c r="H278" t="str">
        <f>'Final data_for_R_analysis_Wetse'!J204</f>
        <v>G645</v>
      </c>
      <c r="I278" t="str">
        <f>'Final data_for_R_analysis_Wetse'!J424</f>
        <v>R372</v>
      </c>
      <c r="J278">
        <f>IFERROR(INDEX('Green_rooibos initial weight'!$C$5:$C$1749,MATCH(H278, 'Green_rooibos initial weight'!$A$5:$A$1749,0)),"")</f>
        <v>2.238</v>
      </c>
      <c r="K278">
        <f>IFERROR(INDEX('Green_rooibos initial weight'!$C$5:$C$1749,MATCH(I278, 'Green_rooibos initial weight'!$A$5:$A$1749,0)),"")</f>
        <v>2.202</v>
      </c>
      <c r="L278" s="195">
        <f t="shared" si="40"/>
        <v>1.9882</v>
      </c>
      <c r="M278" s="195">
        <f>AVERAGE(Ashed_controlls!$K$2:$K$11)</f>
        <v>5.5147656768714146</v>
      </c>
      <c r="N278" s="195">
        <f t="shared" si="36"/>
        <v>1.8785554288124424</v>
      </c>
      <c r="O278" s="195">
        <f t="shared" si="41"/>
        <v>1.9521999999999999</v>
      </c>
      <c r="P278" s="195">
        <f>AVERAGE(Ashed_controlls!$K$12:$K$14)</f>
        <v>2.2816647271287041</v>
      </c>
      <c r="Q278" s="195">
        <f t="shared" si="42"/>
        <v>1.9076573411969935</v>
      </c>
      <c r="R278" s="16">
        <f>IF('WetLitterbags placem_collection'!G205="N.A","",'WetLitterbags placem_collection'!G205)</f>
        <v>42814</v>
      </c>
      <c r="S278" s="195">
        <f>IF(IFERROR(INDEX('Both teabags AfterWet'!$C$3:$C$841,MATCH(H278,'Both teabags AfterWet'!$A$3:$A$841,0)),"")="N.A","",(IFERROR(INDEX('Both teabags AfterWet'!$C$3:$C$841,MATCH(H278,'Both teabags AfterWet'!$A$3:$A$841,0)),"")))</f>
        <v>0.80930000000000002</v>
      </c>
      <c r="T278" s="195">
        <f>IFERROR(INDEX('Both teabags AfterWet'!$C$3:$C$841,MATCH(I278,'Both teabags AfterWet'!$A$3:$A$841,0)),"")</f>
        <v>1.6213</v>
      </c>
      <c r="U278" s="195">
        <f t="shared" si="43"/>
        <v>0.65870000000000006</v>
      </c>
      <c r="V278" s="195">
        <f t="shared" si="43"/>
        <v>1.4706999999999999</v>
      </c>
      <c r="W278" s="195">
        <f>IFERROR(INDEX('Ashed teabags wet'!$K$2:$K$821,MATCH(H278,'Ashed teabags wet'!$A$2:$A$821,0)),"")</f>
        <v>11.067388096409434</v>
      </c>
      <c r="X278" s="195">
        <f>IFERROR(INDEX('Ashed teabags wet'!$K$2:$K$821,MATCH(I278,'Ashed teabags wet'!$A$2:$A$821,0)),"")</f>
        <v>4.1958041958038725</v>
      </c>
      <c r="Y278" s="195">
        <f t="shared" si="37"/>
        <v>0.58579911460895107</v>
      </c>
      <c r="Z278" s="195">
        <f t="shared" si="37"/>
        <v>1.4089923076923123</v>
      </c>
      <c r="AA278" s="195">
        <f t="shared" si="44"/>
        <v>0.68816511579896633</v>
      </c>
      <c r="AB278" s="195">
        <f t="shared" si="45"/>
        <v>0.45114862698459551</v>
      </c>
      <c r="AC278" s="195">
        <f t="shared" si="38"/>
        <v>0.7385982153420777</v>
      </c>
      <c r="AD278">
        <f t="shared" si="39"/>
        <v>45</v>
      </c>
      <c r="AE278" s="195">
        <f t="shared" si="46"/>
        <v>0.18270176270906613</v>
      </c>
      <c r="AF278" s="195">
        <f t="shared" si="47"/>
        <v>1.9246801336898055E-2</v>
      </c>
      <c r="AG278" s="255" t="str">
        <f>IF(ISNUMBER(SEARCH("C",'WetLitterbags placem_collection'!AD205)),"YES","NO")</f>
        <v>NO</v>
      </c>
      <c r="AH278" s="255" t="str">
        <f>IF(ISNUMBER(SEARCH("H", 'WetLitterbags placem_collection'!AD205)),"YES","NO")</f>
        <v>NO</v>
      </c>
      <c r="AI278" s="255" t="str">
        <f>IF(ISNUMBER(SEARCH("R", 'WetLitterbags placem_collection'!AD205)),"YES","NO")</f>
        <v>NO</v>
      </c>
      <c r="AJ278" s="255" t="str">
        <f>IF(ISNUMBER(SEARCH("C", 'WetLitterbags placem_collection'!AC205)),"YES","NO")</f>
        <v>NO</v>
      </c>
      <c r="AK278" s="255" t="str">
        <f>IF(ISNUMBER(SEARCH("H", 'WetLitterbags placem_collection'!AC205)),"YES","NO")</f>
        <v>NO</v>
      </c>
      <c r="AL278" s="255" t="str">
        <f>IF(ISNUMBER(SEARCH("R", 'WetLitterbags placem_collection'!AC205)),"YES","NO")</f>
        <v>NO</v>
      </c>
    </row>
    <row r="279" spans="2:38">
      <c r="B279" t="str">
        <f>'Final data_for_R_analysis_Wetse'!A205</f>
        <v>Wet</v>
      </c>
      <c r="C279" s="263">
        <f>'Final data_for_R_analysis_Wetse'!B205</f>
        <v>204</v>
      </c>
      <c r="D279" t="s">
        <v>2440</v>
      </c>
      <c r="E279" t="s">
        <v>22</v>
      </c>
      <c r="F279" s="387">
        <v>4</v>
      </c>
      <c r="G279" s="16">
        <f>'WetLitterbags placem_collection'!E206</f>
        <v>42769</v>
      </c>
      <c r="H279" t="str">
        <f>'Final data_for_R_analysis_Wetse'!J205</f>
        <v>G814</v>
      </c>
      <c r="I279" t="str">
        <f>'Final data_for_R_analysis_Wetse'!J425</f>
        <v>R334</v>
      </c>
      <c r="J279">
        <f>IFERROR(INDEX('Green_rooibos initial weight'!$C$5:$C$1749,MATCH(H279, 'Green_rooibos initial weight'!$A$5:$A$1749,0)),"")</f>
        <v>2.1480000000000001</v>
      </c>
      <c r="K279">
        <f>IFERROR(INDEX('Green_rooibos initial weight'!$C$5:$C$1749,MATCH(I279, 'Green_rooibos initial weight'!$A$5:$A$1749,0)),"")</f>
        <v>2.1419999999999999</v>
      </c>
      <c r="L279" s="195">
        <f t="shared" si="40"/>
        <v>1.8982000000000001</v>
      </c>
      <c r="M279" s="195">
        <f>AVERAGE(Ashed_controlls!$K$2:$K$11)</f>
        <v>5.5147656768714146</v>
      </c>
      <c r="N279" s="195">
        <f t="shared" si="36"/>
        <v>1.793518717921627</v>
      </c>
      <c r="O279" s="195">
        <f t="shared" si="41"/>
        <v>1.8921999999999999</v>
      </c>
      <c r="P279" s="195">
        <f>AVERAGE(Ashed_controlls!$K$12:$K$14)</f>
        <v>2.2816647271287041</v>
      </c>
      <c r="Q279" s="195">
        <f t="shared" si="42"/>
        <v>1.8490263400332705</v>
      </c>
      <c r="R279" s="16">
        <f>IF('WetLitterbags placem_collection'!G206="N.A","",'WetLitterbags placem_collection'!G206)</f>
        <v>42813</v>
      </c>
      <c r="S279" s="195">
        <f>IF(IFERROR(INDEX('Both teabags AfterWet'!$C$3:$C$841,MATCH(H279,'Both teabags AfterWet'!$A$3:$A$841,0)),"")="N.A","",(IFERROR(INDEX('Both teabags AfterWet'!$C$3:$C$841,MATCH(H279,'Both teabags AfterWet'!$A$3:$A$841,0)),"")))</f>
        <v>0.68300000000000005</v>
      </c>
      <c r="T279" s="195">
        <f>IFERROR(INDEX('Both teabags AfterWet'!$C$3:$C$841,MATCH(I279,'Both teabags AfterWet'!$A$3:$A$841,0)),"")</f>
        <v>1.544</v>
      </c>
      <c r="U279" s="195">
        <f t="shared" si="43"/>
        <v>0.53239999999999998</v>
      </c>
      <c r="V279" s="195">
        <f t="shared" si="43"/>
        <v>1.3934</v>
      </c>
      <c r="W279" s="195">
        <f>IFERROR(INDEX('Ashed teabags wet'!$K$2:$K$821,MATCH(H279,'Ashed teabags wet'!$A$2:$A$821,0)),"")</f>
        <v>11.500000000000204</v>
      </c>
      <c r="X279" s="195">
        <f>IFERROR(INDEX('Ashed teabags wet'!$K$2:$K$821,MATCH(I279,'Ashed teabags wet'!$A$2:$A$821,0)),"")</f>
        <v>5.4642166344294019</v>
      </c>
      <c r="Y279" s="195">
        <f t="shared" si="37"/>
        <v>0.47117399999999887</v>
      </c>
      <c r="Z279" s="195">
        <f t="shared" si="37"/>
        <v>1.3172616054158608</v>
      </c>
      <c r="AA279" s="195">
        <f t="shared" si="44"/>
        <v>0.73729072616202929</v>
      </c>
      <c r="AB279" s="195">
        <f t="shared" si="45"/>
        <v>0.4833544903104991</v>
      </c>
      <c r="AC279" s="195">
        <f t="shared" si="38"/>
        <v>0.7124082425954833</v>
      </c>
      <c r="AD279">
        <f t="shared" si="39"/>
        <v>44</v>
      </c>
      <c r="AE279" s="195">
        <f t="shared" si="46"/>
        <v>0.12435780740851621</v>
      </c>
      <c r="AF279" s="195">
        <f t="shared" si="47"/>
        <v>2.0541975893531447E-2</v>
      </c>
      <c r="AG279" s="255" t="str">
        <f>IF(ISNUMBER(SEARCH("C",'WetLitterbags placem_collection'!AD206)),"YES","NO")</f>
        <v>NO</v>
      </c>
      <c r="AH279" s="255" t="str">
        <f>IF(ISNUMBER(SEARCH("H", 'WetLitterbags placem_collection'!AD206)),"YES","NO")</f>
        <v>NO</v>
      </c>
      <c r="AI279" s="255" t="str">
        <f>IF(ISNUMBER(SEARCH("R", 'WetLitterbags placem_collection'!AD206)),"YES","NO")</f>
        <v>NO</v>
      </c>
      <c r="AJ279" s="255" t="str">
        <f>IF(ISNUMBER(SEARCH("C", 'WetLitterbags placem_collection'!AC206)),"YES","NO")</f>
        <v>NO</v>
      </c>
      <c r="AK279" s="255" t="str">
        <f>IF(ISNUMBER(SEARCH("H", 'WetLitterbags placem_collection'!AC206)),"YES","NO")</f>
        <v>NO</v>
      </c>
      <c r="AL279" s="255" t="str">
        <f>IF(ISNUMBER(SEARCH("R", 'WetLitterbags placem_collection'!AC206)),"YES","NO")</f>
        <v>NO</v>
      </c>
    </row>
    <row r="280" spans="2:38">
      <c r="B280" t="str">
        <f>'Final data_for_R_analysis_Wetse'!A206</f>
        <v>Wet</v>
      </c>
      <c r="C280" s="263">
        <f>'Final data_for_R_analysis_Wetse'!B206</f>
        <v>205</v>
      </c>
      <c r="D280" t="s">
        <v>2434</v>
      </c>
      <c r="E280" t="s">
        <v>22</v>
      </c>
      <c r="F280" s="387">
        <v>1</v>
      </c>
      <c r="G280" s="16">
        <f>'WetLitterbags placem_collection'!E207</f>
        <v>42769</v>
      </c>
      <c r="H280" t="str">
        <f>'Final data_for_R_analysis_Wetse'!J206</f>
        <v>G621</v>
      </c>
      <c r="I280" t="str">
        <f>'Final data_for_R_analysis_Wetse'!J426</f>
        <v>R265</v>
      </c>
      <c r="J280">
        <f>IFERROR(INDEX('Green_rooibos initial weight'!$C$5:$C$1749,MATCH(H280, 'Green_rooibos initial weight'!$A$5:$A$1749,0)),"")</f>
        <v>1.925</v>
      </c>
      <c r="K280">
        <f>IFERROR(INDEX('Green_rooibos initial weight'!$C$5:$C$1749,MATCH(I280, 'Green_rooibos initial weight'!$A$5:$A$1749,0)),"")</f>
        <v>2.2210000000000001</v>
      </c>
      <c r="L280" s="195">
        <f t="shared" si="40"/>
        <v>1.6752</v>
      </c>
      <c r="M280" s="195">
        <f>AVERAGE(Ashed_controlls!$K$2:$K$11)</f>
        <v>5.5147656768714146</v>
      </c>
      <c r="N280" s="195">
        <f t="shared" si="36"/>
        <v>1.5828166453810502</v>
      </c>
      <c r="O280" s="195">
        <f t="shared" si="41"/>
        <v>1.9712000000000001</v>
      </c>
      <c r="P280" s="195">
        <f>AVERAGE(Ashed_controlls!$K$12:$K$14)</f>
        <v>2.2816647271287041</v>
      </c>
      <c r="Q280" s="195">
        <f t="shared" si="42"/>
        <v>1.926223824898839</v>
      </c>
      <c r="R280" s="16">
        <f>IF('WetLitterbags placem_collection'!G207="N.A","",'WetLitterbags placem_collection'!G207)</f>
        <v>42814</v>
      </c>
      <c r="S280" s="195">
        <f>IF(IFERROR(INDEX('Both teabags AfterWet'!$C$3:$C$841,MATCH(H280,'Both teabags AfterWet'!$A$3:$A$841,0)),"")="N.A","",(IFERROR(INDEX('Both teabags AfterWet'!$C$3:$C$841,MATCH(H280,'Both teabags AfterWet'!$A$3:$A$841,0)),"")))</f>
        <v>0.74099999999999999</v>
      </c>
      <c r="T280" s="195">
        <f>IFERROR(INDEX('Both teabags AfterWet'!$C$3:$C$841,MATCH(I280,'Both teabags AfterWet'!$A$3:$A$841,0)),"")</f>
        <v>1.6680999999999999</v>
      </c>
      <c r="U280" s="195">
        <f t="shared" si="43"/>
        <v>0.59040000000000004</v>
      </c>
      <c r="V280" s="195">
        <f t="shared" si="43"/>
        <v>1.5174999999999998</v>
      </c>
      <c r="W280" s="195">
        <f>IFERROR(INDEX('Ashed teabags wet'!$K$2:$K$821,MATCH(H280,'Ashed teabags wet'!$A$2:$A$821,0)),"")</f>
        <v>22.042218949435743</v>
      </c>
      <c r="X280" s="195">
        <f>IFERROR(INDEX('Ashed teabags wet'!$K$2:$K$821,MATCH(I280,'Ashed teabags wet'!$A$2:$A$821,0)),"")</f>
        <v>13.867187500000384</v>
      </c>
      <c r="Y280" s="195">
        <f t="shared" si="37"/>
        <v>0.46026273932253137</v>
      </c>
      <c r="Z280" s="195">
        <f t="shared" si="37"/>
        <v>1.3070654296874942</v>
      </c>
      <c r="AA280" s="195">
        <f t="shared" si="44"/>
        <v>0.70921285123854205</v>
      </c>
      <c r="AB280" s="195">
        <f t="shared" si="45"/>
        <v>0.46494714237966184</v>
      </c>
      <c r="AC280" s="195">
        <f t="shared" si="38"/>
        <v>0.67856362941421844</v>
      </c>
      <c r="AD280">
        <f t="shared" si="39"/>
        <v>45</v>
      </c>
      <c r="AE280" s="195">
        <f t="shared" si="46"/>
        <v>0.15770445221075757</v>
      </c>
      <c r="AF280" s="195">
        <f t="shared" si="47"/>
        <v>2.6122525103915436E-2</v>
      </c>
      <c r="AG280" s="255" t="str">
        <f>IF(ISNUMBER(SEARCH("C",'WetLitterbags placem_collection'!AD207)),"YES","NO")</f>
        <v>NO</v>
      </c>
      <c r="AH280" s="255" t="str">
        <f>IF(ISNUMBER(SEARCH("H", 'WetLitterbags placem_collection'!AD207)),"YES","NO")</f>
        <v>NO</v>
      </c>
      <c r="AI280" s="255" t="str">
        <f>IF(ISNUMBER(SEARCH("R", 'WetLitterbags placem_collection'!AD207)),"YES","NO")</f>
        <v>NO</v>
      </c>
      <c r="AJ280" s="255" t="str">
        <f>IF(ISNUMBER(SEARCH("C", 'WetLitterbags placem_collection'!AC207)),"YES","NO")</f>
        <v>NO</v>
      </c>
      <c r="AK280" s="255" t="str">
        <f>IF(ISNUMBER(SEARCH("H", 'WetLitterbags placem_collection'!AC207)),"YES","NO")</f>
        <v>NO</v>
      </c>
      <c r="AL280" s="255" t="str">
        <f>IF(ISNUMBER(SEARCH("R", 'WetLitterbags placem_collection'!AC207)),"YES","NO")</f>
        <v>NO</v>
      </c>
    </row>
    <row r="281" spans="2:38">
      <c r="B281" t="str">
        <f>'Final data_for_R_analysis_Wetse'!A207</f>
        <v>Wet</v>
      </c>
      <c r="C281" s="263">
        <f>'Final data_for_R_analysis_Wetse'!B207</f>
        <v>206</v>
      </c>
      <c r="D281" t="s">
        <v>2425</v>
      </c>
      <c r="E281" t="s">
        <v>22</v>
      </c>
      <c r="F281" s="387">
        <v>2</v>
      </c>
      <c r="G281" s="16">
        <f>'WetLitterbags placem_collection'!E208</f>
        <v>42769</v>
      </c>
      <c r="H281" t="str">
        <f>'Final data_for_R_analysis_Wetse'!J207</f>
        <v>G677</v>
      </c>
      <c r="I281" t="str">
        <f>'Final data_for_R_analysis_Wetse'!J427</f>
        <v>R234</v>
      </c>
      <c r="J281">
        <f>IFERROR(INDEX('Green_rooibos initial weight'!$C$5:$C$1749,MATCH(H281, 'Green_rooibos initial weight'!$A$5:$A$1749,0)),"")</f>
        <v>2.1269999999999998</v>
      </c>
      <c r="K281">
        <f>IFERROR(INDEX('Green_rooibos initial weight'!$C$5:$C$1749,MATCH(I281, 'Green_rooibos initial weight'!$A$5:$A$1749,0)),"")</f>
        <v>2.194</v>
      </c>
      <c r="L281" s="195">
        <f t="shared" si="40"/>
        <v>1.8771999999999998</v>
      </c>
      <c r="M281" s="195">
        <f>AVERAGE(Ashed_controlls!$K$2:$K$11)</f>
        <v>5.5147656768714146</v>
      </c>
      <c r="N281" s="195">
        <f t="shared" si="36"/>
        <v>1.7736768187137695</v>
      </c>
      <c r="O281" s="195">
        <f t="shared" si="41"/>
        <v>1.9441999999999999</v>
      </c>
      <c r="P281" s="195">
        <f>AVERAGE(Ashed_controlls!$K$12:$K$14)</f>
        <v>2.2816647271287041</v>
      </c>
      <c r="Q281" s="195">
        <f t="shared" si="42"/>
        <v>1.8998398743751637</v>
      </c>
      <c r="R281" s="16">
        <f>IF('WetLitterbags placem_collection'!G208="N.A","",'WetLitterbags placem_collection'!G208)</f>
        <v>42814</v>
      </c>
      <c r="S281" s="195">
        <f>IF(IFERROR(INDEX('Both teabags AfterWet'!$C$3:$C$841,MATCH(H281,'Both teabags AfterWet'!$A$3:$A$841,0)),"")="N.A","",(IFERROR(INDEX('Both teabags AfterWet'!$C$3:$C$841,MATCH(H281,'Both teabags AfterWet'!$A$3:$A$841,0)),"")))</f>
        <v>0.85699999999999998</v>
      </c>
      <c r="T281" s="195">
        <f>IFERROR(INDEX('Both teabags AfterWet'!$C$3:$C$841,MATCH(I281,'Both teabags AfterWet'!$A$3:$A$841,0)),"")</f>
        <v>1.7410000000000001</v>
      </c>
      <c r="U281" s="195">
        <f t="shared" si="43"/>
        <v>0.70639999999999992</v>
      </c>
      <c r="V281" s="195">
        <f t="shared" si="43"/>
        <v>1.5904</v>
      </c>
      <c r="W281" s="195">
        <f>IFERROR(INDEX('Ashed teabags wet'!$K$2:$K$821,MATCH(H281,'Ashed teabags wet'!$A$2:$A$821,0)),"")</f>
        <v>17.335314512134694</v>
      </c>
      <c r="X281" s="195">
        <f>IFERROR(INDEX('Ashed teabags wet'!$K$2:$K$821,MATCH(I281,'Ashed teabags wet'!$A$2:$A$821,0)),"")</f>
        <v>9.9903006789520461</v>
      </c>
      <c r="Y281" s="195">
        <f t="shared" si="37"/>
        <v>0.58394333828628042</v>
      </c>
      <c r="Z281" s="195">
        <f t="shared" si="37"/>
        <v>1.4315142580019466</v>
      </c>
      <c r="AA281" s="195">
        <f t="shared" si="44"/>
        <v>0.67077241348300243</v>
      </c>
      <c r="AB281" s="195">
        <f t="shared" si="45"/>
        <v>0.43974628532377363</v>
      </c>
      <c r="AC281" s="195">
        <f t="shared" si="38"/>
        <v>0.75349205862560176</v>
      </c>
      <c r="AD281">
        <f t="shared" si="39"/>
        <v>45</v>
      </c>
      <c r="AE281" s="195">
        <f t="shared" si="46"/>
        <v>0.20335817876127971</v>
      </c>
      <c r="AF281" s="195">
        <f t="shared" si="47"/>
        <v>1.8272745924516855E-2</v>
      </c>
      <c r="AG281" s="255" t="str">
        <f>IF(ISNUMBER(SEARCH("C",'WetLitterbags placem_collection'!AD208)),"YES","NO")</f>
        <v>NO</v>
      </c>
      <c r="AH281" s="255" t="str">
        <f>IF(ISNUMBER(SEARCH("H", 'WetLitterbags placem_collection'!AD208)),"YES","NO")</f>
        <v>NO</v>
      </c>
      <c r="AI281" s="255" t="str">
        <f>IF(ISNUMBER(SEARCH("R", 'WetLitterbags placem_collection'!AD208)),"YES","NO")</f>
        <v>NO</v>
      </c>
      <c r="AJ281" s="255" t="str">
        <f>IF(ISNUMBER(SEARCH("C", 'WetLitterbags placem_collection'!AC208)),"YES","NO")</f>
        <v>NO</v>
      </c>
      <c r="AK281" s="255" t="str">
        <f>IF(ISNUMBER(SEARCH("H", 'WetLitterbags placem_collection'!AC208)),"YES","NO")</f>
        <v>NO</v>
      </c>
      <c r="AL281" s="255" t="str">
        <f>IF(ISNUMBER(SEARCH("R", 'WetLitterbags placem_collection'!AC208)),"YES","NO")</f>
        <v>NO</v>
      </c>
    </row>
    <row r="282" spans="2:38">
      <c r="B282" t="str">
        <f>'Final data_for_R_analysis_Wetse'!A208</f>
        <v>Wet</v>
      </c>
      <c r="C282" s="263">
        <f>'Final data_for_R_analysis_Wetse'!B208</f>
        <v>207</v>
      </c>
      <c r="D282" t="s">
        <v>2448</v>
      </c>
      <c r="E282" t="s">
        <v>22</v>
      </c>
      <c r="F282" s="387">
        <v>3</v>
      </c>
      <c r="G282" s="16">
        <f>'WetLitterbags placem_collection'!E209</f>
        <v>42769</v>
      </c>
      <c r="H282" t="str">
        <f>'Final data_for_R_analysis_Wetse'!J208</f>
        <v>G574</v>
      </c>
      <c r="I282" t="str">
        <f>'Final data_for_R_analysis_Wetse'!J428</f>
        <v>R258</v>
      </c>
      <c r="J282">
        <f>IFERROR(INDEX('Green_rooibos initial weight'!$C$5:$C$1749,MATCH(H282, 'Green_rooibos initial weight'!$A$5:$A$1749,0)),"")</f>
        <v>1.984</v>
      </c>
      <c r="K282">
        <f>IFERROR(INDEX('Green_rooibos initial weight'!$C$5:$C$1749,MATCH(I282, 'Green_rooibos initial weight'!$A$5:$A$1749,0)),"")</f>
        <v>2.17</v>
      </c>
      <c r="L282" s="195">
        <f t="shared" si="40"/>
        <v>1.7342</v>
      </c>
      <c r="M282" s="195">
        <f>AVERAGE(Ashed_controlls!$K$2:$K$11)</f>
        <v>5.5147656768714146</v>
      </c>
      <c r="N282" s="195">
        <f t="shared" si="36"/>
        <v>1.6385629336316958</v>
      </c>
      <c r="O282" s="195">
        <f t="shared" si="41"/>
        <v>1.9201999999999999</v>
      </c>
      <c r="P282" s="195">
        <f>AVERAGE(Ashed_controlls!$K$12:$K$14)</f>
        <v>2.2816647271287041</v>
      </c>
      <c r="Q282" s="195">
        <f t="shared" si="42"/>
        <v>1.8763874739096746</v>
      </c>
      <c r="R282" s="16">
        <f>IF('WetLitterbags placem_collection'!G209="N.A","",'WetLitterbags placem_collection'!G209)</f>
        <v>42813</v>
      </c>
      <c r="S282" s="195">
        <f>IF(IFERROR(INDEX('Both teabags AfterWet'!$C$3:$C$841,MATCH(H282,'Both teabags AfterWet'!$A$3:$A$841,0)),"")="N.A","",(IFERROR(INDEX('Both teabags AfterWet'!$C$3:$C$841,MATCH(H282,'Both teabags AfterWet'!$A$3:$A$841,0)),"")))</f>
        <v>0.77700000000000002</v>
      </c>
      <c r="T282" s="195">
        <f>IFERROR(INDEX('Both teabags AfterWet'!$C$3:$C$841,MATCH(I282,'Both teabags AfterWet'!$A$3:$A$841,0)),"")</f>
        <v>1.5820000000000001</v>
      </c>
      <c r="U282" s="195">
        <f t="shared" si="43"/>
        <v>0.62640000000000007</v>
      </c>
      <c r="V282" s="195">
        <f t="shared" si="43"/>
        <v>1.4314</v>
      </c>
      <c r="W282" s="195">
        <f>IFERROR(INDEX('Ashed teabags wet'!$K$2:$K$821,MATCH(H282,'Ashed teabags wet'!$A$2:$A$821,0)),"")</f>
        <v>23.600000000000428</v>
      </c>
      <c r="X282" s="195">
        <f>IFERROR(INDEX('Ashed teabags wet'!$K$2:$K$821,MATCH(I282,'Ashed teabags wet'!$A$2:$A$821,0)),"")</f>
        <v>16.261774913237122</v>
      </c>
      <c r="Y282" s="195">
        <f t="shared" si="37"/>
        <v>0.47856959999999737</v>
      </c>
      <c r="Z282" s="195">
        <f t="shared" si="37"/>
        <v>1.1986289538919239</v>
      </c>
      <c r="AA282" s="195">
        <f t="shared" si="44"/>
        <v>0.70793334196856261</v>
      </c>
      <c r="AB282" s="195">
        <f t="shared" si="45"/>
        <v>0.46410831920029288</v>
      </c>
      <c r="AC282" s="195">
        <f t="shared" si="38"/>
        <v>0.63879607520212178</v>
      </c>
      <c r="AD282">
        <f t="shared" si="39"/>
        <v>44</v>
      </c>
      <c r="AE282" s="195">
        <f t="shared" si="46"/>
        <v>0.15922405941975937</v>
      </c>
      <c r="AF282" s="195">
        <f t="shared" si="47"/>
        <v>3.4234491455528017E-2</v>
      </c>
      <c r="AG282" s="255" t="str">
        <f>IF(ISNUMBER(SEARCH("C",'WetLitterbags placem_collection'!AD209)),"YES","NO")</f>
        <v>NO</v>
      </c>
      <c r="AH282" s="255" t="str">
        <f>IF(ISNUMBER(SEARCH("H", 'WetLitterbags placem_collection'!AD209)),"YES","NO")</f>
        <v>NO</v>
      </c>
      <c r="AI282" s="255" t="str">
        <f>IF(ISNUMBER(SEARCH("R", 'WetLitterbags placem_collection'!AD209)),"YES","NO")</f>
        <v>NO</v>
      </c>
      <c r="AJ282" s="255" t="str">
        <f>IF(ISNUMBER(SEARCH("C", 'WetLitterbags placem_collection'!AC209)),"YES","NO")</f>
        <v>NO</v>
      </c>
      <c r="AK282" s="255" t="str">
        <f>IF(ISNUMBER(SEARCH("H", 'WetLitterbags placem_collection'!AC209)),"YES","NO")</f>
        <v>NO</v>
      </c>
      <c r="AL282" s="255" t="str">
        <f>IF(ISNUMBER(SEARCH("R", 'WetLitterbags placem_collection'!AC209)),"YES","NO")</f>
        <v>NO</v>
      </c>
    </row>
    <row r="283" spans="2:38">
      <c r="B283" t="str">
        <f>'Final data_for_R_analysis_Wetse'!A209</f>
        <v>Wet</v>
      </c>
      <c r="C283" s="263">
        <f>'Final data_for_R_analysis_Wetse'!B209</f>
        <v>208</v>
      </c>
      <c r="D283" t="s">
        <v>2441</v>
      </c>
      <c r="E283" t="s">
        <v>22</v>
      </c>
      <c r="F283" s="387">
        <v>4</v>
      </c>
      <c r="G283" s="16">
        <f>'WetLitterbags placem_collection'!E210</f>
        <v>42769</v>
      </c>
      <c r="H283" t="str">
        <f>'Final data_for_R_analysis_Wetse'!J209</f>
        <v>G710</v>
      </c>
      <c r="I283" t="str">
        <f>'Final data_for_R_analysis_Wetse'!J429</f>
        <v>R344</v>
      </c>
      <c r="J283">
        <f>IFERROR(INDEX('Green_rooibos initial weight'!$C$5:$C$1749,MATCH(H283, 'Green_rooibos initial weight'!$A$5:$A$1749,0)),"")</f>
        <v>2.0270000000000001</v>
      </c>
      <c r="K283">
        <f>IFERROR(INDEX('Green_rooibos initial weight'!$C$5:$C$1749,MATCH(I283, 'Green_rooibos initial weight'!$A$5:$A$1749,0)),"")</f>
        <v>2.153</v>
      </c>
      <c r="L283" s="195">
        <f t="shared" si="40"/>
        <v>1.7772000000000001</v>
      </c>
      <c r="M283" s="195">
        <f>AVERAGE(Ashed_controlls!$K$2:$K$11)</f>
        <v>5.5147656768714146</v>
      </c>
      <c r="N283" s="195">
        <f t="shared" si="36"/>
        <v>1.6791915843906413</v>
      </c>
      <c r="O283" s="195">
        <f t="shared" si="41"/>
        <v>1.9032</v>
      </c>
      <c r="P283" s="195">
        <f>AVERAGE(Ashed_controlls!$K$12:$K$14)</f>
        <v>2.2816647271287041</v>
      </c>
      <c r="Q283" s="195">
        <f t="shared" si="42"/>
        <v>1.8597753569132864</v>
      </c>
      <c r="R283" s="16">
        <f>IF('WetLitterbags placem_collection'!G210="N.A","",'WetLitterbags placem_collection'!G210)</f>
        <v>42813</v>
      </c>
      <c r="S283" s="195">
        <f>IF(IFERROR(INDEX('Both teabags AfterWet'!$C$3:$C$841,MATCH(H283,'Both teabags AfterWet'!$A$3:$A$841,0)),"")="N.A","",(IFERROR(INDEX('Both teabags AfterWet'!$C$3:$C$841,MATCH(H283,'Both teabags AfterWet'!$A$3:$A$841,0)),"")))</f>
        <v>0.91</v>
      </c>
      <c r="T283" s="195">
        <f>IFERROR(INDEX('Both teabags AfterWet'!$C$3:$C$841,MATCH(I283,'Both teabags AfterWet'!$A$3:$A$841,0)),"")</f>
        <v>1.476</v>
      </c>
      <c r="U283" s="195">
        <f t="shared" si="43"/>
        <v>0.75940000000000007</v>
      </c>
      <c r="V283" s="195">
        <f t="shared" si="43"/>
        <v>1.3253999999999999</v>
      </c>
      <c r="W283" s="195">
        <f>IFERROR(INDEX('Ashed teabags wet'!$K$2:$K$821,MATCH(H283,'Ashed teabags wet'!$A$2:$A$821,0)),"")</f>
        <v>18.435475834579655</v>
      </c>
      <c r="X283" s="195">
        <f>IFERROR(INDEX('Ashed teabags wet'!$K$2:$K$821,MATCH(I283,'Ashed teabags wet'!$A$2:$A$821,0)),"")</f>
        <v>8.5305719921103496</v>
      </c>
      <c r="Y283" s="195">
        <f t="shared" si="37"/>
        <v>0.61940099651220215</v>
      </c>
      <c r="Z283" s="195">
        <f t="shared" si="37"/>
        <v>1.2123357988165693</v>
      </c>
      <c r="AA283" s="195">
        <f t="shared" si="44"/>
        <v>0.63113143117795256</v>
      </c>
      <c r="AB283" s="195">
        <f t="shared" si="45"/>
        <v>0.41375837293376466</v>
      </c>
      <c r="AC283" s="195">
        <f t="shared" si="38"/>
        <v>0.65187217064146497</v>
      </c>
      <c r="AD283">
        <f t="shared" si="39"/>
        <v>44</v>
      </c>
      <c r="AE283" s="195">
        <f t="shared" si="46"/>
        <v>0.25043773019245541</v>
      </c>
      <c r="AF283" s="195">
        <f t="shared" si="47"/>
        <v>4.1846385734386954E-2</v>
      </c>
      <c r="AG283" s="255" t="str">
        <f>IF(ISNUMBER(SEARCH("C",'WetLitterbags placem_collection'!AD210)),"YES","NO")</f>
        <v>NO</v>
      </c>
      <c r="AH283" s="255" t="str">
        <f>IF(ISNUMBER(SEARCH("H", 'WetLitterbags placem_collection'!AD210)),"YES","NO")</f>
        <v>NO</v>
      </c>
      <c r="AI283" s="255" t="str">
        <f>IF(ISNUMBER(SEARCH("R", 'WetLitterbags placem_collection'!AD210)),"YES","NO")</f>
        <v>NO</v>
      </c>
      <c r="AJ283" s="255" t="str">
        <f>IF(ISNUMBER(SEARCH("C", 'WetLitterbags placem_collection'!AC210)),"YES","NO")</f>
        <v>NO</v>
      </c>
      <c r="AK283" s="255" t="str">
        <f>IF(ISNUMBER(SEARCH("H", 'WetLitterbags placem_collection'!AC210)),"YES","NO")</f>
        <v>NO</v>
      </c>
      <c r="AL283" s="255" t="str">
        <f>IF(ISNUMBER(SEARCH("R", 'WetLitterbags placem_collection'!AC210)),"YES","NO")</f>
        <v>NO</v>
      </c>
    </row>
    <row r="284" spans="2:38">
      <c r="B284" t="str">
        <f>'Final data_for_R_analysis_Wetse'!A210</f>
        <v>Wet</v>
      </c>
      <c r="C284" s="263">
        <f>'Final data_for_R_analysis_Wetse'!B210</f>
        <v>209</v>
      </c>
      <c r="D284" t="s">
        <v>2435</v>
      </c>
      <c r="E284" t="s">
        <v>22</v>
      </c>
      <c r="F284" s="387">
        <v>1</v>
      </c>
      <c r="G284" s="16">
        <f>'WetLitterbags placem_collection'!E211</f>
        <v>42769</v>
      </c>
      <c r="H284" t="str">
        <f>'Final data_for_R_analysis_Wetse'!J210</f>
        <v>G604</v>
      </c>
      <c r="I284" t="str">
        <f>'Final data_for_R_analysis_Wetse'!J430</f>
        <v>R271</v>
      </c>
      <c r="J284">
        <f>IFERROR(INDEX('Green_rooibos initial weight'!$C$5:$C$1749,MATCH(H284, 'Green_rooibos initial weight'!$A$5:$A$1749,0)),"")</f>
        <v>2.0390000000000001</v>
      </c>
      <c r="K284">
        <f>IFERROR(INDEX('Green_rooibos initial weight'!$C$5:$C$1749,MATCH(I284, 'Green_rooibos initial weight'!$A$5:$A$1749,0)),"")</f>
        <v>2.2829999999999999</v>
      </c>
      <c r="L284" s="195">
        <f t="shared" si="40"/>
        <v>1.7892000000000001</v>
      </c>
      <c r="M284" s="195">
        <f>AVERAGE(Ashed_controlls!$K$2:$K$11)</f>
        <v>5.5147656768714146</v>
      </c>
      <c r="N284" s="195">
        <f t="shared" si="36"/>
        <v>1.6905298125094168</v>
      </c>
      <c r="O284" s="195">
        <f t="shared" si="41"/>
        <v>2.0331999999999999</v>
      </c>
      <c r="P284" s="195">
        <f>AVERAGE(Ashed_controlls!$K$12:$K$14)</f>
        <v>2.2816647271287041</v>
      </c>
      <c r="Q284" s="195">
        <f t="shared" si="42"/>
        <v>1.9868091927680191</v>
      </c>
      <c r="R284" s="16">
        <f>IF('WetLitterbags placem_collection'!G211="N.A","",'WetLitterbags placem_collection'!G211)</f>
        <v>42814</v>
      </c>
      <c r="S284" s="195">
        <f>IF(IFERROR(INDEX('Both teabags AfterWet'!$C$3:$C$841,MATCH(H284,'Both teabags AfterWet'!$A$3:$A$841,0)),"")="N.A","",(IFERROR(INDEX('Both teabags AfterWet'!$C$3:$C$841,MATCH(H284,'Both teabags AfterWet'!$A$3:$A$841,0)),"")))</f>
        <v>0.748</v>
      </c>
      <c r="T284" s="195">
        <f>IFERROR(INDEX('Both teabags AfterWet'!$C$3:$C$841,MATCH(I284,'Both teabags AfterWet'!$A$3:$A$841,0)),"")</f>
        <v>1.754</v>
      </c>
      <c r="U284" s="195">
        <f t="shared" si="43"/>
        <v>0.59739999999999993</v>
      </c>
      <c r="V284" s="195">
        <f t="shared" si="43"/>
        <v>1.6033999999999999</v>
      </c>
      <c r="W284" s="195">
        <f>IFERROR(INDEX('Ashed teabags wet'!$K$2:$K$821,MATCH(H284,'Ashed teabags wet'!$A$2:$A$821,0)),"")</f>
        <v>16.351888667991876</v>
      </c>
      <c r="X284" s="195">
        <f>IFERROR(INDEX('Ashed teabags wet'!$K$2:$K$821,MATCH(I284,'Ashed teabags wet'!$A$2:$A$821,0)),"")</f>
        <v>9.0597453476988878</v>
      </c>
      <c r="Y284" s="195">
        <f t="shared" si="37"/>
        <v>0.49971381709741647</v>
      </c>
      <c r="Z284" s="195">
        <f t="shared" si="37"/>
        <v>1.4581360430949959</v>
      </c>
      <c r="AA284" s="195">
        <f t="shared" si="44"/>
        <v>0.70440401973411937</v>
      </c>
      <c r="AB284" s="195">
        <f t="shared" si="45"/>
        <v>0.46179455925562229</v>
      </c>
      <c r="AC284" s="195">
        <f t="shared" si="38"/>
        <v>0.73390844395254851</v>
      </c>
      <c r="AD284">
        <f t="shared" si="39"/>
        <v>45</v>
      </c>
      <c r="AE284" s="195">
        <f t="shared" si="46"/>
        <v>0.16341565352242349</v>
      </c>
      <c r="AF284" s="195">
        <f t="shared" si="47"/>
        <v>1.9078264332978993E-2</v>
      </c>
      <c r="AG284" s="255" t="str">
        <f>IF(ISNUMBER(SEARCH("C",'WetLitterbags placem_collection'!AD211)),"YES","NO")</f>
        <v>NO</v>
      </c>
      <c r="AH284" s="255" t="str">
        <f>IF(ISNUMBER(SEARCH("H", 'WetLitterbags placem_collection'!AD211)),"YES","NO")</f>
        <v>NO</v>
      </c>
      <c r="AI284" s="255" t="str">
        <f>IF(ISNUMBER(SEARCH("R", 'WetLitterbags placem_collection'!AD211)),"YES","NO")</f>
        <v>NO</v>
      </c>
      <c r="AJ284" s="255" t="str">
        <f>IF(ISNUMBER(SEARCH("C", 'WetLitterbags placem_collection'!AC211)),"YES","NO")</f>
        <v>NO</v>
      </c>
      <c r="AK284" s="255" t="str">
        <f>IF(ISNUMBER(SEARCH("H", 'WetLitterbags placem_collection'!AC211)),"YES","NO")</f>
        <v>NO</v>
      </c>
      <c r="AL284" s="255" t="str">
        <f>IF(ISNUMBER(SEARCH("R", 'WetLitterbags placem_collection'!AC211)),"YES","NO")</f>
        <v>NO</v>
      </c>
    </row>
    <row r="285" spans="2:38">
      <c r="B285" t="str">
        <f>'Final data_for_R_analysis_Wetse'!A211</f>
        <v>Wet</v>
      </c>
      <c r="C285" s="263">
        <f>'Final data_for_R_analysis_Wetse'!B211</f>
        <v>210</v>
      </c>
      <c r="D285" t="s">
        <v>2449</v>
      </c>
      <c r="E285" t="s">
        <v>22</v>
      </c>
      <c r="F285" s="387">
        <v>2</v>
      </c>
      <c r="G285" s="16">
        <f>'WetLitterbags placem_collection'!E212</f>
        <v>42769</v>
      </c>
      <c r="H285" t="str">
        <f>'Final data_for_R_analysis_Wetse'!J211</f>
        <v>G871</v>
      </c>
      <c r="I285" t="str">
        <f>'Final data_for_R_analysis_Wetse'!J431</f>
        <v>R340</v>
      </c>
      <c r="J285">
        <f>IFERROR(INDEX('Green_rooibos initial weight'!$C$5:$C$1749,MATCH(H285, 'Green_rooibos initial weight'!$A$5:$A$1749,0)),"")</f>
        <v>2.0680000000000001</v>
      </c>
      <c r="K285">
        <f>IFERROR(INDEX('Green_rooibos initial weight'!$C$5:$C$1749,MATCH(I285, 'Green_rooibos initial weight'!$A$5:$A$1749,0)),"")</f>
        <v>2.2130000000000001</v>
      </c>
      <c r="L285" s="195">
        <f t="shared" si="40"/>
        <v>1.8182</v>
      </c>
      <c r="M285" s="195">
        <f>AVERAGE(Ashed_controlls!$K$2:$K$11)</f>
        <v>5.5147656768714146</v>
      </c>
      <c r="N285" s="195">
        <f t="shared" si="36"/>
        <v>1.7179305304631241</v>
      </c>
      <c r="O285" s="195">
        <f t="shared" si="41"/>
        <v>1.9632000000000001</v>
      </c>
      <c r="P285" s="195">
        <f>AVERAGE(Ashed_controlls!$K$12:$K$14)</f>
        <v>2.2816647271287041</v>
      </c>
      <c r="Q285" s="195">
        <f t="shared" si="42"/>
        <v>1.9184063580770094</v>
      </c>
      <c r="R285" s="16">
        <f>IF('WetLitterbags placem_collection'!G212="N.A","",'WetLitterbags placem_collection'!G212)</f>
        <v>42813</v>
      </c>
      <c r="S285" s="195">
        <f>IF(IFERROR(INDEX('Both teabags AfterWet'!$C$3:$C$841,MATCH(H285,'Both teabags AfterWet'!$A$3:$A$841,0)),"")="N.A","",(IFERROR(INDEX('Both teabags AfterWet'!$C$3:$C$841,MATCH(H285,'Both teabags AfterWet'!$A$3:$A$841,0)),"")))</f>
        <v>0.83130000000000004</v>
      </c>
      <c r="T285" s="195">
        <f>IFERROR(INDEX('Both teabags AfterWet'!$C$3:$C$841,MATCH(I285,'Both teabags AfterWet'!$A$3:$A$841,0)),"")</f>
        <v>1.6197999999999999</v>
      </c>
      <c r="U285" s="195">
        <f t="shared" si="43"/>
        <v>0.68070000000000008</v>
      </c>
      <c r="V285" s="195">
        <f t="shared" si="43"/>
        <v>1.4691999999999998</v>
      </c>
      <c r="W285" s="195">
        <f>IFERROR(INDEX('Ashed teabags wet'!$K$2:$K$821,MATCH(H285,'Ashed teabags wet'!$A$2:$A$821,0)),"")</f>
        <v>17.063492063492387</v>
      </c>
      <c r="X285" s="195">
        <f>IFERROR(INDEX('Ashed teabags wet'!$K$2:$K$821,MATCH(I285,'Ashed teabags wet'!$A$2:$A$821,0)),"")</f>
        <v>10.541586073501591</v>
      </c>
      <c r="Y285" s="195">
        <f t="shared" si="37"/>
        <v>0.56454880952380737</v>
      </c>
      <c r="Z285" s="195">
        <f t="shared" si="37"/>
        <v>1.3143230174081144</v>
      </c>
      <c r="AA285" s="195">
        <f t="shared" si="44"/>
        <v>0.67137855721580619</v>
      </c>
      <c r="AB285" s="195">
        <f t="shared" si="45"/>
        <v>0.4401436622127376</v>
      </c>
      <c r="AC285" s="195">
        <f t="shared" si="38"/>
        <v>0.6851118960664716</v>
      </c>
      <c r="AD285">
        <f t="shared" si="39"/>
        <v>44</v>
      </c>
      <c r="AE285" s="195">
        <f t="shared" si="46"/>
        <v>0.20263829309286674</v>
      </c>
      <c r="AF285" s="195">
        <f t="shared" si="47"/>
        <v>2.8562387777069306E-2</v>
      </c>
      <c r="AG285" s="255" t="str">
        <f>IF(ISNUMBER(SEARCH("C",'WetLitterbags placem_collection'!AD212)),"YES","NO")</f>
        <v>NO</v>
      </c>
      <c r="AH285" s="255" t="str">
        <f>IF(ISNUMBER(SEARCH("H", 'WetLitterbags placem_collection'!AD212)),"YES","NO")</f>
        <v>NO</v>
      </c>
      <c r="AI285" s="255" t="str">
        <f>IF(ISNUMBER(SEARCH("R", 'WetLitterbags placem_collection'!AD212)),"YES","NO")</f>
        <v>NO</v>
      </c>
      <c r="AJ285" s="255" t="str">
        <f>IF(ISNUMBER(SEARCH("C", 'WetLitterbags placem_collection'!AC212)),"YES","NO")</f>
        <v>NO</v>
      </c>
      <c r="AK285" s="255" t="str">
        <f>IF(ISNUMBER(SEARCH("H", 'WetLitterbags placem_collection'!AC212)),"YES","NO")</f>
        <v>NO</v>
      </c>
      <c r="AL285" s="255" t="str">
        <f>IF(ISNUMBER(SEARCH("R", 'WetLitterbags placem_collection'!AC212)),"YES","NO")</f>
        <v>NO</v>
      </c>
    </row>
    <row r="286" spans="2:38">
      <c r="B286" t="str">
        <f>'Final data_for_R_analysis_Wetse'!A212</f>
        <v>Wet</v>
      </c>
      <c r="C286" s="263">
        <f>'Final data_for_R_analysis_Wetse'!B212</f>
        <v>211</v>
      </c>
      <c r="D286" t="s">
        <v>2426</v>
      </c>
      <c r="E286" t="s">
        <v>22</v>
      </c>
      <c r="F286" s="387">
        <v>3</v>
      </c>
      <c r="G286" s="16">
        <f>'WetLitterbags placem_collection'!E213</f>
        <v>42769</v>
      </c>
      <c r="H286" t="str">
        <f>'Final data_for_R_analysis_Wetse'!J212</f>
        <v>G822</v>
      </c>
      <c r="I286" t="str">
        <f>'Final data_for_R_analysis_Wetse'!J432</f>
        <v>R381</v>
      </c>
      <c r="J286">
        <f>IFERROR(INDEX('Green_rooibos initial weight'!$C$5:$C$1749,MATCH(H286, 'Green_rooibos initial weight'!$A$5:$A$1749,0)),"")</f>
        <v>2.02</v>
      </c>
      <c r="K286">
        <f>IFERROR(INDEX('Green_rooibos initial weight'!$C$5:$C$1749,MATCH(I286, 'Green_rooibos initial weight'!$A$5:$A$1749,0)),"")</f>
        <v>2.2349999999999999</v>
      </c>
      <c r="L286" s="195">
        <f t="shared" si="40"/>
        <v>1.7702</v>
      </c>
      <c r="M286" s="195">
        <f>AVERAGE(Ashed_controlls!$K$2:$K$11)</f>
        <v>5.5147656768714146</v>
      </c>
      <c r="N286" s="195">
        <f t="shared" si="36"/>
        <v>1.6725776179880223</v>
      </c>
      <c r="O286" s="195">
        <f t="shared" si="41"/>
        <v>1.9851999999999999</v>
      </c>
      <c r="P286" s="195">
        <f>AVERAGE(Ashed_controlls!$K$12:$K$14)</f>
        <v>2.2816647271287041</v>
      </c>
      <c r="Q286" s="195">
        <f t="shared" si="42"/>
        <v>1.9399043918370409</v>
      </c>
      <c r="R286" s="16">
        <f>IF('WetLitterbags placem_collection'!G213="N.A","",'WetLitterbags placem_collection'!G213)</f>
        <v>42814</v>
      </c>
      <c r="S286" s="195">
        <f>IF(IFERROR(INDEX('Both teabags AfterWet'!$C$3:$C$841,MATCH(H286,'Both teabags AfterWet'!$A$3:$A$841,0)),"")="N.A","",(IFERROR(INDEX('Both teabags AfterWet'!$C$3:$C$841,MATCH(H286,'Both teabags AfterWet'!$A$3:$A$841,0)),"")))</f>
        <v>0.85699999999999998</v>
      </c>
      <c r="T286" s="195">
        <f>IFERROR(INDEX('Both teabags AfterWet'!$C$3:$C$841,MATCH(I286,'Both teabags AfterWet'!$A$3:$A$841,0)),"")</f>
        <v>1.528</v>
      </c>
      <c r="U286" s="195">
        <f t="shared" si="43"/>
        <v>0.70639999999999992</v>
      </c>
      <c r="V286" s="195">
        <f t="shared" si="43"/>
        <v>1.3774</v>
      </c>
      <c r="W286" s="195">
        <f>IFERROR(INDEX('Ashed teabags wet'!$K$2:$K$821,MATCH(H286,'Ashed teabags wet'!$A$2:$A$821,0)),"")</f>
        <v>17.246520874750999</v>
      </c>
      <c r="X286" s="195">
        <f>IFERROR(INDEX('Ashed teabags wet'!$K$2:$K$821,MATCH(I286,'Ashed teabags wet'!$A$2:$A$821,0)),"")</f>
        <v>10.112911143839174</v>
      </c>
      <c r="Y286" s="195">
        <f t="shared" si="37"/>
        <v>0.58457057654075884</v>
      </c>
      <c r="Z286" s="195">
        <f t="shared" si="37"/>
        <v>1.2381047619047592</v>
      </c>
      <c r="AA286" s="195">
        <f t="shared" si="44"/>
        <v>0.65049719053161148</v>
      </c>
      <c r="AB286" s="195">
        <f t="shared" si="45"/>
        <v>0.42645421517036769</v>
      </c>
      <c r="AC286" s="195">
        <f t="shared" si="38"/>
        <v>0.63822978447525702</v>
      </c>
      <c r="AD286">
        <f t="shared" si="39"/>
        <v>45</v>
      </c>
      <c r="AE286" s="195">
        <f t="shared" si="46"/>
        <v>0.22743801599571078</v>
      </c>
      <c r="AF286" s="195">
        <f t="shared" si="47"/>
        <v>4.1910914240090379E-2</v>
      </c>
      <c r="AG286" s="255" t="str">
        <f>IF(ISNUMBER(SEARCH("C",'WetLitterbags placem_collection'!AD213)),"YES","NO")</f>
        <v>NO</v>
      </c>
      <c r="AH286" s="255" t="str">
        <f>IF(ISNUMBER(SEARCH("H", 'WetLitterbags placem_collection'!AD213)),"YES","NO")</f>
        <v>NO</v>
      </c>
      <c r="AI286" s="255" t="str">
        <f>IF(ISNUMBER(SEARCH("R", 'WetLitterbags placem_collection'!AD213)),"YES","NO")</f>
        <v>NO</v>
      </c>
      <c r="AJ286" s="255" t="str">
        <f>IF(ISNUMBER(SEARCH("C", 'WetLitterbags placem_collection'!AC213)),"YES","NO")</f>
        <v>NO</v>
      </c>
      <c r="AK286" s="255" t="str">
        <f>IF(ISNUMBER(SEARCH("H", 'WetLitterbags placem_collection'!AC213)),"YES","NO")</f>
        <v>NO</v>
      </c>
      <c r="AL286" s="255" t="str">
        <f>IF(ISNUMBER(SEARCH("R", 'WetLitterbags placem_collection'!AC213)),"YES","NO")</f>
        <v>NO</v>
      </c>
    </row>
    <row r="287" spans="2:38">
      <c r="B287" t="str">
        <f>'Final data_for_R_analysis_Wetse'!A213</f>
        <v>Wet</v>
      </c>
      <c r="C287" s="263">
        <f>'Final data_for_R_analysis_Wetse'!B213</f>
        <v>215</v>
      </c>
      <c r="D287" t="s">
        <v>2427</v>
      </c>
      <c r="E287" t="s">
        <v>22</v>
      </c>
      <c r="F287" s="387">
        <v>3</v>
      </c>
      <c r="G287" s="16">
        <f>'WetLitterbags placem_collection'!E214</f>
        <v>42769</v>
      </c>
      <c r="H287" t="str">
        <f>'Final data_for_R_analysis_Wetse'!J213</f>
        <v>G786</v>
      </c>
      <c r="I287" t="str">
        <f>'Final data_for_R_analysis_Wetse'!J433</f>
        <v>R93</v>
      </c>
      <c r="J287">
        <f>IFERROR(INDEX('Green_rooibos initial weight'!$C$5:$C$1749,MATCH(H287, 'Green_rooibos initial weight'!$A$5:$A$1749,0)),"")</f>
        <v>2.097</v>
      </c>
      <c r="K287">
        <f>IFERROR(INDEX('Green_rooibos initial weight'!$C$5:$C$1749,MATCH(I287, 'Green_rooibos initial weight'!$A$5:$A$1749,0)),"")</f>
        <v>2.1709999999999998</v>
      </c>
      <c r="L287" s="195">
        <f t="shared" si="40"/>
        <v>1.8472</v>
      </c>
      <c r="M287" s="195">
        <f>AVERAGE(Ashed_controlls!$K$2:$K$11)</f>
        <v>5.5147656768714146</v>
      </c>
      <c r="N287" s="195">
        <f t="shared" si="36"/>
        <v>1.7453312484168313</v>
      </c>
      <c r="O287" s="195">
        <f t="shared" si="41"/>
        <v>1.9211999999999998</v>
      </c>
      <c r="P287" s="195">
        <f>AVERAGE(Ashed_controlls!$K$12:$K$14)</f>
        <v>2.2816647271287041</v>
      </c>
      <c r="Q287" s="195">
        <f t="shared" si="42"/>
        <v>1.8773646572624032</v>
      </c>
      <c r="R287" s="16">
        <f>IF('WetLitterbags placem_collection'!G214="N.A","",'WetLitterbags placem_collection'!G214)</f>
        <v>42813</v>
      </c>
      <c r="S287" s="195">
        <f>IF(IFERROR(INDEX('Both teabags AfterWet'!$C$3:$C$841,MATCH(H287,'Both teabags AfterWet'!$A$3:$A$841,0)),"")="N.A","",(IFERROR(INDEX('Both teabags AfterWet'!$C$3:$C$841,MATCH(H287,'Both teabags AfterWet'!$A$3:$A$841,0)),"")))</f>
        <v>0.86439999999999995</v>
      </c>
      <c r="T287" s="195">
        <f>IFERROR(INDEX('Both teabags AfterWet'!$C$3:$C$841,MATCH(I287,'Both teabags AfterWet'!$A$3:$A$841,0)),"")</f>
        <v>1.5831999999999999</v>
      </c>
      <c r="U287" s="195">
        <f t="shared" si="43"/>
        <v>0.71379999999999999</v>
      </c>
      <c r="V287" s="195">
        <f t="shared" si="43"/>
        <v>1.4325999999999999</v>
      </c>
      <c r="W287" s="195">
        <f>IFERROR(INDEX('Ashed teabags wet'!$K$2:$K$821,MATCH(H287,'Ashed teabags wet'!$A$2:$A$821,0)),"")</f>
        <v>12.518778167251055</v>
      </c>
      <c r="X287" s="195">
        <f>IFERROR(INDEX('Ashed teabags wet'!$K$2:$K$821,MATCH(I287,'Ashed teabags wet'!$A$2:$A$821,0)),"")</f>
        <v>7.2365225837790437</v>
      </c>
      <c r="Y287" s="195">
        <f t="shared" si="37"/>
        <v>0.62444096144216199</v>
      </c>
      <c r="Z287" s="195">
        <f t="shared" si="37"/>
        <v>1.3289295774647814</v>
      </c>
      <c r="AA287" s="195">
        <f t="shared" si="44"/>
        <v>0.64222209279265197</v>
      </c>
      <c r="AB287" s="195">
        <f t="shared" si="45"/>
        <v>0.42102921047689307</v>
      </c>
      <c r="AC287" s="195">
        <f t="shared" si="38"/>
        <v>0.70786971104625096</v>
      </c>
      <c r="AD287">
        <f t="shared" si="39"/>
        <v>44</v>
      </c>
      <c r="AE287" s="195">
        <f t="shared" si="46"/>
        <v>0.23726592304910687</v>
      </c>
      <c r="AF287" s="195">
        <f t="shared" si="47"/>
        <v>2.6901674356646667E-2</v>
      </c>
      <c r="AG287" s="255" t="str">
        <f>IF(ISNUMBER(SEARCH("C",'WetLitterbags placem_collection'!AD214)),"YES","NO")</f>
        <v>NO</v>
      </c>
      <c r="AH287" s="255" t="str">
        <f>IF(ISNUMBER(SEARCH("H", 'WetLitterbags placem_collection'!AD214)),"YES","NO")</f>
        <v>NO</v>
      </c>
      <c r="AI287" s="255" t="str">
        <f>IF(ISNUMBER(SEARCH("R", 'WetLitterbags placem_collection'!AD214)),"YES","NO")</f>
        <v>NO</v>
      </c>
      <c r="AJ287" s="255" t="str">
        <f>IF(ISNUMBER(SEARCH("C", 'WetLitterbags placem_collection'!AC214)),"YES","NO")</f>
        <v>NO</v>
      </c>
      <c r="AK287" s="255" t="str">
        <f>IF(ISNUMBER(SEARCH("H", 'WetLitterbags placem_collection'!AC214)),"YES","NO")</f>
        <v>NO</v>
      </c>
      <c r="AL287" s="255" t="str">
        <f>IF(ISNUMBER(SEARCH("R", 'WetLitterbags placem_collection'!AC214)),"YES","NO")</f>
        <v>NO</v>
      </c>
    </row>
    <row r="288" spans="2:38">
      <c r="B288" t="str">
        <f>'Final data_for_R_analysis_Wetse'!A214</f>
        <v>Wet</v>
      </c>
      <c r="C288" s="263">
        <f>'Final data_for_R_analysis_Wetse'!B214</f>
        <v>212</v>
      </c>
      <c r="D288" t="s">
        <v>2442</v>
      </c>
      <c r="E288" t="s">
        <v>22</v>
      </c>
      <c r="F288" s="387">
        <v>4</v>
      </c>
      <c r="G288" s="16">
        <f>'WetLitterbags placem_collection'!E215</f>
        <v>42769</v>
      </c>
      <c r="H288" t="str">
        <f>'Final data_for_R_analysis_Wetse'!J214</f>
        <v>G572</v>
      </c>
      <c r="I288" t="str">
        <f>'Final data_for_R_analysis_Wetse'!J434</f>
        <v>R88</v>
      </c>
      <c r="J288">
        <f>IFERROR(INDEX('Green_rooibos initial weight'!$C$5:$C$1749,MATCH(H288, 'Green_rooibos initial weight'!$A$5:$A$1749,0)),"")</f>
        <v>1.972</v>
      </c>
      <c r="K288">
        <f>IFERROR(INDEX('Green_rooibos initial weight'!$C$5:$C$1749,MATCH(I288, 'Green_rooibos initial weight'!$A$5:$A$1749,0)),"")</f>
        <v>2.1520000000000001</v>
      </c>
      <c r="L288" s="195">
        <f t="shared" si="40"/>
        <v>1.7222</v>
      </c>
      <c r="M288" s="195">
        <f>AVERAGE(Ashed_controlls!$K$2:$K$11)</f>
        <v>5.5147656768714146</v>
      </c>
      <c r="N288" s="195">
        <f t="shared" si="36"/>
        <v>1.6272247055129205</v>
      </c>
      <c r="O288" s="195">
        <f t="shared" si="41"/>
        <v>1.9022000000000001</v>
      </c>
      <c r="P288" s="195">
        <f>AVERAGE(Ashed_controlls!$K$12:$K$14)</f>
        <v>2.2816647271287041</v>
      </c>
      <c r="Q288" s="195">
        <f t="shared" si="42"/>
        <v>1.8587981735605579</v>
      </c>
      <c r="R288" s="16">
        <f>IF('WetLitterbags placem_collection'!G215="N.A","",'WetLitterbags placem_collection'!G215)</f>
        <v>42813</v>
      </c>
      <c r="S288" s="195">
        <f>IF(IFERROR(INDEX('Both teabags AfterWet'!$C$3:$C$841,MATCH(H288,'Both teabags AfterWet'!$A$3:$A$841,0)),"")="N.A","",(IFERROR(INDEX('Both teabags AfterWet'!$C$3:$C$841,MATCH(H288,'Both teabags AfterWet'!$A$3:$A$841,0)),"")))</f>
        <v>0.71399999999999997</v>
      </c>
      <c r="T288" s="195">
        <f>IFERROR(INDEX('Both teabags AfterWet'!$C$3:$C$841,MATCH(I288,'Both teabags AfterWet'!$A$3:$A$841,0)),"")</f>
        <v>1.542</v>
      </c>
      <c r="U288" s="195">
        <f t="shared" si="43"/>
        <v>0.5633999999999999</v>
      </c>
      <c r="V288" s="195">
        <f t="shared" si="43"/>
        <v>1.3914</v>
      </c>
      <c r="W288" s="195">
        <f>IFERROR(INDEX('Ashed teabags wet'!$K$2:$K$821,MATCH(H288,'Ashed teabags wet'!$A$2:$A$821,0)),"")</f>
        <v>10.252600297176585</v>
      </c>
      <c r="X288" s="195">
        <f>IFERROR(INDEX('Ashed teabags wet'!$K$2:$K$821,MATCH(I288,'Ashed teabags wet'!$A$2:$A$821,0)),"")</f>
        <v>3.5402521823463347</v>
      </c>
      <c r="Y288" s="195">
        <f t="shared" si="37"/>
        <v>0.50563684992570701</v>
      </c>
      <c r="Z288" s="195">
        <f t="shared" si="37"/>
        <v>1.3421409311348331</v>
      </c>
      <c r="AA288" s="195">
        <f t="shared" si="44"/>
        <v>0.68926427418865654</v>
      </c>
      <c r="AB288" s="195">
        <f t="shared" si="45"/>
        <v>0.45186921538258723</v>
      </c>
      <c r="AC288" s="195">
        <f t="shared" si="38"/>
        <v>0.72204769201162955</v>
      </c>
      <c r="AD288">
        <f t="shared" si="39"/>
        <v>44</v>
      </c>
      <c r="AE288" s="195">
        <f t="shared" si="46"/>
        <v>0.18139634894458845</v>
      </c>
      <c r="AF288" s="195">
        <f t="shared" si="47"/>
        <v>2.1700344318680384E-2</v>
      </c>
      <c r="AG288" s="255" t="str">
        <f>IF(ISNUMBER(SEARCH("C",'WetLitterbags placem_collection'!AD215)),"YES","NO")</f>
        <v>NO</v>
      </c>
      <c r="AH288" s="255" t="str">
        <f>IF(ISNUMBER(SEARCH("H", 'WetLitterbags placem_collection'!AD215)),"YES","NO")</f>
        <v>NO</v>
      </c>
      <c r="AI288" s="255" t="str">
        <f>IF(ISNUMBER(SEARCH("R", 'WetLitterbags placem_collection'!AD215)),"YES","NO")</f>
        <v>NO</v>
      </c>
      <c r="AJ288" s="255" t="str">
        <f>IF(ISNUMBER(SEARCH("C", 'WetLitterbags placem_collection'!AC215)),"YES","NO")</f>
        <v>NO</v>
      </c>
      <c r="AK288" s="255" t="str">
        <f>IF(ISNUMBER(SEARCH("H", 'WetLitterbags placem_collection'!AC215)),"YES","NO")</f>
        <v>NO</v>
      </c>
      <c r="AL288" s="255" t="str">
        <f>IF(ISNUMBER(SEARCH("R", 'WetLitterbags placem_collection'!AC215)),"YES","NO")</f>
        <v>NO</v>
      </c>
    </row>
    <row r="289" spans="2:38">
      <c r="B289" t="str">
        <f>'Final data_for_R_analysis_Wetse'!A215</f>
        <v>Wet</v>
      </c>
      <c r="C289" s="263">
        <f>'Final data_for_R_analysis_Wetse'!B215</f>
        <v>213</v>
      </c>
      <c r="D289" t="s">
        <v>2450</v>
      </c>
      <c r="E289" t="s">
        <v>22</v>
      </c>
      <c r="F289" s="387">
        <v>1</v>
      </c>
      <c r="G289" s="16">
        <f>'WetLitterbags placem_collection'!E216</f>
        <v>42769</v>
      </c>
      <c r="H289" t="str">
        <f>'Final data_for_R_analysis_Wetse'!J215</f>
        <v>G761</v>
      </c>
      <c r="I289" t="str">
        <f>'Final data_for_R_analysis_Wetse'!J435</f>
        <v>R383</v>
      </c>
      <c r="J289">
        <f>IFERROR(INDEX('Green_rooibos initial weight'!$C$5:$C$1749,MATCH(H289, 'Green_rooibos initial weight'!$A$5:$A$1749,0)),"")</f>
        <v>2.0110000000000001</v>
      </c>
      <c r="K289">
        <f>IFERROR(INDEX('Green_rooibos initial weight'!$C$5:$C$1749,MATCH(I289, 'Green_rooibos initial weight'!$A$5:$A$1749,0)),"")</f>
        <v>2.234</v>
      </c>
      <c r="L289" s="195">
        <f t="shared" si="40"/>
        <v>1.7612000000000001</v>
      </c>
      <c r="M289" s="195">
        <f>AVERAGE(Ashed_controlls!$K$2:$K$11)</f>
        <v>5.5147656768714146</v>
      </c>
      <c r="N289" s="195">
        <f t="shared" si="36"/>
        <v>1.6640739468989407</v>
      </c>
      <c r="O289" s="195">
        <f t="shared" si="41"/>
        <v>1.9842</v>
      </c>
      <c r="P289" s="195">
        <f>AVERAGE(Ashed_controlls!$K$12:$K$14)</f>
        <v>2.2816647271287041</v>
      </c>
      <c r="Q289" s="195">
        <f t="shared" si="42"/>
        <v>1.9389272084843123</v>
      </c>
      <c r="R289" s="16">
        <f>IF('WetLitterbags placem_collection'!G216="N.A","",'WetLitterbags placem_collection'!G216)</f>
        <v>42813</v>
      </c>
      <c r="S289" s="195">
        <f>IF(IFERROR(INDEX('Both teabags AfterWet'!$C$3:$C$841,MATCH(H289,'Both teabags AfterWet'!$A$3:$A$841,0)),"")="N.A","",(IFERROR(INDEX('Both teabags AfterWet'!$C$3:$C$841,MATCH(H289,'Both teabags AfterWet'!$A$3:$A$841,0)),"")))</f>
        <v>0.71299999999999997</v>
      </c>
      <c r="T289" s="195">
        <f>IFERROR(INDEX('Both teabags AfterWet'!$C$3:$C$841,MATCH(I289,'Both teabags AfterWet'!$A$3:$A$841,0)),"")</f>
        <v>1.587</v>
      </c>
      <c r="U289" s="195">
        <f t="shared" si="43"/>
        <v>0.56240000000000001</v>
      </c>
      <c r="V289" s="195">
        <f t="shared" si="43"/>
        <v>1.4363999999999999</v>
      </c>
      <c r="W289" s="195">
        <f>IFERROR(INDEX('Ashed teabags wet'!$K$2:$K$821,MATCH(H289,'Ashed teabags wet'!$A$2:$A$821,0)),"")</f>
        <v>10.989010989010806</v>
      </c>
      <c r="X289" s="195">
        <f>IFERROR(INDEX('Ashed teabags wet'!$K$2:$K$821,MATCH(I289,'Ashed teabags wet'!$A$2:$A$821,0)),"")</f>
        <v>4.7142857142857366</v>
      </c>
      <c r="Y289" s="195">
        <f t="shared" si="37"/>
        <v>0.50059780219780325</v>
      </c>
      <c r="Z289" s="195">
        <f t="shared" si="37"/>
        <v>1.3686839999999996</v>
      </c>
      <c r="AA289" s="195">
        <f t="shared" si="44"/>
        <v>0.69917334314939272</v>
      </c>
      <c r="AB289" s="195">
        <f t="shared" si="45"/>
        <v>0.458365422112191</v>
      </c>
      <c r="AC289" s="195">
        <f t="shared" si="38"/>
        <v>0.70589756748522803</v>
      </c>
      <c r="AD289">
        <f t="shared" si="39"/>
        <v>44</v>
      </c>
      <c r="AE289" s="195">
        <f t="shared" si="46"/>
        <v>0.16962785849240769</v>
      </c>
      <c r="AF289" s="195">
        <f t="shared" si="47"/>
        <v>2.3322681643597784E-2</v>
      </c>
      <c r="AG289" s="255" t="str">
        <f>IF(ISNUMBER(SEARCH("C",'WetLitterbags placem_collection'!AD216)),"YES","NO")</f>
        <v>NO</v>
      </c>
      <c r="AH289" s="255" t="str">
        <f>IF(ISNUMBER(SEARCH("H", 'WetLitterbags placem_collection'!AD216)),"YES","NO")</f>
        <v>NO</v>
      </c>
      <c r="AI289" s="255" t="str">
        <f>IF(ISNUMBER(SEARCH("R", 'WetLitterbags placem_collection'!AD216)),"YES","NO")</f>
        <v>NO</v>
      </c>
      <c r="AJ289" s="255" t="str">
        <f>IF(ISNUMBER(SEARCH("C", 'WetLitterbags placem_collection'!AC216)),"YES","NO")</f>
        <v>NO</v>
      </c>
      <c r="AK289" s="255" t="str">
        <f>IF(ISNUMBER(SEARCH("H", 'WetLitterbags placem_collection'!AC216)),"YES","NO")</f>
        <v>NO</v>
      </c>
      <c r="AL289" s="255" t="str">
        <f>IF(ISNUMBER(SEARCH("R", 'WetLitterbags placem_collection'!AC216)),"YES","NO")</f>
        <v>NO</v>
      </c>
    </row>
    <row r="290" spans="2:38">
      <c r="B290" t="str">
        <f>'Final data_for_R_analysis_Wetse'!A216</f>
        <v>Wet</v>
      </c>
      <c r="C290" s="263">
        <f>'Final data_for_R_analysis_Wetse'!B216</f>
        <v>214</v>
      </c>
      <c r="D290" t="s">
        <v>2443</v>
      </c>
      <c r="E290" t="s">
        <v>22</v>
      </c>
      <c r="F290" s="387">
        <v>2</v>
      </c>
      <c r="G290" s="16">
        <f>'WetLitterbags placem_collection'!E217</f>
        <v>42769</v>
      </c>
      <c r="H290" t="str">
        <f>'Final data_for_R_analysis_Wetse'!J216</f>
        <v>G858</v>
      </c>
      <c r="I290" t="str">
        <f>'Final data_for_R_analysis_Wetse'!J436</f>
        <v>R145</v>
      </c>
      <c r="J290">
        <f>IFERROR(INDEX('Green_rooibos initial weight'!$C$5:$C$1749,MATCH(H290, 'Green_rooibos initial weight'!$A$5:$A$1749,0)),"")</f>
        <v>2.1040000000000001</v>
      </c>
      <c r="K290">
        <f>IFERROR(INDEX('Green_rooibos initial weight'!$C$5:$C$1749,MATCH(I290, 'Green_rooibos initial weight'!$A$5:$A$1749,0)),"")</f>
        <v>2.2719999999999998</v>
      </c>
      <c r="L290" s="195">
        <f t="shared" si="40"/>
        <v>1.8542000000000001</v>
      </c>
      <c r="M290" s="195">
        <f>AVERAGE(Ashed_controlls!$K$2:$K$11)</f>
        <v>5.5147656768714146</v>
      </c>
      <c r="N290" s="195">
        <f t="shared" si="36"/>
        <v>1.7519452148194503</v>
      </c>
      <c r="O290" s="195">
        <f t="shared" si="41"/>
        <v>2.0221999999999998</v>
      </c>
      <c r="P290" s="195">
        <f>AVERAGE(Ashed_controlls!$K$12:$K$14)</f>
        <v>2.2816647271287041</v>
      </c>
      <c r="Q290" s="195">
        <f t="shared" si="42"/>
        <v>1.9760601758880032</v>
      </c>
      <c r="R290" s="16">
        <f>IF('WetLitterbags placem_collection'!G217="N.A","",'WetLitterbags placem_collection'!G217)</f>
        <v>42814</v>
      </c>
      <c r="S290" s="195">
        <f>IF(IFERROR(INDEX('Both teabags AfterWet'!$C$3:$C$841,MATCH(H290,'Both teabags AfterWet'!$A$3:$A$841,0)),"")="N.A","",(IFERROR(INDEX('Both teabags AfterWet'!$C$3:$C$841,MATCH(H290,'Both teabags AfterWet'!$A$3:$A$841,0)),"")))</f>
        <v>0.69730000000000003</v>
      </c>
      <c r="T290" s="195">
        <f>IFERROR(INDEX('Both teabags AfterWet'!$C$3:$C$841,MATCH(I290,'Both teabags AfterWet'!$A$3:$A$841,0)),"")</f>
        <v>1.5481</v>
      </c>
      <c r="U290" s="195">
        <f t="shared" si="43"/>
        <v>0.54669999999999996</v>
      </c>
      <c r="V290" s="195">
        <f t="shared" si="43"/>
        <v>1.3975</v>
      </c>
      <c r="W290" s="195">
        <f>IFERROR(INDEX('Ashed teabags wet'!$K$2:$K$821,MATCH(H290,'Ashed teabags wet'!$A$2:$A$821,0)),"")</f>
        <v>7.1357285429143147</v>
      </c>
      <c r="X290" s="195">
        <f>IFERROR(INDEX('Ashed teabags wet'!$K$2:$K$821,MATCH(I290,'Ashed teabags wet'!$A$2:$A$821,0)),"")</f>
        <v>2.4271844660191637</v>
      </c>
      <c r="Y290" s="195">
        <f t="shared" si="37"/>
        <v>0.50768897205588737</v>
      </c>
      <c r="Z290" s="195">
        <f t="shared" si="37"/>
        <v>1.3635800970873821</v>
      </c>
      <c r="AA290" s="195">
        <f t="shared" si="44"/>
        <v>0.71021412783834792</v>
      </c>
      <c r="AB290" s="195">
        <f t="shared" si="45"/>
        <v>0.46560356124319247</v>
      </c>
      <c r="AC290" s="195">
        <f t="shared" si="38"/>
        <v>0.69004988498116748</v>
      </c>
      <c r="AD290">
        <f t="shared" si="39"/>
        <v>45</v>
      </c>
      <c r="AE290" s="195">
        <f t="shared" si="46"/>
        <v>0.15651528760291222</v>
      </c>
      <c r="AF290" s="195">
        <f t="shared" si="47"/>
        <v>2.434894461348595E-2</v>
      </c>
      <c r="AG290" s="255" t="str">
        <f>IF(ISNUMBER(SEARCH("C",'WetLitterbags placem_collection'!AD217)),"YES","NO")</f>
        <v>NO</v>
      </c>
      <c r="AH290" s="255" t="str">
        <f>IF(ISNUMBER(SEARCH("H", 'WetLitterbags placem_collection'!AD217)),"YES","NO")</f>
        <v>NO</v>
      </c>
      <c r="AI290" s="255" t="str">
        <f>IF(ISNUMBER(SEARCH("R", 'WetLitterbags placem_collection'!AD217)),"YES","NO")</f>
        <v>NO</v>
      </c>
      <c r="AJ290" s="255" t="str">
        <f>IF(ISNUMBER(SEARCH("C", 'WetLitterbags placem_collection'!AC217)),"YES","NO")</f>
        <v>NO</v>
      </c>
      <c r="AK290" s="255" t="str">
        <f>IF(ISNUMBER(SEARCH("H", 'WetLitterbags placem_collection'!AC217)),"YES","NO")</f>
        <v>NO</v>
      </c>
      <c r="AL290" s="255" t="str">
        <f>IF(ISNUMBER(SEARCH("R", 'WetLitterbags placem_collection'!AC217)),"YES","NO")</f>
        <v>NO</v>
      </c>
    </row>
    <row r="291" spans="2:38">
      <c r="B291" t="str">
        <f>'Final data_for_R_analysis_Wetse'!A217</f>
        <v>Wet</v>
      </c>
      <c r="C291" s="263">
        <f>'Final data_for_R_analysis_Wetse'!B217</f>
        <v>216</v>
      </c>
      <c r="D291" t="s">
        <v>2436</v>
      </c>
      <c r="E291" t="s">
        <v>22</v>
      </c>
      <c r="F291" s="387">
        <v>4</v>
      </c>
      <c r="G291" s="16">
        <f>'WetLitterbags placem_collection'!E218</f>
        <v>42769</v>
      </c>
      <c r="H291" t="str">
        <f>'Final data_for_R_analysis_Wetse'!J217</f>
        <v>G755</v>
      </c>
      <c r="I291" t="str">
        <f>'Final data_for_R_analysis_Wetse'!J437</f>
        <v>R241</v>
      </c>
      <c r="J291">
        <f>IFERROR(INDEX('Green_rooibos initial weight'!$C$5:$C$1749,MATCH(H291, 'Green_rooibos initial weight'!$A$5:$A$1749,0)),"")</f>
        <v>2.0190000000000001</v>
      </c>
      <c r="K291">
        <f>IFERROR(INDEX('Green_rooibos initial weight'!$C$5:$C$1749,MATCH(I291, 'Green_rooibos initial weight'!$A$5:$A$1749,0)),"")</f>
        <v>2.1680000000000001</v>
      </c>
      <c r="L291" s="195">
        <f t="shared" si="40"/>
        <v>1.7692000000000001</v>
      </c>
      <c r="M291" s="195">
        <f>AVERAGE(Ashed_controlls!$K$2:$K$11)</f>
        <v>5.5147656768714146</v>
      </c>
      <c r="N291" s="195">
        <f t="shared" si="36"/>
        <v>1.6716327656447911</v>
      </c>
      <c r="O291" s="195">
        <f t="shared" si="41"/>
        <v>1.9182000000000001</v>
      </c>
      <c r="P291" s="195">
        <f>AVERAGE(Ashed_controlls!$K$12:$K$14)</f>
        <v>2.2816647271287041</v>
      </c>
      <c r="Q291" s="195">
        <f t="shared" si="42"/>
        <v>1.8744331072042173</v>
      </c>
      <c r="R291" s="16">
        <f>IF('WetLitterbags placem_collection'!G218="N.A","",'WetLitterbags placem_collection'!G218)</f>
        <v>42814</v>
      </c>
      <c r="S291" s="195">
        <f>IF(IFERROR(INDEX('Both teabags AfterWet'!$C$3:$C$841,MATCH(H291,'Both teabags AfterWet'!$A$3:$A$841,0)),"")="N.A","",(IFERROR(INDEX('Both teabags AfterWet'!$C$3:$C$841,MATCH(H291,'Both teabags AfterWet'!$A$3:$A$841,0)),"")))</f>
        <v>0.88700000000000001</v>
      </c>
      <c r="T291" s="195">
        <f>IFERROR(INDEX('Both teabags AfterWet'!$C$3:$C$841,MATCH(I291,'Both teabags AfterWet'!$A$3:$A$841,0)),"")</f>
        <v>1.5349999999999999</v>
      </c>
      <c r="U291" s="195">
        <f t="shared" si="43"/>
        <v>0.73639999999999994</v>
      </c>
      <c r="V291" s="195">
        <f t="shared" si="43"/>
        <v>1.3843999999999999</v>
      </c>
      <c r="W291" s="195">
        <f>IFERROR(INDEX('Ashed teabags wet'!$K$2:$K$821,MATCH(H291,'Ashed teabags wet'!$A$2:$A$821,0)),"")</f>
        <v>8.3005893909626298</v>
      </c>
      <c r="X291" s="195">
        <f>IFERROR(INDEX('Ashed teabags wet'!$K$2:$K$821,MATCH(I291,'Ashed teabags wet'!$A$2:$A$821,0)),"")</f>
        <v>21.520236920039142</v>
      </c>
      <c r="Y291" s="195">
        <f t="shared" si="37"/>
        <v>0.67527445972495115</v>
      </c>
      <c r="Z291" s="195">
        <f t="shared" si="37"/>
        <v>1.086473840078978</v>
      </c>
      <c r="AA291" s="195">
        <f t="shared" si="44"/>
        <v>0.5960389903792771</v>
      </c>
      <c r="AB291" s="195">
        <f t="shared" si="45"/>
        <v>0.39075240224389668</v>
      </c>
      <c r="AC291" s="195">
        <f t="shared" si="38"/>
        <v>0.57962796106364756</v>
      </c>
      <c r="AD291">
        <f t="shared" si="39"/>
        <v>45</v>
      </c>
      <c r="AE291" s="195">
        <f t="shared" si="46"/>
        <v>0.29211521332627421</v>
      </c>
      <c r="AF291" s="195" t="str">
        <f t="shared" si="47"/>
        <v/>
      </c>
      <c r="AG291" s="255" t="str">
        <f>IF(ISNUMBER(SEARCH("C",'WetLitterbags placem_collection'!AD218)),"YES","NO")</f>
        <v>NO</v>
      </c>
      <c r="AH291" s="255" t="str">
        <f>IF(ISNUMBER(SEARCH("H", 'WetLitterbags placem_collection'!AD218)),"YES","NO")</f>
        <v>NO</v>
      </c>
      <c r="AI291" s="255" t="str">
        <f>IF(ISNUMBER(SEARCH("R", 'WetLitterbags placem_collection'!AD218)),"YES","NO")</f>
        <v>NO</v>
      </c>
      <c r="AJ291" s="255" t="str">
        <f>IF(ISNUMBER(SEARCH("C", 'WetLitterbags placem_collection'!AC218)),"YES","NO")</f>
        <v>NO</v>
      </c>
      <c r="AK291" s="255" t="str">
        <f>IF(ISNUMBER(SEARCH("H", 'WetLitterbags placem_collection'!AC218)),"YES","NO")</f>
        <v>NO</v>
      </c>
      <c r="AL291" s="255" t="str">
        <f>IF(ISNUMBER(SEARCH("R", 'WetLitterbags placem_collection'!AC218)),"YES","NO")</f>
        <v>NO</v>
      </c>
    </row>
    <row r="292" spans="2:38">
      <c r="B292" t="str">
        <f>'Final data_for_R_analysis_Wetse'!A218</f>
        <v>Wet</v>
      </c>
      <c r="C292" s="263">
        <f>'Final data_for_R_analysis_Wetse'!B218</f>
        <v>217</v>
      </c>
      <c r="D292" t="s">
        <v>2429</v>
      </c>
      <c r="E292" t="s">
        <v>22</v>
      </c>
      <c r="F292" s="387">
        <v>1</v>
      </c>
      <c r="G292" s="16">
        <f>'WetLitterbags placem_collection'!E219</f>
        <v>42769</v>
      </c>
      <c r="H292" t="str">
        <f>'Final data_for_R_analysis_Wetse'!J218</f>
        <v>G795</v>
      </c>
      <c r="I292" t="str">
        <f>'Final data_for_R_analysis_Wetse'!J438</f>
        <v>R302</v>
      </c>
      <c r="J292">
        <f>IFERROR(INDEX('Green_rooibos initial weight'!$C$5:$C$1749,MATCH(H292, 'Green_rooibos initial weight'!$A$5:$A$1749,0)),"")</f>
        <v>1.9530000000000001</v>
      </c>
      <c r="K292">
        <f>IFERROR(INDEX('Green_rooibos initial weight'!$C$5:$C$1749,MATCH(I292, 'Green_rooibos initial weight'!$A$5:$A$1749,0)),"")</f>
        <v>2.19</v>
      </c>
      <c r="L292" s="195">
        <f t="shared" si="40"/>
        <v>1.7032</v>
      </c>
      <c r="M292" s="195">
        <f>AVERAGE(Ashed_controlls!$K$2:$K$11)</f>
        <v>5.5147656768714146</v>
      </c>
      <c r="N292" s="195">
        <f t="shared" si="36"/>
        <v>1.609272510991526</v>
      </c>
      <c r="O292" s="195">
        <f t="shared" si="41"/>
        <v>1.9401999999999999</v>
      </c>
      <c r="P292" s="195">
        <f>AVERAGE(Ashed_controlls!$K$12:$K$14)</f>
        <v>2.2816647271287041</v>
      </c>
      <c r="Q292" s="195">
        <f t="shared" si="42"/>
        <v>1.8959311409642488</v>
      </c>
      <c r="R292" s="16">
        <f>IF('WetLitterbags placem_collection'!G219="N.A","",'WetLitterbags placem_collection'!G219)</f>
        <v>42814</v>
      </c>
      <c r="S292" s="195">
        <f>IF(IFERROR(INDEX('Both teabags AfterWet'!$C$3:$C$841,MATCH(H292,'Both teabags AfterWet'!$A$3:$A$841,0)),"")="N.A","",(IFERROR(INDEX('Both teabags AfterWet'!$C$3:$C$841,MATCH(H292,'Both teabags AfterWet'!$A$3:$A$841,0)),"")))</f>
        <v>0.78100000000000003</v>
      </c>
      <c r="T292" s="195">
        <f>IFERROR(INDEX('Both teabags AfterWet'!$C$3:$C$841,MATCH(I292,'Both teabags AfterWet'!$A$3:$A$841,0)),"")</f>
        <v>1.38</v>
      </c>
      <c r="U292" s="195">
        <f t="shared" si="43"/>
        <v>0.63040000000000007</v>
      </c>
      <c r="V292" s="195">
        <f t="shared" si="43"/>
        <v>1.2293999999999998</v>
      </c>
      <c r="W292" s="195">
        <f>IFERROR(INDEX('Ashed teabags wet'!$K$2:$K$821,MATCH(H292,'Ashed teabags wet'!$A$2:$A$821,0)),"")</f>
        <v>8.99805447470772</v>
      </c>
      <c r="X292" s="195">
        <f>IFERROR(INDEX('Ashed teabags wet'!$K$2:$K$821,MATCH(I292,'Ashed teabags wet'!$A$2:$A$821,0)),"")</f>
        <v>5.5199605717097722</v>
      </c>
      <c r="Y292" s="195">
        <f t="shared" si="37"/>
        <v>0.57367626459144261</v>
      </c>
      <c r="Z292" s="195">
        <f t="shared" si="37"/>
        <v>1.1615376047313999</v>
      </c>
      <c r="AA292" s="195">
        <f t="shared" si="44"/>
        <v>0.64351826016217628</v>
      </c>
      <c r="AB292" s="195">
        <f t="shared" si="45"/>
        <v>0.4218789544056073</v>
      </c>
      <c r="AC292" s="195">
        <f t="shared" si="38"/>
        <v>0.61264756912039287</v>
      </c>
      <c r="AD292">
        <f t="shared" si="39"/>
        <v>45</v>
      </c>
      <c r="AE292" s="195">
        <f t="shared" si="46"/>
        <v>0.23572653187389991</v>
      </c>
      <c r="AF292" s="195">
        <f t="shared" si="47"/>
        <v>5.5622013521556643E-2</v>
      </c>
      <c r="AG292" s="255" t="str">
        <f>IF(ISNUMBER(SEARCH("C",'WetLitterbags placem_collection'!AD219)),"YES","NO")</f>
        <v>NO</v>
      </c>
      <c r="AH292" s="255" t="str">
        <f>IF(ISNUMBER(SEARCH("H", 'WetLitterbags placem_collection'!AD219)),"YES","NO")</f>
        <v>NO</v>
      </c>
      <c r="AI292" s="255" t="str">
        <f>IF(ISNUMBER(SEARCH("R", 'WetLitterbags placem_collection'!AD219)),"YES","NO")</f>
        <v>NO</v>
      </c>
      <c r="AJ292" s="255" t="str">
        <f>IF(ISNUMBER(SEARCH("C", 'WetLitterbags placem_collection'!AC219)),"YES","NO")</f>
        <v>NO</v>
      </c>
      <c r="AK292" s="255" t="str">
        <f>IF(ISNUMBER(SEARCH("H", 'WetLitterbags placem_collection'!AC219)),"YES","NO")</f>
        <v>NO</v>
      </c>
      <c r="AL292" s="255" t="str">
        <f>IF(ISNUMBER(SEARCH("R", 'WetLitterbags placem_collection'!AC219)),"YES","NO")</f>
        <v>NO</v>
      </c>
    </row>
    <row r="293" spans="2:38">
      <c r="B293" t="str">
        <f>'Final data_for_R_analysis_Wetse'!A219</f>
        <v>Wet</v>
      </c>
      <c r="C293" s="263">
        <f>'Final data_for_R_analysis_Wetse'!B219</f>
        <v>218</v>
      </c>
      <c r="D293" t="s">
        <v>2437</v>
      </c>
      <c r="E293" t="s">
        <v>22</v>
      </c>
      <c r="F293" s="387">
        <v>2</v>
      </c>
      <c r="G293" s="16">
        <f>'WetLitterbags placem_collection'!E220</f>
        <v>42769</v>
      </c>
      <c r="H293" t="str">
        <f>'Final data_for_R_analysis_Wetse'!J219</f>
        <v>G251</v>
      </c>
      <c r="I293" t="str">
        <f>'Final data_for_R_analysis_Wetse'!J439</f>
        <v>R442</v>
      </c>
      <c r="J293">
        <f>IFERROR(INDEX('Green_rooibos initial weight'!$C$5:$C$1749,MATCH(H293, 'Green_rooibos initial weight'!$A$5:$A$1749,0)),"")</f>
        <v>2.0539999999999998</v>
      </c>
      <c r="K293">
        <f>IFERROR(INDEX('Green_rooibos initial weight'!$C$5:$C$1749,MATCH(I293, 'Green_rooibos initial weight'!$A$5:$A$1749,0)),"")</f>
        <v>2.2290000000000001</v>
      </c>
      <c r="L293" s="195">
        <f t="shared" si="40"/>
        <v>1.8041999999999998</v>
      </c>
      <c r="M293" s="195">
        <f>AVERAGE(Ashed_controlls!$K$2:$K$11)</f>
        <v>5.5147656768714146</v>
      </c>
      <c r="N293" s="195">
        <f t="shared" si="36"/>
        <v>1.7047025976578858</v>
      </c>
      <c r="O293" s="195">
        <f t="shared" si="41"/>
        <v>1.9792000000000001</v>
      </c>
      <c r="P293" s="195">
        <f>AVERAGE(Ashed_controlls!$K$12:$K$14)</f>
        <v>2.2816647271287041</v>
      </c>
      <c r="Q293" s="195">
        <f t="shared" si="42"/>
        <v>1.9340412917206689</v>
      </c>
      <c r="R293" s="16">
        <f>IF('WetLitterbags placem_collection'!G220="N.A","",'WetLitterbags placem_collection'!G220)</f>
        <v>42814</v>
      </c>
      <c r="S293" s="195">
        <f>IF(IFERROR(INDEX('Both teabags AfterWet'!$C$3:$C$841,MATCH(H293,'Both teabags AfterWet'!$A$3:$A$841,0)),"")="N.A","",(IFERROR(INDEX('Both teabags AfterWet'!$C$3:$C$841,MATCH(H293,'Both teabags AfterWet'!$A$3:$A$841,0)),"")))</f>
        <v>0.75700000000000001</v>
      </c>
      <c r="T293" s="195">
        <f>IFERROR(INDEX('Both teabags AfterWet'!$C$3:$C$841,MATCH(I293,'Both teabags AfterWet'!$A$3:$A$841,0)),"")</f>
        <v>1.3831</v>
      </c>
      <c r="U293" s="195">
        <f t="shared" si="43"/>
        <v>0.60640000000000005</v>
      </c>
      <c r="V293" s="195">
        <f t="shared" si="43"/>
        <v>1.2324999999999999</v>
      </c>
      <c r="W293" s="195">
        <f>IFERROR(INDEX('Ashed teabags wet'!$K$2:$K$821,MATCH(H293,'Ashed teabags wet'!$A$2:$A$821,0)),"")</f>
        <v>12.853598014887801</v>
      </c>
      <c r="X293" s="195">
        <f>IFERROR(INDEX('Ashed teabags wet'!$K$2:$K$821,MATCH(I293,'Ashed teabags wet'!$A$2:$A$821,0)),"")</f>
        <v>6.7454455933042237</v>
      </c>
      <c r="Y293" s="195">
        <f t="shared" si="37"/>
        <v>0.52845578163772045</v>
      </c>
      <c r="Z293" s="195">
        <f t="shared" si="37"/>
        <v>1.1493623830625255</v>
      </c>
      <c r="AA293" s="195">
        <f t="shared" si="44"/>
        <v>0.69000118709047953</v>
      </c>
      <c r="AB293" s="195">
        <f t="shared" si="45"/>
        <v>0.45235232217808163</v>
      </c>
      <c r="AC293" s="195">
        <f t="shared" si="38"/>
        <v>0.59428016763797531</v>
      </c>
      <c r="AD293">
        <f t="shared" si="39"/>
        <v>45</v>
      </c>
      <c r="AE293" s="195">
        <f t="shared" si="46"/>
        <v>0.18052115547448988</v>
      </c>
      <c r="AF293" s="195">
        <f t="shared" si="47"/>
        <v>5.0492529899916969E-2</v>
      </c>
      <c r="AG293" s="255" t="str">
        <f>IF(ISNUMBER(SEARCH("C",'WetLitterbags placem_collection'!AD220)),"YES","NO")</f>
        <v>NO</v>
      </c>
      <c r="AH293" s="255" t="str">
        <f>IF(ISNUMBER(SEARCH("H", 'WetLitterbags placem_collection'!AD220)),"YES","NO")</f>
        <v>NO</v>
      </c>
      <c r="AI293" s="255" t="str">
        <f>IF(ISNUMBER(SEARCH("R", 'WetLitterbags placem_collection'!AD220)),"YES","NO")</f>
        <v>NO</v>
      </c>
      <c r="AJ293" s="255" t="str">
        <f>IF(ISNUMBER(SEARCH("C", 'WetLitterbags placem_collection'!AC220)),"YES","NO")</f>
        <v>NO</v>
      </c>
      <c r="AK293" s="255" t="str">
        <f>IF(ISNUMBER(SEARCH("H", 'WetLitterbags placem_collection'!AC220)),"YES","NO")</f>
        <v>NO</v>
      </c>
      <c r="AL293" s="255" t="str">
        <f>IF(ISNUMBER(SEARCH("R", 'WetLitterbags placem_collection'!AC220)),"YES","NO")</f>
        <v>NO</v>
      </c>
    </row>
    <row r="294" spans="2:38">
      <c r="B294" t="str">
        <f>'Final data_for_R_analysis_Wetse'!A220</f>
        <v>Wet</v>
      </c>
      <c r="C294" s="386">
        <f>'Final data_for_R_analysis_Wetse'!B220</f>
        <v>219</v>
      </c>
      <c r="D294" t="s">
        <v>2444</v>
      </c>
      <c r="E294" t="s">
        <v>22</v>
      </c>
      <c r="F294" s="387">
        <v>3</v>
      </c>
      <c r="G294" s="388">
        <f>'WetLitterbags placem_collection'!E221</f>
        <v>42769</v>
      </c>
      <c r="H294" s="92" t="str">
        <f>'Final data_for_R_analysis_Wetse'!J220</f>
        <v>G727</v>
      </c>
      <c r="I294" s="92" t="str">
        <f>'Final data_for_R_analysis_Wetse'!J440</f>
        <v>R176</v>
      </c>
      <c r="J294" s="92">
        <f>IFERROR(INDEX('Green_rooibos initial weight'!$C$5:$C$1749,MATCH(H294, 'Green_rooibos initial weight'!$A$5:$A$1749,0)),"")</f>
        <v>2.0270000000000001</v>
      </c>
      <c r="K294" s="92">
        <f>IFERROR(INDEX('Green_rooibos initial weight'!$C$5:$C$1749,MATCH(I294, 'Green_rooibos initial weight'!$A$5:$A$1749,0)),"")</f>
        <v>2.2160000000000002</v>
      </c>
      <c r="L294" s="195">
        <f t="shared" si="40"/>
        <v>1.7772000000000001</v>
      </c>
      <c r="M294" s="195">
        <f>AVERAGE(Ashed_controlls!$K$2:$K$11)</f>
        <v>5.5147656768714146</v>
      </c>
      <c r="N294" s="389">
        <f t="shared" si="36"/>
        <v>1.6791915843906413</v>
      </c>
      <c r="O294" s="195">
        <f t="shared" si="41"/>
        <v>1.9662000000000002</v>
      </c>
      <c r="P294" s="195">
        <f>AVERAGE(Ashed_controlls!$K$12:$K$14)</f>
        <v>2.2816647271287041</v>
      </c>
      <c r="Q294" s="195">
        <f t="shared" si="42"/>
        <v>1.9213379081351956</v>
      </c>
      <c r="R294" s="388">
        <f>IF('WetLitterbags placem_collection'!G221="N.A","",'WetLitterbags placem_collection'!G221)</f>
        <v>42813</v>
      </c>
      <c r="S294" s="389">
        <f>IF(IFERROR(INDEX('Both teabags AfterWet'!$C$3:$C$841,MATCH(H294,'Both teabags AfterWet'!$A$3:$A$841,0)),"")="N.A","",(IFERROR(INDEX('Both teabags AfterWet'!$C$3:$C$841,MATCH(H294,'Both teabags AfterWet'!$A$3:$A$841,0)),"")))</f>
        <v>0.70650000000000002</v>
      </c>
      <c r="T294" s="195">
        <f>IFERROR(INDEX('Both teabags AfterWet'!$C$3:$C$841,MATCH(I294,'Both teabags AfterWet'!$A$3:$A$841,0)),"")</f>
        <v>1.4293</v>
      </c>
      <c r="U294" s="195">
        <f t="shared" si="43"/>
        <v>0.55590000000000006</v>
      </c>
      <c r="V294" s="195">
        <f t="shared" si="43"/>
        <v>1.2786999999999999</v>
      </c>
      <c r="W294" s="195">
        <f>IFERROR(INDEX('Ashed teabags wet'!$K$2:$K$821,MATCH(H294,'Ashed teabags wet'!$A$2:$A$821,0)),"")</f>
        <v>11.604439959636602</v>
      </c>
      <c r="X294" s="195">
        <f>IFERROR(INDEX('Ashed teabags wet'!$K$2:$K$821,MATCH(I294,'Ashed teabags wet'!$A$2:$A$821,0)),"")</f>
        <v>6.3788027477918092</v>
      </c>
      <c r="Y294" s="389">
        <f t="shared" si="37"/>
        <v>0.49139091826438019</v>
      </c>
      <c r="Z294" s="389">
        <f t="shared" si="37"/>
        <v>1.197134249263986</v>
      </c>
      <c r="AA294" s="195">
        <f t="shared" si="44"/>
        <v>0.70736458970362204</v>
      </c>
      <c r="AB294" s="195">
        <f t="shared" si="45"/>
        <v>0.46373545548265965</v>
      </c>
      <c r="AC294" s="195">
        <f t="shared" si="38"/>
        <v>0.62307324713428247</v>
      </c>
      <c r="AD294" s="92">
        <f t="shared" si="39"/>
        <v>44</v>
      </c>
      <c r="AE294" s="195">
        <f t="shared" si="46"/>
        <v>0.15989953716909489</v>
      </c>
      <c r="AF294" s="195">
        <f t="shared" si="47"/>
        <v>3.8081985758745357E-2</v>
      </c>
      <c r="AG294" s="255" t="str">
        <f>IF(ISNUMBER(SEARCH("C",'WetLitterbags placem_collection'!AD221)),"YES","NO")</f>
        <v>NO</v>
      </c>
      <c r="AH294" s="255" t="str">
        <f>IF(ISNUMBER(SEARCH("H", 'WetLitterbags placem_collection'!AD221)),"YES","NO")</f>
        <v>NO</v>
      </c>
      <c r="AI294" s="255" t="str">
        <f>IF(ISNUMBER(SEARCH("R", 'WetLitterbags placem_collection'!AD221)),"YES","NO")</f>
        <v>NO</v>
      </c>
      <c r="AJ294" s="255" t="str">
        <f>IF(ISNUMBER(SEARCH("C", 'WetLitterbags placem_collection'!AC221)),"YES","NO")</f>
        <v>NO</v>
      </c>
      <c r="AK294" s="255" t="str">
        <f>IF(ISNUMBER(SEARCH("H", 'WetLitterbags placem_collection'!AC221)),"YES","NO")</f>
        <v>NO</v>
      </c>
      <c r="AL294" s="255" t="str">
        <f>IF(ISNUMBER(SEARCH("R", 'WetLitterbags placem_collection'!AC221)),"YES","NO")</f>
        <v>NO</v>
      </c>
    </row>
    <row r="295" spans="2:38">
      <c r="B295" t="str">
        <f>'Final data_for_R_analysis_Wetse'!A221</f>
        <v>Wet</v>
      </c>
      <c r="C295" s="386">
        <f>'Final data_for_R_analysis_Wetse'!B221</f>
        <v>220</v>
      </c>
      <c r="D295" t="s">
        <v>2451</v>
      </c>
      <c r="E295" t="s">
        <v>22</v>
      </c>
      <c r="F295" s="387">
        <v>4</v>
      </c>
      <c r="G295" s="388">
        <f>'WetLitterbags placem_collection'!E222</f>
        <v>42769</v>
      </c>
      <c r="H295" s="92" t="str">
        <f>'Final data_for_R_analysis_Wetse'!J221</f>
        <v>G782</v>
      </c>
      <c r="I295" s="92" t="str">
        <f>'Final data_for_R_analysis_Wetse'!J441</f>
        <v>R250</v>
      </c>
      <c r="J295" s="92">
        <f>IFERROR(INDEX('Green_rooibos initial weight'!$C$5:$C$1749,MATCH(H295, 'Green_rooibos initial weight'!$A$5:$A$1749,0)),"")</f>
        <v>1.9510000000000001</v>
      </c>
      <c r="K295" s="92">
        <f>IFERROR(INDEX('Green_rooibos initial weight'!$C$5:$C$1749,MATCH(I295, 'Green_rooibos initial weight'!$A$5:$A$1749,0)),"")</f>
        <v>2.2639999999999998</v>
      </c>
      <c r="L295" s="195">
        <f t="shared" si="40"/>
        <v>1.7012</v>
      </c>
      <c r="M295" s="195">
        <f>AVERAGE(Ashed_controlls!$K$2:$K$11)</f>
        <v>5.5147656768714146</v>
      </c>
      <c r="N295" s="389">
        <f t="shared" si="36"/>
        <v>1.6073828063050635</v>
      </c>
      <c r="O295" s="195">
        <f t="shared" si="41"/>
        <v>2.0141999999999998</v>
      </c>
      <c r="P295" s="195">
        <f>AVERAGE(Ashed_controlls!$K$12:$K$14)</f>
        <v>2.2816647271287041</v>
      </c>
      <c r="Q295" s="195">
        <f t="shared" si="42"/>
        <v>1.9682427090661734</v>
      </c>
      <c r="R295" s="388">
        <f>IF('WetLitterbags placem_collection'!G222="N.A","",'WetLitterbags placem_collection'!G222)</f>
        <v>42813</v>
      </c>
      <c r="S295" s="389">
        <f>IF(IFERROR(INDEX('Both teabags AfterWet'!$C$3:$C$841,MATCH(H295,'Both teabags AfterWet'!$A$3:$A$841,0)),"")="N.A","",(IFERROR(INDEX('Both teabags AfterWet'!$C$3:$C$841,MATCH(H295,'Both teabags AfterWet'!$A$3:$A$841,0)),"")))</f>
        <v>0.6169</v>
      </c>
      <c r="T295" s="195">
        <f>IFERROR(INDEX('Both teabags AfterWet'!$C$3:$C$841,MATCH(I295,'Both teabags AfterWet'!$A$3:$A$841,0)),"")</f>
        <v>1.5303</v>
      </c>
      <c r="U295" s="195">
        <f t="shared" si="43"/>
        <v>0.46629999999999999</v>
      </c>
      <c r="V295" s="195">
        <f t="shared" si="43"/>
        <v>1.3796999999999999</v>
      </c>
      <c r="W295" s="195">
        <f>IFERROR(INDEX('Ashed teabags wet'!$K$2:$K$821,MATCH(H295,'Ashed teabags wet'!$A$2:$A$821,0)),"")</f>
        <v>11.045655375552919</v>
      </c>
      <c r="X295" s="195">
        <f>IFERROR(INDEX('Ashed teabags wet'!$K$2:$K$821,MATCH(I295,'Ashed teabags wet'!$A$2:$A$821,0)),"")</f>
        <v>5.6310679611650896</v>
      </c>
      <c r="Y295" s="389">
        <f t="shared" si="37"/>
        <v>0.41479410898379676</v>
      </c>
      <c r="Z295" s="389">
        <f t="shared" si="37"/>
        <v>1.3020081553398053</v>
      </c>
      <c r="AA295" s="195">
        <f t="shared" si="44"/>
        <v>0.74194441588105842</v>
      </c>
      <c r="AB295" s="195">
        <f t="shared" si="45"/>
        <v>0.48640536528069389</v>
      </c>
      <c r="AC295" s="195">
        <f t="shared" si="38"/>
        <v>0.66150792752461862</v>
      </c>
      <c r="AD295" s="92">
        <f t="shared" si="39"/>
        <v>44</v>
      </c>
      <c r="AE295" s="195">
        <f t="shared" si="46"/>
        <v>0.11883085999874299</v>
      </c>
      <c r="AF295" s="195">
        <f t="shared" si="47"/>
        <v>2.705491178469981E-2</v>
      </c>
      <c r="AG295" s="255" t="str">
        <f>IF(ISNUMBER(SEARCH("C",'WetLitterbags placem_collection'!AD222)),"YES","NO")</f>
        <v>NO</v>
      </c>
      <c r="AH295" s="255" t="str">
        <f>IF(ISNUMBER(SEARCH("H", 'WetLitterbags placem_collection'!AD222)),"YES","NO")</f>
        <v>NO</v>
      </c>
      <c r="AI295" s="255" t="str">
        <f>IF(ISNUMBER(SEARCH("R", 'WetLitterbags placem_collection'!AD222)),"YES","NO")</f>
        <v>NO</v>
      </c>
      <c r="AJ295" s="255" t="str">
        <f>IF(ISNUMBER(SEARCH("C", 'WetLitterbags placem_collection'!AC222)),"YES","NO")</f>
        <v>NO</v>
      </c>
      <c r="AK295" s="255" t="str">
        <f>IF(ISNUMBER(SEARCH("H", 'WetLitterbags placem_collection'!AC222)),"YES","NO")</f>
        <v>NO</v>
      </c>
      <c r="AL295" s="255" t="str">
        <f>IF(ISNUMBER(SEARCH("R", 'WetLitterbags placem_collection'!AC222)),"YES","NO")</f>
        <v>NO</v>
      </c>
    </row>
    <row r="296" spans="2:38">
      <c r="B296" t="str">
        <f>'Final data_for_R_analysis_Wetse'!A442</f>
        <v>Wet</v>
      </c>
      <c r="C296" s="386">
        <f>'Final data_for_R_analysis_Wetse'!B442</f>
        <v>1</v>
      </c>
      <c r="D296" t="s">
        <v>3824</v>
      </c>
      <c r="E296" t="s">
        <v>25</v>
      </c>
      <c r="F296" s="386">
        <v>1</v>
      </c>
      <c r="G296" s="388">
        <f>'WetLitterbags placem_collection'!E3</f>
        <v>42766</v>
      </c>
      <c r="H296" s="92" t="str">
        <f>'Final data_for_R_analysis_Wetse'!J442</f>
        <v>G752</v>
      </c>
      <c r="I296" s="92" t="str">
        <f>'Final data_for_R_analysis_Wetse'!J662</f>
        <v>R133</v>
      </c>
      <c r="J296" s="92">
        <f>IFERROR(INDEX('Green_rooibos initial weight'!$C$5:$C$1749,MATCH(H296, 'Green_rooibos initial weight'!$A$5:$A$1749,0)),"")</f>
        <v>2.15</v>
      </c>
      <c r="K296" s="92">
        <f>IFERROR(INDEX('Green_rooibos initial weight'!$C$5:$C$1749,MATCH(I296, 'Green_rooibos initial weight'!$A$5:$A$1749,0)),"")</f>
        <v>2.1760000000000002</v>
      </c>
      <c r="L296" s="195">
        <f t="shared" si="40"/>
        <v>1.9001999999999999</v>
      </c>
      <c r="M296" s="195">
        <f>AVERAGE(Ashed_controlls!$K$2:$K$11)</f>
        <v>5.5147656768714146</v>
      </c>
      <c r="N296" s="389">
        <f t="shared" si="36"/>
        <v>1.7954084226080893</v>
      </c>
      <c r="O296" s="195">
        <f t="shared" si="41"/>
        <v>1.9262000000000001</v>
      </c>
      <c r="P296" s="195">
        <f>AVERAGE(Ashed_controlls!$K$12:$K$14)</f>
        <v>2.2816647271287041</v>
      </c>
      <c r="Q296" s="195">
        <f t="shared" si="42"/>
        <v>1.8822505740260471</v>
      </c>
      <c r="R296" s="388">
        <f>IF('WetLitterbags placem_collection'!G3="N.A","",'WetLitterbags placem_collection'!G3)</f>
        <v>42818</v>
      </c>
      <c r="S296" s="389">
        <f>IF(IFERROR(INDEX('Both teabags AfterWet'!$C$3:$C$841,MATCH(H296,'Both teabags AfterWet'!$A$3:$A$841,0)),"")="N.A","",(IFERROR(INDEX('Both teabags AfterWet'!$C$3:$C$841,MATCH(H296,'Both teabags AfterWet'!$A$3:$A$841,0)),"")))</f>
        <v>0.47</v>
      </c>
      <c r="T296" s="195">
        <f>IFERROR(INDEX('Both teabags AfterWet'!$C$3:$C$841,MATCH(I296,'Both teabags AfterWet'!$A$3:$A$841,0)),"")</f>
        <v>1.4104000000000001</v>
      </c>
      <c r="U296" s="195">
        <f t="shared" si="43"/>
        <v>0.31939999999999996</v>
      </c>
      <c r="V296" s="195">
        <f t="shared" si="43"/>
        <v>1.2598</v>
      </c>
      <c r="W296" s="195">
        <f>IFERROR(INDEX('Ashed teabags wet'!$K$2:$K$821,MATCH(H296,'Ashed teabags wet'!$A$2:$A$821,0)),"")</f>
        <v>15.221674876847116</v>
      </c>
      <c r="X296" s="195" t="str">
        <f>IFERROR(INDEX('Ashed teabags wet'!$K$2:$K$821,MATCH(I296,'Ashed teabags wet'!$A$2:$A$821,0)),"")</f>
        <v/>
      </c>
      <c r="Y296" s="389">
        <f t="shared" si="37"/>
        <v>0.27078197044335028</v>
      </c>
      <c r="Z296" s="389" t="str">
        <f t="shared" si="37"/>
        <v/>
      </c>
      <c r="AA296" s="195">
        <f t="shared" si="44"/>
        <v>0.84918085097874252</v>
      </c>
      <c r="AB296" s="195">
        <f t="shared" si="45"/>
        <v>0.55670763627109976</v>
      </c>
      <c r="AC296" s="195" t="str">
        <f t="shared" si="38"/>
        <v/>
      </c>
      <c r="AD296" s="92">
        <f t="shared" si="39"/>
        <v>52</v>
      </c>
      <c r="AE296" s="195">
        <f t="shared" si="46"/>
        <v>-8.5283265780791151E-3</v>
      </c>
      <c r="AF296" s="195" t="str">
        <f t="shared" si="47"/>
        <v/>
      </c>
      <c r="AG296" s="255" t="str">
        <f>IF(ISNUMBER(SEARCH("C",'WetLitterbags placem_collection'!AF3)),"YES","NO")</f>
        <v>NO</v>
      </c>
      <c r="AH296" s="255" t="str">
        <f>IF(ISNUMBER(SEARCH("H", 'WetLitterbags placem_collection'!AF3)),"YES","NO")</f>
        <v>NO</v>
      </c>
      <c r="AI296" s="255" t="str">
        <f>IF(ISNUMBER(SEARCH("R", 'WetLitterbags placem_collection'!XF3)),"YES","NO")</f>
        <v>NO</v>
      </c>
      <c r="AJ296" s="255" t="str">
        <f>IF(ISNUMBER(SEARCH("C", 'WetLitterbags placem_collection'!WE3)),"YES","NO")</f>
        <v>NO</v>
      </c>
      <c r="AK296" s="255" t="str">
        <f>IF(ISNUMBER(SEARCH("H", 'WetLitterbags placem_collection'!AE3)),"YES","NO")</f>
        <v>NO</v>
      </c>
      <c r="AL296" s="255" t="str">
        <f>IF(ISNUMBER(SEARCH("R", 'WetLitterbags placem_collection'!AE3)),"YES","NO")</f>
        <v>YES</v>
      </c>
    </row>
    <row r="297" spans="2:38">
      <c r="B297" t="str">
        <f>'Final data_for_R_analysis_Wetse'!A443</f>
        <v>Wet</v>
      </c>
      <c r="C297" s="386">
        <f>'Final data_for_R_analysis_Wetse'!B443</f>
        <v>2</v>
      </c>
      <c r="D297" t="s">
        <v>3824</v>
      </c>
      <c r="E297" t="s">
        <v>25</v>
      </c>
      <c r="F297" s="386">
        <v>2</v>
      </c>
      <c r="G297" s="388">
        <f>'WetLitterbags placem_collection'!E4</f>
        <v>42766</v>
      </c>
      <c r="H297" s="92" t="str">
        <f>'Final data_for_R_analysis_Wetse'!J443</f>
        <v>G737</v>
      </c>
      <c r="I297" s="92" t="str">
        <f>'Final data_for_R_analysis_Wetse'!J663</f>
        <v>R527</v>
      </c>
      <c r="J297" s="92">
        <f>IFERROR(INDEX('Green_rooibos initial weight'!$C$5:$C$1749,MATCH(H297, 'Green_rooibos initial weight'!$A$5:$A$1749,0)),"")</f>
        <v>1.841</v>
      </c>
      <c r="K297" s="92">
        <f>IFERROR(INDEX('Green_rooibos initial weight'!$C$5:$C$1749,MATCH(I297, 'Green_rooibos initial weight'!$A$5:$A$1749,0)),"")</f>
        <v>2.1859999999999999</v>
      </c>
      <c r="L297" s="195">
        <f t="shared" si="40"/>
        <v>1.5911999999999999</v>
      </c>
      <c r="M297" s="195">
        <f>AVERAGE(Ashed_controlls!$K$2:$K$11)</f>
        <v>5.5147656768714146</v>
      </c>
      <c r="N297" s="389">
        <f t="shared" si="36"/>
        <v>1.5034490485496219</v>
      </c>
      <c r="O297" s="195">
        <f t="shared" si="41"/>
        <v>1.9361999999999999</v>
      </c>
      <c r="P297" s="195">
        <f>AVERAGE(Ashed_controlls!$K$12:$K$14)</f>
        <v>2.2816647271287041</v>
      </c>
      <c r="Q297" s="195">
        <f t="shared" si="42"/>
        <v>1.8920224075533341</v>
      </c>
      <c r="R297" s="388">
        <f>IF('WetLitterbags placem_collection'!G4="N.A","",'WetLitterbags placem_collection'!G4)</f>
        <v>42818</v>
      </c>
      <c r="S297" s="389">
        <f>IF(IFERROR(INDEX('Both teabags AfterWet'!$C$3:$C$841,MATCH(H297,'Both teabags AfterWet'!$A$3:$A$841,0)),"")="N.A","",(IFERROR(INDEX('Both teabags AfterWet'!$C$3:$C$841,MATCH(H297,'Both teabags AfterWet'!$A$3:$A$841,0)),"")))</f>
        <v>0.57869999999999999</v>
      </c>
      <c r="T297" s="195">
        <f>IFERROR(INDEX('Both teabags AfterWet'!$C$3:$C$841,MATCH(I297,'Both teabags AfterWet'!$A$3:$A$841,0)),"")</f>
        <v>1.3275999999999999</v>
      </c>
      <c r="U297" s="195">
        <f t="shared" si="43"/>
        <v>0.42809999999999998</v>
      </c>
      <c r="V297" s="195">
        <f t="shared" si="43"/>
        <v>1.1769999999999998</v>
      </c>
      <c r="W297" s="195">
        <f>IFERROR(INDEX('Ashed teabags wet'!$K$2:$K$821,MATCH(H297,'Ashed teabags wet'!$A$2:$A$821,0)),"")</f>
        <v>8.1337325349297291</v>
      </c>
      <c r="X297" s="195">
        <f>IFERROR(INDEX('Ashed teabags wet'!$K$2:$K$821,MATCH(I297,'Ashed teabags wet'!$A$2:$A$821,0)),"")</f>
        <v>4.4433349975038503</v>
      </c>
      <c r="Y297" s="389">
        <f t="shared" si="37"/>
        <v>0.39327949101796583</v>
      </c>
      <c r="Z297" s="389">
        <f t="shared" si="37"/>
        <v>1.1247019470793795</v>
      </c>
      <c r="AA297" s="195">
        <f t="shared" si="44"/>
        <v>0.73841515188202567</v>
      </c>
      <c r="AB297" s="195">
        <f t="shared" si="45"/>
        <v>0.48409164351410716</v>
      </c>
      <c r="AC297" s="195">
        <f t="shared" si="38"/>
        <v>0.59444430604486664</v>
      </c>
      <c r="AD297" s="92">
        <f t="shared" si="39"/>
        <v>52</v>
      </c>
      <c r="AE297" s="195">
        <f t="shared" si="46"/>
        <v>0.12302238493821172</v>
      </c>
      <c r="AF297" s="195">
        <f t="shared" si="47"/>
        <v>3.4975341514860286E-2</v>
      </c>
      <c r="AG297" s="255" t="str">
        <f>IF(ISNUMBER(SEARCH("C",'WetLitterbags placem_collection'!AD224)),"YES","NO")</f>
        <v>YES</v>
      </c>
      <c r="AH297" s="255" t="str">
        <f>IF(ISNUMBER(SEARCH("H", 'WetLitterbags placem_collection'!AF4)),"YES","NO")</f>
        <v>NO</v>
      </c>
      <c r="AI297" s="255" t="str">
        <f>IF(ISNUMBER(SEARCH("R", 'WetLitterbags placem_collection'!XF4)),"YES","NO")</f>
        <v>NO</v>
      </c>
      <c r="AJ297" s="255" t="str">
        <f>IF(ISNUMBER(SEARCH("C", 'WetLitterbags placem_collection'!WE4)),"YES","NO")</f>
        <v>NO</v>
      </c>
      <c r="AK297" s="255" t="str">
        <f>IF(ISNUMBER(SEARCH("H", 'WetLitterbags placem_collection'!AE4)),"YES","NO")</f>
        <v>NO</v>
      </c>
      <c r="AL297" s="255" t="str">
        <f>IF(ISNUMBER(SEARCH("R", 'WetLitterbags placem_collection'!AE4)),"YES","NO")</f>
        <v>YES</v>
      </c>
    </row>
    <row r="298" spans="2:38">
      <c r="B298" t="str">
        <f>'Final data_for_R_analysis_Wetse'!A444</f>
        <v>Wet</v>
      </c>
      <c r="C298" s="263">
        <f>'Final data_for_R_analysis_Wetse'!B444</f>
        <v>3</v>
      </c>
      <c r="D298" t="s">
        <v>3824</v>
      </c>
      <c r="E298" t="s">
        <v>25</v>
      </c>
      <c r="F298" s="386">
        <v>3</v>
      </c>
      <c r="G298" s="16">
        <f>'WetLitterbags placem_collection'!E5</f>
        <v>42766</v>
      </c>
      <c r="H298" s="92" t="str">
        <f>'Final data_for_R_analysis_Wetse'!J444</f>
        <v>G661</v>
      </c>
      <c r="I298" t="str">
        <f>'Final data_for_R_analysis_Wetse'!J664</f>
        <v>R498</v>
      </c>
      <c r="J298">
        <f>IFERROR(INDEX('Green_rooibos initial weight'!$C$5:$C$1749,MATCH(H298, 'Green_rooibos initial weight'!$A$5:$A$1749,0)),"")</f>
        <v>2.0630000000000002</v>
      </c>
      <c r="K298">
        <f>IFERROR(INDEX('Green_rooibos initial weight'!$C$5:$C$1749,MATCH(I298, 'Green_rooibos initial weight'!$A$5:$A$1749,0)),"")</f>
        <v>2.1520000000000001</v>
      </c>
      <c r="L298" s="195">
        <f t="shared" si="40"/>
        <v>1.8132000000000001</v>
      </c>
      <c r="M298" s="195">
        <f>AVERAGE(Ashed_controlls!$K$2:$K$11)</f>
        <v>5.5147656768714146</v>
      </c>
      <c r="N298" s="195">
        <f t="shared" si="36"/>
        <v>1.7132062687469676</v>
      </c>
      <c r="O298" s="195">
        <f t="shared" si="41"/>
        <v>1.9022000000000001</v>
      </c>
      <c r="P298" s="195">
        <f>AVERAGE(Ashed_controlls!$K$12:$K$14)</f>
        <v>2.2816647271287041</v>
      </c>
      <c r="Q298" s="195">
        <f t="shared" si="42"/>
        <v>1.8587981735605579</v>
      </c>
      <c r="R298" s="16">
        <f>IF('WetLitterbags placem_collection'!G5="N.A","",'WetLitterbags placem_collection'!G5)</f>
        <v>0</v>
      </c>
      <c r="S298" s="195" t="str">
        <f>IF(IFERROR(INDEX('Both teabags AfterWet'!$C$3:$C$841,MATCH(H298,'Both teabags AfterWet'!$A$3:$A$841,0)),"")="N.A","",(IFERROR(INDEX('Both teabags AfterWet'!$C$3:$C$841,MATCH(H298,'Both teabags AfterWet'!$A$3:$A$841,0)),"")))</f>
        <v/>
      </c>
      <c r="T298" s="195" t="str">
        <f>IFERROR(INDEX('Both teabags AfterWet'!$C$3:$C$841,MATCH(I298,'Both teabags AfterWet'!$A$3:$A$841,0)),"")</f>
        <v/>
      </c>
      <c r="U298" s="195" t="str">
        <f t="shared" si="43"/>
        <v/>
      </c>
      <c r="V298" s="195" t="str">
        <f t="shared" si="43"/>
        <v/>
      </c>
      <c r="W298" s="195" t="str">
        <f>IFERROR(INDEX('Ashed teabags wet'!$K$2:$K$821,MATCH(H298,'Ashed teabags wet'!$A$2:$A$821,0)),"")</f>
        <v/>
      </c>
      <c r="X298" s="195" t="str">
        <f>IFERROR(INDEX('Ashed teabags wet'!$K$2:$K$821,MATCH(I298,'Ashed teabags wet'!$A$2:$A$821,0)),"")</f>
        <v/>
      </c>
      <c r="Y298" s="195" t="str">
        <f t="shared" si="37"/>
        <v/>
      </c>
      <c r="Z298" s="195" t="str">
        <f t="shared" si="37"/>
        <v/>
      </c>
      <c r="AA298" s="195" t="str">
        <f t="shared" si="44"/>
        <v/>
      </c>
      <c r="AB298" s="195" t="str">
        <f t="shared" si="45"/>
        <v/>
      </c>
      <c r="AC298" s="195" t="str">
        <f t="shared" si="38"/>
        <v/>
      </c>
      <c r="AD298" t="str">
        <f t="shared" si="39"/>
        <v/>
      </c>
      <c r="AE298" s="195" t="str">
        <f t="shared" si="46"/>
        <v/>
      </c>
      <c r="AF298" s="195" t="str">
        <f t="shared" si="47"/>
        <v/>
      </c>
      <c r="AG298" s="255" t="str">
        <f>IF(ISNUMBER(SEARCH("C",'WetLitterbags placem_collection'!AD225)),"YES","NO")</f>
        <v>NO</v>
      </c>
      <c r="AH298" s="255" t="str">
        <f>IF(ISNUMBER(SEARCH("H", 'WetLitterbags placem_collection'!AF5)),"YES","NO")</f>
        <v>NO</v>
      </c>
      <c r="AI298" s="255" t="str">
        <f>IF(ISNUMBER(SEARCH("R", 'WetLitterbags placem_collection'!XF5)),"YES","NO")</f>
        <v>NO</v>
      </c>
      <c r="AJ298" s="255" t="str">
        <f>IF(ISNUMBER(SEARCH("C", 'WetLitterbags placem_collection'!WE5)),"YES","NO")</f>
        <v>NO</v>
      </c>
      <c r="AK298" s="255" t="str">
        <f>IF(ISNUMBER(SEARCH("H", 'WetLitterbags placem_collection'!AE5)),"YES","NO")</f>
        <v>NO</v>
      </c>
      <c r="AL298" s="255" t="str">
        <f>IF(ISNUMBER(SEARCH("R", 'WetLitterbags placem_collection'!AE5)),"YES","NO")</f>
        <v>YES</v>
      </c>
    </row>
    <row r="299" spans="2:38">
      <c r="B299" t="str">
        <f>'Final data_for_R_analysis_Wetse'!A445</f>
        <v>Wet</v>
      </c>
      <c r="C299" s="263">
        <f>'Final data_for_R_analysis_Wetse'!B445</f>
        <v>4</v>
      </c>
      <c r="D299" t="s">
        <v>3824</v>
      </c>
      <c r="E299" t="s">
        <v>25</v>
      </c>
      <c r="F299" s="387">
        <v>4</v>
      </c>
      <c r="G299" s="16">
        <f>'WetLitterbags placem_collection'!E6</f>
        <v>42766</v>
      </c>
      <c r="H299" s="92" t="str">
        <f>'Final data_for_R_analysis_Wetse'!J445</f>
        <v>G532</v>
      </c>
      <c r="I299" t="str">
        <f>'Final data_for_R_analysis_Wetse'!J665</f>
        <v>R508</v>
      </c>
      <c r="J299">
        <f>IFERROR(INDEX('Green_rooibos initial weight'!$C$5:$C$1749,MATCH(H299, 'Green_rooibos initial weight'!$A$5:$A$1749,0)),"")</f>
        <v>2.036</v>
      </c>
      <c r="K299">
        <f>IFERROR(INDEX('Green_rooibos initial weight'!$C$5:$C$1749,MATCH(I299, 'Green_rooibos initial weight'!$A$5:$A$1749,0)),"")</f>
        <v>2.169</v>
      </c>
      <c r="L299" s="195">
        <f t="shared" si="40"/>
        <v>1.7862</v>
      </c>
      <c r="M299" s="195">
        <f>AVERAGE(Ashed_controlls!$K$2:$K$11)</f>
        <v>5.5147656768714146</v>
      </c>
      <c r="N299" s="195">
        <f t="shared" si="36"/>
        <v>1.6876952554797229</v>
      </c>
      <c r="O299" s="195">
        <f t="shared" si="41"/>
        <v>1.9192</v>
      </c>
      <c r="P299" s="195">
        <f>AVERAGE(Ashed_controlls!$K$12:$K$14)</f>
        <v>2.2816647271287041</v>
      </c>
      <c r="Q299" s="195">
        <f t="shared" si="42"/>
        <v>1.8754102905569459</v>
      </c>
      <c r="R299" s="16">
        <f>IF('WetLitterbags placem_collection'!G6="N.A","",'WetLitterbags placem_collection'!G6)</f>
        <v>42818</v>
      </c>
      <c r="S299" s="195">
        <f>IF(IFERROR(INDEX('Both teabags AfterWet'!$C$3:$C$841,MATCH(H299,'Both teabags AfterWet'!$A$3:$A$841,0)),"")="N.A","",(IFERROR(INDEX('Both teabags AfterWet'!$C$3:$C$841,MATCH(H299,'Both teabags AfterWet'!$A$3:$A$841,0)),"")))</f>
        <v>0.55969999999999998</v>
      </c>
      <c r="T299" s="195">
        <f>IFERROR(INDEX('Both teabags AfterWet'!$C$3:$C$841,MATCH(I299,'Both teabags AfterWet'!$A$3:$A$841,0)),"")</f>
        <v>1.3392999999999999</v>
      </c>
      <c r="U299" s="195">
        <f t="shared" si="43"/>
        <v>0.40909999999999996</v>
      </c>
      <c r="V299" s="195">
        <f t="shared" si="43"/>
        <v>1.1886999999999999</v>
      </c>
      <c r="W299" s="195">
        <f>IFERROR(INDEX('Ashed teabags wet'!$K$2:$K$821,MATCH(H299,'Ashed teabags wet'!$A$2:$A$821,0)),"")</f>
        <v>9.5283926852740137</v>
      </c>
      <c r="X299" s="195">
        <f>IFERROR(INDEX('Ashed teabags wet'!$K$2:$K$821,MATCH(I299,'Ashed teabags wet'!$A$2:$A$821,0)),"")</f>
        <v>4.9578582052553344</v>
      </c>
      <c r="Y299" s="195">
        <f t="shared" si="37"/>
        <v>0.37011934552454395</v>
      </c>
      <c r="Z299" s="195">
        <f t="shared" si="37"/>
        <v>1.1297659395141297</v>
      </c>
      <c r="AA299" s="195">
        <f t="shared" si="44"/>
        <v>0.78069539253439535</v>
      </c>
      <c r="AB299" s="195">
        <f t="shared" si="45"/>
        <v>0.51180980603205017</v>
      </c>
      <c r="AC299" s="195">
        <f t="shared" si="38"/>
        <v>0.60241001406610606</v>
      </c>
      <c r="AD299">
        <f t="shared" si="39"/>
        <v>52</v>
      </c>
      <c r="AE299" s="195">
        <f t="shared" si="46"/>
        <v>7.2808322405706227E-2</v>
      </c>
      <c r="AF299" s="195">
        <f t="shared" si="47"/>
        <v>2.8842850870079397E-2</v>
      </c>
      <c r="AG299" s="255" t="str">
        <f>IF(ISNUMBER(SEARCH("C",'WetLitterbags placem_collection'!AD226)),"YES","NO")</f>
        <v>NO</v>
      </c>
      <c r="AH299" s="255" t="str">
        <f>IF(ISNUMBER(SEARCH("H", 'WetLitterbags placem_collection'!AF6)),"YES","NO")</f>
        <v>NO</v>
      </c>
      <c r="AI299" s="255" t="str">
        <f>IF(ISNUMBER(SEARCH("R", 'WetLitterbags placem_collection'!XF6)),"YES","NO")</f>
        <v>NO</v>
      </c>
      <c r="AJ299" s="255" t="str">
        <f>IF(ISNUMBER(SEARCH("C", 'WetLitterbags placem_collection'!WE6)),"YES","NO")</f>
        <v>NO</v>
      </c>
      <c r="AK299" s="255" t="str">
        <f>IF(ISNUMBER(SEARCH("H", 'WetLitterbags placem_collection'!AE6)),"YES","NO")</f>
        <v>NO</v>
      </c>
      <c r="AL299" s="255" t="str">
        <f>IF(ISNUMBER(SEARCH("R", 'WetLitterbags placem_collection'!AE6)),"YES","NO")</f>
        <v>NO</v>
      </c>
    </row>
    <row r="300" spans="2:38">
      <c r="B300" t="str">
        <f>'Final data_for_R_analysis_Wetse'!A446</f>
        <v>Wet</v>
      </c>
      <c r="C300" s="263">
        <f>'Final data_for_R_analysis_Wetse'!B446</f>
        <v>5</v>
      </c>
      <c r="D300" t="s">
        <v>3824</v>
      </c>
      <c r="E300" t="s">
        <v>25</v>
      </c>
      <c r="F300" s="387">
        <v>5</v>
      </c>
      <c r="G300" s="16">
        <f>'WetLitterbags placem_collection'!E7</f>
        <v>42766</v>
      </c>
      <c r="H300" s="92" t="str">
        <f>'Final data_for_R_analysis_Wetse'!J446</f>
        <v>G577</v>
      </c>
      <c r="I300" t="str">
        <f>'Final data_for_R_analysis_Wetse'!J666</f>
        <v>R38</v>
      </c>
      <c r="J300">
        <f>IFERROR(INDEX('Green_rooibos initial weight'!$C$5:$C$1749,MATCH(H300, 'Green_rooibos initial weight'!$A$5:$A$1749,0)),"")</f>
        <v>1.9830000000000001</v>
      </c>
      <c r="K300">
        <f>IFERROR(INDEX('Green_rooibos initial weight'!$C$5:$C$1749,MATCH(I300, 'Green_rooibos initial weight'!$A$5:$A$1749,0)),"")</f>
        <v>2.12</v>
      </c>
      <c r="L300" s="195">
        <f t="shared" si="40"/>
        <v>1.7332000000000001</v>
      </c>
      <c r="M300" s="195">
        <f>AVERAGE(Ashed_controlls!$K$2:$K$11)</f>
        <v>5.5147656768714146</v>
      </c>
      <c r="N300" s="195">
        <f t="shared" si="36"/>
        <v>1.6376180812884646</v>
      </c>
      <c r="O300" s="195">
        <f t="shared" si="41"/>
        <v>1.8702000000000001</v>
      </c>
      <c r="P300" s="195">
        <f>AVERAGE(Ashed_controlls!$K$12:$K$14)</f>
        <v>2.2816647271287041</v>
      </c>
      <c r="Q300" s="195">
        <f t="shared" si="42"/>
        <v>1.827528306273239</v>
      </c>
      <c r="R300" s="16">
        <f>IF('WetLitterbags placem_collection'!G7="N.A","",'WetLitterbags placem_collection'!G7)</f>
        <v>42818</v>
      </c>
      <c r="S300" s="195">
        <f>IF(IFERROR(INDEX('Both teabags AfterWet'!$C$3:$C$841,MATCH(H300,'Both teabags AfterWet'!$A$3:$A$841,0)),"")="N.A","",(IFERROR(INDEX('Both teabags AfterWet'!$C$3:$C$841,MATCH(H300,'Both teabags AfterWet'!$A$3:$A$841,0)),"")))</f>
        <v>0.41870000000000002</v>
      </c>
      <c r="T300" s="195">
        <f>IFERROR(INDEX('Both teabags AfterWet'!$C$3:$C$841,MATCH(I300,'Both teabags AfterWet'!$A$3:$A$841,0)),"")</f>
        <v>1.2627999999999999</v>
      </c>
      <c r="U300" s="195">
        <f t="shared" si="43"/>
        <v>0.2681</v>
      </c>
      <c r="V300" s="195">
        <f t="shared" si="43"/>
        <v>1.1121999999999999</v>
      </c>
      <c r="W300" s="195">
        <f>IFERROR(INDEX('Ashed teabags wet'!$K$2:$K$821,MATCH(H300,'Ashed teabags wet'!$A$2:$A$821,0)),"")</f>
        <v>14.349775784752945</v>
      </c>
      <c r="X300" s="195">
        <f>IFERROR(INDEX('Ashed teabags wet'!$K$2:$K$821,MATCH(I300,'Ashed teabags wet'!$A$2:$A$821,0)),"")</f>
        <v>5.8070866141733264</v>
      </c>
      <c r="Y300" s="195">
        <f t="shared" si="37"/>
        <v>0.22962825112107738</v>
      </c>
      <c r="Z300" s="195">
        <f t="shared" si="37"/>
        <v>1.0476135826771642</v>
      </c>
      <c r="AA300" s="195">
        <f t="shared" si="44"/>
        <v>0.85977911837636301</v>
      </c>
      <c r="AB300" s="195">
        <f t="shared" si="45"/>
        <v>0.56365566905433784</v>
      </c>
      <c r="AC300" s="195">
        <f t="shared" si="38"/>
        <v>0.57324068747996315</v>
      </c>
      <c r="AD300">
        <f t="shared" si="39"/>
        <v>52</v>
      </c>
      <c r="AE300" s="195">
        <f t="shared" si="46"/>
        <v>-2.1115342489742339E-2</v>
      </c>
      <c r="AF300" s="195">
        <f t="shared" si="47"/>
        <v>2.7215758294663123E-2</v>
      </c>
      <c r="AG300" s="255" t="str">
        <f>IF(ISNUMBER(SEARCH("C",'WetLitterbags placem_collection'!AD227)),"YES","NO")</f>
        <v>NO</v>
      </c>
      <c r="AH300" s="255" t="str">
        <f>IF(ISNUMBER(SEARCH("H", 'WetLitterbags placem_collection'!AF7)),"YES","NO")</f>
        <v>NO</v>
      </c>
      <c r="AI300" s="255" t="str">
        <f>IF(ISNUMBER(SEARCH("R", 'WetLitterbags placem_collection'!XF7)),"YES","NO")</f>
        <v>NO</v>
      </c>
      <c r="AJ300" s="255" t="str">
        <f>IF(ISNUMBER(SEARCH("C", 'WetLitterbags placem_collection'!WE7)),"YES","NO")</f>
        <v>NO</v>
      </c>
      <c r="AK300" s="255" t="str">
        <f>IF(ISNUMBER(SEARCH("H", 'WetLitterbags placem_collection'!AE7)),"YES","NO")</f>
        <v>NO</v>
      </c>
      <c r="AL300" s="255" t="str">
        <f>IF(ISNUMBER(SEARCH("R", 'WetLitterbags placem_collection'!AE7)),"YES","NO")</f>
        <v>NO</v>
      </c>
    </row>
    <row r="301" spans="2:38">
      <c r="B301" t="str">
        <f>'Final data_for_R_analysis_Wetse'!A447</f>
        <v>Wet</v>
      </c>
      <c r="C301" s="263">
        <f>'Final data_for_R_analysis_Wetse'!B447</f>
        <v>6</v>
      </c>
      <c r="D301" t="s">
        <v>3824</v>
      </c>
      <c r="E301" t="s">
        <v>25</v>
      </c>
      <c r="F301" s="387">
        <v>6</v>
      </c>
      <c r="G301" s="16">
        <f>'WetLitterbags placem_collection'!E8</f>
        <v>42766</v>
      </c>
      <c r="H301" s="92" t="str">
        <f>'Final data_for_R_analysis_Wetse'!J447</f>
        <v>G634</v>
      </c>
      <c r="I301" t="str">
        <f>'Final data_for_R_analysis_Wetse'!J667</f>
        <v>R59</v>
      </c>
      <c r="J301">
        <f>IFERROR(INDEX('Green_rooibos initial weight'!$C$5:$C$1749,MATCH(H301, 'Green_rooibos initial weight'!$A$5:$A$1749,0)),"")</f>
        <v>2.02</v>
      </c>
      <c r="K301">
        <f>IFERROR(INDEX('Green_rooibos initial weight'!$C$5:$C$1749,MATCH(I301, 'Green_rooibos initial weight'!$A$5:$A$1749,0)),"")</f>
        <v>2.2029999999999998</v>
      </c>
      <c r="L301" s="195">
        <f t="shared" si="40"/>
        <v>1.7702</v>
      </c>
      <c r="M301" s="195">
        <f>AVERAGE(Ashed_controlls!$K$2:$K$11)</f>
        <v>5.5147656768714146</v>
      </c>
      <c r="N301" s="195">
        <f t="shared" si="36"/>
        <v>1.6725776179880223</v>
      </c>
      <c r="O301" s="195">
        <f t="shared" si="41"/>
        <v>1.9531999999999998</v>
      </c>
      <c r="P301" s="195">
        <f>AVERAGE(Ashed_controlls!$K$12:$K$14)</f>
        <v>2.2816647271287041</v>
      </c>
      <c r="Q301" s="195">
        <f t="shared" si="42"/>
        <v>1.908634524549722</v>
      </c>
      <c r="R301" s="16">
        <f>IF('WetLitterbags placem_collection'!G8="N.A","",'WetLitterbags placem_collection'!G8)</f>
        <v>42818</v>
      </c>
      <c r="S301" s="195">
        <f>IF(IFERROR(INDEX('Both teabags AfterWet'!$C$3:$C$841,MATCH(H301,'Both teabags AfterWet'!$A$3:$A$841,0)),"")="N.A","",(IFERROR(INDEX('Both teabags AfterWet'!$C$3:$C$841,MATCH(H301,'Both teabags AfterWet'!$A$3:$A$841,0)),"")))</f>
        <v>0.60129999999999995</v>
      </c>
      <c r="T301" s="195">
        <f>IFERROR(INDEX('Both teabags AfterWet'!$C$3:$C$841,MATCH(I301,'Both teabags AfterWet'!$A$3:$A$841,0)),"")</f>
        <v>1.4990000000000001</v>
      </c>
      <c r="U301" s="195">
        <f t="shared" si="43"/>
        <v>0.45069999999999993</v>
      </c>
      <c r="V301" s="195">
        <f t="shared" si="43"/>
        <v>1.3484</v>
      </c>
      <c r="W301" s="195">
        <f>IFERROR(INDEX('Ashed teabags wet'!$K$2:$K$821,MATCH(H301,'Ashed teabags wet'!$A$2:$A$821,0)),"")</f>
        <v>9.6630327056488774</v>
      </c>
      <c r="X301" s="195">
        <f>IFERROR(INDEX('Ashed teabags wet'!$K$2:$K$821,MATCH(I301,'Ashed teabags wet'!$A$2:$A$821,0)),"")</f>
        <v>5.3641732283467132</v>
      </c>
      <c r="Y301" s="195">
        <f t="shared" si="37"/>
        <v>0.40714871159564048</v>
      </c>
      <c r="Z301" s="195">
        <f t="shared" si="37"/>
        <v>1.2760694881889729</v>
      </c>
      <c r="AA301" s="195">
        <f t="shared" si="44"/>
        <v>0.75657410022895799</v>
      </c>
      <c r="AB301" s="195">
        <f t="shared" si="45"/>
        <v>0.49599632224036205</v>
      </c>
      <c r="AC301" s="195">
        <f t="shared" si="38"/>
        <v>0.66857718006018907</v>
      </c>
      <c r="AD301">
        <f t="shared" si="39"/>
        <v>52</v>
      </c>
      <c r="AE301" s="195">
        <f t="shared" si="46"/>
        <v>0.10145593797035868</v>
      </c>
      <c r="AF301" s="195">
        <f t="shared" si="47"/>
        <v>2.121560036449471E-2</v>
      </c>
      <c r="AG301" s="255" t="str">
        <f>IF(ISNUMBER(SEARCH("C",'WetLitterbags placem_collection'!AD228)),"YES","NO")</f>
        <v>NO</v>
      </c>
      <c r="AH301" s="255" t="str">
        <f>IF(ISNUMBER(SEARCH("H", 'WetLitterbags placem_collection'!AF8)),"YES","NO")</f>
        <v>NO</v>
      </c>
      <c r="AI301" s="255" t="str">
        <f>IF(ISNUMBER(SEARCH("R", 'WetLitterbags placem_collection'!XF8)),"YES","NO")</f>
        <v>NO</v>
      </c>
      <c r="AJ301" s="255" t="str">
        <f>IF(ISNUMBER(SEARCH("C", 'WetLitterbags placem_collection'!WE8)),"YES","NO")</f>
        <v>NO</v>
      </c>
      <c r="AK301" s="255" t="str">
        <f>IF(ISNUMBER(SEARCH("H", 'WetLitterbags placem_collection'!AE8)),"YES","NO")</f>
        <v>NO</v>
      </c>
      <c r="AL301" s="255" t="str">
        <f>IF(ISNUMBER(SEARCH("R", 'WetLitterbags placem_collection'!AE8)),"YES","NO")</f>
        <v>NO</v>
      </c>
    </row>
    <row r="302" spans="2:38">
      <c r="B302" t="str">
        <f>'Final data_for_R_analysis_Wetse'!A448</f>
        <v>Wet</v>
      </c>
      <c r="C302" s="263">
        <f>'Final data_for_R_analysis_Wetse'!B448</f>
        <v>7</v>
      </c>
      <c r="D302" t="s">
        <v>3824</v>
      </c>
      <c r="E302" t="s">
        <v>25</v>
      </c>
      <c r="F302" s="387">
        <v>7</v>
      </c>
      <c r="G302" s="16">
        <f>'WetLitterbags placem_collection'!E9</f>
        <v>42766</v>
      </c>
      <c r="H302" s="92" t="str">
        <f>'Final data_for_R_analysis_Wetse'!J448</f>
        <v>G665</v>
      </c>
      <c r="I302" t="str">
        <f>'Final data_for_R_analysis_Wetse'!J668</f>
        <v>R398</v>
      </c>
      <c r="J302">
        <f>IFERROR(INDEX('Green_rooibos initial weight'!$C$5:$C$1749,MATCH(H302, 'Green_rooibos initial weight'!$A$5:$A$1749,0)),"")</f>
        <v>2.09</v>
      </c>
      <c r="K302">
        <f>IFERROR(INDEX('Green_rooibos initial weight'!$C$5:$C$1749,MATCH(I302, 'Green_rooibos initial weight'!$A$5:$A$1749,0)),"")</f>
        <v>2.19</v>
      </c>
      <c r="L302" s="195">
        <f t="shared" si="40"/>
        <v>1.8401999999999998</v>
      </c>
      <c r="M302" s="195">
        <f>AVERAGE(Ashed_controlls!$K$2:$K$11)</f>
        <v>5.5147656768714146</v>
      </c>
      <c r="N302" s="195">
        <f t="shared" si="36"/>
        <v>1.7387172820142121</v>
      </c>
      <c r="O302" s="195">
        <f t="shared" si="41"/>
        <v>1.9401999999999999</v>
      </c>
      <c r="P302" s="195">
        <f>AVERAGE(Ashed_controlls!$K$12:$K$14)</f>
        <v>2.2816647271287041</v>
      </c>
      <c r="Q302" s="195">
        <f t="shared" si="42"/>
        <v>1.8959311409642488</v>
      </c>
      <c r="R302" s="16">
        <f>IF('WetLitterbags placem_collection'!G9="N.A","",'WetLitterbags placem_collection'!G9)</f>
        <v>42818</v>
      </c>
      <c r="S302" s="195">
        <f>IF(IFERROR(INDEX('Both teabags AfterWet'!$C$3:$C$841,MATCH(H302,'Both teabags AfterWet'!$A$3:$A$841,0)),"")="N.A","",(IFERROR(INDEX('Both teabags AfterWet'!$C$3:$C$841,MATCH(H302,'Both teabags AfterWet'!$A$3:$A$841,0)),"")))</f>
        <v>0.56399999999999995</v>
      </c>
      <c r="T302" s="195">
        <f>IFERROR(INDEX('Both teabags AfterWet'!$C$3:$C$841,MATCH(I302,'Both teabags AfterWet'!$A$3:$A$841,0)),"")</f>
        <v>1.518</v>
      </c>
      <c r="U302" s="195">
        <f t="shared" si="43"/>
        <v>0.41339999999999993</v>
      </c>
      <c r="V302" s="195">
        <f t="shared" si="43"/>
        <v>1.3673999999999999</v>
      </c>
      <c r="W302" s="195">
        <f>IFERROR(INDEX('Ashed teabags wet'!$K$2:$K$821,MATCH(H302,'Ashed teabags wet'!$A$2:$A$821,0)),"")</f>
        <v>10.694923607688283</v>
      </c>
      <c r="X302" s="195">
        <f>IFERROR(INDEX('Ashed teabags wet'!$K$2:$K$821,MATCH(I302,'Ashed teabags wet'!$A$2:$A$821,0)),"")</f>
        <v>3.7092731829574301</v>
      </c>
      <c r="Y302" s="195">
        <f t="shared" si="37"/>
        <v>0.36918718580581655</v>
      </c>
      <c r="Z302" s="195">
        <f t="shared" si="37"/>
        <v>1.3166793984962402</v>
      </c>
      <c r="AA302" s="195">
        <f t="shared" si="44"/>
        <v>0.78766692571311381</v>
      </c>
      <c r="AB302" s="195">
        <f t="shared" si="45"/>
        <v>0.5163802173321127</v>
      </c>
      <c r="AC302" s="195">
        <f t="shared" si="38"/>
        <v>0.69447638157712421</v>
      </c>
      <c r="AD302">
        <f t="shared" si="39"/>
        <v>52</v>
      </c>
      <c r="AE302" s="195">
        <f t="shared" si="46"/>
        <v>6.452859178965098E-2</v>
      </c>
      <c r="AF302" s="195">
        <f t="shared" si="47"/>
        <v>1.7224328327475811E-2</v>
      </c>
      <c r="AG302" s="255" t="str">
        <f>IF(ISNUMBER(SEARCH("C",'WetLitterbags placem_collection'!AD229)),"YES","NO")</f>
        <v>NO</v>
      </c>
      <c r="AH302" s="255" t="str">
        <f>IF(ISNUMBER(SEARCH("H", 'WetLitterbags placem_collection'!AF9)),"YES","NO")</f>
        <v>NO</v>
      </c>
      <c r="AI302" s="255" t="str">
        <f>IF(ISNUMBER(SEARCH("R", 'WetLitterbags placem_collection'!XF9)),"YES","NO")</f>
        <v>NO</v>
      </c>
      <c r="AJ302" s="255" t="str">
        <f>IF(ISNUMBER(SEARCH("C", 'WetLitterbags placem_collection'!WE9)),"YES","NO")</f>
        <v>NO</v>
      </c>
      <c r="AK302" s="255" t="str">
        <f>IF(ISNUMBER(SEARCH("H", 'WetLitterbags placem_collection'!AE9)),"YES","NO")</f>
        <v>NO</v>
      </c>
      <c r="AL302" s="255" t="str">
        <f>IF(ISNUMBER(SEARCH("R", 'WetLitterbags placem_collection'!AE9)),"YES","NO")</f>
        <v>NO</v>
      </c>
    </row>
    <row r="303" spans="2:38">
      <c r="B303" t="str">
        <f>'Final data_for_R_analysis_Wetse'!A449</f>
        <v>Wet</v>
      </c>
      <c r="C303" s="263">
        <f>'Final data_for_R_analysis_Wetse'!B449</f>
        <v>8</v>
      </c>
      <c r="D303" t="s">
        <v>3824</v>
      </c>
      <c r="E303" t="s">
        <v>25</v>
      </c>
      <c r="F303" s="387">
        <v>8</v>
      </c>
      <c r="G303" s="16">
        <f>'WetLitterbags placem_collection'!E10</f>
        <v>42766</v>
      </c>
      <c r="H303" s="92" t="str">
        <f>'Final data_for_R_analysis_Wetse'!J449</f>
        <v>G701</v>
      </c>
      <c r="I303" t="str">
        <f>'Final data_for_R_analysis_Wetse'!J669</f>
        <v>R512</v>
      </c>
      <c r="J303">
        <f>IFERROR(INDEX('Green_rooibos initial weight'!$C$5:$C$1749,MATCH(H303, 'Green_rooibos initial weight'!$A$5:$A$1749,0)),"")</f>
        <v>1.9159999999999999</v>
      </c>
      <c r="K303">
        <f>IFERROR(INDEX('Green_rooibos initial weight'!$C$5:$C$1749,MATCH(I303, 'Green_rooibos initial weight'!$A$5:$A$1749,0)),"")</f>
        <v>2.1509999999999998</v>
      </c>
      <c r="L303" s="195">
        <f t="shared" si="40"/>
        <v>1.6661999999999999</v>
      </c>
      <c r="M303" s="195">
        <f>AVERAGE(Ashed_controlls!$K$2:$K$11)</f>
        <v>5.5147656768714146</v>
      </c>
      <c r="N303" s="195">
        <f t="shared" si="36"/>
        <v>1.5743129742919684</v>
      </c>
      <c r="O303" s="195">
        <f t="shared" si="41"/>
        <v>1.9011999999999998</v>
      </c>
      <c r="P303" s="195">
        <f>AVERAGE(Ashed_controlls!$K$12:$K$14)</f>
        <v>2.2816647271287041</v>
      </c>
      <c r="Q303" s="195">
        <f t="shared" si="42"/>
        <v>1.8578209902078289</v>
      </c>
      <c r="R303" s="16">
        <f>IF('WetLitterbags placem_collection'!G10="N.A","",'WetLitterbags placem_collection'!G10)</f>
        <v>42818</v>
      </c>
      <c r="S303" s="195">
        <f>IF(IFERROR(INDEX('Both teabags AfterWet'!$C$3:$C$841,MATCH(H303,'Both teabags AfterWet'!$A$3:$A$841,0)),"")="N.A","",(IFERROR(INDEX('Both teabags AfterWet'!$C$3:$C$841,MATCH(H303,'Both teabags AfterWet'!$A$3:$A$841,0)),"")))</f>
        <v>0.59260000000000002</v>
      </c>
      <c r="T303" s="195">
        <f>IFERROR(INDEX('Both teabags AfterWet'!$C$3:$C$841,MATCH(I303,'Both teabags AfterWet'!$A$3:$A$841,0)),"")</f>
        <v>1.4733000000000001</v>
      </c>
      <c r="U303" s="195">
        <f t="shared" si="43"/>
        <v>0.442</v>
      </c>
      <c r="V303" s="195">
        <f t="shared" si="43"/>
        <v>1.3227</v>
      </c>
      <c r="W303" s="195">
        <f>IFERROR(INDEX('Ashed teabags wet'!$K$2:$K$821,MATCH(H303,'Ashed teabags wet'!$A$2:$A$821,0)),"")</f>
        <v>8.8163662932295175</v>
      </c>
      <c r="X303" s="195">
        <f>IFERROR(INDEX('Ashed teabags wet'!$K$2:$K$821,MATCH(I303,'Ashed teabags wet'!$A$2:$A$821,0)),"")</f>
        <v>3.0097087378641909</v>
      </c>
      <c r="Y303" s="195">
        <f t="shared" si="37"/>
        <v>0.40303166098392551</v>
      </c>
      <c r="Z303" s="195">
        <f t="shared" si="37"/>
        <v>1.2828905825242702</v>
      </c>
      <c r="AA303" s="195">
        <f t="shared" si="44"/>
        <v>0.74399521088544351</v>
      </c>
      <c r="AB303" s="195">
        <f t="shared" si="45"/>
        <v>0.48774982946409129</v>
      </c>
      <c r="AC303" s="195">
        <f t="shared" si="38"/>
        <v>0.69053508884123282</v>
      </c>
      <c r="AD303">
        <f t="shared" si="39"/>
        <v>52</v>
      </c>
      <c r="AE303" s="195">
        <f t="shared" si="46"/>
        <v>0.11639523647809558</v>
      </c>
      <c r="AF303" s="195">
        <f t="shared" si="47"/>
        <v>1.9354224896821499E-2</v>
      </c>
      <c r="AG303" s="255" t="str">
        <f>IF(ISNUMBER(SEARCH("C",'WetLitterbags placem_collection'!AD230)),"YES","NO")</f>
        <v>NO</v>
      </c>
      <c r="AH303" s="255" t="str">
        <f>IF(ISNUMBER(SEARCH("H", 'WetLitterbags placem_collection'!AF10)),"YES","NO")</f>
        <v>NO</v>
      </c>
      <c r="AI303" s="255" t="str">
        <f>IF(ISNUMBER(SEARCH("R", 'WetLitterbags placem_collection'!XF10)),"YES","NO")</f>
        <v>NO</v>
      </c>
      <c r="AJ303" s="255" t="str">
        <f>IF(ISNUMBER(SEARCH("C", 'WetLitterbags placem_collection'!WE10)),"YES","NO")</f>
        <v>NO</v>
      </c>
      <c r="AK303" s="255" t="str">
        <f>IF(ISNUMBER(SEARCH("H", 'WetLitterbags placem_collection'!AE10)),"YES","NO")</f>
        <v>NO</v>
      </c>
      <c r="AL303" s="255" t="str">
        <f>IF(ISNUMBER(SEARCH("R", 'WetLitterbags placem_collection'!AE10)),"YES","NO")</f>
        <v>NO</v>
      </c>
    </row>
    <row r="304" spans="2:38">
      <c r="B304" t="str">
        <f>'Final data_for_R_analysis_Wetse'!A450</f>
        <v>Wet</v>
      </c>
      <c r="C304" s="263">
        <f>'Final data_for_R_analysis_Wetse'!B450</f>
        <v>9</v>
      </c>
      <c r="D304" t="s">
        <v>3828</v>
      </c>
      <c r="E304" t="s">
        <v>25</v>
      </c>
      <c r="F304" s="386">
        <v>1</v>
      </c>
      <c r="G304" s="16">
        <f>'WetLitterbags placem_collection'!E11</f>
        <v>42766</v>
      </c>
      <c r="H304" s="92" t="str">
        <f>'Final data_for_R_analysis_Wetse'!J450</f>
        <v>G476</v>
      </c>
      <c r="I304" t="str">
        <f>'Final data_for_R_analysis_Wetse'!J670</f>
        <v>R101</v>
      </c>
      <c r="J304">
        <f>IFERROR(INDEX('Green_rooibos initial weight'!$C$5:$C$1749,MATCH(H304, 'Green_rooibos initial weight'!$A$5:$A$1749,0)),"")</f>
        <v>2.121</v>
      </c>
      <c r="K304">
        <f>IFERROR(INDEX('Green_rooibos initial weight'!$C$5:$C$1749,MATCH(I304, 'Green_rooibos initial weight'!$A$5:$A$1749,0)),"")</f>
        <v>2.3039999999999998</v>
      </c>
      <c r="L304" s="195">
        <f t="shared" si="40"/>
        <v>1.8712</v>
      </c>
      <c r="M304" s="195">
        <f>AVERAGE(Ashed_controlls!$K$2:$K$11)</f>
        <v>5.5147656768714146</v>
      </c>
      <c r="N304" s="195">
        <f t="shared" si="36"/>
        <v>1.7680077046543821</v>
      </c>
      <c r="O304" s="195">
        <f t="shared" si="41"/>
        <v>2.0541999999999998</v>
      </c>
      <c r="P304" s="195">
        <f>AVERAGE(Ashed_controlls!$K$12:$K$14)</f>
        <v>2.2816647271287041</v>
      </c>
      <c r="Q304" s="195">
        <f t="shared" si="42"/>
        <v>2.007330043175322</v>
      </c>
      <c r="R304" s="16">
        <f>IF('WetLitterbags placem_collection'!G11="N.A","",'WetLitterbags placem_collection'!G11)</f>
        <v>42818</v>
      </c>
      <c r="S304" s="195">
        <f>IF(IFERROR(INDEX('Both teabags AfterWet'!$C$3:$C$841,MATCH(H304,'Both teabags AfterWet'!$A$3:$A$841,0)),"")="N.A","",(IFERROR(INDEX('Both teabags AfterWet'!$C$3:$C$841,MATCH(H304,'Both teabags AfterWet'!$A$3:$A$841,0)),"")))</f>
        <v>0.66479999999999995</v>
      </c>
      <c r="T304" s="195">
        <f>IFERROR(INDEX('Both teabags AfterWet'!$C$3:$C$841,MATCH(I304,'Both teabags AfterWet'!$A$3:$A$841,0)),"")</f>
        <v>1.5383</v>
      </c>
      <c r="U304" s="195">
        <f t="shared" si="43"/>
        <v>0.51419999999999999</v>
      </c>
      <c r="V304" s="195">
        <f t="shared" si="43"/>
        <v>1.3876999999999999</v>
      </c>
      <c r="W304" s="195">
        <f>IFERROR(INDEX('Ashed teabags wet'!$K$2:$K$821,MATCH(H304,'Ashed teabags wet'!$A$2:$A$821,0)),"")</f>
        <v>18.05555555555533</v>
      </c>
      <c r="X304" s="195">
        <f>IFERROR(INDEX('Ashed teabags wet'!$K$2:$K$821,MATCH(I304,'Ashed teabags wet'!$A$2:$A$821,0)),"")</f>
        <v>6.1446977205149187</v>
      </c>
      <c r="Y304" s="195">
        <f t="shared" si="37"/>
        <v>0.4213583333333345</v>
      </c>
      <c r="Z304" s="195">
        <f t="shared" si="37"/>
        <v>1.3024300297324145</v>
      </c>
      <c r="AA304" s="195">
        <f t="shared" si="44"/>
        <v>0.76167618940568849</v>
      </c>
      <c r="AB304" s="195">
        <f t="shared" si="45"/>
        <v>0.49934115980040394</v>
      </c>
      <c r="AC304" s="195">
        <f t="shared" si="38"/>
        <v>0.64883701320593401</v>
      </c>
      <c r="AD304">
        <f t="shared" si="39"/>
        <v>52</v>
      </c>
      <c r="AE304" s="195">
        <f t="shared" si="46"/>
        <v>9.5396449636949487E-2</v>
      </c>
      <c r="AF304" s="195">
        <f t="shared" si="47"/>
        <v>2.3362963995435953E-2</v>
      </c>
      <c r="AG304" s="255" t="str">
        <f>IF(ISNUMBER(SEARCH("C",'WetLitterbags placem_collection'!AD231)),"YES","NO")</f>
        <v>NO</v>
      </c>
      <c r="AH304" s="255" t="str">
        <f>IF(ISNUMBER(SEARCH("H", 'WetLitterbags placem_collection'!AF11)),"YES","NO")</f>
        <v>NO</v>
      </c>
      <c r="AI304" s="255" t="str">
        <f>IF(ISNUMBER(SEARCH("R", 'WetLitterbags placem_collection'!XF11)),"YES","NO")</f>
        <v>NO</v>
      </c>
      <c r="AJ304" s="255" t="str">
        <f>IF(ISNUMBER(SEARCH("C", 'WetLitterbags placem_collection'!WE11)),"YES","NO")</f>
        <v>NO</v>
      </c>
      <c r="AK304" s="255" t="str">
        <f>IF(ISNUMBER(SEARCH("H", 'WetLitterbags placem_collection'!AE11)),"YES","NO")</f>
        <v>NO</v>
      </c>
      <c r="AL304" s="255" t="str">
        <f>IF(ISNUMBER(SEARCH("R", 'WetLitterbags placem_collection'!AE11)),"YES","NO")</f>
        <v>NO</v>
      </c>
    </row>
    <row r="305" spans="2:38">
      <c r="B305" t="str">
        <f>'Final data_for_R_analysis_Wetse'!A451</f>
        <v>Wet</v>
      </c>
      <c r="C305" s="263">
        <f>'Final data_for_R_analysis_Wetse'!B451</f>
        <v>10</v>
      </c>
      <c r="D305" t="s">
        <v>3828</v>
      </c>
      <c r="E305" t="s">
        <v>25</v>
      </c>
      <c r="F305" s="386">
        <v>2</v>
      </c>
      <c r="G305" s="16">
        <f>'WetLitterbags placem_collection'!E12</f>
        <v>42766</v>
      </c>
      <c r="H305" s="92" t="str">
        <f>'Final data_for_R_analysis_Wetse'!J451</f>
        <v>G606</v>
      </c>
      <c r="I305" t="str">
        <f>'Final data_for_R_analysis_Wetse'!J671</f>
        <v>R515</v>
      </c>
      <c r="J305">
        <f>IFERROR(INDEX('Green_rooibos initial weight'!$C$5:$C$1749,MATCH(H305, 'Green_rooibos initial weight'!$A$5:$A$1749,0)),"")</f>
        <v>1.921</v>
      </c>
      <c r="K305">
        <f>IFERROR(INDEX('Green_rooibos initial weight'!$C$5:$C$1749,MATCH(I305, 'Green_rooibos initial weight'!$A$5:$A$1749,0)),"")</f>
        <v>2.2050000000000001</v>
      </c>
      <c r="L305" s="195">
        <f t="shared" si="40"/>
        <v>1.6712</v>
      </c>
      <c r="M305" s="195">
        <f>AVERAGE(Ashed_controlls!$K$2:$K$11)</f>
        <v>5.5147656768714146</v>
      </c>
      <c r="N305" s="195">
        <f t="shared" si="36"/>
        <v>1.5790372360081248</v>
      </c>
      <c r="O305" s="195">
        <f t="shared" si="41"/>
        <v>1.9552</v>
      </c>
      <c r="P305" s="195">
        <f>AVERAGE(Ashed_controlls!$K$12:$K$14)</f>
        <v>2.2816647271287041</v>
      </c>
      <c r="Q305" s="195">
        <f t="shared" si="42"/>
        <v>1.9105888912551796</v>
      </c>
      <c r="R305" s="16">
        <f>IF('WetLitterbags placem_collection'!G12="N.A","",'WetLitterbags placem_collection'!G12)</f>
        <v>42818</v>
      </c>
      <c r="S305" s="195">
        <f>IF(IFERROR(INDEX('Both teabags AfterWet'!$C$3:$C$841,MATCH(H305,'Both teabags AfterWet'!$A$3:$A$841,0)),"")="N.A","",(IFERROR(INDEX('Both teabags AfterWet'!$C$3:$C$841,MATCH(H305,'Both teabags AfterWet'!$A$3:$A$841,0)),"")))</f>
        <v>0.63539999999999996</v>
      </c>
      <c r="T305" s="195">
        <f>IFERROR(INDEX('Both teabags AfterWet'!$C$3:$C$841,MATCH(I305,'Both teabags AfterWet'!$A$3:$A$841,0)),"")</f>
        <v>1.3853</v>
      </c>
      <c r="U305" s="195">
        <f t="shared" si="43"/>
        <v>0.48479999999999995</v>
      </c>
      <c r="V305" s="195">
        <f t="shared" si="43"/>
        <v>1.2346999999999999</v>
      </c>
      <c r="W305" s="195">
        <f>IFERROR(INDEX('Ashed teabags wet'!$K$2:$K$821,MATCH(H305,'Ashed teabags wet'!$A$2:$A$821,0)),"")</f>
        <v>10.416666666666313</v>
      </c>
      <c r="X305" s="195">
        <f>IFERROR(INDEX('Ashed teabags wet'!$K$2:$K$821,MATCH(I305,'Ashed teabags wet'!$A$2:$A$821,0)),"")</f>
        <v>4.2016806722691449</v>
      </c>
      <c r="Y305" s="195">
        <f t="shared" si="37"/>
        <v>0.43430000000000168</v>
      </c>
      <c r="Z305" s="195">
        <f t="shared" si="37"/>
        <v>1.1828218487394928</v>
      </c>
      <c r="AA305" s="195">
        <f t="shared" si="44"/>
        <v>0.72495898760568112</v>
      </c>
      <c r="AB305" s="195">
        <f t="shared" si="45"/>
        <v>0.47527002512866512</v>
      </c>
      <c r="AC305" s="195">
        <f t="shared" si="38"/>
        <v>0.61908757773757739</v>
      </c>
      <c r="AD305">
        <f t="shared" si="39"/>
        <v>52</v>
      </c>
      <c r="AE305" s="195">
        <f t="shared" si="46"/>
        <v>0.13900357766546179</v>
      </c>
      <c r="AF305" s="195">
        <f t="shared" si="47"/>
        <v>3.1092139738141747E-2</v>
      </c>
      <c r="AG305" s="255" t="str">
        <f>IF(ISNUMBER(SEARCH("C",'WetLitterbags placem_collection'!AD232)),"YES","NO")</f>
        <v>NO</v>
      </c>
      <c r="AH305" s="255" t="str">
        <f>IF(ISNUMBER(SEARCH("H", 'WetLitterbags placem_collection'!AF12)),"YES","NO")</f>
        <v>NO</v>
      </c>
      <c r="AI305" s="255" t="str">
        <f>IF(ISNUMBER(SEARCH("R", 'WetLitterbags placem_collection'!XF12)),"YES","NO")</f>
        <v>NO</v>
      </c>
      <c r="AJ305" s="255" t="str">
        <f>IF(ISNUMBER(SEARCH("C", 'WetLitterbags placem_collection'!WE12)),"YES","NO")</f>
        <v>NO</v>
      </c>
      <c r="AK305" s="255" t="str">
        <f>IF(ISNUMBER(SEARCH("H", 'WetLitterbags placem_collection'!AE12)),"YES","NO")</f>
        <v>NO</v>
      </c>
      <c r="AL305" s="255" t="str">
        <f>IF(ISNUMBER(SEARCH("R", 'WetLitterbags placem_collection'!AE12)),"YES","NO")</f>
        <v>NO</v>
      </c>
    </row>
    <row r="306" spans="2:38">
      <c r="B306" t="str">
        <f>'Final data_for_R_analysis_Wetse'!A452</f>
        <v>Wet</v>
      </c>
      <c r="C306" s="263">
        <f>'Final data_for_R_analysis_Wetse'!B452</f>
        <v>11</v>
      </c>
      <c r="D306" t="s">
        <v>3828</v>
      </c>
      <c r="E306" t="s">
        <v>25</v>
      </c>
      <c r="F306" s="386">
        <v>3</v>
      </c>
      <c r="G306" s="16">
        <f>'WetLitterbags placem_collection'!E13</f>
        <v>42766</v>
      </c>
      <c r="H306" s="92" t="str">
        <f>'Final data_for_R_analysis_Wetse'!J452</f>
        <v>G523</v>
      </c>
      <c r="I306" t="str">
        <f>'Final data_for_R_analysis_Wetse'!J672</f>
        <v>R2</v>
      </c>
      <c r="J306">
        <f>IFERROR(INDEX('Green_rooibos initial weight'!$C$5:$C$1749,MATCH(H306, 'Green_rooibos initial weight'!$A$5:$A$1749,0)),"")</f>
        <v>2.1419999999999999</v>
      </c>
      <c r="K306">
        <f>IFERROR(INDEX('Green_rooibos initial weight'!$C$5:$C$1749,MATCH(I306, 'Green_rooibos initial weight'!$A$5:$A$1749,0)),"")</f>
        <v>2.2679999999999998</v>
      </c>
      <c r="L306" s="195">
        <f t="shared" si="40"/>
        <v>1.8921999999999999</v>
      </c>
      <c r="M306" s="195">
        <f>AVERAGE(Ashed_controlls!$K$2:$K$11)</f>
        <v>5.5147656768714146</v>
      </c>
      <c r="N306" s="195">
        <f t="shared" si="36"/>
        <v>1.7878496038622389</v>
      </c>
      <c r="O306" s="195">
        <f t="shared" si="41"/>
        <v>2.0181999999999998</v>
      </c>
      <c r="P306" s="195">
        <f>AVERAGE(Ashed_controlls!$K$12:$K$14)</f>
        <v>2.2816647271287041</v>
      </c>
      <c r="Q306" s="195">
        <f t="shared" si="42"/>
        <v>1.9721514424770883</v>
      </c>
      <c r="R306" s="16">
        <f>IF('WetLitterbags placem_collection'!G13="N.A","",'WetLitterbags placem_collection'!G13)</f>
        <v>42818</v>
      </c>
      <c r="S306" s="195">
        <f>IF(IFERROR(INDEX('Both teabags AfterWet'!$C$3:$C$841,MATCH(H306,'Both teabags AfterWet'!$A$3:$A$841,0)),"")="N.A","",(IFERROR(INDEX('Both teabags AfterWet'!$C$3:$C$841,MATCH(H306,'Both teabags AfterWet'!$A$3:$A$841,0)),"")))</f>
        <v>0.63119999999999998</v>
      </c>
      <c r="T306" s="195">
        <f>IFERROR(INDEX('Both teabags AfterWet'!$C$3:$C$841,MATCH(I306,'Both teabags AfterWet'!$A$3:$A$841,0)),"")</f>
        <v>1.43</v>
      </c>
      <c r="U306" s="195">
        <f t="shared" si="43"/>
        <v>0.48059999999999997</v>
      </c>
      <c r="V306" s="195">
        <f t="shared" si="43"/>
        <v>1.2793999999999999</v>
      </c>
      <c r="W306" s="195">
        <f>IFERROR(INDEX('Ashed teabags wet'!$K$2:$K$821,MATCH(H306,'Ashed teabags wet'!$A$2:$A$821,0)),"")</f>
        <v>9.5734126984128558</v>
      </c>
      <c r="X306" s="195">
        <f>IFERROR(INDEX('Ashed teabags wet'!$K$2:$K$821,MATCH(I306,'Ashed teabags wet'!$A$2:$A$821,0)),"")</f>
        <v>4.6087373979834227</v>
      </c>
      <c r="Y306" s="195">
        <f t="shared" si="37"/>
        <v>0.43459017857142779</v>
      </c>
      <c r="Z306" s="195">
        <f t="shared" si="37"/>
        <v>1.2204358137302</v>
      </c>
      <c r="AA306" s="195">
        <f t="shared" si="44"/>
        <v>0.75692016955307906</v>
      </c>
      <c r="AB306" s="195">
        <f t="shared" si="45"/>
        <v>0.49622319904192363</v>
      </c>
      <c r="AC306" s="195">
        <f t="shared" si="38"/>
        <v>0.6188347342115329</v>
      </c>
      <c r="AD306">
        <f t="shared" si="39"/>
        <v>52</v>
      </c>
      <c r="AE306" s="195">
        <f t="shared" si="46"/>
        <v>0.10104492927187758</v>
      </c>
      <c r="AF306" s="195">
        <f t="shared" si="47"/>
        <v>2.8107501050733681E-2</v>
      </c>
      <c r="AG306" s="255" t="str">
        <f>IF(ISNUMBER(SEARCH("C",'WetLitterbags placem_collection'!AD233)),"YES","NO")</f>
        <v>NO</v>
      </c>
      <c r="AH306" s="255" t="str">
        <f>IF(ISNUMBER(SEARCH("H", 'WetLitterbags placem_collection'!AF13)),"YES","NO")</f>
        <v>NO</v>
      </c>
      <c r="AI306" s="255" t="str">
        <f>IF(ISNUMBER(SEARCH("R", 'WetLitterbags placem_collection'!XF13)),"YES","NO")</f>
        <v>NO</v>
      </c>
      <c r="AJ306" s="255" t="str">
        <f>IF(ISNUMBER(SEARCH("C", 'WetLitterbags placem_collection'!WE13)),"YES","NO")</f>
        <v>NO</v>
      </c>
      <c r="AK306" s="255" t="str">
        <f>IF(ISNUMBER(SEARCH("H", 'WetLitterbags placem_collection'!AE13)),"YES","NO")</f>
        <v>NO</v>
      </c>
      <c r="AL306" s="255" t="str">
        <f>IF(ISNUMBER(SEARCH("R", 'WetLitterbags placem_collection'!AE13)),"YES","NO")</f>
        <v>NO</v>
      </c>
    </row>
    <row r="307" spans="2:38">
      <c r="B307" t="str">
        <f>'Final data_for_R_analysis_Wetse'!A453</f>
        <v>Wet</v>
      </c>
      <c r="C307" s="263">
        <f>'Final data_for_R_analysis_Wetse'!B453</f>
        <v>12</v>
      </c>
      <c r="D307" t="s">
        <v>3828</v>
      </c>
      <c r="E307" t="s">
        <v>25</v>
      </c>
      <c r="F307" s="387">
        <v>4</v>
      </c>
      <c r="G307" s="16">
        <f>'WetLitterbags placem_collection'!E14</f>
        <v>42766</v>
      </c>
      <c r="H307" s="92" t="str">
        <f>'Final data_for_R_analysis_Wetse'!J453</f>
        <v>G490</v>
      </c>
      <c r="I307" t="str">
        <f>'Final data_for_R_analysis_Wetse'!J673</f>
        <v>R123</v>
      </c>
      <c r="J307">
        <f>IFERROR(INDEX('Green_rooibos initial weight'!$C$5:$C$1749,MATCH(H307, 'Green_rooibos initial weight'!$A$5:$A$1749,0)),"")</f>
        <v>1.881</v>
      </c>
      <c r="K307">
        <f>IFERROR(INDEX('Green_rooibos initial weight'!$C$5:$C$1749,MATCH(I307, 'Green_rooibos initial weight'!$A$5:$A$1749,0)),"")</f>
        <v>2.2610000000000001</v>
      </c>
      <c r="L307" s="195">
        <f t="shared" si="40"/>
        <v>1.6312</v>
      </c>
      <c r="M307" s="195">
        <f>AVERAGE(Ashed_controlls!$K$2:$K$11)</f>
        <v>5.5147656768714146</v>
      </c>
      <c r="N307" s="195">
        <f t="shared" si="36"/>
        <v>1.5412431422788735</v>
      </c>
      <c r="O307" s="195">
        <f t="shared" si="41"/>
        <v>2.0112000000000001</v>
      </c>
      <c r="P307" s="195">
        <f>AVERAGE(Ashed_controlls!$K$12:$K$14)</f>
        <v>2.2816647271287041</v>
      </c>
      <c r="Q307" s="195">
        <f t="shared" si="42"/>
        <v>1.9653111590079877</v>
      </c>
      <c r="R307" s="16">
        <f>IF('WetLitterbags placem_collection'!G14="N.A","",'WetLitterbags placem_collection'!G14)</f>
        <v>0</v>
      </c>
      <c r="S307" s="195" t="str">
        <f>IF(IFERROR(INDEX('Both teabags AfterWet'!$C$3:$C$841,MATCH(H307,'Both teabags AfterWet'!$A$3:$A$841,0)),"")="N.A","",(IFERROR(INDEX('Both teabags AfterWet'!$C$3:$C$841,MATCH(H307,'Both teabags AfterWet'!$A$3:$A$841,0)),"")))</f>
        <v/>
      </c>
      <c r="T307" s="195" t="str">
        <f>IFERROR(INDEX('Both teabags AfterWet'!$C$3:$C$841,MATCH(I307,'Both teabags AfterWet'!$A$3:$A$841,0)),"")</f>
        <v/>
      </c>
      <c r="U307" s="195" t="str">
        <f t="shared" si="43"/>
        <v/>
      </c>
      <c r="V307" s="195" t="str">
        <f t="shared" si="43"/>
        <v/>
      </c>
      <c r="W307" s="195" t="str">
        <f>IFERROR(INDEX('Ashed teabags wet'!$K$2:$K$821,MATCH(H307,'Ashed teabags wet'!$A$2:$A$821,0)),"")</f>
        <v/>
      </c>
      <c r="X307" s="195" t="str">
        <f>IFERROR(INDEX('Ashed teabags wet'!$K$2:$K$821,MATCH(I307,'Ashed teabags wet'!$A$2:$A$821,0)),"")</f>
        <v/>
      </c>
      <c r="Y307" s="195" t="str">
        <f t="shared" si="37"/>
        <v/>
      </c>
      <c r="Z307" s="195" t="str">
        <f t="shared" si="37"/>
        <v/>
      </c>
      <c r="AA307" s="195" t="str">
        <f t="shared" si="44"/>
        <v/>
      </c>
      <c r="AB307" s="195" t="str">
        <f t="shared" si="45"/>
        <v/>
      </c>
      <c r="AC307" s="195" t="str">
        <f t="shared" si="38"/>
        <v/>
      </c>
      <c r="AD307" t="str">
        <f t="shared" si="39"/>
        <v/>
      </c>
      <c r="AE307" s="195" t="str">
        <f t="shared" si="46"/>
        <v/>
      </c>
      <c r="AF307" s="195" t="str">
        <f t="shared" si="47"/>
        <v/>
      </c>
      <c r="AG307" s="255" t="str">
        <f>IF(ISNUMBER(SEARCH("C",'WetLitterbags placem_collection'!AD234)),"YES","NO")</f>
        <v>NO</v>
      </c>
      <c r="AH307" s="255" t="str">
        <f>IF(ISNUMBER(SEARCH("H", 'WetLitterbags placem_collection'!AF14)),"YES","NO")</f>
        <v>NO</v>
      </c>
      <c r="AI307" s="255" t="str">
        <f>IF(ISNUMBER(SEARCH("R", 'WetLitterbags placem_collection'!XF14)),"YES","NO")</f>
        <v>NO</v>
      </c>
      <c r="AJ307" s="255" t="str">
        <f>IF(ISNUMBER(SEARCH("C", 'WetLitterbags placem_collection'!WE14)),"YES","NO")</f>
        <v>NO</v>
      </c>
      <c r="AK307" s="255" t="str">
        <f>IF(ISNUMBER(SEARCH("H", 'WetLitterbags placem_collection'!AE14)),"YES","NO")</f>
        <v>NO</v>
      </c>
      <c r="AL307" s="255" t="str">
        <f>IF(ISNUMBER(SEARCH("R", 'WetLitterbags placem_collection'!AE14)),"YES","NO")</f>
        <v>NO</v>
      </c>
    </row>
    <row r="308" spans="2:38">
      <c r="B308" t="str">
        <f>'Final data_for_R_analysis_Wetse'!A454</f>
        <v>Wet</v>
      </c>
      <c r="C308" s="263">
        <f>'Final data_for_R_analysis_Wetse'!B454</f>
        <v>13</v>
      </c>
      <c r="D308" t="s">
        <v>3828</v>
      </c>
      <c r="E308" t="s">
        <v>25</v>
      </c>
      <c r="F308" s="387">
        <v>5</v>
      </c>
      <c r="G308" s="16">
        <f>'WetLitterbags placem_collection'!E15</f>
        <v>42766</v>
      </c>
      <c r="H308" s="92" t="str">
        <f>'Final data_for_R_analysis_Wetse'!J454</f>
        <v>G241</v>
      </c>
      <c r="I308" t="str">
        <f>'Final data_for_R_analysis_Wetse'!J674</f>
        <v>R3</v>
      </c>
      <c r="J308">
        <f>IFERROR(INDEX('Green_rooibos initial weight'!$C$5:$C$1749,MATCH(H308, 'Green_rooibos initial weight'!$A$5:$A$1749,0)),"")</f>
        <v>2.0179999999999998</v>
      </c>
      <c r="K308">
        <f>IFERROR(INDEX('Green_rooibos initial weight'!$C$5:$C$1749,MATCH(I308, 'Green_rooibos initial weight'!$A$5:$A$1749,0)),"")</f>
        <v>2.242</v>
      </c>
      <c r="L308" s="195">
        <f t="shared" si="40"/>
        <v>1.7681999999999998</v>
      </c>
      <c r="M308" s="195">
        <f>AVERAGE(Ashed_controlls!$K$2:$K$11)</f>
        <v>5.5147656768714146</v>
      </c>
      <c r="N308" s="195">
        <f t="shared" si="36"/>
        <v>1.6706879133015595</v>
      </c>
      <c r="O308" s="195">
        <f t="shared" si="41"/>
        <v>1.9922</v>
      </c>
      <c r="P308" s="195">
        <f>AVERAGE(Ashed_controlls!$K$12:$K$14)</f>
        <v>2.2816647271287041</v>
      </c>
      <c r="Q308" s="195">
        <f t="shared" si="42"/>
        <v>1.9467446753061419</v>
      </c>
      <c r="R308" s="16">
        <f>IF('WetLitterbags placem_collection'!G15="N.A","",'WetLitterbags placem_collection'!G15)</f>
        <v>42818</v>
      </c>
      <c r="S308" s="195">
        <f>IF(IFERROR(INDEX('Both teabags AfterWet'!$C$3:$C$841,MATCH(H308,'Both teabags AfterWet'!$A$3:$A$841,0)),"")="N.A","",(IFERROR(INDEX('Both teabags AfterWet'!$C$3:$C$841,MATCH(H308,'Both teabags AfterWet'!$A$3:$A$841,0)),"")))</f>
        <v>0.52059999999999995</v>
      </c>
      <c r="T308" s="195">
        <f>IFERROR(INDEX('Both teabags AfterWet'!$C$3:$C$841,MATCH(I308,'Both teabags AfterWet'!$A$3:$A$841,0)),"")</f>
        <v>1.4899</v>
      </c>
      <c r="U308" s="195">
        <f t="shared" si="43"/>
        <v>0.36999999999999994</v>
      </c>
      <c r="V308" s="195">
        <f t="shared" si="43"/>
        <v>1.3392999999999999</v>
      </c>
      <c r="W308" s="195">
        <f>IFERROR(INDEX('Ashed teabags wet'!$K$2:$K$821,MATCH(H308,'Ashed teabags wet'!$A$2:$A$821,0)),"")</f>
        <v>17.872968980798372</v>
      </c>
      <c r="X308" s="195">
        <f>IFERROR(INDEX('Ashed teabags wet'!$K$2:$K$821,MATCH(I308,'Ashed teabags wet'!$A$2:$A$821,0)),"")</f>
        <v>3.0078895463511506</v>
      </c>
      <c r="Y308" s="195">
        <f t="shared" si="37"/>
        <v>0.30387001477104597</v>
      </c>
      <c r="Z308" s="195">
        <f t="shared" si="37"/>
        <v>1.299015335305719</v>
      </c>
      <c r="AA308" s="195">
        <f t="shared" si="44"/>
        <v>0.81811682939002783</v>
      </c>
      <c r="AB308" s="195">
        <f t="shared" si="45"/>
        <v>0.5363426244932249</v>
      </c>
      <c r="AC308" s="195">
        <f t="shared" si="38"/>
        <v>0.66727565858190308</v>
      </c>
      <c r="AD308">
        <f t="shared" si="39"/>
        <v>52</v>
      </c>
      <c r="AE308" s="195">
        <f t="shared" si="46"/>
        <v>2.8364810700679532E-2</v>
      </c>
      <c r="AF308" s="195">
        <f t="shared" si="47"/>
        <v>1.8625501961846393E-2</v>
      </c>
      <c r="AG308" s="255" t="str">
        <f>IF(ISNUMBER(SEARCH("C",'WetLitterbags placem_collection'!AD235)),"YES","NO")</f>
        <v>NO</v>
      </c>
      <c r="AH308" s="255" t="str">
        <f>IF(ISNUMBER(SEARCH("H", 'WetLitterbags placem_collection'!AF15)),"YES","NO")</f>
        <v>NO</v>
      </c>
      <c r="AI308" s="255" t="str">
        <f>IF(ISNUMBER(SEARCH("R", 'WetLitterbags placem_collection'!XF15)),"YES","NO")</f>
        <v>NO</v>
      </c>
      <c r="AJ308" s="255" t="str">
        <f>IF(ISNUMBER(SEARCH("C", 'WetLitterbags placem_collection'!WE15)),"YES","NO")</f>
        <v>NO</v>
      </c>
      <c r="AK308" s="255" t="str">
        <f>IF(ISNUMBER(SEARCH("H", 'WetLitterbags placem_collection'!AE15)),"YES","NO")</f>
        <v>NO</v>
      </c>
      <c r="AL308" s="255" t="str">
        <f>IF(ISNUMBER(SEARCH("R", 'WetLitterbags placem_collection'!AE15)),"YES","NO")</f>
        <v>NO</v>
      </c>
    </row>
    <row r="309" spans="2:38">
      <c r="B309" t="str">
        <f>'Final data_for_R_analysis_Wetse'!A455</f>
        <v>Wet</v>
      </c>
      <c r="C309" s="263">
        <f>'Final data_for_R_analysis_Wetse'!B455</f>
        <v>14</v>
      </c>
      <c r="D309" t="s">
        <v>3828</v>
      </c>
      <c r="E309" t="s">
        <v>25</v>
      </c>
      <c r="F309" s="387">
        <v>6</v>
      </c>
      <c r="G309" s="16">
        <f>'WetLitterbags placem_collection'!E16</f>
        <v>42766</v>
      </c>
      <c r="H309" s="92" t="str">
        <f>'Final data_for_R_analysis_Wetse'!J455</f>
        <v>G503</v>
      </c>
      <c r="I309" t="str">
        <f>'Final data_for_R_analysis_Wetse'!J675</f>
        <v>R282</v>
      </c>
      <c r="J309">
        <f>IFERROR(INDEX('Green_rooibos initial weight'!$C$5:$C$1749,MATCH(H309, 'Green_rooibos initial weight'!$A$5:$A$1749,0)),"")</f>
        <v>1.9810000000000001</v>
      </c>
      <c r="K309">
        <f>IFERROR(INDEX('Green_rooibos initial weight'!$C$5:$C$1749,MATCH(I309, 'Green_rooibos initial weight'!$A$5:$A$1749,0)),"")</f>
        <v>2.1829999999999998</v>
      </c>
      <c r="L309" s="195">
        <f t="shared" si="40"/>
        <v>1.7312000000000001</v>
      </c>
      <c r="M309" s="195">
        <f>AVERAGE(Ashed_controlls!$K$2:$K$11)</f>
        <v>5.5147656768714146</v>
      </c>
      <c r="N309" s="195">
        <f t="shared" si="36"/>
        <v>1.6357283766020021</v>
      </c>
      <c r="O309" s="195">
        <f t="shared" si="41"/>
        <v>1.9331999999999998</v>
      </c>
      <c r="P309" s="195">
        <f>AVERAGE(Ashed_controlls!$K$12:$K$14)</f>
        <v>2.2816647271287041</v>
      </c>
      <c r="Q309" s="195">
        <f t="shared" si="42"/>
        <v>1.8890908574951477</v>
      </c>
      <c r="R309" s="16">
        <f>IF('WetLitterbags placem_collection'!G16="N.A","",'WetLitterbags placem_collection'!G16)</f>
        <v>42818</v>
      </c>
      <c r="S309" s="195">
        <f>IF(IFERROR(INDEX('Both teabags AfterWet'!$C$3:$C$841,MATCH(H309,'Both teabags AfterWet'!$A$3:$A$841,0)),"")="N.A","",(IFERROR(INDEX('Both teabags AfterWet'!$C$3:$C$841,MATCH(H309,'Both teabags AfterWet'!$A$3:$A$841,0)),"")))</f>
        <v>0.501</v>
      </c>
      <c r="T309" s="195">
        <f>IFERROR(INDEX('Both teabags AfterWet'!$C$3:$C$841,MATCH(I309,'Both teabags AfterWet'!$A$3:$A$841,0)),"")</f>
        <v>1.5669999999999999</v>
      </c>
      <c r="U309" s="195">
        <f t="shared" si="43"/>
        <v>0.35039999999999999</v>
      </c>
      <c r="V309" s="195">
        <f t="shared" si="43"/>
        <v>1.4163999999999999</v>
      </c>
      <c r="W309" s="195">
        <f>IFERROR(INDEX('Ashed teabags wet'!$K$2:$K$821,MATCH(H309,'Ashed teabags wet'!$A$2:$A$821,0)),"")</f>
        <v>12.970297029702667</v>
      </c>
      <c r="X309" s="195">
        <f>IFERROR(INDEX('Ashed teabags wet'!$K$2:$K$821,MATCH(I309,'Ashed teabags wet'!$A$2:$A$821,0)),"")</f>
        <v>2.903543307086486</v>
      </c>
      <c r="Y309" s="195">
        <f t="shared" si="37"/>
        <v>0.30495207920792183</v>
      </c>
      <c r="Z309" s="195">
        <f t="shared" si="37"/>
        <v>1.375274212598427</v>
      </c>
      <c r="AA309" s="195">
        <f t="shared" si="44"/>
        <v>0.81356802047940424</v>
      </c>
      <c r="AB309" s="195">
        <f t="shared" si="45"/>
        <v>0.53336050748768549</v>
      </c>
      <c r="AC309" s="195">
        <f t="shared" si="38"/>
        <v>0.72800850585978738</v>
      </c>
      <c r="AD309">
        <f t="shared" si="39"/>
        <v>52</v>
      </c>
      <c r="AE309" s="195">
        <f t="shared" si="46"/>
        <v>3.3767196580279935E-2</v>
      </c>
      <c r="AF309" s="195">
        <f t="shared" si="47"/>
        <v>1.3716621476384659E-2</v>
      </c>
      <c r="AG309" s="255" t="str">
        <f>IF(ISNUMBER(SEARCH("C",'WetLitterbags placem_collection'!AD236)),"YES","NO")</f>
        <v>NO</v>
      </c>
      <c r="AH309" s="255" t="str">
        <f>IF(ISNUMBER(SEARCH("H", 'WetLitterbags placem_collection'!AF16)),"YES","NO")</f>
        <v>NO</v>
      </c>
      <c r="AI309" s="255" t="str">
        <f>IF(ISNUMBER(SEARCH("R", 'WetLitterbags placem_collection'!XF16)),"YES","NO")</f>
        <v>NO</v>
      </c>
      <c r="AJ309" s="255" t="str">
        <f>IF(ISNUMBER(SEARCH("C", 'WetLitterbags placem_collection'!WE16)),"YES","NO")</f>
        <v>NO</v>
      </c>
      <c r="AK309" s="255" t="str">
        <f>IF(ISNUMBER(SEARCH("H", 'WetLitterbags placem_collection'!AE16)),"YES","NO")</f>
        <v>NO</v>
      </c>
      <c r="AL309" s="255" t="str">
        <f>IF(ISNUMBER(SEARCH("R", 'WetLitterbags placem_collection'!AE16)),"YES","NO")</f>
        <v>NO</v>
      </c>
    </row>
    <row r="310" spans="2:38">
      <c r="B310" t="str">
        <f>'Final data_for_R_analysis_Wetse'!A456</f>
        <v>Wet</v>
      </c>
      <c r="C310" s="263">
        <f>'Final data_for_R_analysis_Wetse'!B456</f>
        <v>15</v>
      </c>
      <c r="D310" t="s">
        <v>3828</v>
      </c>
      <c r="E310" t="s">
        <v>25</v>
      </c>
      <c r="F310" s="387">
        <v>7</v>
      </c>
      <c r="G310" s="16">
        <f>'WetLitterbags placem_collection'!E17</f>
        <v>42766</v>
      </c>
      <c r="H310" s="92" t="str">
        <f>'Final data_for_R_analysis_Wetse'!J456</f>
        <v>G685</v>
      </c>
      <c r="I310" t="str">
        <f>'Final data_for_R_analysis_Wetse'!J676</f>
        <v>R99</v>
      </c>
      <c r="J310">
        <f>IFERROR(INDEX('Green_rooibos initial weight'!$C$5:$C$1749,MATCH(H310, 'Green_rooibos initial weight'!$A$5:$A$1749,0)),"")</f>
        <v>1.9810000000000001</v>
      </c>
      <c r="K310">
        <f>IFERROR(INDEX('Green_rooibos initial weight'!$C$5:$C$1749,MATCH(I310, 'Green_rooibos initial weight'!$A$5:$A$1749,0)),"")</f>
        <v>2.1920000000000002</v>
      </c>
      <c r="L310" s="195">
        <f t="shared" si="40"/>
        <v>1.7312000000000001</v>
      </c>
      <c r="M310" s="195">
        <f>AVERAGE(Ashed_controlls!$K$2:$K$11)</f>
        <v>5.5147656768714146</v>
      </c>
      <c r="N310" s="195">
        <f t="shared" si="36"/>
        <v>1.6357283766020021</v>
      </c>
      <c r="O310" s="195">
        <f t="shared" si="41"/>
        <v>1.9422000000000001</v>
      </c>
      <c r="P310" s="195">
        <f>AVERAGE(Ashed_controlls!$K$12:$K$14)</f>
        <v>2.2816647271287041</v>
      </c>
      <c r="Q310" s="195">
        <f t="shared" si="42"/>
        <v>1.8978855076697065</v>
      </c>
      <c r="R310" s="16">
        <f>IF('WetLitterbags placem_collection'!G17="N.A","",'WetLitterbags placem_collection'!G17)</f>
        <v>42818</v>
      </c>
      <c r="S310" s="195">
        <f>IF(IFERROR(INDEX('Both teabags AfterWet'!$C$3:$C$841,MATCH(H310,'Both teabags AfterWet'!$A$3:$A$841,0)),"")="N.A","",(IFERROR(INDEX('Both teabags AfterWet'!$C$3:$C$841,MATCH(H310,'Both teabags AfterWet'!$A$3:$A$841,0)),"")))</f>
        <v>0.72199999999999998</v>
      </c>
      <c r="T310" s="195">
        <f>IFERROR(INDEX('Both teabags AfterWet'!$C$3:$C$841,MATCH(I310,'Both teabags AfterWet'!$A$3:$A$841,0)),"")</f>
        <v>1.355</v>
      </c>
      <c r="U310" s="195">
        <f t="shared" si="43"/>
        <v>0.57139999999999991</v>
      </c>
      <c r="V310" s="195">
        <f t="shared" si="43"/>
        <v>1.2043999999999999</v>
      </c>
      <c r="W310" s="195">
        <f>IFERROR(INDEX('Ashed teabags wet'!$K$2:$K$821,MATCH(H310,'Ashed teabags wet'!$A$2:$A$821,0)),"")</f>
        <v>22.716049382715465</v>
      </c>
      <c r="X310" s="195">
        <f>IFERROR(INDEX('Ashed teabags wet'!$K$2:$K$821,MATCH(I310,'Ashed teabags wet'!$A$2:$A$821,0)),"")</f>
        <v>7.6999503229018247</v>
      </c>
      <c r="Y310" s="195">
        <f t="shared" si="37"/>
        <v>0.44160049382716376</v>
      </c>
      <c r="Z310" s="195">
        <f t="shared" si="37"/>
        <v>1.1116617983109705</v>
      </c>
      <c r="AA310" s="195">
        <f t="shared" si="44"/>
        <v>0.73002822464660833</v>
      </c>
      <c r="AB310" s="195">
        <f t="shared" si="45"/>
        <v>0.47859332542152949</v>
      </c>
      <c r="AC310" s="195">
        <f t="shared" si="38"/>
        <v>0.58573701828616076</v>
      </c>
      <c r="AD310">
        <f t="shared" si="39"/>
        <v>52</v>
      </c>
      <c r="AE310" s="195">
        <f t="shared" si="46"/>
        <v>0.13298310612041764</v>
      </c>
      <c r="AF310" s="195">
        <f t="shared" si="47"/>
        <v>3.8592688481484339E-2</v>
      </c>
      <c r="AG310" s="255" t="str">
        <f>IF(ISNUMBER(SEARCH("C",'WetLitterbags placem_collection'!AD237)),"YES","NO")</f>
        <v>NO</v>
      </c>
      <c r="AH310" s="255" t="str">
        <f>IF(ISNUMBER(SEARCH("H", 'WetLitterbags placem_collection'!AF17)),"YES","NO")</f>
        <v>NO</v>
      </c>
      <c r="AI310" s="255" t="str">
        <f>IF(ISNUMBER(SEARCH("R", 'WetLitterbags placem_collection'!XF17)),"YES","NO")</f>
        <v>NO</v>
      </c>
      <c r="AJ310" s="255" t="str">
        <f>IF(ISNUMBER(SEARCH("C", 'WetLitterbags placem_collection'!WE17)),"YES","NO")</f>
        <v>NO</v>
      </c>
      <c r="AK310" s="255" t="str">
        <f>IF(ISNUMBER(SEARCH("H", 'WetLitterbags placem_collection'!AE17)),"YES","NO")</f>
        <v>NO</v>
      </c>
      <c r="AL310" s="255" t="str">
        <f>IF(ISNUMBER(SEARCH("R", 'WetLitterbags placem_collection'!AE17)),"YES","NO")</f>
        <v>NO</v>
      </c>
    </row>
    <row r="311" spans="2:38">
      <c r="B311" t="str">
        <f>'Final data_for_R_analysis_Wetse'!A457</f>
        <v>Wet</v>
      </c>
      <c r="C311" s="263">
        <f>'Final data_for_R_analysis_Wetse'!B457</f>
        <v>16</v>
      </c>
      <c r="D311" t="s">
        <v>3828</v>
      </c>
      <c r="E311" t="s">
        <v>25</v>
      </c>
      <c r="F311" s="387">
        <v>8</v>
      </c>
      <c r="G311" s="16">
        <f>'WetLitterbags placem_collection'!E18</f>
        <v>42766</v>
      </c>
      <c r="H311" s="92" t="str">
        <f>'Final data_for_R_analysis_Wetse'!J457</f>
        <v>G644</v>
      </c>
      <c r="I311" t="str">
        <f>'Final data_for_R_analysis_Wetse'!J677</f>
        <v>R154</v>
      </c>
      <c r="J311">
        <f>IFERROR(INDEX('Green_rooibos initial weight'!$C$5:$C$1749,MATCH(H311, 'Green_rooibos initial weight'!$A$5:$A$1749,0)),"")</f>
        <v>2.157</v>
      </c>
      <c r="K311">
        <f>IFERROR(INDEX('Green_rooibos initial weight'!$C$5:$C$1749,MATCH(I311, 'Green_rooibos initial weight'!$A$5:$A$1749,0)),"")</f>
        <v>2.2010000000000001</v>
      </c>
      <c r="L311" s="195">
        <f t="shared" si="40"/>
        <v>1.9072</v>
      </c>
      <c r="M311" s="195">
        <f>AVERAGE(Ashed_controlls!$K$2:$K$11)</f>
        <v>5.5147656768714146</v>
      </c>
      <c r="N311" s="195">
        <f t="shared" si="36"/>
        <v>1.8020223890107083</v>
      </c>
      <c r="O311" s="195">
        <f t="shared" si="41"/>
        <v>1.9512</v>
      </c>
      <c r="P311" s="195">
        <f>AVERAGE(Ashed_controlls!$K$12:$K$14)</f>
        <v>2.2816647271287041</v>
      </c>
      <c r="Q311" s="195">
        <f t="shared" si="42"/>
        <v>1.9066801578442647</v>
      </c>
      <c r="R311" s="16">
        <f>IF('WetLitterbags placem_collection'!G18="N.A","",'WetLitterbags placem_collection'!G18)</f>
        <v>42818</v>
      </c>
      <c r="S311" s="195">
        <f>IF(IFERROR(INDEX('Both teabags AfterWet'!$C$3:$C$841,MATCH(H311,'Both teabags AfterWet'!$A$3:$A$841,0)),"")="N.A","",(IFERROR(INDEX('Both teabags AfterWet'!$C$3:$C$841,MATCH(H311,'Both teabags AfterWet'!$A$3:$A$841,0)),"")))</f>
        <v>0.65410000000000001</v>
      </c>
      <c r="T311" s="195">
        <f>IFERROR(INDEX('Both teabags AfterWet'!$C$3:$C$841,MATCH(I311,'Both teabags AfterWet'!$A$3:$A$841,0)),"")</f>
        <v>1.421</v>
      </c>
      <c r="U311" s="195">
        <f t="shared" si="43"/>
        <v>0.50350000000000006</v>
      </c>
      <c r="V311" s="195">
        <f t="shared" si="43"/>
        <v>1.2704</v>
      </c>
      <c r="W311" s="195">
        <f>IFERROR(INDEX('Ashed teabags wet'!$K$2:$K$821,MATCH(H311,'Ashed teabags wet'!$A$2:$A$821,0)),"")</f>
        <v>8.8551859099799302</v>
      </c>
      <c r="X311" s="195">
        <f>IFERROR(INDEX('Ashed teabags wet'!$K$2:$K$821,MATCH(I311,'Ashed teabags wet'!$A$2:$A$821,0)),"")</f>
        <v>4.0579710144928036</v>
      </c>
      <c r="Y311" s="195">
        <f t="shared" si="37"/>
        <v>0.45891413894325112</v>
      </c>
      <c r="Z311" s="195">
        <f t="shared" si="37"/>
        <v>1.2188475362318834</v>
      </c>
      <c r="AA311" s="195">
        <f t="shared" si="44"/>
        <v>0.74533383062172143</v>
      </c>
      <c r="AB311" s="195">
        <f t="shared" si="45"/>
        <v>0.48862740439808822</v>
      </c>
      <c r="AC311" s="195">
        <f t="shared" si="38"/>
        <v>0.63925117761226391</v>
      </c>
      <c r="AD311">
        <f t="shared" si="39"/>
        <v>52</v>
      </c>
      <c r="AE311" s="195">
        <f t="shared" si="46"/>
        <v>0.11480542681505768</v>
      </c>
      <c r="AF311" s="195">
        <f t="shared" si="47"/>
        <v>2.5779211714489728E-2</v>
      </c>
      <c r="AG311" s="255" t="str">
        <f>IF(ISNUMBER(SEARCH("C",'WetLitterbags placem_collection'!AD238)),"YES","NO")</f>
        <v>NO</v>
      </c>
      <c r="AH311" s="255" t="str">
        <f>IF(ISNUMBER(SEARCH("H", 'WetLitterbags placem_collection'!AF18)),"YES","NO")</f>
        <v>NO</v>
      </c>
      <c r="AI311" s="255" t="str">
        <f>IF(ISNUMBER(SEARCH("R", 'WetLitterbags placem_collection'!XF18)),"YES","NO")</f>
        <v>NO</v>
      </c>
      <c r="AJ311" s="255" t="str">
        <f>IF(ISNUMBER(SEARCH("C", 'WetLitterbags placem_collection'!WE18)),"YES","NO")</f>
        <v>NO</v>
      </c>
      <c r="AK311" s="255" t="str">
        <f>IF(ISNUMBER(SEARCH("H", 'WetLitterbags placem_collection'!AE18)),"YES","NO")</f>
        <v>NO</v>
      </c>
      <c r="AL311" s="255" t="str">
        <f>IF(ISNUMBER(SEARCH("R", 'WetLitterbags placem_collection'!AE18)),"YES","NO")</f>
        <v>NO</v>
      </c>
    </row>
    <row r="312" spans="2:38">
      <c r="B312" t="str">
        <f>'Final data_for_R_analysis_Wetse'!A458</f>
        <v>Wet</v>
      </c>
      <c r="C312" s="263">
        <f>'Final data_for_R_analysis_Wetse'!B458</f>
        <v>17</v>
      </c>
      <c r="D312" t="s">
        <v>3829</v>
      </c>
      <c r="E312" t="s">
        <v>25</v>
      </c>
      <c r="F312" s="386">
        <v>1</v>
      </c>
      <c r="G312" s="16">
        <f>'WetLitterbags placem_collection'!E19</f>
        <v>42767</v>
      </c>
      <c r="H312" s="92" t="str">
        <f>'Final data_for_R_analysis_Wetse'!J458</f>
        <v>G648</v>
      </c>
      <c r="I312" t="str">
        <f>'Final data_for_R_analysis_Wetse'!J678</f>
        <v>R380</v>
      </c>
      <c r="J312">
        <f>IFERROR(INDEX('Green_rooibos initial weight'!$C$5:$C$1749,MATCH(H312, 'Green_rooibos initial weight'!$A$5:$A$1749,0)),"")</f>
        <v>2.0249999999999999</v>
      </c>
      <c r="K312">
        <f>IFERROR(INDEX('Green_rooibos initial weight'!$C$5:$C$1749,MATCH(I312, 'Green_rooibos initial weight'!$A$5:$A$1749,0)),"")</f>
        <v>2.2799999999999998</v>
      </c>
      <c r="L312" s="195">
        <f t="shared" si="40"/>
        <v>1.7751999999999999</v>
      </c>
      <c r="M312" s="195">
        <f>AVERAGE(Ashed_controlls!$K$2:$K$11)</f>
        <v>5.5147656768714146</v>
      </c>
      <c r="N312" s="195">
        <f t="shared" si="36"/>
        <v>1.6773018797041785</v>
      </c>
      <c r="O312" s="195">
        <f t="shared" si="41"/>
        <v>2.0301999999999998</v>
      </c>
      <c r="P312" s="195">
        <f>AVERAGE(Ashed_controlls!$K$12:$K$14)</f>
        <v>2.2816647271287041</v>
      </c>
      <c r="Q312" s="195">
        <f t="shared" si="42"/>
        <v>1.9838776427098328</v>
      </c>
      <c r="R312" s="16">
        <f>IF('WetLitterbags placem_collection'!G19="N.A","",'WetLitterbags placem_collection'!G19)</f>
        <v>42818</v>
      </c>
      <c r="S312" s="195">
        <f>IF(IFERROR(INDEX('Both teabags AfterWet'!$C$3:$C$841,MATCH(H312,'Both teabags AfterWet'!$A$3:$A$841,0)),"")="N.A","",(IFERROR(INDEX('Both teabags AfterWet'!$C$3:$C$841,MATCH(H312,'Both teabags AfterWet'!$A$3:$A$841,0)),"")))</f>
        <v>0.6905</v>
      </c>
      <c r="T312" s="195">
        <f>IFERROR(INDEX('Both teabags AfterWet'!$C$3:$C$841,MATCH(I312,'Both teabags AfterWet'!$A$3:$A$841,0)),"")</f>
        <v>1.6271</v>
      </c>
      <c r="U312" s="195">
        <f t="shared" si="43"/>
        <v>0.53990000000000005</v>
      </c>
      <c r="V312" s="195">
        <f t="shared" si="43"/>
        <v>1.4764999999999999</v>
      </c>
      <c r="W312" s="195">
        <f>IFERROR(INDEX('Ashed teabags wet'!$K$2:$K$821,MATCH(H312,'Ashed teabags wet'!$A$2:$A$821,0)),"")</f>
        <v>10.088582677165091</v>
      </c>
      <c r="X312" s="195">
        <f>IFERROR(INDEX('Ashed teabags wet'!$K$2:$K$821,MATCH(I312,'Ashed teabags wet'!$A$2:$A$821,0)),"")</f>
        <v>3.3600802407224508</v>
      </c>
      <c r="Y312" s="195">
        <f t="shared" si="37"/>
        <v>0.48543174212598572</v>
      </c>
      <c r="Z312" s="195">
        <f t="shared" si="37"/>
        <v>1.4268884152457328</v>
      </c>
      <c r="AA312" s="195">
        <f t="shared" si="44"/>
        <v>0.71058773140372322</v>
      </c>
      <c r="AB312" s="195">
        <f t="shared" si="45"/>
        <v>0.46584848899626519</v>
      </c>
      <c r="AC312" s="195">
        <f t="shared" si="38"/>
        <v>0.71924214705938561</v>
      </c>
      <c r="AD312">
        <f t="shared" si="39"/>
        <v>51</v>
      </c>
      <c r="AE312" s="195">
        <f t="shared" si="46"/>
        <v>0.15607157790531678</v>
      </c>
      <c r="AF312" s="195">
        <f t="shared" si="47"/>
        <v>1.809832981608336E-2</v>
      </c>
      <c r="AG312" s="255" t="str">
        <f>IF(ISNUMBER(SEARCH("C",'WetLitterbags placem_collection'!AD239)),"YES","NO")</f>
        <v>NO</v>
      </c>
      <c r="AH312" s="255" t="str">
        <f>IF(ISNUMBER(SEARCH("H", 'WetLitterbags placem_collection'!AF19)),"YES","NO")</f>
        <v>NO</v>
      </c>
      <c r="AI312" s="255" t="str">
        <f>IF(ISNUMBER(SEARCH("R", 'WetLitterbags placem_collection'!XF19)),"YES","NO")</f>
        <v>NO</v>
      </c>
      <c r="AJ312" s="255" t="str">
        <f>IF(ISNUMBER(SEARCH("C", 'WetLitterbags placem_collection'!WE19)),"YES","NO")</f>
        <v>NO</v>
      </c>
      <c r="AK312" s="255" t="str">
        <f>IF(ISNUMBER(SEARCH("H", 'WetLitterbags placem_collection'!AE19)),"YES","NO")</f>
        <v>NO</v>
      </c>
      <c r="AL312" s="255" t="str">
        <f>IF(ISNUMBER(SEARCH("R", 'WetLitterbags placem_collection'!AE19)),"YES","NO")</f>
        <v>NO</v>
      </c>
    </row>
    <row r="313" spans="2:38">
      <c r="B313" t="str">
        <f>'Final data_for_R_analysis_Wetse'!A459</f>
        <v>Wet</v>
      </c>
      <c r="C313" s="263">
        <f>'Final data_for_R_analysis_Wetse'!B459</f>
        <v>18</v>
      </c>
      <c r="D313" t="s">
        <v>3829</v>
      </c>
      <c r="E313" t="s">
        <v>25</v>
      </c>
      <c r="F313" s="386">
        <v>2</v>
      </c>
      <c r="G313" s="16">
        <f>'WetLitterbags placem_collection'!E20</f>
        <v>42767</v>
      </c>
      <c r="H313" s="92" t="str">
        <f>'Final data_for_R_analysis_Wetse'!J459</f>
        <v>G573</v>
      </c>
      <c r="I313" t="str">
        <f>'Final data_for_R_analysis_Wetse'!J679</f>
        <v>R274</v>
      </c>
      <c r="J313">
        <f>IFERROR(INDEX('Green_rooibos initial weight'!$C$5:$C$1749,MATCH(H313, 'Green_rooibos initial weight'!$A$5:$A$1749,0)),"")</f>
        <v>2.0019999999999998</v>
      </c>
      <c r="K313">
        <f>IFERROR(INDEX('Green_rooibos initial weight'!$C$5:$C$1749,MATCH(I313, 'Green_rooibos initial weight'!$A$5:$A$1749,0)),"")</f>
        <v>2.1880000000000002</v>
      </c>
      <c r="L313" s="195">
        <f t="shared" si="40"/>
        <v>1.7521999999999998</v>
      </c>
      <c r="M313" s="195">
        <f>AVERAGE(Ashed_controlls!$K$2:$K$11)</f>
        <v>5.5147656768714146</v>
      </c>
      <c r="N313" s="195">
        <f t="shared" si="36"/>
        <v>1.6555702758098589</v>
      </c>
      <c r="O313" s="195">
        <f t="shared" si="41"/>
        <v>1.9382000000000001</v>
      </c>
      <c r="P313" s="195">
        <f>AVERAGE(Ashed_controlls!$K$12:$K$14)</f>
        <v>2.2816647271287041</v>
      </c>
      <c r="Q313" s="195">
        <f t="shared" si="42"/>
        <v>1.8939767742587916</v>
      </c>
      <c r="R313" s="16">
        <f>IF('WetLitterbags placem_collection'!G20="N.A","",'WetLitterbags placem_collection'!G20)</f>
        <v>42818</v>
      </c>
      <c r="S313" s="195">
        <f>IF(IFERROR(INDEX('Both teabags AfterWet'!$C$3:$C$841,MATCH(H313,'Both teabags AfterWet'!$A$3:$A$841,0)),"")="N.A","",(IFERROR(INDEX('Both teabags AfterWet'!$C$3:$C$841,MATCH(H313,'Both teabags AfterWet'!$A$3:$A$841,0)),"")))</f>
        <v>0.72099999999999997</v>
      </c>
      <c r="T313" s="195">
        <f>IFERROR(INDEX('Both teabags AfterWet'!$C$3:$C$841,MATCH(I313,'Both teabags AfterWet'!$A$3:$A$841,0)),"")</f>
        <v>1.6060000000000001</v>
      </c>
      <c r="U313" s="195">
        <f t="shared" si="43"/>
        <v>0.57040000000000002</v>
      </c>
      <c r="V313" s="195">
        <f t="shared" si="43"/>
        <v>1.4554</v>
      </c>
      <c r="W313" s="195">
        <f>IFERROR(INDEX('Ashed teabags wet'!$K$2:$K$821,MATCH(H313,'Ashed teabags wet'!$A$2:$A$821,0)),"")</f>
        <v>14.100096246390503</v>
      </c>
      <c r="X313" s="195">
        <f>IFERROR(INDEX('Ashed teabags wet'!$K$2:$K$821,MATCH(I313,'Ashed teabags wet'!$A$2:$A$821,0)),"")</f>
        <v>4.6344959388436653</v>
      </c>
      <c r="Y313" s="195">
        <f t="shared" si="37"/>
        <v>0.48997305101058858</v>
      </c>
      <c r="Z313" s="195">
        <f t="shared" si="37"/>
        <v>1.3879495461060694</v>
      </c>
      <c r="AA313" s="195">
        <f t="shared" si="44"/>
        <v>0.70404575500674094</v>
      </c>
      <c r="AB313" s="195">
        <f t="shared" si="45"/>
        <v>0.4615596873678397</v>
      </c>
      <c r="AC313" s="195">
        <f t="shared" si="38"/>
        <v>0.73282289675872281</v>
      </c>
      <c r="AD313">
        <f t="shared" si="39"/>
        <v>51</v>
      </c>
      <c r="AE313" s="195">
        <f t="shared" si="46"/>
        <v>0.16384114607275424</v>
      </c>
      <c r="AF313" s="195">
        <f t="shared" si="47"/>
        <v>1.6956530956889822E-2</v>
      </c>
      <c r="AG313" s="255" t="str">
        <f>IF(ISNUMBER(SEARCH("C",'WetLitterbags placem_collection'!AD240)),"YES","NO")</f>
        <v>NO</v>
      </c>
      <c r="AH313" s="255" t="str">
        <f>IF(ISNUMBER(SEARCH("H", 'WetLitterbags placem_collection'!AF20)),"YES","NO")</f>
        <v>NO</v>
      </c>
      <c r="AI313" s="255" t="str">
        <f>IF(ISNUMBER(SEARCH("R", 'WetLitterbags placem_collection'!XF20)),"YES","NO")</f>
        <v>NO</v>
      </c>
      <c r="AJ313" s="255" t="str">
        <f>IF(ISNUMBER(SEARCH("C", 'WetLitterbags placem_collection'!WE20)),"YES","NO")</f>
        <v>NO</v>
      </c>
      <c r="AK313" s="255" t="str">
        <f>IF(ISNUMBER(SEARCH("H", 'WetLitterbags placem_collection'!AE20)),"YES","NO")</f>
        <v>NO</v>
      </c>
      <c r="AL313" s="255" t="str">
        <f>IF(ISNUMBER(SEARCH("R", 'WetLitterbags placem_collection'!AE20)),"YES","NO")</f>
        <v>NO</v>
      </c>
    </row>
    <row r="314" spans="2:38">
      <c r="B314" t="str">
        <f>'Final data_for_R_analysis_Wetse'!A460</f>
        <v>Wet</v>
      </c>
      <c r="C314" s="263">
        <f>'Final data_for_R_analysis_Wetse'!B460</f>
        <v>19</v>
      </c>
      <c r="D314" t="s">
        <v>3829</v>
      </c>
      <c r="E314" t="s">
        <v>25</v>
      </c>
      <c r="F314" s="386">
        <v>3</v>
      </c>
      <c r="G314" s="16">
        <f>'WetLitterbags placem_collection'!E21</f>
        <v>42767</v>
      </c>
      <c r="H314" s="92" t="str">
        <f>'Final data_for_R_analysis_Wetse'!J460</f>
        <v>G639</v>
      </c>
      <c r="I314" t="str">
        <f>'Final data_for_R_analysis_Wetse'!J680</f>
        <v>R566</v>
      </c>
      <c r="J314">
        <f>IFERROR(INDEX('Green_rooibos initial weight'!$C$5:$C$1749,MATCH(H314, 'Green_rooibos initial weight'!$A$5:$A$1749,0)),"")</f>
        <v>2.1909999999999998</v>
      </c>
      <c r="K314">
        <f>IFERROR(INDEX('Green_rooibos initial weight'!$C$5:$C$1749,MATCH(I314, 'Green_rooibos initial weight'!$A$5:$A$1749,0)),"")</f>
        <v>2.117</v>
      </c>
      <c r="L314" s="195">
        <f t="shared" si="40"/>
        <v>1.9411999999999998</v>
      </c>
      <c r="M314" s="195">
        <f>AVERAGE(Ashed_controlls!$K$2:$K$11)</f>
        <v>5.5147656768714146</v>
      </c>
      <c r="N314" s="195">
        <f t="shared" si="36"/>
        <v>1.834147368680572</v>
      </c>
      <c r="O314" s="195">
        <f t="shared" si="41"/>
        <v>1.8672</v>
      </c>
      <c r="P314" s="195">
        <f>AVERAGE(Ashed_controlls!$K$12:$K$14)</f>
        <v>2.2816647271287041</v>
      </c>
      <c r="Q314" s="195">
        <f t="shared" si="42"/>
        <v>1.8245967562150529</v>
      </c>
      <c r="R314" s="16">
        <f>IF('WetLitterbags placem_collection'!G21="N.A","",'WetLitterbags placem_collection'!G21)</f>
        <v>42818</v>
      </c>
      <c r="S314" s="195">
        <f>IF(IFERROR(INDEX('Both teabags AfterWet'!$C$3:$C$841,MATCH(H314,'Both teabags AfterWet'!$A$3:$A$841,0)),"")="N.A","",(IFERROR(INDEX('Both teabags AfterWet'!$C$3:$C$841,MATCH(H314,'Both teabags AfterWet'!$A$3:$A$841,0)),"")))</f>
        <v>0.89200000000000002</v>
      </c>
      <c r="T314" s="195">
        <f>IFERROR(INDEX('Both teabags AfterWet'!$C$3:$C$841,MATCH(I314,'Both teabags AfterWet'!$A$3:$A$841,0)),"")</f>
        <v>1.4496</v>
      </c>
      <c r="U314" s="195">
        <f t="shared" si="43"/>
        <v>0.74140000000000006</v>
      </c>
      <c r="V314" s="195">
        <f t="shared" si="43"/>
        <v>1.2989999999999999</v>
      </c>
      <c r="W314" s="195">
        <f>IFERROR(INDEX('Ashed teabags wet'!$K$2:$K$821,MATCH(H314,'Ashed teabags wet'!$A$2:$A$821,0)),"")</f>
        <v>16.616616616617133</v>
      </c>
      <c r="X314" s="195">
        <f>IFERROR(INDEX('Ashed teabags wet'!$K$2:$K$821,MATCH(I314,'Ashed teabags wet'!$A$2:$A$821,0)),"")</f>
        <v>8.439646712463917</v>
      </c>
      <c r="Y314" s="195">
        <f t="shared" si="37"/>
        <v>0.61820440440440061</v>
      </c>
      <c r="Z314" s="195">
        <f t="shared" si="37"/>
        <v>1.1893689892050936</v>
      </c>
      <c r="AA314" s="195">
        <f t="shared" si="44"/>
        <v>0.66294725551463318</v>
      </c>
      <c r="AB314" s="195">
        <f t="shared" si="45"/>
        <v>0.43461625302146983</v>
      </c>
      <c r="AC314" s="195">
        <f t="shared" si="38"/>
        <v>0.65185306570001966</v>
      </c>
      <c r="AD314">
        <f t="shared" si="39"/>
        <v>51</v>
      </c>
      <c r="AE314" s="195">
        <f t="shared" si="46"/>
        <v>0.21265171554081563</v>
      </c>
      <c r="AF314" s="195">
        <f t="shared" si="47"/>
        <v>3.1660270796525884E-2</v>
      </c>
      <c r="AG314" s="255" t="str">
        <f>IF(ISNUMBER(SEARCH("C",'WetLitterbags placem_collection'!AD241)),"YES","NO")</f>
        <v>NO</v>
      </c>
      <c r="AH314" s="255" t="str">
        <f>IF(ISNUMBER(SEARCH("H", 'WetLitterbags placem_collection'!AF21)),"YES","NO")</f>
        <v>NO</v>
      </c>
      <c r="AI314" s="255" t="str">
        <f>IF(ISNUMBER(SEARCH("R", 'WetLitterbags placem_collection'!XF21)),"YES","NO")</f>
        <v>NO</v>
      </c>
      <c r="AJ314" s="255" t="str">
        <f>IF(ISNUMBER(SEARCH("C", 'WetLitterbags placem_collection'!WE21)),"YES","NO")</f>
        <v>NO</v>
      </c>
      <c r="AK314" s="255" t="str">
        <f>IF(ISNUMBER(SEARCH("H", 'WetLitterbags placem_collection'!AE21)),"YES","NO")</f>
        <v>NO</v>
      </c>
      <c r="AL314" s="255" t="str">
        <f>IF(ISNUMBER(SEARCH("R", 'WetLitterbags placem_collection'!AE21)),"YES","NO")</f>
        <v>NO</v>
      </c>
    </row>
    <row r="315" spans="2:38">
      <c r="B315" t="str">
        <f>'Final data_for_R_analysis_Wetse'!A461</f>
        <v>Wet</v>
      </c>
      <c r="C315" s="263">
        <f>'Final data_for_R_analysis_Wetse'!B461</f>
        <v>20</v>
      </c>
      <c r="D315" t="s">
        <v>3829</v>
      </c>
      <c r="E315" t="s">
        <v>25</v>
      </c>
      <c r="F315" s="387">
        <v>4</v>
      </c>
      <c r="G315" s="16">
        <f>'WetLitterbags placem_collection'!E22</f>
        <v>42767</v>
      </c>
      <c r="H315" s="92" t="str">
        <f>'Final data_for_R_analysis_Wetse'!J461</f>
        <v>G505</v>
      </c>
      <c r="I315" t="str">
        <f>'Final data_for_R_analysis_Wetse'!J681</f>
        <v>R110</v>
      </c>
      <c r="J315">
        <f>IFERROR(INDEX('Green_rooibos initial weight'!$C$5:$C$1749,MATCH(H315, 'Green_rooibos initial weight'!$A$5:$A$1749,0)),"")</f>
        <v>2.0510000000000002</v>
      </c>
      <c r="K315">
        <f>IFERROR(INDEX('Green_rooibos initial weight'!$C$5:$C$1749,MATCH(I315, 'Green_rooibos initial weight'!$A$5:$A$1749,0)),"")</f>
        <v>2.2530000000000001</v>
      </c>
      <c r="L315" s="195">
        <f t="shared" si="40"/>
        <v>1.8012000000000001</v>
      </c>
      <c r="M315" s="195">
        <f>AVERAGE(Ashed_controlls!$K$2:$K$11)</f>
        <v>5.5147656768714146</v>
      </c>
      <c r="N315" s="195">
        <f t="shared" si="36"/>
        <v>1.7018680406281923</v>
      </c>
      <c r="O315" s="195">
        <f t="shared" si="41"/>
        <v>2.0032000000000001</v>
      </c>
      <c r="P315" s="195">
        <f>AVERAGE(Ashed_controlls!$K$12:$K$14)</f>
        <v>2.2816647271287041</v>
      </c>
      <c r="Q315" s="195">
        <f t="shared" si="42"/>
        <v>1.9574936921861579</v>
      </c>
      <c r="R315" s="16">
        <f>IF('WetLitterbags placem_collection'!G22="N.A","",'WetLitterbags placem_collection'!G22)</f>
        <v>42818</v>
      </c>
      <c r="S315" s="195">
        <f>IF(IFERROR(INDEX('Both teabags AfterWet'!$C$3:$C$841,MATCH(H315,'Both teabags AfterWet'!$A$3:$A$841,0)),"")="N.A","",(IFERROR(INDEX('Both teabags AfterWet'!$C$3:$C$841,MATCH(H315,'Both teabags AfterWet'!$A$3:$A$841,0)),"")))</f>
        <v>0.70330000000000004</v>
      </c>
      <c r="T315" s="195">
        <f>IFERROR(INDEX('Both teabags AfterWet'!$C$3:$C$841,MATCH(I315,'Both teabags AfterWet'!$A$3:$A$841,0)),"")</f>
        <v>1.6778999999999999</v>
      </c>
      <c r="U315" s="195">
        <f t="shared" si="43"/>
        <v>0.55269999999999997</v>
      </c>
      <c r="V315" s="195">
        <f t="shared" si="43"/>
        <v>1.5272999999999999</v>
      </c>
      <c r="W315" s="195">
        <f>IFERROR(INDEX('Ashed teabags wet'!$K$2:$K$821,MATCH(H315,'Ashed teabags wet'!$A$2:$A$821,0)),"")</f>
        <v>10.945273631841108</v>
      </c>
      <c r="X315" s="195">
        <f>IFERROR(INDEX('Ashed teabags wet'!$K$2:$K$821,MATCH(I315,'Ashed teabags wet'!$A$2:$A$821,0)),"")</f>
        <v>6.496631376323327</v>
      </c>
      <c r="Y315" s="195">
        <f t="shared" si="37"/>
        <v>0.49220547263681419</v>
      </c>
      <c r="Z315" s="195">
        <f t="shared" si="37"/>
        <v>1.4280769489894136</v>
      </c>
      <c r="AA315" s="195">
        <f t="shared" si="44"/>
        <v>0.7107851720071483</v>
      </c>
      <c r="AB315" s="195">
        <f t="shared" si="45"/>
        <v>0.4659779274916222</v>
      </c>
      <c r="AC315" s="195">
        <f t="shared" si="38"/>
        <v>0.72954357640586631</v>
      </c>
      <c r="AD315">
        <f t="shared" si="39"/>
        <v>51</v>
      </c>
      <c r="AE315" s="195">
        <f t="shared" si="46"/>
        <v>0.15583708787749606</v>
      </c>
      <c r="AF315" s="195">
        <f t="shared" si="47"/>
        <v>1.7028782340568632E-2</v>
      </c>
      <c r="AG315" s="255" t="str">
        <f>IF(ISNUMBER(SEARCH("C",'WetLitterbags placem_collection'!AD242)),"YES","NO")</f>
        <v>NO</v>
      </c>
      <c r="AH315" s="255" t="str">
        <f>IF(ISNUMBER(SEARCH("H", 'WetLitterbags placem_collection'!AF22)),"YES","NO")</f>
        <v>NO</v>
      </c>
      <c r="AI315" s="255" t="str">
        <f>IF(ISNUMBER(SEARCH("R", 'WetLitterbags placem_collection'!XF22)),"YES","NO")</f>
        <v>NO</v>
      </c>
      <c r="AJ315" s="255" t="str">
        <f>IF(ISNUMBER(SEARCH("C", 'WetLitterbags placem_collection'!WE22)),"YES","NO")</f>
        <v>NO</v>
      </c>
      <c r="AK315" s="255" t="str">
        <f>IF(ISNUMBER(SEARCH("H", 'WetLitterbags placem_collection'!AE22)),"YES","NO")</f>
        <v>NO</v>
      </c>
      <c r="AL315" s="255" t="str">
        <f>IF(ISNUMBER(SEARCH("R", 'WetLitterbags placem_collection'!AE22)),"YES","NO")</f>
        <v>NO</v>
      </c>
    </row>
    <row r="316" spans="2:38">
      <c r="B316" t="str">
        <f>'Final data_for_R_analysis_Wetse'!A462</f>
        <v>Wet</v>
      </c>
      <c r="C316" s="263">
        <f>'Final data_for_R_analysis_Wetse'!B462</f>
        <v>21</v>
      </c>
      <c r="D316" t="s">
        <v>3829</v>
      </c>
      <c r="E316" t="s">
        <v>25</v>
      </c>
      <c r="F316" s="387">
        <v>5</v>
      </c>
      <c r="G316" s="16">
        <f>'WetLitterbags placem_collection'!E23</f>
        <v>42767</v>
      </c>
      <c r="H316" s="92" t="str">
        <f>'Final data_for_R_analysis_Wetse'!J462</f>
        <v>G721</v>
      </c>
      <c r="I316" t="str">
        <f>'Final data_for_R_analysis_Wetse'!J682</f>
        <v>R79</v>
      </c>
      <c r="J316">
        <f>IFERROR(INDEX('Green_rooibos initial weight'!$C$5:$C$1749,MATCH(H316, 'Green_rooibos initial weight'!$A$5:$A$1749,0)),"")</f>
        <v>1.9910000000000001</v>
      </c>
      <c r="K316">
        <f>IFERROR(INDEX('Green_rooibos initial weight'!$C$5:$C$1749,MATCH(I316, 'Green_rooibos initial weight'!$A$5:$A$1749,0)),"")</f>
        <v>2.1890000000000001</v>
      </c>
      <c r="L316" s="195">
        <f t="shared" si="40"/>
        <v>1.7412000000000001</v>
      </c>
      <c r="M316" s="195">
        <f>AVERAGE(Ashed_controlls!$K$2:$K$11)</f>
        <v>5.5147656768714146</v>
      </c>
      <c r="N316" s="195">
        <f t="shared" si="36"/>
        <v>1.645176900034315</v>
      </c>
      <c r="O316" s="195">
        <f t="shared" si="41"/>
        <v>1.9392</v>
      </c>
      <c r="P316" s="195">
        <f>AVERAGE(Ashed_controlls!$K$12:$K$14)</f>
        <v>2.2816647271287041</v>
      </c>
      <c r="Q316" s="195">
        <f t="shared" si="42"/>
        <v>1.8949539576115202</v>
      </c>
      <c r="R316" s="16">
        <f>IF('WetLitterbags placem_collection'!G23="N.A","",'WetLitterbags placem_collection'!G23)</f>
        <v>42818</v>
      </c>
      <c r="S316" s="195">
        <f>IF(IFERROR(INDEX('Both teabags AfterWet'!$C$3:$C$841,MATCH(H316,'Both teabags AfterWet'!$A$3:$A$841,0)),"")="N.A","",(IFERROR(INDEX('Both teabags AfterWet'!$C$3:$C$841,MATCH(H316,'Both teabags AfterWet'!$A$3:$A$841,0)),"")))</f>
        <v>0.66739999999999999</v>
      </c>
      <c r="T316" s="195">
        <f>IFERROR(INDEX('Both teabags AfterWet'!$C$3:$C$841,MATCH(I316,'Both teabags AfterWet'!$A$3:$A$841,0)),"")</f>
        <v>1.4087000000000001</v>
      </c>
      <c r="U316" s="195">
        <f t="shared" si="43"/>
        <v>0.51679999999999993</v>
      </c>
      <c r="V316" s="195">
        <f t="shared" si="43"/>
        <v>1.2581</v>
      </c>
      <c r="W316" s="195">
        <f>IFERROR(INDEX('Ashed teabags wet'!$K$2:$K$821,MATCH(H316,'Ashed teabags wet'!$A$2:$A$821,0)),"")</f>
        <v>10.415623435152472</v>
      </c>
      <c r="X316" s="195">
        <f>IFERROR(INDEX('Ashed teabags wet'!$K$2:$K$821,MATCH(I316,'Ashed teabags wet'!$A$2:$A$821,0)),"")</f>
        <v>6.7426871591461754</v>
      </c>
      <c r="Y316" s="195">
        <f t="shared" si="37"/>
        <v>0.46297205808713193</v>
      </c>
      <c r="Z316" s="195">
        <f t="shared" si="37"/>
        <v>1.1732702528507819</v>
      </c>
      <c r="AA316" s="195">
        <f t="shared" si="44"/>
        <v>0.71858828185742496</v>
      </c>
      <c r="AB316" s="195">
        <f t="shared" si="45"/>
        <v>0.47109350544572287</v>
      </c>
      <c r="AC316" s="195">
        <f t="shared" si="38"/>
        <v>0.61915501858927546</v>
      </c>
      <c r="AD316">
        <f t="shared" si="39"/>
        <v>51</v>
      </c>
      <c r="AE316" s="195">
        <f t="shared" si="46"/>
        <v>0.14656973651137173</v>
      </c>
      <c r="AF316" s="195">
        <f t="shared" si="47"/>
        <v>3.2401752093704314E-2</v>
      </c>
      <c r="AG316" s="255" t="str">
        <f>IF(ISNUMBER(SEARCH("C",'WetLitterbags placem_collection'!AD243)),"YES","NO")</f>
        <v>NO</v>
      </c>
      <c r="AH316" s="255" t="str">
        <f>IF(ISNUMBER(SEARCH("H", 'WetLitterbags placem_collection'!AF23)),"YES","NO")</f>
        <v>NO</v>
      </c>
      <c r="AI316" s="255" t="str">
        <f>IF(ISNUMBER(SEARCH("R", 'WetLitterbags placem_collection'!XF23)),"YES","NO")</f>
        <v>NO</v>
      </c>
      <c r="AJ316" s="255" t="str">
        <f>IF(ISNUMBER(SEARCH("C", 'WetLitterbags placem_collection'!WE23)),"YES","NO")</f>
        <v>NO</v>
      </c>
      <c r="AK316" s="255" t="str">
        <f>IF(ISNUMBER(SEARCH("H", 'WetLitterbags placem_collection'!AE23)),"YES","NO")</f>
        <v>NO</v>
      </c>
      <c r="AL316" s="255" t="str">
        <f>IF(ISNUMBER(SEARCH("R", 'WetLitterbags placem_collection'!AE23)),"YES","NO")</f>
        <v>NO</v>
      </c>
    </row>
    <row r="317" spans="2:38">
      <c r="B317" t="str">
        <f>'Final data_for_R_analysis_Wetse'!A463</f>
        <v>Wet</v>
      </c>
      <c r="C317" s="263">
        <f>'Final data_for_R_analysis_Wetse'!B463</f>
        <v>22</v>
      </c>
      <c r="D317" t="s">
        <v>3829</v>
      </c>
      <c r="E317" t="s">
        <v>25</v>
      </c>
      <c r="F317" s="387">
        <v>6</v>
      </c>
      <c r="G317" s="16">
        <f>'WetLitterbags placem_collection'!E24</f>
        <v>42767</v>
      </c>
      <c r="H317" s="92" t="str">
        <f>'Final data_for_R_analysis_Wetse'!J463</f>
        <v>G552</v>
      </c>
      <c r="I317" t="str">
        <f>'Final data_for_R_analysis_Wetse'!J683</f>
        <v>R45</v>
      </c>
      <c r="J317">
        <f>IFERROR(INDEX('Green_rooibos initial weight'!$C$5:$C$1749,MATCH(H317, 'Green_rooibos initial weight'!$A$5:$A$1749,0)),"")</f>
        <v>2.1110000000000002</v>
      </c>
      <c r="K317">
        <f>IFERROR(INDEX('Green_rooibos initial weight'!$C$5:$C$1749,MATCH(I317, 'Green_rooibos initial weight'!$A$5:$A$1749,0)),"")</f>
        <v>2.1989999999999998</v>
      </c>
      <c r="L317" s="195">
        <f t="shared" si="40"/>
        <v>1.8612000000000002</v>
      </c>
      <c r="M317" s="195">
        <f>AVERAGE(Ashed_controlls!$K$2:$K$11)</f>
        <v>5.5147656768714146</v>
      </c>
      <c r="N317" s="195">
        <f t="shared" si="36"/>
        <v>1.7585591812220693</v>
      </c>
      <c r="O317" s="195">
        <f t="shared" si="41"/>
        <v>1.9491999999999998</v>
      </c>
      <c r="P317" s="195">
        <f>AVERAGE(Ashed_controlls!$K$12:$K$14)</f>
        <v>2.2816647271287041</v>
      </c>
      <c r="Q317" s="195">
        <f t="shared" si="42"/>
        <v>1.9047257911388071</v>
      </c>
      <c r="R317" s="16">
        <f>IF('WetLitterbags placem_collection'!G24="N.A","",'WetLitterbags placem_collection'!G24)</f>
        <v>42818</v>
      </c>
      <c r="S317" s="195">
        <f>IF(IFERROR(INDEX('Both teabags AfterWet'!$C$3:$C$841,MATCH(H317,'Both teabags AfterWet'!$A$3:$A$841,0)),"")="N.A","",(IFERROR(INDEX('Both teabags AfterWet'!$C$3:$C$841,MATCH(H317,'Both teabags AfterWet'!$A$3:$A$841,0)),"")))</f>
        <v>0.75929999999999997</v>
      </c>
      <c r="T317" s="195">
        <f>IFERROR(INDEX('Both teabags AfterWet'!$C$3:$C$841,MATCH(I317,'Both teabags AfterWet'!$A$3:$A$841,0)),"")</f>
        <v>1.4908999999999999</v>
      </c>
      <c r="U317" s="195">
        <f t="shared" si="43"/>
        <v>0.60870000000000002</v>
      </c>
      <c r="V317" s="195">
        <f t="shared" si="43"/>
        <v>1.3402999999999998</v>
      </c>
      <c r="W317" s="195">
        <f>IFERROR(INDEX('Ashed teabags wet'!$K$2:$K$821,MATCH(H317,'Ashed teabags wet'!$A$2:$A$821,0)),"")</f>
        <v>12.068965517241553</v>
      </c>
      <c r="X317" s="195">
        <f>IFERROR(INDEX('Ashed teabags wet'!$K$2:$K$821,MATCH(I317,'Ashed teabags wet'!$A$2:$A$821,0)),"")</f>
        <v>3.3797216699801611</v>
      </c>
      <c r="Y317" s="195">
        <f t="shared" si="37"/>
        <v>0.53523620689655071</v>
      </c>
      <c r="Z317" s="195">
        <f t="shared" si="37"/>
        <v>1.2950015904572558</v>
      </c>
      <c r="AA317" s="195">
        <f t="shared" si="44"/>
        <v>0.69563935486970596</v>
      </c>
      <c r="AB317" s="195">
        <f t="shared" si="45"/>
        <v>0.45604860319249135</v>
      </c>
      <c r="AC317" s="195">
        <f t="shared" si="38"/>
        <v>0.67988872544377832</v>
      </c>
      <c r="AD317">
        <f t="shared" si="39"/>
        <v>51</v>
      </c>
      <c r="AE317" s="195">
        <f t="shared" si="46"/>
        <v>0.17382499421650122</v>
      </c>
      <c r="AF317" s="195">
        <f t="shared" si="47"/>
        <v>2.373343978642151E-2</v>
      </c>
      <c r="AG317" s="255" t="str">
        <f>IF(ISNUMBER(SEARCH("C",'WetLitterbags placem_collection'!AD244)),"YES","NO")</f>
        <v>NO</v>
      </c>
      <c r="AH317" s="255" t="str">
        <f>IF(ISNUMBER(SEARCH("H", 'WetLitterbags placem_collection'!AF24)),"YES","NO")</f>
        <v>NO</v>
      </c>
      <c r="AI317" s="255" t="str">
        <f>IF(ISNUMBER(SEARCH("R", 'WetLitterbags placem_collection'!XF24)),"YES","NO")</f>
        <v>NO</v>
      </c>
      <c r="AJ317" s="255" t="str">
        <f>IF(ISNUMBER(SEARCH("C", 'WetLitterbags placem_collection'!WE24)),"YES","NO")</f>
        <v>NO</v>
      </c>
      <c r="AK317" s="255" t="str">
        <f>IF(ISNUMBER(SEARCH("H", 'WetLitterbags placem_collection'!AE24)),"YES","NO")</f>
        <v>NO</v>
      </c>
      <c r="AL317" s="255" t="str">
        <f>IF(ISNUMBER(SEARCH("R", 'WetLitterbags placem_collection'!AE24)),"YES","NO")</f>
        <v>NO</v>
      </c>
    </row>
    <row r="318" spans="2:38">
      <c r="B318" t="str">
        <f>'Final data_for_R_analysis_Wetse'!A464</f>
        <v>Wet</v>
      </c>
      <c r="C318" s="263">
        <f>'Final data_for_R_analysis_Wetse'!B464</f>
        <v>23</v>
      </c>
      <c r="D318" t="s">
        <v>3829</v>
      </c>
      <c r="E318" t="s">
        <v>25</v>
      </c>
      <c r="F318" s="387">
        <v>7</v>
      </c>
      <c r="G318" s="16">
        <f>'WetLitterbags placem_collection'!E25</f>
        <v>42767</v>
      </c>
      <c r="H318" s="92" t="str">
        <f>'Final data_for_R_analysis_Wetse'!J464</f>
        <v>G456</v>
      </c>
      <c r="I318" t="str">
        <f>'Final data_for_R_analysis_Wetse'!J684</f>
        <v>R132</v>
      </c>
      <c r="J318">
        <f>IFERROR(INDEX('Green_rooibos initial weight'!$C$5:$C$1749,MATCH(H318, 'Green_rooibos initial weight'!$A$5:$A$1749,0)),"")</f>
        <v>2.117</v>
      </c>
      <c r="K318">
        <f>IFERROR(INDEX('Green_rooibos initial weight'!$C$5:$C$1749,MATCH(I318, 'Green_rooibos initial weight'!$A$5:$A$1749,0)),"")</f>
        <v>2.133</v>
      </c>
      <c r="L318" s="195">
        <f t="shared" si="40"/>
        <v>1.8672</v>
      </c>
      <c r="M318" s="195">
        <f>AVERAGE(Ashed_controlls!$K$2:$K$11)</f>
        <v>5.5147656768714146</v>
      </c>
      <c r="N318" s="195">
        <f t="shared" si="36"/>
        <v>1.764228295281457</v>
      </c>
      <c r="O318" s="195">
        <f t="shared" si="41"/>
        <v>1.8832</v>
      </c>
      <c r="P318" s="195">
        <f>AVERAGE(Ashed_controlls!$K$12:$K$14)</f>
        <v>2.2816647271287041</v>
      </c>
      <c r="Q318" s="195">
        <f t="shared" si="42"/>
        <v>1.8402316898587123</v>
      </c>
      <c r="R318" s="16">
        <f>IF('WetLitterbags placem_collection'!G25="N.A","",'WetLitterbags placem_collection'!G25)</f>
        <v>42818</v>
      </c>
      <c r="S318" s="195">
        <f>IF(IFERROR(INDEX('Both teabags AfterWet'!$C$3:$C$841,MATCH(H318,'Both teabags AfterWet'!$A$3:$A$841,0)),"")="N.A","",(IFERROR(INDEX('Both teabags AfterWet'!$C$3:$C$841,MATCH(H318,'Both teabags AfterWet'!$A$3:$A$841,0)),"")))</f>
        <v>0.72629999999999995</v>
      </c>
      <c r="T318" s="195">
        <f>IFERROR(INDEX('Both teabags AfterWet'!$C$3:$C$841,MATCH(I318,'Both teabags AfterWet'!$A$3:$A$841,0)),"")</f>
        <v>1.5238</v>
      </c>
      <c r="U318" s="195">
        <f t="shared" si="43"/>
        <v>0.57569999999999988</v>
      </c>
      <c r="V318" s="195">
        <f t="shared" si="43"/>
        <v>1.3732</v>
      </c>
      <c r="W318" s="195">
        <f>IFERROR(INDEX('Ashed teabags wet'!$K$2:$K$821,MATCH(H318,'Ashed teabags wet'!$A$2:$A$821,0)),"")</f>
        <v>5.4787506400411408</v>
      </c>
      <c r="X318" s="195">
        <f>IFERROR(INDEX('Ashed teabags wet'!$K$2:$K$821,MATCH(I318,'Ashed teabags wet'!$A$2:$A$821,0)),"")</f>
        <v>1.7982017982017391</v>
      </c>
      <c r="Y318" s="195">
        <f t="shared" si="37"/>
        <v>0.54415883256528308</v>
      </c>
      <c r="Z318" s="195">
        <f t="shared" si="37"/>
        <v>1.3485070929070937</v>
      </c>
      <c r="AA318" s="195">
        <f t="shared" si="44"/>
        <v>0.69155985423163702</v>
      </c>
      <c r="AB318" s="195">
        <f t="shared" si="45"/>
        <v>0.45337415621836541</v>
      </c>
      <c r="AC318" s="195">
        <f t="shared" si="38"/>
        <v>0.7327920176239483</v>
      </c>
      <c r="AD318">
        <f t="shared" si="39"/>
        <v>51</v>
      </c>
      <c r="AE318" s="195">
        <f t="shared" si="46"/>
        <v>0.17867000685078738</v>
      </c>
      <c r="AF318" s="195">
        <f t="shared" si="47"/>
        <v>1.7452510860254254E-2</v>
      </c>
      <c r="AG318" s="255" t="str">
        <f>IF(ISNUMBER(SEARCH("C",'WetLitterbags placem_collection'!AD245)),"YES","NO")</f>
        <v>NO</v>
      </c>
      <c r="AH318" s="255" t="str">
        <f>IF(ISNUMBER(SEARCH("H", 'WetLitterbags placem_collection'!AF25)),"YES","NO")</f>
        <v>NO</v>
      </c>
      <c r="AI318" s="255" t="str">
        <f>IF(ISNUMBER(SEARCH("R", 'WetLitterbags placem_collection'!XF25)),"YES","NO")</f>
        <v>NO</v>
      </c>
      <c r="AJ318" s="255" t="str">
        <f>IF(ISNUMBER(SEARCH("C", 'WetLitterbags placem_collection'!WE25)),"YES","NO")</f>
        <v>NO</v>
      </c>
      <c r="AK318" s="255" t="str">
        <f>IF(ISNUMBER(SEARCH("H", 'WetLitterbags placem_collection'!AE25)),"YES","NO")</f>
        <v>NO</v>
      </c>
      <c r="AL318" s="255" t="str">
        <f>IF(ISNUMBER(SEARCH("R", 'WetLitterbags placem_collection'!AE25)),"YES","NO")</f>
        <v>NO</v>
      </c>
    </row>
    <row r="319" spans="2:38">
      <c r="B319" t="str">
        <f>'Final data_for_R_analysis_Wetse'!A465</f>
        <v>Wet</v>
      </c>
      <c r="C319" s="263">
        <f>'Final data_for_R_analysis_Wetse'!B465</f>
        <v>24</v>
      </c>
      <c r="D319" t="s">
        <v>3829</v>
      </c>
      <c r="E319" t="s">
        <v>25</v>
      </c>
      <c r="F319" s="387">
        <v>8</v>
      </c>
      <c r="G319" s="16">
        <f>'WetLitterbags placem_collection'!E26</f>
        <v>42767</v>
      </c>
      <c r="H319" s="92" t="str">
        <f>'Final data_for_R_analysis_Wetse'!J465</f>
        <v>G421</v>
      </c>
      <c r="I319" t="str">
        <f>'Final data_for_R_analysis_Wetse'!J685</f>
        <v>R71</v>
      </c>
      <c r="J319">
        <f>IFERROR(INDEX('Green_rooibos initial weight'!$C$5:$C$1749,MATCH(H319, 'Green_rooibos initial weight'!$A$5:$A$1749,0)),"")</f>
        <v>2.052</v>
      </c>
      <c r="K319">
        <f>IFERROR(INDEX('Green_rooibos initial weight'!$C$5:$C$1749,MATCH(I319, 'Green_rooibos initial weight'!$A$5:$A$1749,0)),"")</f>
        <v>2.2440000000000002</v>
      </c>
      <c r="L319" s="195">
        <f t="shared" si="40"/>
        <v>1.8022</v>
      </c>
      <c r="M319" s="195">
        <f>AVERAGE(Ashed_controlls!$K$2:$K$11)</f>
        <v>5.5147656768714146</v>
      </c>
      <c r="N319" s="195">
        <f t="shared" si="36"/>
        <v>1.7028128929714235</v>
      </c>
      <c r="O319" s="195">
        <f t="shared" si="41"/>
        <v>1.9942000000000002</v>
      </c>
      <c r="P319" s="195">
        <f>AVERAGE(Ashed_controlls!$K$12:$K$14)</f>
        <v>2.2816647271287041</v>
      </c>
      <c r="Q319" s="195">
        <f t="shared" si="42"/>
        <v>1.9486990420115995</v>
      </c>
      <c r="R319" s="16">
        <f>IF('WetLitterbags placem_collection'!G26="N.A","",'WetLitterbags placem_collection'!G26)</f>
        <v>42818</v>
      </c>
      <c r="S319" s="195">
        <f>IF(IFERROR(INDEX('Both teabags AfterWet'!$C$3:$C$841,MATCH(H319,'Both teabags AfterWet'!$A$3:$A$841,0)),"")="N.A","",(IFERROR(INDEX('Both teabags AfterWet'!$C$3:$C$841,MATCH(H319,'Both teabags AfterWet'!$A$3:$A$841,0)),"")))</f>
        <v>0.67</v>
      </c>
      <c r="T319" s="195">
        <f>IFERROR(INDEX('Both teabags AfterWet'!$C$3:$C$841,MATCH(I319,'Both teabags AfterWet'!$A$3:$A$841,0)),"")</f>
        <v>1.3083</v>
      </c>
      <c r="U319" s="195">
        <f t="shared" si="43"/>
        <v>0.51940000000000008</v>
      </c>
      <c r="V319" s="195">
        <f t="shared" si="43"/>
        <v>1.1577</v>
      </c>
      <c r="W319" s="195">
        <f>IFERROR(INDEX('Ashed teabags wet'!$K$2:$K$821,MATCH(H319,'Ashed teabags wet'!$A$2:$A$821,0)),"")</f>
        <v>10.957551826258362</v>
      </c>
      <c r="X319" s="195">
        <f>IFERROR(INDEX('Ashed teabags wet'!$K$2:$K$821,MATCH(I319,'Ashed teabags wet'!$A$2:$A$821,0)),"")</f>
        <v>5.6575682382137682</v>
      </c>
      <c r="Y319" s="195">
        <f t="shared" si="37"/>
        <v>0.46248647581441416</v>
      </c>
      <c r="Z319" s="195">
        <f t="shared" si="37"/>
        <v>1.0922023325061991</v>
      </c>
      <c r="AA319" s="195">
        <f t="shared" si="44"/>
        <v>0.72839853531566168</v>
      </c>
      <c r="AB319" s="195">
        <f t="shared" si="45"/>
        <v>0.47752493051573075</v>
      </c>
      <c r="AC319" s="195">
        <f t="shared" si="38"/>
        <v>0.56047768740048365</v>
      </c>
      <c r="AD319">
        <f t="shared" si="39"/>
        <v>51</v>
      </c>
      <c r="AE319" s="195">
        <f t="shared" si="46"/>
        <v>0.13491860413816903</v>
      </c>
      <c r="AF319" s="195">
        <f t="shared" si="47"/>
        <v>4.9626692532875494E-2</v>
      </c>
      <c r="AG319" s="255" t="str">
        <f>IF(ISNUMBER(SEARCH("C",'WetLitterbags placem_collection'!AD246)),"YES","NO")</f>
        <v>NO</v>
      </c>
      <c r="AH319" s="255" t="str">
        <f>IF(ISNUMBER(SEARCH("H", 'WetLitterbags placem_collection'!AF26)),"YES","NO")</f>
        <v>NO</v>
      </c>
      <c r="AI319" s="255" t="str">
        <f>IF(ISNUMBER(SEARCH("R", 'WetLitterbags placem_collection'!XF26)),"YES","NO")</f>
        <v>NO</v>
      </c>
      <c r="AJ319" s="255" t="str">
        <f>IF(ISNUMBER(SEARCH("C", 'WetLitterbags placem_collection'!WE26)),"YES","NO")</f>
        <v>NO</v>
      </c>
      <c r="AK319" s="255" t="str">
        <f>IF(ISNUMBER(SEARCH("H", 'WetLitterbags placem_collection'!AE26)),"YES","NO")</f>
        <v>NO</v>
      </c>
      <c r="AL319" s="255" t="str">
        <f>IF(ISNUMBER(SEARCH("R", 'WetLitterbags placem_collection'!AE26)),"YES","NO")</f>
        <v>NO</v>
      </c>
    </row>
    <row r="320" spans="2:38">
      <c r="B320" t="str">
        <f>'Final data_for_R_analysis_Wetse'!A466</f>
        <v>Wet</v>
      </c>
      <c r="C320" s="263">
        <f>'Final data_for_R_analysis_Wetse'!B466</f>
        <v>25</v>
      </c>
      <c r="D320" t="s">
        <v>3830</v>
      </c>
      <c r="E320" t="s">
        <v>25</v>
      </c>
      <c r="F320" s="386">
        <v>1</v>
      </c>
      <c r="G320" s="16">
        <f>'WetLitterbags placem_collection'!E27</f>
        <v>42767</v>
      </c>
      <c r="H320" s="92" t="str">
        <f>'Final data_for_R_analysis_Wetse'!J466</f>
        <v>G864</v>
      </c>
      <c r="I320" t="str">
        <f>'Final data_for_R_analysis_Wetse'!J686</f>
        <v>R104</v>
      </c>
      <c r="J320">
        <f>IFERROR(INDEX('Green_rooibos initial weight'!$C$5:$C$1749,MATCH(H320, 'Green_rooibos initial weight'!$A$5:$A$1749,0)),"")</f>
        <v>2.0310000000000001</v>
      </c>
      <c r="K320">
        <f>IFERROR(INDEX('Green_rooibos initial weight'!$C$5:$C$1749,MATCH(I320, 'Green_rooibos initial weight'!$A$5:$A$1749,0)),"")</f>
        <v>2.2109999999999999</v>
      </c>
      <c r="L320" s="195">
        <f t="shared" si="40"/>
        <v>1.7812000000000001</v>
      </c>
      <c r="M320" s="195">
        <f>AVERAGE(Ashed_controlls!$K$2:$K$11)</f>
        <v>5.5147656768714146</v>
      </c>
      <c r="N320" s="195">
        <f t="shared" si="36"/>
        <v>1.6829709937635664</v>
      </c>
      <c r="O320" s="195">
        <f t="shared" si="41"/>
        <v>1.9611999999999998</v>
      </c>
      <c r="P320" s="195">
        <f>AVERAGE(Ashed_controlls!$K$12:$K$14)</f>
        <v>2.2816647271287041</v>
      </c>
      <c r="Q320" s="195">
        <f t="shared" si="42"/>
        <v>1.9164519913715516</v>
      </c>
      <c r="R320" s="16">
        <f>IF('WetLitterbags placem_collection'!G27="N.A","",'WetLitterbags placem_collection'!G27)</f>
        <v>42818</v>
      </c>
      <c r="S320" s="195">
        <f>IF(IFERROR(INDEX('Both teabags AfterWet'!$C$3:$C$841,MATCH(H320,'Both teabags AfterWet'!$A$3:$A$841,0)),"")="N.A","",(IFERROR(INDEX('Both teabags AfterWet'!$C$3:$C$841,MATCH(H320,'Both teabags AfterWet'!$A$3:$A$841,0)),"")))</f>
        <v>0.65839999999999999</v>
      </c>
      <c r="T320" s="195">
        <f>IFERROR(INDEX('Both teabags AfterWet'!$C$3:$C$841,MATCH(I320,'Both teabags AfterWet'!$A$3:$A$841,0)),"")</f>
        <v>1.4184000000000001</v>
      </c>
      <c r="U320" s="195">
        <f t="shared" si="43"/>
        <v>0.50780000000000003</v>
      </c>
      <c r="V320" s="195">
        <f t="shared" si="43"/>
        <v>1.2678</v>
      </c>
      <c r="W320" s="195">
        <f>IFERROR(INDEX('Ashed teabags wet'!$K$2:$K$821,MATCH(H320,'Ashed teabags wet'!$A$2:$A$821,0)),"")</f>
        <v>15.647921760391469</v>
      </c>
      <c r="X320" s="195">
        <f>IFERROR(INDEX('Ashed teabags wet'!$K$2:$K$821,MATCH(I320,'Ashed teabags wet'!$A$2:$A$821,0)),"")</f>
        <v>3.8194444444447946</v>
      </c>
      <c r="Y320" s="195">
        <f t="shared" si="37"/>
        <v>0.42833985330073215</v>
      </c>
      <c r="Z320" s="195">
        <f t="shared" si="37"/>
        <v>1.2193770833333288</v>
      </c>
      <c r="AA320" s="195">
        <f t="shared" si="44"/>
        <v>0.74548589673381627</v>
      </c>
      <c r="AB320" s="195">
        <f t="shared" si="45"/>
        <v>0.4887270961960411</v>
      </c>
      <c r="AC320" s="195">
        <f t="shared" si="38"/>
        <v>0.6362680040112324</v>
      </c>
      <c r="AD320">
        <f t="shared" si="39"/>
        <v>51</v>
      </c>
      <c r="AE320" s="195">
        <f t="shared" si="46"/>
        <v>0.11462482573180965</v>
      </c>
      <c r="AF320" s="195">
        <f t="shared" si="47"/>
        <v>2.6735876666790566E-2</v>
      </c>
      <c r="AG320" s="255" t="str">
        <f>IF(ISNUMBER(SEARCH("C",'WetLitterbags placem_collection'!AD247)),"YES","NO")</f>
        <v>NO</v>
      </c>
      <c r="AH320" s="255" t="str">
        <f>IF(ISNUMBER(SEARCH("H", 'WetLitterbags placem_collection'!AF27)),"YES","NO")</f>
        <v>NO</v>
      </c>
      <c r="AI320" s="255" t="str">
        <f>IF(ISNUMBER(SEARCH("R", 'WetLitterbags placem_collection'!XF27)),"YES","NO")</f>
        <v>NO</v>
      </c>
      <c r="AJ320" s="255" t="str">
        <f>IF(ISNUMBER(SEARCH("C", 'WetLitterbags placem_collection'!WE27)),"YES","NO")</f>
        <v>NO</v>
      </c>
      <c r="AK320" s="255" t="str">
        <f>IF(ISNUMBER(SEARCH("H", 'WetLitterbags placem_collection'!AE27)),"YES","NO")</f>
        <v>NO</v>
      </c>
      <c r="AL320" s="255" t="str">
        <f>IF(ISNUMBER(SEARCH("R", 'WetLitterbags placem_collection'!AE27)),"YES","NO")</f>
        <v>NO</v>
      </c>
    </row>
    <row r="321" spans="2:38">
      <c r="B321" t="str">
        <f>'Final data_for_R_analysis_Wetse'!A467</f>
        <v>Wet</v>
      </c>
      <c r="C321" s="263">
        <f>'Final data_for_R_analysis_Wetse'!B467</f>
        <v>26</v>
      </c>
      <c r="D321" t="s">
        <v>3830</v>
      </c>
      <c r="E321" t="s">
        <v>25</v>
      </c>
      <c r="F321" s="386">
        <v>2</v>
      </c>
      <c r="G321" s="16">
        <f>'WetLitterbags placem_collection'!E28</f>
        <v>42767</v>
      </c>
      <c r="H321" s="92" t="str">
        <f>'Final data_for_R_analysis_Wetse'!J467</f>
        <v>G506</v>
      </c>
      <c r="I321" t="str">
        <f>'Final data_for_R_analysis_Wetse'!J687</f>
        <v>R189</v>
      </c>
      <c r="J321">
        <f>IFERROR(INDEX('Green_rooibos initial weight'!$C$5:$C$1749,MATCH(H321, 'Green_rooibos initial weight'!$A$5:$A$1749,0)),"")</f>
        <v>1.9079999999999999</v>
      </c>
      <c r="K321">
        <f>IFERROR(INDEX('Green_rooibos initial weight'!$C$5:$C$1749,MATCH(I321, 'Green_rooibos initial weight'!$A$5:$A$1749,0)),"")</f>
        <v>2.274</v>
      </c>
      <c r="L321" s="195">
        <f t="shared" si="40"/>
        <v>1.6581999999999999</v>
      </c>
      <c r="M321" s="195">
        <f>AVERAGE(Ashed_controlls!$K$2:$K$11)</f>
        <v>5.5147656768714146</v>
      </c>
      <c r="N321" s="195">
        <f t="shared" si="36"/>
        <v>1.5667541555461182</v>
      </c>
      <c r="O321" s="195">
        <f t="shared" si="41"/>
        <v>2.0242</v>
      </c>
      <c r="P321" s="195">
        <f>AVERAGE(Ashed_controlls!$K$12:$K$14)</f>
        <v>2.2816647271287041</v>
      </c>
      <c r="Q321" s="195">
        <f t="shared" si="42"/>
        <v>1.9780145425934608</v>
      </c>
      <c r="R321" s="16">
        <f>IF('WetLitterbags placem_collection'!G28="N.A","",'WetLitterbags placem_collection'!G28)</f>
        <v>42818</v>
      </c>
      <c r="S321" s="195">
        <f>IF(IFERROR(INDEX('Both teabags AfterWet'!$C$3:$C$841,MATCH(H321,'Both teabags AfterWet'!$A$3:$A$841,0)),"")="N.A","",(IFERROR(INDEX('Both teabags AfterWet'!$C$3:$C$841,MATCH(H321,'Both teabags AfterWet'!$A$3:$A$841,0)),"")))</f>
        <v>0.67589999999999995</v>
      </c>
      <c r="T321" s="195">
        <f>IFERROR(INDEX('Both teabags AfterWet'!$C$3:$C$841,MATCH(I321,'Both teabags AfterWet'!$A$3:$A$841,0)),"")</f>
        <v>1.464</v>
      </c>
      <c r="U321" s="195">
        <f t="shared" si="43"/>
        <v>0.52529999999999988</v>
      </c>
      <c r="V321" s="195">
        <f t="shared" si="43"/>
        <v>1.3133999999999999</v>
      </c>
      <c r="W321" s="195">
        <f>IFERROR(INDEX('Ashed teabags wet'!$K$2:$K$821,MATCH(H321,'Ashed teabags wet'!$A$2:$A$821,0)),"")</f>
        <v>8.561473369835749</v>
      </c>
      <c r="X321" s="195">
        <f>IFERROR(INDEX('Ashed teabags wet'!$K$2:$K$821,MATCH(I321,'Ashed teabags wet'!$A$2:$A$821,0)),"")</f>
        <v>2.9721955896448731</v>
      </c>
      <c r="Y321" s="195">
        <f t="shared" si="37"/>
        <v>0.48032658038825271</v>
      </c>
      <c r="Z321" s="195">
        <f t="shared" si="37"/>
        <v>1.2743631831256041</v>
      </c>
      <c r="AA321" s="195">
        <f t="shared" si="44"/>
        <v>0.69342568603507115</v>
      </c>
      <c r="AB321" s="195">
        <f t="shared" si="45"/>
        <v>0.45459736186622252</v>
      </c>
      <c r="AC321" s="195">
        <f t="shared" si="38"/>
        <v>0.64426380882656764</v>
      </c>
      <c r="AD321">
        <f t="shared" si="39"/>
        <v>51</v>
      </c>
      <c r="AE321" s="195">
        <f t="shared" si="46"/>
        <v>0.17645405459017671</v>
      </c>
      <c r="AF321" s="195">
        <f t="shared" si="47"/>
        <v>2.9915599185669085E-2</v>
      </c>
      <c r="AG321" s="255" t="str">
        <f>IF(ISNUMBER(SEARCH("C",'WetLitterbags placem_collection'!AD248)),"YES","NO")</f>
        <v>NO</v>
      </c>
      <c r="AH321" s="255" t="str">
        <f>IF(ISNUMBER(SEARCH("H", 'WetLitterbags placem_collection'!AF28)),"YES","NO")</f>
        <v>NO</v>
      </c>
      <c r="AI321" s="255" t="str">
        <f>IF(ISNUMBER(SEARCH("R", 'WetLitterbags placem_collection'!XF28)),"YES","NO")</f>
        <v>NO</v>
      </c>
      <c r="AJ321" s="255" t="str">
        <f>IF(ISNUMBER(SEARCH("C", 'WetLitterbags placem_collection'!WE28)),"YES","NO")</f>
        <v>NO</v>
      </c>
      <c r="AK321" s="255" t="str">
        <f>IF(ISNUMBER(SEARCH("H", 'WetLitterbags placem_collection'!AE28)),"YES","NO")</f>
        <v>NO</v>
      </c>
      <c r="AL321" s="255" t="str">
        <f>IF(ISNUMBER(SEARCH("R", 'WetLitterbags placem_collection'!AE28)),"YES","NO")</f>
        <v>NO</v>
      </c>
    </row>
    <row r="322" spans="2:38">
      <c r="B322" t="str">
        <f>'Final data_for_R_analysis_Wetse'!A468</f>
        <v>Wet</v>
      </c>
      <c r="C322" s="263">
        <f>'Final data_for_R_analysis_Wetse'!B468</f>
        <v>27</v>
      </c>
      <c r="D322" t="s">
        <v>3830</v>
      </c>
      <c r="E322" t="s">
        <v>25</v>
      </c>
      <c r="F322" s="386">
        <v>3</v>
      </c>
      <c r="G322" s="16">
        <f>'WetLitterbags placem_collection'!E29</f>
        <v>42767</v>
      </c>
      <c r="H322" s="92" t="str">
        <f>'Final data_for_R_analysis_Wetse'!J468</f>
        <v>G449</v>
      </c>
      <c r="I322" t="str">
        <f>'Final data_for_R_analysis_Wetse'!J688</f>
        <v>R217</v>
      </c>
      <c r="J322">
        <f>IFERROR(INDEX('Green_rooibos initial weight'!$C$5:$C$1749,MATCH(H322, 'Green_rooibos initial weight'!$A$5:$A$1749,0)),"")</f>
        <v>2.1749999999999998</v>
      </c>
      <c r="K322">
        <f>IFERROR(INDEX('Green_rooibos initial weight'!$C$5:$C$1749,MATCH(I322, 'Green_rooibos initial weight'!$A$5:$A$1749,0)),"")</f>
        <v>2.2109999999999999</v>
      </c>
      <c r="L322" s="195">
        <f t="shared" si="40"/>
        <v>1.9251999999999998</v>
      </c>
      <c r="M322" s="195">
        <f>AVERAGE(Ashed_controlls!$K$2:$K$11)</f>
        <v>5.5147656768714146</v>
      </c>
      <c r="N322" s="195">
        <f t="shared" si="36"/>
        <v>1.8190297311888712</v>
      </c>
      <c r="O322" s="195">
        <f t="shared" si="41"/>
        <v>1.9611999999999998</v>
      </c>
      <c r="P322" s="195">
        <f>AVERAGE(Ashed_controlls!$K$12:$K$14)</f>
        <v>2.2816647271287041</v>
      </c>
      <c r="Q322" s="195">
        <f t="shared" si="42"/>
        <v>1.9164519913715516</v>
      </c>
      <c r="R322" s="16">
        <f>IF('WetLitterbags placem_collection'!G29="N.A","",'WetLitterbags placem_collection'!G29)</f>
        <v>42818</v>
      </c>
      <c r="S322" s="195">
        <f>IF(IFERROR(INDEX('Both teabags AfterWet'!$C$3:$C$841,MATCH(H322,'Both teabags AfterWet'!$A$3:$A$841,0)),"")="N.A","",(IFERROR(INDEX('Both teabags AfterWet'!$C$3:$C$841,MATCH(H322,'Both teabags AfterWet'!$A$3:$A$841,0)),"")))</f>
        <v>0.73760000000000003</v>
      </c>
      <c r="T322" s="195">
        <f>IFERROR(INDEX('Both teabags AfterWet'!$C$3:$C$841,MATCH(I322,'Both teabags AfterWet'!$A$3:$A$841,0)),"")</f>
        <v>1.5392999999999999</v>
      </c>
      <c r="U322" s="195">
        <f t="shared" si="43"/>
        <v>0.58699999999999997</v>
      </c>
      <c r="V322" s="195">
        <f t="shared" si="43"/>
        <v>1.3886999999999998</v>
      </c>
      <c r="W322" s="195">
        <f>IFERROR(INDEX('Ashed teabags wet'!$K$2:$K$821,MATCH(H322,'Ashed teabags wet'!$A$2:$A$821,0)),"")</f>
        <v>10.444777611194501</v>
      </c>
      <c r="X322" s="195">
        <f>IFERROR(INDEX('Ashed teabags wet'!$K$2:$K$821,MATCH(I322,'Ashed teabags wet'!$A$2:$A$821,0)),"")</f>
        <v>3.5156250000002229</v>
      </c>
      <c r="Y322" s="195">
        <f t="shared" si="37"/>
        <v>0.52568915542228822</v>
      </c>
      <c r="Z322" s="195">
        <f t="shared" si="37"/>
        <v>1.3398785156249968</v>
      </c>
      <c r="AA322" s="195">
        <f t="shared" si="44"/>
        <v>0.71100573761446362</v>
      </c>
      <c r="AB322" s="195">
        <f t="shared" si="45"/>
        <v>0.46612252632207124</v>
      </c>
      <c r="AC322" s="195">
        <f t="shared" si="38"/>
        <v>0.69914535905805963</v>
      </c>
      <c r="AD322">
        <f t="shared" si="39"/>
        <v>51</v>
      </c>
      <c r="AE322" s="195">
        <f t="shared" si="46"/>
        <v>0.15557513347450869</v>
      </c>
      <c r="AF322" s="195">
        <f t="shared" si="47"/>
        <v>2.0330996597188868E-2</v>
      </c>
      <c r="AG322" s="255" t="str">
        <f>IF(ISNUMBER(SEARCH("C",'WetLitterbags placem_collection'!AD249)),"YES","NO")</f>
        <v>NO</v>
      </c>
      <c r="AH322" s="255" t="str">
        <f>IF(ISNUMBER(SEARCH("H", 'WetLitterbags placem_collection'!AF29)),"YES","NO")</f>
        <v>NO</v>
      </c>
      <c r="AI322" s="255" t="str">
        <f>IF(ISNUMBER(SEARCH("R", 'WetLitterbags placem_collection'!XF29)),"YES","NO")</f>
        <v>NO</v>
      </c>
      <c r="AJ322" s="255" t="str">
        <f>IF(ISNUMBER(SEARCH("C", 'WetLitterbags placem_collection'!WE29)),"YES","NO")</f>
        <v>NO</v>
      </c>
      <c r="AK322" s="255" t="str">
        <f>IF(ISNUMBER(SEARCH("H", 'WetLitterbags placem_collection'!AE29)),"YES","NO")</f>
        <v>NO</v>
      </c>
      <c r="AL322" s="255" t="str">
        <f>IF(ISNUMBER(SEARCH("R", 'WetLitterbags placem_collection'!AE29)),"YES","NO")</f>
        <v>NO</v>
      </c>
    </row>
    <row r="323" spans="2:38">
      <c r="B323" t="str">
        <f>'Final data_for_R_analysis_Wetse'!A469</f>
        <v>Wet</v>
      </c>
      <c r="C323" s="263">
        <f>'Final data_for_R_analysis_Wetse'!B469</f>
        <v>28</v>
      </c>
      <c r="D323" t="s">
        <v>3830</v>
      </c>
      <c r="E323" t="s">
        <v>25</v>
      </c>
      <c r="F323" s="387">
        <v>4</v>
      </c>
      <c r="G323" s="16">
        <f>'WetLitterbags placem_collection'!E30</f>
        <v>42767</v>
      </c>
      <c r="H323" s="92" t="str">
        <f>'Final data_for_R_analysis_Wetse'!J469</f>
        <v>G502</v>
      </c>
      <c r="I323" t="str">
        <f>'Final data_for_R_analysis_Wetse'!J689</f>
        <v>R172</v>
      </c>
      <c r="J323">
        <f>IFERROR(INDEX('Green_rooibos initial weight'!$C$5:$C$1749,MATCH(H323, 'Green_rooibos initial weight'!$A$5:$A$1749,0)),"")</f>
        <v>1.929</v>
      </c>
      <c r="K323">
        <f>IFERROR(INDEX('Green_rooibos initial weight'!$C$5:$C$1749,MATCH(I323, 'Green_rooibos initial weight'!$A$5:$A$1749,0)),"")</f>
        <v>2.1520000000000001</v>
      </c>
      <c r="L323" s="195">
        <f t="shared" si="40"/>
        <v>1.6792</v>
      </c>
      <c r="M323" s="195">
        <f>AVERAGE(Ashed_controlls!$K$2:$K$11)</f>
        <v>5.5147656768714146</v>
      </c>
      <c r="N323" s="195">
        <f t="shared" si="36"/>
        <v>1.5865960547539752</v>
      </c>
      <c r="O323" s="195">
        <f t="shared" si="41"/>
        <v>1.9022000000000001</v>
      </c>
      <c r="P323" s="195">
        <f>AVERAGE(Ashed_controlls!$K$12:$K$14)</f>
        <v>2.2816647271287041</v>
      </c>
      <c r="Q323" s="195">
        <f t="shared" si="42"/>
        <v>1.8587981735605579</v>
      </c>
      <c r="R323" s="16">
        <f>IF('WetLitterbags placem_collection'!G30="N.A","",'WetLitterbags placem_collection'!G30)</f>
        <v>42818</v>
      </c>
      <c r="S323" s="195">
        <f>IF(IFERROR(INDEX('Both teabags AfterWet'!$C$3:$C$841,MATCH(H323,'Both teabags AfterWet'!$A$3:$A$841,0)),"")="N.A","",(IFERROR(INDEX('Both teabags AfterWet'!$C$3:$C$841,MATCH(H323,'Both teabags AfterWet'!$A$3:$A$841,0)),"")))</f>
        <v>0.60960000000000003</v>
      </c>
      <c r="T323" s="195">
        <f>IFERROR(INDEX('Both teabags AfterWet'!$C$3:$C$841,MATCH(I323,'Both teabags AfterWet'!$A$3:$A$841,0)),"")</f>
        <v>1.4665999999999999</v>
      </c>
      <c r="U323" s="195">
        <f t="shared" si="43"/>
        <v>0.45900000000000002</v>
      </c>
      <c r="V323" s="195">
        <f t="shared" si="43"/>
        <v>1.3159999999999998</v>
      </c>
      <c r="W323" s="195">
        <f>IFERROR(INDEX('Ashed teabags wet'!$K$2:$K$821,MATCH(H323,'Ashed teabags wet'!$A$2:$A$821,0)),"")</f>
        <v>10.16121152906673</v>
      </c>
      <c r="X323" s="195">
        <f>IFERROR(INDEX('Ashed teabags wet'!$K$2:$K$821,MATCH(I323,'Ashed teabags wet'!$A$2:$A$821,0)),"")</f>
        <v>4.6569854782171465</v>
      </c>
      <c r="Y323" s="195">
        <f t="shared" si="37"/>
        <v>0.41236003908158375</v>
      </c>
      <c r="Z323" s="195">
        <f t="shared" si="37"/>
        <v>1.2547140711066622</v>
      </c>
      <c r="AA323" s="195">
        <f t="shared" si="44"/>
        <v>0.74009765255244742</v>
      </c>
      <c r="AB323" s="195">
        <f t="shared" si="45"/>
        <v>0.48519466058070193</v>
      </c>
      <c r="AC323" s="195">
        <f t="shared" si="38"/>
        <v>0.67501361307195451</v>
      </c>
      <c r="AD323">
        <f t="shared" si="39"/>
        <v>51</v>
      </c>
      <c r="AE323" s="195">
        <f t="shared" si="46"/>
        <v>0.12102416561467044</v>
      </c>
      <c r="AF323" s="195">
        <f t="shared" si="47"/>
        <v>2.1726970458094279E-2</v>
      </c>
      <c r="AG323" s="255" t="str">
        <f>IF(ISNUMBER(SEARCH("C",'WetLitterbags placem_collection'!AD250)),"YES","NO")</f>
        <v>NO</v>
      </c>
      <c r="AH323" s="255" t="str">
        <f>IF(ISNUMBER(SEARCH("H", 'WetLitterbags placem_collection'!AF30)),"YES","NO")</f>
        <v>NO</v>
      </c>
      <c r="AI323" s="255" t="str">
        <f>IF(ISNUMBER(SEARCH("R", 'WetLitterbags placem_collection'!XF30)),"YES","NO")</f>
        <v>NO</v>
      </c>
      <c r="AJ323" s="255" t="str">
        <f>IF(ISNUMBER(SEARCH("C", 'WetLitterbags placem_collection'!WE30)),"YES","NO")</f>
        <v>NO</v>
      </c>
      <c r="AK323" s="255" t="str">
        <f>IF(ISNUMBER(SEARCH("H", 'WetLitterbags placem_collection'!AE30)),"YES","NO")</f>
        <v>NO</v>
      </c>
      <c r="AL323" s="255" t="str">
        <f>IF(ISNUMBER(SEARCH("R", 'WetLitterbags placem_collection'!AE30)),"YES","NO")</f>
        <v>NO</v>
      </c>
    </row>
    <row r="324" spans="2:38">
      <c r="B324" t="str">
        <f>'Final data_for_R_analysis_Wetse'!A470</f>
        <v>Wet</v>
      </c>
      <c r="C324" s="263">
        <f>'Final data_for_R_analysis_Wetse'!B470</f>
        <v>29</v>
      </c>
      <c r="D324" t="s">
        <v>3830</v>
      </c>
      <c r="E324" t="s">
        <v>25</v>
      </c>
      <c r="F324" s="387">
        <v>5</v>
      </c>
      <c r="G324" s="16">
        <f>'WetLitterbags placem_collection'!E31</f>
        <v>42767</v>
      </c>
      <c r="H324" s="92" t="str">
        <f>'Final data_for_R_analysis_Wetse'!J470</f>
        <v>G345</v>
      </c>
      <c r="I324" t="str">
        <f>'Final data_for_R_analysis_Wetse'!J690</f>
        <v>R349</v>
      </c>
      <c r="J324">
        <f>IFERROR(INDEX('Green_rooibos initial weight'!$C$5:$C$1749,MATCH(H324, 'Green_rooibos initial weight'!$A$5:$A$1749,0)),"")</f>
        <v>2.012</v>
      </c>
      <c r="K324">
        <f>IFERROR(INDEX('Green_rooibos initial weight'!$C$5:$C$1749,MATCH(I324, 'Green_rooibos initial weight'!$A$5:$A$1749,0)),"")</f>
        <v>2.2469999999999999</v>
      </c>
      <c r="L324" s="195">
        <f t="shared" si="40"/>
        <v>1.7622</v>
      </c>
      <c r="M324" s="195">
        <f>AVERAGE(Ashed_controlls!$K$2:$K$11)</f>
        <v>5.5147656768714146</v>
      </c>
      <c r="N324" s="195">
        <f t="shared" si="36"/>
        <v>1.6650187992421719</v>
      </c>
      <c r="O324" s="195">
        <f t="shared" si="41"/>
        <v>1.9971999999999999</v>
      </c>
      <c r="P324" s="195">
        <f>AVERAGE(Ashed_controlls!$K$12:$K$14)</f>
        <v>2.2816647271287041</v>
      </c>
      <c r="Q324" s="195">
        <f t="shared" si="42"/>
        <v>1.9516305920697854</v>
      </c>
      <c r="R324" s="16">
        <f>IF('WetLitterbags placem_collection'!G31="N.A","",'WetLitterbags placem_collection'!G31)</f>
        <v>42818</v>
      </c>
      <c r="S324" s="195">
        <f>IF(IFERROR(INDEX('Both teabags AfterWet'!$C$3:$C$841,MATCH(H324,'Both teabags AfterWet'!$A$3:$A$841,0)),"")="N.A","",(IFERROR(INDEX('Both teabags AfterWet'!$C$3:$C$841,MATCH(H324,'Both teabags AfterWet'!$A$3:$A$841,0)),"")))</f>
        <v>0.64829999999999999</v>
      </c>
      <c r="T324" s="195" t="str">
        <f>IFERROR(INDEX('Both teabags AfterWet'!$C$3:$C$841,MATCH(I324,'Both teabags AfterWet'!$A$3:$A$841,0)),"")</f>
        <v/>
      </c>
      <c r="U324" s="195">
        <f t="shared" si="43"/>
        <v>0.49769999999999998</v>
      </c>
      <c r="V324" s="195" t="str">
        <f t="shared" si="43"/>
        <v/>
      </c>
      <c r="W324" s="195">
        <f>IFERROR(INDEX('Ashed teabags wet'!$K$2:$K$821,MATCH(H324,'Ashed teabags wet'!$A$2:$A$821,0)),"")</f>
        <v>9.5937347038662821</v>
      </c>
      <c r="X324" s="195">
        <f>IFERROR(INDEX('Ashed teabags wet'!$K$2:$K$821,MATCH(I324,'Ashed teabags wet'!$A$2:$A$821,0)),"")</f>
        <v>3.0821917808218364</v>
      </c>
      <c r="Y324" s="195">
        <f t="shared" si="37"/>
        <v>0.44995198237885747</v>
      </c>
      <c r="Z324" s="195" t="str">
        <f t="shared" si="37"/>
        <v/>
      </c>
      <c r="AA324" s="195">
        <f t="shared" si="44"/>
        <v>0.72976162035909042</v>
      </c>
      <c r="AB324" s="195">
        <f t="shared" si="45"/>
        <v>0.47841854446344173</v>
      </c>
      <c r="AC324" s="195" t="str">
        <f t="shared" si="38"/>
        <v/>
      </c>
      <c r="AD324">
        <f t="shared" si="39"/>
        <v>51</v>
      </c>
      <c r="AE324" s="195">
        <f t="shared" si="46"/>
        <v>0.1332997382908665</v>
      </c>
      <c r="AF324" s="195" t="str">
        <f t="shared" si="47"/>
        <v/>
      </c>
      <c r="AG324" s="255" t="str">
        <f>IF(ISNUMBER(SEARCH("C",'WetLitterbags placem_collection'!AD251)),"YES","NO")</f>
        <v>NO</v>
      </c>
      <c r="AH324" s="255" t="str">
        <f>IF(ISNUMBER(SEARCH("H", 'WetLitterbags placem_collection'!AF31)),"YES","NO")</f>
        <v>NO</v>
      </c>
      <c r="AI324" s="255" t="str">
        <f>IF(ISNUMBER(SEARCH("R", 'WetLitterbags placem_collection'!XF31)),"YES","NO")</f>
        <v>NO</v>
      </c>
      <c r="AJ324" s="255" t="str">
        <f>IF(ISNUMBER(SEARCH("C", 'WetLitterbags placem_collection'!WE31)),"YES","NO")</f>
        <v>NO</v>
      </c>
      <c r="AK324" s="255" t="str">
        <f>IF(ISNUMBER(SEARCH("H", 'WetLitterbags placem_collection'!AE31)),"YES","NO")</f>
        <v>NO</v>
      </c>
      <c r="AL324" s="255" t="str">
        <f>IF(ISNUMBER(SEARCH("R", 'WetLitterbags placem_collection'!AE31)),"YES","NO")</f>
        <v>NO</v>
      </c>
    </row>
    <row r="325" spans="2:38">
      <c r="B325" t="str">
        <f>'Final data_for_R_analysis_Wetse'!A471</f>
        <v>Wet</v>
      </c>
      <c r="C325" s="263">
        <f>'Final data_for_R_analysis_Wetse'!B471</f>
        <v>30</v>
      </c>
      <c r="D325" t="s">
        <v>3830</v>
      </c>
      <c r="E325" t="s">
        <v>25</v>
      </c>
      <c r="F325" s="387">
        <v>6</v>
      </c>
      <c r="G325" s="16">
        <f>'WetLitterbags placem_collection'!E32</f>
        <v>42767</v>
      </c>
      <c r="H325" s="92" t="str">
        <f>'Final data_for_R_analysis_Wetse'!J471</f>
        <v>G500</v>
      </c>
      <c r="I325" t="str">
        <f>'Final data_for_R_analysis_Wetse'!J691</f>
        <v>R296</v>
      </c>
      <c r="J325">
        <f>IFERROR(INDEX('Green_rooibos initial weight'!$C$5:$C$1749,MATCH(H325, 'Green_rooibos initial weight'!$A$5:$A$1749,0)),"")</f>
        <v>2.0830000000000002</v>
      </c>
      <c r="K325">
        <f>IFERROR(INDEX('Green_rooibos initial weight'!$C$5:$C$1749,MATCH(I325, 'Green_rooibos initial weight'!$A$5:$A$1749,0)),"")</f>
        <v>2.226</v>
      </c>
      <c r="L325" s="195">
        <f t="shared" si="40"/>
        <v>1.8332000000000002</v>
      </c>
      <c r="M325" s="195">
        <f>AVERAGE(Ashed_controlls!$K$2:$K$11)</f>
        <v>5.5147656768714146</v>
      </c>
      <c r="N325" s="195">
        <f t="shared" si="36"/>
        <v>1.7321033156115935</v>
      </c>
      <c r="O325" s="195">
        <f t="shared" si="41"/>
        <v>1.9762</v>
      </c>
      <c r="P325" s="195">
        <f>AVERAGE(Ashed_controlls!$K$12:$K$14)</f>
        <v>2.2816647271287041</v>
      </c>
      <c r="Q325" s="195">
        <f t="shared" si="42"/>
        <v>1.9311097416624825</v>
      </c>
      <c r="R325" s="16">
        <f>IF('WetLitterbags placem_collection'!G32="N.A","",'WetLitterbags placem_collection'!G32)</f>
        <v>42818</v>
      </c>
      <c r="S325" s="195">
        <f>IF(IFERROR(INDEX('Both teabags AfterWet'!$C$3:$C$841,MATCH(H325,'Both teabags AfterWet'!$A$3:$A$841,0)),"")="N.A","",(IFERROR(INDEX('Both teabags AfterWet'!$C$3:$C$841,MATCH(H325,'Both teabags AfterWet'!$A$3:$A$841,0)),"")))</f>
        <v>0.61909999999999998</v>
      </c>
      <c r="T325" s="195">
        <f>IFERROR(INDEX('Both teabags AfterWet'!$C$3:$C$841,MATCH(I325,'Both teabags AfterWet'!$A$3:$A$841,0)),"")</f>
        <v>1.3653</v>
      </c>
      <c r="U325" s="195">
        <f t="shared" si="43"/>
        <v>0.46849999999999997</v>
      </c>
      <c r="V325" s="195">
        <f t="shared" si="43"/>
        <v>1.2146999999999999</v>
      </c>
      <c r="W325" s="195">
        <f>IFERROR(INDEX('Ashed teabags wet'!$K$2:$K$821,MATCH(H325,'Ashed teabags wet'!$A$2:$A$821,0)),"")</f>
        <v>10.952848722986133</v>
      </c>
      <c r="X325" s="195">
        <f>IFERROR(INDEX('Ashed teabags wet'!$K$2:$K$821,MATCH(I325,'Ashed teabags wet'!$A$2:$A$821,0)),"")</f>
        <v>3.9301310043674835</v>
      </c>
      <c r="Y325" s="195">
        <f t="shared" si="37"/>
        <v>0.41718590373280995</v>
      </c>
      <c r="Z325" s="195">
        <f t="shared" si="37"/>
        <v>1.1669606986899481</v>
      </c>
      <c r="AA325" s="195">
        <f t="shared" si="44"/>
        <v>0.7591449078281427</v>
      </c>
      <c r="AB325" s="195">
        <f t="shared" si="45"/>
        <v>0.49768169729350931</v>
      </c>
      <c r="AC325" s="195">
        <f t="shared" si="38"/>
        <v>0.60429538182812836</v>
      </c>
      <c r="AD325">
        <f t="shared" si="39"/>
        <v>51</v>
      </c>
      <c r="AE325" s="195">
        <f t="shared" si="46"/>
        <v>9.8402722294367306E-2</v>
      </c>
      <c r="AF325" s="195">
        <f t="shared" si="47"/>
        <v>3.1082600726938008E-2</v>
      </c>
      <c r="AG325" s="255" t="str">
        <f>IF(ISNUMBER(SEARCH("C",'WetLitterbags placem_collection'!AD252)),"YES","NO")</f>
        <v>NO</v>
      </c>
      <c r="AH325" s="255" t="str">
        <f>IF(ISNUMBER(SEARCH("H", 'WetLitterbags placem_collection'!AF32)),"YES","NO")</f>
        <v>NO</v>
      </c>
      <c r="AI325" s="255" t="str">
        <f>IF(ISNUMBER(SEARCH("R", 'WetLitterbags placem_collection'!XF32)),"YES","NO")</f>
        <v>NO</v>
      </c>
      <c r="AJ325" s="255" t="str">
        <f>IF(ISNUMBER(SEARCH("C", 'WetLitterbags placem_collection'!WE32)),"YES","NO")</f>
        <v>NO</v>
      </c>
      <c r="AK325" s="255" t="str">
        <f>IF(ISNUMBER(SEARCH("H", 'WetLitterbags placem_collection'!AE32)),"YES","NO")</f>
        <v>NO</v>
      </c>
      <c r="AL325" s="255" t="str">
        <f>IF(ISNUMBER(SEARCH("R", 'WetLitterbags placem_collection'!AE32)),"YES","NO")</f>
        <v>NO</v>
      </c>
    </row>
    <row r="326" spans="2:38">
      <c r="B326" t="str">
        <f>'Final data_for_R_analysis_Wetse'!A472</f>
        <v>Wet</v>
      </c>
      <c r="C326" s="263">
        <f>'Final data_for_R_analysis_Wetse'!B472</f>
        <v>31</v>
      </c>
      <c r="D326" t="s">
        <v>3830</v>
      </c>
      <c r="E326" t="s">
        <v>25</v>
      </c>
      <c r="F326" s="387">
        <v>7</v>
      </c>
      <c r="G326" s="16">
        <f>'WetLitterbags placem_collection'!E33</f>
        <v>42767</v>
      </c>
      <c r="H326" s="92" t="str">
        <f>'Final data_for_R_analysis_Wetse'!J472</f>
        <v>G521</v>
      </c>
      <c r="I326" t="str">
        <f>'Final data_for_R_analysis_Wetse'!J692</f>
        <v>R323</v>
      </c>
      <c r="J326">
        <f>IFERROR(INDEX('Green_rooibos initial weight'!$C$5:$C$1749,MATCH(H326, 'Green_rooibos initial weight'!$A$5:$A$1749,0)),"")</f>
        <v>2.1709999999999998</v>
      </c>
      <c r="K326">
        <f>IFERROR(INDEX('Green_rooibos initial weight'!$C$5:$C$1749,MATCH(I326, 'Green_rooibos initial weight'!$A$5:$A$1749,0)),"")</f>
        <v>2.1949999999999998</v>
      </c>
      <c r="L326" s="195">
        <f t="shared" si="40"/>
        <v>1.9211999999999998</v>
      </c>
      <c r="M326" s="195">
        <f>AVERAGE(Ashed_controlls!$K$2:$K$11)</f>
        <v>5.5147656768714146</v>
      </c>
      <c r="N326" s="195">
        <f t="shared" si="36"/>
        <v>1.8152503218159461</v>
      </c>
      <c r="O326" s="195">
        <f t="shared" si="41"/>
        <v>1.9451999999999998</v>
      </c>
      <c r="P326" s="195">
        <f>AVERAGE(Ashed_controlls!$K$12:$K$14)</f>
        <v>2.2816647271287041</v>
      </c>
      <c r="Q326" s="195">
        <f t="shared" si="42"/>
        <v>1.9008170577278922</v>
      </c>
      <c r="R326" s="16">
        <f>IF('WetLitterbags placem_collection'!G33="N.A","",'WetLitterbags placem_collection'!G33)</f>
        <v>42818</v>
      </c>
      <c r="S326" s="195">
        <f>IF(IFERROR(INDEX('Both teabags AfterWet'!$C$3:$C$841,MATCH(H326,'Both teabags AfterWet'!$A$3:$A$841,0)),"")="N.A","",(IFERROR(INDEX('Both teabags AfterWet'!$C$3:$C$841,MATCH(H326,'Both teabags AfterWet'!$A$3:$A$841,0)),"")))</f>
        <v>0.71479999999999999</v>
      </c>
      <c r="T326" s="195">
        <f>IFERROR(INDEX('Both teabags AfterWet'!$C$3:$C$841,MATCH(I326,'Both teabags AfterWet'!$A$3:$A$841,0)),"")</f>
        <v>1.425</v>
      </c>
      <c r="U326" s="195">
        <f t="shared" si="43"/>
        <v>0.56420000000000003</v>
      </c>
      <c r="V326" s="195">
        <f t="shared" si="43"/>
        <v>1.2744</v>
      </c>
      <c r="W326" s="195">
        <f>IFERROR(INDEX('Ashed teabags wet'!$K$2:$K$821,MATCH(H326,'Ashed teabags wet'!$A$2:$A$821,0)),"")</f>
        <v>14.161008729389133</v>
      </c>
      <c r="X326" s="195">
        <f>IFERROR(INDEX('Ashed teabags wet'!$K$2:$K$821,MATCH(I326,'Ashed teabags wet'!$A$2:$A$821,0)),"")</f>
        <v>20.058139534884134</v>
      </c>
      <c r="Y326" s="195">
        <f t="shared" si="37"/>
        <v>0.48430358874878654</v>
      </c>
      <c r="Z326" s="195">
        <f t="shared" si="37"/>
        <v>1.0187790697674366</v>
      </c>
      <c r="AA326" s="195">
        <f t="shared" si="44"/>
        <v>0.73320286302756454</v>
      </c>
      <c r="AB326" s="195">
        <f t="shared" si="45"/>
        <v>0.48067456103469791</v>
      </c>
      <c r="AC326" s="195">
        <f t="shared" si="38"/>
        <v>0.53596902743771457</v>
      </c>
      <c r="AD326">
        <f t="shared" si="39"/>
        <v>51</v>
      </c>
      <c r="AE326" s="195">
        <f t="shared" si="46"/>
        <v>0.1292127517487357</v>
      </c>
      <c r="AF326" s="195">
        <f t="shared" si="47"/>
        <v>6.5944419358779996E-2</v>
      </c>
      <c r="AG326" s="255" t="str">
        <f>IF(ISNUMBER(SEARCH("C",'WetLitterbags placem_collection'!AD253)),"YES","NO")</f>
        <v>NO</v>
      </c>
      <c r="AH326" s="255" t="str">
        <f>IF(ISNUMBER(SEARCH("H", 'WetLitterbags placem_collection'!AF33)),"YES","NO")</f>
        <v>NO</v>
      </c>
      <c r="AI326" s="255" t="str">
        <f>IF(ISNUMBER(SEARCH("R", 'WetLitterbags placem_collection'!XF33)),"YES","NO")</f>
        <v>NO</v>
      </c>
      <c r="AJ326" s="255" t="str">
        <f>IF(ISNUMBER(SEARCH("C", 'WetLitterbags placem_collection'!WE33)),"YES","NO")</f>
        <v>NO</v>
      </c>
      <c r="AK326" s="255" t="str">
        <f>IF(ISNUMBER(SEARCH("H", 'WetLitterbags placem_collection'!AE33)),"YES","NO")</f>
        <v>NO</v>
      </c>
      <c r="AL326" s="255" t="str">
        <f>IF(ISNUMBER(SEARCH("R", 'WetLitterbags placem_collection'!AE33)),"YES","NO")</f>
        <v>NO</v>
      </c>
    </row>
    <row r="327" spans="2:38">
      <c r="B327" t="str">
        <f>'Final data_for_R_analysis_Wetse'!A473</f>
        <v>Wet</v>
      </c>
      <c r="C327" s="263">
        <f>'Final data_for_R_analysis_Wetse'!B473</f>
        <v>32</v>
      </c>
      <c r="D327" t="s">
        <v>3830</v>
      </c>
      <c r="E327" t="s">
        <v>25</v>
      </c>
      <c r="F327" s="387">
        <v>8</v>
      </c>
      <c r="G327" s="16">
        <f>'WetLitterbags placem_collection'!E34</f>
        <v>42767</v>
      </c>
      <c r="H327" s="92" t="str">
        <f>'Final data_for_R_analysis_Wetse'!J473</f>
        <v>G201</v>
      </c>
      <c r="I327" t="str">
        <f>'Final data_for_R_analysis_Wetse'!J693</f>
        <v>R156</v>
      </c>
      <c r="J327">
        <f>IFERROR(INDEX('Green_rooibos initial weight'!$C$5:$C$1749,MATCH(H327, 'Green_rooibos initial weight'!$A$5:$A$1749,0)),"")</f>
        <v>2.2370000000000001</v>
      </c>
      <c r="K327">
        <f>IFERROR(INDEX('Green_rooibos initial weight'!$C$5:$C$1749,MATCH(I327, 'Green_rooibos initial weight'!$A$5:$A$1749,0)),"")</f>
        <v>2.246</v>
      </c>
      <c r="L327" s="195">
        <f t="shared" si="40"/>
        <v>1.9872000000000001</v>
      </c>
      <c r="M327" s="195">
        <f>AVERAGE(Ashed_controlls!$K$2:$K$11)</f>
        <v>5.5147656768714146</v>
      </c>
      <c r="N327" s="195">
        <f t="shared" si="36"/>
        <v>1.8776105764692113</v>
      </c>
      <c r="O327" s="195">
        <f t="shared" si="41"/>
        <v>1.9962</v>
      </c>
      <c r="P327" s="195">
        <f>AVERAGE(Ashed_controlls!$K$12:$K$14)</f>
        <v>2.2816647271287041</v>
      </c>
      <c r="Q327" s="195">
        <f t="shared" si="42"/>
        <v>1.9506534087170568</v>
      </c>
      <c r="R327" s="16">
        <f>IF('WetLitterbags placem_collection'!G34="N.A","",'WetLitterbags placem_collection'!G34)</f>
        <v>42818</v>
      </c>
      <c r="S327" s="195">
        <f>IF(IFERROR(INDEX('Both teabags AfterWet'!$C$3:$C$841,MATCH(H327,'Both teabags AfterWet'!$A$3:$A$841,0)),"")="N.A","",(IFERROR(INDEX('Both teabags AfterWet'!$C$3:$C$841,MATCH(H327,'Both teabags AfterWet'!$A$3:$A$841,0)),"")))</f>
        <v>0.67359999999999998</v>
      </c>
      <c r="T327" s="195">
        <f>IFERROR(INDEX('Both teabags AfterWet'!$C$3:$C$841,MATCH(I327,'Both teabags AfterWet'!$A$3:$A$841,0)),"")</f>
        <v>1.2625999999999999</v>
      </c>
      <c r="U327" s="195">
        <f t="shared" si="43"/>
        <v>0.52299999999999991</v>
      </c>
      <c r="V327" s="195">
        <f t="shared" si="43"/>
        <v>1.1119999999999999</v>
      </c>
      <c r="W327" s="195">
        <f>IFERROR(INDEX('Ashed teabags wet'!$K$2:$K$821,MATCH(H327,'Ashed teabags wet'!$A$2:$A$821,0)),"")</f>
        <v>7.292707292707294</v>
      </c>
      <c r="X327" s="195">
        <f>IFERROR(INDEX('Ashed teabags wet'!$K$2:$K$821,MATCH(I327,'Ashed teabags wet'!$A$2:$A$821,0)),"")</f>
        <v>5.5555555555557818</v>
      </c>
      <c r="Y327" s="195">
        <f t="shared" si="37"/>
        <v>0.48485914085914078</v>
      </c>
      <c r="Z327" s="195">
        <f t="shared" si="37"/>
        <v>1.0502222222222195</v>
      </c>
      <c r="AA327" s="195">
        <f t="shared" si="44"/>
        <v>0.74176799655075265</v>
      </c>
      <c r="AB327" s="195">
        <f t="shared" si="45"/>
        <v>0.48628970795251247</v>
      </c>
      <c r="AC327" s="195">
        <f t="shared" si="38"/>
        <v>0.53839509239775707</v>
      </c>
      <c r="AD327">
        <f t="shared" si="39"/>
        <v>51</v>
      </c>
      <c r="AE327" s="195">
        <f t="shared" si="46"/>
        <v>0.1190403841439992</v>
      </c>
      <c r="AF327" s="195">
        <f t="shared" si="47"/>
        <v>5.8443468027767141E-2</v>
      </c>
      <c r="AG327" s="255" t="str">
        <f>IF(ISNUMBER(SEARCH("C",'WetLitterbags placem_collection'!AD254)),"YES","NO")</f>
        <v>NO</v>
      </c>
      <c r="AH327" s="255" t="str">
        <f>IF(ISNUMBER(SEARCH("H", 'WetLitterbags placem_collection'!AF34)),"YES","NO")</f>
        <v>NO</v>
      </c>
      <c r="AI327" s="255" t="str">
        <f>IF(ISNUMBER(SEARCH("R", 'WetLitterbags placem_collection'!XF34)),"YES","NO")</f>
        <v>NO</v>
      </c>
      <c r="AJ327" s="255" t="str">
        <f>IF(ISNUMBER(SEARCH("C", 'WetLitterbags placem_collection'!WE34)),"YES","NO")</f>
        <v>NO</v>
      </c>
      <c r="AK327" s="255" t="str">
        <f>IF(ISNUMBER(SEARCH("H", 'WetLitterbags placem_collection'!AE34)),"YES","NO")</f>
        <v>NO</v>
      </c>
      <c r="AL327" s="255" t="str">
        <f>IF(ISNUMBER(SEARCH("R", 'WetLitterbags placem_collection'!AE34)),"YES","NO")</f>
        <v>NO</v>
      </c>
    </row>
    <row r="328" spans="2:38">
      <c r="B328" t="str">
        <f>'Final data_for_R_analysis_Wetse'!A474</f>
        <v>Wet</v>
      </c>
      <c r="C328" s="263">
        <f>'Final data_for_R_analysis_Wetse'!B474</f>
        <v>33</v>
      </c>
      <c r="D328" t="s">
        <v>3831</v>
      </c>
      <c r="E328" t="s">
        <v>25</v>
      </c>
      <c r="F328" s="386">
        <v>1</v>
      </c>
      <c r="G328" s="16">
        <f>'WetLitterbags placem_collection'!E35</f>
        <v>42765</v>
      </c>
      <c r="H328" s="92" t="str">
        <f>'Final data_for_R_analysis_Wetse'!J474</f>
        <v>G556</v>
      </c>
      <c r="I328" t="str">
        <f>'Final data_for_R_analysis_Wetse'!J694</f>
        <v>R452</v>
      </c>
      <c r="J328">
        <f>IFERROR(INDEX('Green_rooibos initial weight'!$C$5:$C$1749,MATCH(H328, 'Green_rooibos initial weight'!$A$5:$A$1749,0)),"")</f>
        <v>2.0329999999999999</v>
      </c>
      <c r="K328">
        <f>IFERROR(INDEX('Green_rooibos initial weight'!$C$5:$C$1749,MATCH(I328, 'Green_rooibos initial weight'!$A$5:$A$1749,0)),"")</f>
        <v>2.2320000000000002</v>
      </c>
      <c r="L328" s="195">
        <f t="shared" si="40"/>
        <v>1.7831999999999999</v>
      </c>
      <c r="M328" s="195">
        <f>AVERAGE(Ashed_controlls!$K$2:$K$11)</f>
        <v>5.5147656768714146</v>
      </c>
      <c r="N328" s="195">
        <f t="shared" si="36"/>
        <v>1.6848606984500289</v>
      </c>
      <c r="O328" s="195">
        <f t="shared" si="41"/>
        <v>1.9822000000000002</v>
      </c>
      <c r="P328" s="195">
        <f>AVERAGE(Ashed_controlls!$K$12:$K$14)</f>
        <v>2.2816647271287041</v>
      </c>
      <c r="Q328" s="195">
        <f t="shared" si="42"/>
        <v>1.936972841778855</v>
      </c>
      <c r="R328" s="16">
        <f>IF('WetLitterbags placem_collection'!G35="N.A","",'WetLitterbags placem_collection'!G35)</f>
        <v>42820</v>
      </c>
      <c r="S328" s="195">
        <f>IF(IFERROR(INDEX('Both teabags AfterWet'!$C$3:$C$841,MATCH(H328,'Both teabags AfterWet'!$A$3:$A$841,0)),"")="N.A","",(IFERROR(INDEX('Both teabags AfterWet'!$C$3:$C$841,MATCH(H328,'Both teabags AfterWet'!$A$3:$A$841,0)),"")))</f>
        <v>0.64400000000000002</v>
      </c>
      <c r="T328" s="195">
        <f>IFERROR(INDEX('Both teabags AfterWet'!$C$3:$C$841,MATCH(I328,'Both teabags AfterWet'!$A$3:$A$841,0)),"")</f>
        <v>1.6020000000000001</v>
      </c>
      <c r="U328" s="195">
        <f t="shared" si="43"/>
        <v>0.49340000000000001</v>
      </c>
      <c r="V328" s="195">
        <f t="shared" si="43"/>
        <v>1.4514</v>
      </c>
      <c r="W328" s="195">
        <f>IFERROR(INDEX('Ashed teabags wet'!$K$2:$K$821,MATCH(H328,'Ashed teabags wet'!$A$2:$A$821,0)),"")</f>
        <v>10.776075135937448</v>
      </c>
      <c r="X328" s="195">
        <f>IFERROR(INDEX('Ashed teabags wet'!$K$2:$K$821,MATCH(I328,'Ashed teabags wet'!$A$2:$A$821,0)),"")</f>
        <v>4.5318725099597295</v>
      </c>
      <c r="Y328" s="195">
        <f t="shared" si="37"/>
        <v>0.44023084527928463</v>
      </c>
      <c r="Z328" s="195">
        <f t="shared" si="37"/>
        <v>1.3856244023904445</v>
      </c>
      <c r="AA328" s="195">
        <f t="shared" si="44"/>
        <v>0.73871380246196572</v>
      </c>
      <c r="AB328" s="195">
        <f t="shared" si="45"/>
        <v>0.48428743344299896</v>
      </c>
      <c r="AC328" s="195">
        <f t="shared" si="38"/>
        <v>0.71535561702451678</v>
      </c>
      <c r="AD328">
        <f t="shared" si="39"/>
        <v>55</v>
      </c>
      <c r="AE328" s="195">
        <f t="shared" si="46"/>
        <v>0.12266769303804548</v>
      </c>
      <c r="AF328" s="195">
        <f t="shared" si="47"/>
        <v>1.6111774124894809E-2</v>
      </c>
      <c r="AG328" s="255" t="str">
        <f>IF(ISNUMBER(SEARCH("C",'WetLitterbags placem_collection'!AD255)),"YES","NO")</f>
        <v>NO</v>
      </c>
      <c r="AH328" s="255" t="str">
        <f>IF(ISNUMBER(SEARCH("H", 'WetLitterbags placem_collection'!AF35)),"YES","NO")</f>
        <v>NO</v>
      </c>
      <c r="AI328" s="255" t="str">
        <f>IF(ISNUMBER(SEARCH("R", 'WetLitterbags placem_collection'!XF35)),"YES","NO")</f>
        <v>NO</v>
      </c>
      <c r="AJ328" s="255" t="str">
        <f>IF(ISNUMBER(SEARCH("C", 'WetLitterbags placem_collection'!WE35)),"YES","NO")</f>
        <v>NO</v>
      </c>
      <c r="AK328" s="255" t="str">
        <f>IF(ISNUMBER(SEARCH("H", 'WetLitterbags placem_collection'!AE35)),"YES","NO")</f>
        <v>NO</v>
      </c>
      <c r="AL328" s="255" t="str">
        <f>IF(ISNUMBER(SEARCH("R", 'WetLitterbags placem_collection'!AE35)),"YES","NO")</f>
        <v>NO</v>
      </c>
    </row>
    <row r="329" spans="2:38">
      <c r="B329" t="str">
        <f>'Final data_for_R_analysis_Wetse'!A475</f>
        <v>Wet</v>
      </c>
      <c r="C329" s="263">
        <f>'Final data_for_R_analysis_Wetse'!B475</f>
        <v>34</v>
      </c>
      <c r="D329" t="s">
        <v>3831</v>
      </c>
      <c r="E329" t="s">
        <v>25</v>
      </c>
      <c r="F329" s="386">
        <v>2</v>
      </c>
      <c r="G329" s="16">
        <f>'WetLitterbags placem_collection'!E36</f>
        <v>42765</v>
      </c>
      <c r="H329" s="92" t="str">
        <f>'Final data_for_R_analysis_Wetse'!J475</f>
        <v>G649</v>
      </c>
      <c r="I329" t="str">
        <f>'Final data_for_R_analysis_Wetse'!J695</f>
        <v>R24</v>
      </c>
      <c r="J329">
        <f>IFERROR(INDEX('Green_rooibos initial weight'!$C$5:$C$1749,MATCH(H329, 'Green_rooibos initial weight'!$A$5:$A$1749,0)),"")</f>
        <v>2.1379999999999999</v>
      </c>
      <c r="K329">
        <f>IFERROR(INDEX('Green_rooibos initial weight'!$C$5:$C$1749,MATCH(I329, 'Green_rooibos initial weight'!$A$5:$A$1749,0)),"")</f>
        <v>2.14</v>
      </c>
      <c r="L329" s="195">
        <f t="shared" si="40"/>
        <v>1.8881999999999999</v>
      </c>
      <c r="M329" s="195">
        <f>AVERAGE(Ashed_controlls!$K$2:$K$11)</f>
        <v>5.5147656768714146</v>
      </c>
      <c r="N329" s="195">
        <f t="shared" si="36"/>
        <v>1.7840701944893138</v>
      </c>
      <c r="O329" s="195">
        <f t="shared" si="41"/>
        <v>1.8902000000000001</v>
      </c>
      <c r="P329" s="195">
        <f>AVERAGE(Ashed_controlls!$K$12:$K$14)</f>
        <v>2.2816647271287041</v>
      </c>
      <c r="Q329" s="195">
        <f t="shared" si="42"/>
        <v>1.8470719733278134</v>
      </c>
      <c r="R329" s="16">
        <f>IF('WetLitterbags placem_collection'!G36="N.A","",'WetLitterbags placem_collection'!G36)</f>
        <v>42820</v>
      </c>
      <c r="S329" s="195">
        <f>IF(IFERROR(INDEX('Both teabags AfterWet'!$C$3:$C$841,MATCH(H329,'Both teabags AfterWet'!$A$3:$A$841,0)),"")="N.A","",(IFERROR(INDEX('Both teabags AfterWet'!$C$3:$C$841,MATCH(H329,'Both teabags AfterWet'!$A$3:$A$841,0)),"")))</f>
        <v>0.80259999999999998</v>
      </c>
      <c r="T329" s="195">
        <f>IFERROR(INDEX('Both teabags AfterWet'!$C$3:$C$841,MATCH(I329,'Both teabags AfterWet'!$A$3:$A$841,0)),"")</f>
        <v>1.4662999999999999</v>
      </c>
      <c r="U329" s="195">
        <f t="shared" si="43"/>
        <v>0.65199999999999991</v>
      </c>
      <c r="V329" s="195">
        <f t="shared" si="43"/>
        <v>1.3156999999999999</v>
      </c>
      <c r="W329" s="195">
        <f>IFERROR(INDEX('Ashed teabags wet'!$K$2:$K$821,MATCH(H329,'Ashed teabags wet'!$A$2:$A$821,0)),"")</f>
        <v>11.012345679011846</v>
      </c>
      <c r="X329" s="195">
        <f>IFERROR(INDEX('Ashed teabags wet'!$K$2:$K$821,MATCH(I329,'Ashed teabags wet'!$A$2:$A$821,0)),"")</f>
        <v>7.4839980305272942</v>
      </c>
      <c r="Y329" s="195">
        <f t="shared" si="37"/>
        <v>0.58019950617284266</v>
      </c>
      <c r="Z329" s="195">
        <f t="shared" si="37"/>
        <v>1.2172330379123522</v>
      </c>
      <c r="AA329" s="195">
        <f t="shared" si="44"/>
        <v>0.67478885754328544</v>
      </c>
      <c r="AB329" s="195">
        <f t="shared" si="45"/>
        <v>0.44237939354381667</v>
      </c>
      <c r="AC329" s="195">
        <f t="shared" si="38"/>
        <v>0.65900682566218605</v>
      </c>
      <c r="AD329">
        <f t="shared" si="39"/>
        <v>55</v>
      </c>
      <c r="AE329" s="195">
        <f t="shared" si="46"/>
        <v>0.19858805517424527</v>
      </c>
      <c r="AF329" s="195">
        <f t="shared" si="47"/>
        <v>2.6786012612355966E-2</v>
      </c>
      <c r="AG329" s="255" t="str">
        <f>IF(ISNUMBER(SEARCH("C",'WetLitterbags placem_collection'!AD256)),"YES","NO")</f>
        <v>NO</v>
      </c>
      <c r="AH329" s="255" t="str">
        <f>IF(ISNUMBER(SEARCH("H", 'WetLitterbags placem_collection'!AF36)),"YES","NO")</f>
        <v>NO</v>
      </c>
      <c r="AI329" s="255" t="str">
        <f>IF(ISNUMBER(SEARCH("R", 'WetLitterbags placem_collection'!XF36)),"YES","NO")</f>
        <v>NO</v>
      </c>
      <c r="AJ329" s="255" t="str">
        <f>IF(ISNUMBER(SEARCH("C", 'WetLitterbags placem_collection'!WE36)),"YES","NO")</f>
        <v>NO</v>
      </c>
      <c r="AK329" s="255" t="str">
        <f>IF(ISNUMBER(SEARCH("H", 'WetLitterbags placem_collection'!AE36)),"YES","NO")</f>
        <v>NO</v>
      </c>
      <c r="AL329" s="255" t="str">
        <f>IF(ISNUMBER(SEARCH("R", 'WetLitterbags placem_collection'!AE36)),"YES","NO")</f>
        <v>NO</v>
      </c>
    </row>
    <row r="330" spans="2:38">
      <c r="B330" t="str">
        <f>'Final data_for_R_analysis_Wetse'!A476</f>
        <v>Wet</v>
      </c>
      <c r="C330" s="263">
        <f>'Final data_for_R_analysis_Wetse'!B476</f>
        <v>35</v>
      </c>
      <c r="D330" t="s">
        <v>3831</v>
      </c>
      <c r="E330" t="s">
        <v>25</v>
      </c>
      <c r="F330" s="386">
        <v>3</v>
      </c>
      <c r="G330" s="16">
        <f>'WetLitterbags placem_collection'!E37</f>
        <v>42765</v>
      </c>
      <c r="H330" s="92" t="str">
        <f>'Final data_for_R_analysis_Wetse'!J476</f>
        <v>G732</v>
      </c>
      <c r="I330" t="str">
        <f>'Final data_for_R_analysis_Wetse'!J696</f>
        <v>R69</v>
      </c>
      <c r="J330">
        <f>IFERROR(INDEX('Green_rooibos initial weight'!$C$5:$C$1749,MATCH(H330, 'Green_rooibos initial weight'!$A$5:$A$1749,0)),"")</f>
        <v>2.0880000000000001</v>
      </c>
      <c r="K330">
        <f>IFERROR(INDEX('Green_rooibos initial weight'!$C$5:$C$1749,MATCH(I330, 'Green_rooibos initial weight'!$A$5:$A$1749,0)),"")</f>
        <v>2.2149999999999999</v>
      </c>
      <c r="L330" s="195">
        <f t="shared" si="40"/>
        <v>1.8382000000000001</v>
      </c>
      <c r="M330" s="195">
        <f>AVERAGE(Ashed_controlls!$K$2:$K$11)</f>
        <v>5.5147656768714146</v>
      </c>
      <c r="N330" s="195">
        <f t="shared" si="36"/>
        <v>1.7368275773277497</v>
      </c>
      <c r="O330" s="195">
        <f t="shared" si="41"/>
        <v>1.9651999999999998</v>
      </c>
      <c r="P330" s="195">
        <f>AVERAGE(Ashed_controlls!$K$12:$K$14)</f>
        <v>2.2816647271287041</v>
      </c>
      <c r="Q330" s="195">
        <f t="shared" si="42"/>
        <v>1.9203607247824666</v>
      </c>
      <c r="R330" s="16">
        <f>IF('WetLitterbags placem_collection'!G37="N.A","",'WetLitterbags placem_collection'!G37)</f>
        <v>42820</v>
      </c>
      <c r="S330" s="195">
        <f>IF(IFERROR(INDEX('Both teabags AfterWet'!$C$3:$C$841,MATCH(H330,'Both teabags AfterWet'!$A$3:$A$841,0)),"")="N.A","",(IFERROR(INDEX('Both teabags AfterWet'!$C$3:$C$841,MATCH(H330,'Both teabags AfterWet'!$A$3:$A$841,0)),"")))</f>
        <v>0.71699999999999997</v>
      </c>
      <c r="T330" s="195">
        <f>IFERROR(INDEX('Both teabags AfterWet'!$C$3:$C$841,MATCH(I330,'Both teabags AfterWet'!$A$3:$A$841,0)),"")</f>
        <v>1.498</v>
      </c>
      <c r="U330" s="195">
        <f t="shared" si="43"/>
        <v>0.56640000000000001</v>
      </c>
      <c r="V330" s="195">
        <f t="shared" si="43"/>
        <v>1.3473999999999999</v>
      </c>
      <c r="W330" s="195">
        <f>IFERROR(INDEX('Ashed teabags wet'!$K$2:$K$821,MATCH(H330,'Ashed teabags wet'!$A$2:$A$821,0)),"")</f>
        <v>10.182896688086906</v>
      </c>
      <c r="X330" s="195">
        <f>IFERROR(INDEX('Ashed teabags wet'!$K$2:$K$821,MATCH(I330,'Ashed teabags wet'!$A$2:$A$821,0)),"")</f>
        <v>7.3362875430821557</v>
      </c>
      <c r="Y330" s="195">
        <f t="shared" si="37"/>
        <v>0.50872407315867574</v>
      </c>
      <c r="Z330" s="195">
        <f t="shared" si="37"/>
        <v>1.2485508616445109</v>
      </c>
      <c r="AA330" s="195">
        <f t="shared" si="44"/>
        <v>0.70709581089137874</v>
      </c>
      <c r="AB330" s="195">
        <f t="shared" si="45"/>
        <v>0.463559248945417</v>
      </c>
      <c r="AC330" s="195">
        <f t="shared" si="38"/>
        <v>0.65016475578354871</v>
      </c>
      <c r="AD330">
        <f t="shared" si="39"/>
        <v>55</v>
      </c>
      <c r="AE330" s="195">
        <f t="shared" si="46"/>
        <v>0.16021875191047652</v>
      </c>
      <c r="AF330" s="195">
        <f t="shared" si="47"/>
        <v>2.5548358262136119E-2</v>
      </c>
      <c r="AG330" s="255" t="str">
        <f>IF(ISNUMBER(SEARCH("C",'WetLitterbags placem_collection'!AD257)),"YES","NO")</f>
        <v>NO</v>
      </c>
      <c r="AH330" s="255" t="str">
        <f>IF(ISNUMBER(SEARCH("H", 'WetLitterbags placem_collection'!AF37)),"YES","NO")</f>
        <v>NO</v>
      </c>
      <c r="AI330" s="255" t="str">
        <f>IF(ISNUMBER(SEARCH("R", 'WetLitterbags placem_collection'!XF37)),"YES","NO")</f>
        <v>NO</v>
      </c>
      <c r="AJ330" s="255" t="str">
        <f>IF(ISNUMBER(SEARCH("C", 'WetLitterbags placem_collection'!WE37)),"YES","NO")</f>
        <v>NO</v>
      </c>
      <c r="AK330" s="255" t="str">
        <f>IF(ISNUMBER(SEARCH("H", 'WetLitterbags placem_collection'!AE37)),"YES","NO")</f>
        <v>NO</v>
      </c>
      <c r="AL330" s="255" t="str">
        <f>IF(ISNUMBER(SEARCH("R", 'WetLitterbags placem_collection'!AE37)),"YES","NO")</f>
        <v>NO</v>
      </c>
    </row>
    <row r="331" spans="2:38">
      <c r="B331" t="str">
        <f>'Final data_for_R_analysis_Wetse'!A477</f>
        <v>Wet</v>
      </c>
      <c r="C331" s="263">
        <f>'Final data_for_R_analysis_Wetse'!B477</f>
        <v>36</v>
      </c>
      <c r="D331" t="s">
        <v>3831</v>
      </c>
      <c r="E331" t="s">
        <v>25</v>
      </c>
      <c r="F331" s="387">
        <v>4</v>
      </c>
      <c r="G331" s="16">
        <f>'WetLitterbags placem_collection'!E38</f>
        <v>42765</v>
      </c>
      <c r="H331" s="92" t="str">
        <f>'Final data_for_R_analysis_Wetse'!J477</f>
        <v>G550</v>
      </c>
      <c r="I331" t="str">
        <f>'Final data_for_R_analysis_Wetse'!J697</f>
        <v>R97</v>
      </c>
      <c r="J331">
        <f>IFERROR(INDEX('Green_rooibos initial weight'!$C$5:$C$1749,MATCH(H331, 'Green_rooibos initial weight'!$A$5:$A$1749,0)),"")</f>
        <v>2.097</v>
      </c>
      <c r="K331">
        <f>IFERROR(INDEX('Green_rooibos initial weight'!$C$5:$C$1749,MATCH(I331, 'Green_rooibos initial weight'!$A$5:$A$1749,0)),"")</f>
        <v>2.2959999999999998</v>
      </c>
      <c r="L331" s="195">
        <f t="shared" si="40"/>
        <v>1.8472</v>
      </c>
      <c r="M331" s="195">
        <f>AVERAGE(Ashed_controlls!$K$2:$K$11)</f>
        <v>5.5147656768714146</v>
      </c>
      <c r="N331" s="195">
        <f t="shared" si="36"/>
        <v>1.7453312484168313</v>
      </c>
      <c r="O331" s="195">
        <f t="shared" si="41"/>
        <v>2.0461999999999998</v>
      </c>
      <c r="P331" s="195">
        <f>AVERAGE(Ashed_controlls!$K$12:$K$14)</f>
        <v>2.2816647271287041</v>
      </c>
      <c r="Q331" s="195">
        <f t="shared" si="42"/>
        <v>1.9995125763534922</v>
      </c>
      <c r="R331" s="16">
        <f>IF('WetLitterbags placem_collection'!G38="N.A","",'WetLitterbags placem_collection'!G38)</f>
        <v>42820</v>
      </c>
      <c r="S331" s="195">
        <f>IF(IFERROR(INDEX('Both teabags AfterWet'!$C$3:$C$841,MATCH(H331,'Both teabags AfterWet'!$A$3:$A$841,0)),"")="N.A","",(IFERROR(INDEX('Both teabags AfterWet'!$C$3:$C$841,MATCH(H331,'Both teabags AfterWet'!$A$3:$A$841,0)),"")))</f>
        <v>0.72199999999999998</v>
      </c>
      <c r="T331" s="195">
        <f>IFERROR(INDEX('Both teabags AfterWet'!$C$3:$C$841,MATCH(I331,'Both teabags AfterWet'!$A$3:$A$841,0)),"")</f>
        <v>1.671</v>
      </c>
      <c r="U331" s="195">
        <f t="shared" si="43"/>
        <v>0.57139999999999991</v>
      </c>
      <c r="V331" s="195">
        <f t="shared" si="43"/>
        <v>1.5204</v>
      </c>
      <c r="W331" s="195">
        <f>IFERROR(INDEX('Ashed teabags wet'!$K$2:$K$821,MATCH(H331,'Ashed teabags wet'!$A$2:$A$821,0)),"")</f>
        <v>6.3737324963780466</v>
      </c>
      <c r="X331" s="195">
        <f>IFERROR(INDEX('Ashed teabags wet'!$K$2:$K$821,MATCH(I331,'Ashed teabags wet'!$A$2:$A$821,0)),"")</f>
        <v>2.0873786407763748</v>
      </c>
      <c r="Y331" s="195">
        <f t="shared" si="37"/>
        <v>0.53498049251569579</v>
      </c>
      <c r="Z331" s="195">
        <f t="shared" si="37"/>
        <v>1.4886634951456359</v>
      </c>
      <c r="AA331" s="195">
        <f t="shared" si="44"/>
        <v>0.69347910718898198</v>
      </c>
      <c r="AB331" s="195">
        <f t="shared" si="45"/>
        <v>0.45463238381035403</v>
      </c>
      <c r="AC331" s="195">
        <f t="shared" si="38"/>
        <v>0.74451319424082296</v>
      </c>
      <c r="AD331">
        <f t="shared" si="39"/>
        <v>55</v>
      </c>
      <c r="AE331" s="195">
        <f t="shared" si="46"/>
        <v>0.17639060903921377</v>
      </c>
      <c r="AF331" s="195">
        <f t="shared" si="47"/>
        <v>1.5008237080840375E-2</v>
      </c>
      <c r="AG331" s="255" t="str">
        <f>IF(ISNUMBER(SEARCH("C",'WetLitterbags placem_collection'!AD258)),"YES","NO")</f>
        <v>NO</v>
      </c>
      <c r="AH331" s="255" t="str">
        <f>IF(ISNUMBER(SEARCH("H", 'WetLitterbags placem_collection'!AF38)),"YES","NO")</f>
        <v>NO</v>
      </c>
      <c r="AI331" s="255" t="str">
        <f>IF(ISNUMBER(SEARCH("R", 'WetLitterbags placem_collection'!XF38)),"YES","NO")</f>
        <v>NO</v>
      </c>
      <c r="AJ331" s="255" t="str">
        <f>IF(ISNUMBER(SEARCH("C", 'WetLitterbags placem_collection'!WE38)),"YES","NO")</f>
        <v>NO</v>
      </c>
      <c r="AK331" s="255" t="str">
        <f>IF(ISNUMBER(SEARCH("H", 'WetLitterbags placem_collection'!AE38)),"YES","NO")</f>
        <v>NO</v>
      </c>
      <c r="AL331" s="255" t="str">
        <f>IF(ISNUMBER(SEARCH("R", 'WetLitterbags placem_collection'!AE38)),"YES","NO")</f>
        <v>NO</v>
      </c>
    </row>
    <row r="332" spans="2:38">
      <c r="B332" t="str">
        <f>'Final data_for_R_analysis_Wetse'!A478</f>
        <v>Wet</v>
      </c>
      <c r="C332" s="263">
        <f>'Final data_for_R_analysis_Wetse'!B478</f>
        <v>37</v>
      </c>
      <c r="D332" t="s">
        <v>3831</v>
      </c>
      <c r="E332" t="s">
        <v>25</v>
      </c>
      <c r="F332" s="387">
        <v>5</v>
      </c>
      <c r="G332" s="16">
        <f>'WetLitterbags placem_collection'!E39</f>
        <v>42765</v>
      </c>
      <c r="H332" s="92" t="str">
        <f>'Final data_for_R_analysis_Wetse'!J478</f>
        <v>G528</v>
      </c>
      <c r="I332" t="str">
        <f>'Final data_for_R_analysis_Wetse'!J698</f>
        <v>R89</v>
      </c>
      <c r="J332">
        <f>IFERROR(INDEX('Green_rooibos initial weight'!$C$5:$C$1749,MATCH(H332, 'Green_rooibos initial weight'!$A$5:$A$1749,0)),"")</f>
        <v>2.14</v>
      </c>
      <c r="K332">
        <f>IFERROR(INDEX('Green_rooibos initial weight'!$C$5:$C$1749,MATCH(I332, 'Green_rooibos initial weight'!$A$5:$A$1749,0)),"")</f>
        <v>2.1949999999999998</v>
      </c>
      <c r="L332" s="195">
        <f t="shared" si="40"/>
        <v>1.8902000000000001</v>
      </c>
      <c r="M332" s="195">
        <f>AVERAGE(Ashed_controlls!$K$2:$K$11)</f>
        <v>5.5147656768714146</v>
      </c>
      <c r="N332" s="195">
        <f t="shared" ref="N332:N395" si="48">IFERROR(L332-(M332/100)*L332,"")</f>
        <v>1.7859598991757766</v>
      </c>
      <c r="O332" s="195">
        <f t="shared" si="41"/>
        <v>1.9451999999999998</v>
      </c>
      <c r="P332" s="195">
        <f>AVERAGE(Ashed_controlls!$K$12:$K$14)</f>
        <v>2.2816647271287041</v>
      </c>
      <c r="Q332" s="195">
        <f t="shared" si="42"/>
        <v>1.9008170577278922</v>
      </c>
      <c r="R332" s="16">
        <f>IF('WetLitterbags placem_collection'!G39="N.A","",'WetLitterbags placem_collection'!G39)</f>
        <v>42820</v>
      </c>
      <c r="S332" s="195">
        <f>IF(IFERROR(INDEX('Both teabags AfterWet'!$C$3:$C$841,MATCH(H332,'Both teabags AfterWet'!$A$3:$A$841,0)),"")="N.A","",(IFERROR(INDEX('Both teabags AfterWet'!$C$3:$C$841,MATCH(H332,'Both teabags AfterWet'!$A$3:$A$841,0)),"")))</f>
        <v>0.89600000000000002</v>
      </c>
      <c r="T332" s="195">
        <f>IFERROR(INDEX('Both teabags AfterWet'!$C$3:$C$841,MATCH(I332,'Both teabags AfterWet'!$A$3:$A$841,0)),"")</f>
        <v>1.425</v>
      </c>
      <c r="U332" s="195">
        <f t="shared" si="43"/>
        <v>0.74540000000000006</v>
      </c>
      <c r="V332" s="195">
        <f t="shared" si="43"/>
        <v>1.2744</v>
      </c>
      <c r="W332" s="195">
        <f>IFERROR(INDEX('Ashed teabags wet'!$K$2:$K$821,MATCH(H332,'Ashed teabags wet'!$A$2:$A$821,0)),"")</f>
        <v>15.032354405176665</v>
      </c>
      <c r="X332" s="195">
        <f>IFERROR(INDEX('Ashed teabags wet'!$K$2:$K$821,MATCH(I332,'Ashed teabags wet'!$A$2:$A$821,0)),"")</f>
        <v>8.2721488007830519</v>
      </c>
      <c r="Y332" s="195">
        <f t="shared" ref="Y332:Z395" si="49">IFERROR(U332-(W332/100)*U332,"")</f>
        <v>0.63334883026381317</v>
      </c>
      <c r="Z332" s="195">
        <f t="shared" si="49"/>
        <v>1.1689797356828207</v>
      </c>
      <c r="AA332" s="195">
        <f t="shared" si="44"/>
        <v>0.64537343164529914</v>
      </c>
      <c r="AB332" s="195">
        <f t="shared" si="45"/>
        <v>0.42309517133991109</v>
      </c>
      <c r="AC332" s="195">
        <f t="shared" ref="AC332:AC395" si="50">IFERROR(Z332/Q332,"")</f>
        <v>0.61498802892696036</v>
      </c>
      <c r="AD332">
        <f t="shared" ref="AD332:AD395" si="51">IF((R332-G332)&gt;0,(IFERROR(R332-G332,"")),"")</f>
        <v>55</v>
      </c>
      <c r="AE332" s="195">
        <f t="shared" si="46"/>
        <v>0.23352324032624805</v>
      </c>
      <c r="AF332" s="195">
        <f t="shared" si="47"/>
        <v>4.3778616328604601E-2</v>
      </c>
      <c r="AG332" s="255" t="str">
        <f>IF(ISNUMBER(SEARCH("C",'WetLitterbags placem_collection'!AD259)),"YES","NO")</f>
        <v>NO</v>
      </c>
      <c r="AH332" s="255" t="str">
        <f>IF(ISNUMBER(SEARCH("H", 'WetLitterbags placem_collection'!AF39)),"YES","NO")</f>
        <v>NO</v>
      </c>
      <c r="AI332" s="255" t="str">
        <f>IF(ISNUMBER(SEARCH("R", 'WetLitterbags placem_collection'!XF39)),"YES","NO")</f>
        <v>NO</v>
      </c>
      <c r="AJ332" s="255" t="str">
        <f>IF(ISNUMBER(SEARCH("C", 'WetLitterbags placem_collection'!WE39)),"YES","NO")</f>
        <v>NO</v>
      </c>
      <c r="AK332" s="255" t="str">
        <f>IF(ISNUMBER(SEARCH("H", 'WetLitterbags placem_collection'!AE39)),"YES","NO")</f>
        <v>NO</v>
      </c>
      <c r="AL332" s="255" t="str">
        <f>IF(ISNUMBER(SEARCH("R", 'WetLitterbags placem_collection'!AE39)),"YES","NO")</f>
        <v>NO</v>
      </c>
    </row>
    <row r="333" spans="2:38">
      <c r="B333" t="str">
        <f>'Final data_for_R_analysis_Wetse'!A479</f>
        <v>Wet</v>
      </c>
      <c r="C333" s="263">
        <f>'Final data_for_R_analysis_Wetse'!B479</f>
        <v>38</v>
      </c>
      <c r="D333" t="s">
        <v>3831</v>
      </c>
      <c r="E333" t="s">
        <v>25</v>
      </c>
      <c r="F333" s="387">
        <v>6</v>
      </c>
      <c r="G333" s="16">
        <f>'WetLitterbags placem_collection'!E40</f>
        <v>42765</v>
      </c>
      <c r="H333" s="92" t="str">
        <f>'Final data_for_R_analysis_Wetse'!J479</f>
        <v>G703</v>
      </c>
      <c r="I333" t="str">
        <f>'Final data_for_R_analysis_Wetse'!J699</f>
        <v>R147</v>
      </c>
      <c r="J333">
        <f>IFERROR(INDEX('Green_rooibos initial weight'!$C$5:$C$1749,MATCH(H333, 'Green_rooibos initial weight'!$A$5:$A$1749,0)),"")</f>
        <v>1.9159999999999999</v>
      </c>
      <c r="K333">
        <f>IFERROR(INDEX('Green_rooibos initial weight'!$C$5:$C$1749,MATCH(I333, 'Green_rooibos initial weight'!$A$5:$A$1749,0)),"")</f>
        <v>2.1960000000000002</v>
      </c>
      <c r="L333" s="195">
        <f t="shared" ref="L333:L396" si="52">IF(J333&gt;0,(J333*$F$31-($F$29+$F$30)),"")</f>
        <v>1.6661999999999999</v>
      </c>
      <c r="M333" s="195">
        <f>AVERAGE(Ashed_controlls!$K$2:$K$11)</f>
        <v>5.5147656768714146</v>
      </c>
      <c r="N333" s="195">
        <f t="shared" si="48"/>
        <v>1.5743129742919684</v>
      </c>
      <c r="O333" s="195">
        <f t="shared" ref="O333:O396" si="53">IF(K333&gt;0,(K333*$F$32-($F$29+$F$30)),"")</f>
        <v>1.9462000000000002</v>
      </c>
      <c r="P333" s="195">
        <f>AVERAGE(Ashed_controlls!$K$12:$K$14)</f>
        <v>2.2816647271287041</v>
      </c>
      <c r="Q333" s="195">
        <f t="shared" ref="Q333:Q396" si="54">IFERROR(O333-(P333/100)*O333,"")</f>
        <v>1.9017942410806212</v>
      </c>
      <c r="R333" s="16">
        <f>IF('WetLitterbags placem_collection'!G40="N.A","",'WetLitterbags placem_collection'!G40)</f>
        <v>42820</v>
      </c>
      <c r="S333" s="195">
        <f>IF(IFERROR(INDEX('Both teabags AfterWet'!$C$3:$C$841,MATCH(H333,'Both teabags AfterWet'!$A$3:$A$841,0)),"")="N.A","",(IFERROR(INDEX('Both teabags AfterWet'!$C$3:$C$841,MATCH(H333,'Both teabags AfterWet'!$A$3:$A$841,0)),"")))</f>
        <v>0.81899999999999995</v>
      </c>
      <c r="T333" s="195">
        <f>IFERROR(INDEX('Both teabags AfterWet'!$C$3:$C$841,MATCH(I333,'Both teabags AfterWet'!$A$3:$A$841,0)),"")</f>
        <v>1.381</v>
      </c>
      <c r="U333" s="195">
        <f t="shared" ref="U333:V396" si="55">IFERROR(IF(S333&gt;0,S333-($F$29),""),"")</f>
        <v>0.66839999999999988</v>
      </c>
      <c r="V333" s="195">
        <f t="shared" si="55"/>
        <v>1.2303999999999999</v>
      </c>
      <c r="W333" s="195">
        <f>IFERROR(INDEX('Ashed teabags wet'!$K$2:$K$821,MATCH(H333,'Ashed teabags wet'!$A$2:$A$821,0)),"")</f>
        <v>13.181367690782835</v>
      </c>
      <c r="X333" s="195">
        <f>IFERROR(INDEX('Ashed teabags wet'!$K$2:$K$821,MATCH(I333,'Ashed teabags wet'!$A$2:$A$821,0)),"")</f>
        <v>6.8948891031825541</v>
      </c>
      <c r="Y333" s="195">
        <f t="shared" si="49"/>
        <v>0.58029573835480741</v>
      </c>
      <c r="Z333" s="195">
        <f t="shared" si="49"/>
        <v>1.1455652844744417</v>
      </c>
      <c r="AA333" s="195">
        <f t="shared" ref="AA333:AA396" si="56">IFERROR(1-Y333/N333,"")</f>
        <v>0.6313974744343388</v>
      </c>
      <c r="AB333" s="195">
        <f t="shared" ref="AB333:AB396" si="57">IFERROR($F$26*(1-AE333),"")</f>
        <v>0.41393278608997036</v>
      </c>
      <c r="AC333" s="195">
        <f t="shared" si="50"/>
        <v>0.60236026575804458</v>
      </c>
      <c r="AD333">
        <f t="shared" si="51"/>
        <v>55</v>
      </c>
      <c r="AE333" s="195">
        <f t="shared" ref="AE333:AE396" si="58">IFERROR(1-(AA333/$F$25),"")</f>
        <v>0.25012176432976385</v>
      </c>
      <c r="AF333" s="195">
        <f t="shared" ref="AF333:AF396" si="59">IFERROR(LN(AB333/(AC333-(1-AB333)))/AD333,"")</f>
        <v>5.8817542877506811E-2</v>
      </c>
      <c r="AG333" s="255" t="str">
        <f>IF(ISNUMBER(SEARCH("C",'WetLitterbags placem_collection'!AD260)),"YES","NO")</f>
        <v>NO</v>
      </c>
      <c r="AH333" s="255" t="str">
        <f>IF(ISNUMBER(SEARCH("H", 'WetLitterbags placem_collection'!AF40)),"YES","NO")</f>
        <v>NO</v>
      </c>
      <c r="AI333" s="255" t="str">
        <f>IF(ISNUMBER(SEARCH("R", 'WetLitterbags placem_collection'!XF40)),"YES","NO")</f>
        <v>NO</v>
      </c>
      <c r="AJ333" s="255" t="str">
        <f>IF(ISNUMBER(SEARCH("C", 'WetLitterbags placem_collection'!WE40)),"YES","NO")</f>
        <v>NO</v>
      </c>
      <c r="AK333" s="255" t="str">
        <f>IF(ISNUMBER(SEARCH("H", 'WetLitterbags placem_collection'!AE40)),"YES","NO")</f>
        <v>NO</v>
      </c>
      <c r="AL333" s="255" t="str">
        <f>IF(ISNUMBER(SEARCH("R", 'WetLitterbags placem_collection'!AE40)),"YES","NO")</f>
        <v>NO</v>
      </c>
    </row>
    <row r="334" spans="2:38">
      <c r="B334" t="str">
        <f>'Final data_for_R_analysis_Wetse'!A480</f>
        <v>Wet</v>
      </c>
      <c r="C334" s="263">
        <f>'Final data_for_R_analysis_Wetse'!B480</f>
        <v>39</v>
      </c>
      <c r="D334" t="s">
        <v>3831</v>
      </c>
      <c r="E334" t="s">
        <v>25</v>
      </c>
      <c r="F334" s="387">
        <v>7</v>
      </c>
      <c r="G334" s="16">
        <f>'WetLitterbags placem_collection'!E41</f>
        <v>42765</v>
      </c>
      <c r="H334" s="92" t="str">
        <f>'Final data_for_R_analysis_Wetse'!J480</f>
        <v>G566</v>
      </c>
      <c r="I334" t="str">
        <f>'Final data_for_R_analysis_Wetse'!J700</f>
        <v>R65</v>
      </c>
      <c r="J334">
        <f>IFERROR(INDEX('Green_rooibos initial weight'!$C$5:$C$1749,MATCH(H334, 'Green_rooibos initial weight'!$A$5:$A$1749,0)),"")</f>
        <v>2.0449999999999999</v>
      </c>
      <c r="K334">
        <f>IFERROR(INDEX('Green_rooibos initial weight'!$C$5:$C$1749,MATCH(I334, 'Green_rooibos initial weight'!$A$5:$A$1749,0)),"")</f>
        <v>2.2559999999999998</v>
      </c>
      <c r="L334" s="195">
        <f t="shared" si="52"/>
        <v>1.7951999999999999</v>
      </c>
      <c r="M334" s="195">
        <f>AVERAGE(Ashed_controlls!$K$2:$K$11)</f>
        <v>5.5147656768714146</v>
      </c>
      <c r="N334" s="195">
        <f t="shared" si="48"/>
        <v>1.6961989265688042</v>
      </c>
      <c r="O334" s="195">
        <f t="shared" si="53"/>
        <v>2.0061999999999998</v>
      </c>
      <c r="P334" s="195">
        <f>AVERAGE(Ashed_controlls!$K$12:$K$14)</f>
        <v>2.2816647271287041</v>
      </c>
      <c r="Q334" s="195">
        <f t="shared" si="54"/>
        <v>1.9604252422443438</v>
      </c>
      <c r="R334" s="16">
        <f>IF('WetLitterbags placem_collection'!G41="N.A","",'WetLitterbags placem_collection'!G41)</f>
        <v>42820</v>
      </c>
      <c r="S334" s="195">
        <f>IF(IFERROR(INDEX('Both teabags AfterWet'!$C$3:$C$841,MATCH(H334,'Both teabags AfterWet'!$A$3:$A$841,0)),"")="N.A","",(IFERROR(INDEX('Both teabags AfterWet'!$C$3:$C$841,MATCH(H334,'Both teabags AfterWet'!$A$3:$A$841,0)),"")))</f>
        <v>0.78520000000000001</v>
      </c>
      <c r="T334" s="195">
        <f>IFERROR(INDEX('Both teabags AfterWet'!$C$3:$C$841,MATCH(I334,'Both teabags AfterWet'!$A$3:$A$841,0)),"")</f>
        <v>1.5185</v>
      </c>
      <c r="U334" s="195">
        <f t="shared" si="55"/>
        <v>0.63460000000000005</v>
      </c>
      <c r="V334" s="195">
        <f t="shared" si="55"/>
        <v>1.3678999999999999</v>
      </c>
      <c r="W334" s="195">
        <f>IFERROR(INDEX('Ashed teabags wet'!$K$2:$K$821,MATCH(H334,'Ashed teabags wet'!$A$2:$A$821,0)),"")</f>
        <v>4.4278606965170084</v>
      </c>
      <c r="X334" s="195">
        <f>IFERROR(INDEX('Ashed teabags wet'!$K$2:$K$821,MATCH(I334,'Ashed teabags wet'!$A$2:$A$821,0)),"")</f>
        <v>3.3680039623575757</v>
      </c>
      <c r="Y334" s="195">
        <f t="shared" si="49"/>
        <v>0.60650079601990314</v>
      </c>
      <c r="Z334" s="195">
        <f t="shared" si="49"/>
        <v>1.3218290737989107</v>
      </c>
      <c r="AA334" s="195">
        <f t="shared" si="56"/>
        <v>0.64243533790769614</v>
      </c>
      <c r="AB334" s="195">
        <f t="shared" si="57"/>
        <v>0.42116901012476043</v>
      </c>
      <c r="AC334" s="195">
        <f t="shared" si="50"/>
        <v>0.67425630180401463</v>
      </c>
      <c r="AD334">
        <f t="shared" si="51"/>
        <v>55</v>
      </c>
      <c r="AE334" s="195">
        <f t="shared" si="58"/>
        <v>0.23701266281746303</v>
      </c>
      <c r="AF334" s="195">
        <f t="shared" si="59"/>
        <v>2.6994369725230224E-2</v>
      </c>
      <c r="AG334" s="255" t="str">
        <f>IF(ISNUMBER(SEARCH("C",'WetLitterbags placem_collection'!AD261)),"YES","NO")</f>
        <v>NO</v>
      </c>
      <c r="AH334" s="255" t="str">
        <f>IF(ISNUMBER(SEARCH("H", 'WetLitterbags placem_collection'!AF41)),"YES","NO")</f>
        <v>NO</v>
      </c>
      <c r="AI334" s="255" t="str">
        <f>IF(ISNUMBER(SEARCH("R", 'WetLitterbags placem_collection'!XF41)),"YES","NO")</f>
        <v>NO</v>
      </c>
      <c r="AJ334" s="255" t="str">
        <f>IF(ISNUMBER(SEARCH("C", 'WetLitterbags placem_collection'!WE41)),"YES","NO")</f>
        <v>NO</v>
      </c>
      <c r="AK334" s="255" t="str">
        <f>IF(ISNUMBER(SEARCH("H", 'WetLitterbags placem_collection'!AE41)),"YES","NO")</f>
        <v>NO</v>
      </c>
      <c r="AL334" s="255" t="str">
        <f>IF(ISNUMBER(SEARCH("R", 'WetLitterbags placem_collection'!AE41)),"YES","NO")</f>
        <v>NO</v>
      </c>
    </row>
    <row r="335" spans="2:38">
      <c r="B335" t="str">
        <f>'Final data_for_R_analysis_Wetse'!A481</f>
        <v>Wet</v>
      </c>
      <c r="C335" s="263">
        <f>'Final data_for_R_analysis_Wetse'!B481</f>
        <v>40</v>
      </c>
      <c r="D335" t="s">
        <v>3831</v>
      </c>
      <c r="E335" t="s">
        <v>25</v>
      </c>
      <c r="F335" s="387">
        <v>8</v>
      </c>
      <c r="G335" s="16">
        <f>'WetLitterbags placem_collection'!E42</f>
        <v>42765</v>
      </c>
      <c r="H335" s="92" t="str">
        <f>'Final data_for_R_analysis_Wetse'!J481</f>
        <v>G619</v>
      </c>
      <c r="I335" t="str">
        <f>'Final data_for_R_analysis_Wetse'!J701</f>
        <v>R420</v>
      </c>
      <c r="J335">
        <f>IFERROR(INDEX('Green_rooibos initial weight'!$C$5:$C$1749,MATCH(H335, 'Green_rooibos initial weight'!$A$5:$A$1749,0)),"")</f>
        <v>2.036</v>
      </c>
      <c r="K335">
        <f>IFERROR(INDEX('Green_rooibos initial weight'!$C$5:$C$1749,MATCH(I335, 'Green_rooibos initial weight'!$A$5:$A$1749,0)),"")</f>
        <v>2.2749999999999999</v>
      </c>
      <c r="L335" s="195">
        <f t="shared" si="52"/>
        <v>1.7862</v>
      </c>
      <c r="M335" s="195">
        <f>AVERAGE(Ashed_controlls!$K$2:$K$11)</f>
        <v>5.5147656768714146</v>
      </c>
      <c r="N335" s="195">
        <f t="shared" si="48"/>
        <v>1.6876952554797229</v>
      </c>
      <c r="O335" s="195">
        <f t="shared" si="53"/>
        <v>2.0251999999999999</v>
      </c>
      <c r="P335" s="195">
        <f>AVERAGE(Ashed_controlls!$K$12:$K$14)</f>
        <v>2.2816647271287041</v>
      </c>
      <c r="Q335" s="195">
        <f t="shared" si="54"/>
        <v>1.9789917259461893</v>
      </c>
      <c r="R335" s="16">
        <f>IF('WetLitterbags placem_collection'!G42="N.A","",'WetLitterbags placem_collection'!G42)</f>
        <v>42820</v>
      </c>
      <c r="S335" s="195">
        <f>IF(IFERROR(INDEX('Both teabags AfterWet'!$C$3:$C$841,MATCH(H335,'Both teabags AfterWet'!$A$3:$A$841,0)),"")="N.A","",(IFERROR(INDEX('Both teabags AfterWet'!$C$3:$C$841,MATCH(H335,'Both teabags AfterWet'!$A$3:$A$841,0)),"")))</f>
        <v>0.70599999999999996</v>
      </c>
      <c r="T335" s="195">
        <f>IFERROR(INDEX('Both teabags AfterWet'!$C$3:$C$841,MATCH(I335,'Both teabags AfterWet'!$A$3:$A$841,0)),"")</f>
        <v>1.66</v>
      </c>
      <c r="U335" s="195">
        <f t="shared" si="55"/>
        <v>0.55539999999999989</v>
      </c>
      <c r="V335" s="195">
        <f t="shared" si="55"/>
        <v>1.5093999999999999</v>
      </c>
      <c r="W335" s="195">
        <f>IFERROR(INDEX('Ashed teabags wet'!$K$2:$K$821,MATCH(H335,'Ashed teabags wet'!$A$2:$A$821,0)),"")</f>
        <v>8.6005830903788301</v>
      </c>
      <c r="X335" s="195">
        <f>IFERROR(INDEX('Ashed teabags wet'!$K$2:$K$821,MATCH(I335,'Ashed teabags wet'!$A$2:$A$821,0)),"")</f>
        <v>4.7856430707881614</v>
      </c>
      <c r="Y335" s="195">
        <f t="shared" si="49"/>
        <v>0.50763236151603586</v>
      </c>
      <c r="Z335" s="195">
        <f t="shared" si="49"/>
        <v>1.4371655034895234</v>
      </c>
      <c r="AA335" s="195">
        <f t="shared" si="56"/>
        <v>0.69921562564816075</v>
      </c>
      <c r="AB335" s="195">
        <f t="shared" si="57"/>
        <v>0.45839314175508883</v>
      </c>
      <c r="AC335" s="195">
        <f t="shared" si="50"/>
        <v>0.72621097129771495</v>
      </c>
      <c r="AD335">
        <f t="shared" si="51"/>
        <v>55</v>
      </c>
      <c r="AE335" s="195">
        <f t="shared" si="58"/>
        <v>0.16957764174802759</v>
      </c>
      <c r="AF335" s="195">
        <f t="shared" si="59"/>
        <v>1.6536610932873688E-2</v>
      </c>
      <c r="AG335" s="255" t="str">
        <f>IF(ISNUMBER(SEARCH("C",'WetLitterbags placem_collection'!AD262)),"YES","NO")</f>
        <v>NO</v>
      </c>
      <c r="AH335" s="255" t="str">
        <f>IF(ISNUMBER(SEARCH("H", 'WetLitterbags placem_collection'!AF42)),"YES","NO")</f>
        <v>NO</v>
      </c>
      <c r="AI335" s="255" t="str">
        <f>IF(ISNUMBER(SEARCH("R", 'WetLitterbags placem_collection'!XF42)),"YES","NO")</f>
        <v>NO</v>
      </c>
      <c r="AJ335" s="255" t="str">
        <f>IF(ISNUMBER(SEARCH("C", 'WetLitterbags placem_collection'!WE42)),"YES","NO")</f>
        <v>NO</v>
      </c>
      <c r="AK335" s="255" t="str">
        <f>IF(ISNUMBER(SEARCH("H", 'WetLitterbags placem_collection'!AE42)),"YES","NO")</f>
        <v>NO</v>
      </c>
      <c r="AL335" s="255" t="str">
        <f>IF(ISNUMBER(SEARCH("R", 'WetLitterbags placem_collection'!AE42)),"YES","NO")</f>
        <v>NO</v>
      </c>
    </row>
    <row r="336" spans="2:38">
      <c r="B336" t="str">
        <f>'Final data_for_R_analysis_Wetse'!A482</f>
        <v>Wet</v>
      </c>
      <c r="C336" s="263">
        <f>'Final data_for_R_analysis_Wetse'!B482</f>
        <v>41</v>
      </c>
      <c r="D336" t="s">
        <v>3833</v>
      </c>
      <c r="E336" t="s">
        <v>25</v>
      </c>
      <c r="F336" s="386">
        <v>1</v>
      </c>
      <c r="G336" s="16">
        <f>'WetLitterbags placem_collection'!E43</f>
        <v>42766</v>
      </c>
      <c r="H336" s="92" t="str">
        <f>'Final data_for_R_analysis_Wetse'!J482</f>
        <v>G626</v>
      </c>
      <c r="I336" t="str">
        <f>'Final data_for_R_analysis_Wetse'!J702</f>
        <v>R77</v>
      </c>
      <c r="J336">
        <f>IFERROR(INDEX('Green_rooibos initial weight'!$C$5:$C$1749,MATCH(H336, 'Green_rooibos initial weight'!$A$5:$A$1749,0)),"")</f>
        <v>2.1179999999999999</v>
      </c>
      <c r="K336">
        <f>IFERROR(INDEX('Green_rooibos initial weight'!$C$5:$C$1749,MATCH(I336, 'Green_rooibos initial weight'!$A$5:$A$1749,0)),"")</f>
        <v>2.1749999999999998</v>
      </c>
      <c r="L336" s="195">
        <f t="shared" si="52"/>
        <v>1.8681999999999999</v>
      </c>
      <c r="M336" s="195">
        <f>AVERAGE(Ashed_controlls!$K$2:$K$11)</f>
        <v>5.5147656768714146</v>
      </c>
      <c r="N336" s="195">
        <f t="shared" si="48"/>
        <v>1.7651731476246881</v>
      </c>
      <c r="O336" s="195">
        <f t="shared" si="53"/>
        <v>1.9251999999999998</v>
      </c>
      <c r="P336" s="195">
        <f>AVERAGE(Ashed_controlls!$K$12:$K$14)</f>
        <v>2.2816647271287041</v>
      </c>
      <c r="Q336" s="195">
        <f t="shared" si="54"/>
        <v>1.8812733906733179</v>
      </c>
      <c r="R336" s="16">
        <f>IF('WetLitterbags placem_collection'!G43="N.A","",'WetLitterbags placem_collection'!G43)</f>
        <v>42820</v>
      </c>
      <c r="S336" s="195" t="str">
        <f>IF(IFERROR(INDEX('Both teabags AfterWet'!$C$3:$C$841,MATCH(H336,'Both teabags AfterWet'!$A$3:$A$841,0)),"")="N.A","",(IFERROR(INDEX('Both teabags AfterWet'!$C$3:$C$841,MATCH(H336,'Both teabags AfterWet'!$A$3:$A$841,0)),"")))</f>
        <v/>
      </c>
      <c r="T336" s="195">
        <f>IFERROR(INDEX('Both teabags AfterWet'!$C$3:$C$841,MATCH(I336,'Both teabags AfterWet'!$A$3:$A$841,0)),"")</f>
        <v>1.5429999999999999</v>
      </c>
      <c r="U336" s="195" t="str">
        <f t="shared" si="55"/>
        <v/>
      </c>
      <c r="V336" s="195">
        <f t="shared" si="55"/>
        <v>1.3923999999999999</v>
      </c>
      <c r="W336" s="195">
        <f>IFERROR(INDEX('Ashed teabags wet'!$K$2:$K$821,MATCH(H336,'Ashed teabags wet'!$A$2:$A$821,0)),"")</f>
        <v>11.014911014910776</v>
      </c>
      <c r="X336" s="195">
        <f>IFERROR(INDEX('Ashed teabags wet'!$K$2:$K$821,MATCH(I336,'Ashed teabags wet'!$A$2:$A$821,0)),"")</f>
        <v>6.0530265132569756</v>
      </c>
      <c r="Y336" s="195" t="str">
        <f t="shared" si="49"/>
        <v/>
      </c>
      <c r="Z336" s="195">
        <f t="shared" si="49"/>
        <v>1.3081176588294097</v>
      </c>
      <c r="AA336" s="195" t="str">
        <f t="shared" si="56"/>
        <v/>
      </c>
      <c r="AB336" s="195" t="str">
        <f t="shared" si="57"/>
        <v/>
      </c>
      <c r="AC336" s="195">
        <f t="shared" si="50"/>
        <v>0.69533628940620229</v>
      </c>
      <c r="AD336">
        <f t="shared" si="51"/>
        <v>54</v>
      </c>
      <c r="AE336" s="195" t="str">
        <f t="shared" si="58"/>
        <v/>
      </c>
      <c r="AF336" s="195" t="str">
        <f t="shared" si="59"/>
        <v/>
      </c>
      <c r="AG336" s="255" t="str">
        <f>IF(ISNUMBER(SEARCH("C",'WetLitterbags placem_collection'!AD263)),"YES","NO")</f>
        <v>NO</v>
      </c>
      <c r="AH336" s="255" t="str">
        <f>IF(ISNUMBER(SEARCH("H", 'WetLitterbags placem_collection'!AF43)),"YES","NO")</f>
        <v>NO</v>
      </c>
      <c r="AI336" s="255" t="str">
        <f>IF(ISNUMBER(SEARCH("R", 'WetLitterbags placem_collection'!XF43)),"YES","NO")</f>
        <v>NO</v>
      </c>
      <c r="AJ336" s="255" t="str">
        <f>IF(ISNUMBER(SEARCH("C", 'WetLitterbags placem_collection'!WE43)),"YES","NO")</f>
        <v>NO</v>
      </c>
      <c r="AK336" s="255" t="str">
        <f>IF(ISNUMBER(SEARCH("H", 'WetLitterbags placem_collection'!AE43)),"YES","NO")</f>
        <v>NO</v>
      </c>
      <c r="AL336" s="255" t="str">
        <f>IF(ISNUMBER(SEARCH("R", 'WetLitterbags placem_collection'!AE43)),"YES","NO")</f>
        <v>NO</v>
      </c>
    </row>
    <row r="337" spans="2:38">
      <c r="B337" t="str">
        <f>'Final data_for_R_analysis_Wetse'!A483</f>
        <v>Wet</v>
      </c>
      <c r="C337" s="263">
        <f>'Final data_for_R_analysis_Wetse'!B483</f>
        <v>42</v>
      </c>
      <c r="D337" t="s">
        <v>3833</v>
      </c>
      <c r="E337" t="s">
        <v>25</v>
      </c>
      <c r="F337" s="386">
        <v>2</v>
      </c>
      <c r="G337" s="16">
        <f>'WetLitterbags placem_collection'!E44</f>
        <v>42766</v>
      </c>
      <c r="H337" s="92" t="str">
        <f>'Final data_for_R_analysis_Wetse'!J483</f>
        <v>G437</v>
      </c>
      <c r="I337" t="str">
        <f>'Final data_for_R_analysis_Wetse'!J703</f>
        <v>R81</v>
      </c>
      <c r="J337">
        <f>IFERROR(INDEX('Green_rooibos initial weight'!$C$5:$C$1749,MATCH(H337, 'Green_rooibos initial weight'!$A$5:$A$1749,0)),"")</f>
        <v>2.1230000000000002</v>
      </c>
      <c r="K337">
        <f>IFERROR(INDEX('Green_rooibos initial weight'!$C$5:$C$1749,MATCH(I337, 'Green_rooibos initial weight'!$A$5:$A$1749,0)),"")</f>
        <v>2.004</v>
      </c>
      <c r="L337" s="195">
        <f t="shared" si="52"/>
        <v>1.8732000000000002</v>
      </c>
      <c r="M337" s="195">
        <f>AVERAGE(Ashed_controlls!$K$2:$K$11)</f>
        <v>5.5147656768714146</v>
      </c>
      <c r="N337" s="195">
        <f t="shared" si="48"/>
        <v>1.7698974093408448</v>
      </c>
      <c r="O337" s="195">
        <f t="shared" si="53"/>
        <v>1.7542</v>
      </c>
      <c r="P337" s="195">
        <f>AVERAGE(Ashed_controlls!$K$12:$K$14)</f>
        <v>2.2816647271287041</v>
      </c>
      <c r="Q337" s="195">
        <f t="shared" si="54"/>
        <v>1.7141750373567082</v>
      </c>
      <c r="R337" s="16">
        <f>IF('WetLitterbags placem_collection'!G44="N.A","",'WetLitterbags placem_collection'!G44)</f>
        <v>42820</v>
      </c>
      <c r="S337" s="195">
        <f>IF(IFERROR(INDEX('Both teabags AfterWet'!$C$3:$C$841,MATCH(H337,'Both teabags AfterWet'!$A$3:$A$841,0)),"")="N.A","",(IFERROR(INDEX('Both teabags AfterWet'!$C$3:$C$841,MATCH(H337,'Both teabags AfterWet'!$A$3:$A$841,0)),"")))</f>
        <v>0.64</v>
      </c>
      <c r="T337" s="195">
        <f>IFERROR(INDEX('Both teabags AfterWet'!$C$3:$C$841,MATCH(I337,'Both teabags AfterWet'!$A$3:$A$841,0)),"")</f>
        <v>1.528</v>
      </c>
      <c r="U337" s="195">
        <f t="shared" si="55"/>
        <v>0.4894</v>
      </c>
      <c r="V337" s="195">
        <f t="shared" si="55"/>
        <v>1.3774</v>
      </c>
      <c r="W337" s="195">
        <f>IFERROR(INDEX('Ashed teabags wet'!$K$2:$K$821,MATCH(H337,'Ashed teabags wet'!$A$2:$A$821,0)),"")</f>
        <v>8.5335948994602457</v>
      </c>
      <c r="X337" s="195">
        <f>IFERROR(INDEX('Ashed teabags wet'!$K$2:$K$821,MATCH(I337,'Ashed teabags wet'!$A$2:$A$821,0)),"")</f>
        <v>2.5036109773709327</v>
      </c>
      <c r="Y337" s="195">
        <f t="shared" si="49"/>
        <v>0.44763658656204158</v>
      </c>
      <c r="Z337" s="195">
        <f t="shared" si="49"/>
        <v>1.3429152623976928</v>
      </c>
      <c r="AA337" s="195">
        <f t="shared" si="56"/>
        <v>0.74708331443416665</v>
      </c>
      <c r="AB337" s="195">
        <f t="shared" si="57"/>
        <v>0.48977433440339674</v>
      </c>
      <c r="AC337" s="195">
        <f t="shared" si="50"/>
        <v>0.78341781506076225</v>
      </c>
      <c r="AD337">
        <f t="shared" si="51"/>
        <v>54</v>
      </c>
      <c r="AE337" s="195">
        <f t="shared" si="58"/>
        <v>0.11272765506631033</v>
      </c>
      <c r="AF337" s="195">
        <f t="shared" si="59"/>
        <v>1.0810543540645791E-2</v>
      </c>
      <c r="AG337" s="255" t="str">
        <f>IF(ISNUMBER(SEARCH("C",'WetLitterbags placem_collection'!AD264)),"YES","NO")</f>
        <v>NO</v>
      </c>
      <c r="AH337" s="255" t="str">
        <f>IF(ISNUMBER(SEARCH("H", 'WetLitterbags placem_collection'!AF44)),"YES","NO")</f>
        <v>NO</v>
      </c>
      <c r="AI337" s="255" t="str">
        <f>IF(ISNUMBER(SEARCH("R", 'WetLitterbags placem_collection'!XF44)),"YES","NO")</f>
        <v>NO</v>
      </c>
      <c r="AJ337" s="255" t="str">
        <f>IF(ISNUMBER(SEARCH("C", 'WetLitterbags placem_collection'!WE44)),"YES","NO")</f>
        <v>NO</v>
      </c>
      <c r="AK337" s="255" t="str">
        <f>IF(ISNUMBER(SEARCH("H", 'WetLitterbags placem_collection'!AE44)),"YES","NO")</f>
        <v>NO</v>
      </c>
      <c r="AL337" s="255" t="str">
        <f>IF(ISNUMBER(SEARCH("R", 'WetLitterbags placem_collection'!AE44)),"YES","NO")</f>
        <v>NO</v>
      </c>
    </row>
    <row r="338" spans="2:38">
      <c r="B338" t="str">
        <f>'Final data_for_R_analysis_Wetse'!A484</f>
        <v>Wet</v>
      </c>
      <c r="C338" s="263">
        <f>'Final data_for_R_analysis_Wetse'!B484</f>
        <v>43</v>
      </c>
      <c r="D338" t="s">
        <v>3833</v>
      </c>
      <c r="E338" t="s">
        <v>25</v>
      </c>
      <c r="F338" s="386">
        <v>3</v>
      </c>
      <c r="G338" s="16">
        <f>'WetLitterbags placem_collection'!E45</f>
        <v>42766</v>
      </c>
      <c r="H338" s="92" t="str">
        <f>'Final data_for_R_analysis_Wetse'!J484</f>
        <v>G643</v>
      </c>
      <c r="I338" t="str">
        <f>'Final data_for_R_analysis_Wetse'!J704</f>
        <v>R117</v>
      </c>
      <c r="J338">
        <f>IFERROR(INDEX('Green_rooibos initial weight'!$C$5:$C$1749,MATCH(H338, 'Green_rooibos initial weight'!$A$5:$A$1749,0)),"")</f>
        <v>2.0510000000000002</v>
      </c>
      <c r="K338">
        <f>IFERROR(INDEX('Green_rooibos initial weight'!$C$5:$C$1749,MATCH(I338, 'Green_rooibos initial weight'!$A$5:$A$1749,0)),"")</f>
        <v>2.2029999999999998</v>
      </c>
      <c r="L338" s="195">
        <f t="shared" si="52"/>
        <v>1.8012000000000001</v>
      </c>
      <c r="M338" s="195">
        <f>AVERAGE(Ashed_controlls!$K$2:$K$11)</f>
        <v>5.5147656768714146</v>
      </c>
      <c r="N338" s="195">
        <f t="shared" si="48"/>
        <v>1.7018680406281923</v>
      </c>
      <c r="O338" s="195">
        <f t="shared" si="53"/>
        <v>1.9531999999999998</v>
      </c>
      <c r="P338" s="195">
        <f>AVERAGE(Ashed_controlls!$K$12:$K$14)</f>
        <v>2.2816647271287041</v>
      </c>
      <c r="Q338" s="195">
        <f t="shared" si="54"/>
        <v>1.908634524549722</v>
      </c>
      <c r="R338" s="16">
        <f>IF('WetLitterbags placem_collection'!G45="N.A","",'WetLitterbags placem_collection'!G45)</f>
        <v>42820</v>
      </c>
      <c r="S338" s="195">
        <f>IF(IFERROR(INDEX('Both teabags AfterWet'!$C$3:$C$841,MATCH(H338,'Both teabags AfterWet'!$A$3:$A$841,0)),"")="N.A","",(IFERROR(INDEX('Both teabags AfterWet'!$C$3:$C$841,MATCH(H338,'Both teabags AfterWet'!$A$3:$A$841,0)),"")))</f>
        <v>0.74509999999999998</v>
      </c>
      <c r="T338" s="195">
        <f>IFERROR(INDEX('Both teabags AfterWet'!$C$3:$C$841,MATCH(I338,'Both teabags AfterWet'!$A$3:$A$841,0)),"")</f>
        <v>1.6155999999999999</v>
      </c>
      <c r="U338" s="195">
        <f t="shared" si="55"/>
        <v>0.59450000000000003</v>
      </c>
      <c r="V338" s="195">
        <f t="shared" si="55"/>
        <v>1.4649999999999999</v>
      </c>
      <c r="W338" s="195">
        <f>IFERROR(INDEX('Ashed teabags wet'!$K$2:$K$821,MATCH(H338,'Ashed teabags wet'!$A$2:$A$821,0)),"")</f>
        <v>7.6658476658481174</v>
      </c>
      <c r="X338" s="195">
        <f>IFERROR(INDEX('Ashed teabags wet'!$K$2:$K$821,MATCH(I338,'Ashed teabags wet'!$A$2:$A$821,0)),"")</f>
        <v>1.8435475834578603</v>
      </c>
      <c r="Y338" s="195">
        <f t="shared" si="49"/>
        <v>0.54892653562653293</v>
      </c>
      <c r="Z338" s="195">
        <f t="shared" si="49"/>
        <v>1.4379920279023422</v>
      </c>
      <c r="AA338" s="195">
        <f t="shared" si="56"/>
        <v>0.67745646400180737</v>
      </c>
      <c r="AB338" s="195">
        <f t="shared" si="57"/>
        <v>0.4441282281817075</v>
      </c>
      <c r="AC338" s="195">
        <f t="shared" si="50"/>
        <v>0.75341402945730951</v>
      </c>
      <c r="AD338">
        <f t="shared" si="51"/>
        <v>54</v>
      </c>
      <c r="AE338" s="195">
        <f t="shared" si="58"/>
        <v>0.19541987648241399</v>
      </c>
      <c r="AF338" s="195">
        <f t="shared" si="59"/>
        <v>1.5002977754895005E-2</v>
      </c>
      <c r="AG338" s="255" t="str">
        <f>IF(ISNUMBER(SEARCH("C",'WetLitterbags placem_collection'!AD265)),"YES","NO")</f>
        <v>NO</v>
      </c>
      <c r="AH338" s="255" t="str">
        <f>IF(ISNUMBER(SEARCH("H", 'WetLitterbags placem_collection'!AF45)),"YES","NO")</f>
        <v>NO</v>
      </c>
      <c r="AI338" s="255" t="str">
        <f>IF(ISNUMBER(SEARCH("R", 'WetLitterbags placem_collection'!XF45)),"YES","NO")</f>
        <v>NO</v>
      </c>
      <c r="AJ338" s="255" t="str">
        <f>IF(ISNUMBER(SEARCH("C", 'WetLitterbags placem_collection'!WE45)),"YES","NO")</f>
        <v>NO</v>
      </c>
      <c r="AK338" s="255" t="str">
        <f>IF(ISNUMBER(SEARCH("H", 'WetLitterbags placem_collection'!AE45)),"YES","NO")</f>
        <v>NO</v>
      </c>
      <c r="AL338" s="255" t="str">
        <f>IF(ISNUMBER(SEARCH("R", 'WetLitterbags placem_collection'!AE45)),"YES","NO")</f>
        <v>NO</v>
      </c>
    </row>
    <row r="339" spans="2:38">
      <c r="B339" t="str">
        <f>'Final data_for_R_analysis_Wetse'!A485</f>
        <v>Wet</v>
      </c>
      <c r="C339" s="263">
        <f>'Final data_for_R_analysis_Wetse'!B485</f>
        <v>44</v>
      </c>
      <c r="D339" t="s">
        <v>3833</v>
      </c>
      <c r="E339" t="s">
        <v>25</v>
      </c>
      <c r="F339" s="387">
        <v>4</v>
      </c>
      <c r="G339" s="16">
        <f>'WetLitterbags placem_collection'!E46</f>
        <v>42766</v>
      </c>
      <c r="H339" s="92" t="str">
        <f>'Final data_for_R_analysis_Wetse'!J485</f>
        <v>G283</v>
      </c>
      <c r="I339" t="str">
        <f>'Final data_for_R_analysis_Wetse'!J705</f>
        <v>R6</v>
      </c>
      <c r="J339">
        <f>IFERROR(INDEX('Green_rooibos initial weight'!$C$5:$C$1749,MATCH(H339, 'Green_rooibos initial weight'!$A$5:$A$1749,0)),"")</f>
        <v>1.8660000000000001</v>
      </c>
      <c r="K339">
        <f>IFERROR(INDEX('Green_rooibos initial weight'!$C$5:$C$1749,MATCH(I339, 'Green_rooibos initial weight'!$A$5:$A$1749,0)),"")</f>
        <v>2.226</v>
      </c>
      <c r="L339" s="195">
        <f t="shared" si="52"/>
        <v>1.6162000000000001</v>
      </c>
      <c r="M339" s="195">
        <f>AVERAGE(Ashed_controlls!$K$2:$K$11)</f>
        <v>5.5147656768714146</v>
      </c>
      <c r="N339" s="195">
        <f t="shared" si="48"/>
        <v>1.5270703571304043</v>
      </c>
      <c r="O339" s="195">
        <f t="shared" si="53"/>
        <v>1.9762</v>
      </c>
      <c r="P339" s="195">
        <f>AVERAGE(Ashed_controlls!$K$12:$K$14)</f>
        <v>2.2816647271287041</v>
      </c>
      <c r="Q339" s="195">
        <f t="shared" si="54"/>
        <v>1.9311097416624825</v>
      </c>
      <c r="R339" s="16">
        <f>IF('WetLitterbags placem_collection'!G46="N.A","",'WetLitterbags placem_collection'!G46)</f>
        <v>42820</v>
      </c>
      <c r="S339" s="195">
        <f>IF(IFERROR(INDEX('Both teabags AfterWet'!$C$3:$C$841,MATCH(H339,'Both teabags AfterWet'!$A$3:$A$841,0)),"")="N.A","",(IFERROR(INDEX('Both teabags AfterWet'!$C$3:$C$841,MATCH(H339,'Both teabags AfterWet'!$A$3:$A$841,0)),"")))</f>
        <v>0.80830000000000002</v>
      </c>
      <c r="T339" s="195">
        <f>IFERROR(INDEX('Both teabags AfterWet'!$C$3:$C$841,MATCH(I339,'Both teabags AfterWet'!$A$3:$A$841,0)),"")</f>
        <v>1.5294000000000001</v>
      </c>
      <c r="U339" s="195">
        <f t="shared" si="55"/>
        <v>0.65769999999999995</v>
      </c>
      <c r="V339" s="195">
        <f t="shared" si="55"/>
        <v>1.3788</v>
      </c>
      <c r="W339" s="195">
        <f>IFERROR(INDEX('Ashed teabags wet'!$K$2:$K$821,MATCH(H339,'Ashed teabags wet'!$A$2:$A$821,0)),"")</f>
        <v>10.544217687075299</v>
      </c>
      <c r="X339" s="195">
        <f>IFERROR(INDEX('Ashed teabags wet'!$K$2:$K$821,MATCH(I339,'Ashed teabags wet'!$A$2:$A$821,0)),"")</f>
        <v>3.8782523318604794</v>
      </c>
      <c r="Y339" s="195">
        <f t="shared" si="49"/>
        <v>0.58835068027210569</v>
      </c>
      <c r="Z339" s="195">
        <f t="shared" si="49"/>
        <v>1.3253266568483077</v>
      </c>
      <c r="AA339" s="195">
        <f t="shared" si="56"/>
        <v>0.61471933658793199</v>
      </c>
      <c r="AB339" s="195">
        <f t="shared" si="57"/>
        <v>0.40299889999588895</v>
      </c>
      <c r="AC339" s="195">
        <f t="shared" si="50"/>
        <v>0.68630312832834695</v>
      </c>
      <c r="AD339">
        <f t="shared" si="51"/>
        <v>54</v>
      </c>
      <c r="AE339" s="195">
        <f t="shared" si="58"/>
        <v>0.26992952899295486</v>
      </c>
      <c r="AF339" s="195">
        <f t="shared" si="59"/>
        <v>2.7905733910786133E-2</v>
      </c>
      <c r="AG339" s="255" t="str">
        <f>IF(ISNUMBER(SEARCH("C",'WetLitterbags placem_collection'!AD266)),"YES","NO")</f>
        <v>NO</v>
      </c>
      <c r="AH339" s="255" t="str">
        <f>IF(ISNUMBER(SEARCH("H", 'WetLitterbags placem_collection'!AF46)),"YES","NO")</f>
        <v>NO</v>
      </c>
      <c r="AI339" s="255" t="str">
        <f>IF(ISNUMBER(SEARCH("R", 'WetLitterbags placem_collection'!XF46)),"YES","NO")</f>
        <v>NO</v>
      </c>
      <c r="AJ339" s="255" t="str">
        <f>IF(ISNUMBER(SEARCH("C", 'WetLitterbags placem_collection'!WE46)),"YES","NO")</f>
        <v>NO</v>
      </c>
      <c r="AK339" s="255" t="str">
        <f>IF(ISNUMBER(SEARCH("H", 'WetLitterbags placem_collection'!AE46)),"YES","NO")</f>
        <v>NO</v>
      </c>
      <c r="AL339" s="255" t="str">
        <f>IF(ISNUMBER(SEARCH("R", 'WetLitterbags placem_collection'!AE46)),"YES","NO")</f>
        <v>NO</v>
      </c>
    </row>
    <row r="340" spans="2:38">
      <c r="B340" t="str">
        <f>'Final data_for_R_analysis_Wetse'!A486</f>
        <v>Wet</v>
      </c>
      <c r="C340" s="263">
        <f>'Final data_for_R_analysis_Wetse'!B486</f>
        <v>45</v>
      </c>
      <c r="D340" t="s">
        <v>3833</v>
      </c>
      <c r="E340" t="s">
        <v>25</v>
      </c>
      <c r="F340" s="387">
        <v>5</v>
      </c>
      <c r="G340" s="16">
        <f>'WetLitterbags placem_collection'!E47</f>
        <v>42766</v>
      </c>
      <c r="H340" s="92" t="str">
        <f>'Final data_for_R_analysis_Wetse'!J486</f>
        <v>G602</v>
      </c>
      <c r="I340" t="str">
        <f>'Final data_for_R_analysis_Wetse'!J706</f>
        <v>R74</v>
      </c>
      <c r="J340">
        <f>IFERROR(INDEX('Green_rooibos initial weight'!$C$5:$C$1749,MATCH(H340, 'Green_rooibos initial weight'!$A$5:$A$1749,0)),"")</f>
        <v>2.1030000000000002</v>
      </c>
      <c r="K340">
        <f>IFERROR(INDEX('Green_rooibos initial weight'!$C$5:$C$1749,MATCH(I340, 'Green_rooibos initial weight'!$A$5:$A$1749,0)),"")</f>
        <v>2.3340000000000001</v>
      </c>
      <c r="L340" s="195">
        <f t="shared" si="52"/>
        <v>1.8532000000000002</v>
      </c>
      <c r="M340" s="195">
        <f>AVERAGE(Ashed_controlls!$K$2:$K$11)</f>
        <v>5.5147656768714146</v>
      </c>
      <c r="N340" s="195">
        <f t="shared" si="48"/>
        <v>1.7510003624762192</v>
      </c>
      <c r="O340" s="195">
        <f t="shared" si="53"/>
        <v>2.0842000000000001</v>
      </c>
      <c r="P340" s="195">
        <f>AVERAGE(Ashed_controlls!$K$12:$K$14)</f>
        <v>2.2816647271287041</v>
      </c>
      <c r="Q340" s="195">
        <f t="shared" si="54"/>
        <v>2.0366455437571838</v>
      </c>
      <c r="R340" s="16">
        <f>IF('WetLitterbags placem_collection'!G47="N.A","",'WetLitterbags placem_collection'!G47)</f>
        <v>42820</v>
      </c>
      <c r="S340" s="195">
        <f>IF(IFERROR(INDEX('Both teabags AfterWet'!$C$3:$C$841,MATCH(H340,'Both teabags AfterWet'!$A$3:$A$841,0)),"")="N.A","",(IFERROR(INDEX('Both teabags AfterWet'!$C$3:$C$841,MATCH(H340,'Both teabags AfterWet'!$A$3:$A$841,0)),"")))</f>
        <v>0.77400000000000002</v>
      </c>
      <c r="T340" s="195">
        <f>IFERROR(INDEX('Both teabags AfterWet'!$C$3:$C$841,MATCH(I340,'Both teabags AfterWet'!$A$3:$A$841,0)),"")</f>
        <v>1.5923</v>
      </c>
      <c r="U340" s="195">
        <f t="shared" si="55"/>
        <v>0.62339999999999995</v>
      </c>
      <c r="V340" s="195">
        <f t="shared" si="55"/>
        <v>1.4417</v>
      </c>
      <c r="W340" s="195">
        <f>IFERROR(INDEX('Ashed teabags wet'!$K$2:$K$821,MATCH(H340,'Ashed teabags wet'!$A$2:$A$821,0)),"")</f>
        <v>5.9288537549396603</v>
      </c>
      <c r="X340" s="195">
        <f>IFERROR(INDEX('Ashed teabags wet'!$K$2:$K$821,MATCH(I340,'Ashed teabags wet'!$A$2:$A$821,0)),"")</f>
        <v>3.1049778215869339</v>
      </c>
      <c r="Y340" s="195">
        <f t="shared" si="49"/>
        <v>0.5864395256917061</v>
      </c>
      <c r="Z340" s="195">
        <f t="shared" si="49"/>
        <v>1.3969355347461812</v>
      </c>
      <c r="AA340" s="195">
        <f t="shared" si="56"/>
        <v>0.66508315003294538</v>
      </c>
      <c r="AB340" s="195">
        <f t="shared" si="57"/>
        <v>0.43601650690995947</v>
      </c>
      <c r="AC340" s="195">
        <f t="shared" si="50"/>
        <v>0.68590017493624744</v>
      </c>
      <c r="AD340">
        <f t="shared" si="51"/>
        <v>54</v>
      </c>
      <c r="AE340" s="195">
        <f t="shared" si="58"/>
        <v>0.21011502371384161</v>
      </c>
      <c r="AF340" s="195">
        <f t="shared" si="59"/>
        <v>2.3598930125517985E-2</v>
      </c>
      <c r="AG340" s="255" t="str">
        <f>IF(ISNUMBER(SEARCH("C",'WetLitterbags placem_collection'!AD267)),"YES","NO")</f>
        <v>NO</v>
      </c>
      <c r="AH340" s="255" t="str">
        <f>IF(ISNUMBER(SEARCH("H", 'WetLitterbags placem_collection'!AF47)),"YES","NO")</f>
        <v>NO</v>
      </c>
      <c r="AI340" s="255" t="str">
        <f>IF(ISNUMBER(SEARCH("R", 'WetLitterbags placem_collection'!XF47)),"YES","NO")</f>
        <v>NO</v>
      </c>
      <c r="AJ340" s="255" t="str">
        <f>IF(ISNUMBER(SEARCH("C", 'WetLitterbags placem_collection'!WE47)),"YES","NO")</f>
        <v>NO</v>
      </c>
      <c r="AK340" s="255" t="str">
        <f>IF(ISNUMBER(SEARCH("H", 'WetLitterbags placem_collection'!AE47)),"YES","NO")</f>
        <v>NO</v>
      </c>
      <c r="AL340" s="255" t="str">
        <f>IF(ISNUMBER(SEARCH("R", 'WetLitterbags placem_collection'!AE47)),"YES","NO")</f>
        <v>NO</v>
      </c>
    </row>
    <row r="341" spans="2:38">
      <c r="B341" t="str">
        <f>'Final data_for_R_analysis_Wetse'!A487</f>
        <v>Wet</v>
      </c>
      <c r="C341" s="263">
        <f>'Final data_for_R_analysis_Wetse'!B487</f>
        <v>46</v>
      </c>
      <c r="D341" t="s">
        <v>3833</v>
      </c>
      <c r="E341" t="s">
        <v>25</v>
      </c>
      <c r="F341" s="387">
        <v>6</v>
      </c>
      <c r="G341" s="16">
        <f>'WetLitterbags placem_collection'!E48</f>
        <v>42766</v>
      </c>
      <c r="H341" s="92" t="str">
        <f>'Final data_for_R_analysis_Wetse'!J487</f>
        <v>G427</v>
      </c>
      <c r="I341" t="str">
        <f>'Final data_for_R_analysis_Wetse'!J707</f>
        <v>R102</v>
      </c>
      <c r="J341">
        <f>IFERROR(INDEX('Green_rooibos initial weight'!$C$5:$C$1749,MATCH(H341, 'Green_rooibos initial weight'!$A$5:$A$1749,0)),"")</f>
        <v>1.8959999999999999</v>
      </c>
      <c r="K341">
        <f>IFERROR(INDEX('Green_rooibos initial weight'!$C$5:$C$1749,MATCH(I341, 'Green_rooibos initial weight'!$A$5:$A$1749,0)),"")</f>
        <v>2.2469999999999999</v>
      </c>
      <c r="L341" s="195">
        <f t="shared" si="52"/>
        <v>1.6461999999999999</v>
      </c>
      <c r="M341" s="195">
        <f>AVERAGE(Ashed_controlls!$K$2:$K$11)</f>
        <v>5.5147656768714146</v>
      </c>
      <c r="N341" s="195">
        <f t="shared" si="48"/>
        <v>1.5554159274273427</v>
      </c>
      <c r="O341" s="195">
        <f t="shared" si="53"/>
        <v>1.9971999999999999</v>
      </c>
      <c r="P341" s="195">
        <f>AVERAGE(Ashed_controlls!$K$12:$K$14)</f>
        <v>2.2816647271287041</v>
      </c>
      <c r="Q341" s="195">
        <f t="shared" si="54"/>
        <v>1.9516305920697854</v>
      </c>
      <c r="R341" s="16">
        <f>IF('WetLitterbags placem_collection'!G48="N.A","",'WetLitterbags placem_collection'!G48)</f>
        <v>42820</v>
      </c>
      <c r="S341" s="195" t="str">
        <f>IF(IFERROR(INDEX('Both teabags AfterWet'!$C$3:$C$841,MATCH(H341,'Both teabags AfterWet'!$A$3:$A$841,0)),"")="N.A","",(IFERROR(INDEX('Both teabags AfterWet'!$C$3:$C$841,MATCH(H341,'Both teabags AfterWet'!$A$3:$A$841,0)),"")))</f>
        <v/>
      </c>
      <c r="T341" s="195" t="str">
        <f>IFERROR(INDEX('Both teabags AfterWet'!$C$3:$C$841,MATCH(I341,'Both teabags AfterWet'!$A$3:$A$841,0)),"")</f>
        <v/>
      </c>
      <c r="U341" s="195" t="str">
        <f t="shared" si="55"/>
        <v/>
      </c>
      <c r="V341" s="195" t="str">
        <f t="shared" si="55"/>
        <v/>
      </c>
      <c r="W341" s="195" t="str">
        <f>IFERROR(INDEX('Ashed teabags wet'!$K$2:$K$821,MATCH(H341,'Ashed teabags wet'!$A$2:$A$821,0)),"")</f>
        <v/>
      </c>
      <c r="X341" s="195" t="str">
        <f>IFERROR(INDEX('Ashed teabags wet'!$K$2:$K$821,MATCH(I341,'Ashed teabags wet'!$A$2:$A$821,0)),"")</f>
        <v/>
      </c>
      <c r="Y341" s="195" t="str">
        <f t="shared" si="49"/>
        <v/>
      </c>
      <c r="Z341" s="195" t="str">
        <f t="shared" si="49"/>
        <v/>
      </c>
      <c r="AA341" s="195" t="str">
        <f t="shared" si="56"/>
        <v/>
      </c>
      <c r="AB341" s="195" t="str">
        <f t="shared" si="57"/>
        <v/>
      </c>
      <c r="AC341" s="195" t="str">
        <f t="shared" si="50"/>
        <v/>
      </c>
      <c r="AD341">
        <f t="shared" si="51"/>
        <v>54</v>
      </c>
      <c r="AE341" s="195" t="str">
        <f t="shared" si="58"/>
        <v/>
      </c>
      <c r="AF341" s="195" t="str">
        <f t="shared" si="59"/>
        <v/>
      </c>
      <c r="AG341" s="255" t="str">
        <f>IF(ISNUMBER(SEARCH("C",'WetLitterbags placem_collection'!AD268)),"YES","NO")</f>
        <v>NO</v>
      </c>
      <c r="AH341" s="255" t="str">
        <f>IF(ISNUMBER(SEARCH("H", 'WetLitterbags placem_collection'!AF48)),"YES","NO")</f>
        <v>NO</v>
      </c>
      <c r="AI341" s="255" t="str">
        <f>IF(ISNUMBER(SEARCH("R", 'WetLitterbags placem_collection'!XF48)),"YES","NO")</f>
        <v>NO</v>
      </c>
      <c r="AJ341" s="255" t="str">
        <f>IF(ISNUMBER(SEARCH("C", 'WetLitterbags placem_collection'!WE48)),"YES","NO")</f>
        <v>NO</v>
      </c>
      <c r="AK341" s="255" t="str">
        <f>IF(ISNUMBER(SEARCH("H", 'WetLitterbags placem_collection'!AE48)),"YES","NO")</f>
        <v>NO</v>
      </c>
      <c r="AL341" s="255" t="str">
        <f>IF(ISNUMBER(SEARCH("R", 'WetLitterbags placem_collection'!AE48)),"YES","NO")</f>
        <v>NO</v>
      </c>
    </row>
    <row r="342" spans="2:38">
      <c r="B342" t="str">
        <f>'Final data_for_R_analysis_Wetse'!A488</f>
        <v>Wet</v>
      </c>
      <c r="C342" s="263">
        <f>'Final data_for_R_analysis_Wetse'!B488</f>
        <v>47</v>
      </c>
      <c r="D342" t="s">
        <v>3833</v>
      </c>
      <c r="E342" t="s">
        <v>25</v>
      </c>
      <c r="F342" s="387">
        <v>7</v>
      </c>
      <c r="G342" s="16">
        <f>'WetLitterbags placem_collection'!E49</f>
        <v>42766</v>
      </c>
      <c r="H342" s="92" t="str">
        <f>'Final data_for_R_analysis_Wetse'!J488</f>
        <v>G512</v>
      </c>
      <c r="I342" t="str">
        <f>'Final data_for_R_analysis_Wetse'!J708</f>
        <v>R76</v>
      </c>
      <c r="J342">
        <f>IFERROR(INDEX('Green_rooibos initial weight'!$C$5:$C$1749,MATCH(H342, 'Green_rooibos initial weight'!$A$5:$A$1749,0)),"")</f>
        <v>2.0939999999999999</v>
      </c>
      <c r="K342">
        <f>IFERROR(INDEX('Green_rooibos initial weight'!$C$5:$C$1749,MATCH(I342, 'Green_rooibos initial weight'!$A$5:$A$1749,0)),"")</f>
        <v>2.2970000000000002</v>
      </c>
      <c r="L342" s="195">
        <f t="shared" si="52"/>
        <v>1.8441999999999998</v>
      </c>
      <c r="M342" s="195">
        <f>AVERAGE(Ashed_controlls!$K$2:$K$11)</f>
        <v>5.5147656768714146</v>
      </c>
      <c r="N342" s="195">
        <f t="shared" si="48"/>
        <v>1.7424966913871371</v>
      </c>
      <c r="O342" s="195">
        <f t="shared" si="53"/>
        <v>2.0472000000000001</v>
      </c>
      <c r="P342" s="195">
        <f>AVERAGE(Ashed_controlls!$K$12:$K$14)</f>
        <v>2.2816647271287041</v>
      </c>
      <c r="Q342" s="195">
        <f t="shared" si="54"/>
        <v>2.0004897597062214</v>
      </c>
      <c r="R342" s="16">
        <f>IF('WetLitterbags placem_collection'!G49="N.A","",'WetLitterbags placem_collection'!G49)</f>
        <v>42820</v>
      </c>
      <c r="S342" s="195">
        <f>IF(IFERROR(INDEX('Both teabags AfterWet'!$C$3:$C$841,MATCH(H342,'Both teabags AfterWet'!$A$3:$A$841,0)),"")="N.A","",(IFERROR(INDEX('Both teabags AfterWet'!$C$3:$C$841,MATCH(H342,'Both teabags AfterWet'!$A$3:$A$841,0)),"")))</f>
        <v>0.77500000000000002</v>
      </c>
      <c r="T342" s="195">
        <f>IFERROR(INDEX('Both teabags AfterWet'!$C$3:$C$841,MATCH(I342,'Both teabags AfterWet'!$A$3:$A$841,0)),"")</f>
        <v>1.665</v>
      </c>
      <c r="U342" s="195">
        <f t="shared" si="55"/>
        <v>0.62440000000000007</v>
      </c>
      <c r="V342" s="195">
        <f t="shared" si="55"/>
        <v>1.5144</v>
      </c>
      <c r="W342" s="195">
        <f>IFERROR(INDEX('Ashed teabags wet'!$K$2:$K$821,MATCH(H342,'Ashed teabags wet'!$A$2:$A$821,0)),"")</f>
        <v>8.2123184777170053</v>
      </c>
      <c r="X342" s="195">
        <f>IFERROR(INDEX('Ashed teabags wet'!$K$2:$K$821,MATCH(I342,'Ashed teabags wet'!$A$2:$A$821,0)),"")</f>
        <v>3.0587074494324868</v>
      </c>
      <c r="Y342" s="195">
        <f t="shared" si="49"/>
        <v>0.57312228342513505</v>
      </c>
      <c r="Z342" s="195">
        <f t="shared" si="49"/>
        <v>1.4680789343857943</v>
      </c>
      <c r="AA342" s="195">
        <f t="shared" si="56"/>
        <v>0.67109132186133813</v>
      </c>
      <c r="AB342" s="195">
        <f t="shared" si="57"/>
        <v>0.43995535589959467</v>
      </c>
      <c r="AC342" s="195">
        <f t="shared" si="50"/>
        <v>0.73385975972273232</v>
      </c>
      <c r="AD342">
        <f t="shared" si="51"/>
        <v>54</v>
      </c>
      <c r="AE342" s="195">
        <f t="shared" si="58"/>
        <v>0.20297942771812572</v>
      </c>
      <c r="AF342" s="195">
        <f t="shared" si="59"/>
        <v>1.719779773130883E-2</v>
      </c>
      <c r="AG342" s="255" t="str">
        <f>IF(ISNUMBER(SEARCH("C",'WetLitterbags placem_collection'!AD269)),"YES","NO")</f>
        <v>NO</v>
      </c>
      <c r="AH342" s="255" t="str">
        <f>IF(ISNUMBER(SEARCH("H", 'WetLitterbags placem_collection'!AF49)),"YES","NO")</f>
        <v>NO</v>
      </c>
      <c r="AI342" s="255" t="str">
        <f>IF(ISNUMBER(SEARCH("R", 'WetLitterbags placem_collection'!XF49)),"YES","NO")</f>
        <v>NO</v>
      </c>
      <c r="AJ342" s="255" t="str">
        <f>IF(ISNUMBER(SEARCH("C", 'WetLitterbags placem_collection'!WE49)),"YES","NO")</f>
        <v>NO</v>
      </c>
      <c r="AK342" s="255" t="str">
        <f>IF(ISNUMBER(SEARCH("H", 'WetLitterbags placem_collection'!AE49)),"YES","NO")</f>
        <v>NO</v>
      </c>
      <c r="AL342" s="255" t="str">
        <f>IF(ISNUMBER(SEARCH("R", 'WetLitterbags placem_collection'!AE49)),"YES","NO")</f>
        <v>NO</v>
      </c>
    </row>
    <row r="343" spans="2:38">
      <c r="B343" t="str">
        <f>'Final data_for_R_analysis_Wetse'!A489</f>
        <v>Wet</v>
      </c>
      <c r="C343" s="263">
        <f>'Final data_for_R_analysis_Wetse'!B489</f>
        <v>48</v>
      </c>
      <c r="D343" t="s">
        <v>3833</v>
      </c>
      <c r="E343" t="s">
        <v>25</v>
      </c>
      <c r="F343" s="387">
        <v>8</v>
      </c>
      <c r="G343" s="16">
        <f>'WetLitterbags placem_collection'!E50</f>
        <v>42766</v>
      </c>
      <c r="H343" s="92" t="str">
        <f>'Final data_for_R_analysis_Wetse'!J489</f>
        <v>G299</v>
      </c>
      <c r="I343" t="str">
        <f>'Final data_for_R_analysis_Wetse'!J709</f>
        <v>R107</v>
      </c>
      <c r="J343">
        <f>IFERROR(INDEX('Green_rooibos initial weight'!$C$5:$C$1749,MATCH(H343, 'Green_rooibos initial weight'!$A$5:$A$1749,0)),"")</f>
        <v>2.0110000000000001</v>
      </c>
      <c r="K343">
        <f>IFERROR(INDEX('Green_rooibos initial weight'!$C$5:$C$1749,MATCH(I343, 'Green_rooibos initial weight'!$A$5:$A$1749,0)),"")</f>
        <v>2.19</v>
      </c>
      <c r="L343" s="195">
        <f t="shared" si="52"/>
        <v>1.7612000000000001</v>
      </c>
      <c r="M343" s="195">
        <f>AVERAGE(Ashed_controlls!$K$2:$K$11)</f>
        <v>5.5147656768714146</v>
      </c>
      <c r="N343" s="195">
        <f t="shared" si="48"/>
        <v>1.6640739468989407</v>
      </c>
      <c r="O343" s="195">
        <f t="shared" si="53"/>
        <v>1.9401999999999999</v>
      </c>
      <c r="P343" s="195">
        <f>AVERAGE(Ashed_controlls!$K$12:$K$14)</f>
        <v>2.2816647271287041</v>
      </c>
      <c r="Q343" s="195">
        <f t="shared" si="54"/>
        <v>1.8959311409642488</v>
      </c>
      <c r="R343" s="16">
        <f>IF('WetLitterbags placem_collection'!G50="N.A","",'WetLitterbags placem_collection'!G50)</f>
        <v>42820</v>
      </c>
      <c r="S343" s="195">
        <f>IF(IFERROR(INDEX('Both teabags AfterWet'!$C$3:$C$841,MATCH(H343,'Both teabags AfterWet'!$A$3:$A$841,0)),"")="N.A","",(IFERROR(INDEX('Both teabags AfterWet'!$C$3:$C$841,MATCH(H343,'Both teabags AfterWet'!$A$3:$A$841,0)),"")))</f>
        <v>0.88100000000000001</v>
      </c>
      <c r="T343" s="195">
        <f>IFERROR(INDEX('Both teabags AfterWet'!$C$3:$C$841,MATCH(I343,'Both teabags AfterWet'!$A$3:$A$841,0)),"")</f>
        <v>1.5349999999999999</v>
      </c>
      <c r="U343" s="195">
        <f t="shared" si="55"/>
        <v>0.73039999999999994</v>
      </c>
      <c r="V343" s="195">
        <f t="shared" si="55"/>
        <v>1.3843999999999999</v>
      </c>
      <c r="W343" s="195">
        <f>IFERROR(INDEX('Ashed teabags wet'!$K$2:$K$821,MATCH(H343,'Ashed teabags wet'!$A$2:$A$821,0)),"")</f>
        <v>7.4656188605105287</v>
      </c>
      <c r="X343" s="195">
        <f>IFERROR(INDEX('Ashed teabags wet'!$K$2:$K$821,MATCH(I343,'Ashed teabags wet'!$A$2:$A$821,0)),"")</f>
        <v>3.4431137724549741</v>
      </c>
      <c r="Y343" s="195">
        <f t="shared" si="49"/>
        <v>0.67587111984283099</v>
      </c>
      <c r="Z343" s="195">
        <f t="shared" si="49"/>
        <v>1.3367335329341332</v>
      </c>
      <c r="AA343" s="195">
        <f t="shared" si="56"/>
        <v>0.59384550121565205</v>
      </c>
      <c r="AB343" s="195">
        <f t="shared" si="57"/>
        <v>0.38931439034565318</v>
      </c>
      <c r="AC343" s="195">
        <f t="shared" si="50"/>
        <v>0.70505384085536249</v>
      </c>
      <c r="AD343">
        <f t="shared" si="51"/>
        <v>54</v>
      </c>
      <c r="AE343" s="195">
        <f t="shared" si="58"/>
        <v>0.29472030734483123</v>
      </c>
      <c r="AF343" s="195">
        <f t="shared" si="59"/>
        <v>2.6244124740344269E-2</v>
      </c>
      <c r="AG343" s="255" t="str">
        <f>IF(ISNUMBER(SEARCH("C",'WetLitterbags placem_collection'!AD270)),"YES","NO")</f>
        <v>NO</v>
      </c>
      <c r="AH343" s="255" t="str">
        <f>IF(ISNUMBER(SEARCH("H", 'WetLitterbags placem_collection'!AF50)),"YES","NO")</f>
        <v>NO</v>
      </c>
      <c r="AI343" s="255" t="str">
        <f>IF(ISNUMBER(SEARCH("R", 'WetLitterbags placem_collection'!XF50)),"YES","NO")</f>
        <v>NO</v>
      </c>
      <c r="AJ343" s="255" t="str">
        <f>IF(ISNUMBER(SEARCH("C", 'WetLitterbags placem_collection'!WE50)),"YES","NO")</f>
        <v>NO</v>
      </c>
      <c r="AK343" s="255" t="str">
        <f>IF(ISNUMBER(SEARCH("H", 'WetLitterbags placem_collection'!AE50)),"YES","NO")</f>
        <v>NO</v>
      </c>
      <c r="AL343" s="255" t="str">
        <f>IF(ISNUMBER(SEARCH("R", 'WetLitterbags placem_collection'!AE50)),"YES","NO")</f>
        <v>NO</v>
      </c>
    </row>
    <row r="344" spans="2:38">
      <c r="B344" t="str">
        <f>'Final data_for_R_analysis_Wetse'!A490</f>
        <v>Wet</v>
      </c>
      <c r="C344" s="263">
        <f>'Final data_for_R_analysis_Wetse'!B490</f>
        <v>49</v>
      </c>
      <c r="D344" t="s">
        <v>3834</v>
      </c>
      <c r="E344" t="s">
        <v>25</v>
      </c>
      <c r="F344" s="386">
        <v>1</v>
      </c>
      <c r="G344" s="16">
        <f>'WetLitterbags placem_collection'!E51</f>
        <v>42766</v>
      </c>
      <c r="H344" s="92" t="str">
        <f>'Final data_for_R_analysis_Wetse'!J490</f>
        <v>G739</v>
      </c>
      <c r="I344" t="str">
        <f>'Final data_for_R_analysis_Wetse'!J710</f>
        <v>R155</v>
      </c>
      <c r="J344">
        <f>IFERROR(INDEX('Green_rooibos initial weight'!$C$5:$C$1749,MATCH(H344, 'Green_rooibos initial weight'!$A$5:$A$1749,0)),"")</f>
        <v>2.0499999999999998</v>
      </c>
      <c r="K344">
        <f>IFERROR(INDEX('Green_rooibos initial weight'!$C$5:$C$1749,MATCH(I344, 'Green_rooibos initial weight'!$A$5:$A$1749,0)),"")</f>
        <v>2.206</v>
      </c>
      <c r="L344" s="195">
        <f t="shared" si="52"/>
        <v>1.8001999999999998</v>
      </c>
      <c r="M344" s="195">
        <f>AVERAGE(Ashed_controlls!$K$2:$K$11)</f>
        <v>5.5147656768714146</v>
      </c>
      <c r="N344" s="195">
        <f t="shared" si="48"/>
        <v>1.7009231882849607</v>
      </c>
      <c r="O344" s="195">
        <f t="shared" si="53"/>
        <v>1.9561999999999999</v>
      </c>
      <c r="P344" s="195">
        <f>AVERAGE(Ashed_controlls!$K$12:$K$14)</f>
        <v>2.2816647271287041</v>
      </c>
      <c r="Q344" s="195">
        <f t="shared" si="54"/>
        <v>1.9115660746079082</v>
      </c>
      <c r="R344" s="16">
        <f>IF('WetLitterbags placem_collection'!G51="N.A","",'WetLitterbags placem_collection'!G51)</f>
        <v>42820</v>
      </c>
      <c r="S344" s="195">
        <f>IF(IFERROR(INDEX('Both teabags AfterWet'!$C$3:$C$841,MATCH(H344,'Both teabags AfterWet'!$A$3:$A$841,0)),"")="N.A","",(IFERROR(INDEX('Both teabags AfterWet'!$C$3:$C$841,MATCH(H344,'Both teabags AfterWet'!$A$3:$A$841,0)),"")))</f>
        <v>0.87490000000000001</v>
      </c>
      <c r="T344" s="195">
        <f>IFERROR(INDEX('Both teabags AfterWet'!$C$3:$C$841,MATCH(I344,'Both teabags AfterWet'!$A$3:$A$841,0)),"")</f>
        <v>1.5909</v>
      </c>
      <c r="U344" s="195">
        <f t="shared" si="55"/>
        <v>0.72429999999999994</v>
      </c>
      <c r="V344" s="195">
        <f t="shared" si="55"/>
        <v>1.4402999999999999</v>
      </c>
      <c r="W344" s="195">
        <f>IFERROR(INDEX('Ashed teabags wet'!$K$2:$K$821,MATCH(H344,'Ashed teabags wet'!$A$2:$A$821,0)),"")</f>
        <v>16.486751717369803</v>
      </c>
      <c r="X344" s="195">
        <f>IFERROR(INDEX('Ashed teabags wet'!$K$2:$K$821,MATCH(I344,'Ashed teabags wet'!$A$2:$A$821,0)),"")</f>
        <v>10.705352676338336</v>
      </c>
      <c r="Y344" s="195">
        <f t="shared" si="49"/>
        <v>0.60488645731109048</v>
      </c>
      <c r="Z344" s="195">
        <f t="shared" si="49"/>
        <v>1.2861108054026988</v>
      </c>
      <c r="AA344" s="195">
        <f t="shared" si="56"/>
        <v>0.64437755832995791</v>
      </c>
      <c r="AB344" s="195">
        <f t="shared" si="57"/>
        <v>0.42244229477213396</v>
      </c>
      <c r="AC344" s="195">
        <f t="shared" si="50"/>
        <v>0.6728047868638285</v>
      </c>
      <c r="AD344">
        <f t="shared" si="51"/>
        <v>54</v>
      </c>
      <c r="AE344" s="195">
        <f t="shared" si="58"/>
        <v>0.23470598773164142</v>
      </c>
      <c r="AF344" s="195">
        <f t="shared" si="59"/>
        <v>2.7584786713025583E-2</v>
      </c>
      <c r="AG344" s="255" t="str">
        <f>IF(ISNUMBER(SEARCH("C",'WetLitterbags placem_collection'!AD271)),"YES","NO")</f>
        <v>NO</v>
      </c>
      <c r="AH344" s="255" t="str">
        <f>IF(ISNUMBER(SEARCH("H", 'WetLitterbags placem_collection'!AF51)),"YES","NO")</f>
        <v>NO</v>
      </c>
      <c r="AI344" s="255" t="str">
        <f>IF(ISNUMBER(SEARCH("R", 'WetLitterbags placem_collection'!XF51)),"YES","NO")</f>
        <v>NO</v>
      </c>
      <c r="AJ344" s="255" t="str">
        <f>IF(ISNUMBER(SEARCH("C", 'WetLitterbags placem_collection'!WE51)),"YES","NO")</f>
        <v>NO</v>
      </c>
      <c r="AK344" s="255" t="str">
        <f>IF(ISNUMBER(SEARCH("H", 'WetLitterbags placem_collection'!AE51)),"YES","NO")</f>
        <v>NO</v>
      </c>
      <c r="AL344" s="255" t="str">
        <f>IF(ISNUMBER(SEARCH("R", 'WetLitterbags placem_collection'!AE51)),"YES","NO")</f>
        <v>NO</v>
      </c>
    </row>
    <row r="345" spans="2:38">
      <c r="B345" t="str">
        <f>'Final data_for_R_analysis_Wetse'!A491</f>
        <v>Wet</v>
      </c>
      <c r="C345" s="263">
        <f>'Final data_for_R_analysis_Wetse'!B491</f>
        <v>50</v>
      </c>
      <c r="D345" t="s">
        <v>3834</v>
      </c>
      <c r="E345" t="s">
        <v>25</v>
      </c>
      <c r="F345" s="386">
        <v>2</v>
      </c>
      <c r="G345" s="16">
        <f>'WetLitterbags placem_collection'!E52</f>
        <v>42766</v>
      </c>
      <c r="H345" s="92" t="str">
        <f>'Final data_for_R_analysis_Wetse'!J491</f>
        <v>G559</v>
      </c>
      <c r="I345" t="str">
        <f>'Final data_for_R_analysis_Wetse'!J711</f>
        <v>R98</v>
      </c>
      <c r="J345">
        <f>IFERROR(INDEX('Green_rooibos initial weight'!$C$5:$C$1749,MATCH(H345, 'Green_rooibos initial weight'!$A$5:$A$1749,0)),"")</f>
        <v>2.085</v>
      </c>
      <c r="K345">
        <f>IFERROR(INDEX('Green_rooibos initial weight'!$C$5:$C$1749,MATCH(I345, 'Green_rooibos initial weight'!$A$5:$A$1749,0)),"")</f>
        <v>2.1960000000000002</v>
      </c>
      <c r="L345" s="195">
        <f t="shared" si="52"/>
        <v>1.8351999999999999</v>
      </c>
      <c r="M345" s="195">
        <f>AVERAGE(Ashed_controlls!$K$2:$K$11)</f>
        <v>5.5147656768714146</v>
      </c>
      <c r="N345" s="195">
        <f t="shared" si="48"/>
        <v>1.7339930202980558</v>
      </c>
      <c r="O345" s="195">
        <f t="shared" si="53"/>
        <v>1.9462000000000002</v>
      </c>
      <c r="P345" s="195">
        <f>AVERAGE(Ashed_controlls!$K$12:$K$14)</f>
        <v>2.2816647271287041</v>
      </c>
      <c r="Q345" s="195">
        <f t="shared" si="54"/>
        <v>1.9017942410806212</v>
      </c>
      <c r="R345" s="16">
        <f>IF('WetLitterbags placem_collection'!G52="N.A","",'WetLitterbags placem_collection'!G52)</f>
        <v>42820</v>
      </c>
      <c r="S345" s="195" t="str">
        <f>IF(IFERROR(INDEX('Both teabags AfterWet'!$C$3:$C$841,MATCH(H345,'Both teabags AfterWet'!$A$3:$A$841,0)),"")="N.A","",(IFERROR(INDEX('Both teabags AfterWet'!$C$3:$C$841,MATCH(H345,'Both teabags AfterWet'!$A$3:$A$841,0)),"")))</f>
        <v/>
      </c>
      <c r="T345" s="195" t="str">
        <f>IFERROR(INDEX('Both teabags AfterWet'!$C$3:$C$841,MATCH(I345,'Both teabags AfterWet'!$A$3:$A$841,0)),"")</f>
        <v/>
      </c>
      <c r="U345" s="195" t="str">
        <f t="shared" si="55"/>
        <v/>
      </c>
      <c r="V345" s="195" t="str">
        <f t="shared" si="55"/>
        <v/>
      </c>
      <c r="W345" s="195" t="str">
        <f>IFERROR(INDEX('Ashed teabags wet'!$K$2:$K$821,MATCH(H345,'Ashed teabags wet'!$A$2:$A$821,0)),"")</f>
        <v/>
      </c>
      <c r="X345" s="195" t="str">
        <f>IFERROR(INDEX('Ashed teabags wet'!$K$2:$K$821,MATCH(I345,'Ashed teabags wet'!$A$2:$A$821,0)),"")</f>
        <v/>
      </c>
      <c r="Y345" s="195" t="str">
        <f t="shared" si="49"/>
        <v/>
      </c>
      <c r="Z345" s="195" t="str">
        <f t="shared" si="49"/>
        <v/>
      </c>
      <c r="AA345" s="195" t="str">
        <f t="shared" si="56"/>
        <v/>
      </c>
      <c r="AB345" s="195" t="str">
        <f t="shared" si="57"/>
        <v/>
      </c>
      <c r="AC345" s="195" t="str">
        <f t="shared" si="50"/>
        <v/>
      </c>
      <c r="AD345">
        <f t="shared" si="51"/>
        <v>54</v>
      </c>
      <c r="AE345" s="195" t="str">
        <f t="shared" si="58"/>
        <v/>
      </c>
      <c r="AF345" s="195" t="str">
        <f t="shared" si="59"/>
        <v/>
      </c>
      <c r="AG345" s="255" t="str">
        <f>IF(ISNUMBER(SEARCH("C",'WetLitterbags placem_collection'!AD272)),"YES","NO")</f>
        <v>NO</v>
      </c>
      <c r="AH345" s="255" t="str">
        <f>IF(ISNUMBER(SEARCH("H", 'WetLitterbags placem_collection'!AF52)),"YES","NO")</f>
        <v>NO</v>
      </c>
      <c r="AI345" s="255" t="str">
        <f>IF(ISNUMBER(SEARCH("R", 'WetLitterbags placem_collection'!XF52)),"YES","NO")</f>
        <v>NO</v>
      </c>
      <c r="AJ345" s="255" t="str">
        <f>IF(ISNUMBER(SEARCH("C", 'WetLitterbags placem_collection'!WE52)),"YES","NO")</f>
        <v>NO</v>
      </c>
      <c r="AK345" s="255" t="str">
        <f>IF(ISNUMBER(SEARCH("H", 'WetLitterbags placem_collection'!AE52)),"YES","NO")</f>
        <v>NO</v>
      </c>
      <c r="AL345" s="255" t="str">
        <f>IF(ISNUMBER(SEARCH("R", 'WetLitterbags placem_collection'!AE52)),"YES","NO")</f>
        <v>NO</v>
      </c>
    </row>
    <row r="346" spans="2:38">
      <c r="B346" t="str">
        <f>'Final data_for_R_analysis_Wetse'!A492</f>
        <v>Wet</v>
      </c>
      <c r="C346" s="263">
        <f>'Final data_for_R_analysis_Wetse'!B492</f>
        <v>51</v>
      </c>
      <c r="D346" t="s">
        <v>3834</v>
      </c>
      <c r="E346" t="s">
        <v>25</v>
      </c>
      <c r="F346" s="386">
        <v>3</v>
      </c>
      <c r="G346" s="16">
        <f>'WetLitterbags placem_collection'!E53</f>
        <v>42766</v>
      </c>
      <c r="H346" s="92" t="str">
        <f>'Final data_for_R_analysis_Wetse'!J492</f>
        <v>G856</v>
      </c>
      <c r="I346" t="str">
        <f>'Final data_for_R_analysis_Wetse'!J712</f>
        <v>R29</v>
      </c>
      <c r="J346">
        <f>IFERROR(INDEX('Green_rooibos initial weight'!$C$5:$C$1749,MATCH(H346, 'Green_rooibos initial weight'!$A$5:$A$1749,0)),"")</f>
        <v>1.9370000000000001</v>
      </c>
      <c r="K346">
        <f>IFERROR(INDEX('Green_rooibos initial weight'!$C$5:$C$1749,MATCH(I346, 'Green_rooibos initial weight'!$A$5:$A$1749,0)),"")</f>
        <v>2.2400000000000002</v>
      </c>
      <c r="L346" s="195">
        <f t="shared" si="52"/>
        <v>1.6872</v>
      </c>
      <c r="M346" s="195">
        <f>AVERAGE(Ashed_controlls!$K$2:$K$11)</f>
        <v>5.5147656768714146</v>
      </c>
      <c r="N346" s="195">
        <f t="shared" si="48"/>
        <v>1.5941548734998254</v>
      </c>
      <c r="O346" s="195">
        <f t="shared" si="53"/>
        <v>1.9902000000000002</v>
      </c>
      <c r="P346" s="195">
        <f>AVERAGE(Ashed_controlls!$K$12:$K$14)</f>
        <v>2.2816647271287041</v>
      </c>
      <c r="Q346" s="195">
        <f t="shared" si="54"/>
        <v>1.9447903086006848</v>
      </c>
      <c r="R346" s="16">
        <f>IF('WetLitterbags placem_collection'!G53="N.A","",'WetLitterbags placem_collection'!G53)</f>
        <v>42820</v>
      </c>
      <c r="S346" s="195">
        <f>IF(IFERROR(INDEX('Both teabags AfterWet'!$C$3:$C$841,MATCH(H346,'Both teabags AfterWet'!$A$3:$A$841,0)),"")="N.A","",(IFERROR(INDEX('Both teabags AfterWet'!$C$3:$C$841,MATCH(H346,'Both teabags AfterWet'!$A$3:$A$841,0)),"")))</f>
        <v>0.77600000000000002</v>
      </c>
      <c r="T346" s="195">
        <f>IFERROR(INDEX('Both teabags AfterWet'!$C$3:$C$841,MATCH(I346,'Both teabags AfterWet'!$A$3:$A$841,0)),"")</f>
        <v>1.4950000000000001</v>
      </c>
      <c r="U346" s="195">
        <f t="shared" si="55"/>
        <v>0.62539999999999996</v>
      </c>
      <c r="V346" s="195">
        <f t="shared" si="55"/>
        <v>1.3444</v>
      </c>
      <c r="W346" s="195">
        <f>IFERROR(INDEX('Ashed teabags wet'!$K$2:$K$821,MATCH(H346,'Ashed teabags wet'!$A$2:$A$821,0)),"")</f>
        <v>9.5957135898680637</v>
      </c>
      <c r="X346" s="195">
        <f>IFERROR(INDEX('Ashed teabags wet'!$K$2:$K$821,MATCH(I346,'Ashed teabags wet'!$A$2:$A$821,0)),"")</f>
        <v>3.8327526132399545</v>
      </c>
      <c r="Y346" s="195">
        <f t="shared" si="49"/>
        <v>0.5653884072089651</v>
      </c>
      <c r="Z346" s="195">
        <f t="shared" si="49"/>
        <v>1.2928724738676021</v>
      </c>
      <c r="AA346" s="195">
        <f t="shared" si="56"/>
        <v>0.64533658767563462</v>
      </c>
      <c r="AB346" s="195">
        <f t="shared" si="57"/>
        <v>0.42307101709851586</v>
      </c>
      <c r="AC346" s="195">
        <f t="shared" si="50"/>
        <v>0.66478759594284975</v>
      </c>
      <c r="AD346">
        <f t="shared" si="51"/>
        <v>54</v>
      </c>
      <c r="AE346" s="195">
        <f t="shared" si="58"/>
        <v>0.23356699800993508</v>
      </c>
      <c r="AF346" s="195">
        <f t="shared" si="59"/>
        <v>2.9107614845572321E-2</v>
      </c>
      <c r="AG346" s="255" t="str">
        <f>IF(ISNUMBER(SEARCH("C",'WetLitterbags placem_collection'!AD273)),"YES","NO")</f>
        <v>NO</v>
      </c>
      <c r="AH346" s="255" t="str">
        <f>IF(ISNUMBER(SEARCH("H", 'WetLitterbags placem_collection'!AF53)),"YES","NO")</f>
        <v>NO</v>
      </c>
      <c r="AI346" s="255" t="str">
        <f>IF(ISNUMBER(SEARCH("R", 'WetLitterbags placem_collection'!XF53)),"YES","NO")</f>
        <v>NO</v>
      </c>
      <c r="AJ346" s="255" t="str">
        <f>IF(ISNUMBER(SEARCH("C", 'WetLitterbags placem_collection'!WE53)),"YES","NO")</f>
        <v>NO</v>
      </c>
      <c r="AK346" s="255" t="str">
        <f>IF(ISNUMBER(SEARCH("H", 'WetLitterbags placem_collection'!AE53)),"YES","NO")</f>
        <v>NO</v>
      </c>
      <c r="AL346" s="255" t="str">
        <f>IF(ISNUMBER(SEARCH("R", 'WetLitterbags placem_collection'!AE53)),"YES","NO")</f>
        <v>NO</v>
      </c>
    </row>
    <row r="347" spans="2:38">
      <c r="B347" t="str">
        <f>'Final data_for_R_analysis_Wetse'!A493</f>
        <v>Wet</v>
      </c>
      <c r="C347" s="263">
        <f>'Final data_for_R_analysis_Wetse'!B493</f>
        <v>52</v>
      </c>
      <c r="D347" t="s">
        <v>3834</v>
      </c>
      <c r="E347" t="s">
        <v>25</v>
      </c>
      <c r="F347" s="387">
        <v>4</v>
      </c>
      <c r="G347" s="16">
        <f>'WetLitterbags placem_collection'!E54</f>
        <v>42766</v>
      </c>
      <c r="H347" s="92" t="str">
        <f>'Final data_for_R_analysis_Wetse'!J493</f>
        <v>G599</v>
      </c>
      <c r="I347" t="str">
        <f>'Final data_for_R_analysis_Wetse'!J713</f>
        <v>R312</v>
      </c>
      <c r="J347">
        <f>IFERROR(INDEX('Green_rooibos initial weight'!$C$5:$C$1749,MATCH(H347, 'Green_rooibos initial weight'!$A$5:$A$1749,0)),"")</f>
        <v>2.0760000000000001</v>
      </c>
      <c r="K347">
        <f>IFERROR(INDEX('Green_rooibos initial weight'!$C$5:$C$1749,MATCH(I347, 'Green_rooibos initial weight'!$A$5:$A$1749,0)),"")</f>
        <v>2.2360000000000002</v>
      </c>
      <c r="L347" s="195">
        <f t="shared" si="52"/>
        <v>1.8262</v>
      </c>
      <c r="M347" s="195">
        <f>AVERAGE(Ashed_controlls!$K$2:$K$11)</f>
        <v>5.5147656768714146</v>
      </c>
      <c r="N347" s="195">
        <f t="shared" si="48"/>
        <v>1.7254893492089742</v>
      </c>
      <c r="O347" s="195">
        <f t="shared" si="53"/>
        <v>1.9862000000000002</v>
      </c>
      <c r="P347" s="195">
        <f>AVERAGE(Ashed_controlls!$K$12:$K$14)</f>
        <v>2.2816647271287041</v>
      </c>
      <c r="Q347" s="195">
        <f t="shared" si="54"/>
        <v>1.9408815751897699</v>
      </c>
      <c r="R347" s="16">
        <f>IF('WetLitterbags placem_collection'!G54="N.A","",'WetLitterbags placem_collection'!G54)</f>
        <v>42820</v>
      </c>
      <c r="S347" s="195">
        <f>IF(IFERROR(INDEX('Both teabags AfterWet'!$C$3:$C$841,MATCH(H347,'Both teabags AfterWet'!$A$3:$A$841,0)),"")="N.A","",(IFERROR(INDEX('Both teabags AfterWet'!$C$3:$C$841,MATCH(H347,'Both teabags AfterWet'!$A$3:$A$841,0)),"")))</f>
        <v>0.88200000000000001</v>
      </c>
      <c r="T347" s="195">
        <f>IFERROR(INDEX('Both teabags AfterWet'!$C$3:$C$841,MATCH(I347,'Both teabags AfterWet'!$A$3:$A$841,0)),"")</f>
        <v>1.546</v>
      </c>
      <c r="U347" s="195">
        <f t="shared" si="55"/>
        <v>0.73140000000000005</v>
      </c>
      <c r="V347" s="195">
        <f t="shared" si="55"/>
        <v>1.3954</v>
      </c>
      <c r="W347" s="195">
        <f>IFERROR(INDEX('Ashed teabags wet'!$K$2:$K$821,MATCH(H347,'Ashed teabags wet'!$A$2:$A$821,0)),"")</f>
        <v>14.285714285714219</v>
      </c>
      <c r="X347" s="195">
        <f>IFERROR(INDEX('Ashed teabags wet'!$K$2:$K$821,MATCH(I347,'Ashed teabags wet'!$A$2:$A$821,0)),"")</f>
        <v>9.8235574630425244</v>
      </c>
      <c r="Y347" s="195">
        <f t="shared" si="49"/>
        <v>0.6269142857142862</v>
      </c>
      <c r="Z347" s="195">
        <f t="shared" si="49"/>
        <v>1.2583220791607046</v>
      </c>
      <c r="AA347" s="195">
        <f t="shared" si="56"/>
        <v>0.63667449700475631</v>
      </c>
      <c r="AB347" s="195">
        <f t="shared" si="57"/>
        <v>0.41739230682497092</v>
      </c>
      <c r="AC347" s="195">
        <f t="shared" si="50"/>
        <v>0.64832501644912155</v>
      </c>
      <c r="AD347">
        <f t="shared" si="51"/>
        <v>54</v>
      </c>
      <c r="AE347" s="195">
        <f t="shared" si="58"/>
        <v>0.24385451662142954</v>
      </c>
      <c r="AF347" s="195">
        <f t="shared" si="59"/>
        <v>3.4234518522154062E-2</v>
      </c>
      <c r="AG347" s="255" t="str">
        <f>IF(ISNUMBER(SEARCH("C",'WetLitterbags placem_collection'!AD274)),"YES","NO")</f>
        <v>NO</v>
      </c>
      <c r="AH347" s="255" t="str">
        <f>IF(ISNUMBER(SEARCH("H", 'WetLitterbags placem_collection'!AF54)),"YES","NO")</f>
        <v>NO</v>
      </c>
      <c r="AI347" s="255" t="str">
        <f>IF(ISNUMBER(SEARCH("R", 'WetLitterbags placem_collection'!XF54)),"YES","NO")</f>
        <v>NO</v>
      </c>
      <c r="AJ347" s="255" t="str">
        <f>IF(ISNUMBER(SEARCH("C", 'WetLitterbags placem_collection'!WE54)),"YES","NO")</f>
        <v>NO</v>
      </c>
      <c r="AK347" s="255" t="str">
        <f>IF(ISNUMBER(SEARCH("H", 'WetLitterbags placem_collection'!AE54)),"YES","NO")</f>
        <v>NO</v>
      </c>
      <c r="AL347" s="255" t="str">
        <f>IF(ISNUMBER(SEARCH("R", 'WetLitterbags placem_collection'!AE54)),"YES","NO")</f>
        <v>NO</v>
      </c>
    </row>
    <row r="348" spans="2:38">
      <c r="B348" t="str">
        <f>'Final data_for_R_analysis_Wetse'!A494</f>
        <v>Wet</v>
      </c>
      <c r="C348" s="263">
        <f>'Final data_for_R_analysis_Wetse'!B494</f>
        <v>53</v>
      </c>
      <c r="D348" t="s">
        <v>3834</v>
      </c>
      <c r="E348" t="s">
        <v>25</v>
      </c>
      <c r="F348" s="387">
        <v>5</v>
      </c>
      <c r="G348" s="16">
        <f>'WetLitterbags placem_collection'!E55</f>
        <v>42766</v>
      </c>
      <c r="H348" s="92" t="str">
        <f>'Final data_for_R_analysis_Wetse'!J494</f>
        <v>G683</v>
      </c>
      <c r="I348" t="str">
        <f>'Final data_for_R_analysis_Wetse'!J714</f>
        <v>R113</v>
      </c>
      <c r="J348">
        <f>IFERROR(INDEX('Green_rooibos initial weight'!$C$5:$C$1749,MATCH(H348, 'Green_rooibos initial weight'!$A$5:$A$1749,0)),"")</f>
        <v>2.1179999999999999</v>
      </c>
      <c r="K348">
        <f>IFERROR(INDEX('Green_rooibos initial weight'!$C$5:$C$1749,MATCH(I348, 'Green_rooibos initial weight'!$A$5:$A$1749,0)),"")</f>
        <v>2.202</v>
      </c>
      <c r="L348" s="195">
        <f t="shared" si="52"/>
        <v>1.8681999999999999</v>
      </c>
      <c r="M348" s="195">
        <f>AVERAGE(Ashed_controlls!$K$2:$K$11)</f>
        <v>5.5147656768714146</v>
      </c>
      <c r="N348" s="195">
        <f t="shared" si="48"/>
        <v>1.7651731476246881</v>
      </c>
      <c r="O348" s="195">
        <f t="shared" si="53"/>
        <v>1.9521999999999999</v>
      </c>
      <c r="P348" s="195">
        <f>AVERAGE(Ashed_controlls!$K$12:$K$14)</f>
        <v>2.2816647271287041</v>
      </c>
      <c r="Q348" s="195">
        <f t="shared" si="54"/>
        <v>1.9076573411969935</v>
      </c>
      <c r="R348" s="16">
        <f>IF('WetLitterbags placem_collection'!G55="N.A","",'WetLitterbags placem_collection'!G55)</f>
        <v>42820</v>
      </c>
      <c r="S348" s="195" t="str">
        <f>IF(IFERROR(INDEX('Both teabags AfterWet'!$C$3:$C$841,MATCH(H348,'Both teabags AfterWet'!$A$3:$A$841,0)),"")="N.A","",(IFERROR(INDEX('Both teabags AfterWet'!$C$3:$C$841,MATCH(H348,'Both teabags AfterWet'!$A$3:$A$841,0)),"")))</f>
        <v/>
      </c>
      <c r="T348" s="195" t="str">
        <f>IFERROR(INDEX('Both teabags AfterWet'!$C$3:$C$841,MATCH(I348,'Both teabags AfterWet'!$A$3:$A$841,0)),"")</f>
        <v/>
      </c>
      <c r="U348" s="195" t="str">
        <f t="shared" si="55"/>
        <v/>
      </c>
      <c r="V348" s="195" t="str">
        <f t="shared" si="55"/>
        <v/>
      </c>
      <c r="W348" s="195" t="str">
        <f>IFERROR(INDEX('Ashed teabags wet'!$K$2:$K$821,MATCH(H348,'Ashed teabags wet'!$A$2:$A$821,0)),"")</f>
        <v/>
      </c>
      <c r="X348" s="195" t="str">
        <f>IFERROR(INDEX('Ashed teabags wet'!$K$2:$K$821,MATCH(I348,'Ashed teabags wet'!$A$2:$A$821,0)),"")</f>
        <v/>
      </c>
      <c r="Y348" s="195" t="str">
        <f t="shared" si="49"/>
        <v/>
      </c>
      <c r="Z348" s="195" t="str">
        <f t="shared" si="49"/>
        <v/>
      </c>
      <c r="AA348" s="195" t="str">
        <f t="shared" si="56"/>
        <v/>
      </c>
      <c r="AB348" s="195" t="str">
        <f t="shared" si="57"/>
        <v/>
      </c>
      <c r="AC348" s="195" t="str">
        <f t="shared" si="50"/>
        <v/>
      </c>
      <c r="AD348">
        <f t="shared" si="51"/>
        <v>54</v>
      </c>
      <c r="AE348" s="195" t="str">
        <f t="shared" si="58"/>
        <v/>
      </c>
      <c r="AF348" s="195" t="str">
        <f t="shared" si="59"/>
        <v/>
      </c>
      <c r="AG348" s="255" t="str">
        <f>IF(ISNUMBER(SEARCH("C",'WetLitterbags placem_collection'!AD275)),"YES","NO")</f>
        <v>NO</v>
      </c>
      <c r="AH348" s="255" t="str">
        <f>IF(ISNUMBER(SEARCH("H", 'WetLitterbags placem_collection'!AF55)),"YES","NO")</f>
        <v>NO</v>
      </c>
      <c r="AI348" s="255" t="str">
        <f>IF(ISNUMBER(SEARCH("R", 'WetLitterbags placem_collection'!XF55)),"YES","NO")</f>
        <v>NO</v>
      </c>
      <c r="AJ348" s="255" t="str">
        <f>IF(ISNUMBER(SEARCH("C", 'WetLitterbags placem_collection'!WE55)),"YES","NO")</f>
        <v>NO</v>
      </c>
      <c r="AK348" s="255" t="str">
        <f>IF(ISNUMBER(SEARCH("H", 'WetLitterbags placem_collection'!AE55)),"YES","NO")</f>
        <v>NO</v>
      </c>
      <c r="AL348" s="255" t="str">
        <f>IF(ISNUMBER(SEARCH("R", 'WetLitterbags placem_collection'!AE55)),"YES","NO")</f>
        <v>NO</v>
      </c>
    </row>
    <row r="349" spans="2:38">
      <c r="B349" t="str">
        <f>'Final data_for_R_analysis_Wetse'!A495</f>
        <v>Wet</v>
      </c>
      <c r="C349" s="263">
        <f>'Final data_for_R_analysis_Wetse'!B495</f>
        <v>54</v>
      </c>
      <c r="D349" t="s">
        <v>3834</v>
      </c>
      <c r="E349" t="s">
        <v>25</v>
      </c>
      <c r="F349" s="387">
        <v>6</v>
      </c>
      <c r="G349" s="16">
        <f>'WetLitterbags placem_collection'!E56</f>
        <v>42766</v>
      </c>
      <c r="H349" s="92" t="str">
        <f>'Final data_for_R_analysis_Wetse'!J495</f>
        <v>G288</v>
      </c>
      <c r="I349" t="str">
        <f>'Final data_for_R_analysis_Wetse'!J715</f>
        <v>R441</v>
      </c>
      <c r="J349">
        <f>IFERROR(INDEX('Green_rooibos initial weight'!$C$5:$C$1749,MATCH(H349, 'Green_rooibos initial weight'!$A$5:$A$1749,0)),"")</f>
        <v>1.9830000000000001</v>
      </c>
      <c r="K349">
        <f>IFERROR(INDEX('Green_rooibos initial weight'!$C$5:$C$1749,MATCH(I349, 'Green_rooibos initial weight'!$A$5:$A$1749,0)),"")</f>
        <v>2.1280000000000001</v>
      </c>
      <c r="L349" s="195">
        <f t="shared" si="52"/>
        <v>1.7332000000000001</v>
      </c>
      <c r="M349" s="195">
        <f>AVERAGE(Ashed_controlls!$K$2:$K$11)</f>
        <v>5.5147656768714146</v>
      </c>
      <c r="N349" s="195">
        <f t="shared" si="48"/>
        <v>1.6376180812884646</v>
      </c>
      <c r="O349" s="195">
        <f t="shared" si="53"/>
        <v>1.8782000000000001</v>
      </c>
      <c r="P349" s="195">
        <f>AVERAGE(Ashed_controlls!$K$12:$K$14)</f>
        <v>2.2816647271287041</v>
      </c>
      <c r="Q349" s="195">
        <f t="shared" si="54"/>
        <v>1.8353457730950689</v>
      </c>
      <c r="R349" s="16">
        <f>IF('WetLitterbags placem_collection'!G56="N.A","",'WetLitterbags placem_collection'!G56)</f>
        <v>42820</v>
      </c>
      <c r="S349" s="195" t="str">
        <f>IF(IFERROR(INDEX('Both teabags AfterWet'!$C$3:$C$841,MATCH(H349,'Both teabags AfterWet'!$A$3:$A$841,0)),"")="N.A","",(IFERROR(INDEX('Both teabags AfterWet'!$C$3:$C$841,MATCH(H349,'Both teabags AfterWet'!$A$3:$A$841,0)),"")))</f>
        <v/>
      </c>
      <c r="T349" s="195" t="str">
        <f>IFERROR(INDEX('Both teabags AfterWet'!$C$3:$C$841,MATCH(I349,'Both teabags AfterWet'!$A$3:$A$841,0)),"")</f>
        <v/>
      </c>
      <c r="U349" s="195" t="str">
        <f t="shared" si="55"/>
        <v/>
      </c>
      <c r="V349" s="195" t="str">
        <f t="shared" si="55"/>
        <v/>
      </c>
      <c r="W349" s="195" t="str">
        <f>IFERROR(INDEX('Ashed teabags wet'!$K$2:$K$821,MATCH(H349,'Ashed teabags wet'!$A$2:$A$821,0)),"")</f>
        <v/>
      </c>
      <c r="X349" s="195" t="str">
        <f>IFERROR(INDEX('Ashed teabags wet'!$K$2:$K$821,MATCH(I349,'Ashed teabags wet'!$A$2:$A$821,0)),"")</f>
        <v/>
      </c>
      <c r="Y349" s="195" t="str">
        <f t="shared" si="49"/>
        <v/>
      </c>
      <c r="Z349" s="195" t="str">
        <f t="shared" si="49"/>
        <v/>
      </c>
      <c r="AA349" s="195" t="str">
        <f t="shared" si="56"/>
        <v/>
      </c>
      <c r="AB349" s="195" t="str">
        <f t="shared" si="57"/>
        <v/>
      </c>
      <c r="AC349" s="195" t="str">
        <f t="shared" si="50"/>
        <v/>
      </c>
      <c r="AD349">
        <f t="shared" si="51"/>
        <v>54</v>
      </c>
      <c r="AE349" s="195" t="str">
        <f t="shared" si="58"/>
        <v/>
      </c>
      <c r="AF349" s="195" t="str">
        <f t="shared" si="59"/>
        <v/>
      </c>
      <c r="AG349" s="255" t="str">
        <f>IF(ISNUMBER(SEARCH("C",'WetLitterbags placem_collection'!AD276)),"YES","NO")</f>
        <v>NO</v>
      </c>
      <c r="AH349" s="255" t="str">
        <f>IF(ISNUMBER(SEARCH("H", 'WetLitterbags placem_collection'!AF56)),"YES","NO")</f>
        <v>NO</v>
      </c>
      <c r="AI349" s="255" t="str">
        <f>IF(ISNUMBER(SEARCH("R", 'WetLitterbags placem_collection'!XF56)),"YES","NO")</f>
        <v>NO</v>
      </c>
      <c r="AJ349" s="255" t="str">
        <f>IF(ISNUMBER(SEARCH("C", 'WetLitterbags placem_collection'!WE56)),"YES","NO")</f>
        <v>NO</v>
      </c>
      <c r="AK349" s="255" t="str">
        <f>IF(ISNUMBER(SEARCH("H", 'WetLitterbags placem_collection'!AE56)),"YES","NO")</f>
        <v>NO</v>
      </c>
      <c r="AL349" s="255" t="str">
        <f>IF(ISNUMBER(SEARCH("R", 'WetLitterbags placem_collection'!AE56)),"YES","NO")</f>
        <v>NO</v>
      </c>
    </row>
    <row r="350" spans="2:38">
      <c r="B350" t="str">
        <f>'Final data_for_R_analysis_Wetse'!A496</f>
        <v>Wet</v>
      </c>
      <c r="C350" s="263">
        <f>'Final data_for_R_analysis_Wetse'!B496</f>
        <v>55</v>
      </c>
      <c r="D350" t="s">
        <v>3834</v>
      </c>
      <c r="E350" t="s">
        <v>25</v>
      </c>
      <c r="F350" s="387">
        <v>7</v>
      </c>
      <c r="G350" s="16">
        <f>'WetLitterbags placem_collection'!E57</f>
        <v>42766</v>
      </c>
      <c r="H350" s="92" t="str">
        <f>'Final data_for_R_analysis_Wetse'!J496</f>
        <v>G616</v>
      </c>
      <c r="I350" t="str">
        <f>'Final data_for_R_analysis_Wetse'!J716</f>
        <v>R54b</v>
      </c>
      <c r="J350">
        <f>IFERROR(INDEX('Green_rooibos initial weight'!$C$5:$C$1749,MATCH(H350, 'Green_rooibos initial weight'!$A$5:$A$1749,0)),"")</f>
        <v>1.978</v>
      </c>
      <c r="K350" t="str">
        <f>IFERROR(INDEX('Green_rooibos initial weight'!$C$5:$C$1749,MATCH(I350, 'Green_rooibos initial weight'!$A$5:$A$1749,0)),"")</f>
        <v/>
      </c>
      <c r="L350" s="195">
        <f t="shared" si="52"/>
        <v>1.7282</v>
      </c>
      <c r="M350" s="195">
        <f>AVERAGE(Ashed_controlls!$K$2:$K$11)</f>
        <v>5.5147656768714146</v>
      </c>
      <c r="N350" s="195">
        <f t="shared" si="48"/>
        <v>1.6328938195723082</v>
      </c>
      <c r="O350" s="195" t="e">
        <f t="shared" si="53"/>
        <v>#VALUE!</v>
      </c>
      <c r="P350" s="195">
        <f>AVERAGE(Ashed_controlls!$K$12:$K$14)</f>
        <v>2.2816647271287041</v>
      </c>
      <c r="Q350" s="195" t="str">
        <f t="shared" si="54"/>
        <v/>
      </c>
      <c r="R350" s="16">
        <f>IF('WetLitterbags placem_collection'!G57="N.A","",'WetLitterbags placem_collection'!G57)</f>
        <v>42820</v>
      </c>
      <c r="S350" s="195">
        <f>IF(IFERROR(INDEX('Both teabags AfterWet'!$C$3:$C$841,MATCH(H350,'Both teabags AfterWet'!$A$3:$A$841,0)),"")="N.A","",(IFERROR(INDEX('Both teabags AfterWet'!$C$3:$C$841,MATCH(H350,'Both teabags AfterWet'!$A$3:$A$841,0)),"")))</f>
        <v>0.93200000000000005</v>
      </c>
      <c r="T350" s="195">
        <f>IFERROR(INDEX('Both teabags AfterWet'!$C$3:$C$841,MATCH(I350,'Both teabags AfterWet'!$A$3:$A$841,0)),"")</f>
        <v>1.5207999999999999</v>
      </c>
      <c r="U350" s="195">
        <f t="shared" si="55"/>
        <v>0.78140000000000009</v>
      </c>
      <c r="V350" s="195">
        <f t="shared" si="55"/>
        <v>1.3701999999999999</v>
      </c>
      <c r="W350" s="195">
        <f>IFERROR(INDEX('Ashed teabags wet'!$K$2:$K$821,MATCH(H350,'Ashed teabags wet'!$A$2:$A$821,0)),"")</f>
        <v>25.927734375000028</v>
      </c>
      <c r="X350" s="195">
        <f>IFERROR(INDEX('Ashed teabags wet'!$K$2:$K$821,MATCH(I350,'Ashed teabags wet'!$A$2:$A$821,0)),"")</f>
        <v>10.692124105011484</v>
      </c>
      <c r="Y350" s="195">
        <f t="shared" si="49"/>
        <v>0.57880068359374981</v>
      </c>
      <c r="Z350" s="195">
        <f t="shared" si="49"/>
        <v>1.2236965155131325</v>
      </c>
      <c r="AA350" s="195">
        <f t="shared" si="56"/>
        <v>0.64553685202547295</v>
      </c>
      <c r="AB350" s="195">
        <f t="shared" si="57"/>
        <v>0.42320230679104648</v>
      </c>
      <c r="AC350" s="195" t="str">
        <f t="shared" si="50"/>
        <v/>
      </c>
      <c r="AD350">
        <f t="shared" si="51"/>
        <v>54</v>
      </c>
      <c r="AE350" s="195">
        <f t="shared" si="58"/>
        <v>0.23332915436404633</v>
      </c>
      <c r="AF350" s="195" t="str">
        <f t="shared" si="59"/>
        <v/>
      </c>
      <c r="AG350" s="255" t="str">
        <f>IF(ISNUMBER(SEARCH("C",'WetLitterbags placem_collection'!AD277)),"YES","NO")</f>
        <v>NO</v>
      </c>
      <c r="AH350" s="255" t="str">
        <f>IF(ISNUMBER(SEARCH("H", 'WetLitterbags placem_collection'!AF57)),"YES","NO")</f>
        <v>NO</v>
      </c>
      <c r="AI350" s="255" t="str">
        <f>IF(ISNUMBER(SEARCH("R", 'WetLitterbags placem_collection'!XF57)),"YES","NO")</f>
        <v>NO</v>
      </c>
      <c r="AJ350" s="255" t="str">
        <f>IF(ISNUMBER(SEARCH("C", 'WetLitterbags placem_collection'!WE57)),"YES","NO")</f>
        <v>NO</v>
      </c>
      <c r="AK350" s="255" t="str">
        <f>IF(ISNUMBER(SEARCH("H", 'WetLitterbags placem_collection'!AE57)),"YES","NO")</f>
        <v>NO</v>
      </c>
      <c r="AL350" s="255" t="str">
        <f>IF(ISNUMBER(SEARCH("R", 'WetLitterbags placem_collection'!AE57)),"YES","NO")</f>
        <v>NO</v>
      </c>
    </row>
    <row r="351" spans="2:38">
      <c r="B351" t="str">
        <f>'Final data_for_R_analysis_Wetse'!A497</f>
        <v>Wet</v>
      </c>
      <c r="C351" s="263">
        <f>'Final data_for_R_analysis_Wetse'!B497</f>
        <v>56</v>
      </c>
      <c r="D351" t="s">
        <v>3834</v>
      </c>
      <c r="E351" t="s">
        <v>25</v>
      </c>
      <c r="F351" s="387">
        <v>8</v>
      </c>
      <c r="G351" s="16">
        <f>'WetLitterbags placem_collection'!E58</f>
        <v>42766</v>
      </c>
      <c r="H351" s="92" t="str">
        <f>'Final data_for_R_analysis_Wetse'!J497</f>
        <v>G557</v>
      </c>
      <c r="I351" t="str">
        <f>'Final data_for_R_analysis_Wetse'!J717</f>
        <v>R58</v>
      </c>
      <c r="J351">
        <f>IFERROR(INDEX('Green_rooibos initial weight'!$C$5:$C$1749,MATCH(H351, 'Green_rooibos initial weight'!$A$5:$A$1749,0)),"")</f>
        <v>2.12</v>
      </c>
      <c r="K351">
        <f>IFERROR(INDEX('Green_rooibos initial weight'!$C$5:$C$1749,MATCH(I351, 'Green_rooibos initial weight'!$A$5:$A$1749,0)),"")</f>
        <v>2.1760000000000002</v>
      </c>
      <c r="L351" s="195">
        <f t="shared" si="52"/>
        <v>1.8702000000000001</v>
      </c>
      <c r="M351" s="195">
        <f>AVERAGE(Ashed_controlls!$K$2:$K$11)</f>
        <v>5.5147656768714146</v>
      </c>
      <c r="N351" s="195">
        <f t="shared" si="48"/>
        <v>1.7670628523111509</v>
      </c>
      <c r="O351" s="195">
        <f t="shared" si="53"/>
        <v>1.9262000000000001</v>
      </c>
      <c r="P351" s="195">
        <f>AVERAGE(Ashed_controlls!$K$12:$K$14)</f>
        <v>2.2816647271287041</v>
      </c>
      <c r="Q351" s="195">
        <f t="shared" si="54"/>
        <v>1.8822505740260471</v>
      </c>
      <c r="R351" s="16">
        <f>IF('WetLitterbags placem_collection'!G58="N.A","",'WetLitterbags placem_collection'!G58)</f>
        <v>42820</v>
      </c>
      <c r="S351" s="195">
        <f>IF(IFERROR(INDEX('Both teabags AfterWet'!$C$3:$C$841,MATCH(H351,'Both teabags AfterWet'!$A$3:$A$841,0)),"")="N.A","",(IFERROR(INDEX('Both teabags AfterWet'!$C$3:$C$841,MATCH(H351,'Both teabags AfterWet'!$A$3:$A$841,0)),"")))</f>
        <v>0.74399999999999999</v>
      </c>
      <c r="T351" s="195">
        <f>IFERROR(INDEX('Both teabags AfterWet'!$C$3:$C$841,MATCH(I351,'Both teabags AfterWet'!$A$3:$A$841,0)),"")</f>
        <v>1.5980000000000001</v>
      </c>
      <c r="U351" s="195">
        <f t="shared" si="55"/>
        <v>0.59339999999999993</v>
      </c>
      <c r="V351" s="195">
        <f t="shared" si="55"/>
        <v>1.4474</v>
      </c>
      <c r="W351" s="195">
        <f>IFERROR(INDEX('Ashed teabags wet'!$K$2:$K$821,MATCH(H351,'Ashed teabags wet'!$A$2:$A$821,0)),"")</f>
        <v>11.235408560310804</v>
      </c>
      <c r="X351" s="195">
        <f>IFERROR(INDEX('Ashed teabags wet'!$K$2:$K$821,MATCH(I351,'Ashed teabags wet'!$A$2:$A$821,0)),"")</f>
        <v>3.1372549019609965</v>
      </c>
      <c r="Y351" s="195">
        <f t="shared" si="49"/>
        <v>0.5267290856031156</v>
      </c>
      <c r="Z351" s="195">
        <f t="shared" si="49"/>
        <v>1.4019913725490165</v>
      </c>
      <c r="AA351" s="195">
        <f t="shared" si="56"/>
        <v>0.70191830759488616</v>
      </c>
      <c r="AB351" s="195">
        <f t="shared" si="57"/>
        <v>0.46016497124985417</v>
      </c>
      <c r="AC351" s="195">
        <f t="shared" si="50"/>
        <v>0.74484842342229796</v>
      </c>
      <c r="AD351">
        <f t="shared" si="51"/>
        <v>54</v>
      </c>
      <c r="AE351" s="195">
        <f t="shared" si="58"/>
        <v>0.166367805706786</v>
      </c>
      <c r="AF351" s="195">
        <f t="shared" si="59"/>
        <v>1.497240261987947E-2</v>
      </c>
      <c r="AG351" s="255" t="str">
        <f>IF(ISNUMBER(SEARCH("C",'WetLitterbags placem_collection'!AD278)),"YES","NO")</f>
        <v>NO</v>
      </c>
      <c r="AH351" s="255" t="str">
        <f>IF(ISNUMBER(SEARCH("H", 'WetLitterbags placem_collection'!AF58)),"YES","NO")</f>
        <v>NO</v>
      </c>
      <c r="AI351" s="255" t="str">
        <f>IF(ISNUMBER(SEARCH("R", 'WetLitterbags placem_collection'!XF58)),"YES","NO")</f>
        <v>NO</v>
      </c>
      <c r="AJ351" s="255" t="str">
        <f>IF(ISNUMBER(SEARCH("C", 'WetLitterbags placem_collection'!WE58)),"YES","NO")</f>
        <v>NO</v>
      </c>
      <c r="AK351" s="255" t="str">
        <f>IF(ISNUMBER(SEARCH("H", 'WetLitterbags placem_collection'!AE58)),"YES","NO")</f>
        <v>NO</v>
      </c>
      <c r="AL351" s="255" t="str">
        <f>IF(ISNUMBER(SEARCH("R", 'WetLitterbags placem_collection'!AE58)),"YES","NO")</f>
        <v>NO</v>
      </c>
    </row>
    <row r="352" spans="2:38">
      <c r="B352" t="str">
        <f>'Final data_for_R_analysis_Wetse'!A498</f>
        <v>Wet</v>
      </c>
      <c r="C352" s="263">
        <f>'Final data_for_R_analysis_Wetse'!B498</f>
        <v>57</v>
      </c>
      <c r="D352" t="s">
        <v>3835</v>
      </c>
      <c r="E352" t="s">
        <v>25</v>
      </c>
      <c r="F352" s="386">
        <v>1</v>
      </c>
      <c r="G352" s="16">
        <f>'WetLitterbags placem_collection'!E59</f>
        <v>42766</v>
      </c>
      <c r="H352" s="92" t="str">
        <f>'Final data_for_R_analysis_Wetse'!J498</f>
        <v>G618</v>
      </c>
      <c r="I352" t="str">
        <f>'Final data_for_R_analysis_Wetse'!J718</f>
        <v>R435</v>
      </c>
      <c r="J352">
        <f>IFERROR(INDEX('Green_rooibos initial weight'!$C$5:$C$1749,MATCH(H352, 'Green_rooibos initial weight'!$A$5:$A$1749,0)),"")</f>
        <v>2.0449999999999999</v>
      </c>
      <c r="K352">
        <f>IFERROR(INDEX('Green_rooibos initial weight'!$C$5:$C$1749,MATCH(I352, 'Green_rooibos initial weight'!$A$5:$A$1749,0)),"")</f>
        <v>2.141</v>
      </c>
      <c r="L352" s="195">
        <f t="shared" si="52"/>
        <v>1.7951999999999999</v>
      </c>
      <c r="M352" s="195">
        <f>AVERAGE(Ashed_controlls!$K$2:$K$11)</f>
        <v>5.5147656768714146</v>
      </c>
      <c r="N352" s="195">
        <f t="shared" si="48"/>
        <v>1.6961989265688042</v>
      </c>
      <c r="O352" s="195">
        <f t="shared" si="53"/>
        <v>1.8912</v>
      </c>
      <c r="P352" s="195">
        <f>AVERAGE(Ashed_controlls!$K$12:$K$14)</f>
        <v>2.2816647271287041</v>
      </c>
      <c r="Q352" s="195">
        <f t="shared" si="54"/>
        <v>1.8480491566805419</v>
      </c>
      <c r="R352" s="16">
        <f>IF('WetLitterbags placem_collection'!G59="N.A","",'WetLitterbags placem_collection'!G59)</f>
        <v>42820</v>
      </c>
      <c r="S352" s="195">
        <f>IF(IFERROR(INDEX('Both teabags AfterWet'!$C$3:$C$841,MATCH(H352,'Both teabags AfterWet'!$A$3:$A$841,0)),"")="N.A","",(IFERROR(INDEX('Both teabags AfterWet'!$C$3:$C$841,MATCH(H352,'Both teabags AfterWet'!$A$3:$A$841,0)),"")))</f>
        <v>0.88129999999999997</v>
      </c>
      <c r="T352" s="195">
        <f>IFERROR(INDEX('Both teabags AfterWet'!$C$3:$C$841,MATCH(I352,'Both teabags AfterWet'!$A$3:$A$841,0)),"")</f>
        <v>1.4594</v>
      </c>
      <c r="U352" s="195">
        <f t="shared" si="55"/>
        <v>0.73069999999999991</v>
      </c>
      <c r="V352" s="195">
        <f t="shared" si="55"/>
        <v>1.3088</v>
      </c>
      <c r="W352" s="195">
        <f>IFERROR(INDEX('Ashed teabags wet'!$K$2:$K$821,MATCH(H352,'Ashed teabags wet'!$A$2:$A$821,0)),"")</f>
        <v>11.534653465346061</v>
      </c>
      <c r="X352" s="195">
        <f>IFERROR(INDEX('Ashed teabags wet'!$K$2:$K$821,MATCH(I352,'Ashed teabags wet'!$A$2:$A$821,0)),"")</f>
        <v>7.3673870333987725</v>
      </c>
      <c r="Y352" s="195">
        <f t="shared" si="49"/>
        <v>0.64641628712871624</v>
      </c>
      <c r="Z352" s="195">
        <f t="shared" si="49"/>
        <v>1.2123756385068769</v>
      </c>
      <c r="AA352" s="195">
        <f t="shared" si="56"/>
        <v>0.61890302074631387</v>
      </c>
      <c r="AB352" s="195">
        <f t="shared" si="57"/>
        <v>0.4057416478051844</v>
      </c>
      <c r="AC352" s="195">
        <f t="shared" si="50"/>
        <v>0.65602997307958022</v>
      </c>
      <c r="AD352">
        <f t="shared" si="51"/>
        <v>54</v>
      </c>
      <c r="AE352" s="195">
        <f t="shared" si="58"/>
        <v>0.26496078296162251</v>
      </c>
      <c r="AF352" s="195">
        <f t="shared" si="59"/>
        <v>3.4856899473864209E-2</v>
      </c>
      <c r="AG352" s="255" t="str">
        <f>IF(ISNUMBER(SEARCH("C",'WetLitterbags placem_collection'!AD279)),"YES","NO")</f>
        <v>NO</v>
      </c>
      <c r="AH352" s="255" t="str">
        <f>IF(ISNUMBER(SEARCH("H", 'WetLitterbags placem_collection'!AF59)),"YES","NO")</f>
        <v>NO</v>
      </c>
      <c r="AI352" s="255" t="str">
        <f>IF(ISNUMBER(SEARCH("R", 'WetLitterbags placem_collection'!XF59)),"YES","NO")</f>
        <v>NO</v>
      </c>
      <c r="AJ352" s="255" t="str">
        <f>IF(ISNUMBER(SEARCH("C", 'WetLitterbags placem_collection'!WE59)),"YES","NO")</f>
        <v>NO</v>
      </c>
      <c r="AK352" s="255" t="str">
        <f>IF(ISNUMBER(SEARCH("H", 'WetLitterbags placem_collection'!AE59)),"YES","NO")</f>
        <v>NO</v>
      </c>
      <c r="AL352" s="255" t="str">
        <f>IF(ISNUMBER(SEARCH("R", 'WetLitterbags placem_collection'!AE59)),"YES","NO")</f>
        <v>NO</v>
      </c>
    </row>
    <row r="353" spans="2:38">
      <c r="B353" t="str">
        <f>'Final data_for_R_analysis_Wetse'!A499</f>
        <v>Wet</v>
      </c>
      <c r="C353" s="263">
        <f>'Final data_for_R_analysis_Wetse'!B499</f>
        <v>58</v>
      </c>
      <c r="D353" t="s">
        <v>3835</v>
      </c>
      <c r="E353" t="s">
        <v>25</v>
      </c>
      <c r="F353" s="386">
        <v>2</v>
      </c>
      <c r="G353" s="16">
        <f>'WetLitterbags placem_collection'!E60</f>
        <v>42766</v>
      </c>
      <c r="H353" s="92" t="str">
        <f>'Final data_for_R_analysis_Wetse'!J499</f>
        <v>G593</v>
      </c>
      <c r="I353" t="str">
        <f>'Final data_for_R_analysis_Wetse'!J719</f>
        <v>R31</v>
      </c>
      <c r="J353">
        <f>IFERROR(INDEX('Green_rooibos initial weight'!$C$5:$C$1749,MATCH(H353, 'Green_rooibos initial weight'!$A$5:$A$1749,0)),"")</f>
        <v>2.093</v>
      </c>
      <c r="K353">
        <f>IFERROR(INDEX('Green_rooibos initial weight'!$C$5:$C$1749,MATCH(I353, 'Green_rooibos initial weight'!$A$5:$A$1749,0)),"")</f>
        <v>2.1589999999999998</v>
      </c>
      <c r="L353" s="195">
        <f t="shared" si="52"/>
        <v>1.8431999999999999</v>
      </c>
      <c r="M353" s="195">
        <f>AVERAGE(Ashed_controlls!$K$2:$K$11)</f>
        <v>5.5147656768714146</v>
      </c>
      <c r="N353" s="195">
        <f t="shared" si="48"/>
        <v>1.741551839043906</v>
      </c>
      <c r="O353" s="195">
        <f t="shared" si="53"/>
        <v>1.9091999999999998</v>
      </c>
      <c r="P353" s="195">
        <f>AVERAGE(Ashed_controlls!$K$12:$K$14)</f>
        <v>2.2816647271287041</v>
      </c>
      <c r="Q353" s="195">
        <f t="shared" si="54"/>
        <v>1.8656384570296585</v>
      </c>
      <c r="R353" s="16">
        <f>IF('WetLitterbags placem_collection'!G60="N.A","",'WetLitterbags placem_collection'!G60)</f>
        <v>42820</v>
      </c>
      <c r="S353" s="195">
        <f>IF(IFERROR(INDEX('Both teabags AfterWet'!$C$3:$C$841,MATCH(H353,'Both teabags AfterWet'!$A$3:$A$841,0)),"")="N.A","",(IFERROR(INDEX('Both teabags AfterWet'!$C$3:$C$841,MATCH(H353,'Both teabags AfterWet'!$A$3:$A$841,0)),"")))</f>
        <v>0.97009999999999996</v>
      </c>
      <c r="T353" s="195">
        <f>IFERROR(INDEX('Both teabags AfterWet'!$C$3:$C$841,MATCH(I353,'Both teabags AfterWet'!$A$3:$A$841,0)),"")</f>
        <v>1.1857</v>
      </c>
      <c r="U353" s="195">
        <f t="shared" si="55"/>
        <v>0.8194999999999999</v>
      </c>
      <c r="V353" s="195">
        <f t="shared" si="55"/>
        <v>1.0350999999999999</v>
      </c>
      <c r="W353" s="195">
        <f>IFERROR(INDEX('Ashed teabags wet'!$K$2:$K$821,MATCH(H353,'Ashed teabags wet'!$A$2:$A$821,0)),"")</f>
        <v>12.412761714855449</v>
      </c>
      <c r="X353" s="195" t="str">
        <f>IFERROR(INDEX('Ashed teabags wet'!$K$2:$K$821,MATCH(I353,'Ashed teabags wet'!$A$2:$A$821,0)),"")</f>
        <v/>
      </c>
      <c r="Y353" s="195">
        <f t="shared" si="49"/>
        <v>0.71777741774675952</v>
      </c>
      <c r="Z353" s="195" t="str">
        <f t="shared" si="49"/>
        <v/>
      </c>
      <c r="AA353" s="195">
        <f t="shared" si="56"/>
        <v>0.58785182177476158</v>
      </c>
      <c r="AB353" s="195">
        <f t="shared" si="57"/>
        <v>0.38538504230364423</v>
      </c>
      <c r="AC353" s="195" t="str">
        <f t="shared" si="50"/>
        <v/>
      </c>
      <c r="AD353">
        <f t="shared" si="51"/>
        <v>54</v>
      </c>
      <c r="AE353" s="195">
        <f t="shared" si="58"/>
        <v>0.30183869147890541</v>
      </c>
      <c r="AF353" s="195" t="str">
        <f t="shared" si="59"/>
        <v/>
      </c>
      <c r="AG353" s="255" t="str">
        <f>IF(ISNUMBER(SEARCH("C",'WetLitterbags placem_collection'!AD280)),"YES","NO")</f>
        <v>NO</v>
      </c>
      <c r="AH353" s="255" t="str">
        <f>IF(ISNUMBER(SEARCH("H", 'WetLitterbags placem_collection'!AF60)),"YES","NO")</f>
        <v>NO</v>
      </c>
      <c r="AI353" s="255" t="str">
        <f>IF(ISNUMBER(SEARCH("R", 'WetLitterbags placem_collection'!XF60)),"YES","NO")</f>
        <v>NO</v>
      </c>
      <c r="AJ353" s="255" t="str">
        <f>IF(ISNUMBER(SEARCH("C", 'WetLitterbags placem_collection'!WE60)),"YES","NO")</f>
        <v>NO</v>
      </c>
      <c r="AK353" s="255" t="str">
        <f>IF(ISNUMBER(SEARCH("H", 'WetLitterbags placem_collection'!AE60)),"YES","NO")</f>
        <v>NO</v>
      </c>
      <c r="AL353" s="255" t="str">
        <f>IF(ISNUMBER(SEARCH("R", 'WetLitterbags placem_collection'!AE60)),"YES","NO")</f>
        <v>NO</v>
      </c>
    </row>
    <row r="354" spans="2:38">
      <c r="B354" t="str">
        <f>'Final data_for_R_analysis_Wetse'!A500</f>
        <v>Wet</v>
      </c>
      <c r="C354" s="263">
        <f>'Final data_for_R_analysis_Wetse'!B500</f>
        <v>59</v>
      </c>
      <c r="D354" t="s">
        <v>3835</v>
      </c>
      <c r="E354" t="s">
        <v>25</v>
      </c>
      <c r="F354" s="386">
        <v>3</v>
      </c>
      <c r="G354" s="16">
        <f>'WetLitterbags placem_collection'!E61</f>
        <v>42766</v>
      </c>
      <c r="H354" s="92" t="str">
        <f>'Final data_for_R_analysis_Wetse'!J500</f>
        <v>G600</v>
      </c>
      <c r="I354" t="str">
        <f>'Final data_for_R_analysis_Wetse'!J720</f>
        <v>R120</v>
      </c>
      <c r="J354">
        <f>IFERROR(INDEX('Green_rooibos initial weight'!$C$5:$C$1749,MATCH(H354, 'Green_rooibos initial weight'!$A$5:$A$1749,0)),"")</f>
        <v>2.0049999999999999</v>
      </c>
      <c r="K354">
        <f>IFERROR(INDEX('Green_rooibos initial weight'!$C$5:$C$1749,MATCH(I354, 'Green_rooibos initial weight'!$A$5:$A$1749,0)),"")</f>
        <v>2.2450000000000001</v>
      </c>
      <c r="L354" s="195">
        <f t="shared" si="52"/>
        <v>1.7551999999999999</v>
      </c>
      <c r="M354" s="195">
        <f>AVERAGE(Ashed_controlls!$K$2:$K$11)</f>
        <v>5.5147656768714146</v>
      </c>
      <c r="N354" s="195">
        <f t="shared" si="48"/>
        <v>1.6584048328395529</v>
      </c>
      <c r="O354" s="195">
        <f t="shared" si="53"/>
        <v>1.9952000000000001</v>
      </c>
      <c r="P354" s="195">
        <f>AVERAGE(Ashed_controlls!$K$12:$K$14)</f>
        <v>2.2816647271287041</v>
      </c>
      <c r="Q354" s="195">
        <f t="shared" si="54"/>
        <v>1.9496762253643283</v>
      </c>
      <c r="R354" s="16">
        <f>IF('WetLitterbags placem_collection'!G61="N.A","",'WetLitterbags placem_collection'!G61)</f>
        <v>42820</v>
      </c>
      <c r="S354" s="195">
        <f>IF(IFERROR(INDEX('Both teabags AfterWet'!$C$3:$C$841,MATCH(H354,'Both teabags AfterWet'!$A$3:$A$841,0)),"")="N.A","",(IFERROR(INDEX('Both teabags AfterWet'!$C$3:$C$841,MATCH(H354,'Both teabags AfterWet'!$A$3:$A$841,0)),"")))</f>
        <v>0.90200000000000002</v>
      </c>
      <c r="T354" s="195">
        <f>IFERROR(INDEX('Both teabags AfterWet'!$C$3:$C$841,MATCH(I354,'Both teabags AfterWet'!$A$3:$A$841,0)),"")</f>
        <v>1.4690000000000001</v>
      </c>
      <c r="U354" s="195">
        <f t="shared" si="55"/>
        <v>0.75140000000000007</v>
      </c>
      <c r="V354" s="195">
        <f t="shared" si="55"/>
        <v>1.3184</v>
      </c>
      <c r="W354" s="195">
        <f>IFERROR(INDEX('Ashed teabags wet'!$K$2:$K$821,MATCH(H354,'Ashed teabags wet'!$A$2:$A$821,0)),"")</f>
        <v>13.942071674030428</v>
      </c>
      <c r="X354" s="195">
        <f>IFERROR(INDEX('Ashed teabags wet'!$K$2:$K$821,MATCH(I354,'Ashed teabags wet'!$A$2:$A$821,0)),"")</f>
        <v>3.836571998007162</v>
      </c>
      <c r="Y354" s="195">
        <f t="shared" si="49"/>
        <v>0.64663927344133543</v>
      </c>
      <c r="Z354" s="195">
        <f t="shared" si="49"/>
        <v>1.2678186347782736</v>
      </c>
      <c r="AA354" s="195">
        <f t="shared" si="56"/>
        <v>0.6100835811397467</v>
      </c>
      <c r="AB354" s="195">
        <f t="shared" si="57"/>
        <v>0.39995978240990526</v>
      </c>
      <c r="AC354" s="195">
        <f t="shared" si="50"/>
        <v>0.65027137238715693</v>
      </c>
      <c r="AD354">
        <f t="shared" si="51"/>
        <v>54</v>
      </c>
      <c r="AE354" s="195">
        <f t="shared" si="58"/>
        <v>0.27543517679364993</v>
      </c>
      <c r="AF354" s="195">
        <f t="shared" si="59"/>
        <v>3.8420899081366505E-2</v>
      </c>
      <c r="AG354" s="255" t="str">
        <f>IF(ISNUMBER(SEARCH("C",'WetLitterbags placem_collection'!AD281)),"YES","NO")</f>
        <v>NO</v>
      </c>
      <c r="AH354" s="255" t="str">
        <f>IF(ISNUMBER(SEARCH("H", 'WetLitterbags placem_collection'!AF61)),"YES","NO")</f>
        <v>NO</v>
      </c>
      <c r="AI354" s="255" t="str">
        <f>IF(ISNUMBER(SEARCH("R", 'WetLitterbags placem_collection'!XF61)),"YES","NO")</f>
        <v>NO</v>
      </c>
      <c r="AJ354" s="255" t="str">
        <f>IF(ISNUMBER(SEARCH("C", 'WetLitterbags placem_collection'!WE61)),"YES","NO")</f>
        <v>NO</v>
      </c>
      <c r="AK354" s="255" t="str">
        <f>IF(ISNUMBER(SEARCH("H", 'WetLitterbags placem_collection'!AE61)),"YES","NO")</f>
        <v>NO</v>
      </c>
      <c r="AL354" s="255" t="str">
        <f>IF(ISNUMBER(SEARCH("R", 'WetLitterbags placem_collection'!AE61)),"YES","NO")</f>
        <v>NO</v>
      </c>
    </row>
    <row r="355" spans="2:38">
      <c r="B355" t="str">
        <f>'Final data_for_R_analysis_Wetse'!A501</f>
        <v>Wet</v>
      </c>
      <c r="C355" s="263">
        <f>'Final data_for_R_analysis_Wetse'!B501</f>
        <v>60</v>
      </c>
      <c r="D355" t="s">
        <v>3835</v>
      </c>
      <c r="E355" t="s">
        <v>25</v>
      </c>
      <c r="F355" s="387">
        <v>4</v>
      </c>
      <c r="G355" s="16">
        <f>'WetLitterbags placem_collection'!E62</f>
        <v>42766</v>
      </c>
      <c r="H355" s="92" t="str">
        <f>'Final data_for_R_analysis_Wetse'!J501</f>
        <v>G535</v>
      </c>
      <c r="I355" t="str">
        <f>'Final data_for_R_analysis_Wetse'!J721</f>
        <v>R390</v>
      </c>
      <c r="J355">
        <f>IFERROR(INDEX('Green_rooibos initial weight'!$C$5:$C$1749,MATCH(H355, 'Green_rooibos initial weight'!$A$5:$A$1749,0)),"")</f>
        <v>2.0920000000000001</v>
      </c>
      <c r="K355">
        <f>IFERROR(INDEX('Green_rooibos initial weight'!$C$5:$C$1749,MATCH(I355, 'Green_rooibos initial weight'!$A$5:$A$1749,0)),"")</f>
        <v>2.2480000000000002</v>
      </c>
      <c r="L355" s="195">
        <f t="shared" si="52"/>
        <v>1.8422000000000001</v>
      </c>
      <c r="M355" s="195">
        <f>AVERAGE(Ashed_controlls!$K$2:$K$11)</f>
        <v>5.5147656768714146</v>
      </c>
      <c r="N355" s="195">
        <f t="shared" si="48"/>
        <v>1.7406069867006748</v>
      </c>
      <c r="O355" s="195">
        <f t="shared" si="53"/>
        <v>1.9982000000000002</v>
      </c>
      <c r="P355" s="195">
        <f>AVERAGE(Ashed_controlls!$K$12:$K$14)</f>
        <v>2.2816647271287041</v>
      </c>
      <c r="Q355" s="195">
        <f t="shared" si="54"/>
        <v>1.9526077754225144</v>
      </c>
      <c r="R355" s="16">
        <f>IF('WetLitterbags placem_collection'!G62="N.A","",'WetLitterbags placem_collection'!G62)</f>
        <v>42820</v>
      </c>
      <c r="S355" s="195">
        <f>IF(IFERROR(INDEX('Both teabags AfterWet'!$C$3:$C$841,MATCH(H355,'Both teabags AfterWet'!$A$3:$A$841,0)),"")="N.A","",(IFERROR(INDEX('Both teabags AfterWet'!$C$3:$C$841,MATCH(H355,'Both teabags AfterWet'!$A$3:$A$841,0)),"")))</f>
        <v>0.78</v>
      </c>
      <c r="T355" s="195">
        <f>IFERROR(INDEX('Both teabags AfterWet'!$C$3:$C$841,MATCH(I355,'Both teabags AfterWet'!$A$3:$A$841,0)),"")</f>
        <v>1.5309999999999999</v>
      </c>
      <c r="U355" s="195">
        <f t="shared" si="55"/>
        <v>0.62939999999999996</v>
      </c>
      <c r="V355" s="195">
        <f t="shared" si="55"/>
        <v>1.3803999999999998</v>
      </c>
      <c r="W355" s="195">
        <f>IFERROR(INDEX('Ashed teabags wet'!$K$2:$K$821,MATCH(H355,'Ashed teabags wet'!$A$2:$A$821,0)),"")</f>
        <v>10.099009900990334</v>
      </c>
      <c r="X355" s="195">
        <f>IFERROR(INDEX('Ashed teabags wet'!$K$2:$K$821,MATCH(I355,'Ashed teabags wet'!$A$2:$A$821,0)),"")</f>
        <v>9.7068716962994532</v>
      </c>
      <c r="Y355" s="195">
        <f t="shared" si="49"/>
        <v>0.56583683168316679</v>
      </c>
      <c r="Z355" s="195">
        <f t="shared" si="49"/>
        <v>1.2464063431042822</v>
      </c>
      <c r="AA355" s="195">
        <f t="shared" si="56"/>
        <v>0.67491982049565824</v>
      </c>
      <c r="AB355" s="195">
        <f t="shared" si="57"/>
        <v>0.44246525049121543</v>
      </c>
      <c r="AC355" s="195">
        <f t="shared" si="50"/>
        <v>0.63832908933007759</v>
      </c>
      <c r="AD355">
        <f t="shared" si="51"/>
        <v>54</v>
      </c>
      <c r="AE355" s="195">
        <f t="shared" si="58"/>
        <v>0.19843251722605904</v>
      </c>
      <c r="AF355" s="195">
        <f t="shared" si="59"/>
        <v>3.1489907778599023E-2</v>
      </c>
      <c r="AG355" s="255" t="str">
        <f>IF(ISNUMBER(SEARCH("C",'WetLitterbags placem_collection'!AD282)),"YES","NO")</f>
        <v>NO</v>
      </c>
      <c r="AH355" s="255" t="str">
        <f>IF(ISNUMBER(SEARCH("H", 'WetLitterbags placem_collection'!AF62)),"YES","NO")</f>
        <v>NO</v>
      </c>
      <c r="AI355" s="255" t="str">
        <f>IF(ISNUMBER(SEARCH("R", 'WetLitterbags placem_collection'!XF62)),"YES","NO")</f>
        <v>NO</v>
      </c>
      <c r="AJ355" s="255" t="str">
        <f>IF(ISNUMBER(SEARCH("C", 'WetLitterbags placem_collection'!WE62)),"YES","NO")</f>
        <v>NO</v>
      </c>
      <c r="AK355" s="255" t="str">
        <f>IF(ISNUMBER(SEARCH("H", 'WetLitterbags placem_collection'!AE62)),"YES","NO")</f>
        <v>NO</v>
      </c>
      <c r="AL355" s="255" t="str">
        <f>IF(ISNUMBER(SEARCH("R", 'WetLitterbags placem_collection'!AE62)),"YES","NO")</f>
        <v>NO</v>
      </c>
    </row>
    <row r="356" spans="2:38">
      <c r="B356" t="str">
        <f>'Final data_for_R_analysis_Wetse'!A502</f>
        <v>Wet</v>
      </c>
      <c r="C356" s="263">
        <f>'Final data_for_R_analysis_Wetse'!B502</f>
        <v>61</v>
      </c>
      <c r="D356" t="s">
        <v>3835</v>
      </c>
      <c r="E356" t="s">
        <v>25</v>
      </c>
      <c r="F356" s="387">
        <v>5</v>
      </c>
      <c r="G356" s="16">
        <f>'WetLitterbags placem_collection'!E63</f>
        <v>42766</v>
      </c>
      <c r="H356" s="92" t="str">
        <f>'Final data_for_R_analysis_Wetse'!J502</f>
        <v>G391</v>
      </c>
      <c r="I356" t="str">
        <f>'Final data_for_R_analysis_Wetse'!J722</f>
        <v>R143</v>
      </c>
      <c r="J356">
        <f>IFERROR(INDEX('Green_rooibos initial weight'!$C$5:$C$1749,MATCH(H356, 'Green_rooibos initial weight'!$A$5:$A$1749,0)),"")</f>
        <v>1.9419999999999999</v>
      </c>
      <c r="K356">
        <f>IFERROR(INDEX('Green_rooibos initial weight'!$C$5:$C$1749,MATCH(I356, 'Green_rooibos initial weight'!$A$5:$A$1749,0)),"")</f>
        <v>2.1560000000000001</v>
      </c>
      <c r="L356" s="195">
        <f t="shared" si="52"/>
        <v>1.6921999999999999</v>
      </c>
      <c r="M356" s="195">
        <f>AVERAGE(Ashed_controlls!$K$2:$K$11)</f>
        <v>5.5147656768714146</v>
      </c>
      <c r="N356" s="195">
        <f t="shared" si="48"/>
        <v>1.5988791352159819</v>
      </c>
      <c r="O356" s="195">
        <f t="shared" si="53"/>
        <v>1.9062000000000001</v>
      </c>
      <c r="P356" s="195">
        <f>AVERAGE(Ashed_controlls!$K$12:$K$14)</f>
        <v>2.2816647271287041</v>
      </c>
      <c r="Q356" s="195">
        <f t="shared" si="54"/>
        <v>1.8627069069714728</v>
      </c>
      <c r="R356" s="16">
        <f>IF('WetLitterbags placem_collection'!G63="N.A","",'WetLitterbags placem_collection'!G63)</f>
        <v>42820</v>
      </c>
      <c r="S356" s="195">
        <f>IF(IFERROR(INDEX('Both teabags AfterWet'!$C$3:$C$841,MATCH(H356,'Both teabags AfterWet'!$A$3:$A$841,0)),"")="N.A","",(IFERROR(INDEX('Both teabags AfterWet'!$C$3:$C$841,MATCH(H356,'Both teabags AfterWet'!$A$3:$A$841,0)),"")))</f>
        <v>0.628</v>
      </c>
      <c r="T356" s="195">
        <f>IFERROR(INDEX('Both teabags AfterWet'!$C$3:$C$841,MATCH(I356,'Both teabags AfterWet'!$A$3:$A$841,0)),"")</f>
        <v>1.581</v>
      </c>
      <c r="U356" s="195">
        <f t="shared" si="55"/>
        <v>0.47739999999999999</v>
      </c>
      <c r="V356" s="195">
        <f t="shared" si="55"/>
        <v>1.4303999999999999</v>
      </c>
      <c r="W356" s="195">
        <f>IFERROR(INDEX('Ashed teabags wet'!$K$2:$K$821,MATCH(H356,'Ashed teabags wet'!$A$2:$A$821,0)),"")</f>
        <v>8.0533596837941683</v>
      </c>
      <c r="X356" s="195">
        <f>IFERROR(INDEX('Ashed teabags wet'!$K$2:$K$821,MATCH(I356,'Ashed teabags wet'!$A$2:$A$821,0)),"")</f>
        <v>5.6762092793688481</v>
      </c>
      <c r="Y356" s="195">
        <f t="shared" si="49"/>
        <v>0.43895326086956665</v>
      </c>
      <c r="Z356" s="195">
        <f t="shared" si="49"/>
        <v>1.349207502467908</v>
      </c>
      <c r="AA356" s="195">
        <f t="shared" si="56"/>
        <v>0.72546188689223756</v>
      </c>
      <c r="AB356" s="195">
        <f t="shared" si="57"/>
        <v>0.4755997168224646</v>
      </c>
      <c r="AC356" s="195">
        <f t="shared" si="50"/>
        <v>0.72432624661361766</v>
      </c>
      <c r="AD356">
        <f t="shared" si="51"/>
        <v>54</v>
      </c>
      <c r="AE356" s="195">
        <f t="shared" si="58"/>
        <v>0.13840631010423088</v>
      </c>
      <c r="AF356" s="195">
        <f t="shared" si="59"/>
        <v>1.6048693596508172E-2</v>
      </c>
      <c r="AG356" s="255" t="str">
        <f>IF(ISNUMBER(SEARCH("C",'WetLitterbags placem_collection'!AD283)),"YES","NO")</f>
        <v>NO</v>
      </c>
      <c r="AH356" s="255" t="str">
        <f>IF(ISNUMBER(SEARCH("H", 'WetLitterbags placem_collection'!AF63)),"YES","NO")</f>
        <v>NO</v>
      </c>
      <c r="AI356" s="255" t="str">
        <f>IF(ISNUMBER(SEARCH("R", 'WetLitterbags placem_collection'!XF63)),"YES","NO")</f>
        <v>NO</v>
      </c>
      <c r="AJ356" s="255" t="str">
        <f>IF(ISNUMBER(SEARCH("C", 'WetLitterbags placem_collection'!WE63)),"YES","NO")</f>
        <v>NO</v>
      </c>
      <c r="AK356" s="255" t="str">
        <f>IF(ISNUMBER(SEARCH("H", 'WetLitterbags placem_collection'!AE63)),"YES","NO")</f>
        <v>NO</v>
      </c>
      <c r="AL356" s="255" t="str">
        <f>IF(ISNUMBER(SEARCH("R", 'WetLitterbags placem_collection'!AE63)),"YES","NO")</f>
        <v>NO</v>
      </c>
    </row>
    <row r="357" spans="2:38">
      <c r="B357" t="str">
        <f>'Final data_for_R_analysis_Wetse'!A503</f>
        <v>Wet</v>
      </c>
      <c r="C357" s="263">
        <f>'Final data_for_R_analysis_Wetse'!B503</f>
        <v>62</v>
      </c>
      <c r="D357" t="s">
        <v>3835</v>
      </c>
      <c r="E357" t="s">
        <v>25</v>
      </c>
      <c r="F357" s="387">
        <v>6</v>
      </c>
      <c r="G357" s="16">
        <f>'WetLitterbags placem_collection'!E64</f>
        <v>42766</v>
      </c>
      <c r="H357" s="92" t="str">
        <f>'Final data_for_R_analysis_Wetse'!J503</f>
        <v>G445</v>
      </c>
      <c r="I357" t="str">
        <f>'Final data_for_R_analysis_Wetse'!J723</f>
        <v>R448</v>
      </c>
      <c r="J357">
        <f>IFERROR(INDEX('Green_rooibos initial weight'!$C$5:$C$1749,MATCH(H357, 'Green_rooibos initial weight'!$A$5:$A$1749,0)),"")</f>
        <v>2.1150000000000002</v>
      </c>
      <c r="K357">
        <f>IFERROR(INDEX('Green_rooibos initial weight'!$C$5:$C$1749,MATCH(I357, 'Green_rooibos initial weight'!$A$5:$A$1749,0)),"")</f>
        <v>2.2029999999999998</v>
      </c>
      <c r="L357" s="195">
        <f t="shared" si="52"/>
        <v>1.8652000000000002</v>
      </c>
      <c r="M357" s="195">
        <f>AVERAGE(Ashed_controlls!$K$2:$K$11)</f>
        <v>5.5147656768714146</v>
      </c>
      <c r="N357" s="195">
        <f t="shared" si="48"/>
        <v>1.7623385905949946</v>
      </c>
      <c r="O357" s="195">
        <f t="shared" si="53"/>
        <v>1.9531999999999998</v>
      </c>
      <c r="P357" s="195">
        <f>AVERAGE(Ashed_controlls!$K$12:$K$14)</f>
        <v>2.2816647271287041</v>
      </c>
      <c r="Q357" s="195">
        <f t="shared" si="54"/>
        <v>1.908634524549722</v>
      </c>
      <c r="R357" s="16">
        <f>IF('WetLitterbags placem_collection'!G64="N.A","",'WetLitterbags placem_collection'!G64)</f>
        <v>42820</v>
      </c>
      <c r="S357" s="195">
        <f>IF(IFERROR(INDEX('Both teabags AfterWet'!$C$3:$C$841,MATCH(H357,'Both teabags AfterWet'!$A$3:$A$841,0)),"")="N.A","",(IFERROR(INDEX('Both teabags AfterWet'!$C$3:$C$841,MATCH(H357,'Both teabags AfterWet'!$A$3:$A$841,0)),"")))</f>
        <v>0.80569999999999997</v>
      </c>
      <c r="T357" s="195">
        <f>IFERROR(INDEX('Both teabags AfterWet'!$C$3:$C$841,MATCH(I357,'Both teabags AfterWet'!$A$3:$A$841,0)),"")</f>
        <v>1.5379</v>
      </c>
      <c r="U357" s="195">
        <f t="shared" si="55"/>
        <v>0.65510000000000002</v>
      </c>
      <c r="V357" s="195">
        <f t="shared" si="55"/>
        <v>1.3873</v>
      </c>
      <c r="W357" s="195">
        <f>IFERROR(INDEX('Ashed teabags wet'!$K$2:$K$821,MATCH(H357,'Ashed teabags wet'!$A$2:$A$821,0)),"")</f>
        <v>12.3862487360974</v>
      </c>
      <c r="X357" s="195">
        <f>IFERROR(INDEX('Ashed teabags wet'!$K$2:$K$821,MATCH(I357,'Ashed teabags wet'!$A$2:$A$821,0)),"")</f>
        <v>6.7460317460323242</v>
      </c>
      <c r="Y357" s="195">
        <f t="shared" si="49"/>
        <v>0.57395768452982598</v>
      </c>
      <c r="Z357" s="195">
        <f t="shared" si="49"/>
        <v>1.2937123015872936</v>
      </c>
      <c r="AA357" s="195">
        <f t="shared" si="56"/>
        <v>0.67432042424035643</v>
      </c>
      <c r="AB357" s="195">
        <f t="shared" si="57"/>
        <v>0.44207229712669455</v>
      </c>
      <c r="AC357" s="195">
        <f t="shared" si="50"/>
        <v>0.67782086352676729</v>
      </c>
      <c r="AD357">
        <f t="shared" si="51"/>
        <v>54</v>
      </c>
      <c r="AE357" s="195">
        <f t="shared" si="58"/>
        <v>0.19914438926323463</v>
      </c>
      <c r="AF357" s="195">
        <f t="shared" si="59"/>
        <v>2.4164304047127407E-2</v>
      </c>
      <c r="AG357" s="255" t="str">
        <f>IF(ISNUMBER(SEARCH("C",'WetLitterbags placem_collection'!AD284)),"YES","NO")</f>
        <v>NO</v>
      </c>
      <c r="AH357" s="255" t="str">
        <f>IF(ISNUMBER(SEARCH("H", 'WetLitterbags placem_collection'!AF64)),"YES","NO")</f>
        <v>NO</v>
      </c>
      <c r="AI357" s="255" t="str">
        <f>IF(ISNUMBER(SEARCH("R", 'WetLitterbags placem_collection'!XF64)),"YES","NO")</f>
        <v>NO</v>
      </c>
      <c r="AJ357" s="255" t="str">
        <f>IF(ISNUMBER(SEARCH("C", 'WetLitterbags placem_collection'!WE64)),"YES","NO")</f>
        <v>NO</v>
      </c>
      <c r="AK357" s="255" t="str">
        <f>IF(ISNUMBER(SEARCH("H", 'WetLitterbags placem_collection'!AE64)),"YES","NO")</f>
        <v>NO</v>
      </c>
      <c r="AL357" s="255" t="str">
        <f>IF(ISNUMBER(SEARCH("R", 'WetLitterbags placem_collection'!AE64)),"YES","NO")</f>
        <v>NO</v>
      </c>
    </row>
    <row r="358" spans="2:38">
      <c r="B358" t="str">
        <f>'Final data_for_R_analysis_Wetse'!A504</f>
        <v>Wet</v>
      </c>
      <c r="C358" s="263">
        <f>'Final data_for_R_analysis_Wetse'!B504</f>
        <v>63</v>
      </c>
      <c r="D358" t="s">
        <v>3835</v>
      </c>
      <c r="E358" t="s">
        <v>25</v>
      </c>
      <c r="F358" s="387">
        <v>7</v>
      </c>
      <c r="G358" s="16">
        <f>'WetLitterbags placem_collection'!E65</f>
        <v>42766</v>
      </c>
      <c r="H358" s="92" t="str">
        <f>'Final data_for_R_analysis_Wetse'!J504</f>
        <v>G440</v>
      </c>
      <c r="I358" t="str">
        <f>'Final data_for_R_analysis_Wetse'!J724</f>
        <v>R423</v>
      </c>
      <c r="J358">
        <f>IFERROR(INDEX('Green_rooibos initial weight'!$C$5:$C$1749,MATCH(H358, 'Green_rooibos initial weight'!$A$5:$A$1749,0)),"")</f>
        <v>2.1070000000000002</v>
      </c>
      <c r="K358">
        <f>IFERROR(INDEX('Green_rooibos initial weight'!$C$5:$C$1749,MATCH(I358, 'Green_rooibos initial weight'!$A$5:$A$1749,0)),"")</f>
        <v>2.1760000000000002</v>
      </c>
      <c r="L358" s="195">
        <f t="shared" si="52"/>
        <v>1.8572000000000002</v>
      </c>
      <c r="M358" s="195">
        <f>AVERAGE(Ashed_controlls!$K$2:$K$11)</f>
        <v>5.5147656768714146</v>
      </c>
      <c r="N358" s="195">
        <f t="shared" si="48"/>
        <v>1.7547797718491442</v>
      </c>
      <c r="O358" s="195">
        <f t="shared" si="53"/>
        <v>1.9262000000000001</v>
      </c>
      <c r="P358" s="195">
        <f>AVERAGE(Ashed_controlls!$K$12:$K$14)</f>
        <v>2.2816647271287041</v>
      </c>
      <c r="Q358" s="195">
        <f t="shared" si="54"/>
        <v>1.8822505740260471</v>
      </c>
      <c r="R358" s="16">
        <f>IF('WetLitterbags placem_collection'!G65="N.A","",'WetLitterbags placem_collection'!G65)</f>
        <v>42820</v>
      </c>
      <c r="S358" s="195">
        <f>IF(IFERROR(INDEX('Both teabags AfterWet'!$C$3:$C$841,MATCH(H358,'Both teabags AfterWet'!$A$3:$A$841,0)),"")="N.A","",(IFERROR(INDEX('Both teabags AfterWet'!$C$3:$C$841,MATCH(H358,'Both teabags AfterWet'!$A$3:$A$841,0)),"")))</f>
        <v>0.94199999999999995</v>
      </c>
      <c r="T358" s="195">
        <f>IFERROR(INDEX('Both teabags AfterWet'!$C$3:$C$841,MATCH(I358,'Both teabags AfterWet'!$A$3:$A$841,0)),"")</f>
        <v>1.6359999999999999</v>
      </c>
      <c r="U358" s="195">
        <f t="shared" si="55"/>
        <v>0.79139999999999988</v>
      </c>
      <c r="V358" s="195">
        <f t="shared" si="55"/>
        <v>1.4853999999999998</v>
      </c>
      <c r="W358" s="195">
        <f>IFERROR(INDEX('Ashed teabags wet'!$K$2:$K$821,MATCH(H358,'Ashed teabags wet'!$A$2:$A$821,0)),"")</f>
        <v>14.278728606356959</v>
      </c>
      <c r="X358" s="195">
        <f>IFERROR(INDEX('Ashed teabags wet'!$K$2:$K$821,MATCH(I358,'Ashed teabags wet'!$A$2:$A$821,0)),"")</f>
        <v>8.0404429465571852</v>
      </c>
      <c r="Y358" s="195">
        <f t="shared" si="49"/>
        <v>0.67839814180929092</v>
      </c>
      <c r="Z358" s="195">
        <f t="shared" si="49"/>
        <v>1.3659672604718394</v>
      </c>
      <c r="AA358" s="195">
        <f t="shared" si="56"/>
        <v>0.6133998392890001</v>
      </c>
      <c r="AB358" s="195">
        <f t="shared" si="57"/>
        <v>0.40213386138661295</v>
      </c>
      <c r="AC358" s="195">
        <f t="shared" si="50"/>
        <v>0.72570957306183648</v>
      </c>
      <c r="AD358">
        <f t="shared" si="51"/>
        <v>54</v>
      </c>
      <c r="AE358" s="195">
        <f t="shared" si="58"/>
        <v>0.27149662792280271</v>
      </c>
      <c r="AF358" s="195">
        <f t="shared" si="59"/>
        <v>2.1221827311989523E-2</v>
      </c>
      <c r="AG358" s="255" t="str">
        <f>IF(ISNUMBER(SEARCH("C",'WetLitterbags placem_collection'!AD285)),"YES","NO")</f>
        <v>NO</v>
      </c>
      <c r="AH358" s="255" t="str">
        <f>IF(ISNUMBER(SEARCH("H", 'WetLitterbags placem_collection'!AF65)),"YES","NO")</f>
        <v>NO</v>
      </c>
      <c r="AI358" s="255" t="str">
        <f>IF(ISNUMBER(SEARCH("R", 'WetLitterbags placem_collection'!XF65)),"YES","NO")</f>
        <v>NO</v>
      </c>
      <c r="AJ358" s="255" t="str">
        <f>IF(ISNUMBER(SEARCH("C", 'WetLitterbags placem_collection'!WE65)),"YES","NO")</f>
        <v>NO</v>
      </c>
      <c r="AK358" s="255" t="str">
        <f>IF(ISNUMBER(SEARCH("H", 'WetLitterbags placem_collection'!AE65)),"YES","NO")</f>
        <v>NO</v>
      </c>
      <c r="AL358" s="255" t="str">
        <f>IF(ISNUMBER(SEARCH("R", 'WetLitterbags placem_collection'!AE65)),"YES","NO")</f>
        <v>NO</v>
      </c>
    </row>
    <row r="359" spans="2:38">
      <c r="B359" t="str">
        <f>'Final data_for_R_analysis_Wetse'!A505</f>
        <v>Wet</v>
      </c>
      <c r="C359" s="263">
        <f>'Final data_for_R_analysis_Wetse'!B505</f>
        <v>64</v>
      </c>
      <c r="D359" t="s">
        <v>3835</v>
      </c>
      <c r="E359" t="s">
        <v>25</v>
      </c>
      <c r="F359" s="387">
        <v>8</v>
      </c>
      <c r="G359" s="16">
        <f>'WetLitterbags placem_collection'!E66</f>
        <v>42766</v>
      </c>
      <c r="H359" s="92" t="str">
        <f>'Final data_for_R_analysis_Wetse'!J505</f>
        <v>G673</v>
      </c>
      <c r="I359" t="str">
        <f>'Final data_for_R_analysis_Wetse'!J725</f>
        <v>R550</v>
      </c>
      <c r="J359">
        <f>IFERROR(INDEX('Green_rooibos initial weight'!$C$5:$C$1749,MATCH(H359, 'Green_rooibos initial weight'!$A$5:$A$1749,0)),"")</f>
        <v>2.1160000000000001</v>
      </c>
      <c r="K359">
        <f>IFERROR(INDEX('Green_rooibos initial weight'!$C$5:$C$1749,MATCH(I359, 'Green_rooibos initial weight'!$A$5:$A$1749,0)),"")</f>
        <v>2.177</v>
      </c>
      <c r="L359" s="195">
        <f t="shared" si="52"/>
        <v>1.8662000000000001</v>
      </c>
      <c r="M359" s="195">
        <f>AVERAGE(Ashed_controlls!$K$2:$K$11)</f>
        <v>5.5147656768714146</v>
      </c>
      <c r="N359" s="195">
        <f t="shared" si="48"/>
        <v>1.7632834429382258</v>
      </c>
      <c r="O359" s="195">
        <f t="shared" si="53"/>
        <v>1.9272</v>
      </c>
      <c r="P359" s="195">
        <f>AVERAGE(Ashed_controlls!$K$12:$K$14)</f>
        <v>2.2816647271287041</v>
      </c>
      <c r="Q359" s="195">
        <f t="shared" si="54"/>
        <v>1.8832277573787757</v>
      </c>
      <c r="R359" s="16">
        <f>IF('WetLitterbags placem_collection'!G66="N.A","",'WetLitterbags placem_collection'!G66)</f>
        <v>42820</v>
      </c>
      <c r="S359" s="195">
        <f>IF(IFERROR(INDEX('Both teabags AfterWet'!$C$3:$C$841,MATCH(H359,'Both teabags AfterWet'!$A$3:$A$841,0)),"")="N.A","",(IFERROR(INDEX('Both teabags AfterWet'!$C$3:$C$841,MATCH(H359,'Both teabags AfterWet'!$A$3:$A$841,0)),"")))</f>
        <v>1.0449999999999999</v>
      </c>
      <c r="T359" s="195">
        <f>IFERROR(INDEX('Both teabags AfterWet'!$C$3:$C$841,MATCH(I359,'Both teabags AfterWet'!$A$3:$A$841,0)),"")</f>
        <v>1.6930000000000001</v>
      </c>
      <c r="U359" s="195">
        <f t="shared" si="55"/>
        <v>0.89439999999999986</v>
      </c>
      <c r="V359" s="195">
        <f t="shared" si="55"/>
        <v>1.5424</v>
      </c>
      <c r="W359" s="195">
        <f>IFERROR(INDEX('Ashed teabags wet'!$K$2:$K$821,MATCH(H359,'Ashed teabags wet'!$A$2:$A$821,0)),"")</f>
        <v>23.760932944607156</v>
      </c>
      <c r="X359" s="195">
        <f>IFERROR(INDEX('Ashed teabags wet'!$K$2:$K$821,MATCH(I359,'Ashed teabags wet'!$A$2:$A$821,0)),"")</f>
        <v>15.844027640671007</v>
      </c>
      <c r="Y359" s="195">
        <f t="shared" si="49"/>
        <v>0.68188221574343344</v>
      </c>
      <c r="Z359" s="195">
        <f t="shared" si="49"/>
        <v>1.2980217176702904</v>
      </c>
      <c r="AA359" s="195">
        <f t="shared" si="56"/>
        <v>0.61328836922146368</v>
      </c>
      <c r="AB359" s="195">
        <f t="shared" si="57"/>
        <v>0.40206078362262232</v>
      </c>
      <c r="AC359" s="195">
        <f t="shared" si="50"/>
        <v>0.68925370953377352</v>
      </c>
      <c r="AD359">
        <f t="shared" si="51"/>
        <v>54</v>
      </c>
      <c r="AE359" s="195">
        <f t="shared" si="58"/>
        <v>0.27162901517640892</v>
      </c>
      <c r="AF359" s="195">
        <f t="shared" si="59"/>
        <v>2.7449884501822588E-2</v>
      </c>
      <c r="AG359" s="255" t="str">
        <f>IF(ISNUMBER(SEARCH("C",'WetLitterbags placem_collection'!AD286)),"YES","NO")</f>
        <v>NO</v>
      </c>
      <c r="AH359" s="255" t="str">
        <f>IF(ISNUMBER(SEARCH("H", 'WetLitterbags placem_collection'!AF66)),"YES","NO")</f>
        <v>NO</v>
      </c>
      <c r="AI359" s="255" t="str">
        <f>IF(ISNUMBER(SEARCH("R", 'WetLitterbags placem_collection'!XF66)),"YES","NO")</f>
        <v>NO</v>
      </c>
      <c r="AJ359" s="255" t="str">
        <f>IF(ISNUMBER(SEARCH("C", 'WetLitterbags placem_collection'!WE66)),"YES","NO")</f>
        <v>NO</v>
      </c>
      <c r="AK359" s="255" t="str">
        <f>IF(ISNUMBER(SEARCH("H", 'WetLitterbags placem_collection'!AE66)),"YES","NO")</f>
        <v>NO</v>
      </c>
      <c r="AL359" s="255" t="str">
        <f>IF(ISNUMBER(SEARCH("R", 'WetLitterbags placem_collection'!AE66)),"YES","NO")</f>
        <v>NO</v>
      </c>
    </row>
    <row r="360" spans="2:38">
      <c r="B360" t="str">
        <f>'Final data_for_R_analysis_Wetse'!A506</f>
        <v>Wet</v>
      </c>
      <c r="C360" s="263">
        <f>'Final data_for_R_analysis_Wetse'!B506</f>
        <v>65</v>
      </c>
      <c r="D360" t="s">
        <v>3836</v>
      </c>
      <c r="E360" t="s">
        <v>25</v>
      </c>
      <c r="F360" s="386">
        <v>1</v>
      </c>
      <c r="G360" s="16">
        <f>'WetLitterbags placem_collection'!E67</f>
        <v>42767</v>
      </c>
      <c r="H360" s="92" t="str">
        <f>'Final data_for_R_analysis_Wetse'!J506</f>
        <v>G700</v>
      </c>
      <c r="I360" t="str">
        <f>'Final data_for_R_analysis_Wetse'!J726</f>
        <v>R333</v>
      </c>
      <c r="J360">
        <f>IFERROR(INDEX('Green_rooibos initial weight'!$C$5:$C$1749,MATCH(H360, 'Green_rooibos initial weight'!$A$5:$A$1749,0)),"")</f>
        <v>2.0190000000000001</v>
      </c>
      <c r="K360">
        <f>IFERROR(INDEX('Green_rooibos initial weight'!$C$5:$C$1749,MATCH(I360, 'Green_rooibos initial weight'!$A$5:$A$1749,0)),"")</f>
        <v>2.27</v>
      </c>
      <c r="L360" s="195">
        <f t="shared" si="52"/>
        <v>1.7692000000000001</v>
      </c>
      <c r="M360" s="195">
        <f>AVERAGE(Ashed_controlls!$K$2:$K$11)</f>
        <v>5.5147656768714146</v>
      </c>
      <c r="N360" s="195">
        <f t="shared" si="48"/>
        <v>1.6716327656447911</v>
      </c>
      <c r="O360" s="195">
        <f t="shared" si="53"/>
        <v>2.0202</v>
      </c>
      <c r="P360" s="195">
        <f>AVERAGE(Ashed_controlls!$K$12:$K$14)</f>
        <v>2.2816647271287041</v>
      </c>
      <c r="Q360" s="195">
        <f t="shared" si="54"/>
        <v>1.9741058091825459</v>
      </c>
      <c r="R360" s="16">
        <f>IF('WetLitterbags placem_collection'!G67="N.A","",'WetLitterbags placem_collection'!G67)</f>
        <v>42818</v>
      </c>
      <c r="S360" s="195">
        <f>IF(IFERROR(INDEX('Both teabags AfterWet'!$C$3:$C$841,MATCH(H360,'Both teabags AfterWet'!$A$3:$A$841,0)),"")="N.A","",(IFERROR(INDEX('Both teabags AfterWet'!$C$3:$C$841,MATCH(H360,'Both teabags AfterWet'!$A$3:$A$841,0)),"")))</f>
        <v>0.82299999999999995</v>
      </c>
      <c r="T360" s="195">
        <f>IFERROR(INDEX('Both teabags AfterWet'!$C$3:$C$841,MATCH(I360,'Both teabags AfterWet'!$A$3:$A$841,0)),"")</f>
        <v>1.6319999999999999</v>
      </c>
      <c r="U360" s="195">
        <f t="shared" si="55"/>
        <v>0.67239999999999989</v>
      </c>
      <c r="V360" s="195">
        <f t="shared" si="55"/>
        <v>1.4813999999999998</v>
      </c>
      <c r="W360" s="195">
        <f>IFERROR(INDEX('Ashed teabags wet'!$K$2:$K$821,MATCH(H360,'Ashed teabags wet'!$A$2:$A$821,0)),"")</f>
        <v>15.626560159760119</v>
      </c>
      <c r="X360" s="195">
        <f>IFERROR(INDEX('Ashed teabags wet'!$K$2:$K$821,MATCH(I360,'Ashed teabags wet'!$A$2:$A$821,0)),"")</f>
        <v>3.9440838741890998</v>
      </c>
      <c r="Y360" s="195">
        <f t="shared" si="49"/>
        <v>0.56732700948577286</v>
      </c>
      <c r="Z360" s="195">
        <f t="shared" si="49"/>
        <v>1.4229723414877624</v>
      </c>
      <c r="AA360" s="195">
        <f t="shared" si="56"/>
        <v>0.66061504587286524</v>
      </c>
      <c r="AB360" s="195">
        <f t="shared" si="57"/>
        <v>0.43308729848197347</v>
      </c>
      <c r="AC360" s="195">
        <f t="shared" si="50"/>
        <v>0.72081867895267404</v>
      </c>
      <c r="AD360">
        <f t="shared" si="51"/>
        <v>51</v>
      </c>
      <c r="AE360" s="195">
        <f t="shared" si="58"/>
        <v>0.21542156072106267</v>
      </c>
      <c r="AF360" s="195">
        <f t="shared" si="59"/>
        <v>2.0286224332975347E-2</v>
      </c>
      <c r="AG360" s="255" t="str">
        <f>IF(ISNUMBER(SEARCH("C",'WetLitterbags placem_collection'!AD287)),"YES","NO")</f>
        <v>NO</v>
      </c>
      <c r="AH360" s="255" t="str">
        <f>IF(ISNUMBER(SEARCH("H", 'WetLitterbags placem_collection'!AF67)),"YES","NO")</f>
        <v>NO</v>
      </c>
      <c r="AI360" s="255" t="str">
        <f>IF(ISNUMBER(SEARCH("R", 'WetLitterbags placem_collection'!XF67)),"YES","NO")</f>
        <v>NO</v>
      </c>
      <c r="AJ360" s="255" t="str">
        <f>IF(ISNUMBER(SEARCH("C", 'WetLitterbags placem_collection'!WE67)),"YES","NO")</f>
        <v>NO</v>
      </c>
      <c r="AK360" s="255" t="str">
        <f>IF(ISNUMBER(SEARCH("H", 'WetLitterbags placem_collection'!AE67)),"YES","NO")</f>
        <v>NO</v>
      </c>
      <c r="AL360" s="255" t="str">
        <f>IF(ISNUMBER(SEARCH("R", 'WetLitterbags placem_collection'!AE67)),"YES","NO")</f>
        <v>NO</v>
      </c>
    </row>
    <row r="361" spans="2:38">
      <c r="B361" t="str">
        <f>'Final data_for_R_analysis_Wetse'!A507</f>
        <v>Wet</v>
      </c>
      <c r="C361" s="263">
        <f>'Final data_for_R_analysis_Wetse'!B507</f>
        <v>66</v>
      </c>
      <c r="D361" t="s">
        <v>3836</v>
      </c>
      <c r="E361" t="s">
        <v>25</v>
      </c>
      <c r="F361" s="386">
        <v>2</v>
      </c>
      <c r="G361" s="16">
        <f>'WetLitterbags placem_collection'!E68</f>
        <v>42767</v>
      </c>
      <c r="H361" s="92" t="str">
        <f>'Final data_for_R_analysis_Wetse'!J507</f>
        <v>G760</v>
      </c>
      <c r="I361" t="str">
        <f>'Final data_for_R_analysis_Wetse'!J727</f>
        <v>R252</v>
      </c>
      <c r="J361">
        <f>IFERROR(INDEX('Green_rooibos initial weight'!$C$5:$C$1749,MATCH(H361, 'Green_rooibos initial weight'!$A$5:$A$1749,0)),"")</f>
        <v>1.948</v>
      </c>
      <c r="K361">
        <f>IFERROR(INDEX('Green_rooibos initial weight'!$C$5:$C$1749,MATCH(I361, 'Green_rooibos initial weight'!$A$5:$A$1749,0)),"")</f>
        <v>2.2069999999999999</v>
      </c>
      <c r="L361" s="195">
        <f t="shared" si="52"/>
        <v>1.6981999999999999</v>
      </c>
      <c r="M361" s="195">
        <f>AVERAGE(Ashed_controlls!$K$2:$K$11)</f>
        <v>5.5147656768714146</v>
      </c>
      <c r="N361" s="195">
        <f t="shared" si="48"/>
        <v>1.6045482492753695</v>
      </c>
      <c r="O361" s="195">
        <f t="shared" si="53"/>
        <v>1.9571999999999998</v>
      </c>
      <c r="P361" s="195">
        <f>AVERAGE(Ashed_controlls!$K$12:$K$14)</f>
        <v>2.2816647271287041</v>
      </c>
      <c r="Q361" s="195">
        <f t="shared" si="54"/>
        <v>1.9125432579606367</v>
      </c>
      <c r="R361" s="16">
        <f>IF('WetLitterbags placem_collection'!G68="N.A","",'WetLitterbags placem_collection'!G68)</f>
        <v>42818</v>
      </c>
      <c r="S361" s="195">
        <f>IF(IFERROR(INDEX('Both teabags AfterWet'!$C$3:$C$841,MATCH(H361,'Both teabags AfterWet'!$A$3:$A$841,0)),"")="N.A","",(IFERROR(INDEX('Both teabags AfterWet'!$C$3:$C$841,MATCH(H361,'Both teabags AfterWet'!$A$3:$A$841,0)),"")))</f>
        <v>0.93500000000000005</v>
      </c>
      <c r="T361" s="195">
        <f>IFERROR(INDEX('Both teabags AfterWet'!$C$3:$C$841,MATCH(I361,'Both teabags AfterWet'!$A$3:$A$841,0)),"")</f>
        <v>1.6584000000000001</v>
      </c>
      <c r="U361" s="195">
        <f t="shared" si="55"/>
        <v>0.78439999999999999</v>
      </c>
      <c r="V361" s="195">
        <f t="shared" si="55"/>
        <v>1.5078</v>
      </c>
      <c r="W361" s="195">
        <f>IFERROR(INDEX('Ashed teabags wet'!$K$2:$K$821,MATCH(H361,'Ashed teabags wet'!$A$2:$A$821,0)),"")</f>
        <v>12.432959531935326</v>
      </c>
      <c r="X361" s="195" t="str">
        <f>IFERROR(INDEX('Ashed teabags wet'!$K$2:$K$821,MATCH(I361,'Ashed teabags wet'!$A$2:$A$821,0)),"")</f>
        <v/>
      </c>
      <c r="Y361" s="195">
        <f t="shared" si="49"/>
        <v>0.68687586543149926</v>
      </c>
      <c r="Z361" s="195" t="str">
        <f t="shared" si="49"/>
        <v/>
      </c>
      <c r="AA361" s="195">
        <f t="shared" si="56"/>
        <v>0.5719194697063803</v>
      </c>
      <c r="AB361" s="195">
        <f t="shared" si="57"/>
        <v>0.3749400799025201</v>
      </c>
      <c r="AC361" s="195" t="str">
        <f t="shared" si="50"/>
        <v/>
      </c>
      <c r="AD361">
        <f t="shared" si="51"/>
        <v>51</v>
      </c>
      <c r="AE361" s="195">
        <f t="shared" si="58"/>
        <v>0.3207607248142752</v>
      </c>
      <c r="AF361" s="195" t="str">
        <f t="shared" si="59"/>
        <v/>
      </c>
      <c r="AG361" s="255" t="str">
        <f>IF(ISNUMBER(SEARCH("C",'WetLitterbags placem_collection'!AD288)),"YES","NO")</f>
        <v>NO</v>
      </c>
      <c r="AH361" s="255" t="str">
        <f>IF(ISNUMBER(SEARCH("H", 'WetLitterbags placem_collection'!AF68)),"YES","NO")</f>
        <v>NO</v>
      </c>
      <c r="AI361" s="255" t="str">
        <f>IF(ISNUMBER(SEARCH("R", 'WetLitterbags placem_collection'!XF68)),"YES","NO")</f>
        <v>NO</v>
      </c>
      <c r="AJ361" s="255" t="str">
        <f>IF(ISNUMBER(SEARCH("C", 'WetLitterbags placem_collection'!WE68)),"YES","NO")</f>
        <v>NO</v>
      </c>
      <c r="AK361" s="255" t="str">
        <f>IF(ISNUMBER(SEARCH("H", 'WetLitterbags placem_collection'!AE68)),"YES","NO")</f>
        <v>NO</v>
      </c>
      <c r="AL361" s="255" t="str">
        <f>IF(ISNUMBER(SEARCH("R", 'WetLitterbags placem_collection'!AE68)),"YES","NO")</f>
        <v>NO</v>
      </c>
    </row>
    <row r="362" spans="2:38">
      <c r="B362" t="str">
        <f>'Final data_for_R_analysis_Wetse'!A508</f>
        <v>Wet</v>
      </c>
      <c r="C362" s="263">
        <f>'Final data_for_R_analysis_Wetse'!B508</f>
        <v>67</v>
      </c>
      <c r="D362" t="s">
        <v>3836</v>
      </c>
      <c r="E362" t="s">
        <v>25</v>
      </c>
      <c r="F362" s="386">
        <v>3</v>
      </c>
      <c r="G362" s="16">
        <f>'WetLitterbags placem_collection'!E69</f>
        <v>42767</v>
      </c>
      <c r="H362" s="92" t="str">
        <f>'Final data_for_R_analysis_Wetse'!J508</f>
        <v>G660</v>
      </c>
      <c r="I362" t="str">
        <f>'Final data_for_R_analysis_Wetse'!J728</f>
        <v>R44</v>
      </c>
      <c r="J362">
        <f>IFERROR(INDEX('Green_rooibos initial weight'!$C$5:$C$1749,MATCH(H362, 'Green_rooibos initial weight'!$A$5:$A$1749,0)),"")</f>
        <v>2.0339999999999998</v>
      </c>
      <c r="K362">
        <f>IFERROR(INDEX('Green_rooibos initial weight'!$C$5:$C$1749,MATCH(I362, 'Green_rooibos initial weight'!$A$5:$A$1749,0)),"")</f>
        <v>2.2480000000000002</v>
      </c>
      <c r="L362" s="195">
        <f t="shared" si="52"/>
        <v>1.7841999999999998</v>
      </c>
      <c r="M362" s="195">
        <f>AVERAGE(Ashed_controlls!$K$2:$K$11)</f>
        <v>5.5147656768714146</v>
      </c>
      <c r="N362" s="195">
        <f t="shared" si="48"/>
        <v>1.6858055507932601</v>
      </c>
      <c r="O362" s="195">
        <f t="shared" si="53"/>
        <v>1.9982000000000002</v>
      </c>
      <c r="P362" s="195">
        <f>AVERAGE(Ashed_controlls!$K$12:$K$14)</f>
        <v>2.2816647271287041</v>
      </c>
      <c r="Q362" s="195">
        <f t="shared" si="54"/>
        <v>1.9526077754225144</v>
      </c>
      <c r="R362" s="16">
        <f>IF('WetLitterbags placem_collection'!G69="N.A","",'WetLitterbags placem_collection'!G69)</f>
        <v>42818</v>
      </c>
      <c r="S362" s="195">
        <f>IF(IFERROR(INDEX('Both teabags AfterWet'!$C$3:$C$841,MATCH(H362,'Both teabags AfterWet'!$A$3:$A$841,0)),"")="N.A","",(IFERROR(INDEX('Both teabags AfterWet'!$C$3:$C$841,MATCH(H362,'Both teabags AfterWet'!$A$3:$A$841,0)),"")))</f>
        <v>0.92510000000000003</v>
      </c>
      <c r="T362" s="195">
        <f>IFERROR(INDEX('Both teabags AfterWet'!$C$3:$C$841,MATCH(I362,'Both teabags AfterWet'!$A$3:$A$841,0)),"")</f>
        <v>1.5427999999999999</v>
      </c>
      <c r="U362" s="195">
        <f t="shared" si="55"/>
        <v>0.77449999999999997</v>
      </c>
      <c r="V362" s="195">
        <f t="shared" si="55"/>
        <v>1.3921999999999999</v>
      </c>
      <c r="W362" s="195">
        <f>IFERROR(INDEX('Ashed teabags wet'!$K$2:$K$821,MATCH(H362,'Ashed teabags wet'!$A$2:$A$821,0)),"")</f>
        <v>10.402684563757722</v>
      </c>
      <c r="X362" s="195">
        <f>IFERROR(INDEX('Ashed teabags wet'!$K$2:$K$821,MATCH(I362,'Ashed teabags wet'!$A$2:$A$821,0)),"")</f>
        <v>3.2098765432091394</v>
      </c>
      <c r="Y362" s="195">
        <f t="shared" si="49"/>
        <v>0.69393120805369646</v>
      </c>
      <c r="Z362" s="195">
        <f t="shared" si="49"/>
        <v>1.3475120987654423</v>
      </c>
      <c r="AA362" s="195">
        <f t="shared" si="56"/>
        <v>0.58836817939817232</v>
      </c>
      <c r="AB362" s="195">
        <f t="shared" si="57"/>
        <v>0.385723557040132</v>
      </c>
      <c r="AC362" s="195">
        <f t="shared" si="50"/>
        <v>0.69010894851827642</v>
      </c>
      <c r="AD362">
        <f t="shared" si="51"/>
        <v>51</v>
      </c>
      <c r="AE362" s="195">
        <f t="shared" si="58"/>
        <v>0.30122544014468844</v>
      </c>
      <c r="AF362" s="195">
        <f t="shared" si="59"/>
        <v>3.1893998146449359E-2</v>
      </c>
      <c r="AG362" s="255" t="str">
        <f>IF(ISNUMBER(SEARCH("C",'WetLitterbags placem_collection'!AD289)),"YES","NO")</f>
        <v>NO</v>
      </c>
      <c r="AH362" s="255" t="str">
        <f>IF(ISNUMBER(SEARCH("H", 'WetLitterbags placem_collection'!AF69)),"YES","NO")</f>
        <v>NO</v>
      </c>
      <c r="AI362" s="255" t="str">
        <f>IF(ISNUMBER(SEARCH("R", 'WetLitterbags placem_collection'!XF69)),"YES","NO")</f>
        <v>NO</v>
      </c>
      <c r="AJ362" s="255" t="str">
        <f>IF(ISNUMBER(SEARCH("C", 'WetLitterbags placem_collection'!WE69)),"YES","NO")</f>
        <v>NO</v>
      </c>
      <c r="AK362" s="255" t="str">
        <f>IF(ISNUMBER(SEARCH("H", 'WetLitterbags placem_collection'!AE69)),"YES","NO")</f>
        <v>NO</v>
      </c>
      <c r="AL362" s="255" t="str">
        <f>IF(ISNUMBER(SEARCH("R", 'WetLitterbags placem_collection'!AE69)),"YES","NO")</f>
        <v>NO</v>
      </c>
    </row>
    <row r="363" spans="2:38">
      <c r="B363" t="str">
        <f>'Final data_for_R_analysis_Wetse'!A509</f>
        <v>Wet</v>
      </c>
      <c r="C363" s="263">
        <f>'Final data_for_R_analysis_Wetse'!B509</f>
        <v>68</v>
      </c>
      <c r="D363" t="s">
        <v>3836</v>
      </c>
      <c r="E363" t="s">
        <v>25</v>
      </c>
      <c r="F363" s="387">
        <v>4</v>
      </c>
      <c r="G363" s="16">
        <f>'WetLitterbags placem_collection'!E70</f>
        <v>42767</v>
      </c>
      <c r="H363" s="92" t="str">
        <f>'Final data_for_R_analysis_Wetse'!J509</f>
        <v>G477</v>
      </c>
      <c r="I363" t="str">
        <f>'Final data_for_R_analysis_Wetse'!J729</f>
        <v>R9</v>
      </c>
      <c r="J363">
        <f>IFERROR(INDEX('Green_rooibos initial weight'!$C$5:$C$1749,MATCH(H363, 'Green_rooibos initial weight'!$A$5:$A$1749,0)),"")</f>
        <v>2.073</v>
      </c>
      <c r="K363">
        <f>IFERROR(INDEX('Green_rooibos initial weight'!$C$5:$C$1749,MATCH(I363, 'Green_rooibos initial weight'!$A$5:$A$1749,0)),"")</f>
        <v>2.2679999999999998</v>
      </c>
      <c r="L363" s="195">
        <f t="shared" si="52"/>
        <v>1.8231999999999999</v>
      </c>
      <c r="M363" s="195">
        <f>AVERAGE(Ashed_controlls!$K$2:$K$11)</f>
        <v>5.5147656768714146</v>
      </c>
      <c r="N363" s="195">
        <f t="shared" si="48"/>
        <v>1.7226547921792803</v>
      </c>
      <c r="O363" s="195">
        <f t="shared" si="53"/>
        <v>2.0181999999999998</v>
      </c>
      <c r="P363" s="195">
        <f>AVERAGE(Ashed_controlls!$K$12:$K$14)</f>
        <v>2.2816647271287041</v>
      </c>
      <c r="Q363" s="195">
        <f t="shared" si="54"/>
        <v>1.9721514424770883</v>
      </c>
      <c r="R363" s="16">
        <f>IF('WetLitterbags placem_collection'!G70="N.A","",'WetLitterbags placem_collection'!G70)</f>
        <v>42818</v>
      </c>
      <c r="S363" s="195">
        <f>IF(IFERROR(INDEX('Both teabags AfterWet'!$C$3:$C$841,MATCH(H363,'Both teabags AfterWet'!$A$3:$A$841,0)),"")="N.A","",(IFERROR(INDEX('Both teabags AfterWet'!$C$3:$C$841,MATCH(H363,'Both teabags AfterWet'!$A$3:$A$841,0)),"")))</f>
        <v>0.90500000000000003</v>
      </c>
      <c r="T363" s="195">
        <f>IFERROR(INDEX('Both teabags AfterWet'!$C$3:$C$841,MATCH(I363,'Both teabags AfterWet'!$A$3:$A$841,0)),"")</f>
        <v>1.7050000000000001</v>
      </c>
      <c r="U363" s="195">
        <f t="shared" si="55"/>
        <v>0.75439999999999996</v>
      </c>
      <c r="V363" s="195">
        <f t="shared" si="55"/>
        <v>1.5544</v>
      </c>
      <c r="W363" s="195">
        <f>IFERROR(INDEX('Ashed teabags wet'!$K$2:$K$821,MATCH(H363,'Ashed teabags wet'!$A$2:$A$821,0)),"")</f>
        <v>16.691358024691656</v>
      </c>
      <c r="X363" s="195">
        <f>IFERROR(INDEX('Ashed teabags wet'!$K$2:$K$821,MATCH(I363,'Ashed teabags wet'!$A$2:$A$821,0)),"")</f>
        <v>6.1938061938065374</v>
      </c>
      <c r="Y363" s="195">
        <f t="shared" si="49"/>
        <v>0.62848039506172615</v>
      </c>
      <c r="Z363" s="195">
        <f t="shared" si="49"/>
        <v>1.4581234765234712</v>
      </c>
      <c r="AA363" s="195">
        <f t="shared" si="56"/>
        <v>0.63516753448515706</v>
      </c>
      <c r="AB363" s="195">
        <f t="shared" si="57"/>
        <v>0.41640436940119568</v>
      </c>
      <c r="AC363" s="195">
        <f t="shared" si="50"/>
        <v>0.73935674772116855</v>
      </c>
      <c r="AD363">
        <f t="shared" si="51"/>
        <v>51</v>
      </c>
      <c r="AE363" s="195">
        <f t="shared" si="58"/>
        <v>0.24564425833116732</v>
      </c>
      <c r="AF363" s="195">
        <f t="shared" si="59"/>
        <v>1.928104503630089E-2</v>
      </c>
      <c r="AG363" s="255" t="str">
        <f>IF(ISNUMBER(SEARCH("C",'WetLitterbags placem_collection'!AD290)),"YES","NO")</f>
        <v>NO</v>
      </c>
      <c r="AH363" s="255" t="str">
        <f>IF(ISNUMBER(SEARCH("H", 'WetLitterbags placem_collection'!AF70)),"YES","NO")</f>
        <v>NO</v>
      </c>
      <c r="AI363" s="255" t="str">
        <f>IF(ISNUMBER(SEARCH("R", 'WetLitterbags placem_collection'!XF70)),"YES","NO")</f>
        <v>NO</v>
      </c>
      <c r="AJ363" s="255" t="str">
        <f>IF(ISNUMBER(SEARCH("C", 'WetLitterbags placem_collection'!WE70)),"YES","NO")</f>
        <v>NO</v>
      </c>
      <c r="AK363" s="255" t="str">
        <f>IF(ISNUMBER(SEARCH("H", 'WetLitterbags placem_collection'!AE70)),"YES","NO")</f>
        <v>NO</v>
      </c>
      <c r="AL363" s="255" t="str">
        <f>IF(ISNUMBER(SEARCH("R", 'WetLitterbags placem_collection'!AE70)),"YES","NO")</f>
        <v>NO</v>
      </c>
    </row>
    <row r="364" spans="2:38">
      <c r="B364" t="str">
        <f>'Final data_for_R_analysis_Wetse'!A510</f>
        <v>Wet</v>
      </c>
      <c r="C364" s="263">
        <f>'Final data_for_R_analysis_Wetse'!B510</f>
        <v>69</v>
      </c>
      <c r="D364" t="s">
        <v>3836</v>
      </c>
      <c r="E364" t="s">
        <v>25</v>
      </c>
      <c r="F364" s="387">
        <v>5</v>
      </c>
      <c r="G364" s="16">
        <f>'WetLitterbags placem_collection'!E71</f>
        <v>42767</v>
      </c>
      <c r="H364" s="92" t="str">
        <f>'Final data_for_R_analysis_Wetse'!J510</f>
        <v>G386</v>
      </c>
      <c r="I364" t="str">
        <f>'Final data_for_R_analysis_Wetse'!J730</f>
        <v>R251</v>
      </c>
      <c r="J364">
        <f>IFERROR(INDEX('Green_rooibos initial weight'!$C$5:$C$1749,MATCH(H364, 'Green_rooibos initial weight'!$A$5:$A$1749,0)),"")</f>
        <v>1.897</v>
      </c>
      <c r="K364">
        <f>IFERROR(INDEX('Green_rooibos initial weight'!$C$5:$C$1749,MATCH(I364, 'Green_rooibos initial weight'!$A$5:$A$1749,0)),"")</f>
        <v>2.266</v>
      </c>
      <c r="L364" s="195">
        <f t="shared" si="52"/>
        <v>1.6472</v>
      </c>
      <c r="M364" s="195">
        <f>AVERAGE(Ashed_controlls!$K$2:$K$11)</f>
        <v>5.5147656768714146</v>
      </c>
      <c r="N364" s="195">
        <f t="shared" si="48"/>
        <v>1.5563607797705741</v>
      </c>
      <c r="O364" s="195">
        <f t="shared" si="53"/>
        <v>2.0162</v>
      </c>
      <c r="P364" s="195">
        <f>AVERAGE(Ashed_controlls!$K$12:$K$14)</f>
        <v>2.2816647271287041</v>
      </c>
      <c r="Q364" s="195">
        <f t="shared" si="54"/>
        <v>1.9701970757716312</v>
      </c>
      <c r="R364" s="16">
        <f>IF('WetLitterbags placem_collection'!G71="N.A","",'WetLitterbags placem_collection'!G71)</f>
        <v>42818</v>
      </c>
      <c r="S364" s="195">
        <f>IF(IFERROR(INDEX('Both teabags AfterWet'!$C$3:$C$841,MATCH(H364,'Both teabags AfterWet'!$A$3:$A$841,0)),"")="N.A","",(IFERROR(INDEX('Both teabags AfterWet'!$C$3:$C$841,MATCH(H364,'Both teabags AfterWet'!$A$3:$A$841,0)),"")))</f>
        <v>0.98899999999999999</v>
      </c>
      <c r="T364" s="195">
        <f>IFERROR(INDEX('Both teabags AfterWet'!$C$3:$C$841,MATCH(I364,'Both teabags AfterWet'!$A$3:$A$841,0)),"")</f>
        <v>1.8979999999999999</v>
      </c>
      <c r="U364" s="195">
        <f t="shared" si="55"/>
        <v>0.83840000000000003</v>
      </c>
      <c r="V364" s="195">
        <f t="shared" si="55"/>
        <v>1.7473999999999998</v>
      </c>
      <c r="W364" s="195">
        <f>IFERROR(INDEX('Ashed teabags wet'!$K$2:$K$821,MATCH(H364,'Ashed teabags wet'!$A$2:$A$821,0)),"")</f>
        <v>28.64945382323781</v>
      </c>
      <c r="X364" s="195">
        <f>IFERROR(INDEX('Ashed teabags wet'!$K$2:$K$821,MATCH(I364,'Ashed teabags wet'!$A$2:$A$821,0)),"")</f>
        <v>14.026483570377628</v>
      </c>
      <c r="Y364" s="195">
        <f t="shared" si="49"/>
        <v>0.5982029791459742</v>
      </c>
      <c r="Z364" s="195">
        <f t="shared" si="49"/>
        <v>1.5023012260912212</v>
      </c>
      <c r="AA364" s="195">
        <f t="shared" si="56"/>
        <v>0.61563990372839106</v>
      </c>
      <c r="AB364" s="195">
        <f t="shared" si="57"/>
        <v>0.40360240719485974</v>
      </c>
      <c r="AC364" s="195">
        <f t="shared" si="50"/>
        <v>0.76251317422285902</v>
      </c>
      <c r="AD364">
        <f t="shared" si="51"/>
        <v>51</v>
      </c>
      <c r="AE364" s="195">
        <f t="shared" si="58"/>
        <v>0.26883621884989184</v>
      </c>
      <c r="AF364" s="195">
        <f t="shared" si="59"/>
        <v>1.7406792805858589E-2</v>
      </c>
      <c r="AG364" s="255" t="str">
        <f>IF(ISNUMBER(SEARCH("C",'WetLitterbags placem_collection'!AD291)),"YES","NO")</f>
        <v>NO</v>
      </c>
      <c r="AH364" s="255" t="str">
        <f>IF(ISNUMBER(SEARCH("H", 'WetLitterbags placem_collection'!AF71)),"YES","NO")</f>
        <v>NO</v>
      </c>
      <c r="AI364" s="255" t="str">
        <f>IF(ISNUMBER(SEARCH("R", 'WetLitterbags placem_collection'!XF71)),"YES","NO")</f>
        <v>NO</v>
      </c>
      <c r="AJ364" s="255" t="str">
        <f>IF(ISNUMBER(SEARCH("C", 'WetLitterbags placem_collection'!WE71)),"YES","NO")</f>
        <v>NO</v>
      </c>
      <c r="AK364" s="255" t="str">
        <f>IF(ISNUMBER(SEARCH("H", 'WetLitterbags placem_collection'!AE71)),"YES","NO")</f>
        <v>NO</v>
      </c>
      <c r="AL364" s="255" t="str">
        <f>IF(ISNUMBER(SEARCH("R", 'WetLitterbags placem_collection'!AE71)),"YES","NO")</f>
        <v>NO</v>
      </c>
    </row>
    <row r="365" spans="2:38">
      <c r="B365" t="str">
        <f>'Final data_for_R_analysis_Wetse'!A511</f>
        <v>Wet</v>
      </c>
      <c r="C365" s="263">
        <f>'Final data_for_R_analysis_Wetse'!B511</f>
        <v>70</v>
      </c>
      <c r="D365" t="s">
        <v>3836</v>
      </c>
      <c r="E365" t="s">
        <v>25</v>
      </c>
      <c r="F365" s="387">
        <v>6</v>
      </c>
      <c r="G365" s="16">
        <f>'WetLitterbags placem_collection'!E72</f>
        <v>42767</v>
      </c>
      <c r="H365" s="92" t="str">
        <f>'Final data_for_R_analysis_Wetse'!J511</f>
        <v>G414</v>
      </c>
      <c r="I365" t="str">
        <f>'Final data_for_R_analysis_Wetse'!J731</f>
        <v>R266</v>
      </c>
      <c r="J365">
        <f>IFERROR(INDEX('Green_rooibos initial weight'!$C$5:$C$1749,MATCH(H365, 'Green_rooibos initial weight'!$A$5:$A$1749,0)),"")</f>
        <v>2.0590000000000002</v>
      </c>
      <c r="K365">
        <f>IFERROR(INDEX('Green_rooibos initial weight'!$C$5:$C$1749,MATCH(I365, 'Green_rooibos initial weight'!$A$5:$A$1749,0)),"")</f>
        <v>2.1720000000000002</v>
      </c>
      <c r="L365" s="195">
        <f t="shared" si="52"/>
        <v>1.8092000000000001</v>
      </c>
      <c r="M365" s="195">
        <f>AVERAGE(Ashed_controlls!$K$2:$K$11)</f>
        <v>5.5147656768714146</v>
      </c>
      <c r="N365" s="195">
        <f t="shared" si="48"/>
        <v>1.7094268593740425</v>
      </c>
      <c r="O365" s="195">
        <f t="shared" si="53"/>
        <v>1.9222000000000001</v>
      </c>
      <c r="P365" s="195">
        <f>AVERAGE(Ashed_controlls!$K$12:$K$14)</f>
        <v>2.2816647271287041</v>
      </c>
      <c r="Q365" s="195">
        <f t="shared" si="54"/>
        <v>1.8783418406151322</v>
      </c>
      <c r="R365" s="16">
        <f>IF('WetLitterbags placem_collection'!G72="N.A","",'WetLitterbags placem_collection'!G72)</f>
        <v>42818</v>
      </c>
      <c r="S365" s="195">
        <f>IF(IFERROR(INDEX('Both teabags AfterWet'!$C$3:$C$841,MATCH(H365,'Both teabags AfterWet'!$A$3:$A$841,0)),"")="N.A","",(IFERROR(INDEX('Both teabags AfterWet'!$C$3:$C$841,MATCH(H365,'Both teabags AfterWet'!$A$3:$A$841,0)),"")))</f>
        <v>0.84099999999999997</v>
      </c>
      <c r="T365" s="195">
        <f>IFERROR(INDEX('Both teabags AfterWet'!$C$3:$C$841,MATCH(I365,'Both teabags AfterWet'!$A$3:$A$841,0)),"")</f>
        <v>1.599</v>
      </c>
      <c r="U365" s="195">
        <f t="shared" si="55"/>
        <v>0.6903999999999999</v>
      </c>
      <c r="V365" s="195">
        <f t="shared" si="55"/>
        <v>1.4483999999999999</v>
      </c>
      <c r="W365" s="195">
        <f>IFERROR(INDEX('Ashed teabags wet'!$K$2:$K$821,MATCH(H365,'Ashed teabags wet'!$A$2:$A$821,0)),"")</f>
        <v>8.7493821057836652</v>
      </c>
      <c r="X365" s="195">
        <f>IFERROR(INDEX('Ashed teabags wet'!$K$2:$K$821,MATCH(I365,'Ashed teabags wet'!$A$2:$A$821,0)),"")</f>
        <v>2.9397110114603966</v>
      </c>
      <c r="Y365" s="195">
        <f t="shared" si="49"/>
        <v>0.62999426594166952</v>
      </c>
      <c r="Z365" s="195">
        <f t="shared" si="49"/>
        <v>1.4058212257100076</v>
      </c>
      <c r="AA365" s="195">
        <f t="shared" si="56"/>
        <v>0.63145877667304195</v>
      </c>
      <c r="AB365" s="195">
        <f t="shared" si="57"/>
        <v>0.41397297473102046</v>
      </c>
      <c r="AC365" s="195">
        <f t="shared" si="50"/>
        <v>0.7484373692328653</v>
      </c>
      <c r="AD365">
        <f t="shared" si="51"/>
        <v>51</v>
      </c>
      <c r="AE365" s="195">
        <f t="shared" si="58"/>
        <v>0.25004895882061517</v>
      </c>
      <c r="AF365" s="195">
        <f t="shared" si="59"/>
        <v>1.834656025900035E-2</v>
      </c>
      <c r="AG365" s="255" t="str">
        <f>IF(ISNUMBER(SEARCH("C",'WetLitterbags placem_collection'!AD292)),"YES","NO")</f>
        <v>NO</v>
      </c>
      <c r="AH365" s="255" t="str">
        <f>IF(ISNUMBER(SEARCH("H", 'WetLitterbags placem_collection'!AF72)),"YES","NO")</f>
        <v>NO</v>
      </c>
      <c r="AI365" s="255" t="str">
        <f>IF(ISNUMBER(SEARCH("R", 'WetLitterbags placem_collection'!XF72)),"YES","NO")</f>
        <v>NO</v>
      </c>
      <c r="AJ365" s="255" t="str">
        <f>IF(ISNUMBER(SEARCH("C", 'WetLitterbags placem_collection'!WE72)),"YES","NO")</f>
        <v>NO</v>
      </c>
      <c r="AK365" s="255" t="str">
        <f>IF(ISNUMBER(SEARCH("H", 'WetLitterbags placem_collection'!AE72)),"YES","NO")</f>
        <v>NO</v>
      </c>
      <c r="AL365" s="255" t="str">
        <f>IF(ISNUMBER(SEARCH("R", 'WetLitterbags placem_collection'!AE72)),"YES","NO")</f>
        <v>NO</v>
      </c>
    </row>
    <row r="366" spans="2:38">
      <c r="B366" t="str">
        <f>'Final data_for_R_analysis_Wetse'!A512</f>
        <v>Wet</v>
      </c>
      <c r="C366" s="263">
        <f>'Final data_for_R_analysis_Wetse'!B512</f>
        <v>71</v>
      </c>
      <c r="D366" t="s">
        <v>3836</v>
      </c>
      <c r="E366" t="s">
        <v>25</v>
      </c>
      <c r="F366" s="387">
        <v>7</v>
      </c>
      <c r="G366" s="16">
        <f>'WetLitterbags placem_collection'!E73</f>
        <v>42767</v>
      </c>
      <c r="H366" s="92" t="str">
        <f>'Final data_for_R_analysis_Wetse'!J512</f>
        <v>G459</v>
      </c>
      <c r="I366" t="str">
        <f>'Final data_for_R_analysis_Wetse'!J732</f>
        <v>R528</v>
      </c>
      <c r="J366">
        <f>IFERROR(INDEX('Green_rooibos initial weight'!$C$5:$C$1749,MATCH(H366, 'Green_rooibos initial weight'!$A$5:$A$1749,0)),"")</f>
        <v>2.0449999999999999</v>
      </c>
      <c r="K366">
        <f>IFERROR(INDEX('Green_rooibos initial weight'!$C$5:$C$1749,MATCH(I366, 'Green_rooibos initial weight'!$A$5:$A$1749,0)),"")</f>
        <v>2.1019999999999999</v>
      </c>
      <c r="L366" s="195">
        <f t="shared" si="52"/>
        <v>1.7951999999999999</v>
      </c>
      <c r="M366" s="195">
        <f>AVERAGE(Ashed_controlls!$K$2:$K$11)</f>
        <v>5.5147656768714146</v>
      </c>
      <c r="N366" s="195">
        <f t="shared" si="48"/>
        <v>1.6961989265688042</v>
      </c>
      <c r="O366" s="195">
        <f t="shared" si="53"/>
        <v>1.8521999999999998</v>
      </c>
      <c r="P366" s="195">
        <f>AVERAGE(Ashed_controlls!$K$12:$K$14)</f>
        <v>2.2816647271287041</v>
      </c>
      <c r="Q366" s="195">
        <f t="shared" si="54"/>
        <v>1.809939005924122</v>
      </c>
      <c r="R366" s="16">
        <f>IF('WetLitterbags placem_collection'!G73="N.A","",'WetLitterbags placem_collection'!G73)</f>
        <v>42818</v>
      </c>
      <c r="S366" s="195">
        <f>IF(IFERROR(INDEX('Both teabags AfterWet'!$C$3:$C$841,MATCH(H366,'Both teabags AfterWet'!$A$3:$A$841,0)),"")="N.A","",(IFERROR(INDEX('Both teabags AfterWet'!$C$3:$C$841,MATCH(H366,'Both teabags AfterWet'!$A$3:$A$841,0)),"")))</f>
        <v>0.89149999999999996</v>
      </c>
      <c r="T366" s="195">
        <f>IFERROR(INDEX('Both teabags AfterWet'!$C$3:$C$841,MATCH(I366,'Both teabags AfterWet'!$A$3:$A$841,0)),"")</f>
        <v>1.5779000000000001</v>
      </c>
      <c r="U366" s="195">
        <f t="shared" si="55"/>
        <v>0.74089999999999989</v>
      </c>
      <c r="V366" s="195">
        <f t="shared" si="55"/>
        <v>1.4273</v>
      </c>
      <c r="W366" s="195">
        <f>IFERROR(INDEX('Ashed teabags wet'!$K$2:$K$821,MATCH(H366,'Ashed teabags wet'!$A$2:$A$821,0)),"")</f>
        <v>7.7519379844959557</v>
      </c>
      <c r="X366" s="195">
        <f>IFERROR(INDEX('Ashed teabags wet'!$K$2:$K$821,MATCH(I366,'Ashed teabags wet'!$A$2:$A$821,0)),"")</f>
        <v>2.689243027888772</v>
      </c>
      <c r="Y366" s="195">
        <f t="shared" si="49"/>
        <v>0.6834658914728694</v>
      </c>
      <c r="Z366" s="195">
        <f t="shared" si="49"/>
        <v>1.3889164342629436</v>
      </c>
      <c r="AA366" s="195">
        <f t="shared" si="56"/>
        <v>0.59706029713423159</v>
      </c>
      <c r="AB366" s="195">
        <f t="shared" si="57"/>
        <v>0.39142195251555328</v>
      </c>
      <c r="AC366" s="195">
        <f t="shared" si="50"/>
        <v>0.76738300556917838</v>
      </c>
      <c r="AD366">
        <f t="shared" si="51"/>
        <v>51</v>
      </c>
      <c r="AE366" s="195">
        <f t="shared" si="58"/>
        <v>0.29090225993559193</v>
      </c>
      <c r="AF366" s="195">
        <f t="shared" si="59"/>
        <v>1.7688419020203114E-2</v>
      </c>
      <c r="AG366" s="255" t="str">
        <f>IF(ISNUMBER(SEARCH("C",'WetLitterbags placem_collection'!AD293)),"YES","NO")</f>
        <v>NO</v>
      </c>
      <c r="AH366" s="255" t="str">
        <f>IF(ISNUMBER(SEARCH("H", 'WetLitterbags placem_collection'!AF73)),"YES","NO")</f>
        <v>NO</v>
      </c>
      <c r="AI366" s="255" t="str">
        <f>IF(ISNUMBER(SEARCH("R", 'WetLitterbags placem_collection'!XF73)),"YES","NO")</f>
        <v>NO</v>
      </c>
      <c r="AJ366" s="255" t="str">
        <f>IF(ISNUMBER(SEARCH("C", 'WetLitterbags placem_collection'!WE73)),"YES","NO")</f>
        <v>NO</v>
      </c>
      <c r="AK366" s="255" t="str">
        <f>IF(ISNUMBER(SEARCH("H", 'WetLitterbags placem_collection'!AE73)),"YES","NO")</f>
        <v>NO</v>
      </c>
      <c r="AL366" s="255" t="str">
        <f>IF(ISNUMBER(SEARCH("R", 'WetLitterbags placem_collection'!AE73)),"YES","NO")</f>
        <v>NO</v>
      </c>
    </row>
    <row r="367" spans="2:38">
      <c r="B367" t="str">
        <f>'Final data_for_R_analysis_Wetse'!A513</f>
        <v>Wet</v>
      </c>
      <c r="C367" s="263">
        <f>'Final data_for_R_analysis_Wetse'!B513</f>
        <v>72</v>
      </c>
      <c r="D367" t="s">
        <v>3836</v>
      </c>
      <c r="E367" t="s">
        <v>25</v>
      </c>
      <c r="F367" s="387">
        <v>8</v>
      </c>
      <c r="G367" s="16">
        <f>'WetLitterbags placem_collection'!E74</f>
        <v>42767</v>
      </c>
      <c r="H367" s="92" t="str">
        <f>'Final data_for_R_analysis_Wetse'!J513</f>
        <v>G627</v>
      </c>
      <c r="I367" t="str">
        <f>'Final data_for_R_analysis_Wetse'!J733</f>
        <v>R14</v>
      </c>
      <c r="J367">
        <f>IFERROR(INDEX('Green_rooibos initial weight'!$C$5:$C$1749,MATCH(H367, 'Green_rooibos initial weight'!$A$5:$A$1749,0)),"")</f>
        <v>2.153</v>
      </c>
      <c r="K367">
        <f>IFERROR(INDEX('Green_rooibos initial weight'!$C$5:$C$1749,MATCH(I367, 'Green_rooibos initial weight'!$A$5:$A$1749,0)),"")</f>
        <v>2.181</v>
      </c>
      <c r="L367" s="195">
        <f t="shared" si="52"/>
        <v>1.9032</v>
      </c>
      <c r="M367" s="195">
        <f>AVERAGE(Ashed_controlls!$K$2:$K$11)</f>
        <v>5.5147656768714146</v>
      </c>
      <c r="N367" s="195">
        <f t="shared" si="48"/>
        <v>1.7982429796377832</v>
      </c>
      <c r="O367" s="195">
        <f t="shared" si="53"/>
        <v>1.9312</v>
      </c>
      <c r="P367" s="195">
        <f>AVERAGE(Ashed_controlls!$K$12:$K$14)</f>
        <v>2.2816647271287041</v>
      </c>
      <c r="Q367" s="195">
        <f t="shared" si="54"/>
        <v>1.8871364907896906</v>
      </c>
      <c r="R367" s="16">
        <f>IF('WetLitterbags placem_collection'!G74="N.A","",'WetLitterbags placem_collection'!G74)</f>
        <v>42818</v>
      </c>
      <c r="S367" s="195">
        <f>IF(IFERROR(INDEX('Both teabags AfterWet'!$C$3:$C$841,MATCH(H367,'Both teabags AfterWet'!$A$3:$A$841,0)),"")="N.A","",(IFERROR(INDEX('Both teabags AfterWet'!$C$3:$C$841,MATCH(H367,'Both teabags AfterWet'!$A$3:$A$841,0)),"")))</f>
        <v>0.86350000000000005</v>
      </c>
      <c r="T367" s="195">
        <f>IFERROR(INDEX('Both teabags AfterWet'!$C$3:$C$841,MATCH(I367,'Both teabags AfterWet'!$A$3:$A$841,0)),"")</f>
        <v>1.5603</v>
      </c>
      <c r="U367" s="195">
        <f t="shared" si="55"/>
        <v>0.71290000000000009</v>
      </c>
      <c r="V367" s="195">
        <f t="shared" si="55"/>
        <v>1.4097</v>
      </c>
      <c r="W367" s="195">
        <f>IFERROR(INDEX('Ashed teabags wet'!$K$2:$K$821,MATCH(H367,'Ashed teabags wet'!$A$2:$A$821,0)),"")</f>
        <v>8.0899952130205044</v>
      </c>
      <c r="X367" s="195">
        <f>IFERROR(INDEX('Ashed teabags wet'!$K$2:$K$821,MATCH(I367,'Ashed teabags wet'!$A$2:$A$821,0)),"")</f>
        <v>3.0571992110453157</v>
      </c>
      <c r="Y367" s="195">
        <f t="shared" si="49"/>
        <v>0.65522642412637688</v>
      </c>
      <c r="Z367" s="195">
        <f t="shared" si="49"/>
        <v>1.3666026627218941</v>
      </c>
      <c r="AA367" s="195">
        <f t="shared" si="56"/>
        <v>0.63562964986057779</v>
      </c>
      <c r="AB367" s="195">
        <f t="shared" si="57"/>
        <v>0.4167073238990962</v>
      </c>
      <c r="AC367" s="195">
        <f t="shared" si="50"/>
        <v>0.72416736647916014</v>
      </c>
      <c r="AD367">
        <f t="shared" si="51"/>
        <v>51</v>
      </c>
      <c r="AE367" s="195">
        <f t="shared" si="58"/>
        <v>0.2450954277190287</v>
      </c>
      <c r="AF367" s="195">
        <f t="shared" si="59"/>
        <v>2.1264967445402353E-2</v>
      </c>
      <c r="AG367" s="255" t="str">
        <f>IF(ISNUMBER(SEARCH("C",'WetLitterbags placem_collection'!AD294)),"YES","NO")</f>
        <v>NO</v>
      </c>
      <c r="AH367" s="255" t="str">
        <f>IF(ISNUMBER(SEARCH("H", 'WetLitterbags placem_collection'!AF74)),"YES","NO")</f>
        <v>NO</v>
      </c>
      <c r="AI367" s="255" t="str">
        <f>IF(ISNUMBER(SEARCH("R", 'WetLitterbags placem_collection'!XF74)),"YES","NO")</f>
        <v>NO</v>
      </c>
      <c r="AJ367" s="255" t="str">
        <f>IF(ISNUMBER(SEARCH("C", 'WetLitterbags placem_collection'!WE74)),"YES","NO")</f>
        <v>NO</v>
      </c>
      <c r="AK367" s="255" t="str">
        <f>IF(ISNUMBER(SEARCH("H", 'WetLitterbags placem_collection'!AE74)),"YES","NO")</f>
        <v>NO</v>
      </c>
      <c r="AL367" s="255" t="str">
        <f>IF(ISNUMBER(SEARCH("R", 'WetLitterbags placem_collection'!AE74)),"YES","NO")</f>
        <v>NO</v>
      </c>
    </row>
    <row r="368" spans="2:38">
      <c r="B368" t="str">
        <f>'Final data_for_R_analysis_Wetse'!A514</f>
        <v>Wet</v>
      </c>
      <c r="C368" s="263">
        <f>'Final data_for_R_analysis_Wetse'!B514</f>
        <v>73</v>
      </c>
      <c r="D368" t="s">
        <v>3838</v>
      </c>
      <c r="E368" t="s">
        <v>25</v>
      </c>
      <c r="F368" s="386">
        <v>1</v>
      </c>
      <c r="G368" s="16">
        <f>'WetLitterbags placem_collection'!E75</f>
        <v>42767</v>
      </c>
      <c r="H368" s="92" t="str">
        <f>'Final data_for_R_analysis_Wetse'!J514</f>
        <v>G498</v>
      </c>
      <c r="I368" t="str">
        <f>'Final data_for_R_analysis_Wetse'!J734</f>
        <v>R393</v>
      </c>
      <c r="J368">
        <f>IFERROR(INDEX('Green_rooibos initial weight'!$C$5:$C$1749,MATCH(H368, 'Green_rooibos initial weight'!$A$5:$A$1749,0)),"")</f>
        <v>1.744</v>
      </c>
      <c r="K368">
        <f>IFERROR(INDEX('Green_rooibos initial weight'!$C$5:$C$1749,MATCH(I368, 'Green_rooibos initial weight'!$A$5:$A$1749,0)),"")</f>
        <v>2.1829999999999998</v>
      </c>
      <c r="L368" s="195">
        <f t="shared" si="52"/>
        <v>1.4942</v>
      </c>
      <c r="M368" s="195">
        <f>AVERAGE(Ashed_controlls!$K$2:$K$11)</f>
        <v>5.5147656768714146</v>
      </c>
      <c r="N368" s="195">
        <f t="shared" si="48"/>
        <v>1.4117983712561872</v>
      </c>
      <c r="O368" s="195">
        <f t="shared" si="53"/>
        <v>1.9331999999999998</v>
      </c>
      <c r="P368" s="195">
        <f>AVERAGE(Ashed_controlls!$K$12:$K$14)</f>
        <v>2.2816647271287041</v>
      </c>
      <c r="Q368" s="195">
        <f t="shared" si="54"/>
        <v>1.8890908574951477</v>
      </c>
      <c r="R368" s="16">
        <f>IF('WetLitterbags placem_collection'!G75="N.A","",'WetLitterbags placem_collection'!G75)</f>
        <v>42818</v>
      </c>
      <c r="S368" s="195">
        <f>IF(IFERROR(INDEX('Both teabags AfterWet'!$C$3:$C$841,MATCH(H368,'Both teabags AfterWet'!$A$3:$A$841,0)),"")="N.A","",(IFERROR(INDEX('Both teabags AfterWet'!$C$3:$C$841,MATCH(H368,'Both teabags AfterWet'!$A$3:$A$841,0)),"")))</f>
        <v>0.73209999999999997</v>
      </c>
      <c r="T368" s="195">
        <f>IFERROR(INDEX('Both teabags AfterWet'!$C$3:$C$841,MATCH(I368,'Both teabags AfterWet'!$A$3:$A$841,0)),"")</f>
        <v>1.6598999999999999</v>
      </c>
      <c r="U368" s="195">
        <f t="shared" si="55"/>
        <v>0.58149999999999991</v>
      </c>
      <c r="V368" s="195">
        <f t="shared" si="55"/>
        <v>1.5092999999999999</v>
      </c>
      <c r="W368" s="195">
        <f>IFERROR(INDEX('Ashed teabags wet'!$K$2:$K$821,MATCH(H368,'Ashed teabags wet'!$A$2:$A$821,0)),"")</f>
        <v>8.2123184777161153</v>
      </c>
      <c r="X368" s="195">
        <f>IFERROR(INDEX('Ashed teabags wet'!$K$2:$K$821,MATCH(I368,'Ashed teabags wet'!$A$2:$A$821,0)),"")</f>
        <v>2.4769305488104898</v>
      </c>
      <c r="Y368" s="195">
        <f t="shared" si="49"/>
        <v>0.53374536805208073</v>
      </c>
      <c r="Z368" s="195">
        <f t="shared" si="49"/>
        <v>1.4719156872268031</v>
      </c>
      <c r="AA368" s="195">
        <f t="shared" si="56"/>
        <v>0.62193937964585855</v>
      </c>
      <c r="AB368" s="195">
        <f t="shared" si="57"/>
        <v>0.40773222988659613</v>
      </c>
      <c r="AC368" s="195">
        <f t="shared" si="50"/>
        <v>0.77916616947609352</v>
      </c>
      <c r="AD368">
        <f t="shared" si="51"/>
        <v>51</v>
      </c>
      <c r="AE368" s="195">
        <f t="shared" si="58"/>
        <v>0.26135465600254326</v>
      </c>
      <c r="AF368" s="195">
        <f t="shared" si="59"/>
        <v>1.5295009987463941E-2</v>
      </c>
      <c r="AG368" s="255" t="str">
        <f>IF(ISNUMBER(SEARCH("C",'WetLitterbags placem_collection'!AD295)),"YES","NO")</f>
        <v>NO</v>
      </c>
      <c r="AH368" s="255" t="str">
        <f>IF(ISNUMBER(SEARCH("H", 'WetLitterbags placem_collection'!AF75)),"YES","NO")</f>
        <v>NO</v>
      </c>
      <c r="AI368" s="255" t="str">
        <f>IF(ISNUMBER(SEARCH("R", 'WetLitterbags placem_collection'!XF75)),"YES","NO")</f>
        <v>NO</v>
      </c>
      <c r="AJ368" s="255" t="str">
        <f>IF(ISNUMBER(SEARCH("C", 'WetLitterbags placem_collection'!WE75)),"YES","NO")</f>
        <v>NO</v>
      </c>
      <c r="AK368" s="255" t="str">
        <f>IF(ISNUMBER(SEARCH("H", 'WetLitterbags placem_collection'!AE75)),"YES","NO")</f>
        <v>NO</v>
      </c>
      <c r="AL368" s="255" t="str">
        <f>IF(ISNUMBER(SEARCH("R", 'WetLitterbags placem_collection'!AE75)),"YES","NO")</f>
        <v>NO</v>
      </c>
    </row>
    <row r="369" spans="2:38">
      <c r="B369" t="str">
        <f>'Final data_for_R_analysis_Wetse'!A515</f>
        <v>Wet</v>
      </c>
      <c r="C369" s="263">
        <f>'Final data_for_R_analysis_Wetse'!B515</f>
        <v>74</v>
      </c>
      <c r="D369" t="s">
        <v>3838</v>
      </c>
      <c r="E369" t="s">
        <v>25</v>
      </c>
      <c r="F369" s="386">
        <v>2</v>
      </c>
      <c r="G369" s="16">
        <f>'WetLitterbags placem_collection'!E76</f>
        <v>42767</v>
      </c>
      <c r="H369" s="92" t="str">
        <f>'Final data_for_R_analysis_Wetse'!J515</f>
        <v>G579</v>
      </c>
      <c r="I369" t="str">
        <f>'Final data_for_R_analysis_Wetse'!J735</f>
        <v>R138</v>
      </c>
      <c r="J369">
        <f>IFERROR(INDEX('Green_rooibos initial weight'!$C$5:$C$1749,MATCH(H369, 'Green_rooibos initial weight'!$A$5:$A$1749,0)),"")</f>
        <v>2.012</v>
      </c>
      <c r="K369">
        <f>IFERROR(INDEX('Green_rooibos initial weight'!$C$5:$C$1749,MATCH(I369, 'Green_rooibos initial weight'!$A$5:$A$1749,0)),"")</f>
        <v>2.3140000000000001</v>
      </c>
      <c r="L369" s="195">
        <f t="shared" si="52"/>
        <v>1.7622</v>
      </c>
      <c r="M369" s="195">
        <f>AVERAGE(Ashed_controlls!$K$2:$K$11)</f>
        <v>5.5147656768714146</v>
      </c>
      <c r="N369" s="195">
        <f t="shared" si="48"/>
        <v>1.6650187992421719</v>
      </c>
      <c r="O369" s="195">
        <f t="shared" si="53"/>
        <v>2.0642</v>
      </c>
      <c r="P369" s="195">
        <f>AVERAGE(Ashed_controlls!$K$12:$K$14)</f>
        <v>2.2816647271287041</v>
      </c>
      <c r="Q369" s="195">
        <f t="shared" si="54"/>
        <v>2.0171018767026094</v>
      </c>
      <c r="R369" s="16">
        <f>IF('WetLitterbags placem_collection'!G76="N.A","",'WetLitterbags placem_collection'!G76)</f>
        <v>42818</v>
      </c>
      <c r="S369" s="195">
        <f>IF(IFERROR(INDEX('Both teabags AfterWet'!$C$3:$C$841,MATCH(H369,'Both teabags AfterWet'!$A$3:$A$841,0)),"")="N.A","",(IFERROR(INDEX('Both teabags AfterWet'!$C$3:$C$841,MATCH(H369,'Both teabags AfterWet'!$A$3:$A$841,0)),"")))</f>
        <v>0.74199999999999999</v>
      </c>
      <c r="T369" s="195">
        <f>IFERROR(INDEX('Both teabags AfterWet'!$C$3:$C$841,MATCH(I369,'Both teabags AfterWet'!$A$3:$A$841,0)),"")</f>
        <v>1.6850000000000001</v>
      </c>
      <c r="U369" s="195">
        <f t="shared" si="55"/>
        <v>0.59139999999999993</v>
      </c>
      <c r="V369" s="195">
        <f t="shared" si="55"/>
        <v>1.5344</v>
      </c>
      <c r="W369" s="195">
        <f>IFERROR(INDEX('Ashed teabags wet'!$K$2:$K$821,MATCH(H369,'Ashed teabags wet'!$A$2:$A$821,0)),"")</f>
        <v>9.0817862518813506</v>
      </c>
      <c r="X369" s="195">
        <f>IFERROR(INDEX('Ashed teabags wet'!$K$2:$K$821,MATCH(I369,'Ashed teabags wet'!$A$2:$A$821,0)),"")</f>
        <v>3.6873156342174327</v>
      </c>
      <c r="Y369" s="195">
        <f t="shared" si="49"/>
        <v>0.53769031610637363</v>
      </c>
      <c r="Z369" s="195">
        <f t="shared" si="49"/>
        <v>1.4778218289085676</v>
      </c>
      <c r="AA369" s="195">
        <f t="shared" si="56"/>
        <v>0.67706651939839857</v>
      </c>
      <c r="AB369" s="195">
        <f t="shared" si="57"/>
        <v>0.4438725875390927</v>
      </c>
      <c r="AC369" s="195">
        <f t="shared" si="50"/>
        <v>0.73264610279595199</v>
      </c>
      <c r="AD369">
        <f t="shared" si="51"/>
        <v>51</v>
      </c>
      <c r="AE369" s="195">
        <f t="shared" si="58"/>
        <v>0.19588299358860028</v>
      </c>
      <c r="AF369" s="195">
        <f t="shared" si="59"/>
        <v>1.808060374963431E-2</v>
      </c>
      <c r="AG369" s="255" t="str">
        <f>IF(ISNUMBER(SEARCH("C",'WetLitterbags placem_collection'!AD296)),"YES","NO")</f>
        <v>NO</v>
      </c>
      <c r="AH369" s="255" t="str">
        <f>IF(ISNUMBER(SEARCH("H", 'WetLitterbags placem_collection'!AF76)),"YES","NO")</f>
        <v>NO</v>
      </c>
      <c r="AI369" s="255" t="str">
        <f>IF(ISNUMBER(SEARCH("R", 'WetLitterbags placem_collection'!XF76)),"YES","NO")</f>
        <v>NO</v>
      </c>
      <c r="AJ369" s="255" t="str">
        <f>IF(ISNUMBER(SEARCH("C", 'WetLitterbags placem_collection'!WE76)),"YES","NO")</f>
        <v>NO</v>
      </c>
      <c r="AK369" s="255" t="str">
        <f>IF(ISNUMBER(SEARCH("H", 'WetLitterbags placem_collection'!AE76)),"YES","NO")</f>
        <v>NO</v>
      </c>
      <c r="AL369" s="255" t="str">
        <f>IF(ISNUMBER(SEARCH("R", 'WetLitterbags placem_collection'!AE76)),"YES","NO")</f>
        <v>NO</v>
      </c>
    </row>
    <row r="370" spans="2:38">
      <c r="B370" t="str">
        <f>'Final data_for_R_analysis_Wetse'!A516</f>
        <v>Wet</v>
      </c>
      <c r="C370" s="263">
        <f>'Final data_for_R_analysis_Wetse'!B516</f>
        <v>75</v>
      </c>
      <c r="D370" t="s">
        <v>3838</v>
      </c>
      <c r="E370" t="s">
        <v>25</v>
      </c>
      <c r="F370" s="386">
        <v>3</v>
      </c>
      <c r="G370" s="16">
        <f>'WetLitterbags placem_collection'!E77</f>
        <v>42767</v>
      </c>
      <c r="H370" s="92" t="str">
        <f>'Final data_for_R_analysis_Wetse'!J516</f>
        <v>G373</v>
      </c>
      <c r="I370" t="str">
        <f>'Final data_for_R_analysis_Wetse'!J736</f>
        <v>R311</v>
      </c>
      <c r="J370">
        <f>IFERROR(INDEX('Green_rooibos initial weight'!$C$5:$C$1749,MATCH(H370, 'Green_rooibos initial weight'!$A$5:$A$1749,0)),"")</f>
        <v>2.1</v>
      </c>
      <c r="K370">
        <f>IFERROR(INDEX('Green_rooibos initial weight'!$C$5:$C$1749,MATCH(I370, 'Green_rooibos initial weight'!$A$5:$A$1749,0)),"")</f>
        <v>2.2719999999999998</v>
      </c>
      <c r="L370" s="195">
        <f t="shared" si="52"/>
        <v>1.8502000000000001</v>
      </c>
      <c r="M370" s="195">
        <f>AVERAGE(Ashed_controlls!$K$2:$K$11)</f>
        <v>5.5147656768714146</v>
      </c>
      <c r="N370" s="195">
        <f t="shared" si="48"/>
        <v>1.7481658054465252</v>
      </c>
      <c r="O370" s="195">
        <f t="shared" si="53"/>
        <v>2.0221999999999998</v>
      </c>
      <c r="P370" s="195">
        <f>AVERAGE(Ashed_controlls!$K$12:$K$14)</f>
        <v>2.2816647271287041</v>
      </c>
      <c r="Q370" s="195">
        <f t="shared" si="54"/>
        <v>1.9760601758880032</v>
      </c>
      <c r="R370" s="16">
        <f>IF('WetLitterbags placem_collection'!G77="N.A","",'WetLitterbags placem_collection'!G77)</f>
        <v>42818</v>
      </c>
      <c r="S370" s="195">
        <f>IF(IFERROR(INDEX('Both teabags AfterWet'!$C$3:$C$841,MATCH(H370,'Both teabags AfterWet'!$A$3:$A$841,0)),"")="N.A","",(IFERROR(INDEX('Both teabags AfterWet'!$C$3:$C$841,MATCH(H370,'Both teabags AfterWet'!$A$3:$A$841,0)),"")))</f>
        <v>0.93330000000000002</v>
      </c>
      <c r="T370" s="195">
        <f>IFERROR(INDEX('Both teabags AfterWet'!$C$3:$C$841,MATCH(I370,'Both teabags AfterWet'!$A$3:$A$841,0)),"")</f>
        <v>1.6715</v>
      </c>
      <c r="U370" s="195">
        <f t="shared" si="55"/>
        <v>0.78269999999999995</v>
      </c>
      <c r="V370" s="195">
        <f t="shared" si="55"/>
        <v>1.5208999999999999</v>
      </c>
      <c r="W370" s="195">
        <f>IFERROR(INDEX('Ashed teabags wet'!$K$2:$K$821,MATCH(H370,'Ashed teabags wet'!$A$2:$A$821,0)),"")</f>
        <v>10.547263681591955</v>
      </c>
      <c r="X370" s="195">
        <f>IFERROR(INDEX('Ashed teabags wet'!$K$2:$K$821,MATCH(I370,'Ashed teabags wet'!$A$2:$A$821,0)),"")</f>
        <v>3.5363457760311539</v>
      </c>
      <c r="Y370" s="195">
        <f t="shared" si="49"/>
        <v>0.70014656716417978</v>
      </c>
      <c r="Z370" s="195">
        <f t="shared" si="49"/>
        <v>1.4671157170923421</v>
      </c>
      <c r="AA370" s="195">
        <f t="shared" si="56"/>
        <v>0.59949647511533111</v>
      </c>
      <c r="AB370" s="195">
        <f t="shared" si="57"/>
        <v>0.39301906682145232</v>
      </c>
      <c r="AC370" s="195">
        <f t="shared" si="50"/>
        <v>0.74244485820531692</v>
      </c>
      <c r="AD370">
        <f t="shared" si="51"/>
        <v>51</v>
      </c>
      <c r="AE370" s="195">
        <f t="shared" si="58"/>
        <v>0.28800893691765894</v>
      </c>
      <c r="AF370" s="195">
        <f t="shared" si="59"/>
        <v>2.0885348193522491E-2</v>
      </c>
      <c r="AG370" s="255" t="str">
        <f>IF(ISNUMBER(SEARCH("C",'WetLitterbags placem_collection'!AD297)),"YES","NO")</f>
        <v>NO</v>
      </c>
      <c r="AH370" s="255" t="str">
        <f>IF(ISNUMBER(SEARCH("H", 'WetLitterbags placem_collection'!AF77)),"YES","NO")</f>
        <v>NO</v>
      </c>
      <c r="AI370" s="255" t="str">
        <f>IF(ISNUMBER(SEARCH("R", 'WetLitterbags placem_collection'!XF77)),"YES","NO")</f>
        <v>NO</v>
      </c>
      <c r="AJ370" s="255" t="str">
        <f>IF(ISNUMBER(SEARCH("C", 'WetLitterbags placem_collection'!WE77)),"YES","NO")</f>
        <v>NO</v>
      </c>
      <c r="AK370" s="255" t="str">
        <f>IF(ISNUMBER(SEARCH("H", 'WetLitterbags placem_collection'!AE77)),"YES","NO")</f>
        <v>NO</v>
      </c>
      <c r="AL370" s="255" t="str">
        <f>IF(ISNUMBER(SEARCH("R", 'WetLitterbags placem_collection'!AE77)),"YES","NO")</f>
        <v>NO</v>
      </c>
    </row>
    <row r="371" spans="2:38">
      <c r="B371" t="str">
        <f>'Final data_for_R_analysis_Wetse'!A517</f>
        <v>Wet</v>
      </c>
      <c r="C371" s="263">
        <f>'Final data_for_R_analysis_Wetse'!B517</f>
        <v>76</v>
      </c>
      <c r="D371" t="s">
        <v>3838</v>
      </c>
      <c r="E371" t="s">
        <v>25</v>
      </c>
      <c r="F371" s="387">
        <v>4</v>
      </c>
      <c r="G371" s="16">
        <f>'WetLitterbags placem_collection'!E78</f>
        <v>42767</v>
      </c>
      <c r="H371" s="92" t="str">
        <f>'Final data_for_R_analysis_Wetse'!J517</f>
        <v>G603</v>
      </c>
      <c r="I371" t="str">
        <f>'Final data_for_R_analysis_Wetse'!J737</f>
        <v>R183</v>
      </c>
      <c r="J371">
        <f>IFERROR(INDEX('Green_rooibos initial weight'!$C$5:$C$1749,MATCH(H371, 'Green_rooibos initial weight'!$A$5:$A$1749,0)),"")</f>
        <v>2.0430000000000001</v>
      </c>
      <c r="K371">
        <f>IFERROR(INDEX('Green_rooibos initial weight'!$C$5:$C$1749,MATCH(I371, 'Green_rooibos initial weight'!$A$5:$A$1749,0)),"")</f>
        <v>2.262</v>
      </c>
      <c r="L371" s="195">
        <f t="shared" si="52"/>
        <v>1.7932000000000001</v>
      </c>
      <c r="M371" s="195">
        <f>AVERAGE(Ashed_controlls!$K$2:$K$11)</f>
        <v>5.5147656768714146</v>
      </c>
      <c r="N371" s="195">
        <f t="shared" si="48"/>
        <v>1.6943092218823419</v>
      </c>
      <c r="O371" s="195">
        <f t="shared" si="53"/>
        <v>2.0122</v>
      </c>
      <c r="P371" s="195">
        <f>AVERAGE(Ashed_controlls!$K$12:$K$14)</f>
        <v>2.2816647271287041</v>
      </c>
      <c r="Q371" s="195">
        <f t="shared" si="54"/>
        <v>1.9662883423607163</v>
      </c>
      <c r="R371" s="16">
        <f>IF('WetLitterbags placem_collection'!G78="N.A","",'WetLitterbags placem_collection'!G78)</f>
        <v>42818</v>
      </c>
      <c r="S371" s="195">
        <f>IF(IFERROR(INDEX('Both teabags AfterWet'!$C$3:$C$841,MATCH(H371,'Both teabags AfterWet'!$A$3:$A$841,0)),"")="N.A","",(IFERROR(INDEX('Both teabags AfterWet'!$C$3:$C$841,MATCH(H371,'Both teabags AfterWet'!$A$3:$A$841,0)),"")))</f>
        <v>0.82299999999999995</v>
      </c>
      <c r="T371" s="195">
        <f>IFERROR(INDEX('Both teabags AfterWet'!$C$3:$C$841,MATCH(I371,'Both teabags AfterWet'!$A$3:$A$841,0)),"")</f>
        <v>1.7490000000000001</v>
      </c>
      <c r="U371" s="195">
        <f t="shared" si="55"/>
        <v>0.67239999999999989</v>
      </c>
      <c r="V371" s="195">
        <f t="shared" si="55"/>
        <v>1.5984</v>
      </c>
      <c r="W371" s="195">
        <f>IFERROR(INDEX('Ashed teabags wet'!$K$2:$K$821,MATCH(H371,'Ashed teabags wet'!$A$2:$A$821,0)),"")</f>
        <v>8.9330024813902469</v>
      </c>
      <c r="X371" s="195">
        <f>IFERROR(INDEX('Ashed teabags wet'!$K$2:$K$821,MATCH(I371,'Ashed teabags wet'!$A$2:$A$821,0)),"")</f>
        <v>2.262879152624262</v>
      </c>
      <c r="Y371" s="195">
        <f t="shared" si="49"/>
        <v>0.61233449131513185</v>
      </c>
      <c r="Z371" s="195">
        <f t="shared" si="49"/>
        <v>1.5622301396244538</v>
      </c>
      <c r="AA371" s="195">
        <f t="shared" si="56"/>
        <v>0.63859342591853385</v>
      </c>
      <c r="AB371" s="195">
        <f t="shared" si="57"/>
        <v>0.41865032197984647</v>
      </c>
      <c r="AC371" s="195">
        <f t="shared" si="50"/>
        <v>0.7945071462656631</v>
      </c>
      <c r="AD371">
        <f t="shared" si="51"/>
        <v>51</v>
      </c>
      <c r="AE371" s="195">
        <f t="shared" si="58"/>
        <v>0.24157550365969849</v>
      </c>
      <c r="AF371" s="195">
        <f t="shared" si="59"/>
        <v>1.3235388973182294E-2</v>
      </c>
      <c r="AG371" s="255" t="str">
        <f>IF(ISNUMBER(SEARCH("C",'WetLitterbags placem_collection'!AD298)),"YES","NO")</f>
        <v>NO</v>
      </c>
      <c r="AH371" s="255" t="str">
        <f>IF(ISNUMBER(SEARCH("H", 'WetLitterbags placem_collection'!AF78)),"YES","NO")</f>
        <v>NO</v>
      </c>
      <c r="AI371" s="255" t="str">
        <f>IF(ISNUMBER(SEARCH("R", 'WetLitterbags placem_collection'!XF78)),"YES","NO")</f>
        <v>NO</v>
      </c>
      <c r="AJ371" s="255" t="str">
        <f>IF(ISNUMBER(SEARCH("C", 'WetLitterbags placem_collection'!WE78)),"YES","NO")</f>
        <v>NO</v>
      </c>
      <c r="AK371" s="255" t="str">
        <f>IF(ISNUMBER(SEARCH("H", 'WetLitterbags placem_collection'!AE78)),"YES","NO")</f>
        <v>NO</v>
      </c>
      <c r="AL371" s="255" t="str">
        <f>IF(ISNUMBER(SEARCH("R", 'WetLitterbags placem_collection'!AE78)),"YES","NO")</f>
        <v>NO</v>
      </c>
    </row>
    <row r="372" spans="2:38">
      <c r="B372" t="str">
        <f>'Final data_for_R_analysis_Wetse'!A518</f>
        <v>Wet</v>
      </c>
      <c r="C372" s="263">
        <f>'Final data_for_R_analysis_Wetse'!B518</f>
        <v>77</v>
      </c>
      <c r="D372" t="s">
        <v>3838</v>
      </c>
      <c r="E372" t="s">
        <v>25</v>
      </c>
      <c r="F372" s="387">
        <v>5</v>
      </c>
      <c r="G372" s="16">
        <f>'WetLitterbags placem_collection'!E79</f>
        <v>42767</v>
      </c>
      <c r="H372" s="92" t="str">
        <f>'Final data_for_R_analysis_Wetse'!J518</f>
        <v>G509</v>
      </c>
      <c r="I372" t="str">
        <f>'Final data_for_R_analysis_Wetse'!J738</f>
        <v>R228</v>
      </c>
      <c r="J372">
        <f>IFERROR(INDEX('Green_rooibos initial weight'!$C$5:$C$1749,MATCH(H372, 'Green_rooibos initial weight'!$A$5:$A$1749,0)),"")</f>
        <v>2.048</v>
      </c>
      <c r="K372">
        <f>IFERROR(INDEX('Green_rooibos initial weight'!$C$5:$C$1749,MATCH(I372, 'Green_rooibos initial weight'!$A$5:$A$1749,0)),"")</f>
        <v>2.2040000000000002</v>
      </c>
      <c r="L372" s="195">
        <f t="shared" si="52"/>
        <v>1.7982</v>
      </c>
      <c r="M372" s="195">
        <f>AVERAGE(Ashed_controlls!$K$2:$K$11)</f>
        <v>5.5147656768714146</v>
      </c>
      <c r="N372" s="195">
        <f t="shared" si="48"/>
        <v>1.6990334835984982</v>
      </c>
      <c r="O372" s="195">
        <f t="shared" si="53"/>
        <v>1.9542000000000002</v>
      </c>
      <c r="P372" s="195">
        <f>AVERAGE(Ashed_controlls!$K$12:$K$14)</f>
        <v>2.2816647271287041</v>
      </c>
      <c r="Q372" s="195">
        <f t="shared" si="54"/>
        <v>1.909611707902451</v>
      </c>
      <c r="R372" s="16">
        <f>IF('WetLitterbags placem_collection'!G79="N.A","",'WetLitterbags placem_collection'!G79)</f>
        <v>42818</v>
      </c>
      <c r="S372" s="195">
        <f>IF(IFERROR(INDEX('Both teabags AfterWet'!$C$3:$C$841,MATCH(H372,'Both teabags AfterWet'!$A$3:$A$841,0)),"")="N.A","",(IFERROR(INDEX('Both teabags AfterWet'!$C$3:$C$841,MATCH(H372,'Both teabags AfterWet'!$A$3:$A$841,0)),"")))</f>
        <v>1.012</v>
      </c>
      <c r="T372" s="195">
        <f>IFERROR(INDEX('Both teabags AfterWet'!$C$3:$C$841,MATCH(I372,'Both teabags AfterWet'!$A$3:$A$841,0)),"")</f>
        <v>2.2429999999999999</v>
      </c>
      <c r="U372" s="195">
        <f t="shared" si="55"/>
        <v>0.86139999999999994</v>
      </c>
      <c r="V372" s="195">
        <f t="shared" si="55"/>
        <v>2.0924</v>
      </c>
      <c r="W372" s="195">
        <f>IFERROR(INDEX('Ashed teabags wet'!$K$2:$K$821,MATCH(H372,'Ashed teabags wet'!$A$2:$A$821,0)),"")</f>
        <v>0.1847000000000012</v>
      </c>
      <c r="X372" s="195">
        <f>IFERROR(INDEX('Ashed teabags wet'!$K$2:$K$821,MATCH(I372,'Ashed teabags wet'!$A$2:$A$821,0)),"")</f>
        <v>25.765054294176</v>
      </c>
      <c r="Y372" s="195">
        <f t="shared" si="49"/>
        <v>0.8598089941999999</v>
      </c>
      <c r="Z372" s="195">
        <f t="shared" si="49"/>
        <v>1.5532920039486613</v>
      </c>
      <c r="AA372" s="195">
        <f t="shared" si="56"/>
        <v>0.49394228983707122</v>
      </c>
      <c r="AB372" s="195">
        <f t="shared" si="57"/>
        <v>0.32381964844425576</v>
      </c>
      <c r="AC372" s="195">
        <f t="shared" si="50"/>
        <v>0.8134072479346196</v>
      </c>
      <c r="AD372">
        <f t="shared" si="51"/>
        <v>51</v>
      </c>
      <c r="AE372" s="195">
        <f t="shared" si="58"/>
        <v>0.41337020209373965</v>
      </c>
      <c r="AF372" s="195">
        <f t="shared" si="59"/>
        <v>1.6834333066283975E-2</v>
      </c>
      <c r="AG372" s="255" t="str">
        <f>IF(ISNUMBER(SEARCH("C",'WetLitterbags placem_collection'!AD299)),"YES","NO")</f>
        <v>NO</v>
      </c>
      <c r="AH372" s="255" t="str">
        <f>IF(ISNUMBER(SEARCH("H", 'WetLitterbags placem_collection'!AF79)),"YES","NO")</f>
        <v>NO</v>
      </c>
      <c r="AI372" s="255" t="str">
        <f>IF(ISNUMBER(SEARCH("R", 'WetLitterbags placem_collection'!XF79)),"YES","NO")</f>
        <v>NO</v>
      </c>
      <c r="AJ372" s="255" t="str">
        <f>IF(ISNUMBER(SEARCH("C", 'WetLitterbags placem_collection'!WE79)),"YES","NO")</f>
        <v>NO</v>
      </c>
      <c r="AK372" s="255" t="str">
        <f>IF(ISNUMBER(SEARCH("H", 'WetLitterbags placem_collection'!AE79)),"YES","NO")</f>
        <v>NO</v>
      </c>
      <c r="AL372" s="255" t="str">
        <f>IF(ISNUMBER(SEARCH("R", 'WetLitterbags placem_collection'!AE79)),"YES","NO")</f>
        <v>NO</v>
      </c>
    </row>
    <row r="373" spans="2:38">
      <c r="B373" t="str">
        <f>'Final data_for_R_analysis_Wetse'!A519</f>
        <v>Wet</v>
      </c>
      <c r="C373" s="263">
        <f>'Final data_for_R_analysis_Wetse'!B519</f>
        <v>78</v>
      </c>
      <c r="D373" t="s">
        <v>3838</v>
      </c>
      <c r="E373" t="s">
        <v>25</v>
      </c>
      <c r="F373" s="387">
        <v>6</v>
      </c>
      <c r="G373" s="16">
        <f>'WetLitterbags placem_collection'!E80</f>
        <v>42767</v>
      </c>
      <c r="H373" s="92" t="str">
        <f>'Final data_for_R_analysis_Wetse'!J519</f>
        <v>G446</v>
      </c>
      <c r="I373" t="str">
        <f>'Final data_for_R_analysis_Wetse'!J739</f>
        <v>R100</v>
      </c>
      <c r="J373">
        <f>IFERROR(INDEX('Green_rooibos initial weight'!$C$5:$C$1749,MATCH(H373, 'Green_rooibos initial weight'!$A$5:$A$1749,0)),"")</f>
        <v>1.9319999999999999</v>
      </c>
      <c r="K373">
        <f>IFERROR(INDEX('Green_rooibos initial weight'!$C$5:$C$1749,MATCH(I373, 'Green_rooibos initial weight'!$A$5:$A$1749,0)),"")</f>
        <v>2.2549999999999999</v>
      </c>
      <c r="L373" s="195">
        <f t="shared" si="52"/>
        <v>1.6821999999999999</v>
      </c>
      <c r="M373" s="195">
        <f>AVERAGE(Ashed_controlls!$K$2:$K$11)</f>
        <v>5.5147656768714146</v>
      </c>
      <c r="N373" s="195">
        <f t="shared" si="48"/>
        <v>1.589430611783669</v>
      </c>
      <c r="O373" s="195">
        <f t="shared" si="53"/>
        <v>2.0051999999999999</v>
      </c>
      <c r="P373" s="195">
        <f>AVERAGE(Ashed_controlls!$K$12:$K$14)</f>
        <v>2.2816647271287041</v>
      </c>
      <c r="Q373" s="195">
        <f t="shared" si="54"/>
        <v>1.959448058891615</v>
      </c>
      <c r="R373" s="16">
        <f>IF('WetLitterbags placem_collection'!G80="N.A","",'WetLitterbags placem_collection'!G80)</f>
        <v>42818</v>
      </c>
      <c r="S373" s="195">
        <f>IF(IFERROR(INDEX('Both teabags AfterWet'!$C$3:$C$841,MATCH(H373,'Both teabags AfterWet'!$A$3:$A$841,0)),"")="N.A","",(IFERROR(INDEX('Both teabags AfterWet'!$C$3:$C$841,MATCH(H373,'Both teabags AfterWet'!$A$3:$A$841,0)),"")))</f>
        <v>0.77859999999999996</v>
      </c>
      <c r="T373" s="195">
        <f>IFERROR(INDEX('Both teabags AfterWet'!$C$3:$C$841,MATCH(I373,'Both teabags AfterWet'!$A$3:$A$841,0)),"")</f>
        <v>1.7222999999999999</v>
      </c>
      <c r="U373" s="195">
        <f t="shared" si="55"/>
        <v>0.62799999999999989</v>
      </c>
      <c r="V373" s="195">
        <f t="shared" si="55"/>
        <v>1.5716999999999999</v>
      </c>
      <c r="W373" s="195">
        <f>IFERROR(INDEX('Ashed teabags wet'!$K$2:$K$821,MATCH(H373,'Ashed teabags wet'!$A$2:$A$821,0)),"")</f>
        <v>9.6451774112936519</v>
      </c>
      <c r="X373" s="195">
        <f>IFERROR(INDEX('Ashed teabags wet'!$K$2:$K$821,MATCH(I373,'Ashed teabags wet'!$A$2:$A$821,0)),"")</f>
        <v>2.8361858190706335</v>
      </c>
      <c r="Y373" s="195">
        <f t="shared" si="49"/>
        <v>0.56742828585707572</v>
      </c>
      <c r="Z373" s="195">
        <f t="shared" si="49"/>
        <v>1.5271236674816668</v>
      </c>
      <c r="AA373" s="195">
        <f t="shared" si="56"/>
        <v>0.64299902012060528</v>
      </c>
      <c r="AB373" s="195">
        <f t="shared" si="57"/>
        <v>0.42153855000780777</v>
      </c>
      <c r="AC373" s="195">
        <f t="shared" si="50"/>
        <v>0.77936419929676648</v>
      </c>
      <c r="AD373">
        <f t="shared" si="51"/>
        <v>51</v>
      </c>
      <c r="AE373" s="195">
        <f t="shared" si="58"/>
        <v>0.23634320650759466</v>
      </c>
      <c r="AF373" s="195">
        <f t="shared" si="59"/>
        <v>1.4531181876179416E-2</v>
      </c>
      <c r="AG373" s="255" t="str">
        <f>IF(ISNUMBER(SEARCH("C",'WetLitterbags placem_collection'!AD300)),"YES","NO")</f>
        <v>NO</v>
      </c>
      <c r="AH373" s="255" t="str">
        <f>IF(ISNUMBER(SEARCH("H", 'WetLitterbags placem_collection'!AF80)),"YES","NO")</f>
        <v>NO</v>
      </c>
      <c r="AI373" s="255" t="str">
        <f>IF(ISNUMBER(SEARCH("R", 'WetLitterbags placem_collection'!XF80)),"YES","NO")</f>
        <v>NO</v>
      </c>
      <c r="AJ373" s="255" t="str">
        <f>IF(ISNUMBER(SEARCH("C", 'WetLitterbags placem_collection'!WE80)),"YES","NO")</f>
        <v>NO</v>
      </c>
      <c r="AK373" s="255" t="str">
        <f>IF(ISNUMBER(SEARCH("H", 'WetLitterbags placem_collection'!AE80)),"YES","NO")</f>
        <v>NO</v>
      </c>
      <c r="AL373" s="255" t="str">
        <f>IF(ISNUMBER(SEARCH("R", 'WetLitterbags placem_collection'!AE80)),"YES","NO")</f>
        <v>NO</v>
      </c>
    </row>
    <row r="374" spans="2:38">
      <c r="B374" t="str">
        <f>'Final data_for_R_analysis_Wetse'!A520</f>
        <v>Wet</v>
      </c>
      <c r="C374" s="263">
        <f>'Final data_for_R_analysis_Wetse'!B520</f>
        <v>79</v>
      </c>
      <c r="D374" t="s">
        <v>3838</v>
      </c>
      <c r="E374" t="s">
        <v>25</v>
      </c>
      <c r="F374" s="387">
        <v>7</v>
      </c>
      <c r="G374" s="16">
        <f>'WetLitterbags placem_collection'!E81</f>
        <v>42767</v>
      </c>
      <c r="H374" s="92" t="str">
        <f>'Final data_for_R_analysis_Wetse'!J520</f>
        <v>G249</v>
      </c>
      <c r="I374" t="str">
        <f>'Final data_for_R_analysis_Wetse'!J740</f>
        <v>R56</v>
      </c>
      <c r="J374">
        <f>IFERROR(INDEX('Green_rooibos initial weight'!$C$5:$C$1749,MATCH(H374, 'Green_rooibos initial weight'!$A$5:$A$1749,0)),"")</f>
        <v>2.0219999999999998</v>
      </c>
      <c r="K374">
        <f>IFERROR(INDEX('Green_rooibos initial weight'!$C$5:$C$1749,MATCH(I374, 'Green_rooibos initial weight'!$A$5:$A$1749,0)),"")</f>
        <v>2.1829999999999998</v>
      </c>
      <c r="L374" s="195">
        <f t="shared" si="52"/>
        <v>1.7721999999999998</v>
      </c>
      <c r="M374" s="195">
        <f>AVERAGE(Ashed_controlls!$K$2:$K$11)</f>
        <v>5.5147656768714146</v>
      </c>
      <c r="N374" s="195">
        <f t="shared" si="48"/>
        <v>1.6744673226744846</v>
      </c>
      <c r="O374" s="195">
        <f t="shared" si="53"/>
        <v>1.9331999999999998</v>
      </c>
      <c r="P374" s="195">
        <f>AVERAGE(Ashed_controlls!$K$12:$K$14)</f>
        <v>2.2816647271287041</v>
      </c>
      <c r="Q374" s="195">
        <f t="shared" si="54"/>
        <v>1.8890908574951477</v>
      </c>
      <c r="R374" s="16">
        <f>IF('WetLitterbags placem_collection'!G81="N.A","",'WetLitterbags placem_collection'!G81)</f>
        <v>42818</v>
      </c>
      <c r="S374" s="195">
        <f>IF(IFERROR(INDEX('Both teabags AfterWet'!$C$3:$C$841,MATCH(H374,'Both teabags AfterWet'!$A$3:$A$841,0)),"")="N.A","",(IFERROR(INDEX('Both teabags AfterWet'!$C$3:$C$841,MATCH(H374,'Both teabags AfterWet'!$A$3:$A$841,0)),"")))</f>
        <v>0.97550000000000003</v>
      </c>
      <c r="T374" s="195">
        <f>IFERROR(INDEX('Both teabags AfterWet'!$C$3:$C$841,MATCH(I374,'Both teabags AfterWet'!$A$3:$A$841,0)),"")</f>
        <v>1.6438999999999999</v>
      </c>
      <c r="U374" s="195">
        <f t="shared" si="55"/>
        <v>0.82489999999999997</v>
      </c>
      <c r="V374" s="195">
        <f t="shared" si="55"/>
        <v>1.4932999999999998</v>
      </c>
      <c r="W374" s="195">
        <f>IFERROR(INDEX('Ashed teabags wet'!$K$2:$K$821,MATCH(H374,'Ashed teabags wet'!$A$2:$A$821,0)),"")</f>
        <v>18.702865761691211</v>
      </c>
      <c r="X374" s="195">
        <f>IFERROR(INDEX('Ashed teabags wet'!$K$2:$K$821,MATCH(I374,'Ashed teabags wet'!$A$2:$A$821,0)),"")</f>
        <v>1.8838304552590228</v>
      </c>
      <c r="Y374" s="195">
        <f t="shared" si="49"/>
        <v>0.6706200603318091</v>
      </c>
      <c r="Z374" s="195">
        <f t="shared" si="49"/>
        <v>1.4651687598116168</v>
      </c>
      <c r="AA374" s="195">
        <f t="shared" si="56"/>
        <v>0.59950244997275637</v>
      </c>
      <c r="AB374" s="195">
        <f t="shared" si="57"/>
        <v>0.39302298383012063</v>
      </c>
      <c r="AC374" s="195">
        <f t="shared" si="50"/>
        <v>0.77559464861016092</v>
      </c>
      <c r="AD374">
        <f t="shared" si="51"/>
        <v>51</v>
      </c>
      <c r="AE374" s="195">
        <f t="shared" si="58"/>
        <v>0.28800184088746272</v>
      </c>
      <c r="AF374" s="195">
        <f t="shared" si="59"/>
        <v>1.6592832776307225E-2</v>
      </c>
      <c r="AG374" s="255" t="str">
        <f>IF(ISNUMBER(SEARCH("C",'WetLitterbags placem_collection'!AD301)),"YES","NO")</f>
        <v>NO</v>
      </c>
      <c r="AH374" s="255" t="str">
        <f>IF(ISNUMBER(SEARCH("H", 'WetLitterbags placem_collection'!AF81)),"YES","NO")</f>
        <v>NO</v>
      </c>
      <c r="AI374" s="255" t="str">
        <f>IF(ISNUMBER(SEARCH("R", 'WetLitterbags placem_collection'!XF81)),"YES","NO")</f>
        <v>NO</v>
      </c>
      <c r="AJ374" s="255" t="str">
        <f>IF(ISNUMBER(SEARCH("C", 'WetLitterbags placem_collection'!WE81)),"YES","NO")</f>
        <v>NO</v>
      </c>
      <c r="AK374" s="255" t="str">
        <f>IF(ISNUMBER(SEARCH("H", 'WetLitterbags placem_collection'!AE81)),"YES","NO")</f>
        <v>NO</v>
      </c>
      <c r="AL374" s="255" t="str">
        <f>IF(ISNUMBER(SEARCH("R", 'WetLitterbags placem_collection'!AE81)),"YES","NO")</f>
        <v>NO</v>
      </c>
    </row>
    <row r="375" spans="2:38">
      <c r="B375" t="str">
        <f>'Final data_for_R_analysis_Wetse'!A521</f>
        <v>Wet</v>
      </c>
      <c r="C375" s="263">
        <f>'Final data_for_R_analysis_Wetse'!B521</f>
        <v>80</v>
      </c>
      <c r="D375" t="s">
        <v>3838</v>
      </c>
      <c r="E375" t="s">
        <v>25</v>
      </c>
      <c r="F375" s="387">
        <v>8</v>
      </c>
      <c r="G375" s="16">
        <f>'WetLitterbags placem_collection'!E82</f>
        <v>42767</v>
      </c>
      <c r="H375" s="92" t="str">
        <f>'Final data_for_R_analysis_Wetse'!J521</f>
        <v>G474</v>
      </c>
      <c r="I375" t="str">
        <f>'Final data_for_R_analysis_Wetse'!J741</f>
        <v>R68</v>
      </c>
      <c r="J375">
        <f>IFERROR(INDEX('Green_rooibos initial weight'!$C$5:$C$1749,MATCH(H375, 'Green_rooibos initial weight'!$A$5:$A$1749,0)),"")</f>
        <v>2.1930000000000001</v>
      </c>
      <c r="K375">
        <f>IFERROR(INDEX('Green_rooibos initial weight'!$C$5:$C$1749,MATCH(I375, 'Green_rooibos initial weight'!$A$5:$A$1749,0)),"")</f>
        <v>2.2370000000000001</v>
      </c>
      <c r="L375" s="195">
        <f t="shared" si="52"/>
        <v>1.9432</v>
      </c>
      <c r="M375" s="195">
        <f>AVERAGE(Ashed_controlls!$K$2:$K$11)</f>
        <v>5.5147656768714146</v>
      </c>
      <c r="N375" s="195">
        <f t="shared" si="48"/>
        <v>1.8360370733670348</v>
      </c>
      <c r="O375" s="195">
        <f t="shared" si="53"/>
        <v>1.9872000000000001</v>
      </c>
      <c r="P375" s="195">
        <f>AVERAGE(Ashed_controlls!$K$12:$K$14)</f>
        <v>2.2816647271287041</v>
      </c>
      <c r="Q375" s="195">
        <f t="shared" si="54"/>
        <v>1.9418587585424985</v>
      </c>
      <c r="R375" s="16">
        <f>IF('WetLitterbags placem_collection'!G82="N.A","",'WetLitterbags placem_collection'!G82)</f>
        <v>42818</v>
      </c>
      <c r="S375" s="195">
        <f>IF(IFERROR(INDEX('Both teabags AfterWet'!$C$3:$C$841,MATCH(H375,'Both teabags AfterWet'!$A$3:$A$841,0)),"")="N.A","",(IFERROR(INDEX('Both teabags AfterWet'!$C$3:$C$841,MATCH(H375,'Both teabags AfterWet'!$A$3:$A$841,0)),"")))</f>
        <v>1.0009999999999999</v>
      </c>
      <c r="T375" s="195">
        <f>IFERROR(INDEX('Both teabags AfterWet'!$C$3:$C$841,MATCH(I375,'Both teabags AfterWet'!$A$3:$A$841,0)),"")</f>
        <v>1.639</v>
      </c>
      <c r="U375" s="195">
        <f t="shared" si="55"/>
        <v>0.85039999999999982</v>
      </c>
      <c r="V375" s="195">
        <f t="shared" si="55"/>
        <v>1.4883999999999999</v>
      </c>
      <c r="W375" s="195">
        <f>IFERROR(INDEX('Ashed teabags wet'!$K$2:$K$821,MATCH(H375,'Ashed teabags wet'!$A$2:$A$821,0)),"")</f>
        <v>5.8354114713218834</v>
      </c>
      <c r="X375" s="195">
        <f>IFERROR(INDEX('Ashed teabags wet'!$K$2:$K$821,MATCH(I375,'Ashed teabags wet'!$A$2:$A$821,0)),"")</f>
        <v>10.359922178988159</v>
      </c>
      <c r="Y375" s="195">
        <f t="shared" si="49"/>
        <v>0.80077566084787855</v>
      </c>
      <c r="Z375" s="195">
        <f t="shared" si="49"/>
        <v>1.3342029182879402</v>
      </c>
      <c r="AA375" s="195">
        <f t="shared" si="56"/>
        <v>0.56385648608970174</v>
      </c>
      <c r="AB375" s="195">
        <f t="shared" si="57"/>
        <v>0.3696541333984743</v>
      </c>
      <c r="AC375" s="195">
        <f t="shared" si="50"/>
        <v>0.68707516054841877</v>
      </c>
      <c r="AD375">
        <f t="shared" si="51"/>
        <v>51</v>
      </c>
      <c r="AE375" s="195">
        <f t="shared" si="58"/>
        <v>0.33033671485783644</v>
      </c>
      <c r="AF375" s="195">
        <f t="shared" si="59"/>
        <v>3.6750530754018282E-2</v>
      </c>
      <c r="AG375" s="255" t="str">
        <f>IF(ISNUMBER(SEARCH("C",'WetLitterbags placem_collection'!AD302)),"YES","NO")</f>
        <v>NO</v>
      </c>
      <c r="AH375" s="255" t="str">
        <f>IF(ISNUMBER(SEARCH("H", 'WetLitterbags placem_collection'!AF82)),"YES","NO")</f>
        <v>NO</v>
      </c>
      <c r="AI375" s="255" t="str">
        <f>IF(ISNUMBER(SEARCH("R", 'WetLitterbags placem_collection'!XF82)),"YES","NO")</f>
        <v>NO</v>
      </c>
      <c r="AJ375" s="255" t="str">
        <f>IF(ISNUMBER(SEARCH("C", 'WetLitterbags placem_collection'!WE82)),"YES","NO")</f>
        <v>NO</v>
      </c>
      <c r="AK375" s="255" t="str">
        <f>IF(ISNUMBER(SEARCH("H", 'WetLitterbags placem_collection'!AE82)),"YES","NO")</f>
        <v>NO</v>
      </c>
      <c r="AL375" s="255" t="str">
        <f>IF(ISNUMBER(SEARCH("R", 'WetLitterbags placem_collection'!AE82)),"YES","NO")</f>
        <v>NO</v>
      </c>
    </row>
    <row r="376" spans="2:38">
      <c r="B376" t="str">
        <f>'Final data_for_R_analysis_Wetse'!A522</f>
        <v>Wet</v>
      </c>
      <c r="C376" s="263">
        <f>'Final data_for_R_analysis_Wetse'!B522</f>
        <v>81</v>
      </c>
      <c r="D376" t="s">
        <v>3839</v>
      </c>
      <c r="E376" t="s">
        <v>25</v>
      </c>
      <c r="F376" s="386">
        <v>1</v>
      </c>
      <c r="G376" s="16">
        <f>'WetLitterbags placem_collection'!E83</f>
        <v>42767</v>
      </c>
      <c r="H376" s="92" t="str">
        <f>'Final data_for_R_analysis_Wetse'!J522</f>
        <v>G475</v>
      </c>
      <c r="I376" t="str">
        <f>'Final data_for_R_analysis_Wetse'!J742</f>
        <v>R293</v>
      </c>
      <c r="J376">
        <f>IFERROR(INDEX('Green_rooibos initial weight'!$C$5:$C$1749,MATCH(H376, 'Green_rooibos initial weight'!$A$5:$A$1749,0)),"")</f>
        <v>2.0110000000000001</v>
      </c>
      <c r="K376">
        <f>IFERROR(INDEX('Green_rooibos initial weight'!$C$5:$C$1749,MATCH(I376, 'Green_rooibos initial weight'!$A$5:$A$1749,0)),"")</f>
        <v>2.165</v>
      </c>
      <c r="L376" s="195">
        <f t="shared" si="52"/>
        <v>1.7612000000000001</v>
      </c>
      <c r="M376" s="195">
        <f>AVERAGE(Ashed_controlls!$K$2:$K$11)</f>
        <v>5.5147656768714146</v>
      </c>
      <c r="N376" s="195">
        <f t="shared" si="48"/>
        <v>1.6640739468989407</v>
      </c>
      <c r="O376" s="195">
        <f t="shared" si="53"/>
        <v>1.9152</v>
      </c>
      <c r="P376" s="195">
        <f>AVERAGE(Ashed_controlls!$K$12:$K$14)</f>
        <v>2.2816647271287041</v>
      </c>
      <c r="Q376" s="195">
        <f t="shared" si="54"/>
        <v>1.8715015571460312</v>
      </c>
      <c r="R376" s="16">
        <f>IF('WetLitterbags placem_collection'!G83="N.A","",'WetLitterbags placem_collection'!G83)</f>
        <v>42818</v>
      </c>
      <c r="S376" s="195">
        <f>IF(IFERROR(INDEX('Both teabags AfterWet'!$C$3:$C$841,MATCH(H376,'Both teabags AfterWet'!$A$3:$A$841,0)),"")="N.A","",(IFERROR(INDEX('Both teabags AfterWet'!$C$3:$C$841,MATCH(H376,'Both teabags AfterWet'!$A$3:$A$841,0)),"")))</f>
        <v>0.65200000000000002</v>
      </c>
      <c r="T376" s="195">
        <f>IFERROR(INDEX('Both teabags AfterWet'!$C$3:$C$841,MATCH(I376,'Both teabags AfterWet'!$A$3:$A$841,0)),"")</f>
        <v>1.736</v>
      </c>
      <c r="U376" s="195">
        <f t="shared" si="55"/>
        <v>0.50140000000000007</v>
      </c>
      <c r="V376" s="195">
        <f t="shared" si="55"/>
        <v>1.5853999999999999</v>
      </c>
      <c r="W376" s="195">
        <f>IFERROR(INDEX('Ashed teabags wet'!$K$2:$K$821,MATCH(H376,'Ashed teabags wet'!$A$2:$A$821,0)),"")</f>
        <v>11.582626060908067</v>
      </c>
      <c r="X376" s="195">
        <f>IFERROR(INDEX('Ashed teabags wet'!$K$2:$K$821,MATCH(I376,'Ashed teabags wet'!$A$2:$A$821,0)),"")</f>
        <v>2.1037181996090717</v>
      </c>
      <c r="Y376" s="195">
        <f t="shared" si="49"/>
        <v>0.44332471293060699</v>
      </c>
      <c r="Z376" s="195">
        <f t="shared" si="49"/>
        <v>1.5520476516633976</v>
      </c>
      <c r="AA376" s="195">
        <f t="shared" si="56"/>
        <v>0.73359073750492998</v>
      </c>
      <c r="AB376" s="195">
        <f t="shared" si="57"/>
        <v>0.48092884454004914</v>
      </c>
      <c r="AC376" s="195">
        <f t="shared" si="50"/>
        <v>0.82930609688095125</v>
      </c>
      <c r="AD376">
        <f t="shared" si="51"/>
        <v>51</v>
      </c>
      <c r="AE376" s="195">
        <f t="shared" si="58"/>
        <v>0.12875209322454872</v>
      </c>
      <c r="AF376" s="195">
        <f t="shared" si="59"/>
        <v>8.5958713887327905E-3</v>
      </c>
      <c r="AG376" s="255" t="str">
        <f>IF(ISNUMBER(SEARCH("C",'WetLitterbags placem_collection'!AD303)),"YES","NO")</f>
        <v>NO</v>
      </c>
      <c r="AH376" s="255" t="str">
        <f>IF(ISNUMBER(SEARCH("H", 'WetLitterbags placem_collection'!AF83)),"YES","NO")</f>
        <v>NO</v>
      </c>
      <c r="AI376" s="255" t="str">
        <f>IF(ISNUMBER(SEARCH("R", 'WetLitterbags placem_collection'!XF83)),"YES","NO")</f>
        <v>NO</v>
      </c>
      <c r="AJ376" s="255" t="str">
        <f>IF(ISNUMBER(SEARCH("C", 'WetLitterbags placem_collection'!WE83)),"YES","NO")</f>
        <v>NO</v>
      </c>
      <c r="AK376" s="255" t="str">
        <f>IF(ISNUMBER(SEARCH("H", 'WetLitterbags placem_collection'!AE83)),"YES","NO")</f>
        <v>NO</v>
      </c>
      <c r="AL376" s="255" t="str">
        <f>IF(ISNUMBER(SEARCH("R", 'WetLitterbags placem_collection'!AE83)),"YES","NO")</f>
        <v>NO</v>
      </c>
    </row>
    <row r="377" spans="2:38">
      <c r="B377" t="str">
        <f>'Final data_for_R_analysis_Wetse'!A523</f>
        <v>Wet</v>
      </c>
      <c r="C377" s="263">
        <f>'Final data_for_R_analysis_Wetse'!B523</f>
        <v>82</v>
      </c>
      <c r="D377" t="s">
        <v>3839</v>
      </c>
      <c r="E377" t="s">
        <v>25</v>
      </c>
      <c r="F377" s="386">
        <v>2</v>
      </c>
      <c r="G377" s="16">
        <f>'WetLitterbags placem_collection'!E84</f>
        <v>42767</v>
      </c>
      <c r="H377" s="92" t="str">
        <f>'Final data_for_R_analysis_Wetse'!J523</f>
        <v>G840</v>
      </c>
      <c r="I377" t="str">
        <f>'Final data_for_R_analysis_Wetse'!J743</f>
        <v>R368</v>
      </c>
      <c r="J377">
        <f>IFERROR(INDEX('Green_rooibos initial weight'!$C$5:$C$1749,MATCH(H377, 'Green_rooibos initial weight'!$A$5:$A$1749,0)),"")</f>
        <v>2.056</v>
      </c>
      <c r="K377">
        <f>IFERROR(INDEX('Green_rooibos initial weight'!$C$5:$C$1749,MATCH(I377, 'Green_rooibos initial weight'!$A$5:$A$1749,0)),"")</f>
        <v>2.2549999999999999</v>
      </c>
      <c r="L377" s="195">
        <f t="shared" si="52"/>
        <v>1.8062</v>
      </c>
      <c r="M377" s="195">
        <f>AVERAGE(Ashed_controlls!$K$2:$K$11)</f>
        <v>5.5147656768714146</v>
      </c>
      <c r="N377" s="195">
        <f t="shared" si="48"/>
        <v>1.7065923023443486</v>
      </c>
      <c r="O377" s="195">
        <f t="shared" si="53"/>
        <v>2.0051999999999999</v>
      </c>
      <c r="P377" s="195">
        <f>AVERAGE(Ashed_controlls!$K$12:$K$14)</f>
        <v>2.2816647271287041</v>
      </c>
      <c r="Q377" s="195">
        <f t="shared" si="54"/>
        <v>1.959448058891615</v>
      </c>
      <c r="R377" s="16">
        <f>IF('WetLitterbags placem_collection'!G84="N.A","",'WetLitterbags placem_collection'!G84)</f>
        <v>42819</v>
      </c>
      <c r="S377" s="195">
        <f>IF(IFERROR(INDEX('Both teabags AfterWet'!$C$3:$C$841,MATCH(H377,'Both teabags AfterWet'!$A$3:$A$841,0)),"")="N.A","",(IFERROR(INDEX('Both teabags AfterWet'!$C$3:$C$841,MATCH(H377,'Both teabags AfterWet'!$A$3:$A$841,0)),"")))</f>
        <v>0.74299999999999999</v>
      </c>
      <c r="T377" s="195">
        <f>IFERROR(INDEX('Both teabags AfterWet'!$C$3:$C$841,MATCH(I377,'Both teabags AfterWet'!$A$3:$A$841,0)),"")</f>
        <v>1.704</v>
      </c>
      <c r="U377" s="195">
        <f t="shared" si="55"/>
        <v>0.59240000000000004</v>
      </c>
      <c r="V377" s="195">
        <f t="shared" si="55"/>
        <v>1.5533999999999999</v>
      </c>
      <c r="W377" s="195">
        <f>IFERROR(INDEX('Ashed teabags wet'!$K$2:$K$821,MATCH(H377,'Ashed teabags wet'!$A$2:$A$821,0)),"")</f>
        <v>8.3909180651525794</v>
      </c>
      <c r="X377" s="195">
        <f>IFERROR(INDEX('Ashed teabags wet'!$K$2:$K$821,MATCH(I377,'Ashed teabags wet'!$A$2:$A$821,0)),"")</f>
        <v>4.0756914119362859</v>
      </c>
      <c r="Y377" s="195">
        <f t="shared" si="49"/>
        <v>0.54269220138203611</v>
      </c>
      <c r="Z377" s="195">
        <f t="shared" si="49"/>
        <v>1.4900882096069816</v>
      </c>
      <c r="AA377" s="195">
        <f t="shared" si="56"/>
        <v>0.68200243219394641</v>
      </c>
      <c r="AB377" s="195">
        <f t="shared" si="57"/>
        <v>0.44710848286348986</v>
      </c>
      <c r="AC377" s="195">
        <f t="shared" si="50"/>
        <v>0.7604632349631496</v>
      </c>
      <c r="AD377">
        <f t="shared" si="51"/>
        <v>52</v>
      </c>
      <c r="AE377" s="195">
        <f t="shared" si="58"/>
        <v>0.1900208643777358</v>
      </c>
      <c r="AF377" s="195">
        <f t="shared" si="59"/>
        <v>1.4756237463525721E-2</v>
      </c>
      <c r="AG377" s="255" t="str">
        <f>IF(ISNUMBER(SEARCH("C",'WetLitterbags placem_collection'!AD304)),"YES","NO")</f>
        <v>NO</v>
      </c>
      <c r="AH377" s="255" t="str">
        <f>IF(ISNUMBER(SEARCH("H", 'WetLitterbags placem_collection'!AF84)),"YES","NO")</f>
        <v>NO</v>
      </c>
      <c r="AI377" s="255" t="str">
        <f>IF(ISNUMBER(SEARCH("R", 'WetLitterbags placem_collection'!XF84)),"YES","NO")</f>
        <v>NO</v>
      </c>
      <c r="AJ377" s="255" t="str">
        <f>IF(ISNUMBER(SEARCH("C", 'WetLitterbags placem_collection'!WE84)),"YES","NO")</f>
        <v>NO</v>
      </c>
      <c r="AK377" s="255" t="str">
        <f>IF(ISNUMBER(SEARCH("H", 'WetLitterbags placem_collection'!AE84)),"YES","NO")</f>
        <v>NO</v>
      </c>
      <c r="AL377" s="255" t="str">
        <f>IF(ISNUMBER(SEARCH("R", 'WetLitterbags placem_collection'!AE84)),"YES","NO")</f>
        <v>NO</v>
      </c>
    </row>
    <row r="378" spans="2:38">
      <c r="B378" t="str">
        <f>'Final data_for_R_analysis_Wetse'!A524</f>
        <v>Wet</v>
      </c>
      <c r="C378" s="263">
        <f>'Final data_for_R_analysis_Wetse'!B524</f>
        <v>83</v>
      </c>
      <c r="D378" t="s">
        <v>3839</v>
      </c>
      <c r="E378" t="s">
        <v>25</v>
      </c>
      <c r="F378" s="386">
        <v>3</v>
      </c>
      <c r="G378" s="16">
        <f>'WetLitterbags placem_collection'!E85</f>
        <v>42767</v>
      </c>
      <c r="H378" s="92" t="str">
        <f>'Final data_for_R_analysis_Wetse'!J524</f>
        <v>G298</v>
      </c>
      <c r="I378" t="str">
        <f>'Final data_for_R_analysis_Wetse'!J744</f>
        <v>R22</v>
      </c>
      <c r="J378">
        <f>IFERROR(INDEX('Green_rooibos initial weight'!$C$5:$C$1749,MATCH(H378, 'Green_rooibos initial weight'!$A$5:$A$1749,0)),"")</f>
        <v>2.0550000000000002</v>
      </c>
      <c r="K378">
        <f>IFERROR(INDEX('Green_rooibos initial weight'!$C$5:$C$1749,MATCH(I378, 'Green_rooibos initial weight'!$A$5:$A$1749,0)),"")</f>
        <v>2.0590000000000002</v>
      </c>
      <c r="L378" s="195">
        <f t="shared" si="52"/>
        <v>1.8052000000000001</v>
      </c>
      <c r="M378" s="195">
        <f>AVERAGE(Ashed_controlls!$K$2:$K$11)</f>
        <v>5.5147656768714146</v>
      </c>
      <c r="N378" s="195">
        <f t="shared" si="48"/>
        <v>1.7056474500011174</v>
      </c>
      <c r="O378" s="195">
        <f t="shared" si="53"/>
        <v>1.8092000000000001</v>
      </c>
      <c r="P378" s="195">
        <f>AVERAGE(Ashed_controlls!$K$12:$K$14)</f>
        <v>2.2816647271287041</v>
      </c>
      <c r="Q378" s="195">
        <f t="shared" si="54"/>
        <v>1.7679201217567877</v>
      </c>
      <c r="R378" s="16">
        <f>IF('WetLitterbags placem_collection'!G85="N.A","",'WetLitterbags placem_collection'!G85)</f>
        <v>42819</v>
      </c>
      <c r="S378" s="195">
        <f>IF(IFERROR(INDEX('Both teabags AfterWet'!$C$3:$C$841,MATCH(H378,'Both teabags AfterWet'!$A$3:$A$841,0)),"")="N.A","",(IFERROR(INDEX('Both teabags AfterWet'!$C$3:$C$841,MATCH(H378,'Both teabags AfterWet'!$A$3:$A$841,0)),"")))</f>
        <v>0.88800000000000001</v>
      </c>
      <c r="T378" s="195">
        <f>IFERROR(INDEX('Both teabags AfterWet'!$C$3:$C$841,MATCH(I378,'Both teabags AfterWet'!$A$3:$A$841,0)),"")</f>
        <v>1.637</v>
      </c>
      <c r="U378" s="195">
        <f t="shared" si="55"/>
        <v>0.73740000000000006</v>
      </c>
      <c r="V378" s="195">
        <f t="shared" si="55"/>
        <v>1.4863999999999999</v>
      </c>
      <c r="W378" s="195">
        <f>IFERROR(INDEX('Ashed teabags wet'!$K$2:$K$821,MATCH(H378,'Ashed teabags wet'!$A$2:$A$821,0)),"")</f>
        <v>14.849074975657658</v>
      </c>
      <c r="X378" s="195">
        <f>IFERROR(INDEX('Ashed teabags wet'!$K$2:$K$821,MATCH(I378,'Ashed teabags wet'!$A$2:$A$821,0)),"")</f>
        <v>7.3339940535177606</v>
      </c>
      <c r="Y378" s="195">
        <f t="shared" si="49"/>
        <v>0.62790292112950041</v>
      </c>
      <c r="Z378" s="195">
        <f t="shared" si="49"/>
        <v>1.377387512388512</v>
      </c>
      <c r="AA378" s="195">
        <f t="shared" si="56"/>
        <v>0.6318682848972752</v>
      </c>
      <c r="AB378" s="195">
        <f t="shared" si="57"/>
        <v>0.41424144093028026</v>
      </c>
      <c r="AC378" s="195">
        <f t="shared" si="50"/>
        <v>0.77910053482495445</v>
      </c>
      <c r="AD378">
        <f t="shared" si="51"/>
        <v>52</v>
      </c>
      <c r="AE378" s="195">
        <f t="shared" si="58"/>
        <v>0.24956260701036193</v>
      </c>
      <c r="AF378" s="195">
        <f t="shared" si="59"/>
        <v>1.4653624585251792E-2</v>
      </c>
      <c r="AG378" s="255" t="str">
        <f>IF(ISNUMBER(SEARCH("C",'WetLitterbags placem_collection'!AD305)),"YES","NO")</f>
        <v>NO</v>
      </c>
      <c r="AH378" s="255" t="str">
        <f>IF(ISNUMBER(SEARCH("H", 'WetLitterbags placem_collection'!AF85)),"YES","NO")</f>
        <v>NO</v>
      </c>
      <c r="AI378" s="255" t="str">
        <f>IF(ISNUMBER(SEARCH("R", 'WetLitterbags placem_collection'!XF85)),"YES","NO")</f>
        <v>NO</v>
      </c>
      <c r="AJ378" s="255" t="str">
        <f>IF(ISNUMBER(SEARCH("C", 'WetLitterbags placem_collection'!WE85)),"YES","NO")</f>
        <v>NO</v>
      </c>
      <c r="AK378" s="255" t="str">
        <f>IF(ISNUMBER(SEARCH("H", 'WetLitterbags placem_collection'!AE85)),"YES","NO")</f>
        <v>NO</v>
      </c>
      <c r="AL378" s="255" t="str">
        <f>IF(ISNUMBER(SEARCH("R", 'WetLitterbags placem_collection'!AE85)),"YES","NO")</f>
        <v>NO</v>
      </c>
    </row>
    <row r="379" spans="2:38">
      <c r="B379" t="str">
        <f>'Final data_for_R_analysis_Wetse'!A525</f>
        <v>Wet</v>
      </c>
      <c r="C379" s="263">
        <f>'Final data_for_R_analysis_Wetse'!B525</f>
        <v>84</v>
      </c>
      <c r="D379" t="s">
        <v>3839</v>
      </c>
      <c r="E379" t="s">
        <v>25</v>
      </c>
      <c r="F379" s="387">
        <v>4</v>
      </c>
      <c r="G379" s="16">
        <f>'WetLitterbags placem_collection'!E86</f>
        <v>42767</v>
      </c>
      <c r="H379" s="92" t="str">
        <f>'Final data_for_R_analysis_Wetse'!J525</f>
        <v>G520</v>
      </c>
      <c r="I379" t="str">
        <f>'Final data_for_R_analysis_Wetse'!J745</f>
        <v>R417</v>
      </c>
      <c r="J379">
        <f>IFERROR(INDEX('Green_rooibos initial weight'!$C$5:$C$1749,MATCH(H379, 'Green_rooibos initial weight'!$A$5:$A$1749,0)),"")</f>
        <v>1.929</v>
      </c>
      <c r="K379">
        <f>IFERROR(INDEX('Green_rooibos initial weight'!$C$5:$C$1749,MATCH(I379, 'Green_rooibos initial weight'!$A$5:$A$1749,0)),"")</f>
        <v>2.2269999999999999</v>
      </c>
      <c r="L379" s="195">
        <f t="shared" si="52"/>
        <v>1.6792</v>
      </c>
      <c r="M379" s="195">
        <f>AVERAGE(Ashed_controlls!$K$2:$K$11)</f>
        <v>5.5147656768714146</v>
      </c>
      <c r="N379" s="195">
        <f t="shared" si="48"/>
        <v>1.5865960547539752</v>
      </c>
      <c r="O379" s="195">
        <f t="shared" si="53"/>
        <v>1.9771999999999998</v>
      </c>
      <c r="P379" s="195">
        <f>AVERAGE(Ashed_controlls!$K$12:$K$14)</f>
        <v>2.2816647271287041</v>
      </c>
      <c r="Q379" s="195">
        <f t="shared" si="54"/>
        <v>1.9320869250152111</v>
      </c>
      <c r="R379" s="16">
        <f>IF('WetLitterbags placem_collection'!G86="N.A","",'WetLitterbags placem_collection'!G86)</f>
        <v>42819</v>
      </c>
      <c r="S379" s="195">
        <f>IF(IFERROR(INDEX('Both teabags AfterWet'!$C$3:$C$841,MATCH(H379,'Both teabags AfterWet'!$A$3:$A$841,0)),"")="N.A","",(IFERROR(INDEX('Both teabags AfterWet'!$C$3:$C$841,MATCH(H379,'Both teabags AfterWet'!$A$3:$A$841,0)),"")))</f>
        <v>0.81299999999999994</v>
      </c>
      <c r="T379" s="195">
        <f>IFERROR(INDEX('Both teabags AfterWet'!$C$3:$C$841,MATCH(I379,'Both teabags AfterWet'!$A$3:$A$841,0)),"")</f>
        <v>1.5820000000000001</v>
      </c>
      <c r="U379" s="195">
        <f t="shared" si="55"/>
        <v>0.66239999999999988</v>
      </c>
      <c r="V379" s="195">
        <f t="shared" si="55"/>
        <v>1.4314</v>
      </c>
      <c r="W379" s="195">
        <f>IFERROR(INDEX('Ashed teabags wet'!$K$2:$K$821,MATCH(H379,'Ashed teabags wet'!$A$2:$A$821,0)),"")</f>
        <v>10.723192019949995</v>
      </c>
      <c r="X379" s="195">
        <f>IFERROR(INDEX('Ashed teabags wet'!$K$2:$K$821,MATCH(I379,'Ashed teabags wet'!$A$2:$A$821,0)),"")</f>
        <v>7.3412698412690327</v>
      </c>
      <c r="Y379" s="195">
        <f t="shared" si="49"/>
        <v>0.59136957605985108</v>
      </c>
      <c r="Z379" s="195">
        <f t="shared" si="49"/>
        <v>1.3263170634920751</v>
      </c>
      <c r="AA379" s="195">
        <f t="shared" si="56"/>
        <v>0.62727149466437349</v>
      </c>
      <c r="AB379" s="195">
        <f t="shared" si="57"/>
        <v>0.41122786823602636</v>
      </c>
      <c r="AC379" s="195">
        <f t="shared" si="50"/>
        <v>0.68646862950104237</v>
      </c>
      <c r="AD379">
        <f t="shared" si="51"/>
        <v>52</v>
      </c>
      <c r="AE379" s="195">
        <f t="shared" si="58"/>
        <v>0.25502197783328562</v>
      </c>
      <c r="AF379" s="195">
        <f t="shared" si="59"/>
        <v>2.7640034105744286E-2</v>
      </c>
      <c r="AG379" s="255" t="str">
        <f>IF(ISNUMBER(SEARCH("C",'WetLitterbags placem_collection'!AD306)),"YES","NO")</f>
        <v>NO</v>
      </c>
      <c r="AH379" s="255" t="str">
        <f>IF(ISNUMBER(SEARCH("H", 'WetLitterbags placem_collection'!AF86)),"YES","NO")</f>
        <v>NO</v>
      </c>
      <c r="AI379" s="255" t="str">
        <f>IF(ISNUMBER(SEARCH("R", 'WetLitterbags placem_collection'!XF86)),"YES","NO")</f>
        <v>NO</v>
      </c>
      <c r="AJ379" s="255" t="str">
        <f>IF(ISNUMBER(SEARCH("C", 'WetLitterbags placem_collection'!WE86)),"YES","NO")</f>
        <v>NO</v>
      </c>
      <c r="AK379" s="255" t="str">
        <f>IF(ISNUMBER(SEARCH("H", 'WetLitterbags placem_collection'!AE86)),"YES","NO")</f>
        <v>NO</v>
      </c>
      <c r="AL379" s="255" t="str">
        <f>IF(ISNUMBER(SEARCH("R", 'WetLitterbags placem_collection'!AE86)),"YES","NO")</f>
        <v>NO</v>
      </c>
    </row>
    <row r="380" spans="2:38">
      <c r="B380" t="str">
        <f>'Final data_for_R_analysis_Wetse'!A526</f>
        <v>Wet</v>
      </c>
      <c r="C380" s="263">
        <f>'Final data_for_R_analysis_Wetse'!B526</f>
        <v>85</v>
      </c>
      <c r="D380" t="s">
        <v>3839</v>
      </c>
      <c r="E380" t="s">
        <v>25</v>
      </c>
      <c r="F380" s="387">
        <v>5</v>
      </c>
      <c r="G380" s="16">
        <f>'WetLitterbags placem_collection'!E87</f>
        <v>42767</v>
      </c>
      <c r="H380" s="92" t="str">
        <f>'Final data_for_R_analysis_Wetse'!J526</f>
        <v>G441</v>
      </c>
      <c r="I380" t="str">
        <f>'Final data_for_R_analysis_Wetse'!J746</f>
        <v>R391</v>
      </c>
      <c r="J380">
        <f>IFERROR(INDEX('Green_rooibos initial weight'!$C$5:$C$1749,MATCH(H380, 'Green_rooibos initial weight'!$A$5:$A$1749,0)),"")</f>
        <v>2.1040000000000001</v>
      </c>
      <c r="K380">
        <f>IFERROR(INDEX('Green_rooibos initial weight'!$C$5:$C$1749,MATCH(I380, 'Green_rooibos initial weight'!$A$5:$A$1749,0)),"")</f>
        <v>2.1960000000000002</v>
      </c>
      <c r="L380" s="195">
        <f t="shared" si="52"/>
        <v>1.8542000000000001</v>
      </c>
      <c r="M380" s="195">
        <f>AVERAGE(Ashed_controlls!$K$2:$K$11)</f>
        <v>5.5147656768714146</v>
      </c>
      <c r="N380" s="195">
        <f t="shared" si="48"/>
        <v>1.7519452148194503</v>
      </c>
      <c r="O380" s="195">
        <f t="shared" si="53"/>
        <v>1.9462000000000002</v>
      </c>
      <c r="P380" s="195">
        <f>AVERAGE(Ashed_controlls!$K$12:$K$14)</f>
        <v>2.2816647271287041</v>
      </c>
      <c r="Q380" s="195">
        <f t="shared" si="54"/>
        <v>1.9017942410806212</v>
      </c>
      <c r="R380" s="16">
        <f>IF('WetLitterbags placem_collection'!G87="N.A","",'WetLitterbags placem_collection'!G87)</f>
        <v>42819</v>
      </c>
      <c r="S380" s="195">
        <f>IF(IFERROR(INDEX('Both teabags AfterWet'!$C$3:$C$841,MATCH(H380,'Both teabags AfterWet'!$A$3:$A$841,0)),"")="N.A","",(IFERROR(INDEX('Both teabags AfterWet'!$C$3:$C$841,MATCH(H380,'Both teabags AfterWet'!$A$3:$A$841,0)),"")))</f>
        <v>0.96599999999999997</v>
      </c>
      <c r="T380" s="195">
        <f>IFERROR(INDEX('Both teabags AfterWet'!$C$3:$C$841,MATCH(I380,'Both teabags AfterWet'!$A$3:$A$841,0)),"")</f>
        <v>1.6220000000000001</v>
      </c>
      <c r="U380" s="195">
        <f t="shared" si="55"/>
        <v>0.8153999999999999</v>
      </c>
      <c r="V380" s="195">
        <f t="shared" si="55"/>
        <v>1.4714</v>
      </c>
      <c r="W380" s="195">
        <f>IFERROR(INDEX('Ashed teabags wet'!$K$2:$K$821,MATCH(H380,'Ashed teabags wet'!$A$2:$A$821,0)),"")</f>
        <v>11.595639246779045</v>
      </c>
      <c r="X380" s="195">
        <f>IFERROR(INDEX('Ashed teabags wet'!$K$2:$K$821,MATCH(I380,'Ashed teabags wet'!$A$2:$A$821,0)),"")</f>
        <v>3.6463536463541599</v>
      </c>
      <c r="Y380" s="195">
        <f t="shared" si="49"/>
        <v>0.7208491575817636</v>
      </c>
      <c r="Z380" s="195">
        <f t="shared" si="49"/>
        <v>1.4177475524475449</v>
      </c>
      <c r="AA380" s="195">
        <f t="shared" si="56"/>
        <v>0.58854355062920627</v>
      </c>
      <c r="AB380" s="195">
        <f t="shared" si="57"/>
        <v>0.38583852725335138</v>
      </c>
      <c r="AC380" s="195">
        <f t="shared" si="50"/>
        <v>0.74547893869000492</v>
      </c>
      <c r="AD380">
        <f t="shared" si="51"/>
        <v>52</v>
      </c>
      <c r="AE380" s="195">
        <f t="shared" si="58"/>
        <v>0.30101716077291418</v>
      </c>
      <c r="AF380" s="195">
        <f t="shared" si="59"/>
        <v>2.0726945444708399E-2</v>
      </c>
      <c r="AG380" s="255" t="str">
        <f>IF(ISNUMBER(SEARCH("C",'WetLitterbags placem_collection'!AD307)),"YES","NO")</f>
        <v>NO</v>
      </c>
      <c r="AH380" s="255" t="str">
        <f>IF(ISNUMBER(SEARCH("H", 'WetLitterbags placem_collection'!AF87)),"YES","NO")</f>
        <v>NO</v>
      </c>
      <c r="AI380" s="255" t="str">
        <f>IF(ISNUMBER(SEARCH("R", 'WetLitterbags placem_collection'!XF87)),"YES","NO")</f>
        <v>NO</v>
      </c>
      <c r="AJ380" s="255" t="str">
        <f>IF(ISNUMBER(SEARCH("C", 'WetLitterbags placem_collection'!WE87)),"YES","NO")</f>
        <v>NO</v>
      </c>
      <c r="AK380" s="255" t="str">
        <f>IF(ISNUMBER(SEARCH("H", 'WetLitterbags placem_collection'!AE87)),"YES","NO")</f>
        <v>NO</v>
      </c>
      <c r="AL380" s="255" t="str">
        <f>IF(ISNUMBER(SEARCH("R", 'WetLitterbags placem_collection'!AE87)),"YES","NO")</f>
        <v>NO</v>
      </c>
    </row>
    <row r="381" spans="2:38">
      <c r="B381" t="str">
        <f>'Final data_for_R_analysis_Wetse'!A527</f>
        <v>Wet</v>
      </c>
      <c r="C381" s="263">
        <f>'Final data_for_R_analysis_Wetse'!B527</f>
        <v>86</v>
      </c>
      <c r="D381" t="s">
        <v>3839</v>
      </c>
      <c r="E381" t="s">
        <v>25</v>
      </c>
      <c r="F381" s="387">
        <v>6</v>
      </c>
      <c r="G381" s="16">
        <f>'WetLitterbags placem_collection'!E88</f>
        <v>42767</v>
      </c>
      <c r="H381" s="92" t="str">
        <f>'Final data_for_R_analysis_Wetse'!J527</f>
        <v>G561</v>
      </c>
      <c r="I381" t="str">
        <f>'Final data_for_R_analysis_Wetse'!J747</f>
        <v>R62</v>
      </c>
      <c r="J381">
        <f>IFERROR(INDEX('Green_rooibos initial weight'!$C$5:$C$1749,MATCH(H381, 'Green_rooibos initial weight'!$A$5:$A$1749,0)),"")</f>
        <v>2.1259999999999999</v>
      </c>
      <c r="K381">
        <f>IFERROR(INDEX('Green_rooibos initial weight'!$C$5:$C$1749,MATCH(I381, 'Green_rooibos initial weight'!$A$5:$A$1749,0)),"")</f>
        <v>2.3660000000000001</v>
      </c>
      <c r="L381" s="195">
        <f t="shared" si="52"/>
        <v>1.8761999999999999</v>
      </c>
      <c r="M381" s="195">
        <f>AVERAGE(Ashed_controlls!$K$2:$K$11)</f>
        <v>5.5147656768714146</v>
      </c>
      <c r="N381" s="195">
        <f t="shared" si="48"/>
        <v>1.7727319663705383</v>
      </c>
      <c r="O381" s="195">
        <f t="shared" si="53"/>
        <v>2.1162000000000001</v>
      </c>
      <c r="P381" s="195">
        <f>AVERAGE(Ashed_controlls!$K$12:$K$14)</f>
        <v>2.2816647271287041</v>
      </c>
      <c r="Q381" s="195">
        <f t="shared" si="54"/>
        <v>2.0679154110445026</v>
      </c>
      <c r="R381" s="16">
        <f>IF('WetLitterbags placem_collection'!G88="N.A","",'WetLitterbags placem_collection'!G88)</f>
        <v>42819</v>
      </c>
      <c r="S381" s="195">
        <f>IF(IFERROR(INDEX('Both teabags AfterWet'!$C$3:$C$841,MATCH(H381,'Both teabags AfterWet'!$A$3:$A$841,0)),"")="N.A","",(IFERROR(INDEX('Both teabags AfterWet'!$C$3:$C$841,MATCH(H381,'Both teabags AfterWet'!$A$3:$A$841,0)),"")))</f>
        <v>0.74650000000000005</v>
      </c>
      <c r="T381" s="195">
        <f>IFERROR(INDEX('Both teabags AfterWet'!$C$3:$C$841,MATCH(I381,'Both teabags AfterWet'!$A$3:$A$841,0)),"")</f>
        <v>1.6786000000000001</v>
      </c>
      <c r="U381" s="195">
        <f t="shared" si="55"/>
        <v>0.5959000000000001</v>
      </c>
      <c r="V381" s="195">
        <f t="shared" si="55"/>
        <v>1.528</v>
      </c>
      <c r="W381" s="195">
        <f>IFERROR(INDEX('Ashed teabags wet'!$K$2:$K$821,MATCH(H381,'Ashed teabags wet'!$A$2:$A$821,0)),"")</f>
        <v>8.6978131212732563</v>
      </c>
      <c r="X381" s="195">
        <f>IFERROR(INDEX('Ashed teabags wet'!$K$2:$K$821,MATCH(I381,'Ashed teabags wet'!$A$2:$A$821,0)),"")</f>
        <v>28.338278931750832</v>
      </c>
      <c r="Y381" s="195">
        <f t="shared" si="49"/>
        <v>0.54406973161033279</v>
      </c>
      <c r="Z381" s="195">
        <f t="shared" si="49"/>
        <v>1.0949910979228474</v>
      </c>
      <c r="AA381" s="195">
        <f t="shared" si="56"/>
        <v>0.69308968195330056</v>
      </c>
      <c r="AB381" s="195">
        <f t="shared" si="57"/>
        <v>0.45437708365584556</v>
      </c>
      <c r="AC381" s="195">
        <f t="shared" si="50"/>
        <v>0.52951445309349876</v>
      </c>
      <c r="AD381">
        <f t="shared" si="51"/>
        <v>52</v>
      </c>
      <c r="AE381" s="195">
        <f t="shared" si="58"/>
        <v>0.17685310931912046</v>
      </c>
      <c r="AF381" s="195" t="str">
        <f t="shared" si="59"/>
        <v/>
      </c>
      <c r="AG381" s="255" t="str">
        <f>IF(ISNUMBER(SEARCH("C",'WetLitterbags placem_collection'!AD308)),"YES","NO")</f>
        <v>NO</v>
      </c>
      <c r="AH381" s="255" t="str">
        <f>IF(ISNUMBER(SEARCH("H", 'WetLitterbags placem_collection'!AF88)),"YES","NO")</f>
        <v>NO</v>
      </c>
      <c r="AI381" s="255" t="str">
        <f>IF(ISNUMBER(SEARCH("R", 'WetLitterbags placem_collection'!XF88)),"YES","NO")</f>
        <v>NO</v>
      </c>
      <c r="AJ381" s="255" t="str">
        <f>IF(ISNUMBER(SEARCH("C", 'WetLitterbags placem_collection'!WE88)),"YES","NO")</f>
        <v>NO</v>
      </c>
      <c r="AK381" s="255" t="str">
        <f>IF(ISNUMBER(SEARCH("H", 'WetLitterbags placem_collection'!AE88)),"YES","NO")</f>
        <v>NO</v>
      </c>
      <c r="AL381" s="255" t="str">
        <f>IF(ISNUMBER(SEARCH("R", 'WetLitterbags placem_collection'!AE88)),"YES","NO")</f>
        <v>NO</v>
      </c>
    </row>
    <row r="382" spans="2:38">
      <c r="B382" t="str">
        <f>'Final data_for_R_analysis_Wetse'!A528</f>
        <v>Wet</v>
      </c>
      <c r="C382" s="263">
        <f>'Final data_for_R_analysis_Wetse'!B528</f>
        <v>87</v>
      </c>
      <c r="D382" t="s">
        <v>3839</v>
      </c>
      <c r="E382" t="s">
        <v>25</v>
      </c>
      <c r="F382" s="387">
        <v>7</v>
      </c>
      <c r="G382" s="16">
        <f>'WetLitterbags placem_collection'!E89</f>
        <v>42767</v>
      </c>
      <c r="H382" s="92" t="str">
        <f>'Final data_for_R_analysis_Wetse'!J528</f>
        <v>G632</v>
      </c>
      <c r="I382" t="str">
        <f>'Final data_for_R_analysis_Wetse'!J748</f>
        <v>R329</v>
      </c>
      <c r="J382">
        <f>IFERROR(INDEX('Green_rooibos initial weight'!$C$5:$C$1749,MATCH(H382, 'Green_rooibos initial weight'!$A$5:$A$1749,0)),"")</f>
        <v>2.0779999999999998</v>
      </c>
      <c r="K382">
        <f>IFERROR(INDEX('Green_rooibos initial weight'!$C$5:$C$1749,MATCH(I382, 'Green_rooibos initial weight'!$A$5:$A$1749,0)),"")</f>
        <v>2.2120000000000002</v>
      </c>
      <c r="L382" s="195">
        <f t="shared" si="52"/>
        <v>1.8281999999999998</v>
      </c>
      <c r="M382" s="195">
        <f>AVERAGE(Ashed_controlls!$K$2:$K$11)</f>
        <v>5.5147656768714146</v>
      </c>
      <c r="N382" s="195">
        <f t="shared" si="48"/>
        <v>1.7273790538954366</v>
      </c>
      <c r="O382" s="195">
        <f t="shared" si="53"/>
        <v>1.9622000000000002</v>
      </c>
      <c r="P382" s="195">
        <f>AVERAGE(Ashed_controlls!$K$12:$K$14)</f>
        <v>2.2816647271287041</v>
      </c>
      <c r="Q382" s="195">
        <f t="shared" si="54"/>
        <v>1.9174291747242806</v>
      </c>
      <c r="R382" s="16">
        <f>IF('WetLitterbags placem_collection'!G89="N.A","",'WetLitterbags placem_collection'!G89)</f>
        <v>42819</v>
      </c>
      <c r="S382" s="195">
        <f>IF(IFERROR(INDEX('Both teabags AfterWet'!$C$3:$C$841,MATCH(H382,'Both teabags AfterWet'!$A$3:$A$841,0)),"")="N.A","",(IFERROR(INDEX('Both teabags AfterWet'!$C$3:$C$841,MATCH(H382,'Both teabags AfterWet'!$A$3:$A$841,0)),"")))</f>
        <v>0.81640000000000001</v>
      </c>
      <c r="T382" s="195">
        <f>IFERROR(INDEX('Both teabags AfterWet'!$C$3:$C$841,MATCH(I382,'Both teabags AfterWet'!$A$3:$A$841,0)),"")</f>
        <v>1.7085999999999999</v>
      </c>
      <c r="U382" s="195">
        <f t="shared" si="55"/>
        <v>0.66579999999999995</v>
      </c>
      <c r="V382" s="195">
        <f t="shared" si="55"/>
        <v>1.5579999999999998</v>
      </c>
      <c r="W382" s="195">
        <f>IFERROR(INDEX('Ashed teabags wet'!$K$2:$K$821,MATCH(H382,'Ashed teabags wet'!$A$2:$A$821,0)),"")</f>
        <v>14.564493098524098</v>
      </c>
      <c r="X382" s="195">
        <f>IFERROR(INDEX('Ashed teabags wet'!$K$2:$K$821,MATCH(I382,'Ashed teabags wet'!$A$2:$A$821,0)),"")</f>
        <v>5.7663873829462604</v>
      </c>
      <c r="Y382" s="195">
        <f t="shared" si="49"/>
        <v>0.56882960495002655</v>
      </c>
      <c r="Z382" s="195">
        <f t="shared" si="49"/>
        <v>1.4681596845736971</v>
      </c>
      <c r="AA382" s="195">
        <f t="shared" si="56"/>
        <v>0.67069786815623877</v>
      </c>
      <c r="AB382" s="195">
        <f t="shared" si="57"/>
        <v>0.43969741475325874</v>
      </c>
      <c r="AC382" s="195">
        <f t="shared" si="50"/>
        <v>0.76569174180048294</v>
      </c>
      <c r="AD382">
        <f t="shared" si="51"/>
        <v>52</v>
      </c>
      <c r="AE382" s="195">
        <f t="shared" si="58"/>
        <v>0.20344671240351686</v>
      </c>
      <c r="AF382" s="195">
        <f t="shared" si="59"/>
        <v>1.4638082545197958E-2</v>
      </c>
      <c r="AG382" s="255" t="str">
        <f>IF(ISNUMBER(SEARCH("C",'WetLitterbags placem_collection'!AD309)),"YES","NO")</f>
        <v>NO</v>
      </c>
      <c r="AH382" s="255" t="str">
        <f>IF(ISNUMBER(SEARCH("H", 'WetLitterbags placem_collection'!AF89)),"YES","NO")</f>
        <v>NO</v>
      </c>
      <c r="AI382" s="255" t="str">
        <f>IF(ISNUMBER(SEARCH("R", 'WetLitterbags placem_collection'!XF89)),"YES","NO")</f>
        <v>NO</v>
      </c>
      <c r="AJ382" s="255" t="str">
        <f>IF(ISNUMBER(SEARCH("C", 'WetLitterbags placem_collection'!WE89)),"YES","NO")</f>
        <v>NO</v>
      </c>
      <c r="AK382" s="255" t="str">
        <f>IF(ISNUMBER(SEARCH("H", 'WetLitterbags placem_collection'!AE89)),"YES","NO")</f>
        <v>NO</v>
      </c>
      <c r="AL382" s="255" t="str">
        <f>IF(ISNUMBER(SEARCH("R", 'WetLitterbags placem_collection'!AE89)),"YES","NO")</f>
        <v>NO</v>
      </c>
    </row>
    <row r="383" spans="2:38">
      <c r="B383" t="str">
        <f>'Final data_for_R_analysis_Wetse'!A529</f>
        <v>Wet</v>
      </c>
      <c r="C383" s="263">
        <f>'Final data_for_R_analysis_Wetse'!B529</f>
        <v>88</v>
      </c>
      <c r="D383" t="s">
        <v>3839</v>
      </c>
      <c r="E383" t="s">
        <v>25</v>
      </c>
      <c r="F383" s="387">
        <v>8</v>
      </c>
      <c r="G383" s="16">
        <f>'WetLitterbags placem_collection'!E90</f>
        <v>42767</v>
      </c>
      <c r="H383" s="92" t="str">
        <f>'Final data_for_R_analysis_Wetse'!J529</f>
        <v>G611</v>
      </c>
      <c r="I383" t="str">
        <f>'Final data_for_R_analysis_Wetse'!J749</f>
        <v>R288</v>
      </c>
      <c r="J383">
        <f>IFERROR(INDEX('Green_rooibos initial weight'!$C$5:$C$1749,MATCH(H383, 'Green_rooibos initial weight'!$A$5:$A$1749,0)),"")</f>
        <v>1.99</v>
      </c>
      <c r="K383">
        <f>IFERROR(INDEX('Green_rooibos initial weight'!$C$5:$C$1749,MATCH(I383, 'Green_rooibos initial weight'!$A$5:$A$1749,0)),"")</f>
        <v>2.2450000000000001</v>
      </c>
      <c r="L383" s="195">
        <f t="shared" si="52"/>
        <v>1.7402</v>
      </c>
      <c r="M383" s="195">
        <f>AVERAGE(Ashed_controlls!$K$2:$K$11)</f>
        <v>5.5147656768714146</v>
      </c>
      <c r="N383" s="195">
        <f t="shared" si="48"/>
        <v>1.6442320476910837</v>
      </c>
      <c r="O383" s="195">
        <f t="shared" si="53"/>
        <v>1.9952000000000001</v>
      </c>
      <c r="P383" s="195">
        <f>AVERAGE(Ashed_controlls!$K$12:$K$14)</f>
        <v>2.2816647271287041</v>
      </c>
      <c r="Q383" s="195">
        <f t="shared" si="54"/>
        <v>1.9496762253643283</v>
      </c>
      <c r="R383" s="16">
        <f>IF('WetLitterbags placem_collection'!G90="N.A","",'WetLitterbags placem_collection'!G90)</f>
        <v>0</v>
      </c>
      <c r="S383" s="195" t="str">
        <f>IF(IFERROR(INDEX('Both teabags AfterWet'!$C$3:$C$841,MATCH(H383,'Both teabags AfterWet'!$A$3:$A$841,0)),"")="N.A","",(IFERROR(INDEX('Both teabags AfterWet'!$C$3:$C$841,MATCH(H383,'Both teabags AfterWet'!$A$3:$A$841,0)),"")))</f>
        <v/>
      </c>
      <c r="T383" s="195" t="str">
        <f>IFERROR(INDEX('Both teabags AfterWet'!$C$3:$C$841,MATCH(I383,'Both teabags AfterWet'!$A$3:$A$841,0)),"")</f>
        <v/>
      </c>
      <c r="U383" s="195" t="str">
        <f t="shared" si="55"/>
        <v/>
      </c>
      <c r="V383" s="195" t="str">
        <f t="shared" si="55"/>
        <v/>
      </c>
      <c r="W383" s="195" t="str">
        <f>IFERROR(INDEX('Ashed teabags wet'!$K$2:$K$821,MATCH(H383,'Ashed teabags wet'!$A$2:$A$821,0)),"")</f>
        <v/>
      </c>
      <c r="X383" s="195" t="str">
        <f>IFERROR(INDEX('Ashed teabags wet'!$K$2:$K$821,MATCH(I383,'Ashed teabags wet'!$A$2:$A$821,0)),"")</f>
        <v/>
      </c>
      <c r="Y383" s="195" t="str">
        <f t="shared" si="49"/>
        <v/>
      </c>
      <c r="Z383" s="195" t="str">
        <f t="shared" si="49"/>
        <v/>
      </c>
      <c r="AA383" s="195" t="str">
        <f t="shared" si="56"/>
        <v/>
      </c>
      <c r="AB383" s="195" t="str">
        <f t="shared" si="57"/>
        <v/>
      </c>
      <c r="AC383" s="195" t="str">
        <f t="shared" si="50"/>
        <v/>
      </c>
      <c r="AD383" t="str">
        <f t="shared" si="51"/>
        <v/>
      </c>
      <c r="AE383" s="195" t="str">
        <f t="shared" si="58"/>
        <v/>
      </c>
      <c r="AF383" s="195" t="str">
        <f t="shared" si="59"/>
        <v/>
      </c>
      <c r="AG383" s="255" t="str">
        <f>IF(ISNUMBER(SEARCH("C",'WetLitterbags placem_collection'!AD310)),"YES","NO")</f>
        <v>NO</v>
      </c>
      <c r="AH383" s="255" t="str">
        <f>IF(ISNUMBER(SEARCH("H", 'WetLitterbags placem_collection'!AF90)),"YES","NO")</f>
        <v>NO</v>
      </c>
      <c r="AI383" s="255" t="str">
        <f>IF(ISNUMBER(SEARCH("R", 'WetLitterbags placem_collection'!XF90)),"YES","NO")</f>
        <v>NO</v>
      </c>
      <c r="AJ383" s="255" t="str">
        <f>IF(ISNUMBER(SEARCH("C", 'WetLitterbags placem_collection'!WE90)),"YES","NO")</f>
        <v>NO</v>
      </c>
      <c r="AK383" s="255" t="str">
        <f>IF(ISNUMBER(SEARCH("H", 'WetLitterbags placem_collection'!AE90)),"YES","NO")</f>
        <v>NO</v>
      </c>
      <c r="AL383" s="255" t="str">
        <f>IF(ISNUMBER(SEARCH("R", 'WetLitterbags placem_collection'!AE90)),"YES","NO")</f>
        <v>NO</v>
      </c>
    </row>
    <row r="384" spans="2:38">
      <c r="B384" t="str">
        <f>'Final data_for_R_analysis_Wetse'!A530</f>
        <v>Wet</v>
      </c>
      <c r="C384" s="263">
        <f>'Final data_for_R_analysis_Wetse'!B530</f>
        <v>89</v>
      </c>
      <c r="D384" t="s">
        <v>3840</v>
      </c>
      <c r="E384" t="s">
        <v>25</v>
      </c>
      <c r="F384" s="386">
        <v>1</v>
      </c>
      <c r="G384" s="16">
        <f>'WetLitterbags placem_collection'!E91</f>
        <v>42767</v>
      </c>
      <c r="H384" s="92" t="str">
        <f>'Final data_for_R_analysis_Wetse'!J530</f>
        <v>G469</v>
      </c>
      <c r="I384" t="str">
        <f>'Final data_for_R_analysis_Wetse'!J750</f>
        <v>R171</v>
      </c>
      <c r="J384">
        <f>IFERROR(INDEX('Green_rooibos initial weight'!$C$5:$C$1749,MATCH(H384, 'Green_rooibos initial weight'!$A$5:$A$1749,0)),"")</f>
        <v>1.9630000000000001</v>
      </c>
      <c r="K384">
        <f>IFERROR(INDEX('Green_rooibos initial weight'!$C$5:$C$1749,MATCH(I384, 'Green_rooibos initial weight'!$A$5:$A$1749,0)),"")</f>
        <v>2.1160000000000001</v>
      </c>
      <c r="L384" s="195">
        <f t="shared" si="52"/>
        <v>1.7132000000000001</v>
      </c>
      <c r="M384" s="195">
        <f>AVERAGE(Ashed_controlls!$K$2:$K$11)</f>
        <v>5.5147656768714146</v>
      </c>
      <c r="N384" s="195">
        <f t="shared" si="48"/>
        <v>1.618721034423839</v>
      </c>
      <c r="O384" s="195">
        <f t="shared" si="53"/>
        <v>1.8662000000000001</v>
      </c>
      <c r="P384" s="195">
        <f>AVERAGE(Ashed_controlls!$K$12:$K$14)</f>
        <v>2.2816647271287041</v>
      </c>
      <c r="Q384" s="195">
        <f t="shared" si="54"/>
        <v>1.8236195728623241</v>
      </c>
      <c r="R384" s="16">
        <f>IF('WetLitterbags placem_collection'!G91="N.A","",'WetLitterbags placem_collection'!G91)</f>
        <v>42819</v>
      </c>
      <c r="S384" s="195">
        <f>IF(IFERROR(INDEX('Both teabags AfterWet'!$C$3:$C$841,MATCH(H384,'Both teabags AfterWet'!$A$3:$A$841,0)),"")="N.A","",(IFERROR(INDEX('Both teabags AfterWet'!$C$3:$C$841,MATCH(H384,'Both teabags AfterWet'!$A$3:$A$841,0)),"")))</f>
        <v>1.5169999999999999</v>
      </c>
      <c r="T384" s="195">
        <f>IFERROR(INDEX('Both teabags AfterWet'!$C$3:$C$841,MATCH(I384,'Both teabags AfterWet'!$A$3:$A$841,0)),"")</f>
        <v>2.0529999999999999</v>
      </c>
      <c r="U384" s="195">
        <f t="shared" si="55"/>
        <v>1.3663999999999998</v>
      </c>
      <c r="V384" s="195">
        <f t="shared" si="55"/>
        <v>1.9023999999999999</v>
      </c>
      <c r="W384" s="195">
        <f>IFERROR(INDEX('Ashed teabags wet'!$K$2:$K$821,MATCH(H384,'Ashed teabags wet'!$A$2:$A$821,0)),"")</f>
        <v>48.044965786901678</v>
      </c>
      <c r="X384" s="195">
        <f>IFERROR(INDEX('Ashed teabags wet'!$K$2:$K$821,MATCH(I384,'Ashed teabags wet'!$A$2:$A$821,0)),"")</f>
        <v>19.890873015872916</v>
      </c>
      <c r="Y384" s="195">
        <f t="shared" si="49"/>
        <v>0.70991358748777544</v>
      </c>
      <c r="Z384" s="195">
        <f t="shared" si="49"/>
        <v>1.5239960317460335</v>
      </c>
      <c r="AA384" s="195">
        <f t="shared" si="56"/>
        <v>0.56143549605478549</v>
      </c>
      <c r="AB384" s="195">
        <f t="shared" si="57"/>
        <v>0.36806697603591643</v>
      </c>
      <c r="AC384" s="195">
        <f t="shared" si="50"/>
        <v>0.8356984397540731</v>
      </c>
      <c r="AD384">
        <f t="shared" si="51"/>
        <v>52</v>
      </c>
      <c r="AE384" s="195">
        <f t="shared" si="58"/>
        <v>0.33321199993493411</v>
      </c>
      <c r="AF384" s="195">
        <f t="shared" si="59"/>
        <v>1.1371067540936152E-2</v>
      </c>
      <c r="AG384" s="255" t="str">
        <f>IF(ISNUMBER(SEARCH("C",'WetLitterbags placem_collection'!AD311)),"YES","NO")</f>
        <v>NO</v>
      </c>
      <c r="AH384" s="255" t="str">
        <f>IF(ISNUMBER(SEARCH("H", 'WetLitterbags placem_collection'!AF91)),"YES","NO")</f>
        <v>NO</v>
      </c>
      <c r="AI384" s="255" t="str">
        <f>IF(ISNUMBER(SEARCH("R", 'WetLitterbags placem_collection'!XF91)),"YES","NO")</f>
        <v>NO</v>
      </c>
      <c r="AJ384" s="255" t="str">
        <f>IF(ISNUMBER(SEARCH("C", 'WetLitterbags placem_collection'!WE91)),"YES","NO")</f>
        <v>NO</v>
      </c>
      <c r="AK384" s="255" t="str">
        <f>IF(ISNUMBER(SEARCH("H", 'WetLitterbags placem_collection'!AE91)),"YES","NO")</f>
        <v>NO</v>
      </c>
      <c r="AL384" s="255" t="str">
        <f>IF(ISNUMBER(SEARCH("R", 'WetLitterbags placem_collection'!AE91)),"YES","NO")</f>
        <v>NO</v>
      </c>
    </row>
    <row r="385" spans="2:38">
      <c r="B385" t="str">
        <f>'Final data_for_R_analysis_Wetse'!A531</f>
        <v>Wet</v>
      </c>
      <c r="C385" s="263">
        <f>'Final data_for_R_analysis_Wetse'!B531</f>
        <v>90</v>
      </c>
      <c r="D385" t="s">
        <v>3840</v>
      </c>
      <c r="E385" t="s">
        <v>25</v>
      </c>
      <c r="F385" s="386">
        <v>2</v>
      </c>
      <c r="G385" s="16">
        <f>'WetLitterbags placem_collection'!E92</f>
        <v>42767</v>
      </c>
      <c r="H385" s="92" t="str">
        <f>'Final data_for_R_analysis_Wetse'!J531</f>
        <v>G355</v>
      </c>
      <c r="I385" t="str">
        <f>'Final data_for_R_analysis_Wetse'!J751</f>
        <v>R517</v>
      </c>
      <c r="J385">
        <f>IFERROR(INDEX('Green_rooibos initial weight'!$C$5:$C$1749,MATCH(H385, 'Green_rooibos initial weight'!$A$5:$A$1749,0)),"")</f>
        <v>2.0489999999999999</v>
      </c>
      <c r="K385">
        <f>IFERROR(INDEX('Green_rooibos initial weight'!$C$5:$C$1749,MATCH(I385, 'Green_rooibos initial weight'!$A$5:$A$1749,0)),"")</f>
        <v>2.222</v>
      </c>
      <c r="L385" s="195">
        <f t="shared" si="52"/>
        <v>1.7991999999999999</v>
      </c>
      <c r="M385" s="195">
        <f>AVERAGE(Ashed_controlls!$K$2:$K$11)</f>
        <v>5.5147656768714146</v>
      </c>
      <c r="N385" s="195">
        <f t="shared" si="48"/>
        <v>1.6999783359417293</v>
      </c>
      <c r="O385" s="195">
        <f t="shared" si="53"/>
        <v>1.9722</v>
      </c>
      <c r="P385" s="195">
        <f>AVERAGE(Ashed_controlls!$K$12:$K$14)</f>
        <v>2.2816647271287041</v>
      </c>
      <c r="Q385" s="195">
        <f t="shared" si="54"/>
        <v>1.9272010082515676</v>
      </c>
      <c r="R385" s="16">
        <f>IF('WetLitterbags placem_collection'!G92="N.A","",'WetLitterbags placem_collection'!G92)</f>
        <v>42819</v>
      </c>
      <c r="S385" s="195">
        <f>IF(IFERROR(INDEX('Both teabags AfterWet'!$C$3:$C$841,MATCH(H385,'Both teabags AfterWet'!$A$3:$A$841,0)),"")="N.A","",(IFERROR(INDEX('Both teabags AfterWet'!$C$3:$C$841,MATCH(H385,'Both teabags AfterWet'!$A$3:$A$841,0)),"")))</f>
        <v>0.78380000000000005</v>
      </c>
      <c r="T385" s="195">
        <f>IFERROR(INDEX('Both teabags AfterWet'!$C$3:$C$841,MATCH(I385,'Both teabags AfterWet'!$A$3:$A$841,0)),"")</f>
        <v>2.2749000000000001</v>
      </c>
      <c r="U385" s="195">
        <f t="shared" si="55"/>
        <v>0.63319999999999999</v>
      </c>
      <c r="V385" s="195">
        <f t="shared" si="55"/>
        <v>2.1243000000000003</v>
      </c>
      <c r="W385" s="195">
        <f>IFERROR(INDEX('Ashed teabags wet'!$K$2:$K$821,MATCH(H385,'Ashed teabags wet'!$A$2:$A$821,0)),"")</f>
        <v>6.6735644076571221</v>
      </c>
      <c r="X385" s="195">
        <f>IFERROR(INDEX('Ashed teabags wet'!$K$2:$K$821,MATCH(I385,'Ashed teabags wet'!$A$2:$A$821,0)),"")</f>
        <v>22.544750846637683</v>
      </c>
      <c r="Y385" s="195">
        <f t="shared" si="49"/>
        <v>0.59094299017071505</v>
      </c>
      <c r="Z385" s="195">
        <f t="shared" si="49"/>
        <v>1.645381857764876</v>
      </c>
      <c r="AA385" s="195">
        <f t="shared" si="56"/>
        <v>0.65238204647863762</v>
      </c>
      <c r="AB385" s="195">
        <f t="shared" si="57"/>
        <v>0.42768989270333491</v>
      </c>
      <c r="AC385" s="195">
        <f t="shared" si="50"/>
        <v>0.85376764059377019</v>
      </c>
      <c r="AD385">
        <f t="shared" si="51"/>
        <v>52</v>
      </c>
      <c r="AE385" s="195">
        <f t="shared" si="58"/>
        <v>0.22519946974033533</v>
      </c>
      <c r="AF385" s="195">
        <f t="shared" si="59"/>
        <v>8.0464770314540232E-3</v>
      </c>
      <c r="AG385" s="255" t="str">
        <f>IF(ISNUMBER(SEARCH("C",'WetLitterbags placem_collection'!AD312)),"YES","NO")</f>
        <v>NO</v>
      </c>
      <c r="AH385" s="255" t="str">
        <f>IF(ISNUMBER(SEARCH("H", 'WetLitterbags placem_collection'!AF92)),"YES","NO")</f>
        <v>NO</v>
      </c>
      <c r="AI385" s="255" t="str">
        <f>IF(ISNUMBER(SEARCH("R", 'WetLitterbags placem_collection'!XF92)),"YES","NO")</f>
        <v>NO</v>
      </c>
      <c r="AJ385" s="255" t="str">
        <f>IF(ISNUMBER(SEARCH("C", 'WetLitterbags placem_collection'!WE92)),"YES","NO")</f>
        <v>NO</v>
      </c>
      <c r="AK385" s="255" t="str">
        <f>IF(ISNUMBER(SEARCH("H", 'WetLitterbags placem_collection'!AE92)),"YES","NO")</f>
        <v>NO</v>
      </c>
      <c r="AL385" s="255" t="str">
        <f>IF(ISNUMBER(SEARCH("R", 'WetLitterbags placem_collection'!AE92)),"YES","NO")</f>
        <v>NO</v>
      </c>
    </row>
    <row r="386" spans="2:38">
      <c r="B386" t="str">
        <f>'Final data_for_R_analysis_Wetse'!A532</f>
        <v>Wet</v>
      </c>
      <c r="C386" s="263">
        <f>'Final data_for_R_analysis_Wetse'!B532</f>
        <v>91</v>
      </c>
      <c r="D386" t="s">
        <v>3840</v>
      </c>
      <c r="E386" t="s">
        <v>25</v>
      </c>
      <c r="F386" s="386">
        <v>3</v>
      </c>
      <c r="G386" s="16">
        <f>'WetLitterbags placem_collection'!E93</f>
        <v>42767</v>
      </c>
      <c r="H386" s="92" t="str">
        <f>'Final data_for_R_analysis_Wetse'!J532</f>
        <v>G547</v>
      </c>
      <c r="I386" t="str">
        <f>'Final data_for_R_analysis_Wetse'!J752</f>
        <v>R73</v>
      </c>
      <c r="J386">
        <f>IFERROR(INDEX('Green_rooibos initial weight'!$C$5:$C$1749,MATCH(H386, 'Green_rooibos initial weight'!$A$5:$A$1749,0)),"")</f>
        <v>2.121</v>
      </c>
      <c r="K386">
        <f>IFERROR(INDEX('Green_rooibos initial weight'!$C$5:$C$1749,MATCH(I386, 'Green_rooibos initial weight'!$A$5:$A$1749,0)),"")</f>
        <v>2.1459999999999999</v>
      </c>
      <c r="L386" s="195">
        <f t="shared" si="52"/>
        <v>1.8712</v>
      </c>
      <c r="M386" s="195">
        <f>AVERAGE(Ashed_controlls!$K$2:$K$11)</f>
        <v>5.5147656768714146</v>
      </c>
      <c r="N386" s="195">
        <f t="shared" si="48"/>
        <v>1.7680077046543821</v>
      </c>
      <c r="O386" s="195">
        <f t="shared" si="53"/>
        <v>1.8961999999999999</v>
      </c>
      <c r="P386" s="195">
        <f>AVERAGE(Ashed_controlls!$K$12:$K$14)</f>
        <v>2.2816647271287041</v>
      </c>
      <c r="Q386" s="195">
        <f t="shared" si="54"/>
        <v>1.8529350734441854</v>
      </c>
      <c r="R386" s="16">
        <f>IF('WetLitterbags placem_collection'!G93="N.A","",'WetLitterbags placem_collection'!G93)</f>
        <v>42819</v>
      </c>
      <c r="S386" s="195">
        <f>IF(IFERROR(INDEX('Both teabags AfterWet'!$C$3:$C$841,MATCH(H386,'Both teabags AfterWet'!$A$3:$A$841,0)),"")="N.A","",(IFERROR(INDEX('Both teabags AfterWet'!$C$3:$C$841,MATCH(H386,'Both teabags AfterWet'!$A$3:$A$841,0)),"")))</f>
        <v>1.069</v>
      </c>
      <c r="T386" s="195">
        <f>IFERROR(INDEX('Both teabags AfterWet'!$C$3:$C$841,MATCH(I386,'Both teabags AfterWet'!$A$3:$A$841,0)),"")</f>
        <v>1.663</v>
      </c>
      <c r="U386" s="195">
        <f t="shared" si="55"/>
        <v>0.91839999999999988</v>
      </c>
      <c r="V386" s="195">
        <f t="shared" si="55"/>
        <v>1.5124</v>
      </c>
      <c r="W386" s="195">
        <f>IFERROR(INDEX('Ashed teabags wet'!$K$2:$K$821,MATCH(H386,'Ashed teabags wet'!$A$2:$A$821,0)),"")</f>
        <v>26.348448687350785</v>
      </c>
      <c r="X386" s="195">
        <f>IFERROR(INDEX('Ashed teabags wet'!$K$2:$K$821,MATCH(I386,'Ashed teabags wet'!$A$2:$A$821,0)),"")</f>
        <v>3.2402791625130467</v>
      </c>
      <c r="Y386" s="195">
        <f t="shared" si="49"/>
        <v>0.67641584725537029</v>
      </c>
      <c r="Z386" s="195">
        <f t="shared" si="49"/>
        <v>1.4633940179461526</v>
      </c>
      <c r="AA386" s="195">
        <f t="shared" si="56"/>
        <v>0.61741351834911884</v>
      </c>
      <c r="AB386" s="195">
        <f t="shared" si="57"/>
        <v>0.40476515692246279</v>
      </c>
      <c r="AC386" s="195">
        <f t="shared" si="50"/>
        <v>0.78977080142696832</v>
      </c>
      <c r="AD386">
        <f t="shared" si="51"/>
        <v>52</v>
      </c>
      <c r="AE386" s="195">
        <f t="shared" si="58"/>
        <v>0.26672978818394433</v>
      </c>
      <c r="AF386" s="195">
        <f t="shared" si="59"/>
        <v>1.4090192647474981E-2</v>
      </c>
      <c r="AG386" s="255" t="str">
        <f>IF(ISNUMBER(SEARCH("C",'WetLitterbags placem_collection'!AD313)),"YES","NO")</f>
        <v>NO</v>
      </c>
      <c r="AH386" s="255" t="str">
        <f>IF(ISNUMBER(SEARCH("H", 'WetLitterbags placem_collection'!AF93)),"YES","NO")</f>
        <v>NO</v>
      </c>
      <c r="AI386" s="255" t="str">
        <f>IF(ISNUMBER(SEARCH("R", 'WetLitterbags placem_collection'!XF93)),"YES","NO")</f>
        <v>NO</v>
      </c>
      <c r="AJ386" s="255" t="str">
        <f>IF(ISNUMBER(SEARCH("C", 'WetLitterbags placem_collection'!WE93)),"YES","NO")</f>
        <v>NO</v>
      </c>
      <c r="AK386" s="255" t="str">
        <f>IF(ISNUMBER(SEARCH("H", 'WetLitterbags placem_collection'!AE93)),"YES","NO")</f>
        <v>NO</v>
      </c>
      <c r="AL386" s="255" t="str">
        <f>IF(ISNUMBER(SEARCH("R", 'WetLitterbags placem_collection'!AE93)),"YES","NO")</f>
        <v>NO</v>
      </c>
    </row>
    <row r="387" spans="2:38">
      <c r="B387" t="str">
        <f>'Final data_for_R_analysis_Wetse'!A533</f>
        <v>Wet</v>
      </c>
      <c r="C387" s="263">
        <f>'Final data_for_R_analysis_Wetse'!B533</f>
        <v>92</v>
      </c>
      <c r="D387" t="s">
        <v>3840</v>
      </c>
      <c r="E387" t="s">
        <v>25</v>
      </c>
      <c r="F387" s="387">
        <v>4</v>
      </c>
      <c r="G387" s="16">
        <f>'WetLitterbags placem_collection'!E94</f>
        <v>42767</v>
      </c>
      <c r="H387" s="92" t="str">
        <f>'Final data_for_R_analysis_Wetse'!J533</f>
        <v>G763</v>
      </c>
      <c r="I387" t="str">
        <f>'Final data_for_R_analysis_Wetse'!J753</f>
        <v>R4</v>
      </c>
      <c r="J387">
        <f>IFERROR(INDEX('Green_rooibos initial weight'!$C$5:$C$1749,MATCH(H387, 'Green_rooibos initial weight'!$A$5:$A$1749,0)),"")</f>
        <v>2.0590000000000002</v>
      </c>
      <c r="K387">
        <f>IFERROR(INDEX('Green_rooibos initial weight'!$C$5:$C$1749,MATCH(I387, 'Green_rooibos initial weight'!$A$5:$A$1749,0)),"")</f>
        <v>2.1549999999999998</v>
      </c>
      <c r="L387" s="195">
        <f t="shared" si="52"/>
        <v>1.8092000000000001</v>
      </c>
      <c r="M387" s="195">
        <f>AVERAGE(Ashed_controlls!$K$2:$K$11)</f>
        <v>5.5147656768714146</v>
      </c>
      <c r="N387" s="195">
        <f t="shared" si="48"/>
        <v>1.7094268593740425</v>
      </c>
      <c r="O387" s="195">
        <f t="shared" si="53"/>
        <v>1.9051999999999998</v>
      </c>
      <c r="P387" s="195">
        <f>AVERAGE(Ashed_controlls!$K$12:$K$14)</f>
        <v>2.2816647271287041</v>
      </c>
      <c r="Q387" s="195">
        <f t="shared" si="54"/>
        <v>1.8617297236187438</v>
      </c>
      <c r="R387" s="16">
        <f>IF('WetLitterbags placem_collection'!G94="N.A","",'WetLitterbags placem_collection'!G94)</f>
        <v>42819</v>
      </c>
      <c r="S387" s="195" t="str">
        <f>IF(IFERROR(INDEX('Both teabags AfterWet'!$C$3:$C$841,MATCH(H387,'Both teabags AfterWet'!$A$3:$A$841,0)),"")="N.A","",(IFERROR(INDEX('Both teabags AfterWet'!$C$3:$C$841,MATCH(H387,'Both teabags AfterWet'!$A$3:$A$841,0)),"")))</f>
        <v/>
      </c>
      <c r="T387" s="195">
        <f>IFERROR(INDEX('Both teabags AfterWet'!$C$3:$C$841,MATCH(I387,'Both teabags AfterWet'!$A$3:$A$841,0)),"")</f>
        <v>1.6779999999999999</v>
      </c>
      <c r="U387" s="195" t="str">
        <f t="shared" si="55"/>
        <v/>
      </c>
      <c r="V387" s="195">
        <f t="shared" si="55"/>
        <v>1.5273999999999999</v>
      </c>
      <c r="W387" s="195">
        <f>IFERROR(INDEX('Ashed teabags wet'!$K$2:$K$821,MATCH(H387,'Ashed teabags wet'!$A$2:$A$821,0)),"")</f>
        <v>39.468503937007327</v>
      </c>
      <c r="X387" s="195">
        <f>IFERROR(INDEX('Ashed teabags wet'!$K$2:$K$821,MATCH(I387,'Ashed teabags wet'!$A$2:$A$821,0)),"")</f>
        <v>2.4590163934421247</v>
      </c>
      <c r="Y387" s="195" t="str">
        <f t="shared" si="49"/>
        <v/>
      </c>
      <c r="Z387" s="195">
        <f t="shared" si="49"/>
        <v>1.4898409836065649</v>
      </c>
      <c r="AA387" s="195" t="str">
        <f t="shared" si="56"/>
        <v/>
      </c>
      <c r="AB387" s="195" t="str">
        <f t="shared" si="57"/>
        <v/>
      </c>
      <c r="AC387" s="195">
        <f t="shared" si="50"/>
        <v>0.8002455806048373</v>
      </c>
      <c r="AD387">
        <f t="shared" si="51"/>
        <v>52</v>
      </c>
      <c r="AE387" s="195" t="str">
        <f t="shared" si="58"/>
        <v/>
      </c>
      <c r="AF387" s="195" t="str">
        <f t="shared" si="59"/>
        <v/>
      </c>
      <c r="AG387" s="255" t="str">
        <f>IF(ISNUMBER(SEARCH("C",'WetLitterbags placem_collection'!AD314)),"YES","NO")</f>
        <v>NO</v>
      </c>
      <c r="AH387" s="255" t="str">
        <f>IF(ISNUMBER(SEARCH("H", 'WetLitterbags placem_collection'!AF94)),"YES","NO")</f>
        <v>NO</v>
      </c>
      <c r="AI387" s="255" t="str">
        <f>IF(ISNUMBER(SEARCH("R", 'WetLitterbags placem_collection'!XF94)),"YES","NO")</f>
        <v>NO</v>
      </c>
      <c r="AJ387" s="255" t="str">
        <f>IF(ISNUMBER(SEARCH("C", 'WetLitterbags placem_collection'!WE94)),"YES","NO")</f>
        <v>NO</v>
      </c>
      <c r="AK387" s="255" t="str">
        <f>IF(ISNUMBER(SEARCH("H", 'WetLitterbags placem_collection'!AE94)),"YES","NO")</f>
        <v>NO</v>
      </c>
      <c r="AL387" s="255" t="str">
        <f>IF(ISNUMBER(SEARCH("R", 'WetLitterbags placem_collection'!AE94)),"YES","NO")</f>
        <v>NO</v>
      </c>
    </row>
    <row r="388" spans="2:38">
      <c r="B388" t="str">
        <f>'Final data_for_R_analysis_Wetse'!A534</f>
        <v>Wet</v>
      </c>
      <c r="C388" s="263">
        <f>'Final data_for_R_analysis_Wetse'!B534</f>
        <v>93</v>
      </c>
      <c r="D388" t="s">
        <v>3840</v>
      </c>
      <c r="E388" t="s">
        <v>25</v>
      </c>
      <c r="F388" s="387">
        <v>5</v>
      </c>
      <c r="G388" s="16">
        <f>'WetLitterbags placem_collection'!E95</f>
        <v>42767</v>
      </c>
      <c r="H388" s="92" t="str">
        <f>'Final data_for_R_analysis_Wetse'!J534</f>
        <v>G424</v>
      </c>
      <c r="I388" t="str">
        <f>'Final data_for_R_analysis_Wetse'!J754</f>
        <v>R136</v>
      </c>
      <c r="J388">
        <f>IFERROR(INDEX('Green_rooibos initial weight'!$C$5:$C$1749,MATCH(H388, 'Green_rooibos initial weight'!$A$5:$A$1749,0)),"")</f>
        <v>1.9590000000000001</v>
      </c>
      <c r="K388">
        <f>IFERROR(INDEX('Green_rooibos initial weight'!$C$5:$C$1749,MATCH(I388, 'Green_rooibos initial weight'!$A$5:$A$1749,0)),"")</f>
        <v>2.21</v>
      </c>
      <c r="L388" s="195">
        <f t="shared" si="52"/>
        <v>1.7092000000000001</v>
      </c>
      <c r="M388" s="195">
        <f>AVERAGE(Ashed_controlls!$K$2:$K$11)</f>
        <v>5.5147656768714146</v>
      </c>
      <c r="N388" s="195">
        <f t="shared" si="48"/>
        <v>1.6149416250509139</v>
      </c>
      <c r="O388" s="195">
        <f t="shared" si="53"/>
        <v>1.9601999999999999</v>
      </c>
      <c r="P388" s="195">
        <f>AVERAGE(Ashed_controlls!$K$12:$K$14)</f>
        <v>2.2816647271287041</v>
      </c>
      <c r="Q388" s="195">
        <f t="shared" si="54"/>
        <v>1.9154748080188231</v>
      </c>
      <c r="R388" s="16">
        <f>IF('WetLitterbags placem_collection'!G95="N.A","",'WetLitterbags placem_collection'!G95)</f>
        <v>42819</v>
      </c>
      <c r="S388" s="195">
        <f>IF(IFERROR(INDEX('Both teabags AfterWet'!$C$3:$C$841,MATCH(H388,'Both teabags AfterWet'!$A$3:$A$841,0)),"")="N.A","",(IFERROR(INDEX('Both teabags AfterWet'!$C$3:$C$841,MATCH(H388,'Both teabags AfterWet'!$A$3:$A$841,0)),"")))</f>
        <v>0.66039999999999999</v>
      </c>
      <c r="T388" s="195">
        <f>IFERROR(INDEX('Both teabags AfterWet'!$C$3:$C$841,MATCH(I388,'Both teabags AfterWet'!$A$3:$A$841,0)),"")</f>
        <v>1.6368</v>
      </c>
      <c r="U388" s="195">
        <f t="shared" si="55"/>
        <v>0.50980000000000003</v>
      </c>
      <c r="V388" s="195">
        <f t="shared" si="55"/>
        <v>1.4862</v>
      </c>
      <c r="W388" s="195">
        <f>IFERROR(INDEX('Ashed teabags wet'!$K$2:$K$821,MATCH(H388,'Ashed teabags wet'!$A$2:$A$821,0)),"")</f>
        <v>9.5166915794729583</v>
      </c>
      <c r="X388" s="195">
        <f>IFERROR(INDEX('Ashed teabags wet'!$K$2:$K$821,MATCH(I388,'Ashed teabags wet'!$A$2:$A$821,0)),"")</f>
        <v>2.2232962783957189</v>
      </c>
      <c r="Y388" s="195">
        <f t="shared" si="49"/>
        <v>0.46128390632784688</v>
      </c>
      <c r="Z388" s="195">
        <f t="shared" si="49"/>
        <v>1.4531573707104828</v>
      </c>
      <c r="AA388" s="195">
        <f t="shared" si="56"/>
        <v>0.71436496578425612</v>
      </c>
      <c r="AB388" s="195">
        <f t="shared" si="57"/>
        <v>0.46832477566853853</v>
      </c>
      <c r="AC388" s="195">
        <f t="shared" si="50"/>
        <v>0.75864081564898489</v>
      </c>
      <c r="AD388">
        <f t="shared" si="51"/>
        <v>52</v>
      </c>
      <c r="AE388" s="195">
        <f t="shared" si="58"/>
        <v>0.15158555132511142</v>
      </c>
      <c r="AF388" s="195">
        <f t="shared" si="59"/>
        <v>1.3930069123960775E-2</v>
      </c>
      <c r="AG388" s="255" t="str">
        <f>IF(ISNUMBER(SEARCH("C",'WetLitterbags placem_collection'!AD315)),"YES","NO")</f>
        <v>NO</v>
      </c>
      <c r="AH388" s="255" t="str">
        <f>IF(ISNUMBER(SEARCH("H", 'WetLitterbags placem_collection'!AF95)),"YES","NO")</f>
        <v>NO</v>
      </c>
      <c r="AI388" s="255" t="str">
        <f>IF(ISNUMBER(SEARCH("R", 'WetLitterbags placem_collection'!XF95)),"YES","NO")</f>
        <v>NO</v>
      </c>
      <c r="AJ388" s="255" t="str">
        <f>IF(ISNUMBER(SEARCH("C", 'WetLitterbags placem_collection'!WE95)),"YES","NO")</f>
        <v>NO</v>
      </c>
      <c r="AK388" s="255" t="str">
        <f>IF(ISNUMBER(SEARCH("H", 'WetLitterbags placem_collection'!AE95)),"YES","NO")</f>
        <v>NO</v>
      </c>
      <c r="AL388" s="255" t="str">
        <f>IF(ISNUMBER(SEARCH("R", 'WetLitterbags placem_collection'!AE95)),"YES","NO")</f>
        <v>NO</v>
      </c>
    </row>
    <row r="389" spans="2:38">
      <c r="B389" t="str">
        <f>'Final data_for_R_analysis_Wetse'!A535</f>
        <v>Wet</v>
      </c>
      <c r="C389" s="263">
        <f>'Final data_for_R_analysis_Wetse'!B535</f>
        <v>94</v>
      </c>
      <c r="D389" t="s">
        <v>3840</v>
      </c>
      <c r="E389" t="s">
        <v>25</v>
      </c>
      <c r="F389" s="387">
        <v>6</v>
      </c>
      <c r="G389" s="16">
        <f>'WetLitterbags placem_collection'!E96</f>
        <v>42767</v>
      </c>
      <c r="H389" s="92" t="str">
        <f>'Final data_for_R_analysis_Wetse'!J535</f>
        <v>G588</v>
      </c>
      <c r="I389" t="str">
        <f>'Final data_for_R_analysis_Wetse'!J755</f>
        <v>R358</v>
      </c>
      <c r="J389">
        <f>IFERROR(INDEX('Green_rooibos initial weight'!$C$5:$C$1749,MATCH(H389, 'Green_rooibos initial weight'!$A$5:$A$1749,0)),"")</f>
        <v>2.14</v>
      </c>
      <c r="K389">
        <f>IFERROR(INDEX('Green_rooibos initial weight'!$C$5:$C$1749,MATCH(I389, 'Green_rooibos initial weight'!$A$5:$A$1749,0)),"")</f>
        <v>2.2210000000000001</v>
      </c>
      <c r="L389" s="195">
        <f t="shared" si="52"/>
        <v>1.8902000000000001</v>
      </c>
      <c r="M389" s="195">
        <f>AVERAGE(Ashed_controlls!$K$2:$K$11)</f>
        <v>5.5147656768714146</v>
      </c>
      <c r="N389" s="195">
        <f t="shared" si="48"/>
        <v>1.7859598991757766</v>
      </c>
      <c r="O389" s="195">
        <f t="shared" si="53"/>
        <v>1.9712000000000001</v>
      </c>
      <c r="P389" s="195">
        <f>AVERAGE(Ashed_controlls!$K$12:$K$14)</f>
        <v>2.2816647271287041</v>
      </c>
      <c r="Q389" s="195">
        <f t="shared" si="54"/>
        <v>1.926223824898839</v>
      </c>
      <c r="R389" s="16">
        <f>IF('WetLitterbags placem_collection'!G96="N.A","",'WetLitterbags placem_collection'!G96)</f>
        <v>0</v>
      </c>
      <c r="S389" s="195" t="str">
        <f>IF(IFERROR(INDEX('Both teabags AfterWet'!$C$3:$C$841,MATCH(H389,'Both teabags AfterWet'!$A$3:$A$841,0)),"")="N.A","",(IFERROR(INDEX('Both teabags AfterWet'!$C$3:$C$841,MATCH(H389,'Both teabags AfterWet'!$A$3:$A$841,0)),"")))</f>
        <v/>
      </c>
      <c r="T389" s="195" t="str">
        <f>IFERROR(INDEX('Both teabags AfterWet'!$C$3:$C$841,MATCH(I389,'Both teabags AfterWet'!$A$3:$A$841,0)),"")</f>
        <v/>
      </c>
      <c r="U389" s="195" t="str">
        <f t="shared" si="55"/>
        <v/>
      </c>
      <c r="V389" s="195" t="str">
        <f t="shared" si="55"/>
        <v/>
      </c>
      <c r="W389" s="195" t="str">
        <f>IFERROR(INDEX('Ashed teabags wet'!$K$2:$K$821,MATCH(H389,'Ashed teabags wet'!$A$2:$A$821,0)),"")</f>
        <v/>
      </c>
      <c r="X389" s="195" t="str">
        <f>IFERROR(INDEX('Ashed teabags wet'!$K$2:$K$821,MATCH(I389,'Ashed teabags wet'!$A$2:$A$821,0)),"")</f>
        <v/>
      </c>
      <c r="Y389" s="195" t="str">
        <f t="shared" si="49"/>
        <v/>
      </c>
      <c r="Z389" s="195" t="str">
        <f t="shared" si="49"/>
        <v/>
      </c>
      <c r="AA389" s="195" t="str">
        <f t="shared" si="56"/>
        <v/>
      </c>
      <c r="AB389" s="195" t="str">
        <f t="shared" si="57"/>
        <v/>
      </c>
      <c r="AC389" s="195" t="str">
        <f t="shared" si="50"/>
        <v/>
      </c>
      <c r="AD389" t="str">
        <f t="shared" si="51"/>
        <v/>
      </c>
      <c r="AE389" s="195" t="str">
        <f t="shared" si="58"/>
        <v/>
      </c>
      <c r="AF389" s="195" t="str">
        <f t="shared" si="59"/>
        <v/>
      </c>
      <c r="AG389" s="255" t="str">
        <f>IF(ISNUMBER(SEARCH("C",'WetLitterbags placem_collection'!AD316)),"YES","NO")</f>
        <v>NO</v>
      </c>
      <c r="AH389" s="255" t="str">
        <f>IF(ISNUMBER(SEARCH("H", 'WetLitterbags placem_collection'!AF96)),"YES","NO")</f>
        <v>NO</v>
      </c>
      <c r="AI389" s="255" t="str">
        <f>IF(ISNUMBER(SEARCH("R", 'WetLitterbags placem_collection'!XF96)),"YES","NO")</f>
        <v>NO</v>
      </c>
      <c r="AJ389" s="255" t="str">
        <f>IF(ISNUMBER(SEARCH("C", 'WetLitterbags placem_collection'!WE96)),"YES","NO")</f>
        <v>NO</v>
      </c>
      <c r="AK389" s="255" t="str">
        <f>IF(ISNUMBER(SEARCH("H", 'WetLitterbags placem_collection'!AE96)),"YES","NO")</f>
        <v>NO</v>
      </c>
      <c r="AL389" s="255" t="str">
        <f>IF(ISNUMBER(SEARCH("R", 'WetLitterbags placem_collection'!AE96)),"YES","NO")</f>
        <v>NO</v>
      </c>
    </row>
    <row r="390" spans="2:38">
      <c r="B390" t="str">
        <f>'Final data_for_R_analysis_Wetse'!A536</f>
        <v>Wet</v>
      </c>
      <c r="C390" s="263">
        <f>'Final data_for_R_analysis_Wetse'!B536</f>
        <v>95</v>
      </c>
      <c r="D390" t="s">
        <v>3840</v>
      </c>
      <c r="E390" t="s">
        <v>25</v>
      </c>
      <c r="F390" s="387">
        <v>7</v>
      </c>
      <c r="G390" s="16">
        <f>'WetLitterbags placem_collection'!E97</f>
        <v>42767</v>
      </c>
      <c r="H390" s="92" t="str">
        <f>'Final data_for_R_analysis_Wetse'!J536</f>
        <v>G486</v>
      </c>
      <c r="I390" t="str">
        <f>'Final data_for_R_analysis_Wetse'!J756</f>
        <v>R547</v>
      </c>
      <c r="J390">
        <f>IFERROR(INDEX('Green_rooibos initial weight'!$C$5:$C$1749,MATCH(H390, 'Green_rooibos initial weight'!$A$5:$A$1749,0)),"")</f>
        <v>2.0049999999999999</v>
      </c>
      <c r="K390">
        <f>IFERROR(INDEX('Green_rooibos initial weight'!$C$5:$C$1749,MATCH(I390, 'Green_rooibos initial weight'!$A$5:$A$1749,0)),"")</f>
        <v>2.194</v>
      </c>
      <c r="L390" s="195">
        <f t="shared" si="52"/>
        <v>1.7551999999999999</v>
      </c>
      <c r="M390" s="195">
        <f>AVERAGE(Ashed_controlls!$K$2:$K$11)</f>
        <v>5.5147656768714146</v>
      </c>
      <c r="N390" s="195">
        <f t="shared" si="48"/>
        <v>1.6584048328395529</v>
      </c>
      <c r="O390" s="195">
        <f t="shared" si="53"/>
        <v>1.9441999999999999</v>
      </c>
      <c r="P390" s="195">
        <f>AVERAGE(Ashed_controlls!$K$12:$K$14)</f>
        <v>2.2816647271287041</v>
      </c>
      <c r="Q390" s="195">
        <f t="shared" si="54"/>
        <v>1.8998398743751637</v>
      </c>
      <c r="R390" s="16">
        <f>IF('WetLitterbags placem_collection'!G97="N.A","",'WetLitterbags placem_collection'!G97)</f>
        <v>42819</v>
      </c>
      <c r="S390" s="195">
        <f>IF(IFERROR(INDEX('Both teabags AfterWet'!$C$3:$C$841,MATCH(H390,'Both teabags AfterWet'!$A$3:$A$841,0)),"")="N.A","",(IFERROR(INDEX('Both teabags AfterWet'!$C$3:$C$841,MATCH(H390,'Both teabags AfterWet'!$A$3:$A$841,0)),"")))</f>
        <v>0.90400000000000003</v>
      </c>
      <c r="T390" s="195">
        <f>IFERROR(INDEX('Both teabags AfterWet'!$C$3:$C$841,MATCH(I390,'Both teabags AfterWet'!$A$3:$A$841,0)),"")</f>
        <v>1.5620000000000001</v>
      </c>
      <c r="U390" s="195">
        <f t="shared" si="55"/>
        <v>0.75340000000000007</v>
      </c>
      <c r="V390" s="195">
        <f t="shared" si="55"/>
        <v>1.4114</v>
      </c>
      <c r="W390" s="195">
        <f>IFERROR(INDEX('Ashed teabags wet'!$K$2:$K$821,MATCH(H390,'Ashed teabags wet'!$A$2:$A$821,0)),"")</f>
        <v>17.120622568093445</v>
      </c>
      <c r="X390" s="195">
        <f>IFERROR(INDEX('Ashed teabags wet'!$K$2:$K$821,MATCH(I390,'Ashed teabags wet'!$A$2:$A$821,0)),"")</f>
        <v>13.011335633317401</v>
      </c>
      <c r="Y390" s="195">
        <f t="shared" si="49"/>
        <v>0.62441322957198397</v>
      </c>
      <c r="Z390" s="195">
        <f t="shared" si="49"/>
        <v>1.2277580088713582</v>
      </c>
      <c r="AA390" s="195">
        <f t="shared" si="56"/>
        <v>0.62348564282530972</v>
      </c>
      <c r="AB390" s="195">
        <f t="shared" si="57"/>
        <v>0.40874593211350474</v>
      </c>
      <c r="AC390" s="195">
        <f t="shared" si="50"/>
        <v>0.64624288890407366</v>
      </c>
      <c r="AD390">
        <f t="shared" si="51"/>
        <v>52</v>
      </c>
      <c r="AE390" s="195">
        <f t="shared" si="58"/>
        <v>0.2595182389248103</v>
      </c>
      <c r="AF390" s="195">
        <f t="shared" si="59"/>
        <v>3.8576228073045511E-2</v>
      </c>
      <c r="AG390" s="255" t="str">
        <f>IF(ISNUMBER(SEARCH("C",'WetLitterbags placem_collection'!AD317)),"YES","NO")</f>
        <v>NO</v>
      </c>
      <c r="AH390" s="255" t="str">
        <f>IF(ISNUMBER(SEARCH("H", 'WetLitterbags placem_collection'!AF97)),"YES","NO")</f>
        <v>NO</v>
      </c>
      <c r="AI390" s="255" t="str">
        <f>IF(ISNUMBER(SEARCH("R", 'WetLitterbags placem_collection'!XF97)),"YES","NO")</f>
        <v>NO</v>
      </c>
      <c r="AJ390" s="255" t="str">
        <f>IF(ISNUMBER(SEARCH("C", 'WetLitterbags placem_collection'!WE97)),"YES","NO")</f>
        <v>NO</v>
      </c>
      <c r="AK390" s="255" t="str">
        <f>IF(ISNUMBER(SEARCH("H", 'WetLitterbags placem_collection'!AE97)),"YES","NO")</f>
        <v>NO</v>
      </c>
      <c r="AL390" s="255" t="str">
        <f>IF(ISNUMBER(SEARCH("R", 'WetLitterbags placem_collection'!AE97)),"YES","NO")</f>
        <v>NO</v>
      </c>
    </row>
    <row r="391" spans="2:38">
      <c r="B391" t="str">
        <f>'Final data_for_R_analysis_Wetse'!A537</f>
        <v>Wet</v>
      </c>
      <c r="C391" s="263">
        <f>'Final data_for_R_analysis_Wetse'!B537</f>
        <v>96</v>
      </c>
      <c r="D391" t="s">
        <v>3840</v>
      </c>
      <c r="E391" t="s">
        <v>25</v>
      </c>
      <c r="F391" s="387">
        <v>8</v>
      </c>
      <c r="G391" s="16">
        <f>'WetLitterbags placem_collection'!E98</f>
        <v>42767</v>
      </c>
      <c r="H391" s="92" t="str">
        <f>'Final data_for_R_analysis_Wetse'!J537</f>
        <v>G545</v>
      </c>
      <c r="I391" t="str">
        <f>'Final data_for_R_analysis_Wetse'!J757</f>
        <v>R588</v>
      </c>
      <c r="J391">
        <f>IFERROR(INDEX('Green_rooibos initial weight'!$C$5:$C$1749,MATCH(H391, 'Green_rooibos initial weight'!$A$5:$A$1749,0)),"")</f>
        <v>2.0720000000000001</v>
      </c>
      <c r="K391">
        <f>IFERROR(INDEX('Green_rooibos initial weight'!$C$5:$C$1749,MATCH(I391, 'Green_rooibos initial weight'!$A$5:$A$1749,0)),"")</f>
        <v>2.1360000000000001</v>
      </c>
      <c r="L391" s="195">
        <f t="shared" si="52"/>
        <v>1.8222</v>
      </c>
      <c r="M391" s="195">
        <f>AVERAGE(Ashed_controlls!$K$2:$K$11)</f>
        <v>5.5147656768714146</v>
      </c>
      <c r="N391" s="195">
        <f t="shared" si="48"/>
        <v>1.7217099398360491</v>
      </c>
      <c r="O391" s="195">
        <f t="shared" si="53"/>
        <v>1.8862000000000001</v>
      </c>
      <c r="P391" s="195">
        <f>AVERAGE(Ashed_controlls!$K$12:$K$14)</f>
        <v>2.2816647271287041</v>
      </c>
      <c r="Q391" s="195">
        <f t="shared" si="54"/>
        <v>1.8431632399168985</v>
      </c>
      <c r="R391" s="16">
        <f>IF('WetLitterbags placem_collection'!G98="N.A","",'WetLitterbags placem_collection'!G98)</f>
        <v>42819</v>
      </c>
      <c r="S391" s="195">
        <f>IF(IFERROR(INDEX('Both teabags AfterWet'!$C$3:$C$841,MATCH(H391,'Both teabags AfterWet'!$A$3:$A$841,0)),"")="N.A","",(IFERROR(INDEX('Both teabags AfterWet'!$C$3:$C$841,MATCH(H391,'Both teabags AfterWet'!$A$3:$A$841,0)),"")))</f>
        <v>0.73950000000000005</v>
      </c>
      <c r="T391" s="195">
        <f>IFERROR(INDEX('Both teabags AfterWet'!$C$3:$C$841,MATCH(I391,'Both teabags AfterWet'!$A$3:$A$841,0)),"")</f>
        <v>0.87350000000000005</v>
      </c>
      <c r="U391" s="195">
        <f t="shared" si="55"/>
        <v>0.58889999999999998</v>
      </c>
      <c r="V391" s="195">
        <f t="shared" si="55"/>
        <v>0.7229000000000001</v>
      </c>
      <c r="W391" s="195">
        <f>IFERROR(INDEX('Ashed teabags wet'!$K$2:$K$821,MATCH(H391,'Ashed teabags wet'!$A$2:$A$821,0)),"")</f>
        <v>13.426156141222759</v>
      </c>
      <c r="X391" s="195">
        <f>IFERROR(INDEX('Ashed teabags wet'!$K$2:$K$821,MATCH(I391,'Ashed teabags wet'!$A$2:$A$821,0)),"")</f>
        <v>6.1660865241169791</v>
      </c>
      <c r="Y391" s="195">
        <f t="shared" si="49"/>
        <v>0.50983336648433919</v>
      </c>
      <c r="Z391" s="195">
        <f t="shared" si="49"/>
        <v>0.67832536051715842</v>
      </c>
      <c r="AA391" s="195">
        <f t="shared" si="56"/>
        <v>0.70387964041556939</v>
      </c>
      <c r="AB391" s="195">
        <f t="shared" si="57"/>
        <v>0.46145078564061087</v>
      </c>
      <c r="AC391" s="195">
        <f t="shared" si="50"/>
        <v>0.36802240074391979</v>
      </c>
      <c r="AD391">
        <f t="shared" si="51"/>
        <v>52</v>
      </c>
      <c r="AE391" s="195">
        <f t="shared" si="58"/>
        <v>0.16403843181048761</v>
      </c>
      <c r="AF391" s="195" t="str">
        <f t="shared" si="59"/>
        <v/>
      </c>
      <c r="AG391" s="255" t="str">
        <f>IF(ISNUMBER(SEARCH("C",'WetLitterbags placem_collection'!AD318)),"YES","NO")</f>
        <v>NO</v>
      </c>
      <c r="AH391" s="255" t="str">
        <f>IF(ISNUMBER(SEARCH("H", 'WetLitterbags placem_collection'!AF98)),"YES","NO")</f>
        <v>NO</v>
      </c>
      <c r="AI391" s="255" t="str">
        <f>IF(ISNUMBER(SEARCH("R", 'WetLitterbags placem_collection'!XF98)),"YES","NO")</f>
        <v>NO</v>
      </c>
      <c r="AJ391" s="255" t="str">
        <f>IF(ISNUMBER(SEARCH("C", 'WetLitterbags placem_collection'!WE98)),"YES","NO")</f>
        <v>NO</v>
      </c>
      <c r="AK391" s="255" t="str">
        <f>IF(ISNUMBER(SEARCH("H", 'WetLitterbags placem_collection'!AE98)),"YES","NO")</f>
        <v>NO</v>
      </c>
      <c r="AL391" s="255" t="str">
        <f>IF(ISNUMBER(SEARCH("R", 'WetLitterbags placem_collection'!AE98)),"YES","NO")</f>
        <v>NO</v>
      </c>
    </row>
    <row r="392" spans="2:38">
      <c r="B392" t="str">
        <f>'Final data_for_R_analysis_Wetse'!A538</f>
        <v>Wet</v>
      </c>
      <c r="C392" s="263">
        <f>'Final data_for_R_analysis_Wetse'!B538</f>
        <v>97</v>
      </c>
      <c r="D392" t="s">
        <v>3841</v>
      </c>
      <c r="E392" t="s">
        <v>25</v>
      </c>
      <c r="F392" s="386">
        <v>1</v>
      </c>
      <c r="G392" s="16">
        <f>'WetLitterbags placem_collection'!E99</f>
        <v>42762</v>
      </c>
      <c r="H392" s="92" t="str">
        <f>'Final data_for_R_analysis_Wetse'!J538</f>
        <v>G847</v>
      </c>
      <c r="I392" t="str">
        <f>'Final data_for_R_analysis_Wetse'!J758</f>
        <v>R576</v>
      </c>
      <c r="J392">
        <f>IFERROR(INDEX('Green_rooibos initial weight'!$C$5:$C$1749,MATCH(H392, 'Green_rooibos initial weight'!$A$5:$A$1749,0)),"")</f>
        <v>2.1019999999999999</v>
      </c>
      <c r="K392">
        <f>IFERROR(INDEX('Green_rooibos initial weight'!$C$5:$C$1749,MATCH(I392, 'Green_rooibos initial weight'!$A$5:$A$1749,0)),"")</f>
        <v>2.109</v>
      </c>
      <c r="L392" s="195">
        <f t="shared" si="52"/>
        <v>1.8521999999999998</v>
      </c>
      <c r="M392" s="195">
        <f>AVERAGE(Ashed_controlls!$K$2:$K$11)</f>
        <v>5.5147656768714146</v>
      </c>
      <c r="N392" s="195">
        <f t="shared" si="48"/>
        <v>1.7500555101329875</v>
      </c>
      <c r="O392" s="195">
        <f t="shared" si="53"/>
        <v>1.8592</v>
      </c>
      <c r="P392" s="195">
        <f>AVERAGE(Ashed_controlls!$K$12:$K$14)</f>
        <v>2.2816647271287041</v>
      </c>
      <c r="Q392" s="195">
        <f t="shared" si="54"/>
        <v>1.8167792893932231</v>
      </c>
      <c r="R392" s="16">
        <f>IF('WetLitterbags placem_collection'!G99="N.A","",'WetLitterbags placem_collection'!G99)</f>
        <v>42816</v>
      </c>
      <c r="S392" s="195">
        <f>IF(IFERROR(INDEX('Both teabags AfterWet'!$C$3:$C$841,MATCH(H392,'Both teabags AfterWet'!$A$3:$A$841,0)),"")="N.A","",(IFERROR(INDEX('Both teabags AfterWet'!$C$3:$C$841,MATCH(H392,'Both teabags AfterWet'!$A$3:$A$841,0)),"")))</f>
        <v>0.61809999999999998</v>
      </c>
      <c r="T392" s="195" t="str">
        <f>IFERROR(INDEX('Both teabags AfterWet'!$C$3:$C$841,MATCH(I392,'Both teabags AfterWet'!$A$3:$A$841,0)),"")</f>
        <v/>
      </c>
      <c r="U392" s="195">
        <f t="shared" si="55"/>
        <v>0.46749999999999997</v>
      </c>
      <c r="V392" s="195" t="str">
        <f t="shared" si="55"/>
        <v/>
      </c>
      <c r="W392" s="195">
        <f>IFERROR(INDEX('Ashed teabags wet'!$K$2:$K$821,MATCH(H392,'Ashed teabags wet'!$A$2:$A$821,0)),"")</f>
        <v>21.620325982741679</v>
      </c>
      <c r="X392" s="195">
        <f>IFERROR(INDEX('Ashed teabags wet'!$K$2:$K$821,MATCH(I392,'Ashed teabags wet'!$A$2:$A$821,0)),"")</f>
        <v>8.4409136047665729</v>
      </c>
      <c r="Y392" s="195">
        <f t="shared" si="49"/>
        <v>0.36642497603068264</v>
      </c>
      <c r="Z392" s="195" t="str">
        <f t="shared" si="49"/>
        <v/>
      </c>
      <c r="AA392" s="195">
        <f t="shared" si="56"/>
        <v>0.79062094093070345</v>
      </c>
      <c r="AB392" s="195">
        <f t="shared" si="57"/>
        <v>0.5183168163821239</v>
      </c>
      <c r="AC392" s="195" t="str">
        <f t="shared" si="50"/>
        <v/>
      </c>
      <c r="AD392">
        <f t="shared" si="51"/>
        <v>54</v>
      </c>
      <c r="AE392" s="195">
        <f t="shared" si="58"/>
        <v>6.1020260177311769E-2</v>
      </c>
      <c r="AF392" s="195" t="str">
        <f t="shared" si="59"/>
        <v/>
      </c>
      <c r="AG392" s="255" t="str">
        <f>IF(ISNUMBER(SEARCH("C",'WetLitterbags placem_collection'!AD319)),"YES","NO")</f>
        <v>NO</v>
      </c>
      <c r="AH392" s="255" t="str">
        <f>IF(ISNUMBER(SEARCH("H", 'WetLitterbags placem_collection'!AF99)),"YES","NO")</f>
        <v>NO</v>
      </c>
      <c r="AI392" s="255" t="str">
        <f>IF(ISNUMBER(SEARCH("R", 'WetLitterbags placem_collection'!XF99)),"YES","NO")</f>
        <v>NO</v>
      </c>
      <c r="AJ392" s="255" t="str">
        <f>IF(ISNUMBER(SEARCH("C", 'WetLitterbags placem_collection'!WE99)),"YES","NO")</f>
        <v>NO</v>
      </c>
      <c r="AK392" s="255" t="str">
        <f>IF(ISNUMBER(SEARCH("H", 'WetLitterbags placem_collection'!AE99)),"YES","NO")</f>
        <v>NO</v>
      </c>
      <c r="AL392" s="255" t="str">
        <f>IF(ISNUMBER(SEARCH("R", 'WetLitterbags placem_collection'!AE99)),"YES","NO")</f>
        <v>NO</v>
      </c>
    </row>
    <row r="393" spans="2:38">
      <c r="B393" t="str">
        <f>'Final data_for_R_analysis_Wetse'!A539</f>
        <v>Wet</v>
      </c>
      <c r="C393" s="263">
        <f>'Final data_for_R_analysis_Wetse'!B539</f>
        <v>98</v>
      </c>
      <c r="D393" t="s">
        <v>3841</v>
      </c>
      <c r="E393" t="s">
        <v>25</v>
      </c>
      <c r="F393" s="386">
        <v>2</v>
      </c>
      <c r="G393" s="16">
        <f>'WetLitterbags placem_collection'!E100</f>
        <v>42762</v>
      </c>
      <c r="H393" s="92" t="str">
        <f>'Final data_for_R_analysis_Wetse'!J539</f>
        <v>G730</v>
      </c>
      <c r="I393" t="str">
        <f>'Final data_for_R_analysis_Wetse'!J759</f>
        <v>R561</v>
      </c>
      <c r="J393">
        <f>IFERROR(INDEX('Green_rooibos initial weight'!$C$5:$C$1749,MATCH(H393, 'Green_rooibos initial weight'!$A$5:$A$1749,0)),"")</f>
        <v>2.048</v>
      </c>
      <c r="K393">
        <f>IFERROR(INDEX('Green_rooibos initial weight'!$C$5:$C$1749,MATCH(I393, 'Green_rooibos initial weight'!$A$5:$A$1749,0)),"")</f>
        <v>2.0760000000000001</v>
      </c>
      <c r="L393" s="195">
        <f t="shared" si="52"/>
        <v>1.7982</v>
      </c>
      <c r="M393" s="195">
        <f>AVERAGE(Ashed_controlls!$K$2:$K$11)</f>
        <v>5.5147656768714146</v>
      </c>
      <c r="N393" s="195">
        <f t="shared" si="48"/>
        <v>1.6990334835984982</v>
      </c>
      <c r="O393" s="195">
        <f t="shared" si="53"/>
        <v>1.8262</v>
      </c>
      <c r="P393" s="195">
        <f>AVERAGE(Ashed_controlls!$K$12:$K$14)</f>
        <v>2.2816647271287041</v>
      </c>
      <c r="Q393" s="195">
        <f t="shared" si="54"/>
        <v>1.7845322387531757</v>
      </c>
      <c r="R393" s="16">
        <f>IF('WetLitterbags placem_collection'!G100="N.A","",'WetLitterbags placem_collection'!G100)</f>
        <v>42816</v>
      </c>
      <c r="S393" s="195">
        <f>IF(IFERROR(INDEX('Both teabags AfterWet'!$C$3:$C$841,MATCH(H393,'Both teabags AfterWet'!$A$3:$A$841,0)),"")="N.A","",(IFERROR(INDEX('Both teabags AfterWet'!$C$3:$C$841,MATCH(H393,'Both teabags AfterWet'!$A$3:$A$841,0)),"")))</f>
        <v>0.629</v>
      </c>
      <c r="T393" s="195">
        <f>IFERROR(INDEX('Both teabags AfterWet'!$C$3:$C$841,MATCH(I393,'Both teabags AfterWet'!$A$3:$A$841,0)),"")</f>
        <v>1.661</v>
      </c>
      <c r="U393" s="195">
        <f t="shared" si="55"/>
        <v>0.47839999999999999</v>
      </c>
      <c r="V393" s="195">
        <f t="shared" si="55"/>
        <v>1.5104</v>
      </c>
      <c r="W393" s="195">
        <f>IFERROR(INDEX('Ashed teabags wet'!$K$2:$K$821,MATCH(H393,'Ashed teabags wet'!$A$2:$A$821,0)),"")</f>
        <v>15.206692913385</v>
      </c>
      <c r="X393" s="195">
        <f>IFERROR(INDEX('Ashed teabags wet'!$K$2:$K$821,MATCH(I393,'Ashed teabags wet'!$A$2:$A$821,0)),"")</f>
        <v>12.28244654400746</v>
      </c>
      <c r="Y393" s="195">
        <f t="shared" si="49"/>
        <v>0.40565118110236614</v>
      </c>
      <c r="Z393" s="195">
        <f t="shared" si="49"/>
        <v>1.3248859273993112</v>
      </c>
      <c r="AA393" s="195">
        <f t="shared" si="56"/>
        <v>0.76124591715331591</v>
      </c>
      <c r="AB393" s="195">
        <f t="shared" si="57"/>
        <v>0.49905908107913349</v>
      </c>
      <c r="AC393" s="195">
        <f t="shared" si="50"/>
        <v>0.74242756652297182</v>
      </c>
      <c r="AD393">
        <f t="shared" si="51"/>
        <v>54</v>
      </c>
      <c r="AE393" s="195">
        <f t="shared" si="58"/>
        <v>9.5907461813164008E-2</v>
      </c>
      <c r="AF393" s="195">
        <f t="shared" si="59"/>
        <v>1.3442783436430749E-2</v>
      </c>
      <c r="AG393" s="255" t="str">
        <f>IF(ISNUMBER(SEARCH("C",'WetLitterbags placem_collection'!AD320)),"YES","NO")</f>
        <v>NO</v>
      </c>
      <c r="AH393" s="255" t="str">
        <f>IF(ISNUMBER(SEARCH("H", 'WetLitterbags placem_collection'!AF100)),"YES","NO")</f>
        <v>NO</v>
      </c>
      <c r="AI393" s="255" t="str">
        <f>IF(ISNUMBER(SEARCH("R", 'WetLitterbags placem_collection'!XF100)),"YES","NO")</f>
        <v>NO</v>
      </c>
      <c r="AJ393" s="255" t="str">
        <f>IF(ISNUMBER(SEARCH("C", 'WetLitterbags placem_collection'!WE100)),"YES","NO")</f>
        <v>NO</v>
      </c>
      <c r="AK393" s="255" t="str">
        <f>IF(ISNUMBER(SEARCH("H", 'WetLitterbags placem_collection'!AE100)),"YES","NO")</f>
        <v>NO</v>
      </c>
      <c r="AL393" s="255" t="str">
        <f>IF(ISNUMBER(SEARCH("R", 'WetLitterbags placem_collection'!AE100)),"YES","NO")</f>
        <v>NO</v>
      </c>
    </row>
    <row r="394" spans="2:38">
      <c r="B394" t="str">
        <f>'Final data_for_R_analysis_Wetse'!A540</f>
        <v>Wet</v>
      </c>
      <c r="C394" s="263">
        <f>'Final data_for_R_analysis_Wetse'!B540</f>
        <v>99</v>
      </c>
      <c r="D394" t="s">
        <v>3841</v>
      </c>
      <c r="E394" t="s">
        <v>25</v>
      </c>
      <c r="F394" s="386">
        <v>3</v>
      </c>
      <c r="G394" s="16">
        <f>'WetLitterbags placem_collection'!E101</f>
        <v>42762</v>
      </c>
      <c r="H394" s="92" t="str">
        <f>'Final data_for_R_analysis_Wetse'!J540</f>
        <v>G691</v>
      </c>
      <c r="I394" t="str">
        <f>'Final data_for_R_analysis_Wetse'!J760</f>
        <v>R496</v>
      </c>
      <c r="J394">
        <f>IFERROR(INDEX('Green_rooibos initial weight'!$C$5:$C$1749,MATCH(H394, 'Green_rooibos initial weight'!$A$5:$A$1749,0)),"")</f>
        <v>2.0950000000000002</v>
      </c>
      <c r="K394">
        <f>IFERROR(INDEX('Green_rooibos initial weight'!$C$5:$C$1749,MATCH(I394, 'Green_rooibos initial weight'!$A$5:$A$1749,0)),"")</f>
        <v>2.2389999999999999</v>
      </c>
      <c r="L394" s="195">
        <f t="shared" si="52"/>
        <v>1.8452000000000002</v>
      </c>
      <c r="M394" s="195">
        <f>AVERAGE(Ashed_controlls!$K$2:$K$11)</f>
        <v>5.5147656768714146</v>
      </c>
      <c r="N394" s="195">
        <f t="shared" si="48"/>
        <v>1.7434415437303687</v>
      </c>
      <c r="O394" s="195">
        <f t="shared" si="53"/>
        <v>1.9891999999999999</v>
      </c>
      <c r="P394" s="195">
        <f>AVERAGE(Ashed_controlls!$K$12:$K$14)</f>
        <v>2.2816647271287041</v>
      </c>
      <c r="Q394" s="195">
        <f t="shared" si="54"/>
        <v>1.9438131252479556</v>
      </c>
      <c r="R394" s="16">
        <f>IF('WetLitterbags placem_collection'!G101="N.A","",'WetLitterbags placem_collection'!G101)</f>
        <v>42816</v>
      </c>
      <c r="S394" s="195">
        <f>IF(IFERROR(INDEX('Both teabags AfterWet'!$C$3:$C$841,MATCH(H394,'Both teabags AfterWet'!$A$3:$A$841,0)),"")="N.A","",(IFERROR(INDEX('Both teabags AfterWet'!$C$3:$C$841,MATCH(H394,'Both teabags AfterWet'!$A$3:$A$841,0)),"")))</f>
        <v>0.52829999999999999</v>
      </c>
      <c r="T394" s="195">
        <f>IFERROR(INDEX('Both teabags AfterWet'!$C$3:$C$841,MATCH(I394,'Both teabags AfterWet'!$A$3:$A$841,0)),"")</f>
        <v>1.5016</v>
      </c>
      <c r="U394" s="195">
        <f t="shared" si="55"/>
        <v>0.37769999999999998</v>
      </c>
      <c r="V394" s="195">
        <f t="shared" si="55"/>
        <v>1.351</v>
      </c>
      <c r="W394" s="195">
        <f>IFERROR(INDEX('Ashed teabags wet'!$K$2:$K$821,MATCH(H394,'Ashed teabags wet'!$A$2:$A$821,0)),"")</f>
        <v>10.554371002128548</v>
      </c>
      <c r="X394" s="195">
        <f>IFERROR(INDEX('Ashed teabags wet'!$K$2:$K$821,MATCH(I394,'Ashed teabags wet'!$A$2:$A$821,0)),"")</f>
        <v>7.3182711198407153</v>
      </c>
      <c r="Y394" s="195">
        <f t="shared" si="49"/>
        <v>0.33783614072496049</v>
      </c>
      <c r="Z394" s="195">
        <f t="shared" si="49"/>
        <v>1.252130157170952</v>
      </c>
      <c r="AA394" s="195">
        <f t="shared" si="56"/>
        <v>0.80622456661087316</v>
      </c>
      <c r="AB394" s="195">
        <f t="shared" si="57"/>
        <v>0.52854627169738955</v>
      </c>
      <c r="AC394" s="195">
        <f t="shared" si="50"/>
        <v>0.64416179770945237</v>
      </c>
      <c r="AD394">
        <f t="shared" si="51"/>
        <v>54</v>
      </c>
      <c r="AE394" s="195">
        <f t="shared" si="58"/>
        <v>4.2488638229366771E-2</v>
      </c>
      <c r="AF394" s="195">
        <f t="shared" si="59"/>
        <v>2.0713474912983417E-2</v>
      </c>
      <c r="AG394" s="255" t="str">
        <f>IF(ISNUMBER(SEARCH("C",'WetLitterbags placem_collection'!AD321)),"YES","NO")</f>
        <v>NO</v>
      </c>
      <c r="AH394" s="255" t="str">
        <f>IF(ISNUMBER(SEARCH("H", 'WetLitterbags placem_collection'!AF101)),"YES","NO")</f>
        <v>NO</v>
      </c>
      <c r="AI394" s="255" t="str">
        <f>IF(ISNUMBER(SEARCH("R", 'WetLitterbags placem_collection'!XF101)),"YES","NO")</f>
        <v>NO</v>
      </c>
      <c r="AJ394" s="255" t="str">
        <f>IF(ISNUMBER(SEARCH("C", 'WetLitterbags placem_collection'!WE101)),"YES","NO")</f>
        <v>NO</v>
      </c>
      <c r="AK394" s="255" t="str">
        <f>IF(ISNUMBER(SEARCH("H", 'WetLitterbags placem_collection'!AE101)),"YES","NO")</f>
        <v>NO</v>
      </c>
      <c r="AL394" s="255" t="str">
        <f>IF(ISNUMBER(SEARCH("R", 'WetLitterbags placem_collection'!AE101)),"YES","NO")</f>
        <v>NO</v>
      </c>
    </row>
    <row r="395" spans="2:38">
      <c r="B395" t="str">
        <f>'Final data_for_R_analysis_Wetse'!A541</f>
        <v>Wet</v>
      </c>
      <c r="C395" s="263">
        <f>'Final data_for_R_analysis_Wetse'!B541</f>
        <v>100</v>
      </c>
      <c r="D395" t="s">
        <v>3841</v>
      </c>
      <c r="E395" t="s">
        <v>25</v>
      </c>
      <c r="F395" s="387">
        <v>4</v>
      </c>
      <c r="G395" s="16">
        <f>'WetLitterbags placem_collection'!E102</f>
        <v>42762</v>
      </c>
      <c r="H395" s="92" t="str">
        <f>'Final data_for_R_analysis_Wetse'!J541</f>
        <v>G828</v>
      </c>
      <c r="I395" t="str">
        <f>'Final data_for_R_analysis_Wetse'!J761</f>
        <v>R497</v>
      </c>
      <c r="J395">
        <f>IFERROR(INDEX('Green_rooibos initial weight'!$C$5:$C$1749,MATCH(H395, 'Green_rooibos initial weight'!$A$5:$A$1749,0)),"")</f>
        <v>1.986</v>
      </c>
      <c r="K395">
        <f>IFERROR(INDEX('Green_rooibos initial weight'!$C$5:$C$1749,MATCH(I395, 'Green_rooibos initial weight'!$A$5:$A$1749,0)),"")</f>
        <v>2.2240000000000002</v>
      </c>
      <c r="L395" s="195">
        <f t="shared" si="52"/>
        <v>1.7362</v>
      </c>
      <c r="M395" s="195">
        <f>AVERAGE(Ashed_controlls!$K$2:$K$11)</f>
        <v>5.5147656768714146</v>
      </c>
      <c r="N395" s="195">
        <f t="shared" si="48"/>
        <v>1.6404526383181586</v>
      </c>
      <c r="O395" s="195">
        <f t="shared" si="53"/>
        <v>1.9742000000000002</v>
      </c>
      <c r="P395" s="195">
        <f>AVERAGE(Ashed_controlls!$K$12:$K$14)</f>
        <v>2.2816647271287041</v>
      </c>
      <c r="Q395" s="195">
        <f t="shared" si="54"/>
        <v>1.9291553749570254</v>
      </c>
      <c r="R395" s="16">
        <f>IF('WetLitterbags placem_collection'!G102="N.A","",'WetLitterbags placem_collection'!G102)</f>
        <v>42816</v>
      </c>
      <c r="S395" s="195">
        <f>IF(IFERROR(INDEX('Both teabags AfterWet'!$C$3:$C$841,MATCH(H395,'Both teabags AfterWet'!$A$3:$A$841,0)),"")="N.A","",(IFERROR(INDEX('Both teabags AfterWet'!$C$3:$C$841,MATCH(H395,'Both teabags AfterWet'!$A$3:$A$841,0)),"")))</f>
        <v>0.57399999999999995</v>
      </c>
      <c r="T395" s="195">
        <f>IFERROR(INDEX('Both teabags AfterWet'!$C$3:$C$841,MATCH(I395,'Both teabags AfterWet'!$A$3:$A$841,0)),"")</f>
        <v>1.66</v>
      </c>
      <c r="U395" s="195">
        <f t="shared" si="55"/>
        <v>0.42339999999999994</v>
      </c>
      <c r="V395" s="195">
        <f t="shared" si="55"/>
        <v>1.5093999999999999</v>
      </c>
      <c r="W395" s="195">
        <f>IFERROR(INDEX('Ashed teabags wet'!$K$2:$K$821,MATCH(H395,'Ashed teabags wet'!$A$2:$A$821,0)),"")</f>
        <v>14.012096774192942</v>
      </c>
      <c r="X395" s="195">
        <f>IFERROR(INDEX('Ashed teabags wet'!$K$2:$K$821,MATCH(I395,'Ashed teabags wet'!$A$2:$A$821,0)),"")</f>
        <v>7.3426573426567847</v>
      </c>
      <c r="Y395" s="195">
        <f t="shared" si="49"/>
        <v>0.36407278225806705</v>
      </c>
      <c r="Z395" s="195">
        <f t="shared" si="49"/>
        <v>1.3985699300699383</v>
      </c>
      <c r="AA395" s="195">
        <f t="shared" si="56"/>
        <v>0.77806565471385669</v>
      </c>
      <c r="AB395" s="195">
        <f t="shared" si="57"/>
        <v>0.5100857973896068</v>
      </c>
      <c r="AC395" s="195">
        <f t="shared" si="50"/>
        <v>0.72496489822707688</v>
      </c>
      <c r="AD395">
        <f t="shared" si="51"/>
        <v>54</v>
      </c>
      <c r="AE395" s="195">
        <f t="shared" si="58"/>
        <v>7.5931526468103638E-2</v>
      </c>
      <c r="AF395" s="195">
        <f t="shared" si="59"/>
        <v>1.4347735645145843E-2</v>
      </c>
      <c r="AG395" s="255" t="str">
        <f>IF(ISNUMBER(SEARCH("C",'WetLitterbags placem_collection'!AD322)),"YES","NO")</f>
        <v>NO</v>
      </c>
      <c r="AH395" s="255" t="str">
        <f>IF(ISNUMBER(SEARCH("H", 'WetLitterbags placem_collection'!AF102)),"YES","NO")</f>
        <v>NO</v>
      </c>
      <c r="AI395" s="255" t="str">
        <f>IF(ISNUMBER(SEARCH("R", 'WetLitterbags placem_collection'!XF102)),"YES","NO")</f>
        <v>NO</v>
      </c>
      <c r="AJ395" s="255" t="str">
        <f>IF(ISNUMBER(SEARCH("C", 'WetLitterbags placem_collection'!WE102)),"YES","NO")</f>
        <v>NO</v>
      </c>
      <c r="AK395" s="255" t="str">
        <f>IF(ISNUMBER(SEARCH("H", 'WetLitterbags placem_collection'!AE102)),"YES","NO")</f>
        <v>NO</v>
      </c>
      <c r="AL395" s="255" t="str">
        <f>IF(ISNUMBER(SEARCH("R", 'WetLitterbags placem_collection'!AE102)),"YES","NO")</f>
        <v>NO</v>
      </c>
    </row>
    <row r="396" spans="2:38">
      <c r="B396" t="str">
        <f>'Final data_for_R_analysis_Wetse'!A542</f>
        <v>Wet</v>
      </c>
      <c r="C396" s="263">
        <f>'Final data_for_R_analysis_Wetse'!B542</f>
        <v>101</v>
      </c>
      <c r="D396" t="s">
        <v>3841</v>
      </c>
      <c r="E396" t="s">
        <v>25</v>
      </c>
      <c r="F396" s="387">
        <v>5</v>
      </c>
      <c r="G396" s="16">
        <f>'WetLitterbags placem_collection'!E103</f>
        <v>42762</v>
      </c>
      <c r="H396" s="92" t="str">
        <f>'Final data_for_R_analysis_Wetse'!J542</f>
        <v>G875</v>
      </c>
      <c r="I396" t="str">
        <f>'Final data_for_R_analysis_Wetse'!J762</f>
        <v>R10</v>
      </c>
      <c r="J396">
        <f>IFERROR(INDEX('Green_rooibos initial weight'!$C$5:$C$1749,MATCH(H396, 'Green_rooibos initial weight'!$A$5:$A$1749,0)),"")</f>
        <v>2.0880000000000001</v>
      </c>
      <c r="K396">
        <f>IFERROR(INDEX('Green_rooibos initial weight'!$C$5:$C$1749,MATCH(I396, 'Green_rooibos initial weight'!$A$5:$A$1749,0)),"")</f>
        <v>2.29</v>
      </c>
      <c r="L396" s="195">
        <f t="shared" si="52"/>
        <v>1.8382000000000001</v>
      </c>
      <c r="M396" s="195">
        <f>AVERAGE(Ashed_controlls!$K$2:$K$11)</f>
        <v>5.5147656768714146</v>
      </c>
      <c r="N396" s="195">
        <f t="shared" ref="N396:N459" si="60">IFERROR(L396-(M396/100)*L396,"")</f>
        <v>1.7368275773277497</v>
      </c>
      <c r="O396" s="195">
        <f t="shared" si="53"/>
        <v>2.0402</v>
      </c>
      <c r="P396" s="195">
        <f>AVERAGE(Ashed_controlls!$K$12:$K$14)</f>
        <v>2.2816647271287041</v>
      </c>
      <c r="Q396" s="195">
        <f t="shared" si="54"/>
        <v>1.9936494762371202</v>
      </c>
      <c r="R396" s="16">
        <f>IF('WetLitterbags placem_collection'!G103="N.A","",'WetLitterbags placem_collection'!G103)</f>
        <v>42816</v>
      </c>
      <c r="S396" s="195">
        <f>IF(IFERROR(INDEX('Both teabags AfterWet'!$C$3:$C$841,MATCH(H396,'Both teabags AfterWet'!$A$3:$A$841,0)),"")="N.A","",(IFERROR(INDEX('Both teabags AfterWet'!$C$3:$C$841,MATCH(H396,'Both teabags AfterWet'!$A$3:$A$841,0)),"")))</f>
        <v>0.62450000000000006</v>
      </c>
      <c r="T396" s="195">
        <f>IFERROR(INDEX('Both teabags AfterWet'!$C$3:$C$841,MATCH(I396,'Both teabags AfterWet'!$A$3:$A$841,0)),"")</f>
        <v>1.5687</v>
      </c>
      <c r="U396" s="195">
        <f t="shared" si="55"/>
        <v>0.47390000000000004</v>
      </c>
      <c r="V396" s="195">
        <f t="shared" si="55"/>
        <v>1.4180999999999999</v>
      </c>
      <c r="W396" s="195">
        <f>IFERROR(INDEX('Ashed teabags wet'!$K$2:$K$821,MATCH(H396,'Ashed teabags wet'!$A$2:$A$821,0)),"")</f>
        <v>13.73786407767002</v>
      </c>
      <c r="X396" s="195">
        <f>IFERROR(INDEX('Ashed teabags wet'!$K$2:$K$821,MATCH(I396,'Ashed teabags wet'!$A$2:$A$821,0)),"")</f>
        <v>7.5048732943469902</v>
      </c>
      <c r="Y396" s="195">
        <f t="shared" ref="Y396:Z459" si="61">IFERROR(U396-(W396/100)*U396,"")</f>
        <v>0.4087962621359218</v>
      </c>
      <c r="Z396" s="195">
        <f t="shared" si="61"/>
        <v>1.3116733918128651</v>
      </c>
      <c r="AA396" s="195">
        <f t="shared" si="56"/>
        <v>0.76463048636935627</v>
      </c>
      <c r="AB396" s="195">
        <f t="shared" si="57"/>
        <v>0.50127794355805788</v>
      </c>
      <c r="AC396" s="195">
        <f t="shared" ref="AC396:AC459" si="62">IFERROR(Z396/Q396,"")</f>
        <v>0.65792578256462653</v>
      </c>
      <c r="AD396">
        <f t="shared" ref="AD396:AD459" si="63">IF((R396-G396)&gt;0,(IFERROR(R396-G396,"")),"")</f>
        <v>54</v>
      </c>
      <c r="AE396" s="195">
        <f t="shared" si="58"/>
        <v>9.1887783409315582E-2</v>
      </c>
      <c r="AF396" s="195">
        <f t="shared" si="59"/>
        <v>2.1240297155260244E-2</v>
      </c>
      <c r="AG396" s="255" t="str">
        <f>IF(ISNUMBER(SEARCH("C",'WetLitterbags placem_collection'!AD323)),"YES","NO")</f>
        <v>NO</v>
      </c>
      <c r="AH396" s="255" t="str">
        <f>IF(ISNUMBER(SEARCH("H", 'WetLitterbags placem_collection'!AF103)),"YES","NO")</f>
        <v>NO</v>
      </c>
      <c r="AI396" s="255" t="str">
        <f>IF(ISNUMBER(SEARCH("R", 'WetLitterbags placem_collection'!XF103)),"YES","NO")</f>
        <v>NO</v>
      </c>
      <c r="AJ396" s="255" t="str">
        <f>IF(ISNUMBER(SEARCH("C", 'WetLitterbags placem_collection'!WE103)),"YES","NO")</f>
        <v>NO</v>
      </c>
      <c r="AK396" s="255" t="str">
        <f>IF(ISNUMBER(SEARCH("H", 'WetLitterbags placem_collection'!AE103)),"YES","NO")</f>
        <v>NO</v>
      </c>
      <c r="AL396" s="255" t="str">
        <f>IF(ISNUMBER(SEARCH("R", 'WetLitterbags placem_collection'!AE103)),"YES","NO")</f>
        <v>NO</v>
      </c>
    </row>
    <row r="397" spans="2:38">
      <c r="B397" t="str">
        <f>'Final data_for_R_analysis_Wetse'!A543</f>
        <v>Wet</v>
      </c>
      <c r="C397" s="263">
        <f>'Final data_for_R_analysis_Wetse'!B543</f>
        <v>102</v>
      </c>
      <c r="D397" t="s">
        <v>3841</v>
      </c>
      <c r="E397" t="s">
        <v>25</v>
      </c>
      <c r="F397" s="387">
        <v>6</v>
      </c>
      <c r="G397" s="16">
        <f>'WetLitterbags placem_collection'!E104</f>
        <v>42762</v>
      </c>
      <c r="H397" s="92" t="str">
        <f>'Final data_for_R_analysis_Wetse'!J543</f>
        <v>G824</v>
      </c>
      <c r="I397" t="str">
        <f>'Final data_for_R_analysis_Wetse'!J763</f>
        <v>R26</v>
      </c>
      <c r="J397">
        <f>IFERROR(INDEX('Green_rooibos initial weight'!$C$5:$C$1749,MATCH(H397, 'Green_rooibos initial weight'!$A$5:$A$1749,0)),"")</f>
        <v>1.931</v>
      </c>
      <c r="K397">
        <f>IFERROR(INDEX('Green_rooibos initial weight'!$C$5:$C$1749,MATCH(I397, 'Green_rooibos initial weight'!$A$5:$A$1749,0)),"")</f>
        <v>2.2559999999999998</v>
      </c>
      <c r="L397" s="195">
        <f t="shared" ref="L397:L460" si="64">IF(J397&gt;0,(J397*$F$31-($F$29+$F$30)),"")</f>
        <v>1.6812</v>
      </c>
      <c r="M397" s="195">
        <f>AVERAGE(Ashed_controlls!$K$2:$K$11)</f>
        <v>5.5147656768714146</v>
      </c>
      <c r="N397" s="195">
        <f t="shared" si="60"/>
        <v>1.5884857594404378</v>
      </c>
      <c r="O397" s="195">
        <f t="shared" ref="O397:O460" si="65">IF(K397&gt;0,(K397*$F$32-($F$29+$F$30)),"")</f>
        <v>2.0061999999999998</v>
      </c>
      <c r="P397" s="195">
        <f>AVERAGE(Ashed_controlls!$K$12:$K$14)</f>
        <v>2.2816647271287041</v>
      </c>
      <c r="Q397" s="195">
        <f t="shared" ref="Q397:Q460" si="66">IFERROR(O397-(P397/100)*O397,"")</f>
        <v>1.9604252422443438</v>
      </c>
      <c r="R397" s="16">
        <f>IF('WetLitterbags placem_collection'!G104="N.A","",'WetLitterbags placem_collection'!G104)</f>
        <v>42816</v>
      </c>
      <c r="S397" s="195">
        <f>IF(IFERROR(INDEX('Both teabags AfterWet'!$C$3:$C$841,MATCH(H397,'Both teabags AfterWet'!$A$3:$A$841,0)),"")="N.A","",(IFERROR(INDEX('Both teabags AfterWet'!$C$3:$C$841,MATCH(H397,'Both teabags AfterWet'!$A$3:$A$841,0)),"")))</f>
        <v>0.63800000000000001</v>
      </c>
      <c r="T397" s="195">
        <f>IFERROR(INDEX('Both teabags AfterWet'!$C$3:$C$841,MATCH(I397,'Both teabags AfterWet'!$A$3:$A$841,0)),"")</f>
        <v>1.6240000000000001</v>
      </c>
      <c r="U397" s="195">
        <f t="shared" ref="U397:V460" si="67">IFERROR(IF(S397&gt;0,S397-($F$29),""),"")</f>
        <v>0.4874</v>
      </c>
      <c r="V397" s="195">
        <f t="shared" si="67"/>
        <v>1.4734</v>
      </c>
      <c r="W397" s="195">
        <f>IFERROR(INDEX('Ashed teabags wet'!$K$2:$K$821,MATCH(H397,'Ashed teabags wet'!$A$2:$A$821,0)),"")</f>
        <v>12.710187932739478</v>
      </c>
      <c r="X397" s="195">
        <f>IFERROR(INDEX('Ashed teabags wet'!$K$2:$K$821,MATCH(I397,'Ashed teabags wet'!$A$2:$A$821,0)),"")</f>
        <v>5.4671968190859612</v>
      </c>
      <c r="Y397" s="195">
        <f t="shared" si="61"/>
        <v>0.42545054401582777</v>
      </c>
      <c r="Z397" s="195">
        <f t="shared" si="61"/>
        <v>1.3928463220675875</v>
      </c>
      <c r="AA397" s="195">
        <f t="shared" ref="AA397:AA460" si="68">IFERROR(1-Y397/N397,"")</f>
        <v>0.73216596907629972</v>
      </c>
      <c r="AB397" s="195">
        <f t="shared" ref="AB397:AB460" si="69">IFERROR($F$26*(1-AE397),"")</f>
        <v>0.47999479207852436</v>
      </c>
      <c r="AC397" s="195">
        <f t="shared" si="62"/>
        <v>0.71048173225571321</v>
      </c>
      <c r="AD397">
        <f t="shared" si="63"/>
        <v>54</v>
      </c>
      <c r="AE397" s="195">
        <f t="shared" ref="AE397:AE460" si="70">IFERROR(1-(AA397/$F$25),"")</f>
        <v>0.1304442172490502</v>
      </c>
      <c r="AF397" s="195">
        <f t="shared" ref="AF397:AF460" si="71">IFERROR(LN(AB397/(AC397-(1-AB397)))/AD397,"")</f>
        <v>1.7115672201386174E-2</v>
      </c>
      <c r="AG397" s="255" t="str">
        <f>IF(ISNUMBER(SEARCH("C",'WetLitterbags placem_collection'!AD324)),"YES","NO")</f>
        <v>NO</v>
      </c>
      <c r="AH397" s="255" t="str">
        <f>IF(ISNUMBER(SEARCH("H", 'WetLitterbags placem_collection'!AF104)),"YES","NO")</f>
        <v>NO</v>
      </c>
      <c r="AI397" s="255" t="str">
        <f>IF(ISNUMBER(SEARCH("R", 'WetLitterbags placem_collection'!XF104)),"YES","NO")</f>
        <v>NO</v>
      </c>
      <c r="AJ397" s="255" t="str">
        <f>IF(ISNUMBER(SEARCH("C", 'WetLitterbags placem_collection'!WE104)),"YES","NO")</f>
        <v>NO</v>
      </c>
      <c r="AK397" s="255" t="str">
        <f>IF(ISNUMBER(SEARCH("H", 'WetLitterbags placem_collection'!AE104)),"YES","NO")</f>
        <v>NO</v>
      </c>
      <c r="AL397" s="255" t="str">
        <f>IF(ISNUMBER(SEARCH("R", 'WetLitterbags placem_collection'!AE104)),"YES","NO")</f>
        <v>NO</v>
      </c>
    </row>
    <row r="398" spans="2:38">
      <c r="B398" t="str">
        <f>'Final data_for_R_analysis_Wetse'!A544</f>
        <v>Wet</v>
      </c>
      <c r="C398" s="263">
        <f>'Final data_for_R_analysis_Wetse'!B544</f>
        <v>103</v>
      </c>
      <c r="D398" t="s">
        <v>3841</v>
      </c>
      <c r="E398" t="s">
        <v>25</v>
      </c>
      <c r="F398" s="387">
        <v>7</v>
      </c>
      <c r="G398" s="16">
        <f>'WetLitterbags placem_collection'!E105</f>
        <v>42762</v>
      </c>
      <c r="H398" s="92" t="str">
        <f>'Final data_for_R_analysis_Wetse'!J544</f>
        <v>G692</v>
      </c>
      <c r="I398" t="str">
        <f>'Final data_for_R_analysis_Wetse'!J764</f>
        <v>R494</v>
      </c>
      <c r="J398">
        <f>IFERROR(INDEX('Green_rooibos initial weight'!$C$5:$C$1749,MATCH(H398, 'Green_rooibos initial weight'!$A$5:$A$1749,0)),"")</f>
        <v>2.028</v>
      </c>
      <c r="K398">
        <f>IFERROR(INDEX('Green_rooibos initial weight'!$C$5:$C$1749,MATCH(I398, 'Green_rooibos initial weight'!$A$5:$A$1749,0)),"")</f>
        <v>2.2130000000000001</v>
      </c>
      <c r="L398" s="195">
        <f t="shared" si="64"/>
        <v>1.7782</v>
      </c>
      <c r="M398" s="195">
        <f>AVERAGE(Ashed_controlls!$K$2:$K$11)</f>
        <v>5.5147656768714146</v>
      </c>
      <c r="N398" s="195">
        <f t="shared" si="60"/>
        <v>1.6801364367338725</v>
      </c>
      <c r="O398" s="195">
        <f t="shared" si="65"/>
        <v>1.9632000000000001</v>
      </c>
      <c r="P398" s="195">
        <f>AVERAGE(Ashed_controlls!$K$12:$K$14)</f>
        <v>2.2816647271287041</v>
      </c>
      <c r="Q398" s="195">
        <f t="shared" si="66"/>
        <v>1.9184063580770094</v>
      </c>
      <c r="R398" s="16">
        <f>IF('WetLitterbags placem_collection'!G105="N.A","",'WetLitterbags placem_collection'!G105)</f>
        <v>42816</v>
      </c>
      <c r="S398" s="195">
        <f>IF(IFERROR(INDEX('Both teabags AfterWet'!$C$3:$C$841,MATCH(H398,'Both teabags AfterWet'!$A$3:$A$841,0)),"")="N.A","",(IFERROR(INDEX('Both teabags AfterWet'!$C$3:$C$841,MATCH(H398,'Both teabags AfterWet'!$A$3:$A$841,0)),"")))</f>
        <v>0.58699999999999997</v>
      </c>
      <c r="T398" s="195">
        <f>IFERROR(INDEX('Both teabags AfterWet'!$C$3:$C$841,MATCH(I398,'Both teabags AfterWet'!$A$3:$A$841,0)),"")</f>
        <v>1.6919999999999999</v>
      </c>
      <c r="U398" s="195">
        <f t="shared" si="67"/>
        <v>0.43639999999999995</v>
      </c>
      <c r="V398" s="195">
        <f t="shared" si="67"/>
        <v>1.5413999999999999</v>
      </c>
      <c r="W398" s="195">
        <f>IFERROR(INDEX('Ashed teabags wet'!$K$2:$K$821,MATCH(H398,'Ashed teabags wet'!$A$2:$A$821,0)),"")</f>
        <v>13.793103448275259</v>
      </c>
      <c r="X398" s="195">
        <f>IFERROR(INDEX('Ashed teabags wet'!$K$2:$K$821,MATCH(I398,'Ashed teabags wet'!$A$2:$A$821,0)),"")</f>
        <v>5.3175775480057332</v>
      </c>
      <c r="Y398" s="195">
        <f t="shared" si="61"/>
        <v>0.37620689655172673</v>
      </c>
      <c r="Z398" s="195">
        <f t="shared" si="61"/>
        <v>1.4594348596750395</v>
      </c>
      <c r="AA398" s="195">
        <f t="shared" si="68"/>
        <v>0.77608550810131827</v>
      </c>
      <c r="AB398" s="195">
        <f t="shared" si="69"/>
        <v>0.50878764901654128</v>
      </c>
      <c r="AC398" s="195">
        <f t="shared" si="62"/>
        <v>0.76075376498332803</v>
      </c>
      <c r="AD398">
        <f t="shared" si="63"/>
        <v>54</v>
      </c>
      <c r="AE398" s="195">
        <f t="shared" si="70"/>
        <v>7.8283244535251484E-2</v>
      </c>
      <c r="AF398" s="195">
        <f t="shared" si="71"/>
        <v>1.176497571663415E-2</v>
      </c>
      <c r="AG398" s="255" t="str">
        <f>IF(ISNUMBER(SEARCH("C",'WetLitterbags placem_collection'!AD325)),"YES","NO")</f>
        <v>NO</v>
      </c>
      <c r="AH398" s="255" t="str">
        <f>IF(ISNUMBER(SEARCH("H", 'WetLitterbags placem_collection'!AF105)),"YES","NO")</f>
        <v>NO</v>
      </c>
      <c r="AI398" s="255" t="str">
        <f>IF(ISNUMBER(SEARCH("R", 'WetLitterbags placem_collection'!XF105)),"YES","NO")</f>
        <v>NO</v>
      </c>
      <c r="AJ398" s="255" t="str">
        <f>IF(ISNUMBER(SEARCH("C", 'WetLitterbags placem_collection'!WE105)),"YES","NO")</f>
        <v>NO</v>
      </c>
      <c r="AK398" s="255" t="str">
        <f>IF(ISNUMBER(SEARCH("H", 'WetLitterbags placem_collection'!AE105)),"YES","NO")</f>
        <v>NO</v>
      </c>
      <c r="AL398" s="255" t="str">
        <f>IF(ISNUMBER(SEARCH("R", 'WetLitterbags placem_collection'!AE105)),"YES","NO")</f>
        <v>NO</v>
      </c>
    </row>
    <row r="399" spans="2:38">
      <c r="B399" t="str">
        <f>'Final data_for_R_analysis_Wetse'!A545</f>
        <v>Wet</v>
      </c>
      <c r="C399" s="263">
        <f>'Final data_for_R_analysis_Wetse'!B545</f>
        <v>104</v>
      </c>
      <c r="D399" t="s">
        <v>3841</v>
      </c>
      <c r="E399" t="s">
        <v>25</v>
      </c>
      <c r="F399" s="387">
        <v>8</v>
      </c>
      <c r="G399" s="16">
        <f>'WetLitterbags placem_collection'!E106</f>
        <v>42762</v>
      </c>
      <c r="H399" s="92" t="str">
        <f>'Final data_for_R_analysis_Wetse'!J545</f>
        <v>G806</v>
      </c>
      <c r="I399" t="str">
        <f>'Final data_for_R_analysis_Wetse'!J765</f>
        <v>R475</v>
      </c>
      <c r="J399">
        <f>IFERROR(INDEX('Green_rooibos initial weight'!$C$5:$C$1749,MATCH(H399, 'Green_rooibos initial weight'!$A$5:$A$1749,0)),"")</f>
        <v>2.0419999999999998</v>
      </c>
      <c r="K399">
        <f>IFERROR(INDEX('Green_rooibos initial weight'!$C$5:$C$1749,MATCH(I399, 'Green_rooibos initial weight'!$A$5:$A$1749,0)),"")</f>
        <v>2.2210000000000001</v>
      </c>
      <c r="L399" s="195">
        <f t="shared" si="64"/>
        <v>1.7921999999999998</v>
      </c>
      <c r="M399" s="195">
        <f>AVERAGE(Ashed_controlls!$K$2:$K$11)</f>
        <v>5.5147656768714146</v>
      </c>
      <c r="N399" s="195">
        <f t="shared" si="60"/>
        <v>1.6933643695391103</v>
      </c>
      <c r="O399" s="195">
        <f t="shared" si="65"/>
        <v>1.9712000000000001</v>
      </c>
      <c r="P399" s="195">
        <f>AVERAGE(Ashed_controlls!$K$12:$K$14)</f>
        <v>2.2816647271287041</v>
      </c>
      <c r="Q399" s="195">
        <f t="shared" si="66"/>
        <v>1.926223824898839</v>
      </c>
      <c r="R399" s="16">
        <f>IF('WetLitterbags placem_collection'!G106="N.A","",'WetLitterbags placem_collection'!G106)</f>
        <v>42816</v>
      </c>
      <c r="S399" s="195">
        <f>IF(IFERROR(INDEX('Both teabags AfterWet'!$C$3:$C$841,MATCH(H399,'Both teabags AfterWet'!$A$3:$A$841,0)),"")="N.A","",(IFERROR(INDEX('Both teabags AfterWet'!$C$3:$C$841,MATCH(H399,'Both teabags AfterWet'!$A$3:$A$841,0)),"")))</f>
        <v>0.72499999999999998</v>
      </c>
      <c r="T399" s="195">
        <f>IFERROR(INDEX('Both teabags AfterWet'!$C$3:$C$841,MATCH(I399,'Both teabags AfterWet'!$A$3:$A$841,0)),"")</f>
        <v>1.4970000000000001</v>
      </c>
      <c r="U399" s="195">
        <f t="shared" si="67"/>
        <v>0.57440000000000002</v>
      </c>
      <c r="V399" s="195">
        <f t="shared" si="67"/>
        <v>1.3464</v>
      </c>
      <c r="W399" s="195">
        <f>IFERROR(INDEX('Ashed teabags wet'!$K$2:$K$821,MATCH(H399,'Ashed teabags wet'!$A$2:$A$821,0)),"")</f>
        <v>16.853385289820611</v>
      </c>
      <c r="X399" s="195">
        <f>IFERROR(INDEX('Ashed teabags wet'!$K$2:$K$821,MATCH(I399,'Ashed teabags wet'!$A$2:$A$821,0)),"")</f>
        <v>9.2474176094433584</v>
      </c>
      <c r="Y399" s="195">
        <f t="shared" si="61"/>
        <v>0.47759415489527046</v>
      </c>
      <c r="Z399" s="195">
        <f t="shared" si="61"/>
        <v>1.2218927693064547</v>
      </c>
      <c r="AA399" s="195">
        <f t="shared" si="68"/>
        <v>0.7179613770748825</v>
      </c>
      <c r="AB399" s="195">
        <f t="shared" si="69"/>
        <v>0.47068251798733396</v>
      </c>
      <c r="AC399" s="195">
        <f t="shared" si="62"/>
        <v>0.63434620292406874</v>
      </c>
      <c r="AD399">
        <f t="shared" si="63"/>
        <v>54</v>
      </c>
      <c r="AE399" s="195">
        <f t="shared" si="70"/>
        <v>0.14731427900845306</v>
      </c>
      <c r="AF399" s="195">
        <f t="shared" si="71"/>
        <v>2.7776851148470998E-2</v>
      </c>
      <c r="AG399" s="255" t="str">
        <f>IF(ISNUMBER(SEARCH("C",'WetLitterbags placem_collection'!AD326)),"YES","NO")</f>
        <v>NO</v>
      </c>
      <c r="AH399" s="255" t="str">
        <f>IF(ISNUMBER(SEARCH("H", 'WetLitterbags placem_collection'!AF106)),"YES","NO")</f>
        <v>NO</v>
      </c>
      <c r="AI399" s="255" t="str">
        <f>IF(ISNUMBER(SEARCH("R", 'WetLitterbags placem_collection'!XF106)),"YES","NO")</f>
        <v>NO</v>
      </c>
      <c r="AJ399" s="255" t="str">
        <f>IF(ISNUMBER(SEARCH("C", 'WetLitterbags placem_collection'!WE106)),"YES","NO")</f>
        <v>NO</v>
      </c>
      <c r="AK399" s="255" t="str">
        <f>IF(ISNUMBER(SEARCH("H", 'WetLitterbags placem_collection'!AE106)),"YES","NO")</f>
        <v>NO</v>
      </c>
      <c r="AL399" s="255" t="str">
        <f>IF(ISNUMBER(SEARCH("R", 'WetLitterbags placem_collection'!AE106)),"YES","NO")</f>
        <v>NO</v>
      </c>
    </row>
    <row r="400" spans="2:38">
      <c r="B400" t="str">
        <f>'Final data_for_R_analysis_Wetse'!A546</f>
        <v>Wet</v>
      </c>
      <c r="C400" s="263">
        <f>'Final data_for_R_analysis_Wetse'!B546</f>
        <v>105</v>
      </c>
      <c r="D400" t="s">
        <v>3843</v>
      </c>
      <c r="E400" t="s">
        <v>25</v>
      </c>
      <c r="F400" s="386">
        <v>1</v>
      </c>
      <c r="G400" s="16">
        <f>'WetLitterbags placem_collection'!E107</f>
        <v>42762</v>
      </c>
      <c r="H400" s="92" t="str">
        <f>'Final data_for_R_analysis_Wetse'!J546</f>
        <v>G861</v>
      </c>
      <c r="I400" t="str">
        <f>'Final data_for_R_analysis_Wetse'!J766</f>
        <v>R540</v>
      </c>
      <c r="J400">
        <f>IFERROR(INDEX('Green_rooibos initial weight'!$C$5:$C$1749,MATCH(H400, 'Green_rooibos initial weight'!$A$5:$A$1749,0)),"")</f>
        <v>1.9339999999999999</v>
      </c>
      <c r="K400">
        <f>IFERROR(INDEX('Green_rooibos initial weight'!$C$5:$C$1749,MATCH(I400, 'Green_rooibos initial weight'!$A$5:$A$1749,0)),"")</f>
        <v>2.194</v>
      </c>
      <c r="L400" s="195">
        <f t="shared" si="64"/>
        <v>1.6841999999999999</v>
      </c>
      <c r="M400" s="195">
        <f>AVERAGE(Ashed_controlls!$K$2:$K$11)</f>
        <v>5.5147656768714146</v>
      </c>
      <c r="N400" s="195">
        <f t="shared" si="60"/>
        <v>1.5913203164701315</v>
      </c>
      <c r="O400" s="195">
        <f t="shared" si="65"/>
        <v>1.9441999999999999</v>
      </c>
      <c r="P400" s="195">
        <f>AVERAGE(Ashed_controlls!$K$12:$K$14)</f>
        <v>2.2816647271287041</v>
      </c>
      <c r="Q400" s="195">
        <f t="shared" si="66"/>
        <v>1.8998398743751637</v>
      </c>
      <c r="R400" s="16">
        <f>IF('WetLitterbags placem_collection'!G107="N.A","",'WetLitterbags placem_collection'!G107)</f>
        <v>42816</v>
      </c>
      <c r="S400" s="195">
        <f>IF(IFERROR(INDEX('Both teabags AfterWet'!$C$3:$C$841,MATCH(H400,'Both teabags AfterWet'!$A$3:$A$841,0)),"")="N.A","",(IFERROR(INDEX('Both teabags AfterWet'!$C$3:$C$841,MATCH(H400,'Both teabags AfterWet'!$A$3:$A$841,0)),"")))</f>
        <v>0.626</v>
      </c>
      <c r="T400" s="195">
        <f>IFERROR(INDEX('Both teabags AfterWet'!$C$3:$C$841,MATCH(I400,'Both teabags AfterWet'!$A$3:$A$841,0)),"")</f>
        <v>1.8080000000000001</v>
      </c>
      <c r="U400" s="195">
        <f t="shared" si="67"/>
        <v>0.47539999999999999</v>
      </c>
      <c r="V400" s="195">
        <f t="shared" si="67"/>
        <v>1.6574</v>
      </c>
      <c r="W400" s="195">
        <f>IFERROR(INDEX('Ashed teabags wet'!$K$2:$K$821,MATCH(H400,'Ashed teabags wet'!$A$2:$A$821,0)),"")</f>
        <v>20.431034482760303</v>
      </c>
      <c r="X400" s="195">
        <f>IFERROR(INDEX('Ashed teabags wet'!$K$2:$K$821,MATCH(I400,'Ashed teabags wet'!$A$2:$A$821,0)),"")</f>
        <v>5.7625434674605209</v>
      </c>
      <c r="Y400" s="195">
        <f t="shared" si="61"/>
        <v>0.37827086206895755</v>
      </c>
      <c r="Z400" s="195">
        <f t="shared" si="61"/>
        <v>1.5618916045703093</v>
      </c>
      <c r="AA400" s="195">
        <f t="shared" si="68"/>
        <v>0.76229118791869732</v>
      </c>
      <c r="AB400" s="195">
        <f t="shared" si="69"/>
        <v>0.49974434172342158</v>
      </c>
      <c r="AC400" s="195">
        <f t="shared" si="62"/>
        <v>0.82211749823600166</v>
      </c>
      <c r="AD400">
        <f t="shared" si="63"/>
        <v>54</v>
      </c>
      <c r="AE400" s="195">
        <f t="shared" si="70"/>
        <v>9.4666047602497194E-2</v>
      </c>
      <c r="AF400" s="195">
        <f t="shared" si="71"/>
        <v>8.1476715941285662E-3</v>
      </c>
      <c r="AG400" s="255" t="str">
        <f>IF(ISNUMBER(SEARCH("C",'WetLitterbags placem_collection'!AD327)),"YES","NO")</f>
        <v>NO</v>
      </c>
      <c r="AH400" s="255" t="str">
        <f>IF(ISNUMBER(SEARCH("H", 'WetLitterbags placem_collection'!AF107)),"YES","NO")</f>
        <v>NO</v>
      </c>
      <c r="AI400" s="255" t="str">
        <f>IF(ISNUMBER(SEARCH("R", 'WetLitterbags placem_collection'!XF107)),"YES","NO")</f>
        <v>NO</v>
      </c>
      <c r="AJ400" s="255" t="str">
        <f>IF(ISNUMBER(SEARCH("C", 'WetLitterbags placem_collection'!WE107)),"YES","NO")</f>
        <v>NO</v>
      </c>
      <c r="AK400" s="255" t="str">
        <f>IF(ISNUMBER(SEARCH("H", 'WetLitterbags placem_collection'!AE107)),"YES","NO")</f>
        <v>NO</v>
      </c>
      <c r="AL400" s="255" t="str">
        <f>IF(ISNUMBER(SEARCH("R", 'WetLitterbags placem_collection'!AE107)),"YES","NO")</f>
        <v>NO</v>
      </c>
    </row>
    <row r="401" spans="2:38">
      <c r="B401" t="str">
        <f>'Final data_for_R_analysis_Wetse'!A547</f>
        <v>Wet</v>
      </c>
      <c r="C401" s="263">
        <f>'Final data_for_R_analysis_Wetse'!B547</f>
        <v>106</v>
      </c>
      <c r="D401" t="s">
        <v>3843</v>
      </c>
      <c r="E401" t="s">
        <v>25</v>
      </c>
      <c r="F401" s="386">
        <v>2</v>
      </c>
      <c r="G401" s="16">
        <f>'WetLitterbags placem_collection'!E108</f>
        <v>42762</v>
      </c>
      <c r="H401" s="92" t="str">
        <f>'Final data_for_R_analysis_Wetse'!J547</f>
        <v>G738</v>
      </c>
      <c r="I401" t="str">
        <f>'Final data_for_R_analysis_Wetse'!J767</f>
        <v>R593</v>
      </c>
      <c r="J401">
        <f>IFERROR(INDEX('Green_rooibos initial weight'!$C$5:$C$1749,MATCH(H401, 'Green_rooibos initial weight'!$A$5:$A$1749,0)),"")</f>
        <v>2.0089999999999999</v>
      </c>
      <c r="K401">
        <f>IFERROR(INDEX('Green_rooibos initial weight'!$C$5:$C$1749,MATCH(I401, 'Green_rooibos initial weight'!$A$5:$A$1749,0)),"")</f>
        <v>2.2090000000000001</v>
      </c>
      <c r="L401" s="195">
        <f t="shared" si="64"/>
        <v>1.7591999999999999</v>
      </c>
      <c r="M401" s="195">
        <f>AVERAGE(Ashed_controlls!$K$2:$K$11)</f>
        <v>5.5147656768714146</v>
      </c>
      <c r="N401" s="195">
        <f t="shared" si="60"/>
        <v>1.662184242212478</v>
      </c>
      <c r="O401" s="195">
        <f t="shared" si="65"/>
        <v>1.9592000000000001</v>
      </c>
      <c r="P401" s="195">
        <f>AVERAGE(Ashed_controlls!$K$12:$K$14)</f>
        <v>2.2816647271287041</v>
      </c>
      <c r="Q401" s="195">
        <f t="shared" si="66"/>
        <v>1.9144976246660945</v>
      </c>
      <c r="R401" s="16">
        <f>IF('WetLitterbags placem_collection'!G108="N.A","",'WetLitterbags placem_collection'!G108)</f>
        <v>42816</v>
      </c>
      <c r="S401" s="195">
        <f>IF(IFERROR(INDEX('Both teabags AfterWet'!$C$3:$C$841,MATCH(H401,'Both teabags AfterWet'!$A$3:$A$841,0)),"")="N.A","",(IFERROR(INDEX('Both teabags AfterWet'!$C$3:$C$841,MATCH(H401,'Both teabags AfterWet'!$A$3:$A$841,0)),"")))</f>
        <v>0.626</v>
      </c>
      <c r="T401" s="195">
        <f>IFERROR(INDEX('Both teabags AfterWet'!$C$3:$C$841,MATCH(I401,'Both teabags AfterWet'!$A$3:$A$841,0)),"")</f>
        <v>1.7729999999999999</v>
      </c>
      <c r="U401" s="195">
        <f t="shared" si="67"/>
        <v>0.47539999999999999</v>
      </c>
      <c r="V401" s="195">
        <f t="shared" si="67"/>
        <v>1.6223999999999998</v>
      </c>
      <c r="W401" s="195">
        <f>IFERROR(INDEX('Ashed teabags wet'!$K$2:$K$821,MATCH(H401,'Ashed teabags wet'!$A$2:$A$821,0)),"")</f>
        <v>15.46906187624684</v>
      </c>
      <c r="X401" s="195">
        <f>IFERROR(INDEX('Ashed teabags wet'!$K$2:$K$821,MATCH(I401,'Ashed teabags wet'!$A$2:$A$821,0)),"")</f>
        <v>5.062034739454969</v>
      </c>
      <c r="Y401" s="195">
        <f t="shared" si="61"/>
        <v>0.40186007984032251</v>
      </c>
      <c r="Z401" s="195">
        <f t="shared" si="61"/>
        <v>1.5402735483870824</v>
      </c>
      <c r="AA401" s="195">
        <f t="shared" si="68"/>
        <v>0.75823373267850258</v>
      </c>
      <c r="AB401" s="195">
        <f t="shared" si="69"/>
        <v>0.49708434731417278</v>
      </c>
      <c r="AC401" s="195">
        <f t="shared" si="62"/>
        <v>0.80453144916057018</v>
      </c>
      <c r="AD401">
        <f t="shared" si="63"/>
        <v>54</v>
      </c>
      <c r="AE401" s="195">
        <f t="shared" si="70"/>
        <v>9.9484878054034942E-2</v>
      </c>
      <c r="AF401" s="195">
        <f t="shared" si="71"/>
        <v>9.2519576715031134E-3</v>
      </c>
      <c r="AG401" s="255" t="str">
        <f>IF(ISNUMBER(SEARCH("C",'WetLitterbags placem_collection'!AD328)),"YES","NO")</f>
        <v>NO</v>
      </c>
      <c r="AH401" s="255" t="str">
        <f>IF(ISNUMBER(SEARCH("H", 'WetLitterbags placem_collection'!AF108)),"YES","NO")</f>
        <v>NO</v>
      </c>
      <c r="AI401" s="255" t="str">
        <f>IF(ISNUMBER(SEARCH("R", 'WetLitterbags placem_collection'!XF108)),"YES","NO")</f>
        <v>NO</v>
      </c>
      <c r="AJ401" s="255" t="str">
        <f>IF(ISNUMBER(SEARCH("C", 'WetLitterbags placem_collection'!WE108)),"YES","NO")</f>
        <v>NO</v>
      </c>
      <c r="AK401" s="255" t="str">
        <f>IF(ISNUMBER(SEARCH("H", 'WetLitterbags placem_collection'!AE108)),"YES","NO")</f>
        <v>NO</v>
      </c>
      <c r="AL401" s="255" t="str">
        <f>IF(ISNUMBER(SEARCH("R", 'WetLitterbags placem_collection'!AE108)),"YES","NO")</f>
        <v>NO</v>
      </c>
    </row>
    <row r="402" spans="2:38">
      <c r="B402" t="str">
        <f>'Final data_for_R_analysis_Wetse'!A548</f>
        <v>Wet</v>
      </c>
      <c r="C402" s="263">
        <f>'Final data_for_R_analysis_Wetse'!B548</f>
        <v>107</v>
      </c>
      <c r="D402" t="s">
        <v>3843</v>
      </c>
      <c r="E402" t="s">
        <v>25</v>
      </c>
      <c r="F402" s="386">
        <v>3</v>
      </c>
      <c r="G402" s="16">
        <f>'WetLitterbags placem_collection'!E109</f>
        <v>42762</v>
      </c>
      <c r="H402" s="92" t="str">
        <f>'Final data_for_R_analysis_Wetse'!J548</f>
        <v>G676</v>
      </c>
      <c r="I402" t="str">
        <f>'Final data_for_R_analysis_Wetse'!J768</f>
        <v>R510</v>
      </c>
      <c r="J402">
        <f>IFERROR(INDEX('Green_rooibos initial weight'!$C$5:$C$1749,MATCH(H402, 'Green_rooibos initial weight'!$A$5:$A$1749,0)),"")</f>
        <v>2.048</v>
      </c>
      <c r="K402">
        <f>IFERROR(INDEX('Green_rooibos initial weight'!$C$5:$C$1749,MATCH(I402, 'Green_rooibos initial weight'!$A$5:$A$1749,0)),"")</f>
        <v>2.2349999999999999</v>
      </c>
      <c r="L402" s="195">
        <f t="shared" si="64"/>
        <v>1.7982</v>
      </c>
      <c r="M402" s="195">
        <f>AVERAGE(Ashed_controlls!$K$2:$K$11)</f>
        <v>5.5147656768714146</v>
      </c>
      <c r="N402" s="195">
        <f t="shared" si="60"/>
        <v>1.6990334835984982</v>
      </c>
      <c r="O402" s="195">
        <f t="shared" si="65"/>
        <v>1.9851999999999999</v>
      </c>
      <c r="P402" s="195">
        <f>AVERAGE(Ashed_controlls!$K$12:$K$14)</f>
        <v>2.2816647271287041</v>
      </c>
      <c r="Q402" s="195">
        <f t="shared" si="66"/>
        <v>1.9399043918370409</v>
      </c>
      <c r="R402" s="16">
        <f>IF('WetLitterbags placem_collection'!G109="N.A","",'WetLitterbags placem_collection'!G109)</f>
        <v>42816</v>
      </c>
      <c r="S402" s="195">
        <f>IF(IFERROR(INDEX('Both teabags AfterWet'!$C$3:$C$841,MATCH(H402,'Both teabags AfterWet'!$A$3:$A$841,0)),"")="N.A","",(IFERROR(INDEX('Both teabags AfterWet'!$C$3:$C$841,MATCH(H402,'Both teabags AfterWet'!$A$3:$A$841,0)),"")))</f>
        <v>0.67630000000000001</v>
      </c>
      <c r="T402" s="195">
        <f>IFERROR(INDEX('Both teabags AfterWet'!$C$3:$C$841,MATCH(I402,'Both teabags AfterWet'!$A$3:$A$841,0)),"")</f>
        <v>1.5944</v>
      </c>
      <c r="U402" s="195">
        <f t="shared" si="67"/>
        <v>0.52570000000000006</v>
      </c>
      <c r="V402" s="195">
        <f t="shared" si="67"/>
        <v>1.4438</v>
      </c>
      <c r="W402" s="195">
        <f>IFERROR(INDEX('Ashed teabags wet'!$K$2:$K$821,MATCH(H402,'Ashed teabags wet'!$A$2:$A$821,0)),"")</f>
        <v>16.393442622950655</v>
      </c>
      <c r="X402" s="195">
        <f>IFERROR(INDEX('Ashed teabags wet'!$K$2:$K$821,MATCH(I402,'Ashed teabags wet'!$A$2:$A$821,0)),"")</f>
        <v>5.2605210420842559</v>
      </c>
      <c r="Y402" s="195">
        <f t="shared" si="61"/>
        <v>0.43951967213114845</v>
      </c>
      <c r="Z402" s="195">
        <f t="shared" si="61"/>
        <v>1.3678485971943874</v>
      </c>
      <c r="AA402" s="195">
        <f t="shared" si="68"/>
        <v>0.74131194212826235</v>
      </c>
      <c r="AB402" s="195">
        <f t="shared" si="69"/>
        <v>0.48599072690593931</v>
      </c>
      <c r="AC402" s="195">
        <f t="shared" si="62"/>
        <v>0.70511134618292659</v>
      </c>
      <c r="AD402">
        <f t="shared" si="63"/>
        <v>54</v>
      </c>
      <c r="AE402" s="195">
        <f t="shared" si="70"/>
        <v>0.11958201647474775</v>
      </c>
      <c r="AF402" s="195">
        <f t="shared" si="71"/>
        <v>1.7284848961146137E-2</v>
      </c>
      <c r="AG402" s="255" t="str">
        <f>IF(ISNUMBER(SEARCH("C",'WetLitterbags placem_collection'!AD329)),"YES","NO")</f>
        <v>NO</v>
      </c>
      <c r="AH402" s="255" t="str">
        <f>IF(ISNUMBER(SEARCH("H", 'WetLitterbags placem_collection'!AF109)),"YES","NO")</f>
        <v>NO</v>
      </c>
      <c r="AI402" s="255" t="str">
        <f>IF(ISNUMBER(SEARCH("R", 'WetLitterbags placem_collection'!XF109)),"YES","NO")</f>
        <v>NO</v>
      </c>
      <c r="AJ402" s="255" t="str">
        <f>IF(ISNUMBER(SEARCH("C", 'WetLitterbags placem_collection'!WE109)),"YES","NO")</f>
        <v>NO</v>
      </c>
      <c r="AK402" s="255" t="str">
        <f>IF(ISNUMBER(SEARCH("H", 'WetLitterbags placem_collection'!AE109)),"YES","NO")</f>
        <v>NO</v>
      </c>
      <c r="AL402" s="255" t="str">
        <f>IF(ISNUMBER(SEARCH("R", 'WetLitterbags placem_collection'!AE109)),"YES","NO")</f>
        <v>NO</v>
      </c>
    </row>
    <row r="403" spans="2:38">
      <c r="B403" t="str">
        <f>'Final data_for_R_analysis_Wetse'!A549</f>
        <v>Wet</v>
      </c>
      <c r="C403" s="263">
        <f>'Final data_for_R_analysis_Wetse'!B549</f>
        <v>108</v>
      </c>
      <c r="D403" t="s">
        <v>3843</v>
      </c>
      <c r="E403" t="s">
        <v>25</v>
      </c>
      <c r="F403" s="387">
        <v>4</v>
      </c>
      <c r="G403" s="16">
        <f>'WetLitterbags placem_collection'!E110</f>
        <v>42762</v>
      </c>
      <c r="H403" s="92" t="str">
        <f>'Final data_for_R_analysis_Wetse'!J549</f>
        <v>G845</v>
      </c>
      <c r="I403" t="str">
        <f>'Final data_for_R_analysis_Wetse'!J769</f>
        <v>R509</v>
      </c>
      <c r="J403">
        <f>IFERROR(INDEX('Green_rooibos initial weight'!$C$5:$C$1749,MATCH(H403, 'Green_rooibos initial weight'!$A$5:$A$1749,0)),"")</f>
        <v>2.0459999999999998</v>
      </c>
      <c r="K403">
        <f>IFERROR(INDEX('Green_rooibos initial weight'!$C$5:$C$1749,MATCH(I403, 'Green_rooibos initial weight'!$A$5:$A$1749,0)),"")</f>
        <v>2.161</v>
      </c>
      <c r="L403" s="195">
        <f t="shared" si="64"/>
        <v>1.7961999999999998</v>
      </c>
      <c r="M403" s="195">
        <f>AVERAGE(Ashed_controlls!$K$2:$K$11)</f>
        <v>5.5147656768714146</v>
      </c>
      <c r="N403" s="195">
        <f t="shared" si="60"/>
        <v>1.6971437789120354</v>
      </c>
      <c r="O403" s="195">
        <f t="shared" si="65"/>
        <v>1.9112</v>
      </c>
      <c r="P403" s="195">
        <f>AVERAGE(Ashed_controlls!$K$12:$K$14)</f>
        <v>2.2816647271287041</v>
      </c>
      <c r="Q403" s="195">
        <f t="shared" si="66"/>
        <v>1.8675928237351163</v>
      </c>
      <c r="R403" s="16">
        <f>IF('WetLitterbags placem_collection'!G110="N.A","",'WetLitterbags placem_collection'!G110)</f>
        <v>42816</v>
      </c>
      <c r="S403" s="195">
        <f>IF(IFERROR(INDEX('Both teabags AfterWet'!$C$3:$C$841,MATCH(H403,'Both teabags AfterWet'!$A$3:$A$841,0)),"")="N.A","",(IFERROR(INDEX('Both teabags AfterWet'!$C$3:$C$841,MATCH(H403,'Both teabags AfterWet'!$A$3:$A$841,0)),"")))</f>
        <v>0.57699999999999996</v>
      </c>
      <c r="T403" s="195">
        <f>IFERROR(INDEX('Both teabags AfterWet'!$C$3:$C$841,MATCH(I403,'Both teabags AfterWet'!$A$3:$A$841,0)),"")</f>
        <v>1.6739999999999999</v>
      </c>
      <c r="U403" s="195">
        <f t="shared" si="67"/>
        <v>0.42639999999999995</v>
      </c>
      <c r="V403" s="195">
        <f t="shared" si="67"/>
        <v>1.5233999999999999</v>
      </c>
      <c r="W403" s="195">
        <f>IFERROR(INDEX('Ashed teabags wet'!$K$2:$K$821,MATCH(H403,'Ashed teabags wet'!$A$2:$A$821,0)),"")</f>
        <v>13.078070611635859</v>
      </c>
      <c r="X403" s="195">
        <f>IFERROR(INDEX('Ashed teabags wet'!$K$2:$K$821,MATCH(I403,'Ashed teabags wet'!$A$2:$A$821,0)),"")</f>
        <v>5.6567593480338392</v>
      </c>
      <c r="Y403" s="195">
        <f t="shared" si="61"/>
        <v>0.37063510691198465</v>
      </c>
      <c r="Z403" s="195">
        <f t="shared" si="61"/>
        <v>1.4372249280920524</v>
      </c>
      <c r="AA403" s="195">
        <f t="shared" si="68"/>
        <v>0.78161242935493502</v>
      </c>
      <c r="AB403" s="195">
        <f t="shared" si="69"/>
        <v>0.51241099881701213</v>
      </c>
      <c r="AC403" s="195">
        <f t="shared" si="62"/>
        <v>0.76956010422960175</v>
      </c>
      <c r="AD403">
        <f t="shared" si="63"/>
        <v>54</v>
      </c>
      <c r="AE403" s="195">
        <f t="shared" si="70"/>
        <v>7.1719205041644862E-2</v>
      </c>
      <c r="AF403" s="195">
        <f t="shared" si="71"/>
        <v>1.1061526682690229E-2</v>
      </c>
      <c r="AG403" s="255" t="str">
        <f>IF(ISNUMBER(SEARCH("C",'WetLitterbags placem_collection'!AD330)),"YES","NO")</f>
        <v>NO</v>
      </c>
      <c r="AH403" s="255" t="str">
        <f>IF(ISNUMBER(SEARCH("H", 'WetLitterbags placem_collection'!AF110)),"YES","NO")</f>
        <v>NO</v>
      </c>
      <c r="AI403" s="255" t="str">
        <f>IF(ISNUMBER(SEARCH("R", 'WetLitterbags placem_collection'!XF110)),"YES","NO")</f>
        <v>NO</v>
      </c>
      <c r="AJ403" s="255" t="str">
        <f>IF(ISNUMBER(SEARCH("C", 'WetLitterbags placem_collection'!WE110)),"YES","NO")</f>
        <v>NO</v>
      </c>
      <c r="AK403" s="255" t="str">
        <f>IF(ISNUMBER(SEARCH("H", 'WetLitterbags placem_collection'!AE110)),"YES","NO")</f>
        <v>NO</v>
      </c>
      <c r="AL403" s="255" t="str">
        <f>IF(ISNUMBER(SEARCH("R", 'WetLitterbags placem_collection'!AE110)),"YES","NO")</f>
        <v>NO</v>
      </c>
    </row>
    <row r="404" spans="2:38">
      <c r="B404" t="str">
        <f>'Final data_for_R_analysis_Wetse'!A550</f>
        <v>Wet</v>
      </c>
      <c r="C404" s="263">
        <f>'Final data_for_R_analysis_Wetse'!B550</f>
        <v>109</v>
      </c>
      <c r="D404" t="s">
        <v>3843</v>
      </c>
      <c r="E404" t="s">
        <v>25</v>
      </c>
      <c r="F404" s="387">
        <v>5</v>
      </c>
      <c r="G404" s="16">
        <f>'WetLitterbags placem_collection'!E111</f>
        <v>42762</v>
      </c>
      <c r="H404" s="92" t="str">
        <f>'Final data_for_R_analysis_Wetse'!J550</f>
        <v>G887</v>
      </c>
      <c r="I404" t="str">
        <f>'Final data_for_R_analysis_Wetse'!J770</f>
        <v>R33</v>
      </c>
      <c r="J404">
        <f>IFERROR(INDEX('Green_rooibos initial weight'!$C$5:$C$1749,MATCH(H404, 'Green_rooibos initial weight'!$A$5:$A$1749,0)),"")</f>
        <v>1.998</v>
      </c>
      <c r="K404">
        <f>IFERROR(INDEX('Green_rooibos initial weight'!$C$5:$C$1749,MATCH(I404, 'Green_rooibos initial weight'!$A$5:$A$1749,0)),"")</f>
        <v>2.1989999999999998</v>
      </c>
      <c r="L404" s="195">
        <f t="shared" si="64"/>
        <v>1.7482</v>
      </c>
      <c r="M404" s="195">
        <f>AVERAGE(Ashed_controlls!$K$2:$K$11)</f>
        <v>5.5147656768714146</v>
      </c>
      <c r="N404" s="195">
        <f t="shared" si="60"/>
        <v>1.6517908664369338</v>
      </c>
      <c r="O404" s="195">
        <f t="shared" si="65"/>
        <v>1.9491999999999998</v>
      </c>
      <c r="P404" s="195">
        <f>AVERAGE(Ashed_controlls!$K$12:$K$14)</f>
        <v>2.2816647271287041</v>
      </c>
      <c r="Q404" s="195">
        <f t="shared" si="66"/>
        <v>1.9047257911388071</v>
      </c>
      <c r="R404" s="16">
        <f>IF('WetLitterbags placem_collection'!G111="N.A","",'WetLitterbags placem_collection'!G111)</f>
        <v>42816</v>
      </c>
      <c r="S404" s="195">
        <f>IF(IFERROR(INDEX('Both teabags AfterWet'!$C$3:$C$841,MATCH(H404,'Both teabags AfterWet'!$A$3:$A$841,0)),"")="N.A","",(IFERROR(INDEX('Both teabags AfterWet'!$C$3:$C$841,MATCH(H404,'Both teabags AfterWet'!$A$3:$A$841,0)),"")))</f>
        <v>0.64870000000000005</v>
      </c>
      <c r="T404" s="195">
        <f>IFERROR(INDEX('Both teabags AfterWet'!$C$3:$C$841,MATCH(I404,'Both teabags AfterWet'!$A$3:$A$841,0)),"")</f>
        <v>1.5922000000000001</v>
      </c>
      <c r="U404" s="195">
        <f t="shared" si="67"/>
        <v>0.49810000000000004</v>
      </c>
      <c r="V404" s="195">
        <f t="shared" si="67"/>
        <v>1.4416</v>
      </c>
      <c r="W404" s="195">
        <f>IFERROR(INDEX('Ashed teabags wet'!$K$2:$K$821,MATCH(H404,'Ashed teabags wet'!$A$2:$A$821,0)),"")</f>
        <v>12.548449612403372</v>
      </c>
      <c r="X404" s="195">
        <f>IFERROR(INDEX('Ashed teabags wet'!$K$2:$K$821,MATCH(I404,'Ashed teabags wet'!$A$2:$A$821,0)),"")</f>
        <v>7.2896281800392453</v>
      </c>
      <c r="Y404" s="195">
        <f t="shared" si="61"/>
        <v>0.43559617248061883</v>
      </c>
      <c r="Z404" s="195">
        <f t="shared" si="61"/>
        <v>1.3365127201565543</v>
      </c>
      <c r="AA404" s="195">
        <f t="shared" si="68"/>
        <v>0.73628854515932751</v>
      </c>
      <c r="AB404" s="195">
        <f t="shared" si="69"/>
        <v>0.48269747853675632</v>
      </c>
      <c r="AC404" s="195">
        <f t="shared" si="62"/>
        <v>0.70168248173794789</v>
      </c>
      <c r="AD404">
        <f t="shared" si="63"/>
        <v>54</v>
      </c>
      <c r="AE404" s="195">
        <f t="shared" si="70"/>
        <v>0.12554804612906467</v>
      </c>
      <c r="AF404" s="195">
        <f t="shared" si="71"/>
        <v>1.7822064612415926E-2</v>
      </c>
      <c r="AG404" s="255" t="str">
        <f>IF(ISNUMBER(SEARCH("C",'WetLitterbags placem_collection'!AD331)),"YES","NO")</f>
        <v>NO</v>
      </c>
      <c r="AH404" s="255" t="str">
        <f>IF(ISNUMBER(SEARCH("H", 'WetLitterbags placem_collection'!AF111)),"YES","NO")</f>
        <v>NO</v>
      </c>
      <c r="AI404" s="255" t="str">
        <f>IF(ISNUMBER(SEARCH("R", 'WetLitterbags placem_collection'!XF111)),"YES","NO")</f>
        <v>NO</v>
      </c>
      <c r="AJ404" s="255" t="str">
        <f>IF(ISNUMBER(SEARCH("C", 'WetLitterbags placem_collection'!WE111)),"YES","NO")</f>
        <v>NO</v>
      </c>
      <c r="AK404" s="255" t="str">
        <f>IF(ISNUMBER(SEARCH("H", 'WetLitterbags placem_collection'!AE111)),"YES","NO")</f>
        <v>NO</v>
      </c>
      <c r="AL404" s="255" t="str">
        <f>IF(ISNUMBER(SEARCH("R", 'WetLitterbags placem_collection'!AE111)),"YES","NO")</f>
        <v>NO</v>
      </c>
    </row>
    <row r="405" spans="2:38">
      <c r="B405" t="str">
        <f>'Final data_for_R_analysis_Wetse'!A551</f>
        <v>Wet</v>
      </c>
      <c r="C405" s="263">
        <f>'Final data_for_R_analysis_Wetse'!B551</f>
        <v>110</v>
      </c>
      <c r="D405" t="s">
        <v>3843</v>
      </c>
      <c r="E405" t="s">
        <v>25</v>
      </c>
      <c r="F405" s="387">
        <v>6</v>
      </c>
      <c r="G405" s="16">
        <f>'WetLitterbags placem_collection'!E112</f>
        <v>42762</v>
      </c>
      <c r="H405" s="92" t="str">
        <f>'Final data_for_R_analysis_Wetse'!J551</f>
        <v>G882</v>
      </c>
      <c r="I405" t="str">
        <f>'Final data_for_R_analysis_Wetse'!J771</f>
        <v>R54a</v>
      </c>
      <c r="J405">
        <f>IFERROR(INDEX('Green_rooibos initial weight'!$C$5:$C$1749,MATCH(H405, 'Green_rooibos initial weight'!$A$5:$A$1749,0)),"")</f>
        <v>2.0979999999999999</v>
      </c>
      <c r="K405" t="str">
        <f>IFERROR(INDEX('Green_rooibos initial weight'!$C$5:$C$1749,MATCH(I405, 'Green_rooibos initial weight'!$A$5:$A$1749,0)),"")</f>
        <v/>
      </c>
      <c r="L405" s="195">
        <f t="shared" si="64"/>
        <v>1.8481999999999998</v>
      </c>
      <c r="M405" s="195">
        <f>AVERAGE(Ashed_controlls!$K$2:$K$11)</f>
        <v>5.5147656768714146</v>
      </c>
      <c r="N405" s="195">
        <f t="shared" si="60"/>
        <v>1.7462761007600625</v>
      </c>
      <c r="O405" s="195" t="e">
        <f t="shared" si="65"/>
        <v>#VALUE!</v>
      </c>
      <c r="P405" s="195">
        <f>AVERAGE(Ashed_controlls!$K$12:$K$14)</f>
        <v>2.2816647271287041</v>
      </c>
      <c r="Q405" s="195" t="str">
        <f t="shared" si="66"/>
        <v/>
      </c>
      <c r="R405" s="16">
        <f>IF('WetLitterbags placem_collection'!G112="N.A","",'WetLitterbags placem_collection'!G112)</f>
        <v>42816</v>
      </c>
      <c r="S405" s="195">
        <f>IF(IFERROR(INDEX('Both teabags AfterWet'!$C$3:$C$841,MATCH(H405,'Both teabags AfterWet'!$A$3:$A$841,0)),"")="N.A","",(IFERROR(INDEX('Both teabags AfterWet'!$C$3:$C$841,MATCH(H405,'Both teabags AfterWet'!$A$3:$A$841,0)),"")))</f>
        <v>0.56669999999999998</v>
      </c>
      <c r="T405" s="195">
        <f>IFERROR(INDEX('Both teabags AfterWet'!$C$3:$C$841,MATCH(I405,'Both teabags AfterWet'!$A$3:$A$841,0)),"")</f>
        <v>1.4870000000000001</v>
      </c>
      <c r="U405" s="195">
        <f t="shared" si="67"/>
        <v>0.41609999999999997</v>
      </c>
      <c r="V405" s="195">
        <f t="shared" si="67"/>
        <v>1.3364</v>
      </c>
      <c r="W405" s="195">
        <f>IFERROR(INDEX('Ashed teabags wet'!$K$2:$K$821,MATCH(H405,'Ashed teabags wet'!$A$2:$A$821,0)),"")</f>
        <v>13.300248138958004</v>
      </c>
      <c r="X405" s="195">
        <f>IFERROR(INDEX('Ashed teabags wet'!$K$2:$K$821,MATCH(I405,'Ashed teabags wet'!$A$2:$A$821,0)),"")</f>
        <v>4.8934108527127869</v>
      </c>
      <c r="Y405" s="195">
        <f t="shared" si="61"/>
        <v>0.36075766749379573</v>
      </c>
      <c r="Z405" s="195">
        <f t="shared" si="61"/>
        <v>1.2710044573643464</v>
      </c>
      <c r="AA405" s="195">
        <f t="shared" si="68"/>
        <v>0.79341315652388711</v>
      </c>
      <c r="AB405" s="195">
        <f t="shared" si="69"/>
        <v>0.52014734251922301</v>
      </c>
      <c r="AC405" s="195" t="str">
        <f t="shared" si="62"/>
        <v/>
      </c>
      <c r="AD405">
        <f t="shared" si="63"/>
        <v>54</v>
      </c>
      <c r="AE405" s="195">
        <f t="shared" si="70"/>
        <v>5.7704089639088907E-2</v>
      </c>
      <c r="AF405" s="195" t="str">
        <f t="shared" si="71"/>
        <v/>
      </c>
      <c r="AG405" s="255" t="str">
        <f>IF(ISNUMBER(SEARCH("C",'WetLitterbags placem_collection'!AD332)),"YES","NO")</f>
        <v>NO</v>
      </c>
      <c r="AH405" s="255" t="str">
        <f>IF(ISNUMBER(SEARCH("H", 'WetLitterbags placem_collection'!AF112)),"YES","NO")</f>
        <v>NO</v>
      </c>
      <c r="AI405" s="255" t="str">
        <f>IF(ISNUMBER(SEARCH("R", 'WetLitterbags placem_collection'!XF112)),"YES","NO")</f>
        <v>NO</v>
      </c>
      <c r="AJ405" s="255" t="str">
        <f>IF(ISNUMBER(SEARCH("C", 'WetLitterbags placem_collection'!WE112)),"YES","NO")</f>
        <v>NO</v>
      </c>
      <c r="AK405" s="255" t="str">
        <f>IF(ISNUMBER(SEARCH("H", 'WetLitterbags placem_collection'!AE112)),"YES","NO")</f>
        <v>NO</v>
      </c>
      <c r="AL405" s="255" t="str">
        <f>IF(ISNUMBER(SEARCH("R", 'WetLitterbags placem_collection'!AE112)),"YES","NO")</f>
        <v>NO</v>
      </c>
    </row>
    <row r="406" spans="2:38">
      <c r="B406" t="str">
        <f>'Final data_for_R_analysis_Wetse'!A552</f>
        <v>Wet</v>
      </c>
      <c r="C406" s="263">
        <f>'Final data_for_R_analysis_Wetse'!B552</f>
        <v>111</v>
      </c>
      <c r="D406" t="s">
        <v>3843</v>
      </c>
      <c r="E406" t="s">
        <v>25</v>
      </c>
      <c r="F406" s="387">
        <v>7</v>
      </c>
      <c r="G406" s="16">
        <f>'WetLitterbags placem_collection'!E113</f>
        <v>42762</v>
      </c>
      <c r="H406" s="92" t="str">
        <f>'Final data_for_R_analysis_Wetse'!J552</f>
        <v>G695</v>
      </c>
      <c r="I406" t="str">
        <f>'Final data_for_R_analysis_Wetse'!J772</f>
        <v>R487</v>
      </c>
      <c r="J406">
        <f>IFERROR(INDEX('Green_rooibos initial weight'!$C$5:$C$1749,MATCH(H406, 'Green_rooibos initial weight'!$A$5:$A$1749,0)),"")</f>
        <v>2.0190000000000001</v>
      </c>
      <c r="K406">
        <f>IFERROR(INDEX('Green_rooibos initial weight'!$C$5:$C$1749,MATCH(I406, 'Green_rooibos initial weight'!$A$5:$A$1749,0)),"")</f>
        <v>2.222</v>
      </c>
      <c r="L406" s="195">
        <f t="shared" si="64"/>
        <v>1.7692000000000001</v>
      </c>
      <c r="M406" s="195">
        <f>AVERAGE(Ashed_controlls!$K$2:$K$11)</f>
        <v>5.5147656768714146</v>
      </c>
      <c r="N406" s="195">
        <f t="shared" si="60"/>
        <v>1.6716327656447911</v>
      </c>
      <c r="O406" s="195">
        <f t="shared" si="65"/>
        <v>1.9722</v>
      </c>
      <c r="P406" s="195">
        <f>AVERAGE(Ashed_controlls!$K$12:$K$14)</f>
        <v>2.2816647271287041</v>
      </c>
      <c r="Q406" s="195">
        <f t="shared" si="66"/>
        <v>1.9272010082515676</v>
      </c>
      <c r="R406" s="16">
        <f>IF('WetLitterbags placem_collection'!G113="N.A","",'WetLitterbags placem_collection'!G113)</f>
        <v>42816</v>
      </c>
      <c r="S406" s="195">
        <f>IF(IFERROR(INDEX('Both teabags AfterWet'!$C$3:$C$841,MATCH(H406,'Both teabags AfterWet'!$A$3:$A$841,0)),"")="N.A","",(IFERROR(INDEX('Both teabags AfterWet'!$C$3:$C$841,MATCH(H406,'Both teabags AfterWet'!$A$3:$A$841,0)),"")))</f>
        <v>0.621</v>
      </c>
      <c r="T406" s="195">
        <f>IFERROR(INDEX('Both teabags AfterWet'!$C$3:$C$841,MATCH(I406,'Both teabags AfterWet'!$A$3:$A$841,0)),"")</f>
        <v>1.609</v>
      </c>
      <c r="U406" s="195">
        <f t="shared" si="67"/>
        <v>0.47039999999999998</v>
      </c>
      <c r="V406" s="195">
        <f t="shared" si="67"/>
        <v>1.4583999999999999</v>
      </c>
      <c r="W406" s="195">
        <f>IFERROR(INDEX('Ashed teabags wet'!$K$2:$K$821,MATCH(H406,'Ashed teabags wet'!$A$2:$A$821,0)),"")</f>
        <v>13.185185185184883</v>
      </c>
      <c r="X406" s="195">
        <f>IFERROR(INDEX('Ashed teabags wet'!$K$2:$K$821,MATCH(I406,'Ashed teabags wet'!$A$2:$A$821,0)),"")</f>
        <v>6.2961141170683206</v>
      </c>
      <c r="Y406" s="195">
        <f t="shared" si="61"/>
        <v>0.40837688888889029</v>
      </c>
      <c r="Z406" s="195">
        <f t="shared" si="61"/>
        <v>1.3665774717166754</v>
      </c>
      <c r="AA406" s="195">
        <f t="shared" si="68"/>
        <v>0.75570179211498711</v>
      </c>
      <c r="AB406" s="195">
        <f t="shared" si="69"/>
        <v>0.49542445278797259</v>
      </c>
      <c r="AC406" s="195">
        <f t="shared" si="62"/>
        <v>0.70909960396735583</v>
      </c>
      <c r="AD406">
        <f t="shared" si="63"/>
        <v>54</v>
      </c>
      <c r="AE406" s="195">
        <f t="shared" si="70"/>
        <v>0.10249193335512219</v>
      </c>
      <c r="AF406" s="195">
        <f t="shared" si="71"/>
        <v>1.6383875370603946E-2</v>
      </c>
      <c r="AG406" s="255" t="str">
        <f>IF(ISNUMBER(SEARCH("C",'WetLitterbags placem_collection'!AD333)),"YES","NO")</f>
        <v>NO</v>
      </c>
      <c r="AH406" s="255" t="str">
        <f>IF(ISNUMBER(SEARCH("H", 'WetLitterbags placem_collection'!AF113)),"YES","NO")</f>
        <v>NO</v>
      </c>
      <c r="AI406" s="255" t="str">
        <f>IF(ISNUMBER(SEARCH("R", 'WetLitterbags placem_collection'!XF113)),"YES","NO")</f>
        <v>NO</v>
      </c>
      <c r="AJ406" s="255" t="str">
        <f>IF(ISNUMBER(SEARCH("C", 'WetLitterbags placem_collection'!WE113)),"YES","NO")</f>
        <v>NO</v>
      </c>
      <c r="AK406" s="255" t="str">
        <f>IF(ISNUMBER(SEARCH("H", 'WetLitterbags placem_collection'!AE113)),"YES","NO")</f>
        <v>NO</v>
      </c>
      <c r="AL406" s="255" t="str">
        <f>IF(ISNUMBER(SEARCH("R", 'WetLitterbags placem_collection'!AE113)),"YES","NO")</f>
        <v>NO</v>
      </c>
    </row>
    <row r="407" spans="2:38">
      <c r="B407" t="str">
        <f>'Final data_for_R_analysis_Wetse'!A553</f>
        <v>Wet</v>
      </c>
      <c r="C407" s="263">
        <f>'Final data_for_R_analysis_Wetse'!B553</f>
        <v>112</v>
      </c>
      <c r="D407" t="s">
        <v>3843</v>
      </c>
      <c r="E407" t="s">
        <v>25</v>
      </c>
      <c r="F407" s="387">
        <v>8</v>
      </c>
      <c r="G407" s="16">
        <f>'WetLitterbags placem_collection'!E114</f>
        <v>42762</v>
      </c>
      <c r="H407" s="92" t="str">
        <f>'Final data_for_R_analysis_Wetse'!J553</f>
        <v>G852</v>
      </c>
      <c r="I407" t="str">
        <f>'Final data_for_R_analysis_Wetse'!J773</f>
        <v>R530</v>
      </c>
      <c r="J407">
        <f>IFERROR(INDEX('Green_rooibos initial weight'!$C$5:$C$1749,MATCH(H407, 'Green_rooibos initial weight'!$A$5:$A$1749,0)),"")</f>
        <v>2.0630000000000002</v>
      </c>
      <c r="K407">
        <f>IFERROR(INDEX('Green_rooibos initial weight'!$C$5:$C$1749,MATCH(I407, 'Green_rooibos initial weight'!$A$5:$A$1749,0)),"")</f>
        <v>2.1659999999999999</v>
      </c>
      <c r="L407" s="195">
        <f t="shared" si="64"/>
        <v>1.8132000000000001</v>
      </c>
      <c r="M407" s="195">
        <f>AVERAGE(Ashed_controlls!$K$2:$K$11)</f>
        <v>5.5147656768714146</v>
      </c>
      <c r="N407" s="195">
        <f t="shared" si="60"/>
        <v>1.7132062687469676</v>
      </c>
      <c r="O407" s="195">
        <f t="shared" si="65"/>
        <v>1.9161999999999999</v>
      </c>
      <c r="P407" s="195">
        <f>AVERAGE(Ashed_controlls!$K$12:$K$14)</f>
        <v>2.2816647271287041</v>
      </c>
      <c r="Q407" s="195">
        <f t="shared" si="66"/>
        <v>1.8724787404987597</v>
      </c>
      <c r="R407" s="16">
        <f>IF('WetLitterbags placem_collection'!G114="N.A","",'WetLitterbags placem_collection'!G114)</f>
        <v>42816</v>
      </c>
      <c r="S407" s="195">
        <f>IF(IFERROR(INDEX('Both teabags AfterWet'!$C$3:$C$841,MATCH(H407,'Both teabags AfterWet'!$A$3:$A$841,0)),"")="N.A","",(IFERROR(INDEX('Both teabags AfterWet'!$C$3:$C$841,MATCH(H407,'Both teabags AfterWet'!$A$3:$A$841,0)),"")))</f>
        <v>0.69799999999999995</v>
      </c>
      <c r="T407" s="195">
        <f>IFERROR(INDEX('Both teabags AfterWet'!$C$3:$C$841,MATCH(I407,'Both teabags AfterWet'!$A$3:$A$841,0)),"")</f>
        <v>1.627</v>
      </c>
      <c r="U407" s="195">
        <f t="shared" si="67"/>
        <v>0.54739999999999989</v>
      </c>
      <c r="V407" s="195">
        <f t="shared" si="67"/>
        <v>1.4763999999999999</v>
      </c>
      <c r="W407" s="195">
        <f>IFERROR(INDEX('Ashed teabags wet'!$K$2:$K$821,MATCH(H407,'Ashed teabags wet'!$A$2:$A$821,0)),"")</f>
        <v>13.745704467352656</v>
      </c>
      <c r="X407" s="195">
        <f>IFERROR(INDEX('Ashed teabags wet'!$K$2:$K$821,MATCH(I407,'Ashed teabags wet'!$A$2:$A$821,0)),"")</f>
        <v>4.6511627906973203</v>
      </c>
      <c r="Y407" s="195">
        <f t="shared" si="61"/>
        <v>0.47215601374571148</v>
      </c>
      <c r="Z407" s="195">
        <f t="shared" si="61"/>
        <v>1.4077302325581447</v>
      </c>
      <c r="AA407" s="195">
        <f t="shared" si="68"/>
        <v>0.72440212112284375</v>
      </c>
      <c r="AB407" s="195">
        <f t="shared" si="69"/>
        <v>0.4749049535152135</v>
      </c>
      <c r="AC407" s="195">
        <f t="shared" si="62"/>
        <v>0.75180038208774369</v>
      </c>
      <c r="AD407">
        <f t="shared" si="63"/>
        <v>54</v>
      </c>
      <c r="AE407" s="195">
        <f t="shared" si="70"/>
        <v>0.13966493928403356</v>
      </c>
      <c r="AF407" s="195">
        <f t="shared" si="71"/>
        <v>1.3693770239806072E-2</v>
      </c>
      <c r="AG407" s="255" t="str">
        <f>IF(ISNUMBER(SEARCH("C",'WetLitterbags placem_collection'!AD334)),"YES","NO")</f>
        <v>NO</v>
      </c>
      <c r="AH407" s="255" t="str">
        <f>IF(ISNUMBER(SEARCH("H", 'WetLitterbags placem_collection'!AF114)),"YES","NO")</f>
        <v>NO</v>
      </c>
      <c r="AI407" s="255" t="str">
        <f>IF(ISNUMBER(SEARCH("R", 'WetLitterbags placem_collection'!XF114)),"YES","NO")</f>
        <v>NO</v>
      </c>
      <c r="AJ407" s="255" t="str">
        <f>IF(ISNUMBER(SEARCH("C", 'WetLitterbags placem_collection'!WE114)),"YES","NO")</f>
        <v>NO</v>
      </c>
      <c r="AK407" s="255" t="str">
        <f>IF(ISNUMBER(SEARCH("H", 'WetLitterbags placem_collection'!AE114)),"YES","NO")</f>
        <v>NO</v>
      </c>
      <c r="AL407" s="255" t="str">
        <f>IF(ISNUMBER(SEARCH("R", 'WetLitterbags placem_collection'!AE114)),"YES","NO")</f>
        <v>NO</v>
      </c>
    </row>
    <row r="408" spans="2:38">
      <c r="B408" t="str">
        <f>'Final data_for_R_analysis_Wetse'!A554</f>
        <v>Wet</v>
      </c>
      <c r="C408" s="263">
        <f>'Final data_for_R_analysis_Wetse'!B554</f>
        <v>113</v>
      </c>
      <c r="D408" t="s">
        <v>3844</v>
      </c>
      <c r="E408" t="s">
        <v>25</v>
      </c>
      <c r="F408" s="386">
        <v>1</v>
      </c>
      <c r="G408" s="16">
        <f>'WetLitterbags placem_collection'!E115</f>
        <v>42762</v>
      </c>
      <c r="H408" s="92" t="str">
        <f>'Final data_for_R_analysis_Wetse'!J554</f>
        <v>G769</v>
      </c>
      <c r="I408" t="str">
        <f>'Final data_for_R_analysis_Wetse'!J774</f>
        <v>R578</v>
      </c>
      <c r="J408">
        <f>IFERROR(INDEX('Green_rooibos initial weight'!$C$5:$C$1749,MATCH(H408, 'Green_rooibos initial weight'!$A$5:$A$1749,0)),"")</f>
        <v>2.0550000000000002</v>
      </c>
      <c r="K408">
        <f>IFERROR(INDEX('Green_rooibos initial weight'!$C$5:$C$1749,MATCH(I408, 'Green_rooibos initial weight'!$A$5:$A$1749,0)),"")</f>
        <v>2.1259999999999999</v>
      </c>
      <c r="L408" s="195">
        <f t="shared" si="64"/>
        <v>1.8052000000000001</v>
      </c>
      <c r="M408" s="195">
        <f>AVERAGE(Ashed_controlls!$K$2:$K$11)</f>
        <v>5.5147656768714146</v>
      </c>
      <c r="N408" s="195">
        <f t="shared" si="60"/>
        <v>1.7056474500011174</v>
      </c>
      <c r="O408" s="195">
        <f t="shared" si="65"/>
        <v>1.8761999999999999</v>
      </c>
      <c r="P408" s="195">
        <f>AVERAGE(Ashed_controlls!$K$12:$K$14)</f>
        <v>2.2816647271287041</v>
      </c>
      <c r="Q408" s="195">
        <f t="shared" si="66"/>
        <v>1.8333914063896111</v>
      </c>
      <c r="R408" s="16">
        <f>IF('WetLitterbags placem_collection'!G115="N.A","",'WetLitterbags placem_collection'!G115)</f>
        <v>42816</v>
      </c>
      <c r="S408" s="195">
        <f>IF(IFERROR(INDEX('Both teabags AfterWet'!$C$3:$C$841,MATCH(H408,'Both teabags AfterWet'!$A$3:$A$841,0)),"")="N.A","",(IFERROR(INDEX('Both teabags AfterWet'!$C$3:$C$841,MATCH(H408,'Both teabags AfterWet'!$A$3:$A$841,0)),"")))</f>
        <v>0.70799999999999996</v>
      </c>
      <c r="T408" s="195">
        <f>IFERROR(INDEX('Both teabags AfterWet'!$C$3:$C$841,MATCH(I408,'Both teabags AfterWet'!$A$3:$A$841,0)),"")</f>
        <v>1.421</v>
      </c>
      <c r="U408" s="195">
        <f t="shared" si="67"/>
        <v>0.5573999999999999</v>
      </c>
      <c r="V408" s="195">
        <f t="shared" si="67"/>
        <v>1.2704</v>
      </c>
      <c r="W408" s="195">
        <f>IFERROR(INDEX('Ashed teabags wet'!$K$2:$K$821,MATCH(H408,'Ashed teabags wet'!$A$2:$A$821,0)),"")</f>
        <v>20.028887818970457</v>
      </c>
      <c r="X408" s="195">
        <f>IFERROR(INDEX('Ashed teabags wet'!$K$2:$K$821,MATCH(I408,'Ashed teabags wet'!$A$2:$A$821,0)),"")</f>
        <v>12.371134020618721</v>
      </c>
      <c r="Y408" s="195">
        <f t="shared" si="61"/>
        <v>0.4457589792970586</v>
      </c>
      <c r="Z408" s="195">
        <f t="shared" si="61"/>
        <v>1.1132371134020598</v>
      </c>
      <c r="AA408" s="195">
        <f t="shared" si="68"/>
        <v>0.73865702475809614</v>
      </c>
      <c r="AB408" s="195">
        <f t="shared" si="69"/>
        <v>0.48425021100530774</v>
      </c>
      <c r="AC408" s="195">
        <f t="shared" si="62"/>
        <v>0.60720100984562353</v>
      </c>
      <c r="AD408">
        <f t="shared" si="63"/>
        <v>54</v>
      </c>
      <c r="AE408" s="195">
        <f t="shared" si="70"/>
        <v>0.12273512499038464</v>
      </c>
      <c r="AF408" s="195">
        <f t="shared" si="71"/>
        <v>3.0866592839766355E-2</v>
      </c>
      <c r="AG408" s="255" t="str">
        <f>IF(ISNUMBER(SEARCH("C",'WetLitterbags placem_collection'!AD335)),"YES","NO")</f>
        <v>NO</v>
      </c>
      <c r="AH408" s="255" t="str">
        <f>IF(ISNUMBER(SEARCH("H", 'WetLitterbags placem_collection'!AF115)),"YES","NO")</f>
        <v>NO</v>
      </c>
      <c r="AI408" s="255" t="str">
        <f>IF(ISNUMBER(SEARCH("R", 'WetLitterbags placem_collection'!XF115)),"YES","NO")</f>
        <v>NO</v>
      </c>
      <c r="AJ408" s="255" t="str">
        <f>IF(ISNUMBER(SEARCH("C", 'WetLitterbags placem_collection'!WE115)),"YES","NO")</f>
        <v>NO</v>
      </c>
      <c r="AK408" s="255" t="str">
        <f>IF(ISNUMBER(SEARCH("H", 'WetLitterbags placem_collection'!AE115)),"YES","NO")</f>
        <v>NO</v>
      </c>
      <c r="AL408" s="255" t="str">
        <f>IF(ISNUMBER(SEARCH("R", 'WetLitterbags placem_collection'!AE115)),"YES","NO")</f>
        <v>NO</v>
      </c>
    </row>
    <row r="409" spans="2:38">
      <c r="B409" t="str">
        <f>'Final data_for_R_analysis_Wetse'!A555</f>
        <v>Wet</v>
      </c>
      <c r="C409" s="263">
        <f>'Final data_for_R_analysis_Wetse'!B555</f>
        <v>114</v>
      </c>
      <c r="D409" t="s">
        <v>3844</v>
      </c>
      <c r="E409" t="s">
        <v>25</v>
      </c>
      <c r="F409" s="386">
        <v>2</v>
      </c>
      <c r="G409" s="16">
        <f>'WetLitterbags placem_collection'!E116</f>
        <v>42762</v>
      </c>
      <c r="H409" s="92" t="str">
        <f>'Final data_for_R_analysis_Wetse'!J555</f>
        <v>G889</v>
      </c>
      <c r="I409" t="str">
        <f>'Final data_for_R_analysis_Wetse'!J775</f>
        <v>R37</v>
      </c>
      <c r="J409">
        <f>IFERROR(INDEX('Green_rooibos initial weight'!$C$5:$C$1749,MATCH(H409, 'Green_rooibos initial weight'!$A$5:$A$1749,0)),"")</f>
        <v>1.9830000000000001</v>
      </c>
      <c r="K409">
        <f>IFERROR(INDEX('Green_rooibos initial weight'!$C$5:$C$1749,MATCH(I409, 'Green_rooibos initial weight'!$A$5:$A$1749,0)),"")</f>
        <v>2.0979999999999999</v>
      </c>
      <c r="L409" s="195">
        <f t="shared" si="64"/>
        <v>1.7332000000000001</v>
      </c>
      <c r="M409" s="195">
        <f>AVERAGE(Ashed_controlls!$K$2:$K$11)</f>
        <v>5.5147656768714146</v>
      </c>
      <c r="N409" s="195">
        <f t="shared" si="60"/>
        <v>1.6376180812884646</v>
      </c>
      <c r="O409" s="195">
        <f t="shared" si="65"/>
        <v>1.8481999999999998</v>
      </c>
      <c r="P409" s="195">
        <f>AVERAGE(Ashed_controlls!$K$12:$K$14)</f>
        <v>2.2816647271287041</v>
      </c>
      <c r="Q409" s="195">
        <f t="shared" si="66"/>
        <v>1.8060302725132071</v>
      </c>
      <c r="R409" s="16">
        <f>IF('WetLitterbags placem_collection'!G116="N.A","",'WetLitterbags placem_collection'!G116)</f>
        <v>42816</v>
      </c>
      <c r="S409" s="195">
        <f>IF(IFERROR(INDEX('Both teabags AfterWet'!$C$3:$C$841,MATCH(H409,'Both teabags AfterWet'!$A$3:$A$841,0)),"")="N.A","",(IFERROR(INDEX('Both teabags AfterWet'!$C$3:$C$841,MATCH(H409,'Both teabags AfterWet'!$A$3:$A$841,0)),"")))</f>
        <v>0.65700000000000003</v>
      </c>
      <c r="T409" s="195">
        <f>IFERROR(INDEX('Both teabags AfterWet'!$C$3:$C$841,MATCH(I409,'Both teabags AfterWet'!$A$3:$A$841,0)),"")</f>
        <v>1.504</v>
      </c>
      <c r="U409" s="195">
        <f t="shared" si="67"/>
        <v>0.50639999999999996</v>
      </c>
      <c r="V409" s="195">
        <f t="shared" si="67"/>
        <v>1.3533999999999999</v>
      </c>
      <c r="W409" s="195">
        <f>IFERROR(INDEX('Ashed teabags wet'!$K$2:$K$821,MATCH(H409,'Ashed teabags wet'!$A$2:$A$821,0)),"")</f>
        <v>20.433734939759127</v>
      </c>
      <c r="X409" s="195">
        <f>IFERROR(INDEX('Ashed teabags wet'!$K$2:$K$821,MATCH(I409,'Ashed teabags wet'!$A$2:$A$821,0)),"")</f>
        <v>11.717576364547087</v>
      </c>
      <c r="Y409" s="195">
        <f t="shared" si="61"/>
        <v>0.40292356626505976</v>
      </c>
      <c r="Z409" s="195">
        <f t="shared" si="61"/>
        <v>1.1948143214822196</v>
      </c>
      <c r="AA409" s="195">
        <f t="shared" si="68"/>
        <v>0.75395754915697877</v>
      </c>
      <c r="AB409" s="195">
        <f t="shared" si="69"/>
        <v>0.49428095859222371</v>
      </c>
      <c r="AC409" s="195">
        <f t="shared" si="62"/>
        <v>0.66156937658611814</v>
      </c>
      <c r="AD409">
        <f t="shared" si="63"/>
        <v>54</v>
      </c>
      <c r="AE409" s="195">
        <f t="shared" si="70"/>
        <v>0.10456348081118905</v>
      </c>
      <c r="AF409" s="195">
        <f t="shared" si="71"/>
        <v>2.1374221124942253E-2</v>
      </c>
      <c r="AG409" s="255" t="str">
        <f>IF(ISNUMBER(SEARCH("C",'WetLitterbags placem_collection'!AD336)),"YES","NO")</f>
        <v>NO</v>
      </c>
      <c r="AH409" s="255" t="str">
        <f>IF(ISNUMBER(SEARCH("H", 'WetLitterbags placem_collection'!AF116)),"YES","NO")</f>
        <v>NO</v>
      </c>
      <c r="AI409" s="255" t="str">
        <f>IF(ISNUMBER(SEARCH("R", 'WetLitterbags placem_collection'!XF116)),"YES","NO")</f>
        <v>NO</v>
      </c>
      <c r="AJ409" s="255" t="str">
        <f>IF(ISNUMBER(SEARCH("C", 'WetLitterbags placem_collection'!WE116)),"YES","NO")</f>
        <v>NO</v>
      </c>
      <c r="AK409" s="255" t="str">
        <f>IF(ISNUMBER(SEARCH("H", 'WetLitterbags placem_collection'!AE116)),"YES","NO")</f>
        <v>NO</v>
      </c>
      <c r="AL409" s="255" t="str">
        <f>IF(ISNUMBER(SEARCH("R", 'WetLitterbags placem_collection'!AE116)),"YES","NO")</f>
        <v>NO</v>
      </c>
    </row>
    <row r="410" spans="2:38">
      <c r="B410" t="str">
        <f>'Final data_for_R_analysis_Wetse'!A556</f>
        <v>Wet</v>
      </c>
      <c r="C410" s="263">
        <f>'Final data_for_R_analysis_Wetse'!B556</f>
        <v>115</v>
      </c>
      <c r="D410" t="s">
        <v>3844</v>
      </c>
      <c r="E410" t="s">
        <v>25</v>
      </c>
      <c r="F410" s="386">
        <v>3</v>
      </c>
      <c r="G410" s="16">
        <f>'WetLitterbags placem_collection'!E117</f>
        <v>42762</v>
      </c>
      <c r="H410" s="92" t="str">
        <f>'Final data_for_R_analysis_Wetse'!J556</f>
        <v>G778</v>
      </c>
      <c r="I410" t="str">
        <f>'Final data_for_R_analysis_Wetse'!J776</f>
        <v>R522</v>
      </c>
      <c r="J410">
        <f>IFERROR(INDEX('Green_rooibos initial weight'!$C$5:$C$1749,MATCH(H410, 'Green_rooibos initial weight'!$A$5:$A$1749,0)),"")</f>
        <v>1.992</v>
      </c>
      <c r="K410">
        <f>IFERROR(INDEX('Green_rooibos initial weight'!$C$5:$C$1749,MATCH(I410, 'Green_rooibos initial weight'!$A$5:$A$1749,0)),"")</f>
        <v>2.1819999999999999</v>
      </c>
      <c r="L410" s="195">
        <f t="shared" si="64"/>
        <v>1.7422</v>
      </c>
      <c r="M410" s="195">
        <f>AVERAGE(Ashed_controlls!$K$2:$K$11)</f>
        <v>5.5147656768714146</v>
      </c>
      <c r="N410" s="195">
        <f t="shared" si="60"/>
        <v>1.6461217523775462</v>
      </c>
      <c r="O410" s="195">
        <f t="shared" si="65"/>
        <v>1.9321999999999999</v>
      </c>
      <c r="P410" s="195">
        <f>AVERAGE(Ashed_controlls!$K$12:$K$14)</f>
        <v>2.2816647271287041</v>
      </c>
      <c r="Q410" s="195">
        <f t="shared" si="66"/>
        <v>1.8881136741424192</v>
      </c>
      <c r="R410" s="16">
        <f>IF('WetLitterbags placem_collection'!G117="N.A","",'WetLitterbags placem_collection'!G117)</f>
        <v>42816</v>
      </c>
      <c r="S410" s="195">
        <f>IF(IFERROR(INDEX('Both teabags AfterWet'!$C$3:$C$841,MATCH(H410,'Both teabags AfterWet'!$A$3:$A$841,0)),"")="N.A","",(IFERROR(INDEX('Both teabags AfterWet'!$C$3:$C$841,MATCH(H410,'Both teabags AfterWet'!$A$3:$A$841,0)),"")))</f>
        <v>0.73709999999999998</v>
      </c>
      <c r="T410" s="195">
        <f>IFERROR(INDEX('Both teabags AfterWet'!$C$3:$C$841,MATCH(I410,'Both teabags AfterWet'!$A$3:$A$841,0)),"")</f>
        <v>1.401</v>
      </c>
      <c r="U410" s="195">
        <f t="shared" si="67"/>
        <v>0.58650000000000002</v>
      </c>
      <c r="V410" s="195">
        <f t="shared" si="67"/>
        <v>1.2504</v>
      </c>
      <c r="W410" s="195">
        <f>IFERROR(INDEX('Ashed teabags wet'!$K$2:$K$821,MATCH(H410,'Ashed teabags wet'!$A$2:$A$821,0)),"")</f>
        <v>26.575476306790591</v>
      </c>
      <c r="X410" s="195">
        <f>IFERROR(INDEX('Ashed teabags wet'!$K$2:$K$821,MATCH(I410,'Ashed teabags wet'!$A$2:$A$821,0)),"")</f>
        <v>3.9292730844799202</v>
      </c>
      <c r="Y410" s="195">
        <f t="shared" si="61"/>
        <v>0.43063483146067316</v>
      </c>
      <c r="Z410" s="195">
        <f t="shared" si="61"/>
        <v>1.201268369351663</v>
      </c>
      <c r="AA410" s="195">
        <f t="shared" si="68"/>
        <v>0.73839430112706217</v>
      </c>
      <c r="AB410" s="195">
        <f t="shared" si="69"/>
        <v>0.48407797413555631</v>
      </c>
      <c r="AC410" s="195">
        <f t="shared" si="62"/>
        <v>0.6362267197165864</v>
      </c>
      <c r="AD410">
        <f t="shared" si="63"/>
        <v>54</v>
      </c>
      <c r="AE410" s="195">
        <f t="shared" si="70"/>
        <v>0.12304714830515173</v>
      </c>
      <c r="AF410" s="195">
        <f t="shared" si="71"/>
        <v>2.5781821429952771E-2</v>
      </c>
      <c r="AG410" s="255" t="str">
        <f>IF(ISNUMBER(SEARCH("C",'WetLitterbags placem_collection'!AD337)),"YES","NO")</f>
        <v>NO</v>
      </c>
      <c r="AH410" s="255" t="str">
        <f>IF(ISNUMBER(SEARCH("H", 'WetLitterbags placem_collection'!AF117)),"YES","NO")</f>
        <v>NO</v>
      </c>
      <c r="AI410" s="255" t="str">
        <f>IF(ISNUMBER(SEARCH("R", 'WetLitterbags placem_collection'!XF117)),"YES","NO")</f>
        <v>NO</v>
      </c>
      <c r="AJ410" s="255" t="str">
        <f>IF(ISNUMBER(SEARCH("C", 'WetLitterbags placem_collection'!WE117)),"YES","NO")</f>
        <v>NO</v>
      </c>
      <c r="AK410" s="255" t="str">
        <f>IF(ISNUMBER(SEARCH("H", 'WetLitterbags placem_collection'!AE117)),"YES","NO")</f>
        <v>NO</v>
      </c>
      <c r="AL410" s="255" t="str">
        <f>IF(ISNUMBER(SEARCH("R", 'WetLitterbags placem_collection'!AE117)),"YES","NO")</f>
        <v>NO</v>
      </c>
    </row>
    <row r="411" spans="2:38">
      <c r="B411" t="str">
        <f>'Final data_for_R_analysis_Wetse'!A557</f>
        <v>Wet</v>
      </c>
      <c r="C411" s="263">
        <f>'Final data_for_R_analysis_Wetse'!B557</f>
        <v>116</v>
      </c>
      <c r="D411" t="s">
        <v>3844</v>
      </c>
      <c r="E411" t="s">
        <v>25</v>
      </c>
      <c r="F411" s="387">
        <v>4</v>
      </c>
      <c r="G411" s="16">
        <f>'WetLitterbags placem_collection'!E118</f>
        <v>42762</v>
      </c>
      <c r="H411" s="92" t="str">
        <f>'Final data_for_R_analysis_Wetse'!J557</f>
        <v>G563</v>
      </c>
      <c r="I411" t="str">
        <f>'Final data_for_R_analysis_Wetse'!J777</f>
        <v>R480</v>
      </c>
      <c r="J411">
        <f>IFERROR(INDEX('Green_rooibos initial weight'!$C$5:$C$1749,MATCH(H411, 'Green_rooibos initial weight'!$A$5:$A$1749,0)),"")</f>
        <v>1.9390000000000001</v>
      </c>
      <c r="K411">
        <f>IFERROR(INDEX('Green_rooibos initial weight'!$C$5:$C$1749,MATCH(I411, 'Green_rooibos initial weight'!$A$5:$A$1749,0)),"")</f>
        <v>2.17</v>
      </c>
      <c r="L411" s="195">
        <f t="shared" si="64"/>
        <v>1.6892</v>
      </c>
      <c r="M411" s="195">
        <f>AVERAGE(Ashed_controlls!$K$2:$K$11)</f>
        <v>5.5147656768714146</v>
      </c>
      <c r="N411" s="195">
        <f t="shared" si="60"/>
        <v>1.5960445781862882</v>
      </c>
      <c r="O411" s="195">
        <f t="shared" si="65"/>
        <v>1.9201999999999999</v>
      </c>
      <c r="P411" s="195">
        <f>AVERAGE(Ashed_controlls!$K$12:$K$14)</f>
        <v>2.2816647271287041</v>
      </c>
      <c r="Q411" s="195">
        <f t="shared" si="66"/>
        <v>1.8763874739096746</v>
      </c>
      <c r="R411" s="16">
        <f>IF('WetLitterbags placem_collection'!G118="N.A","",'WetLitterbags placem_collection'!G118)</f>
        <v>42816</v>
      </c>
      <c r="S411" s="195">
        <f>IF(IFERROR(INDEX('Both teabags AfterWet'!$C$3:$C$841,MATCH(H411,'Both teabags AfterWet'!$A$3:$A$841,0)),"")="N.A","",(IFERROR(INDEX('Both teabags AfterWet'!$C$3:$C$841,MATCH(H411,'Both teabags AfterWet'!$A$3:$A$841,0)),"")))</f>
        <v>0.61660000000000004</v>
      </c>
      <c r="T411" s="195">
        <f>IFERROR(INDEX('Both teabags AfterWet'!$C$3:$C$841,MATCH(I411,'Both teabags AfterWet'!$A$3:$A$841,0)),"")</f>
        <v>1.389</v>
      </c>
      <c r="U411" s="195">
        <f t="shared" si="67"/>
        <v>0.46600000000000003</v>
      </c>
      <c r="V411" s="195">
        <f t="shared" si="67"/>
        <v>1.2383999999999999</v>
      </c>
      <c r="W411" s="195">
        <f>IFERROR(INDEX('Ashed teabags wet'!$K$2:$K$821,MATCH(H411,'Ashed teabags wet'!$A$2:$A$821,0)),"")</f>
        <v>16.467661691542546</v>
      </c>
      <c r="X411" s="195">
        <f>IFERROR(INDEX('Ashed teabags wet'!$K$2:$K$821,MATCH(I411,'Ashed teabags wet'!$A$2:$A$821,0)),"")</f>
        <v>9.0863704443334274</v>
      </c>
      <c r="Y411" s="195">
        <f t="shared" si="61"/>
        <v>0.38926069651741174</v>
      </c>
      <c r="Z411" s="195">
        <f t="shared" si="61"/>
        <v>1.1258743884173747</v>
      </c>
      <c r="AA411" s="195">
        <f t="shared" si="68"/>
        <v>0.75610913264104473</v>
      </c>
      <c r="AB411" s="195">
        <f t="shared" si="69"/>
        <v>0.4956914978834403</v>
      </c>
      <c r="AC411" s="195">
        <f t="shared" si="62"/>
        <v>0.60002233231257007</v>
      </c>
      <c r="AD411">
        <f t="shared" si="63"/>
        <v>54</v>
      </c>
      <c r="AE411" s="195">
        <f t="shared" si="70"/>
        <v>0.10200815600826041</v>
      </c>
      <c r="AF411" s="195">
        <f t="shared" si="71"/>
        <v>3.0455387943873237E-2</v>
      </c>
      <c r="AG411" s="255" t="str">
        <f>IF(ISNUMBER(SEARCH("C",'WetLitterbags placem_collection'!AD338)),"YES","NO")</f>
        <v>NO</v>
      </c>
      <c r="AH411" s="255" t="str">
        <f>IF(ISNUMBER(SEARCH("H", 'WetLitterbags placem_collection'!AF118)),"YES","NO")</f>
        <v>NO</v>
      </c>
      <c r="AI411" s="255" t="str">
        <f>IF(ISNUMBER(SEARCH("R", 'WetLitterbags placem_collection'!XF118)),"YES","NO")</f>
        <v>NO</v>
      </c>
      <c r="AJ411" s="255" t="str">
        <f>IF(ISNUMBER(SEARCH("C", 'WetLitterbags placem_collection'!WE118)),"YES","NO")</f>
        <v>NO</v>
      </c>
      <c r="AK411" s="255" t="str">
        <f>IF(ISNUMBER(SEARCH("H", 'WetLitterbags placem_collection'!AE118)),"YES","NO")</f>
        <v>NO</v>
      </c>
      <c r="AL411" s="255" t="str">
        <f>IF(ISNUMBER(SEARCH("R", 'WetLitterbags placem_collection'!AE118)),"YES","NO")</f>
        <v>NO</v>
      </c>
    </row>
    <row r="412" spans="2:38">
      <c r="B412" t="str">
        <f>'Final data_for_R_analysis_Wetse'!A558</f>
        <v>Wet</v>
      </c>
      <c r="C412" s="263">
        <f>'Final data_for_R_analysis_Wetse'!B558</f>
        <v>117</v>
      </c>
      <c r="D412" t="s">
        <v>3844</v>
      </c>
      <c r="E412" t="s">
        <v>25</v>
      </c>
      <c r="F412" s="387">
        <v>5</v>
      </c>
      <c r="G412" s="16">
        <f>'WetLitterbags placem_collection'!E119</f>
        <v>42762</v>
      </c>
      <c r="H412" s="92" t="str">
        <f>'Final data_for_R_analysis_Wetse'!J558</f>
        <v>G901</v>
      </c>
      <c r="I412" t="str">
        <f>'Final data_for_R_analysis_Wetse'!J778</f>
        <v>R565</v>
      </c>
      <c r="J412">
        <f>IFERROR(INDEX('Green_rooibos initial weight'!$C$5:$C$1749,MATCH(H412, 'Green_rooibos initial weight'!$A$5:$A$1749,0)),"")</f>
        <v>2.0270000000000001</v>
      </c>
      <c r="K412">
        <f>IFERROR(INDEX('Green_rooibos initial weight'!$C$5:$C$1749,MATCH(I412, 'Green_rooibos initial weight'!$A$5:$A$1749,0)),"")</f>
        <v>2.0649999999999999</v>
      </c>
      <c r="L412" s="195">
        <f t="shared" si="64"/>
        <v>1.7772000000000001</v>
      </c>
      <c r="M412" s="195">
        <f>AVERAGE(Ashed_controlls!$K$2:$K$11)</f>
        <v>5.5147656768714146</v>
      </c>
      <c r="N412" s="195">
        <f t="shared" si="60"/>
        <v>1.6791915843906413</v>
      </c>
      <c r="O412" s="195">
        <f t="shared" si="65"/>
        <v>1.8151999999999999</v>
      </c>
      <c r="P412" s="195">
        <f>AVERAGE(Ashed_controlls!$K$12:$K$14)</f>
        <v>2.2816647271287041</v>
      </c>
      <c r="Q412" s="195">
        <f t="shared" si="66"/>
        <v>1.7737832218731597</v>
      </c>
      <c r="R412" s="16">
        <f>IF('WetLitterbags placem_collection'!G119="N.A","",'WetLitterbags placem_collection'!G119)</f>
        <v>42816</v>
      </c>
      <c r="S412" s="195">
        <f>IF(IFERROR(INDEX('Both teabags AfterWet'!$C$3:$C$841,MATCH(H412,'Both teabags AfterWet'!$A$3:$A$841,0)),"")="N.A","",(IFERROR(INDEX('Both teabags AfterWet'!$C$3:$C$841,MATCH(H412,'Both teabags AfterWet'!$A$3:$A$841,0)),"")))</f>
        <v>0.621</v>
      </c>
      <c r="T412" s="195">
        <f>IFERROR(INDEX('Both teabags AfterWet'!$C$3:$C$841,MATCH(I412,'Both teabags AfterWet'!$A$3:$A$841,0)),"")</f>
        <v>1.343</v>
      </c>
      <c r="U412" s="195">
        <f t="shared" si="67"/>
        <v>0.47039999999999998</v>
      </c>
      <c r="V412" s="195">
        <f t="shared" si="67"/>
        <v>1.1923999999999999</v>
      </c>
      <c r="W412" s="195">
        <f>IFERROR(INDEX('Ashed teabags wet'!$K$2:$K$821,MATCH(H412,'Ashed teabags wet'!$A$2:$A$821,0)),"")</f>
        <v>13.244047619047592</v>
      </c>
      <c r="X412" s="195" t="str">
        <f>IFERROR(INDEX('Ashed teabags wet'!$K$2:$K$821,MATCH(I412,'Ashed teabags wet'!$A$2:$A$821,0)),"")</f>
        <v/>
      </c>
      <c r="Y412" s="195">
        <f t="shared" si="61"/>
        <v>0.40810000000000013</v>
      </c>
      <c r="Z412" s="195" t="str">
        <f t="shared" si="61"/>
        <v/>
      </c>
      <c r="AA412" s="195">
        <f t="shared" si="68"/>
        <v>0.75696638561460228</v>
      </c>
      <c r="AB412" s="195">
        <f t="shared" si="69"/>
        <v>0.49625349745755404</v>
      </c>
      <c r="AC412" s="195" t="str">
        <f t="shared" si="62"/>
        <v/>
      </c>
      <c r="AD412">
        <f t="shared" si="63"/>
        <v>54</v>
      </c>
      <c r="AE412" s="195">
        <f t="shared" si="70"/>
        <v>0.10099004083776453</v>
      </c>
      <c r="AF412" s="195" t="str">
        <f t="shared" si="71"/>
        <v/>
      </c>
      <c r="AG412" s="255" t="str">
        <f>IF(ISNUMBER(SEARCH("C",'WetLitterbags placem_collection'!AD339)),"YES","NO")</f>
        <v>NO</v>
      </c>
      <c r="AH412" s="255" t="str">
        <f>IF(ISNUMBER(SEARCH("H", 'WetLitterbags placem_collection'!AF119)),"YES","NO")</f>
        <v>NO</v>
      </c>
      <c r="AI412" s="255" t="str">
        <f>IF(ISNUMBER(SEARCH("R", 'WetLitterbags placem_collection'!XF119)),"YES","NO")</f>
        <v>NO</v>
      </c>
      <c r="AJ412" s="255" t="str">
        <f>IF(ISNUMBER(SEARCH("C", 'WetLitterbags placem_collection'!WE119)),"YES","NO")</f>
        <v>NO</v>
      </c>
      <c r="AK412" s="255" t="str">
        <f>IF(ISNUMBER(SEARCH("H", 'WetLitterbags placem_collection'!AE119)),"YES","NO")</f>
        <v>NO</v>
      </c>
      <c r="AL412" s="255" t="str">
        <f>IF(ISNUMBER(SEARCH("R", 'WetLitterbags placem_collection'!AE119)),"YES","NO")</f>
        <v>NO</v>
      </c>
    </row>
    <row r="413" spans="2:38">
      <c r="B413" t="str">
        <f>'Final data_for_R_analysis_Wetse'!A559</f>
        <v>Wet</v>
      </c>
      <c r="C413" s="263">
        <f>'Final data_for_R_analysis_Wetse'!B559</f>
        <v>118</v>
      </c>
      <c r="D413" t="s">
        <v>3844</v>
      </c>
      <c r="E413" t="s">
        <v>25</v>
      </c>
      <c r="F413" s="387">
        <v>6</v>
      </c>
      <c r="G413" s="16">
        <f>'WetLitterbags placem_collection'!E120</f>
        <v>42762</v>
      </c>
      <c r="H413" s="92" t="str">
        <f>'Final data_for_R_analysis_Wetse'!J559</f>
        <v>G791</v>
      </c>
      <c r="I413" t="str">
        <f>'Final data_for_R_analysis_Wetse'!J779</f>
        <v>R544</v>
      </c>
      <c r="J413">
        <f>IFERROR(INDEX('Green_rooibos initial weight'!$C$5:$C$1749,MATCH(H413, 'Green_rooibos initial weight'!$A$5:$A$1749,0)),"")</f>
        <v>2.0680000000000001</v>
      </c>
      <c r="K413">
        <f>IFERROR(INDEX('Green_rooibos initial weight'!$C$5:$C$1749,MATCH(I413, 'Green_rooibos initial weight'!$A$5:$A$1749,0)),"")</f>
        <v>2.2109999999999999</v>
      </c>
      <c r="L413" s="195">
        <f t="shared" si="64"/>
        <v>1.8182</v>
      </c>
      <c r="M413" s="195">
        <f>AVERAGE(Ashed_controlls!$K$2:$K$11)</f>
        <v>5.5147656768714146</v>
      </c>
      <c r="N413" s="195">
        <f t="shared" si="60"/>
        <v>1.7179305304631241</v>
      </c>
      <c r="O413" s="195">
        <f t="shared" si="65"/>
        <v>1.9611999999999998</v>
      </c>
      <c r="P413" s="195">
        <f>AVERAGE(Ashed_controlls!$K$12:$K$14)</f>
        <v>2.2816647271287041</v>
      </c>
      <c r="Q413" s="195">
        <f t="shared" si="66"/>
        <v>1.9164519913715516</v>
      </c>
      <c r="R413" s="16">
        <f>IF('WetLitterbags placem_collection'!G120="N.A","",'WetLitterbags placem_collection'!G120)</f>
        <v>42816</v>
      </c>
      <c r="S413" s="195">
        <f>IF(IFERROR(INDEX('Both teabags AfterWet'!$C$3:$C$841,MATCH(H413,'Both teabags AfterWet'!$A$3:$A$841,0)),"")="N.A","",(IFERROR(INDEX('Both teabags AfterWet'!$C$3:$C$841,MATCH(H413,'Both teabags AfterWet'!$A$3:$A$841,0)),"")))</f>
        <v>0.64600000000000002</v>
      </c>
      <c r="T413" s="195">
        <f>IFERROR(INDEX('Both teabags AfterWet'!$C$3:$C$841,MATCH(I413,'Both teabags AfterWet'!$A$3:$A$841,0)),"")</f>
        <v>1.599</v>
      </c>
      <c r="U413" s="195">
        <f t="shared" si="67"/>
        <v>0.49540000000000001</v>
      </c>
      <c r="V413" s="195">
        <f t="shared" si="67"/>
        <v>1.4483999999999999</v>
      </c>
      <c r="W413" s="195">
        <f>IFERROR(INDEX('Ashed teabags wet'!$K$2:$K$821,MATCH(H413,'Ashed teabags wet'!$A$2:$A$821,0)),"")</f>
        <v>12.418952618454213</v>
      </c>
      <c r="X413" s="195">
        <f>IFERROR(INDEX('Ashed teabags wet'!$K$2:$K$821,MATCH(I413,'Ashed teabags wet'!$A$2:$A$821,0)),"")</f>
        <v>4.604604604605111</v>
      </c>
      <c r="Y413" s="195">
        <f t="shared" si="61"/>
        <v>0.43387650872817785</v>
      </c>
      <c r="Z413" s="195">
        <f t="shared" si="61"/>
        <v>1.3817069069068995</v>
      </c>
      <c r="AA413" s="195">
        <f t="shared" si="68"/>
        <v>0.74744234354388461</v>
      </c>
      <c r="AB413" s="195">
        <f t="shared" si="69"/>
        <v>0.49000970740644223</v>
      </c>
      <c r="AC413" s="195">
        <f t="shared" si="62"/>
        <v>0.72097131215796861</v>
      </c>
      <c r="AD413">
        <f t="shared" si="63"/>
        <v>54</v>
      </c>
      <c r="AE413" s="195">
        <f t="shared" si="70"/>
        <v>0.1123012546984743</v>
      </c>
      <c r="AF413" s="195">
        <f t="shared" si="71"/>
        <v>1.560475976265052E-2</v>
      </c>
      <c r="AG413" s="255" t="str">
        <f>IF(ISNUMBER(SEARCH("C",'WetLitterbags placem_collection'!AD340)),"YES","NO")</f>
        <v>NO</v>
      </c>
      <c r="AH413" s="255" t="str">
        <f>IF(ISNUMBER(SEARCH("H", 'WetLitterbags placem_collection'!AF120)),"YES","NO")</f>
        <v>NO</v>
      </c>
      <c r="AI413" s="255" t="str">
        <f>IF(ISNUMBER(SEARCH("R", 'WetLitterbags placem_collection'!XF120)),"YES","NO")</f>
        <v>NO</v>
      </c>
      <c r="AJ413" s="255" t="str">
        <f>IF(ISNUMBER(SEARCH("C", 'WetLitterbags placem_collection'!WE120)),"YES","NO")</f>
        <v>NO</v>
      </c>
      <c r="AK413" s="255" t="str">
        <f>IF(ISNUMBER(SEARCH("H", 'WetLitterbags placem_collection'!AE120)),"YES","NO")</f>
        <v>NO</v>
      </c>
      <c r="AL413" s="255" t="str">
        <f>IF(ISNUMBER(SEARCH("R", 'WetLitterbags placem_collection'!AE120)),"YES","NO")</f>
        <v>NO</v>
      </c>
    </row>
    <row r="414" spans="2:38">
      <c r="B414" t="str">
        <f>'Final data_for_R_analysis_Wetse'!A560</f>
        <v>Wet</v>
      </c>
      <c r="C414" s="263">
        <f>'Final data_for_R_analysis_Wetse'!B560</f>
        <v>119</v>
      </c>
      <c r="D414" t="s">
        <v>3844</v>
      </c>
      <c r="E414" t="s">
        <v>25</v>
      </c>
      <c r="F414" s="387">
        <v>7</v>
      </c>
      <c r="G414" s="16">
        <f>'WetLitterbags placem_collection'!E121</f>
        <v>42762</v>
      </c>
      <c r="H414" s="92" t="str">
        <f>'Final data_for_R_analysis_Wetse'!J560</f>
        <v>G802</v>
      </c>
      <c r="I414" t="str">
        <f>'Final data_for_R_analysis_Wetse'!J780</f>
        <v>R526</v>
      </c>
      <c r="J414">
        <f>IFERROR(INDEX('Green_rooibos initial weight'!$C$5:$C$1749,MATCH(H414, 'Green_rooibos initial weight'!$A$5:$A$1749,0)),"")</f>
        <v>2.194</v>
      </c>
      <c r="K414">
        <f>IFERROR(INDEX('Green_rooibos initial weight'!$C$5:$C$1749,MATCH(I414, 'Green_rooibos initial weight'!$A$5:$A$1749,0)),"")</f>
        <v>2.0960000000000001</v>
      </c>
      <c r="L414" s="195">
        <f t="shared" si="64"/>
        <v>1.9441999999999999</v>
      </c>
      <c r="M414" s="195">
        <f>AVERAGE(Ashed_controlls!$K$2:$K$11)</f>
        <v>5.5147656768714146</v>
      </c>
      <c r="N414" s="195">
        <f t="shared" si="60"/>
        <v>1.836981925710266</v>
      </c>
      <c r="O414" s="195">
        <f t="shared" si="65"/>
        <v>1.8462000000000001</v>
      </c>
      <c r="P414" s="195">
        <f>AVERAGE(Ashed_controlls!$K$12:$K$14)</f>
        <v>2.2816647271287041</v>
      </c>
      <c r="Q414" s="195">
        <f t="shared" si="66"/>
        <v>1.80407590580775</v>
      </c>
      <c r="R414" s="16">
        <f>IF('WetLitterbags placem_collection'!G121="N.A","",'WetLitterbags placem_collection'!G121)</f>
        <v>42816</v>
      </c>
      <c r="S414" s="195">
        <f>IF(IFERROR(INDEX('Both teabags AfterWet'!$C$3:$C$841,MATCH(H414,'Both teabags AfterWet'!$A$3:$A$841,0)),"")="N.A","",(IFERROR(INDEX('Both teabags AfterWet'!$C$3:$C$841,MATCH(H414,'Both teabags AfterWet'!$A$3:$A$841,0)),"")))</f>
        <v>0.65200000000000002</v>
      </c>
      <c r="T414" s="195">
        <f>IFERROR(INDEX('Both teabags AfterWet'!$C$3:$C$841,MATCH(I414,'Both teabags AfterWet'!$A$3:$A$841,0)),"")</f>
        <v>1.3</v>
      </c>
      <c r="U414" s="195">
        <f t="shared" si="67"/>
        <v>0.50140000000000007</v>
      </c>
      <c r="V414" s="195">
        <f t="shared" si="67"/>
        <v>1.1494</v>
      </c>
      <c r="W414" s="195">
        <f>IFERROR(INDEX('Ashed teabags wet'!$K$2:$K$821,MATCH(H414,'Ashed teabags wet'!$A$2:$A$821,0)),"")</f>
        <v>10.497512437810975</v>
      </c>
      <c r="X414" s="195">
        <f>IFERROR(INDEX('Ashed teabags wet'!$K$2:$K$821,MATCH(I414,'Ashed teabags wet'!$A$2:$A$821,0)),"")</f>
        <v>6.4671814671816925</v>
      </c>
      <c r="Y414" s="195">
        <f t="shared" si="61"/>
        <v>0.44876547263681582</v>
      </c>
      <c r="Z414" s="195">
        <f t="shared" si="61"/>
        <v>1.0750662162162137</v>
      </c>
      <c r="AA414" s="195">
        <f t="shared" si="68"/>
        <v>0.7557050146460742</v>
      </c>
      <c r="AB414" s="195">
        <f t="shared" si="69"/>
        <v>0.49542656542117935</v>
      </c>
      <c r="AC414" s="195">
        <f t="shared" si="62"/>
        <v>0.59590963592791157</v>
      </c>
      <c r="AD414">
        <f t="shared" si="63"/>
        <v>54</v>
      </c>
      <c r="AE414" s="195">
        <f t="shared" si="70"/>
        <v>0.10248810612105197</v>
      </c>
      <c r="AF414" s="195">
        <f t="shared" si="71"/>
        <v>3.1312442980427249E-2</v>
      </c>
      <c r="AG414" s="255" t="str">
        <f>IF(ISNUMBER(SEARCH("C",'WetLitterbags placem_collection'!AD341)),"YES","NO")</f>
        <v>NO</v>
      </c>
      <c r="AH414" s="255" t="str">
        <f>IF(ISNUMBER(SEARCH("H", 'WetLitterbags placem_collection'!AF121)),"YES","NO")</f>
        <v>NO</v>
      </c>
      <c r="AI414" s="255" t="str">
        <f>IF(ISNUMBER(SEARCH("R", 'WetLitterbags placem_collection'!XF121)),"YES","NO")</f>
        <v>NO</v>
      </c>
      <c r="AJ414" s="255" t="str">
        <f>IF(ISNUMBER(SEARCH("C", 'WetLitterbags placem_collection'!WE121)),"YES","NO")</f>
        <v>NO</v>
      </c>
      <c r="AK414" s="255" t="str">
        <f>IF(ISNUMBER(SEARCH("H", 'WetLitterbags placem_collection'!AE121)),"YES","NO")</f>
        <v>NO</v>
      </c>
      <c r="AL414" s="255" t="str">
        <f>IF(ISNUMBER(SEARCH("R", 'WetLitterbags placem_collection'!AE121)),"YES","NO")</f>
        <v>NO</v>
      </c>
    </row>
    <row r="415" spans="2:38">
      <c r="B415" t="str">
        <f>'Final data_for_R_analysis_Wetse'!A561</f>
        <v>Wet</v>
      </c>
      <c r="C415" s="263">
        <f>'Final data_for_R_analysis_Wetse'!B561</f>
        <v>120</v>
      </c>
      <c r="D415" t="s">
        <v>3844</v>
      </c>
      <c r="E415" t="s">
        <v>25</v>
      </c>
      <c r="F415" s="387">
        <v>8</v>
      </c>
      <c r="G415" s="16">
        <f>'WetLitterbags placem_collection'!E122</f>
        <v>42762</v>
      </c>
      <c r="H415" s="92" t="str">
        <f>'Final data_for_R_analysis_Wetse'!J561</f>
        <v>G698</v>
      </c>
      <c r="I415" t="str">
        <f>'Final data_for_R_analysis_Wetse'!J781</f>
        <v>R594</v>
      </c>
      <c r="J415">
        <f>IFERROR(INDEX('Green_rooibos initial weight'!$C$5:$C$1749,MATCH(H415, 'Green_rooibos initial weight'!$A$5:$A$1749,0)),"")</f>
        <v>2.085</v>
      </c>
      <c r="K415">
        <f>IFERROR(INDEX('Green_rooibos initial weight'!$C$5:$C$1749,MATCH(I415, 'Green_rooibos initial weight'!$A$5:$A$1749,0)),"")</f>
        <v>2.2400000000000002</v>
      </c>
      <c r="L415" s="195">
        <f t="shared" si="64"/>
        <v>1.8351999999999999</v>
      </c>
      <c r="M415" s="195">
        <f>AVERAGE(Ashed_controlls!$K$2:$K$11)</f>
        <v>5.5147656768714146</v>
      </c>
      <c r="N415" s="195">
        <f t="shared" si="60"/>
        <v>1.7339930202980558</v>
      </c>
      <c r="O415" s="195">
        <f t="shared" si="65"/>
        <v>1.9902000000000002</v>
      </c>
      <c r="P415" s="195">
        <f>AVERAGE(Ashed_controlls!$K$12:$K$14)</f>
        <v>2.2816647271287041</v>
      </c>
      <c r="Q415" s="195">
        <f t="shared" si="66"/>
        <v>1.9447903086006848</v>
      </c>
      <c r="R415" s="16">
        <f>IF('WetLitterbags placem_collection'!G122="N.A","",'WetLitterbags placem_collection'!G122)</f>
        <v>42816</v>
      </c>
      <c r="S415" s="195">
        <f>IF(IFERROR(INDEX('Both teabags AfterWet'!$C$3:$C$841,MATCH(H415,'Both teabags AfterWet'!$A$3:$A$841,0)),"")="N.A","",(IFERROR(INDEX('Both teabags AfterWet'!$C$3:$C$841,MATCH(H415,'Both teabags AfterWet'!$A$3:$A$841,0)),"")))</f>
        <v>0.55310000000000004</v>
      </c>
      <c r="T415" s="195">
        <f>IFERROR(INDEX('Both teabags AfterWet'!$C$3:$C$841,MATCH(I415,'Both teabags AfterWet'!$A$3:$A$841,0)),"")</f>
        <v>1.4142999999999999</v>
      </c>
      <c r="U415" s="195">
        <f t="shared" si="67"/>
        <v>0.40250000000000002</v>
      </c>
      <c r="V415" s="195">
        <f t="shared" si="67"/>
        <v>1.2636999999999998</v>
      </c>
      <c r="W415" s="195">
        <f>IFERROR(INDEX('Ashed teabags wet'!$K$2:$K$821,MATCH(H415,'Ashed teabags wet'!$A$2:$A$821,0)),"")</f>
        <v>14.853452558370487</v>
      </c>
      <c r="X415" s="195">
        <f>IFERROR(INDEX('Ashed teabags wet'!$K$2:$K$821,MATCH(I415,'Ashed teabags wet'!$A$2:$A$821,0)),"")</f>
        <v>4.3540669856461571</v>
      </c>
      <c r="Y415" s="195">
        <f t="shared" si="61"/>
        <v>0.34271485345255881</v>
      </c>
      <c r="Z415" s="195">
        <f t="shared" si="61"/>
        <v>1.2086776555023893</v>
      </c>
      <c r="AA415" s="195">
        <f t="shared" si="68"/>
        <v>0.80235511363612666</v>
      </c>
      <c r="AB415" s="195">
        <f t="shared" si="69"/>
        <v>0.52600952817950353</v>
      </c>
      <c r="AC415" s="195">
        <f t="shared" si="62"/>
        <v>0.62149510420589082</v>
      </c>
      <c r="AD415">
        <f t="shared" si="63"/>
        <v>54</v>
      </c>
      <c r="AE415" s="195">
        <f t="shared" si="70"/>
        <v>4.7084188080609657E-2</v>
      </c>
      <c r="AF415" s="195">
        <f t="shared" si="71"/>
        <v>2.354555084618442E-2</v>
      </c>
      <c r="AG415" s="255" t="str">
        <f>IF(ISNUMBER(SEARCH("C",'WetLitterbags placem_collection'!AD342)),"YES","NO")</f>
        <v>NO</v>
      </c>
      <c r="AH415" s="255" t="str">
        <f>IF(ISNUMBER(SEARCH("H", 'WetLitterbags placem_collection'!AF122)),"YES","NO")</f>
        <v>NO</v>
      </c>
      <c r="AI415" s="255" t="str">
        <f>IF(ISNUMBER(SEARCH("R", 'WetLitterbags placem_collection'!XF122)),"YES","NO")</f>
        <v>NO</v>
      </c>
      <c r="AJ415" s="255" t="str">
        <f>IF(ISNUMBER(SEARCH("C", 'WetLitterbags placem_collection'!WE122)),"YES","NO")</f>
        <v>NO</v>
      </c>
      <c r="AK415" s="255" t="str">
        <f>IF(ISNUMBER(SEARCH("H", 'WetLitterbags placem_collection'!AE122)),"YES","NO")</f>
        <v>NO</v>
      </c>
      <c r="AL415" s="255" t="str">
        <f>IF(ISNUMBER(SEARCH("R", 'WetLitterbags placem_collection'!AE122)),"YES","NO")</f>
        <v>NO</v>
      </c>
    </row>
    <row r="416" spans="2:38">
      <c r="B416" t="str">
        <f>'Final data_for_R_analysis_Wetse'!A562</f>
        <v>Wet</v>
      </c>
      <c r="C416" s="263">
        <f>'Final data_for_R_analysis_Wetse'!B562</f>
        <v>121</v>
      </c>
      <c r="D416" t="s">
        <v>3845</v>
      </c>
      <c r="E416" t="s">
        <v>25</v>
      </c>
      <c r="F416" s="386">
        <v>1</v>
      </c>
      <c r="G416" s="16">
        <f>'WetLitterbags placem_collection'!E123</f>
        <v>42762</v>
      </c>
      <c r="H416" s="92" t="str">
        <f>'Final data_for_R_analysis_Wetse'!J562</f>
        <v>G825</v>
      </c>
      <c r="I416" t="str">
        <f>'Final data_for_R_analysis_Wetse'!J782</f>
        <v>R564</v>
      </c>
      <c r="J416">
        <f>IFERROR(INDEX('Green_rooibos initial weight'!$C$5:$C$1749,MATCH(H416, 'Green_rooibos initial weight'!$A$5:$A$1749,0)),"")</f>
        <v>2.1240000000000001</v>
      </c>
      <c r="K416">
        <f>IFERROR(INDEX('Green_rooibos initial weight'!$C$5:$C$1749,MATCH(I416, 'Green_rooibos initial weight'!$A$5:$A$1749,0)),"")</f>
        <v>2.145</v>
      </c>
      <c r="L416" s="195">
        <f t="shared" si="64"/>
        <v>1.8742000000000001</v>
      </c>
      <c r="M416" s="195">
        <f>AVERAGE(Ashed_controlls!$K$2:$K$11)</f>
        <v>5.5147656768714146</v>
      </c>
      <c r="N416" s="195">
        <f t="shared" si="60"/>
        <v>1.770842261684076</v>
      </c>
      <c r="O416" s="195">
        <f t="shared" si="65"/>
        <v>1.8952</v>
      </c>
      <c r="P416" s="195">
        <f>AVERAGE(Ashed_controlls!$K$12:$K$14)</f>
        <v>2.2816647271287041</v>
      </c>
      <c r="Q416" s="195">
        <f t="shared" si="66"/>
        <v>1.8519578900914568</v>
      </c>
      <c r="R416" s="16">
        <f>IF('WetLitterbags placem_collection'!G123="N.A","",'WetLitterbags placem_collection'!G123)</f>
        <v>42816</v>
      </c>
      <c r="S416" s="195">
        <f>IF(IFERROR(INDEX('Both teabags AfterWet'!$C$3:$C$841,MATCH(H416,'Both teabags AfterWet'!$A$3:$A$841,0)),"")="N.A","",(IFERROR(INDEX('Both teabags AfterWet'!$C$3:$C$841,MATCH(H416,'Both teabags AfterWet'!$A$3:$A$841,0)),"")))</f>
        <v>0.61199999999999999</v>
      </c>
      <c r="T416" s="195">
        <f>IFERROR(INDEX('Both teabags AfterWet'!$C$3:$C$841,MATCH(I416,'Both teabags AfterWet'!$A$3:$A$841,0)),"")</f>
        <v>1.53</v>
      </c>
      <c r="U416" s="195">
        <f t="shared" si="67"/>
        <v>0.46139999999999998</v>
      </c>
      <c r="V416" s="195">
        <f t="shared" si="67"/>
        <v>1.3794</v>
      </c>
      <c r="W416" s="195">
        <f>IFERROR(INDEX('Ashed teabags wet'!$K$2:$K$821,MATCH(H416,'Ashed teabags wet'!$A$2:$A$821,0)),"")</f>
        <v>10.131514856308767</v>
      </c>
      <c r="X416" s="195">
        <f>IFERROR(INDEX('Ashed teabags wet'!$K$2:$K$821,MATCH(I416,'Ashed teabags wet'!$A$2:$A$821,0)),"")</f>
        <v>7.5161772025872624</v>
      </c>
      <c r="Y416" s="195">
        <f t="shared" si="61"/>
        <v>0.41465319045299132</v>
      </c>
      <c r="Z416" s="195">
        <f t="shared" si="61"/>
        <v>1.2757218516675113</v>
      </c>
      <c r="AA416" s="195">
        <f t="shared" si="68"/>
        <v>0.76584408480366006</v>
      </c>
      <c r="AB416" s="195">
        <f t="shared" si="69"/>
        <v>0.50207355678339716</v>
      </c>
      <c r="AC416" s="195">
        <f t="shared" si="62"/>
        <v>0.68885035588174803</v>
      </c>
      <c r="AD416">
        <f t="shared" si="63"/>
        <v>54</v>
      </c>
      <c r="AE416" s="195">
        <f t="shared" si="70"/>
        <v>9.0446455102541456E-2</v>
      </c>
      <c r="AF416" s="195">
        <f t="shared" si="71"/>
        <v>1.7905030569357407E-2</v>
      </c>
      <c r="AG416" s="255" t="str">
        <f>IF(ISNUMBER(SEARCH("C",'WetLitterbags placem_collection'!AD343)),"YES","NO")</f>
        <v>NO</v>
      </c>
      <c r="AH416" s="255" t="str">
        <f>IF(ISNUMBER(SEARCH("H", 'WetLitterbags placem_collection'!AF123)),"YES","NO")</f>
        <v>NO</v>
      </c>
      <c r="AI416" s="255" t="str">
        <f>IF(ISNUMBER(SEARCH("R", 'WetLitterbags placem_collection'!XF123)),"YES","NO")</f>
        <v>NO</v>
      </c>
      <c r="AJ416" s="255" t="str">
        <f>IF(ISNUMBER(SEARCH("C", 'WetLitterbags placem_collection'!WE123)),"YES","NO")</f>
        <v>NO</v>
      </c>
      <c r="AK416" s="255" t="str">
        <f>IF(ISNUMBER(SEARCH("H", 'WetLitterbags placem_collection'!AE123)),"YES","NO")</f>
        <v>NO</v>
      </c>
      <c r="AL416" s="255" t="str">
        <f>IF(ISNUMBER(SEARCH("R", 'WetLitterbags placem_collection'!AE123)),"YES","NO")</f>
        <v>NO</v>
      </c>
    </row>
    <row r="417" spans="2:38">
      <c r="B417" t="str">
        <f>'Final data_for_R_analysis_Wetse'!A563</f>
        <v>Wet</v>
      </c>
      <c r="C417" s="263">
        <f>'Final data_for_R_analysis_Wetse'!B563</f>
        <v>122</v>
      </c>
      <c r="D417" t="s">
        <v>3845</v>
      </c>
      <c r="E417" t="s">
        <v>25</v>
      </c>
      <c r="F417" s="386">
        <v>2</v>
      </c>
      <c r="G417" s="16">
        <f>'WetLitterbags placem_collection'!E124</f>
        <v>42762</v>
      </c>
      <c r="H417" s="92" t="str">
        <f>'Final data_for_R_analysis_Wetse'!J563</f>
        <v>G839</v>
      </c>
      <c r="I417" t="str">
        <f>'Final data_for_R_analysis_Wetse'!J783</f>
        <v>R429</v>
      </c>
      <c r="J417">
        <f>IFERROR(INDEX('Green_rooibos initial weight'!$C$5:$C$1749,MATCH(H417, 'Green_rooibos initial weight'!$A$5:$A$1749,0)),"")</f>
        <v>2.0230000000000001</v>
      </c>
      <c r="K417">
        <f>IFERROR(INDEX('Green_rooibos initial weight'!$C$5:$C$1749,MATCH(I417, 'Green_rooibos initial weight'!$A$5:$A$1749,0)),"")</f>
        <v>2.21</v>
      </c>
      <c r="L417" s="195">
        <f t="shared" si="64"/>
        <v>1.7732000000000001</v>
      </c>
      <c r="M417" s="195">
        <f>AVERAGE(Ashed_controlls!$K$2:$K$11)</f>
        <v>5.5147656768714146</v>
      </c>
      <c r="N417" s="195">
        <f t="shared" si="60"/>
        <v>1.6754121750177162</v>
      </c>
      <c r="O417" s="195">
        <f t="shared" si="65"/>
        <v>1.9601999999999999</v>
      </c>
      <c r="P417" s="195">
        <f>AVERAGE(Ashed_controlls!$K$12:$K$14)</f>
        <v>2.2816647271287041</v>
      </c>
      <c r="Q417" s="195">
        <f t="shared" si="66"/>
        <v>1.9154748080188231</v>
      </c>
      <c r="R417" s="16">
        <f>IF('WetLitterbags placem_collection'!G124="N.A","",'WetLitterbags placem_collection'!G124)</f>
        <v>42816</v>
      </c>
      <c r="S417" s="195">
        <f>IF(IFERROR(INDEX('Both teabags AfterWet'!$C$3:$C$841,MATCH(H417,'Both teabags AfterWet'!$A$3:$A$841,0)),"")="N.A","",(IFERROR(INDEX('Both teabags AfterWet'!$C$3:$C$841,MATCH(H417,'Both teabags AfterWet'!$A$3:$A$841,0)),"")))</f>
        <v>0.64200000000000002</v>
      </c>
      <c r="T417" s="195">
        <f>IFERROR(INDEX('Both teabags AfterWet'!$C$3:$C$841,MATCH(I417,'Both teabags AfterWet'!$A$3:$A$841,0)),"")</f>
        <v>1.2190000000000001</v>
      </c>
      <c r="U417" s="195">
        <f t="shared" si="67"/>
        <v>0.4914</v>
      </c>
      <c r="V417" s="195">
        <f t="shared" si="67"/>
        <v>1.0684</v>
      </c>
      <c r="W417" s="195">
        <f>IFERROR(INDEX('Ashed teabags wet'!$K$2:$K$821,MATCH(H417,'Ashed teabags wet'!$A$2:$A$821,0)),"")</f>
        <v>16.267465069859526</v>
      </c>
      <c r="X417" s="195">
        <f>IFERROR(INDEX('Ashed teabags wet'!$K$2:$K$821,MATCH(I417,'Ashed teabags wet'!$A$2:$A$821,0)),"")</f>
        <v>8.6138613861387903</v>
      </c>
      <c r="Y417" s="195">
        <f t="shared" si="61"/>
        <v>0.41146167664671029</v>
      </c>
      <c r="Z417" s="195">
        <f t="shared" si="61"/>
        <v>0.97636950495049313</v>
      </c>
      <c r="AA417" s="195">
        <f t="shared" si="68"/>
        <v>0.75441167088190741</v>
      </c>
      <c r="AB417" s="195">
        <f t="shared" si="69"/>
        <v>0.49457867259716498</v>
      </c>
      <c r="AC417" s="195">
        <f t="shared" si="62"/>
        <v>0.509727144864073</v>
      </c>
      <c r="AD417">
        <f t="shared" si="63"/>
        <v>54</v>
      </c>
      <c r="AE417" s="195">
        <f t="shared" si="70"/>
        <v>0.10402414384571568</v>
      </c>
      <c r="AF417" s="195">
        <f t="shared" si="71"/>
        <v>8.7847022728342009E-2</v>
      </c>
      <c r="AG417" s="255" t="str">
        <f>IF(ISNUMBER(SEARCH("C",'WetLitterbags placem_collection'!AD344)),"YES","NO")</f>
        <v>NO</v>
      </c>
      <c r="AH417" s="255" t="str">
        <f>IF(ISNUMBER(SEARCH("H", 'WetLitterbags placem_collection'!AF124)),"YES","NO")</f>
        <v>NO</v>
      </c>
      <c r="AI417" s="255" t="str">
        <f>IF(ISNUMBER(SEARCH("R", 'WetLitterbags placem_collection'!XF124)),"YES","NO")</f>
        <v>NO</v>
      </c>
      <c r="AJ417" s="255" t="str">
        <f>IF(ISNUMBER(SEARCH("C", 'WetLitterbags placem_collection'!WE124)),"YES","NO")</f>
        <v>NO</v>
      </c>
      <c r="AK417" s="255" t="str">
        <f>IF(ISNUMBER(SEARCH("H", 'WetLitterbags placem_collection'!AE124)),"YES","NO")</f>
        <v>NO</v>
      </c>
      <c r="AL417" s="255" t="str">
        <f>IF(ISNUMBER(SEARCH("R", 'WetLitterbags placem_collection'!AE124)),"YES","NO")</f>
        <v>NO</v>
      </c>
    </row>
    <row r="418" spans="2:38">
      <c r="B418" t="str">
        <f>'Final data_for_R_analysis_Wetse'!A564</f>
        <v>Wet</v>
      </c>
      <c r="C418" s="263">
        <f>'Final data_for_R_analysis_Wetse'!B564</f>
        <v>123</v>
      </c>
      <c r="D418" t="s">
        <v>3845</v>
      </c>
      <c r="E418" t="s">
        <v>25</v>
      </c>
      <c r="F418" s="386">
        <v>3</v>
      </c>
      <c r="G418" s="16">
        <f>'WetLitterbags placem_collection'!E125</f>
        <v>42762</v>
      </c>
      <c r="H418" s="92" t="str">
        <f>'Final data_for_R_analysis_Wetse'!J564</f>
        <v>G895</v>
      </c>
      <c r="I418" t="str">
        <f>'Final data_for_R_analysis_Wetse'!J784</f>
        <v>R466</v>
      </c>
      <c r="J418">
        <f>IFERROR(INDEX('Green_rooibos initial weight'!$C$5:$C$1749,MATCH(H418, 'Green_rooibos initial weight'!$A$5:$A$1749,0)),"")</f>
        <v>1.9259999999999999</v>
      </c>
      <c r="K418">
        <f>IFERROR(INDEX('Green_rooibos initial weight'!$C$5:$C$1749,MATCH(I418, 'Green_rooibos initial weight'!$A$5:$A$1749,0)),"")</f>
        <v>2.2269999999999999</v>
      </c>
      <c r="L418" s="195">
        <f t="shared" si="64"/>
        <v>1.6761999999999999</v>
      </c>
      <c r="M418" s="195">
        <f>AVERAGE(Ashed_controlls!$K$2:$K$11)</f>
        <v>5.5147656768714146</v>
      </c>
      <c r="N418" s="195">
        <f t="shared" si="60"/>
        <v>1.5837614977242813</v>
      </c>
      <c r="O418" s="195">
        <f t="shared" si="65"/>
        <v>1.9771999999999998</v>
      </c>
      <c r="P418" s="195">
        <f>AVERAGE(Ashed_controlls!$K$12:$K$14)</f>
        <v>2.2816647271287041</v>
      </c>
      <c r="Q418" s="195">
        <f t="shared" si="66"/>
        <v>1.9320869250152111</v>
      </c>
      <c r="R418" s="16">
        <f>IF('WetLitterbags placem_collection'!G125="N.A","",'WetLitterbags placem_collection'!G125)</f>
        <v>42816</v>
      </c>
      <c r="S418" s="195">
        <f>IF(IFERROR(INDEX('Both teabags AfterWet'!$C$3:$C$841,MATCH(H418,'Both teabags AfterWet'!$A$3:$A$841,0)),"")="N.A","",(IFERROR(INDEX('Both teabags AfterWet'!$C$3:$C$841,MATCH(H418,'Both teabags AfterWet'!$A$3:$A$841,0)),"")))</f>
        <v>0.878</v>
      </c>
      <c r="T418" s="195">
        <f>IFERROR(INDEX('Both teabags AfterWet'!$C$3:$C$841,MATCH(I418,'Both teabags AfterWet'!$A$3:$A$841,0)),"")</f>
        <v>1.5760000000000001</v>
      </c>
      <c r="U418" s="195">
        <f t="shared" si="67"/>
        <v>0.72740000000000005</v>
      </c>
      <c r="V418" s="195">
        <f t="shared" si="67"/>
        <v>1.4254</v>
      </c>
      <c r="W418" s="195">
        <f>IFERROR(INDEX('Ashed teabags wet'!$K$2:$K$821,MATCH(H418,'Ashed teabags wet'!$A$2:$A$821,0)),"")</f>
        <v>13.555233960443902</v>
      </c>
      <c r="X418" s="195">
        <f>IFERROR(INDEX('Ashed teabags wet'!$K$2:$K$821,MATCH(I418,'Ashed teabags wet'!$A$2:$A$821,0)),"")</f>
        <v>3.9460539460533175</v>
      </c>
      <c r="Y418" s="195">
        <f t="shared" si="61"/>
        <v>0.62879922817173106</v>
      </c>
      <c r="Z418" s="195">
        <f t="shared" si="61"/>
        <v>1.369152947052956</v>
      </c>
      <c r="AA418" s="195">
        <f t="shared" si="68"/>
        <v>0.60297100979203155</v>
      </c>
      <c r="AB418" s="195">
        <f t="shared" si="69"/>
        <v>0.39529690903230574</v>
      </c>
      <c r="AC418" s="195">
        <f t="shared" si="62"/>
        <v>0.7086394143690905</v>
      </c>
      <c r="AD418">
        <f t="shared" si="63"/>
        <v>54</v>
      </c>
      <c r="AE418" s="195">
        <f t="shared" si="70"/>
        <v>0.28388241117335922</v>
      </c>
      <c r="AF418" s="195">
        <f t="shared" si="71"/>
        <v>2.473812433959597E-2</v>
      </c>
      <c r="AG418" s="255" t="str">
        <f>IF(ISNUMBER(SEARCH("C",'WetLitterbags placem_collection'!AD345)),"YES","NO")</f>
        <v>NO</v>
      </c>
      <c r="AH418" s="255" t="str">
        <f>IF(ISNUMBER(SEARCH("H", 'WetLitterbags placem_collection'!AF125)),"YES","NO")</f>
        <v>NO</v>
      </c>
      <c r="AI418" s="255" t="str">
        <f>IF(ISNUMBER(SEARCH("R", 'WetLitterbags placem_collection'!XF125)),"YES","NO")</f>
        <v>NO</v>
      </c>
      <c r="AJ418" s="255" t="str">
        <f>IF(ISNUMBER(SEARCH("C", 'WetLitterbags placem_collection'!WE125)),"YES","NO")</f>
        <v>NO</v>
      </c>
      <c r="AK418" s="255" t="str">
        <f>IF(ISNUMBER(SEARCH("H", 'WetLitterbags placem_collection'!AE125)),"YES","NO")</f>
        <v>NO</v>
      </c>
      <c r="AL418" s="255" t="str">
        <f>IF(ISNUMBER(SEARCH("R", 'WetLitterbags placem_collection'!AE125)),"YES","NO")</f>
        <v>NO</v>
      </c>
    </row>
    <row r="419" spans="2:38">
      <c r="B419" t="str">
        <f>'Final data_for_R_analysis_Wetse'!A565</f>
        <v>Wet</v>
      </c>
      <c r="C419" s="263">
        <f>'Final data_for_R_analysis_Wetse'!B565</f>
        <v>124</v>
      </c>
      <c r="D419" t="s">
        <v>3845</v>
      </c>
      <c r="E419" t="s">
        <v>25</v>
      </c>
      <c r="F419" s="387">
        <v>4</v>
      </c>
      <c r="G419" s="16">
        <f>'WetLitterbags placem_collection'!E126</f>
        <v>42762</v>
      </c>
      <c r="H419" s="92" t="str">
        <f>'Final data_for_R_analysis_Wetse'!J565</f>
        <v>G682</v>
      </c>
      <c r="I419" t="str">
        <f>'Final data_for_R_analysis_Wetse'!J785</f>
        <v>R471</v>
      </c>
      <c r="J419">
        <f>IFERROR(INDEX('Green_rooibos initial weight'!$C$5:$C$1749,MATCH(H419, 'Green_rooibos initial weight'!$A$5:$A$1749,0)),"")</f>
        <v>2.0230000000000001</v>
      </c>
      <c r="K419">
        <f>IFERROR(INDEX('Green_rooibos initial weight'!$C$5:$C$1749,MATCH(I419, 'Green_rooibos initial weight'!$A$5:$A$1749,0)),"")</f>
        <v>2.238</v>
      </c>
      <c r="L419" s="195">
        <f t="shared" si="64"/>
        <v>1.7732000000000001</v>
      </c>
      <c r="M419" s="195">
        <f>AVERAGE(Ashed_controlls!$K$2:$K$11)</f>
        <v>5.5147656768714146</v>
      </c>
      <c r="N419" s="195">
        <f t="shared" si="60"/>
        <v>1.6754121750177162</v>
      </c>
      <c r="O419" s="195">
        <f t="shared" si="65"/>
        <v>1.9882</v>
      </c>
      <c r="P419" s="195">
        <f>AVERAGE(Ashed_controlls!$K$12:$K$14)</f>
        <v>2.2816647271287041</v>
      </c>
      <c r="Q419" s="195">
        <f t="shared" si="66"/>
        <v>1.942835941895227</v>
      </c>
      <c r="R419" s="16">
        <f>IF('WetLitterbags placem_collection'!G126="N.A","",'WetLitterbags placem_collection'!G126)</f>
        <v>42816</v>
      </c>
      <c r="S419" s="195">
        <f>IF(IFERROR(INDEX('Both teabags AfterWet'!$C$3:$C$841,MATCH(H419,'Both teabags AfterWet'!$A$3:$A$841,0)),"")="N.A","",(IFERROR(INDEX('Both teabags AfterWet'!$C$3:$C$841,MATCH(H419,'Both teabags AfterWet'!$A$3:$A$841,0)),"")))</f>
        <v>0.61199999999999999</v>
      </c>
      <c r="T419" s="195">
        <f>IFERROR(INDEX('Both teabags AfterWet'!$C$3:$C$841,MATCH(I419,'Both teabags AfterWet'!$A$3:$A$841,0)),"")</f>
        <v>1.518</v>
      </c>
      <c r="U419" s="195">
        <f t="shared" si="67"/>
        <v>0.46139999999999998</v>
      </c>
      <c r="V419" s="195">
        <f t="shared" si="67"/>
        <v>1.3673999999999999</v>
      </c>
      <c r="W419" s="195">
        <f>IFERROR(INDEX('Ashed teabags wet'!$K$2:$K$821,MATCH(H419,'Ashed teabags wet'!$A$2:$A$821,0)),"")</f>
        <v>12.30079681274993</v>
      </c>
      <c r="X419" s="195">
        <f>IFERROR(INDEX('Ashed teabags wet'!$K$2:$K$821,MATCH(I419,'Ashed teabags wet'!$A$2:$A$821,0)),"")</f>
        <v>3.762376237623815</v>
      </c>
      <c r="Y419" s="195">
        <f t="shared" si="61"/>
        <v>0.40464412350597179</v>
      </c>
      <c r="Z419" s="195">
        <f t="shared" si="61"/>
        <v>1.3159532673267318</v>
      </c>
      <c r="AA419" s="195">
        <f t="shared" si="68"/>
        <v>0.75848085053954384</v>
      </c>
      <c r="AB419" s="195">
        <f t="shared" si="69"/>
        <v>0.4972463533228364</v>
      </c>
      <c r="AC419" s="195">
        <f t="shared" si="62"/>
        <v>0.67733627886409487</v>
      </c>
      <c r="AD419">
        <f t="shared" si="63"/>
        <v>54</v>
      </c>
      <c r="AE419" s="195">
        <f t="shared" si="70"/>
        <v>9.9191388907905131E-2</v>
      </c>
      <c r="AF419" s="195">
        <f t="shared" si="71"/>
        <v>1.9383100325378509E-2</v>
      </c>
      <c r="AG419" s="255" t="str">
        <f>IF(ISNUMBER(SEARCH("C",'WetLitterbags placem_collection'!AD346)),"YES","NO")</f>
        <v>NO</v>
      </c>
      <c r="AH419" s="255" t="str">
        <f>IF(ISNUMBER(SEARCH("H", 'WetLitterbags placem_collection'!AF126)),"YES","NO")</f>
        <v>NO</v>
      </c>
      <c r="AI419" s="255" t="str">
        <f>IF(ISNUMBER(SEARCH("R", 'WetLitterbags placem_collection'!XF126)),"YES","NO")</f>
        <v>NO</v>
      </c>
      <c r="AJ419" s="255" t="str">
        <f>IF(ISNUMBER(SEARCH("C", 'WetLitterbags placem_collection'!WE126)),"YES","NO")</f>
        <v>NO</v>
      </c>
      <c r="AK419" s="255" t="str">
        <f>IF(ISNUMBER(SEARCH("H", 'WetLitterbags placem_collection'!AE126)),"YES","NO")</f>
        <v>NO</v>
      </c>
      <c r="AL419" s="255" t="str">
        <f>IF(ISNUMBER(SEARCH("R", 'WetLitterbags placem_collection'!AE126)),"YES","NO")</f>
        <v>NO</v>
      </c>
    </row>
    <row r="420" spans="2:38">
      <c r="B420" t="str">
        <f>'Final data_for_R_analysis_Wetse'!A566</f>
        <v>Wet</v>
      </c>
      <c r="C420" s="263">
        <f>'Final data_for_R_analysis_Wetse'!B566</f>
        <v>125</v>
      </c>
      <c r="D420" t="s">
        <v>3845</v>
      </c>
      <c r="E420" t="s">
        <v>25</v>
      </c>
      <c r="F420" s="387">
        <v>5</v>
      </c>
      <c r="G420" s="16">
        <f>'WetLitterbags placem_collection'!E127</f>
        <v>42762</v>
      </c>
      <c r="H420" s="92" t="str">
        <f>'Final data_for_R_analysis_Wetse'!J566</f>
        <v>G740</v>
      </c>
      <c r="I420" t="str">
        <f>'Final data_for_R_analysis_Wetse'!J786</f>
        <v>R486</v>
      </c>
      <c r="J420">
        <f>IFERROR(INDEX('Green_rooibos initial weight'!$C$5:$C$1749,MATCH(H420, 'Green_rooibos initial weight'!$A$5:$A$1749,0)),"")</f>
        <v>1.915</v>
      </c>
      <c r="K420">
        <f>IFERROR(INDEX('Green_rooibos initial weight'!$C$5:$C$1749,MATCH(I420, 'Green_rooibos initial weight'!$A$5:$A$1749,0)),"")</f>
        <v>2.218</v>
      </c>
      <c r="L420" s="195">
        <f t="shared" si="64"/>
        <v>1.6652</v>
      </c>
      <c r="M420" s="195">
        <f>AVERAGE(Ashed_controlls!$K$2:$K$11)</f>
        <v>5.5147656768714146</v>
      </c>
      <c r="N420" s="195">
        <f t="shared" si="60"/>
        <v>1.5733681219487372</v>
      </c>
      <c r="O420" s="195">
        <f t="shared" si="65"/>
        <v>1.9681999999999999</v>
      </c>
      <c r="P420" s="195">
        <f>AVERAGE(Ashed_controlls!$K$12:$K$14)</f>
        <v>2.2816647271287041</v>
      </c>
      <c r="Q420" s="195">
        <f t="shared" si="66"/>
        <v>1.9232922748406529</v>
      </c>
      <c r="R420" s="16">
        <f>IF('WetLitterbags placem_collection'!G127="N.A","",'WetLitterbags placem_collection'!G127)</f>
        <v>42816</v>
      </c>
      <c r="S420" s="195">
        <f>IF(IFERROR(INDEX('Both teabags AfterWet'!$C$3:$C$841,MATCH(H420,'Both teabags AfterWet'!$A$3:$A$841,0)),"")="N.A","",(IFERROR(INDEX('Both teabags AfterWet'!$C$3:$C$841,MATCH(H420,'Both teabags AfterWet'!$A$3:$A$841,0)),"")))</f>
        <v>0.60099999999999998</v>
      </c>
      <c r="T420" s="195" t="str">
        <f>IFERROR(INDEX('Both teabags AfterWet'!$C$3:$C$841,MATCH(I420,'Both teabags AfterWet'!$A$3:$A$841,0)),"")</f>
        <v/>
      </c>
      <c r="U420" s="195">
        <f t="shared" si="67"/>
        <v>0.45039999999999997</v>
      </c>
      <c r="V420" s="195" t="str">
        <f t="shared" si="67"/>
        <v/>
      </c>
      <c r="W420" s="195">
        <f>IFERROR(INDEX('Ashed teabags wet'!$K$2:$K$821,MATCH(H420,'Ashed teabags wet'!$A$2:$A$821,0)),"")</f>
        <v>14.222658165767069</v>
      </c>
      <c r="X420" s="195">
        <f>IFERROR(INDEX('Ashed teabags wet'!$K$2:$K$821,MATCH(I420,'Ashed teabags wet'!$A$2:$A$821,0)),"")</f>
        <v>4.2372881355932517</v>
      </c>
      <c r="Y420" s="195">
        <f t="shared" si="61"/>
        <v>0.38634114762138511</v>
      </c>
      <c r="Z420" s="195" t="str">
        <f t="shared" si="61"/>
        <v/>
      </c>
      <c r="AA420" s="195">
        <f t="shared" si="68"/>
        <v>0.75444961529862953</v>
      </c>
      <c r="AB420" s="195">
        <f t="shared" si="69"/>
        <v>0.49460354827178571</v>
      </c>
      <c r="AC420" s="195" t="str">
        <f t="shared" si="62"/>
        <v/>
      </c>
      <c r="AD420">
        <f t="shared" si="63"/>
        <v>54</v>
      </c>
      <c r="AE420" s="195">
        <f t="shared" si="70"/>
        <v>0.1039790792177796</v>
      </c>
      <c r="AF420" s="195" t="str">
        <f t="shared" si="71"/>
        <v/>
      </c>
      <c r="AG420" s="255" t="str">
        <f>IF(ISNUMBER(SEARCH("C",'WetLitterbags placem_collection'!AD347)),"YES","NO")</f>
        <v>NO</v>
      </c>
      <c r="AH420" s="255" t="str">
        <f>IF(ISNUMBER(SEARCH("H", 'WetLitterbags placem_collection'!AF127)),"YES","NO")</f>
        <v>NO</v>
      </c>
      <c r="AI420" s="255" t="str">
        <f>IF(ISNUMBER(SEARCH("R", 'WetLitterbags placem_collection'!XF127)),"YES","NO")</f>
        <v>NO</v>
      </c>
      <c r="AJ420" s="255" t="str">
        <f>IF(ISNUMBER(SEARCH("C", 'WetLitterbags placem_collection'!WE127)),"YES","NO")</f>
        <v>NO</v>
      </c>
      <c r="AK420" s="255" t="str">
        <f>IF(ISNUMBER(SEARCH("H", 'WetLitterbags placem_collection'!AE127)),"YES","NO")</f>
        <v>NO</v>
      </c>
      <c r="AL420" s="255" t="str">
        <f>IF(ISNUMBER(SEARCH("R", 'WetLitterbags placem_collection'!AE127)),"YES","NO")</f>
        <v>NO</v>
      </c>
    </row>
    <row r="421" spans="2:38">
      <c r="B421" t="str">
        <f>'Final data_for_R_analysis_Wetse'!A567</f>
        <v>Wet</v>
      </c>
      <c r="C421" s="263">
        <f>'Final data_for_R_analysis_Wetse'!B567</f>
        <v>126</v>
      </c>
      <c r="D421" t="s">
        <v>3845</v>
      </c>
      <c r="E421" t="s">
        <v>25</v>
      </c>
      <c r="F421" s="387">
        <v>6</v>
      </c>
      <c r="G421" s="16">
        <f>'WetLitterbags placem_collection'!E128</f>
        <v>42762</v>
      </c>
      <c r="H421" s="92" t="str">
        <f>'Final data_for_R_analysis_Wetse'!J567</f>
        <v>G841</v>
      </c>
      <c r="I421" t="str">
        <f>'Final data_for_R_analysis_Wetse'!J787</f>
        <v>R55</v>
      </c>
      <c r="J421">
        <f>IFERROR(INDEX('Green_rooibos initial weight'!$C$5:$C$1749,MATCH(H421, 'Green_rooibos initial weight'!$A$5:$A$1749,0)),"")</f>
        <v>1.96</v>
      </c>
      <c r="K421">
        <f>IFERROR(INDEX('Green_rooibos initial weight'!$C$5:$C$1749,MATCH(I421, 'Green_rooibos initial weight'!$A$5:$A$1749,0)),"")</f>
        <v>2.2010000000000001</v>
      </c>
      <c r="L421" s="195">
        <f t="shared" si="64"/>
        <v>1.7101999999999999</v>
      </c>
      <c r="M421" s="195">
        <f>AVERAGE(Ashed_controlls!$K$2:$K$11)</f>
        <v>5.5147656768714146</v>
      </c>
      <c r="N421" s="195">
        <f t="shared" si="60"/>
        <v>1.615886477394145</v>
      </c>
      <c r="O421" s="195">
        <f t="shared" si="65"/>
        <v>1.9512</v>
      </c>
      <c r="P421" s="195">
        <f>AVERAGE(Ashed_controlls!$K$12:$K$14)</f>
        <v>2.2816647271287041</v>
      </c>
      <c r="Q421" s="195">
        <f t="shared" si="66"/>
        <v>1.9066801578442647</v>
      </c>
      <c r="R421" s="16">
        <f>IF('WetLitterbags placem_collection'!G128="N.A","",'WetLitterbags placem_collection'!G128)</f>
        <v>42816</v>
      </c>
      <c r="S421" s="195">
        <f>IF(IFERROR(INDEX('Both teabags AfterWet'!$C$3:$C$841,MATCH(H421,'Both teabags AfterWet'!$A$3:$A$841,0)),"")="N.A","",(IFERROR(INDEX('Both teabags AfterWet'!$C$3:$C$841,MATCH(H421,'Both teabags AfterWet'!$A$3:$A$841,0)),"")))</f>
        <v>0.58499999999999996</v>
      </c>
      <c r="T421" s="195">
        <f>IFERROR(INDEX('Both teabags AfterWet'!$C$3:$C$841,MATCH(I421,'Both teabags AfterWet'!$A$3:$A$841,0)),"")</f>
        <v>1.4419999999999999</v>
      </c>
      <c r="U421" s="195">
        <f t="shared" si="67"/>
        <v>0.43439999999999995</v>
      </c>
      <c r="V421" s="195">
        <f t="shared" si="67"/>
        <v>1.2913999999999999</v>
      </c>
      <c r="W421" s="195">
        <f>IFERROR(INDEX('Ashed teabags wet'!$K$2:$K$821,MATCH(H421,'Ashed teabags wet'!$A$2:$A$821,0)),"")</f>
        <v>12.570260602963709</v>
      </c>
      <c r="X421" s="195">
        <f>IFERROR(INDEX('Ashed teabags wet'!$K$2:$K$821,MATCH(I421,'Ashed teabags wet'!$A$2:$A$821,0)),"")</f>
        <v>3.9111540318678832</v>
      </c>
      <c r="Y421" s="195">
        <f t="shared" si="61"/>
        <v>0.37979478794072563</v>
      </c>
      <c r="Z421" s="195">
        <f t="shared" si="61"/>
        <v>1.240891356832458</v>
      </c>
      <c r="AA421" s="195">
        <f t="shared" si="68"/>
        <v>0.76496196158952912</v>
      </c>
      <c r="AB421" s="195">
        <f t="shared" si="69"/>
        <v>0.50149525272852746</v>
      </c>
      <c r="AC421" s="195">
        <f t="shared" si="62"/>
        <v>0.65081254017739276</v>
      </c>
      <c r="AD421">
        <f t="shared" si="63"/>
        <v>54</v>
      </c>
      <c r="AE421" s="195">
        <f t="shared" si="70"/>
        <v>9.1494107375856171E-2</v>
      </c>
      <c r="AF421" s="195">
        <f t="shared" si="71"/>
        <v>2.2068346564674685E-2</v>
      </c>
      <c r="AG421" s="255" t="str">
        <f>IF(ISNUMBER(SEARCH("C",'WetLitterbags placem_collection'!AD348)),"YES","NO")</f>
        <v>NO</v>
      </c>
      <c r="AH421" s="255" t="str">
        <f>IF(ISNUMBER(SEARCH("H", 'WetLitterbags placem_collection'!AF128)),"YES","NO")</f>
        <v>NO</v>
      </c>
      <c r="AI421" s="255" t="str">
        <f>IF(ISNUMBER(SEARCH("R", 'WetLitterbags placem_collection'!XF128)),"YES","NO")</f>
        <v>NO</v>
      </c>
      <c r="AJ421" s="255" t="str">
        <f>IF(ISNUMBER(SEARCH("C", 'WetLitterbags placem_collection'!WE128)),"YES","NO")</f>
        <v>NO</v>
      </c>
      <c r="AK421" s="255" t="str">
        <f>IF(ISNUMBER(SEARCH("H", 'WetLitterbags placem_collection'!AE128)),"YES","NO")</f>
        <v>NO</v>
      </c>
      <c r="AL421" s="255" t="str">
        <f>IF(ISNUMBER(SEARCH("R", 'WetLitterbags placem_collection'!AE128)),"YES","NO")</f>
        <v>NO</v>
      </c>
    </row>
    <row r="422" spans="2:38">
      <c r="B422" t="str">
        <f>'Final data_for_R_analysis_Wetse'!A568</f>
        <v>Wet</v>
      </c>
      <c r="C422" s="263">
        <f>'Final data_for_R_analysis_Wetse'!B568</f>
        <v>127</v>
      </c>
      <c r="D422" t="s">
        <v>3845</v>
      </c>
      <c r="E422" t="s">
        <v>25</v>
      </c>
      <c r="F422" s="387">
        <v>7</v>
      </c>
      <c r="G422" s="16">
        <f>'WetLitterbags placem_collection'!E129</f>
        <v>42762</v>
      </c>
      <c r="H422" s="92" t="str">
        <f>'Final data_for_R_analysis_Wetse'!J568</f>
        <v>G687</v>
      </c>
      <c r="I422" t="str">
        <f>'Final data_for_R_analysis_Wetse'!J788</f>
        <v>R424</v>
      </c>
      <c r="J422">
        <f>IFERROR(INDEX('Green_rooibos initial weight'!$C$5:$C$1749,MATCH(H422, 'Green_rooibos initial weight'!$A$5:$A$1749,0)),"")</f>
        <v>2.0649999999999999</v>
      </c>
      <c r="K422">
        <f>IFERROR(INDEX('Green_rooibos initial weight'!$C$5:$C$1749,MATCH(I422, 'Green_rooibos initial weight'!$A$5:$A$1749,0)),"")</f>
        <v>2.214</v>
      </c>
      <c r="L422" s="195">
        <f t="shared" si="64"/>
        <v>1.8151999999999999</v>
      </c>
      <c r="M422" s="195">
        <f>AVERAGE(Ashed_controlls!$K$2:$K$11)</f>
        <v>5.5147656768714146</v>
      </c>
      <c r="N422" s="195">
        <f t="shared" si="60"/>
        <v>1.7150959734334301</v>
      </c>
      <c r="O422" s="195">
        <f t="shared" si="65"/>
        <v>1.9641999999999999</v>
      </c>
      <c r="P422" s="195">
        <f>AVERAGE(Ashed_controlls!$K$12:$K$14)</f>
        <v>2.2816647271287041</v>
      </c>
      <c r="Q422" s="195">
        <f t="shared" si="66"/>
        <v>1.919383541429738</v>
      </c>
      <c r="R422" s="16">
        <f>IF('WetLitterbags placem_collection'!G129="N.A","",'WetLitterbags placem_collection'!G129)</f>
        <v>42816</v>
      </c>
      <c r="S422" s="195">
        <f>IF(IFERROR(INDEX('Both teabags AfterWet'!$C$3:$C$841,MATCH(H422,'Both teabags AfterWet'!$A$3:$A$841,0)),"")="N.A","",(IFERROR(INDEX('Both teabags AfterWet'!$C$3:$C$841,MATCH(H422,'Both teabags AfterWet'!$A$3:$A$841,0)),"")))</f>
        <v>0.57699999999999996</v>
      </c>
      <c r="T422" s="195">
        <f>IFERROR(INDEX('Both teabags AfterWet'!$C$3:$C$841,MATCH(I422,'Both teabags AfterWet'!$A$3:$A$841,0)),"")</f>
        <v>1.552</v>
      </c>
      <c r="U422" s="195">
        <f t="shared" si="67"/>
        <v>0.42639999999999995</v>
      </c>
      <c r="V422" s="195">
        <f t="shared" si="67"/>
        <v>1.4014</v>
      </c>
      <c r="W422" s="195">
        <f>IFERROR(INDEX('Ashed teabags wet'!$K$2:$K$821,MATCH(H422,'Ashed teabags wet'!$A$2:$A$821,0)),"")</f>
        <v>17.513566847558284</v>
      </c>
      <c r="X422" s="195">
        <f>IFERROR(INDEX('Ashed teabags wet'!$K$2:$K$821,MATCH(I422,'Ashed teabags wet'!$A$2:$A$821,0)),"")</f>
        <v>7.3429951690818136</v>
      </c>
      <c r="Y422" s="195">
        <f t="shared" si="61"/>
        <v>0.35172215096201143</v>
      </c>
      <c r="Z422" s="195">
        <f t="shared" si="61"/>
        <v>1.2984952657004873</v>
      </c>
      <c r="AA422" s="195">
        <f t="shared" si="68"/>
        <v>0.79492567389222946</v>
      </c>
      <c r="AB422" s="195">
        <f t="shared" si="69"/>
        <v>0.52113892160155662</v>
      </c>
      <c r="AC422" s="195">
        <f t="shared" si="62"/>
        <v>0.67651682827979531</v>
      </c>
      <c r="AD422">
        <f t="shared" si="63"/>
        <v>54</v>
      </c>
      <c r="AE422" s="195">
        <f t="shared" si="70"/>
        <v>5.5907750721817751E-2</v>
      </c>
      <c r="AF422" s="195">
        <f t="shared" si="71"/>
        <v>1.7953514255754543E-2</v>
      </c>
      <c r="AG422" s="255" t="str">
        <f>IF(ISNUMBER(SEARCH("C",'WetLitterbags placem_collection'!AD349)),"YES","NO")</f>
        <v>NO</v>
      </c>
      <c r="AH422" s="255" t="str">
        <f>IF(ISNUMBER(SEARCH("H", 'WetLitterbags placem_collection'!AF129)),"YES","NO")</f>
        <v>NO</v>
      </c>
      <c r="AI422" s="255" t="str">
        <f>IF(ISNUMBER(SEARCH("R", 'WetLitterbags placem_collection'!XF129)),"YES","NO")</f>
        <v>NO</v>
      </c>
      <c r="AJ422" s="255" t="str">
        <f>IF(ISNUMBER(SEARCH("C", 'WetLitterbags placem_collection'!WE129)),"YES","NO")</f>
        <v>NO</v>
      </c>
      <c r="AK422" s="255" t="str">
        <f>IF(ISNUMBER(SEARCH("H", 'WetLitterbags placem_collection'!AE129)),"YES","NO")</f>
        <v>NO</v>
      </c>
      <c r="AL422" s="255" t="str">
        <f>IF(ISNUMBER(SEARCH("R", 'WetLitterbags placem_collection'!AE129)),"YES","NO")</f>
        <v>NO</v>
      </c>
    </row>
    <row r="423" spans="2:38">
      <c r="B423" t="str">
        <f>'Final data_for_R_analysis_Wetse'!A569</f>
        <v>Wet</v>
      </c>
      <c r="C423" s="263">
        <f>'Final data_for_R_analysis_Wetse'!B569</f>
        <v>128</v>
      </c>
      <c r="D423" t="s">
        <v>3845</v>
      </c>
      <c r="E423" t="s">
        <v>25</v>
      </c>
      <c r="F423" s="387">
        <v>8</v>
      </c>
      <c r="G423" s="16">
        <f>'WetLitterbags placem_collection'!E130</f>
        <v>42762</v>
      </c>
      <c r="H423" s="92" t="str">
        <f>'Final data_for_R_analysis_Wetse'!J569</f>
        <v>G833</v>
      </c>
      <c r="I423" t="str">
        <f>'Final data_for_R_analysis_Wetse'!J789</f>
        <v>R418</v>
      </c>
      <c r="J423">
        <f>IFERROR(INDEX('Green_rooibos initial weight'!$C$5:$C$1749,MATCH(H423, 'Green_rooibos initial weight'!$A$5:$A$1749,0)),"")</f>
        <v>1.964</v>
      </c>
      <c r="K423">
        <f>IFERROR(INDEX('Green_rooibos initial weight'!$C$5:$C$1749,MATCH(I423, 'Green_rooibos initial weight'!$A$5:$A$1749,0)),"")</f>
        <v>2.2029999999999998</v>
      </c>
      <c r="L423" s="195">
        <f t="shared" si="64"/>
        <v>1.7141999999999999</v>
      </c>
      <c r="M423" s="195">
        <f>AVERAGE(Ashed_controlls!$K$2:$K$11)</f>
        <v>5.5147656768714146</v>
      </c>
      <c r="N423" s="195">
        <f t="shared" si="60"/>
        <v>1.6196658867670701</v>
      </c>
      <c r="O423" s="195">
        <f t="shared" si="65"/>
        <v>1.9531999999999998</v>
      </c>
      <c r="P423" s="195">
        <f>AVERAGE(Ashed_controlls!$K$12:$K$14)</f>
        <v>2.2816647271287041</v>
      </c>
      <c r="Q423" s="195">
        <f t="shared" si="66"/>
        <v>1.908634524549722</v>
      </c>
      <c r="R423" s="16">
        <f>IF('WetLitterbags placem_collection'!G130="N.A","",'WetLitterbags placem_collection'!G130)</f>
        <v>42816</v>
      </c>
      <c r="S423" s="195">
        <f>IF(IFERROR(INDEX('Both teabags AfterWet'!$C$3:$C$841,MATCH(H423,'Both teabags AfterWet'!$A$3:$A$841,0)),"")="N.A","",(IFERROR(INDEX('Both teabags AfterWet'!$C$3:$C$841,MATCH(H423,'Both teabags AfterWet'!$A$3:$A$841,0)),"")))</f>
        <v>0.57199999999999995</v>
      </c>
      <c r="T423" s="195">
        <f>IFERROR(INDEX('Both teabags AfterWet'!$C$3:$C$841,MATCH(I423,'Both teabags AfterWet'!$A$3:$A$841,0)),"")</f>
        <v>1.4119999999999999</v>
      </c>
      <c r="U423" s="195">
        <f t="shared" si="67"/>
        <v>0.42139999999999994</v>
      </c>
      <c r="V423" s="195">
        <f t="shared" si="67"/>
        <v>1.2613999999999999</v>
      </c>
      <c r="W423" s="195">
        <f>IFERROR(INDEX('Ashed teabags wet'!$K$2:$K$821,MATCH(H423,'Ashed teabags wet'!$A$2:$A$821,0)),"")</f>
        <v>10.010111223457624</v>
      </c>
      <c r="X423" s="195">
        <f>IFERROR(INDEX('Ashed teabags wet'!$K$2:$K$821,MATCH(I423,'Ashed teabags wet'!$A$2:$A$821,0)),"")</f>
        <v>4.4282238442810895</v>
      </c>
      <c r="Y423" s="195">
        <f t="shared" si="61"/>
        <v>0.3792173913043495</v>
      </c>
      <c r="Z423" s="195">
        <f t="shared" si="61"/>
        <v>1.2055423844282382</v>
      </c>
      <c r="AA423" s="195">
        <f t="shared" si="68"/>
        <v>0.76586690230212517</v>
      </c>
      <c r="AB423" s="195">
        <f t="shared" si="69"/>
        <v>0.50208851552348355</v>
      </c>
      <c r="AC423" s="195">
        <f t="shared" si="62"/>
        <v>0.63162557782645434</v>
      </c>
      <c r="AD423">
        <f t="shared" si="63"/>
        <v>54</v>
      </c>
      <c r="AE423" s="195">
        <f t="shared" si="70"/>
        <v>9.041935593571826E-2</v>
      </c>
      <c r="AF423" s="195">
        <f t="shared" si="71"/>
        <v>2.4501343353577388E-2</v>
      </c>
      <c r="AG423" s="255" t="str">
        <f>IF(ISNUMBER(SEARCH("C",'WetLitterbags placem_collection'!AD350)),"YES","NO")</f>
        <v>NO</v>
      </c>
      <c r="AH423" s="255" t="str">
        <f>IF(ISNUMBER(SEARCH("H", 'WetLitterbags placem_collection'!AF130)),"YES","NO")</f>
        <v>NO</v>
      </c>
      <c r="AI423" s="255" t="str">
        <f>IF(ISNUMBER(SEARCH("R", 'WetLitterbags placem_collection'!XF130)),"YES","NO")</f>
        <v>NO</v>
      </c>
      <c r="AJ423" s="255" t="str">
        <f>IF(ISNUMBER(SEARCH("C", 'WetLitterbags placem_collection'!WE130)),"YES","NO")</f>
        <v>NO</v>
      </c>
      <c r="AK423" s="255" t="str">
        <f>IF(ISNUMBER(SEARCH("H", 'WetLitterbags placem_collection'!AE130)),"YES","NO")</f>
        <v>NO</v>
      </c>
      <c r="AL423" s="255" t="str">
        <f>IF(ISNUMBER(SEARCH("R", 'WetLitterbags placem_collection'!AE130)),"YES","NO")</f>
        <v>NO</v>
      </c>
    </row>
    <row r="424" spans="2:38">
      <c r="B424" t="str">
        <f>'Final data_for_R_analysis_Wetse'!A570</f>
        <v>Wet</v>
      </c>
      <c r="C424" s="263">
        <f>'Final data_for_R_analysis_Wetse'!B570</f>
        <v>129</v>
      </c>
      <c r="D424" t="s">
        <v>3846</v>
      </c>
      <c r="E424" t="s">
        <v>25</v>
      </c>
      <c r="F424" s="386">
        <v>1</v>
      </c>
      <c r="G424" s="16">
        <f>'WetLitterbags placem_collection'!E131</f>
        <v>42762</v>
      </c>
      <c r="H424" s="92" t="str">
        <f>'Final data_for_R_analysis_Wetse'!J570</f>
        <v>G888</v>
      </c>
      <c r="I424" t="str">
        <f>'Final data_for_R_analysis_Wetse'!J790</f>
        <v>R520</v>
      </c>
      <c r="J424">
        <f>IFERROR(INDEX('Green_rooibos initial weight'!$C$5:$C$1749,MATCH(H424, 'Green_rooibos initial weight'!$A$5:$A$1749,0)),"")</f>
        <v>2.089</v>
      </c>
      <c r="K424">
        <f>IFERROR(INDEX('Green_rooibos initial weight'!$C$5:$C$1749,MATCH(I424, 'Green_rooibos initial weight'!$A$5:$A$1749,0)),"")</f>
        <v>2.2210000000000001</v>
      </c>
      <c r="L424" s="195">
        <f t="shared" si="64"/>
        <v>1.8391999999999999</v>
      </c>
      <c r="M424" s="195">
        <f>AVERAGE(Ashed_controlls!$K$2:$K$11)</f>
        <v>5.5147656768714146</v>
      </c>
      <c r="N424" s="195">
        <f t="shared" si="60"/>
        <v>1.7377724296709809</v>
      </c>
      <c r="O424" s="195">
        <f t="shared" si="65"/>
        <v>1.9712000000000001</v>
      </c>
      <c r="P424" s="195">
        <f>AVERAGE(Ashed_controlls!$K$12:$K$14)</f>
        <v>2.2816647271287041</v>
      </c>
      <c r="Q424" s="195">
        <f t="shared" si="66"/>
        <v>1.926223824898839</v>
      </c>
      <c r="R424" s="16">
        <f>IF('WetLitterbags placem_collection'!G131="N.A","",'WetLitterbags placem_collection'!G131)</f>
        <v>42816</v>
      </c>
      <c r="S424" s="195">
        <f>IF(IFERROR(INDEX('Both teabags AfterWet'!$C$3:$C$841,MATCH(H424,'Both teabags AfterWet'!$A$3:$A$841,0)),"")="N.A","",(IFERROR(INDEX('Both teabags AfterWet'!$C$3:$C$841,MATCH(H424,'Both teabags AfterWet'!$A$3:$A$841,0)),"")))</f>
        <v>0.59440000000000004</v>
      </c>
      <c r="T424" s="195">
        <f>IFERROR(INDEX('Both teabags AfterWet'!$C$3:$C$841,MATCH(I424,'Both teabags AfterWet'!$A$3:$A$841,0)),"")</f>
        <v>1.5878000000000001</v>
      </c>
      <c r="U424" s="195">
        <f t="shared" si="67"/>
        <v>0.44380000000000003</v>
      </c>
      <c r="V424" s="195">
        <f t="shared" si="67"/>
        <v>1.4372</v>
      </c>
      <c r="W424" s="195">
        <f>IFERROR(INDEX('Ashed teabags wet'!$K$2:$K$821,MATCH(H424,'Ashed teabags wet'!$A$2:$A$821,0)),"")</f>
        <v>15.186104218362484</v>
      </c>
      <c r="X424" s="195">
        <f>IFERROR(INDEX('Ashed teabags wet'!$K$2:$K$821,MATCH(I424,'Ashed teabags wet'!$A$2:$A$821,0)),"")</f>
        <v>5.5940594059407749</v>
      </c>
      <c r="Y424" s="195">
        <f t="shared" si="61"/>
        <v>0.37640406947890731</v>
      </c>
      <c r="Z424" s="195">
        <f t="shared" si="61"/>
        <v>1.3568021782178192</v>
      </c>
      <c r="AA424" s="195">
        <f t="shared" si="68"/>
        <v>0.78339852615214212</v>
      </c>
      <c r="AB424" s="195">
        <f t="shared" si="69"/>
        <v>0.51358193163418353</v>
      </c>
      <c r="AC424" s="195">
        <f t="shared" si="62"/>
        <v>0.70438448568617174</v>
      </c>
      <c r="AD424">
        <f t="shared" si="63"/>
        <v>54</v>
      </c>
      <c r="AE424" s="195">
        <f t="shared" si="70"/>
        <v>6.9597949938073445E-2</v>
      </c>
      <c r="AF424" s="195">
        <f t="shared" si="71"/>
        <v>1.5871640184885412E-2</v>
      </c>
      <c r="AG424" s="255" t="str">
        <f>IF(ISNUMBER(SEARCH("C",'WetLitterbags placem_collection'!AD351)),"YES","NO")</f>
        <v>NO</v>
      </c>
      <c r="AH424" s="255" t="str">
        <f>IF(ISNUMBER(SEARCH("H", 'WetLitterbags placem_collection'!AF131)),"YES","NO")</f>
        <v>NO</v>
      </c>
      <c r="AI424" s="255" t="str">
        <f>IF(ISNUMBER(SEARCH("R", 'WetLitterbags placem_collection'!XF131)),"YES","NO")</f>
        <v>NO</v>
      </c>
      <c r="AJ424" s="255" t="str">
        <f>IF(ISNUMBER(SEARCH("C", 'WetLitterbags placem_collection'!WE131)),"YES","NO")</f>
        <v>NO</v>
      </c>
      <c r="AK424" s="255" t="str">
        <f>IF(ISNUMBER(SEARCH("H", 'WetLitterbags placem_collection'!AE131)),"YES","NO")</f>
        <v>NO</v>
      </c>
      <c r="AL424" s="255" t="str">
        <f>IF(ISNUMBER(SEARCH("R", 'WetLitterbags placem_collection'!AE131)),"YES","NO")</f>
        <v>NO</v>
      </c>
    </row>
    <row r="425" spans="2:38">
      <c r="B425" t="str">
        <f>'Final data_for_R_analysis_Wetse'!A571</f>
        <v>Wet</v>
      </c>
      <c r="C425" s="263">
        <f>'Final data_for_R_analysis_Wetse'!B571</f>
        <v>130</v>
      </c>
      <c r="D425" t="s">
        <v>3846</v>
      </c>
      <c r="E425" t="s">
        <v>25</v>
      </c>
      <c r="F425" s="386">
        <v>2</v>
      </c>
      <c r="G425" s="16">
        <f>'WetLitterbags placem_collection'!E132</f>
        <v>42762</v>
      </c>
      <c r="H425" s="92" t="str">
        <f>'Final data_for_R_analysis_Wetse'!J571</f>
        <v>G708</v>
      </c>
      <c r="I425" t="str">
        <f>'Final data_for_R_analysis_Wetse'!J791</f>
        <v>R433</v>
      </c>
      <c r="J425">
        <f>IFERROR(INDEX('Green_rooibos initial weight'!$C$5:$C$1749,MATCH(H425, 'Green_rooibos initial weight'!$A$5:$A$1749,0)),"")</f>
        <v>2.0030000000000001</v>
      </c>
      <c r="K425">
        <f>IFERROR(INDEX('Green_rooibos initial weight'!$C$5:$C$1749,MATCH(I425, 'Green_rooibos initial weight'!$A$5:$A$1749,0)),"")</f>
        <v>2.0750000000000002</v>
      </c>
      <c r="L425" s="195">
        <f t="shared" si="64"/>
        <v>1.7532000000000001</v>
      </c>
      <c r="M425" s="195">
        <f>AVERAGE(Ashed_controlls!$K$2:$K$11)</f>
        <v>5.5147656768714146</v>
      </c>
      <c r="N425" s="195">
        <f t="shared" si="60"/>
        <v>1.6565151281530905</v>
      </c>
      <c r="O425" s="195">
        <f t="shared" si="65"/>
        <v>1.8252000000000002</v>
      </c>
      <c r="P425" s="195">
        <f>AVERAGE(Ashed_controlls!$K$12:$K$14)</f>
        <v>2.2816647271287041</v>
      </c>
      <c r="Q425" s="195">
        <f t="shared" si="66"/>
        <v>1.7835550554004471</v>
      </c>
      <c r="R425" s="16">
        <f>IF('WetLitterbags placem_collection'!G132="N.A","",'WetLitterbags placem_collection'!G132)</f>
        <v>42816</v>
      </c>
      <c r="S425" s="195">
        <f>IF(IFERROR(INDEX('Both teabags AfterWet'!$C$3:$C$841,MATCH(H425,'Both teabags AfterWet'!$A$3:$A$841,0)),"")="N.A","",(IFERROR(INDEX('Both teabags AfterWet'!$C$3:$C$841,MATCH(H425,'Both teabags AfterWet'!$A$3:$A$841,0)),"")))</f>
        <v>0.56599999999999995</v>
      </c>
      <c r="T425" s="195">
        <f>IFERROR(INDEX('Both teabags AfterWet'!$C$3:$C$841,MATCH(I425,'Both teabags AfterWet'!$A$3:$A$841,0)),"")</f>
        <v>1.5069999999999999</v>
      </c>
      <c r="U425" s="195">
        <f t="shared" si="67"/>
        <v>0.41539999999999994</v>
      </c>
      <c r="V425" s="195">
        <f t="shared" si="67"/>
        <v>1.3563999999999998</v>
      </c>
      <c r="W425" s="195">
        <f>IFERROR(INDEX('Ashed teabags wet'!$K$2:$K$821,MATCH(H425,'Ashed teabags wet'!$A$2:$A$821,0)),"")</f>
        <v>17.737917289487331</v>
      </c>
      <c r="X425" s="195">
        <f>IFERROR(INDEX('Ashed teabags wet'!$K$2:$K$821,MATCH(I425,'Ashed teabags wet'!$A$2:$A$821,0)),"")</f>
        <v>5.1420176297748439</v>
      </c>
      <c r="Y425" s="195">
        <f t="shared" si="61"/>
        <v>0.3417166915794696</v>
      </c>
      <c r="Z425" s="195">
        <f t="shared" si="61"/>
        <v>1.2866536728697338</v>
      </c>
      <c r="AA425" s="195">
        <f t="shared" si="68"/>
        <v>0.79371350990288747</v>
      </c>
      <c r="AB425" s="195">
        <f t="shared" si="69"/>
        <v>0.52034424877243934</v>
      </c>
      <c r="AC425" s="195">
        <f t="shared" si="62"/>
        <v>0.72139834931019375</v>
      </c>
      <c r="AD425">
        <f t="shared" si="63"/>
        <v>54</v>
      </c>
      <c r="AE425" s="195">
        <f t="shared" si="70"/>
        <v>5.7347375412247659E-2</v>
      </c>
      <c r="AF425" s="195">
        <f t="shared" si="71"/>
        <v>1.4196612844629967E-2</v>
      </c>
      <c r="AG425" s="255" t="str">
        <f>IF(ISNUMBER(SEARCH("C",'WetLitterbags placem_collection'!AD352)),"YES","NO")</f>
        <v>NO</v>
      </c>
      <c r="AH425" s="255" t="str">
        <f>IF(ISNUMBER(SEARCH("H", 'WetLitterbags placem_collection'!AF132)),"YES","NO")</f>
        <v>NO</v>
      </c>
      <c r="AI425" s="255" t="str">
        <f>IF(ISNUMBER(SEARCH("R", 'WetLitterbags placem_collection'!XF132)),"YES","NO")</f>
        <v>NO</v>
      </c>
      <c r="AJ425" s="255" t="str">
        <f>IF(ISNUMBER(SEARCH("C", 'WetLitterbags placem_collection'!WE132)),"YES","NO")</f>
        <v>NO</v>
      </c>
      <c r="AK425" s="255" t="str">
        <f>IF(ISNUMBER(SEARCH("H", 'WetLitterbags placem_collection'!AE132)),"YES","NO")</f>
        <v>NO</v>
      </c>
      <c r="AL425" s="255" t="str">
        <f>IF(ISNUMBER(SEARCH("R", 'WetLitterbags placem_collection'!AE132)),"YES","NO")</f>
        <v>NO</v>
      </c>
    </row>
    <row r="426" spans="2:38">
      <c r="B426" t="str">
        <f>'Final data_for_R_analysis_Wetse'!A572</f>
        <v>Wet</v>
      </c>
      <c r="C426" s="263">
        <f>'Final data_for_R_analysis_Wetse'!B572</f>
        <v>131</v>
      </c>
      <c r="D426" t="s">
        <v>3846</v>
      </c>
      <c r="E426" t="s">
        <v>25</v>
      </c>
      <c r="F426" s="386">
        <v>3</v>
      </c>
      <c r="G426" s="16">
        <f>'WetLitterbags placem_collection'!E133</f>
        <v>42762</v>
      </c>
      <c r="H426" s="92" t="str">
        <f>'Final data_for_R_analysis_Wetse'!J572</f>
        <v>G768</v>
      </c>
      <c r="I426" t="str">
        <f>'Final data_for_R_analysis_Wetse'!J792</f>
        <v>R592</v>
      </c>
      <c r="J426">
        <f>IFERROR(INDEX('Green_rooibos initial weight'!$C$5:$C$1749,MATCH(H426, 'Green_rooibos initial weight'!$A$5:$A$1749,0)),"")</f>
        <v>2.0089999999999999</v>
      </c>
      <c r="K426">
        <f>IFERROR(INDEX('Green_rooibos initial weight'!$C$5:$C$1749,MATCH(I426, 'Green_rooibos initial weight'!$A$5:$A$1749,0)),"")</f>
        <v>2.2549999999999999</v>
      </c>
      <c r="L426" s="195">
        <f t="shared" si="64"/>
        <v>1.7591999999999999</v>
      </c>
      <c r="M426" s="195">
        <f>AVERAGE(Ashed_controlls!$K$2:$K$11)</f>
        <v>5.5147656768714146</v>
      </c>
      <c r="N426" s="195">
        <f t="shared" si="60"/>
        <v>1.662184242212478</v>
      </c>
      <c r="O426" s="195">
        <f t="shared" si="65"/>
        <v>2.0051999999999999</v>
      </c>
      <c r="P426" s="195">
        <f>AVERAGE(Ashed_controlls!$K$12:$K$14)</f>
        <v>2.2816647271287041</v>
      </c>
      <c r="Q426" s="195">
        <f t="shared" si="66"/>
        <v>1.959448058891615</v>
      </c>
      <c r="R426" s="16">
        <f>IF('WetLitterbags placem_collection'!G133="N.A","",'WetLitterbags placem_collection'!G133)</f>
        <v>42816</v>
      </c>
      <c r="S426" s="195">
        <f>IF(IFERROR(INDEX('Both teabags AfterWet'!$C$3:$C$841,MATCH(H426,'Both teabags AfterWet'!$A$3:$A$841,0)),"")="N.A","",(IFERROR(INDEX('Both teabags AfterWet'!$C$3:$C$841,MATCH(H426,'Both teabags AfterWet'!$A$3:$A$841,0)),"")))</f>
        <v>0.62819999999999998</v>
      </c>
      <c r="T426" s="195">
        <f>IFERROR(INDEX('Both teabags AfterWet'!$C$3:$C$841,MATCH(I426,'Both teabags AfterWet'!$A$3:$A$841,0)),"")</f>
        <v>1.6073999999999999</v>
      </c>
      <c r="U426" s="195">
        <f t="shared" si="67"/>
        <v>0.47759999999999997</v>
      </c>
      <c r="V426" s="195">
        <f t="shared" si="67"/>
        <v>1.4567999999999999</v>
      </c>
      <c r="W426" s="195">
        <f>IFERROR(INDEX('Ashed teabags wet'!$K$2:$K$821,MATCH(H426,'Ashed teabags wet'!$A$2:$A$821,0)),"")</f>
        <v>13.671875000000405</v>
      </c>
      <c r="X426" s="195">
        <f>IFERROR(INDEX('Ashed teabags wet'!$K$2:$K$821,MATCH(I426,'Ashed teabags wet'!$A$2:$A$821,0)),"")</f>
        <v>3.7601142313182434</v>
      </c>
      <c r="Y426" s="195">
        <f t="shared" si="61"/>
        <v>0.41230312499999805</v>
      </c>
      <c r="Z426" s="195">
        <f t="shared" si="61"/>
        <v>1.4020226558781557</v>
      </c>
      <c r="AA426" s="195">
        <f t="shared" si="68"/>
        <v>0.75195100848074747</v>
      </c>
      <c r="AB426" s="195">
        <f t="shared" si="69"/>
        <v>0.49296550674747347</v>
      </c>
      <c r="AC426" s="195">
        <f t="shared" si="62"/>
        <v>0.71551917363465423</v>
      </c>
      <c r="AD426">
        <f t="shared" si="63"/>
        <v>54</v>
      </c>
      <c r="AE426" s="195">
        <f t="shared" si="70"/>
        <v>0.10694654574733076</v>
      </c>
      <c r="AF426" s="195">
        <f t="shared" si="71"/>
        <v>1.5936548933547387E-2</v>
      </c>
      <c r="AG426" s="255" t="str">
        <f>IF(ISNUMBER(SEARCH("C",'WetLitterbags placem_collection'!AD353)),"YES","NO")</f>
        <v>NO</v>
      </c>
      <c r="AH426" s="255" t="str">
        <f>IF(ISNUMBER(SEARCH("H", 'WetLitterbags placem_collection'!AF133)),"YES","NO")</f>
        <v>NO</v>
      </c>
      <c r="AI426" s="255" t="str">
        <f>IF(ISNUMBER(SEARCH("R", 'WetLitterbags placem_collection'!XF133)),"YES","NO")</f>
        <v>NO</v>
      </c>
      <c r="AJ426" s="255" t="str">
        <f>IF(ISNUMBER(SEARCH("C", 'WetLitterbags placem_collection'!WE133)),"YES","NO")</f>
        <v>NO</v>
      </c>
      <c r="AK426" s="255" t="str">
        <f>IF(ISNUMBER(SEARCH("H", 'WetLitterbags placem_collection'!AE133)),"YES","NO")</f>
        <v>NO</v>
      </c>
      <c r="AL426" s="255" t="str">
        <f>IF(ISNUMBER(SEARCH("R", 'WetLitterbags placem_collection'!AE133)),"YES","NO")</f>
        <v>NO</v>
      </c>
    </row>
    <row r="427" spans="2:38">
      <c r="B427" t="str">
        <f>'Final data_for_R_analysis_Wetse'!A573</f>
        <v>Wet</v>
      </c>
      <c r="C427" s="263">
        <f>'Final data_for_R_analysis_Wetse'!B573</f>
        <v>132</v>
      </c>
      <c r="D427" t="s">
        <v>3846</v>
      </c>
      <c r="E427" t="s">
        <v>25</v>
      </c>
      <c r="F427" s="387">
        <v>4</v>
      </c>
      <c r="G427" s="16">
        <f>'WetLitterbags placem_collection'!E134</f>
        <v>42762</v>
      </c>
      <c r="H427" s="92" t="str">
        <f>'Final data_for_R_analysis_Wetse'!J573</f>
        <v>G779</v>
      </c>
      <c r="I427" t="str">
        <f>'Final data_for_R_analysis_Wetse'!J793</f>
        <v>R477</v>
      </c>
      <c r="J427">
        <f>IFERROR(INDEX('Green_rooibos initial weight'!$C$5:$C$1749,MATCH(H427, 'Green_rooibos initial weight'!$A$5:$A$1749,0)),"")</f>
        <v>2.0110000000000001</v>
      </c>
      <c r="K427">
        <f>IFERROR(INDEX('Green_rooibos initial weight'!$C$5:$C$1749,MATCH(I427, 'Green_rooibos initial weight'!$A$5:$A$1749,0)),"")</f>
        <v>2.169</v>
      </c>
      <c r="L427" s="195">
        <f t="shared" si="64"/>
        <v>1.7612000000000001</v>
      </c>
      <c r="M427" s="195">
        <f>AVERAGE(Ashed_controlls!$K$2:$K$11)</f>
        <v>5.5147656768714146</v>
      </c>
      <c r="N427" s="195">
        <f t="shared" si="60"/>
        <v>1.6640739468989407</v>
      </c>
      <c r="O427" s="195">
        <f t="shared" si="65"/>
        <v>1.9192</v>
      </c>
      <c r="P427" s="195">
        <f>AVERAGE(Ashed_controlls!$K$12:$K$14)</f>
        <v>2.2816647271287041</v>
      </c>
      <c r="Q427" s="195">
        <f t="shared" si="66"/>
        <v>1.8754102905569459</v>
      </c>
      <c r="R427" s="16">
        <f>IF('WetLitterbags placem_collection'!G134="N.A","",'WetLitterbags placem_collection'!G134)</f>
        <v>42816</v>
      </c>
      <c r="S427" s="195">
        <f>IF(IFERROR(INDEX('Both teabags AfterWet'!$C$3:$C$841,MATCH(H427,'Both teabags AfterWet'!$A$3:$A$841,0)),"")="N.A","",(IFERROR(INDEX('Both teabags AfterWet'!$C$3:$C$841,MATCH(H427,'Both teabags AfterWet'!$A$3:$A$841,0)),"")))</f>
        <v>0.63490000000000002</v>
      </c>
      <c r="T427" s="195">
        <f>IFERROR(INDEX('Both teabags AfterWet'!$C$3:$C$841,MATCH(I427,'Both teabags AfterWet'!$A$3:$A$841,0)),"")</f>
        <v>1.573</v>
      </c>
      <c r="U427" s="195">
        <f t="shared" si="67"/>
        <v>0.48430000000000001</v>
      </c>
      <c r="V427" s="195">
        <f t="shared" si="67"/>
        <v>1.4223999999999999</v>
      </c>
      <c r="W427" s="195">
        <f>IFERROR(INDEX('Ashed teabags wet'!$K$2:$K$821,MATCH(H427,'Ashed teabags wet'!$A$2:$A$821,0)),"")</f>
        <v>13.853028798411678</v>
      </c>
      <c r="X427" s="195">
        <f>IFERROR(INDEX('Ashed teabags wet'!$K$2:$K$821,MATCH(I427,'Ashed teabags wet'!$A$2:$A$821,0)),"")</f>
        <v>4.5098039215686896</v>
      </c>
      <c r="Y427" s="195">
        <f t="shared" si="61"/>
        <v>0.41720978152929222</v>
      </c>
      <c r="Z427" s="195">
        <f t="shared" si="61"/>
        <v>1.3582525490196069</v>
      </c>
      <c r="AA427" s="195">
        <f t="shared" si="68"/>
        <v>0.74928410945512547</v>
      </c>
      <c r="AB427" s="195">
        <f t="shared" si="69"/>
        <v>0.49121713588982108</v>
      </c>
      <c r="AC427" s="195">
        <f t="shared" si="62"/>
        <v>0.72424287946945354</v>
      </c>
      <c r="AD427">
        <f t="shared" si="63"/>
        <v>54</v>
      </c>
      <c r="AE427" s="195">
        <f t="shared" si="70"/>
        <v>0.11011388425757063</v>
      </c>
      <c r="AF427" s="195">
        <f t="shared" si="71"/>
        <v>1.5261313208177897E-2</v>
      </c>
      <c r="AG427" s="255" t="str">
        <f>IF(ISNUMBER(SEARCH("C",'WetLitterbags placem_collection'!AD354)),"YES","NO")</f>
        <v>NO</v>
      </c>
      <c r="AH427" s="255" t="str">
        <f>IF(ISNUMBER(SEARCH("H", 'WetLitterbags placem_collection'!AF134)),"YES","NO")</f>
        <v>NO</v>
      </c>
      <c r="AI427" s="255" t="str">
        <f>IF(ISNUMBER(SEARCH("R", 'WetLitterbags placem_collection'!XF134)),"YES","NO")</f>
        <v>NO</v>
      </c>
      <c r="AJ427" s="255" t="str">
        <f>IF(ISNUMBER(SEARCH("C", 'WetLitterbags placem_collection'!WE134)),"YES","NO")</f>
        <v>NO</v>
      </c>
      <c r="AK427" s="255" t="str">
        <f>IF(ISNUMBER(SEARCH("H", 'WetLitterbags placem_collection'!AE134)),"YES","NO")</f>
        <v>NO</v>
      </c>
      <c r="AL427" s="255" t="str">
        <f>IF(ISNUMBER(SEARCH("R", 'WetLitterbags placem_collection'!AE134)),"YES","NO")</f>
        <v>NO</v>
      </c>
    </row>
    <row r="428" spans="2:38">
      <c r="B428" t="str">
        <f>'Final data_for_R_analysis_Wetse'!A574</f>
        <v>Wet</v>
      </c>
      <c r="C428" s="263">
        <f>'Final data_for_R_analysis_Wetse'!B574</f>
        <v>133</v>
      </c>
      <c r="D428" t="s">
        <v>3846</v>
      </c>
      <c r="E428" t="s">
        <v>25</v>
      </c>
      <c r="F428" s="387">
        <v>5</v>
      </c>
      <c r="G428" s="16">
        <f>'WetLitterbags placem_collection'!E135</f>
        <v>42762</v>
      </c>
      <c r="H428" s="92" t="str">
        <f>'Final data_for_R_analysis_Wetse'!J574</f>
        <v>G799</v>
      </c>
      <c r="I428" t="str">
        <f>'Final data_for_R_analysis_Wetse'!J794</f>
        <v>R597</v>
      </c>
      <c r="J428">
        <f>IFERROR(INDEX('Green_rooibos initial weight'!$C$5:$C$1749,MATCH(H428, 'Green_rooibos initial weight'!$A$5:$A$1749,0)),"")</f>
        <v>2.093</v>
      </c>
      <c r="K428">
        <f>IFERROR(INDEX('Green_rooibos initial weight'!$C$5:$C$1749,MATCH(I428, 'Green_rooibos initial weight'!$A$5:$A$1749,0)),"")</f>
        <v>2.165</v>
      </c>
      <c r="L428" s="195">
        <f t="shared" si="64"/>
        <v>1.8431999999999999</v>
      </c>
      <c r="M428" s="195">
        <f>AVERAGE(Ashed_controlls!$K$2:$K$11)</f>
        <v>5.5147656768714146</v>
      </c>
      <c r="N428" s="195">
        <f t="shared" si="60"/>
        <v>1.741551839043906</v>
      </c>
      <c r="O428" s="195">
        <f t="shared" si="65"/>
        <v>1.9152</v>
      </c>
      <c r="P428" s="195">
        <f>AVERAGE(Ashed_controlls!$K$12:$K$14)</f>
        <v>2.2816647271287041</v>
      </c>
      <c r="Q428" s="195">
        <f t="shared" si="66"/>
        <v>1.8715015571460312</v>
      </c>
      <c r="R428" s="16">
        <f>IF('WetLitterbags placem_collection'!G135="N.A","",'WetLitterbags placem_collection'!G135)</f>
        <v>42816</v>
      </c>
      <c r="S428" s="195">
        <f>IF(IFERROR(INDEX('Both teabags AfterWet'!$C$3:$C$841,MATCH(H428,'Both teabags AfterWet'!$A$3:$A$841,0)),"")="N.A","",(IFERROR(INDEX('Both teabags AfterWet'!$C$3:$C$841,MATCH(H428,'Both teabags AfterWet'!$A$3:$A$841,0)),"")))</f>
        <v>0.63380000000000003</v>
      </c>
      <c r="T428" s="195">
        <f>IFERROR(INDEX('Both teabags AfterWet'!$C$3:$C$841,MATCH(I428,'Both teabags AfterWet'!$A$3:$A$841,0)),"")</f>
        <v>1.5714999999999999</v>
      </c>
      <c r="U428" s="195">
        <f t="shared" si="67"/>
        <v>0.48320000000000002</v>
      </c>
      <c r="V428" s="195">
        <f t="shared" si="67"/>
        <v>1.4208999999999998</v>
      </c>
      <c r="W428" s="195">
        <f>IFERROR(INDEX('Ashed teabags wet'!$K$2:$K$821,MATCH(H428,'Ashed teabags wet'!$A$2:$A$821,0)),"")</f>
        <v>14.024691358025066</v>
      </c>
      <c r="X428" s="195">
        <f>IFERROR(INDEX('Ashed teabags wet'!$K$2:$K$821,MATCH(I428,'Ashed teabags wet'!$A$2:$A$821,0)),"")</f>
        <v>7.7152812344452117</v>
      </c>
      <c r="Y428" s="195">
        <f t="shared" si="61"/>
        <v>0.41543269135802291</v>
      </c>
      <c r="Z428" s="195">
        <f t="shared" si="61"/>
        <v>1.3112735689397679</v>
      </c>
      <c r="AA428" s="195">
        <f t="shared" si="68"/>
        <v>0.76145832581929274</v>
      </c>
      <c r="AB428" s="195">
        <f t="shared" si="69"/>
        <v>0.49919833236609223</v>
      </c>
      <c r="AC428" s="195">
        <f t="shared" si="62"/>
        <v>0.7006532075449674</v>
      </c>
      <c r="AD428">
        <f t="shared" si="63"/>
        <v>54</v>
      </c>
      <c r="AE428" s="195">
        <f t="shared" si="70"/>
        <v>9.5655194988963466E-2</v>
      </c>
      <c r="AF428" s="195">
        <f t="shared" si="71"/>
        <v>1.6952383073609193E-2</v>
      </c>
      <c r="AG428" s="255" t="str">
        <f>IF(ISNUMBER(SEARCH("C",'WetLitterbags placem_collection'!AD355)),"YES","NO")</f>
        <v>NO</v>
      </c>
      <c r="AH428" s="255" t="str">
        <f>IF(ISNUMBER(SEARCH("H", 'WetLitterbags placem_collection'!AF135)),"YES","NO")</f>
        <v>NO</v>
      </c>
      <c r="AI428" s="255" t="str">
        <f>IF(ISNUMBER(SEARCH("R", 'WetLitterbags placem_collection'!XF135)),"YES","NO")</f>
        <v>NO</v>
      </c>
      <c r="AJ428" s="255" t="str">
        <f>IF(ISNUMBER(SEARCH("C", 'WetLitterbags placem_collection'!WE135)),"YES","NO")</f>
        <v>NO</v>
      </c>
      <c r="AK428" s="255" t="str">
        <f>IF(ISNUMBER(SEARCH("H", 'WetLitterbags placem_collection'!AE135)),"YES","NO")</f>
        <v>NO</v>
      </c>
      <c r="AL428" s="255" t="str">
        <f>IF(ISNUMBER(SEARCH("R", 'WetLitterbags placem_collection'!AE135)),"YES","NO")</f>
        <v>NO</v>
      </c>
    </row>
    <row r="429" spans="2:38">
      <c r="B429" t="str">
        <f>'Final data_for_R_analysis_Wetse'!A575</f>
        <v>Wet</v>
      </c>
      <c r="C429" s="263">
        <f>'Final data_for_R_analysis_Wetse'!B575</f>
        <v>134</v>
      </c>
      <c r="D429" t="s">
        <v>3846</v>
      </c>
      <c r="E429" t="s">
        <v>25</v>
      </c>
      <c r="F429" s="387">
        <v>6</v>
      </c>
      <c r="G429" s="16">
        <f>'WetLitterbags placem_collection'!E136</f>
        <v>42762</v>
      </c>
      <c r="H429" s="92" t="str">
        <f>'Final data_for_R_analysis_Wetse'!J575</f>
        <v>G820</v>
      </c>
      <c r="I429" t="str">
        <f>'Final data_for_R_analysis_Wetse'!J795</f>
        <v>R467</v>
      </c>
      <c r="J429">
        <f>IFERROR(INDEX('Green_rooibos initial weight'!$C$5:$C$1749,MATCH(H429, 'Green_rooibos initial weight'!$A$5:$A$1749,0)),"")</f>
        <v>1.927</v>
      </c>
      <c r="K429">
        <f>IFERROR(INDEX('Green_rooibos initial weight'!$C$5:$C$1749,MATCH(I429, 'Green_rooibos initial weight'!$A$5:$A$1749,0)),"")</f>
        <v>2.3140000000000001</v>
      </c>
      <c r="L429" s="195">
        <f t="shared" si="64"/>
        <v>1.6772</v>
      </c>
      <c r="M429" s="195">
        <f>AVERAGE(Ashed_controlls!$K$2:$K$11)</f>
        <v>5.5147656768714146</v>
      </c>
      <c r="N429" s="195">
        <f t="shared" si="60"/>
        <v>1.5847063500675127</v>
      </c>
      <c r="O429" s="195">
        <f t="shared" si="65"/>
        <v>2.0642</v>
      </c>
      <c r="P429" s="195">
        <f>AVERAGE(Ashed_controlls!$K$12:$K$14)</f>
        <v>2.2816647271287041</v>
      </c>
      <c r="Q429" s="195">
        <f t="shared" si="66"/>
        <v>2.0171018767026094</v>
      </c>
      <c r="R429" s="16">
        <f>IF('WetLitterbags placem_collection'!G136="N.A","",'WetLitterbags placem_collection'!G136)</f>
        <v>42816</v>
      </c>
      <c r="S429" s="195">
        <f>IF(IFERROR(INDEX('Both teabags AfterWet'!$C$3:$C$841,MATCH(H429,'Both teabags AfterWet'!$A$3:$A$841,0)),"")="N.A","",(IFERROR(INDEX('Both teabags AfterWet'!$C$3:$C$841,MATCH(H429,'Both teabags AfterWet'!$A$3:$A$841,0)),"")))</f>
        <v>0.53400000000000003</v>
      </c>
      <c r="T429" s="195">
        <f>IFERROR(INDEX('Both teabags AfterWet'!$C$3:$C$841,MATCH(I429,'Both teabags AfterWet'!$A$3:$A$841,0)),"")</f>
        <v>1.591</v>
      </c>
      <c r="U429" s="195">
        <f t="shared" si="67"/>
        <v>0.38340000000000002</v>
      </c>
      <c r="V429" s="195">
        <f t="shared" si="67"/>
        <v>1.4403999999999999</v>
      </c>
      <c r="W429" s="195">
        <f>IFERROR(INDEX('Ashed teabags wet'!$K$2:$K$821,MATCH(H429,'Ashed teabags wet'!$A$2:$A$821,0)),"")</f>
        <v>12.606303151575968</v>
      </c>
      <c r="X429" s="195">
        <f>IFERROR(INDEX('Ashed teabags wet'!$K$2:$K$821,MATCH(I429,'Ashed teabags wet'!$A$2:$A$821,0)),"")</f>
        <v>3.4619188921860404</v>
      </c>
      <c r="Y429" s="195">
        <f t="shared" si="61"/>
        <v>0.33506743371685777</v>
      </c>
      <c r="Z429" s="195">
        <f t="shared" si="61"/>
        <v>1.3905345202769521</v>
      </c>
      <c r="AA429" s="195">
        <f t="shared" si="68"/>
        <v>0.78856181544133841</v>
      </c>
      <c r="AB429" s="195">
        <f t="shared" si="69"/>
        <v>0.51696689088315784</v>
      </c>
      <c r="AC429" s="195">
        <f t="shared" si="62"/>
        <v>0.68937247857311124</v>
      </c>
      <c r="AD429">
        <f t="shared" si="63"/>
        <v>54</v>
      </c>
      <c r="AE429" s="195">
        <f t="shared" si="70"/>
        <v>6.3465777385583788E-2</v>
      </c>
      <c r="AF429" s="195">
        <f t="shared" si="71"/>
        <v>1.7008455440619904E-2</v>
      </c>
      <c r="AG429" s="255" t="str">
        <f>IF(ISNUMBER(SEARCH("C",'WetLitterbags placem_collection'!AD356)),"YES","NO")</f>
        <v>NO</v>
      </c>
      <c r="AH429" s="255" t="str">
        <f>IF(ISNUMBER(SEARCH("H", 'WetLitterbags placem_collection'!AF136)),"YES","NO")</f>
        <v>NO</v>
      </c>
      <c r="AI429" s="255" t="str">
        <f>IF(ISNUMBER(SEARCH("R", 'WetLitterbags placem_collection'!XF136)),"YES","NO")</f>
        <v>NO</v>
      </c>
      <c r="AJ429" s="255" t="str">
        <f>IF(ISNUMBER(SEARCH("C", 'WetLitterbags placem_collection'!WE136)),"YES","NO")</f>
        <v>NO</v>
      </c>
      <c r="AK429" s="255" t="str">
        <f>IF(ISNUMBER(SEARCH("H", 'WetLitterbags placem_collection'!AE136)),"YES","NO")</f>
        <v>NO</v>
      </c>
      <c r="AL429" s="255" t="str">
        <f>IF(ISNUMBER(SEARCH("R", 'WetLitterbags placem_collection'!AE136)),"YES","NO")</f>
        <v>NO</v>
      </c>
    </row>
    <row r="430" spans="2:38">
      <c r="B430" t="str">
        <f>'Final data_for_R_analysis_Wetse'!A576</f>
        <v>Wet</v>
      </c>
      <c r="C430" s="263">
        <f>'Final data_for_R_analysis_Wetse'!B576</f>
        <v>135</v>
      </c>
      <c r="D430" t="s">
        <v>3846</v>
      </c>
      <c r="E430" t="s">
        <v>25</v>
      </c>
      <c r="F430" s="387">
        <v>7</v>
      </c>
      <c r="G430" s="16">
        <f>'WetLitterbags placem_collection'!E137</f>
        <v>42762</v>
      </c>
      <c r="H430" s="92" t="str">
        <f>'Final data_for_R_analysis_Wetse'!J576</f>
        <v>G842</v>
      </c>
      <c r="I430" t="str">
        <f>'Final data_for_R_analysis_Wetse'!J796</f>
        <v>R596</v>
      </c>
      <c r="J430">
        <f>IFERROR(INDEX('Green_rooibos initial weight'!$C$5:$C$1749,MATCH(H430, 'Green_rooibos initial weight'!$A$5:$A$1749,0)),"")</f>
        <v>1.9670000000000001</v>
      </c>
      <c r="K430">
        <f>IFERROR(INDEX('Green_rooibos initial weight'!$C$5:$C$1749,MATCH(I430, 'Green_rooibos initial weight'!$A$5:$A$1749,0)),"")</f>
        <v>2.1749999999999998</v>
      </c>
      <c r="L430" s="195">
        <f t="shared" si="64"/>
        <v>1.7172000000000001</v>
      </c>
      <c r="M430" s="195">
        <f>AVERAGE(Ashed_controlls!$K$2:$K$11)</f>
        <v>5.5147656768714146</v>
      </c>
      <c r="N430" s="195">
        <f t="shared" si="60"/>
        <v>1.6225004437967641</v>
      </c>
      <c r="O430" s="195">
        <f t="shared" si="65"/>
        <v>1.9251999999999998</v>
      </c>
      <c r="P430" s="195">
        <f>AVERAGE(Ashed_controlls!$K$12:$K$14)</f>
        <v>2.2816647271287041</v>
      </c>
      <c r="Q430" s="195">
        <f t="shared" si="66"/>
        <v>1.8812733906733179</v>
      </c>
      <c r="R430" s="16">
        <f>IF('WetLitterbags placem_collection'!G137="N.A","",'WetLitterbags placem_collection'!G137)</f>
        <v>42816</v>
      </c>
      <c r="S430" s="195">
        <f>IF(IFERROR(INDEX('Both teabags AfterWet'!$C$3:$C$841,MATCH(H430,'Both teabags AfterWet'!$A$3:$A$841,0)),"")="N.A","",(IFERROR(INDEX('Both teabags AfterWet'!$C$3:$C$841,MATCH(H430,'Both teabags AfterWet'!$A$3:$A$841,0)),"")))</f>
        <v>0.56399999999999995</v>
      </c>
      <c r="T430" s="195">
        <f>IFERROR(INDEX('Both teabags AfterWet'!$C$3:$C$841,MATCH(I430,'Both teabags AfterWet'!$A$3:$A$841,0)),"")</f>
        <v>1.512</v>
      </c>
      <c r="U430" s="195">
        <f t="shared" si="67"/>
        <v>0.41339999999999993</v>
      </c>
      <c r="V430" s="195">
        <f t="shared" si="67"/>
        <v>1.3613999999999999</v>
      </c>
      <c r="W430" s="195">
        <f>IFERROR(INDEX('Ashed teabags wet'!$K$2:$K$821,MATCH(H430,'Ashed teabags wet'!$A$2:$A$821,0)),"")</f>
        <v>14.385614385613385</v>
      </c>
      <c r="X430" s="195">
        <f>IFERROR(INDEX('Ashed teabags wet'!$K$2:$K$821,MATCH(I430,'Ashed teabags wet'!$A$2:$A$821,0)),"")</f>
        <v>6.95609274790369</v>
      </c>
      <c r="Y430" s="195">
        <f t="shared" si="61"/>
        <v>0.3539298701298742</v>
      </c>
      <c r="Z430" s="195">
        <f t="shared" si="61"/>
        <v>1.266699753330039</v>
      </c>
      <c r="AA430" s="195">
        <f t="shared" si="68"/>
        <v>0.78186146482545571</v>
      </c>
      <c r="AB430" s="195">
        <f t="shared" si="69"/>
        <v>0.51257426197583322</v>
      </c>
      <c r="AC430" s="195">
        <f t="shared" si="62"/>
        <v>0.67332040075083421</v>
      </c>
      <c r="AD430">
        <f t="shared" si="63"/>
        <v>54</v>
      </c>
      <c r="AE430" s="195">
        <f t="shared" si="70"/>
        <v>7.1423438449577548E-2</v>
      </c>
      <c r="AF430" s="195">
        <f t="shared" si="71"/>
        <v>1.8782692927222708E-2</v>
      </c>
      <c r="AG430" s="255" t="str">
        <f>IF(ISNUMBER(SEARCH("C",'WetLitterbags placem_collection'!AD357)),"YES","NO")</f>
        <v>NO</v>
      </c>
      <c r="AH430" s="255" t="str">
        <f>IF(ISNUMBER(SEARCH("H", 'WetLitterbags placem_collection'!AF137)),"YES","NO")</f>
        <v>NO</v>
      </c>
      <c r="AI430" s="255" t="str">
        <f>IF(ISNUMBER(SEARCH("R", 'WetLitterbags placem_collection'!XF137)),"YES","NO")</f>
        <v>NO</v>
      </c>
      <c r="AJ430" s="255" t="str">
        <f>IF(ISNUMBER(SEARCH("C", 'WetLitterbags placem_collection'!WE137)),"YES","NO")</f>
        <v>NO</v>
      </c>
      <c r="AK430" s="255" t="str">
        <f>IF(ISNUMBER(SEARCH("H", 'WetLitterbags placem_collection'!AE137)),"YES","NO")</f>
        <v>NO</v>
      </c>
      <c r="AL430" s="255" t="str">
        <f>IF(ISNUMBER(SEARCH("R", 'WetLitterbags placem_collection'!AE137)),"YES","NO")</f>
        <v>NO</v>
      </c>
    </row>
    <row r="431" spans="2:38">
      <c r="B431" t="str">
        <f>'Final data_for_R_analysis_Wetse'!A577</f>
        <v>Wet</v>
      </c>
      <c r="C431" s="263">
        <f>'Final data_for_R_analysis_Wetse'!B577</f>
        <v>136</v>
      </c>
      <c r="D431" t="s">
        <v>3846</v>
      </c>
      <c r="E431" t="s">
        <v>25</v>
      </c>
      <c r="F431" s="387">
        <v>8</v>
      </c>
      <c r="G431" s="16">
        <f>'WetLitterbags placem_collection'!E138</f>
        <v>42762</v>
      </c>
      <c r="H431" s="92" t="str">
        <f>'Final data_for_R_analysis_Wetse'!J577</f>
        <v>G747</v>
      </c>
      <c r="I431" t="str">
        <f>'Final data_for_R_analysis_Wetse'!J797</f>
        <v>R543</v>
      </c>
      <c r="J431">
        <f>IFERROR(INDEX('Green_rooibos initial weight'!$C$5:$C$1749,MATCH(H431, 'Green_rooibos initial weight'!$A$5:$A$1749,0)),"")</f>
        <v>2.044</v>
      </c>
      <c r="K431">
        <f>IFERROR(INDEX('Green_rooibos initial weight'!$C$5:$C$1749,MATCH(I431, 'Green_rooibos initial weight'!$A$5:$A$1749,0)),"")</f>
        <v>2.2730000000000001</v>
      </c>
      <c r="L431" s="195">
        <f t="shared" si="64"/>
        <v>1.7942</v>
      </c>
      <c r="M431" s="195">
        <f>AVERAGE(Ashed_controlls!$K$2:$K$11)</f>
        <v>5.5147656768714146</v>
      </c>
      <c r="N431" s="195">
        <f t="shared" si="60"/>
        <v>1.6952540742255731</v>
      </c>
      <c r="O431" s="195">
        <f t="shared" si="65"/>
        <v>2.0232000000000001</v>
      </c>
      <c r="P431" s="195">
        <f>AVERAGE(Ashed_controlls!$K$12:$K$14)</f>
        <v>2.2816647271287041</v>
      </c>
      <c r="Q431" s="195">
        <f t="shared" si="66"/>
        <v>1.9770373592407322</v>
      </c>
      <c r="R431" s="16">
        <f>IF('WetLitterbags placem_collection'!G138="N.A","",'WetLitterbags placem_collection'!G138)</f>
        <v>42816</v>
      </c>
      <c r="S431" s="195">
        <f>IF(IFERROR(INDEX('Both teabags AfterWet'!$C$3:$C$841,MATCH(H431,'Both teabags AfterWet'!$A$3:$A$841,0)),"")="N.A","",(IFERROR(INDEX('Both teabags AfterWet'!$C$3:$C$841,MATCH(H431,'Both teabags AfterWet'!$A$3:$A$841,0)),"")))</f>
        <v>0.59630000000000005</v>
      </c>
      <c r="T431" s="195">
        <f>IFERROR(INDEX('Both teabags AfterWet'!$C$3:$C$841,MATCH(I431,'Both teabags AfterWet'!$A$3:$A$841,0)),"")</f>
        <v>1.5604</v>
      </c>
      <c r="U431" s="195">
        <f t="shared" si="67"/>
        <v>0.44570000000000004</v>
      </c>
      <c r="V431" s="195">
        <f t="shared" si="67"/>
        <v>1.4097999999999999</v>
      </c>
      <c r="W431" s="195">
        <f>IFERROR(INDEX('Ashed teabags wet'!$K$2:$K$821,MATCH(H431,'Ashed teabags wet'!$A$2:$A$821,0)),"")</f>
        <v>12.676056338028079</v>
      </c>
      <c r="X431" s="195">
        <f>IFERROR(INDEX('Ashed teabags wet'!$K$2:$K$821,MATCH(I431,'Ashed teabags wet'!$A$2:$A$821,0)),"")</f>
        <v>6.5917968749991243</v>
      </c>
      <c r="Y431" s="195">
        <f t="shared" si="61"/>
        <v>0.3892028169014089</v>
      </c>
      <c r="Z431" s="195">
        <f t="shared" si="61"/>
        <v>1.3168688476562622</v>
      </c>
      <c r="AA431" s="195">
        <f t="shared" si="68"/>
        <v>0.77041623269408466</v>
      </c>
      <c r="AB431" s="195">
        <f t="shared" si="69"/>
        <v>0.50507097440277282</v>
      </c>
      <c r="AC431" s="195">
        <f t="shared" si="62"/>
        <v>0.66608192379429632</v>
      </c>
      <c r="AD431">
        <f t="shared" si="63"/>
        <v>54</v>
      </c>
      <c r="AE431" s="195">
        <f t="shared" si="70"/>
        <v>8.5016350719614442E-2</v>
      </c>
      <c r="AF431" s="195">
        <f t="shared" si="71"/>
        <v>2.0039660449486903E-2</v>
      </c>
      <c r="AG431" s="255" t="str">
        <f>IF(ISNUMBER(SEARCH("C",'WetLitterbags placem_collection'!AD358)),"YES","NO")</f>
        <v>NO</v>
      </c>
      <c r="AH431" s="255" t="str">
        <f>IF(ISNUMBER(SEARCH("H", 'WetLitterbags placem_collection'!AF138)),"YES","NO")</f>
        <v>NO</v>
      </c>
      <c r="AI431" s="255" t="str">
        <f>IF(ISNUMBER(SEARCH("R", 'WetLitterbags placem_collection'!XF138)),"YES","NO")</f>
        <v>NO</v>
      </c>
      <c r="AJ431" s="255" t="str">
        <f>IF(ISNUMBER(SEARCH("C", 'WetLitterbags placem_collection'!WE138)),"YES","NO")</f>
        <v>NO</v>
      </c>
      <c r="AK431" s="255" t="str">
        <f>IF(ISNUMBER(SEARCH("H", 'WetLitterbags placem_collection'!AE138)),"YES","NO")</f>
        <v>NO</v>
      </c>
      <c r="AL431" s="255" t="str">
        <f>IF(ISNUMBER(SEARCH("R", 'WetLitterbags placem_collection'!AE138)),"YES","NO")</f>
        <v>NO</v>
      </c>
    </row>
    <row r="432" spans="2:38">
      <c r="B432" t="str">
        <f>'Final data_for_R_analysis_Wetse'!A578</f>
        <v>Wet</v>
      </c>
      <c r="C432" s="263">
        <f>'Final data_for_R_analysis_Wetse'!B578</f>
        <v>137</v>
      </c>
      <c r="D432" t="s">
        <v>3848</v>
      </c>
      <c r="E432" t="s">
        <v>25</v>
      </c>
      <c r="F432" s="386">
        <v>1</v>
      </c>
      <c r="G432" s="16">
        <f>'WetLitterbags placem_collection'!E139</f>
        <v>42762</v>
      </c>
      <c r="H432" s="92" t="str">
        <f>'Final data_for_R_analysis_Wetse'!J578</f>
        <v>G857</v>
      </c>
      <c r="I432" t="str">
        <f>'Final data_for_R_analysis_Wetse'!J798</f>
        <v>R483</v>
      </c>
      <c r="J432">
        <f>IFERROR(INDEX('Green_rooibos initial weight'!$C$5:$C$1749,MATCH(H432, 'Green_rooibos initial weight'!$A$5:$A$1749,0)),"")</f>
        <v>1.927</v>
      </c>
      <c r="K432">
        <f>IFERROR(INDEX('Green_rooibos initial weight'!$C$5:$C$1749,MATCH(I432, 'Green_rooibos initial weight'!$A$5:$A$1749,0)),"")</f>
        <v>2.1970000000000001</v>
      </c>
      <c r="L432" s="195">
        <f t="shared" si="64"/>
        <v>1.6772</v>
      </c>
      <c r="M432" s="195">
        <f>AVERAGE(Ashed_controlls!$K$2:$K$11)</f>
        <v>5.5147656768714146</v>
      </c>
      <c r="N432" s="195">
        <f t="shared" si="60"/>
        <v>1.5847063500675127</v>
      </c>
      <c r="O432" s="195">
        <f t="shared" si="65"/>
        <v>1.9472</v>
      </c>
      <c r="P432" s="195">
        <f>AVERAGE(Ashed_controlls!$K$12:$K$14)</f>
        <v>2.2816647271287041</v>
      </c>
      <c r="Q432" s="195">
        <f t="shared" si="66"/>
        <v>1.90277142443335</v>
      </c>
      <c r="R432" s="16">
        <f>IF('WetLitterbags placem_collection'!G139="N.A","",'WetLitterbags placem_collection'!G139)</f>
        <v>42816</v>
      </c>
      <c r="S432" s="195">
        <f>IF(IFERROR(INDEX('Both teabags AfterWet'!$C$3:$C$841,MATCH(H432,'Both teabags AfterWet'!$A$3:$A$841,0)),"")="N.A","",(IFERROR(INDEX('Both teabags AfterWet'!$C$3:$C$841,MATCH(H432,'Both teabags AfterWet'!$A$3:$A$841,0)),"")))</f>
        <v>0.6</v>
      </c>
      <c r="T432" s="195">
        <f>IFERROR(INDEX('Both teabags AfterWet'!$C$3:$C$841,MATCH(I432,'Both teabags AfterWet'!$A$3:$A$841,0)),"")</f>
        <v>1.778</v>
      </c>
      <c r="U432" s="195">
        <f t="shared" si="67"/>
        <v>0.44939999999999997</v>
      </c>
      <c r="V432" s="195">
        <f t="shared" si="67"/>
        <v>1.6274</v>
      </c>
      <c r="W432" s="195">
        <f>IFERROR(INDEX('Ashed teabags wet'!$K$2:$K$821,MATCH(H432,'Ashed teabags wet'!$A$2:$A$821,0)),"")</f>
        <v>14.85963213939962</v>
      </c>
      <c r="X432" s="195">
        <f>IFERROR(INDEX('Ashed teabags wet'!$K$2:$K$821,MATCH(I432,'Ashed teabags wet'!$A$2:$A$821,0)),"")</f>
        <v>11.371400683259917</v>
      </c>
      <c r="Y432" s="195">
        <f t="shared" si="61"/>
        <v>0.38262081316553809</v>
      </c>
      <c r="Z432" s="195">
        <f t="shared" si="61"/>
        <v>1.4423418252806282</v>
      </c>
      <c r="AA432" s="195">
        <f t="shared" si="68"/>
        <v>0.75855412382916398</v>
      </c>
      <c r="AB432" s="195">
        <f t="shared" si="69"/>
        <v>0.49729438996876313</v>
      </c>
      <c r="AC432" s="195">
        <f t="shared" si="62"/>
        <v>0.75802159248327006</v>
      </c>
      <c r="AD432">
        <f t="shared" si="63"/>
        <v>54</v>
      </c>
      <c r="AE432" s="195">
        <f t="shared" si="70"/>
        <v>9.9104365998617605E-2</v>
      </c>
      <c r="AF432" s="195">
        <f t="shared" si="71"/>
        <v>1.2345930736240645E-2</v>
      </c>
      <c r="AG432" s="255" t="str">
        <f>IF(ISNUMBER(SEARCH("C",'WetLitterbags placem_collection'!AD359)),"YES","NO")</f>
        <v>NO</v>
      </c>
      <c r="AH432" s="255" t="str">
        <f>IF(ISNUMBER(SEARCH("H", 'WetLitterbags placem_collection'!AF139)),"YES","NO")</f>
        <v>NO</v>
      </c>
      <c r="AI432" s="255" t="str">
        <f>IF(ISNUMBER(SEARCH("R", 'WetLitterbags placem_collection'!XF139)),"YES","NO")</f>
        <v>NO</v>
      </c>
      <c r="AJ432" s="255" t="str">
        <f>IF(ISNUMBER(SEARCH("C", 'WetLitterbags placem_collection'!WE139)),"YES","NO")</f>
        <v>NO</v>
      </c>
      <c r="AK432" s="255" t="str">
        <f>IF(ISNUMBER(SEARCH("H", 'WetLitterbags placem_collection'!AE139)),"YES","NO")</f>
        <v>NO</v>
      </c>
      <c r="AL432" s="255" t="str">
        <f>IF(ISNUMBER(SEARCH("R", 'WetLitterbags placem_collection'!AE139)),"YES","NO")</f>
        <v>NO</v>
      </c>
    </row>
    <row r="433" spans="2:38">
      <c r="B433" t="str">
        <f>'Final data_for_R_analysis_Wetse'!A579</f>
        <v>Wet</v>
      </c>
      <c r="C433" s="263">
        <f>'Final data_for_R_analysis_Wetse'!B579</f>
        <v>138</v>
      </c>
      <c r="D433" t="s">
        <v>3848</v>
      </c>
      <c r="E433" t="s">
        <v>25</v>
      </c>
      <c r="F433" s="386">
        <v>2</v>
      </c>
      <c r="G433" s="16">
        <f>'WetLitterbags placem_collection'!E140</f>
        <v>42762</v>
      </c>
      <c r="H433" s="92" t="str">
        <f>'Final data_for_R_analysis_Wetse'!J579</f>
        <v>G623</v>
      </c>
      <c r="I433" t="str">
        <f>'Final data_for_R_analysis_Wetse'!J799</f>
        <v>R21</v>
      </c>
      <c r="J433">
        <f>IFERROR(INDEX('Green_rooibos initial weight'!$C$5:$C$1749,MATCH(H433, 'Green_rooibos initial weight'!$A$5:$A$1749,0)),"")</f>
        <v>2.1040000000000001</v>
      </c>
      <c r="K433">
        <f>IFERROR(INDEX('Green_rooibos initial weight'!$C$5:$C$1749,MATCH(I433, 'Green_rooibos initial weight'!$A$5:$A$1749,0)),"")</f>
        <v>2.0249999999999999</v>
      </c>
      <c r="L433" s="195">
        <f t="shared" si="64"/>
        <v>1.8542000000000001</v>
      </c>
      <c r="M433" s="195">
        <f>AVERAGE(Ashed_controlls!$K$2:$K$11)</f>
        <v>5.5147656768714146</v>
      </c>
      <c r="N433" s="195">
        <f t="shared" si="60"/>
        <v>1.7519452148194503</v>
      </c>
      <c r="O433" s="195">
        <f t="shared" si="65"/>
        <v>1.7751999999999999</v>
      </c>
      <c r="P433" s="195">
        <f>AVERAGE(Ashed_controlls!$K$12:$K$14)</f>
        <v>2.2816647271287041</v>
      </c>
      <c r="Q433" s="195">
        <f t="shared" si="66"/>
        <v>1.7346958877640111</v>
      </c>
      <c r="R433" s="16">
        <f>IF('WetLitterbags placem_collection'!G140="N.A","",'WetLitterbags placem_collection'!G140)</f>
        <v>42816</v>
      </c>
      <c r="S433" s="195">
        <f>IF(IFERROR(INDEX('Both teabags AfterWet'!$C$3:$C$841,MATCH(H433,'Both teabags AfterWet'!$A$3:$A$841,0)),"")="N.A","",(IFERROR(INDEX('Both teabags AfterWet'!$C$3:$C$841,MATCH(H433,'Both teabags AfterWet'!$A$3:$A$841,0)),"")))</f>
        <v>0.64800000000000002</v>
      </c>
      <c r="T433" s="195">
        <f>IFERROR(INDEX('Both teabags AfterWet'!$C$3:$C$841,MATCH(I433,'Both teabags AfterWet'!$A$3:$A$841,0)),"")</f>
        <v>1.522</v>
      </c>
      <c r="U433" s="195">
        <f t="shared" si="67"/>
        <v>0.49740000000000001</v>
      </c>
      <c r="V433" s="195">
        <f t="shared" si="67"/>
        <v>1.3714</v>
      </c>
      <c r="W433" s="195">
        <f>IFERROR(INDEX('Ashed teabags wet'!$K$2:$K$821,MATCH(H433,'Ashed teabags wet'!$A$2:$A$821,0)),"")</f>
        <v>12.94176207068146</v>
      </c>
      <c r="X433" s="195">
        <f>IFERROR(INDEX('Ashed teabags wet'!$K$2:$K$821,MATCH(I433,'Ashed teabags wet'!$A$2:$A$821,0)),"")</f>
        <v>5.1369863013697721</v>
      </c>
      <c r="Y433" s="195">
        <f t="shared" si="61"/>
        <v>0.43302767546043042</v>
      </c>
      <c r="Z433" s="195">
        <f t="shared" si="61"/>
        <v>1.3009513698630149</v>
      </c>
      <c r="AA433" s="195">
        <f t="shared" si="68"/>
        <v>0.75283035576825563</v>
      </c>
      <c r="AB433" s="195">
        <f t="shared" si="69"/>
        <v>0.49354199095496104</v>
      </c>
      <c r="AC433" s="195">
        <f t="shared" si="62"/>
        <v>0.74995933237607171</v>
      </c>
      <c r="AD433">
        <f t="shared" si="63"/>
        <v>54</v>
      </c>
      <c r="AE433" s="195">
        <f t="shared" si="70"/>
        <v>0.10590219029898373</v>
      </c>
      <c r="AF433" s="195">
        <f t="shared" si="71"/>
        <v>1.3083066040298965E-2</v>
      </c>
      <c r="AG433" s="255" t="str">
        <f>IF(ISNUMBER(SEARCH("C",'WetLitterbags placem_collection'!AD360)),"YES","NO")</f>
        <v>NO</v>
      </c>
      <c r="AH433" s="255" t="str">
        <f>IF(ISNUMBER(SEARCH("H", 'WetLitterbags placem_collection'!AF140)),"YES","NO")</f>
        <v>NO</v>
      </c>
      <c r="AI433" s="255" t="str">
        <f>IF(ISNUMBER(SEARCH("R", 'WetLitterbags placem_collection'!XF140)),"YES","NO")</f>
        <v>NO</v>
      </c>
      <c r="AJ433" s="255" t="str">
        <f>IF(ISNUMBER(SEARCH("C", 'WetLitterbags placem_collection'!WE140)),"YES","NO")</f>
        <v>NO</v>
      </c>
      <c r="AK433" s="255" t="str">
        <f>IF(ISNUMBER(SEARCH("H", 'WetLitterbags placem_collection'!AE140)),"YES","NO")</f>
        <v>NO</v>
      </c>
      <c r="AL433" s="255" t="str">
        <f>IF(ISNUMBER(SEARCH("R", 'WetLitterbags placem_collection'!AE140)),"YES","NO")</f>
        <v>NO</v>
      </c>
    </row>
    <row r="434" spans="2:38">
      <c r="B434" t="str">
        <f>'Final data_for_R_analysis_Wetse'!A580</f>
        <v>Wet</v>
      </c>
      <c r="C434" s="263">
        <f>'Final data_for_R_analysis_Wetse'!B580</f>
        <v>139</v>
      </c>
      <c r="D434" t="s">
        <v>3848</v>
      </c>
      <c r="E434" t="s">
        <v>25</v>
      </c>
      <c r="F434" s="386">
        <v>3</v>
      </c>
      <c r="G434" s="16">
        <f>'WetLitterbags placem_collection'!E141</f>
        <v>42762</v>
      </c>
      <c r="H434" s="92" t="str">
        <f>'Final data_for_R_analysis_Wetse'!J580</f>
        <v>G880</v>
      </c>
      <c r="I434" t="str">
        <f>'Final data_for_R_analysis_Wetse'!J800</f>
        <v>R538</v>
      </c>
      <c r="J434">
        <f>IFERROR(INDEX('Green_rooibos initial weight'!$C$5:$C$1749,MATCH(H434, 'Green_rooibos initial weight'!$A$5:$A$1749,0)),"")</f>
        <v>2.1030000000000002</v>
      </c>
      <c r="K434">
        <f>IFERROR(INDEX('Green_rooibos initial weight'!$C$5:$C$1749,MATCH(I434, 'Green_rooibos initial weight'!$A$5:$A$1749,0)),"")</f>
        <v>2.2000000000000002</v>
      </c>
      <c r="L434" s="195">
        <f t="shared" si="64"/>
        <v>1.8532000000000002</v>
      </c>
      <c r="M434" s="195">
        <f>AVERAGE(Ashed_controlls!$K$2:$K$11)</f>
        <v>5.5147656768714146</v>
      </c>
      <c r="N434" s="195">
        <f t="shared" si="60"/>
        <v>1.7510003624762192</v>
      </c>
      <c r="O434" s="195">
        <f t="shared" si="65"/>
        <v>1.9502000000000002</v>
      </c>
      <c r="P434" s="195">
        <f>AVERAGE(Ashed_controlls!$K$12:$K$14)</f>
        <v>2.2816647271287041</v>
      </c>
      <c r="Q434" s="195">
        <f t="shared" si="66"/>
        <v>1.9057029744915361</v>
      </c>
      <c r="R434" s="16">
        <f>IF('WetLitterbags placem_collection'!G141="N.A","",'WetLitterbags placem_collection'!G141)</f>
        <v>42816</v>
      </c>
      <c r="S434" s="195">
        <f>IF(IFERROR(INDEX('Both teabags AfterWet'!$C$3:$C$841,MATCH(H434,'Both teabags AfterWet'!$A$3:$A$841,0)),"")="N.A","",(IFERROR(INDEX('Both teabags AfterWet'!$C$3:$C$841,MATCH(H434,'Both teabags AfterWet'!$A$3:$A$841,0)),"")))</f>
        <v>0.73599999999999999</v>
      </c>
      <c r="T434" s="195">
        <f>IFERROR(INDEX('Both teabags AfterWet'!$C$3:$C$841,MATCH(I434,'Both teabags AfterWet'!$A$3:$A$841,0)),"")</f>
        <v>1.415</v>
      </c>
      <c r="U434" s="195">
        <f t="shared" si="67"/>
        <v>0.58539999999999992</v>
      </c>
      <c r="V434" s="195">
        <f t="shared" si="67"/>
        <v>1.2644</v>
      </c>
      <c r="W434" s="195">
        <f>IFERROR(INDEX('Ashed teabags wet'!$K$2:$K$821,MATCH(H434,'Ashed teabags wet'!$A$2:$A$821,0)),"")</f>
        <v>26.073926073925342</v>
      </c>
      <c r="X434" s="195">
        <f>IFERROR(INDEX('Ashed teabags wet'!$K$2:$K$821,MATCH(I434,'Ashed teabags wet'!$A$2:$A$821,0)),"")</f>
        <v>10.337972166998611</v>
      </c>
      <c r="Y434" s="195">
        <f t="shared" si="61"/>
        <v>0.43276323676324102</v>
      </c>
      <c r="Z434" s="195">
        <f t="shared" si="61"/>
        <v>1.1336866799204695</v>
      </c>
      <c r="AA434" s="195">
        <f t="shared" si="68"/>
        <v>0.75284800275470043</v>
      </c>
      <c r="AB434" s="195">
        <f t="shared" si="69"/>
        <v>0.49355356000070627</v>
      </c>
      <c r="AC434" s="195">
        <f t="shared" si="62"/>
        <v>0.59489159386076429</v>
      </c>
      <c r="AD434">
        <f t="shared" si="63"/>
        <v>54</v>
      </c>
      <c r="AE434" s="195">
        <f t="shared" si="70"/>
        <v>0.10588123188277854</v>
      </c>
      <c r="AF434" s="195">
        <f t="shared" si="71"/>
        <v>3.1837939895645644E-2</v>
      </c>
      <c r="AG434" s="255" t="str">
        <f>IF(ISNUMBER(SEARCH("C",'WetLitterbags placem_collection'!AD361)),"YES","NO")</f>
        <v>NO</v>
      </c>
      <c r="AH434" s="255" t="str">
        <f>IF(ISNUMBER(SEARCH("H", 'WetLitterbags placem_collection'!AF141)),"YES","NO")</f>
        <v>NO</v>
      </c>
      <c r="AI434" s="255" t="str">
        <f>IF(ISNUMBER(SEARCH("R", 'WetLitterbags placem_collection'!XF141)),"YES","NO")</f>
        <v>NO</v>
      </c>
      <c r="AJ434" s="255" t="str">
        <f>IF(ISNUMBER(SEARCH("C", 'WetLitterbags placem_collection'!WE141)),"YES","NO")</f>
        <v>NO</v>
      </c>
      <c r="AK434" s="255" t="str">
        <f>IF(ISNUMBER(SEARCH("H", 'WetLitterbags placem_collection'!AE141)),"YES","NO")</f>
        <v>NO</v>
      </c>
      <c r="AL434" s="255" t="str">
        <f>IF(ISNUMBER(SEARCH("R", 'WetLitterbags placem_collection'!AE141)),"YES","NO")</f>
        <v>NO</v>
      </c>
    </row>
    <row r="435" spans="2:38">
      <c r="B435" t="str">
        <f>'Final data_for_R_analysis_Wetse'!A581</f>
        <v>Wet</v>
      </c>
      <c r="C435" s="263">
        <f>'Final data_for_R_analysis_Wetse'!B581</f>
        <v>140</v>
      </c>
      <c r="D435" t="s">
        <v>3848</v>
      </c>
      <c r="E435" t="s">
        <v>25</v>
      </c>
      <c r="F435" s="387">
        <v>4</v>
      </c>
      <c r="G435" s="16">
        <f>'WetLitterbags placem_collection'!E142</f>
        <v>42762</v>
      </c>
      <c r="H435" s="92" t="str">
        <f>'Final data_for_R_analysis_Wetse'!J581</f>
        <v>G706</v>
      </c>
      <c r="I435" t="str">
        <f>'Final data_for_R_analysis_Wetse'!J801</f>
        <v>R559</v>
      </c>
      <c r="J435">
        <f>IFERROR(INDEX('Green_rooibos initial weight'!$C$5:$C$1749,MATCH(H435, 'Green_rooibos initial weight'!$A$5:$A$1749,0)),"")</f>
        <v>1.9450000000000001</v>
      </c>
      <c r="K435">
        <f>IFERROR(INDEX('Green_rooibos initial weight'!$C$5:$C$1749,MATCH(I435, 'Green_rooibos initial weight'!$A$5:$A$1749,0)),"")</f>
        <v>2.161</v>
      </c>
      <c r="L435" s="195">
        <f t="shared" si="64"/>
        <v>1.6952</v>
      </c>
      <c r="M435" s="195">
        <f>AVERAGE(Ashed_controlls!$K$2:$K$11)</f>
        <v>5.5147656768714146</v>
      </c>
      <c r="N435" s="195">
        <f t="shared" si="60"/>
        <v>1.6017136922456758</v>
      </c>
      <c r="O435" s="195">
        <f t="shared" si="65"/>
        <v>1.9112</v>
      </c>
      <c r="P435" s="195">
        <f>AVERAGE(Ashed_controlls!$K$12:$K$14)</f>
        <v>2.2816647271287041</v>
      </c>
      <c r="Q435" s="195">
        <f t="shared" si="66"/>
        <v>1.8675928237351163</v>
      </c>
      <c r="R435" s="16">
        <f>IF('WetLitterbags placem_collection'!G142="N.A","",'WetLitterbags placem_collection'!G142)</f>
        <v>42816</v>
      </c>
      <c r="S435" s="195">
        <f>IF(IFERROR(INDEX('Both teabags AfterWet'!$C$3:$C$841,MATCH(H435,'Both teabags AfterWet'!$A$3:$A$841,0)),"")="N.A","",(IFERROR(INDEX('Both teabags AfterWet'!$C$3:$C$841,MATCH(H435,'Both teabags AfterWet'!$A$3:$A$841,0)),"")))</f>
        <v>0.60780000000000001</v>
      </c>
      <c r="T435" s="195">
        <f>IFERROR(INDEX('Both teabags AfterWet'!$C$3:$C$841,MATCH(I435,'Both teabags AfterWet'!$A$3:$A$841,0)),"")</f>
        <v>1.6634</v>
      </c>
      <c r="U435" s="195">
        <f t="shared" si="67"/>
        <v>0.4572</v>
      </c>
      <c r="V435" s="195">
        <f t="shared" si="67"/>
        <v>1.5127999999999999</v>
      </c>
      <c r="W435" s="195">
        <f>IFERROR(INDEX('Ashed teabags wet'!$K$2:$K$821,MATCH(H435,'Ashed teabags wet'!$A$2:$A$821,0)),"")</f>
        <v>17.486338797814145</v>
      </c>
      <c r="X435" s="195">
        <f>IFERROR(INDEX('Ashed teabags wet'!$K$2:$K$821,MATCH(I435,'Ashed teabags wet'!$A$2:$A$821,0)),"")</f>
        <v>11.767508337303465</v>
      </c>
      <c r="Y435" s="195">
        <f t="shared" si="61"/>
        <v>0.3772524590163937</v>
      </c>
      <c r="Z435" s="195">
        <f t="shared" si="61"/>
        <v>1.3347811338732731</v>
      </c>
      <c r="AA435" s="195">
        <f t="shared" si="68"/>
        <v>0.76446947988097147</v>
      </c>
      <c r="AB435" s="195">
        <f t="shared" si="69"/>
        <v>0.50117239061080321</v>
      </c>
      <c r="AC435" s="195">
        <f t="shared" si="62"/>
        <v>0.71470671599806235</v>
      </c>
      <c r="AD435">
        <f t="shared" si="63"/>
        <v>54</v>
      </c>
      <c r="AE435" s="195">
        <f t="shared" si="70"/>
        <v>9.2079002516660902E-2</v>
      </c>
      <c r="AF435" s="195">
        <f t="shared" si="71"/>
        <v>1.5596881028912043E-2</v>
      </c>
      <c r="AG435" s="255" t="str">
        <f>IF(ISNUMBER(SEARCH("C",'WetLitterbags placem_collection'!AD362)),"YES","NO")</f>
        <v>NO</v>
      </c>
      <c r="AH435" s="255" t="str">
        <f>IF(ISNUMBER(SEARCH("H", 'WetLitterbags placem_collection'!AF142)),"YES","NO")</f>
        <v>NO</v>
      </c>
      <c r="AI435" s="255" t="str">
        <f>IF(ISNUMBER(SEARCH("R", 'WetLitterbags placem_collection'!XF142)),"YES","NO")</f>
        <v>NO</v>
      </c>
      <c r="AJ435" s="255" t="str">
        <f>IF(ISNUMBER(SEARCH("C", 'WetLitterbags placem_collection'!WE142)),"YES","NO")</f>
        <v>NO</v>
      </c>
      <c r="AK435" s="255" t="str">
        <f>IF(ISNUMBER(SEARCH("H", 'WetLitterbags placem_collection'!AE142)),"YES","NO")</f>
        <v>NO</v>
      </c>
      <c r="AL435" s="255" t="str">
        <f>IF(ISNUMBER(SEARCH("R", 'WetLitterbags placem_collection'!AE142)),"YES","NO")</f>
        <v>NO</v>
      </c>
    </row>
    <row r="436" spans="2:38">
      <c r="B436" t="str">
        <f>'Final data_for_R_analysis_Wetse'!A582</f>
        <v>Wet</v>
      </c>
      <c r="C436" s="263">
        <f>'Final data_for_R_analysis_Wetse'!B582</f>
        <v>141</v>
      </c>
      <c r="D436" t="s">
        <v>3848</v>
      </c>
      <c r="E436" t="s">
        <v>25</v>
      </c>
      <c r="F436" s="387">
        <v>5</v>
      </c>
      <c r="G436" s="16">
        <f>'WetLitterbags placem_collection'!E143</f>
        <v>42762</v>
      </c>
      <c r="H436" s="92" t="str">
        <f>'Final data_for_R_analysis_Wetse'!J582</f>
        <v>G775</v>
      </c>
      <c r="I436" t="str">
        <f>'Final data_for_R_analysis_Wetse'!J802</f>
        <v>R465</v>
      </c>
      <c r="J436">
        <f>IFERROR(INDEX('Green_rooibos initial weight'!$C$5:$C$1749,MATCH(H436, 'Green_rooibos initial weight'!$A$5:$A$1749,0)),"")</f>
        <v>2.1389999999999998</v>
      </c>
      <c r="K436">
        <f>IFERROR(INDEX('Green_rooibos initial weight'!$C$5:$C$1749,MATCH(I436, 'Green_rooibos initial weight'!$A$5:$A$1749,0)),"")</f>
        <v>2.206</v>
      </c>
      <c r="L436" s="195">
        <f t="shared" si="64"/>
        <v>1.8891999999999998</v>
      </c>
      <c r="M436" s="195">
        <f>AVERAGE(Ashed_controlls!$K$2:$K$11)</f>
        <v>5.5147656768714146</v>
      </c>
      <c r="N436" s="195">
        <f t="shared" si="60"/>
        <v>1.785015046832545</v>
      </c>
      <c r="O436" s="195">
        <f t="shared" si="65"/>
        <v>1.9561999999999999</v>
      </c>
      <c r="P436" s="195">
        <f>AVERAGE(Ashed_controlls!$K$12:$K$14)</f>
        <v>2.2816647271287041</v>
      </c>
      <c r="Q436" s="195">
        <f t="shared" si="66"/>
        <v>1.9115660746079082</v>
      </c>
      <c r="R436" s="16">
        <f>IF('WetLitterbags placem_collection'!G143="N.A","",'WetLitterbags placem_collection'!G143)</f>
        <v>42816</v>
      </c>
      <c r="S436" s="195">
        <f>IF(IFERROR(INDEX('Both teabags AfterWet'!$C$3:$C$841,MATCH(H436,'Both teabags AfterWet'!$A$3:$A$841,0)),"")="N.A","",(IFERROR(INDEX('Both teabags AfterWet'!$C$3:$C$841,MATCH(H436,'Both teabags AfterWet'!$A$3:$A$841,0)),"")))</f>
        <v>0.69099999999999995</v>
      </c>
      <c r="T436" s="195">
        <f>IFERROR(INDEX('Both teabags AfterWet'!$C$3:$C$841,MATCH(I436,'Both teabags AfterWet'!$A$3:$A$841,0)),"")</f>
        <v>1.6759999999999999</v>
      </c>
      <c r="U436" s="195">
        <f t="shared" si="67"/>
        <v>0.54039999999999999</v>
      </c>
      <c r="V436" s="195">
        <f t="shared" si="67"/>
        <v>1.5253999999999999</v>
      </c>
      <c r="W436" s="195">
        <f>IFERROR(INDEX('Ashed teabags wet'!$K$2:$K$821,MATCH(H436,'Ashed teabags wet'!$A$2:$A$821,0)),"")</f>
        <v>23.031496062992296</v>
      </c>
      <c r="X436" s="195">
        <f>IFERROR(INDEX('Ashed teabags wet'!$K$2:$K$821,MATCH(I436,'Ashed teabags wet'!$A$2:$A$821,0)),"")</f>
        <v>2.2604422604422161</v>
      </c>
      <c r="Y436" s="195">
        <f t="shared" si="61"/>
        <v>0.41593779527558961</v>
      </c>
      <c r="Z436" s="195">
        <f t="shared" si="61"/>
        <v>1.4909192137592142</v>
      </c>
      <c r="AA436" s="195">
        <f t="shared" si="68"/>
        <v>0.76698359153125428</v>
      </c>
      <c r="AB436" s="195">
        <f t="shared" si="69"/>
        <v>0.50282059682334013</v>
      </c>
      <c r="AC436" s="195">
        <f t="shared" si="62"/>
        <v>0.77994647088776403</v>
      </c>
      <c r="AD436">
        <f t="shared" si="63"/>
        <v>54</v>
      </c>
      <c r="AE436" s="195">
        <f t="shared" si="70"/>
        <v>8.9093121696847577E-2</v>
      </c>
      <c r="AF436" s="195">
        <f t="shared" si="71"/>
        <v>1.0659443772071734E-2</v>
      </c>
      <c r="AG436" s="255" t="str">
        <f>IF(ISNUMBER(SEARCH("C",'WetLitterbags placem_collection'!AD363)),"YES","NO")</f>
        <v>NO</v>
      </c>
      <c r="AH436" s="255" t="str">
        <f>IF(ISNUMBER(SEARCH("H", 'WetLitterbags placem_collection'!AF143)),"YES","NO")</f>
        <v>NO</v>
      </c>
      <c r="AI436" s="255" t="str">
        <f>IF(ISNUMBER(SEARCH("R", 'WetLitterbags placem_collection'!XF143)),"YES","NO")</f>
        <v>NO</v>
      </c>
      <c r="AJ436" s="255" t="str">
        <f>IF(ISNUMBER(SEARCH("C", 'WetLitterbags placem_collection'!WE143)),"YES","NO")</f>
        <v>NO</v>
      </c>
      <c r="AK436" s="255" t="str">
        <f>IF(ISNUMBER(SEARCH("H", 'WetLitterbags placem_collection'!AE143)),"YES","NO")</f>
        <v>NO</v>
      </c>
      <c r="AL436" s="255" t="str">
        <f>IF(ISNUMBER(SEARCH("R", 'WetLitterbags placem_collection'!AE143)),"YES","NO")</f>
        <v>NO</v>
      </c>
    </row>
    <row r="437" spans="2:38">
      <c r="B437" t="str">
        <f>'Final data_for_R_analysis_Wetse'!A583</f>
        <v>Wet</v>
      </c>
      <c r="C437" s="263">
        <f>'Final data_for_R_analysis_Wetse'!B583</f>
        <v>142</v>
      </c>
      <c r="D437" t="s">
        <v>3848</v>
      </c>
      <c r="E437" t="s">
        <v>25</v>
      </c>
      <c r="F437" s="387">
        <v>6</v>
      </c>
      <c r="G437" s="16">
        <f>'WetLitterbags placem_collection'!E144</f>
        <v>42762</v>
      </c>
      <c r="H437" s="92" t="str">
        <f>'Final data_for_R_analysis_Wetse'!J583</f>
        <v>G850</v>
      </c>
      <c r="I437" t="str">
        <f>'Final data_for_R_analysis_Wetse'!J803</f>
        <v>R503</v>
      </c>
      <c r="J437">
        <f>IFERROR(INDEX('Green_rooibos initial weight'!$C$5:$C$1749,MATCH(H437, 'Green_rooibos initial weight'!$A$5:$A$1749,0)),"")</f>
        <v>2.0379999999999998</v>
      </c>
      <c r="K437">
        <f>IFERROR(INDEX('Green_rooibos initial weight'!$C$5:$C$1749,MATCH(I437, 'Green_rooibos initial weight'!$A$5:$A$1749,0)),"")</f>
        <v>2.1709999999999998</v>
      </c>
      <c r="L437" s="195">
        <f t="shared" si="64"/>
        <v>1.7881999999999998</v>
      </c>
      <c r="M437" s="195">
        <f>AVERAGE(Ashed_controlls!$K$2:$K$11)</f>
        <v>5.5147656768714146</v>
      </c>
      <c r="N437" s="195">
        <f t="shared" si="60"/>
        <v>1.6895849601661852</v>
      </c>
      <c r="O437" s="195">
        <f t="shared" si="65"/>
        <v>1.9211999999999998</v>
      </c>
      <c r="P437" s="195">
        <f>AVERAGE(Ashed_controlls!$K$12:$K$14)</f>
        <v>2.2816647271287041</v>
      </c>
      <c r="Q437" s="195">
        <f t="shared" si="66"/>
        <v>1.8773646572624032</v>
      </c>
      <c r="R437" s="16">
        <f>IF('WetLitterbags placem_collection'!G144="N.A","",'WetLitterbags placem_collection'!G144)</f>
        <v>42816</v>
      </c>
      <c r="S437" s="195">
        <f>IF(IFERROR(INDEX('Both teabags AfterWet'!$C$3:$C$841,MATCH(H437,'Both teabags AfterWet'!$A$3:$A$841,0)),"")="N.A","",(IFERROR(INDEX('Both teabags AfterWet'!$C$3:$C$841,MATCH(H437,'Both teabags AfterWet'!$A$3:$A$841,0)),"")))</f>
        <v>0.78500000000000003</v>
      </c>
      <c r="T437" s="195" t="str">
        <f>IFERROR(INDEX('Both teabags AfterWet'!$C$3:$C$841,MATCH(I437,'Both teabags AfterWet'!$A$3:$A$841,0)),"")</f>
        <v/>
      </c>
      <c r="U437" s="195">
        <f t="shared" si="67"/>
        <v>0.63440000000000007</v>
      </c>
      <c r="V437" s="195" t="str">
        <f t="shared" si="67"/>
        <v/>
      </c>
      <c r="W437" s="195">
        <f>IFERROR(INDEX('Ashed teabags wet'!$K$2:$K$821,MATCH(H437,'Ashed teabags wet'!$A$2:$A$821,0)),"")</f>
        <v>14.780029658923441</v>
      </c>
      <c r="X437" s="195" t="str">
        <f>IFERROR(INDEX('Ashed teabags wet'!$K$2:$K$821,MATCH(I437,'Ashed teabags wet'!$A$2:$A$821,0)),"")</f>
        <v/>
      </c>
      <c r="Y437" s="195">
        <f t="shared" si="61"/>
        <v>0.54063549184378978</v>
      </c>
      <c r="Z437" s="195" t="str">
        <f t="shared" si="61"/>
        <v/>
      </c>
      <c r="AA437" s="195">
        <f t="shared" si="68"/>
        <v>0.68001875928712474</v>
      </c>
      <c r="AB437" s="195">
        <f t="shared" si="69"/>
        <v>0.44580802271554976</v>
      </c>
      <c r="AC437" s="195" t="str">
        <f t="shared" si="62"/>
        <v/>
      </c>
      <c r="AD437">
        <f t="shared" si="63"/>
        <v>54</v>
      </c>
      <c r="AE437" s="195">
        <f t="shared" si="70"/>
        <v>0.19237677044284474</v>
      </c>
      <c r="AF437" s="195" t="str">
        <f t="shared" si="71"/>
        <v/>
      </c>
      <c r="AG437" s="255" t="str">
        <f>IF(ISNUMBER(SEARCH("C",'WetLitterbags placem_collection'!AD364)),"YES","NO")</f>
        <v>NO</v>
      </c>
      <c r="AH437" s="255" t="str">
        <f>IF(ISNUMBER(SEARCH("H", 'WetLitterbags placem_collection'!AF144)),"YES","NO")</f>
        <v>NO</v>
      </c>
      <c r="AI437" s="255" t="str">
        <f>IF(ISNUMBER(SEARCH("R", 'WetLitterbags placem_collection'!XF144)),"YES","NO")</f>
        <v>NO</v>
      </c>
      <c r="AJ437" s="255" t="str">
        <f>IF(ISNUMBER(SEARCH("C", 'WetLitterbags placem_collection'!WE144)),"YES","NO")</f>
        <v>NO</v>
      </c>
      <c r="AK437" s="255" t="str">
        <f>IF(ISNUMBER(SEARCH("H", 'WetLitterbags placem_collection'!AE144)),"YES","NO")</f>
        <v>NO</v>
      </c>
      <c r="AL437" s="255" t="str">
        <f>IF(ISNUMBER(SEARCH("R", 'WetLitterbags placem_collection'!AE144)),"YES","NO")</f>
        <v>NO</v>
      </c>
    </row>
    <row r="438" spans="2:38">
      <c r="B438" t="str">
        <f>'Final data_for_R_analysis_Wetse'!A584</f>
        <v>Wet</v>
      </c>
      <c r="C438" s="263">
        <f>'Final data_for_R_analysis_Wetse'!B584</f>
        <v>143</v>
      </c>
      <c r="D438" t="s">
        <v>3848</v>
      </c>
      <c r="E438" t="s">
        <v>25</v>
      </c>
      <c r="F438" s="387">
        <v>7</v>
      </c>
      <c r="G438" s="16">
        <f>'WetLitterbags placem_collection'!E145</f>
        <v>42762</v>
      </c>
      <c r="H438" s="92" t="str">
        <f>'Final data_for_R_analysis_Wetse'!J584</f>
        <v>G697</v>
      </c>
      <c r="I438" t="str">
        <f>'Final data_for_R_analysis_Wetse'!J804</f>
        <v>R567</v>
      </c>
      <c r="J438">
        <f>IFERROR(INDEX('Green_rooibos initial weight'!$C$5:$C$1749,MATCH(H438, 'Green_rooibos initial weight'!$A$5:$A$1749,0)),"")</f>
        <v>2.1110000000000002</v>
      </c>
      <c r="K438">
        <f>IFERROR(INDEX('Green_rooibos initial weight'!$C$5:$C$1749,MATCH(I438, 'Green_rooibos initial weight'!$A$5:$A$1749,0)),"")</f>
        <v>2.097</v>
      </c>
      <c r="L438" s="195">
        <f t="shared" si="64"/>
        <v>1.8612000000000002</v>
      </c>
      <c r="M438" s="195">
        <f>AVERAGE(Ashed_controlls!$K$2:$K$11)</f>
        <v>5.5147656768714146</v>
      </c>
      <c r="N438" s="195">
        <f t="shared" si="60"/>
        <v>1.7585591812220693</v>
      </c>
      <c r="O438" s="195">
        <f t="shared" si="65"/>
        <v>1.8472</v>
      </c>
      <c r="P438" s="195">
        <f>AVERAGE(Ashed_controlls!$K$12:$K$14)</f>
        <v>2.2816647271287041</v>
      </c>
      <c r="Q438" s="195">
        <f t="shared" si="66"/>
        <v>1.8050530891604786</v>
      </c>
      <c r="R438" s="16">
        <f>IF('WetLitterbags placem_collection'!G145="N.A","",'WetLitterbags placem_collection'!G145)</f>
        <v>42816</v>
      </c>
      <c r="S438" s="195">
        <f>IF(IFERROR(INDEX('Both teabags AfterWet'!$C$3:$C$841,MATCH(H438,'Both teabags AfterWet'!$A$3:$A$841,0)),"")="N.A","",(IFERROR(INDEX('Both teabags AfterWet'!$C$3:$C$841,MATCH(H438,'Both teabags AfterWet'!$A$3:$A$841,0)),"")))</f>
        <v>0.67500000000000004</v>
      </c>
      <c r="T438" s="195">
        <f>IFERROR(INDEX('Both teabags AfterWet'!$C$3:$C$841,MATCH(I438,'Both teabags AfterWet'!$A$3:$A$841,0)),"")</f>
        <v>1.5908</v>
      </c>
      <c r="U438" s="195">
        <f t="shared" si="67"/>
        <v>0.52439999999999998</v>
      </c>
      <c r="V438" s="195">
        <f t="shared" si="67"/>
        <v>1.4401999999999999</v>
      </c>
      <c r="W438" s="195">
        <f>IFERROR(INDEX('Ashed teabags wet'!$K$2:$K$821,MATCH(H438,'Ashed teabags wet'!$A$2:$A$821,0)),"")</f>
        <v>17.52988047808789</v>
      </c>
      <c r="X438" s="195">
        <f>IFERROR(INDEX('Ashed teabags wet'!$K$2:$K$821,MATCH(I438,'Ashed teabags wet'!$A$2:$A$821,0)),"")</f>
        <v>3.9043435822355246</v>
      </c>
      <c r="Y438" s="195">
        <f t="shared" si="61"/>
        <v>0.43247330677290707</v>
      </c>
      <c r="Z438" s="195">
        <f t="shared" si="61"/>
        <v>1.383969643728644</v>
      </c>
      <c r="AA438" s="195">
        <f t="shared" si="68"/>
        <v>0.75407520463862354</v>
      </c>
      <c r="AB438" s="195">
        <f t="shared" si="69"/>
        <v>0.49435809140204306</v>
      </c>
      <c r="AC438" s="195">
        <f t="shared" si="62"/>
        <v>0.7667196339207516</v>
      </c>
      <c r="AD438">
        <f t="shared" si="63"/>
        <v>54</v>
      </c>
      <c r="AE438" s="195">
        <f t="shared" si="70"/>
        <v>0.104423747460067</v>
      </c>
      <c r="AF438" s="195">
        <f t="shared" si="71"/>
        <v>1.1822999533476234E-2</v>
      </c>
      <c r="AG438" s="255" t="str">
        <f>IF(ISNUMBER(SEARCH("C",'WetLitterbags placem_collection'!AD365)),"YES","NO")</f>
        <v>NO</v>
      </c>
      <c r="AH438" s="255" t="str">
        <f>IF(ISNUMBER(SEARCH("H", 'WetLitterbags placem_collection'!AF145)),"YES","NO")</f>
        <v>NO</v>
      </c>
      <c r="AI438" s="255" t="str">
        <f>IF(ISNUMBER(SEARCH("R", 'WetLitterbags placem_collection'!XF145)),"YES","NO")</f>
        <v>NO</v>
      </c>
      <c r="AJ438" s="255" t="str">
        <f>IF(ISNUMBER(SEARCH("C", 'WetLitterbags placem_collection'!WE145)),"YES","NO")</f>
        <v>NO</v>
      </c>
      <c r="AK438" s="255" t="str">
        <f>IF(ISNUMBER(SEARCH("H", 'WetLitterbags placem_collection'!AE145)),"YES","NO")</f>
        <v>NO</v>
      </c>
      <c r="AL438" s="255" t="str">
        <f>IF(ISNUMBER(SEARCH("R", 'WetLitterbags placem_collection'!AE145)),"YES","NO")</f>
        <v>NO</v>
      </c>
    </row>
    <row r="439" spans="2:38">
      <c r="B439" t="str">
        <f>'Final data_for_R_analysis_Wetse'!A585</f>
        <v>Wet</v>
      </c>
      <c r="C439" s="263">
        <f>'Final data_for_R_analysis_Wetse'!B585</f>
        <v>144</v>
      </c>
      <c r="D439" t="s">
        <v>3848</v>
      </c>
      <c r="E439" t="s">
        <v>25</v>
      </c>
      <c r="F439" s="387">
        <v>8</v>
      </c>
      <c r="G439" s="16">
        <f>'WetLitterbags placem_collection'!E146</f>
        <v>42762</v>
      </c>
      <c r="H439" s="92" t="str">
        <f>'Final data_for_R_analysis_Wetse'!J585</f>
        <v>G894</v>
      </c>
      <c r="I439" t="str">
        <f>'Final data_for_R_analysis_Wetse'!J805</f>
        <v>R15</v>
      </c>
      <c r="J439">
        <f>IFERROR(INDEX('Green_rooibos initial weight'!$C$5:$C$1749,MATCH(H439, 'Green_rooibos initial weight'!$A$5:$A$1749,0)),"")</f>
        <v>1.9630000000000001</v>
      </c>
      <c r="K439">
        <f>IFERROR(INDEX('Green_rooibos initial weight'!$C$5:$C$1749,MATCH(I439, 'Green_rooibos initial weight'!$A$5:$A$1749,0)),"")</f>
        <v>2.2269999999999999</v>
      </c>
      <c r="L439" s="195">
        <f t="shared" si="64"/>
        <v>1.7132000000000001</v>
      </c>
      <c r="M439" s="195">
        <f>AVERAGE(Ashed_controlls!$K$2:$K$11)</f>
        <v>5.5147656768714146</v>
      </c>
      <c r="N439" s="195">
        <f t="shared" si="60"/>
        <v>1.618721034423839</v>
      </c>
      <c r="O439" s="195">
        <f t="shared" si="65"/>
        <v>1.9771999999999998</v>
      </c>
      <c r="P439" s="195">
        <f>AVERAGE(Ashed_controlls!$K$12:$K$14)</f>
        <v>2.2816647271287041</v>
      </c>
      <c r="Q439" s="195">
        <f t="shared" si="66"/>
        <v>1.9320869250152111</v>
      </c>
      <c r="R439" s="16">
        <f>IF('WetLitterbags placem_collection'!G146="N.A","",'WetLitterbags placem_collection'!G146)</f>
        <v>42816</v>
      </c>
      <c r="S439" s="195">
        <f>IF(IFERROR(INDEX('Both teabags AfterWet'!$C$3:$C$841,MATCH(H439,'Both teabags AfterWet'!$A$3:$A$841,0)),"")="N.A","",(IFERROR(INDEX('Both teabags AfterWet'!$C$3:$C$841,MATCH(H439,'Both teabags AfterWet'!$A$3:$A$841,0)),"")))</f>
        <v>0.68200000000000005</v>
      </c>
      <c r="T439" s="195">
        <f>IFERROR(INDEX('Both teabags AfterWet'!$C$3:$C$841,MATCH(I439,'Both teabags AfterWet'!$A$3:$A$841,0)),"")</f>
        <v>1.7290000000000001</v>
      </c>
      <c r="U439" s="195">
        <f t="shared" si="67"/>
        <v>0.53140000000000009</v>
      </c>
      <c r="V439" s="195">
        <f t="shared" si="67"/>
        <v>1.5784</v>
      </c>
      <c r="W439" s="195">
        <f>IFERROR(INDEX('Ashed teabags wet'!$K$2:$K$821,MATCH(H439,'Ashed teabags wet'!$A$2:$A$821,0)),"")</f>
        <v>21.010901883052647</v>
      </c>
      <c r="X439" s="195">
        <f>IFERROR(INDEX('Ashed teabags wet'!$K$2:$K$821,MATCH(I439,'Ashed teabags wet'!$A$2:$A$821,0)),"")</f>
        <v>11.138613861386148</v>
      </c>
      <c r="Y439" s="195">
        <f t="shared" si="61"/>
        <v>0.41974806739345832</v>
      </c>
      <c r="Z439" s="195">
        <f t="shared" si="61"/>
        <v>1.4025881188118812</v>
      </c>
      <c r="AA439" s="195">
        <f t="shared" si="68"/>
        <v>0.7406915345713897</v>
      </c>
      <c r="AB439" s="195">
        <f t="shared" si="69"/>
        <v>0.48558399891140991</v>
      </c>
      <c r="AC439" s="195">
        <f t="shared" si="62"/>
        <v>0.72594462529207315</v>
      </c>
      <c r="AD439">
        <f t="shared" si="63"/>
        <v>54</v>
      </c>
      <c r="AE439" s="195">
        <f t="shared" si="70"/>
        <v>0.1203188425517937</v>
      </c>
      <c r="AF439" s="195">
        <f t="shared" si="71"/>
        <v>1.5388739994057236E-2</v>
      </c>
      <c r="AG439" s="255" t="str">
        <f>IF(ISNUMBER(SEARCH("C",'WetLitterbags placem_collection'!AD366)),"YES","NO")</f>
        <v>NO</v>
      </c>
      <c r="AH439" s="255" t="str">
        <f>IF(ISNUMBER(SEARCH("H", 'WetLitterbags placem_collection'!AF146)),"YES","NO")</f>
        <v>NO</v>
      </c>
      <c r="AI439" s="255" t="str">
        <f>IF(ISNUMBER(SEARCH("R", 'WetLitterbags placem_collection'!XF146)),"YES","NO")</f>
        <v>NO</v>
      </c>
      <c r="AJ439" s="255" t="str">
        <f>IF(ISNUMBER(SEARCH("C", 'WetLitterbags placem_collection'!WE146)),"YES","NO")</f>
        <v>NO</v>
      </c>
      <c r="AK439" s="255" t="str">
        <f>IF(ISNUMBER(SEARCH("H", 'WetLitterbags placem_collection'!AE146)),"YES","NO")</f>
        <v>NO</v>
      </c>
      <c r="AL439" s="255" t="str">
        <f>IF(ISNUMBER(SEARCH("R", 'WetLitterbags placem_collection'!AE146)),"YES","NO")</f>
        <v>NO</v>
      </c>
    </row>
    <row r="440" spans="2:38">
      <c r="B440" t="str">
        <f>'Final data_for_R_analysis_Wetse'!A586</f>
        <v>Wet</v>
      </c>
      <c r="C440" s="263">
        <f>'Final data_for_R_analysis_Wetse'!B586</f>
        <v>145</v>
      </c>
      <c r="D440" t="s">
        <v>3849</v>
      </c>
      <c r="E440" t="s">
        <v>25</v>
      </c>
      <c r="F440" s="386">
        <v>1</v>
      </c>
      <c r="G440" s="16">
        <f>'WetLitterbags placem_collection'!E147</f>
        <v>42762</v>
      </c>
      <c r="H440" s="92" t="str">
        <f>'Final data_for_R_analysis_Wetse'!J586</f>
        <v>G653</v>
      </c>
      <c r="I440" t="str">
        <f>'Final data_for_R_analysis_Wetse'!J806</f>
        <v>R40</v>
      </c>
      <c r="J440">
        <f>IFERROR(INDEX('Green_rooibos initial weight'!$C$5:$C$1749,MATCH(H440, 'Green_rooibos initial weight'!$A$5:$A$1749,0)),"")</f>
        <v>2.089</v>
      </c>
      <c r="K440">
        <f>IFERROR(INDEX('Green_rooibos initial weight'!$C$5:$C$1749,MATCH(I440, 'Green_rooibos initial weight'!$A$5:$A$1749,0)),"")</f>
        <v>2.121</v>
      </c>
      <c r="L440" s="195">
        <f t="shared" si="64"/>
        <v>1.8391999999999999</v>
      </c>
      <c r="M440" s="195">
        <f>AVERAGE(Ashed_controlls!$K$2:$K$11)</f>
        <v>5.5147656768714146</v>
      </c>
      <c r="N440" s="195">
        <f t="shared" si="60"/>
        <v>1.7377724296709809</v>
      </c>
      <c r="O440" s="195">
        <f t="shared" si="65"/>
        <v>1.8712</v>
      </c>
      <c r="P440" s="195">
        <f>AVERAGE(Ashed_controlls!$K$12:$K$14)</f>
        <v>2.2816647271287041</v>
      </c>
      <c r="Q440" s="195">
        <f t="shared" si="66"/>
        <v>1.8285054896259676</v>
      </c>
      <c r="R440" s="16">
        <f>IF('WetLitterbags placem_collection'!G147="N.A","",'WetLitterbags placem_collection'!G147)</f>
        <v>42815</v>
      </c>
      <c r="S440" s="195">
        <f>IF(IFERROR(INDEX('Both teabags AfterWet'!$C$3:$C$841,MATCH(H440,'Both teabags AfterWet'!$A$3:$A$841,0)),"")="N.A","",(IFERROR(INDEX('Both teabags AfterWet'!$C$3:$C$841,MATCH(H440,'Both teabags AfterWet'!$A$3:$A$841,0)),"")))</f>
        <v>0.69799999999999995</v>
      </c>
      <c r="T440" s="195">
        <f>IFERROR(INDEX('Both teabags AfterWet'!$C$3:$C$841,MATCH(I440,'Both teabags AfterWet'!$A$3:$A$841,0)),"")</f>
        <v>1.589</v>
      </c>
      <c r="U440" s="195">
        <f t="shared" si="67"/>
        <v>0.54739999999999989</v>
      </c>
      <c r="V440" s="195">
        <f t="shared" si="67"/>
        <v>1.4383999999999999</v>
      </c>
      <c r="W440" s="195">
        <f>IFERROR(INDEX('Ashed teabags wet'!$K$2:$K$821,MATCH(H440,'Ashed teabags wet'!$A$2:$A$821,0)),"")</f>
        <v>19.630709426627803</v>
      </c>
      <c r="X440" s="195">
        <f>IFERROR(INDEX('Ashed teabags wet'!$K$2:$K$821,MATCH(I440,'Ashed teabags wet'!$A$2:$A$821,0)),"")</f>
        <v>8.3980582524276741</v>
      </c>
      <c r="Y440" s="195">
        <f t="shared" si="61"/>
        <v>0.43994149659863935</v>
      </c>
      <c r="Z440" s="195">
        <f t="shared" si="61"/>
        <v>1.3176023300970803</v>
      </c>
      <c r="AA440" s="195">
        <f t="shared" si="68"/>
        <v>0.74683595556759119</v>
      </c>
      <c r="AB440" s="195">
        <f t="shared" si="69"/>
        <v>0.48961217039585553</v>
      </c>
      <c r="AC440" s="195">
        <f t="shared" si="62"/>
        <v>0.72058975899853828</v>
      </c>
      <c r="AD440">
        <f t="shared" si="63"/>
        <v>53</v>
      </c>
      <c r="AE440" s="195">
        <f t="shared" si="70"/>
        <v>0.11302143044229074</v>
      </c>
      <c r="AF440" s="195">
        <f t="shared" si="71"/>
        <v>1.5953678329670248E-2</v>
      </c>
      <c r="AG440" s="255" t="str">
        <f>IF(ISNUMBER(SEARCH("C",'WetLitterbags placem_collection'!AD367)),"YES","NO")</f>
        <v>NO</v>
      </c>
      <c r="AH440" s="255" t="str">
        <f>IF(ISNUMBER(SEARCH("H", 'WetLitterbags placem_collection'!AF147)),"YES","NO")</f>
        <v>NO</v>
      </c>
      <c r="AI440" s="255" t="str">
        <f>IF(ISNUMBER(SEARCH("R", 'WetLitterbags placem_collection'!XF147)),"YES","NO")</f>
        <v>NO</v>
      </c>
      <c r="AJ440" s="255" t="str">
        <f>IF(ISNUMBER(SEARCH("C", 'WetLitterbags placem_collection'!WE147)),"YES","NO")</f>
        <v>NO</v>
      </c>
      <c r="AK440" s="255" t="str">
        <f>IF(ISNUMBER(SEARCH("H", 'WetLitterbags placem_collection'!AE147)),"YES","NO")</f>
        <v>NO</v>
      </c>
      <c r="AL440" s="255" t="str">
        <f>IF(ISNUMBER(SEARCH("R", 'WetLitterbags placem_collection'!AE147)),"YES","NO")</f>
        <v>NO</v>
      </c>
    </row>
    <row r="441" spans="2:38">
      <c r="B441" t="str">
        <f>'Final data_for_R_analysis_Wetse'!A587</f>
        <v>Wet</v>
      </c>
      <c r="C441" s="263">
        <f>'Final data_for_R_analysis_Wetse'!B587</f>
        <v>146</v>
      </c>
      <c r="D441" t="s">
        <v>3849</v>
      </c>
      <c r="E441" t="s">
        <v>25</v>
      </c>
      <c r="F441" s="386">
        <v>2</v>
      </c>
      <c r="G441" s="16">
        <f>'WetLitterbags placem_collection'!E148</f>
        <v>42762</v>
      </c>
      <c r="H441" s="92" t="str">
        <f>'Final data_for_R_analysis_Wetse'!J587</f>
        <v>G762</v>
      </c>
      <c r="I441" t="str">
        <f>'Final data_for_R_analysis_Wetse'!J807</f>
        <v>R468</v>
      </c>
      <c r="J441">
        <f>IFERROR(INDEX('Green_rooibos initial weight'!$C$5:$C$1749,MATCH(H441, 'Green_rooibos initial weight'!$A$5:$A$1749,0)),"")</f>
        <v>2.016</v>
      </c>
      <c r="K441">
        <f>IFERROR(INDEX('Green_rooibos initial weight'!$C$5:$C$1749,MATCH(I441, 'Green_rooibos initial weight'!$A$5:$A$1749,0)),"")</f>
        <v>2.2869999999999999</v>
      </c>
      <c r="L441" s="195">
        <f t="shared" si="64"/>
        <v>1.7662</v>
      </c>
      <c r="M441" s="195">
        <f>AVERAGE(Ashed_controlls!$K$2:$K$11)</f>
        <v>5.5147656768714146</v>
      </c>
      <c r="N441" s="195">
        <f t="shared" si="60"/>
        <v>1.668798208615097</v>
      </c>
      <c r="O441" s="195">
        <f t="shared" si="65"/>
        <v>2.0371999999999999</v>
      </c>
      <c r="P441" s="195">
        <f>AVERAGE(Ashed_controlls!$K$12:$K$14)</f>
        <v>2.2816647271287041</v>
      </c>
      <c r="Q441" s="195">
        <f t="shared" si="66"/>
        <v>1.9907179261789338</v>
      </c>
      <c r="R441" s="16">
        <f>IF('WetLitterbags placem_collection'!G148="N.A","",'WetLitterbags placem_collection'!G148)</f>
        <v>42815</v>
      </c>
      <c r="S441" s="195">
        <f>IF(IFERROR(INDEX('Both teabags AfterWet'!$C$3:$C$841,MATCH(H441,'Both teabags AfterWet'!$A$3:$A$841,0)),"")="N.A","",(IFERROR(INDEX('Both teabags AfterWet'!$C$3:$C$841,MATCH(H441,'Both teabags AfterWet'!$A$3:$A$841,0)),"")))</f>
        <v>0.59199999999999997</v>
      </c>
      <c r="T441" s="195">
        <f>IFERROR(INDEX('Both teabags AfterWet'!$C$3:$C$841,MATCH(I441,'Both teabags AfterWet'!$A$3:$A$841,0)),"")</f>
        <v>1.657</v>
      </c>
      <c r="U441" s="195">
        <f t="shared" si="67"/>
        <v>0.44139999999999996</v>
      </c>
      <c r="V441" s="195">
        <f t="shared" si="67"/>
        <v>1.5064</v>
      </c>
      <c r="W441" s="195">
        <f>IFERROR(INDEX('Ashed teabags wet'!$K$2:$K$821,MATCH(H441,'Ashed teabags wet'!$A$2:$A$821,0)),"")</f>
        <v>17.030567685589826</v>
      </c>
      <c r="X441" s="195">
        <f>IFERROR(INDEX('Ashed teabags wet'!$K$2:$K$821,MATCH(I441,'Ashed teabags wet'!$A$2:$A$821,0)),"")</f>
        <v>5.4683544303797067</v>
      </c>
      <c r="Y441" s="195">
        <f t="shared" si="61"/>
        <v>0.36622707423580647</v>
      </c>
      <c r="Z441" s="195">
        <f t="shared" si="61"/>
        <v>1.42402470886076</v>
      </c>
      <c r="AA441" s="195">
        <f t="shared" si="68"/>
        <v>0.78054442271978997</v>
      </c>
      <c r="AB441" s="195">
        <f t="shared" si="69"/>
        <v>0.51171083294694075</v>
      </c>
      <c r="AC441" s="195">
        <f t="shared" si="62"/>
        <v>0.71533223774906762</v>
      </c>
      <c r="AD441">
        <f t="shared" si="63"/>
        <v>53</v>
      </c>
      <c r="AE441" s="195">
        <f t="shared" si="70"/>
        <v>7.2987621472933473E-2</v>
      </c>
      <c r="AF441" s="195">
        <f t="shared" si="71"/>
        <v>1.5332451846392862E-2</v>
      </c>
      <c r="AG441" s="255" t="str">
        <f>IF(ISNUMBER(SEARCH("C",'WetLitterbags placem_collection'!AD368)),"YES","NO")</f>
        <v>NO</v>
      </c>
      <c r="AH441" s="255" t="str">
        <f>IF(ISNUMBER(SEARCH("H", 'WetLitterbags placem_collection'!AF148)),"YES","NO")</f>
        <v>NO</v>
      </c>
      <c r="AI441" s="255" t="str">
        <f>IF(ISNUMBER(SEARCH("R", 'WetLitterbags placem_collection'!XF148)),"YES","NO")</f>
        <v>NO</v>
      </c>
      <c r="AJ441" s="255" t="str">
        <f>IF(ISNUMBER(SEARCH("C", 'WetLitterbags placem_collection'!WE148)),"YES","NO")</f>
        <v>NO</v>
      </c>
      <c r="AK441" s="255" t="str">
        <f>IF(ISNUMBER(SEARCH("H", 'WetLitterbags placem_collection'!AE148)),"YES","NO")</f>
        <v>NO</v>
      </c>
      <c r="AL441" s="255" t="str">
        <f>IF(ISNUMBER(SEARCH("R", 'WetLitterbags placem_collection'!AE148)),"YES","NO")</f>
        <v>NO</v>
      </c>
    </row>
    <row r="442" spans="2:38">
      <c r="B442" t="str">
        <f>'Final data_for_R_analysis_Wetse'!A588</f>
        <v>Wet</v>
      </c>
      <c r="C442" s="263">
        <f>'Final data_for_R_analysis_Wetse'!B588</f>
        <v>147</v>
      </c>
      <c r="D442" t="s">
        <v>3849</v>
      </c>
      <c r="E442" t="s">
        <v>25</v>
      </c>
      <c r="F442" s="386">
        <v>3</v>
      </c>
      <c r="G442" s="16">
        <f>'WetLitterbags placem_collection'!E149</f>
        <v>42762</v>
      </c>
      <c r="H442" s="92" t="str">
        <f>'Final data_for_R_analysis_Wetse'!J588</f>
        <v>G878</v>
      </c>
      <c r="I442" t="str">
        <f>'Final data_for_R_analysis_Wetse'!J808</f>
        <v>R582</v>
      </c>
      <c r="J442">
        <f>IFERROR(INDEX('Green_rooibos initial weight'!$C$5:$C$1749,MATCH(H442, 'Green_rooibos initial weight'!$A$5:$A$1749,0)),"")</f>
        <v>2.0939999999999999</v>
      </c>
      <c r="K442">
        <f>IFERROR(INDEX('Green_rooibos initial weight'!$C$5:$C$1749,MATCH(I442, 'Green_rooibos initial weight'!$A$5:$A$1749,0)),"")</f>
        <v>2.2360000000000002</v>
      </c>
      <c r="L442" s="195">
        <f t="shared" si="64"/>
        <v>1.8441999999999998</v>
      </c>
      <c r="M442" s="195">
        <f>AVERAGE(Ashed_controlls!$K$2:$K$11)</f>
        <v>5.5147656768714146</v>
      </c>
      <c r="N442" s="195">
        <f t="shared" si="60"/>
        <v>1.7424966913871371</v>
      </c>
      <c r="O442" s="195">
        <f t="shared" si="65"/>
        <v>1.9862000000000002</v>
      </c>
      <c r="P442" s="195">
        <f>AVERAGE(Ashed_controlls!$K$12:$K$14)</f>
        <v>2.2816647271287041</v>
      </c>
      <c r="Q442" s="195">
        <f t="shared" si="66"/>
        <v>1.9408815751897699</v>
      </c>
      <c r="R442" s="16">
        <f>IF('WetLitterbags placem_collection'!G149="N.A","",'WetLitterbags placem_collection'!G149)</f>
        <v>42816</v>
      </c>
      <c r="S442" s="195">
        <f>IF(IFERROR(INDEX('Both teabags AfterWet'!$C$3:$C$841,MATCH(H442,'Both teabags AfterWet'!$A$3:$A$841,0)),"")="N.A","",(IFERROR(INDEX('Both teabags AfterWet'!$C$3:$C$841,MATCH(H442,'Both teabags AfterWet'!$A$3:$A$841,0)),"")))</f>
        <v>0.628</v>
      </c>
      <c r="T442" s="195">
        <f>IFERROR(INDEX('Both teabags AfterWet'!$C$3:$C$841,MATCH(I442,'Both teabags AfterWet'!$A$3:$A$841,0)),"")</f>
        <v>1.742</v>
      </c>
      <c r="U442" s="195">
        <f t="shared" si="67"/>
        <v>0.47739999999999999</v>
      </c>
      <c r="V442" s="195">
        <f t="shared" si="67"/>
        <v>1.5913999999999999</v>
      </c>
      <c r="W442" s="195">
        <f>IFERROR(INDEX('Ashed teabags wet'!$K$2:$K$821,MATCH(H442,'Ashed teabags wet'!$A$2:$A$821,0)),"")</f>
        <v>18.664047151277249</v>
      </c>
      <c r="X442" s="195">
        <f>IFERROR(INDEX('Ashed teabags wet'!$K$2:$K$821,MATCH(I442,'Ashed teabags wet'!$A$2:$A$821,0)),"")</f>
        <v>1.3068731848979416</v>
      </c>
      <c r="Y442" s="195">
        <f t="shared" si="61"/>
        <v>0.38829783889980241</v>
      </c>
      <c r="Z442" s="195">
        <f t="shared" si="61"/>
        <v>1.570602420135534</v>
      </c>
      <c r="AA442" s="195">
        <f t="shared" si="68"/>
        <v>0.77716007105259244</v>
      </c>
      <c r="AB442" s="195">
        <f t="shared" si="69"/>
        <v>0.50949211308911058</v>
      </c>
      <c r="AC442" s="195">
        <f t="shared" si="62"/>
        <v>0.80922114992099303</v>
      </c>
      <c r="AD442">
        <f t="shared" si="63"/>
        <v>54</v>
      </c>
      <c r="AE442" s="195">
        <f t="shared" si="70"/>
        <v>7.700704150523463E-2</v>
      </c>
      <c r="AF442" s="195">
        <f t="shared" si="71"/>
        <v>8.6874543760518553E-3</v>
      </c>
      <c r="AG442" s="255" t="str">
        <f>IF(ISNUMBER(SEARCH("C",'WetLitterbags placem_collection'!AD369)),"YES","NO")</f>
        <v>NO</v>
      </c>
      <c r="AH442" s="255" t="str">
        <f>IF(ISNUMBER(SEARCH("H", 'WetLitterbags placem_collection'!AF149)),"YES","NO")</f>
        <v>NO</v>
      </c>
      <c r="AI442" s="255" t="str">
        <f>IF(ISNUMBER(SEARCH("R", 'WetLitterbags placem_collection'!XF149)),"YES","NO")</f>
        <v>NO</v>
      </c>
      <c r="AJ442" s="255" t="str">
        <f>IF(ISNUMBER(SEARCH("C", 'WetLitterbags placem_collection'!WE149)),"YES","NO")</f>
        <v>NO</v>
      </c>
      <c r="AK442" s="255" t="str">
        <f>IF(ISNUMBER(SEARCH("H", 'WetLitterbags placem_collection'!AE149)),"YES","NO")</f>
        <v>NO</v>
      </c>
      <c r="AL442" s="255" t="str">
        <f>IF(ISNUMBER(SEARCH("R", 'WetLitterbags placem_collection'!AE149)),"YES","NO")</f>
        <v>NO</v>
      </c>
    </row>
    <row r="443" spans="2:38">
      <c r="B443" t="str">
        <f>'Final data_for_R_analysis_Wetse'!A589</f>
        <v>Wet</v>
      </c>
      <c r="C443" s="263">
        <f>'Final data_for_R_analysis_Wetse'!B589</f>
        <v>148</v>
      </c>
      <c r="D443" t="s">
        <v>3849</v>
      </c>
      <c r="E443" t="s">
        <v>25</v>
      </c>
      <c r="F443" s="387">
        <v>4</v>
      </c>
      <c r="G443" s="16">
        <f>'WetLitterbags placem_collection'!E150</f>
        <v>42762</v>
      </c>
      <c r="H443" s="92" t="str">
        <f>'Final data_for_R_analysis_Wetse'!J589</f>
        <v>G807</v>
      </c>
      <c r="I443" t="str">
        <f>'Final data_for_R_analysis_Wetse'!J809</f>
        <v>R20</v>
      </c>
      <c r="J443">
        <f>IFERROR(INDEX('Green_rooibos initial weight'!$C$5:$C$1749,MATCH(H443, 'Green_rooibos initial weight'!$A$5:$A$1749,0)),"")</f>
        <v>2.0310000000000001</v>
      </c>
      <c r="K443">
        <f>IFERROR(INDEX('Green_rooibos initial weight'!$C$5:$C$1749,MATCH(I443, 'Green_rooibos initial weight'!$A$5:$A$1749,0)),"")</f>
        <v>2.2400000000000002</v>
      </c>
      <c r="L443" s="195">
        <f t="shared" si="64"/>
        <v>1.7812000000000001</v>
      </c>
      <c r="M443" s="195">
        <f>AVERAGE(Ashed_controlls!$K$2:$K$11)</f>
        <v>5.5147656768714146</v>
      </c>
      <c r="N443" s="195">
        <f t="shared" si="60"/>
        <v>1.6829709937635664</v>
      </c>
      <c r="O443" s="195">
        <f t="shared" si="65"/>
        <v>1.9902000000000002</v>
      </c>
      <c r="P443" s="195">
        <f>AVERAGE(Ashed_controlls!$K$12:$K$14)</f>
        <v>2.2816647271287041</v>
      </c>
      <c r="Q443" s="195">
        <f t="shared" si="66"/>
        <v>1.9447903086006848</v>
      </c>
      <c r="R443" s="16">
        <f>IF('WetLitterbags placem_collection'!G150="N.A","",'WetLitterbags placem_collection'!G150)</f>
        <v>42816</v>
      </c>
      <c r="S443" s="195">
        <f>IF(IFERROR(INDEX('Both teabags AfterWet'!$C$3:$C$841,MATCH(H443,'Both teabags AfterWet'!$A$3:$A$841,0)),"")="N.A","",(IFERROR(INDEX('Both teabags AfterWet'!$C$3:$C$841,MATCH(H443,'Both teabags AfterWet'!$A$3:$A$841,0)),"")))</f>
        <v>0.74309999999999998</v>
      </c>
      <c r="T443" s="195">
        <f>IFERROR(INDEX('Both teabags AfterWet'!$C$3:$C$841,MATCH(I443,'Both teabags AfterWet'!$A$3:$A$841,0)),"")</f>
        <v>1.6375999999999999</v>
      </c>
      <c r="U443" s="195">
        <f t="shared" si="67"/>
        <v>0.59250000000000003</v>
      </c>
      <c r="V443" s="195">
        <f t="shared" si="67"/>
        <v>1.4869999999999999</v>
      </c>
      <c r="W443" s="195">
        <f>IFERROR(INDEX('Ashed teabags wet'!$K$2:$K$821,MATCH(H443,'Ashed teabags wet'!$A$2:$A$821,0)),"")</f>
        <v>19.203072491598501</v>
      </c>
      <c r="X443" s="195">
        <f>IFERROR(INDEX('Ashed teabags wet'!$K$2:$K$821,MATCH(I443,'Ashed teabags wet'!$A$2:$A$821,0)),"")</f>
        <v>56.818181818177493</v>
      </c>
      <c r="Y443" s="195">
        <f t="shared" si="61"/>
        <v>0.47872179548727889</v>
      </c>
      <c r="Z443" s="195">
        <f t="shared" si="61"/>
        <v>0.64211363636370067</v>
      </c>
      <c r="AA443" s="195">
        <f t="shared" si="68"/>
        <v>0.71554958626070508</v>
      </c>
      <c r="AB443" s="195">
        <f t="shared" si="69"/>
        <v>0.4691013914678257</v>
      </c>
      <c r="AC443" s="195">
        <f t="shared" si="62"/>
        <v>0.33017114160020378</v>
      </c>
      <c r="AD443">
        <f t="shared" si="63"/>
        <v>54</v>
      </c>
      <c r="AE443" s="195">
        <f t="shared" si="70"/>
        <v>0.15017863864524339</v>
      </c>
      <c r="AF443" s="195" t="str">
        <f t="shared" si="71"/>
        <v/>
      </c>
      <c r="AG443" s="255" t="str">
        <f>IF(ISNUMBER(SEARCH("C",'WetLitterbags placem_collection'!AD370)),"YES","NO")</f>
        <v>NO</v>
      </c>
      <c r="AH443" s="255" t="str">
        <f>IF(ISNUMBER(SEARCH("H", 'WetLitterbags placem_collection'!AF150)),"YES","NO")</f>
        <v>NO</v>
      </c>
      <c r="AI443" s="255" t="str">
        <f>IF(ISNUMBER(SEARCH("R", 'WetLitterbags placem_collection'!XF150)),"YES","NO")</f>
        <v>NO</v>
      </c>
      <c r="AJ443" s="255" t="str">
        <f>IF(ISNUMBER(SEARCH("C", 'WetLitterbags placem_collection'!WE150)),"YES","NO")</f>
        <v>NO</v>
      </c>
      <c r="AK443" s="255" t="str">
        <f>IF(ISNUMBER(SEARCH("H", 'WetLitterbags placem_collection'!AE150)),"YES","NO")</f>
        <v>NO</v>
      </c>
      <c r="AL443" s="255" t="str">
        <f>IF(ISNUMBER(SEARCH("R", 'WetLitterbags placem_collection'!AE150)),"YES","NO")</f>
        <v>NO</v>
      </c>
    </row>
    <row r="444" spans="2:38">
      <c r="B444" t="str">
        <f>'Final data_for_R_analysis_Wetse'!A590</f>
        <v>Wet</v>
      </c>
      <c r="C444" s="263">
        <f>'Final data_for_R_analysis_Wetse'!B590</f>
        <v>149</v>
      </c>
      <c r="D444" t="s">
        <v>3849</v>
      </c>
      <c r="E444" t="s">
        <v>25</v>
      </c>
      <c r="F444" s="387">
        <v>5</v>
      </c>
      <c r="G444" s="16">
        <f>'WetLitterbags placem_collection'!E151</f>
        <v>42762</v>
      </c>
      <c r="H444" s="92" t="str">
        <f>'Final data_for_R_analysis_Wetse'!J590</f>
        <v>G696</v>
      </c>
      <c r="I444" t="str">
        <f>'Final data_for_R_analysis_Wetse'!J810</f>
        <v>R533</v>
      </c>
      <c r="J444">
        <f>IFERROR(INDEX('Green_rooibos initial weight'!$C$5:$C$1749,MATCH(H444, 'Green_rooibos initial weight'!$A$5:$A$1749,0)),"")</f>
        <v>2.036</v>
      </c>
      <c r="K444">
        <f>IFERROR(INDEX('Green_rooibos initial weight'!$C$5:$C$1749,MATCH(I444, 'Green_rooibos initial weight'!$A$5:$A$1749,0)),"")</f>
        <v>2.1970000000000001</v>
      </c>
      <c r="L444" s="195">
        <f t="shared" si="64"/>
        <v>1.7862</v>
      </c>
      <c r="M444" s="195">
        <f>AVERAGE(Ashed_controlls!$K$2:$K$11)</f>
        <v>5.5147656768714146</v>
      </c>
      <c r="N444" s="195">
        <f t="shared" si="60"/>
        <v>1.6876952554797229</v>
      </c>
      <c r="O444" s="195">
        <f t="shared" si="65"/>
        <v>1.9472</v>
      </c>
      <c r="P444" s="195">
        <f>AVERAGE(Ashed_controlls!$K$12:$K$14)</f>
        <v>2.2816647271287041</v>
      </c>
      <c r="Q444" s="195">
        <f t="shared" si="66"/>
        <v>1.90277142443335</v>
      </c>
      <c r="R444" s="16">
        <f>IF('WetLitterbags placem_collection'!G151="N.A","",'WetLitterbags placem_collection'!G151)</f>
        <v>42816</v>
      </c>
      <c r="S444" s="195">
        <f>IF(IFERROR(INDEX('Both teabags AfterWet'!$C$3:$C$841,MATCH(H444,'Both teabags AfterWet'!$A$3:$A$841,0)),"")="N.A","",(IFERROR(INDEX('Both teabags AfterWet'!$C$3:$C$841,MATCH(H444,'Both teabags AfterWet'!$A$3:$A$841,0)),"")))</f>
        <v>0.82469999999999999</v>
      </c>
      <c r="T444" s="195">
        <f>IFERROR(INDEX('Both teabags AfterWet'!$C$3:$C$841,MATCH(I444,'Both teabags AfterWet'!$A$3:$A$841,0)),"")</f>
        <v>1.7899</v>
      </c>
      <c r="U444" s="195">
        <f t="shared" si="67"/>
        <v>0.67409999999999992</v>
      </c>
      <c r="V444" s="195">
        <f t="shared" si="67"/>
        <v>1.6393</v>
      </c>
      <c r="W444" s="195">
        <f>IFERROR(INDEX('Ashed teabags wet'!$K$2:$K$821,MATCH(H444,'Ashed teabags wet'!$A$2:$A$821,0)),"")</f>
        <v>31.23781676413266</v>
      </c>
      <c r="X444" s="195">
        <f>IFERROR(INDEX('Ashed teabags wet'!$K$2:$K$821,MATCH(I444,'Ashed teabags wet'!$A$2:$A$821,0)),"")</f>
        <v>11.542288557213293</v>
      </c>
      <c r="Y444" s="195">
        <f t="shared" si="61"/>
        <v>0.46352587719298166</v>
      </c>
      <c r="Z444" s="195">
        <f t="shared" si="61"/>
        <v>1.4500872636816025</v>
      </c>
      <c r="AA444" s="195">
        <f t="shared" si="68"/>
        <v>0.72534977764026143</v>
      </c>
      <c r="AB444" s="195">
        <f t="shared" si="69"/>
        <v>0.475526220020694</v>
      </c>
      <c r="AC444" s="195">
        <f t="shared" si="62"/>
        <v>0.76209220143898371</v>
      </c>
      <c r="AD444">
        <f t="shared" si="63"/>
        <v>54</v>
      </c>
      <c r="AE444" s="195">
        <f t="shared" si="70"/>
        <v>0.13853945648425003</v>
      </c>
      <c r="AF444" s="195">
        <f t="shared" si="71"/>
        <v>1.2847331603435199E-2</v>
      </c>
      <c r="AG444" s="255" t="str">
        <f>IF(ISNUMBER(SEARCH("C",'WetLitterbags placem_collection'!AD371)),"YES","NO")</f>
        <v>NO</v>
      </c>
      <c r="AH444" s="255" t="str">
        <f>IF(ISNUMBER(SEARCH("H", 'WetLitterbags placem_collection'!AF151)),"YES","NO")</f>
        <v>NO</v>
      </c>
      <c r="AI444" s="255" t="str">
        <f>IF(ISNUMBER(SEARCH("R", 'WetLitterbags placem_collection'!XF151)),"YES","NO")</f>
        <v>NO</v>
      </c>
      <c r="AJ444" s="255" t="str">
        <f>IF(ISNUMBER(SEARCH("C", 'WetLitterbags placem_collection'!WE151)),"YES","NO")</f>
        <v>NO</v>
      </c>
      <c r="AK444" s="255" t="str">
        <f>IF(ISNUMBER(SEARCH("H", 'WetLitterbags placem_collection'!AE151)),"YES","NO")</f>
        <v>NO</v>
      </c>
      <c r="AL444" s="255" t="str">
        <f>IF(ISNUMBER(SEARCH("R", 'WetLitterbags placem_collection'!AE151)),"YES","NO")</f>
        <v>NO</v>
      </c>
    </row>
    <row r="445" spans="2:38">
      <c r="B445" t="str">
        <f>'Final data_for_R_analysis_Wetse'!A591</f>
        <v>Wet</v>
      </c>
      <c r="C445" s="263">
        <f>'Final data_for_R_analysis_Wetse'!B591</f>
        <v>150</v>
      </c>
      <c r="D445" t="s">
        <v>3849</v>
      </c>
      <c r="E445" t="s">
        <v>25</v>
      </c>
      <c r="F445" s="387">
        <v>6</v>
      </c>
      <c r="G445" s="16">
        <f>'WetLitterbags placem_collection'!E152</f>
        <v>42762</v>
      </c>
      <c r="H445" s="92" t="str">
        <f>'Final data_for_R_analysis_Wetse'!J591</f>
        <v>G801</v>
      </c>
      <c r="I445" t="str">
        <f>'Final data_for_R_analysis_Wetse'!J811</f>
        <v>R572</v>
      </c>
      <c r="J445">
        <f>IFERROR(INDEX('Green_rooibos initial weight'!$C$5:$C$1749,MATCH(H445, 'Green_rooibos initial weight'!$A$5:$A$1749,0)),"")</f>
        <v>2.0720000000000001</v>
      </c>
      <c r="K445">
        <f>IFERROR(INDEX('Green_rooibos initial weight'!$C$5:$C$1749,MATCH(I445, 'Green_rooibos initial weight'!$A$5:$A$1749,0)),"")</f>
        <v>2.0819999999999999</v>
      </c>
      <c r="L445" s="195">
        <f t="shared" si="64"/>
        <v>1.8222</v>
      </c>
      <c r="M445" s="195">
        <f>AVERAGE(Ashed_controlls!$K$2:$K$11)</f>
        <v>5.5147656768714146</v>
      </c>
      <c r="N445" s="195">
        <f t="shared" si="60"/>
        <v>1.7217099398360491</v>
      </c>
      <c r="O445" s="195">
        <f t="shared" si="65"/>
        <v>1.8321999999999998</v>
      </c>
      <c r="P445" s="195">
        <f>AVERAGE(Ashed_controlls!$K$12:$K$14)</f>
        <v>2.2816647271287041</v>
      </c>
      <c r="Q445" s="195">
        <f t="shared" si="66"/>
        <v>1.7903953388695477</v>
      </c>
      <c r="R445" s="16">
        <f>IF('WetLitterbags placem_collection'!G152="N.A","",'WetLitterbags placem_collection'!G152)</f>
        <v>42816</v>
      </c>
      <c r="S445" s="195">
        <f>IF(IFERROR(INDEX('Both teabags AfterWet'!$C$3:$C$841,MATCH(H445,'Both teabags AfterWet'!$A$3:$A$841,0)),"")="N.A","",(IFERROR(INDEX('Both teabags AfterWet'!$C$3:$C$841,MATCH(H445,'Both teabags AfterWet'!$A$3:$A$841,0)),"")))</f>
        <v>0.60099999999999998</v>
      </c>
      <c r="T445" s="195">
        <f>IFERROR(INDEX('Both teabags AfterWet'!$C$3:$C$841,MATCH(I445,'Both teabags AfterWet'!$A$3:$A$841,0)),"")</f>
        <v>1.5680000000000001</v>
      </c>
      <c r="U445" s="195">
        <f t="shared" si="67"/>
        <v>0.45039999999999997</v>
      </c>
      <c r="V445" s="195">
        <f t="shared" si="67"/>
        <v>1.4174</v>
      </c>
      <c r="W445" s="195">
        <f>IFERROR(INDEX('Ashed teabags wet'!$K$2:$K$821,MATCH(H445,'Ashed teabags wet'!$A$2:$A$821,0)),"")</f>
        <v>20.08862629246671</v>
      </c>
      <c r="X445" s="195">
        <f>IFERROR(INDEX('Ashed teabags wet'!$K$2:$K$821,MATCH(I445,'Ashed teabags wet'!$A$2:$A$821,0)),"")</f>
        <v>7.1853320118927355</v>
      </c>
      <c r="Y445" s="195">
        <f t="shared" si="61"/>
        <v>0.35992082717872992</v>
      </c>
      <c r="Z445" s="195">
        <f t="shared" si="61"/>
        <v>1.3155551040634323</v>
      </c>
      <c r="AA445" s="195">
        <f t="shared" si="68"/>
        <v>0.7909515308873668</v>
      </c>
      <c r="AB445" s="195">
        <f t="shared" si="69"/>
        <v>0.51853354518981776</v>
      </c>
      <c r="AC445" s="195">
        <f t="shared" si="62"/>
        <v>0.73478470117894268</v>
      </c>
      <c r="AD445">
        <f t="shared" si="63"/>
        <v>54</v>
      </c>
      <c r="AE445" s="195">
        <f t="shared" si="70"/>
        <v>6.0627635525692614E-2</v>
      </c>
      <c r="AF445" s="195">
        <f t="shared" si="71"/>
        <v>1.3265891354643415E-2</v>
      </c>
      <c r="AG445" s="255" t="str">
        <f>IF(ISNUMBER(SEARCH("C",'WetLitterbags placem_collection'!AD372)),"YES","NO")</f>
        <v>NO</v>
      </c>
      <c r="AH445" s="255" t="str">
        <f>IF(ISNUMBER(SEARCH("H", 'WetLitterbags placem_collection'!AF152)),"YES","NO")</f>
        <v>NO</v>
      </c>
      <c r="AI445" s="255" t="str">
        <f>IF(ISNUMBER(SEARCH("R", 'WetLitterbags placem_collection'!XF152)),"YES","NO")</f>
        <v>NO</v>
      </c>
      <c r="AJ445" s="255" t="str">
        <f>IF(ISNUMBER(SEARCH("C", 'WetLitterbags placem_collection'!WE152)),"YES","NO")</f>
        <v>NO</v>
      </c>
      <c r="AK445" s="255" t="str">
        <f>IF(ISNUMBER(SEARCH("H", 'WetLitterbags placem_collection'!AE152)),"YES","NO")</f>
        <v>NO</v>
      </c>
      <c r="AL445" s="255" t="str">
        <f>IF(ISNUMBER(SEARCH("R", 'WetLitterbags placem_collection'!AE152)),"YES","NO")</f>
        <v>NO</v>
      </c>
    </row>
    <row r="446" spans="2:38">
      <c r="B446" t="str">
        <f>'Final data_for_R_analysis_Wetse'!A592</f>
        <v>Wet</v>
      </c>
      <c r="C446" s="263">
        <f>'Final data_for_R_analysis_Wetse'!B592</f>
        <v>151</v>
      </c>
      <c r="D446" t="s">
        <v>3849</v>
      </c>
      <c r="E446" t="s">
        <v>25</v>
      </c>
      <c r="F446" s="387">
        <v>7</v>
      </c>
      <c r="G446" s="16">
        <f>'WetLitterbags placem_collection'!E153</f>
        <v>42762</v>
      </c>
      <c r="H446" s="92" t="str">
        <f>'Final data_for_R_analysis_Wetse'!J592</f>
        <v>G647</v>
      </c>
      <c r="I446" t="str">
        <f>'Final data_for_R_analysis_Wetse'!J812</f>
        <v>R504</v>
      </c>
      <c r="J446">
        <f>IFERROR(INDEX('Green_rooibos initial weight'!$C$5:$C$1749,MATCH(H446, 'Green_rooibos initial weight'!$A$5:$A$1749,0)),"")</f>
        <v>2.1240000000000001</v>
      </c>
      <c r="K446">
        <f>IFERROR(INDEX('Green_rooibos initial weight'!$C$5:$C$1749,MATCH(I446, 'Green_rooibos initial weight'!$A$5:$A$1749,0)),"")</f>
        <v>2.1629999999999998</v>
      </c>
      <c r="L446" s="195">
        <f t="shared" si="64"/>
        <v>1.8742000000000001</v>
      </c>
      <c r="M446" s="195">
        <f>AVERAGE(Ashed_controlls!$K$2:$K$11)</f>
        <v>5.5147656768714146</v>
      </c>
      <c r="N446" s="195">
        <f t="shared" si="60"/>
        <v>1.770842261684076</v>
      </c>
      <c r="O446" s="195">
        <f t="shared" si="65"/>
        <v>1.9131999999999998</v>
      </c>
      <c r="P446" s="195">
        <f>AVERAGE(Ashed_controlls!$K$12:$K$14)</f>
        <v>2.2816647271287041</v>
      </c>
      <c r="Q446" s="195">
        <f t="shared" si="66"/>
        <v>1.8695471904405734</v>
      </c>
      <c r="R446" s="16">
        <f>IF('WetLitterbags placem_collection'!G153="N.A","",'WetLitterbags placem_collection'!G153)</f>
        <v>42816</v>
      </c>
      <c r="S446" s="195">
        <f>IF(IFERROR(INDEX('Both teabags AfterWet'!$C$3:$C$841,MATCH(H446,'Both teabags AfterWet'!$A$3:$A$841,0)),"")="N.A","",(IFERROR(INDEX('Both teabags AfterWet'!$C$3:$C$841,MATCH(H446,'Both teabags AfterWet'!$A$3:$A$841,0)),"")))</f>
        <v>0.78700000000000003</v>
      </c>
      <c r="T446" s="195">
        <f>IFERROR(INDEX('Both teabags AfterWet'!$C$3:$C$841,MATCH(I446,'Both teabags AfterWet'!$A$3:$A$841,0)),"")</f>
        <v>1.798</v>
      </c>
      <c r="U446" s="195">
        <f t="shared" si="67"/>
        <v>0.63640000000000008</v>
      </c>
      <c r="V446" s="195">
        <f t="shared" si="67"/>
        <v>1.6474</v>
      </c>
      <c r="W446" s="195">
        <f>IFERROR(INDEX('Ashed teabags wet'!$K$2:$K$821,MATCH(H446,'Ashed teabags wet'!$A$2:$A$821,0)),"")</f>
        <v>20.305781175346262</v>
      </c>
      <c r="X446" s="195">
        <f>IFERROR(INDEX('Ashed teabags wet'!$K$2:$K$821,MATCH(I446,'Ashed teabags wet'!$A$2:$A$821,0)),"")</f>
        <v>6.3484251968501049</v>
      </c>
      <c r="Y446" s="195">
        <f t="shared" si="61"/>
        <v>0.50717400860009643</v>
      </c>
      <c r="Z446" s="195">
        <f t="shared" si="61"/>
        <v>1.5428160433070914</v>
      </c>
      <c r="AA446" s="195">
        <f t="shared" si="68"/>
        <v>0.71359729797854921</v>
      </c>
      <c r="AB446" s="195">
        <f t="shared" si="69"/>
        <v>0.46782150651325322</v>
      </c>
      <c r="AC446" s="195">
        <f t="shared" si="62"/>
        <v>0.82523514313833113</v>
      </c>
      <c r="AD446">
        <f t="shared" si="63"/>
        <v>54</v>
      </c>
      <c r="AE446" s="195">
        <f t="shared" si="70"/>
        <v>0.15249727080932396</v>
      </c>
      <c r="AF446" s="195">
        <f t="shared" si="71"/>
        <v>8.6614980181292395E-3</v>
      </c>
      <c r="AG446" s="255" t="str">
        <f>IF(ISNUMBER(SEARCH("C",'WetLitterbags placem_collection'!AD373)),"YES","NO")</f>
        <v>NO</v>
      </c>
      <c r="AH446" s="255" t="str">
        <f>IF(ISNUMBER(SEARCH("H", 'WetLitterbags placem_collection'!AF153)),"YES","NO")</f>
        <v>NO</v>
      </c>
      <c r="AI446" s="255" t="str">
        <f>IF(ISNUMBER(SEARCH("R", 'WetLitterbags placem_collection'!XF153)),"YES","NO")</f>
        <v>NO</v>
      </c>
      <c r="AJ446" s="255" t="str">
        <f>IF(ISNUMBER(SEARCH("C", 'WetLitterbags placem_collection'!WE153)),"YES","NO")</f>
        <v>NO</v>
      </c>
      <c r="AK446" s="255" t="str">
        <f>IF(ISNUMBER(SEARCH("H", 'WetLitterbags placem_collection'!AE153)),"YES","NO")</f>
        <v>NO</v>
      </c>
      <c r="AL446" s="255" t="str">
        <f>IF(ISNUMBER(SEARCH("R", 'WetLitterbags placem_collection'!AE153)),"YES","NO")</f>
        <v>NO</v>
      </c>
    </row>
    <row r="447" spans="2:38">
      <c r="B447" t="str">
        <f>'Final data_for_R_analysis_Wetse'!A593</f>
        <v>Wet</v>
      </c>
      <c r="C447" s="263">
        <f>'Final data_for_R_analysis_Wetse'!B593</f>
        <v>152</v>
      </c>
      <c r="D447" t="s">
        <v>3849</v>
      </c>
      <c r="E447" t="s">
        <v>25</v>
      </c>
      <c r="F447" s="387">
        <v>8</v>
      </c>
      <c r="G447" s="16">
        <f>'WetLitterbags placem_collection'!E154</f>
        <v>42762</v>
      </c>
      <c r="H447" s="92" t="str">
        <f>'Final data_for_R_analysis_Wetse'!J593</f>
        <v>G744</v>
      </c>
      <c r="I447" t="str">
        <f>'Final data_for_R_analysis_Wetse'!J813</f>
        <v>R579</v>
      </c>
      <c r="J447">
        <f>IFERROR(INDEX('Green_rooibos initial weight'!$C$5:$C$1749,MATCH(H447, 'Green_rooibos initial weight'!$A$5:$A$1749,0)),"")</f>
        <v>2.085</v>
      </c>
      <c r="K447">
        <f>IFERROR(INDEX('Green_rooibos initial weight'!$C$5:$C$1749,MATCH(I447, 'Green_rooibos initial weight'!$A$5:$A$1749,0)),"")</f>
        <v>2.1349999999999998</v>
      </c>
      <c r="L447" s="195">
        <f t="shared" si="64"/>
        <v>1.8351999999999999</v>
      </c>
      <c r="M447" s="195">
        <f>AVERAGE(Ashed_controlls!$K$2:$K$11)</f>
        <v>5.5147656768714146</v>
      </c>
      <c r="N447" s="195">
        <f t="shared" si="60"/>
        <v>1.7339930202980558</v>
      </c>
      <c r="O447" s="195">
        <f t="shared" si="65"/>
        <v>1.8851999999999998</v>
      </c>
      <c r="P447" s="195">
        <f>AVERAGE(Ashed_controlls!$K$12:$K$14)</f>
        <v>2.2816647271287041</v>
      </c>
      <c r="Q447" s="195">
        <f t="shared" si="66"/>
        <v>1.8421860565641694</v>
      </c>
      <c r="R447" s="16">
        <f>IF('WetLitterbags placem_collection'!G154="N.A","",'WetLitterbags placem_collection'!G154)</f>
        <v>42816</v>
      </c>
      <c r="S447" s="195">
        <f>IF(IFERROR(INDEX('Both teabags AfterWet'!$C$3:$C$841,MATCH(H447,'Both teabags AfterWet'!$A$3:$A$841,0)),"")="N.A","",(IFERROR(INDEX('Both teabags AfterWet'!$C$3:$C$841,MATCH(H447,'Both teabags AfterWet'!$A$3:$A$841,0)),"")))</f>
        <v>0.62919999999999998</v>
      </c>
      <c r="T447" s="195">
        <f>IFERROR(INDEX('Both teabags AfterWet'!$C$3:$C$841,MATCH(I447,'Both teabags AfterWet'!$A$3:$A$841,0)),"")</f>
        <v>1.5234000000000001</v>
      </c>
      <c r="U447" s="195">
        <f t="shared" si="67"/>
        <v>0.47859999999999997</v>
      </c>
      <c r="V447" s="195">
        <f t="shared" si="67"/>
        <v>1.3728</v>
      </c>
      <c r="W447" s="195">
        <f>IFERROR(INDEX('Ashed teabags wet'!$K$2:$K$821,MATCH(H447,'Ashed teabags wet'!$A$2:$A$821,0)),"")</f>
        <v>13.529411764705387</v>
      </c>
      <c r="X447" s="195">
        <f>IFERROR(INDEX('Ashed teabags wet'!$K$2:$K$821,MATCH(I447,'Ashed teabags wet'!$A$2:$A$821,0)),"")</f>
        <v>5.1525762881442967</v>
      </c>
      <c r="Y447" s="195">
        <f t="shared" si="61"/>
        <v>0.41384823529411996</v>
      </c>
      <c r="Z447" s="195">
        <f t="shared" si="61"/>
        <v>1.302065432716355</v>
      </c>
      <c r="AA447" s="195">
        <f t="shared" si="68"/>
        <v>0.761332236952728</v>
      </c>
      <c r="AB447" s="195">
        <f t="shared" si="69"/>
        <v>0.49911567078136093</v>
      </c>
      <c r="AC447" s="195">
        <f t="shared" si="62"/>
        <v>0.7068045206817033</v>
      </c>
      <c r="AD447">
        <f t="shared" si="63"/>
        <v>54</v>
      </c>
      <c r="AE447" s="195">
        <f t="shared" si="70"/>
        <v>9.5804944236665079E-2</v>
      </c>
      <c r="AF447" s="195">
        <f t="shared" si="71"/>
        <v>1.639535556335369E-2</v>
      </c>
      <c r="AG447" s="255" t="str">
        <f>IF(ISNUMBER(SEARCH("C",'WetLitterbags placem_collection'!AD374)),"YES","NO")</f>
        <v>NO</v>
      </c>
      <c r="AH447" s="255" t="str">
        <f>IF(ISNUMBER(SEARCH("H", 'WetLitterbags placem_collection'!AF154)),"YES","NO")</f>
        <v>NO</v>
      </c>
      <c r="AI447" s="255" t="str">
        <f>IF(ISNUMBER(SEARCH("R", 'WetLitterbags placem_collection'!XF154)),"YES","NO")</f>
        <v>NO</v>
      </c>
      <c r="AJ447" s="255" t="str">
        <f>IF(ISNUMBER(SEARCH("C", 'WetLitterbags placem_collection'!WE154)),"YES","NO")</f>
        <v>NO</v>
      </c>
      <c r="AK447" s="255" t="str">
        <f>IF(ISNUMBER(SEARCH("H", 'WetLitterbags placem_collection'!AE154)),"YES","NO")</f>
        <v>NO</v>
      </c>
      <c r="AL447" s="255" t="str">
        <f>IF(ISNUMBER(SEARCH("R", 'WetLitterbags placem_collection'!AE154)),"YES","NO")</f>
        <v>NO</v>
      </c>
    </row>
    <row r="448" spans="2:38">
      <c r="B448" t="str">
        <f>'Final data_for_R_analysis_Wetse'!A594</f>
        <v>Wet</v>
      </c>
      <c r="C448" s="263">
        <f>'Final data_for_R_analysis_Wetse'!B594</f>
        <v>153</v>
      </c>
      <c r="D448" t="s">
        <v>3850</v>
      </c>
      <c r="E448" t="s">
        <v>25</v>
      </c>
      <c r="F448" s="386">
        <v>1</v>
      </c>
      <c r="G448" s="16">
        <f>'WetLitterbags placem_collection'!E155</f>
        <v>42762</v>
      </c>
      <c r="H448" s="92" t="str">
        <f>'Final data_for_R_analysis_Wetse'!J594</f>
        <v>G885</v>
      </c>
      <c r="I448" t="str">
        <f>'Final data_for_R_analysis_Wetse'!J814</f>
        <v>R440</v>
      </c>
      <c r="J448">
        <f>IFERROR(INDEX('Green_rooibos initial weight'!$C$5:$C$1749,MATCH(H448, 'Green_rooibos initial weight'!$A$5:$A$1749,0)),"")</f>
        <v>1.8939999999999999</v>
      </c>
      <c r="K448">
        <f>IFERROR(INDEX('Green_rooibos initial weight'!$C$5:$C$1749,MATCH(I448, 'Green_rooibos initial weight'!$A$5:$A$1749,0)),"")</f>
        <v>2.1110000000000002</v>
      </c>
      <c r="L448" s="195">
        <f t="shared" si="64"/>
        <v>1.6441999999999999</v>
      </c>
      <c r="M448" s="195">
        <f>AVERAGE(Ashed_controlls!$K$2:$K$11)</f>
        <v>5.5147656768714146</v>
      </c>
      <c r="N448" s="195">
        <f t="shared" si="60"/>
        <v>1.5535262227408801</v>
      </c>
      <c r="O448" s="195">
        <f t="shared" si="65"/>
        <v>1.8612000000000002</v>
      </c>
      <c r="P448" s="195">
        <f>AVERAGE(Ashed_controlls!$K$12:$K$14)</f>
        <v>2.2816647271287041</v>
      </c>
      <c r="Q448" s="195">
        <f t="shared" si="66"/>
        <v>1.8187336560986807</v>
      </c>
      <c r="R448" s="16">
        <f>IF('WetLitterbags placem_collection'!G155="N.A","",'WetLitterbags placem_collection'!G155)</f>
        <v>42816</v>
      </c>
      <c r="S448" s="195">
        <f>IF(IFERROR(INDEX('Both teabags AfterWet'!$C$3:$C$841,MATCH(H448,'Both teabags AfterWet'!$A$3:$A$841,0)),"")="N.A","",(IFERROR(INDEX('Both teabags AfterWet'!$C$3:$C$841,MATCH(H448,'Both teabags AfterWet'!$A$3:$A$841,0)),"")))</f>
        <v>0.5756</v>
      </c>
      <c r="T448" s="195">
        <f>IFERROR(INDEX('Both teabags AfterWet'!$C$3:$C$841,MATCH(I448,'Both teabags AfterWet'!$A$3:$A$841,0)),"")</f>
        <v>1.6322000000000001</v>
      </c>
      <c r="U448" s="195">
        <f t="shared" si="67"/>
        <v>0.42499999999999999</v>
      </c>
      <c r="V448" s="195">
        <f t="shared" si="67"/>
        <v>1.4816</v>
      </c>
      <c r="W448" s="195">
        <f>IFERROR(INDEX('Ashed teabags wet'!$K$2:$K$821,MATCH(H448,'Ashed teabags wet'!$A$2:$A$821,0)),"")</f>
        <v>12.119700748128949</v>
      </c>
      <c r="X448" s="195">
        <f>IFERROR(INDEX('Ashed teabags wet'!$K$2:$K$821,MATCH(I448,'Ashed teabags wet'!$A$2:$A$821,0)),"")</f>
        <v>4.0218470705065492</v>
      </c>
      <c r="Y448" s="195">
        <f t="shared" si="61"/>
        <v>0.37349127182045194</v>
      </c>
      <c r="Z448" s="195">
        <f t="shared" si="61"/>
        <v>1.4220123138033749</v>
      </c>
      <c r="AA448" s="195">
        <f t="shared" si="68"/>
        <v>0.75958482943306693</v>
      </c>
      <c r="AB448" s="195">
        <f t="shared" si="69"/>
        <v>0.4979701019561199</v>
      </c>
      <c r="AC448" s="195">
        <f t="shared" si="62"/>
        <v>0.78186946672208035</v>
      </c>
      <c r="AD448">
        <f t="shared" si="63"/>
        <v>54</v>
      </c>
      <c r="AE448" s="195">
        <f t="shared" si="70"/>
        <v>9.788025007949297E-2</v>
      </c>
      <c r="AF448" s="195">
        <f t="shared" si="71"/>
        <v>1.0672658685858557E-2</v>
      </c>
      <c r="AG448" s="255" t="str">
        <f>IF(ISNUMBER(SEARCH("C",'WetLitterbags placem_collection'!AD375)),"YES","NO")</f>
        <v>NO</v>
      </c>
      <c r="AH448" s="255" t="str">
        <f>IF(ISNUMBER(SEARCH("H", 'WetLitterbags placem_collection'!AF155)),"YES","NO")</f>
        <v>NO</v>
      </c>
      <c r="AI448" s="255" t="str">
        <f>IF(ISNUMBER(SEARCH("R", 'WetLitterbags placem_collection'!XF155)),"YES","NO")</f>
        <v>NO</v>
      </c>
      <c r="AJ448" s="255" t="str">
        <f>IF(ISNUMBER(SEARCH("C", 'WetLitterbags placem_collection'!WE155)),"YES","NO")</f>
        <v>NO</v>
      </c>
      <c r="AK448" s="255" t="str">
        <f>IF(ISNUMBER(SEARCH("H", 'WetLitterbags placem_collection'!AE155)),"YES","NO")</f>
        <v>NO</v>
      </c>
      <c r="AL448" s="255" t="str">
        <f>IF(ISNUMBER(SEARCH("R", 'WetLitterbags placem_collection'!AE155)),"YES","NO")</f>
        <v>NO</v>
      </c>
    </row>
    <row r="449" spans="2:38">
      <c r="B449" t="str">
        <f>'Final data_for_R_analysis_Wetse'!A595</f>
        <v>Wet</v>
      </c>
      <c r="C449" s="263">
        <f>'Final data_for_R_analysis_Wetse'!B595</f>
        <v>154</v>
      </c>
      <c r="D449" t="s">
        <v>3850</v>
      </c>
      <c r="E449" t="s">
        <v>25</v>
      </c>
      <c r="F449" s="386">
        <v>2</v>
      </c>
      <c r="G449" s="16">
        <f>'WetLitterbags placem_collection'!E156</f>
        <v>42762</v>
      </c>
      <c r="H449" s="92" t="str">
        <f>'Final data_for_R_analysis_Wetse'!J595</f>
        <v>G684</v>
      </c>
      <c r="I449" t="str">
        <f>'Final data_for_R_analysis_Wetse'!J815</f>
        <v>R485</v>
      </c>
      <c r="J449">
        <f>IFERROR(INDEX('Green_rooibos initial weight'!$C$5:$C$1749,MATCH(H449, 'Green_rooibos initial weight'!$A$5:$A$1749,0)),"")</f>
        <v>2.0819999999999999</v>
      </c>
      <c r="K449">
        <f>IFERROR(INDEX('Green_rooibos initial weight'!$C$5:$C$1749,MATCH(I449, 'Green_rooibos initial weight'!$A$5:$A$1749,0)),"")</f>
        <v>2.242</v>
      </c>
      <c r="L449" s="195">
        <f t="shared" si="64"/>
        <v>1.8321999999999998</v>
      </c>
      <c r="M449" s="195">
        <f>AVERAGE(Ashed_controlls!$K$2:$K$11)</f>
        <v>5.5147656768714146</v>
      </c>
      <c r="N449" s="195">
        <f t="shared" si="60"/>
        <v>1.7311584632683619</v>
      </c>
      <c r="O449" s="195">
        <f t="shared" si="65"/>
        <v>1.9922</v>
      </c>
      <c r="P449" s="195">
        <f>AVERAGE(Ashed_controlls!$K$12:$K$14)</f>
        <v>2.2816647271287041</v>
      </c>
      <c r="Q449" s="195">
        <f t="shared" si="66"/>
        <v>1.9467446753061419</v>
      </c>
      <c r="R449" s="16">
        <f>IF('WetLitterbags placem_collection'!G156="N.A","",'WetLitterbags placem_collection'!G156)</f>
        <v>42816</v>
      </c>
      <c r="S449" s="195">
        <f>IF(IFERROR(INDEX('Both teabags AfterWet'!$C$3:$C$841,MATCH(H449,'Both teabags AfterWet'!$A$3:$A$841,0)),"")="N.A","",(IFERROR(INDEX('Both teabags AfterWet'!$C$3:$C$841,MATCH(H449,'Both teabags AfterWet'!$A$3:$A$841,0)),"")))</f>
        <v>0.60499999999999998</v>
      </c>
      <c r="T449" s="195">
        <f>IFERROR(INDEX('Both teabags AfterWet'!$C$3:$C$841,MATCH(I449,'Both teabags AfterWet'!$A$3:$A$841,0)),"")</f>
        <v>1.839</v>
      </c>
      <c r="U449" s="195">
        <f t="shared" si="67"/>
        <v>0.45439999999999997</v>
      </c>
      <c r="V449" s="195">
        <f t="shared" si="67"/>
        <v>1.6883999999999999</v>
      </c>
      <c r="W449" s="195">
        <f>IFERROR(INDEX('Ashed teabags wet'!$K$2:$K$821,MATCH(H449,'Ashed teabags wet'!$A$2:$A$821,0)),"")</f>
        <v>17.540322580645736</v>
      </c>
      <c r="X449" s="195">
        <f>IFERROR(INDEX('Ashed teabags wet'!$K$2:$K$821,MATCH(I449,'Ashed teabags wet'!$A$2:$A$821,0)),"")</f>
        <v>11.924381968008097</v>
      </c>
      <c r="Y449" s="195">
        <f t="shared" si="61"/>
        <v>0.37469677419354575</v>
      </c>
      <c r="Z449" s="195">
        <f t="shared" si="61"/>
        <v>1.4870687348521512</v>
      </c>
      <c r="AA449" s="195">
        <f t="shared" si="68"/>
        <v>0.78355720626167735</v>
      </c>
      <c r="AB449" s="195">
        <f t="shared" si="69"/>
        <v>0.51368595944946083</v>
      </c>
      <c r="AC449" s="195">
        <f t="shared" si="62"/>
        <v>0.76387456132032161</v>
      </c>
      <c r="AD449">
        <f t="shared" si="63"/>
        <v>54</v>
      </c>
      <c r="AE449" s="195">
        <f t="shared" si="70"/>
        <v>6.9409493750976936E-2</v>
      </c>
      <c r="AF449" s="195">
        <f t="shared" si="71"/>
        <v>1.1399501900538551E-2</v>
      </c>
      <c r="AG449" s="255" t="str">
        <f>IF(ISNUMBER(SEARCH("C",'WetLitterbags placem_collection'!AD376)),"YES","NO")</f>
        <v>NO</v>
      </c>
      <c r="AH449" s="255" t="str">
        <f>IF(ISNUMBER(SEARCH("H", 'WetLitterbags placem_collection'!AF156)),"YES","NO")</f>
        <v>NO</v>
      </c>
      <c r="AI449" s="255" t="str">
        <f>IF(ISNUMBER(SEARCH("R", 'WetLitterbags placem_collection'!XF156)),"YES","NO")</f>
        <v>NO</v>
      </c>
      <c r="AJ449" s="255" t="str">
        <f>IF(ISNUMBER(SEARCH("C", 'WetLitterbags placem_collection'!WE156)),"YES","NO")</f>
        <v>NO</v>
      </c>
      <c r="AK449" s="255" t="str">
        <f>IF(ISNUMBER(SEARCH("H", 'WetLitterbags placem_collection'!AE156)),"YES","NO")</f>
        <v>NO</v>
      </c>
      <c r="AL449" s="255" t="str">
        <f>IF(ISNUMBER(SEARCH("R", 'WetLitterbags placem_collection'!AE156)),"YES","NO")</f>
        <v>NO</v>
      </c>
    </row>
    <row r="450" spans="2:38">
      <c r="B450" t="str">
        <f>'Final data_for_R_analysis_Wetse'!A596</f>
        <v>Wet</v>
      </c>
      <c r="C450" s="263">
        <f>'Final data_for_R_analysis_Wetse'!B596</f>
        <v>155</v>
      </c>
      <c r="D450" t="s">
        <v>3850</v>
      </c>
      <c r="E450" t="s">
        <v>25</v>
      </c>
      <c r="F450" s="386">
        <v>3</v>
      </c>
      <c r="G450" s="16">
        <f>'WetLitterbags placem_collection'!E157</f>
        <v>42762</v>
      </c>
      <c r="H450" s="92" t="str">
        <f>'Final data_for_R_analysis_Wetse'!J596</f>
        <v>G827</v>
      </c>
      <c r="I450" t="str">
        <f>'Final data_for_R_analysis_Wetse'!J816</f>
        <v>R556</v>
      </c>
      <c r="J450">
        <f>IFERROR(INDEX('Green_rooibos initial weight'!$C$5:$C$1749,MATCH(H450, 'Green_rooibos initial weight'!$A$5:$A$1749,0)),"")</f>
        <v>1.883</v>
      </c>
      <c r="K450">
        <f>IFERROR(INDEX('Green_rooibos initial weight'!$C$5:$C$1749,MATCH(I450, 'Green_rooibos initial weight'!$A$5:$A$1749,0)),"")</f>
        <v>2.0830000000000002</v>
      </c>
      <c r="L450" s="195">
        <f t="shared" si="64"/>
        <v>1.6332</v>
      </c>
      <c r="M450" s="195">
        <f>AVERAGE(Ashed_controlls!$K$2:$K$11)</f>
        <v>5.5147656768714146</v>
      </c>
      <c r="N450" s="195">
        <f t="shared" si="60"/>
        <v>1.543132846965336</v>
      </c>
      <c r="O450" s="195">
        <f t="shared" si="65"/>
        <v>1.8332000000000002</v>
      </c>
      <c r="P450" s="195">
        <f>AVERAGE(Ashed_controlls!$K$12:$K$14)</f>
        <v>2.2816647271287041</v>
      </c>
      <c r="Q450" s="195">
        <f t="shared" si="66"/>
        <v>1.7913725222222767</v>
      </c>
      <c r="R450" s="16">
        <f>IF('WetLitterbags placem_collection'!G157="N.A","",'WetLitterbags placem_collection'!G157)</f>
        <v>42816</v>
      </c>
      <c r="S450" s="195" t="str">
        <f>IF(IFERROR(INDEX('Both teabags AfterWet'!$C$3:$C$841,MATCH(H450,'Both teabags AfterWet'!$A$3:$A$841,0)),"")="N.A","",(IFERROR(INDEX('Both teabags AfterWet'!$C$3:$C$841,MATCH(H450,'Both teabags AfterWet'!$A$3:$A$841,0)),"")))</f>
        <v/>
      </c>
      <c r="T450" s="195">
        <f>IFERROR(INDEX('Both teabags AfterWet'!$C$3:$C$841,MATCH(I450,'Both teabags AfterWet'!$A$3:$A$841,0)),"")</f>
        <v>1.643</v>
      </c>
      <c r="U450" s="195" t="str">
        <f t="shared" si="67"/>
        <v/>
      </c>
      <c r="V450" s="195">
        <f t="shared" si="67"/>
        <v>1.4923999999999999</v>
      </c>
      <c r="W450" s="195">
        <f>IFERROR(INDEX('Ashed teabags wet'!$K$2:$K$821,MATCH(H450,'Ashed teabags wet'!$A$2:$A$821,0)),"")</f>
        <v>19.219219219219006</v>
      </c>
      <c r="X450" s="195">
        <f>IFERROR(INDEX('Ashed teabags wet'!$K$2:$K$821,MATCH(I450,'Ashed teabags wet'!$A$2:$A$821,0)),"")</f>
        <v>7.5886170743882877</v>
      </c>
      <c r="Y450" s="195" t="str">
        <f t="shared" si="61"/>
        <v/>
      </c>
      <c r="Z450" s="195">
        <f t="shared" si="61"/>
        <v>1.3791474787818292</v>
      </c>
      <c r="AA450" s="195" t="str">
        <f t="shared" si="68"/>
        <v/>
      </c>
      <c r="AB450" s="195" t="str">
        <f t="shared" si="69"/>
        <v/>
      </c>
      <c r="AC450" s="195">
        <f t="shared" si="62"/>
        <v>0.76988312686126048</v>
      </c>
      <c r="AD450">
        <f t="shared" si="63"/>
        <v>54</v>
      </c>
      <c r="AE450" s="195" t="str">
        <f t="shared" si="70"/>
        <v/>
      </c>
      <c r="AF450" s="195" t="str">
        <f t="shared" si="71"/>
        <v/>
      </c>
      <c r="AG450" s="255" t="str">
        <f>IF(ISNUMBER(SEARCH("C",'WetLitterbags placem_collection'!AD377)),"YES","NO")</f>
        <v>NO</v>
      </c>
      <c r="AH450" s="255" t="str">
        <f>IF(ISNUMBER(SEARCH("H", 'WetLitterbags placem_collection'!AF157)),"YES","NO")</f>
        <v>NO</v>
      </c>
      <c r="AI450" s="255" t="str">
        <f>IF(ISNUMBER(SEARCH("R", 'WetLitterbags placem_collection'!XF157)),"YES","NO")</f>
        <v>NO</v>
      </c>
      <c r="AJ450" s="255" t="str">
        <f>IF(ISNUMBER(SEARCH("C", 'WetLitterbags placem_collection'!WE157)),"YES","NO")</f>
        <v>NO</v>
      </c>
      <c r="AK450" s="255" t="str">
        <f>IF(ISNUMBER(SEARCH("H", 'WetLitterbags placem_collection'!AE157)),"YES","NO")</f>
        <v>NO</v>
      </c>
      <c r="AL450" s="255" t="str">
        <f>IF(ISNUMBER(SEARCH("R", 'WetLitterbags placem_collection'!AE157)),"YES","NO")</f>
        <v>NO</v>
      </c>
    </row>
    <row r="451" spans="2:38">
      <c r="B451" t="str">
        <f>'Final data_for_R_analysis_Wetse'!A597</f>
        <v>Wet</v>
      </c>
      <c r="C451" s="263">
        <f>'Final data_for_R_analysis_Wetse'!B597</f>
        <v>156</v>
      </c>
      <c r="D451" t="s">
        <v>3850</v>
      </c>
      <c r="E451" t="s">
        <v>25</v>
      </c>
      <c r="F451" s="387">
        <v>4</v>
      </c>
      <c r="G451" s="16">
        <f>'WetLitterbags placem_collection'!E158</f>
        <v>42762</v>
      </c>
      <c r="H451" s="92" t="str">
        <f>'Final data_for_R_analysis_Wetse'!J597</f>
        <v>G667</v>
      </c>
      <c r="I451" t="str">
        <f>'Final data_for_R_analysis_Wetse'!J817</f>
        <v>R464</v>
      </c>
      <c r="J451">
        <f>IFERROR(INDEX('Green_rooibos initial weight'!$C$5:$C$1749,MATCH(H451, 'Green_rooibos initial weight'!$A$5:$A$1749,0)),"")</f>
        <v>2.048</v>
      </c>
      <c r="K451">
        <f>IFERROR(INDEX('Green_rooibos initial weight'!$C$5:$C$1749,MATCH(I451, 'Green_rooibos initial weight'!$A$5:$A$1749,0)),"")</f>
        <v>2.2040000000000002</v>
      </c>
      <c r="L451" s="195">
        <f t="shared" si="64"/>
        <v>1.7982</v>
      </c>
      <c r="M451" s="195">
        <f>AVERAGE(Ashed_controlls!$K$2:$K$11)</f>
        <v>5.5147656768714146</v>
      </c>
      <c r="N451" s="195">
        <f t="shared" si="60"/>
        <v>1.6990334835984982</v>
      </c>
      <c r="O451" s="195">
        <f t="shared" si="65"/>
        <v>1.9542000000000002</v>
      </c>
      <c r="P451" s="195">
        <f>AVERAGE(Ashed_controlls!$K$12:$K$14)</f>
        <v>2.2816647271287041</v>
      </c>
      <c r="Q451" s="195">
        <f t="shared" si="66"/>
        <v>1.909611707902451</v>
      </c>
      <c r="R451" s="16">
        <f>IF('WetLitterbags placem_collection'!G158="N.A","",'WetLitterbags placem_collection'!G158)</f>
        <v>42816</v>
      </c>
      <c r="S451" s="195">
        <f>IF(IFERROR(INDEX('Both teabags AfterWet'!$C$3:$C$841,MATCH(H451,'Both teabags AfterWet'!$A$3:$A$841,0)),"")="N.A","",(IFERROR(INDEX('Both teabags AfterWet'!$C$3:$C$841,MATCH(H451,'Both teabags AfterWet'!$A$3:$A$841,0)),"")))</f>
        <v>0.65800000000000003</v>
      </c>
      <c r="T451" s="195">
        <f>IFERROR(INDEX('Both teabags AfterWet'!$C$3:$C$841,MATCH(I451,'Both teabags AfterWet'!$A$3:$A$841,0)),"")</f>
        <v>1.802</v>
      </c>
      <c r="U451" s="195">
        <f t="shared" si="67"/>
        <v>0.50740000000000007</v>
      </c>
      <c r="V451" s="195">
        <f t="shared" si="67"/>
        <v>1.6514</v>
      </c>
      <c r="W451" s="195">
        <f>IFERROR(INDEX('Ashed teabags wet'!$K$2:$K$821,MATCH(H451,'Ashed teabags wet'!$A$2:$A$821,0)),"")</f>
        <v>27.494061757718864</v>
      </c>
      <c r="X451" s="195">
        <f>IFERROR(INDEX('Ashed teabags wet'!$K$2:$K$821,MATCH(I451,'Ashed teabags wet'!$A$2:$A$821,0)),"")</f>
        <v>8.8737201365180916</v>
      </c>
      <c r="Y451" s="195">
        <f t="shared" si="61"/>
        <v>0.36789513064133456</v>
      </c>
      <c r="Z451" s="195">
        <f t="shared" si="61"/>
        <v>1.5048593856655401</v>
      </c>
      <c r="AA451" s="195">
        <f t="shared" si="68"/>
        <v>0.78346799271892831</v>
      </c>
      <c r="AB451" s="195">
        <f t="shared" si="69"/>
        <v>0.51362747266134023</v>
      </c>
      <c r="AC451" s="195">
        <f t="shared" si="62"/>
        <v>0.78804470010214922</v>
      </c>
      <c r="AD451">
        <f t="shared" si="63"/>
        <v>54</v>
      </c>
      <c r="AE451" s="195">
        <f t="shared" si="70"/>
        <v>6.9515448077282271E-2</v>
      </c>
      <c r="AF451" s="195">
        <f t="shared" si="71"/>
        <v>9.8547654483243322E-3</v>
      </c>
      <c r="AG451" s="255" t="str">
        <f>IF(ISNUMBER(SEARCH("C",'WetLitterbags placem_collection'!AD378)),"YES","NO")</f>
        <v>NO</v>
      </c>
      <c r="AH451" s="255" t="str">
        <f>IF(ISNUMBER(SEARCH("H", 'WetLitterbags placem_collection'!AF158)),"YES","NO")</f>
        <v>NO</v>
      </c>
      <c r="AI451" s="255" t="str">
        <f>IF(ISNUMBER(SEARCH("R", 'WetLitterbags placem_collection'!XF158)),"YES","NO")</f>
        <v>NO</v>
      </c>
      <c r="AJ451" s="255" t="str">
        <f>IF(ISNUMBER(SEARCH("C", 'WetLitterbags placem_collection'!WE158)),"YES","NO")</f>
        <v>NO</v>
      </c>
      <c r="AK451" s="255" t="str">
        <f>IF(ISNUMBER(SEARCH("H", 'WetLitterbags placem_collection'!AE158)),"YES","NO")</f>
        <v>NO</v>
      </c>
      <c r="AL451" s="255" t="str">
        <f>IF(ISNUMBER(SEARCH("R", 'WetLitterbags placem_collection'!AE158)),"YES","NO")</f>
        <v>NO</v>
      </c>
    </row>
    <row r="452" spans="2:38">
      <c r="B452" t="str">
        <f>'Final data_for_R_analysis_Wetse'!A598</f>
        <v>Wet</v>
      </c>
      <c r="C452" s="263">
        <f>'Final data_for_R_analysis_Wetse'!B598</f>
        <v>157</v>
      </c>
      <c r="D452" t="s">
        <v>3850</v>
      </c>
      <c r="E452" t="s">
        <v>25</v>
      </c>
      <c r="F452" s="387">
        <v>5</v>
      </c>
      <c r="G452" s="16">
        <f>'WetLitterbags placem_collection'!E159</f>
        <v>42762</v>
      </c>
      <c r="H452" s="92" t="str">
        <f>'Final data_for_R_analysis_Wetse'!J598</f>
        <v>G777</v>
      </c>
      <c r="I452" t="str">
        <f>'Final data_for_R_analysis_Wetse'!J818</f>
        <v>R35</v>
      </c>
      <c r="J452">
        <f>IFERROR(INDEX('Green_rooibos initial weight'!$C$5:$C$1749,MATCH(H452, 'Green_rooibos initial weight'!$A$5:$A$1749,0)),"")</f>
        <v>2.0470000000000002</v>
      </c>
      <c r="K452">
        <f>IFERROR(INDEX('Green_rooibos initial weight'!$C$5:$C$1749,MATCH(I452, 'Green_rooibos initial weight'!$A$5:$A$1749,0)),"")</f>
        <v>2.0630000000000002</v>
      </c>
      <c r="L452" s="195">
        <f t="shared" si="64"/>
        <v>1.7972000000000001</v>
      </c>
      <c r="M452" s="195">
        <f>AVERAGE(Ashed_controlls!$K$2:$K$11)</f>
        <v>5.5147656768714146</v>
      </c>
      <c r="N452" s="195">
        <f t="shared" si="60"/>
        <v>1.698088631255267</v>
      </c>
      <c r="O452" s="195">
        <f t="shared" si="65"/>
        <v>1.8132000000000001</v>
      </c>
      <c r="P452" s="195">
        <f>AVERAGE(Ashed_controlls!$K$12:$K$14)</f>
        <v>2.2816647271287041</v>
      </c>
      <c r="Q452" s="195">
        <f t="shared" si="66"/>
        <v>1.7718288551677024</v>
      </c>
      <c r="R452" s="16">
        <f>IF('WetLitterbags placem_collection'!G159="N.A","",'WetLitterbags placem_collection'!G159)</f>
        <v>42816</v>
      </c>
      <c r="S452" s="195">
        <f>IF(IFERROR(INDEX('Both teabags AfterWet'!$C$3:$C$841,MATCH(H452,'Both teabags AfterWet'!$A$3:$A$841,0)),"")="N.A","",(IFERROR(INDEX('Both teabags AfterWet'!$C$3:$C$841,MATCH(H452,'Both teabags AfterWet'!$A$3:$A$841,0)),"")))</f>
        <v>0.70499999999999996</v>
      </c>
      <c r="T452" s="195">
        <f>IFERROR(INDEX('Both teabags AfterWet'!$C$3:$C$841,MATCH(I452,'Both teabags AfterWet'!$A$3:$A$841,0)),"")</f>
        <v>1.994</v>
      </c>
      <c r="U452" s="195">
        <f t="shared" si="67"/>
        <v>0.5544</v>
      </c>
      <c r="V452" s="195">
        <f t="shared" si="67"/>
        <v>1.8433999999999999</v>
      </c>
      <c r="W452" s="195">
        <f>IFERROR(INDEX('Ashed teabags wet'!$K$2:$K$821,MATCH(H452,'Ashed teabags wet'!$A$2:$A$821,0)),"")</f>
        <v>15.610972568578548</v>
      </c>
      <c r="X452" s="195">
        <f>IFERROR(INDEX('Ashed teabags wet'!$K$2:$K$821,MATCH(I452,'Ashed teabags wet'!$A$2:$A$821,0)),"")</f>
        <v>10.019743336623607</v>
      </c>
      <c r="Y452" s="195">
        <f t="shared" si="61"/>
        <v>0.46785276807980053</v>
      </c>
      <c r="Z452" s="195">
        <f t="shared" si="61"/>
        <v>1.6586960513326803</v>
      </c>
      <c r="AA452" s="195">
        <f t="shared" si="68"/>
        <v>0.72448271576145418</v>
      </c>
      <c r="AB452" s="195">
        <f t="shared" si="69"/>
        <v>0.47495778990537141</v>
      </c>
      <c r="AC452" s="195">
        <f t="shared" si="62"/>
        <v>0.93614913567692504</v>
      </c>
      <c r="AD452">
        <f t="shared" si="63"/>
        <v>54</v>
      </c>
      <c r="AE452" s="195">
        <f t="shared" si="70"/>
        <v>0.13956922118592141</v>
      </c>
      <c r="AF452" s="195">
        <f t="shared" si="71"/>
        <v>2.6735666018650444E-3</v>
      </c>
      <c r="AG452" s="255" t="str">
        <f>IF(ISNUMBER(SEARCH("C",'WetLitterbags placem_collection'!AD379)),"YES","NO")</f>
        <v>NO</v>
      </c>
      <c r="AH452" s="255" t="str">
        <f>IF(ISNUMBER(SEARCH("H", 'WetLitterbags placem_collection'!AF159)),"YES","NO")</f>
        <v>NO</v>
      </c>
      <c r="AI452" s="255" t="str">
        <f>IF(ISNUMBER(SEARCH("R", 'WetLitterbags placem_collection'!XF159)),"YES","NO")</f>
        <v>NO</v>
      </c>
      <c r="AJ452" s="255" t="str">
        <f>IF(ISNUMBER(SEARCH("C", 'WetLitterbags placem_collection'!WE159)),"YES","NO")</f>
        <v>NO</v>
      </c>
      <c r="AK452" s="255" t="str">
        <f>IF(ISNUMBER(SEARCH("H", 'WetLitterbags placem_collection'!AE159)),"YES","NO")</f>
        <v>NO</v>
      </c>
      <c r="AL452" s="255" t="str">
        <f>IF(ISNUMBER(SEARCH("R", 'WetLitterbags placem_collection'!AE159)),"YES","NO")</f>
        <v>NO</v>
      </c>
    </row>
    <row r="453" spans="2:38">
      <c r="B453" t="str">
        <f>'Final data_for_R_analysis_Wetse'!A599</f>
        <v>Wet</v>
      </c>
      <c r="C453" s="263">
        <f>'Final data_for_R_analysis_Wetse'!B599</f>
        <v>158</v>
      </c>
      <c r="D453" t="s">
        <v>3850</v>
      </c>
      <c r="E453" t="s">
        <v>25</v>
      </c>
      <c r="F453" s="387">
        <v>6</v>
      </c>
      <c r="G453" s="16">
        <f>'WetLitterbags placem_collection'!E160</f>
        <v>42762</v>
      </c>
      <c r="H453" s="92" t="str">
        <f>'Final data_for_R_analysis_Wetse'!J599</f>
        <v>G884</v>
      </c>
      <c r="I453" t="str">
        <f>'Final data_for_R_analysis_Wetse'!J819</f>
        <v>R570</v>
      </c>
      <c r="J453">
        <f>IFERROR(INDEX('Green_rooibos initial weight'!$C$5:$C$1749,MATCH(H453, 'Green_rooibos initial weight'!$A$5:$A$1749,0)),"")</f>
        <v>2.0710000000000002</v>
      </c>
      <c r="K453">
        <f>IFERROR(INDEX('Green_rooibos initial weight'!$C$5:$C$1749,MATCH(I453, 'Green_rooibos initial weight'!$A$5:$A$1749,0)),"")</f>
        <v>2.0910000000000002</v>
      </c>
      <c r="L453" s="195">
        <f t="shared" si="64"/>
        <v>1.8212000000000002</v>
      </c>
      <c r="M453" s="195">
        <f>AVERAGE(Ashed_controlls!$K$2:$K$11)</f>
        <v>5.5147656768714146</v>
      </c>
      <c r="N453" s="195">
        <f t="shared" si="60"/>
        <v>1.720765087492818</v>
      </c>
      <c r="O453" s="195">
        <f t="shared" si="65"/>
        <v>1.8412000000000002</v>
      </c>
      <c r="P453" s="195">
        <f>AVERAGE(Ashed_controlls!$K$12:$K$14)</f>
        <v>2.2816647271287041</v>
      </c>
      <c r="Q453" s="195">
        <f t="shared" si="66"/>
        <v>1.7991899890441065</v>
      </c>
      <c r="R453" s="16">
        <f>IF('WetLitterbags placem_collection'!G160="N.A","",'WetLitterbags placem_collection'!G160)</f>
        <v>42816</v>
      </c>
      <c r="S453" s="195">
        <f>IF(IFERROR(INDEX('Both teabags AfterWet'!$C$3:$C$841,MATCH(H453,'Both teabags AfterWet'!$A$3:$A$841,0)),"")="N.A","",(IFERROR(INDEX('Both teabags AfterWet'!$C$3:$C$841,MATCH(H453,'Both teabags AfterWet'!$A$3:$A$841,0)),"")))</f>
        <v>0.629</v>
      </c>
      <c r="T453" s="195">
        <f>IFERROR(INDEX('Both teabags AfterWet'!$C$3:$C$841,MATCH(I453,'Both teabags AfterWet'!$A$3:$A$841,0)),"")</f>
        <v>1.718</v>
      </c>
      <c r="U453" s="195">
        <f t="shared" si="67"/>
        <v>0.47839999999999999</v>
      </c>
      <c r="V453" s="195">
        <f t="shared" si="67"/>
        <v>1.5673999999999999</v>
      </c>
      <c r="W453" s="195">
        <f>IFERROR(INDEX('Ashed teabags wet'!$K$2:$K$821,MATCH(H453,'Ashed teabags wet'!$A$2:$A$821,0)),"")</f>
        <v>11.313330054107281</v>
      </c>
      <c r="X453" s="195">
        <f>IFERROR(INDEX('Ashed teabags wet'!$K$2:$K$821,MATCH(I453,'Ashed teabags wet'!$A$2:$A$821,0)),"")</f>
        <v>4.5090180360722032</v>
      </c>
      <c r="Y453" s="195">
        <f t="shared" si="61"/>
        <v>0.42427702902115078</v>
      </c>
      <c r="Z453" s="195">
        <f t="shared" si="61"/>
        <v>1.4967256513026042</v>
      </c>
      <c r="AA453" s="195">
        <f t="shared" si="68"/>
        <v>0.75343698445246288</v>
      </c>
      <c r="AB453" s="195">
        <f t="shared" si="69"/>
        <v>0.49393968576931063</v>
      </c>
      <c r="AC453" s="195">
        <f t="shared" si="62"/>
        <v>0.83188860565959521</v>
      </c>
      <c r="AD453">
        <f t="shared" si="63"/>
        <v>54</v>
      </c>
      <c r="AE453" s="195">
        <f t="shared" si="70"/>
        <v>0.10518172867878517</v>
      </c>
      <c r="AF453" s="195">
        <f t="shared" si="71"/>
        <v>7.7044979065424846E-3</v>
      </c>
      <c r="AG453" s="255" t="str">
        <f>IF(ISNUMBER(SEARCH("C",'WetLitterbags placem_collection'!AD380)),"YES","NO")</f>
        <v>NO</v>
      </c>
      <c r="AH453" s="255" t="str">
        <f>IF(ISNUMBER(SEARCH("H", 'WetLitterbags placem_collection'!AF160)),"YES","NO")</f>
        <v>NO</v>
      </c>
      <c r="AI453" s="255" t="str">
        <f>IF(ISNUMBER(SEARCH("R", 'WetLitterbags placem_collection'!XF160)),"YES","NO")</f>
        <v>NO</v>
      </c>
      <c r="AJ453" s="255" t="str">
        <f>IF(ISNUMBER(SEARCH("C", 'WetLitterbags placem_collection'!WE160)),"YES","NO")</f>
        <v>NO</v>
      </c>
      <c r="AK453" s="255" t="str">
        <f>IF(ISNUMBER(SEARCH("H", 'WetLitterbags placem_collection'!AE160)),"YES","NO")</f>
        <v>NO</v>
      </c>
      <c r="AL453" s="255" t="str">
        <f>IF(ISNUMBER(SEARCH("R", 'WetLitterbags placem_collection'!AE160)),"YES","NO")</f>
        <v>NO</v>
      </c>
    </row>
    <row r="454" spans="2:38">
      <c r="B454" t="str">
        <f>'Final data_for_R_analysis_Wetse'!A600</f>
        <v>Wet</v>
      </c>
      <c r="C454" s="263">
        <f>'Final data_for_R_analysis_Wetse'!B600</f>
        <v>159</v>
      </c>
      <c r="D454" t="s">
        <v>3850</v>
      </c>
      <c r="E454" t="s">
        <v>25</v>
      </c>
      <c r="F454" s="387">
        <v>7</v>
      </c>
      <c r="G454" s="16">
        <f>'WetLitterbags placem_collection'!E161</f>
        <v>42762</v>
      </c>
      <c r="H454" s="92" t="str">
        <f>'Final data_for_R_analysis_Wetse'!J600</f>
        <v>G731</v>
      </c>
      <c r="I454" t="str">
        <f>'Final data_for_R_analysis_Wetse'!J820</f>
        <v>R439</v>
      </c>
      <c r="J454">
        <f>IFERROR(INDEX('Green_rooibos initial weight'!$C$5:$C$1749,MATCH(H454, 'Green_rooibos initial weight'!$A$5:$A$1749,0)),"")</f>
        <v>2.14</v>
      </c>
      <c r="K454">
        <f>IFERROR(INDEX('Green_rooibos initial weight'!$C$5:$C$1749,MATCH(I454, 'Green_rooibos initial weight'!$A$5:$A$1749,0)),"")</f>
        <v>2.2450000000000001</v>
      </c>
      <c r="L454" s="195">
        <f t="shared" si="64"/>
        <v>1.8902000000000001</v>
      </c>
      <c r="M454" s="195">
        <f>AVERAGE(Ashed_controlls!$K$2:$K$11)</f>
        <v>5.5147656768714146</v>
      </c>
      <c r="N454" s="195">
        <f t="shared" si="60"/>
        <v>1.7859598991757766</v>
      </c>
      <c r="O454" s="195">
        <f t="shared" si="65"/>
        <v>1.9952000000000001</v>
      </c>
      <c r="P454" s="195">
        <f>AVERAGE(Ashed_controlls!$K$12:$K$14)</f>
        <v>2.2816647271287041</v>
      </c>
      <c r="Q454" s="195">
        <f t="shared" si="66"/>
        <v>1.9496762253643283</v>
      </c>
      <c r="R454" s="16">
        <f>IF('WetLitterbags placem_collection'!G161="N.A","",'WetLitterbags placem_collection'!G161)</f>
        <v>42816</v>
      </c>
      <c r="S454" s="195" t="str">
        <f>IF(IFERROR(INDEX('Both teabags AfterWet'!$C$3:$C$841,MATCH(H454,'Both teabags AfterWet'!$A$3:$A$841,0)),"")="N.A","",(IFERROR(INDEX('Both teabags AfterWet'!$C$3:$C$841,MATCH(H454,'Both teabags AfterWet'!$A$3:$A$841,0)),"")))</f>
        <v/>
      </c>
      <c r="T454" s="195" t="str">
        <f>IFERROR(INDEX('Both teabags AfterWet'!$C$3:$C$841,MATCH(I454,'Both teabags AfterWet'!$A$3:$A$841,0)),"")</f>
        <v/>
      </c>
      <c r="U454" s="195" t="str">
        <f t="shared" si="67"/>
        <v/>
      </c>
      <c r="V454" s="195" t="str">
        <f t="shared" si="67"/>
        <v/>
      </c>
      <c r="W454" s="195" t="str">
        <f>IFERROR(INDEX('Ashed teabags wet'!$K$2:$K$821,MATCH(H454,'Ashed teabags wet'!$A$2:$A$821,0)),"")</f>
        <v/>
      </c>
      <c r="X454" s="195" t="str">
        <f>IFERROR(INDEX('Ashed teabags wet'!$K$2:$K$821,MATCH(I454,'Ashed teabags wet'!$A$2:$A$821,0)),"")</f>
        <v/>
      </c>
      <c r="Y454" s="195" t="str">
        <f t="shared" si="61"/>
        <v/>
      </c>
      <c r="Z454" s="195" t="str">
        <f t="shared" si="61"/>
        <v/>
      </c>
      <c r="AA454" s="195" t="str">
        <f t="shared" si="68"/>
        <v/>
      </c>
      <c r="AB454" s="195" t="str">
        <f t="shared" si="69"/>
        <v/>
      </c>
      <c r="AC454" s="195" t="str">
        <f t="shared" si="62"/>
        <v/>
      </c>
      <c r="AD454">
        <f t="shared" si="63"/>
        <v>54</v>
      </c>
      <c r="AE454" s="195" t="str">
        <f t="shared" si="70"/>
        <v/>
      </c>
      <c r="AF454" s="195" t="str">
        <f t="shared" si="71"/>
        <v/>
      </c>
      <c r="AG454" s="255" t="str">
        <f>IF(ISNUMBER(SEARCH("C",'WetLitterbags placem_collection'!AD381)),"YES","NO")</f>
        <v>NO</v>
      </c>
      <c r="AH454" s="255" t="str">
        <f>IF(ISNUMBER(SEARCH("H", 'WetLitterbags placem_collection'!AF161)),"YES","NO")</f>
        <v>NO</v>
      </c>
      <c r="AI454" s="255" t="str">
        <f>IF(ISNUMBER(SEARCH("R", 'WetLitterbags placem_collection'!XF161)),"YES","NO")</f>
        <v>NO</v>
      </c>
      <c r="AJ454" s="255" t="str">
        <f>IF(ISNUMBER(SEARCH("C", 'WetLitterbags placem_collection'!WE161)),"YES","NO")</f>
        <v>NO</v>
      </c>
      <c r="AK454" s="255" t="str">
        <f>IF(ISNUMBER(SEARCH("H", 'WetLitterbags placem_collection'!AE161)),"YES","NO")</f>
        <v>NO</v>
      </c>
      <c r="AL454" s="255" t="str">
        <f>IF(ISNUMBER(SEARCH("R", 'WetLitterbags placem_collection'!AE161)),"YES","NO")</f>
        <v>NO</v>
      </c>
    </row>
    <row r="455" spans="2:38">
      <c r="B455" t="str">
        <f>'Final data_for_R_analysis_Wetse'!A601</f>
        <v>Wet</v>
      </c>
      <c r="C455" s="263">
        <f>'Final data_for_R_analysis_Wetse'!B601</f>
        <v>160</v>
      </c>
      <c r="D455" t="s">
        <v>3850</v>
      </c>
      <c r="E455" t="s">
        <v>25</v>
      </c>
      <c r="F455" s="387">
        <v>8</v>
      </c>
      <c r="G455" s="16">
        <f>'WetLitterbags placem_collection'!E162</f>
        <v>42762</v>
      </c>
      <c r="H455" s="92" t="str">
        <f>'Final data_for_R_analysis_Wetse'!J601</f>
        <v>G876</v>
      </c>
      <c r="I455" t="str">
        <f>'Final data_for_R_analysis_Wetse'!J821</f>
        <v>R461</v>
      </c>
      <c r="J455">
        <f>IFERROR(INDEX('Green_rooibos initial weight'!$C$5:$C$1749,MATCH(H455, 'Green_rooibos initial weight'!$A$5:$A$1749,0)),"")</f>
        <v>1.9550000000000001</v>
      </c>
      <c r="K455">
        <f>IFERROR(INDEX('Green_rooibos initial weight'!$C$5:$C$1749,MATCH(I455, 'Green_rooibos initial weight'!$A$5:$A$1749,0)),"")</f>
        <v>2.1930000000000001</v>
      </c>
      <c r="L455" s="195">
        <f t="shared" si="64"/>
        <v>1.7052</v>
      </c>
      <c r="M455" s="195">
        <f>AVERAGE(Ashed_controlls!$K$2:$K$11)</f>
        <v>5.5147656768714146</v>
      </c>
      <c r="N455" s="195">
        <f t="shared" si="60"/>
        <v>1.6111622156779888</v>
      </c>
      <c r="O455" s="195">
        <f t="shared" si="65"/>
        <v>1.9432</v>
      </c>
      <c r="P455" s="195">
        <f>AVERAGE(Ashed_controlls!$K$12:$K$14)</f>
        <v>2.2816647271287041</v>
      </c>
      <c r="Q455" s="195">
        <f t="shared" si="66"/>
        <v>1.8988626910224351</v>
      </c>
      <c r="R455" s="16">
        <f>IF('WetLitterbags placem_collection'!G162="N.A","",'WetLitterbags placem_collection'!G162)</f>
        <v>42816</v>
      </c>
      <c r="S455" s="195">
        <f>IF(IFERROR(INDEX('Both teabags AfterWet'!$C$3:$C$841,MATCH(H455,'Both teabags AfterWet'!$A$3:$A$841,0)),"")="N.A","",(IFERROR(INDEX('Both teabags AfterWet'!$C$3:$C$841,MATCH(H455,'Both teabags AfterWet'!$A$3:$A$841,0)),"")))</f>
        <v>0.68100000000000005</v>
      </c>
      <c r="T455" s="195">
        <f>IFERROR(INDEX('Both teabags AfterWet'!$C$3:$C$841,MATCH(I455,'Both teabags AfterWet'!$A$3:$A$841,0)),"")</f>
        <v>1.744</v>
      </c>
      <c r="U455" s="195">
        <f t="shared" si="67"/>
        <v>0.53039999999999998</v>
      </c>
      <c r="V455" s="195">
        <f t="shared" si="67"/>
        <v>1.5933999999999999</v>
      </c>
      <c r="W455" s="195">
        <f>IFERROR(INDEX('Ashed teabags wet'!$K$2:$K$821,MATCH(H455,'Ashed teabags wet'!$A$2:$A$821,0)),"")</f>
        <v>12.187812187811872</v>
      </c>
      <c r="X455" s="195">
        <f>IFERROR(INDEX('Ashed teabags wet'!$K$2:$K$821,MATCH(I455,'Ashed teabags wet'!$A$2:$A$821,0)),"")</f>
        <v>4.181184668989598</v>
      </c>
      <c r="Y455" s="195">
        <f t="shared" si="61"/>
        <v>0.46575584415584581</v>
      </c>
      <c r="Z455" s="195">
        <f t="shared" si="61"/>
        <v>1.5267770034843198</v>
      </c>
      <c r="AA455" s="195">
        <f t="shared" si="68"/>
        <v>0.71091933535702223</v>
      </c>
      <c r="AB455" s="195">
        <f t="shared" si="69"/>
        <v>0.46606588256184839</v>
      </c>
      <c r="AC455" s="195">
        <f t="shared" si="62"/>
        <v>0.80404813402396813</v>
      </c>
      <c r="AD455">
        <f t="shared" si="63"/>
        <v>54</v>
      </c>
      <c r="AE455" s="195">
        <f t="shared" si="70"/>
        <v>0.1556777489821588</v>
      </c>
      <c r="AF455" s="195">
        <f t="shared" si="71"/>
        <v>1.0101534250144074E-2</v>
      </c>
      <c r="AG455" s="255" t="str">
        <f>IF(ISNUMBER(SEARCH("C",'WetLitterbags placem_collection'!AD382)),"YES","NO")</f>
        <v>NO</v>
      </c>
      <c r="AH455" s="255" t="str">
        <f>IF(ISNUMBER(SEARCH("H", 'WetLitterbags placem_collection'!AF162)),"YES","NO")</f>
        <v>NO</v>
      </c>
      <c r="AI455" s="255" t="str">
        <f>IF(ISNUMBER(SEARCH("R", 'WetLitterbags placem_collection'!XF162)),"YES","NO")</f>
        <v>NO</v>
      </c>
      <c r="AJ455" s="255" t="str">
        <f>IF(ISNUMBER(SEARCH("C", 'WetLitterbags placem_collection'!WE162)),"YES","NO")</f>
        <v>NO</v>
      </c>
      <c r="AK455" s="255" t="str">
        <f>IF(ISNUMBER(SEARCH("H", 'WetLitterbags placem_collection'!AE162)),"YES","NO")</f>
        <v>NO</v>
      </c>
      <c r="AL455" s="255" t="str">
        <f>IF(ISNUMBER(SEARCH("R", 'WetLitterbags placem_collection'!AE162)),"YES","NO")</f>
        <v>NO</v>
      </c>
    </row>
    <row r="456" spans="2:38">
      <c r="B456" t="str">
        <f>'Final data_for_R_analysis_Wetse'!A602</f>
        <v>Wet</v>
      </c>
      <c r="C456" s="263">
        <f>'Final data_for_R_analysis_Wetse'!B602</f>
        <v>161</v>
      </c>
      <c r="D456" t="s">
        <v>3851</v>
      </c>
      <c r="E456" t="s">
        <v>25</v>
      </c>
      <c r="F456" s="386">
        <v>1</v>
      </c>
      <c r="G456" s="16">
        <f>'WetLitterbags placem_collection'!E163</f>
        <v>42763</v>
      </c>
      <c r="H456" s="92" t="str">
        <f>'Final data_for_R_analysis_Wetse'!J602</f>
        <v>G351</v>
      </c>
      <c r="I456" t="str">
        <f>'Final data_for_R_analysis_Wetse'!J822</f>
        <v>R253</v>
      </c>
      <c r="J456">
        <f>IFERROR(INDEX('Green_rooibos initial weight'!$C$5:$C$1749,MATCH(H456, 'Green_rooibos initial weight'!$A$5:$A$1749,0)),"")</f>
        <v>1.909</v>
      </c>
      <c r="K456">
        <f>IFERROR(INDEX('Green_rooibos initial weight'!$C$5:$C$1749,MATCH(I456, 'Green_rooibos initial weight'!$A$5:$A$1749,0)),"")</f>
        <v>2.2130000000000001</v>
      </c>
      <c r="L456" s="195">
        <f t="shared" si="64"/>
        <v>1.6592</v>
      </c>
      <c r="M456" s="195">
        <f>AVERAGE(Ashed_controlls!$K$2:$K$11)</f>
        <v>5.5147656768714146</v>
      </c>
      <c r="N456" s="195">
        <f t="shared" si="60"/>
        <v>1.5676990078893496</v>
      </c>
      <c r="O456" s="195">
        <f t="shared" si="65"/>
        <v>1.9632000000000001</v>
      </c>
      <c r="P456" s="195">
        <f>AVERAGE(Ashed_controlls!$K$12:$K$14)</f>
        <v>2.2816647271287041</v>
      </c>
      <c r="Q456" s="195">
        <f t="shared" si="66"/>
        <v>1.9184063580770094</v>
      </c>
      <c r="R456" s="16">
        <f>IF('WetLitterbags placem_collection'!G163="N.A","",'WetLitterbags placem_collection'!G163)</f>
        <v>42814</v>
      </c>
      <c r="S456" s="195">
        <f>IF(IFERROR(INDEX('Both teabags AfterWet'!$C$3:$C$841,MATCH(H456,'Both teabags AfterWet'!$A$3:$A$841,0)),"")="N.A","",(IFERROR(INDEX('Both teabags AfterWet'!$C$3:$C$841,MATCH(H456,'Both teabags AfterWet'!$A$3:$A$841,0)),"")))</f>
        <v>0.58709999999999996</v>
      </c>
      <c r="T456" s="195">
        <f>IFERROR(INDEX('Both teabags AfterWet'!$C$3:$C$841,MATCH(I456,'Both teabags AfterWet'!$A$3:$A$841,0)),"")</f>
        <v>1.7033</v>
      </c>
      <c r="U456" s="195">
        <f t="shared" si="67"/>
        <v>0.43649999999999994</v>
      </c>
      <c r="V456" s="195">
        <f t="shared" si="67"/>
        <v>1.5527</v>
      </c>
      <c r="W456" s="195">
        <f>IFERROR(INDEX('Ashed teabags wet'!$K$2:$K$821,MATCH(H456,'Ashed teabags wet'!$A$2:$A$821,0)),"")</f>
        <v>11.028315946348718</v>
      </c>
      <c r="X456" s="195">
        <f>IFERROR(INDEX('Ashed teabags wet'!$K$2:$K$821,MATCH(I456,'Ashed teabags wet'!$A$2:$A$821,0)),"")</f>
        <v>2.4952015355091484</v>
      </c>
      <c r="Y456" s="195">
        <f t="shared" si="61"/>
        <v>0.3883614008941878</v>
      </c>
      <c r="Z456" s="195">
        <f t="shared" si="61"/>
        <v>1.5139570057581495</v>
      </c>
      <c r="AA456" s="195">
        <f t="shared" si="68"/>
        <v>0.75227298165031509</v>
      </c>
      <c r="AB456" s="195">
        <f t="shared" si="69"/>
        <v>0.49317658654509972</v>
      </c>
      <c r="AC456" s="195">
        <f t="shared" si="62"/>
        <v>0.78917430573766667</v>
      </c>
      <c r="AD456">
        <f t="shared" si="63"/>
        <v>51</v>
      </c>
      <c r="AE456" s="195">
        <f t="shared" si="70"/>
        <v>0.10656415480960202</v>
      </c>
      <c r="AF456" s="195">
        <f t="shared" si="71"/>
        <v>1.0935621594355623E-2</v>
      </c>
      <c r="AG456" s="255" t="str">
        <f>IF(ISNUMBER(SEARCH("C",'WetLitterbags placem_collection'!AD383)),"YES","NO")</f>
        <v>NO</v>
      </c>
      <c r="AH456" s="255" t="str">
        <f>IF(ISNUMBER(SEARCH("H", 'WetLitterbags placem_collection'!AF163)),"YES","NO")</f>
        <v>NO</v>
      </c>
      <c r="AI456" s="255" t="str">
        <f>IF(ISNUMBER(SEARCH("R", 'WetLitterbags placem_collection'!XF163)),"YES","NO")</f>
        <v>NO</v>
      </c>
      <c r="AJ456" s="255" t="str">
        <f>IF(ISNUMBER(SEARCH("C", 'WetLitterbags placem_collection'!WE163)),"YES","NO")</f>
        <v>NO</v>
      </c>
      <c r="AK456" s="255" t="str">
        <f>IF(ISNUMBER(SEARCH("H", 'WetLitterbags placem_collection'!AE163)),"YES","NO")</f>
        <v>NO</v>
      </c>
      <c r="AL456" s="255" t="str">
        <f>IF(ISNUMBER(SEARCH("R", 'WetLitterbags placem_collection'!AE163)),"YES","NO")</f>
        <v>NO</v>
      </c>
    </row>
    <row r="457" spans="2:38">
      <c r="B457" t="str">
        <f>'Final data_for_R_analysis_Wetse'!A603</f>
        <v>Wet</v>
      </c>
      <c r="C457" s="263">
        <f>'Final data_for_R_analysis_Wetse'!B603</f>
        <v>162</v>
      </c>
      <c r="D457" t="s">
        <v>3851</v>
      </c>
      <c r="E457" t="s">
        <v>25</v>
      </c>
      <c r="F457" s="386">
        <v>2</v>
      </c>
      <c r="G457" s="16">
        <f>'WetLitterbags placem_collection'!E164</f>
        <v>42763</v>
      </c>
      <c r="H457" s="92" t="str">
        <f>'Final data_for_R_analysis_Wetse'!J603</f>
        <v>G442</v>
      </c>
      <c r="I457" t="str">
        <f>'Final data_for_R_analysis_Wetse'!J823</f>
        <v>R285</v>
      </c>
      <c r="J457">
        <f>IFERROR(INDEX('Green_rooibos initial weight'!$C$5:$C$1749,MATCH(H457, 'Green_rooibos initial weight'!$A$5:$A$1749,0)),"")</f>
        <v>2.056</v>
      </c>
      <c r="K457">
        <f>IFERROR(INDEX('Green_rooibos initial weight'!$C$5:$C$1749,MATCH(I457, 'Green_rooibos initial weight'!$A$5:$A$1749,0)),"")</f>
        <v>2.2400000000000002</v>
      </c>
      <c r="L457" s="195">
        <f t="shared" si="64"/>
        <v>1.8062</v>
      </c>
      <c r="M457" s="195">
        <f>AVERAGE(Ashed_controlls!$K$2:$K$11)</f>
        <v>5.5147656768714146</v>
      </c>
      <c r="N457" s="195">
        <f t="shared" si="60"/>
        <v>1.7065923023443486</v>
      </c>
      <c r="O457" s="195">
        <f t="shared" si="65"/>
        <v>1.9902000000000002</v>
      </c>
      <c r="P457" s="195">
        <f>AVERAGE(Ashed_controlls!$K$12:$K$14)</f>
        <v>2.2816647271287041</v>
      </c>
      <c r="Q457" s="195">
        <f t="shared" si="66"/>
        <v>1.9447903086006848</v>
      </c>
      <c r="R457" s="16">
        <f>IF('WetLitterbags placem_collection'!G164="N.A","",'WetLitterbags placem_collection'!G164)</f>
        <v>42814</v>
      </c>
      <c r="S457" s="195">
        <f>IF(IFERROR(INDEX('Both teabags AfterWet'!$C$3:$C$841,MATCH(H457,'Both teabags AfterWet'!$A$3:$A$841,0)),"")="N.A","",(IFERROR(INDEX('Both teabags AfterWet'!$C$3:$C$841,MATCH(H457,'Both teabags AfterWet'!$A$3:$A$841,0)),"")))</f>
        <v>0.66290000000000004</v>
      </c>
      <c r="T457" s="195">
        <f>IFERROR(INDEX('Both teabags AfterWet'!$C$3:$C$841,MATCH(I457,'Both teabags AfterWet'!$A$3:$A$841,0)),"")</f>
        <v>1.6621999999999999</v>
      </c>
      <c r="U457" s="195">
        <f t="shared" si="67"/>
        <v>0.51229999999999998</v>
      </c>
      <c r="V457" s="195">
        <f t="shared" si="67"/>
        <v>1.5115999999999998</v>
      </c>
      <c r="W457" s="195">
        <f>IFERROR(INDEX('Ashed teabags wet'!$K$2:$K$821,MATCH(H457,'Ashed teabags wet'!$A$2:$A$821,0)),"")</f>
        <v>7.6199901039089131</v>
      </c>
      <c r="X457" s="195">
        <f>IFERROR(INDEX('Ashed teabags wet'!$K$2:$K$821,MATCH(I457,'Ashed teabags wet'!$A$2:$A$821,0)),"")</f>
        <v>1.8419777023749115</v>
      </c>
      <c r="Y457" s="195">
        <f t="shared" si="61"/>
        <v>0.47326279069767463</v>
      </c>
      <c r="Z457" s="195">
        <f t="shared" si="61"/>
        <v>1.4837566650509006</v>
      </c>
      <c r="AA457" s="195">
        <f t="shared" si="68"/>
        <v>0.72268550019383493</v>
      </c>
      <c r="AB457" s="195">
        <f t="shared" si="69"/>
        <v>0.47377956782303671</v>
      </c>
      <c r="AC457" s="195">
        <f t="shared" si="62"/>
        <v>0.76293915004054758</v>
      </c>
      <c r="AD457">
        <f t="shared" si="63"/>
        <v>51</v>
      </c>
      <c r="AE457" s="195">
        <f t="shared" si="70"/>
        <v>0.14170368148000601</v>
      </c>
      <c r="AF457" s="195">
        <f t="shared" si="71"/>
        <v>1.3605285782752977E-2</v>
      </c>
      <c r="AG457" s="255" t="str">
        <f>IF(ISNUMBER(SEARCH("C",'WetLitterbags placem_collection'!AD384)),"YES","NO")</f>
        <v>NO</v>
      </c>
      <c r="AH457" s="255" t="str">
        <f>IF(ISNUMBER(SEARCH("H", 'WetLitterbags placem_collection'!AF164)),"YES","NO")</f>
        <v>NO</v>
      </c>
      <c r="AI457" s="255" t="str">
        <f>IF(ISNUMBER(SEARCH("R", 'WetLitterbags placem_collection'!XF164)),"YES","NO")</f>
        <v>NO</v>
      </c>
      <c r="AJ457" s="255" t="str">
        <f>IF(ISNUMBER(SEARCH("C", 'WetLitterbags placem_collection'!WE164)),"YES","NO")</f>
        <v>NO</v>
      </c>
      <c r="AK457" s="255" t="str">
        <f>IF(ISNUMBER(SEARCH("H", 'WetLitterbags placem_collection'!AE164)),"YES","NO")</f>
        <v>NO</v>
      </c>
      <c r="AL457" s="255" t="str">
        <f>IF(ISNUMBER(SEARCH("R", 'WetLitterbags placem_collection'!AE164)),"YES","NO")</f>
        <v>NO</v>
      </c>
    </row>
    <row r="458" spans="2:38">
      <c r="B458" t="str">
        <f>'Final data_for_R_analysis_Wetse'!A604</f>
        <v>Wet</v>
      </c>
      <c r="C458" s="263">
        <f>'Final data_for_R_analysis_Wetse'!B604</f>
        <v>163</v>
      </c>
      <c r="D458" t="s">
        <v>3851</v>
      </c>
      <c r="E458" t="s">
        <v>25</v>
      </c>
      <c r="F458" s="386">
        <v>3</v>
      </c>
      <c r="G458" s="16">
        <f>'WetLitterbags placem_collection'!E165</f>
        <v>42763</v>
      </c>
      <c r="H458" s="92" t="str">
        <f>'Final data_for_R_analysis_Wetse'!J604</f>
        <v>G743</v>
      </c>
      <c r="I458" t="str">
        <f>'Final data_for_R_analysis_Wetse'!J824</f>
        <v>R341</v>
      </c>
      <c r="J458">
        <f>IFERROR(INDEX('Green_rooibos initial weight'!$C$5:$C$1749,MATCH(H458, 'Green_rooibos initial weight'!$A$5:$A$1749,0)),"")</f>
        <v>2.0339999999999998</v>
      </c>
      <c r="K458">
        <f>IFERROR(INDEX('Green_rooibos initial weight'!$C$5:$C$1749,MATCH(I458, 'Green_rooibos initial weight'!$A$5:$A$1749,0)),"")</f>
        <v>2.1560000000000001</v>
      </c>
      <c r="L458" s="195">
        <f t="shared" si="64"/>
        <v>1.7841999999999998</v>
      </c>
      <c r="M458" s="195">
        <f>AVERAGE(Ashed_controlls!$K$2:$K$11)</f>
        <v>5.5147656768714146</v>
      </c>
      <c r="N458" s="195">
        <f t="shared" si="60"/>
        <v>1.6858055507932601</v>
      </c>
      <c r="O458" s="195">
        <f t="shared" si="65"/>
        <v>1.9062000000000001</v>
      </c>
      <c r="P458" s="195">
        <f>AVERAGE(Ashed_controlls!$K$12:$K$14)</f>
        <v>2.2816647271287041</v>
      </c>
      <c r="Q458" s="195">
        <f t="shared" si="66"/>
        <v>1.8627069069714728</v>
      </c>
      <c r="R458" s="16">
        <f>IF('WetLitterbags placem_collection'!G165="N.A","",'WetLitterbags placem_collection'!G165)</f>
        <v>42814</v>
      </c>
      <c r="S458" s="195">
        <f>IF(IFERROR(INDEX('Both teabags AfterWet'!$C$3:$C$841,MATCH(H458,'Both teabags AfterWet'!$A$3:$A$841,0)),"")="N.A","",(IFERROR(INDEX('Both teabags AfterWet'!$C$3:$C$841,MATCH(H458,'Both teabags AfterWet'!$A$3:$A$841,0)),"")))</f>
        <v>0.68700000000000006</v>
      </c>
      <c r="T458" s="195">
        <f>IFERROR(INDEX('Both teabags AfterWet'!$C$3:$C$841,MATCH(I458,'Both teabags AfterWet'!$A$3:$A$841,0)),"")</f>
        <v>1.738</v>
      </c>
      <c r="U458" s="195">
        <f t="shared" si="67"/>
        <v>0.53639999999999999</v>
      </c>
      <c r="V458" s="195">
        <f t="shared" si="67"/>
        <v>1.5873999999999999</v>
      </c>
      <c r="W458" s="195">
        <f>IFERROR(INDEX('Ashed teabags wet'!$K$2:$K$821,MATCH(H458,'Ashed teabags wet'!$A$2:$A$821,0)),"")</f>
        <v>7.8343313373247501</v>
      </c>
      <c r="X458" s="195">
        <f>IFERROR(INDEX('Ashed teabags wet'!$K$2:$K$821,MATCH(I458,'Ashed teabags wet'!$A$2:$A$821,0)),"")</f>
        <v>2.2942643391521438</v>
      </c>
      <c r="Y458" s="195">
        <f t="shared" si="61"/>
        <v>0.49437664670659004</v>
      </c>
      <c r="Z458" s="195">
        <f t="shared" si="61"/>
        <v>1.5509808478802989</v>
      </c>
      <c r="AA458" s="195">
        <f t="shared" si="68"/>
        <v>0.70674159515374724</v>
      </c>
      <c r="AB458" s="195">
        <f t="shared" si="69"/>
        <v>0.46332703150221916</v>
      </c>
      <c r="AC458" s="195">
        <f t="shared" si="62"/>
        <v>0.83264889504382567</v>
      </c>
      <c r="AD458">
        <f t="shared" si="63"/>
        <v>51</v>
      </c>
      <c r="AE458" s="195">
        <f t="shared" si="70"/>
        <v>0.16063943568438566</v>
      </c>
      <c r="AF458" s="195">
        <f t="shared" si="71"/>
        <v>8.7873532256757189E-3</v>
      </c>
      <c r="AG458" s="255" t="str">
        <f>IF(ISNUMBER(SEARCH("C",'WetLitterbags placem_collection'!AD385)),"YES","NO")</f>
        <v>NO</v>
      </c>
      <c r="AH458" s="255" t="str">
        <f>IF(ISNUMBER(SEARCH("H", 'WetLitterbags placem_collection'!AF165)),"YES","NO")</f>
        <v>NO</v>
      </c>
      <c r="AI458" s="255" t="str">
        <f>IF(ISNUMBER(SEARCH("R", 'WetLitterbags placem_collection'!XF165)),"YES","NO")</f>
        <v>NO</v>
      </c>
      <c r="AJ458" s="255" t="str">
        <f>IF(ISNUMBER(SEARCH("C", 'WetLitterbags placem_collection'!WE165)),"YES","NO")</f>
        <v>NO</v>
      </c>
      <c r="AK458" s="255" t="str">
        <f>IF(ISNUMBER(SEARCH("H", 'WetLitterbags placem_collection'!AE165)),"YES","NO")</f>
        <v>NO</v>
      </c>
      <c r="AL458" s="255" t="str">
        <f>IF(ISNUMBER(SEARCH("R", 'WetLitterbags placem_collection'!AE165)),"YES","NO")</f>
        <v>NO</v>
      </c>
    </row>
    <row r="459" spans="2:38">
      <c r="B459" t="str">
        <f>'Final data_for_R_analysis_Wetse'!A605</f>
        <v>Wet</v>
      </c>
      <c r="C459" s="263">
        <f>'Final data_for_R_analysis_Wetse'!B605</f>
        <v>164</v>
      </c>
      <c r="D459" t="s">
        <v>3851</v>
      </c>
      <c r="E459" t="s">
        <v>25</v>
      </c>
      <c r="F459" s="387">
        <v>4</v>
      </c>
      <c r="G459" s="16">
        <f>'WetLitterbags placem_collection'!E166</f>
        <v>42763</v>
      </c>
      <c r="H459" s="92" t="str">
        <f>'Final data_for_R_analysis_Wetse'!J605</f>
        <v>G390</v>
      </c>
      <c r="I459" t="str">
        <f>'Final data_for_R_analysis_Wetse'!J825</f>
        <v>R264</v>
      </c>
      <c r="J459">
        <f>IFERROR(INDEX('Green_rooibos initial weight'!$C$5:$C$1749,MATCH(H459, 'Green_rooibos initial weight'!$A$5:$A$1749,0)),"")</f>
        <v>2.0630000000000002</v>
      </c>
      <c r="K459">
        <f>IFERROR(INDEX('Green_rooibos initial weight'!$C$5:$C$1749,MATCH(I459, 'Green_rooibos initial weight'!$A$5:$A$1749,0)),"")</f>
        <v>2.2250000000000001</v>
      </c>
      <c r="L459" s="195">
        <f t="shared" si="64"/>
        <v>1.8132000000000001</v>
      </c>
      <c r="M459" s="195">
        <f>AVERAGE(Ashed_controlls!$K$2:$K$11)</f>
        <v>5.5147656768714146</v>
      </c>
      <c r="N459" s="195">
        <f t="shared" si="60"/>
        <v>1.7132062687469676</v>
      </c>
      <c r="O459" s="195">
        <f t="shared" si="65"/>
        <v>1.9752000000000001</v>
      </c>
      <c r="P459" s="195">
        <f>AVERAGE(Ashed_controlls!$K$12:$K$14)</f>
        <v>2.2816647271287041</v>
      </c>
      <c r="Q459" s="195">
        <f t="shared" si="66"/>
        <v>1.9301325583097539</v>
      </c>
      <c r="R459" s="16">
        <f>IF('WetLitterbags placem_collection'!G166="N.A","",'WetLitterbags placem_collection'!G166)</f>
        <v>42814</v>
      </c>
      <c r="S459" s="195">
        <f>IF(IFERROR(INDEX('Both teabags AfterWet'!$C$3:$C$841,MATCH(H459,'Both teabags AfterWet'!$A$3:$A$841,0)),"")="N.A","",(IFERROR(INDEX('Both teabags AfterWet'!$C$3:$C$841,MATCH(H459,'Both teabags AfterWet'!$A$3:$A$841,0)),"")))</f>
        <v>0.63800000000000001</v>
      </c>
      <c r="T459" s="195">
        <f>IFERROR(INDEX('Both teabags AfterWet'!$C$3:$C$841,MATCH(I459,'Both teabags AfterWet'!$A$3:$A$841,0)),"")</f>
        <v>1.7050000000000001</v>
      </c>
      <c r="U459" s="195">
        <f t="shared" si="67"/>
        <v>0.4874</v>
      </c>
      <c r="V459" s="195">
        <f t="shared" si="67"/>
        <v>1.5544</v>
      </c>
      <c r="W459" s="195">
        <f>IFERROR(INDEX('Ashed teabags wet'!$K$2:$K$821,MATCH(H459,'Ashed teabags wet'!$A$2:$A$821,0)),"")</f>
        <v>9.1180866965623011</v>
      </c>
      <c r="X459" s="195">
        <f>IFERROR(INDEX('Ashed teabags wet'!$K$2:$K$821,MATCH(I459,'Ashed teabags wet'!$A$2:$A$821,0)),"")</f>
        <v>1.9295706705255817</v>
      </c>
      <c r="Y459" s="195">
        <f t="shared" si="61"/>
        <v>0.44295844544095536</v>
      </c>
      <c r="Z459" s="195">
        <f t="shared" si="61"/>
        <v>1.5244067534973504</v>
      </c>
      <c r="AA459" s="195">
        <f t="shared" si="68"/>
        <v>0.74144476732218978</v>
      </c>
      <c r="AB459" s="195">
        <f t="shared" si="69"/>
        <v>0.48607780470528361</v>
      </c>
      <c r="AC459" s="195">
        <f t="shared" si="62"/>
        <v>0.78979381334942944</v>
      </c>
      <c r="AD459">
        <f t="shared" si="63"/>
        <v>51</v>
      </c>
      <c r="AE459" s="195">
        <f t="shared" si="70"/>
        <v>0.11942426683825436</v>
      </c>
      <c r="AF459" s="195">
        <f t="shared" si="71"/>
        <v>1.110653132448209E-2</v>
      </c>
      <c r="AG459" s="255" t="str">
        <f>IF(ISNUMBER(SEARCH("C",'WetLitterbags placem_collection'!AD386)),"YES","NO")</f>
        <v>NO</v>
      </c>
      <c r="AH459" s="255" t="str">
        <f>IF(ISNUMBER(SEARCH("H", 'WetLitterbags placem_collection'!AF166)),"YES","NO")</f>
        <v>NO</v>
      </c>
      <c r="AI459" s="255" t="str">
        <f>IF(ISNUMBER(SEARCH("R", 'WetLitterbags placem_collection'!XF166)),"YES","NO")</f>
        <v>NO</v>
      </c>
      <c r="AJ459" s="255" t="str">
        <f>IF(ISNUMBER(SEARCH("C", 'WetLitterbags placem_collection'!WE166)),"YES","NO")</f>
        <v>NO</v>
      </c>
      <c r="AK459" s="255" t="str">
        <f>IF(ISNUMBER(SEARCH("H", 'WetLitterbags placem_collection'!AE166)),"YES","NO")</f>
        <v>NO</v>
      </c>
      <c r="AL459" s="255" t="str">
        <f>IF(ISNUMBER(SEARCH("R", 'WetLitterbags placem_collection'!AE166)),"YES","NO")</f>
        <v>NO</v>
      </c>
    </row>
    <row r="460" spans="2:38">
      <c r="B460" t="str">
        <f>'Final data_for_R_analysis_Wetse'!A606</f>
        <v>Wet</v>
      </c>
      <c r="C460" s="263">
        <f>'Final data_for_R_analysis_Wetse'!B606</f>
        <v>165</v>
      </c>
      <c r="D460" t="s">
        <v>3851</v>
      </c>
      <c r="E460" t="s">
        <v>25</v>
      </c>
      <c r="F460" s="387">
        <v>5</v>
      </c>
      <c r="G460" s="16">
        <f>'WetLitterbags placem_collection'!E167</f>
        <v>42763</v>
      </c>
      <c r="H460" s="92" t="str">
        <f>'Final data_for_R_analysis_Wetse'!J606</f>
        <v>G810</v>
      </c>
      <c r="I460" t="str">
        <f>'Final data_for_R_analysis_Wetse'!J826</f>
        <v>R411</v>
      </c>
      <c r="J460">
        <f>IFERROR(INDEX('Green_rooibos initial weight'!$C$5:$C$1749,MATCH(H460, 'Green_rooibos initial weight'!$A$5:$A$1749,0)),"")</f>
        <v>1.946</v>
      </c>
      <c r="K460">
        <f>IFERROR(INDEX('Green_rooibos initial weight'!$C$5:$C$1749,MATCH(I460, 'Green_rooibos initial weight'!$A$5:$A$1749,0)),"")</f>
        <v>2.2240000000000002</v>
      </c>
      <c r="L460" s="195">
        <f t="shared" si="64"/>
        <v>1.6961999999999999</v>
      </c>
      <c r="M460" s="195">
        <f>AVERAGE(Ashed_controlls!$K$2:$K$11)</f>
        <v>5.5147656768714146</v>
      </c>
      <c r="N460" s="195">
        <f t="shared" ref="N460:N515" si="72">IFERROR(L460-(M460/100)*L460,"")</f>
        <v>1.602658544588907</v>
      </c>
      <c r="O460" s="195">
        <f t="shared" si="65"/>
        <v>1.9742000000000002</v>
      </c>
      <c r="P460" s="195">
        <f>AVERAGE(Ashed_controlls!$K$12:$K$14)</f>
        <v>2.2816647271287041</v>
      </c>
      <c r="Q460" s="195">
        <f t="shared" si="66"/>
        <v>1.9291553749570254</v>
      </c>
      <c r="R460" s="16">
        <f>IF('WetLitterbags placem_collection'!G167="N.A","",'WetLitterbags placem_collection'!G167)</f>
        <v>42814</v>
      </c>
      <c r="S460" s="195">
        <f>IF(IFERROR(INDEX('Both teabags AfterWet'!$C$3:$C$841,MATCH(H460,'Both teabags AfterWet'!$A$3:$A$841,0)),"")="N.A","",(IFERROR(INDEX('Both teabags AfterWet'!$C$3:$C$841,MATCH(H460,'Both teabags AfterWet'!$A$3:$A$841,0)),"")))</f>
        <v>0.64800000000000002</v>
      </c>
      <c r="T460" s="195">
        <f>IFERROR(INDEX('Both teabags AfterWet'!$C$3:$C$841,MATCH(I460,'Both teabags AfterWet'!$A$3:$A$841,0)),"")</f>
        <v>1.728</v>
      </c>
      <c r="U460" s="195">
        <f t="shared" si="67"/>
        <v>0.49740000000000001</v>
      </c>
      <c r="V460" s="195">
        <f t="shared" si="67"/>
        <v>1.5773999999999999</v>
      </c>
      <c r="W460" s="195">
        <f>IFERROR(INDEX('Ashed teabags wet'!$K$2:$K$821,MATCH(H460,'Ashed teabags wet'!$A$2:$A$821,0)),"")</f>
        <v>7.6693227091631231</v>
      </c>
      <c r="X460" s="195">
        <f>IFERROR(INDEX('Ashed teabags wet'!$K$2:$K$821,MATCH(I460,'Ashed teabags wet'!$A$2:$A$821,0)),"")</f>
        <v>1.9212295869364138</v>
      </c>
      <c r="Y460" s="195">
        <f t="shared" ref="Y460:Z515" si="73">IFERROR(U460-(W460/100)*U460,"")</f>
        <v>0.45925278884462262</v>
      </c>
      <c r="Z460" s="195">
        <f t="shared" si="73"/>
        <v>1.5470945244956649</v>
      </c>
      <c r="AA460" s="195">
        <f t="shared" si="68"/>
        <v>0.71344314707882828</v>
      </c>
      <c r="AB460" s="195">
        <f t="shared" si="69"/>
        <v>0.4677204479661678</v>
      </c>
      <c r="AC460" s="195">
        <f t="shared" ref="AC460:AC515" si="74">IFERROR(Z460/Q460,"")</f>
        <v>0.80195433948918116</v>
      </c>
      <c r="AD460">
        <f t="shared" ref="AD460:AD515" si="75">IF((R460-G460)&gt;0,(IFERROR(R460-G460,"")),"")</f>
        <v>51</v>
      </c>
      <c r="AE460" s="195">
        <f t="shared" si="70"/>
        <v>0.15268034788737728</v>
      </c>
      <c r="AF460" s="195">
        <f t="shared" si="71"/>
        <v>1.0797138077005428E-2</v>
      </c>
      <c r="AG460" s="255" t="str">
        <f>IF(ISNUMBER(SEARCH("C",'WetLitterbags placem_collection'!AD387)),"YES","NO")</f>
        <v>NO</v>
      </c>
      <c r="AH460" s="255" t="str">
        <f>IF(ISNUMBER(SEARCH("H", 'WetLitterbags placem_collection'!AF167)),"YES","NO")</f>
        <v>NO</v>
      </c>
      <c r="AI460" s="255" t="str">
        <f>IF(ISNUMBER(SEARCH("R", 'WetLitterbags placem_collection'!XF167)),"YES","NO")</f>
        <v>NO</v>
      </c>
      <c r="AJ460" s="255" t="str">
        <f>IF(ISNUMBER(SEARCH("C", 'WetLitterbags placem_collection'!WE167)),"YES","NO")</f>
        <v>NO</v>
      </c>
      <c r="AK460" s="255" t="str">
        <f>IF(ISNUMBER(SEARCH("H", 'WetLitterbags placem_collection'!AE167)),"YES","NO")</f>
        <v>NO</v>
      </c>
      <c r="AL460" s="255" t="str">
        <f>IF(ISNUMBER(SEARCH("R", 'WetLitterbags placem_collection'!AE167)),"YES","NO")</f>
        <v>NO</v>
      </c>
    </row>
    <row r="461" spans="2:38">
      <c r="B461" t="str">
        <f>'Final data_for_R_analysis_Wetse'!A607</f>
        <v>Wet</v>
      </c>
      <c r="C461" s="263">
        <f>'Final data_for_R_analysis_Wetse'!B607</f>
        <v>166</v>
      </c>
      <c r="D461" t="s">
        <v>3851</v>
      </c>
      <c r="E461" t="s">
        <v>25</v>
      </c>
      <c r="F461" s="387">
        <v>6</v>
      </c>
      <c r="G461" s="16">
        <f>'WetLitterbags placem_collection'!E168</f>
        <v>42763</v>
      </c>
      <c r="H461" s="92" t="str">
        <f>'Final data_for_R_analysis_Wetse'!J607</f>
        <v>G287</v>
      </c>
      <c r="I461" t="str">
        <f>'Final data_for_R_analysis_Wetse'!J827</f>
        <v>R259</v>
      </c>
      <c r="J461">
        <f>IFERROR(INDEX('Green_rooibos initial weight'!$C$5:$C$1749,MATCH(H461, 'Green_rooibos initial weight'!$A$5:$A$1749,0)),"")</f>
        <v>1.9970000000000001</v>
      </c>
      <c r="K461">
        <f>IFERROR(INDEX('Green_rooibos initial weight'!$C$5:$C$1749,MATCH(I461, 'Green_rooibos initial weight'!$A$5:$A$1749,0)),"")</f>
        <v>2.218</v>
      </c>
      <c r="L461" s="195">
        <f t="shared" ref="L461:L515" si="76">IF(J461&gt;0,(J461*$F$31-($F$29+$F$30)),"")</f>
        <v>1.7472000000000001</v>
      </c>
      <c r="M461" s="195">
        <f>AVERAGE(Ashed_controlls!$K$2:$K$11)</f>
        <v>5.5147656768714146</v>
      </c>
      <c r="N461" s="195">
        <f t="shared" si="72"/>
        <v>1.6508460140937027</v>
      </c>
      <c r="O461" s="195">
        <f t="shared" ref="O461:O515" si="77">IF(K461&gt;0,(K461*$F$32-($F$29+$F$30)),"")</f>
        <v>1.9681999999999999</v>
      </c>
      <c r="P461" s="195">
        <f>AVERAGE(Ashed_controlls!$K$12:$K$14)</f>
        <v>2.2816647271287041</v>
      </c>
      <c r="Q461" s="195">
        <f t="shared" ref="Q461:Q515" si="78">IFERROR(O461-(P461/100)*O461,"")</f>
        <v>1.9232922748406529</v>
      </c>
      <c r="R461" s="16">
        <f>IF('WetLitterbags placem_collection'!G168="N.A","",'WetLitterbags placem_collection'!G168)</f>
        <v>42814</v>
      </c>
      <c r="S461" s="195">
        <f>IF(IFERROR(INDEX('Both teabags AfterWet'!$C$3:$C$841,MATCH(H461,'Both teabags AfterWet'!$A$3:$A$841,0)),"")="N.A","",(IFERROR(INDEX('Both teabags AfterWet'!$C$3:$C$841,MATCH(H461,'Both teabags AfterWet'!$A$3:$A$841,0)),"")))</f>
        <v>0.72240000000000004</v>
      </c>
      <c r="T461" s="195">
        <f>IFERROR(INDEX('Both teabags AfterWet'!$C$3:$C$841,MATCH(I461,'Both teabags AfterWet'!$A$3:$A$841,0)),"")</f>
        <v>1.7169000000000001</v>
      </c>
      <c r="U461" s="195">
        <f t="shared" ref="U461:V515" si="79">IFERROR(IF(S461&gt;0,S461-($F$29),""),"")</f>
        <v>0.57180000000000009</v>
      </c>
      <c r="V461" s="195">
        <f t="shared" si="79"/>
        <v>1.5663</v>
      </c>
      <c r="W461" s="195">
        <f>IFERROR(INDEX('Ashed teabags wet'!$K$2:$K$821,MATCH(H461,'Ashed teabags wet'!$A$2:$A$821,0)),"")</f>
        <v>8.1175298804781466</v>
      </c>
      <c r="X461" s="195">
        <f>IFERROR(INDEX('Ashed teabags wet'!$K$2:$K$821,MATCH(I461,'Ashed teabags wet'!$A$2:$A$821,0)),"")</f>
        <v>1.9326065411295223</v>
      </c>
      <c r="Y461" s="195">
        <f t="shared" si="73"/>
        <v>0.52538396414342603</v>
      </c>
      <c r="Z461" s="195">
        <f t="shared" si="73"/>
        <v>1.5360295837462883</v>
      </c>
      <c r="AA461" s="195">
        <f t="shared" ref="AA461:AA515" si="80">IFERROR(1-Y461/N461,"")</f>
        <v>0.68174865513919158</v>
      </c>
      <c r="AB461" s="195">
        <f t="shared" ref="AB461:AB515" si="81">IFERROR($F$26*(1-AE461),"")</f>
        <v>0.4469421112076411</v>
      </c>
      <c r="AC461" s="195">
        <f t="shared" si="74"/>
        <v>0.79864594884495654</v>
      </c>
      <c r="AD461">
        <f t="shared" si="75"/>
        <v>51</v>
      </c>
      <c r="AE461" s="195">
        <f t="shared" ref="AE461:AE515" si="82">IFERROR(1-(AA461/$F$25),"")</f>
        <v>0.19032226230499805</v>
      </c>
      <c r="AF461" s="195">
        <f t="shared" ref="AF461:AF515" si="83">IFERROR(LN(AB461/(AC461-(1-AB461)))/AD461,"")</f>
        <v>1.1740656890755609E-2</v>
      </c>
      <c r="AG461" s="255" t="str">
        <f>IF(ISNUMBER(SEARCH("C",'WetLitterbags placem_collection'!AD388)),"YES","NO")</f>
        <v>NO</v>
      </c>
      <c r="AH461" s="255" t="str">
        <f>IF(ISNUMBER(SEARCH("H", 'WetLitterbags placem_collection'!AF168)),"YES","NO")</f>
        <v>NO</v>
      </c>
      <c r="AI461" s="255" t="str">
        <f>IF(ISNUMBER(SEARCH("R", 'WetLitterbags placem_collection'!XF168)),"YES","NO")</f>
        <v>NO</v>
      </c>
      <c r="AJ461" s="255" t="str">
        <f>IF(ISNUMBER(SEARCH("C", 'WetLitterbags placem_collection'!WE168)),"YES","NO")</f>
        <v>NO</v>
      </c>
      <c r="AK461" s="255" t="str">
        <f>IF(ISNUMBER(SEARCH("H", 'WetLitterbags placem_collection'!AE168)),"YES","NO")</f>
        <v>NO</v>
      </c>
      <c r="AL461" s="255" t="str">
        <f>IF(ISNUMBER(SEARCH("R", 'WetLitterbags placem_collection'!AE168)),"YES","NO")</f>
        <v>NO</v>
      </c>
    </row>
    <row r="462" spans="2:38">
      <c r="B462" t="str">
        <f>'Final data_for_R_analysis_Wetse'!A608</f>
        <v>Wet</v>
      </c>
      <c r="C462" s="263">
        <f>'Final data_for_R_analysis_Wetse'!B608</f>
        <v>167</v>
      </c>
      <c r="D462" t="s">
        <v>3851</v>
      </c>
      <c r="E462" t="s">
        <v>25</v>
      </c>
      <c r="F462" s="387">
        <v>7</v>
      </c>
      <c r="G462" s="16">
        <f>'WetLitterbags placem_collection'!E169</f>
        <v>42763</v>
      </c>
      <c r="H462" s="92" t="str">
        <f>'Final data_for_R_analysis_Wetse'!J608</f>
        <v>G443</v>
      </c>
      <c r="I462" t="str">
        <f>'Final data_for_R_analysis_Wetse'!J828</f>
        <v>R215</v>
      </c>
      <c r="J462">
        <f>IFERROR(INDEX('Green_rooibos initial weight'!$C$5:$C$1749,MATCH(H462, 'Green_rooibos initial weight'!$A$5:$A$1749,0)),"")</f>
        <v>2.0310000000000001</v>
      </c>
      <c r="K462">
        <f>IFERROR(INDEX('Green_rooibos initial weight'!$C$5:$C$1749,MATCH(I462, 'Green_rooibos initial weight'!$A$5:$A$1749,0)),"")</f>
        <v>2.1949999999999998</v>
      </c>
      <c r="L462" s="195">
        <f t="shared" si="76"/>
        <v>1.7812000000000001</v>
      </c>
      <c r="M462" s="195">
        <f>AVERAGE(Ashed_controlls!$K$2:$K$11)</f>
        <v>5.5147656768714146</v>
      </c>
      <c r="N462" s="195">
        <f t="shared" si="72"/>
        <v>1.6829709937635664</v>
      </c>
      <c r="O462" s="195">
        <f t="shared" si="77"/>
        <v>1.9451999999999998</v>
      </c>
      <c r="P462" s="195">
        <f>AVERAGE(Ashed_controlls!$K$12:$K$14)</f>
        <v>2.2816647271287041</v>
      </c>
      <c r="Q462" s="195">
        <f t="shared" si="78"/>
        <v>1.9008170577278922</v>
      </c>
      <c r="R462" s="16">
        <f>IF('WetLitterbags placem_collection'!G169="N.A","",'WetLitterbags placem_collection'!G169)</f>
        <v>42814</v>
      </c>
      <c r="S462" s="195">
        <f>IF(IFERROR(INDEX('Both teabags AfterWet'!$C$3:$C$841,MATCH(H462,'Both teabags AfterWet'!$A$3:$A$841,0)),"")="N.A","",(IFERROR(INDEX('Both teabags AfterWet'!$C$3:$C$841,MATCH(H462,'Both teabags AfterWet'!$A$3:$A$841,0)),"")))</f>
        <v>0.69789999999999996</v>
      </c>
      <c r="T462" s="195">
        <f>IFERROR(INDEX('Both teabags AfterWet'!$C$3:$C$841,MATCH(I462,'Both teabags AfterWet'!$A$3:$A$841,0)),"")</f>
        <v>1.7432000000000001</v>
      </c>
      <c r="U462" s="195">
        <f t="shared" si="79"/>
        <v>0.5472999999999999</v>
      </c>
      <c r="V462" s="195">
        <f t="shared" si="79"/>
        <v>1.5926</v>
      </c>
      <c r="W462" s="195">
        <f>IFERROR(INDEX('Ashed teabags wet'!$K$2:$K$821,MATCH(H462,'Ashed teabags wet'!$A$2:$A$821,0)),"")</f>
        <v>8.5487077534794818</v>
      </c>
      <c r="X462" s="195">
        <f>IFERROR(INDEX('Ashed teabags wet'!$K$2:$K$821,MATCH(I462,'Ashed teabags wet'!$A$2:$A$821,0)),"")</f>
        <v>1.8428709990296765</v>
      </c>
      <c r="Y462" s="195">
        <f t="shared" si="73"/>
        <v>0.50051292246520673</v>
      </c>
      <c r="Z462" s="195">
        <f t="shared" si="73"/>
        <v>1.5632504364694535</v>
      </c>
      <c r="AA462" s="195">
        <f t="shared" si="80"/>
        <v>0.70260157523812805</v>
      </c>
      <c r="AB462" s="195">
        <f t="shared" si="81"/>
        <v>0.46061290918224079</v>
      </c>
      <c r="AC462" s="195">
        <f t="shared" si="74"/>
        <v>0.82240972644577226</v>
      </c>
      <c r="AD462">
        <f t="shared" si="75"/>
        <v>51</v>
      </c>
      <c r="AE462" s="195">
        <f t="shared" si="82"/>
        <v>0.16555632394521602</v>
      </c>
      <c r="AF462" s="195">
        <f t="shared" si="83"/>
        <v>9.5496300957012194E-3</v>
      </c>
      <c r="AG462" s="255" t="str">
        <f>IF(ISNUMBER(SEARCH("C",'WetLitterbags placem_collection'!AD389)),"YES","NO")</f>
        <v>NO</v>
      </c>
      <c r="AH462" s="255" t="str">
        <f>IF(ISNUMBER(SEARCH("H", 'WetLitterbags placem_collection'!AF169)),"YES","NO")</f>
        <v>NO</v>
      </c>
      <c r="AI462" s="255" t="str">
        <f>IF(ISNUMBER(SEARCH("R", 'WetLitterbags placem_collection'!XF169)),"YES","NO")</f>
        <v>NO</v>
      </c>
      <c r="AJ462" s="255" t="str">
        <f>IF(ISNUMBER(SEARCH("C", 'WetLitterbags placem_collection'!WE169)),"YES","NO")</f>
        <v>NO</v>
      </c>
      <c r="AK462" s="255" t="str">
        <f>IF(ISNUMBER(SEARCH("H", 'WetLitterbags placem_collection'!AE169)),"YES","NO")</f>
        <v>NO</v>
      </c>
      <c r="AL462" s="255" t="str">
        <f>IF(ISNUMBER(SEARCH("R", 'WetLitterbags placem_collection'!AE169)),"YES","NO")</f>
        <v>NO</v>
      </c>
    </row>
    <row r="463" spans="2:38">
      <c r="B463" t="str">
        <f>'Final data_for_R_analysis_Wetse'!A609</f>
        <v>Wet</v>
      </c>
      <c r="C463" s="263">
        <f>'Final data_for_R_analysis_Wetse'!B609</f>
        <v>168</v>
      </c>
      <c r="D463" t="s">
        <v>3851</v>
      </c>
      <c r="E463" t="s">
        <v>25</v>
      </c>
      <c r="F463" s="387">
        <v>8</v>
      </c>
      <c r="G463" s="16">
        <f>'WetLitterbags placem_collection'!E170</f>
        <v>42763</v>
      </c>
      <c r="H463" s="92" t="str">
        <f>'Final data_for_R_analysis_Wetse'!J609</f>
        <v>G680</v>
      </c>
      <c r="I463" t="str">
        <f>'Final data_for_R_analysis_Wetse'!J829</f>
        <v>R322</v>
      </c>
      <c r="J463">
        <f>IFERROR(INDEX('Green_rooibos initial weight'!$C$5:$C$1749,MATCH(H463, 'Green_rooibos initial weight'!$A$5:$A$1749,0)),"")</f>
        <v>2.0049999999999999</v>
      </c>
      <c r="K463">
        <f>IFERROR(INDEX('Green_rooibos initial weight'!$C$5:$C$1749,MATCH(I463, 'Green_rooibos initial weight'!$A$5:$A$1749,0)),"")</f>
        <v>2.1909999999999998</v>
      </c>
      <c r="L463" s="195">
        <f t="shared" si="76"/>
        <v>1.7551999999999999</v>
      </c>
      <c r="M463" s="195">
        <f>AVERAGE(Ashed_controlls!$K$2:$K$11)</f>
        <v>5.5147656768714146</v>
      </c>
      <c r="N463" s="195">
        <f t="shared" si="72"/>
        <v>1.6584048328395529</v>
      </c>
      <c r="O463" s="195">
        <f t="shared" si="77"/>
        <v>1.9411999999999998</v>
      </c>
      <c r="P463" s="195">
        <f>AVERAGE(Ashed_controlls!$K$12:$K$14)</f>
        <v>2.2816647271287041</v>
      </c>
      <c r="Q463" s="195">
        <f t="shared" si="78"/>
        <v>1.8969083243169773</v>
      </c>
      <c r="R463" s="16">
        <f>IF('WetLitterbags placem_collection'!G170="N.A","",'WetLitterbags placem_collection'!G170)</f>
        <v>42814</v>
      </c>
      <c r="S463" s="195">
        <f>IF(IFERROR(INDEX('Both teabags AfterWet'!$C$3:$C$841,MATCH(H463,'Both teabags AfterWet'!$A$3:$A$841,0)),"")="N.A","",(IFERROR(INDEX('Both teabags AfterWet'!$C$3:$C$841,MATCH(H463,'Both teabags AfterWet'!$A$3:$A$841,0)),"")))</f>
        <v>0.998</v>
      </c>
      <c r="T463" s="195">
        <f>IFERROR(INDEX('Both teabags AfterWet'!$C$3:$C$841,MATCH(I463,'Both teabags AfterWet'!$A$3:$A$841,0)),"")</f>
        <v>1.6950000000000001</v>
      </c>
      <c r="U463" s="195">
        <f t="shared" si="79"/>
        <v>0.84739999999999993</v>
      </c>
      <c r="V463" s="195">
        <f t="shared" si="79"/>
        <v>1.5444</v>
      </c>
      <c r="W463" s="195">
        <f>IFERROR(INDEX('Ashed teabags wet'!$K$2:$K$821,MATCH(H463,'Ashed teabags wet'!$A$2:$A$821,0)),"")</f>
        <v>7.5706756109248428</v>
      </c>
      <c r="X463" s="195">
        <f>IFERROR(INDEX('Ashed teabags wet'!$K$2:$K$821,MATCH(I463,'Ashed teabags wet'!$A$2:$A$821,0)),"")</f>
        <v>2.1371769383691874</v>
      </c>
      <c r="Y463" s="195">
        <f t="shared" si="73"/>
        <v>0.78324609487302277</v>
      </c>
      <c r="Z463" s="195">
        <f t="shared" si="73"/>
        <v>1.5113934393638262</v>
      </c>
      <c r="AA463" s="195">
        <f t="shared" si="80"/>
        <v>0.52771115992713691</v>
      </c>
      <c r="AB463" s="195">
        <f t="shared" si="81"/>
        <v>0.34595791007099719</v>
      </c>
      <c r="AC463" s="195">
        <f t="shared" si="74"/>
        <v>0.79676672825400563</v>
      </c>
      <c r="AD463">
        <f t="shared" si="75"/>
        <v>51</v>
      </c>
      <c r="AE463" s="195">
        <f t="shared" si="82"/>
        <v>0.37326465566848344</v>
      </c>
      <c r="AF463" s="195">
        <f t="shared" si="83"/>
        <v>1.7360783386006599E-2</v>
      </c>
      <c r="AG463" s="255" t="str">
        <f>IF(ISNUMBER(SEARCH("C",'WetLitterbags placem_collection'!AD390)),"YES","NO")</f>
        <v>NO</v>
      </c>
      <c r="AH463" s="255" t="str">
        <f>IF(ISNUMBER(SEARCH("H", 'WetLitterbags placem_collection'!AF170)),"YES","NO")</f>
        <v>NO</v>
      </c>
      <c r="AI463" s="255" t="str">
        <f>IF(ISNUMBER(SEARCH("R", 'WetLitterbags placem_collection'!XF170)),"YES","NO")</f>
        <v>NO</v>
      </c>
      <c r="AJ463" s="255" t="str">
        <f>IF(ISNUMBER(SEARCH("C", 'WetLitterbags placem_collection'!WE170)),"YES","NO")</f>
        <v>NO</v>
      </c>
      <c r="AK463" s="255" t="str">
        <f>IF(ISNUMBER(SEARCH("H", 'WetLitterbags placem_collection'!AE170)),"YES","NO")</f>
        <v>NO</v>
      </c>
      <c r="AL463" s="255" t="str">
        <f>IF(ISNUMBER(SEARCH("R", 'WetLitterbags placem_collection'!AE170)),"YES","NO")</f>
        <v>NO</v>
      </c>
    </row>
    <row r="464" spans="2:38">
      <c r="B464" t="str">
        <f>'Final data_for_R_analysis_Wetse'!A610</f>
        <v>Wet</v>
      </c>
      <c r="C464" s="263">
        <f>'Final data_for_R_analysis_Wetse'!B610</f>
        <v>169</v>
      </c>
      <c r="D464" t="s">
        <v>3853</v>
      </c>
      <c r="E464" t="s">
        <v>25</v>
      </c>
      <c r="F464" s="386">
        <v>1</v>
      </c>
      <c r="G464" s="16">
        <f>'WetLitterbags placem_collection'!E171</f>
        <v>42763</v>
      </c>
      <c r="H464" s="92" t="str">
        <f>'Final data_for_R_analysis_Wetse'!J610</f>
        <v>G496</v>
      </c>
      <c r="I464" t="str">
        <f>'Final data_for_R_analysis_Wetse'!J830</f>
        <v>R403</v>
      </c>
      <c r="J464">
        <f>IFERROR(INDEX('Green_rooibos initial weight'!$C$5:$C$1749,MATCH(H464, 'Green_rooibos initial weight'!$A$5:$A$1749,0)),"")</f>
        <v>1.8480000000000001</v>
      </c>
      <c r="K464">
        <f>IFERROR(INDEX('Green_rooibos initial weight'!$C$5:$C$1749,MATCH(I464, 'Green_rooibos initial weight'!$A$5:$A$1749,0)),"")</f>
        <v>2.2679999999999998</v>
      </c>
      <c r="L464" s="195">
        <f t="shared" si="76"/>
        <v>1.5982000000000001</v>
      </c>
      <c r="M464" s="195">
        <f>AVERAGE(Ashed_controlls!$K$2:$K$11)</f>
        <v>5.5147656768714146</v>
      </c>
      <c r="N464" s="195">
        <f t="shared" si="72"/>
        <v>1.5100630149522412</v>
      </c>
      <c r="O464" s="195">
        <f t="shared" si="77"/>
        <v>2.0181999999999998</v>
      </c>
      <c r="P464" s="195">
        <f>AVERAGE(Ashed_controlls!$K$12:$K$14)</f>
        <v>2.2816647271287041</v>
      </c>
      <c r="Q464" s="195">
        <f t="shared" si="78"/>
        <v>1.9721514424770883</v>
      </c>
      <c r="R464" s="16">
        <f>IF('WetLitterbags placem_collection'!G171="N.A","",'WetLitterbags placem_collection'!G171)</f>
        <v>42814</v>
      </c>
      <c r="S464" s="195">
        <f>IF(IFERROR(INDEX('Both teabags AfterWet'!$C$3:$C$841,MATCH(H464,'Both teabags AfterWet'!$A$3:$A$841,0)),"")="N.A","",(IFERROR(INDEX('Both teabags AfterWet'!$C$3:$C$841,MATCH(H464,'Both teabags AfterWet'!$A$3:$A$841,0)),"")))</f>
        <v>0.57199999999999995</v>
      </c>
      <c r="T464" s="195">
        <f>IFERROR(INDEX('Both teabags AfterWet'!$C$3:$C$841,MATCH(I464,'Both teabags AfterWet'!$A$3:$A$841,0)),"")</f>
        <v>1.736</v>
      </c>
      <c r="U464" s="195">
        <f t="shared" si="79"/>
        <v>0.42139999999999994</v>
      </c>
      <c r="V464" s="195">
        <f t="shared" si="79"/>
        <v>1.5853999999999999</v>
      </c>
      <c r="W464" s="195">
        <f>IFERROR(INDEX('Ashed teabags wet'!$K$2:$K$821,MATCH(H464,'Ashed teabags wet'!$A$2:$A$821,0)),"")</f>
        <v>9.4256259204713331</v>
      </c>
      <c r="X464" s="195">
        <f>IFERROR(INDEX('Ashed teabags wet'!$K$2:$K$821,MATCH(I464,'Ashed teabags wet'!$A$2:$A$821,0)),"")</f>
        <v>3.6768263183359386</v>
      </c>
      <c r="Y464" s="195">
        <f t="shared" si="73"/>
        <v>0.38168041237113376</v>
      </c>
      <c r="Z464" s="195">
        <f t="shared" si="73"/>
        <v>1.527107595549102</v>
      </c>
      <c r="AA464" s="195">
        <f t="shared" si="80"/>
        <v>0.74724206301867135</v>
      </c>
      <c r="AB464" s="195">
        <f t="shared" si="81"/>
        <v>0.48987840710962782</v>
      </c>
      <c r="AC464" s="195">
        <f t="shared" si="74"/>
        <v>0.77433586623094408</v>
      </c>
      <c r="AD464">
        <f t="shared" si="75"/>
        <v>51</v>
      </c>
      <c r="AE464" s="195">
        <f t="shared" si="82"/>
        <v>0.11253911755502211</v>
      </c>
      <c r="AF464" s="195">
        <f t="shared" si="83"/>
        <v>1.2105819532739891E-2</v>
      </c>
      <c r="AG464" s="255" t="str">
        <f>IF(ISNUMBER(SEARCH("C",'WetLitterbags placem_collection'!AD391)),"YES","NO")</f>
        <v>NO</v>
      </c>
      <c r="AH464" s="255" t="str">
        <f>IF(ISNUMBER(SEARCH("H", 'WetLitterbags placem_collection'!AF171)),"YES","NO")</f>
        <v>NO</v>
      </c>
      <c r="AI464" s="255" t="str">
        <f>IF(ISNUMBER(SEARCH("R", 'WetLitterbags placem_collection'!XF171)),"YES","NO")</f>
        <v>NO</v>
      </c>
      <c r="AJ464" s="255" t="str">
        <f>IF(ISNUMBER(SEARCH("C", 'WetLitterbags placem_collection'!WE171)),"YES","NO")</f>
        <v>NO</v>
      </c>
      <c r="AK464" s="255" t="str">
        <f>IF(ISNUMBER(SEARCH("H", 'WetLitterbags placem_collection'!AE171)),"YES","NO")</f>
        <v>NO</v>
      </c>
      <c r="AL464" s="255" t="str">
        <f>IF(ISNUMBER(SEARCH("R", 'WetLitterbags placem_collection'!AE171)),"YES","NO")</f>
        <v>NO</v>
      </c>
    </row>
    <row r="465" spans="2:38">
      <c r="B465" t="str">
        <f>'Final data_for_R_analysis_Wetse'!A611</f>
        <v>Wet</v>
      </c>
      <c r="C465" s="263">
        <f>'Final data_for_R_analysis_Wetse'!B611</f>
        <v>170</v>
      </c>
      <c r="D465" t="s">
        <v>3853</v>
      </c>
      <c r="E465" t="s">
        <v>25</v>
      </c>
      <c r="F465" s="386">
        <v>2</v>
      </c>
      <c r="G465" s="16">
        <f>'WetLitterbags placem_collection'!E172</f>
        <v>42763</v>
      </c>
      <c r="H465" s="92" t="str">
        <f>'Final data_for_R_analysis_Wetse'!J611</f>
        <v>G674</v>
      </c>
      <c r="I465" t="str">
        <f>'Final data_for_R_analysis_Wetse'!J831</f>
        <v>R583</v>
      </c>
      <c r="J465">
        <f>IFERROR(INDEX('Green_rooibos initial weight'!$C$5:$C$1749,MATCH(H465, 'Green_rooibos initial weight'!$A$5:$A$1749,0)),"")</f>
        <v>1.9950000000000001</v>
      </c>
      <c r="K465">
        <f>IFERROR(INDEX('Green_rooibos initial weight'!$C$5:$C$1749,MATCH(I465, 'Green_rooibos initial weight'!$A$5:$A$1749,0)),"")</f>
        <v>2.2549999999999999</v>
      </c>
      <c r="L465" s="195">
        <f t="shared" si="76"/>
        <v>1.7452000000000001</v>
      </c>
      <c r="M465" s="195">
        <f>AVERAGE(Ashed_controlls!$K$2:$K$11)</f>
        <v>5.5147656768714146</v>
      </c>
      <c r="N465" s="195">
        <f t="shared" si="72"/>
        <v>1.6489563094072401</v>
      </c>
      <c r="O465" s="195">
        <f t="shared" si="77"/>
        <v>2.0051999999999999</v>
      </c>
      <c r="P465" s="195">
        <f>AVERAGE(Ashed_controlls!$K$12:$K$14)</f>
        <v>2.2816647271287041</v>
      </c>
      <c r="Q465" s="195">
        <f t="shared" si="78"/>
        <v>1.959448058891615</v>
      </c>
      <c r="R465" s="16">
        <f>IF('WetLitterbags placem_collection'!G172="N.A","",'WetLitterbags placem_collection'!G172)</f>
        <v>42814</v>
      </c>
      <c r="S465" s="195">
        <f>IF(IFERROR(INDEX('Both teabags AfterWet'!$C$3:$C$841,MATCH(H465,'Both teabags AfterWet'!$A$3:$A$841,0)),"")="N.A","",(IFERROR(INDEX('Both teabags AfterWet'!$C$3:$C$841,MATCH(H465,'Both teabags AfterWet'!$A$3:$A$841,0)),"")))</f>
        <v>0.61299999999999999</v>
      </c>
      <c r="T465" s="195">
        <f>IFERROR(INDEX('Both teabags AfterWet'!$C$3:$C$841,MATCH(I465,'Both teabags AfterWet'!$A$3:$A$841,0)),"")</f>
        <v>1.71</v>
      </c>
      <c r="U465" s="195">
        <f t="shared" si="79"/>
        <v>0.46239999999999998</v>
      </c>
      <c r="V465" s="195">
        <f t="shared" si="79"/>
        <v>1.5593999999999999</v>
      </c>
      <c r="W465" s="195">
        <f>IFERROR(INDEX('Ashed teabags wet'!$K$2:$K$821,MATCH(H465,'Ashed teabags wet'!$A$2:$A$821,0)),"")</f>
        <v>8.7857847976303241</v>
      </c>
      <c r="X465" s="195">
        <f>IFERROR(INDEX('Ashed teabags wet'!$K$2:$K$821,MATCH(I465,'Ashed teabags wet'!$A$2:$A$821,0)),"")</f>
        <v>2.3988005996999138</v>
      </c>
      <c r="Y465" s="195">
        <f t="shared" si="73"/>
        <v>0.42177453109575735</v>
      </c>
      <c r="Z465" s="195">
        <f t="shared" si="73"/>
        <v>1.5219931034482794</v>
      </c>
      <c r="AA465" s="195">
        <f t="shared" si="80"/>
        <v>0.74421727932417137</v>
      </c>
      <c r="AB465" s="195">
        <f t="shared" si="81"/>
        <v>0.48789541352368487</v>
      </c>
      <c r="AC465" s="195">
        <f t="shared" si="74"/>
        <v>0.7767458272454606</v>
      </c>
      <c r="AD465">
        <f t="shared" si="75"/>
        <v>51</v>
      </c>
      <c r="AE465" s="195">
        <f t="shared" si="82"/>
        <v>0.1161314972397014</v>
      </c>
      <c r="AF465" s="195">
        <f t="shared" si="83"/>
        <v>1.1994626784174262E-2</v>
      </c>
      <c r="AG465" s="255" t="str">
        <f>IF(ISNUMBER(SEARCH("C",'WetLitterbags placem_collection'!AD392)),"YES","NO")</f>
        <v>NO</v>
      </c>
      <c r="AH465" s="255" t="str">
        <f>IF(ISNUMBER(SEARCH("H", 'WetLitterbags placem_collection'!AF172)),"YES","NO")</f>
        <v>NO</v>
      </c>
      <c r="AI465" s="255" t="str">
        <f>IF(ISNUMBER(SEARCH("R", 'WetLitterbags placem_collection'!XF172)),"YES","NO")</f>
        <v>NO</v>
      </c>
      <c r="AJ465" s="255" t="str">
        <f>IF(ISNUMBER(SEARCH("C", 'WetLitterbags placem_collection'!WE172)),"YES","NO")</f>
        <v>NO</v>
      </c>
      <c r="AK465" s="255" t="str">
        <f>IF(ISNUMBER(SEARCH("H", 'WetLitterbags placem_collection'!AE172)),"YES","NO")</f>
        <v>NO</v>
      </c>
      <c r="AL465" s="255" t="str">
        <f>IF(ISNUMBER(SEARCH("R", 'WetLitterbags placem_collection'!AE172)),"YES","NO")</f>
        <v>NO</v>
      </c>
    </row>
    <row r="466" spans="2:38">
      <c r="B466" t="str">
        <f>'Final data_for_R_analysis_Wetse'!A612</f>
        <v>Wet</v>
      </c>
      <c r="C466" s="263">
        <f>'Final data_for_R_analysis_Wetse'!B612</f>
        <v>171</v>
      </c>
      <c r="D466" t="s">
        <v>3853</v>
      </c>
      <c r="E466" t="s">
        <v>25</v>
      </c>
      <c r="F466" s="386">
        <v>3</v>
      </c>
      <c r="G466" s="16">
        <f>'WetLitterbags placem_collection'!E173</f>
        <v>42763</v>
      </c>
      <c r="H466" s="92" t="str">
        <f>'Final data_for_R_analysis_Wetse'!J612</f>
        <v>G504</v>
      </c>
      <c r="I466" t="str">
        <f>'Final data_for_R_analysis_Wetse'!J832</f>
        <v>R451</v>
      </c>
      <c r="J466">
        <f>IFERROR(INDEX('Green_rooibos initial weight'!$C$5:$C$1749,MATCH(H466, 'Green_rooibos initial weight'!$A$5:$A$1749,0)),"")</f>
        <v>2.0009999999999999</v>
      </c>
      <c r="K466">
        <f>IFERROR(INDEX('Green_rooibos initial weight'!$C$5:$C$1749,MATCH(I466, 'Green_rooibos initial weight'!$A$5:$A$1749,0)),"")</f>
        <v>2.1970000000000001</v>
      </c>
      <c r="L466" s="195">
        <f t="shared" si="76"/>
        <v>1.7511999999999999</v>
      </c>
      <c r="M466" s="195">
        <f>AVERAGE(Ashed_controlls!$K$2:$K$11)</f>
        <v>5.5147656768714146</v>
      </c>
      <c r="N466" s="195">
        <f t="shared" si="72"/>
        <v>1.6546254234666278</v>
      </c>
      <c r="O466" s="195">
        <f t="shared" si="77"/>
        <v>1.9472</v>
      </c>
      <c r="P466" s="195">
        <f>AVERAGE(Ashed_controlls!$K$12:$K$14)</f>
        <v>2.2816647271287041</v>
      </c>
      <c r="Q466" s="195">
        <f t="shared" si="78"/>
        <v>1.90277142443335</v>
      </c>
      <c r="R466" s="16">
        <f>IF('WetLitterbags placem_collection'!G173="N.A","",'WetLitterbags placem_collection'!G173)</f>
        <v>42814</v>
      </c>
      <c r="S466" s="195">
        <f>IF(IFERROR(INDEX('Both teabags AfterWet'!$C$3:$C$841,MATCH(H466,'Both teabags AfterWet'!$A$3:$A$841,0)),"")="N.A","",(IFERROR(INDEX('Both teabags AfterWet'!$C$3:$C$841,MATCH(H466,'Both teabags AfterWet'!$A$3:$A$841,0)),"")))</f>
        <v>0.53500000000000003</v>
      </c>
      <c r="T466" s="195">
        <f>IFERROR(INDEX('Both teabags AfterWet'!$C$3:$C$841,MATCH(I466,'Both teabags AfterWet'!$A$3:$A$841,0)),"")</f>
        <v>1.629</v>
      </c>
      <c r="U466" s="195">
        <f t="shared" si="79"/>
        <v>0.38440000000000002</v>
      </c>
      <c r="V466" s="195">
        <f t="shared" si="79"/>
        <v>1.4783999999999999</v>
      </c>
      <c r="W466" s="195">
        <f>IFERROR(INDEX('Ashed teabags wet'!$K$2:$K$821,MATCH(H466,'Ashed teabags wet'!$A$2:$A$821,0)),"")</f>
        <v>8.6370444333500629</v>
      </c>
      <c r="X466" s="195">
        <f>IFERROR(INDEX('Ashed teabags wet'!$K$2:$K$821,MATCH(I466,'Ashed teabags wet'!$A$2:$A$821,0)),"")</f>
        <v>1.7224409448818911</v>
      </c>
      <c r="Y466" s="195">
        <f t="shared" si="73"/>
        <v>0.35119920119820236</v>
      </c>
      <c r="Z466" s="195">
        <f t="shared" si="73"/>
        <v>1.4529354330708661</v>
      </c>
      <c r="AA466" s="195">
        <f t="shared" si="80"/>
        <v>0.78774700532377884</v>
      </c>
      <c r="AB466" s="195">
        <f t="shared" si="81"/>
        <v>0.51643271607924701</v>
      </c>
      <c r="AC466" s="195">
        <f t="shared" si="74"/>
        <v>0.76358905458313464</v>
      </c>
      <c r="AD466">
        <f t="shared" si="75"/>
        <v>51</v>
      </c>
      <c r="AE466" s="195">
        <f t="shared" si="82"/>
        <v>6.4433485363683096E-2</v>
      </c>
      <c r="AF466" s="195">
        <f t="shared" si="83"/>
        <v>1.2001522717568134E-2</v>
      </c>
      <c r="AG466" s="255" t="str">
        <f>IF(ISNUMBER(SEARCH("C",'WetLitterbags placem_collection'!AD393)),"YES","NO")</f>
        <v>NO</v>
      </c>
      <c r="AH466" s="255" t="str">
        <f>IF(ISNUMBER(SEARCH("H", 'WetLitterbags placem_collection'!AF173)),"YES","NO")</f>
        <v>NO</v>
      </c>
      <c r="AI466" s="255" t="str">
        <f>IF(ISNUMBER(SEARCH("R", 'WetLitterbags placem_collection'!XF173)),"YES","NO")</f>
        <v>NO</v>
      </c>
      <c r="AJ466" s="255" t="str">
        <f>IF(ISNUMBER(SEARCH("C", 'WetLitterbags placem_collection'!WE173)),"YES","NO")</f>
        <v>NO</v>
      </c>
      <c r="AK466" s="255" t="str">
        <f>IF(ISNUMBER(SEARCH("H", 'WetLitterbags placem_collection'!AE173)),"YES","NO")</f>
        <v>NO</v>
      </c>
      <c r="AL466" s="255" t="str">
        <f>IF(ISNUMBER(SEARCH("R", 'WetLitterbags placem_collection'!AE173)),"YES","NO")</f>
        <v>NO</v>
      </c>
    </row>
    <row r="467" spans="2:38">
      <c r="B467" t="str">
        <f>'Final data_for_R_analysis_Wetse'!A613</f>
        <v>Wet</v>
      </c>
      <c r="C467" s="263">
        <f>'Final data_for_R_analysis_Wetse'!B613</f>
        <v>172</v>
      </c>
      <c r="D467" t="s">
        <v>3853</v>
      </c>
      <c r="E467" t="s">
        <v>25</v>
      </c>
      <c r="F467" s="387">
        <v>4</v>
      </c>
      <c r="G467" s="16">
        <f>'WetLitterbags placem_collection'!E174</f>
        <v>42763</v>
      </c>
      <c r="H467" s="92" t="str">
        <f>'Final data_for_R_analysis_Wetse'!J613</f>
        <v>G439</v>
      </c>
      <c r="I467" t="str">
        <f>'Final data_for_R_analysis_Wetse'!J833</f>
        <v>R353</v>
      </c>
      <c r="J467">
        <f>IFERROR(INDEX('Green_rooibos initial weight'!$C$5:$C$1749,MATCH(H467, 'Green_rooibos initial weight'!$A$5:$A$1749,0)),"")</f>
        <v>2.069</v>
      </c>
      <c r="K467">
        <f>IFERROR(INDEX('Green_rooibos initial weight'!$C$5:$C$1749,MATCH(I467, 'Green_rooibos initial weight'!$A$5:$A$1749,0)),"")</f>
        <v>2.2909999999999999</v>
      </c>
      <c r="L467" s="195">
        <f t="shared" si="76"/>
        <v>1.8191999999999999</v>
      </c>
      <c r="M467" s="195">
        <f>AVERAGE(Ashed_controlls!$K$2:$K$11)</f>
        <v>5.5147656768714146</v>
      </c>
      <c r="N467" s="195">
        <f t="shared" si="72"/>
        <v>1.7188753828063552</v>
      </c>
      <c r="O467" s="195">
        <f t="shared" si="77"/>
        <v>2.0411999999999999</v>
      </c>
      <c r="P467" s="195">
        <f>AVERAGE(Ashed_controlls!$K$12:$K$14)</f>
        <v>2.2816647271287041</v>
      </c>
      <c r="Q467" s="195">
        <f t="shared" si="78"/>
        <v>1.9946266595898487</v>
      </c>
      <c r="R467" s="16">
        <f>IF('WetLitterbags placem_collection'!G174="N.A","",'WetLitterbags placem_collection'!G174)</f>
        <v>42814</v>
      </c>
      <c r="S467" s="195">
        <f>IF(IFERROR(INDEX('Both teabags AfterWet'!$C$3:$C$841,MATCH(H467,'Both teabags AfterWet'!$A$3:$A$841,0)),"")="N.A","",(IFERROR(INDEX('Both teabags AfterWet'!$C$3:$C$841,MATCH(H467,'Both teabags AfterWet'!$A$3:$A$841,0)),"")))</f>
        <v>0.59599999999999997</v>
      </c>
      <c r="T467" s="195">
        <f>IFERROR(INDEX('Both teabags AfterWet'!$C$3:$C$841,MATCH(I467,'Both teabags AfterWet'!$A$3:$A$841,0)),"")</f>
        <v>1.7694000000000001</v>
      </c>
      <c r="U467" s="195">
        <f t="shared" si="79"/>
        <v>0.44539999999999996</v>
      </c>
      <c r="V467" s="195">
        <f t="shared" si="79"/>
        <v>1.6188</v>
      </c>
      <c r="W467" s="195">
        <f>IFERROR(INDEX('Ashed teabags wet'!$K$2:$K$821,MATCH(H467,'Ashed teabags wet'!$A$2:$A$821,0)),"")</f>
        <v>9.0602409638559092</v>
      </c>
      <c r="X467" s="195" t="str">
        <f>IFERROR(INDEX('Ashed teabags wet'!$K$2:$K$821,MATCH(I467,'Ashed teabags wet'!$A$2:$A$821,0)),"")</f>
        <v/>
      </c>
      <c r="Y467" s="195">
        <f t="shared" si="73"/>
        <v>0.40504568674698577</v>
      </c>
      <c r="Z467" s="195" t="str">
        <f t="shared" si="73"/>
        <v/>
      </c>
      <c r="AA467" s="195">
        <f t="shared" si="80"/>
        <v>0.76435424534053187</v>
      </c>
      <c r="AB467" s="195">
        <f t="shared" si="81"/>
        <v>0.50109684492633455</v>
      </c>
      <c r="AC467" s="195" t="str">
        <f t="shared" si="74"/>
        <v/>
      </c>
      <c r="AD467">
        <f t="shared" si="75"/>
        <v>51</v>
      </c>
      <c r="AE467" s="195">
        <f t="shared" si="82"/>
        <v>9.2215860640698422E-2</v>
      </c>
      <c r="AF467" s="195" t="str">
        <f t="shared" si="83"/>
        <v/>
      </c>
      <c r="AG467" s="255" t="str">
        <f>IF(ISNUMBER(SEARCH("C",'WetLitterbags placem_collection'!AD394)),"YES","NO")</f>
        <v>NO</v>
      </c>
      <c r="AH467" s="255" t="str">
        <f>IF(ISNUMBER(SEARCH("H", 'WetLitterbags placem_collection'!AF174)),"YES","NO")</f>
        <v>NO</v>
      </c>
      <c r="AI467" s="255" t="str">
        <f>IF(ISNUMBER(SEARCH("R", 'WetLitterbags placem_collection'!XF174)),"YES","NO")</f>
        <v>NO</v>
      </c>
      <c r="AJ467" s="255" t="str">
        <f>IF(ISNUMBER(SEARCH("C", 'WetLitterbags placem_collection'!WE174)),"YES","NO")</f>
        <v>NO</v>
      </c>
      <c r="AK467" s="255" t="str">
        <f>IF(ISNUMBER(SEARCH("H", 'WetLitterbags placem_collection'!AE174)),"YES","NO")</f>
        <v>NO</v>
      </c>
      <c r="AL467" s="255" t="str">
        <f>IF(ISNUMBER(SEARCH("R", 'WetLitterbags placem_collection'!AE174)),"YES","NO")</f>
        <v>NO</v>
      </c>
    </row>
    <row r="468" spans="2:38">
      <c r="B468" t="str">
        <f>'Final data_for_R_analysis_Wetse'!A614</f>
        <v>Wet</v>
      </c>
      <c r="C468" s="263">
        <f>'Final data_for_R_analysis_Wetse'!B614</f>
        <v>173</v>
      </c>
      <c r="D468" t="s">
        <v>3853</v>
      </c>
      <c r="E468" t="s">
        <v>25</v>
      </c>
      <c r="F468" s="387">
        <v>5</v>
      </c>
      <c r="G468" s="16">
        <f>'WetLitterbags placem_collection'!E175</f>
        <v>42763</v>
      </c>
      <c r="H468" s="92" t="str">
        <f>'Final data_for_R_analysis_Wetse'!J614</f>
        <v>G865</v>
      </c>
      <c r="I468" t="str">
        <f>'Final data_for_R_analysis_Wetse'!J834</f>
        <v>R105</v>
      </c>
      <c r="J468">
        <f>IFERROR(INDEX('Green_rooibos initial weight'!$C$5:$C$1749,MATCH(H468, 'Green_rooibos initial weight'!$A$5:$A$1749,0)),"")</f>
        <v>2.036</v>
      </c>
      <c r="K468">
        <f>IFERROR(INDEX('Green_rooibos initial weight'!$C$5:$C$1749,MATCH(I468, 'Green_rooibos initial weight'!$A$5:$A$1749,0)),"")</f>
        <v>2.254</v>
      </c>
      <c r="L468" s="195">
        <f t="shared" si="76"/>
        <v>1.7862</v>
      </c>
      <c r="M468" s="195">
        <f>AVERAGE(Ashed_controlls!$K$2:$K$11)</f>
        <v>5.5147656768714146</v>
      </c>
      <c r="N468" s="195">
        <f t="shared" si="72"/>
        <v>1.6876952554797229</v>
      </c>
      <c r="O468" s="195">
        <f t="shared" si="77"/>
        <v>2.0042</v>
      </c>
      <c r="P468" s="195">
        <f>AVERAGE(Ashed_controlls!$K$12:$K$14)</f>
        <v>2.2816647271287041</v>
      </c>
      <c r="Q468" s="195">
        <f t="shared" si="78"/>
        <v>1.9584708755388864</v>
      </c>
      <c r="R468" s="16">
        <f>IF('WetLitterbags placem_collection'!G175="N.A","",'WetLitterbags placem_collection'!G175)</f>
        <v>42814</v>
      </c>
      <c r="S468" s="195">
        <f>IF(IFERROR(INDEX('Both teabags AfterWet'!$C$3:$C$841,MATCH(H468,'Both teabags AfterWet'!$A$3:$A$841,0)),"")="N.A","",(IFERROR(INDEX('Both teabags AfterWet'!$C$3:$C$841,MATCH(H468,'Both teabags AfterWet'!$A$3:$A$841,0)),"")))</f>
        <v>0.65549999999999997</v>
      </c>
      <c r="T468" s="195">
        <f>IFERROR(INDEX('Both teabags AfterWet'!$C$3:$C$841,MATCH(I468,'Both teabags AfterWet'!$A$3:$A$841,0)),"")</f>
        <v>1.6919999999999999</v>
      </c>
      <c r="U468" s="195">
        <f t="shared" si="79"/>
        <v>0.5048999999999999</v>
      </c>
      <c r="V468" s="195">
        <f t="shared" si="79"/>
        <v>1.5413999999999999</v>
      </c>
      <c r="W468" s="195">
        <f>IFERROR(INDEX('Ashed teabags wet'!$K$2:$K$821,MATCH(H468,'Ashed teabags wet'!$A$2:$A$821,0)),"")</f>
        <v>9.1408591408588276</v>
      </c>
      <c r="X468" s="195">
        <f>IFERROR(INDEX('Ashed teabags wet'!$K$2:$K$821,MATCH(I468,'Ashed teabags wet'!$A$2:$A$821,0)),"")</f>
        <v>2.5628626692459697</v>
      </c>
      <c r="Y468" s="195">
        <f t="shared" si="73"/>
        <v>0.4587478021978037</v>
      </c>
      <c r="Z468" s="195">
        <f t="shared" si="73"/>
        <v>1.5018960348162425</v>
      </c>
      <c r="AA468" s="195">
        <f t="shared" si="80"/>
        <v>0.72818090190849893</v>
      </c>
      <c r="AB468" s="195">
        <f t="shared" si="81"/>
        <v>0.4773822539827689</v>
      </c>
      <c r="AC468" s="195">
        <f t="shared" si="74"/>
        <v>0.7668717740839448</v>
      </c>
      <c r="AD468">
        <f t="shared" si="75"/>
        <v>51</v>
      </c>
      <c r="AE468" s="195">
        <f t="shared" si="82"/>
        <v>0.13517707611817231</v>
      </c>
      <c r="AF468" s="195">
        <f t="shared" si="83"/>
        <v>1.3139387424218309E-2</v>
      </c>
      <c r="AG468" s="255" t="str">
        <f>IF(ISNUMBER(SEARCH("C",'WetLitterbags placem_collection'!AD395)),"YES","NO")</f>
        <v>NO</v>
      </c>
      <c r="AH468" s="255" t="str">
        <f>IF(ISNUMBER(SEARCH("H", 'WetLitterbags placem_collection'!AF175)),"YES","NO")</f>
        <v>NO</v>
      </c>
      <c r="AI468" s="255" t="str">
        <f>IF(ISNUMBER(SEARCH("R", 'WetLitterbags placem_collection'!XF175)),"YES","NO")</f>
        <v>NO</v>
      </c>
      <c r="AJ468" s="255" t="str">
        <f>IF(ISNUMBER(SEARCH("C", 'WetLitterbags placem_collection'!WE175)),"YES","NO")</f>
        <v>NO</v>
      </c>
      <c r="AK468" s="255" t="str">
        <f>IF(ISNUMBER(SEARCH("H", 'WetLitterbags placem_collection'!AE175)),"YES","NO")</f>
        <v>NO</v>
      </c>
      <c r="AL468" s="255" t="str">
        <f>IF(ISNUMBER(SEARCH("R", 'WetLitterbags placem_collection'!AE175)),"YES","NO")</f>
        <v>NO</v>
      </c>
    </row>
    <row r="469" spans="2:38">
      <c r="B469" t="str">
        <f>'Final data_for_R_analysis_Wetse'!A615</f>
        <v>Wet</v>
      </c>
      <c r="C469" s="263">
        <f>'Final data_for_R_analysis_Wetse'!B615</f>
        <v>174</v>
      </c>
      <c r="D469" t="s">
        <v>3853</v>
      </c>
      <c r="E469" t="s">
        <v>25</v>
      </c>
      <c r="F469" s="387">
        <v>6</v>
      </c>
      <c r="G469" s="16">
        <f>'WetLitterbags placem_collection'!E176</f>
        <v>42763</v>
      </c>
      <c r="H469" s="92" t="str">
        <f>'Final data_for_R_analysis_Wetse'!J615</f>
        <v>G736</v>
      </c>
      <c r="I469" t="str">
        <f>'Final data_for_R_analysis_Wetse'!J835</f>
        <v>R384</v>
      </c>
      <c r="J469">
        <f>IFERROR(INDEX('Green_rooibos initial weight'!$C$5:$C$1749,MATCH(H469, 'Green_rooibos initial weight'!$A$5:$A$1749,0)),"")</f>
        <v>2.0760000000000001</v>
      </c>
      <c r="K469">
        <f>IFERROR(INDEX('Green_rooibos initial weight'!$C$5:$C$1749,MATCH(I469, 'Green_rooibos initial weight'!$A$5:$A$1749,0)),"")</f>
        <v>2.2240000000000002</v>
      </c>
      <c r="L469" s="195">
        <f t="shared" si="76"/>
        <v>1.8262</v>
      </c>
      <c r="M469" s="195">
        <f>AVERAGE(Ashed_controlls!$K$2:$K$11)</f>
        <v>5.5147656768714146</v>
      </c>
      <c r="N469" s="195">
        <f t="shared" si="72"/>
        <v>1.7254893492089742</v>
      </c>
      <c r="O469" s="195">
        <f t="shared" si="77"/>
        <v>1.9742000000000002</v>
      </c>
      <c r="P469" s="195">
        <f>AVERAGE(Ashed_controlls!$K$12:$K$14)</f>
        <v>2.2816647271287041</v>
      </c>
      <c r="Q469" s="195">
        <f t="shared" si="78"/>
        <v>1.9291553749570254</v>
      </c>
      <c r="R469" s="16">
        <f>IF('WetLitterbags placem_collection'!G176="N.A","",'WetLitterbags placem_collection'!G176)</f>
        <v>42814</v>
      </c>
      <c r="S469" s="195">
        <f>IF(IFERROR(INDEX('Both teabags AfterWet'!$C$3:$C$841,MATCH(H469,'Both teabags AfterWet'!$A$3:$A$841,0)),"")="N.A","",(IFERROR(INDEX('Both teabags AfterWet'!$C$3:$C$841,MATCH(H469,'Both teabags AfterWet'!$A$3:$A$841,0)),"")))</f>
        <v>0.63500000000000001</v>
      </c>
      <c r="T469" s="195">
        <f>IFERROR(INDEX('Both teabags AfterWet'!$C$3:$C$841,MATCH(I469,'Both teabags AfterWet'!$A$3:$A$841,0)),"")</f>
        <v>1.772</v>
      </c>
      <c r="U469" s="195">
        <f t="shared" si="79"/>
        <v>0.4844</v>
      </c>
      <c r="V469" s="195">
        <f t="shared" si="79"/>
        <v>1.6214</v>
      </c>
      <c r="W469" s="195">
        <f>IFERROR(INDEX('Ashed teabags wet'!$K$2:$K$821,MATCH(H469,'Ashed teabags wet'!$A$2:$A$821,0)),"")</f>
        <v>8.7727944800392965</v>
      </c>
      <c r="X469" s="195">
        <f>IFERROR(INDEX('Ashed teabags wet'!$K$2:$K$821,MATCH(I469,'Ashed teabags wet'!$A$2:$A$821,0)),"")</f>
        <v>2.1032504780120633</v>
      </c>
      <c r="Y469" s="195">
        <f t="shared" si="73"/>
        <v>0.44190458353868967</v>
      </c>
      <c r="Z469" s="195">
        <f t="shared" si="73"/>
        <v>1.5872978967495124</v>
      </c>
      <c r="AA469" s="195">
        <f t="shared" si="80"/>
        <v>0.74389608157171505</v>
      </c>
      <c r="AB469" s="195">
        <f t="shared" si="81"/>
        <v>0.48768484207551877</v>
      </c>
      <c r="AC469" s="195">
        <f t="shared" si="74"/>
        <v>0.82279422246374101</v>
      </c>
      <c r="AD469">
        <f t="shared" si="75"/>
        <v>51</v>
      </c>
      <c r="AE469" s="195">
        <f t="shared" si="82"/>
        <v>0.11651296725449511</v>
      </c>
      <c r="AF469" s="195">
        <f t="shared" si="83"/>
        <v>8.853978582342905E-3</v>
      </c>
      <c r="AG469" s="255" t="str">
        <f>IF(ISNUMBER(SEARCH("C",'WetLitterbags placem_collection'!AD396)),"YES","NO")</f>
        <v>NO</v>
      </c>
      <c r="AH469" s="255" t="str">
        <f>IF(ISNUMBER(SEARCH("H", 'WetLitterbags placem_collection'!AF176)),"YES","NO")</f>
        <v>NO</v>
      </c>
      <c r="AI469" s="255" t="str">
        <f>IF(ISNUMBER(SEARCH("R", 'WetLitterbags placem_collection'!XF176)),"YES","NO")</f>
        <v>NO</v>
      </c>
      <c r="AJ469" s="255" t="str">
        <f>IF(ISNUMBER(SEARCH("C", 'WetLitterbags placem_collection'!WE176)),"YES","NO")</f>
        <v>NO</v>
      </c>
      <c r="AK469" s="255" t="str">
        <f>IF(ISNUMBER(SEARCH("H", 'WetLitterbags placem_collection'!AE176)),"YES","NO")</f>
        <v>NO</v>
      </c>
      <c r="AL469" s="255" t="str">
        <f>IF(ISNUMBER(SEARCH("R", 'WetLitterbags placem_collection'!AE176)),"YES","NO")</f>
        <v>NO</v>
      </c>
    </row>
    <row r="470" spans="2:38">
      <c r="B470" t="str">
        <f>'Final data_for_R_analysis_Wetse'!A616</f>
        <v>Wet</v>
      </c>
      <c r="C470" s="263">
        <f>'Final data_for_R_analysis_Wetse'!B616</f>
        <v>175</v>
      </c>
      <c r="D470" t="s">
        <v>3853</v>
      </c>
      <c r="E470" t="s">
        <v>25</v>
      </c>
      <c r="F470" s="387">
        <v>7</v>
      </c>
      <c r="G470" s="16">
        <f>'WetLitterbags placem_collection'!E177</f>
        <v>42763</v>
      </c>
      <c r="H470" s="92" t="str">
        <f>'Final data_for_R_analysis_Wetse'!J616</f>
        <v>G792</v>
      </c>
      <c r="I470" t="str">
        <f>'Final data_for_R_analysis_Wetse'!J836</f>
        <v>R481</v>
      </c>
      <c r="J470">
        <f>IFERROR(INDEX('Green_rooibos initial weight'!$C$5:$C$1749,MATCH(H470, 'Green_rooibos initial weight'!$A$5:$A$1749,0)),"")</f>
        <v>2.0550000000000002</v>
      </c>
      <c r="K470">
        <f>IFERROR(INDEX('Green_rooibos initial weight'!$C$5:$C$1749,MATCH(I470, 'Green_rooibos initial weight'!$A$5:$A$1749,0)),"")</f>
        <v>2.1589999999999998</v>
      </c>
      <c r="L470" s="195">
        <f t="shared" si="76"/>
        <v>1.8052000000000001</v>
      </c>
      <c r="M470" s="195">
        <f>AVERAGE(Ashed_controlls!$K$2:$K$11)</f>
        <v>5.5147656768714146</v>
      </c>
      <c r="N470" s="195">
        <f t="shared" si="72"/>
        <v>1.7056474500011174</v>
      </c>
      <c r="O470" s="195">
        <f t="shared" si="77"/>
        <v>1.9091999999999998</v>
      </c>
      <c r="P470" s="195">
        <f>AVERAGE(Ashed_controlls!$K$12:$K$14)</f>
        <v>2.2816647271287041</v>
      </c>
      <c r="Q470" s="195">
        <f t="shared" si="78"/>
        <v>1.8656384570296585</v>
      </c>
      <c r="R470" s="16">
        <f>IF('WetLitterbags placem_collection'!G177="N.A","",'WetLitterbags placem_collection'!G177)</f>
        <v>42814</v>
      </c>
      <c r="S470" s="195" t="str">
        <f>IF(IFERROR(INDEX('Both teabags AfterWet'!$C$3:$C$841,MATCH(H470,'Both teabags AfterWet'!$A$3:$A$841,0)),"")="N.A","",(IFERROR(INDEX('Both teabags AfterWet'!$C$3:$C$841,MATCH(H470,'Both teabags AfterWet'!$A$3:$A$841,0)),"")))</f>
        <v/>
      </c>
      <c r="T470" s="195">
        <f>IFERROR(INDEX('Both teabags AfterWet'!$C$3:$C$841,MATCH(I470,'Both teabags AfterWet'!$A$3:$A$841,0)),"")</f>
        <v>1.681</v>
      </c>
      <c r="U470" s="195" t="str">
        <f t="shared" si="79"/>
        <v/>
      </c>
      <c r="V470" s="195">
        <f t="shared" si="79"/>
        <v>1.5304</v>
      </c>
      <c r="W470" s="195" t="str">
        <f>IFERROR(INDEX('Ashed teabags wet'!$K$2:$K$821,MATCH(H470,'Ashed teabags wet'!$A$2:$A$821,0)),"")</f>
        <v/>
      </c>
      <c r="X470" s="195">
        <f>IFERROR(INDEX('Ashed teabags wet'!$K$2:$K$821,MATCH(I470,'Ashed teabags wet'!$A$2:$A$821,0)),"")</f>
        <v>22.390243902438794</v>
      </c>
      <c r="Y470" s="195" t="str">
        <f t="shared" si="73"/>
        <v/>
      </c>
      <c r="Z470" s="195">
        <f t="shared" si="73"/>
        <v>1.1877397073170766</v>
      </c>
      <c r="AA470" s="195" t="str">
        <f t="shared" si="80"/>
        <v/>
      </c>
      <c r="AB470" s="195" t="str">
        <f t="shared" si="81"/>
        <v/>
      </c>
      <c r="AC470" s="195">
        <f t="shared" si="74"/>
        <v>0.63663980705463918</v>
      </c>
      <c r="AD470">
        <f t="shared" si="75"/>
        <v>51</v>
      </c>
      <c r="AE470" s="195" t="str">
        <f t="shared" si="82"/>
        <v/>
      </c>
      <c r="AF470" s="195" t="str">
        <f t="shared" si="83"/>
        <v/>
      </c>
      <c r="AG470" s="255" t="str">
        <f>IF(ISNUMBER(SEARCH("C",'WetLitterbags placem_collection'!AD397)),"YES","NO")</f>
        <v>NO</v>
      </c>
      <c r="AH470" s="255" t="str">
        <f>IF(ISNUMBER(SEARCH("H", 'WetLitterbags placem_collection'!AF177)),"YES","NO")</f>
        <v>NO</v>
      </c>
      <c r="AI470" s="255" t="str">
        <f>IF(ISNUMBER(SEARCH("R", 'WetLitterbags placem_collection'!XF177)),"YES","NO")</f>
        <v>NO</v>
      </c>
      <c r="AJ470" s="255" t="str">
        <f>IF(ISNUMBER(SEARCH("C", 'WetLitterbags placem_collection'!WE177)),"YES","NO")</f>
        <v>NO</v>
      </c>
      <c r="AK470" s="255" t="str">
        <f>IF(ISNUMBER(SEARCH("H", 'WetLitterbags placem_collection'!AE177)),"YES","NO")</f>
        <v>NO</v>
      </c>
      <c r="AL470" s="255" t="str">
        <f>IF(ISNUMBER(SEARCH("R", 'WetLitterbags placem_collection'!AE177)),"YES","NO")</f>
        <v>NO</v>
      </c>
    </row>
    <row r="471" spans="2:38">
      <c r="B471" t="str">
        <f>'Final data_for_R_analysis_Wetse'!A617</f>
        <v>Wet</v>
      </c>
      <c r="C471" s="263">
        <f>'Final data_for_R_analysis_Wetse'!B617</f>
        <v>176</v>
      </c>
      <c r="D471" t="s">
        <v>3853</v>
      </c>
      <c r="E471" t="s">
        <v>25</v>
      </c>
      <c r="F471" s="387">
        <v>8</v>
      </c>
      <c r="G471" s="16">
        <f>'WetLitterbags placem_collection'!E178</f>
        <v>42763</v>
      </c>
      <c r="H471" s="92" t="str">
        <f>'Final data_for_R_analysis_Wetse'!J617</f>
        <v>G470</v>
      </c>
      <c r="I471" t="str">
        <f>'Final data_for_R_analysis_Wetse'!J837</f>
        <v>R490</v>
      </c>
      <c r="J471">
        <f>IFERROR(INDEX('Green_rooibos initial weight'!$C$5:$C$1749,MATCH(H471, 'Green_rooibos initial weight'!$A$5:$A$1749,0)),"")</f>
        <v>1.9970000000000001</v>
      </c>
      <c r="K471">
        <f>IFERROR(INDEX('Green_rooibos initial weight'!$C$5:$C$1749,MATCH(I471, 'Green_rooibos initial weight'!$A$5:$A$1749,0)),"")</f>
        <v>2.1890000000000001</v>
      </c>
      <c r="L471" s="195">
        <f t="shared" si="76"/>
        <v>1.7472000000000001</v>
      </c>
      <c r="M471" s="195">
        <f>AVERAGE(Ashed_controlls!$K$2:$K$11)</f>
        <v>5.5147656768714146</v>
      </c>
      <c r="N471" s="195">
        <f t="shared" si="72"/>
        <v>1.6508460140937027</v>
      </c>
      <c r="O471" s="195">
        <f t="shared" si="77"/>
        <v>1.9392</v>
      </c>
      <c r="P471" s="195">
        <f>AVERAGE(Ashed_controlls!$K$12:$K$14)</f>
        <v>2.2816647271287041</v>
      </c>
      <c r="Q471" s="195">
        <f t="shared" si="78"/>
        <v>1.8949539576115202</v>
      </c>
      <c r="R471" s="16">
        <f>IF('WetLitterbags placem_collection'!G178="N.A","",'WetLitterbags placem_collection'!G178)</f>
        <v>42814</v>
      </c>
      <c r="S471" s="195">
        <f>IF(IFERROR(INDEX('Both teabags AfterWet'!$C$3:$C$841,MATCH(H471,'Both teabags AfterWet'!$A$3:$A$841,0)),"")="N.A","",(IFERROR(INDEX('Both teabags AfterWet'!$C$3:$C$841,MATCH(H471,'Both teabags AfterWet'!$A$3:$A$841,0)),"")))</f>
        <v>0.60299999999999998</v>
      </c>
      <c r="T471" s="195">
        <f>IFERROR(INDEX('Both teabags AfterWet'!$C$3:$C$841,MATCH(I471,'Both teabags AfterWet'!$A$3:$A$841,0)),"")</f>
        <v>1.7070000000000001</v>
      </c>
      <c r="U471" s="195">
        <f t="shared" si="79"/>
        <v>0.45239999999999997</v>
      </c>
      <c r="V471" s="195">
        <f t="shared" si="79"/>
        <v>1.5564</v>
      </c>
      <c r="W471" s="195">
        <f>IFERROR(INDEX('Ashed teabags wet'!$K$2:$K$821,MATCH(H471,'Ashed teabags wet'!$A$2:$A$821,0)),"")</f>
        <v>9.3558282208585464</v>
      </c>
      <c r="X471" s="195">
        <f>IFERROR(INDEX('Ashed teabags wet'!$K$2:$K$821,MATCH(I471,'Ashed teabags wet'!$A$2:$A$821,0)),"")</f>
        <v>2.6433915211971035</v>
      </c>
      <c r="Y471" s="195">
        <f t="shared" si="73"/>
        <v>0.4100742331288359</v>
      </c>
      <c r="Z471" s="195">
        <f t="shared" si="73"/>
        <v>1.5152582543640882</v>
      </c>
      <c r="AA471" s="195">
        <f t="shared" si="80"/>
        <v>0.75159752658459644</v>
      </c>
      <c r="AB471" s="195">
        <f t="shared" si="81"/>
        <v>0.49273377039750271</v>
      </c>
      <c r="AC471" s="195">
        <f t="shared" si="74"/>
        <v>0.79962800588251948</v>
      </c>
      <c r="AD471">
        <f t="shared" si="75"/>
        <v>51</v>
      </c>
      <c r="AE471" s="195">
        <f t="shared" si="82"/>
        <v>0.10736635797553862</v>
      </c>
      <c r="AF471" s="195">
        <f t="shared" si="83"/>
        <v>1.0234843400941558E-2</v>
      </c>
      <c r="AG471" s="255" t="str">
        <f>IF(ISNUMBER(SEARCH("C",'WetLitterbags placem_collection'!AD398)),"YES","NO")</f>
        <v>NO</v>
      </c>
      <c r="AH471" s="255" t="str">
        <f>IF(ISNUMBER(SEARCH("H", 'WetLitterbags placem_collection'!AF178)),"YES","NO")</f>
        <v>NO</v>
      </c>
      <c r="AI471" s="255" t="str">
        <f>IF(ISNUMBER(SEARCH("R", 'WetLitterbags placem_collection'!XF178)),"YES","NO")</f>
        <v>NO</v>
      </c>
      <c r="AJ471" s="255" t="str">
        <f>IF(ISNUMBER(SEARCH("C", 'WetLitterbags placem_collection'!WE178)),"YES","NO")</f>
        <v>NO</v>
      </c>
      <c r="AK471" s="255" t="str">
        <f>IF(ISNUMBER(SEARCH("H", 'WetLitterbags placem_collection'!AE178)),"YES","NO")</f>
        <v>NO</v>
      </c>
      <c r="AL471" s="255" t="str">
        <f>IF(ISNUMBER(SEARCH("R", 'WetLitterbags placem_collection'!AE178)),"YES","NO")</f>
        <v>NO</v>
      </c>
    </row>
    <row r="472" spans="2:38">
      <c r="B472" t="str">
        <f>'Final data_for_R_analysis_Wetse'!A618</f>
        <v>Wet</v>
      </c>
      <c r="C472" s="263">
        <f>'Final data_for_R_analysis_Wetse'!B618</f>
        <v>177</v>
      </c>
      <c r="D472" t="s">
        <v>3854</v>
      </c>
      <c r="E472" t="s">
        <v>25</v>
      </c>
      <c r="F472" s="386">
        <v>1</v>
      </c>
      <c r="G472" s="16">
        <f>'WetLitterbags placem_collection'!E179</f>
        <v>42763</v>
      </c>
      <c r="H472" s="92" t="str">
        <f>'Final data_for_R_analysis_Wetse'!J618</f>
        <v>G483</v>
      </c>
      <c r="I472" t="str">
        <f>'Final data_for_R_analysis_Wetse'!J838</f>
        <v>R470</v>
      </c>
      <c r="J472">
        <f>IFERROR(INDEX('Green_rooibos initial weight'!$C$5:$C$1749,MATCH(H472, 'Green_rooibos initial weight'!$A$5:$A$1749,0)),"")</f>
        <v>1.9750000000000001</v>
      </c>
      <c r="K472">
        <f>IFERROR(INDEX('Green_rooibos initial weight'!$C$5:$C$1749,MATCH(I472, 'Green_rooibos initial weight'!$A$5:$A$1749,0)),"")</f>
        <v>2.1240000000000001</v>
      </c>
      <c r="L472" s="195">
        <f t="shared" si="76"/>
        <v>1.7252000000000001</v>
      </c>
      <c r="M472" s="195">
        <f>AVERAGE(Ashed_controlls!$K$2:$K$11)</f>
        <v>5.5147656768714146</v>
      </c>
      <c r="N472" s="195">
        <f t="shared" si="72"/>
        <v>1.6300592625426145</v>
      </c>
      <c r="O472" s="195">
        <f t="shared" si="77"/>
        <v>1.8742000000000001</v>
      </c>
      <c r="P472" s="195">
        <f>AVERAGE(Ashed_controlls!$K$12:$K$14)</f>
        <v>2.2816647271287041</v>
      </c>
      <c r="Q472" s="195">
        <f t="shared" si="78"/>
        <v>1.8314370396841539</v>
      </c>
      <c r="R472" s="16">
        <f>IF('WetLitterbags placem_collection'!G179="N.A","",'WetLitterbags placem_collection'!G179)</f>
        <v>42815</v>
      </c>
      <c r="S472" s="195">
        <f>IF(IFERROR(INDEX('Both teabags AfterWet'!$C$3:$C$841,MATCH(H472,'Both teabags AfterWet'!$A$3:$A$841,0)),"")="N.A","",(IFERROR(INDEX('Both teabags AfterWet'!$C$3:$C$841,MATCH(H472,'Both teabags AfterWet'!$A$3:$A$841,0)),"")))</f>
        <v>0.58399999999999996</v>
      </c>
      <c r="T472" s="195">
        <f>IFERROR(INDEX('Both teabags AfterWet'!$C$3:$C$841,MATCH(I472,'Both teabags AfterWet'!$A$3:$A$841,0)),"")</f>
        <v>1.677</v>
      </c>
      <c r="U472" s="195">
        <f t="shared" si="79"/>
        <v>0.43339999999999995</v>
      </c>
      <c r="V472" s="195">
        <f t="shared" si="79"/>
        <v>1.5264</v>
      </c>
      <c r="W472" s="195">
        <f>IFERROR(INDEX('Ashed teabags wet'!$K$2:$K$821,MATCH(H472,'Ashed teabags wet'!$A$2:$A$821,0)),"")</f>
        <v>8.5170340681363346</v>
      </c>
      <c r="X472" s="195">
        <f>IFERROR(INDEX('Ashed teabags wet'!$K$2:$K$821,MATCH(I472,'Ashed teabags wet'!$A$2:$A$821,0)),"")</f>
        <v>2.3705853894531068</v>
      </c>
      <c r="Y472" s="195">
        <f t="shared" si="73"/>
        <v>0.39648717434869707</v>
      </c>
      <c r="Z472" s="195">
        <f t="shared" si="73"/>
        <v>1.4902153846153878</v>
      </c>
      <c r="AA472" s="195">
        <f t="shared" si="80"/>
        <v>0.75676517813822008</v>
      </c>
      <c r="AB472" s="195">
        <f t="shared" si="81"/>
        <v>0.49612158946828688</v>
      </c>
      <c r="AC472" s="195">
        <f t="shared" si="74"/>
        <v>0.81368638524007764</v>
      </c>
      <c r="AD472">
        <f t="shared" si="75"/>
        <v>52</v>
      </c>
      <c r="AE472" s="195">
        <f t="shared" si="82"/>
        <v>0.10122900458643691</v>
      </c>
      <c r="AF472" s="195">
        <f t="shared" si="83"/>
        <v>9.0551609156824427E-3</v>
      </c>
      <c r="AG472" s="255" t="str">
        <f>IF(ISNUMBER(SEARCH("C",'WetLitterbags placem_collection'!AD399)),"YES","NO")</f>
        <v>NO</v>
      </c>
      <c r="AH472" s="255" t="str">
        <f>IF(ISNUMBER(SEARCH("H", 'WetLitterbags placem_collection'!AF179)),"YES","NO")</f>
        <v>NO</v>
      </c>
      <c r="AI472" s="255" t="str">
        <f>IF(ISNUMBER(SEARCH("R", 'WetLitterbags placem_collection'!XF179)),"YES","NO")</f>
        <v>NO</v>
      </c>
      <c r="AJ472" s="255" t="str">
        <f>IF(ISNUMBER(SEARCH("C", 'WetLitterbags placem_collection'!WE179)),"YES","NO")</f>
        <v>NO</v>
      </c>
      <c r="AK472" s="255" t="str">
        <f>IF(ISNUMBER(SEARCH("H", 'WetLitterbags placem_collection'!AE179)),"YES","NO")</f>
        <v>NO</v>
      </c>
      <c r="AL472" s="255" t="str">
        <f>IF(ISNUMBER(SEARCH("R", 'WetLitterbags placem_collection'!AE179)),"YES","NO")</f>
        <v>NO</v>
      </c>
    </row>
    <row r="473" spans="2:38">
      <c r="B473" t="str">
        <f>'Final data_for_R_analysis_Wetse'!A619</f>
        <v>Wet</v>
      </c>
      <c r="C473" s="263">
        <f>'Final data_for_R_analysis_Wetse'!B619</f>
        <v>178</v>
      </c>
      <c r="D473" t="s">
        <v>3854</v>
      </c>
      <c r="E473" t="s">
        <v>25</v>
      </c>
      <c r="F473" s="386">
        <v>2</v>
      </c>
      <c r="G473" s="16">
        <f>'WetLitterbags placem_collection'!E180</f>
        <v>42763</v>
      </c>
      <c r="H473" s="92" t="str">
        <f>'Final data_for_R_analysis_Wetse'!J619</f>
        <v>G893</v>
      </c>
      <c r="I473" t="str">
        <f>'Final data_for_R_analysis_Wetse'!J839</f>
        <v>R488</v>
      </c>
      <c r="J473">
        <f>IFERROR(INDEX('Green_rooibos initial weight'!$C$5:$C$1749,MATCH(H473, 'Green_rooibos initial weight'!$A$5:$A$1749,0)),"")</f>
        <v>2.036</v>
      </c>
      <c r="K473">
        <f>IFERROR(INDEX('Green_rooibos initial weight'!$C$5:$C$1749,MATCH(I473, 'Green_rooibos initial weight'!$A$5:$A$1749,0)),"")</f>
        <v>2.1589999999999998</v>
      </c>
      <c r="L473" s="195">
        <f t="shared" si="76"/>
        <v>1.7862</v>
      </c>
      <c r="M473" s="195">
        <f>AVERAGE(Ashed_controlls!$K$2:$K$11)</f>
        <v>5.5147656768714146</v>
      </c>
      <c r="N473" s="195">
        <f t="shared" si="72"/>
        <v>1.6876952554797229</v>
      </c>
      <c r="O473" s="195">
        <f t="shared" si="77"/>
        <v>1.9091999999999998</v>
      </c>
      <c r="P473" s="195">
        <f>AVERAGE(Ashed_controlls!$K$12:$K$14)</f>
        <v>2.2816647271287041</v>
      </c>
      <c r="Q473" s="195">
        <f t="shared" si="78"/>
        <v>1.8656384570296585</v>
      </c>
      <c r="R473" s="16">
        <f>IF('WetLitterbags placem_collection'!G180="N.A","",'WetLitterbags placem_collection'!G180)</f>
        <v>42815</v>
      </c>
      <c r="S473" s="195">
        <f>IF(IFERROR(INDEX('Both teabags AfterWet'!$C$3:$C$841,MATCH(H473,'Both teabags AfterWet'!$A$3:$A$841,0)),"")="N.A","",(IFERROR(INDEX('Both teabags AfterWet'!$C$3:$C$841,MATCH(H473,'Both teabags AfterWet'!$A$3:$A$841,0)),"")))</f>
        <v>0.60699999999999998</v>
      </c>
      <c r="T473" s="195">
        <f>IFERROR(INDEX('Both teabags AfterWet'!$C$3:$C$841,MATCH(I473,'Both teabags AfterWet'!$A$3:$A$841,0)),"")</f>
        <v>1.6446000000000001</v>
      </c>
      <c r="U473" s="195">
        <f t="shared" si="79"/>
        <v>0.45639999999999997</v>
      </c>
      <c r="V473" s="195">
        <f t="shared" si="79"/>
        <v>1.494</v>
      </c>
      <c r="W473" s="195">
        <f>IFERROR(INDEX('Ashed teabags wet'!$K$2:$K$821,MATCH(H473,'Ashed teabags wet'!$A$2:$A$821,0)),"")</f>
        <v>8.1265206812653794</v>
      </c>
      <c r="X473" s="195">
        <f>IFERROR(INDEX('Ashed teabags wet'!$K$2:$K$821,MATCH(I473,'Ashed teabags wet'!$A$2:$A$821,0)),"")</f>
        <v>2.0802377414560613</v>
      </c>
      <c r="Y473" s="195">
        <f t="shared" si="73"/>
        <v>0.41931055961070479</v>
      </c>
      <c r="Z473" s="195">
        <f t="shared" si="73"/>
        <v>1.4629212481426463</v>
      </c>
      <c r="AA473" s="195">
        <f t="shared" si="80"/>
        <v>0.7515484159540895</v>
      </c>
      <c r="AB473" s="195">
        <f t="shared" si="81"/>
        <v>0.49270157435470008</v>
      </c>
      <c r="AC473" s="195">
        <f t="shared" si="74"/>
        <v>0.7841397365231253</v>
      </c>
      <c r="AD473">
        <f t="shared" si="75"/>
        <v>52</v>
      </c>
      <c r="AE473" s="195">
        <f t="shared" si="82"/>
        <v>0.10742468414003614</v>
      </c>
      <c r="AF473" s="195">
        <f t="shared" si="83"/>
        <v>1.1085753996115709E-2</v>
      </c>
      <c r="AG473" s="255" t="str">
        <f>IF(ISNUMBER(SEARCH("C",'WetLitterbags placem_collection'!AD400)),"YES","NO")</f>
        <v>NO</v>
      </c>
      <c r="AH473" s="255" t="str">
        <f>IF(ISNUMBER(SEARCH("H", 'WetLitterbags placem_collection'!AF180)),"YES","NO")</f>
        <v>NO</v>
      </c>
      <c r="AI473" s="255" t="str">
        <f>IF(ISNUMBER(SEARCH("R", 'WetLitterbags placem_collection'!XF180)),"YES","NO")</f>
        <v>NO</v>
      </c>
      <c r="AJ473" s="255" t="str">
        <f>IF(ISNUMBER(SEARCH("C", 'WetLitterbags placem_collection'!WE180)),"YES","NO")</f>
        <v>NO</v>
      </c>
      <c r="AK473" s="255" t="str">
        <f>IF(ISNUMBER(SEARCH("H", 'WetLitterbags placem_collection'!AE180)),"YES","NO")</f>
        <v>NO</v>
      </c>
      <c r="AL473" s="255" t="str">
        <f>IF(ISNUMBER(SEARCH("R", 'WetLitterbags placem_collection'!AE180)),"YES","NO")</f>
        <v>NO</v>
      </c>
    </row>
    <row r="474" spans="2:38">
      <c r="B474" t="str">
        <f>'Final data_for_R_analysis_Wetse'!A620</f>
        <v>Wet</v>
      </c>
      <c r="C474" s="263">
        <f>'Final data_for_R_analysis_Wetse'!B620</f>
        <v>179</v>
      </c>
      <c r="D474" t="s">
        <v>3854</v>
      </c>
      <c r="E474" t="s">
        <v>25</v>
      </c>
      <c r="F474" s="386">
        <v>3</v>
      </c>
      <c r="G474" s="16">
        <f>'WetLitterbags placem_collection'!E181</f>
        <v>42763</v>
      </c>
      <c r="H474" s="92" t="str">
        <f>'Final data_for_R_analysis_Wetse'!J620</f>
        <v>G826</v>
      </c>
      <c r="I474" t="str">
        <f>'Final data_for_R_analysis_Wetse'!J840</f>
        <v>R273</v>
      </c>
      <c r="J474">
        <f>IFERROR(INDEX('Green_rooibos initial weight'!$C$5:$C$1749,MATCH(H474, 'Green_rooibos initial weight'!$A$5:$A$1749,0)),"")</f>
        <v>2.15</v>
      </c>
      <c r="K474">
        <f>IFERROR(INDEX('Green_rooibos initial weight'!$C$5:$C$1749,MATCH(I474, 'Green_rooibos initial weight'!$A$5:$A$1749,0)),"")</f>
        <v>2.2090000000000001</v>
      </c>
      <c r="L474" s="195">
        <f t="shared" si="76"/>
        <v>1.9001999999999999</v>
      </c>
      <c r="M474" s="195">
        <f>AVERAGE(Ashed_controlls!$K$2:$K$11)</f>
        <v>5.5147656768714146</v>
      </c>
      <c r="N474" s="195">
        <f t="shared" si="72"/>
        <v>1.7954084226080893</v>
      </c>
      <c r="O474" s="195">
        <f t="shared" si="77"/>
        <v>1.9592000000000001</v>
      </c>
      <c r="P474" s="195">
        <f>AVERAGE(Ashed_controlls!$K$12:$K$14)</f>
        <v>2.2816647271287041</v>
      </c>
      <c r="Q474" s="195">
        <f t="shared" si="78"/>
        <v>1.9144976246660945</v>
      </c>
      <c r="R474" s="16">
        <f>IF('WetLitterbags placem_collection'!G181="N.A","",'WetLitterbags placem_collection'!G181)</f>
        <v>42815</v>
      </c>
      <c r="S474" s="195">
        <f>IF(IFERROR(INDEX('Both teabags AfterWet'!$C$3:$C$841,MATCH(H474,'Both teabags AfterWet'!$A$3:$A$841,0)),"")="N.A","",(IFERROR(INDEX('Both teabags AfterWet'!$C$3:$C$841,MATCH(H474,'Both teabags AfterWet'!$A$3:$A$841,0)),"")))</f>
        <v>0.60060000000000002</v>
      </c>
      <c r="T474" s="195">
        <f>IFERROR(INDEX('Both teabags AfterWet'!$C$3:$C$841,MATCH(I474,'Both teabags AfterWet'!$A$3:$A$841,0)),"")</f>
        <v>1.655</v>
      </c>
      <c r="U474" s="195">
        <f t="shared" si="79"/>
        <v>0.45</v>
      </c>
      <c r="V474" s="195">
        <f t="shared" si="79"/>
        <v>1.5044</v>
      </c>
      <c r="W474" s="195">
        <f>IFERROR(INDEX('Ashed teabags wet'!$K$2:$K$821,MATCH(H474,'Ashed teabags wet'!$A$2:$A$821,0)),"")</f>
        <v>8.7676570871892565</v>
      </c>
      <c r="X474" s="195">
        <f>IFERROR(INDEX('Ashed teabags wet'!$K$2:$K$821,MATCH(I474,'Ashed teabags wet'!$A$2:$A$821,0)),"")</f>
        <v>1.9912578921804642</v>
      </c>
      <c r="Y474" s="195">
        <f t="shared" si="73"/>
        <v>0.41054554310764835</v>
      </c>
      <c r="Z474" s="195">
        <f t="shared" si="73"/>
        <v>1.4744435162700371</v>
      </c>
      <c r="AA474" s="195">
        <f t="shared" si="80"/>
        <v>0.77133584874728844</v>
      </c>
      <c r="AB474" s="195">
        <f t="shared" si="81"/>
        <v>0.50567385808610843</v>
      </c>
      <c r="AC474" s="195">
        <f t="shared" si="74"/>
        <v>0.77014643281534145</v>
      </c>
      <c r="AD474">
        <f t="shared" si="75"/>
        <v>52</v>
      </c>
      <c r="AE474" s="195">
        <f t="shared" si="82"/>
        <v>8.3924170133861664E-2</v>
      </c>
      <c r="AF474" s="195">
        <f t="shared" si="83"/>
        <v>1.1656584202214141E-2</v>
      </c>
      <c r="AG474" s="255" t="str">
        <f>IF(ISNUMBER(SEARCH("C",'WetLitterbags placem_collection'!AD401)),"YES","NO")</f>
        <v>NO</v>
      </c>
      <c r="AH474" s="255" t="str">
        <f>IF(ISNUMBER(SEARCH("H", 'WetLitterbags placem_collection'!AF181)),"YES","NO")</f>
        <v>NO</v>
      </c>
      <c r="AI474" s="255" t="str">
        <f>IF(ISNUMBER(SEARCH("R", 'WetLitterbags placem_collection'!XF181)),"YES","NO")</f>
        <v>NO</v>
      </c>
      <c r="AJ474" s="255" t="str">
        <f>IF(ISNUMBER(SEARCH("C", 'WetLitterbags placem_collection'!WE181)),"YES","NO")</f>
        <v>NO</v>
      </c>
      <c r="AK474" s="255" t="str">
        <f>IF(ISNUMBER(SEARCH("H", 'WetLitterbags placem_collection'!AE181)),"YES","NO")</f>
        <v>NO</v>
      </c>
      <c r="AL474" s="255" t="str">
        <f>IF(ISNUMBER(SEARCH("R", 'WetLitterbags placem_collection'!AE181)),"YES","NO")</f>
        <v>NO</v>
      </c>
    </row>
    <row r="475" spans="2:38">
      <c r="B475" t="str">
        <f>'Final data_for_R_analysis_Wetse'!A621</f>
        <v>Wet</v>
      </c>
      <c r="C475" s="263">
        <f>'Final data_for_R_analysis_Wetse'!B621</f>
        <v>180</v>
      </c>
      <c r="D475" t="s">
        <v>3854</v>
      </c>
      <c r="E475" t="s">
        <v>25</v>
      </c>
      <c r="F475" s="387">
        <v>4</v>
      </c>
      <c r="G475" s="16">
        <f>'WetLitterbags placem_collection'!E182</f>
        <v>42763</v>
      </c>
      <c r="H475" s="92" t="str">
        <f>'Final data_for_R_analysis_Wetse'!J621</f>
        <v>G783</v>
      </c>
      <c r="I475" t="str">
        <f>'Final data_for_R_analysis_Wetse'!J841</f>
        <v>R301</v>
      </c>
      <c r="J475">
        <f>IFERROR(INDEX('Green_rooibos initial weight'!$C$5:$C$1749,MATCH(H475, 'Green_rooibos initial weight'!$A$5:$A$1749,0)),"")</f>
        <v>1.976</v>
      </c>
      <c r="K475">
        <f>IFERROR(INDEX('Green_rooibos initial weight'!$C$5:$C$1749,MATCH(I475, 'Green_rooibos initial weight'!$A$5:$A$1749,0)),"")</f>
        <v>2.2530000000000001</v>
      </c>
      <c r="L475" s="195">
        <f t="shared" si="76"/>
        <v>1.7262</v>
      </c>
      <c r="M475" s="195">
        <f>AVERAGE(Ashed_controlls!$K$2:$K$11)</f>
        <v>5.5147656768714146</v>
      </c>
      <c r="N475" s="195">
        <f t="shared" si="72"/>
        <v>1.6310041148858456</v>
      </c>
      <c r="O475" s="195">
        <f t="shared" si="77"/>
        <v>2.0032000000000001</v>
      </c>
      <c r="P475" s="195">
        <f>AVERAGE(Ashed_controlls!$K$12:$K$14)</f>
        <v>2.2816647271287041</v>
      </c>
      <c r="Q475" s="195">
        <f t="shared" si="78"/>
        <v>1.9574936921861579</v>
      </c>
      <c r="R475" s="16">
        <f>IF('WetLitterbags placem_collection'!G182="N.A","",'WetLitterbags placem_collection'!G182)</f>
        <v>42815</v>
      </c>
      <c r="S475" s="195">
        <f>IF(IFERROR(INDEX('Both teabags AfterWet'!$C$3:$C$841,MATCH(H475,'Both teabags AfterWet'!$A$3:$A$841,0)),"")="N.A","",(IFERROR(INDEX('Both teabags AfterWet'!$C$3:$C$841,MATCH(H475,'Both teabags AfterWet'!$A$3:$A$841,0)),"")))</f>
        <v>0.627</v>
      </c>
      <c r="T475" s="195">
        <f>IFERROR(INDEX('Both teabags AfterWet'!$C$3:$C$841,MATCH(I475,'Both teabags AfterWet'!$A$3:$A$841,0)),"")</f>
        <v>1.6709000000000001</v>
      </c>
      <c r="U475" s="195">
        <f t="shared" si="79"/>
        <v>0.47639999999999999</v>
      </c>
      <c r="V475" s="195">
        <f t="shared" si="79"/>
        <v>1.5203</v>
      </c>
      <c r="W475" s="195">
        <f>IFERROR(INDEX('Ashed teabags wet'!$K$2:$K$821,MATCH(H475,'Ashed teabags wet'!$A$2:$A$821,0)),"")</f>
        <v>8.7719298245612158</v>
      </c>
      <c r="X475" s="195">
        <f>IFERROR(INDEX('Ashed teabags wet'!$K$2:$K$821,MATCH(I475,'Ashed teabags wet'!$A$2:$A$821,0)),"")</f>
        <v>1.9038076152294727</v>
      </c>
      <c r="Y475" s="195">
        <f t="shared" si="73"/>
        <v>0.43461052631579034</v>
      </c>
      <c r="Z475" s="195">
        <f t="shared" si="73"/>
        <v>1.4913564128256662</v>
      </c>
      <c r="AA475" s="195">
        <f t="shared" si="80"/>
        <v>0.73353192530344491</v>
      </c>
      <c r="AB475" s="195">
        <f t="shared" si="81"/>
        <v>0.48089028832244851</v>
      </c>
      <c r="AC475" s="195">
        <f t="shared" si="74"/>
        <v>0.7618703543101063</v>
      </c>
      <c r="AD475">
        <f t="shared" si="75"/>
        <v>52</v>
      </c>
      <c r="AE475" s="195">
        <f t="shared" si="82"/>
        <v>0.12882194144483972</v>
      </c>
      <c r="AF475" s="195">
        <f t="shared" si="83"/>
        <v>1.3145446252428843E-2</v>
      </c>
      <c r="AG475" s="255" t="str">
        <f>IF(ISNUMBER(SEARCH("C",'WetLitterbags placem_collection'!AD402)),"YES","NO")</f>
        <v>NO</v>
      </c>
      <c r="AH475" s="255" t="str">
        <f>IF(ISNUMBER(SEARCH("H", 'WetLitterbags placem_collection'!AF182)),"YES","NO")</f>
        <v>NO</v>
      </c>
      <c r="AI475" s="255" t="str">
        <f>IF(ISNUMBER(SEARCH("R", 'WetLitterbags placem_collection'!XF182)),"YES","NO")</f>
        <v>NO</v>
      </c>
      <c r="AJ475" s="255" t="str">
        <f>IF(ISNUMBER(SEARCH("C", 'WetLitterbags placem_collection'!WE182)),"YES","NO")</f>
        <v>NO</v>
      </c>
      <c r="AK475" s="255" t="str">
        <f>IF(ISNUMBER(SEARCH("H", 'WetLitterbags placem_collection'!AE182)),"YES","NO")</f>
        <v>NO</v>
      </c>
      <c r="AL475" s="255" t="str">
        <f>IF(ISNUMBER(SEARCH("R", 'WetLitterbags placem_collection'!AE182)),"YES","NO")</f>
        <v>NO</v>
      </c>
    </row>
    <row r="476" spans="2:38">
      <c r="B476" t="str">
        <f>'Final data_for_R_analysis_Wetse'!A622</f>
        <v>Wet</v>
      </c>
      <c r="C476" s="263">
        <f>'Final data_for_R_analysis_Wetse'!B622</f>
        <v>181</v>
      </c>
      <c r="D476" t="s">
        <v>3854</v>
      </c>
      <c r="E476" t="s">
        <v>25</v>
      </c>
      <c r="F476" s="387">
        <v>5</v>
      </c>
      <c r="G476" s="16">
        <f>'WetLitterbags placem_collection'!E183</f>
        <v>42763</v>
      </c>
      <c r="H476" s="92" t="str">
        <f>'Final data_for_R_analysis_Wetse'!J622</f>
        <v>G551</v>
      </c>
      <c r="I476" t="str">
        <f>'Final data_for_R_analysis_Wetse'!J842</f>
        <v>R291</v>
      </c>
      <c r="J476">
        <f>IFERROR(INDEX('Green_rooibos initial weight'!$C$5:$C$1749,MATCH(H476, 'Green_rooibos initial weight'!$A$5:$A$1749,0)),"")</f>
        <v>2.1160000000000001</v>
      </c>
      <c r="K476">
        <f>IFERROR(INDEX('Green_rooibos initial weight'!$C$5:$C$1749,MATCH(I476, 'Green_rooibos initial weight'!$A$5:$A$1749,0)),"")</f>
        <v>2.2320000000000002</v>
      </c>
      <c r="L476" s="195">
        <f t="shared" si="76"/>
        <v>1.8662000000000001</v>
      </c>
      <c r="M476" s="195">
        <f>AVERAGE(Ashed_controlls!$K$2:$K$11)</f>
        <v>5.5147656768714146</v>
      </c>
      <c r="N476" s="195">
        <f t="shared" si="72"/>
        <v>1.7632834429382258</v>
      </c>
      <c r="O476" s="195">
        <f t="shared" si="77"/>
        <v>1.9822000000000002</v>
      </c>
      <c r="P476" s="195">
        <f>AVERAGE(Ashed_controlls!$K$12:$K$14)</f>
        <v>2.2816647271287041</v>
      </c>
      <c r="Q476" s="195">
        <f t="shared" si="78"/>
        <v>1.936972841778855</v>
      </c>
      <c r="R476" s="16">
        <f>IF('WetLitterbags placem_collection'!G183="N.A","",'WetLitterbags placem_collection'!G183)</f>
        <v>42815</v>
      </c>
      <c r="S476" s="195">
        <f>IF(IFERROR(INDEX('Both teabags AfterWet'!$C$3:$C$841,MATCH(H476,'Both teabags AfterWet'!$A$3:$A$841,0)),"")="N.A","",(IFERROR(INDEX('Both teabags AfterWet'!$C$3:$C$841,MATCH(H476,'Both teabags AfterWet'!$A$3:$A$841,0)),"")))</f>
        <v>0.61199999999999999</v>
      </c>
      <c r="T476" s="195">
        <f>IFERROR(INDEX('Both teabags AfterWet'!$C$3:$C$841,MATCH(I476,'Both teabags AfterWet'!$A$3:$A$841,0)),"")</f>
        <v>1.6970000000000001</v>
      </c>
      <c r="U476" s="195">
        <f t="shared" si="79"/>
        <v>0.46139999999999998</v>
      </c>
      <c r="V476" s="195">
        <f t="shared" si="79"/>
        <v>1.5464</v>
      </c>
      <c r="W476" s="195">
        <f>IFERROR(INDEX('Ashed teabags wet'!$K$2:$K$821,MATCH(H476,'Ashed teabags wet'!$A$2:$A$821,0)),"")</f>
        <v>8.5532746823073538</v>
      </c>
      <c r="X476" s="195">
        <f>IFERROR(INDEX('Ashed teabags wet'!$K$2:$K$821,MATCH(I476,'Ashed teabags wet'!$A$2:$A$821,0)),"")</f>
        <v>2.1348859776812832</v>
      </c>
      <c r="Y476" s="195">
        <f t="shared" si="73"/>
        <v>0.42193519061583384</v>
      </c>
      <c r="Z476" s="195">
        <f t="shared" si="73"/>
        <v>1.5133861232411365</v>
      </c>
      <c r="AA476" s="195">
        <f t="shared" si="80"/>
        <v>0.76071051293219916</v>
      </c>
      <c r="AB476" s="195">
        <f t="shared" si="81"/>
        <v>0.49870807973702375</v>
      </c>
      <c r="AC476" s="195">
        <f t="shared" si="74"/>
        <v>0.78131509673170751</v>
      </c>
      <c r="AD476">
        <f t="shared" si="75"/>
        <v>52</v>
      </c>
      <c r="AE476" s="195">
        <f t="shared" si="82"/>
        <v>9.6543333809739673E-2</v>
      </c>
      <c r="AF476" s="195">
        <f t="shared" si="83"/>
        <v>1.1099010407166885E-2</v>
      </c>
      <c r="AG476" s="255" t="str">
        <f>IF(ISNUMBER(SEARCH("C",'WetLitterbags placem_collection'!AD403)),"YES","NO")</f>
        <v>NO</v>
      </c>
      <c r="AH476" s="255" t="str">
        <f>IF(ISNUMBER(SEARCH("H", 'WetLitterbags placem_collection'!AF183)),"YES","NO")</f>
        <v>NO</v>
      </c>
      <c r="AI476" s="255" t="str">
        <f>IF(ISNUMBER(SEARCH("R", 'WetLitterbags placem_collection'!XF183)),"YES","NO")</f>
        <v>NO</v>
      </c>
      <c r="AJ476" s="255" t="str">
        <f>IF(ISNUMBER(SEARCH("C", 'WetLitterbags placem_collection'!WE183)),"YES","NO")</f>
        <v>NO</v>
      </c>
      <c r="AK476" s="255" t="str">
        <f>IF(ISNUMBER(SEARCH("H", 'WetLitterbags placem_collection'!AE183)),"YES","NO")</f>
        <v>NO</v>
      </c>
      <c r="AL476" s="255" t="str">
        <f>IF(ISNUMBER(SEARCH("R", 'WetLitterbags placem_collection'!AE183)),"YES","NO")</f>
        <v>NO</v>
      </c>
    </row>
    <row r="477" spans="2:38">
      <c r="B477" t="str">
        <f>'Final data_for_R_analysis_Wetse'!A623</f>
        <v>Wet</v>
      </c>
      <c r="C477" s="263">
        <f>'Final data_for_R_analysis_Wetse'!B623</f>
        <v>182</v>
      </c>
      <c r="D477" t="s">
        <v>3854</v>
      </c>
      <c r="E477" t="s">
        <v>25</v>
      </c>
      <c r="F477" s="387">
        <v>6</v>
      </c>
      <c r="G477" s="16">
        <f>'WetLitterbags placem_collection'!E184</f>
        <v>42763</v>
      </c>
      <c r="H477" s="92" t="str">
        <f>'Final data_for_R_analysis_Wetse'!J623</f>
        <v>G818</v>
      </c>
      <c r="I477" t="str">
        <f>'Final data_for_R_analysis_Wetse'!J843</f>
        <v>R537</v>
      </c>
      <c r="J477">
        <f>IFERROR(INDEX('Green_rooibos initial weight'!$C$5:$C$1749,MATCH(H477, 'Green_rooibos initial weight'!$A$5:$A$1749,0)),"")</f>
        <v>2.0099999999999998</v>
      </c>
      <c r="K477">
        <f>IFERROR(INDEX('Green_rooibos initial weight'!$C$5:$C$1749,MATCH(I477, 'Green_rooibos initial weight'!$A$5:$A$1749,0)),"")</f>
        <v>2.145</v>
      </c>
      <c r="L477" s="195">
        <f t="shared" si="76"/>
        <v>1.7601999999999998</v>
      </c>
      <c r="M477" s="195">
        <f>AVERAGE(Ashed_controlls!$K$2:$K$11)</f>
        <v>5.5147656768714146</v>
      </c>
      <c r="N477" s="195">
        <f t="shared" si="72"/>
        <v>1.6631290945557091</v>
      </c>
      <c r="O477" s="195">
        <f t="shared" si="77"/>
        <v>1.8952</v>
      </c>
      <c r="P477" s="195">
        <f>AVERAGE(Ashed_controlls!$K$12:$K$14)</f>
        <v>2.2816647271287041</v>
      </c>
      <c r="Q477" s="195">
        <f t="shared" si="78"/>
        <v>1.8519578900914568</v>
      </c>
      <c r="R477" s="16">
        <f>IF('WetLitterbags placem_collection'!G184="N.A","",'WetLitterbags placem_collection'!G184)</f>
        <v>42815</v>
      </c>
      <c r="S477" s="195">
        <f>IF(IFERROR(INDEX('Both teabags AfterWet'!$C$3:$C$841,MATCH(H477,'Both teabags AfterWet'!$A$3:$A$841,0)),"")="N.A","",(IFERROR(INDEX('Both teabags AfterWet'!$C$3:$C$841,MATCH(H477,'Both teabags AfterWet'!$A$3:$A$841,0)),"")))</f>
        <v>0.60450000000000004</v>
      </c>
      <c r="T477" s="195">
        <f>IFERROR(INDEX('Both teabags AfterWet'!$C$3:$C$841,MATCH(I477,'Both teabags AfterWet'!$A$3:$A$841,0)),"")</f>
        <v>1.7152000000000001</v>
      </c>
      <c r="U477" s="195">
        <f t="shared" si="79"/>
        <v>0.45390000000000003</v>
      </c>
      <c r="V477" s="195">
        <f t="shared" si="79"/>
        <v>1.5646</v>
      </c>
      <c r="W477" s="195">
        <f>IFERROR(INDEX('Ashed teabags wet'!$K$2:$K$821,MATCH(H477,'Ashed teabags wet'!$A$2:$A$821,0)),"")</f>
        <v>10.028790786949029</v>
      </c>
      <c r="X477" s="195">
        <f>IFERROR(INDEX('Ashed teabags wet'!$K$2:$K$821,MATCH(I477,'Ashed teabags wet'!$A$2:$A$821,0)),"")</f>
        <v>2.0958083832334542</v>
      </c>
      <c r="Y477" s="195">
        <f t="shared" si="73"/>
        <v>0.40837931861803839</v>
      </c>
      <c r="Z477" s="195">
        <f t="shared" si="73"/>
        <v>1.5318089820359293</v>
      </c>
      <c r="AA477" s="195">
        <f t="shared" si="80"/>
        <v>0.75445122092152839</v>
      </c>
      <c r="AB477" s="195">
        <f t="shared" si="81"/>
        <v>0.49460460088917307</v>
      </c>
      <c r="AC477" s="195">
        <f t="shared" si="74"/>
        <v>0.82712948832777333</v>
      </c>
      <c r="AD477">
        <f t="shared" si="75"/>
        <v>52</v>
      </c>
      <c r="AE477" s="195">
        <f t="shared" si="82"/>
        <v>0.10397717230222281</v>
      </c>
      <c r="AF477" s="195">
        <f t="shared" si="83"/>
        <v>8.269870438390203E-3</v>
      </c>
      <c r="AG477" s="255" t="str">
        <f>IF(ISNUMBER(SEARCH("C",'WetLitterbags placem_collection'!AD404)),"YES","NO")</f>
        <v>NO</v>
      </c>
      <c r="AH477" s="255" t="str">
        <f>IF(ISNUMBER(SEARCH("H", 'WetLitterbags placem_collection'!AF184)),"YES","NO")</f>
        <v>NO</v>
      </c>
      <c r="AI477" s="255" t="str">
        <f>IF(ISNUMBER(SEARCH("R", 'WetLitterbags placem_collection'!XF184)),"YES","NO")</f>
        <v>NO</v>
      </c>
      <c r="AJ477" s="255" t="str">
        <f>IF(ISNUMBER(SEARCH("C", 'WetLitterbags placem_collection'!WE184)),"YES","NO")</f>
        <v>NO</v>
      </c>
      <c r="AK477" s="255" t="str">
        <f>IF(ISNUMBER(SEARCH("H", 'WetLitterbags placem_collection'!AE184)),"YES","NO")</f>
        <v>NO</v>
      </c>
      <c r="AL477" s="255" t="str">
        <f>IF(ISNUMBER(SEARCH("R", 'WetLitterbags placem_collection'!AE184)),"YES","NO")</f>
        <v>NO</v>
      </c>
    </row>
    <row r="478" spans="2:38">
      <c r="B478" t="str">
        <f>'Final data_for_R_analysis_Wetse'!A624</f>
        <v>Wet</v>
      </c>
      <c r="C478" s="263">
        <f>'Final data_for_R_analysis_Wetse'!B624</f>
        <v>183</v>
      </c>
      <c r="D478" t="s">
        <v>3854</v>
      </c>
      <c r="E478" t="s">
        <v>25</v>
      </c>
      <c r="F478" s="387">
        <v>7</v>
      </c>
      <c r="G478" s="16">
        <f>'WetLitterbags placem_collection'!E185</f>
        <v>42763</v>
      </c>
      <c r="H478" s="92" t="str">
        <f>'Final data_for_R_analysis_Wetse'!J624</f>
        <v>G896</v>
      </c>
      <c r="I478" t="str">
        <f>'Final data_for_R_analysis_Wetse'!J844</f>
        <v>R290</v>
      </c>
      <c r="J478">
        <f>IFERROR(INDEX('Green_rooibos initial weight'!$C$5:$C$1749,MATCH(H478, 'Green_rooibos initial weight'!$A$5:$A$1749,0)),"")</f>
        <v>1.982</v>
      </c>
      <c r="K478">
        <f>IFERROR(INDEX('Green_rooibos initial weight'!$C$5:$C$1749,MATCH(I478, 'Green_rooibos initial weight'!$A$5:$A$1749,0)),"")</f>
        <v>2.153</v>
      </c>
      <c r="L478" s="195">
        <f t="shared" si="76"/>
        <v>1.7322</v>
      </c>
      <c r="M478" s="195">
        <f>AVERAGE(Ashed_controlls!$K$2:$K$11)</f>
        <v>5.5147656768714146</v>
      </c>
      <c r="N478" s="195">
        <f t="shared" si="72"/>
        <v>1.6366732289452333</v>
      </c>
      <c r="O478" s="195">
        <f t="shared" si="77"/>
        <v>1.9032</v>
      </c>
      <c r="P478" s="195">
        <f>AVERAGE(Ashed_controlls!$K$12:$K$14)</f>
        <v>2.2816647271287041</v>
      </c>
      <c r="Q478" s="195">
        <f t="shared" si="78"/>
        <v>1.8597753569132864</v>
      </c>
      <c r="R478" s="16">
        <f>IF('WetLitterbags placem_collection'!G185="N.A","",'WetLitterbags placem_collection'!G185)</f>
        <v>42815</v>
      </c>
      <c r="S478" s="195">
        <f>IF(IFERROR(INDEX('Both teabags AfterWet'!$C$3:$C$841,MATCH(H478,'Both teabags AfterWet'!$A$3:$A$841,0)),"")="N.A","",(IFERROR(INDEX('Both teabags AfterWet'!$C$3:$C$841,MATCH(H478,'Both teabags AfterWet'!$A$3:$A$841,0)),"")))</f>
        <v>0.61</v>
      </c>
      <c r="T478" s="195">
        <f>IFERROR(INDEX('Both teabags AfterWet'!$C$3:$C$841,MATCH(I478,'Both teabags AfterWet'!$A$3:$A$841,0)),"")</f>
        <v>1.7310000000000001</v>
      </c>
      <c r="U478" s="195">
        <f t="shared" si="79"/>
        <v>0.45939999999999998</v>
      </c>
      <c r="V478" s="195">
        <f t="shared" si="79"/>
        <v>1.5804</v>
      </c>
      <c r="W478" s="195">
        <f>IFERROR(INDEX('Ashed teabags wet'!$K$2:$K$821,MATCH(H478,'Ashed teabags wet'!$A$2:$A$821,0)),"")</f>
        <v>9.3827160493825037</v>
      </c>
      <c r="X478" s="195">
        <f>IFERROR(INDEX('Ashed teabags wet'!$K$2:$K$821,MATCH(I478,'Ashed teabags wet'!$A$2:$A$821,0)),"")</f>
        <v>2.639442231076139</v>
      </c>
      <c r="Y478" s="195">
        <f t="shared" si="73"/>
        <v>0.41629580246913678</v>
      </c>
      <c r="Z478" s="195">
        <f t="shared" si="73"/>
        <v>1.5386862549800728</v>
      </c>
      <c r="AA478" s="195">
        <f t="shared" si="80"/>
        <v>0.74564513239003616</v>
      </c>
      <c r="AB478" s="195">
        <f t="shared" si="81"/>
        <v>0.48883148821769595</v>
      </c>
      <c r="AC478" s="195">
        <f t="shared" si="74"/>
        <v>0.82735059869481609</v>
      </c>
      <c r="AD478">
        <f t="shared" si="75"/>
        <v>52</v>
      </c>
      <c r="AE478" s="195">
        <f t="shared" si="82"/>
        <v>0.11443570975055084</v>
      </c>
      <c r="AF478" s="195">
        <f t="shared" si="83"/>
        <v>8.3788375610215592E-3</v>
      </c>
      <c r="AG478" s="255" t="str">
        <f>IF(ISNUMBER(SEARCH("C",'WetLitterbags placem_collection'!AD405)),"YES","NO")</f>
        <v>NO</v>
      </c>
      <c r="AH478" s="255" t="str">
        <f>IF(ISNUMBER(SEARCH("H", 'WetLitterbags placem_collection'!AF185)),"YES","NO")</f>
        <v>NO</v>
      </c>
      <c r="AI478" s="255" t="str">
        <f>IF(ISNUMBER(SEARCH("R", 'WetLitterbags placem_collection'!XF185)),"YES","NO")</f>
        <v>NO</v>
      </c>
      <c r="AJ478" s="255" t="str">
        <f>IF(ISNUMBER(SEARCH("C", 'WetLitterbags placem_collection'!WE185)),"YES","NO")</f>
        <v>NO</v>
      </c>
      <c r="AK478" s="255" t="str">
        <f>IF(ISNUMBER(SEARCH("H", 'WetLitterbags placem_collection'!AE185)),"YES","NO")</f>
        <v>NO</v>
      </c>
      <c r="AL478" s="255" t="str">
        <f>IF(ISNUMBER(SEARCH("R", 'WetLitterbags placem_collection'!AE185)),"YES","NO")</f>
        <v>NO</v>
      </c>
    </row>
    <row r="479" spans="2:38">
      <c r="B479" t="str">
        <f>'Final data_for_R_analysis_Wetse'!A625</f>
        <v>Wet</v>
      </c>
      <c r="C479" s="263">
        <f>'Final data_for_R_analysis_Wetse'!B625</f>
        <v>184</v>
      </c>
      <c r="D479" t="s">
        <v>3854</v>
      </c>
      <c r="E479" t="s">
        <v>25</v>
      </c>
      <c r="F479" s="387">
        <v>8</v>
      </c>
      <c r="G479" s="16">
        <f>'WetLitterbags placem_collection'!E186</f>
        <v>42763</v>
      </c>
      <c r="H479" s="92" t="str">
        <f>'Final data_for_R_analysis_Wetse'!J625</f>
        <v>G337</v>
      </c>
      <c r="I479" t="str">
        <f>'Final data_for_R_analysis_Wetse'!J845</f>
        <v>R555</v>
      </c>
      <c r="J479">
        <f>IFERROR(INDEX('Green_rooibos initial weight'!$C$5:$C$1749,MATCH(H479, 'Green_rooibos initial weight'!$A$5:$A$1749,0)),"")</f>
        <v>1.8680000000000001</v>
      </c>
      <c r="K479">
        <f>IFERROR(INDEX('Green_rooibos initial weight'!$C$5:$C$1749,MATCH(I479, 'Green_rooibos initial weight'!$A$5:$A$1749,0)),"")</f>
        <v>2.1789999999999998</v>
      </c>
      <c r="L479" s="195">
        <f t="shared" si="76"/>
        <v>1.6182000000000001</v>
      </c>
      <c r="M479" s="195">
        <f>AVERAGE(Ashed_controlls!$K$2:$K$11)</f>
        <v>5.5147656768714146</v>
      </c>
      <c r="N479" s="195">
        <f t="shared" si="72"/>
        <v>1.5289600618168668</v>
      </c>
      <c r="O479" s="195">
        <f t="shared" si="77"/>
        <v>1.9291999999999998</v>
      </c>
      <c r="P479" s="195">
        <f>AVERAGE(Ashed_controlls!$K$12:$K$14)</f>
        <v>2.2816647271287041</v>
      </c>
      <c r="Q479" s="195">
        <f t="shared" si="78"/>
        <v>1.8851821240842328</v>
      </c>
      <c r="R479" s="16">
        <f>IF('WetLitterbags placem_collection'!G186="N.A","",'WetLitterbags placem_collection'!G186)</f>
        <v>42815</v>
      </c>
      <c r="S479" s="195">
        <f>IF(IFERROR(INDEX('Both teabags AfterWet'!$C$3:$C$841,MATCH(H479,'Both teabags AfterWet'!$A$3:$A$841,0)),"")="N.A","",(IFERROR(INDEX('Both teabags AfterWet'!$C$3:$C$841,MATCH(H479,'Both teabags AfterWet'!$A$3:$A$841,0)),"")))</f>
        <v>0.63060000000000005</v>
      </c>
      <c r="T479" s="195">
        <f>IFERROR(INDEX('Both teabags AfterWet'!$C$3:$C$841,MATCH(I479,'Both teabags AfterWet'!$A$3:$A$841,0)),"")</f>
        <v>1.7096</v>
      </c>
      <c r="U479" s="195">
        <f t="shared" si="79"/>
        <v>0.48000000000000004</v>
      </c>
      <c r="V479" s="195">
        <f t="shared" si="79"/>
        <v>1.5589999999999999</v>
      </c>
      <c r="W479" s="195">
        <f>IFERROR(INDEX('Ashed teabags wet'!$K$2:$K$821,MATCH(H479,'Ashed teabags wet'!$A$2:$A$821,0)),"")</f>
        <v>10.824230387289536</v>
      </c>
      <c r="X479" s="195">
        <f>IFERROR(INDEX('Ashed teabags wet'!$K$2:$K$821,MATCH(I479,'Ashed teabags wet'!$A$2:$A$821,0)),"")</f>
        <v>2.750491159135366</v>
      </c>
      <c r="Y479" s="195">
        <f t="shared" si="73"/>
        <v>0.42804369414101029</v>
      </c>
      <c r="Z479" s="195">
        <f t="shared" si="73"/>
        <v>1.5161198428290796</v>
      </c>
      <c r="AA479" s="195">
        <f t="shared" si="80"/>
        <v>0.72004259311236363</v>
      </c>
      <c r="AB479" s="195">
        <f t="shared" si="81"/>
        <v>0.47204692565086076</v>
      </c>
      <c r="AC479" s="195">
        <f t="shared" si="74"/>
        <v>0.80422990620366031</v>
      </c>
      <c r="AD479">
        <f t="shared" si="75"/>
        <v>52</v>
      </c>
      <c r="AE479" s="195">
        <f t="shared" si="82"/>
        <v>0.14484252599481751</v>
      </c>
      <c r="AF479" s="195">
        <f t="shared" si="83"/>
        <v>1.0301442738370388E-2</v>
      </c>
      <c r="AG479" s="255" t="str">
        <f>IF(ISNUMBER(SEARCH("C",'WetLitterbags placem_collection'!AD406)),"YES","NO")</f>
        <v>NO</v>
      </c>
      <c r="AH479" s="255" t="str">
        <f>IF(ISNUMBER(SEARCH("H", 'WetLitterbags placem_collection'!AF186)),"YES","NO")</f>
        <v>NO</v>
      </c>
      <c r="AI479" s="255" t="str">
        <f>IF(ISNUMBER(SEARCH("R", 'WetLitterbags placem_collection'!XF186)),"YES","NO")</f>
        <v>NO</v>
      </c>
      <c r="AJ479" s="255" t="str">
        <f>IF(ISNUMBER(SEARCH("C", 'WetLitterbags placem_collection'!WE186)),"YES","NO")</f>
        <v>NO</v>
      </c>
      <c r="AK479" s="255" t="str">
        <f>IF(ISNUMBER(SEARCH("H", 'WetLitterbags placem_collection'!AE186)),"YES","NO")</f>
        <v>NO</v>
      </c>
      <c r="AL479" s="255" t="str">
        <f>IF(ISNUMBER(SEARCH("R", 'WetLitterbags placem_collection'!AE186)),"YES","NO")</f>
        <v>NO</v>
      </c>
    </row>
    <row r="480" spans="2:38">
      <c r="B480" t="str">
        <f>'Final data_for_R_analysis_Wetse'!A626</f>
        <v>Wet</v>
      </c>
      <c r="C480" s="263">
        <f>'Final data_for_R_analysis_Wetse'!B626</f>
        <v>185</v>
      </c>
      <c r="D480" t="s">
        <v>3855</v>
      </c>
      <c r="E480" t="s">
        <v>25</v>
      </c>
      <c r="F480" s="386">
        <v>1</v>
      </c>
      <c r="G480" s="16">
        <f>'WetLitterbags placem_collection'!E187</f>
        <v>42763</v>
      </c>
      <c r="H480" s="92" t="str">
        <f>'Final data_for_R_analysis_Wetse'!J626</f>
        <v>G564</v>
      </c>
      <c r="I480" t="str">
        <f>'Final data_for_R_analysis_Wetse'!J846</f>
        <v>R539</v>
      </c>
      <c r="J480">
        <f>IFERROR(INDEX('Green_rooibos initial weight'!$C$5:$C$1749,MATCH(H480, 'Green_rooibos initial weight'!$A$5:$A$1749,0)),"")</f>
        <v>1.95</v>
      </c>
      <c r="K480">
        <f>IFERROR(INDEX('Green_rooibos initial weight'!$C$5:$C$1749,MATCH(I480, 'Green_rooibos initial weight'!$A$5:$A$1749,0)),"")</f>
        <v>2.16</v>
      </c>
      <c r="L480" s="195">
        <f t="shared" si="76"/>
        <v>1.7001999999999999</v>
      </c>
      <c r="M480" s="195">
        <f>AVERAGE(Ashed_controlls!$K$2:$K$11)</f>
        <v>5.5147656768714146</v>
      </c>
      <c r="N480" s="195">
        <f t="shared" si="72"/>
        <v>1.6064379539618321</v>
      </c>
      <c r="O480" s="195">
        <f t="shared" si="77"/>
        <v>1.9102000000000001</v>
      </c>
      <c r="P480" s="195">
        <f>AVERAGE(Ashed_controlls!$K$12:$K$14)</f>
        <v>2.2816647271287041</v>
      </c>
      <c r="Q480" s="195">
        <f t="shared" si="78"/>
        <v>1.8666156403823877</v>
      </c>
      <c r="R480" s="16">
        <f>IF('WetLitterbags placem_collection'!G187="N.A","",'WetLitterbags placem_collection'!G187)</f>
        <v>42815</v>
      </c>
      <c r="S480" s="195">
        <f>IF(IFERROR(INDEX('Both teabags AfterWet'!$C$3:$C$841,MATCH(H480,'Both teabags AfterWet'!$A$3:$A$841,0)),"")="N.A","",(IFERROR(INDEX('Both teabags AfterWet'!$C$3:$C$841,MATCH(H480,'Both teabags AfterWet'!$A$3:$A$841,0)),"")))</f>
        <v>0.626</v>
      </c>
      <c r="T480" s="195">
        <f>IFERROR(INDEX('Both teabags AfterWet'!$C$3:$C$841,MATCH(I480,'Both teabags AfterWet'!$A$3:$A$841,0)),"")</f>
        <v>1.7513000000000001</v>
      </c>
      <c r="U480" s="195">
        <f t="shared" si="79"/>
        <v>0.47539999999999999</v>
      </c>
      <c r="V480" s="195">
        <f t="shared" si="79"/>
        <v>1.6007</v>
      </c>
      <c r="W480" s="195">
        <f>IFERROR(INDEX('Ashed teabags wet'!$K$2:$K$821,MATCH(H480,'Ashed teabags wet'!$A$2:$A$821,0)),"")</f>
        <v>8.4325396825389731</v>
      </c>
      <c r="X480" s="195">
        <f>IFERROR(INDEX('Ashed teabags wet'!$K$2:$K$821,MATCH(I480,'Ashed teabags wet'!$A$2:$A$821,0)),"")</f>
        <v>1.5944195316393635</v>
      </c>
      <c r="Y480" s="195">
        <f t="shared" si="73"/>
        <v>0.43531170634920974</v>
      </c>
      <c r="Z480" s="195">
        <f t="shared" si="73"/>
        <v>1.5751781265570488</v>
      </c>
      <c r="AA480" s="195">
        <f t="shared" si="80"/>
        <v>0.7290205293795291</v>
      </c>
      <c r="AB480" s="195">
        <f t="shared" si="81"/>
        <v>0.47793269859560583</v>
      </c>
      <c r="AC480" s="195">
        <f t="shared" si="74"/>
        <v>0.84386849251641538</v>
      </c>
      <c r="AD480">
        <f t="shared" si="75"/>
        <v>52</v>
      </c>
      <c r="AE480" s="195">
        <f t="shared" si="82"/>
        <v>0.13417989384854023</v>
      </c>
      <c r="AF480" s="195">
        <f t="shared" si="83"/>
        <v>7.6064613212549707E-3</v>
      </c>
      <c r="AG480" s="255" t="str">
        <f>IF(ISNUMBER(SEARCH("C",'WetLitterbags placem_collection'!AD407)),"YES","NO")</f>
        <v>NO</v>
      </c>
      <c r="AH480" s="255" t="str">
        <f>IF(ISNUMBER(SEARCH("H", 'WetLitterbags placem_collection'!AF187)),"YES","NO")</f>
        <v>NO</v>
      </c>
      <c r="AI480" s="255" t="str">
        <f>IF(ISNUMBER(SEARCH("R", 'WetLitterbags placem_collection'!XF187)),"YES","NO")</f>
        <v>NO</v>
      </c>
      <c r="AJ480" s="255" t="str">
        <f>IF(ISNUMBER(SEARCH("C", 'WetLitterbags placem_collection'!WE187)),"YES","NO")</f>
        <v>NO</v>
      </c>
      <c r="AK480" s="255" t="str">
        <f>IF(ISNUMBER(SEARCH("H", 'WetLitterbags placem_collection'!AE187)),"YES","NO")</f>
        <v>NO</v>
      </c>
      <c r="AL480" s="255" t="str">
        <f>IF(ISNUMBER(SEARCH("R", 'WetLitterbags placem_collection'!AE187)),"YES","NO")</f>
        <v>NO</v>
      </c>
    </row>
    <row r="481" spans="2:38">
      <c r="B481" t="str">
        <f>'Final data_for_R_analysis_Wetse'!A627</f>
        <v>Wet</v>
      </c>
      <c r="C481" s="263">
        <f>'Final data_for_R_analysis_Wetse'!B627</f>
        <v>186</v>
      </c>
      <c r="D481" t="s">
        <v>3855</v>
      </c>
      <c r="E481" t="s">
        <v>25</v>
      </c>
      <c r="F481" s="386">
        <v>2</v>
      </c>
      <c r="G481" s="16">
        <f>'WetLitterbags placem_collection'!E188</f>
        <v>42763</v>
      </c>
      <c r="H481" s="92" t="str">
        <f>'Final data_for_R_analysis_Wetse'!J627</f>
        <v>G608</v>
      </c>
      <c r="I481" t="str">
        <f>'Final data_for_R_analysis_Wetse'!J847</f>
        <v>R186</v>
      </c>
      <c r="J481">
        <f>IFERROR(INDEX('Green_rooibos initial weight'!$C$5:$C$1749,MATCH(H481, 'Green_rooibos initial weight'!$A$5:$A$1749,0)),"")</f>
        <v>2.0259999999999998</v>
      </c>
      <c r="K481">
        <f>IFERROR(INDEX('Green_rooibos initial weight'!$C$5:$C$1749,MATCH(I481, 'Green_rooibos initial weight'!$A$5:$A$1749,0)),"")</f>
        <v>2.2530000000000001</v>
      </c>
      <c r="L481" s="195">
        <f t="shared" si="76"/>
        <v>1.7761999999999998</v>
      </c>
      <c r="M481" s="195">
        <f>AVERAGE(Ashed_controlls!$K$2:$K$11)</f>
        <v>5.5147656768714146</v>
      </c>
      <c r="N481" s="195">
        <f t="shared" si="72"/>
        <v>1.6782467320474097</v>
      </c>
      <c r="O481" s="195">
        <f t="shared" si="77"/>
        <v>2.0032000000000001</v>
      </c>
      <c r="P481" s="195">
        <f>AVERAGE(Ashed_controlls!$K$12:$K$14)</f>
        <v>2.2816647271287041</v>
      </c>
      <c r="Q481" s="195">
        <f t="shared" si="78"/>
        <v>1.9574936921861579</v>
      </c>
      <c r="R481" s="16">
        <f>IF('WetLitterbags placem_collection'!G188="N.A","",'WetLitterbags placem_collection'!G188)</f>
        <v>42815</v>
      </c>
      <c r="S481" s="195" t="str">
        <f>IF(IFERROR(INDEX('Both teabags AfterWet'!$C$3:$C$841,MATCH(H481,'Both teabags AfterWet'!$A$3:$A$841,0)),"")="N.A","",(IFERROR(INDEX('Both teabags AfterWet'!$C$3:$C$841,MATCH(H481,'Both teabags AfterWet'!$A$3:$A$841,0)),"")))</f>
        <v/>
      </c>
      <c r="T481" s="195">
        <f>IFERROR(INDEX('Both teabags AfterWet'!$C$3:$C$841,MATCH(I481,'Both teabags AfterWet'!$A$3:$A$841,0)),"")</f>
        <v>1.7809999999999999</v>
      </c>
      <c r="U481" s="195" t="str">
        <f t="shared" si="79"/>
        <v/>
      </c>
      <c r="V481" s="195">
        <f t="shared" si="79"/>
        <v>1.6303999999999998</v>
      </c>
      <c r="W481" s="195">
        <f>IFERROR(INDEX('Ashed teabags wet'!$K$2:$K$821,MATCH(H481,'Ashed teabags wet'!$A$2:$A$821,0)),"")</f>
        <v>9.0274314214466642</v>
      </c>
      <c r="X481" s="195">
        <f>IFERROR(INDEX('Ashed teabags wet'!$K$2:$K$821,MATCH(I481,'Ashed teabags wet'!$A$2:$A$821,0)),"")</f>
        <v>2.2783556215947218</v>
      </c>
      <c r="Y481" s="195" t="str">
        <f t="shared" si="73"/>
        <v/>
      </c>
      <c r="Z481" s="195">
        <f t="shared" si="73"/>
        <v>1.5932536899455194</v>
      </c>
      <c r="AA481" s="195" t="str">
        <f t="shared" si="80"/>
        <v/>
      </c>
      <c r="AB481" s="195" t="str">
        <f t="shared" si="81"/>
        <v/>
      </c>
      <c r="AC481" s="195">
        <f t="shared" si="74"/>
        <v>0.81392532517749783</v>
      </c>
      <c r="AD481">
        <f t="shared" si="75"/>
        <v>52</v>
      </c>
      <c r="AE481" s="195" t="str">
        <f t="shared" si="82"/>
        <v/>
      </c>
      <c r="AF481" s="195" t="str">
        <f t="shared" si="83"/>
        <v/>
      </c>
      <c r="AG481" s="255" t="str">
        <f>IF(ISNUMBER(SEARCH("C",'WetLitterbags placem_collection'!AD408)),"YES","NO")</f>
        <v>NO</v>
      </c>
      <c r="AH481" s="255" t="str">
        <f>IF(ISNUMBER(SEARCH("H", 'WetLitterbags placem_collection'!AF188)),"YES","NO")</f>
        <v>NO</v>
      </c>
      <c r="AI481" s="255" t="str">
        <f>IF(ISNUMBER(SEARCH("R", 'WetLitterbags placem_collection'!XF188)),"YES","NO")</f>
        <v>NO</v>
      </c>
      <c r="AJ481" s="255" t="str">
        <f>IF(ISNUMBER(SEARCH("C", 'WetLitterbags placem_collection'!WE188)),"YES","NO")</f>
        <v>NO</v>
      </c>
      <c r="AK481" s="255" t="str">
        <f>IF(ISNUMBER(SEARCH("H", 'WetLitterbags placem_collection'!AE188)),"YES","NO")</f>
        <v>NO</v>
      </c>
      <c r="AL481" s="255" t="str">
        <f>IF(ISNUMBER(SEARCH("R", 'WetLitterbags placem_collection'!AE188)),"YES","NO")</f>
        <v>NO</v>
      </c>
    </row>
    <row r="482" spans="2:38">
      <c r="B482" t="str">
        <f>'Final data_for_R_analysis_Wetse'!A628</f>
        <v>Wet</v>
      </c>
      <c r="C482" s="263">
        <f>'Final data_for_R_analysis_Wetse'!B628</f>
        <v>187</v>
      </c>
      <c r="D482" t="s">
        <v>3855</v>
      </c>
      <c r="E482" t="s">
        <v>25</v>
      </c>
      <c r="F482" s="386">
        <v>3</v>
      </c>
      <c r="G482" s="16">
        <f>'WetLitterbags placem_collection'!E189</f>
        <v>42763</v>
      </c>
      <c r="H482" s="92" t="str">
        <f>'Final data_for_R_analysis_Wetse'!J628</f>
        <v>G365</v>
      </c>
      <c r="I482" t="str">
        <f>'Final data_for_R_analysis_Wetse'!J848</f>
        <v>R580</v>
      </c>
      <c r="J482">
        <f>IFERROR(INDEX('Green_rooibos initial weight'!$C$5:$C$1749,MATCH(H482, 'Green_rooibos initial weight'!$A$5:$A$1749,0)),"")</f>
        <v>1.954</v>
      </c>
      <c r="K482">
        <f>IFERROR(INDEX('Green_rooibos initial weight'!$C$5:$C$1749,MATCH(I482, 'Green_rooibos initial weight'!$A$5:$A$1749,0)),"")</f>
        <v>2.0870000000000002</v>
      </c>
      <c r="L482" s="195">
        <f t="shared" si="76"/>
        <v>1.7041999999999999</v>
      </c>
      <c r="M482" s="195">
        <f>AVERAGE(Ashed_controlls!$K$2:$K$11)</f>
        <v>5.5147656768714146</v>
      </c>
      <c r="N482" s="195">
        <f t="shared" si="72"/>
        <v>1.6102173633347574</v>
      </c>
      <c r="O482" s="195">
        <f t="shared" si="77"/>
        <v>1.8372000000000002</v>
      </c>
      <c r="P482" s="195">
        <f>AVERAGE(Ashed_controlls!$K$12:$K$14)</f>
        <v>2.2816647271287041</v>
      </c>
      <c r="Q482" s="195">
        <f t="shared" si="78"/>
        <v>1.7952812556331916</v>
      </c>
      <c r="R482" s="16">
        <f>IF('WetLitterbags placem_collection'!G189="N.A","",'WetLitterbags placem_collection'!G189)</f>
        <v>42815</v>
      </c>
      <c r="S482" s="195">
        <f>IF(IFERROR(INDEX('Both teabags AfterWet'!$C$3:$C$841,MATCH(H482,'Both teabags AfterWet'!$A$3:$A$841,0)),"")="N.A","",(IFERROR(INDEX('Both teabags AfterWet'!$C$3:$C$841,MATCH(H482,'Both teabags AfterWet'!$A$3:$A$841,0)),"")))</f>
        <v>0.6714</v>
      </c>
      <c r="T482" s="195">
        <f>IFERROR(INDEX('Both teabags AfterWet'!$C$3:$C$841,MATCH(I482,'Both teabags AfterWet'!$A$3:$A$841,0)),"")</f>
        <v>1.6225000000000001</v>
      </c>
      <c r="U482" s="195">
        <f t="shared" si="79"/>
        <v>0.52079999999999993</v>
      </c>
      <c r="V482" s="195">
        <f t="shared" si="79"/>
        <v>1.4719</v>
      </c>
      <c r="W482" s="195">
        <f>IFERROR(INDEX('Ashed teabags wet'!$K$2:$K$821,MATCH(H482,'Ashed teabags wet'!$A$2:$A$821,0)),"")</f>
        <v>8.8162456661709641</v>
      </c>
      <c r="X482" s="195">
        <f>IFERROR(INDEX('Ashed teabags wet'!$K$2:$K$821,MATCH(I482,'Ashed teabags wet'!$A$2:$A$821,0)),"")</f>
        <v>2.0914396887151829</v>
      </c>
      <c r="Y482" s="195">
        <f t="shared" si="73"/>
        <v>0.47488499257058153</v>
      </c>
      <c r="Z482" s="195">
        <f t="shared" si="73"/>
        <v>1.4411160992218013</v>
      </c>
      <c r="AA482" s="195">
        <f t="shared" si="80"/>
        <v>0.70508019390183718</v>
      </c>
      <c r="AB482" s="195">
        <f t="shared" si="81"/>
        <v>0.46223784683350855</v>
      </c>
      <c r="AC482" s="195">
        <f t="shared" si="74"/>
        <v>0.8027244169680382</v>
      </c>
      <c r="AD482">
        <f t="shared" si="75"/>
        <v>52</v>
      </c>
      <c r="AE482" s="195">
        <f t="shared" si="82"/>
        <v>0.1626125963161078</v>
      </c>
      <c r="AF482" s="195">
        <f t="shared" si="83"/>
        <v>1.070177237492214E-2</v>
      </c>
      <c r="AG482" s="255" t="str">
        <f>IF(ISNUMBER(SEARCH("C",'WetLitterbags placem_collection'!AD409)),"YES","NO")</f>
        <v>NO</v>
      </c>
      <c r="AH482" s="255" t="str">
        <f>IF(ISNUMBER(SEARCH("H", 'WetLitterbags placem_collection'!AF189)),"YES","NO")</f>
        <v>NO</v>
      </c>
      <c r="AI482" s="255" t="str">
        <f>IF(ISNUMBER(SEARCH("R", 'WetLitterbags placem_collection'!XF189)),"YES","NO")</f>
        <v>NO</v>
      </c>
      <c r="AJ482" s="255" t="str">
        <f>IF(ISNUMBER(SEARCH("C", 'WetLitterbags placem_collection'!WE189)),"YES","NO")</f>
        <v>NO</v>
      </c>
      <c r="AK482" s="255" t="str">
        <f>IF(ISNUMBER(SEARCH("H", 'WetLitterbags placem_collection'!AE189)),"YES","NO")</f>
        <v>NO</v>
      </c>
      <c r="AL482" s="255" t="str">
        <f>IF(ISNUMBER(SEARCH("R", 'WetLitterbags placem_collection'!AE189)),"YES","NO")</f>
        <v>NO</v>
      </c>
    </row>
    <row r="483" spans="2:38">
      <c r="B483" t="str">
        <f>'Final data_for_R_analysis_Wetse'!A629</f>
        <v>Wet</v>
      </c>
      <c r="C483" s="263">
        <f>'Final data_for_R_analysis_Wetse'!B629</f>
        <v>188</v>
      </c>
      <c r="D483" t="s">
        <v>3855</v>
      </c>
      <c r="E483" t="s">
        <v>25</v>
      </c>
      <c r="F483" s="387">
        <v>4</v>
      </c>
      <c r="G483" s="16">
        <f>'WetLitterbags placem_collection'!E190</f>
        <v>42763</v>
      </c>
      <c r="H483" s="92" t="str">
        <f>'Final data_for_R_analysis_Wetse'!J629</f>
        <v>G375</v>
      </c>
      <c r="I483" t="str">
        <f>'Final data_for_R_analysis_Wetse'!J849</f>
        <v>R222</v>
      </c>
      <c r="J483">
        <f>IFERROR(INDEX('Green_rooibos initial weight'!$C$5:$C$1749,MATCH(H483, 'Green_rooibos initial weight'!$A$5:$A$1749,0)),"")</f>
        <v>1.9810000000000001</v>
      </c>
      <c r="K483">
        <f>IFERROR(INDEX('Green_rooibos initial weight'!$C$5:$C$1749,MATCH(I483, 'Green_rooibos initial weight'!$A$5:$A$1749,0)),"")</f>
        <v>2.194</v>
      </c>
      <c r="L483" s="195">
        <f t="shared" si="76"/>
        <v>1.7312000000000001</v>
      </c>
      <c r="M483" s="195">
        <f>AVERAGE(Ashed_controlls!$K$2:$K$11)</f>
        <v>5.5147656768714146</v>
      </c>
      <c r="N483" s="195">
        <f t="shared" si="72"/>
        <v>1.6357283766020021</v>
      </c>
      <c r="O483" s="195">
        <f t="shared" si="77"/>
        <v>1.9441999999999999</v>
      </c>
      <c r="P483" s="195">
        <f>AVERAGE(Ashed_controlls!$K$12:$K$14)</f>
        <v>2.2816647271287041</v>
      </c>
      <c r="Q483" s="195">
        <f t="shared" si="78"/>
        <v>1.8998398743751637</v>
      </c>
      <c r="R483" s="16">
        <f>IF('WetLitterbags placem_collection'!G190="N.A","",'WetLitterbags placem_collection'!G190)</f>
        <v>42815</v>
      </c>
      <c r="S483" s="195">
        <f>IF(IFERROR(INDEX('Both teabags AfterWet'!$C$3:$C$841,MATCH(H483,'Both teabags AfterWet'!$A$3:$A$841,0)),"")="N.A","",(IFERROR(INDEX('Both teabags AfterWet'!$C$3:$C$841,MATCH(H483,'Both teabags AfterWet'!$A$3:$A$841,0)),"")))</f>
        <v>0.55700000000000005</v>
      </c>
      <c r="T483" s="195">
        <f>IFERROR(INDEX('Both teabags AfterWet'!$C$3:$C$841,MATCH(I483,'Both teabags AfterWet'!$A$3:$A$841,0)),"")</f>
        <v>1.5732999999999999</v>
      </c>
      <c r="U483" s="195">
        <f t="shared" si="79"/>
        <v>0.40640000000000004</v>
      </c>
      <c r="V483" s="195">
        <f t="shared" si="79"/>
        <v>1.4226999999999999</v>
      </c>
      <c r="W483" s="195">
        <f>IFERROR(INDEX('Ashed teabags wet'!$K$2:$K$821,MATCH(H483,'Ashed teabags wet'!$A$2:$A$821,0)),"")</f>
        <v>8.3130772970344644</v>
      </c>
      <c r="X483" s="195">
        <f>IFERROR(INDEX('Ashed teabags wet'!$K$2:$K$821,MATCH(I483,'Ashed teabags wet'!$A$2:$A$821,0)),"")</f>
        <v>3.2535885167466505</v>
      </c>
      <c r="Y483" s="195">
        <f t="shared" si="73"/>
        <v>0.37261565386485196</v>
      </c>
      <c r="Z483" s="195">
        <f t="shared" si="73"/>
        <v>1.3764111961722452</v>
      </c>
      <c r="AA483" s="195">
        <f t="shared" si="80"/>
        <v>0.77220199930815592</v>
      </c>
      <c r="AB483" s="195">
        <f t="shared" si="81"/>
        <v>0.50624169075784098</v>
      </c>
      <c r="AC483" s="195">
        <f t="shared" si="74"/>
        <v>0.7244880027717765</v>
      </c>
      <c r="AD483">
        <f t="shared" si="75"/>
        <v>52</v>
      </c>
      <c r="AE483" s="195">
        <f t="shared" si="82"/>
        <v>8.2895487757534525E-2</v>
      </c>
      <c r="AF483" s="195">
        <f t="shared" si="83"/>
        <v>1.5110910336464294E-2</v>
      </c>
      <c r="AG483" s="255" t="str">
        <f>IF(ISNUMBER(SEARCH("C",'WetLitterbags placem_collection'!AD410)),"YES","NO")</f>
        <v>NO</v>
      </c>
      <c r="AH483" s="255" t="str">
        <f>IF(ISNUMBER(SEARCH("H", 'WetLitterbags placem_collection'!AF190)),"YES","NO")</f>
        <v>NO</v>
      </c>
      <c r="AI483" s="255" t="str">
        <f>IF(ISNUMBER(SEARCH("R", 'WetLitterbags placem_collection'!XF190)),"YES","NO")</f>
        <v>NO</v>
      </c>
      <c r="AJ483" s="255" t="str">
        <f>IF(ISNUMBER(SEARCH("C", 'WetLitterbags placem_collection'!WE190)),"YES","NO")</f>
        <v>NO</v>
      </c>
      <c r="AK483" s="255" t="str">
        <f>IF(ISNUMBER(SEARCH("H", 'WetLitterbags placem_collection'!AE190)),"YES","NO")</f>
        <v>NO</v>
      </c>
      <c r="AL483" s="255" t="str">
        <f>IF(ISNUMBER(SEARCH("R", 'WetLitterbags placem_collection'!AE190)),"YES","NO")</f>
        <v>NO</v>
      </c>
    </row>
    <row r="484" spans="2:38">
      <c r="B484" t="str">
        <f>'Final data_for_R_analysis_Wetse'!A630</f>
        <v>Wet</v>
      </c>
      <c r="C484" s="263">
        <f>'Final data_for_R_analysis_Wetse'!B630</f>
        <v>189</v>
      </c>
      <c r="D484" t="s">
        <v>3855</v>
      </c>
      <c r="E484" t="s">
        <v>25</v>
      </c>
      <c r="F484" s="387">
        <v>5</v>
      </c>
      <c r="G484" s="16">
        <f>'WetLitterbags placem_collection'!E191</f>
        <v>42763</v>
      </c>
      <c r="H484" s="92" t="str">
        <f>'Final data_for_R_analysis_Wetse'!J630</f>
        <v>G537</v>
      </c>
      <c r="I484" t="str">
        <f>'Final data_for_R_analysis_Wetse'!J850</f>
        <v>R216</v>
      </c>
      <c r="J484">
        <f>IFERROR(INDEX('Green_rooibos initial weight'!$C$5:$C$1749,MATCH(H484, 'Green_rooibos initial weight'!$A$5:$A$1749,0)),"")</f>
        <v>1.9630000000000001</v>
      </c>
      <c r="K484">
        <f>IFERROR(INDEX('Green_rooibos initial weight'!$C$5:$C$1749,MATCH(I484, 'Green_rooibos initial weight'!$A$5:$A$1749,0)),"")</f>
        <v>2.1880000000000002</v>
      </c>
      <c r="L484" s="195">
        <f t="shared" si="76"/>
        <v>1.7132000000000001</v>
      </c>
      <c r="M484" s="195">
        <f>AVERAGE(Ashed_controlls!$K$2:$K$11)</f>
        <v>5.5147656768714146</v>
      </c>
      <c r="N484" s="195">
        <f t="shared" si="72"/>
        <v>1.618721034423839</v>
      </c>
      <c r="O484" s="195">
        <f t="shared" si="77"/>
        <v>1.9382000000000001</v>
      </c>
      <c r="P484" s="195">
        <f>AVERAGE(Ashed_controlls!$K$12:$K$14)</f>
        <v>2.2816647271287041</v>
      </c>
      <c r="Q484" s="195">
        <f t="shared" si="78"/>
        <v>1.8939767742587916</v>
      </c>
      <c r="R484" s="16">
        <f>IF('WetLitterbags placem_collection'!G191="N.A","",'WetLitterbags placem_collection'!G191)</f>
        <v>42815</v>
      </c>
      <c r="S484" s="195">
        <f>IF(IFERROR(INDEX('Both teabags AfterWet'!$C$3:$C$841,MATCH(H484,'Both teabags AfterWet'!$A$3:$A$841,0)),"")="N.A","",(IFERROR(INDEX('Both teabags AfterWet'!$C$3:$C$841,MATCH(H484,'Both teabags AfterWet'!$A$3:$A$841,0)),"")))</f>
        <v>0.72030000000000005</v>
      </c>
      <c r="T484" s="195">
        <f>IFERROR(INDEX('Both teabags AfterWet'!$C$3:$C$841,MATCH(I484,'Both teabags AfterWet'!$A$3:$A$841,0)),"")</f>
        <v>1.6973</v>
      </c>
      <c r="U484" s="195">
        <f t="shared" si="79"/>
        <v>0.5697000000000001</v>
      </c>
      <c r="V484" s="195">
        <f t="shared" si="79"/>
        <v>1.5467</v>
      </c>
      <c r="W484" s="195">
        <f>IFERROR(INDEX('Ashed teabags wet'!$K$2:$K$821,MATCH(H484,'Ashed teabags wet'!$A$2:$A$821,0)),"")</f>
        <v>9.0167865707433048</v>
      </c>
      <c r="X484" s="195">
        <f>IFERROR(INDEX('Ashed teabags wet'!$K$2:$K$821,MATCH(I484,'Ashed teabags wet'!$A$2:$A$821,0)),"")</f>
        <v>2.7254707631314172</v>
      </c>
      <c r="Y484" s="195">
        <f t="shared" si="73"/>
        <v>0.51833136690647552</v>
      </c>
      <c r="Z484" s="195">
        <f t="shared" si="73"/>
        <v>1.5045451437066464</v>
      </c>
      <c r="AA484" s="195">
        <f t="shared" si="80"/>
        <v>0.67978956479615515</v>
      </c>
      <c r="AB484" s="195">
        <f t="shared" si="81"/>
        <v>0.44565776694474785</v>
      </c>
      <c r="AC484" s="195">
        <f t="shared" si="74"/>
        <v>0.79438415726900902</v>
      </c>
      <c r="AD484">
        <f t="shared" si="75"/>
        <v>52</v>
      </c>
      <c r="AE484" s="195">
        <f t="shared" si="82"/>
        <v>0.19264897292618155</v>
      </c>
      <c r="AF484" s="195">
        <f t="shared" si="83"/>
        <v>1.189880243203208E-2</v>
      </c>
      <c r="AG484" s="255" t="str">
        <f>IF(ISNUMBER(SEARCH("C",'WetLitterbags placem_collection'!AD411)),"YES","NO")</f>
        <v>NO</v>
      </c>
      <c r="AH484" s="255" t="str">
        <f>IF(ISNUMBER(SEARCH("H", 'WetLitterbags placem_collection'!AF191)),"YES","NO")</f>
        <v>NO</v>
      </c>
      <c r="AI484" s="255" t="str">
        <f>IF(ISNUMBER(SEARCH("R", 'WetLitterbags placem_collection'!XF191)),"YES","NO")</f>
        <v>NO</v>
      </c>
      <c r="AJ484" s="255" t="str">
        <f>IF(ISNUMBER(SEARCH("C", 'WetLitterbags placem_collection'!WE191)),"YES","NO")</f>
        <v>NO</v>
      </c>
      <c r="AK484" s="255" t="str">
        <f>IF(ISNUMBER(SEARCH("H", 'WetLitterbags placem_collection'!AE191)),"YES","NO")</f>
        <v>NO</v>
      </c>
      <c r="AL484" s="255" t="str">
        <f>IF(ISNUMBER(SEARCH("R", 'WetLitterbags placem_collection'!AE191)),"YES","NO")</f>
        <v>NO</v>
      </c>
    </row>
    <row r="485" spans="2:38">
      <c r="B485" t="str">
        <f>'Final data_for_R_analysis_Wetse'!A631</f>
        <v>Wet</v>
      </c>
      <c r="C485" s="263">
        <f>'Final data_for_R_analysis_Wetse'!B631</f>
        <v>190</v>
      </c>
      <c r="D485" t="s">
        <v>3855</v>
      </c>
      <c r="E485" t="s">
        <v>25</v>
      </c>
      <c r="F485" s="387">
        <v>6</v>
      </c>
      <c r="G485" s="16">
        <f>'WetLitterbags placem_collection'!E192</f>
        <v>42763</v>
      </c>
      <c r="H485" s="92" t="str">
        <f>'Final data_for_R_analysis_Wetse'!J631</f>
        <v>G393</v>
      </c>
      <c r="I485" t="str">
        <f>'Final data_for_R_analysis_Wetse'!J851</f>
        <v>R232</v>
      </c>
      <c r="J485">
        <f>IFERROR(INDEX('Green_rooibos initial weight'!$C$5:$C$1749,MATCH(H485, 'Green_rooibos initial weight'!$A$5:$A$1749,0)),"")</f>
        <v>2.0089999999999999</v>
      </c>
      <c r="K485">
        <f>IFERROR(INDEX('Green_rooibos initial weight'!$C$5:$C$1749,MATCH(I485, 'Green_rooibos initial weight'!$A$5:$A$1749,0)),"")</f>
        <v>2.2440000000000002</v>
      </c>
      <c r="L485" s="195">
        <f t="shared" si="76"/>
        <v>1.7591999999999999</v>
      </c>
      <c r="M485" s="195">
        <f>AVERAGE(Ashed_controlls!$K$2:$K$11)</f>
        <v>5.5147656768714146</v>
      </c>
      <c r="N485" s="195">
        <f t="shared" si="72"/>
        <v>1.662184242212478</v>
      </c>
      <c r="O485" s="195">
        <f t="shared" si="77"/>
        <v>1.9942000000000002</v>
      </c>
      <c r="P485" s="195">
        <f>AVERAGE(Ashed_controlls!$K$12:$K$14)</f>
        <v>2.2816647271287041</v>
      </c>
      <c r="Q485" s="195">
        <f t="shared" si="78"/>
        <v>1.9486990420115995</v>
      </c>
      <c r="R485" s="16">
        <f>IF('WetLitterbags placem_collection'!G192="N.A","",'WetLitterbags placem_collection'!G192)</f>
        <v>42815</v>
      </c>
      <c r="S485" s="195">
        <f>IF(IFERROR(INDEX('Both teabags AfterWet'!$C$3:$C$841,MATCH(H485,'Both teabags AfterWet'!$A$3:$A$841,0)),"")="N.A","",(IFERROR(INDEX('Both teabags AfterWet'!$C$3:$C$841,MATCH(H485,'Both teabags AfterWet'!$A$3:$A$841,0)),"")))</f>
        <v>0.62090000000000001</v>
      </c>
      <c r="T485" s="195">
        <f>IFERROR(INDEX('Both teabags AfterWet'!$C$3:$C$841,MATCH(I485,'Both teabags AfterWet'!$A$3:$A$841,0)),"")</f>
        <v>1.7355</v>
      </c>
      <c r="U485" s="195">
        <f t="shared" si="79"/>
        <v>0.4703</v>
      </c>
      <c r="V485" s="195">
        <f t="shared" si="79"/>
        <v>1.5849</v>
      </c>
      <c r="W485" s="195">
        <f>IFERROR(INDEX('Ashed teabags wet'!$K$2:$K$821,MATCH(H485,'Ashed teabags wet'!$A$2:$A$821,0)),"")</f>
        <v>9.5497278574961424</v>
      </c>
      <c r="X485" s="195">
        <f>IFERROR(INDEX('Ashed teabags wet'!$K$2:$K$821,MATCH(I485,'Ashed teabags wet'!$A$2:$A$821,0)),"")</f>
        <v>2.2167487684728533</v>
      </c>
      <c r="Y485" s="195">
        <f t="shared" si="73"/>
        <v>0.42538762988619561</v>
      </c>
      <c r="Z485" s="195">
        <f t="shared" si="73"/>
        <v>1.5497667487684736</v>
      </c>
      <c r="AA485" s="195">
        <f t="shared" si="80"/>
        <v>0.74407913450077212</v>
      </c>
      <c r="AB485" s="195">
        <f t="shared" si="81"/>
        <v>0.48780484827129006</v>
      </c>
      <c r="AC485" s="195">
        <f t="shared" si="74"/>
        <v>0.79528275806441784</v>
      </c>
      <c r="AD485">
        <f t="shared" si="75"/>
        <v>52</v>
      </c>
      <c r="AE485" s="195">
        <f t="shared" si="82"/>
        <v>0.11629556472592384</v>
      </c>
      <c r="AF485" s="195">
        <f t="shared" si="83"/>
        <v>1.0464596385110951E-2</v>
      </c>
      <c r="AG485" s="255" t="str">
        <f>IF(ISNUMBER(SEARCH("C",'WetLitterbags placem_collection'!AD412)),"YES","NO")</f>
        <v>NO</v>
      </c>
      <c r="AH485" s="255" t="str">
        <f>IF(ISNUMBER(SEARCH("H", 'WetLitterbags placem_collection'!AF192)),"YES","NO")</f>
        <v>NO</v>
      </c>
      <c r="AI485" s="255" t="str">
        <f>IF(ISNUMBER(SEARCH("R", 'WetLitterbags placem_collection'!XF192)),"YES","NO")</f>
        <v>NO</v>
      </c>
      <c r="AJ485" s="255" t="str">
        <f>IF(ISNUMBER(SEARCH("C", 'WetLitterbags placem_collection'!WE192)),"YES","NO")</f>
        <v>NO</v>
      </c>
      <c r="AK485" s="255" t="str">
        <f>IF(ISNUMBER(SEARCH("H", 'WetLitterbags placem_collection'!AE192)),"YES","NO")</f>
        <v>NO</v>
      </c>
      <c r="AL485" s="255" t="str">
        <f>IF(ISNUMBER(SEARCH("R", 'WetLitterbags placem_collection'!AE192)),"YES","NO")</f>
        <v>NO</v>
      </c>
    </row>
    <row r="486" spans="2:38">
      <c r="B486" t="str">
        <f>'Final data_for_R_analysis_Wetse'!A632</f>
        <v>Wet</v>
      </c>
      <c r="C486" s="263">
        <f>'Final data_for_R_analysis_Wetse'!B632</f>
        <v>191</v>
      </c>
      <c r="D486" t="s">
        <v>3855</v>
      </c>
      <c r="E486" t="s">
        <v>25</v>
      </c>
      <c r="F486" s="387">
        <v>7</v>
      </c>
      <c r="G486" s="16">
        <f>'WetLitterbags placem_collection'!E193</f>
        <v>42763</v>
      </c>
      <c r="H486" s="92" t="str">
        <f>'Final data_for_R_analysis_Wetse'!J632</f>
        <v>G417</v>
      </c>
      <c r="I486" t="str">
        <f>'Final data_for_R_analysis_Wetse'!J852</f>
        <v>R387</v>
      </c>
      <c r="J486">
        <f>IFERROR(INDEX('Green_rooibos initial weight'!$C$5:$C$1749,MATCH(H486, 'Green_rooibos initial weight'!$A$5:$A$1749,0)),"")</f>
        <v>2.0209999999999999</v>
      </c>
      <c r="K486">
        <f>IFERROR(INDEX('Green_rooibos initial weight'!$C$5:$C$1749,MATCH(I486, 'Green_rooibos initial weight'!$A$5:$A$1749,0)),"")</f>
        <v>2.1080000000000001</v>
      </c>
      <c r="L486" s="195">
        <f t="shared" si="76"/>
        <v>1.7711999999999999</v>
      </c>
      <c r="M486" s="195">
        <f>AVERAGE(Ashed_controlls!$K$2:$K$11)</f>
        <v>5.5147656768714146</v>
      </c>
      <c r="N486" s="195">
        <f t="shared" si="72"/>
        <v>1.6735224703312535</v>
      </c>
      <c r="O486" s="195">
        <f t="shared" si="77"/>
        <v>1.8582000000000001</v>
      </c>
      <c r="P486" s="195">
        <f>AVERAGE(Ashed_controlls!$K$12:$K$14)</f>
        <v>2.2816647271287041</v>
      </c>
      <c r="Q486" s="195">
        <f t="shared" si="78"/>
        <v>1.8158021060404945</v>
      </c>
      <c r="R486" s="16">
        <f>IF('WetLitterbags placem_collection'!G193="N.A","",'WetLitterbags placem_collection'!G193)</f>
        <v>42815</v>
      </c>
      <c r="S486" s="195">
        <f>IF(IFERROR(INDEX('Both teabags AfterWet'!$C$3:$C$841,MATCH(H486,'Both teabags AfterWet'!$A$3:$A$841,0)),"")="N.A","",(IFERROR(INDEX('Both teabags AfterWet'!$C$3:$C$841,MATCH(H486,'Both teabags AfterWet'!$A$3:$A$841,0)),"")))</f>
        <v>0.62309999999999999</v>
      </c>
      <c r="T486" s="195">
        <f>IFERROR(INDEX('Both teabags AfterWet'!$C$3:$C$841,MATCH(I486,'Both teabags AfterWet'!$A$3:$A$841,0)),"")</f>
        <v>1.6520999999999999</v>
      </c>
      <c r="U486" s="195">
        <f t="shared" si="79"/>
        <v>0.47249999999999998</v>
      </c>
      <c r="V486" s="195">
        <f t="shared" si="79"/>
        <v>1.5014999999999998</v>
      </c>
      <c r="W486" s="195">
        <f>IFERROR(INDEX('Ashed teabags wet'!$K$2:$K$821,MATCH(H486,'Ashed teabags wet'!$A$2:$A$821,0)),"")</f>
        <v>9.0547263681590628</v>
      </c>
      <c r="X486" s="195">
        <f>IFERROR(INDEX('Ashed teabags wet'!$K$2:$K$821,MATCH(I486,'Ashed teabags wet'!$A$2:$A$821,0)),"")</f>
        <v>2.1414342629480405</v>
      </c>
      <c r="Y486" s="195">
        <f t="shared" si="73"/>
        <v>0.4297164179104484</v>
      </c>
      <c r="Z486" s="195">
        <f t="shared" si="73"/>
        <v>1.469346364541835</v>
      </c>
      <c r="AA486" s="195">
        <f t="shared" si="80"/>
        <v>0.74322638295654841</v>
      </c>
      <c r="AB486" s="195">
        <f t="shared" si="81"/>
        <v>0.48724579975298671</v>
      </c>
      <c r="AC486" s="195">
        <f t="shared" si="74"/>
        <v>0.80919961467930301</v>
      </c>
      <c r="AD486">
        <f t="shared" si="75"/>
        <v>52</v>
      </c>
      <c r="AE486" s="195">
        <f t="shared" si="82"/>
        <v>0.11730833378082128</v>
      </c>
      <c r="AF486" s="195">
        <f t="shared" si="83"/>
        <v>9.5558772359932709E-3</v>
      </c>
      <c r="AG486" s="255" t="str">
        <f>IF(ISNUMBER(SEARCH("C",'WetLitterbags placem_collection'!AD413)),"YES","NO")</f>
        <v>NO</v>
      </c>
      <c r="AH486" s="255" t="str">
        <f>IF(ISNUMBER(SEARCH("H", 'WetLitterbags placem_collection'!AF193)),"YES","NO")</f>
        <v>NO</v>
      </c>
      <c r="AI486" s="255" t="str">
        <f>IF(ISNUMBER(SEARCH("R", 'WetLitterbags placem_collection'!XF193)),"YES","NO")</f>
        <v>NO</v>
      </c>
      <c r="AJ486" s="255" t="str">
        <f>IF(ISNUMBER(SEARCH("C", 'WetLitterbags placem_collection'!WE193)),"YES","NO")</f>
        <v>NO</v>
      </c>
      <c r="AK486" s="255" t="str">
        <f>IF(ISNUMBER(SEARCH("H", 'WetLitterbags placem_collection'!AE193)),"YES","NO")</f>
        <v>NO</v>
      </c>
      <c r="AL486" s="255" t="str">
        <f>IF(ISNUMBER(SEARCH("R", 'WetLitterbags placem_collection'!AE193)),"YES","NO")</f>
        <v>NO</v>
      </c>
    </row>
    <row r="487" spans="2:38">
      <c r="B487" t="str">
        <f>'Final data_for_R_analysis_Wetse'!A633</f>
        <v>Wet</v>
      </c>
      <c r="C487" s="263">
        <f>'Final data_for_R_analysis_Wetse'!B633</f>
        <v>192</v>
      </c>
      <c r="D487" t="s">
        <v>3855</v>
      </c>
      <c r="E487" t="s">
        <v>25</v>
      </c>
      <c r="F487" s="387">
        <v>8</v>
      </c>
      <c r="G487" s="16">
        <f>'WetLitterbags placem_collection'!E194</f>
        <v>42763</v>
      </c>
      <c r="H487" s="92" t="str">
        <f>'Final data_for_R_analysis_Wetse'!J633</f>
        <v>G297</v>
      </c>
      <c r="I487" t="str">
        <f>'Final data_for_R_analysis_Wetse'!J853</f>
        <v>R346</v>
      </c>
      <c r="J487">
        <f>IFERROR(INDEX('Green_rooibos initial weight'!$C$5:$C$1749,MATCH(H487, 'Green_rooibos initial weight'!$A$5:$A$1749,0)),"")</f>
        <v>1.9419999999999999</v>
      </c>
      <c r="K487">
        <f>IFERROR(INDEX('Green_rooibos initial weight'!$C$5:$C$1749,MATCH(I487, 'Green_rooibos initial weight'!$A$5:$A$1749,0)),"")</f>
        <v>2.2349999999999999</v>
      </c>
      <c r="L487" s="195">
        <f t="shared" si="76"/>
        <v>1.6921999999999999</v>
      </c>
      <c r="M487" s="195">
        <f>AVERAGE(Ashed_controlls!$K$2:$K$11)</f>
        <v>5.5147656768714146</v>
      </c>
      <c r="N487" s="195">
        <f t="shared" si="72"/>
        <v>1.5988791352159819</v>
      </c>
      <c r="O487" s="195">
        <f t="shared" si="77"/>
        <v>1.9851999999999999</v>
      </c>
      <c r="P487" s="195">
        <f>AVERAGE(Ashed_controlls!$K$12:$K$14)</f>
        <v>2.2816647271287041</v>
      </c>
      <c r="Q487" s="195">
        <f t="shared" si="78"/>
        <v>1.9399043918370409</v>
      </c>
      <c r="R487" s="16">
        <f>IF('WetLitterbags placem_collection'!G194="N.A","",'WetLitterbags placem_collection'!G194)</f>
        <v>42815</v>
      </c>
      <c r="S487" s="195">
        <f>IF(IFERROR(INDEX('Both teabags AfterWet'!$C$3:$C$841,MATCH(H487,'Both teabags AfterWet'!$A$3:$A$841,0)),"")="N.A","",(IFERROR(INDEX('Both teabags AfterWet'!$C$3:$C$841,MATCH(H487,'Both teabags AfterWet'!$A$3:$A$841,0)),"")))</f>
        <v>0.60899999999999999</v>
      </c>
      <c r="T487" s="195">
        <f>IFERROR(INDEX('Both teabags AfterWet'!$C$3:$C$841,MATCH(I487,'Both teabags AfterWet'!$A$3:$A$841,0)),"")</f>
        <v>1.6679999999999999</v>
      </c>
      <c r="U487" s="195">
        <f t="shared" si="79"/>
        <v>0.45839999999999997</v>
      </c>
      <c r="V487" s="195">
        <f t="shared" si="79"/>
        <v>1.5173999999999999</v>
      </c>
      <c r="W487" s="195">
        <f>IFERROR(INDEX('Ashed teabags wet'!$K$2:$K$821,MATCH(H487,'Ashed teabags wet'!$A$2:$A$821,0)),"")</f>
        <v>9.3406593406594496</v>
      </c>
      <c r="X487" s="195">
        <f>IFERROR(INDEX('Ashed teabags wet'!$K$2:$K$821,MATCH(I487,'Ashed teabags wet'!$A$2:$A$821,0)),"")</f>
        <v>2.8640776699025032</v>
      </c>
      <c r="Y487" s="195">
        <f t="shared" si="73"/>
        <v>0.41558241758241704</v>
      </c>
      <c r="Z487" s="195">
        <f t="shared" si="73"/>
        <v>1.4739404854368994</v>
      </c>
      <c r="AA487" s="195">
        <f t="shared" si="80"/>
        <v>0.74007890375886431</v>
      </c>
      <c r="AB487" s="195">
        <f t="shared" si="81"/>
        <v>0.48518236921008689</v>
      </c>
      <c r="AC487" s="195">
        <f t="shared" si="74"/>
        <v>0.759800581739554</v>
      </c>
      <c r="AD487">
        <f t="shared" si="75"/>
        <v>52</v>
      </c>
      <c r="AE487" s="195">
        <f t="shared" si="82"/>
        <v>0.12104643259042236</v>
      </c>
      <c r="AF487" s="195">
        <f t="shared" si="83"/>
        <v>1.3141081136292424E-2</v>
      </c>
      <c r="AG487" s="255" t="str">
        <f>IF(ISNUMBER(SEARCH("C",'WetLitterbags placem_collection'!AD414)),"YES","NO")</f>
        <v>NO</v>
      </c>
      <c r="AH487" s="255" t="str">
        <f>IF(ISNUMBER(SEARCH("H", 'WetLitterbags placem_collection'!AF194)),"YES","NO")</f>
        <v>NO</v>
      </c>
      <c r="AI487" s="255" t="str">
        <f>IF(ISNUMBER(SEARCH("R", 'WetLitterbags placem_collection'!XF194)),"YES","NO")</f>
        <v>NO</v>
      </c>
      <c r="AJ487" s="255" t="str">
        <f>IF(ISNUMBER(SEARCH("C", 'WetLitterbags placem_collection'!WE194)),"YES","NO")</f>
        <v>NO</v>
      </c>
      <c r="AK487" s="255" t="str">
        <f>IF(ISNUMBER(SEARCH("H", 'WetLitterbags placem_collection'!AE194)),"YES","NO")</f>
        <v>NO</v>
      </c>
      <c r="AL487" s="255" t="str">
        <f>IF(ISNUMBER(SEARCH("R", 'WetLitterbags placem_collection'!AE194)),"YES","NO")</f>
        <v>NO</v>
      </c>
    </row>
    <row r="488" spans="2:38">
      <c r="B488" t="str">
        <f>'Final data_for_R_analysis_Wetse'!A634</f>
        <v>Wet</v>
      </c>
      <c r="C488" s="263">
        <f>'Final data_for_R_analysis_Wetse'!B634</f>
        <v>193</v>
      </c>
      <c r="D488" t="s">
        <v>2445</v>
      </c>
      <c r="E488" t="s">
        <v>25</v>
      </c>
      <c r="F488" s="387">
        <v>1</v>
      </c>
      <c r="G488" s="16">
        <f>'WetLitterbags placem_collection'!E195</f>
        <v>42769</v>
      </c>
      <c r="H488" s="92" t="str">
        <f>'Final data_for_R_analysis_Wetse'!J634</f>
        <v>G584</v>
      </c>
      <c r="I488" t="str">
        <f>'Final data_for_R_analysis_Wetse'!J854</f>
        <v>R364</v>
      </c>
      <c r="J488">
        <f>IFERROR(INDEX('Green_rooibos initial weight'!$C$5:$C$1749,MATCH(H488, 'Green_rooibos initial weight'!$A$5:$A$1749,0)),"")</f>
        <v>2.1960000000000002</v>
      </c>
      <c r="K488">
        <f>IFERROR(INDEX('Green_rooibos initial weight'!$C$5:$C$1749,MATCH(I488, 'Green_rooibos initial weight'!$A$5:$A$1749,0)),"")</f>
        <v>2.234</v>
      </c>
      <c r="L488" s="195">
        <f t="shared" si="76"/>
        <v>1.9462000000000002</v>
      </c>
      <c r="M488" s="195">
        <f>AVERAGE(Ashed_controlls!$K$2:$K$11)</f>
        <v>5.5147656768714146</v>
      </c>
      <c r="N488" s="195">
        <f t="shared" si="72"/>
        <v>1.8388716303967287</v>
      </c>
      <c r="O488" s="195">
        <f t="shared" si="77"/>
        <v>1.9842</v>
      </c>
      <c r="P488" s="195">
        <f>AVERAGE(Ashed_controlls!$K$12:$K$14)</f>
        <v>2.2816647271287041</v>
      </c>
      <c r="Q488" s="195">
        <f t="shared" si="78"/>
        <v>1.9389272084843123</v>
      </c>
      <c r="R488" s="16">
        <f>IF('WetLitterbags placem_collection'!G195="N.A","",'WetLitterbags placem_collection'!G195)</f>
        <v>42813</v>
      </c>
      <c r="S488" s="195">
        <f>IF(IFERROR(INDEX('Both teabags AfterWet'!$C$3:$C$841,MATCH(H488,'Both teabags AfterWet'!$A$3:$A$841,0)),"")="N.A","",(IFERROR(INDEX('Both teabags AfterWet'!$C$3:$C$841,MATCH(H488,'Both teabags AfterWet'!$A$3:$A$841,0)),"")))</f>
        <v>0.63959999999999995</v>
      </c>
      <c r="T488" s="195">
        <f>IFERROR(INDEX('Both teabags AfterWet'!$C$3:$C$841,MATCH(I488,'Both teabags AfterWet'!$A$3:$A$841,0)),"")</f>
        <v>1.3913</v>
      </c>
      <c r="U488" s="195">
        <f t="shared" si="79"/>
        <v>0.48899999999999993</v>
      </c>
      <c r="V488" s="195">
        <f t="shared" si="79"/>
        <v>1.2406999999999999</v>
      </c>
      <c r="W488" s="195">
        <f>IFERROR(INDEX('Ashed teabags wet'!$K$2:$K$821,MATCH(H488,'Ashed teabags wet'!$A$2:$A$821,0)),"")</f>
        <v>7.9232283464562308</v>
      </c>
      <c r="X488" s="195">
        <f>IFERROR(INDEX('Ashed teabags wet'!$K$2:$K$821,MATCH(I488,'Ashed teabags wet'!$A$2:$A$821,0)),"")</f>
        <v>3.461725987323931</v>
      </c>
      <c r="Y488" s="195">
        <f t="shared" si="73"/>
        <v>0.45025541338582897</v>
      </c>
      <c r="Z488" s="195">
        <f t="shared" si="73"/>
        <v>1.1977503656752719</v>
      </c>
      <c r="AA488" s="195">
        <f t="shared" si="80"/>
        <v>0.75514581554086613</v>
      </c>
      <c r="AB488" s="195">
        <f t="shared" si="81"/>
        <v>0.49505996458261059</v>
      </c>
      <c r="AC488" s="195">
        <f t="shared" si="74"/>
        <v>0.61773869613783539</v>
      </c>
      <c r="AD488">
        <f t="shared" si="75"/>
        <v>44</v>
      </c>
      <c r="AE488" s="195">
        <f t="shared" si="82"/>
        <v>0.10315223807498086</v>
      </c>
      <c r="AF488" s="195">
        <f t="shared" si="83"/>
        <v>3.3615327951248011E-2</v>
      </c>
      <c r="AG488" s="255" t="str">
        <f>IF(ISNUMBER(SEARCH("C",'WetLitterbags placem_collection'!AD415)),"YES","NO")</f>
        <v>NO</v>
      </c>
      <c r="AH488" s="255" t="str">
        <f>IF(ISNUMBER(SEARCH("H", 'WetLitterbags placem_collection'!AF195)),"YES","NO")</f>
        <v>NO</v>
      </c>
      <c r="AI488" s="255" t="str">
        <f>IF(ISNUMBER(SEARCH("R", 'WetLitterbags placem_collection'!XF195)),"YES","NO")</f>
        <v>NO</v>
      </c>
      <c r="AJ488" s="255" t="str">
        <f>IF(ISNUMBER(SEARCH("C", 'WetLitterbags placem_collection'!WE195)),"YES","NO")</f>
        <v>NO</v>
      </c>
      <c r="AK488" s="255" t="str">
        <f>IF(ISNUMBER(SEARCH("H", 'WetLitterbags placem_collection'!AE195)),"YES","NO")</f>
        <v>NO</v>
      </c>
      <c r="AL488" s="255" t="str">
        <f>IF(ISNUMBER(SEARCH("R", 'WetLitterbags placem_collection'!AE195)),"YES","NO")</f>
        <v>NO</v>
      </c>
    </row>
    <row r="489" spans="2:38">
      <c r="B489" t="str">
        <f>'Final data_for_R_analysis_Wetse'!A635</f>
        <v>Wet</v>
      </c>
      <c r="C489" s="263">
        <f>'Final data_for_R_analysis_Wetse'!B635</f>
        <v>194</v>
      </c>
      <c r="D489" t="s">
        <v>2438</v>
      </c>
      <c r="E489" t="s">
        <v>25</v>
      </c>
      <c r="F489" s="387">
        <v>2</v>
      </c>
      <c r="G489" s="16">
        <f>'WetLitterbags placem_collection'!E196</f>
        <v>42769</v>
      </c>
      <c r="H489" s="92" t="str">
        <f>'Final data_for_R_analysis_Wetse'!J635</f>
        <v>G713</v>
      </c>
      <c r="I489" t="str">
        <f>'Final data_for_R_analysis_Wetse'!J855</f>
        <v>R167</v>
      </c>
      <c r="J489">
        <f>IFERROR(INDEX('Green_rooibos initial weight'!$C$5:$C$1749,MATCH(H489, 'Green_rooibos initial weight'!$A$5:$A$1749,0)),"")</f>
        <v>2.1779999999999999</v>
      </c>
      <c r="K489">
        <f>IFERROR(INDEX('Green_rooibos initial weight'!$C$5:$C$1749,MATCH(I489, 'Green_rooibos initial weight'!$A$5:$A$1749,0)),"")</f>
        <v>2.177</v>
      </c>
      <c r="L489" s="195">
        <f t="shared" si="76"/>
        <v>1.9281999999999999</v>
      </c>
      <c r="M489" s="195">
        <f>AVERAGE(Ashed_controlls!$K$2:$K$11)</f>
        <v>5.5147656768714146</v>
      </c>
      <c r="N489" s="195">
        <f t="shared" si="72"/>
        <v>1.8218642882185654</v>
      </c>
      <c r="O489" s="195">
        <f t="shared" si="77"/>
        <v>1.9272</v>
      </c>
      <c r="P489" s="195">
        <f>AVERAGE(Ashed_controlls!$K$12:$K$14)</f>
        <v>2.2816647271287041</v>
      </c>
      <c r="Q489" s="195">
        <f t="shared" si="78"/>
        <v>1.8832277573787757</v>
      </c>
      <c r="R489" s="16">
        <f>IF('WetLitterbags placem_collection'!G196="N.A","",'WetLitterbags placem_collection'!G196)</f>
        <v>42813</v>
      </c>
      <c r="S489" s="195">
        <f>IF(IFERROR(INDEX('Both teabags AfterWet'!$C$3:$C$841,MATCH(H489,'Both teabags AfterWet'!$A$3:$A$841,0)),"")="N.A","",(IFERROR(INDEX('Both teabags AfterWet'!$C$3:$C$841,MATCH(H489,'Both teabags AfterWet'!$A$3:$A$841,0)),"")))</f>
        <v>0.63500000000000001</v>
      </c>
      <c r="T489" s="195">
        <f>IFERROR(INDEX('Both teabags AfterWet'!$C$3:$C$841,MATCH(I489,'Both teabags AfterWet'!$A$3:$A$841,0)),"")</f>
        <v>1.4750000000000001</v>
      </c>
      <c r="U489" s="195">
        <f t="shared" si="79"/>
        <v>0.4844</v>
      </c>
      <c r="V489" s="195">
        <f t="shared" si="79"/>
        <v>1.3244</v>
      </c>
      <c r="W489" s="195">
        <f>IFERROR(INDEX('Ashed teabags wet'!$K$2:$K$821,MATCH(H489,'Ashed teabags wet'!$A$2:$A$821,0)),"")</f>
        <v>8.6567164179103493</v>
      </c>
      <c r="X489" s="195">
        <f>IFERROR(INDEX('Ashed teabags wet'!$K$2:$K$821,MATCH(I489,'Ashed teabags wet'!$A$2:$A$821,0)),"")</f>
        <v>3.2435129740522455</v>
      </c>
      <c r="Y489" s="195">
        <f t="shared" si="73"/>
        <v>0.44246686567164228</v>
      </c>
      <c r="Z489" s="195">
        <f t="shared" si="73"/>
        <v>1.2814429141716521</v>
      </c>
      <c r="AA489" s="195">
        <f t="shared" si="80"/>
        <v>0.75713511235005859</v>
      </c>
      <c r="AB489" s="195">
        <f t="shared" si="81"/>
        <v>0.4963641116594209</v>
      </c>
      <c r="AC489" s="195">
        <f t="shared" si="74"/>
        <v>0.6804503115200814</v>
      </c>
      <c r="AD489">
        <f t="shared" si="75"/>
        <v>44</v>
      </c>
      <c r="AE489" s="195">
        <f t="shared" si="82"/>
        <v>0.10078965279090424</v>
      </c>
      <c r="AF489" s="195">
        <f t="shared" si="83"/>
        <v>2.3459296080681754E-2</v>
      </c>
      <c r="AG489" s="255" t="str">
        <f>IF(ISNUMBER(SEARCH("C",'WetLitterbags placem_collection'!AD416)),"YES","NO")</f>
        <v>NO</v>
      </c>
      <c r="AH489" s="255" t="str">
        <f>IF(ISNUMBER(SEARCH("H", 'WetLitterbags placem_collection'!AF196)),"YES","NO")</f>
        <v>NO</v>
      </c>
      <c r="AI489" s="255" t="str">
        <f>IF(ISNUMBER(SEARCH("R", 'WetLitterbags placem_collection'!XF196)),"YES","NO")</f>
        <v>NO</v>
      </c>
      <c r="AJ489" s="255" t="str">
        <f>IF(ISNUMBER(SEARCH("C", 'WetLitterbags placem_collection'!WE196)),"YES","NO")</f>
        <v>NO</v>
      </c>
      <c r="AK489" s="255" t="str">
        <f>IF(ISNUMBER(SEARCH("H", 'WetLitterbags placem_collection'!AE196)),"YES","NO")</f>
        <v>NO</v>
      </c>
      <c r="AL489" s="255" t="str">
        <f>IF(ISNUMBER(SEARCH("R", 'WetLitterbags placem_collection'!AE196)),"YES","NO")</f>
        <v>NO</v>
      </c>
    </row>
    <row r="490" spans="2:38">
      <c r="B490" t="str">
        <f>'Final data_for_R_analysis_Wetse'!A636</f>
        <v>Wet</v>
      </c>
      <c r="C490" s="263">
        <f>'Final data_for_R_analysis_Wetse'!B636</f>
        <v>195</v>
      </c>
      <c r="D490" t="s">
        <v>2430</v>
      </c>
      <c r="E490" t="s">
        <v>25</v>
      </c>
      <c r="F490" s="387">
        <v>3</v>
      </c>
      <c r="G490" s="16">
        <f>'WetLitterbags placem_collection'!E197</f>
        <v>42769</v>
      </c>
      <c r="H490" s="92" t="str">
        <f>'Final data_for_R_analysis_Wetse'!J636</f>
        <v>G525</v>
      </c>
      <c r="I490" t="str">
        <f>'Final data_for_R_analysis_Wetse'!J856</f>
        <v>R25</v>
      </c>
      <c r="J490">
        <f>IFERROR(INDEX('Green_rooibos initial weight'!$C$5:$C$1749,MATCH(H490, 'Green_rooibos initial weight'!$A$5:$A$1749,0)),"")</f>
        <v>2.0790000000000002</v>
      </c>
      <c r="K490">
        <f>IFERROR(INDEX('Green_rooibos initial weight'!$C$5:$C$1749,MATCH(I490, 'Green_rooibos initial weight'!$A$5:$A$1749,0)),"")</f>
        <v>2.16</v>
      </c>
      <c r="L490" s="195">
        <f t="shared" si="76"/>
        <v>1.8292000000000002</v>
      </c>
      <c r="M490" s="195">
        <f>AVERAGE(Ashed_controlls!$K$2:$K$11)</f>
        <v>5.5147656768714146</v>
      </c>
      <c r="N490" s="195">
        <f t="shared" si="72"/>
        <v>1.7283239062386682</v>
      </c>
      <c r="O490" s="195">
        <f t="shared" si="77"/>
        <v>1.9102000000000001</v>
      </c>
      <c r="P490" s="195">
        <f>AVERAGE(Ashed_controlls!$K$12:$K$14)</f>
        <v>2.2816647271287041</v>
      </c>
      <c r="Q490" s="195">
        <f t="shared" si="78"/>
        <v>1.8666156403823877</v>
      </c>
      <c r="R490" s="16">
        <f>IF('WetLitterbags placem_collection'!G197="N.A","",'WetLitterbags placem_collection'!G197)</f>
        <v>42814</v>
      </c>
      <c r="S490" s="195">
        <f>IF(IFERROR(INDEX('Both teabags AfterWet'!$C$3:$C$841,MATCH(H490,'Both teabags AfterWet'!$A$3:$A$841,0)),"")="N.A","",(IFERROR(INDEX('Both teabags AfterWet'!$C$3:$C$841,MATCH(H490,'Both teabags AfterWet'!$A$3:$A$841,0)),"")))</f>
        <v>0.67859999999999998</v>
      </c>
      <c r="T490" s="195">
        <f>IFERROR(INDEX('Both teabags AfterWet'!$C$3:$C$841,MATCH(I490,'Both teabags AfterWet'!$A$3:$A$841,0)),"")</f>
        <v>1.3527</v>
      </c>
      <c r="U490" s="195">
        <f t="shared" si="79"/>
        <v>0.52800000000000002</v>
      </c>
      <c r="V490" s="195">
        <f t="shared" si="79"/>
        <v>1.2020999999999999</v>
      </c>
      <c r="W490" s="195">
        <f>IFERROR(INDEX('Ashed teabags wet'!$K$2:$K$821,MATCH(H490,'Ashed teabags wet'!$A$2:$A$821,0)),"")</f>
        <v>12.793603198399861</v>
      </c>
      <c r="X490" s="195">
        <f>IFERROR(INDEX('Ashed teabags wet'!$K$2:$K$821,MATCH(I490,'Ashed teabags wet'!$A$2:$A$821,0)),"")</f>
        <v>4.592085979482369</v>
      </c>
      <c r="Y490" s="195">
        <f t="shared" si="73"/>
        <v>0.46044977511244878</v>
      </c>
      <c r="Z490" s="195">
        <f t="shared" si="73"/>
        <v>1.1468985344406424</v>
      </c>
      <c r="AA490" s="195">
        <f t="shared" si="80"/>
        <v>0.73358594795201304</v>
      </c>
      <c r="AB490" s="195">
        <f t="shared" si="81"/>
        <v>0.48092570459561906</v>
      </c>
      <c r="AC490" s="195">
        <f t="shared" si="74"/>
        <v>0.61442672483216376</v>
      </c>
      <c r="AD490">
        <f t="shared" si="75"/>
        <v>45</v>
      </c>
      <c r="AE490" s="195">
        <f t="shared" si="82"/>
        <v>0.12875778152967565</v>
      </c>
      <c r="AF490" s="195">
        <f t="shared" si="83"/>
        <v>3.5958510824437753E-2</v>
      </c>
      <c r="AG490" s="255" t="str">
        <f>IF(ISNUMBER(SEARCH("C",'WetLitterbags placem_collection'!AD417)),"YES","NO")</f>
        <v>NO</v>
      </c>
      <c r="AH490" s="255" t="str">
        <f>IF(ISNUMBER(SEARCH("H", 'WetLitterbags placem_collection'!AF197)),"YES","NO")</f>
        <v>NO</v>
      </c>
      <c r="AI490" s="255" t="str">
        <f>IF(ISNUMBER(SEARCH("R", 'WetLitterbags placem_collection'!XF197)),"YES","NO")</f>
        <v>NO</v>
      </c>
      <c r="AJ490" s="255" t="str">
        <f>IF(ISNUMBER(SEARCH("C", 'WetLitterbags placem_collection'!WE197)),"YES","NO")</f>
        <v>NO</v>
      </c>
      <c r="AK490" s="255" t="str">
        <f>IF(ISNUMBER(SEARCH("H", 'WetLitterbags placem_collection'!AE197)),"YES","NO")</f>
        <v>NO</v>
      </c>
      <c r="AL490" s="255" t="str">
        <f>IF(ISNUMBER(SEARCH("R", 'WetLitterbags placem_collection'!AE197)),"YES","NO")</f>
        <v>NO</v>
      </c>
    </row>
    <row r="491" spans="2:38">
      <c r="B491" t="str">
        <f>'Final data_for_R_analysis_Wetse'!A637</f>
        <v>Wet</v>
      </c>
      <c r="C491" s="263">
        <f>'Final data_for_R_analysis_Wetse'!B637</f>
        <v>196</v>
      </c>
      <c r="D491" t="s">
        <v>2421</v>
      </c>
      <c r="E491" t="s">
        <v>25</v>
      </c>
      <c r="F491" s="387">
        <v>4</v>
      </c>
      <c r="G491" s="16">
        <f>'WetLitterbags placem_collection'!E198</f>
        <v>42769</v>
      </c>
      <c r="H491" s="92" t="str">
        <f>'Final data_for_R_analysis_Wetse'!J637</f>
        <v>G886</v>
      </c>
      <c r="I491" t="str">
        <f>'Final data_for_R_analysis_Wetse'!J857</f>
        <v>R362</v>
      </c>
      <c r="J491">
        <f>IFERROR(INDEX('Green_rooibos initial weight'!$C$5:$C$1749,MATCH(H491, 'Green_rooibos initial weight'!$A$5:$A$1749,0)),"")</f>
        <v>1.9590000000000001</v>
      </c>
      <c r="K491">
        <f>IFERROR(INDEX('Green_rooibos initial weight'!$C$5:$C$1749,MATCH(I491, 'Green_rooibos initial weight'!$A$5:$A$1749,0)),"")</f>
        <v>2.246</v>
      </c>
      <c r="L491" s="195">
        <f t="shared" si="76"/>
        <v>1.7092000000000001</v>
      </c>
      <c r="M491" s="195">
        <f>AVERAGE(Ashed_controlls!$K$2:$K$11)</f>
        <v>5.5147656768714146</v>
      </c>
      <c r="N491" s="195">
        <f t="shared" si="72"/>
        <v>1.6149416250509139</v>
      </c>
      <c r="O491" s="195">
        <f t="shared" si="77"/>
        <v>1.9962</v>
      </c>
      <c r="P491" s="195">
        <f>AVERAGE(Ashed_controlls!$K$12:$K$14)</f>
        <v>2.2816647271287041</v>
      </c>
      <c r="Q491" s="195">
        <f t="shared" si="78"/>
        <v>1.9506534087170568</v>
      </c>
      <c r="R491" s="16">
        <f>IF('WetLitterbags placem_collection'!G198="N.A","",'WetLitterbags placem_collection'!G198)</f>
        <v>42814</v>
      </c>
      <c r="S491" s="195">
        <f>IF(IFERROR(INDEX('Both teabags AfterWet'!$C$3:$C$841,MATCH(H491,'Both teabags AfterWet'!$A$3:$A$841,0)),"")="N.A","",(IFERROR(INDEX('Both teabags AfterWet'!$C$3:$C$841,MATCH(H491,'Both teabags AfterWet'!$A$3:$A$841,0)),"")))</f>
        <v>0.58389999999999997</v>
      </c>
      <c r="T491" s="195">
        <f>IFERROR(INDEX('Both teabags AfterWet'!$C$3:$C$841,MATCH(I491,'Both teabags AfterWet'!$A$3:$A$841,0)),"")</f>
        <v>1.5253000000000001</v>
      </c>
      <c r="U491" s="195">
        <f t="shared" si="79"/>
        <v>0.43329999999999996</v>
      </c>
      <c r="V491" s="195">
        <f t="shared" si="79"/>
        <v>1.3747</v>
      </c>
      <c r="W491" s="195">
        <f>IFERROR(INDEX('Ashed teabags wet'!$K$2:$K$821,MATCH(H491,'Ashed teabags wet'!$A$2:$A$821,0)),"")</f>
        <v>11.60846040334461</v>
      </c>
      <c r="X491" s="195">
        <f>IFERROR(INDEX('Ashed teabags wet'!$K$2:$K$821,MATCH(I491,'Ashed teabags wet'!$A$2:$A$821,0)),"")</f>
        <v>3.690944881888675</v>
      </c>
      <c r="Y491" s="195">
        <f t="shared" si="73"/>
        <v>0.38300054107230774</v>
      </c>
      <c r="Z491" s="195">
        <f t="shared" si="73"/>
        <v>1.3239605807086765</v>
      </c>
      <c r="AA491" s="195">
        <f t="shared" si="80"/>
        <v>0.76283938990040401</v>
      </c>
      <c r="AB491" s="195">
        <f t="shared" si="81"/>
        <v>0.5001037330463457</v>
      </c>
      <c r="AC491" s="195">
        <f t="shared" si="74"/>
        <v>0.67872671525970585</v>
      </c>
      <c r="AD491">
        <f t="shared" si="75"/>
        <v>45</v>
      </c>
      <c r="AE491" s="195">
        <f t="shared" si="82"/>
        <v>9.4014976365315861E-2</v>
      </c>
      <c r="AF491" s="195">
        <f t="shared" si="83"/>
        <v>2.2852831160356579E-2</v>
      </c>
      <c r="AG491" s="255" t="str">
        <f>IF(ISNUMBER(SEARCH("C",'WetLitterbags placem_collection'!AD418)),"YES","NO")</f>
        <v>NO</v>
      </c>
      <c r="AH491" s="255" t="str">
        <f>IF(ISNUMBER(SEARCH("H", 'WetLitterbags placem_collection'!AF198)),"YES","NO")</f>
        <v>NO</v>
      </c>
      <c r="AI491" s="255" t="str">
        <f>IF(ISNUMBER(SEARCH("R", 'WetLitterbags placem_collection'!XF198)),"YES","NO")</f>
        <v>NO</v>
      </c>
      <c r="AJ491" s="255" t="str">
        <f>IF(ISNUMBER(SEARCH("C", 'WetLitterbags placem_collection'!WE198)),"YES","NO")</f>
        <v>NO</v>
      </c>
      <c r="AK491" s="255" t="str">
        <f>IF(ISNUMBER(SEARCH("H", 'WetLitterbags placem_collection'!AE198)),"YES","NO")</f>
        <v>NO</v>
      </c>
      <c r="AL491" s="255" t="str">
        <f>IF(ISNUMBER(SEARCH("R", 'WetLitterbags placem_collection'!AE198)),"YES","NO")</f>
        <v>NO</v>
      </c>
    </row>
    <row r="492" spans="2:38">
      <c r="B492" t="str">
        <f>'Final data_for_R_analysis_Wetse'!A638</f>
        <v>Wet</v>
      </c>
      <c r="C492" s="263">
        <f>'Final data_for_R_analysis_Wetse'!B638</f>
        <v>197</v>
      </c>
      <c r="D492" t="s">
        <v>2431</v>
      </c>
      <c r="E492" t="s">
        <v>25</v>
      </c>
      <c r="F492" s="387">
        <v>1</v>
      </c>
      <c r="G492" s="16">
        <f>'WetLitterbags placem_collection'!E199</f>
        <v>42769</v>
      </c>
      <c r="H492" s="92" t="str">
        <f>'Final data_for_R_analysis_Wetse'!J638</f>
        <v>G388</v>
      </c>
      <c r="I492" t="str">
        <f>'Final data_for_R_analysis_Wetse'!J858</f>
        <v>R370</v>
      </c>
      <c r="J492">
        <f>IFERROR(INDEX('Green_rooibos initial weight'!$C$5:$C$1749,MATCH(H492, 'Green_rooibos initial weight'!$A$5:$A$1749,0)),"")</f>
        <v>2.024</v>
      </c>
      <c r="K492">
        <f>IFERROR(INDEX('Green_rooibos initial weight'!$C$5:$C$1749,MATCH(I492, 'Green_rooibos initial weight'!$A$5:$A$1749,0)),"")</f>
        <v>2.2290000000000001</v>
      </c>
      <c r="L492" s="195">
        <f t="shared" si="76"/>
        <v>1.7742</v>
      </c>
      <c r="M492" s="195">
        <f>AVERAGE(Ashed_controlls!$K$2:$K$11)</f>
        <v>5.5147656768714146</v>
      </c>
      <c r="N492" s="195">
        <f t="shared" si="72"/>
        <v>1.6763570273609474</v>
      </c>
      <c r="O492" s="195">
        <f t="shared" si="77"/>
        <v>1.9792000000000001</v>
      </c>
      <c r="P492" s="195">
        <f>AVERAGE(Ashed_controlls!$K$12:$K$14)</f>
        <v>2.2816647271287041</v>
      </c>
      <c r="Q492" s="195">
        <f t="shared" si="78"/>
        <v>1.9340412917206689</v>
      </c>
      <c r="R492" s="16">
        <f>IF('WetLitterbags placem_collection'!G199="N.A","",'WetLitterbags placem_collection'!G199)</f>
        <v>42814</v>
      </c>
      <c r="S492" s="195">
        <f>IF(IFERROR(INDEX('Both teabags AfterWet'!$C$3:$C$841,MATCH(H492,'Both teabags AfterWet'!$A$3:$A$841,0)),"")="N.A","",(IFERROR(INDEX('Both teabags AfterWet'!$C$3:$C$841,MATCH(H492,'Both teabags AfterWet'!$A$3:$A$841,0)),"")))</f>
        <v>0.7046</v>
      </c>
      <c r="T492" s="195">
        <f>IFERROR(INDEX('Both teabags AfterWet'!$C$3:$C$841,MATCH(I492,'Both teabags AfterWet'!$A$3:$A$841,0)),"")</f>
        <v>1.488</v>
      </c>
      <c r="U492" s="195">
        <f t="shared" si="79"/>
        <v>0.55400000000000005</v>
      </c>
      <c r="V492" s="195">
        <f t="shared" si="79"/>
        <v>1.3373999999999999</v>
      </c>
      <c r="W492" s="195">
        <f>IFERROR(INDEX('Ashed teabags wet'!$K$2:$K$821,MATCH(H492,'Ashed teabags wet'!$A$2:$A$821,0)),"")</f>
        <v>10.565110565110372</v>
      </c>
      <c r="X492" s="195">
        <f>IFERROR(INDEX('Ashed teabags wet'!$K$2:$K$821,MATCH(I492,'Ashed teabags wet'!$A$2:$A$821,0)),"")</f>
        <v>5.0682261208581973</v>
      </c>
      <c r="Y492" s="195">
        <f t="shared" si="73"/>
        <v>0.49546928746928859</v>
      </c>
      <c r="Z492" s="195">
        <f t="shared" si="73"/>
        <v>1.2696175438596424</v>
      </c>
      <c r="AA492" s="195">
        <f t="shared" si="80"/>
        <v>0.70443689537347831</v>
      </c>
      <c r="AB492" s="195">
        <f t="shared" si="81"/>
        <v>0.46181611193130651</v>
      </c>
      <c r="AC492" s="195">
        <f t="shared" si="74"/>
        <v>0.65645834413912385</v>
      </c>
      <c r="AD492">
        <f t="shared" si="75"/>
        <v>45</v>
      </c>
      <c r="AE492" s="195">
        <f t="shared" si="82"/>
        <v>0.16337660882009697</v>
      </c>
      <c r="AF492" s="195">
        <f t="shared" si="83"/>
        <v>3.0270199179420448E-2</v>
      </c>
      <c r="AG492" s="255" t="str">
        <f>IF(ISNUMBER(SEARCH("C",'WetLitterbags placem_collection'!AD419)),"YES","NO")</f>
        <v>NO</v>
      </c>
      <c r="AH492" s="255" t="str">
        <f>IF(ISNUMBER(SEARCH("H", 'WetLitterbags placem_collection'!AF199)),"YES","NO")</f>
        <v>NO</v>
      </c>
      <c r="AI492" s="255" t="str">
        <f>IF(ISNUMBER(SEARCH("R", 'WetLitterbags placem_collection'!XF199)),"YES","NO")</f>
        <v>NO</v>
      </c>
      <c r="AJ492" s="255" t="str">
        <f>IF(ISNUMBER(SEARCH("C", 'WetLitterbags placem_collection'!WE199)),"YES","NO")</f>
        <v>NO</v>
      </c>
      <c r="AK492" s="255" t="str">
        <f>IF(ISNUMBER(SEARCH("H", 'WetLitterbags placem_collection'!AE199)),"YES","NO")</f>
        <v>NO</v>
      </c>
      <c r="AL492" s="255" t="str">
        <f>IF(ISNUMBER(SEARCH("R", 'WetLitterbags placem_collection'!AE199)),"YES","NO")</f>
        <v>NO</v>
      </c>
    </row>
    <row r="493" spans="2:38">
      <c r="B493" t="str">
        <f>'Final data_for_R_analysis_Wetse'!A639</f>
        <v>Wet</v>
      </c>
      <c r="C493" s="263">
        <f>'Final data_for_R_analysis_Wetse'!B639</f>
        <v>198</v>
      </c>
      <c r="D493" t="s">
        <v>2439</v>
      </c>
      <c r="E493" t="s">
        <v>25</v>
      </c>
      <c r="F493" s="387">
        <v>2</v>
      </c>
      <c r="G493" s="16">
        <f>'WetLitterbags placem_collection'!E200</f>
        <v>42769</v>
      </c>
      <c r="H493" s="92" t="str">
        <f>'Final data_for_R_analysis_Wetse'!J639</f>
        <v>G462</v>
      </c>
      <c r="I493" t="str">
        <f>'Final data_for_R_analysis_Wetse'!J859</f>
        <v>R168</v>
      </c>
      <c r="J493">
        <f>IFERROR(INDEX('Green_rooibos initial weight'!$C$5:$C$1749,MATCH(H493, 'Green_rooibos initial weight'!$A$5:$A$1749,0)),"")</f>
        <v>2.169</v>
      </c>
      <c r="K493">
        <f>IFERROR(INDEX('Green_rooibos initial weight'!$C$5:$C$1749,MATCH(I493, 'Green_rooibos initial weight'!$A$5:$A$1749,0)),"")</f>
        <v>2.1459999999999999</v>
      </c>
      <c r="L493" s="195">
        <f t="shared" si="76"/>
        <v>1.9192</v>
      </c>
      <c r="M493" s="195">
        <f>AVERAGE(Ashed_controlls!$K$2:$K$11)</f>
        <v>5.5147656768714146</v>
      </c>
      <c r="N493" s="195">
        <f t="shared" si="72"/>
        <v>1.8133606171294838</v>
      </c>
      <c r="O493" s="195">
        <f t="shared" si="77"/>
        <v>1.8961999999999999</v>
      </c>
      <c r="P493" s="195">
        <f>AVERAGE(Ashed_controlls!$K$12:$K$14)</f>
        <v>2.2816647271287041</v>
      </c>
      <c r="Q493" s="195">
        <f t="shared" si="78"/>
        <v>1.8529350734441854</v>
      </c>
      <c r="R493" s="16">
        <f>IF('WetLitterbags placem_collection'!G200="N.A","",'WetLitterbags placem_collection'!G200)</f>
        <v>42813</v>
      </c>
      <c r="S493" s="195">
        <f>IF(IFERROR(INDEX('Both teabags AfterWet'!$C$3:$C$841,MATCH(H493,'Both teabags AfterWet'!$A$3:$A$841,0)),"")="N.A","",(IFERROR(INDEX('Both teabags AfterWet'!$C$3:$C$841,MATCH(H493,'Both teabags AfterWet'!$A$3:$A$841,0)),"")))</f>
        <v>0.71250000000000002</v>
      </c>
      <c r="T493" s="195">
        <f>IFERROR(INDEX('Both teabags AfterWet'!$C$3:$C$841,MATCH(I493,'Both teabags AfterWet'!$A$3:$A$841,0)),"")</f>
        <v>1.5734999999999999</v>
      </c>
      <c r="U493" s="195">
        <f t="shared" si="79"/>
        <v>0.56190000000000007</v>
      </c>
      <c r="V493" s="195">
        <f t="shared" si="79"/>
        <v>1.4228999999999998</v>
      </c>
      <c r="W493" s="195">
        <f>IFERROR(INDEX('Ashed teabags wet'!$K$2:$K$821,MATCH(H493,'Ashed teabags wet'!$A$2:$A$821,0)),"")</f>
        <v>8.7537091988131088</v>
      </c>
      <c r="X493" s="195">
        <f>IFERROR(INDEX('Ashed teabags wet'!$K$2:$K$821,MATCH(I493,'Ashed teabags wet'!$A$2:$A$821,0)),"")</f>
        <v>3.118908382066123</v>
      </c>
      <c r="Y493" s="195">
        <f t="shared" si="73"/>
        <v>0.5127129080118692</v>
      </c>
      <c r="Z493" s="195">
        <f t="shared" si="73"/>
        <v>1.378521052631581</v>
      </c>
      <c r="AA493" s="195">
        <f t="shared" si="80"/>
        <v>0.71725816521620267</v>
      </c>
      <c r="AB493" s="195">
        <f t="shared" si="81"/>
        <v>0.47022150498734433</v>
      </c>
      <c r="AC493" s="195">
        <f t="shared" si="74"/>
        <v>0.74396619308912071</v>
      </c>
      <c r="AD493">
        <f t="shared" si="75"/>
        <v>44</v>
      </c>
      <c r="AE493" s="195">
        <f t="shared" si="82"/>
        <v>0.14814944748669512</v>
      </c>
      <c r="AF493" s="195">
        <f t="shared" si="83"/>
        <v>1.7871616965345217E-2</v>
      </c>
      <c r="AG493" s="255" t="str">
        <f>IF(ISNUMBER(SEARCH("C",'WetLitterbags placem_collection'!AD420)),"YES","NO")</f>
        <v>NO</v>
      </c>
      <c r="AH493" s="255" t="str">
        <f>IF(ISNUMBER(SEARCH("H", 'WetLitterbags placem_collection'!AF200)),"YES","NO")</f>
        <v>NO</v>
      </c>
      <c r="AI493" s="255" t="str">
        <f>IF(ISNUMBER(SEARCH("R", 'WetLitterbags placem_collection'!XF200)),"YES","NO")</f>
        <v>NO</v>
      </c>
      <c r="AJ493" s="255" t="str">
        <f>IF(ISNUMBER(SEARCH("C", 'WetLitterbags placem_collection'!WE200)),"YES","NO")</f>
        <v>NO</v>
      </c>
      <c r="AK493" s="255" t="str">
        <f>IF(ISNUMBER(SEARCH("H", 'WetLitterbags placem_collection'!AE200)),"YES","NO")</f>
        <v>NO</v>
      </c>
      <c r="AL493" s="255" t="str">
        <f>IF(ISNUMBER(SEARCH("R", 'WetLitterbags placem_collection'!AE200)),"YES","NO")</f>
        <v>NO</v>
      </c>
    </row>
    <row r="494" spans="2:38">
      <c r="B494" t="str">
        <f>'Final data_for_R_analysis_Wetse'!A640</f>
        <v>Wet</v>
      </c>
      <c r="C494" s="263">
        <f>'Final data_for_R_analysis_Wetse'!B640</f>
        <v>199</v>
      </c>
      <c r="D494" t="s">
        <v>2423</v>
      </c>
      <c r="E494" t="s">
        <v>25</v>
      </c>
      <c r="F494" s="387">
        <v>3</v>
      </c>
      <c r="G494" s="16">
        <f>'WetLitterbags placem_collection'!E201</f>
        <v>42769</v>
      </c>
      <c r="H494" s="92" t="str">
        <f>'Final data_for_R_analysis_Wetse'!J640</f>
        <v>G712</v>
      </c>
      <c r="I494" t="str">
        <f>'Final data_for_R_analysis_Wetse'!J860</f>
        <v>R369</v>
      </c>
      <c r="J494">
        <f>IFERROR(INDEX('Green_rooibos initial weight'!$C$5:$C$1749,MATCH(H494, 'Green_rooibos initial weight'!$A$5:$A$1749,0)),"")</f>
        <v>2.0630000000000002</v>
      </c>
      <c r="K494">
        <f>IFERROR(INDEX('Green_rooibos initial weight'!$C$5:$C$1749,MATCH(I494, 'Green_rooibos initial weight'!$A$5:$A$1749,0)),"")</f>
        <v>2.2400000000000002</v>
      </c>
      <c r="L494" s="195">
        <f t="shared" si="76"/>
        <v>1.8132000000000001</v>
      </c>
      <c r="M494" s="195">
        <f>AVERAGE(Ashed_controlls!$K$2:$K$11)</f>
        <v>5.5147656768714146</v>
      </c>
      <c r="N494" s="195">
        <f t="shared" si="72"/>
        <v>1.7132062687469676</v>
      </c>
      <c r="O494" s="195">
        <f t="shared" si="77"/>
        <v>1.9902000000000002</v>
      </c>
      <c r="P494" s="195">
        <f>AVERAGE(Ashed_controlls!$K$12:$K$14)</f>
        <v>2.2816647271287041</v>
      </c>
      <c r="Q494" s="195">
        <f t="shared" si="78"/>
        <v>1.9447903086006848</v>
      </c>
      <c r="R494" s="16">
        <f>IF('WetLitterbags placem_collection'!G201="N.A","",'WetLitterbags placem_collection'!G201)</f>
        <v>42814</v>
      </c>
      <c r="S494" s="195">
        <f>IF(IFERROR(INDEX('Both teabags AfterWet'!$C$3:$C$841,MATCH(H494,'Both teabags AfterWet'!$A$3:$A$841,0)),"")="N.A","",(IFERROR(INDEX('Both teabags AfterWet'!$C$3:$C$841,MATCH(H494,'Both teabags AfterWet'!$A$3:$A$841,0)),"")))</f>
        <v>0.65500000000000003</v>
      </c>
      <c r="T494" s="195" t="str">
        <f>IFERROR(INDEX('Both teabags AfterWet'!$C$3:$C$841,MATCH(I494,'Both teabags AfterWet'!$A$3:$A$841,0)),"")</f>
        <v/>
      </c>
      <c r="U494" s="195">
        <f t="shared" si="79"/>
        <v>0.50439999999999996</v>
      </c>
      <c r="V494" s="195" t="str">
        <f t="shared" si="79"/>
        <v/>
      </c>
      <c r="W494" s="195">
        <f>IFERROR(INDEX('Ashed teabags wet'!$K$2:$K$821,MATCH(H494,'Ashed teabags wet'!$A$2:$A$821,0)),"")</f>
        <v>8.8717454194792413</v>
      </c>
      <c r="X494" s="195" t="str">
        <f>IFERROR(INDEX('Ashed teabags wet'!$K$2:$K$821,MATCH(I494,'Ashed teabags wet'!$A$2:$A$821,0)),"")</f>
        <v/>
      </c>
      <c r="Y494" s="195">
        <f t="shared" si="73"/>
        <v>0.45965091610414666</v>
      </c>
      <c r="Z494" s="195" t="str">
        <f t="shared" si="73"/>
        <v/>
      </c>
      <c r="AA494" s="195">
        <f t="shared" si="80"/>
        <v>0.73170135757188559</v>
      </c>
      <c r="AB494" s="195">
        <f t="shared" si="81"/>
        <v>0.47969020116351652</v>
      </c>
      <c r="AC494" s="195" t="str">
        <f t="shared" si="74"/>
        <v/>
      </c>
      <c r="AD494">
        <f t="shared" si="75"/>
        <v>45</v>
      </c>
      <c r="AE494" s="195">
        <f t="shared" si="82"/>
        <v>0.13099601238493397</v>
      </c>
      <c r="AF494" s="195" t="str">
        <f t="shared" si="83"/>
        <v/>
      </c>
      <c r="AG494" s="255" t="str">
        <f>IF(ISNUMBER(SEARCH("C",'WetLitterbags placem_collection'!AD421)),"YES","NO")</f>
        <v>NO</v>
      </c>
      <c r="AH494" s="255" t="str">
        <f>IF(ISNUMBER(SEARCH("H", 'WetLitterbags placem_collection'!AF201)),"YES","NO")</f>
        <v>NO</v>
      </c>
      <c r="AI494" s="255" t="str">
        <f>IF(ISNUMBER(SEARCH("R", 'WetLitterbags placem_collection'!XF201)),"YES","NO")</f>
        <v>NO</v>
      </c>
      <c r="AJ494" s="255" t="str">
        <f>IF(ISNUMBER(SEARCH("C", 'WetLitterbags placem_collection'!WE201)),"YES","NO")</f>
        <v>NO</v>
      </c>
      <c r="AK494" s="255" t="str">
        <f>IF(ISNUMBER(SEARCH("H", 'WetLitterbags placem_collection'!AE201)),"YES","NO")</f>
        <v>NO</v>
      </c>
      <c r="AL494" s="255" t="str">
        <f>IF(ISNUMBER(SEARCH("R", 'WetLitterbags placem_collection'!AE201)),"YES","NO")</f>
        <v>NO</v>
      </c>
    </row>
    <row r="495" spans="2:38">
      <c r="B495" t="str">
        <f>'Final data_for_R_analysis_Wetse'!A641</f>
        <v>Wet</v>
      </c>
      <c r="C495" s="263">
        <f>'Final data_for_R_analysis_Wetse'!B641</f>
        <v>200</v>
      </c>
      <c r="D495" t="s">
        <v>2446</v>
      </c>
      <c r="E495" t="s">
        <v>25</v>
      </c>
      <c r="F495" s="387">
        <v>4</v>
      </c>
      <c r="G495" s="16">
        <f>'WetLitterbags placem_collection'!E202</f>
        <v>42769</v>
      </c>
      <c r="H495" s="92" t="str">
        <f>'Final data_for_R_analysis_Wetse'!J641</f>
        <v>G709</v>
      </c>
      <c r="I495" t="str">
        <f>'Final data_for_R_analysis_Wetse'!J861</f>
        <v>R359</v>
      </c>
      <c r="J495">
        <f>IFERROR(INDEX('Green_rooibos initial weight'!$C$5:$C$1749,MATCH(H495, 'Green_rooibos initial weight'!$A$5:$A$1749,0)),"")</f>
        <v>1.9670000000000001</v>
      </c>
      <c r="K495">
        <f>IFERROR(INDEX('Green_rooibos initial weight'!$C$5:$C$1749,MATCH(I495, 'Green_rooibos initial weight'!$A$5:$A$1749,0)),"")</f>
        <v>2.198</v>
      </c>
      <c r="L495" s="195">
        <f t="shared" si="76"/>
        <v>1.7172000000000001</v>
      </c>
      <c r="M495" s="195">
        <f>AVERAGE(Ashed_controlls!$K$2:$K$11)</f>
        <v>5.5147656768714146</v>
      </c>
      <c r="N495" s="195">
        <f t="shared" si="72"/>
        <v>1.6225004437967641</v>
      </c>
      <c r="O495" s="195">
        <f t="shared" si="77"/>
        <v>1.9481999999999999</v>
      </c>
      <c r="P495" s="195">
        <f>AVERAGE(Ashed_controlls!$K$12:$K$14)</f>
        <v>2.2816647271287041</v>
      </c>
      <c r="Q495" s="195">
        <f t="shared" si="78"/>
        <v>1.9037486077860786</v>
      </c>
      <c r="R495" s="16">
        <f>IF('WetLitterbags placem_collection'!G202="N.A","",'WetLitterbags placem_collection'!G202)</f>
        <v>42813</v>
      </c>
      <c r="S495" s="195">
        <f>IF(IFERROR(INDEX('Both teabags AfterWet'!$C$3:$C$841,MATCH(H495,'Both teabags AfterWet'!$A$3:$A$841,0)),"")="N.A","",(IFERROR(INDEX('Both teabags AfterWet'!$C$3:$C$841,MATCH(H495,'Both teabags AfterWet'!$A$3:$A$841,0)),"")))</f>
        <v>0.56469999999999998</v>
      </c>
      <c r="T495" s="195">
        <f>IFERROR(INDEX('Both teabags AfterWet'!$C$3:$C$841,MATCH(I495,'Both teabags AfterWet'!$A$3:$A$841,0)),"")</f>
        <v>1.4882</v>
      </c>
      <c r="U495" s="195">
        <f t="shared" si="79"/>
        <v>0.41409999999999997</v>
      </c>
      <c r="V495" s="195">
        <f t="shared" si="79"/>
        <v>1.3375999999999999</v>
      </c>
      <c r="W495" s="195">
        <f>IFERROR(INDEX('Ashed teabags wet'!$K$2:$K$821,MATCH(H495,'Ashed teabags wet'!$A$2:$A$821,0)),"")</f>
        <v>9.8409542743538694</v>
      </c>
      <c r="X495" s="195">
        <f>IFERROR(INDEX('Ashed teabags wet'!$K$2:$K$821,MATCH(I495,'Ashed teabags wet'!$A$2:$A$821,0)),"")</f>
        <v>4.0291262135925576</v>
      </c>
      <c r="Y495" s="195">
        <f t="shared" si="73"/>
        <v>0.37334860834990058</v>
      </c>
      <c r="Z495" s="195">
        <f t="shared" si="73"/>
        <v>1.2837064077669857</v>
      </c>
      <c r="AA495" s="195">
        <f t="shared" si="80"/>
        <v>0.76989306241652611</v>
      </c>
      <c r="AB495" s="195">
        <f t="shared" si="81"/>
        <v>0.50472799341320951</v>
      </c>
      <c r="AC495" s="195">
        <f t="shared" si="74"/>
        <v>0.67430458124397163</v>
      </c>
      <c r="AD495">
        <f t="shared" si="75"/>
        <v>44</v>
      </c>
      <c r="AE495" s="195">
        <f t="shared" si="82"/>
        <v>8.5637693092011746E-2</v>
      </c>
      <c r="AF495" s="195">
        <f t="shared" si="83"/>
        <v>2.3555724696591972E-2</v>
      </c>
      <c r="AG495" s="255" t="str">
        <f>IF(ISNUMBER(SEARCH("C",'WetLitterbags placem_collection'!AD422)),"YES","NO")</f>
        <v>NO</v>
      </c>
      <c r="AH495" s="255" t="str">
        <f>IF(ISNUMBER(SEARCH("H", 'WetLitterbags placem_collection'!AF202)),"YES","NO")</f>
        <v>NO</v>
      </c>
      <c r="AI495" s="255" t="str">
        <f>IF(ISNUMBER(SEARCH("R", 'WetLitterbags placem_collection'!XF202)),"YES","NO")</f>
        <v>NO</v>
      </c>
      <c r="AJ495" s="255" t="str">
        <f>IF(ISNUMBER(SEARCH("C", 'WetLitterbags placem_collection'!WE202)),"YES","NO")</f>
        <v>NO</v>
      </c>
      <c r="AK495" s="255" t="str">
        <f>IF(ISNUMBER(SEARCH("H", 'WetLitterbags placem_collection'!AE202)),"YES","NO")</f>
        <v>NO</v>
      </c>
      <c r="AL495" s="255" t="str">
        <f>IF(ISNUMBER(SEARCH("R", 'WetLitterbags placem_collection'!AE202)),"YES","NO")</f>
        <v>NO</v>
      </c>
    </row>
    <row r="496" spans="2:38">
      <c r="B496" t="str">
        <f>'Final data_for_R_analysis_Wetse'!A642</f>
        <v>Wet</v>
      </c>
      <c r="C496" s="263">
        <f>'Final data_for_R_analysis_Wetse'!B642</f>
        <v>201</v>
      </c>
      <c r="D496" t="s">
        <v>2447</v>
      </c>
      <c r="E496" t="s">
        <v>25</v>
      </c>
      <c r="F496" s="387">
        <v>1</v>
      </c>
      <c r="G496" s="16">
        <f>'WetLitterbags placem_collection'!E203</f>
        <v>42769</v>
      </c>
      <c r="H496" s="92" t="str">
        <f>'Final data_for_R_analysis_Wetse'!J642</f>
        <v>G707</v>
      </c>
      <c r="I496" t="str">
        <f>'Final data_for_R_analysis_Wetse'!J862</f>
        <v>R395</v>
      </c>
      <c r="J496">
        <f>IFERROR(INDEX('Green_rooibos initial weight'!$C$5:$C$1749,MATCH(H496, 'Green_rooibos initial weight'!$A$5:$A$1749,0)),"")</f>
        <v>2.008</v>
      </c>
      <c r="K496">
        <f>IFERROR(INDEX('Green_rooibos initial weight'!$C$5:$C$1749,MATCH(I496, 'Green_rooibos initial weight'!$A$5:$A$1749,0)),"")</f>
        <v>2.1280000000000001</v>
      </c>
      <c r="L496" s="195">
        <f t="shared" si="76"/>
        <v>1.7582</v>
      </c>
      <c r="M496" s="195">
        <f>AVERAGE(Ashed_controlls!$K$2:$K$11)</f>
        <v>5.5147656768714146</v>
      </c>
      <c r="N496" s="195">
        <f t="shared" si="72"/>
        <v>1.6612393898692468</v>
      </c>
      <c r="O496" s="195">
        <f t="shared" si="77"/>
        <v>1.8782000000000001</v>
      </c>
      <c r="P496" s="195">
        <f>AVERAGE(Ashed_controlls!$K$12:$K$14)</f>
        <v>2.2816647271287041</v>
      </c>
      <c r="Q496" s="195">
        <f t="shared" si="78"/>
        <v>1.8353457730950689</v>
      </c>
      <c r="R496" s="16">
        <f>IF('WetLitterbags placem_collection'!G203="N.A","",'WetLitterbags placem_collection'!G203)</f>
        <v>42813</v>
      </c>
      <c r="S496" s="195">
        <f>IF(IFERROR(INDEX('Both teabags AfterWet'!$C$3:$C$841,MATCH(H496,'Both teabags AfterWet'!$A$3:$A$841,0)),"")="N.A","",(IFERROR(INDEX('Both teabags AfterWet'!$C$3:$C$841,MATCH(H496,'Both teabags AfterWet'!$A$3:$A$841,0)),"")))</f>
        <v>0.63959999999999995</v>
      </c>
      <c r="T496" s="195">
        <f>IFERROR(INDEX('Both teabags AfterWet'!$C$3:$C$841,MATCH(I496,'Both teabags AfterWet'!$A$3:$A$841,0)),"")</f>
        <v>1.5786</v>
      </c>
      <c r="U496" s="195">
        <f t="shared" si="79"/>
        <v>0.48899999999999993</v>
      </c>
      <c r="V496" s="195">
        <f t="shared" si="79"/>
        <v>1.4279999999999999</v>
      </c>
      <c r="W496" s="195">
        <f>IFERROR(INDEX('Ashed teabags wet'!$K$2:$K$821,MATCH(H496,'Ashed teabags wet'!$A$2:$A$821,0)),"")</f>
        <v>12.14457831325316</v>
      </c>
      <c r="X496" s="195">
        <f>IFERROR(INDEX('Ashed teabags wet'!$K$2:$K$821,MATCH(I496,'Ashed teabags wet'!$A$2:$A$821,0)),"")</f>
        <v>3.0123456790120686</v>
      </c>
      <c r="Y496" s="195">
        <f t="shared" si="73"/>
        <v>0.42961301204819197</v>
      </c>
      <c r="Z496" s="195">
        <f t="shared" si="73"/>
        <v>1.3849837037037076</v>
      </c>
      <c r="AA496" s="195">
        <f t="shared" si="80"/>
        <v>0.74139006414842712</v>
      </c>
      <c r="AB496" s="195">
        <f t="shared" si="81"/>
        <v>0.48604194229208053</v>
      </c>
      <c r="AC496" s="195">
        <f t="shared" si="74"/>
        <v>0.75461731735056936</v>
      </c>
      <c r="AD496">
        <f t="shared" si="75"/>
        <v>44</v>
      </c>
      <c r="AE496" s="195">
        <f t="shared" si="82"/>
        <v>0.11948923497811503</v>
      </c>
      <c r="AF496" s="195">
        <f t="shared" si="83"/>
        <v>1.5975292012415872E-2</v>
      </c>
      <c r="AG496" s="255" t="str">
        <f>IF(ISNUMBER(SEARCH("C",'WetLitterbags placem_collection'!AD423)),"YES","NO")</f>
        <v>NO</v>
      </c>
      <c r="AH496" s="255" t="str">
        <f>IF(ISNUMBER(SEARCH("H", 'WetLitterbags placem_collection'!AF203)),"YES","NO")</f>
        <v>NO</v>
      </c>
      <c r="AI496" s="255" t="str">
        <f>IF(ISNUMBER(SEARCH("R", 'WetLitterbags placem_collection'!XF203)),"YES","NO")</f>
        <v>NO</v>
      </c>
      <c r="AJ496" s="255" t="str">
        <f>IF(ISNUMBER(SEARCH("C", 'WetLitterbags placem_collection'!WE203)),"YES","NO")</f>
        <v>NO</v>
      </c>
      <c r="AK496" s="255" t="str">
        <f>IF(ISNUMBER(SEARCH("H", 'WetLitterbags placem_collection'!AE203)),"YES","NO")</f>
        <v>NO</v>
      </c>
      <c r="AL496" s="255" t="str">
        <f>IF(ISNUMBER(SEARCH("R", 'WetLitterbags placem_collection'!AE203)),"YES","NO")</f>
        <v>NO</v>
      </c>
    </row>
    <row r="497" spans="2:38">
      <c r="B497" t="str">
        <f>'Final data_for_R_analysis_Wetse'!A643</f>
        <v>Wet</v>
      </c>
      <c r="C497" s="263">
        <f>'Final data_for_R_analysis_Wetse'!B643</f>
        <v>202</v>
      </c>
      <c r="D497" t="s">
        <v>2424</v>
      </c>
      <c r="E497" t="s">
        <v>25</v>
      </c>
      <c r="F497" s="387">
        <v>2</v>
      </c>
      <c r="G497" s="16">
        <f>'WetLitterbags placem_collection'!E204</f>
        <v>42769</v>
      </c>
      <c r="H497" s="92" t="str">
        <f>'Final data_for_R_analysis_Wetse'!J643</f>
        <v>G770</v>
      </c>
      <c r="I497" t="str">
        <f>'Final data_for_R_analysis_Wetse'!J863</f>
        <v>R182</v>
      </c>
      <c r="J497">
        <f>IFERROR(INDEX('Green_rooibos initial weight'!$C$5:$C$1749,MATCH(H497, 'Green_rooibos initial weight'!$A$5:$A$1749,0)),"")</f>
        <v>1.958</v>
      </c>
      <c r="K497">
        <f>IFERROR(INDEX('Green_rooibos initial weight'!$C$5:$C$1749,MATCH(I497, 'Green_rooibos initial weight'!$A$5:$A$1749,0)),"")</f>
        <v>2.161</v>
      </c>
      <c r="L497" s="195">
        <f t="shared" si="76"/>
        <v>1.7081999999999999</v>
      </c>
      <c r="M497" s="195">
        <f>AVERAGE(Ashed_controlls!$K$2:$K$11)</f>
        <v>5.5147656768714146</v>
      </c>
      <c r="N497" s="195">
        <f t="shared" si="72"/>
        <v>1.6139967727076825</v>
      </c>
      <c r="O497" s="195">
        <f t="shared" si="77"/>
        <v>1.9112</v>
      </c>
      <c r="P497" s="195">
        <f>AVERAGE(Ashed_controlls!$K$12:$K$14)</f>
        <v>2.2816647271287041</v>
      </c>
      <c r="Q497" s="195">
        <f t="shared" si="78"/>
        <v>1.8675928237351163</v>
      </c>
      <c r="R497" s="16">
        <f>IF('WetLitterbags placem_collection'!G204="N.A","",'WetLitterbags placem_collection'!G204)</f>
        <v>42814</v>
      </c>
      <c r="S497" s="195">
        <f>IF(IFERROR(INDEX('Both teabags AfterWet'!$C$3:$C$841,MATCH(H497,'Both teabags AfterWet'!$A$3:$A$841,0)),"")="N.A","",(IFERROR(INDEX('Both teabags AfterWet'!$C$3:$C$841,MATCH(H497,'Both teabags AfterWet'!$A$3:$A$841,0)),"")))</f>
        <v>0.98199999999999998</v>
      </c>
      <c r="T497" s="195">
        <f>IFERROR(INDEX('Both teabags AfterWet'!$C$3:$C$841,MATCH(I497,'Both teabags AfterWet'!$A$3:$A$841,0)),"")</f>
        <v>1.679</v>
      </c>
      <c r="U497" s="195">
        <f t="shared" si="79"/>
        <v>0.83139999999999992</v>
      </c>
      <c r="V497" s="195">
        <f t="shared" si="79"/>
        <v>1.5284</v>
      </c>
      <c r="W497" s="195">
        <f>IFERROR(INDEX('Ashed teabags wet'!$K$2:$K$821,MATCH(H497,'Ashed teabags wet'!$A$2:$A$821,0)),"")</f>
        <v>31.965648854961913</v>
      </c>
      <c r="X497" s="195">
        <f>IFERROR(INDEX('Ashed teabags wet'!$K$2:$K$821,MATCH(I497,'Ashed teabags wet'!$A$2:$A$821,0)),"")</f>
        <v>3.9234919077970858</v>
      </c>
      <c r="Y497" s="195">
        <f t="shared" si="73"/>
        <v>0.56563759541984659</v>
      </c>
      <c r="Z497" s="195">
        <f t="shared" si="73"/>
        <v>1.4684333496812294</v>
      </c>
      <c r="AA497" s="195">
        <f t="shared" si="80"/>
        <v>0.64954230083687314</v>
      </c>
      <c r="AB497" s="195">
        <f t="shared" si="81"/>
        <v>0.42582820672441096</v>
      </c>
      <c r="AC497" s="195">
        <f t="shared" si="74"/>
        <v>0.78627061049871527</v>
      </c>
      <c r="AD497">
        <f t="shared" si="75"/>
        <v>45</v>
      </c>
      <c r="AE497" s="195">
        <f t="shared" si="82"/>
        <v>0.22857208926737149</v>
      </c>
      <c r="AF497" s="195">
        <f t="shared" si="83"/>
        <v>1.5488526872991596E-2</v>
      </c>
      <c r="AG497" s="255" t="str">
        <f>IF(ISNUMBER(SEARCH("C",'WetLitterbags placem_collection'!AD424)),"YES","NO")</f>
        <v>NO</v>
      </c>
      <c r="AH497" s="255" t="str">
        <f>IF(ISNUMBER(SEARCH("H", 'WetLitterbags placem_collection'!AF204)),"YES","NO")</f>
        <v>NO</v>
      </c>
      <c r="AI497" s="255" t="str">
        <f>IF(ISNUMBER(SEARCH("R", 'WetLitterbags placem_collection'!XF204)),"YES","NO")</f>
        <v>NO</v>
      </c>
      <c r="AJ497" s="255" t="str">
        <f>IF(ISNUMBER(SEARCH("C", 'WetLitterbags placem_collection'!WE204)),"YES","NO")</f>
        <v>NO</v>
      </c>
      <c r="AK497" s="255" t="str">
        <f>IF(ISNUMBER(SEARCH("H", 'WetLitterbags placem_collection'!AE204)),"YES","NO")</f>
        <v>NO</v>
      </c>
      <c r="AL497" s="255" t="str">
        <f>IF(ISNUMBER(SEARCH("R", 'WetLitterbags placem_collection'!AE204)),"YES","NO")</f>
        <v>NO</v>
      </c>
    </row>
    <row r="498" spans="2:38">
      <c r="B498" t="str">
        <f>'Final data_for_R_analysis_Wetse'!A644</f>
        <v>Wet</v>
      </c>
      <c r="C498" s="263">
        <f>'Final data_for_R_analysis_Wetse'!B644</f>
        <v>203</v>
      </c>
      <c r="D498" t="s">
        <v>2433</v>
      </c>
      <c r="E498" t="s">
        <v>25</v>
      </c>
      <c r="F498" s="387">
        <v>3</v>
      </c>
      <c r="G498" s="16">
        <f>'WetLitterbags placem_collection'!E205</f>
        <v>42769</v>
      </c>
      <c r="H498" s="92" t="str">
        <f>'Final data_for_R_analysis_Wetse'!J644</f>
        <v>G753</v>
      </c>
      <c r="I498" t="str">
        <f>'Final data_for_R_analysis_Wetse'!J864</f>
        <v>R342</v>
      </c>
      <c r="J498">
        <f>IFERROR(INDEX('Green_rooibos initial weight'!$C$5:$C$1749,MATCH(H498, 'Green_rooibos initial weight'!$A$5:$A$1749,0)),"")</f>
        <v>2.0649999999999999</v>
      </c>
      <c r="K498">
        <f>IFERROR(INDEX('Green_rooibos initial weight'!$C$5:$C$1749,MATCH(I498, 'Green_rooibos initial weight'!$A$5:$A$1749,0)),"")</f>
        <v>2.2450000000000001</v>
      </c>
      <c r="L498" s="195">
        <f t="shared" si="76"/>
        <v>1.8151999999999999</v>
      </c>
      <c r="M498" s="195">
        <f>AVERAGE(Ashed_controlls!$K$2:$K$11)</f>
        <v>5.5147656768714146</v>
      </c>
      <c r="N498" s="195">
        <f t="shared" si="72"/>
        <v>1.7150959734334301</v>
      </c>
      <c r="O498" s="195">
        <f t="shared" si="77"/>
        <v>1.9952000000000001</v>
      </c>
      <c r="P498" s="195">
        <f>AVERAGE(Ashed_controlls!$K$12:$K$14)</f>
        <v>2.2816647271287041</v>
      </c>
      <c r="Q498" s="195">
        <f t="shared" si="78"/>
        <v>1.9496762253643283</v>
      </c>
      <c r="R498" s="16">
        <f>IF('WetLitterbags placem_collection'!G205="N.A","",'WetLitterbags placem_collection'!G205)</f>
        <v>42814</v>
      </c>
      <c r="S498" s="195">
        <f>IF(IFERROR(INDEX('Both teabags AfterWet'!$C$3:$C$841,MATCH(H498,'Both teabags AfterWet'!$A$3:$A$841,0)),"")="N.A","",(IFERROR(INDEX('Both teabags AfterWet'!$C$3:$C$841,MATCH(H498,'Both teabags AfterWet'!$A$3:$A$841,0)),"")))</f>
        <v>0.7681</v>
      </c>
      <c r="T498" s="195">
        <f>IFERROR(INDEX('Both teabags AfterWet'!$C$3:$C$841,MATCH(I498,'Both teabags AfterWet'!$A$3:$A$841,0)),"")</f>
        <v>1.5906</v>
      </c>
      <c r="U498" s="195">
        <f t="shared" si="79"/>
        <v>0.61749999999999994</v>
      </c>
      <c r="V498" s="195">
        <f t="shared" si="79"/>
        <v>1.44</v>
      </c>
      <c r="W498" s="195">
        <f>IFERROR(INDEX('Ashed teabags wet'!$K$2:$K$821,MATCH(H498,'Ashed teabags wet'!$A$2:$A$821,0)),"")</f>
        <v>9.4330155544412708</v>
      </c>
      <c r="X498" s="195">
        <f>IFERROR(INDEX('Ashed teabags wet'!$K$2:$K$821,MATCH(I498,'Ashed teabags wet'!$A$2:$A$821,0)),"")</f>
        <v>3.642714570858145</v>
      </c>
      <c r="Y498" s="195">
        <f t="shared" si="73"/>
        <v>0.55925112895132512</v>
      </c>
      <c r="Z498" s="195">
        <f t="shared" si="73"/>
        <v>1.3875449101796427</v>
      </c>
      <c r="AA498" s="195">
        <f t="shared" si="80"/>
        <v>0.67392429484178251</v>
      </c>
      <c r="AB498" s="195">
        <f t="shared" si="81"/>
        <v>0.44181260184401899</v>
      </c>
      <c r="AC498" s="195">
        <f t="shared" si="74"/>
        <v>0.7116796584624494</v>
      </c>
      <c r="AD498">
        <f t="shared" si="75"/>
        <v>45</v>
      </c>
      <c r="AE498" s="195">
        <f t="shared" si="82"/>
        <v>0.19961485173184967</v>
      </c>
      <c r="AF498" s="195">
        <f t="shared" si="83"/>
        <v>2.349412600323221E-2</v>
      </c>
      <c r="AG498" s="255" t="str">
        <f>IF(ISNUMBER(SEARCH("C",'WetLitterbags placem_collection'!AD425)),"YES","NO")</f>
        <v>NO</v>
      </c>
      <c r="AH498" s="255" t="str">
        <f>IF(ISNUMBER(SEARCH("H", 'WetLitterbags placem_collection'!AF205)),"YES","NO")</f>
        <v>NO</v>
      </c>
      <c r="AI498" s="255" t="str">
        <f>IF(ISNUMBER(SEARCH("R", 'WetLitterbags placem_collection'!XF205)),"YES","NO")</f>
        <v>NO</v>
      </c>
      <c r="AJ498" s="255" t="str">
        <f>IF(ISNUMBER(SEARCH("C", 'WetLitterbags placem_collection'!WE205)),"YES","NO")</f>
        <v>NO</v>
      </c>
      <c r="AK498" s="255" t="str">
        <f>IF(ISNUMBER(SEARCH("H", 'WetLitterbags placem_collection'!AE205)),"YES","NO")</f>
        <v>NO</v>
      </c>
      <c r="AL498" s="255" t="str">
        <f>IF(ISNUMBER(SEARCH("R", 'WetLitterbags placem_collection'!AE205)),"YES","NO")</f>
        <v>NO</v>
      </c>
    </row>
    <row r="499" spans="2:38">
      <c r="B499" t="str">
        <f>'Final data_for_R_analysis_Wetse'!A645</f>
        <v>Wet</v>
      </c>
      <c r="C499" s="263">
        <f>'Final data_for_R_analysis_Wetse'!B645</f>
        <v>204</v>
      </c>
      <c r="D499" t="s">
        <v>2440</v>
      </c>
      <c r="E499" t="s">
        <v>25</v>
      </c>
      <c r="F499" s="387">
        <v>4</v>
      </c>
      <c r="G499" s="16">
        <f>'WetLitterbags placem_collection'!E206</f>
        <v>42769</v>
      </c>
      <c r="H499" s="92" t="str">
        <f>'Final data_for_R_analysis_Wetse'!J645</f>
        <v>G640</v>
      </c>
      <c r="I499" t="str">
        <f>'Final data_for_R_analysis_Wetse'!J865</f>
        <v>R139</v>
      </c>
      <c r="J499">
        <f>IFERROR(INDEX('Green_rooibos initial weight'!$C$5:$C$1749,MATCH(H499, 'Green_rooibos initial weight'!$A$5:$A$1749,0)),"")</f>
        <v>2.0640000000000001</v>
      </c>
      <c r="K499">
        <f>IFERROR(INDEX('Green_rooibos initial weight'!$C$5:$C$1749,MATCH(I499, 'Green_rooibos initial weight'!$A$5:$A$1749,0)),"")</f>
        <v>2.2829999999999999</v>
      </c>
      <c r="L499" s="195">
        <f t="shared" si="76"/>
        <v>1.8142</v>
      </c>
      <c r="M499" s="195">
        <f>AVERAGE(Ashed_controlls!$K$2:$K$11)</f>
        <v>5.5147656768714146</v>
      </c>
      <c r="N499" s="195">
        <f t="shared" si="72"/>
        <v>1.7141511210901987</v>
      </c>
      <c r="O499" s="195">
        <f t="shared" si="77"/>
        <v>2.0331999999999999</v>
      </c>
      <c r="P499" s="195">
        <f>AVERAGE(Ashed_controlls!$K$12:$K$14)</f>
        <v>2.2816647271287041</v>
      </c>
      <c r="Q499" s="195">
        <f t="shared" si="78"/>
        <v>1.9868091927680191</v>
      </c>
      <c r="R499" s="16">
        <f>IF('WetLitterbags placem_collection'!G206="N.A","",'WetLitterbags placem_collection'!G206)</f>
        <v>42813</v>
      </c>
      <c r="S499" s="195">
        <f>IF(IFERROR(INDEX('Both teabags AfterWet'!$C$3:$C$841,MATCH(H499,'Both teabags AfterWet'!$A$3:$A$841,0)),"")="N.A","",(IFERROR(INDEX('Both teabags AfterWet'!$C$3:$C$841,MATCH(H499,'Both teabags AfterWet'!$A$3:$A$841,0)),"")))</f>
        <v>0.72450000000000003</v>
      </c>
      <c r="T499" s="195">
        <f>IFERROR(INDEX('Both teabags AfterWet'!$C$3:$C$841,MATCH(I499,'Both teabags AfterWet'!$A$3:$A$841,0)),"")</f>
        <v>1.6255999999999999</v>
      </c>
      <c r="U499" s="195">
        <f t="shared" si="79"/>
        <v>0.57390000000000008</v>
      </c>
      <c r="V499" s="195">
        <f t="shared" si="79"/>
        <v>1.4749999999999999</v>
      </c>
      <c r="W499" s="195">
        <f>IFERROR(INDEX('Ashed teabags wet'!$K$2:$K$821,MATCH(H499,'Ashed teabags wet'!$A$2:$A$821,0)),"")</f>
        <v>11.573849878934253</v>
      </c>
      <c r="X499" s="195">
        <f>IFERROR(INDEX('Ashed teabags wet'!$K$2:$K$821,MATCH(I499,'Ashed teabags wet'!$A$2:$A$821,0)),"")</f>
        <v>2.9484029484021739</v>
      </c>
      <c r="Y499" s="195">
        <f t="shared" si="73"/>
        <v>0.50747767554479639</v>
      </c>
      <c r="Z499" s="195">
        <f t="shared" si="73"/>
        <v>1.4315110565110678</v>
      </c>
      <c r="AA499" s="195">
        <f t="shared" si="80"/>
        <v>0.70394811209991737</v>
      </c>
      <c r="AB499" s="195">
        <f t="shared" si="81"/>
        <v>0.46149567444080097</v>
      </c>
      <c r="AC499" s="195">
        <f t="shared" si="74"/>
        <v>0.7205075664647439</v>
      </c>
      <c r="AD499">
        <f t="shared" si="75"/>
        <v>44</v>
      </c>
      <c r="AE499" s="195">
        <f t="shared" si="82"/>
        <v>0.16395711152028813</v>
      </c>
      <c r="AF499" s="195">
        <f t="shared" si="83"/>
        <v>2.1146549704122924E-2</v>
      </c>
      <c r="AG499" s="255" t="str">
        <f>IF(ISNUMBER(SEARCH("C",'WetLitterbags placem_collection'!AD426)),"YES","NO")</f>
        <v>NO</v>
      </c>
      <c r="AH499" s="255" t="str">
        <f>IF(ISNUMBER(SEARCH("H", 'WetLitterbags placem_collection'!AF206)),"YES","NO")</f>
        <v>NO</v>
      </c>
      <c r="AI499" s="255" t="str">
        <f>IF(ISNUMBER(SEARCH("R", 'WetLitterbags placem_collection'!XF206)),"YES","NO")</f>
        <v>NO</v>
      </c>
      <c r="AJ499" s="255" t="str">
        <f>IF(ISNUMBER(SEARCH("C", 'WetLitterbags placem_collection'!WE206)),"YES","NO")</f>
        <v>NO</v>
      </c>
      <c r="AK499" s="255" t="str">
        <f>IF(ISNUMBER(SEARCH("H", 'WetLitterbags placem_collection'!AE206)),"YES","NO")</f>
        <v>NO</v>
      </c>
      <c r="AL499" s="255" t="str">
        <f>IF(ISNUMBER(SEARCH("R", 'WetLitterbags placem_collection'!AE206)),"YES","NO")</f>
        <v>NO</v>
      </c>
    </row>
    <row r="500" spans="2:38">
      <c r="B500" t="str">
        <f>'Final data_for_R_analysis_Wetse'!A646</f>
        <v>Wet</v>
      </c>
      <c r="C500" s="263">
        <f>'Final data_for_R_analysis_Wetse'!B646</f>
        <v>205</v>
      </c>
      <c r="D500" t="s">
        <v>2434</v>
      </c>
      <c r="E500" t="s">
        <v>25</v>
      </c>
      <c r="F500" s="387">
        <v>1</v>
      </c>
      <c r="G500" s="16">
        <f>'WetLitterbags placem_collection'!E207</f>
        <v>42769</v>
      </c>
      <c r="H500" s="92" t="str">
        <f>'Final data_for_R_analysis_Wetse'!J646</f>
        <v>G668</v>
      </c>
      <c r="I500" t="str">
        <f>'Final data_for_R_analysis_Wetse'!J866</f>
        <v>R92</v>
      </c>
      <c r="J500">
        <f>IFERROR(INDEX('Green_rooibos initial weight'!$C$5:$C$1749,MATCH(H500, 'Green_rooibos initial weight'!$A$5:$A$1749,0)),"")</f>
        <v>2.0299999999999998</v>
      </c>
      <c r="K500">
        <f>IFERROR(INDEX('Green_rooibos initial weight'!$C$5:$C$1749,MATCH(I500, 'Green_rooibos initial weight'!$A$5:$A$1749,0)),"")</f>
        <v>2.246</v>
      </c>
      <c r="L500" s="195">
        <f t="shared" si="76"/>
        <v>1.7801999999999998</v>
      </c>
      <c r="M500" s="195">
        <f>AVERAGE(Ashed_controlls!$K$2:$K$11)</f>
        <v>5.5147656768714146</v>
      </c>
      <c r="N500" s="195">
        <f t="shared" si="72"/>
        <v>1.6820261414203348</v>
      </c>
      <c r="O500" s="195">
        <f t="shared" si="77"/>
        <v>1.9962</v>
      </c>
      <c r="P500" s="195">
        <f>AVERAGE(Ashed_controlls!$K$12:$K$14)</f>
        <v>2.2816647271287041</v>
      </c>
      <c r="Q500" s="195">
        <f t="shared" si="78"/>
        <v>1.9506534087170568</v>
      </c>
      <c r="R500" s="16">
        <f>IF('WetLitterbags placem_collection'!G207="N.A","",'WetLitterbags placem_collection'!G207)</f>
        <v>42814</v>
      </c>
      <c r="S500" s="195">
        <f>IF(IFERROR(INDEX('Both teabags AfterWet'!$C$3:$C$841,MATCH(H500,'Both teabags AfterWet'!$A$3:$A$841,0)),"")="N.A","",(IFERROR(INDEX('Both teabags AfterWet'!$C$3:$C$841,MATCH(H500,'Both teabags AfterWet'!$A$3:$A$841,0)),"")))</f>
        <v>0.71</v>
      </c>
      <c r="T500" s="195">
        <f>IFERROR(INDEX('Both teabags AfterWet'!$C$3:$C$841,MATCH(I500,'Both teabags AfterWet'!$A$3:$A$841,0)),"")</f>
        <v>1.7204999999999999</v>
      </c>
      <c r="U500" s="195">
        <f t="shared" si="79"/>
        <v>0.5593999999999999</v>
      </c>
      <c r="V500" s="195">
        <f t="shared" si="79"/>
        <v>1.5698999999999999</v>
      </c>
      <c r="W500" s="195">
        <f>IFERROR(INDEX('Ashed teabags wet'!$K$2:$K$821,MATCH(H500,'Ashed teabags wet'!$A$2:$A$821,0)),"")</f>
        <v>17.813567593948214</v>
      </c>
      <c r="X500" s="195">
        <f>IFERROR(INDEX('Ashed teabags wet'!$K$2:$K$821,MATCH(I500,'Ashed teabags wet'!$A$2:$A$821,0)),"")</f>
        <v>4.6821094135039614</v>
      </c>
      <c r="Y500" s="195">
        <f t="shared" si="73"/>
        <v>0.45975090287945358</v>
      </c>
      <c r="Z500" s="195">
        <f t="shared" si="73"/>
        <v>1.4963955643174012</v>
      </c>
      <c r="AA500" s="195">
        <f t="shared" si="80"/>
        <v>0.72666839619315837</v>
      </c>
      <c r="AB500" s="195">
        <f t="shared" si="81"/>
        <v>0.47639068253993289</v>
      </c>
      <c r="AC500" s="195">
        <f t="shared" si="74"/>
        <v>0.76712529126411</v>
      </c>
      <c r="AD500">
        <f t="shared" si="75"/>
        <v>45</v>
      </c>
      <c r="AE500" s="195">
        <f t="shared" si="82"/>
        <v>0.13697340119577384</v>
      </c>
      <c r="AF500" s="195">
        <f t="shared" si="83"/>
        <v>1.4912349733785052E-2</v>
      </c>
      <c r="AG500" s="255" t="str">
        <f>IF(ISNUMBER(SEARCH("C",'WetLitterbags placem_collection'!AD427)),"YES","NO")</f>
        <v>NO</v>
      </c>
      <c r="AH500" s="255" t="str">
        <f>IF(ISNUMBER(SEARCH("H", 'WetLitterbags placem_collection'!AF207)),"YES","NO")</f>
        <v>NO</v>
      </c>
      <c r="AI500" s="255" t="str">
        <f>IF(ISNUMBER(SEARCH("R", 'WetLitterbags placem_collection'!XF207)),"YES","NO")</f>
        <v>NO</v>
      </c>
      <c r="AJ500" s="255" t="str">
        <f>IF(ISNUMBER(SEARCH("C", 'WetLitterbags placem_collection'!WE207)),"YES","NO")</f>
        <v>NO</v>
      </c>
      <c r="AK500" s="255" t="str">
        <f>IF(ISNUMBER(SEARCH("H", 'WetLitterbags placem_collection'!AE207)),"YES","NO")</f>
        <v>NO</v>
      </c>
      <c r="AL500" s="255" t="str">
        <f>IF(ISNUMBER(SEARCH("R", 'WetLitterbags placem_collection'!AE207)),"YES","NO")</f>
        <v>YES</v>
      </c>
    </row>
    <row r="501" spans="2:38">
      <c r="B501" t="str">
        <f>'Final data_for_R_analysis_Wetse'!A647</f>
        <v>Wet</v>
      </c>
      <c r="C501" s="263">
        <f>'Final data_for_R_analysis_Wetse'!B647</f>
        <v>206</v>
      </c>
      <c r="D501" t="s">
        <v>2425</v>
      </c>
      <c r="E501" t="s">
        <v>25</v>
      </c>
      <c r="F501" s="387">
        <v>2</v>
      </c>
      <c r="G501" s="16">
        <f>'WetLitterbags placem_collection'!E208</f>
        <v>42769</v>
      </c>
      <c r="H501" s="92" t="str">
        <f>'Final data_for_R_analysis_Wetse'!J647</f>
        <v>G891</v>
      </c>
      <c r="I501" t="str">
        <f>'Final data_for_R_analysis_Wetse'!J867</f>
        <v>R328</v>
      </c>
      <c r="J501">
        <f>IFERROR(INDEX('Green_rooibos initial weight'!$C$5:$C$1749,MATCH(H501, 'Green_rooibos initial weight'!$A$5:$A$1749,0)),"")</f>
        <v>2.0169999999999999</v>
      </c>
      <c r="K501">
        <f>IFERROR(INDEX('Green_rooibos initial weight'!$C$5:$C$1749,MATCH(I501, 'Green_rooibos initial weight'!$A$5:$A$1749,0)),"")</f>
        <v>2.2549999999999999</v>
      </c>
      <c r="L501" s="195">
        <f t="shared" si="76"/>
        <v>1.7671999999999999</v>
      </c>
      <c r="M501" s="195">
        <f>AVERAGE(Ashed_controlls!$K$2:$K$11)</f>
        <v>5.5147656768714146</v>
      </c>
      <c r="N501" s="195">
        <f t="shared" si="72"/>
        <v>1.6697430609583281</v>
      </c>
      <c r="O501" s="195">
        <f t="shared" si="77"/>
        <v>2.0051999999999999</v>
      </c>
      <c r="P501" s="195">
        <f>AVERAGE(Ashed_controlls!$K$12:$K$14)</f>
        <v>2.2816647271287041</v>
      </c>
      <c r="Q501" s="195">
        <f t="shared" si="78"/>
        <v>1.959448058891615</v>
      </c>
      <c r="R501" s="16">
        <f>IF('WetLitterbags placem_collection'!G208="N.A","",'WetLitterbags placem_collection'!G208)</f>
        <v>42814</v>
      </c>
      <c r="S501" s="195">
        <f>IF(IFERROR(INDEX('Both teabags AfterWet'!$C$3:$C$841,MATCH(H501,'Both teabags AfterWet'!$A$3:$A$841,0)),"")="N.A","",(IFERROR(INDEX('Both teabags AfterWet'!$C$3:$C$841,MATCH(H501,'Both teabags AfterWet'!$A$3:$A$841,0)),"")))</f>
        <v>0.70199999999999996</v>
      </c>
      <c r="T501" s="195">
        <f>IFERROR(INDEX('Both teabags AfterWet'!$C$3:$C$841,MATCH(I501,'Both teabags AfterWet'!$A$3:$A$841,0)),"")</f>
        <v>1.609</v>
      </c>
      <c r="U501" s="195">
        <f t="shared" si="79"/>
        <v>0.55139999999999989</v>
      </c>
      <c r="V501" s="195">
        <f t="shared" si="79"/>
        <v>1.4583999999999999</v>
      </c>
      <c r="W501" s="195">
        <f>IFERROR(INDEX('Ashed teabags wet'!$K$2:$K$821,MATCH(H501,'Ashed teabags wet'!$A$2:$A$821,0)),"")</f>
        <v>13.415841584158834</v>
      </c>
      <c r="X501" s="195">
        <f>IFERROR(INDEX('Ashed teabags wet'!$K$2:$K$821,MATCH(I501,'Ashed teabags wet'!$A$2:$A$821,0)),"")</f>
        <v>5.8794708476237458</v>
      </c>
      <c r="Y501" s="195">
        <f t="shared" si="73"/>
        <v>0.47742504950494813</v>
      </c>
      <c r="Z501" s="195">
        <f t="shared" si="73"/>
        <v>1.3726537971582553</v>
      </c>
      <c r="AA501" s="195">
        <f t="shared" si="80"/>
        <v>0.71407274528157882</v>
      </c>
      <c r="AB501" s="195">
        <f t="shared" si="81"/>
        <v>0.46813320118222274</v>
      </c>
      <c r="AC501" s="195">
        <f t="shared" si="74"/>
        <v>0.70053084128941556</v>
      </c>
      <c r="AD501">
        <f t="shared" si="75"/>
        <v>45</v>
      </c>
      <c r="AE501" s="195">
        <f t="shared" si="82"/>
        <v>0.15193260655394436</v>
      </c>
      <c r="AF501" s="195">
        <f t="shared" si="83"/>
        <v>2.2685423362280244E-2</v>
      </c>
      <c r="AG501" s="255" t="str">
        <f>IF(ISNUMBER(SEARCH("C",'WetLitterbags placem_collection'!AD428)),"YES","NO")</f>
        <v>NO</v>
      </c>
      <c r="AH501" s="255" t="str">
        <f>IF(ISNUMBER(SEARCH("H", 'WetLitterbags placem_collection'!AF208)),"YES","NO")</f>
        <v>NO</v>
      </c>
      <c r="AI501" s="255" t="str">
        <f>IF(ISNUMBER(SEARCH("R", 'WetLitterbags placem_collection'!XF208)),"YES","NO")</f>
        <v>NO</v>
      </c>
      <c r="AJ501" s="255" t="str">
        <f>IF(ISNUMBER(SEARCH("C", 'WetLitterbags placem_collection'!WE208)),"YES","NO")</f>
        <v>NO</v>
      </c>
      <c r="AK501" s="255" t="str">
        <f>IF(ISNUMBER(SEARCH("H", 'WetLitterbags placem_collection'!AE208)),"YES","NO")</f>
        <v>NO</v>
      </c>
      <c r="AL501" s="255" t="str">
        <f>IF(ISNUMBER(SEARCH("R", 'WetLitterbags placem_collection'!AE208)),"YES","NO")</f>
        <v>NO</v>
      </c>
    </row>
    <row r="502" spans="2:38">
      <c r="B502" t="str">
        <f>'Final data_for_R_analysis_Wetse'!A648</f>
        <v>Wet</v>
      </c>
      <c r="C502" s="263">
        <f>'Final data_for_R_analysis_Wetse'!B648</f>
        <v>207</v>
      </c>
      <c r="D502" t="s">
        <v>2448</v>
      </c>
      <c r="E502" t="s">
        <v>25</v>
      </c>
      <c r="F502" s="387">
        <v>3</v>
      </c>
      <c r="G502" s="16">
        <f>'WetLitterbags placem_collection'!E209</f>
        <v>42769</v>
      </c>
      <c r="H502" s="92" t="str">
        <f>'Final data_for_R_analysis_Wetse'!J648</f>
        <v>G540</v>
      </c>
      <c r="I502" t="str">
        <f>'Final data_for_R_analysis_Wetse'!J868</f>
        <v>R149</v>
      </c>
      <c r="J502">
        <f>IFERROR(INDEX('Green_rooibos initial weight'!$C$5:$C$1749,MATCH(H502, 'Green_rooibos initial weight'!$A$5:$A$1749,0)),"")</f>
        <v>2.0830000000000002</v>
      </c>
      <c r="K502">
        <f>IFERROR(INDEX('Green_rooibos initial weight'!$C$5:$C$1749,MATCH(I502, 'Green_rooibos initial weight'!$A$5:$A$1749,0)),"")</f>
        <v>2.2400000000000002</v>
      </c>
      <c r="L502" s="195">
        <f t="shared" si="76"/>
        <v>1.8332000000000002</v>
      </c>
      <c r="M502" s="195">
        <f>AVERAGE(Ashed_controlls!$K$2:$K$11)</f>
        <v>5.5147656768714146</v>
      </c>
      <c r="N502" s="195">
        <f t="shared" si="72"/>
        <v>1.7321033156115935</v>
      </c>
      <c r="O502" s="195">
        <f t="shared" si="77"/>
        <v>1.9902000000000002</v>
      </c>
      <c r="P502" s="195">
        <f>AVERAGE(Ashed_controlls!$K$12:$K$14)</f>
        <v>2.2816647271287041</v>
      </c>
      <c r="Q502" s="195">
        <f t="shared" si="78"/>
        <v>1.9447903086006848</v>
      </c>
      <c r="R502" s="16">
        <f>IF('WetLitterbags placem_collection'!G209="N.A","",'WetLitterbags placem_collection'!G209)</f>
        <v>42813</v>
      </c>
      <c r="S502" s="195">
        <f>IF(IFERROR(INDEX('Both teabags AfterWet'!$C$3:$C$841,MATCH(H502,'Both teabags AfterWet'!$A$3:$A$841,0)),"")="N.A","",(IFERROR(INDEX('Both teabags AfterWet'!$C$3:$C$841,MATCH(H502,'Both teabags AfterWet'!$A$3:$A$841,0)),"")))</f>
        <v>0.73299999999999998</v>
      </c>
      <c r="T502" s="195">
        <f>IFERROR(INDEX('Both teabags AfterWet'!$C$3:$C$841,MATCH(I502,'Both teabags AfterWet'!$A$3:$A$841,0)),"")</f>
        <v>1.401</v>
      </c>
      <c r="U502" s="195">
        <f t="shared" si="79"/>
        <v>0.58240000000000003</v>
      </c>
      <c r="V502" s="195">
        <f t="shared" si="79"/>
        <v>1.2504</v>
      </c>
      <c r="W502" s="195">
        <f>IFERROR(INDEX('Ashed teabags wet'!$K$2:$K$821,MATCH(H502,'Ashed teabags wet'!$A$2:$A$821,0)),"")</f>
        <v>21.550000000000765</v>
      </c>
      <c r="X502" s="195">
        <f>IFERROR(INDEX('Ashed teabags wet'!$K$2:$K$821,MATCH(I502,'Ashed teabags wet'!$A$2:$A$821,0)),"")</f>
        <v>9.4146341463411449</v>
      </c>
      <c r="Y502" s="195">
        <f t="shared" si="73"/>
        <v>0.45689279999999555</v>
      </c>
      <c r="Z502" s="195">
        <f t="shared" si="73"/>
        <v>1.1326794146341503</v>
      </c>
      <c r="AA502" s="195">
        <f t="shared" si="80"/>
        <v>0.73622081553566576</v>
      </c>
      <c r="AB502" s="195">
        <f t="shared" si="81"/>
        <v>0.48265307621815629</v>
      </c>
      <c r="AC502" s="195">
        <f t="shared" si="74"/>
        <v>0.58241724551226071</v>
      </c>
      <c r="AD502">
        <f t="shared" si="75"/>
        <v>44</v>
      </c>
      <c r="AE502" s="195">
        <f t="shared" si="82"/>
        <v>0.12562848511203584</v>
      </c>
      <c r="AF502" s="195">
        <f t="shared" si="83"/>
        <v>4.5541581113769831E-2</v>
      </c>
      <c r="AG502" s="255" t="str">
        <f>IF(ISNUMBER(SEARCH("C",'WetLitterbags placem_collection'!AD429)),"YES","NO")</f>
        <v>NO</v>
      </c>
      <c r="AH502" s="255" t="str">
        <f>IF(ISNUMBER(SEARCH("H", 'WetLitterbags placem_collection'!AF209)),"YES","NO")</f>
        <v>NO</v>
      </c>
      <c r="AI502" s="255" t="str">
        <f>IF(ISNUMBER(SEARCH("R", 'WetLitterbags placem_collection'!XF209)),"YES","NO")</f>
        <v>NO</v>
      </c>
      <c r="AJ502" s="255" t="str">
        <f>IF(ISNUMBER(SEARCH("C", 'WetLitterbags placem_collection'!WE209)),"YES","NO")</f>
        <v>NO</v>
      </c>
      <c r="AK502" s="255" t="str">
        <f>IF(ISNUMBER(SEARCH("H", 'WetLitterbags placem_collection'!AE209)),"YES","NO")</f>
        <v>NO</v>
      </c>
      <c r="AL502" s="255" t="str">
        <f>IF(ISNUMBER(SEARCH("R", 'WetLitterbags placem_collection'!AE209)),"YES","NO")</f>
        <v>NO</v>
      </c>
    </row>
    <row r="503" spans="2:38">
      <c r="B503" t="str">
        <f>'Final data_for_R_analysis_Wetse'!A649</f>
        <v>Wet</v>
      </c>
      <c r="C503" s="263">
        <f>'Final data_for_R_analysis_Wetse'!B649</f>
        <v>208</v>
      </c>
      <c r="D503" t="s">
        <v>2441</v>
      </c>
      <c r="E503" t="s">
        <v>25</v>
      </c>
      <c r="F503" s="387">
        <v>4</v>
      </c>
      <c r="G503" s="16">
        <f>'WetLitterbags placem_collection'!E210</f>
        <v>42769</v>
      </c>
      <c r="H503" s="92" t="str">
        <f>'Final data_for_R_analysis_Wetse'!J649</f>
        <v>G508</v>
      </c>
      <c r="I503" t="str">
        <f>'Final data_for_R_analysis_Wetse'!J869</f>
        <v>R449</v>
      </c>
      <c r="J503">
        <f>IFERROR(INDEX('Green_rooibos initial weight'!$C$5:$C$1749,MATCH(H503, 'Green_rooibos initial weight'!$A$5:$A$1749,0)),"")</f>
        <v>1.9910000000000001</v>
      </c>
      <c r="K503">
        <f>IFERROR(INDEX('Green_rooibos initial weight'!$C$5:$C$1749,MATCH(I503, 'Green_rooibos initial weight'!$A$5:$A$1749,0)),"")</f>
        <v>2.2709999999999999</v>
      </c>
      <c r="L503" s="195">
        <f t="shared" si="76"/>
        <v>1.7412000000000001</v>
      </c>
      <c r="M503" s="195">
        <f>AVERAGE(Ashed_controlls!$K$2:$K$11)</f>
        <v>5.5147656768714146</v>
      </c>
      <c r="N503" s="195">
        <f t="shared" si="72"/>
        <v>1.645176900034315</v>
      </c>
      <c r="O503" s="195">
        <f t="shared" si="77"/>
        <v>2.0211999999999999</v>
      </c>
      <c r="P503" s="195">
        <f>AVERAGE(Ashed_controlls!$K$12:$K$14)</f>
        <v>2.2816647271287041</v>
      </c>
      <c r="Q503" s="195">
        <f t="shared" si="78"/>
        <v>1.9750829925352744</v>
      </c>
      <c r="R503" s="16">
        <f>IF('WetLitterbags placem_collection'!G210="N.A","",'WetLitterbags placem_collection'!G210)</f>
        <v>42813</v>
      </c>
      <c r="S503" s="195">
        <f>IF(IFERROR(INDEX('Both teabags AfterWet'!$C$3:$C$841,MATCH(H503,'Both teabags AfterWet'!$A$3:$A$841,0)),"")="N.A","",(IFERROR(INDEX('Both teabags AfterWet'!$C$3:$C$841,MATCH(H503,'Both teabags AfterWet'!$A$3:$A$841,0)),"")))</f>
        <v>0.84599999999999997</v>
      </c>
      <c r="T503" s="195">
        <f>IFERROR(INDEX('Both teabags AfterWet'!$C$3:$C$841,MATCH(I503,'Both teabags AfterWet'!$A$3:$A$841,0)),"")</f>
        <v>1.611</v>
      </c>
      <c r="U503" s="195">
        <f t="shared" si="79"/>
        <v>0.69540000000000002</v>
      </c>
      <c r="V503" s="195">
        <f t="shared" si="79"/>
        <v>1.4603999999999999</v>
      </c>
      <c r="W503" s="195">
        <f>IFERROR(INDEX('Ashed teabags wet'!$K$2:$K$821,MATCH(H503,'Ashed teabags wet'!$A$2:$A$821,0)),"")</f>
        <v>12.276341948309753</v>
      </c>
      <c r="X503" s="195">
        <f>IFERROR(INDEX('Ashed teabags wet'!$K$2:$K$821,MATCH(I503,'Ashed teabags wet'!$A$2:$A$821,0)),"")</f>
        <v>7.5425790754251629</v>
      </c>
      <c r="Y503" s="195">
        <f t="shared" si="73"/>
        <v>0.61003031809145403</v>
      </c>
      <c r="Z503" s="195">
        <f t="shared" si="73"/>
        <v>1.3502481751824909</v>
      </c>
      <c r="AA503" s="195">
        <f t="shared" si="80"/>
        <v>0.62920077586870438</v>
      </c>
      <c r="AB503" s="195">
        <f t="shared" si="81"/>
        <v>0.41249267016570651</v>
      </c>
      <c r="AC503" s="195">
        <f t="shared" si="74"/>
        <v>0.68364123446239222</v>
      </c>
      <c r="AD503">
        <f t="shared" si="75"/>
        <v>44</v>
      </c>
      <c r="AE503" s="195">
        <f t="shared" si="82"/>
        <v>0.2527306699896622</v>
      </c>
      <c r="AF503" s="195">
        <f t="shared" si="83"/>
        <v>3.3101735837800746E-2</v>
      </c>
      <c r="AG503" s="255" t="str">
        <f>IF(ISNUMBER(SEARCH("C",'WetLitterbags placem_collection'!AD430)),"YES","NO")</f>
        <v>NO</v>
      </c>
      <c r="AH503" s="255" t="str">
        <f>IF(ISNUMBER(SEARCH("H", 'WetLitterbags placem_collection'!AF210)),"YES","NO")</f>
        <v>NO</v>
      </c>
      <c r="AI503" s="255" t="str">
        <f>IF(ISNUMBER(SEARCH("R", 'WetLitterbags placem_collection'!XF210)),"YES","NO")</f>
        <v>NO</v>
      </c>
      <c r="AJ503" s="255" t="str">
        <f>IF(ISNUMBER(SEARCH("C", 'WetLitterbags placem_collection'!WE210)),"YES","NO")</f>
        <v>NO</v>
      </c>
      <c r="AK503" s="255" t="str">
        <f>IF(ISNUMBER(SEARCH("H", 'WetLitterbags placem_collection'!AE210)),"YES","NO")</f>
        <v>NO</v>
      </c>
      <c r="AL503" s="255" t="str">
        <f>IF(ISNUMBER(SEARCH("R", 'WetLitterbags placem_collection'!AE210)),"YES","NO")</f>
        <v>NO</v>
      </c>
    </row>
    <row r="504" spans="2:38">
      <c r="B504" t="str">
        <f>'Final data_for_R_analysis_Wetse'!A650</f>
        <v>Wet</v>
      </c>
      <c r="C504" s="263">
        <f>'Final data_for_R_analysis_Wetse'!B650</f>
        <v>209</v>
      </c>
      <c r="D504" t="s">
        <v>2435</v>
      </c>
      <c r="E504" t="s">
        <v>25</v>
      </c>
      <c r="F504" s="387">
        <v>1</v>
      </c>
      <c r="G504" s="16">
        <f>'WetLitterbags placem_collection'!E211</f>
        <v>42769</v>
      </c>
      <c r="H504" s="92" t="str">
        <f>'Final data_for_R_analysis_Wetse'!J650</f>
        <v>G637</v>
      </c>
      <c r="I504" t="str">
        <f>'Final data_for_R_analysis_Wetse'!J870</f>
        <v>R142</v>
      </c>
      <c r="J504">
        <f>IFERROR(INDEX('Green_rooibos initial weight'!$C$5:$C$1749,MATCH(H504, 'Green_rooibos initial weight'!$A$5:$A$1749,0)),"")</f>
        <v>2.1110000000000002</v>
      </c>
      <c r="K504">
        <f>IFERROR(INDEX('Green_rooibos initial weight'!$C$5:$C$1749,MATCH(I504, 'Green_rooibos initial weight'!$A$5:$A$1749,0)),"")</f>
        <v>2.0870000000000002</v>
      </c>
      <c r="L504" s="195">
        <f t="shared" si="76"/>
        <v>1.8612000000000002</v>
      </c>
      <c r="M504" s="195">
        <f>AVERAGE(Ashed_controlls!$K$2:$K$11)</f>
        <v>5.5147656768714146</v>
      </c>
      <c r="N504" s="195">
        <f t="shared" si="72"/>
        <v>1.7585591812220693</v>
      </c>
      <c r="O504" s="195">
        <f t="shared" si="77"/>
        <v>1.8372000000000002</v>
      </c>
      <c r="P504" s="195">
        <f>AVERAGE(Ashed_controlls!$K$12:$K$14)</f>
        <v>2.2816647271287041</v>
      </c>
      <c r="Q504" s="195">
        <f t="shared" si="78"/>
        <v>1.7952812556331916</v>
      </c>
      <c r="R504" s="16">
        <f>IF('WetLitterbags placem_collection'!G211="N.A","",'WetLitterbags placem_collection'!G211)</f>
        <v>42814</v>
      </c>
      <c r="S504" s="195">
        <f>IF(IFERROR(INDEX('Both teabags AfterWet'!$C$3:$C$841,MATCH(H504,'Both teabags AfterWet'!$A$3:$A$841,0)),"")="N.A","",(IFERROR(INDEX('Both teabags AfterWet'!$C$3:$C$841,MATCH(H504,'Both teabags AfterWet'!$A$3:$A$841,0)),"")))</f>
        <v>0.86399999999999999</v>
      </c>
      <c r="T504" s="195">
        <f>IFERROR(INDEX('Both teabags AfterWet'!$C$3:$C$841,MATCH(I504,'Both teabags AfterWet'!$A$3:$A$841,0)),"")</f>
        <v>1.5780000000000001</v>
      </c>
      <c r="U504" s="195">
        <f t="shared" si="79"/>
        <v>0.71340000000000003</v>
      </c>
      <c r="V504" s="195">
        <f t="shared" si="79"/>
        <v>1.4274</v>
      </c>
      <c r="W504" s="195">
        <f>IFERROR(INDEX('Ashed teabags wet'!$K$2:$K$821,MATCH(H504,'Ashed teabags wet'!$A$2:$A$821,0)),"")</f>
        <v>17.471937530502561</v>
      </c>
      <c r="X504" s="195">
        <f>IFERROR(INDEX('Ashed teabags wet'!$K$2:$K$821,MATCH(I504,'Ashed teabags wet'!$A$2:$A$821,0)),"")</f>
        <v>6.2620423892102917</v>
      </c>
      <c r="Y504" s="195">
        <f t="shared" si="73"/>
        <v>0.5887551976573947</v>
      </c>
      <c r="Z504" s="195">
        <f t="shared" si="73"/>
        <v>1.3380156069364122</v>
      </c>
      <c r="AA504" s="195">
        <f t="shared" si="80"/>
        <v>0.66520592315337768</v>
      </c>
      <c r="AB504" s="195">
        <f t="shared" si="81"/>
        <v>0.43609699475138308</v>
      </c>
      <c r="AC504" s="195">
        <f t="shared" si="74"/>
        <v>0.74529581520333821</v>
      </c>
      <c r="AD504">
        <f t="shared" si="75"/>
        <v>45</v>
      </c>
      <c r="AE504" s="195">
        <f t="shared" si="82"/>
        <v>0.2099692124069148</v>
      </c>
      <c r="AF504" s="195">
        <f t="shared" si="83"/>
        <v>1.9493328514461269E-2</v>
      </c>
      <c r="AG504" s="255" t="str">
        <f>IF(ISNUMBER(SEARCH("C",'WetLitterbags placem_collection'!AD431)),"YES","NO")</f>
        <v>NO</v>
      </c>
      <c r="AH504" s="255" t="str">
        <f>IF(ISNUMBER(SEARCH("H", 'WetLitterbags placem_collection'!AF211)),"YES","NO")</f>
        <v>NO</v>
      </c>
      <c r="AI504" s="255" t="str">
        <f>IF(ISNUMBER(SEARCH("R", 'WetLitterbags placem_collection'!XF211)),"YES","NO")</f>
        <v>NO</v>
      </c>
      <c r="AJ504" s="255" t="str">
        <f>IF(ISNUMBER(SEARCH("C", 'WetLitterbags placem_collection'!WE211)),"YES","NO")</f>
        <v>NO</v>
      </c>
      <c r="AK504" s="255" t="str">
        <f>IF(ISNUMBER(SEARCH("H", 'WetLitterbags placem_collection'!AE211)),"YES","NO")</f>
        <v>NO</v>
      </c>
      <c r="AL504" s="255" t="str">
        <f>IF(ISNUMBER(SEARCH("R", 'WetLitterbags placem_collection'!AE211)),"YES","NO")</f>
        <v>NO</v>
      </c>
    </row>
    <row r="505" spans="2:38">
      <c r="B505" t="str">
        <f>'Final data_for_R_analysis_Wetse'!A651</f>
        <v>Wet</v>
      </c>
      <c r="C505" s="263">
        <f>'Final data_for_R_analysis_Wetse'!B651</f>
        <v>210</v>
      </c>
      <c r="D505" t="s">
        <v>2449</v>
      </c>
      <c r="E505" t="s">
        <v>25</v>
      </c>
      <c r="F505" s="387">
        <v>2</v>
      </c>
      <c r="G505" s="16">
        <f>'WetLitterbags placem_collection'!E212</f>
        <v>42769</v>
      </c>
      <c r="H505" s="92" t="str">
        <f>'Final data_for_R_analysis_Wetse'!J651</f>
        <v>G720</v>
      </c>
      <c r="I505" t="str">
        <f>'Final data_for_R_analysis_Wetse'!J871</f>
        <v>R392</v>
      </c>
      <c r="J505">
        <f>IFERROR(INDEX('Green_rooibos initial weight'!$C$5:$C$1749,MATCH(H505, 'Green_rooibos initial weight'!$A$5:$A$1749,0)),"")</f>
        <v>2.0350000000000001</v>
      </c>
      <c r="K505">
        <f>IFERROR(INDEX('Green_rooibos initial weight'!$C$5:$C$1749,MATCH(I505, 'Green_rooibos initial weight'!$A$5:$A$1749,0)),"")</f>
        <v>2.2309999999999999</v>
      </c>
      <c r="L505" s="195">
        <f t="shared" si="76"/>
        <v>1.7852000000000001</v>
      </c>
      <c r="M505" s="195">
        <f>AVERAGE(Ashed_controlls!$K$2:$K$11)</f>
        <v>5.5147656768714146</v>
      </c>
      <c r="N505" s="195">
        <f t="shared" si="72"/>
        <v>1.6867504031364917</v>
      </c>
      <c r="O505" s="195">
        <f t="shared" si="77"/>
        <v>1.9811999999999999</v>
      </c>
      <c r="P505" s="195">
        <f>AVERAGE(Ashed_controlls!$K$12:$K$14)</f>
        <v>2.2816647271287041</v>
      </c>
      <c r="Q505" s="195">
        <f t="shared" si="78"/>
        <v>1.935995658426126</v>
      </c>
      <c r="R505" s="16">
        <f>IF('WetLitterbags placem_collection'!G212="N.A","",'WetLitterbags placem_collection'!G212)</f>
        <v>42813</v>
      </c>
      <c r="S505" s="195">
        <f>IF(IFERROR(INDEX('Both teabags AfterWet'!$C$3:$C$841,MATCH(H505,'Both teabags AfterWet'!$A$3:$A$841,0)),"")="N.A","",(IFERROR(INDEX('Both teabags AfterWet'!$C$3:$C$841,MATCH(H505,'Both teabags AfterWet'!$A$3:$A$841,0)),"")))</f>
        <v>0.72160000000000002</v>
      </c>
      <c r="T505" s="195">
        <f>IFERROR(INDEX('Both teabags AfterWet'!$C$3:$C$841,MATCH(I505,'Both teabags AfterWet'!$A$3:$A$841,0)),"")</f>
        <v>1.6165</v>
      </c>
      <c r="U505" s="195">
        <f t="shared" si="79"/>
        <v>0.57099999999999995</v>
      </c>
      <c r="V505" s="195">
        <f t="shared" si="79"/>
        <v>1.4659</v>
      </c>
      <c r="W505" s="195">
        <f>IFERROR(INDEX('Ashed teabags wet'!$K$2:$K$821,MATCH(H505,'Ashed teabags wet'!$A$2:$A$821,0)),"")</f>
        <v>16.057692307692367</v>
      </c>
      <c r="X505" s="195">
        <f>IFERROR(INDEX('Ashed teabags wet'!$K$2:$K$821,MATCH(I505,'Ashed teabags wet'!$A$2:$A$821,0)),"")</f>
        <v>8.4810733109723397</v>
      </c>
      <c r="Y505" s="195">
        <f t="shared" si="73"/>
        <v>0.47931057692307655</v>
      </c>
      <c r="Z505" s="195">
        <f t="shared" si="73"/>
        <v>1.3415759463344565</v>
      </c>
      <c r="AA505" s="195">
        <f t="shared" si="80"/>
        <v>0.71583787617195505</v>
      </c>
      <c r="AB505" s="195">
        <f t="shared" si="81"/>
        <v>0.46929038912935772</v>
      </c>
      <c r="AC505" s="195">
        <f t="shared" si="74"/>
        <v>0.6929643362036747</v>
      </c>
      <c r="AD505">
        <f t="shared" si="75"/>
        <v>44</v>
      </c>
      <c r="AE505" s="195">
        <f t="shared" si="82"/>
        <v>0.14983625157725056</v>
      </c>
      <c r="AF505" s="195">
        <f t="shared" si="83"/>
        <v>2.4137596920236825E-2</v>
      </c>
      <c r="AG505" s="255" t="str">
        <f>IF(ISNUMBER(SEARCH("C",'WetLitterbags placem_collection'!AD432)),"YES","NO")</f>
        <v>NO</v>
      </c>
      <c r="AH505" s="255" t="str">
        <f>IF(ISNUMBER(SEARCH("H", 'WetLitterbags placem_collection'!AF212)),"YES","NO")</f>
        <v>NO</v>
      </c>
      <c r="AI505" s="255" t="str">
        <f>IF(ISNUMBER(SEARCH("R", 'WetLitterbags placem_collection'!XF212)),"YES","NO")</f>
        <v>NO</v>
      </c>
      <c r="AJ505" s="255" t="str">
        <f>IF(ISNUMBER(SEARCH("C", 'WetLitterbags placem_collection'!WE212)),"YES","NO")</f>
        <v>NO</v>
      </c>
      <c r="AK505" s="255" t="str">
        <f>IF(ISNUMBER(SEARCH("H", 'WetLitterbags placem_collection'!AE212)),"YES","NO")</f>
        <v>NO</v>
      </c>
      <c r="AL505" s="255" t="str">
        <f>IF(ISNUMBER(SEARCH("R", 'WetLitterbags placem_collection'!AE212)),"YES","NO")</f>
        <v>NO</v>
      </c>
    </row>
    <row r="506" spans="2:38">
      <c r="B506" t="str">
        <f>'Final data_for_R_analysis_Wetse'!A652</f>
        <v>Wet</v>
      </c>
      <c r="C506" s="263">
        <f>'Final data_for_R_analysis_Wetse'!B652</f>
        <v>211</v>
      </c>
      <c r="D506" t="s">
        <v>2426</v>
      </c>
      <c r="E506" t="s">
        <v>25</v>
      </c>
      <c r="F506" s="387">
        <v>3</v>
      </c>
      <c r="G506" s="16">
        <f>'WetLitterbags placem_collection'!E213</f>
        <v>42769</v>
      </c>
      <c r="H506" s="92" t="str">
        <f>'Final data_for_R_analysis_Wetse'!J652</f>
        <v>G796</v>
      </c>
      <c r="I506" t="str">
        <f>'Final data_for_R_analysis_Wetse'!J872</f>
        <v>R589</v>
      </c>
      <c r="J506">
        <f>IFERROR(INDEX('Green_rooibos initial weight'!$C$5:$C$1749,MATCH(H506, 'Green_rooibos initial weight'!$A$5:$A$1749,0)),"")</f>
        <v>2.1070000000000002</v>
      </c>
      <c r="K506">
        <f>IFERROR(INDEX('Green_rooibos initial weight'!$C$5:$C$1749,MATCH(I506, 'Green_rooibos initial weight'!$A$5:$A$1749,0)),"")</f>
        <v>2.157</v>
      </c>
      <c r="L506" s="195">
        <f t="shared" si="76"/>
        <v>1.8572000000000002</v>
      </c>
      <c r="M506" s="195">
        <f>AVERAGE(Ashed_controlls!$K$2:$K$11)</f>
        <v>5.5147656768714146</v>
      </c>
      <c r="N506" s="195">
        <f t="shared" si="72"/>
        <v>1.7547797718491442</v>
      </c>
      <c r="O506" s="195">
        <f t="shared" si="77"/>
        <v>1.9072</v>
      </c>
      <c r="P506" s="195">
        <f>AVERAGE(Ashed_controlls!$K$12:$K$14)</f>
        <v>2.2816647271287041</v>
      </c>
      <c r="Q506" s="195">
        <f t="shared" si="78"/>
        <v>1.8636840903242013</v>
      </c>
      <c r="R506" s="16">
        <f>IF('WetLitterbags placem_collection'!G213="N.A","",'WetLitterbags placem_collection'!G213)</f>
        <v>42814</v>
      </c>
      <c r="S506" s="195">
        <f>IF(IFERROR(INDEX('Both teabags AfterWet'!$C$3:$C$841,MATCH(H506,'Both teabags AfterWet'!$A$3:$A$841,0)),"")="N.A","",(IFERROR(INDEX('Both teabags AfterWet'!$C$3:$C$841,MATCH(H506,'Both teabags AfterWet'!$A$3:$A$841,0)),"")))</f>
        <v>0.67200000000000004</v>
      </c>
      <c r="T506" s="195">
        <f>IFERROR(INDEX('Both teabags AfterWet'!$C$3:$C$841,MATCH(I506,'Both teabags AfterWet'!$A$3:$A$841,0)),"")</f>
        <v>1.5489999999999999</v>
      </c>
      <c r="U506" s="195">
        <f t="shared" si="79"/>
        <v>0.52140000000000009</v>
      </c>
      <c r="V506" s="195">
        <f t="shared" si="79"/>
        <v>1.3983999999999999</v>
      </c>
      <c r="W506" s="195">
        <f>IFERROR(INDEX('Ashed teabags wet'!$K$2:$K$821,MATCH(H506,'Ashed teabags wet'!$A$2:$A$821,0)),"")</f>
        <v>40.67127344521198</v>
      </c>
      <c r="X506" s="195">
        <f>IFERROR(INDEX('Ashed teabags wet'!$K$2:$K$821,MATCH(I506,'Ashed teabags wet'!$A$2:$A$821,0)),"")</f>
        <v>7.414730598121813</v>
      </c>
      <c r="Y506" s="195">
        <f t="shared" si="73"/>
        <v>0.30933998025666476</v>
      </c>
      <c r="Z506" s="195">
        <f t="shared" si="73"/>
        <v>1.2947124073158645</v>
      </c>
      <c r="AA506" s="195">
        <f t="shared" si="80"/>
        <v>0.82371578176406157</v>
      </c>
      <c r="AB506" s="195">
        <f t="shared" si="81"/>
        <v>0.54001319659591696</v>
      </c>
      <c r="AC506" s="195">
        <f t="shared" si="74"/>
        <v>0.69470593972320693</v>
      </c>
      <c r="AD506">
        <f t="shared" si="75"/>
        <v>45</v>
      </c>
      <c r="AE506" s="195">
        <f t="shared" si="82"/>
        <v>2.171522355812161E-2</v>
      </c>
      <c r="AF506" s="195">
        <f t="shared" si="83"/>
        <v>1.8515643169653335E-2</v>
      </c>
      <c r="AG506" s="255" t="str">
        <f>IF(ISNUMBER(SEARCH("C",'WetLitterbags placem_collection'!AD433)),"YES","NO")</f>
        <v>NO</v>
      </c>
      <c r="AH506" s="255" t="str">
        <f>IF(ISNUMBER(SEARCH("H", 'WetLitterbags placem_collection'!AF213)),"YES","NO")</f>
        <v>NO</v>
      </c>
      <c r="AI506" s="255" t="str">
        <f>IF(ISNUMBER(SEARCH("R", 'WetLitterbags placem_collection'!XF213)),"YES","NO")</f>
        <v>NO</v>
      </c>
      <c r="AJ506" s="255" t="str">
        <f>IF(ISNUMBER(SEARCH("C", 'WetLitterbags placem_collection'!WE213)),"YES","NO")</f>
        <v>NO</v>
      </c>
      <c r="AK506" s="255" t="str">
        <f>IF(ISNUMBER(SEARCH("H", 'WetLitterbags placem_collection'!AE213)),"YES","NO")</f>
        <v>NO</v>
      </c>
      <c r="AL506" s="255" t="str">
        <f>IF(ISNUMBER(SEARCH("R", 'WetLitterbags placem_collection'!AE213)),"YES","NO")</f>
        <v>NO</v>
      </c>
    </row>
    <row r="507" spans="2:38">
      <c r="B507" t="str">
        <f>'Final data_for_R_analysis_Wetse'!A653</f>
        <v>Wet</v>
      </c>
      <c r="C507" s="263">
        <f>'Final data_for_R_analysis_Wetse'!B653</f>
        <v>215</v>
      </c>
      <c r="D507" t="s">
        <v>2427</v>
      </c>
      <c r="E507" t="s">
        <v>25</v>
      </c>
      <c r="F507" s="387">
        <v>3</v>
      </c>
      <c r="G507" s="16">
        <f>'WetLitterbags placem_collection'!E214</f>
        <v>42769</v>
      </c>
      <c r="H507" s="92" t="str">
        <f>'Final data_for_R_analysis_Wetse'!J653</f>
        <v>G560</v>
      </c>
      <c r="I507" t="str">
        <f>'Final data_for_R_analysis_Wetse'!J873</f>
        <v>R130</v>
      </c>
      <c r="J507">
        <f>IFERROR(INDEX('Green_rooibos initial weight'!$C$5:$C$1749,MATCH(H507, 'Green_rooibos initial weight'!$A$5:$A$1749,0)),"")</f>
        <v>2.1219999999999999</v>
      </c>
      <c r="K507">
        <f>IFERROR(INDEX('Green_rooibos initial weight'!$C$5:$C$1749,MATCH(I507, 'Green_rooibos initial weight'!$A$5:$A$1749,0)),"")</f>
        <v>2.2410000000000001</v>
      </c>
      <c r="L507" s="195">
        <f t="shared" si="76"/>
        <v>1.8721999999999999</v>
      </c>
      <c r="M507" s="195">
        <f>AVERAGE(Ashed_controlls!$K$2:$K$11)</f>
        <v>5.5147656768714146</v>
      </c>
      <c r="N507" s="195">
        <f t="shared" si="72"/>
        <v>1.7689525569976132</v>
      </c>
      <c r="O507" s="195">
        <f t="shared" si="77"/>
        <v>1.9912000000000001</v>
      </c>
      <c r="P507" s="195">
        <f>AVERAGE(Ashed_controlls!$K$12:$K$14)</f>
        <v>2.2816647271287041</v>
      </c>
      <c r="Q507" s="195">
        <f t="shared" si="78"/>
        <v>1.9457674919534134</v>
      </c>
      <c r="R507" s="16">
        <f>IF('WetLitterbags placem_collection'!G214="N.A","",'WetLitterbags placem_collection'!G214)</f>
        <v>42813</v>
      </c>
      <c r="S507" s="195">
        <f>IF(IFERROR(INDEX('Both teabags AfterWet'!$C$3:$C$841,MATCH(H507,'Both teabags AfterWet'!$A$3:$A$841,0)),"")="N.A","",(IFERROR(INDEX('Both teabags AfterWet'!$C$3:$C$841,MATCH(H507,'Both teabags AfterWet'!$A$3:$A$841,0)),"")))</f>
        <v>1.4097999999999999</v>
      </c>
      <c r="T507" s="195">
        <f>IFERROR(INDEX('Both teabags AfterWet'!$C$3:$C$841,MATCH(I507,'Both teabags AfterWet'!$A$3:$A$841,0)),"")</f>
        <v>1.6712</v>
      </c>
      <c r="U507" s="195">
        <f t="shared" si="79"/>
        <v>1.2591999999999999</v>
      </c>
      <c r="V507" s="195">
        <f t="shared" si="79"/>
        <v>1.5206</v>
      </c>
      <c r="W507" s="195">
        <f>IFERROR(INDEX('Ashed teabags wet'!$K$2:$K$821,MATCH(H507,'Ashed teabags wet'!$A$2:$A$821,0)),"")</f>
        <v>39.082656473960213</v>
      </c>
      <c r="X507" s="195">
        <f>IFERROR(INDEX('Ashed teabags wet'!$K$2:$K$821,MATCH(I507,'Ashed teabags wet'!$A$2:$A$821,0)),"")</f>
        <v>7.2700296735904999</v>
      </c>
      <c r="Y507" s="195">
        <f t="shared" si="73"/>
        <v>0.76707118967989296</v>
      </c>
      <c r="Z507" s="195">
        <f t="shared" si="73"/>
        <v>1.4100519287833828</v>
      </c>
      <c r="AA507" s="195">
        <f t="shared" si="80"/>
        <v>0.56636983471065028</v>
      </c>
      <c r="AB507" s="195">
        <f t="shared" si="81"/>
        <v>0.37130183938275413</v>
      </c>
      <c r="AC507" s="195">
        <f t="shared" si="74"/>
        <v>0.72467647579402727</v>
      </c>
      <c r="AD507">
        <f t="shared" si="75"/>
        <v>44</v>
      </c>
      <c r="AE507" s="195">
        <f t="shared" si="82"/>
        <v>0.32735174024863389</v>
      </c>
      <c r="AF507" s="195">
        <f t="shared" si="83"/>
        <v>3.0747568924836554E-2</v>
      </c>
      <c r="AG507" s="255" t="str">
        <f>IF(ISNUMBER(SEARCH("C",'WetLitterbags placem_collection'!AD434)),"YES","NO")</f>
        <v>NO</v>
      </c>
      <c r="AH507" s="255" t="str">
        <f>IF(ISNUMBER(SEARCH("H", 'WetLitterbags placem_collection'!AF214)),"YES","NO")</f>
        <v>NO</v>
      </c>
      <c r="AI507" s="255" t="str">
        <f>IF(ISNUMBER(SEARCH("R", 'WetLitterbags placem_collection'!XF214)),"YES","NO")</f>
        <v>NO</v>
      </c>
      <c r="AJ507" s="255" t="str">
        <f>IF(ISNUMBER(SEARCH("C", 'WetLitterbags placem_collection'!WE214)),"YES","NO")</f>
        <v>NO</v>
      </c>
      <c r="AK507" s="255" t="str">
        <f>IF(ISNUMBER(SEARCH("H", 'WetLitterbags placem_collection'!AE214)),"YES","NO")</f>
        <v>NO</v>
      </c>
      <c r="AL507" s="255" t="str">
        <f>IF(ISNUMBER(SEARCH("R", 'WetLitterbags placem_collection'!AE214)),"YES","NO")</f>
        <v>NO</v>
      </c>
    </row>
    <row r="508" spans="2:38">
      <c r="B508" t="str">
        <f>'Final data_for_R_analysis_Wetse'!A654</f>
        <v>Wet</v>
      </c>
      <c r="C508" s="263">
        <f>'Final data_for_R_analysis_Wetse'!B654</f>
        <v>212</v>
      </c>
      <c r="D508" t="s">
        <v>2442</v>
      </c>
      <c r="E508" t="s">
        <v>25</v>
      </c>
      <c r="F508" s="387">
        <v>4</v>
      </c>
      <c r="G508" s="16">
        <f>'WetLitterbags placem_collection'!E215</f>
        <v>42769</v>
      </c>
      <c r="H508" s="92" t="str">
        <f>'Final data_for_R_analysis_Wetse'!J654</f>
        <v>G716</v>
      </c>
      <c r="I508" t="str">
        <f>'Final data_for_R_analysis_Wetse'!J874</f>
        <v>R111</v>
      </c>
      <c r="J508">
        <f>IFERROR(INDEX('Green_rooibos initial weight'!$C$5:$C$1749,MATCH(H508, 'Green_rooibos initial weight'!$A$5:$A$1749,0)),"")</f>
        <v>2.117</v>
      </c>
      <c r="K508">
        <f>IFERROR(INDEX('Green_rooibos initial weight'!$C$5:$C$1749,MATCH(I508, 'Green_rooibos initial weight'!$A$5:$A$1749,0)),"")</f>
        <v>2.3170000000000002</v>
      </c>
      <c r="L508" s="195">
        <f t="shared" si="76"/>
        <v>1.8672</v>
      </c>
      <c r="M508" s="195">
        <f>AVERAGE(Ashed_controlls!$K$2:$K$11)</f>
        <v>5.5147656768714146</v>
      </c>
      <c r="N508" s="195">
        <f t="shared" si="72"/>
        <v>1.764228295281457</v>
      </c>
      <c r="O508" s="195">
        <f t="shared" si="77"/>
        <v>2.0672000000000001</v>
      </c>
      <c r="P508" s="195">
        <f>AVERAGE(Ashed_controlls!$K$12:$K$14)</f>
        <v>2.2816647271287041</v>
      </c>
      <c r="Q508" s="195">
        <f t="shared" si="78"/>
        <v>2.0200334267607958</v>
      </c>
      <c r="R508" s="16">
        <f>IF('WetLitterbags placem_collection'!G215="N.A","",'WetLitterbags placem_collection'!G215)</f>
        <v>42813</v>
      </c>
      <c r="S508" s="195">
        <f>IF(IFERROR(INDEX('Both teabags AfterWet'!$C$3:$C$841,MATCH(H508,'Both teabags AfterWet'!$A$3:$A$841,0)),"")="N.A","",(IFERROR(INDEX('Both teabags AfterWet'!$C$3:$C$841,MATCH(H508,'Both teabags AfterWet'!$A$3:$A$841,0)),"")))</f>
        <v>0.83</v>
      </c>
      <c r="T508" s="195">
        <f>IFERROR(INDEX('Both teabags AfterWet'!$C$3:$C$841,MATCH(I508,'Both teabags AfterWet'!$A$3:$A$841,0)),"")</f>
        <v>1.587</v>
      </c>
      <c r="U508" s="195">
        <f t="shared" si="79"/>
        <v>0.6794</v>
      </c>
      <c r="V508" s="195">
        <f t="shared" si="79"/>
        <v>1.4363999999999999</v>
      </c>
      <c r="W508" s="195">
        <f>IFERROR(INDEX('Ashed teabags wet'!$K$2:$K$821,MATCH(H508,'Ashed teabags wet'!$A$2:$A$821,0)),"")</f>
        <v>8.2922013820333618</v>
      </c>
      <c r="X508" s="195">
        <f>IFERROR(INDEX('Ashed teabags wet'!$K$2:$K$821,MATCH(I508,'Ashed teabags wet'!$A$2:$A$821,0)),"")</f>
        <v>3.4013605442175416</v>
      </c>
      <c r="Y508" s="195">
        <f t="shared" si="73"/>
        <v>0.62306278381046531</v>
      </c>
      <c r="Z508" s="195">
        <f t="shared" si="73"/>
        <v>1.3875428571428592</v>
      </c>
      <c r="AA508" s="195">
        <f t="shared" si="80"/>
        <v>0.64683551132419359</v>
      </c>
      <c r="AB508" s="195">
        <f t="shared" si="81"/>
        <v>0.42405368438355689</v>
      </c>
      <c r="AC508" s="195">
        <f t="shared" si="74"/>
        <v>0.68689103792101081</v>
      </c>
      <c r="AD508">
        <f t="shared" si="75"/>
        <v>44</v>
      </c>
      <c r="AE508" s="195">
        <f t="shared" si="82"/>
        <v>0.23178680365297666</v>
      </c>
      <c r="AF508" s="195">
        <f t="shared" si="83"/>
        <v>3.0473363211701344E-2</v>
      </c>
      <c r="AG508" s="255" t="str">
        <f>IF(ISNUMBER(SEARCH("C",'WetLitterbags placem_collection'!AD435)),"YES","NO")</f>
        <v>NO</v>
      </c>
      <c r="AH508" s="255" t="str">
        <f>IF(ISNUMBER(SEARCH("H", 'WetLitterbags placem_collection'!AF215)),"YES","NO")</f>
        <v>NO</v>
      </c>
      <c r="AI508" s="255" t="str">
        <f>IF(ISNUMBER(SEARCH("R", 'WetLitterbags placem_collection'!XF215)),"YES","NO")</f>
        <v>NO</v>
      </c>
      <c r="AJ508" s="255" t="str">
        <f>IF(ISNUMBER(SEARCH("C", 'WetLitterbags placem_collection'!WE215)),"YES","NO")</f>
        <v>NO</v>
      </c>
      <c r="AK508" s="255" t="str">
        <f>IF(ISNUMBER(SEARCH("H", 'WetLitterbags placem_collection'!AE215)),"YES","NO")</f>
        <v>NO</v>
      </c>
      <c r="AL508" s="255" t="str">
        <f>IF(ISNUMBER(SEARCH("R", 'WetLitterbags placem_collection'!AE215)),"YES","NO")</f>
        <v>NO</v>
      </c>
    </row>
    <row r="509" spans="2:38">
      <c r="B509" t="str">
        <f>'Final data_for_R_analysis_Wetse'!A655</f>
        <v>Wet</v>
      </c>
      <c r="C509" s="263">
        <f>'Final data_for_R_analysis_Wetse'!B655</f>
        <v>213</v>
      </c>
      <c r="D509" t="s">
        <v>2450</v>
      </c>
      <c r="E509" t="s">
        <v>25</v>
      </c>
      <c r="F509" s="387">
        <v>1</v>
      </c>
      <c r="G509" s="16">
        <f>'WetLitterbags placem_collection'!E216</f>
        <v>42769</v>
      </c>
      <c r="H509" s="92" t="str">
        <f>'Final data_for_R_analysis_Wetse'!J655</f>
        <v>G581</v>
      </c>
      <c r="I509" t="str">
        <f>'Final data_for_R_analysis_Wetse'!J875</f>
        <v>R412</v>
      </c>
      <c r="J509">
        <f>IFERROR(INDEX('Green_rooibos initial weight'!$C$5:$C$1749,MATCH(H509, 'Green_rooibos initial weight'!$A$5:$A$1749,0)),"")</f>
        <v>2.0070000000000001</v>
      </c>
      <c r="K509">
        <f>IFERROR(INDEX('Green_rooibos initial weight'!$C$5:$C$1749,MATCH(I509, 'Green_rooibos initial weight'!$A$5:$A$1749,0)),"")</f>
        <v>2.2709999999999999</v>
      </c>
      <c r="L509" s="195">
        <f t="shared" si="76"/>
        <v>1.7572000000000001</v>
      </c>
      <c r="M509" s="195">
        <f>AVERAGE(Ashed_controlls!$K$2:$K$11)</f>
        <v>5.5147656768714146</v>
      </c>
      <c r="N509" s="195">
        <f t="shared" si="72"/>
        <v>1.6602945375260156</v>
      </c>
      <c r="O509" s="195">
        <f t="shared" si="77"/>
        <v>2.0211999999999999</v>
      </c>
      <c r="P509" s="195">
        <f>AVERAGE(Ashed_controlls!$K$12:$K$14)</f>
        <v>2.2816647271287041</v>
      </c>
      <c r="Q509" s="195">
        <f t="shared" si="78"/>
        <v>1.9750829925352744</v>
      </c>
      <c r="R509" s="16">
        <f>IF('WetLitterbags placem_collection'!G216="N.A","",'WetLitterbags placem_collection'!G216)</f>
        <v>42813</v>
      </c>
      <c r="S509" s="195">
        <f>IF(IFERROR(INDEX('Both teabags AfterWet'!$C$3:$C$841,MATCH(H509,'Both teabags AfterWet'!$A$3:$A$841,0)),"")="N.A","",(IFERROR(INDEX('Both teabags AfterWet'!$C$3:$C$841,MATCH(H509,'Both teabags AfterWet'!$A$3:$A$841,0)),"")))</f>
        <v>0.63400000000000001</v>
      </c>
      <c r="T509" s="195">
        <f>IFERROR(INDEX('Both teabags AfterWet'!$C$3:$C$841,MATCH(I509,'Both teabags AfterWet'!$A$3:$A$841,0)),"")</f>
        <v>1.4850000000000001</v>
      </c>
      <c r="U509" s="195">
        <f t="shared" si="79"/>
        <v>0.4834</v>
      </c>
      <c r="V509" s="195">
        <f t="shared" si="79"/>
        <v>1.3344</v>
      </c>
      <c r="W509" s="195">
        <f>IFERROR(INDEX('Ashed teabags wet'!$K$2:$K$821,MATCH(H509,'Ashed teabags wet'!$A$2:$A$821,0)),"")</f>
        <v>8.3576287657915547</v>
      </c>
      <c r="X509" s="195">
        <f>IFERROR(INDEX('Ashed teabags wet'!$K$2:$K$821,MATCH(I509,'Ashed teabags wet'!$A$2:$A$821,0)),"")</f>
        <v>5.5972013992993173</v>
      </c>
      <c r="Y509" s="195">
        <f t="shared" si="73"/>
        <v>0.44299922254616364</v>
      </c>
      <c r="Z509" s="195">
        <f t="shared" si="73"/>
        <v>1.2597109445277499</v>
      </c>
      <c r="AA509" s="195">
        <f t="shared" si="80"/>
        <v>0.73318034087718476</v>
      </c>
      <c r="AB509" s="195">
        <f t="shared" si="81"/>
        <v>0.4806597959194846</v>
      </c>
      <c r="AC509" s="195">
        <f t="shared" si="74"/>
        <v>0.63780152494288256</v>
      </c>
      <c r="AD509">
        <f t="shared" si="75"/>
        <v>44</v>
      </c>
      <c r="AE509" s="195">
        <f t="shared" si="82"/>
        <v>0.12923950014586127</v>
      </c>
      <c r="AF509" s="195">
        <f t="shared" si="83"/>
        <v>3.1831209859152804E-2</v>
      </c>
      <c r="AG509" s="255" t="str">
        <f>IF(ISNUMBER(SEARCH("C",'WetLitterbags placem_collection'!AD436)),"YES","NO")</f>
        <v>NO</v>
      </c>
      <c r="AH509" s="255" t="str">
        <f>IF(ISNUMBER(SEARCH("H", 'WetLitterbags placem_collection'!AF216)),"YES","NO")</f>
        <v>NO</v>
      </c>
      <c r="AI509" s="255" t="str">
        <f>IF(ISNUMBER(SEARCH("R", 'WetLitterbags placem_collection'!XF216)),"YES","NO")</f>
        <v>NO</v>
      </c>
      <c r="AJ509" s="255" t="str">
        <f>IF(ISNUMBER(SEARCH("C", 'WetLitterbags placem_collection'!WE216)),"YES","NO")</f>
        <v>NO</v>
      </c>
      <c r="AK509" s="255" t="str">
        <f>IF(ISNUMBER(SEARCH("H", 'WetLitterbags placem_collection'!AE216)),"YES","NO")</f>
        <v>NO</v>
      </c>
      <c r="AL509" s="255" t="str">
        <f>IF(ISNUMBER(SEARCH("R", 'WetLitterbags placem_collection'!AE216)),"YES","NO")</f>
        <v>NO</v>
      </c>
    </row>
    <row r="510" spans="2:38">
      <c r="B510" t="str">
        <f>'Final data_for_R_analysis_Wetse'!A656</f>
        <v>Wet</v>
      </c>
      <c r="C510" s="263">
        <f>'Final data_for_R_analysis_Wetse'!B656</f>
        <v>214</v>
      </c>
      <c r="D510" t="s">
        <v>2443</v>
      </c>
      <c r="E510" t="s">
        <v>25</v>
      </c>
      <c r="F510" s="387">
        <v>2</v>
      </c>
      <c r="G510" s="16">
        <f>'WetLitterbags placem_collection'!E217</f>
        <v>42769</v>
      </c>
      <c r="H510" s="92" t="str">
        <f>'Final data_for_R_analysis_Wetse'!J656</f>
        <v>G718</v>
      </c>
      <c r="I510" t="str">
        <f>'Final data_for_R_analysis_Wetse'!J876</f>
        <v>R434</v>
      </c>
      <c r="J510">
        <f>IFERROR(INDEX('Green_rooibos initial weight'!$C$5:$C$1749,MATCH(H510, 'Green_rooibos initial weight'!$A$5:$A$1749,0)),"")</f>
        <v>2.0369999999999999</v>
      </c>
      <c r="K510">
        <f>IFERROR(INDEX('Green_rooibos initial weight'!$C$5:$C$1749,MATCH(I510, 'Green_rooibos initial weight'!$A$5:$A$1749,0)),"")</f>
        <v>2.0840000000000001</v>
      </c>
      <c r="L510" s="195">
        <f t="shared" si="76"/>
        <v>1.7871999999999999</v>
      </c>
      <c r="M510" s="195">
        <f>AVERAGE(Ashed_controlls!$K$2:$K$11)</f>
        <v>5.5147656768714146</v>
      </c>
      <c r="N510" s="195">
        <f t="shared" si="72"/>
        <v>1.688640107822954</v>
      </c>
      <c r="O510" s="195">
        <f t="shared" si="77"/>
        <v>1.8342000000000001</v>
      </c>
      <c r="P510" s="195">
        <f>AVERAGE(Ashed_controlls!$K$12:$K$14)</f>
        <v>2.2816647271287041</v>
      </c>
      <c r="Q510" s="195">
        <f t="shared" si="78"/>
        <v>1.7923497055750053</v>
      </c>
      <c r="R510" s="16">
        <f>IF('WetLitterbags placem_collection'!G217="N.A","",'WetLitterbags placem_collection'!G217)</f>
        <v>42814</v>
      </c>
      <c r="S510" s="195">
        <f>IF(IFERROR(INDEX('Both teabags AfterWet'!$C$3:$C$841,MATCH(H510,'Both teabags AfterWet'!$A$3:$A$841,0)),"")="N.A","",(IFERROR(INDEX('Both teabags AfterWet'!$C$3:$C$841,MATCH(H510,'Both teabags AfterWet'!$A$3:$A$841,0)),"")))</f>
        <v>0.67769999999999997</v>
      </c>
      <c r="T510" s="195">
        <f>IFERROR(INDEX('Both teabags AfterWet'!$C$3:$C$841,MATCH(I510,'Both teabags AfterWet'!$A$3:$A$841,0)),"")</f>
        <v>1.5467</v>
      </c>
      <c r="U510" s="195">
        <f t="shared" si="79"/>
        <v>0.5270999999999999</v>
      </c>
      <c r="V510" s="195">
        <f t="shared" si="79"/>
        <v>1.3960999999999999</v>
      </c>
      <c r="W510" s="195">
        <f>IFERROR(INDEX('Ashed teabags wet'!$K$2:$K$821,MATCH(H510,'Ashed teabags wet'!$A$2:$A$821,0)),"")</f>
        <v>7.2942336126168659</v>
      </c>
      <c r="X510" s="195">
        <f>IFERROR(INDEX('Ashed teabags wet'!$K$2:$K$821,MATCH(I510,'Ashed teabags wet'!$A$2:$A$821,0)),"")</f>
        <v>2.1484374999999396</v>
      </c>
      <c r="Y510" s="195">
        <f t="shared" si="73"/>
        <v>0.48865209462789638</v>
      </c>
      <c r="Z510" s="195">
        <f t="shared" si="73"/>
        <v>1.3661056640625007</v>
      </c>
      <c r="AA510" s="195">
        <f t="shared" si="80"/>
        <v>0.71062389649273383</v>
      </c>
      <c r="AB510" s="195">
        <f t="shared" si="81"/>
        <v>0.46587219817575909</v>
      </c>
      <c r="AC510" s="195">
        <f t="shared" si="74"/>
        <v>0.76218701061143601</v>
      </c>
      <c r="AD510">
        <f t="shared" si="75"/>
        <v>45</v>
      </c>
      <c r="AE510" s="195">
        <f t="shared" si="82"/>
        <v>0.15602862649319016</v>
      </c>
      <c r="AF510" s="195">
        <f t="shared" si="83"/>
        <v>1.5873468017003702E-2</v>
      </c>
      <c r="AG510" s="255" t="str">
        <f>IF(ISNUMBER(SEARCH("C",'WetLitterbags placem_collection'!AD437)),"YES","NO")</f>
        <v>NO</v>
      </c>
      <c r="AH510" s="255" t="str">
        <f>IF(ISNUMBER(SEARCH("H", 'WetLitterbags placem_collection'!AF217)),"YES","NO")</f>
        <v>NO</v>
      </c>
      <c r="AI510" s="255" t="str">
        <f>IF(ISNUMBER(SEARCH("R", 'WetLitterbags placem_collection'!XF217)),"YES","NO")</f>
        <v>NO</v>
      </c>
      <c r="AJ510" s="255" t="str">
        <f>IF(ISNUMBER(SEARCH("C", 'WetLitterbags placem_collection'!WE217)),"YES","NO")</f>
        <v>NO</v>
      </c>
      <c r="AK510" s="255" t="str">
        <f>IF(ISNUMBER(SEARCH("H", 'WetLitterbags placem_collection'!AE217)),"YES","NO")</f>
        <v>NO</v>
      </c>
      <c r="AL510" s="255" t="str">
        <f>IF(ISNUMBER(SEARCH("R", 'WetLitterbags placem_collection'!AE217)),"YES","NO")</f>
        <v>NO</v>
      </c>
    </row>
    <row r="511" spans="2:38">
      <c r="B511" t="str">
        <f>'Final data_for_R_analysis_Wetse'!A657</f>
        <v>Wet</v>
      </c>
      <c r="C511" s="263">
        <f>'Final data_for_R_analysis_Wetse'!B657</f>
        <v>216</v>
      </c>
      <c r="D511" t="s">
        <v>2436</v>
      </c>
      <c r="E511" t="s">
        <v>25</v>
      </c>
      <c r="F511" s="387">
        <v>4</v>
      </c>
      <c r="G511" s="16">
        <f>'WetLitterbags placem_collection'!E218</f>
        <v>42769</v>
      </c>
      <c r="H511" s="92" t="str">
        <f>'Final data_for_R_analysis_Wetse'!J657</f>
        <v>G613</v>
      </c>
      <c r="I511" t="str">
        <f>'Final data_for_R_analysis_Wetse'!J877</f>
        <v>R457</v>
      </c>
      <c r="J511">
        <f>IFERROR(INDEX('Green_rooibos initial weight'!$C$5:$C$1749,MATCH(H511, 'Green_rooibos initial weight'!$A$5:$A$1749,0)),"")</f>
        <v>2.0339999999999998</v>
      </c>
      <c r="K511">
        <f>IFERROR(INDEX('Green_rooibos initial weight'!$C$5:$C$1749,MATCH(I511, 'Green_rooibos initial weight'!$A$5:$A$1749,0)),"")</f>
        <v>2.2410000000000001</v>
      </c>
      <c r="L511" s="195">
        <f t="shared" si="76"/>
        <v>1.7841999999999998</v>
      </c>
      <c r="M511" s="195">
        <f>AVERAGE(Ashed_controlls!$K$2:$K$11)</f>
        <v>5.5147656768714146</v>
      </c>
      <c r="N511" s="195">
        <f t="shared" si="72"/>
        <v>1.6858055507932601</v>
      </c>
      <c r="O511" s="195">
        <f t="shared" si="77"/>
        <v>1.9912000000000001</v>
      </c>
      <c r="P511" s="195">
        <f>AVERAGE(Ashed_controlls!$K$12:$K$14)</f>
        <v>2.2816647271287041</v>
      </c>
      <c r="Q511" s="195">
        <f t="shared" si="78"/>
        <v>1.9457674919534134</v>
      </c>
      <c r="R511" s="16">
        <f>IF('WetLitterbags placem_collection'!G218="N.A","",'WetLitterbags placem_collection'!G218)</f>
        <v>42814</v>
      </c>
      <c r="S511" s="195">
        <f>IF(IFERROR(INDEX('Both teabags AfterWet'!$C$3:$C$841,MATCH(H511,'Both teabags AfterWet'!$A$3:$A$841,0)),"")="N.A","",(IFERROR(INDEX('Both teabags AfterWet'!$C$3:$C$841,MATCH(H511,'Both teabags AfterWet'!$A$3:$A$841,0)),"")))</f>
        <v>0.82499999999999996</v>
      </c>
      <c r="T511" s="195">
        <f>IFERROR(INDEX('Both teabags AfterWet'!$C$3:$C$841,MATCH(I511,'Both teabags AfterWet'!$A$3:$A$841,0)),"")</f>
        <v>1.5940000000000001</v>
      </c>
      <c r="U511" s="195">
        <f t="shared" si="79"/>
        <v>0.67439999999999989</v>
      </c>
      <c r="V511" s="195">
        <f t="shared" si="79"/>
        <v>1.4434</v>
      </c>
      <c r="W511" s="195">
        <f>IFERROR(INDEX('Ashed teabags wet'!$K$2:$K$821,MATCH(H511,'Ashed teabags wet'!$A$2:$A$821,0)),"")</f>
        <v>7.3429951690818136</v>
      </c>
      <c r="X511" s="195">
        <f>IFERROR(INDEX('Ashed teabags wet'!$K$2:$K$821,MATCH(I511,'Ashed teabags wet'!$A$2:$A$821,0)),"")</f>
        <v>3.2951289398278099</v>
      </c>
      <c r="Y511" s="195">
        <f t="shared" si="73"/>
        <v>0.6248788405797121</v>
      </c>
      <c r="Z511" s="195">
        <f t="shared" si="73"/>
        <v>1.3958381088825254</v>
      </c>
      <c r="AA511" s="195">
        <f t="shared" si="80"/>
        <v>0.62932923059502688</v>
      </c>
      <c r="AB511" s="195">
        <f t="shared" si="81"/>
        <v>0.41257688276538584</v>
      </c>
      <c r="AC511" s="195">
        <f t="shared" si="74"/>
        <v>0.71737148177000443</v>
      </c>
      <c r="AD511">
        <f t="shared" si="75"/>
        <v>45</v>
      </c>
      <c r="AE511" s="195">
        <f t="shared" si="82"/>
        <v>0.25257811093227212</v>
      </c>
      <c r="AF511" s="195">
        <f t="shared" si="83"/>
        <v>2.5673008782187406E-2</v>
      </c>
      <c r="AG511" s="255" t="str">
        <f>IF(ISNUMBER(SEARCH("C",'WetLitterbags placem_collection'!AD438)),"YES","NO")</f>
        <v>NO</v>
      </c>
      <c r="AH511" s="255" t="str">
        <f>IF(ISNUMBER(SEARCH("H", 'WetLitterbags placem_collection'!AF218)),"YES","NO")</f>
        <v>NO</v>
      </c>
      <c r="AI511" s="255" t="str">
        <f>IF(ISNUMBER(SEARCH("R", 'WetLitterbags placem_collection'!XF218)),"YES","NO")</f>
        <v>NO</v>
      </c>
      <c r="AJ511" s="255" t="str">
        <f>IF(ISNUMBER(SEARCH("C", 'WetLitterbags placem_collection'!WE218)),"YES","NO")</f>
        <v>NO</v>
      </c>
      <c r="AK511" s="255" t="str">
        <f>IF(ISNUMBER(SEARCH("H", 'WetLitterbags placem_collection'!AE218)),"YES","NO")</f>
        <v>NO</v>
      </c>
      <c r="AL511" s="255" t="str">
        <f>IF(ISNUMBER(SEARCH("R", 'WetLitterbags placem_collection'!AE218)),"YES","NO")</f>
        <v>NO</v>
      </c>
    </row>
    <row r="512" spans="2:38">
      <c r="B512" t="str">
        <f>'Final data_for_R_analysis_Wetse'!A658</f>
        <v>Wet</v>
      </c>
      <c r="C512" s="263">
        <f>'Final data_for_R_analysis_Wetse'!B658</f>
        <v>217</v>
      </c>
      <c r="D512" t="s">
        <v>2429</v>
      </c>
      <c r="E512" t="s">
        <v>25</v>
      </c>
      <c r="F512" s="387">
        <v>1</v>
      </c>
      <c r="G512" s="16">
        <f>'WetLitterbags placem_collection'!E219</f>
        <v>42769</v>
      </c>
      <c r="H512" s="92" t="str">
        <f>'Final data_for_R_analysis_Wetse'!J658</f>
        <v>G804</v>
      </c>
      <c r="I512" t="str">
        <f>'Final data_for_R_analysis_Wetse'!J878</f>
        <v>R410</v>
      </c>
      <c r="J512">
        <f>IFERROR(INDEX('Green_rooibos initial weight'!$C$5:$C$1749,MATCH(H512, 'Green_rooibos initial weight'!$A$5:$A$1749,0)),"")</f>
        <v>2.028</v>
      </c>
      <c r="K512">
        <f>IFERROR(INDEX('Green_rooibos initial weight'!$C$5:$C$1749,MATCH(I512, 'Green_rooibos initial weight'!$A$5:$A$1749,0)),"")</f>
        <v>2.1930000000000001</v>
      </c>
      <c r="L512" s="195">
        <f t="shared" si="76"/>
        <v>1.7782</v>
      </c>
      <c r="M512" s="195">
        <f>AVERAGE(Ashed_controlls!$K$2:$K$11)</f>
        <v>5.5147656768714146</v>
      </c>
      <c r="N512" s="195">
        <f t="shared" si="72"/>
        <v>1.6801364367338725</v>
      </c>
      <c r="O512" s="195">
        <f t="shared" si="77"/>
        <v>1.9432</v>
      </c>
      <c r="P512" s="195">
        <f>AVERAGE(Ashed_controlls!$K$12:$K$14)</f>
        <v>2.2816647271287041</v>
      </c>
      <c r="Q512" s="195">
        <f t="shared" si="78"/>
        <v>1.8988626910224351</v>
      </c>
      <c r="R512" s="16">
        <f>IF('WetLitterbags placem_collection'!G219="N.A","",'WetLitterbags placem_collection'!G219)</f>
        <v>42814</v>
      </c>
      <c r="S512" s="195">
        <f>IF(IFERROR(INDEX('Both teabags AfterWet'!$C$3:$C$841,MATCH(H512,'Both teabags AfterWet'!$A$3:$A$841,0)),"")="N.A","",(IFERROR(INDEX('Both teabags AfterWet'!$C$3:$C$841,MATCH(H512,'Both teabags AfterWet'!$A$3:$A$841,0)),"")))</f>
        <v>0.66200000000000003</v>
      </c>
      <c r="T512" s="195">
        <f>IFERROR(INDEX('Both teabags AfterWet'!$C$3:$C$841,MATCH(I512,'Both teabags AfterWet'!$A$3:$A$841,0)),"")</f>
        <v>1.488</v>
      </c>
      <c r="U512" s="195">
        <f t="shared" si="79"/>
        <v>0.51140000000000008</v>
      </c>
      <c r="V512" s="195">
        <f t="shared" si="79"/>
        <v>1.3373999999999999</v>
      </c>
      <c r="W512" s="195">
        <f>IFERROR(INDEX('Ashed teabags wet'!$K$2:$K$821,MATCH(H512,'Ashed teabags wet'!$A$2:$A$821,0)),"")</f>
        <v>8.5770946950907749</v>
      </c>
      <c r="X512" s="195">
        <f>IFERROR(INDEX('Ashed teabags wet'!$K$2:$K$821,MATCH(I512,'Ashed teabags wet'!$A$2:$A$821,0)),"")</f>
        <v>4.277286135692731</v>
      </c>
      <c r="Y512" s="195">
        <f t="shared" si="73"/>
        <v>0.46753673772930582</v>
      </c>
      <c r="Z512" s="195">
        <f t="shared" si="73"/>
        <v>1.2801955752212453</v>
      </c>
      <c r="AA512" s="195">
        <f t="shared" si="80"/>
        <v>0.72172692198844213</v>
      </c>
      <c r="AB512" s="195">
        <f t="shared" si="81"/>
        <v>0.47315114125608093</v>
      </c>
      <c r="AC512" s="195">
        <f t="shared" si="74"/>
        <v>0.67419070440102702</v>
      </c>
      <c r="AD512">
        <f t="shared" si="75"/>
        <v>45</v>
      </c>
      <c r="AE512" s="195">
        <f t="shared" si="82"/>
        <v>0.14284213540565061</v>
      </c>
      <c r="AF512" s="195">
        <f t="shared" si="83"/>
        <v>2.5925766828802793E-2</v>
      </c>
      <c r="AG512" s="255" t="str">
        <f>IF(ISNUMBER(SEARCH("C",'WetLitterbags placem_collection'!AD439)),"YES","NO")</f>
        <v>NO</v>
      </c>
      <c r="AH512" s="255" t="str">
        <f>IF(ISNUMBER(SEARCH("H", 'WetLitterbags placem_collection'!AF219)),"YES","NO")</f>
        <v>NO</v>
      </c>
      <c r="AI512" s="255" t="str">
        <f>IF(ISNUMBER(SEARCH("R", 'WetLitterbags placem_collection'!XF219)),"YES","NO")</f>
        <v>NO</v>
      </c>
      <c r="AJ512" s="255" t="str">
        <f>IF(ISNUMBER(SEARCH("C", 'WetLitterbags placem_collection'!WE219)),"YES","NO")</f>
        <v>NO</v>
      </c>
      <c r="AK512" s="255" t="str">
        <f>IF(ISNUMBER(SEARCH("H", 'WetLitterbags placem_collection'!AE219)),"YES","NO")</f>
        <v>NO</v>
      </c>
      <c r="AL512" s="255" t="str">
        <f>IF(ISNUMBER(SEARCH("R", 'WetLitterbags placem_collection'!AE219)),"YES","NO")</f>
        <v>NO</v>
      </c>
    </row>
    <row r="513" spans="2:38">
      <c r="B513" t="str">
        <f>'Final data_for_R_analysis_Wetse'!A659</f>
        <v>Wet</v>
      </c>
      <c r="C513" s="263">
        <f>'Final data_for_R_analysis_Wetse'!B659</f>
        <v>218</v>
      </c>
      <c r="D513" t="s">
        <v>2437</v>
      </c>
      <c r="E513" t="s">
        <v>25</v>
      </c>
      <c r="F513" s="387">
        <v>2</v>
      </c>
      <c r="G513" s="16">
        <f>'WetLitterbags placem_collection'!E220</f>
        <v>42769</v>
      </c>
      <c r="H513" s="92" t="str">
        <f>'Final data_for_R_analysis_Wetse'!J659</f>
        <v>G587</v>
      </c>
      <c r="I513" t="str">
        <f>'Final data_for_R_analysis_Wetse'!J879</f>
        <v>R103</v>
      </c>
      <c r="J513">
        <f>IFERROR(INDEX('Green_rooibos initial weight'!$C$5:$C$1749,MATCH(H513, 'Green_rooibos initial weight'!$A$5:$A$1749,0)),"")</f>
        <v>2.0640000000000001</v>
      </c>
      <c r="K513">
        <f>IFERROR(INDEX('Green_rooibos initial weight'!$C$5:$C$1749,MATCH(I513, 'Green_rooibos initial weight'!$A$5:$A$1749,0)),"")</f>
        <v>2.246</v>
      </c>
      <c r="L513" s="195">
        <f t="shared" si="76"/>
        <v>1.8142</v>
      </c>
      <c r="M513" s="195">
        <f>AVERAGE(Ashed_controlls!$K$2:$K$11)</f>
        <v>5.5147656768714146</v>
      </c>
      <c r="N513" s="195">
        <f t="shared" si="72"/>
        <v>1.7141511210901987</v>
      </c>
      <c r="O513" s="195">
        <f t="shared" si="77"/>
        <v>1.9962</v>
      </c>
      <c r="P513" s="195">
        <f>AVERAGE(Ashed_controlls!$K$12:$K$14)</f>
        <v>2.2816647271287041</v>
      </c>
      <c r="Q513" s="195">
        <f t="shared" si="78"/>
        <v>1.9506534087170568</v>
      </c>
      <c r="R513" s="16">
        <f>IF('WetLitterbags placem_collection'!G220="N.A","",'WetLitterbags placem_collection'!G220)</f>
        <v>42814</v>
      </c>
      <c r="S513" s="195">
        <f>IF(IFERROR(INDEX('Both teabags AfterWet'!$C$3:$C$841,MATCH(H513,'Both teabags AfterWet'!$A$3:$A$841,0)),"")="N.A","",(IFERROR(INDEX('Both teabags AfterWet'!$C$3:$C$841,MATCH(H513,'Both teabags AfterWet'!$A$3:$A$841,0)),"")))</f>
        <v>0.7167</v>
      </c>
      <c r="T513" s="195">
        <f>IFERROR(INDEX('Both teabags AfterWet'!$C$3:$C$841,MATCH(I513,'Both teabags AfterWet'!$A$3:$A$841,0)),"")</f>
        <v>1.4296</v>
      </c>
      <c r="U513" s="195">
        <f t="shared" si="79"/>
        <v>0.56610000000000005</v>
      </c>
      <c r="V513" s="195">
        <f t="shared" si="79"/>
        <v>1.2789999999999999</v>
      </c>
      <c r="W513" s="195">
        <f>IFERROR(INDEX('Ashed teabags wet'!$K$2:$K$821,MATCH(H513,'Ashed teabags wet'!$A$2:$A$821,0)),"")</f>
        <v>13.067061143984493</v>
      </c>
      <c r="X513" s="195">
        <f>IFERROR(INDEX('Ashed teabags wet'!$K$2:$K$821,MATCH(I513,'Ashed teabags wet'!$A$2:$A$821,0)),"")</f>
        <v>5.6706114398422001</v>
      </c>
      <c r="Y513" s="195">
        <f t="shared" si="73"/>
        <v>0.49212736686390379</v>
      </c>
      <c r="Z513" s="195">
        <f t="shared" si="73"/>
        <v>1.2064728796844182</v>
      </c>
      <c r="AA513" s="195">
        <f t="shared" si="80"/>
        <v>0.71290316191555436</v>
      </c>
      <c r="AB513" s="195">
        <f t="shared" si="81"/>
        <v>0.46736644344107608</v>
      </c>
      <c r="AC513" s="195">
        <f t="shared" si="74"/>
        <v>0.61849679409624825</v>
      </c>
      <c r="AD513">
        <f t="shared" si="75"/>
        <v>45</v>
      </c>
      <c r="AE513" s="195">
        <f t="shared" si="82"/>
        <v>0.15332166043283324</v>
      </c>
      <c r="AF513" s="195">
        <f t="shared" si="83"/>
        <v>3.7652396804058443E-2</v>
      </c>
      <c r="AG513" s="255" t="str">
        <f>IF(ISNUMBER(SEARCH("C",'WetLitterbags placem_collection'!AD440)),"YES","NO")</f>
        <v>NO</v>
      </c>
      <c r="AH513" s="255" t="str">
        <f>IF(ISNUMBER(SEARCH("H", 'WetLitterbags placem_collection'!AF220)),"YES","NO")</f>
        <v>NO</v>
      </c>
      <c r="AI513" s="255" t="str">
        <f>IF(ISNUMBER(SEARCH("R", 'WetLitterbags placem_collection'!XF220)),"YES","NO")</f>
        <v>NO</v>
      </c>
      <c r="AJ513" s="255" t="str">
        <f>IF(ISNUMBER(SEARCH("C", 'WetLitterbags placem_collection'!WE220)),"YES","NO")</f>
        <v>NO</v>
      </c>
      <c r="AK513" s="255" t="str">
        <f>IF(ISNUMBER(SEARCH("H", 'WetLitterbags placem_collection'!AE220)),"YES","NO")</f>
        <v>NO</v>
      </c>
      <c r="AL513" s="255" t="str">
        <f>IF(ISNUMBER(SEARCH("R", 'WetLitterbags placem_collection'!AE220)),"YES","NO")</f>
        <v>NO</v>
      </c>
    </row>
    <row r="514" spans="2:38">
      <c r="B514" t="str">
        <f>'Final data_for_R_analysis_Wetse'!A660</f>
        <v>Wet</v>
      </c>
      <c r="C514" s="263">
        <f>'Final data_for_R_analysis_Wetse'!B660</f>
        <v>219</v>
      </c>
      <c r="D514" t="s">
        <v>2444</v>
      </c>
      <c r="E514" t="s">
        <v>25</v>
      </c>
      <c r="F514" s="387">
        <v>3</v>
      </c>
      <c r="G514" s="16">
        <f>'WetLitterbags placem_collection'!E221</f>
        <v>42769</v>
      </c>
      <c r="H514" s="92" t="str">
        <f>'Final data_for_R_analysis_Wetse'!J660</f>
        <v>G491</v>
      </c>
      <c r="I514" t="str">
        <f>'Final data_for_R_analysis_Wetse'!J880</f>
        <v>R356</v>
      </c>
      <c r="J514">
        <f>IFERROR(INDEX('Green_rooibos initial weight'!$C$5:$C$1749,MATCH(H514, 'Green_rooibos initial weight'!$A$5:$A$1749,0)),"")</f>
        <v>2.0249999999999999</v>
      </c>
      <c r="K514">
        <f>IFERROR(INDEX('Green_rooibos initial weight'!$C$5:$C$1749,MATCH(I514, 'Green_rooibos initial weight'!$A$5:$A$1749,0)),"")</f>
        <v>2.1619999999999999</v>
      </c>
      <c r="L514" s="195">
        <f t="shared" si="76"/>
        <v>1.7751999999999999</v>
      </c>
      <c r="M514" s="195">
        <f>AVERAGE(Ashed_controlls!$K$2:$K$11)</f>
        <v>5.5147656768714146</v>
      </c>
      <c r="N514" s="195">
        <f t="shared" si="72"/>
        <v>1.6773018797041785</v>
      </c>
      <c r="O514" s="195">
        <f t="shared" si="77"/>
        <v>1.9121999999999999</v>
      </c>
      <c r="P514" s="195">
        <f>AVERAGE(Ashed_controlls!$K$12:$K$14)</f>
        <v>2.2816647271287041</v>
      </c>
      <c r="Q514" s="195">
        <f t="shared" si="78"/>
        <v>1.8685700070878448</v>
      </c>
      <c r="R514" s="16">
        <f>IF('WetLitterbags placem_collection'!G221="N.A","",'WetLitterbags placem_collection'!G221)</f>
        <v>42813</v>
      </c>
      <c r="S514" s="195">
        <f>IF(IFERROR(INDEX('Both teabags AfterWet'!$C$3:$C$841,MATCH(H514,'Both teabags AfterWet'!$A$3:$A$841,0)),"")="N.A","",(IFERROR(INDEX('Both teabags AfterWet'!$C$3:$C$841,MATCH(H514,'Both teabags AfterWet'!$A$3:$A$841,0)),"")))</f>
        <v>0.65569999999999995</v>
      </c>
      <c r="T514" s="195">
        <f>IFERROR(INDEX('Both teabags AfterWet'!$C$3:$C$841,MATCH(I514,'Both teabags AfterWet'!$A$3:$A$841,0)),"")</f>
        <v>1.4823</v>
      </c>
      <c r="U514" s="195">
        <f t="shared" si="79"/>
        <v>0.50509999999999988</v>
      </c>
      <c r="V514" s="195">
        <f t="shared" si="79"/>
        <v>1.3316999999999999</v>
      </c>
      <c r="W514" s="195">
        <f>IFERROR(INDEX('Ashed teabags wet'!$K$2:$K$821,MATCH(H514,'Ashed teabags wet'!$A$2:$A$821,0)),"")</f>
        <v>11.643835616438309</v>
      </c>
      <c r="X514" s="195">
        <f>IFERROR(INDEX('Ashed teabags wet'!$K$2:$K$821,MATCH(I514,'Ashed teabags wet'!$A$2:$A$821,0)),"")</f>
        <v>7.426928605653603</v>
      </c>
      <c r="Y514" s="195">
        <f t="shared" si="73"/>
        <v>0.44628698630136998</v>
      </c>
      <c r="Z514" s="195">
        <f t="shared" si="73"/>
        <v>1.2327955917585109</v>
      </c>
      <c r="AA514" s="195">
        <f t="shared" si="80"/>
        <v>0.73392566257656577</v>
      </c>
      <c r="AB514" s="195">
        <f t="shared" si="81"/>
        <v>0.48114841537086028</v>
      </c>
      <c r="AC514" s="195">
        <f t="shared" si="74"/>
        <v>0.65975349442743947</v>
      </c>
      <c r="AD514">
        <f t="shared" si="75"/>
        <v>44</v>
      </c>
      <c r="AE514" s="195">
        <f t="shared" si="82"/>
        <v>0.12835431998032565</v>
      </c>
      <c r="AF514" s="195">
        <f t="shared" si="83"/>
        <v>2.7911631938232505E-2</v>
      </c>
      <c r="AG514" s="255" t="str">
        <f>IF(ISNUMBER(SEARCH("C",'WetLitterbags placem_collection'!AD441)),"YES","NO")</f>
        <v>NO</v>
      </c>
      <c r="AH514" s="255" t="str">
        <f>IF(ISNUMBER(SEARCH("H", 'WetLitterbags placem_collection'!AF221)),"YES","NO")</f>
        <v>NO</v>
      </c>
      <c r="AI514" s="255" t="str">
        <f>IF(ISNUMBER(SEARCH("R", 'WetLitterbags placem_collection'!XF221)),"YES","NO")</f>
        <v>NO</v>
      </c>
      <c r="AJ514" s="255" t="str">
        <f>IF(ISNUMBER(SEARCH("C", 'WetLitterbags placem_collection'!WE221)),"YES","NO")</f>
        <v>NO</v>
      </c>
      <c r="AK514" s="255" t="str">
        <f>IF(ISNUMBER(SEARCH("H", 'WetLitterbags placem_collection'!AE221)),"YES","NO")</f>
        <v>NO</v>
      </c>
      <c r="AL514" s="255" t="str">
        <f>IF(ISNUMBER(SEARCH("R", 'WetLitterbags placem_collection'!AE221)),"YES","NO")</f>
        <v>NO</v>
      </c>
    </row>
    <row r="515" spans="2:38">
      <c r="B515" t="str">
        <f>'Final data_for_R_analysis_Wetse'!A661</f>
        <v>Wet</v>
      </c>
      <c r="C515" s="386">
        <f>'Final data_for_R_analysis_Wetse'!B661</f>
        <v>220</v>
      </c>
      <c r="D515" t="s">
        <v>2451</v>
      </c>
      <c r="E515" t="s">
        <v>25</v>
      </c>
      <c r="F515" s="387">
        <v>4</v>
      </c>
      <c r="G515" s="388">
        <f>'WetLitterbags placem_collection'!E222</f>
        <v>42769</v>
      </c>
      <c r="H515" s="92" t="str">
        <f>'Final data_for_R_analysis_Wetse'!J661</f>
        <v>G849</v>
      </c>
      <c r="I515" s="92" t="str">
        <f>'Final data_for_R_analysis_Wetse'!J881</f>
        <v>R319</v>
      </c>
      <c r="J515" s="92">
        <f>IFERROR(INDEX('Green_rooibos initial weight'!$C$5:$C$1749,MATCH(H515, 'Green_rooibos initial weight'!$A$5:$A$1749,0)),"")</f>
        <v>2.1070000000000002</v>
      </c>
      <c r="K515" s="92">
        <f>IFERROR(INDEX('Green_rooibos initial weight'!$C$5:$C$1749,MATCH(I515, 'Green_rooibos initial weight'!$A$5:$A$1749,0)),"")</f>
        <v>2.1709999999999998</v>
      </c>
      <c r="L515" s="195">
        <f t="shared" si="76"/>
        <v>1.8572000000000002</v>
      </c>
      <c r="M515" s="195">
        <f>AVERAGE(Ashed_controlls!$K$2:$K$11)</f>
        <v>5.5147656768714146</v>
      </c>
      <c r="N515" s="389">
        <f t="shared" si="72"/>
        <v>1.7547797718491442</v>
      </c>
      <c r="O515" s="195">
        <f t="shared" si="77"/>
        <v>1.9211999999999998</v>
      </c>
      <c r="P515" s="195">
        <f>AVERAGE(Ashed_controlls!$K$12:$K$14)</f>
        <v>2.2816647271287041</v>
      </c>
      <c r="Q515" s="195">
        <f t="shared" si="78"/>
        <v>1.8773646572624032</v>
      </c>
      <c r="R515" s="388">
        <f>IF('WetLitterbags placem_collection'!G222="N.A","",'WetLitterbags placem_collection'!G222)</f>
        <v>42813</v>
      </c>
      <c r="S515" s="389">
        <f>IF(IFERROR(INDEX('Both teabags AfterWet'!$C$3:$C$841,MATCH(H515,'Both teabags AfterWet'!$A$3:$A$841,0)),"")="N.A","",(IFERROR(INDEX('Both teabags AfterWet'!$C$3:$C$841,MATCH(H515,'Both teabags AfterWet'!$A$3:$A$841,0)),"")))</f>
        <v>0.65239999999999998</v>
      </c>
      <c r="T515" s="195">
        <f>IFERROR(INDEX('Both teabags AfterWet'!$C$3:$C$841,MATCH(I515,'Both teabags AfterWet'!$A$3:$A$841,0)),"")</f>
        <v>1.5328999999999999</v>
      </c>
      <c r="U515" s="195">
        <f t="shared" si="79"/>
        <v>0.50180000000000002</v>
      </c>
      <c r="V515" s="195">
        <f t="shared" si="79"/>
        <v>1.3822999999999999</v>
      </c>
      <c r="W515" s="195">
        <f>IFERROR(INDEX('Ashed teabags wet'!$K$2:$K$821,MATCH(H515,'Ashed teabags wet'!$A$2:$A$821,0)),"")</f>
        <v>11.566979733070331</v>
      </c>
      <c r="X515" s="195">
        <f>IFERROR(INDEX('Ashed teabags wet'!$K$2:$K$821,MATCH(I515,'Ashed teabags wet'!$A$2:$A$821,0)),"")</f>
        <v>5.0223769269016794</v>
      </c>
      <c r="Y515" s="389">
        <f t="shared" si="73"/>
        <v>0.44375689569945309</v>
      </c>
      <c r="Z515" s="389">
        <f t="shared" si="73"/>
        <v>1.312875683739438</v>
      </c>
      <c r="AA515" s="195">
        <f t="shared" si="80"/>
        <v>0.74711533446055578</v>
      </c>
      <c r="AB515" s="195">
        <f t="shared" si="81"/>
        <v>0.4897953261546637</v>
      </c>
      <c r="AC515" s="195">
        <f t="shared" si="74"/>
        <v>0.69931841885949309</v>
      </c>
      <c r="AD515" s="92">
        <f t="shared" si="75"/>
        <v>44</v>
      </c>
      <c r="AE515" s="195">
        <f t="shared" si="82"/>
        <v>0.11268962653140646</v>
      </c>
      <c r="AF515" s="195">
        <f t="shared" si="83"/>
        <v>2.1628157786608673E-2</v>
      </c>
      <c r="AG515" s="255" t="str">
        <f>IF(ISNUMBER(SEARCH("C",'WetLitterbags placem_collection'!AD442)),"YES","NO")</f>
        <v>NO</v>
      </c>
      <c r="AH515" s="255" t="str">
        <f>IF(ISNUMBER(SEARCH("H", 'WetLitterbags placem_collection'!AF222)),"YES","NO")</f>
        <v>NO</v>
      </c>
      <c r="AI515" s="255" t="str">
        <f>IF(ISNUMBER(SEARCH("R", 'WetLitterbags placem_collection'!XF222)),"YES","NO")</f>
        <v>NO</v>
      </c>
      <c r="AJ515" s="255" t="str">
        <f>IF(ISNUMBER(SEARCH("C", 'WetLitterbags placem_collection'!WE222)),"YES","NO")</f>
        <v>NO</v>
      </c>
      <c r="AK515" s="255" t="str">
        <f>IF(ISNUMBER(SEARCH("H", 'WetLitterbags placem_collection'!AE222)),"YES","NO")</f>
        <v>NO</v>
      </c>
      <c r="AL515" s="255" t="str">
        <f>IF(ISNUMBER(SEARCH("R", 'WetLitterbags placem_collection'!AE222)),"YES","NO")</f>
        <v>NO</v>
      </c>
    </row>
  </sheetData>
  <mergeCells count="51">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7357B-B6AB-4A32-B166-14D4708ADDA1}">
  <dimension ref="A1:AO515"/>
  <sheetViews>
    <sheetView topLeftCell="B364" zoomScale="70" zoomScaleNormal="70" workbookViewId="0">
      <selection activeCell="I384" sqref="I384"/>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20" t="s">
        <v>0</v>
      </c>
      <c r="C12" s="421"/>
      <c r="D12" s="421"/>
      <c r="E12" s="421"/>
      <c r="F12" s="308" t="s">
        <v>3804</v>
      </c>
      <c r="G12" s="312"/>
      <c r="H12" s="312"/>
      <c r="I12" s="312"/>
      <c r="K12" s="310"/>
      <c r="L12" s="311"/>
      <c r="M12" s="311"/>
    </row>
    <row r="13" spans="2:13" s="303" customFormat="1">
      <c r="B13" s="418" t="s">
        <v>3805</v>
      </c>
      <c r="C13" s="419"/>
      <c r="D13" s="419"/>
      <c r="E13" s="419"/>
      <c r="F13" s="313" t="s">
        <v>3806</v>
      </c>
      <c r="G13" s="312"/>
      <c r="H13" s="312"/>
      <c r="I13" s="312"/>
      <c r="K13" s="310"/>
      <c r="L13" s="311"/>
      <c r="M13" s="311"/>
    </row>
    <row r="14" spans="2:13" s="303" customFormat="1">
      <c r="B14" s="418" t="s">
        <v>1</v>
      </c>
      <c r="C14" s="419"/>
      <c r="D14" s="419"/>
      <c r="E14" s="419"/>
      <c r="F14" s="314" t="s">
        <v>3807</v>
      </c>
      <c r="G14" s="315"/>
      <c r="H14" s="316"/>
      <c r="I14" s="316"/>
      <c r="J14" s="316"/>
      <c r="K14" s="310"/>
      <c r="L14" s="311"/>
      <c r="M14" s="311"/>
    </row>
    <row r="15" spans="2:13" s="303" customFormat="1">
      <c r="B15" s="418" t="s">
        <v>2</v>
      </c>
      <c r="C15" s="419"/>
      <c r="D15" s="419"/>
      <c r="E15" s="419"/>
      <c r="F15" s="317" t="s">
        <v>3808</v>
      </c>
      <c r="G15" s="318"/>
      <c r="H15" s="319"/>
      <c r="I15" s="319"/>
      <c r="K15" s="310"/>
      <c r="L15" s="311"/>
      <c r="M15" s="311"/>
    </row>
    <row r="16" spans="2:13" s="303" customFormat="1">
      <c r="B16" s="418" t="s">
        <v>3</v>
      </c>
      <c r="C16" s="419"/>
      <c r="D16" s="419"/>
      <c r="E16" s="419"/>
      <c r="F16" s="320" t="s">
        <v>3809</v>
      </c>
      <c r="G16" s="319"/>
      <c r="H16" s="319"/>
      <c r="I16" s="319"/>
      <c r="K16" s="310"/>
      <c r="L16" s="311"/>
      <c r="M16" s="311"/>
    </row>
    <row r="17" spans="2:14" s="303" customFormat="1">
      <c r="B17" s="418" t="s">
        <v>4</v>
      </c>
      <c r="C17" s="419"/>
      <c r="D17" s="419"/>
      <c r="E17" s="419"/>
      <c r="F17" s="321" t="s">
        <v>3810</v>
      </c>
      <c r="G17" s="319"/>
      <c r="H17" s="319"/>
      <c r="I17" s="319"/>
      <c r="K17" s="310"/>
      <c r="L17" s="311"/>
      <c r="M17" s="311"/>
    </row>
    <row r="18" spans="2:14" s="303" customFormat="1">
      <c r="B18" s="418" t="s">
        <v>5</v>
      </c>
      <c r="C18" s="419"/>
      <c r="D18" s="419"/>
      <c r="E18" s="419"/>
      <c r="F18" s="321" t="s">
        <v>3811</v>
      </c>
      <c r="G18" s="319"/>
      <c r="H18" s="319"/>
      <c r="I18" s="319"/>
      <c r="K18" s="310"/>
      <c r="L18" s="311"/>
      <c r="M18" s="311"/>
    </row>
    <row r="19" spans="2:14" s="303" customFormat="1">
      <c r="B19" s="418" t="s">
        <v>6</v>
      </c>
      <c r="C19" s="419"/>
      <c r="D19" s="419"/>
      <c r="E19" s="419"/>
      <c r="F19" s="314" t="s">
        <v>3812</v>
      </c>
      <c r="G19" s="318"/>
      <c r="H19" s="322"/>
      <c r="I19" s="322"/>
      <c r="J19" s="322"/>
      <c r="K19" s="322"/>
      <c r="L19" s="322"/>
      <c r="M19" s="322"/>
      <c r="N19" s="322"/>
    </row>
    <row r="20" spans="2:14" s="303" customFormat="1" ht="15" thickBot="1">
      <c r="B20" s="422" t="s">
        <v>7</v>
      </c>
      <c r="C20" s="423"/>
      <c r="D20" s="423"/>
      <c r="E20" s="423"/>
      <c r="F20" s="323" t="s">
        <v>3813</v>
      </c>
      <c r="G20" s="319"/>
      <c r="H20" s="319"/>
      <c r="I20" s="319"/>
      <c r="K20" s="310"/>
      <c r="L20" s="311"/>
      <c r="M20" s="311"/>
    </row>
    <row r="21" spans="2:14">
      <c r="B21" s="312" t="s">
        <v>3814</v>
      </c>
      <c r="C21" s="312"/>
      <c r="D21" s="312"/>
      <c r="E21" s="312"/>
      <c r="F21" s="319"/>
    </row>
    <row r="23" spans="2:14">
      <c r="B23" s="324" t="s">
        <v>3815</v>
      </c>
      <c r="C23" s="312"/>
      <c r="D23" s="325"/>
      <c r="E23" s="326"/>
      <c r="F23" s="303"/>
      <c r="G23" s="303"/>
      <c r="H23" s="303"/>
      <c r="I23" s="303"/>
    </row>
    <row r="24" spans="2:14" ht="15" thickBot="1">
      <c r="B24" s="324" t="s">
        <v>3816</v>
      </c>
      <c r="C24" s="312"/>
      <c r="D24" s="325"/>
      <c r="E24" s="326"/>
      <c r="F24" s="303" t="s">
        <v>3803</v>
      </c>
      <c r="G24" s="303"/>
      <c r="H24" s="303"/>
      <c r="I24" s="303"/>
    </row>
    <row r="25" spans="2:14">
      <c r="B25" s="420" t="s">
        <v>8</v>
      </c>
      <c r="C25" s="421"/>
      <c r="D25" s="421"/>
      <c r="E25" s="421"/>
      <c r="F25" s="327">
        <v>0.84199999999999997</v>
      </c>
      <c r="G25" s="303"/>
      <c r="H25" s="303"/>
      <c r="I25" s="303"/>
    </row>
    <row r="26" spans="2:14">
      <c r="B26" s="418" t="s">
        <v>9</v>
      </c>
      <c r="C26" s="419"/>
      <c r="D26" s="419"/>
      <c r="E26" s="419"/>
      <c r="F26" s="328">
        <v>0.55200000000000005</v>
      </c>
      <c r="G26" s="303"/>
      <c r="H26" s="303"/>
      <c r="I26" s="303"/>
    </row>
    <row r="27" spans="2:14">
      <c r="B27" s="418" t="s">
        <v>10</v>
      </c>
      <c r="C27" s="419"/>
      <c r="D27" s="419"/>
      <c r="E27" s="419"/>
      <c r="F27" s="329">
        <v>0.12180000000000001</v>
      </c>
      <c r="G27" s="303"/>
      <c r="H27" s="303"/>
      <c r="I27" s="303"/>
    </row>
    <row r="28" spans="2:14">
      <c r="B28" s="418" t="s">
        <v>11</v>
      </c>
      <c r="C28" s="419"/>
      <c r="D28" s="419"/>
      <c r="E28" s="419"/>
      <c r="F28" s="329">
        <v>2.8799999999999999E-2</v>
      </c>
      <c r="G28" s="303"/>
      <c r="H28" s="303"/>
      <c r="I28" s="303"/>
    </row>
    <row r="29" spans="2:14">
      <c r="B29" s="418" t="s">
        <v>12</v>
      </c>
      <c r="C29" s="419"/>
      <c r="D29" s="419"/>
      <c r="E29" s="419"/>
      <c r="F29" s="330">
        <f>F27+F28</f>
        <v>0.15060000000000001</v>
      </c>
      <c r="G29" s="303"/>
      <c r="H29" s="303"/>
      <c r="I29" s="303"/>
    </row>
    <row r="30" spans="2:14">
      <c r="B30" s="418" t="s">
        <v>13</v>
      </c>
      <c r="C30" s="419"/>
      <c r="D30" s="419"/>
      <c r="E30" s="419"/>
      <c r="F30" s="329">
        <v>9.9199999999999997E-2</v>
      </c>
      <c r="G30" s="303"/>
      <c r="H30" s="303"/>
      <c r="I30" s="303"/>
    </row>
    <row r="31" spans="2:14">
      <c r="B31" s="418" t="s">
        <v>14</v>
      </c>
      <c r="C31" s="419"/>
      <c r="D31" s="419"/>
      <c r="E31" s="419"/>
      <c r="F31" s="329">
        <v>1</v>
      </c>
      <c r="G31" s="303" t="s">
        <v>3817</v>
      </c>
      <c r="H31" s="303"/>
      <c r="I31" s="303"/>
    </row>
    <row r="32" spans="2:14" ht="15" thickBot="1">
      <c r="B32" s="422" t="s">
        <v>15</v>
      </c>
      <c r="C32" s="423"/>
      <c r="D32" s="423"/>
      <c r="E32" s="423"/>
      <c r="F32" s="331">
        <v>1</v>
      </c>
      <c r="G32" s="303"/>
      <c r="H32" s="303"/>
      <c r="I32" s="303"/>
    </row>
    <row r="33" spans="1:24">
      <c r="A33" s="303"/>
      <c r="B33" s="312"/>
      <c r="C33" s="312"/>
      <c r="D33" s="312"/>
      <c r="E33" s="312"/>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0" t="s">
        <v>3821</v>
      </c>
      <c r="C37" s="431"/>
      <c r="D37" s="431"/>
      <c r="E37" s="432" t="s">
        <v>17</v>
      </c>
      <c r="F37" s="433"/>
      <c r="G37" s="334" t="s">
        <v>3822</v>
      </c>
      <c r="H37" s="335"/>
      <c r="I37" s="335"/>
      <c r="J37" s="336"/>
      <c r="K37" s="425" t="s">
        <v>3823</v>
      </c>
      <c r="L37" s="426"/>
      <c r="M37" s="426"/>
      <c r="N37" s="426"/>
      <c r="O37" s="426"/>
      <c r="P37" s="426"/>
      <c r="Q37" s="426"/>
      <c r="R37" s="427"/>
    </row>
    <row r="38" spans="1:24" ht="15" thickBot="1">
      <c r="A38" s="319"/>
      <c r="B38" s="428" t="s">
        <v>16</v>
      </c>
      <c r="C38" s="429"/>
      <c r="D38" s="429"/>
      <c r="E38" s="337" t="s">
        <v>18</v>
      </c>
      <c r="F38" s="338" t="s">
        <v>212</v>
      </c>
      <c r="G38" s="339" t="s">
        <v>2677</v>
      </c>
      <c r="H38" s="340" t="s">
        <v>2678</v>
      </c>
      <c r="I38" s="340" t="s">
        <v>2679</v>
      </c>
      <c r="J38" s="340" t="s">
        <v>2680</v>
      </c>
      <c r="K38" s="334" t="s">
        <v>204</v>
      </c>
      <c r="L38" s="336" t="s">
        <v>203</v>
      </c>
      <c r="M38" s="336"/>
      <c r="N38" s="336" t="s">
        <v>205</v>
      </c>
      <c r="O38" s="421" t="s">
        <v>216</v>
      </c>
      <c r="P38" s="421"/>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78">
        <v>-3.3978290019999999</v>
      </c>
      <c r="F40" s="354">
        <v>34.837011969999999</v>
      </c>
      <c r="G40" s="355">
        <v>21.13063730679653</v>
      </c>
      <c r="H40" s="356">
        <v>3.0912555579081076</v>
      </c>
      <c r="I40" s="356">
        <v>75.778107135295357</v>
      </c>
      <c r="J40" s="357">
        <v>0.46131099063578063</v>
      </c>
      <c r="K40" s="378" t="s">
        <v>229</v>
      </c>
      <c r="L40" s="424" t="s">
        <v>257</v>
      </c>
      <c r="M40" s="424"/>
      <c r="N40" s="358" t="s">
        <v>2670</v>
      </c>
      <c r="O40" s="358" t="s">
        <v>3826</v>
      </c>
      <c r="P40" s="358"/>
      <c r="Q40" s="358" t="s">
        <v>247</v>
      </c>
      <c r="R40" s="358" t="s">
        <v>247</v>
      </c>
      <c r="S40" s="358" t="s">
        <v>234</v>
      </c>
      <c r="T40" s="313" t="s">
        <v>3827</v>
      </c>
    </row>
    <row r="41" spans="1:24">
      <c r="A41" s="319"/>
      <c r="B41" s="350" t="s">
        <v>3829</v>
      </c>
      <c r="C41" s="351"/>
      <c r="D41" s="352" t="s">
        <v>3825</v>
      </c>
      <c r="E41" s="378">
        <v>-3.3854090330000002</v>
      </c>
      <c r="F41" s="354">
        <v>34.818901029999999</v>
      </c>
      <c r="G41" s="355">
        <v>54.080969906906262</v>
      </c>
      <c r="H41" s="356">
        <v>21.264484651351896</v>
      </c>
      <c r="I41" s="356">
        <v>24.654545441741845</v>
      </c>
      <c r="J41" s="357">
        <v>1.8433218334154755</v>
      </c>
      <c r="K41" s="378" t="s">
        <v>229</v>
      </c>
      <c r="L41" s="424" t="s">
        <v>257</v>
      </c>
      <c r="M41" s="424"/>
      <c r="N41" s="358" t="s">
        <v>2673</v>
      </c>
      <c r="O41" s="358" t="s">
        <v>3826</v>
      </c>
      <c r="P41" s="358"/>
      <c r="Q41" s="358" t="s">
        <v>247</v>
      </c>
      <c r="R41" s="358" t="s">
        <v>247</v>
      </c>
      <c r="S41" s="358" t="s">
        <v>234</v>
      </c>
      <c r="T41" s="313" t="s">
        <v>3827</v>
      </c>
    </row>
    <row r="42" spans="1:24">
      <c r="A42" s="319"/>
      <c r="B42" s="350" t="s">
        <v>3830</v>
      </c>
      <c r="C42" s="351"/>
      <c r="D42" s="352" t="s">
        <v>3825</v>
      </c>
      <c r="E42" s="378">
        <v>-3.3849129919999998</v>
      </c>
      <c r="F42" s="354">
        <v>34.818899020000003</v>
      </c>
      <c r="G42" s="355">
        <v>51.960000000000008</v>
      </c>
      <c r="H42" s="356">
        <v>18.919999999999995</v>
      </c>
      <c r="I42" s="356">
        <v>29.120000000000005</v>
      </c>
      <c r="J42" s="357">
        <v>1.85293247905372</v>
      </c>
      <c r="K42" s="378" t="s">
        <v>229</v>
      </c>
      <c r="L42" s="424" t="s">
        <v>257</v>
      </c>
      <c r="M42" s="424"/>
      <c r="N42" s="358" t="s">
        <v>2673</v>
      </c>
      <c r="O42" s="358" t="s">
        <v>3826</v>
      </c>
      <c r="P42" s="358"/>
      <c r="Q42" s="358" t="s">
        <v>247</v>
      </c>
      <c r="R42" s="358" t="s">
        <v>247</v>
      </c>
      <c r="S42" s="358" t="s">
        <v>234</v>
      </c>
      <c r="T42" s="313" t="s">
        <v>3827</v>
      </c>
    </row>
    <row r="43" spans="1:24">
      <c r="A43" s="319"/>
      <c r="B43" s="350" t="s">
        <v>3831</v>
      </c>
      <c r="C43" s="351"/>
      <c r="D43" s="352" t="s">
        <v>3832</v>
      </c>
      <c r="E43" s="378">
        <v>-3.4092039989999998</v>
      </c>
      <c r="F43" s="354">
        <v>34.852751009999999</v>
      </c>
      <c r="G43" s="355">
        <v>23.96</v>
      </c>
      <c r="H43" s="356">
        <v>0.91999999999999804</v>
      </c>
      <c r="I43" s="356">
        <v>75.12</v>
      </c>
      <c r="J43" s="357">
        <v>1.2493839329719072</v>
      </c>
      <c r="K43" s="378" t="s">
        <v>229</v>
      </c>
      <c r="L43" s="424" t="s">
        <v>244</v>
      </c>
      <c r="M43" s="424"/>
      <c r="N43" s="358" t="s">
        <v>2670</v>
      </c>
      <c r="O43" s="358" t="s">
        <v>3826</v>
      </c>
      <c r="P43" s="358"/>
      <c r="Q43" s="358" t="s">
        <v>247</v>
      </c>
      <c r="R43" s="358" t="s">
        <v>247</v>
      </c>
      <c r="S43" s="358" t="s">
        <v>234</v>
      </c>
      <c r="T43" s="313" t="s">
        <v>3827</v>
      </c>
    </row>
    <row r="44" spans="1:24">
      <c r="A44" s="319"/>
      <c r="B44" s="350" t="s">
        <v>3833</v>
      </c>
      <c r="C44" s="351"/>
      <c r="D44" s="352" t="s">
        <v>3832</v>
      </c>
      <c r="E44" s="378">
        <v>-3.4083420040000001</v>
      </c>
      <c r="F44" s="354">
        <v>34.850283040000001</v>
      </c>
      <c r="G44" s="355">
        <v>19.96</v>
      </c>
      <c r="H44" s="356">
        <v>4.9199999999999982</v>
      </c>
      <c r="I44" s="356">
        <v>75.12</v>
      </c>
      <c r="J44" s="357">
        <v>1.641498275012321</v>
      </c>
      <c r="K44" s="378" t="s">
        <v>229</v>
      </c>
      <c r="L44" s="424" t="s">
        <v>244</v>
      </c>
      <c r="M44" s="424"/>
      <c r="N44" s="358" t="s">
        <v>2671</v>
      </c>
      <c r="O44" s="358" t="s">
        <v>3826</v>
      </c>
      <c r="P44" s="358"/>
      <c r="Q44" s="358" t="s">
        <v>247</v>
      </c>
      <c r="R44" s="358" t="s">
        <v>247</v>
      </c>
      <c r="S44" s="358" t="s">
        <v>234</v>
      </c>
      <c r="T44" s="313" t="s">
        <v>3827</v>
      </c>
    </row>
    <row r="45" spans="1:24">
      <c r="A45" s="319"/>
      <c r="B45" s="350" t="s">
        <v>3834</v>
      </c>
      <c r="C45" s="351"/>
      <c r="D45" s="352" t="s">
        <v>3832</v>
      </c>
      <c r="E45" s="378">
        <v>-3.406225992</v>
      </c>
      <c r="F45" s="354">
        <v>34.85055998</v>
      </c>
      <c r="G45" s="355">
        <v>21.96</v>
      </c>
      <c r="H45" s="356">
        <v>8.9199999999999982</v>
      </c>
      <c r="I45" s="356">
        <v>69.12</v>
      </c>
      <c r="J45" s="357">
        <v>1.7491375061606702</v>
      </c>
      <c r="K45" s="378" t="s">
        <v>229</v>
      </c>
      <c r="L45" s="424" t="s">
        <v>244</v>
      </c>
      <c r="M45" s="424"/>
      <c r="N45" s="358" t="s">
        <v>2670</v>
      </c>
      <c r="O45" s="358" t="s">
        <v>3826</v>
      </c>
      <c r="P45" s="358"/>
      <c r="Q45" s="358" t="s">
        <v>247</v>
      </c>
      <c r="R45" s="358" t="s">
        <v>247</v>
      </c>
      <c r="S45" s="358" t="s">
        <v>234</v>
      </c>
      <c r="T45" s="313" t="s">
        <v>3827</v>
      </c>
    </row>
    <row r="46" spans="1:24">
      <c r="A46" s="319"/>
      <c r="B46" s="350" t="s">
        <v>3835</v>
      </c>
      <c r="C46" s="351"/>
      <c r="D46" s="352" t="s">
        <v>3832</v>
      </c>
      <c r="E46" s="378">
        <v>-3.4064239729999999</v>
      </c>
      <c r="F46" s="354">
        <v>34.851213010000002</v>
      </c>
      <c r="G46" s="355">
        <v>25.96</v>
      </c>
      <c r="H46" s="356">
        <v>6.9200000000000008</v>
      </c>
      <c r="I46" s="356">
        <v>67.12</v>
      </c>
      <c r="J46" s="357">
        <v>1.7568260226712666</v>
      </c>
      <c r="K46" s="378" t="s">
        <v>229</v>
      </c>
      <c r="L46" s="424" t="s">
        <v>244</v>
      </c>
      <c r="M46" s="424"/>
      <c r="N46" s="358" t="s">
        <v>2670</v>
      </c>
      <c r="O46" s="358" t="s">
        <v>3826</v>
      </c>
      <c r="P46" s="358"/>
      <c r="Q46" s="358" t="s">
        <v>247</v>
      </c>
      <c r="R46" s="358" t="s">
        <v>247</v>
      </c>
      <c r="S46" s="358" t="s">
        <v>234</v>
      </c>
      <c r="T46" s="313" t="s">
        <v>3827</v>
      </c>
    </row>
    <row r="47" spans="1:24">
      <c r="A47" s="319"/>
      <c r="B47" s="350" t="s">
        <v>3836</v>
      </c>
      <c r="C47" s="351"/>
      <c r="D47" s="352" t="s">
        <v>3837</v>
      </c>
      <c r="E47" s="378">
        <v>-3.2993960379999998</v>
      </c>
      <c r="F47" s="354">
        <v>34.848240959999998</v>
      </c>
      <c r="G47" s="355">
        <v>47.96</v>
      </c>
      <c r="H47" s="356">
        <v>22.919999999999995</v>
      </c>
      <c r="I47" s="356">
        <v>29.120000000000012</v>
      </c>
      <c r="J47" s="357">
        <v>2.8831936914736325</v>
      </c>
      <c r="K47" s="378" t="s">
        <v>229</v>
      </c>
      <c r="L47" s="424" t="s">
        <v>230</v>
      </c>
      <c r="M47" s="424"/>
      <c r="N47" s="358" t="s">
        <v>2673</v>
      </c>
      <c r="O47" s="358" t="s">
        <v>3826</v>
      </c>
      <c r="P47" s="358"/>
      <c r="Q47" s="358" t="s">
        <v>247</v>
      </c>
      <c r="R47" s="358" t="s">
        <v>247</v>
      </c>
      <c r="S47" s="358" t="s">
        <v>234</v>
      </c>
      <c r="T47" s="313" t="s">
        <v>3827</v>
      </c>
    </row>
    <row r="48" spans="1:24">
      <c r="A48" s="319"/>
      <c r="B48" s="350" t="s">
        <v>3838</v>
      </c>
      <c r="C48" s="351"/>
      <c r="D48" s="352" t="s">
        <v>3837</v>
      </c>
      <c r="E48" s="378">
        <v>-3.3025860229999999</v>
      </c>
      <c r="F48" s="354">
        <v>34.848048009999999</v>
      </c>
      <c r="G48" s="355">
        <v>45.272914521112256</v>
      </c>
      <c r="H48" s="356">
        <v>23.604531410916575</v>
      </c>
      <c r="I48" s="356">
        <v>31.122554067971166</v>
      </c>
      <c r="J48" s="357">
        <v>2.0547560374568752</v>
      </c>
      <c r="K48" s="378" t="s">
        <v>229</v>
      </c>
      <c r="L48" s="424" t="s">
        <v>230</v>
      </c>
      <c r="M48" s="424"/>
      <c r="N48" s="358" t="s">
        <v>2673</v>
      </c>
      <c r="O48" s="358" t="s">
        <v>3826</v>
      </c>
      <c r="P48" s="358"/>
      <c r="Q48" s="358" t="s">
        <v>247</v>
      </c>
      <c r="R48" s="358" t="s">
        <v>247</v>
      </c>
      <c r="S48" s="358" t="s">
        <v>234</v>
      </c>
      <c r="T48" s="313" t="s">
        <v>3827</v>
      </c>
    </row>
    <row r="49" spans="1:20">
      <c r="A49" s="319"/>
      <c r="B49" s="350" t="s">
        <v>3839</v>
      </c>
      <c r="C49" s="351"/>
      <c r="D49" s="352" t="s">
        <v>3837</v>
      </c>
      <c r="E49" s="378">
        <v>-3.2957159630000001</v>
      </c>
      <c r="F49" s="354">
        <v>34.852460999999998</v>
      </c>
      <c r="G49" s="355">
        <v>38.691629007962128</v>
      </c>
      <c r="H49" s="356">
        <v>26.81299763288143</v>
      </c>
      <c r="I49" s="356">
        <v>34.495373359156439</v>
      </c>
      <c r="J49" s="357">
        <v>2.5483587974371611</v>
      </c>
      <c r="K49" s="378" t="s">
        <v>229</v>
      </c>
      <c r="L49" s="424" t="s">
        <v>230</v>
      </c>
      <c r="M49" s="424"/>
      <c r="N49" s="358" t="s">
        <v>2675</v>
      </c>
      <c r="O49" s="358" t="s">
        <v>3826</v>
      </c>
      <c r="P49" s="358"/>
      <c r="Q49" s="358" t="s">
        <v>247</v>
      </c>
      <c r="R49" s="358" t="s">
        <v>247</v>
      </c>
      <c r="S49" s="358" t="s">
        <v>234</v>
      </c>
      <c r="T49" s="313" t="s">
        <v>3827</v>
      </c>
    </row>
    <row r="50" spans="1:20">
      <c r="A50" s="319"/>
      <c r="B50" s="350" t="s">
        <v>3840</v>
      </c>
      <c r="C50" s="351"/>
      <c r="D50" s="352" t="s">
        <v>3837</v>
      </c>
      <c r="E50" s="378">
        <v>-3.2966709980000002</v>
      </c>
      <c r="F50" s="354">
        <v>34.854407019999996</v>
      </c>
      <c r="G50" s="355">
        <v>28.145762029394</v>
      </c>
      <c r="H50" s="356">
        <v>25.085564727199518</v>
      </c>
      <c r="I50" s="356">
        <v>46.768673243406489</v>
      </c>
      <c r="J50" s="357">
        <v>2.1716214884179394</v>
      </c>
      <c r="K50" s="378" t="s">
        <v>229</v>
      </c>
      <c r="L50" s="424" t="s">
        <v>230</v>
      </c>
      <c r="M50" s="424"/>
      <c r="N50" s="358" t="s">
        <v>2670</v>
      </c>
      <c r="O50" s="358" t="s">
        <v>3826</v>
      </c>
      <c r="P50" s="358"/>
      <c r="Q50" s="358" t="s">
        <v>247</v>
      </c>
      <c r="R50" s="358" t="s">
        <v>247</v>
      </c>
      <c r="S50" s="358" t="s">
        <v>234</v>
      </c>
      <c r="T50" s="313" t="s">
        <v>3827</v>
      </c>
    </row>
    <row r="51" spans="1:20">
      <c r="A51" s="303"/>
      <c r="B51" s="350" t="s">
        <v>3841</v>
      </c>
      <c r="C51" s="351"/>
      <c r="D51" s="352" t="s">
        <v>3842</v>
      </c>
      <c r="E51" s="378">
        <v>-2.3691620310000001</v>
      </c>
      <c r="F51" s="354">
        <v>34.06028104</v>
      </c>
      <c r="G51" s="355">
        <v>45.96</v>
      </c>
      <c r="H51" s="356">
        <v>14.920000000000003</v>
      </c>
      <c r="I51" s="356">
        <v>39.119999999999997</v>
      </c>
      <c r="J51" s="357">
        <v>2.0374568753080333</v>
      </c>
      <c r="K51" s="378" t="s">
        <v>229</v>
      </c>
      <c r="L51" s="424" t="s">
        <v>257</v>
      </c>
      <c r="M51" s="424"/>
      <c r="N51" s="358" t="s">
        <v>2673</v>
      </c>
      <c r="O51" s="358" t="s">
        <v>3826</v>
      </c>
      <c r="P51" s="358"/>
      <c r="Q51" s="358" t="s">
        <v>247</v>
      </c>
      <c r="R51" s="358" t="s">
        <v>247</v>
      </c>
      <c r="S51" s="358" t="s">
        <v>234</v>
      </c>
      <c r="T51" s="313" t="s">
        <v>3827</v>
      </c>
    </row>
    <row r="52" spans="1:20">
      <c r="A52" s="303"/>
      <c r="B52" s="350" t="s">
        <v>3843</v>
      </c>
      <c r="C52" s="351"/>
      <c r="D52" s="352" t="s">
        <v>3842</v>
      </c>
      <c r="E52" s="378">
        <v>-2.3698080240000001</v>
      </c>
      <c r="F52" s="354">
        <v>34.059671010000002</v>
      </c>
      <c r="G52" s="355">
        <v>34.344660194174757</v>
      </c>
      <c r="H52" s="356">
        <v>19.22727272727273</v>
      </c>
      <c r="I52" s="356">
        <v>46.428067078552509</v>
      </c>
      <c r="J52" s="357">
        <v>1.7452932479053718</v>
      </c>
      <c r="K52" s="378" t="s">
        <v>229</v>
      </c>
      <c r="L52" s="424" t="s">
        <v>257</v>
      </c>
      <c r="M52" s="424"/>
      <c r="N52" s="358" t="s">
        <v>2670</v>
      </c>
      <c r="O52" s="358" t="s">
        <v>3826</v>
      </c>
      <c r="P52" s="358"/>
      <c r="Q52" s="358" t="s">
        <v>247</v>
      </c>
      <c r="R52" s="358" t="s">
        <v>247</v>
      </c>
      <c r="S52" s="358" t="s">
        <v>234</v>
      </c>
      <c r="T52" s="313" t="s">
        <v>3827</v>
      </c>
    </row>
    <row r="53" spans="1:20">
      <c r="A53" s="303"/>
      <c r="B53" s="350" t="s">
        <v>3844</v>
      </c>
      <c r="C53" s="351"/>
      <c r="D53" s="352" t="s">
        <v>3842</v>
      </c>
      <c r="E53" s="378">
        <v>-2.3487199940000001</v>
      </c>
      <c r="F53" s="354">
        <v>34.051391029999998</v>
      </c>
      <c r="G53" s="355">
        <v>27.96</v>
      </c>
      <c r="H53" s="356">
        <v>4.9200000000000017</v>
      </c>
      <c r="I53" s="356">
        <v>67.12</v>
      </c>
      <c r="J53" s="357">
        <v>0.88610152784622953</v>
      </c>
      <c r="K53" s="378" t="s">
        <v>229</v>
      </c>
      <c r="L53" s="424" t="s">
        <v>257</v>
      </c>
      <c r="M53" s="424"/>
      <c r="N53" s="358" t="s">
        <v>2670</v>
      </c>
      <c r="O53" s="358" t="s">
        <v>3826</v>
      </c>
      <c r="P53" s="358"/>
      <c r="Q53" s="358" t="s">
        <v>247</v>
      </c>
      <c r="R53" s="358" t="s">
        <v>247</v>
      </c>
      <c r="S53" s="358" t="s">
        <v>234</v>
      </c>
      <c r="T53" s="313" t="s">
        <v>3827</v>
      </c>
    </row>
    <row r="54" spans="1:20">
      <c r="A54" s="303"/>
      <c r="B54" s="350" t="s">
        <v>3845</v>
      </c>
      <c r="C54" s="351"/>
      <c r="D54" s="352" t="s">
        <v>3842</v>
      </c>
      <c r="E54" s="378">
        <v>-2.3492639789999998</v>
      </c>
      <c r="F54" s="354">
        <v>34.051464029999998</v>
      </c>
      <c r="G54" s="355">
        <v>17.96</v>
      </c>
      <c r="H54" s="356">
        <v>4.9199999999999982</v>
      </c>
      <c r="I54" s="356">
        <v>77.12</v>
      </c>
      <c r="J54" s="357">
        <v>2.0220798422868409</v>
      </c>
      <c r="K54" s="378" t="s">
        <v>229</v>
      </c>
      <c r="L54" s="424" t="s">
        <v>257</v>
      </c>
      <c r="M54" s="424"/>
      <c r="N54" s="358" t="s">
        <v>2671</v>
      </c>
      <c r="O54" s="358" t="s">
        <v>3826</v>
      </c>
      <c r="P54" s="358"/>
      <c r="Q54" s="358" t="s">
        <v>247</v>
      </c>
      <c r="R54" s="358" t="s">
        <v>247</v>
      </c>
      <c r="S54" s="358" t="s">
        <v>234</v>
      </c>
      <c r="T54" s="313" t="s">
        <v>3827</v>
      </c>
    </row>
    <row r="55" spans="1:20">
      <c r="B55" s="350" t="s">
        <v>3846</v>
      </c>
      <c r="C55" s="351"/>
      <c r="D55" s="352" t="s">
        <v>3847</v>
      </c>
      <c r="E55" s="378">
        <v>-2.3503360249999998</v>
      </c>
      <c r="F55" s="354">
        <v>34.049662009999999</v>
      </c>
      <c r="G55" s="355">
        <v>31.214836424255054</v>
      </c>
      <c r="H55" s="356">
        <v>11.377370285476141</v>
      </c>
      <c r="I55" s="356">
        <v>57.407793290268799</v>
      </c>
      <c r="J55" s="357">
        <v>1.7337604731394776</v>
      </c>
      <c r="K55" s="378" t="s">
        <v>229</v>
      </c>
      <c r="L55" s="424" t="s">
        <v>244</v>
      </c>
      <c r="M55" s="424"/>
      <c r="N55" s="358" t="s">
        <v>2670</v>
      </c>
      <c r="O55" s="358" t="s">
        <v>3826</v>
      </c>
      <c r="P55" s="358"/>
      <c r="Q55" s="358" t="s">
        <v>247</v>
      </c>
      <c r="R55" s="358" t="s">
        <v>247</v>
      </c>
      <c r="S55" s="358" t="s">
        <v>234</v>
      </c>
      <c r="T55" s="313" t="s">
        <v>3827</v>
      </c>
    </row>
    <row r="56" spans="1:20">
      <c r="B56" s="350" t="s">
        <v>3848</v>
      </c>
      <c r="C56" s="351"/>
      <c r="D56" s="352" t="s">
        <v>3847</v>
      </c>
      <c r="E56" s="378">
        <v>-2.348596025</v>
      </c>
      <c r="F56" s="354">
        <v>34.050070959999999</v>
      </c>
      <c r="G56" s="355">
        <v>33.96</v>
      </c>
      <c r="H56" s="356">
        <v>8.9200000000000017</v>
      </c>
      <c r="I56" s="356">
        <v>57.12</v>
      </c>
      <c r="J56" s="357">
        <v>2.072055199605717</v>
      </c>
      <c r="K56" s="378" t="s">
        <v>229</v>
      </c>
      <c r="L56" s="424" t="s">
        <v>244</v>
      </c>
      <c r="M56" s="424"/>
      <c r="N56" s="358" t="s">
        <v>2670</v>
      </c>
      <c r="O56" s="358" t="s">
        <v>3826</v>
      </c>
      <c r="P56" s="358"/>
      <c r="Q56" s="358" t="s">
        <v>247</v>
      </c>
      <c r="R56" s="358" t="s">
        <v>247</v>
      </c>
      <c r="S56" s="358" t="s">
        <v>234</v>
      </c>
      <c r="T56" s="313" t="s">
        <v>3827</v>
      </c>
    </row>
    <row r="57" spans="1:20">
      <c r="B57" s="350" t="s">
        <v>3849</v>
      </c>
      <c r="C57" s="351"/>
      <c r="D57" s="352" t="s">
        <v>3847</v>
      </c>
      <c r="E57" s="378">
        <v>-2.3675269729999999</v>
      </c>
      <c r="F57" s="354">
        <v>34.06035799</v>
      </c>
      <c r="G57" s="355">
        <v>39.96</v>
      </c>
      <c r="H57" s="356">
        <v>12.920000000000002</v>
      </c>
      <c r="I57" s="356">
        <v>47.12</v>
      </c>
      <c r="J57" s="357">
        <v>1.6549531789058647</v>
      </c>
      <c r="K57" s="378" t="s">
        <v>229</v>
      </c>
      <c r="L57" s="424" t="s">
        <v>244</v>
      </c>
      <c r="M57" s="424"/>
      <c r="N57" s="358" t="s">
        <v>2674</v>
      </c>
      <c r="O57" s="358" t="s">
        <v>3826</v>
      </c>
      <c r="P57" s="358"/>
      <c r="Q57" s="358" t="s">
        <v>247</v>
      </c>
      <c r="R57" s="358" t="s">
        <v>247</v>
      </c>
      <c r="S57" s="358" t="s">
        <v>234</v>
      </c>
      <c r="T57" s="313" t="s">
        <v>3827</v>
      </c>
    </row>
    <row r="58" spans="1:20">
      <c r="B58" s="350" t="s">
        <v>3850</v>
      </c>
      <c r="C58" s="351"/>
      <c r="D58" s="352" t="s">
        <v>3847</v>
      </c>
      <c r="E58" s="378">
        <v>-2.3676780150000001</v>
      </c>
      <c r="F58" s="354">
        <v>34.05937797</v>
      </c>
      <c r="G58" s="355">
        <v>27.96</v>
      </c>
      <c r="H58" s="356">
        <v>4.9200000000000017</v>
      </c>
      <c r="I58" s="356">
        <v>67.12</v>
      </c>
      <c r="J58" s="357">
        <v>1.0437161163134547</v>
      </c>
      <c r="K58" s="378" t="s">
        <v>229</v>
      </c>
      <c r="L58" s="424" t="s">
        <v>244</v>
      </c>
      <c r="M58" s="424"/>
      <c r="N58" s="358" t="s">
        <v>2670</v>
      </c>
      <c r="O58" s="358" t="s">
        <v>3826</v>
      </c>
      <c r="P58" s="358"/>
      <c r="Q58" s="358" t="s">
        <v>247</v>
      </c>
      <c r="R58" s="358" t="s">
        <v>247</v>
      </c>
      <c r="S58" s="358" t="s">
        <v>234</v>
      </c>
      <c r="T58" s="313" t="s">
        <v>3827</v>
      </c>
    </row>
    <row r="59" spans="1:20">
      <c r="B59" s="350" t="s">
        <v>3851</v>
      </c>
      <c r="C59" s="351"/>
      <c r="D59" s="352" t="s">
        <v>3852</v>
      </c>
      <c r="E59" s="378">
        <v>-2.272751033</v>
      </c>
      <c r="F59" s="354">
        <v>34.023176030000002</v>
      </c>
      <c r="G59" s="355">
        <v>21.96</v>
      </c>
      <c r="H59" s="356">
        <v>4.9199999999999982</v>
      </c>
      <c r="I59" s="356">
        <v>73.12</v>
      </c>
      <c r="J59" s="357">
        <v>1.2416954164613114</v>
      </c>
      <c r="K59" s="378" t="s">
        <v>229</v>
      </c>
      <c r="L59" s="424" t="s">
        <v>230</v>
      </c>
      <c r="M59" s="424"/>
      <c r="N59" s="358" t="s">
        <v>2670</v>
      </c>
      <c r="O59" s="358" t="s">
        <v>3826</v>
      </c>
      <c r="P59" s="358"/>
      <c r="Q59" s="358" t="s">
        <v>247</v>
      </c>
      <c r="R59" s="358" t="s">
        <v>247</v>
      </c>
      <c r="S59" s="358" t="s">
        <v>234</v>
      </c>
      <c r="T59" s="313" t="s">
        <v>3827</v>
      </c>
    </row>
    <row r="60" spans="1:20">
      <c r="B60" s="350" t="s">
        <v>3853</v>
      </c>
      <c r="C60" s="351"/>
      <c r="D60" s="352" t="s">
        <v>3852</v>
      </c>
      <c r="E60" s="378">
        <v>-2.2784290180000002</v>
      </c>
      <c r="F60" s="354">
        <v>34.024240030000001</v>
      </c>
      <c r="G60" s="355">
        <v>23.96</v>
      </c>
      <c r="H60" s="356">
        <v>4.9199999999999982</v>
      </c>
      <c r="I60" s="356">
        <v>71.12</v>
      </c>
      <c r="J60" s="357">
        <v>3.30913750616067</v>
      </c>
      <c r="K60" s="378" t="s">
        <v>229</v>
      </c>
      <c r="L60" s="424" t="s">
        <v>230</v>
      </c>
      <c r="M60" s="424"/>
      <c r="N60" s="358" t="s">
        <v>2670</v>
      </c>
      <c r="O60" s="358" t="s">
        <v>3826</v>
      </c>
      <c r="P60" s="358"/>
      <c r="Q60" s="358" t="s">
        <v>247</v>
      </c>
      <c r="R60" s="358" t="s">
        <v>247</v>
      </c>
      <c r="S60" s="358" t="s">
        <v>234</v>
      </c>
      <c r="T60" s="313" t="s">
        <v>3827</v>
      </c>
    </row>
    <row r="61" spans="1:20">
      <c r="B61" s="350" t="s">
        <v>3854</v>
      </c>
      <c r="C61" s="351"/>
      <c r="D61" s="352" t="s">
        <v>3852</v>
      </c>
      <c r="E61" s="378">
        <v>-2.277740026</v>
      </c>
      <c r="F61" s="354">
        <v>34.027640990000002</v>
      </c>
      <c r="G61" s="355">
        <v>25.96</v>
      </c>
      <c r="H61" s="356">
        <v>8.9200000000000017</v>
      </c>
      <c r="I61" s="356">
        <v>65.12</v>
      </c>
      <c r="J61" s="357">
        <v>1.614588467225234</v>
      </c>
      <c r="K61" s="378" t="s">
        <v>229</v>
      </c>
      <c r="L61" s="424" t="s">
        <v>230</v>
      </c>
      <c r="M61" s="424"/>
      <c r="N61" s="358" t="s">
        <v>2670</v>
      </c>
      <c r="O61" s="358" t="s">
        <v>3826</v>
      </c>
      <c r="P61" s="358"/>
      <c r="Q61" s="358" t="s">
        <v>247</v>
      </c>
      <c r="R61" s="358" t="s">
        <v>247</v>
      </c>
      <c r="S61" s="358" t="s">
        <v>234</v>
      </c>
      <c r="T61" s="313" t="s">
        <v>3827</v>
      </c>
    </row>
    <row r="62" spans="1:20">
      <c r="B62" s="350" t="s">
        <v>3855</v>
      </c>
      <c r="C62" s="351"/>
      <c r="D62" s="352" t="s">
        <v>3852</v>
      </c>
      <c r="E62" s="378">
        <v>-2.2787330300000002</v>
      </c>
      <c r="F62" s="354">
        <v>34.032136029999997</v>
      </c>
      <c r="G62" s="355">
        <v>25.96</v>
      </c>
      <c r="H62" s="356">
        <v>8.9200000000000017</v>
      </c>
      <c r="I62" s="356">
        <v>65.12</v>
      </c>
      <c r="J62" s="357">
        <v>1.6991621488417901</v>
      </c>
      <c r="K62" s="378" t="s">
        <v>229</v>
      </c>
      <c r="L62" s="424" t="s">
        <v>230</v>
      </c>
      <c r="M62" s="424"/>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1" ht="15" thickBot="1">
      <c r="B67" s="333" t="s">
        <v>3858</v>
      </c>
      <c r="C67" s="319"/>
      <c r="D67" s="319"/>
      <c r="E67" s="319"/>
      <c r="F67" s="369"/>
      <c r="G67" s="369"/>
      <c r="H67" s="369"/>
      <c r="I67" s="369"/>
      <c r="J67" s="319"/>
      <c r="K67" s="370"/>
      <c r="L67" s="371"/>
    </row>
    <row r="68" spans="2:41" ht="15" thickBot="1">
      <c r="B68" s="437" t="s">
        <v>21</v>
      </c>
      <c r="C68" s="438"/>
      <c r="D68" s="438"/>
      <c r="E68" s="438"/>
      <c r="F68" s="372" t="s">
        <v>3859</v>
      </c>
      <c r="G68" s="373"/>
      <c r="H68" s="373"/>
      <c r="I68" s="373"/>
      <c r="J68" s="373"/>
      <c r="K68" s="373"/>
      <c r="L68" s="374"/>
    </row>
    <row r="69" spans="2:41">
      <c r="B69" s="439" t="s">
        <v>22</v>
      </c>
      <c r="C69" s="440"/>
      <c r="D69" s="440"/>
      <c r="E69" s="440"/>
      <c r="F69" s="375" t="s">
        <v>3860</v>
      </c>
      <c r="G69" s="376"/>
      <c r="H69" s="376"/>
      <c r="I69" s="376"/>
      <c r="J69" s="376"/>
      <c r="K69" s="376"/>
      <c r="L69" s="377"/>
    </row>
    <row r="70" spans="2:41" ht="15" thickBot="1">
      <c r="B70" s="441" t="s">
        <v>25</v>
      </c>
      <c r="C70" s="442"/>
      <c r="D70" s="442"/>
      <c r="E70" s="442"/>
      <c r="F70" s="443" t="s">
        <v>3861</v>
      </c>
      <c r="G70" s="424"/>
      <c r="H70" s="424"/>
      <c r="I70" s="424"/>
      <c r="J70" s="424"/>
      <c r="K70" s="424"/>
      <c r="L70" s="424"/>
      <c r="M70" s="424"/>
      <c r="N70" s="424"/>
    </row>
    <row r="71" spans="2:41">
      <c r="B71" s="333" t="s">
        <v>3862</v>
      </c>
    </row>
    <row r="72" spans="2:41" ht="18">
      <c r="AO72" s="379"/>
    </row>
    <row r="73" spans="2:41">
      <c r="D73" s="434" t="s">
        <v>3885</v>
      </c>
      <c r="E73" s="434"/>
      <c r="F73" s="434"/>
      <c r="G73" s="434"/>
      <c r="H73" s="434"/>
    </row>
    <row r="74" spans="2:41" ht="18.600000000000001" thickBot="1">
      <c r="B74" s="380" t="s">
        <v>3864</v>
      </c>
      <c r="D74" s="435"/>
      <c r="E74" s="435"/>
      <c r="F74" s="435"/>
      <c r="G74" s="435"/>
      <c r="H74" s="435"/>
      <c r="Y74" s="436" t="s">
        <v>3865</v>
      </c>
      <c r="Z74" s="436"/>
      <c r="AA74" s="436"/>
      <c r="AB74" s="436"/>
      <c r="AC74" s="436"/>
      <c r="AD74" s="436"/>
    </row>
    <row r="75" spans="2:41" ht="87"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30</v>
      </c>
      <c r="N75" s="382" t="s">
        <v>31</v>
      </c>
      <c r="O75" s="109" t="s">
        <v>3874</v>
      </c>
      <c r="P75" s="109" t="s">
        <v>3875</v>
      </c>
      <c r="Q75" s="109" t="s">
        <v>34</v>
      </c>
      <c r="R75" s="109" t="s">
        <v>35</v>
      </c>
      <c r="S75" s="109" t="s">
        <v>3880</v>
      </c>
      <c r="T75" s="109" t="s">
        <v>288</v>
      </c>
      <c r="U75" s="109" t="s">
        <v>291</v>
      </c>
      <c r="V75" s="109" t="s">
        <v>292</v>
      </c>
      <c r="W75" s="109" t="s">
        <v>40</v>
      </c>
      <c r="X75" s="383" t="s">
        <v>41</v>
      </c>
      <c r="Y75" s="384" t="s">
        <v>3888</v>
      </c>
      <c r="Z75" s="384" t="s">
        <v>3881</v>
      </c>
      <c r="AA75" s="384" t="s">
        <v>3882</v>
      </c>
      <c r="AB75" s="384" t="s">
        <v>3887</v>
      </c>
      <c r="AC75" s="384" t="s">
        <v>3883</v>
      </c>
      <c r="AD75" s="385" t="s">
        <v>3884</v>
      </c>
    </row>
    <row r="76" spans="2:41">
      <c r="B76" t="str">
        <f>'Final data_for_R_analysis_Dryse'!A2</f>
        <v>Dry</v>
      </c>
      <c r="C76" s="263">
        <f>'Final data_for_R_analysis_Dryse'!B2</f>
        <v>1</v>
      </c>
      <c r="D76" t="s">
        <v>3824</v>
      </c>
      <c r="E76" t="s">
        <v>22</v>
      </c>
      <c r="F76" s="386">
        <v>1</v>
      </c>
      <c r="G76" s="16">
        <f>'Dry_Litterbag Placem_Collection'!E3</f>
        <v>42938</v>
      </c>
      <c r="H76" t="str">
        <f>'Final data_for_R_analysis_Dryse'!J2</f>
        <v>G407</v>
      </c>
      <c r="I76" t="str">
        <f>'Final data_for_R_analysis_Dryse'!J222</f>
        <v>R811</v>
      </c>
      <c r="J76">
        <f>IFERROR(INDEX('Green_rooibos initial weight'!$C$5:$C$1749,MATCH(H76, 'Green_rooibos initial weight'!$A$5:$A$1749,0)),"")</f>
        <v>1.966</v>
      </c>
      <c r="K76">
        <f>IFERROR(INDEX('Green_rooibos initial weight'!$C$5:$C$1749,MATCH(I76, 'Green_rooibos initial weight'!$A$5:$A$1749,0)),"")</f>
        <v>2.226</v>
      </c>
      <c r="L76" s="195">
        <f>IFERROR(IF(J76&gt;0,(J76*$F$31-($F$29+$F$30)),""),"")</f>
        <v>1.7161999999999999</v>
      </c>
      <c r="M76" s="195">
        <f>IFERROR(IF(K76&gt;0,(K76*$F$32-($F$29+$F$30)),""),"")</f>
        <v>1.9762</v>
      </c>
      <c r="N76" s="16">
        <f>IF('Dry_Litterbag Placem_Collection'!G3="N.A","",'Dry_Litterbag Placem_Collection'!G3)</f>
        <v>43007</v>
      </c>
      <c r="O76" s="195">
        <f>IF(IFERROR(INDEX('Both teabags AfterDry'!$D$1:$D$839,MATCH(H76,'Both teabags AfterDry'!$A$1:$A$839,0)),"")="N.A","",(IFERROR(INDEX('Both teabags AfterDry'!$D$1:$D$839,MATCH(H76,'Both teabags AfterDry'!$A$1:$A$839,0)),"")))</f>
        <v>1.278</v>
      </c>
      <c r="P76" s="195">
        <f>IF(IFERROR(INDEX('Both teabags AfterDry'!$D$1:$D$839,MATCH(I76,'Both teabags AfterDry'!$A$1:$A$839,0)),"")="N.A","",(IFERROR(INDEX('Both teabags AfterDry'!$D$1:$D$839,MATCH(I76,'Both teabags AfterDry'!$A$1:$A$839,0)),"")))</f>
        <v>1.8292999999999999</v>
      </c>
      <c r="Q76" s="195">
        <f>IFERROR(IF(O76&gt;0,O76-($F$29),""),"")</f>
        <v>1.1274</v>
      </c>
      <c r="R76" s="195">
        <f>IFERROR(IF(P76&gt;0,P76-($F$29),""),"")</f>
        <v>1.6786999999999999</v>
      </c>
      <c r="S76" s="195">
        <f t="shared" ref="S76:S139" si="0">IFERROR(1-Q76/L76,"")</f>
        <v>0.34308355669502388</v>
      </c>
      <c r="T76" s="195">
        <f>IFERROR($F$26*(1-W76),"")</f>
        <v>0.22491938633688027</v>
      </c>
      <c r="U76" s="195">
        <f t="shared" ref="U76:U139" si="1">IFERROR(R76/M76,"")</f>
        <v>0.84945855682623206</v>
      </c>
      <c r="V76">
        <f t="shared" ref="V76:V139" si="2">IF((N76-G76)&gt;0,(IFERROR(N76-G76,"")),"")</f>
        <v>69</v>
      </c>
      <c r="W76" s="195">
        <f>IFERROR(1-(S76/$F$25),"")</f>
        <v>0.59253734359260823</v>
      </c>
      <c r="X76" s="195">
        <f>IFERROR(LN(T76/(U76-(1-T76)))/V76,"")</f>
        <v>1.6037429275865225E-2</v>
      </c>
      <c r="Y76" s="255" t="str">
        <f>IF(ISNUMBER(SEARCH("C", 'Dry_Litterbag Placem_Collection'!T3)),"YES","NO")</f>
        <v>NO</v>
      </c>
      <c r="Z76" s="255" t="str">
        <f>IF(ISNUMBER(SEARCH("H", 'Dry_Litterbag Placem_Collection'!T3)),"YES","NO")</f>
        <v>YES</v>
      </c>
      <c r="AA76" s="255" t="str">
        <f>IF(ISNUMBER(SEARCH("R", 'Dry_Litterbag Placem_Collection'!T3)),"YES","NO")</f>
        <v>NO</v>
      </c>
      <c r="AB76" s="255" t="str">
        <f>IF(ISNUMBER(SEARCH("C", 'Dry_Litterbag Placem_Collection'!S3)),"YES","NO")</f>
        <v>NO</v>
      </c>
      <c r="AC76" s="255" t="str">
        <f>IF(ISNUMBER(SEARCH("H", 'Dry_Litterbag Placem_Collection'!S3)),"YES","NO")</f>
        <v>YES</v>
      </c>
      <c r="AD76" s="255" t="str">
        <f>IF(ISNUMBER(SEARCH("R", 'Dry_Litterbag Placem_Collection'!S3)),"YES","NO")</f>
        <v>NO</v>
      </c>
    </row>
    <row r="77" spans="2:41">
      <c r="B77" t="str">
        <f>'Final data_for_R_analysis_Dryse'!A3</f>
        <v>Dry</v>
      </c>
      <c r="C77" s="263">
        <f>'Final data_for_R_analysis_Dryse'!B3</f>
        <v>2</v>
      </c>
      <c r="D77" t="s">
        <v>3824</v>
      </c>
      <c r="E77" t="s">
        <v>22</v>
      </c>
      <c r="F77" s="386">
        <v>2</v>
      </c>
      <c r="G77" s="16">
        <f>'Dry_Litterbag Placem_Collection'!E4</f>
        <v>0</v>
      </c>
      <c r="H77" t="str">
        <f>'Final data_for_R_analysis_Dryse'!J3</f>
        <v/>
      </c>
      <c r="I77" t="str">
        <f>'Final data_for_R_analysis_Dryse'!J223</f>
        <v/>
      </c>
      <c r="J77" t="str">
        <f>IFERROR(INDEX('Green_rooibos initial weight'!$C$5:$C$1749,MATCH(H77, 'Green_rooibos initial weight'!$A$5:$A$1749,0)),"")</f>
        <v/>
      </c>
      <c r="K77" t="str">
        <f>IFERROR(INDEX('Green_rooibos initial weight'!$C$5:$C$1749,MATCH(I77, 'Green_rooibos initial weight'!$A$5:$A$1749,0)),"")</f>
        <v/>
      </c>
      <c r="L77" s="195" t="str">
        <f t="shared" ref="L77:L140" si="3">IFERROR(IF(J77&gt;0,(J77*$F$31-($F$29+$F$30)),""),"")</f>
        <v/>
      </c>
      <c r="M77" s="195" t="str">
        <f t="shared" ref="M77:M140" si="4">IFERROR(IF(K77&gt;0,(K77*$F$32-($F$29+$F$30)),""),"")</f>
        <v/>
      </c>
      <c r="N77" s="16">
        <f>IF('Dry_Litterbag Placem_Collection'!G4="N.A","",'Dry_Litterbag Placem_Collection'!G4)</f>
        <v>0</v>
      </c>
      <c r="O77" s="195" t="str">
        <f>IF(IFERROR(INDEX('Both teabags AfterDry'!$D$1:$D$839,MATCH(H77,'Both teabags AfterDry'!$A$1:$A$839,0)),"")="N.A","",(IFERROR(INDEX('Both teabags AfterDry'!$D$1:$D$839,MATCH(H77,'Both teabags AfterDry'!$A$1:$A$839,0)),"")))</f>
        <v/>
      </c>
      <c r="P77" s="195" t="str">
        <f>IF(IFERROR(INDEX('Both teabags AfterDry'!$D$1:$D$839,MATCH(I77,'Both teabags AfterDry'!$A$1:$A$839,0)),"")="N.A","",(IFERROR(INDEX('Both teabags AfterDry'!$D$1:$D$839,MATCH(I77,'Both teabags AfterDry'!$A$1:$A$839,0)),"")))</f>
        <v/>
      </c>
      <c r="Q77" s="195" t="str">
        <f t="shared" ref="Q77:R140" si="5">IFERROR(IF(O77&gt;0,O77-($F$29),""),"")</f>
        <v/>
      </c>
      <c r="R77" s="195" t="str">
        <f t="shared" si="5"/>
        <v/>
      </c>
      <c r="S77" s="195" t="str">
        <f t="shared" si="0"/>
        <v/>
      </c>
      <c r="T77" s="195" t="str">
        <f t="shared" ref="T77:T140" si="6">IFERROR($F$26*(1-W77),"")</f>
        <v/>
      </c>
      <c r="U77" s="195" t="str">
        <f t="shared" si="1"/>
        <v/>
      </c>
      <c r="V77" t="str">
        <f t="shared" si="2"/>
        <v/>
      </c>
      <c r="W77" s="195" t="str">
        <f t="shared" ref="W77:W140" si="7">IFERROR(1-(S77/$F$25),"")</f>
        <v/>
      </c>
      <c r="X77" s="195" t="str">
        <f t="shared" ref="X77:X140" si="8">IFERROR(LN(T77/(U77-(1-T77)))/V77,"")</f>
        <v/>
      </c>
      <c r="Y77" s="255" t="str">
        <f>IF(ISNUMBER(SEARCH("C", 'Dry_Litterbag Placem_Collection'!T4)),"YES","NO")</f>
        <v>NO</v>
      </c>
      <c r="Z77" s="255" t="str">
        <f>IF(ISNUMBER(SEARCH("H", 'Dry_Litterbag Placem_Collection'!T4)),"YES","NO")</f>
        <v>NO</v>
      </c>
      <c r="AA77" s="255" t="str">
        <f>IF(ISNUMBER(SEARCH("R", 'Dry_Litterbag Placem_Collection'!T4)),"YES","NO")</f>
        <v>NO</v>
      </c>
      <c r="AB77" s="255" t="str">
        <f>IF(ISNUMBER(SEARCH("C", 'Dry_Litterbag Placem_Collection'!S4)),"YES","NO")</f>
        <v>NO</v>
      </c>
      <c r="AC77" s="255" t="str">
        <f>IF(ISNUMBER(SEARCH("H", 'Dry_Litterbag Placem_Collection'!S4)),"YES","NO")</f>
        <v>NO</v>
      </c>
      <c r="AD77" s="255" t="str">
        <f>IF(ISNUMBER(SEARCH("R", 'Dry_Litterbag Placem_Collection'!S4)),"YES","NO")</f>
        <v>NO</v>
      </c>
    </row>
    <row r="78" spans="2:41">
      <c r="B78" t="str">
        <f>'Final data_for_R_analysis_Dryse'!A4</f>
        <v>Dry</v>
      </c>
      <c r="C78" s="263">
        <f>'Final data_for_R_analysis_Dryse'!B4</f>
        <v>3</v>
      </c>
      <c r="D78" t="s">
        <v>3824</v>
      </c>
      <c r="E78" t="s">
        <v>22</v>
      </c>
      <c r="F78" s="386">
        <v>3</v>
      </c>
      <c r="G78" s="16">
        <f>'Dry_Litterbag Placem_Collection'!E5</f>
        <v>42938</v>
      </c>
      <c r="H78" t="str">
        <f>'Final data_for_R_analysis_Dryse'!J4</f>
        <v>G259</v>
      </c>
      <c r="I78" t="str">
        <f>'Final data_for_R_analysis_Dryse'!J224</f>
        <v>R742</v>
      </c>
      <c r="J78">
        <f>IFERROR(INDEX('Green_rooibos initial weight'!$C$5:$C$1749,MATCH(H78, 'Green_rooibos initial weight'!$A$5:$A$1749,0)),"")</f>
        <v>1.913</v>
      </c>
      <c r="K78">
        <f>IFERROR(INDEX('Green_rooibos initial weight'!$C$5:$C$1749,MATCH(I78, 'Green_rooibos initial weight'!$A$5:$A$1749,0)),"")</f>
        <v>2.1259999999999999</v>
      </c>
      <c r="L78" s="195">
        <f t="shared" si="3"/>
        <v>1.6632</v>
      </c>
      <c r="M78" s="195">
        <f t="shared" si="4"/>
        <v>1.8761999999999999</v>
      </c>
      <c r="N78" s="16">
        <f>IF('Dry_Litterbag Placem_Collection'!G5="N.A","",'Dry_Litterbag Placem_Collection'!G5)</f>
        <v>43007</v>
      </c>
      <c r="O78" s="195">
        <f>IF(IFERROR(INDEX('Both teabags AfterDry'!$D$1:$D$839,MATCH(H78,'Both teabags AfterDry'!$A$1:$A$839,0)),"")="N.A","",(IFERROR(INDEX('Both teabags AfterDry'!$D$1:$D$839,MATCH(H78,'Both teabags AfterDry'!$A$1:$A$839,0)),"")))</f>
        <v>1.5964</v>
      </c>
      <c r="P78" s="195">
        <f>IF(IFERROR(INDEX('Both teabags AfterDry'!$D$1:$D$839,MATCH(I78,'Both teabags AfterDry'!$A$1:$A$839,0)),"")="N.A","",(IFERROR(INDEX('Both teabags AfterDry'!$D$1:$D$839,MATCH(I78,'Both teabags AfterDry'!$A$1:$A$839,0)),"")))</f>
        <v>1.8767</v>
      </c>
      <c r="Q78" s="195">
        <f t="shared" si="5"/>
        <v>1.4458</v>
      </c>
      <c r="R78" s="195">
        <f t="shared" si="5"/>
        <v>1.7261</v>
      </c>
      <c r="S78" s="195">
        <f t="shared" si="0"/>
        <v>0.13071188071188078</v>
      </c>
      <c r="T78" s="195">
        <f t="shared" si="6"/>
        <v>8.5692349350306674E-2</v>
      </c>
      <c r="U78" s="195">
        <f t="shared" si="1"/>
        <v>0.91999786803112682</v>
      </c>
      <c r="V78">
        <f t="shared" si="2"/>
        <v>69</v>
      </c>
      <c r="W78" s="195">
        <f t="shared" si="7"/>
        <v>0.84476023668422706</v>
      </c>
      <c r="X78" s="195">
        <f t="shared" si="8"/>
        <v>3.9304566632367643E-2</v>
      </c>
      <c r="Y78" s="255" t="str">
        <f>IF(ISNUMBER(SEARCH("C", 'Dry_Litterbag Placem_Collection'!T5)),"YES","NO")</f>
        <v>YES</v>
      </c>
      <c r="Z78" s="255" t="str">
        <f>IF(ISNUMBER(SEARCH("H", 'Dry_Litterbag Placem_Collection'!T5)),"YES","NO")</f>
        <v>YES</v>
      </c>
      <c r="AA78" s="255" t="str">
        <f>IF(ISNUMBER(SEARCH("R", 'Dry_Litterbag Placem_Collection'!T5)),"YES","NO")</f>
        <v>NO</v>
      </c>
      <c r="AB78" s="255" t="str">
        <f>IF(ISNUMBER(SEARCH("C", 'Dry_Litterbag Placem_Collection'!S5)),"YES","NO")</f>
        <v>YES</v>
      </c>
      <c r="AC78" s="255" t="str">
        <f>IF(ISNUMBER(SEARCH("H", 'Dry_Litterbag Placem_Collection'!S5)),"YES","NO")</f>
        <v>YES</v>
      </c>
      <c r="AD78" s="255" t="str">
        <f>IF(ISNUMBER(SEARCH("R", 'Dry_Litterbag Placem_Collection'!S5)),"YES","NO")</f>
        <v>NO</v>
      </c>
    </row>
    <row r="79" spans="2:41">
      <c r="B79" t="str">
        <f>'Final data_for_R_analysis_Dryse'!A5</f>
        <v>Dry</v>
      </c>
      <c r="C79" s="263">
        <f>'Final data_for_R_analysis_Dryse'!B5</f>
        <v>4</v>
      </c>
      <c r="D79" t="s">
        <v>3824</v>
      </c>
      <c r="E79" t="s">
        <v>22</v>
      </c>
      <c r="F79" s="387">
        <v>4</v>
      </c>
      <c r="G79" s="16">
        <f>'Dry_Litterbag Placem_Collection'!E6</f>
        <v>42938</v>
      </c>
      <c r="H79" t="str">
        <f>'Final data_for_R_analysis_Dryse'!J5</f>
        <v>G255</v>
      </c>
      <c r="I79" t="str">
        <f>'Final data_for_R_analysis_Dryse'!J225</f>
        <v>R661</v>
      </c>
      <c r="J79">
        <f>IFERROR(INDEX('Green_rooibos initial weight'!$C$5:$C$1749,MATCH(H79, 'Green_rooibos initial weight'!$A$5:$A$1749,0)),"")</f>
        <v>2.0310000000000001</v>
      </c>
      <c r="K79">
        <f>IFERROR(INDEX('Green_rooibos initial weight'!$C$5:$C$1749,MATCH(I79, 'Green_rooibos initial weight'!$A$5:$A$1749,0)),"")</f>
        <v>2.1629999999999998</v>
      </c>
      <c r="L79" s="195">
        <f t="shared" si="3"/>
        <v>1.7812000000000001</v>
      </c>
      <c r="M79" s="195">
        <f t="shared" si="4"/>
        <v>1.9131999999999998</v>
      </c>
      <c r="N79" s="16">
        <f>IF('Dry_Litterbag Placem_Collection'!G6="N.A","",'Dry_Litterbag Placem_Collection'!G6)</f>
        <v>43007</v>
      </c>
      <c r="O79" s="195">
        <f>IF(IFERROR(INDEX('Both teabags AfterDry'!$D$1:$D$839,MATCH(H79,'Both teabags AfterDry'!$A$1:$A$839,0)),"")="N.A","",(IFERROR(INDEX('Both teabags AfterDry'!$D$1:$D$839,MATCH(H79,'Both teabags AfterDry'!$A$1:$A$839,0)),"")))</f>
        <v>1.6215999999999999</v>
      </c>
      <c r="P79" s="195">
        <f>IF(IFERROR(INDEX('Both teabags AfterDry'!$D$1:$D$839,MATCH(I79,'Both teabags AfterDry'!$A$1:$A$839,0)),"")="N.A","",(IFERROR(INDEX('Both teabags AfterDry'!$D$1:$D$839,MATCH(I79,'Both teabags AfterDry'!$A$1:$A$839,0)),"")))</f>
        <v>1.837</v>
      </c>
      <c r="Q79" s="195">
        <f t="shared" si="5"/>
        <v>1.4709999999999999</v>
      </c>
      <c r="R79" s="195">
        <f t="shared" si="5"/>
        <v>1.6863999999999999</v>
      </c>
      <c r="S79" s="195">
        <f t="shared" si="0"/>
        <v>0.1741522569054571</v>
      </c>
      <c r="T79" s="195">
        <f t="shared" si="6"/>
        <v>0.11417107578600037</v>
      </c>
      <c r="U79" s="195">
        <f t="shared" si="1"/>
        <v>0.88145515366924532</v>
      </c>
      <c r="V79">
        <f t="shared" si="2"/>
        <v>69</v>
      </c>
      <c r="W79" s="195">
        <f t="shared" si="7"/>
        <v>0.79316834096739064</v>
      </c>
      <c r="X79" s="195" t="str">
        <f t="shared" si="8"/>
        <v/>
      </c>
      <c r="Y79" s="255" t="str">
        <f>IF(ISNUMBER(SEARCH("C", 'Dry_Litterbag Placem_Collection'!T6)),"YES","NO")</f>
        <v>NO</v>
      </c>
      <c r="Z79" s="255" t="str">
        <f>IF(ISNUMBER(SEARCH("H", 'Dry_Litterbag Placem_Collection'!T6)),"YES","NO")</f>
        <v>YES</v>
      </c>
      <c r="AA79" s="255" t="str">
        <f>IF(ISNUMBER(SEARCH("R", 'Dry_Litterbag Placem_Collection'!T6)),"YES","NO")</f>
        <v>NO</v>
      </c>
      <c r="AB79" s="255" t="str">
        <f>IF(ISNUMBER(SEARCH("C", 'Dry_Litterbag Placem_Collection'!S6)),"YES","NO")</f>
        <v>NO</v>
      </c>
      <c r="AC79" s="255" t="str">
        <f>IF(ISNUMBER(SEARCH("H", 'Dry_Litterbag Placem_Collection'!S6)),"YES","NO")</f>
        <v>NO</v>
      </c>
      <c r="AD79" s="255" t="str">
        <f>IF(ISNUMBER(SEARCH("R", 'Dry_Litterbag Placem_Collection'!S6)),"YES","NO")</f>
        <v>NO</v>
      </c>
    </row>
    <row r="80" spans="2:41">
      <c r="B80" t="str">
        <f>'Final data_for_R_analysis_Dryse'!A6</f>
        <v>Dry</v>
      </c>
      <c r="C80" s="263">
        <f>'Final data_for_R_analysis_Dryse'!B6</f>
        <v>5</v>
      </c>
      <c r="D80" t="s">
        <v>3824</v>
      </c>
      <c r="E80" t="s">
        <v>22</v>
      </c>
      <c r="F80" s="387">
        <v>5</v>
      </c>
      <c r="G80" s="16">
        <f>'Dry_Litterbag Placem_Collection'!E7</f>
        <v>42938</v>
      </c>
      <c r="H80" t="str">
        <f>'Final data_for_R_analysis_Dryse'!J6</f>
        <v>G122</v>
      </c>
      <c r="I80" t="str">
        <f>'Final data_for_R_analysis_Dryse'!J226</f>
        <v>R724</v>
      </c>
      <c r="J80">
        <f>IFERROR(INDEX('Green_rooibos initial weight'!$C$5:$C$1749,MATCH(H80, 'Green_rooibos initial weight'!$A$5:$A$1749,0)),"")</f>
        <v>1.95</v>
      </c>
      <c r="K80">
        <f>IFERROR(INDEX('Green_rooibos initial weight'!$C$5:$C$1749,MATCH(I80, 'Green_rooibos initial weight'!$A$5:$A$1749,0)),"")</f>
        <v>2.149</v>
      </c>
      <c r="L80" s="195">
        <f t="shared" si="3"/>
        <v>1.7001999999999999</v>
      </c>
      <c r="M80" s="195">
        <f t="shared" si="4"/>
        <v>1.8992</v>
      </c>
      <c r="N80" s="16">
        <f>IF('Dry_Litterbag Placem_Collection'!G7="N.A","",'Dry_Litterbag Placem_Collection'!G7)</f>
        <v>0</v>
      </c>
      <c r="O80" s="195" t="str">
        <f>IF(IFERROR(INDEX('Both teabags AfterDry'!$D$1:$D$839,MATCH(H80,'Both teabags AfterDry'!$A$1:$A$839,0)),"")="N.A","",(IFERROR(INDEX('Both teabags AfterDry'!$D$1:$D$839,MATCH(H80,'Both teabags AfterDry'!$A$1:$A$839,0)),"")))</f>
        <v/>
      </c>
      <c r="P80" s="195" t="str">
        <f>IF(IFERROR(INDEX('Both teabags AfterDry'!$D$1:$D$839,MATCH(I80,'Both teabags AfterDry'!$A$1:$A$839,0)),"")="N.A","",(IFERROR(INDEX('Both teabags AfterDry'!$D$1:$D$839,MATCH(I80,'Both teabags AfterDry'!$A$1:$A$839,0)),"")))</f>
        <v/>
      </c>
      <c r="Q80" s="195" t="str">
        <f t="shared" si="5"/>
        <v/>
      </c>
      <c r="R80" s="195" t="str">
        <f t="shared" si="5"/>
        <v/>
      </c>
      <c r="S80" s="195" t="str">
        <f t="shared" si="0"/>
        <v/>
      </c>
      <c r="T80" s="195" t="str">
        <f t="shared" si="6"/>
        <v/>
      </c>
      <c r="U80" s="195" t="str">
        <f t="shared" si="1"/>
        <v/>
      </c>
      <c r="V80" t="str">
        <f t="shared" si="2"/>
        <v/>
      </c>
      <c r="W80" s="195" t="str">
        <f t="shared" si="7"/>
        <v/>
      </c>
      <c r="X80" s="195" t="str">
        <f t="shared" si="8"/>
        <v/>
      </c>
      <c r="Y80" s="255" t="str">
        <f>IF(ISNUMBER(SEARCH("C", 'Dry_Litterbag Placem_Collection'!T7)),"YES","NO")</f>
        <v>NO</v>
      </c>
      <c r="Z80" s="255" t="str">
        <f>IF(ISNUMBER(SEARCH("H", 'Dry_Litterbag Placem_Collection'!T7)),"YES","NO")</f>
        <v>NO</v>
      </c>
      <c r="AA80" s="255" t="str">
        <f>IF(ISNUMBER(SEARCH("R", 'Dry_Litterbag Placem_Collection'!T7)),"YES","NO")</f>
        <v>NO</v>
      </c>
      <c r="AB80" s="255" t="str">
        <f>IF(ISNUMBER(SEARCH("C", 'Dry_Litterbag Placem_Collection'!S7)),"YES","NO")</f>
        <v>NO</v>
      </c>
      <c r="AC80" s="255" t="str">
        <f>IF(ISNUMBER(SEARCH("H", 'Dry_Litterbag Placem_Collection'!S7)),"YES","NO")</f>
        <v>NO</v>
      </c>
      <c r="AD80" s="255" t="str">
        <f>IF(ISNUMBER(SEARCH("R", 'Dry_Litterbag Placem_Collection'!S7)),"YES","NO")</f>
        <v>NO</v>
      </c>
    </row>
    <row r="81" spans="2:30">
      <c r="B81" t="str">
        <f>'Final data_for_R_analysis_Dryse'!A7</f>
        <v>Dry</v>
      </c>
      <c r="C81" s="263">
        <f>'Final data_for_R_analysis_Dryse'!B7</f>
        <v>6</v>
      </c>
      <c r="D81" t="s">
        <v>3824</v>
      </c>
      <c r="E81" t="s">
        <v>22</v>
      </c>
      <c r="F81" s="387">
        <v>6</v>
      </c>
      <c r="G81" s="16">
        <f>'Dry_Litterbag Placem_Collection'!E8</f>
        <v>42938</v>
      </c>
      <c r="H81" t="str">
        <f>'Final data_for_R_analysis_Dryse'!J7</f>
        <v>G478</v>
      </c>
      <c r="I81" t="str">
        <f>'Final data_for_R_analysis_Dryse'!J227</f>
        <v>R688</v>
      </c>
      <c r="J81">
        <f>IFERROR(INDEX('Green_rooibos initial weight'!$C$5:$C$1749,MATCH(H81, 'Green_rooibos initial weight'!$A$5:$A$1749,0)),"")</f>
        <v>2.056</v>
      </c>
      <c r="K81">
        <f>IFERROR(INDEX('Green_rooibos initial weight'!$C$5:$C$1749,MATCH(I81, 'Green_rooibos initial weight'!$A$5:$A$1749,0)),"")</f>
        <v>2.1709999999999998</v>
      </c>
      <c r="L81" s="195">
        <f t="shared" si="3"/>
        <v>1.8062</v>
      </c>
      <c r="M81" s="195">
        <f t="shared" si="4"/>
        <v>1.9211999999999998</v>
      </c>
      <c r="N81" s="16">
        <f>IF('Dry_Litterbag Placem_Collection'!G8="N.A","",'Dry_Litterbag Placem_Collection'!G8)</f>
        <v>43007</v>
      </c>
      <c r="O81" s="195" t="str">
        <f>IF(IFERROR(INDEX('Both teabags AfterDry'!$D$1:$D$839,MATCH(H81,'Both teabags AfterDry'!$A$1:$A$839,0)),"")="N.A","",(IFERROR(INDEX('Both teabags AfterDry'!$D$1:$D$839,MATCH(H81,'Both teabags AfterDry'!$A$1:$A$839,0)),"")))</f>
        <v/>
      </c>
      <c r="P81" s="195" t="str">
        <f>IF(IFERROR(INDEX('Both teabags AfterDry'!$D$1:$D$839,MATCH(I81,'Both teabags AfterDry'!$A$1:$A$839,0)),"")="N.A","",(IFERROR(INDEX('Both teabags AfterDry'!$D$1:$D$839,MATCH(I81,'Both teabags AfterDry'!$A$1:$A$839,0)),"")))</f>
        <v/>
      </c>
      <c r="Q81" s="195" t="str">
        <f t="shared" si="5"/>
        <v/>
      </c>
      <c r="R81" s="195" t="str">
        <f t="shared" si="5"/>
        <v/>
      </c>
      <c r="S81" s="195" t="str">
        <f t="shared" si="0"/>
        <v/>
      </c>
      <c r="T81" s="195" t="str">
        <f t="shared" si="6"/>
        <v/>
      </c>
      <c r="U81" s="195" t="str">
        <f t="shared" si="1"/>
        <v/>
      </c>
      <c r="V81">
        <f t="shared" si="2"/>
        <v>69</v>
      </c>
      <c r="W81" s="195" t="str">
        <f t="shared" si="7"/>
        <v/>
      </c>
      <c r="X81" s="195" t="str">
        <f t="shared" si="8"/>
        <v/>
      </c>
      <c r="Y81" s="255" t="str">
        <f>IF(ISNUMBER(SEARCH("C", 'Dry_Litterbag Placem_Collection'!T8)),"YES","NO")</f>
        <v>NO</v>
      </c>
      <c r="Z81" s="255" t="str">
        <f>IF(ISNUMBER(SEARCH("H", 'Dry_Litterbag Placem_Collection'!T8)),"YES","NO")</f>
        <v>NO</v>
      </c>
      <c r="AA81" s="255" t="str">
        <f>IF(ISNUMBER(SEARCH("R", 'Dry_Litterbag Placem_Collection'!T8)),"YES","NO")</f>
        <v>NO</v>
      </c>
      <c r="AB81" s="255" t="str">
        <f>IF(ISNUMBER(SEARCH("C", 'Dry_Litterbag Placem_Collection'!S8)),"YES","NO")</f>
        <v>NO</v>
      </c>
      <c r="AC81" s="255" t="str">
        <f>IF(ISNUMBER(SEARCH("H", 'Dry_Litterbag Placem_Collection'!S8)),"YES","NO")</f>
        <v>NO</v>
      </c>
      <c r="AD81" s="255" t="str">
        <f>IF(ISNUMBER(SEARCH("R", 'Dry_Litterbag Placem_Collection'!S8)),"YES","NO")</f>
        <v>NO</v>
      </c>
    </row>
    <row r="82" spans="2:30">
      <c r="B82" t="str">
        <f>'Final data_for_R_analysis_Dryse'!A8</f>
        <v>Dry</v>
      </c>
      <c r="C82" s="263">
        <f>'Final data_for_R_analysis_Dryse'!B8</f>
        <v>7</v>
      </c>
      <c r="D82" t="s">
        <v>3824</v>
      </c>
      <c r="E82" t="s">
        <v>22</v>
      </c>
      <c r="F82" s="387">
        <v>7</v>
      </c>
      <c r="G82" s="16">
        <f>'Dry_Litterbag Placem_Collection'!E9</f>
        <v>42938</v>
      </c>
      <c r="H82" t="str">
        <f>'Final data_for_R_analysis_Dryse'!J8</f>
        <v>G106</v>
      </c>
      <c r="I82" t="str">
        <f>'Final data_for_R_analysis_Dryse'!J228</f>
        <v>R762</v>
      </c>
      <c r="J82">
        <f>IFERROR(INDEX('Green_rooibos initial weight'!$C$5:$C$1749,MATCH(H82, 'Green_rooibos initial weight'!$A$5:$A$1749,0)),"")</f>
        <v>2.1230000000000002</v>
      </c>
      <c r="K82">
        <f>IFERROR(INDEX('Green_rooibos initial weight'!$C$5:$C$1749,MATCH(I82, 'Green_rooibos initial weight'!$A$5:$A$1749,0)),"")</f>
        <v>2.1949999999999998</v>
      </c>
      <c r="L82" s="195">
        <f t="shared" si="3"/>
        <v>1.8732000000000002</v>
      </c>
      <c r="M82" s="195">
        <f t="shared" si="4"/>
        <v>1.9451999999999998</v>
      </c>
      <c r="N82" s="16">
        <f>IF('Dry_Litterbag Placem_Collection'!G9="N.A","",'Dry_Litterbag Placem_Collection'!G9)</f>
        <v>43007</v>
      </c>
      <c r="O82" s="195">
        <f>IF(IFERROR(INDEX('Both teabags AfterDry'!$D$1:$D$839,MATCH(H82,'Both teabags AfterDry'!$A$1:$A$839,0)),"")="N.A","",(IFERROR(INDEX('Both teabags AfterDry'!$D$1:$D$839,MATCH(H82,'Both teabags AfterDry'!$A$1:$A$839,0)),"")))</f>
        <v>2.0188999999999999</v>
      </c>
      <c r="P82" s="195">
        <f>IF(IFERROR(INDEX('Both teabags AfterDry'!$D$1:$D$839,MATCH(I82,'Both teabags AfterDry'!$A$1:$A$839,0)),"")="N.A","",(IFERROR(INDEX('Both teabags AfterDry'!$D$1:$D$839,MATCH(I82,'Both teabags AfterDry'!$A$1:$A$839,0)),"")))</f>
        <v>1.7052</v>
      </c>
      <c r="Q82" s="195">
        <f t="shared" si="5"/>
        <v>1.8682999999999998</v>
      </c>
      <c r="R82" s="195">
        <f t="shared" si="5"/>
        <v>1.5546</v>
      </c>
      <c r="S82" s="195">
        <f t="shared" si="0"/>
        <v>2.6158445440958022E-3</v>
      </c>
      <c r="T82" s="195">
        <f t="shared" si="6"/>
        <v>1.7149004612124401E-3</v>
      </c>
      <c r="U82" s="195">
        <f t="shared" si="1"/>
        <v>0.79919802590993216</v>
      </c>
      <c r="V82">
        <f t="shared" si="2"/>
        <v>69</v>
      </c>
      <c r="W82" s="195">
        <f t="shared" si="7"/>
        <v>0.99689329626591949</v>
      </c>
      <c r="X82" s="195" t="str">
        <f t="shared" si="8"/>
        <v/>
      </c>
      <c r="Y82" s="255" t="str">
        <f>IF(ISNUMBER(SEARCH("C", 'Dry_Litterbag Placem_Collection'!T9)),"YES","NO")</f>
        <v>NO</v>
      </c>
      <c r="Z82" s="255" t="str">
        <f>IF(ISNUMBER(SEARCH("H", 'Dry_Litterbag Placem_Collection'!T9)),"YES","NO")</f>
        <v>YES</v>
      </c>
      <c r="AA82" s="255" t="str">
        <f>IF(ISNUMBER(SEARCH("R", 'Dry_Litterbag Placem_Collection'!T9)),"YES","NO")</f>
        <v>NO</v>
      </c>
      <c r="AB82" s="255" t="str">
        <f>IF(ISNUMBER(SEARCH("C", 'Dry_Litterbag Placem_Collection'!S9)),"YES","NO")</f>
        <v>NO</v>
      </c>
      <c r="AC82" s="255" t="str">
        <f>IF(ISNUMBER(SEARCH("H", 'Dry_Litterbag Placem_Collection'!S9)),"YES","NO")</f>
        <v>YES</v>
      </c>
      <c r="AD82" s="255" t="str">
        <f>IF(ISNUMBER(SEARCH("R", 'Dry_Litterbag Placem_Collection'!S9)),"YES","NO")</f>
        <v>NO</v>
      </c>
    </row>
    <row r="83" spans="2:30">
      <c r="B83" t="str">
        <f>'Final data_for_R_analysis_Dryse'!A9</f>
        <v>Dry</v>
      </c>
      <c r="C83" s="263">
        <f>'Final data_for_R_analysis_Dryse'!B9</f>
        <v>8</v>
      </c>
      <c r="D83" t="s">
        <v>3824</v>
      </c>
      <c r="E83" t="s">
        <v>22</v>
      </c>
      <c r="F83" s="387">
        <v>8</v>
      </c>
      <c r="G83" s="16">
        <f>'Dry_Litterbag Placem_Collection'!E10</f>
        <v>42938</v>
      </c>
      <c r="H83" t="str">
        <f>'Final data_for_R_analysis_Dryse'!J9</f>
        <v>G228</v>
      </c>
      <c r="I83" t="str">
        <f>'Final data_for_R_analysis_Dryse'!J229</f>
        <v>R727</v>
      </c>
      <c r="J83">
        <f>IFERROR(INDEX('Green_rooibos initial weight'!$C$5:$C$1749,MATCH(H83, 'Green_rooibos initial weight'!$A$5:$A$1749,0)),"")</f>
        <v>1.976</v>
      </c>
      <c r="K83">
        <f>IFERROR(INDEX('Green_rooibos initial weight'!$C$5:$C$1749,MATCH(I83, 'Green_rooibos initial weight'!$A$5:$A$1749,0)),"")</f>
        <v>2.1629999999999998</v>
      </c>
      <c r="L83" s="195">
        <f t="shared" si="3"/>
        <v>1.7262</v>
      </c>
      <c r="M83" s="195">
        <f t="shared" si="4"/>
        <v>1.9131999999999998</v>
      </c>
      <c r="N83" s="16">
        <f>IF('Dry_Litterbag Placem_Collection'!G10="N.A","",'Dry_Litterbag Placem_Collection'!G10)</f>
        <v>43007</v>
      </c>
      <c r="O83" s="195">
        <f>IF(IFERROR(INDEX('Both teabags AfterDry'!$D$1:$D$839,MATCH(H83,'Both teabags AfterDry'!$A$1:$A$839,0)),"")="N.A","",(IFERROR(INDEX('Both teabags AfterDry'!$D$1:$D$839,MATCH(H83,'Both teabags AfterDry'!$A$1:$A$839,0)),"")))</f>
        <v>0.83330000000000004</v>
      </c>
      <c r="P83" s="195">
        <f>IF(IFERROR(INDEX('Both teabags AfterDry'!$D$1:$D$839,MATCH(I83,'Both teabags AfterDry'!$A$1:$A$839,0)),"")="N.A","",(IFERROR(INDEX('Both teabags AfterDry'!$D$1:$D$839,MATCH(I83,'Both teabags AfterDry'!$A$1:$A$839,0)),"")))</f>
        <v>0</v>
      </c>
      <c r="Q83" s="195">
        <f t="shared" si="5"/>
        <v>0.68270000000000008</v>
      </c>
      <c r="R83" s="195" t="str">
        <f t="shared" si="5"/>
        <v/>
      </c>
      <c r="S83" s="195">
        <f t="shared" si="0"/>
        <v>0.60450700961649861</v>
      </c>
      <c r="T83" s="195">
        <f t="shared" si="6"/>
        <v>0.39630388278896356</v>
      </c>
      <c r="U83" s="195" t="str">
        <f t="shared" si="1"/>
        <v/>
      </c>
      <c r="V83">
        <f t="shared" si="2"/>
        <v>69</v>
      </c>
      <c r="W83" s="195">
        <f t="shared" si="7"/>
        <v>0.282058183353327</v>
      </c>
      <c r="X83" s="195" t="str">
        <f t="shared" si="8"/>
        <v/>
      </c>
      <c r="Y83" s="255" t="str">
        <f>IF(ISNUMBER(SEARCH("C", 'Dry_Litterbag Placem_Collection'!T10)),"YES","NO")</f>
        <v>NO</v>
      </c>
      <c r="Z83" s="255" t="str">
        <f>IF(ISNUMBER(SEARCH("H", 'Dry_Litterbag Placem_Collection'!T10)),"YES","NO")</f>
        <v>NO</v>
      </c>
      <c r="AA83" s="255" t="str">
        <f>IF(ISNUMBER(SEARCH("R", 'Dry_Litterbag Placem_Collection'!T10)),"YES","NO")</f>
        <v>NO</v>
      </c>
      <c r="AB83" s="255" t="str">
        <f>IF(ISNUMBER(SEARCH("C", 'Dry_Litterbag Placem_Collection'!S10)),"YES","NO")</f>
        <v>NO</v>
      </c>
      <c r="AC83" s="255" t="str">
        <f>IF(ISNUMBER(SEARCH("H", 'Dry_Litterbag Placem_Collection'!S10)),"YES","NO")</f>
        <v>NO</v>
      </c>
      <c r="AD83" s="255" t="str">
        <f>IF(ISNUMBER(SEARCH("R", 'Dry_Litterbag Placem_Collection'!S10)),"YES","NO")</f>
        <v>YES</v>
      </c>
    </row>
    <row r="84" spans="2:30">
      <c r="B84" t="str">
        <f>'Final data_for_R_analysis_Dryse'!A10</f>
        <v>Dry</v>
      </c>
      <c r="C84" s="263">
        <f>'Final data_for_R_analysis_Dryse'!B10</f>
        <v>9</v>
      </c>
      <c r="D84" t="s">
        <v>3828</v>
      </c>
      <c r="E84" t="s">
        <v>22</v>
      </c>
      <c r="F84" s="386">
        <v>1</v>
      </c>
      <c r="G84" s="16">
        <f>'Dry_Litterbag Placem_Collection'!E11</f>
        <v>42938</v>
      </c>
      <c r="H84" t="str">
        <f>'Final data_for_R_analysis_Dryse'!J10</f>
        <v>G277</v>
      </c>
      <c r="I84" t="str">
        <f>'Final data_for_R_analysis_Dryse'!J230</f>
        <v>R785</v>
      </c>
      <c r="J84">
        <f>IFERROR(INDEX('Green_rooibos initial weight'!$C$5:$C$1749,MATCH(H84, 'Green_rooibos initial weight'!$A$5:$A$1749,0)),"")</f>
        <v>1.93</v>
      </c>
      <c r="K84">
        <f>IFERROR(INDEX('Green_rooibos initial weight'!$C$5:$C$1749,MATCH(I84, 'Green_rooibos initial weight'!$A$5:$A$1749,0)),"")</f>
        <v>2.2549999999999999</v>
      </c>
      <c r="L84" s="195">
        <f t="shared" si="3"/>
        <v>1.6801999999999999</v>
      </c>
      <c r="M84" s="195">
        <f t="shared" si="4"/>
        <v>2.0051999999999999</v>
      </c>
      <c r="N84" s="16">
        <f>IF('Dry_Litterbag Placem_Collection'!G11="N.A","",'Dry_Litterbag Placem_Collection'!G11)</f>
        <v>43007</v>
      </c>
      <c r="O84" s="195">
        <f>IF(IFERROR(INDEX('Both teabags AfterDry'!$D$1:$D$839,MATCH(H84,'Both teabags AfterDry'!$A$1:$A$839,0)),"")="N.A","",(IFERROR(INDEX('Both teabags AfterDry'!$D$1:$D$839,MATCH(H84,'Both teabags AfterDry'!$A$1:$A$839,0)),"")))</f>
        <v>1.9345000000000001</v>
      </c>
      <c r="P84" s="195">
        <f>IF(IFERROR(INDEX('Both teabags AfterDry'!$D$1:$D$839,MATCH(I84,'Both teabags AfterDry'!$A$1:$A$839,0)),"")="N.A","",(IFERROR(INDEX('Both teabags AfterDry'!$D$1:$D$839,MATCH(I84,'Both teabags AfterDry'!$A$1:$A$839,0)),"")))</f>
        <v>3.7812999999999999</v>
      </c>
      <c r="Q84" s="195">
        <f t="shared" si="5"/>
        <v>1.7839</v>
      </c>
      <c r="R84" s="195">
        <f t="shared" si="5"/>
        <v>3.6307</v>
      </c>
      <c r="S84" s="195">
        <f t="shared" si="0"/>
        <v>-6.1718842994881618E-2</v>
      </c>
      <c r="T84" s="195">
        <f t="shared" si="6"/>
        <v>-4.0461759303057822E-2</v>
      </c>
      <c r="U84" s="195">
        <f t="shared" si="1"/>
        <v>1.8106423299421506</v>
      </c>
      <c r="V84">
        <f t="shared" si="2"/>
        <v>69</v>
      </c>
      <c r="W84" s="195">
        <f t="shared" si="7"/>
        <v>1.073300288592496</v>
      </c>
      <c r="X84" s="195" t="str">
        <f t="shared" si="8"/>
        <v/>
      </c>
      <c r="Y84" s="255" t="str">
        <f>IF(ISNUMBER(SEARCH("C", 'Dry_Litterbag Placem_Collection'!T11)),"YES","NO")</f>
        <v>YES</v>
      </c>
      <c r="Z84" s="255" t="str">
        <f>IF(ISNUMBER(SEARCH("H", 'Dry_Litterbag Placem_Collection'!T11)),"YES","NO")</f>
        <v>NO</v>
      </c>
      <c r="AA84" s="255" t="str">
        <f>IF(ISNUMBER(SEARCH("R", 'Dry_Litterbag Placem_Collection'!T11)),"YES","NO")</f>
        <v>NO</v>
      </c>
      <c r="AB84" s="255" t="str">
        <f>IF(ISNUMBER(SEARCH("C", 'Dry_Litterbag Placem_Collection'!S11)),"YES","NO")</f>
        <v>YES</v>
      </c>
      <c r="AC84" s="255" t="str">
        <f>IF(ISNUMBER(SEARCH("H", 'Dry_Litterbag Placem_Collection'!S11)),"YES","NO")</f>
        <v>YES</v>
      </c>
      <c r="AD84" s="255" t="str">
        <f>IF(ISNUMBER(SEARCH("R", 'Dry_Litterbag Placem_Collection'!S11)),"YES","NO")</f>
        <v>NO</v>
      </c>
    </row>
    <row r="85" spans="2:30">
      <c r="B85" t="str">
        <f>'Final data_for_R_analysis_Dryse'!A11</f>
        <v>Dry</v>
      </c>
      <c r="C85" s="263">
        <f>'Final data_for_R_analysis_Dryse'!B11</f>
        <v>10</v>
      </c>
      <c r="D85" t="s">
        <v>3828</v>
      </c>
      <c r="E85" t="s">
        <v>22</v>
      </c>
      <c r="F85" s="386">
        <v>2</v>
      </c>
      <c r="G85" s="16">
        <f>'Dry_Litterbag Placem_Collection'!E12</f>
        <v>42938</v>
      </c>
      <c r="H85" t="str">
        <f>'Final data_for_R_analysis_Dryse'!J11</f>
        <v>G310</v>
      </c>
      <c r="I85" t="str">
        <f>'Final data_for_R_analysis_Dryse'!J231</f>
        <v>R747</v>
      </c>
      <c r="J85">
        <f>IFERROR(INDEX('Green_rooibos initial weight'!$C$5:$C$1749,MATCH(H85, 'Green_rooibos initial weight'!$A$5:$A$1749,0)),"")</f>
        <v>2.0459999999999998</v>
      </c>
      <c r="K85">
        <f>IFERROR(INDEX('Green_rooibos initial weight'!$C$5:$C$1749,MATCH(I85, 'Green_rooibos initial weight'!$A$5:$A$1749,0)),"")</f>
        <v>2.1549999999999998</v>
      </c>
      <c r="L85" s="195">
        <f t="shared" si="3"/>
        <v>1.7961999999999998</v>
      </c>
      <c r="M85" s="195">
        <f t="shared" si="4"/>
        <v>1.9051999999999998</v>
      </c>
      <c r="N85" s="16">
        <f>IF('Dry_Litterbag Placem_Collection'!G12="N.A","",'Dry_Litterbag Placem_Collection'!G12)</f>
        <v>0</v>
      </c>
      <c r="O85" s="195" t="str">
        <f>IF(IFERROR(INDEX('Both teabags AfterDry'!$D$1:$D$839,MATCH(H85,'Both teabags AfterDry'!$A$1:$A$839,0)),"")="N.A","",(IFERROR(INDEX('Both teabags AfterDry'!$D$1:$D$839,MATCH(H85,'Both teabags AfterDry'!$A$1:$A$839,0)),"")))</f>
        <v/>
      </c>
      <c r="P85" s="195" t="str">
        <f>IF(IFERROR(INDEX('Both teabags AfterDry'!$D$1:$D$839,MATCH(I85,'Both teabags AfterDry'!$A$1:$A$839,0)),"")="N.A","",(IFERROR(INDEX('Both teabags AfterDry'!$D$1:$D$839,MATCH(I85,'Both teabags AfterDry'!$A$1:$A$839,0)),"")))</f>
        <v/>
      </c>
      <c r="Q85" s="195" t="str">
        <f t="shared" si="5"/>
        <v/>
      </c>
      <c r="R85" s="195" t="str">
        <f t="shared" si="5"/>
        <v/>
      </c>
      <c r="S85" s="195" t="str">
        <f t="shared" si="0"/>
        <v/>
      </c>
      <c r="T85" s="195" t="str">
        <f t="shared" si="6"/>
        <v/>
      </c>
      <c r="U85" s="195" t="str">
        <f t="shared" si="1"/>
        <v/>
      </c>
      <c r="V85" t="str">
        <f t="shared" si="2"/>
        <v/>
      </c>
      <c r="W85" s="195" t="str">
        <f t="shared" si="7"/>
        <v/>
      </c>
      <c r="X85" s="195" t="str">
        <f t="shared" si="8"/>
        <v/>
      </c>
      <c r="Y85" s="255" t="str">
        <f>IF(ISNUMBER(SEARCH("C", 'Dry_Litterbag Placem_Collection'!T12)),"YES","NO")</f>
        <v>NO</v>
      </c>
      <c r="Z85" s="255" t="str">
        <f>IF(ISNUMBER(SEARCH("H", 'Dry_Litterbag Placem_Collection'!T12)),"YES","NO")</f>
        <v>NO</v>
      </c>
      <c r="AA85" s="255" t="str">
        <f>IF(ISNUMBER(SEARCH("R", 'Dry_Litterbag Placem_Collection'!T12)),"YES","NO")</f>
        <v>NO</v>
      </c>
      <c r="AB85" s="255" t="str">
        <f>IF(ISNUMBER(SEARCH("C", 'Dry_Litterbag Placem_Collection'!S12)),"YES","NO")</f>
        <v>NO</v>
      </c>
      <c r="AC85" s="255" t="str">
        <f>IF(ISNUMBER(SEARCH("H", 'Dry_Litterbag Placem_Collection'!S12)),"YES","NO")</f>
        <v>NO</v>
      </c>
      <c r="AD85" s="255" t="str">
        <f>IF(ISNUMBER(SEARCH("R", 'Dry_Litterbag Placem_Collection'!S12)),"YES","NO")</f>
        <v>NO</v>
      </c>
    </row>
    <row r="86" spans="2:30">
      <c r="B86" t="str">
        <f>'Final data_for_R_analysis_Dryse'!A12</f>
        <v>Dry</v>
      </c>
      <c r="C86" s="263">
        <f>'Final data_for_R_analysis_Dryse'!B12</f>
        <v>11</v>
      </c>
      <c r="D86" t="s">
        <v>3828</v>
      </c>
      <c r="E86" t="s">
        <v>22</v>
      </c>
      <c r="F86" s="386">
        <v>3</v>
      </c>
      <c r="G86" s="16">
        <f>'Dry_Litterbag Placem_Collection'!E13</f>
        <v>42938</v>
      </c>
      <c r="H86" t="str">
        <f>'Final data_for_R_analysis_Dryse'!J12</f>
        <v>G435</v>
      </c>
      <c r="I86" t="str">
        <f>'Final data_for_R_analysis_Dryse'!J232</f>
        <v>R748</v>
      </c>
      <c r="J86">
        <f>IFERROR(INDEX('Green_rooibos initial weight'!$C$5:$C$1749,MATCH(H86, 'Green_rooibos initial weight'!$A$5:$A$1749,0)),"")</f>
        <v>2.0009999999999999</v>
      </c>
      <c r="K86">
        <f>IFERROR(INDEX('Green_rooibos initial weight'!$C$5:$C$1749,MATCH(I86, 'Green_rooibos initial weight'!$A$5:$A$1749,0)),"")</f>
        <v>2.1829999999999998</v>
      </c>
      <c r="L86" s="195">
        <f t="shared" si="3"/>
        <v>1.7511999999999999</v>
      </c>
      <c r="M86" s="195">
        <f t="shared" si="4"/>
        <v>1.9331999999999998</v>
      </c>
      <c r="N86" s="16">
        <f>IF('Dry_Litterbag Placem_Collection'!G13="N.A","",'Dry_Litterbag Placem_Collection'!G13)</f>
        <v>43007</v>
      </c>
      <c r="O86" s="195">
        <f>IF(IFERROR(INDEX('Both teabags AfterDry'!$D$1:$D$839,MATCH(H86,'Both teabags AfterDry'!$A$1:$A$839,0)),"")="N.A","",(IFERROR(INDEX('Both teabags AfterDry'!$D$1:$D$839,MATCH(H86,'Both teabags AfterDry'!$A$1:$A$839,0)),"")))</f>
        <v>1.7934000000000001</v>
      </c>
      <c r="P86" s="195">
        <f>IF(IFERROR(INDEX('Both teabags AfterDry'!$D$1:$D$839,MATCH(I86,'Both teabags AfterDry'!$A$1:$A$839,0)),"")="N.A","",(IFERROR(INDEX('Both teabags AfterDry'!$D$1:$D$839,MATCH(I86,'Both teabags AfterDry'!$A$1:$A$839,0)),"")))</f>
        <v>0.98360000000000003</v>
      </c>
      <c r="Q86" s="195">
        <f t="shared" si="5"/>
        <v>1.6428</v>
      </c>
      <c r="R86" s="195">
        <f t="shared" si="5"/>
        <v>0.83299999999999996</v>
      </c>
      <c r="S86" s="195">
        <f t="shared" si="0"/>
        <v>6.1900411146642242E-2</v>
      </c>
      <c r="T86" s="195">
        <f t="shared" si="6"/>
        <v>4.0580792105637205E-2</v>
      </c>
      <c r="U86" s="195">
        <f t="shared" si="1"/>
        <v>0.43089178564038899</v>
      </c>
      <c r="V86">
        <f t="shared" si="2"/>
        <v>69</v>
      </c>
      <c r="W86" s="195">
        <f t="shared" si="7"/>
        <v>0.92648407227239638</v>
      </c>
      <c r="X86" s="195" t="str">
        <f t="shared" si="8"/>
        <v/>
      </c>
      <c r="Y86" s="255" t="str">
        <f>IF(ISNUMBER(SEARCH("C", 'Dry_Litterbag Placem_Collection'!T13)),"YES","NO")</f>
        <v>YES</v>
      </c>
      <c r="Z86" s="255" t="str">
        <f>IF(ISNUMBER(SEARCH("H", 'Dry_Litterbag Placem_Collection'!T13)),"YES","NO")</f>
        <v>YES</v>
      </c>
      <c r="AA86" s="255" t="str">
        <f>IF(ISNUMBER(SEARCH("R", 'Dry_Litterbag Placem_Collection'!T13)),"YES","NO")</f>
        <v>NO</v>
      </c>
      <c r="AB86" s="255" t="str">
        <f>IF(ISNUMBER(SEARCH("C", 'Dry_Litterbag Placem_Collection'!S13)),"YES","NO")</f>
        <v>YES</v>
      </c>
      <c r="AC86" s="255" t="str">
        <f>IF(ISNUMBER(SEARCH("H", 'Dry_Litterbag Placem_Collection'!S13)),"YES","NO")</f>
        <v>YES</v>
      </c>
      <c r="AD86" s="255" t="str">
        <f>IF(ISNUMBER(SEARCH("R", 'Dry_Litterbag Placem_Collection'!S13)),"YES","NO")</f>
        <v>NO</v>
      </c>
    </row>
    <row r="87" spans="2:30">
      <c r="B87" t="str">
        <f>'Final data_for_R_analysis_Dryse'!A13</f>
        <v>Dry</v>
      </c>
      <c r="C87" s="263">
        <f>'Final data_for_R_analysis_Dryse'!B13</f>
        <v>12</v>
      </c>
      <c r="D87" t="s">
        <v>3828</v>
      </c>
      <c r="E87" t="s">
        <v>22</v>
      </c>
      <c r="F87" s="387">
        <v>4</v>
      </c>
      <c r="G87" s="16">
        <f>'Dry_Litterbag Placem_Collection'!E14</f>
        <v>0</v>
      </c>
      <c r="H87" t="str">
        <f>'Final data_for_R_analysis_Dryse'!J13</f>
        <v/>
      </c>
      <c r="I87" t="str">
        <f>'Final data_for_R_analysis_Dryse'!J233</f>
        <v/>
      </c>
      <c r="J87" t="str">
        <f>IFERROR(INDEX('Green_rooibos initial weight'!$C$5:$C$1749,MATCH(H87, 'Green_rooibos initial weight'!$A$5:$A$1749,0)),"")</f>
        <v/>
      </c>
      <c r="K87" t="str">
        <f>IFERROR(INDEX('Green_rooibos initial weight'!$C$5:$C$1749,MATCH(I87, 'Green_rooibos initial weight'!$A$5:$A$1749,0)),"")</f>
        <v/>
      </c>
      <c r="L87" s="195" t="str">
        <f t="shared" si="3"/>
        <v/>
      </c>
      <c r="M87" s="195" t="str">
        <f t="shared" si="4"/>
        <v/>
      </c>
      <c r="N87" s="16">
        <f>IF('Dry_Litterbag Placem_Collection'!G14="N.A","",'Dry_Litterbag Placem_Collection'!G14)</f>
        <v>0</v>
      </c>
      <c r="O87" s="195" t="str">
        <f>IF(IFERROR(INDEX('Both teabags AfterDry'!$D$1:$D$839,MATCH(H87,'Both teabags AfterDry'!$A$1:$A$839,0)),"")="N.A","",(IFERROR(INDEX('Both teabags AfterDry'!$D$1:$D$839,MATCH(H87,'Both teabags AfterDry'!$A$1:$A$839,0)),"")))</f>
        <v/>
      </c>
      <c r="P87" s="195" t="str">
        <f>IF(IFERROR(INDEX('Both teabags AfterDry'!$D$1:$D$839,MATCH(I87,'Both teabags AfterDry'!$A$1:$A$839,0)),"")="N.A","",(IFERROR(INDEX('Both teabags AfterDry'!$D$1:$D$839,MATCH(I87,'Both teabags AfterDry'!$A$1:$A$839,0)),"")))</f>
        <v/>
      </c>
      <c r="Q87" s="195" t="str">
        <f t="shared" si="5"/>
        <v/>
      </c>
      <c r="R87" s="195" t="str">
        <f t="shared" si="5"/>
        <v/>
      </c>
      <c r="S87" s="195" t="str">
        <f t="shared" si="0"/>
        <v/>
      </c>
      <c r="T87" s="195" t="str">
        <f t="shared" si="6"/>
        <v/>
      </c>
      <c r="U87" s="195" t="str">
        <f t="shared" si="1"/>
        <v/>
      </c>
      <c r="V87" t="str">
        <f t="shared" si="2"/>
        <v/>
      </c>
      <c r="W87" s="195" t="str">
        <f t="shared" si="7"/>
        <v/>
      </c>
      <c r="X87" s="195" t="str">
        <f t="shared" si="8"/>
        <v/>
      </c>
      <c r="Y87" s="255" t="str">
        <f>IF(ISNUMBER(SEARCH("C", 'Dry_Litterbag Placem_Collection'!T14)),"YES","NO")</f>
        <v>NO</v>
      </c>
      <c r="Z87" s="255" t="str">
        <f>IF(ISNUMBER(SEARCH("H", 'Dry_Litterbag Placem_Collection'!T14)),"YES","NO")</f>
        <v>NO</v>
      </c>
      <c r="AA87" s="255" t="str">
        <f>IF(ISNUMBER(SEARCH("R", 'Dry_Litterbag Placem_Collection'!T14)),"YES","NO")</f>
        <v>NO</v>
      </c>
      <c r="AB87" s="255" t="str">
        <f>IF(ISNUMBER(SEARCH("C", 'Dry_Litterbag Placem_Collection'!S14)),"YES","NO")</f>
        <v>NO</v>
      </c>
      <c r="AC87" s="255" t="str">
        <f>IF(ISNUMBER(SEARCH("H", 'Dry_Litterbag Placem_Collection'!S14)),"YES","NO")</f>
        <v>NO</v>
      </c>
      <c r="AD87" s="255" t="str">
        <f>IF(ISNUMBER(SEARCH("R", 'Dry_Litterbag Placem_Collection'!S14)),"YES","NO")</f>
        <v>NO</v>
      </c>
    </row>
    <row r="88" spans="2:30">
      <c r="B88" t="str">
        <f>'Final data_for_R_analysis_Dryse'!A14</f>
        <v>Dry</v>
      </c>
      <c r="C88" s="263">
        <f>'Final data_for_R_analysis_Dryse'!B14</f>
        <v>13</v>
      </c>
      <c r="D88" t="s">
        <v>3828</v>
      </c>
      <c r="E88" t="s">
        <v>22</v>
      </c>
      <c r="F88" s="387">
        <v>5</v>
      </c>
      <c r="G88" s="16">
        <f>'Dry_Litterbag Placem_Collection'!E15</f>
        <v>42938</v>
      </c>
      <c r="H88" t="str">
        <f>'Final data_for_R_analysis_Dryse'!J14</f>
        <v>G2</v>
      </c>
      <c r="I88" t="str">
        <f>'Final data_for_R_analysis_Dryse'!J234</f>
        <v>R784</v>
      </c>
      <c r="J88">
        <f>IFERROR(INDEX('Green_rooibos initial weight'!$C$5:$C$1749,MATCH(H88, 'Green_rooibos initial weight'!$A$5:$A$1749,0)),"")</f>
        <v>2</v>
      </c>
      <c r="K88">
        <f>IFERROR(INDEX('Green_rooibos initial weight'!$C$5:$C$1749,MATCH(I88, 'Green_rooibos initial weight'!$A$5:$A$1749,0)),"")</f>
        <v>2.17</v>
      </c>
      <c r="L88" s="195">
        <f t="shared" si="3"/>
        <v>1.7502</v>
      </c>
      <c r="M88" s="195">
        <f t="shared" si="4"/>
        <v>1.9201999999999999</v>
      </c>
      <c r="N88" s="16">
        <f>IF('Dry_Litterbag Placem_Collection'!G15="N.A","",'Dry_Litterbag Placem_Collection'!G15)</f>
        <v>43007</v>
      </c>
      <c r="O88" s="195">
        <f>IF(IFERROR(INDEX('Both teabags AfterDry'!$D$1:$D$839,MATCH(H88,'Both teabags AfterDry'!$A$1:$A$839,0)),"")="N.A","",(IFERROR(INDEX('Both teabags AfterDry'!$D$1:$D$839,MATCH(H88,'Both teabags AfterDry'!$A$1:$A$839,0)),"")))</f>
        <v>1.7587999999999999</v>
      </c>
      <c r="P88" s="195">
        <f>IF(IFERROR(INDEX('Both teabags AfterDry'!$D$1:$D$839,MATCH(I88,'Both teabags AfterDry'!$A$1:$A$839,0)),"")="N.A","",(IFERROR(INDEX('Both teabags AfterDry'!$D$1:$D$839,MATCH(I88,'Both teabags AfterDry'!$A$1:$A$839,0)),"")))</f>
        <v>0</v>
      </c>
      <c r="Q88" s="195">
        <f t="shared" si="5"/>
        <v>1.6081999999999999</v>
      </c>
      <c r="R88" s="195" t="str">
        <f t="shared" si="5"/>
        <v/>
      </c>
      <c r="S88" s="195">
        <f t="shared" si="0"/>
        <v>8.1133584733173447E-2</v>
      </c>
      <c r="T88" s="195">
        <f t="shared" si="6"/>
        <v>5.3189713506783559E-2</v>
      </c>
      <c r="U88" s="195" t="str">
        <f t="shared" si="1"/>
        <v/>
      </c>
      <c r="V88">
        <f t="shared" si="2"/>
        <v>69</v>
      </c>
      <c r="W88" s="195">
        <f t="shared" si="7"/>
        <v>0.90364182335727616</v>
      </c>
      <c r="X88" s="195" t="str">
        <f t="shared" si="8"/>
        <v/>
      </c>
      <c r="Y88" s="255" t="str">
        <f>IF(ISNUMBER(SEARCH("C", 'Dry_Litterbag Placem_Collection'!T15)),"YES","NO")</f>
        <v>YES</v>
      </c>
      <c r="Z88" s="255" t="str">
        <f>IF(ISNUMBER(SEARCH("H", 'Dry_Litterbag Placem_Collection'!T15)),"YES","NO")</f>
        <v>YES</v>
      </c>
      <c r="AA88" s="255" t="str">
        <f>IF(ISNUMBER(SEARCH("R", 'Dry_Litterbag Placem_Collection'!T15)),"YES","NO")</f>
        <v>NO</v>
      </c>
      <c r="AB88" s="255" t="str">
        <f>IF(ISNUMBER(SEARCH("C", 'Dry_Litterbag Placem_Collection'!S15)),"YES","NO")</f>
        <v>YES</v>
      </c>
      <c r="AC88" s="255" t="str">
        <f>IF(ISNUMBER(SEARCH("H", 'Dry_Litterbag Placem_Collection'!S15)),"YES","NO")</f>
        <v>NO</v>
      </c>
      <c r="AD88" s="255" t="str">
        <f>IF(ISNUMBER(SEARCH("R", 'Dry_Litterbag Placem_Collection'!S15)),"YES","NO")</f>
        <v>NO</v>
      </c>
    </row>
    <row r="89" spans="2:30">
      <c r="B89" t="str">
        <f>'Final data_for_R_analysis_Dryse'!A15</f>
        <v>Dry</v>
      </c>
      <c r="C89" s="263">
        <f>'Final data_for_R_analysis_Dryse'!B15</f>
        <v>14</v>
      </c>
      <c r="D89" t="s">
        <v>3828</v>
      </c>
      <c r="E89" t="s">
        <v>22</v>
      </c>
      <c r="F89" s="387">
        <v>6</v>
      </c>
      <c r="G89" s="16">
        <f>'Dry_Litterbag Placem_Collection'!E16</f>
        <v>42938</v>
      </c>
      <c r="H89" t="str">
        <f>'Final data_for_R_analysis_Dryse'!J15</f>
        <v>G225</v>
      </c>
      <c r="I89" t="str">
        <f>'Final data_for_R_analysis_Dryse'!J235</f>
        <v>R838</v>
      </c>
      <c r="J89">
        <f>IFERROR(INDEX('Green_rooibos initial weight'!$C$5:$C$1749,MATCH(H89, 'Green_rooibos initial weight'!$A$5:$A$1749,0)),"")</f>
        <v>2.117</v>
      </c>
      <c r="K89">
        <f>IFERROR(INDEX('Green_rooibos initial weight'!$C$5:$C$1749,MATCH(I89, 'Green_rooibos initial weight'!$A$5:$A$1749,0)),"")</f>
        <v>2.1589999999999998</v>
      </c>
      <c r="L89" s="195">
        <f t="shared" si="3"/>
        <v>1.8672</v>
      </c>
      <c r="M89" s="195">
        <f t="shared" si="4"/>
        <v>1.9091999999999998</v>
      </c>
      <c r="N89" s="16">
        <f>IF('Dry_Litterbag Placem_Collection'!G16="N.A","",'Dry_Litterbag Placem_Collection'!G16)</f>
        <v>43007</v>
      </c>
      <c r="O89" s="195">
        <f>IF(IFERROR(INDEX('Both teabags AfterDry'!$D$1:$D$839,MATCH(H89,'Both teabags AfterDry'!$A$1:$A$839,0)),"")="N.A","",(IFERROR(INDEX('Both teabags AfterDry'!$D$1:$D$839,MATCH(H89,'Both teabags AfterDry'!$A$1:$A$839,0)),"")))</f>
        <v>1.25</v>
      </c>
      <c r="P89" s="195">
        <f>IF(IFERROR(INDEX('Both teabags AfterDry'!$D$1:$D$839,MATCH(I89,'Both teabags AfterDry'!$A$1:$A$839,0)),"")="N.A","",(IFERROR(INDEX('Both teabags AfterDry'!$D$1:$D$839,MATCH(I89,'Both teabags AfterDry'!$A$1:$A$839,0)),"")))</f>
        <v>1.0848</v>
      </c>
      <c r="Q89" s="195">
        <f t="shared" si="5"/>
        <v>1.0993999999999999</v>
      </c>
      <c r="R89" s="195">
        <f t="shared" si="5"/>
        <v>0.93419999999999992</v>
      </c>
      <c r="S89" s="195">
        <f t="shared" si="0"/>
        <v>0.411203941730934</v>
      </c>
      <c r="T89" s="195">
        <f t="shared" si="6"/>
        <v>0.26957788103975722</v>
      </c>
      <c r="U89" s="195">
        <f t="shared" si="1"/>
        <v>0.48931489629164049</v>
      </c>
      <c r="V89">
        <f t="shared" si="2"/>
        <v>69</v>
      </c>
      <c r="W89" s="195">
        <f t="shared" si="7"/>
        <v>0.51163427347870072</v>
      </c>
      <c r="X89" s="195" t="str">
        <f t="shared" si="8"/>
        <v/>
      </c>
      <c r="Y89" s="255" t="str">
        <f>IF(ISNUMBER(SEARCH("C", 'Dry_Litterbag Placem_Collection'!T16)),"YES","NO")</f>
        <v>YES</v>
      </c>
      <c r="Z89" s="255" t="str">
        <f>IF(ISNUMBER(SEARCH("H", 'Dry_Litterbag Placem_Collection'!T16)),"YES","NO")</f>
        <v>YES</v>
      </c>
      <c r="AA89" s="255" t="str">
        <f>IF(ISNUMBER(SEARCH("R", 'Dry_Litterbag Placem_Collection'!T16)),"YES","NO")</f>
        <v>NO</v>
      </c>
      <c r="AB89" s="255" t="str">
        <f>IF(ISNUMBER(SEARCH("C", 'Dry_Litterbag Placem_Collection'!S16)),"YES","NO")</f>
        <v>NO</v>
      </c>
      <c r="AC89" s="255" t="str">
        <f>IF(ISNUMBER(SEARCH("H", 'Dry_Litterbag Placem_Collection'!S16)),"YES","NO")</f>
        <v>YES</v>
      </c>
      <c r="AD89" s="255" t="str">
        <f>IF(ISNUMBER(SEARCH("R", 'Dry_Litterbag Placem_Collection'!S16)),"YES","NO")</f>
        <v>NO</v>
      </c>
    </row>
    <row r="90" spans="2:30">
      <c r="B90" t="str">
        <f>'Final data_for_R_analysis_Dryse'!A16</f>
        <v>Dry</v>
      </c>
      <c r="C90" s="263">
        <f>'Final data_for_R_analysis_Dryse'!B16</f>
        <v>15</v>
      </c>
      <c r="D90" t="s">
        <v>3828</v>
      </c>
      <c r="E90" t="s">
        <v>22</v>
      </c>
      <c r="F90" s="387">
        <v>7</v>
      </c>
      <c r="G90" s="16">
        <f>'Dry_Litterbag Placem_Collection'!E17</f>
        <v>42938</v>
      </c>
      <c r="H90" t="str">
        <f>'Final data_for_R_analysis_Dryse'!J16</f>
        <v>G444</v>
      </c>
      <c r="I90" t="str">
        <f>'Final data_for_R_analysis_Dryse'!J236</f>
        <v>R793</v>
      </c>
      <c r="J90">
        <f>IFERROR(INDEX('Green_rooibos initial weight'!$C$5:$C$1749,MATCH(H90, 'Green_rooibos initial weight'!$A$5:$A$1749,0)),"")</f>
        <v>2.0259999999999998</v>
      </c>
      <c r="K90">
        <f>IFERROR(INDEX('Green_rooibos initial weight'!$C$5:$C$1749,MATCH(I90, 'Green_rooibos initial weight'!$A$5:$A$1749,0)),"")</f>
        <v>2.2050000000000001</v>
      </c>
      <c r="L90" s="195">
        <f t="shared" si="3"/>
        <v>1.7761999999999998</v>
      </c>
      <c r="M90" s="195">
        <f t="shared" si="4"/>
        <v>1.9552</v>
      </c>
      <c r="N90" s="16">
        <f>IF('Dry_Litterbag Placem_Collection'!G17="N.A","",'Dry_Litterbag Placem_Collection'!G17)</f>
        <v>43007</v>
      </c>
      <c r="O90" s="195">
        <f>IF(IFERROR(INDEX('Both teabags AfterDry'!$D$1:$D$839,MATCH(H90,'Both teabags AfterDry'!$A$1:$A$839,0)),"")="N.A","",(IFERROR(INDEX('Both teabags AfterDry'!$D$1:$D$839,MATCH(H90,'Both teabags AfterDry'!$A$1:$A$839,0)),"")))</f>
        <v>1.3574999999999999</v>
      </c>
      <c r="P90" s="195">
        <f>IF(IFERROR(INDEX('Both teabags AfterDry'!$D$1:$D$839,MATCH(I90,'Both teabags AfterDry'!$A$1:$A$839,0)),"")="N.A","",(IFERROR(INDEX('Both teabags AfterDry'!$D$1:$D$839,MATCH(I90,'Both teabags AfterDry'!$A$1:$A$839,0)),"")))</f>
        <v>0.24560000000000001</v>
      </c>
      <c r="Q90" s="195">
        <f t="shared" si="5"/>
        <v>1.2068999999999999</v>
      </c>
      <c r="R90" s="195">
        <f t="shared" si="5"/>
        <v>9.5000000000000001E-2</v>
      </c>
      <c r="S90" s="195">
        <f t="shared" si="0"/>
        <v>0.32051570769057536</v>
      </c>
      <c r="T90" s="195">
        <f t="shared" si="6"/>
        <v>0.21012431193016345</v>
      </c>
      <c r="U90" s="195">
        <f t="shared" si="1"/>
        <v>4.8588379705400982E-2</v>
      </c>
      <c r="V90">
        <f t="shared" si="2"/>
        <v>69</v>
      </c>
      <c r="W90" s="195">
        <f t="shared" si="7"/>
        <v>0.61934001461926913</v>
      </c>
      <c r="X90" s="195" t="str">
        <f t="shared" si="8"/>
        <v/>
      </c>
      <c r="Y90" s="255" t="str">
        <f>IF(ISNUMBER(SEARCH("C", 'Dry_Litterbag Placem_Collection'!T17)),"YES","NO")</f>
        <v>YES</v>
      </c>
      <c r="Z90" s="255" t="str">
        <f>IF(ISNUMBER(SEARCH("H", 'Dry_Litterbag Placem_Collection'!T17)),"YES","NO")</f>
        <v>YES</v>
      </c>
      <c r="AA90" s="255" t="str">
        <f>IF(ISNUMBER(SEARCH("R", 'Dry_Litterbag Placem_Collection'!T17)),"YES","NO")</f>
        <v>NO</v>
      </c>
      <c r="AB90" s="255" t="str">
        <f>IF(ISNUMBER(SEARCH("C", 'Dry_Litterbag Placem_Collection'!S17)),"YES","NO")</f>
        <v>YES</v>
      </c>
      <c r="AC90" s="255" t="str">
        <f>IF(ISNUMBER(SEARCH("H", 'Dry_Litterbag Placem_Collection'!S17)),"YES","NO")</f>
        <v>YES</v>
      </c>
      <c r="AD90" s="255" t="str">
        <f>IF(ISNUMBER(SEARCH("R", 'Dry_Litterbag Placem_Collection'!S17)),"YES","NO")</f>
        <v>NO</v>
      </c>
    </row>
    <row r="91" spans="2:30">
      <c r="B91" t="str">
        <f>'Final data_for_R_analysis_Dryse'!A17</f>
        <v>Dry</v>
      </c>
      <c r="C91" s="263">
        <f>'Final data_for_R_analysis_Dryse'!B17</f>
        <v>16</v>
      </c>
      <c r="D91" t="s">
        <v>3828</v>
      </c>
      <c r="E91" t="s">
        <v>22</v>
      </c>
      <c r="F91" s="387">
        <v>8</v>
      </c>
      <c r="G91" s="16">
        <f>'Dry_Litterbag Placem_Collection'!E18</f>
        <v>42938</v>
      </c>
      <c r="H91" t="str">
        <f>'Final data_for_R_analysis_Dryse'!J17</f>
        <v>G376</v>
      </c>
      <c r="I91" t="str">
        <f>'Final data_for_R_analysis_Dryse'!J237</f>
        <v>R755</v>
      </c>
      <c r="J91">
        <f>IFERROR(INDEX('Green_rooibos initial weight'!$C$5:$C$1749,MATCH(H91, 'Green_rooibos initial weight'!$A$5:$A$1749,0)),"")</f>
        <v>2.0329999999999999</v>
      </c>
      <c r="K91">
        <f>IFERROR(INDEX('Green_rooibos initial weight'!$C$5:$C$1749,MATCH(I91, 'Green_rooibos initial weight'!$A$5:$A$1749,0)),"")</f>
        <v>2.2120000000000002</v>
      </c>
      <c r="L91" s="195">
        <f t="shared" si="3"/>
        <v>1.7831999999999999</v>
      </c>
      <c r="M91" s="195">
        <f t="shared" si="4"/>
        <v>1.9622000000000002</v>
      </c>
      <c r="N91" s="16">
        <f>IF('Dry_Litterbag Placem_Collection'!G18="N.A","",'Dry_Litterbag Placem_Collection'!G18)</f>
        <v>43007</v>
      </c>
      <c r="O91" s="195" t="str">
        <f>IF(IFERROR(INDEX('Both teabags AfterDry'!$D$1:$D$839,MATCH(H91,'Both teabags AfterDry'!$A$1:$A$839,0)),"")="N.A","",(IFERROR(INDEX('Both teabags AfterDry'!$D$1:$D$839,MATCH(H91,'Both teabags AfterDry'!$A$1:$A$839,0)),"")))</f>
        <v/>
      </c>
      <c r="P91" s="195" t="str">
        <f>IF(IFERROR(INDEX('Both teabags AfterDry'!$D$1:$D$839,MATCH(I91,'Both teabags AfterDry'!$A$1:$A$839,0)),"")="N.A","",(IFERROR(INDEX('Both teabags AfterDry'!$D$1:$D$839,MATCH(I91,'Both teabags AfterDry'!$A$1:$A$839,0)),"")))</f>
        <v/>
      </c>
      <c r="Q91" s="195" t="str">
        <f t="shared" si="5"/>
        <v/>
      </c>
      <c r="R91" s="195" t="str">
        <f t="shared" si="5"/>
        <v/>
      </c>
      <c r="S91" s="195" t="str">
        <f t="shared" si="0"/>
        <v/>
      </c>
      <c r="T91" s="195" t="str">
        <f t="shared" si="6"/>
        <v/>
      </c>
      <c r="U91" s="195" t="str">
        <f t="shared" si="1"/>
        <v/>
      </c>
      <c r="V91">
        <f t="shared" si="2"/>
        <v>69</v>
      </c>
      <c r="W91" s="195" t="str">
        <f t="shared" si="7"/>
        <v/>
      </c>
      <c r="X91" s="195" t="str">
        <f t="shared" si="8"/>
        <v/>
      </c>
      <c r="Y91" s="255" t="str">
        <f>IF(ISNUMBER(SEARCH("C", 'Dry_Litterbag Placem_Collection'!T18)),"YES","NO")</f>
        <v>YES</v>
      </c>
      <c r="Z91" s="255" t="str">
        <f>IF(ISNUMBER(SEARCH("H", 'Dry_Litterbag Placem_Collection'!T18)),"YES","NO")</f>
        <v>YES</v>
      </c>
      <c r="AA91" s="255" t="str">
        <f>IF(ISNUMBER(SEARCH("R", 'Dry_Litterbag Placem_Collection'!T18)),"YES","NO")</f>
        <v>NO</v>
      </c>
      <c r="AB91" s="255" t="str">
        <f>IF(ISNUMBER(SEARCH("C", 'Dry_Litterbag Placem_Collection'!S18)),"YES","NO")</f>
        <v>YES</v>
      </c>
      <c r="AC91" s="255" t="str">
        <f>IF(ISNUMBER(SEARCH("H", 'Dry_Litterbag Placem_Collection'!S18)),"YES","NO")</f>
        <v>YES</v>
      </c>
      <c r="AD91" s="255" t="str">
        <f>IF(ISNUMBER(SEARCH("R", 'Dry_Litterbag Placem_Collection'!S18)),"YES","NO")</f>
        <v>NO</v>
      </c>
    </row>
    <row r="92" spans="2:30">
      <c r="B92" t="str">
        <f>'Final data_for_R_analysis_Dryse'!A18</f>
        <v>Dry</v>
      </c>
      <c r="C92" s="263">
        <f>'Final data_for_R_analysis_Dryse'!B18</f>
        <v>17</v>
      </c>
      <c r="D92" t="s">
        <v>3829</v>
      </c>
      <c r="E92" t="s">
        <v>22</v>
      </c>
      <c r="F92" s="386">
        <v>1</v>
      </c>
      <c r="G92" s="16">
        <f>'Dry_Litterbag Placem_Collection'!E19</f>
        <v>42936</v>
      </c>
      <c r="H92" t="str">
        <f>'Final data_for_R_analysis_Dryse'!J18</f>
        <v>G209</v>
      </c>
      <c r="I92" t="str">
        <f>'Final data_for_R_analysis_Dryse'!J238</f>
        <v>R826</v>
      </c>
      <c r="J92">
        <f>IFERROR(INDEX('Green_rooibos initial weight'!$C$5:$C$1749,MATCH(H92, 'Green_rooibos initial weight'!$A$5:$A$1749,0)),"")</f>
        <v>2.1160000000000001</v>
      </c>
      <c r="K92">
        <f>IFERROR(INDEX('Green_rooibos initial weight'!$C$5:$C$1749,MATCH(I92, 'Green_rooibos initial weight'!$A$5:$A$1749,0)),"")</f>
        <v>2.1659999999999999</v>
      </c>
      <c r="L92" s="195">
        <f t="shared" si="3"/>
        <v>1.8662000000000001</v>
      </c>
      <c r="M92" s="195">
        <f t="shared" si="4"/>
        <v>1.9161999999999999</v>
      </c>
      <c r="N92" s="16">
        <f>IF('Dry_Litterbag Placem_Collection'!G19="N.A","",'Dry_Litterbag Placem_Collection'!G19)</f>
        <v>43007</v>
      </c>
      <c r="O92" s="195">
        <f>IF(IFERROR(INDEX('Both teabags AfterDry'!$D$1:$D$839,MATCH(H92,'Both teabags AfterDry'!$A$1:$A$839,0)),"")="N.A","",(IFERROR(INDEX('Both teabags AfterDry'!$D$1:$D$839,MATCH(H92,'Both teabags AfterDry'!$A$1:$A$839,0)),"")))</f>
        <v>1.9087000000000001</v>
      </c>
      <c r="P92" s="195">
        <f>IF(IFERROR(INDEX('Both teabags AfterDry'!$D$1:$D$839,MATCH(I92,'Both teabags AfterDry'!$A$1:$A$839,0)),"")="N.A","",(IFERROR(INDEX('Both teabags AfterDry'!$D$1:$D$839,MATCH(I92,'Both teabags AfterDry'!$A$1:$A$839,0)),"")))</f>
        <v>1.9086000000000001</v>
      </c>
      <c r="Q92" s="195">
        <f t="shared" si="5"/>
        <v>1.7581</v>
      </c>
      <c r="R92" s="195">
        <f t="shared" si="5"/>
        <v>1.758</v>
      </c>
      <c r="S92" s="195">
        <f t="shared" si="0"/>
        <v>5.7925195584610512E-2</v>
      </c>
      <c r="T92" s="195">
        <f t="shared" si="6"/>
        <v>3.7974712544780305E-2</v>
      </c>
      <c r="U92" s="195">
        <f t="shared" si="1"/>
        <v>0.9174407681870369</v>
      </c>
      <c r="V92">
        <f t="shared" si="2"/>
        <v>71</v>
      </c>
      <c r="W92" s="195">
        <f t="shared" si="7"/>
        <v>0.93120523089713714</v>
      </c>
      <c r="X92" s="195" t="str">
        <f t="shared" si="8"/>
        <v/>
      </c>
      <c r="Y92" s="255" t="str">
        <f>IF(ISNUMBER(SEARCH("C", 'Dry_Litterbag Placem_Collection'!T19)),"YES","NO")</f>
        <v>NO</v>
      </c>
      <c r="Z92" s="255" t="str">
        <f>IF(ISNUMBER(SEARCH("H", 'Dry_Litterbag Placem_Collection'!T19)),"YES","NO")</f>
        <v>NO</v>
      </c>
      <c r="AA92" s="255" t="str">
        <f>IF(ISNUMBER(SEARCH("R", 'Dry_Litterbag Placem_Collection'!T19)),"YES","NO")</f>
        <v>NO</v>
      </c>
      <c r="AB92" s="255" t="str">
        <f>IF(ISNUMBER(SEARCH("C", 'Dry_Litterbag Placem_Collection'!S19)),"YES","NO")</f>
        <v>NO</v>
      </c>
      <c r="AC92" s="255" t="str">
        <f>IF(ISNUMBER(SEARCH("H", 'Dry_Litterbag Placem_Collection'!S19)),"YES","NO")</f>
        <v>NO</v>
      </c>
      <c r="AD92" s="255" t="str">
        <f>IF(ISNUMBER(SEARCH("R", 'Dry_Litterbag Placem_Collection'!S19)),"YES","NO")</f>
        <v>NO</v>
      </c>
    </row>
    <row r="93" spans="2:30">
      <c r="B93" t="str">
        <f>'Final data_for_R_analysis_Dryse'!A19</f>
        <v>Dry</v>
      </c>
      <c r="C93" s="263">
        <f>'Final data_for_R_analysis_Dryse'!B19</f>
        <v>18</v>
      </c>
      <c r="D93" t="s">
        <v>3829</v>
      </c>
      <c r="E93" t="s">
        <v>22</v>
      </c>
      <c r="F93" s="386">
        <v>2</v>
      </c>
      <c r="G93" s="16">
        <f>'Dry_Litterbag Placem_Collection'!E20</f>
        <v>42936</v>
      </c>
      <c r="H93" t="str">
        <f>'Final data_for_R_analysis_Dryse'!J19</f>
        <v>G10</v>
      </c>
      <c r="I93" t="str">
        <f>'Final data_for_R_analysis_Dryse'!J239</f>
        <v>R732</v>
      </c>
      <c r="J93">
        <f>IFERROR(INDEX('Green_rooibos initial weight'!$C$5:$C$1749,MATCH(H93, 'Green_rooibos initial weight'!$A$5:$A$1749,0)),"")</f>
        <v>1.9710000000000001</v>
      </c>
      <c r="K93">
        <f>IFERROR(INDEX('Green_rooibos initial weight'!$C$5:$C$1749,MATCH(I93, 'Green_rooibos initial weight'!$A$5:$A$1749,0)),"")</f>
        <v>2.2189999999999999</v>
      </c>
      <c r="L93" s="195">
        <f t="shared" si="3"/>
        <v>1.7212000000000001</v>
      </c>
      <c r="M93" s="195">
        <f t="shared" si="4"/>
        <v>1.9691999999999998</v>
      </c>
      <c r="N93" s="16">
        <f>IF('Dry_Litterbag Placem_Collection'!G20="N.A","",'Dry_Litterbag Placem_Collection'!G20)</f>
        <v>43007</v>
      </c>
      <c r="O93" s="195">
        <f>IF(IFERROR(INDEX('Both teabags AfterDry'!$D$1:$D$839,MATCH(H93,'Both teabags AfterDry'!$A$1:$A$839,0)),"")="N.A","",(IFERROR(INDEX('Both teabags AfterDry'!$D$1:$D$839,MATCH(H93,'Both teabags AfterDry'!$A$1:$A$839,0)),"")))</f>
        <v>1.7706999999999999</v>
      </c>
      <c r="P93" s="195">
        <f>IF(IFERROR(INDEX('Both teabags AfterDry'!$D$1:$D$839,MATCH(I93,'Both teabags AfterDry'!$A$1:$A$839,0)),"")="N.A","",(IFERROR(INDEX('Both teabags AfterDry'!$D$1:$D$839,MATCH(I93,'Both teabags AfterDry'!$A$1:$A$839,0)),"")))</f>
        <v>1.9874000000000001</v>
      </c>
      <c r="Q93" s="195">
        <f t="shared" si="5"/>
        <v>1.6200999999999999</v>
      </c>
      <c r="R93" s="195">
        <f t="shared" si="5"/>
        <v>1.8368</v>
      </c>
      <c r="S93" s="195">
        <f t="shared" si="0"/>
        <v>5.8738089704857166E-2</v>
      </c>
      <c r="T93" s="195">
        <f t="shared" si="6"/>
        <v>3.8507631255440822E-2</v>
      </c>
      <c r="U93" s="195">
        <f t="shared" si="1"/>
        <v>0.93276457444647576</v>
      </c>
      <c r="V93">
        <f t="shared" si="2"/>
        <v>71</v>
      </c>
      <c r="W93" s="195">
        <f t="shared" si="7"/>
        <v>0.93023979845028837</v>
      </c>
      <c r="X93" s="195" t="str">
        <f t="shared" si="8"/>
        <v/>
      </c>
      <c r="Y93" s="255" t="str">
        <f>IF(ISNUMBER(SEARCH("C", 'Dry_Litterbag Placem_Collection'!T20)),"YES","NO")</f>
        <v>NO</v>
      </c>
      <c r="Z93" s="255" t="str">
        <f>IF(ISNUMBER(SEARCH("H", 'Dry_Litterbag Placem_Collection'!T20)),"YES","NO")</f>
        <v>YES</v>
      </c>
      <c r="AA93" s="255" t="str">
        <f>IF(ISNUMBER(SEARCH("R", 'Dry_Litterbag Placem_Collection'!T20)),"YES","NO")</f>
        <v>NO</v>
      </c>
      <c r="AB93" s="255" t="str">
        <f>IF(ISNUMBER(SEARCH("C", 'Dry_Litterbag Placem_Collection'!S20)),"YES","NO")</f>
        <v>NO</v>
      </c>
      <c r="AC93" s="255" t="str">
        <f>IF(ISNUMBER(SEARCH("H", 'Dry_Litterbag Placem_Collection'!S20)),"YES","NO")</f>
        <v>NO</v>
      </c>
      <c r="AD93" s="255" t="str">
        <f>IF(ISNUMBER(SEARCH("R", 'Dry_Litterbag Placem_Collection'!S20)),"YES","NO")</f>
        <v>NO</v>
      </c>
    </row>
    <row r="94" spans="2:30">
      <c r="B94" t="str">
        <f>'Final data_for_R_analysis_Dryse'!A20</f>
        <v>Dry</v>
      </c>
      <c r="C94" s="263">
        <f>'Final data_for_R_analysis_Dryse'!B20</f>
        <v>19</v>
      </c>
      <c r="D94" t="s">
        <v>3829</v>
      </c>
      <c r="E94" t="s">
        <v>22</v>
      </c>
      <c r="F94" s="386">
        <v>3</v>
      </c>
      <c r="G94" s="16">
        <f>'Dry_Litterbag Placem_Collection'!E21</f>
        <v>42936</v>
      </c>
      <c r="H94" t="str">
        <f>'Final data_for_R_analysis_Dryse'!J20</f>
        <v>G190</v>
      </c>
      <c r="I94" t="str">
        <f>'Final data_for_R_analysis_Dryse'!J240</f>
        <v>R749</v>
      </c>
      <c r="J94">
        <f>IFERROR(INDEX('Green_rooibos initial weight'!$C$5:$C$1749,MATCH(H94, 'Green_rooibos initial weight'!$A$5:$A$1749,0)),"")</f>
        <v>1.909</v>
      </c>
      <c r="K94">
        <f>IFERROR(INDEX('Green_rooibos initial weight'!$C$5:$C$1749,MATCH(I94, 'Green_rooibos initial weight'!$A$5:$A$1749,0)),"")</f>
        <v>2.2050000000000001</v>
      </c>
      <c r="L94" s="195">
        <f t="shared" si="3"/>
        <v>1.6592</v>
      </c>
      <c r="M94" s="195">
        <f t="shared" si="4"/>
        <v>1.9552</v>
      </c>
      <c r="N94" s="16">
        <f>IF('Dry_Litterbag Placem_Collection'!G21="N.A","",'Dry_Litterbag Placem_Collection'!G21)</f>
        <v>43007</v>
      </c>
      <c r="O94" s="195">
        <f>IF(IFERROR(INDEX('Both teabags AfterDry'!$D$1:$D$839,MATCH(H94,'Both teabags AfterDry'!$A$1:$A$839,0)),"")="N.A","",(IFERROR(INDEX('Both teabags AfterDry'!$D$1:$D$839,MATCH(H94,'Both teabags AfterDry'!$A$1:$A$839,0)),"")))</f>
        <v>1.7041999999999999</v>
      </c>
      <c r="P94" s="195">
        <f>IF(IFERROR(INDEX('Both teabags AfterDry'!$D$1:$D$839,MATCH(I94,'Both teabags AfterDry'!$A$1:$A$839,0)),"")="N.A","",(IFERROR(INDEX('Both teabags AfterDry'!$D$1:$D$839,MATCH(I94,'Both teabags AfterDry'!$A$1:$A$839,0)),"")))</f>
        <v>1.9492</v>
      </c>
      <c r="Q94" s="195">
        <f t="shared" si="5"/>
        <v>1.5535999999999999</v>
      </c>
      <c r="R94" s="195">
        <f t="shared" si="5"/>
        <v>1.7986</v>
      </c>
      <c r="S94" s="195">
        <f t="shared" si="0"/>
        <v>6.3645130183220933E-2</v>
      </c>
      <c r="T94" s="195">
        <f t="shared" si="6"/>
        <v>4.1724598409902565E-2</v>
      </c>
      <c r="U94" s="195">
        <f t="shared" si="1"/>
        <v>0.91990589198035999</v>
      </c>
      <c r="V94">
        <f t="shared" si="2"/>
        <v>71</v>
      </c>
      <c r="W94" s="195">
        <f t="shared" si="7"/>
        <v>0.92441195940235044</v>
      </c>
      <c r="X94" s="195" t="str">
        <f t="shared" si="8"/>
        <v/>
      </c>
      <c r="Y94" s="255" t="str">
        <f>IF(ISNUMBER(SEARCH("C", 'Dry_Litterbag Placem_Collection'!T21)),"YES","NO")</f>
        <v>NO</v>
      </c>
      <c r="Z94" s="255" t="str">
        <f>IF(ISNUMBER(SEARCH("H", 'Dry_Litterbag Placem_Collection'!T21)),"YES","NO")</f>
        <v>NO</v>
      </c>
      <c r="AA94" s="255" t="str">
        <f>IF(ISNUMBER(SEARCH("R", 'Dry_Litterbag Placem_Collection'!T21)),"YES","NO")</f>
        <v>NO</v>
      </c>
      <c r="AB94" s="255" t="str">
        <f>IF(ISNUMBER(SEARCH("C", 'Dry_Litterbag Placem_Collection'!S21)),"YES","NO")</f>
        <v>NO</v>
      </c>
      <c r="AC94" s="255" t="str">
        <f>IF(ISNUMBER(SEARCH("H", 'Dry_Litterbag Placem_Collection'!S21)),"YES","NO")</f>
        <v>YES</v>
      </c>
      <c r="AD94" s="255" t="str">
        <f>IF(ISNUMBER(SEARCH("R", 'Dry_Litterbag Placem_Collection'!S21)),"YES","NO")</f>
        <v>NO</v>
      </c>
    </row>
    <row r="95" spans="2:30">
      <c r="B95" t="str">
        <f>'Final data_for_R_analysis_Dryse'!A21</f>
        <v>Dry</v>
      </c>
      <c r="C95" s="263">
        <f>'Final data_for_R_analysis_Dryse'!B21</f>
        <v>20</v>
      </c>
      <c r="D95" t="s">
        <v>3829</v>
      </c>
      <c r="E95" t="s">
        <v>22</v>
      </c>
      <c r="F95" s="387">
        <v>4</v>
      </c>
      <c r="G95" s="16">
        <f>'Dry_Litterbag Placem_Collection'!E22</f>
        <v>42936</v>
      </c>
      <c r="H95" t="str">
        <f>'Final data_for_R_analysis_Dryse'!J21</f>
        <v>G38</v>
      </c>
      <c r="I95" t="str">
        <f>'Final data_for_R_analysis_Dryse'!J241</f>
        <v>R632</v>
      </c>
      <c r="J95">
        <f>IFERROR(INDEX('Green_rooibos initial weight'!$C$5:$C$1749,MATCH(H95, 'Green_rooibos initial weight'!$A$5:$A$1749,0)),"")</f>
        <v>1.93</v>
      </c>
      <c r="K95">
        <f>IFERROR(INDEX('Green_rooibos initial weight'!$C$5:$C$1749,MATCH(I95, 'Green_rooibos initial weight'!$A$5:$A$1749,0)),"")</f>
        <v>2.1269999999999998</v>
      </c>
      <c r="L95" s="195">
        <f t="shared" si="3"/>
        <v>1.6801999999999999</v>
      </c>
      <c r="M95" s="195">
        <f t="shared" si="4"/>
        <v>1.8771999999999998</v>
      </c>
      <c r="N95" s="16">
        <f>IF('Dry_Litterbag Placem_Collection'!G22="N.A","",'Dry_Litterbag Placem_Collection'!G22)</f>
        <v>43007</v>
      </c>
      <c r="O95" s="195">
        <f>IF(IFERROR(INDEX('Both teabags AfterDry'!$D$1:$D$839,MATCH(H95,'Both teabags AfterDry'!$A$1:$A$839,0)),"")="N.A","",(IFERROR(INDEX('Both teabags AfterDry'!$D$1:$D$839,MATCH(H95,'Both teabags AfterDry'!$A$1:$A$839,0)),"")))</f>
        <v>1.6738</v>
      </c>
      <c r="P95" s="195">
        <f>IF(IFERROR(INDEX('Both teabags AfterDry'!$D$1:$D$839,MATCH(I95,'Both teabags AfterDry'!$A$1:$A$839,0)),"")="N.A","",(IFERROR(INDEX('Both teabags AfterDry'!$D$1:$D$839,MATCH(I95,'Both teabags AfterDry'!$A$1:$A$839,0)),"")))</f>
        <v>1.9161999999999999</v>
      </c>
      <c r="Q95" s="195">
        <f t="shared" si="5"/>
        <v>1.5231999999999999</v>
      </c>
      <c r="R95" s="195">
        <f t="shared" si="5"/>
        <v>1.7655999999999998</v>
      </c>
      <c r="S95" s="195">
        <f t="shared" si="0"/>
        <v>9.3441256993215149E-2</v>
      </c>
      <c r="T95" s="195">
        <f t="shared" si="6"/>
        <v>6.1258401259209942E-2</v>
      </c>
      <c r="U95" s="195">
        <f t="shared" si="1"/>
        <v>0.94054975495418713</v>
      </c>
      <c r="V95">
        <f t="shared" si="2"/>
        <v>71</v>
      </c>
      <c r="W95" s="195">
        <f t="shared" si="7"/>
        <v>0.889024635399982</v>
      </c>
      <c r="X95" s="195">
        <f t="shared" si="8"/>
        <v>4.9616807661713842E-2</v>
      </c>
      <c r="Y95" s="255" t="str">
        <f>IF(ISNUMBER(SEARCH("C", 'Dry_Litterbag Placem_Collection'!T22)),"YES","NO")</f>
        <v>NO</v>
      </c>
      <c r="Z95" s="255" t="str">
        <f>IF(ISNUMBER(SEARCH("H", 'Dry_Litterbag Placem_Collection'!T22)),"YES","NO")</f>
        <v>NO</v>
      </c>
      <c r="AA95" s="255" t="str">
        <f>IF(ISNUMBER(SEARCH("R", 'Dry_Litterbag Placem_Collection'!T22)),"YES","NO")</f>
        <v>NO</v>
      </c>
      <c r="AB95" s="255" t="str">
        <f>IF(ISNUMBER(SEARCH("C", 'Dry_Litterbag Placem_Collection'!S22)),"YES","NO")</f>
        <v>NO</v>
      </c>
      <c r="AC95" s="255" t="str">
        <f>IF(ISNUMBER(SEARCH("H", 'Dry_Litterbag Placem_Collection'!S22)),"YES","NO")</f>
        <v>YES</v>
      </c>
      <c r="AD95" s="255" t="str">
        <f>IF(ISNUMBER(SEARCH("R", 'Dry_Litterbag Placem_Collection'!S22)),"YES","NO")</f>
        <v>NO</v>
      </c>
    </row>
    <row r="96" spans="2:30">
      <c r="B96" t="str">
        <f>'Final data_for_R_analysis_Dryse'!A22</f>
        <v>Dry</v>
      </c>
      <c r="C96" s="263">
        <f>'Final data_for_R_analysis_Dryse'!B22</f>
        <v>21</v>
      </c>
      <c r="D96" t="s">
        <v>3829</v>
      </c>
      <c r="E96" t="s">
        <v>22</v>
      </c>
      <c r="F96" s="387">
        <v>5</v>
      </c>
      <c r="G96" s="16">
        <f>'Dry_Litterbag Placem_Collection'!E23</f>
        <v>42936</v>
      </c>
      <c r="H96" t="str">
        <f>'Final data_for_R_analysis_Dryse'!J22</f>
        <v>G468</v>
      </c>
      <c r="I96" t="str">
        <f>'Final data_for_R_analysis_Dryse'!J242</f>
        <v>R630</v>
      </c>
      <c r="J96">
        <f>IFERROR(INDEX('Green_rooibos initial weight'!$C$5:$C$1749,MATCH(H96, 'Green_rooibos initial weight'!$A$5:$A$1749,0)),"")</f>
        <v>2.1309999999999998</v>
      </c>
      <c r="K96">
        <f>IFERROR(INDEX('Green_rooibos initial weight'!$C$5:$C$1749,MATCH(I96, 'Green_rooibos initial weight'!$A$5:$A$1749,0)),"")</f>
        <v>2.13</v>
      </c>
      <c r="L96" s="195">
        <f t="shared" si="3"/>
        <v>1.8811999999999998</v>
      </c>
      <c r="M96" s="195">
        <f t="shared" si="4"/>
        <v>1.8801999999999999</v>
      </c>
      <c r="N96" s="16">
        <f>IF('Dry_Litterbag Placem_Collection'!G23="N.A","",'Dry_Litterbag Placem_Collection'!G23)</f>
        <v>43007</v>
      </c>
      <c r="O96" s="195" t="str">
        <f>IF(IFERROR(INDEX('Both teabags AfterDry'!$D$1:$D$839,MATCH(H96,'Both teabags AfterDry'!$A$1:$A$839,0)),"")="N.A","",(IFERROR(INDEX('Both teabags AfterDry'!$D$1:$D$839,MATCH(H96,'Both teabags AfterDry'!$A$1:$A$839,0)),"")))</f>
        <v/>
      </c>
      <c r="P96" s="195" t="str">
        <f>IF(IFERROR(INDEX('Both teabags AfterDry'!$D$1:$D$839,MATCH(I96,'Both teabags AfterDry'!$A$1:$A$839,0)),"")="N.A","",(IFERROR(INDEX('Both teabags AfterDry'!$D$1:$D$839,MATCH(I96,'Both teabags AfterDry'!$A$1:$A$839,0)),"")))</f>
        <v/>
      </c>
      <c r="Q96" s="195" t="str">
        <f t="shared" si="5"/>
        <v/>
      </c>
      <c r="R96" s="195" t="str">
        <f t="shared" si="5"/>
        <v/>
      </c>
      <c r="S96" s="195" t="str">
        <f t="shared" si="0"/>
        <v/>
      </c>
      <c r="T96" s="195" t="str">
        <f t="shared" si="6"/>
        <v/>
      </c>
      <c r="U96" s="195" t="str">
        <f t="shared" si="1"/>
        <v/>
      </c>
      <c r="V96">
        <f t="shared" si="2"/>
        <v>71</v>
      </c>
      <c r="W96" s="195" t="str">
        <f t="shared" si="7"/>
        <v/>
      </c>
      <c r="X96" s="195" t="str">
        <f t="shared" si="8"/>
        <v/>
      </c>
      <c r="Y96" s="255" t="str">
        <f>IF(ISNUMBER(SEARCH("C", 'Dry_Litterbag Placem_Collection'!T23)),"YES","NO")</f>
        <v>NO</v>
      </c>
      <c r="Z96" s="255" t="str">
        <f>IF(ISNUMBER(SEARCH("H", 'Dry_Litterbag Placem_Collection'!T23)),"YES","NO")</f>
        <v>NO</v>
      </c>
      <c r="AA96" s="255" t="str">
        <f>IF(ISNUMBER(SEARCH("R", 'Dry_Litterbag Placem_Collection'!T23)),"YES","NO")</f>
        <v>NO</v>
      </c>
      <c r="AB96" s="255" t="str">
        <f>IF(ISNUMBER(SEARCH("C", 'Dry_Litterbag Placem_Collection'!S23)),"YES","NO")</f>
        <v>NO</v>
      </c>
      <c r="AC96" s="255" t="str">
        <f>IF(ISNUMBER(SEARCH("H", 'Dry_Litterbag Placem_Collection'!S23)),"YES","NO")</f>
        <v>NO</v>
      </c>
      <c r="AD96" s="255" t="str">
        <f>IF(ISNUMBER(SEARCH("R", 'Dry_Litterbag Placem_Collection'!S23)),"YES","NO")</f>
        <v>NO</v>
      </c>
    </row>
    <row r="97" spans="2:30">
      <c r="B97" t="str">
        <f>'Final data_for_R_analysis_Dryse'!A23</f>
        <v>Dry</v>
      </c>
      <c r="C97" s="263">
        <f>'Final data_for_R_analysis_Dryse'!B23</f>
        <v>22</v>
      </c>
      <c r="D97" t="s">
        <v>3829</v>
      </c>
      <c r="E97" t="s">
        <v>22</v>
      </c>
      <c r="F97" s="387">
        <v>6</v>
      </c>
      <c r="G97" s="16">
        <f>'Dry_Litterbag Placem_Collection'!E24</f>
        <v>42936</v>
      </c>
      <c r="H97" t="str">
        <f>'Final data_for_R_analysis_Dryse'!J23</f>
        <v>G8</v>
      </c>
      <c r="I97" t="str">
        <f>'Final data_for_R_analysis_Dryse'!J243</f>
        <v>R723</v>
      </c>
      <c r="J97">
        <f>IFERROR(INDEX('Green_rooibos initial weight'!$C$5:$C$1749,MATCH(H97, 'Green_rooibos initial weight'!$A$5:$A$1749,0)),"")</f>
        <v>2.0209999999999999</v>
      </c>
      <c r="K97">
        <f>IFERROR(INDEX('Green_rooibos initial weight'!$C$5:$C$1749,MATCH(I97, 'Green_rooibos initial weight'!$A$5:$A$1749,0)),"")</f>
        <v>2.2559999999999998</v>
      </c>
      <c r="L97" s="195">
        <f t="shared" si="3"/>
        <v>1.7711999999999999</v>
      </c>
      <c r="M97" s="195">
        <f t="shared" si="4"/>
        <v>2.0061999999999998</v>
      </c>
      <c r="N97" s="16">
        <f>IF('Dry_Litterbag Placem_Collection'!G24="N.A","",'Dry_Litterbag Placem_Collection'!G24)</f>
        <v>43007</v>
      </c>
      <c r="O97" s="195">
        <f>IF(IFERROR(INDEX('Both teabags AfterDry'!$D$1:$D$839,MATCH(H97,'Both teabags AfterDry'!$A$1:$A$839,0)),"")="N.A","",(IFERROR(INDEX('Both teabags AfterDry'!$D$1:$D$839,MATCH(H97,'Both teabags AfterDry'!$A$1:$A$839,0)),"")))</f>
        <v>1.4722999999999999</v>
      </c>
      <c r="P97" s="195">
        <f>IF(IFERROR(INDEX('Both teabags AfterDry'!$D$1:$D$839,MATCH(I97,'Both teabags AfterDry'!$A$1:$A$839,0)),"")="N.A","",(IFERROR(INDEX('Both teabags AfterDry'!$D$1:$D$839,MATCH(I97,'Both teabags AfterDry'!$A$1:$A$839,0)),"")))</f>
        <v>1.8997999999999999</v>
      </c>
      <c r="Q97" s="195">
        <f t="shared" si="5"/>
        <v>1.3216999999999999</v>
      </c>
      <c r="R97" s="195">
        <f t="shared" si="5"/>
        <v>1.7491999999999999</v>
      </c>
      <c r="S97" s="195">
        <f t="shared" si="0"/>
        <v>0.25378274616079499</v>
      </c>
      <c r="T97" s="195">
        <f t="shared" si="6"/>
        <v>0.16637538703178012</v>
      </c>
      <c r="U97" s="195">
        <f t="shared" si="1"/>
        <v>0.87189711893131294</v>
      </c>
      <c r="V97">
        <f t="shared" si="2"/>
        <v>71</v>
      </c>
      <c r="W97" s="195">
        <f t="shared" si="7"/>
        <v>0.69859531334822444</v>
      </c>
      <c r="X97" s="195">
        <f t="shared" si="8"/>
        <v>2.069739189498471E-2</v>
      </c>
      <c r="Y97" s="255" t="str">
        <f>IF(ISNUMBER(SEARCH("C", 'Dry_Litterbag Placem_Collection'!T24)),"YES","NO")</f>
        <v>NO</v>
      </c>
      <c r="Z97" s="255" t="str">
        <f>IF(ISNUMBER(SEARCH("H", 'Dry_Litterbag Placem_Collection'!T24)),"YES","NO")</f>
        <v>YES</v>
      </c>
      <c r="AA97" s="255" t="str">
        <f>IF(ISNUMBER(SEARCH("R", 'Dry_Litterbag Placem_Collection'!T24)),"YES","NO")</f>
        <v>NO</v>
      </c>
      <c r="AB97" s="255" t="str">
        <f>IF(ISNUMBER(SEARCH("C", 'Dry_Litterbag Placem_Collection'!S24)),"YES","NO")</f>
        <v>NO</v>
      </c>
      <c r="AC97" s="255" t="str">
        <f>IF(ISNUMBER(SEARCH("H", 'Dry_Litterbag Placem_Collection'!S24)),"YES","NO")</f>
        <v>NO</v>
      </c>
      <c r="AD97" s="255" t="str">
        <f>IF(ISNUMBER(SEARCH("R", 'Dry_Litterbag Placem_Collection'!S24)),"YES","NO")</f>
        <v>NO</v>
      </c>
    </row>
    <row r="98" spans="2:30">
      <c r="B98" t="str">
        <f>'Final data_for_R_analysis_Dryse'!A24</f>
        <v>Dry</v>
      </c>
      <c r="C98" s="263">
        <f>'Final data_for_R_analysis_Dryse'!B24</f>
        <v>23</v>
      </c>
      <c r="D98" t="s">
        <v>3829</v>
      </c>
      <c r="E98" t="s">
        <v>22</v>
      </c>
      <c r="F98" s="387">
        <v>7</v>
      </c>
      <c r="G98" s="390">
        <f>'Dry_Litterbag Placem_Collection'!E25</f>
        <v>0</v>
      </c>
      <c r="H98" t="str">
        <f>'Final data_for_R_analysis_Dryse'!J24</f>
        <v/>
      </c>
      <c r="I98" t="str">
        <f>'Final data_for_R_analysis_Dryse'!J244</f>
        <v/>
      </c>
      <c r="J98" t="str">
        <f>IFERROR(INDEX('Green_rooibos initial weight'!$C$5:$C$1749,MATCH(H98, 'Green_rooibos initial weight'!$A$5:$A$1749,0)),"")</f>
        <v/>
      </c>
      <c r="K98" t="str">
        <f>IFERROR(INDEX('Green_rooibos initial weight'!$C$5:$C$1749,MATCH(I98, 'Green_rooibos initial weight'!$A$5:$A$1749,0)),"")</f>
        <v/>
      </c>
      <c r="L98" s="195" t="str">
        <f t="shared" si="3"/>
        <v/>
      </c>
      <c r="M98" s="195" t="str">
        <f t="shared" si="4"/>
        <v/>
      </c>
      <c r="N98" s="16">
        <f>IF('Dry_Litterbag Placem_Collection'!G25="N.A","",'Dry_Litterbag Placem_Collection'!G25)</f>
        <v>0</v>
      </c>
      <c r="O98" s="195" t="str">
        <f>IF(IFERROR(INDEX('Both teabags AfterDry'!$D$1:$D$839,MATCH(H98,'Both teabags AfterDry'!$A$1:$A$839,0)),"")="N.A","",(IFERROR(INDEX('Both teabags AfterDry'!$D$1:$D$839,MATCH(H98,'Both teabags AfterDry'!$A$1:$A$839,0)),"")))</f>
        <v/>
      </c>
      <c r="P98" s="195" t="str">
        <f>IF(IFERROR(INDEX('Both teabags AfterDry'!$D$1:$D$839,MATCH(I98,'Both teabags AfterDry'!$A$1:$A$839,0)),"")="N.A","",(IFERROR(INDEX('Both teabags AfterDry'!$D$1:$D$839,MATCH(I98,'Both teabags AfterDry'!$A$1:$A$839,0)),"")))</f>
        <v/>
      </c>
      <c r="Q98" s="195" t="str">
        <f t="shared" si="5"/>
        <v/>
      </c>
      <c r="R98" s="195" t="str">
        <f t="shared" si="5"/>
        <v/>
      </c>
      <c r="S98" s="195" t="str">
        <f t="shared" si="0"/>
        <v/>
      </c>
      <c r="T98" s="195" t="str">
        <f t="shared" si="6"/>
        <v/>
      </c>
      <c r="U98" s="195" t="str">
        <f t="shared" si="1"/>
        <v/>
      </c>
      <c r="V98" t="str">
        <f t="shared" si="2"/>
        <v/>
      </c>
      <c r="W98" s="195" t="str">
        <f t="shared" si="7"/>
        <v/>
      </c>
      <c r="X98" s="195" t="str">
        <f t="shared" si="8"/>
        <v/>
      </c>
      <c r="Y98" s="255" t="str">
        <f>IF(ISNUMBER(SEARCH("C", 'Dry_Litterbag Placem_Collection'!T25)),"YES","NO")</f>
        <v>NO</v>
      </c>
      <c r="Z98" s="255" t="str">
        <f>IF(ISNUMBER(SEARCH("H", 'Dry_Litterbag Placem_Collection'!T25)),"YES","NO")</f>
        <v>NO</v>
      </c>
      <c r="AA98" s="255" t="str">
        <f>IF(ISNUMBER(SEARCH("R", 'Dry_Litterbag Placem_Collection'!T25)),"YES","NO")</f>
        <v>NO</v>
      </c>
      <c r="AB98" s="255" t="str">
        <f>IF(ISNUMBER(SEARCH("C", 'Dry_Litterbag Placem_Collection'!S25)),"YES","NO")</f>
        <v>NO</v>
      </c>
      <c r="AC98" s="255" t="str">
        <f>IF(ISNUMBER(SEARCH("H", 'Dry_Litterbag Placem_Collection'!S25)),"YES","NO")</f>
        <v>NO</v>
      </c>
      <c r="AD98" s="255" t="str">
        <f>IF(ISNUMBER(SEARCH("R", 'Dry_Litterbag Placem_Collection'!S25)),"YES","NO")</f>
        <v>NO</v>
      </c>
    </row>
    <row r="99" spans="2:30">
      <c r="B99" t="str">
        <f>'Final data_for_R_analysis_Dryse'!A25</f>
        <v>Dry</v>
      </c>
      <c r="C99" s="263">
        <f>'Final data_for_R_analysis_Dryse'!B25</f>
        <v>24</v>
      </c>
      <c r="D99" t="s">
        <v>3829</v>
      </c>
      <c r="E99" t="s">
        <v>22</v>
      </c>
      <c r="F99" s="387">
        <v>8</v>
      </c>
      <c r="G99" s="16">
        <f>'Dry_Litterbag Placem_Collection'!E26</f>
        <v>42936</v>
      </c>
      <c r="H99" t="str">
        <f>'Final data_for_R_analysis_Dryse'!J25</f>
        <v>G320</v>
      </c>
      <c r="I99" t="str">
        <f>'Final data_for_R_analysis_Dryse'!J245</f>
        <v>R225</v>
      </c>
      <c r="J99">
        <f>IFERROR(INDEX('Green_rooibos initial weight'!$C$5:$C$1749,MATCH(H99, 'Green_rooibos initial weight'!$A$5:$A$1749,0)),"")</f>
        <v>2.044</v>
      </c>
      <c r="K99">
        <f>IFERROR(INDEX('Green_rooibos initial weight'!$C$5:$C$1749,MATCH(I99, 'Green_rooibos initial weight'!$A$5:$A$1749,0)),"")</f>
        <v>2.214</v>
      </c>
      <c r="L99" s="195">
        <f t="shared" si="3"/>
        <v>1.7942</v>
      </c>
      <c r="M99" s="195">
        <f t="shared" si="4"/>
        <v>1.9641999999999999</v>
      </c>
      <c r="N99" s="16">
        <f>IF('Dry_Litterbag Placem_Collection'!G26="N.A","",'Dry_Litterbag Placem_Collection'!G26)</f>
        <v>43007</v>
      </c>
      <c r="O99" s="195">
        <f>IF(IFERROR(INDEX('Both teabags AfterDry'!$D$1:$D$839,MATCH(H99,'Both teabags AfterDry'!$A$1:$A$839,0)),"")="N.A","",(IFERROR(INDEX('Both teabags AfterDry'!$D$1:$D$839,MATCH(H99,'Both teabags AfterDry'!$A$1:$A$839,0)),"")))</f>
        <v>1.7525999999999999</v>
      </c>
      <c r="P99" s="195">
        <f>IF(IFERROR(INDEX('Both teabags AfterDry'!$D$1:$D$839,MATCH(I99,'Both teabags AfterDry'!$A$1:$A$839,0)),"")="N.A","",(IFERROR(INDEX('Both teabags AfterDry'!$D$1:$D$839,MATCH(I99,'Both teabags AfterDry'!$A$1:$A$839,0)),"")))</f>
        <v>1.9572000000000001</v>
      </c>
      <c r="Q99" s="195">
        <f t="shared" si="5"/>
        <v>1.6019999999999999</v>
      </c>
      <c r="R99" s="195">
        <f t="shared" si="5"/>
        <v>1.8066</v>
      </c>
      <c r="S99" s="195">
        <f t="shared" si="0"/>
        <v>0.10712295173336317</v>
      </c>
      <c r="T99" s="195">
        <f t="shared" si="6"/>
        <v>7.0227873345387742E-2</v>
      </c>
      <c r="U99" s="195">
        <f t="shared" si="1"/>
        <v>0.91976377151002953</v>
      </c>
      <c r="V99">
        <f t="shared" si="2"/>
        <v>71</v>
      </c>
      <c r="W99" s="195">
        <f t="shared" si="7"/>
        <v>0.87277559176560193</v>
      </c>
      <c r="X99" s="195" t="str">
        <f t="shared" si="8"/>
        <v/>
      </c>
      <c r="Y99" s="255" t="str">
        <f>IF(ISNUMBER(SEARCH("C", 'Dry_Litterbag Placem_Collection'!T26)),"YES","NO")</f>
        <v>NO</v>
      </c>
      <c r="Z99" s="255" t="str">
        <f>IF(ISNUMBER(SEARCH("H", 'Dry_Litterbag Placem_Collection'!T26)),"YES","NO")</f>
        <v>NO</v>
      </c>
      <c r="AA99" s="255" t="str">
        <f>IF(ISNUMBER(SEARCH("R", 'Dry_Litterbag Placem_Collection'!T26)),"YES","NO")</f>
        <v>NO</v>
      </c>
      <c r="AB99" s="255" t="str">
        <f>IF(ISNUMBER(SEARCH("C", 'Dry_Litterbag Placem_Collection'!S26)),"YES","NO")</f>
        <v>NO</v>
      </c>
      <c r="AC99" s="255" t="str">
        <f>IF(ISNUMBER(SEARCH("H", 'Dry_Litterbag Placem_Collection'!S26)),"YES","NO")</f>
        <v>NO</v>
      </c>
      <c r="AD99" s="255" t="str">
        <f>IF(ISNUMBER(SEARCH("R", 'Dry_Litterbag Placem_Collection'!S26)),"YES","NO")</f>
        <v>NO</v>
      </c>
    </row>
    <row r="100" spans="2:30">
      <c r="B100" t="str">
        <f>'Final data_for_R_analysis_Dryse'!A26</f>
        <v>Dry</v>
      </c>
      <c r="C100" s="263">
        <f>'Final data_for_R_analysis_Dryse'!B26</f>
        <v>25</v>
      </c>
      <c r="D100" t="s">
        <v>3830</v>
      </c>
      <c r="E100" t="s">
        <v>22</v>
      </c>
      <c r="F100" s="386">
        <v>1</v>
      </c>
      <c r="G100" s="16">
        <f>'Dry_Litterbag Placem_Collection'!E27</f>
        <v>42936</v>
      </c>
      <c r="H100" t="str">
        <f>'Final data_for_R_analysis_Dryse'!J26</f>
        <v>G322</v>
      </c>
      <c r="I100" t="str">
        <f>'Final data_for_R_analysis_Dryse'!J246</f>
        <v>R43</v>
      </c>
      <c r="J100">
        <f>IFERROR(INDEX('Green_rooibos initial weight'!$C$5:$C$1749,MATCH(H100, 'Green_rooibos initial weight'!$A$5:$A$1749,0)),"")</f>
        <v>2.0169999999999999</v>
      </c>
      <c r="K100">
        <f>IFERROR(INDEX('Green_rooibos initial weight'!$C$5:$C$1749,MATCH(I100, 'Green_rooibos initial weight'!$A$5:$A$1749,0)),"")</f>
        <v>2.2759999999999998</v>
      </c>
      <c r="L100" s="195">
        <f t="shared" si="3"/>
        <v>1.7671999999999999</v>
      </c>
      <c r="M100" s="195">
        <f t="shared" si="4"/>
        <v>2.0261999999999998</v>
      </c>
      <c r="N100" s="16">
        <f>IF('Dry_Litterbag Placem_Collection'!G27="N.A","",'Dry_Litterbag Placem_Collection'!G27)</f>
        <v>43007</v>
      </c>
      <c r="O100" s="195">
        <f>IF(IFERROR(INDEX('Both teabags AfterDry'!$D$1:$D$839,MATCH(H100,'Both teabags AfterDry'!$A$1:$A$839,0)),"")="N.A","",(IFERROR(INDEX('Both teabags AfterDry'!$D$1:$D$839,MATCH(H100,'Both teabags AfterDry'!$A$1:$A$839,0)),"")))</f>
        <v>1.8697999999999999</v>
      </c>
      <c r="P100" s="195">
        <f>IF(IFERROR(INDEX('Both teabags AfterDry'!$D$1:$D$839,MATCH(I100,'Both teabags AfterDry'!$A$1:$A$839,0)),"")="N.A","",(IFERROR(INDEX('Both teabags AfterDry'!$D$1:$D$839,MATCH(I100,'Both teabags AfterDry'!$A$1:$A$839,0)),"")))</f>
        <v>2.0165999999999999</v>
      </c>
      <c r="Q100" s="195">
        <f t="shared" si="5"/>
        <v>1.7191999999999998</v>
      </c>
      <c r="R100" s="195">
        <f t="shared" si="5"/>
        <v>1.8659999999999999</v>
      </c>
      <c r="S100" s="195">
        <f t="shared" si="0"/>
        <v>2.7161611588954249E-2</v>
      </c>
      <c r="T100" s="195">
        <f t="shared" si="6"/>
        <v>1.7806662229338171E-2</v>
      </c>
      <c r="U100" s="195">
        <f t="shared" si="1"/>
        <v>0.92093574178264737</v>
      </c>
      <c r="V100">
        <f t="shared" si="2"/>
        <v>71</v>
      </c>
      <c r="W100" s="195">
        <f t="shared" si="7"/>
        <v>0.96774155393235839</v>
      </c>
      <c r="X100" s="195" t="str">
        <f t="shared" si="8"/>
        <v/>
      </c>
      <c r="Y100" s="255" t="str">
        <f>IF(ISNUMBER(SEARCH("C", 'Dry_Litterbag Placem_Collection'!T27)),"YES","NO")</f>
        <v>NO</v>
      </c>
      <c r="Z100" s="255" t="str">
        <f>IF(ISNUMBER(SEARCH("H", 'Dry_Litterbag Placem_Collection'!T27)),"YES","NO")</f>
        <v>NO</v>
      </c>
      <c r="AA100" s="255" t="str">
        <f>IF(ISNUMBER(SEARCH("R", 'Dry_Litterbag Placem_Collection'!T27)),"YES","NO")</f>
        <v>NO</v>
      </c>
      <c r="AB100" s="255" t="str">
        <f>IF(ISNUMBER(SEARCH("C", 'Dry_Litterbag Placem_Collection'!S27)),"YES","NO")</f>
        <v>NO</v>
      </c>
      <c r="AC100" s="255" t="str">
        <f>IF(ISNUMBER(SEARCH("H", 'Dry_Litterbag Placem_Collection'!S27)),"YES","NO")</f>
        <v>NO</v>
      </c>
      <c r="AD100" s="255" t="str">
        <f>IF(ISNUMBER(SEARCH("R", 'Dry_Litterbag Placem_Collection'!S27)),"YES","NO")</f>
        <v>NO</v>
      </c>
    </row>
    <row r="101" spans="2:30">
      <c r="B101" t="str">
        <f>'Final data_for_R_analysis_Dryse'!A27</f>
        <v>Dry</v>
      </c>
      <c r="C101" s="263">
        <f>'Final data_for_R_analysis_Dryse'!B27</f>
        <v>26</v>
      </c>
      <c r="D101" t="s">
        <v>3830</v>
      </c>
      <c r="E101" t="s">
        <v>22</v>
      </c>
      <c r="F101" s="386">
        <v>2</v>
      </c>
      <c r="G101" s="16">
        <f>'Dry_Litterbag Placem_Collection'!E28</f>
        <v>42936</v>
      </c>
      <c r="H101" t="str">
        <f>'Final data_for_R_analysis_Dryse'!J27</f>
        <v>G58</v>
      </c>
      <c r="I101" t="str">
        <f>'Final data_for_R_analysis_Dryse'!J247</f>
        <v>R602</v>
      </c>
      <c r="J101">
        <f>IFERROR(INDEX('Green_rooibos initial weight'!$C$5:$C$1749,MATCH(H101, 'Green_rooibos initial weight'!$A$5:$A$1749,0)),"")</f>
        <v>1.9370000000000001</v>
      </c>
      <c r="K101">
        <f>IFERROR(INDEX('Green_rooibos initial weight'!$C$5:$C$1749,MATCH(I101, 'Green_rooibos initial weight'!$A$5:$A$1749,0)),"")</f>
        <v>2.19</v>
      </c>
      <c r="L101" s="195">
        <f t="shared" si="3"/>
        <v>1.6872</v>
      </c>
      <c r="M101" s="195">
        <f t="shared" si="4"/>
        <v>1.9401999999999999</v>
      </c>
      <c r="N101" s="16">
        <f>IF('Dry_Litterbag Placem_Collection'!G28="N.A","",'Dry_Litterbag Placem_Collection'!G28)</f>
        <v>43007</v>
      </c>
      <c r="O101" s="195">
        <f>IF(IFERROR(INDEX('Both teabags AfterDry'!$D$1:$D$839,MATCH(H101,'Both teabags AfterDry'!$A$1:$A$839,0)),"")="N.A","",(IFERROR(INDEX('Both teabags AfterDry'!$D$1:$D$839,MATCH(H101,'Both teabags AfterDry'!$A$1:$A$839,0)),"")))</f>
        <v>1.7357</v>
      </c>
      <c r="P101" s="195">
        <f>IF(IFERROR(INDEX('Both teabags AfterDry'!$D$1:$D$839,MATCH(I101,'Both teabags AfterDry'!$A$1:$A$839,0)),"")="N.A","",(IFERROR(INDEX('Both teabags AfterDry'!$D$1:$D$839,MATCH(I101,'Both teabags AfterDry'!$A$1:$A$839,0)),"")))</f>
        <v>1.9849000000000001</v>
      </c>
      <c r="Q101" s="195">
        <f t="shared" si="5"/>
        <v>1.5851</v>
      </c>
      <c r="R101" s="195">
        <f t="shared" si="5"/>
        <v>1.8343</v>
      </c>
      <c r="S101" s="195">
        <f t="shared" si="0"/>
        <v>6.0514461830251332E-2</v>
      </c>
      <c r="T101" s="195">
        <f t="shared" si="6"/>
        <v>3.9672188753323942E-2</v>
      </c>
      <c r="U101" s="195">
        <f t="shared" si="1"/>
        <v>0.94541799814452121</v>
      </c>
      <c r="V101">
        <f t="shared" si="2"/>
        <v>71</v>
      </c>
      <c r="W101" s="195">
        <f t="shared" si="7"/>
        <v>0.92813009283818126</v>
      </c>
      <c r="X101" s="195" t="str">
        <f t="shared" si="8"/>
        <v/>
      </c>
      <c r="Y101" s="255" t="str">
        <f>IF(ISNUMBER(SEARCH("C", 'Dry_Litterbag Placem_Collection'!T28)),"YES","NO")</f>
        <v>NO</v>
      </c>
      <c r="Z101" s="255" t="str">
        <f>IF(ISNUMBER(SEARCH("H", 'Dry_Litterbag Placem_Collection'!T28)),"YES","NO")</f>
        <v>NO</v>
      </c>
      <c r="AA101" s="255" t="str">
        <f>IF(ISNUMBER(SEARCH("R", 'Dry_Litterbag Placem_Collection'!T28)),"YES","NO")</f>
        <v>NO</v>
      </c>
      <c r="AB101" s="255" t="str">
        <f>IF(ISNUMBER(SEARCH("C", 'Dry_Litterbag Placem_Collection'!S28)),"YES","NO")</f>
        <v>NO</v>
      </c>
      <c r="AC101" s="255" t="str">
        <f>IF(ISNUMBER(SEARCH("H", 'Dry_Litterbag Placem_Collection'!S28)),"YES","NO")</f>
        <v>NO</v>
      </c>
      <c r="AD101" s="255" t="str">
        <f>IF(ISNUMBER(SEARCH("R", 'Dry_Litterbag Placem_Collection'!S28)),"YES","NO")</f>
        <v>NO</v>
      </c>
    </row>
    <row r="102" spans="2:30">
      <c r="B102" t="str">
        <f>'Final data_for_R_analysis_Dryse'!A28</f>
        <v>Dry</v>
      </c>
      <c r="C102" s="263">
        <f>'Final data_for_R_analysis_Dryse'!B28</f>
        <v>27</v>
      </c>
      <c r="D102" t="s">
        <v>3830</v>
      </c>
      <c r="E102" t="s">
        <v>22</v>
      </c>
      <c r="F102" s="386">
        <v>3</v>
      </c>
      <c r="G102" s="16">
        <f>'Dry_Litterbag Placem_Collection'!E29</f>
        <v>42936</v>
      </c>
      <c r="H102" t="str">
        <f>'Final data_for_R_analysis_Dryse'!J28</f>
        <v>G340</v>
      </c>
      <c r="I102" t="str">
        <f>'Final data_for_R_analysis_Dryse'!J248</f>
        <v>R666</v>
      </c>
      <c r="J102">
        <f>IFERROR(INDEX('Green_rooibos initial weight'!$C$5:$C$1749,MATCH(H102, 'Green_rooibos initial weight'!$A$5:$A$1749,0)),"")</f>
        <v>2.0150000000000001</v>
      </c>
      <c r="K102">
        <f>IFERROR(INDEX('Green_rooibos initial weight'!$C$5:$C$1749,MATCH(I102, 'Green_rooibos initial weight'!$A$5:$A$1749,0)),"")</f>
        <v>2.15</v>
      </c>
      <c r="L102" s="195">
        <f t="shared" si="3"/>
        <v>1.7652000000000001</v>
      </c>
      <c r="M102" s="195">
        <f t="shared" si="4"/>
        <v>1.9001999999999999</v>
      </c>
      <c r="N102" s="16">
        <f>IF('Dry_Litterbag Placem_Collection'!G29="N.A","",'Dry_Litterbag Placem_Collection'!G29)</f>
        <v>43007</v>
      </c>
      <c r="O102" s="195" t="str">
        <f>IF(IFERROR(INDEX('Both teabags AfterDry'!$D$1:$D$839,MATCH(H102,'Both teabags AfterDry'!$A$1:$A$839,0)),"")="N.A","",(IFERROR(INDEX('Both teabags AfterDry'!$D$1:$D$839,MATCH(H102,'Both teabags AfterDry'!$A$1:$A$839,0)),"")))</f>
        <v/>
      </c>
      <c r="P102" s="195" t="str">
        <f>IF(IFERROR(INDEX('Both teabags AfterDry'!$D$1:$D$839,MATCH(I102,'Both teabags AfterDry'!$A$1:$A$839,0)),"")="N.A","",(IFERROR(INDEX('Both teabags AfterDry'!$D$1:$D$839,MATCH(I102,'Both teabags AfterDry'!$A$1:$A$839,0)),"")))</f>
        <v/>
      </c>
      <c r="Q102" s="195" t="str">
        <f t="shared" si="5"/>
        <v/>
      </c>
      <c r="R102" s="195" t="str">
        <f t="shared" si="5"/>
        <v/>
      </c>
      <c r="S102" s="195" t="str">
        <f t="shared" si="0"/>
        <v/>
      </c>
      <c r="T102" s="195" t="str">
        <f t="shared" si="6"/>
        <v/>
      </c>
      <c r="U102" s="195" t="str">
        <f t="shared" si="1"/>
        <v/>
      </c>
      <c r="V102">
        <f t="shared" si="2"/>
        <v>71</v>
      </c>
      <c r="W102" s="195" t="str">
        <f t="shared" si="7"/>
        <v/>
      </c>
      <c r="X102" s="195" t="str">
        <f t="shared" si="8"/>
        <v/>
      </c>
      <c r="Y102" s="255" t="str">
        <f>IF(ISNUMBER(SEARCH("C", 'Dry_Litterbag Placem_Collection'!T29)),"YES","NO")</f>
        <v>NO</v>
      </c>
      <c r="Z102" s="255" t="str">
        <f>IF(ISNUMBER(SEARCH("H", 'Dry_Litterbag Placem_Collection'!T29)),"YES","NO")</f>
        <v>NO</v>
      </c>
      <c r="AA102" s="255" t="str">
        <f>IF(ISNUMBER(SEARCH("R", 'Dry_Litterbag Placem_Collection'!T29)),"YES","NO")</f>
        <v>NO</v>
      </c>
      <c r="AB102" s="255" t="str">
        <f>IF(ISNUMBER(SEARCH("C", 'Dry_Litterbag Placem_Collection'!S29)),"YES","NO")</f>
        <v>NO</v>
      </c>
      <c r="AC102" s="255" t="str">
        <f>IF(ISNUMBER(SEARCH("H", 'Dry_Litterbag Placem_Collection'!S29)),"YES","NO")</f>
        <v>NO</v>
      </c>
      <c r="AD102" s="255" t="str">
        <f>IF(ISNUMBER(SEARCH("R", 'Dry_Litterbag Placem_Collection'!S29)),"YES","NO")</f>
        <v>NO</v>
      </c>
    </row>
    <row r="103" spans="2:30">
      <c r="B103" t="str">
        <f>'Final data_for_R_analysis_Dryse'!A29</f>
        <v>Dry</v>
      </c>
      <c r="C103" s="263">
        <f>'Final data_for_R_analysis_Dryse'!B29</f>
        <v>28</v>
      </c>
      <c r="D103" t="s">
        <v>3830</v>
      </c>
      <c r="E103" t="s">
        <v>22</v>
      </c>
      <c r="F103" s="387">
        <v>4</v>
      </c>
      <c r="G103" s="16">
        <f>'Dry_Litterbag Placem_Collection'!E30</f>
        <v>42936</v>
      </c>
      <c r="H103" t="str">
        <f>'Final data_for_R_analysis_Dryse'!J29</f>
        <v>G61</v>
      </c>
      <c r="I103" t="str">
        <f>'Final data_for_R_analysis_Dryse'!J249</f>
        <v>R705</v>
      </c>
      <c r="J103">
        <f>IFERROR(INDEX('Green_rooibos initial weight'!$C$5:$C$1749,MATCH(H103, 'Green_rooibos initial weight'!$A$5:$A$1749,0)),"")</f>
        <v>1.88</v>
      </c>
      <c r="K103">
        <f>IFERROR(INDEX('Green_rooibos initial weight'!$C$5:$C$1749,MATCH(I103, 'Green_rooibos initial weight'!$A$5:$A$1749,0)),"")</f>
        <v>2.1859999999999999</v>
      </c>
      <c r="L103" s="195">
        <f t="shared" si="3"/>
        <v>1.6301999999999999</v>
      </c>
      <c r="M103" s="195">
        <f t="shared" si="4"/>
        <v>1.9361999999999999</v>
      </c>
      <c r="N103" s="16">
        <f>IF('Dry_Litterbag Placem_Collection'!G30="N.A","",'Dry_Litterbag Placem_Collection'!G30)</f>
        <v>43007</v>
      </c>
      <c r="O103" s="195">
        <f>IF(IFERROR(INDEX('Both teabags AfterDry'!$D$1:$D$839,MATCH(H103,'Both teabags AfterDry'!$A$1:$A$839,0)),"")="N.A","",(IFERROR(INDEX('Both teabags AfterDry'!$D$1:$D$839,MATCH(H103,'Both teabags AfterDry'!$A$1:$A$839,0)),"")))</f>
        <v>1.4991000000000001</v>
      </c>
      <c r="P103" s="195">
        <f>IF(IFERROR(INDEX('Both teabags AfterDry'!$D$1:$D$839,MATCH(I103,'Both teabags AfterDry'!$A$1:$A$839,0)),"")="N.A","",(IFERROR(INDEX('Both teabags AfterDry'!$D$1:$D$839,MATCH(I103,'Both teabags AfterDry'!$A$1:$A$839,0)),"")))</f>
        <v>2.0167999999999999</v>
      </c>
      <c r="Q103" s="195">
        <f t="shared" si="5"/>
        <v>1.3485</v>
      </c>
      <c r="R103" s="195">
        <f t="shared" si="5"/>
        <v>1.8661999999999999</v>
      </c>
      <c r="S103" s="195">
        <f t="shared" si="0"/>
        <v>0.17280088332719901</v>
      </c>
      <c r="T103" s="195">
        <f t="shared" si="6"/>
        <v>0.11328513966343692</v>
      </c>
      <c r="U103" s="195">
        <f t="shared" si="1"/>
        <v>0.96384671005061462</v>
      </c>
      <c r="V103">
        <f t="shared" si="2"/>
        <v>71</v>
      </c>
      <c r="W103" s="195">
        <f t="shared" si="7"/>
        <v>0.79477329771116501</v>
      </c>
      <c r="X103" s="195">
        <f t="shared" si="8"/>
        <v>5.4139677297017153E-3</v>
      </c>
      <c r="Y103" s="255" t="str">
        <f>IF(ISNUMBER(SEARCH("C", 'Dry_Litterbag Placem_Collection'!T30)),"YES","NO")</f>
        <v>NO</v>
      </c>
      <c r="Z103" s="255" t="str">
        <f>IF(ISNUMBER(SEARCH("H", 'Dry_Litterbag Placem_Collection'!T30)),"YES","NO")</f>
        <v>NO</v>
      </c>
      <c r="AA103" s="255" t="str">
        <f>IF(ISNUMBER(SEARCH("R", 'Dry_Litterbag Placem_Collection'!T30)),"YES","NO")</f>
        <v>NO</v>
      </c>
      <c r="AB103" s="255" t="str">
        <f>IF(ISNUMBER(SEARCH("C", 'Dry_Litterbag Placem_Collection'!S30)),"YES","NO")</f>
        <v>NO</v>
      </c>
      <c r="AC103" s="255" t="str">
        <f>IF(ISNUMBER(SEARCH("H", 'Dry_Litterbag Placem_Collection'!S30)),"YES","NO")</f>
        <v>NO</v>
      </c>
      <c r="AD103" s="255" t="str">
        <f>IF(ISNUMBER(SEARCH("R", 'Dry_Litterbag Placem_Collection'!S30)),"YES","NO")</f>
        <v>NO</v>
      </c>
    </row>
    <row r="104" spans="2:30">
      <c r="B104" t="str">
        <f>'Final data_for_R_analysis_Dryse'!A30</f>
        <v>Dry</v>
      </c>
      <c r="C104" s="263">
        <f>'Final data_for_R_analysis_Dryse'!B30</f>
        <v>29</v>
      </c>
      <c r="D104" t="s">
        <v>3830</v>
      </c>
      <c r="E104" t="s">
        <v>22</v>
      </c>
      <c r="F104" s="387">
        <v>5</v>
      </c>
      <c r="G104" s="16">
        <f>'Dry_Litterbag Placem_Collection'!E31</f>
        <v>42936</v>
      </c>
      <c r="H104" t="str">
        <f>'Final data_for_R_analysis_Dryse'!J30</f>
        <v>G319</v>
      </c>
      <c r="I104" t="str">
        <f>'Final data_for_R_analysis_Dryse'!J250</f>
        <v>R305</v>
      </c>
      <c r="J104">
        <f>IFERROR(INDEX('Green_rooibos initial weight'!$C$5:$C$1749,MATCH(H104, 'Green_rooibos initial weight'!$A$5:$A$1749,0)),"")</f>
        <v>2.012</v>
      </c>
      <c r="K104">
        <f>IFERROR(INDEX('Green_rooibos initial weight'!$C$5:$C$1749,MATCH(I104, 'Green_rooibos initial weight'!$A$5:$A$1749,0)),"")</f>
        <v>2.2829999999999999</v>
      </c>
      <c r="L104" s="195">
        <f t="shared" si="3"/>
        <v>1.7622</v>
      </c>
      <c r="M104" s="195">
        <f t="shared" si="4"/>
        <v>2.0331999999999999</v>
      </c>
      <c r="N104" s="16">
        <f>IF('Dry_Litterbag Placem_Collection'!G31="N.A","",'Dry_Litterbag Placem_Collection'!G31)</f>
        <v>43007</v>
      </c>
      <c r="O104" s="195">
        <f>IF(IFERROR(INDEX('Both teabags AfterDry'!$D$1:$D$839,MATCH(H104,'Both teabags AfterDry'!$A$1:$A$839,0)),"")="N.A","",(IFERROR(INDEX('Both teabags AfterDry'!$D$1:$D$839,MATCH(H104,'Both teabags AfterDry'!$A$1:$A$839,0)),"")))</f>
        <v>1.8162</v>
      </c>
      <c r="P104" s="195">
        <f>IF(IFERROR(INDEX('Both teabags AfterDry'!$D$1:$D$839,MATCH(I104,'Both teabags AfterDry'!$A$1:$A$839,0)),"")="N.A","",(IFERROR(INDEX('Both teabags AfterDry'!$D$1:$D$839,MATCH(I104,'Both teabags AfterDry'!$A$1:$A$839,0)),"")))</f>
        <v>2.0718999999999999</v>
      </c>
      <c r="Q104" s="195">
        <f t="shared" si="5"/>
        <v>1.6656</v>
      </c>
      <c r="R104" s="195">
        <f t="shared" si="5"/>
        <v>1.9212999999999998</v>
      </c>
      <c r="S104" s="195">
        <f t="shared" si="0"/>
        <v>5.481784133469525E-2</v>
      </c>
      <c r="T104" s="195">
        <f t="shared" si="6"/>
        <v>3.5937587193291924E-2</v>
      </c>
      <c r="U104" s="195">
        <f t="shared" si="1"/>
        <v>0.94496360417076519</v>
      </c>
      <c r="V104">
        <f t="shared" si="2"/>
        <v>71</v>
      </c>
      <c r="W104" s="195">
        <f t="shared" si="7"/>
        <v>0.93489567537447116</v>
      </c>
      <c r="X104" s="195" t="str">
        <f t="shared" si="8"/>
        <v/>
      </c>
      <c r="Y104" s="255" t="str">
        <f>IF(ISNUMBER(SEARCH("C", 'Dry_Litterbag Placem_Collection'!T31)),"YES","NO")</f>
        <v>NO</v>
      </c>
      <c r="Z104" s="255" t="str">
        <f>IF(ISNUMBER(SEARCH("H", 'Dry_Litterbag Placem_Collection'!T31)),"YES","NO")</f>
        <v>NO</v>
      </c>
      <c r="AA104" s="255" t="str">
        <f>IF(ISNUMBER(SEARCH("R", 'Dry_Litterbag Placem_Collection'!T31)),"YES","NO")</f>
        <v>NO</v>
      </c>
      <c r="AB104" s="255" t="str">
        <f>IF(ISNUMBER(SEARCH("C", 'Dry_Litterbag Placem_Collection'!S31)),"YES","NO")</f>
        <v>NO</v>
      </c>
      <c r="AC104" s="255" t="str">
        <f>IF(ISNUMBER(SEARCH("H", 'Dry_Litterbag Placem_Collection'!S31)),"YES","NO")</f>
        <v>NO</v>
      </c>
      <c r="AD104" s="255" t="str">
        <f>IF(ISNUMBER(SEARCH("R", 'Dry_Litterbag Placem_Collection'!S31)),"YES","NO")</f>
        <v>NO</v>
      </c>
    </row>
    <row r="105" spans="2:30">
      <c r="B105" t="str">
        <f>'Final data_for_R_analysis_Dryse'!A31</f>
        <v>Dry</v>
      </c>
      <c r="C105" s="263">
        <f>'Final data_for_R_analysis_Dryse'!B31</f>
        <v>30</v>
      </c>
      <c r="D105" t="s">
        <v>3830</v>
      </c>
      <c r="E105" t="s">
        <v>22</v>
      </c>
      <c r="F105" s="387">
        <v>6</v>
      </c>
      <c r="G105" s="16">
        <f>'Dry_Litterbag Placem_Collection'!E32</f>
        <v>42936</v>
      </c>
      <c r="H105" t="str">
        <f>'Final data_for_R_analysis_Dryse'!J31</f>
        <v>G273</v>
      </c>
      <c r="I105" t="str">
        <f>'Final data_for_R_analysis_Dryse'!J251</f>
        <v>R667</v>
      </c>
      <c r="J105">
        <f>IFERROR(INDEX('Green_rooibos initial weight'!$C$5:$C$1749,MATCH(H105, 'Green_rooibos initial weight'!$A$5:$A$1749,0)),"")</f>
        <v>2.073</v>
      </c>
      <c r="K105">
        <f>IFERROR(INDEX('Green_rooibos initial weight'!$C$5:$C$1749,MATCH(I105, 'Green_rooibos initial weight'!$A$5:$A$1749,0)),"")</f>
        <v>2.1949999999999998</v>
      </c>
      <c r="L105" s="195">
        <f t="shared" si="3"/>
        <v>1.8231999999999999</v>
      </c>
      <c r="M105" s="195">
        <f t="shared" si="4"/>
        <v>1.9451999999999998</v>
      </c>
      <c r="N105" s="16">
        <f>IF('Dry_Litterbag Placem_Collection'!G32="N.A","",'Dry_Litterbag Placem_Collection'!G32)</f>
        <v>43007</v>
      </c>
      <c r="O105" s="195">
        <f>IF(IFERROR(INDEX('Both teabags AfterDry'!$D$1:$D$839,MATCH(H105,'Both teabags AfterDry'!$A$1:$A$839,0)),"")="N.A","",(IFERROR(INDEX('Both teabags AfterDry'!$D$1:$D$839,MATCH(H105,'Both teabags AfterDry'!$A$1:$A$839,0)),"")))</f>
        <v>1.9318</v>
      </c>
      <c r="P105" s="195">
        <f>IF(IFERROR(INDEX('Both teabags AfterDry'!$D$1:$D$839,MATCH(I105,'Both teabags AfterDry'!$A$1:$A$839,0)),"")="N.A","",(IFERROR(INDEX('Both teabags AfterDry'!$D$1:$D$839,MATCH(I105,'Both teabags AfterDry'!$A$1:$A$839,0)),"")))</f>
        <v>2.0158999999999998</v>
      </c>
      <c r="Q105" s="195">
        <f t="shared" si="5"/>
        <v>1.7811999999999999</v>
      </c>
      <c r="R105" s="195">
        <f t="shared" si="5"/>
        <v>1.8652999999999997</v>
      </c>
      <c r="S105" s="195">
        <f t="shared" si="0"/>
        <v>2.303641948222912E-2</v>
      </c>
      <c r="T105" s="195">
        <f t="shared" si="6"/>
        <v>1.5102260753195361E-2</v>
      </c>
      <c r="U105" s="195">
        <f t="shared" si="1"/>
        <v>0.95892453218178075</v>
      </c>
      <c r="V105">
        <f t="shared" si="2"/>
        <v>71</v>
      </c>
      <c r="W105" s="195">
        <f t="shared" si="7"/>
        <v>0.97264083196884898</v>
      </c>
      <c r="X105" s="195" t="str">
        <f t="shared" si="8"/>
        <v/>
      </c>
      <c r="Y105" s="255" t="str">
        <f>IF(ISNUMBER(SEARCH("C", 'Dry_Litterbag Placem_Collection'!T32)),"YES","NO")</f>
        <v>NO</v>
      </c>
      <c r="Z105" s="255" t="str">
        <f>IF(ISNUMBER(SEARCH("H", 'Dry_Litterbag Placem_Collection'!T32)),"YES","NO")</f>
        <v>NO</v>
      </c>
      <c r="AA105" s="255" t="str">
        <f>IF(ISNUMBER(SEARCH("R", 'Dry_Litterbag Placem_Collection'!T32)),"YES","NO")</f>
        <v>NO</v>
      </c>
      <c r="AB105" s="255" t="str">
        <f>IF(ISNUMBER(SEARCH("C", 'Dry_Litterbag Placem_Collection'!S32)),"YES","NO")</f>
        <v>NO</v>
      </c>
      <c r="AC105" s="255" t="str">
        <f>IF(ISNUMBER(SEARCH("H", 'Dry_Litterbag Placem_Collection'!S32)),"YES","NO")</f>
        <v>NO</v>
      </c>
      <c r="AD105" s="255" t="str">
        <f>IF(ISNUMBER(SEARCH("R", 'Dry_Litterbag Placem_Collection'!S32)),"YES","NO")</f>
        <v>NO</v>
      </c>
    </row>
    <row r="106" spans="2:30">
      <c r="B106" t="str">
        <f>'Final data_for_R_analysis_Dryse'!A32</f>
        <v>Dry</v>
      </c>
      <c r="C106" s="263">
        <f>'Final data_for_R_analysis_Dryse'!B32</f>
        <v>31</v>
      </c>
      <c r="D106" t="s">
        <v>3830</v>
      </c>
      <c r="E106" t="s">
        <v>22</v>
      </c>
      <c r="F106" s="387">
        <v>7</v>
      </c>
      <c r="G106" s="390">
        <f>'Dry_Litterbag Placem_Collection'!E33</f>
        <v>0</v>
      </c>
      <c r="H106" t="str">
        <f>'Final data_for_R_analysis_Dryse'!J32</f>
        <v/>
      </c>
      <c r="I106" t="str">
        <f>'Final data_for_R_analysis_Dryse'!J252</f>
        <v/>
      </c>
      <c r="J106" t="str">
        <f>IFERROR(INDEX('Green_rooibos initial weight'!$C$5:$C$1749,MATCH(H106, 'Green_rooibos initial weight'!$A$5:$A$1749,0)),"")</f>
        <v/>
      </c>
      <c r="K106" t="str">
        <f>IFERROR(INDEX('Green_rooibos initial weight'!$C$5:$C$1749,MATCH(I106, 'Green_rooibos initial weight'!$A$5:$A$1749,0)),"")</f>
        <v/>
      </c>
      <c r="L106" s="195" t="str">
        <f t="shared" si="3"/>
        <v/>
      </c>
      <c r="M106" s="195" t="str">
        <f t="shared" si="4"/>
        <v/>
      </c>
      <c r="N106" s="16">
        <f>IF('Dry_Litterbag Placem_Collection'!G33="N.A","",'Dry_Litterbag Placem_Collection'!G33)</f>
        <v>0</v>
      </c>
      <c r="O106" s="195" t="str">
        <f>IF(IFERROR(INDEX('Both teabags AfterDry'!$D$1:$D$839,MATCH(H106,'Both teabags AfterDry'!$A$1:$A$839,0)),"")="N.A","",(IFERROR(INDEX('Both teabags AfterDry'!$D$1:$D$839,MATCH(H106,'Both teabags AfterDry'!$A$1:$A$839,0)),"")))</f>
        <v/>
      </c>
      <c r="P106" s="195" t="str">
        <f>IF(IFERROR(INDEX('Both teabags AfterDry'!$D$1:$D$839,MATCH(I106,'Both teabags AfterDry'!$A$1:$A$839,0)),"")="N.A","",(IFERROR(INDEX('Both teabags AfterDry'!$D$1:$D$839,MATCH(I106,'Both teabags AfterDry'!$A$1:$A$839,0)),"")))</f>
        <v/>
      </c>
      <c r="Q106" s="195" t="str">
        <f t="shared" si="5"/>
        <v/>
      </c>
      <c r="R106" s="195" t="str">
        <f t="shared" si="5"/>
        <v/>
      </c>
      <c r="S106" s="195" t="str">
        <f t="shared" si="0"/>
        <v/>
      </c>
      <c r="T106" s="195" t="str">
        <f t="shared" si="6"/>
        <v/>
      </c>
      <c r="U106" s="195" t="str">
        <f t="shared" si="1"/>
        <v/>
      </c>
      <c r="V106" t="str">
        <f t="shared" si="2"/>
        <v/>
      </c>
      <c r="W106" s="195" t="str">
        <f t="shared" si="7"/>
        <v/>
      </c>
      <c r="X106" s="195" t="str">
        <f t="shared" si="8"/>
        <v/>
      </c>
      <c r="Y106" s="255" t="str">
        <f>IF(ISNUMBER(SEARCH("C", 'Dry_Litterbag Placem_Collection'!T33)),"YES","NO")</f>
        <v>NO</v>
      </c>
      <c r="Z106" s="255" t="str">
        <f>IF(ISNUMBER(SEARCH("H", 'Dry_Litterbag Placem_Collection'!T33)),"YES","NO")</f>
        <v>NO</v>
      </c>
      <c r="AA106" s="255" t="str">
        <f>IF(ISNUMBER(SEARCH("R", 'Dry_Litterbag Placem_Collection'!T33)),"YES","NO")</f>
        <v>NO</v>
      </c>
      <c r="AB106" s="255" t="str">
        <f>IF(ISNUMBER(SEARCH("C", 'Dry_Litterbag Placem_Collection'!S33)),"YES","NO")</f>
        <v>NO</v>
      </c>
      <c r="AC106" s="255" t="str">
        <f>IF(ISNUMBER(SEARCH("H", 'Dry_Litterbag Placem_Collection'!S33)),"YES","NO")</f>
        <v>NO</v>
      </c>
      <c r="AD106" s="255" t="str">
        <f>IF(ISNUMBER(SEARCH("R", 'Dry_Litterbag Placem_Collection'!S33)),"YES","NO")</f>
        <v>NO</v>
      </c>
    </row>
    <row r="107" spans="2:30">
      <c r="B107" t="str">
        <f>'Final data_for_R_analysis_Dryse'!A33</f>
        <v>Dry</v>
      </c>
      <c r="C107" s="263">
        <f>'Final data_for_R_analysis_Dryse'!B33</f>
        <v>32</v>
      </c>
      <c r="D107" t="s">
        <v>3830</v>
      </c>
      <c r="E107" t="s">
        <v>22</v>
      </c>
      <c r="F107" s="387">
        <v>8</v>
      </c>
      <c r="G107" s="16">
        <f>'Dry_Litterbag Placem_Collection'!E34</f>
        <v>42936</v>
      </c>
      <c r="H107" t="str">
        <f>'Final data_for_R_analysis_Dryse'!J33</f>
        <v>G193</v>
      </c>
      <c r="I107" t="str">
        <f>'Final data_for_R_analysis_Dryse'!J253</f>
        <v>R743</v>
      </c>
      <c r="J107">
        <f>IFERROR(INDEX('Green_rooibos initial weight'!$C$5:$C$1749,MATCH(H107, 'Green_rooibos initial weight'!$A$5:$A$1749,0)),"")</f>
        <v>2.177</v>
      </c>
      <c r="K107">
        <f>IFERROR(INDEX('Green_rooibos initial weight'!$C$5:$C$1749,MATCH(I107, 'Green_rooibos initial weight'!$A$5:$A$1749,0)),"")</f>
        <v>2.2480000000000002</v>
      </c>
      <c r="L107" s="195">
        <f t="shared" si="3"/>
        <v>1.9272</v>
      </c>
      <c r="M107" s="195">
        <f t="shared" si="4"/>
        <v>1.9982000000000002</v>
      </c>
      <c r="N107" s="16">
        <f>IF('Dry_Litterbag Placem_Collection'!G34="N.A","",'Dry_Litterbag Placem_Collection'!G34)</f>
        <v>43007</v>
      </c>
      <c r="O107" s="195">
        <f>IF(IFERROR(INDEX('Both teabags AfterDry'!$D$1:$D$839,MATCH(H107,'Both teabags AfterDry'!$A$1:$A$839,0)),"")="N.A","",(IFERROR(INDEX('Both teabags AfterDry'!$D$1:$D$839,MATCH(H107,'Both teabags AfterDry'!$A$1:$A$839,0)),"")))</f>
        <v>1.8848</v>
      </c>
      <c r="P107" s="195">
        <f>IF(IFERROR(INDEX('Both teabags AfterDry'!$D$1:$D$839,MATCH(I107,'Both teabags AfterDry'!$A$1:$A$839,0)),"")="N.A","",(IFERROR(INDEX('Both teabags AfterDry'!$D$1:$D$839,MATCH(I107,'Both teabags AfterDry'!$A$1:$A$839,0)),"")))</f>
        <v>1.9944999999999999</v>
      </c>
      <c r="Q107" s="195">
        <f t="shared" si="5"/>
        <v>1.7342</v>
      </c>
      <c r="R107" s="195">
        <f t="shared" si="5"/>
        <v>1.8438999999999999</v>
      </c>
      <c r="S107" s="195">
        <f t="shared" si="0"/>
        <v>0.10014528850145288</v>
      </c>
      <c r="T107" s="195">
        <f t="shared" si="6"/>
        <v>6.5653443293114025E-2</v>
      </c>
      <c r="U107" s="195">
        <f t="shared" si="1"/>
        <v>0.92278050245220689</v>
      </c>
      <c r="V107">
        <f t="shared" si="2"/>
        <v>71</v>
      </c>
      <c r="W107" s="195">
        <f t="shared" si="7"/>
        <v>0.88106260272986592</v>
      </c>
      <c r="X107" s="195" t="str">
        <f t="shared" si="8"/>
        <v/>
      </c>
      <c r="Y107" s="255" t="str">
        <f>IF(ISNUMBER(SEARCH("C", 'Dry_Litterbag Placem_Collection'!T34)),"YES","NO")</f>
        <v>NO</v>
      </c>
      <c r="Z107" s="255" t="str">
        <f>IF(ISNUMBER(SEARCH("H", 'Dry_Litterbag Placem_Collection'!T34)),"YES","NO")</f>
        <v>NO</v>
      </c>
      <c r="AA107" s="255" t="str">
        <f>IF(ISNUMBER(SEARCH("R", 'Dry_Litterbag Placem_Collection'!T34)),"YES","NO")</f>
        <v>NO</v>
      </c>
      <c r="AB107" s="255" t="str">
        <f>IF(ISNUMBER(SEARCH("C", 'Dry_Litterbag Placem_Collection'!S34)),"YES","NO")</f>
        <v>NO</v>
      </c>
      <c r="AC107" s="255" t="str">
        <f>IF(ISNUMBER(SEARCH("H", 'Dry_Litterbag Placem_Collection'!S34)),"YES","NO")</f>
        <v>NO</v>
      </c>
      <c r="AD107" s="255" t="str">
        <f>IF(ISNUMBER(SEARCH("R", 'Dry_Litterbag Placem_Collection'!S34)),"YES","NO")</f>
        <v>NO</v>
      </c>
    </row>
    <row r="108" spans="2:30">
      <c r="B108" t="str">
        <f>'Final data_for_R_analysis_Dryse'!A34</f>
        <v>Dry</v>
      </c>
      <c r="C108" s="263">
        <f>'Final data_for_R_analysis_Dryse'!B34</f>
        <v>33</v>
      </c>
      <c r="D108" t="s">
        <v>3831</v>
      </c>
      <c r="E108" t="s">
        <v>22</v>
      </c>
      <c r="F108" s="386">
        <v>1</v>
      </c>
      <c r="G108" s="16">
        <f>'Dry_Litterbag Placem_Collection'!E35</f>
        <v>42938</v>
      </c>
      <c r="H108" t="str">
        <f>'Final data_for_R_analysis_Dryse'!J34</f>
        <v>G218</v>
      </c>
      <c r="I108" t="str">
        <f>'Final data_for_R_analysis_Dryse'!J254</f>
        <v>R769</v>
      </c>
      <c r="J108">
        <f>IFERROR(INDEX('Green_rooibos initial weight'!$C$5:$C$1749,MATCH(H108, 'Green_rooibos initial weight'!$A$5:$A$1749,0)),"")</f>
        <v>1.96</v>
      </c>
      <c r="K108">
        <f>IFERROR(INDEX('Green_rooibos initial weight'!$C$5:$C$1749,MATCH(I108, 'Green_rooibos initial weight'!$A$5:$A$1749,0)),"")</f>
        <v>2.2480000000000002</v>
      </c>
      <c r="L108" s="195">
        <f t="shared" si="3"/>
        <v>1.7101999999999999</v>
      </c>
      <c r="M108" s="195">
        <f t="shared" si="4"/>
        <v>1.9982000000000002</v>
      </c>
      <c r="N108" s="16">
        <f>IF('Dry_Litterbag Placem_Collection'!G35="N.A","",'Dry_Litterbag Placem_Collection'!G35)</f>
        <v>43005</v>
      </c>
      <c r="O108" s="195">
        <f>IF(IFERROR(INDEX('Both teabags AfterDry'!$D$1:$D$839,MATCH(H108,'Both teabags AfterDry'!$A$1:$A$839,0)),"")="N.A","",(IFERROR(INDEX('Both teabags AfterDry'!$D$1:$D$839,MATCH(H108,'Both teabags AfterDry'!$A$1:$A$839,0)),"")))</f>
        <v>1.7766</v>
      </c>
      <c r="P108" s="195">
        <f>IF(IFERROR(INDEX('Both teabags AfterDry'!$D$1:$D$839,MATCH(I108,'Both teabags AfterDry'!$A$1:$A$839,0)),"")="N.A","",(IFERROR(INDEX('Both teabags AfterDry'!$D$1:$D$839,MATCH(I108,'Both teabags AfterDry'!$A$1:$A$839,0)),"")))</f>
        <v>1.9911000000000001</v>
      </c>
      <c r="Q108" s="195">
        <f t="shared" si="5"/>
        <v>1.6259999999999999</v>
      </c>
      <c r="R108" s="195">
        <f t="shared" si="5"/>
        <v>1.8405</v>
      </c>
      <c r="S108" s="195">
        <f t="shared" si="0"/>
        <v>4.9234007718395589E-2</v>
      </c>
      <c r="T108" s="195">
        <f t="shared" si="6"/>
        <v>3.2276926675242686E-2</v>
      </c>
      <c r="U108" s="195">
        <f t="shared" si="1"/>
        <v>0.92107897107396652</v>
      </c>
      <c r="V108">
        <f t="shared" si="2"/>
        <v>67</v>
      </c>
      <c r="W108" s="195">
        <f t="shared" si="7"/>
        <v>0.94152730674774876</v>
      </c>
      <c r="X108" s="195" t="str">
        <f t="shared" si="8"/>
        <v/>
      </c>
      <c r="Y108" s="255" t="str">
        <f>IF(ISNUMBER(SEARCH("C", 'Dry_Litterbag Placem_Collection'!T35)),"YES","NO")</f>
        <v>NO</v>
      </c>
      <c r="Z108" s="255" t="str">
        <f>IF(ISNUMBER(SEARCH("H", 'Dry_Litterbag Placem_Collection'!T35)),"YES","NO")</f>
        <v>NO</v>
      </c>
      <c r="AA108" s="255" t="str">
        <f>IF(ISNUMBER(SEARCH("R", 'Dry_Litterbag Placem_Collection'!T35)),"YES","NO")</f>
        <v>NO</v>
      </c>
      <c r="AB108" s="255" t="str">
        <f>IF(ISNUMBER(SEARCH("C", 'Dry_Litterbag Placem_Collection'!S35)),"YES","NO")</f>
        <v>NO</v>
      </c>
      <c r="AC108" s="255" t="str">
        <f>IF(ISNUMBER(SEARCH("H", 'Dry_Litterbag Placem_Collection'!S35)),"YES","NO")</f>
        <v>NO</v>
      </c>
      <c r="AD108" s="255" t="str">
        <f>IF(ISNUMBER(SEARCH("R", 'Dry_Litterbag Placem_Collection'!S35)),"YES","NO")</f>
        <v>NO</v>
      </c>
    </row>
    <row r="109" spans="2:30">
      <c r="B109" t="str">
        <f>'Final data_for_R_analysis_Dryse'!A35</f>
        <v>Dry</v>
      </c>
      <c r="C109" s="263">
        <f>'Final data_for_R_analysis_Dryse'!B35</f>
        <v>34</v>
      </c>
      <c r="D109" t="s">
        <v>3831</v>
      </c>
      <c r="E109" t="s">
        <v>22</v>
      </c>
      <c r="F109" s="386">
        <v>2</v>
      </c>
      <c r="G109" s="16">
        <f>'Dry_Litterbag Placem_Collection'!E36</f>
        <v>42938</v>
      </c>
      <c r="H109" t="str">
        <f>'Final data_for_R_analysis_Dryse'!J35</f>
        <v>G104</v>
      </c>
      <c r="I109" t="str">
        <f>'Final data_for_R_analysis_Dryse'!J255</f>
        <v>R753</v>
      </c>
      <c r="J109">
        <f>IFERROR(INDEX('Green_rooibos initial weight'!$C$5:$C$1749,MATCH(H109, 'Green_rooibos initial weight'!$A$5:$A$1749,0)),"")</f>
        <v>2.0259999999999998</v>
      </c>
      <c r="K109">
        <f>IFERROR(INDEX('Green_rooibos initial weight'!$C$5:$C$1749,MATCH(I109, 'Green_rooibos initial weight'!$A$5:$A$1749,0)),"")</f>
        <v>2.2400000000000002</v>
      </c>
      <c r="L109" s="195">
        <f t="shared" si="3"/>
        <v>1.7761999999999998</v>
      </c>
      <c r="M109" s="195">
        <f t="shared" si="4"/>
        <v>1.9902000000000002</v>
      </c>
      <c r="N109" s="16">
        <f>IF('Dry_Litterbag Placem_Collection'!G36="N.A","",'Dry_Litterbag Placem_Collection'!G36)</f>
        <v>43005</v>
      </c>
      <c r="O109" s="195" t="str">
        <f>IF(IFERROR(INDEX('Both teabags AfterDry'!$D$1:$D$839,MATCH(H109,'Both teabags AfterDry'!$A$1:$A$839,0)),"")="N.A","",(IFERROR(INDEX('Both teabags AfterDry'!$D$1:$D$839,MATCH(H109,'Both teabags AfterDry'!$A$1:$A$839,0)),"")))</f>
        <v/>
      </c>
      <c r="P109" s="195" t="str">
        <f>IF(IFERROR(INDEX('Both teabags AfterDry'!$D$1:$D$839,MATCH(I109,'Both teabags AfterDry'!$A$1:$A$839,0)),"")="N.A","",(IFERROR(INDEX('Both teabags AfterDry'!$D$1:$D$839,MATCH(I109,'Both teabags AfterDry'!$A$1:$A$839,0)),"")))</f>
        <v/>
      </c>
      <c r="Q109" s="195" t="str">
        <f t="shared" si="5"/>
        <v/>
      </c>
      <c r="R109" s="195" t="str">
        <f t="shared" si="5"/>
        <v/>
      </c>
      <c r="S109" s="195" t="str">
        <f t="shared" si="0"/>
        <v/>
      </c>
      <c r="T109" s="195" t="str">
        <f t="shared" si="6"/>
        <v/>
      </c>
      <c r="U109" s="195" t="str">
        <f t="shared" si="1"/>
        <v/>
      </c>
      <c r="V109">
        <f t="shared" si="2"/>
        <v>67</v>
      </c>
      <c r="W109" s="195" t="str">
        <f t="shared" si="7"/>
        <v/>
      </c>
      <c r="X109" s="195" t="str">
        <f t="shared" si="8"/>
        <v/>
      </c>
      <c r="Y109" s="255" t="str">
        <f>IF(ISNUMBER(SEARCH("C", 'Dry_Litterbag Placem_Collection'!T36)),"YES","NO")</f>
        <v>NO</v>
      </c>
      <c r="Z109" s="255" t="str">
        <f>IF(ISNUMBER(SEARCH("H", 'Dry_Litterbag Placem_Collection'!T36)),"YES","NO")</f>
        <v>NO</v>
      </c>
      <c r="AA109" s="255" t="str">
        <f>IF(ISNUMBER(SEARCH("R", 'Dry_Litterbag Placem_Collection'!T36)),"YES","NO")</f>
        <v>NO</v>
      </c>
      <c r="AB109" s="255" t="str">
        <f>IF(ISNUMBER(SEARCH("C", 'Dry_Litterbag Placem_Collection'!S36)),"YES","NO")</f>
        <v>NO</v>
      </c>
      <c r="AC109" s="255" t="str">
        <f>IF(ISNUMBER(SEARCH("H", 'Dry_Litterbag Placem_Collection'!S36)),"YES","NO")</f>
        <v>YES</v>
      </c>
      <c r="AD109" s="255" t="str">
        <f>IF(ISNUMBER(SEARCH("R", 'Dry_Litterbag Placem_Collection'!S36)),"YES","NO")</f>
        <v>NO</v>
      </c>
    </row>
    <row r="110" spans="2:30">
      <c r="B110" t="str">
        <f>'Final data_for_R_analysis_Dryse'!A36</f>
        <v>Dry</v>
      </c>
      <c r="C110" s="263">
        <f>'Final data_for_R_analysis_Dryse'!B36</f>
        <v>35</v>
      </c>
      <c r="D110" t="s">
        <v>3831</v>
      </c>
      <c r="E110" t="s">
        <v>22</v>
      </c>
      <c r="F110" s="386">
        <v>3</v>
      </c>
      <c r="G110" s="16">
        <f>'Dry_Litterbag Placem_Collection'!E37</f>
        <v>42938</v>
      </c>
      <c r="H110" t="str">
        <f>'Final data_for_R_analysis_Dryse'!J36</f>
        <v>G188</v>
      </c>
      <c r="I110" t="str">
        <f>'Final data_for_R_analysis_Dryse'!J256</f>
        <v>R776</v>
      </c>
      <c r="J110">
        <f>IFERROR(INDEX('Green_rooibos initial weight'!$C$5:$C$1749,MATCH(H110, 'Green_rooibos initial weight'!$A$5:$A$1749,0)),"")</f>
        <v>1.952</v>
      </c>
      <c r="K110">
        <f>IFERROR(INDEX('Green_rooibos initial weight'!$C$5:$C$1749,MATCH(I110, 'Green_rooibos initial weight'!$A$5:$A$1749,0)),"")</f>
        <v>2.1989999999999998</v>
      </c>
      <c r="L110" s="195">
        <f t="shared" si="3"/>
        <v>1.7021999999999999</v>
      </c>
      <c r="M110" s="195">
        <f t="shared" si="4"/>
        <v>1.9491999999999998</v>
      </c>
      <c r="N110" s="16">
        <f>IF('Dry_Litterbag Placem_Collection'!G37="N.A","",'Dry_Litterbag Placem_Collection'!G37)</f>
        <v>43005</v>
      </c>
      <c r="O110" s="195">
        <f>IF(IFERROR(INDEX('Both teabags AfterDry'!$D$1:$D$839,MATCH(H110,'Both teabags AfterDry'!$A$1:$A$839,0)),"")="N.A","",(IFERROR(INDEX('Both teabags AfterDry'!$D$1:$D$839,MATCH(H110,'Both teabags AfterDry'!$A$1:$A$839,0)),"")))</f>
        <v>1.7849999999999999</v>
      </c>
      <c r="P110" s="195">
        <f>IF(IFERROR(INDEX('Both teabags AfterDry'!$D$1:$D$839,MATCH(I110,'Both teabags AfterDry'!$A$1:$A$839,0)),"")="N.A","",(IFERROR(INDEX('Both teabags AfterDry'!$D$1:$D$839,MATCH(I110,'Both teabags AfterDry'!$A$1:$A$839,0)),"")))</f>
        <v>1.9447000000000001</v>
      </c>
      <c r="Q110" s="195">
        <f t="shared" si="5"/>
        <v>1.6343999999999999</v>
      </c>
      <c r="R110" s="195">
        <f t="shared" si="5"/>
        <v>1.7941</v>
      </c>
      <c r="S110" s="195">
        <f t="shared" si="0"/>
        <v>3.9830807190694428E-2</v>
      </c>
      <c r="T110" s="195">
        <f t="shared" si="6"/>
        <v>2.611235815827E-2</v>
      </c>
      <c r="U110" s="195">
        <f t="shared" si="1"/>
        <v>0.920428893905192</v>
      </c>
      <c r="V110">
        <f t="shared" si="2"/>
        <v>67</v>
      </c>
      <c r="W110" s="195">
        <f t="shared" si="7"/>
        <v>0.95269500333646739</v>
      </c>
      <c r="X110" s="195" t="str">
        <f t="shared" si="8"/>
        <v/>
      </c>
      <c r="Y110" s="255" t="str">
        <f>IF(ISNUMBER(SEARCH("C", 'Dry_Litterbag Placem_Collection'!T37)),"YES","NO")</f>
        <v>NO</v>
      </c>
      <c r="Z110" s="255" t="str">
        <f>IF(ISNUMBER(SEARCH("H", 'Dry_Litterbag Placem_Collection'!T37)),"YES","NO")</f>
        <v>NO</v>
      </c>
      <c r="AA110" s="255" t="str">
        <f>IF(ISNUMBER(SEARCH("R", 'Dry_Litterbag Placem_Collection'!T37)),"YES","NO")</f>
        <v>NO</v>
      </c>
      <c r="AB110" s="255" t="str">
        <f>IF(ISNUMBER(SEARCH("C", 'Dry_Litterbag Placem_Collection'!S37)),"YES","NO")</f>
        <v>NO</v>
      </c>
      <c r="AC110" s="255" t="str">
        <f>IF(ISNUMBER(SEARCH("H", 'Dry_Litterbag Placem_Collection'!S37)),"YES","NO")</f>
        <v>NO</v>
      </c>
      <c r="AD110" s="255" t="str">
        <f>IF(ISNUMBER(SEARCH("R", 'Dry_Litterbag Placem_Collection'!S37)),"YES","NO")</f>
        <v>NO</v>
      </c>
    </row>
    <row r="111" spans="2:30">
      <c r="B111" t="str">
        <f>'Final data_for_R_analysis_Dryse'!A37</f>
        <v>Dry</v>
      </c>
      <c r="C111" s="263">
        <f>'Final data_for_R_analysis_Dryse'!B37</f>
        <v>36</v>
      </c>
      <c r="D111" t="s">
        <v>3831</v>
      </c>
      <c r="E111" t="s">
        <v>22</v>
      </c>
      <c r="F111" s="387">
        <v>4</v>
      </c>
      <c r="G111" s="16">
        <f>'Dry_Litterbag Placem_Collection'!E38</f>
        <v>42938</v>
      </c>
      <c r="H111" t="str">
        <f>'Final data_for_R_analysis_Dryse'!J37</f>
        <v>G379</v>
      </c>
      <c r="I111" t="str">
        <f>'Final data_for_R_analysis_Dryse'!J257</f>
        <v>R799</v>
      </c>
      <c r="J111">
        <f>IFERROR(INDEX('Green_rooibos initial weight'!$C$5:$C$1749,MATCH(H111, 'Green_rooibos initial weight'!$A$5:$A$1749,0)),"")</f>
        <v>2.052</v>
      </c>
      <c r="K111">
        <f>IFERROR(INDEX('Green_rooibos initial weight'!$C$5:$C$1749,MATCH(I111, 'Green_rooibos initial weight'!$A$5:$A$1749,0)),"")</f>
        <v>2.2040000000000002</v>
      </c>
      <c r="L111" s="195">
        <f t="shared" si="3"/>
        <v>1.8022</v>
      </c>
      <c r="M111" s="195">
        <f t="shared" si="4"/>
        <v>1.9542000000000002</v>
      </c>
      <c r="N111" s="16">
        <f>IF('Dry_Litterbag Placem_Collection'!G38="N.A","",'Dry_Litterbag Placem_Collection'!G38)</f>
        <v>43005</v>
      </c>
      <c r="O111" s="195">
        <f>IF(IFERROR(INDEX('Both teabags AfterDry'!$D$1:$D$839,MATCH(H111,'Both teabags AfterDry'!$A$1:$A$839,0)),"")="N.A","",(IFERROR(INDEX('Both teabags AfterDry'!$D$1:$D$839,MATCH(H111,'Both teabags AfterDry'!$A$1:$A$839,0)),"")))</f>
        <v>1.65</v>
      </c>
      <c r="P111" s="195">
        <f>IF(IFERROR(INDEX('Both teabags AfterDry'!$D$1:$D$839,MATCH(I111,'Both teabags AfterDry'!$A$1:$A$839,0)),"")="N.A","",(IFERROR(INDEX('Both teabags AfterDry'!$D$1:$D$839,MATCH(I111,'Both teabags AfterDry'!$A$1:$A$839,0)),"")))</f>
        <v>1.3494999999999999</v>
      </c>
      <c r="Q111" s="195">
        <f t="shared" si="5"/>
        <v>1.4993999999999998</v>
      </c>
      <c r="R111" s="195">
        <f t="shared" si="5"/>
        <v>1.1988999999999999</v>
      </c>
      <c r="S111" s="195">
        <f t="shared" si="0"/>
        <v>0.16801686827211193</v>
      </c>
      <c r="T111" s="195">
        <f t="shared" si="6"/>
        <v>0.11014882575558888</v>
      </c>
      <c r="U111" s="195">
        <f t="shared" si="1"/>
        <v>0.61349913007880452</v>
      </c>
      <c r="V111">
        <f t="shared" si="2"/>
        <v>67</v>
      </c>
      <c r="W111" s="195">
        <f t="shared" si="7"/>
        <v>0.80045502580509265</v>
      </c>
      <c r="X111" s="195" t="str">
        <f t="shared" si="8"/>
        <v/>
      </c>
      <c r="Y111" s="255" t="str">
        <f>IF(ISNUMBER(SEARCH("C", 'Dry_Litterbag Placem_Collection'!T38)),"YES","NO")</f>
        <v>YES</v>
      </c>
      <c r="Z111" s="255" t="str">
        <f>IF(ISNUMBER(SEARCH("H", 'Dry_Litterbag Placem_Collection'!T38)),"YES","NO")</f>
        <v>YES</v>
      </c>
      <c r="AA111" s="255" t="str">
        <f>IF(ISNUMBER(SEARCH("R", 'Dry_Litterbag Placem_Collection'!T38)),"YES","NO")</f>
        <v>NO</v>
      </c>
      <c r="AB111" s="255" t="str">
        <f>IF(ISNUMBER(SEARCH("C", 'Dry_Litterbag Placem_Collection'!S38)),"YES","NO")</f>
        <v>NO</v>
      </c>
      <c r="AC111" s="255" t="str">
        <f>IF(ISNUMBER(SEARCH("H", 'Dry_Litterbag Placem_Collection'!S38)),"YES","NO")</f>
        <v>NO</v>
      </c>
      <c r="AD111" s="255" t="str">
        <f>IF(ISNUMBER(SEARCH("R", 'Dry_Litterbag Placem_Collection'!S38)),"YES","NO")</f>
        <v>NO</v>
      </c>
    </row>
    <row r="112" spans="2:30">
      <c r="B112" t="str">
        <f>'Final data_for_R_analysis_Dryse'!A38</f>
        <v>Dry</v>
      </c>
      <c r="C112" s="263">
        <f>'Final data_for_R_analysis_Dryse'!B38</f>
        <v>37</v>
      </c>
      <c r="D112" t="s">
        <v>3831</v>
      </c>
      <c r="E112" t="s">
        <v>22</v>
      </c>
      <c r="F112" s="387">
        <v>5</v>
      </c>
      <c r="G112" s="16">
        <f>'Dry_Litterbag Placem_Collection'!E39</f>
        <v>42938</v>
      </c>
      <c r="H112" t="str">
        <f>'Final data_for_R_analysis_Dryse'!J38</f>
        <v>G66</v>
      </c>
      <c r="I112" t="str">
        <f>'Final data_for_R_analysis_Dryse'!J258</f>
        <v>R722</v>
      </c>
      <c r="J112">
        <f>IFERROR(INDEX('Green_rooibos initial weight'!$C$5:$C$1749,MATCH(H112, 'Green_rooibos initial weight'!$A$5:$A$1749,0)),"")</f>
        <v>1.9490000000000001</v>
      </c>
      <c r="K112">
        <f>IFERROR(INDEX('Green_rooibos initial weight'!$C$5:$C$1749,MATCH(I112, 'Green_rooibos initial weight'!$A$5:$A$1749,0)),"")</f>
        <v>2.2069999999999999</v>
      </c>
      <c r="L112" s="195">
        <f t="shared" si="3"/>
        <v>1.6992</v>
      </c>
      <c r="M112" s="195">
        <f t="shared" si="4"/>
        <v>1.9571999999999998</v>
      </c>
      <c r="N112" s="16">
        <f>IF('Dry_Litterbag Placem_Collection'!G39="N.A","",'Dry_Litterbag Placem_Collection'!G39)</f>
        <v>43005</v>
      </c>
      <c r="O112" s="195">
        <f>IF(IFERROR(INDEX('Both teabags AfterDry'!$D$1:$D$839,MATCH(H112,'Both teabags AfterDry'!$A$1:$A$839,0)),"")="N.A","",(IFERROR(INDEX('Both teabags AfterDry'!$D$1:$D$839,MATCH(H112,'Both teabags AfterDry'!$A$1:$A$839,0)),"")))</f>
        <v>3.3298000000000001</v>
      </c>
      <c r="P112" s="195">
        <f>IF(IFERROR(INDEX('Both teabags AfterDry'!$D$1:$D$839,MATCH(I112,'Both teabags AfterDry'!$A$1:$A$839,0)),"")="N.A","",(IFERROR(INDEX('Both teabags AfterDry'!$D$1:$D$839,MATCH(I112,'Both teabags AfterDry'!$A$1:$A$839,0)),"")))</f>
        <v>0.13320000000000001</v>
      </c>
      <c r="Q112" s="195">
        <f t="shared" si="5"/>
        <v>3.1792000000000002</v>
      </c>
      <c r="R112" s="195">
        <f t="shared" si="5"/>
        <v>-1.7399999999999999E-2</v>
      </c>
      <c r="S112" s="195">
        <f t="shared" si="0"/>
        <v>-0.87099811676082872</v>
      </c>
      <c r="T112" s="195">
        <f t="shared" si="6"/>
        <v>-0.57101064186695683</v>
      </c>
      <c r="U112" s="195">
        <f t="shared" si="1"/>
        <v>-8.8902513795217665E-3</v>
      </c>
      <c r="V112">
        <f t="shared" si="2"/>
        <v>67</v>
      </c>
      <c r="W112" s="195">
        <f t="shared" si="7"/>
        <v>2.0344395685995593</v>
      </c>
      <c r="X112" s="195">
        <f t="shared" si="8"/>
        <v>-1.5189694798997799E-2</v>
      </c>
      <c r="Y112" s="255" t="str">
        <f>IF(ISNUMBER(SEARCH("C", 'Dry_Litterbag Placem_Collection'!T39)),"YES","NO")</f>
        <v>YES</v>
      </c>
      <c r="Z112" s="255" t="str">
        <f>IF(ISNUMBER(SEARCH("H", 'Dry_Litterbag Placem_Collection'!T39)),"YES","NO")</f>
        <v>YES</v>
      </c>
      <c r="AA112" s="255" t="str">
        <f>IF(ISNUMBER(SEARCH("R", 'Dry_Litterbag Placem_Collection'!T39)),"YES","NO")</f>
        <v>NO</v>
      </c>
      <c r="AB112" s="255" t="str">
        <f>IF(ISNUMBER(SEARCH("C", 'Dry_Litterbag Placem_Collection'!S39)),"YES","NO")</f>
        <v>YES</v>
      </c>
      <c r="AC112" s="255" t="str">
        <f>IF(ISNUMBER(SEARCH("H", 'Dry_Litterbag Placem_Collection'!S39)),"YES","NO")</f>
        <v>YES</v>
      </c>
      <c r="AD112" s="255" t="str">
        <f>IF(ISNUMBER(SEARCH("R", 'Dry_Litterbag Placem_Collection'!S39)),"YES","NO")</f>
        <v>NO</v>
      </c>
    </row>
    <row r="113" spans="2:30">
      <c r="B113" t="str">
        <f>'Final data_for_R_analysis_Dryse'!A39</f>
        <v>Dry</v>
      </c>
      <c r="C113" s="263">
        <f>'Final data_for_R_analysis_Dryse'!B39</f>
        <v>38</v>
      </c>
      <c r="D113" t="s">
        <v>3831</v>
      </c>
      <c r="E113" t="s">
        <v>22</v>
      </c>
      <c r="F113" s="387">
        <v>6</v>
      </c>
      <c r="G113" s="16">
        <f>'Dry_Litterbag Placem_Collection'!E40</f>
        <v>42938</v>
      </c>
      <c r="H113" t="str">
        <f>'Final data_for_R_analysis_Dryse'!J39</f>
        <v>G625</v>
      </c>
      <c r="I113" t="str">
        <f>'Final data_for_R_analysis_Dryse'!J259</f>
        <v>R796</v>
      </c>
      <c r="J113">
        <f>IFERROR(INDEX('Green_rooibos initial weight'!$C$5:$C$1749,MATCH(H113, 'Green_rooibos initial weight'!$A$5:$A$1749,0)),"")</f>
        <v>1.9650000000000001</v>
      </c>
      <c r="K113">
        <f>IFERROR(INDEX('Green_rooibos initial weight'!$C$5:$C$1749,MATCH(I113, 'Green_rooibos initial weight'!$A$5:$A$1749,0)),"")</f>
        <v>2.2360000000000002</v>
      </c>
      <c r="L113" s="195">
        <f t="shared" si="3"/>
        <v>1.7152000000000001</v>
      </c>
      <c r="M113" s="195">
        <f t="shared" si="4"/>
        <v>1.9862000000000002</v>
      </c>
      <c r="N113" s="16">
        <f>IF('Dry_Litterbag Placem_Collection'!G40="N.A","",'Dry_Litterbag Placem_Collection'!G40)</f>
        <v>43005</v>
      </c>
      <c r="O113" s="195">
        <f>IF(IFERROR(INDEX('Both teabags AfterDry'!$D$1:$D$839,MATCH(H113,'Both teabags AfterDry'!$A$1:$A$839,0)),"")="N.A","",(IFERROR(INDEX('Both teabags AfterDry'!$D$1:$D$839,MATCH(H113,'Both teabags AfterDry'!$A$1:$A$839,0)),"")))</f>
        <v>1.8379000000000001</v>
      </c>
      <c r="P113" s="195">
        <f>IF(IFERROR(INDEX('Both teabags AfterDry'!$D$1:$D$839,MATCH(I113,'Both teabags AfterDry'!$A$1:$A$839,0)),"")="N.A","",(IFERROR(INDEX('Both teabags AfterDry'!$D$1:$D$839,MATCH(I113,'Both teabags AfterDry'!$A$1:$A$839,0)),"")))</f>
        <v>1.9076</v>
      </c>
      <c r="Q113" s="195">
        <f t="shared" si="5"/>
        <v>1.6873</v>
      </c>
      <c r="R113" s="195">
        <f t="shared" si="5"/>
        <v>1.7569999999999999</v>
      </c>
      <c r="S113" s="195">
        <f t="shared" si="0"/>
        <v>1.6266324626865725E-2</v>
      </c>
      <c r="T113" s="195">
        <f t="shared" si="6"/>
        <v>1.0663908781508169E-2</v>
      </c>
      <c r="U113" s="195">
        <f t="shared" si="1"/>
        <v>0.88460376598529844</v>
      </c>
      <c r="V113">
        <f t="shared" si="2"/>
        <v>67</v>
      </c>
      <c r="W113" s="195">
        <f t="shared" si="7"/>
        <v>0.98068132467118085</v>
      </c>
      <c r="X113" s="195" t="str">
        <f t="shared" si="8"/>
        <v/>
      </c>
      <c r="Y113" s="255" t="str">
        <f>IF(ISNUMBER(SEARCH("C", 'Dry_Litterbag Placem_Collection'!T40)),"YES","NO")</f>
        <v>NO</v>
      </c>
      <c r="Z113" s="255" t="str">
        <f>IF(ISNUMBER(SEARCH("H", 'Dry_Litterbag Placem_Collection'!T40)),"YES","NO")</f>
        <v>NO</v>
      </c>
      <c r="AA113" s="255" t="str">
        <f>IF(ISNUMBER(SEARCH("R", 'Dry_Litterbag Placem_Collection'!T40)),"YES","NO")</f>
        <v>NO</v>
      </c>
      <c r="AB113" s="255" t="str">
        <f>IF(ISNUMBER(SEARCH("C", 'Dry_Litterbag Placem_Collection'!S40)),"YES","NO")</f>
        <v>YES</v>
      </c>
      <c r="AC113" s="255" t="str">
        <f>IF(ISNUMBER(SEARCH("H", 'Dry_Litterbag Placem_Collection'!S40)),"YES","NO")</f>
        <v>YES</v>
      </c>
      <c r="AD113" s="255" t="str">
        <f>IF(ISNUMBER(SEARCH("R", 'Dry_Litterbag Placem_Collection'!S40)),"YES","NO")</f>
        <v>NO</v>
      </c>
    </row>
    <row r="114" spans="2:30">
      <c r="B114" t="str">
        <f>'Final data_for_R_analysis_Dryse'!A40</f>
        <v>Dry</v>
      </c>
      <c r="C114" s="263">
        <f>'Final data_for_R_analysis_Dryse'!B40</f>
        <v>39</v>
      </c>
      <c r="D114" t="s">
        <v>3831</v>
      </c>
      <c r="E114" t="s">
        <v>22</v>
      </c>
      <c r="F114" s="387">
        <v>7</v>
      </c>
      <c r="G114" s="16">
        <f>'Dry_Litterbag Placem_Collection'!E41</f>
        <v>42938</v>
      </c>
      <c r="H114" t="str">
        <f>'Final data_for_R_analysis_Dryse'!J40</f>
        <v/>
      </c>
      <c r="I114" t="str">
        <f>'Final data_for_R_analysis_Dryse'!J260</f>
        <v/>
      </c>
      <c r="J114" t="str">
        <f>IFERROR(INDEX('Green_rooibos initial weight'!$C$5:$C$1749,MATCH(H114, 'Green_rooibos initial weight'!$A$5:$A$1749,0)),"")</f>
        <v/>
      </c>
      <c r="K114" t="str">
        <f>IFERROR(INDEX('Green_rooibos initial weight'!$C$5:$C$1749,MATCH(I114, 'Green_rooibos initial weight'!$A$5:$A$1749,0)),"")</f>
        <v/>
      </c>
      <c r="L114" s="195" t="str">
        <f t="shared" si="3"/>
        <v/>
      </c>
      <c r="M114" s="195" t="str">
        <f t="shared" si="4"/>
        <v/>
      </c>
      <c r="N114" s="16">
        <f>IF('Dry_Litterbag Placem_Collection'!G41="N.A","",'Dry_Litterbag Placem_Collection'!G41)</f>
        <v>0</v>
      </c>
      <c r="O114" s="195" t="str">
        <f>IF(IFERROR(INDEX('Both teabags AfterDry'!$D$1:$D$839,MATCH(H114,'Both teabags AfterDry'!$A$1:$A$839,0)),"")="N.A","",(IFERROR(INDEX('Both teabags AfterDry'!$D$1:$D$839,MATCH(H114,'Both teabags AfterDry'!$A$1:$A$839,0)),"")))</f>
        <v/>
      </c>
      <c r="P114" s="195" t="str">
        <f>IF(IFERROR(INDEX('Both teabags AfterDry'!$D$1:$D$839,MATCH(I114,'Both teabags AfterDry'!$A$1:$A$839,0)),"")="N.A","",(IFERROR(INDEX('Both teabags AfterDry'!$D$1:$D$839,MATCH(I114,'Both teabags AfterDry'!$A$1:$A$839,0)),"")))</f>
        <v/>
      </c>
      <c r="Q114" s="195" t="str">
        <f t="shared" si="5"/>
        <v/>
      </c>
      <c r="R114" s="195" t="str">
        <f t="shared" si="5"/>
        <v/>
      </c>
      <c r="S114" s="195" t="str">
        <f t="shared" si="0"/>
        <v/>
      </c>
      <c r="T114" s="195" t="str">
        <f t="shared" si="6"/>
        <v/>
      </c>
      <c r="U114" s="195" t="str">
        <f t="shared" si="1"/>
        <v/>
      </c>
      <c r="V114" t="str">
        <f t="shared" si="2"/>
        <v/>
      </c>
      <c r="W114" s="195" t="str">
        <f t="shared" si="7"/>
        <v/>
      </c>
      <c r="X114" s="195" t="str">
        <f t="shared" si="8"/>
        <v/>
      </c>
      <c r="Y114" s="255" t="str">
        <f>IF(ISNUMBER(SEARCH("C", 'Dry_Litterbag Placem_Collection'!T41)),"YES","NO")</f>
        <v>NO</v>
      </c>
      <c r="Z114" s="255" t="str">
        <f>IF(ISNUMBER(SEARCH("H", 'Dry_Litterbag Placem_Collection'!T41)),"YES","NO")</f>
        <v>NO</v>
      </c>
      <c r="AA114" s="255" t="str">
        <f>IF(ISNUMBER(SEARCH("R", 'Dry_Litterbag Placem_Collection'!T41)),"YES","NO")</f>
        <v>NO</v>
      </c>
      <c r="AB114" s="255" t="str">
        <f>IF(ISNUMBER(SEARCH("C", 'Dry_Litterbag Placem_Collection'!S41)),"YES","NO")</f>
        <v>NO</v>
      </c>
      <c r="AC114" s="255" t="str">
        <f>IF(ISNUMBER(SEARCH("H", 'Dry_Litterbag Placem_Collection'!S41)),"YES","NO")</f>
        <v>NO</v>
      </c>
      <c r="AD114" s="255" t="str">
        <f>IF(ISNUMBER(SEARCH("R", 'Dry_Litterbag Placem_Collection'!S41)),"YES","NO")</f>
        <v>NO</v>
      </c>
    </row>
    <row r="115" spans="2:30">
      <c r="B115" t="str">
        <f>'Final data_for_R_analysis_Dryse'!A41</f>
        <v>Dry</v>
      </c>
      <c r="C115" s="263">
        <f>'Final data_for_R_analysis_Dryse'!B41</f>
        <v>40</v>
      </c>
      <c r="D115" t="s">
        <v>3831</v>
      </c>
      <c r="E115" t="s">
        <v>22</v>
      </c>
      <c r="F115" s="387">
        <v>8</v>
      </c>
      <c r="G115" s="16">
        <f>'Dry_Litterbag Placem_Collection'!E42</f>
        <v>42938</v>
      </c>
      <c r="H115" t="str">
        <f>'Final data_for_R_analysis_Dryse'!J41</f>
        <v>G88</v>
      </c>
      <c r="I115" t="str">
        <f>'Final data_for_R_analysis_Dryse'!J261</f>
        <v>R782</v>
      </c>
      <c r="J115">
        <f>IFERROR(INDEX('Green_rooibos initial weight'!$C$5:$C$1749,MATCH(H115, 'Green_rooibos initial weight'!$A$5:$A$1749,0)),"")</f>
        <v>2.1549999999999998</v>
      </c>
      <c r="K115">
        <f>IFERROR(INDEX('Green_rooibos initial weight'!$C$5:$C$1749,MATCH(I115, 'Green_rooibos initial weight'!$A$5:$A$1749,0)),"")</f>
        <v>2.2410000000000001</v>
      </c>
      <c r="L115" s="195">
        <f t="shared" si="3"/>
        <v>1.9051999999999998</v>
      </c>
      <c r="M115" s="195">
        <f t="shared" si="4"/>
        <v>1.9912000000000001</v>
      </c>
      <c r="N115" s="16">
        <f>IF('Dry_Litterbag Placem_Collection'!G42="N.A","",'Dry_Litterbag Placem_Collection'!G42)</f>
        <v>43005</v>
      </c>
      <c r="O115" s="195">
        <f>IF(IFERROR(INDEX('Both teabags AfterDry'!$D$1:$D$839,MATCH(H115,'Both teabags AfterDry'!$A$1:$A$839,0)),"")="N.A","",(IFERROR(INDEX('Both teabags AfterDry'!$D$1:$D$839,MATCH(H115,'Both teabags AfterDry'!$A$1:$A$839,0)),"")))</f>
        <v>1.9495</v>
      </c>
      <c r="P115" s="195">
        <f>IF(IFERROR(INDEX('Both teabags AfterDry'!$D$1:$D$839,MATCH(I115,'Both teabags AfterDry'!$A$1:$A$839,0)),"")="N.A","",(IFERROR(INDEX('Both teabags AfterDry'!$D$1:$D$839,MATCH(I115,'Both teabags AfterDry'!$A$1:$A$839,0)),"")))</f>
        <v>1.992</v>
      </c>
      <c r="Q115" s="195">
        <f t="shared" si="5"/>
        <v>1.7988999999999999</v>
      </c>
      <c r="R115" s="195">
        <f t="shared" si="5"/>
        <v>1.8413999999999999</v>
      </c>
      <c r="S115" s="195">
        <f t="shared" si="0"/>
        <v>5.5794667226537809E-2</v>
      </c>
      <c r="T115" s="195">
        <f t="shared" si="6"/>
        <v>3.6577976614072305E-2</v>
      </c>
      <c r="U115" s="195">
        <f t="shared" si="1"/>
        <v>0.92476898352752102</v>
      </c>
      <c r="V115">
        <f t="shared" si="2"/>
        <v>67</v>
      </c>
      <c r="W115" s="195">
        <f t="shared" si="7"/>
        <v>0.93373554961218785</v>
      </c>
      <c r="X115" s="195" t="str">
        <f t="shared" si="8"/>
        <v/>
      </c>
      <c r="Y115" s="255" t="str">
        <f>IF(ISNUMBER(SEARCH("C", 'Dry_Litterbag Placem_Collection'!T42)),"YES","NO")</f>
        <v>NO</v>
      </c>
      <c r="Z115" s="255" t="str">
        <f>IF(ISNUMBER(SEARCH("H", 'Dry_Litterbag Placem_Collection'!T42)),"YES","NO")</f>
        <v>NO</v>
      </c>
      <c r="AA115" s="255" t="str">
        <f>IF(ISNUMBER(SEARCH("R", 'Dry_Litterbag Placem_Collection'!T42)),"YES","NO")</f>
        <v>NO</v>
      </c>
      <c r="AB115" s="255" t="str">
        <f>IF(ISNUMBER(SEARCH("C", 'Dry_Litterbag Placem_Collection'!S42)),"YES","NO")</f>
        <v>YES</v>
      </c>
      <c r="AC115" s="255" t="str">
        <f>IF(ISNUMBER(SEARCH("H", 'Dry_Litterbag Placem_Collection'!S42)),"YES","NO")</f>
        <v>YES</v>
      </c>
      <c r="AD115" s="255" t="str">
        <f>IF(ISNUMBER(SEARCH("R", 'Dry_Litterbag Placem_Collection'!S42)),"YES","NO")</f>
        <v>NO</v>
      </c>
    </row>
    <row r="116" spans="2:30">
      <c r="B116" t="str">
        <f>'Final data_for_R_analysis_Dryse'!A42</f>
        <v>Dry</v>
      </c>
      <c r="C116" s="263">
        <f>'Final data_for_R_analysis_Dryse'!B42</f>
        <v>41</v>
      </c>
      <c r="D116" t="s">
        <v>3833</v>
      </c>
      <c r="E116" t="s">
        <v>22</v>
      </c>
      <c r="F116" s="386">
        <v>1</v>
      </c>
      <c r="G116" s="16">
        <f>'Dry_Litterbag Placem_Collection'!E43</f>
        <v>42938</v>
      </c>
      <c r="H116" t="str">
        <f>'Final data_for_R_analysis_Dryse'!J42</f>
        <v>G256</v>
      </c>
      <c r="I116" t="str">
        <f>'Final data_for_R_analysis_Dryse'!J262</f>
        <v>R820</v>
      </c>
      <c r="J116">
        <f>IFERROR(INDEX('Green_rooibos initial weight'!$C$5:$C$1749,MATCH(H116, 'Green_rooibos initial weight'!$A$5:$A$1749,0)),"")</f>
        <v>2.11</v>
      </c>
      <c r="K116">
        <f>IFERROR(INDEX('Green_rooibos initial weight'!$C$5:$C$1749,MATCH(I116, 'Green_rooibos initial weight'!$A$5:$A$1749,0)),"")</f>
        <v>2.2170000000000001</v>
      </c>
      <c r="L116" s="195">
        <f t="shared" si="3"/>
        <v>1.8601999999999999</v>
      </c>
      <c r="M116" s="195">
        <f t="shared" si="4"/>
        <v>1.9672000000000001</v>
      </c>
      <c r="N116" s="16">
        <f>IF('Dry_Litterbag Placem_Collection'!G43="N.A","",'Dry_Litterbag Placem_Collection'!G43)</f>
        <v>43005</v>
      </c>
      <c r="O116" s="195">
        <f>IF(IFERROR(INDEX('Both teabags AfterDry'!$D$1:$D$839,MATCH(H116,'Both teabags AfterDry'!$A$1:$A$839,0)),"")="N.A","",(IFERROR(INDEX('Both teabags AfterDry'!$D$1:$D$839,MATCH(H116,'Both teabags AfterDry'!$A$1:$A$839,0)),"")))</f>
        <v>1.6208</v>
      </c>
      <c r="P116" s="195">
        <f>IF(IFERROR(INDEX('Both teabags AfterDry'!$D$1:$D$839,MATCH(I116,'Both teabags AfterDry'!$A$1:$A$839,0)),"")="N.A","",(IFERROR(INDEX('Both teabags AfterDry'!$D$1:$D$839,MATCH(I116,'Both teabags AfterDry'!$A$1:$A$839,0)),"")))</f>
        <v>1.2708999999999999</v>
      </c>
      <c r="Q116" s="195">
        <f t="shared" si="5"/>
        <v>1.4702</v>
      </c>
      <c r="R116" s="195">
        <f t="shared" si="5"/>
        <v>1.1202999999999999</v>
      </c>
      <c r="S116" s="195">
        <f t="shared" si="0"/>
        <v>0.20965487581980424</v>
      </c>
      <c r="T116" s="195">
        <f t="shared" si="6"/>
        <v>0.13744595184386219</v>
      </c>
      <c r="U116" s="195">
        <f t="shared" si="1"/>
        <v>0.56948962993086616</v>
      </c>
      <c r="V116">
        <f t="shared" si="2"/>
        <v>67</v>
      </c>
      <c r="W116" s="195">
        <f t="shared" si="7"/>
        <v>0.75100371042778591</v>
      </c>
      <c r="X116" s="195" t="str">
        <f t="shared" si="8"/>
        <v/>
      </c>
      <c r="Y116" s="255" t="str">
        <f>IF(ISNUMBER(SEARCH("C", 'Dry_Litterbag Placem_Collection'!T43)),"YES","NO")</f>
        <v>NO</v>
      </c>
      <c r="Z116" s="255" t="str">
        <f>IF(ISNUMBER(SEARCH("H", 'Dry_Litterbag Placem_Collection'!T43)),"YES","NO")</f>
        <v>YES</v>
      </c>
      <c r="AA116" s="255" t="str">
        <f>IF(ISNUMBER(SEARCH("R", 'Dry_Litterbag Placem_Collection'!T43)),"YES","NO")</f>
        <v>NO</v>
      </c>
      <c r="AB116" s="255" t="str">
        <f>IF(ISNUMBER(SEARCH("C", 'Dry_Litterbag Placem_Collection'!S43)),"YES","NO")</f>
        <v>NO</v>
      </c>
      <c r="AC116" s="255" t="str">
        <f>IF(ISNUMBER(SEARCH("H", 'Dry_Litterbag Placem_Collection'!S43)),"YES","NO")</f>
        <v>YES</v>
      </c>
      <c r="AD116" s="255" t="str">
        <f>IF(ISNUMBER(SEARCH("R", 'Dry_Litterbag Placem_Collection'!S43)),"YES","NO")</f>
        <v>NO</v>
      </c>
    </row>
    <row r="117" spans="2:30">
      <c r="B117" t="str">
        <f>'Final data_for_R_analysis_Dryse'!A43</f>
        <v>Dry</v>
      </c>
      <c r="C117" s="263">
        <f>'Final data_for_R_analysis_Dryse'!B43</f>
        <v>42</v>
      </c>
      <c r="D117" t="s">
        <v>3833</v>
      </c>
      <c r="E117" t="s">
        <v>22</v>
      </c>
      <c r="F117" s="386">
        <v>2</v>
      </c>
      <c r="G117" s="16">
        <f>'Dry_Litterbag Placem_Collection'!E44</f>
        <v>42938</v>
      </c>
      <c r="H117" t="str">
        <f>'Final data_for_R_analysis_Dryse'!J43</f>
        <v>G341</v>
      </c>
      <c r="I117" t="str">
        <f>'Final data_for_R_analysis_Dryse'!J263</f>
        <v>R806</v>
      </c>
      <c r="J117">
        <f>IFERROR(INDEX('Green_rooibos initial weight'!$C$5:$C$1749,MATCH(H117, 'Green_rooibos initial weight'!$A$5:$A$1749,0)),"")</f>
        <v>1.954</v>
      </c>
      <c r="K117">
        <f>IFERROR(INDEX('Green_rooibos initial weight'!$C$5:$C$1749,MATCH(I117, 'Green_rooibos initial weight'!$A$5:$A$1749,0)),"")</f>
        <v>2.2389999999999999</v>
      </c>
      <c r="L117" s="195">
        <f t="shared" si="3"/>
        <v>1.7041999999999999</v>
      </c>
      <c r="M117" s="195">
        <f t="shared" si="4"/>
        <v>1.9891999999999999</v>
      </c>
      <c r="N117" s="16">
        <f>IF('Dry_Litterbag Placem_Collection'!G44="N.A","",'Dry_Litterbag Placem_Collection'!G44)</f>
        <v>43005</v>
      </c>
      <c r="O117" s="195">
        <f>IF(IFERROR(INDEX('Both teabags AfterDry'!$D$1:$D$839,MATCH(H117,'Both teabags AfterDry'!$A$1:$A$839,0)),"")="N.A","",(IFERROR(INDEX('Both teabags AfterDry'!$D$1:$D$839,MATCH(H117,'Both teabags AfterDry'!$A$1:$A$839,0)),"")))</f>
        <v>1.7267999999999999</v>
      </c>
      <c r="P117" s="195">
        <f>IF(IFERROR(INDEX('Both teabags AfterDry'!$D$1:$D$839,MATCH(I117,'Both teabags AfterDry'!$A$1:$A$839,0)),"")="N.A","",(IFERROR(INDEX('Both teabags AfterDry'!$D$1:$D$839,MATCH(I117,'Both teabags AfterDry'!$A$1:$A$839,0)),"")))</f>
        <v>0.14760000000000001</v>
      </c>
      <c r="Q117" s="195">
        <f t="shared" si="5"/>
        <v>1.5761999999999998</v>
      </c>
      <c r="R117" s="195">
        <f t="shared" si="5"/>
        <v>-3.0000000000000027E-3</v>
      </c>
      <c r="S117" s="195">
        <f t="shared" si="0"/>
        <v>7.5108555333881055E-2</v>
      </c>
      <c r="T117" s="195">
        <f t="shared" si="6"/>
        <v>4.9239812997983759E-2</v>
      </c>
      <c r="U117" s="195">
        <f t="shared" si="1"/>
        <v>-1.5081439774783847E-3</v>
      </c>
      <c r="V117">
        <f t="shared" si="2"/>
        <v>67</v>
      </c>
      <c r="W117" s="195">
        <f t="shared" si="7"/>
        <v>0.91079744022104392</v>
      </c>
      <c r="X117" s="195" t="str">
        <f t="shared" si="8"/>
        <v/>
      </c>
      <c r="Y117" s="255" t="str">
        <f>IF(ISNUMBER(SEARCH("C", 'Dry_Litterbag Placem_Collection'!T44)),"YES","NO")</f>
        <v>YES</v>
      </c>
      <c r="Z117" s="255" t="str">
        <f>IF(ISNUMBER(SEARCH("H", 'Dry_Litterbag Placem_Collection'!T44)),"YES","NO")</f>
        <v>YES</v>
      </c>
      <c r="AA117" s="255" t="str">
        <f>IF(ISNUMBER(SEARCH("R", 'Dry_Litterbag Placem_Collection'!T44)),"YES","NO")</f>
        <v>NO</v>
      </c>
      <c r="AB117" s="255" t="str">
        <f>IF(ISNUMBER(SEARCH("C", 'Dry_Litterbag Placem_Collection'!S44)),"YES","NO")</f>
        <v>YES</v>
      </c>
      <c r="AC117" s="255" t="str">
        <f>IF(ISNUMBER(SEARCH("H", 'Dry_Litterbag Placem_Collection'!S44)),"YES","NO")</f>
        <v>YES</v>
      </c>
      <c r="AD117" s="255" t="str">
        <f>IF(ISNUMBER(SEARCH("R", 'Dry_Litterbag Placem_Collection'!S44)),"YES","NO")</f>
        <v>NO</v>
      </c>
    </row>
    <row r="118" spans="2:30">
      <c r="B118" t="str">
        <f>'Final data_for_R_analysis_Dryse'!A44</f>
        <v>Dry</v>
      </c>
      <c r="C118" s="263">
        <f>'Final data_for_R_analysis_Dryse'!B44</f>
        <v>43</v>
      </c>
      <c r="D118" t="s">
        <v>3833</v>
      </c>
      <c r="E118" t="s">
        <v>22</v>
      </c>
      <c r="F118" s="386">
        <v>3</v>
      </c>
      <c r="G118" s="16">
        <f>'Dry_Litterbag Placem_Collection'!E45</f>
        <v>42938</v>
      </c>
      <c r="H118" t="str">
        <f>'Final data_for_R_analysis_Dryse'!J44</f>
        <v>G246</v>
      </c>
      <c r="I118" t="str">
        <f>'Final data_for_R_analysis_Dryse'!J264</f>
        <v>R758</v>
      </c>
      <c r="J118">
        <f>IFERROR(INDEX('Green_rooibos initial weight'!$C$5:$C$1749,MATCH(H118, 'Green_rooibos initial weight'!$A$5:$A$1749,0)),"")</f>
        <v>2.1829999999999998</v>
      </c>
      <c r="K118">
        <f>IFERROR(INDEX('Green_rooibos initial weight'!$C$5:$C$1749,MATCH(I118, 'Green_rooibos initial weight'!$A$5:$A$1749,0)),"")</f>
        <v>2.2200000000000002</v>
      </c>
      <c r="L118" s="195">
        <f t="shared" si="3"/>
        <v>1.9331999999999998</v>
      </c>
      <c r="M118" s="195">
        <f t="shared" si="4"/>
        <v>1.9702000000000002</v>
      </c>
      <c r="N118" s="16">
        <f>IF('Dry_Litterbag Placem_Collection'!G45="N.A","",'Dry_Litterbag Placem_Collection'!G45)</f>
        <v>43005</v>
      </c>
      <c r="O118" s="195">
        <f>IF(IFERROR(INDEX('Both teabags AfterDry'!$D$1:$D$839,MATCH(H118,'Both teabags AfterDry'!$A$1:$A$839,0)),"")="N.A","",(IFERROR(INDEX('Both teabags AfterDry'!$D$1:$D$839,MATCH(H118,'Both teabags AfterDry'!$A$1:$A$839,0)),"")))</f>
        <v>1.9577</v>
      </c>
      <c r="P118" s="195">
        <f>IF(IFERROR(INDEX('Both teabags AfterDry'!$D$1:$D$839,MATCH(I118,'Both teabags AfterDry'!$A$1:$A$839,0)),"")="N.A","",(IFERROR(INDEX('Both teabags AfterDry'!$D$1:$D$839,MATCH(I118,'Both teabags AfterDry'!$A$1:$A$839,0)),"")))</f>
        <v>1.6818</v>
      </c>
      <c r="Q118" s="195">
        <f t="shared" si="5"/>
        <v>1.8070999999999999</v>
      </c>
      <c r="R118" s="195">
        <f t="shared" si="5"/>
        <v>1.5311999999999999</v>
      </c>
      <c r="S118" s="195">
        <f t="shared" si="0"/>
        <v>6.5228636457686728E-2</v>
      </c>
      <c r="T118" s="195">
        <f t="shared" si="6"/>
        <v>4.2762716537580847E-2</v>
      </c>
      <c r="U118" s="195">
        <f t="shared" si="1"/>
        <v>0.77717998172774327</v>
      </c>
      <c r="V118">
        <f t="shared" si="2"/>
        <v>67</v>
      </c>
      <c r="W118" s="195">
        <f t="shared" si="7"/>
        <v>0.92253131062032456</v>
      </c>
      <c r="X118" s="195" t="str">
        <f t="shared" si="8"/>
        <v/>
      </c>
      <c r="Y118" s="255" t="str">
        <f>IF(ISNUMBER(SEARCH("C", 'Dry_Litterbag Placem_Collection'!T45)),"YES","NO")</f>
        <v>YES</v>
      </c>
      <c r="Z118" s="255" t="str">
        <f>IF(ISNUMBER(SEARCH("H", 'Dry_Litterbag Placem_Collection'!T45)),"YES","NO")</f>
        <v>YES</v>
      </c>
      <c r="AA118" s="255" t="str">
        <f>IF(ISNUMBER(SEARCH("R", 'Dry_Litterbag Placem_Collection'!T45)),"YES","NO")</f>
        <v>NO</v>
      </c>
      <c r="AB118" s="255" t="str">
        <f>IF(ISNUMBER(SEARCH("C", 'Dry_Litterbag Placem_Collection'!S45)),"YES","NO")</f>
        <v>YES</v>
      </c>
      <c r="AC118" s="255" t="str">
        <f>IF(ISNUMBER(SEARCH("H", 'Dry_Litterbag Placem_Collection'!S45)),"YES","NO")</f>
        <v>YES</v>
      </c>
      <c r="AD118" s="255" t="str">
        <f>IF(ISNUMBER(SEARCH("R", 'Dry_Litterbag Placem_Collection'!S45)),"YES","NO")</f>
        <v>NO</v>
      </c>
    </row>
    <row r="119" spans="2:30">
      <c r="B119" t="str">
        <f>'Final data_for_R_analysis_Dryse'!A45</f>
        <v>Dry</v>
      </c>
      <c r="C119" s="263">
        <f>'Final data_for_R_analysis_Dryse'!B45</f>
        <v>44</v>
      </c>
      <c r="D119" t="s">
        <v>3833</v>
      </c>
      <c r="E119" t="s">
        <v>22</v>
      </c>
      <c r="F119" s="387">
        <v>4</v>
      </c>
      <c r="G119" s="16">
        <f>'Dry_Litterbag Placem_Collection'!E46</f>
        <v>42938</v>
      </c>
      <c r="H119" t="str">
        <f>'Final data_for_R_analysis_Dryse'!J45</f>
        <v>G115</v>
      </c>
      <c r="I119" t="str">
        <f>'Final data_for_R_analysis_Dryse'!J265</f>
        <v>R783</v>
      </c>
      <c r="J119">
        <f>IFERROR(INDEX('Green_rooibos initial weight'!$C$5:$C$1749,MATCH(H119, 'Green_rooibos initial weight'!$A$5:$A$1749,0)),"")</f>
        <v>2.048</v>
      </c>
      <c r="K119">
        <f>IFERROR(INDEX('Green_rooibos initial weight'!$C$5:$C$1749,MATCH(I119, 'Green_rooibos initial weight'!$A$5:$A$1749,0)),"")</f>
        <v>2.1989999999999998</v>
      </c>
      <c r="L119" s="195">
        <f t="shared" si="3"/>
        <v>1.7982</v>
      </c>
      <c r="M119" s="195">
        <f t="shared" si="4"/>
        <v>1.9491999999999998</v>
      </c>
      <c r="N119" s="16">
        <f>IF('Dry_Litterbag Placem_Collection'!G46="N.A","",'Dry_Litterbag Placem_Collection'!G46)</f>
        <v>43005</v>
      </c>
      <c r="O119" s="195">
        <f>IF(IFERROR(INDEX('Both teabags AfterDry'!$D$1:$D$839,MATCH(H119,'Both teabags AfterDry'!$A$1:$A$839,0)),"")="N.A","",(IFERROR(INDEX('Both teabags AfterDry'!$D$1:$D$839,MATCH(H119,'Both teabags AfterDry'!$A$1:$A$839,0)),"")))</f>
        <v>1.7069000000000001</v>
      </c>
      <c r="P119" s="195">
        <f>IF(IFERROR(INDEX('Both teabags AfterDry'!$D$1:$D$839,MATCH(I119,'Both teabags AfterDry'!$A$1:$A$839,0)),"")="N.A","",(IFERROR(INDEX('Both teabags AfterDry'!$D$1:$D$839,MATCH(I119,'Both teabags AfterDry'!$A$1:$A$839,0)),"")))</f>
        <v>1.8973</v>
      </c>
      <c r="Q119" s="195">
        <f t="shared" si="5"/>
        <v>1.5563</v>
      </c>
      <c r="R119" s="195">
        <f t="shared" si="5"/>
        <v>1.7466999999999999</v>
      </c>
      <c r="S119" s="195">
        <f t="shared" si="0"/>
        <v>0.13452341230119003</v>
      </c>
      <c r="T119" s="195">
        <f t="shared" si="6"/>
        <v>8.8191120653511743E-2</v>
      </c>
      <c r="U119" s="195">
        <f t="shared" si="1"/>
        <v>0.89611122511799712</v>
      </c>
      <c r="V119">
        <f t="shared" si="2"/>
        <v>67</v>
      </c>
      <c r="W119" s="195">
        <f t="shared" si="7"/>
        <v>0.84023347707697149</v>
      </c>
      <c r="X119" s="195" t="str">
        <f t="shared" si="8"/>
        <v/>
      </c>
      <c r="Y119" s="255" t="str">
        <f>IF(ISNUMBER(SEARCH("C", 'Dry_Litterbag Placem_Collection'!T46)),"YES","NO")</f>
        <v>NO</v>
      </c>
      <c r="Z119" s="255" t="str">
        <f>IF(ISNUMBER(SEARCH("H", 'Dry_Litterbag Placem_Collection'!T46)),"YES","NO")</f>
        <v>NO</v>
      </c>
      <c r="AA119" s="255" t="str">
        <f>IF(ISNUMBER(SEARCH("R", 'Dry_Litterbag Placem_Collection'!T46)),"YES","NO")</f>
        <v>NO</v>
      </c>
      <c r="AB119" s="255" t="str">
        <f>IF(ISNUMBER(SEARCH("C", 'Dry_Litterbag Placem_Collection'!S46)),"YES","NO")</f>
        <v>NO</v>
      </c>
      <c r="AC119" s="255" t="str">
        <f>IF(ISNUMBER(SEARCH("H", 'Dry_Litterbag Placem_Collection'!S46)),"YES","NO")</f>
        <v>NO</v>
      </c>
      <c r="AD119" s="255" t="str">
        <f>IF(ISNUMBER(SEARCH("R", 'Dry_Litterbag Placem_Collection'!S46)),"YES","NO")</f>
        <v>NO</v>
      </c>
    </row>
    <row r="120" spans="2:30">
      <c r="B120" t="str">
        <f>'Final data_for_R_analysis_Dryse'!A46</f>
        <v>Dry</v>
      </c>
      <c r="C120" s="263">
        <f>'Final data_for_R_analysis_Dryse'!B46</f>
        <v>45</v>
      </c>
      <c r="D120" t="s">
        <v>3833</v>
      </c>
      <c r="E120" t="s">
        <v>22</v>
      </c>
      <c r="F120" s="387">
        <v>5</v>
      </c>
      <c r="G120" s="16">
        <f>'Dry_Litterbag Placem_Collection'!E47</f>
        <v>42938</v>
      </c>
      <c r="H120" t="str">
        <f>'Final data_for_R_analysis_Dryse'!J46</f>
        <v>G480</v>
      </c>
      <c r="I120" t="str">
        <f>'Final data_for_R_analysis_Dryse'!J266</f>
        <v>R827</v>
      </c>
      <c r="J120">
        <f>IFERROR(INDEX('Green_rooibos initial weight'!$C$5:$C$1749,MATCH(H120, 'Green_rooibos initial weight'!$A$5:$A$1749,0)),"")</f>
        <v>1.9850000000000001</v>
      </c>
      <c r="K120">
        <f>IFERROR(INDEX('Green_rooibos initial weight'!$C$5:$C$1749,MATCH(I120, 'Green_rooibos initial weight'!$A$5:$A$1749,0)),"")</f>
        <v>2.222</v>
      </c>
      <c r="L120" s="195">
        <f t="shared" si="3"/>
        <v>1.7352000000000001</v>
      </c>
      <c r="M120" s="195">
        <f t="shared" si="4"/>
        <v>1.9722</v>
      </c>
      <c r="N120" s="16">
        <f>IF('Dry_Litterbag Placem_Collection'!G47="N.A","",'Dry_Litterbag Placem_Collection'!G47)</f>
        <v>43005</v>
      </c>
      <c r="O120" s="195" t="str">
        <f>IF(IFERROR(INDEX('Both teabags AfterDry'!$D$1:$D$839,MATCH(H120,'Both teabags AfterDry'!$A$1:$A$839,0)),"")="N.A","",(IFERROR(INDEX('Both teabags AfterDry'!$D$1:$D$839,MATCH(H120,'Both teabags AfterDry'!$A$1:$A$839,0)),"")))</f>
        <v/>
      </c>
      <c r="P120" s="195" t="str">
        <f>IF(IFERROR(INDEX('Both teabags AfterDry'!$D$1:$D$839,MATCH(I120,'Both teabags AfterDry'!$A$1:$A$839,0)),"")="N.A","",(IFERROR(INDEX('Both teabags AfterDry'!$D$1:$D$839,MATCH(I120,'Both teabags AfterDry'!$A$1:$A$839,0)),"")))</f>
        <v/>
      </c>
      <c r="Q120" s="195" t="str">
        <f t="shared" si="5"/>
        <v/>
      </c>
      <c r="R120" s="195" t="str">
        <f t="shared" si="5"/>
        <v/>
      </c>
      <c r="S120" s="195" t="str">
        <f t="shared" si="0"/>
        <v/>
      </c>
      <c r="T120" s="195" t="str">
        <f t="shared" si="6"/>
        <v/>
      </c>
      <c r="U120" s="195" t="str">
        <f t="shared" si="1"/>
        <v/>
      </c>
      <c r="V120">
        <f t="shared" si="2"/>
        <v>67</v>
      </c>
      <c r="W120" s="195" t="str">
        <f t="shared" si="7"/>
        <v/>
      </c>
      <c r="X120" s="195" t="str">
        <f t="shared" si="8"/>
        <v/>
      </c>
      <c r="Y120" s="255" t="str">
        <f>IF(ISNUMBER(SEARCH("C", 'Dry_Litterbag Placem_Collection'!T47)),"YES","NO")</f>
        <v>YES</v>
      </c>
      <c r="Z120" s="255" t="str">
        <f>IF(ISNUMBER(SEARCH("H", 'Dry_Litterbag Placem_Collection'!T47)),"YES","NO")</f>
        <v>YES</v>
      </c>
      <c r="AA120" s="255" t="str">
        <f>IF(ISNUMBER(SEARCH("R", 'Dry_Litterbag Placem_Collection'!T47)),"YES","NO")</f>
        <v>NO</v>
      </c>
      <c r="AB120" s="255" t="str">
        <f>IF(ISNUMBER(SEARCH("C", 'Dry_Litterbag Placem_Collection'!S47)),"YES","NO")</f>
        <v>YES</v>
      </c>
      <c r="AC120" s="255" t="str">
        <f>IF(ISNUMBER(SEARCH("H", 'Dry_Litterbag Placem_Collection'!S47)),"YES","NO")</f>
        <v>YES</v>
      </c>
      <c r="AD120" s="255" t="str">
        <f>IF(ISNUMBER(SEARCH("R", 'Dry_Litterbag Placem_Collection'!S47)),"YES","NO")</f>
        <v>NO</v>
      </c>
    </row>
    <row r="121" spans="2:30">
      <c r="B121" t="str">
        <f>'Final data_for_R_analysis_Dryse'!A47</f>
        <v>Dry</v>
      </c>
      <c r="C121" s="263">
        <f>'Final data_for_R_analysis_Dryse'!B47</f>
        <v>46</v>
      </c>
      <c r="D121" t="s">
        <v>3833</v>
      </c>
      <c r="E121" t="s">
        <v>22</v>
      </c>
      <c r="F121" s="387">
        <v>6</v>
      </c>
      <c r="G121" s="16">
        <f>'Dry_Litterbag Placem_Collection'!E48</f>
        <v>0</v>
      </c>
      <c r="H121" t="str">
        <f>'Final data_for_R_analysis_Dryse'!J47</f>
        <v/>
      </c>
      <c r="I121" t="str">
        <f>'Final data_for_R_analysis_Dryse'!J267</f>
        <v/>
      </c>
      <c r="J121" t="str">
        <f>IFERROR(INDEX('Green_rooibos initial weight'!$C$5:$C$1749,MATCH(H121, 'Green_rooibos initial weight'!$A$5:$A$1749,0)),"")</f>
        <v/>
      </c>
      <c r="K121" t="str">
        <f>IFERROR(INDEX('Green_rooibos initial weight'!$C$5:$C$1749,MATCH(I121, 'Green_rooibos initial weight'!$A$5:$A$1749,0)),"")</f>
        <v/>
      </c>
      <c r="L121" s="195" t="str">
        <f t="shared" si="3"/>
        <v/>
      </c>
      <c r="M121" s="195" t="str">
        <f t="shared" si="4"/>
        <v/>
      </c>
      <c r="N121" s="16">
        <f>IF('Dry_Litterbag Placem_Collection'!G48="N.A","",'Dry_Litterbag Placem_Collection'!G48)</f>
        <v>0</v>
      </c>
      <c r="O121" s="195" t="str">
        <f>IF(IFERROR(INDEX('Both teabags AfterDry'!$D$1:$D$839,MATCH(H121,'Both teabags AfterDry'!$A$1:$A$839,0)),"")="N.A","",(IFERROR(INDEX('Both teabags AfterDry'!$D$1:$D$839,MATCH(H121,'Both teabags AfterDry'!$A$1:$A$839,0)),"")))</f>
        <v/>
      </c>
      <c r="P121" s="195" t="str">
        <f>IF(IFERROR(INDEX('Both teabags AfterDry'!$D$1:$D$839,MATCH(I121,'Both teabags AfterDry'!$A$1:$A$839,0)),"")="N.A","",(IFERROR(INDEX('Both teabags AfterDry'!$D$1:$D$839,MATCH(I121,'Both teabags AfterDry'!$A$1:$A$839,0)),"")))</f>
        <v/>
      </c>
      <c r="Q121" s="195" t="str">
        <f t="shared" si="5"/>
        <v/>
      </c>
      <c r="R121" s="195" t="str">
        <f t="shared" si="5"/>
        <v/>
      </c>
      <c r="S121" s="195" t="str">
        <f t="shared" si="0"/>
        <v/>
      </c>
      <c r="T121" s="195" t="str">
        <f t="shared" si="6"/>
        <v/>
      </c>
      <c r="U121" s="195" t="str">
        <f t="shared" si="1"/>
        <v/>
      </c>
      <c r="V121" t="str">
        <f t="shared" si="2"/>
        <v/>
      </c>
      <c r="W121" s="195" t="str">
        <f t="shared" si="7"/>
        <v/>
      </c>
      <c r="X121" s="195" t="str">
        <f t="shared" si="8"/>
        <v/>
      </c>
      <c r="Y121" s="255" t="str">
        <f>IF(ISNUMBER(SEARCH("C", 'Dry_Litterbag Placem_Collection'!T48)),"YES","NO")</f>
        <v>NO</v>
      </c>
      <c r="Z121" s="255" t="str">
        <f>IF(ISNUMBER(SEARCH("H", 'Dry_Litterbag Placem_Collection'!T48)),"YES","NO")</f>
        <v>NO</v>
      </c>
      <c r="AA121" s="255" t="str">
        <f>IF(ISNUMBER(SEARCH("R", 'Dry_Litterbag Placem_Collection'!T48)),"YES","NO")</f>
        <v>NO</v>
      </c>
      <c r="AB121" s="255" t="str">
        <f>IF(ISNUMBER(SEARCH("C", 'Dry_Litterbag Placem_Collection'!S48)),"YES","NO")</f>
        <v>NO</v>
      </c>
      <c r="AC121" s="255" t="str">
        <f>IF(ISNUMBER(SEARCH("H", 'Dry_Litterbag Placem_Collection'!S48)),"YES","NO")</f>
        <v>NO</v>
      </c>
      <c r="AD121" s="255" t="str">
        <f>IF(ISNUMBER(SEARCH("R", 'Dry_Litterbag Placem_Collection'!S48)),"YES","NO")</f>
        <v>NO</v>
      </c>
    </row>
    <row r="122" spans="2:30">
      <c r="B122" t="str">
        <f>'Final data_for_R_analysis_Dryse'!A48</f>
        <v>Dry</v>
      </c>
      <c r="C122" s="263">
        <f>'Final data_for_R_analysis_Dryse'!B48</f>
        <v>47</v>
      </c>
      <c r="D122" t="s">
        <v>3833</v>
      </c>
      <c r="E122" t="s">
        <v>22</v>
      </c>
      <c r="F122" s="387">
        <v>7</v>
      </c>
      <c r="G122" s="16">
        <f>'Dry_Litterbag Placem_Collection'!E49</f>
        <v>42938</v>
      </c>
      <c r="H122" t="str">
        <f>'Final data_for_R_analysis_Dryse'!J48</f>
        <v>G110</v>
      </c>
      <c r="I122" t="str">
        <f>'Final data_for_R_analysis_Dryse'!J268</f>
        <v>R831</v>
      </c>
      <c r="J122">
        <f>IFERROR(INDEX('Green_rooibos initial weight'!$C$5:$C$1749,MATCH(H122, 'Green_rooibos initial weight'!$A$5:$A$1749,0)),"")</f>
        <v>2.093</v>
      </c>
      <c r="K122">
        <f>IFERROR(INDEX('Green_rooibos initial weight'!$C$5:$C$1749,MATCH(I122, 'Green_rooibos initial weight'!$A$5:$A$1749,0)),"")</f>
        <v>2.2410000000000001</v>
      </c>
      <c r="L122" s="195">
        <f t="shared" si="3"/>
        <v>1.8431999999999999</v>
      </c>
      <c r="M122" s="195">
        <f t="shared" si="4"/>
        <v>1.9912000000000001</v>
      </c>
      <c r="N122" s="16">
        <f>IF('Dry_Litterbag Placem_Collection'!G49="N.A","",'Dry_Litterbag Placem_Collection'!G49)</f>
        <v>43005</v>
      </c>
      <c r="O122" s="195">
        <f>IF(IFERROR(INDEX('Both teabags AfterDry'!$D$1:$D$839,MATCH(H122,'Both teabags AfterDry'!$A$1:$A$839,0)),"")="N.A","",(IFERROR(INDEX('Both teabags AfterDry'!$D$1:$D$839,MATCH(H122,'Both teabags AfterDry'!$A$1:$A$839,0)),"")))</f>
        <v>1.8372999999999999</v>
      </c>
      <c r="P122" s="195">
        <f>IF(IFERROR(INDEX('Both teabags AfterDry'!$D$1:$D$839,MATCH(I122,'Both teabags AfterDry'!$A$1:$A$839,0)),"")="N.A","",(IFERROR(INDEX('Both teabags AfterDry'!$D$1:$D$839,MATCH(I122,'Both teabags AfterDry'!$A$1:$A$839,0)),"")))</f>
        <v>1.9105000000000001</v>
      </c>
      <c r="Q122" s="195">
        <f t="shared" si="5"/>
        <v>1.6866999999999999</v>
      </c>
      <c r="R122" s="195">
        <f t="shared" si="5"/>
        <v>1.7599</v>
      </c>
      <c r="S122" s="195">
        <f t="shared" si="0"/>
        <v>8.490668402777779E-2</v>
      </c>
      <c r="T122" s="195">
        <f t="shared" si="6"/>
        <v>5.5663289291369794E-2</v>
      </c>
      <c r="U122" s="195">
        <f t="shared" si="1"/>
        <v>0.88383889112093206</v>
      </c>
      <c r="V122">
        <f t="shared" si="2"/>
        <v>67</v>
      </c>
      <c r="W122" s="195">
        <f t="shared" si="7"/>
        <v>0.89916070780548951</v>
      </c>
      <c r="X122" s="195" t="str">
        <f t="shared" si="8"/>
        <v/>
      </c>
      <c r="Y122" s="255" t="str">
        <f>IF(ISNUMBER(SEARCH("C", 'Dry_Litterbag Placem_Collection'!T49)),"YES","NO")</f>
        <v>NO</v>
      </c>
      <c r="Z122" s="255" t="str">
        <f>IF(ISNUMBER(SEARCH("H", 'Dry_Litterbag Placem_Collection'!T49)),"YES","NO")</f>
        <v>YES</v>
      </c>
      <c r="AA122" s="255" t="str">
        <f>IF(ISNUMBER(SEARCH("R", 'Dry_Litterbag Placem_Collection'!T49)),"YES","NO")</f>
        <v>NO</v>
      </c>
      <c r="AB122" s="255" t="str">
        <f>IF(ISNUMBER(SEARCH("C", 'Dry_Litterbag Placem_Collection'!S49)),"YES","NO")</f>
        <v>NO</v>
      </c>
      <c r="AC122" s="255" t="str">
        <f>IF(ISNUMBER(SEARCH("H", 'Dry_Litterbag Placem_Collection'!S49)),"YES","NO")</f>
        <v>NO</v>
      </c>
      <c r="AD122" s="255" t="str">
        <f>IF(ISNUMBER(SEARCH("R", 'Dry_Litterbag Placem_Collection'!S49)),"YES","NO")</f>
        <v>NO</v>
      </c>
    </row>
    <row r="123" spans="2:30">
      <c r="B123" t="str">
        <f>'Final data_for_R_analysis_Dryse'!A49</f>
        <v>Dry</v>
      </c>
      <c r="C123" s="263">
        <f>'Final data_for_R_analysis_Dryse'!B49</f>
        <v>48</v>
      </c>
      <c r="D123" t="s">
        <v>3833</v>
      </c>
      <c r="E123" t="s">
        <v>22</v>
      </c>
      <c r="F123" s="387">
        <v>8</v>
      </c>
      <c r="G123" s="16">
        <f>'Dry_Litterbag Placem_Collection'!E50</f>
        <v>42938</v>
      </c>
      <c r="H123" t="str">
        <f>'Final data_for_R_analysis_Dryse'!J49</f>
        <v>G233</v>
      </c>
      <c r="I123" t="str">
        <f>'Final data_for_R_analysis_Dryse'!J269</f>
        <v>R828</v>
      </c>
      <c r="J123">
        <f>IFERROR(INDEX('Green_rooibos initial weight'!$C$5:$C$1749,MATCH(H123, 'Green_rooibos initial weight'!$A$5:$A$1749,0)),"")</f>
        <v>1.9490000000000001</v>
      </c>
      <c r="K123">
        <f>IFERROR(INDEX('Green_rooibos initial weight'!$C$5:$C$1749,MATCH(I123, 'Green_rooibos initial weight'!$A$5:$A$1749,0)),"")</f>
        <v>2.2330000000000001</v>
      </c>
      <c r="L123" s="195">
        <f t="shared" si="3"/>
        <v>1.6992</v>
      </c>
      <c r="M123" s="195">
        <f t="shared" si="4"/>
        <v>1.9832000000000001</v>
      </c>
      <c r="N123" s="16">
        <f>IF('Dry_Litterbag Placem_Collection'!G50="N.A","",'Dry_Litterbag Placem_Collection'!G50)</f>
        <v>43005</v>
      </c>
      <c r="O123" s="195">
        <f>IF(IFERROR(INDEX('Both teabags AfterDry'!$D$1:$D$839,MATCH(H123,'Both teabags AfterDry'!$A$1:$A$839,0)),"")="N.A","",(IFERROR(INDEX('Both teabags AfterDry'!$D$1:$D$839,MATCH(H123,'Both teabags AfterDry'!$A$1:$A$839,0)),"")))</f>
        <v>1.6727000000000001</v>
      </c>
      <c r="P123" s="195">
        <f>IF(IFERROR(INDEX('Both teabags AfterDry'!$D$1:$D$839,MATCH(I123,'Both teabags AfterDry'!$A$1:$A$839,0)),"")="N.A","",(IFERROR(INDEX('Both teabags AfterDry'!$D$1:$D$839,MATCH(I123,'Both teabags AfterDry'!$A$1:$A$839,0)),"")))</f>
        <v>1.7596000000000001</v>
      </c>
      <c r="Q123" s="195">
        <f t="shared" si="5"/>
        <v>1.5221</v>
      </c>
      <c r="R123" s="195">
        <f t="shared" si="5"/>
        <v>1.609</v>
      </c>
      <c r="S123" s="195">
        <f t="shared" si="0"/>
        <v>0.10422551789077217</v>
      </c>
      <c r="T123" s="195">
        <f t="shared" si="6"/>
        <v>6.8328368023404099E-2</v>
      </c>
      <c r="U123" s="195">
        <f t="shared" si="1"/>
        <v>0.81131504638967322</v>
      </c>
      <c r="V123">
        <f t="shared" si="2"/>
        <v>67</v>
      </c>
      <c r="W123" s="195">
        <f t="shared" si="7"/>
        <v>0.87621672459528244</v>
      </c>
      <c r="X123" s="195" t="str">
        <f t="shared" si="8"/>
        <v/>
      </c>
      <c r="Y123" s="255" t="str">
        <f>IF(ISNUMBER(SEARCH("C", 'Dry_Litterbag Placem_Collection'!T50)),"YES","NO")</f>
        <v>NO</v>
      </c>
      <c r="Z123" s="255" t="str">
        <f>IF(ISNUMBER(SEARCH("H", 'Dry_Litterbag Placem_Collection'!T50)),"YES","NO")</f>
        <v>NO</v>
      </c>
      <c r="AA123" s="255" t="str">
        <f>IF(ISNUMBER(SEARCH("R", 'Dry_Litterbag Placem_Collection'!T50)),"YES","NO")</f>
        <v>NO</v>
      </c>
      <c r="AB123" s="255" t="str">
        <f>IF(ISNUMBER(SEARCH("C", 'Dry_Litterbag Placem_Collection'!S50)),"YES","NO")</f>
        <v>NO</v>
      </c>
      <c r="AC123" s="255" t="str">
        <f>IF(ISNUMBER(SEARCH("H", 'Dry_Litterbag Placem_Collection'!S50)),"YES","NO")</f>
        <v>NO</v>
      </c>
      <c r="AD123" s="255" t="str">
        <f>IF(ISNUMBER(SEARCH("R", 'Dry_Litterbag Placem_Collection'!S50)),"YES","NO")</f>
        <v>NO</v>
      </c>
    </row>
    <row r="124" spans="2:30">
      <c r="B124" t="str">
        <f>'Final data_for_R_analysis_Dryse'!A50</f>
        <v>Dry</v>
      </c>
      <c r="C124" s="263">
        <f>'Final data_for_R_analysis_Dryse'!B50</f>
        <v>49</v>
      </c>
      <c r="D124" t="s">
        <v>3834</v>
      </c>
      <c r="E124" t="s">
        <v>22</v>
      </c>
      <c r="F124" s="386">
        <v>1</v>
      </c>
      <c r="G124" s="16">
        <f>'Dry_Litterbag Placem_Collection'!E51</f>
        <v>42938</v>
      </c>
      <c r="H124" t="str">
        <f>'Final data_for_R_analysis_Dryse'!J50</f>
        <v>G54</v>
      </c>
      <c r="I124" t="str">
        <f>'Final data_for_R_analysis_Dryse'!J270</f>
        <v>R805</v>
      </c>
      <c r="J124">
        <f>IFERROR(INDEX('Green_rooibos initial weight'!$C$5:$C$1749,MATCH(H124, 'Green_rooibos initial weight'!$A$5:$A$1749,0)),"")</f>
        <v>2.0539999999999998</v>
      </c>
      <c r="K124">
        <f>IFERROR(INDEX('Green_rooibos initial weight'!$C$5:$C$1749,MATCH(I124, 'Green_rooibos initial weight'!$A$5:$A$1749,0)),"")</f>
        <v>2.2469999999999999</v>
      </c>
      <c r="L124" s="195">
        <f t="shared" si="3"/>
        <v>1.8041999999999998</v>
      </c>
      <c r="M124" s="195">
        <f t="shared" si="4"/>
        <v>1.9971999999999999</v>
      </c>
      <c r="N124" s="16">
        <f>IF('Dry_Litterbag Placem_Collection'!G51="N.A","",'Dry_Litterbag Placem_Collection'!G51)</f>
        <v>43005</v>
      </c>
      <c r="O124" s="195" t="str">
        <f>IF(IFERROR(INDEX('Both teabags AfterDry'!$D$1:$D$839,MATCH(H124,'Both teabags AfterDry'!$A$1:$A$839,0)),"")="N.A","",(IFERROR(INDEX('Both teabags AfterDry'!$D$1:$D$839,MATCH(H124,'Both teabags AfterDry'!$A$1:$A$839,0)),"")))</f>
        <v/>
      </c>
      <c r="P124" s="195" t="str">
        <f>IF(IFERROR(INDEX('Both teabags AfterDry'!$D$1:$D$839,MATCH(I124,'Both teabags AfterDry'!$A$1:$A$839,0)),"")="N.A","",(IFERROR(INDEX('Both teabags AfterDry'!$D$1:$D$839,MATCH(I124,'Both teabags AfterDry'!$A$1:$A$839,0)),"")))</f>
        <v/>
      </c>
      <c r="Q124" s="195" t="str">
        <f t="shared" si="5"/>
        <v/>
      </c>
      <c r="R124" s="195" t="str">
        <f t="shared" si="5"/>
        <v/>
      </c>
      <c r="S124" s="195" t="str">
        <f t="shared" si="0"/>
        <v/>
      </c>
      <c r="T124" s="195" t="str">
        <f t="shared" si="6"/>
        <v/>
      </c>
      <c r="U124" s="195" t="str">
        <f t="shared" si="1"/>
        <v/>
      </c>
      <c r="V124">
        <f t="shared" si="2"/>
        <v>67</v>
      </c>
      <c r="W124" s="195" t="str">
        <f t="shared" si="7"/>
        <v/>
      </c>
      <c r="X124" s="195" t="str">
        <f t="shared" si="8"/>
        <v/>
      </c>
      <c r="Y124" s="255" t="str">
        <f>IF(ISNUMBER(SEARCH("C", 'Dry_Litterbag Placem_Collection'!T51)),"YES","NO")</f>
        <v>NO</v>
      </c>
      <c r="Z124" s="255" t="str">
        <f>IF(ISNUMBER(SEARCH("H", 'Dry_Litterbag Placem_Collection'!T51)),"YES","NO")</f>
        <v>NO</v>
      </c>
      <c r="AA124" s="255" t="str">
        <f>IF(ISNUMBER(SEARCH("R", 'Dry_Litterbag Placem_Collection'!T51)),"YES","NO")</f>
        <v>NO</v>
      </c>
      <c r="AB124" s="255" t="str">
        <f>IF(ISNUMBER(SEARCH("C", 'Dry_Litterbag Placem_Collection'!S51)),"YES","NO")</f>
        <v>NO</v>
      </c>
      <c r="AC124" s="255" t="str">
        <f>IF(ISNUMBER(SEARCH("H", 'Dry_Litterbag Placem_Collection'!S51)),"YES","NO")</f>
        <v>NO</v>
      </c>
      <c r="AD124" s="255" t="str">
        <f>IF(ISNUMBER(SEARCH("R", 'Dry_Litterbag Placem_Collection'!S51)),"YES","NO")</f>
        <v>NO</v>
      </c>
    </row>
    <row r="125" spans="2:30">
      <c r="B125" t="str">
        <f>'Final data_for_R_analysis_Dryse'!A51</f>
        <v>Dry</v>
      </c>
      <c r="C125" s="263">
        <f>'Final data_for_R_analysis_Dryse'!B51</f>
        <v>50</v>
      </c>
      <c r="D125" t="s">
        <v>3834</v>
      </c>
      <c r="E125" t="s">
        <v>22</v>
      </c>
      <c r="F125" s="386">
        <v>2</v>
      </c>
      <c r="G125" s="16">
        <f>'Dry_Litterbag Placem_Collection'!E52</f>
        <v>42938</v>
      </c>
      <c r="H125" t="str">
        <f>'Final data_for_R_analysis_Dryse'!J51</f>
        <v>G276</v>
      </c>
      <c r="I125" t="str">
        <f>'Final data_for_R_analysis_Dryse'!J271</f>
        <v>R754</v>
      </c>
      <c r="J125">
        <f>IFERROR(INDEX('Green_rooibos initial weight'!$C$5:$C$1749,MATCH(H125, 'Green_rooibos initial weight'!$A$5:$A$1749,0)),"")</f>
        <v>1.966</v>
      </c>
      <c r="K125">
        <f>IFERROR(INDEX('Green_rooibos initial weight'!$C$5:$C$1749,MATCH(I125, 'Green_rooibos initial weight'!$A$5:$A$1749,0)),"")</f>
        <v>2.2069999999999999</v>
      </c>
      <c r="L125" s="195">
        <f t="shared" si="3"/>
        <v>1.7161999999999999</v>
      </c>
      <c r="M125" s="195">
        <f t="shared" si="4"/>
        <v>1.9571999999999998</v>
      </c>
      <c r="N125" s="16">
        <f>IF('Dry_Litterbag Placem_Collection'!G52="N.A","",'Dry_Litterbag Placem_Collection'!G52)</f>
        <v>0</v>
      </c>
      <c r="O125" s="195" t="str">
        <f>IF(IFERROR(INDEX('Both teabags AfterDry'!$D$1:$D$839,MATCH(H125,'Both teabags AfterDry'!$A$1:$A$839,0)),"")="N.A","",(IFERROR(INDEX('Both teabags AfterDry'!$D$1:$D$839,MATCH(H125,'Both teabags AfterDry'!$A$1:$A$839,0)),"")))</f>
        <v/>
      </c>
      <c r="P125" s="195" t="str">
        <f>IF(IFERROR(INDEX('Both teabags AfterDry'!$D$1:$D$839,MATCH(I125,'Both teabags AfterDry'!$A$1:$A$839,0)),"")="N.A","",(IFERROR(INDEX('Both teabags AfterDry'!$D$1:$D$839,MATCH(I125,'Both teabags AfterDry'!$A$1:$A$839,0)),"")))</f>
        <v/>
      </c>
      <c r="Q125" s="195" t="str">
        <f t="shared" si="5"/>
        <v/>
      </c>
      <c r="R125" s="195" t="str">
        <f t="shared" si="5"/>
        <v/>
      </c>
      <c r="S125" s="195" t="str">
        <f t="shared" si="0"/>
        <v/>
      </c>
      <c r="T125" s="195" t="str">
        <f t="shared" si="6"/>
        <v/>
      </c>
      <c r="U125" s="195" t="str">
        <f t="shared" si="1"/>
        <v/>
      </c>
      <c r="V125" t="str">
        <f t="shared" si="2"/>
        <v/>
      </c>
      <c r="W125" s="195" t="str">
        <f t="shared" si="7"/>
        <v/>
      </c>
      <c r="X125" s="195" t="str">
        <f t="shared" si="8"/>
        <v/>
      </c>
      <c r="Y125" s="255" t="str">
        <f>IF(ISNUMBER(SEARCH("C", 'Dry_Litterbag Placem_Collection'!T52)),"YES","NO")</f>
        <v>NO</v>
      </c>
      <c r="Z125" s="255" t="str">
        <f>IF(ISNUMBER(SEARCH("H", 'Dry_Litterbag Placem_Collection'!T52)),"YES","NO")</f>
        <v>NO</v>
      </c>
      <c r="AA125" s="255" t="str">
        <f>IF(ISNUMBER(SEARCH("R", 'Dry_Litterbag Placem_Collection'!T52)),"YES","NO")</f>
        <v>NO</v>
      </c>
      <c r="AB125" s="255" t="str">
        <f>IF(ISNUMBER(SEARCH("C", 'Dry_Litterbag Placem_Collection'!S52)),"YES","NO")</f>
        <v>NO</v>
      </c>
      <c r="AC125" s="255" t="str">
        <f>IF(ISNUMBER(SEARCH("H", 'Dry_Litterbag Placem_Collection'!S52)),"YES","NO")</f>
        <v>NO</v>
      </c>
      <c r="AD125" s="255" t="str">
        <f>IF(ISNUMBER(SEARCH("R", 'Dry_Litterbag Placem_Collection'!S52)),"YES","NO")</f>
        <v>NO</v>
      </c>
    </row>
    <row r="126" spans="2:30">
      <c r="B126" t="str">
        <f>'Final data_for_R_analysis_Dryse'!A52</f>
        <v>Dry</v>
      </c>
      <c r="C126" s="263">
        <f>'Final data_for_R_analysis_Dryse'!B52</f>
        <v>51</v>
      </c>
      <c r="D126" t="s">
        <v>3834</v>
      </c>
      <c r="E126" t="s">
        <v>22</v>
      </c>
      <c r="F126" s="386">
        <v>3</v>
      </c>
      <c r="G126" s="16">
        <f>'Dry_Litterbag Placem_Collection'!E53</f>
        <v>42938</v>
      </c>
      <c r="H126" t="str">
        <f>'Final data_for_R_analysis_Dryse'!J52</f>
        <v>G227</v>
      </c>
      <c r="I126" t="str">
        <f>'Final data_for_R_analysis_Dryse'!J272</f>
        <v>R798</v>
      </c>
      <c r="J126">
        <f>IFERROR(INDEX('Green_rooibos initial weight'!$C$5:$C$1749,MATCH(H126, 'Green_rooibos initial weight'!$A$5:$A$1749,0)),"")</f>
        <v>1.986</v>
      </c>
      <c r="K126">
        <f>IFERROR(INDEX('Green_rooibos initial weight'!$C$5:$C$1749,MATCH(I126, 'Green_rooibos initial weight'!$A$5:$A$1749,0)),"")</f>
        <v>2.1850000000000001</v>
      </c>
      <c r="L126" s="195">
        <f t="shared" si="3"/>
        <v>1.7362</v>
      </c>
      <c r="M126" s="195">
        <f t="shared" si="4"/>
        <v>1.9352</v>
      </c>
      <c r="N126" s="16">
        <f>IF('Dry_Litterbag Placem_Collection'!G53="N.A","",'Dry_Litterbag Placem_Collection'!G53)</f>
        <v>43005</v>
      </c>
      <c r="O126" s="195">
        <f>IF(IFERROR(INDEX('Both teabags AfterDry'!$D$1:$D$839,MATCH(H126,'Both teabags AfterDry'!$A$1:$A$839,0)),"")="N.A","",(IFERROR(INDEX('Both teabags AfterDry'!$D$1:$D$839,MATCH(H126,'Both teabags AfterDry'!$A$1:$A$839,0)),"")))</f>
        <v>1.7715000000000001</v>
      </c>
      <c r="P126" s="195">
        <f>IF(IFERROR(INDEX('Both teabags AfterDry'!$D$1:$D$839,MATCH(I126,'Both teabags AfterDry'!$A$1:$A$839,0)),"")="N.A","",(IFERROR(INDEX('Both teabags AfterDry'!$D$1:$D$839,MATCH(I126,'Both teabags AfterDry'!$A$1:$A$839,0)),"")))</f>
        <v>1.8956999999999999</v>
      </c>
      <c r="Q126" s="195">
        <f t="shared" si="5"/>
        <v>1.6209</v>
      </c>
      <c r="R126" s="195">
        <f t="shared" si="5"/>
        <v>1.7450999999999999</v>
      </c>
      <c r="S126" s="195">
        <f t="shared" si="0"/>
        <v>6.6409399838728289E-2</v>
      </c>
      <c r="T126" s="195">
        <f t="shared" si="6"/>
        <v>4.353680369474823E-2</v>
      </c>
      <c r="U126" s="195">
        <f t="shared" si="1"/>
        <v>0.90176725919801559</v>
      </c>
      <c r="V126">
        <f t="shared" si="2"/>
        <v>67</v>
      </c>
      <c r="W126" s="195">
        <f t="shared" si="7"/>
        <v>0.92112897881386191</v>
      </c>
      <c r="X126" s="195" t="str">
        <f t="shared" si="8"/>
        <v/>
      </c>
      <c r="Y126" s="255" t="str">
        <f>IF(ISNUMBER(SEARCH("C", 'Dry_Litterbag Placem_Collection'!T53)),"YES","NO")</f>
        <v>NO</v>
      </c>
      <c r="Z126" s="255" t="str">
        <f>IF(ISNUMBER(SEARCH("H", 'Dry_Litterbag Placem_Collection'!T53)),"YES","NO")</f>
        <v>NO</v>
      </c>
      <c r="AA126" s="255" t="str">
        <f>IF(ISNUMBER(SEARCH("R", 'Dry_Litterbag Placem_Collection'!T53)),"YES","NO")</f>
        <v>NO</v>
      </c>
      <c r="AB126" s="255" t="str">
        <f>IF(ISNUMBER(SEARCH("C", 'Dry_Litterbag Placem_Collection'!S53)),"YES","NO")</f>
        <v>NO</v>
      </c>
      <c r="AC126" s="255" t="str">
        <f>IF(ISNUMBER(SEARCH("H", 'Dry_Litterbag Placem_Collection'!S53)),"YES","NO")</f>
        <v>NO</v>
      </c>
      <c r="AD126" s="255" t="str">
        <f>IF(ISNUMBER(SEARCH("R", 'Dry_Litterbag Placem_Collection'!S53)),"YES","NO")</f>
        <v>NO</v>
      </c>
    </row>
    <row r="127" spans="2:30">
      <c r="B127" t="str">
        <f>'Final data_for_R_analysis_Dryse'!A53</f>
        <v>Dry</v>
      </c>
      <c r="C127" s="263">
        <f>'Final data_for_R_analysis_Dryse'!B53</f>
        <v>52</v>
      </c>
      <c r="D127" t="s">
        <v>3834</v>
      </c>
      <c r="E127" t="s">
        <v>22</v>
      </c>
      <c r="F127" s="387">
        <v>4</v>
      </c>
      <c r="G127" s="16">
        <f>'Dry_Litterbag Placem_Collection'!E54</f>
        <v>42938</v>
      </c>
      <c r="H127" t="str">
        <f>'Final data_for_R_analysis_Dryse'!J53</f>
        <v>G237</v>
      </c>
      <c r="I127" t="str">
        <f>'Final data_for_R_analysis_Dryse'!J273</f>
        <v>R833</v>
      </c>
      <c r="J127">
        <f>IFERROR(INDEX('Green_rooibos initial weight'!$C$5:$C$1749,MATCH(H127, 'Green_rooibos initial weight'!$A$5:$A$1749,0)),"")</f>
        <v>1.988</v>
      </c>
      <c r="K127">
        <f>IFERROR(INDEX('Green_rooibos initial weight'!$C$5:$C$1749,MATCH(I127, 'Green_rooibos initial weight'!$A$5:$A$1749,0)),"")</f>
        <v>2.218</v>
      </c>
      <c r="L127" s="195">
        <f t="shared" si="3"/>
        <v>1.7382</v>
      </c>
      <c r="M127" s="195">
        <f t="shared" si="4"/>
        <v>1.9681999999999999</v>
      </c>
      <c r="N127" s="16">
        <f>IF('Dry_Litterbag Placem_Collection'!G54="N.A","",'Dry_Litterbag Placem_Collection'!G54)</f>
        <v>43005</v>
      </c>
      <c r="O127" s="195">
        <f>IF(IFERROR(INDEX('Both teabags AfterDry'!$D$1:$D$839,MATCH(H127,'Both teabags AfterDry'!$A$1:$A$839,0)),"")="N.A","",(IFERROR(INDEX('Both teabags AfterDry'!$D$1:$D$839,MATCH(H127,'Both teabags AfterDry'!$A$1:$A$839,0)),"")))</f>
        <v>1.8220000000000001</v>
      </c>
      <c r="P127" s="195">
        <f>IF(IFERROR(INDEX('Both teabags AfterDry'!$D$1:$D$839,MATCH(I127,'Both teabags AfterDry'!$A$1:$A$839,0)),"")="N.A","",(IFERROR(INDEX('Both teabags AfterDry'!$D$1:$D$839,MATCH(I127,'Both teabags AfterDry'!$A$1:$A$839,0)),"")))</f>
        <v>1.9791000000000001</v>
      </c>
      <c r="Q127" s="195">
        <f t="shared" si="5"/>
        <v>1.6714</v>
      </c>
      <c r="R127" s="195">
        <f t="shared" si="5"/>
        <v>1.8285</v>
      </c>
      <c r="S127" s="195">
        <f t="shared" si="0"/>
        <v>3.8430560349787091E-2</v>
      </c>
      <c r="T127" s="195">
        <f t="shared" si="6"/>
        <v>2.5194381606986324E-2</v>
      </c>
      <c r="U127" s="195">
        <f t="shared" si="1"/>
        <v>0.92902144091047656</v>
      </c>
      <c r="V127">
        <f t="shared" si="2"/>
        <v>67</v>
      </c>
      <c r="W127" s="195">
        <f t="shared" si="7"/>
        <v>0.95435800433516971</v>
      </c>
      <c r="X127" s="195" t="str">
        <f t="shared" si="8"/>
        <v/>
      </c>
      <c r="Y127" s="255" t="str">
        <f>IF(ISNUMBER(SEARCH("C", 'Dry_Litterbag Placem_Collection'!T54)),"YES","NO")</f>
        <v>NO</v>
      </c>
      <c r="Z127" s="255" t="str">
        <f>IF(ISNUMBER(SEARCH("H", 'Dry_Litterbag Placem_Collection'!T54)),"YES","NO")</f>
        <v>NO</v>
      </c>
      <c r="AA127" s="255" t="str">
        <f>IF(ISNUMBER(SEARCH("R", 'Dry_Litterbag Placem_Collection'!T54)),"YES","NO")</f>
        <v>NO</v>
      </c>
      <c r="AB127" s="255" t="str">
        <f>IF(ISNUMBER(SEARCH("C", 'Dry_Litterbag Placem_Collection'!S54)),"YES","NO")</f>
        <v>NO</v>
      </c>
      <c r="AC127" s="255" t="str">
        <f>IF(ISNUMBER(SEARCH("H", 'Dry_Litterbag Placem_Collection'!S54)),"YES","NO")</f>
        <v>NO</v>
      </c>
      <c r="AD127" s="255" t="str">
        <f>IF(ISNUMBER(SEARCH("R", 'Dry_Litterbag Placem_Collection'!S54)),"YES","NO")</f>
        <v>NO</v>
      </c>
    </row>
    <row r="128" spans="2:30">
      <c r="B128" t="str">
        <f>'Final data_for_R_analysis_Dryse'!A54</f>
        <v>Dry</v>
      </c>
      <c r="C128" s="263">
        <f>'Final data_for_R_analysis_Dryse'!B54</f>
        <v>53</v>
      </c>
      <c r="D128" t="s">
        <v>3834</v>
      </c>
      <c r="E128" t="s">
        <v>22</v>
      </c>
      <c r="F128" s="387">
        <v>5</v>
      </c>
      <c r="G128" s="16">
        <f>'Dry_Litterbag Placem_Collection'!E55</f>
        <v>42938</v>
      </c>
      <c r="H128" t="str">
        <f>'Final data_for_R_analysis_Dryse'!J54</f>
        <v>G172</v>
      </c>
      <c r="I128" t="str">
        <f>'Final data_for_R_analysis_Dryse'!J274</f>
        <v>R734</v>
      </c>
      <c r="J128">
        <f>IFERROR(INDEX('Green_rooibos initial weight'!$C$5:$C$1749,MATCH(H128, 'Green_rooibos initial weight'!$A$5:$A$1749,0)),"")</f>
        <v>1.9870000000000001</v>
      </c>
      <c r="K128">
        <f>IFERROR(INDEX('Green_rooibos initial weight'!$C$5:$C$1749,MATCH(I128, 'Green_rooibos initial weight'!$A$5:$A$1749,0)),"")</f>
        <v>2.1589999999999998</v>
      </c>
      <c r="L128" s="195">
        <f t="shared" si="3"/>
        <v>1.7372000000000001</v>
      </c>
      <c r="M128" s="195">
        <f t="shared" si="4"/>
        <v>1.9091999999999998</v>
      </c>
      <c r="N128" s="16">
        <f>IF('Dry_Litterbag Placem_Collection'!G55="N.A","",'Dry_Litterbag Placem_Collection'!G55)</f>
        <v>43005</v>
      </c>
      <c r="O128" s="195">
        <f>IF(IFERROR(INDEX('Both teabags AfterDry'!$D$1:$D$839,MATCH(H128,'Both teabags AfterDry'!$A$1:$A$839,0)),"")="N.A","",(IFERROR(INDEX('Both teabags AfterDry'!$D$1:$D$839,MATCH(H128,'Both teabags AfterDry'!$A$1:$A$839,0)),"")))</f>
        <v>1.8197000000000001</v>
      </c>
      <c r="P128" s="195">
        <f>IF(IFERROR(INDEX('Both teabags AfterDry'!$D$1:$D$839,MATCH(I128,'Both teabags AfterDry'!$A$1:$A$839,0)),"")="N.A","",(IFERROR(INDEX('Both teabags AfterDry'!$D$1:$D$839,MATCH(I128,'Both teabags AfterDry'!$A$1:$A$839,0)),"")))</f>
        <v>1.8914</v>
      </c>
      <c r="Q128" s="195">
        <f t="shared" si="5"/>
        <v>1.6691</v>
      </c>
      <c r="R128" s="195">
        <f t="shared" si="5"/>
        <v>1.7407999999999999</v>
      </c>
      <c r="S128" s="195">
        <f t="shared" si="0"/>
        <v>3.9201013124568251E-2</v>
      </c>
      <c r="T128" s="195">
        <f t="shared" si="6"/>
        <v>2.5699476537721734E-2</v>
      </c>
      <c r="U128" s="195">
        <f t="shared" si="1"/>
        <v>0.91179551644667933</v>
      </c>
      <c r="V128">
        <f t="shared" si="2"/>
        <v>67</v>
      </c>
      <c r="W128" s="195">
        <f t="shared" si="7"/>
        <v>0.95344297728673599</v>
      </c>
      <c r="X128" s="195" t="str">
        <f t="shared" si="8"/>
        <v/>
      </c>
      <c r="Y128" s="255" t="str">
        <f>IF(ISNUMBER(SEARCH("C", 'Dry_Litterbag Placem_Collection'!T55)),"YES","NO")</f>
        <v>NO</v>
      </c>
      <c r="Z128" s="255" t="str">
        <f>IF(ISNUMBER(SEARCH("H", 'Dry_Litterbag Placem_Collection'!T55)),"YES","NO")</f>
        <v>NO</v>
      </c>
      <c r="AA128" s="255" t="str">
        <f>IF(ISNUMBER(SEARCH("R", 'Dry_Litterbag Placem_Collection'!T55)),"YES","NO")</f>
        <v>NO</v>
      </c>
      <c r="AB128" s="255" t="str">
        <f>IF(ISNUMBER(SEARCH("C", 'Dry_Litterbag Placem_Collection'!S55)),"YES","NO")</f>
        <v>NO</v>
      </c>
      <c r="AC128" s="255" t="str">
        <f>IF(ISNUMBER(SEARCH("H", 'Dry_Litterbag Placem_Collection'!S55)),"YES","NO")</f>
        <v>NO</v>
      </c>
      <c r="AD128" s="255" t="str">
        <f>IF(ISNUMBER(SEARCH("R", 'Dry_Litterbag Placem_Collection'!S55)),"YES","NO")</f>
        <v>NO</v>
      </c>
    </row>
    <row r="129" spans="2:30">
      <c r="B129" t="str">
        <f>'Final data_for_R_analysis_Dryse'!A55</f>
        <v>Dry</v>
      </c>
      <c r="C129" s="263">
        <f>'Final data_for_R_analysis_Dryse'!B55</f>
        <v>54</v>
      </c>
      <c r="D129" t="s">
        <v>3834</v>
      </c>
      <c r="E129" t="s">
        <v>22</v>
      </c>
      <c r="F129" s="387">
        <v>6</v>
      </c>
      <c r="G129" s="16">
        <f>'Dry_Litterbag Placem_Collection'!E56</f>
        <v>0</v>
      </c>
      <c r="H129" t="str">
        <f>'Final data_for_R_analysis_Dryse'!J55</f>
        <v/>
      </c>
      <c r="I129" t="str">
        <f>'Final data_for_R_analysis_Dryse'!J275</f>
        <v/>
      </c>
      <c r="J129" t="str">
        <f>IFERROR(INDEX('Green_rooibos initial weight'!$C$5:$C$1749,MATCH(H129, 'Green_rooibos initial weight'!$A$5:$A$1749,0)),"")</f>
        <v/>
      </c>
      <c r="K129" t="str">
        <f>IFERROR(INDEX('Green_rooibos initial weight'!$C$5:$C$1749,MATCH(I129, 'Green_rooibos initial weight'!$A$5:$A$1749,0)),"")</f>
        <v/>
      </c>
      <c r="L129" s="195" t="str">
        <f t="shared" si="3"/>
        <v/>
      </c>
      <c r="M129" s="195" t="str">
        <f t="shared" si="4"/>
        <v/>
      </c>
      <c r="N129" s="16">
        <f>IF('Dry_Litterbag Placem_Collection'!G56="N.A","",'Dry_Litterbag Placem_Collection'!G56)</f>
        <v>0</v>
      </c>
      <c r="O129" s="195" t="str">
        <f>IF(IFERROR(INDEX('Both teabags AfterDry'!$D$1:$D$839,MATCH(H129,'Both teabags AfterDry'!$A$1:$A$839,0)),"")="N.A","",(IFERROR(INDEX('Both teabags AfterDry'!$D$1:$D$839,MATCH(H129,'Both teabags AfterDry'!$A$1:$A$839,0)),"")))</f>
        <v/>
      </c>
      <c r="P129" s="195" t="str">
        <f>IF(IFERROR(INDEX('Both teabags AfterDry'!$D$1:$D$839,MATCH(I129,'Both teabags AfterDry'!$A$1:$A$839,0)),"")="N.A","",(IFERROR(INDEX('Both teabags AfterDry'!$D$1:$D$839,MATCH(I129,'Both teabags AfterDry'!$A$1:$A$839,0)),"")))</f>
        <v/>
      </c>
      <c r="Q129" s="195" t="str">
        <f t="shared" si="5"/>
        <v/>
      </c>
      <c r="R129" s="195" t="str">
        <f t="shared" si="5"/>
        <v/>
      </c>
      <c r="S129" s="195" t="str">
        <f t="shared" si="0"/>
        <v/>
      </c>
      <c r="T129" s="195" t="str">
        <f t="shared" si="6"/>
        <v/>
      </c>
      <c r="U129" s="195" t="str">
        <f t="shared" si="1"/>
        <v/>
      </c>
      <c r="V129" t="str">
        <f t="shared" si="2"/>
        <v/>
      </c>
      <c r="W129" s="195" t="str">
        <f t="shared" si="7"/>
        <v/>
      </c>
      <c r="X129" s="195" t="str">
        <f t="shared" si="8"/>
        <v/>
      </c>
      <c r="Y129" s="255" t="str">
        <f>IF(ISNUMBER(SEARCH("C", 'Dry_Litterbag Placem_Collection'!T56)),"YES","NO")</f>
        <v>NO</v>
      </c>
      <c r="Z129" s="255" t="str">
        <f>IF(ISNUMBER(SEARCH("H", 'Dry_Litterbag Placem_Collection'!T56)),"YES","NO")</f>
        <v>NO</v>
      </c>
      <c r="AA129" s="255" t="str">
        <f>IF(ISNUMBER(SEARCH("R", 'Dry_Litterbag Placem_Collection'!T56)),"YES","NO")</f>
        <v>NO</v>
      </c>
      <c r="AB129" s="255" t="str">
        <f>IF(ISNUMBER(SEARCH("C", 'Dry_Litterbag Placem_Collection'!S56)),"YES","NO")</f>
        <v>NO</v>
      </c>
      <c r="AC129" s="255" t="str">
        <f>IF(ISNUMBER(SEARCH("H", 'Dry_Litterbag Placem_Collection'!S56)),"YES","NO")</f>
        <v>NO</v>
      </c>
      <c r="AD129" s="255" t="str">
        <f>IF(ISNUMBER(SEARCH("R", 'Dry_Litterbag Placem_Collection'!S56)),"YES","NO")</f>
        <v>NO</v>
      </c>
    </row>
    <row r="130" spans="2:30">
      <c r="B130" t="str">
        <f>'Final data_for_R_analysis_Dryse'!A56</f>
        <v>Dry</v>
      </c>
      <c r="C130" s="263">
        <f>'Final data_for_R_analysis_Dryse'!B56</f>
        <v>55</v>
      </c>
      <c r="D130" t="s">
        <v>3834</v>
      </c>
      <c r="E130" t="s">
        <v>22</v>
      </c>
      <c r="F130" s="387">
        <v>7</v>
      </c>
      <c r="G130" s="16">
        <f>'Dry_Litterbag Placem_Collection'!E57</f>
        <v>42938</v>
      </c>
      <c r="H130" t="str">
        <f>'Final data_for_R_analysis_Dryse'!J56</f>
        <v>G86</v>
      </c>
      <c r="I130" t="str">
        <f>'Final data_for_R_analysis_Dryse'!J276</f>
        <v>R839</v>
      </c>
      <c r="J130">
        <f>IFERROR(INDEX('Green_rooibos initial weight'!$C$5:$C$1749,MATCH(H130, 'Green_rooibos initial weight'!$A$5:$A$1749,0)),"")</f>
        <v>2.1030000000000002</v>
      </c>
      <c r="K130">
        <f>IFERROR(INDEX('Green_rooibos initial weight'!$C$5:$C$1749,MATCH(I130, 'Green_rooibos initial weight'!$A$5:$A$1749,0)),"")</f>
        <v>2.2269999999999999</v>
      </c>
      <c r="L130" s="195">
        <f t="shared" si="3"/>
        <v>1.8532000000000002</v>
      </c>
      <c r="M130" s="195">
        <f t="shared" si="4"/>
        <v>1.9771999999999998</v>
      </c>
      <c r="N130" s="16">
        <f>IF('Dry_Litterbag Placem_Collection'!G57="N.A","",'Dry_Litterbag Placem_Collection'!G57)</f>
        <v>43005</v>
      </c>
      <c r="O130" s="195">
        <f>IF(IFERROR(INDEX('Both teabags AfterDry'!$D$1:$D$839,MATCH(H130,'Both teabags AfterDry'!$A$1:$A$839,0)),"")="N.A","",(IFERROR(INDEX('Both teabags AfterDry'!$D$1:$D$839,MATCH(H130,'Both teabags AfterDry'!$A$1:$A$839,0)),"")))</f>
        <v>1.8914</v>
      </c>
      <c r="P130" s="195">
        <f>IF(IFERROR(INDEX('Both teabags AfterDry'!$D$1:$D$839,MATCH(I130,'Both teabags AfterDry'!$A$1:$A$839,0)),"")="N.A","",(IFERROR(INDEX('Both teabags AfterDry'!$D$1:$D$839,MATCH(I130,'Both teabags AfterDry'!$A$1:$A$839,0)),"")))</f>
        <v>1.9775</v>
      </c>
      <c r="Q130" s="195">
        <f t="shared" si="5"/>
        <v>1.7407999999999999</v>
      </c>
      <c r="R130" s="195">
        <f t="shared" si="5"/>
        <v>1.8269</v>
      </c>
      <c r="S130" s="195">
        <f t="shared" si="0"/>
        <v>6.0651845456507814E-2</v>
      </c>
      <c r="T130" s="195">
        <f t="shared" si="6"/>
        <v>3.976225497861318E-2</v>
      </c>
      <c r="U130" s="195">
        <f t="shared" si="1"/>
        <v>0.92398341088407854</v>
      </c>
      <c r="V130">
        <f t="shared" si="2"/>
        <v>67</v>
      </c>
      <c r="W130" s="195">
        <f t="shared" si="7"/>
        <v>0.92796692938657033</v>
      </c>
      <c r="X130" s="195" t="str">
        <f t="shared" si="8"/>
        <v/>
      </c>
      <c r="Y130" s="255" t="str">
        <f>IF(ISNUMBER(SEARCH("C", 'Dry_Litterbag Placem_Collection'!T57)),"YES","NO")</f>
        <v>YES</v>
      </c>
      <c r="Z130" s="255" t="str">
        <f>IF(ISNUMBER(SEARCH("H", 'Dry_Litterbag Placem_Collection'!T57)),"YES","NO")</f>
        <v>YES</v>
      </c>
      <c r="AA130" s="255" t="str">
        <f>IF(ISNUMBER(SEARCH("R", 'Dry_Litterbag Placem_Collection'!T57)),"YES","NO")</f>
        <v>NO</v>
      </c>
      <c r="AB130" s="255" t="str">
        <f>IF(ISNUMBER(SEARCH("C", 'Dry_Litterbag Placem_Collection'!S57)),"YES","NO")</f>
        <v>YES</v>
      </c>
      <c r="AC130" s="255" t="str">
        <f>IF(ISNUMBER(SEARCH("H", 'Dry_Litterbag Placem_Collection'!S57)),"YES","NO")</f>
        <v>YES</v>
      </c>
      <c r="AD130" s="255" t="str">
        <f>IF(ISNUMBER(SEARCH("R", 'Dry_Litterbag Placem_Collection'!S57)),"YES","NO")</f>
        <v>NO</v>
      </c>
    </row>
    <row r="131" spans="2:30">
      <c r="B131" t="str">
        <f>'Final data_for_R_analysis_Dryse'!A57</f>
        <v>Dry</v>
      </c>
      <c r="C131" s="263">
        <f>'Final data_for_R_analysis_Dryse'!B57</f>
        <v>56</v>
      </c>
      <c r="D131" t="s">
        <v>3834</v>
      </c>
      <c r="E131" t="s">
        <v>22</v>
      </c>
      <c r="F131" s="387">
        <v>8</v>
      </c>
      <c r="G131" s="16">
        <f>'Dry_Litterbag Placem_Collection'!E58</f>
        <v>42938</v>
      </c>
      <c r="H131" t="str">
        <f>'Final data_for_R_analysis_Dryse'!J57</f>
        <v>G107</v>
      </c>
      <c r="I131" t="str">
        <f>'Final data_for_R_analysis_Dryse'!J277</f>
        <v>R760</v>
      </c>
      <c r="J131">
        <f>IFERROR(INDEX('Green_rooibos initial weight'!$C$5:$C$1749,MATCH(H131, 'Green_rooibos initial weight'!$A$5:$A$1749,0)),"")</f>
        <v>2.1749999999999998</v>
      </c>
      <c r="K131">
        <f>IFERROR(INDEX('Green_rooibos initial weight'!$C$5:$C$1749,MATCH(I131, 'Green_rooibos initial weight'!$A$5:$A$1749,0)),"")</f>
        <v>2.2320000000000002</v>
      </c>
      <c r="L131" s="195">
        <f t="shared" si="3"/>
        <v>1.9251999999999998</v>
      </c>
      <c r="M131" s="195">
        <f t="shared" si="4"/>
        <v>1.9822000000000002</v>
      </c>
      <c r="N131" s="16">
        <f>IF('Dry_Litterbag Placem_Collection'!G58="N.A","",'Dry_Litterbag Placem_Collection'!G58)</f>
        <v>43005</v>
      </c>
      <c r="O131" s="195">
        <f>IF(IFERROR(INDEX('Both teabags AfterDry'!$D$1:$D$839,MATCH(H131,'Both teabags AfterDry'!$A$1:$A$839,0)),"")="N.A","",(IFERROR(INDEX('Both teabags AfterDry'!$D$1:$D$839,MATCH(H131,'Both teabags AfterDry'!$A$1:$A$839,0)),"")))</f>
        <v>2.0276000000000001</v>
      </c>
      <c r="P131" s="195">
        <f>IF(IFERROR(INDEX('Both teabags AfterDry'!$D$1:$D$839,MATCH(I131,'Both teabags AfterDry'!$A$1:$A$839,0)),"")="N.A","",(IFERROR(INDEX('Both teabags AfterDry'!$D$1:$D$839,MATCH(I131,'Both teabags AfterDry'!$A$1:$A$839,0)),"")))</f>
        <v>1.9821</v>
      </c>
      <c r="Q131" s="195">
        <f t="shared" si="5"/>
        <v>1.877</v>
      </c>
      <c r="R131" s="195">
        <f t="shared" si="5"/>
        <v>1.8314999999999999</v>
      </c>
      <c r="S131" s="195">
        <f t="shared" si="0"/>
        <v>2.5036359858715884E-2</v>
      </c>
      <c r="T131" s="195">
        <f t="shared" si="6"/>
        <v>1.641338556058336E-2</v>
      </c>
      <c r="U131" s="195">
        <f t="shared" si="1"/>
        <v>0.92397336293007759</v>
      </c>
      <c r="V131">
        <f t="shared" si="2"/>
        <v>67</v>
      </c>
      <c r="W131" s="195">
        <f t="shared" si="7"/>
        <v>0.97026560586850841</v>
      </c>
      <c r="X131" s="195" t="str">
        <f t="shared" si="8"/>
        <v/>
      </c>
      <c r="Y131" s="255" t="str">
        <f>IF(ISNUMBER(SEARCH("C", 'Dry_Litterbag Placem_Collection'!T58)),"YES","NO")</f>
        <v>NO</v>
      </c>
      <c r="Z131" s="255" t="str">
        <f>IF(ISNUMBER(SEARCH("H", 'Dry_Litterbag Placem_Collection'!T58)),"YES","NO")</f>
        <v>NO</v>
      </c>
      <c r="AA131" s="255" t="str">
        <f>IF(ISNUMBER(SEARCH("R", 'Dry_Litterbag Placem_Collection'!T58)),"YES","NO")</f>
        <v>NO</v>
      </c>
      <c r="AB131" s="255" t="str">
        <f>IF(ISNUMBER(SEARCH("C", 'Dry_Litterbag Placem_Collection'!S58)),"YES","NO")</f>
        <v>NO</v>
      </c>
      <c r="AC131" s="255" t="str">
        <f>IF(ISNUMBER(SEARCH("H", 'Dry_Litterbag Placem_Collection'!S58)),"YES","NO")</f>
        <v>NO</v>
      </c>
      <c r="AD131" s="255" t="str">
        <f>IF(ISNUMBER(SEARCH("R", 'Dry_Litterbag Placem_Collection'!S58)),"YES","NO")</f>
        <v>NO</v>
      </c>
    </row>
    <row r="132" spans="2:30">
      <c r="B132" t="str">
        <f>'Final data_for_R_analysis_Dryse'!A58</f>
        <v>Dry</v>
      </c>
      <c r="C132" s="263">
        <f>'Final data_for_R_analysis_Dryse'!B58</f>
        <v>57</v>
      </c>
      <c r="D132" t="s">
        <v>3835</v>
      </c>
      <c r="E132" t="s">
        <v>22</v>
      </c>
      <c r="F132" s="386">
        <v>1</v>
      </c>
      <c r="G132" s="16">
        <f>'Dry_Litterbag Placem_Collection'!E59</f>
        <v>42938</v>
      </c>
      <c r="H132" t="str">
        <f>'Final data_for_R_analysis_Dryse'!J58</f>
        <v>G41</v>
      </c>
      <c r="I132" t="str">
        <f>'Final data_for_R_analysis_Dryse'!J278</f>
        <v>R830</v>
      </c>
      <c r="J132">
        <f>IFERROR(INDEX('Green_rooibos initial weight'!$C$5:$C$1749,MATCH(H132, 'Green_rooibos initial weight'!$A$5:$A$1749,0)),"")</f>
        <v>1.9850000000000001</v>
      </c>
      <c r="K132">
        <f>IFERROR(INDEX('Green_rooibos initial weight'!$C$5:$C$1749,MATCH(I132, 'Green_rooibos initial weight'!$A$5:$A$1749,0)),"")</f>
        <v>2.2160000000000002</v>
      </c>
      <c r="L132" s="195">
        <f t="shared" si="3"/>
        <v>1.7352000000000001</v>
      </c>
      <c r="M132" s="195">
        <f t="shared" si="4"/>
        <v>1.9662000000000002</v>
      </c>
      <c r="N132" s="16">
        <f>IF('Dry_Litterbag Placem_Collection'!G59="N.A","",'Dry_Litterbag Placem_Collection'!G59)</f>
        <v>43005</v>
      </c>
      <c r="O132" s="195">
        <f>IF(IFERROR(INDEX('Both teabags AfterDry'!$D$1:$D$839,MATCH(H132,'Both teabags AfterDry'!$A$1:$A$839,0)),"")="N.A","",(IFERROR(INDEX('Both teabags AfterDry'!$D$1:$D$839,MATCH(H132,'Both teabags AfterDry'!$A$1:$A$839,0)),"")))</f>
        <v>1.7847</v>
      </c>
      <c r="P132" s="195">
        <f>IF(IFERROR(INDEX('Both teabags AfterDry'!$D$1:$D$839,MATCH(I132,'Both teabags AfterDry'!$A$1:$A$839,0)),"")="N.A","",(IFERROR(INDEX('Both teabags AfterDry'!$D$1:$D$839,MATCH(I132,'Both teabags AfterDry'!$A$1:$A$839,0)),"")))</f>
        <v>1.9719</v>
      </c>
      <c r="Q132" s="195">
        <f t="shared" si="5"/>
        <v>1.6340999999999999</v>
      </c>
      <c r="R132" s="195">
        <f t="shared" si="5"/>
        <v>1.8212999999999999</v>
      </c>
      <c r="S132" s="195">
        <f t="shared" si="0"/>
        <v>5.8264177040110776E-2</v>
      </c>
      <c r="T132" s="195">
        <f t="shared" si="6"/>
        <v>3.8196942667626056E-2</v>
      </c>
      <c r="U132" s="195">
        <f t="shared" si="1"/>
        <v>0.92630454684162333</v>
      </c>
      <c r="V132">
        <f t="shared" si="2"/>
        <v>67</v>
      </c>
      <c r="W132" s="195">
        <f t="shared" si="7"/>
        <v>0.93080264009488034</v>
      </c>
      <c r="X132" s="195" t="str">
        <f t="shared" si="8"/>
        <v/>
      </c>
      <c r="Y132" s="255" t="str">
        <f>IF(ISNUMBER(SEARCH("C", 'Dry_Litterbag Placem_Collection'!T59)),"YES","NO")</f>
        <v>NO</v>
      </c>
      <c r="Z132" s="255" t="str">
        <f>IF(ISNUMBER(SEARCH("H", 'Dry_Litterbag Placem_Collection'!T59)),"YES","NO")</f>
        <v>NO</v>
      </c>
      <c r="AA132" s="255" t="str">
        <f>IF(ISNUMBER(SEARCH("R", 'Dry_Litterbag Placem_Collection'!T59)),"YES","NO")</f>
        <v>NO</v>
      </c>
      <c r="AB132" s="255" t="str">
        <f>IF(ISNUMBER(SEARCH("C", 'Dry_Litterbag Placem_Collection'!S59)),"YES","NO")</f>
        <v>NO</v>
      </c>
      <c r="AC132" s="255" t="str">
        <f>IF(ISNUMBER(SEARCH("H", 'Dry_Litterbag Placem_Collection'!S59)),"YES","NO")</f>
        <v>NO</v>
      </c>
      <c r="AD132" s="255" t="str">
        <f>IF(ISNUMBER(SEARCH("R", 'Dry_Litterbag Placem_Collection'!S59)),"YES","NO")</f>
        <v>NO</v>
      </c>
    </row>
    <row r="133" spans="2:30">
      <c r="B133" t="str">
        <f>'Final data_for_R_analysis_Dryse'!A59</f>
        <v>Dry</v>
      </c>
      <c r="C133" s="263">
        <f>'Final data_for_R_analysis_Dryse'!B59</f>
        <v>58</v>
      </c>
      <c r="D133" t="s">
        <v>3835</v>
      </c>
      <c r="E133" t="s">
        <v>22</v>
      </c>
      <c r="F133" s="386">
        <v>2</v>
      </c>
      <c r="G133" s="16">
        <f>'Dry_Litterbag Placem_Collection'!E60</f>
        <v>42938</v>
      </c>
      <c r="H133" t="str">
        <f>'Final data_for_R_analysis_Dryse'!J59</f>
        <v>G481</v>
      </c>
      <c r="I133" t="str">
        <f>'Final data_for_R_analysis_Dryse'!J279</f>
        <v>R725</v>
      </c>
      <c r="J133">
        <f>IFERROR(INDEX('Green_rooibos initial weight'!$C$5:$C$1749,MATCH(H133, 'Green_rooibos initial weight'!$A$5:$A$1749,0)),"")</f>
        <v>2.0529999999999999</v>
      </c>
      <c r="K133">
        <f>IFERROR(INDEX('Green_rooibos initial weight'!$C$5:$C$1749,MATCH(I133, 'Green_rooibos initial weight'!$A$5:$A$1749,0)),"")</f>
        <v>2.1930000000000001</v>
      </c>
      <c r="L133" s="195">
        <f t="shared" si="3"/>
        <v>1.8031999999999999</v>
      </c>
      <c r="M133" s="195">
        <f t="shared" si="4"/>
        <v>1.9432</v>
      </c>
      <c r="N133" s="16">
        <f>IF('Dry_Litterbag Placem_Collection'!G60="N.A","",'Dry_Litterbag Placem_Collection'!G60)</f>
        <v>43005</v>
      </c>
      <c r="O133" s="195">
        <f>IF(IFERROR(INDEX('Both teabags AfterDry'!$D$1:$D$839,MATCH(H133,'Both teabags AfterDry'!$A$1:$A$839,0)),"")="N.A","",(IFERROR(INDEX('Both teabags AfterDry'!$D$1:$D$839,MATCH(H133,'Both teabags AfterDry'!$A$1:$A$839,0)),"")))</f>
        <v>1.7612000000000001</v>
      </c>
      <c r="P133" s="195">
        <f>IF(IFERROR(INDEX('Both teabags AfterDry'!$D$1:$D$839,MATCH(I133,'Both teabags AfterDry'!$A$1:$A$839,0)),"")="N.A","",(IFERROR(INDEX('Both teabags AfterDry'!$D$1:$D$839,MATCH(I133,'Both teabags AfterDry'!$A$1:$A$839,0)),"")))</f>
        <v>0.71450000000000002</v>
      </c>
      <c r="Q133" s="195">
        <f t="shared" si="5"/>
        <v>1.6106</v>
      </c>
      <c r="R133" s="195">
        <f t="shared" si="5"/>
        <v>0.56390000000000007</v>
      </c>
      <c r="S133" s="195">
        <f t="shared" si="0"/>
        <v>0.10681011535048801</v>
      </c>
      <c r="T133" s="195">
        <f t="shared" si="6"/>
        <v>7.0022783460177443E-2</v>
      </c>
      <c r="U133" s="195">
        <f t="shared" si="1"/>
        <v>0.29019143680526971</v>
      </c>
      <c r="V133">
        <f t="shared" si="2"/>
        <v>67</v>
      </c>
      <c r="W133" s="195">
        <f t="shared" si="7"/>
        <v>0.87314713141272204</v>
      </c>
      <c r="X133" s="195" t="str">
        <f t="shared" si="8"/>
        <v/>
      </c>
      <c r="Y133" s="255" t="str">
        <f>IF(ISNUMBER(SEARCH("C", 'Dry_Litterbag Placem_Collection'!T60)),"YES","NO")</f>
        <v>NO</v>
      </c>
      <c r="Z133" s="255" t="str">
        <f>IF(ISNUMBER(SEARCH("H", 'Dry_Litterbag Placem_Collection'!T60)),"YES","NO")</f>
        <v>YES</v>
      </c>
      <c r="AA133" s="255" t="str">
        <f>IF(ISNUMBER(SEARCH("R", 'Dry_Litterbag Placem_Collection'!T60)),"YES","NO")</f>
        <v>NO</v>
      </c>
      <c r="AB133" s="255" t="str">
        <f>IF(ISNUMBER(SEARCH("C", 'Dry_Litterbag Placem_Collection'!S60)),"YES","NO")</f>
        <v>NO</v>
      </c>
      <c r="AC133" s="255" t="str">
        <f>IF(ISNUMBER(SEARCH("H", 'Dry_Litterbag Placem_Collection'!S60)),"YES","NO")</f>
        <v>YES</v>
      </c>
      <c r="AD133" s="255" t="str">
        <f>IF(ISNUMBER(SEARCH("R", 'Dry_Litterbag Placem_Collection'!S60)),"YES","NO")</f>
        <v>NO</v>
      </c>
    </row>
    <row r="134" spans="2:30">
      <c r="B134" t="str">
        <f>'Final data_for_R_analysis_Dryse'!A60</f>
        <v>Dry</v>
      </c>
      <c r="C134" s="263">
        <f>'Final data_for_R_analysis_Dryse'!B60</f>
        <v>59</v>
      </c>
      <c r="D134" t="s">
        <v>3835</v>
      </c>
      <c r="E134" t="s">
        <v>22</v>
      </c>
      <c r="F134" s="386">
        <v>3</v>
      </c>
      <c r="G134" s="16">
        <f>'Dry_Litterbag Placem_Collection'!E61</f>
        <v>42938</v>
      </c>
      <c r="H134" t="str">
        <f>'Final data_for_R_analysis_Dryse'!J60</f>
        <v>G261</v>
      </c>
      <c r="I134" t="str">
        <f>'Final data_for_R_analysis_Dryse'!J280</f>
        <v>R721</v>
      </c>
      <c r="J134">
        <f>IFERROR(INDEX('Green_rooibos initial weight'!$C$5:$C$1749,MATCH(H134, 'Green_rooibos initial weight'!$A$5:$A$1749,0)),"")</f>
        <v>1.9850000000000001</v>
      </c>
      <c r="K134">
        <f>IFERROR(INDEX('Green_rooibos initial weight'!$C$5:$C$1749,MATCH(I134, 'Green_rooibos initial weight'!$A$5:$A$1749,0)),"")</f>
        <v>2.2229999999999999</v>
      </c>
      <c r="L134" s="195">
        <f t="shared" si="3"/>
        <v>1.7352000000000001</v>
      </c>
      <c r="M134" s="195">
        <f t="shared" si="4"/>
        <v>1.9731999999999998</v>
      </c>
      <c r="N134" s="16">
        <f>IF('Dry_Litterbag Placem_Collection'!G61="N.A","",'Dry_Litterbag Placem_Collection'!G61)</f>
        <v>43005</v>
      </c>
      <c r="O134" s="195">
        <f>IF(IFERROR(INDEX('Both teabags AfterDry'!$D$1:$D$839,MATCH(H134,'Both teabags AfterDry'!$A$1:$A$839,0)),"")="N.A","",(IFERROR(INDEX('Both teabags AfterDry'!$D$1:$D$839,MATCH(H134,'Both teabags AfterDry'!$A$1:$A$839,0)),"")))</f>
        <v>1.8041</v>
      </c>
      <c r="P134" s="195">
        <f>IF(IFERROR(INDEX('Both teabags AfterDry'!$D$1:$D$839,MATCH(I134,'Both teabags AfterDry'!$A$1:$A$839,0)),"")="N.A","",(IFERROR(INDEX('Both teabags AfterDry'!$D$1:$D$839,MATCH(I134,'Both teabags AfterDry'!$A$1:$A$839,0)),"")))</f>
        <v>1.9549000000000001</v>
      </c>
      <c r="Q134" s="195">
        <f t="shared" si="5"/>
        <v>1.6535</v>
      </c>
      <c r="R134" s="195">
        <f t="shared" si="5"/>
        <v>1.8043</v>
      </c>
      <c r="S134" s="195">
        <f t="shared" si="0"/>
        <v>4.708390963577691E-2</v>
      </c>
      <c r="T134" s="195">
        <f t="shared" si="6"/>
        <v>3.0867361186400082E-2</v>
      </c>
      <c r="U134" s="195">
        <f t="shared" si="1"/>
        <v>0.91440300020271648</v>
      </c>
      <c r="V134">
        <f t="shared" si="2"/>
        <v>67</v>
      </c>
      <c r="W134" s="195">
        <f t="shared" si="7"/>
        <v>0.94408086741594188</v>
      </c>
      <c r="X134" s="195" t="str">
        <f t="shared" si="8"/>
        <v/>
      </c>
      <c r="Y134" s="255" t="str">
        <f>IF(ISNUMBER(SEARCH("C", 'Dry_Litterbag Placem_Collection'!T61)),"YES","NO")</f>
        <v>NO</v>
      </c>
      <c r="Z134" s="255" t="str">
        <f>IF(ISNUMBER(SEARCH("H", 'Dry_Litterbag Placem_Collection'!T61)),"YES","NO")</f>
        <v>NO</v>
      </c>
      <c r="AA134" s="255" t="str">
        <f>IF(ISNUMBER(SEARCH("R", 'Dry_Litterbag Placem_Collection'!T61)),"YES","NO")</f>
        <v>NO</v>
      </c>
      <c r="AB134" s="255" t="str">
        <f>IF(ISNUMBER(SEARCH("C", 'Dry_Litterbag Placem_Collection'!S61)),"YES","NO")</f>
        <v>NO</v>
      </c>
      <c r="AC134" s="255" t="str">
        <f>IF(ISNUMBER(SEARCH("H", 'Dry_Litterbag Placem_Collection'!S61)),"YES","NO")</f>
        <v>NO</v>
      </c>
      <c r="AD134" s="255" t="str">
        <f>IF(ISNUMBER(SEARCH("R", 'Dry_Litterbag Placem_Collection'!S61)),"YES","NO")</f>
        <v>NO</v>
      </c>
    </row>
    <row r="135" spans="2:30">
      <c r="B135" t="str">
        <f>'Final data_for_R_analysis_Dryse'!A61</f>
        <v>Dry</v>
      </c>
      <c r="C135" s="263">
        <f>'Final data_for_R_analysis_Dryse'!B61</f>
        <v>60</v>
      </c>
      <c r="D135" t="s">
        <v>3835</v>
      </c>
      <c r="E135" t="s">
        <v>22</v>
      </c>
      <c r="F135" s="387">
        <v>4</v>
      </c>
      <c r="G135" s="16">
        <f>'Dry_Litterbag Placem_Collection'!E62</f>
        <v>42938</v>
      </c>
      <c r="H135" t="str">
        <f>'Final data_for_R_analysis_Dryse'!J61</f>
        <v>G152</v>
      </c>
      <c r="I135" t="str">
        <f>'Final data_for_R_analysis_Dryse'!J281</f>
        <v>R763</v>
      </c>
      <c r="J135">
        <f>IFERROR(INDEX('Green_rooibos initial weight'!$C$5:$C$1749,MATCH(H135, 'Green_rooibos initial weight'!$A$5:$A$1749,0)),"")</f>
        <v>2.0489999999999999</v>
      </c>
      <c r="K135">
        <f>IFERROR(INDEX('Green_rooibos initial weight'!$C$5:$C$1749,MATCH(I135, 'Green_rooibos initial weight'!$A$5:$A$1749,0)),"")</f>
        <v>2.2589999999999999</v>
      </c>
      <c r="L135" s="195">
        <f t="shared" si="3"/>
        <v>1.7991999999999999</v>
      </c>
      <c r="M135" s="195">
        <f t="shared" si="4"/>
        <v>2.0091999999999999</v>
      </c>
      <c r="N135" s="16">
        <f>IF('Dry_Litterbag Placem_Collection'!G62="N.A","",'Dry_Litterbag Placem_Collection'!G62)</f>
        <v>43005</v>
      </c>
      <c r="O135" s="195">
        <f>IF(IFERROR(INDEX('Both teabags AfterDry'!$D$1:$D$839,MATCH(H135,'Both teabags AfterDry'!$A$1:$A$839,0)),"")="N.A","",(IFERROR(INDEX('Both teabags AfterDry'!$D$1:$D$839,MATCH(H135,'Both teabags AfterDry'!$A$1:$A$839,0)),"")))</f>
        <v>1.8697999999999999</v>
      </c>
      <c r="P135" s="195">
        <f>IF(IFERROR(INDEX('Both teabags AfterDry'!$D$1:$D$839,MATCH(I135,'Both teabags AfterDry'!$A$1:$A$839,0)),"")="N.A","",(IFERROR(INDEX('Both teabags AfterDry'!$D$1:$D$839,MATCH(I135,'Both teabags AfterDry'!$A$1:$A$839,0)),"")))</f>
        <v>1.9797</v>
      </c>
      <c r="Q135" s="195">
        <f t="shared" si="5"/>
        <v>1.7191999999999998</v>
      </c>
      <c r="R135" s="195">
        <f t="shared" si="5"/>
        <v>1.8290999999999999</v>
      </c>
      <c r="S135" s="195">
        <f t="shared" si="0"/>
        <v>4.4464206313917343E-2</v>
      </c>
      <c r="T135" s="195">
        <f t="shared" si="6"/>
        <v>2.9149930980145344E-2</v>
      </c>
      <c r="U135" s="195">
        <f t="shared" si="1"/>
        <v>0.91036233326697191</v>
      </c>
      <c r="V135">
        <f t="shared" si="2"/>
        <v>67</v>
      </c>
      <c r="W135" s="195">
        <f t="shared" si="7"/>
        <v>0.94719215402147583</v>
      </c>
      <c r="X135" s="195" t="str">
        <f t="shared" si="8"/>
        <v/>
      </c>
      <c r="Y135" s="255" t="str">
        <f>IF(ISNUMBER(SEARCH("C", 'Dry_Litterbag Placem_Collection'!T62)),"YES","NO")</f>
        <v>NO</v>
      </c>
      <c r="Z135" s="255" t="str">
        <f>IF(ISNUMBER(SEARCH("H", 'Dry_Litterbag Placem_Collection'!T62)),"YES","NO")</f>
        <v>NO</v>
      </c>
      <c r="AA135" s="255" t="str">
        <f>IF(ISNUMBER(SEARCH("R", 'Dry_Litterbag Placem_Collection'!T62)),"YES","NO")</f>
        <v>NO</v>
      </c>
      <c r="AB135" s="255" t="str">
        <f>IF(ISNUMBER(SEARCH("C", 'Dry_Litterbag Placem_Collection'!S62)),"YES","NO")</f>
        <v>NO</v>
      </c>
      <c r="AC135" s="255" t="str">
        <f>IF(ISNUMBER(SEARCH("H", 'Dry_Litterbag Placem_Collection'!S62)),"YES","NO")</f>
        <v>NO</v>
      </c>
      <c r="AD135" s="255" t="str">
        <f>IF(ISNUMBER(SEARCH("R", 'Dry_Litterbag Placem_Collection'!S62)),"YES","NO")</f>
        <v>NO</v>
      </c>
    </row>
    <row r="136" spans="2:30">
      <c r="B136" t="str">
        <f>'Final data_for_R_analysis_Dryse'!A62</f>
        <v>Dry</v>
      </c>
      <c r="C136" s="263">
        <f>'Final data_for_R_analysis_Dryse'!B62</f>
        <v>61</v>
      </c>
      <c r="D136" t="s">
        <v>3835</v>
      </c>
      <c r="E136" t="s">
        <v>22</v>
      </c>
      <c r="F136" s="387">
        <v>5</v>
      </c>
      <c r="G136" s="16">
        <f>'Dry_Litterbag Placem_Collection'!E63</f>
        <v>42938</v>
      </c>
      <c r="H136" t="str">
        <f>'Final data_for_R_analysis_Dryse'!J62</f>
        <v>G191</v>
      </c>
      <c r="I136" t="str">
        <f>'Final data_for_R_analysis_Dryse'!J282</f>
        <v>R775</v>
      </c>
      <c r="J136">
        <f>IFERROR(INDEX('Green_rooibos initial weight'!$C$5:$C$1749,MATCH(H136, 'Green_rooibos initial weight'!$A$5:$A$1749,0)),"")</f>
        <v>2.0590000000000002</v>
      </c>
      <c r="K136">
        <f>IFERROR(INDEX('Green_rooibos initial weight'!$C$5:$C$1749,MATCH(I136, 'Green_rooibos initial weight'!$A$5:$A$1749,0)),"")</f>
        <v>2.2290000000000001</v>
      </c>
      <c r="L136" s="195">
        <f t="shared" si="3"/>
        <v>1.8092000000000001</v>
      </c>
      <c r="M136" s="195">
        <f t="shared" si="4"/>
        <v>1.9792000000000001</v>
      </c>
      <c r="N136" s="16">
        <f>IF('Dry_Litterbag Placem_Collection'!G63="N.A","",'Dry_Litterbag Placem_Collection'!G63)</f>
        <v>43005</v>
      </c>
      <c r="O136" s="195" t="str">
        <f>IF(IFERROR(INDEX('Both teabags AfterDry'!$D$1:$D$839,MATCH(H136,'Both teabags AfterDry'!$A$1:$A$839,0)),"")="N.A","",(IFERROR(INDEX('Both teabags AfterDry'!$D$1:$D$839,MATCH(H136,'Both teabags AfterDry'!$A$1:$A$839,0)),"")))</f>
        <v/>
      </c>
      <c r="P136" s="195" t="str">
        <f>IF(IFERROR(INDEX('Both teabags AfterDry'!$D$1:$D$839,MATCH(I136,'Both teabags AfterDry'!$A$1:$A$839,0)),"")="N.A","",(IFERROR(INDEX('Both teabags AfterDry'!$D$1:$D$839,MATCH(I136,'Both teabags AfterDry'!$A$1:$A$839,0)),"")))</f>
        <v/>
      </c>
      <c r="Q136" s="195" t="str">
        <f t="shared" si="5"/>
        <v/>
      </c>
      <c r="R136" s="195" t="str">
        <f t="shared" si="5"/>
        <v/>
      </c>
      <c r="S136" s="195" t="str">
        <f t="shared" si="0"/>
        <v/>
      </c>
      <c r="T136" s="195" t="str">
        <f t="shared" si="6"/>
        <v/>
      </c>
      <c r="U136" s="195" t="str">
        <f t="shared" si="1"/>
        <v/>
      </c>
      <c r="V136">
        <f t="shared" si="2"/>
        <v>67</v>
      </c>
      <c r="W136" s="195" t="str">
        <f t="shared" si="7"/>
        <v/>
      </c>
      <c r="X136" s="195" t="str">
        <f t="shared" si="8"/>
        <v/>
      </c>
      <c r="Y136" s="255" t="str">
        <f>IF(ISNUMBER(SEARCH("C", 'Dry_Litterbag Placem_Collection'!T63)),"YES","NO")</f>
        <v>NO</v>
      </c>
      <c r="Z136" s="255" t="str">
        <f>IF(ISNUMBER(SEARCH("H", 'Dry_Litterbag Placem_Collection'!T63)),"YES","NO")</f>
        <v>NO</v>
      </c>
      <c r="AA136" s="255" t="str">
        <f>IF(ISNUMBER(SEARCH("R", 'Dry_Litterbag Placem_Collection'!T63)),"YES","NO")</f>
        <v>NO</v>
      </c>
      <c r="AB136" s="255" t="str">
        <f>IF(ISNUMBER(SEARCH("C", 'Dry_Litterbag Placem_Collection'!S63)),"YES","NO")</f>
        <v>NO</v>
      </c>
      <c r="AC136" s="255" t="str">
        <f>IF(ISNUMBER(SEARCH("H", 'Dry_Litterbag Placem_Collection'!S63)),"YES","NO")</f>
        <v>NO</v>
      </c>
      <c r="AD136" s="255" t="str">
        <f>IF(ISNUMBER(SEARCH("R", 'Dry_Litterbag Placem_Collection'!S63)),"YES","NO")</f>
        <v>NO</v>
      </c>
    </row>
    <row r="137" spans="2:30">
      <c r="B137" t="str">
        <f>'Final data_for_R_analysis_Dryse'!A63</f>
        <v>Dry</v>
      </c>
      <c r="C137" s="263">
        <f>'Final data_for_R_analysis_Dryse'!B63</f>
        <v>62</v>
      </c>
      <c r="D137" t="s">
        <v>3835</v>
      </c>
      <c r="E137" t="s">
        <v>22</v>
      </c>
      <c r="F137" s="387">
        <v>6</v>
      </c>
      <c r="G137" s="390">
        <f>'Dry_Litterbag Placem_Collection'!E64</f>
        <v>0</v>
      </c>
      <c r="H137" t="str">
        <f>'Final data_for_R_analysis_Dryse'!J63</f>
        <v/>
      </c>
      <c r="I137" t="str">
        <f>'Final data_for_R_analysis_Dryse'!J283</f>
        <v/>
      </c>
      <c r="J137" t="str">
        <f>IFERROR(INDEX('Green_rooibos initial weight'!$C$5:$C$1749,MATCH(H137, 'Green_rooibos initial weight'!$A$5:$A$1749,0)),"")</f>
        <v/>
      </c>
      <c r="K137" t="str">
        <f>IFERROR(INDEX('Green_rooibos initial weight'!$C$5:$C$1749,MATCH(I137, 'Green_rooibos initial weight'!$A$5:$A$1749,0)),"")</f>
        <v/>
      </c>
      <c r="L137" s="195" t="str">
        <f t="shared" si="3"/>
        <v/>
      </c>
      <c r="M137" s="195" t="str">
        <f t="shared" si="4"/>
        <v/>
      </c>
      <c r="N137" s="16">
        <f>IF('Dry_Litterbag Placem_Collection'!G64="N.A","",'Dry_Litterbag Placem_Collection'!G64)</f>
        <v>0</v>
      </c>
      <c r="O137" s="195" t="str">
        <f>IF(IFERROR(INDEX('Both teabags AfterDry'!$D$1:$D$839,MATCH(H137,'Both teabags AfterDry'!$A$1:$A$839,0)),"")="N.A","",(IFERROR(INDEX('Both teabags AfterDry'!$D$1:$D$839,MATCH(H137,'Both teabags AfterDry'!$A$1:$A$839,0)),"")))</f>
        <v/>
      </c>
      <c r="P137" s="195" t="str">
        <f>IF(IFERROR(INDEX('Both teabags AfterDry'!$D$1:$D$839,MATCH(I137,'Both teabags AfterDry'!$A$1:$A$839,0)),"")="N.A","",(IFERROR(INDEX('Both teabags AfterDry'!$D$1:$D$839,MATCH(I137,'Both teabags AfterDry'!$A$1:$A$839,0)),"")))</f>
        <v/>
      </c>
      <c r="Q137" s="195" t="str">
        <f t="shared" si="5"/>
        <v/>
      </c>
      <c r="R137" s="195" t="str">
        <f t="shared" si="5"/>
        <v/>
      </c>
      <c r="S137" s="195" t="str">
        <f t="shared" si="0"/>
        <v/>
      </c>
      <c r="T137" s="195" t="str">
        <f t="shared" si="6"/>
        <v/>
      </c>
      <c r="U137" s="195" t="str">
        <f t="shared" si="1"/>
        <v/>
      </c>
      <c r="V137" t="str">
        <f t="shared" si="2"/>
        <v/>
      </c>
      <c r="W137" s="195" t="str">
        <f t="shared" si="7"/>
        <v/>
      </c>
      <c r="X137" s="195" t="str">
        <f t="shared" si="8"/>
        <v/>
      </c>
      <c r="Y137" s="255" t="str">
        <f>IF(ISNUMBER(SEARCH("C", 'Dry_Litterbag Placem_Collection'!T64)),"YES","NO")</f>
        <v>NO</v>
      </c>
      <c r="Z137" s="255" t="str">
        <f>IF(ISNUMBER(SEARCH("H", 'Dry_Litterbag Placem_Collection'!T64)),"YES","NO")</f>
        <v>NO</v>
      </c>
      <c r="AA137" s="255" t="str">
        <f>IF(ISNUMBER(SEARCH("R", 'Dry_Litterbag Placem_Collection'!T64)),"YES","NO")</f>
        <v>NO</v>
      </c>
      <c r="AB137" s="255" t="str">
        <f>IF(ISNUMBER(SEARCH("C", 'Dry_Litterbag Placem_Collection'!S64)),"YES","NO")</f>
        <v>NO</v>
      </c>
      <c r="AC137" s="255" t="str">
        <f>IF(ISNUMBER(SEARCH("H", 'Dry_Litterbag Placem_Collection'!S64)),"YES","NO")</f>
        <v>NO</v>
      </c>
      <c r="AD137" s="255" t="str">
        <f>IF(ISNUMBER(SEARCH("R", 'Dry_Litterbag Placem_Collection'!S64)),"YES","NO")</f>
        <v>NO</v>
      </c>
    </row>
    <row r="138" spans="2:30">
      <c r="B138" t="str">
        <f>'Final data_for_R_analysis_Dryse'!A64</f>
        <v>Dry</v>
      </c>
      <c r="C138" s="263">
        <f>'Final data_for_R_analysis_Dryse'!B64</f>
        <v>63</v>
      </c>
      <c r="D138" t="s">
        <v>3835</v>
      </c>
      <c r="E138" t="s">
        <v>22</v>
      </c>
      <c r="F138" s="387">
        <v>7</v>
      </c>
      <c r="G138" s="16">
        <f>'Dry_Litterbag Placem_Collection'!E65</f>
        <v>42938</v>
      </c>
      <c r="H138" t="str">
        <f>'Final data_for_R_analysis_Dryse'!J64</f>
        <v>G49</v>
      </c>
      <c r="I138" t="str">
        <f>'Final data_for_R_analysis_Dryse'!J284</f>
        <v>R733</v>
      </c>
      <c r="J138">
        <f>IFERROR(INDEX('Green_rooibos initial weight'!$C$5:$C$1749,MATCH(H138, 'Green_rooibos initial weight'!$A$5:$A$1749,0)),"")</f>
        <v>2.0859999999999999</v>
      </c>
      <c r="K138">
        <f>IFERROR(INDEX('Green_rooibos initial weight'!$C$5:$C$1749,MATCH(I138, 'Green_rooibos initial weight'!$A$5:$A$1749,0)),"")</f>
        <v>2.181</v>
      </c>
      <c r="L138" s="195">
        <f t="shared" si="3"/>
        <v>1.8361999999999998</v>
      </c>
      <c r="M138" s="195">
        <f t="shared" si="4"/>
        <v>1.9312</v>
      </c>
      <c r="N138" s="16">
        <f>IF('Dry_Litterbag Placem_Collection'!G65="N.A","",'Dry_Litterbag Placem_Collection'!G65)</f>
        <v>43005</v>
      </c>
      <c r="O138" s="195">
        <f>IF(IFERROR(INDEX('Both teabags AfterDry'!$D$1:$D$839,MATCH(H138,'Both teabags AfterDry'!$A$1:$A$839,0)),"")="N.A","",(IFERROR(INDEX('Both teabags AfterDry'!$D$1:$D$839,MATCH(H138,'Both teabags AfterDry'!$A$1:$A$839,0)),"")))</f>
        <v>1.9326000000000001</v>
      </c>
      <c r="P138" s="195">
        <f>IF(IFERROR(INDEX('Both teabags AfterDry'!$D$1:$D$839,MATCH(I138,'Both teabags AfterDry'!$A$1:$A$839,0)),"")="N.A","",(IFERROR(INDEX('Both teabags AfterDry'!$D$1:$D$839,MATCH(I138,'Both teabags AfterDry'!$A$1:$A$839,0)),"")))</f>
        <v>1.9025000000000001</v>
      </c>
      <c r="Q138" s="195">
        <f t="shared" si="5"/>
        <v>1.782</v>
      </c>
      <c r="R138" s="195">
        <f t="shared" si="5"/>
        <v>1.7519</v>
      </c>
      <c r="S138" s="195">
        <f t="shared" si="0"/>
        <v>2.9517481755799935E-2</v>
      </c>
      <c r="T138" s="195">
        <f t="shared" si="6"/>
        <v>1.9351128181949607E-2</v>
      </c>
      <c r="U138" s="195">
        <f t="shared" si="1"/>
        <v>0.90715617232808621</v>
      </c>
      <c r="V138">
        <f t="shared" si="2"/>
        <v>67</v>
      </c>
      <c r="W138" s="195">
        <f t="shared" si="7"/>
        <v>0.96494360836603332</v>
      </c>
      <c r="X138" s="195" t="str">
        <f t="shared" si="8"/>
        <v/>
      </c>
      <c r="Y138" s="255" t="str">
        <f>IF(ISNUMBER(SEARCH("C", 'Dry_Litterbag Placem_Collection'!T65)),"YES","NO")</f>
        <v>NO</v>
      </c>
      <c r="Z138" s="255" t="str">
        <f>IF(ISNUMBER(SEARCH("H", 'Dry_Litterbag Placem_Collection'!T65)),"YES","NO")</f>
        <v>NO</v>
      </c>
      <c r="AA138" s="255" t="str">
        <f>IF(ISNUMBER(SEARCH("R", 'Dry_Litterbag Placem_Collection'!T65)),"YES","NO")</f>
        <v>NO</v>
      </c>
      <c r="AB138" s="255" t="str">
        <f>IF(ISNUMBER(SEARCH("C", 'Dry_Litterbag Placem_Collection'!S65)),"YES","NO")</f>
        <v>NO</v>
      </c>
      <c r="AC138" s="255" t="str">
        <f>IF(ISNUMBER(SEARCH("H", 'Dry_Litterbag Placem_Collection'!S65)),"YES","NO")</f>
        <v>NO</v>
      </c>
      <c r="AD138" s="255" t="str">
        <f>IF(ISNUMBER(SEARCH("R", 'Dry_Litterbag Placem_Collection'!S65)),"YES","NO")</f>
        <v>NO</v>
      </c>
    </row>
    <row r="139" spans="2:30">
      <c r="B139" t="str">
        <f>'Final data_for_R_analysis_Dryse'!A65</f>
        <v>Dry</v>
      </c>
      <c r="C139" s="263">
        <f>'Final data_for_R_analysis_Dryse'!B65</f>
        <v>64</v>
      </c>
      <c r="D139" t="s">
        <v>3835</v>
      </c>
      <c r="E139" t="s">
        <v>22</v>
      </c>
      <c r="F139" s="387">
        <v>8</v>
      </c>
      <c r="G139" s="16">
        <f>'Dry_Litterbag Placem_Collection'!E66</f>
        <v>42938</v>
      </c>
      <c r="H139" t="str">
        <f>'Final data_for_R_analysis_Dryse'!J65</f>
        <v>G347</v>
      </c>
      <c r="I139" t="str">
        <f>'Final data_for_R_analysis_Dryse'!J285</f>
        <v>R765</v>
      </c>
      <c r="J139">
        <f>IFERROR(INDEX('Green_rooibos initial weight'!$C$5:$C$1749,MATCH(H139, 'Green_rooibos initial weight'!$A$5:$A$1749,0)),"")</f>
        <v>1.8919999999999999</v>
      </c>
      <c r="K139">
        <f>IFERROR(INDEX('Green_rooibos initial weight'!$C$5:$C$1749,MATCH(I139, 'Green_rooibos initial weight'!$A$5:$A$1749,0)),"")</f>
        <v>2.2400000000000002</v>
      </c>
      <c r="L139" s="195">
        <f t="shared" si="3"/>
        <v>1.6421999999999999</v>
      </c>
      <c r="M139" s="195">
        <f t="shared" si="4"/>
        <v>1.9902000000000002</v>
      </c>
      <c r="N139" s="16">
        <f>IF('Dry_Litterbag Placem_Collection'!G66="N.A","",'Dry_Litterbag Placem_Collection'!G66)</f>
        <v>43005</v>
      </c>
      <c r="O139" s="195">
        <f>IF(IFERROR(INDEX('Both teabags AfterDry'!$D$1:$D$839,MATCH(H139,'Both teabags AfterDry'!$A$1:$A$839,0)),"")="N.A","",(IFERROR(INDEX('Both teabags AfterDry'!$D$1:$D$839,MATCH(H139,'Both teabags AfterDry'!$A$1:$A$839,0)),"")))</f>
        <v>1.6924999999999999</v>
      </c>
      <c r="P139" s="195">
        <f>IF(IFERROR(INDEX('Both teabags AfterDry'!$D$1:$D$839,MATCH(I139,'Both teabags AfterDry'!$A$1:$A$839,0)),"")="N.A","",(IFERROR(INDEX('Both teabags AfterDry'!$D$1:$D$839,MATCH(I139,'Both teabags AfterDry'!$A$1:$A$839,0)),"")))</f>
        <v>1.9783999999999999</v>
      </c>
      <c r="Q139" s="195">
        <f t="shared" si="5"/>
        <v>1.5418999999999998</v>
      </c>
      <c r="R139" s="195">
        <f t="shared" si="5"/>
        <v>1.8277999999999999</v>
      </c>
      <c r="S139" s="195">
        <f t="shared" si="0"/>
        <v>6.107660455486541E-2</v>
      </c>
      <c r="T139" s="195">
        <f t="shared" si="6"/>
        <v>4.0040719375636254E-2</v>
      </c>
      <c r="U139" s="195">
        <f t="shared" si="1"/>
        <v>0.91840016078786035</v>
      </c>
      <c r="V139">
        <f t="shared" si="2"/>
        <v>67</v>
      </c>
      <c r="W139" s="195">
        <f t="shared" si="7"/>
        <v>0.92746246489920969</v>
      </c>
      <c r="X139" s="195" t="str">
        <f t="shared" si="8"/>
        <v/>
      </c>
      <c r="Y139" s="255" t="str">
        <f>IF(ISNUMBER(SEARCH("C", 'Dry_Litterbag Placem_Collection'!T66)),"YES","NO")</f>
        <v>NO</v>
      </c>
      <c r="Z139" s="255" t="str">
        <f>IF(ISNUMBER(SEARCH("H", 'Dry_Litterbag Placem_Collection'!T66)),"YES","NO")</f>
        <v>NO</v>
      </c>
      <c r="AA139" s="255" t="str">
        <f>IF(ISNUMBER(SEARCH("R", 'Dry_Litterbag Placem_Collection'!T66)),"YES","NO")</f>
        <v>NO</v>
      </c>
      <c r="AB139" s="255" t="str">
        <f>IF(ISNUMBER(SEARCH("C", 'Dry_Litterbag Placem_Collection'!S66)),"YES","NO")</f>
        <v>NO</v>
      </c>
      <c r="AC139" s="255" t="str">
        <f>IF(ISNUMBER(SEARCH("H", 'Dry_Litterbag Placem_Collection'!S66)),"YES","NO")</f>
        <v>NO</v>
      </c>
      <c r="AD139" s="255" t="str">
        <f>IF(ISNUMBER(SEARCH("R", 'Dry_Litterbag Placem_Collection'!S66)),"YES","NO")</f>
        <v>NO</v>
      </c>
    </row>
    <row r="140" spans="2:30">
      <c r="B140" t="str">
        <f>'Final data_for_R_analysis_Dryse'!A66</f>
        <v>Dry</v>
      </c>
      <c r="C140" s="263">
        <f>'Final data_for_R_analysis_Dryse'!B66</f>
        <v>65</v>
      </c>
      <c r="D140" t="s">
        <v>3836</v>
      </c>
      <c r="E140" t="s">
        <v>22</v>
      </c>
      <c r="F140" s="386">
        <v>1</v>
      </c>
      <c r="G140" s="16">
        <f>'Dry_Litterbag Placem_Collection'!E67</f>
        <v>42937</v>
      </c>
      <c r="H140" t="str">
        <f>'Final data_for_R_analysis_Dryse'!J66</f>
        <v>G495</v>
      </c>
      <c r="I140" t="str">
        <f>'Final data_for_R_analysis_Dryse'!J286</f>
        <v>R731</v>
      </c>
      <c r="J140">
        <f>IFERROR(INDEX('Green_rooibos initial weight'!$C$5:$C$1749,MATCH(H140, 'Green_rooibos initial weight'!$A$5:$A$1749,0)),"")</f>
        <v>2.0390000000000001</v>
      </c>
      <c r="K140">
        <f>IFERROR(INDEX('Green_rooibos initial weight'!$C$5:$C$1749,MATCH(I140, 'Green_rooibos initial weight'!$A$5:$A$1749,0)),"")</f>
        <v>2.2480000000000002</v>
      </c>
      <c r="L140" s="195">
        <f t="shared" si="3"/>
        <v>1.7892000000000001</v>
      </c>
      <c r="M140" s="195">
        <f t="shared" si="4"/>
        <v>1.9982000000000002</v>
      </c>
      <c r="N140" s="16">
        <f>IF('Dry_Litterbag Placem_Collection'!G67="N.A","",'Dry_Litterbag Placem_Collection'!G67)</f>
        <v>43005</v>
      </c>
      <c r="O140" s="195" t="str">
        <f>IF(IFERROR(INDEX('Both teabags AfterDry'!$D$1:$D$839,MATCH(H140,'Both teabags AfterDry'!$A$1:$A$839,0)),"")="N.A","",(IFERROR(INDEX('Both teabags AfterDry'!$D$1:$D$839,MATCH(H140,'Both teabags AfterDry'!$A$1:$A$839,0)),"")))</f>
        <v/>
      </c>
      <c r="P140" s="195" t="str">
        <f>IF(IFERROR(INDEX('Both teabags AfterDry'!$D$1:$D$839,MATCH(I140,'Both teabags AfterDry'!$A$1:$A$839,0)),"")="N.A","",(IFERROR(INDEX('Both teabags AfterDry'!$D$1:$D$839,MATCH(I140,'Both teabags AfterDry'!$A$1:$A$839,0)),"")))</f>
        <v/>
      </c>
      <c r="Q140" s="195" t="str">
        <f t="shared" si="5"/>
        <v/>
      </c>
      <c r="R140" s="195" t="str">
        <f t="shared" si="5"/>
        <v/>
      </c>
      <c r="S140" s="195" t="str">
        <f t="shared" ref="S140:S203" si="9">IFERROR(1-Q140/L140,"")</f>
        <v/>
      </c>
      <c r="T140" s="195" t="str">
        <f t="shared" si="6"/>
        <v/>
      </c>
      <c r="U140" s="195" t="str">
        <f t="shared" ref="U140:U203" si="10">IFERROR(R140/M140,"")</f>
        <v/>
      </c>
      <c r="V140">
        <f t="shared" ref="V140:V203" si="11">IF((N140-G140)&gt;0,(IFERROR(N140-G140,"")),"")</f>
        <v>68</v>
      </c>
      <c r="W140" s="195" t="str">
        <f t="shared" si="7"/>
        <v/>
      </c>
      <c r="X140" s="195" t="str">
        <f t="shared" si="8"/>
        <v/>
      </c>
      <c r="Y140" s="255" t="str">
        <f>IF(ISNUMBER(SEARCH("C", 'Dry_Litterbag Placem_Collection'!T67)),"YES","NO")</f>
        <v>NO</v>
      </c>
      <c r="Z140" s="255" t="str">
        <f>IF(ISNUMBER(SEARCH("H", 'Dry_Litterbag Placem_Collection'!T67)),"YES","NO")</f>
        <v>NO</v>
      </c>
      <c r="AA140" s="255" t="str">
        <f>IF(ISNUMBER(SEARCH("R", 'Dry_Litterbag Placem_Collection'!T67)),"YES","NO")</f>
        <v>NO</v>
      </c>
      <c r="AB140" s="255" t="str">
        <f>IF(ISNUMBER(SEARCH("C", 'Dry_Litterbag Placem_Collection'!S67)),"YES","NO")</f>
        <v>NO</v>
      </c>
      <c r="AC140" s="255" t="str">
        <f>IF(ISNUMBER(SEARCH("H", 'Dry_Litterbag Placem_Collection'!S67)),"YES","NO")</f>
        <v>NO</v>
      </c>
      <c r="AD140" s="255" t="str">
        <f>IF(ISNUMBER(SEARCH("R", 'Dry_Litterbag Placem_Collection'!S67)),"YES","NO")</f>
        <v>NO</v>
      </c>
    </row>
    <row r="141" spans="2:30">
      <c r="B141" t="str">
        <f>'Final data_for_R_analysis_Dryse'!A67</f>
        <v>Dry</v>
      </c>
      <c r="C141" s="263">
        <f>'Final data_for_R_analysis_Dryse'!B67</f>
        <v>66</v>
      </c>
      <c r="D141" t="s">
        <v>3836</v>
      </c>
      <c r="E141" t="s">
        <v>22</v>
      </c>
      <c r="F141" s="386">
        <v>2</v>
      </c>
      <c r="G141" s="16">
        <f>'Dry_Litterbag Placem_Collection'!E68</f>
        <v>42937</v>
      </c>
      <c r="H141" t="str">
        <f>'Final data_for_R_analysis_Dryse'!J67</f>
        <v>G247</v>
      </c>
      <c r="I141" t="str">
        <f>'Final data_for_R_analysis_Dryse'!J287</f>
        <v>R816</v>
      </c>
      <c r="J141">
        <f>IFERROR(INDEX('Green_rooibos initial weight'!$C$5:$C$1749,MATCH(H141, 'Green_rooibos initial weight'!$A$5:$A$1749,0)),"")</f>
        <v>2.13</v>
      </c>
      <c r="K141">
        <f>IFERROR(INDEX('Green_rooibos initial weight'!$C$5:$C$1749,MATCH(I141, 'Green_rooibos initial weight'!$A$5:$A$1749,0)),"")</f>
        <v>2.194</v>
      </c>
      <c r="L141" s="195">
        <f t="shared" ref="L141:L204" si="12">IFERROR(IF(J141&gt;0,(J141*$F$31-($F$29+$F$30)),""),"")</f>
        <v>1.8801999999999999</v>
      </c>
      <c r="M141" s="195">
        <f t="shared" ref="M141:M204" si="13">IFERROR(IF(K141&gt;0,(K141*$F$32-($F$29+$F$30)),""),"")</f>
        <v>1.9441999999999999</v>
      </c>
      <c r="N141" s="16">
        <f>IF('Dry_Litterbag Placem_Collection'!G68="N.A","",'Dry_Litterbag Placem_Collection'!G68)</f>
        <v>43005</v>
      </c>
      <c r="O141" s="195">
        <f>IF(IFERROR(INDEX('Both teabags AfterDry'!$D$1:$D$839,MATCH(H141,'Both teabags AfterDry'!$A$1:$A$839,0)),"")="N.A","",(IFERROR(INDEX('Both teabags AfterDry'!$D$1:$D$839,MATCH(H141,'Both teabags AfterDry'!$A$1:$A$839,0)),"")))</f>
        <v>1.9853000000000001</v>
      </c>
      <c r="P141" s="195" t="str">
        <f>IF(IFERROR(INDEX('Both teabags AfterDry'!$D$1:$D$839,MATCH(I141,'Both teabags AfterDry'!$A$1:$A$839,0)),"")="N.A","",(IFERROR(INDEX('Both teabags AfterDry'!$D$1:$D$839,MATCH(I141,'Both teabags AfterDry'!$A$1:$A$839,0)),"")))</f>
        <v/>
      </c>
      <c r="Q141" s="195">
        <f t="shared" ref="Q141:R204" si="14">IFERROR(IF(O141&gt;0,O141-($F$29),""),"")</f>
        <v>1.8347</v>
      </c>
      <c r="R141" s="195" t="str">
        <f t="shared" si="14"/>
        <v/>
      </c>
      <c r="S141" s="195">
        <f t="shared" si="9"/>
        <v>2.4199553239017013E-2</v>
      </c>
      <c r="T141" s="195">
        <f t="shared" ref="T141:T204" si="15">IFERROR($F$26*(1-W141),"")</f>
        <v>1.5864790246956535E-2</v>
      </c>
      <c r="U141" s="195" t="str">
        <f t="shared" si="10"/>
        <v/>
      </c>
      <c r="V141">
        <f t="shared" si="11"/>
        <v>68</v>
      </c>
      <c r="W141" s="195">
        <f t="shared" ref="W141:W204" si="16">IFERROR(1-(S141/$F$25),"")</f>
        <v>0.97125943795841208</v>
      </c>
      <c r="X141" s="195" t="str">
        <f t="shared" ref="X141:X204" si="17">IFERROR(LN(T141/(U141-(1-T141)))/V141,"")</f>
        <v/>
      </c>
      <c r="Y141" s="255" t="str">
        <f>IF(ISNUMBER(SEARCH("C", 'Dry_Litterbag Placem_Collection'!T68)),"YES","NO")</f>
        <v>NO</v>
      </c>
      <c r="Z141" s="255" t="str">
        <f>IF(ISNUMBER(SEARCH("H", 'Dry_Litterbag Placem_Collection'!T68)),"YES","NO")</f>
        <v>NO</v>
      </c>
      <c r="AA141" s="255" t="str">
        <f>IF(ISNUMBER(SEARCH("R", 'Dry_Litterbag Placem_Collection'!T68)),"YES","NO")</f>
        <v>NO</v>
      </c>
      <c r="AB141" s="255" t="str">
        <f>IF(ISNUMBER(SEARCH("C", 'Dry_Litterbag Placem_Collection'!S68)),"YES","NO")</f>
        <v>YES</v>
      </c>
      <c r="AC141" s="255" t="str">
        <f>IF(ISNUMBER(SEARCH("H", 'Dry_Litterbag Placem_Collection'!S68)),"YES","NO")</f>
        <v>YES</v>
      </c>
      <c r="AD141" s="255" t="str">
        <f>IF(ISNUMBER(SEARCH("R", 'Dry_Litterbag Placem_Collection'!S68)),"YES","NO")</f>
        <v>NO</v>
      </c>
    </row>
    <row r="142" spans="2:30">
      <c r="B142" t="str">
        <f>'Final data_for_R_analysis_Dryse'!A68</f>
        <v>Dry</v>
      </c>
      <c r="C142" s="263">
        <f>'Final data_for_R_analysis_Dryse'!B68</f>
        <v>67</v>
      </c>
      <c r="D142" t="s">
        <v>3836</v>
      </c>
      <c r="E142" t="s">
        <v>22</v>
      </c>
      <c r="F142" s="386">
        <v>3</v>
      </c>
      <c r="G142" s="390">
        <f>'Dry_Litterbag Placem_Collection'!E69</f>
        <v>0</v>
      </c>
      <c r="H142" t="str">
        <f>'Final data_for_R_analysis_Dryse'!J68</f>
        <v/>
      </c>
      <c r="I142" t="str">
        <f>'Final data_for_R_analysis_Dryse'!J288</f>
        <v/>
      </c>
      <c r="J142" t="str">
        <f>IFERROR(INDEX('Green_rooibos initial weight'!$C$5:$C$1749,MATCH(H142, 'Green_rooibos initial weight'!$A$5:$A$1749,0)),"")</f>
        <v/>
      </c>
      <c r="K142" t="str">
        <f>IFERROR(INDEX('Green_rooibos initial weight'!$C$5:$C$1749,MATCH(I142, 'Green_rooibos initial weight'!$A$5:$A$1749,0)),"")</f>
        <v/>
      </c>
      <c r="L142" s="195" t="str">
        <f t="shared" si="12"/>
        <v/>
      </c>
      <c r="M142" s="195" t="str">
        <f t="shared" si="13"/>
        <v/>
      </c>
      <c r="N142" s="16">
        <f>IF('Dry_Litterbag Placem_Collection'!G69="N.A","",'Dry_Litterbag Placem_Collection'!G69)</f>
        <v>0</v>
      </c>
      <c r="O142" s="195" t="str">
        <f>IF(IFERROR(INDEX('Both teabags AfterDry'!$D$1:$D$839,MATCH(H142,'Both teabags AfterDry'!$A$1:$A$839,0)),"")="N.A","",(IFERROR(INDEX('Both teabags AfterDry'!$D$1:$D$839,MATCH(H142,'Both teabags AfterDry'!$A$1:$A$839,0)),"")))</f>
        <v/>
      </c>
      <c r="P142" s="195" t="str">
        <f>IF(IFERROR(INDEX('Both teabags AfterDry'!$D$1:$D$839,MATCH(I142,'Both teabags AfterDry'!$A$1:$A$839,0)),"")="N.A","",(IFERROR(INDEX('Both teabags AfterDry'!$D$1:$D$839,MATCH(I142,'Both teabags AfterDry'!$A$1:$A$839,0)),"")))</f>
        <v/>
      </c>
      <c r="Q142" s="195" t="str">
        <f t="shared" si="14"/>
        <v/>
      </c>
      <c r="R142" s="195" t="str">
        <f t="shared" si="14"/>
        <v/>
      </c>
      <c r="S142" s="195" t="str">
        <f t="shared" si="9"/>
        <v/>
      </c>
      <c r="T142" s="195" t="str">
        <f t="shared" si="15"/>
        <v/>
      </c>
      <c r="U142" s="195" t="str">
        <f t="shared" si="10"/>
        <v/>
      </c>
      <c r="V142" t="str">
        <f t="shared" si="11"/>
        <v/>
      </c>
      <c r="W142" s="195" t="str">
        <f t="shared" si="16"/>
        <v/>
      </c>
      <c r="X142" s="195" t="str">
        <f t="shared" si="17"/>
        <v/>
      </c>
      <c r="Y142" s="255" t="str">
        <f>IF(ISNUMBER(SEARCH("C", 'Dry_Litterbag Placem_Collection'!T69)),"YES","NO")</f>
        <v>NO</v>
      </c>
      <c r="Z142" s="255" t="str">
        <f>IF(ISNUMBER(SEARCH("H", 'Dry_Litterbag Placem_Collection'!T69)),"YES","NO")</f>
        <v>NO</v>
      </c>
      <c r="AA142" s="255" t="str">
        <f>IF(ISNUMBER(SEARCH("R", 'Dry_Litterbag Placem_Collection'!T69)),"YES","NO")</f>
        <v>NO</v>
      </c>
      <c r="AB142" s="255" t="str">
        <f>IF(ISNUMBER(SEARCH("C", 'Dry_Litterbag Placem_Collection'!S69)),"YES","NO")</f>
        <v>NO</v>
      </c>
      <c r="AC142" s="255" t="str">
        <f>IF(ISNUMBER(SEARCH("H", 'Dry_Litterbag Placem_Collection'!S69)),"YES","NO")</f>
        <v>NO</v>
      </c>
      <c r="AD142" s="255" t="str">
        <f>IF(ISNUMBER(SEARCH("R", 'Dry_Litterbag Placem_Collection'!S69)),"YES","NO")</f>
        <v>NO</v>
      </c>
    </row>
    <row r="143" spans="2:30">
      <c r="B143" t="str">
        <f>'Final data_for_R_analysis_Dryse'!A69</f>
        <v>Dry</v>
      </c>
      <c r="C143" s="263">
        <f>'Final data_for_R_analysis_Dryse'!B69</f>
        <v>68</v>
      </c>
      <c r="D143" t="s">
        <v>3836</v>
      </c>
      <c r="E143" t="s">
        <v>22</v>
      </c>
      <c r="F143" s="387">
        <v>4</v>
      </c>
      <c r="G143" s="16">
        <f>'Dry_Litterbag Placem_Collection'!E70</f>
        <v>42937</v>
      </c>
      <c r="H143" t="str">
        <f>'Final data_for_R_analysis_Dryse'!J69</f>
        <v>G63</v>
      </c>
      <c r="I143" t="str">
        <f>'Final data_for_R_analysis_Dryse'!J289</f>
        <v>R815</v>
      </c>
      <c r="J143">
        <f>IFERROR(INDEX('Green_rooibos initial weight'!$C$5:$C$1749,MATCH(H143, 'Green_rooibos initial weight'!$A$5:$A$1749,0)),"")</f>
        <v>2</v>
      </c>
      <c r="K143">
        <f>IFERROR(INDEX('Green_rooibos initial weight'!$C$5:$C$1749,MATCH(I143, 'Green_rooibos initial weight'!$A$5:$A$1749,0)),"")</f>
        <v>2.2130000000000001</v>
      </c>
      <c r="L143" s="195">
        <f t="shared" si="12"/>
        <v>1.7502</v>
      </c>
      <c r="M143" s="195">
        <f t="shared" si="13"/>
        <v>1.9632000000000001</v>
      </c>
      <c r="N143" s="16">
        <f>IF('Dry_Litterbag Placem_Collection'!G70="N.A","",'Dry_Litterbag Placem_Collection'!G70)</f>
        <v>43005</v>
      </c>
      <c r="O143" s="195">
        <f>IF(IFERROR(INDEX('Both teabags AfterDry'!$D$1:$D$839,MATCH(H143,'Both teabags AfterDry'!$A$1:$A$839,0)),"")="N.A","",(IFERROR(INDEX('Both teabags AfterDry'!$D$1:$D$839,MATCH(H143,'Both teabags AfterDry'!$A$1:$A$839,0)),"")))</f>
        <v>1.8152999999999999</v>
      </c>
      <c r="P143" s="195">
        <f>IF(IFERROR(INDEX('Both teabags AfterDry'!$D$1:$D$839,MATCH(I143,'Both teabags AfterDry'!$A$1:$A$839,0)),"")="N.A","",(IFERROR(INDEX('Both teabags AfterDry'!$D$1:$D$839,MATCH(I143,'Both teabags AfterDry'!$A$1:$A$839,0)),"")))</f>
        <v>1.9467000000000001</v>
      </c>
      <c r="Q143" s="195">
        <f t="shared" si="14"/>
        <v>1.6646999999999998</v>
      </c>
      <c r="R143" s="195">
        <f t="shared" si="14"/>
        <v>1.7961</v>
      </c>
      <c r="S143" s="195">
        <f t="shared" si="9"/>
        <v>4.8851559821734725E-2</v>
      </c>
      <c r="T143" s="195">
        <f t="shared" si="15"/>
        <v>3.2026200738239405E-2</v>
      </c>
      <c r="U143" s="195">
        <f t="shared" si="10"/>
        <v>0.91488386308068459</v>
      </c>
      <c r="V143">
        <f t="shared" si="11"/>
        <v>68</v>
      </c>
      <c r="W143" s="195">
        <f t="shared" si="16"/>
        <v>0.94198152040174021</v>
      </c>
      <c r="X143" s="195" t="str">
        <f t="shared" si="17"/>
        <v/>
      </c>
      <c r="Y143" s="255" t="str">
        <f>IF(ISNUMBER(SEARCH("C", 'Dry_Litterbag Placem_Collection'!T70)),"YES","NO")</f>
        <v>NO</v>
      </c>
      <c r="Z143" s="255" t="str">
        <f>IF(ISNUMBER(SEARCH("H", 'Dry_Litterbag Placem_Collection'!T70)),"YES","NO")</f>
        <v>NO</v>
      </c>
      <c r="AA143" s="255" t="str">
        <f>IF(ISNUMBER(SEARCH("R", 'Dry_Litterbag Placem_Collection'!T70)),"YES","NO")</f>
        <v>NO</v>
      </c>
      <c r="AB143" s="255" t="str">
        <f>IF(ISNUMBER(SEARCH("C", 'Dry_Litterbag Placem_Collection'!S70)),"YES","NO")</f>
        <v>NO</v>
      </c>
      <c r="AC143" s="255" t="str">
        <f>IF(ISNUMBER(SEARCH("H", 'Dry_Litterbag Placem_Collection'!S70)),"YES","NO")</f>
        <v>NO</v>
      </c>
      <c r="AD143" s="255" t="str">
        <f>IF(ISNUMBER(SEARCH("R", 'Dry_Litterbag Placem_Collection'!S70)),"YES","NO")</f>
        <v>NO</v>
      </c>
    </row>
    <row r="144" spans="2:30">
      <c r="B144" t="str">
        <f>'Final data_for_R_analysis_Dryse'!A70</f>
        <v>Dry</v>
      </c>
      <c r="C144" s="263">
        <f>'Final data_for_R_analysis_Dryse'!B70</f>
        <v>69</v>
      </c>
      <c r="D144" t="s">
        <v>3836</v>
      </c>
      <c r="E144" t="s">
        <v>22</v>
      </c>
      <c r="F144" s="387">
        <v>5</v>
      </c>
      <c r="G144" s="16">
        <f>'Dry_Litterbag Placem_Collection'!E71</f>
        <v>42937</v>
      </c>
      <c r="H144" t="str">
        <f>'Final data_for_R_analysis_Dryse'!J70</f>
        <v>G382</v>
      </c>
      <c r="I144" t="str">
        <f>'Final data_for_R_analysis_Dryse'!J290</f>
        <v>R741</v>
      </c>
      <c r="J144">
        <f>IFERROR(INDEX('Green_rooibos initial weight'!$C$5:$C$1749,MATCH(H144, 'Green_rooibos initial weight'!$A$5:$A$1749,0)),"")</f>
        <v>2.0960000000000001</v>
      </c>
      <c r="K144">
        <f>IFERROR(INDEX('Green_rooibos initial weight'!$C$5:$C$1749,MATCH(I144, 'Green_rooibos initial weight'!$A$5:$A$1749,0)),"")</f>
        <v>2.262</v>
      </c>
      <c r="L144" s="195">
        <f t="shared" si="12"/>
        <v>1.8462000000000001</v>
      </c>
      <c r="M144" s="195">
        <f t="shared" si="13"/>
        <v>2.0122</v>
      </c>
      <c r="N144" s="16">
        <f>IF('Dry_Litterbag Placem_Collection'!G71="N.A","",'Dry_Litterbag Placem_Collection'!G71)</f>
        <v>43006</v>
      </c>
      <c r="O144" s="195">
        <f>IF(IFERROR(INDEX('Both teabags AfterDry'!$D$1:$D$839,MATCH(H144,'Both teabags AfterDry'!$A$1:$A$839,0)),"")="N.A","",(IFERROR(INDEX('Both teabags AfterDry'!$D$1:$D$839,MATCH(H144,'Both teabags AfterDry'!$A$1:$A$839,0)),"")))</f>
        <v>1.8677999999999999</v>
      </c>
      <c r="P144" s="195">
        <f>IF(IFERROR(INDEX('Both teabags AfterDry'!$D$1:$D$839,MATCH(I144,'Both teabags AfterDry'!$A$1:$A$839,0)),"")="N.A","",(IFERROR(INDEX('Both teabags AfterDry'!$D$1:$D$839,MATCH(I144,'Both teabags AfterDry'!$A$1:$A$839,0)),"")))</f>
        <v>1.9702999999999999</v>
      </c>
      <c r="Q144" s="195">
        <f t="shared" si="14"/>
        <v>1.7171999999999998</v>
      </c>
      <c r="R144" s="195">
        <f t="shared" si="14"/>
        <v>1.8196999999999999</v>
      </c>
      <c r="S144" s="195">
        <f t="shared" si="9"/>
        <v>6.9873253168670879E-2</v>
      </c>
      <c r="T144" s="195">
        <f t="shared" si="15"/>
        <v>4.5807643407489697E-2</v>
      </c>
      <c r="U144" s="195">
        <f t="shared" si="10"/>
        <v>0.90433356525196296</v>
      </c>
      <c r="V144">
        <f t="shared" si="11"/>
        <v>69</v>
      </c>
      <c r="W144" s="195">
        <f t="shared" si="16"/>
        <v>0.91701513875454765</v>
      </c>
      <c r="X144" s="195" t="str">
        <f t="shared" si="17"/>
        <v/>
      </c>
      <c r="Y144" s="255" t="str">
        <f>IF(ISNUMBER(SEARCH("C", 'Dry_Litterbag Placem_Collection'!T71)),"YES","NO")</f>
        <v>YES</v>
      </c>
      <c r="Z144" s="255" t="str">
        <f>IF(ISNUMBER(SEARCH("H", 'Dry_Litterbag Placem_Collection'!T71)),"YES","NO")</f>
        <v>NO</v>
      </c>
      <c r="AA144" s="255" t="str">
        <f>IF(ISNUMBER(SEARCH("R", 'Dry_Litterbag Placem_Collection'!T71)),"YES","NO")</f>
        <v>NO</v>
      </c>
      <c r="AB144" s="255" t="str">
        <f>IF(ISNUMBER(SEARCH("C", 'Dry_Litterbag Placem_Collection'!S71)),"YES","NO")</f>
        <v>NO</v>
      </c>
      <c r="AC144" s="255" t="str">
        <f>IF(ISNUMBER(SEARCH("H", 'Dry_Litterbag Placem_Collection'!S71)),"YES","NO")</f>
        <v>NO</v>
      </c>
      <c r="AD144" s="255" t="str">
        <f>IF(ISNUMBER(SEARCH("R", 'Dry_Litterbag Placem_Collection'!S71)),"YES","NO")</f>
        <v>NO</v>
      </c>
    </row>
    <row r="145" spans="2:30">
      <c r="B145" t="str">
        <f>'Final data_for_R_analysis_Dryse'!A71</f>
        <v>Dry</v>
      </c>
      <c r="C145" s="263">
        <f>'Final data_for_R_analysis_Dryse'!B71</f>
        <v>70</v>
      </c>
      <c r="D145" t="s">
        <v>3836</v>
      </c>
      <c r="E145" t="s">
        <v>22</v>
      </c>
      <c r="F145" s="387">
        <v>6</v>
      </c>
      <c r="G145" s="16">
        <f>'Dry_Litterbag Placem_Collection'!E72</f>
        <v>42937</v>
      </c>
      <c r="H145" t="str">
        <f>'Final data_for_R_analysis_Dryse'!J71</f>
        <v>G278</v>
      </c>
      <c r="I145" t="str">
        <f>'Final data_for_R_analysis_Dryse'!J291</f>
        <v>R294</v>
      </c>
      <c r="J145">
        <f>IFERROR(INDEX('Green_rooibos initial weight'!$C$5:$C$1749,MATCH(H145, 'Green_rooibos initial weight'!$A$5:$A$1749,0)),"")</f>
        <v>2.0049999999999999</v>
      </c>
      <c r="K145">
        <f>IFERROR(INDEX('Green_rooibos initial weight'!$C$5:$C$1749,MATCH(I145, 'Green_rooibos initial weight'!$A$5:$A$1749,0)),"")</f>
        <v>2.226</v>
      </c>
      <c r="L145" s="195">
        <f t="shared" si="12"/>
        <v>1.7551999999999999</v>
      </c>
      <c r="M145" s="195">
        <f t="shared" si="13"/>
        <v>1.9762</v>
      </c>
      <c r="N145" s="16">
        <f>IF('Dry_Litterbag Placem_Collection'!G72="N.A","",'Dry_Litterbag Placem_Collection'!G72)</f>
        <v>43006</v>
      </c>
      <c r="O145" s="195">
        <f>IF(IFERROR(INDEX('Both teabags AfterDry'!$D$1:$D$839,MATCH(H145,'Both teabags AfterDry'!$A$1:$A$839,0)),"")="N.A","",(IFERROR(INDEX('Both teabags AfterDry'!$D$1:$D$839,MATCH(H145,'Both teabags AfterDry'!$A$1:$A$839,0)),"")))</f>
        <v>1.8243</v>
      </c>
      <c r="P145" s="195">
        <f>IF(IFERROR(INDEX('Both teabags AfterDry'!$D$1:$D$839,MATCH(I145,'Both teabags AfterDry'!$A$1:$A$839,0)),"")="N.A","",(IFERROR(INDEX('Both teabags AfterDry'!$D$1:$D$839,MATCH(I145,'Both teabags AfterDry'!$A$1:$A$839,0)),"")))</f>
        <v>0.51</v>
      </c>
      <c r="Q145" s="195">
        <f t="shared" si="14"/>
        <v>1.6737</v>
      </c>
      <c r="R145" s="195">
        <f t="shared" si="14"/>
        <v>0.3594</v>
      </c>
      <c r="S145" s="195">
        <f t="shared" si="9"/>
        <v>4.6433454876937064E-2</v>
      </c>
      <c r="T145" s="195">
        <f t="shared" si="15"/>
        <v>3.0440934788680849E-2</v>
      </c>
      <c r="U145" s="195">
        <f t="shared" si="10"/>
        <v>0.18186418378706609</v>
      </c>
      <c r="V145">
        <f t="shared" si="11"/>
        <v>69</v>
      </c>
      <c r="W145" s="195">
        <f t="shared" si="16"/>
        <v>0.94485337900601296</v>
      </c>
      <c r="X145" s="195" t="str">
        <f t="shared" si="17"/>
        <v/>
      </c>
      <c r="Y145" s="255" t="str">
        <f>IF(ISNUMBER(SEARCH("C", 'Dry_Litterbag Placem_Collection'!T72)),"YES","NO")</f>
        <v>YES</v>
      </c>
      <c r="Z145" s="255" t="str">
        <f>IF(ISNUMBER(SEARCH("H", 'Dry_Litterbag Placem_Collection'!T72)),"YES","NO")</f>
        <v>YES</v>
      </c>
      <c r="AA145" s="255" t="str">
        <f>IF(ISNUMBER(SEARCH("R", 'Dry_Litterbag Placem_Collection'!T72)),"YES","NO")</f>
        <v>NO</v>
      </c>
      <c r="AB145" s="255" t="str">
        <f>IF(ISNUMBER(SEARCH("C", 'Dry_Litterbag Placem_Collection'!S72)),"YES","NO")</f>
        <v>NO</v>
      </c>
      <c r="AC145" s="255" t="str">
        <f>IF(ISNUMBER(SEARCH("H", 'Dry_Litterbag Placem_Collection'!S72)),"YES","NO")</f>
        <v>NO</v>
      </c>
      <c r="AD145" s="255" t="str">
        <f>IF(ISNUMBER(SEARCH("R", 'Dry_Litterbag Placem_Collection'!S72)),"YES","NO")</f>
        <v>NO</v>
      </c>
    </row>
    <row r="146" spans="2:30">
      <c r="B146" t="str">
        <f>'Final data_for_R_analysis_Dryse'!A72</f>
        <v>Dry</v>
      </c>
      <c r="C146" s="263">
        <f>'Final data_for_R_analysis_Dryse'!B72</f>
        <v>71</v>
      </c>
      <c r="D146" t="s">
        <v>3836</v>
      </c>
      <c r="E146" t="s">
        <v>22</v>
      </c>
      <c r="F146" s="387">
        <v>7</v>
      </c>
      <c r="G146" s="16">
        <f>'Dry_Litterbag Placem_Collection'!E73</f>
        <v>42937</v>
      </c>
      <c r="H146" t="str">
        <f>'Final data_for_R_analysis_Dryse'!J72</f>
        <v>G138</v>
      </c>
      <c r="I146" t="str">
        <f>'Final data_for_R_analysis_Dryse'!J292</f>
        <v>R761</v>
      </c>
      <c r="J146">
        <f>IFERROR(INDEX('Green_rooibos initial weight'!$C$5:$C$1749,MATCH(H146, 'Green_rooibos initial weight'!$A$5:$A$1749,0)),"")</f>
        <v>1.956</v>
      </c>
      <c r="K146">
        <f>IFERROR(INDEX('Green_rooibos initial weight'!$C$5:$C$1749,MATCH(I146, 'Green_rooibos initial weight'!$A$5:$A$1749,0)),"")</f>
        <v>2.1509999999999998</v>
      </c>
      <c r="L146" s="195">
        <f t="shared" si="12"/>
        <v>1.7061999999999999</v>
      </c>
      <c r="M146" s="195">
        <f t="shared" si="13"/>
        <v>1.9011999999999998</v>
      </c>
      <c r="N146" s="16">
        <f>IF('Dry_Litterbag Placem_Collection'!G73="N.A","",'Dry_Litterbag Placem_Collection'!G73)</f>
        <v>43006</v>
      </c>
      <c r="O146" s="195">
        <f>IF(IFERROR(INDEX('Both teabags AfterDry'!$D$1:$D$839,MATCH(H146,'Both teabags AfterDry'!$A$1:$A$839,0)),"")="N.A","",(IFERROR(INDEX('Both teabags AfterDry'!$D$1:$D$839,MATCH(H146,'Both teabags AfterDry'!$A$1:$A$839,0)),"")))</f>
        <v>1.782</v>
      </c>
      <c r="P146" s="195">
        <f>IF(IFERROR(INDEX('Both teabags AfterDry'!$D$1:$D$839,MATCH(I146,'Both teabags AfterDry'!$A$1:$A$839,0)),"")="N.A","",(IFERROR(INDEX('Both teabags AfterDry'!$D$1:$D$839,MATCH(I146,'Both teabags AfterDry'!$A$1:$A$839,0)),"")))</f>
        <v>1.9017999999999999</v>
      </c>
      <c r="Q146" s="195">
        <f t="shared" si="14"/>
        <v>1.6314</v>
      </c>
      <c r="R146" s="195">
        <f t="shared" si="14"/>
        <v>1.7511999999999999</v>
      </c>
      <c r="S146" s="195">
        <f t="shared" si="9"/>
        <v>4.3840112530770137E-2</v>
      </c>
      <c r="T146" s="195">
        <f t="shared" si="15"/>
        <v>2.8740786362215082E-2</v>
      </c>
      <c r="U146" s="195">
        <f t="shared" si="10"/>
        <v>0.92110246160319798</v>
      </c>
      <c r="V146">
        <f t="shared" si="11"/>
        <v>69</v>
      </c>
      <c r="W146" s="195">
        <f t="shared" si="16"/>
        <v>0.94793335803946543</v>
      </c>
      <c r="X146" s="195" t="str">
        <f t="shared" si="17"/>
        <v/>
      </c>
      <c r="Y146" s="255" t="str">
        <f>IF(ISNUMBER(SEARCH("C", 'Dry_Litterbag Placem_Collection'!T73)),"YES","NO")</f>
        <v>NO</v>
      </c>
      <c r="Z146" s="255" t="str">
        <f>IF(ISNUMBER(SEARCH("H", 'Dry_Litterbag Placem_Collection'!T73)),"YES","NO")</f>
        <v>NO</v>
      </c>
      <c r="AA146" s="255" t="str">
        <f>IF(ISNUMBER(SEARCH("R", 'Dry_Litterbag Placem_Collection'!T73)),"YES","NO")</f>
        <v>NO</v>
      </c>
      <c r="AB146" s="255" t="str">
        <f>IF(ISNUMBER(SEARCH("C", 'Dry_Litterbag Placem_Collection'!S73)),"YES","NO")</f>
        <v>NO</v>
      </c>
      <c r="AC146" s="255" t="str">
        <f>IF(ISNUMBER(SEARCH("H", 'Dry_Litterbag Placem_Collection'!S73)),"YES","NO")</f>
        <v>NO</v>
      </c>
      <c r="AD146" s="255" t="str">
        <f>IF(ISNUMBER(SEARCH("R", 'Dry_Litterbag Placem_Collection'!S73)),"YES","NO")</f>
        <v>NO</v>
      </c>
    </row>
    <row r="147" spans="2:30">
      <c r="B147" t="str">
        <f>'Final data_for_R_analysis_Dryse'!A73</f>
        <v>Dry</v>
      </c>
      <c r="C147" s="263">
        <f>'Final data_for_R_analysis_Dryse'!B73</f>
        <v>72</v>
      </c>
      <c r="D147" t="s">
        <v>3836</v>
      </c>
      <c r="E147" t="s">
        <v>22</v>
      </c>
      <c r="F147" s="387">
        <v>8</v>
      </c>
      <c r="G147" s="16">
        <f>'Dry_Litterbag Placem_Collection'!E74</f>
        <v>42937</v>
      </c>
      <c r="H147" t="str">
        <f>'Final data_for_R_analysis_Dryse'!J73</f>
        <v>G431</v>
      </c>
      <c r="I147" t="str">
        <f>'Final data_for_R_analysis_Dryse'!J293</f>
        <v>R780</v>
      </c>
      <c r="J147">
        <f>IFERROR(INDEX('Green_rooibos initial weight'!$C$5:$C$1749,MATCH(H147, 'Green_rooibos initial weight'!$A$5:$A$1749,0)),"")</f>
        <v>2.08</v>
      </c>
      <c r="K147">
        <f>IFERROR(INDEX('Green_rooibos initial weight'!$C$5:$C$1749,MATCH(I147, 'Green_rooibos initial weight'!$A$5:$A$1749,0)),"")</f>
        <v>2.19</v>
      </c>
      <c r="L147" s="195">
        <f t="shared" si="12"/>
        <v>1.8302</v>
      </c>
      <c r="M147" s="195">
        <f t="shared" si="13"/>
        <v>1.9401999999999999</v>
      </c>
      <c r="N147" s="16">
        <f>IF('Dry_Litterbag Placem_Collection'!G74="N.A","",'Dry_Litterbag Placem_Collection'!G74)</f>
        <v>43006</v>
      </c>
      <c r="O147" s="195">
        <f>IF(IFERROR(INDEX('Both teabags AfterDry'!$D$1:$D$839,MATCH(H147,'Both teabags AfterDry'!$A$1:$A$839,0)),"")="N.A","",(IFERROR(INDEX('Both teabags AfterDry'!$D$1:$D$839,MATCH(H147,'Both teabags AfterDry'!$A$1:$A$839,0)),"")))</f>
        <v>1.8758999999999999</v>
      </c>
      <c r="P147" s="195">
        <f>IF(IFERROR(INDEX('Both teabags AfterDry'!$D$1:$D$839,MATCH(I147,'Both teabags AfterDry'!$A$1:$A$839,0)),"")="N.A","",(IFERROR(INDEX('Both teabags AfterDry'!$D$1:$D$839,MATCH(I147,'Both teabags AfterDry'!$A$1:$A$839,0)),"")))</f>
        <v>1.9477</v>
      </c>
      <c r="Q147" s="195">
        <f t="shared" si="14"/>
        <v>1.7252999999999998</v>
      </c>
      <c r="R147" s="195">
        <f t="shared" si="14"/>
        <v>1.7970999999999999</v>
      </c>
      <c r="S147" s="195">
        <f t="shared" si="9"/>
        <v>5.7316140312534292E-2</v>
      </c>
      <c r="T147" s="195">
        <f t="shared" si="15"/>
        <v>3.7575426903229119E-2</v>
      </c>
      <c r="U147" s="195">
        <f t="shared" si="10"/>
        <v>0.92624471703948041</v>
      </c>
      <c r="V147">
        <f t="shared" si="11"/>
        <v>69</v>
      </c>
      <c r="W147" s="195">
        <f t="shared" si="16"/>
        <v>0.9319285744506719</v>
      </c>
      <c r="X147" s="195" t="str">
        <f t="shared" si="17"/>
        <v/>
      </c>
      <c r="Y147" s="255" t="str">
        <f>IF(ISNUMBER(SEARCH("C", 'Dry_Litterbag Placem_Collection'!T74)),"YES","NO")</f>
        <v>NO</v>
      </c>
      <c r="Z147" s="255" t="str">
        <f>IF(ISNUMBER(SEARCH("H", 'Dry_Litterbag Placem_Collection'!T74)),"YES","NO")</f>
        <v>NO</v>
      </c>
      <c r="AA147" s="255" t="str">
        <f>IF(ISNUMBER(SEARCH("R", 'Dry_Litterbag Placem_Collection'!T74)),"YES","NO")</f>
        <v>NO</v>
      </c>
      <c r="AB147" s="255" t="str">
        <f>IF(ISNUMBER(SEARCH("C", 'Dry_Litterbag Placem_Collection'!S74)),"YES","NO")</f>
        <v>NO</v>
      </c>
      <c r="AC147" s="255" t="str">
        <f>IF(ISNUMBER(SEARCH("H", 'Dry_Litterbag Placem_Collection'!S74)),"YES","NO")</f>
        <v>NO</v>
      </c>
      <c r="AD147" s="255" t="str">
        <f>IF(ISNUMBER(SEARCH("R", 'Dry_Litterbag Placem_Collection'!S74)),"YES","NO")</f>
        <v>NO</v>
      </c>
    </row>
    <row r="148" spans="2:30">
      <c r="B148" t="str">
        <f>'Final data_for_R_analysis_Dryse'!A74</f>
        <v>Dry</v>
      </c>
      <c r="C148" s="263">
        <f>'Final data_for_R_analysis_Dryse'!B74</f>
        <v>73</v>
      </c>
      <c r="D148" t="s">
        <v>3838</v>
      </c>
      <c r="E148" t="s">
        <v>22</v>
      </c>
      <c r="F148" s="386">
        <v>1</v>
      </c>
      <c r="G148" s="16">
        <f>'Dry_Litterbag Placem_Collection'!E75</f>
        <v>42937</v>
      </c>
      <c r="H148" t="str">
        <f>'Final data_for_R_analysis_Dryse'!J74</f>
        <v>G321</v>
      </c>
      <c r="I148" t="str">
        <f>'Final data_for_R_analysis_Dryse'!J294</f>
        <v>R730</v>
      </c>
      <c r="J148">
        <f>IFERROR(INDEX('Green_rooibos initial weight'!$C$5:$C$1749,MATCH(H148, 'Green_rooibos initial weight'!$A$5:$A$1749,0)),"")</f>
        <v>1.9179999999999999</v>
      </c>
      <c r="K148">
        <f>IFERROR(INDEX('Green_rooibos initial weight'!$C$5:$C$1749,MATCH(I148, 'Green_rooibos initial weight'!$A$5:$A$1749,0)),"")</f>
        <v>2.1509999999999998</v>
      </c>
      <c r="L148" s="195">
        <f t="shared" si="12"/>
        <v>1.6681999999999999</v>
      </c>
      <c r="M148" s="195">
        <f t="shared" si="13"/>
        <v>1.9011999999999998</v>
      </c>
      <c r="N148" s="16">
        <f>IF('Dry_Litterbag Placem_Collection'!G75="N.A","",'Dry_Litterbag Placem_Collection'!G75)</f>
        <v>43006</v>
      </c>
      <c r="O148" s="195" t="str">
        <f>IF(IFERROR(INDEX('Both teabags AfterDry'!$D$1:$D$839,MATCH(H148,'Both teabags AfterDry'!$A$1:$A$839,0)),"")="N.A","",(IFERROR(INDEX('Both teabags AfterDry'!$D$1:$D$839,MATCH(H148,'Both teabags AfterDry'!$A$1:$A$839,0)),"")))</f>
        <v/>
      </c>
      <c r="P148" s="195" t="str">
        <f>IF(IFERROR(INDEX('Both teabags AfterDry'!$D$1:$D$839,MATCH(I148,'Both teabags AfterDry'!$A$1:$A$839,0)),"")="N.A","",(IFERROR(INDEX('Both teabags AfterDry'!$D$1:$D$839,MATCH(I148,'Both teabags AfterDry'!$A$1:$A$839,0)),"")))</f>
        <v/>
      </c>
      <c r="Q148" s="195" t="str">
        <f t="shared" si="14"/>
        <v/>
      </c>
      <c r="R148" s="195" t="str">
        <f t="shared" si="14"/>
        <v/>
      </c>
      <c r="S148" s="195" t="str">
        <f t="shared" si="9"/>
        <v/>
      </c>
      <c r="T148" s="195" t="str">
        <f t="shared" si="15"/>
        <v/>
      </c>
      <c r="U148" s="195" t="str">
        <f t="shared" si="10"/>
        <v/>
      </c>
      <c r="V148">
        <f t="shared" si="11"/>
        <v>69</v>
      </c>
      <c r="W148" s="195" t="str">
        <f t="shared" si="16"/>
        <v/>
      </c>
      <c r="X148" s="195" t="str">
        <f t="shared" si="17"/>
        <v/>
      </c>
      <c r="Y148" s="255" t="str">
        <f>IF(ISNUMBER(SEARCH("C", 'Dry_Litterbag Placem_Collection'!T75)),"YES","NO")</f>
        <v>NO</v>
      </c>
      <c r="Z148" s="255" t="str">
        <f>IF(ISNUMBER(SEARCH("H", 'Dry_Litterbag Placem_Collection'!T75)),"YES","NO")</f>
        <v>NO</v>
      </c>
      <c r="AA148" s="255" t="str">
        <f>IF(ISNUMBER(SEARCH("R", 'Dry_Litterbag Placem_Collection'!T75)),"YES","NO")</f>
        <v>NO</v>
      </c>
      <c r="AB148" s="255" t="str">
        <f>IF(ISNUMBER(SEARCH("C", 'Dry_Litterbag Placem_Collection'!S75)),"YES","NO")</f>
        <v>NO</v>
      </c>
      <c r="AC148" s="255" t="str">
        <f>IF(ISNUMBER(SEARCH("H", 'Dry_Litterbag Placem_Collection'!S75)),"YES","NO")</f>
        <v>NO</v>
      </c>
      <c r="AD148" s="255" t="str">
        <f>IF(ISNUMBER(SEARCH("R", 'Dry_Litterbag Placem_Collection'!S75)),"YES","NO")</f>
        <v>NO</v>
      </c>
    </row>
    <row r="149" spans="2:30">
      <c r="B149" t="str">
        <f>'Final data_for_R_analysis_Dryse'!A75</f>
        <v>Dry</v>
      </c>
      <c r="C149" s="263">
        <f>'Final data_for_R_analysis_Dryse'!B75</f>
        <v>74</v>
      </c>
      <c r="D149" t="s">
        <v>3838</v>
      </c>
      <c r="E149" t="s">
        <v>22</v>
      </c>
      <c r="F149" s="386">
        <v>2</v>
      </c>
      <c r="G149" s="16">
        <f>'Dry_Litterbag Placem_Collection'!E76</f>
        <v>42937</v>
      </c>
      <c r="H149" t="str">
        <f>'Final data_for_R_analysis_Dryse'!J75</f>
        <v>G329</v>
      </c>
      <c r="I149" t="str">
        <f>'Final data_for_R_analysis_Dryse'!J295</f>
        <v>R825</v>
      </c>
      <c r="J149">
        <f>IFERROR(INDEX('Green_rooibos initial weight'!$C$5:$C$1749,MATCH(H149, 'Green_rooibos initial weight'!$A$5:$A$1749,0)),"")</f>
        <v>1.9550000000000001</v>
      </c>
      <c r="K149">
        <f>IFERROR(INDEX('Green_rooibos initial weight'!$C$5:$C$1749,MATCH(I149, 'Green_rooibos initial weight'!$A$5:$A$1749,0)),"")</f>
        <v>2.1419999999999999</v>
      </c>
      <c r="L149" s="195">
        <f t="shared" si="12"/>
        <v>1.7052</v>
      </c>
      <c r="M149" s="195">
        <f t="shared" si="13"/>
        <v>1.8921999999999999</v>
      </c>
      <c r="N149" s="16">
        <f>IF('Dry_Litterbag Placem_Collection'!G76="N.A","",'Dry_Litterbag Placem_Collection'!G76)</f>
        <v>43006</v>
      </c>
      <c r="O149" s="195">
        <f>IF(IFERROR(INDEX('Both teabags AfterDry'!$D$1:$D$839,MATCH(H149,'Both teabags AfterDry'!$A$1:$A$839,0)),"")="N.A","",(IFERROR(INDEX('Both teabags AfterDry'!$D$1:$D$839,MATCH(H149,'Both teabags AfterDry'!$A$1:$A$839,0)),"")))</f>
        <v>1.7850999999999999</v>
      </c>
      <c r="P149" s="195">
        <f>IF(IFERROR(INDEX('Both teabags AfterDry'!$D$1:$D$839,MATCH(I149,'Both teabags AfterDry'!$A$1:$A$839,0)),"")="N.A","",(IFERROR(INDEX('Both teabags AfterDry'!$D$1:$D$839,MATCH(I149,'Both teabags AfterDry'!$A$1:$A$839,0)),"")))</f>
        <v>1.8925000000000001</v>
      </c>
      <c r="Q149" s="195">
        <f t="shared" si="14"/>
        <v>1.6344999999999998</v>
      </c>
      <c r="R149" s="195">
        <f t="shared" si="14"/>
        <v>1.7419</v>
      </c>
      <c r="S149" s="195">
        <f t="shared" si="9"/>
        <v>4.1461412151067467E-2</v>
      </c>
      <c r="T149" s="195">
        <f t="shared" si="15"/>
        <v>2.718135333419153E-2</v>
      </c>
      <c r="U149" s="195">
        <f t="shared" si="10"/>
        <v>0.92056865024838819</v>
      </c>
      <c r="V149">
        <f t="shared" si="11"/>
        <v>69</v>
      </c>
      <c r="W149" s="195">
        <f t="shared" si="16"/>
        <v>0.95075841787284143</v>
      </c>
      <c r="X149" s="195" t="str">
        <f t="shared" si="17"/>
        <v/>
      </c>
      <c r="Y149" s="255" t="str">
        <f>IF(ISNUMBER(SEARCH("C", 'Dry_Litterbag Placem_Collection'!T76)),"YES","NO")</f>
        <v>NO</v>
      </c>
      <c r="Z149" s="255" t="str">
        <f>IF(ISNUMBER(SEARCH("H", 'Dry_Litterbag Placem_Collection'!T76)),"YES","NO")</f>
        <v>NO</v>
      </c>
      <c r="AA149" s="255" t="str">
        <f>IF(ISNUMBER(SEARCH("R", 'Dry_Litterbag Placem_Collection'!T76)),"YES","NO")</f>
        <v>NO</v>
      </c>
      <c r="AB149" s="255" t="str">
        <f>IF(ISNUMBER(SEARCH("C", 'Dry_Litterbag Placem_Collection'!S76)),"YES","NO")</f>
        <v>NO</v>
      </c>
      <c r="AC149" s="255" t="str">
        <f>IF(ISNUMBER(SEARCH("H", 'Dry_Litterbag Placem_Collection'!S76)),"YES","NO")</f>
        <v>NO</v>
      </c>
      <c r="AD149" s="255" t="str">
        <f>IF(ISNUMBER(SEARCH("R", 'Dry_Litterbag Placem_Collection'!S76)),"YES","NO")</f>
        <v>NO</v>
      </c>
    </row>
    <row r="150" spans="2:30">
      <c r="B150" t="str">
        <f>'Final data_for_R_analysis_Dryse'!A76</f>
        <v>Dry</v>
      </c>
      <c r="C150" s="263">
        <f>'Final data_for_R_analysis_Dryse'!B76</f>
        <v>75</v>
      </c>
      <c r="D150" t="s">
        <v>3838</v>
      </c>
      <c r="E150" t="s">
        <v>22</v>
      </c>
      <c r="F150" s="386">
        <v>3</v>
      </c>
      <c r="G150" s="16">
        <f>'Dry_Litterbag Placem_Collection'!E77</f>
        <v>42937</v>
      </c>
      <c r="H150" t="str">
        <f>'Final data_for_R_analysis_Dryse'!J76</f>
        <v>G215</v>
      </c>
      <c r="I150" t="str">
        <f>'Final data_for_R_analysis_Dryse'!J296</f>
        <v>R840</v>
      </c>
      <c r="J150">
        <f>IFERROR(INDEX('Green_rooibos initial weight'!$C$5:$C$1749,MATCH(H150, 'Green_rooibos initial weight'!$A$5:$A$1749,0)),"")</f>
        <v>2.0579999999999998</v>
      </c>
      <c r="K150">
        <f>IFERROR(INDEX('Green_rooibos initial weight'!$C$5:$C$1749,MATCH(I150, 'Green_rooibos initial weight'!$A$5:$A$1749,0)),"")</f>
        <v>2.3010000000000002</v>
      </c>
      <c r="L150" s="195">
        <f t="shared" si="12"/>
        <v>1.8081999999999998</v>
      </c>
      <c r="M150" s="195">
        <f t="shared" si="13"/>
        <v>2.0512000000000001</v>
      </c>
      <c r="N150" s="16">
        <f>IF('Dry_Litterbag Placem_Collection'!G77="N.A","",'Dry_Litterbag Placem_Collection'!G77)</f>
        <v>43006</v>
      </c>
      <c r="O150" s="195">
        <f>IF(IFERROR(INDEX('Both teabags AfterDry'!$D$1:$D$839,MATCH(H150,'Both teabags AfterDry'!$A$1:$A$839,0)),"")="N.A","",(IFERROR(INDEX('Both teabags AfterDry'!$D$1:$D$839,MATCH(H150,'Both teabags AfterDry'!$A$1:$A$839,0)),"")))</f>
        <v>1.9146000000000001</v>
      </c>
      <c r="P150" s="195">
        <f>IF(IFERROR(INDEX('Both teabags AfterDry'!$D$1:$D$839,MATCH(I150,'Both teabags AfterDry'!$A$1:$A$839,0)),"")="N.A","",(IFERROR(INDEX('Both teabags AfterDry'!$D$1:$D$839,MATCH(I150,'Both teabags AfterDry'!$A$1:$A$839,0)),"")))</f>
        <v>2.0405000000000002</v>
      </c>
      <c r="Q150" s="195">
        <f t="shared" si="14"/>
        <v>1.764</v>
      </c>
      <c r="R150" s="195">
        <f t="shared" si="14"/>
        <v>1.8899000000000001</v>
      </c>
      <c r="S150" s="195">
        <f t="shared" si="9"/>
        <v>2.4444198650591664E-2</v>
      </c>
      <c r="T150" s="195">
        <f t="shared" si="15"/>
        <v>1.602517536238315E-2</v>
      </c>
      <c r="U150" s="195">
        <f t="shared" si="10"/>
        <v>0.92136310452418102</v>
      </c>
      <c r="V150">
        <f t="shared" si="11"/>
        <v>69</v>
      </c>
      <c r="W150" s="195">
        <f t="shared" si="16"/>
        <v>0.97096888521307401</v>
      </c>
      <c r="X150" s="195" t="str">
        <f t="shared" si="17"/>
        <v/>
      </c>
      <c r="Y150" s="255" t="str">
        <f>IF(ISNUMBER(SEARCH("C", 'Dry_Litterbag Placem_Collection'!T77)),"YES","NO")</f>
        <v>NO</v>
      </c>
      <c r="Z150" s="255" t="str">
        <f>IF(ISNUMBER(SEARCH("H", 'Dry_Litterbag Placem_Collection'!T77)),"YES","NO")</f>
        <v>NO</v>
      </c>
      <c r="AA150" s="255" t="str">
        <f>IF(ISNUMBER(SEARCH("R", 'Dry_Litterbag Placem_Collection'!T77)),"YES","NO")</f>
        <v>NO</v>
      </c>
      <c r="AB150" s="255" t="str">
        <f>IF(ISNUMBER(SEARCH("C", 'Dry_Litterbag Placem_Collection'!S77)),"YES","NO")</f>
        <v>NO</v>
      </c>
      <c r="AC150" s="255" t="str">
        <f>IF(ISNUMBER(SEARCH("H", 'Dry_Litterbag Placem_Collection'!S77)),"YES","NO")</f>
        <v>YES</v>
      </c>
      <c r="AD150" s="255" t="str">
        <f>IF(ISNUMBER(SEARCH("R", 'Dry_Litterbag Placem_Collection'!S77)),"YES","NO")</f>
        <v>NO</v>
      </c>
    </row>
    <row r="151" spans="2:30">
      <c r="B151" t="str">
        <f>'Final data_for_R_analysis_Dryse'!A77</f>
        <v>Dry</v>
      </c>
      <c r="C151" s="263">
        <f>'Final data_for_R_analysis_Dryse'!B77</f>
        <v>76</v>
      </c>
      <c r="D151" t="s">
        <v>3838</v>
      </c>
      <c r="E151" t="s">
        <v>22</v>
      </c>
      <c r="F151" s="387">
        <v>4</v>
      </c>
      <c r="G151" s="16">
        <f>'Dry_Litterbag Placem_Collection'!E78</f>
        <v>42937</v>
      </c>
      <c r="H151" t="str">
        <f>'Final data_for_R_analysis_Dryse'!J77</f>
        <v>G60</v>
      </c>
      <c r="I151" t="str">
        <f>'Final data_for_R_analysis_Dryse'!J297</f>
        <v>R770</v>
      </c>
      <c r="J151">
        <f>IFERROR(INDEX('Green_rooibos initial weight'!$C$5:$C$1749,MATCH(H151, 'Green_rooibos initial weight'!$A$5:$A$1749,0)),"")</f>
        <v>2.1230000000000002</v>
      </c>
      <c r="K151">
        <f>IFERROR(INDEX('Green_rooibos initial weight'!$C$5:$C$1749,MATCH(I151, 'Green_rooibos initial weight'!$A$5:$A$1749,0)),"")</f>
        <v>2.206</v>
      </c>
      <c r="L151" s="195">
        <f t="shared" si="12"/>
        <v>1.8732000000000002</v>
      </c>
      <c r="M151" s="195">
        <f t="shared" si="13"/>
        <v>1.9561999999999999</v>
      </c>
      <c r="N151" s="16">
        <f>IF('Dry_Litterbag Placem_Collection'!G78="N.A","",'Dry_Litterbag Placem_Collection'!G78)</f>
        <v>43006</v>
      </c>
      <c r="O151" s="195">
        <f>IF(IFERROR(INDEX('Both teabags AfterDry'!$D$1:$D$839,MATCH(H151,'Both teabags AfterDry'!$A$1:$A$839,0)),"")="N.A","",(IFERROR(INDEX('Both teabags AfterDry'!$D$1:$D$839,MATCH(H151,'Both teabags AfterDry'!$A$1:$A$839,0)),"")))</f>
        <v>1.9540999999999999</v>
      </c>
      <c r="P151" s="195">
        <f>IF(IFERROR(INDEX('Both teabags AfterDry'!$D$1:$D$839,MATCH(I151,'Both teabags AfterDry'!$A$1:$A$839,0)),"")="N.A","",(IFERROR(INDEX('Both teabags AfterDry'!$D$1:$D$839,MATCH(I151,'Both teabags AfterDry'!$A$1:$A$839,0)),"")))</f>
        <v>1.9444999999999999</v>
      </c>
      <c r="Q151" s="195">
        <f t="shared" si="14"/>
        <v>1.8034999999999999</v>
      </c>
      <c r="R151" s="195">
        <f t="shared" si="14"/>
        <v>1.7938999999999998</v>
      </c>
      <c r="S151" s="195">
        <f t="shared" si="9"/>
        <v>3.7209054025197696E-2</v>
      </c>
      <c r="T151" s="195">
        <f t="shared" si="15"/>
        <v>2.4393584111531062E-2</v>
      </c>
      <c r="U151" s="195">
        <f t="shared" si="10"/>
        <v>0.91703302320826086</v>
      </c>
      <c r="V151">
        <f t="shared" si="11"/>
        <v>69</v>
      </c>
      <c r="W151" s="195">
        <f t="shared" si="16"/>
        <v>0.95580872443563214</v>
      </c>
      <c r="X151" s="195" t="str">
        <f t="shared" si="17"/>
        <v/>
      </c>
      <c r="Y151" s="255" t="str">
        <f>IF(ISNUMBER(SEARCH("C", 'Dry_Litterbag Placem_Collection'!T78)),"YES","NO")</f>
        <v>NO</v>
      </c>
      <c r="Z151" s="255" t="str">
        <f>IF(ISNUMBER(SEARCH("H", 'Dry_Litterbag Placem_Collection'!T78)),"YES","NO")</f>
        <v>NO</v>
      </c>
      <c r="AA151" s="255" t="str">
        <f>IF(ISNUMBER(SEARCH("R", 'Dry_Litterbag Placem_Collection'!T78)),"YES","NO")</f>
        <v>NO</v>
      </c>
      <c r="AB151" s="255" t="str">
        <f>IF(ISNUMBER(SEARCH("C", 'Dry_Litterbag Placem_Collection'!S78)),"YES","NO")</f>
        <v>NO</v>
      </c>
      <c r="AC151" s="255" t="str">
        <f>IF(ISNUMBER(SEARCH("H", 'Dry_Litterbag Placem_Collection'!S78)),"YES","NO")</f>
        <v>NO</v>
      </c>
      <c r="AD151" s="255" t="str">
        <f>IF(ISNUMBER(SEARCH("R", 'Dry_Litterbag Placem_Collection'!S78)),"YES","NO")</f>
        <v>NO</v>
      </c>
    </row>
    <row r="152" spans="2:30">
      <c r="B152" t="str">
        <f>'Final data_for_R_analysis_Dryse'!A78</f>
        <v>Dry</v>
      </c>
      <c r="C152" s="263">
        <f>'Final data_for_R_analysis_Dryse'!B78</f>
        <v>77</v>
      </c>
      <c r="D152" t="s">
        <v>3838</v>
      </c>
      <c r="E152" t="s">
        <v>22</v>
      </c>
      <c r="F152" s="387">
        <v>5</v>
      </c>
      <c r="G152" s="16">
        <f>'Dry_Litterbag Placem_Collection'!E79</f>
        <v>0</v>
      </c>
      <c r="H152" t="str">
        <f>'Final data_for_R_analysis_Dryse'!J78</f>
        <v/>
      </c>
      <c r="I152" t="str">
        <f>'Final data_for_R_analysis_Dryse'!J298</f>
        <v/>
      </c>
      <c r="J152" t="str">
        <f>IFERROR(INDEX('Green_rooibos initial weight'!$C$5:$C$1749,MATCH(H152, 'Green_rooibos initial weight'!$A$5:$A$1749,0)),"")</f>
        <v/>
      </c>
      <c r="K152" t="str">
        <f>IFERROR(INDEX('Green_rooibos initial weight'!$C$5:$C$1749,MATCH(I152, 'Green_rooibos initial weight'!$A$5:$A$1749,0)),"")</f>
        <v/>
      </c>
      <c r="L152" s="195" t="str">
        <f t="shared" si="12"/>
        <v/>
      </c>
      <c r="M152" s="195" t="str">
        <f t="shared" si="13"/>
        <v/>
      </c>
      <c r="N152" s="16">
        <f>IF('Dry_Litterbag Placem_Collection'!G79="N.A","",'Dry_Litterbag Placem_Collection'!G79)</f>
        <v>0</v>
      </c>
      <c r="O152" s="195" t="str">
        <f>IF(IFERROR(INDEX('Both teabags AfterDry'!$D$1:$D$839,MATCH(H152,'Both teabags AfterDry'!$A$1:$A$839,0)),"")="N.A","",(IFERROR(INDEX('Both teabags AfterDry'!$D$1:$D$839,MATCH(H152,'Both teabags AfterDry'!$A$1:$A$839,0)),"")))</f>
        <v/>
      </c>
      <c r="P152" s="195" t="str">
        <f>IF(IFERROR(INDEX('Both teabags AfterDry'!$D$1:$D$839,MATCH(I152,'Both teabags AfterDry'!$A$1:$A$839,0)),"")="N.A","",(IFERROR(INDEX('Both teabags AfterDry'!$D$1:$D$839,MATCH(I152,'Both teabags AfterDry'!$A$1:$A$839,0)),"")))</f>
        <v/>
      </c>
      <c r="Q152" s="195" t="str">
        <f t="shared" si="14"/>
        <v/>
      </c>
      <c r="R152" s="195" t="str">
        <f t="shared" si="14"/>
        <v/>
      </c>
      <c r="S152" s="195" t="str">
        <f t="shared" si="9"/>
        <v/>
      </c>
      <c r="T152" s="195" t="str">
        <f t="shared" si="15"/>
        <v/>
      </c>
      <c r="U152" s="195" t="str">
        <f t="shared" si="10"/>
        <v/>
      </c>
      <c r="V152" t="str">
        <f t="shared" si="11"/>
        <v/>
      </c>
      <c r="W152" s="195" t="str">
        <f t="shared" si="16"/>
        <v/>
      </c>
      <c r="X152" s="195" t="str">
        <f t="shared" si="17"/>
        <v/>
      </c>
      <c r="Y152" s="255" t="str">
        <f>IF(ISNUMBER(SEARCH("C", 'Dry_Litterbag Placem_Collection'!T79)),"YES","NO")</f>
        <v>NO</v>
      </c>
      <c r="Z152" s="255" t="str">
        <f>IF(ISNUMBER(SEARCH("H", 'Dry_Litterbag Placem_Collection'!T79)),"YES","NO")</f>
        <v>NO</v>
      </c>
      <c r="AA152" s="255" t="str">
        <f>IF(ISNUMBER(SEARCH("R", 'Dry_Litterbag Placem_Collection'!T79)),"YES","NO")</f>
        <v>NO</v>
      </c>
      <c r="AB152" s="255" t="str">
        <f>IF(ISNUMBER(SEARCH("C", 'Dry_Litterbag Placem_Collection'!S79)),"YES","NO")</f>
        <v>NO</v>
      </c>
      <c r="AC152" s="255" t="str">
        <f>IF(ISNUMBER(SEARCH("H", 'Dry_Litterbag Placem_Collection'!S79)),"YES","NO")</f>
        <v>NO</v>
      </c>
      <c r="AD152" s="255" t="str">
        <f>IF(ISNUMBER(SEARCH("R", 'Dry_Litterbag Placem_Collection'!S79)),"YES","NO")</f>
        <v>NO</v>
      </c>
    </row>
    <row r="153" spans="2:30">
      <c r="B153" t="str">
        <f>'Final data_for_R_analysis_Dryse'!A79</f>
        <v>Dry</v>
      </c>
      <c r="C153" s="263">
        <f>'Final data_for_R_analysis_Dryse'!B79</f>
        <v>78</v>
      </c>
      <c r="D153" t="s">
        <v>3838</v>
      </c>
      <c r="E153" t="s">
        <v>22</v>
      </c>
      <c r="F153" s="387">
        <v>6</v>
      </c>
      <c r="G153" s="16">
        <f>'Dry_Litterbag Placem_Collection'!E80</f>
        <v>42937</v>
      </c>
      <c r="H153" t="str">
        <f>'Final data_for_R_analysis_Dryse'!J79</f>
        <v>G97</v>
      </c>
      <c r="I153" t="str">
        <f>'Final data_for_R_analysis_Dryse'!J299</f>
        <v>R696</v>
      </c>
      <c r="J153">
        <f>IFERROR(INDEX('Green_rooibos initial weight'!$C$5:$C$1749,MATCH(H153, 'Green_rooibos initial weight'!$A$5:$A$1749,0)),"")</f>
        <v>2.0960000000000001</v>
      </c>
      <c r="K153">
        <f>IFERROR(INDEX('Green_rooibos initial weight'!$C$5:$C$1749,MATCH(I153, 'Green_rooibos initial weight'!$A$5:$A$1749,0)),"")</f>
        <v>2.1389999999999998</v>
      </c>
      <c r="L153" s="195">
        <f t="shared" si="12"/>
        <v>1.8462000000000001</v>
      </c>
      <c r="M153" s="195">
        <f t="shared" si="13"/>
        <v>1.8891999999999998</v>
      </c>
      <c r="N153" s="16">
        <f>IF('Dry_Litterbag Placem_Collection'!G80="N.A","",'Dry_Litterbag Placem_Collection'!G80)</f>
        <v>43006</v>
      </c>
      <c r="O153" s="195">
        <f>IF(IFERROR(INDEX('Both teabags AfterDry'!$D$1:$D$839,MATCH(H153,'Both teabags AfterDry'!$A$1:$A$839,0)),"")="N.A","",(IFERROR(INDEX('Both teabags AfterDry'!$D$1:$D$839,MATCH(H153,'Both teabags AfterDry'!$A$1:$A$839,0)),"")))</f>
        <v>1.7647999999999999</v>
      </c>
      <c r="P153" s="195">
        <f>IF(IFERROR(INDEX('Both teabags AfterDry'!$D$1:$D$839,MATCH(I153,'Both teabags AfterDry'!$A$1:$A$839,0)),"")="N.A","",(IFERROR(INDEX('Both teabags AfterDry'!$D$1:$D$839,MATCH(I153,'Both teabags AfterDry'!$A$1:$A$839,0)),"")))</f>
        <v>1.9605999999999999</v>
      </c>
      <c r="Q153" s="195">
        <f t="shared" si="14"/>
        <v>1.6141999999999999</v>
      </c>
      <c r="R153" s="195">
        <f t="shared" si="14"/>
        <v>1.8099999999999998</v>
      </c>
      <c r="S153" s="195">
        <f t="shared" si="9"/>
        <v>0.12566352507853984</v>
      </c>
      <c r="T153" s="195">
        <f t="shared" si="15"/>
        <v>8.2382738531299293E-2</v>
      </c>
      <c r="U153" s="195">
        <f t="shared" si="10"/>
        <v>0.95807749311878043</v>
      </c>
      <c r="V153">
        <f t="shared" si="11"/>
        <v>69</v>
      </c>
      <c r="W153" s="195">
        <f t="shared" si="16"/>
        <v>0.85075590845779114</v>
      </c>
      <c r="X153" s="195">
        <f t="shared" si="17"/>
        <v>1.03051648404953E-2</v>
      </c>
      <c r="Y153" s="255" t="str">
        <f>IF(ISNUMBER(SEARCH("C", 'Dry_Litterbag Placem_Collection'!T80)),"YES","NO")</f>
        <v>NO</v>
      </c>
      <c r="Z153" s="255" t="str">
        <f>IF(ISNUMBER(SEARCH("H", 'Dry_Litterbag Placem_Collection'!T80)),"YES","NO")</f>
        <v>YES</v>
      </c>
      <c r="AA153" s="255" t="str">
        <f>IF(ISNUMBER(SEARCH("R", 'Dry_Litterbag Placem_Collection'!T80)),"YES","NO")</f>
        <v>NO</v>
      </c>
      <c r="AB153" s="255" t="str">
        <f>IF(ISNUMBER(SEARCH("C", 'Dry_Litterbag Placem_Collection'!S80)),"YES","NO")</f>
        <v>NO</v>
      </c>
      <c r="AC153" s="255" t="str">
        <f>IF(ISNUMBER(SEARCH("H", 'Dry_Litterbag Placem_Collection'!S80)),"YES","NO")</f>
        <v>YES</v>
      </c>
      <c r="AD153" s="255" t="str">
        <f>IF(ISNUMBER(SEARCH("R", 'Dry_Litterbag Placem_Collection'!S80)),"YES","NO")</f>
        <v>NO</v>
      </c>
    </row>
    <row r="154" spans="2:30">
      <c r="B154" t="str">
        <f>'Final data_for_R_analysis_Dryse'!A80</f>
        <v>Dry</v>
      </c>
      <c r="C154" s="263">
        <f>'Final data_for_R_analysis_Dryse'!B80</f>
        <v>79</v>
      </c>
      <c r="D154" t="s">
        <v>3838</v>
      </c>
      <c r="E154" t="s">
        <v>22</v>
      </c>
      <c r="F154" s="387">
        <v>7</v>
      </c>
      <c r="G154" s="16">
        <f>'Dry_Litterbag Placem_Collection'!E81</f>
        <v>42937</v>
      </c>
      <c r="H154" t="str">
        <f>'Final data_for_R_analysis_Dryse'!J80</f>
        <v>G130</v>
      </c>
      <c r="I154" t="str">
        <f>'Final data_for_R_analysis_Dryse'!J300</f>
        <v>R270</v>
      </c>
      <c r="J154">
        <f>IFERROR(INDEX('Green_rooibos initial weight'!$C$5:$C$1749,MATCH(H154, 'Green_rooibos initial weight'!$A$5:$A$1749,0)),"")</f>
        <v>1.976</v>
      </c>
      <c r="K154">
        <f>IFERROR(INDEX('Green_rooibos initial weight'!$C$5:$C$1749,MATCH(I154, 'Green_rooibos initial weight'!$A$5:$A$1749,0)),"")</f>
        <v>2.2170000000000001</v>
      </c>
      <c r="L154" s="195">
        <f t="shared" si="12"/>
        <v>1.7262</v>
      </c>
      <c r="M154" s="195">
        <f t="shared" si="13"/>
        <v>1.9672000000000001</v>
      </c>
      <c r="N154" s="16">
        <f>IF('Dry_Litterbag Placem_Collection'!G81="N.A","",'Dry_Litterbag Placem_Collection'!G81)</f>
        <v>43006</v>
      </c>
      <c r="O154" s="195">
        <f>IF(IFERROR(INDEX('Both teabags AfterDry'!$D$1:$D$839,MATCH(H154,'Both teabags AfterDry'!$A$1:$A$839,0)),"")="N.A","",(IFERROR(INDEX('Both teabags AfterDry'!$D$1:$D$839,MATCH(H154,'Both teabags AfterDry'!$A$1:$A$839,0)),"")))</f>
        <v>1.8545</v>
      </c>
      <c r="P154" s="195">
        <f>IF(IFERROR(INDEX('Both teabags AfterDry'!$D$1:$D$839,MATCH(I154,'Both teabags AfterDry'!$A$1:$A$839,0)),"")="N.A","",(IFERROR(INDEX('Both teabags AfterDry'!$D$1:$D$839,MATCH(I154,'Both teabags AfterDry'!$A$1:$A$839,0)),"")))</f>
        <v>1.9970000000000001</v>
      </c>
      <c r="Q154" s="195">
        <f t="shared" si="14"/>
        <v>1.7039</v>
      </c>
      <c r="R154" s="195">
        <f t="shared" si="14"/>
        <v>1.8464</v>
      </c>
      <c r="S154" s="195">
        <f t="shared" si="9"/>
        <v>1.2918549414899783E-2</v>
      </c>
      <c r="T154" s="195">
        <f t="shared" si="15"/>
        <v>8.4691677874402255E-3</v>
      </c>
      <c r="U154" s="195">
        <f t="shared" si="10"/>
        <v>0.93859292395282634</v>
      </c>
      <c r="V154">
        <f t="shared" si="11"/>
        <v>69</v>
      </c>
      <c r="W154" s="195">
        <f t="shared" si="16"/>
        <v>0.98465730473289814</v>
      </c>
      <c r="X154" s="195" t="str">
        <f t="shared" si="17"/>
        <v/>
      </c>
      <c r="Y154" s="255" t="str">
        <f>IF(ISNUMBER(SEARCH("C", 'Dry_Litterbag Placem_Collection'!T81)),"YES","NO")</f>
        <v>NO</v>
      </c>
      <c r="Z154" s="255" t="str">
        <f>IF(ISNUMBER(SEARCH("H", 'Dry_Litterbag Placem_Collection'!T81)),"YES","NO")</f>
        <v>NO</v>
      </c>
      <c r="AA154" s="255" t="str">
        <f>IF(ISNUMBER(SEARCH("R", 'Dry_Litterbag Placem_Collection'!T81)),"YES","NO")</f>
        <v>NO</v>
      </c>
      <c r="AB154" s="255" t="str">
        <f>IF(ISNUMBER(SEARCH("C", 'Dry_Litterbag Placem_Collection'!S81)),"YES","NO")</f>
        <v>NO</v>
      </c>
      <c r="AC154" s="255" t="str">
        <f>IF(ISNUMBER(SEARCH("H", 'Dry_Litterbag Placem_Collection'!S81)),"YES","NO")</f>
        <v>NO</v>
      </c>
      <c r="AD154" s="255" t="str">
        <f>IF(ISNUMBER(SEARCH("R", 'Dry_Litterbag Placem_Collection'!S81)),"YES","NO")</f>
        <v>NO</v>
      </c>
    </row>
    <row r="155" spans="2:30">
      <c r="B155" t="str">
        <f>'Final data_for_R_analysis_Dryse'!A81</f>
        <v>Dry</v>
      </c>
      <c r="C155" s="263">
        <f>'Final data_for_R_analysis_Dryse'!B81</f>
        <v>80</v>
      </c>
      <c r="D155" t="s">
        <v>3838</v>
      </c>
      <c r="E155" t="s">
        <v>22</v>
      </c>
      <c r="F155" s="387">
        <v>8</v>
      </c>
      <c r="G155" s="16">
        <f>'Dry_Litterbag Placem_Collection'!E82</f>
        <v>42937</v>
      </c>
      <c r="H155" t="str">
        <f>'Final data_for_R_analysis_Dryse'!J81</f>
        <v>G24</v>
      </c>
      <c r="I155" t="str">
        <f>'Final data_for_R_analysis_Dryse'!J301</f>
        <v>R726</v>
      </c>
      <c r="J155">
        <f>IFERROR(INDEX('Green_rooibos initial weight'!$C$5:$C$1749,MATCH(H155, 'Green_rooibos initial weight'!$A$5:$A$1749,0)),"")</f>
        <v>2.09</v>
      </c>
      <c r="K155">
        <f>IFERROR(INDEX('Green_rooibos initial weight'!$C$5:$C$1749,MATCH(I155, 'Green_rooibos initial weight'!$A$5:$A$1749,0)),"")</f>
        <v>2.2810000000000001</v>
      </c>
      <c r="L155" s="195">
        <f t="shared" si="12"/>
        <v>1.8401999999999998</v>
      </c>
      <c r="M155" s="195">
        <f t="shared" si="13"/>
        <v>2.0312000000000001</v>
      </c>
      <c r="N155" s="16">
        <f>IF('Dry_Litterbag Placem_Collection'!G82="N.A","",'Dry_Litterbag Placem_Collection'!G82)</f>
        <v>43006</v>
      </c>
      <c r="O155" s="195">
        <f>IF(IFERROR(INDEX('Both teabags AfterDry'!$D$1:$D$839,MATCH(H155,'Both teabags AfterDry'!$A$1:$A$839,0)),"")="N.A","",(IFERROR(INDEX('Both teabags AfterDry'!$D$1:$D$839,MATCH(H155,'Both teabags AfterDry'!$A$1:$A$839,0)),"")))</f>
        <v>1.9084000000000001</v>
      </c>
      <c r="P155" s="195">
        <f>IF(IFERROR(INDEX('Both teabags AfterDry'!$D$1:$D$839,MATCH(I155,'Both teabags AfterDry'!$A$1:$A$839,0)),"")="N.A","",(IFERROR(INDEX('Both teabags AfterDry'!$D$1:$D$839,MATCH(I155,'Both teabags AfterDry'!$A$1:$A$839,0)),"")))</f>
        <v>1.9471000000000001</v>
      </c>
      <c r="Q155" s="195">
        <f t="shared" si="14"/>
        <v>1.7578</v>
      </c>
      <c r="R155" s="195">
        <f t="shared" si="14"/>
        <v>1.7965</v>
      </c>
      <c r="S155" s="195">
        <f t="shared" si="9"/>
        <v>4.4777741549831385E-2</v>
      </c>
      <c r="T155" s="195">
        <f t="shared" si="15"/>
        <v>2.9355479020792084E-2</v>
      </c>
      <c r="U155" s="195">
        <f t="shared" si="10"/>
        <v>0.88445254037022447</v>
      </c>
      <c r="V155">
        <f t="shared" si="11"/>
        <v>69</v>
      </c>
      <c r="W155" s="195">
        <f t="shared" si="16"/>
        <v>0.94681978438262304</v>
      </c>
      <c r="X155" s="195" t="str">
        <f t="shared" si="17"/>
        <v/>
      </c>
      <c r="Y155" s="255" t="str">
        <f>IF(ISNUMBER(SEARCH("C", 'Dry_Litterbag Placem_Collection'!T82)),"YES","NO")</f>
        <v>NO</v>
      </c>
      <c r="Z155" s="255" t="str">
        <f>IF(ISNUMBER(SEARCH("H", 'Dry_Litterbag Placem_Collection'!T82)),"YES","NO")</f>
        <v>NO</v>
      </c>
      <c r="AA155" s="255" t="str">
        <f>IF(ISNUMBER(SEARCH("R", 'Dry_Litterbag Placem_Collection'!T82)),"YES","NO")</f>
        <v>NO</v>
      </c>
      <c r="AB155" s="255" t="str">
        <f>IF(ISNUMBER(SEARCH("C", 'Dry_Litterbag Placem_Collection'!S82)),"YES","NO")</f>
        <v>NO</v>
      </c>
      <c r="AC155" s="255" t="str">
        <f>IF(ISNUMBER(SEARCH("H", 'Dry_Litterbag Placem_Collection'!S82)),"YES","NO")</f>
        <v>NO</v>
      </c>
      <c r="AD155" s="255" t="str">
        <f>IF(ISNUMBER(SEARCH("R", 'Dry_Litterbag Placem_Collection'!S82)),"YES","NO")</f>
        <v>NO</v>
      </c>
    </row>
    <row r="156" spans="2:30">
      <c r="B156" t="str">
        <f>'Final data_for_R_analysis_Dryse'!A82</f>
        <v>Dry</v>
      </c>
      <c r="C156" s="263">
        <f>'Final data_for_R_analysis_Dryse'!B82</f>
        <v>81</v>
      </c>
      <c r="D156" t="s">
        <v>3839</v>
      </c>
      <c r="E156" t="s">
        <v>22</v>
      </c>
      <c r="F156" s="386">
        <v>1</v>
      </c>
      <c r="G156" s="16">
        <f>'Dry_Litterbag Placem_Collection'!E83</f>
        <v>42937</v>
      </c>
      <c r="H156" t="str">
        <f>'Final data_for_R_analysis_Dryse'!J82</f>
        <v>G312</v>
      </c>
      <c r="I156" t="str">
        <f>'Final data_for_R_analysis_Dryse'!J302</f>
        <v>R739</v>
      </c>
      <c r="J156">
        <f>IFERROR(INDEX('Green_rooibos initial weight'!$C$5:$C$1749,MATCH(H156, 'Green_rooibos initial weight'!$A$5:$A$1749,0)),"")</f>
        <v>2.0179999999999998</v>
      </c>
      <c r="K156">
        <f>IFERROR(INDEX('Green_rooibos initial weight'!$C$5:$C$1749,MATCH(I156, 'Green_rooibos initial weight'!$A$5:$A$1749,0)),"")</f>
        <v>2.222</v>
      </c>
      <c r="L156" s="195">
        <f t="shared" si="12"/>
        <v>1.7681999999999998</v>
      </c>
      <c r="M156" s="195">
        <f t="shared" si="13"/>
        <v>1.9722</v>
      </c>
      <c r="N156" s="16">
        <f>IF('Dry_Litterbag Placem_Collection'!G83="N.A","",'Dry_Litterbag Placem_Collection'!G83)</f>
        <v>43006</v>
      </c>
      <c r="O156" s="195">
        <f>IF(IFERROR(INDEX('Both teabags AfterDry'!$D$1:$D$839,MATCH(H156,'Both teabags AfterDry'!$A$1:$A$839,0)),"")="N.A","",(IFERROR(INDEX('Both teabags AfterDry'!$D$1:$D$839,MATCH(H156,'Both teabags AfterDry'!$A$1:$A$839,0)),"")))</f>
        <v>1.7978000000000001</v>
      </c>
      <c r="P156" s="195">
        <f>IF(IFERROR(INDEX('Both teabags AfterDry'!$D$1:$D$839,MATCH(I156,'Both teabags AfterDry'!$A$1:$A$839,0)),"")="N.A","",(IFERROR(INDEX('Both teabags AfterDry'!$D$1:$D$839,MATCH(I156,'Both teabags AfterDry'!$A$1:$A$839,0)),"")))</f>
        <v>1.9457</v>
      </c>
      <c r="Q156" s="195">
        <f t="shared" si="14"/>
        <v>1.6472</v>
      </c>
      <c r="R156" s="195">
        <f t="shared" si="14"/>
        <v>1.7950999999999999</v>
      </c>
      <c r="S156" s="195">
        <f t="shared" si="9"/>
        <v>6.8431172944236951E-2</v>
      </c>
      <c r="T156" s="195">
        <f t="shared" si="15"/>
        <v>4.486224164515297E-2</v>
      </c>
      <c r="U156" s="195">
        <f t="shared" si="10"/>
        <v>0.91020180509076154</v>
      </c>
      <c r="V156">
        <f t="shared" si="11"/>
        <v>69</v>
      </c>
      <c r="W156" s="195">
        <f t="shared" si="16"/>
        <v>0.91872782310660694</v>
      </c>
      <c r="X156" s="195" t="str">
        <f t="shared" si="17"/>
        <v/>
      </c>
      <c r="Y156" s="255" t="str">
        <f>IF(ISNUMBER(SEARCH("C", 'Dry_Litterbag Placem_Collection'!T83)),"YES","NO")</f>
        <v>NO</v>
      </c>
      <c r="Z156" s="255" t="str">
        <f>IF(ISNUMBER(SEARCH("H", 'Dry_Litterbag Placem_Collection'!T83)),"YES","NO")</f>
        <v>NO</v>
      </c>
      <c r="AA156" s="255" t="str">
        <f>IF(ISNUMBER(SEARCH("R", 'Dry_Litterbag Placem_Collection'!T83)),"YES","NO")</f>
        <v>NO</v>
      </c>
      <c r="AB156" s="255" t="str">
        <f>IF(ISNUMBER(SEARCH("C", 'Dry_Litterbag Placem_Collection'!S83)),"YES","NO")</f>
        <v>NO</v>
      </c>
      <c r="AC156" s="255" t="str">
        <f>IF(ISNUMBER(SEARCH("H", 'Dry_Litterbag Placem_Collection'!S83)),"YES","NO")</f>
        <v>NO</v>
      </c>
      <c r="AD156" s="255" t="str">
        <f>IF(ISNUMBER(SEARCH("R", 'Dry_Litterbag Placem_Collection'!S83)),"YES","NO")</f>
        <v>NO</v>
      </c>
    </row>
    <row r="157" spans="2:30">
      <c r="B157" t="str">
        <f>'Final data_for_R_analysis_Dryse'!A83</f>
        <v>Dry</v>
      </c>
      <c r="C157" s="263">
        <f>'Final data_for_R_analysis_Dryse'!B83</f>
        <v>82</v>
      </c>
      <c r="D157" t="s">
        <v>3839</v>
      </c>
      <c r="E157" t="s">
        <v>22</v>
      </c>
      <c r="F157" s="386">
        <v>2</v>
      </c>
      <c r="G157" s="16">
        <f>'Dry_Litterbag Placem_Collection'!E84</f>
        <v>42937</v>
      </c>
      <c r="H157" t="str">
        <f>'Final data_for_R_analysis_Dryse'!J83</f>
        <v>G356</v>
      </c>
      <c r="I157" t="str">
        <f>'Final data_for_R_analysis_Dryse'!J303</f>
        <v>R800</v>
      </c>
      <c r="J157">
        <f>IFERROR(INDEX('Green_rooibos initial weight'!$C$5:$C$1749,MATCH(H157, 'Green_rooibos initial weight'!$A$5:$A$1749,0)),"")</f>
        <v>1.9870000000000001</v>
      </c>
      <c r="K157">
        <f>IFERROR(INDEX('Green_rooibos initial weight'!$C$5:$C$1749,MATCH(I157, 'Green_rooibos initial weight'!$A$5:$A$1749,0)),"")</f>
        <v>2.1579999999999999</v>
      </c>
      <c r="L157" s="195">
        <f t="shared" si="12"/>
        <v>1.7372000000000001</v>
      </c>
      <c r="M157" s="195">
        <f t="shared" si="13"/>
        <v>1.9081999999999999</v>
      </c>
      <c r="N157" s="16">
        <f>IF('Dry_Litterbag Placem_Collection'!G84="N.A","",'Dry_Litterbag Placem_Collection'!G84)</f>
        <v>43006</v>
      </c>
      <c r="O157" s="195">
        <f>IF(IFERROR(INDEX('Both teabags AfterDry'!$D$1:$D$839,MATCH(H157,'Both teabags AfterDry'!$A$1:$A$839,0)),"")="N.A","",(IFERROR(INDEX('Both teabags AfterDry'!$D$1:$D$839,MATCH(H157,'Both teabags AfterDry'!$A$1:$A$839,0)),"")))</f>
        <v>1.7767999999999999</v>
      </c>
      <c r="P157" s="195">
        <f>IF(IFERROR(INDEX('Both teabags AfterDry'!$D$1:$D$839,MATCH(I157,'Both teabags AfterDry'!$A$1:$A$839,0)),"")="N.A","",(IFERROR(INDEX('Both teabags AfterDry'!$D$1:$D$839,MATCH(I157,'Both teabags AfterDry'!$A$1:$A$839,0)),"")))</f>
        <v>1.8712</v>
      </c>
      <c r="Q157" s="195">
        <f t="shared" si="14"/>
        <v>1.6261999999999999</v>
      </c>
      <c r="R157" s="195">
        <f t="shared" si="14"/>
        <v>1.7205999999999999</v>
      </c>
      <c r="S157" s="195">
        <f t="shared" si="9"/>
        <v>6.3895924476168653E-2</v>
      </c>
      <c r="T157" s="195">
        <f t="shared" si="15"/>
        <v>4.1889014620956198E-2</v>
      </c>
      <c r="U157" s="195">
        <f t="shared" si="10"/>
        <v>0.90168745414526774</v>
      </c>
      <c r="V157">
        <f t="shared" si="11"/>
        <v>69</v>
      </c>
      <c r="W157" s="195">
        <f t="shared" si="16"/>
        <v>0.92411410394754312</v>
      </c>
      <c r="X157" s="195" t="str">
        <f t="shared" si="17"/>
        <v/>
      </c>
      <c r="Y157" s="255" t="str">
        <f>IF(ISNUMBER(SEARCH("C", 'Dry_Litterbag Placem_Collection'!T84)),"YES","NO")</f>
        <v>NO</v>
      </c>
      <c r="Z157" s="255" t="str">
        <f>IF(ISNUMBER(SEARCH("H", 'Dry_Litterbag Placem_Collection'!T84)),"YES","NO")</f>
        <v>NO</v>
      </c>
      <c r="AA157" s="255" t="str">
        <f>IF(ISNUMBER(SEARCH("R", 'Dry_Litterbag Placem_Collection'!T84)),"YES","NO")</f>
        <v>NO</v>
      </c>
      <c r="AB157" s="255" t="str">
        <f>IF(ISNUMBER(SEARCH("C", 'Dry_Litterbag Placem_Collection'!S84)),"YES","NO")</f>
        <v>NO</v>
      </c>
      <c r="AC157" s="255" t="str">
        <f>IF(ISNUMBER(SEARCH("H", 'Dry_Litterbag Placem_Collection'!S84)),"YES","NO")</f>
        <v>NO</v>
      </c>
      <c r="AD157" s="255" t="str">
        <f>IF(ISNUMBER(SEARCH("R", 'Dry_Litterbag Placem_Collection'!S84)),"YES","NO")</f>
        <v>NO</v>
      </c>
    </row>
    <row r="158" spans="2:30">
      <c r="B158" t="str">
        <f>'Final data_for_R_analysis_Dryse'!A84</f>
        <v>Dry</v>
      </c>
      <c r="C158" s="263">
        <f>'Final data_for_R_analysis_Dryse'!B84</f>
        <v>83</v>
      </c>
      <c r="D158" t="s">
        <v>3839</v>
      </c>
      <c r="E158" t="s">
        <v>22</v>
      </c>
      <c r="F158" s="386">
        <v>3</v>
      </c>
      <c r="G158" s="16">
        <f>'Dry_Litterbag Placem_Collection'!E85</f>
        <v>42937</v>
      </c>
      <c r="H158" t="str">
        <f>'Final data_for_R_analysis_Dryse'!J84</f>
        <v>G331</v>
      </c>
      <c r="I158" t="str">
        <f>'Final data_for_R_analysis_Dryse'!J304</f>
        <v>R764</v>
      </c>
      <c r="J158">
        <f>IFERROR(INDEX('Green_rooibos initial weight'!$C$5:$C$1749,MATCH(H158, 'Green_rooibos initial weight'!$A$5:$A$1749,0)),"")</f>
        <v>2.0550000000000002</v>
      </c>
      <c r="K158">
        <f>IFERROR(INDEX('Green_rooibos initial weight'!$C$5:$C$1749,MATCH(I158, 'Green_rooibos initial weight'!$A$5:$A$1749,0)),"")</f>
        <v>2.2160000000000002</v>
      </c>
      <c r="L158" s="195">
        <f t="shared" si="12"/>
        <v>1.8052000000000001</v>
      </c>
      <c r="M158" s="195">
        <f t="shared" si="13"/>
        <v>1.9662000000000002</v>
      </c>
      <c r="N158" s="16">
        <f>IF('Dry_Litterbag Placem_Collection'!G85="N.A","",'Dry_Litterbag Placem_Collection'!G85)</f>
        <v>43006</v>
      </c>
      <c r="O158" s="195">
        <f>IF(IFERROR(INDEX('Both teabags AfterDry'!$D$1:$D$839,MATCH(H158,'Both teabags AfterDry'!$A$1:$A$839,0)),"")="N.A","",(IFERROR(INDEX('Both teabags AfterDry'!$D$1:$D$839,MATCH(H158,'Both teabags AfterDry'!$A$1:$A$839,0)),"")))</f>
        <v>1.8354999999999999</v>
      </c>
      <c r="P158" s="195">
        <f>IF(IFERROR(INDEX('Both teabags AfterDry'!$D$1:$D$839,MATCH(I158,'Both teabags AfterDry'!$A$1:$A$839,0)),"")="N.A","",(IFERROR(INDEX('Both teabags AfterDry'!$D$1:$D$839,MATCH(I158,'Both teabags AfterDry'!$A$1:$A$839,0)),"")))</f>
        <v>1.9178999999999999</v>
      </c>
      <c r="Q158" s="195">
        <f t="shared" si="14"/>
        <v>1.6848999999999998</v>
      </c>
      <c r="R158" s="195">
        <f t="shared" si="14"/>
        <v>1.7672999999999999</v>
      </c>
      <c r="S158" s="195">
        <f t="shared" si="9"/>
        <v>6.6640815422114086E-2</v>
      </c>
      <c r="T158" s="195">
        <f t="shared" si="15"/>
        <v>4.3688515573642478E-2</v>
      </c>
      <c r="U158" s="195">
        <f t="shared" si="10"/>
        <v>0.8988404028074457</v>
      </c>
      <c r="V158">
        <f t="shared" si="11"/>
        <v>69</v>
      </c>
      <c r="W158" s="195">
        <f t="shared" si="16"/>
        <v>0.92085413845354624</v>
      </c>
      <c r="X158" s="195" t="str">
        <f t="shared" si="17"/>
        <v/>
      </c>
      <c r="Y158" s="255" t="str">
        <f>IF(ISNUMBER(SEARCH("C", 'Dry_Litterbag Placem_Collection'!T85)),"YES","NO")</f>
        <v>NO</v>
      </c>
      <c r="Z158" s="255" t="str">
        <f>IF(ISNUMBER(SEARCH("H", 'Dry_Litterbag Placem_Collection'!T85)),"YES","NO")</f>
        <v>NO</v>
      </c>
      <c r="AA158" s="255" t="str">
        <f>IF(ISNUMBER(SEARCH("R", 'Dry_Litterbag Placem_Collection'!T85)),"YES","NO")</f>
        <v>NO</v>
      </c>
      <c r="AB158" s="255" t="str">
        <f>IF(ISNUMBER(SEARCH("C", 'Dry_Litterbag Placem_Collection'!S85)),"YES","NO")</f>
        <v>NO</v>
      </c>
      <c r="AC158" s="255" t="str">
        <f>IF(ISNUMBER(SEARCH("H", 'Dry_Litterbag Placem_Collection'!S85)),"YES","NO")</f>
        <v>YES</v>
      </c>
      <c r="AD158" s="255" t="str">
        <f>IF(ISNUMBER(SEARCH("R", 'Dry_Litterbag Placem_Collection'!S85)),"YES","NO")</f>
        <v>NO</v>
      </c>
    </row>
    <row r="159" spans="2:30">
      <c r="B159" t="str">
        <f>'Final data_for_R_analysis_Dryse'!A85</f>
        <v>Dry</v>
      </c>
      <c r="C159" s="263">
        <f>'Final data_for_R_analysis_Dryse'!B85</f>
        <v>84</v>
      </c>
      <c r="D159" t="s">
        <v>3839</v>
      </c>
      <c r="E159" t="s">
        <v>22</v>
      </c>
      <c r="F159" s="387">
        <v>4</v>
      </c>
      <c r="G159" s="16">
        <f>'Dry_Litterbag Placem_Collection'!E86</f>
        <v>42937</v>
      </c>
      <c r="H159" t="str">
        <f>'Final data_for_R_analysis_Dryse'!J85</f>
        <v>G101</v>
      </c>
      <c r="I159" t="str">
        <f>'Final data_for_R_analysis_Dryse'!J305</f>
        <v>R778</v>
      </c>
      <c r="J159">
        <f>IFERROR(INDEX('Green_rooibos initial weight'!$C$5:$C$1749,MATCH(H159, 'Green_rooibos initial weight'!$A$5:$A$1749,0)),"")</f>
        <v>2.173</v>
      </c>
      <c r="K159">
        <f>IFERROR(INDEX('Green_rooibos initial weight'!$C$5:$C$1749,MATCH(I159, 'Green_rooibos initial weight'!$A$5:$A$1749,0)),"")</f>
        <v>2.2450000000000001</v>
      </c>
      <c r="L159" s="195">
        <f t="shared" si="12"/>
        <v>1.9232</v>
      </c>
      <c r="M159" s="195">
        <f t="shared" si="13"/>
        <v>1.9952000000000001</v>
      </c>
      <c r="N159" s="16">
        <f>IF('Dry_Litterbag Placem_Collection'!G86="N.A","",'Dry_Litterbag Placem_Collection'!G86)</f>
        <v>43006</v>
      </c>
      <c r="O159" s="195">
        <f>IF(IFERROR(INDEX('Both teabags AfterDry'!$D$1:$D$839,MATCH(H159,'Both teabags AfterDry'!$A$1:$A$839,0)),"")="N.A","",(IFERROR(INDEX('Both teabags AfterDry'!$D$1:$D$839,MATCH(H159,'Both teabags AfterDry'!$A$1:$A$839,0)),"")))</f>
        <v>1.9434</v>
      </c>
      <c r="P159" s="195">
        <f>IF(IFERROR(INDEX('Both teabags AfterDry'!$D$1:$D$839,MATCH(I159,'Both teabags AfterDry'!$A$1:$A$839,0)),"")="N.A","",(IFERROR(INDEX('Both teabags AfterDry'!$D$1:$D$839,MATCH(I159,'Both teabags AfterDry'!$A$1:$A$839,0)),"")))</f>
        <v>1.9495</v>
      </c>
      <c r="Q159" s="195">
        <f t="shared" si="14"/>
        <v>1.7927999999999999</v>
      </c>
      <c r="R159" s="195">
        <f t="shared" si="14"/>
        <v>1.7988999999999999</v>
      </c>
      <c r="S159" s="195">
        <f t="shared" si="9"/>
        <v>6.7803660565723844E-2</v>
      </c>
      <c r="T159" s="195">
        <f t="shared" si="15"/>
        <v>4.4450855857814206E-2</v>
      </c>
      <c r="U159" s="195">
        <f t="shared" si="10"/>
        <v>0.90161387329591014</v>
      </c>
      <c r="V159">
        <f t="shared" si="11"/>
        <v>69</v>
      </c>
      <c r="W159" s="195">
        <f t="shared" si="16"/>
        <v>0.9194730872141047</v>
      </c>
      <c r="X159" s="195" t="str">
        <f t="shared" si="17"/>
        <v/>
      </c>
      <c r="Y159" s="255" t="str">
        <f>IF(ISNUMBER(SEARCH("C", 'Dry_Litterbag Placem_Collection'!T86)),"YES","NO")</f>
        <v>NO</v>
      </c>
      <c r="Z159" s="255" t="str">
        <f>IF(ISNUMBER(SEARCH("H", 'Dry_Litterbag Placem_Collection'!T86)),"YES","NO")</f>
        <v>NO</v>
      </c>
      <c r="AA159" s="255" t="str">
        <f>IF(ISNUMBER(SEARCH("R", 'Dry_Litterbag Placem_Collection'!T86)),"YES","NO")</f>
        <v>NO</v>
      </c>
      <c r="AB159" s="255" t="str">
        <f>IF(ISNUMBER(SEARCH("C", 'Dry_Litterbag Placem_Collection'!S86)),"YES","NO")</f>
        <v>NO</v>
      </c>
      <c r="AC159" s="255" t="str">
        <f>IF(ISNUMBER(SEARCH("H", 'Dry_Litterbag Placem_Collection'!S86)),"YES","NO")</f>
        <v>YES</v>
      </c>
      <c r="AD159" s="255" t="str">
        <f>IF(ISNUMBER(SEARCH("R", 'Dry_Litterbag Placem_Collection'!S86)),"YES","NO")</f>
        <v>NO</v>
      </c>
    </row>
    <row r="160" spans="2:30">
      <c r="B160" t="str">
        <f>'Final data_for_R_analysis_Dryse'!A86</f>
        <v>Dry</v>
      </c>
      <c r="C160" s="263">
        <f>'Final data_for_R_analysis_Dryse'!B86</f>
        <v>85</v>
      </c>
      <c r="D160" t="s">
        <v>3839</v>
      </c>
      <c r="E160" t="s">
        <v>22</v>
      </c>
      <c r="F160" s="387">
        <v>5</v>
      </c>
      <c r="G160" s="16">
        <f>'Dry_Litterbag Placem_Collection'!E87</f>
        <v>0</v>
      </c>
      <c r="H160" t="str">
        <f>'Final data_for_R_analysis_Dryse'!J86</f>
        <v/>
      </c>
      <c r="I160" t="str">
        <f>'Final data_for_R_analysis_Dryse'!J306</f>
        <v/>
      </c>
      <c r="J160" t="str">
        <f>IFERROR(INDEX('Green_rooibos initial weight'!$C$5:$C$1749,MATCH(H160, 'Green_rooibos initial weight'!$A$5:$A$1749,0)),"")</f>
        <v/>
      </c>
      <c r="K160" t="str">
        <f>IFERROR(INDEX('Green_rooibos initial weight'!$C$5:$C$1749,MATCH(I160, 'Green_rooibos initial weight'!$A$5:$A$1749,0)),"")</f>
        <v/>
      </c>
      <c r="L160" s="195" t="str">
        <f t="shared" si="12"/>
        <v/>
      </c>
      <c r="M160" s="195" t="str">
        <f t="shared" si="13"/>
        <v/>
      </c>
      <c r="N160" s="16">
        <f>IF('Dry_Litterbag Placem_Collection'!G87="N.A","",'Dry_Litterbag Placem_Collection'!G87)</f>
        <v>0</v>
      </c>
      <c r="O160" s="195" t="str">
        <f>IF(IFERROR(INDEX('Both teabags AfterDry'!$D$1:$D$839,MATCH(H160,'Both teabags AfterDry'!$A$1:$A$839,0)),"")="N.A","",(IFERROR(INDEX('Both teabags AfterDry'!$D$1:$D$839,MATCH(H160,'Both teabags AfterDry'!$A$1:$A$839,0)),"")))</f>
        <v/>
      </c>
      <c r="P160" s="195" t="str">
        <f>IF(IFERROR(INDEX('Both teabags AfterDry'!$D$1:$D$839,MATCH(I160,'Both teabags AfterDry'!$A$1:$A$839,0)),"")="N.A","",(IFERROR(INDEX('Both teabags AfterDry'!$D$1:$D$839,MATCH(I160,'Both teabags AfterDry'!$A$1:$A$839,0)),"")))</f>
        <v/>
      </c>
      <c r="Q160" s="195" t="str">
        <f t="shared" si="14"/>
        <v/>
      </c>
      <c r="R160" s="195" t="str">
        <f t="shared" si="14"/>
        <v/>
      </c>
      <c r="S160" s="195" t="str">
        <f t="shared" si="9"/>
        <v/>
      </c>
      <c r="T160" s="195" t="str">
        <f t="shared" si="15"/>
        <v/>
      </c>
      <c r="U160" s="195" t="str">
        <f t="shared" si="10"/>
        <v/>
      </c>
      <c r="V160" t="str">
        <f t="shared" si="11"/>
        <v/>
      </c>
      <c r="W160" s="195" t="str">
        <f t="shared" si="16"/>
        <v/>
      </c>
      <c r="X160" s="195" t="str">
        <f t="shared" si="17"/>
        <v/>
      </c>
      <c r="Y160" s="255" t="str">
        <f>IF(ISNUMBER(SEARCH("C", 'Dry_Litterbag Placem_Collection'!T87)),"YES","NO")</f>
        <v>NO</v>
      </c>
      <c r="Z160" s="255" t="str">
        <f>IF(ISNUMBER(SEARCH("H", 'Dry_Litterbag Placem_Collection'!T87)),"YES","NO")</f>
        <v>NO</v>
      </c>
      <c r="AA160" s="255" t="str">
        <f>IF(ISNUMBER(SEARCH("R", 'Dry_Litterbag Placem_Collection'!T87)),"YES","NO")</f>
        <v>NO</v>
      </c>
      <c r="AB160" s="255" t="str">
        <f>IF(ISNUMBER(SEARCH("C", 'Dry_Litterbag Placem_Collection'!S87)),"YES","NO")</f>
        <v>NO</v>
      </c>
      <c r="AC160" s="255" t="str">
        <f>IF(ISNUMBER(SEARCH("H", 'Dry_Litterbag Placem_Collection'!S87)),"YES","NO")</f>
        <v>NO</v>
      </c>
      <c r="AD160" s="255" t="str">
        <f>IF(ISNUMBER(SEARCH("R", 'Dry_Litterbag Placem_Collection'!S87)),"YES","NO")</f>
        <v>NO</v>
      </c>
    </row>
    <row r="161" spans="2:30">
      <c r="B161" t="str">
        <f>'Final data_for_R_analysis_Dryse'!A87</f>
        <v>Dry</v>
      </c>
      <c r="C161" s="263">
        <f>'Final data_for_R_analysis_Dryse'!B87</f>
        <v>86</v>
      </c>
      <c r="D161" t="s">
        <v>3839</v>
      </c>
      <c r="E161" t="s">
        <v>22</v>
      </c>
      <c r="F161" s="387">
        <v>6</v>
      </c>
      <c r="G161" s="16">
        <f>'Dry_Litterbag Placem_Collection'!E88</f>
        <v>42937</v>
      </c>
      <c r="H161" t="str">
        <f>'Final data_for_R_analysis_Dryse'!J87</f>
        <v>G31</v>
      </c>
      <c r="I161" t="str">
        <f>'Final data_for_R_analysis_Dryse'!J307</f>
        <v>R738</v>
      </c>
      <c r="J161">
        <f>IFERROR(INDEX('Green_rooibos initial weight'!$C$5:$C$1749,MATCH(H161, 'Green_rooibos initial weight'!$A$5:$A$1749,0)),"")</f>
        <v>1.9390000000000001</v>
      </c>
      <c r="K161">
        <f>IFERROR(INDEX('Green_rooibos initial weight'!$C$5:$C$1749,MATCH(I161, 'Green_rooibos initial weight'!$A$5:$A$1749,0)),"")</f>
        <v>2.1890000000000001</v>
      </c>
      <c r="L161" s="195">
        <f t="shared" si="12"/>
        <v>1.6892</v>
      </c>
      <c r="M161" s="195">
        <f t="shared" si="13"/>
        <v>1.9392</v>
      </c>
      <c r="N161" s="16">
        <f>IF('Dry_Litterbag Placem_Collection'!G88="N.A","",'Dry_Litterbag Placem_Collection'!G88)</f>
        <v>43006</v>
      </c>
      <c r="O161" s="195" t="str">
        <f>IF(IFERROR(INDEX('Both teabags AfterDry'!$D$1:$D$839,MATCH(H161,'Both teabags AfterDry'!$A$1:$A$839,0)),"")="N.A","",(IFERROR(INDEX('Both teabags AfterDry'!$D$1:$D$839,MATCH(H161,'Both teabags AfterDry'!$A$1:$A$839,0)),"")))</f>
        <v/>
      </c>
      <c r="P161" s="195" t="str">
        <f>IF(IFERROR(INDEX('Both teabags AfterDry'!$D$1:$D$839,MATCH(I161,'Both teabags AfterDry'!$A$1:$A$839,0)),"")="N.A","",(IFERROR(INDEX('Both teabags AfterDry'!$D$1:$D$839,MATCH(I161,'Both teabags AfterDry'!$A$1:$A$839,0)),"")))</f>
        <v/>
      </c>
      <c r="Q161" s="195" t="str">
        <f t="shared" si="14"/>
        <v/>
      </c>
      <c r="R161" s="195" t="str">
        <f t="shared" si="14"/>
        <v/>
      </c>
      <c r="S161" s="195" t="str">
        <f t="shared" si="9"/>
        <v/>
      </c>
      <c r="T161" s="195" t="str">
        <f t="shared" si="15"/>
        <v/>
      </c>
      <c r="U161" s="195" t="str">
        <f t="shared" si="10"/>
        <v/>
      </c>
      <c r="V161">
        <f t="shared" si="11"/>
        <v>69</v>
      </c>
      <c r="W161" s="195" t="str">
        <f t="shared" si="16"/>
        <v/>
      </c>
      <c r="X161" s="195" t="str">
        <f t="shared" si="17"/>
        <v/>
      </c>
      <c r="Y161" s="255" t="str">
        <f>IF(ISNUMBER(SEARCH("C", 'Dry_Litterbag Placem_Collection'!T88)),"YES","NO")</f>
        <v>NO</v>
      </c>
      <c r="Z161" s="255" t="str">
        <f>IF(ISNUMBER(SEARCH("H", 'Dry_Litterbag Placem_Collection'!T88)),"YES","NO")</f>
        <v>NO</v>
      </c>
      <c r="AA161" s="255" t="str">
        <f>IF(ISNUMBER(SEARCH("R", 'Dry_Litterbag Placem_Collection'!T88)),"YES","NO")</f>
        <v>NO</v>
      </c>
      <c r="AB161" s="255" t="str">
        <f>IF(ISNUMBER(SEARCH("C", 'Dry_Litterbag Placem_Collection'!S88)),"YES","NO")</f>
        <v>NO</v>
      </c>
      <c r="AC161" s="255" t="str">
        <f>IF(ISNUMBER(SEARCH("H", 'Dry_Litterbag Placem_Collection'!S88)),"YES","NO")</f>
        <v>YES</v>
      </c>
      <c r="AD161" s="255" t="str">
        <f>IF(ISNUMBER(SEARCH("R", 'Dry_Litterbag Placem_Collection'!S88)),"YES","NO")</f>
        <v>NO</v>
      </c>
    </row>
    <row r="162" spans="2:30">
      <c r="B162" t="str">
        <f>'Final data_for_R_analysis_Dryse'!A88</f>
        <v>Dry</v>
      </c>
      <c r="C162" s="263">
        <f>'Final data_for_R_analysis_Dryse'!B88</f>
        <v>87</v>
      </c>
      <c r="D162" t="s">
        <v>3839</v>
      </c>
      <c r="E162" t="s">
        <v>22</v>
      </c>
      <c r="F162" s="387">
        <v>7</v>
      </c>
      <c r="G162" s="16">
        <f>'Dry_Litterbag Placem_Collection'!E89</f>
        <v>42937</v>
      </c>
      <c r="H162" t="str">
        <f>'Final data_for_R_analysis_Dryse'!J88</f>
        <v>G220</v>
      </c>
      <c r="I162" t="str">
        <f>'Final data_for_R_analysis_Dryse'!J308</f>
        <v>R394</v>
      </c>
      <c r="J162">
        <f>IFERROR(INDEX('Green_rooibos initial weight'!$C$5:$C$1749,MATCH(H162, 'Green_rooibos initial weight'!$A$5:$A$1749,0)),"")</f>
        <v>2.1179999999999999</v>
      </c>
      <c r="K162">
        <f>IFERROR(INDEX('Green_rooibos initial weight'!$C$5:$C$1749,MATCH(I162, 'Green_rooibos initial weight'!$A$5:$A$1749,0)),"")</f>
        <v>2.1800000000000002</v>
      </c>
      <c r="L162" s="195">
        <f t="shared" si="12"/>
        <v>1.8681999999999999</v>
      </c>
      <c r="M162" s="195">
        <f t="shared" si="13"/>
        <v>1.9302000000000001</v>
      </c>
      <c r="N162" s="16">
        <f>IF('Dry_Litterbag Placem_Collection'!G89="N.A","",'Dry_Litterbag Placem_Collection'!G89)</f>
        <v>43006</v>
      </c>
      <c r="O162" s="195">
        <f>IF(IFERROR(INDEX('Both teabags AfterDry'!$D$1:$D$839,MATCH(H162,'Both teabags AfterDry'!$A$1:$A$839,0)),"")="N.A","",(IFERROR(INDEX('Both teabags AfterDry'!$D$1:$D$839,MATCH(H162,'Both teabags AfterDry'!$A$1:$A$839,0)),"")))</f>
        <v>1.9671000000000001</v>
      </c>
      <c r="P162" s="195">
        <f>IF(IFERROR(INDEX('Both teabags AfterDry'!$D$1:$D$839,MATCH(I162,'Both teabags AfterDry'!$A$1:$A$839,0)),"")="N.A","",(IFERROR(INDEX('Both teabags AfterDry'!$D$1:$D$839,MATCH(I162,'Both teabags AfterDry'!$A$1:$A$839,0)),"")))</f>
        <v>1.9392</v>
      </c>
      <c r="Q162" s="195">
        <f t="shared" si="14"/>
        <v>1.8165</v>
      </c>
      <c r="R162" s="195">
        <f t="shared" si="14"/>
        <v>1.7886</v>
      </c>
      <c r="S162" s="195">
        <f t="shared" si="9"/>
        <v>2.7673696606358988E-2</v>
      </c>
      <c r="T162" s="195">
        <f t="shared" si="15"/>
        <v>1.8142375922458636E-2</v>
      </c>
      <c r="U162" s="195">
        <f t="shared" si="10"/>
        <v>0.92663972645321724</v>
      </c>
      <c r="V162">
        <f t="shared" si="11"/>
        <v>69</v>
      </c>
      <c r="W162" s="195">
        <f t="shared" si="16"/>
        <v>0.96713337695206769</v>
      </c>
      <c r="X162" s="195" t="str">
        <f t="shared" si="17"/>
        <v/>
      </c>
      <c r="Y162" s="255" t="str">
        <f>IF(ISNUMBER(SEARCH("C", 'Dry_Litterbag Placem_Collection'!T89)),"YES","NO")</f>
        <v>NO</v>
      </c>
      <c r="Z162" s="255" t="str">
        <f>IF(ISNUMBER(SEARCH("H", 'Dry_Litterbag Placem_Collection'!T89)),"YES","NO")</f>
        <v>NO</v>
      </c>
      <c r="AA162" s="255" t="str">
        <f>IF(ISNUMBER(SEARCH("R", 'Dry_Litterbag Placem_Collection'!T89)),"YES","NO")</f>
        <v>NO</v>
      </c>
      <c r="AB162" s="255" t="str">
        <f>IF(ISNUMBER(SEARCH("C", 'Dry_Litterbag Placem_Collection'!S89)),"YES","NO")</f>
        <v>NO</v>
      </c>
      <c r="AC162" s="255" t="str">
        <f>IF(ISNUMBER(SEARCH("H", 'Dry_Litterbag Placem_Collection'!S89)),"YES","NO")</f>
        <v>NO</v>
      </c>
      <c r="AD162" s="255" t="str">
        <f>IF(ISNUMBER(SEARCH("R", 'Dry_Litterbag Placem_Collection'!S89)),"YES","NO")</f>
        <v>NO</v>
      </c>
    </row>
    <row r="163" spans="2:30">
      <c r="B163" t="str">
        <f>'Final data_for_R_analysis_Dryse'!A89</f>
        <v>Dry</v>
      </c>
      <c r="C163" s="263">
        <f>'Final data_for_R_analysis_Dryse'!B89</f>
        <v>88</v>
      </c>
      <c r="D163" t="s">
        <v>3839</v>
      </c>
      <c r="E163" t="s">
        <v>22</v>
      </c>
      <c r="F163" s="387">
        <v>8</v>
      </c>
      <c r="G163" s="16">
        <f>'Dry_Litterbag Placem_Collection'!E90</f>
        <v>42937</v>
      </c>
      <c r="H163" t="str">
        <f>'Final data_for_R_analysis_Dryse'!J89</f>
        <v>G531</v>
      </c>
      <c r="I163" t="str">
        <f>'Final data_for_R_analysis_Dryse'!J309</f>
        <v>R819</v>
      </c>
      <c r="J163">
        <f>IFERROR(INDEX('Green_rooibos initial weight'!$C$5:$C$1749,MATCH(H163, 'Green_rooibos initial weight'!$A$5:$A$1749,0)),"")</f>
        <v>2.0110000000000001</v>
      </c>
      <c r="K163">
        <f>IFERROR(INDEX('Green_rooibos initial weight'!$C$5:$C$1749,MATCH(I163, 'Green_rooibos initial weight'!$A$5:$A$1749,0)),"")</f>
        <v>2.16</v>
      </c>
      <c r="L163" s="195">
        <f t="shared" si="12"/>
        <v>1.7612000000000001</v>
      </c>
      <c r="M163" s="195">
        <f t="shared" si="13"/>
        <v>1.9102000000000001</v>
      </c>
      <c r="N163" s="16">
        <f>IF('Dry_Litterbag Placem_Collection'!G90="N.A","",'Dry_Litterbag Placem_Collection'!G90)</f>
        <v>43006</v>
      </c>
      <c r="O163" s="195">
        <f>IF(IFERROR(INDEX('Both teabags AfterDry'!$D$1:$D$839,MATCH(H163,'Both teabags AfterDry'!$A$1:$A$839,0)),"")="N.A","",(IFERROR(INDEX('Both teabags AfterDry'!$D$1:$D$839,MATCH(H163,'Both teabags AfterDry'!$A$1:$A$839,0)),"")))</f>
        <v>1.8593999999999999</v>
      </c>
      <c r="P163" s="195">
        <f>IF(IFERROR(INDEX('Both teabags AfterDry'!$D$1:$D$839,MATCH(I163,'Both teabags AfterDry'!$A$1:$A$839,0)),"")="N.A","",(IFERROR(INDEX('Both teabags AfterDry'!$D$1:$D$839,MATCH(I163,'Both teabags AfterDry'!$A$1:$A$839,0)),"")))</f>
        <v>2.8028</v>
      </c>
      <c r="Q163" s="195">
        <f t="shared" si="14"/>
        <v>1.7087999999999999</v>
      </c>
      <c r="R163" s="195">
        <f t="shared" si="14"/>
        <v>2.6522000000000001</v>
      </c>
      <c r="S163" s="195">
        <f t="shared" si="9"/>
        <v>2.975244151714751E-2</v>
      </c>
      <c r="T163" s="195">
        <f t="shared" si="15"/>
        <v>1.9505163559935212E-2</v>
      </c>
      <c r="U163" s="195">
        <f t="shared" si="10"/>
        <v>1.3884410009423096</v>
      </c>
      <c r="V163">
        <f t="shared" si="11"/>
        <v>69</v>
      </c>
      <c r="W163" s="195">
        <f t="shared" si="16"/>
        <v>0.96466455876823332</v>
      </c>
      <c r="X163" s="195">
        <f t="shared" si="17"/>
        <v>-4.4064579528787236E-2</v>
      </c>
      <c r="Y163" s="255" t="str">
        <f>IF(ISNUMBER(SEARCH("C", 'Dry_Litterbag Placem_Collection'!T90)),"YES","NO")</f>
        <v>NO</v>
      </c>
      <c r="Z163" s="255" t="str">
        <f>IF(ISNUMBER(SEARCH("H", 'Dry_Litterbag Placem_Collection'!T90)),"YES","NO")</f>
        <v>NO</v>
      </c>
      <c r="AA163" s="255" t="str">
        <f>IF(ISNUMBER(SEARCH("R", 'Dry_Litterbag Placem_Collection'!T90)),"YES","NO")</f>
        <v>NO</v>
      </c>
      <c r="AB163" s="255" t="str">
        <f>IF(ISNUMBER(SEARCH("C", 'Dry_Litterbag Placem_Collection'!S90)),"YES","NO")</f>
        <v>NO</v>
      </c>
      <c r="AC163" s="255" t="str">
        <f>IF(ISNUMBER(SEARCH("H", 'Dry_Litterbag Placem_Collection'!S90)),"YES","NO")</f>
        <v>NO</v>
      </c>
      <c r="AD163" s="255" t="str">
        <f>IF(ISNUMBER(SEARCH("R", 'Dry_Litterbag Placem_Collection'!S90)),"YES","NO")</f>
        <v>NO</v>
      </c>
    </row>
    <row r="164" spans="2:30">
      <c r="B164" t="str">
        <f>'Final data_for_R_analysis_Dryse'!A90</f>
        <v>Dry</v>
      </c>
      <c r="C164" s="263">
        <f>'Final data_for_R_analysis_Dryse'!B90</f>
        <v>89</v>
      </c>
      <c r="D164" t="s">
        <v>3840</v>
      </c>
      <c r="E164" t="s">
        <v>22</v>
      </c>
      <c r="F164" s="386">
        <v>1</v>
      </c>
      <c r="G164" s="16">
        <f>'Dry_Litterbag Placem_Collection'!E91</f>
        <v>42937</v>
      </c>
      <c r="H164" t="str">
        <f>'Final data_for_R_analysis_Dryse'!J90</f>
        <v>G35</v>
      </c>
      <c r="I164" t="str">
        <f>'Final data_for_R_analysis_Dryse'!J310</f>
        <v>R818</v>
      </c>
      <c r="J164">
        <f>IFERROR(INDEX('Green_rooibos initial weight'!$C$5:$C$1749,MATCH(H164, 'Green_rooibos initial weight'!$A$5:$A$1749,0)),"")</f>
        <v>2.0299999999999998</v>
      </c>
      <c r="K164">
        <f>IFERROR(INDEX('Green_rooibos initial weight'!$C$5:$C$1749,MATCH(I164, 'Green_rooibos initial weight'!$A$5:$A$1749,0)),"")</f>
        <v>2.1680000000000001</v>
      </c>
      <c r="L164" s="195">
        <f t="shared" si="12"/>
        <v>1.7801999999999998</v>
      </c>
      <c r="M164" s="195">
        <f t="shared" si="13"/>
        <v>1.9182000000000001</v>
      </c>
      <c r="N164" s="16">
        <f>IF('Dry_Litterbag Placem_Collection'!G91="N.A","",'Dry_Litterbag Placem_Collection'!G91)</f>
        <v>43006</v>
      </c>
      <c r="O164" s="195">
        <f>IF(IFERROR(INDEX('Both teabags AfterDry'!$D$1:$D$839,MATCH(H164,'Both teabags AfterDry'!$A$1:$A$839,0)),"")="N.A","",(IFERROR(INDEX('Both teabags AfterDry'!$D$1:$D$839,MATCH(H164,'Both teabags AfterDry'!$A$1:$A$839,0)),"")))</f>
        <v>1.8633999999999999</v>
      </c>
      <c r="P164" s="195">
        <f>IF(IFERROR(INDEX('Both teabags AfterDry'!$D$1:$D$839,MATCH(I164,'Both teabags AfterDry'!$A$1:$A$839,0)),"")="N.A","",(IFERROR(INDEX('Both teabags AfterDry'!$D$1:$D$839,MATCH(I164,'Both teabags AfterDry'!$A$1:$A$839,0)),"")))</f>
        <v>1.9155</v>
      </c>
      <c r="Q164" s="195">
        <f t="shared" si="14"/>
        <v>1.7127999999999999</v>
      </c>
      <c r="R164" s="195">
        <f t="shared" si="14"/>
        <v>1.7648999999999999</v>
      </c>
      <c r="S164" s="195">
        <f t="shared" si="9"/>
        <v>3.7860914503988319E-2</v>
      </c>
      <c r="T164" s="195">
        <f t="shared" si="15"/>
        <v>2.4820932073873571E-2</v>
      </c>
      <c r="U164" s="195">
        <f t="shared" si="10"/>
        <v>0.92008132624335304</v>
      </c>
      <c r="V164">
        <f t="shared" si="11"/>
        <v>69</v>
      </c>
      <c r="W164" s="195">
        <f t="shared" si="16"/>
        <v>0.95503454334443194</v>
      </c>
      <c r="X164" s="195" t="str">
        <f t="shared" si="17"/>
        <v/>
      </c>
      <c r="Y164" s="255" t="str">
        <f>IF(ISNUMBER(SEARCH("C", 'Dry_Litterbag Placem_Collection'!T91)),"YES","NO")</f>
        <v>NO</v>
      </c>
      <c r="Z164" s="255" t="str">
        <f>IF(ISNUMBER(SEARCH("H", 'Dry_Litterbag Placem_Collection'!T91)),"YES","NO")</f>
        <v>NO</v>
      </c>
      <c r="AA164" s="255" t="str">
        <f>IF(ISNUMBER(SEARCH("R", 'Dry_Litterbag Placem_Collection'!T91)),"YES","NO")</f>
        <v>NO</v>
      </c>
      <c r="AB164" s="255" t="str">
        <f>IF(ISNUMBER(SEARCH("C", 'Dry_Litterbag Placem_Collection'!S91)),"YES","NO")</f>
        <v>NO</v>
      </c>
      <c r="AC164" s="255" t="str">
        <f>IF(ISNUMBER(SEARCH("H", 'Dry_Litterbag Placem_Collection'!S91)),"YES","NO")</f>
        <v>NO</v>
      </c>
      <c r="AD164" s="255" t="str">
        <f>IF(ISNUMBER(SEARCH("R", 'Dry_Litterbag Placem_Collection'!S91)),"YES","NO")</f>
        <v>NO</v>
      </c>
    </row>
    <row r="165" spans="2:30">
      <c r="B165" t="str">
        <f>'Final data_for_R_analysis_Dryse'!A91</f>
        <v>Dry</v>
      </c>
      <c r="C165" s="263">
        <f>'Final data_for_R_analysis_Dryse'!B91</f>
        <v>90</v>
      </c>
      <c r="D165" t="s">
        <v>3840</v>
      </c>
      <c r="E165" t="s">
        <v>22</v>
      </c>
      <c r="F165" s="386">
        <v>2</v>
      </c>
      <c r="G165" s="16">
        <f>'Dry_Litterbag Placem_Collection'!E92</f>
        <v>42937</v>
      </c>
      <c r="H165" t="str">
        <f>'Final data_for_R_analysis_Dryse'!J91</f>
        <v>G264</v>
      </c>
      <c r="I165" t="str">
        <f>'Final data_for_R_analysis_Dryse'!J311</f>
        <v>R767</v>
      </c>
      <c r="J165">
        <f>IFERROR(INDEX('Green_rooibos initial weight'!$C$5:$C$1749,MATCH(H165, 'Green_rooibos initial weight'!$A$5:$A$1749,0)),"")</f>
        <v>2.1070000000000002</v>
      </c>
      <c r="K165">
        <f>IFERROR(INDEX('Green_rooibos initial weight'!$C$5:$C$1749,MATCH(I165, 'Green_rooibos initial weight'!$A$5:$A$1749,0)),"")</f>
        <v>2.1890000000000001</v>
      </c>
      <c r="L165" s="195">
        <f t="shared" si="12"/>
        <v>1.8572000000000002</v>
      </c>
      <c r="M165" s="195">
        <f t="shared" si="13"/>
        <v>1.9392</v>
      </c>
      <c r="N165" s="16">
        <f>IF('Dry_Litterbag Placem_Collection'!G92="N.A","",'Dry_Litterbag Placem_Collection'!G92)</f>
        <v>43006</v>
      </c>
      <c r="O165" s="195" t="str">
        <f>IF(IFERROR(INDEX('Both teabags AfterDry'!$D$1:$D$839,MATCH(H165,'Both teabags AfterDry'!$A$1:$A$839,0)),"")="N.A","",(IFERROR(INDEX('Both teabags AfterDry'!$D$1:$D$839,MATCH(H165,'Both teabags AfterDry'!$A$1:$A$839,0)),"")))</f>
        <v/>
      </c>
      <c r="P165" s="195" t="str">
        <f>IF(IFERROR(INDEX('Both teabags AfterDry'!$D$1:$D$839,MATCH(I165,'Both teabags AfterDry'!$A$1:$A$839,0)),"")="N.A","",(IFERROR(INDEX('Both teabags AfterDry'!$D$1:$D$839,MATCH(I165,'Both teabags AfterDry'!$A$1:$A$839,0)),"")))</f>
        <v/>
      </c>
      <c r="Q165" s="195" t="str">
        <f t="shared" si="14"/>
        <v/>
      </c>
      <c r="R165" s="195" t="str">
        <f t="shared" si="14"/>
        <v/>
      </c>
      <c r="S165" s="195" t="str">
        <f t="shared" si="9"/>
        <v/>
      </c>
      <c r="T165" s="195" t="str">
        <f t="shared" si="15"/>
        <v/>
      </c>
      <c r="U165" s="195" t="str">
        <f t="shared" si="10"/>
        <v/>
      </c>
      <c r="V165">
        <f t="shared" si="11"/>
        <v>69</v>
      </c>
      <c r="W165" s="195" t="str">
        <f t="shared" si="16"/>
        <v/>
      </c>
      <c r="X165" s="195" t="str">
        <f t="shared" si="17"/>
        <v/>
      </c>
      <c r="Y165" s="255" t="str">
        <f>IF(ISNUMBER(SEARCH("C", 'Dry_Litterbag Placem_Collection'!T92)),"YES","NO")</f>
        <v>NO</v>
      </c>
      <c r="Z165" s="255" t="str">
        <f>IF(ISNUMBER(SEARCH("H", 'Dry_Litterbag Placem_Collection'!T92)),"YES","NO")</f>
        <v>NO</v>
      </c>
      <c r="AA165" s="255" t="str">
        <f>IF(ISNUMBER(SEARCH("R", 'Dry_Litterbag Placem_Collection'!T92)),"YES","NO")</f>
        <v>NO</v>
      </c>
      <c r="AB165" s="255" t="str">
        <f>IF(ISNUMBER(SEARCH("C", 'Dry_Litterbag Placem_Collection'!S92)),"YES","NO")</f>
        <v>NO</v>
      </c>
      <c r="AC165" s="255" t="str">
        <f>IF(ISNUMBER(SEARCH("H", 'Dry_Litterbag Placem_Collection'!S92)),"YES","NO")</f>
        <v>NO</v>
      </c>
      <c r="AD165" s="255" t="str">
        <f>IF(ISNUMBER(SEARCH("R", 'Dry_Litterbag Placem_Collection'!S92)),"YES","NO")</f>
        <v>NO</v>
      </c>
    </row>
    <row r="166" spans="2:30">
      <c r="B166" t="str">
        <f>'Final data_for_R_analysis_Dryse'!A92</f>
        <v>Dry</v>
      </c>
      <c r="C166" s="263">
        <f>'Final data_for_R_analysis_Dryse'!B92</f>
        <v>91</v>
      </c>
      <c r="D166" t="s">
        <v>3840</v>
      </c>
      <c r="E166" t="s">
        <v>22</v>
      </c>
      <c r="F166" s="386">
        <v>3</v>
      </c>
      <c r="G166" s="16">
        <f>'Dry_Litterbag Placem_Collection'!E93</f>
        <v>42937</v>
      </c>
      <c r="H166" t="str">
        <f>'Final data_for_R_analysis_Dryse'!J92</f>
        <v>G13</v>
      </c>
      <c r="I166" t="str">
        <f>'Final data_for_R_analysis_Dryse'!J312</f>
        <v>R787</v>
      </c>
      <c r="J166">
        <f>IFERROR(INDEX('Green_rooibos initial weight'!$C$5:$C$1749,MATCH(H166, 'Green_rooibos initial weight'!$A$5:$A$1749,0)),"")</f>
        <v>2.085</v>
      </c>
      <c r="K166">
        <f>IFERROR(INDEX('Green_rooibos initial weight'!$C$5:$C$1749,MATCH(I166, 'Green_rooibos initial weight'!$A$5:$A$1749,0)),"")</f>
        <v>2.1579999999999999</v>
      </c>
      <c r="L166" s="195">
        <f t="shared" si="12"/>
        <v>1.8351999999999999</v>
      </c>
      <c r="M166" s="195">
        <f t="shared" si="13"/>
        <v>1.9081999999999999</v>
      </c>
      <c r="N166" s="16">
        <f>IF('Dry_Litterbag Placem_Collection'!G93="N.A","",'Dry_Litterbag Placem_Collection'!G93)</f>
        <v>43006</v>
      </c>
      <c r="O166" s="195">
        <f>IF(IFERROR(INDEX('Both teabags AfterDry'!$D$1:$D$839,MATCH(H166,'Both teabags AfterDry'!$A$1:$A$839,0)),"")="N.A","",(IFERROR(INDEX('Both teabags AfterDry'!$D$1:$D$839,MATCH(H166,'Both teabags AfterDry'!$A$1:$A$839,0)),"")))</f>
        <v>1.9104000000000001</v>
      </c>
      <c r="P166" s="195">
        <f>IF(IFERROR(INDEX('Both teabags AfterDry'!$D$1:$D$839,MATCH(I166,'Both teabags AfterDry'!$A$1:$A$839,0)),"")="N.A","",(IFERROR(INDEX('Both teabags AfterDry'!$D$1:$D$839,MATCH(I166,'Both teabags AfterDry'!$A$1:$A$839,0)),"")))</f>
        <v>1.8551</v>
      </c>
      <c r="Q166" s="195">
        <f t="shared" si="14"/>
        <v>1.7598</v>
      </c>
      <c r="R166" s="195">
        <f t="shared" si="14"/>
        <v>1.7044999999999999</v>
      </c>
      <c r="S166" s="195">
        <f t="shared" si="9"/>
        <v>4.1085440278988639E-2</v>
      </c>
      <c r="T166" s="195">
        <f t="shared" si="15"/>
        <v>2.6934872961997283E-2</v>
      </c>
      <c r="U166" s="195">
        <f t="shared" si="10"/>
        <v>0.89325018341892881</v>
      </c>
      <c r="V166">
        <f t="shared" si="11"/>
        <v>69</v>
      </c>
      <c r="W166" s="195">
        <f t="shared" si="16"/>
        <v>0.95120494028623681</v>
      </c>
      <c r="X166" s="195" t="str">
        <f t="shared" si="17"/>
        <v/>
      </c>
      <c r="Y166" s="255" t="str">
        <f>IF(ISNUMBER(SEARCH("C", 'Dry_Litterbag Placem_Collection'!T93)),"YES","NO")</f>
        <v>NO</v>
      </c>
      <c r="Z166" s="255" t="str">
        <f>IF(ISNUMBER(SEARCH("H", 'Dry_Litterbag Placem_Collection'!T93)),"YES","NO")</f>
        <v>NO</v>
      </c>
      <c r="AA166" s="255" t="str">
        <f>IF(ISNUMBER(SEARCH("R", 'Dry_Litterbag Placem_Collection'!T93)),"YES","NO")</f>
        <v>NO</v>
      </c>
      <c r="AB166" s="255" t="str">
        <f>IF(ISNUMBER(SEARCH("C", 'Dry_Litterbag Placem_Collection'!S93)),"YES","NO")</f>
        <v>NO</v>
      </c>
      <c r="AC166" s="255" t="str">
        <f>IF(ISNUMBER(SEARCH("H", 'Dry_Litterbag Placem_Collection'!S93)),"YES","NO")</f>
        <v>NO</v>
      </c>
      <c r="AD166" s="255" t="str">
        <f>IF(ISNUMBER(SEARCH("R", 'Dry_Litterbag Placem_Collection'!S93)),"YES","NO")</f>
        <v>NO</v>
      </c>
    </row>
    <row r="167" spans="2:30">
      <c r="B167" t="str">
        <f>'Final data_for_R_analysis_Dryse'!A93</f>
        <v>Dry</v>
      </c>
      <c r="C167" s="263">
        <f>'Final data_for_R_analysis_Dryse'!B93</f>
        <v>92</v>
      </c>
      <c r="D167" t="s">
        <v>3840</v>
      </c>
      <c r="E167" t="s">
        <v>22</v>
      </c>
      <c r="F167" s="387">
        <v>4</v>
      </c>
      <c r="G167" s="16">
        <f>'Dry_Litterbag Placem_Collection'!E94</f>
        <v>42937</v>
      </c>
      <c r="H167" t="str">
        <f>'Final data_for_R_analysis_Dryse'!J93</f>
        <v>G324</v>
      </c>
      <c r="I167" t="str">
        <f>'Final data_for_R_analysis_Dryse'!J313</f>
        <v>R812</v>
      </c>
      <c r="J167">
        <f>IFERROR(INDEX('Green_rooibos initial weight'!$C$5:$C$1749,MATCH(H167, 'Green_rooibos initial weight'!$A$5:$A$1749,0)),"")</f>
        <v>2.0430000000000001</v>
      </c>
      <c r="K167">
        <f>IFERROR(INDEX('Green_rooibos initial weight'!$C$5:$C$1749,MATCH(I167, 'Green_rooibos initial weight'!$A$5:$A$1749,0)),"")</f>
        <v>2.1819999999999999</v>
      </c>
      <c r="L167" s="195">
        <f t="shared" si="12"/>
        <v>1.7932000000000001</v>
      </c>
      <c r="M167" s="195">
        <f t="shared" si="13"/>
        <v>1.9321999999999999</v>
      </c>
      <c r="N167" s="16">
        <f>IF('Dry_Litterbag Placem_Collection'!G94="N.A","",'Dry_Litterbag Placem_Collection'!G94)</f>
        <v>43006</v>
      </c>
      <c r="O167" s="195">
        <f>IF(IFERROR(INDEX('Both teabags AfterDry'!$D$1:$D$839,MATCH(H167,'Both teabags AfterDry'!$A$1:$A$839,0)),"")="N.A","",(IFERROR(INDEX('Both teabags AfterDry'!$D$1:$D$839,MATCH(H167,'Both teabags AfterDry'!$A$1:$A$839,0)),"")))</f>
        <v>1.6847000000000001</v>
      </c>
      <c r="P167" s="195">
        <f>IF(IFERROR(INDEX('Both teabags AfterDry'!$D$1:$D$839,MATCH(I167,'Both teabags AfterDry'!$A$1:$A$839,0)),"")="N.A","",(IFERROR(INDEX('Both teabags AfterDry'!$D$1:$D$839,MATCH(I167,'Both teabags AfterDry'!$A$1:$A$839,0)),"")))</f>
        <v>1.8855</v>
      </c>
      <c r="Q167" s="195">
        <f t="shared" si="14"/>
        <v>1.5341</v>
      </c>
      <c r="R167" s="195">
        <f t="shared" si="14"/>
        <v>1.7348999999999999</v>
      </c>
      <c r="S167" s="195">
        <f t="shared" si="9"/>
        <v>0.14449029667633284</v>
      </c>
      <c r="T167" s="195">
        <f t="shared" si="15"/>
        <v>9.4725230125101798E-2</v>
      </c>
      <c r="U167" s="195">
        <f t="shared" si="10"/>
        <v>0.89788841734810054</v>
      </c>
      <c r="V167">
        <f t="shared" si="11"/>
        <v>69</v>
      </c>
      <c r="W167" s="195">
        <f t="shared" si="16"/>
        <v>0.82839632223713444</v>
      </c>
      <c r="X167" s="195" t="str">
        <f t="shared" si="17"/>
        <v/>
      </c>
      <c r="Y167" s="255" t="str">
        <f>IF(ISNUMBER(SEARCH("C", 'Dry_Litterbag Placem_Collection'!T94)),"YES","NO")</f>
        <v>NO</v>
      </c>
      <c r="Z167" s="255" t="str">
        <f>IF(ISNUMBER(SEARCH("H", 'Dry_Litterbag Placem_Collection'!T94)),"YES","NO")</f>
        <v>NO</v>
      </c>
      <c r="AA167" s="255" t="str">
        <f>IF(ISNUMBER(SEARCH("R", 'Dry_Litterbag Placem_Collection'!T94)),"YES","NO")</f>
        <v>NO</v>
      </c>
      <c r="AB167" s="255" t="str">
        <f>IF(ISNUMBER(SEARCH("C", 'Dry_Litterbag Placem_Collection'!S94)),"YES","NO")</f>
        <v>NO</v>
      </c>
      <c r="AC167" s="255" t="str">
        <f>IF(ISNUMBER(SEARCH("H", 'Dry_Litterbag Placem_Collection'!S94)),"YES","NO")</f>
        <v>YES</v>
      </c>
      <c r="AD167" s="255" t="str">
        <f>IF(ISNUMBER(SEARCH("R", 'Dry_Litterbag Placem_Collection'!S94)),"YES","NO")</f>
        <v>NO</v>
      </c>
    </row>
    <row r="168" spans="2:30">
      <c r="B168" t="str">
        <f>'Final data_for_R_analysis_Dryse'!A94</f>
        <v>Dry</v>
      </c>
      <c r="C168" s="263">
        <f>'Final data_for_R_analysis_Dryse'!B94</f>
        <v>93</v>
      </c>
      <c r="D168" t="s">
        <v>3840</v>
      </c>
      <c r="E168" t="s">
        <v>22</v>
      </c>
      <c r="F168" s="387">
        <v>5</v>
      </c>
      <c r="G168" s="16">
        <f>'Dry_Litterbag Placem_Collection'!E95</f>
        <v>42937</v>
      </c>
      <c r="H168" t="str">
        <f>'Final data_for_R_analysis_Dryse'!J94</f>
        <v>G99</v>
      </c>
      <c r="I168" t="str">
        <f>'Final data_for_R_analysis_Dryse'!J314</f>
        <v>R675</v>
      </c>
      <c r="J168">
        <f>IFERROR(INDEX('Green_rooibos initial weight'!$C$5:$C$1749,MATCH(H168, 'Green_rooibos initial weight'!$A$5:$A$1749,0)),"")</f>
        <v>2.097</v>
      </c>
      <c r="K168">
        <f>IFERROR(INDEX('Green_rooibos initial weight'!$C$5:$C$1749,MATCH(I168, 'Green_rooibos initial weight'!$A$5:$A$1749,0)),"")</f>
        <v>2.2069999999999999</v>
      </c>
      <c r="L168" s="195">
        <f t="shared" si="12"/>
        <v>1.8472</v>
      </c>
      <c r="M168" s="195">
        <f t="shared" si="13"/>
        <v>1.9571999999999998</v>
      </c>
      <c r="N168" s="16">
        <f>IF('Dry_Litterbag Placem_Collection'!G95="N.A","",'Dry_Litterbag Placem_Collection'!G95)</f>
        <v>43006</v>
      </c>
      <c r="O168" s="195">
        <f>IF(IFERROR(INDEX('Both teabags AfterDry'!$D$1:$D$839,MATCH(H168,'Both teabags AfterDry'!$A$1:$A$839,0)),"")="N.A","",(IFERROR(INDEX('Both teabags AfterDry'!$D$1:$D$839,MATCH(H168,'Both teabags AfterDry'!$A$1:$A$839,0)),"")))</f>
        <v>1.9186000000000001</v>
      </c>
      <c r="P168" s="195">
        <f>IF(IFERROR(INDEX('Both teabags AfterDry'!$D$1:$D$839,MATCH(I168,'Both teabags AfterDry'!$A$1:$A$839,0)),"")="N.A","",(IFERROR(INDEX('Both teabags AfterDry'!$D$1:$D$839,MATCH(I168,'Both teabags AfterDry'!$A$1:$A$839,0)),"")))</f>
        <v>2.0310000000000001</v>
      </c>
      <c r="Q168" s="195">
        <f t="shared" si="14"/>
        <v>1.768</v>
      </c>
      <c r="R168" s="195">
        <f t="shared" si="14"/>
        <v>1.8804000000000001</v>
      </c>
      <c r="S168" s="195">
        <f t="shared" si="9"/>
        <v>4.287570376786487E-2</v>
      </c>
      <c r="T168" s="195">
        <f t="shared" si="15"/>
        <v>2.8108537387008806E-2</v>
      </c>
      <c r="U168" s="195">
        <f t="shared" si="10"/>
        <v>0.96076026977314544</v>
      </c>
      <c r="V168">
        <f t="shared" si="11"/>
        <v>69</v>
      </c>
      <c r="W168" s="195">
        <f t="shared" si="16"/>
        <v>0.94907873661773767</v>
      </c>
      <c r="X168" s="195" t="str">
        <f t="shared" si="17"/>
        <v/>
      </c>
      <c r="Y168" s="255" t="str">
        <f>IF(ISNUMBER(SEARCH("C", 'Dry_Litterbag Placem_Collection'!T95)),"YES","NO")</f>
        <v>NO</v>
      </c>
      <c r="Z168" s="255" t="str">
        <f>IF(ISNUMBER(SEARCH("H", 'Dry_Litterbag Placem_Collection'!T95)),"YES","NO")</f>
        <v>YES</v>
      </c>
      <c r="AA168" s="255" t="str">
        <f>IF(ISNUMBER(SEARCH("R", 'Dry_Litterbag Placem_Collection'!T95)),"YES","NO")</f>
        <v>NO</v>
      </c>
      <c r="AB168" s="255" t="str">
        <f>IF(ISNUMBER(SEARCH("C", 'Dry_Litterbag Placem_Collection'!S95)),"YES","NO")</f>
        <v>NO</v>
      </c>
      <c r="AC168" s="255" t="str">
        <f>IF(ISNUMBER(SEARCH("H", 'Dry_Litterbag Placem_Collection'!S95)),"YES","NO")</f>
        <v>YES</v>
      </c>
      <c r="AD168" s="255" t="str">
        <f>IF(ISNUMBER(SEARCH("R", 'Dry_Litterbag Placem_Collection'!S95)),"YES","NO")</f>
        <v>NO</v>
      </c>
    </row>
    <row r="169" spans="2:30">
      <c r="B169" t="str">
        <f>'Final data_for_R_analysis_Dryse'!A95</f>
        <v>Dry</v>
      </c>
      <c r="C169" s="263">
        <f>'Final data_for_R_analysis_Dryse'!B95</f>
        <v>94</v>
      </c>
      <c r="D169" t="s">
        <v>3840</v>
      </c>
      <c r="E169" t="s">
        <v>22</v>
      </c>
      <c r="F169" s="387">
        <v>6</v>
      </c>
      <c r="G169" s="16">
        <f>'Dry_Litterbag Placem_Collection'!E96</f>
        <v>0</v>
      </c>
      <c r="H169" t="str">
        <f>'Final data_for_R_analysis_Dryse'!J95</f>
        <v/>
      </c>
      <c r="I169" t="str">
        <f>'Final data_for_R_analysis_Dryse'!J315</f>
        <v/>
      </c>
      <c r="J169" t="str">
        <f>IFERROR(INDEX('Green_rooibos initial weight'!$C$5:$C$1749,MATCH(H169, 'Green_rooibos initial weight'!$A$5:$A$1749,0)),"")</f>
        <v/>
      </c>
      <c r="K169" t="str">
        <f>IFERROR(INDEX('Green_rooibos initial weight'!$C$5:$C$1749,MATCH(I169, 'Green_rooibos initial weight'!$A$5:$A$1749,0)),"")</f>
        <v/>
      </c>
      <c r="L169" s="195" t="str">
        <f t="shared" si="12"/>
        <v/>
      </c>
      <c r="M169" s="195" t="str">
        <f t="shared" si="13"/>
        <v/>
      </c>
      <c r="N169" s="16">
        <f>IF('Dry_Litterbag Placem_Collection'!G96="N.A","",'Dry_Litterbag Placem_Collection'!G96)</f>
        <v>0</v>
      </c>
      <c r="O169" s="195" t="str">
        <f>IF(IFERROR(INDEX('Both teabags AfterDry'!$D$1:$D$839,MATCH(H169,'Both teabags AfterDry'!$A$1:$A$839,0)),"")="N.A","",(IFERROR(INDEX('Both teabags AfterDry'!$D$1:$D$839,MATCH(H169,'Both teabags AfterDry'!$A$1:$A$839,0)),"")))</f>
        <v/>
      </c>
      <c r="P169" s="195" t="str">
        <f>IF(IFERROR(INDEX('Both teabags AfterDry'!$D$1:$D$839,MATCH(I169,'Both teabags AfterDry'!$A$1:$A$839,0)),"")="N.A","",(IFERROR(INDEX('Both teabags AfterDry'!$D$1:$D$839,MATCH(I169,'Both teabags AfterDry'!$A$1:$A$839,0)),"")))</f>
        <v/>
      </c>
      <c r="Q169" s="195" t="str">
        <f t="shared" si="14"/>
        <v/>
      </c>
      <c r="R169" s="195" t="str">
        <f t="shared" si="14"/>
        <v/>
      </c>
      <c r="S169" s="195" t="str">
        <f t="shared" si="9"/>
        <v/>
      </c>
      <c r="T169" s="195" t="str">
        <f t="shared" si="15"/>
        <v/>
      </c>
      <c r="U169" s="195" t="str">
        <f t="shared" si="10"/>
        <v/>
      </c>
      <c r="V169" t="str">
        <f t="shared" si="11"/>
        <v/>
      </c>
      <c r="W169" s="195" t="str">
        <f t="shared" si="16"/>
        <v/>
      </c>
      <c r="X169" s="195" t="str">
        <f t="shared" si="17"/>
        <v/>
      </c>
      <c r="Y169" s="255" t="str">
        <f>IF(ISNUMBER(SEARCH("C", 'Dry_Litterbag Placem_Collection'!T96)),"YES","NO")</f>
        <v>NO</v>
      </c>
      <c r="Z169" s="255" t="str">
        <f>IF(ISNUMBER(SEARCH("H", 'Dry_Litterbag Placem_Collection'!T96)),"YES","NO")</f>
        <v>NO</v>
      </c>
      <c r="AA169" s="255" t="str">
        <f>IF(ISNUMBER(SEARCH("R", 'Dry_Litterbag Placem_Collection'!T96)),"YES","NO")</f>
        <v>NO</v>
      </c>
      <c r="AB169" s="255" t="str">
        <f>IF(ISNUMBER(SEARCH("C", 'Dry_Litterbag Placem_Collection'!S96)),"YES","NO")</f>
        <v>NO</v>
      </c>
      <c r="AC169" s="255" t="str">
        <f>IF(ISNUMBER(SEARCH("H", 'Dry_Litterbag Placem_Collection'!S96)),"YES","NO")</f>
        <v>NO</v>
      </c>
      <c r="AD169" s="255" t="str">
        <f>IF(ISNUMBER(SEARCH("R", 'Dry_Litterbag Placem_Collection'!S96)),"YES","NO")</f>
        <v>NO</v>
      </c>
    </row>
    <row r="170" spans="2:30">
      <c r="B170" t="str">
        <f>'Final data_for_R_analysis_Dryse'!A96</f>
        <v>Dry</v>
      </c>
      <c r="C170" s="263">
        <f>'Final data_for_R_analysis_Dryse'!B96</f>
        <v>95</v>
      </c>
      <c r="D170" t="s">
        <v>3840</v>
      </c>
      <c r="E170" t="s">
        <v>22</v>
      </c>
      <c r="F170" s="387">
        <v>7</v>
      </c>
      <c r="G170" s="16">
        <f>'Dry_Litterbag Placem_Collection'!E97</f>
        <v>42937</v>
      </c>
      <c r="H170" t="str">
        <f>'Final data_for_R_analysis_Dryse'!J96</f>
        <v>G126</v>
      </c>
      <c r="I170" t="str">
        <f>'Final data_for_R_analysis_Dryse'!J316</f>
        <v>R794</v>
      </c>
      <c r="J170">
        <f>IFERROR(INDEX('Green_rooibos initial weight'!$C$5:$C$1749,MATCH(H170, 'Green_rooibos initial weight'!$A$5:$A$1749,0)),"")</f>
        <v>2.093</v>
      </c>
      <c r="K170">
        <f>IFERROR(INDEX('Green_rooibos initial weight'!$C$5:$C$1749,MATCH(I170, 'Green_rooibos initial weight'!$A$5:$A$1749,0)),"")</f>
        <v>2.2000000000000002</v>
      </c>
      <c r="L170" s="195">
        <f t="shared" si="12"/>
        <v>1.8431999999999999</v>
      </c>
      <c r="M170" s="195">
        <f t="shared" si="13"/>
        <v>1.9502000000000002</v>
      </c>
      <c r="N170" s="16">
        <f>IF('Dry_Litterbag Placem_Collection'!G97="N.A","",'Dry_Litterbag Placem_Collection'!G97)</f>
        <v>43006</v>
      </c>
      <c r="O170" s="195">
        <f>IF(IFERROR(INDEX('Both teabags AfterDry'!$D$1:$D$839,MATCH(H170,'Both teabags AfterDry'!$A$1:$A$839,0)),"")="N.A","",(IFERROR(INDEX('Both teabags AfterDry'!$D$1:$D$839,MATCH(H170,'Both teabags AfterDry'!$A$1:$A$839,0)),"")))</f>
        <v>1.8705000000000001</v>
      </c>
      <c r="P170" s="195">
        <f>IF(IFERROR(INDEX('Both teabags AfterDry'!$D$1:$D$839,MATCH(I170,'Both teabags AfterDry'!$A$1:$A$839,0)),"")="N.A","",(IFERROR(INDEX('Both teabags AfterDry'!$D$1:$D$839,MATCH(I170,'Both teabags AfterDry'!$A$1:$A$839,0)),"")))</f>
        <v>1.9469000000000001</v>
      </c>
      <c r="Q170" s="195">
        <f t="shared" si="14"/>
        <v>1.7199</v>
      </c>
      <c r="R170" s="195">
        <f t="shared" si="14"/>
        <v>1.7963</v>
      </c>
      <c r="S170" s="195">
        <f t="shared" si="9"/>
        <v>6.689453125E-2</v>
      </c>
      <c r="T170" s="195">
        <f t="shared" si="15"/>
        <v>4.3854847090261322E-2</v>
      </c>
      <c r="U170" s="195">
        <f t="shared" si="10"/>
        <v>0.92108501692134137</v>
      </c>
      <c r="V170">
        <f t="shared" si="11"/>
        <v>69</v>
      </c>
      <c r="W170" s="195">
        <f t="shared" si="16"/>
        <v>0.92055281324228022</v>
      </c>
      <c r="X170" s="195" t="str">
        <f t="shared" si="17"/>
        <v/>
      </c>
      <c r="Y170" s="255" t="str">
        <f>IF(ISNUMBER(SEARCH("C", 'Dry_Litterbag Placem_Collection'!T97)),"YES","NO")</f>
        <v>NO</v>
      </c>
      <c r="Z170" s="255" t="str">
        <f>IF(ISNUMBER(SEARCH("H", 'Dry_Litterbag Placem_Collection'!T97)),"YES","NO")</f>
        <v>NO</v>
      </c>
      <c r="AA170" s="255" t="str">
        <f>IF(ISNUMBER(SEARCH("R", 'Dry_Litterbag Placem_Collection'!T97)),"YES","NO")</f>
        <v>NO</v>
      </c>
      <c r="AB170" s="255" t="str">
        <f>IF(ISNUMBER(SEARCH("C", 'Dry_Litterbag Placem_Collection'!S97)),"YES","NO")</f>
        <v>NO</v>
      </c>
      <c r="AC170" s="255" t="str">
        <f>IF(ISNUMBER(SEARCH("H", 'Dry_Litterbag Placem_Collection'!S97)),"YES","NO")</f>
        <v>NO</v>
      </c>
      <c r="AD170" s="255" t="str">
        <f>IF(ISNUMBER(SEARCH("R", 'Dry_Litterbag Placem_Collection'!S97)),"YES","NO")</f>
        <v>NO</v>
      </c>
    </row>
    <row r="171" spans="2:30">
      <c r="B171" t="str">
        <f>'Final data_for_R_analysis_Dryse'!A97</f>
        <v>Dry</v>
      </c>
      <c r="C171" s="263">
        <f>'Final data_for_R_analysis_Dryse'!B97</f>
        <v>96</v>
      </c>
      <c r="D171" t="s">
        <v>3840</v>
      </c>
      <c r="E171" t="s">
        <v>22</v>
      </c>
      <c r="F171" s="387">
        <v>8</v>
      </c>
      <c r="G171" s="16">
        <f>'Dry_Litterbag Placem_Collection'!E98</f>
        <v>42937</v>
      </c>
      <c r="H171" t="str">
        <f>'Final data_for_R_analysis_Dryse'!J97</f>
        <v>G244</v>
      </c>
      <c r="I171" t="str">
        <f>'Final data_for_R_analysis_Dryse'!J317</f>
        <v>R737</v>
      </c>
      <c r="J171">
        <f>IFERROR(INDEX('Green_rooibos initial weight'!$C$5:$C$1749,MATCH(H171, 'Green_rooibos initial weight'!$A$5:$A$1749,0)),"")</f>
        <v>2.04</v>
      </c>
      <c r="K171">
        <f>IFERROR(INDEX('Green_rooibos initial weight'!$C$5:$C$1749,MATCH(I171, 'Green_rooibos initial weight'!$A$5:$A$1749,0)),"")</f>
        <v>2.222</v>
      </c>
      <c r="L171" s="195">
        <f t="shared" si="12"/>
        <v>1.7902</v>
      </c>
      <c r="M171" s="195">
        <f t="shared" si="13"/>
        <v>1.9722</v>
      </c>
      <c r="N171" s="16">
        <f>IF('Dry_Litterbag Placem_Collection'!G98="N.A","",'Dry_Litterbag Placem_Collection'!G98)</f>
        <v>43006</v>
      </c>
      <c r="O171" s="195">
        <f>IF(IFERROR(INDEX('Both teabags AfterDry'!$D$1:$D$839,MATCH(H171,'Both teabags AfterDry'!$A$1:$A$839,0)),"")="N.A","",(IFERROR(INDEX('Both teabags AfterDry'!$D$1:$D$839,MATCH(H171,'Both teabags AfterDry'!$A$1:$A$839,0)),"")))</f>
        <v>1.8649</v>
      </c>
      <c r="P171" s="195">
        <f>IF(IFERROR(INDEX('Both teabags AfterDry'!$D$1:$D$839,MATCH(I171,'Both teabags AfterDry'!$A$1:$A$839,0)),"")="N.A","",(IFERROR(INDEX('Both teabags AfterDry'!$D$1:$D$839,MATCH(I171,'Both teabags AfterDry'!$A$1:$A$839,0)),"")))</f>
        <v>1.9686999999999999</v>
      </c>
      <c r="Q171" s="195">
        <f t="shared" si="14"/>
        <v>1.7142999999999999</v>
      </c>
      <c r="R171" s="195">
        <f t="shared" si="14"/>
        <v>1.8180999999999998</v>
      </c>
      <c r="S171" s="195">
        <f t="shared" si="9"/>
        <v>4.2397497486314384E-2</v>
      </c>
      <c r="T171" s="195">
        <f t="shared" si="15"/>
        <v>2.7795033981526763E-2</v>
      </c>
      <c r="U171" s="195">
        <f t="shared" si="10"/>
        <v>0.92186390832572751</v>
      </c>
      <c r="V171">
        <f t="shared" si="11"/>
        <v>69</v>
      </c>
      <c r="W171" s="195">
        <f t="shared" si="16"/>
        <v>0.94964667756969789</v>
      </c>
      <c r="X171" s="195" t="str">
        <f t="shared" si="17"/>
        <v/>
      </c>
      <c r="Y171" s="255" t="str">
        <f>IF(ISNUMBER(SEARCH("C", 'Dry_Litterbag Placem_Collection'!T98)),"YES","NO")</f>
        <v>NO</v>
      </c>
      <c r="Z171" s="255" t="str">
        <f>IF(ISNUMBER(SEARCH("H", 'Dry_Litterbag Placem_Collection'!T98)),"YES","NO")</f>
        <v>NO</v>
      </c>
      <c r="AA171" s="255" t="str">
        <f>IF(ISNUMBER(SEARCH("R", 'Dry_Litterbag Placem_Collection'!T98)),"YES","NO")</f>
        <v>NO</v>
      </c>
      <c r="AB171" s="255" t="str">
        <f>IF(ISNUMBER(SEARCH("C", 'Dry_Litterbag Placem_Collection'!S98)),"YES","NO")</f>
        <v>NO</v>
      </c>
      <c r="AC171" s="255" t="str">
        <f>IF(ISNUMBER(SEARCH("H", 'Dry_Litterbag Placem_Collection'!S98)),"YES","NO")</f>
        <v>NO</v>
      </c>
      <c r="AD171" s="255" t="str">
        <f>IF(ISNUMBER(SEARCH("R", 'Dry_Litterbag Placem_Collection'!S98)),"YES","NO")</f>
        <v>NO</v>
      </c>
    </row>
    <row r="172" spans="2:30">
      <c r="B172" t="str">
        <f>'Final data_for_R_analysis_Dryse'!A98</f>
        <v>Dry</v>
      </c>
      <c r="C172" s="263">
        <f>'Final data_for_R_analysis_Dryse'!B98</f>
        <v>97</v>
      </c>
      <c r="D172" t="s">
        <v>3841</v>
      </c>
      <c r="E172" t="s">
        <v>22</v>
      </c>
      <c r="F172" s="386">
        <v>1</v>
      </c>
      <c r="G172" s="16">
        <f>'Dry_Litterbag Placem_Collection'!E99</f>
        <v>42939</v>
      </c>
      <c r="H172" t="str">
        <f>'Final data_for_R_analysis_Dryse'!J98</f>
        <v>G432</v>
      </c>
      <c r="I172" t="str">
        <f>'Final data_for_R_analysis_Dryse'!J318</f>
        <v>R801</v>
      </c>
      <c r="J172">
        <f>IFERROR(INDEX('Green_rooibos initial weight'!$C$5:$C$1749,MATCH(H172, 'Green_rooibos initial weight'!$A$5:$A$1749,0)),"")</f>
        <v>2.0659999999999998</v>
      </c>
      <c r="K172">
        <f>IFERROR(INDEX('Green_rooibos initial weight'!$C$5:$C$1749,MATCH(I172, 'Green_rooibos initial weight'!$A$5:$A$1749,0)),"")</f>
        <v>2.17</v>
      </c>
      <c r="L172" s="195">
        <f t="shared" si="12"/>
        <v>1.8161999999999998</v>
      </c>
      <c r="M172" s="195">
        <f t="shared" si="13"/>
        <v>1.9201999999999999</v>
      </c>
      <c r="N172" s="16">
        <f>IF('Dry_Litterbag Placem_Collection'!G99="N.A","",'Dry_Litterbag Placem_Collection'!G99)</f>
        <v>43010</v>
      </c>
      <c r="O172" s="195" t="str">
        <f>IF(IFERROR(INDEX('Both teabags AfterDry'!$D$1:$D$839,MATCH(H172,'Both teabags AfterDry'!$A$1:$A$839,0)),"")="N.A","",(IFERROR(INDEX('Both teabags AfterDry'!$D$1:$D$839,MATCH(H172,'Both teabags AfterDry'!$A$1:$A$839,0)),"")))</f>
        <v/>
      </c>
      <c r="P172" s="195" t="str">
        <f>IF(IFERROR(INDEX('Both teabags AfterDry'!$D$1:$D$839,MATCH(I172,'Both teabags AfterDry'!$A$1:$A$839,0)),"")="N.A","",(IFERROR(INDEX('Both teabags AfterDry'!$D$1:$D$839,MATCH(I172,'Both teabags AfterDry'!$A$1:$A$839,0)),"")))</f>
        <v/>
      </c>
      <c r="Q172" s="195" t="str">
        <f t="shared" si="14"/>
        <v/>
      </c>
      <c r="R172" s="195" t="str">
        <f t="shared" si="14"/>
        <v/>
      </c>
      <c r="S172" s="195" t="str">
        <f t="shared" si="9"/>
        <v/>
      </c>
      <c r="T172" s="195" t="str">
        <f t="shared" si="15"/>
        <v/>
      </c>
      <c r="U172" s="195" t="str">
        <f t="shared" si="10"/>
        <v/>
      </c>
      <c r="V172">
        <f t="shared" si="11"/>
        <v>71</v>
      </c>
      <c r="W172" s="195" t="str">
        <f t="shared" si="16"/>
        <v/>
      </c>
      <c r="X172" s="195" t="str">
        <f t="shared" si="17"/>
        <v/>
      </c>
      <c r="Y172" s="255" t="str">
        <f>IF(ISNUMBER(SEARCH("C", 'Dry_Litterbag Placem_Collection'!T99)),"YES","NO")</f>
        <v>YES</v>
      </c>
      <c r="Z172" s="255" t="str">
        <f>IF(ISNUMBER(SEARCH("H", 'Dry_Litterbag Placem_Collection'!T99)),"YES","NO")</f>
        <v>YES</v>
      </c>
      <c r="AA172" s="255" t="str">
        <f>IF(ISNUMBER(SEARCH("R", 'Dry_Litterbag Placem_Collection'!T99)),"YES","NO")</f>
        <v>NO</v>
      </c>
      <c r="AB172" s="255" t="str">
        <f>IF(ISNUMBER(SEARCH("C", 'Dry_Litterbag Placem_Collection'!S99)),"YES","NO")</f>
        <v>YES</v>
      </c>
      <c r="AC172" s="255" t="str">
        <f>IF(ISNUMBER(SEARCH("H", 'Dry_Litterbag Placem_Collection'!S99)),"YES","NO")</f>
        <v>YES</v>
      </c>
      <c r="AD172" s="255" t="str">
        <f>IF(ISNUMBER(SEARCH("R", 'Dry_Litterbag Placem_Collection'!S99)),"YES","NO")</f>
        <v>NO</v>
      </c>
    </row>
    <row r="173" spans="2:30">
      <c r="B173" t="str">
        <f>'Final data_for_R_analysis_Dryse'!A99</f>
        <v>Dry</v>
      </c>
      <c r="C173" s="263">
        <f>'Final data_for_R_analysis_Dryse'!B99</f>
        <v>98</v>
      </c>
      <c r="D173" t="s">
        <v>3841</v>
      </c>
      <c r="E173" t="s">
        <v>22</v>
      </c>
      <c r="F173" s="386">
        <v>2</v>
      </c>
      <c r="G173" s="16">
        <f>'Dry_Litterbag Placem_Collection'!E100</f>
        <v>42939</v>
      </c>
      <c r="H173" t="str">
        <f>'Final data_for_R_analysis_Dryse'!J99</f>
        <v>G184</v>
      </c>
      <c r="I173" t="str">
        <f>'Final data_for_R_analysis_Dryse'!J319</f>
        <v>R808</v>
      </c>
      <c r="J173">
        <f>IFERROR(INDEX('Green_rooibos initial weight'!$C$5:$C$1749,MATCH(H173, 'Green_rooibos initial weight'!$A$5:$A$1749,0)),"")</f>
        <v>1.925</v>
      </c>
      <c r="K173">
        <f>IFERROR(INDEX('Green_rooibos initial weight'!$C$5:$C$1749,MATCH(I173, 'Green_rooibos initial weight'!$A$5:$A$1749,0)),"")</f>
        <v>2.2309999999999999</v>
      </c>
      <c r="L173" s="195">
        <f t="shared" si="12"/>
        <v>1.6752</v>
      </c>
      <c r="M173" s="195">
        <f t="shared" si="13"/>
        <v>1.9811999999999999</v>
      </c>
      <c r="N173" s="16">
        <f>IF('Dry_Litterbag Placem_Collection'!G100="N.A","",'Dry_Litterbag Placem_Collection'!G100)</f>
        <v>43010</v>
      </c>
      <c r="O173" s="195">
        <f>IF(IFERROR(INDEX('Both teabags AfterDry'!$D$1:$D$839,MATCH(H173,'Both teabags AfterDry'!$A$1:$A$839,0)),"")="N.A","",(IFERROR(INDEX('Both teabags AfterDry'!$D$1:$D$839,MATCH(H173,'Both teabags AfterDry'!$A$1:$A$839,0)),"")))</f>
        <v>0.99180000000000001</v>
      </c>
      <c r="P173" s="195">
        <f>IF(IFERROR(INDEX('Both teabags AfterDry'!$D$1:$D$839,MATCH(I173,'Both teabags AfterDry'!$A$1:$A$839,0)),"")="N.A","",(IFERROR(INDEX('Both teabags AfterDry'!$D$1:$D$839,MATCH(I173,'Both teabags AfterDry'!$A$1:$A$839,0)),"")))</f>
        <v>0</v>
      </c>
      <c r="Q173" s="195">
        <f t="shared" si="14"/>
        <v>0.84119999999999995</v>
      </c>
      <c r="R173" s="195" t="str">
        <f t="shared" si="14"/>
        <v/>
      </c>
      <c r="S173" s="195">
        <f t="shared" si="9"/>
        <v>0.49785100286532957</v>
      </c>
      <c r="T173" s="195">
        <f t="shared" si="15"/>
        <v>0.32638213014449163</v>
      </c>
      <c r="U173" s="195" t="str">
        <f t="shared" si="10"/>
        <v/>
      </c>
      <c r="V173">
        <f t="shared" si="11"/>
        <v>71</v>
      </c>
      <c r="W173" s="195">
        <f t="shared" si="16"/>
        <v>0.40872802510055872</v>
      </c>
      <c r="X173" s="195" t="str">
        <f t="shared" si="17"/>
        <v/>
      </c>
      <c r="Y173" s="255" t="str">
        <f>IF(ISNUMBER(SEARCH("C", 'Dry_Litterbag Placem_Collection'!T100)),"YES","NO")</f>
        <v>YES</v>
      </c>
      <c r="Z173" s="255" t="str">
        <f>IF(ISNUMBER(SEARCH("H", 'Dry_Litterbag Placem_Collection'!T100)),"YES","NO")</f>
        <v>YES</v>
      </c>
      <c r="AA173" s="255" t="str">
        <f>IF(ISNUMBER(SEARCH("R", 'Dry_Litterbag Placem_Collection'!T100)),"YES","NO")</f>
        <v>NO</v>
      </c>
      <c r="AB173" s="255" t="str">
        <f>IF(ISNUMBER(SEARCH("C", 'Dry_Litterbag Placem_Collection'!S100)),"YES","NO")</f>
        <v>YES</v>
      </c>
      <c r="AC173" s="255" t="str">
        <f>IF(ISNUMBER(SEARCH("H", 'Dry_Litterbag Placem_Collection'!S100)),"YES","NO")</f>
        <v>YES</v>
      </c>
      <c r="AD173" s="255" t="str">
        <f>IF(ISNUMBER(SEARCH("R", 'Dry_Litterbag Placem_Collection'!S100)),"YES","NO")</f>
        <v>NO</v>
      </c>
    </row>
    <row r="174" spans="2:30">
      <c r="B174" t="str">
        <f>'Final data_for_R_analysis_Dryse'!A100</f>
        <v>Dry</v>
      </c>
      <c r="C174" s="263">
        <f>'Final data_for_R_analysis_Dryse'!B100</f>
        <v>99</v>
      </c>
      <c r="D174" t="s">
        <v>3841</v>
      </c>
      <c r="E174" t="s">
        <v>22</v>
      </c>
      <c r="F174" s="386">
        <v>3</v>
      </c>
      <c r="G174" s="16">
        <f>'Dry_Litterbag Placem_Collection'!E101</f>
        <v>0</v>
      </c>
      <c r="H174" t="str">
        <f>'Final data_for_R_analysis_Dryse'!J100</f>
        <v/>
      </c>
      <c r="I174" t="str">
        <f>'Final data_for_R_analysis_Dryse'!J320</f>
        <v/>
      </c>
      <c r="J174" t="str">
        <f>IFERROR(INDEX('Green_rooibos initial weight'!$C$5:$C$1749,MATCH(H174, 'Green_rooibos initial weight'!$A$5:$A$1749,0)),"")</f>
        <v/>
      </c>
      <c r="K174" t="str">
        <f>IFERROR(INDEX('Green_rooibos initial weight'!$C$5:$C$1749,MATCH(I174, 'Green_rooibos initial weight'!$A$5:$A$1749,0)),"")</f>
        <v/>
      </c>
      <c r="L174" s="195" t="str">
        <f t="shared" si="12"/>
        <v/>
      </c>
      <c r="M174" s="195" t="str">
        <f t="shared" si="13"/>
        <v/>
      </c>
      <c r="N174" s="16">
        <f>IF('Dry_Litterbag Placem_Collection'!G101="N.A","",'Dry_Litterbag Placem_Collection'!G101)</f>
        <v>0</v>
      </c>
      <c r="O174" s="195" t="str">
        <f>IF(IFERROR(INDEX('Both teabags AfterDry'!$D$1:$D$839,MATCH(H174,'Both teabags AfterDry'!$A$1:$A$839,0)),"")="N.A","",(IFERROR(INDEX('Both teabags AfterDry'!$D$1:$D$839,MATCH(H174,'Both teabags AfterDry'!$A$1:$A$839,0)),"")))</f>
        <v/>
      </c>
      <c r="P174" s="195" t="str">
        <f>IF(IFERROR(INDEX('Both teabags AfterDry'!$D$1:$D$839,MATCH(I174,'Both teabags AfterDry'!$A$1:$A$839,0)),"")="N.A","",(IFERROR(INDEX('Both teabags AfterDry'!$D$1:$D$839,MATCH(I174,'Both teabags AfterDry'!$A$1:$A$839,0)),"")))</f>
        <v/>
      </c>
      <c r="Q174" s="195" t="str">
        <f t="shared" si="14"/>
        <v/>
      </c>
      <c r="R174" s="195" t="str">
        <f t="shared" si="14"/>
        <v/>
      </c>
      <c r="S174" s="195" t="str">
        <f t="shared" si="9"/>
        <v/>
      </c>
      <c r="T174" s="195" t="str">
        <f t="shared" si="15"/>
        <v/>
      </c>
      <c r="U174" s="195" t="str">
        <f t="shared" si="10"/>
        <v/>
      </c>
      <c r="V174" t="str">
        <f t="shared" si="11"/>
        <v/>
      </c>
      <c r="W174" s="195" t="str">
        <f t="shared" si="16"/>
        <v/>
      </c>
      <c r="X174" s="195" t="str">
        <f t="shared" si="17"/>
        <v/>
      </c>
      <c r="Y174" s="255" t="str">
        <f>IF(ISNUMBER(SEARCH("C", 'Dry_Litterbag Placem_Collection'!T101)),"YES","NO")</f>
        <v>NO</v>
      </c>
      <c r="Z174" s="255" t="str">
        <f>IF(ISNUMBER(SEARCH("H", 'Dry_Litterbag Placem_Collection'!T101)),"YES","NO")</f>
        <v>NO</v>
      </c>
      <c r="AA174" s="255" t="str">
        <f>IF(ISNUMBER(SEARCH("R", 'Dry_Litterbag Placem_Collection'!T101)),"YES","NO")</f>
        <v>NO</v>
      </c>
      <c r="AB174" s="255" t="str">
        <f>IF(ISNUMBER(SEARCH("C", 'Dry_Litterbag Placem_Collection'!S101)),"YES","NO")</f>
        <v>NO</v>
      </c>
      <c r="AC174" s="255" t="str">
        <f>IF(ISNUMBER(SEARCH("H", 'Dry_Litterbag Placem_Collection'!S101)),"YES","NO")</f>
        <v>NO</v>
      </c>
      <c r="AD174" s="255" t="str">
        <f>IF(ISNUMBER(SEARCH("R", 'Dry_Litterbag Placem_Collection'!S101)),"YES","NO")</f>
        <v>NO</v>
      </c>
    </row>
    <row r="175" spans="2:30">
      <c r="B175" t="str">
        <f>'Final data_for_R_analysis_Dryse'!A101</f>
        <v>Dry</v>
      </c>
      <c r="C175" s="263">
        <f>'Final data_for_R_analysis_Dryse'!B101</f>
        <v>100</v>
      </c>
      <c r="D175" t="s">
        <v>3841</v>
      </c>
      <c r="E175" t="s">
        <v>22</v>
      </c>
      <c r="F175" s="387">
        <v>4</v>
      </c>
      <c r="G175" s="16">
        <f>'Dry_Litterbag Placem_Collection'!E102</f>
        <v>42939</v>
      </c>
      <c r="H175" t="str">
        <f>'Final data_for_R_analysis_Dryse'!J101</f>
        <v>G176</v>
      </c>
      <c r="I175" t="str">
        <f>'Final data_for_R_analysis_Dryse'!J321</f>
        <v>R276</v>
      </c>
      <c r="J175">
        <f>IFERROR(INDEX('Green_rooibos initial weight'!$C$5:$C$1749,MATCH(H175, 'Green_rooibos initial weight'!$A$5:$A$1749,0)),"")</f>
        <v>2.0590000000000002</v>
      </c>
      <c r="K175">
        <f>IFERROR(INDEX('Green_rooibos initial weight'!$C$5:$C$1749,MATCH(I175, 'Green_rooibos initial weight'!$A$5:$A$1749,0)),"")</f>
        <v>2.1930000000000001</v>
      </c>
      <c r="L175" s="195">
        <f t="shared" si="12"/>
        <v>1.8092000000000001</v>
      </c>
      <c r="M175" s="195">
        <f t="shared" si="13"/>
        <v>1.9432</v>
      </c>
      <c r="N175" s="16">
        <f>IF('Dry_Litterbag Placem_Collection'!G102="N.A","",'Dry_Litterbag Placem_Collection'!G102)</f>
        <v>43010</v>
      </c>
      <c r="O175" s="195">
        <f>IF(IFERROR(INDEX('Both teabags AfterDry'!$D$1:$D$839,MATCH(H175,'Both teabags AfterDry'!$A$1:$A$839,0)),"")="N.A","",(IFERROR(INDEX('Both teabags AfterDry'!$D$1:$D$839,MATCH(H175,'Both teabags AfterDry'!$A$1:$A$839,0)),"")))</f>
        <v>1.3146</v>
      </c>
      <c r="P175" s="195">
        <f>IF(IFERROR(INDEX('Both teabags AfterDry'!$D$1:$D$839,MATCH(I175,'Both teabags AfterDry'!$A$1:$A$839,0)),"")="N.A","",(IFERROR(INDEX('Both teabags AfterDry'!$D$1:$D$839,MATCH(I175,'Both teabags AfterDry'!$A$1:$A$839,0)),"")))</f>
        <v>1.4581</v>
      </c>
      <c r="Q175" s="195">
        <f t="shared" si="14"/>
        <v>1.1639999999999999</v>
      </c>
      <c r="R175" s="195">
        <f t="shared" si="14"/>
        <v>1.3074999999999999</v>
      </c>
      <c r="S175" s="195">
        <f t="shared" si="9"/>
        <v>0.35662171125359288</v>
      </c>
      <c r="T175" s="195">
        <f t="shared" si="15"/>
        <v>0.23379475607123906</v>
      </c>
      <c r="U175" s="195">
        <f t="shared" si="10"/>
        <v>0.6728592013174145</v>
      </c>
      <c r="V175">
        <f t="shared" si="11"/>
        <v>71</v>
      </c>
      <c r="W175" s="195">
        <f t="shared" si="16"/>
        <v>0.57645877523326261</v>
      </c>
      <c r="X175" s="195" t="str">
        <f t="shared" si="17"/>
        <v/>
      </c>
      <c r="Y175" s="255" t="str">
        <f>IF(ISNUMBER(SEARCH("C", 'Dry_Litterbag Placem_Collection'!T102)),"YES","NO")</f>
        <v>YES</v>
      </c>
      <c r="Z175" s="255" t="str">
        <f>IF(ISNUMBER(SEARCH("H", 'Dry_Litterbag Placem_Collection'!T102)),"YES","NO")</f>
        <v>YES</v>
      </c>
      <c r="AA175" s="255" t="str">
        <f>IF(ISNUMBER(SEARCH("R", 'Dry_Litterbag Placem_Collection'!T102)),"YES","NO")</f>
        <v>NO</v>
      </c>
      <c r="AB175" s="255" t="str">
        <f>IF(ISNUMBER(SEARCH("C", 'Dry_Litterbag Placem_Collection'!S102)),"YES","NO")</f>
        <v>YES</v>
      </c>
      <c r="AC175" s="255" t="str">
        <f>IF(ISNUMBER(SEARCH("H", 'Dry_Litterbag Placem_Collection'!S102)),"YES","NO")</f>
        <v>YES</v>
      </c>
      <c r="AD175" s="255" t="str">
        <f>IF(ISNUMBER(SEARCH("R", 'Dry_Litterbag Placem_Collection'!S102)),"YES","NO")</f>
        <v>NO</v>
      </c>
    </row>
    <row r="176" spans="2:30">
      <c r="B176" t="str">
        <f>'Final data_for_R_analysis_Dryse'!A102</f>
        <v>Dry</v>
      </c>
      <c r="C176" s="263">
        <f>'Final data_for_R_analysis_Dryse'!B102</f>
        <v>101</v>
      </c>
      <c r="D176" t="s">
        <v>3841</v>
      </c>
      <c r="E176" t="s">
        <v>22</v>
      </c>
      <c r="F176" s="387">
        <v>5</v>
      </c>
      <c r="G176" s="16">
        <f>'Dry_Litterbag Placem_Collection'!E103</f>
        <v>42939</v>
      </c>
      <c r="H176" t="str">
        <f>'Final data_for_R_analysis_Dryse'!J102</f>
        <v>G11</v>
      </c>
      <c r="I176" t="str">
        <f>'Final data_for_R_analysis_Dryse'!J322</f>
        <v>R624</v>
      </c>
      <c r="J176">
        <f>IFERROR(INDEX('Green_rooibos initial weight'!$C$5:$C$1749,MATCH(H176, 'Green_rooibos initial weight'!$A$5:$A$1749,0)),"")</f>
        <v>1.839</v>
      </c>
      <c r="K176">
        <f>IFERROR(INDEX('Green_rooibos initial weight'!$C$5:$C$1749,MATCH(I176, 'Green_rooibos initial weight'!$A$5:$A$1749,0)),"")</f>
        <v>2.0739999999999998</v>
      </c>
      <c r="L176" s="195">
        <f t="shared" si="12"/>
        <v>1.5891999999999999</v>
      </c>
      <c r="M176" s="195">
        <f t="shared" si="13"/>
        <v>1.8241999999999998</v>
      </c>
      <c r="N176" s="16">
        <f>IF('Dry_Litterbag Placem_Collection'!G103="N.A","",'Dry_Litterbag Placem_Collection'!G103)</f>
        <v>43010</v>
      </c>
      <c r="O176" s="195">
        <f>IF(IFERROR(INDEX('Both teabags AfterDry'!$D$1:$D$839,MATCH(H176,'Both teabags AfterDry'!$A$1:$A$839,0)),"")="N.A","",(IFERROR(INDEX('Both teabags AfterDry'!$D$1:$D$839,MATCH(H176,'Both teabags AfterDry'!$A$1:$A$839,0)),"")))</f>
        <v>1.0169999999999999</v>
      </c>
      <c r="P176" s="195">
        <f>IF(IFERROR(INDEX('Both teabags AfterDry'!$D$1:$D$839,MATCH(I176,'Both teabags AfterDry'!$A$1:$A$839,0)),"")="N.A","",(IFERROR(INDEX('Both teabags AfterDry'!$D$1:$D$839,MATCH(I176,'Both teabags AfterDry'!$A$1:$A$839,0)),"")))</f>
        <v>0</v>
      </c>
      <c r="Q176" s="195">
        <f t="shared" si="14"/>
        <v>0.86639999999999984</v>
      </c>
      <c r="R176" s="195" t="str">
        <f t="shared" si="14"/>
        <v/>
      </c>
      <c r="S176" s="195">
        <f t="shared" si="9"/>
        <v>0.45482003523785564</v>
      </c>
      <c r="T176" s="195">
        <f t="shared" si="15"/>
        <v>0.29817180457398612</v>
      </c>
      <c r="U176" s="195" t="str">
        <f t="shared" si="10"/>
        <v/>
      </c>
      <c r="V176">
        <f t="shared" si="11"/>
        <v>71</v>
      </c>
      <c r="W176" s="195">
        <f t="shared" si="16"/>
        <v>0.45983368736596719</v>
      </c>
      <c r="X176" s="195" t="str">
        <f t="shared" si="17"/>
        <v/>
      </c>
      <c r="Y176" s="255" t="str">
        <f>IF(ISNUMBER(SEARCH("C", 'Dry_Litterbag Placem_Collection'!T103)),"YES","NO")</f>
        <v>YES</v>
      </c>
      <c r="Z176" s="255" t="str">
        <f>IF(ISNUMBER(SEARCH("H", 'Dry_Litterbag Placem_Collection'!T103)),"YES","NO")</f>
        <v>YES</v>
      </c>
      <c r="AA176" s="255" t="str">
        <f>IF(ISNUMBER(SEARCH("R", 'Dry_Litterbag Placem_Collection'!T103)),"YES","NO")</f>
        <v>NO</v>
      </c>
      <c r="AB176" s="255" t="str">
        <f>IF(ISNUMBER(SEARCH("C", 'Dry_Litterbag Placem_Collection'!S103)),"YES","NO")</f>
        <v>YES</v>
      </c>
      <c r="AC176" s="255" t="str">
        <f>IF(ISNUMBER(SEARCH("H", 'Dry_Litterbag Placem_Collection'!S103)),"YES","NO")</f>
        <v>NO</v>
      </c>
      <c r="AD176" s="255" t="str">
        <f>IF(ISNUMBER(SEARCH("R", 'Dry_Litterbag Placem_Collection'!S103)),"YES","NO")</f>
        <v>NO</v>
      </c>
    </row>
    <row r="177" spans="2:30">
      <c r="B177" t="str">
        <f>'Final data_for_R_analysis_Dryse'!A103</f>
        <v>Dry</v>
      </c>
      <c r="C177" s="263">
        <f>'Final data_for_R_analysis_Dryse'!B103</f>
        <v>102</v>
      </c>
      <c r="D177" t="s">
        <v>3841</v>
      </c>
      <c r="E177" t="s">
        <v>22</v>
      </c>
      <c r="F177" s="387">
        <v>6</v>
      </c>
      <c r="G177" s="16">
        <f>'Dry_Litterbag Placem_Collection'!E104</f>
        <v>42939</v>
      </c>
      <c r="H177" t="str">
        <f>'Final data_for_R_analysis_Dryse'!J103</f>
        <v>G284</v>
      </c>
      <c r="I177" t="str">
        <f>'Final data_for_R_analysis_Dryse'!J323</f>
        <v>R781</v>
      </c>
      <c r="J177">
        <f>IFERROR(INDEX('Green_rooibos initial weight'!$C$5:$C$1749,MATCH(H177, 'Green_rooibos initial weight'!$A$5:$A$1749,0)),"")</f>
        <v>2.0760000000000001</v>
      </c>
      <c r="K177">
        <f>IFERROR(INDEX('Green_rooibos initial weight'!$C$5:$C$1749,MATCH(I177, 'Green_rooibos initial weight'!$A$5:$A$1749,0)),"")</f>
        <v>2.194</v>
      </c>
      <c r="L177" s="195">
        <f t="shared" si="12"/>
        <v>1.8262</v>
      </c>
      <c r="M177" s="195">
        <f t="shared" si="13"/>
        <v>1.9441999999999999</v>
      </c>
      <c r="N177" s="16">
        <f>IF('Dry_Litterbag Placem_Collection'!G104="N.A","",'Dry_Litterbag Placem_Collection'!G104)</f>
        <v>43010</v>
      </c>
      <c r="O177" s="195">
        <f>IF(IFERROR(INDEX('Both teabags AfterDry'!$D$1:$D$839,MATCH(H177,'Both teabags AfterDry'!$A$1:$A$839,0)),"")="N.A","",(IFERROR(INDEX('Both teabags AfterDry'!$D$1:$D$839,MATCH(H177,'Both teabags AfterDry'!$A$1:$A$839,0)),"")))</f>
        <v>1.1585000000000001</v>
      </c>
      <c r="P177" s="195">
        <f>IF(IFERROR(INDEX('Both teabags AfterDry'!$D$1:$D$839,MATCH(I177,'Both teabags AfterDry'!$A$1:$A$839,0)),"")="N.A","",(IFERROR(INDEX('Both teabags AfterDry'!$D$1:$D$839,MATCH(I177,'Both teabags AfterDry'!$A$1:$A$839,0)),"")))</f>
        <v>1.8687</v>
      </c>
      <c r="Q177" s="195">
        <f t="shared" si="14"/>
        <v>1.0079</v>
      </c>
      <c r="R177" s="195">
        <f t="shared" si="14"/>
        <v>1.7181</v>
      </c>
      <c r="S177" s="195">
        <f t="shared" si="9"/>
        <v>0.44808892782827725</v>
      </c>
      <c r="T177" s="195">
        <f t="shared" si="15"/>
        <v>0.2937590120679443</v>
      </c>
      <c r="U177" s="195">
        <f t="shared" si="10"/>
        <v>0.8837053801049275</v>
      </c>
      <c r="V177">
        <f t="shared" si="11"/>
        <v>71</v>
      </c>
      <c r="W177" s="195">
        <f t="shared" si="16"/>
        <v>0.46782787668850678</v>
      </c>
      <c r="X177" s="195">
        <f t="shared" si="17"/>
        <v>7.0984473669532602E-3</v>
      </c>
      <c r="Y177" s="255" t="str">
        <f>IF(ISNUMBER(SEARCH("C", 'Dry_Litterbag Placem_Collection'!T104)),"YES","NO")</f>
        <v>YES</v>
      </c>
      <c r="Z177" s="255" t="str">
        <f>IF(ISNUMBER(SEARCH("H", 'Dry_Litterbag Placem_Collection'!T104)),"YES","NO")</f>
        <v>YES</v>
      </c>
      <c r="AA177" s="255" t="str">
        <f>IF(ISNUMBER(SEARCH("R", 'Dry_Litterbag Placem_Collection'!T104)),"YES","NO")</f>
        <v>NO</v>
      </c>
      <c r="AB177" s="255" t="str">
        <f>IF(ISNUMBER(SEARCH("C", 'Dry_Litterbag Placem_Collection'!S104)),"YES","NO")</f>
        <v>YES</v>
      </c>
      <c r="AC177" s="255" t="str">
        <f>IF(ISNUMBER(SEARCH("H", 'Dry_Litterbag Placem_Collection'!S104)),"YES","NO")</f>
        <v>YES</v>
      </c>
      <c r="AD177" s="255" t="str">
        <f>IF(ISNUMBER(SEARCH("R", 'Dry_Litterbag Placem_Collection'!S104)),"YES","NO")</f>
        <v>NO</v>
      </c>
    </row>
    <row r="178" spans="2:30">
      <c r="B178" t="str">
        <f>'Final data_for_R_analysis_Dryse'!A104</f>
        <v>Dry</v>
      </c>
      <c r="C178" s="263">
        <f>'Final data_for_R_analysis_Dryse'!B104</f>
        <v>103</v>
      </c>
      <c r="D178" t="s">
        <v>3841</v>
      </c>
      <c r="E178" t="s">
        <v>22</v>
      </c>
      <c r="F178" s="387">
        <v>7</v>
      </c>
      <c r="G178" s="16">
        <f>'Dry_Litterbag Placem_Collection'!E105</f>
        <v>42939</v>
      </c>
      <c r="H178" t="str">
        <f>'Final data_for_R_analysis_Dryse'!J104</f>
        <v>G326</v>
      </c>
      <c r="I178" t="str">
        <f>'Final data_for_R_analysis_Dryse'!J324</f>
        <v>R772</v>
      </c>
      <c r="J178">
        <f>IFERROR(INDEX('Green_rooibos initial weight'!$C$5:$C$1749,MATCH(H178, 'Green_rooibos initial weight'!$A$5:$A$1749,0)),"")</f>
        <v>2.04</v>
      </c>
      <c r="K178">
        <f>IFERROR(INDEX('Green_rooibos initial weight'!$C$5:$C$1749,MATCH(I178, 'Green_rooibos initial weight'!$A$5:$A$1749,0)),"")</f>
        <v>2.1909999999999998</v>
      </c>
      <c r="L178" s="195">
        <f t="shared" si="12"/>
        <v>1.7902</v>
      </c>
      <c r="M178" s="195">
        <f t="shared" si="13"/>
        <v>1.9411999999999998</v>
      </c>
      <c r="N178" s="16">
        <f>IF('Dry_Litterbag Placem_Collection'!G105="N.A","",'Dry_Litterbag Placem_Collection'!G105)</f>
        <v>43010</v>
      </c>
      <c r="O178" s="195">
        <f>IF(IFERROR(INDEX('Both teabags AfterDry'!$D$1:$D$839,MATCH(H178,'Both teabags AfterDry'!$A$1:$A$839,0)),"")="N.A","",(IFERROR(INDEX('Both teabags AfterDry'!$D$1:$D$839,MATCH(H178,'Both teabags AfterDry'!$A$1:$A$839,0)),"")))</f>
        <v>1.0625</v>
      </c>
      <c r="P178" s="195">
        <f>IF(IFERROR(INDEX('Both teabags AfterDry'!$D$1:$D$839,MATCH(I178,'Both teabags AfterDry'!$A$1:$A$839,0)),"")="N.A","",(IFERROR(INDEX('Both teabags AfterDry'!$D$1:$D$839,MATCH(I178,'Both teabags AfterDry'!$A$1:$A$839,0)),"")))</f>
        <v>1.5579000000000001</v>
      </c>
      <c r="Q178" s="195">
        <f t="shared" si="14"/>
        <v>0.91189999999999993</v>
      </c>
      <c r="R178" s="195">
        <f t="shared" si="14"/>
        <v>1.4073</v>
      </c>
      <c r="S178" s="195">
        <f t="shared" si="9"/>
        <v>0.49061557367891862</v>
      </c>
      <c r="T178" s="195">
        <f t="shared" si="15"/>
        <v>0.32163871338570443</v>
      </c>
      <c r="U178" s="195">
        <f t="shared" si="10"/>
        <v>0.72496393983103247</v>
      </c>
      <c r="V178">
        <f t="shared" si="11"/>
        <v>71</v>
      </c>
      <c r="W178" s="195">
        <f t="shared" si="16"/>
        <v>0.41732117140270941</v>
      </c>
      <c r="X178" s="195">
        <f t="shared" si="17"/>
        <v>2.7208048338181027E-2</v>
      </c>
      <c r="Y178" s="255" t="str">
        <f>IF(ISNUMBER(SEARCH("C", 'Dry_Litterbag Placem_Collection'!T105)),"YES","NO")</f>
        <v>YES</v>
      </c>
      <c r="Z178" s="255" t="str">
        <f>IF(ISNUMBER(SEARCH("H", 'Dry_Litterbag Placem_Collection'!T105)),"YES","NO")</f>
        <v>YES</v>
      </c>
      <c r="AA178" s="255" t="str">
        <f>IF(ISNUMBER(SEARCH("R", 'Dry_Litterbag Placem_Collection'!T105)),"YES","NO")</f>
        <v>NO</v>
      </c>
      <c r="AB178" s="255" t="str">
        <f>IF(ISNUMBER(SEARCH("C", 'Dry_Litterbag Placem_Collection'!S105)),"YES","NO")</f>
        <v>YES</v>
      </c>
      <c r="AC178" s="255" t="str">
        <f>IF(ISNUMBER(SEARCH("H", 'Dry_Litterbag Placem_Collection'!S105)),"YES","NO")</f>
        <v>YES</v>
      </c>
      <c r="AD178" s="255" t="str">
        <f>IF(ISNUMBER(SEARCH("R", 'Dry_Litterbag Placem_Collection'!S105)),"YES","NO")</f>
        <v>NO</v>
      </c>
    </row>
    <row r="179" spans="2:30">
      <c r="B179" t="str">
        <f>'Final data_for_R_analysis_Dryse'!A105</f>
        <v>Dry</v>
      </c>
      <c r="C179" s="263">
        <f>'Final data_for_R_analysis_Dryse'!B105</f>
        <v>104</v>
      </c>
      <c r="D179" t="s">
        <v>3841</v>
      </c>
      <c r="E179" t="s">
        <v>22</v>
      </c>
      <c r="F179" s="387">
        <v>8</v>
      </c>
      <c r="G179" s="16">
        <f>'Dry_Litterbag Placem_Collection'!E106</f>
        <v>42939</v>
      </c>
      <c r="H179" t="str">
        <f>'Final data_for_R_analysis_Dryse'!J105</f>
        <v>G162</v>
      </c>
      <c r="I179" t="str">
        <f>'Final data_for_R_analysis_Dryse'!J325</f>
        <v>R744</v>
      </c>
      <c r="J179">
        <f>IFERROR(INDEX('Green_rooibos initial weight'!$C$5:$C$1749,MATCH(H179, 'Green_rooibos initial weight'!$A$5:$A$1749,0)),"")</f>
        <v>2.0390000000000001</v>
      </c>
      <c r="K179">
        <f>IFERROR(INDEX('Green_rooibos initial weight'!$C$5:$C$1749,MATCH(I179, 'Green_rooibos initial weight'!$A$5:$A$1749,0)),"")</f>
        <v>2.2280000000000002</v>
      </c>
      <c r="L179" s="195">
        <f t="shared" si="12"/>
        <v>1.7892000000000001</v>
      </c>
      <c r="M179" s="195">
        <f t="shared" si="13"/>
        <v>1.9782000000000002</v>
      </c>
      <c r="N179" s="16">
        <f>IF('Dry_Litterbag Placem_Collection'!G106="N.A","",'Dry_Litterbag Placem_Collection'!G106)</f>
        <v>43010</v>
      </c>
      <c r="O179" s="195">
        <f>IF(IFERROR(INDEX('Both teabags AfterDry'!$D$1:$D$839,MATCH(H179,'Both teabags AfterDry'!$A$1:$A$839,0)),"")="N.A","",(IFERROR(INDEX('Both teabags AfterDry'!$D$1:$D$839,MATCH(H179,'Both teabags AfterDry'!$A$1:$A$839,0)),"")))</f>
        <v>1.4899</v>
      </c>
      <c r="P179" s="195">
        <f>IF(IFERROR(INDEX('Both teabags AfterDry'!$D$1:$D$839,MATCH(I179,'Both teabags AfterDry'!$A$1:$A$839,0)),"")="N.A","",(IFERROR(INDEX('Both teabags AfterDry'!$D$1:$D$839,MATCH(I179,'Both teabags AfterDry'!$A$1:$A$839,0)),"")))</f>
        <v>0</v>
      </c>
      <c r="Q179" s="195">
        <f t="shared" si="14"/>
        <v>1.3392999999999999</v>
      </c>
      <c r="R179" s="195" t="str">
        <f t="shared" si="14"/>
        <v/>
      </c>
      <c r="S179" s="195">
        <f t="shared" si="9"/>
        <v>0.25145316342499446</v>
      </c>
      <c r="T179" s="195">
        <f t="shared" si="15"/>
        <v>0.16484815464441444</v>
      </c>
      <c r="U179" s="195" t="str">
        <f t="shared" si="10"/>
        <v/>
      </c>
      <c r="V179">
        <f t="shared" si="11"/>
        <v>71</v>
      </c>
      <c r="W179" s="195">
        <f t="shared" si="16"/>
        <v>0.70136203868765501</v>
      </c>
      <c r="X179" s="195" t="str">
        <f t="shared" si="17"/>
        <v/>
      </c>
      <c r="Y179" s="255" t="str">
        <f>IF(ISNUMBER(SEARCH("C", 'Dry_Litterbag Placem_Collection'!T106)),"YES","NO")</f>
        <v>YES</v>
      </c>
      <c r="Z179" s="255" t="str">
        <f>IF(ISNUMBER(SEARCH("H", 'Dry_Litterbag Placem_Collection'!T106)),"YES","NO")</f>
        <v>YES</v>
      </c>
      <c r="AA179" s="255" t="str">
        <f>IF(ISNUMBER(SEARCH("R", 'Dry_Litterbag Placem_Collection'!T106)),"YES","NO")</f>
        <v>NO</v>
      </c>
      <c r="AB179" s="255" t="str">
        <f>IF(ISNUMBER(SEARCH("C", 'Dry_Litterbag Placem_Collection'!S106)),"YES","NO")</f>
        <v>YES</v>
      </c>
      <c r="AC179" s="255" t="str">
        <f>IF(ISNUMBER(SEARCH("H", 'Dry_Litterbag Placem_Collection'!S106)),"YES","NO")</f>
        <v>NO</v>
      </c>
      <c r="AD179" s="255" t="str">
        <f>IF(ISNUMBER(SEARCH("R", 'Dry_Litterbag Placem_Collection'!S106)),"YES","NO")</f>
        <v>NO</v>
      </c>
    </row>
    <row r="180" spans="2:30">
      <c r="B180" t="str">
        <f>'Final data_for_R_analysis_Dryse'!A106</f>
        <v>Dry</v>
      </c>
      <c r="C180" s="263">
        <f>'Final data_for_R_analysis_Dryse'!B106</f>
        <v>105</v>
      </c>
      <c r="D180" t="s">
        <v>3843</v>
      </c>
      <c r="E180" t="s">
        <v>22</v>
      </c>
      <c r="F180" s="386">
        <v>1</v>
      </c>
      <c r="G180" s="16">
        <f>'Dry_Litterbag Placem_Collection'!E107</f>
        <v>42939</v>
      </c>
      <c r="H180" t="str">
        <f>'Final data_for_R_analysis_Dryse'!J106</f>
        <v>G6</v>
      </c>
      <c r="I180" t="str">
        <f>'Final data_for_R_analysis_Dryse'!J326</f>
        <v>R824</v>
      </c>
      <c r="J180">
        <f>IFERROR(INDEX('Green_rooibos initial weight'!$C$5:$C$1749,MATCH(H180, 'Green_rooibos initial weight'!$A$5:$A$1749,0)),"")</f>
        <v>2.016</v>
      </c>
      <c r="K180">
        <f>IFERROR(INDEX('Green_rooibos initial weight'!$C$5:$C$1749,MATCH(I180, 'Green_rooibos initial weight'!$A$5:$A$1749,0)),"")</f>
        <v>2.173</v>
      </c>
      <c r="L180" s="195">
        <f t="shared" si="12"/>
        <v>1.7662</v>
      </c>
      <c r="M180" s="195">
        <f t="shared" si="13"/>
        <v>1.9232</v>
      </c>
      <c r="N180" s="16">
        <f>IF('Dry_Litterbag Placem_Collection'!G107="N.A","",'Dry_Litterbag Placem_Collection'!G107)</f>
        <v>43010</v>
      </c>
      <c r="O180" s="195">
        <f>IF(IFERROR(INDEX('Both teabags AfterDry'!$D$1:$D$839,MATCH(H180,'Both teabags AfterDry'!$A$1:$A$839,0)),"")="N.A","",(IFERROR(INDEX('Both teabags AfterDry'!$D$1:$D$839,MATCH(H180,'Both teabags AfterDry'!$A$1:$A$839,0)),"")))</f>
        <v>1.1637</v>
      </c>
      <c r="P180" s="195">
        <f>IF(IFERROR(INDEX('Both teabags AfterDry'!$D$1:$D$839,MATCH(I180,'Both teabags AfterDry'!$A$1:$A$839,0)),"")="N.A","",(IFERROR(INDEX('Both teabags AfterDry'!$D$1:$D$839,MATCH(I180,'Both teabags AfterDry'!$A$1:$A$839,0)),"")))</f>
        <v>1.7653000000000001</v>
      </c>
      <c r="Q180" s="195">
        <f t="shared" si="14"/>
        <v>1.0130999999999999</v>
      </c>
      <c r="R180" s="195">
        <f t="shared" si="14"/>
        <v>1.6147</v>
      </c>
      <c r="S180" s="195">
        <f t="shared" si="9"/>
        <v>0.42639565168157634</v>
      </c>
      <c r="T180" s="195">
        <f t="shared" si="15"/>
        <v>0.27953729183875314</v>
      </c>
      <c r="U180" s="195">
        <f t="shared" si="10"/>
        <v>0.83959026622296173</v>
      </c>
      <c r="V180">
        <f t="shared" si="11"/>
        <v>71</v>
      </c>
      <c r="W180" s="195">
        <f t="shared" si="16"/>
        <v>0.49359186261095445</v>
      </c>
      <c r="X180" s="195">
        <f t="shared" si="17"/>
        <v>1.2013251712468193E-2</v>
      </c>
      <c r="Y180" s="255" t="str">
        <f>IF(ISNUMBER(SEARCH("C", 'Dry_Litterbag Placem_Collection'!T107)),"YES","NO")</f>
        <v>YES</v>
      </c>
      <c r="Z180" s="255" t="str">
        <f>IF(ISNUMBER(SEARCH("H", 'Dry_Litterbag Placem_Collection'!T107)),"YES","NO")</f>
        <v>YES</v>
      </c>
      <c r="AA180" s="255" t="str">
        <f>IF(ISNUMBER(SEARCH("R", 'Dry_Litterbag Placem_Collection'!T107)),"YES","NO")</f>
        <v>NO</v>
      </c>
      <c r="AB180" s="255" t="str">
        <f>IF(ISNUMBER(SEARCH("C", 'Dry_Litterbag Placem_Collection'!S107)),"YES","NO")</f>
        <v>NO</v>
      </c>
      <c r="AC180" s="255" t="str">
        <f>IF(ISNUMBER(SEARCH("H", 'Dry_Litterbag Placem_Collection'!S107)),"YES","NO")</f>
        <v>NO</v>
      </c>
      <c r="AD180" s="255" t="str">
        <f>IF(ISNUMBER(SEARCH("R", 'Dry_Litterbag Placem_Collection'!S107)),"YES","NO")</f>
        <v>NO</v>
      </c>
    </row>
    <row r="181" spans="2:30">
      <c r="B181" t="str">
        <f>'Final data_for_R_analysis_Dryse'!A107</f>
        <v>Dry</v>
      </c>
      <c r="C181" s="263">
        <f>'Final data_for_R_analysis_Dryse'!B107</f>
        <v>106</v>
      </c>
      <c r="D181" t="s">
        <v>3843</v>
      </c>
      <c r="E181" t="s">
        <v>22</v>
      </c>
      <c r="F181" s="386">
        <v>2</v>
      </c>
      <c r="G181" s="16">
        <f>'Dry_Litterbag Placem_Collection'!E108</f>
        <v>42939</v>
      </c>
      <c r="H181" t="str">
        <f>'Final data_for_R_analysis_Dryse'!J107</f>
        <v>G20</v>
      </c>
      <c r="I181" t="str">
        <f>'Final data_for_R_analysis_Dryse'!J327</f>
        <v>R790</v>
      </c>
      <c r="J181">
        <f>IFERROR(INDEX('Green_rooibos initial weight'!$C$5:$C$1749,MATCH(H181, 'Green_rooibos initial weight'!$A$5:$A$1749,0)),"")</f>
        <v>2.032</v>
      </c>
      <c r="K181">
        <f>IFERROR(INDEX('Green_rooibos initial weight'!$C$5:$C$1749,MATCH(I181, 'Green_rooibos initial weight'!$A$5:$A$1749,0)),"")</f>
        <v>2.266</v>
      </c>
      <c r="L181" s="195">
        <f t="shared" si="12"/>
        <v>1.7822</v>
      </c>
      <c r="M181" s="195">
        <f t="shared" si="13"/>
        <v>2.0162</v>
      </c>
      <c r="N181" s="16">
        <f>IF('Dry_Litterbag Placem_Collection'!G108="N.A","",'Dry_Litterbag Placem_Collection'!G108)</f>
        <v>43010</v>
      </c>
      <c r="O181" s="195">
        <f>IF(IFERROR(INDEX('Both teabags AfterDry'!$D$1:$D$839,MATCH(H181,'Both teabags AfterDry'!$A$1:$A$839,0)),"")="N.A","",(IFERROR(INDEX('Both teabags AfterDry'!$D$1:$D$839,MATCH(H181,'Both teabags AfterDry'!$A$1:$A$839,0)),"")))</f>
        <v>1.0826</v>
      </c>
      <c r="P181" s="195">
        <f>IF(IFERROR(INDEX('Both teabags AfterDry'!$D$1:$D$839,MATCH(I181,'Both teabags AfterDry'!$A$1:$A$839,0)),"")="N.A","",(IFERROR(INDEX('Both teabags AfterDry'!$D$1:$D$839,MATCH(I181,'Both teabags AfterDry'!$A$1:$A$839,0)),"")))</f>
        <v>2.2315</v>
      </c>
      <c r="Q181" s="195">
        <f t="shared" si="14"/>
        <v>0.93199999999999994</v>
      </c>
      <c r="R181" s="195">
        <f t="shared" si="14"/>
        <v>2.0809000000000002</v>
      </c>
      <c r="S181" s="195">
        <f t="shared" si="9"/>
        <v>0.47705083604533727</v>
      </c>
      <c r="T181" s="195">
        <f t="shared" si="15"/>
        <v>0.31274591626725201</v>
      </c>
      <c r="U181" s="195">
        <f t="shared" si="10"/>
        <v>1.0320900704295211</v>
      </c>
      <c r="V181">
        <f t="shared" si="11"/>
        <v>71</v>
      </c>
      <c r="W181" s="195">
        <f t="shared" si="16"/>
        <v>0.43343131111005073</v>
      </c>
      <c r="X181" s="195">
        <f t="shared" si="17"/>
        <v>-1.3757438218399991E-3</v>
      </c>
      <c r="Y181" s="255" t="str">
        <f>IF(ISNUMBER(SEARCH("C", 'Dry_Litterbag Placem_Collection'!T108)),"YES","NO")</f>
        <v>YES</v>
      </c>
      <c r="Z181" s="255" t="str">
        <f>IF(ISNUMBER(SEARCH("H", 'Dry_Litterbag Placem_Collection'!T108)),"YES","NO")</f>
        <v>YES</v>
      </c>
      <c r="AA181" s="255" t="str">
        <f>IF(ISNUMBER(SEARCH("R", 'Dry_Litterbag Placem_Collection'!T108)),"YES","NO")</f>
        <v>NO</v>
      </c>
      <c r="AB181" s="255" t="str">
        <f>IF(ISNUMBER(SEARCH("C", 'Dry_Litterbag Placem_Collection'!S108)),"YES","NO")</f>
        <v>NO</v>
      </c>
      <c r="AC181" s="255" t="str">
        <f>IF(ISNUMBER(SEARCH("H", 'Dry_Litterbag Placem_Collection'!S108)),"YES","NO")</f>
        <v>YES</v>
      </c>
      <c r="AD181" s="255" t="str">
        <f>IF(ISNUMBER(SEARCH("R", 'Dry_Litterbag Placem_Collection'!S108)),"YES","NO")</f>
        <v>NO</v>
      </c>
    </row>
    <row r="182" spans="2:30">
      <c r="B182" t="str">
        <f>'Final data_for_R_analysis_Dryse'!A108</f>
        <v>Dry</v>
      </c>
      <c r="C182" s="263">
        <f>'Final data_for_R_analysis_Dryse'!B108</f>
        <v>107</v>
      </c>
      <c r="D182" t="s">
        <v>3843</v>
      </c>
      <c r="E182" t="s">
        <v>22</v>
      </c>
      <c r="F182" s="386">
        <v>3</v>
      </c>
      <c r="G182" s="16">
        <f>'Dry_Litterbag Placem_Collection'!E109</f>
        <v>42939</v>
      </c>
      <c r="H182" t="str">
        <f>'Final data_for_R_analysis_Dryse'!J108</f>
        <v>G129</v>
      </c>
      <c r="I182" t="str">
        <f>'Final data_for_R_analysis_Dryse'!J328</f>
        <v>R809</v>
      </c>
      <c r="J182">
        <f>IFERROR(INDEX('Green_rooibos initial weight'!$C$5:$C$1749,MATCH(H182, 'Green_rooibos initial weight'!$A$5:$A$1749,0)),"")</f>
        <v>1.9630000000000001</v>
      </c>
      <c r="K182">
        <f>IFERROR(INDEX('Green_rooibos initial weight'!$C$5:$C$1749,MATCH(I182, 'Green_rooibos initial weight'!$A$5:$A$1749,0)),"")</f>
        <v>2.2210000000000001</v>
      </c>
      <c r="L182" s="195">
        <f t="shared" si="12"/>
        <v>1.7132000000000001</v>
      </c>
      <c r="M182" s="195">
        <f t="shared" si="13"/>
        <v>1.9712000000000001</v>
      </c>
      <c r="N182" s="16">
        <f>IF('Dry_Litterbag Placem_Collection'!G109="N.A","",'Dry_Litterbag Placem_Collection'!G109)</f>
        <v>43010</v>
      </c>
      <c r="O182" s="195" t="str">
        <f>IF(IFERROR(INDEX('Both teabags AfterDry'!$D$1:$D$839,MATCH(H182,'Both teabags AfterDry'!$A$1:$A$839,0)),"")="N.A","",(IFERROR(INDEX('Both teabags AfterDry'!$D$1:$D$839,MATCH(H182,'Both teabags AfterDry'!$A$1:$A$839,0)),"")))</f>
        <v/>
      </c>
      <c r="P182" s="195" t="str">
        <f>IF(IFERROR(INDEX('Both teabags AfterDry'!$D$1:$D$839,MATCH(I182,'Both teabags AfterDry'!$A$1:$A$839,0)),"")="N.A","",(IFERROR(INDEX('Both teabags AfterDry'!$D$1:$D$839,MATCH(I182,'Both teabags AfterDry'!$A$1:$A$839,0)),"")))</f>
        <v/>
      </c>
      <c r="Q182" s="195" t="str">
        <f t="shared" si="14"/>
        <v/>
      </c>
      <c r="R182" s="195" t="str">
        <f t="shared" si="14"/>
        <v/>
      </c>
      <c r="S182" s="195" t="str">
        <f t="shared" si="9"/>
        <v/>
      </c>
      <c r="T182" s="195" t="str">
        <f t="shared" si="15"/>
        <v/>
      </c>
      <c r="U182" s="195" t="str">
        <f t="shared" si="10"/>
        <v/>
      </c>
      <c r="V182">
        <f t="shared" si="11"/>
        <v>71</v>
      </c>
      <c r="W182" s="195" t="str">
        <f t="shared" si="16"/>
        <v/>
      </c>
      <c r="X182" s="195" t="str">
        <f t="shared" si="17"/>
        <v/>
      </c>
      <c r="Y182" s="255" t="str">
        <f>IF(ISNUMBER(SEARCH("C", 'Dry_Litterbag Placem_Collection'!T109)),"YES","NO")</f>
        <v>YES</v>
      </c>
      <c r="Z182" s="255" t="str">
        <f>IF(ISNUMBER(SEARCH("H", 'Dry_Litterbag Placem_Collection'!T109)),"YES","NO")</f>
        <v>YES</v>
      </c>
      <c r="AA182" s="255" t="str">
        <f>IF(ISNUMBER(SEARCH("R", 'Dry_Litterbag Placem_Collection'!T109)),"YES","NO")</f>
        <v>NO</v>
      </c>
      <c r="AB182" s="255" t="str">
        <f>IF(ISNUMBER(SEARCH("C", 'Dry_Litterbag Placem_Collection'!S109)),"YES","NO")</f>
        <v>YES</v>
      </c>
      <c r="AC182" s="255" t="str">
        <f>IF(ISNUMBER(SEARCH("H", 'Dry_Litterbag Placem_Collection'!S109)),"YES","NO")</f>
        <v>YES</v>
      </c>
      <c r="AD182" s="255" t="str">
        <f>IF(ISNUMBER(SEARCH("R", 'Dry_Litterbag Placem_Collection'!S109)),"YES","NO")</f>
        <v>NO</v>
      </c>
    </row>
    <row r="183" spans="2:30">
      <c r="B183" t="str">
        <f>'Final data_for_R_analysis_Dryse'!A109</f>
        <v>Dry</v>
      </c>
      <c r="C183" s="263">
        <f>'Final data_for_R_analysis_Dryse'!B109</f>
        <v>108</v>
      </c>
      <c r="D183" t="s">
        <v>3843</v>
      </c>
      <c r="E183" t="s">
        <v>22</v>
      </c>
      <c r="F183" s="387">
        <v>4</v>
      </c>
      <c r="G183" s="16">
        <f>'Dry_Litterbag Placem_Collection'!E110</f>
        <v>42939</v>
      </c>
      <c r="H183" t="str">
        <f>'Final data_for_R_analysis_Dryse'!J109</f>
        <v>G258</v>
      </c>
      <c r="I183" t="str">
        <f>'Final data_for_R_analysis_Dryse'!J329</f>
        <v>R777</v>
      </c>
      <c r="J183">
        <f>IFERROR(INDEX('Green_rooibos initial weight'!$C$5:$C$1749,MATCH(H183, 'Green_rooibos initial weight'!$A$5:$A$1749,0)),"")</f>
        <v>2.1280000000000001</v>
      </c>
      <c r="K183">
        <f>IFERROR(INDEX('Green_rooibos initial weight'!$C$5:$C$1749,MATCH(I183, 'Green_rooibos initial weight'!$A$5:$A$1749,0)),"")</f>
        <v>2.2549999999999999</v>
      </c>
      <c r="L183" s="195">
        <f t="shared" si="12"/>
        <v>1.8782000000000001</v>
      </c>
      <c r="M183" s="195">
        <f t="shared" si="13"/>
        <v>2.0051999999999999</v>
      </c>
      <c r="N183" s="16">
        <f>IF('Dry_Litterbag Placem_Collection'!G110="N.A","",'Dry_Litterbag Placem_Collection'!G110)</f>
        <v>43010</v>
      </c>
      <c r="O183" s="195">
        <f>IF(IFERROR(INDEX('Both teabags AfterDry'!$D$1:$D$839,MATCH(H183,'Both teabags AfterDry'!$A$1:$A$839,0)),"")="N.A","",(IFERROR(INDEX('Both teabags AfterDry'!$D$1:$D$839,MATCH(H183,'Both teabags AfterDry'!$A$1:$A$839,0)),"")))</f>
        <v>0.92730000000000001</v>
      </c>
      <c r="P183" s="195">
        <f>IF(IFERROR(INDEX('Both teabags AfterDry'!$D$1:$D$839,MATCH(I183,'Both teabags AfterDry'!$A$1:$A$839,0)),"")="N.A","",(IFERROR(INDEX('Both teabags AfterDry'!$D$1:$D$839,MATCH(I183,'Both teabags AfterDry'!$A$1:$A$839,0)),"")))</f>
        <v>1.8240000000000001</v>
      </c>
      <c r="Q183" s="195">
        <f t="shared" si="14"/>
        <v>0.77669999999999995</v>
      </c>
      <c r="R183" s="195">
        <f t="shared" si="14"/>
        <v>1.6734</v>
      </c>
      <c r="S183" s="195">
        <f t="shared" si="9"/>
        <v>0.5864657650942392</v>
      </c>
      <c r="T183" s="195">
        <f t="shared" si="15"/>
        <v>0.38447636856534451</v>
      </c>
      <c r="U183" s="195">
        <f t="shared" si="10"/>
        <v>0.83453022142429689</v>
      </c>
      <c r="V183">
        <f t="shared" si="11"/>
        <v>71</v>
      </c>
      <c r="W183" s="195">
        <f t="shared" si="16"/>
        <v>0.3034848395555354</v>
      </c>
      <c r="X183" s="195">
        <f t="shared" si="17"/>
        <v>7.9264860034946715E-3</v>
      </c>
      <c r="Y183" s="255" t="str">
        <f>IF(ISNUMBER(SEARCH("C", 'Dry_Litterbag Placem_Collection'!T110)),"YES","NO")</f>
        <v>NO</v>
      </c>
      <c r="Z183" s="255" t="str">
        <f>IF(ISNUMBER(SEARCH("H", 'Dry_Litterbag Placem_Collection'!T110)),"YES","NO")</f>
        <v>NO</v>
      </c>
      <c r="AA183" s="255" t="str">
        <f>IF(ISNUMBER(SEARCH("R", 'Dry_Litterbag Placem_Collection'!T110)),"YES","NO")</f>
        <v>NO</v>
      </c>
      <c r="AB183" s="255" t="str">
        <f>IF(ISNUMBER(SEARCH("C", 'Dry_Litterbag Placem_Collection'!S110)),"YES","NO")</f>
        <v>YES</v>
      </c>
      <c r="AC183" s="255" t="str">
        <f>IF(ISNUMBER(SEARCH("H", 'Dry_Litterbag Placem_Collection'!S110)),"YES","NO")</f>
        <v>NO</v>
      </c>
      <c r="AD183" s="255" t="str">
        <f>IF(ISNUMBER(SEARCH("R", 'Dry_Litterbag Placem_Collection'!S110)),"YES","NO")</f>
        <v>NO</v>
      </c>
    </row>
    <row r="184" spans="2:30">
      <c r="B184" t="str">
        <f>'Final data_for_R_analysis_Dryse'!A110</f>
        <v>Dry</v>
      </c>
      <c r="C184" s="263">
        <f>'Final data_for_R_analysis_Dryse'!B110</f>
        <v>109</v>
      </c>
      <c r="D184" t="s">
        <v>3843</v>
      </c>
      <c r="E184" t="s">
        <v>22</v>
      </c>
      <c r="F184" s="387">
        <v>5</v>
      </c>
      <c r="G184" s="16">
        <f>'Dry_Litterbag Placem_Collection'!E111</f>
        <v>42939</v>
      </c>
      <c r="H184" t="str">
        <f>'Final data_for_R_analysis_Dryse'!J110</f>
        <v>G294</v>
      </c>
      <c r="I184" t="str">
        <f>'Final data_for_R_analysis_Dryse'!J330</f>
        <v>R804</v>
      </c>
      <c r="J184">
        <f>IFERROR(INDEX('Green_rooibos initial weight'!$C$5:$C$1749,MATCH(H184, 'Green_rooibos initial weight'!$A$5:$A$1749,0)),"")</f>
        <v>1.994</v>
      </c>
      <c r="K184">
        <f>IFERROR(INDEX('Green_rooibos initial weight'!$C$5:$C$1749,MATCH(I184, 'Green_rooibos initial weight'!$A$5:$A$1749,0)),"")</f>
        <v>2.1960000000000002</v>
      </c>
      <c r="L184" s="195">
        <f t="shared" si="12"/>
        <v>1.7442</v>
      </c>
      <c r="M184" s="195">
        <f t="shared" si="13"/>
        <v>1.9462000000000002</v>
      </c>
      <c r="N184" s="16">
        <f>IF('Dry_Litterbag Placem_Collection'!G111="N.A","",'Dry_Litterbag Placem_Collection'!G111)</f>
        <v>43010</v>
      </c>
      <c r="O184" s="195">
        <f>IF(IFERROR(INDEX('Both teabags AfterDry'!$D$1:$D$839,MATCH(H184,'Both teabags AfterDry'!$A$1:$A$839,0)),"")="N.A","",(IFERROR(INDEX('Both teabags AfterDry'!$D$1:$D$839,MATCH(H184,'Both teabags AfterDry'!$A$1:$A$839,0)),"")))</f>
        <v>0.93010000000000004</v>
      </c>
      <c r="P184" s="195">
        <f>IF(IFERROR(INDEX('Both teabags AfterDry'!$D$1:$D$839,MATCH(I184,'Both teabags AfterDry'!$A$1:$A$839,0)),"")="N.A","",(IFERROR(INDEX('Both teabags AfterDry'!$D$1:$D$839,MATCH(I184,'Both teabags AfterDry'!$A$1:$A$839,0)),"")))</f>
        <v>1.3936999999999999</v>
      </c>
      <c r="Q184" s="195">
        <f t="shared" si="14"/>
        <v>0.77950000000000008</v>
      </c>
      <c r="R184" s="195">
        <f t="shared" si="14"/>
        <v>1.2430999999999999</v>
      </c>
      <c r="S184" s="195">
        <f t="shared" si="9"/>
        <v>0.553090241944731</v>
      </c>
      <c r="T184" s="195">
        <f t="shared" si="15"/>
        <v>0.36259597809203276</v>
      </c>
      <c r="U184" s="195">
        <f t="shared" si="10"/>
        <v>0.63873188778131729</v>
      </c>
      <c r="V184">
        <f t="shared" si="11"/>
        <v>71</v>
      </c>
      <c r="W184" s="195">
        <f t="shared" si="16"/>
        <v>0.34312322809414364</v>
      </c>
      <c r="X184" s="195">
        <f t="shared" si="17"/>
        <v>7.9010086752541842E-2</v>
      </c>
      <c r="Y184" s="255" t="str">
        <f>IF(ISNUMBER(SEARCH("C", 'Dry_Litterbag Placem_Collection'!T111)),"YES","NO")</f>
        <v>YES</v>
      </c>
      <c r="Z184" s="255" t="str">
        <f>IF(ISNUMBER(SEARCH("H", 'Dry_Litterbag Placem_Collection'!T111)),"YES","NO")</f>
        <v>YES</v>
      </c>
      <c r="AA184" s="255" t="str">
        <f>IF(ISNUMBER(SEARCH("R", 'Dry_Litterbag Placem_Collection'!T111)),"YES","NO")</f>
        <v>NO</v>
      </c>
      <c r="AB184" s="255" t="str">
        <f>IF(ISNUMBER(SEARCH("C", 'Dry_Litterbag Placem_Collection'!S111)),"YES","NO")</f>
        <v>NO</v>
      </c>
      <c r="AC184" s="255" t="str">
        <f>IF(ISNUMBER(SEARCH("H", 'Dry_Litterbag Placem_Collection'!S111)),"YES","NO")</f>
        <v>NO</v>
      </c>
      <c r="AD184" s="255" t="str">
        <f>IF(ISNUMBER(SEARCH("R", 'Dry_Litterbag Placem_Collection'!S111)),"YES","NO")</f>
        <v>NO</v>
      </c>
    </row>
    <row r="185" spans="2:30">
      <c r="B185" t="str">
        <f>'Final data_for_R_analysis_Dryse'!A111</f>
        <v>Dry</v>
      </c>
      <c r="C185" s="263">
        <f>'Final data_for_R_analysis_Dryse'!B111</f>
        <v>110</v>
      </c>
      <c r="D185" t="s">
        <v>3843</v>
      </c>
      <c r="E185" t="s">
        <v>22</v>
      </c>
      <c r="F185" s="387">
        <v>6</v>
      </c>
      <c r="G185" s="16">
        <f>'Dry_Litterbag Placem_Collection'!E112</f>
        <v>42939</v>
      </c>
      <c r="H185" t="str">
        <f>'Final data_for_R_analysis_Dryse'!J111</f>
        <v>G350</v>
      </c>
      <c r="I185" t="str">
        <f>'Final data_for_R_analysis_Dryse'!J331</f>
        <v>R786</v>
      </c>
      <c r="J185">
        <f>IFERROR(INDEX('Green_rooibos initial weight'!$C$5:$C$1749,MATCH(H185, 'Green_rooibos initial weight'!$A$5:$A$1749,0)),"")</f>
        <v>2.0640000000000001</v>
      </c>
      <c r="K185">
        <f>IFERROR(INDEX('Green_rooibos initial weight'!$C$5:$C$1749,MATCH(I185, 'Green_rooibos initial weight'!$A$5:$A$1749,0)),"")</f>
        <v>2.177</v>
      </c>
      <c r="L185" s="195">
        <f t="shared" si="12"/>
        <v>1.8142</v>
      </c>
      <c r="M185" s="195">
        <f t="shared" si="13"/>
        <v>1.9272</v>
      </c>
      <c r="N185" s="16">
        <f>IF('Dry_Litterbag Placem_Collection'!G112="N.A","",'Dry_Litterbag Placem_Collection'!G112)</f>
        <v>43010</v>
      </c>
      <c r="O185" s="195">
        <f>IF(IFERROR(INDEX('Both teabags AfterDry'!$D$1:$D$839,MATCH(H185,'Both teabags AfterDry'!$A$1:$A$839,0)),"")="N.A","",(IFERROR(INDEX('Both teabags AfterDry'!$D$1:$D$839,MATCH(H185,'Both teabags AfterDry'!$A$1:$A$839,0)),"")))</f>
        <v>0.95640000000000003</v>
      </c>
      <c r="P185" s="195">
        <f>IF(IFERROR(INDEX('Both teabags AfterDry'!$D$1:$D$839,MATCH(I185,'Both teabags AfterDry'!$A$1:$A$839,0)),"")="N.A","",(IFERROR(INDEX('Both teabags AfterDry'!$D$1:$D$839,MATCH(I185,'Both teabags AfterDry'!$A$1:$A$839,0)),"")))</f>
        <v>1.7806</v>
      </c>
      <c r="Q185" s="195">
        <f t="shared" si="14"/>
        <v>0.80580000000000007</v>
      </c>
      <c r="R185" s="195">
        <f t="shared" si="14"/>
        <v>1.63</v>
      </c>
      <c r="S185" s="195">
        <f t="shared" si="9"/>
        <v>0.55583728365119611</v>
      </c>
      <c r="T185" s="195">
        <f t="shared" si="15"/>
        <v>0.36439688904448964</v>
      </c>
      <c r="U185" s="195">
        <f t="shared" si="10"/>
        <v>0.84578663345786631</v>
      </c>
      <c r="V185">
        <f t="shared" si="11"/>
        <v>71</v>
      </c>
      <c r="W185" s="195">
        <f t="shared" si="16"/>
        <v>0.33986070825273618</v>
      </c>
      <c r="X185" s="195">
        <f t="shared" si="17"/>
        <v>7.7501769351735117E-3</v>
      </c>
      <c r="Y185" s="255" t="str">
        <f>IF(ISNUMBER(SEARCH("C", 'Dry_Litterbag Placem_Collection'!T112)),"YES","NO")</f>
        <v>YES</v>
      </c>
      <c r="Z185" s="255" t="str">
        <f>IF(ISNUMBER(SEARCH("H", 'Dry_Litterbag Placem_Collection'!T112)),"YES","NO")</f>
        <v>YES</v>
      </c>
      <c r="AA185" s="255" t="str">
        <f>IF(ISNUMBER(SEARCH("R", 'Dry_Litterbag Placem_Collection'!T112)),"YES","NO")</f>
        <v>NO</v>
      </c>
      <c r="AB185" s="255" t="str">
        <f>IF(ISNUMBER(SEARCH("C", 'Dry_Litterbag Placem_Collection'!S112)),"YES","NO")</f>
        <v>YES</v>
      </c>
      <c r="AC185" s="255" t="str">
        <f>IF(ISNUMBER(SEARCH("H", 'Dry_Litterbag Placem_Collection'!S112)),"YES","NO")</f>
        <v>YES</v>
      </c>
      <c r="AD185" s="255" t="str">
        <f>IF(ISNUMBER(SEARCH("R", 'Dry_Litterbag Placem_Collection'!S112)),"YES","NO")</f>
        <v>NO</v>
      </c>
    </row>
    <row r="186" spans="2:30">
      <c r="B186" t="str">
        <f>'Final data_for_R_analysis_Dryse'!A112</f>
        <v>Dry</v>
      </c>
      <c r="C186" s="263">
        <f>'Final data_for_R_analysis_Dryse'!B112</f>
        <v>111</v>
      </c>
      <c r="D186" t="s">
        <v>3843</v>
      </c>
      <c r="E186" t="s">
        <v>22</v>
      </c>
      <c r="F186" s="387">
        <v>7</v>
      </c>
      <c r="G186" s="16">
        <f>'Dry_Litterbag Placem_Collection'!E113</f>
        <v>42939</v>
      </c>
      <c r="H186" t="str">
        <f>'Final data_for_R_analysis_Dryse'!J112</f>
        <v>G274</v>
      </c>
      <c r="I186" t="str">
        <f>'Final data_for_R_analysis_Dryse'!J332</f>
        <v>R835</v>
      </c>
      <c r="J186">
        <f>IFERROR(INDEX('Green_rooibos initial weight'!$C$5:$C$1749,MATCH(H186, 'Green_rooibos initial weight'!$A$5:$A$1749,0)),"")</f>
        <v>2.12</v>
      </c>
      <c r="K186">
        <f>IFERROR(INDEX('Green_rooibos initial weight'!$C$5:$C$1749,MATCH(I186, 'Green_rooibos initial weight'!$A$5:$A$1749,0)),"")</f>
        <v>2.15</v>
      </c>
      <c r="L186" s="195">
        <f t="shared" si="12"/>
        <v>1.8702000000000001</v>
      </c>
      <c r="M186" s="195">
        <f t="shared" si="13"/>
        <v>1.9001999999999999</v>
      </c>
      <c r="N186" s="16">
        <f>IF('Dry_Litterbag Placem_Collection'!G113="N.A","",'Dry_Litterbag Placem_Collection'!G113)</f>
        <v>43010</v>
      </c>
      <c r="O186" s="195">
        <f>IF(IFERROR(INDEX('Both teabags AfterDry'!$D$1:$D$839,MATCH(H186,'Both teabags AfterDry'!$A$1:$A$839,0)),"")="N.A","",(IFERROR(INDEX('Both teabags AfterDry'!$D$1:$D$839,MATCH(H186,'Both teabags AfterDry'!$A$1:$A$839,0)),"")))</f>
        <v>1.0779000000000001</v>
      </c>
      <c r="P186" s="195">
        <f>IF(IFERROR(INDEX('Both teabags AfterDry'!$D$1:$D$839,MATCH(I186,'Both teabags AfterDry'!$A$1:$A$839,0)),"")="N.A","",(IFERROR(INDEX('Both teabags AfterDry'!$D$1:$D$839,MATCH(I186,'Both teabags AfterDry'!$A$1:$A$839,0)),"")))</f>
        <v>1.7563</v>
      </c>
      <c r="Q186" s="195">
        <f t="shared" si="14"/>
        <v>0.92730000000000001</v>
      </c>
      <c r="R186" s="195">
        <f t="shared" si="14"/>
        <v>1.6056999999999999</v>
      </c>
      <c r="S186" s="195">
        <f t="shared" si="9"/>
        <v>0.50417067693294837</v>
      </c>
      <c r="T186" s="195">
        <f t="shared" si="15"/>
        <v>0.33052519437884509</v>
      </c>
      <c r="U186" s="195">
        <f t="shared" si="10"/>
        <v>0.8450163140722029</v>
      </c>
      <c r="V186">
        <f t="shared" si="11"/>
        <v>71</v>
      </c>
      <c r="W186" s="195">
        <f t="shared" si="16"/>
        <v>0.40122247395136768</v>
      </c>
      <c r="X186" s="195">
        <f t="shared" si="17"/>
        <v>8.912779678254077E-3</v>
      </c>
      <c r="Y186" s="255" t="str">
        <f>IF(ISNUMBER(SEARCH("C", 'Dry_Litterbag Placem_Collection'!T113)),"YES","NO")</f>
        <v>NO</v>
      </c>
      <c r="Z186" s="255" t="str">
        <f>IF(ISNUMBER(SEARCH("H", 'Dry_Litterbag Placem_Collection'!T113)),"YES","NO")</f>
        <v>NO</v>
      </c>
      <c r="AA186" s="255" t="str">
        <f>IF(ISNUMBER(SEARCH("R", 'Dry_Litterbag Placem_Collection'!T113)),"YES","NO")</f>
        <v>NO</v>
      </c>
      <c r="AB186" s="255" t="str">
        <f>IF(ISNUMBER(SEARCH("C", 'Dry_Litterbag Placem_Collection'!S113)),"YES","NO")</f>
        <v>YES</v>
      </c>
      <c r="AC186" s="255" t="str">
        <f>IF(ISNUMBER(SEARCH("H", 'Dry_Litterbag Placem_Collection'!S113)),"YES","NO")</f>
        <v>NO</v>
      </c>
      <c r="AD186" s="255" t="str">
        <f>IF(ISNUMBER(SEARCH("R", 'Dry_Litterbag Placem_Collection'!S113)),"YES","NO")</f>
        <v>NO</v>
      </c>
    </row>
    <row r="187" spans="2:30">
      <c r="B187" t="str">
        <f>'Final data_for_R_analysis_Dryse'!A113</f>
        <v>Dry</v>
      </c>
      <c r="C187" s="263">
        <f>'Final data_for_R_analysis_Dryse'!B113</f>
        <v>112</v>
      </c>
      <c r="D187" t="s">
        <v>3843</v>
      </c>
      <c r="E187" t="s">
        <v>22</v>
      </c>
      <c r="F187" s="387">
        <v>8</v>
      </c>
      <c r="G187" s="16">
        <f>'Dry_Litterbag Placem_Collection'!E114</f>
        <v>0</v>
      </c>
      <c r="H187" t="str">
        <f>'Final data_for_R_analysis_Dryse'!J113</f>
        <v/>
      </c>
      <c r="I187" t="str">
        <f>'Final data_for_R_analysis_Dryse'!J333</f>
        <v/>
      </c>
      <c r="J187" t="str">
        <f>IFERROR(INDEX('Green_rooibos initial weight'!$C$5:$C$1749,MATCH(H187, 'Green_rooibos initial weight'!$A$5:$A$1749,0)),"")</f>
        <v/>
      </c>
      <c r="K187" t="str">
        <f>IFERROR(INDEX('Green_rooibos initial weight'!$C$5:$C$1749,MATCH(I187, 'Green_rooibos initial weight'!$A$5:$A$1749,0)),"")</f>
        <v/>
      </c>
      <c r="L187" s="195" t="str">
        <f t="shared" si="12"/>
        <v/>
      </c>
      <c r="M187" s="195" t="str">
        <f t="shared" si="13"/>
        <v/>
      </c>
      <c r="N187" s="16">
        <f>IF('Dry_Litterbag Placem_Collection'!G114="N.A","",'Dry_Litterbag Placem_Collection'!G114)</f>
        <v>0</v>
      </c>
      <c r="O187" s="195" t="str">
        <f>IF(IFERROR(INDEX('Both teabags AfterDry'!$D$1:$D$839,MATCH(H187,'Both teabags AfterDry'!$A$1:$A$839,0)),"")="N.A","",(IFERROR(INDEX('Both teabags AfterDry'!$D$1:$D$839,MATCH(H187,'Both teabags AfterDry'!$A$1:$A$839,0)),"")))</f>
        <v/>
      </c>
      <c r="P187" s="195" t="str">
        <f>IF(IFERROR(INDEX('Both teabags AfterDry'!$D$1:$D$839,MATCH(I187,'Both teabags AfterDry'!$A$1:$A$839,0)),"")="N.A","",(IFERROR(INDEX('Both teabags AfterDry'!$D$1:$D$839,MATCH(I187,'Both teabags AfterDry'!$A$1:$A$839,0)),"")))</f>
        <v/>
      </c>
      <c r="Q187" s="195" t="str">
        <f t="shared" si="14"/>
        <v/>
      </c>
      <c r="R187" s="195" t="str">
        <f t="shared" si="14"/>
        <v/>
      </c>
      <c r="S187" s="195" t="str">
        <f t="shared" si="9"/>
        <v/>
      </c>
      <c r="T187" s="195" t="str">
        <f t="shared" si="15"/>
        <v/>
      </c>
      <c r="U187" s="195" t="str">
        <f t="shared" si="10"/>
        <v/>
      </c>
      <c r="V187" t="str">
        <f t="shared" si="11"/>
        <v/>
      </c>
      <c r="W187" s="195" t="str">
        <f t="shared" si="16"/>
        <v/>
      </c>
      <c r="X187" s="195" t="str">
        <f t="shared" si="17"/>
        <v/>
      </c>
      <c r="Y187" s="255" t="str">
        <f>IF(ISNUMBER(SEARCH("C", 'Dry_Litterbag Placem_Collection'!T114)),"YES","NO")</f>
        <v>NO</v>
      </c>
      <c r="Z187" s="255" t="str">
        <f>IF(ISNUMBER(SEARCH("H", 'Dry_Litterbag Placem_Collection'!T114)),"YES","NO")</f>
        <v>NO</v>
      </c>
      <c r="AA187" s="255" t="str">
        <f>IF(ISNUMBER(SEARCH("R", 'Dry_Litterbag Placem_Collection'!T114)),"YES","NO")</f>
        <v>NO</v>
      </c>
      <c r="AB187" s="255" t="str">
        <f>IF(ISNUMBER(SEARCH("C", 'Dry_Litterbag Placem_Collection'!S114)),"YES","NO")</f>
        <v>NO</v>
      </c>
      <c r="AC187" s="255" t="str">
        <f>IF(ISNUMBER(SEARCH("H", 'Dry_Litterbag Placem_Collection'!S114)),"YES","NO")</f>
        <v>NO</v>
      </c>
      <c r="AD187" s="255" t="str">
        <f>IF(ISNUMBER(SEARCH("R", 'Dry_Litterbag Placem_Collection'!S114)),"YES","NO")</f>
        <v>NO</v>
      </c>
    </row>
    <row r="188" spans="2:30">
      <c r="B188" t="str">
        <f>'Final data_for_R_analysis_Dryse'!A114</f>
        <v>Dry</v>
      </c>
      <c r="C188" s="263">
        <f>'Final data_for_R_analysis_Dryse'!B114</f>
        <v>113</v>
      </c>
      <c r="D188" t="s">
        <v>3844</v>
      </c>
      <c r="E188" t="s">
        <v>22</v>
      </c>
      <c r="F188" s="386">
        <v>1</v>
      </c>
      <c r="G188" s="16">
        <f>'Dry_Litterbag Placem_Collection'!E115</f>
        <v>42939</v>
      </c>
      <c r="H188" t="str">
        <f>'Final data_for_R_analysis_Dryse'!J114</f>
        <v>G314</v>
      </c>
      <c r="I188" t="str">
        <f>'Final data_for_R_analysis_Dryse'!J334</f>
        <v>R807</v>
      </c>
      <c r="J188">
        <f>IFERROR(INDEX('Green_rooibos initial weight'!$C$5:$C$1749,MATCH(H188, 'Green_rooibos initial weight'!$A$5:$A$1749,0)),"")</f>
        <v>2.0430000000000001</v>
      </c>
      <c r="K188">
        <f>IFERROR(INDEX('Green_rooibos initial weight'!$C$5:$C$1749,MATCH(I188, 'Green_rooibos initial weight'!$A$5:$A$1749,0)),"")</f>
        <v>2.21</v>
      </c>
      <c r="L188" s="195">
        <f t="shared" si="12"/>
        <v>1.7932000000000001</v>
      </c>
      <c r="M188" s="195">
        <f t="shared" si="13"/>
        <v>1.9601999999999999</v>
      </c>
      <c r="N188" s="16">
        <f>IF('Dry_Litterbag Placem_Collection'!G115="N.A","",'Dry_Litterbag Placem_Collection'!G115)</f>
        <v>43008</v>
      </c>
      <c r="O188" s="195">
        <f>IF(IFERROR(INDEX('Both teabags AfterDry'!$D$1:$D$839,MATCH(H188,'Both teabags AfterDry'!$A$1:$A$839,0)),"")="N.A","",(IFERROR(INDEX('Both teabags AfterDry'!$D$1:$D$839,MATCH(H188,'Both teabags AfterDry'!$A$1:$A$839,0)),"")))</f>
        <v>0.78080000000000005</v>
      </c>
      <c r="P188" s="195">
        <f>IF(IFERROR(INDEX('Both teabags AfterDry'!$D$1:$D$839,MATCH(I188,'Both teabags AfterDry'!$A$1:$A$839,0)),"")="N.A","",(IFERROR(INDEX('Both teabags AfterDry'!$D$1:$D$839,MATCH(I188,'Both teabags AfterDry'!$A$1:$A$839,0)),"")))</f>
        <v>1.5793999999999999</v>
      </c>
      <c r="Q188" s="195">
        <f t="shared" si="14"/>
        <v>0.63020000000000009</v>
      </c>
      <c r="R188" s="195">
        <f t="shared" si="14"/>
        <v>1.4287999999999998</v>
      </c>
      <c r="S188" s="195">
        <f t="shared" si="9"/>
        <v>0.64856123131831356</v>
      </c>
      <c r="T188" s="195">
        <f t="shared" si="15"/>
        <v>0.42518503525856188</v>
      </c>
      <c r="U188" s="195">
        <f t="shared" si="10"/>
        <v>0.72890521375369854</v>
      </c>
      <c r="V188">
        <f t="shared" si="11"/>
        <v>69</v>
      </c>
      <c r="W188" s="195">
        <f t="shared" si="16"/>
        <v>0.22973725496637343</v>
      </c>
      <c r="X188" s="195">
        <f t="shared" si="17"/>
        <v>1.4709941854253993E-2</v>
      </c>
      <c r="Y188" s="255" t="str">
        <f>IF(ISNUMBER(SEARCH("C", 'Dry_Litterbag Placem_Collection'!T115)),"YES","NO")</f>
        <v>NO</v>
      </c>
      <c r="Z188" s="255" t="str">
        <f>IF(ISNUMBER(SEARCH("H", 'Dry_Litterbag Placem_Collection'!T115)),"YES","NO")</f>
        <v>NO</v>
      </c>
      <c r="AA188" s="255" t="str">
        <f>IF(ISNUMBER(SEARCH("R", 'Dry_Litterbag Placem_Collection'!T115)),"YES","NO")</f>
        <v>NO</v>
      </c>
      <c r="AB188" s="255" t="str">
        <f>IF(ISNUMBER(SEARCH("C", 'Dry_Litterbag Placem_Collection'!S115)),"YES","NO")</f>
        <v>NO</v>
      </c>
      <c r="AC188" s="255" t="str">
        <f>IF(ISNUMBER(SEARCH("H", 'Dry_Litterbag Placem_Collection'!S115)),"YES","NO")</f>
        <v>NO</v>
      </c>
      <c r="AD188" s="255" t="str">
        <f>IF(ISNUMBER(SEARCH("R", 'Dry_Litterbag Placem_Collection'!S115)),"YES","NO")</f>
        <v>YES</v>
      </c>
    </row>
    <row r="189" spans="2:30">
      <c r="B189" t="str">
        <f>'Final data_for_R_analysis_Dryse'!A115</f>
        <v>Dry</v>
      </c>
      <c r="C189" s="263">
        <f>'Final data_for_R_analysis_Dryse'!B115</f>
        <v>114</v>
      </c>
      <c r="D189" t="s">
        <v>3844</v>
      </c>
      <c r="E189" t="s">
        <v>22</v>
      </c>
      <c r="F189" s="386">
        <v>2</v>
      </c>
      <c r="G189" s="16">
        <f>'Dry_Litterbag Placem_Collection'!E116</f>
        <v>42939</v>
      </c>
      <c r="H189" t="str">
        <f>'Final data_for_R_analysis_Dryse'!J115</f>
        <v>G263</v>
      </c>
      <c r="I189" t="str">
        <f>'Final data_for_R_analysis_Dryse'!J335</f>
        <v>R829</v>
      </c>
      <c r="J189">
        <f>IFERROR(INDEX('Green_rooibos initial weight'!$C$5:$C$1749,MATCH(H189, 'Green_rooibos initial weight'!$A$5:$A$1749,0)),"")</f>
        <v>2.0960000000000001</v>
      </c>
      <c r="K189">
        <f>IFERROR(INDEX('Green_rooibos initial weight'!$C$5:$C$1749,MATCH(I189, 'Green_rooibos initial weight'!$A$5:$A$1749,0)),"")</f>
        <v>2.1880000000000002</v>
      </c>
      <c r="L189" s="195">
        <f t="shared" si="12"/>
        <v>1.8462000000000001</v>
      </c>
      <c r="M189" s="195">
        <f t="shared" si="13"/>
        <v>1.9382000000000001</v>
      </c>
      <c r="N189" s="16">
        <f>IF('Dry_Litterbag Placem_Collection'!G116="N.A","",'Dry_Litterbag Placem_Collection'!G116)</f>
        <v>43008</v>
      </c>
      <c r="O189" s="195">
        <f>IF(IFERROR(INDEX('Both teabags AfterDry'!$D$1:$D$839,MATCH(H189,'Both teabags AfterDry'!$A$1:$A$839,0)),"")="N.A","",(IFERROR(INDEX('Both teabags AfterDry'!$D$1:$D$839,MATCH(H189,'Both teabags AfterDry'!$A$1:$A$839,0)),"")))</f>
        <v>0.83330000000000004</v>
      </c>
      <c r="P189" s="195">
        <f>IF(IFERROR(INDEX('Both teabags AfterDry'!$D$1:$D$839,MATCH(I189,'Both teabags AfterDry'!$A$1:$A$839,0)),"")="N.A","",(IFERROR(INDEX('Both teabags AfterDry'!$D$1:$D$839,MATCH(I189,'Both teabags AfterDry'!$A$1:$A$839,0)),"")))</f>
        <v>1.1127</v>
      </c>
      <c r="Q189" s="195">
        <f t="shared" si="14"/>
        <v>0.68270000000000008</v>
      </c>
      <c r="R189" s="195">
        <f t="shared" si="14"/>
        <v>0.96209999999999996</v>
      </c>
      <c r="S189" s="195">
        <f t="shared" si="9"/>
        <v>0.63021341133138331</v>
      </c>
      <c r="T189" s="195">
        <f t="shared" si="15"/>
        <v>0.41315653569468369</v>
      </c>
      <c r="U189" s="195">
        <f t="shared" si="10"/>
        <v>0.49638840160974096</v>
      </c>
      <c r="V189">
        <f t="shared" si="11"/>
        <v>69</v>
      </c>
      <c r="W189" s="195">
        <f t="shared" si="16"/>
        <v>0.25152801504586297</v>
      </c>
      <c r="X189" s="195" t="str">
        <f t="shared" si="17"/>
        <v/>
      </c>
      <c r="Y189" s="255" t="str">
        <f>IF(ISNUMBER(SEARCH("C", 'Dry_Litterbag Placem_Collection'!T116)),"YES","NO")</f>
        <v>NO</v>
      </c>
      <c r="Z189" s="255" t="str">
        <f>IF(ISNUMBER(SEARCH("H", 'Dry_Litterbag Placem_Collection'!T116)),"YES","NO")</f>
        <v>YES</v>
      </c>
      <c r="AA189" s="255" t="str">
        <f>IF(ISNUMBER(SEARCH("R", 'Dry_Litterbag Placem_Collection'!T116)),"YES","NO")</f>
        <v>NO</v>
      </c>
      <c r="AB189" s="255" t="str">
        <f>IF(ISNUMBER(SEARCH("C", 'Dry_Litterbag Placem_Collection'!S116)),"YES","NO")</f>
        <v>NO</v>
      </c>
      <c r="AC189" s="255" t="str">
        <f>IF(ISNUMBER(SEARCH("H", 'Dry_Litterbag Placem_Collection'!S116)),"YES","NO")</f>
        <v>NO</v>
      </c>
      <c r="AD189" s="255" t="str">
        <f>IF(ISNUMBER(SEARCH("R", 'Dry_Litterbag Placem_Collection'!S116)),"YES","NO")</f>
        <v>NO</v>
      </c>
    </row>
    <row r="190" spans="2:30">
      <c r="B190" t="str">
        <f>'Final data_for_R_analysis_Dryse'!A116</f>
        <v>Dry</v>
      </c>
      <c r="C190" s="263">
        <f>'Final data_for_R_analysis_Dryse'!B116</f>
        <v>115</v>
      </c>
      <c r="D190" t="s">
        <v>3844</v>
      </c>
      <c r="E190" t="s">
        <v>22</v>
      </c>
      <c r="F190" s="386">
        <v>3</v>
      </c>
      <c r="G190" s="16">
        <f>'Dry_Litterbag Placem_Collection'!E117</f>
        <v>42939</v>
      </c>
      <c r="H190" t="str">
        <f>'Final data_for_R_analysis_Dryse'!J116</f>
        <v>G125</v>
      </c>
      <c r="I190" t="str">
        <f>'Final data_for_R_analysis_Dryse'!J336</f>
        <v>R766</v>
      </c>
      <c r="J190">
        <f>IFERROR(INDEX('Green_rooibos initial weight'!$C$5:$C$1749,MATCH(H190, 'Green_rooibos initial weight'!$A$5:$A$1749,0)),"")</f>
        <v>2.0979999999999999</v>
      </c>
      <c r="K190">
        <f>IFERROR(INDEX('Green_rooibos initial weight'!$C$5:$C$1749,MATCH(I190, 'Green_rooibos initial weight'!$A$5:$A$1749,0)),"")</f>
        <v>2.21</v>
      </c>
      <c r="L190" s="195">
        <f t="shared" si="12"/>
        <v>1.8481999999999998</v>
      </c>
      <c r="M190" s="195">
        <f t="shared" si="13"/>
        <v>1.9601999999999999</v>
      </c>
      <c r="N190" s="16">
        <f>IF('Dry_Litterbag Placem_Collection'!G117="N.A","",'Dry_Litterbag Placem_Collection'!G117)</f>
        <v>43008</v>
      </c>
      <c r="O190" s="195">
        <f>IF(IFERROR(INDEX('Both teabags AfterDry'!$D$1:$D$839,MATCH(H190,'Both teabags AfterDry'!$A$1:$A$839,0)),"")="N.A","",(IFERROR(INDEX('Both teabags AfterDry'!$D$1:$D$839,MATCH(H190,'Both teabags AfterDry'!$A$1:$A$839,0)),"")))</f>
        <v>0.78120000000000001</v>
      </c>
      <c r="P190" s="195">
        <f>IF(IFERROR(INDEX('Both teabags AfterDry'!$D$1:$D$839,MATCH(I190,'Both teabags AfterDry'!$A$1:$A$839,0)),"")="N.A","",(IFERROR(INDEX('Both teabags AfterDry'!$D$1:$D$839,MATCH(I190,'Both teabags AfterDry'!$A$1:$A$839,0)),"")))</f>
        <v>1.6694</v>
      </c>
      <c r="Q190" s="195">
        <f t="shared" si="14"/>
        <v>0.63060000000000005</v>
      </c>
      <c r="R190" s="195">
        <f t="shared" si="14"/>
        <v>1.5187999999999999</v>
      </c>
      <c r="S190" s="195">
        <f t="shared" si="9"/>
        <v>0.65880315983118698</v>
      </c>
      <c r="T190" s="195">
        <f t="shared" si="15"/>
        <v>0.43189945870168078</v>
      </c>
      <c r="U190" s="195">
        <f t="shared" si="10"/>
        <v>0.77481889603101728</v>
      </c>
      <c r="V190">
        <f t="shared" si="11"/>
        <v>69</v>
      </c>
      <c r="W190" s="195">
        <f t="shared" si="16"/>
        <v>0.21757344438101311</v>
      </c>
      <c r="X190" s="195">
        <f t="shared" si="17"/>
        <v>1.0678776304706145E-2</v>
      </c>
      <c r="Y190" s="255" t="str">
        <f>IF(ISNUMBER(SEARCH("C", 'Dry_Litterbag Placem_Collection'!T117)),"YES","NO")</f>
        <v>NO</v>
      </c>
      <c r="Z190" s="255" t="str">
        <f>IF(ISNUMBER(SEARCH("H", 'Dry_Litterbag Placem_Collection'!T117)),"YES","NO")</f>
        <v>YES</v>
      </c>
      <c r="AA190" s="255" t="str">
        <f>IF(ISNUMBER(SEARCH("R", 'Dry_Litterbag Placem_Collection'!T117)),"YES","NO")</f>
        <v>YES</v>
      </c>
      <c r="AB190" s="255" t="str">
        <f>IF(ISNUMBER(SEARCH("C", 'Dry_Litterbag Placem_Collection'!S117)),"YES","NO")</f>
        <v>NO</v>
      </c>
      <c r="AC190" s="255" t="str">
        <f>IF(ISNUMBER(SEARCH("H", 'Dry_Litterbag Placem_Collection'!S117)),"YES","NO")</f>
        <v>NO</v>
      </c>
      <c r="AD190" s="255" t="str">
        <f>IF(ISNUMBER(SEARCH("R", 'Dry_Litterbag Placem_Collection'!S117)),"YES","NO")</f>
        <v>YES</v>
      </c>
    </row>
    <row r="191" spans="2:30">
      <c r="B191" t="str">
        <f>'Final data_for_R_analysis_Dryse'!A117</f>
        <v>Dry</v>
      </c>
      <c r="C191" s="263">
        <f>'Final data_for_R_analysis_Dryse'!B117</f>
        <v>116</v>
      </c>
      <c r="D191" t="s">
        <v>3844</v>
      </c>
      <c r="E191" t="s">
        <v>22</v>
      </c>
      <c r="F191" s="387">
        <v>4</v>
      </c>
      <c r="G191" s="16">
        <f>'Dry_Litterbag Placem_Collection'!E118</f>
        <v>42939</v>
      </c>
      <c r="H191" t="str">
        <f>'Final data_for_R_analysis_Dryse'!J117</f>
        <v>G189</v>
      </c>
      <c r="I191" t="str">
        <f>'Final data_for_R_analysis_Dryse'!J337</f>
        <v>R757</v>
      </c>
      <c r="J191">
        <f>IFERROR(INDEX('Green_rooibos initial weight'!$C$5:$C$1749,MATCH(H191, 'Green_rooibos initial weight'!$A$5:$A$1749,0)),"")</f>
        <v>2.0059999999999998</v>
      </c>
      <c r="K191">
        <f>IFERROR(INDEX('Green_rooibos initial weight'!$C$5:$C$1749,MATCH(I191, 'Green_rooibos initial weight'!$A$5:$A$1749,0)),"")</f>
        <v>2.2050000000000001</v>
      </c>
      <c r="L191" s="195">
        <f t="shared" si="12"/>
        <v>1.7561999999999998</v>
      </c>
      <c r="M191" s="195">
        <f t="shared" si="13"/>
        <v>1.9552</v>
      </c>
      <c r="N191" s="16">
        <f>IF('Dry_Litterbag Placem_Collection'!G118="N.A","",'Dry_Litterbag Placem_Collection'!G118)</f>
        <v>43008</v>
      </c>
      <c r="O191" s="195">
        <f>IF(IFERROR(INDEX('Both teabags AfterDry'!$D$1:$D$839,MATCH(H191,'Both teabags AfterDry'!$A$1:$A$839,0)),"")="N.A","",(IFERROR(INDEX('Both teabags AfterDry'!$D$1:$D$839,MATCH(H191,'Both teabags AfterDry'!$A$1:$A$839,0)),"")))</f>
        <v>0.76890000000000003</v>
      </c>
      <c r="P191" s="195">
        <f>IF(IFERROR(INDEX('Both teabags AfterDry'!$D$1:$D$839,MATCH(I191,'Both teabags AfterDry'!$A$1:$A$839,0)),"")="N.A","",(IFERROR(INDEX('Both teabags AfterDry'!$D$1:$D$839,MATCH(I191,'Both teabags AfterDry'!$A$1:$A$839,0)),"")))</f>
        <v>1.7337</v>
      </c>
      <c r="Q191" s="195">
        <f t="shared" si="14"/>
        <v>0.61830000000000007</v>
      </c>
      <c r="R191" s="195">
        <f t="shared" si="14"/>
        <v>1.5831</v>
      </c>
      <c r="S191" s="195">
        <f t="shared" si="9"/>
        <v>0.64793303723949425</v>
      </c>
      <c r="T191" s="195">
        <f t="shared" si="15"/>
        <v>0.42477320256080864</v>
      </c>
      <c r="U191" s="195">
        <f t="shared" si="10"/>
        <v>0.80968698854337151</v>
      </c>
      <c r="V191">
        <f t="shared" si="11"/>
        <v>69</v>
      </c>
      <c r="W191" s="195">
        <f t="shared" si="16"/>
        <v>0.23048332869418731</v>
      </c>
      <c r="X191" s="195">
        <f t="shared" si="17"/>
        <v>8.6126025033100156E-3</v>
      </c>
      <c r="Y191" s="255" t="str">
        <f>IF(ISNUMBER(SEARCH("C", 'Dry_Litterbag Placem_Collection'!T118)),"YES","NO")</f>
        <v>NO</v>
      </c>
      <c r="Z191" s="255" t="str">
        <f>IF(ISNUMBER(SEARCH("H", 'Dry_Litterbag Placem_Collection'!T118)),"YES","NO")</f>
        <v>NO</v>
      </c>
      <c r="AA191" s="255" t="str">
        <f>IF(ISNUMBER(SEARCH("R", 'Dry_Litterbag Placem_Collection'!T118)),"YES","NO")</f>
        <v>NO</v>
      </c>
      <c r="AB191" s="255" t="str">
        <f>IF(ISNUMBER(SEARCH("C", 'Dry_Litterbag Placem_Collection'!S118)),"YES","NO")</f>
        <v>NO</v>
      </c>
      <c r="AC191" s="255" t="str">
        <f>IF(ISNUMBER(SEARCH("H", 'Dry_Litterbag Placem_Collection'!S118)),"YES","NO")</f>
        <v>NO</v>
      </c>
      <c r="AD191" s="255" t="str">
        <f>IF(ISNUMBER(SEARCH("R", 'Dry_Litterbag Placem_Collection'!S118)),"YES","NO")</f>
        <v>YES</v>
      </c>
    </row>
    <row r="192" spans="2:30">
      <c r="B192" t="str">
        <f>'Final data_for_R_analysis_Dryse'!A118</f>
        <v>Dry</v>
      </c>
      <c r="C192" s="263">
        <f>'Final data_for_R_analysis_Dryse'!B118</f>
        <v>117</v>
      </c>
      <c r="D192" t="s">
        <v>3844</v>
      </c>
      <c r="E192" t="s">
        <v>22</v>
      </c>
      <c r="F192" s="387">
        <v>5</v>
      </c>
      <c r="G192" s="16">
        <f>'Dry_Litterbag Placem_Collection'!E119</f>
        <v>42939</v>
      </c>
      <c r="H192" t="str">
        <f>'Final data_for_R_analysis_Dryse'!J118</f>
        <v>G533</v>
      </c>
      <c r="I192" t="str">
        <f>'Final data_for_R_analysis_Dryse'!J338</f>
        <v>R745</v>
      </c>
      <c r="J192">
        <f>IFERROR(INDEX('Green_rooibos initial weight'!$C$5:$C$1749,MATCH(H192, 'Green_rooibos initial weight'!$A$5:$A$1749,0)),"")</f>
        <v>2.1070000000000002</v>
      </c>
      <c r="K192">
        <f>IFERROR(INDEX('Green_rooibos initial weight'!$C$5:$C$1749,MATCH(I192, 'Green_rooibos initial weight'!$A$5:$A$1749,0)),"")</f>
        <v>2.2909999999999999</v>
      </c>
      <c r="L192" s="195">
        <f t="shared" si="12"/>
        <v>1.8572000000000002</v>
      </c>
      <c r="M192" s="195">
        <f t="shared" si="13"/>
        <v>2.0411999999999999</v>
      </c>
      <c r="N192" s="16">
        <f>IF('Dry_Litterbag Placem_Collection'!G119="N.A","",'Dry_Litterbag Placem_Collection'!G119)</f>
        <v>43008</v>
      </c>
      <c r="O192" s="195" t="str">
        <f>IF(IFERROR(INDEX('Both teabags AfterDry'!$D$1:$D$839,MATCH(H192,'Both teabags AfterDry'!$A$1:$A$839,0)),"")="N.A","",(IFERROR(INDEX('Both teabags AfterDry'!$D$1:$D$839,MATCH(H192,'Both teabags AfterDry'!$A$1:$A$839,0)),"")))</f>
        <v/>
      </c>
      <c r="P192" s="195" t="str">
        <f>IF(IFERROR(INDEX('Both teabags AfterDry'!$D$1:$D$839,MATCH(I192,'Both teabags AfterDry'!$A$1:$A$839,0)),"")="N.A","",(IFERROR(INDEX('Both teabags AfterDry'!$D$1:$D$839,MATCH(I192,'Both teabags AfterDry'!$A$1:$A$839,0)),"")))</f>
        <v/>
      </c>
      <c r="Q192" s="195" t="str">
        <f t="shared" si="14"/>
        <v/>
      </c>
      <c r="R192" s="195" t="str">
        <f t="shared" si="14"/>
        <v/>
      </c>
      <c r="S192" s="195" t="str">
        <f t="shared" si="9"/>
        <v/>
      </c>
      <c r="T192" s="195" t="str">
        <f t="shared" si="15"/>
        <v/>
      </c>
      <c r="U192" s="195" t="str">
        <f t="shared" si="10"/>
        <v/>
      </c>
      <c r="V192">
        <f t="shared" si="11"/>
        <v>69</v>
      </c>
      <c r="W192" s="195" t="str">
        <f t="shared" si="16"/>
        <v/>
      </c>
      <c r="X192" s="195" t="str">
        <f t="shared" si="17"/>
        <v/>
      </c>
      <c r="Y192" s="255" t="str">
        <f>IF(ISNUMBER(SEARCH("C", 'Dry_Litterbag Placem_Collection'!T119)),"YES","NO")</f>
        <v>NO</v>
      </c>
      <c r="Z192" s="255" t="str">
        <f>IF(ISNUMBER(SEARCH("H", 'Dry_Litterbag Placem_Collection'!T119)),"YES","NO")</f>
        <v>NO</v>
      </c>
      <c r="AA192" s="255" t="str">
        <f>IF(ISNUMBER(SEARCH("R", 'Dry_Litterbag Placem_Collection'!T119)),"YES","NO")</f>
        <v>NO</v>
      </c>
      <c r="AB192" s="255" t="str">
        <f>IF(ISNUMBER(SEARCH("C", 'Dry_Litterbag Placem_Collection'!S119)),"YES","NO")</f>
        <v>NO</v>
      </c>
      <c r="AC192" s="255" t="str">
        <f>IF(ISNUMBER(SEARCH("H", 'Dry_Litterbag Placem_Collection'!S119)),"YES","NO")</f>
        <v>NO</v>
      </c>
      <c r="AD192" s="255" t="str">
        <f>IF(ISNUMBER(SEARCH("R", 'Dry_Litterbag Placem_Collection'!S119)),"YES","NO")</f>
        <v>YES</v>
      </c>
    </row>
    <row r="193" spans="2:30">
      <c r="B193" t="str">
        <f>'Final data_for_R_analysis_Dryse'!A119</f>
        <v>Dry</v>
      </c>
      <c r="C193" s="263">
        <f>'Final data_for_R_analysis_Dryse'!B119</f>
        <v>118</v>
      </c>
      <c r="D193" t="s">
        <v>3844</v>
      </c>
      <c r="E193" t="s">
        <v>22</v>
      </c>
      <c r="F193" s="387">
        <v>6</v>
      </c>
      <c r="G193" s="16">
        <f>'Dry_Litterbag Placem_Collection'!E120</f>
        <v>42939</v>
      </c>
      <c r="H193" t="str">
        <f>'Final data_for_R_analysis_Dryse'!J119</f>
        <v>G200</v>
      </c>
      <c r="I193" t="str">
        <f>'Final data_for_R_analysis_Dryse'!J339</f>
        <v>R791</v>
      </c>
      <c r="J193">
        <f>IFERROR(INDEX('Green_rooibos initial weight'!$C$5:$C$1749,MATCH(H193, 'Green_rooibos initial weight'!$A$5:$A$1749,0)),"")</f>
        <v>2.0150000000000001</v>
      </c>
      <c r="K193">
        <f>IFERROR(INDEX('Green_rooibos initial weight'!$C$5:$C$1749,MATCH(I193, 'Green_rooibos initial weight'!$A$5:$A$1749,0)),"")</f>
        <v>2.1579999999999999</v>
      </c>
      <c r="L193" s="195">
        <f t="shared" si="12"/>
        <v>1.7652000000000001</v>
      </c>
      <c r="M193" s="195">
        <f t="shared" si="13"/>
        <v>1.9081999999999999</v>
      </c>
      <c r="N193" s="16">
        <f>IF('Dry_Litterbag Placem_Collection'!G120="N.A","",'Dry_Litterbag Placem_Collection'!G120)</f>
        <v>43008</v>
      </c>
      <c r="O193" s="195">
        <f>IF(IFERROR(INDEX('Both teabags AfterDry'!$D$1:$D$839,MATCH(H193,'Both teabags AfterDry'!$A$1:$A$839,0)),"")="N.A","",(IFERROR(INDEX('Both teabags AfterDry'!$D$1:$D$839,MATCH(H193,'Both teabags AfterDry'!$A$1:$A$839,0)),"")))</f>
        <v>0.71760000000000002</v>
      </c>
      <c r="P193" s="195">
        <f>IF(IFERROR(INDEX('Both teabags AfterDry'!$D$1:$D$839,MATCH(I193,'Both teabags AfterDry'!$A$1:$A$839,0)),"")="N.A","",(IFERROR(INDEX('Both teabags AfterDry'!$D$1:$D$839,MATCH(I193,'Both teabags AfterDry'!$A$1:$A$839,0)),"")))</f>
        <v>1.629</v>
      </c>
      <c r="Q193" s="195">
        <f t="shared" si="14"/>
        <v>0.56699999999999995</v>
      </c>
      <c r="R193" s="195">
        <f t="shared" si="14"/>
        <v>1.4783999999999999</v>
      </c>
      <c r="S193" s="195">
        <f t="shared" si="9"/>
        <v>0.67878993881713123</v>
      </c>
      <c r="T193" s="195">
        <f t="shared" si="15"/>
        <v>0.44500243019840441</v>
      </c>
      <c r="U193" s="195">
        <f t="shared" si="10"/>
        <v>0.77476155539251657</v>
      </c>
      <c r="V193">
        <f t="shared" si="11"/>
        <v>69</v>
      </c>
      <c r="W193" s="195">
        <f t="shared" si="16"/>
        <v>0.19383617717680368</v>
      </c>
      <c r="X193" s="195">
        <f t="shared" si="17"/>
        <v>1.0225008196254565E-2</v>
      </c>
      <c r="Y193" s="255" t="str">
        <f>IF(ISNUMBER(SEARCH("C", 'Dry_Litterbag Placem_Collection'!T120)),"YES","NO")</f>
        <v>NO</v>
      </c>
      <c r="Z193" s="255" t="str">
        <f>IF(ISNUMBER(SEARCH("H", 'Dry_Litterbag Placem_Collection'!T120)),"YES","NO")</f>
        <v>NO</v>
      </c>
      <c r="AA193" s="255" t="str">
        <f>IF(ISNUMBER(SEARCH("R", 'Dry_Litterbag Placem_Collection'!T120)),"YES","NO")</f>
        <v>NO</v>
      </c>
      <c r="AB193" s="255" t="str">
        <f>IF(ISNUMBER(SEARCH("C", 'Dry_Litterbag Placem_Collection'!S120)),"YES","NO")</f>
        <v>NO</v>
      </c>
      <c r="AC193" s="255" t="str">
        <f>IF(ISNUMBER(SEARCH("H", 'Dry_Litterbag Placem_Collection'!S120)),"YES","NO")</f>
        <v>YES</v>
      </c>
      <c r="AD193" s="255" t="str">
        <f>IF(ISNUMBER(SEARCH("R", 'Dry_Litterbag Placem_Collection'!S120)),"YES","NO")</f>
        <v>YES</v>
      </c>
    </row>
    <row r="194" spans="2:30">
      <c r="B194" t="str">
        <f>'Final data_for_R_analysis_Dryse'!A120</f>
        <v>Dry</v>
      </c>
      <c r="C194" s="263">
        <f>'Final data_for_R_analysis_Dryse'!B120</f>
        <v>119</v>
      </c>
      <c r="D194" t="s">
        <v>3844</v>
      </c>
      <c r="E194" t="s">
        <v>22</v>
      </c>
      <c r="F194" s="387">
        <v>7</v>
      </c>
      <c r="G194" s="16">
        <f>'Dry_Litterbag Placem_Collection'!E121</f>
        <v>42939</v>
      </c>
      <c r="H194" t="str">
        <f>'Final data_for_R_analysis_Dryse'!J120</f>
        <v>G236</v>
      </c>
      <c r="I194" t="str">
        <f>'Final data_for_R_analysis_Dryse'!J340</f>
        <v>R802</v>
      </c>
      <c r="J194">
        <f>IFERROR(INDEX('Green_rooibos initial weight'!$C$5:$C$1749,MATCH(H194, 'Green_rooibos initial weight'!$A$5:$A$1749,0)),"")</f>
        <v>2.0529999999999999</v>
      </c>
      <c r="K194">
        <f>IFERROR(INDEX('Green_rooibos initial weight'!$C$5:$C$1749,MATCH(I194, 'Green_rooibos initial weight'!$A$5:$A$1749,0)),"")</f>
        <v>2.25</v>
      </c>
      <c r="L194" s="195">
        <f t="shared" si="12"/>
        <v>1.8031999999999999</v>
      </c>
      <c r="M194" s="195">
        <f t="shared" si="13"/>
        <v>2.0002</v>
      </c>
      <c r="N194" s="16">
        <f>IF('Dry_Litterbag Placem_Collection'!G121="N.A","",'Dry_Litterbag Placem_Collection'!G121)</f>
        <v>43008</v>
      </c>
      <c r="O194" s="195">
        <f>IF(IFERROR(INDEX('Both teabags AfterDry'!$D$1:$D$839,MATCH(H194,'Both teabags AfterDry'!$A$1:$A$839,0)),"")="N.A","",(IFERROR(INDEX('Both teabags AfterDry'!$D$1:$D$839,MATCH(H194,'Both teabags AfterDry'!$A$1:$A$839,0)),"")))</f>
        <v>0.81489999999999996</v>
      </c>
      <c r="P194" s="195">
        <f>IF(IFERROR(INDEX('Both teabags AfterDry'!$D$1:$D$839,MATCH(I194,'Both teabags AfterDry'!$A$1:$A$839,0)),"")="N.A","",(IFERROR(INDEX('Both teabags AfterDry'!$D$1:$D$839,MATCH(I194,'Both teabags AfterDry'!$A$1:$A$839,0)),"")))</f>
        <v>1.6778</v>
      </c>
      <c r="Q194" s="195">
        <f t="shared" si="14"/>
        <v>0.66429999999999989</v>
      </c>
      <c r="R194" s="195">
        <f t="shared" si="14"/>
        <v>1.5271999999999999</v>
      </c>
      <c r="S194" s="195">
        <f t="shared" si="9"/>
        <v>0.63159937888198758</v>
      </c>
      <c r="T194" s="195">
        <f t="shared" si="15"/>
        <v>0.41406515100101804</v>
      </c>
      <c r="U194" s="195">
        <f t="shared" si="10"/>
        <v>0.76352364763523639</v>
      </c>
      <c r="V194">
        <f t="shared" si="11"/>
        <v>69</v>
      </c>
      <c r="W194" s="195">
        <f t="shared" si="16"/>
        <v>0.24988197282424274</v>
      </c>
      <c r="X194" s="195">
        <f t="shared" si="17"/>
        <v>1.2268877872238886E-2</v>
      </c>
      <c r="Y194" s="255" t="str">
        <f>IF(ISNUMBER(SEARCH("C", 'Dry_Litterbag Placem_Collection'!T121)),"YES","NO")</f>
        <v>NO</v>
      </c>
      <c r="Z194" s="255" t="str">
        <f>IF(ISNUMBER(SEARCH("H", 'Dry_Litterbag Placem_Collection'!T121)),"YES","NO")</f>
        <v>NO</v>
      </c>
      <c r="AA194" s="255" t="str">
        <f>IF(ISNUMBER(SEARCH("R", 'Dry_Litterbag Placem_Collection'!T121)),"YES","NO")</f>
        <v>NO</v>
      </c>
      <c r="AB194" s="255" t="str">
        <f>IF(ISNUMBER(SEARCH("C", 'Dry_Litterbag Placem_Collection'!S121)),"YES","NO")</f>
        <v>NO</v>
      </c>
      <c r="AC194" s="255" t="str">
        <f>IF(ISNUMBER(SEARCH("H", 'Dry_Litterbag Placem_Collection'!S121)),"YES","NO")</f>
        <v>YES</v>
      </c>
      <c r="AD194" s="255" t="str">
        <f>IF(ISNUMBER(SEARCH("R", 'Dry_Litterbag Placem_Collection'!S121)),"YES","NO")</f>
        <v>NO</v>
      </c>
    </row>
    <row r="195" spans="2:30">
      <c r="B195" t="str">
        <f>'Final data_for_R_analysis_Dryse'!A121</f>
        <v>Dry</v>
      </c>
      <c r="C195" s="263">
        <f>'Final data_for_R_analysis_Dryse'!B121</f>
        <v>120</v>
      </c>
      <c r="D195" t="s">
        <v>3844</v>
      </c>
      <c r="E195" t="s">
        <v>22</v>
      </c>
      <c r="F195" s="387">
        <v>8</v>
      </c>
      <c r="G195" s="16">
        <f>'Dry_Litterbag Placem_Collection'!E122</f>
        <v>0</v>
      </c>
      <c r="H195" t="str">
        <f>'Final data_for_R_analysis_Dryse'!J121</f>
        <v/>
      </c>
      <c r="I195" t="str">
        <f>'Final data_for_R_analysis_Dryse'!J341</f>
        <v/>
      </c>
      <c r="J195" t="str">
        <f>IFERROR(INDEX('Green_rooibos initial weight'!$C$5:$C$1749,MATCH(H195, 'Green_rooibos initial weight'!$A$5:$A$1749,0)),"")</f>
        <v/>
      </c>
      <c r="K195" t="str">
        <f>IFERROR(INDEX('Green_rooibos initial weight'!$C$5:$C$1749,MATCH(I195, 'Green_rooibos initial weight'!$A$5:$A$1749,0)),"")</f>
        <v/>
      </c>
      <c r="L195" s="195" t="str">
        <f t="shared" si="12"/>
        <v/>
      </c>
      <c r="M195" s="195" t="str">
        <f t="shared" si="13"/>
        <v/>
      </c>
      <c r="N195" s="16">
        <f>IF('Dry_Litterbag Placem_Collection'!G122="N.A","",'Dry_Litterbag Placem_Collection'!G122)</f>
        <v>0</v>
      </c>
      <c r="O195" s="195" t="str">
        <f>IF(IFERROR(INDEX('Both teabags AfterDry'!$D$1:$D$839,MATCH(H195,'Both teabags AfterDry'!$A$1:$A$839,0)),"")="N.A","",(IFERROR(INDEX('Both teabags AfterDry'!$D$1:$D$839,MATCH(H195,'Both teabags AfterDry'!$A$1:$A$839,0)),"")))</f>
        <v/>
      </c>
      <c r="P195" s="195" t="str">
        <f>IF(IFERROR(INDEX('Both teabags AfterDry'!$D$1:$D$839,MATCH(I195,'Both teabags AfterDry'!$A$1:$A$839,0)),"")="N.A","",(IFERROR(INDEX('Both teabags AfterDry'!$D$1:$D$839,MATCH(I195,'Both teabags AfterDry'!$A$1:$A$839,0)),"")))</f>
        <v/>
      </c>
      <c r="Q195" s="195" t="str">
        <f t="shared" si="14"/>
        <v/>
      </c>
      <c r="R195" s="195" t="str">
        <f t="shared" si="14"/>
        <v/>
      </c>
      <c r="S195" s="195" t="str">
        <f t="shared" si="9"/>
        <v/>
      </c>
      <c r="T195" s="195" t="str">
        <f t="shared" si="15"/>
        <v/>
      </c>
      <c r="U195" s="195" t="str">
        <f t="shared" si="10"/>
        <v/>
      </c>
      <c r="V195" t="str">
        <f t="shared" si="11"/>
        <v/>
      </c>
      <c r="W195" s="195" t="str">
        <f t="shared" si="16"/>
        <v/>
      </c>
      <c r="X195" s="195" t="str">
        <f t="shared" si="17"/>
        <v/>
      </c>
      <c r="Y195" s="255" t="str">
        <f>IF(ISNUMBER(SEARCH("C", 'Dry_Litterbag Placem_Collection'!T122)),"YES","NO")</f>
        <v>NO</v>
      </c>
      <c r="Z195" s="255" t="str">
        <f>IF(ISNUMBER(SEARCH("H", 'Dry_Litterbag Placem_Collection'!T122)),"YES","NO")</f>
        <v>NO</v>
      </c>
      <c r="AA195" s="255" t="str">
        <f>IF(ISNUMBER(SEARCH("R", 'Dry_Litterbag Placem_Collection'!T122)),"YES","NO")</f>
        <v>NO</v>
      </c>
      <c r="AB195" s="255" t="str">
        <f>IF(ISNUMBER(SEARCH("C", 'Dry_Litterbag Placem_Collection'!S122)),"YES","NO")</f>
        <v>NO</v>
      </c>
      <c r="AC195" s="255" t="str">
        <f>IF(ISNUMBER(SEARCH("H", 'Dry_Litterbag Placem_Collection'!S122)),"YES","NO")</f>
        <v>NO</v>
      </c>
      <c r="AD195" s="255" t="str">
        <f>IF(ISNUMBER(SEARCH("R", 'Dry_Litterbag Placem_Collection'!S122)),"YES","NO")</f>
        <v>NO</v>
      </c>
    </row>
    <row r="196" spans="2:30">
      <c r="B196" t="str">
        <f>'Final data_for_R_analysis_Dryse'!A122</f>
        <v>Dry</v>
      </c>
      <c r="C196" s="263">
        <f>'Final data_for_R_analysis_Dryse'!B122</f>
        <v>121</v>
      </c>
      <c r="D196" t="s">
        <v>3845</v>
      </c>
      <c r="E196" t="s">
        <v>22</v>
      </c>
      <c r="F196" s="386">
        <v>1</v>
      </c>
      <c r="G196" s="16">
        <f>'Dry_Litterbag Placem_Collection'!E123</f>
        <v>42939</v>
      </c>
      <c r="H196" t="str">
        <f>'Final data_for_R_analysis_Dryse'!J122</f>
        <v>G280</v>
      </c>
      <c r="I196" t="str">
        <f>'Final data_for_R_analysis_Dryse'!J342</f>
        <v>R822</v>
      </c>
      <c r="J196">
        <f>IFERROR(INDEX('Green_rooibos initial weight'!$C$5:$C$1749,MATCH(H196, 'Green_rooibos initial weight'!$A$5:$A$1749,0)),"")</f>
        <v>1.9450000000000001</v>
      </c>
      <c r="K196">
        <f>IFERROR(INDEX('Green_rooibos initial weight'!$C$5:$C$1749,MATCH(I196, 'Green_rooibos initial weight'!$A$5:$A$1749,0)),"")</f>
        <v>2.1880000000000002</v>
      </c>
      <c r="L196" s="195">
        <f t="shared" si="12"/>
        <v>1.6952</v>
      </c>
      <c r="M196" s="195">
        <f t="shared" si="13"/>
        <v>1.9382000000000001</v>
      </c>
      <c r="N196" s="16">
        <f>IF('Dry_Litterbag Placem_Collection'!G123="N.A","",'Dry_Litterbag Placem_Collection'!G123)</f>
        <v>43008</v>
      </c>
      <c r="O196" s="195" t="str">
        <f>IF(IFERROR(INDEX('Both teabags AfterDry'!$D$1:$D$839,MATCH(H196,'Both teabags AfterDry'!$A$1:$A$839,0)),"")="N.A","",(IFERROR(INDEX('Both teabags AfterDry'!$D$1:$D$839,MATCH(H196,'Both teabags AfterDry'!$A$1:$A$839,0)),"")))</f>
        <v/>
      </c>
      <c r="P196" s="195" t="str">
        <f>IF(IFERROR(INDEX('Both teabags AfterDry'!$D$1:$D$839,MATCH(I196,'Both teabags AfterDry'!$A$1:$A$839,0)),"")="N.A","",(IFERROR(INDEX('Both teabags AfterDry'!$D$1:$D$839,MATCH(I196,'Both teabags AfterDry'!$A$1:$A$839,0)),"")))</f>
        <v/>
      </c>
      <c r="Q196" s="195" t="str">
        <f t="shared" si="14"/>
        <v/>
      </c>
      <c r="R196" s="195" t="str">
        <f t="shared" si="14"/>
        <v/>
      </c>
      <c r="S196" s="195" t="str">
        <f t="shared" si="9"/>
        <v/>
      </c>
      <c r="T196" s="195" t="str">
        <f t="shared" si="15"/>
        <v/>
      </c>
      <c r="U196" s="195" t="str">
        <f t="shared" si="10"/>
        <v/>
      </c>
      <c r="V196">
        <f t="shared" si="11"/>
        <v>69</v>
      </c>
      <c r="W196" s="195" t="str">
        <f t="shared" si="16"/>
        <v/>
      </c>
      <c r="X196" s="195" t="str">
        <f t="shared" si="17"/>
        <v/>
      </c>
      <c r="Y196" s="255" t="str">
        <f>IF(ISNUMBER(SEARCH("C", 'Dry_Litterbag Placem_Collection'!T123)),"YES","NO")</f>
        <v>NO</v>
      </c>
      <c r="Z196" s="255" t="str">
        <f>IF(ISNUMBER(SEARCH("H", 'Dry_Litterbag Placem_Collection'!T123)),"YES","NO")</f>
        <v>NO</v>
      </c>
      <c r="AA196" s="255" t="str">
        <f>IF(ISNUMBER(SEARCH("R", 'Dry_Litterbag Placem_Collection'!T123)),"YES","NO")</f>
        <v>NO</v>
      </c>
      <c r="AB196" s="255" t="str">
        <f>IF(ISNUMBER(SEARCH("C", 'Dry_Litterbag Placem_Collection'!S123)),"YES","NO")</f>
        <v>NO</v>
      </c>
      <c r="AC196" s="255" t="str">
        <f>IF(ISNUMBER(SEARCH("H", 'Dry_Litterbag Placem_Collection'!S123)),"YES","NO")</f>
        <v>NO</v>
      </c>
      <c r="AD196" s="255" t="str">
        <f>IF(ISNUMBER(SEARCH("R", 'Dry_Litterbag Placem_Collection'!S123)),"YES","NO")</f>
        <v>NO</v>
      </c>
    </row>
    <row r="197" spans="2:30">
      <c r="B197" t="str">
        <f>'Final data_for_R_analysis_Dryse'!A123</f>
        <v>Dry</v>
      </c>
      <c r="C197" s="263">
        <f>'Final data_for_R_analysis_Dryse'!B123</f>
        <v>122</v>
      </c>
      <c r="D197" t="s">
        <v>3845</v>
      </c>
      <c r="E197" t="s">
        <v>22</v>
      </c>
      <c r="F197" s="386">
        <v>2</v>
      </c>
      <c r="G197" s="16">
        <f>'Dry_Litterbag Placem_Collection'!E124</f>
        <v>42939</v>
      </c>
      <c r="H197" t="str">
        <f>'Final data_for_R_analysis_Dryse'!J123</f>
        <v>G231</v>
      </c>
      <c r="I197" t="str">
        <f>'Final data_for_R_analysis_Dryse'!J343</f>
        <v>R792</v>
      </c>
      <c r="J197">
        <f>IFERROR(INDEX('Green_rooibos initial weight'!$C$5:$C$1749,MATCH(H197, 'Green_rooibos initial weight'!$A$5:$A$1749,0)),"")</f>
        <v>2.085</v>
      </c>
      <c r="K197">
        <f>IFERROR(INDEX('Green_rooibos initial weight'!$C$5:$C$1749,MATCH(I197, 'Green_rooibos initial weight'!$A$5:$A$1749,0)),"")</f>
        <v>2.2389999999999999</v>
      </c>
      <c r="L197" s="195">
        <f t="shared" si="12"/>
        <v>1.8351999999999999</v>
      </c>
      <c r="M197" s="195">
        <f t="shared" si="13"/>
        <v>1.9891999999999999</v>
      </c>
      <c r="N197" s="16">
        <f>IF('Dry_Litterbag Placem_Collection'!G124="N.A","",'Dry_Litterbag Placem_Collection'!G124)</f>
        <v>43008</v>
      </c>
      <c r="O197" s="195">
        <f>IF(IFERROR(INDEX('Both teabags AfterDry'!$D$1:$D$839,MATCH(H197,'Both teabags AfterDry'!$A$1:$A$839,0)),"")="N.A","",(IFERROR(INDEX('Both teabags AfterDry'!$D$1:$D$839,MATCH(H197,'Both teabags AfterDry'!$A$1:$A$839,0)),"")))</f>
        <v>1.8747</v>
      </c>
      <c r="P197" s="195">
        <f>IF(IFERROR(INDEX('Both teabags AfterDry'!$D$1:$D$839,MATCH(I197,'Both teabags AfterDry'!$A$1:$A$839,0)),"")="N.A","",(IFERROR(INDEX('Both teabags AfterDry'!$D$1:$D$839,MATCH(I197,'Both teabags AfterDry'!$A$1:$A$839,0)),"")))</f>
        <v>0</v>
      </c>
      <c r="Q197" s="195">
        <f t="shared" si="14"/>
        <v>1.7241</v>
      </c>
      <c r="R197" s="195" t="str">
        <f t="shared" si="14"/>
        <v/>
      </c>
      <c r="S197" s="195">
        <f t="shared" si="9"/>
        <v>6.0538360941586711E-2</v>
      </c>
      <c r="T197" s="195">
        <f t="shared" si="15"/>
        <v>3.9687856579282504E-2</v>
      </c>
      <c r="U197" s="195" t="str">
        <f t="shared" si="10"/>
        <v/>
      </c>
      <c r="V197">
        <f t="shared" si="11"/>
        <v>69</v>
      </c>
      <c r="W197" s="195">
        <f t="shared" si="16"/>
        <v>0.92810170909550271</v>
      </c>
      <c r="X197" s="195" t="str">
        <f t="shared" si="17"/>
        <v/>
      </c>
      <c r="Y197" s="255" t="str">
        <f>IF(ISNUMBER(SEARCH("C", 'Dry_Litterbag Placem_Collection'!T124)),"YES","NO")</f>
        <v>YES</v>
      </c>
      <c r="Z197" s="255" t="str">
        <f>IF(ISNUMBER(SEARCH("H", 'Dry_Litterbag Placem_Collection'!T124)),"YES","NO")</f>
        <v>YES</v>
      </c>
      <c r="AA197" s="255" t="str">
        <f>IF(ISNUMBER(SEARCH("R", 'Dry_Litterbag Placem_Collection'!T124)),"YES","NO")</f>
        <v>NO</v>
      </c>
      <c r="AB197" s="255" t="str">
        <f>IF(ISNUMBER(SEARCH("C", 'Dry_Litterbag Placem_Collection'!S124)),"YES","NO")</f>
        <v>NO</v>
      </c>
      <c r="AC197" s="255" t="str">
        <f>IF(ISNUMBER(SEARCH("H", 'Dry_Litterbag Placem_Collection'!S124)),"YES","NO")</f>
        <v>YES</v>
      </c>
      <c r="AD197" s="255" t="str">
        <f>IF(ISNUMBER(SEARCH("R", 'Dry_Litterbag Placem_Collection'!S124)),"YES","NO")</f>
        <v>NO</v>
      </c>
    </row>
    <row r="198" spans="2:30">
      <c r="B198" t="str">
        <f>'Final data_for_R_analysis_Dryse'!A124</f>
        <v>Dry</v>
      </c>
      <c r="C198" s="263">
        <f>'Final data_for_R_analysis_Dryse'!B124</f>
        <v>123</v>
      </c>
      <c r="D198" t="s">
        <v>3845</v>
      </c>
      <c r="E198" t="s">
        <v>22</v>
      </c>
      <c r="F198" s="386">
        <v>3</v>
      </c>
      <c r="G198" s="16">
        <f>'Dry_Litterbag Placem_Collection'!E125</f>
        <v>42939</v>
      </c>
      <c r="H198" t="str">
        <f>'Final data_for_R_analysis_Dryse'!J124</f>
        <v>G292</v>
      </c>
      <c r="I198" t="str">
        <f>'Final data_for_R_analysis_Dryse'!J344</f>
        <v>R740</v>
      </c>
      <c r="J198">
        <f>IFERROR(INDEX('Green_rooibos initial weight'!$C$5:$C$1749,MATCH(H198, 'Green_rooibos initial weight'!$A$5:$A$1749,0)),"")</f>
        <v>2.0289999999999999</v>
      </c>
      <c r="K198">
        <f>IFERROR(INDEX('Green_rooibos initial weight'!$C$5:$C$1749,MATCH(I198, 'Green_rooibos initial weight'!$A$5:$A$1749,0)),"")</f>
        <v>2.161</v>
      </c>
      <c r="L198" s="195">
        <f t="shared" si="12"/>
        <v>1.7791999999999999</v>
      </c>
      <c r="M198" s="195">
        <f t="shared" si="13"/>
        <v>1.9112</v>
      </c>
      <c r="N198" s="16">
        <f>IF('Dry_Litterbag Placem_Collection'!G125="N.A","",'Dry_Litterbag Placem_Collection'!G125)</f>
        <v>43008</v>
      </c>
      <c r="O198" s="195">
        <f>IF(IFERROR(INDEX('Both teabags AfterDry'!$D$1:$D$839,MATCH(H198,'Both teabags AfterDry'!$A$1:$A$839,0)),"")="N.A","",(IFERROR(INDEX('Both teabags AfterDry'!$D$1:$D$839,MATCH(H198,'Both teabags AfterDry'!$A$1:$A$839,0)),"")))</f>
        <v>0.88980000000000004</v>
      </c>
      <c r="P198" s="195">
        <f>IF(IFERROR(INDEX('Both teabags AfterDry'!$D$1:$D$839,MATCH(I198,'Both teabags AfterDry'!$A$1:$A$839,0)),"")="N.A","",(IFERROR(INDEX('Both teabags AfterDry'!$D$1:$D$839,MATCH(I198,'Both teabags AfterDry'!$A$1:$A$839,0)),"")))</f>
        <v>1.6575</v>
      </c>
      <c r="Q198" s="195">
        <f t="shared" si="14"/>
        <v>0.73920000000000008</v>
      </c>
      <c r="R198" s="195">
        <f t="shared" si="14"/>
        <v>1.5068999999999999</v>
      </c>
      <c r="S198" s="195">
        <f t="shared" si="9"/>
        <v>0.58453237410071934</v>
      </c>
      <c r="T198" s="195">
        <f t="shared" si="15"/>
        <v>0.38320887233206308</v>
      </c>
      <c r="U198" s="195">
        <f t="shared" si="10"/>
        <v>0.78845751360401839</v>
      </c>
      <c r="V198">
        <f t="shared" si="11"/>
        <v>69</v>
      </c>
      <c r="W198" s="195">
        <f t="shared" si="16"/>
        <v>0.30578102838394372</v>
      </c>
      <c r="X198" s="195">
        <f t="shared" si="17"/>
        <v>1.1638075687327087E-2</v>
      </c>
      <c r="Y198" s="255" t="str">
        <f>IF(ISNUMBER(SEARCH("C", 'Dry_Litterbag Placem_Collection'!T125)),"YES","NO")</f>
        <v>NO</v>
      </c>
      <c r="Z198" s="255" t="str">
        <f>IF(ISNUMBER(SEARCH("H", 'Dry_Litterbag Placem_Collection'!T125)),"YES","NO")</f>
        <v>NO</v>
      </c>
      <c r="AA198" s="255" t="str">
        <f>IF(ISNUMBER(SEARCH("R", 'Dry_Litterbag Placem_Collection'!T125)),"YES","NO")</f>
        <v>NO</v>
      </c>
      <c r="AB198" s="255" t="str">
        <f>IF(ISNUMBER(SEARCH("C", 'Dry_Litterbag Placem_Collection'!S125)),"YES","NO")</f>
        <v>NO</v>
      </c>
      <c r="AC198" s="255" t="str">
        <f>IF(ISNUMBER(SEARCH("H", 'Dry_Litterbag Placem_Collection'!S125)),"YES","NO")</f>
        <v>NO</v>
      </c>
      <c r="AD198" s="255" t="str">
        <f>IF(ISNUMBER(SEARCH("R", 'Dry_Litterbag Placem_Collection'!S125)),"YES","NO")</f>
        <v>YES</v>
      </c>
    </row>
    <row r="199" spans="2:30">
      <c r="B199" t="str">
        <f>'Final data_for_R_analysis_Dryse'!A125</f>
        <v>Dry</v>
      </c>
      <c r="C199" s="263">
        <f>'Final data_for_R_analysis_Dryse'!B125</f>
        <v>124</v>
      </c>
      <c r="D199" t="s">
        <v>3845</v>
      </c>
      <c r="E199" t="s">
        <v>22</v>
      </c>
      <c r="F199" s="387">
        <v>4</v>
      </c>
      <c r="G199" s="16">
        <f>'Dry_Litterbag Placem_Collection'!E126</f>
        <v>42939</v>
      </c>
      <c r="H199" t="str">
        <f>'Final data_for_R_analysis_Dryse'!J125</f>
        <v>G116</v>
      </c>
      <c r="I199" t="str">
        <f>'Final data_for_R_analysis_Dryse'!J345</f>
        <v>R797</v>
      </c>
      <c r="J199">
        <f>IFERROR(INDEX('Green_rooibos initial weight'!$C$5:$C$1749,MATCH(H199, 'Green_rooibos initial weight'!$A$5:$A$1749,0)),"")</f>
        <v>1.925</v>
      </c>
      <c r="K199">
        <f>IFERROR(INDEX('Green_rooibos initial weight'!$C$5:$C$1749,MATCH(I199, 'Green_rooibos initial weight'!$A$5:$A$1749,0)),"")</f>
        <v>2.2130000000000001</v>
      </c>
      <c r="L199" s="195">
        <f t="shared" si="12"/>
        <v>1.6752</v>
      </c>
      <c r="M199" s="195">
        <f t="shared" si="13"/>
        <v>1.9632000000000001</v>
      </c>
      <c r="N199" s="16">
        <f>IF('Dry_Litterbag Placem_Collection'!G126="N.A","",'Dry_Litterbag Placem_Collection'!G126)</f>
        <v>43008</v>
      </c>
      <c r="O199" s="195">
        <f>IF(IFERROR(INDEX('Both teabags AfterDry'!$D$1:$D$839,MATCH(H199,'Both teabags AfterDry'!$A$1:$A$839,0)),"")="N.A","",(IFERROR(INDEX('Both teabags AfterDry'!$D$1:$D$839,MATCH(H199,'Both teabags AfterDry'!$A$1:$A$839,0)),"")))</f>
        <v>0.63749999999999996</v>
      </c>
      <c r="P199" s="195">
        <f>IF(IFERROR(INDEX('Both teabags AfterDry'!$D$1:$D$839,MATCH(I199,'Both teabags AfterDry'!$A$1:$A$839,0)),"")="N.A","",(IFERROR(INDEX('Both teabags AfterDry'!$D$1:$D$839,MATCH(I199,'Both teabags AfterDry'!$A$1:$A$839,0)),"")))</f>
        <v>1.5708</v>
      </c>
      <c r="Q199" s="195">
        <f t="shared" si="14"/>
        <v>0.48689999999999994</v>
      </c>
      <c r="R199" s="195">
        <f t="shared" si="14"/>
        <v>1.4201999999999999</v>
      </c>
      <c r="S199" s="195">
        <f t="shared" si="9"/>
        <v>0.7093481375358166</v>
      </c>
      <c r="T199" s="195">
        <f t="shared" si="15"/>
        <v>0.46503583363393208</v>
      </c>
      <c r="U199" s="195">
        <f t="shared" si="10"/>
        <v>0.72341075794621024</v>
      </c>
      <c r="V199">
        <f t="shared" si="11"/>
        <v>69</v>
      </c>
      <c r="W199" s="195">
        <f t="shared" si="16"/>
        <v>0.15754377964867383</v>
      </c>
      <c r="X199" s="195">
        <f t="shared" si="17"/>
        <v>1.3091301902137671E-2</v>
      </c>
      <c r="Y199" s="255" t="str">
        <f>IF(ISNUMBER(SEARCH("C", 'Dry_Litterbag Placem_Collection'!T126)),"YES","NO")</f>
        <v>NO</v>
      </c>
      <c r="Z199" s="255" t="str">
        <f>IF(ISNUMBER(SEARCH("H", 'Dry_Litterbag Placem_Collection'!T126)),"YES","NO")</f>
        <v>YES</v>
      </c>
      <c r="AA199" s="255" t="str">
        <f>IF(ISNUMBER(SEARCH("R", 'Dry_Litterbag Placem_Collection'!T126)),"YES","NO")</f>
        <v>YES</v>
      </c>
      <c r="AB199" s="255" t="str">
        <f>IF(ISNUMBER(SEARCH("C", 'Dry_Litterbag Placem_Collection'!S126)),"YES","NO")</f>
        <v>NO</v>
      </c>
      <c r="AC199" s="255" t="str">
        <f>IF(ISNUMBER(SEARCH("H", 'Dry_Litterbag Placem_Collection'!S126)),"YES","NO")</f>
        <v>YES</v>
      </c>
      <c r="AD199" s="255" t="str">
        <f>IF(ISNUMBER(SEARCH("R", 'Dry_Litterbag Placem_Collection'!S126)),"YES","NO")</f>
        <v>YES</v>
      </c>
    </row>
    <row r="200" spans="2:30">
      <c r="B200" t="str">
        <f>'Final data_for_R_analysis_Dryse'!A126</f>
        <v>Dry</v>
      </c>
      <c r="C200" s="263">
        <f>'Final data_for_R_analysis_Dryse'!B126</f>
        <v>125</v>
      </c>
      <c r="D200" t="s">
        <v>3845</v>
      </c>
      <c r="E200" t="s">
        <v>22</v>
      </c>
      <c r="F200" s="387">
        <v>5</v>
      </c>
      <c r="G200" s="16">
        <f>'Dry_Litterbag Placem_Collection'!E127</f>
        <v>42939</v>
      </c>
      <c r="H200" t="str">
        <f>'Final data_for_R_analysis_Dryse'!J126</f>
        <v>G50</v>
      </c>
      <c r="I200" t="str">
        <f>'Final data_for_R_analysis_Dryse'!J346</f>
        <v>R795</v>
      </c>
      <c r="J200">
        <f>IFERROR(INDEX('Green_rooibos initial weight'!$C$5:$C$1749,MATCH(H200, 'Green_rooibos initial weight'!$A$5:$A$1749,0)),"")</f>
        <v>1.954</v>
      </c>
      <c r="K200">
        <f>IFERROR(INDEX('Green_rooibos initial weight'!$C$5:$C$1749,MATCH(I200, 'Green_rooibos initial weight'!$A$5:$A$1749,0)),"")</f>
        <v>2.2170000000000001</v>
      </c>
      <c r="L200" s="195">
        <f t="shared" si="12"/>
        <v>1.7041999999999999</v>
      </c>
      <c r="M200" s="195">
        <f t="shared" si="13"/>
        <v>1.9672000000000001</v>
      </c>
      <c r="N200" s="16">
        <f>IF('Dry_Litterbag Placem_Collection'!G127="N.A","",'Dry_Litterbag Placem_Collection'!G127)</f>
        <v>43008</v>
      </c>
      <c r="O200" s="195">
        <f>IF(IFERROR(INDEX('Both teabags AfterDry'!$D$1:$D$839,MATCH(H200,'Both teabags AfterDry'!$A$1:$A$839,0)),"")="N.A","",(IFERROR(INDEX('Both teabags AfterDry'!$D$1:$D$839,MATCH(H200,'Both teabags AfterDry'!$A$1:$A$839,0)),"")))</f>
        <v>0.8911</v>
      </c>
      <c r="P200" s="195">
        <f>IF(IFERROR(INDEX('Both teabags AfterDry'!$D$1:$D$839,MATCH(I200,'Both teabags AfterDry'!$A$1:$A$839,0)),"")="N.A","",(IFERROR(INDEX('Both teabags AfterDry'!$D$1:$D$839,MATCH(I200,'Both teabags AfterDry'!$A$1:$A$839,0)),"")))</f>
        <v>0.83220000000000005</v>
      </c>
      <c r="Q200" s="195">
        <f t="shared" si="14"/>
        <v>0.74049999999999994</v>
      </c>
      <c r="R200" s="195">
        <f t="shared" si="14"/>
        <v>0.68159999999999998</v>
      </c>
      <c r="S200" s="195">
        <f t="shared" si="9"/>
        <v>0.56548527168172757</v>
      </c>
      <c r="T200" s="195">
        <f t="shared" si="15"/>
        <v>0.37072193582935115</v>
      </c>
      <c r="U200" s="195">
        <f t="shared" si="10"/>
        <v>0.34648230988206585</v>
      </c>
      <c r="V200">
        <f t="shared" si="11"/>
        <v>69</v>
      </c>
      <c r="W200" s="195">
        <f t="shared" si="16"/>
        <v>0.32840229016421896</v>
      </c>
      <c r="X200" s="195" t="str">
        <f t="shared" si="17"/>
        <v/>
      </c>
      <c r="Y200" s="255" t="str">
        <f>IF(ISNUMBER(SEARCH("C", 'Dry_Litterbag Placem_Collection'!T127)),"YES","NO")</f>
        <v>YES</v>
      </c>
      <c r="Z200" s="255" t="str">
        <f>IF(ISNUMBER(SEARCH("H", 'Dry_Litterbag Placem_Collection'!T127)),"YES","NO")</f>
        <v>YES</v>
      </c>
      <c r="AA200" s="255" t="str">
        <f>IF(ISNUMBER(SEARCH("R", 'Dry_Litterbag Placem_Collection'!T127)),"YES","NO")</f>
        <v>NO</v>
      </c>
      <c r="AB200" s="255" t="str">
        <f>IF(ISNUMBER(SEARCH("C", 'Dry_Litterbag Placem_Collection'!S127)),"YES","NO")</f>
        <v>NO</v>
      </c>
      <c r="AC200" s="255" t="str">
        <f>IF(ISNUMBER(SEARCH("H", 'Dry_Litterbag Placem_Collection'!S127)),"YES","NO")</f>
        <v>NO</v>
      </c>
      <c r="AD200" s="255" t="str">
        <f>IF(ISNUMBER(SEARCH("R", 'Dry_Litterbag Placem_Collection'!S127)),"YES","NO")</f>
        <v>NO</v>
      </c>
    </row>
    <row r="201" spans="2:30">
      <c r="B201" t="str">
        <f>'Final data_for_R_analysis_Dryse'!A127</f>
        <v>Dry</v>
      </c>
      <c r="C201" s="263">
        <f>'Final data_for_R_analysis_Dryse'!B127</f>
        <v>126</v>
      </c>
      <c r="D201" t="s">
        <v>3845</v>
      </c>
      <c r="E201" t="s">
        <v>22</v>
      </c>
      <c r="F201" s="387">
        <v>6</v>
      </c>
      <c r="G201" s="16">
        <f>'Dry_Litterbag Placem_Collection'!E128</f>
        <v>0</v>
      </c>
      <c r="H201" t="str">
        <f>'Final data_for_R_analysis_Dryse'!J127</f>
        <v/>
      </c>
      <c r="I201" t="str">
        <f>'Final data_for_R_analysis_Dryse'!J347</f>
        <v/>
      </c>
      <c r="J201" t="str">
        <f>IFERROR(INDEX('Green_rooibos initial weight'!$C$5:$C$1749,MATCH(H201, 'Green_rooibos initial weight'!$A$5:$A$1749,0)),"")</f>
        <v/>
      </c>
      <c r="K201" t="str">
        <f>IFERROR(INDEX('Green_rooibos initial weight'!$C$5:$C$1749,MATCH(I201, 'Green_rooibos initial weight'!$A$5:$A$1749,0)),"")</f>
        <v/>
      </c>
      <c r="L201" s="195" t="str">
        <f t="shared" si="12"/>
        <v/>
      </c>
      <c r="M201" s="195" t="str">
        <f t="shared" si="13"/>
        <v/>
      </c>
      <c r="N201" s="16">
        <f>IF('Dry_Litterbag Placem_Collection'!G128="N.A","",'Dry_Litterbag Placem_Collection'!G128)</f>
        <v>0</v>
      </c>
      <c r="O201" s="195" t="str">
        <f>IF(IFERROR(INDEX('Both teabags AfterDry'!$D$1:$D$839,MATCH(H201,'Both teabags AfterDry'!$A$1:$A$839,0)),"")="N.A","",(IFERROR(INDEX('Both teabags AfterDry'!$D$1:$D$839,MATCH(H201,'Both teabags AfterDry'!$A$1:$A$839,0)),"")))</f>
        <v/>
      </c>
      <c r="P201" s="195" t="str">
        <f>IF(IFERROR(INDEX('Both teabags AfterDry'!$D$1:$D$839,MATCH(I201,'Both teabags AfterDry'!$A$1:$A$839,0)),"")="N.A","",(IFERROR(INDEX('Both teabags AfterDry'!$D$1:$D$839,MATCH(I201,'Both teabags AfterDry'!$A$1:$A$839,0)),"")))</f>
        <v/>
      </c>
      <c r="Q201" s="195" t="str">
        <f t="shared" si="14"/>
        <v/>
      </c>
      <c r="R201" s="195" t="str">
        <f t="shared" si="14"/>
        <v/>
      </c>
      <c r="S201" s="195" t="str">
        <f t="shared" si="9"/>
        <v/>
      </c>
      <c r="T201" s="195" t="str">
        <f t="shared" si="15"/>
        <v/>
      </c>
      <c r="U201" s="195" t="str">
        <f t="shared" si="10"/>
        <v/>
      </c>
      <c r="V201" t="str">
        <f t="shared" si="11"/>
        <v/>
      </c>
      <c r="W201" s="195" t="str">
        <f t="shared" si="16"/>
        <v/>
      </c>
      <c r="X201" s="195" t="str">
        <f t="shared" si="17"/>
        <v/>
      </c>
      <c r="Y201" s="255" t="str">
        <f>IF(ISNUMBER(SEARCH("C", 'Dry_Litterbag Placem_Collection'!T128)),"YES","NO")</f>
        <v>NO</v>
      </c>
      <c r="Z201" s="255" t="str">
        <f>IF(ISNUMBER(SEARCH("H", 'Dry_Litterbag Placem_Collection'!T128)),"YES","NO")</f>
        <v>NO</v>
      </c>
      <c r="AA201" s="255" t="str">
        <f>IF(ISNUMBER(SEARCH("R", 'Dry_Litterbag Placem_Collection'!T128)),"YES","NO")</f>
        <v>NO</v>
      </c>
      <c r="AB201" s="255" t="str">
        <f>IF(ISNUMBER(SEARCH("C", 'Dry_Litterbag Placem_Collection'!S128)),"YES","NO")</f>
        <v>NO</v>
      </c>
      <c r="AC201" s="255" t="str">
        <f>IF(ISNUMBER(SEARCH("H", 'Dry_Litterbag Placem_Collection'!S128)),"YES","NO")</f>
        <v>NO</v>
      </c>
      <c r="AD201" s="255" t="str">
        <f>IF(ISNUMBER(SEARCH("R", 'Dry_Litterbag Placem_Collection'!S128)),"YES","NO")</f>
        <v>NO</v>
      </c>
    </row>
    <row r="202" spans="2:30">
      <c r="B202" t="str">
        <f>'Final data_for_R_analysis_Dryse'!A128</f>
        <v>Dry</v>
      </c>
      <c r="C202" s="263">
        <f>'Final data_for_R_analysis_Dryse'!B128</f>
        <v>127</v>
      </c>
      <c r="D202" t="s">
        <v>3845</v>
      </c>
      <c r="E202" t="s">
        <v>22</v>
      </c>
      <c r="F202" s="387">
        <v>7</v>
      </c>
      <c r="G202" s="16">
        <f>'Dry_Litterbag Placem_Collection'!E129</f>
        <v>42939</v>
      </c>
      <c r="H202" t="str">
        <f>'Final data_for_R_analysis_Dryse'!J128</f>
        <v>G318</v>
      </c>
      <c r="I202" t="str">
        <f>'Final data_for_R_analysis_Dryse'!J348</f>
        <v>R751</v>
      </c>
      <c r="J202">
        <f>IFERROR(INDEX('Green_rooibos initial weight'!$C$5:$C$1749,MATCH(H202, 'Green_rooibos initial weight'!$A$5:$A$1749,0)),"")</f>
        <v>1.929</v>
      </c>
      <c r="K202">
        <f>IFERROR(INDEX('Green_rooibos initial weight'!$C$5:$C$1749,MATCH(I202, 'Green_rooibos initial weight'!$A$5:$A$1749,0)),"")</f>
        <v>2.262</v>
      </c>
      <c r="L202" s="195">
        <f t="shared" si="12"/>
        <v>1.6792</v>
      </c>
      <c r="M202" s="195">
        <f t="shared" si="13"/>
        <v>2.0122</v>
      </c>
      <c r="N202" s="16">
        <f>IF('Dry_Litterbag Placem_Collection'!G129="N.A","",'Dry_Litterbag Placem_Collection'!G129)</f>
        <v>43008</v>
      </c>
      <c r="O202" s="195">
        <f>IF(IFERROR(INDEX('Both teabags AfterDry'!$D$1:$D$839,MATCH(H202,'Both teabags AfterDry'!$A$1:$A$839,0)),"")="N.A","",(IFERROR(INDEX('Both teabags AfterDry'!$D$1:$D$839,MATCH(H202,'Both teabags AfterDry'!$A$1:$A$839,0)),"")))</f>
        <v>0.70609999999999995</v>
      </c>
      <c r="P202" s="195">
        <f>IF(IFERROR(INDEX('Both teabags AfterDry'!$D$1:$D$839,MATCH(I202,'Both teabags AfterDry'!$A$1:$A$839,0)),"")="N.A","",(IFERROR(INDEX('Both teabags AfterDry'!$D$1:$D$839,MATCH(I202,'Both teabags AfterDry'!$A$1:$A$839,0)),"")))</f>
        <v>1.6394</v>
      </c>
      <c r="Q202" s="195">
        <f t="shared" si="14"/>
        <v>0.55549999999999988</v>
      </c>
      <c r="R202" s="195">
        <f t="shared" si="14"/>
        <v>1.4887999999999999</v>
      </c>
      <c r="S202" s="195">
        <f t="shared" si="9"/>
        <v>0.66918770843258701</v>
      </c>
      <c r="T202" s="195">
        <f t="shared" si="15"/>
        <v>0.43870738130022335</v>
      </c>
      <c r="U202" s="195">
        <f t="shared" si="10"/>
        <v>0.73988669118377892</v>
      </c>
      <c r="V202">
        <f t="shared" si="11"/>
        <v>69</v>
      </c>
      <c r="W202" s="195">
        <f t="shared" si="16"/>
        <v>0.20524025126771139</v>
      </c>
      <c r="X202" s="195">
        <f t="shared" si="17"/>
        <v>1.3024886294378013E-2</v>
      </c>
      <c r="Y202" s="255" t="str">
        <f>IF(ISNUMBER(SEARCH("C", 'Dry_Litterbag Placem_Collection'!T129)),"YES","NO")</f>
        <v>NO</v>
      </c>
      <c r="Z202" s="255" t="str">
        <f>IF(ISNUMBER(SEARCH("H", 'Dry_Litterbag Placem_Collection'!T129)),"YES","NO")</f>
        <v>NO</v>
      </c>
      <c r="AA202" s="255" t="str">
        <f>IF(ISNUMBER(SEARCH("R", 'Dry_Litterbag Placem_Collection'!T129)),"YES","NO")</f>
        <v>NO</v>
      </c>
      <c r="AB202" s="255" t="str">
        <f>IF(ISNUMBER(SEARCH("C", 'Dry_Litterbag Placem_Collection'!S129)),"YES","NO")</f>
        <v>NO</v>
      </c>
      <c r="AC202" s="255" t="str">
        <f>IF(ISNUMBER(SEARCH("H", 'Dry_Litterbag Placem_Collection'!S129)),"YES","NO")</f>
        <v>NO</v>
      </c>
      <c r="AD202" s="255" t="str">
        <f>IF(ISNUMBER(SEARCH("R", 'Dry_Litterbag Placem_Collection'!S129)),"YES","NO")</f>
        <v>YES</v>
      </c>
    </row>
    <row r="203" spans="2:30">
      <c r="B203" t="str">
        <f>'Final data_for_R_analysis_Dryse'!A129</f>
        <v>Dry</v>
      </c>
      <c r="C203" s="263">
        <f>'Final data_for_R_analysis_Dryse'!B129</f>
        <v>128</v>
      </c>
      <c r="D203" t="s">
        <v>3845</v>
      </c>
      <c r="E203" t="s">
        <v>22</v>
      </c>
      <c r="F203" s="387">
        <v>8</v>
      </c>
      <c r="G203" s="16">
        <f>'Dry_Litterbag Placem_Collection'!E130</f>
        <v>42939</v>
      </c>
      <c r="H203" t="str">
        <f>'Final data_for_R_analysis_Dryse'!J129</f>
        <v>G34</v>
      </c>
      <c r="I203" t="str">
        <f>'Final data_for_R_analysis_Dryse'!J349</f>
        <v>R819</v>
      </c>
      <c r="J203">
        <f>IFERROR(INDEX('Green_rooibos initial weight'!$C$5:$C$1749,MATCH(H203, 'Green_rooibos initial weight'!$A$5:$A$1749,0)),"")</f>
        <v>2.133</v>
      </c>
      <c r="K203">
        <f>IFERROR(INDEX('Green_rooibos initial weight'!$C$5:$C$1749,MATCH(I203, 'Green_rooibos initial weight'!$A$5:$A$1749,0)),"")</f>
        <v>2.16</v>
      </c>
      <c r="L203" s="195">
        <f t="shared" si="12"/>
        <v>1.8832</v>
      </c>
      <c r="M203" s="195">
        <f t="shared" si="13"/>
        <v>1.9102000000000001</v>
      </c>
      <c r="N203" s="16">
        <f>IF('Dry_Litterbag Placem_Collection'!G130="N.A","",'Dry_Litterbag Placem_Collection'!G130)</f>
        <v>43008</v>
      </c>
      <c r="O203" s="195">
        <f>IF(IFERROR(INDEX('Both teabags AfterDry'!$D$1:$D$839,MATCH(H203,'Both teabags AfterDry'!$A$1:$A$839,0)),"")="N.A","",(IFERROR(INDEX('Both teabags AfterDry'!$D$1:$D$839,MATCH(H203,'Both teabags AfterDry'!$A$1:$A$839,0)),"")))</f>
        <v>0.92579999999999996</v>
      </c>
      <c r="P203" s="195">
        <f>IF(IFERROR(INDEX('Both teabags AfterDry'!$D$1:$D$839,MATCH(I203,'Both teabags AfterDry'!$A$1:$A$839,0)),"")="N.A","",(IFERROR(INDEX('Both teabags AfterDry'!$D$1:$D$839,MATCH(I203,'Both teabags AfterDry'!$A$1:$A$839,0)),"")))</f>
        <v>2.8028</v>
      </c>
      <c r="Q203" s="195">
        <f t="shared" si="14"/>
        <v>0.77519999999999989</v>
      </c>
      <c r="R203" s="195">
        <f t="shared" si="14"/>
        <v>2.6522000000000001</v>
      </c>
      <c r="S203" s="195">
        <f t="shared" si="9"/>
        <v>0.58836023789294822</v>
      </c>
      <c r="T203" s="195">
        <f t="shared" si="15"/>
        <v>0.38571835073266919</v>
      </c>
      <c r="U203" s="195">
        <f t="shared" si="10"/>
        <v>1.3884410009423096</v>
      </c>
      <c r="V203">
        <f t="shared" si="11"/>
        <v>69</v>
      </c>
      <c r="W203" s="195">
        <f t="shared" si="16"/>
        <v>0.30123487186110665</v>
      </c>
      <c r="X203" s="195">
        <f t="shared" si="17"/>
        <v>-1.0096670888378331E-2</v>
      </c>
      <c r="Y203" s="255" t="str">
        <f>IF(ISNUMBER(SEARCH("C", 'Dry_Litterbag Placem_Collection'!T130)),"YES","NO")</f>
        <v>YES</v>
      </c>
      <c r="Z203" s="255" t="str">
        <f>IF(ISNUMBER(SEARCH("H", 'Dry_Litterbag Placem_Collection'!T130)),"YES","NO")</f>
        <v>YES</v>
      </c>
      <c r="AA203" s="255" t="str">
        <f>IF(ISNUMBER(SEARCH("R", 'Dry_Litterbag Placem_Collection'!T130)),"YES","NO")</f>
        <v>NO</v>
      </c>
      <c r="AB203" s="255" t="str">
        <f>IF(ISNUMBER(SEARCH("C", 'Dry_Litterbag Placem_Collection'!S130)),"YES","NO")</f>
        <v>NO</v>
      </c>
      <c r="AC203" s="255" t="str">
        <f>IF(ISNUMBER(SEARCH("H", 'Dry_Litterbag Placem_Collection'!S130)),"YES","NO")</f>
        <v>NO</v>
      </c>
      <c r="AD203" s="255" t="str">
        <f>IF(ISNUMBER(SEARCH("R", 'Dry_Litterbag Placem_Collection'!S130)),"YES","NO")</f>
        <v>NO</v>
      </c>
    </row>
    <row r="204" spans="2:30">
      <c r="B204" t="str">
        <f>'Final data_for_R_analysis_Dryse'!A130</f>
        <v>Dry</v>
      </c>
      <c r="C204" s="263">
        <f>'Final data_for_R_analysis_Dryse'!B130</f>
        <v>129</v>
      </c>
      <c r="D204" t="s">
        <v>3846</v>
      </c>
      <c r="E204" t="s">
        <v>22</v>
      </c>
      <c r="F204" s="386">
        <v>1</v>
      </c>
      <c r="G204" s="16">
        <f>'Dry_Litterbag Placem_Collection'!E131</f>
        <v>42939</v>
      </c>
      <c r="H204" t="str">
        <f>'Final data_for_R_analysis_Dryse'!J130</f>
        <v>G80</v>
      </c>
      <c r="I204" t="str">
        <f>'Final data_for_R_analysis_Dryse'!J350</f>
        <v>R768</v>
      </c>
      <c r="J204">
        <f>IFERROR(INDEX('Green_rooibos initial weight'!$C$5:$C$1749,MATCH(H204, 'Green_rooibos initial weight'!$A$5:$A$1749,0)),"")</f>
        <v>2.0259999999999998</v>
      </c>
      <c r="K204">
        <f>IFERROR(INDEX('Green_rooibos initial weight'!$C$5:$C$1749,MATCH(I204, 'Green_rooibos initial weight'!$A$5:$A$1749,0)),"")</f>
        <v>2.2120000000000002</v>
      </c>
      <c r="L204" s="195">
        <f t="shared" si="12"/>
        <v>1.7761999999999998</v>
      </c>
      <c r="M204" s="195">
        <f t="shared" si="13"/>
        <v>1.9622000000000002</v>
      </c>
      <c r="N204" s="16">
        <f>IF('Dry_Litterbag Placem_Collection'!G131="N.A","",'Dry_Litterbag Placem_Collection'!G131)</f>
        <v>43008</v>
      </c>
      <c r="O204" s="195">
        <f>IF(IFERROR(INDEX('Both teabags AfterDry'!$D$1:$D$839,MATCH(H204,'Both teabags AfterDry'!$A$1:$A$839,0)),"")="N.A","",(IFERROR(INDEX('Both teabags AfterDry'!$D$1:$D$839,MATCH(H204,'Both teabags AfterDry'!$A$1:$A$839,0)),"")))</f>
        <v>0.72970000000000002</v>
      </c>
      <c r="P204" s="195">
        <f>IF(IFERROR(INDEX('Both teabags AfterDry'!$D$1:$D$839,MATCH(I204,'Both teabags AfterDry'!$A$1:$A$839,0)),"")="N.A","",(IFERROR(INDEX('Both teabags AfterDry'!$D$1:$D$839,MATCH(I204,'Both teabags AfterDry'!$A$1:$A$839,0)),"")))</f>
        <v>0.67179999999999995</v>
      </c>
      <c r="Q204" s="195">
        <f t="shared" si="14"/>
        <v>0.57909999999999995</v>
      </c>
      <c r="R204" s="195">
        <f t="shared" si="14"/>
        <v>0.52119999999999989</v>
      </c>
      <c r="S204" s="195">
        <f t="shared" ref="S204:S267" si="18">IFERROR(1-Q204/L204,"")</f>
        <v>0.67396689561986256</v>
      </c>
      <c r="T204" s="195">
        <f t="shared" si="15"/>
        <v>0.44184053014508812</v>
      </c>
      <c r="U204" s="195">
        <f t="shared" ref="U204:U267" si="19">IFERROR(R204/M204,"")</f>
        <v>0.26562022219957182</v>
      </c>
      <c r="V204">
        <f t="shared" ref="V204:V267" si="20">IF((N204-G204)&gt;0,(IFERROR(N204-G204,"")),"")</f>
        <v>69</v>
      </c>
      <c r="W204" s="195">
        <f t="shared" si="16"/>
        <v>0.19956425698353608</v>
      </c>
      <c r="X204" s="195" t="str">
        <f t="shared" si="17"/>
        <v/>
      </c>
      <c r="Y204" s="255" t="str">
        <f>IF(ISNUMBER(SEARCH("C", 'Dry_Litterbag Placem_Collection'!T131)),"YES","NO")</f>
        <v>YES</v>
      </c>
      <c r="Z204" s="255" t="str">
        <f>IF(ISNUMBER(SEARCH("H", 'Dry_Litterbag Placem_Collection'!T131)),"YES","NO")</f>
        <v>YES</v>
      </c>
      <c r="AA204" s="255" t="str">
        <f>IF(ISNUMBER(SEARCH("R", 'Dry_Litterbag Placem_Collection'!T131)),"YES","NO")</f>
        <v>NO</v>
      </c>
      <c r="AB204" s="255" t="str">
        <f>IF(ISNUMBER(SEARCH("C", 'Dry_Litterbag Placem_Collection'!S131)),"YES","NO")</f>
        <v>YES</v>
      </c>
      <c r="AC204" s="255" t="str">
        <f>IF(ISNUMBER(SEARCH("H", 'Dry_Litterbag Placem_Collection'!S131)),"YES","NO")</f>
        <v>YES</v>
      </c>
      <c r="AD204" s="255" t="str">
        <f>IF(ISNUMBER(SEARCH("R", 'Dry_Litterbag Placem_Collection'!S131)),"YES","NO")</f>
        <v>NO</v>
      </c>
    </row>
    <row r="205" spans="2:30">
      <c r="B205" t="str">
        <f>'Final data_for_R_analysis_Dryse'!A131</f>
        <v>Dry</v>
      </c>
      <c r="C205" s="263">
        <f>'Final data_for_R_analysis_Dryse'!B131</f>
        <v>130</v>
      </c>
      <c r="D205" t="s">
        <v>3846</v>
      </c>
      <c r="E205" t="s">
        <v>22</v>
      </c>
      <c r="F205" s="386">
        <v>2</v>
      </c>
      <c r="G205" s="16">
        <f>'Dry_Litterbag Placem_Collection'!E132</f>
        <v>42939</v>
      </c>
      <c r="H205" t="str">
        <f>'Final data_for_R_analysis_Dryse'!J131</f>
        <v>G64</v>
      </c>
      <c r="I205" t="str">
        <f>'Final data_for_R_analysis_Dryse'!J351</f>
        <v>R789</v>
      </c>
      <c r="J205">
        <f>IFERROR(INDEX('Green_rooibos initial weight'!$C$5:$C$1749,MATCH(H205, 'Green_rooibos initial weight'!$A$5:$A$1749,0)),"")</f>
        <v>2.0840000000000001</v>
      </c>
      <c r="K205">
        <f>IFERROR(INDEX('Green_rooibos initial weight'!$C$5:$C$1749,MATCH(I205, 'Green_rooibos initial weight'!$A$5:$A$1749,0)),"")</f>
        <v>2.2549999999999999</v>
      </c>
      <c r="L205" s="195">
        <f t="shared" ref="L205:L268" si="21">IFERROR(IF(J205&gt;0,(J205*$F$31-($F$29+$F$30)),""),"")</f>
        <v>1.8342000000000001</v>
      </c>
      <c r="M205" s="195">
        <f t="shared" ref="M205:M268" si="22">IFERROR(IF(K205&gt;0,(K205*$F$32-($F$29+$F$30)),""),"")</f>
        <v>2.0051999999999999</v>
      </c>
      <c r="N205" s="16">
        <f>IF('Dry_Litterbag Placem_Collection'!G132="N.A","",'Dry_Litterbag Placem_Collection'!G132)</f>
        <v>43008</v>
      </c>
      <c r="O205" s="195">
        <f>IF(IFERROR(INDEX('Both teabags AfterDry'!$D$1:$D$839,MATCH(H205,'Both teabags AfterDry'!$A$1:$A$839,0)),"")="N.A","",(IFERROR(INDEX('Both teabags AfterDry'!$D$1:$D$839,MATCH(H205,'Both teabags AfterDry'!$A$1:$A$839,0)),"")))</f>
        <v>0.83650000000000002</v>
      </c>
      <c r="P205" s="195">
        <f>IF(IFERROR(INDEX('Both teabags AfterDry'!$D$1:$D$839,MATCH(I205,'Both teabags AfterDry'!$A$1:$A$839,0)),"")="N.A","",(IFERROR(INDEX('Both teabags AfterDry'!$D$1:$D$839,MATCH(I205,'Both teabags AfterDry'!$A$1:$A$839,0)),"")))</f>
        <v>2.4607999999999999</v>
      </c>
      <c r="Q205" s="195">
        <f t="shared" ref="Q205:R268" si="23">IFERROR(IF(O205&gt;0,O205-($F$29),""),"")</f>
        <v>0.68589999999999995</v>
      </c>
      <c r="R205" s="195">
        <f t="shared" si="23"/>
        <v>2.3102</v>
      </c>
      <c r="S205" s="195">
        <f t="shared" si="18"/>
        <v>0.62604950387089742</v>
      </c>
      <c r="T205" s="195">
        <f t="shared" ref="T205:T268" si="24">IFERROR($F$26*(1-W205),"")</f>
        <v>0.41042675313151472</v>
      </c>
      <c r="U205" s="195">
        <f t="shared" si="19"/>
        <v>1.1521045282266109</v>
      </c>
      <c r="V205">
        <f t="shared" si="20"/>
        <v>69</v>
      </c>
      <c r="W205" s="195">
        <f t="shared" ref="W205:W268" si="25">IFERROR(1-(S205/$F$25),"")</f>
        <v>0.25647327331247338</v>
      </c>
      <c r="X205" s="195">
        <f t="shared" ref="X205:X268" si="26">IFERROR(LN(T205/(U205-(1-T205)))/V205,"")</f>
        <v>-4.5688299153833732E-3</v>
      </c>
      <c r="Y205" s="255" t="str">
        <f>IF(ISNUMBER(SEARCH("C", 'Dry_Litterbag Placem_Collection'!T132)),"YES","NO")</f>
        <v>YES</v>
      </c>
      <c r="Z205" s="255" t="str">
        <f>IF(ISNUMBER(SEARCH("H", 'Dry_Litterbag Placem_Collection'!T132)),"YES","NO")</f>
        <v>YES</v>
      </c>
      <c r="AA205" s="255" t="str">
        <f>IF(ISNUMBER(SEARCH("R", 'Dry_Litterbag Placem_Collection'!T132)),"YES","NO")</f>
        <v>NO</v>
      </c>
      <c r="AB205" s="255" t="str">
        <f>IF(ISNUMBER(SEARCH("C", 'Dry_Litterbag Placem_Collection'!S132)),"YES","NO")</f>
        <v>YES</v>
      </c>
      <c r="AC205" s="255" t="str">
        <f>IF(ISNUMBER(SEARCH("H", 'Dry_Litterbag Placem_Collection'!S132)),"YES","NO")</f>
        <v>NO</v>
      </c>
      <c r="AD205" s="255" t="str">
        <f>IF(ISNUMBER(SEARCH("R", 'Dry_Litterbag Placem_Collection'!S132)),"YES","NO")</f>
        <v>NO</v>
      </c>
    </row>
    <row r="206" spans="2:30">
      <c r="B206" t="str">
        <f>'Final data_for_R_analysis_Dryse'!A132</f>
        <v>Dry</v>
      </c>
      <c r="C206" s="263">
        <f>'Final data_for_R_analysis_Dryse'!B132</f>
        <v>131</v>
      </c>
      <c r="D206" t="s">
        <v>3846</v>
      </c>
      <c r="E206" t="s">
        <v>22</v>
      </c>
      <c r="F206" s="386">
        <v>3</v>
      </c>
      <c r="G206" s="16">
        <f>'Dry_Litterbag Placem_Collection'!E133</f>
        <v>42939</v>
      </c>
      <c r="H206" t="str">
        <f>'Final data_for_R_analysis_Dryse'!J132</f>
        <v>G118</v>
      </c>
      <c r="I206" t="str">
        <f>'Final data_for_R_analysis_Dryse'!J352</f>
        <v>R586</v>
      </c>
      <c r="J206">
        <f>IFERROR(INDEX('Green_rooibos initial weight'!$C$5:$C$1749,MATCH(H206, 'Green_rooibos initial weight'!$A$5:$A$1749,0)),"")</f>
        <v>2.0870000000000002</v>
      </c>
      <c r="K206">
        <f>IFERROR(INDEX('Green_rooibos initial weight'!$C$5:$C$1749,MATCH(I206, 'Green_rooibos initial weight'!$A$5:$A$1749,0)),"")</f>
        <v>2.1520000000000001</v>
      </c>
      <c r="L206" s="195">
        <f t="shared" si="21"/>
        <v>1.8372000000000002</v>
      </c>
      <c r="M206" s="195">
        <f t="shared" si="22"/>
        <v>1.9022000000000001</v>
      </c>
      <c r="N206" s="16">
        <f>IF('Dry_Litterbag Placem_Collection'!G133="N.A","",'Dry_Litterbag Placem_Collection'!G133)</f>
        <v>43008</v>
      </c>
      <c r="O206" s="195">
        <f>IF(IFERROR(INDEX('Both teabags AfterDry'!$D$1:$D$839,MATCH(H206,'Both teabags AfterDry'!$A$1:$A$839,0)),"")="N.A","",(IFERROR(INDEX('Both teabags AfterDry'!$D$1:$D$839,MATCH(H206,'Both teabags AfterDry'!$A$1:$A$839,0)),"")))</f>
        <v>0.87509999999999999</v>
      </c>
      <c r="P206" s="195">
        <f>IF(IFERROR(INDEX('Both teabags AfterDry'!$D$1:$D$839,MATCH(I206,'Both teabags AfterDry'!$A$1:$A$839,0)),"")="N.A","",(IFERROR(INDEX('Both teabags AfterDry'!$D$1:$D$839,MATCH(I206,'Both teabags AfterDry'!$A$1:$A$839,0)),"")))</f>
        <v>2.2069000000000001</v>
      </c>
      <c r="Q206" s="195">
        <f t="shared" si="23"/>
        <v>0.72449999999999992</v>
      </c>
      <c r="R206" s="195">
        <f t="shared" si="23"/>
        <v>2.0563000000000002</v>
      </c>
      <c r="S206" s="195">
        <f t="shared" si="18"/>
        <v>0.6056499020248205</v>
      </c>
      <c r="T206" s="195">
        <f t="shared" si="24"/>
        <v>0.39705314242007239</v>
      </c>
      <c r="U206" s="195">
        <f t="shared" si="19"/>
        <v>1.0810114604142573</v>
      </c>
      <c r="V206">
        <f t="shared" si="20"/>
        <v>69</v>
      </c>
      <c r="W206" s="195">
        <f t="shared" si="25"/>
        <v>0.28070082894914428</v>
      </c>
      <c r="X206" s="195">
        <f t="shared" si="26"/>
        <v>-2.6909528116427417E-3</v>
      </c>
      <c r="Y206" s="255" t="str">
        <f>IF(ISNUMBER(SEARCH("C", 'Dry_Litterbag Placem_Collection'!T133)),"YES","NO")</f>
        <v>YES</v>
      </c>
      <c r="Z206" s="255" t="str">
        <f>IF(ISNUMBER(SEARCH("H", 'Dry_Litterbag Placem_Collection'!T133)),"YES","NO")</f>
        <v>YES</v>
      </c>
      <c r="AA206" s="255" t="str">
        <f>IF(ISNUMBER(SEARCH("R", 'Dry_Litterbag Placem_Collection'!T133)),"YES","NO")</f>
        <v>NO</v>
      </c>
      <c r="AB206" s="255" t="str">
        <f>IF(ISNUMBER(SEARCH("C", 'Dry_Litterbag Placem_Collection'!S133)),"YES","NO")</f>
        <v>YES</v>
      </c>
      <c r="AC206" s="255" t="str">
        <f>IF(ISNUMBER(SEARCH("H", 'Dry_Litterbag Placem_Collection'!S133)),"YES","NO")</f>
        <v>NO</v>
      </c>
      <c r="AD206" s="255" t="str">
        <f>IF(ISNUMBER(SEARCH("R", 'Dry_Litterbag Placem_Collection'!S133)),"YES","NO")</f>
        <v>NO</v>
      </c>
    </row>
    <row r="207" spans="2:30">
      <c r="B207" t="str">
        <f>'Final data_for_R_analysis_Dryse'!A133</f>
        <v>Dry</v>
      </c>
      <c r="C207" s="263">
        <f>'Final data_for_R_analysis_Dryse'!B133</f>
        <v>132</v>
      </c>
      <c r="D207" t="s">
        <v>3846</v>
      </c>
      <c r="E207" t="s">
        <v>22</v>
      </c>
      <c r="F207" s="387">
        <v>4</v>
      </c>
      <c r="G207" s="16">
        <f>'Dry_Litterbag Placem_Collection'!E134</f>
        <v>0</v>
      </c>
      <c r="H207" t="str">
        <f>'Final data_for_R_analysis_Dryse'!J133</f>
        <v/>
      </c>
      <c r="I207" t="str">
        <f>'Final data_for_R_analysis_Dryse'!J353</f>
        <v/>
      </c>
      <c r="J207" t="str">
        <f>IFERROR(INDEX('Green_rooibos initial weight'!$C$5:$C$1749,MATCH(H207, 'Green_rooibos initial weight'!$A$5:$A$1749,0)),"")</f>
        <v/>
      </c>
      <c r="K207" t="str">
        <f>IFERROR(INDEX('Green_rooibos initial weight'!$C$5:$C$1749,MATCH(I207, 'Green_rooibos initial weight'!$A$5:$A$1749,0)),"")</f>
        <v/>
      </c>
      <c r="L207" s="195" t="str">
        <f t="shared" si="21"/>
        <v/>
      </c>
      <c r="M207" s="195" t="str">
        <f t="shared" si="22"/>
        <v/>
      </c>
      <c r="N207" s="16">
        <f>IF('Dry_Litterbag Placem_Collection'!G134="N.A","",'Dry_Litterbag Placem_Collection'!G134)</f>
        <v>0</v>
      </c>
      <c r="O207" s="195" t="str">
        <f>IF(IFERROR(INDEX('Both teabags AfterDry'!$D$1:$D$839,MATCH(H207,'Both teabags AfterDry'!$A$1:$A$839,0)),"")="N.A","",(IFERROR(INDEX('Both teabags AfterDry'!$D$1:$D$839,MATCH(H207,'Both teabags AfterDry'!$A$1:$A$839,0)),"")))</f>
        <v/>
      </c>
      <c r="P207" s="195" t="str">
        <f>IF(IFERROR(INDEX('Both teabags AfterDry'!$D$1:$D$839,MATCH(I207,'Both teabags AfterDry'!$A$1:$A$839,0)),"")="N.A","",(IFERROR(INDEX('Both teabags AfterDry'!$D$1:$D$839,MATCH(I207,'Both teabags AfterDry'!$A$1:$A$839,0)),"")))</f>
        <v/>
      </c>
      <c r="Q207" s="195" t="str">
        <f t="shared" si="23"/>
        <v/>
      </c>
      <c r="R207" s="195" t="str">
        <f t="shared" si="23"/>
        <v/>
      </c>
      <c r="S207" s="195" t="str">
        <f t="shared" si="18"/>
        <v/>
      </c>
      <c r="T207" s="195" t="str">
        <f t="shared" si="24"/>
        <v/>
      </c>
      <c r="U207" s="195" t="str">
        <f t="shared" si="19"/>
        <v/>
      </c>
      <c r="V207" t="str">
        <f t="shared" si="20"/>
        <v/>
      </c>
      <c r="W207" s="195" t="str">
        <f t="shared" si="25"/>
        <v/>
      </c>
      <c r="X207" s="195" t="str">
        <f t="shared" si="26"/>
        <v/>
      </c>
      <c r="Y207" s="255" t="str">
        <f>IF(ISNUMBER(SEARCH("C", 'Dry_Litterbag Placem_Collection'!T134)),"YES","NO")</f>
        <v>NO</v>
      </c>
      <c r="Z207" s="255" t="str">
        <f>IF(ISNUMBER(SEARCH("H", 'Dry_Litterbag Placem_Collection'!T134)),"YES","NO")</f>
        <v>NO</v>
      </c>
      <c r="AA207" s="255" t="str">
        <f>IF(ISNUMBER(SEARCH("R", 'Dry_Litterbag Placem_Collection'!T134)),"YES","NO")</f>
        <v>NO</v>
      </c>
      <c r="AB207" s="255" t="str">
        <f>IF(ISNUMBER(SEARCH("C", 'Dry_Litterbag Placem_Collection'!S134)),"YES","NO")</f>
        <v>NO</v>
      </c>
      <c r="AC207" s="255" t="str">
        <f>IF(ISNUMBER(SEARCH("H", 'Dry_Litterbag Placem_Collection'!S134)),"YES","NO")</f>
        <v>NO</v>
      </c>
      <c r="AD207" s="255" t="str">
        <f>IF(ISNUMBER(SEARCH("R", 'Dry_Litterbag Placem_Collection'!S134)),"YES","NO")</f>
        <v>NO</v>
      </c>
    </row>
    <row r="208" spans="2:30">
      <c r="B208" t="str">
        <f>'Final data_for_R_analysis_Dryse'!A134</f>
        <v>Dry</v>
      </c>
      <c r="C208" s="263">
        <f>'Final data_for_R_analysis_Dryse'!B134</f>
        <v>133</v>
      </c>
      <c r="D208" t="s">
        <v>3846</v>
      </c>
      <c r="E208" t="s">
        <v>22</v>
      </c>
      <c r="F208" s="387">
        <v>5</v>
      </c>
      <c r="G208" s="16">
        <f>'Dry_Litterbag Placem_Collection'!E135</f>
        <v>42939</v>
      </c>
      <c r="H208" t="str">
        <f>'Final data_for_R_analysis_Dryse'!J134</f>
        <v>G270</v>
      </c>
      <c r="I208" t="str">
        <f>'Final data_for_R_analysis_Dryse'!J354</f>
        <v>R817</v>
      </c>
      <c r="J208">
        <f>IFERROR(INDEX('Green_rooibos initial weight'!$C$5:$C$1749,MATCH(H208, 'Green_rooibos initial weight'!$A$5:$A$1749,0)),"")</f>
        <v>2.0139999999999998</v>
      </c>
      <c r="K208">
        <f>IFERROR(INDEX('Green_rooibos initial weight'!$C$5:$C$1749,MATCH(I208, 'Green_rooibos initial weight'!$A$5:$A$1749,0)),"")</f>
        <v>2.1749999999999998</v>
      </c>
      <c r="L208" s="195">
        <f t="shared" si="21"/>
        <v>1.7641999999999998</v>
      </c>
      <c r="M208" s="195">
        <f t="shared" si="22"/>
        <v>1.9251999999999998</v>
      </c>
      <c r="N208" s="16">
        <f>IF('Dry_Litterbag Placem_Collection'!G135="N.A","",'Dry_Litterbag Placem_Collection'!G135)</f>
        <v>43008</v>
      </c>
      <c r="O208" s="195" t="str">
        <f>IF(IFERROR(INDEX('Both teabags AfterDry'!$D$1:$D$839,MATCH(H208,'Both teabags AfterDry'!$A$1:$A$839,0)),"")="N.A","",(IFERROR(INDEX('Both teabags AfterDry'!$D$1:$D$839,MATCH(H208,'Both teabags AfterDry'!$A$1:$A$839,0)),"")))</f>
        <v/>
      </c>
      <c r="P208" s="195" t="str">
        <f>IF(IFERROR(INDEX('Both teabags AfterDry'!$D$1:$D$839,MATCH(I208,'Both teabags AfterDry'!$A$1:$A$839,0)),"")="N.A","",(IFERROR(INDEX('Both teabags AfterDry'!$D$1:$D$839,MATCH(I208,'Both teabags AfterDry'!$A$1:$A$839,0)),"")))</f>
        <v/>
      </c>
      <c r="Q208" s="195" t="str">
        <f t="shared" si="23"/>
        <v/>
      </c>
      <c r="R208" s="195" t="str">
        <f t="shared" si="23"/>
        <v/>
      </c>
      <c r="S208" s="195" t="str">
        <f t="shared" si="18"/>
        <v/>
      </c>
      <c r="T208" s="195" t="str">
        <f t="shared" si="24"/>
        <v/>
      </c>
      <c r="U208" s="195" t="str">
        <f t="shared" si="19"/>
        <v/>
      </c>
      <c r="V208">
        <f t="shared" si="20"/>
        <v>69</v>
      </c>
      <c r="W208" s="195" t="str">
        <f t="shared" si="25"/>
        <v/>
      </c>
      <c r="X208" s="195" t="str">
        <f t="shared" si="26"/>
        <v/>
      </c>
      <c r="Y208" s="255" t="str">
        <f>IF(ISNUMBER(SEARCH("C", 'Dry_Litterbag Placem_Collection'!T135)),"YES","NO")</f>
        <v>YES</v>
      </c>
      <c r="Z208" s="255" t="str">
        <f>IF(ISNUMBER(SEARCH("H", 'Dry_Litterbag Placem_Collection'!T135)),"YES","NO")</f>
        <v>NO</v>
      </c>
      <c r="AA208" s="255" t="str">
        <f>IF(ISNUMBER(SEARCH("R", 'Dry_Litterbag Placem_Collection'!T135)),"YES","NO")</f>
        <v>NO</v>
      </c>
      <c r="AB208" s="255" t="str">
        <f>IF(ISNUMBER(SEARCH("C", 'Dry_Litterbag Placem_Collection'!S135)),"YES","NO")</f>
        <v>YES</v>
      </c>
      <c r="AC208" s="255" t="str">
        <f>IF(ISNUMBER(SEARCH("H", 'Dry_Litterbag Placem_Collection'!S135)),"YES","NO")</f>
        <v>NO</v>
      </c>
      <c r="AD208" s="255" t="str">
        <f>IF(ISNUMBER(SEARCH("R", 'Dry_Litterbag Placem_Collection'!S135)),"YES","NO")</f>
        <v>NO</v>
      </c>
    </row>
    <row r="209" spans="2:30">
      <c r="B209" t="str">
        <f>'Final data_for_R_analysis_Dryse'!A135</f>
        <v>Dry</v>
      </c>
      <c r="C209" s="263">
        <f>'Final data_for_R_analysis_Dryse'!B135</f>
        <v>134</v>
      </c>
      <c r="D209" t="s">
        <v>3846</v>
      </c>
      <c r="E209" t="s">
        <v>22</v>
      </c>
      <c r="F209" s="387">
        <v>6</v>
      </c>
      <c r="G209" s="16">
        <f>'Dry_Litterbag Placem_Collection'!E136</f>
        <v>42939</v>
      </c>
      <c r="H209" t="str">
        <f>'Final data_for_R_analysis_Dryse'!J135</f>
        <v>G316</v>
      </c>
      <c r="I209" t="str">
        <f>'Final data_for_R_analysis_Dryse'!J355</f>
        <v>R837</v>
      </c>
      <c r="J209">
        <f>IFERROR(INDEX('Green_rooibos initial weight'!$C$5:$C$1749,MATCH(H209, 'Green_rooibos initial weight'!$A$5:$A$1749,0)),"")</f>
        <v>2.0579999999999998</v>
      </c>
      <c r="K209">
        <f>IFERROR(INDEX('Green_rooibos initial weight'!$C$5:$C$1749,MATCH(I209, 'Green_rooibos initial weight'!$A$5:$A$1749,0)),"")</f>
        <v>2.1909999999999998</v>
      </c>
      <c r="L209" s="195">
        <f t="shared" si="21"/>
        <v>1.8081999999999998</v>
      </c>
      <c r="M209" s="195">
        <f t="shared" si="22"/>
        <v>1.9411999999999998</v>
      </c>
      <c r="N209" s="16">
        <f>IF('Dry_Litterbag Placem_Collection'!G136="N.A","",'Dry_Litterbag Placem_Collection'!G136)</f>
        <v>43008</v>
      </c>
      <c r="O209" s="195">
        <f>IF(IFERROR(INDEX('Both teabags AfterDry'!$D$1:$D$839,MATCH(H209,'Both teabags AfterDry'!$A$1:$A$839,0)),"")="N.A","",(IFERROR(INDEX('Both teabags AfterDry'!$D$1:$D$839,MATCH(H209,'Both teabags AfterDry'!$A$1:$A$839,0)),"")))</f>
        <v>0.6512</v>
      </c>
      <c r="P209" s="195">
        <f>IF(IFERROR(INDEX('Both teabags AfterDry'!$D$1:$D$839,MATCH(I209,'Both teabags AfterDry'!$A$1:$A$839,0)),"")="N.A","",(IFERROR(INDEX('Both teabags AfterDry'!$D$1:$D$839,MATCH(I209,'Both teabags AfterDry'!$A$1:$A$839,0)),"")))</f>
        <v>1.7436</v>
      </c>
      <c r="Q209" s="195">
        <f t="shared" si="23"/>
        <v>0.50059999999999993</v>
      </c>
      <c r="R209" s="195">
        <f t="shared" si="23"/>
        <v>1.593</v>
      </c>
      <c r="S209" s="195">
        <f t="shared" si="18"/>
        <v>0.7231500940161486</v>
      </c>
      <c r="T209" s="195">
        <f t="shared" si="24"/>
        <v>0.47408414714597868</v>
      </c>
      <c r="U209" s="195">
        <f t="shared" si="19"/>
        <v>0.82062641664949521</v>
      </c>
      <c r="V209">
        <f t="shared" si="20"/>
        <v>69</v>
      </c>
      <c r="W209" s="195">
        <f t="shared" si="25"/>
        <v>0.14115190734424155</v>
      </c>
      <c r="X209" s="195">
        <f t="shared" si="26"/>
        <v>6.8897260367076175E-3</v>
      </c>
      <c r="Y209" s="255" t="str">
        <f>IF(ISNUMBER(SEARCH("C", 'Dry_Litterbag Placem_Collection'!T136)),"YES","NO")</f>
        <v>YES</v>
      </c>
      <c r="Z209" s="255" t="str">
        <f>IF(ISNUMBER(SEARCH("H", 'Dry_Litterbag Placem_Collection'!T136)),"YES","NO")</f>
        <v>NO</v>
      </c>
      <c r="AA209" s="255" t="str">
        <f>IF(ISNUMBER(SEARCH("R", 'Dry_Litterbag Placem_Collection'!T136)),"YES","NO")</f>
        <v>NO</v>
      </c>
      <c r="AB209" s="255" t="str">
        <f>IF(ISNUMBER(SEARCH("C", 'Dry_Litterbag Placem_Collection'!S136)),"YES","NO")</f>
        <v>NO</v>
      </c>
      <c r="AC209" s="255" t="str">
        <f>IF(ISNUMBER(SEARCH("H", 'Dry_Litterbag Placem_Collection'!S136)),"YES","NO")</f>
        <v>NO</v>
      </c>
      <c r="AD209" s="255" t="str">
        <f>IF(ISNUMBER(SEARCH("R", 'Dry_Litterbag Placem_Collection'!S136)),"YES","NO")</f>
        <v>YES</v>
      </c>
    </row>
    <row r="210" spans="2:30">
      <c r="B210" t="str">
        <f>'Final data_for_R_analysis_Dryse'!A136</f>
        <v>Dry</v>
      </c>
      <c r="C210" s="263">
        <f>'Final data_for_R_analysis_Dryse'!B136</f>
        <v>135</v>
      </c>
      <c r="D210" t="s">
        <v>3846</v>
      </c>
      <c r="E210" t="s">
        <v>22</v>
      </c>
      <c r="F210" s="387">
        <v>7</v>
      </c>
      <c r="G210" s="16">
        <f>'Dry_Litterbag Placem_Collection'!E137</f>
        <v>42939</v>
      </c>
      <c r="H210" t="str">
        <f>'Final data_for_R_analysis_Dryse'!J136</f>
        <v>G77</v>
      </c>
      <c r="I210" t="str">
        <f>'Final data_for_R_analysis_Dryse'!J356</f>
        <v>R756</v>
      </c>
      <c r="J210">
        <f>IFERROR(INDEX('Green_rooibos initial weight'!$C$5:$C$1749,MATCH(H210, 'Green_rooibos initial weight'!$A$5:$A$1749,0)),"")</f>
        <v>2.0190000000000001</v>
      </c>
      <c r="K210">
        <f>IFERROR(INDEX('Green_rooibos initial weight'!$C$5:$C$1749,MATCH(I210, 'Green_rooibos initial weight'!$A$5:$A$1749,0)),"")</f>
        <v>2.2690000000000001</v>
      </c>
      <c r="L210" s="195">
        <f t="shared" si="21"/>
        <v>1.7692000000000001</v>
      </c>
      <c r="M210" s="195">
        <f t="shared" si="22"/>
        <v>2.0192000000000001</v>
      </c>
      <c r="N210" s="16">
        <f>IF('Dry_Litterbag Placem_Collection'!G137="N.A","",'Dry_Litterbag Placem_Collection'!G137)</f>
        <v>43008</v>
      </c>
      <c r="O210" s="195">
        <f>IF(IFERROR(INDEX('Both teabags AfterDry'!$D$1:$D$839,MATCH(H210,'Both teabags AfterDry'!$A$1:$A$839,0)),"")="N.A","",(IFERROR(INDEX('Both teabags AfterDry'!$D$1:$D$839,MATCH(H210,'Both teabags AfterDry'!$A$1:$A$839,0)),"")))</f>
        <v>0.94330000000000003</v>
      </c>
      <c r="P210" s="195">
        <f>IF(IFERROR(INDEX('Both teabags AfterDry'!$D$1:$D$839,MATCH(I210,'Both teabags AfterDry'!$A$1:$A$839,0)),"")="N.A","",(IFERROR(INDEX('Both teabags AfterDry'!$D$1:$D$839,MATCH(I210,'Both teabags AfterDry'!$A$1:$A$839,0)),"")))</f>
        <v>2.0406</v>
      </c>
      <c r="Q210" s="195">
        <f t="shared" si="23"/>
        <v>0.79269999999999996</v>
      </c>
      <c r="R210" s="195">
        <f t="shared" si="23"/>
        <v>1.89</v>
      </c>
      <c r="S210" s="195">
        <f t="shared" si="18"/>
        <v>0.5519443816414199</v>
      </c>
      <c r="T210" s="195">
        <f t="shared" si="24"/>
        <v>0.36184477276254612</v>
      </c>
      <c r="U210" s="195">
        <f t="shared" si="19"/>
        <v>0.93601426307448488</v>
      </c>
      <c r="V210">
        <f t="shared" si="20"/>
        <v>69</v>
      </c>
      <c r="W210" s="195">
        <f t="shared" si="25"/>
        <v>0.34448410731422807</v>
      </c>
      <c r="X210" s="195">
        <f t="shared" si="26"/>
        <v>2.8202170268682995E-3</v>
      </c>
      <c r="Y210" s="255" t="str">
        <f>IF(ISNUMBER(SEARCH("C", 'Dry_Litterbag Placem_Collection'!T137)),"YES","NO")</f>
        <v>YES</v>
      </c>
      <c r="Z210" s="255" t="str">
        <f>IF(ISNUMBER(SEARCH("H", 'Dry_Litterbag Placem_Collection'!T137)),"YES","NO")</f>
        <v>YES</v>
      </c>
      <c r="AA210" s="255" t="str">
        <f>IF(ISNUMBER(SEARCH("R", 'Dry_Litterbag Placem_Collection'!T137)),"YES","NO")</f>
        <v>NO</v>
      </c>
      <c r="AB210" s="255" t="str">
        <f>IF(ISNUMBER(SEARCH("C", 'Dry_Litterbag Placem_Collection'!S137)),"YES","NO")</f>
        <v>YES</v>
      </c>
      <c r="AC210" s="255" t="str">
        <f>IF(ISNUMBER(SEARCH("H", 'Dry_Litterbag Placem_Collection'!S137)),"YES","NO")</f>
        <v>YES</v>
      </c>
      <c r="AD210" s="255" t="str">
        <f>IF(ISNUMBER(SEARCH("R", 'Dry_Litterbag Placem_Collection'!S137)),"YES","NO")</f>
        <v>NO</v>
      </c>
    </row>
    <row r="211" spans="2:30">
      <c r="B211" t="str">
        <f>'Final data_for_R_analysis_Dryse'!A137</f>
        <v>Dry</v>
      </c>
      <c r="C211" s="263">
        <f>'Final data_for_R_analysis_Dryse'!B137</f>
        <v>136</v>
      </c>
      <c r="D211" t="s">
        <v>3846</v>
      </c>
      <c r="E211" t="s">
        <v>22</v>
      </c>
      <c r="F211" s="387">
        <v>8</v>
      </c>
      <c r="G211" s="16">
        <f>'Dry_Litterbag Placem_Collection'!E138</f>
        <v>42939</v>
      </c>
      <c r="H211" t="str">
        <f>'Final data_for_R_analysis_Dryse'!J137</f>
        <v>G332</v>
      </c>
      <c r="I211" t="str">
        <f>'Final data_for_R_analysis_Dryse'!J357</f>
        <v>R184</v>
      </c>
      <c r="J211">
        <f>IFERROR(INDEX('Green_rooibos initial weight'!$C$5:$C$1749,MATCH(H211, 'Green_rooibos initial weight'!$A$5:$A$1749,0)),"")</f>
        <v>2.121</v>
      </c>
      <c r="K211">
        <f>IFERROR(INDEX('Green_rooibos initial weight'!$C$5:$C$1749,MATCH(I211, 'Green_rooibos initial weight'!$A$5:$A$1749,0)),"")</f>
        <v>2.202</v>
      </c>
      <c r="L211" s="195">
        <f t="shared" si="21"/>
        <v>1.8712</v>
      </c>
      <c r="M211" s="195">
        <f t="shared" si="22"/>
        <v>1.9521999999999999</v>
      </c>
      <c r="N211" s="16">
        <f>IF('Dry_Litterbag Placem_Collection'!G138="N.A","",'Dry_Litterbag Placem_Collection'!G138)</f>
        <v>43008</v>
      </c>
      <c r="O211" s="195">
        <f>IF(IFERROR(INDEX('Both teabags AfterDry'!$D$1:$D$839,MATCH(H211,'Both teabags AfterDry'!$A$1:$A$839,0)),"")="N.A","",(IFERROR(INDEX('Both teabags AfterDry'!$D$1:$D$839,MATCH(H211,'Both teabags AfterDry'!$A$1:$A$839,0)),"")))</f>
        <v>0.98260000000000003</v>
      </c>
      <c r="P211" s="195">
        <f>IF(IFERROR(INDEX('Both teabags AfterDry'!$D$1:$D$839,MATCH(I211,'Both teabags AfterDry'!$A$1:$A$839,0)),"")="N.A","",(IFERROR(INDEX('Both teabags AfterDry'!$D$1:$D$839,MATCH(I211,'Both teabags AfterDry'!$A$1:$A$839,0)),"")))</f>
        <v>1.7850999999999999</v>
      </c>
      <c r="Q211" s="195">
        <f t="shared" si="23"/>
        <v>0.83200000000000007</v>
      </c>
      <c r="R211" s="195">
        <f t="shared" si="23"/>
        <v>1.6344999999999998</v>
      </c>
      <c r="S211" s="195">
        <f t="shared" si="18"/>
        <v>0.55536554082941425</v>
      </c>
      <c r="T211" s="195">
        <f t="shared" si="24"/>
        <v>0.36408762296655189</v>
      </c>
      <c r="U211" s="195">
        <f t="shared" si="19"/>
        <v>0.83726052658539074</v>
      </c>
      <c r="V211">
        <f t="shared" si="20"/>
        <v>69</v>
      </c>
      <c r="W211" s="195">
        <f t="shared" si="25"/>
        <v>0.34042097288668138</v>
      </c>
      <c r="X211" s="195">
        <f t="shared" si="26"/>
        <v>8.5849139718041541E-3</v>
      </c>
      <c r="Y211" s="255" t="str">
        <f>IF(ISNUMBER(SEARCH("C", 'Dry_Litterbag Placem_Collection'!T138)),"YES","NO")</f>
        <v>NO</v>
      </c>
      <c r="Z211" s="255" t="str">
        <f>IF(ISNUMBER(SEARCH("H", 'Dry_Litterbag Placem_Collection'!T138)),"YES","NO")</f>
        <v>NO</v>
      </c>
      <c r="AA211" s="255" t="str">
        <f>IF(ISNUMBER(SEARCH("R", 'Dry_Litterbag Placem_Collection'!T138)),"YES","NO")</f>
        <v>NO</v>
      </c>
      <c r="AB211" s="255" t="str">
        <f>IF(ISNUMBER(SEARCH("C", 'Dry_Litterbag Placem_Collection'!S138)),"YES","NO")</f>
        <v>YES</v>
      </c>
      <c r="AC211" s="255" t="str">
        <f>IF(ISNUMBER(SEARCH("H", 'Dry_Litterbag Placem_Collection'!S138)),"YES","NO")</f>
        <v>NO</v>
      </c>
      <c r="AD211" s="255" t="str">
        <f>IF(ISNUMBER(SEARCH("R", 'Dry_Litterbag Placem_Collection'!S138)),"YES","NO")</f>
        <v>NO</v>
      </c>
    </row>
    <row r="212" spans="2:30">
      <c r="B212" t="str">
        <f>'Final data_for_R_analysis_Dryse'!A138</f>
        <v>Dry</v>
      </c>
      <c r="C212" s="263">
        <f>'Final data_for_R_analysis_Dryse'!B138</f>
        <v>137</v>
      </c>
      <c r="D212" t="s">
        <v>3848</v>
      </c>
      <c r="E212" t="s">
        <v>22</v>
      </c>
      <c r="F212" s="386">
        <v>1</v>
      </c>
      <c r="G212" s="16">
        <f>'Dry_Litterbag Placem_Collection'!E139</f>
        <v>42939</v>
      </c>
      <c r="H212" t="str">
        <f>'Final data_for_R_analysis_Dryse'!J138</f>
        <v>G30</v>
      </c>
      <c r="I212" t="str">
        <f>'Final data_for_R_analysis_Dryse'!J358</f>
        <v>R746</v>
      </c>
      <c r="J212">
        <f>IFERROR(INDEX('Green_rooibos initial weight'!$C$5:$C$1749,MATCH(H212, 'Green_rooibos initial weight'!$A$5:$A$1749,0)),"")</f>
        <v>2.0680000000000001</v>
      </c>
      <c r="K212">
        <f>IFERROR(INDEX('Green_rooibos initial weight'!$C$5:$C$1749,MATCH(I212, 'Green_rooibos initial weight'!$A$5:$A$1749,0)),"")</f>
        <v>2.2290000000000001</v>
      </c>
      <c r="L212" s="195">
        <f t="shared" si="21"/>
        <v>1.8182</v>
      </c>
      <c r="M212" s="195">
        <f t="shared" si="22"/>
        <v>1.9792000000000001</v>
      </c>
      <c r="N212" s="16">
        <f>IF('Dry_Litterbag Placem_Collection'!G139="N.A","",'Dry_Litterbag Placem_Collection'!G139)</f>
        <v>43008</v>
      </c>
      <c r="O212" s="195">
        <f>IF(IFERROR(INDEX('Both teabags AfterDry'!$D$1:$D$839,MATCH(H212,'Both teabags AfterDry'!$A$1:$A$839,0)),"")="N.A","",(IFERROR(INDEX('Both teabags AfterDry'!$D$1:$D$839,MATCH(H212,'Both teabags AfterDry'!$A$1:$A$839,0)),"")))</f>
        <v>0.80879999999999996</v>
      </c>
      <c r="P212" s="195">
        <f>IF(IFERROR(INDEX('Both teabags AfterDry'!$D$1:$D$839,MATCH(I212,'Both teabags AfterDry'!$A$1:$A$839,0)),"")="N.A","",(IFERROR(INDEX('Both teabags AfterDry'!$D$1:$D$839,MATCH(I212,'Both teabags AfterDry'!$A$1:$A$839,0)),"")))</f>
        <v>5.0305999999999997</v>
      </c>
      <c r="Q212" s="195">
        <f t="shared" si="23"/>
        <v>0.6581999999999999</v>
      </c>
      <c r="R212" s="195">
        <f t="shared" si="23"/>
        <v>4.88</v>
      </c>
      <c r="S212" s="195">
        <f t="shared" si="18"/>
        <v>0.63799362006379945</v>
      </c>
      <c r="T212" s="195">
        <f t="shared" si="24"/>
        <v>0.41825710008933176</v>
      </c>
      <c r="U212" s="195">
        <f t="shared" si="19"/>
        <v>2.4656426839126917</v>
      </c>
      <c r="V212">
        <f t="shared" si="20"/>
        <v>69</v>
      </c>
      <c r="W212" s="195">
        <f t="shared" si="25"/>
        <v>0.24228786215700771</v>
      </c>
      <c r="X212" s="195">
        <f t="shared" si="26"/>
        <v>-2.1811636885319861E-2</v>
      </c>
      <c r="Y212" s="255" t="str">
        <f>IF(ISNUMBER(SEARCH("C", 'Dry_Litterbag Placem_Collection'!T139)),"YES","NO")</f>
        <v>YES</v>
      </c>
      <c r="Z212" s="255" t="str">
        <f>IF(ISNUMBER(SEARCH("H", 'Dry_Litterbag Placem_Collection'!T139)),"YES","NO")</f>
        <v>YES</v>
      </c>
      <c r="AA212" s="255" t="str">
        <f>IF(ISNUMBER(SEARCH("R", 'Dry_Litterbag Placem_Collection'!T139)),"YES","NO")</f>
        <v>NO</v>
      </c>
      <c r="AB212" s="255" t="str">
        <f>IF(ISNUMBER(SEARCH("C", 'Dry_Litterbag Placem_Collection'!S139)),"YES","NO")</f>
        <v>NO</v>
      </c>
      <c r="AC212" s="255" t="str">
        <f>IF(ISNUMBER(SEARCH("H", 'Dry_Litterbag Placem_Collection'!S139)),"YES","NO")</f>
        <v>YES</v>
      </c>
      <c r="AD212" s="255" t="str">
        <f>IF(ISNUMBER(SEARCH("R", 'Dry_Litterbag Placem_Collection'!S139)),"YES","NO")</f>
        <v>NO</v>
      </c>
    </row>
    <row r="213" spans="2:30">
      <c r="B213" t="str">
        <f>'Final data_for_R_analysis_Dryse'!A139</f>
        <v>Dry</v>
      </c>
      <c r="C213" s="263">
        <f>'Final data_for_R_analysis_Dryse'!B139</f>
        <v>138</v>
      </c>
      <c r="D213" t="s">
        <v>3848</v>
      </c>
      <c r="E213" t="s">
        <v>22</v>
      </c>
      <c r="F213" s="386">
        <v>2</v>
      </c>
      <c r="G213" s="16">
        <f>'Dry_Litterbag Placem_Collection'!E140</f>
        <v>42939</v>
      </c>
      <c r="H213" t="str">
        <f>'Final data_for_R_analysis_Dryse'!J139</f>
        <v>G213</v>
      </c>
      <c r="I213" t="str">
        <f>'Final data_for_R_analysis_Dryse'!J359</f>
        <v>R821</v>
      </c>
      <c r="J213">
        <f>IFERROR(INDEX('Green_rooibos initial weight'!$C$5:$C$1749,MATCH(H213, 'Green_rooibos initial weight'!$A$5:$A$1749,0)),"")</f>
        <v>2.0670000000000002</v>
      </c>
      <c r="K213">
        <f>IFERROR(INDEX('Green_rooibos initial weight'!$C$5:$C$1749,MATCH(I213, 'Green_rooibos initial weight'!$A$5:$A$1749,0)),"")</f>
        <v>2.1680000000000001</v>
      </c>
      <c r="L213" s="195">
        <f t="shared" si="21"/>
        <v>1.8172000000000001</v>
      </c>
      <c r="M213" s="195">
        <f t="shared" si="22"/>
        <v>1.9182000000000001</v>
      </c>
      <c r="N213" s="16">
        <f>IF('Dry_Litterbag Placem_Collection'!G140="N.A","",'Dry_Litterbag Placem_Collection'!G140)</f>
        <v>43008</v>
      </c>
      <c r="O213" s="195">
        <f>IF(IFERROR(INDEX('Both teabags AfterDry'!$D$1:$D$839,MATCH(H213,'Both teabags AfterDry'!$A$1:$A$839,0)),"")="N.A","",(IFERROR(INDEX('Both teabags AfterDry'!$D$1:$D$839,MATCH(H213,'Both teabags AfterDry'!$A$1:$A$839,0)),"")))</f>
        <v>0.66200000000000003</v>
      </c>
      <c r="P213" s="195">
        <f>IF(IFERROR(INDEX('Both teabags AfterDry'!$D$1:$D$839,MATCH(I213,'Both teabags AfterDry'!$A$1:$A$839,0)),"")="N.A","",(IFERROR(INDEX('Both teabags AfterDry'!$D$1:$D$839,MATCH(I213,'Both teabags AfterDry'!$A$1:$A$839,0)),"")))</f>
        <v>0.2059</v>
      </c>
      <c r="Q213" s="195">
        <f t="shared" si="23"/>
        <v>0.51140000000000008</v>
      </c>
      <c r="R213" s="195">
        <f t="shared" si="23"/>
        <v>5.5299999999999988E-2</v>
      </c>
      <c r="S213" s="195">
        <f t="shared" si="18"/>
        <v>0.71857803213735416</v>
      </c>
      <c r="T213" s="195">
        <f t="shared" si="24"/>
        <v>0.471086785914275</v>
      </c>
      <c r="U213" s="195">
        <f t="shared" si="19"/>
        <v>2.8829110624543835E-2</v>
      </c>
      <c r="V213">
        <f t="shared" si="20"/>
        <v>69</v>
      </c>
      <c r="W213" s="195">
        <f t="shared" si="25"/>
        <v>0.14658190957558881</v>
      </c>
      <c r="X213" s="195" t="str">
        <f t="shared" si="26"/>
        <v/>
      </c>
      <c r="Y213" s="255" t="str">
        <f>IF(ISNUMBER(SEARCH("C", 'Dry_Litterbag Placem_Collection'!T140)),"YES","NO")</f>
        <v>YES</v>
      </c>
      <c r="Z213" s="255" t="str">
        <f>IF(ISNUMBER(SEARCH("H", 'Dry_Litterbag Placem_Collection'!T140)),"YES","NO")</f>
        <v>YES</v>
      </c>
      <c r="AA213" s="255" t="str">
        <f>IF(ISNUMBER(SEARCH("R", 'Dry_Litterbag Placem_Collection'!T140)),"YES","NO")</f>
        <v>NO</v>
      </c>
      <c r="AB213" s="255" t="str">
        <f>IF(ISNUMBER(SEARCH("C", 'Dry_Litterbag Placem_Collection'!S140)),"YES","NO")</f>
        <v>YES</v>
      </c>
      <c r="AC213" s="255" t="str">
        <f>IF(ISNUMBER(SEARCH("H", 'Dry_Litterbag Placem_Collection'!S140)),"YES","NO")</f>
        <v>YES</v>
      </c>
      <c r="AD213" s="255" t="str">
        <f>IF(ISNUMBER(SEARCH("R", 'Dry_Litterbag Placem_Collection'!S140)),"YES","NO")</f>
        <v>NO</v>
      </c>
    </row>
    <row r="214" spans="2:30">
      <c r="B214" t="str">
        <f>'Final data_for_R_analysis_Dryse'!A140</f>
        <v>Dry</v>
      </c>
      <c r="C214" s="263">
        <f>'Final data_for_R_analysis_Dryse'!B140</f>
        <v>139</v>
      </c>
      <c r="D214" t="s">
        <v>3848</v>
      </c>
      <c r="E214" t="s">
        <v>22</v>
      </c>
      <c r="F214" s="386">
        <v>3</v>
      </c>
      <c r="G214" s="16">
        <f>'Dry_Litterbag Placem_Collection'!E141</f>
        <v>42939</v>
      </c>
      <c r="H214" t="str">
        <f>'Final data_for_R_analysis_Dryse'!J140</f>
        <v>G17</v>
      </c>
      <c r="I214" t="str">
        <f>'Final data_for_R_analysis_Dryse'!J360</f>
        <v>R813</v>
      </c>
      <c r="J214">
        <f>IFERROR(INDEX('Green_rooibos initial weight'!$C$5:$C$1749,MATCH(H214, 'Green_rooibos initial weight'!$A$5:$A$1749,0)),"")</f>
        <v>1.9870000000000001</v>
      </c>
      <c r="K214">
        <f>IFERROR(INDEX('Green_rooibos initial weight'!$C$5:$C$1749,MATCH(I214, 'Green_rooibos initial weight'!$A$5:$A$1749,0)),"")</f>
        <v>2.2309999999999999</v>
      </c>
      <c r="L214" s="195">
        <f t="shared" si="21"/>
        <v>1.7372000000000001</v>
      </c>
      <c r="M214" s="195">
        <f t="shared" si="22"/>
        <v>1.9811999999999999</v>
      </c>
      <c r="N214" s="16">
        <f>IF('Dry_Litterbag Placem_Collection'!G141="N.A","",'Dry_Litterbag Placem_Collection'!G141)</f>
        <v>43008</v>
      </c>
      <c r="O214" s="195">
        <f>IF(IFERROR(INDEX('Both teabags AfterDry'!$D$1:$D$839,MATCH(H214,'Both teabags AfterDry'!$A$1:$A$839,0)),"")="N.A","",(IFERROR(INDEX('Both teabags AfterDry'!$D$1:$D$839,MATCH(H214,'Both teabags AfterDry'!$A$1:$A$839,0)),"")))</f>
        <v>0.73580000000000001</v>
      </c>
      <c r="P214" s="195">
        <f>IF(IFERROR(INDEX('Both teabags AfterDry'!$D$1:$D$839,MATCH(I214,'Both teabags AfterDry'!$A$1:$A$839,0)),"")="N.A","",(IFERROR(INDEX('Both teabags AfterDry'!$D$1:$D$839,MATCH(I214,'Both teabags AfterDry'!$A$1:$A$839,0)),"")))</f>
        <v>2.1772999999999998</v>
      </c>
      <c r="Q214" s="195">
        <f t="shared" si="23"/>
        <v>0.58519999999999994</v>
      </c>
      <c r="R214" s="195">
        <f t="shared" si="23"/>
        <v>2.0266999999999999</v>
      </c>
      <c r="S214" s="195">
        <f t="shared" si="18"/>
        <v>0.66313608104996558</v>
      </c>
      <c r="T214" s="195">
        <f t="shared" si="24"/>
        <v>0.43474004363370672</v>
      </c>
      <c r="U214" s="195">
        <f t="shared" si="19"/>
        <v>1.022965879265092</v>
      </c>
      <c r="V214">
        <f t="shared" si="20"/>
        <v>69</v>
      </c>
      <c r="W214" s="195">
        <f t="shared" si="25"/>
        <v>0.21242745718531397</v>
      </c>
      <c r="X214" s="195">
        <f t="shared" si="26"/>
        <v>-7.4606719613905942E-4</v>
      </c>
      <c r="Y214" s="255" t="str">
        <f>IF(ISNUMBER(SEARCH("C", 'Dry_Litterbag Placem_Collection'!T141)),"YES","NO")</f>
        <v>YES</v>
      </c>
      <c r="Z214" s="255" t="str">
        <f>IF(ISNUMBER(SEARCH("H", 'Dry_Litterbag Placem_Collection'!T141)),"YES","NO")</f>
        <v>YES</v>
      </c>
      <c r="AA214" s="255" t="str">
        <f>IF(ISNUMBER(SEARCH("R", 'Dry_Litterbag Placem_Collection'!T141)),"YES","NO")</f>
        <v>NO</v>
      </c>
      <c r="AB214" s="255" t="str">
        <f>IF(ISNUMBER(SEARCH("C", 'Dry_Litterbag Placem_Collection'!S141)),"YES","NO")</f>
        <v>YES</v>
      </c>
      <c r="AC214" s="255" t="str">
        <f>IF(ISNUMBER(SEARCH("H", 'Dry_Litterbag Placem_Collection'!S141)),"YES","NO")</f>
        <v>YES</v>
      </c>
      <c r="AD214" s="255" t="str">
        <f>IF(ISNUMBER(SEARCH("R", 'Dry_Litterbag Placem_Collection'!S141)),"YES","NO")</f>
        <v>NO</v>
      </c>
    </row>
    <row r="215" spans="2:30">
      <c r="B215" t="str">
        <f>'Final data_for_R_analysis_Dryse'!A141</f>
        <v>Dry</v>
      </c>
      <c r="C215" s="263">
        <f>'Final data_for_R_analysis_Dryse'!B141</f>
        <v>140</v>
      </c>
      <c r="D215" t="s">
        <v>3848</v>
      </c>
      <c r="E215" t="s">
        <v>22</v>
      </c>
      <c r="F215" s="387">
        <v>4</v>
      </c>
      <c r="G215" s="16">
        <f>'Dry_Litterbag Placem_Collection'!E142</f>
        <v>42939</v>
      </c>
      <c r="H215" t="str">
        <f>'Final data_for_R_analysis_Dryse'!J141</f>
        <v>G401</v>
      </c>
      <c r="I215" t="str">
        <f>'Final data_for_R_analysis_Dryse'!J361</f>
        <v>R729</v>
      </c>
      <c r="J215">
        <f>IFERROR(INDEX('Green_rooibos initial weight'!$C$5:$C$1749,MATCH(H215, 'Green_rooibos initial weight'!$A$5:$A$1749,0)),"")</f>
        <v>1.9390000000000001</v>
      </c>
      <c r="K215">
        <f>IFERROR(INDEX('Green_rooibos initial weight'!$C$5:$C$1749,MATCH(I215, 'Green_rooibos initial weight'!$A$5:$A$1749,0)),"")</f>
        <v>2.1970000000000001</v>
      </c>
      <c r="L215" s="195">
        <f t="shared" si="21"/>
        <v>1.6892</v>
      </c>
      <c r="M215" s="195">
        <f t="shared" si="22"/>
        <v>1.9472</v>
      </c>
      <c r="N215" s="16">
        <f>IF('Dry_Litterbag Placem_Collection'!G142="N.A","",'Dry_Litterbag Placem_Collection'!G142)</f>
        <v>43008</v>
      </c>
      <c r="O215" s="195">
        <f>IF(IFERROR(INDEX('Both teabags AfterDry'!$D$1:$D$839,MATCH(H215,'Both teabags AfterDry'!$A$1:$A$839,0)),"")="N.A","",(IFERROR(INDEX('Both teabags AfterDry'!$D$1:$D$839,MATCH(H215,'Both teabags AfterDry'!$A$1:$A$839,0)),"")))</f>
        <v>0.9304</v>
      </c>
      <c r="P215" s="195">
        <f>IF(IFERROR(INDEX('Both teabags AfterDry'!$D$1:$D$839,MATCH(I215,'Both teabags AfterDry'!$A$1:$A$839,0)),"")="N.A","",(IFERROR(INDEX('Both teabags AfterDry'!$D$1:$D$839,MATCH(I215,'Both teabags AfterDry'!$A$1:$A$839,0)),"")))</f>
        <v>1.7859</v>
      </c>
      <c r="Q215" s="195">
        <f t="shared" si="23"/>
        <v>0.77980000000000005</v>
      </c>
      <c r="R215" s="195">
        <f t="shared" si="23"/>
        <v>1.6353</v>
      </c>
      <c r="S215" s="195">
        <f t="shared" si="18"/>
        <v>0.53836135448733125</v>
      </c>
      <c r="T215" s="195">
        <f t="shared" si="24"/>
        <v>0.35293998536461629</v>
      </c>
      <c r="U215" s="195">
        <f t="shared" si="19"/>
        <v>0.83982128184059157</v>
      </c>
      <c r="V215">
        <f t="shared" si="20"/>
        <v>69</v>
      </c>
      <c r="W215" s="195">
        <f t="shared" si="25"/>
        <v>0.36061596854236189</v>
      </c>
      <c r="X215" s="195">
        <f t="shared" si="26"/>
        <v>8.7658777332243962E-3</v>
      </c>
      <c r="Y215" s="255" t="str">
        <f>IF(ISNUMBER(SEARCH("C", 'Dry_Litterbag Placem_Collection'!T142)),"YES","NO")</f>
        <v>YES</v>
      </c>
      <c r="Z215" s="255" t="str">
        <f>IF(ISNUMBER(SEARCH("H", 'Dry_Litterbag Placem_Collection'!T142)),"YES","NO")</f>
        <v>YES</v>
      </c>
      <c r="AA215" s="255" t="str">
        <f>IF(ISNUMBER(SEARCH("R", 'Dry_Litterbag Placem_Collection'!T142)),"YES","NO")</f>
        <v>NO</v>
      </c>
      <c r="AB215" s="255" t="str">
        <f>IF(ISNUMBER(SEARCH("C", 'Dry_Litterbag Placem_Collection'!S142)),"YES","NO")</f>
        <v>NO</v>
      </c>
      <c r="AC215" s="255" t="str">
        <f>IF(ISNUMBER(SEARCH("H", 'Dry_Litterbag Placem_Collection'!S142)),"YES","NO")</f>
        <v>NO</v>
      </c>
      <c r="AD215" s="255" t="str">
        <f>IF(ISNUMBER(SEARCH("R", 'Dry_Litterbag Placem_Collection'!S142)),"YES","NO")</f>
        <v>YES</v>
      </c>
    </row>
    <row r="216" spans="2:30">
      <c r="B216" t="str">
        <f>'Final data_for_R_analysis_Dryse'!A142</f>
        <v>Dry</v>
      </c>
      <c r="C216" s="263">
        <f>'Final data_for_R_analysis_Dryse'!B142</f>
        <v>141</v>
      </c>
      <c r="D216" t="s">
        <v>3848</v>
      </c>
      <c r="E216" t="s">
        <v>22</v>
      </c>
      <c r="F216" s="387">
        <v>5</v>
      </c>
      <c r="G216" s="16">
        <f>'Dry_Litterbag Placem_Collection'!E143</f>
        <v>0</v>
      </c>
      <c r="H216" t="str">
        <f>'Final data_for_R_analysis_Dryse'!J142</f>
        <v/>
      </c>
      <c r="I216" t="str">
        <f>'Final data_for_R_analysis_Dryse'!J362</f>
        <v/>
      </c>
      <c r="J216" t="str">
        <f>IFERROR(INDEX('Green_rooibos initial weight'!$C$5:$C$1749,MATCH(H216, 'Green_rooibos initial weight'!$A$5:$A$1749,0)),"")</f>
        <v/>
      </c>
      <c r="K216" t="str">
        <f>IFERROR(INDEX('Green_rooibos initial weight'!$C$5:$C$1749,MATCH(I216, 'Green_rooibos initial weight'!$A$5:$A$1749,0)),"")</f>
        <v/>
      </c>
      <c r="L216" s="195" t="str">
        <f t="shared" si="21"/>
        <v/>
      </c>
      <c r="M216" s="195" t="str">
        <f t="shared" si="22"/>
        <v/>
      </c>
      <c r="N216" s="16">
        <f>IF('Dry_Litterbag Placem_Collection'!G143="N.A","",'Dry_Litterbag Placem_Collection'!G143)</f>
        <v>0</v>
      </c>
      <c r="O216" s="195" t="str">
        <f>IF(IFERROR(INDEX('Both teabags AfterDry'!$D$1:$D$839,MATCH(H216,'Both teabags AfterDry'!$A$1:$A$839,0)),"")="N.A","",(IFERROR(INDEX('Both teabags AfterDry'!$D$1:$D$839,MATCH(H216,'Both teabags AfterDry'!$A$1:$A$839,0)),"")))</f>
        <v/>
      </c>
      <c r="P216" s="195" t="str">
        <f>IF(IFERROR(INDEX('Both teabags AfterDry'!$D$1:$D$839,MATCH(I216,'Both teabags AfterDry'!$A$1:$A$839,0)),"")="N.A","",(IFERROR(INDEX('Both teabags AfterDry'!$D$1:$D$839,MATCH(I216,'Both teabags AfterDry'!$A$1:$A$839,0)),"")))</f>
        <v/>
      </c>
      <c r="Q216" s="195" t="str">
        <f t="shared" si="23"/>
        <v/>
      </c>
      <c r="R216" s="195" t="str">
        <f t="shared" si="23"/>
        <v/>
      </c>
      <c r="S216" s="195" t="str">
        <f t="shared" si="18"/>
        <v/>
      </c>
      <c r="T216" s="195" t="str">
        <f t="shared" si="24"/>
        <v/>
      </c>
      <c r="U216" s="195" t="str">
        <f t="shared" si="19"/>
        <v/>
      </c>
      <c r="V216" t="str">
        <f t="shared" si="20"/>
        <v/>
      </c>
      <c r="W216" s="195" t="str">
        <f t="shared" si="25"/>
        <v/>
      </c>
      <c r="X216" s="195" t="str">
        <f t="shared" si="26"/>
        <v/>
      </c>
      <c r="Y216" s="255" t="str">
        <f>IF(ISNUMBER(SEARCH("C", 'Dry_Litterbag Placem_Collection'!T143)),"YES","NO")</f>
        <v>NO</v>
      </c>
      <c r="Z216" s="255" t="str">
        <f>IF(ISNUMBER(SEARCH("H", 'Dry_Litterbag Placem_Collection'!T143)),"YES","NO")</f>
        <v>NO</v>
      </c>
      <c r="AA216" s="255" t="str">
        <f>IF(ISNUMBER(SEARCH("R", 'Dry_Litterbag Placem_Collection'!T143)),"YES","NO")</f>
        <v>NO</v>
      </c>
      <c r="AB216" s="255" t="str">
        <f>IF(ISNUMBER(SEARCH("C", 'Dry_Litterbag Placem_Collection'!S143)),"YES","NO")</f>
        <v>NO</v>
      </c>
      <c r="AC216" s="255" t="str">
        <f>IF(ISNUMBER(SEARCH("H", 'Dry_Litterbag Placem_Collection'!S143)),"YES","NO")</f>
        <v>NO</v>
      </c>
      <c r="AD216" s="255" t="str">
        <f>IF(ISNUMBER(SEARCH("R", 'Dry_Litterbag Placem_Collection'!S143)),"YES","NO")</f>
        <v>NO</v>
      </c>
    </row>
    <row r="217" spans="2:30">
      <c r="B217" t="str">
        <f>'Final data_for_R_analysis_Dryse'!A143</f>
        <v>Dry</v>
      </c>
      <c r="C217" s="263">
        <f>'Final data_for_R_analysis_Dryse'!B143</f>
        <v>142</v>
      </c>
      <c r="D217" t="s">
        <v>3848</v>
      </c>
      <c r="E217" t="s">
        <v>22</v>
      </c>
      <c r="F217" s="387">
        <v>6</v>
      </c>
      <c r="G217" s="16">
        <f>'Dry_Litterbag Placem_Collection'!E144</f>
        <v>42939</v>
      </c>
      <c r="H217" t="str">
        <f>'Final data_for_R_analysis_Dryse'!J143</f>
        <v>G87</v>
      </c>
      <c r="I217" t="str">
        <f>'Final data_for_R_analysis_Dryse'!J363</f>
        <v>R834</v>
      </c>
      <c r="J217">
        <f>IFERROR(INDEX('Green_rooibos initial weight'!$C$5:$C$1749,MATCH(H217, 'Green_rooibos initial weight'!$A$5:$A$1749,0)),"")</f>
        <v>1.9870000000000001</v>
      </c>
      <c r="K217">
        <f>IFERROR(INDEX('Green_rooibos initial weight'!$C$5:$C$1749,MATCH(I217, 'Green_rooibos initial weight'!$A$5:$A$1749,0)),"")</f>
        <v>2.1840000000000002</v>
      </c>
      <c r="L217" s="195">
        <f t="shared" si="21"/>
        <v>1.7372000000000001</v>
      </c>
      <c r="M217" s="195">
        <f t="shared" si="22"/>
        <v>1.9342000000000001</v>
      </c>
      <c r="N217" s="16">
        <f>IF('Dry_Litterbag Placem_Collection'!G144="N.A","",'Dry_Litterbag Placem_Collection'!G144)</f>
        <v>43008</v>
      </c>
      <c r="O217" s="195" t="str">
        <f>IF(IFERROR(INDEX('Both teabags AfterDry'!$D$1:$D$839,MATCH(H217,'Both teabags AfterDry'!$A$1:$A$839,0)),"")="N.A","",(IFERROR(INDEX('Both teabags AfterDry'!$D$1:$D$839,MATCH(H217,'Both teabags AfterDry'!$A$1:$A$839,0)),"")))</f>
        <v/>
      </c>
      <c r="P217" s="195" t="str">
        <f>IF(IFERROR(INDEX('Both teabags AfterDry'!$D$1:$D$839,MATCH(I217,'Both teabags AfterDry'!$A$1:$A$839,0)),"")="N.A","",(IFERROR(INDEX('Both teabags AfterDry'!$D$1:$D$839,MATCH(I217,'Both teabags AfterDry'!$A$1:$A$839,0)),"")))</f>
        <v/>
      </c>
      <c r="Q217" s="195" t="str">
        <f t="shared" si="23"/>
        <v/>
      </c>
      <c r="R217" s="195" t="str">
        <f t="shared" si="23"/>
        <v/>
      </c>
      <c r="S217" s="195" t="str">
        <f t="shared" si="18"/>
        <v/>
      </c>
      <c r="T217" s="195" t="str">
        <f t="shared" si="24"/>
        <v/>
      </c>
      <c r="U217" s="195" t="str">
        <f t="shared" si="19"/>
        <v/>
      </c>
      <c r="V217">
        <f t="shared" si="20"/>
        <v>69</v>
      </c>
      <c r="W217" s="195" t="str">
        <f t="shared" si="25"/>
        <v/>
      </c>
      <c r="X217" s="195" t="str">
        <f t="shared" si="26"/>
        <v/>
      </c>
      <c r="Y217" s="255" t="str">
        <f>IF(ISNUMBER(SEARCH("C", 'Dry_Litterbag Placem_Collection'!T144)),"YES","NO")</f>
        <v>NO</v>
      </c>
      <c r="Z217" s="255" t="str">
        <f>IF(ISNUMBER(SEARCH("H", 'Dry_Litterbag Placem_Collection'!T144)),"YES","NO")</f>
        <v>NO</v>
      </c>
      <c r="AA217" s="255" t="str">
        <f>IF(ISNUMBER(SEARCH("R", 'Dry_Litterbag Placem_Collection'!T144)),"YES","NO")</f>
        <v>NO</v>
      </c>
      <c r="AB217" s="255" t="str">
        <f>IF(ISNUMBER(SEARCH("C", 'Dry_Litterbag Placem_Collection'!S144)),"YES","NO")</f>
        <v>YES</v>
      </c>
      <c r="AC217" s="255" t="str">
        <f>IF(ISNUMBER(SEARCH("H", 'Dry_Litterbag Placem_Collection'!S144)),"YES","NO")</f>
        <v>NO</v>
      </c>
      <c r="AD217" s="255" t="str">
        <f>IF(ISNUMBER(SEARCH("R", 'Dry_Litterbag Placem_Collection'!S144)),"YES","NO")</f>
        <v>YES</v>
      </c>
    </row>
    <row r="218" spans="2:30">
      <c r="B218" t="str">
        <f>'Final data_for_R_analysis_Dryse'!A144</f>
        <v>Dry</v>
      </c>
      <c r="C218" s="263">
        <f>'Final data_for_R_analysis_Dryse'!B144</f>
        <v>143</v>
      </c>
      <c r="D218" t="s">
        <v>3848</v>
      </c>
      <c r="E218" t="s">
        <v>22</v>
      </c>
      <c r="F218" s="387">
        <v>7</v>
      </c>
      <c r="G218" s="16">
        <f>'Dry_Litterbag Placem_Collection'!E145</f>
        <v>42939</v>
      </c>
      <c r="H218" t="str">
        <f>'Final data_for_R_analysis_Dryse'!J144</f>
        <v>G501</v>
      </c>
      <c r="I218" t="str">
        <f>'Final data_for_R_analysis_Dryse'!J364</f>
        <v>R774</v>
      </c>
      <c r="J218">
        <f>IFERROR(INDEX('Green_rooibos initial weight'!$C$5:$C$1749,MATCH(H218, 'Green_rooibos initial weight'!$A$5:$A$1749,0)),"")</f>
        <v>1.917</v>
      </c>
      <c r="K218">
        <f>IFERROR(INDEX('Green_rooibos initial weight'!$C$5:$C$1749,MATCH(I218, 'Green_rooibos initial weight'!$A$5:$A$1749,0)),"")</f>
        <v>2.1629999999999998</v>
      </c>
      <c r="L218" s="195">
        <f t="shared" si="21"/>
        <v>1.6672</v>
      </c>
      <c r="M218" s="195">
        <f t="shared" si="22"/>
        <v>1.9131999999999998</v>
      </c>
      <c r="N218" s="16">
        <f>IF('Dry_Litterbag Placem_Collection'!G145="N.A","",'Dry_Litterbag Placem_Collection'!G145)</f>
        <v>43008</v>
      </c>
      <c r="O218" s="195">
        <f>IF(IFERROR(INDEX('Both teabags AfterDry'!$D$1:$D$839,MATCH(H218,'Both teabags AfterDry'!$A$1:$A$839,0)),"")="N.A","",(IFERROR(INDEX('Both teabags AfterDry'!$D$1:$D$839,MATCH(H218,'Both teabags AfterDry'!$A$1:$A$839,0)),"")))</f>
        <v>0.78680000000000005</v>
      </c>
      <c r="P218" s="195">
        <f>IF(IFERROR(INDEX('Both teabags AfterDry'!$D$1:$D$839,MATCH(I218,'Both teabags AfterDry'!$A$1:$A$839,0)),"")="N.A","",(IFERROR(INDEX('Both teabags AfterDry'!$D$1:$D$839,MATCH(I218,'Both teabags AfterDry'!$A$1:$A$839,0)),"")))</f>
        <v>1.5979000000000001</v>
      </c>
      <c r="Q218" s="195">
        <f t="shared" si="23"/>
        <v>0.6362000000000001</v>
      </c>
      <c r="R218" s="195">
        <f t="shared" si="23"/>
        <v>1.4473</v>
      </c>
      <c r="S218" s="195">
        <f t="shared" si="18"/>
        <v>0.61840211132437617</v>
      </c>
      <c r="T218" s="195">
        <f t="shared" si="24"/>
        <v>0.40541326063070743</v>
      </c>
      <c r="U218" s="195">
        <f t="shared" si="19"/>
        <v>0.75648128789462687</v>
      </c>
      <c r="V218">
        <f t="shared" si="20"/>
        <v>69</v>
      </c>
      <c r="W218" s="195">
        <f t="shared" si="25"/>
        <v>0.26555568726321122</v>
      </c>
      <c r="X218" s="195">
        <f t="shared" si="26"/>
        <v>1.3303793553933654E-2</v>
      </c>
      <c r="Y218" s="255" t="str">
        <f>IF(ISNUMBER(SEARCH("C", 'Dry_Litterbag Placem_Collection'!T145)),"YES","NO")</f>
        <v>NO</v>
      </c>
      <c r="Z218" s="255" t="str">
        <f>IF(ISNUMBER(SEARCH("H", 'Dry_Litterbag Placem_Collection'!T145)),"YES","NO")</f>
        <v>NO</v>
      </c>
      <c r="AA218" s="255" t="str">
        <f>IF(ISNUMBER(SEARCH("R", 'Dry_Litterbag Placem_Collection'!T145)),"YES","NO")</f>
        <v>NO</v>
      </c>
      <c r="AB218" s="255" t="str">
        <f>IF(ISNUMBER(SEARCH("C", 'Dry_Litterbag Placem_Collection'!S145)),"YES","NO")</f>
        <v>NO</v>
      </c>
      <c r="AC218" s="255" t="str">
        <f>IF(ISNUMBER(SEARCH("H", 'Dry_Litterbag Placem_Collection'!S145)),"YES","NO")</f>
        <v>NO</v>
      </c>
      <c r="AD218" s="255" t="str">
        <f>IF(ISNUMBER(SEARCH("R", 'Dry_Litterbag Placem_Collection'!S145)),"YES","NO")</f>
        <v>NO</v>
      </c>
    </row>
    <row r="219" spans="2:30">
      <c r="B219" t="str">
        <f>'Final data_for_R_analysis_Dryse'!A145</f>
        <v>Dry</v>
      </c>
      <c r="C219" s="263">
        <f>'Final data_for_R_analysis_Dryse'!B145</f>
        <v>144</v>
      </c>
      <c r="D219" t="s">
        <v>3848</v>
      </c>
      <c r="E219" t="s">
        <v>22</v>
      </c>
      <c r="F219" s="387">
        <v>8</v>
      </c>
      <c r="G219" s="16">
        <f>'Dry_Litterbag Placem_Collection'!E146</f>
        <v>42939</v>
      </c>
      <c r="H219" t="str">
        <f>'Final data_for_R_analysis_Dryse'!J145</f>
        <v>G141</v>
      </c>
      <c r="I219" t="str">
        <f>'Final data_for_R_analysis_Dryse'!J365</f>
        <v>R779</v>
      </c>
      <c r="J219">
        <f>IFERROR(INDEX('Green_rooibos initial weight'!$C$5:$C$1749,MATCH(H219, 'Green_rooibos initial weight'!$A$5:$A$1749,0)),"")</f>
        <v>2.0310000000000001</v>
      </c>
      <c r="K219">
        <f>IFERROR(INDEX('Green_rooibos initial weight'!$C$5:$C$1749,MATCH(I219, 'Green_rooibos initial weight'!$A$5:$A$1749,0)),"")</f>
        <v>2.16</v>
      </c>
      <c r="L219" s="195">
        <f t="shared" si="21"/>
        <v>1.7812000000000001</v>
      </c>
      <c r="M219" s="195">
        <f t="shared" si="22"/>
        <v>1.9102000000000001</v>
      </c>
      <c r="N219" s="16">
        <f>IF('Dry_Litterbag Placem_Collection'!G146="N.A","",'Dry_Litterbag Placem_Collection'!G146)</f>
        <v>43008</v>
      </c>
      <c r="O219" s="195">
        <f>IF(IFERROR(INDEX('Both teabags AfterDry'!$D$1:$D$839,MATCH(H219,'Both teabags AfterDry'!$A$1:$A$839,0)),"")="N.A","",(IFERROR(INDEX('Both teabags AfterDry'!$D$1:$D$839,MATCH(H219,'Both teabags AfterDry'!$A$1:$A$839,0)),"")))</f>
        <v>0.66180000000000005</v>
      </c>
      <c r="P219" s="195">
        <f>IF(IFERROR(INDEX('Both teabags AfterDry'!$D$1:$D$839,MATCH(I219,'Both teabags AfterDry'!$A$1:$A$839,0)),"")="N.A","",(IFERROR(INDEX('Both teabags AfterDry'!$D$1:$D$839,MATCH(I219,'Both teabags AfterDry'!$A$1:$A$839,0)),"")))</f>
        <v>0.17680000000000001</v>
      </c>
      <c r="Q219" s="195">
        <f t="shared" si="23"/>
        <v>0.5112000000000001</v>
      </c>
      <c r="R219" s="195">
        <f t="shared" si="23"/>
        <v>2.6200000000000001E-2</v>
      </c>
      <c r="S219" s="195">
        <f t="shared" si="18"/>
        <v>0.71300247024477881</v>
      </c>
      <c r="T219" s="195">
        <f t="shared" si="24"/>
        <v>0.46743154818897614</v>
      </c>
      <c r="U219" s="195">
        <f t="shared" si="19"/>
        <v>1.3715841273165113E-2</v>
      </c>
      <c r="V219">
        <f t="shared" si="20"/>
        <v>69</v>
      </c>
      <c r="W219" s="195">
        <f t="shared" si="25"/>
        <v>0.1532037170489563</v>
      </c>
      <c r="X219" s="195" t="str">
        <f t="shared" si="26"/>
        <v/>
      </c>
      <c r="Y219" s="255" t="str">
        <f>IF(ISNUMBER(SEARCH("C", 'Dry_Litterbag Placem_Collection'!T146)),"YES","NO")</f>
        <v>YES</v>
      </c>
      <c r="Z219" s="255" t="str">
        <f>IF(ISNUMBER(SEARCH("H", 'Dry_Litterbag Placem_Collection'!T146)),"YES","NO")</f>
        <v>YES</v>
      </c>
      <c r="AA219" s="255" t="str">
        <f>IF(ISNUMBER(SEARCH("R", 'Dry_Litterbag Placem_Collection'!T146)),"YES","NO")</f>
        <v>NO</v>
      </c>
      <c r="AB219" s="255" t="str">
        <f>IF(ISNUMBER(SEARCH("C", 'Dry_Litterbag Placem_Collection'!S146)),"YES","NO")</f>
        <v>NO</v>
      </c>
      <c r="AC219" s="255" t="str">
        <f>IF(ISNUMBER(SEARCH("H", 'Dry_Litterbag Placem_Collection'!S146)),"YES","NO")</f>
        <v>YES</v>
      </c>
      <c r="AD219" s="255" t="str">
        <f>IF(ISNUMBER(SEARCH("R", 'Dry_Litterbag Placem_Collection'!S146)),"YES","NO")</f>
        <v>NO</v>
      </c>
    </row>
    <row r="220" spans="2:30">
      <c r="B220" t="str">
        <f>'Final data_for_R_analysis_Dryse'!A146</f>
        <v>Dry</v>
      </c>
      <c r="C220" s="263">
        <f>'Final data_for_R_analysis_Dryse'!B146</f>
        <v>145</v>
      </c>
      <c r="D220" t="s">
        <v>3849</v>
      </c>
      <c r="E220" t="s">
        <v>22</v>
      </c>
      <c r="F220" s="386">
        <v>1</v>
      </c>
      <c r="G220" s="16">
        <f>'Dry_Litterbag Placem_Collection'!E147</f>
        <v>42939</v>
      </c>
      <c r="H220" t="str">
        <f>'Final data_for_R_analysis_Dryse'!J146</f>
        <v>G131</v>
      </c>
      <c r="I220" t="str">
        <f>'Final data_for_R_analysis_Dryse'!J366</f>
        <v>R728</v>
      </c>
      <c r="J220">
        <f>IFERROR(INDEX('Green_rooibos initial weight'!$C$5:$C$1749,MATCH(H220, 'Green_rooibos initial weight'!$A$5:$A$1749,0)),"")</f>
        <v>1.9670000000000001</v>
      </c>
      <c r="K220">
        <f>IFERROR(INDEX('Green_rooibos initial weight'!$C$5:$C$1749,MATCH(I220, 'Green_rooibos initial weight'!$A$5:$A$1749,0)),"")</f>
        <v>2.2429999999999999</v>
      </c>
      <c r="L220" s="195">
        <f t="shared" si="21"/>
        <v>1.7172000000000001</v>
      </c>
      <c r="M220" s="195">
        <f t="shared" si="22"/>
        <v>1.9931999999999999</v>
      </c>
      <c r="N220" s="16">
        <f>IF('Dry_Litterbag Placem_Collection'!G147="N.A","",'Dry_Litterbag Placem_Collection'!G147)</f>
        <v>43010</v>
      </c>
      <c r="O220" s="195">
        <f>IF(IFERROR(INDEX('Both teabags AfterDry'!$D$1:$D$839,MATCH(H220,'Both teabags AfterDry'!$A$1:$A$839,0)),"")="N.A","",(IFERROR(INDEX('Both teabags AfterDry'!$D$1:$D$839,MATCH(H220,'Both teabags AfterDry'!$A$1:$A$839,0)),"")))</f>
        <v>1.544</v>
      </c>
      <c r="P220" s="195">
        <f>IF(IFERROR(INDEX('Both teabags AfterDry'!$D$1:$D$839,MATCH(I220,'Both teabags AfterDry'!$A$1:$A$839,0)),"")="N.A","",(IFERROR(INDEX('Both teabags AfterDry'!$D$1:$D$839,MATCH(I220,'Both teabags AfterDry'!$A$1:$A$839,0)),"")))</f>
        <v>1.9579</v>
      </c>
      <c r="Q220" s="195">
        <f t="shared" si="23"/>
        <v>1.3934</v>
      </c>
      <c r="R220" s="195">
        <f t="shared" si="23"/>
        <v>1.8072999999999999</v>
      </c>
      <c r="S220" s="195">
        <f t="shared" si="18"/>
        <v>0.18856277661309118</v>
      </c>
      <c r="T220" s="195">
        <f t="shared" si="24"/>
        <v>0.12361835236392679</v>
      </c>
      <c r="U220" s="195">
        <f t="shared" si="19"/>
        <v>0.9067328918322296</v>
      </c>
      <c r="V220">
        <f t="shared" si="20"/>
        <v>71</v>
      </c>
      <c r="W220" s="195">
        <f t="shared" si="25"/>
        <v>0.7760537094856399</v>
      </c>
      <c r="X220" s="195">
        <f t="shared" si="26"/>
        <v>1.9779739497377165E-2</v>
      </c>
      <c r="Y220" s="255" t="str">
        <f>IF(ISNUMBER(SEARCH("C", 'Dry_Litterbag Placem_Collection'!T147)),"YES","NO")</f>
        <v>NO</v>
      </c>
      <c r="Z220" s="255" t="str">
        <f>IF(ISNUMBER(SEARCH("H", 'Dry_Litterbag Placem_Collection'!T147)),"YES","NO")</f>
        <v>NO</v>
      </c>
      <c r="AA220" s="255" t="str">
        <f>IF(ISNUMBER(SEARCH("R", 'Dry_Litterbag Placem_Collection'!T147)),"YES","NO")</f>
        <v>NO</v>
      </c>
      <c r="AB220" s="255" t="str">
        <f>IF(ISNUMBER(SEARCH("C", 'Dry_Litterbag Placem_Collection'!S147)),"YES","NO")</f>
        <v>NO</v>
      </c>
      <c r="AC220" s="255" t="str">
        <f>IF(ISNUMBER(SEARCH("H", 'Dry_Litterbag Placem_Collection'!S147)),"YES","NO")</f>
        <v>NO</v>
      </c>
      <c r="AD220" s="255" t="str">
        <f>IF(ISNUMBER(SEARCH("R", 'Dry_Litterbag Placem_Collection'!S147)),"YES","NO")</f>
        <v>NO</v>
      </c>
    </row>
    <row r="221" spans="2:30">
      <c r="B221" t="str">
        <f>'Final data_for_R_analysis_Dryse'!A147</f>
        <v>Dry</v>
      </c>
      <c r="C221" s="263">
        <f>'Final data_for_R_analysis_Dryse'!B147</f>
        <v>146</v>
      </c>
      <c r="D221" t="s">
        <v>3849</v>
      </c>
      <c r="E221" t="s">
        <v>22</v>
      </c>
      <c r="F221" s="386">
        <v>2</v>
      </c>
      <c r="G221" s="16">
        <f>'Dry_Litterbag Placem_Collection'!E148</f>
        <v>42939</v>
      </c>
      <c r="H221" t="str">
        <f>'Final data_for_R_analysis_Dryse'!J147</f>
        <v>G465</v>
      </c>
      <c r="I221" t="str">
        <f>'Final data_for_R_analysis_Dryse'!J367</f>
        <v>R13</v>
      </c>
      <c r="J221">
        <f>IFERROR(INDEX('Green_rooibos initial weight'!$C$5:$C$1749,MATCH(H221, 'Green_rooibos initial weight'!$A$5:$A$1749,0)),"")</f>
        <v>2.004</v>
      </c>
      <c r="K221">
        <f>IFERROR(INDEX('Green_rooibos initial weight'!$C$5:$C$1749,MATCH(I221, 'Green_rooibos initial weight'!$A$5:$A$1749,0)),"")</f>
        <v>2.2490000000000001</v>
      </c>
      <c r="L221" s="195">
        <f t="shared" si="21"/>
        <v>1.7542</v>
      </c>
      <c r="M221" s="195">
        <f t="shared" si="22"/>
        <v>1.9992000000000001</v>
      </c>
      <c r="N221" s="16">
        <f>IF('Dry_Litterbag Placem_Collection'!G148="N.A","",'Dry_Litterbag Placem_Collection'!G148)</f>
        <v>43010</v>
      </c>
      <c r="O221" s="195">
        <f>IF(IFERROR(INDEX('Both teabags AfterDry'!$D$1:$D$839,MATCH(H221,'Both teabags AfterDry'!$A$1:$A$839,0)),"")="N.A","",(IFERROR(INDEX('Both teabags AfterDry'!$D$1:$D$839,MATCH(H221,'Both teabags AfterDry'!$A$1:$A$839,0)),"")))</f>
        <v>1.6845000000000001</v>
      </c>
      <c r="P221" s="195">
        <f>IF(IFERROR(INDEX('Both teabags AfterDry'!$D$1:$D$839,MATCH(I221,'Both teabags AfterDry'!$A$1:$A$839,0)),"")="N.A","",(IFERROR(INDEX('Both teabags AfterDry'!$D$1:$D$839,MATCH(I221,'Both teabags AfterDry'!$A$1:$A$839,0)),"")))</f>
        <v>0.68400000000000005</v>
      </c>
      <c r="Q221" s="195">
        <f t="shared" si="23"/>
        <v>1.5339</v>
      </c>
      <c r="R221" s="195">
        <f t="shared" si="23"/>
        <v>0.5334000000000001</v>
      </c>
      <c r="S221" s="195">
        <f t="shared" si="18"/>
        <v>0.12558431193706532</v>
      </c>
      <c r="T221" s="195">
        <f t="shared" si="24"/>
        <v>8.233080782572455E-2</v>
      </c>
      <c r="U221" s="195">
        <f t="shared" si="19"/>
        <v>0.26680672268907568</v>
      </c>
      <c r="V221">
        <f t="shared" si="20"/>
        <v>71</v>
      </c>
      <c r="W221" s="195">
        <f t="shared" si="25"/>
        <v>0.85084998582296278</v>
      </c>
      <c r="X221" s="195" t="str">
        <f t="shared" si="26"/>
        <v/>
      </c>
      <c r="Y221" s="255" t="str">
        <f>IF(ISNUMBER(SEARCH("C", 'Dry_Litterbag Placem_Collection'!T148)),"YES","NO")</f>
        <v>NO</v>
      </c>
      <c r="Z221" s="255" t="str">
        <f>IF(ISNUMBER(SEARCH("H", 'Dry_Litterbag Placem_Collection'!T148)),"YES","NO")</f>
        <v>YES</v>
      </c>
      <c r="AA221" s="255" t="str">
        <f>IF(ISNUMBER(SEARCH("R", 'Dry_Litterbag Placem_Collection'!T148)),"YES","NO")</f>
        <v>NO</v>
      </c>
      <c r="AB221" s="255" t="str">
        <f>IF(ISNUMBER(SEARCH("C", 'Dry_Litterbag Placem_Collection'!S148)),"YES","NO")</f>
        <v>NO</v>
      </c>
      <c r="AC221" s="255" t="str">
        <f>IF(ISNUMBER(SEARCH("H", 'Dry_Litterbag Placem_Collection'!S148)),"YES","NO")</f>
        <v>NO</v>
      </c>
      <c r="AD221" s="255" t="str">
        <f>IF(ISNUMBER(SEARCH("R", 'Dry_Litterbag Placem_Collection'!S148)),"YES","NO")</f>
        <v>NO</v>
      </c>
    </row>
    <row r="222" spans="2:30">
      <c r="B222" t="str">
        <f>'Final data_for_R_analysis_Dryse'!A148</f>
        <v>Dry</v>
      </c>
      <c r="C222" s="263">
        <f>'Final data_for_R_analysis_Dryse'!B148</f>
        <v>147</v>
      </c>
      <c r="D222" t="s">
        <v>3849</v>
      </c>
      <c r="E222" t="s">
        <v>22</v>
      </c>
      <c r="F222" s="386">
        <v>3</v>
      </c>
      <c r="G222" s="16">
        <f>'Dry_Litterbag Placem_Collection'!E149</f>
        <v>42939</v>
      </c>
      <c r="H222" t="str">
        <f>'Final data_for_R_analysis_Dryse'!J148</f>
        <v>G15</v>
      </c>
      <c r="I222" t="str">
        <f>'Final data_for_R_analysis_Dryse'!J368</f>
        <v>R832</v>
      </c>
      <c r="J222">
        <f>IFERROR(INDEX('Green_rooibos initial weight'!$C$5:$C$1749,MATCH(H222, 'Green_rooibos initial weight'!$A$5:$A$1749,0)),"")</f>
        <v>2.0510000000000002</v>
      </c>
      <c r="K222">
        <f>IFERROR(INDEX('Green_rooibos initial weight'!$C$5:$C$1749,MATCH(I222, 'Green_rooibos initial weight'!$A$5:$A$1749,0)),"")</f>
        <v>2.2149999999999999</v>
      </c>
      <c r="L222" s="195">
        <f t="shared" si="21"/>
        <v>1.8012000000000001</v>
      </c>
      <c r="M222" s="195">
        <f t="shared" si="22"/>
        <v>1.9651999999999998</v>
      </c>
      <c r="N222" s="16">
        <f>IF('Dry_Litterbag Placem_Collection'!G149="N.A","",'Dry_Litterbag Placem_Collection'!G149)</f>
        <v>43010</v>
      </c>
      <c r="O222" s="195">
        <f>IF(IFERROR(INDEX('Both teabags AfterDry'!$D$1:$D$839,MATCH(H222,'Both teabags AfterDry'!$A$1:$A$839,0)),"")="N.A","",(IFERROR(INDEX('Both teabags AfterDry'!$D$1:$D$839,MATCH(H222,'Both teabags AfterDry'!$A$1:$A$839,0)),"")))</f>
        <v>1.6711</v>
      </c>
      <c r="P222" s="195">
        <f>IF(IFERROR(INDEX('Both teabags AfterDry'!$D$1:$D$839,MATCH(I222,'Both teabags AfterDry'!$A$1:$A$839,0)),"")="N.A","",(IFERROR(INDEX('Both teabags AfterDry'!$D$1:$D$839,MATCH(I222,'Both teabags AfterDry'!$A$1:$A$839,0)),"")))</f>
        <v>1.7279</v>
      </c>
      <c r="Q222" s="195">
        <f t="shared" si="23"/>
        <v>1.5205</v>
      </c>
      <c r="R222" s="195">
        <f t="shared" si="23"/>
        <v>1.5772999999999999</v>
      </c>
      <c r="S222" s="195">
        <f t="shared" si="18"/>
        <v>0.15584055074394854</v>
      </c>
      <c r="T222" s="195">
        <f t="shared" si="24"/>
        <v>0.10216625179413252</v>
      </c>
      <c r="U222" s="195">
        <f t="shared" si="19"/>
        <v>0.80261550987176877</v>
      </c>
      <c r="V222">
        <f t="shared" si="20"/>
        <v>71</v>
      </c>
      <c r="W222" s="195">
        <f t="shared" si="25"/>
        <v>0.81491621051787588</v>
      </c>
      <c r="X222" s="195" t="str">
        <f t="shared" si="26"/>
        <v/>
      </c>
      <c r="Y222" s="255" t="str">
        <f>IF(ISNUMBER(SEARCH("C", 'Dry_Litterbag Placem_Collection'!T149)),"YES","NO")</f>
        <v>NO</v>
      </c>
      <c r="Z222" s="255" t="str">
        <f>IF(ISNUMBER(SEARCH("H", 'Dry_Litterbag Placem_Collection'!T149)),"YES","NO")</f>
        <v>YES</v>
      </c>
      <c r="AA222" s="255" t="str">
        <f>IF(ISNUMBER(SEARCH("R", 'Dry_Litterbag Placem_Collection'!T149)),"YES","NO")</f>
        <v>NO</v>
      </c>
      <c r="AB222" s="255" t="str">
        <f>IF(ISNUMBER(SEARCH("C", 'Dry_Litterbag Placem_Collection'!S149)),"YES","NO")</f>
        <v>NO</v>
      </c>
      <c r="AC222" s="255" t="str">
        <f>IF(ISNUMBER(SEARCH("H", 'Dry_Litterbag Placem_Collection'!S149)),"YES","NO")</f>
        <v>NO</v>
      </c>
      <c r="AD222" s="255" t="str">
        <f>IF(ISNUMBER(SEARCH("R", 'Dry_Litterbag Placem_Collection'!S149)),"YES","NO")</f>
        <v>NO</v>
      </c>
    </row>
    <row r="223" spans="2:30">
      <c r="B223" t="str">
        <f>'Final data_for_R_analysis_Dryse'!A149</f>
        <v>Dry</v>
      </c>
      <c r="C223" s="263">
        <f>'Final data_for_R_analysis_Dryse'!B149</f>
        <v>148</v>
      </c>
      <c r="D223" t="s">
        <v>3849</v>
      </c>
      <c r="E223" t="s">
        <v>22</v>
      </c>
      <c r="F223" s="387">
        <v>4</v>
      </c>
      <c r="G223" s="16">
        <f>'Dry_Litterbag Placem_Collection'!E150</f>
        <v>42939</v>
      </c>
      <c r="H223" t="str">
        <f>'Final data_for_R_analysis_Dryse'!J149</f>
        <v>G290</v>
      </c>
      <c r="I223" t="str">
        <f>'Final data_for_R_analysis_Dryse'!J369</f>
        <v>R823</v>
      </c>
      <c r="J223">
        <f>IFERROR(INDEX('Green_rooibos initial weight'!$C$5:$C$1749,MATCH(H223, 'Green_rooibos initial weight'!$A$5:$A$1749,0)),"")</f>
        <v>2.0539999999999998</v>
      </c>
      <c r="K223">
        <f>IFERROR(INDEX('Green_rooibos initial weight'!$C$5:$C$1749,MATCH(I223, 'Green_rooibos initial weight'!$A$5:$A$1749,0)),"")</f>
        <v>2.214</v>
      </c>
      <c r="L223" s="195">
        <f t="shared" si="21"/>
        <v>1.8041999999999998</v>
      </c>
      <c r="M223" s="195">
        <f t="shared" si="22"/>
        <v>1.9641999999999999</v>
      </c>
      <c r="N223" s="16">
        <f>IF('Dry_Litterbag Placem_Collection'!G150="N.A","",'Dry_Litterbag Placem_Collection'!G150)</f>
        <v>43010</v>
      </c>
      <c r="O223" s="195">
        <f>IF(IFERROR(INDEX('Both teabags AfterDry'!$D$1:$D$839,MATCH(H223,'Both teabags AfterDry'!$A$1:$A$839,0)),"")="N.A","",(IFERROR(INDEX('Both teabags AfterDry'!$D$1:$D$839,MATCH(H223,'Both teabags AfterDry'!$A$1:$A$839,0)),"")))</f>
        <v>1.6564000000000001</v>
      </c>
      <c r="P223" s="195">
        <f>IF(IFERROR(INDEX('Both teabags AfterDry'!$D$1:$D$839,MATCH(I223,'Both teabags AfterDry'!$A$1:$A$839,0)),"")="N.A","",(IFERROR(INDEX('Both teabags AfterDry'!$D$1:$D$839,MATCH(I223,'Both teabags AfterDry'!$A$1:$A$839,0)),"")))</f>
        <v>0</v>
      </c>
      <c r="Q223" s="195">
        <f t="shared" si="23"/>
        <v>1.5058</v>
      </c>
      <c r="R223" s="195" t="str">
        <f t="shared" si="23"/>
        <v/>
      </c>
      <c r="S223" s="195">
        <f t="shared" si="18"/>
        <v>0.16539186342977485</v>
      </c>
      <c r="T223" s="195">
        <f t="shared" si="24"/>
        <v>0.10842791996821349</v>
      </c>
      <c r="U223" s="195" t="str">
        <f t="shared" si="19"/>
        <v/>
      </c>
      <c r="V223">
        <f t="shared" si="20"/>
        <v>71</v>
      </c>
      <c r="W223" s="195">
        <f t="shared" si="25"/>
        <v>0.80357260875323644</v>
      </c>
      <c r="X223" s="195" t="str">
        <f t="shared" si="26"/>
        <v/>
      </c>
      <c r="Y223" s="255" t="str">
        <f>IF(ISNUMBER(SEARCH("C", 'Dry_Litterbag Placem_Collection'!T150)),"YES","NO")</f>
        <v>YES</v>
      </c>
      <c r="Z223" s="255" t="str">
        <f>IF(ISNUMBER(SEARCH("H", 'Dry_Litterbag Placem_Collection'!T150)),"YES","NO")</f>
        <v>YES</v>
      </c>
      <c r="AA223" s="255" t="str">
        <f>IF(ISNUMBER(SEARCH("R", 'Dry_Litterbag Placem_Collection'!T150)),"YES","NO")</f>
        <v>NO</v>
      </c>
      <c r="AB223" s="255" t="str">
        <f>IF(ISNUMBER(SEARCH("C", 'Dry_Litterbag Placem_Collection'!S150)),"YES","NO")</f>
        <v>NO</v>
      </c>
      <c r="AC223" s="255" t="str">
        <f>IF(ISNUMBER(SEARCH("H", 'Dry_Litterbag Placem_Collection'!S150)),"YES","NO")</f>
        <v>NO</v>
      </c>
      <c r="AD223" s="255" t="str">
        <f>IF(ISNUMBER(SEARCH("R", 'Dry_Litterbag Placem_Collection'!S150)),"YES","NO")</f>
        <v>NO</v>
      </c>
    </row>
    <row r="224" spans="2:30">
      <c r="B224" t="str">
        <f>'Final data_for_R_analysis_Dryse'!A150</f>
        <v>Dry</v>
      </c>
      <c r="C224" s="263">
        <f>'Final data_for_R_analysis_Dryse'!B150</f>
        <v>149</v>
      </c>
      <c r="D224" t="s">
        <v>3849</v>
      </c>
      <c r="E224" t="s">
        <v>22</v>
      </c>
      <c r="F224" s="387">
        <v>5</v>
      </c>
      <c r="G224" s="16">
        <f>'Dry_Litterbag Placem_Collection'!E151</f>
        <v>42939</v>
      </c>
      <c r="H224" t="str">
        <f>'Final data_for_R_analysis_Dryse'!J150</f>
        <v>G194</v>
      </c>
      <c r="I224" t="str">
        <f>'Final data_for_R_analysis_Dryse'!J370</f>
        <v>R703</v>
      </c>
      <c r="J224">
        <f>IFERROR(INDEX('Green_rooibos initial weight'!$C$5:$C$1749,MATCH(H224, 'Green_rooibos initial weight'!$A$5:$A$1749,0)),"")</f>
        <v>2.032</v>
      </c>
      <c r="K224">
        <f>IFERROR(INDEX('Green_rooibos initial weight'!$C$5:$C$1749,MATCH(I224, 'Green_rooibos initial weight'!$A$5:$A$1749,0)),"")</f>
        <v>2.1379999999999999</v>
      </c>
      <c r="L224" s="195">
        <f t="shared" si="21"/>
        <v>1.7822</v>
      </c>
      <c r="M224" s="195">
        <f t="shared" si="22"/>
        <v>1.8881999999999999</v>
      </c>
      <c r="N224" s="16">
        <f>IF('Dry_Litterbag Placem_Collection'!G151="N.A","",'Dry_Litterbag Placem_Collection'!G151)</f>
        <v>43010</v>
      </c>
      <c r="O224" s="195">
        <f>IF(IFERROR(INDEX('Both teabags AfterDry'!$D$1:$D$839,MATCH(H224,'Both teabags AfterDry'!$A$1:$A$839,0)),"")="N.A","",(IFERROR(INDEX('Both teabags AfterDry'!$D$1:$D$839,MATCH(H224,'Both teabags AfterDry'!$A$1:$A$839,0)),"")))</f>
        <v>1.56</v>
      </c>
      <c r="P224" s="195">
        <f>IF(IFERROR(INDEX('Both teabags AfterDry'!$D$1:$D$839,MATCH(I224,'Both teabags AfterDry'!$A$1:$A$839,0)),"")="N.A","",(IFERROR(INDEX('Both teabags AfterDry'!$D$1:$D$839,MATCH(I224,'Both teabags AfterDry'!$A$1:$A$839,0)),"")))</f>
        <v>1.9032</v>
      </c>
      <c r="Q224" s="195">
        <f t="shared" si="23"/>
        <v>1.4094</v>
      </c>
      <c r="R224" s="195">
        <f t="shared" si="23"/>
        <v>1.7525999999999999</v>
      </c>
      <c r="S224" s="195">
        <f t="shared" si="18"/>
        <v>0.20917966558186507</v>
      </c>
      <c r="T224" s="195">
        <f t="shared" si="24"/>
        <v>0.13713441259048639</v>
      </c>
      <c r="U224" s="195">
        <f t="shared" si="19"/>
        <v>0.92818557356212272</v>
      </c>
      <c r="V224">
        <f t="shared" si="20"/>
        <v>71</v>
      </c>
      <c r="W224" s="195">
        <f t="shared" si="25"/>
        <v>0.75156809313317685</v>
      </c>
      <c r="X224" s="195">
        <f t="shared" si="26"/>
        <v>1.0445964824515555E-2</v>
      </c>
      <c r="Y224" s="255" t="str">
        <f>IF(ISNUMBER(SEARCH("C", 'Dry_Litterbag Placem_Collection'!T151)),"YES","NO")</f>
        <v>NO</v>
      </c>
      <c r="Z224" s="255" t="str">
        <f>IF(ISNUMBER(SEARCH("H", 'Dry_Litterbag Placem_Collection'!T151)),"YES","NO")</f>
        <v>NO</v>
      </c>
      <c r="AA224" s="255" t="str">
        <f>IF(ISNUMBER(SEARCH("R", 'Dry_Litterbag Placem_Collection'!T151)),"YES","NO")</f>
        <v>NO</v>
      </c>
      <c r="AB224" s="255" t="str">
        <f>IF(ISNUMBER(SEARCH("C", 'Dry_Litterbag Placem_Collection'!S151)),"YES","NO")</f>
        <v>NO</v>
      </c>
      <c r="AC224" s="255" t="str">
        <f>IF(ISNUMBER(SEARCH("H", 'Dry_Litterbag Placem_Collection'!S151)),"YES","NO")</f>
        <v>NO</v>
      </c>
      <c r="AD224" s="255" t="str">
        <f>IF(ISNUMBER(SEARCH("R", 'Dry_Litterbag Placem_Collection'!S151)),"YES","NO")</f>
        <v>NO</v>
      </c>
    </row>
    <row r="225" spans="2:30">
      <c r="B225" t="str">
        <f>'Final data_for_R_analysis_Dryse'!A151</f>
        <v>Dry</v>
      </c>
      <c r="C225" s="263">
        <f>'Final data_for_R_analysis_Dryse'!B151</f>
        <v>150</v>
      </c>
      <c r="D225" t="s">
        <v>3849</v>
      </c>
      <c r="E225" t="s">
        <v>22</v>
      </c>
      <c r="F225" s="387">
        <v>6</v>
      </c>
      <c r="G225" s="16">
        <f>'Dry_Litterbag Placem_Collection'!E152</f>
        <v>42939</v>
      </c>
      <c r="H225" t="str">
        <f>'Final data_for_R_analysis_Dryse'!J151</f>
        <v>G272</v>
      </c>
      <c r="I225" t="str">
        <f>'Final data_for_R_analysis_Dryse'!J371</f>
        <v>R668</v>
      </c>
      <c r="J225">
        <f>IFERROR(INDEX('Green_rooibos initial weight'!$C$5:$C$1749,MATCH(H225, 'Green_rooibos initial weight'!$A$5:$A$1749,0)),"")</f>
        <v>2.0649999999999999</v>
      </c>
      <c r="K225">
        <f>IFERROR(INDEX('Green_rooibos initial weight'!$C$5:$C$1749,MATCH(I225, 'Green_rooibos initial weight'!$A$5:$A$1749,0)),"")</f>
        <v>2.1419999999999999</v>
      </c>
      <c r="L225" s="195">
        <f t="shared" si="21"/>
        <v>1.8151999999999999</v>
      </c>
      <c r="M225" s="195">
        <f t="shared" si="22"/>
        <v>1.8921999999999999</v>
      </c>
      <c r="N225" s="16">
        <f>IF('Dry_Litterbag Placem_Collection'!G152="N.A","",'Dry_Litterbag Placem_Collection'!G152)</f>
        <v>43010</v>
      </c>
      <c r="O225" s="195" t="str">
        <f>IF(IFERROR(INDEX('Both teabags AfterDry'!$D$1:$D$839,MATCH(H225,'Both teabags AfterDry'!$A$1:$A$839,0)),"")="N.A","",(IFERROR(INDEX('Both teabags AfterDry'!$D$1:$D$839,MATCH(H225,'Both teabags AfterDry'!$A$1:$A$839,0)),"")))</f>
        <v/>
      </c>
      <c r="P225" s="195" t="str">
        <f>IF(IFERROR(INDEX('Both teabags AfterDry'!$D$1:$D$839,MATCH(I225,'Both teabags AfterDry'!$A$1:$A$839,0)),"")="N.A","",(IFERROR(INDEX('Both teabags AfterDry'!$D$1:$D$839,MATCH(I225,'Both teabags AfterDry'!$A$1:$A$839,0)),"")))</f>
        <v/>
      </c>
      <c r="Q225" s="195" t="str">
        <f t="shared" si="23"/>
        <v/>
      </c>
      <c r="R225" s="195" t="str">
        <f t="shared" si="23"/>
        <v/>
      </c>
      <c r="S225" s="195" t="str">
        <f t="shared" si="18"/>
        <v/>
      </c>
      <c r="T225" s="195" t="str">
        <f t="shared" si="24"/>
        <v/>
      </c>
      <c r="U225" s="195" t="str">
        <f t="shared" si="19"/>
        <v/>
      </c>
      <c r="V225">
        <f t="shared" si="20"/>
        <v>71</v>
      </c>
      <c r="W225" s="195" t="str">
        <f t="shared" si="25"/>
        <v/>
      </c>
      <c r="X225" s="195" t="str">
        <f t="shared" si="26"/>
        <v/>
      </c>
      <c r="Y225" s="255" t="str">
        <f>IF(ISNUMBER(SEARCH("C", 'Dry_Litterbag Placem_Collection'!T152)),"YES","NO")</f>
        <v>NO</v>
      </c>
      <c r="Z225" s="255" t="str">
        <f>IF(ISNUMBER(SEARCH("H", 'Dry_Litterbag Placem_Collection'!T152)),"YES","NO")</f>
        <v>YES</v>
      </c>
      <c r="AA225" s="255" t="str">
        <f>IF(ISNUMBER(SEARCH("R", 'Dry_Litterbag Placem_Collection'!T152)),"YES","NO")</f>
        <v>NO</v>
      </c>
      <c r="AB225" s="255" t="str">
        <f>IF(ISNUMBER(SEARCH("C", 'Dry_Litterbag Placem_Collection'!S152)),"YES","NO")</f>
        <v>NO</v>
      </c>
      <c r="AC225" s="255" t="str">
        <f>IF(ISNUMBER(SEARCH("H", 'Dry_Litterbag Placem_Collection'!S152)),"YES","NO")</f>
        <v>YES</v>
      </c>
      <c r="AD225" s="255" t="str">
        <f>IF(ISNUMBER(SEARCH("R", 'Dry_Litterbag Placem_Collection'!S152)),"YES","NO")</f>
        <v>NO</v>
      </c>
    </row>
    <row r="226" spans="2:30">
      <c r="B226" t="str">
        <f>'Final data_for_R_analysis_Dryse'!A152</f>
        <v>Dry</v>
      </c>
      <c r="C226" s="263">
        <f>'Final data_for_R_analysis_Dryse'!B152</f>
        <v>151</v>
      </c>
      <c r="D226" t="s">
        <v>3849</v>
      </c>
      <c r="E226" t="s">
        <v>22</v>
      </c>
      <c r="F226" s="387">
        <v>7</v>
      </c>
      <c r="G226" s="16">
        <f>'Dry_Litterbag Placem_Collection'!E153</f>
        <v>0</v>
      </c>
      <c r="H226" t="str">
        <f>'Final data_for_R_analysis_Dryse'!J152</f>
        <v/>
      </c>
      <c r="I226" t="str">
        <f>'Final data_for_R_analysis_Dryse'!J372</f>
        <v/>
      </c>
      <c r="J226" t="str">
        <f>IFERROR(INDEX('Green_rooibos initial weight'!$C$5:$C$1749,MATCH(H226, 'Green_rooibos initial weight'!$A$5:$A$1749,0)),"")</f>
        <v/>
      </c>
      <c r="K226" t="str">
        <f>IFERROR(INDEX('Green_rooibos initial weight'!$C$5:$C$1749,MATCH(I226, 'Green_rooibos initial weight'!$A$5:$A$1749,0)),"")</f>
        <v/>
      </c>
      <c r="L226" s="195" t="str">
        <f t="shared" si="21"/>
        <v/>
      </c>
      <c r="M226" s="195" t="str">
        <f t="shared" si="22"/>
        <v/>
      </c>
      <c r="N226" s="16">
        <f>IF('Dry_Litterbag Placem_Collection'!G153="N.A","",'Dry_Litterbag Placem_Collection'!G153)</f>
        <v>0</v>
      </c>
      <c r="O226" s="195" t="str">
        <f>IF(IFERROR(INDEX('Both teabags AfterDry'!$D$1:$D$839,MATCH(H226,'Both teabags AfterDry'!$A$1:$A$839,0)),"")="N.A","",(IFERROR(INDEX('Both teabags AfterDry'!$D$1:$D$839,MATCH(H226,'Both teabags AfterDry'!$A$1:$A$839,0)),"")))</f>
        <v/>
      </c>
      <c r="P226" s="195" t="str">
        <f>IF(IFERROR(INDEX('Both teabags AfterDry'!$D$1:$D$839,MATCH(I226,'Both teabags AfterDry'!$A$1:$A$839,0)),"")="N.A","",(IFERROR(INDEX('Both teabags AfterDry'!$D$1:$D$839,MATCH(I226,'Both teabags AfterDry'!$A$1:$A$839,0)),"")))</f>
        <v/>
      </c>
      <c r="Q226" s="195" t="str">
        <f t="shared" si="23"/>
        <v/>
      </c>
      <c r="R226" s="195" t="str">
        <f t="shared" si="23"/>
        <v/>
      </c>
      <c r="S226" s="195" t="str">
        <f t="shared" si="18"/>
        <v/>
      </c>
      <c r="T226" s="195" t="str">
        <f t="shared" si="24"/>
        <v/>
      </c>
      <c r="U226" s="195" t="str">
        <f t="shared" si="19"/>
        <v/>
      </c>
      <c r="V226" t="str">
        <f t="shared" si="20"/>
        <v/>
      </c>
      <c r="W226" s="195" t="str">
        <f t="shared" si="25"/>
        <v/>
      </c>
      <c r="X226" s="195" t="str">
        <f t="shared" si="26"/>
        <v/>
      </c>
      <c r="Y226" s="255" t="str">
        <f>IF(ISNUMBER(SEARCH("C", 'Dry_Litterbag Placem_Collection'!T153)),"YES","NO")</f>
        <v>NO</v>
      </c>
      <c r="Z226" s="255" t="str">
        <f>IF(ISNUMBER(SEARCH("H", 'Dry_Litterbag Placem_Collection'!T153)),"YES","NO")</f>
        <v>NO</v>
      </c>
      <c r="AA226" s="255" t="str">
        <f>IF(ISNUMBER(SEARCH("R", 'Dry_Litterbag Placem_Collection'!T153)),"YES","NO")</f>
        <v>NO</v>
      </c>
      <c r="AB226" s="255" t="str">
        <f>IF(ISNUMBER(SEARCH("C", 'Dry_Litterbag Placem_Collection'!S153)),"YES","NO")</f>
        <v>NO</v>
      </c>
      <c r="AC226" s="255" t="str">
        <f>IF(ISNUMBER(SEARCH("H", 'Dry_Litterbag Placem_Collection'!S153)),"YES","NO")</f>
        <v>NO</v>
      </c>
      <c r="AD226" s="255" t="str">
        <f>IF(ISNUMBER(SEARCH("R", 'Dry_Litterbag Placem_Collection'!S153)),"YES","NO")</f>
        <v>NO</v>
      </c>
    </row>
    <row r="227" spans="2:30">
      <c r="B227" t="str">
        <f>'Final data_for_R_analysis_Dryse'!A153</f>
        <v>Dry</v>
      </c>
      <c r="C227" s="263">
        <f>'Final data_for_R_analysis_Dryse'!B153</f>
        <v>152</v>
      </c>
      <c r="D227" t="s">
        <v>3849</v>
      </c>
      <c r="E227" t="s">
        <v>22</v>
      </c>
      <c r="F227" s="387">
        <v>8</v>
      </c>
      <c r="G227" s="16">
        <f>'Dry_Litterbag Placem_Collection'!E154</f>
        <v>42939</v>
      </c>
      <c r="H227" t="str">
        <f>'Final data_for_R_analysis_Dryse'!J153</f>
        <v>G198</v>
      </c>
      <c r="I227" t="str">
        <f>'Final data_for_R_analysis_Dryse'!J373</f>
        <v>R788</v>
      </c>
      <c r="J227">
        <f>IFERROR(INDEX('Green_rooibos initial weight'!$C$5:$C$1749,MATCH(H227, 'Green_rooibos initial weight'!$A$5:$A$1749,0)),"")</f>
        <v>1.931</v>
      </c>
      <c r="K227">
        <f>IFERROR(INDEX('Green_rooibos initial weight'!$C$5:$C$1749,MATCH(I227, 'Green_rooibos initial weight'!$A$5:$A$1749,0)),"")</f>
        <v>2.1869999999999998</v>
      </c>
      <c r="L227" s="195">
        <f t="shared" si="21"/>
        <v>1.6812</v>
      </c>
      <c r="M227" s="195">
        <f t="shared" si="22"/>
        <v>1.9371999999999998</v>
      </c>
      <c r="N227" s="16">
        <f>IF('Dry_Litterbag Placem_Collection'!G154="N.A","",'Dry_Litterbag Placem_Collection'!G154)</f>
        <v>43010</v>
      </c>
      <c r="O227" s="195">
        <f>IF(IFERROR(INDEX('Both teabags AfterDry'!$D$1:$D$839,MATCH(H227,'Both teabags AfterDry'!$A$1:$A$839,0)),"")="N.A","",(IFERROR(INDEX('Both teabags AfterDry'!$D$1:$D$839,MATCH(H227,'Both teabags AfterDry'!$A$1:$A$839,0)),"")))</f>
        <v>1.3654999999999999</v>
      </c>
      <c r="P227" s="195">
        <f>IF(IFERROR(INDEX('Both teabags AfterDry'!$D$1:$D$839,MATCH(I227,'Both teabags AfterDry'!$A$1:$A$839,0)),"")="N.A","",(IFERROR(INDEX('Both teabags AfterDry'!$D$1:$D$839,MATCH(I227,'Both teabags AfterDry'!$A$1:$A$839,0)),"")))</f>
        <v>0.43190000000000001</v>
      </c>
      <c r="Q227" s="195">
        <f t="shared" si="23"/>
        <v>1.2148999999999999</v>
      </c>
      <c r="R227" s="195">
        <f t="shared" si="23"/>
        <v>0.28129999999999999</v>
      </c>
      <c r="S227" s="195">
        <f t="shared" si="18"/>
        <v>0.27736140851772551</v>
      </c>
      <c r="T227" s="195">
        <f t="shared" si="24"/>
        <v>0.18183313242492222</v>
      </c>
      <c r="U227" s="195">
        <f t="shared" si="19"/>
        <v>0.14520958083832336</v>
      </c>
      <c r="V227">
        <f t="shared" si="20"/>
        <v>71</v>
      </c>
      <c r="W227" s="195">
        <f t="shared" si="25"/>
        <v>0.67059215140412642</v>
      </c>
      <c r="X227" s="195" t="str">
        <f t="shared" si="26"/>
        <v/>
      </c>
      <c r="Y227" s="255" t="str">
        <f>IF(ISNUMBER(SEARCH("C", 'Dry_Litterbag Placem_Collection'!T154)),"YES","NO")</f>
        <v>NO</v>
      </c>
      <c r="Z227" s="255" t="str">
        <f>IF(ISNUMBER(SEARCH("H", 'Dry_Litterbag Placem_Collection'!T154)),"YES","NO")</f>
        <v>YES</v>
      </c>
      <c r="AA227" s="255" t="str">
        <f>IF(ISNUMBER(SEARCH("R", 'Dry_Litterbag Placem_Collection'!T154)),"YES","NO")</f>
        <v>NO</v>
      </c>
      <c r="AB227" s="255" t="str">
        <f>IF(ISNUMBER(SEARCH("C", 'Dry_Litterbag Placem_Collection'!S154)),"YES","NO")</f>
        <v>YES</v>
      </c>
      <c r="AC227" s="255" t="str">
        <f>IF(ISNUMBER(SEARCH("H", 'Dry_Litterbag Placem_Collection'!S154)),"YES","NO")</f>
        <v>YES</v>
      </c>
      <c r="AD227" s="255" t="str">
        <f>IF(ISNUMBER(SEARCH("R", 'Dry_Litterbag Placem_Collection'!S154)),"YES","NO")</f>
        <v>NO</v>
      </c>
    </row>
    <row r="228" spans="2:30">
      <c r="B228" t="str">
        <f>'Final data_for_R_analysis_Dryse'!A154</f>
        <v>Dry</v>
      </c>
      <c r="C228" s="263">
        <f>'Final data_for_R_analysis_Dryse'!B154</f>
        <v>153</v>
      </c>
      <c r="D228" t="s">
        <v>3850</v>
      </c>
      <c r="E228" t="s">
        <v>22</v>
      </c>
      <c r="F228" s="386">
        <v>1</v>
      </c>
      <c r="G228" s="16">
        <f>'Dry_Litterbag Placem_Collection'!E155</f>
        <v>42939</v>
      </c>
      <c r="H228" t="str">
        <f>'Final data_for_R_analysis_Dryse'!J154</f>
        <v>G197</v>
      </c>
      <c r="I228" t="str">
        <f>'Final data_for_R_analysis_Dryse'!J374</f>
        <v>R735</v>
      </c>
      <c r="J228">
        <f>IFERROR(INDEX('Green_rooibos initial weight'!$C$5:$C$1749,MATCH(H228, 'Green_rooibos initial weight'!$A$5:$A$1749,0)),"")</f>
        <v>2.1120000000000001</v>
      </c>
      <c r="K228">
        <f>IFERROR(INDEX('Green_rooibos initial weight'!$C$5:$C$1749,MATCH(I228, 'Green_rooibos initial weight'!$A$5:$A$1749,0)),"")</f>
        <v>2.12</v>
      </c>
      <c r="L228" s="195">
        <f t="shared" si="21"/>
        <v>1.8622000000000001</v>
      </c>
      <c r="M228" s="195">
        <f t="shared" si="22"/>
        <v>1.8702000000000001</v>
      </c>
      <c r="N228" s="16">
        <f>IF('Dry_Litterbag Placem_Collection'!G155="N.A","",'Dry_Litterbag Placem_Collection'!G155)</f>
        <v>43010</v>
      </c>
      <c r="O228" s="195">
        <f>IF(IFERROR(INDEX('Both teabags AfterDry'!$D$1:$D$839,MATCH(H228,'Both teabags AfterDry'!$A$1:$A$839,0)),"")="N.A","",(IFERROR(INDEX('Both teabags AfterDry'!$D$1:$D$839,MATCH(H228,'Both teabags AfterDry'!$A$1:$A$839,0)),"")))</f>
        <v>1.2847</v>
      </c>
      <c r="P228" s="195">
        <f>IF(IFERROR(INDEX('Both teabags AfterDry'!$D$1:$D$839,MATCH(I228,'Both teabags AfterDry'!$A$1:$A$839,0)),"")="N.A","",(IFERROR(INDEX('Both teabags AfterDry'!$D$1:$D$839,MATCH(I228,'Both teabags AfterDry'!$A$1:$A$839,0)),"")))</f>
        <v>1.0566</v>
      </c>
      <c r="Q228" s="195">
        <f t="shared" si="23"/>
        <v>1.1340999999999999</v>
      </c>
      <c r="R228" s="195">
        <f t="shared" si="23"/>
        <v>0.90599999999999992</v>
      </c>
      <c r="S228" s="195">
        <f t="shared" si="18"/>
        <v>0.39098915261518641</v>
      </c>
      <c r="T228" s="195">
        <f t="shared" si="24"/>
        <v>0.25632543021803195</v>
      </c>
      <c r="U228" s="195">
        <f t="shared" si="19"/>
        <v>0.48444016682707725</v>
      </c>
      <c r="V228">
        <f t="shared" si="20"/>
        <v>71</v>
      </c>
      <c r="W228" s="195">
        <f t="shared" si="25"/>
        <v>0.53564233656153637</v>
      </c>
      <c r="X228" s="195" t="str">
        <f t="shared" si="26"/>
        <v/>
      </c>
      <c r="Y228" s="255" t="str">
        <f>IF(ISNUMBER(SEARCH("C", 'Dry_Litterbag Placem_Collection'!T155)),"YES","NO")</f>
        <v>YES</v>
      </c>
      <c r="Z228" s="255" t="str">
        <f>IF(ISNUMBER(SEARCH("H", 'Dry_Litterbag Placem_Collection'!T155)),"YES","NO")</f>
        <v>YES</v>
      </c>
      <c r="AA228" s="255" t="str">
        <f>IF(ISNUMBER(SEARCH("R", 'Dry_Litterbag Placem_Collection'!T155)),"YES","NO")</f>
        <v>NO</v>
      </c>
      <c r="AB228" s="255" t="str">
        <f>IF(ISNUMBER(SEARCH("C", 'Dry_Litterbag Placem_Collection'!S155)),"YES","NO")</f>
        <v>YES</v>
      </c>
      <c r="AC228" s="255" t="str">
        <f>IF(ISNUMBER(SEARCH("H", 'Dry_Litterbag Placem_Collection'!S155)),"YES","NO")</f>
        <v>YES</v>
      </c>
      <c r="AD228" s="255" t="str">
        <f>IF(ISNUMBER(SEARCH("R", 'Dry_Litterbag Placem_Collection'!S155)),"YES","NO")</f>
        <v>NO</v>
      </c>
    </row>
    <row r="229" spans="2:30">
      <c r="B229" t="str">
        <f>'Final data_for_R_analysis_Dryse'!A155</f>
        <v>Dry</v>
      </c>
      <c r="C229" s="263">
        <f>'Final data_for_R_analysis_Dryse'!B155</f>
        <v>154</v>
      </c>
      <c r="D229" t="s">
        <v>3850</v>
      </c>
      <c r="E229" t="s">
        <v>22</v>
      </c>
      <c r="F229" s="386">
        <v>2</v>
      </c>
      <c r="G229" s="16">
        <f>'Dry_Litterbag Placem_Collection'!E156</f>
        <v>42939</v>
      </c>
      <c r="H229" t="str">
        <f>'Final data_for_R_analysis_Dryse'!J155</f>
        <v>G127</v>
      </c>
      <c r="I229" t="str">
        <f>'Final data_for_R_analysis_Dryse'!J375</f>
        <v>R836</v>
      </c>
      <c r="J229">
        <f>IFERROR(INDEX('Green_rooibos initial weight'!$C$5:$C$1749,MATCH(H229, 'Green_rooibos initial weight'!$A$5:$A$1749,0)),"")</f>
        <v>1.9490000000000001</v>
      </c>
      <c r="K229">
        <f>IFERROR(INDEX('Green_rooibos initial weight'!$C$5:$C$1749,MATCH(I229, 'Green_rooibos initial weight'!$A$5:$A$1749,0)),"")</f>
        <v>2.2000000000000002</v>
      </c>
      <c r="L229" s="195">
        <f t="shared" si="21"/>
        <v>1.6992</v>
      </c>
      <c r="M229" s="195">
        <f t="shared" si="22"/>
        <v>1.9502000000000002</v>
      </c>
      <c r="N229" s="16">
        <f>IF('Dry_Litterbag Placem_Collection'!G156="N.A","",'Dry_Litterbag Placem_Collection'!G156)</f>
        <v>43010</v>
      </c>
      <c r="O229" s="195">
        <f>IF(IFERROR(INDEX('Both teabags AfterDry'!$D$1:$D$839,MATCH(H229,'Both teabags AfterDry'!$A$1:$A$839,0)),"")="N.A","",(IFERROR(INDEX('Both teabags AfterDry'!$D$1:$D$839,MATCH(H229,'Both teabags AfterDry'!$A$1:$A$839,0)),"")))</f>
        <v>1.1896</v>
      </c>
      <c r="P229" s="195">
        <f>IF(IFERROR(INDEX('Both teabags AfterDry'!$D$1:$D$839,MATCH(I229,'Both teabags AfterDry'!$A$1:$A$839,0)),"")="N.A","",(IFERROR(INDEX('Both teabags AfterDry'!$D$1:$D$839,MATCH(I229,'Both teabags AfterDry'!$A$1:$A$839,0)),"")))</f>
        <v>0.62509999999999999</v>
      </c>
      <c r="Q229" s="195">
        <f t="shared" si="23"/>
        <v>1.0389999999999999</v>
      </c>
      <c r="R229" s="195">
        <f t="shared" si="23"/>
        <v>0.47449999999999998</v>
      </c>
      <c r="S229" s="195">
        <f t="shared" si="18"/>
        <v>0.38853578154425616</v>
      </c>
      <c r="T229" s="195">
        <f t="shared" si="24"/>
        <v>0.25471704443281407</v>
      </c>
      <c r="U229" s="195">
        <f t="shared" si="19"/>
        <v>0.243308378627833</v>
      </c>
      <c r="V229">
        <f t="shared" si="20"/>
        <v>71</v>
      </c>
      <c r="W229" s="195">
        <f t="shared" si="25"/>
        <v>0.5385560789260615</v>
      </c>
      <c r="X229" s="195" t="str">
        <f t="shared" si="26"/>
        <v/>
      </c>
      <c r="Y229" s="255" t="str">
        <f>IF(ISNUMBER(SEARCH("C", 'Dry_Litterbag Placem_Collection'!T156)),"YES","NO")</f>
        <v>NO</v>
      </c>
      <c r="Z229" s="255" t="str">
        <f>IF(ISNUMBER(SEARCH("H", 'Dry_Litterbag Placem_Collection'!T156)),"YES","NO")</f>
        <v>YES</v>
      </c>
      <c r="AA229" s="255" t="str">
        <f>IF(ISNUMBER(SEARCH("R", 'Dry_Litterbag Placem_Collection'!T156)),"YES","NO")</f>
        <v>NO</v>
      </c>
      <c r="AB229" s="255" t="str">
        <f>IF(ISNUMBER(SEARCH("C", 'Dry_Litterbag Placem_Collection'!S156)),"YES","NO")</f>
        <v>YES</v>
      </c>
      <c r="AC229" s="255" t="str">
        <f>IF(ISNUMBER(SEARCH("H", 'Dry_Litterbag Placem_Collection'!S156)),"YES","NO")</f>
        <v>YES</v>
      </c>
      <c r="AD229" s="255" t="str">
        <f>IF(ISNUMBER(SEARCH("R", 'Dry_Litterbag Placem_Collection'!S156)),"YES","NO")</f>
        <v>NO</v>
      </c>
    </row>
    <row r="230" spans="2:30">
      <c r="B230" t="str">
        <f>'Final data_for_R_analysis_Dryse'!A156</f>
        <v>Dry</v>
      </c>
      <c r="C230" s="263">
        <f>'Final data_for_R_analysis_Dryse'!B156</f>
        <v>155</v>
      </c>
      <c r="D230" t="s">
        <v>3850</v>
      </c>
      <c r="E230" t="s">
        <v>22</v>
      </c>
      <c r="F230" s="386">
        <v>3</v>
      </c>
      <c r="G230" s="16">
        <f>'Dry_Litterbag Placem_Collection'!E157</f>
        <v>42939</v>
      </c>
      <c r="H230" t="str">
        <f>'Final data_for_R_analysis_Dryse'!J156</f>
        <v>G253</v>
      </c>
      <c r="I230" t="str">
        <f>'Final data_for_R_analysis_Dryse'!J376</f>
        <v>R337</v>
      </c>
      <c r="J230">
        <f>IFERROR(INDEX('Green_rooibos initial weight'!$C$5:$C$1749,MATCH(H230, 'Green_rooibos initial weight'!$A$5:$A$1749,0)),"")</f>
        <v>2.0169999999999999</v>
      </c>
      <c r="K230">
        <f>IFERROR(INDEX('Green_rooibos initial weight'!$C$5:$C$1749,MATCH(I230, 'Green_rooibos initial weight'!$A$5:$A$1749,0)),"")</f>
        <v>2.2309999999999999</v>
      </c>
      <c r="L230" s="195">
        <f t="shared" si="21"/>
        <v>1.7671999999999999</v>
      </c>
      <c r="M230" s="195">
        <f t="shared" si="22"/>
        <v>1.9811999999999999</v>
      </c>
      <c r="N230" s="16">
        <f>IF('Dry_Litterbag Placem_Collection'!G157="N.A","",'Dry_Litterbag Placem_Collection'!G157)</f>
        <v>43010</v>
      </c>
      <c r="O230" s="195">
        <f>IF(IFERROR(INDEX('Both teabags AfterDry'!$D$1:$D$839,MATCH(H230,'Both teabags AfterDry'!$A$1:$A$839,0)),"")="N.A","",(IFERROR(INDEX('Both teabags AfterDry'!$D$1:$D$839,MATCH(H230,'Both teabags AfterDry'!$A$1:$A$839,0)),"")))</f>
        <v>1.2484</v>
      </c>
      <c r="P230" s="195">
        <f>IF(IFERROR(INDEX('Both teabags AfterDry'!$D$1:$D$839,MATCH(I230,'Both teabags AfterDry'!$A$1:$A$839,0)),"")="N.A","",(IFERROR(INDEX('Both teabags AfterDry'!$D$1:$D$839,MATCH(I230,'Both teabags AfterDry'!$A$1:$A$839,0)),"")))</f>
        <v>1.8893</v>
      </c>
      <c r="Q230" s="195">
        <f t="shared" si="23"/>
        <v>1.0977999999999999</v>
      </c>
      <c r="R230" s="195">
        <f t="shared" si="23"/>
        <v>1.7386999999999999</v>
      </c>
      <c r="S230" s="195">
        <f t="shared" si="18"/>
        <v>0.37879130828429153</v>
      </c>
      <c r="T230" s="195">
        <f t="shared" si="24"/>
        <v>0.24832874367331229</v>
      </c>
      <c r="U230" s="195">
        <f t="shared" si="19"/>
        <v>0.87759943468604884</v>
      </c>
      <c r="V230">
        <f t="shared" si="20"/>
        <v>71</v>
      </c>
      <c r="W230" s="195">
        <f t="shared" si="25"/>
        <v>0.55012908754834733</v>
      </c>
      <c r="X230" s="195">
        <f t="shared" si="26"/>
        <v>9.5639678348855475E-3</v>
      </c>
      <c r="Y230" s="255" t="str">
        <f>IF(ISNUMBER(SEARCH("C", 'Dry_Litterbag Placem_Collection'!T157)),"YES","NO")</f>
        <v>YES</v>
      </c>
      <c r="Z230" s="255" t="str">
        <f>IF(ISNUMBER(SEARCH("H", 'Dry_Litterbag Placem_Collection'!T157)),"YES","NO")</f>
        <v>YES</v>
      </c>
      <c r="AA230" s="255" t="str">
        <f>IF(ISNUMBER(SEARCH("R", 'Dry_Litterbag Placem_Collection'!T157)),"YES","NO")</f>
        <v>NO</v>
      </c>
      <c r="AB230" s="255" t="str">
        <f>IF(ISNUMBER(SEARCH("C", 'Dry_Litterbag Placem_Collection'!S157)),"YES","NO")</f>
        <v>NO</v>
      </c>
      <c r="AC230" s="255" t="str">
        <f>IF(ISNUMBER(SEARCH("H", 'Dry_Litterbag Placem_Collection'!S157)),"YES","NO")</f>
        <v>YES</v>
      </c>
      <c r="AD230" s="255" t="str">
        <f>IF(ISNUMBER(SEARCH("R", 'Dry_Litterbag Placem_Collection'!S157)),"YES","NO")</f>
        <v>NO</v>
      </c>
    </row>
    <row r="231" spans="2:30">
      <c r="B231" t="str">
        <f>'Final data_for_R_analysis_Dryse'!A157</f>
        <v>Dry</v>
      </c>
      <c r="C231" s="263">
        <f>'Final data_for_R_analysis_Dryse'!B157</f>
        <v>156</v>
      </c>
      <c r="D231" t="s">
        <v>3850</v>
      </c>
      <c r="E231" t="s">
        <v>22</v>
      </c>
      <c r="F231" s="387">
        <v>4</v>
      </c>
      <c r="G231" s="16">
        <f>'Dry_Litterbag Placem_Collection'!E158</f>
        <v>42939</v>
      </c>
      <c r="H231" t="str">
        <f>'Final data_for_R_analysis_Dryse'!J157</f>
        <v>G47</v>
      </c>
      <c r="I231" t="str">
        <f>'Final data_for_R_analysis_Dryse'!J377</f>
        <v>R118</v>
      </c>
      <c r="J231">
        <f>IFERROR(INDEX('Green_rooibos initial weight'!$C$5:$C$1749,MATCH(H231, 'Green_rooibos initial weight'!$A$5:$A$1749,0)),"")</f>
        <v>2.0840000000000001</v>
      </c>
      <c r="K231">
        <f>IFERROR(INDEX('Green_rooibos initial weight'!$C$5:$C$1749,MATCH(I231, 'Green_rooibos initial weight'!$A$5:$A$1749,0)),"")</f>
        <v>2.3330000000000002</v>
      </c>
      <c r="L231" s="195">
        <f t="shared" si="21"/>
        <v>1.8342000000000001</v>
      </c>
      <c r="M231" s="195">
        <f t="shared" si="22"/>
        <v>2.0832000000000002</v>
      </c>
      <c r="N231" s="16">
        <f>IF('Dry_Litterbag Placem_Collection'!G158="N.A","",'Dry_Litterbag Placem_Collection'!G158)</f>
        <v>43010</v>
      </c>
      <c r="O231" s="195">
        <f>IF(IFERROR(INDEX('Both teabags AfterDry'!$D$1:$D$839,MATCH(H231,'Both teabags AfterDry'!$A$1:$A$839,0)),"")="N.A","",(IFERROR(INDEX('Both teabags AfterDry'!$D$1:$D$839,MATCH(H231,'Both teabags AfterDry'!$A$1:$A$839,0)),"")))</f>
        <v>1.1167</v>
      </c>
      <c r="P231" s="195">
        <f>IF(IFERROR(INDEX('Both teabags AfterDry'!$D$1:$D$839,MATCH(I231,'Both teabags AfterDry'!$A$1:$A$839,0)),"")="N.A","",(IFERROR(INDEX('Both teabags AfterDry'!$D$1:$D$839,MATCH(I231,'Both teabags AfterDry'!$A$1:$A$839,0)),"")))</f>
        <v>0.79290000000000005</v>
      </c>
      <c r="Q231" s="195">
        <f t="shared" si="23"/>
        <v>0.96609999999999996</v>
      </c>
      <c r="R231" s="195">
        <f t="shared" si="23"/>
        <v>0.64230000000000009</v>
      </c>
      <c r="S231" s="195">
        <f t="shared" si="18"/>
        <v>0.47328535601352095</v>
      </c>
      <c r="T231" s="195">
        <f t="shared" si="24"/>
        <v>0.31027733553380477</v>
      </c>
      <c r="U231" s="195">
        <f t="shared" si="19"/>
        <v>0.30832373271889402</v>
      </c>
      <c r="V231">
        <f t="shared" si="20"/>
        <v>71</v>
      </c>
      <c r="W231" s="195">
        <f t="shared" si="25"/>
        <v>0.43790337765615084</v>
      </c>
      <c r="X231" s="195" t="str">
        <f t="shared" si="26"/>
        <v/>
      </c>
      <c r="Y231" s="255" t="str">
        <f>IF(ISNUMBER(SEARCH("C", 'Dry_Litterbag Placem_Collection'!T158)),"YES","NO")</f>
        <v>YES</v>
      </c>
      <c r="Z231" s="255" t="str">
        <f>IF(ISNUMBER(SEARCH("H", 'Dry_Litterbag Placem_Collection'!T158)),"YES","NO")</f>
        <v>YES</v>
      </c>
      <c r="AA231" s="255" t="str">
        <f>IF(ISNUMBER(SEARCH("R", 'Dry_Litterbag Placem_Collection'!T158)),"YES","NO")</f>
        <v>NO</v>
      </c>
      <c r="AB231" s="255" t="str">
        <f>IF(ISNUMBER(SEARCH("C", 'Dry_Litterbag Placem_Collection'!S158)),"YES","NO")</f>
        <v>NO</v>
      </c>
      <c r="AC231" s="255" t="str">
        <f>IF(ISNUMBER(SEARCH("H", 'Dry_Litterbag Placem_Collection'!S158)),"YES","NO")</f>
        <v>YES</v>
      </c>
      <c r="AD231" s="255" t="str">
        <f>IF(ISNUMBER(SEARCH("R", 'Dry_Litterbag Placem_Collection'!S158)),"YES","NO")</f>
        <v>YES</v>
      </c>
    </row>
    <row r="232" spans="2:30">
      <c r="B232" t="str">
        <f>'Final data_for_R_analysis_Dryse'!A158</f>
        <v>Dry</v>
      </c>
      <c r="C232" s="263">
        <f>'Final data_for_R_analysis_Dryse'!B158</f>
        <v>157</v>
      </c>
      <c r="D232" t="s">
        <v>3850</v>
      </c>
      <c r="E232" t="s">
        <v>22</v>
      </c>
      <c r="F232" s="387">
        <v>5</v>
      </c>
      <c r="G232" s="16">
        <f>'Dry_Litterbag Placem_Collection'!E159</f>
        <v>42939</v>
      </c>
      <c r="H232" t="str">
        <f>'Final data_for_R_analysis_Dryse'!J158</f>
        <v>G328</v>
      </c>
      <c r="I232" t="str">
        <f>'Final data_for_R_analysis_Dryse'!J378</f>
        <v>R478</v>
      </c>
      <c r="J232">
        <f>IFERROR(INDEX('Green_rooibos initial weight'!$C$5:$C$1749,MATCH(H232, 'Green_rooibos initial weight'!$A$5:$A$1749,0)),"")</f>
        <v>2.1309999999999998</v>
      </c>
      <c r="K232">
        <f>IFERROR(INDEX('Green_rooibos initial weight'!$C$5:$C$1749,MATCH(I232, 'Green_rooibos initial weight'!$A$5:$A$1749,0)),"")</f>
        <v>2.1640000000000001</v>
      </c>
      <c r="L232" s="195">
        <f t="shared" si="21"/>
        <v>1.8811999999999998</v>
      </c>
      <c r="M232" s="195">
        <f t="shared" si="22"/>
        <v>1.9142000000000001</v>
      </c>
      <c r="N232" s="16">
        <f>IF('Dry_Litterbag Placem_Collection'!G159="N.A","",'Dry_Litterbag Placem_Collection'!G159)</f>
        <v>43010</v>
      </c>
      <c r="O232" s="195" t="str">
        <f>IF(IFERROR(INDEX('Both teabags AfterDry'!$D$1:$D$839,MATCH(H232,'Both teabags AfterDry'!$A$1:$A$839,0)),"")="N.A","",(IFERROR(INDEX('Both teabags AfterDry'!$D$1:$D$839,MATCH(H232,'Both teabags AfterDry'!$A$1:$A$839,0)),"")))</f>
        <v/>
      </c>
      <c r="P232" s="195" t="str">
        <f>IF(IFERROR(INDEX('Both teabags AfterDry'!$D$1:$D$839,MATCH(I232,'Both teabags AfterDry'!$A$1:$A$839,0)),"")="N.A","",(IFERROR(INDEX('Both teabags AfterDry'!$D$1:$D$839,MATCH(I232,'Both teabags AfterDry'!$A$1:$A$839,0)),"")))</f>
        <v/>
      </c>
      <c r="Q232" s="195" t="str">
        <f t="shared" si="23"/>
        <v/>
      </c>
      <c r="R232" s="195" t="str">
        <f t="shared" si="23"/>
        <v/>
      </c>
      <c r="S232" s="195" t="str">
        <f t="shared" si="18"/>
        <v/>
      </c>
      <c r="T232" s="195" t="str">
        <f t="shared" si="24"/>
        <v/>
      </c>
      <c r="U232" s="195" t="str">
        <f t="shared" si="19"/>
        <v/>
      </c>
      <c r="V232">
        <f t="shared" si="20"/>
        <v>71</v>
      </c>
      <c r="W232" s="195" t="str">
        <f t="shared" si="25"/>
        <v/>
      </c>
      <c r="X232" s="195" t="str">
        <f t="shared" si="26"/>
        <v/>
      </c>
      <c r="Y232" s="255" t="str">
        <f>IF(ISNUMBER(SEARCH("C", 'Dry_Litterbag Placem_Collection'!T159)),"YES","NO")</f>
        <v>YES</v>
      </c>
      <c r="Z232" s="255" t="str">
        <f>IF(ISNUMBER(SEARCH("H", 'Dry_Litterbag Placem_Collection'!T159)),"YES","NO")</f>
        <v>NO</v>
      </c>
      <c r="AA232" s="255" t="str">
        <f>IF(ISNUMBER(SEARCH("R", 'Dry_Litterbag Placem_Collection'!T159)),"YES","NO")</f>
        <v>YES</v>
      </c>
      <c r="AB232" s="255" t="str">
        <f>IF(ISNUMBER(SEARCH("C", 'Dry_Litterbag Placem_Collection'!S159)),"YES","NO")</f>
        <v>YES</v>
      </c>
      <c r="AC232" s="255" t="str">
        <f>IF(ISNUMBER(SEARCH("H", 'Dry_Litterbag Placem_Collection'!S159)),"YES","NO")</f>
        <v>YES</v>
      </c>
      <c r="AD232" s="255" t="str">
        <f>IF(ISNUMBER(SEARCH("R", 'Dry_Litterbag Placem_Collection'!S159)),"YES","NO")</f>
        <v>YES</v>
      </c>
    </row>
    <row r="233" spans="2:30">
      <c r="B233" t="str">
        <f>'Final data_for_R_analysis_Dryse'!A159</f>
        <v>Dry</v>
      </c>
      <c r="C233" s="263">
        <f>'Final data_for_R_analysis_Dryse'!B159</f>
        <v>158</v>
      </c>
      <c r="D233" t="s">
        <v>3850</v>
      </c>
      <c r="E233" t="s">
        <v>22</v>
      </c>
      <c r="F233" s="387">
        <v>6</v>
      </c>
      <c r="G233" s="16">
        <f>'Dry_Litterbag Placem_Collection'!E160</f>
        <v>42939</v>
      </c>
      <c r="H233" t="str">
        <f>'Final data_for_R_analysis_Dryse'!J159</f>
        <v>G21</v>
      </c>
      <c r="I233" t="str">
        <f>'Final data_for_R_analysis_Dryse'!J379</f>
        <v>R773</v>
      </c>
      <c r="J233">
        <f>IFERROR(INDEX('Green_rooibos initial weight'!$C$5:$C$1749,MATCH(H233, 'Green_rooibos initial weight'!$A$5:$A$1749,0)),"")</f>
        <v>2.04</v>
      </c>
      <c r="K233">
        <f>IFERROR(INDEX('Green_rooibos initial weight'!$C$5:$C$1749,MATCH(I233, 'Green_rooibos initial weight'!$A$5:$A$1749,0)),"")</f>
        <v>2.2320000000000002</v>
      </c>
      <c r="L233" s="195">
        <f t="shared" si="21"/>
        <v>1.7902</v>
      </c>
      <c r="M233" s="195">
        <f t="shared" si="22"/>
        <v>1.9822000000000002</v>
      </c>
      <c r="N233" s="16">
        <f>IF('Dry_Litterbag Placem_Collection'!G160="N.A","",'Dry_Litterbag Placem_Collection'!G160)</f>
        <v>43010</v>
      </c>
      <c r="O233" s="195">
        <f>IF(IFERROR(INDEX('Both teabags AfterDry'!$D$1:$D$839,MATCH(H233,'Both teabags AfterDry'!$A$1:$A$839,0)),"")="N.A","",(IFERROR(INDEX('Both teabags AfterDry'!$D$1:$D$839,MATCH(H233,'Both teabags AfterDry'!$A$1:$A$839,0)),"")))</f>
        <v>0</v>
      </c>
      <c r="P233" s="195">
        <f>IF(IFERROR(INDEX('Both teabags AfterDry'!$D$1:$D$839,MATCH(I233,'Both teabags AfterDry'!$A$1:$A$839,0)),"")="N.A","",(IFERROR(INDEX('Both teabags AfterDry'!$D$1:$D$839,MATCH(I233,'Both teabags AfterDry'!$A$1:$A$839,0)),"")))</f>
        <v>1.3551</v>
      </c>
      <c r="Q233" s="195" t="str">
        <f t="shared" si="23"/>
        <v/>
      </c>
      <c r="R233" s="195">
        <f t="shared" si="23"/>
        <v>1.2044999999999999</v>
      </c>
      <c r="S233" s="195" t="str">
        <f t="shared" si="18"/>
        <v/>
      </c>
      <c r="T233" s="195" t="str">
        <f t="shared" si="24"/>
        <v/>
      </c>
      <c r="U233" s="195">
        <f t="shared" si="19"/>
        <v>0.60765815760266362</v>
      </c>
      <c r="V233">
        <f t="shared" si="20"/>
        <v>71</v>
      </c>
      <c r="W233" s="195" t="str">
        <f t="shared" si="25"/>
        <v/>
      </c>
      <c r="X233" s="195" t="str">
        <f t="shared" si="26"/>
        <v/>
      </c>
      <c r="Y233" s="255" t="str">
        <f>IF(ISNUMBER(SEARCH("C", 'Dry_Litterbag Placem_Collection'!T160)),"YES","NO")</f>
        <v>YES</v>
      </c>
      <c r="Z233" s="255" t="str">
        <f>IF(ISNUMBER(SEARCH("H", 'Dry_Litterbag Placem_Collection'!T160)),"YES","NO")</f>
        <v>YES</v>
      </c>
      <c r="AA233" s="255" t="str">
        <f>IF(ISNUMBER(SEARCH("R", 'Dry_Litterbag Placem_Collection'!T160)),"YES","NO")</f>
        <v>NO</v>
      </c>
      <c r="AB233" s="255" t="str">
        <f>IF(ISNUMBER(SEARCH("C", 'Dry_Litterbag Placem_Collection'!S160)),"YES","NO")</f>
        <v>YES</v>
      </c>
      <c r="AC233" s="255" t="str">
        <f>IF(ISNUMBER(SEARCH("H", 'Dry_Litterbag Placem_Collection'!S160)),"YES","NO")</f>
        <v>YES</v>
      </c>
      <c r="AD233" s="255" t="str">
        <f>IF(ISNUMBER(SEARCH("R", 'Dry_Litterbag Placem_Collection'!S160)),"YES","NO")</f>
        <v>NO</v>
      </c>
    </row>
    <row r="234" spans="2:30">
      <c r="B234" t="str">
        <f>'Final data_for_R_analysis_Dryse'!A160</f>
        <v>Dry</v>
      </c>
      <c r="C234" s="263">
        <f>'Final data_for_R_analysis_Dryse'!B160</f>
        <v>159</v>
      </c>
      <c r="D234" t="s">
        <v>3850</v>
      </c>
      <c r="E234" t="s">
        <v>22</v>
      </c>
      <c r="F234" s="387">
        <v>7</v>
      </c>
      <c r="G234" s="16">
        <f>'Dry_Litterbag Placem_Collection'!E161</f>
        <v>0</v>
      </c>
      <c r="H234" t="str">
        <f>'Final data_for_R_analysis_Dryse'!J160</f>
        <v/>
      </c>
      <c r="I234" t="str">
        <f>'Final data_for_R_analysis_Dryse'!J380</f>
        <v/>
      </c>
      <c r="J234" t="str">
        <f>IFERROR(INDEX('Green_rooibos initial weight'!$C$5:$C$1749,MATCH(H234, 'Green_rooibos initial weight'!$A$5:$A$1749,0)),"")</f>
        <v/>
      </c>
      <c r="K234" t="str">
        <f>IFERROR(INDEX('Green_rooibos initial weight'!$C$5:$C$1749,MATCH(I234, 'Green_rooibos initial weight'!$A$5:$A$1749,0)),"")</f>
        <v/>
      </c>
      <c r="L234" s="195" t="str">
        <f t="shared" si="21"/>
        <v/>
      </c>
      <c r="M234" s="195" t="str">
        <f t="shared" si="22"/>
        <v/>
      </c>
      <c r="N234" s="16">
        <f>IF('Dry_Litterbag Placem_Collection'!G161="N.A","",'Dry_Litterbag Placem_Collection'!G161)</f>
        <v>0</v>
      </c>
      <c r="O234" s="195" t="str">
        <f>IF(IFERROR(INDEX('Both teabags AfterDry'!$D$1:$D$839,MATCH(H234,'Both teabags AfterDry'!$A$1:$A$839,0)),"")="N.A","",(IFERROR(INDEX('Both teabags AfterDry'!$D$1:$D$839,MATCH(H234,'Both teabags AfterDry'!$A$1:$A$839,0)),"")))</f>
        <v/>
      </c>
      <c r="P234" s="195" t="str">
        <f>IF(IFERROR(INDEX('Both teabags AfterDry'!$D$1:$D$839,MATCH(I234,'Both teabags AfterDry'!$A$1:$A$839,0)),"")="N.A","",(IFERROR(INDEX('Both teabags AfterDry'!$D$1:$D$839,MATCH(I234,'Both teabags AfterDry'!$A$1:$A$839,0)),"")))</f>
        <v/>
      </c>
      <c r="Q234" s="195" t="str">
        <f t="shared" si="23"/>
        <v/>
      </c>
      <c r="R234" s="195" t="str">
        <f t="shared" si="23"/>
        <v/>
      </c>
      <c r="S234" s="195" t="str">
        <f t="shared" si="18"/>
        <v/>
      </c>
      <c r="T234" s="195" t="str">
        <f t="shared" si="24"/>
        <v/>
      </c>
      <c r="U234" s="195" t="str">
        <f t="shared" si="19"/>
        <v/>
      </c>
      <c r="V234" t="str">
        <f t="shared" si="20"/>
        <v/>
      </c>
      <c r="W234" s="195" t="str">
        <f t="shared" si="25"/>
        <v/>
      </c>
      <c r="X234" s="195" t="str">
        <f t="shared" si="26"/>
        <v/>
      </c>
      <c r="Y234" s="255" t="str">
        <f>IF(ISNUMBER(SEARCH("C", 'Dry_Litterbag Placem_Collection'!T161)),"YES","NO")</f>
        <v>NO</v>
      </c>
      <c r="Z234" s="255" t="str">
        <f>IF(ISNUMBER(SEARCH("H", 'Dry_Litterbag Placem_Collection'!T161)),"YES","NO")</f>
        <v>NO</v>
      </c>
      <c r="AA234" s="255" t="str">
        <f>IF(ISNUMBER(SEARCH("R", 'Dry_Litterbag Placem_Collection'!T161)),"YES","NO")</f>
        <v>NO</v>
      </c>
      <c r="AB234" s="255" t="str">
        <f>IF(ISNUMBER(SEARCH("C", 'Dry_Litterbag Placem_Collection'!S161)),"YES","NO")</f>
        <v>NO</v>
      </c>
      <c r="AC234" s="255" t="str">
        <f>IF(ISNUMBER(SEARCH("H", 'Dry_Litterbag Placem_Collection'!S161)),"YES","NO")</f>
        <v>NO</v>
      </c>
      <c r="AD234" s="255" t="str">
        <f>IF(ISNUMBER(SEARCH("R", 'Dry_Litterbag Placem_Collection'!S161)),"YES","NO")</f>
        <v>NO</v>
      </c>
    </row>
    <row r="235" spans="2:30">
      <c r="B235" t="str">
        <f>'Final data_for_R_analysis_Dryse'!A161</f>
        <v>Dry</v>
      </c>
      <c r="C235" s="263">
        <f>'Final data_for_R_analysis_Dryse'!B161</f>
        <v>160</v>
      </c>
      <c r="D235" t="s">
        <v>3850</v>
      </c>
      <c r="E235" t="s">
        <v>22</v>
      </c>
      <c r="F235" s="387">
        <v>8</v>
      </c>
      <c r="G235" s="16">
        <f>'Dry_Litterbag Placem_Collection'!E162</f>
        <v>42939</v>
      </c>
      <c r="H235" t="str">
        <f>'Final data_for_R_analysis_Dryse'!J161</f>
        <v>G482</v>
      </c>
      <c r="I235" t="str">
        <f>'Final data_for_R_analysis_Dryse'!J381</f>
        <v>R401</v>
      </c>
      <c r="J235">
        <f>IFERROR(INDEX('Green_rooibos initial weight'!$C$5:$C$1749,MATCH(H235, 'Green_rooibos initial weight'!$A$5:$A$1749,0)),"")</f>
        <v>2.056</v>
      </c>
      <c r="K235">
        <f>IFERROR(INDEX('Green_rooibos initial weight'!$C$5:$C$1749,MATCH(I235, 'Green_rooibos initial weight'!$A$5:$A$1749,0)),"")</f>
        <v>2.214</v>
      </c>
      <c r="L235" s="195">
        <f t="shared" si="21"/>
        <v>1.8062</v>
      </c>
      <c r="M235" s="195">
        <f t="shared" si="22"/>
        <v>1.9641999999999999</v>
      </c>
      <c r="N235" s="16">
        <f>IF('Dry_Litterbag Placem_Collection'!G162="N.A","",'Dry_Litterbag Placem_Collection'!G162)</f>
        <v>43010</v>
      </c>
      <c r="O235" s="195">
        <f>IF(IFERROR(INDEX('Both teabags AfterDry'!$D$1:$D$839,MATCH(H235,'Both teabags AfterDry'!$A$1:$A$839,0)),"")="N.A","",(IFERROR(INDEX('Both teabags AfterDry'!$D$1:$D$839,MATCH(H235,'Both teabags AfterDry'!$A$1:$A$839,0)),"")))</f>
        <v>1.4819</v>
      </c>
      <c r="P235" s="195">
        <f>IF(IFERROR(INDEX('Both teabags AfterDry'!$D$1:$D$839,MATCH(I235,'Both teabags AfterDry'!$A$1:$A$839,0)),"")="N.A","",(IFERROR(INDEX('Both teabags AfterDry'!$D$1:$D$839,MATCH(I235,'Both teabags AfterDry'!$A$1:$A$839,0)),"")))</f>
        <v>1.7884</v>
      </c>
      <c r="Q235" s="195">
        <f t="shared" si="23"/>
        <v>1.3312999999999999</v>
      </c>
      <c r="R235" s="195">
        <f t="shared" si="23"/>
        <v>1.6377999999999999</v>
      </c>
      <c r="S235" s="195">
        <f t="shared" si="18"/>
        <v>0.26292769350016609</v>
      </c>
      <c r="T235" s="195">
        <f t="shared" si="24"/>
        <v>0.17237064942053645</v>
      </c>
      <c r="U235" s="195">
        <f t="shared" si="19"/>
        <v>0.83382547602077184</v>
      </c>
      <c r="V235">
        <f t="shared" si="20"/>
        <v>71</v>
      </c>
      <c r="W235" s="195">
        <f t="shared" si="25"/>
        <v>0.68773433075989776</v>
      </c>
      <c r="X235" s="195">
        <f t="shared" si="26"/>
        <v>4.6841168012322291E-2</v>
      </c>
      <c r="Y235" s="255" t="str">
        <f>IF(ISNUMBER(SEARCH("C", 'Dry_Litterbag Placem_Collection'!T162)),"YES","NO")</f>
        <v>NO</v>
      </c>
      <c r="Z235" s="255" t="str">
        <f>IF(ISNUMBER(SEARCH("H", 'Dry_Litterbag Placem_Collection'!T162)),"YES","NO")</f>
        <v>YES</v>
      </c>
      <c r="AA235" s="255" t="str">
        <f>IF(ISNUMBER(SEARCH("R", 'Dry_Litterbag Placem_Collection'!T162)),"YES","NO")</f>
        <v>NO</v>
      </c>
      <c r="AB235" s="255" t="str">
        <f>IF(ISNUMBER(SEARCH("C", 'Dry_Litterbag Placem_Collection'!S162)),"YES","NO")</f>
        <v>YES</v>
      </c>
      <c r="AC235" s="255" t="str">
        <f>IF(ISNUMBER(SEARCH("H", 'Dry_Litterbag Placem_Collection'!S162)),"YES","NO")</f>
        <v>YES</v>
      </c>
      <c r="AD235" s="255" t="str">
        <f>IF(ISNUMBER(SEARCH("R", 'Dry_Litterbag Placem_Collection'!S162)),"YES","NO")</f>
        <v>NO</v>
      </c>
    </row>
    <row r="236" spans="2:30">
      <c r="B236" t="str">
        <f>'Final data_for_R_analysis_Dryse'!A162</f>
        <v>Dry</v>
      </c>
      <c r="C236" s="263">
        <f>'Final data_for_R_analysis_Dryse'!B162</f>
        <v>161</v>
      </c>
      <c r="D236" t="s">
        <v>3851</v>
      </c>
      <c r="E236" t="s">
        <v>22</v>
      </c>
      <c r="F236" s="386">
        <v>1</v>
      </c>
      <c r="G236" s="16">
        <f>'Dry_Litterbag Placem_Collection'!E163</f>
        <v>42940</v>
      </c>
      <c r="H236" t="str">
        <f>'Final data_for_R_analysis_Dryse'!J162</f>
        <v>G51</v>
      </c>
      <c r="I236" t="str">
        <f>'Final data_for_R_analysis_Dryse'!J382</f>
        <v>R673</v>
      </c>
      <c r="J236">
        <f>IFERROR(INDEX('Green_rooibos initial weight'!$C$5:$C$1749,MATCH(H236, 'Green_rooibos initial weight'!$A$5:$A$1749,0)),"")</f>
        <v>2.0259999999999998</v>
      </c>
      <c r="K236">
        <f>IFERROR(INDEX('Green_rooibos initial weight'!$C$5:$C$1749,MATCH(I236, 'Green_rooibos initial weight'!$A$5:$A$1749,0)),"")</f>
        <v>2.121</v>
      </c>
      <c r="L236" s="195">
        <f t="shared" si="21"/>
        <v>1.7761999999999998</v>
      </c>
      <c r="M236" s="195">
        <f t="shared" si="22"/>
        <v>1.8712</v>
      </c>
      <c r="N236" s="16">
        <f>IF('Dry_Litterbag Placem_Collection'!G163="N.A","",'Dry_Litterbag Placem_Collection'!G163)</f>
        <v>43009</v>
      </c>
      <c r="O236" s="195">
        <f>IF(IFERROR(INDEX('Both teabags AfterDry'!$D$1:$D$839,MATCH(H236,'Both teabags AfterDry'!$A$1:$A$839,0)),"")="N.A","",(IFERROR(INDEX('Both teabags AfterDry'!$D$1:$D$839,MATCH(H236,'Both teabags AfterDry'!$A$1:$A$839,0)),"")))</f>
        <v>0.81589999999999996</v>
      </c>
      <c r="P236" s="195">
        <f>IF(IFERROR(INDEX('Both teabags AfterDry'!$D$1:$D$839,MATCH(I236,'Both teabags AfterDry'!$A$1:$A$839,0)),"")="N.A","",(IFERROR(INDEX('Both teabags AfterDry'!$D$1:$D$839,MATCH(I236,'Both teabags AfterDry'!$A$1:$A$839,0)),"")))</f>
        <v>1.1623000000000001</v>
      </c>
      <c r="Q236" s="195">
        <f t="shared" si="23"/>
        <v>0.6653</v>
      </c>
      <c r="R236" s="195">
        <f t="shared" si="23"/>
        <v>1.0117</v>
      </c>
      <c r="S236" s="195">
        <f t="shared" si="18"/>
        <v>0.6254363247382051</v>
      </c>
      <c r="T236" s="195">
        <f t="shared" si="24"/>
        <v>0.41002476396138865</v>
      </c>
      <c r="U236" s="195">
        <f t="shared" si="19"/>
        <v>0.54066908935442504</v>
      </c>
      <c r="V236">
        <f t="shared" si="20"/>
        <v>69</v>
      </c>
      <c r="W236" s="195">
        <f t="shared" si="25"/>
        <v>0.25720151456270179</v>
      </c>
      <c r="X236" s="195" t="str">
        <f t="shared" si="26"/>
        <v/>
      </c>
      <c r="Y236" s="255" t="str">
        <f>IF(ISNUMBER(SEARCH("C", 'Dry_Litterbag Placem_Collection'!T163)),"YES","NO")</f>
        <v>NO</v>
      </c>
      <c r="Z236" s="255" t="str">
        <f>IF(ISNUMBER(SEARCH("H", 'Dry_Litterbag Placem_Collection'!T163)),"YES","NO")</f>
        <v>YES</v>
      </c>
      <c r="AA236" s="255" t="str">
        <f>IF(ISNUMBER(SEARCH("R", 'Dry_Litterbag Placem_Collection'!T163)),"YES","NO")</f>
        <v>NO</v>
      </c>
      <c r="AB236" s="255" t="str">
        <f>IF(ISNUMBER(SEARCH("C", 'Dry_Litterbag Placem_Collection'!S163)),"YES","NO")</f>
        <v>NO</v>
      </c>
      <c r="AC236" s="255" t="str">
        <f>IF(ISNUMBER(SEARCH("H", 'Dry_Litterbag Placem_Collection'!S163)),"YES","NO")</f>
        <v>YES</v>
      </c>
      <c r="AD236" s="255" t="str">
        <f>IF(ISNUMBER(SEARCH("R", 'Dry_Litterbag Placem_Collection'!S163)),"YES","NO")</f>
        <v>YES</v>
      </c>
    </row>
    <row r="237" spans="2:30">
      <c r="B237" t="str">
        <f>'Final data_for_R_analysis_Dryse'!A163</f>
        <v>Dry</v>
      </c>
      <c r="C237" s="263">
        <f>'Final data_for_R_analysis_Dryse'!B163</f>
        <v>162</v>
      </c>
      <c r="D237" t="s">
        <v>3851</v>
      </c>
      <c r="E237" t="s">
        <v>22</v>
      </c>
      <c r="F237" s="386">
        <v>2</v>
      </c>
      <c r="G237" s="16">
        <f>'Dry_Litterbag Placem_Collection'!E164</f>
        <v>42940</v>
      </c>
      <c r="H237" t="str">
        <f>'Final data_for_R_analysis_Dryse'!J163</f>
        <v>G238</v>
      </c>
      <c r="I237" t="str">
        <f>'Final data_for_R_analysis_Dryse'!J383</f>
        <v>R814</v>
      </c>
      <c r="J237">
        <f>IFERROR(INDEX('Green_rooibos initial weight'!$C$5:$C$1749,MATCH(H237, 'Green_rooibos initial weight'!$A$5:$A$1749,0)),"")</f>
        <v>2.1160000000000001</v>
      </c>
      <c r="K237">
        <f>IFERROR(INDEX('Green_rooibos initial weight'!$C$5:$C$1749,MATCH(I237, 'Green_rooibos initial weight'!$A$5:$A$1749,0)),"")</f>
        <v>2.2210000000000001</v>
      </c>
      <c r="L237" s="195">
        <f t="shared" si="21"/>
        <v>1.8662000000000001</v>
      </c>
      <c r="M237" s="195">
        <f t="shared" si="22"/>
        <v>1.9712000000000001</v>
      </c>
      <c r="N237" s="16">
        <f>IF('Dry_Litterbag Placem_Collection'!G164="N.A","",'Dry_Litterbag Placem_Collection'!G164)</f>
        <v>43009</v>
      </c>
      <c r="O237" s="195">
        <f>IF(IFERROR(INDEX('Both teabags AfterDry'!$D$1:$D$839,MATCH(H237,'Both teabags AfterDry'!$A$1:$A$839,0)),"")="N.A","",(IFERROR(INDEX('Both teabags AfterDry'!$D$1:$D$839,MATCH(H237,'Both teabags AfterDry'!$A$1:$A$839,0)),"")))</f>
        <v>0.81089999999999995</v>
      </c>
      <c r="P237" s="195">
        <f>IF(IFERROR(INDEX('Both teabags AfterDry'!$D$1:$D$839,MATCH(I237,'Both teabags AfterDry'!$A$1:$A$839,0)),"")="N.A","",(IFERROR(INDEX('Both teabags AfterDry'!$D$1:$D$839,MATCH(I237,'Both teabags AfterDry'!$A$1:$A$839,0)),"")))</f>
        <v>2.4714999999999998</v>
      </c>
      <c r="Q237" s="195">
        <f t="shared" si="23"/>
        <v>0.66029999999999989</v>
      </c>
      <c r="R237" s="195">
        <f t="shared" si="23"/>
        <v>2.3209</v>
      </c>
      <c r="S237" s="195">
        <f t="shared" si="18"/>
        <v>0.64617940199335555</v>
      </c>
      <c r="T237" s="195">
        <f t="shared" si="24"/>
        <v>0.42362355095051341</v>
      </c>
      <c r="U237" s="195">
        <f t="shared" si="19"/>
        <v>1.1774046266233766</v>
      </c>
      <c r="V237">
        <f t="shared" si="20"/>
        <v>69</v>
      </c>
      <c r="W237" s="195">
        <f t="shared" si="25"/>
        <v>0.2325660308867511</v>
      </c>
      <c r="X237" s="195">
        <f t="shared" si="26"/>
        <v>-5.0695160665504306E-3</v>
      </c>
      <c r="Y237" s="255" t="str">
        <f>IF(ISNUMBER(SEARCH("C", 'Dry_Litterbag Placem_Collection'!T164)),"YES","NO")</f>
        <v>YES</v>
      </c>
      <c r="Z237" s="255" t="str">
        <f>IF(ISNUMBER(SEARCH("H", 'Dry_Litterbag Placem_Collection'!T164)),"YES","NO")</f>
        <v>YES</v>
      </c>
      <c r="AA237" s="255" t="str">
        <f>IF(ISNUMBER(SEARCH("R", 'Dry_Litterbag Placem_Collection'!T164)),"YES","NO")</f>
        <v>NO</v>
      </c>
      <c r="AB237" s="255" t="str">
        <f>IF(ISNUMBER(SEARCH("C", 'Dry_Litterbag Placem_Collection'!S164)),"YES","NO")</f>
        <v>NO</v>
      </c>
      <c r="AC237" s="255" t="str">
        <f>IF(ISNUMBER(SEARCH("H", 'Dry_Litterbag Placem_Collection'!S164)),"YES","NO")</f>
        <v>NO</v>
      </c>
      <c r="AD237" s="255" t="str">
        <f>IF(ISNUMBER(SEARCH("R", 'Dry_Litterbag Placem_Collection'!S164)),"YES","NO")</f>
        <v>YES</v>
      </c>
    </row>
    <row r="238" spans="2:30">
      <c r="B238" t="str">
        <f>'Final data_for_R_analysis_Dryse'!A164</f>
        <v>Dry</v>
      </c>
      <c r="C238" s="263">
        <f>'Final data_for_R_analysis_Dryse'!B164</f>
        <v>163</v>
      </c>
      <c r="D238" t="s">
        <v>3851</v>
      </c>
      <c r="E238" t="s">
        <v>22</v>
      </c>
      <c r="F238" s="386">
        <v>3</v>
      </c>
      <c r="G238" s="16">
        <f>'Dry_Litterbag Placem_Collection'!E165</f>
        <v>42940</v>
      </c>
      <c r="H238" t="str">
        <f>'Final data_for_R_analysis_Dryse'!J164</f>
        <v>G59</v>
      </c>
      <c r="I238" t="str">
        <f>'Final data_for_R_analysis_Dryse'!J384</f>
        <v>R615</v>
      </c>
      <c r="J238">
        <f>IFERROR(INDEX('Green_rooibos initial weight'!$C$5:$C$1749,MATCH(H238, 'Green_rooibos initial weight'!$A$5:$A$1749,0)),"")</f>
        <v>1.929</v>
      </c>
      <c r="K238">
        <f>IFERROR(INDEX('Green_rooibos initial weight'!$C$5:$C$1749,MATCH(I238, 'Green_rooibos initial weight'!$A$5:$A$1749,0)),"")</f>
        <v>2.157</v>
      </c>
      <c r="L238" s="195">
        <f t="shared" si="21"/>
        <v>1.6792</v>
      </c>
      <c r="M238" s="195">
        <f t="shared" si="22"/>
        <v>1.9072</v>
      </c>
      <c r="N238" s="16">
        <f>IF('Dry_Litterbag Placem_Collection'!G165="N.A","",'Dry_Litterbag Placem_Collection'!G165)</f>
        <v>43009</v>
      </c>
      <c r="O238" s="195">
        <f>IF(IFERROR(INDEX('Both teabags AfterDry'!$D$1:$D$839,MATCH(H238,'Both teabags AfterDry'!$A$1:$A$839,0)),"")="N.A","",(IFERROR(INDEX('Both teabags AfterDry'!$D$1:$D$839,MATCH(H238,'Both teabags AfterDry'!$A$1:$A$839,0)),"")))</f>
        <v>0.95679999999999998</v>
      </c>
      <c r="P238" s="195">
        <f>IF(IFERROR(INDEX('Both teabags AfterDry'!$D$1:$D$839,MATCH(I238,'Both teabags AfterDry'!$A$1:$A$839,0)),"")="N.A","",(IFERROR(INDEX('Both teabags AfterDry'!$D$1:$D$839,MATCH(I238,'Both teabags AfterDry'!$A$1:$A$839,0)),"")))</f>
        <v>1.4872000000000001</v>
      </c>
      <c r="Q238" s="195">
        <f t="shared" si="23"/>
        <v>0.80620000000000003</v>
      </c>
      <c r="R238" s="195">
        <f t="shared" si="23"/>
        <v>1.3366</v>
      </c>
      <c r="S238" s="195">
        <f t="shared" si="18"/>
        <v>0.51989042401143393</v>
      </c>
      <c r="T238" s="195">
        <f t="shared" si="24"/>
        <v>0.34083077678659329</v>
      </c>
      <c r="U238" s="195">
        <f t="shared" si="19"/>
        <v>0.70081795302013428</v>
      </c>
      <c r="V238">
        <f t="shared" si="20"/>
        <v>69</v>
      </c>
      <c r="W238" s="195">
        <f t="shared" si="25"/>
        <v>0.38255294060399769</v>
      </c>
      <c r="X238" s="195">
        <f t="shared" si="26"/>
        <v>3.046543807303689E-2</v>
      </c>
      <c r="Y238" s="255" t="str">
        <f>IF(ISNUMBER(SEARCH("C", 'Dry_Litterbag Placem_Collection'!T165)),"YES","NO")</f>
        <v>NO</v>
      </c>
      <c r="Z238" s="255" t="str">
        <f>IF(ISNUMBER(SEARCH("H", 'Dry_Litterbag Placem_Collection'!T165)),"YES","NO")</f>
        <v>YES</v>
      </c>
      <c r="AA238" s="255" t="str">
        <f>IF(ISNUMBER(SEARCH("R", 'Dry_Litterbag Placem_Collection'!T165)),"YES","NO")</f>
        <v>NO</v>
      </c>
      <c r="AB238" s="255" t="str">
        <f>IF(ISNUMBER(SEARCH("C", 'Dry_Litterbag Placem_Collection'!S165)),"YES","NO")</f>
        <v>NO</v>
      </c>
      <c r="AC238" s="255" t="str">
        <f>IF(ISNUMBER(SEARCH("H", 'Dry_Litterbag Placem_Collection'!S165)),"YES","NO")</f>
        <v>NO</v>
      </c>
      <c r="AD238" s="255" t="str">
        <f>IF(ISNUMBER(SEARCH("R", 'Dry_Litterbag Placem_Collection'!S165)),"YES","NO")</f>
        <v>YES</v>
      </c>
    </row>
    <row r="239" spans="2:30">
      <c r="B239" t="str">
        <f>'Final data_for_R_analysis_Dryse'!A165</f>
        <v>Dry</v>
      </c>
      <c r="C239" s="263">
        <f>'Final data_for_R_analysis_Dryse'!B165</f>
        <v>164</v>
      </c>
      <c r="D239" t="s">
        <v>3851</v>
      </c>
      <c r="E239" t="s">
        <v>22</v>
      </c>
      <c r="F239" s="387">
        <v>4</v>
      </c>
      <c r="G239" s="16">
        <f>'Dry_Litterbag Placem_Collection'!E166</f>
        <v>42940</v>
      </c>
      <c r="H239" t="str">
        <f>'Final data_for_R_analysis_Dryse'!J165</f>
        <v>G7</v>
      </c>
      <c r="I239" t="str">
        <f>'Final data_for_R_analysis_Dryse'!J385</f>
        <v>R514</v>
      </c>
      <c r="J239">
        <f>IFERROR(INDEX('Green_rooibos initial weight'!$C$5:$C$1749,MATCH(H239, 'Green_rooibos initial weight'!$A$5:$A$1749,0)),"")</f>
        <v>1.974</v>
      </c>
      <c r="K239">
        <f>IFERROR(INDEX('Green_rooibos initial weight'!$C$5:$C$1749,MATCH(I239, 'Green_rooibos initial weight'!$A$5:$A$1749,0)),"")</f>
        <v>2.1059999999999999</v>
      </c>
      <c r="L239" s="195">
        <f t="shared" si="21"/>
        <v>1.7242</v>
      </c>
      <c r="M239" s="195">
        <f t="shared" si="22"/>
        <v>1.8561999999999999</v>
      </c>
      <c r="N239" s="16">
        <f>IF('Dry_Litterbag Placem_Collection'!G166="N.A","",'Dry_Litterbag Placem_Collection'!G166)</f>
        <v>43009</v>
      </c>
      <c r="O239" s="195">
        <f>IF(IFERROR(INDEX('Both teabags AfterDry'!$D$1:$D$839,MATCH(H239,'Both teabags AfterDry'!$A$1:$A$839,0)),"")="N.A","",(IFERROR(INDEX('Both teabags AfterDry'!$D$1:$D$839,MATCH(H239,'Both teabags AfterDry'!$A$1:$A$839,0)),"")))</f>
        <v>0.82040000000000002</v>
      </c>
      <c r="P239" s="195">
        <f>IF(IFERROR(INDEX('Both teabags AfterDry'!$D$1:$D$839,MATCH(I239,'Both teabags AfterDry'!$A$1:$A$839,0)),"")="N.A","",(IFERROR(INDEX('Both teabags AfterDry'!$D$1:$D$839,MATCH(I239,'Both teabags AfterDry'!$A$1:$A$839,0)),"")))</f>
        <v>1.8293999999999999</v>
      </c>
      <c r="Q239" s="195">
        <f t="shared" si="23"/>
        <v>0.66979999999999995</v>
      </c>
      <c r="R239" s="195">
        <f t="shared" si="23"/>
        <v>1.6787999999999998</v>
      </c>
      <c r="S239" s="195">
        <f t="shared" si="18"/>
        <v>0.61152998492054289</v>
      </c>
      <c r="T239" s="195">
        <f t="shared" si="24"/>
        <v>0.40090801861774311</v>
      </c>
      <c r="U239" s="195">
        <f t="shared" si="19"/>
        <v>0.90442840211184139</v>
      </c>
      <c r="V239">
        <f t="shared" si="20"/>
        <v>69</v>
      </c>
      <c r="W239" s="195">
        <f t="shared" si="25"/>
        <v>0.27371735757655236</v>
      </c>
      <c r="X239" s="195">
        <f t="shared" si="26"/>
        <v>3.946635267748552E-3</v>
      </c>
      <c r="Y239" s="255" t="str">
        <f>IF(ISNUMBER(SEARCH("C", 'Dry_Litterbag Placem_Collection'!T166)),"YES","NO")</f>
        <v>NO</v>
      </c>
      <c r="Z239" s="255" t="str">
        <f>IF(ISNUMBER(SEARCH("H", 'Dry_Litterbag Placem_Collection'!T166)),"YES","NO")</f>
        <v>NO</v>
      </c>
      <c r="AA239" s="255" t="str">
        <f>IF(ISNUMBER(SEARCH("R", 'Dry_Litterbag Placem_Collection'!T166)),"YES","NO")</f>
        <v>NO</v>
      </c>
      <c r="AB239" s="255" t="str">
        <f>IF(ISNUMBER(SEARCH("C", 'Dry_Litterbag Placem_Collection'!S166)),"YES","NO")</f>
        <v>NO</v>
      </c>
      <c r="AC239" s="255" t="str">
        <f>IF(ISNUMBER(SEARCH("H", 'Dry_Litterbag Placem_Collection'!S166)),"YES","NO")</f>
        <v>NO</v>
      </c>
      <c r="AD239" s="255" t="str">
        <f>IF(ISNUMBER(SEARCH("R", 'Dry_Litterbag Placem_Collection'!S166)),"YES","NO")</f>
        <v>YES</v>
      </c>
    </row>
    <row r="240" spans="2:30">
      <c r="B240" t="str">
        <f>'Final data_for_R_analysis_Dryse'!A166</f>
        <v>Dry</v>
      </c>
      <c r="C240" s="263">
        <f>'Final data_for_R_analysis_Dryse'!B166</f>
        <v>165</v>
      </c>
      <c r="D240" t="s">
        <v>3851</v>
      </c>
      <c r="E240" t="s">
        <v>22</v>
      </c>
      <c r="F240" s="387">
        <v>5</v>
      </c>
      <c r="G240" s="16">
        <f>'Dry_Litterbag Placem_Collection'!E167</f>
        <v>42940</v>
      </c>
      <c r="H240" t="str">
        <f>'Final data_for_R_analysis_Dryse'!J166</f>
        <v>G85</v>
      </c>
      <c r="I240" t="str">
        <f>'Final data_for_R_analysis_Dryse'!J386</f>
        <v>R127</v>
      </c>
      <c r="J240">
        <f>IFERROR(INDEX('Green_rooibos initial weight'!$C$5:$C$1749,MATCH(H240, 'Green_rooibos initial weight'!$A$5:$A$1749,0)),"")</f>
        <v>2.1360000000000001</v>
      </c>
      <c r="K240">
        <f>IFERROR(INDEX('Green_rooibos initial weight'!$C$5:$C$1749,MATCH(I240, 'Green_rooibos initial weight'!$A$5:$A$1749,0)),"")</f>
        <v>2.1869999999999998</v>
      </c>
      <c r="L240" s="195">
        <f t="shared" si="21"/>
        <v>1.8862000000000001</v>
      </c>
      <c r="M240" s="195">
        <f t="shared" si="22"/>
        <v>1.9371999999999998</v>
      </c>
      <c r="N240" s="16">
        <f>IF('Dry_Litterbag Placem_Collection'!G167="N.A","",'Dry_Litterbag Placem_Collection'!G167)</f>
        <v>43009</v>
      </c>
      <c r="O240" s="195">
        <f>IF(IFERROR(INDEX('Both teabags AfterDry'!$D$1:$D$839,MATCH(H240,'Both teabags AfterDry'!$A$1:$A$839,0)),"")="N.A","",(IFERROR(INDEX('Both teabags AfterDry'!$D$1:$D$839,MATCH(H240,'Both teabags AfterDry'!$A$1:$A$839,0)),"")))</f>
        <v>0.84360000000000002</v>
      </c>
      <c r="P240" s="195">
        <f>IF(IFERROR(INDEX('Both teabags AfterDry'!$D$1:$D$839,MATCH(I240,'Both teabags AfterDry'!$A$1:$A$839,0)),"")="N.A","",(IFERROR(INDEX('Both teabags AfterDry'!$D$1:$D$839,MATCH(I240,'Both teabags AfterDry'!$A$1:$A$839,0)),"")))</f>
        <v>1.7946</v>
      </c>
      <c r="Q240" s="195">
        <f t="shared" si="23"/>
        <v>0.69300000000000006</v>
      </c>
      <c r="R240" s="195">
        <f t="shared" si="23"/>
        <v>1.6439999999999999</v>
      </c>
      <c r="S240" s="195">
        <f t="shared" si="18"/>
        <v>0.63259463471530064</v>
      </c>
      <c r="T240" s="195">
        <f t="shared" si="24"/>
        <v>0.41471762275872448</v>
      </c>
      <c r="U240" s="195">
        <f t="shared" si="19"/>
        <v>0.84864753252116465</v>
      </c>
      <c r="V240">
        <f t="shared" si="20"/>
        <v>69</v>
      </c>
      <c r="W240" s="195">
        <f t="shared" si="25"/>
        <v>0.24869995877042672</v>
      </c>
      <c r="X240" s="195">
        <f t="shared" si="26"/>
        <v>6.5805270901542409E-3</v>
      </c>
      <c r="Y240" s="255" t="str">
        <f>IF(ISNUMBER(SEARCH("C", 'Dry_Litterbag Placem_Collection'!T167)),"YES","NO")</f>
        <v>NO</v>
      </c>
      <c r="Z240" s="255" t="str">
        <f>IF(ISNUMBER(SEARCH("H", 'Dry_Litterbag Placem_Collection'!T167)),"YES","NO")</f>
        <v>NO</v>
      </c>
      <c r="AA240" s="255" t="str">
        <f>IF(ISNUMBER(SEARCH("R", 'Dry_Litterbag Placem_Collection'!T167)),"YES","NO")</f>
        <v>NO</v>
      </c>
      <c r="AB240" s="255" t="str">
        <f>IF(ISNUMBER(SEARCH("C", 'Dry_Litterbag Placem_Collection'!S167)),"YES","NO")</f>
        <v>NO</v>
      </c>
      <c r="AC240" s="255" t="str">
        <f>IF(ISNUMBER(SEARCH("H", 'Dry_Litterbag Placem_Collection'!S167)),"YES","NO")</f>
        <v>NO</v>
      </c>
      <c r="AD240" s="255" t="str">
        <f>IF(ISNUMBER(SEARCH("R", 'Dry_Litterbag Placem_Collection'!S167)),"YES","NO")</f>
        <v>NO</v>
      </c>
    </row>
    <row r="241" spans="2:30">
      <c r="B241" t="str">
        <f>'Final data_for_R_analysis_Dryse'!A167</f>
        <v>Dry</v>
      </c>
      <c r="C241" s="263">
        <f>'Final data_for_R_analysis_Dryse'!B167</f>
        <v>166</v>
      </c>
      <c r="D241" t="s">
        <v>3851</v>
      </c>
      <c r="E241" t="s">
        <v>22</v>
      </c>
      <c r="F241" s="387">
        <v>6</v>
      </c>
      <c r="G241" s="16">
        <f>'Dry_Litterbag Placem_Collection'!E168</f>
        <v>42940</v>
      </c>
      <c r="H241" t="str">
        <f>'Final data_for_R_analysis_Dryse'!J167</f>
        <v>G1</v>
      </c>
      <c r="I241" t="str">
        <f>'Final data_for_R_analysis_Dryse'!J387</f>
        <v>R752</v>
      </c>
      <c r="J241">
        <f>IFERROR(INDEX('Green_rooibos initial weight'!$C$5:$C$1749,MATCH(H241, 'Green_rooibos initial weight'!$A$5:$A$1749,0)),"")</f>
        <v>1.9870000000000001</v>
      </c>
      <c r="K241">
        <f>IFERROR(INDEX('Green_rooibos initial weight'!$C$5:$C$1749,MATCH(I241, 'Green_rooibos initial weight'!$A$5:$A$1749,0)),"")</f>
        <v>2.1970000000000001</v>
      </c>
      <c r="L241" s="195">
        <f t="shared" si="21"/>
        <v>1.7372000000000001</v>
      </c>
      <c r="M241" s="195">
        <f t="shared" si="22"/>
        <v>1.9472</v>
      </c>
      <c r="N241" s="16">
        <f>IF('Dry_Litterbag Placem_Collection'!G168="N.A","",'Dry_Litterbag Placem_Collection'!G168)</f>
        <v>43009</v>
      </c>
      <c r="O241" s="195">
        <f>IF(IFERROR(INDEX('Both teabags AfterDry'!$D$1:$D$839,MATCH(H241,'Both teabags AfterDry'!$A$1:$A$839,0)),"")="N.A","",(IFERROR(INDEX('Both teabags AfterDry'!$D$1:$D$839,MATCH(H241,'Both teabags AfterDry'!$A$1:$A$839,0)),"")))</f>
        <v>0.85040000000000004</v>
      </c>
      <c r="P241" s="195">
        <f>IF(IFERROR(INDEX('Both teabags AfterDry'!$D$1:$D$839,MATCH(I241,'Both teabags AfterDry'!$A$1:$A$839,0)),"")="N.A","",(IFERROR(INDEX('Both teabags AfterDry'!$D$1:$D$839,MATCH(I241,'Both teabags AfterDry'!$A$1:$A$839,0)),"")))</f>
        <v>1.6897</v>
      </c>
      <c r="Q241" s="195">
        <f t="shared" si="23"/>
        <v>0.69979999999999998</v>
      </c>
      <c r="R241" s="195">
        <f t="shared" si="23"/>
        <v>1.5390999999999999</v>
      </c>
      <c r="S241" s="195">
        <f t="shared" si="18"/>
        <v>0.59716785632051583</v>
      </c>
      <c r="T241" s="195">
        <f t="shared" si="24"/>
        <v>0.39149246637639523</v>
      </c>
      <c r="U241" s="195">
        <f t="shared" si="19"/>
        <v>0.79041700903861944</v>
      </c>
      <c r="V241">
        <f t="shared" si="20"/>
        <v>69</v>
      </c>
      <c r="W241" s="195">
        <f t="shared" si="25"/>
        <v>0.29077451743406668</v>
      </c>
      <c r="X241" s="195">
        <f t="shared" si="26"/>
        <v>1.1108073866154958E-2</v>
      </c>
      <c r="Y241" s="255" t="str">
        <f>IF(ISNUMBER(SEARCH("C", 'Dry_Litterbag Placem_Collection'!T168)),"YES","NO")</f>
        <v>NO</v>
      </c>
      <c r="Z241" s="255" t="str">
        <f>IF(ISNUMBER(SEARCH("H", 'Dry_Litterbag Placem_Collection'!T168)),"YES","NO")</f>
        <v>NO</v>
      </c>
      <c r="AA241" s="255" t="str">
        <f>IF(ISNUMBER(SEARCH("R", 'Dry_Litterbag Placem_Collection'!T168)),"YES","NO")</f>
        <v>NO</v>
      </c>
      <c r="AB241" s="255" t="str">
        <f>IF(ISNUMBER(SEARCH("C", 'Dry_Litterbag Placem_Collection'!S168)),"YES","NO")</f>
        <v>NO</v>
      </c>
      <c r="AC241" s="255" t="str">
        <f>IF(ISNUMBER(SEARCH("H", 'Dry_Litterbag Placem_Collection'!S168)),"YES","NO")</f>
        <v>NO</v>
      </c>
      <c r="AD241" s="255" t="str">
        <f>IF(ISNUMBER(SEARCH("R", 'Dry_Litterbag Placem_Collection'!S168)),"YES","NO")</f>
        <v>YES</v>
      </c>
    </row>
    <row r="242" spans="2:30">
      <c r="B242" t="str">
        <f>'Final data_for_R_analysis_Dryse'!A168</f>
        <v>Dry</v>
      </c>
      <c r="C242" s="263">
        <f>'Final data_for_R_analysis_Dryse'!B168</f>
        <v>167</v>
      </c>
      <c r="D242" t="s">
        <v>3851</v>
      </c>
      <c r="E242" t="s">
        <v>22</v>
      </c>
      <c r="F242" s="387">
        <v>7</v>
      </c>
      <c r="G242" s="16">
        <f>'Dry_Litterbag Placem_Collection'!E169</f>
        <v>0</v>
      </c>
      <c r="H242" t="str">
        <f>'Final data_for_R_analysis_Dryse'!J168</f>
        <v/>
      </c>
      <c r="I242" t="str">
        <f>'Final data_for_R_analysis_Dryse'!J388</f>
        <v/>
      </c>
      <c r="J242" t="str">
        <f>IFERROR(INDEX('Green_rooibos initial weight'!$C$5:$C$1749,MATCH(H242, 'Green_rooibos initial weight'!$A$5:$A$1749,0)),"")</f>
        <v/>
      </c>
      <c r="K242" t="str">
        <f>IFERROR(INDEX('Green_rooibos initial weight'!$C$5:$C$1749,MATCH(I242, 'Green_rooibos initial weight'!$A$5:$A$1749,0)),"")</f>
        <v/>
      </c>
      <c r="L242" s="195" t="str">
        <f t="shared" si="21"/>
        <v/>
      </c>
      <c r="M242" s="195" t="str">
        <f t="shared" si="22"/>
        <v/>
      </c>
      <c r="N242" s="16">
        <f>IF('Dry_Litterbag Placem_Collection'!G169="N.A","",'Dry_Litterbag Placem_Collection'!G169)</f>
        <v>0</v>
      </c>
      <c r="O242" s="195" t="str">
        <f>IF(IFERROR(INDEX('Both teabags AfterDry'!$D$1:$D$839,MATCH(H242,'Both teabags AfterDry'!$A$1:$A$839,0)),"")="N.A","",(IFERROR(INDEX('Both teabags AfterDry'!$D$1:$D$839,MATCH(H242,'Both teabags AfterDry'!$A$1:$A$839,0)),"")))</f>
        <v/>
      </c>
      <c r="P242" s="195" t="str">
        <f>IF(IFERROR(INDEX('Both teabags AfterDry'!$D$1:$D$839,MATCH(I242,'Both teabags AfterDry'!$A$1:$A$839,0)),"")="N.A","",(IFERROR(INDEX('Both teabags AfterDry'!$D$1:$D$839,MATCH(I242,'Both teabags AfterDry'!$A$1:$A$839,0)),"")))</f>
        <v/>
      </c>
      <c r="Q242" s="195" t="str">
        <f t="shared" si="23"/>
        <v/>
      </c>
      <c r="R242" s="195" t="str">
        <f t="shared" si="23"/>
        <v/>
      </c>
      <c r="S242" s="195" t="str">
        <f t="shared" si="18"/>
        <v/>
      </c>
      <c r="T242" s="195" t="str">
        <f t="shared" si="24"/>
        <v/>
      </c>
      <c r="U242" s="195" t="str">
        <f t="shared" si="19"/>
        <v/>
      </c>
      <c r="V242" t="str">
        <f t="shared" si="20"/>
        <v/>
      </c>
      <c r="W242" s="195" t="str">
        <f t="shared" si="25"/>
        <v/>
      </c>
      <c r="X242" s="195" t="str">
        <f t="shared" si="26"/>
        <v/>
      </c>
      <c r="Y242" s="255" t="str">
        <f>IF(ISNUMBER(SEARCH("C", 'Dry_Litterbag Placem_Collection'!T169)),"YES","NO")</f>
        <v>NO</v>
      </c>
      <c r="Z242" s="255" t="str">
        <f>IF(ISNUMBER(SEARCH("H", 'Dry_Litterbag Placem_Collection'!T169)),"YES","NO")</f>
        <v>NO</v>
      </c>
      <c r="AA242" s="255" t="str">
        <f>IF(ISNUMBER(SEARCH("R", 'Dry_Litterbag Placem_Collection'!T169)),"YES","NO")</f>
        <v>NO</v>
      </c>
      <c r="AB242" s="255" t="str">
        <f>IF(ISNUMBER(SEARCH("C", 'Dry_Litterbag Placem_Collection'!S169)),"YES","NO")</f>
        <v>NO</v>
      </c>
      <c r="AC242" s="255" t="str">
        <f>IF(ISNUMBER(SEARCH("H", 'Dry_Litterbag Placem_Collection'!S169)),"YES","NO")</f>
        <v>NO</v>
      </c>
      <c r="AD242" s="255" t="str">
        <f>IF(ISNUMBER(SEARCH("R", 'Dry_Litterbag Placem_Collection'!S169)),"YES","NO")</f>
        <v>NO</v>
      </c>
    </row>
    <row r="243" spans="2:30">
      <c r="B243" t="str">
        <f>'Final data_for_R_analysis_Dryse'!A169</f>
        <v>Dry</v>
      </c>
      <c r="C243" s="263">
        <f>'Final data_for_R_analysis_Dryse'!B169</f>
        <v>168</v>
      </c>
      <c r="D243" t="s">
        <v>3851</v>
      </c>
      <c r="E243" t="s">
        <v>22</v>
      </c>
      <c r="F243" s="387">
        <v>8</v>
      </c>
      <c r="G243" s="16">
        <f>'Dry_Litterbag Placem_Collection'!E170</f>
        <v>42940</v>
      </c>
      <c r="H243" t="str">
        <f>'Final data_for_R_analysis_Dryse'!J169</f>
        <v>G70</v>
      </c>
      <c r="I243" t="str">
        <f>'Final data_for_R_analysis_Dryse'!J389</f>
        <v>R690</v>
      </c>
      <c r="J243">
        <f>IFERROR(INDEX('Green_rooibos initial weight'!$C$5:$C$1749,MATCH(H243, 'Green_rooibos initial weight'!$A$5:$A$1749,0)),"")</f>
        <v>2.0939999999999999</v>
      </c>
      <c r="K243">
        <f>IFERROR(INDEX('Green_rooibos initial weight'!$C$5:$C$1749,MATCH(I243, 'Green_rooibos initial weight'!$A$5:$A$1749,0)),"")</f>
        <v>2.141</v>
      </c>
      <c r="L243" s="195">
        <f t="shared" si="21"/>
        <v>1.8441999999999998</v>
      </c>
      <c r="M243" s="195">
        <f t="shared" si="22"/>
        <v>1.8912</v>
      </c>
      <c r="N243" s="16">
        <f>IF('Dry_Litterbag Placem_Collection'!G170="N.A","",'Dry_Litterbag Placem_Collection'!G170)</f>
        <v>43009</v>
      </c>
      <c r="O243" s="195" t="str">
        <f>IF(IFERROR(INDEX('Both teabags AfterDry'!$D$1:$D$839,MATCH(H243,'Both teabags AfterDry'!$A$1:$A$839,0)),"")="N.A","",(IFERROR(INDEX('Both teabags AfterDry'!$D$1:$D$839,MATCH(H243,'Both teabags AfterDry'!$A$1:$A$839,0)),"")))</f>
        <v/>
      </c>
      <c r="P243" s="195" t="str">
        <f>IF(IFERROR(INDEX('Both teabags AfterDry'!$D$1:$D$839,MATCH(I243,'Both teabags AfterDry'!$A$1:$A$839,0)),"")="N.A","",(IFERROR(INDEX('Both teabags AfterDry'!$D$1:$D$839,MATCH(I243,'Both teabags AfterDry'!$A$1:$A$839,0)),"")))</f>
        <v/>
      </c>
      <c r="Q243" s="195" t="str">
        <f t="shared" si="23"/>
        <v/>
      </c>
      <c r="R243" s="195" t="str">
        <f t="shared" si="23"/>
        <v/>
      </c>
      <c r="S243" s="195" t="str">
        <f t="shared" si="18"/>
        <v/>
      </c>
      <c r="T243" s="195" t="str">
        <f t="shared" si="24"/>
        <v/>
      </c>
      <c r="U243" s="195" t="str">
        <f t="shared" si="19"/>
        <v/>
      </c>
      <c r="V243">
        <f t="shared" si="20"/>
        <v>69</v>
      </c>
      <c r="W243" s="195" t="str">
        <f t="shared" si="25"/>
        <v/>
      </c>
      <c r="X243" s="195" t="str">
        <f t="shared" si="26"/>
        <v/>
      </c>
      <c r="Y243" s="255" t="str">
        <f>IF(ISNUMBER(SEARCH("C", 'Dry_Litterbag Placem_Collection'!T170)),"YES","NO")</f>
        <v>NO</v>
      </c>
      <c r="Z243" s="255" t="str">
        <f>IF(ISNUMBER(SEARCH("H", 'Dry_Litterbag Placem_Collection'!T170)),"YES","NO")</f>
        <v>YES</v>
      </c>
      <c r="AA243" s="255" t="str">
        <f>IF(ISNUMBER(SEARCH("R", 'Dry_Litterbag Placem_Collection'!T170)),"YES","NO")</f>
        <v>NO</v>
      </c>
      <c r="AB243" s="255" t="str">
        <f>IF(ISNUMBER(SEARCH("C", 'Dry_Litterbag Placem_Collection'!S170)),"YES","NO")</f>
        <v>NO</v>
      </c>
      <c r="AC243" s="255" t="str">
        <f>IF(ISNUMBER(SEARCH("H", 'Dry_Litterbag Placem_Collection'!S170)),"YES","NO")</f>
        <v>NO</v>
      </c>
      <c r="AD243" s="255" t="str">
        <f>IF(ISNUMBER(SEARCH("R", 'Dry_Litterbag Placem_Collection'!S170)),"YES","NO")</f>
        <v>YES</v>
      </c>
    </row>
    <row r="244" spans="2:30">
      <c r="B244" t="str">
        <f>'Final data_for_R_analysis_Dryse'!A170</f>
        <v>Dry</v>
      </c>
      <c r="C244" s="263">
        <f>'Final data_for_R_analysis_Dryse'!B170</f>
        <v>169</v>
      </c>
      <c r="D244" t="s">
        <v>3853</v>
      </c>
      <c r="E244" t="s">
        <v>22</v>
      </c>
      <c r="F244" s="386">
        <v>1</v>
      </c>
      <c r="G244" s="16">
        <f>'Dry_Litterbag Placem_Collection'!E171</f>
        <v>42940</v>
      </c>
      <c r="H244" t="str">
        <f>'Final data_for_R_analysis_Dryse'!J170</f>
        <v>G250</v>
      </c>
      <c r="I244" t="str">
        <f>'Final data_for_R_analysis_Dryse'!J390</f>
        <v>R684</v>
      </c>
      <c r="J244">
        <f>IFERROR(INDEX('Green_rooibos initial weight'!$C$5:$C$1749,MATCH(H244, 'Green_rooibos initial weight'!$A$5:$A$1749,0)),"")</f>
        <v>2.0139999999999998</v>
      </c>
      <c r="K244">
        <f>IFERROR(INDEX('Green_rooibos initial weight'!$C$5:$C$1749,MATCH(I244, 'Green_rooibos initial weight'!$A$5:$A$1749,0)),"")</f>
        <v>2.1139999999999999</v>
      </c>
      <c r="L244" s="195">
        <f t="shared" si="21"/>
        <v>1.7641999999999998</v>
      </c>
      <c r="M244" s="195">
        <f t="shared" si="22"/>
        <v>1.8641999999999999</v>
      </c>
      <c r="N244" s="16">
        <f>IF('Dry_Litterbag Placem_Collection'!G171="N.A","",'Dry_Litterbag Placem_Collection'!G171)</f>
        <v>43009</v>
      </c>
      <c r="O244" s="195">
        <f>IF(IFERROR(INDEX('Both teabags AfterDry'!$D$1:$D$839,MATCH(H244,'Both teabags AfterDry'!$A$1:$A$839,0)),"")="N.A","",(IFERROR(INDEX('Both teabags AfterDry'!$D$1:$D$839,MATCH(H244,'Both teabags AfterDry'!$A$1:$A$839,0)),"")))</f>
        <v>0.80610000000000004</v>
      </c>
      <c r="P244" s="195">
        <f>IF(IFERROR(INDEX('Both teabags AfterDry'!$D$1:$D$839,MATCH(I244,'Both teabags AfterDry'!$A$1:$A$839,0)),"")="N.A","",(IFERROR(INDEX('Both teabags AfterDry'!$D$1:$D$839,MATCH(I244,'Both teabags AfterDry'!$A$1:$A$839,0)),"")))</f>
        <v>1.8154999999999999</v>
      </c>
      <c r="Q244" s="195">
        <f t="shared" si="23"/>
        <v>0.65549999999999997</v>
      </c>
      <c r="R244" s="195">
        <f t="shared" si="23"/>
        <v>1.6648999999999998</v>
      </c>
      <c r="S244" s="195">
        <f t="shared" si="18"/>
        <v>0.62844348713297804</v>
      </c>
      <c r="T244" s="195">
        <f t="shared" si="24"/>
        <v>0.41199620534133485</v>
      </c>
      <c r="U244" s="195">
        <f t="shared" si="19"/>
        <v>0.89309087007831778</v>
      </c>
      <c r="V244">
        <f t="shared" si="20"/>
        <v>69</v>
      </c>
      <c r="W244" s="195">
        <f t="shared" si="25"/>
        <v>0.25363006278743694</v>
      </c>
      <c r="X244" s="195">
        <f t="shared" si="26"/>
        <v>4.3538682598459029E-3</v>
      </c>
      <c r="Y244" s="255" t="str">
        <f>IF(ISNUMBER(SEARCH("C", 'Dry_Litterbag Placem_Collection'!T171)),"YES","NO")</f>
        <v>YES</v>
      </c>
      <c r="Z244" s="255" t="str">
        <f>IF(ISNUMBER(SEARCH("H", 'Dry_Litterbag Placem_Collection'!T171)),"YES","NO")</f>
        <v>NO</v>
      </c>
      <c r="AA244" s="255" t="str">
        <f>IF(ISNUMBER(SEARCH("R", 'Dry_Litterbag Placem_Collection'!T171)),"YES","NO")</f>
        <v>NO</v>
      </c>
      <c r="AB244" s="255" t="str">
        <f>IF(ISNUMBER(SEARCH("C", 'Dry_Litterbag Placem_Collection'!S171)),"YES","NO")</f>
        <v>NO</v>
      </c>
      <c r="AC244" s="255" t="str">
        <f>IF(ISNUMBER(SEARCH("H", 'Dry_Litterbag Placem_Collection'!S171)),"YES","NO")</f>
        <v>NO</v>
      </c>
      <c r="AD244" s="255" t="str">
        <f>IF(ISNUMBER(SEARCH("R", 'Dry_Litterbag Placem_Collection'!S171)),"YES","NO")</f>
        <v>YES</v>
      </c>
    </row>
    <row r="245" spans="2:30">
      <c r="B245" t="str">
        <f>'Final data_for_R_analysis_Dryse'!A171</f>
        <v>Dry</v>
      </c>
      <c r="C245" s="263">
        <f>'Final data_for_R_analysis_Dryse'!B171</f>
        <v>170</v>
      </c>
      <c r="D245" t="s">
        <v>3853</v>
      </c>
      <c r="E245" t="s">
        <v>22</v>
      </c>
      <c r="F245" s="386">
        <v>2</v>
      </c>
      <c r="G245" s="16">
        <f>'Dry_Litterbag Placem_Collection'!E172</f>
        <v>42940</v>
      </c>
      <c r="H245" t="str">
        <f>'Final data_for_R_analysis_Dryse'!J171</f>
        <v>G624</v>
      </c>
      <c r="I245" t="str">
        <f>'Final data_for_R_analysis_Dryse'!J391</f>
        <v>R694</v>
      </c>
      <c r="J245">
        <f>IFERROR(INDEX('Green_rooibos initial weight'!$C$5:$C$1749,MATCH(H245, 'Green_rooibos initial weight'!$A$5:$A$1749,0)),"")</f>
        <v>2.024</v>
      </c>
      <c r="K245">
        <f>IFERROR(INDEX('Green_rooibos initial weight'!$C$5:$C$1749,MATCH(I245, 'Green_rooibos initial weight'!$A$5:$A$1749,0)),"")</f>
        <v>2.23</v>
      </c>
      <c r="L245" s="195">
        <f t="shared" si="21"/>
        <v>1.7742</v>
      </c>
      <c r="M245" s="195">
        <f t="shared" si="22"/>
        <v>1.9802</v>
      </c>
      <c r="N245" s="16">
        <f>IF('Dry_Litterbag Placem_Collection'!G172="N.A","",'Dry_Litterbag Placem_Collection'!G172)</f>
        <v>43009</v>
      </c>
      <c r="O245" s="195">
        <f>IF(IFERROR(INDEX('Both teabags AfterDry'!$D$1:$D$839,MATCH(H245,'Both teabags AfterDry'!$A$1:$A$839,0)),"")="N.A","",(IFERROR(INDEX('Both teabags AfterDry'!$D$1:$D$839,MATCH(H245,'Both teabags AfterDry'!$A$1:$A$839,0)),"")))</f>
        <v>0.94779999999999998</v>
      </c>
      <c r="P245" s="195">
        <f>IF(IFERROR(INDEX('Both teabags AfterDry'!$D$1:$D$839,MATCH(I245,'Both teabags AfterDry'!$A$1:$A$839,0)),"")="N.A","",(IFERROR(INDEX('Both teabags AfterDry'!$D$1:$D$839,MATCH(I245,'Both teabags AfterDry'!$A$1:$A$839,0)),"")))</f>
        <v>1.7605</v>
      </c>
      <c r="Q245" s="195">
        <f t="shared" si="23"/>
        <v>0.79719999999999991</v>
      </c>
      <c r="R245" s="195">
        <f t="shared" si="23"/>
        <v>1.6098999999999999</v>
      </c>
      <c r="S245" s="195">
        <f t="shared" si="18"/>
        <v>0.55067072483372792</v>
      </c>
      <c r="T245" s="195">
        <f t="shared" si="24"/>
        <v>0.3610097863518027</v>
      </c>
      <c r="U245" s="195">
        <f t="shared" si="19"/>
        <v>0.81299868700131295</v>
      </c>
      <c r="V245">
        <f t="shared" si="20"/>
        <v>69</v>
      </c>
      <c r="W245" s="195">
        <f t="shared" si="25"/>
        <v>0.34599676385542999</v>
      </c>
      <c r="X245" s="195">
        <f t="shared" si="26"/>
        <v>1.0576827123371818E-2</v>
      </c>
      <c r="Y245" s="255" t="str">
        <f>IF(ISNUMBER(SEARCH("C", 'Dry_Litterbag Placem_Collection'!T172)),"YES","NO")</f>
        <v>NO</v>
      </c>
      <c r="Z245" s="255" t="str">
        <f>IF(ISNUMBER(SEARCH("H", 'Dry_Litterbag Placem_Collection'!T172)),"YES","NO")</f>
        <v>NO</v>
      </c>
      <c r="AA245" s="255" t="str">
        <f>IF(ISNUMBER(SEARCH("R", 'Dry_Litterbag Placem_Collection'!T172)),"YES","NO")</f>
        <v>YES</v>
      </c>
      <c r="AB245" s="255" t="str">
        <f>IF(ISNUMBER(SEARCH("C", 'Dry_Litterbag Placem_Collection'!S172)),"YES","NO")</f>
        <v>NO</v>
      </c>
      <c r="AC245" s="255" t="str">
        <f>IF(ISNUMBER(SEARCH("H", 'Dry_Litterbag Placem_Collection'!S172)),"YES","NO")</f>
        <v>YES</v>
      </c>
      <c r="AD245" s="255" t="str">
        <f>IF(ISNUMBER(SEARCH("R", 'Dry_Litterbag Placem_Collection'!S172)),"YES","NO")</f>
        <v>YES</v>
      </c>
    </row>
    <row r="246" spans="2:30">
      <c r="B246" t="str">
        <f>'Final data_for_R_analysis_Dryse'!A172</f>
        <v>Dry</v>
      </c>
      <c r="C246" s="263">
        <f>'Final data_for_R_analysis_Dryse'!B172</f>
        <v>171</v>
      </c>
      <c r="D246" t="s">
        <v>3853</v>
      </c>
      <c r="E246" t="s">
        <v>22</v>
      </c>
      <c r="F246" s="386">
        <v>3</v>
      </c>
      <c r="G246" s="16">
        <f>'Dry_Litterbag Placem_Collection'!E173</f>
        <v>42940</v>
      </c>
      <c r="H246" t="str">
        <f>'Final data_for_R_analysis_Dryse'!J172</f>
        <v>G149</v>
      </c>
      <c r="I246" t="str">
        <f>'Final data_for_R_analysis_Dryse'!J392</f>
        <v>R655</v>
      </c>
      <c r="J246">
        <f>IFERROR(INDEX('Green_rooibos initial weight'!$C$5:$C$1749,MATCH(H246, 'Green_rooibos initial weight'!$A$5:$A$1749,0)),"")</f>
        <v>2.1789999999999998</v>
      </c>
      <c r="K246">
        <f>IFERROR(INDEX('Green_rooibos initial weight'!$C$5:$C$1749,MATCH(I246, 'Green_rooibos initial weight'!$A$5:$A$1749,0)),"")</f>
        <v>2.1779999999999999</v>
      </c>
      <c r="L246" s="195">
        <f t="shared" si="21"/>
        <v>1.9291999999999998</v>
      </c>
      <c r="M246" s="195">
        <f t="shared" si="22"/>
        <v>1.9281999999999999</v>
      </c>
      <c r="N246" s="16">
        <f>IF('Dry_Litterbag Placem_Collection'!G173="N.A","",'Dry_Litterbag Placem_Collection'!G173)</f>
        <v>43009</v>
      </c>
      <c r="O246" s="195">
        <f>IF(IFERROR(INDEX('Both teabags AfterDry'!$D$1:$D$839,MATCH(H246,'Both teabags AfterDry'!$A$1:$A$839,0)),"")="N.A","",(IFERROR(INDEX('Both teabags AfterDry'!$D$1:$D$839,MATCH(H246,'Both teabags AfterDry'!$A$1:$A$839,0)),"")))</f>
        <v>0.75890000000000002</v>
      </c>
      <c r="P246" s="195">
        <f>IF(IFERROR(INDEX('Both teabags AfterDry'!$D$1:$D$839,MATCH(I246,'Both teabags AfterDry'!$A$1:$A$839,0)),"")="N.A","",(IFERROR(INDEX('Both teabags AfterDry'!$D$1:$D$839,MATCH(I246,'Both teabags AfterDry'!$A$1:$A$839,0)),"")))</f>
        <v>3.7545000000000002</v>
      </c>
      <c r="Q246" s="195">
        <f t="shared" si="23"/>
        <v>0.60830000000000006</v>
      </c>
      <c r="R246" s="195">
        <f t="shared" si="23"/>
        <v>3.6039000000000003</v>
      </c>
      <c r="S246" s="195">
        <f t="shared" si="18"/>
        <v>0.68468795355587808</v>
      </c>
      <c r="T246" s="195">
        <f t="shared" si="24"/>
        <v>0.44886906218865169</v>
      </c>
      <c r="U246" s="195">
        <f t="shared" si="19"/>
        <v>1.869048853853335</v>
      </c>
      <c r="V246">
        <f t="shared" si="20"/>
        <v>69</v>
      </c>
      <c r="W246" s="195">
        <f t="shared" si="25"/>
        <v>0.18683140907852958</v>
      </c>
      <c r="X246" s="195">
        <f t="shared" si="26"/>
        <v>-1.5609814633218087E-2</v>
      </c>
      <c r="Y246" s="255" t="str">
        <f>IF(ISNUMBER(SEARCH("C", 'Dry_Litterbag Placem_Collection'!T173)),"YES","NO")</f>
        <v>NO</v>
      </c>
      <c r="Z246" s="255" t="str">
        <f>IF(ISNUMBER(SEARCH("H", 'Dry_Litterbag Placem_Collection'!T173)),"YES","NO")</f>
        <v>YES</v>
      </c>
      <c r="AA246" s="255" t="str">
        <f>IF(ISNUMBER(SEARCH("R", 'Dry_Litterbag Placem_Collection'!T173)),"YES","NO")</f>
        <v>YES</v>
      </c>
      <c r="AB246" s="255" t="str">
        <f>IF(ISNUMBER(SEARCH("C", 'Dry_Litterbag Placem_Collection'!S173)),"YES","NO")</f>
        <v>NO</v>
      </c>
      <c r="AC246" s="255" t="str">
        <f>IF(ISNUMBER(SEARCH("H", 'Dry_Litterbag Placem_Collection'!S173)),"YES","NO")</f>
        <v>NO</v>
      </c>
      <c r="AD246" s="255" t="str">
        <f>IF(ISNUMBER(SEARCH("R", 'Dry_Litterbag Placem_Collection'!S173)),"YES","NO")</f>
        <v>YES</v>
      </c>
    </row>
    <row r="247" spans="2:30">
      <c r="B247" t="str">
        <f>'Final data_for_R_analysis_Dryse'!A173</f>
        <v>Dry</v>
      </c>
      <c r="C247" s="263">
        <f>'Final data_for_R_analysis_Dryse'!B173</f>
        <v>172</v>
      </c>
      <c r="D247" t="s">
        <v>3853</v>
      </c>
      <c r="E247" t="s">
        <v>22</v>
      </c>
      <c r="F247" s="387">
        <v>4</v>
      </c>
      <c r="G247" s="16">
        <f>'Dry_Litterbag Placem_Collection'!E174</f>
        <v>0</v>
      </c>
      <c r="H247" t="str">
        <f>'Final data_for_R_analysis_Dryse'!J173</f>
        <v/>
      </c>
      <c r="I247" t="str">
        <f>'Final data_for_R_analysis_Dryse'!J393</f>
        <v/>
      </c>
      <c r="J247" t="str">
        <f>IFERROR(INDEX('Green_rooibos initial weight'!$C$5:$C$1749,MATCH(H247, 'Green_rooibos initial weight'!$A$5:$A$1749,0)),"")</f>
        <v/>
      </c>
      <c r="K247" t="str">
        <f>IFERROR(INDEX('Green_rooibos initial weight'!$C$5:$C$1749,MATCH(I247, 'Green_rooibos initial weight'!$A$5:$A$1749,0)),"")</f>
        <v/>
      </c>
      <c r="L247" s="195" t="str">
        <f t="shared" si="21"/>
        <v/>
      </c>
      <c r="M247" s="195" t="str">
        <f t="shared" si="22"/>
        <v/>
      </c>
      <c r="N247" s="16">
        <f>IF('Dry_Litterbag Placem_Collection'!G174="N.A","",'Dry_Litterbag Placem_Collection'!G174)</f>
        <v>0</v>
      </c>
      <c r="O247" s="195" t="str">
        <f>IF(IFERROR(INDEX('Both teabags AfterDry'!$D$1:$D$839,MATCH(H247,'Both teabags AfterDry'!$A$1:$A$839,0)),"")="N.A","",(IFERROR(INDEX('Both teabags AfterDry'!$D$1:$D$839,MATCH(H247,'Both teabags AfterDry'!$A$1:$A$839,0)),"")))</f>
        <v/>
      </c>
      <c r="P247" s="195" t="str">
        <f>IF(IFERROR(INDEX('Both teabags AfterDry'!$D$1:$D$839,MATCH(I247,'Both teabags AfterDry'!$A$1:$A$839,0)),"")="N.A","",(IFERROR(INDEX('Both teabags AfterDry'!$D$1:$D$839,MATCH(I247,'Both teabags AfterDry'!$A$1:$A$839,0)),"")))</f>
        <v/>
      </c>
      <c r="Q247" s="195" t="str">
        <f t="shared" si="23"/>
        <v/>
      </c>
      <c r="R247" s="195" t="str">
        <f t="shared" si="23"/>
        <v/>
      </c>
      <c r="S247" s="195" t="str">
        <f t="shared" si="18"/>
        <v/>
      </c>
      <c r="T247" s="195" t="str">
        <f t="shared" si="24"/>
        <v/>
      </c>
      <c r="U247" s="195" t="str">
        <f t="shared" si="19"/>
        <v/>
      </c>
      <c r="V247" t="str">
        <f t="shared" si="20"/>
        <v/>
      </c>
      <c r="W247" s="195" t="str">
        <f t="shared" si="25"/>
        <v/>
      </c>
      <c r="X247" s="195" t="str">
        <f t="shared" si="26"/>
        <v/>
      </c>
      <c r="Y247" s="255" t="str">
        <f>IF(ISNUMBER(SEARCH("C", 'Dry_Litterbag Placem_Collection'!T174)),"YES","NO")</f>
        <v>NO</v>
      </c>
      <c r="Z247" s="255" t="str">
        <f>IF(ISNUMBER(SEARCH("H", 'Dry_Litterbag Placem_Collection'!T174)),"YES","NO")</f>
        <v>NO</v>
      </c>
      <c r="AA247" s="255" t="str">
        <f>IF(ISNUMBER(SEARCH("R", 'Dry_Litterbag Placem_Collection'!T174)),"YES","NO")</f>
        <v>NO</v>
      </c>
      <c r="AB247" s="255" t="str">
        <f>IF(ISNUMBER(SEARCH("C", 'Dry_Litterbag Placem_Collection'!S174)),"YES","NO")</f>
        <v>NO</v>
      </c>
      <c r="AC247" s="255" t="str">
        <f>IF(ISNUMBER(SEARCH("H", 'Dry_Litterbag Placem_Collection'!S174)),"YES","NO")</f>
        <v>NO</v>
      </c>
      <c r="AD247" s="255" t="str">
        <f>IF(ISNUMBER(SEARCH("R", 'Dry_Litterbag Placem_Collection'!S174)),"YES","NO")</f>
        <v>NO</v>
      </c>
    </row>
    <row r="248" spans="2:30">
      <c r="B248" t="str">
        <f>'Final data_for_R_analysis_Dryse'!A174</f>
        <v>Dry</v>
      </c>
      <c r="C248" s="263">
        <f>'Final data_for_R_analysis_Dryse'!B174</f>
        <v>173</v>
      </c>
      <c r="D248" t="s">
        <v>3853</v>
      </c>
      <c r="E248" t="s">
        <v>22</v>
      </c>
      <c r="F248" s="387">
        <v>5</v>
      </c>
      <c r="G248" s="16">
        <f>'Dry_Litterbag Placem_Collection'!E175</f>
        <v>42940</v>
      </c>
      <c r="H248" t="str">
        <f>'Final data_for_R_analysis_Dryse'!J174</f>
        <v>G597</v>
      </c>
      <c r="I248" t="str">
        <f>'Final data_for_R_analysis_Dryse'!J394</f>
        <v>R405</v>
      </c>
      <c r="J248">
        <f>IFERROR(INDEX('Green_rooibos initial weight'!$C$5:$C$1749,MATCH(H248, 'Green_rooibos initial weight'!$A$5:$A$1749,0)),"")</f>
        <v>1.948</v>
      </c>
      <c r="K248">
        <f>IFERROR(INDEX('Green_rooibos initial weight'!$C$5:$C$1749,MATCH(I248, 'Green_rooibos initial weight'!$A$5:$A$1749,0)),"")</f>
        <v>2.2400000000000002</v>
      </c>
      <c r="L248" s="195">
        <f t="shared" si="21"/>
        <v>1.6981999999999999</v>
      </c>
      <c r="M248" s="195">
        <f t="shared" si="22"/>
        <v>1.9902000000000002</v>
      </c>
      <c r="N248" s="16">
        <f>IF('Dry_Litterbag Placem_Collection'!G175="N.A","",'Dry_Litterbag Placem_Collection'!G175)</f>
        <v>43009</v>
      </c>
      <c r="O248" s="195" t="str">
        <f>IF(IFERROR(INDEX('Both teabags AfterDry'!$D$1:$D$839,MATCH(H248,'Both teabags AfterDry'!$A$1:$A$839,0)),"")="N.A","",(IFERROR(INDEX('Both teabags AfterDry'!$D$1:$D$839,MATCH(H248,'Both teabags AfterDry'!$A$1:$A$839,0)),"")))</f>
        <v/>
      </c>
      <c r="P248" s="195" t="str">
        <f>IF(IFERROR(INDEX('Both teabags AfterDry'!$D$1:$D$839,MATCH(I248,'Both teabags AfterDry'!$A$1:$A$839,0)),"")="N.A","",(IFERROR(INDEX('Both teabags AfterDry'!$D$1:$D$839,MATCH(I248,'Both teabags AfterDry'!$A$1:$A$839,0)),"")))</f>
        <v/>
      </c>
      <c r="Q248" s="195" t="str">
        <f t="shared" si="23"/>
        <v/>
      </c>
      <c r="R248" s="195" t="str">
        <f t="shared" si="23"/>
        <v/>
      </c>
      <c r="S248" s="195" t="str">
        <f t="shared" si="18"/>
        <v/>
      </c>
      <c r="T248" s="195" t="str">
        <f t="shared" si="24"/>
        <v/>
      </c>
      <c r="U248" s="195" t="str">
        <f t="shared" si="19"/>
        <v/>
      </c>
      <c r="V248">
        <f t="shared" si="20"/>
        <v>69</v>
      </c>
      <c r="W248" s="195" t="str">
        <f t="shared" si="25"/>
        <v/>
      </c>
      <c r="X248" s="195" t="str">
        <f t="shared" si="26"/>
        <v/>
      </c>
      <c r="Y248" s="255" t="str">
        <f>IF(ISNUMBER(SEARCH("C", 'Dry_Litterbag Placem_Collection'!T175)),"YES","NO")</f>
        <v>NO</v>
      </c>
      <c r="Z248" s="255" t="str">
        <f>IF(ISNUMBER(SEARCH("H", 'Dry_Litterbag Placem_Collection'!T175)),"YES","NO")</f>
        <v>YES</v>
      </c>
      <c r="AA248" s="255" t="str">
        <f>IF(ISNUMBER(SEARCH("R", 'Dry_Litterbag Placem_Collection'!T175)),"YES","NO")</f>
        <v>YES</v>
      </c>
      <c r="AB248" s="255" t="str">
        <f>IF(ISNUMBER(SEARCH("C", 'Dry_Litterbag Placem_Collection'!S175)),"YES","NO")</f>
        <v>NO</v>
      </c>
      <c r="AC248" s="255" t="str">
        <f>IF(ISNUMBER(SEARCH("H", 'Dry_Litterbag Placem_Collection'!S175)),"YES","NO")</f>
        <v>YES</v>
      </c>
      <c r="AD248" s="255" t="str">
        <f>IF(ISNUMBER(SEARCH("R", 'Dry_Litterbag Placem_Collection'!S175)),"YES","NO")</f>
        <v>YES</v>
      </c>
    </row>
    <row r="249" spans="2:30">
      <c r="B249" t="str">
        <f>'Final data_for_R_analysis_Dryse'!A175</f>
        <v>Dry</v>
      </c>
      <c r="C249" s="263">
        <f>'Final data_for_R_analysis_Dryse'!B175</f>
        <v>174</v>
      </c>
      <c r="D249" t="s">
        <v>3853</v>
      </c>
      <c r="E249" t="s">
        <v>22</v>
      </c>
      <c r="F249" s="387">
        <v>6</v>
      </c>
      <c r="G249" s="16">
        <f>'Dry_Litterbag Placem_Collection'!E176</f>
        <v>42940</v>
      </c>
      <c r="H249" t="str">
        <f>'Final data_for_R_analysis_Dryse'!J175</f>
        <v>G396</v>
      </c>
      <c r="I249" t="str">
        <f>'Final data_for_R_analysis_Dryse'!J395</f>
        <v>R736</v>
      </c>
      <c r="J249">
        <f>IFERROR(INDEX('Green_rooibos initial weight'!$C$5:$C$1749,MATCH(H249, 'Green_rooibos initial weight'!$A$5:$A$1749,0)),"")</f>
        <v>2.0070000000000001</v>
      </c>
      <c r="K249">
        <f>IFERROR(INDEX('Green_rooibos initial weight'!$C$5:$C$1749,MATCH(I249, 'Green_rooibos initial weight'!$A$5:$A$1749,0)),"")</f>
        <v>2.2189999999999999</v>
      </c>
      <c r="L249" s="195">
        <f t="shared" si="21"/>
        <v>1.7572000000000001</v>
      </c>
      <c r="M249" s="195">
        <f t="shared" si="22"/>
        <v>1.9691999999999998</v>
      </c>
      <c r="N249" s="16">
        <f>IF('Dry_Litterbag Placem_Collection'!G176="N.A","",'Dry_Litterbag Placem_Collection'!G176)</f>
        <v>43009</v>
      </c>
      <c r="O249" s="195">
        <f>IF(IFERROR(INDEX('Both teabags AfterDry'!$D$1:$D$839,MATCH(H249,'Both teabags AfterDry'!$A$1:$A$839,0)),"")="N.A","",(IFERROR(INDEX('Both teabags AfterDry'!$D$1:$D$839,MATCH(H249,'Both teabags AfterDry'!$A$1:$A$839,0)),"")))</f>
        <v>0.80349999999999999</v>
      </c>
      <c r="P249" s="195">
        <f>IF(IFERROR(INDEX('Both teabags AfterDry'!$D$1:$D$839,MATCH(I249,'Both teabags AfterDry'!$A$1:$A$839,0)),"")="N.A","",(IFERROR(INDEX('Both teabags AfterDry'!$D$1:$D$839,MATCH(I249,'Both teabags AfterDry'!$A$1:$A$839,0)),"")))</f>
        <v>1.6238999999999999</v>
      </c>
      <c r="Q249" s="195">
        <f t="shared" si="23"/>
        <v>0.65290000000000004</v>
      </c>
      <c r="R249" s="195">
        <f t="shared" si="23"/>
        <v>1.4732999999999998</v>
      </c>
      <c r="S249" s="195">
        <f t="shared" si="18"/>
        <v>0.62844297746414757</v>
      </c>
      <c r="T249" s="195">
        <f t="shared" si="24"/>
        <v>0.41199587121165027</v>
      </c>
      <c r="U249" s="195">
        <f t="shared" si="19"/>
        <v>0.74817184643510048</v>
      </c>
      <c r="V249">
        <f t="shared" si="20"/>
        <v>69</v>
      </c>
      <c r="W249" s="195">
        <f t="shared" si="25"/>
        <v>0.25363066809483659</v>
      </c>
      <c r="X249" s="195">
        <f t="shared" si="26"/>
        <v>1.3692635166048265E-2</v>
      </c>
      <c r="Y249" s="255" t="str">
        <f>IF(ISNUMBER(SEARCH("C", 'Dry_Litterbag Placem_Collection'!T176)),"YES","NO")</f>
        <v>NO</v>
      </c>
      <c r="Z249" s="255" t="str">
        <f>IF(ISNUMBER(SEARCH("H", 'Dry_Litterbag Placem_Collection'!T176)),"YES","NO")</f>
        <v>NO</v>
      </c>
      <c r="AA249" s="255" t="str">
        <f>IF(ISNUMBER(SEARCH("R", 'Dry_Litterbag Placem_Collection'!T176)),"YES","NO")</f>
        <v>YES</v>
      </c>
      <c r="AB249" s="255" t="str">
        <f>IF(ISNUMBER(SEARCH("C", 'Dry_Litterbag Placem_Collection'!S176)),"YES","NO")</f>
        <v>NO</v>
      </c>
      <c r="AC249" s="255" t="str">
        <f>IF(ISNUMBER(SEARCH("H", 'Dry_Litterbag Placem_Collection'!S176)),"YES","NO")</f>
        <v>YES</v>
      </c>
      <c r="AD249" s="255" t="str">
        <f>IF(ISNUMBER(SEARCH("R", 'Dry_Litterbag Placem_Collection'!S176)),"YES","NO")</f>
        <v>YES</v>
      </c>
    </row>
    <row r="250" spans="2:30">
      <c r="B250" t="str">
        <f>'Final data_for_R_analysis_Dryse'!A176</f>
        <v>Dry</v>
      </c>
      <c r="C250" s="263">
        <f>'Final data_for_R_analysis_Dryse'!B176</f>
        <v>175</v>
      </c>
      <c r="D250" t="s">
        <v>3853</v>
      </c>
      <c r="E250" t="s">
        <v>22</v>
      </c>
      <c r="F250" s="387">
        <v>7</v>
      </c>
      <c r="G250" s="16">
        <f>'Dry_Litterbag Placem_Collection'!E177</f>
        <v>42940</v>
      </c>
      <c r="H250" t="str">
        <f>'Final data_for_R_analysis_Dryse'!J176</f>
        <v>G612</v>
      </c>
      <c r="I250" t="str">
        <f>'Final data_for_R_analysis_Dryse'!J396</f>
        <v>R338</v>
      </c>
      <c r="J250">
        <f>IFERROR(INDEX('Green_rooibos initial weight'!$C$5:$C$1749,MATCH(H250, 'Green_rooibos initial weight'!$A$5:$A$1749,0)),"")</f>
        <v>2.004</v>
      </c>
      <c r="K250">
        <f>IFERROR(INDEX('Green_rooibos initial weight'!$C$5:$C$1749,MATCH(I250, 'Green_rooibos initial weight'!$A$5:$A$1749,0)),"")</f>
        <v>2.1709999999999998</v>
      </c>
      <c r="L250" s="195">
        <f t="shared" si="21"/>
        <v>1.7542</v>
      </c>
      <c r="M250" s="195">
        <f t="shared" si="22"/>
        <v>1.9211999999999998</v>
      </c>
      <c r="N250" s="16">
        <f>IF('Dry_Litterbag Placem_Collection'!G177="N.A","",'Dry_Litterbag Placem_Collection'!G177)</f>
        <v>43009</v>
      </c>
      <c r="O250" s="195">
        <f>IF(IFERROR(INDEX('Both teabags AfterDry'!$D$1:$D$839,MATCH(H250,'Both teabags AfterDry'!$A$1:$A$839,0)),"")="N.A","",(IFERROR(INDEX('Both teabags AfterDry'!$D$1:$D$839,MATCH(H250,'Both teabags AfterDry'!$A$1:$A$839,0)),"")))</f>
        <v>0.83</v>
      </c>
      <c r="P250" s="195">
        <f>IF(IFERROR(INDEX('Both teabags AfterDry'!$D$1:$D$839,MATCH(I250,'Both teabags AfterDry'!$A$1:$A$839,0)),"")="N.A","",(IFERROR(INDEX('Both teabags AfterDry'!$D$1:$D$839,MATCH(I250,'Both teabags AfterDry'!$A$1:$A$839,0)),"")))</f>
        <v>1.8117000000000001</v>
      </c>
      <c r="Q250" s="195">
        <f t="shared" si="23"/>
        <v>0.6794</v>
      </c>
      <c r="R250" s="195">
        <f t="shared" si="23"/>
        <v>1.6611</v>
      </c>
      <c r="S250" s="195">
        <f t="shared" si="18"/>
        <v>0.6127009463003078</v>
      </c>
      <c r="T250" s="195">
        <f t="shared" si="24"/>
        <v>0.40167567975982177</v>
      </c>
      <c r="U250" s="195">
        <f t="shared" si="19"/>
        <v>0.86461586508432242</v>
      </c>
      <c r="V250">
        <f t="shared" si="20"/>
        <v>69</v>
      </c>
      <c r="W250" s="195">
        <f t="shared" si="25"/>
        <v>0.27232666710177222</v>
      </c>
      <c r="X250" s="195">
        <f t="shared" si="26"/>
        <v>5.957293542268355E-3</v>
      </c>
      <c r="Y250" s="255" t="str">
        <f>IF(ISNUMBER(SEARCH("C", 'Dry_Litterbag Placem_Collection'!T177)),"YES","NO")</f>
        <v>NO</v>
      </c>
      <c r="Z250" s="255" t="str">
        <f>IF(ISNUMBER(SEARCH("H", 'Dry_Litterbag Placem_Collection'!T177)),"YES","NO")</f>
        <v>NO</v>
      </c>
      <c r="AA250" s="255" t="str">
        <f>IF(ISNUMBER(SEARCH("R", 'Dry_Litterbag Placem_Collection'!T177)),"YES","NO")</f>
        <v>NO</v>
      </c>
      <c r="AB250" s="255" t="str">
        <f>IF(ISNUMBER(SEARCH("C", 'Dry_Litterbag Placem_Collection'!S177)),"YES","NO")</f>
        <v>NO</v>
      </c>
      <c r="AC250" s="255" t="str">
        <f>IF(ISNUMBER(SEARCH("H", 'Dry_Litterbag Placem_Collection'!S177)),"YES","NO")</f>
        <v>YES</v>
      </c>
      <c r="AD250" s="255" t="str">
        <f>IF(ISNUMBER(SEARCH("R", 'Dry_Litterbag Placem_Collection'!S177)),"YES","NO")</f>
        <v>YES</v>
      </c>
    </row>
    <row r="251" spans="2:30">
      <c r="B251" t="str">
        <f>'Final data_for_R_analysis_Dryse'!A177</f>
        <v>Dry</v>
      </c>
      <c r="C251" s="263">
        <f>'Final data_for_R_analysis_Dryse'!B177</f>
        <v>176</v>
      </c>
      <c r="D251" t="s">
        <v>3853</v>
      </c>
      <c r="E251" t="s">
        <v>22</v>
      </c>
      <c r="F251" s="387">
        <v>8</v>
      </c>
      <c r="G251" s="16">
        <f>'Dry_Litterbag Placem_Collection'!E178</f>
        <v>42940</v>
      </c>
      <c r="H251" t="str">
        <f>'Final data_for_R_analysis_Dryse'!J177</f>
        <v>G183</v>
      </c>
      <c r="I251" t="str">
        <f>'Final data_for_R_analysis_Dryse'!J397</f>
        <v>R52</v>
      </c>
      <c r="J251">
        <f>IFERROR(INDEX('Green_rooibos initial weight'!$C$5:$C$1749,MATCH(H251, 'Green_rooibos initial weight'!$A$5:$A$1749,0)),"")</f>
        <v>1.897</v>
      </c>
      <c r="K251">
        <f>IFERROR(INDEX('Green_rooibos initial weight'!$C$5:$C$1749,MATCH(I251, 'Green_rooibos initial weight'!$A$5:$A$1749,0)),"")</f>
        <v>2.1629999999999998</v>
      </c>
      <c r="L251" s="195">
        <f t="shared" si="21"/>
        <v>1.6472</v>
      </c>
      <c r="M251" s="195">
        <f t="shared" si="22"/>
        <v>1.9131999999999998</v>
      </c>
      <c r="N251" s="16">
        <f>IF('Dry_Litterbag Placem_Collection'!G178="N.A","",'Dry_Litterbag Placem_Collection'!G178)</f>
        <v>43009</v>
      </c>
      <c r="O251" s="195">
        <f>IF(IFERROR(INDEX('Both teabags AfterDry'!$D$1:$D$839,MATCH(H251,'Both teabags AfterDry'!$A$1:$A$839,0)),"")="N.A","",(IFERROR(INDEX('Both teabags AfterDry'!$D$1:$D$839,MATCH(H251,'Both teabags AfterDry'!$A$1:$A$839,0)),"")))</f>
        <v>0.92459999999999998</v>
      </c>
      <c r="P251" s="195">
        <f>IF(IFERROR(INDEX('Both teabags AfterDry'!$D$1:$D$839,MATCH(I251,'Both teabags AfterDry'!$A$1:$A$839,0)),"")="N.A","",(IFERROR(INDEX('Both teabags AfterDry'!$D$1:$D$839,MATCH(I251,'Both teabags AfterDry'!$A$1:$A$839,0)),"")))</f>
        <v>0</v>
      </c>
      <c r="Q251" s="195">
        <f t="shared" si="23"/>
        <v>0.77400000000000002</v>
      </c>
      <c r="R251" s="195" t="str">
        <f t="shared" si="23"/>
        <v/>
      </c>
      <c r="S251" s="195">
        <f t="shared" si="18"/>
        <v>0.53011170471102476</v>
      </c>
      <c r="T251" s="195">
        <f t="shared" si="24"/>
        <v>0.34753166389606377</v>
      </c>
      <c r="U251" s="195" t="str">
        <f t="shared" si="19"/>
        <v/>
      </c>
      <c r="V251">
        <f t="shared" si="20"/>
        <v>69</v>
      </c>
      <c r="W251" s="195">
        <f t="shared" si="25"/>
        <v>0.37041365236220336</v>
      </c>
      <c r="X251" s="195" t="str">
        <f t="shared" si="26"/>
        <v/>
      </c>
      <c r="Y251" s="255" t="str">
        <f>IF(ISNUMBER(SEARCH("C", 'Dry_Litterbag Placem_Collection'!T178)),"YES","NO")</f>
        <v>NO</v>
      </c>
      <c r="Z251" s="255" t="str">
        <f>IF(ISNUMBER(SEARCH("H", 'Dry_Litterbag Placem_Collection'!T178)),"YES","NO")</f>
        <v>YES</v>
      </c>
      <c r="AA251" s="255" t="str">
        <f>IF(ISNUMBER(SEARCH("R", 'Dry_Litterbag Placem_Collection'!T178)),"YES","NO")</f>
        <v>YES</v>
      </c>
      <c r="AB251" s="255" t="str">
        <f>IF(ISNUMBER(SEARCH("C", 'Dry_Litterbag Placem_Collection'!S178)),"YES","NO")</f>
        <v>NO</v>
      </c>
      <c r="AC251" s="255" t="str">
        <f>IF(ISNUMBER(SEARCH("H", 'Dry_Litterbag Placem_Collection'!S178)),"YES","NO")</f>
        <v>YES</v>
      </c>
      <c r="AD251" s="255" t="str">
        <f>IF(ISNUMBER(SEARCH("R", 'Dry_Litterbag Placem_Collection'!S178)),"YES","NO")</f>
        <v>YES</v>
      </c>
    </row>
    <row r="252" spans="2:30">
      <c r="B252" t="str">
        <f>'Final data_for_R_analysis_Dryse'!A178</f>
        <v>Dry</v>
      </c>
      <c r="C252" s="263">
        <f>'Final data_for_R_analysis_Dryse'!B178</f>
        <v>177</v>
      </c>
      <c r="D252" t="s">
        <v>3854</v>
      </c>
      <c r="E252" t="s">
        <v>22</v>
      </c>
      <c r="F252" s="386">
        <v>1</v>
      </c>
      <c r="G252" s="16">
        <f>'Dry_Litterbag Placem_Collection'!E179</f>
        <v>42940</v>
      </c>
      <c r="H252" t="str">
        <f>'Final data_for_R_analysis_Dryse'!J178</f>
        <v>G98</v>
      </c>
      <c r="I252" t="str">
        <f>'Final data_for_R_analysis_Dryse'!J398</f>
        <v>R750</v>
      </c>
      <c r="J252">
        <f>IFERROR(INDEX('Green_rooibos initial weight'!$C$5:$C$1749,MATCH(H252, 'Green_rooibos initial weight'!$A$5:$A$1749,0)),"")</f>
        <v>2.0979999999999999</v>
      </c>
      <c r="K252">
        <f>IFERROR(INDEX('Green_rooibos initial weight'!$C$5:$C$1749,MATCH(I252, 'Green_rooibos initial weight'!$A$5:$A$1749,0)),"")</f>
        <v>2.2029999999999998</v>
      </c>
      <c r="L252" s="195">
        <f t="shared" si="21"/>
        <v>1.8481999999999998</v>
      </c>
      <c r="M252" s="195">
        <f t="shared" si="22"/>
        <v>1.9531999999999998</v>
      </c>
      <c r="N252" s="16">
        <f>IF('Dry_Litterbag Placem_Collection'!G179="N.A","",'Dry_Litterbag Placem_Collection'!G179)</f>
        <v>43009</v>
      </c>
      <c r="O252" s="195" t="str">
        <f>IF(IFERROR(INDEX('Both teabags AfterDry'!$D$1:$D$839,MATCH(H252,'Both teabags AfterDry'!$A$1:$A$839,0)),"")="N.A","",(IFERROR(INDEX('Both teabags AfterDry'!$D$1:$D$839,MATCH(H252,'Both teabags AfterDry'!$A$1:$A$839,0)),"")))</f>
        <v/>
      </c>
      <c r="P252" s="195" t="str">
        <f>IF(IFERROR(INDEX('Both teabags AfterDry'!$D$1:$D$839,MATCH(I252,'Both teabags AfterDry'!$A$1:$A$839,0)),"")="N.A","",(IFERROR(INDEX('Both teabags AfterDry'!$D$1:$D$839,MATCH(I252,'Both teabags AfterDry'!$A$1:$A$839,0)),"")))</f>
        <v/>
      </c>
      <c r="Q252" s="195" t="str">
        <f t="shared" si="23"/>
        <v/>
      </c>
      <c r="R252" s="195" t="str">
        <f t="shared" si="23"/>
        <v/>
      </c>
      <c r="S252" s="195" t="str">
        <f t="shared" si="18"/>
        <v/>
      </c>
      <c r="T252" s="195" t="str">
        <f t="shared" si="24"/>
        <v/>
      </c>
      <c r="U252" s="195" t="str">
        <f t="shared" si="19"/>
        <v/>
      </c>
      <c r="V252">
        <f t="shared" si="20"/>
        <v>69</v>
      </c>
      <c r="W252" s="195" t="str">
        <f t="shared" si="25"/>
        <v/>
      </c>
      <c r="X252" s="195" t="str">
        <f t="shared" si="26"/>
        <v/>
      </c>
      <c r="Y252" s="255" t="str">
        <f>IF(ISNUMBER(SEARCH("C", 'Dry_Litterbag Placem_Collection'!T179)),"YES","NO")</f>
        <v>YES</v>
      </c>
      <c r="Z252" s="255" t="str">
        <f>IF(ISNUMBER(SEARCH("H", 'Dry_Litterbag Placem_Collection'!T179)),"YES","NO")</f>
        <v>YES</v>
      </c>
      <c r="AA252" s="255" t="str">
        <f>IF(ISNUMBER(SEARCH("R", 'Dry_Litterbag Placem_Collection'!T179)),"YES","NO")</f>
        <v>YES</v>
      </c>
      <c r="AB252" s="255" t="str">
        <f>IF(ISNUMBER(SEARCH("C", 'Dry_Litterbag Placem_Collection'!S179)),"YES","NO")</f>
        <v>NO</v>
      </c>
      <c r="AC252" s="255" t="str">
        <f>IF(ISNUMBER(SEARCH("H", 'Dry_Litterbag Placem_Collection'!S179)),"YES","NO")</f>
        <v>YES</v>
      </c>
      <c r="AD252" s="255" t="str">
        <f>IF(ISNUMBER(SEARCH("R", 'Dry_Litterbag Placem_Collection'!S179)),"YES","NO")</f>
        <v>YES</v>
      </c>
    </row>
    <row r="253" spans="2:30">
      <c r="B253" t="str">
        <f>'Final data_for_R_analysis_Dryse'!A179</f>
        <v>Dry</v>
      </c>
      <c r="C253" s="263">
        <f>'Final data_for_R_analysis_Dryse'!B179</f>
        <v>178</v>
      </c>
      <c r="D253" t="s">
        <v>3854</v>
      </c>
      <c r="E253" t="s">
        <v>22</v>
      </c>
      <c r="F253" s="386">
        <v>2</v>
      </c>
      <c r="G253" s="16">
        <f>'Dry_Litterbag Placem_Collection'!E180</f>
        <v>42940</v>
      </c>
      <c r="H253" t="str">
        <f>'Final data_for_R_analysis_Dryse'!J179</f>
        <v>G353</v>
      </c>
      <c r="I253" t="str">
        <f>'Final data_for_R_analysis_Dryse'!J399</f>
        <v>R612</v>
      </c>
      <c r="J253">
        <f>IFERROR(INDEX('Green_rooibos initial weight'!$C$5:$C$1749,MATCH(H253, 'Green_rooibos initial weight'!$A$5:$A$1749,0)),"")</f>
        <v>1.988</v>
      </c>
      <c r="K253">
        <f>IFERROR(INDEX('Green_rooibos initial weight'!$C$5:$C$1749,MATCH(I253, 'Green_rooibos initial weight'!$A$5:$A$1749,0)),"")</f>
        <v>2.11</v>
      </c>
      <c r="L253" s="195">
        <f t="shared" si="21"/>
        <v>1.7382</v>
      </c>
      <c r="M253" s="195">
        <f t="shared" si="22"/>
        <v>1.8601999999999999</v>
      </c>
      <c r="N253" s="16">
        <f>IF('Dry_Litterbag Placem_Collection'!G180="N.A","",'Dry_Litterbag Placem_Collection'!G180)</f>
        <v>43009</v>
      </c>
      <c r="O253" s="195">
        <f>IF(IFERROR(INDEX('Both teabags AfterDry'!$D$1:$D$839,MATCH(H253,'Both teabags AfterDry'!$A$1:$A$839,0)),"")="N.A","",(IFERROR(INDEX('Both teabags AfterDry'!$D$1:$D$839,MATCH(H253,'Both teabags AfterDry'!$A$1:$A$839,0)),"")))</f>
        <v>0.80569999999999997</v>
      </c>
      <c r="P253" s="195">
        <f>IF(IFERROR(INDEX('Both teabags AfterDry'!$D$1:$D$839,MATCH(I253,'Both teabags AfterDry'!$A$1:$A$839,0)),"")="N.A","",(IFERROR(INDEX('Both teabags AfterDry'!$D$1:$D$839,MATCH(I253,'Both teabags AfterDry'!$A$1:$A$839,0)),"")))</f>
        <v>0</v>
      </c>
      <c r="Q253" s="195">
        <f t="shared" si="23"/>
        <v>0.65510000000000002</v>
      </c>
      <c r="R253" s="195" t="str">
        <f t="shared" si="23"/>
        <v/>
      </c>
      <c r="S253" s="195">
        <f t="shared" si="18"/>
        <v>0.62311586698883903</v>
      </c>
      <c r="T253" s="195">
        <f t="shared" si="24"/>
        <v>0.40850351375040284</v>
      </c>
      <c r="U253" s="195" t="str">
        <f t="shared" si="19"/>
        <v/>
      </c>
      <c r="V253">
        <f t="shared" si="20"/>
        <v>69</v>
      </c>
      <c r="W253" s="195">
        <f t="shared" si="25"/>
        <v>0.25995740262608191</v>
      </c>
      <c r="X253" s="195" t="str">
        <f t="shared" si="26"/>
        <v/>
      </c>
      <c r="Y253" s="255" t="str">
        <f>IF(ISNUMBER(SEARCH("C", 'Dry_Litterbag Placem_Collection'!T180)),"YES","NO")</f>
        <v>YES</v>
      </c>
      <c r="Z253" s="255" t="str">
        <f>IF(ISNUMBER(SEARCH("H", 'Dry_Litterbag Placem_Collection'!T180)),"YES","NO")</f>
        <v>YES</v>
      </c>
      <c r="AA253" s="255" t="str">
        <f>IF(ISNUMBER(SEARCH("R", 'Dry_Litterbag Placem_Collection'!T180)),"YES","NO")</f>
        <v>NO</v>
      </c>
      <c r="AB253" s="255" t="str">
        <f>IF(ISNUMBER(SEARCH("C", 'Dry_Litterbag Placem_Collection'!S180)),"YES","NO")</f>
        <v>NO</v>
      </c>
      <c r="AC253" s="255" t="str">
        <f>IF(ISNUMBER(SEARCH("H", 'Dry_Litterbag Placem_Collection'!S180)),"YES","NO")</f>
        <v>NO</v>
      </c>
      <c r="AD253" s="255" t="str">
        <f>IF(ISNUMBER(SEARCH("R", 'Dry_Litterbag Placem_Collection'!S180)),"YES","NO")</f>
        <v>YES</v>
      </c>
    </row>
    <row r="254" spans="2:30">
      <c r="B254" t="str">
        <f>'Final data_for_R_analysis_Dryse'!A180</f>
        <v>Dry</v>
      </c>
      <c r="C254" s="263">
        <f>'Final data_for_R_analysis_Dryse'!B180</f>
        <v>179</v>
      </c>
      <c r="D254" t="s">
        <v>3854</v>
      </c>
      <c r="E254" t="s">
        <v>22</v>
      </c>
      <c r="F254" s="386">
        <v>3</v>
      </c>
      <c r="G254" s="16">
        <f>'Dry_Litterbag Placem_Collection'!E181</f>
        <v>42940</v>
      </c>
      <c r="H254" t="str">
        <f>'Final data_for_R_analysis_Dryse'!J180</f>
        <v>G42</v>
      </c>
      <c r="I254" t="str">
        <f>'Final data_for_R_analysis_Dryse'!J400</f>
        <v>R491</v>
      </c>
      <c r="J254">
        <f>IFERROR(INDEX('Green_rooibos initial weight'!$C$5:$C$1749,MATCH(H254, 'Green_rooibos initial weight'!$A$5:$A$1749,0)),"")</f>
        <v>1.9530000000000001</v>
      </c>
      <c r="K254">
        <f>IFERROR(INDEX('Green_rooibos initial weight'!$C$5:$C$1749,MATCH(I254, 'Green_rooibos initial weight'!$A$5:$A$1749,0)),"")</f>
        <v>2.2690000000000001</v>
      </c>
      <c r="L254" s="195">
        <f t="shared" si="21"/>
        <v>1.7032</v>
      </c>
      <c r="M254" s="195">
        <f t="shared" si="22"/>
        <v>2.0192000000000001</v>
      </c>
      <c r="N254" s="16">
        <f>IF('Dry_Litterbag Placem_Collection'!G181="N.A","",'Dry_Litterbag Placem_Collection'!G181)</f>
        <v>43009</v>
      </c>
      <c r="O254" s="195" t="str">
        <f>IF(IFERROR(INDEX('Both teabags AfterDry'!$D$1:$D$839,MATCH(H254,'Both teabags AfterDry'!$A$1:$A$839,0)),"")="N.A","",(IFERROR(INDEX('Both teabags AfterDry'!$D$1:$D$839,MATCH(H254,'Both teabags AfterDry'!$A$1:$A$839,0)),"")))</f>
        <v/>
      </c>
      <c r="P254" s="195">
        <f>IF(IFERROR(INDEX('Both teabags AfterDry'!$D$1:$D$839,MATCH(I254,'Both teabags AfterDry'!$A$1:$A$839,0)),"")="N.A","",(IFERROR(INDEX('Both teabags AfterDry'!$D$1:$D$839,MATCH(I254,'Both teabags AfterDry'!$A$1:$A$839,0)),"")))</f>
        <v>2.0198</v>
      </c>
      <c r="Q254" s="195" t="str">
        <f t="shared" si="23"/>
        <v/>
      </c>
      <c r="R254" s="195">
        <f t="shared" si="23"/>
        <v>1.8692</v>
      </c>
      <c r="S254" s="195" t="str">
        <f t="shared" si="18"/>
        <v/>
      </c>
      <c r="T254" s="195" t="str">
        <f t="shared" si="24"/>
        <v/>
      </c>
      <c r="U254" s="195">
        <f t="shared" si="19"/>
        <v>0.92571315372424712</v>
      </c>
      <c r="V254">
        <f t="shared" si="20"/>
        <v>69</v>
      </c>
      <c r="W254" s="195" t="str">
        <f t="shared" si="25"/>
        <v/>
      </c>
      <c r="X254" s="195" t="str">
        <f t="shared" si="26"/>
        <v/>
      </c>
      <c r="Y254" s="255" t="str">
        <f>IF(ISNUMBER(SEARCH("C", 'Dry_Litterbag Placem_Collection'!T181)),"YES","NO")</f>
        <v>NO</v>
      </c>
      <c r="Z254" s="255" t="str">
        <f>IF(ISNUMBER(SEARCH("H", 'Dry_Litterbag Placem_Collection'!T181)),"YES","NO")</f>
        <v>NO</v>
      </c>
      <c r="AA254" s="255" t="str">
        <f>IF(ISNUMBER(SEARCH("R", 'Dry_Litterbag Placem_Collection'!T181)),"YES","NO")</f>
        <v>YES</v>
      </c>
      <c r="AB254" s="255" t="str">
        <f>IF(ISNUMBER(SEARCH("C", 'Dry_Litterbag Placem_Collection'!S181)),"YES","NO")</f>
        <v>NO</v>
      </c>
      <c r="AC254" s="255" t="str">
        <f>IF(ISNUMBER(SEARCH("H", 'Dry_Litterbag Placem_Collection'!S181)),"YES","NO")</f>
        <v>NO</v>
      </c>
      <c r="AD254" s="255" t="str">
        <f>IF(ISNUMBER(SEARCH("R", 'Dry_Litterbag Placem_Collection'!S181)),"YES","NO")</f>
        <v>YES</v>
      </c>
    </row>
    <row r="255" spans="2:30">
      <c r="B255" t="str">
        <f>'Final data_for_R_analysis_Dryse'!A181</f>
        <v>Dry</v>
      </c>
      <c r="C255" s="263">
        <f>'Final data_for_R_analysis_Dryse'!B181</f>
        <v>180</v>
      </c>
      <c r="D255" t="s">
        <v>3854</v>
      </c>
      <c r="E255" t="s">
        <v>22</v>
      </c>
      <c r="F255" s="387">
        <v>4</v>
      </c>
      <c r="G255" s="16">
        <f>'Dry_Litterbag Placem_Collection'!E182</f>
        <v>42940</v>
      </c>
      <c r="H255" t="str">
        <f>'Final data_for_R_analysis_Dryse'!J181</f>
        <v>G245</v>
      </c>
      <c r="I255" t="str">
        <f>'Final data_for_R_analysis_Dryse'!J401</f>
        <v>R325</v>
      </c>
      <c r="J255">
        <f>IFERROR(INDEX('Green_rooibos initial weight'!$C$5:$C$1749,MATCH(H255, 'Green_rooibos initial weight'!$A$5:$A$1749,0)),"")</f>
        <v>2.0150000000000001</v>
      </c>
      <c r="K255">
        <f>IFERROR(INDEX('Green_rooibos initial weight'!$C$5:$C$1749,MATCH(I255, 'Green_rooibos initial weight'!$A$5:$A$1749,0)),"")</f>
        <v>2.2069999999999999</v>
      </c>
      <c r="L255" s="195">
        <f t="shared" si="21"/>
        <v>1.7652000000000001</v>
      </c>
      <c r="M255" s="195">
        <f t="shared" si="22"/>
        <v>1.9571999999999998</v>
      </c>
      <c r="N255" s="16">
        <f>IF('Dry_Litterbag Placem_Collection'!G182="N.A","",'Dry_Litterbag Placem_Collection'!G182)</f>
        <v>43009</v>
      </c>
      <c r="O255" s="195">
        <f>IF(IFERROR(INDEX('Both teabags AfterDry'!$D$1:$D$839,MATCH(H255,'Both teabags AfterDry'!$A$1:$A$839,0)),"")="N.A","",(IFERROR(INDEX('Both teabags AfterDry'!$D$1:$D$839,MATCH(H255,'Both teabags AfterDry'!$A$1:$A$839,0)),"")))</f>
        <v>0.81240000000000001</v>
      </c>
      <c r="P255" s="195">
        <f>IF(IFERROR(INDEX('Both teabags AfterDry'!$D$1:$D$839,MATCH(I255,'Both teabags AfterDry'!$A$1:$A$839,0)),"")="N.A","",(IFERROR(INDEX('Both teabags AfterDry'!$D$1:$D$839,MATCH(I255,'Both teabags AfterDry'!$A$1:$A$839,0)),"")))</f>
        <v>1.6720999999999999</v>
      </c>
      <c r="Q255" s="195">
        <f t="shared" si="23"/>
        <v>0.66179999999999994</v>
      </c>
      <c r="R255" s="195">
        <f t="shared" si="23"/>
        <v>1.5214999999999999</v>
      </c>
      <c r="S255" s="195">
        <f t="shared" si="18"/>
        <v>0.62508497620666215</v>
      </c>
      <c r="T255" s="195">
        <f t="shared" si="24"/>
        <v>0.40979442620674295</v>
      </c>
      <c r="U255" s="195">
        <f t="shared" si="19"/>
        <v>0.77738606172082569</v>
      </c>
      <c r="V255">
        <f t="shared" si="20"/>
        <v>69</v>
      </c>
      <c r="W255" s="195">
        <f t="shared" si="25"/>
        <v>0.2576187931037266</v>
      </c>
      <c r="X255" s="195">
        <f t="shared" si="26"/>
        <v>1.1356265318912274E-2</v>
      </c>
      <c r="Y255" s="255" t="str">
        <f>IF(ISNUMBER(SEARCH("C", 'Dry_Litterbag Placem_Collection'!T182)),"YES","NO")</f>
        <v>NO</v>
      </c>
      <c r="Z255" s="255" t="str">
        <f>IF(ISNUMBER(SEARCH("H", 'Dry_Litterbag Placem_Collection'!T182)),"YES","NO")</f>
        <v>NO</v>
      </c>
      <c r="AA255" s="255" t="str">
        <f>IF(ISNUMBER(SEARCH("R", 'Dry_Litterbag Placem_Collection'!T182)),"YES","NO")</f>
        <v>NO</v>
      </c>
      <c r="AB255" s="255" t="str">
        <f>IF(ISNUMBER(SEARCH("C", 'Dry_Litterbag Placem_Collection'!S182)),"YES","NO")</f>
        <v>NO</v>
      </c>
      <c r="AC255" s="255" t="str">
        <f>IF(ISNUMBER(SEARCH("H", 'Dry_Litterbag Placem_Collection'!S182)),"YES","NO")</f>
        <v>NO</v>
      </c>
      <c r="AD255" s="255" t="str">
        <f>IF(ISNUMBER(SEARCH("R", 'Dry_Litterbag Placem_Collection'!S182)),"YES","NO")</f>
        <v>YES</v>
      </c>
    </row>
    <row r="256" spans="2:30">
      <c r="B256" t="str">
        <f>'Final data_for_R_analysis_Dryse'!A182</f>
        <v>Dry</v>
      </c>
      <c r="C256" s="263">
        <f>'Final data_for_R_analysis_Dryse'!B182</f>
        <v>181</v>
      </c>
      <c r="D256" t="s">
        <v>3854</v>
      </c>
      <c r="E256" t="s">
        <v>22</v>
      </c>
      <c r="F256" s="387">
        <v>5</v>
      </c>
      <c r="G256" s="16">
        <f>'Dry_Litterbag Placem_Collection'!E183</f>
        <v>42940</v>
      </c>
      <c r="H256" t="str">
        <f>'Final data_for_R_analysis_Dryse'!J182</f>
        <v>G411</v>
      </c>
      <c r="I256" t="str">
        <f>'Final data_for_R_analysis_Dryse'!J402</f>
        <v>R116</v>
      </c>
      <c r="J256">
        <f>IFERROR(INDEX('Green_rooibos initial weight'!$C$5:$C$1749,MATCH(H256, 'Green_rooibos initial weight'!$A$5:$A$1749,0)),"")</f>
        <v>2.1120000000000001</v>
      </c>
      <c r="K256">
        <f>IFERROR(INDEX('Green_rooibos initial weight'!$C$5:$C$1749,MATCH(I256, 'Green_rooibos initial weight'!$A$5:$A$1749,0)),"")</f>
        <v>2.2909999999999999</v>
      </c>
      <c r="L256" s="195">
        <f t="shared" si="21"/>
        <v>1.8622000000000001</v>
      </c>
      <c r="M256" s="195">
        <f t="shared" si="22"/>
        <v>2.0411999999999999</v>
      </c>
      <c r="N256" s="16">
        <f>IF('Dry_Litterbag Placem_Collection'!G183="N.A","",'Dry_Litterbag Placem_Collection'!G183)</f>
        <v>43009</v>
      </c>
      <c r="O256" s="195">
        <f>IF(IFERROR(INDEX('Both teabags AfterDry'!$D$1:$D$839,MATCH(H256,'Both teabags AfterDry'!$A$1:$A$839,0)),"")="N.A","",(IFERROR(INDEX('Both teabags AfterDry'!$D$1:$D$839,MATCH(H256,'Both teabags AfterDry'!$A$1:$A$839,0)),"")))</f>
        <v>0.76629999999999998</v>
      </c>
      <c r="P256" s="195">
        <f>IF(IFERROR(INDEX('Both teabags AfterDry'!$D$1:$D$839,MATCH(I256,'Both teabags AfterDry'!$A$1:$A$839,0)),"")="N.A","",(IFERROR(INDEX('Both teabags AfterDry'!$D$1:$D$839,MATCH(I256,'Both teabags AfterDry'!$A$1:$A$839,0)),"")))</f>
        <v>2.0322</v>
      </c>
      <c r="Q256" s="195">
        <f t="shared" si="23"/>
        <v>0.61569999999999991</v>
      </c>
      <c r="R256" s="195">
        <f t="shared" si="23"/>
        <v>1.8815999999999999</v>
      </c>
      <c r="S256" s="195">
        <f t="shared" si="18"/>
        <v>0.66936956288261196</v>
      </c>
      <c r="T256" s="195">
        <f t="shared" si="24"/>
        <v>0.43882660179477656</v>
      </c>
      <c r="U256" s="195">
        <f t="shared" si="19"/>
        <v>0.92181069958847739</v>
      </c>
      <c r="V256">
        <f t="shared" si="20"/>
        <v>69</v>
      </c>
      <c r="W256" s="195">
        <f t="shared" si="25"/>
        <v>0.20502427211091212</v>
      </c>
      <c r="X256" s="195">
        <f t="shared" si="26"/>
        <v>2.8439362689485367E-3</v>
      </c>
      <c r="Y256" s="255" t="str">
        <f>IF(ISNUMBER(SEARCH("C", 'Dry_Litterbag Placem_Collection'!T183)),"YES","NO")</f>
        <v>NO</v>
      </c>
      <c r="Z256" s="255" t="str">
        <f>IF(ISNUMBER(SEARCH("H", 'Dry_Litterbag Placem_Collection'!T183)),"YES","NO")</f>
        <v>NO</v>
      </c>
      <c r="AA256" s="255" t="str">
        <f>IF(ISNUMBER(SEARCH("R", 'Dry_Litterbag Placem_Collection'!T183)),"YES","NO")</f>
        <v>YES</v>
      </c>
      <c r="AB256" s="255" t="str">
        <f>IF(ISNUMBER(SEARCH("C", 'Dry_Litterbag Placem_Collection'!S183)),"YES","NO")</f>
        <v>NO</v>
      </c>
      <c r="AC256" s="255" t="str">
        <f>IF(ISNUMBER(SEARCH("H", 'Dry_Litterbag Placem_Collection'!S183)),"YES","NO")</f>
        <v>NO</v>
      </c>
      <c r="AD256" s="255" t="str">
        <f>IF(ISNUMBER(SEARCH("R", 'Dry_Litterbag Placem_Collection'!S183)),"YES","NO")</f>
        <v>YES</v>
      </c>
    </row>
    <row r="257" spans="2:30">
      <c r="B257" t="str">
        <f>'Final data_for_R_analysis_Dryse'!A183</f>
        <v>Dry</v>
      </c>
      <c r="C257" s="263">
        <f>'Final data_for_R_analysis_Dryse'!B183</f>
        <v>182</v>
      </c>
      <c r="D257" t="s">
        <v>3854</v>
      </c>
      <c r="E257" t="s">
        <v>22</v>
      </c>
      <c r="F257" s="387">
        <v>6</v>
      </c>
      <c r="G257" s="16">
        <f>'Dry_Litterbag Placem_Collection'!E184</f>
        <v>42940</v>
      </c>
      <c r="H257" t="str">
        <f>'Final data_for_R_analysis_Dryse'!J183</f>
        <v>G309</v>
      </c>
      <c r="I257" t="str">
        <f>'Final data_for_R_analysis_Dryse'!J403</f>
        <v>R613</v>
      </c>
      <c r="J257">
        <f>IFERROR(INDEX('Green_rooibos initial weight'!$C$5:$C$1749,MATCH(H257, 'Green_rooibos initial weight'!$A$5:$A$1749,0)),"")</f>
        <v>2.0579999999999998</v>
      </c>
      <c r="K257">
        <f>IFERROR(INDEX('Green_rooibos initial weight'!$C$5:$C$1749,MATCH(I257, 'Green_rooibos initial weight'!$A$5:$A$1749,0)),"")</f>
        <v>2.1680000000000001</v>
      </c>
      <c r="L257" s="195">
        <f t="shared" si="21"/>
        <v>1.8081999999999998</v>
      </c>
      <c r="M257" s="195">
        <f t="shared" si="22"/>
        <v>1.9182000000000001</v>
      </c>
      <c r="N257" s="16">
        <f>IF('Dry_Litterbag Placem_Collection'!G184="N.A","",'Dry_Litterbag Placem_Collection'!G184)</f>
        <v>43009</v>
      </c>
      <c r="O257" s="195">
        <f>IF(IFERROR(INDEX('Both teabags AfterDry'!$D$1:$D$839,MATCH(H257,'Both teabags AfterDry'!$A$1:$A$839,0)),"")="N.A","",(IFERROR(INDEX('Both teabags AfterDry'!$D$1:$D$839,MATCH(H257,'Both teabags AfterDry'!$A$1:$A$839,0)),"")))</f>
        <v>0.88170000000000004</v>
      </c>
      <c r="P257" s="195">
        <f>IF(IFERROR(INDEX('Both teabags AfterDry'!$D$1:$D$839,MATCH(I257,'Both teabags AfterDry'!$A$1:$A$839,0)),"")="N.A","",(IFERROR(INDEX('Both teabags AfterDry'!$D$1:$D$839,MATCH(I257,'Both teabags AfterDry'!$A$1:$A$839,0)),"")))</f>
        <v>1.7827</v>
      </c>
      <c r="Q257" s="195">
        <f t="shared" si="23"/>
        <v>0.73110000000000008</v>
      </c>
      <c r="R257" s="195">
        <f t="shared" si="23"/>
        <v>1.6320999999999999</v>
      </c>
      <c r="S257" s="195">
        <f t="shared" si="18"/>
        <v>0.59567525716181824</v>
      </c>
      <c r="T257" s="195">
        <f t="shared" si="24"/>
        <v>0.39051394531273603</v>
      </c>
      <c r="U257" s="195">
        <f t="shared" si="19"/>
        <v>0.85084975497862569</v>
      </c>
      <c r="V257">
        <f t="shared" si="20"/>
        <v>69</v>
      </c>
      <c r="W257" s="195">
        <f t="shared" si="25"/>
        <v>0.29254720052040584</v>
      </c>
      <c r="X257" s="195">
        <f t="shared" si="26"/>
        <v>6.9733152801753386E-3</v>
      </c>
      <c r="Y257" s="255" t="str">
        <f>IF(ISNUMBER(SEARCH("C", 'Dry_Litterbag Placem_Collection'!T184)),"YES","NO")</f>
        <v>YES</v>
      </c>
      <c r="Z257" s="255" t="str">
        <f>IF(ISNUMBER(SEARCH("H", 'Dry_Litterbag Placem_Collection'!T184)),"YES","NO")</f>
        <v>YES</v>
      </c>
      <c r="AA257" s="255" t="str">
        <f>IF(ISNUMBER(SEARCH("R", 'Dry_Litterbag Placem_Collection'!T184)),"YES","NO")</f>
        <v>YES</v>
      </c>
      <c r="AB257" s="255" t="str">
        <f>IF(ISNUMBER(SEARCH("C", 'Dry_Litterbag Placem_Collection'!S184)),"YES","NO")</f>
        <v>NO</v>
      </c>
      <c r="AC257" s="255" t="str">
        <f>IF(ISNUMBER(SEARCH("H", 'Dry_Litterbag Placem_Collection'!S184)),"YES","NO")</f>
        <v>NO</v>
      </c>
      <c r="AD257" s="255" t="str">
        <f>IF(ISNUMBER(SEARCH("R", 'Dry_Litterbag Placem_Collection'!S184)),"YES","NO")</f>
        <v>NO</v>
      </c>
    </row>
    <row r="258" spans="2:30">
      <c r="B258" t="str">
        <f>'Final data_for_R_analysis_Dryse'!A184</f>
        <v>Dry</v>
      </c>
      <c r="C258" s="263">
        <f>'Final data_for_R_analysis_Dryse'!B184</f>
        <v>183</v>
      </c>
      <c r="D258" t="s">
        <v>3854</v>
      </c>
      <c r="E258" t="s">
        <v>22</v>
      </c>
      <c r="F258" s="387">
        <v>7</v>
      </c>
      <c r="G258" s="16">
        <f>'Dry_Litterbag Placem_Collection'!E185</f>
        <v>0</v>
      </c>
      <c r="H258" t="str">
        <f>'Final data_for_R_analysis_Dryse'!J184</f>
        <v/>
      </c>
      <c r="I258" t="str">
        <f>'Final data_for_R_analysis_Dryse'!J404</f>
        <v/>
      </c>
      <c r="J258" t="str">
        <f>IFERROR(INDEX('Green_rooibos initial weight'!$C$5:$C$1749,MATCH(H258, 'Green_rooibos initial weight'!$A$5:$A$1749,0)),"")</f>
        <v/>
      </c>
      <c r="K258" t="str">
        <f>IFERROR(INDEX('Green_rooibos initial weight'!$C$5:$C$1749,MATCH(I258, 'Green_rooibos initial weight'!$A$5:$A$1749,0)),"")</f>
        <v/>
      </c>
      <c r="L258" s="195" t="str">
        <f t="shared" si="21"/>
        <v/>
      </c>
      <c r="M258" s="195" t="str">
        <f t="shared" si="22"/>
        <v/>
      </c>
      <c r="N258" s="16">
        <f>IF('Dry_Litterbag Placem_Collection'!G185="N.A","",'Dry_Litterbag Placem_Collection'!G185)</f>
        <v>0</v>
      </c>
      <c r="O258" s="195" t="str">
        <f>IF(IFERROR(INDEX('Both teabags AfterDry'!$D$1:$D$839,MATCH(H258,'Both teabags AfterDry'!$A$1:$A$839,0)),"")="N.A","",(IFERROR(INDEX('Both teabags AfterDry'!$D$1:$D$839,MATCH(H258,'Both teabags AfterDry'!$A$1:$A$839,0)),"")))</f>
        <v/>
      </c>
      <c r="P258" s="195" t="str">
        <f>IF(IFERROR(INDEX('Both teabags AfterDry'!$D$1:$D$839,MATCH(I258,'Both teabags AfterDry'!$A$1:$A$839,0)),"")="N.A","",(IFERROR(INDEX('Both teabags AfterDry'!$D$1:$D$839,MATCH(I258,'Both teabags AfterDry'!$A$1:$A$839,0)),"")))</f>
        <v/>
      </c>
      <c r="Q258" s="195" t="str">
        <f t="shared" si="23"/>
        <v/>
      </c>
      <c r="R258" s="195" t="str">
        <f t="shared" si="23"/>
        <v/>
      </c>
      <c r="S258" s="195" t="str">
        <f t="shared" si="18"/>
        <v/>
      </c>
      <c r="T258" s="195" t="str">
        <f t="shared" si="24"/>
        <v/>
      </c>
      <c r="U258" s="195" t="str">
        <f t="shared" si="19"/>
        <v/>
      </c>
      <c r="V258" t="str">
        <f t="shared" si="20"/>
        <v/>
      </c>
      <c r="W258" s="195" t="str">
        <f t="shared" si="25"/>
        <v/>
      </c>
      <c r="X258" s="195" t="str">
        <f t="shared" si="26"/>
        <v/>
      </c>
      <c r="Y258" s="255" t="str">
        <f>IF(ISNUMBER(SEARCH("C", 'Dry_Litterbag Placem_Collection'!T185)),"YES","NO")</f>
        <v>NO</v>
      </c>
      <c r="Z258" s="255" t="str">
        <f>IF(ISNUMBER(SEARCH("H", 'Dry_Litterbag Placem_Collection'!T185)),"YES","NO")</f>
        <v>NO</v>
      </c>
      <c r="AA258" s="255" t="str">
        <f>IF(ISNUMBER(SEARCH("R", 'Dry_Litterbag Placem_Collection'!T185)),"YES","NO")</f>
        <v>NO</v>
      </c>
      <c r="AB258" s="255" t="str">
        <f>IF(ISNUMBER(SEARCH("C", 'Dry_Litterbag Placem_Collection'!S185)),"YES","NO")</f>
        <v>NO</v>
      </c>
      <c r="AC258" s="255" t="str">
        <f>IF(ISNUMBER(SEARCH("H", 'Dry_Litterbag Placem_Collection'!S185)),"YES","NO")</f>
        <v>NO</v>
      </c>
      <c r="AD258" s="255" t="str">
        <f>IF(ISNUMBER(SEARCH("R", 'Dry_Litterbag Placem_Collection'!S185)),"YES","NO")</f>
        <v>NO</v>
      </c>
    </row>
    <row r="259" spans="2:30">
      <c r="B259" t="str">
        <f>'Final data_for_R_analysis_Dryse'!A185</f>
        <v>Dry</v>
      </c>
      <c r="C259" s="263">
        <f>'Final data_for_R_analysis_Dryse'!B185</f>
        <v>184</v>
      </c>
      <c r="D259" t="s">
        <v>3854</v>
      </c>
      <c r="E259" t="s">
        <v>22</v>
      </c>
      <c r="F259" s="387">
        <v>8</v>
      </c>
      <c r="G259" s="16">
        <f>'Dry_Litterbag Placem_Collection'!E186</f>
        <v>42940</v>
      </c>
      <c r="H259" t="str">
        <f>'Final data_for_R_analysis_Dryse'!J185</f>
        <v>G235</v>
      </c>
      <c r="I259" t="str">
        <f>'Final data_for_R_analysis_Dryse'!J405</f>
        <v>R179</v>
      </c>
      <c r="J259">
        <f>IFERROR(INDEX('Green_rooibos initial weight'!$C$5:$C$1749,MATCH(H259, 'Green_rooibos initial weight'!$A$5:$A$1749,0)),"")</f>
        <v>1.9259999999999999</v>
      </c>
      <c r="K259">
        <f>IFERROR(INDEX('Green_rooibos initial weight'!$C$5:$C$1749,MATCH(I259, 'Green_rooibos initial weight'!$A$5:$A$1749,0)),"")</f>
        <v>2.177</v>
      </c>
      <c r="L259" s="195">
        <f t="shared" si="21"/>
        <v>1.6761999999999999</v>
      </c>
      <c r="M259" s="195">
        <f t="shared" si="22"/>
        <v>1.9272</v>
      </c>
      <c r="N259" s="16">
        <f>IF('Dry_Litterbag Placem_Collection'!G186="N.A","",'Dry_Litterbag Placem_Collection'!G186)</f>
        <v>43009</v>
      </c>
      <c r="O259" s="195">
        <f>IF(IFERROR(INDEX('Both teabags AfterDry'!$D$1:$D$839,MATCH(H259,'Both teabags AfterDry'!$A$1:$A$839,0)),"")="N.A","",(IFERROR(INDEX('Both teabags AfterDry'!$D$1:$D$839,MATCH(H259,'Both teabags AfterDry'!$A$1:$A$839,0)),"")))</f>
        <v>0.66620000000000001</v>
      </c>
      <c r="P259" s="195">
        <f>IF(IFERROR(INDEX('Both teabags AfterDry'!$D$1:$D$839,MATCH(I259,'Both teabags AfterDry'!$A$1:$A$839,0)),"")="N.A","",(IFERROR(INDEX('Both teabags AfterDry'!$D$1:$D$839,MATCH(I259,'Both teabags AfterDry'!$A$1:$A$839,0)),"")))</f>
        <v>1.7174</v>
      </c>
      <c r="Q259" s="195">
        <f t="shared" si="23"/>
        <v>0.51560000000000006</v>
      </c>
      <c r="R259" s="195">
        <f t="shared" si="23"/>
        <v>1.5668</v>
      </c>
      <c r="S259" s="195">
        <f t="shared" si="18"/>
        <v>0.69239947500298293</v>
      </c>
      <c r="T259" s="195">
        <f t="shared" si="24"/>
        <v>0.45392459643901023</v>
      </c>
      <c r="U259" s="195">
        <f t="shared" si="19"/>
        <v>0.81299294312992942</v>
      </c>
      <c r="V259">
        <f t="shared" si="20"/>
        <v>69</v>
      </c>
      <c r="W259" s="195">
        <f t="shared" si="25"/>
        <v>0.17767283253802502</v>
      </c>
      <c r="X259" s="195">
        <f t="shared" si="26"/>
        <v>7.695526477901401E-3</v>
      </c>
      <c r="Y259" s="255" t="str">
        <f>IF(ISNUMBER(SEARCH("C", 'Dry_Litterbag Placem_Collection'!T186)),"YES","NO")</f>
        <v>NO</v>
      </c>
      <c r="Z259" s="255" t="str">
        <f>IF(ISNUMBER(SEARCH("H", 'Dry_Litterbag Placem_Collection'!T186)),"YES","NO")</f>
        <v>NO</v>
      </c>
      <c r="AA259" s="255" t="str">
        <f>IF(ISNUMBER(SEARCH("R", 'Dry_Litterbag Placem_Collection'!T186)),"YES","NO")</f>
        <v>YES</v>
      </c>
      <c r="AB259" s="255" t="str">
        <f>IF(ISNUMBER(SEARCH("C", 'Dry_Litterbag Placem_Collection'!S186)),"YES","NO")</f>
        <v>NO</v>
      </c>
      <c r="AC259" s="255" t="str">
        <f>IF(ISNUMBER(SEARCH("H", 'Dry_Litterbag Placem_Collection'!S186)),"YES","NO")</f>
        <v>NO</v>
      </c>
      <c r="AD259" s="255" t="str">
        <f>IF(ISNUMBER(SEARCH("R", 'Dry_Litterbag Placem_Collection'!S186)),"YES","NO")</f>
        <v>YES</v>
      </c>
    </row>
    <row r="260" spans="2:30">
      <c r="B260" t="str">
        <f>'Final data_for_R_analysis_Dryse'!A186</f>
        <v>Dry</v>
      </c>
      <c r="C260" s="263">
        <f>'Final data_for_R_analysis_Dryse'!B186</f>
        <v>185</v>
      </c>
      <c r="D260" t="s">
        <v>3855</v>
      </c>
      <c r="E260" t="s">
        <v>22</v>
      </c>
      <c r="F260" s="386">
        <v>1</v>
      </c>
      <c r="G260" s="16">
        <f>'Dry_Litterbag Placem_Collection'!E187</f>
        <v>42940</v>
      </c>
      <c r="H260" t="str">
        <f>'Final data_for_R_analysis_Dryse'!J186</f>
        <v>G369</v>
      </c>
      <c r="I260" t="str">
        <f>'Final data_for_R_analysis_Dryse'!J406</f>
        <v>R300</v>
      </c>
      <c r="J260">
        <f>IFERROR(INDEX('Green_rooibos initial weight'!$C$5:$C$1749,MATCH(H260, 'Green_rooibos initial weight'!$A$5:$A$1749,0)),"")</f>
        <v>2.1219999999999999</v>
      </c>
      <c r="K260">
        <f>IFERROR(INDEX('Green_rooibos initial weight'!$C$5:$C$1749,MATCH(I260, 'Green_rooibos initial weight'!$A$5:$A$1749,0)),"")</f>
        <v>2.2330000000000001</v>
      </c>
      <c r="L260" s="195">
        <f t="shared" si="21"/>
        <v>1.8721999999999999</v>
      </c>
      <c r="M260" s="195">
        <f t="shared" si="22"/>
        <v>1.9832000000000001</v>
      </c>
      <c r="N260" s="16">
        <f>IF('Dry_Litterbag Placem_Collection'!G187="N.A","",'Dry_Litterbag Placem_Collection'!G187)</f>
        <v>43009</v>
      </c>
      <c r="O260" s="195" t="str">
        <f>IF(IFERROR(INDEX('Both teabags AfterDry'!$D$1:$D$839,MATCH(H260,'Both teabags AfterDry'!$A$1:$A$839,0)),"")="N.A","",(IFERROR(INDEX('Both teabags AfterDry'!$D$1:$D$839,MATCH(H260,'Both teabags AfterDry'!$A$1:$A$839,0)),"")))</f>
        <v/>
      </c>
      <c r="P260" s="195" t="str">
        <f>IF(IFERROR(INDEX('Both teabags AfterDry'!$D$1:$D$839,MATCH(I260,'Both teabags AfterDry'!$A$1:$A$839,0)),"")="N.A","",(IFERROR(INDEX('Both teabags AfterDry'!$D$1:$D$839,MATCH(I260,'Both teabags AfterDry'!$A$1:$A$839,0)),"")))</f>
        <v/>
      </c>
      <c r="Q260" s="195" t="str">
        <f t="shared" si="23"/>
        <v/>
      </c>
      <c r="R260" s="195" t="str">
        <f t="shared" si="23"/>
        <v/>
      </c>
      <c r="S260" s="195" t="str">
        <f t="shared" si="18"/>
        <v/>
      </c>
      <c r="T260" s="195" t="str">
        <f t="shared" si="24"/>
        <v/>
      </c>
      <c r="U260" s="195" t="str">
        <f t="shared" si="19"/>
        <v/>
      </c>
      <c r="V260">
        <f t="shared" si="20"/>
        <v>69</v>
      </c>
      <c r="W260" s="195" t="str">
        <f t="shared" si="25"/>
        <v/>
      </c>
      <c r="X260" s="195" t="str">
        <f t="shared" si="26"/>
        <v/>
      </c>
      <c r="Y260" s="255" t="str">
        <f>IF(ISNUMBER(SEARCH("C", 'Dry_Litterbag Placem_Collection'!T187)),"YES","NO")</f>
        <v>NO</v>
      </c>
      <c r="Z260" s="255" t="str">
        <f>IF(ISNUMBER(SEARCH("H", 'Dry_Litterbag Placem_Collection'!T187)),"YES","NO")</f>
        <v>YES</v>
      </c>
      <c r="AA260" s="255" t="str">
        <f>IF(ISNUMBER(SEARCH("R", 'Dry_Litterbag Placem_Collection'!T187)),"YES","NO")</f>
        <v>NO</v>
      </c>
      <c r="AB260" s="255" t="str">
        <f>IF(ISNUMBER(SEARCH("C", 'Dry_Litterbag Placem_Collection'!S187)),"YES","NO")</f>
        <v>NO</v>
      </c>
      <c r="AC260" s="255" t="str">
        <f>IF(ISNUMBER(SEARCH("H", 'Dry_Litterbag Placem_Collection'!S187)),"YES","NO")</f>
        <v>NO</v>
      </c>
      <c r="AD260" s="255" t="str">
        <f>IF(ISNUMBER(SEARCH("R", 'Dry_Litterbag Placem_Collection'!S187)),"YES","NO")</f>
        <v>NO</v>
      </c>
    </row>
    <row r="261" spans="2:30">
      <c r="B261" t="str">
        <f>'Final data_for_R_analysis_Dryse'!A187</f>
        <v>Dry</v>
      </c>
      <c r="C261" s="263">
        <f>'Final data_for_R_analysis_Dryse'!B187</f>
        <v>186</v>
      </c>
      <c r="D261" t="s">
        <v>3855</v>
      </c>
      <c r="E261" t="s">
        <v>22</v>
      </c>
      <c r="F261" s="386">
        <v>2</v>
      </c>
      <c r="G261" s="16">
        <f>'Dry_Litterbag Placem_Collection'!E188</f>
        <v>42940</v>
      </c>
      <c r="H261" t="str">
        <f>'Final data_for_R_analysis_Dryse'!J187</f>
        <v>G295</v>
      </c>
      <c r="I261" t="str">
        <f>'Final data_for_R_analysis_Dryse'!J407</f>
        <v>R717</v>
      </c>
      <c r="J261">
        <f>IFERROR(INDEX('Green_rooibos initial weight'!$C$5:$C$1749,MATCH(H261, 'Green_rooibos initial weight'!$A$5:$A$1749,0)),"")</f>
        <v>2.0379999999999998</v>
      </c>
      <c r="K261">
        <f>IFERROR(INDEX('Green_rooibos initial weight'!$C$5:$C$1749,MATCH(I261, 'Green_rooibos initial weight'!$A$5:$A$1749,0)),"")</f>
        <v>2.1619999999999999</v>
      </c>
      <c r="L261" s="195">
        <f t="shared" si="21"/>
        <v>1.7881999999999998</v>
      </c>
      <c r="M261" s="195">
        <f t="shared" si="22"/>
        <v>1.9121999999999999</v>
      </c>
      <c r="N261" s="16">
        <f>IF('Dry_Litterbag Placem_Collection'!G188="N.A","",'Dry_Litterbag Placem_Collection'!G188)</f>
        <v>43009</v>
      </c>
      <c r="O261" s="195">
        <f>IF(IFERROR(INDEX('Both teabags AfterDry'!$D$1:$D$839,MATCH(H261,'Both teabags AfterDry'!$A$1:$A$839,0)),"")="N.A","",(IFERROR(INDEX('Both teabags AfterDry'!$D$1:$D$839,MATCH(H261,'Both teabags AfterDry'!$A$1:$A$839,0)),"")))</f>
        <v>0.92659999999999998</v>
      </c>
      <c r="P261" s="195">
        <f>IF(IFERROR(INDEX('Both teabags AfterDry'!$D$1:$D$839,MATCH(I261,'Both teabags AfterDry'!$A$1:$A$839,0)),"")="N.A","",(IFERROR(INDEX('Both teabags AfterDry'!$D$1:$D$839,MATCH(I261,'Both teabags AfterDry'!$A$1:$A$839,0)),"")))</f>
        <v>1.7592000000000001</v>
      </c>
      <c r="Q261" s="195">
        <f t="shared" si="23"/>
        <v>0.77600000000000002</v>
      </c>
      <c r="R261" s="195">
        <f t="shared" si="23"/>
        <v>1.6086</v>
      </c>
      <c r="S261" s="195">
        <f t="shared" si="18"/>
        <v>0.56604406665921037</v>
      </c>
      <c r="T261" s="195">
        <f t="shared" si="24"/>
        <v>0.3710882717290786</v>
      </c>
      <c r="U261" s="195">
        <f t="shared" si="19"/>
        <v>0.84122999686225297</v>
      </c>
      <c r="V261">
        <f t="shared" si="20"/>
        <v>69</v>
      </c>
      <c r="W261" s="195">
        <f t="shared" si="25"/>
        <v>0.32773863817195914</v>
      </c>
      <c r="X261" s="195">
        <f t="shared" si="26"/>
        <v>8.0920804008411309E-3</v>
      </c>
      <c r="Y261" s="255" t="str">
        <f>IF(ISNUMBER(SEARCH("C", 'Dry_Litterbag Placem_Collection'!T188)),"YES","NO")</f>
        <v>YES</v>
      </c>
      <c r="Z261" s="255" t="str">
        <f>IF(ISNUMBER(SEARCH("H", 'Dry_Litterbag Placem_Collection'!T188)),"YES","NO")</f>
        <v>YES</v>
      </c>
      <c r="AA261" s="255" t="str">
        <f>IF(ISNUMBER(SEARCH("R", 'Dry_Litterbag Placem_Collection'!T188)),"YES","NO")</f>
        <v>NO</v>
      </c>
      <c r="AB261" s="255" t="str">
        <f>IF(ISNUMBER(SEARCH("C", 'Dry_Litterbag Placem_Collection'!S188)),"YES","NO")</f>
        <v>NO</v>
      </c>
      <c r="AC261" s="255" t="str">
        <f>IF(ISNUMBER(SEARCH("H", 'Dry_Litterbag Placem_Collection'!S188)),"YES","NO")</f>
        <v>YES</v>
      </c>
      <c r="AD261" s="255" t="str">
        <f>IF(ISNUMBER(SEARCH("R", 'Dry_Litterbag Placem_Collection'!S188)),"YES","NO")</f>
        <v>YES</v>
      </c>
    </row>
    <row r="262" spans="2:30">
      <c r="B262" t="str">
        <f>'Final data_for_R_analysis_Dryse'!A188</f>
        <v>Dry</v>
      </c>
      <c r="C262" s="263">
        <f>'Final data_for_R_analysis_Dryse'!B188</f>
        <v>187</v>
      </c>
      <c r="D262" t="s">
        <v>3855</v>
      </c>
      <c r="E262" t="s">
        <v>22</v>
      </c>
      <c r="F262" s="386">
        <v>3</v>
      </c>
      <c r="G262" s="16">
        <f>'Dry_Litterbag Placem_Collection'!E189</f>
        <v>42940</v>
      </c>
      <c r="H262" t="str">
        <f>'Final data_for_R_analysis_Dryse'!J188</f>
        <v>G242</v>
      </c>
      <c r="I262" t="str">
        <f>'Final data_for_R_analysis_Dryse'!J408</f>
        <v>R759</v>
      </c>
      <c r="J262">
        <f>IFERROR(INDEX('Green_rooibos initial weight'!$C$5:$C$1749,MATCH(H262, 'Green_rooibos initial weight'!$A$5:$A$1749,0)),"")</f>
        <v>1.9470000000000001</v>
      </c>
      <c r="K262">
        <f>IFERROR(INDEX('Green_rooibos initial weight'!$C$5:$C$1749,MATCH(I262, 'Green_rooibos initial weight'!$A$5:$A$1749,0)),"")</f>
        <v>2.2469999999999999</v>
      </c>
      <c r="L262" s="195">
        <f t="shared" si="21"/>
        <v>1.6972</v>
      </c>
      <c r="M262" s="195">
        <f t="shared" si="22"/>
        <v>1.9971999999999999</v>
      </c>
      <c r="N262" s="16">
        <f>IF('Dry_Litterbag Placem_Collection'!G189="N.A","",'Dry_Litterbag Placem_Collection'!G189)</f>
        <v>43009</v>
      </c>
      <c r="O262" s="195">
        <f>IF(IFERROR(INDEX('Both teabags AfterDry'!$D$1:$D$839,MATCH(H262,'Both teabags AfterDry'!$A$1:$A$839,0)),"")="N.A","",(IFERROR(INDEX('Both teabags AfterDry'!$D$1:$D$839,MATCH(H262,'Both teabags AfterDry'!$A$1:$A$839,0)),"")))</f>
        <v>0.70840000000000003</v>
      </c>
      <c r="P262" s="195">
        <f>IF(IFERROR(INDEX('Both teabags AfterDry'!$D$1:$D$839,MATCH(I262,'Both teabags AfterDry'!$A$1:$A$839,0)),"")="N.A","",(IFERROR(INDEX('Both teabags AfterDry'!$D$1:$D$839,MATCH(I262,'Both teabags AfterDry'!$A$1:$A$839,0)),"")))</f>
        <v>1.7075</v>
      </c>
      <c r="Q262" s="195">
        <f t="shared" si="23"/>
        <v>0.55780000000000007</v>
      </c>
      <c r="R262" s="195">
        <f t="shared" si="23"/>
        <v>1.5569</v>
      </c>
      <c r="S262" s="195">
        <f t="shared" si="18"/>
        <v>0.67134103228847508</v>
      </c>
      <c r="T262" s="195">
        <f t="shared" si="24"/>
        <v>0.44011906154778896</v>
      </c>
      <c r="U262" s="195">
        <f t="shared" si="19"/>
        <v>0.77954135790106149</v>
      </c>
      <c r="V262">
        <f t="shared" si="20"/>
        <v>69</v>
      </c>
      <c r="W262" s="195">
        <f t="shared" si="25"/>
        <v>0.20268285951487519</v>
      </c>
      <c r="X262" s="195">
        <f t="shared" si="26"/>
        <v>1.0071919983186493E-2</v>
      </c>
      <c r="Y262" s="255" t="str">
        <f>IF(ISNUMBER(SEARCH("C", 'Dry_Litterbag Placem_Collection'!T189)),"YES","NO")</f>
        <v>NO</v>
      </c>
      <c r="Z262" s="255" t="str">
        <f>IF(ISNUMBER(SEARCH("H", 'Dry_Litterbag Placem_Collection'!T189)),"YES","NO")</f>
        <v>NO</v>
      </c>
      <c r="AA262" s="255" t="str">
        <f>IF(ISNUMBER(SEARCH("R", 'Dry_Litterbag Placem_Collection'!T189)),"YES","NO")</f>
        <v>NO</v>
      </c>
      <c r="AB262" s="255" t="str">
        <f>IF(ISNUMBER(SEARCH("C", 'Dry_Litterbag Placem_Collection'!S189)),"YES","NO")</f>
        <v>NO</v>
      </c>
      <c r="AC262" s="255" t="str">
        <f>IF(ISNUMBER(SEARCH("H", 'Dry_Litterbag Placem_Collection'!S189)),"YES","NO")</f>
        <v>NO</v>
      </c>
      <c r="AD262" s="255" t="str">
        <f>IF(ISNUMBER(SEARCH("R", 'Dry_Litterbag Placem_Collection'!S189)),"YES","NO")</f>
        <v>YES</v>
      </c>
    </row>
    <row r="263" spans="2:30">
      <c r="B263" t="str">
        <f>'Final data_for_R_analysis_Dryse'!A189</f>
        <v>Dry</v>
      </c>
      <c r="C263" s="263">
        <f>'Final data_for_R_analysis_Dryse'!B189</f>
        <v>188</v>
      </c>
      <c r="D263" t="s">
        <v>3855</v>
      </c>
      <c r="E263" t="s">
        <v>22</v>
      </c>
      <c r="F263" s="387">
        <v>4</v>
      </c>
      <c r="G263" s="16">
        <f>'Dry_Litterbag Placem_Collection'!E190</f>
        <v>42940</v>
      </c>
      <c r="H263" t="str">
        <f>'Final data_for_R_analysis_Dryse'!J189</f>
        <v>G146</v>
      </c>
      <c r="I263" t="str">
        <f>'Final data_for_R_analysis_Dryse'!J409</f>
        <v>R357</v>
      </c>
      <c r="J263">
        <f>IFERROR(INDEX('Green_rooibos initial weight'!$C$5:$C$1749,MATCH(H263, 'Green_rooibos initial weight'!$A$5:$A$1749,0)),"")</f>
        <v>2.0529999999999999</v>
      </c>
      <c r="K263">
        <f>IFERROR(INDEX('Green_rooibos initial weight'!$C$5:$C$1749,MATCH(I263, 'Green_rooibos initial weight'!$A$5:$A$1749,0)),"")</f>
        <v>2.2090000000000001</v>
      </c>
      <c r="L263" s="195">
        <f t="shared" si="21"/>
        <v>1.8031999999999999</v>
      </c>
      <c r="M263" s="195">
        <f t="shared" si="22"/>
        <v>1.9592000000000001</v>
      </c>
      <c r="N263" s="16">
        <f>IF('Dry_Litterbag Placem_Collection'!G190="N.A","",'Dry_Litterbag Placem_Collection'!G190)</f>
        <v>43009</v>
      </c>
      <c r="O263" s="195">
        <f>IF(IFERROR(INDEX('Both teabags AfterDry'!$D$1:$D$839,MATCH(H263,'Both teabags AfterDry'!$A$1:$A$839,0)),"")="N.A","",(IFERROR(INDEX('Both teabags AfterDry'!$D$1:$D$839,MATCH(H263,'Both teabags AfterDry'!$A$1:$A$839,0)),"")))</f>
        <v>0.91069999999999995</v>
      </c>
      <c r="P263" s="195">
        <f>IF(IFERROR(INDEX('Both teabags AfterDry'!$D$1:$D$839,MATCH(I263,'Both teabags AfterDry'!$A$1:$A$839,0)),"")="N.A","",(IFERROR(INDEX('Both teabags AfterDry'!$D$1:$D$839,MATCH(I263,'Both teabags AfterDry'!$A$1:$A$839,0)),"")))</f>
        <v>0</v>
      </c>
      <c r="Q263" s="195">
        <f t="shared" si="23"/>
        <v>0.7601</v>
      </c>
      <c r="R263" s="195" t="str">
        <f t="shared" si="23"/>
        <v/>
      </c>
      <c r="S263" s="195">
        <f t="shared" si="18"/>
        <v>0.57847160603371783</v>
      </c>
      <c r="T263" s="195">
        <f t="shared" si="24"/>
        <v>0.37923554219787681</v>
      </c>
      <c r="U263" s="195" t="str">
        <f t="shared" si="19"/>
        <v/>
      </c>
      <c r="V263">
        <f t="shared" si="20"/>
        <v>69</v>
      </c>
      <c r="W263" s="195">
        <f t="shared" si="25"/>
        <v>0.31297909022123771</v>
      </c>
      <c r="X263" s="195" t="str">
        <f t="shared" si="26"/>
        <v/>
      </c>
      <c r="Y263" s="255" t="str">
        <f>IF(ISNUMBER(SEARCH("C", 'Dry_Litterbag Placem_Collection'!T190)),"YES","NO")</f>
        <v>YES</v>
      </c>
      <c r="Z263" s="255" t="str">
        <f>IF(ISNUMBER(SEARCH("H", 'Dry_Litterbag Placem_Collection'!T190)),"YES","NO")</f>
        <v>YES</v>
      </c>
      <c r="AA263" s="255" t="str">
        <f>IF(ISNUMBER(SEARCH("R", 'Dry_Litterbag Placem_Collection'!T190)),"YES","NO")</f>
        <v>YES</v>
      </c>
      <c r="AB263" s="255" t="str">
        <f>IF(ISNUMBER(SEARCH("C", 'Dry_Litterbag Placem_Collection'!S190)),"YES","NO")</f>
        <v>NO</v>
      </c>
      <c r="AC263" s="255" t="str">
        <f>IF(ISNUMBER(SEARCH("H", 'Dry_Litterbag Placem_Collection'!S190)),"YES","NO")</f>
        <v>YES</v>
      </c>
      <c r="AD263" s="255" t="str">
        <f>IF(ISNUMBER(SEARCH("R", 'Dry_Litterbag Placem_Collection'!S190)),"YES","NO")</f>
        <v>YES</v>
      </c>
    </row>
    <row r="264" spans="2:30">
      <c r="B264" t="str">
        <f>'Final data_for_R_analysis_Dryse'!A190</f>
        <v>Dry</v>
      </c>
      <c r="C264" s="263">
        <f>'Final data_for_R_analysis_Dryse'!B190</f>
        <v>189</v>
      </c>
      <c r="D264" t="s">
        <v>3855</v>
      </c>
      <c r="E264" t="s">
        <v>22</v>
      </c>
      <c r="F264" s="387">
        <v>5</v>
      </c>
      <c r="G264" s="16">
        <f>'Dry_Litterbag Placem_Collection'!E191</f>
        <v>42940</v>
      </c>
      <c r="H264" t="str">
        <f>'Final data_for_R_analysis_Dryse'!J190</f>
        <v>G144</v>
      </c>
      <c r="I264" t="str">
        <f>'Final data_for_R_analysis_Dryse'!J410</f>
        <v>R18</v>
      </c>
      <c r="J264">
        <f>IFERROR(INDEX('Green_rooibos initial weight'!$C$5:$C$1749,MATCH(H264, 'Green_rooibos initial weight'!$A$5:$A$1749,0)),"")</f>
        <v>2.0230000000000001</v>
      </c>
      <c r="K264">
        <f>IFERROR(INDEX('Green_rooibos initial weight'!$C$5:$C$1749,MATCH(I264, 'Green_rooibos initial weight'!$A$5:$A$1749,0)),"")</f>
        <v>2.2519999999999998</v>
      </c>
      <c r="L264" s="195">
        <f t="shared" si="21"/>
        <v>1.7732000000000001</v>
      </c>
      <c r="M264" s="195">
        <f t="shared" si="22"/>
        <v>2.0021999999999998</v>
      </c>
      <c r="N264" s="16">
        <f>IF('Dry_Litterbag Placem_Collection'!G191="N.A","",'Dry_Litterbag Placem_Collection'!G191)</f>
        <v>43009</v>
      </c>
      <c r="O264" s="195">
        <f>IF(IFERROR(INDEX('Both teabags AfterDry'!$D$1:$D$839,MATCH(H264,'Both teabags AfterDry'!$A$1:$A$839,0)),"")="N.A","",(IFERROR(INDEX('Both teabags AfterDry'!$D$1:$D$839,MATCH(H264,'Both teabags AfterDry'!$A$1:$A$839,0)),"")))</f>
        <v>0.68520000000000003</v>
      </c>
      <c r="P264" s="195">
        <f>IF(IFERROR(INDEX('Both teabags AfterDry'!$D$1:$D$839,MATCH(I264,'Both teabags AfterDry'!$A$1:$A$839,0)),"")="N.A","",(IFERROR(INDEX('Both teabags AfterDry'!$D$1:$D$839,MATCH(I264,'Both teabags AfterDry'!$A$1:$A$839,0)),"")))</f>
        <v>0</v>
      </c>
      <c r="Q264" s="195">
        <f t="shared" si="23"/>
        <v>0.53459999999999996</v>
      </c>
      <c r="R264" s="195" t="str">
        <f t="shared" si="23"/>
        <v/>
      </c>
      <c r="S264" s="195">
        <f t="shared" si="18"/>
        <v>0.69851116625310183</v>
      </c>
      <c r="T264" s="195">
        <f t="shared" si="24"/>
        <v>0.45793131089276989</v>
      </c>
      <c r="U264" s="195" t="str">
        <f t="shared" si="19"/>
        <v/>
      </c>
      <c r="V264">
        <f t="shared" si="20"/>
        <v>69</v>
      </c>
      <c r="W264" s="195">
        <f t="shared" si="25"/>
        <v>0.17041429186092416</v>
      </c>
      <c r="X264" s="195" t="str">
        <f t="shared" si="26"/>
        <v/>
      </c>
      <c r="Y264" s="255" t="str">
        <f>IF(ISNUMBER(SEARCH("C", 'Dry_Litterbag Placem_Collection'!T191)),"YES","NO")</f>
        <v>NO</v>
      </c>
      <c r="Z264" s="255" t="str">
        <f>IF(ISNUMBER(SEARCH("H", 'Dry_Litterbag Placem_Collection'!T191)),"YES","NO")</f>
        <v>YES</v>
      </c>
      <c r="AA264" s="255" t="str">
        <f>IF(ISNUMBER(SEARCH("R", 'Dry_Litterbag Placem_Collection'!T191)),"YES","NO")</f>
        <v>YES</v>
      </c>
      <c r="AB264" s="255" t="str">
        <f>IF(ISNUMBER(SEARCH("C", 'Dry_Litterbag Placem_Collection'!S191)),"YES","NO")</f>
        <v>NO</v>
      </c>
      <c r="AC264" s="255" t="str">
        <f>IF(ISNUMBER(SEARCH("H", 'Dry_Litterbag Placem_Collection'!S191)),"YES","NO")</f>
        <v>NO</v>
      </c>
      <c r="AD264" s="255" t="str">
        <f>IF(ISNUMBER(SEARCH("R", 'Dry_Litterbag Placem_Collection'!S191)),"YES","NO")</f>
        <v>YES</v>
      </c>
    </row>
    <row r="265" spans="2:30">
      <c r="B265" t="str">
        <f>'Final data_for_R_analysis_Dryse'!A191</f>
        <v>Dry</v>
      </c>
      <c r="C265" s="263">
        <f>'Final data_for_R_analysis_Dryse'!B191</f>
        <v>190</v>
      </c>
      <c r="D265" t="s">
        <v>3855</v>
      </c>
      <c r="E265" t="s">
        <v>22</v>
      </c>
      <c r="F265" s="387">
        <v>6</v>
      </c>
      <c r="G265" s="16">
        <f>'Dry_Litterbag Placem_Collection'!E192</f>
        <v>42940</v>
      </c>
      <c r="H265" t="str">
        <f>'Final data_for_R_analysis_Dryse'!J191</f>
        <v>G171</v>
      </c>
      <c r="I265" t="str">
        <f>'Final data_for_R_analysis_Dryse'!J411</f>
        <v>R397</v>
      </c>
      <c r="J265">
        <f>IFERROR(INDEX('Green_rooibos initial weight'!$C$5:$C$1749,MATCH(H265, 'Green_rooibos initial weight'!$A$5:$A$1749,0)),"")</f>
        <v>1.9239999999999999</v>
      </c>
      <c r="K265">
        <f>IFERROR(INDEX('Green_rooibos initial weight'!$C$5:$C$1749,MATCH(I265, 'Green_rooibos initial weight'!$A$5:$A$1749,0)),"")</f>
        <v>2.1970000000000001</v>
      </c>
      <c r="L265" s="195">
        <f t="shared" si="21"/>
        <v>1.6741999999999999</v>
      </c>
      <c r="M265" s="195">
        <f t="shared" si="22"/>
        <v>1.9472</v>
      </c>
      <c r="N265" s="16">
        <f>IF('Dry_Litterbag Placem_Collection'!G192="N.A","",'Dry_Litterbag Placem_Collection'!G192)</f>
        <v>43009</v>
      </c>
      <c r="O265" s="195">
        <f>IF(IFERROR(INDEX('Both teabags AfterDry'!$D$1:$D$839,MATCH(H265,'Both teabags AfterDry'!$A$1:$A$839,0)),"")="N.A","",(IFERROR(INDEX('Both teabags AfterDry'!$D$1:$D$839,MATCH(H265,'Both teabags AfterDry'!$A$1:$A$839,0)),"")))</f>
        <v>0.75309999999999999</v>
      </c>
      <c r="P265" s="195">
        <f>IF(IFERROR(INDEX('Both teabags AfterDry'!$D$1:$D$839,MATCH(I265,'Both teabags AfterDry'!$A$1:$A$839,0)),"")="N.A","",(IFERROR(INDEX('Both teabags AfterDry'!$D$1:$D$839,MATCH(I265,'Both teabags AfterDry'!$A$1:$A$839,0)),"")))</f>
        <v>1.7444999999999999</v>
      </c>
      <c r="Q265" s="195">
        <f t="shared" si="23"/>
        <v>0.60250000000000004</v>
      </c>
      <c r="R265" s="195">
        <f t="shared" si="23"/>
        <v>1.5938999999999999</v>
      </c>
      <c r="S265" s="195">
        <f t="shared" si="18"/>
        <v>0.64012662764305328</v>
      </c>
      <c r="T265" s="195">
        <f t="shared" si="24"/>
        <v>0.41965546135269055</v>
      </c>
      <c r="U265" s="195">
        <f t="shared" si="19"/>
        <v>0.81855998356614623</v>
      </c>
      <c r="V265">
        <f t="shared" si="20"/>
        <v>69</v>
      </c>
      <c r="W265" s="195">
        <f t="shared" si="25"/>
        <v>0.23975459899874907</v>
      </c>
      <c r="X265" s="195">
        <f t="shared" si="26"/>
        <v>8.206645645815561E-3</v>
      </c>
      <c r="Y265" s="255" t="str">
        <f>IF(ISNUMBER(SEARCH("C", 'Dry_Litterbag Placem_Collection'!T192)),"YES","NO")</f>
        <v>NO</v>
      </c>
      <c r="Z265" s="255" t="str">
        <f>IF(ISNUMBER(SEARCH("H", 'Dry_Litterbag Placem_Collection'!T192)),"YES","NO")</f>
        <v>NO</v>
      </c>
      <c r="AA265" s="255" t="str">
        <f>IF(ISNUMBER(SEARCH("R", 'Dry_Litterbag Placem_Collection'!T192)),"YES","NO")</f>
        <v>NO</v>
      </c>
      <c r="AB265" s="255" t="str">
        <f>IF(ISNUMBER(SEARCH("C", 'Dry_Litterbag Placem_Collection'!S192)),"YES","NO")</f>
        <v>NO</v>
      </c>
      <c r="AC265" s="255" t="str">
        <f>IF(ISNUMBER(SEARCH("H", 'Dry_Litterbag Placem_Collection'!S192)),"YES","NO")</f>
        <v>NO</v>
      </c>
      <c r="AD265" s="255" t="str">
        <f>IF(ISNUMBER(SEARCH("R", 'Dry_Litterbag Placem_Collection'!S192)),"YES","NO")</f>
        <v>NO</v>
      </c>
    </row>
    <row r="266" spans="2:30">
      <c r="B266" t="str">
        <f>'Final data_for_R_analysis_Dryse'!A192</f>
        <v>Dry</v>
      </c>
      <c r="C266" s="263">
        <f>'Final data_for_R_analysis_Dryse'!B192</f>
        <v>191</v>
      </c>
      <c r="D266" t="s">
        <v>3855</v>
      </c>
      <c r="E266" t="s">
        <v>22</v>
      </c>
      <c r="F266" s="387">
        <v>7</v>
      </c>
      <c r="G266" s="16">
        <f>'Dry_Litterbag Placem_Collection'!E193</f>
        <v>42940</v>
      </c>
      <c r="H266" t="str">
        <f>'Final data_for_R_analysis_Dryse'!J192</f>
        <v>G232</v>
      </c>
      <c r="I266" t="str">
        <f>'Final data_for_R_analysis_Dryse'!J412</f>
        <v>R715</v>
      </c>
      <c r="J266">
        <f>IFERROR(INDEX('Green_rooibos initial weight'!$C$5:$C$1749,MATCH(H266, 'Green_rooibos initial weight'!$A$5:$A$1749,0)),"")</f>
        <v>2.04</v>
      </c>
      <c r="K266">
        <f>IFERROR(INDEX('Green_rooibos initial weight'!$C$5:$C$1749,MATCH(I266, 'Green_rooibos initial weight'!$A$5:$A$1749,0)),"")</f>
        <v>2.161</v>
      </c>
      <c r="L266" s="195">
        <f t="shared" si="21"/>
        <v>1.7902</v>
      </c>
      <c r="M266" s="195">
        <f t="shared" si="22"/>
        <v>1.9112</v>
      </c>
      <c r="N266" s="16">
        <f>IF('Dry_Litterbag Placem_Collection'!G193="N.A","",'Dry_Litterbag Placem_Collection'!G193)</f>
        <v>43009</v>
      </c>
      <c r="O266" s="195">
        <f>IF(IFERROR(INDEX('Both teabags AfterDry'!$D$1:$D$839,MATCH(H266,'Both teabags AfterDry'!$A$1:$A$839,0)),"")="N.A","",(IFERROR(INDEX('Both teabags AfterDry'!$D$1:$D$839,MATCH(H266,'Both teabags AfterDry'!$A$1:$A$839,0)),"")))</f>
        <v>0.80369999999999997</v>
      </c>
      <c r="P266" s="195">
        <f>IF(IFERROR(INDEX('Both teabags AfterDry'!$D$1:$D$839,MATCH(I266,'Both teabags AfterDry'!$A$1:$A$839,0)),"")="N.A","",(IFERROR(INDEX('Both teabags AfterDry'!$D$1:$D$839,MATCH(I266,'Both teabags AfterDry'!$A$1:$A$839,0)),"")))</f>
        <v>1.9014</v>
      </c>
      <c r="Q266" s="195">
        <f t="shared" si="23"/>
        <v>0.65310000000000001</v>
      </c>
      <c r="R266" s="195">
        <f t="shared" si="23"/>
        <v>1.7507999999999999</v>
      </c>
      <c r="S266" s="195">
        <f t="shared" si="18"/>
        <v>0.63518042676795883</v>
      </c>
      <c r="T266" s="195">
        <f t="shared" si="24"/>
        <v>0.41641282134906571</v>
      </c>
      <c r="U266" s="195">
        <f t="shared" si="19"/>
        <v>0.91607367099204684</v>
      </c>
      <c r="V266">
        <f t="shared" si="20"/>
        <v>69</v>
      </c>
      <c r="W266" s="195">
        <f t="shared" si="25"/>
        <v>0.24562894683140279</v>
      </c>
      <c r="X266" s="195">
        <f t="shared" si="26"/>
        <v>3.2619984417107521E-3</v>
      </c>
      <c r="Y266" s="255" t="str">
        <f>IF(ISNUMBER(SEARCH("C", 'Dry_Litterbag Placem_Collection'!T193)),"YES","NO")</f>
        <v>NO</v>
      </c>
      <c r="Z266" s="255" t="str">
        <f>IF(ISNUMBER(SEARCH("H", 'Dry_Litterbag Placem_Collection'!T193)),"YES","NO")</f>
        <v>NO</v>
      </c>
      <c r="AA266" s="255" t="str">
        <f>IF(ISNUMBER(SEARCH("R", 'Dry_Litterbag Placem_Collection'!T193)),"YES","NO")</f>
        <v>NO</v>
      </c>
      <c r="AB266" s="255" t="str">
        <f>IF(ISNUMBER(SEARCH("C", 'Dry_Litterbag Placem_Collection'!S193)),"YES","NO")</f>
        <v>NO</v>
      </c>
      <c r="AC266" s="255" t="str">
        <f>IF(ISNUMBER(SEARCH("H", 'Dry_Litterbag Placem_Collection'!S193)),"YES","NO")</f>
        <v>NO</v>
      </c>
      <c r="AD266" s="255" t="str">
        <f>IF(ISNUMBER(SEARCH("R", 'Dry_Litterbag Placem_Collection'!S193)),"YES","NO")</f>
        <v>NO</v>
      </c>
    </row>
    <row r="267" spans="2:30">
      <c r="B267" t="str">
        <f>'Final data_for_R_analysis_Dryse'!A193</f>
        <v>Dry</v>
      </c>
      <c r="C267" s="263">
        <f>'Final data_for_R_analysis_Dryse'!B193</f>
        <v>192</v>
      </c>
      <c r="D267" t="s">
        <v>3855</v>
      </c>
      <c r="E267" t="s">
        <v>22</v>
      </c>
      <c r="F267" s="387">
        <v>8</v>
      </c>
      <c r="G267" s="16">
        <f>'Dry_Litterbag Placem_Collection'!E194</f>
        <v>0</v>
      </c>
      <c r="H267" t="str">
        <f>'Final data_for_R_analysis_Dryse'!J193</f>
        <v/>
      </c>
      <c r="I267" t="str">
        <f>'Final data_for_R_analysis_Dryse'!J413</f>
        <v/>
      </c>
      <c r="J267" t="str">
        <f>IFERROR(INDEX('Green_rooibos initial weight'!$C$5:$C$1749,MATCH(H267, 'Green_rooibos initial weight'!$A$5:$A$1749,0)),"")</f>
        <v/>
      </c>
      <c r="K267" t="str">
        <f>IFERROR(INDEX('Green_rooibos initial weight'!$C$5:$C$1749,MATCH(I267, 'Green_rooibos initial weight'!$A$5:$A$1749,0)),"")</f>
        <v/>
      </c>
      <c r="L267" s="195" t="str">
        <f t="shared" si="21"/>
        <v/>
      </c>
      <c r="M267" s="195" t="str">
        <f t="shared" si="22"/>
        <v/>
      </c>
      <c r="N267" s="16">
        <f>IF('Dry_Litterbag Placem_Collection'!G194="N.A","",'Dry_Litterbag Placem_Collection'!G194)</f>
        <v>0</v>
      </c>
      <c r="O267" s="195" t="str">
        <f>IF(IFERROR(INDEX('Both teabags AfterDry'!$D$1:$D$839,MATCH(H267,'Both teabags AfterDry'!$A$1:$A$839,0)),"")="N.A","",(IFERROR(INDEX('Both teabags AfterDry'!$D$1:$D$839,MATCH(H267,'Both teabags AfterDry'!$A$1:$A$839,0)),"")))</f>
        <v/>
      </c>
      <c r="P267" s="195" t="str">
        <f>IF(IFERROR(INDEX('Both teabags AfterDry'!$D$1:$D$839,MATCH(I267,'Both teabags AfterDry'!$A$1:$A$839,0)),"")="N.A","",(IFERROR(INDEX('Both teabags AfterDry'!$D$1:$D$839,MATCH(I267,'Both teabags AfterDry'!$A$1:$A$839,0)),"")))</f>
        <v/>
      </c>
      <c r="Q267" s="195" t="str">
        <f t="shared" si="23"/>
        <v/>
      </c>
      <c r="R267" s="195" t="str">
        <f t="shared" si="23"/>
        <v/>
      </c>
      <c r="S267" s="195" t="str">
        <f t="shared" si="18"/>
        <v/>
      </c>
      <c r="T267" s="195" t="str">
        <f t="shared" si="24"/>
        <v/>
      </c>
      <c r="U267" s="195" t="str">
        <f t="shared" si="19"/>
        <v/>
      </c>
      <c r="V267" t="str">
        <f t="shared" si="20"/>
        <v/>
      </c>
      <c r="W267" s="195" t="str">
        <f t="shared" si="25"/>
        <v/>
      </c>
      <c r="X267" s="195" t="str">
        <f t="shared" si="26"/>
        <v/>
      </c>
      <c r="Y267" s="255" t="str">
        <f>IF(ISNUMBER(SEARCH("C", 'Dry_Litterbag Placem_Collection'!T194)),"YES","NO")</f>
        <v>NO</v>
      </c>
      <c r="Z267" s="255" t="str">
        <f>IF(ISNUMBER(SEARCH("H", 'Dry_Litterbag Placem_Collection'!T194)),"YES","NO")</f>
        <v>NO</v>
      </c>
      <c r="AA267" s="255" t="str">
        <f>IF(ISNUMBER(SEARCH("R", 'Dry_Litterbag Placem_Collection'!T194)),"YES","NO")</f>
        <v>NO</v>
      </c>
      <c r="AB267" s="255" t="str">
        <f>IF(ISNUMBER(SEARCH("C", 'Dry_Litterbag Placem_Collection'!S194)),"YES","NO")</f>
        <v>NO</v>
      </c>
      <c r="AC267" s="255" t="str">
        <f>IF(ISNUMBER(SEARCH("H", 'Dry_Litterbag Placem_Collection'!S194)),"YES","NO")</f>
        <v>NO</v>
      </c>
      <c r="AD267" s="255" t="str">
        <f>IF(ISNUMBER(SEARCH("R", 'Dry_Litterbag Placem_Collection'!S194)),"YES","NO")</f>
        <v>NO</v>
      </c>
    </row>
    <row r="268" spans="2:30">
      <c r="B268" t="str">
        <f>'Final data_for_R_analysis_Dryse'!A194</f>
        <v>Dry</v>
      </c>
      <c r="C268" s="263">
        <f>'Final data_for_R_analysis_Dryse'!B194</f>
        <v>193</v>
      </c>
      <c r="D268" t="s">
        <v>2445</v>
      </c>
      <c r="E268" t="s">
        <v>22</v>
      </c>
      <c r="F268" s="387">
        <v>1</v>
      </c>
      <c r="G268" s="16">
        <f>'Dry_Litterbag Placem_Collection'!E195</f>
        <v>42942</v>
      </c>
      <c r="H268" t="str">
        <f>'Final data_for_R_analysis_Dryse'!J194</f>
        <v>G257</v>
      </c>
      <c r="I268" t="str">
        <f>'Final data_for_R_analysis_Dryse'!J414</f>
        <v>R695</v>
      </c>
      <c r="J268">
        <f>IFERROR(INDEX('Green_rooibos initial weight'!$C$5:$C$1749,MATCH(H268, 'Green_rooibos initial weight'!$A$5:$A$1749,0)),"")</f>
        <v>1.9319999999999999</v>
      </c>
      <c r="K268">
        <f>IFERROR(INDEX('Green_rooibos initial weight'!$C$5:$C$1749,MATCH(I268, 'Green_rooibos initial weight'!$A$5:$A$1749,0)),"")</f>
        <v>2.1789999999999998</v>
      </c>
      <c r="L268" s="195">
        <f t="shared" si="21"/>
        <v>1.6821999999999999</v>
      </c>
      <c r="M268" s="195">
        <f t="shared" si="22"/>
        <v>1.9291999999999998</v>
      </c>
      <c r="N268" s="16">
        <f>IF('Dry_Litterbag Placem_Collection'!G195="N.A","",'Dry_Litterbag Placem_Collection'!G195)</f>
        <v>43004</v>
      </c>
      <c r="O268" s="195">
        <f>IF(IFERROR(INDEX('Both teabags AfterDry'!$D$1:$D$839,MATCH(H268,'Both teabags AfterDry'!$A$1:$A$839,0)),"")="N.A","",(IFERROR(INDEX('Both teabags AfterDry'!$D$1:$D$839,MATCH(H268,'Both teabags AfterDry'!$A$1:$A$839,0)),"")))</f>
        <v>0.67</v>
      </c>
      <c r="P268" s="195">
        <f>IF(IFERROR(INDEX('Both teabags AfterDry'!$D$1:$D$839,MATCH(I268,'Both teabags AfterDry'!$A$1:$A$839,0)),"")="N.A","",(IFERROR(INDEX('Both teabags AfterDry'!$D$1:$D$839,MATCH(I268,'Both teabags AfterDry'!$A$1:$A$839,0)),"")))</f>
        <v>1.42</v>
      </c>
      <c r="Q268" s="195">
        <f t="shared" si="23"/>
        <v>0.51940000000000008</v>
      </c>
      <c r="R268" s="195">
        <f t="shared" si="23"/>
        <v>1.2693999999999999</v>
      </c>
      <c r="S268" s="195">
        <f t="shared" ref="S268:S331" si="27">IFERROR(1-Q268/L268,"")</f>
        <v>0.6912376649625489</v>
      </c>
      <c r="T268" s="195">
        <f t="shared" si="24"/>
        <v>0.45316293474979458</v>
      </c>
      <c r="U268" s="195">
        <f t="shared" ref="U268:U331" si="28">IFERROR(R268/M268,"")</f>
        <v>0.65799295044578066</v>
      </c>
      <c r="V268">
        <f t="shared" ref="V268:V331" si="29">IF((N268-G268)&gt;0,(IFERROR(N268-G268,"")),"")</f>
        <v>62</v>
      </c>
      <c r="W268" s="195">
        <f t="shared" si="25"/>
        <v>0.17905265443877805</v>
      </c>
      <c r="X268" s="195">
        <f t="shared" si="26"/>
        <v>2.2666421821556374E-2</v>
      </c>
      <c r="Y268" s="255" t="str">
        <f>IF(ISNUMBER(SEARCH("C", 'Dry_Litterbag Placem_Collection'!T195)),"YES","NO")</f>
        <v>NO</v>
      </c>
      <c r="Z268" s="255" t="str">
        <f>IF(ISNUMBER(SEARCH("H", 'Dry_Litterbag Placem_Collection'!T195)),"YES","NO")</f>
        <v>NO</v>
      </c>
      <c r="AA268" s="255" t="str">
        <f>IF(ISNUMBER(SEARCH("R", 'Dry_Litterbag Placem_Collection'!T195)),"YES","NO")</f>
        <v>NO</v>
      </c>
      <c r="AB268" s="255" t="str">
        <f>IF(ISNUMBER(SEARCH("C", 'Dry_Litterbag Placem_Collection'!S195)),"YES","NO")</f>
        <v>NO</v>
      </c>
      <c r="AC268" s="255" t="str">
        <f>IF(ISNUMBER(SEARCH("H", 'Dry_Litterbag Placem_Collection'!S195)),"YES","NO")</f>
        <v>NO</v>
      </c>
      <c r="AD268" s="255" t="str">
        <f>IF(ISNUMBER(SEARCH("R", 'Dry_Litterbag Placem_Collection'!S195)),"YES","NO")</f>
        <v>YES</v>
      </c>
    </row>
    <row r="269" spans="2:30">
      <c r="B269" t="str">
        <f>'Final data_for_R_analysis_Dryse'!A195</f>
        <v>Dry</v>
      </c>
      <c r="C269" s="263">
        <f>'Final data_for_R_analysis_Dryse'!B195</f>
        <v>194</v>
      </c>
      <c r="D269" t="s">
        <v>2438</v>
      </c>
      <c r="E269" t="s">
        <v>22</v>
      </c>
      <c r="F269" s="387">
        <v>2</v>
      </c>
      <c r="G269" s="16">
        <f>'Dry_Litterbag Placem_Collection'!E196</f>
        <v>42942</v>
      </c>
      <c r="H269" t="str">
        <f>'Final data_for_R_analysis_Dryse'!J195</f>
        <v>G148</v>
      </c>
      <c r="I269" t="str">
        <f>'Final data_for_R_analysis_Dryse'!J415</f>
        <v>R653</v>
      </c>
      <c r="J269">
        <f>IFERROR(INDEX('Green_rooibos initial weight'!$C$5:$C$1749,MATCH(H269, 'Green_rooibos initial weight'!$A$5:$A$1749,0)),"")</f>
        <v>2.0710000000000002</v>
      </c>
      <c r="K269">
        <f>IFERROR(INDEX('Green_rooibos initial weight'!$C$5:$C$1749,MATCH(I269, 'Green_rooibos initial weight'!$A$5:$A$1749,0)),"")</f>
        <v>2.1989999999999998</v>
      </c>
      <c r="L269" s="195">
        <f t="shared" ref="L269:L332" si="30">IFERROR(IF(J269&gt;0,(J269*$F$31-($F$29+$F$30)),""),"")</f>
        <v>1.8212000000000002</v>
      </c>
      <c r="M269" s="195">
        <f t="shared" ref="M269:M332" si="31">IFERROR(IF(K269&gt;0,(K269*$F$32-($F$29+$F$30)),""),"")</f>
        <v>1.9491999999999998</v>
      </c>
      <c r="N269" s="16">
        <f>IF('Dry_Litterbag Placem_Collection'!G196="N.A","",'Dry_Litterbag Placem_Collection'!G196)</f>
        <v>43004</v>
      </c>
      <c r="O269" s="195">
        <f>IF(IFERROR(INDEX('Both teabags AfterDry'!$D$1:$D$839,MATCH(H269,'Both teabags AfterDry'!$A$1:$A$839,0)),"")="N.A","",(IFERROR(INDEX('Both teabags AfterDry'!$D$1:$D$839,MATCH(H269,'Both teabags AfterDry'!$A$1:$A$839,0)),"")))</f>
        <v>0.433</v>
      </c>
      <c r="P269" s="195">
        <f>IF(IFERROR(INDEX('Both teabags AfterDry'!$D$1:$D$839,MATCH(I269,'Both teabags AfterDry'!$A$1:$A$839,0)),"")="N.A","",(IFERROR(INDEX('Both teabags AfterDry'!$D$1:$D$839,MATCH(I269,'Both teabags AfterDry'!$A$1:$A$839,0)),"")))</f>
        <v>1.613</v>
      </c>
      <c r="Q269" s="195">
        <f t="shared" ref="Q269:R332" si="32">IFERROR(IF(O269&gt;0,O269-($F$29),""),"")</f>
        <v>0.28239999999999998</v>
      </c>
      <c r="R269" s="195">
        <f t="shared" si="32"/>
        <v>1.4623999999999999</v>
      </c>
      <c r="S269" s="195">
        <f t="shared" si="27"/>
        <v>0.84493740390951022</v>
      </c>
      <c r="T269" s="195">
        <f t="shared" ref="T269:T332" si="33">IFERROR($F$26*(1-W269),"")</f>
        <v>0.55392570897630611</v>
      </c>
      <c r="U269" s="195">
        <f t="shared" si="28"/>
        <v>0.75025651549353589</v>
      </c>
      <c r="V269">
        <f t="shared" si="29"/>
        <v>62</v>
      </c>
      <c r="W269" s="195">
        <f t="shared" ref="W269:W332" si="34">IFERROR(1-(S269/$F$25),"")</f>
        <v>-3.4886032179457516E-3</v>
      </c>
      <c r="X269" s="195">
        <f t="shared" ref="X269:X332" si="35">IFERROR(LN(T269/(U269-(1-T269)))/V269,"")</f>
        <v>9.6678005485806174E-3</v>
      </c>
      <c r="Y269" s="255" t="str">
        <f>IF(ISNUMBER(SEARCH("C", 'Dry_Litterbag Placem_Collection'!T196)),"YES","NO")</f>
        <v>NO</v>
      </c>
      <c r="Z269" s="255" t="str">
        <f>IF(ISNUMBER(SEARCH("H", 'Dry_Litterbag Placem_Collection'!T196)),"YES","NO")</f>
        <v>NO</v>
      </c>
      <c r="AA269" s="255" t="str">
        <f>IF(ISNUMBER(SEARCH("R", 'Dry_Litterbag Placem_Collection'!T196)),"YES","NO")</f>
        <v>YES</v>
      </c>
      <c r="AB269" s="255" t="str">
        <f>IF(ISNUMBER(SEARCH("C", 'Dry_Litterbag Placem_Collection'!S196)),"YES","NO")</f>
        <v>NO</v>
      </c>
      <c r="AC269" s="255" t="str">
        <f>IF(ISNUMBER(SEARCH("H", 'Dry_Litterbag Placem_Collection'!S196)),"YES","NO")</f>
        <v>YES</v>
      </c>
      <c r="AD269" s="255" t="str">
        <f>IF(ISNUMBER(SEARCH("R", 'Dry_Litterbag Placem_Collection'!S196)),"YES","NO")</f>
        <v>YES</v>
      </c>
    </row>
    <row r="270" spans="2:30">
      <c r="B270" t="str">
        <f>'Final data_for_R_analysis_Dryse'!A196</f>
        <v>Dry</v>
      </c>
      <c r="C270" s="263">
        <f>'Final data_for_R_analysis_Dryse'!B196</f>
        <v>195</v>
      </c>
      <c r="D270" t="s">
        <v>2430</v>
      </c>
      <c r="E270" t="s">
        <v>22</v>
      </c>
      <c r="F270" s="387">
        <v>3</v>
      </c>
      <c r="G270" s="16">
        <f>'Dry_Litterbag Placem_Collection'!E197</f>
        <v>42942</v>
      </c>
      <c r="H270" t="str">
        <f>'Final data_for_R_analysis_Dryse'!J196</f>
        <v>G105</v>
      </c>
      <c r="I270" t="str">
        <f>'Final data_for_R_analysis_Dryse'!J416</f>
        <v>R389</v>
      </c>
      <c r="J270">
        <f>IFERROR(INDEX('Green_rooibos initial weight'!$C$5:$C$1749,MATCH(H270, 'Green_rooibos initial weight'!$A$5:$A$1749,0)),"")</f>
        <v>2.1440000000000001</v>
      </c>
      <c r="K270">
        <f>IFERROR(INDEX('Green_rooibos initial weight'!$C$5:$C$1749,MATCH(I270, 'Green_rooibos initial weight'!$A$5:$A$1749,0)),"")</f>
        <v>2.2349999999999999</v>
      </c>
      <c r="L270" s="195">
        <f t="shared" si="30"/>
        <v>1.8942000000000001</v>
      </c>
      <c r="M270" s="195">
        <f t="shared" si="31"/>
        <v>1.9851999999999999</v>
      </c>
      <c r="N270" s="16">
        <f>IF('Dry_Litterbag Placem_Collection'!G197="N.A","",'Dry_Litterbag Placem_Collection'!G197)</f>
        <v>43004</v>
      </c>
      <c r="O270" s="195">
        <f>IF(IFERROR(INDEX('Both teabags AfterDry'!$D$1:$D$839,MATCH(H270,'Both teabags AfterDry'!$A$1:$A$839,0)),"")="N.A","",(IFERROR(INDEX('Both teabags AfterDry'!$D$1:$D$839,MATCH(H270,'Both teabags AfterDry'!$A$1:$A$839,0)),"")))</f>
        <v>1.2050000000000001</v>
      </c>
      <c r="P270" s="195">
        <f>IF(IFERROR(INDEX('Both teabags AfterDry'!$D$1:$D$839,MATCH(I270,'Both teabags AfterDry'!$A$1:$A$839,0)),"")="N.A","",(IFERROR(INDEX('Both teabags AfterDry'!$D$1:$D$839,MATCH(I270,'Both teabags AfterDry'!$A$1:$A$839,0)),"")))</f>
        <v>0.78200000000000003</v>
      </c>
      <c r="Q270" s="195">
        <f t="shared" si="32"/>
        <v>1.0544</v>
      </c>
      <c r="R270" s="195">
        <f t="shared" si="32"/>
        <v>0.63139999999999996</v>
      </c>
      <c r="S270" s="195">
        <f t="shared" si="27"/>
        <v>0.44335339457290679</v>
      </c>
      <c r="T270" s="195">
        <f t="shared" si="33"/>
        <v>0.29065448195278454</v>
      </c>
      <c r="U270" s="195">
        <f t="shared" si="28"/>
        <v>0.31805359661495064</v>
      </c>
      <c r="V270">
        <f t="shared" si="29"/>
        <v>62</v>
      </c>
      <c r="W270" s="195">
        <f t="shared" si="34"/>
        <v>0.47345202544785414</v>
      </c>
      <c r="X270" s="195" t="str">
        <f t="shared" si="35"/>
        <v/>
      </c>
      <c r="Y270" s="255" t="str">
        <f>IF(ISNUMBER(SEARCH("C", 'Dry_Litterbag Placem_Collection'!T197)),"YES","NO")</f>
        <v>NO</v>
      </c>
      <c r="Z270" s="255" t="str">
        <f>IF(ISNUMBER(SEARCH("H", 'Dry_Litterbag Placem_Collection'!T197)),"YES","NO")</f>
        <v>NO</v>
      </c>
      <c r="AA270" s="255" t="str">
        <f>IF(ISNUMBER(SEARCH("R", 'Dry_Litterbag Placem_Collection'!T197)),"YES","NO")</f>
        <v>YES</v>
      </c>
      <c r="AB270" s="255" t="str">
        <f>IF(ISNUMBER(SEARCH("C", 'Dry_Litterbag Placem_Collection'!S197)),"YES","NO")</f>
        <v>NO</v>
      </c>
      <c r="AC270" s="255" t="str">
        <f>IF(ISNUMBER(SEARCH("H", 'Dry_Litterbag Placem_Collection'!S197)),"YES","NO")</f>
        <v>YES</v>
      </c>
      <c r="AD270" s="255" t="str">
        <f>IF(ISNUMBER(SEARCH("R", 'Dry_Litterbag Placem_Collection'!S197)),"YES","NO")</f>
        <v>YES</v>
      </c>
    </row>
    <row r="271" spans="2:30">
      <c r="B271" t="str">
        <f>'Final data_for_R_analysis_Dryse'!A197</f>
        <v>Dry</v>
      </c>
      <c r="C271" s="263">
        <f>'Final data_for_R_analysis_Dryse'!B197</f>
        <v>196</v>
      </c>
      <c r="D271" t="s">
        <v>2421</v>
      </c>
      <c r="E271" t="s">
        <v>22</v>
      </c>
      <c r="F271" s="387">
        <v>4</v>
      </c>
      <c r="G271" s="16">
        <f>'Dry_Litterbag Placem_Collection'!E198</f>
        <v>42942</v>
      </c>
      <c r="H271" t="str">
        <f>'Final data_for_R_analysis_Dryse'!J197</f>
        <v>G12</v>
      </c>
      <c r="I271" t="str">
        <f>'Final data_for_R_analysis_Dryse'!J417</f>
        <v>R455</v>
      </c>
      <c r="J271">
        <f>IFERROR(INDEX('Green_rooibos initial weight'!$C$5:$C$1749,MATCH(H271, 'Green_rooibos initial weight'!$A$5:$A$1749,0)),"")</f>
        <v>1.9870000000000001</v>
      </c>
      <c r="K271">
        <f>IFERROR(INDEX('Green_rooibos initial weight'!$C$5:$C$1749,MATCH(I271, 'Green_rooibos initial weight'!$A$5:$A$1749,0)),"")</f>
        <v>2.1850000000000001</v>
      </c>
      <c r="L271" s="195">
        <f t="shared" si="30"/>
        <v>1.7372000000000001</v>
      </c>
      <c r="M271" s="195">
        <f t="shared" si="31"/>
        <v>1.9352</v>
      </c>
      <c r="N271" s="16">
        <f>IF('Dry_Litterbag Placem_Collection'!G198="N.A","",'Dry_Litterbag Placem_Collection'!G198)</f>
        <v>43004</v>
      </c>
      <c r="O271" s="195">
        <f>IF(IFERROR(INDEX('Both teabags AfterDry'!$D$1:$D$839,MATCH(H271,'Both teabags AfterDry'!$A$1:$A$839,0)),"")="N.A","",(IFERROR(INDEX('Both teabags AfterDry'!$D$1:$D$839,MATCH(H271,'Both teabags AfterDry'!$A$1:$A$839,0)),"")))</f>
        <v>0.748</v>
      </c>
      <c r="P271" s="195">
        <f>IF(IFERROR(INDEX('Both teabags AfterDry'!$D$1:$D$839,MATCH(I271,'Both teabags AfterDry'!$A$1:$A$839,0)),"")="N.A","",(IFERROR(INDEX('Both teabags AfterDry'!$D$1:$D$839,MATCH(I271,'Both teabags AfterDry'!$A$1:$A$839,0)),"")))</f>
        <v>0.19900000000000001</v>
      </c>
      <c r="Q271" s="195">
        <f t="shared" si="32"/>
        <v>0.59739999999999993</v>
      </c>
      <c r="R271" s="195">
        <f t="shared" si="32"/>
        <v>4.8399999999999999E-2</v>
      </c>
      <c r="S271" s="195">
        <f t="shared" si="27"/>
        <v>0.65611328574717942</v>
      </c>
      <c r="T271" s="195">
        <f t="shared" si="33"/>
        <v>0.43013602581050248</v>
      </c>
      <c r="U271" s="195">
        <f t="shared" si="28"/>
        <v>2.50103348491112E-2</v>
      </c>
      <c r="V271">
        <f t="shared" si="29"/>
        <v>62</v>
      </c>
      <c r="W271" s="195">
        <f t="shared" si="34"/>
        <v>0.22076806918387237</v>
      </c>
      <c r="X271" s="195" t="str">
        <f t="shared" si="35"/>
        <v/>
      </c>
      <c r="Y271" s="255" t="str">
        <f>IF(ISNUMBER(SEARCH("C", 'Dry_Litterbag Placem_Collection'!T198)),"YES","NO")</f>
        <v>NO</v>
      </c>
      <c r="Z271" s="255" t="str">
        <f>IF(ISNUMBER(SEARCH("H", 'Dry_Litterbag Placem_Collection'!T198)),"YES","NO")</f>
        <v>YES</v>
      </c>
      <c r="AA271" s="255" t="str">
        <f>IF(ISNUMBER(SEARCH("R", 'Dry_Litterbag Placem_Collection'!T198)),"YES","NO")</f>
        <v>NO</v>
      </c>
      <c r="AB271" s="255" t="str">
        <f>IF(ISNUMBER(SEARCH("C", 'Dry_Litterbag Placem_Collection'!S198)),"YES","NO")</f>
        <v>NO</v>
      </c>
      <c r="AC271" s="255" t="str">
        <f>IF(ISNUMBER(SEARCH("H", 'Dry_Litterbag Placem_Collection'!S198)),"YES","NO")</f>
        <v>YES</v>
      </c>
      <c r="AD271" s="255" t="str">
        <f>IF(ISNUMBER(SEARCH("R", 'Dry_Litterbag Placem_Collection'!S198)),"YES","NO")</f>
        <v>NO</v>
      </c>
    </row>
    <row r="272" spans="2:30">
      <c r="B272" t="str">
        <f>'Final data_for_R_analysis_Dryse'!A198</f>
        <v>Dry</v>
      </c>
      <c r="C272" s="263">
        <f>'Final data_for_R_analysis_Dryse'!B198</f>
        <v>197</v>
      </c>
      <c r="D272" t="s">
        <v>2431</v>
      </c>
      <c r="E272" t="s">
        <v>22</v>
      </c>
      <c r="F272" s="387">
        <v>1</v>
      </c>
      <c r="G272" s="16">
        <f>'Dry_Litterbag Placem_Collection'!E199</f>
        <v>42942</v>
      </c>
      <c r="H272" t="str">
        <f>'Final data_for_R_analysis_Dryse'!J198</f>
        <v>G399</v>
      </c>
      <c r="I272" t="str">
        <f>'Final data_for_R_analysis_Dryse'!J418</f>
        <v>R692</v>
      </c>
      <c r="J272">
        <f>IFERROR(INDEX('Green_rooibos initial weight'!$C$5:$C$1749,MATCH(H272, 'Green_rooibos initial weight'!$A$5:$A$1749,0)),"")</f>
        <v>2.0070000000000001</v>
      </c>
      <c r="K272">
        <f>IFERROR(INDEX('Green_rooibos initial weight'!$C$5:$C$1749,MATCH(I272, 'Green_rooibos initial weight'!$A$5:$A$1749,0)),"")</f>
        <v>2.1419999999999999</v>
      </c>
      <c r="L272" s="195">
        <f t="shared" si="30"/>
        <v>1.7572000000000001</v>
      </c>
      <c r="M272" s="195">
        <f t="shared" si="31"/>
        <v>1.8921999999999999</v>
      </c>
      <c r="N272" s="16">
        <f>IF('Dry_Litterbag Placem_Collection'!G199="N.A","",'Dry_Litterbag Placem_Collection'!G199)</f>
        <v>43004</v>
      </c>
      <c r="O272" s="195">
        <f>IF(IFERROR(INDEX('Both teabags AfterDry'!$D$1:$D$839,MATCH(H272,'Both teabags AfterDry'!$A$1:$A$839,0)),"")="N.A","",(IFERROR(INDEX('Both teabags AfterDry'!$D$1:$D$839,MATCH(H272,'Both teabags AfterDry'!$A$1:$A$839,0)),"")))</f>
        <v>0.69</v>
      </c>
      <c r="P272" s="195">
        <f>IF(IFERROR(INDEX('Both teabags AfterDry'!$D$1:$D$839,MATCH(I272,'Both teabags AfterDry'!$A$1:$A$839,0)),"")="N.A","",(IFERROR(INDEX('Both teabags AfterDry'!$D$1:$D$839,MATCH(I272,'Both teabags AfterDry'!$A$1:$A$839,0)),"")))</f>
        <v>1.6160000000000001</v>
      </c>
      <c r="Q272" s="195">
        <f t="shared" si="32"/>
        <v>0.53939999999999988</v>
      </c>
      <c r="R272" s="195">
        <f t="shared" si="32"/>
        <v>1.4654</v>
      </c>
      <c r="S272" s="195">
        <f t="shared" si="27"/>
        <v>0.69303437286592318</v>
      </c>
      <c r="T272" s="195">
        <f t="shared" si="33"/>
        <v>0.45434082401661474</v>
      </c>
      <c r="U272" s="195">
        <f t="shared" si="28"/>
        <v>0.77444244794419204</v>
      </c>
      <c r="V272">
        <f t="shared" si="29"/>
        <v>62</v>
      </c>
      <c r="W272" s="195">
        <f t="shared" si="34"/>
        <v>0.17691879707135016</v>
      </c>
      <c r="X272" s="195">
        <f t="shared" si="35"/>
        <v>1.1065685247037747E-2</v>
      </c>
      <c r="Y272" s="255" t="str">
        <f>IF(ISNUMBER(SEARCH("C", 'Dry_Litterbag Placem_Collection'!T199)),"YES","NO")</f>
        <v>NO</v>
      </c>
      <c r="Z272" s="255" t="str">
        <f>IF(ISNUMBER(SEARCH("H", 'Dry_Litterbag Placem_Collection'!T199)),"YES","NO")</f>
        <v>NO</v>
      </c>
      <c r="AA272" s="255" t="str">
        <f>IF(ISNUMBER(SEARCH("R", 'Dry_Litterbag Placem_Collection'!T199)),"YES","NO")</f>
        <v>YES</v>
      </c>
      <c r="AB272" s="255" t="str">
        <f>IF(ISNUMBER(SEARCH("C", 'Dry_Litterbag Placem_Collection'!S199)),"YES","NO")</f>
        <v>NO</v>
      </c>
      <c r="AC272" s="255" t="str">
        <f>IF(ISNUMBER(SEARCH("H", 'Dry_Litterbag Placem_Collection'!S199)),"YES","NO")</f>
        <v>NO</v>
      </c>
      <c r="AD272" s="255" t="str">
        <f>IF(ISNUMBER(SEARCH("R", 'Dry_Litterbag Placem_Collection'!S199)),"YES","NO")</f>
        <v>YES</v>
      </c>
    </row>
    <row r="273" spans="2:30">
      <c r="B273" t="str">
        <f>'Final data_for_R_analysis_Dryse'!A199</f>
        <v>Dry</v>
      </c>
      <c r="C273" s="263">
        <f>'Final data_for_R_analysis_Dryse'!B199</f>
        <v>198</v>
      </c>
      <c r="D273" t="s">
        <v>2439</v>
      </c>
      <c r="E273" t="s">
        <v>22</v>
      </c>
      <c r="F273" s="387">
        <v>2</v>
      </c>
      <c r="G273" s="16">
        <f>'Dry_Litterbag Placem_Collection'!E200</f>
        <v>42942</v>
      </c>
      <c r="H273" t="str">
        <f>'Final data_for_R_analysis_Dryse'!J199</f>
        <v>G27</v>
      </c>
      <c r="I273" t="str">
        <f>'Final data_for_R_analysis_Dryse'!J419</f>
        <v>R352</v>
      </c>
      <c r="J273">
        <f>IFERROR(INDEX('Green_rooibos initial weight'!$C$5:$C$1749,MATCH(H273, 'Green_rooibos initial weight'!$A$5:$A$1749,0)),"")</f>
        <v>1.966</v>
      </c>
      <c r="K273">
        <f>IFERROR(INDEX('Green_rooibos initial weight'!$C$5:$C$1749,MATCH(I273, 'Green_rooibos initial weight'!$A$5:$A$1749,0)),"")</f>
        <v>2.2789999999999999</v>
      </c>
      <c r="L273" s="195">
        <f t="shared" si="30"/>
        <v>1.7161999999999999</v>
      </c>
      <c r="M273" s="195">
        <f t="shared" si="31"/>
        <v>2.0291999999999999</v>
      </c>
      <c r="N273" s="16">
        <f>IF('Dry_Litterbag Placem_Collection'!G200="N.A","",'Dry_Litterbag Placem_Collection'!G200)</f>
        <v>43004</v>
      </c>
      <c r="O273" s="195">
        <f>IF(IFERROR(INDEX('Both teabags AfterDry'!$D$1:$D$839,MATCH(H273,'Both teabags AfterDry'!$A$1:$A$839,0)),"")="N.A","",(IFERROR(INDEX('Both teabags AfterDry'!$D$1:$D$839,MATCH(H273,'Both teabags AfterDry'!$A$1:$A$839,0)),"")))</f>
        <v>0.73799999999999999</v>
      </c>
      <c r="P273" s="195">
        <f>IF(IFERROR(INDEX('Both teabags AfterDry'!$D$1:$D$839,MATCH(I273,'Both teabags AfterDry'!$A$1:$A$839,0)),"")="N.A","",(IFERROR(INDEX('Both teabags AfterDry'!$D$1:$D$839,MATCH(I273,'Both teabags AfterDry'!$A$1:$A$839,0)),"")))</f>
        <v>1.615</v>
      </c>
      <c r="Q273" s="195">
        <f t="shared" si="32"/>
        <v>0.58739999999999992</v>
      </c>
      <c r="R273" s="195">
        <f t="shared" si="32"/>
        <v>1.4643999999999999</v>
      </c>
      <c r="S273" s="195">
        <f t="shared" si="27"/>
        <v>0.6577321990444005</v>
      </c>
      <c r="T273" s="195">
        <f t="shared" si="33"/>
        <v>0.43119735614312243</v>
      </c>
      <c r="U273" s="195">
        <f t="shared" si="28"/>
        <v>0.72166370983638872</v>
      </c>
      <c r="V273">
        <f t="shared" si="29"/>
        <v>62</v>
      </c>
      <c r="W273" s="195">
        <f t="shared" si="34"/>
        <v>0.21884536930593768</v>
      </c>
      <c r="X273" s="195">
        <f t="shared" si="35"/>
        <v>1.6726394271365769E-2</v>
      </c>
      <c r="Y273" s="255" t="str">
        <f>IF(ISNUMBER(SEARCH("C", 'Dry_Litterbag Placem_Collection'!T200)),"YES","NO")</f>
        <v>NO</v>
      </c>
      <c r="Z273" s="255" t="str">
        <f>IF(ISNUMBER(SEARCH("H", 'Dry_Litterbag Placem_Collection'!T200)),"YES","NO")</f>
        <v>YES</v>
      </c>
      <c r="AA273" s="255" t="str">
        <f>IF(ISNUMBER(SEARCH("R", 'Dry_Litterbag Placem_Collection'!T200)),"YES","NO")</f>
        <v>YES</v>
      </c>
      <c r="AB273" s="255" t="str">
        <f>IF(ISNUMBER(SEARCH("C", 'Dry_Litterbag Placem_Collection'!S200)),"YES","NO")</f>
        <v>NO</v>
      </c>
      <c r="AC273" s="255" t="str">
        <f>IF(ISNUMBER(SEARCH("H", 'Dry_Litterbag Placem_Collection'!S200)),"YES","NO")</f>
        <v>NO</v>
      </c>
      <c r="AD273" s="255" t="str">
        <f>IF(ISNUMBER(SEARCH("R", 'Dry_Litterbag Placem_Collection'!S200)),"YES","NO")</f>
        <v>YES</v>
      </c>
    </row>
    <row r="274" spans="2:30">
      <c r="B274" t="str">
        <f>'Final data_for_R_analysis_Dryse'!A200</f>
        <v>Dry</v>
      </c>
      <c r="C274" s="263">
        <f>'Final data_for_R_analysis_Dryse'!B200</f>
        <v>199</v>
      </c>
      <c r="D274" t="s">
        <v>2423</v>
      </c>
      <c r="E274" t="s">
        <v>22</v>
      </c>
      <c r="F274" s="387">
        <v>3</v>
      </c>
      <c r="G274" s="16">
        <f>'Dry_Litterbag Placem_Collection'!E201</f>
        <v>42942</v>
      </c>
      <c r="H274" t="str">
        <f>'Final data_for_R_analysis_Dryse'!J200</f>
        <v>G224</v>
      </c>
      <c r="I274" t="str">
        <f>'Final data_for_R_analysis_Dryse'!J420</f>
        <v>R327</v>
      </c>
      <c r="J274">
        <f>IFERROR(INDEX('Green_rooibos initial weight'!$C$5:$C$1749,MATCH(H274, 'Green_rooibos initial weight'!$A$5:$A$1749,0)),"")</f>
        <v>2.0259999999999998</v>
      </c>
      <c r="K274">
        <f>IFERROR(INDEX('Green_rooibos initial weight'!$C$5:$C$1749,MATCH(I274, 'Green_rooibos initial weight'!$A$5:$A$1749,0)),"")</f>
        <v>2.2229999999999999</v>
      </c>
      <c r="L274" s="195">
        <f t="shared" si="30"/>
        <v>1.7761999999999998</v>
      </c>
      <c r="M274" s="195">
        <f t="shared" si="31"/>
        <v>1.9731999999999998</v>
      </c>
      <c r="N274" s="16">
        <f>IF('Dry_Litterbag Placem_Collection'!G201="N.A","",'Dry_Litterbag Placem_Collection'!G201)</f>
        <v>43004</v>
      </c>
      <c r="O274" s="195">
        <f>IF(IFERROR(INDEX('Both teabags AfterDry'!$D$1:$D$839,MATCH(H274,'Both teabags AfterDry'!$A$1:$A$839,0)),"")="N.A","",(IFERROR(INDEX('Both teabags AfterDry'!$D$1:$D$839,MATCH(H274,'Both teabags AfterDry'!$A$1:$A$839,0)),"")))</f>
        <v>0.53049999999999997</v>
      </c>
      <c r="P274" s="195">
        <f>IF(IFERROR(INDEX('Both teabags AfterDry'!$D$1:$D$839,MATCH(I274,'Both teabags AfterDry'!$A$1:$A$839,0)),"")="N.A","",(IFERROR(INDEX('Both teabags AfterDry'!$D$1:$D$839,MATCH(I274,'Both teabags AfterDry'!$A$1:$A$839,0)),"")))</f>
        <v>1.5642</v>
      </c>
      <c r="Q274" s="195">
        <f t="shared" si="32"/>
        <v>0.37989999999999996</v>
      </c>
      <c r="R274" s="195">
        <f t="shared" si="32"/>
        <v>1.4136</v>
      </c>
      <c r="S274" s="195">
        <f t="shared" si="27"/>
        <v>0.78611642833014295</v>
      </c>
      <c r="T274" s="195">
        <f t="shared" si="33"/>
        <v>0.51536373923781353</v>
      </c>
      <c r="U274" s="195">
        <f t="shared" si="28"/>
        <v>0.7163997567403203</v>
      </c>
      <c r="V274">
        <f t="shared" si="29"/>
        <v>62</v>
      </c>
      <c r="W274" s="195">
        <f t="shared" si="34"/>
        <v>6.6370037612656807E-2</v>
      </c>
      <c r="X274" s="195">
        <f t="shared" si="35"/>
        <v>1.2889604892216593E-2</v>
      </c>
      <c r="Y274" s="255" t="str">
        <f>IF(ISNUMBER(SEARCH("C", 'Dry_Litterbag Placem_Collection'!T201)),"YES","NO")</f>
        <v>NO</v>
      </c>
      <c r="Z274" s="255" t="str">
        <f>IF(ISNUMBER(SEARCH("H", 'Dry_Litterbag Placem_Collection'!T201)),"YES","NO")</f>
        <v>YES</v>
      </c>
      <c r="AA274" s="255" t="str">
        <f>IF(ISNUMBER(SEARCH("R", 'Dry_Litterbag Placem_Collection'!T201)),"YES","NO")</f>
        <v>NO</v>
      </c>
      <c r="AB274" s="255" t="str">
        <f>IF(ISNUMBER(SEARCH("C", 'Dry_Litterbag Placem_Collection'!S201)),"YES","NO")</f>
        <v>NO</v>
      </c>
      <c r="AC274" s="255" t="str">
        <f>IF(ISNUMBER(SEARCH("H", 'Dry_Litterbag Placem_Collection'!S201)),"YES","NO")</f>
        <v>YES</v>
      </c>
      <c r="AD274" s="255" t="str">
        <f>IF(ISNUMBER(SEARCH("R", 'Dry_Litterbag Placem_Collection'!S201)),"YES","NO")</f>
        <v>NO</v>
      </c>
    </row>
    <row r="275" spans="2:30">
      <c r="B275" t="str">
        <f>'Final data_for_R_analysis_Dryse'!A201</f>
        <v>Dry</v>
      </c>
      <c r="C275" s="263">
        <f>'Final data_for_R_analysis_Dryse'!B201</f>
        <v>200</v>
      </c>
      <c r="D275" t="s">
        <v>2446</v>
      </c>
      <c r="E275" t="s">
        <v>22</v>
      </c>
      <c r="F275" s="387">
        <v>4</v>
      </c>
      <c r="G275" s="16">
        <f>'Dry_Litterbag Placem_Collection'!E202</f>
        <v>42942</v>
      </c>
      <c r="H275" t="str">
        <f>'Final data_for_R_analysis_Dryse'!J201</f>
        <v>G158</v>
      </c>
      <c r="I275" t="str">
        <f>'Final data_for_R_analysis_Dryse'!J421</f>
        <v>R75</v>
      </c>
      <c r="J275">
        <f>IFERROR(INDEX('Green_rooibos initial weight'!$C$5:$C$1749,MATCH(H275, 'Green_rooibos initial weight'!$A$5:$A$1749,0)),"")</f>
        <v>2.0609999999999999</v>
      </c>
      <c r="K275">
        <f>IFERROR(INDEX('Green_rooibos initial weight'!$C$5:$C$1749,MATCH(I275, 'Green_rooibos initial weight'!$A$5:$A$1749,0)),"")</f>
        <v>2.1819999999999999</v>
      </c>
      <c r="L275" s="195">
        <f t="shared" si="30"/>
        <v>1.8111999999999999</v>
      </c>
      <c r="M275" s="195">
        <f t="shared" si="31"/>
        <v>1.9321999999999999</v>
      </c>
      <c r="N275" s="16">
        <f>IF('Dry_Litterbag Placem_Collection'!G202="N.A","",'Dry_Litterbag Placem_Collection'!G202)</f>
        <v>43004</v>
      </c>
      <c r="O275" s="195">
        <f>IF(IFERROR(INDEX('Both teabags AfterDry'!$D$1:$D$839,MATCH(H275,'Both teabags AfterDry'!$A$1:$A$839,0)),"")="N.A","",(IFERROR(INDEX('Both teabags AfterDry'!$D$1:$D$839,MATCH(H275,'Both teabags AfterDry'!$A$1:$A$839,0)),"")))</f>
        <v>0.71050000000000002</v>
      </c>
      <c r="P275" s="195">
        <f>IF(IFERROR(INDEX('Both teabags AfterDry'!$D$1:$D$839,MATCH(I275,'Both teabags AfterDry'!$A$1:$A$839,0)),"")="N.A","",(IFERROR(INDEX('Both teabags AfterDry'!$D$1:$D$839,MATCH(I275,'Both teabags AfterDry'!$A$1:$A$839,0)),"")))</f>
        <v>0.1565</v>
      </c>
      <c r="Q275" s="195">
        <f t="shared" si="32"/>
        <v>0.55990000000000006</v>
      </c>
      <c r="R275" s="195">
        <f t="shared" si="32"/>
        <v>5.8999999999999886E-3</v>
      </c>
      <c r="S275" s="195">
        <f t="shared" si="27"/>
        <v>0.69086793286219073</v>
      </c>
      <c r="T275" s="195">
        <f t="shared" si="33"/>
        <v>0.45292054505929852</v>
      </c>
      <c r="U275" s="195">
        <f t="shared" si="28"/>
        <v>3.0535141289721505E-3</v>
      </c>
      <c r="V275">
        <f t="shared" si="29"/>
        <v>62</v>
      </c>
      <c r="W275" s="195">
        <f t="shared" si="34"/>
        <v>0.17949176619692309</v>
      </c>
      <c r="X275" s="195" t="str">
        <f t="shared" si="35"/>
        <v/>
      </c>
      <c r="Y275" s="255" t="str">
        <f>IF(ISNUMBER(SEARCH("C", 'Dry_Litterbag Placem_Collection'!T202)),"YES","NO")</f>
        <v>NO</v>
      </c>
      <c r="Z275" s="255" t="str">
        <f>IF(ISNUMBER(SEARCH("H", 'Dry_Litterbag Placem_Collection'!T202)),"YES","NO")</f>
        <v>YES</v>
      </c>
      <c r="AA275" s="255" t="str">
        <f>IF(ISNUMBER(SEARCH("R", 'Dry_Litterbag Placem_Collection'!T202)),"YES","NO")</f>
        <v>YES</v>
      </c>
      <c r="AB275" s="255" t="str">
        <f>IF(ISNUMBER(SEARCH("C", 'Dry_Litterbag Placem_Collection'!S202)),"YES","NO")</f>
        <v>NO</v>
      </c>
      <c r="AC275" s="255" t="str">
        <f>IF(ISNUMBER(SEARCH("H", 'Dry_Litterbag Placem_Collection'!S202)),"YES","NO")</f>
        <v>NO</v>
      </c>
      <c r="AD275" s="255" t="str">
        <f>IF(ISNUMBER(SEARCH("R", 'Dry_Litterbag Placem_Collection'!S202)),"YES","NO")</f>
        <v>YES</v>
      </c>
    </row>
    <row r="276" spans="2:30">
      <c r="B276" t="str">
        <f>'Final data_for_R_analysis_Dryse'!A202</f>
        <v>Dry</v>
      </c>
      <c r="C276" s="263">
        <f>'Final data_for_R_analysis_Dryse'!B202</f>
        <v>201</v>
      </c>
      <c r="D276" t="s">
        <v>2447</v>
      </c>
      <c r="E276" t="s">
        <v>22</v>
      </c>
      <c r="F276" s="387">
        <v>1</v>
      </c>
      <c r="G276" s="16">
        <f>'Dry_Litterbag Placem_Collection'!E203</f>
        <v>42942</v>
      </c>
      <c r="H276" t="str">
        <f>'Final data_for_R_analysis_Dryse'!J202</f>
        <v>G211</v>
      </c>
      <c r="I276" t="str">
        <f>'Final data_for_R_analysis_Dryse'!J422</f>
        <v>R36</v>
      </c>
      <c r="J276">
        <f>IFERROR(INDEX('Green_rooibos initial weight'!$C$5:$C$1749,MATCH(H276, 'Green_rooibos initial weight'!$A$5:$A$1749,0)),"")</f>
        <v>2.06</v>
      </c>
      <c r="K276">
        <f>IFERROR(INDEX('Green_rooibos initial weight'!$C$5:$C$1749,MATCH(I276, 'Green_rooibos initial weight'!$A$5:$A$1749,0)),"")</f>
        <v>2.298</v>
      </c>
      <c r="L276" s="195">
        <f t="shared" si="30"/>
        <v>1.8102</v>
      </c>
      <c r="M276" s="195">
        <f t="shared" si="31"/>
        <v>2.0482</v>
      </c>
      <c r="N276" s="16">
        <f>IF('Dry_Litterbag Placem_Collection'!G203="N.A","",'Dry_Litterbag Placem_Collection'!G203)</f>
        <v>43004</v>
      </c>
      <c r="O276" s="195">
        <f>IF(IFERROR(INDEX('Both teabags AfterDry'!$D$1:$D$839,MATCH(H276,'Both teabags AfterDry'!$A$1:$A$839,0)),"")="N.A","",(IFERROR(INDEX('Both teabags AfterDry'!$D$1:$D$839,MATCH(H276,'Both teabags AfterDry'!$A$1:$A$839,0)),"")))</f>
        <v>0.67300000000000004</v>
      </c>
      <c r="P276" s="195">
        <f>IF(IFERROR(INDEX('Both teabags AfterDry'!$D$1:$D$839,MATCH(I276,'Both teabags AfterDry'!$A$1:$A$839,0)),"")="N.A","",(IFERROR(INDEX('Both teabags AfterDry'!$D$1:$D$839,MATCH(I276,'Both teabags AfterDry'!$A$1:$A$839,0)),"")))</f>
        <v>1.968</v>
      </c>
      <c r="Q276" s="195">
        <f t="shared" si="32"/>
        <v>0.52239999999999998</v>
      </c>
      <c r="R276" s="195">
        <f t="shared" si="32"/>
        <v>1.8173999999999999</v>
      </c>
      <c r="S276" s="195">
        <f t="shared" si="27"/>
        <v>0.7114131035244724</v>
      </c>
      <c r="T276" s="195">
        <f t="shared" si="33"/>
        <v>0.4663895880587991</v>
      </c>
      <c r="U276" s="195">
        <f t="shared" si="28"/>
        <v>0.88731569182697001</v>
      </c>
      <c r="V276">
        <f t="shared" si="29"/>
        <v>62</v>
      </c>
      <c r="W276" s="195">
        <f t="shared" si="34"/>
        <v>0.15509132598043651</v>
      </c>
      <c r="X276" s="195">
        <f t="shared" si="35"/>
        <v>4.4606014039653913E-3</v>
      </c>
      <c r="Y276" s="255" t="str">
        <f>IF(ISNUMBER(SEARCH("C", 'Dry_Litterbag Placem_Collection'!T203)),"YES","NO")</f>
        <v>YES</v>
      </c>
      <c r="Z276" s="255" t="str">
        <f>IF(ISNUMBER(SEARCH("H", 'Dry_Litterbag Placem_Collection'!T203)),"YES","NO")</f>
        <v>YES</v>
      </c>
      <c r="AA276" s="255" t="str">
        <f>IF(ISNUMBER(SEARCH("R", 'Dry_Litterbag Placem_Collection'!T203)),"YES","NO")</f>
        <v>YES</v>
      </c>
      <c r="AB276" s="255" t="str">
        <f>IF(ISNUMBER(SEARCH("C", 'Dry_Litterbag Placem_Collection'!S203)),"YES","NO")</f>
        <v>NO</v>
      </c>
      <c r="AC276" s="255" t="str">
        <f>IF(ISNUMBER(SEARCH("H", 'Dry_Litterbag Placem_Collection'!S203)),"YES","NO")</f>
        <v>YES</v>
      </c>
      <c r="AD276" s="255" t="str">
        <f>IF(ISNUMBER(SEARCH("R", 'Dry_Litterbag Placem_Collection'!S203)),"YES","NO")</f>
        <v>YES</v>
      </c>
    </row>
    <row r="277" spans="2:30">
      <c r="B277" t="str">
        <f>'Final data_for_R_analysis_Dryse'!A203</f>
        <v>Dry</v>
      </c>
      <c r="C277" s="263">
        <f>'Final data_for_R_analysis_Dryse'!B203</f>
        <v>202</v>
      </c>
      <c r="D277" t="s">
        <v>2424</v>
      </c>
      <c r="E277" t="s">
        <v>22</v>
      </c>
      <c r="F277" s="387">
        <v>2</v>
      </c>
      <c r="G277" s="16">
        <f>'Dry_Litterbag Placem_Collection'!E204</f>
        <v>42942</v>
      </c>
      <c r="H277" t="str">
        <f>'Final data_for_R_analysis_Dryse'!J203</f>
        <v>G181</v>
      </c>
      <c r="I277" t="str">
        <f>'Final data_for_R_analysis_Dryse'!J423</f>
        <v>R676</v>
      </c>
      <c r="J277">
        <f>IFERROR(INDEX('Green_rooibos initial weight'!$C$5:$C$1749,MATCH(H277, 'Green_rooibos initial weight'!$A$5:$A$1749,0)),"")</f>
        <v>1.7629999999999999</v>
      </c>
      <c r="K277">
        <f>IFERROR(INDEX('Green_rooibos initial weight'!$C$5:$C$1749,MATCH(I277, 'Green_rooibos initial weight'!$A$5:$A$1749,0)),"")</f>
        <v>2.1459999999999999</v>
      </c>
      <c r="L277" s="195">
        <f t="shared" si="30"/>
        <v>1.5131999999999999</v>
      </c>
      <c r="M277" s="195">
        <f t="shared" si="31"/>
        <v>1.8961999999999999</v>
      </c>
      <c r="N277" s="16">
        <f>IF('Dry_Litterbag Placem_Collection'!G204="N.A","",'Dry_Litterbag Placem_Collection'!G204)</f>
        <v>43004</v>
      </c>
      <c r="O277" s="195">
        <f>IF(IFERROR(INDEX('Both teabags AfterDry'!$D$1:$D$839,MATCH(H277,'Both teabags AfterDry'!$A$1:$A$839,0)),"")="N.A","",(IFERROR(INDEX('Both teabags AfterDry'!$D$1:$D$839,MATCH(H277,'Both teabags AfterDry'!$A$1:$A$839,0)),"")))</f>
        <v>0.80740000000000001</v>
      </c>
      <c r="P277" s="195">
        <f>IF(IFERROR(INDEX('Both teabags AfterDry'!$D$1:$D$839,MATCH(I277,'Both teabags AfterDry'!$A$1:$A$839,0)),"")="N.A","",(IFERROR(INDEX('Both teabags AfterDry'!$D$1:$D$839,MATCH(I277,'Both teabags AfterDry'!$A$1:$A$839,0)),"")))</f>
        <v>1.6712</v>
      </c>
      <c r="Q277" s="195">
        <f t="shared" si="32"/>
        <v>0.65680000000000005</v>
      </c>
      <c r="R277" s="195">
        <f t="shared" si="32"/>
        <v>1.5206</v>
      </c>
      <c r="S277" s="195">
        <f t="shared" si="27"/>
        <v>0.56595294739624635</v>
      </c>
      <c r="T277" s="195">
        <f t="shared" si="33"/>
        <v>0.37102853558518767</v>
      </c>
      <c r="U277" s="195">
        <f t="shared" si="28"/>
        <v>0.80191962873114653</v>
      </c>
      <c r="V277">
        <f t="shared" si="29"/>
        <v>62</v>
      </c>
      <c r="W277" s="195">
        <f t="shared" si="34"/>
        <v>0.32784685582393547</v>
      </c>
      <c r="X277" s="195">
        <f t="shared" si="35"/>
        <v>1.2311081509718854E-2</v>
      </c>
      <c r="Y277" s="255" t="str">
        <f>IF(ISNUMBER(SEARCH("C", 'Dry_Litterbag Placem_Collection'!T204)),"YES","NO")</f>
        <v>NO</v>
      </c>
      <c r="Z277" s="255" t="str">
        <f>IF(ISNUMBER(SEARCH("H", 'Dry_Litterbag Placem_Collection'!T204)),"YES","NO")</f>
        <v>YES</v>
      </c>
      <c r="AA277" s="255" t="str">
        <f>IF(ISNUMBER(SEARCH("R", 'Dry_Litterbag Placem_Collection'!T204)),"YES","NO")</f>
        <v>YES</v>
      </c>
      <c r="AB277" s="255" t="str">
        <f>IF(ISNUMBER(SEARCH("C", 'Dry_Litterbag Placem_Collection'!S204)),"YES","NO")</f>
        <v>NO</v>
      </c>
      <c r="AC277" s="255" t="str">
        <f>IF(ISNUMBER(SEARCH("H", 'Dry_Litterbag Placem_Collection'!S204)),"YES","NO")</f>
        <v>NO</v>
      </c>
      <c r="AD277" s="255" t="str">
        <f>IF(ISNUMBER(SEARCH("R", 'Dry_Litterbag Placem_Collection'!S204)),"YES","NO")</f>
        <v>YES</v>
      </c>
    </row>
    <row r="278" spans="2:30">
      <c r="B278" t="str">
        <f>'Final data_for_R_analysis_Dryse'!A204</f>
        <v>Dry</v>
      </c>
      <c r="C278" s="263">
        <f>'Final data_for_R_analysis_Dryse'!B204</f>
        <v>203</v>
      </c>
      <c r="D278" t="s">
        <v>2433</v>
      </c>
      <c r="E278" t="s">
        <v>22</v>
      </c>
      <c r="F278" s="387">
        <v>3</v>
      </c>
      <c r="G278" s="16">
        <f>'Dry_Litterbag Placem_Collection'!E205</f>
        <v>42942</v>
      </c>
      <c r="H278" t="str">
        <f>'Final data_for_R_analysis_Dryse'!J204</f>
        <v>G179</v>
      </c>
      <c r="I278" t="str">
        <f>'Final data_for_R_analysis_Dryse'!J424</f>
        <v>R685</v>
      </c>
      <c r="J278">
        <f>IFERROR(INDEX('Green_rooibos initial weight'!$C$5:$C$1749,MATCH(H278, 'Green_rooibos initial weight'!$A$5:$A$1749,0)),"")</f>
        <v>1.9750000000000001</v>
      </c>
      <c r="K278">
        <f>IFERROR(INDEX('Green_rooibos initial weight'!$C$5:$C$1749,MATCH(I278, 'Green_rooibos initial weight'!$A$5:$A$1749,0)),"")</f>
        <v>2.1629999999999998</v>
      </c>
      <c r="L278" s="195">
        <f t="shared" si="30"/>
        <v>1.7252000000000001</v>
      </c>
      <c r="M278" s="195">
        <f t="shared" si="31"/>
        <v>1.9131999999999998</v>
      </c>
      <c r="N278" s="16">
        <f>IF('Dry_Litterbag Placem_Collection'!G205="N.A","",'Dry_Litterbag Placem_Collection'!G205)</f>
        <v>43004</v>
      </c>
      <c r="O278" s="195">
        <f>IF(IFERROR(INDEX('Both teabags AfterDry'!$D$1:$D$839,MATCH(H278,'Both teabags AfterDry'!$A$1:$A$839,0)),"")="N.A","",(IFERROR(INDEX('Both teabags AfterDry'!$D$1:$D$839,MATCH(H278,'Both teabags AfterDry'!$A$1:$A$839,0)),"")))</f>
        <v>0.59770000000000001</v>
      </c>
      <c r="P278" s="195">
        <f>IF(IFERROR(INDEX('Both teabags AfterDry'!$D$1:$D$839,MATCH(I278,'Both teabags AfterDry'!$A$1:$A$839,0)),"")="N.A","",(IFERROR(INDEX('Both teabags AfterDry'!$D$1:$D$839,MATCH(I278,'Both teabags AfterDry'!$A$1:$A$839,0)),"")))</f>
        <v>1.7919</v>
      </c>
      <c r="Q278" s="195">
        <f t="shared" si="32"/>
        <v>0.4471</v>
      </c>
      <c r="R278" s="195">
        <f t="shared" si="32"/>
        <v>1.6413</v>
      </c>
      <c r="S278" s="195">
        <f t="shared" si="27"/>
        <v>0.74084164154880594</v>
      </c>
      <c r="T278" s="195">
        <f t="shared" si="33"/>
        <v>0.48568240633603438</v>
      </c>
      <c r="U278" s="195">
        <f t="shared" si="28"/>
        <v>0.85788208237507846</v>
      </c>
      <c r="V278">
        <f t="shared" si="29"/>
        <v>62</v>
      </c>
      <c r="W278" s="195">
        <f t="shared" si="34"/>
        <v>0.12014056823182184</v>
      </c>
      <c r="X278" s="195">
        <f t="shared" si="35"/>
        <v>5.583549859322235E-3</v>
      </c>
      <c r="Y278" s="255" t="str">
        <f>IF(ISNUMBER(SEARCH("C", 'Dry_Litterbag Placem_Collection'!T205)),"YES","NO")</f>
        <v>NO</v>
      </c>
      <c r="Z278" s="255" t="str">
        <f>IF(ISNUMBER(SEARCH("H", 'Dry_Litterbag Placem_Collection'!T205)),"YES","NO")</f>
        <v>NO</v>
      </c>
      <c r="AA278" s="255" t="str">
        <f>IF(ISNUMBER(SEARCH("R", 'Dry_Litterbag Placem_Collection'!T205)),"YES","NO")</f>
        <v>YES</v>
      </c>
      <c r="AB278" s="255" t="str">
        <f>IF(ISNUMBER(SEARCH("C", 'Dry_Litterbag Placem_Collection'!S205)),"YES","NO")</f>
        <v>NO</v>
      </c>
      <c r="AC278" s="255" t="str">
        <f>IF(ISNUMBER(SEARCH("H", 'Dry_Litterbag Placem_Collection'!S205)),"YES","NO")</f>
        <v>YES</v>
      </c>
      <c r="AD278" s="255" t="str">
        <f>IF(ISNUMBER(SEARCH("R", 'Dry_Litterbag Placem_Collection'!S205)),"YES","NO")</f>
        <v>YES</v>
      </c>
    </row>
    <row r="279" spans="2:30">
      <c r="B279" t="str">
        <f>'Final data_for_R_analysis_Dryse'!A205</f>
        <v>Dry</v>
      </c>
      <c r="C279" s="263">
        <f>'Final data_for_R_analysis_Dryse'!B205</f>
        <v>204</v>
      </c>
      <c r="D279" t="s">
        <v>2440</v>
      </c>
      <c r="E279" t="s">
        <v>22</v>
      </c>
      <c r="F279" s="387">
        <v>4</v>
      </c>
      <c r="G279" s="16">
        <f>'Dry_Litterbag Placem_Collection'!E206</f>
        <v>42942</v>
      </c>
      <c r="H279" t="str">
        <f>'Final data_for_R_analysis_Dryse'!J205</f>
        <v>G248</v>
      </c>
      <c r="I279" t="str">
        <f>'Final data_for_R_analysis_Dryse'!J425</f>
        <v>R254</v>
      </c>
      <c r="J279">
        <f>IFERROR(INDEX('Green_rooibos initial weight'!$C$5:$C$1749,MATCH(H279, 'Green_rooibos initial weight'!$A$5:$A$1749,0)),"")</f>
        <v>1.9950000000000001</v>
      </c>
      <c r="K279">
        <f>IFERROR(INDEX('Green_rooibos initial weight'!$C$5:$C$1749,MATCH(I279, 'Green_rooibos initial weight'!$A$5:$A$1749,0)),"")</f>
        <v>2.266</v>
      </c>
      <c r="L279" s="195">
        <f t="shared" si="30"/>
        <v>1.7452000000000001</v>
      </c>
      <c r="M279" s="195">
        <f t="shared" si="31"/>
        <v>2.0162</v>
      </c>
      <c r="N279" s="16">
        <f>IF('Dry_Litterbag Placem_Collection'!G206="N.A","",'Dry_Litterbag Placem_Collection'!G206)</f>
        <v>43004</v>
      </c>
      <c r="O279" s="195">
        <f>IF(IFERROR(INDEX('Both teabags AfterDry'!$D$1:$D$839,MATCH(H279,'Both teabags AfterDry'!$A$1:$A$839,0)),"")="N.A","",(IFERROR(INDEX('Both teabags AfterDry'!$D$1:$D$839,MATCH(H279,'Both teabags AfterDry'!$A$1:$A$839,0)),"")))</f>
        <v>1.7124999999999999</v>
      </c>
      <c r="P279" s="195">
        <f>IF(IFERROR(INDEX('Both teabags AfterDry'!$D$1:$D$839,MATCH(I279,'Both teabags AfterDry'!$A$1:$A$839,0)),"")="N.A","",(IFERROR(INDEX('Both teabags AfterDry'!$D$1:$D$839,MATCH(I279,'Both teabags AfterDry'!$A$1:$A$839,0)),"")))</f>
        <v>1.8010999999999999</v>
      </c>
      <c r="Q279" s="195">
        <f t="shared" si="32"/>
        <v>1.5618999999999998</v>
      </c>
      <c r="R279" s="195">
        <f t="shared" si="32"/>
        <v>1.6504999999999999</v>
      </c>
      <c r="S279" s="195">
        <f t="shared" si="27"/>
        <v>0.10503094201237695</v>
      </c>
      <c r="T279" s="195">
        <f t="shared" si="33"/>
        <v>6.8856389537805346E-2</v>
      </c>
      <c r="U279" s="195">
        <f t="shared" si="28"/>
        <v>0.81861918460470184</v>
      </c>
      <c r="V279">
        <f t="shared" si="29"/>
        <v>62</v>
      </c>
      <c r="W279" s="195">
        <f t="shared" si="34"/>
        <v>0.87526016388078742</v>
      </c>
      <c r="X279" s="195" t="str">
        <f t="shared" si="35"/>
        <v/>
      </c>
      <c r="Y279" s="255" t="str">
        <f>IF(ISNUMBER(SEARCH("C", 'Dry_Litterbag Placem_Collection'!T206)),"YES","NO")</f>
        <v>NO</v>
      </c>
      <c r="Z279" s="255" t="str">
        <f>IF(ISNUMBER(SEARCH("H", 'Dry_Litterbag Placem_Collection'!T206)),"YES","NO")</f>
        <v>YES</v>
      </c>
      <c r="AA279" s="255" t="str">
        <f>IF(ISNUMBER(SEARCH("R", 'Dry_Litterbag Placem_Collection'!T206)),"YES","NO")</f>
        <v>YES</v>
      </c>
      <c r="AB279" s="255" t="str">
        <f>IF(ISNUMBER(SEARCH("C", 'Dry_Litterbag Placem_Collection'!S206)),"YES","NO")</f>
        <v>NO</v>
      </c>
      <c r="AC279" s="255" t="str">
        <f>IF(ISNUMBER(SEARCH("H", 'Dry_Litterbag Placem_Collection'!S206)),"YES","NO")</f>
        <v>YES</v>
      </c>
      <c r="AD279" s="255" t="str">
        <f>IF(ISNUMBER(SEARCH("R", 'Dry_Litterbag Placem_Collection'!S206)),"YES","NO")</f>
        <v>YES</v>
      </c>
    </row>
    <row r="280" spans="2:30">
      <c r="B280" t="str">
        <f>'Final data_for_R_analysis_Dryse'!A206</f>
        <v>Dry</v>
      </c>
      <c r="C280" s="263">
        <f>'Final data_for_R_analysis_Dryse'!B206</f>
        <v>205</v>
      </c>
      <c r="D280" t="s">
        <v>2434</v>
      </c>
      <c r="E280" t="s">
        <v>22</v>
      </c>
      <c r="F280" s="387">
        <v>1</v>
      </c>
      <c r="G280" s="16">
        <f>'Dry_Litterbag Placem_Collection'!E207</f>
        <v>42942</v>
      </c>
      <c r="H280" t="str">
        <f>'Final data_for_R_analysis_Dryse'!J206</f>
        <v>G55</v>
      </c>
      <c r="I280" t="str">
        <f>'Final data_for_R_analysis_Dryse'!J426</f>
        <v>R348</v>
      </c>
      <c r="J280">
        <f>IFERROR(INDEX('Green_rooibos initial weight'!$C$5:$C$1749,MATCH(H280, 'Green_rooibos initial weight'!$A$5:$A$1749,0)),"")</f>
        <v>2.024</v>
      </c>
      <c r="K280">
        <f>IFERROR(INDEX('Green_rooibos initial weight'!$C$5:$C$1749,MATCH(I280, 'Green_rooibos initial weight'!$A$5:$A$1749,0)),"")</f>
        <v>2.31</v>
      </c>
      <c r="L280" s="195">
        <f t="shared" si="30"/>
        <v>1.7742</v>
      </c>
      <c r="M280" s="195">
        <f t="shared" si="31"/>
        <v>2.0602</v>
      </c>
      <c r="N280" s="16">
        <f>IF('Dry_Litterbag Placem_Collection'!G207="N.A","",'Dry_Litterbag Placem_Collection'!G207)</f>
        <v>43004</v>
      </c>
      <c r="O280" s="195">
        <f>IF(IFERROR(INDEX('Both teabags AfterDry'!$D$1:$D$839,MATCH(H280,'Both teabags AfterDry'!$A$1:$A$839,0)),"")="N.A","",(IFERROR(INDEX('Both teabags AfterDry'!$D$1:$D$839,MATCH(H280,'Both teabags AfterDry'!$A$1:$A$839,0)),"")))</f>
        <v>0.86550000000000005</v>
      </c>
      <c r="P280" s="195">
        <f>IF(IFERROR(INDEX('Both teabags AfterDry'!$D$1:$D$839,MATCH(I280,'Both teabags AfterDry'!$A$1:$A$839,0)),"")="N.A","",(IFERROR(INDEX('Both teabags AfterDry'!$D$1:$D$839,MATCH(I280,'Both teabags AfterDry'!$A$1:$A$839,0)),"")))</f>
        <v>1.7168000000000001</v>
      </c>
      <c r="Q280" s="195">
        <f t="shared" si="32"/>
        <v>0.71490000000000009</v>
      </c>
      <c r="R280" s="195">
        <f t="shared" si="32"/>
        <v>1.5662</v>
      </c>
      <c r="S280" s="195">
        <f t="shared" si="27"/>
        <v>0.5970578288806222</v>
      </c>
      <c r="T280" s="195">
        <f t="shared" si="33"/>
        <v>0.39142033437304452</v>
      </c>
      <c r="U280" s="195">
        <f t="shared" si="28"/>
        <v>0.76021745461605672</v>
      </c>
      <c r="V280">
        <f t="shared" si="29"/>
        <v>62</v>
      </c>
      <c r="W280" s="195">
        <f t="shared" si="34"/>
        <v>0.29090519135318027</v>
      </c>
      <c r="X280" s="195">
        <f t="shared" si="35"/>
        <v>1.5294956397556526E-2</v>
      </c>
      <c r="Y280" s="255" t="str">
        <f>IF(ISNUMBER(SEARCH("C", 'Dry_Litterbag Placem_Collection'!T207)),"YES","NO")</f>
        <v>NO</v>
      </c>
      <c r="Z280" s="255" t="str">
        <f>IF(ISNUMBER(SEARCH("H", 'Dry_Litterbag Placem_Collection'!T207)),"YES","NO")</f>
        <v>YES</v>
      </c>
      <c r="AA280" s="255" t="str">
        <f>IF(ISNUMBER(SEARCH("R", 'Dry_Litterbag Placem_Collection'!T207)),"YES","NO")</f>
        <v>YES</v>
      </c>
      <c r="AB280" s="255" t="str">
        <f>IF(ISNUMBER(SEARCH("C", 'Dry_Litterbag Placem_Collection'!S207)),"YES","NO")</f>
        <v>NO</v>
      </c>
      <c r="AC280" s="255" t="str">
        <f>IF(ISNUMBER(SEARCH("H", 'Dry_Litterbag Placem_Collection'!S207)),"YES","NO")</f>
        <v>YES</v>
      </c>
      <c r="AD280" s="255" t="str">
        <f>IF(ISNUMBER(SEARCH("R", 'Dry_Litterbag Placem_Collection'!S207)),"YES","NO")</f>
        <v>YES</v>
      </c>
    </row>
    <row r="281" spans="2:30">
      <c r="B281" t="str">
        <f>'Final data_for_R_analysis_Dryse'!A207</f>
        <v>Dry</v>
      </c>
      <c r="C281" s="263">
        <f>'Final data_for_R_analysis_Dryse'!B207</f>
        <v>206</v>
      </c>
      <c r="D281" t="s">
        <v>2425</v>
      </c>
      <c r="E281" t="s">
        <v>22</v>
      </c>
      <c r="F281" s="387">
        <v>2</v>
      </c>
      <c r="G281" s="16">
        <f>'Dry_Litterbag Placem_Collection'!E208</f>
        <v>42942</v>
      </c>
      <c r="H281" t="str">
        <f>'Final data_for_R_analysis_Dryse'!J207</f>
        <v>G124</v>
      </c>
      <c r="I281" t="str">
        <f>'Final data_for_R_analysis_Dryse'!J427</f>
        <v>R686</v>
      </c>
      <c r="J281">
        <f>IFERROR(INDEX('Green_rooibos initial weight'!$C$5:$C$1749,MATCH(H281, 'Green_rooibos initial weight'!$A$5:$A$1749,0)),"")</f>
        <v>1.9390000000000001</v>
      </c>
      <c r="K281">
        <f>IFERROR(INDEX('Green_rooibos initial weight'!$C$5:$C$1749,MATCH(I281, 'Green_rooibos initial weight'!$A$5:$A$1749,0)),"")</f>
        <v>2.1890000000000001</v>
      </c>
      <c r="L281" s="195">
        <f t="shared" si="30"/>
        <v>1.6892</v>
      </c>
      <c r="M281" s="195">
        <f t="shared" si="31"/>
        <v>1.9392</v>
      </c>
      <c r="N281" s="16">
        <f>IF('Dry_Litterbag Placem_Collection'!G208="N.A","",'Dry_Litterbag Placem_Collection'!G208)</f>
        <v>43004</v>
      </c>
      <c r="O281" s="195">
        <f>IF(IFERROR(INDEX('Both teabags AfterDry'!$D$1:$D$839,MATCH(H281,'Both teabags AfterDry'!$A$1:$A$839,0)),"")="N.A","",(IFERROR(INDEX('Both teabags AfterDry'!$D$1:$D$839,MATCH(H281,'Both teabags AfterDry'!$A$1:$A$839,0)),"")))</f>
        <v>0.66969999999999996</v>
      </c>
      <c r="P281" s="195">
        <f>IF(IFERROR(INDEX('Both teabags AfterDry'!$D$1:$D$839,MATCH(I281,'Both teabags AfterDry'!$A$1:$A$839,0)),"")="N.A","",(IFERROR(INDEX('Both teabags AfterDry'!$D$1:$D$839,MATCH(I281,'Both teabags AfterDry'!$A$1:$A$839,0)),"")))</f>
        <v>3.4599000000000002</v>
      </c>
      <c r="Q281" s="195">
        <f t="shared" si="32"/>
        <v>0.51909999999999989</v>
      </c>
      <c r="R281" s="195">
        <f t="shared" si="32"/>
        <v>3.3093000000000004</v>
      </c>
      <c r="S281" s="195">
        <f t="shared" si="27"/>
        <v>0.69269476675349284</v>
      </c>
      <c r="T281" s="195">
        <f t="shared" si="33"/>
        <v>0.4541181843799621</v>
      </c>
      <c r="U281" s="195">
        <f t="shared" si="28"/>
        <v>1.7065284653465349</v>
      </c>
      <c r="V281">
        <f t="shared" si="29"/>
        <v>62</v>
      </c>
      <c r="W281" s="195">
        <f t="shared" si="34"/>
        <v>0.17732212974644557</v>
      </c>
      <c r="X281" s="195">
        <f t="shared" si="35"/>
        <v>-1.5135082310611454E-2</v>
      </c>
      <c r="Y281" s="255" t="str">
        <f>IF(ISNUMBER(SEARCH("C", 'Dry_Litterbag Placem_Collection'!T208)),"YES","NO")</f>
        <v>NO</v>
      </c>
      <c r="Z281" s="255" t="str">
        <f>IF(ISNUMBER(SEARCH("H", 'Dry_Litterbag Placem_Collection'!T208)),"YES","NO")</f>
        <v>YES</v>
      </c>
      <c r="AA281" s="255" t="str">
        <f>IF(ISNUMBER(SEARCH("R", 'Dry_Litterbag Placem_Collection'!T208)),"YES","NO")</f>
        <v>YES</v>
      </c>
      <c r="AB281" s="255" t="str">
        <f>IF(ISNUMBER(SEARCH("C", 'Dry_Litterbag Placem_Collection'!S208)),"YES","NO")</f>
        <v>NO</v>
      </c>
      <c r="AC281" s="255" t="str">
        <f>IF(ISNUMBER(SEARCH("H", 'Dry_Litterbag Placem_Collection'!S208)),"YES","NO")</f>
        <v>NO</v>
      </c>
      <c r="AD281" s="255" t="str">
        <f>IF(ISNUMBER(SEARCH("R", 'Dry_Litterbag Placem_Collection'!S208)),"YES","NO")</f>
        <v>YES</v>
      </c>
    </row>
    <row r="282" spans="2:30">
      <c r="B282" t="str">
        <f>'Final data_for_R_analysis_Dryse'!A208</f>
        <v>Dry</v>
      </c>
      <c r="C282" s="263">
        <f>'Final data_for_R_analysis_Dryse'!B208</f>
        <v>207</v>
      </c>
      <c r="D282" t="s">
        <v>2448</v>
      </c>
      <c r="E282" t="s">
        <v>22</v>
      </c>
      <c r="F282" s="387">
        <v>3</v>
      </c>
      <c r="G282" s="16">
        <f>'Dry_Litterbag Placem_Collection'!E209</f>
        <v>42942</v>
      </c>
      <c r="H282" t="str">
        <f>'Final data_for_R_analysis_Dryse'!J208</f>
        <v>G234</v>
      </c>
      <c r="I282" t="str">
        <f>'Final data_for_R_analysis_Dryse'!J428</f>
        <v>R551</v>
      </c>
      <c r="J282">
        <f>IFERROR(INDEX('Green_rooibos initial weight'!$C$5:$C$1749,MATCH(H282, 'Green_rooibos initial weight'!$A$5:$A$1749,0)),"")</f>
        <v>2.13</v>
      </c>
      <c r="K282">
        <f>IFERROR(INDEX('Green_rooibos initial weight'!$C$5:$C$1749,MATCH(I282, 'Green_rooibos initial weight'!$A$5:$A$1749,0)),"")</f>
        <v>2.1739999999999999</v>
      </c>
      <c r="L282" s="195">
        <f t="shared" si="30"/>
        <v>1.8801999999999999</v>
      </c>
      <c r="M282" s="195">
        <f t="shared" si="31"/>
        <v>1.9241999999999999</v>
      </c>
      <c r="N282" s="16">
        <f>IF('Dry_Litterbag Placem_Collection'!G209="N.A","",'Dry_Litterbag Placem_Collection'!G209)</f>
        <v>43004</v>
      </c>
      <c r="O282" s="195">
        <f>IF(IFERROR(INDEX('Both teabags AfterDry'!$D$1:$D$839,MATCH(H282,'Both teabags AfterDry'!$A$1:$A$839,0)),"")="N.A","",(IFERROR(INDEX('Both teabags AfterDry'!$D$1:$D$839,MATCH(H282,'Both teabags AfterDry'!$A$1:$A$839,0)),"")))</f>
        <v>0.745</v>
      </c>
      <c r="P282" s="195">
        <f>IF(IFERROR(INDEX('Both teabags AfterDry'!$D$1:$D$839,MATCH(I282,'Both teabags AfterDry'!$A$1:$A$839,0)),"")="N.A","",(IFERROR(INDEX('Both teabags AfterDry'!$D$1:$D$839,MATCH(I282,'Both teabags AfterDry'!$A$1:$A$839,0)),"")))</f>
        <v>8.3109999999999999</v>
      </c>
      <c r="Q282" s="195">
        <f t="shared" si="32"/>
        <v>0.59440000000000004</v>
      </c>
      <c r="R282" s="195">
        <f t="shared" si="32"/>
        <v>8.1603999999999992</v>
      </c>
      <c r="S282" s="195">
        <f t="shared" si="27"/>
        <v>0.68386341878523549</v>
      </c>
      <c r="T282" s="195">
        <f t="shared" si="33"/>
        <v>0.44832851207773167</v>
      </c>
      <c r="U282" s="195">
        <f t="shared" si="28"/>
        <v>4.2409312961230636</v>
      </c>
      <c r="V282">
        <f t="shared" si="29"/>
        <v>62</v>
      </c>
      <c r="W282" s="195">
        <f t="shared" si="34"/>
        <v>0.18781066652584855</v>
      </c>
      <c r="X282" s="195">
        <f t="shared" si="35"/>
        <v>-3.3994433441118438E-2</v>
      </c>
      <c r="Y282" s="255" t="str">
        <f>IF(ISNUMBER(SEARCH("C", 'Dry_Litterbag Placem_Collection'!T209)),"YES","NO")</f>
        <v>NO</v>
      </c>
      <c r="Z282" s="255" t="str">
        <f>IF(ISNUMBER(SEARCH("H", 'Dry_Litterbag Placem_Collection'!T209)),"YES","NO")</f>
        <v>NO</v>
      </c>
      <c r="AA282" s="255" t="str">
        <f>IF(ISNUMBER(SEARCH("R", 'Dry_Litterbag Placem_Collection'!T209)),"YES","NO")</f>
        <v>YES</v>
      </c>
      <c r="AB282" s="255" t="str">
        <f>IF(ISNUMBER(SEARCH("C", 'Dry_Litterbag Placem_Collection'!S209)),"YES","NO")</f>
        <v>NO</v>
      </c>
      <c r="AC282" s="255" t="str">
        <f>IF(ISNUMBER(SEARCH("H", 'Dry_Litterbag Placem_Collection'!S209)),"YES","NO")</f>
        <v>NO</v>
      </c>
      <c r="AD282" s="255" t="str">
        <f>IF(ISNUMBER(SEARCH("R", 'Dry_Litterbag Placem_Collection'!S209)),"YES","NO")</f>
        <v>YES</v>
      </c>
    </row>
    <row r="283" spans="2:30">
      <c r="B283" t="str">
        <f>'Final data_for_R_analysis_Dryse'!A209</f>
        <v>Dry</v>
      </c>
      <c r="C283" s="263">
        <f>'Final data_for_R_analysis_Dryse'!B209</f>
        <v>208</v>
      </c>
      <c r="D283" t="s">
        <v>2441</v>
      </c>
      <c r="E283" t="s">
        <v>22</v>
      </c>
      <c r="F283" s="387">
        <v>4</v>
      </c>
      <c r="G283" s="16">
        <f>'Dry_Litterbag Placem_Collection'!E210</f>
        <v>42942</v>
      </c>
      <c r="H283" t="str">
        <f>'Final data_for_R_analysis_Dryse'!J209</f>
        <v>G412</v>
      </c>
      <c r="I283" t="str">
        <f>'Final data_for_R_analysis_Dryse'!J429</f>
        <v>R516</v>
      </c>
      <c r="J283">
        <f>IFERROR(INDEX('Green_rooibos initial weight'!$C$5:$C$1749,MATCH(H283, 'Green_rooibos initial weight'!$A$5:$A$1749,0)),"")</f>
        <v>2.0049999999999999</v>
      </c>
      <c r="K283">
        <f>IFERROR(INDEX('Green_rooibos initial weight'!$C$5:$C$1749,MATCH(I283, 'Green_rooibos initial weight'!$A$5:$A$1749,0)),"")</f>
        <v>2.141</v>
      </c>
      <c r="L283" s="195">
        <f t="shared" si="30"/>
        <v>1.7551999999999999</v>
      </c>
      <c r="M283" s="195">
        <f t="shared" si="31"/>
        <v>1.8912</v>
      </c>
      <c r="N283" s="16">
        <f>IF('Dry_Litterbag Placem_Collection'!G210="N.A","",'Dry_Litterbag Placem_Collection'!G210)</f>
        <v>43004</v>
      </c>
      <c r="O283" s="195">
        <f>IF(IFERROR(INDEX('Both teabags AfterDry'!$D$1:$D$839,MATCH(H283,'Both teabags AfterDry'!$A$1:$A$839,0)),"")="N.A","",(IFERROR(INDEX('Both teabags AfterDry'!$D$1:$D$839,MATCH(H283,'Both teabags AfterDry'!$A$1:$A$839,0)),"")))</f>
        <v>0.72499999999999998</v>
      </c>
      <c r="P283" s="195">
        <f>IF(IFERROR(INDEX('Both teabags AfterDry'!$D$1:$D$839,MATCH(I283,'Both teabags AfterDry'!$A$1:$A$839,0)),"")="N.A","",(IFERROR(INDEX('Both teabags AfterDry'!$D$1:$D$839,MATCH(I283,'Both teabags AfterDry'!$A$1:$A$839,0)),"")))</f>
        <v>1.7749999999999999</v>
      </c>
      <c r="Q283" s="195">
        <f t="shared" si="32"/>
        <v>0.57440000000000002</v>
      </c>
      <c r="R283" s="195">
        <f t="shared" si="32"/>
        <v>1.6243999999999998</v>
      </c>
      <c r="S283" s="195">
        <f t="shared" si="27"/>
        <v>0.67274384685505928</v>
      </c>
      <c r="T283" s="195">
        <f t="shared" si="33"/>
        <v>0.44103872145367312</v>
      </c>
      <c r="U283" s="195">
        <f t="shared" si="28"/>
        <v>0.8589255499153976</v>
      </c>
      <c r="V283">
        <f t="shared" si="29"/>
        <v>62</v>
      </c>
      <c r="W283" s="195">
        <f t="shared" si="34"/>
        <v>0.20101680896073715</v>
      </c>
      <c r="X283" s="195">
        <f t="shared" si="35"/>
        <v>6.2172468260452063E-3</v>
      </c>
      <c r="Y283" s="255" t="str">
        <f>IF(ISNUMBER(SEARCH("C", 'Dry_Litterbag Placem_Collection'!T210)),"YES","NO")</f>
        <v>YES</v>
      </c>
      <c r="Z283" s="255" t="str">
        <f>IF(ISNUMBER(SEARCH("H", 'Dry_Litterbag Placem_Collection'!T210)),"YES","NO")</f>
        <v>NO</v>
      </c>
      <c r="AA283" s="255" t="str">
        <f>IF(ISNUMBER(SEARCH("R", 'Dry_Litterbag Placem_Collection'!T210)),"YES","NO")</f>
        <v>NO</v>
      </c>
      <c r="AB283" s="255" t="str">
        <f>IF(ISNUMBER(SEARCH("C", 'Dry_Litterbag Placem_Collection'!S210)),"YES","NO")</f>
        <v>NO</v>
      </c>
      <c r="AC283" s="255" t="str">
        <f>IF(ISNUMBER(SEARCH("H", 'Dry_Litterbag Placem_Collection'!S210)),"YES","NO")</f>
        <v>YES</v>
      </c>
      <c r="AD283" s="255" t="str">
        <f>IF(ISNUMBER(SEARCH("R", 'Dry_Litterbag Placem_Collection'!S210)),"YES","NO")</f>
        <v>YES</v>
      </c>
    </row>
    <row r="284" spans="2:30">
      <c r="B284" t="str">
        <f>'Final data_for_R_analysis_Dryse'!A210</f>
        <v>Dry</v>
      </c>
      <c r="C284" s="263">
        <f>'Final data_for_R_analysis_Dryse'!B210</f>
        <v>209</v>
      </c>
      <c r="D284" t="s">
        <v>2435</v>
      </c>
      <c r="E284" t="s">
        <v>22</v>
      </c>
      <c r="F284" s="387">
        <v>1</v>
      </c>
      <c r="G284" s="16">
        <f>'Dry_Litterbag Placem_Collection'!E211</f>
        <v>42942</v>
      </c>
      <c r="H284" t="str">
        <f>'Final data_for_R_analysis_Dryse'!J210</f>
        <v>G94</v>
      </c>
      <c r="I284" t="str">
        <f>'Final data_for_R_analysis_Dryse'!J430</f>
        <v>R678</v>
      </c>
      <c r="J284">
        <f>IFERROR(INDEX('Green_rooibos initial weight'!$C$5:$C$1749,MATCH(H284, 'Green_rooibos initial weight'!$A$5:$A$1749,0)),"")</f>
        <v>2.0630000000000002</v>
      </c>
      <c r="K284">
        <f>IFERROR(INDEX('Green_rooibos initial weight'!$C$5:$C$1749,MATCH(I284, 'Green_rooibos initial weight'!$A$5:$A$1749,0)),"")</f>
        <v>2.1320000000000001</v>
      </c>
      <c r="L284" s="195">
        <f t="shared" si="30"/>
        <v>1.8132000000000001</v>
      </c>
      <c r="M284" s="195">
        <f t="shared" si="31"/>
        <v>1.8822000000000001</v>
      </c>
      <c r="N284" s="16">
        <f>IF('Dry_Litterbag Placem_Collection'!G211="N.A","",'Dry_Litterbag Placem_Collection'!G211)</f>
        <v>43004</v>
      </c>
      <c r="O284" s="195" t="str">
        <f>IF(IFERROR(INDEX('Both teabags AfterDry'!$D$1:$D$839,MATCH(H284,'Both teabags AfterDry'!$A$1:$A$839,0)),"")="N.A","",(IFERROR(INDEX('Both teabags AfterDry'!$D$1:$D$839,MATCH(H284,'Both teabags AfterDry'!$A$1:$A$839,0)),"")))</f>
        <v/>
      </c>
      <c r="P284" s="195">
        <f>IF(IFERROR(INDEX('Both teabags AfterDry'!$D$1:$D$839,MATCH(I284,'Both teabags AfterDry'!$A$1:$A$839,0)),"")="N.A","",(IFERROR(INDEX('Both teabags AfterDry'!$D$1:$D$839,MATCH(I284,'Both teabags AfterDry'!$A$1:$A$839,0)),"")))</f>
        <v>1.6856</v>
      </c>
      <c r="Q284" s="195" t="str">
        <f t="shared" si="32"/>
        <v/>
      </c>
      <c r="R284" s="195">
        <f t="shared" si="32"/>
        <v>1.5349999999999999</v>
      </c>
      <c r="S284" s="195" t="str">
        <f t="shared" si="27"/>
        <v/>
      </c>
      <c r="T284" s="195" t="str">
        <f t="shared" si="33"/>
        <v/>
      </c>
      <c r="U284" s="195">
        <f t="shared" si="28"/>
        <v>0.81553501221974278</v>
      </c>
      <c r="V284">
        <f t="shared" si="29"/>
        <v>62</v>
      </c>
      <c r="W284" s="195" t="str">
        <f t="shared" si="34"/>
        <v/>
      </c>
      <c r="X284" s="195" t="str">
        <f t="shared" si="35"/>
        <v/>
      </c>
      <c r="Y284" s="255" t="str">
        <f>IF(ISNUMBER(SEARCH("C", 'Dry_Litterbag Placem_Collection'!T211)),"YES","NO")</f>
        <v>NO</v>
      </c>
      <c r="Z284" s="255" t="str">
        <f>IF(ISNUMBER(SEARCH("H", 'Dry_Litterbag Placem_Collection'!T211)),"YES","NO")</f>
        <v>NO</v>
      </c>
      <c r="AA284" s="255" t="str">
        <f>IF(ISNUMBER(SEARCH("R", 'Dry_Litterbag Placem_Collection'!T211)),"YES","NO")</f>
        <v>NO</v>
      </c>
      <c r="AB284" s="255" t="str">
        <f>IF(ISNUMBER(SEARCH("C", 'Dry_Litterbag Placem_Collection'!S211)),"YES","NO")</f>
        <v>NO</v>
      </c>
      <c r="AC284" s="255" t="str">
        <f>IF(ISNUMBER(SEARCH("H", 'Dry_Litterbag Placem_Collection'!S211)),"YES","NO")</f>
        <v>NO</v>
      </c>
      <c r="AD284" s="255" t="str">
        <f>IF(ISNUMBER(SEARCH("R", 'Dry_Litterbag Placem_Collection'!S211)),"YES","NO")</f>
        <v>YES</v>
      </c>
    </row>
    <row r="285" spans="2:30">
      <c r="B285" t="str">
        <f>'Final data_for_R_analysis_Dryse'!A211</f>
        <v>Dry</v>
      </c>
      <c r="C285" s="263">
        <f>'Final data_for_R_analysis_Dryse'!B211</f>
        <v>210</v>
      </c>
      <c r="D285" t="s">
        <v>2449</v>
      </c>
      <c r="E285" t="s">
        <v>22</v>
      </c>
      <c r="F285" s="387">
        <v>2</v>
      </c>
      <c r="G285" s="16">
        <f>'Dry_Litterbag Placem_Collection'!E212</f>
        <v>42942</v>
      </c>
      <c r="H285" t="str">
        <f>'Final data_for_R_analysis_Dryse'!J211</f>
        <v>G93</v>
      </c>
      <c r="I285" t="str">
        <f>'Final data_for_R_analysis_Dryse'!J431</f>
        <v>R335</v>
      </c>
      <c r="J285">
        <f>IFERROR(INDEX('Green_rooibos initial weight'!$C$5:$C$1749,MATCH(H285, 'Green_rooibos initial weight'!$A$5:$A$1749,0)),"")</f>
        <v>2.1230000000000002</v>
      </c>
      <c r="K285">
        <f>IFERROR(INDEX('Green_rooibos initial weight'!$C$5:$C$1749,MATCH(I285, 'Green_rooibos initial weight'!$A$5:$A$1749,0)),"")</f>
        <v>2.1629999999999998</v>
      </c>
      <c r="L285" s="195">
        <f t="shared" si="30"/>
        <v>1.8732000000000002</v>
      </c>
      <c r="M285" s="195">
        <f t="shared" si="31"/>
        <v>1.9131999999999998</v>
      </c>
      <c r="N285" s="16">
        <f>IF('Dry_Litterbag Placem_Collection'!G212="N.A","",'Dry_Litterbag Placem_Collection'!G212)</f>
        <v>43004</v>
      </c>
      <c r="O285" s="195">
        <f>IF(IFERROR(INDEX('Both teabags AfterDry'!$D$1:$D$839,MATCH(H285,'Both teabags AfterDry'!$A$1:$A$839,0)),"")="N.A","",(IFERROR(INDEX('Both teabags AfterDry'!$D$1:$D$839,MATCH(H285,'Both teabags AfterDry'!$A$1:$A$839,0)),"")))</f>
        <v>0.80600000000000005</v>
      </c>
      <c r="P285" s="195">
        <f>IF(IFERROR(INDEX('Both teabags AfterDry'!$D$1:$D$839,MATCH(I285,'Both teabags AfterDry'!$A$1:$A$839,0)),"")="N.A","",(IFERROR(INDEX('Both teabags AfterDry'!$D$1:$D$839,MATCH(I285,'Both teabags AfterDry'!$A$1:$A$839,0)),"")))</f>
        <v>1.716</v>
      </c>
      <c r="Q285" s="195">
        <f t="shared" si="32"/>
        <v>0.65539999999999998</v>
      </c>
      <c r="R285" s="195">
        <f t="shared" si="32"/>
        <v>1.5653999999999999</v>
      </c>
      <c r="S285" s="195">
        <f t="shared" si="27"/>
        <v>0.65011744608157174</v>
      </c>
      <c r="T285" s="195">
        <f t="shared" si="33"/>
        <v>0.42620526156416583</v>
      </c>
      <c r="U285" s="195">
        <f t="shared" si="28"/>
        <v>0.81821032824587081</v>
      </c>
      <c r="V285">
        <f t="shared" si="29"/>
        <v>62</v>
      </c>
      <c r="W285" s="195">
        <f t="shared" si="34"/>
        <v>0.22788901890549673</v>
      </c>
      <c r="X285" s="195">
        <f t="shared" si="35"/>
        <v>8.9685653471852731E-3</v>
      </c>
      <c r="Y285" s="255" t="str">
        <f>IF(ISNUMBER(SEARCH("C", 'Dry_Litterbag Placem_Collection'!T212)),"YES","NO")</f>
        <v>YES</v>
      </c>
      <c r="Z285" s="255" t="str">
        <f>IF(ISNUMBER(SEARCH("H", 'Dry_Litterbag Placem_Collection'!T212)),"YES","NO")</f>
        <v>YES</v>
      </c>
      <c r="AA285" s="255" t="str">
        <f>IF(ISNUMBER(SEARCH("R", 'Dry_Litterbag Placem_Collection'!T212)),"YES","NO")</f>
        <v>NO</v>
      </c>
      <c r="AB285" s="255" t="str">
        <f>IF(ISNUMBER(SEARCH("C", 'Dry_Litterbag Placem_Collection'!S212)),"YES","NO")</f>
        <v>YES</v>
      </c>
      <c r="AC285" s="255" t="str">
        <f>IF(ISNUMBER(SEARCH("H", 'Dry_Litterbag Placem_Collection'!S212)),"YES","NO")</f>
        <v>NO</v>
      </c>
      <c r="AD285" s="255" t="str">
        <f>IF(ISNUMBER(SEARCH("R", 'Dry_Litterbag Placem_Collection'!S212)),"YES","NO")</f>
        <v>YES</v>
      </c>
    </row>
    <row r="286" spans="2:30">
      <c r="B286" t="str">
        <f>'Final data_for_R_analysis_Dryse'!A212</f>
        <v>Dry</v>
      </c>
      <c r="C286" s="263">
        <f>'Final data_for_R_analysis_Dryse'!B212</f>
        <v>211</v>
      </c>
      <c r="D286" t="s">
        <v>2426</v>
      </c>
      <c r="E286" t="s">
        <v>22</v>
      </c>
      <c r="F286" s="387">
        <v>3</v>
      </c>
      <c r="G286" s="16">
        <f>'Dry_Litterbag Placem_Collection'!E213</f>
        <v>42942</v>
      </c>
      <c r="H286" t="str">
        <f>'Final data_for_R_analysis_Dryse'!J212</f>
        <v>G26</v>
      </c>
      <c r="I286" t="str">
        <f>'Final data_for_R_analysis_Dryse'!J432</f>
        <v>R249</v>
      </c>
      <c r="J286">
        <f>IFERROR(INDEX('Green_rooibos initial weight'!$C$5:$C$1749,MATCH(H286, 'Green_rooibos initial weight'!$A$5:$A$1749,0)),"")</f>
        <v>2.1059999999999999</v>
      </c>
      <c r="K286">
        <f>IFERROR(INDEX('Green_rooibos initial weight'!$C$5:$C$1749,MATCH(I286, 'Green_rooibos initial weight'!$A$5:$A$1749,0)),"")</f>
        <v>2.294</v>
      </c>
      <c r="L286" s="195">
        <f t="shared" si="30"/>
        <v>1.8561999999999999</v>
      </c>
      <c r="M286" s="195">
        <f t="shared" si="31"/>
        <v>2.0442</v>
      </c>
      <c r="N286" s="16">
        <f>IF('Dry_Litterbag Placem_Collection'!G213="N.A","",'Dry_Litterbag Placem_Collection'!G213)</f>
        <v>43004</v>
      </c>
      <c r="O286" s="195">
        <f>IF(IFERROR(INDEX('Both teabags AfterDry'!$D$1:$D$839,MATCH(H286,'Both teabags AfterDry'!$A$1:$A$839,0)),"")="N.A","",(IFERROR(INDEX('Both teabags AfterDry'!$D$1:$D$839,MATCH(H286,'Both teabags AfterDry'!$A$1:$A$839,0)),"")))</f>
        <v>0.38400000000000001</v>
      </c>
      <c r="P286" s="195">
        <f>IF(IFERROR(INDEX('Both teabags AfterDry'!$D$1:$D$839,MATCH(I286,'Both teabags AfterDry'!$A$1:$A$839,0)),"")="N.A","",(IFERROR(INDEX('Both teabags AfterDry'!$D$1:$D$839,MATCH(I286,'Both teabags AfterDry'!$A$1:$A$839,0)),"")))</f>
        <v>1.1160000000000001</v>
      </c>
      <c r="Q286" s="195">
        <f t="shared" si="32"/>
        <v>0.2334</v>
      </c>
      <c r="R286" s="195">
        <f t="shared" si="32"/>
        <v>0.96540000000000004</v>
      </c>
      <c r="S286" s="195">
        <f t="shared" si="27"/>
        <v>0.87425923930610927</v>
      </c>
      <c r="T286" s="195">
        <f t="shared" si="33"/>
        <v>0.57314857493702176</v>
      </c>
      <c r="U286" s="195">
        <f t="shared" si="28"/>
        <v>0.47226298796595245</v>
      </c>
      <c r="V286">
        <f t="shared" si="29"/>
        <v>62</v>
      </c>
      <c r="W286" s="195">
        <f t="shared" si="34"/>
        <v>-3.8312635755474167E-2</v>
      </c>
      <c r="X286" s="195">
        <f t="shared" si="35"/>
        <v>4.0893197001220037E-2</v>
      </c>
      <c r="Y286" s="255" t="str">
        <f>IF(ISNUMBER(SEARCH("C", 'Dry_Litterbag Placem_Collection'!T213)),"YES","NO")</f>
        <v>YES</v>
      </c>
      <c r="Z286" s="255" t="str">
        <f>IF(ISNUMBER(SEARCH("H", 'Dry_Litterbag Placem_Collection'!T213)),"YES","NO")</f>
        <v>YES</v>
      </c>
      <c r="AA286" s="255" t="str">
        <f>IF(ISNUMBER(SEARCH("R", 'Dry_Litterbag Placem_Collection'!T213)),"YES","NO")</f>
        <v>YES</v>
      </c>
      <c r="AB286" s="255" t="str">
        <f>IF(ISNUMBER(SEARCH("C", 'Dry_Litterbag Placem_Collection'!S213)),"YES","NO")</f>
        <v>NO</v>
      </c>
      <c r="AC286" s="255" t="str">
        <f>IF(ISNUMBER(SEARCH("H", 'Dry_Litterbag Placem_Collection'!S213)),"YES","NO")</f>
        <v>YES</v>
      </c>
      <c r="AD286" s="255" t="str">
        <f>IF(ISNUMBER(SEARCH("R", 'Dry_Litterbag Placem_Collection'!S213)),"YES","NO")</f>
        <v>NO</v>
      </c>
    </row>
    <row r="287" spans="2:30">
      <c r="B287" t="str">
        <f>'Final data_for_R_analysis_Dryse'!A213</f>
        <v>Dry</v>
      </c>
      <c r="C287" s="263">
        <f>'Final data_for_R_analysis_Dryse'!B213</f>
        <v>215</v>
      </c>
      <c r="D287" t="s">
        <v>2427</v>
      </c>
      <c r="E287" t="s">
        <v>22</v>
      </c>
      <c r="F287" s="387">
        <v>3</v>
      </c>
      <c r="G287" s="16">
        <f>'Dry_Litterbag Placem_Collection'!E214</f>
        <v>42942</v>
      </c>
      <c r="H287" t="str">
        <f>'Final data_for_R_analysis_Dryse'!J213</f>
        <v>G169</v>
      </c>
      <c r="I287" t="str">
        <f>'Final data_for_R_analysis_Dryse'!J433</f>
        <v>R627</v>
      </c>
      <c r="J287">
        <f>IFERROR(INDEX('Green_rooibos initial weight'!$C$5:$C$1749,MATCH(H287, 'Green_rooibos initial weight'!$A$5:$A$1749,0)),"")</f>
        <v>2.0649999999999999</v>
      </c>
      <c r="K287">
        <f>IFERROR(INDEX('Green_rooibos initial weight'!$C$5:$C$1749,MATCH(I287, 'Green_rooibos initial weight'!$A$5:$A$1749,0)),"")</f>
        <v>2.1429999999999998</v>
      </c>
      <c r="L287" s="195">
        <f t="shared" si="30"/>
        <v>1.8151999999999999</v>
      </c>
      <c r="M287" s="195">
        <f t="shared" si="31"/>
        <v>1.8931999999999998</v>
      </c>
      <c r="N287" s="16">
        <f>IF('Dry_Litterbag Placem_Collection'!G214="N.A","",'Dry_Litterbag Placem_Collection'!G214)</f>
        <v>43004</v>
      </c>
      <c r="O287" s="195">
        <f>IF(IFERROR(INDEX('Both teabags AfterDry'!$D$1:$D$839,MATCH(H287,'Both teabags AfterDry'!$A$1:$A$839,0)),"")="N.A","",(IFERROR(INDEX('Both teabags AfterDry'!$D$1:$D$839,MATCH(H287,'Both teabags AfterDry'!$A$1:$A$839,0)),"")))</f>
        <v>0.70899999999999996</v>
      </c>
      <c r="P287" s="195">
        <f>IF(IFERROR(INDEX('Both teabags AfterDry'!$D$1:$D$839,MATCH(I287,'Both teabags AfterDry'!$A$1:$A$839,0)),"")="N.A","",(IFERROR(INDEX('Both teabags AfterDry'!$D$1:$D$839,MATCH(I287,'Both teabags AfterDry'!$A$1:$A$839,0)),"")))</f>
        <v>1.7356</v>
      </c>
      <c r="Q287" s="195">
        <f t="shared" si="32"/>
        <v>0.55840000000000001</v>
      </c>
      <c r="R287" s="195">
        <f t="shared" si="32"/>
        <v>1.585</v>
      </c>
      <c r="S287" s="195">
        <f t="shared" si="27"/>
        <v>0.69237549581313351</v>
      </c>
      <c r="T287" s="195">
        <f t="shared" si="33"/>
        <v>0.45390887611502345</v>
      </c>
      <c r="U287" s="195">
        <f t="shared" si="28"/>
        <v>0.8372068455525038</v>
      </c>
      <c r="V287">
        <f t="shared" si="29"/>
        <v>62</v>
      </c>
      <c r="W287" s="195">
        <f t="shared" si="34"/>
        <v>0.17770131138582712</v>
      </c>
      <c r="X287" s="195">
        <f t="shared" si="35"/>
        <v>7.1641227001606926E-3</v>
      </c>
      <c r="Y287" s="255" t="str">
        <f>IF(ISNUMBER(SEARCH("C", 'Dry_Litterbag Placem_Collection'!T214)),"YES","NO")</f>
        <v>NO</v>
      </c>
      <c r="Z287" s="255" t="str">
        <f>IF(ISNUMBER(SEARCH("H", 'Dry_Litterbag Placem_Collection'!T214)),"YES","NO")</f>
        <v>NO</v>
      </c>
      <c r="AA287" s="255" t="str">
        <f>IF(ISNUMBER(SEARCH("R", 'Dry_Litterbag Placem_Collection'!T214)),"YES","NO")</f>
        <v>YES</v>
      </c>
      <c r="AB287" s="255" t="str">
        <f>IF(ISNUMBER(SEARCH("C", 'Dry_Litterbag Placem_Collection'!S214)),"YES","NO")</f>
        <v>NO</v>
      </c>
      <c r="AC287" s="255" t="str">
        <f>IF(ISNUMBER(SEARCH("H", 'Dry_Litterbag Placem_Collection'!S214)),"YES","NO")</f>
        <v>NO</v>
      </c>
      <c r="AD287" s="255" t="str">
        <f>IF(ISNUMBER(SEARCH("R", 'Dry_Litterbag Placem_Collection'!S214)),"YES","NO")</f>
        <v>NO</v>
      </c>
    </row>
    <row r="288" spans="2:30">
      <c r="B288" t="str">
        <f>'Final data_for_R_analysis_Dryse'!A214</f>
        <v>Dry</v>
      </c>
      <c r="C288" s="263">
        <f>'Final data_for_R_analysis_Dryse'!B214</f>
        <v>212</v>
      </c>
      <c r="D288" t="s">
        <v>2442</v>
      </c>
      <c r="E288" t="s">
        <v>22</v>
      </c>
      <c r="F288" s="387">
        <v>4</v>
      </c>
      <c r="G288" s="16">
        <f>'Dry_Litterbag Placem_Collection'!E215</f>
        <v>42942</v>
      </c>
      <c r="H288" t="str">
        <f>'Final data_for_R_analysis_Dryse'!J214</f>
        <v>G68</v>
      </c>
      <c r="I288" t="str">
        <f>'Final data_for_R_analysis_Dryse'!J434</f>
        <v>R803</v>
      </c>
      <c r="J288">
        <f>IFERROR(INDEX('Green_rooibos initial weight'!$C$5:$C$1749,MATCH(H288, 'Green_rooibos initial weight'!$A$5:$A$1749,0)),"")</f>
        <v>1.921</v>
      </c>
      <c r="K288">
        <f>IFERROR(INDEX('Green_rooibos initial weight'!$C$5:$C$1749,MATCH(I288, 'Green_rooibos initial weight'!$A$5:$A$1749,0)),"")</f>
        <v>2.1930000000000001</v>
      </c>
      <c r="L288" s="195">
        <f t="shared" si="30"/>
        <v>1.6712</v>
      </c>
      <c r="M288" s="195">
        <f t="shared" si="31"/>
        <v>1.9432</v>
      </c>
      <c r="N288" s="16">
        <f>IF('Dry_Litterbag Placem_Collection'!G215="N.A","",'Dry_Litterbag Placem_Collection'!G215)</f>
        <v>43004</v>
      </c>
      <c r="O288" s="195">
        <f>IF(IFERROR(INDEX('Both teabags AfterDry'!$D$1:$D$839,MATCH(H288,'Both teabags AfterDry'!$A$1:$A$839,0)),"")="N.A","",(IFERROR(INDEX('Both teabags AfterDry'!$D$1:$D$839,MATCH(H288,'Both teabags AfterDry'!$A$1:$A$839,0)),"")))</f>
        <v>0.71</v>
      </c>
      <c r="P288" s="195">
        <f>IF(IFERROR(INDEX('Both teabags AfterDry'!$D$1:$D$839,MATCH(I288,'Both teabags AfterDry'!$A$1:$A$839,0)),"")="N.A","",(IFERROR(INDEX('Both teabags AfterDry'!$D$1:$D$839,MATCH(I288,'Both teabags AfterDry'!$A$1:$A$839,0)),"")))</f>
        <v>0.78500000000000003</v>
      </c>
      <c r="Q288" s="195">
        <f t="shared" si="32"/>
        <v>0.5593999999999999</v>
      </c>
      <c r="R288" s="195">
        <f t="shared" si="32"/>
        <v>0.63440000000000007</v>
      </c>
      <c r="S288" s="195">
        <f t="shared" si="27"/>
        <v>0.66527046433700343</v>
      </c>
      <c r="T288" s="195">
        <f t="shared" si="33"/>
        <v>0.43613930678625412</v>
      </c>
      <c r="U288" s="195">
        <f t="shared" si="28"/>
        <v>0.32647179909427754</v>
      </c>
      <c r="V288">
        <f t="shared" si="29"/>
        <v>62</v>
      </c>
      <c r="W288" s="195">
        <f t="shared" si="34"/>
        <v>0.2098925601698296</v>
      </c>
      <c r="X288" s="195" t="str">
        <f t="shared" si="35"/>
        <v/>
      </c>
      <c r="Y288" s="255" t="str">
        <f>IF(ISNUMBER(SEARCH("C", 'Dry_Litterbag Placem_Collection'!T215)),"YES","NO")</f>
        <v>NO</v>
      </c>
      <c r="Z288" s="255" t="str">
        <f>IF(ISNUMBER(SEARCH("H", 'Dry_Litterbag Placem_Collection'!T215)),"YES","NO")</f>
        <v>YES</v>
      </c>
      <c r="AA288" s="255" t="str">
        <f>IF(ISNUMBER(SEARCH("R", 'Dry_Litterbag Placem_Collection'!T215)),"YES","NO")</f>
        <v>YES</v>
      </c>
      <c r="AB288" s="255" t="str">
        <f>IF(ISNUMBER(SEARCH("C", 'Dry_Litterbag Placem_Collection'!S215)),"YES","NO")</f>
        <v>NO</v>
      </c>
      <c r="AC288" s="255" t="str">
        <f>IF(ISNUMBER(SEARCH("H", 'Dry_Litterbag Placem_Collection'!S215)),"YES","NO")</f>
        <v>YES</v>
      </c>
      <c r="AD288" s="255" t="str">
        <f>IF(ISNUMBER(SEARCH("R", 'Dry_Litterbag Placem_Collection'!S215)),"YES","NO")</f>
        <v>YES</v>
      </c>
    </row>
    <row r="289" spans="2:30">
      <c r="B289" t="str">
        <f>'Final data_for_R_analysis_Dryse'!A215</f>
        <v>Dry</v>
      </c>
      <c r="C289" s="263">
        <f>'Final data_for_R_analysis_Dryse'!B215</f>
        <v>213</v>
      </c>
      <c r="D289" t="s">
        <v>2450</v>
      </c>
      <c r="E289" t="s">
        <v>22</v>
      </c>
      <c r="F289" s="387">
        <v>1</v>
      </c>
      <c r="G289" s="16">
        <f>'Dry_Litterbag Placem_Collection'!E216</f>
        <v>42942</v>
      </c>
      <c r="H289" t="str">
        <f>'Final data_for_R_analysis_Dryse'!J215</f>
        <v>G143</v>
      </c>
      <c r="I289" t="str">
        <f>'Final data_for_R_analysis_Dryse'!J435</f>
        <v>R321</v>
      </c>
      <c r="J289">
        <f>IFERROR(INDEX('Green_rooibos initial weight'!$C$5:$C$1749,MATCH(H289, 'Green_rooibos initial weight'!$A$5:$A$1749,0)),"")</f>
        <v>1.9450000000000001</v>
      </c>
      <c r="K289">
        <f>IFERROR(INDEX('Green_rooibos initial weight'!$C$5:$C$1749,MATCH(I289, 'Green_rooibos initial weight'!$A$5:$A$1749,0)),"")</f>
        <v>2.1859999999999999</v>
      </c>
      <c r="L289" s="195">
        <f t="shared" si="30"/>
        <v>1.6952</v>
      </c>
      <c r="M289" s="195">
        <f t="shared" si="31"/>
        <v>1.9361999999999999</v>
      </c>
      <c r="N289" s="16">
        <f>IF('Dry_Litterbag Placem_Collection'!G216="N.A","",'Dry_Litterbag Placem_Collection'!G216)</f>
        <v>43004</v>
      </c>
      <c r="O289" s="195">
        <f>IF(IFERROR(INDEX('Both teabags AfterDry'!$D$1:$D$839,MATCH(H289,'Both teabags AfterDry'!$A$1:$A$839,0)),"")="N.A","",(IFERROR(INDEX('Both teabags AfterDry'!$D$1:$D$839,MATCH(H289,'Both teabags AfterDry'!$A$1:$A$839,0)),"")))</f>
        <v>0.57899999999999996</v>
      </c>
      <c r="P289" s="195">
        <f>IF(IFERROR(INDEX('Both teabags AfterDry'!$D$1:$D$839,MATCH(I289,'Both teabags AfterDry'!$A$1:$A$839,0)),"")="N.A","",(IFERROR(INDEX('Both teabags AfterDry'!$D$1:$D$839,MATCH(I289,'Both teabags AfterDry'!$A$1:$A$839,0)),"")))</f>
        <v>1.6859999999999999</v>
      </c>
      <c r="Q289" s="195">
        <f t="shared" si="32"/>
        <v>0.42839999999999995</v>
      </c>
      <c r="R289" s="195">
        <f t="shared" si="32"/>
        <v>1.5353999999999999</v>
      </c>
      <c r="S289" s="195">
        <f t="shared" si="27"/>
        <v>0.74728645587541298</v>
      </c>
      <c r="T289" s="195">
        <f t="shared" si="33"/>
        <v>0.48990751026511642</v>
      </c>
      <c r="U289" s="195">
        <f t="shared" si="28"/>
        <v>0.79299659126123334</v>
      </c>
      <c r="V289">
        <f t="shared" si="29"/>
        <v>62</v>
      </c>
      <c r="W289" s="195">
        <f t="shared" si="34"/>
        <v>0.11248639444725295</v>
      </c>
      <c r="X289" s="195">
        <f t="shared" si="35"/>
        <v>8.8565910060626613E-3</v>
      </c>
      <c r="Y289" s="255" t="str">
        <f>IF(ISNUMBER(SEARCH("C", 'Dry_Litterbag Placem_Collection'!T216)),"YES","NO")</f>
        <v>NO</v>
      </c>
      <c r="Z289" s="255" t="str">
        <f>IF(ISNUMBER(SEARCH("H", 'Dry_Litterbag Placem_Collection'!T216)),"YES","NO")</f>
        <v>NO</v>
      </c>
      <c r="AA289" s="255" t="str">
        <f>IF(ISNUMBER(SEARCH("R", 'Dry_Litterbag Placem_Collection'!T216)),"YES","NO")</f>
        <v>YES</v>
      </c>
      <c r="AB289" s="255" t="str">
        <f>IF(ISNUMBER(SEARCH("C", 'Dry_Litterbag Placem_Collection'!S216)),"YES","NO")</f>
        <v>NO</v>
      </c>
      <c r="AC289" s="255" t="str">
        <f>IF(ISNUMBER(SEARCH("H", 'Dry_Litterbag Placem_Collection'!S216)),"YES","NO")</f>
        <v>NO</v>
      </c>
      <c r="AD289" s="255" t="str">
        <f>IF(ISNUMBER(SEARCH("R", 'Dry_Litterbag Placem_Collection'!S216)),"YES","NO")</f>
        <v>YES</v>
      </c>
    </row>
    <row r="290" spans="2:30">
      <c r="B290" t="str">
        <f>'Final data_for_R_analysis_Dryse'!A216</f>
        <v>Dry</v>
      </c>
      <c r="C290" s="263">
        <f>'Final data_for_R_analysis_Dryse'!B216</f>
        <v>214</v>
      </c>
      <c r="D290" t="s">
        <v>2443</v>
      </c>
      <c r="E290" t="s">
        <v>22</v>
      </c>
      <c r="F290" s="387">
        <v>2</v>
      </c>
      <c r="G290" s="16">
        <f>'Dry_Litterbag Placem_Collection'!E217</f>
        <v>42942</v>
      </c>
      <c r="H290" t="str">
        <f>'Final data_for_R_analysis_Dryse'!J216</f>
        <v>G128</v>
      </c>
      <c r="I290" t="str">
        <f>'Final data_for_R_analysis_Dryse'!J436</f>
        <v>R677</v>
      </c>
      <c r="J290">
        <f>IFERROR(INDEX('Green_rooibos initial weight'!$C$5:$C$1749,MATCH(H290, 'Green_rooibos initial weight'!$A$5:$A$1749,0)),"")</f>
        <v>2.0219999999999998</v>
      </c>
      <c r="K290">
        <f>IFERROR(INDEX('Green_rooibos initial weight'!$C$5:$C$1749,MATCH(I290, 'Green_rooibos initial weight'!$A$5:$A$1749,0)),"")</f>
        <v>2.1240000000000001</v>
      </c>
      <c r="L290" s="195">
        <f t="shared" si="30"/>
        <v>1.7721999999999998</v>
      </c>
      <c r="M290" s="195">
        <f t="shared" si="31"/>
        <v>1.8742000000000001</v>
      </c>
      <c r="N290" s="16">
        <f>IF('Dry_Litterbag Placem_Collection'!G217="N.A","",'Dry_Litterbag Placem_Collection'!G217)</f>
        <v>43004</v>
      </c>
      <c r="O290" s="195">
        <f>IF(IFERROR(INDEX('Both teabags AfterDry'!$D$1:$D$839,MATCH(H290,'Both teabags AfterDry'!$A$1:$A$839,0)),"")="N.A","",(IFERROR(INDEX('Both teabags AfterDry'!$D$1:$D$839,MATCH(H290,'Both teabags AfterDry'!$A$1:$A$839,0)),"")))</f>
        <v>0.70599999999999996</v>
      </c>
      <c r="P290" s="195">
        <f>IF(IFERROR(INDEX('Both teabags AfterDry'!$D$1:$D$839,MATCH(I290,'Both teabags AfterDry'!$A$1:$A$839,0)),"")="N.A","",(IFERROR(INDEX('Both teabags AfterDry'!$D$1:$D$839,MATCH(I290,'Both teabags AfterDry'!$A$1:$A$839,0)),"")))</f>
        <v>1.7569999999999999</v>
      </c>
      <c r="Q290" s="195">
        <f t="shared" si="32"/>
        <v>0.55539999999999989</v>
      </c>
      <c r="R290" s="195">
        <f t="shared" si="32"/>
        <v>1.6063999999999998</v>
      </c>
      <c r="S290" s="195">
        <f t="shared" si="27"/>
        <v>0.68660422074257987</v>
      </c>
      <c r="T290" s="195">
        <f t="shared" si="33"/>
        <v>0.4501253323633066</v>
      </c>
      <c r="U290" s="195">
        <f t="shared" si="28"/>
        <v>0.85711236794365586</v>
      </c>
      <c r="V290">
        <f t="shared" si="29"/>
        <v>62</v>
      </c>
      <c r="W290" s="195">
        <f t="shared" si="34"/>
        <v>0.18455555731285045</v>
      </c>
      <c r="X290" s="195">
        <f t="shared" si="35"/>
        <v>6.1597474879298165E-3</v>
      </c>
      <c r="Y290" s="255" t="str">
        <f>IF(ISNUMBER(SEARCH("C", 'Dry_Litterbag Placem_Collection'!T217)),"YES","NO")</f>
        <v>NO</v>
      </c>
      <c r="Z290" s="255" t="str">
        <f>IF(ISNUMBER(SEARCH("H", 'Dry_Litterbag Placem_Collection'!T217)),"YES","NO")</f>
        <v>YES</v>
      </c>
      <c r="AA290" s="255" t="str">
        <f>IF(ISNUMBER(SEARCH("R", 'Dry_Litterbag Placem_Collection'!T217)),"YES","NO")</f>
        <v>YES</v>
      </c>
      <c r="AB290" s="255" t="str">
        <f>IF(ISNUMBER(SEARCH("C", 'Dry_Litterbag Placem_Collection'!S217)),"YES","NO")</f>
        <v>NO</v>
      </c>
      <c r="AC290" s="255" t="str">
        <f>IF(ISNUMBER(SEARCH("H", 'Dry_Litterbag Placem_Collection'!S217)),"YES","NO")</f>
        <v>YES</v>
      </c>
      <c r="AD290" s="255" t="str">
        <f>IF(ISNUMBER(SEARCH("R", 'Dry_Litterbag Placem_Collection'!S217)),"YES","NO")</f>
        <v>NO</v>
      </c>
    </row>
    <row r="291" spans="2:30">
      <c r="B291" t="str">
        <f>'Final data_for_R_analysis_Dryse'!A217</f>
        <v>Dry</v>
      </c>
      <c r="C291" s="263">
        <f>'Final data_for_R_analysis_Dryse'!B217</f>
        <v>216</v>
      </c>
      <c r="D291" t="s">
        <v>2436</v>
      </c>
      <c r="E291" t="s">
        <v>22</v>
      </c>
      <c r="F291" s="387">
        <v>4</v>
      </c>
      <c r="G291" s="16">
        <f>'Dry_Litterbag Placem_Collection'!E218</f>
        <v>42942</v>
      </c>
      <c r="H291" t="str">
        <f>'Final data_for_R_analysis_Dryse'!J217</f>
        <v>G95</v>
      </c>
      <c r="I291" t="str">
        <f>'Final data_for_R_analysis_Dryse'!J437</f>
        <v>R379</v>
      </c>
      <c r="J291">
        <f>IFERROR(INDEX('Green_rooibos initial weight'!$C$5:$C$1749,MATCH(H291, 'Green_rooibos initial weight'!$A$5:$A$1749,0)),"")</f>
        <v>2.1110000000000002</v>
      </c>
      <c r="K291">
        <f>IFERROR(INDEX('Green_rooibos initial weight'!$C$5:$C$1749,MATCH(I291, 'Green_rooibos initial weight'!$A$5:$A$1749,0)),"")</f>
        <v>2.246</v>
      </c>
      <c r="L291" s="195">
        <f t="shared" si="30"/>
        <v>1.8612000000000002</v>
      </c>
      <c r="M291" s="195">
        <f t="shared" si="31"/>
        <v>1.9962</v>
      </c>
      <c r="N291" s="16">
        <f>IF('Dry_Litterbag Placem_Collection'!G218="N.A","",'Dry_Litterbag Placem_Collection'!G218)</f>
        <v>43004</v>
      </c>
      <c r="O291" s="195">
        <f>IF(IFERROR(INDEX('Both teabags AfterDry'!$D$1:$D$839,MATCH(H291,'Both teabags AfterDry'!$A$1:$A$839,0)),"")="N.A","",(IFERROR(INDEX('Both teabags AfterDry'!$D$1:$D$839,MATCH(H291,'Both teabags AfterDry'!$A$1:$A$839,0)),"")))</f>
        <v>0.80600000000000005</v>
      </c>
      <c r="P291" s="195">
        <f>IF(IFERROR(INDEX('Both teabags AfterDry'!$D$1:$D$839,MATCH(I291,'Both teabags AfterDry'!$A$1:$A$839,0)),"")="N.A","",(IFERROR(INDEX('Both teabags AfterDry'!$D$1:$D$839,MATCH(I291,'Both teabags AfterDry'!$A$1:$A$839,0)),"")))</f>
        <v>1.736</v>
      </c>
      <c r="Q291" s="195">
        <f t="shared" si="32"/>
        <v>0.65539999999999998</v>
      </c>
      <c r="R291" s="195">
        <f t="shared" si="32"/>
        <v>1.5853999999999999</v>
      </c>
      <c r="S291" s="195">
        <f t="shared" si="27"/>
        <v>0.6478615946701054</v>
      </c>
      <c r="T291" s="195">
        <f t="shared" si="33"/>
        <v>0.42472636610201686</v>
      </c>
      <c r="U291" s="195">
        <f t="shared" si="28"/>
        <v>0.79420899709447945</v>
      </c>
      <c r="V291">
        <f t="shared" si="29"/>
        <v>62</v>
      </c>
      <c r="W291" s="195">
        <f t="shared" si="34"/>
        <v>0.23056817735141877</v>
      </c>
      <c r="X291" s="195">
        <f t="shared" si="35"/>
        <v>1.0688202839848671E-2</v>
      </c>
      <c r="Y291" s="255" t="str">
        <f>IF(ISNUMBER(SEARCH("C", 'Dry_Litterbag Placem_Collection'!T218)),"YES","NO")</f>
        <v>NO</v>
      </c>
      <c r="Z291" s="255" t="str">
        <f>IF(ISNUMBER(SEARCH("H", 'Dry_Litterbag Placem_Collection'!T218)),"YES","NO")</f>
        <v>NO</v>
      </c>
      <c r="AA291" s="255" t="str">
        <f>IF(ISNUMBER(SEARCH("R", 'Dry_Litterbag Placem_Collection'!T218)),"YES","NO")</f>
        <v>NO</v>
      </c>
      <c r="AB291" s="255" t="str">
        <f>IF(ISNUMBER(SEARCH("C", 'Dry_Litterbag Placem_Collection'!S218)),"YES","NO")</f>
        <v>NO</v>
      </c>
      <c r="AC291" s="255" t="str">
        <f>IF(ISNUMBER(SEARCH("H", 'Dry_Litterbag Placem_Collection'!S218)),"YES","NO")</f>
        <v>NO</v>
      </c>
      <c r="AD291" s="255" t="str">
        <f>IF(ISNUMBER(SEARCH("R", 'Dry_Litterbag Placem_Collection'!S218)),"YES","NO")</f>
        <v>NO</v>
      </c>
    </row>
    <row r="292" spans="2:30">
      <c r="B292" t="str">
        <f>'Final data_for_R_analysis_Dryse'!A218</f>
        <v>Dry</v>
      </c>
      <c r="C292" s="263">
        <f>'Final data_for_R_analysis_Dryse'!B218</f>
        <v>217</v>
      </c>
      <c r="D292" t="s">
        <v>2429</v>
      </c>
      <c r="E292" t="s">
        <v>22</v>
      </c>
      <c r="F292" s="387">
        <v>1</v>
      </c>
      <c r="G292" s="16">
        <f>'Dry_Litterbag Placem_Collection'!E219</f>
        <v>42942</v>
      </c>
      <c r="H292" t="str">
        <f>'Final data_for_R_analysis_Dryse'!J218</f>
        <v>G313</v>
      </c>
      <c r="I292" t="str">
        <f>'Final data_for_R_analysis_Dryse'!J438</f>
        <v>R771</v>
      </c>
      <c r="J292">
        <f>IFERROR(INDEX('Green_rooibos initial weight'!$C$5:$C$1749,MATCH(H292, 'Green_rooibos initial weight'!$A$5:$A$1749,0)),"")</f>
        <v>1.923</v>
      </c>
      <c r="K292">
        <f>IFERROR(INDEX('Green_rooibos initial weight'!$C$5:$C$1749,MATCH(I292, 'Green_rooibos initial weight'!$A$5:$A$1749,0)),"")</f>
        <v>2.2309999999999999</v>
      </c>
      <c r="L292" s="195">
        <f t="shared" si="30"/>
        <v>1.6732</v>
      </c>
      <c r="M292" s="195">
        <f t="shared" si="31"/>
        <v>1.9811999999999999</v>
      </c>
      <c r="N292" s="16">
        <f>IF('Dry_Litterbag Placem_Collection'!G219="N.A","",'Dry_Litterbag Placem_Collection'!G219)</f>
        <v>43004</v>
      </c>
      <c r="O292" s="195">
        <f>IF(IFERROR(INDEX('Both teabags AfterDry'!$D$1:$D$839,MATCH(H292,'Both teabags AfterDry'!$A$1:$A$839,0)),"")="N.A","",(IFERROR(INDEX('Both teabags AfterDry'!$D$1:$D$839,MATCH(H292,'Both teabags AfterDry'!$A$1:$A$839,0)),"")))</f>
        <v>0.74719999999999998</v>
      </c>
      <c r="P292" s="195">
        <f>IF(IFERROR(INDEX('Both teabags AfterDry'!$D$1:$D$839,MATCH(I292,'Both teabags AfterDry'!$A$1:$A$839,0)),"")="N.A","",(IFERROR(INDEX('Both teabags AfterDry'!$D$1:$D$839,MATCH(I292,'Both teabags AfterDry'!$A$1:$A$839,0)),"")))</f>
        <v>1.0895999999999999</v>
      </c>
      <c r="Q292" s="195">
        <f t="shared" si="32"/>
        <v>0.59660000000000002</v>
      </c>
      <c r="R292" s="195">
        <f t="shared" si="32"/>
        <v>0.93899999999999983</v>
      </c>
      <c r="S292" s="195">
        <f t="shared" si="27"/>
        <v>0.64343772412144395</v>
      </c>
      <c r="T292" s="195">
        <f t="shared" si="33"/>
        <v>0.42182615643116045</v>
      </c>
      <c r="U292" s="195">
        <f t="shared" si="28"/>
        <v>0.47395517867958809</v>
      </c>
      <c r="V292">
        <f t="shared" si="29"/>
        <v>62</v>
      </c>
      <c r="W292" s="195">
        <f t="shared" si="34"/>
        <v>0.23582218037833258</v>
      </c>
      <c r="X292" s="195" t="str">
        <f t="shared" si="35"/>
        <v/>
      </c>
      <c r="Y292" s="255" t="str">
        <f>IF(ISNUMBER(SEARCH("C", 'Dry_Litterbag Placem_Collection'!T219)),"YES","NO")</f>
        <v>NO</v>
      </c>
      <c r="Z292" s="255" t="str">
        <f>IF(ISNUMBER(SEARCH("H", 'Dry_Litterbag Placem_Collection'!T219)),"YES","NO")</f>
        <v>YES</v>
      </c>
      <c r="AA292" s="255" t="str">
        <f>IF(ISNUMBER(SEARCH("R", 'Dry_Litterbag Placem_Collection'!T219)),"YES","NO")</f>
        <v>YES</v>
      </c>
      <c r="AB292" s="255" t="str">
        <f>IF(ISNUMBER(SEARCH("C", 'Dry_Litterbag Placem_Collection'!S219)),"YES","NO")</f>
        <v>NO</v>
      </c>
      <c r="AC292" s="255" t="str">
        <f>IF(ISNUMBER(SEARCH("H", 'Dry_Litterbag Placem_Collection'!S219)),"YES","NO")</f>
        <v>YES</v>
      </c>
      <c r="AD292" s="255" t="str">
        <f>IF(ISNUMBER(SEARCH("R", 'Dry_Litterbag Placem_Collection'!S219)),"YES","NO")</f>
        <v>YES</v>
      </c>
    </row>
    <row r="293" spans="2:30">
      <c r="B293" t="str">
        <f>'Final data_for_R_analysis_Dryse'!A219</f>
        <v>Dry</v>
      </c>
      <c r="C293" s="263">
        <f>'Final data_for_R_analysis_Dryse'!B219</f>
        <v>218</v>
      </c>
      <c r="D293" t="s">
        <v>2437</v>
      </c>
      <c r="E293" t="s">
        <v>22</v>
      </c>
      <c r="F293" s="387">
        <v>2</v>
      </c>
      <c r="G293" s="16">
        <f>'Dry_Litterbag Placem_Collection'!E220</f>
        <v>42942</v>
      </c>
      <c r="H293" t="str">
        <f>'Final data_for_R_analysis_Dryse'!J219</f>
        <v>G485</v>
      </c>
      <c r="I293" t="str">
        <f>'Final data_for_R_analysis_Dryse'!J439</f>
        <v>R680</v>
      </c>
      <c r="J293">
        <f>IFERROR(INDEX('Green_rooibos initial weight'!$C$5:$C$1749,MATCH(H293, 'Green_rooibos initial weight'!$A$5:$A$1749,0)),"")</f>
        <v>1.9890000000000001</v>
      </c>
      <c r="K293">
        <f>IFERROR(INDEX('Green_rooibos initial weight'!$C$5:$C$1749,MATCH(I293, 'Green_rooibos initial weight'!$A$5:$A$1749,0)),"")</f>
        <v>2.1080000000000001</v>
      </c>
      <c r="L293" s="195">
        <f t="shared" si="30"/>
        <v>1.7392000000000001</v>
      </c>
      <c r="M293" s="195">
        <f t="shared" si="31"/>
        <v>1.8582000000000001</v>
      </c>
      <c r="N293" s="16">
        <f>IF('Dry_Litterbag Placem_Collection'!G220="N.A","",'Dry_Litterbag Placem_Collection'!G220)</f>
        <v>43004</v>
      </c>
      <c r="O293" s="195">
        <f>IF(IFERROR(INDEX('Both teabags AfterDry'!$D$1:$D$839,MATCH(H293,'Both teabags AfterDry'!$A$1:$A$839,0)),"")="N.A","",(IFERROR(INDEX('Both teabags AfterDry'!$D$1:$D$839,MATCH(H293,'Both teabags AfterDry'!$A$1:$A$839,0)),"")))</f>
        <v>0.66900000000000004</v>
      </c>
      <c r="P293" s="195">
        <f>IF(IFERROR(INDEX('Both teabags AfterDry'!$D$1:$D$839,MATCH(I293,'Both teabags AfterDry'!$A$1:$A$839,0)),"")="N.A","",(IFERROR(INDEX('Both teabags AfterDry'!$D$1:$D$839,MATCH(I293,'Both teabags AfterDry'!$A$1:$A$839,0)),"")))</f>
        <v>0.17100000000000001</v>
      </c>
      <c r="Q293" s="195">
        <f t="shared" si="32"/>
        <v>0.51839999999999997</v>
      </c>
      <c r="R293" s="195">
        <f t="shared" si="32"/>
        <v>2.0400000000000001E-2</v>
      </c>
      <c r="S293" s="195">
        <f t="shared" si="27"/>
        <v>0.70193192272309113</v>
      </c>
      <c r="T293" s="195">
        <f t="shared" si="33"/>
        <v>0.46017389708212153</v>
      </c>
      <c r="U293" s="195">
        <f t="shared" si="28"/>
        <v>1.0978366160800775E-2</v>
      </c>
      <c r="V293">
        <f t="shared" si="29"/>
        <v>62</v>
      </c>
      <c r="W293" s="195">
        <f t="shared" si="34"/>
        <v>0.16635163572079437</v>
      </c>
      <c r="X293" s="195" t="str">
        <f t="shared" si="35"/>
        <v/>
      </c>
      <c r="Y293" s="255" t="str">
        <f>IF(ISNUMBER(SEARCH("C", 'Dry_Litterbag Placem_Collection'!T220)),"YES","NO")</f>
        <v>NO</v>
      </c>
      <c r="Z293" s="255" t="str">
        <f>IF(ISNUMBER(SEARCH("H", 'Dry_Litterbag Placem_Collection'!T220)),"YES","NO")</f>
        <v>YES</v>
      </c>
      <c r="AA293" s="255" t="str">
        <f>IF(ISNUMBER(SEARCH("R", 'Dry_Litterbag Placem_Collection'!T220)),"YES","NO")</f>
        <v>YES</v>
      </c>
      <c r="AB293" s="255" t="str">
        <f>IF(ISNUMBER(SEARCH("C", 'Dry_Litterbag Placem_Collection'!S220)),"YES","NO")</f>
        <v>NO</v>
      </c>
      <c r="AC293" s="255" t="str">
        <f>IF(ISNUMBER(SEARCH("H", 'Dry_Litterbag Placem_Collection'!S220)),"YES","NO")</f>
        <v>NO</v>
      </c>
      <c r="AD293" s="255" t="str">
        <f>IF(ISNUMBER(SEARCH("R", 'Dry_Litterbag Placem_Collection'!S220)),"YES","NO")</f>
        <v>YES</v>
      </c>
    </row>
    <row r="294" spans="2:30">
      <c r="B294" t="str">
        <f>'Final data_for_R_analysis_Dryse'!A220</f>
        <v>Dry</v>
      </c>
      <c r="C294" s="386">
        <f>'Final data_for_R_analysis_Dryse'!B220</f>
        <v>219</v>
      </c>
      <c r="D294" t="s">
        <v>2444</v>
      </c>
      <c r="E294" t="s">
        <v>22</v>
      </c>
      <c r="F294" s="387">
        <v>3</v>
      </c>
      <c r="G294" s="388">
        <f>'Dry_Litterbag Placem_Collection'!E221</f>
        <v>42942</v>
      </c>
      <c r="H294" s="92" t="str">
        <f>'Final data_for_R_analysis_Dryse'!J220</f>
        <v>G196</v>
      </c>
      <c r="I294" s="92" t="str">
        <f>'Final data_for_R_analysis_Dryse'!J440</f>
        <v>R178</v>
      </c>
      <c r="J294" s="92">
        <f>IFERROR(INDEX('Green_rooibos initial weight'!$C$5:$C$1749,MATCH(H294, 'Green_rooibos initial weight'!$A$5:$A$1749,0)),"")</f>
        <v>2.028</v>
      </c>
      <c r="K294" s="92">
        <f>IFERROR(INDEX('Green_rooibos initial weight'!$C$5:$C$1749,MATCH(I294, 'Green_rooibos initial weight'!$A$5:$A$1749,0)),"")</f>
        <v>2.222</v>
      </c>
      <c r="L294" s="195">
        <f t="shared" si="30"/>
        <v>1.7782</v>
      </c>
      <c r="M294" s="195">
        <f t="shared" si="31"/>
        <v>1.9722</v>
      </c>
      <c r="N294" s="388">
        <f>IF('Dry_Litterbag Placem_Collection'!G221="N.A","",'Dry_Litterbag Placem_Collection'!G221)</f>
        <v>43004</v>
      </c>
      <c r="O294" s="195">
        <f>IF(IFERROR(INDEX('Both teabags AfterDry'!$D$1:$D$839,MATCH(H294,'Both teabags AfterDry'!$A$1:$A$839,0)),"")="N.A","",(IFERROR(INDEX('Both teabags AfterDry'!$D$1:$D$839,MATCH(H294,'Both teabags AfterDry'!$A$1:$A$839,0)),"")))</f>
        <v>0.5756</v>
      </c>
      <c r="P294" s="195">
        <f>IF(IFERROR(INDEX('Both teabags AfterDry'!$D$1:$D$839,MATCH(I294,'Both teabags AfterDry'!$A$1:$A$839,0)),"")="N.A","",(IFERROR(INDEX('Both teabags AfterDry'!$D$1:$D$839,MATCH(I294,'Both teabags AfterDry'!$A$1:$A$839,0)),"")))</f>
        <v>1.8229</v>
      </c>
      <c r="Q294" s="195">
        <f t="shared" si="32"/>
        <v>0.42499999999999999</v>
      </c>
      <c r="R294" s="195">
        <f t="shared" si="32"/>
        <v>1.6722999999999999</v>
      </c>
      <c r="S294" s="195">
        <f t="shared" si="27"/>
        <v>0.76099426386233271</v>
      </c>
      <c r="T294" s="195">
        <f t="shared" si="33"/>
        <v>0.49889410172447468</v>
      </c>
      <c r="U294" s="195">
        <f t="shared" si="28"/>
        <v>0.84793631477537768</v>
      </c>
      <c r="V294" s="92">
        <f t="shared" si="29"/>
        <v>62</v>
      </c>
      <c r="W294" s="195">
        <f t="shared" si="34"/>
        <v>9.6206337455661872E-2</v>
      </c>
      <c r="X294" s="195">
        <f t="shared" si="35"/>
        <v>5.8638371775115664E-3</v>
      </c>
      <c r="Y294" s="255" t="str">
        <f>IF(ISNUMBER(SEARCH("C", 'Dry_Litterbag Placem_Collection'!T221)),"YES","NO")</f>
        <v>NO</v>
      </c>
      <c r="Z294" s="255" t="str">
        <f>IF(ISNUMBER(SEARCH("H", 'Dry_Litterbag Placem_Collection'!T221)),"YES","NO")</f>
        <v>NO</v>
      </c>
      <c r="AA294" s="255" t="str">
        <f>IF(ISNUMBER(SEARCH("R", 'Dry_Litterbag Placem_Collection'!T221)),"YES","NO")</f>
        <v>YES</v>
      </c>
      <c r="AB294" s="255" t="str">
        <f>IF(ISNUMBER(SEARCH("C", 'Dry_Litterbag Placem_Collection'!S221)),"YES","NO")</f>
        <v>NO</v>
      </c>
      <c r="AC294" s="255" t="str">
        <f>IF(ISNUMBER(SEARCH("H", 'Dry_Litterbag Placem_Collection'!S221)),"YES","NO")</f>
        <v>YES</v>
      </c>
      <c r="AD294" s="255" t="str">
        <f>IF(ISNUMBER(SEARCH("R", 'Dry_Litterbag Placem_Collection'!S221)),"YES","NO")</f>
        <v>YES</v>
      </c>
    </row>
    <row r="295" spans="2:30">
      <c r="B295" t="str">
        <f>'Final data_for_R_analysis_Dryse'!A221</f>
        <v>Dry</v>
      </c>
      <c r="C295" s="386">
        <f>'Final data_for_R_analysis_Dryse'!B221</f>
        <v>220</v>
      </c>
      <c r="D295" t="s">
        <v>2451</v>
      </c>
      <c r="E295" t="s">
        <v>22</v>
      </c>
      <c r="F295" s="387">
        <v>4</v>
      </c>
      <c r="G295" s="388">
        <f>'Dry_Litterbag Placem_Collection'!E222</f>
        <v>42942</v>
      </c>
      <c r="H295" s="92" t="str">
        <f>'Final data_for_R_analysis_Dryse'!J221</f>
        <v>G39</v>
      </c>
      <c r="I295" s="92" t="str">
        <f>'Final data_for_R_analysis_Dryse'!J441</f>
        <v>R194</v>
      </c>
      <c r="J295" s="92">
        <f>IFERROR(INDEX('Green_rooibos initial weight'!$C$5:$C$1749,MATCH(H295, 'Green_rooibos initial weight'!$A$5:$A$1749,0)),"")</f>
        <v>2.0670000000000002</v>
      </c>
      <c r="K295" s="92">
        <f>IFERROR(INDEX('Green_rooibos initial weight'!$C$5:$C$1749,MATCH(I295, 'Green_rooibos initial weight'!$A$5:$A$1749,0)),"")</f>
        <v>2.149</v>
      </c>
      <c r="L295" s="195">
        <f t="shared" si="30"/>
        <v>1.8172000000000001</v>
      </c>
      <c r="M295" s="195">
        <f t="shared" si="31"/>
        <v>1.8992</v>
      </c>
      <c r="N295" s="388">
        <f>IF('Dry_Litterbag Placem_Collection'!G222="N.A","",'Dry_Litterbag Placem_Collection'!G222)</f>
        <v>43004</v>
      </c>
      <c r="O295" s="195" t="str">
        <f>IF(IFERROR(INDEX('Both teabags AfterDry'!$D$1:$D$839,MATCH(H295,'Both teabags AfterDry'!$A$1:$A$839,0)),"")="N.A","",(IFERROR(INDEX('Both teabags AfterDry'!$D$1:$D$839,MATCH(H295,'Both teabags AfterDry'!$A$1:$A$839,0)),"")))</f>
        <v/>
      </c>
      <c r="P295" s="195" t="str">
        <f>IF(IFERROR(INDEX('Both teabags AfterDry'!$D$1:$D$839,MATCH(I295,'Both teabags AfterDry'!$A$1:$A$839,0)),"")="N.A","",(IFERROR(INDEX('Both teabags AfterDry'!$D$1:$D$839,MATCH(I295,'Both teabags AfterDry'!$A$1:$A$839,0)),"")))</f>
        <v/>
      </c>
      <c r="Q295" s="195" t="str">
        <f t="shared" si="32"/>
        <v/>
      </c>
      <c r="R295" s="195" t="str">
        <f t="shared" si="32"/>
        <v/>
      </c>
      <c r="S295" s="195" t="str">
        <f t="shared" si="27"/>
        <v/>
      </c>
      <c r="T295" s="195" t="str">
        <f t="shared" si="33"/>
        <v/>
      </c>
      <c r="U295" s="195" t="str">
        <f t="shared" si="28"/>
        <v/>
      </c>
      <c r="V295" s="92">
        <f t="shared" si="29"/>
        <v>62</v>
      </c>
      <c r="W295" s="195" t="str">
        <f t="shared" si="34"/>
        <v/>
      </c>
      <c r="X295" s="195" t="str">
        <f t="shared" si="35"/>
        <v/>
      </c>
      <c r="Y295" s="255" t="str">
        <f>IF(ISNUMBER(SEARCH("C", 'Dry_Litterbag Placem_Collection'!T222)),"YES","NO")</f>
        <v>YES</v>
      </c>
      <c r="Z295" s="255" t="str">
        <f>IF(ISNUMBER(SEARCH("H", 'Dry_Litterbag Placem_Collection'!T222)),"YES","NO")</f>
        <v>YES</v>
      </c>
      <c r="AA295" s="255" t="str">
        <f>IF(ISNUMBER(SEARCH("R", 'Dry_Litterbag Placem_Collection'!T222)),"YES","NO")</f>
        <v>YES</v>
      </c>
      <c r="AB295" s="255" t="str">
        <f>IF(ISNUMBER(SEARCH("C", 'Dry_Litterbag Placem_Collection'!S222)),"YES","NO")</f>
        <v>NO</v>
      </c>
      <c r="AC295" s="255" t="str">
        <f>IF(ISNUMBER(SEARCH("H", 'Dry_Litterbag Placem_Collection'!S222)),"YES","NO")</f>
        <v>NO</v>
      </c>
      <c r="AD295" s="255" t="str">
        <f>IF(ISNUMBER(SEARCH("R", 'Dry_Litterbag Placem_Collection'!S222)),"YES","NO")</f>
        <v>YES</v>
      </c>
    </row>
    <row r="296" spans="2:30">
      <c r="B296" t="str">
        <f>'Final data_for_R_analysis_Dryse'!A442</f>
        <v>Dry</v>
      </c>
      <c r="C296" s="386">
        <f>'Final data_for_R_analysis_Dryse'!B442</f>
        <v>1</v>
      </c>
      <c r="D296" t="s">
        <v>3824</v>
      </c>
      <c r="E296" t="s">
        <v>25</v>
      </c>
      <c r="F296" s="386">
        <v>1</v>
      </c>
      <c r="G296" s="388">
        <f>'Dry_Litterbag Placem_Collection'!E3</f>
        <v>42938</v>
      </c>
      <c r="H296" s="92" t="str">
        <f>'Final data_for_R_analysis_Dryse'!J442</f>
        <v>G377</v>
      </c>
      <c r="I296" s="92" t="str">
        <f>'Final data_for_R_analysis_Dryse'!J662</f>
        <v>R204</v>
      </c>
      <c r="J296" s="92">
        <f>IFERROR(INDEX('Green_rooibos initial weight'!$C$5:$C$1749,MATCH(H296, 'Green_rooibos initial weight'!$A$5:$A$1749,0)),"")</f>
        <v>2.1030000000000002</v>
      </c>
      <c r="K296" s="92">
        <f>IFERROR(INDEX('Green_rooibos initial weight'!$C$5:$C$1749,MATCH(I296, 'Green_rooibos initial weight'!$A$5:$A$1749,0)),"")</f>
        <v>2.2290000000000001</v>
      </c>
      <c r="L296" s="195">
        <f t="shared" si="30"/>
        <v>1.8532000000000002</v>
      </c>
      <c r="M296" s="195">
        <f t="shared" si="31"/>
        <v>1.9792000000000001</v>
      </c>
      <c r="N296" s="388">
        <f>IF('Dry_Litterbag Placem_Collection'!G3="N.A","",'Dry_Litterbag Placem_Collection'!G3)</f>
        <v>43007</v>
      </c>
      <c r="O296" s="195">
        <f>IF(IFERROR(INDEX('Both teabags AfterDry'!$D$1:$D$839,MATCH(H296,'Both teabags AfterDry'!$A$1:$A$839,0)),"")="N.A","",(IFERROR(INDEX('Both teabags AfterDry'!$D$1:$D$839,MATCH(H296,'Both teabags AfterDry'!$A$1:$A$839,0)),"")))</f>
        <v>1.3894</v>
      </c>
      <c r="P296" s="195">
        <f>IF(IFERROR(INDEX('Both teabags AfterDry'!$D$1:$D$839,MATCH(I296,'Both teabags AfterDry'!$A$1:$A$839,0)),"")="N.A","",(IFERROR(INDEX('Both teabags AfterDry'!$D$1:$D$839,MATCH(I296,'Both teabags AfterDry'!$A$1:$A$839,0)),"")))</f>
        <v>1.8874</v>
      </c>
      <c r="Q296" s="195">
        <f t="shared" si="32"/>
        <v>1.2387999999999999</v>
      </c>
      <c r="R296" s="195">
        <f t="shared" si="32"/>
        <v>1.7367999999999999</v>
      </c>
      <c r="S296" s="195">
        <f t="shared" si="27"/>
        <v>0.33153464278005629</v>
      </c>
      <c r="T296" s="195">
        <f t="shared" si="33"/>
        <v>0.21734812685818419</v>
      </c>
      <c r="U296" s="195">
        <f t="shared" si="28"/>
        <v>0.87752627324171373</v>
      </c>
      <c r="V296" s="92">
        <f t="shared" si="29"/>
        <v>69</v>
      </c>
      <c r="W296" s="195">
        <f t="shared" si="34"/>
        <v>0.60625339337285478</v>
      </c>
      <c r="X296" s="195">
        <f t="shared" si="35"/>
        <v>1.2013716328547849E-2</v>
      </c>
      <c r="Y296" s="255" t="str">
        <f>IF(ISNUMBER(SEARCH("C", 'Dry_Litterbag Placem_Collection'!V3)),"YES","NO")</f>
        <v>NO</v>
      </c>
      <c r="Z296" s="255" t="str">
        <f>IF(ISNUMBER(SEARCH("H", 'Dry_Litterbag Placem_Collection'!V3)),"YES","NO")</f>
        <v>NO</v>
      </c>
      <c r="AA296" s="255" t="str">
        <f>IF(ISNUMBER(SEARCH("R", 'Dry_Litterbag Placem_Collection'!V3)),"YES","NO")</f>
        <v>NO</v>
      </c>
      <c r="AB296" s="255" t="str">
        <f>IF(ISNUMBER(SEARCH("C", 'Dry_Litterbag Placem_Collection'!U3)),"YES","NO")</f>
        <v>NO</v>
      </c>
      <c r="AC296" s="255" t="str">
        <f>IF(ISNUMBER(SEARCH("H", 'Dry_Litterbag Placem_Collection'!U3)),"YES","NO")</f>
        <v>NO</v>
      </c>
      <c r="AD296" s="255" t="str">
        <f>IF(ISNUMBER(SEARCH("R", 'Dry_Litterbag Placem_Collection'!U3)),"YES","NO")</f>
        <v>YES</v>
      </c>
    </row>
    <row r="297" spans="2:30">
      <c r="B297" t="str">
        <f>'Final data_for_R_analysis_Dryse'!A443</f>
        <v>Dry</v>
      </c>
      <c r="C297" s="386">
        <f>'Final data_for_R_analysis_Dryse'!B443</f>
        <v>2</v>
      </c>
      <c r="D297" t="s">
        <v>3824</v>
      </c>
      <c r="E297" t="s">
        <v>25</v>
      </c>
      <c r="F297" s="386">
        <v>2</v>
      </c>
      <c r="G297" s="388">
        <f>'Dry_Litterbag Placem_Collection'!E4</f>
        <v>0</v>
      </c>
      <c r="H297" s="92" t="str">
        <f>'Final data_for_R_analysis_Dryse'!J443</f>
        <v/>
      </c>
      <c r="I297" s="92" t="str">
        <f>'Final data_for_R_analysis_Dryse'!J663</f>
        <v/>
      </c>
      <c r="J297" s="92" t="str">
        <f>IFERROR(INDEX('Green_rooibos initial weight'!$C$5:$C$1749,MATCH(H297, 'Green_rooibos initial weight'!$A$5:$A$1749,0)),"")</f>
        <v/>
      </c>
      <c r="K297" s="92" t="str">
        <f>IFERROR(INDEX('Green_rooibos initial weight'!$C$5:$C$1749,MATCH(I297, 'Green_rooibos initial weight'!$A$5:$A$1749,0)),"")</f>
        <v/>
      </c>
      <c r="L297" s="195" t="str">
        <f t="shared" si="30"/>
        <v/>
      </c>
      <c r="M297" s="195" t="str">
        <f t="shared" si="31"/>
        <v/>
      </c>
      <c r="N297" s="388">
        <f>IF('Dry_Litterbag Placem_Collection'!G4="N.A","",'Dry_Litterbag Placem_Collection'!G4)</f>
        <v>0</v>
      </c>
      <c r="O297" s="195" t="str">
        <f>IF(IFERROR(INDEX('Both teabags AfterDry'!$D$1:$D$839,MATCH(H297,'Both teabags AfterDry'!$A$1:$A$839,0)),"")="N.A","",(IFERROR(INDEX('Both teabags AfterDry'!$D$1:$D$839,MATCH(H297,'Both teabags AfterDry'!$A$1:$A$839,0)),"")))</f>
        <v/>
      </c>
      <c r="P297" s="195" t="str">
        <f>IF(IFERROR(INDEX('Both teabags AfterDry'!$D$1:$D$839,MATCH(I297,'Both teabags AfterDry'!$A$1:$A$839,0)),"")="N.A","",(IFERROR(INDEX('Both teabags AfterDry'!$D$1:$D$839,MATCH(I297,'Both teabags AfterDry'!$A$1:$A$839,0)),"")))</f>
        <v/>
      </c>
      <c r="Q297" s="195" t="str">
        <f t="shared" si="32"/>
        <v/>
      </c>
      <c r="R297" s="195" t="str">
        <f t="shared" si="32"/>
        <v/>
      </c>
      <c r="S297" s="195" t="str">
        <f t="shared" si="27"/>
        <v/>
      </c>
      <c r="T297" s="195" t="str">
        <f t="shared" si="33"/>
        <v/>
      </c>
      <c r="U297" s="195" t="str">
        <f t="shared" si="28"/>
        <v/>
      </c>
      <c r="V297" s="92" t="str">
        <f t="shared" si="29"/>
        <v/>
      </c>
      <c r="W297" s="195" t="str">
        <f t="shared" si="34"/>
        <v/>
      </c>
      <c r="X297" s="195" t="str">
        <f t="shared" si="35"/>
        <v/>
      </c>
      <c r="Y297" s="255" t="str">
        <f>IF(ISNUMBER(SEARCH("C", 'Dry_Litterbag Placem_Collection'!V4)),"YES","NO")</f>
        <v>NO</v>
      </c>
      <c r="Z297" s="255" t="str">
        <f>IF(ISNUMBER(SEARCH("H", 'Dry_Litterbag Placem_Collection'!V4)),"YES","NO")</f>
        <v>NO</v>
      </c>
      <c r="AA297" s="255" t="str">
        <f>IF(ISNUMBER(SEARCH("R", 'Dry_Litterbag Placem_Collection'!V4)),"YES","NO")</f>
        <v>NO</v>
      </c>
      <c r="AB297" s="255" t="str">
        <f>IF(ISNUMBER(SEARCH("C", 'Dry_Litterbag Placem_Collection'!U4)),"YES","NO")</f>
        <v>NO</v>
      </c>
      <c r="AC297" s="255" t="str">
        <f>IF(ISNUMBER(SEARCH("H", 'Dry_Litterbag Placem_Collection'!U4)),"YES","NO")</f>
        <v>NO</v>
      </c>
      <c r="AD297" s="255" t="str">
        <f>IF(ISNUMBER(SEARCH("R", 'Dry_Litterbag Placem_Collection'!U4)),"YES","NO")</f>
        <v>NO</v>
      </c>
    </row>
    <row r="298" spans="2:30">
      <c r="B298" t="str">
        <f>'Final data_for_R_analysis_Dryse'!A444</f>
        <v>Dry</v>
      </c>
      <c r="C298" s="263">
        <f>'Final data_for_R_analysis_Dryse'!B444</f>
        <v>3</v>
      </c>
      <c r="D298" t="s">
        <v>3824</v>
      </c>
      <c r="E298" t="s">
        <v>25</v>
      </c>
      <c r="F298" s="386">
        <v>3</v>
      </c>
      <c r="G298" s="16">
        <f>'Dry_Litterbag Placem_Collection'!E5</f>
        <v>42938</v>
      </c>
      <c r="H298" s="92" t="str">
        <f>'Final data_for_R_analysis_Dryse'!J444</f>
        <v>G44</v>
      </c>
      <c r="I298" t="str">
        <f>'Final data_for_R_analysis_Dryse'!J664</f>
        <v>R283</v>
      </c>
      <c r="J298">
        <f>IFERROR(INDEX('Green_rooibos initial weight'!$C$5:$C$1749,MATCH(H298, 'Green_rooibos initial weight'!$A$5:$A$1749,0)),"")</f>
        <v>2.0680000000000001</v>
      </c>
      <c r="K298">
        <f>IFERROR(INDEX('Green_rooibos initial weight'!$C$5:$C$1749,MATCH(I298, 'Green_rooibos initial weight'!$A$5:$A$1749,0)),"")</f>
        <v>2.21</v>
      </c>
      <c r="L298" s="195">
        <f t="shared" si="30"/>
        <v>1.8182</v>
      </c>
      <c r="M298" s="195">
        <f t="shared" si="31"/>
        <v>1.9601999999999999</v>
      </c>
      <c r="N298" s="16">
        <f>IF('Dry_Litterbag Placem_Collection'!G5="N.A","",'Dry_Litterbag Placem_Collection'!G5)</f>
        <v>43007</v>
      </c>
      <c r="O298" s="195">
        <f>IF(IFERROR(INDEX('Both teabags AfterDry'!$D$1:$D$839,MATCH(H298,'Both teabags AfterDry'!$A$1:$A$839,0)),"")="N.A","",(IFERROR(INDEX('Both teabags AfterDry'!$D$1:$D$839,MATCH(H298,'Both teabags AfterDry'!$A$1:$A$839,0)),"")))</f>
        <v>1.5553999999999999</v>
      </c>
      <c r="P298" s="195">
        <f>IF(IFERROR(INDEX('Both teabags AfterDry'!$D$1:$D$839,MATCH(I298,'Both teabags AfterDry'!$A$1:$A$839,0)),"")="N.A","",(IFERROR(INDEX('Both teabags AfterDry'!$D$1:$D$839,MATCH(I298,'Both teabags AfterDry'!$A$1:$A$839,0)),"")))</f>
        <v>1.9180999999999999</v>
      </c>
      <c r="Q298" s="195">
        <f t="shared" si="32"/>
        <v>1.4047999999999998</v>
      </c>
      <c r="R298" s="195">
        <f t="shared" si="32"/>
        <v>1.7674999999999998</v>
      </c>
      <c r="S298" s="195">
        <f t="shared" si="27"/>
        <v>0.22736772632273683</v>
      </c>
      <c r="T298" s="195">
        <f t="shared" si="33"/>
        <v>0.14905817687666362</v>
      </c>
      <c r="U298" s="195">
        <f t="shared" si="28"/>
        <v>0.90169370472400767</v>
      </c>
      <c r="V298">
        <f t="shared" si="29"/>
        <v>69</v>
      </c>
      <c r="W298" s="195">
        <f t="shared" si="34"/>
        <v>0.72996707087560941</v>
      </c>
      <c r="X298" s="195">
        <f t="shared" si="35"/>
        <v>1.5614318629955293E-2</v>
      </c>
      <c r="Y298" s="255" t="str">
        <f>IF(ISNUMBER(SEARCH("C", 'Dry_Litterbag Placem_Collection'!V5)),"YES","NO")</f>
        <v>NO</v>
      </c>
      <c r="Z298" s="255" t="str">
        <f>IF(ISNUMBER(SEARCH("H", 'Dry_Litterbag Placem_Collection'!V5)),"YES","NO")</f>
        <v>NO</v>
      </c>
      <c r="AA298" s="255" t="str">
        <f>IF(ISNUMBER(SEARCH("R", 'Dry_Litterbag Placem_Collection'!V5)),"YES","NO")</f>
        <v>NO</v>
      </c>
      <c r="AB298" s="255" t="str">
        <f>IF(ISNUMBER(SEARCH("C", 'Dry_Litterbag Placem_Collection'!U5)),"YES","NO")</f>
        <v>NO</v>
      </c>
      <c r="AC298" s="255" t="str">
        <f>IF(ISNUMBER(SEARCH("H", 'Dry_Litterbag Placem_Collection'!U5)),"YES","NO")</f>
        <v>NO</v>
      </c>
      <c r="AD298" s="255" t="str">
        <f>IF(ISNUMBER(SEARCH("R", 'Dry_Litterbag Placem_Collection'!U5)),"YES","NO")</f>
        <v>YES</v>
      </c>
    </row>
    <row r="299" spans="2:30">
      <c r="B299" t="str">
        <f>'Final data_for_R_analysis_Dryse'!A445</f>
        <v>Dry</v>
      </c>
      <c r="C299" s="263">
        <f>'Final data_for_R_analysis_Dryse'!B445</f>
        <v>4</v>
      </c>
      <c r="D299" t="s">
        <v>3824</v>
      </c>
      <c r="E299" t="s">
        <v>25</v>
      </c>
      <c r="F299" s="387">
        <v>4</v>
      </c>
      <c r="G299" s="16">
        <f>'Dry_Litterbag Placem_Collection'!E6</f>
        <v>42938</v>
      </c>
      <c r="H299" s="92" t="str">
        <f>'Final data_for_R_analysis_Dryse'!J445</f>
        <v>G357</v>
      </c>
      <c r="I299" t="str">
        <f>'Final data_for_R_analysis_Dryse'!J665</f>
        <v>R298</v>
      </c>
      <c r="J299">
        <f>IFERROR(INDEX('Green_rooibos initial weight'!$C$5:$C$1749,MATCH(H299, 'Green_rooibos initial weight'!$A$5:$A$1749,0)),"")</f>
        <v>1.996</v>
      </c>
      <c r="K299">
        <f>IFERROR(INDEX('Green_rooibos initial weight'!$C$5:$C$1749,MATCH(I299, 'Green_rooibos initial weight'!$A$5:$A$1749,0)),"")</f>
        <v>2.2229999999999999</v>
      </c>
      <c r="L299" s="195">
        <f t="shared" si="30"/>
        <v>1.7462</v>
      </c>
      <c r="M299" s="195">
        <f t="shared" si="31"/>
        <v>1.9731999999999998</v>
      </c>
      <c r="N299" s="16">
        <f>IF('Dry_Litterbag Placem_Collection'!G6="N.A","",'Dry_Litterbag Placem_Collection'!G6)</f>
        <v>43007</v>
      </c>
      <c r="O299" s="195">
        <f>IF(IFERROR(INDEX('Both teabags AfterDry'!$D$1:$D$839,MATCH(H299,'Both teabags AfterDry'!$A$1:$A$839,0)),"")="N.A","",(IFERROR(INDEX('Both teabags AfterDry'!$D$1:$D$839,MATCH(H299,'Both teabags AfterDry'!$A$1:$A$839,0)),"")))</f>
        <v>1.6417999999999999</v>
      </c>
      <c r="P299" s="195">
        <f>IF(IFERROR(INDEX('Both teabags AfterDry'!$D$1:$D$839,MATCH(I299,'Both teabags AfterDry'!$A$1:$A$839,0)),"")="N.A","",(IFERROR(INDEX('Both teabags AfterDry'!$D$1:$D$839,MATCH(I299,'Both teabags AfterDry'!$A$1:$A$839,0)),"")))</f>
        <v>1.9487000000000001</v>
      </c>
      <c r="Q299" s="195">
        <f t="shared" si="32"/>
        <v>1.4911999999999999</v>
      </c>
      <c r="R299" s="195">
        <f t="shared" si="32"/>
        <v>1.7981</v>
      </c>
      <c r="S299" s="195">
        <f t="shared" si="27"/>
        <v>0.14603138243042046</v>
      </c>
      <c r="T299" s="195">
        <f t="shared" si="33"/>
        <v>9.5735538125406305E-2</v>
      </c>
      <c r="U299" s="195">
        <f t="shared" si="28"/>
        <v>0.91126089600648696</v>
      </c>
      <c r="V299">
        <f t="shared" si="29"/>
        <v>69</v>
      </c>
      <c r="W299" s="195">
        <f t="shared" si="34"/>
        <v>0.82656605412064077</v>
      </c>
      <c r="X299" s="195">
        <f t="shared" si="35"/>
        <v>3.7915782163276145E-2</v>
      </c>
      <c r="Y299" s="255" t="str">
        <f>IF(ISNUMBER(SEARCH("C", 'Dry_Litterbag Placem_Collection'!V6)),"YES","NO")</f>
        <v>NO</v>
      </c>
      <c r="Z299" s="255" t="str">
        <f>IF(ISNUMBER(SEARCH("H", 'Dry_Litterbag Placem_Collection'!V6)),"YES","NO")</f>
        <v>NO</v>
      </c>
      <c r="AA299" s="255" t="str">
        <f>IF(ISNUMBER(SEARCH("R", 'Dry_Litterbag Placem_Collection'!V6)),"YES","NO")</f>
        <v>NO</v>
      </c>
      <c r="AB299" s="255" t="str">
        <f>IF(ISNUMBER(SEARCH("C", 'Dry_Litterbag Placem_Collection'!U6)),"YES","NO")</f>
        <v>NO</v>
      </c>
      <c r="AC299" s="255" t="str">
        <f>IF(ISNUMBER(SEARCH("H", 'Dry_Litterbag Placem_Collection'!U6)),"YES","NO")</f>
        <v>NO</v>
      </c>
      <c r="AD299" s="255" t="str">
        <f>IF(ISNUMBER(SEARCH("R", 'Dry_Litterbag Placem_Collection'!U6)),"YES","NO")</f>
        <v>NO</v>
      </c>
    </row>
    <row r="300" spans="2:30">
      <c r="B300" t="str">
        <f>'Final data_for_R_analysis_Dryse'!A446</f>
        <v>Dry</v>
      </c>
      <c r="C300" s="263">
        <f>'Final data_for_R_analysis_Dryse'!B446</f>
        <v>5</v>
      </c>
      <c r="D300" t="s">
        <v>3824</v>
      </c>
      <c r="E300" t="s">
        <v>25</v>
      </c>
      <c r="F300" s="387">
        <v>5</v>
      </c>
      <c r="G300" s="16">
        <f>'Dry_Litterbag Placem_Collection'!E7</f>
        <v>42938</v>
      </c>
      <c r="H300" s="92" t="str">
        <f>'Final data_for_R_analysis_Dryse'!J446</f>
        <v>G734</v>
      </c>
      <c r="I300" t="str">
        <f>'Final data_for_R_analysis_Dryse'!J666</f>
        <v>R226</v>
      </c>
      <c r="J300">
        <f>IFERROR(INDEX('Green_rooibos initial weight'!$C$5:$C$1749,MATCH(H300, 'Green_rooibos initial weight'!$A$5:$A$1749,0)),"")</f>
        <v>1.9870000000000001</v>
      </c>
      <c r="K300">
        <f>IFERROR(INDEX('Green_rooibos initial weight'!$C$5:$C$1749,MATCH(I300, 'Green_rooibos initial weight'!$A$5:$A$1749,0)),"")</f>
        <v>2.2410000000000001</v>
      </c>
      <c r="L300" s="195">
        <f t="shared" si="30"/>
        <v>1.7372000000000001</v>
      </c>
      <c r="M300" s="195">
        <f t="shared" si="31"/>
        <v>1.9912000000000001</v>
      </c>
      <c r="N300" s="16">
        <f>IF('Dry_Litterbag Placem_Collection'!G7="N.A","",'Dry_Litterbag Placem_Collection'!G7)</f>
        <v>0</v>
      </c>
      <c r="O300" s="195" t="str">
        <f>IF(IFERROR(INDEX('Both teabags AfterDry'!$D$1:$D$839,MATCH(H300,'Both teabags AfterDry'!$A$1:$A$839,0)),"")="N.A","",(IFERROR(INDEX('Both teabags AfterDry'!$D$1:$D$839,MATCH(H300,'Both teabags AfterDry'!$A$1:$A$839,0)),"")))</f>
        <v/>
      </c>
      <c r="P300" s="195" t="str">
        <f>IF(IFERROR(INDEX('Both teabags AfterDry'!$D$1:$D$839,MATCH(I300,'Both teabags AfterDry'!$A$1:$A$839,0)),"")="N.A","",(IFERROR(INDEX('Both teabags AfterDry'!$D$1:$D$839,MATCH(I300,'Both teabags AfterDry'!$A$1:$A$839,0)),"")))</f>
        <v/>
      </c>
      <c r="Q300" s="195" t="str">
        <f t="shared" si="32"/>
        <v/>
      </c>
      <c r="R300" s="195" t="str">
        <f t="shared" si="32"/>
        <v/>
      </c>
      <c r="S300" s="195" t="str">
        <f t="shared" si="27"/>
        <v/>
      </c>
      <c r="T300" s="195" t="str">
        <f t="shared" si="33"/>
        <v/>
      </c>
      <c r="U300" s="195" t="str">
        <f t="shared" si="28"/>
        <v/>
      </c>
      <c r="V300" t="str">
        <f t="shared" si="29"/>
        <v/>
      </c>
      <c r="W300" s="195" t="str">
        <f t="shared" si="34"/>
        <v/>
      </c>
      <c r="X300" s="195" t="str">
        <f t="shared" si="35"/>
        <v/>
      </c>
      <c r="Y300" s="255" t="str">
        <f>IF(ISNUMBER(SEARCH("C", 'Dry_Litterbag Placem_Collection'!V7)),"YES","NO")</f>
        <v>NO</v>
      </c>
      <c r="Z300" s="255" t="str">
        <f>IF(ISNUMBER(SEARCH("H", 'Dry_Litterbag Placem_Collection'!V7)),"YES","NO")</f>
        <v>NO</v>
      </c>
      <c r="AA300" s="255" t="str">
        <f>IF(ISNUMBER(SEARCH("R", 'Dry_Litterbag Placem_Collection'!V7)),"YES","NO")</f>
        <v>NO</v>
      </c>
      <c r="AB300" s="255" t="str">
        <f>IF(ISNUMBER(SEARCH("C", 'Dry_Litterbag Placem_Collection'!U7)),"YES","NO")</f>
        <v>NO</v>
      </c>
      <c r="AC300" s="255" t="str">
        <f>IF(ISNUMBER(SEARCH("H", 'Dry_Litterbag Placem_Collection'!U7)),"YES","NO")</f>
        <v>NO</v>
      </c>
      <c r="AD300" s="255" t="str">
        <f>IF(ISNUMBER(SEARCH("R", 'Dry_Litterbag Placem_Collection'!U7)),"YES","NO")</f>
        <v>NO</v>
      </c>
    </row>
    <row r="301" spans="2:30">
      <c r="B301" t="str">
        <f>'Final data_for_R_analysis_Dryse'!A447</f>
        <v>Dry</v>
      </c>
      <c r="C301" s="263">
        <f>'Final data_for_R_analysis_Dryse'!B447</f>
        <v>6</v>
      </c>
      <c r="D301" t="s">
        <v>3824</v>
      </c>
      <c r="E301" t="s">
        <v>25</v>
      </c>
      <c r="F301" s="387">
        <v>6</v>
      </c>
      <c r="G301" s="16">
        <f>'Dry_Litterbag Placem_Collection'!E8</f>
        <v>42938</v>
      </c>
      <c r="H301" s="92" t="str">
        <f>'Final data_for_R_analysis_Dryse'!J447</f>
        <v>G164</v>
      </c>
      <c r="I301" t="str">
        <f>'Final data_for_R_analysis_Dryse'!J667</f>
        <v>R286</v>
      </c>
      <c r="J301">
        <f>IFERROR(INDEX('Green_rooibos initial weight'!$C$5:$C$1749,MATCH(H301, 'Green_rooibos initial weight'!$A$5:$A$1749,0)),"")</f>
        <v>1.994</v>
      </c>
      <c r="K301">
        <f>IFERROR(INDEX('Green_rooibos initial weight'!$C$5:$C$1749,MATCH(I301, 'Green_rooibos initial weight'!$A$5:$A$1749,0)),"")</f>
        <v>2.2160000000000002</v>
      </c>
      <c r="L301" s="195">
        <f t="shared" si="30"/>
        <v>1.7442</v>
      </c>
      <c r="M301" s="195">
        <f t="shared" si="31"/>
        <v>1.9662000000000002</v>
      </c>
      <c r="N301" s="16">
        <f>IF('Dry_Litterbag Placem_Collection'!G8="N.A","",'Dry_Litterbag Placem_Collection'!G8)</f>
        <v>43007</v>
      </c>
      <c r="O301" s="195" t="str">
        <f>IF(IFERROR(INDEX('Both teabags AfterDry'!$D$1:$D$839,MATCH(H301,'Both teabags AfterDry'!$A$1:$A$839,0)),"")="N.A","",(IFERROR(INDEX('Both teabags AfterDry'!$D$1:$D$839,MATCH(H301,'Both teabags AfterDry'!$A$1:$A$839,0)),"")))</f>
        <v/>
      </c>
      <c r="P301" s="195" t="str">
        <f>IF(IFERROR(INDEX('Both teabags AfterDry'!$D$1:$D$839,MATCH(I301,'Both teabags AfterDry'!$A$1:$A$839,0)),"")="N.A","",(IFERROR(INDEX('Both teabags AfterDry'!$D$1:$D$839,MATCH(I301,'Both teabags AfterDry'!$A$1:$A$839,0)),"")))</f>
        <v/>
      </c>
      <c r="Q301" s="195" t="str">
        <f t="shared" si="32"/>
        <v/>
      </c>
      <c r="R301" s="195" t="str">
        <f t="shared" si="32"/>
        <v/>
      </c>
      <c r="S301" s="195" t="str">
        <f t="shared" si="27"/>
        <v/>
      </c>
      <c r="T301" s="195" t="str">
        <f t="shared" si="33"/>
        <v/>
      </c>
      <c r="U301" s="195" t="str">
        <f t="shared" si="28"/>
        <v/>
      </c>
      <c r="V301">
        <f t="shared" si="29"/>
        <v>69</v>
      </c>
      <c r="W301" s="195" t="str">
        <f t="shared" si="34"/>
        <v/>
      </c>
      <c r="X301" s="195" t="str">
        <f t="shared" si="35"/>
        <v/>
      </c>
      <c r="Y301" s="255" t="str">
        <f>IF(ISNUMBER(SEARCH("C", 'Dry_Litterbag Placem_Collection'!V8)),"YES","NO")</f>
        <v>NO</v>
      </c>
      <c r="Z301" s="255" t="str">
        <f>IF(ISNUMBER(SEARCH("H", 'Dry_Litterbag Placem_Collection'!V8)),"YES","NO")</f>
        <v>NO</v>
      </c>
      <c r="AA301" s="255" t="str">
        <f>IF(ISNUMBER(SEARCH("R", 'Dry_Litterbag Placem_Collection'!V8)),"YES","NO")</f>
        <v>NO</v>
      </c>
      <c r="AB301" s="255" t="str">
        <f>IF(ISNUMBER(SEARCH("C", 'Dry_Litterbag Placem_Collection'!U8)),"YES","NO")</f>
        <v>NO</v>
      </c>
      <c r="AC301" s="255" t="str">
        <f>IF(ISNUMBER(SEARCH("H", 'Dry_Litterbag Placem_Collection'!U8)),"YES","NO")</f>
        <v>NO</v>
      </c>
      <c r="AD301" s="255" t="str">
        <f>IF(ISNUMBER(SEARCH("R", 'Dry_Litterbag Placem_Collection'!U8)),"YES","NO")</f>
        <v>NO</v>
      </c>
    </row>
    <row r="302" spans="2:30">
      <c r="B302" t="str">
        <f>'Final data_for_R_analysis_Dryse'!A448</f>
        <v>Dry</v>
      </c>
      <c r="C302" s="263">
        <f>'Final data_for_R_analysis_Dryse'!B448</f>
        <v>7</v>
      </c>
      <c r="D302" t="s">
        <v>3824</v>
      </c>
      <c r="E302" t="s">
        <v>25</v>
      </c>
      <c r="F302" s="387">
        <v>7</v>
      </c>
      <c r="G302" s="16">
        <f>'Dry_Litterbag Placem_Collection'!E9</f>
        <v>42938</v>
      </c>
      <c r="H302" s="92" t="str">
        <f>'Final data_for_R_analysis_Dryse'!J448</f>
        <v>G776</v>
      </c>
      <c r="I302" t="str">
        <f>'Final data_for_R_analysis_Dryse'!J668</f>
        <v>R210</v>
      </c>
      <c r="J302">
        <f>IFERROR(INDEX('Green_rooibos initial weight'!$C$5:$C$1749,MATCH(H302, 'Green_rooibos initial weight'!$A$5:$A$1749,0)),"")</f>
        <v>1.9790000000000001</v>
      </c>
      <c r="K302">
        <f>IFERROR(INDEX('Green_rooibos initial weight'!$C$5:$C$1749,MATCH(I302, 'Green_rooibos initial weight'!$A$5:$A$1749,0)),"")</f>
        <v>2.2429999999999999</v>
      </c>
      <c r="L302" s="195">
        <f t="shared" si="30"/>
        <v>1.7292000000000001</v>
      </c>
      <c r="M302" s="195">
        <f t="shared" si="31"/>
        <v>1.9931999999999999</v>
      </c>
      <c r="N302" s="16">
        <f>IF('Dry_Litterbag Placem_Collection'!G9="N.A","",'Dry_Litterbag Placem_Collection'!G9)</f>
        <v>43007</v>
      </c>
      <c r="O302" s="195">
        <f>IF(IFERROR(INDEX('Both teabags AfterDry'!$D$1:$D$839,MATCH(H302,'Both teabags AfterDry'!$A$1:$A$839,0)),"")="N.A","",(IFERROR(INDEX('Both teabags AfterDry'!$D$1:$D$839,MATCH(H302,'Both teabags AfterDry'!$A$1:$A$839,0)),"")))</f>
        <v>1.8093999999999999</v>
      </c>
      <c r="P302" s="195">
        <f>IF(IFERROR(INDEX('Both teabags AfterDry'!$D$1:$D$839,MATCH(I302,'Both teabags AfterDry'!$A$1:$A$839,0)),"")="N.A","",(IFERROR(INDEX('Both teabags AfterDry'!$D$1:$D$839,MATCH(I302,'Both teabags AfterDry'!$A$1:$A$839,0)),"")))</f>
        <v>2.0261</v>
      </c>
      <c r="Q302" s="195">
        <f t="shared" si="32"/>
        <v>1.6587999999999998</v>
      </c>
      <c r="R302" s="195">
        <f t="shared" si="32"/>
        <v>1.8754999999999999</v>
      </c>
      <c r="S302" s="195">
        <f t="shared" si="27"/>
        <v>4.0712468193384366E-2</v>
      </c>
      <c r="T302" s="195">
        <f t="shared" si="33"/>
        <v>2.6690359195662917E-2</v>
      </c>
      <c r="U302" s="195">
        <f t="shared" si="28"/>
        <v>0.94094922737306852</v>
      </c>
      <c r="V302">
        <f t="shared" si="29"/>
        <v>69</v>
      </c>
      <c r="W302" s="195">
        <f t="shared" si="34"/>
        <v>0.95164790000785704</v>
      </c>
      <c r="X302" s="195" t="str">
        <f t="shared" si="35"/>
        <v/>
      </c>
      <c r="Y302" s="255" t="str">
        <f>IF(ISNUMBER(SEARCH("C", 'Dry_Litterbag Placem_Collection'!V9)),"YES","NO")</f>
        <v>NO</v>
      </c>
      <c r="Z302" s="255" t="str">
        <f>IF(ISNUMBER(SEARCH("H", 'Dry_Litterbag Placem_Collection'!V9)),"YES","NO")</f>
        <v>NO</v>
      </c>
      <c r="AA302" s="255" t="str">
        <f>IF(ISNUMBER(SEARCH("R", 'Dry_Litterbag Placem_Collection'!V9)),"YES","NO")</f>
        <v>NO</v>
      </c>
      <c r="AB302" s="255" t="str">
        <f>IF(ISNUMBER(SEARCH("C", 'Dry_Litterbag Placem_Collection'!U9)),"YES","NO")</f>
        <v>NO</v>
      </c>
      <c r="AC302" s="255" t="str">
        <f>IF(ISNUMBER(SEARCH("H", 'Dry_Litterbag Placem_Collection'!U9)),"YES","NO")</f>
        <v>NO</v>
      </c>
      <c r="AD302" s="255" t="str">
        <f>IF(ISNUMBER(SEARCH("R", 'Dry_Litterbag Placem_Collection'!U9)),"YES","NO")</f>
        <v>NO</v>
      </c>
    </row>
    <row r="303" spans="2:30">
      <c r="B303" t="str">
        <f>'Final data_for_R_analysis_Dryse'!A449</f>
        <v>Dry</v>
      </c>
      <c r="C303" s="263">
        <f>'Final data_for_R_analysis_Dryse'!B449</f>
        <v>8</v>
      </c>
      <c r="D303" t="s">
        <v>3824</v>
      </c>
      <c r="E303" t="s">
        <v>25</v>
      </c>
      <c r="F303" s="387">
        <v>8</v>
      </c>
      <c r="G303" s="16">
        <f>'Dry_Litterbag Placem_Collection'!E10</f>
        <v>42938</v>
      </c>
      <c r="H303" s="92" t="str">
        <f>'Final data_for_R_analysis_Dryse'!J449</f>
        <v>G23</v>
      </c>
      <c r="I303" t="str">
        <f>'Final data_for_R_analysis_Dryse'!J669</f>
        <v>R213</v>
      </c>
      <c r="J303">
        <f>IFERROR(INDEX('Green_rooibos initial weight'!$C$5:$C$1749,MATCH(H303, 'Green_rooibos initial weight'!$A$5:$A$1749,0)),"")</f>
        <v>2.0750000000000002</v>
      </c>
      <c r="K303">
        <f>IFERROR(INDEX('Green_rooibos initial weight'!$C$5:$C$1749,MATCH(I303, 'Green_rooibos initial weight'!$A$5:$A$1749,0)),"")</f>
        <v>2.254</v>
      </c>
      <c r="L303" s="195">
        <f t="shared" si="30"/>
        <v>1.8252000000000002</v>
      </c>
      <c r="M303" s="195">
        <f t="shared" si="31"/>
        <v>2.0042</v>
      </c>
      <c r="N303" s="16">
        <f>IF('Dry_Litterbag Placem_Collection'!G10="N.A","",'Dry_Litterbag Placem_Collection'!G10)</f>
        <v>43007</v>
      </c>
      <c r="O303" s="195">
        <f>IF(IFERROR(INDEX('Both teabags AfterDry'!$D$1:$D$839,MATCH(H303,'Both teabags AfterDry'!$A$1:$A$839,0)),"")="N.A","",(IFERROR(INDEX('Both teabags AfterDry'!$D$1:$D$839,MATCH(H303,'Both teabags AfterDry'!$A$1:$A$839,0)),"")))</f>
        <v>0.94159999999999999</v>
      </c>
      <c r="P303" s="195">
        <f>IF(IFERROR(INDEX('Both teabags AfterDry'!$D$1:$D$839,MATCH(I303,'Both teabags AfterDry'!$A$1:$A$839,0)),"")="N.A","",(IFERROR(INDEX('Both teabags AfterDry'!$D$1:$D$839,MATCH(I303,'Both teabags AfterDry'!$A$1:$A$839,0)),"")))</f>
        <v>1.7698</v>
      </c>
      <c r="Q303" s="195">
        <f t="shared" si="32"/>
        <v>0.79099999999999993</v>
      </c>
      <c r="R303" s="195">
        <f t="shared" si="32"/>
        <v>1.6192</v>
      </c>
      <c r="S303" s="195">
        <f t="shared" si="27"/>
        <v>0.56662283585360518</v>
      </c>
      <c r="T303" s="195">
        <f t="shared" si="33"/>
        <v>0.37146770236483384</v>
      </c>
      <c r="U303" s="195">
        <f t="shared" si="28"/>
        <v>0.80790340285400652</v>
      </c>
      <c r="V303">
        <f t="shared" si="29"/>
        <v>69</v>
      </c>
      <c r="W303" s="195">
        <f t="shared" si="34"/>
        <v>0.32705126383182281</v>
      </c>
      <c r="X303" s="195">
        <f t="shared" si="35"/>
        <v>1.0550797807439484E-2</v>
      </c>
      <c r="Y303" s="255" t="str">
        <f>IF(ISNUMBER(SEARCH("C", 'Dry_Litterbag Placem_Collection'!V10)),"YES","NO")</f>
        <v>NO</v>
      </c>
      <c r="Z303" s="255" t="str">
        <f>IF(ISNUMBER(SEARCH("H", 'Dry_Litterbag Placem_Collection'!V10)),"YES","NO")</f>
        <v>NO</v>
      </c>
      <c r="AA303" s="255" t="str">
        <f>IF(ISNUMBER(SEARCH("R", 'Dry_Litterbag Placem_Collection'!V10)),"YES","NO")</f>
        <v>NO</v>
      </c>
      <c r="AB303" s="255" t="str">
        <f>IF(ISNUMBER(SEARCH("C", 'Dry_Litterbag Placem_Collection'!U10)),"YES","NO")</f>
        <v>NO</v>
      </c>
      <c r="AC303" s="255" t="str">
        <f>IF(ISNUMBER(SEARCH("H", 'Dry_Litterbag Placem_Collection'!U10)),"YES","NO")</f>
        <v>NO</v>
      </c>
      <c r="AD303" s="255" t="str">
        <f>IF(ISNUMBER(SEARCH("R", 'Dry_Litterbag Placem_Collection'!U10)),"YES","NO")</f>
        <v>YES</v>
      </c>
    </row>
    <row r="304" spans="2:30">
      <c r="B304" t="str">
        <f>'Final data_for_R_analysis_Dryse'!A450</f>
        <v>Dry</v>
      </c>
      <c r="C304" s="263">
        <f>'Final data_for_R_analysis_Dryse'!B450</f>
        <v>9</v>
      </c>
      <c r="D304" t="s">
        <v>3828</v>
      </c>
      <c r="E304" t="s">
        <v>25</v>
      </c>
      <c r="F304" s="386">
        <v>1</v>
      </c>
      <c r="G304" s="16">
        <f>'Dry_Litterbag Placem_Collection'!E11</f>
        <v>42938</v>
      </c>
      <c r="H304" s="92" t="str">
        <f>'Final data_for_R_analysis_Dryse'!J450</f>
        <v>G570</v>
      </c>
      <c r="I304" t="str">
        <f>'Final data_for_R_analysis_Dryse'!J670</f>
        <v>R704</v>
      </c>
      <c r="J304">
        <f>IFERROR(INDEX('Green_rooibos initial weight'!$C$5:$C$1749,MATCH(H304, 'Green_rooibos initial weight'!$A$5:$A$1749,0)),"")</f>
        <v>2.1040000000000001</v>
      </c>
      <c r="K304">
        <f>IFERROR(INDEX('Green_rooibos initial weight'!$C$5:$C$1749,MATCH(I304, 'Green_rooibos initial weight'!$A$5:$A$1749,0)),"")</f>
        <v>2.1480000000000001</v>
      </c>
      <c r="L304" s="195">
        <f t="shared" si="30"/>
        <v>1.8542000000000001</v>
      </c>
      <c r="M304" s="195">
        <f t="shared" si="31"/>
        <v>1.8982000000000001</v>
      </c>
      <c r="N304" s="16">
        <f>IF('Dry_Litterbag Placem_Collection'!G11="N.A","",'Dry_Litterbag Placem_Collection'!G11)</f>
        <v>43007</v>
      </c>
      <c r="O304" s="195">
        <f>IF(IFERROR(INDEX('Both teabags AfterDry'!$D$1:$D$839,MATCH(H304,'Both teabags AfterDry'!$A$1:$A$839,0)),"")="N.A","",(IFERROR(INDEX('Both teabags AfterDry'!$D$1:$D$839,MATCH(H304,'Both teabags AfterDry'!$A$1:$A$839,0)),"")))</f>
        <v>1.9100999999999999</v>
      </c>
      <c r="P304" s="195">
        <f>IF(IFERROR(INDEX('Both teabags AfterDry'!$D$1:$D$839,MATCH(I304,'Both teabags AfterDry'!$A$1:$A$839,0)),"")="N.A","",(IFERROR(INDEX('Both teabags AfterDry'!$D$1:$D$839,MATCH(I304,'Both teabags AfterDry'!$A$1:$A$839,0)),"")))</f>
        <v>1.9311</v>
      </c>
      <c r="Q304" s="195">
        <f t="shared" si="32"/>
        <v>1.7594999999999998</v>
      </c>
      <c r="R304" s="195">
        <f t="shared" si="32"/>
        <v>1.7805</v>
      </c>
      <c r="S304" s="195">
        <f t="shared" si="27"/>
        <v>5.1073239132779724E-2</v>
      </c>
      <c r="T304" s="195">
        <f t="shared" si="33"/>
        <v>3.3482693588235621E-2</v>
      </c>
      <c r="U304" s="195">
        <f t="shared" si="28"/>
        <v>0.93799388894742386</v>
      </c>
      <c r="V304">
        <f t="shared" si="29"/>
        <v>69</v>
      </c>
      <c r="W304" s="195">
        <f t="shared" si="34"/>
        <v>0.93934294639812388</v>
      </c>
      <c r="X304" s="195" t="str">
        <f t="shared" si="35"/>
        <v/>
      </c>
      <c r="Y304" s="255" t="str">
        <f>IF(ISNUMBER(SEARCH("C", 'Dry_Litterbag Placem_Collection'!V11)),"YES","NO")</f>
        <v>NO</v>
      </c>
      <c r="Z304" s="255" t="str">
        <f>IF(ISNUMBER(SEARCH("H", 'Dry_Litterbag Placem_Collection'!V11)),"YES","NO")</f>
        <v>NO</v>
      </c>
      <c r="AA304" s="255" t="str">
        <f>IF(ISNUMBER(SEARCH("R", 'Dry_Litterbag Placem_Collection'!V11)),"YES","NO")</f>
        <v>NO</v>
      </c>
      <c r="AB304" s="255" t="str">
        <f>IF(ISNUMBER(SEARCH("C", 'Dry_Litterbag Placem_Collection'!U11)),"YES","NO")</f>
        <v>NO</v>
      </c>
      <c r="AC304" s="255" t="str">
        <f>IF(ISNUMBER(SEARCH("H", 'Dry_Litterbag Placem_Collection'!U11)),"YES","NO")</f>
        <v>NO</v>
      </c>
      <c r="AD304" s="255" t="str">
        <f>IF(ISNUMBER(SEARCH("R", 'Dry_Litterbag Placem_Collection'!U11)),"YES","NO")</f>
        <v>NO</v>
      </c>
    </row>
    <row r="305" spans="2:30">
      <c r="B305" t="str">
        <f>'Final data_for_R_analysis_Dryse'!A451</f>
        <v>Dry</v>
      </c>
      <c r="C305" s="263">
        <f>'Final data_for_R_analysis_Dryse'!B451</f>
        <v>10</v>
      </c>
      <c r="D305" t="s">
        <v>3828</v>
      </c>
      <c r="E305" t="s">
        <v>25</v>
      </c>
      <c r="F305" s="386">
        <v>2</v>
      </c>
      <c r="G305" s="16">
        <f>'Dry_Litterbag Placem_Collection'!E12</f>
        <v>42938</v>
      </c>
      <c r="H305" s="92" t="str">
        <f>'Final data_for_R_analysis_Dryse'!J451</f>
        <v>G642</v>
      </c>
      <c r="I305" t="str">
        <f>'Final data_for_R_analysis_Dryse'!J671</f>
        <v>R355</v>
      </c>
      <c r="J305">
        <f>IFERROR(INDEX('Green_rooibos initial weight'!$C$5:$C$1749,MATCH(H305, 'Green_rooibos initial weight'!$A$5:$A$1749,0)),"")</f>
        <v>2.1269999999999998</v>
      </c>
      <c r="K305">
        <f>IFERROR(INDEX('Green_rooibos initial weight'!$C$5:$C$1749,MATCH(I305, 'Green_rooibos initial weight'!$A$5:$A$1749,0)),"")</f>
        <v>2.1850000000000001</v>
      </c>
      <c r="L305" s="195">
        <f t="shared" si="30"/>
        <v>1.8771999999999998</v>
      </c>
      <c r="M305" s="195">
        <f t="shared" si="31"/>
        <v>1.9352</v>
      </c>
      <c r="N305" s="16">
        <f>IF('Dry_Litterbag Placem_Collection'!G12="N.A","",'Dry_Litterbag Placem_Collection'!G12)</f>
        <v>0</v>
      </c>
      <c r="O305" s="195" t="str">
        <f>IF(IFERROR(INDEX('Both teabags AfterDry'!$D$1:$D$839,MATCH(H305,'Both teabags AfterDry'!$A$1:$A$839,0)),"")="N.A","",(IFERROR(INDEX('Both teabags AfterDry'!$D$1:$D$839,MATCH(H305,'Both teabags AfterDry'!$A$1:$A$839,0)),"")))</f>
        <v/>
      </c>
      <c r="P305" s="195" t="str">
        <f>IF(IFERROR(INDEX('Both teabags AfterDry'!$D$1:$D$839,MATCH(I305,'Both teabags AfterDry'!$A$1:$A$839,0)),"")="N.A","",(IFERROR(INDEX('Both teabags AfterDry'!$D$1:$D$839,MATCH(I305,'Both teabags AfterDry'!$A$1:$A$839,0)),"")))</f>
        <v/>
      </c>
      <c r="Q305" s="195" t="str">
        <f t="shared" si="32"/>
        <v/>
      </c>
      <c r="R305" s="195" t="str">
        <f t="shared" si="32"/>
        <v/>
      </c>
      <c r="S305" s="195" t="str">
        <f t="shared" si="27"/>
        <v/>
      </c>
      <c r="T305" s="195" t="str">
        <f t="shared" si="33"/>
        <v/>
      </c>
      <c r="U305" s="195" t="str">
        <f t="shared" si="28"/>
        <v/>
      </c>
      <c r="V305" t="str">
        <f t="shared" si="29"/>
        <v/>
      </c>
      <c r="W305" s="195" t="str">
        <f t="shared" si="34"/>
        <v/>
      </c>
      <c r="X305" s="195" t="str">
        <f t="shared" si="35"/>
        <v/>
      </c>
      <c r="Y305" s="255" t="str">
        <f>IF(ISNUMBER(SEARCH("C", 'Dry_Litterbag Placem_Collection'!V12)),"YES","NO")</f>
        <v>NO</v>
      </c>
      <c r="Z305" s="255" t="str">
        <f>IF(ISNUMBER(SEARCH("H", 'Dry_Litterbag Placem_Collection'!V12)),"YES","NO")</f>
        <v>NO</v>
      </c>
      <c r="AA305" s="255" t="str">
        <f>IF(ISNUMBER(SEARCH("R", 'Dry_Litterbag Placem_Collection'!V12)),"YES","NO")</f>
        <v>NO</v>
      </c>
      <c r="AB305" s="255" t="str">
        <f>IF(ISNUMBER(SEARCH("C", 'Dry_Litterbag Placem_Collection'!U12)),"YES","NO")</f>
        <v>NO</v>
      </c>
      <c r="AC305" s="255" t="str">
        <f>IF(ISNUMBER(SEARCH("H", 'Dry_Litterbag Placem_Collection'!U12)),"YES","NO")</f>
        <v>NO</v>
      </c>
      <c r="AD305" s="255" t="str">
        <f>IF(ISNUMBER(SEARCH("R", 'Dry_Litterbag Placem_Collection'!U12)),"YES","NO")</f>
        <v>NO</v>
      </c>
    </row>
    <row r="306" spans="2:30">
      <c r="B306" t="str">
        <f>'Final data_for_R_analysis_Dryse'!A452</f>
        <v>Dry</v>
      </c>
      <c r="C306" s="263">
        <f>'Final data_for_R_analysis_Dryse'!B452</f>
        <v>11</v>
      </c>
      <c r="D306" t="s">
        <v>3828</v>
      </c>
      <c r="E306" t="s">
        <v>25</v>
      </c>
      <c r="F306" s="386">
        <v>3</v>
      </c>
      <c r="G306" s="16">
        <f>'Dry_Litterbag Placem_Collection'!E13</f>
        <v>42938</v>
      </c>
      <c r="H306" s="92" t="str">
        <f>'Final data_for_R_analysis_Dryse'!J452</f>
        <v>G663</v>
      </c>
      <c r="I306" t="str">
        <f>'Final data_for_R_analysis_Dryse'!J672</f>
        <v>R616</v>
      </c>
      <c r="J306">
        <f>IFERROR(INDEX('Green_rooibos initial weight'!$C$5:$C$1749,MATCH(H306, 'Green_rooibos initial weight'!$A$5:$A$1749,0)),"")</f>
        <v>2.0760000000000001</v>
      </c>
      <c r="K306">
        <f>IFERROR(INDEX('Green_rooibos initial weight'!$C$5:$C$1749,MATCH(I306, 'Green_rooibos initial weight'!$A$5:$A$1749,0)),"")</f>
        <v>2.1739999999999999</v>
      </c>
      <c r="L306" s="195">
        <f t="shared" si="30"/>
        <v>1.8262</v>
      </c>
      <c r="M306" s="195">
        <f t="shared" si="31"/>
        <v>1.9241999999999999</v>
      </c>
      <c r="N306" s="16">
        <f>IF('Dry_Litterbag Placem_Collection'!G13="N.A","",'Dry_Litterbag Placem_Collection'!G13)</f>
        <v>43007</v>
      </c>
      <c r="O306" s="195">
        <f>IF(IFERROR(INDEX('Both teabags AfterDry'!$D$1:$D$839,MATCH(H306,'Both teabags AfterDry'!$A$1:$A$839,0)),"")="N.A","",(IFERROR(INDEX('Both teabags AfterDry'!$D$1:$D$839,MATCH(H306,'Both teabags AfterDry'!$A$1:$A$839,0)),"")))</f>
        <v>1.6718</v>
      </c>
      <c r="P306" s="195">
        <f>IF(IFERROR(INDEX('Both teabags AfterDry'!$D$1:$D$839,MATCH(I306,'Both teabags AfterDry'!$A$1:$A$839,0)),"")="N.A","",(IFERROR(INDEX('Both teabags AfterDry'!$D$1:$D$839,MATCH(I306,'Both teabags AfterDry'!$A$1:$A$839,0)),"")))</f>
        <v>1.9423999999999999</v>
      </c>
      <c r="Q306" s="195">
        <f t="shared" si="32"/>
        <v>1.5211999999999999</v>
      </c>
      <c r="R306" s="195">
        <f t="shared" si="32"/>
        <v>1.7917999999999998</v>
      </c>
      <c r="S306" s="195">
        <f t="shared" si="27"/>
        <v>0.16701347059467753</v>
      </c>
      <c r="T306" s="195">
        <f t="shared" si="33"/>
        <v>0.10949101635185514</v>
      </c>
      <c r="U306" s="195">
        <f t="shared" si="28"/>
        <v>0.93119218376468138</v>
      </c>
      <c r="V306">
        <f t="shared" si="29"/>
        <v>69</v>
      </c>
      <c r="W306" s="195">
        <f t="shared" si="34"/>
        <v>0.80164670950750883</v>
      </c>
      <c r="X306" s="195">
        <f t="shared" si="35"/>
        <v>1.4348221300832653E-2</v>
      </c>
      <c r="Y306" s="255" t="str">
        <f>IF(ISNUMBER(SEARCH("C", 'Dry_Litterbag Placem_Collection'!V13)),"YES","NO")</f>
        <v>NO</v>
      </c>
      <c r="Z306" s="255" t="str">
        <f>IF(ISNUMBER(SEARCH("H", 'Dry_Litterbag Placem_Collection'!V13)),"YES","NO")</f>
        <v>NO</v>
      </c>
      <c r="AA306" s="255" t="str">
        <f>IF(ISNUMBER(SEARCH("R", 'Dry_Litterbag Placem_Collection'!V13)),"YES","NO")</f>
        <v>NO</v>
      </c>
      <c r="AB306" s="255" t="str">
        <f>IF(ISNUMBER(SEARCH("C", 'Dry_Litterbag Placem_Collection'!U13)),"YES","NO")</f>
        <v>NO</v>
      </c>
      <c r="AC306" s="255" t="str">
        <f>IF(ISNUMBER(SEARCH("H", 'Dry_Litterbag Placem_Collection'!U13)),"YES","NO")</f>
        <v>NO</v>
      </c>
      <c r="AD306" s="255" t="str">
        <f>IF(ISNUMBER(SEARCH("R", 'Dry_Litterbag Placem_Collection'!U13)),"YES","NO")</f>
        <v>NO</v>
      </c>
    </row>
    <row r="307" spans="2:30">
      <c r="B307" t="str">
        <f>'Final data_for_R_analysis_Dryse'!A453</f>
        <v>Dry</v>
      </c>
      <c r="C307" s="263">
        <f>'Final data_for_R_analysis_Dryse'!B453</f>
        <v>12</v>
      </c>
      <c r="D307" t="s">
        <v>3828</v>
      </c>
      <c r="E307" t="s">
        <v>25</v>
      </c>
      <c r="F307" s="387">
        <v>4</v>
      </c>
      <c r="G307" s="16">
        <f>'Dry_Litterbag Placem_Collection'!E14</f>
        <v>0</v>
      </c>
      <c r="H307" s="92" t="str">
        <f>'Final data_for_R_analysis_Dryse'!J453</f>
        <v/>
      </c>
      <c r="I307" t="str">
        <f>'Final data_for_R_analysis_Dryse'!J673</f>
        <v/>
      </c>
      <c r="J307" t="str">
        <f>IFERROR(INDEX('Green_rooibos initial weight'!$C$5:$C$1749,MATCH(H307, 'Green_rooibos initial weight'!$A$5:$A$1749,0)),"")</f>
        <v/>
      </c>
      <c r="K307" t="str">
        <f>IFERROR(INDEX('Green_rooibos initial weight'!$C$5:$C$1749,MATCH(I307, 'Green_rooibos initial weight'!$A$5:$A$1749,0)),"")</f>
        <v/>
      </c>
      <c r="L307" s="195" t="str">
        <f t="shared" si="30"/>
        <v/>
      </c>
      <c r="M307" s="195" t="str">
        <f t="shared" si="31"/>
        <v/>
      </c>
      <c r="N307" s="16">
        <f>IF('Dry_Litterbag Placem_Collection'!G14="N.A","",'Dry_Litterbag Placem_Collection'!G14)</f>
        <v>0</v>
      </c>
      <c r="O307" s="195" t="str">
        <f>IF(IFERROR(INDEX('Both teabags AfterDry'!$D$1:$D$839,MATCH(H307,'Both teabags AfterDry'!$A$1:$A$839,0)),"")="N.A","",(IFERROR(INDEX('Both teabags AfterDry'!$D$1:$D$839,MATCH(H307,'Both teabags AfterDry'!$A$1:$A$839,0)),"")))</f>
        <v/>
      </c>
      <c r="P307" s="195" t="str">
        <f>IF(IFERROR(INDEX('Both teabags AfterDry'!$D$1:$D$839,MATCH(I307,'Both teabags AfterDry'!$A$1:$A$839,0)),"")="N.A","",(IFERROR(INDEX('Both teabags AfterDry'!$D$1:$D$839,MATCH(I307,'Both teabags AfterDry'!$A$1:$A$839,0)),"")))</f>
        <v/>
      </c>
      <c r="Q307" s="195" t="str">
        <f t="shared" si="32"/>
        <v/>
      </c>
      <c r="R307" s="195" t="str">
        <f t="shared" si="32"/>
        <v/>
      </c>
      <c r="S307" s="195" t="str">
        <f t="shared" si="27"/>
        <v/>
      </c>
      <c r="T307" s="195" t="str">
        <f t="shared" si="33"/>
        <v/>
      </c>
      <c r="U307" s="195" t="str">
        <f t="shared" si="28"/>
        <v/>
      </c>
      <c r="V307" t="str">
        <f t="shared" si="29"/>
        <v/>
      </c>
      <c r="W307" s="195" t="str">
        <f t="shared" si="34"/>
        <v/>
      </c>
      <c r="X307" s="195" t="str">
        <f t="shared" si="35"/>
        <v/>
      </c>
      <c r="Y307" s="255" t="str">
        <f>IF(ISNUMBER(SEARCH("C", 'Dry_Litterbag Placem_Collection'!V14)),"YES","NO")</f>
        <v>NO</v>
      </c>
      <c r="Z307" s="255" t="str">
        <f>IF(ISNUMBER(SEARCH("H", 'Dry_Litterbag Placem_Collection'!V14)),"YES","NO")</f>
        <v>NO</v>
      </c>
      <c r="AA307" s="255" t="str">
        <f>IF(ISNUMBER(SEARCH("R", 'Dry_Litterbag Placem_Collection'!V14)),"YES","NO")</f>
        <v>NO</v>
      </c>
      <c r="AB307" s="255" t="str">
        <f>IF(ISNUMBER(SEARCH("C", 'Dry_Litterbag Placem_Collection'!U14)),"YES","NO")</f>
        <v>NO</v>
      </c>
      <c r="AC307" s="255" t="str">
        <f>IF(ISNUMBER(SEARCH("H", 'Dry_Litterbag Placem_Collection'!U14)),"YES","NO")</f>
        <v>NO</v>
      </c>
      <c r="AD307" s="255" t="str">
        <f>IF(ISNUMBER(SEARCH("R", 'Dry_Litterbag Placem_Collection'!U14)),"YES","NO")</f>
        <v>NO</v>
      </c>
    </row>
    <row r="308" spans="2:30">
      <c r="B308" t="str">
        <f>'Final data_for_R_analysis_Dryse'!A454</f>
        <v>Dry</v>
      </c>
      <c r="C308" s="263">
        <f>'Final data_for_R_analysis_Dryse'!B454</f>
        <v>13</v>
      </c>
      <c r="D308" t="s">
        <v>3828</v>
      </c>
      <c r="E308" t="s">
        <v>25</v>
      </c>
      <c r="F308" s="387">
        <v>5</v>
      </c>
      <c r="G308" s="16">
        <f>'Dry_Litterbag Placem_Collection'!E15</f>
        <v>42938</v>
      </c>
      <c r="H308" s="92" t="str">
        <f>'Final data_for_R_analysis_Dryse'!J454</f>
        <v>G874</v>
      </c>
      <c r="I308" t="str">
        <f>'Final data_for_R_analysis_Dryse'!J674</f>
        <v>R603</v>
      </c>
      <c r="J308">
        <f>IFERROR(INDEX('Green_rooibos initial weight'!$C$5:$C$1749,MATCH(H308, 'Green_rooibos initial weight'!$A$5:$A$1749,0)),"")</f>
        <v>2.032</v>
      </c>
      <c r="K308">
        <f>IFERROR(INDEX('Green_rooibos initial weight'!$C$5:$C$1749,MATCH(I308, 'Green_rooibos initial weight'!$A$5:$A$1749,0)),"")</f>
        <v>2.1440000000000001</v>
      </c>
      <c r="L308" s="195">
        <f t="shared" si="30"/>
        <v>1.7822</v>
      </c>
      <c r="M308" s="195">
        <f t="shared" si="31"/>
        <v>1.8942000000000001</v>
      </c>
      <c r="N308" s="16">
        <f>IF('Dry_Litterbag Placem_Collection'!G15="N.A","",'Dry_Litterbag Placem_Collection'!G15)</f>
        <v>43007</v>
      </c>
      <c r="O308" s="195">
        <f>IF(IFERROR(INDEX('Both teabags AfterDry'!$D$1:$D$839,MATCH(H308,'Both teabags AfterDry'!$A$1:$A$839,0)),"")="N.A","",(IFERROR(INDEX('Both teabags AfterDry'!$D$1:$D$839,MATCH(H308,'Both teabags AfterDry'!$A$1:$A$839,0)),"")))</f>
        <v>1.361</v>
      </c>
      <c r="P308" s="195">
        <f>IF(IFERROR(INDEX('Both teabags AfterDry'!$D$1:$D$839,MATCH(I308,'Both teabags AfterDry'!$A$1:$A$839,0)),"")="N.A","",(IFERROR(INDEX('Both teabags AfterDry'!$D$1:$D$839,MATCH(I308,'Both teabags AfterDry'!$A$1:$A$839,0)),"")))</f>
        <v>1.9094</v>
      </c>
      <c r="Q308" s="195">
        <f t="shared" si="32"/>
        <v>1.2103999999999999</v>
      </c>
      <c r="R308" s="195">
        <f t="shared" si="32"/>
        <v>1.7587999999999999</v>
      </c>
      <c r="S308" s="195">
        <f t="shared" si="27"/>
        <v>0.32083941196274268</v>
      </c>
      <c r="T308" s="195">
        <f t="shared" si="33"/>
        <v>0.21033652660740379</v>
      </c>
      <c r="U308" s="195">
        <f t="shared" si="28"/>
        <v>0.92851863583570893</v>
      </c>
      <c r="V308">
        <f t="shared" si="29"/>
        <v>69</v>
      </c>
      <c r="W308" s="195">
        <f t="shared" si="34"/>
        <v>0.61895556774021054</v>
      </c>
      <c r="X308" s="195">
        <f t="shared" si="35"/>
        <v>6.018512502377343E-3</v>
      </c>
      <c r="Y308" s="255" t="str">
        <f>IF(ISNUMBER(SEARCH("C", 'Dry_Litterbag Placem_Collection'!V15)),"YES","NO")</f>
        <v>NO</v>
      </c>
      <c r="Z308" s="255" t="str">
        <f>IF(ISNUMBER(SEARCH("H", 'Dry_Litterbag Placem_Collection'!V15)),"YES","NO")</f>
        <v>NO</v>
      </c>
      <c r="AA308" s="255" t="str">
        <f>IF(ISNUMBER(SEARCH("R", 'Dry_Litterbag Placem_Collection'!V15)),"YES","NO")</f>
        <v>NO</v>
      </c>
      <c r="AB308" s="255" t="str">
        <f>IF(ISNUMBER(SEARCH("C", 'Dry_Litterbag Placem_Collection'!U15)),"YES","NO")</f>
        <v>NO</v>
      </c>
      <c r="AC308" s="255" t="str">
        <f>IF(ISNUMBER(SEARCH("H", 'Dry_Litterbag Placem_Collection'!U15)),"YES","NO")</f>
        <v>NO</v>
      </c>
      <c r="AD308" s="255" t="str">
        <f>IF(ISNUMBER(SEARCH("R", 'Dry_Litterbag Placem_Collection'!U15)),"YES","NO")</f>
        <v>NO</v>
      </c>
    </row>
    <row r="309" spans="2:30">
      <c r="B309" t="str">
        <f>'Final data_for_R_analysis_Dryse'!A455</f>
        <v>Dry</v>
      </c>
      <c r="C309" s="263">
        <f>'Final data_for_R_analysis_Dryse'!B455</f>
        <v>14</v>
      </c>
      <c r="D309" t="s">
        <v>3828</v>
      </c>
      <c r="E309" t="s">
        <v>25</v>
      </c>
      <c r="F309" s="387">
        <v>6</v>
      </c>
      <c r="G309" s="16">
        <f>'Dry_Litterbag Placem_Collection'!E16</f>
        <v>42938</v>
      </c>
      <c r="H309" s="92" t="str">
        <f>'Final data_for_R_analysis_Dryse'!J455</f>
        <v>G219</v>
      </c>
      <c r="I309" t="str">
        <f>'Final data_for_R_analysis_Dryse'!J675</f>
        <v>R652</v>
      </c>
      <c r="J309">
        <f>IFERROR(INDEX('Green_rooibos initial weight'!$C$5:$C$1749,MATCH(H309, 'Green_rooibos initial weight'!$A$5:$A$1749,0)),"")</f>
        <v>2.0110000000000001</v>
      </c>
      <c r="K309">
        <f>IFERROR(INDEX('Green_rooibos initial weight'!$C$5:$C$1749,MATCH(I309, 'Green_rooibos initial weight'!$A$5:$A$1749,0)),"")</f>
        <v>2.2090000000000001</v>
      </c>
      <c r="L309" s="195">
        <f t="shared" si="30"/>
        <v>1.7612000000000001</v>
      </c>
      <c r="M309" s="195">
        <f t="shared" si="31"/>
        <v>1.9592000000000001</v>
      </c>
      <c r="N309" s="16">
        <f>IF('Dry_Litterbag Placem_Collection'!G16="N.A","",'Dry_Litterbag Placem_Collection'!G16)</f>
        <v>43007</v>
      </c>
      <c r="O309" s="195">
        <f>IF(IFERROR(INDEX('Both teabags AfterDry'!$D$1:$D$839,MATCH(H309,'Both teabags AfterDry'!$A$1:$A$839,0)),"")="N.A","",(IFERROR(INDEX('Both teabags AfterDry'!$D$1:$D$839,MATCH(H309,'Both teabags AfterDry'!$A$1:$A$839,0)),"")))</f>
        <v>0.76939999999999997</v>
      </c>
      <c r="P309" s="195">
        <f>IF(IFERROR(INDEX('Both teabags AfterDry'!$D$1:$D$839,MATCH(I309,'Both teabags AfterDry'!$A$1:$A$839,0)),"")="N.A","",(IFERROR(INDEX('Both teabags AfterDry'!$D$1:$D$839,MATCH(I309,'Both teabags AfterDry'!$A$1:$A$839,0)),"")))</f>
        <v>1.9245000000000001</v>
      </c>
      <c r="Q309" s="195">
        <f t="shared" si="32"/>
        <v>0.61880000000000002</v>
      </c>
      <c r="R309" s="195">
        <f t="shared" si="32"/>
        <v>1.7739</v>
      </c>
      <c r="S309" s="195">
        <f t="shared" si="27"/>
        <v>0.64864864864864868</v>
      </c>
      <c r="T309" s="195">
        <f t="shared" si="33"/>
        <v>0.42524234448224957</v>
      </c>
      <c r="U309" s="195">
        <f t="shared" si="28"/>
        <v>0.90542057982850144</v>
      </c>
      <c r="V309">
        <f t="shared" si="29"/>
        <v>69</v>
      </c>
      <c r="W309" s="195">
        <f t="shared" si="34"/>
        <v>0.22963343390896829</v>
      </c>
      <c r="X309" s="195">
        <f t="shared" si="35"/>
        <v>3.6457931561815174E-3</v>
      </c>
      <c r="Y309" s="255" t="str">
        <f>IF(ISNUMBER(SEARCH("C", 'Dry_Litterbag Placem_Collection'!V16)),"YES","NO")</f>
        <v>NO</v>
      </c>
      <c r="Z309" s="255" t="str">
        <f>IF(ISNUMBER(SEARCH("H", 'Dry_Litterbag Placem_Collection'!V16)),"YES","NO")</f>
        <v>NO</v>
      </c>
      <c r="AA309" s="255" t="str">
        <f>IF(ISNUMBER(SEARCH("R", 'Dry_Litterbag Placem_Collection'!V16)),"YES","NO")</f>
        <v>NO</v>
      </c>
      <c r="AB309" s="255" t="str">
        <f>IF(ISNUMBER(SEARCH("C", 'Dry_Litterbag Placem_Collection'!U16)),"YES","NO")</f>
        <v>NO</v>
      </c>
      <c r="AC309" s="255" t="str">
        <f>IF(ISNUMBER(SEARCH("H", 'Dry_Litterbag Placem_Collection'!U16)),"YES","NO")</f>
        <v>NO</v>
      </c>
      <c r="AD309" s="255" t="str">
        <f>IF(ISNUMBER(SEARCH("R", 'Dry_Litterbag Placem_Collection'!U16)),"YES","NO")</f>
        <v>YES</v>
      </c>
    </row>
    <row r="310" spans="2:30">
      <c r="B310" t="str">
        <f>'Final data_for_R_analysis_Dryse'!A456</f>
        <v>Dry</v>
      </c>
      <c r="C310" s="263">
        <f>'Final data_for_R_analysis_Dryse'!B456</f>
        <v>15</v>
      </c>
      <c r="D310" t="s">
        <v>3828</v>
      </c>
      <c r="E310" t="s">
        <v>25</v>
      </c>
      <c r="F310" s="387">
        <v>7</v>
      </c>
      <c r="G310" s="16">
        <f>'Dry_Litterbag Placem_Collection'!E17</f>
        <v>42938</v>
      </c>
      <c r="H310" s="92" t="str">
        <f>'Final data_for_R_analysis_Dryse'!J456</f>
        <v>G630</v>
      </c>
      <c r="I310" t="str">
        <f>'Final data_for_R_analysis_Dryse'!J676</f>
        <v>R304</v>
      </c>
      <c r="J310">
        <f>IFERROR(INDEX('Green_rooibos initial weight'!$C$5:$C$1749,MATCH(H310, 'Green_rooibos initial weight'!$A$5:$A$1749,0)),"")</f>
        <v>2.12</v>
      </c>
      <c r="K310">
        <f>IFERROR(INDEX('Green_rooibos initial weight'!$C$5:$C$1749,MATCH(I310, 'Green_rooibos initial weight'!$A$5:$A$1749,0)),"")</f>
        <v>2.1930000000000001</v>
      </c>
      <c r="L310" s="195">
        <f t="shared" si="30"/>
        <v>1.8702000000000001</v>
      </c>
      <c r="M310" s="195">
        <f t="shared" si="31"/>
        <v>1.9432</v>
      </c>
      <c r="N310" s="16">
        <f>IF('Dry_Litterbag Placem_Collection'!G17="N.A","",'Dry_Litterbag Placem_Collection'!G17)</f>
        <v>43007</v>
      </c>
      <c r="O310" s="195">
        <f>IF(IFERROR(INDEX('Both teabags AfterDry'!$D$1:$D$839,MATCH(H310,'Both teabags AfterDry'!$A$1:$A$839,0)),"")="N.A","",(IFERROR(INDEX('Both teabags AfterDry'!$D$1:$D$839,MATCH(H310,'Both teabags AfterDry'!$A$1:$A$839,0)),"")))</f>
        <v>1.8631</v>
      </c>
      <c r="P310" s="195">
        <f>IF(IFERROR(INDEX('Both teabags AfterDry'!$D$1:$D$839,MATCH(I310,'Both teabags AfterDry'!$A$1:$A$839,0)),"")="N.A","",(IFERROR(INDEX('Both teabags AfterDry'!$D$1:$D$839,MATCH(I310,'Both teabags AfterDry'!$A$1:$A$839,0)),"")))</f>
        <v>1.8989</v>
      </c>
      <c r="Q310" s="195">
        <f t="shared" si="32"/>
        <v>1.7124999999999999</v>
      </c>
      <c r="R310" s="195">
        <f t="shared" si="32"/>
        <v>1.7483</v>
      </c>
      <c r="S310" s="195">
        <f t="shared" si="27"/>
        <v>8.4322532349481394E-2</v>
      </c>
      <c r="T310" s="195">
        <f t="shared" si="33"/>
        <v>5.5280329996334629E-2</v>
      </c>
      <c r="U310" s="195">
        <f t="shared" si="28"/>
        <v>0.89970152326060104</v>
      </c>
      <c r="V310">
        <f t="shared" si="29"/>
        <v>69</v>
      </c>
      <c r="W310" s="195">
        <f t="shared" si="34"/>
        <v>0.89985447464432133</v>
      </c>
      <c r="X310" s="195" t="str">
        <f t="shared" si="35"/>
        <v/>
      </c>
      <c r="Y310" s="255" t="str">
        <f>IF(ISNUMBER(SEARCH("C", 'Dry_Litterbag Placem_Collection'!V17)),"YES","NO")</f>
        <v>NO</v>
      </c>
      <c r="Z310" s="255" t="str">
        <f>IF(ISNUMBER(SEARCH("H", 'Dry_Litterbag Placem_Collection'!V17)),"YES","NO")</f>
        <v>NO</v>
      </c>
      <c r="AA310" s="255" t="str">
        <f>IF(ISNUMBER(SEARCH("R", 'Dry_Litterbag Placem_Collection'!V17)),"YES","NO")</f>
        <v>NO</v>
      </c>
      <c r="AB310" s="255" t="str">
        <f>IF(ISNUMBER(SEARCH("C", 'Dry_Litterbag Placem_Collection'!U17)),"YES","NO")</f>
        <v>NO</v>
      </c>
      <c r="AC310" s="255" t="str">
        <f>IF(ISNUMBER(SEARCH("H", 'Dry_Litterbag Placem_Collection'!U17)),"YES","NO")</f>
        <v>NO</v>
      </c>
      <c r="AD310" s="255" t="str">
        <f>IF(ISNUMBER(SEARCH("R", 'Dry_Litterbag Placem_Collection'!U17)),"YES","NO")</f>
        <v>NO</v>
      </c>
    </row>
    <row r="311" spans="2:30">
      <c r="B311" t="str">
        <f>'Final data_for_R_analysis_Dryse'!A457</f>
        <v>Dry</v>
      </c>
      <c r="C311" s="263">
        <f>'Final data_for_R_analysis_Dryse'!B457</f>
        <v>16</v>
      </c>
      <c r="D311" t="s">
        <v>3828</v>
      </c>
      <c r="E311" t="s">
        <v>25</v>
      </c>
      <c r="F311" s="387">
        <v>8</v>
      </c>
      <c r="G311" s="16">
        <f>'Dry_Litterbag Placem_Collection'!E18</f>
        <v>42938</v>
      </c>
      <c r="H311" s="92" t="str">
        <f>'Final data_for_R_analysis_Dryse'!J457</f>
        <v>G662</v>
      </c>
      <c r="I311" t="str">
        <f>'Final data_for_R_analysis_Dryse'!J677</f>
        <v>R687</v>
      </c>
      <c r="J311">
        <f>IFERROR(INDEX('Green_rooibos initial weight'!$C$5:$C$1749,MATCH(H311, 'Green_rooibos initial weight'!$A$5:$A$1749,0)),"")</f>
        <v>2.1349999999999998</v>
      </c>
      <c r="K311">
        <f>IFERROR(INDEX('Green_rooibos initial weight'!$C$5:$C$1749,MATCH(I311, 'Green_rooibos initial weight'!$A$5:$A$1749,0)),"")</f>
        <v>2.2029999999999998</v>
      </c>
      <c r="L311" s="195">
        <f t="shared" si="30"/>
        <v>1.8851999999999998</v>
      </c>
      <c r="M311" s="195">
        <f t="shared" si="31"/>
        <v>1.9531999999999998</v>
      </c>
      <c r="N311" s="16">
        <f>IF('Dry_Litterbag Placem_Collection'!G18="N.A","",'Dry_Litterbag Placem_Collection'!G18)</f>
        <v>43007</v>
      </c>
      <c r="O311" s="195" t="str">
        <f>IF(IFERROR(INDEX('Both teabags AfterDry'!$D$1:$D$839,MATCH(H311,'Both teabags AfterDry'!$A$1:$A$839,0)),"")="N.A","",(IFERROR(INDEX('Both teabags AfterDry'!$D$1:$D$839,MATCH(H311,'Both teabags AfterDry'!$A$1:$A$839,0)),"")))</f>
        <v/>
      </c>
      <c r="P311" s="195" t="str">
        <f>IF(IFERROR(INDEX('Both teabags AfterDry'!$D$1:$D$839,MATCH(I311,'Both teabags AfterDry'!$A$1:$A$839,0)),"")="N.A","",(IFERROR(INDEX('Both teabags AfterDry'!$D$1:$D$839,MATCH(I311,'Both teabags AfterDry'!$A$1:$A$839,0)),"")))</f>
        <v/>
      </c>
      <c r="Q311" s="195" t="str">
        <f t="shared" si="32"/>
        <v/>
      </c>
      <c r="R311" s="195" t="str">
        <f t="shared" si="32"/>
        <v/>
      </c>
      <c r="S311" s="195" t="str">
        <f t="shared" si="27"/>
        <v/>
      </c>
      <c r="T311" s="195" t="str">
        <f t="shared" si="33"/>
        <v/>
      </c>
      <c r="U311" s="195" t="str">
        <f t="shared" si="28"/>
        <v/>
      </c>
      <c r="V311">
        <f t="shared" si="29"/>
        <v>69</v>
      </c>
      <c r="W311" s="195" t="str">
        <f t="shared" si="34"/>
        <v/>
      </c>
      <c r="X311" s="195" t="str">
        <f t="shared" si="35"/>
        <v/>
      </c>
      <c r="Y311" s="255" t="str">
        <f>IF(ISNUMBER(SEARCH("C", 'Dry_Litterbag Placem_Collection'!V18)),"YES","NO")</f>
        <v>NO</v>
      </c>
      <c r="Z311" s="255" t="str">
        <f>IF(ISNUMBER(SEARCH("H", 'Dry_Litterbag Placem_Collection'!V18)),"YES","NO")</f>
        <v>NO</v>
      </c>
      <c r="AA311" s="255" t="str">
        <f>IF(ISNUMBER(SEARCH("R", 'Dry_Litterbag Placem_Collection'!V18)),"YES","NO")</f>
        <v>NO</v>
      </c>
      <c r="AB311" s="255" t="str">
        <f>IF(ISNUMBER(SEARCH("C", 'Dry_Litterbag Placem_Collection'!U18)),"YES","NO")</f>
        <v>NO</v>
      </c>
      <c r="AC311" s="255" t="str">
        <f>IF(ISNUMBER(SEARCH("H", 'Dry_Litterbag Placem_Collection'!U18)),"YES","NO")</f>
        <v>NO</v>
      </c>
      <c r="AD311" s="255" t="str">
        <f>IF(ISNUMBER(SEARCH("R", 'Dry_Litterbag Placem_Collection'!U18)),"YES","NO")</f>
        <v>YES</v>
      </c>
    </row>
    <row r="312" spans="2:30">
      <c r="B312" t="str">
        <f>'Final data_for_R_analysis_Dryse'!A458</f>
        <v>Dry</v>
      </c>
      <c r="C312" s="263">
        <f>'Final data_for_R_analysis_Dryse'!B458</f>
        <v>17</v>
      </c>
      <c r="D312" t="s">
        <v>3829</v>
      </c>
      <c r="E312" t="s">
        <v>25</v>
      </c>
      <c r="F312" s="386">
        <v>1</v>
      </c>
      <c r="G312" s="16">
        <f>'Dry_Litterbag Placem_Collection'!E19</f>
        <v>42936</v>
      </c>
      <c r="H312" s="92" t="str">
        <f>'Final data_for_R_analysis_Dryse'!J458</f>
        <v>G349</v>
      </c>
      <c r="I312" t="str">
        <f>'Final data_for_R_analysis_Dryse'!J678</f>
        <v>R407</v>
      </c>
      <c r="J312">
        <f>IFERROR(INDEX('Green_rooibos initial weight'!$C$5:$C$1749,MATCH(H312, 'Green_rooibos initial weight'!$A$5:$A$1749,0)),"")</f>
        <v>1.9450000000000001</v>
      </c>
      <c r="K312">
        <f>IFERROR(INDEX('Green_rooibos initial weight'!$C$5:$C$1749,MATCH(I312, 'Green_rooibos initial weight'!$A$5:$A$1749,0)),"")</f>
        <v>2.1859999999999999</v>
      </c>
      <c r="L312" s="195">
        <f t="shared" si="30"/>
        <v>1.6952</v>
      </c>
      <c r="M312" s="195">
        <f t="shared" si="31"/>
        <v>1.9361999999999999</v>
      </c>
      <c r="N312" s="16">
        <f>IF('Dry_Litterbag Placem_Collection'!G19="N.A","",'Dry_Litterbag Placem_Collection'!G19)</f>
        <v>43007</v>
      </c>
      <c r="O312" s="195">
        <f>IF(IFERROR(INDEX('Both teabags AfterDry'!$D$1:$D$839,MATCH(H312,'Both teabags AfterDry'!$A$1:$A$839,0)),"")="N.A","",(IFERROR(INDEX('Both teabags AfterDry'!$D$1:$D$839,MATCH(H312,'Both teabags AfterDry'!$A$1:$A$839,0)),"")))</f>
        <v>1.7968</v>
      </c>
      <c r="P312" s="195">
        <f>IF(IFERROR(INDEX('Both teabags AfterDry'!$D$1:$D$839,MATCH(I312,'Both teabags AfterDry'!$A$1:$A$839,0)),"")="N.A","",(IFERROR(INDEX('Both teabags AfterDry'!$D$1:$D$839,MATCH(I312,'Both teabags AfterDry'!$A$1:$A$839,0)),"")))</f>
        <v>2.0062000000000002</v>
      </c>
      <c r="Q312" s="195">
        <f t="shared" si="32"/>
        <v>1.6461999999999999</v>
      </c>
      <c r="R312" s="195">
        <f t="shared" si="32"/>
        <v>1.8556000000000001</v>
      </c>
      <c r="S312" s="195">
        <f t="shared" si="27"/>
        <v>2.8905143935818889E-2</v>
      </c>
      <c r="T312" s="195">
        <f t="shared" si="33"/>
        <v>1.8949690561249458E-2</v>
      </c>
      <c r="U312" s="195">
        <f t="shared" si="28"/>
        <v>0.95837206900113636</v>
      </c>
      <c r="V312">
        <f t="shared" si="29"/>
        <v>71</v>
      </c>
      <c r="W312" s="195">
        <f t="shared" si="34"/>
        <v>0.9656708504325191</v>
      </c>
      <c r="X312" s="195" t="str">
        <f t="shared" si="35"/>
        <v/>
      </c>
      <c r="Y312" s="255" t="str">
        <f>IF(ISNUMBER(SEARCH("C", 'Dry_Litterbag Placem_Collection'!V19)),"YES","NO")</f>
        <v>NO</v>
      </c>
      <c r="Z312" s="255" t="str">
        <f>IF(ISNUMBER(SEARCH("H", 'Dry_Litterbag Placem_Collection'!V19)),"YES","NO")</f>
        <v>NO</v>
      </c>
      <c r="AA312" s="255" t="str">
        <f>IF(ISNUMBER(SEARCH("R", 'Dry_Litterbag Placem_Collection'!V19)),"YES","NO")</f>
        <v>NO</v>
      </c>
      <c r="AB312" s="255" t="str">
        <f>IF(ISNUMBER(SEARCH("C", 'Dry_Litterbag Placem_Collection'!U19)),"YES","NO")</f>
        <v>NO</v>
      </c>
      <c r="AC312" s="255" t="str">
        <f>IF(ISNUMBER(SEARCH("H", 'Dry_Litterbag Placem_Collection'!U19)),"YES","NO")</f>
        <v>NO</v>
      </c>
      <c r="AD312" s="255" t="str">
        <f>IF(ISNUMBER(SEARCH("R", 'Dry_Litterbag Placem_Collection'!U19)),"YES","NO")</f>
        <v>NO</v>
      </c>
    </row>
    <row r="313" spans="2:30">
      <c r="B313" t="str">
        <f>'Final data_for_R_analysis_Dryse'!A459</f>
        <v>Dry</v>
      </c>
      <c r="C313" s="263">
        <f>'Final data_for_R_analysis_Dryse'!B459</f>
        <v>18</v>
      </c>
      <c r="D313" t="s">
        <v>3829</v>
      </c>
      <c r="E313" t="s">
        <v>25</v>
      </c>
      <c r="F313" s="386">
        <v>2</v>
      </c>
      <c r="G313" s="16">
        <f>'Dry_Litterbag Placem_Collection'!E20</f>
        <v>42936</v>
      </c>
      <c r="H313" s="92" t="str">
        <f>'Final data_for_R_analysis_Dryse'!J459</f>
        <v>G113</v>
      </c>
      <c r="I313" t="str">
        <f>'Final data_for_R_analysis_Dryse'!J679</f>
        <v>R361</v>
      </c>
      <c r="J313">
        <f>IFERROR(INDEX('Green_rooibos initial weight'!$C$5:$C$1749,MATCH(H313, 'Green_rooibos initial weight'!$A$5:$A$1749,0)),"")</f>
        <v>2.0539999999999998</v>
      </c>
      <c r="K313">
        <f>IFERROR(INDEX('Green_rooibos initial weight'!$C$5:$C$1749,MATCH(I313, 'Green_rooibos initial weight'!$A$5:$A$1749,0)),"")</f>
        <v>2.2210000000000001</v>
      </c>
      <c r="L313" s="195">
        <f t="shared" si="30"/>
        <v>1.8041999999999998</v>
      </c>
      <c r="M313" s="195">
        <f t="shared" si="31"/>
        <v>1.9712000000000001</v>
      </c>
      <c r="N313" s="16">
        <f>IF('Dry_Litterbag Placem_Collection'!G20="N.A","",'Dry_Litterbag Placem_Collection'!G20)</f>
        <v>43007</v>
      </c>
      <c r="O313" s="195">
        <f>IF(IFERROR(INDEX('Both teabags AfterDry'!$D$1:$D$839,MATCH(H313,'Both teabags AfterDry'!$A$1:$A$839,0)),"")="N.A","",(IFERROR(INDEX('Both teabags AfterDry'!$D$1:$D$839,MATCH(H313,'Both teabags AfterDry'!$A$1:$A$839,0)),"")))</f>
        <v>1.8204</v>
      </c>
      <c r="P313" s="195">
        <f>IF(IFERROR(INDEX('Both teabags AfterDry'!$D$1:$D$839,MATCH(I313,'Both teabags AfterDry'!$A$1:$A$839,0)),"")="N.A","",(IFERROR(INDEX('Both teabags AfterDry'!$D$1:$D$839,MATCH(I313,'Both teabags AfterDry'!$A$1:$A$839,0)),"")))</f>
        <v>2.0156999999999998</v>
      </c>
      <c r="Q313" s="195">
        <f t="shared" si="32"/>
        <v>1.6698</v>
      </c>
      <c r="R313" s="195">
        <f t="shared" si="32"/>
        <v>1.8650999999999998</v>
      </c>
      <c r="S313" s="195">
        <f t="shared" si="27"/>
        <v>7.4492850016627754E-2</v>
      </c>
      <c r="T313" s="195">
        <f t="shared" si="33"/>
        <v>4.8836167706862853E-2</v>
      </c>
      <c r="U313" s="195">
        <f t="shared" si="28"/>
        <v>0.94617491883116867</v>
      </c>
      <c r="V313">
        <f t="shared" si="29"/>
        <v>71</v>
      </c>
      <c r="W313" s="195">
        <f t="shared" si="34"/>
        <v>0.91152868169046586</v>
      </c>
      <c r="X313" s="195" t="str">
        <f t="shared" si="35"/>
        <v/>
      </c>
      <c r="Y313" s="255" t="str">
        <f>IF(ISNUMBER(SEARCH("C", 'Dry_Litterbag Placem_Collection'!V20)),"YES","NO")</f>
        <v>NO</v>
      </c>
      <c r="Z313" s="255" t="str">
        <f>IF(ISNUMBER(SEARCH("H", 'Dry_Litterbag Placem_Collection'!V20)),"YES","NO")</f>
        <v>NO</v>
      </c>
      <c r="AA313" s="255" t="str">
        <f>IF(ISNUMBER(SEARCH("R", 'Dry_Litterbag Placem_Collection'!V20)),"YES","NO")</f>
        <v>NO</v>
      </c>
      <c r="AB313" s="255" t="str">
        <f>IF(ISNUMBER(SEARCH("C", 'Dry_Litterbag Placem_Collection'!U20)),"YES","NO")</f>
        <v>NO</v>
      </c>
      <c r="AC313" s="255" t="str">
        <f>IF(ISNUMBER(SEARCH("H", 'Dry_Litterbag Placem_Collection'!U20)),"YES","NO")</f>
        <v>NO</v>
      </c>
      <c r="AD313" s="255" t="str">
        <f>IF(ISNUMBER(SEARCH("R", 'Dry_Litterbag Placem_Collection'!U20)),"YES","NO")</f>
        <v>NO</v>
      </c>
    </row>
    <row r="314" spans="2:30">
      <c r="B314" t="str">
        <f>'Final data_for_R_analysis_Dryse'!A460</f>
        <v>Dry</v>
      </c>
      <c r="C314" s="263">
        <f>'Final data_for_R_analysis_Dryse'!B460</f>
        <v>19</v>
      </c>
      <c r="D314" t="s">
        <v>3829</v>
      </c>
      <c r="E314" t="s">
        <v>25</v>
      </c>
      <c r="F314" s="386">
        <v>3</v>
      </c>
      <c r="G314" s="16">
        <f>'Dry_Litterbag Placem_Collection'!E21</f>
        <v>42936</v>
      </c>
      <c r="H314" s="92" t="str">
        <f>'Final data_for_R_analysis_Dryse'!J460</f>
        <v>G394</v>
      </c>
      <c r="I314" t="str">
        <f>'Final data_for_R_analysis_Dryse'!J680</f>
        <v>R280</v>
      </c>
      <c r="J314">
        <f>IFERROR(INDEX('Green_rooibos initial weight'!$C$5:$C$1749,MATCH(H314, 'Green_rooibos initial weight'!$A$5:$A$1749,0)),"")</f>
        <v>2.056</v>
      </c>
      <c r="K314">
        <f>IFERROR(INDEX('Green_rooibos initial weight'!$C$5:$C$1749,MATCH(I314, 'Green_rooibos initial weight'!$A$5:$A$1749,0)),"")</f>
        <v>2.11</v>
      </c>
      <c r="L314" s="195">
        <f t="shared" si="30"/>
        <v>1.8062</v>
      </c>
      <c r="M314" s="195">
        <f t="shared" si="31"/>
        <v>1.8601999999999999</v>
      </c>
      <c r="N314" s="16">
        <f>IF('Dry_Litterbag Placem_Collection'!G21="N.A","",'Dry_Litterbag Placem_Collection'!G21)</f>
        <v>43007</v>
      </c>
      <c r="O314" s="195">
        <f>IF(IFERROR(INDEX('Both teabags AfterDry'!$D$1:$D$839,MATCH(H314,'Both teabags AfterDry'!$A$1:$A$839,0)),"")="N.A","",(IFERROR(INDEX('Both teabags AfterDry'!$D$1:$D$839,MATCH(H314,'Both teabags AfterDry'!$A$1:$A$839,0)),"")))</f>
        <v>1.8532999999999999</v>
      </c>
      <c r="P314" s="195">
        <f>IF(IFERROR(INDEX('Both teabags AfterDry'!$D$1:$D$839,MATCH(I314,'Both teabags AfterDry'!$A$1:$A$839,0)),"")="N.A","",(IFERROR(INDEX('Both teabags AfterDry'!$D$1:$D$839,MATCH(I314,'Both teabags AfterDry'!$A$1:$A$839,0)),"")))</f>
        <v>1.9007000000000001</v>
      </c>
      <c r="Q314" s="195">
        <f t="shared" si="32"/>
        <v>1.7026999999999999</v>
      </c>
      <c r="R314" s="195">
        <f t="shared" si="32"/>
        <v>1.7501</v>
      </c>
      <c r="S314" s="195">
        <f t="shared" si="27"/>
        <v>5.7302624294098159E-2</v>
      </c>
      <c r="T314" s="195">
        <f t="shared" si="33"/>
        <v>3.7566566045537014E-2</v>
      </c>
      <c r="U314" s="195">
        <f t="shared" si="28"/>
        <v>0.94081281582625531</v>
      </c>
      <c r="V314">
        <f t="shared" si="29"/>
        <v>71</v>
      </c>
      <c r="W314" s="195">
        <f t="shared" si="34"/>
        <v>0.93194462672909961</v>
      </c>
      <c r="X314" s="195" t="str">
        <f t="shared" si="35"/>
        <v/>
      </c>
      <c r="Y314" s="255" t="str">
        <f>IF(ISNUMBER(SEARCH("C", 'Dry_Litterbag Placem_Collection'!V21)),"YES","NO")</f>
        <v>NO</v>
      </c>
      <c r="Z314" s="255" t="str">
        <f>IF(ISNUMBER(SEARCH("H", 'Dry_Litterbag Placem_Collection'!V21)),"YES","NO")</f>
        <v>NO</v>
      </c>
      <c r="AA314" s="255" t="str">
        <f>IF(ISNUMBER(SEARCH("R", 'Dry_Litterbag Placem_Collection'!V21)),"YES","NO")</f>
        <v>NO</v>
      </c>
      <c r="AB314" s="255" t="str">
        <f>IF(ISNUMBER(SEARCH("C", 'Dry_Litterbag Placem_Collection'!U21)),"YES","NO")</f>
        <v>NO</v>
      </c>
      <c r="AC314" s="255" t="str">
        <f>IF(ISNUMBER(SEARCH("H", 'Dry_Litterbag Placem_Collection'!U21)),"YES","NO")</f>
        <v>NO</v>
      </c>
      <c r="AD314" s="255" t="str">
        <f>IF(ISNUMBER(SEARCH("R", 'Dry_Litterbag Placem_Collection'!U21)),"YES","NO")</f>
        <v>NO</v>
      </c>
    </row>
    <row r="315" spans="2:30">
      <c r="B315" t="str">
        <f>'Final data_for_R_analysis_Dryse'!A461</f>
        <v>Dry</v>
      </c>
      <c r="C315" s="263">
        <f>'Final data_for_R_analysis_Dryse'!B461</f>
        <v>20</v>
      </c>
      <c r="D315" t="s">
        <v>3829</v>
      </c>
      <c r="E315" t="s">
        <v>25</v>
      </c>
      <c r="F315" s="387">
        <v>4</v>
      </c>
      <c r="G315" s="16">
        <f>'Dry_Litterbag Placem_Collection'!E22</f>
        <v>42936</v>
      </c>
      <c r="H315" s="92" t="str">
        <f>'Final data_for_R_analysis_Dryse'!J461</f>
        <v>G79</v>
      </c>
      <c r="I315" t="str">
        <f>'Final data_for_R_analysis_Dryse'!J681</f>
        <v>R320</v>
      </c>
      <c r="J315">
        <f>IFERROR(INDEX('Green_rooibos initial weight'!$C$5:$C$1749,MATCH(H315, 'Green_rooibos initial weight'!$A$5:$A$1749,0)),"")</f>
        <v>2.1120000000000001</v>
      </c>
      <c r="K315">
        <f>IFERROR(INDEX('Green_rooibos initial weight'!$C$5:$C$1749,MATCH(I315, 'Green_rooibos initial weight'!$A$5:$A$1749,0)),"")</f>
        <v>2.1459999999999999</v>
      </c>
      <c r="L315" s="195">
        <f t="shared" si="30"/>
        <v>1.8622000000000001</v>
      </c>
      <c r="M315" s="195">
        <f t="shared" si="31"/>
        <v>1.8961999999999999</v>
      </c>
      <c r="N315" s="16">
        <f>IF('Dry_Litterbag Placem_Collection'!G22="N.A","",'Dry_Litterbag Placem_Collection'!G22)</f>
        <v>43007</v>
      </c>
      <c r="O315" s="195">
        <f>IF(IFERROR(INDEX('Both teabags AfterDry'!$D$1:$D$839,MATCH(H315,'Both teabags AfterDry'!$A$1:$A$839,0)),"")="N.A","",(IFERROR(INDEX('Both teabags AfterDry'!$D$1:$D$839,MATCH(H315,'Both teabags AfterDry'!$A$1:$A$839,0)),"")))</f>
        <v>1.8559000000000001</v>
      </c>
      <c r="P315" s="195">
        <f>IF(IFERROR(INDEX('Both teabags AfterDry'!$D$1:$D$839,MATCH(I315,'Both teabags AfterDry'!$A$1:$A$839,0)),"")="N.A","",(IFERROR(INDEX('Both teabags AfterDry'!$D$1:$D$839,MATCH(I315,'Both teabags AfterDry'!$A$1:$A$839,0)),"")))</f>
        <v>1.9332</v>
      </c>
      <c r="Q315" s="195">
        <f t="shared" si="32"/>
        <v>1.7053</v>
      </c>
      <c r="R315" s="195">
        <f t="shared" si="32"/>
        <v>1.7826</v>
      </c>
      <c r="S315" s="195">
        <f t="shared" si="27"/>
        <v>8.425518204274518E-2</v>
      </c>
      <c r="T315" s="195">
        <f t="shared" si="33"/>
        <v>5.5236176351063329E-2</v>
      </c>
      <c r="U315" s="195">
        <f t="shared" si="28"/>
        <v>0.94009070773125203</v>
      </c>
      <c r="V315">
        <f t="shared" si="29"/>
        <v>71</v>
      </c>
      <c r="W315" s="195">
        <f t="shared" si="34"/>
        <v>0.89993446313213166</v>
      </c>
      <c r="X315" s="195" t="str">
        <f t="shared" si="35"/>
        <v/>
      </c>
      <c r="Y315" s="255" t="str">
        <f>IF(ISNUMBER(SEARCH("C", 'Dry_Litterbag Placem_Collection'!V22)),"YES","NO")</f>
        <v>NO</v>
      </c>
      <c r="Z315" s="255" t="str">
        <f>IF(ISNUMBER(SEARCH("H", 'Dry_Litterbag Placem_Collection'!V22)),"YES","NO")</f>
        <v>NO</v>
      </c>
      <c r="AA315" s="255" t="str">
        <f>IF(ISNUMBER(SEARCH("R", 'Dry_Litterbag Placem_Collection'!V22)),"YES","NO")</f>
        <v>NO</v>
      </c>
      <c r="AB315" s="255" t="str">
        <f>IF(ISNUMBER(SEARCH("C", 'Dry_Litterbag Placem_Collection'!U22)),"YES","NO")</f>
        <v>NO</v>
      </c>
      <c r="AC315" s="255" t="str">
        <f>IF(ISNUMBER(SEARCH("H", 'Dry_Litterbag Placem_Collection'!U22)),"YES","NO")</f>
        <v>NO</v>
      </c>
      <c r="AD315" s="255" t="str">
        <f>IF(ISNUMBER(SEARCH("R", 'Dry_Litterbag Placem_Collection'!U22)),"YES","NO")</f>
        <v>NO</v>
      </c>
    </row>
    <row r="316" spans="2:30">
      <c r="B316" t="str">
        <f>'Final data_for_R_analysis_Dryse'!A462</f>
        <v>Dry</v>
      </c>
      <c r="C316" s="263">
        <f>'Final data_for_R_analysis_Dryse'!B462</f>
        <v>21</v>
      </c>
      <c r="D316" t="s">
        <v>3829</v>
      </c>
      <c r="E316" t="s">
        <v>25</v>
      </c>
      <c r="F316" s="387">
        <v>5</v>
      </c>
      <c r="G316" s="16">
        <f>'Dry_Litterbag Placem_Collection'!E23</f>
        <v>42936</v>
      </c>
      <c r="H316" s="92" t="str">
        <f>'Final data_for_R_analysis_Dryse'!J462</f>
        <v>G488</v>
      </c>
      <c r="I316" t="str">
        <f>'Final data_for_R_analysis_Dryse'!J682</f>
        <v>R209</v>
      </c>
      <c r="J316">
        <f>IFERROR(INDEX('Green_rooibos initial weight'!$C$5:$C$1749,MATCH(H316, 'Green_rooibos initial weight'!$A$5:$A$1749,0)),"")</f>
        <v>1.9910000000000001</v>
      </c>
      <c r="K316">
        <f>IFERROR(INDEX('Green_rooibos initial weight'!$C$5:$C$1749,MATCH(I316, 'Green_rooibos initial weight'!$A$5:$A$1749,0)),"")</f>
        <v>2.2069999999999999</v>
      </c>
      <c r="L316" s="195">
        <f t="shared" si="30"/>
        <v>1.7412000000000001</v>
      </c>
      <c r="M316" s="195">
        <f t="shared" si="31"/>
        <v>1.9571999999999998</v>
      </c>
      <c r="N316" s="16">
        <f>IF('Dry_Litterbag Placem_Collection'!G23="N.A","",'Dry_Litterbag Placem_Collection'!G23)</f>
        <v>43007</v>
      </c>
      <c r="O316" s="195" t="str">
        <f>IF(IFERROR(INDEX('Both teabags AfterDry'!$D$1:$D$839,MATCH(H316,'Both teabags AfterDry'!$A$1:$A$839,0)),"")="N.A","",(IFERROR(INDEX('Both teabags AfterDry'!$D$1:$D$839,MATCH(H316,'Both teabags AfterDry'!$A$1:$A$839,0)),"")))</f>
        <v/>
      </c>
      <c r="P316" s="195" t="str">
        <f>IF(IFERROR(INDEX('Both teabags AfterDry'!$D$1:$D$839,MATCH(I316,'Both teabags AfterDry'!$A$1:$A$839,0)),"")="N.A","",(IFERROR(INDEX('Both teabags AfterDry'!$D$1:$D$839,MATCH(I316,'Both teabags AfterDry'!$A$1:$A$839,0)),"")))</f>
        <v/>
      </c>
      <c r="Q316" s="195" t="str">
        <f t="shared" si="32"/>
        <v/>
      </c>
      <c r="R316" s="195" t="str">
        <f t="shared" si="32"/>
        <v/>
      </c>
      <c r="S316" s="195" t="str">
        <f t="shared" si="27"/>
        <v/>
      </c>
      <c r="T316" s="195" t="str">
        <f t="shared" si="33"/>
        <v/>
      </c>
      <c r="U316" s="195" t="str">
        <f t="shared" si="28"/>
        <v/>
      </c>
      <c r="V316">
        <f t="shared" si="29"/>
        <v>71</v>
      </c>
      <c r="W316" s="195" t="str">
        <f t="shared" si="34"/>
        <v/>
      </c>
      <c r="X316" s="195" t="str">
        <f t="shared" si="35"/>
        <v/>
      </c>
      <c r="Y316" s="255" t="str">
        <f>IF(ISNUMBER(SEARCH("C", 'Dry_Litterbag Placem_Collection'!V23)),"YES","NO")</f>
        <v>NO</v>
      </c>
      <c r="Z316" s="255" t="str">
        <f>IF(ISNUMBER(SEARCH("H", 'Dry_Litterbag Placem_Collection'!V23)),"YES","NO")</f>
        <v>NO</v>
      </c>
      <c r="AA316" s="255" t="str">
        <f>IF(ISNUMBER(SEARCH("R", 'Dry_Litterbag Placem_Collection'!V23)),"YES","NO")</f>
        <v>NO</v>
      </c>
      <c r="AB316" s="255" t="str">
        <f>IF(ISNUMBER(SEARCH("C", 'Dry_Litterbag Placem_Collection'!U23)),"YES","NO")</f>
        <v>NO</v>
      </c>
      <c r="AC316" s="255" t="str">
        <f>IF(ISNUMBER(SEARCH("H", 'Dry_Litterbag Placem_Collection'!U23)),"YES","NO")</f>
        <v>NO</v>
      </c>
      <c r="AD316" s="255" t="str">
        <f>IF(ISNUMBER(SEARCH("R", 'Dry_Litterbag Placem_Collection'!U23)),"YES","NO")</f>
        <v>NO</v>
      </c>
    </row>
    <row r="317" spans="2:30">
      <c r="B317" t="str">
        <f>'Final data_for_R_analysis_Dryse'!A463</f>
        <v>Dry</v>
      </c>
      <c r="C317" s="263">
        <f>'Final data_for_R_analysis_Dryse'!B463</f>
        <v>22</v>
      </c>
      <c r="D317" t="s">
        <v>3829</v>
      </c>
      <c r="E317" t="s">
        <v>25</v>
      </c>
      <c r="F317" s="387">
        <v>6</v>
      </c>
      <c r="G317" s="16">
        <f>'Dry_Litterbag Placem_Collection'!E24</f>
        <v>42936</v>
      </c>
      <c r="H317" s="92" t="str">
        <f>'Final data_for_R_analysis_Dryse'!J463</f>
        <v>G750</v>
      </c>
      <c r="I317" t="str">
        <f>'Final data_for_R_analysis_Dryse'!J683</f>
        <v>R646</v>
      </c>
      <c r="J317">
        <f>IFERROR(INDEX('Green_rooibos initial weight'!$C$5:$C$1749,MATCH(H317, 'Green_rooibos initial weight'!$A$5:$A$1749,0)),"")</f>
        <v>1.966</v>
      </c>
      <c r="K317">
        <f>IFERROR(INDEX('Green_rooibos initial weight'!$C$5:$C$1749,MATCH(I317, 'Green_rooibos initial weight'!$A$5:$A$1749,0)),"")</f>
        <v>2.1480000000000001</v>
      </c>
      <c r="L317" s="195">
        <f t="shared" si="30"/>
        <v>1.7161999999999999</v>
      </c>
      <c r="M317" s="195">
        <f t="shared" si="31"/>
        <v>1.8982000000000001</v>
      </c>
      <c r="N317" s="16">
        <f>IF('Dry_Litterbag Placem_Collection'!G24="N.A","",'Dry_Litterbag Placem_Collection'!G24)</f>
        <v>43007</v>
      </c>
      <c r="O317" s="195">
        <f>IF(IFERROR(INDEX('Both teabags AfterDry'!$D$1:$D$839,MATCH(H317,'Both teabags AfterDry'!$A$1:$A$839,0)),"")="N.A","",(IFERROR(INDEX('Both teabags AfterDry'!$D$1:$D$839,MATCH(H317,'Both teabags AfterDry'!$A$1:$A$839,0)),"")))</f>
        <v>1.3833</v>
      </c>
      <c r="P317" s="195">
        <f>IF(IFERROR(INDEX('Both teabags AfterDry'!$D$1:$D$839,MATCH(I317,'Both teabags AfterDry'!$A$1:$A$839,0)),"")="N.A","",(IFERROR(INDEX('Both teabags AfterDry'!$D$1:$D$839,MATCH(I317,'Both teabags AfterDry'!$A$1:$A$839,0)),"")))</f>
        <v>1.8704000000000001</v>
      </c>
      <c r="Q317" s="195">
        <f t="shared" si="32"/>
        <v>1.2326999999999999</v>
      </c>
      <c r="R317" s="195">
        <f t="shared" si="32"/>
        <v>1.7198</v>
      </c>
      <c r="S317" s="195">
        <f t="shared" si="27"/>
        <v>0.28172707143689546</v>
      </c>
      <c r="T317" s="195">
        <f t="shared" si="33"/>
        <v>0.18469518222466305</v>
      </c>
      <c r="U317" s="195">
        <f t="shared" si="28"/>
        <v>0.90601622589821929</v>
      </c>
      <c r="V317">
        <f t="shared" si="29"/>
        <v>71</v>
      </c>
      <c r="W317" s="195">
        <f t="shared" si="34"/>
        <v>0.66540727857850901</v>
      </c>
      <c r="X317" s="195">
        <f t="shared" si="35"/>
        <v>1.0014417953282104E-2</v>
      </c>
      <c r="Y317" s="255" t="str">
        <f>IF(ISNUMBER(SEARCH("C", 'Dry_Litterbag Placem_Collection'!V24)),"YES","NO")</f>
        <v>NO</v>
      </c>
      <c r="Z317" s="255" t="str">
        <f>IF(ISNUMBER(SEARCH("H", 'Dry_Litterbag Placem_Collection'!V24)),"YES","NO")</f>
        <v>NO</v>
      </c>
      <c r="AA317" s="255" t="str">
        <f>IF(ISNUMBER(SEARCH("R", 'Dry_Litterbag Placem_Collection'!V24)),"YES","NO")</f>
        <v>NO</v>
      </c>
      <c r="AB317" s="255" t="str">
        <f>IF(ISNUMBER(SEARCH("C", 'Dry_Litterbag Placem_Collection'!U24)),"YES","NO")</f>
        <v>NO</v>
      </c>
      <c r="AC317" s="255" t="str">
        <f>IF(ISNUMBER(SEARCH("H", 'Dry_Litterbag Placem_Collection'!U24)),"YES","NO")</f>
        <v>NO</v>
      </c>
      <c r="AD317" s="255" t="str">
        <f>IF(ISNUMBER(SEARCH("R", 'Dry_Litterbag Placem_Collection'!U24)),"YES","NO")</f>
        <v>NO</v>
      </c>
    </row>
    <row r="318" spans="2:30">
      <c r="B318" t="str">
        <f>'Final data_for_R_analysis_Dryse'!A464</f>
        <v>Dry</v>
      </c>
      <c r="C318" s="263">
        <f>'Final data_for_R_analysis_Dryse'!B464</f>
        <v>23</v>
      </c>
      <c r="D318" t="s">
        <v>3829</v>
      </c>
      <c r="E318" t="s">
        <v>25</v>
      </c>
      <c r="F318" s="387">
        <v>7</v>
      </c>
      <c r="G318" s="390">
        <f>'Dry_Litterbag Placem_Collection'!E25</f>
        <v>0</v>
      </c>
      <c r="H318" s="92" t="str">
        <f>'Final data_for_R_analysis_Dryse'!J464</f>
        <v/>
      </c>
      <c r="I318" t="str">
        <f>'Final data_for_R_analysis_Dryse'!J684</f>
        <v/>
      </c>
      <c r="J318" t="str">
        <f>IFERROR(INDEX('Green_rooibos initial weight'!$C$5:$C$1749,MATCH(H318, 'Green_rooibos initial weight'!$A$5:$A$1749,0)),"")</f>
        <v/>
      </c>
      <c r="K318" t="str">
        <f>IFERROR(INDEX('Green_rooibos initial weight'!$C$5:$C$1749,MATCH(I318, 'Green_rooibos initial weight'!$A$5:$A$1749,0)),"")</f>
        <v/>
      </c>
      <c r="L318" s="195" t="str">
        <f t="shared" si="30"/>
        <v/>
      </c>
      <c r="M318" s="195" t="str">
        <f t="shared" si="31"/>
        <v/>
      </c>
      <c r="N318" s="16">
        <f>IF('Dry_Litterbag Placem_Collection'!G25="N.A","",'Dry_Litterbag Placem_Collection'!G25)</f>
        <v>0</v>
      </c>
      <c r="O318" s="195" t="str">
        <f>IF(IFERROR(INDEX('Both teabags AfterDry'!$D$1:$D$839,MATCH(H318,'Both teabags AfterDry'!$A$1:$A$839,0)),"")="N.A","",(IFERROR(INDEX('Both teabags AfterDry'!$D$1:$D$839,MATCH(H318,'Both teabags AfterDry'!$A$1:$A$839,0)),"")))</f>
        <v/>
      </c>
      <c r="P318" s="195" t="str">
        <f>IF(IFERROR(INDEX('Both teabags AfterDry'!$D$1:$D$839,MATCH(I318,'Both teabags AfterDry'!$A$1:$A$839,0)),"")="N.A","",(IFERROR(INDEX('Both teabags AfterDry'!$D$1:$D$839,MATCH(I318,'Both teabags AfterDry'!$A$1:$A$839,0)),"")))</f>
        <v/>
      </c>
      <c r="Q318" s="195" t="str">
        <f t="shared" si="32"/>
        <v/>
      </c>
      <c r="R318" s="195" t="str">
        <f t="shared" si="32"/>
        <v/>
      </c>
      <c r="S318" s="195" t="str">
        <f t="shared" si="27"/>
        <v/>
      </c>
      <c r="T318" s="195" t="str">
        <f t="shared" si="33"/>
        <v/>
      </c>
      <c r="U318" s="195" t="str">
        <f t="shared" si="28"/>
        <v/>
      </c>
      <c r="V318" t="str">
        <f t="shared" si="29"/>
        <v/>
      </c>
      <c r="W318" s="195" t="str">
        <f t="shared" si="34"/>
        <v/>
      </c>
      <c r="X318" s="195" t="str">
        <f t="shared" si="35"/>
        <v/>
      </c>
      <c r="Y318" s="255" t="str">
        <f>IF(ISNUMBER(SEARCH("C", 'Dry_Litterbag Placem_Collection'!V25)),"YES","NO")</f>
        <v>NO</v>
      </c>
      <c r="Z318" s="255" t="str">
        <f>IF(ISNUMBER(SEARCH("H", 'Dry_Litterbag Placem_Collection'!V25)),"YES","NO")</f>
        <v>NO</v>
      </c>
      <c r="AA318" s="255" t="str">
        <f>IF(ISNUMBER(SEARCH("R", 'Dry_Litterbag Placem_Collection'!V25)),"YES","NO")</f>
        <v>NO</v>
      </c>
      <c r="AB318" s="255" t="str">
        <f>IF(ISNUMBER(SEARCH("C", 'Dry_Litterbag Placem_Collection'!U25)),"YES","NO")</f>
        <v>NO</v>
      </c>
      <c r="AC318" s="255" t="str">
        <f>IF(ISNUMBER(SEARCH("H", 'Dry_Litterbag Placem_Collection'!U25)),"YES","NO")</f>
        <v>NO</v>
      </c>
      <c r="AD318" s="255" t="str">
        <f>IF(ISNUMBER(SEARCH("R", 'Dry_Litterbag Placem_Collection'!U25)),"YES","NO")</f>
        <v>NO</v>
      </c>
    </row>
    <row r="319" spans="2:30">
      <c r="B319" t="str">
        <f>'Final data_for_R_analysis_Dryse'!A465</f>
        <v>Dry</v>
      </c>
      <c r="C319" s="263">
        <f>'Final data_for_R_analysis_Dryse'!B465</f>
        <v>24</v>
      </c>
      <c r="D319" t="s">
        <v>3829</v>
      </c>
      <c r="E319" t="s">
        <v>25</v>
      </c>
      <c r="F319" s="387">
        <v>8</v>
      </c>
      <c r="G319" s="16">
        <f>'Dry_Litterbag Placem_Collection'!E26</f>
        <v>42936</v>
      </c>
      <c r="H319" s="92" t="str">
        <f>'Final data_for_R_analysis_Dryse'!J465</f>
        <v>G562</v>
      </c>
      <c r="I319" t="str">
        <f>'Final data_for_R_analysis_Dryse'!J685</f>
        <v>R650</v>
      </c>
      <c r="J319">
        <f>IFERROR(INDEX('Green_rooibos initial weight'!$C$5:$C$1749,MATCH(H319, 'Green_rooibos initial weight'!$A$5:$A$1749,0)),"")</f>
        <v>2.1419999999999999</v>
      </c>
      <c r="K319">
        <f>IFERROR(INDEX('Green_rooibos initial weight'!$C$5:$C$1749,MATCH(I319, 'Green_rooibos initial weight'!$A$5:$A$1749,0)),"")</f>
        <v>2.169</v>
      </c>
      <c r="L319" s="195">
        <f t="shared" si="30"/>
        <v>1.8921999999999999</v>
      </c>
      <c r="M319" s="195">
        <f t="shared" si="31"/>
        <v>1.9192</v>
      </c>
      <c r="N319" s="16">
        <f>IF('Dry_Litterbag Placem_Collection'!G26="N.A","",'Dry_Litterbag Placem_Collection'!G26)</f>
        <v>43007</v>
      </c>
      <c r="O319" s="195">
        <f>IF(IFERROR(INDEX('Both teabags AfterDry'!$D$1:$D$839,MATCH(H319,'Both teabags AfterDry'!$A$1:$A$839,0)),"")="N.A","",(IFERROR(INDEX('Both teabags AfterDry'!$D$1:$D$839,MATCH(H319,'Both teabags AfterDry'!$A$1:$A$839,0)),"")))</f>
        <v>1.8862000000000001</v>
      </c>
      <c r="P319" s="195">
        <f>IF(IFERROR(INDEX('Both teabags AfterDry'!$D$1:$D$839,MATCH(I319,'Both teabags AfterDry'!$A$1:$A$839,0)),"")="N.A","",(IFERROR(INDEX('Both teabags AfterDry'!$D$1:$D$839,MATCH(I319,'Both teabags AfterDry'!$A$1:$A$839,0)),"")))</f>
        <v>1.9756</v>
      </c>
      <c r="Q319" s="195">
        <f t="shared" si="32"/>
        <v>1.7356</v>
      </c>
      <c r="R319" s="195">
        <f t="shared" si="32"/>
        <v>1.825</v>
      </c>
      <c r="S319" s="195">
        <f t="shared" si="27"/>
        <v>8.2760807525631419E-2</v>
      </c>
      <c r="T319" s="195">
        <f t="shared" si="33"/>
        <v>5.4256491394475699E-2</v>
      </c>
      <c r="U319" s="195">
        <f t="shared" si="28"/>
        <v>0.95091704877032091</v>
      </c>
      <c r="V319">
        <f t="shared" si="29"/>
        <v>71</v>
      </c>
      <c r="W319" s="195">
        <f t="shared" si="34"/>
        <v>0.90170925472015273</v>
      </c>
      <c r="X319" s="195">
        <f t="shared" si="35"/>
        <v>3.3100921643758587E-2</v>
      </c>
      <c r="Y319" s="255" t="str">
        <f>IF(ISNUMBER(SEARCH("C", 'Dry_Litterbag Placem_Collection'!V26)),"YES","NO")</f>
        <v>NO</v>
      </c>
      <c r="Z319" s="255" t="str">
        <f>IF(ISNUMBER(SEARCH("H", 'Dry_Litterbag Placem_Collection'!V26)),"YES","NO")</f>
        <v>NO</v>
      </c>
      <c r="AA319" s="255" t="str">
        <f>IF(ISNUMBER(SEARCH("R", 'Dry_Litterbag Placem_Collection'!V26)),"YES","NO")</f>
        <v>NO</v>
      </c>
      <c r="AB319" s="255" t="str">
        <f>IF(ISNUMBER(SEARCH("C", 'Dry_Litterbag Placem_Collection'!U26)),"YES","NO")</f>
        <v>NO</v>
      </c>
      <c r="AC319" s="255" t="str">
        <f>IF(ISNUMBER(SEARCH("H", 'Dry_Litterbag Placem_Collection'!U26)),"YES","NO")</f>
        <v>NO</v>
      </c>
      <c r="AD319" s="255" t="str">
        <f>IF(ISNUMBER(SEARCH("R", 'Dry_Litterbag Placem_Collection'!U26)),"YES","NO")</f>
        <v>NO</v>
      </c>
    </row>
    <row r="320" spans="2:30">
      <c r="B320" t="str">
        <f>'Final data_for_R_analysis_Dryse'!A466</f>
        <v>Dry</v>
      </c>
      <c r="C320" s="263">
        <f>'Final data_for_R_analysis_Dryse'!B466</f>
        <v>25</v>
      </c>
      <c r="D320" t="s">
        <v>3830</v>
      </c>
      <c r="E320" t="s">
        <v>25</v>
      </c>
      <c r="F320" s="386">
        <v>1</v>
      </c>
      <c r="G320" s="16">
        <f>'Dry_Litterbag Placem_Collection'!E27</f>
        <v>42936</v>
      </c>
      <c r="H320" s="92" t="str">
        <f>'Final data_for_R_analysis_Dryse'!J466</f>
        <v>G156</v>
      </c>
      <c r="I320" t="str">
        <f>'Final data_for_R_analysis_Dryse'!J686</f>
        <v>R230</v>
      </c>
      <c r="J320">
        <f>IFERROR(INDEX('Green_rooibos initial weight'!$C$5:$C$1749,MATCH(H320, 'Green_rooibos initial weight'!$A$5:$A$1749,0)),"")</f>
        <v>1.944</v>
      </c>
      <c r="K320">
        <f>IFERROR(INDEX('Green_rooibos initial weight'!$C$5:$C$1749,MATCH(I320, 'Green_rooibos initial weight'!$A$5:$A$1749,0)),"")</f>
        <v>2.2589999999999999</v>
      </c>
      <c r="L320" s="195">
        <f t="shared" si="30"/>
        <v>1.6941999999999999</v>
      </c>
      <c r="M320" s="195">
        <f t="shared" si="31"/>
        <v>2.0091999999999999</v>
      </c>
      <c r="N320" s="16">
        <f>IF('Dry_Litterbag Placem_Collection'!G27="N.A","",'Dry_Litterbag Placem_Collection'!G27)</f>
        <v>43007</v>
      </c>
      <c r="O320" s="195">
        <f>IF(IFERROR(INDEX('Both teabags AfterDry'!$D$1:$D$839,MATCH(H320,'Both teabags AfterDry'!$A$1:$A$839,0)),"")="N.A","",(IFERROR(INDEX('Both teabags AfterDry'!$D$1:$D$839,MATCH(H320,'Both teabags AfterDry'!$A$1:$A$839,0)),"")))</f>
        <v>1.8079000000000001</v>
      </c>
      <c r="P320" s="195">
        <f>IF(IFERROR(INDEX('Both teabags AfterDry'!$D$1:$D$839,MATCH(I320,'Both teabags AfterDry'!$A$1:$A$839,0)),"")="N.A","",(IFERROR(INDEX('Both teabags AfterDry'!$D$1:$D$839,MATCH(I320,'Both teabags AfterDry'!$A$1:$A$839,0)),"")))</f>
        <v>2.0360999999999998</v>
      </c>
      <c r="Q320" s="195">
        <f t="shared" si="32"/>
        <v>1.6573</v>
      </c>
      <c r="R320" s="195">
        <f t="shared" si="32"/>
        <v>1.8854999999999997</v>
      </c>
      <c r="S320" s="195">
        <f t="shared" si="27"/>
        <v>2.1780191240703517E-2</v>
      </c>
      <c r="T320" s="195">
        <f t="shared" si="33"/>
        <v>1.4278700195805646E-2</v>
      </c>
      <c r="U320" s="195">
        <f t="shared" si="28"/>
        <v>0.93843320724666524</v>
      </c>
      <c r="V320">
        <f t="shared" si="29"/>
        <v>71</v>
      </c>
      <c r="W320" s="195">
        <f t="shared" si="34"/>
        <v>0.97413278950035209</v>
      </c>
      <c r="X320" s="195" t="str">
        <f t="shared" si="35"/>
        <v/>
      </c>
      <c r="Y320" s="255" t="str">
        <f>IF(ISNUMBER(SEARCH("C", 'Dry_Litterbag Placem_Collection'!V27)),"YES","NO")</f>
        <v>NO</v>
      </c>
      <c r="Z320" s="255" t="str">
        <f>IF(ISNUMBER(SEARCH("H", 'Dry_Litterbag Placem_Collection'!V27)),"YES","NO")</f>
        <v>NO</v>
      </c>
      <c r="AA320" s="255" t="str">
        <f>IF(ISNUMBER(SEARCH("R", 'Dry_Litterbag Placem_Collection'!V27)),"YES","NO")</f>
        <v>NO</v>
      </c>
      <c r="AB320" s="255" t="str">
        <f>IF(ISNUMBER(SEARCH("C", 'Dry_Litterbag Placem_Collection'!U27)),"YES","NO")</f>
        <v>NO</v>
      </c>
      <c r="AC320" s="255" t="str">
        <f>IF(ISNUMBER(SEARCH("H", 'Dry_Litterbag Placem_Collection'!U27)),"YES","NO")</f>
        <v>NO</v>
      </c>
      <c r="AD320" s="255" t="str">
        <f>IF(ISNUMBER(SEARCH("R", 'Dry_Litterbag Placem_Collection'!U27)),"YES","NO")</f>
        <v>NO</v>
      </c>
    </row>
    <row r="321" spans="2:30">
      <c r="B321" t="str">
        <f>'Final data_for_R_analysis_Dryse'!A467</f>
        <v>Dry</v>
      </c>
      <c r="C321" s="263">
        <f>'Final data_for_R_analysis_Dryse'!B467</f>
        <v>26</v>
      </c>
      <c r="D321" t="s">
        <v>3830</v>
      </c>
      <c r="E321" t="s">
        <v>25</v>
      </c>
      <c r="F321" s="386">
        <v>2</v>
      </c>
      <c r="G321" s="16">
        <f>'Dry_Litterbag Placem_Collection'!E28</f>
        <v>42936</v>
      </c>
      <c r="H321" s="92" t="str">
        <f>'Final data_for_R_analysis_Dryse'!J467</f>
        <v>G555</v>
      </c>
      <c r="I321" t="str">
        <f>'Final data_for_R_analysis_Dryse'!J687</f>
        <v>R642</v>
      </c>
      <c r="J321">
        <f>IFERROR(INDEX('Green_rooibos initial weight'!$C$5:$C$1749,MATCH(H321, 'Green_rooibos initial weight'!$A$5:$A$1749,0)),"")</f>
        <v>2.1469999999999998</v>
      </c>
      <c r="K321">
        <f>IFERROR(INDEX('Green_rooibos initial weight'!$C$5:$C$1749,MATCH(I321, 'Green_rooibos initial weight'!$A$5:$A$1749,0)),"")</f>
        <v>2.14</v>
      </c>
      <c r="L321" s="195">
        <f t="shared" si="30"/>
        <v>1.8971999999999998</v>
      </c>
      <c r="M321" s="195">
        <f t="shared" si="31"/>
        <v>1.8902000000000001</v>
      </c>
      <c r="N321" s="16">
        <f>IF('Dry_Litterbag Placem_Collection'!G28="N.A","",'Dry_Litterbag Placem_Collection'!G28)</f>
        <v>43007</v>
      </c>
      <c r="O321" s="195">
        <f>IF(IFERROR(INDEX('Both teabags AfterDry'!$D$1:$D$839,MATCH(H321,'Both teabags AfterDry'!$A$1:$A$839,0)),"")="N.A","",(IFERROR(INDEX('Both teabags AfterDry'!$D$1:$D$839,MATCH(H321,'Both teabags AfterDry'!$A$1:$A$839,0)),"")))</f>
        <v>2.0030000000000001</v>
      </c>
      <c r="P321" s="195">
        <f>IF(IFERROR(INDEX('Both teabags AfterDry'!$D$1:$D$839,MATCH(I321,'Both teabags AfterDry'!$A$1:$A$839,0)),"")="N.A","",(IFERROR(INDEX('Both teabags AfterDry'!$D$1:$D$839,MATCH(I321,'Both teabags AfterDry'!$A$1:$A$839,0)),"")))</f>
        <v>1.9686999999999999</v>
      </c>
      <c r="Q321" s="195">
        <f t="shared" si="32"/>
        <v>1.8524</v>
      </c>
      <c r="R321" s="195">
        <f t="shared" si="32"/>
        <v>1.8180999999999998</v>
      </c>
      <c r="S321" s="195">
        <f t="shared" si="27"/>
        <v>2.3613746573898253E-2</v>
      </c>
      <c r="T321" s="195">
        <f t="shared" si="33"/>
        <v>1.5480745972436866E-2</v>
      </c>
      <c r="U321" s="195">
        <f t="shared" si="28"/>
        <v>0.96185588826579183</v>
      </c>
      <c r="V321">
        <f t="shared" si="29"/>
        <v>71</v>
      </c>
      <c r="W321" s="195">
        <f t="shared" si="34"/>
        <v>0.97195517033978829</v>
      </c>
      <c r="X321" s="195" t="str">
        <f t="shared" si="35"/>
        <v/>
      </c>
      <c r="Y321" s="255" t="str">
        <f>IF(ISNUMBER(SEARCH("C", 'Dry_Litterbag Placem_Collection'!V28)),"YES","NO")</f>
        <v>NO</v>
      </c>
      <c r="Z321" s="255" t="str">
        <f>IF(ISNUMBER(SEARCH("H", 'Dry_Litterbag Placem_Collection'!V28)),"YES","NO")</f>
        <v>NO</v>
      </c>
      <c r="AA321" s="255" t="str">
        <f>IF(ISNUMBER(SEARCH("R", 'Dry_Litterbag Placem_Collection'!V28)),"YES","NO")</f>
        <v>NO</v>
      </c>
      <c r="AB321" s="255" t="str">
        <f>IF(ISNUMBER(SEARCH("C", 'Dry_Litterbag Placem_Collection'!U28)),"YES","NO")</f>
        <v>NO</v>
      </c>
      <c r="AC321" s="255" t="str">
        <f>IF(ISNUMBER(SEARCH("H", 'Dry_Litterbag Placem_Collection'!U28)),"YES","NO")</f>
        <v>NO</v>
      </c>
      <c r="AD321" s="255" t="str">
        <f>IF(ISNUMBER(SEARCH("R", 'Dry_Litterbag Placem_Collection'!U28)),"YES","NO")</f>
        <v>NO</v>
      </c>
    </row>
    <row r="322" spans="2:30">
      <c r="B322" t="str">
        <f>'Final data_for_R_analysis_Dryse'!A468</f>
        <v>Dry</v>
      </c>
      <c r="C322" s="263">
        <f>'Final data_for_R_analysis_Dryse'!B468</f>
        <v>27</v>
      </c>
      <c r="D322" t="s">
        <v>3830</v>
      </c>
      <c r="E322" t="s">
        <v>25</v>
      </c>
      <c r="F322" s="386">
        <v>3</v>
      </c>
      <c r="G322" s="16">
        <f>'Dry_Litterbag Placem_Collection'!E29</f>
        <v>42936</v>
      </c>
      <c r="H322" s="92" t="str">
        <f>'Final data_for_R_analysis_Dryse'!J468</f>
        <v>G378</v>
      </c>
      <c r="I322" t="str">
        <f>'Final data_for_R_analysis_Dryse'!J688</f>
        <v>R199</v>
      </c>
      <c r="J322">
        <f>IFERROR(INDEX('Green_rooibos initial weight'!$C$5:$C$1749,MATCH(H322, 'Green_rooibos initial weight'!$A$5:$A$1749,0)),"")</f>
        <v>2.0830000000000002</v>
      </c>
      <c r="K322">
        <f>IFERROR(INDEX('Green_rooibos initial weight'!$C$5:$C$1749,MATCH(I322, 'Green_rooibos initial weight'!$A$5:$A$1749,0)),"")</f>
        <v>2.1850000000000001</v>
      </c>
      <c r="L322" s="195">
        <f t="shared" si="30"/>
        <v>1.8332000000000002</v>
      </c>
      <c r="M322" s="195">
        <f t="shared" si="31"/>
        <v>1.9352</v>
      </c>
      <c r="N322" s="16">
        <f>IF('Dry_Litterbag Placem_Collection'!G29="N.A","",'Dry_Litterbag Placem_Collection'!G29)</f>
        <v>43007</v>
      </c>
      <c r="O322" s="195" t="str">
        <f>IF(IFERROR(INDEX('Both teabags AfterDry'!$D$1:$D$839,MATCH(H322,'Both teabags AfterDry'!$A$1:$A$839,0)),"")="N.A","",(IFERROR(INDEX('Both teabags AfterDry'!$D$1:$D$839,MATCH(H322,'Both teabags AfterDry'!$A$1:$A$839,0)),"")))</f>
        <v/>
      </c>
      <c r="P322" s="195" t="str">
        <f>IF(IFERROR(INDEX('Both teabags AfterDry'!$D$1:$D$839,MATCH(I322,'Both teabags AfterDry'!$A$1:$A$839,0)),"")="N.A","",(IFERROR(INDEX('Both teabags AfterDry'!$D$1:$D$839,MATCH(I322,'Both teabags AfterDry'!$A$1:$A$839,0)),"")))</f>
        <v/>
      </c>
      <c r="Q322" s="195" t="str">
        <f t="shared" si="32"/>
        <v/>
      </c>
      <c r="R322" s="195" t="str">
        <f t="shared" si="32"/>
        <v/>
      </c>
      <c r="S322" s="195" t="str">
        <f t="shared" si="27"/>
        <v/>
      </c>
      <c r="T322" s="195" t="str">
        <f t="shared" si="33"/>
        <v/>
      </c>
      <c r="U322" s="195" t="str">
        <f t="shared" si="28"/>
        <v/>
      </c>
      <c r="V322">
        <f t="shared" si="29"/>
        <v>71</v>
      </c>
      <c r="W322" s="195" t="str">
        <f t="shared" si="34"/>
        <v/>
      </c>
      <c r="X322" s="195" t="str">
        <f t="shared" si="35"/>
        <v/>
      </c>
      <c r="Y322" s="255" t="str">
        <f>IF(ISNUMBER(SEARCH("C", 'Dry_Litterbag Placem_Collection'!V29)),"YES","NO")</f>
        <v>NO</v>
      </c>
      <c r="Z322" s="255" t="str">
        <f>IF(ISNUMBER(SEARCH("H", 'Dry_Litterbag Placem_Collection'!V29)),"YES","NO")</f>
        <v>NO</v>
      </c>
      <c r="AA322" s="255" t="str">
        <f>IF(ISNUMBER(SEARCH("R", 'Dry_Litterbag Placem_Collection'!V29)),"YES","NO")</f>
        <v>NO</v>
      </c>
      <c r="AB322" s="255" t="str">
        <f>IF(ISNUMBER(SEARCH("C", 'Dry_Litterbag Placem_Collection'!U29)),"YES","NO")</f>
        <v>NO</v>
      </c>
      <c r="AC322" s="255" t="str">
        <f>IF(ISNUMBER(SEARCH("H", 'Dry_Litterbag Placem_Collection'!U29)),"YES","NO")</f>
        <v>NO</v>
      </c>
      <c r="AD322" s="255" t="str">
        <f>IF(ISNUMBER(SEARCH("R", 'Dry_Litterbag Placem_Collection'!U29)),"YES","NO")</f>
        <v>NO</v>
      </c>
    </row>
    <row r="323" spans="2:30">
      <c r="B323" t="str">
        <f>'Final data_for_R_analysis_Dryse'!A469</f>
        <v>Dry</v>
      </c>
      <c r="C323" s="263">
        <f>'Final data_for_R_analysis_Dryse'!B469</f>
        <v>28</v>
      </c>
      <c r="D323" t="s">
        <v>3830</v>
      </c>
      <c r="E323" t="s">
        <v>25</v>
      </c>
      <c r="F323" s="387">
        <v>4</v>
      </c>
      <c r="G323" s="16">
        <f>'Dry_Litterbag Placem_Collection'!E30</f>
        <v>42936</v>
      </c>
      <c r="H323" s="92" t="str">
        <f>'Final data_for_R_analysis_Dryse'!J469</f>
        <v>G46</v>
      </c>
      <c r="I323" t="str">
        <f>'Final data_for_R_analysis_Dryse'!J689</f>
        <v>R162</v>
      </c>
      <c r="J323">
        <f>IFERROR(INDEX('Green_rooibos initial weight'!$C$5:$C$1749,MATCH(H323, 'Green_rooibos initial weight'!$A$5:$A$1749,0)),"")</f>
        <v>1.895</v>
      </c>
      <c r="K323">
        <f>IFERROR(INDEX('Green_rooibos initial weight'!$C$5:$C$1749,MATCH(I323, 'Green_rooibos initial weight'!$A$5:$A$1749,0)),"")</f>
        <v>2.242</v>
      </c>
      <c r="L323" s="195">
        <f t="shared" si="30"/>
        <v>1.6452</v>
      </c>
      <c r="M323" s="195">
        <f t="shared" si="31"/>
        <v>1.9922</v>
      </c>
      <c r="N323" s="16">
        <f>IF('Dry_Litterbag Placem_Collection'!G30="N.A","",'Dry_Litterbag Placem_Collection'!G30)</f>
        <v>43007</v>
      </c>
      <c r="O323" s="195">
        <f>IF(IFERROR(INDEX('Both teabags AfterDry'!$D$1:$D$839,MATCH(H323,'Both teabags AfterDry'!$A$1:$A$839,0)),"")="N.A","",(IFERROR(INDEX('Both teabags AfterDry'!$D$1:$D$839,MATCH(H323,'Both teabags AfterDry'!$A$1:$A$839,0)),"")))</f>
        <v>1.5884</v>
      </c>
      <c r="P323" s="195">
        <f>IF(IFERROR(INDEX('Both teabags AfterDry'!$D$1:$D$839,MATCH(I323,'Both teabags AfterDry'!$A$1:$A$839,0)),"")="N.A","",(IFERROR(INDEX('Both teabags AfterDry'!$D$1:$D$839,MATCH(I323,'Both teabags AfterDry'!$A$1:$A$839,0)),"")))</f>
        <v>1.964</v>
      </c>
      <c r="Q323" s="195">
        <f t="shared" si="32"/>
        <v>1.4378</v>
      </c>
      <c r="R323" s="195">
        <f t="shared" si="32"/>
        <v>1.8133999999999999</v>
      </c>
      <c r="S323" s="195">
        <f t="shared" si="27"/>
        <v>0.12606370046194992</v>
      </c>
      <c r="T323" s="195">
        <f t="shared" si="33"/>
        <v>8.2645086288594224E-2</v>
      </c>
      <c r="U323" s="195">
        <f t="shared" si="28"/>
        <v>0.91024997490211823</v>
      </c>
      <c r="V323">
        <f t="shared" si="29"/>
        <v>71</v>
      </c>
      <c r="W323" s="195">
        <f t="shared" si="34"/>
        <v>0.8502806407815322</v>
      </c>
      <c r="X323" s="195" t="str">
        <f t="shared" si="35"/>
        <v/>
      </c>
      <c r="Y323" s="255" t="str">
        <f>IF(ISNUMBER(SEARCH("C", 'Dry_Litterbag Placem_Collection'!V30)),"YES","NO")</f>
        <v>NO</v>
      </c>
      <c r="Z323" s="255" t="str">
        <f>IF(ISNUMBER(SEARCH("H", 'Dry_Litterbag Placem_Collection'!V30)),"YES","NO")</f>
        <v>NO</v>
      </c>
      <c r="AA323" s="255" t="str">
        <f>IF(ISNUMBER(SEARCH("R", 'Dry_Litterbag Placem_Collection'!V30)),"YES","NO")</f>
        <v>NO</v>
      </c>
      <c r="AB323" s="255" t="str">
        <f>IF(ISNUMBER(SEARCH("C", 'Dry_Litterbag Placem_Collection'!U30)),"YES","NO")</f>
        <v>NO</v>
      </c>
      <c r="AC323" s="255" t="str">
        <f>IF(ISNUMBER(SEARCH("H", 'Dry_Litterbag Placem_Collection'!U30)),"YES","NO")</f>
        <v>NO</v>
      </c>
      <c r="AD323" s="255" t="str">
        <f>IF(ISNUMBER(SEARCH("R", 'Dry_Litterbag Placem_Collection'!U30)),"YES","NO")</f>
        <v>NO</v>
      </c>
    </row>
    <row r="324" spans="2:30">
      <c r="B324" t="str">
        <f>'Final data_for_R_analysis_Dryse'!A470</f>
        <v>Dry</v>
      </c>
      <c r="C324" s="263">
        <f>'Final data_for_R_analysis_Dryse'!B470</f>
        <v>29</v>
      </c>
      <c r="D324" t="s">
        <v>3830</v>
      </c>
      <c r="E324" t="s">
        <v>25</v>
      </c>
      <c r="F324" s="387">
        <v>5</v>
      </c>
      <c r="G324" s="16">
        <f>'Dry_Litterbag Placem_Collection'!E31</f>
        <v>42936</v>
      </c>
      <c r="H324" s="92" t="str">
        <f>'Final data_for_R_analysis_Dryse'!J470</f>
        <v>G397</v>
      </c>
      <c r="I324" t="str">
        <f>'Final data_for_R_analysis_Dryse'!J690</f>
        <v>R163</v>
      </c>
      <c r="J324">
        <f>IFERROR(INDEX('Green_rooibos initial weight'!$C$5:$C$1749,MATCH(H324, 'Green_rooibos initial weight'!$A$5:$A$1749,0)),"")</f>
        <v>1.968</v>
      </c>
      <c r="K324">
        <f>IFERROR(INDEX('Green_rooibos initial weight'!$C$5:$C$1749,MATCH(I324, 'Green_rooibos initial weight'!$A$5:$A$1749,0)),"")</f>
        <v>2.23</v>
      </c>
      <c r="L324" s="195">
        <f t="shared" si="30"/>
        <v>1.7181999999999999</v>
      </c>
      <c r="M324" s="195">
        <f t="shared" si="31"/>
        <v>1.9802</v>
      </c>
      <c r="N324" s="16">
        <f>IF('Dry_Litterbag Placem_Collection'!G31="N.A","",'Dry_Litterbag Placem_Collection'!G31)</f>
        <v>43007</v>
      </c>
      <c r="O324" s="195">
        <f>IF(IFERROR(INDEX('Both teabags AfterDry'!$D$1:$D$839,MATCH(H324,'Both teabags AfterDry'!$A$1:$A$839,0)),"")="N.A","",(IFERROR(INDEX('Both teabags AfterDry'!$D$1:$D$839,MATCH(H324,'Both teabags AfterDry'!$A$1:$A$839,0)),"")))</f>
        <v>1.7436</v>
      </c>
      <c r="P324" s="195">
        <f>IF(IFERROR(INDEX('Both teabags AfterDry'!$D$1:$D$839,MATCH(I324,'Both teabags AfterDry'!$A$1:$A$839,0)),"")="N.A","",(IFERROR(INDEX('Both teabags AfterDry'!$D$1:$D$839,MATCH(I324,'Both teabags AfterDry'!$A$1:$A$839,0)),"")))</f>
        <v>1.9955000000000001</v>
      </c>
      <c r="Q324" s="195">
        <f t="shared" si="32"/>
        <v>1.593</v>
      </c>
      <c r="R324" s="195">
        <f t="shared" si="32"/>
        <v>1.8449</v>
      </c>
      <c r="S324" s="195">
        <f t="shared" si="27"/>
        <v>7.2866953788848776E-2</v>
      </c>
      <c r="T324" s="195">
        <f t="shared" si="33"/>
        <v>4.7770259491026743E-2</v>
      </c>
      <c r="U324" s="195">
        <f t="shared" si="28"/>
        <v>0.93167356832643167</v>
      </c>
      <c r="V324">
        <f t="shared" si="29"/>
        <v>71</v>
      </c>
      <c r="W324" s="195">
        <f t="shared" si="34"/>
        <v>0.91345967483509649</v>
      </c>
      <c r="X324" s="195" t="str">
        <f t="shared" si="35"/>
        <v/>
      </c>
      <c r="Y324" s="255" t="str">
        <f>IF(ISNUMBER(SEARCH("C", 'Dry_Litterbag Placem_Collection'!V31)),"YES","NO")</f>
        <v>NO</v>
      </c>
      <c r="Z324" s="255" t="str">
        <f>IF(ISNUMBER(SEARCH("H", 'Dry_Litterbag Placem_Collection'!V31)),"YES","NO")</f>
        <v>NO</v>
      </c>
      <c r="AA324" s="255" t="str">
        <f>IF(ISNUMBER(SEARCH("R", 'Dry_Litterbag Placem_Collection'!V31)),"YES","NO")</f>
        <v>NO</v>
      </c>
      <c r="AB324" s="255" t="str">
        <f>IF(ISNUMBER(SEARCH("C", 'Dry_Litterbag Placem_Collection'!U31)),"YES","NO")</f>
        <v>NO</v>
      </c>
      <c r="AC324" s="255" t="str">
        <f>IF(ISNUMBER(SEARCH("H", 'Dry_Litterbag Placem_Collection'!U31)),"YES","NO")</f>
        <v>NO</v>
      </c>
      <c r="AD324" s="255" t="str">
        <f>IF(ISNUMBER(SEARCH("R", 'Dry_Litterbag Placem_Collection'!U31)),"YES","NO")</f>
        <v>NO</v>
      </c>
    </row>
    <row r="325" spans="2:30">
      <c r="B325" t="str">
        <f>'Final data_for_R_analysis_Dryse'!A471</f>
        <v>Dry</v>
      </c>
      <c r="C325" s="263">
        <f>'Final data_for_R_analysis_Dryse'!B471</f>
        <v>30</v>
      </c>
      <c r="D325" t="s">
        <v>3830</v>
      </c>
      <c r="E325" t="s">
        <v>25</v>
      </c>
      <c r="F325" s="387">
        <v>6</v>
      </c>
      <c r="G325" s="16">
        <f>'Dry_Litterbag Placem_Collection'!E32</f>
        <v>42936</v>
      </c>
      <c r="H325" s="92" t="str">
        <f>'Final data_for_R_analysis_Dryse'!J471</f>
        <v>G166</v>
      </c>
      <c r="I325" t="str">
        <f>'Final data_for_R_analysis_Dryse'!J691</f>
        <v>R345</v>
      </c>
      <c r="J325">
        <f>IFERROR(INDEX('Green_rooibos initial weight'!$C$5:$C$1749,MATCH(H325, 'Green_rooibos initial weight'!$A$5:$A$1749,0)),"")</f>
        <v>2.032</v>
      </c>
      <c r="K325">
        <f>IFERROR(INDEX('Green_rooibos initial weight'!$C$5:$C$1749,MATCH(I325, 'Green_rooibos initial weight'!$A$5:$A$1749,0)),"")</f>
        <v>2.2599999999999998</v>
      </c>
      <c r="L325" s="195">
        <f t="shared" si="30"/>
        <v>1.7822</v>
      </c>
      <c r="M325" s="195">
        <f t="shared" si="31"/>
        <v>2.0101999999999998</v>
      </c>
      <c r="N325" s="16">
        <f>IF('Dry_Litterbag Placem_Collection'!G32="N.A","",'Dry_Litterbag Placem_Collection'!G32)</f>
        <v>43007</v>
      </c>
      <c r="O325" s="195">
        <f>IF(IFERROR(INDEX('Both teabags AfterDry'!$D$1:$D$839,MATCH(H325,'Both teabags AfterDry'!$A$1:$A$839,0)),"")="N.A","",(IFERROR(INDEX('Both teabags AfterDry'!$D$1:$D$839,MATCH(H325,'Both teabags AfterDry'!$A$1:$A$839,0)),"")))</f>
        <v>1.8809</v>
      </c>
      <c r="P325" s="195">
        <f>IF(IFERROR(INDEX('Both teabags AfterDry'!$D$1:$D$839,MATCH(I325,'Both teabags AfterDry'!$A$1:$A$839,0)),"")="N.A","",(IFERROR(INDEX('Both teabags AfterDry'!$D$1:$D$839,MATCH(I325,'Both teabags AfterDry'!$A$1:$A$839,0)),"")))</f>
        <v>2.0409000000000002</v>
      </c>
      <c r="Q325" s="195">
        <f t="shared" si="32"/>
        <v>1.7302999999999999</v>
      </c>
      <c r="R325" s="195">
        <f t="shared" si="32"/>
        <v>1.8903000000000001</v>
      </c>
      <c r="S325" s="195">
        <f t="shared" si="27"/>
        <v>2.9121310739535389E-2</v>
      </c>
      <c r="T325" s="195">
        <f t="shared" si="33"/>
        <v>1.9091405615467367E-2</v>
      </c>
      <c r="U325" s="195">
        <f t="shared" si="28"/>
        <v>0.94035419361257599</v>
      </c>
      <c r="V325">
        <f t="shared" si="29"/>
        <v>71</v>
      </c>
      <c r="W325" s="195">
        <f t="shared" si="34"/>
        <v>0.96541412026183449</v>
      </c>
      <c r="X325" s="195" t="str">
        <f t="shared" si="35"/>
        <v/>
      </c>
      <c r="Y325" s="255" t="str">
        <f>IF(ISNUMBER(SEARCH("C", 'Dry_Litterbag Placem_Collection'!V32)),"YES","NO")</f>
        <v>NO</v>
      </c>
      <c r="Z325" s="255" t="str">
        <f>IF(ISNUMBER(SEARCH("H", 'Dry_Litterbag Placem_Collection'!V32)),"YES","NO")</f>
        <v>NO</v>
      </c>
      <c r="AA325" s="255" t="str">
        <f>IF(ISNUMBER(SEARCH("R", 'Dry_Litterbag Placem_Collection'!V32)),"YES","NO")</f>
        <v>NO</v>
      </c>
      <c r="AB325" s="255" t="str">
        <f>IF(ISNUMBER(SEARCH("C", 'Dry_Litterbag Placem_Collection'!U32)),"YES","NO")</f>
        <v>NO</v>
      </c>
      <c r="AC325" s="255" t="str">
        <f>IF(ISNUMBER(SEARCH("H", 'Dry_Litterbag Placem_Collection'!U32)),"YES","NO")</f>
        <v>NO</v>
      </c>
      <c r="AD325" s="255" t="str">
        <f>IF(ISNUMBER(SEARCH("R", 'Dry_Litterbag Placem_Collection'!U32)),"YES","NO")</f>
        <v>NO</v>
      </c>
    </row>
    <row r="326" spans="2:30">
      <c r="B326" t="str">
        <f>'Final data_for_R_analysis_Dryse'!A472</f>
        <v>Dry</v>
      </c>
      <c r="C326" s="263">
        <f>'Final data_for_R_analysis_Dryse'!B472</f>
        <v>31</v>
      </c>
      <c r="D326" t="s">
        <v>3830</v>
      </c>
      <c r="E326" t="s">
        <v>25</v>
      </c>
      <c r="F326" s="387">
        <v>7</v>
      </c>
      <c r="G326" s="390">
        <f>'Dry_Litterbag Placem_Collection'!E33</f>
        <v>0</v>
      </c>
      <c r="H326" s="92" t="str">
        <f>'Final data_for_R_analysis_Dryse'!J472</f>
        <v/>
      </c>
      <c r="I326" t="str">
        <f>'Final data_for_R_analysis_Dryse'!J692</f>
        <v/>
      </c>
      <c r="J326" t="str">
        <f>IFERROR(INDEX('Green_rooibos initial weight'!$C$5:$C$1749,MATCH(H326, 'Green_rooibos initial weight'!$A$5:$A$1749,0)),"")</f>
        <v/>
      </c>
      <c r="K326" t="str">
        <f>IFERROR(INDEX('Green_rooibos initial weight'!$C$5:$C$1749,MATCH(I326, 'Green_rooibos initial weight'!$A$5:$A$1749,0)),"")</f>
        <v/>
      </c>
      <c r="L326" s="195" t="str">
        <f t="shared" si="30"/>
        <v/>
      </c>
      <c r="M326" s="195" t="str">
        <f t="shared" si="31"/>
        <v/>
      </c>
      <c r="N326" s="16">
        <f>IF('Dry_Litterbag Placem_Collection'!G33="N.A","",'Dry_Litterbag Placem_Collection'!G33)</f>
        <v>0</v>
      </c>
      <c r="O326" s="195" t="str">
        <f>IF(IFERROR(INDEX('Both teabags AfterDry'!$D$1:$D$839,MATCH(H326,'Both teabags AfterDry'!$A$1:$A$839,0)),"")="N.A","",(IFERROR(INDEX('Both teabags AfterDry'!$D$1:$D$839,MATCH(H326,'Both teabags AfterDry'!$A$1:$A$839,0)),"")))</f>
        <v/>
      </c>
      <c r="P326" s="195" t="str">
        <f>IF(IFERROR(INDEX('Both teabags AfterDry'!$D$1:$D$839,MATCH(I326,'Both teabags AfterDry'!$A$1:$A$839,0)),"")="N.A","",(IFERROR(INDEX('Both teabags AfterDry'!$D$1:$D$839,MATCH(I326,'Both teabags AfterDry'!$A$1:$A$839,0)),"")))</f>
        <v/>
      </c>
      <c r="Q326" s="195" t="str">
        <f t="shared" si="32"/>
        <v/>
      </c>
      <c r="R326" s="195" t="str">
        <f t="shared" si="32"/>
        <v/>
      </c>
      <c r="S326" s="195" t="str">
        <f t="shared" si="27"/>
        <v/>
      </c>
      <c r="T326" s="195" t="str">
        <f t="shared" si="33"/>
        <v/>
      </c>
      <c r="U326" s="195" t="str">
        <f t="shared" si="28"/>
        <v/>
      </c>
      <c r="V326" t="str">
        <f t="shared" si="29"/>
        <v/>
      </c>
      <c r="W326" s="195" t="str">
        <f t="shared" si="34"/>
        <v/>
      </c>
      <c r="X326" s="195" t="str">
        <f t="shared" si="35"/>
        <v/>
      </c>
      <c r="Y326" s="255" t="str">
        <f>IF(ISNUMBER(SEARCH("C", 'Dry_Litterbag Placem_Collection'!V33)),"YES","NO")</f>
        <v>NO</v>
      </c>
      <c r="Z326" s="255" t="str">
        <f>IF(ISNUMBER(SEARCH("H", 'Dry_Litterbag Placem_Collection'!V33)),"YES","NO")</f>
        <v>NO</v>
      </c>
      <c r="AA326" s="255" t="str">
        <f>IF(ISNUMBER(SEARCH("R", 'Dry_Litterbag Placem_Collection'!V33)),"YES","NO")</f>
        <v>NO</v>
      </c>
      <c r="AB326" s="255" t="str">
        <f>IF(ISNUMBER(SEARCH("C", 'Dry_Litterbag Placem_Collection'!U33)),"YES","NO")</f>
        <v>NO</v>
      </c>
      <c r="AC326" s="255" t="str">
        <f>IF(ISNUMBER(SEARCH("H", 'Dry_Litterbag Placem_Collection'!U33)),"YES","NO")</f>
        <v>NO</v>
      </c>
      <c r="AD326" s="255" t="str">
        <f>IF(ISNUMBER(SEARCH("R", 'Dry_Litterbag Placem_Collection'!U33)),"YES","NO")</f>
        <v>NO</v>
      </c>
    </row>
    <row r="327" spans="2:30">
      <c r="B327" t="str">
        <f>'Final data_for_R_analysis_Dryse'!A473</f>
        <v>Dry</v>
      </c>
      <c r="C327" s="263">
        <f>'Final data_for_R_analysis_Dryse'!B473</f>
        <v>32</v>
      </c>
      <c r="D327" t="s">
        <v>3830</v>
      </c>
      <c r="E327" t="s">
        <v>25</v>
      </c>
      <c r="F327" s="387">
        <v>8</v>
      </c>
      <c r="G327" s="16">
        <f>'Dry_Litterbag Placem_Collection'!E34</f>
        <v>42936</v>
      </c>
      <c r="H327" s="92" t="str">
        <f>'Final data_for_R_analysis_Dryse'!J473</f>
        <v>G293</v>
      </c>
      <c r="I327" t="str">
        <f>'Final data_for_R_analysis_Dryse'!J693</f>
        <v>R660</v>
      </c>
      <c r="J327">
        <f>IFERROR(INDEX('Green_rooibos initial weight'!$C$5:$C$1749,MATCH(H327, 'Green_rooibos initial weight'!$A$5:$A$1749,0)),"")</f>
        <v>2.0699999999999998</v>
      </c>
      <c r="K327">
        <f>IFERROR(INDEX('Green_rooibos initial weight'!$C$5:$C$1749,MATCH(I327, 'Green_rooibos initial weight'!$A$5:$A$1749,0)),"")</f>
        <v>2.2080000000000002</v>
      </c>
      <c r="L327" s="195">
        <f t="shared" si="30"/>
        <v>1.8201999999999998</v>
      </c>
      <c r="M327" s="195">
        <f t="shared" si="31"/>
        <v>1.9582000000000002</v>
      </c>
      <c r="N327" s="16">
        <f>IF('Dry_Litterbag Placem_Collection'!G34="N.A","",'Dry_Litterbag Placem_Collection'!G34)</f>
        <v>43007</v>
      </c>
      <c r="O327" s="195">
        <f>IF(IFERROR(INDEX('Both teabags AfterDry'!$D$1:$D$839,MATCH(H327,'Both teabags AfterDry'!$A$1:$A$839,0)),"")="N.A","",(IFERROR(INDEX('Both teabags AfterDry'!$D$1:$D$839,MATCH(H327,'Both teabags AfterDry'!$A$1:$A$839,0)),"")))</f>
        <v>1.8129</v>
      </c>
      <c r="P327" s="195">
        <f>IF(IFERROR(INDEX('Both teabags AfterDry'!$D$1:$D$839,MATCH(I327,'Both teabags AfterDry'!$A$1:$A$839,0)),"")="N.A","",(IFERROR(INDEX('Both teabags AfterDry'!$D$1:$D$839,MATCH(I327,'Both teabags AfterDry'!$A$1:$A$839,0)),"")))</f>
        <v>2.0331000000000001</v>
      </c>
      <c r="Q327" s="195">
        <f t="shared" si="32"/>
        <v>1.6622999999999999</v>
      </c>
      <c r="R327" s="195">
        <f t="shared" si="32"/>
        <v>1.8825000000000001</v>
      </c>
      <c r="S327" s="195">
        <f t="shared" si="27"/>
        <v>8.6748708933084284E-2</v>
      </c>
      <c r="T327" s="195">
        <f t="shared" si="33"/>
        <v>5.6870887566582595E-2</v>
      </c>
      <c r="U327" s="195">
        <f t="shared" si="28"/>
        <v>0.96134204882034513</v>
      </c>
      <c r="V327">
        <f t="shared" si="29"/>
        <v>71</v>
      </c>
      <c r="W327" s="195">
        <f t="shared" si="34"/>
        <v>0.89697302977068372</v>
      </c>
      <c r="X327" s="195">
        <f t="shared" si="35"/>
        <v>1.6037344169772986E-2</v>
      </c>
      <c r="Y327" s="255" t="str">
        <f>IF(ISNUMBER(SEARCH("C", 'Dry_Litterbag Placem_Collection'!V34)),"YES","NO")</f>
        <v>NO</v>
      </c>
      <c r="Z327" s="255" t="str">
        <f>IF(ISNUMBER(SEARCH("H", 'Dry_Litterbag Placem_Collection'!V34)),"YES","NO")</f>
        <v>NO</v>
      </c>
      <c r="AA327" s="255" t="str">
        <f>IF(ISNUMBER(SEARCH("R", 'Dry_Litterbag Placem_Collection'!V34)),"YES","NO")</f>
        <v>NO</v>
      </c>
      <c r="AB327" s="255" t="str">
        <f>IF(ISNUMBER(SEARCH("C", 'Dry_Litterbag Placem_Collection'!U34)),"YES","NO")</f>
        <v>NO</v>
      </c>
      <c r="AC327" s="255" t="str">
        <f>IF(ISNUMBER(SEARCH("H", 'Dry_Litterbag Placem_Collection'!U34)),"YES","NO")</f>
        <v>NO</v>
      </c>
      <c r="AD327" s="255" t="str">
        <f>IF(ISNUMBER(SEARCH("R", 'Dry_Litterbag Placem_Collection'!U34)),"YES","NO")</f>
        <v>NO</v>
      </c>
    </row>
    <row r="328" spans="2:30">
      <c r="B328" t="str">
        <f>'Final data_for_R_analysis_Dryse'!A474</f>
        <v>Dry</v>
      </c>
      <c r="C328" s="263">
        <f>'Final data_for_R_analysis_Dryse'!B474</f>
        <v>33</v>
      </c>
      <c r="D328" t="s">
        <v>3831</v>
      </c>
      <c r="E328" t="s">
        <v>25</v>
      </c>
      <c r="F328" s="386">
        <v>1</v>
      </c>
      <c r="G328" s="16">
        <f>'Dry_Litterbag Placem_Collection'!E35</f>
        <v>42938</v>
      </c>
      <c r="H328" s="92" t="str">
        <f>'Final data_for_R_analysis_Dryse'!J474</f>
        <v>G139</v>
      </c>
      <c r="I328" t="str">
        <f>'Final data_for_R_analysis_Dryse'!J694</f>
        <v>R712</v>
      </c>
      <c r="J328">
        <f>IFERROR(INDEX('Green_rooibos initial weight'!$C$5:$C$1749,MATCH(H328, 'Green_rooibos initial weight'!$A$5:$A$1749,0)),"")</f>
        <v>2.0059999999999998</v>
      </c>
      <c r="K328">
        <f>IFERROR(INDEX('Green_rooibos initial weight'!$C$5:$C$1749,MATCH(I328, 'Green_rooibos initial weight'!$A$5:$A$1749,0)),"")</f>
        <v>2.161</v>
      </c>
      <c r="L328" s="195">
        <f t="shared" si="30"/>
        <v>1.7561999999999998</v>
      </c>
      <c r="M328" s="195">
        <f t="shared" si="31"/>
        <v>1.9112</v>
      </c>
      <c r="N328" s="16">
        <f>IF('Dry_Litterbag Placem_Collection'!G35="N.A","",'Dry_Litterbag Placem_Collection'!G35)</f>
        <v>43005</v>
      </c>
      <c r="O328" s="195">
        <f>IF(IFERROR(INDEX('Both teabags AfterDry'!$D$1:$D$839,MATCH(H328,'Both teabags AfterDry'!$A$1:$A$839,0)),"")="N.A","",(IFERROR(INDEX('Both teabags AfterDry'!$D$1:$D$839,MATCH(H328,'Both teabags AfterDry'!$A$1:$A$839,0)),"")))</f>
        <v>1.8048</v>
      </c>
      <c r="P328" s="195">
        <f>IF(IFERROR(INDEX('Both teabags AfterDry'!$D$1:$D$839,MATCH(I328,'Both teabags AfterDry'!$A$1:$A$839,0)),"")="N.A","",(IFERROR(INDEX('Both teabags AfterDry'!$D$1:$D$839,MATCH(I328,'Both teabags AfterDry'!$A$1:$A$839,0)),"")))</f>
        <v>1.9524999999999999</v>
      </c>
      <c r="Q328" s="195">
        <f t="shared" si="32"/>
        <v>1.6541999999999999</v>
      </c>
      <c r="R328" s="195">
        <f t="shared" si="32"/>
        <v>1.8018999999999998</v>
      </c>
      <c r="S328" s="195">
        <f t="shared" si="27"/>
        <v>5.8079945336521943E-2</v>
      </c>
      <c r="T328" s="195">
        <f t="shared" si="33"/>
        <v>3.8076163688551233E-2</v>
      </c>
      <c r="U328" s="195">
        <f t="shared" si="28"/>
        <v>0.94281079949769764</v>
      </c>
      <c r="V328">
        <f t="shared" si="29"/>
        <v>67</v>
      </c>
      <c r="W328" s="195">
        <f t="shared" si="34"/>
        <v>0.9310214425932043</v>
      </c>
      <c r="X328" s="195" t="str">
        <f t="shared" si="35"/>
        <v/>
      </c>
      <c r="Y328" s="255" t="str">
        <f>IF(ISNUMBER(SEARCH("C", 'Dry_Litterbag Placem_Collection'!V35)),"YES","NO")</f>
        <v>NO</v>
      </c>
      <c r="Z328" s="255" t="str">
        <f>IF(ISNUMBER(SEARCH("H", 'Dry_Litterbag Placem_Collection'!V35)),"YES","NO")</f>
        <v>NO</v>
      </c>
      <c r="AA328" s="255" t="str">
        <f>IF(ISNUMBER(SEARCH("R", 'Dry_Litterbag Placem_Collection'!V35)),"YES","NO")</f>
        <v>NO</v>
      </c>
      <c r="AB328" s="255" t="str">
        <f>IF(ISNUMBER(SEARCH("C", 'Dry_Litterbag Placem_Collection'!U35)),"YES","NO")</f>
        <v>NO</v>
      </c>
      <c r="AC328" s="255" t="str">
        <f>IF(ISNUMBER(SEARCH("H", 'Dry_Litterbag Placem_Collection'!U35)),"YES","NO")</f>
        <v>NO</v>
      </c>
      <c r="AD328" s="255" t="str">
        <f>IF(ISNUMBER(SEARCH("R", 'Dry_Litterbag Placem_Collection'!U35)),"YES","NO")</f>
        <v>NO</v>
      </c>
    </row>
    <row r="329" spans="2:30">
      <c r="B329" t="str">
        <f>'Final data_for_R_analysis_Dryse'!A475</f>
        <v>Dry</v>
      </c>
      <c r="C329" s="263">
        <f>'Final data_for_R_analysis_Dryse'!B475</f>
        <v>34</v>
      </c>
      <c r="D329" t="s">
        <v>3831</v>
      </c>
      <c r="E329" t="s">
        <v>25</v>
      </c>
      <c r="F329" s="386">
        <v>2</v>
      </c>
      <c r="G329" s="16">
        <f>'Dry_Litterbag Placem_Collection'!E36</f>
        <v>42938</v>
      </c>
      <c r="H329" s="92" t="str">
        <f>'Final data_for_R_analysis_Dryse'!J475</f>
        <v>G487</v>
      </c>
      <c r="I329" t="str">
        <f>'Final data_for_R_analysis_Dryse'!J695</f>
        <v>R324</v>
      </c>
      <c r="J329">
        <f>IFERROR(INDEX('Green_rooibos initial weight'!$C$5:$C$1749,MATCH(H329, 'Green_rooibos initial weight'!$A$5:$A$1749,0)),"")</f>
        <v>1.9259999999999999</v>
      </c>
      <c r="K329">
        <f>IFERROR(INDEX('Green_rooibos initial weight'!$C$5:$C$1749,MATCH(I329, 'Green_rooibos initial weight'!$A$5:$A$1749,0)),"")</f>
        <v>2.2410000000000001</v>
      </c>
      <c r="L329" s="195">
        <f t="shared" si="30"/>
        <v>1.6761999999999999</v>
      </c>
      <c r="M329" s="195">
        <f t="shared" si="31"/>
        <v>1.9912000000000001</v>
      </c>
      <c r="N329" s="16">
        <f>IF('Dry_Litterbag Placem_Collection'!G36="N.A","",'Dry_Litterbag Placem_Collection'!G36)</f>
        <v>43005</v>
      </c>
      <c r="O329" s="195" t="str">
        <f>IF(IFERROR(INDEX('Both teabags AfterDry'!$D$1:$D$839,MATCH(H329,'Both teabags AfterDry'!$A$1:$A$839,0)),"")="N.A","",(IFERROR(INDEX('Both teabags AfterDry'!$D$1:$D$839,MATCH(H329,'Both teabags AfterDry'!$A$1:$A$839,0)),"")))</f>
        <v/>
      </c>
      <c r="P329" s="195" t="str">
        <f>IF(IFERROR(INDEX('Both teabags AfterDry'!$D$1:$D$839,MATCH(I329,'Both teabags AfterDry'!$A$1:$A$839,0)),"")="N.A","",(IFERROR(INDEX('Both teabags AfterDry'!$D$1:$D$839,MATCH(I329,'Both teabags AfterDry'!$A$1:$A$839,0)),"")))</f>
        <v/>
      </c>
      <c r="Q329" s="195" t="str">
        <f t="shared" si="32"/>
        <v/>
      </c>
      <c r="R329" s="195" t="str">
        <f t="shared" si="32"/>
        <v/>
      </c>
      <c r="S329" s="195" t="str">
        <f t="shared" si="27"/>
        <v/>
      </c>
      <c r="T329" s="195" t="str">
        <f t="shared" si="33"/>
        <v/>
      </c>
      <c r="U329" s="195" t="str">
        <f t="shared" si="28"/>
        <v/>
      </c>
      <c r="V329">
        <f t="shared" si="29"/>
        <v>67</v>
      </c>
      <c r="W329" s="195" t="str">
        <f t="shared" si="34"/>
        <v/>
      </c>
      <c r="X329" s="195" t="str">
        <f t="shared" si="35"/>
        <v/>
      </c>
      <c r="Y329" s="255" t="str">
        <f>IF(ISNUMBER(SEARCH("C", 'Dry_Litterbag Placem_Collection'!V36)),"YES","NO")</f>
        <v>NO</v>
      </c>
      <c r="Z329" s="255" t="str">
        <f>IF(ISNUMBER(SEARCH("H", 'Dry_Litterbag Placem_Collection'!V36)),"YES","NO")</f>
        <v>NO</v>
      </c>
      <c r="AA329" s="255" t="str">
        <f>IF(ISNUMBER(SEARCH("R", 'Dry_Litterbag Placem_Collection'!V36)),"YES","NO")</f>
        <v>NO</v>
      </c>
      <c r="AB329" s="255" t="str">
        <f>IF(ISNUMBER(SEARCH("C", 'Dry_Litterbag Placem_Collection'!U36)),"YES","NO")</f>
        <v>NO</v>
      </c>
      <c r="AC329" s="255" t="str">
        <f>IF(ISNUMBER(SEARCH("H", 'Dry_Litterbag Placem_Collection'!U36)),"YES","NO")</f>
        <v>NO</v>
      </c>
      <c r="AD329" s="255" t="str">
        <f>IF(ISNUMBER(SEARCH("R", 'Dry_Litterbag Placem_Collection'!U36)),"YES","NO")</f>
        <v>NO</v>
      </c>
    </row>
    <row r="330" spans="2:30">
      <c r="B330" t="str">
        <f>'Final data_for_R_analysis_Dryse'!A476</f>
        <v>Dry</v>
      </c>
      <c r="C330" s="263">
        <f>'Final data_for_R_analysis_Dryse'!B476</f>
        <v>35</v>
      </c>
      <c r="D330" t="s">
        <v>3831</v>
      </c>
      <c r="E330" t="s">
        <v>25</v>
      </c>
      <c r="F330" s="386">
        <v>3</v>
      </c>
      <c r="G330" s="16">
        <f>'Dry_Litterbag Placem_Collection'!E37</f>
        <v>42938</v>
      </c>
      <c r="H330" s="92" t="str">
        <f>'Final data_for_R_analysis_Dryse'!J476</f>
        <v>G717</v>
      </c>
      <c r="I330" t="str">
        <f>'Final data_for_R_analysis_Dryse'!J696</f>
        <v>R108</v>
      </c>
      <c r="J330">
        <f>IFERROR(INDEX('Green_rooibos initial weight'!$C$5:$C$1749,MATCH(H330, 'Green_rooibos initial weight'!$A$5:$A$1749,0)),"")</f>
        <v>1.944</v>
      </c>
      <c r="K330">
        <f>IFERROR(INDEX('Green_rooibos initial weight'!$C$5:$C$1749,MATCH(I330, 'Green_rooibos initial weight'!$A$5:$A$1749,0)),"")</f>
        <v>2.1680000000000001</v>
      </c>
      <c r="L330" s="195">
        <f t="shared" si="30"/>
        <v>1.6941999999999999</v>
      </c>
      <c r="M330" s="195">
        <f t="shared" si="31"/>
        <v>1.9182000000000001</v>
      </c>
      <c r="N330" s="16">
        <f>IF('Dry_Litterbag Placem_Collection'!G37="N.A","",'Dry_Litterbag Placem_Collection'!G37)</f>
        <v>43005</v>
      </c>
      <c r="O330" s="195">
        <f>IF(IFERROR(INDEX('Both teabags AfterDry'!$D$1:$D$839,MATCH(H330,'Both teabags AfterDry'!$A$1:$A$839,0)),"")="N.A","",(IFERROR(INDEX('Both teabags AfterDry'!$D$1:$D$839,MATCH(H330,'Both teabags AfterDry'!$A$1:$A$839,0)),"")))</f>
        <v>1.8165</v>
      </c>
      <c r="P330" s="195">
        <f>IF(IFERROR(INDEX('Both teabags AfterDry'!$D$1:$D$839,MATCH(I330,'Both teabags AfterDry'!$A$1:$A$839,0)),"")="N.A","",(IFERROR(INDEX('Both teabags AfterDry'!$D$1:$D$839,MATCH(I330,'Both teabags AfterDry'!$A$1:$A$839,0)),"")))</f>
        <v>1.9638</v>
      </c>
      <c r="Q330" s="195">
        <f t="shared" si="32"/>
        <v>1.6658999999999999</v>
      </c>
      <c r="R330" s="195">
        <f t="shared" si="32"/>
        <v>1.8131999999999999</v>
      </c>
      <c r="S330" s="195">
        <f t="shared" si="27"/>
        <v>1.6704049108723917E-2</v>
      </c>
      <c r="T330" s="195">
        <f t="shared" si="33"/>
        <v>1.0950873049899758E-2</v>
      </c>
      <c r="U330" s="195">
        <f t="shared" si="28"/>
        <v>0.94526118235846091</v>
      </c>
      <c r="V330">
        <f t="shared" si="29"/>
        <v>67</v>
      </c>
      <c r="W330" s="195">
        <f t="shared" si="34"/>
        <v>0.98016146186612363</v>
      </c>
      <c r="X330" s="195" t="str">
        <f t="shared" si="35"/>
        <v/>
      </c>
      <c r="Y330" s="255" t="str">
        <f>IF(ISNUMBER(SEARCH("C", 'Dry_Litterbag Placem_Collection'!V37)),"YES","NO")</f>
        <v>NO</v>
      </c>
      <c r="Z330" s="255" t="str">
        <f>IF(ISNUMBER(SEARCH("H", 'Dry_Litterbag Placem_Collection'!V37)),"YES","NO")</f>
        <v>NO</v>
      </c>
      <c r="AA330" s="255" t="str">
        <f>IF(ISNUMBER(SEARCH("R", 'Dry_Litterbag Placem_Collection'!V37)),"YES","NO")</f>
        <v>NO</v>
      </c>
      <c r="AB330" s="255" t="str">
        <f>IF(ISNUMBER(SEARCH("C", 'Dry_Litterbag Placem_Collection'!U37)),"YES","NO")</f>
        <v>NO</v>
      </c>
      <c r="AC330" s="255" t="str">
        <f>IF(ISNUMBER(SEARCH("H", 'Dry_Litterbag Placem_Collection'!U37)),"YES","NO")</f>
        <v>NO</v>
      </c>
      <c r="AD330" s="255" t="str">
        <f>IF(ISNUMBER(SEARCH("R", 'Dry_Litterbag Placem_Collection'!U37)),"YES","NO")</f>
        <v>NO</v>
      </c>
    </row>
    <row r="331" spans="2:30">
      <c r="B331" t="str">
        <f>'Final data_for_R_analysis_Dryse'!A477</f>
        <v>Dry</v>
      </c>
      <c r="C331" s="263">
        <f>'Final data_for_R_analysis_Dryse'!B477</f>
        <v>36</v>
      </c>
      <c r="D331" t="s">
        <v>3831</v>
      </c>
      <c r="E331" t="s">
        <v>25</v>
      </c>
      <c r="F331" s="387">
        <v>4</v>
      </c>
      <c r="G331" s="16">
        <f>'Dry_Litterbag Placem_Collection'!E38</f>
        <v>42938</v>
      </c>
      <c r="H331" s="92" t="str">
        <f>'Final data_for_R_analysis_Dryse'!J477</f>
        <v>G767</v>
      </c>
      <c r="I331" t="str">
        <f>'Final data_for_R_analysis_Dryse'!J697</f>
        <v>R152</v>
      </c>
      <c r="J331">
        <f>IFERROR(INDEX('Green_rooibos initial weight'!$C$5:$C$1749,MATCH(H331, 'Green_rooibos initial weight'!$A$5:$A$1749,0)),"")</f>
        <v>1.8879999999999999</v>
      </c>
      <c r="K331">
        <f>IFERROR(INDEX('Green_rooibos initial weight'!$C$5:$C$1749,MATCH(I331, 'Green_rooibos initial weight'!$A$5:$A$1749,0)),"")</f>
        <v>2.1800000000000002</v>
      </c>
      <c r="L331" s="195">
        <f t="shared" si="30"/>
        <v>1.6381999999999999</v>
      </c>
      <c r="M331" s="195">
        <f t="shared" si="31"/>
        <v>1.9302000000000001</v>
      </c>
      <c r="N331" s="16">
        <f>IF('Dry_Litterbag Placem_Collection'!G38="N.A","",'Dry_Litterbag Placem_Collection'!G38)</f>
        <v>43005</v>
      </c>
      <c r="O331" s="195">
        <f>IF(IFERROR(INDEX('Both teabags AfterDry'!$D$1:$D$839,MATCH(H331,'Both teabags AfterDry'!$A$1:$A$839,0)),"")="N.A","",(IFERROR(INDEX('Both teabags AfterDry'!$D$1:$D$839,MATCH(H331,'Both teabags AfterDry'!$A$1:$A$839,0)),"")))</f>
        <v>1.4665999999999999</v>
      </c>
      <c r="P331" s="195" t="str">
        <f>IF(IFERROR(INDEX('Both teabags AfterDry'!$D$1:$D$839,MATCH(I331,'Both teabags AfterDry'!$A$1:$A$839,0)),"")="N.A","",(IFERROR(INDEX('Both teabags AfterDry'!$D$1:$D$839,MATCH(I331,'Both teabags AfterDry'!$A$1:$A$839,0)),"")))</f>
        <v/>
      </c>
      <c r="Q331" s="195">
        <f t="shared" si="32"/>
        <v>1.3159999999999998</v>
      </c>
      <c r="R331" s="195" t="str">
        <f t="shared" si="32"/>
        <v/>
      </c>
      <c r="S331" s="195">
        <f t="shared" si="27"/>
        <v>0.19667928213893304</v>
      </c>
      <c r="T331" s="195">
        <f t="shared" si="33"/>
        <v>0.12893938686542877</v>
      </c>
      <c r="U331" s="195" t="str">
        <f t="shared" si="28"/>
        <v/>
      </c>
      <c r="V331">
        <f t="shared" si="29"/>
        <v>67</v>
      </c>
      <c r="W331" s="195">
        <f t="shared" si="34"/>
        <v>0.76641415422929571</v>
      </c>
      <c r="X331" s="195" t="str">
        <f t="shared" si="35"/>
        <v/>
      </c>
      <c r="Y331" s="255" t="str">
        <f>IF(ISNUMBER(SEARCH("C", 'Dry_Litterbag Placem_Collection'!V38)),"YES","NO")</f>
        <v>NO</v>
      </c>
      <c r="Z331" s="255" t="str">
        <f>IF(ISNUMBER(SEARCH("H", 'Dry_Litterbag Placem_Collection'!V38)),"YES","NO")</f>
        <v>NO</v>
      </c>
      <c r="AA331" s="255" t="str">
        <f>IF(ISNUMBER(SEARCH("R", 'Dry_Litterbag Placem_Collection'!V38)),"YES","NO")</f>
        <v>NO</v>
      </c>
      <c r="AB331" s="255" t="str">
        <f>IF(ISNUMBER(SEARCH("C", 'Dry_Litterbag Placem_Collection'!U38)),"YES","NO")</f>
        <v>NO</v>
      </c>
      <c r="AC331" s="255" t="str">
        <f>IF(ISNUMBER(SEARCH("H", 'Dry_Litterbag Placem_Collection'!U38)),"YES","NO")</f>
        <v>NO</v>
      </c>
      <c r="AD331" s="255" t="str">
        <f>IF(ISNUMBER(SEARCH("R", 'Dry_Litterbag Placem_Collection'!U38)),"YES","NO")</f>
        <v>YES</v>
      </c>
    </row>
    <row r="332" spans="2:30">
      <c r="B332" t="str">
        <f>'Final data_for_R_analysis_Dryse'!A478</f>
        <v>Dry</v>
      </c>
      <c r="C332" s="263">
        <f>'Final data_for_R_analysis_Dryse'!B478</f>
        <v>37</v>
      </c>
      <c r="D332" t="s">
        <v>3831</v>
      </c>
      <c r="E332" t="s">
        <v>25</v>
      </c>
      <c r="F332" s="387">
        <v>5</v>
      </c>
      <c r="G332" s="16">
        <f>'Dry_Litterbag Placem_Collection'!E39</f>
        <v>42938</v>
      </c>
      <c r="H332" s="92" t="str">
        <f>'Final data_for_R_analysis_Dryse'!J478</f>
        <v>G473</v>
      </c>
      <c r="I332" t="str">
        <f>'Final data_for_R_analysis_Dryse'!J698</f>
        <v>R681</v>
      </c>
      <c r="J332">
        <f>IFERROR(INDEX('Green_rooibos initial weight'!$C$5:$C$1749,MATCH(H332, 'Green_rooibos initial weight'!$A$5:$A$1749,0)),"")</f>
        <v>2.077</v>
      </c>
      <c r="K332">
        <f>IFERROR(INDEX('Green_rooibos initial weight'!$C$5:$C$1749,MATCH(I332, 'Green_rooibos initial weight'!$A$5:$A$1749,0)),"")</f>
        <v>2.1859999999999999</v>
      </c>
      <c r="L332" s="195">
        <f t="shared" si="30"/>
        <v>1.8271999999999999</v>
      </c>
      <c r="M332" s="195">
        <f t="shared" si="31"/>
        <v>1.9361999999999999</v>
      </c>
      <c r="N332" s="16">
        <f>IF('Dry_Litterbag Placem_Collection'!G39="N.A","",'Dry_Litterbag Placem_Collection'!G39)</f>
        <v>43005</v>
      </c>
      <c r="O332" s="195">
        <f>IF(IFERROR(INDEX('Both teabags AfterDry'!$D$1:$D$839,MATCH(H332,'Both teabags AfterDry'!$A$1:$A$839,0)),"")="N.A","",(IFERROR(INDEX('Both teabags AfterDry'!$D$1:$D$839,MATCH(H332,'Both teabags AfterDry'!$A$1:$A$839,0)),"")))</f>
        <v>1.8992</v>
      </c>
      <c r="P332" s="195">
        <f>IF(IFERROR(INDEX('Both teabags AfterDry'!$D$1:$D$839,MATCH(I332,'Both teabags AfterDry'!$A$1:$A$839,0)),"")="N.A","",(IFERROR(INDEX('Both teabags AfterDry'!$D$1:$D$839,MATCH(I332,'Both teabags AfterDry'!$A$1:$A$839,0)),"")))</f>
        <v>1.9663999999999999</v>
      </c>
      <c r="Q332" s="195">
        <f t="shared" si="32"/>
        <v>1.7485999999999999</v>
      </c>
      <c r="R332" s="195">
        <f t="shared" si="32"/>
        <v>1.8157999999999999</v>
      </c>
      <c r="S332" s="195">
        <f t="shared" ref="S332:S395" si="36">IFERROR(1-Q332/L332,"")</f>
        <v>4.3016637478108577E-2</v>
      </c>
      <c r="T332" s="195">
        <f t="shared" si="33"/>
        <v>2.820093098327309E-2</v>
      </c>
      <c r="U332" s="195">
        <f t="shared" ref="U332:U395" si="37">IFERROR(R332/M332,"")</f>
        <v>0.93781634128705704</v>
      </c>
      <c r="V332">
        <f t="shared" ref="V332:V395" si="38">IF((N332-G332)&gt;0,(IFERROR(N332-G332,"")),"")</f>
        <v>67</v>
      </c>
      <c r="W332" s="195">
        <f t="shared" si="34"/>
        <v>0.94891135691436035</v>
      </c>
      <c r="X332" s="195" t="str">
        <f t="shared" si="35"/>
        <v/>
      </c>
      <c r="Y332" s="255" t="str">
        <f>IF(ISNUMBER(SEARCH("C", 'Dry_Litterbag Placem_Collection'!V39)),"YES","NO")</f>
        <v>NO</v>
      </c>
      <c r="Z332" s="255" t="str">
        <f>IF(ISNUMBER(SEARCH("H", 'Dry_Litterbag Placem_Collection'!V39)),"YES","NO")</f>
        <v>NO</v>
      </c>
      <c r="AA332" s="255" t="str">
        <f>IF(ISNUMBER(SEARCH("R", 'Dry_Litterbag Placem_Collection'!V39)),"YES","NO")</f>
        <v>NO</v>
      </c>
      <c r="AB332" s="255" t="str">
        <f>IF(ISNUMBER(SEARCH("C", 'Dry_Litterbag Placem_Collection'!U39)),"YES","NO")</f>
        <v>NO</v>
      </c>
      <c r="AC332" s="255" t="str">
        <f>IF(ISNUMBER(SEARCH("H", 'Dry_Litterbag Placem_Collection'!U39)),"YES","NO")</f>
        <v>NO</v>
      </c>
      <c r="AD332" s="255" t="str">
        <f>IF(ISNUMBER(SEARCH("R", 'Dry_Litterbag Placem_Collection'!U39)),"YES","NO")</f>
        <v>NO</v>
      </c>
    </row>
    <row r="333" spans="2:30">
      <c r="B333" t="str">
        <f>'Final data_for_R_analysis_Dryse'!A479</f>
        <v>Dry</v>
      </c>
      <c r="C333" s="263">
        <f>'Final data_for_R_analysis_Dryse'!B479</f>
        <v>38</v>
      </c>
      <c r="D333" t="s">
        <v>3831</v>
      </c>
      <c r="E333" t="s">
        <v>25</v>
      </c>
      <c r="F333" s="387">
        <v>6</v>
      </c>
      <c r="G333" s="16">
        <f>'Dry_Litterbag Placem_Collection'!E40</f>
        <v>42938</v>
      </c>
      <c r="H333" s="92" t="str">
        <f>'Final data_for_R_analysis_Dryse'!J479</f>
        <v>G111</v>
      </c>
      <c r="I333" t="str">
        <f>'Final data_for_R_analysis_Dryse'!J699</f>
        <v>R260</v>
      </c>
      <c r="J333">
        <f>IFERROR(INDEX('Green_rooibos initial weight'!$C$5:$C$1749,MATCH(H333, 'Green_rooibos initial weight'!$A$5:$A$1749,0)),"")</f>
        <v>2.0750000000000002</v>
      </c>
      <c r="K333">
        <f>IFERROR(INDEX('Green_rooibos initial weight'!$C$5:$C$1749,MATCH(I333, 'Green_rooibos initial weight'!$A$5:$A$1749,0)),"")</f>
        <v>2.1779999999999999</v>
      </c>
      <c r="L333" s="195">
        <f t="shared" ref="L333:L396" si="39">IFERROR(IF(J333&gt;0,(J333*$F$31-($F$29+$F$30)),""),"")</f>
        <v>1.8252000000000002</v>
      </c>
      <c r="M333" s="195">
        <f t="shared" ref="M333:M396" si="40">IFERROR(IF(K333&gt;0,(K333*$F$32-($F$29+$F$30)),""),"")</f>
        <v>1.9281999999999999</v>
      </c>
      <c r="N333" s="16">
        <f>IF('Dry_Litterbag Placem_Collection'!G40="N.A","",'Dry_Litterbag Placem_Collection'!G40)</f>
        <v>43005</v>
      </c>
      <c r="O333" s="195">
        <f>IF(IFERROR(INDEX('Both teabags AfterDry'!$D$1:$D$839,MATCH(H333,'Both teabags AfterDry'!$A$1:$A$839,0)),"")="N.A","",(IFERROR(INDEX('Both teabags AfterDry'!$D$1:$D$839,MATCH(H333,'Both teabags AfterDry'!$A$1:$A$839,0)),"")))</f>
        <v>1.8357000000000001</v>
      </c>
      <c r="P333" s="195">
        <f>IF(IFERROR(INDEX('Both teabags AfterDry'!$D$1:$D$839,MATCH(I333,'Both teabags AfterDry'!$A$1:$A$839,0)),"")="N.A","",(IFERROR(INDEX('Both teabags AfterDry'!$D$1:$D$839,MATCH(I333,'Both teabags AfterDry'!$A$1:$A$839,0)),"")))</f>
        <v>1.8734</v>
      </c>
      <c r="Q333" s="195">
        <f t="shared" ref="Q333:R396" si="41">IFERROR(IF(O333&gt;0,O333-($F$29),""),"")</f>
        <v>1.6851</v>
      </c>
      <c r="R333" s="195">
        <f t="shared" si="41"/>
        <v>1.7227999999999999</v>
      </c>
      <c r="S333" s="195">
        <f t="shared" si="36"/>
        <v>7.6758711374096067E-2</v>
      </c>
      <c r="T333" s="195">
        <f t="shared" ref="T333:T396" si="42">IFERROR($F$26*(1-W333),"")</f>
        <v>5.0321625508908591E-2</v>
      </c>
      <c r="U333" s="195">
        <f t="shared" si="37"/>
        <v>0.89347578052069287</v>
      </c>
      <c r="V333">
        <f t="shared" si="38"/>
        <v>67</v>
      </c>
      <c r="W333" s="195">
        <f t="shared" ref="W333:W396" si="43">IFERROR(1-(S333/$F$25),"")</f>
        <v>0.90883763494762937</v>
      </c>
      <c r="X333" s="195" t="str">
        <f t="shared" ref="X333:X396" si="44">IFERROR(LN(T333/(U333-(1-T333)))/V333,"")</f>
        <v/>
      </c>
      <c r="Y333" s="255" t="str">
        <f>IF(ISNUMBER(SEARCH("C", 'Dry_Litterbag Placem_Collection'!V40)),"YES","NO")</f>
        <v>NO</v>
      </c>
      <c r="Z333" s="255" t="str">
        <f>IF(ISNUMBER(SEARCH("H", 'Dry_Litterbag Placem_Collection'!V40)),"YES","NO")</f>
        <v>NO</v>
      </c>
      <c r="AA333" s="255" t="str">
        <f>IF(ISNUMBER(SEARCH("R", 'Dry_Litterbag Placem_Collection'!V40)),"YES","NO")</f>
        <v>NO</v>
      </c>
      <c r="AB333" s="255" t="str">
        <f>IF(ISNUMBER(SEARCH("C", 'Dry_Litterbag Placem_Collection'!U40)),"YES","NO")</f>
        <v>NO</v>
      </c>
      <c r="AC333" s="255" t="str">
        <f>IF(ISNUMBER(SEARCH("H", 'Dry_Litterbag Placem_Collection'!U40)),"YES","NO")</f>
        <v>NO</v>
      </c>
      <c r="AD333" s="255" t="str">
        <f>IF(ISNUMBER(SEARCH("R", 'Dry_Litterbag Placem_Collection'!U40)),"YES","NO")</f>
        <v>NO</v>
      </c>
    </row>
    <row r="334" spans="2:30">
      <c r="B334" t="str">
        <f>'Final data_for_R_analysis_Dryse'!A480</f>
        <v>Dry</v>
      </c>
      <c r="C334" s="263">
        <f>'Final data_for_R_analysis_Dryse'!B480</f>
        <v>39</v>
      </c>
      <c r="D334" t="s">
        <v>3831</v>
      </c>
      <c r="E334" t="s">
        <v>25</v>
      </c>
      <c r="F334" s="387">
        <v>7</v>
      </c>
      <c r="G334" s="16">
        <f>'Dry_Litterbag Placem_Collection'!E41</f>
        <v>42938</v>
      </c>
      <c r="H334" s="92" t="str">
        <f>'Final data_for_R_analysis_Dryse'!J480</f>
        <v/>
      </c>
      <c r="I334" t="str">
        <f>'Final data_for_R_analysis_Dryse'!J700</f>
        <v/>
      </c>
      <c r="J334" t="str">
        <f>IFERROR(INDEX('Green_rooibos initial weight'!$C$5:$C$1749,MATCH(H334, 'Green_rooibos initial weight'!$A$5:$A$1749,0)),"")</f>
        <v/>
      </c>
      <c r="K334" t="str">
        <f>IFERROR(INDEX('Green_rooibos initial weight'!$C$5:$C$1749,MATCH(I334, 'Green_rooibos initial weight'!$A$5:$A$1749,0)),"")</f>
        <v/>
      </c>
      <c r="L334" s="195" t="str">
        <f t="shared" si="39"/>
        <v/>
      </c>
      <c r="M334" s="195" t="str">
        <f t="shared" si="40"/>
        <v/>
      </c>
      <c r="N334" s="16">
        <f>IF('Dry_Litterbag Placem_Collection'!G41="N.A","",'Dry_Litterbag Placem_Collection'!G41)</f>
        <v>0</v>
      </c>
      <c r="O334" s="195" t="str">
        <f>IF(IFERROR(INDEX('Both teabags AfterDry'!$D$1:$D$839,MATCH(H334,'Both teabags AfterDry'!$A$1:$A$839,0)),"")="N.A","",(IFERROR(INDEX('Both teabags AfterDry'!$D$1:$D$839,MATCH(H334,'Both teabags AfterDry'!$A$1:$A$839,0)),"")))</f>
        <v/>
      </c>
      <c r="P334" s="195" t="str">
        <f>IF(IFERROR(INDEX('Both teabags AfterDry'!$D$1:$D$839,MATCH(I334,'Both teabags AfterDry'!$A$1:$A$839,0)),"")="N.A","",(IFERROR(INDEX('Both teabags AfterDry'!$D$1:$D$839,MATCH(I334,'Both teabags AfterDry'!$A$1:$A$839,0)),"")))</f>
        <v/>
      </c>
      <c r="Q334" s="195" t="str">
        <f t="shared" si="41"/>
        <v/>
      </c>
      <c r="R334" s="195" t="str">
        <f t="shared" si="41"/>
        <v/>
      </c>
      <c r="S334" s="195" t="str">
        <f t="shared" si="36"/>
        <v/>
      </c>
      <c r="T334" s="195" t="str">
        <f t="shared" si="42"/>
        <v/>
      </c>
      <c r="U334" s="195" t="str">
        <f t="shared" si="37"/>
        <v/>
      </c>
      <c r="V334" t="str">
        <f t="shared" si="38"/>
        <v/>
      </c>
      <c r="W334" s="195" t="str">
        <f t="shared" si="43"/>
        <v/>
      </c>
      <c r="X334" s="195" t="str">
        <f t="shared" si="44"/>
        <v/>
      </c>
      <c r="Y334" s="255" t="str">
        <f>IF(ISNUMBER(SEARCH("C", 'Dry_Litterbag Placem_Collection'!V41)),"YES","NO")</f>
        <v>NO</v>
      </c>
      <c r="Z334" s="255" t="str">
        <f>IF(ISNUMBER(SEARCH("H", 'Dry_Litterbag Placem_Collection'!V41)),"YES","NO")</f>
        <v>NO</v>
      </c>
      <c r="AA334" s="255" t="str">
        <f>IF(ISNUMBER(SEARCH("R", 'Dry_Litterbag Placem_Collection'!V41)),"YES","NO")</f>
        <v>NO</v>
      </c>
      <c r="AB334" s="255" t="str">
        <f>IF(ISNUMBER(SEARCH("C", 'Dry_Litterbag Placem_Collection'!U41)),"YES","NO")</f>
        <v>NO</v>
      </c>
      <c r="AC334" s="255" t="str">
        <f>IF(ISNUMBER(SEARCH("H", 'Dry_Litterbag Placem_Collection'!U41)),"YES","NO")</f>
        <v>NO</v>
      </c>
      <c r="AD334" s="255" t="str">
        <f>IF(ISNUMBER(SEARCH("R", 'Dry_Litterbag Placem_Collection'!U41)),"YES","NO")</f>
        <v>NO</v>
      </c>
    </row>
    <row r="335" spans="2:30">
      <c r="B335" t="str">
        <f>'Final data_for_R_analysis_Dryse'!A481</f>
        <v>Dry</v>
      </c>
      <c r="C335" s="263">
        <f>'Final data_for_R_analysis_Dryse'!B481</f>
        <v>40</v>
      </c>
      <c r="D335" t="s">
        <v>3831</v>
      </c>
      <c r="E335" t="s">
        <v>25</v>
      </c>
      <c r="F335" s="387">
        <v>8</v>
      </c>
      <c r="G335" s="16">
        <f>'Dry_Litterbag Placem_Collection'!E42</f>
        <v>42938</v>
      </c>
      <c r="H335" s="92" t="str">
        <f>'Final data_for_R_analysis_Dryse'!J481</f>
        <v>G646</v>
      </c>
      <c r="I335" t="str">
        <f>'Final data_for_R_analysis_Dryse'!J701</f>
        <v>R402</v>
      </c>
      <c r="J335">
        <f>IFERROR(INDEX('Green_rooibos initial weight'!$C$5:$C$1749,MATCH(H335, 'Green_rooibos initial weight'!$A$5:$A$1749,0)),"")</f>
        <v>2.1629999999999998</v>
      </c>
      <c r="K335">
        <f>IFERROR(INDEX('Green_rooibos initial weight'!$C$5:$C$1749,MATCH(I335, 'Green_rooibos initial weight'!$A$5:$A$1749,0)),"")</f>
        <v>2.1459999999999999</v>
      </c>
      <c r="L335" s="195">
        <f t="shared" si="39"/>
        <v>1.9131999999999998</v>
      </c>
      <c r="M335" s="195">
        <f t="shared" si="40"/>
        <v>1.8961999999999999</v>
      </c>
      <c r="N335" s="16">
        <f>IF('Dry_Litterbag Placem_Collection'!G42="N.A","",'Dry_Litterbag Placem_Collection'!G42)</f>
        <v>43005</v>
      </c>
      <c r="O335" s="195">
        <f>IF(IFERROR(INDEX('Both teabags AfterDry'!$D$1:$D$839,MATCH(H335,'Both teabags AfterDry'!$A$1:$A$839,0)),"")="N.A","",(IFERROR(INDEX('Both teabags AfterDry'!$D$1:$D$839,MATCH(H335,'Both teabags AfterDry'!$A$1:$A$839,0)),"")))</f>
        <v>1.9007000000000001</v>
      </c>
      <c r="P335" s="195">
        <f>IF(IFERROR(INDEX('Both teabags AfterDry'!$D$1:$D$839,MATCH(I335,'Both teabags AfterDry'!$A$1:$A$839,0)),"")="N.A","",(IFERROR(INDEX('Both teabags AfterDry'!$D$1:$D$839,MATCH(I335,'Both teabags AfterDry'!$A$1:$A$839,0)),"")))</f>
        <v>1.9192</v>
      </c>
      <c r="Q335" s="195">
        <f t="shared" si="41"/>
        <v>1.7501</v>
      </c>
      <c r="R335" s="195">
        <f t="shared" si="41"/>
        <v>1.7685999999999999</v>
      </c>
      <c r="S335" s="195">
        <f t="shared" si="36"/>
        <v>8.5249843194647568E-2</v>
      </c>
      <c r="T335" s="195">
        <f t="shared" si="42"/>
        <v>5.5888258246372301E-2</v>
      </c>
      <c r="U335" s="195">
        <f t="shared" si="37"/>
        <v>0.93270752030376547</v>
      </c>
      <c r="V335">
        <f t="shared" si="38"/>
        <v>67</v>
      </c>
      <c r="W335" s="195">
        <f t="shared" si="43"/>
        <v>0.89875315535077482</v>
      </c>
      <c r="X335" s="195" t="str">
        <f t="shared" si="44"/>
        <v/>
      </c>
      <c r="Y335" s="255" t="str">
        <f>IF(ISNUMBER(SEARCH("C", 'Dry_Litterbag Placem_Collection'!V42)),"YES","NO")</f>
        <v>NO</v>
      </c>
      <c r="Z335" s="255" t="str">
        <f>IF(ISNUMBER(SEARCH("H", 'Dry_Litterbag Placem_Collection'!V42)),"YES","NO")</f>
        <v>NO</v>
      </c>
      <c r="AA335" s="255" t="str">
        <f>IF(ISNUMBER(SEARCH("R", 'Dry_Litterbag Placem_Collection'!V42)),"YES","NO")</f>
        <v>NO</v>
      </c>
      <c r="AB335" s="255" t="str">
        <f>IF(ISNUMBER(SEARCH("C", 'Dry_Litterbag Placem_Collection'!U42)),"YES","NO")</f>
        <v>NO</v>
      </c>
      <c r="AC335" s="255" t="str">
        <f>IF(ISNUMBER(SEARCH("H", 'Dry_Litterbag Placem_Collection'!U42)),"YES","NO")</f>
        <v>NO</v>
      </c>
      <c r="AD335" s="255" t="str">
        <f>IF(ISNUMBER(SEARCH("R", 'Dry_Litterbag Placem_Collection'!U42)),"YES","NO")</f>
        <v>NO</v>
      </c>
    </row>
    <row r="336" spans="2:30">
      <c r="B336" t="str">
        <f>'Final data_for_R_analysis_Dryse'!A482</f>
        <v>Dry</v>
      </c>
      <c r="C336" s="263">
        <f>'Final data_for_R_analysis_Dryse'!B482</f>
        <v>41</v>
      </c>
      <c r="D336" t="s">
        <v>3833</v>
      </c>
      <c r="E336" t="s">
        <v>25</v>
      </c>
      <c r="F336" s="386">
        <v>1</v>
      </c>
      <c r="G336" s="16">
        <f>'Dry_Litterbag Placem_Collection'!E43</f>
        <v>42938</v>
      </c>
      <c r="H336" s="92" t="str">
        <f>'Final data_for_R_analysis_Dryse'!J482</f>
        <v>G43</v>
      </c>
      <c r="I336" t="str">
        <f>'Final data_for_R_analysis_Dryse'!J702</f>
        <v>R648</v>
      </c>
      <c r="J336">
        <f>IFERROR(INDEX('Green_rooibos initial weight'!$C$5:$C$1749,MATCH(H336, 'Green_rooibos initial weight'!$A$5:$A$1749,0)),"")</f>
        <v>1.9650000000000001</v>
      </c>
      <c r="K336">
        <f>IFERROR(INDEX('Green_rooibos initial weight'!$C$5:$C$1749,MATCH(I336, 'Green_rooibos initial weight'!$A$5:$A$1749,0)),"")</f>
        <v>2.1920000000000002</v>
      </c>
      <c r="L336" s="195">
        <f t="shared" si="39"/>
        <v>1.7152000000000001</v>
      </c>
      <c r="M336" s="195">
        <f t="shared" si="40"/>
        <v>1.9422000000000001</v>
      </c>
      <c r="N336" s="16">
        <f>IF('Dry_Litterbag Placem_Collection'!G43="N.A","",'Dry_Litterbag Placem_Collection'!G43)</f>
        <v>43005</v>
      </c>
      <c r="O336" s="195">
        <f>IF(IFERROR(INDEX('Both teabags AfterDry'!$D$1:$D$839,MATCH(H336,'Both teabags AfterDry'!$A$1:$A$839,0)),"")="N.A","",(IFERROR(INDEX('Both teabags AfterDry'!$D$1:$D$839,MATCH(H336,'Both teabags AfterDry'!$A$1:$A$839,0)),"")))</f>
        <v>1.7821</v>
      </c>
      <c r="P336" s="195">
        <f>IF(IFERROR(INDEX('Both teabags AfterDry'!$D$1:$D$839,MATCH(I336,'Both teabags AfterDry'!$A$1:$A$839,0)),"")="N.A","",(IFERROR(INDEX('Both teabags AfterDry'!$D$1:$D$839,MATCH(I336,'Both teabags AfterDry'!$A$1:$A$839,0)),"")))</f>
        <v>1.9649000000000001</v>
      </c>
      <c r="Q336" s="195">
        <f t="shared" si="41"/>
        <v>1.6315</v>
      </c>
      <c r="R336" s="195">
        <f t="shared" si="41"/>
        <v>1.8143</v>
      </c>
      <c r="S336" s="195">
        <f t="shared" si="36"/>
        <v>4.8798973880597063E-2</v>
      </c>
      <c r="T336" s="195">
        <f t="shared" si="42"/>
        <v>3.1991726344524449E-2</v>
      </c>
      <c r="U336" s="195">
        <f t="shared" si="37"/>
        <v>0.93414684378539792</v>
      </c>
      <c r="V336">
        <f t="shared" si="38"/>
        <v>67</v>
      </c>
      <c r="W336" s="195">
        <f t="shared" si="43"/>
        <v>0.94204397401354267</v>
      </c>
      <c r="X336" s="195" t="str">
        <f t="shared" si="44"/>
        <v/>
      </c>
      <c r="Y336" s="255" t="str">
        <f>IF(ISNUMBER(SEARCH("C", 'Dry_Litterbag Placem_Collection'!V43)),"YES","NO")</f>
        <v>NO</v>
      </c>
      <c r="Z336" s="255" t="str">
        <f>IF(ISNUMBER(SEARCH("H", 'Dry_Litterbag Placem_Collection'!V43)),"YES","NO")</f>
        <v>NO</v>
      </c>
      <c r="AA336" s="255" t="str">
        <f>IF(ISNUMBER(SEARCH("R", 'Dry_Litterbag Placem_Collection'!V43)),"YES","NO")</f>
        <v>NO</v>
      </c>
      <c r="AB336" s="255" t="str">
        <f>IF(ISNUMBER(SEARCH("C", 'Dry_Litterbag Placem_Collection'!U43)),"YES","NO")</f>
        <v>NO</v>
      </c>
      <c r="AC336" s="255" t="str">
        <f>IF(ISNUMBER(SEARCH("H", 'Dry_Litterbag Placem_Collection'!U43)),"YES","NO")</f>
        <v>NO</v>
      </c>
      <c r="AD336" s="255" t="str">
        <f>IF(ISNUMBER(SEARCH("R", 'Dry_Litterbag Placem_Collection'!U43)),"YES","NO")</f>
        <v>NO</v>
      </c>
    </row>
    <row r="337" spans="2:30">
      <c r="B337" t="str">
        <f>'Final data_for_R_analysis_Dryse'!A483</f>
        <v>Dry</v>
      </c>
      <c r="C337" s="263">
        <f>'Final data_for_R_analysis_Dryse'!B483</f>
        <v>42</v>
      </c>
      <c r="D337" t="s">
        <v>3833</v>
      </c>
      <c r="E337" t="s">
        <v>25</v>
      </c>
      <c r="F337" s="386">
        <v>2</v>
      </c>
      <c r="G337" s="16">
        <f>'Dry_Litterbag Placem_Collection'!E44</f>
        <v>42938</v>
      </c>
      <c r="H337" s="92" t="str">
        <f>'Final data_for_R_analysis_Dryse'!J483</f>
        <v>G268</v>
      </c>
      <c r="I337" t="str">
        <f>'Final data_for_R_analysis_Dryse'!J703</f>
        <v>R257</v>
      </c>
      <c r="J337">
        <f>IFERROR(INDEX('Green_rooibos initial weight'!$C$5:$C$1749,MATCH(H337, 'Green_rooibos initial weight'!$A$5:$A$1749,0)),"")</f>
        <v>2.1389999999999998</v>
      </c>
      <c r="K337">
        <f>IFERROR(INDEX('Green_rooibos initial weight'!$C$5:$C$1749,MATCH(I337, 'Green_rooibos initial weight'!$A$5:$A$1749,0)),"")</f>
        <v>2.222</v>
      </c>
      <c r="L337" s="195">
        <f t="shared" si="39"/>
        <v>1.8891999999999998</v>
      </c>
      <c r="M337" s="195">
        <f t="shared" si="40"/>
        <v>1.9722</v>
      </c>
      <c r="N337" s="16">
        <f>IF('Dry_Litterbag Placem_Collection'!G44="N.A","",'Dry_Litterbag Placem_Collection'!G44)</f>
        <v>43005</v>
      </c>
      <c r="O337" s="195">
        <f>IF(IFERROR(INDEX('Both teabags AfterDry'!$D$1:$D$839,MATCH(H337,'Both teabags AfterDry'!$A$1:$A$839,0)),"")="N.A","",(IFERROR(INDEX('Both teabags AfterDry'!$D$1:$D$839,MATCH(H337,'Both teabags AfterDry'!$A$1:$A$839,0)),"")))</f>
        <v>1.7633000000000001</v>
      </c>
      <c r="P337" s="195">
        <f>IF(IFERROR(INDEX('Both teabags AfterDry'!$D$1:$D$839,MATCH(I337,'Both teabags AfterDry'!$A$1:$A$839,0)),"")="N.A","",(IFERROR(INDEX('Both teabags AfterDry'!$D$1:$D$839,MATCH(I337,'Both teabags AfterDry'!$A$1:$A$839,0)),"")))</f>
        <v>1.956</v>
      </c>
      <c r="Q337" s="195">
        <f t="shared" si="41"/>
        <v>1.6127</v>
      </c>
      <c r="R337" s="195">
        <f t="shared" si="41"/>
        <v>1.8053999999999999</v>
      </c>
      <c r="S337" s="195">
        <f t="shared" si="36"/>
        <v>0.14635824687698484</v>
      </c>
      <c r="T337" s="195">
        <f t="shared" si="42"/>
        <v>9.5949824555933094E-2</v>
      </c>
      <c r="U337" s="195">
        <f t="shared" si="37"/>
        <v>0.91542439914815943</v>
      </c>
      <c r="V337">
        <f t="shared" si="38"/>
        <v>67</v>
      </c>
      <c r="W337" s="195">
        <f t="shared" si="43"/>
        <v>0.82617785406533861</v>
      </c>
      <c r="X337" s="195">
        <f t="shared" si="44"/>
        <v>3.1827995182734742E-2</v>
      </c>
      <c r="Y337" s="255" t="str">
        <f>IF(ISNUMBER(SEARCH("C", 'Dry_Litterbag Placem_Collection'!V44)),"YES","NO")</f>
        <v>NO</v>
      </c>
      <c r="Z337" s="255" t="str">
        <f>IF(ISNUMBER(SEARCH("H", 'Dry_Litterbag Placem_Collection'!V44)),"YES","NO")</f>
        <v>NO</v>
      </c>
      <c r="AA337" s="255" t="str">
        <f>IF(ISNUMBER(SEARCH("R", 'Dry_Litterbag Placem_Collection'!V44)),"YES","NO")</f>
        <v>NO</v>
      </c>
      <c r="AB337" s="255" t="str">
        <f>IF(ISNUMBER(SEARCH("C", 'Dry_Litterbag Placem_Collection'!U44)),"YES","NO")</f>
        <v>NO</v>
      </c>
      <c r="AC337" s="255" t="str">
        <f>IF(ISNUMBER(SEARCH("H", 'Dry_Litterbag Placem_Collection'!U44)),"YES","NO")</f>
        <v>NO</v>
      </c>
      <c r="AD337" s="255" t="str">
        <f>IF(ISNUMBER(SEARCH("R", 'Dry_Litterbag Placem_Collection'!U44)),"YES","NO")</f>
        <v>YES</v>
      </c>
    </row>
    <row r="338" spans="2:30">
      <c r="B338" t="str">
        <f>'Final data_for_R_analysis_Dryse'!A484</f>
        <v>Dry</v>
      </c>
      <c r="C338" s="263">
        <f>'Final data_for_R_analysis_Dryse'!B484</f>
        <v>43</v>
      </c>
      <c r="D338" t="s">
        <v>3833</v>
      </c>
      <c r="E338" t="s">
        <v>25</v>
      </c>
      <c r="F338" s="386">
        <v>3</v>
      </c>
      <c r="G338" s="16">
        <f>'Dry_Litterbag Placem_Collection'!E45</f>
        <v>42938</v>
      </c>
      <c r="H338" s="92" t="str">
        <f>'Final data_for_R_analysis_Dryse'!J484</f>
        <v>G300</v>
      </c>
      <c r="I338" t="str">
        <f>'Final data_for_R_analysis_Dryse'!J704</f>
        <v>R691</v>
      </c>
      <c r="J338">
        <f>IFERROR(INDEX('Green_rooibos initial weight'!$C$5:$C$1749,MATCH(H338, 'Green_rooibos initial weight'!$A$5:$A$1749,0)),"")</f>
        <v>2.052</v>
      </c>
      <c r="K338">
        <f>IFERROR(INDEX('Green_rooibos initial weight'!$C$5:$C$1749,MATCH(I338, 'Green_rooibos initial weight'!$A$5:$A$1749,0)),"")</f>
        <v>2.1859999999999999</v>
      </c>
      <c r="L338" s="195">
        <f t="shared" si="39"/>
        <v>1.8022</v>
      </c>
      <c r="M338" s="195">
        <f t="shared" si="40"/>
        <v>1.9361999999999999</v>
      </c>
      <c r="N338" s="16">
        <f>IF('Dry_Litterbag Placem_Collection'!G45="N.A","",'Dry_Litterbag Placem_Collection'!G45)</f>
        <v>43005</v>
      </c>
      <c r="O338" s="195">
        <f>IF(IFERROR(INDEX('Both teabags AfterDry'!$D$1:$D$839,MATCH(H338,'Both teabags AfterDry'!$A$1:$A$839,0)),"")="N.A","",(IFERROR(INDEX('Both teabags AfterDry'!$D$1:$D$839,MATCH(H338,'Both teabags AfterDry'!$A$1:$A$839,0)),"")))</f>
        <v>1.8340000000000001</v>
      </c>
      <c r="P338" s="195">
        <f>IF(IFERROR(INDEX('Both teabags AfterDry'!$D$1:$D$839,MATCH(I338,'Both teabags AfterDry'!$A$1:$A$839,0)),"")="N.A","",(IFERROR(INDEX('Both teabags AfterDry'!$D$1:$D$839,MATCH(I338,'Both teabags AfterDry'!$A$1:$A$839,0)),"")))</f>
        <v>1.9609000000000001</v>
      </c>
      <c r="Q338" s="195">
        <f t="shared" si="41"/>
        <v>1.6834</v>
      </c>
      <c r="R338" s="195">
        <f t="shared" si="41"/>
        <v>1.8103</v>
      </c>
      <c r="S338" s="195">
        <f t="shared" si="36"/>
        <v>6.5919431805571027E-2</v>
      </c>
      <c r="T338" s="195">
        <f t="shared" si="42"/>
        <v>4.3215589497238978E-2</v>
      </c>
      <c r="U338" s="195">
        <f t="shared" si="37"/>
        <v>0.93497572564817688</v>
      </c>
      <c r="V338">
        <f t="shared" si="38"/>
        <v>67</v>
      </c>
      <c r="W338" s="195">
        <f t="shared" si="43"/>
        <v>0.92171088859195838</v>
      </c>
      <c r="X338" s="195" t="str">
        <f t="shared" si="44"/>
        <v/>
      </c>
      <c r="Y338" s="255" t="str">
        <f>IF(ISNUMBER(SEARCH("C", 'Dry_Litterbag Placem_Collection'!V45)),"YES","NO")</f>
        <v>NO</v>
      </c>
      <c r="Z338" s="255" t="str">
        <f>IF(ISNUMBER(SEARCH("H", 'Dry_Litterbag Placem_Collection'!V45)),"YES","NO")</f>
        <v>NO</v>
      </c>
      <c r="AA338" s="255" t="str">
        <f>IF(ISNUMBER(SEARCH("R", 'Dry_Litterbag Placem_Collection'!V45)),"YES","NO")</f>
        <v>NO</v>
      </c>
      <c r="AB338" s="255" t="str">
        <f>IF(ISNUMBER(SEARCH("C", 'Dry_Litterbag Placem_Collection'!U45)),"YES","NO")</f>
        <v>NO</v>
      </c>
      <c r="AC338" s="255" t="str">
        <f>IF(ISNUMBER(SEARCH("H", 'Dry_Litterbag Placem_Collection'!U45)),"YES","NO")</f>
        <v>NO</v>
      </c>
      <c r="AD338" s="255" t="str">
        <f>IF(ISNUMBER(SEARCH("R", 'Dry_Litterbag Placem_Collection'!U45)),"YES","NO")</f>
        <v>NO</v>
      </c>
    </row>
    <row r="339" spans="2:30">
      <c r="B339" t="str">
        <f>'Final data_for_R_analysis_Dryse'!A485</f>
        <v>Dry</v>
      </c>
      <c r="C339" s="263">
        <f>'Final data_for_R_analysis_Dryse'!B485</f>
        <v>44</v>
      </c>
      <c r="D339" t="s">
        <v>3833</v>
      </c>
      <c r="E339" t="s">
        <v>25</v>
      </c>
      <c r="F339" s="387">
        <v>4</v>
      </c>
      <c r="G339" s="16">
        <f>'Dry_Litterbag Placem_Collection'!E46</f>
        <v>42938</v>
      </c>
      <c r="H339" s="92" t="str">
        <f>'Final data_for_R_analysis_Dryse'!J485</f>
        <v>G823</v>
      </c>
      <c r="I339" t="str">
        <f>'Final data_for_R_analysis_Dryse'!J705</f>
        <v>R716</v>
      </c>
      <c r="J339">
        <f>IFERROR(INDEX('Green_rooibos initial weight'!$C$5:$C$1749,MATCH(H339, 'Green_rooibos initial weight'!$A$5:$A$1749,0)),"")</f>
        <v>1.9630000000000001</v>
      </c>
      <c r="K339">
        <f>IFERROR(INDEX('Green_rooibos initial weight'!$C$5:$C$1749,MATCH(I339, 'Green_rooibos initial weight'!$A$5:$A$1749,0)),"")</f>
        <v>2.2280000000000002</v>
      </c>
      <c r="L339" s="195">
        <f t="shared" si="39"/>
        <v>1.7132000000000001</v>
      </c>
      <c r="M339" s="195">
        <f t="shared" si="40"/>
        <v>1.9782000000000002</v>
      </c>
      <c r="N339" s="16">
        <f>IF('Dry_Litterbag Placem_Collection'!G46="N.A","",'Dry_Litterbag Placem_Collection'!G46)</f>
        <v>43005</v>
      </c>
      <c r="O339" s="195">
        <f>IF(IFERROR(INDEX('Both teabags AfterDry'!$D$1:$D$839,MATCH(H339,'Both teabags AfterDry'!$A$1:$A$839,0)),"")="N.A","",(IFERROR(INDEX('Both teabags AfterDry'!$D$1:$D$839,MATCH(H339,'Both teabags AfterDry'!$A$1:$A$839,0)),"")))</f>
        <v>1.8245</v>
      </c>
      <c r="P339" s="195">
        <f>IF(IFERROR(INDEX('Both teabags AfterDry'!$D$1:$D$839,MATCH(I339,'Both teabags AfterDry'!$A$1:$A$839,0)),"")="N.A","",(IFERROR(INDEX('Both teabags AfterDry'!$D$1:$D$839,MATCH(I339,'Both teabags AfterDry'!$A$1:$A$839,0)),"")))</f>
        <v>1.9879</v>
      </c>
      <c r="Q339" s="195">
        <f t="shared" si="41"/>
        <v>1.6738999999999999</v>
      </c>
      <c r="R339" s="195">
        <f t="shared" si="41"/>
        <v>1.8372999999999999</v>
      </c>
      <c r="S339" s="195">
        <f t="shared" si="36"/>
        <v>2.2939528367966422E-2</v>
      </c>
      <c r="T339" s="195">
        <f t="shared" si="42"/>
        <v>1.5038740687787988E-2</v>
      </c>
      <c r="U339" s="195">
        <f t="shared" si="37"/>
        <v>0.92877363259528856</v>
      </c>
      <c r="V339">
        <f t="shared" si="38"/>
        <v>67</v>
      </c>
      <c r="W339" s="195">
        <f t="shared" si="43"/>
        <v>0.97275590455110872</v>
      </c>
      <c r="X339" s="195" t="str">
        <f t="shared" si="44"/>
        <v/>
      </c>
      <c r="Y339" s="255" t="str">
        <f>IF(ISNUMBER(SEARCH("C", 'Dry_Litterbag Placem_Collection'!V46)),"YES","NO")</f>
        <v>NO</v>
      </c>
      <c r="Z339" s="255" t="str">
        <f>IF(ISNUMBER(SEARCH("H", 'Dry_Litterbag Placem_Collection'!V46)),"YES","NO")</f>
        <v>NO</v>
      </c>
      <c r="AA339" s="255" t="str">
        <f>IF(ISNUMBER(SEARCH("R", 'Dry_Litterbag Placem_Collection'!V46)),"YES","NO")</f>
        <v>NO</v>
      </c>
      <c r="AB339" s="255" t="str">
        <f>IF(ISNUMBER(SEARCH("C", 'Dry_Litterbag Placem_Collection'!U46)),"YES","NO")</f>
        <v>NO</v>
      </c>
      <c r="AC339" s="255" t="str">
        <f>IF(ISNUMBER(SEARCH("H", 'Dry_Litterbag Placem_Collection'!U46)),"YES","NO")</f>
        <v>NO</v>
      </c>
      <c r="AD339" s="255" t="str">
        <f>IF(ISNUMBER(SEARCH("R", 'Dry_Litterbag Placem_Collection'!U46)),"YES","NO")</f>
        <v>NO</v>
      </c>
    </row>
    <row r="340" spans="2:30">
      <c r="B340" t="str">
        <f>'Final data_for_R_analysis_Dryse'!A486</f>
        <v>Dry</v>
      </c>
      <c r="C340" s="263">
        <f>'Final data_for_R_analysis_Dryse'!B486</f>
        <v>45</v>
      </c>
      <c r="D340" t="s">
        <v>3833</v>
      </c>
      <c r="E340" t="s">
        <v>25</v>
      </c>
      <c r="F340" s="387">
        <v>5</v>
      </c>
      <c r="G340" s="16">
        <f>'Dry_Litterbag Placem_Collection'!E47</f>
        <v>42938</v>
      </c>
      <c r="H340" s="92" t="str">
        <f>'Final data_for_R_analysis_Dryse'!J486</f>
        <v>G354</v>
      </c>
      <c r="I340" t="str">
        <f>'Final data_for_R_analysis_Dryse'!J706</f>
        <v>R631</v>
      </c>
      <c r="J340">
        <f>IFERROR(INDEX('Green_rooibos initial weight'!$C$5:$C$1749,MATCH(H340, 'Green_rooibos initial weight'!$A$5:$A$1749,0)),"")</f>
        <v>1.835</v>
      </c>
      <c r="K340">
        <f>IFERROR(INDEX('Green_rooibos initial weight'!$C$5:$C$1749,MATCH(I340, 'Green_rooibos initial weight'!$A$5:$A$1749,0)),"")</f>
        <v>2.133</v>
      </c>
      <c r="L340" s="195">
        <f t="shared" si="39"/>
        <v>1.5851999999999999</v>
      </c>
      <c r="M340" s="195">
        <f t="shared" si="40"/>
        <v>1.8832</v>
      </c>
      <c r="N340" s="16">
        <f>IF('Dry_Litterbag Placem_Collection'!G47="N.A","",'Dry_Litterbag Placem_Collection'!G47)</f>
        <v>43005</v>
      </c>
      <c r="O340" s="195" t="str">
        <f>IF(IFERROR(INDEX('Both teabags AfterDry'!$D$1:$D$839,MATCH(H340,'Both teabags AfterDry'!$A$1:$A$839,0)),"")="N.A","",(IFERROR(INDEX('Both teabags AfterDry'!$D$1:$D$839,MATCH(H340,'Both teabags AfterDry'!$A$1:$A$839,0)),"")))</f>
        <v/>
      </c>
      <c r="P340" s="195" t="str">
        <f>IF(IFERROR(INDEX('Both teabags AfterDry'!$D$1:$D$839,MATCH(I340,'Both teabags AfterDry'!$A$1:$A$839,0)),"")="N.A","",(IFERROR(INDEX('Both teabags AfterDry'!$D$1:$D$839,MATCH(I340,'Both teabags AfterDry'!$A$1:$A$839,0)),"")))</f>
        <v/>
      </c>
      <c r="Q340" s="195" t="str">
        <f t="shared" si="41"/>
        <v/>
      </c>
      <c r="R340" s="195" t="str">
        <f t="shared" si="41"/>
        <v/>
      </c>
      <c r="S340" s="195" t="str">
        <f t="shared" si="36"/>
        <v/>
      </c>
      <c r="T340" s="195" t="str">
        <f t="shared" si="42"/>
        <v/>
      </c>
      <c r="U340" s="195" t="str">
        <f t="shared" si="37"/>
        <v/>
      </c>
      <c r="V340">
        <f t="shared" si="38"/>
        <v>67</v>
      </c>
      <c r="W340" s="195" t="str">
        <f t="shared" si="43"/>
        <v/>
      </c>
      <c r="X340" s="195" t="str">
        <f t="shared" si="44"/>
        <v/>
      </c>
      <c r="Y340" s="255" t="str">
        <f>IF(ISNUMBER(SEARCH("C", 'Dry_Litterbag Placem_Collection'!V47)),"YES","NO")</f>
        <v>NO</v>
      </c>
      <c r="Z340" s="255" t="str">
        <f>IF(ISNUMBER(SEARCH("H", 'Dry_Litterbag Placem_Collection'!V47)),"YES","NO")</f>
        <v>NO</v>
      </c>
      <c r="AA340" s="255" t="str">
        <f>IF(ISNUMBER(SEARCH("R", 'Dry_Litterbag Placem_Collection'!V47)),"YES","NO")</f>
        <v>NO</v>
      </c>
      <c r="AB340" s="255" t="str">
        <f>IF(ISNUMBER(SEARCH("C", 'Dry_Litterbag Placem_Collection'!U47)),"YES","NO")</f>
        <v>NO</v>
      </c>
      <c r="AC340" s="255" t="str">
        <f>IF(ISNUMBER(SEARCH("H", 'Dry_Litterbag Placem_Collection'!U47)),"YES","NO")</f>
        <v>NO</v>
      </c>
      <c r="AD340" s="255" t="str">
        <f>IF(ISNUMBER(SEARCH("R", 'Dry_Litterbag Placem_Collection'!U47)),"YES","NO")</f>
        <v>NO</v>
      </c>
    </row>
    <row r="341" spans="2:30">
      <c r="B341" t="str">
        <f>'Final data_for_R_analysis_Dryse'!A487</f>
        <v>Dry</v>
      </c>
      <c r="C341" s="263">
        <f>'Final data_for_R_analysis_Dryse'!B487</f>
        <v>46</v>
      </c>
      <c r="D341" t="s">
        <v>3833</v>
      </c>
      <c r="E341" t="s">
        <v>25</v>
      </c>
      <c r="F341" s="387">
        <v>6</v>
      </c>
      <c r="G341" s="16">
        <f>'Dry_Litterbag Placem_Collection'!E48</f>
        <v>0</v>
      </c>
      <c r="H341" s="92" t="str">
        <f>'Final data_for_R_analysis_Dryse'!J487</f>
        <v/>
      </c>
      <c r="I341" t="str">
        <f>'Final data_for_R_analysis_Dryse'!J707</f>
        <v/>
      </c>
      <c r="J341" t="str">
        <f>IFERROR(INDEX('Green_rooibos initial weight'!$C$5:$C$1749,MATCH(H341, 'Green_rooibos initial weight'!$A$5:$A$1749,0)),"")</f>
        <v/>
      </c>
      <c r="K341" t="str">
        <f>IFERROR(INDEX('Green_rooibos initial weight'!$C$5:$C$1749,MATCH(I341, 'Green_rooibos initial weight'!$A$5:$A$1749,0)),"")</f>
        <v/>
      </c>
      <c r="L341" s="195" t="str">
        <f t="shared" si="39"/>
        <v/>
      </c>
      <c r="M341" s="195" t="str">
        <f t="shared" si="40"/>
        <v/>
      </c>
      <c r="N341" s="16">
        <f>IF('Dry_Litterbag Placem_Collection'!G48="N.A","",'Dry_Litterbag Placem_Collection'!G48)</f>
        <v>0</v>
      </c>
      <c r="O341" s="195" t="str">
        <f>IF(IFERROR(INDEX('Both teabags AfterDry'!$D$1:$D$839,MATCH(H341,'Both teabags AfterDry'!$A$1:$A$839,0)),"")="N.A","",(IFERROR(INDEX('Both teabags AfterDry'!$D$1:$D$839,MATCH(H341,'Both teabags AfterDry'!$A$1:$A$839,0)),"")))</f>
        <v/>
      </c>
      <c r="P341" s="195" t="str">
        <f>IF(IFERROR(INDEX('Both teabags AfterDry'!$D$1:$D$839,MATCH(I341,'Both teabags AfterDry'!$A$1:$A$839,0)),"")="N.A","",(IFERROR(INDEX('Both teabags AfterDry'!$D$1:$D$839,MATCH(I341,'Both teabags AfterDry'!$A$1:$A$839,0)),"")))</f>
        <v/>
      </c>
      <c r="Q341" s="195" t="str">
        <f t="shared" si="41"/>
        <v/>
      </c>
      <c r="R341" s="195" t="str">
        <f t="shared" si="41"/>
        <v/>
      </c>
      <c r="S341" s="195" t="str">
        <f t="shared" si="36"/>
        <v/>
      </c>
      <c r="T341" s="195" t="str">
        <f t="shared" si="42"/>
        <v/>
      </c>
      <c r="U341" s="195" t="str">
        <f t="shared" si="37"/>
        <v/>
      </c>
      <c r="V341" t="str">
        <f t="shared" si="38"/>
        <v/>
      </c>
      <c r="W341" s="195" t="str">
        <f t="shared" si="43"/>
        <v/>
      </c>
      <c r="X341" s="195" t="str">
        <f t="shared" si="44"/>
        <v/>
      </c>
      <c r="Y341" s="255" t="str">
        <f>IF(ISNUMBER(SEARCH("C", 'Dry_Litterbag Placem_Collection'!V48)),"YES","NO")</f>
        <v>NO</v>
      </c>
      <c r="Z341" s="255" t="str">
        <f>IF(ISNUMBER(SEARCH("H", 'Dry_Litterbag Placem_Collection'!V48)),"YES","NO")</f>
        <v>NO</v>
      </c>
      <c r="AA341" s="255" t="str">
        <f>IF(ISNUMBER(SEARCH("R", 'Dry_Litterbag Placem_Collection'!V48)),"YES","NO")</f>
        <v>NO</v>
      </c>
      <c r="AB341" s="255" t="str">
        <f>IF(ISNUMBER(SEARCH("C", 'Dry_Litterbag Placem_Collection'!U48)),"YES","NO")</f>
        <v>NO</v>
      </c>
      <c r="AC341" s="255" t="str">
        <f>IF(ISNUMBER(SEARCH("H", 'Dry_Litterbag Placem_Collection'!U48)),"YES","NO")</f>
        <v>NO</v>
      </c>
      <c r="AD341" s="255" t="str">
        <f>IF(ISNUMBER(SEARCH("R", 'Dry_Litterbag Placem_Collection'!U48)),"YES","NO")</f>
        <v>NO</v>
      </c>
    </row>
    <row r="342" spans="2:30">
      <c r="B342" t="str">
        <f>'Final data_for_R_analysis_Dryse'!A488</f>
        <v>Dry</v>
      </c>
      <c r="C342" s="263">
        <f>'Final data_for_R_analysis_Dryse'!B488</f>
        <v>47</v>
      </c>
      <c r="D342" t="s">
        <v>3833</v>
      </c>
      <c r="E342" t="s">
        <v>25</v>
      </c>
      <c r="F342" s="387">
        <v>7</v>
      </c>
      <c r="G342" s="16">
        <f>'Dry_Litterbag Placem_Collection'!E49</f>
        <v>42938</v>
      </c>
      <c r="H342" s="92" t="str">
        <f>'Final data_for_R_analysis_Dryse'!J488</f>
        <v>G659</v>
      </c>
      <c r="I342" t="str">
        <f>'Final data_for_R_analysis_Dryse'!J708</f>
        <v>R606</v>
      </c>
      <c r="J342">
        <f>IFERROR(INDEX('Green_rooibos initial weight'!$C$5:$C$1749,MATCH(H342, 'Green_rooibos initial weight'!$A$5:$A$1749,0)),"")</f>
        <v>2.0529999999999999</v>
      </c>
      <c r="K342">
        <f>IFERROR(INDEX('Green_rooibos initial weight'!$C$5:$C$1749,MATCH(I342, 'Green_rooibos initial weight'!$A$5:$A$1749,0)),"")</f>
        <v>2.15</v>
      </c>
      <c r="L342" s="195">
        <f t="shared" si="39"/>
        <v>1.8031999999999999</v>
      </c>
      <c r="M342" s="195">
        <f t="shared" si="40"/>
        <v>1.9001999999999999</v>
      </c>
      <c r="N342" s="16">
        <f>IF('Dry_Litterbag Placem_Collection'!G49="N.A","",'Dry_Litterbag Placem_Collection'!G49)</f>
        <v>43005</v>
      </c>
      <c r="O342" s="195">
        <f>IF(IFERROR(INDEX('Both teabags AfterDry'!$D$1:$D$839,MATCH(H342,'Both teabags AfterDry'!$A$1:$A$839,0)),"")="N.A","",(IFERROR(INDEX('Both teabags AfterDry'!$D$1:$D$839,MATCH(H342,'Both teabags AfterDry'!$A$1:$A$839,0)),"")))</f>
        <v>1.8913</v>
      </c>
      <c r="P342" s="195">
        <f>IF(IFERROR(INDEX('Both teabags AfterDry'!$D$1:$D$839,MATCH(I342,'Both teabags AfterDry'!$A$1:$A$839,0)),"")="N.A","",(IFERROR(INDEX('Both teabags AfterDry'!$D$1:$D$839,MATCH(I342,'Both teabags AfterDry'!$A$1:$A$839,0)),"")))</f>
        <v>1.9615</v>
      </c>
      <c r="Q342" s="195">
        <f t="shared" si="41"/>
        <v>1.7406999999999999</v>
      </c>
      <c r="R342" s="195">
        <f t="shared" si="41"/>
        <v>1.8109</v>
      </c>
      <c r="S342" s="195">
        <f t="shared" si="36"/>
        <v>3.4660603371783449E-2</v>
      </c>
      <c r="T342" s="195">
        <f t="shared" si="42"/>
        <v>2.2722865868437619E-2</v>
      </c>
      <c r="U342" s="195">
        <f t="shared" si="37"/>
        <v>0.95300494684770032</v>
      </c>
      <c r="V342">
        <f t="shared" si="38"/>
        <v>67</v>
      </c>
      <c r="W342" s="195">
        <f t="shared" si="43"/>
        <v>0.95883538791949707</v>
      </c>
      <c r="X342" s="195" t="str">
        <f t="shared" si="44"/>
        <v/>
      </c>
      <c r="Y342" s="255" t="str">
        <f>IF(ISNUMBER(SEARCH("C", 'Dry_Litterbag Placem_Collection'!V49)),"YES","NO")</f>
        <v>NO</v>
      </c>
      <c r="Z342" s="255" t="str">
        <f>IF(ISNUMBER(SEARCH("H", 'Dry_Litterbag Placem_Collection'!V49)),"YES","NO")</f>
        <v>NO</v>
      </c>
      <c r="AA342" s="255" t="str">
        <f>IF(ISNUMBER(SEARCH("R", 'Dry_Litterbag Placem_Collection'!V49)),"YES","NO")</f>
        <v>NO</v>
      </c>
      <c r="AB342" s="255" t="str">
        <f>IF(ISNUMBER(SEARCH("C", 'Dry_Litterbag Placem_Collection'!U49)),"YES","NO")</f>
        <v>NO</v>
      </c>
      <c r="AC342" s="255" t="str">
        <f>IF(ISNUMBER(SEARCH("H", 'Dry_Litterbag Placem_Collection'!U49)),"YES","NO")</f>
        <v>NO</v>
      </c>
      <c r="AD342" s="255" t="str">
        <f>IF(ISNUMBER(SEARCH("R", 'Dry_Litterbag Placem_Collection'!U49)),"YES","NO")</f>
        <v>NO</v>
      </c>
    </row>
    <row r="343" spans="2:30">
      <c r="B343" t="str">
        <f>'Final data_for_R_analysis_Dryse'!A489</f>
        <v>Dry</v>
      </c>
      <c r="C343" s="263">
        <f>'Final data_for_R_analysis_Dryse'!B489</f>
        <v>48</v>
      </c>
      <c r="D343" t="s">
        <v>3833</v>
      </c>
      <c r="E343" t="s">
        <v>25</v>
      </c>
      <c r="F343" s="387">
        <v>8</v>
      </c>
      <c r="G343" s="16">
        <f>'Dry_Litterbag Placem_Collection'!E50</f>
        <v>42938</v>
      </c>
      <c r="H343" s="92" t="str">
        <f>'Final data_for_R_analysis_Dryse'!J489</f>
        <v>G267</v>
      </c>
      <c r="I343" t="str">
        <f>'Final data_for_R_analysis_Dryse'!J709</f>
        <v>R221</v>
      </c>
      <c r="J343">
        <f>IFERROR(INDEX('Green_rooibos initial weight'!$C$5:$C$1749,MATCH(H343, 'Green_rooibos initial weight'!$A$5:$A$1749,0)),"")</f>
        <v>2.069</v>
      </c>
      <c r="K343">
        <f>IFERROR(INDEX('Green_rooibos initial weight'!$C$5:$C$1749,MATCH(I343, 'Green_rooibos initial weight'!$A$5:$A$1749,0)),"")</f>
        <v>2.2210000000000001</v>
      </c>
      <c r="L343" s="195">
        <f t="shared" si="39"/>
        <v>1.8191999999999999</v>
      </c>
      <c r="M343" s="195">
        <f t="shared" si="40"/>
        <v>1.9712000000000001</v>
      </c>
      <c r="N343" s="16">
        <f>IF('Dry_Litterbag Placem_Collection'!G50="N.A","",'Dry_Litterbag Placem_Collection'!G50)</f>
        <v>43005</v>
      </c>
      <c r="O343" s="195">
        <f>IF(IFERROR(INDEX('Both teabags AfterDry'!$D$1:$D$839,MATCH(H343,'Both teabags AfterDry'!$A$1:$A$839,0)),"")="N.A","",(IFERROR(INDEX('Both teabags AfterDry'!$D$1:$D$839,MATCH(H343,'Both teabags AfterDry'!$A$1:$A$839,0)),"")))</f>
        <v>1.8248</v>
      </c>
      <c r="P343" s="195">
        <f>IF(IFERROR(INDEX('Both teabags AfterDry'!$D$1:$D$839,MATCH(I343,'Both teabags AfterDry'!$A$1:$A$839,0)),"")="N.A","",(IFERROR(INDEX('Both teabags AfterDry'!$D$1:$D$839,MATCH(I343,'Both teabags AfterDry'!$A$1:$A$839,0)),"")))</f>
        <v>1.8791</v>
      </c>
      <c r="Q343" s="195">
        <f t="shared" si="41"/>
        <v>1.6741999999999999</v>
      </c>
      <c r="R343" s="195">
        <f t="shared" si="41"/>
        <v>1.7284999999999999</v>
      </c>
      <c r="S343" s="195">
        <f t="shared" si="36"/>
        <v>7.9705364995602435E-2</v>
      </c>
      <c r="T343" s="195">
        <f t="shared" si="42"/>
        <v>5.2253398429421075E-2</v>
      </c>
      <c r="U343" s="195">
        <f t="shared" si="37"/>
        <v>0.87687702922077915</v>
      </c>
      <c r="V343">
        <f t="shared" si="38"/>
        <v>67</v>
      </c>
      <c r="W343" s="195">
        <f t="shared" si="43"/>
        <v>0.90533804632351256</v>
      </c>
      <c r="X343" s="195" t="str">
        <f t="shared" si="44"/>
        <v/>
      </c>
      <c r="Y343" s="255" t="str">
        <f>IF(ISNUMBER(SEARCH("C", 'Dry_Litterbag Placem_Collection'!V50)),"YES","NO")</f>
        <v>NO</v>
      </c>
      <c r="Z343" s="255" t="str">
        <f>IF(ISNUMBER(SEARCH("H", 'Dry_Litterbag Placem_Collection'!V50)),"YES","NO")</f>
        <v>NO</v>
      </c>
      <c r="AA343" s="255" t="str">
        <f>IF(ISNUMBER(SEARCH("R", 'Dry_Litterbag Placem_Collection'!V50)),"YES","NO")</f>
        <v>NO</v>
      </c>
      <c r="AB343" s="255" t="str">
        <f>IF(ISNUMBER(SEARCH("C", 'Dry_Litterbag Placem_Collection'!U50)),"YES","NO")</f>
        <v>NO</v>
      </c>
      <c r="AC343" s="255" t="str">
        <f>IF(ISNUMBER(SEARCH("H", 'Dry_Litterbag Placem_Collection'!U50)),"YES","NO")</f>
        <v>NO</v>
      </c>
      <c r="AD343" s="255" t="str">
        <f>IF(ISNUMBER(SEARCH("R", 'Dry_Litterbag Placem_Collection'!U50)),"YES","NO")</f>
        <v>NO</v>
      </c>
    </row>
    <row r="344" spans="2:30">
      <c r="B344" t="str">
        <f>'Final data_for_R_analysis_Dryse'!A490</f>
        <v>Dry</v>
      </c>
      <c r="C344" s="263">
        <f>'Final data_for_R_analysis_Dryse'!B490</f>
        <v>49</v>
      </c>
      <c r="D344" t="s">
        <v>3834</v>
      </c>
      <c r="E344" t="s">
        <v>25</v>
      </c>
      <c r="F344" s="386">
        <v>1</v>
      </c>
      <c r="G344" s="16">
        <f>'Dry_Litterbag Placem_Collection'!E51</f>
        <v>42938</v>
      </c>
      <c r="H344" s="92" t="str">
        <f>'Final data_for_R_analysis_Dryse'!J490</f>
        <v>G812</v>
      </c>
      <c r="I344" t="str">
        <f>'Final data_for_R_analysis_Dryse'!J710</f>
        <v>R308</v>
      </c>
      <c r="J344">
        <f>IFERROR(INDEX('Green_rooibos initial weight'!$C$5:$C$1749,MATCH(H344, 'Green_rooibos initial weight'!$A$5:$A$1749,0)),"")</f>
        <v>2.0169999999999999</v>
      </c>
      <c r="K344">
        <f>IFERROR(INDEX('Green_rooibos initial weight'!$C$5:$C$1749,MATCH(I344, 'Green_rooibos initial weight'!$A$5:$A$1749,0)),"")</f>
        <v>2.173</v>
      </c>
      <c r="L344" s="195">
        <f t="shared" si="39"/>
        <v>1.7671999999999999</v>
      </c>
      <c r="M344" s="195">
        <f t="shared" si="40"/>
        <v>1.9232</v>
      </c>
      <c r="N344" s="16">
        <f>IF('Dry_Litterbag Placem_Collection'!G51="N.A","",'Dry_Litterbag Placem_Collection'!G51)</f>
        <v>43005</v>
      </c>
      <c r="O344" s="195" t="str">
        <f>IF(IFERROR(INDEX('Both teabags AfterDry'!$D$1:$D$839,MATCH(H344,'Both teabags AfterDry'!$A$1:$A$839,0)),"")="N.A","",(IFERROR(INDEX('Both teabags AfterDry'!$D$1:$D$839,MATCH(H344,'Both teabags AfterDry'!$A$1:$A$839,0)),"")))</f>
        <v/>
      </c>
      <c r="P344" s="195" t="str">
        <f>IF(IFERROR(INDEX('Both teabags AfterDry'!$D$1:$D$839,MATCH(I344,'Both teabags AfterDry'!$A$1:$A$839,0)),"")="N.A","",(IFERROR(INDEX('Both teabags AfterDry'!$D$1:$D$839,MATCH(I344,'Both teabags AfterDry'!$A$1:$A$839,0)),"")))</f>
        <v/>
      </c>
      <c r="Q344" s="195" t="str">
        <f t="shared" si="41"/>
        <v/>
      </c>
      <c r="R344" s="195" t="str">
        <f t="shared" si="41"/>
        <v/>
      </c>
      <c r="S344" s="195" t="str">
        <f t="shared" si="36"/>
        <v/>
      </c>
      <c r="T344" s="195" t="str">
        <f t="shared" si="42"/>
        <v/>
      </c>
      <c r="U344" s="195" t="str">
        <f t="shared" si="37"/>
        <v/>
      </c>
      <c r="V344">
        <f t="shared" si="38"/>
        <v>67</v>
      </c>
      <c r="W344" s="195" t="str">
        <f t="shared" si="43"/>
        <v/>
      </c>
      <c r="X344" s="195" t="str">
        <f t="shared" si="44"/>
        <v/>
      </c>
      <c r="Y344" s="255" t="str">
        <f>IF(ISNUMBER(SEARCH("C", 'Dry_Litterbag Placem_Collection'!V51)),"YES","NO")</f>
        <v>NO</v>
      </c>
      <c r="Z344" s="255" t="str">
        <f>IF(ISNUMBER(SEARCH("H", 'Dry_Litterbag Placem_Collection'!V51)),"YES","NO")</f>
        <v>NO</v>
      </c>
      <c r="AA344" s="255" t="str">
        <f>IF(ISNUMBER(SEARCH("R", 'Dry_Litterbag Placem_Collection'!V51)),"YES","NO")</f>
        <v>NO</v>
      </c>
      <c r="AB344" s="255" t="str">
        <f>IF(ISNUMBER(SEARCH("C", 'Dry_Litterbag Placem_Collection'!U51)),"YES","NO")</f>
        <v>NO</v>
      </c>
      <c r="AC344" s="255" t="str">
        <f>IF(ISNUMBER(SEARCH("H", 'Dry_Litterbag Placem_Collection'!U51)),"YES","NO")</f>
        <v>NO</v>
      </c>
      <c r="AD344" s="255" t="str">
        <f>IF(ISNUMBER(SEARCH("R", 'Dry_Litterbag Placem_Collection'!U51)),"YES","NO")</f>
        <v>NO</v>
      </c>
    </row>
    <row r="345" spans="2:30">
      <c r="B345" t="str">
        <f>'Final data_for_R_analysis_Dryse'!A491</f>
        <v>Dry</v>
      </c>
      <c r="C345" s="263">
        <f>'Final data_for_R_analysis_Dryse'!B491</f>
        <v>50</v>
      </c>
      <c r="D345" t="s">
        <v>3834</v>
      </c>
      <c r="E345" t="s">
        <v>25</v>
      </c>
      <c r="F345" s="386">
        <v>2</v>
      </c>
      <c r="G345" s="16">
        <f>'Dry_Litterbag Placem_Collection'!E52</f>
        <v>42938</v>
      </c>
      <c r="H345" s="92" t="str">
        <f>'Final data_for_R_analysis_Dryse'!J491</f>
        <v>G212</v>
      </c>
      <c r="I345" t="str">
        <f>'Final data_for_R_analysis_Dryse'!J711</f>
        <v>R644</v>
      </c>
      <c r="J345">
        <f>IFERROR(INDEX('Green_rooibos initial weight'!$C$5:$C$1749,MATCH(H345, 'Green_rooibos initial weight'!$A$5:$A$1749,0)),"")</f>
        <v>1.9570000000000001</v>
      </c>
      <c r="K345">
        <f>IFERROR(INDEX('Green_rooibos initial weight'!$C$5:$C$1749,MATCH(I345, 'Green_rooibos initial weight'!$A$5:$A$1749,0)),"")</f>
        <v>2.2240000000000002</v>
      </c>
      <c r="L345" s="195">
        <f t="shared" si="39"/>
        <v>1.7072000000000001</v>
      </c>
      <c r="M345" s="195">
        <f t="shared" si="40"/>
        <v>1.9742000000000002</v>
      </c>
      <c r="N345" s="16">
        <f>IF('Dry_Litterbag Placem_Collection'!G52="N.A","",'Dry_Litterbag Placem_Collection'!G52)</f>
        <v>0</v>
      </c>
      <c r="O345" s="195" t="str">
        <f>IF(IFERROR(INDEX('Both teabags AfterDry'!$D$1:$D$839,MATCH(H345,'Both teabags AfterDry'!$A$1:$A$839,0)),"")="N.A","",(IFERROR(INDEX('Both teabags AfterDry'!$D$1:$D$839,MATCH(H345,'Both teabags AfterDry'!$A$1:$A$839,0)),"")))</f>
        <v/>
      </c>
      <c r="P345" s="195" t="str">
        <f>IF(IFERROR(INDEX('Both teabags AfterDry'!$D$1:$D$839,MATCH(I345,'Both teabags AfterDry'!$A$1:$A$839,0)),"")="N.A","",(IFERROR(INDEX('Both teabags AfterDry'!$D$1:$D$839,MATCH(I345,'Both teabags AfterDry'!$A$1:$A$839,0)),"")))</f>
        <v/>
      </c>
      <c r="Q345" s="195" t="str">
        <f t="shared" si="41"/>
        <v/>
      </c>
      <c r="R345" s="195" t="str">
        <f t="shared" si="41"/>
        <v/>
      </c>
      <c r="S345" s="195" t="str">
        <f t="shared" si="36"/>
        <v/>
      </c>
      <c r="T345" s="195" t="str">
        <f t="shared" si="42"/>
        <v/>
      </c>
      <c r="U345" s="195" t="str">
        <f t="shared" si="37"/>
        <v/>
      </c>
      <c r="V345" t="str">
        <f t="shared" si="38"/>
        <v/>
      </c>
      <c r="W345" s="195" t="str">
        <f t="shared" si="43"/>
        <v/>
      </c>
      <c r="X345" s="195" t="str">
        <f t="shared" si="44"/>
        <v/>
      </c>
      <c r="Y345" s="255" t="str">
        <f>IF(ISNUMBER(SEARCH("C", 'Dry_Litterbag Placem_Collection'!V52)),"YES","NO")</f>
        <v>NO</v>
      </c>
      <c r="Z345" s="255" t="str">
        <f>IF(ISNUMBER(SEARCH("H", 'Dry_Litterbag Placem_Collection'!V52)),"YES","NO")</f>
        <v>NO</v>
      </c>
      <c r="AA345" s="255" t="str">
        <f>IF(ISNUMBER(SEARCH("R", 'Dry_Litterbag Placem_Collection'!V52)),"YES","NO")</f>
        <v>NO</v>
      </c>
      <c r="AB345" s="255" t="str">
        <f>IF(ISNUMBER(SEARCH("C", 'Dry_Litterbag Placem_Collection'!U52)),"YES","NO")</f>
        <v>NO</v>
      </c>
      <c r="AC345" s="255" t="str">
        <f>IF(ISNUMBER(SEARCH("H", 'Dry_Litterbag Placem_Collection'!U52)),"YES","NO")</f>
        <v>NO</v>
      </c>
      <c r="AD345" s="255" t="str">
        <f>IF(ISNUMBER(SEARCH("R", 'Dry_Litterbag Placem_Collection'!U52)),"YES","NO")</f>
        <v>NO</v>
      </c>
    </row>
    <row r="346" spans="2:30">
      <c r="B346" t="str">
        <f>'Final data_for_R_analysis_Dryse'!A492</f>
        <v>Dry</v>
      </c>
      <c r="C346" s="263">
        <f>'Final data_for_R_analysis_Dryse'!B492</f>
        <v>51</v>
      </c>
      <c r="D346" t="s">
        <v>3834</v>
      </c>
      <c r="E346" t="s">
        <v>25</v>
      </c>
      <c r="F346" s="386">
        <v>3</v>
      </c>
      <c r="G346" s="16">
        <f>'Dry_Litterbag Placem_Collection'!E53</f>
        <v>42938</v>
      </c>
      <c r="H346" s="92" t="str">
        <f>'Final data_for_R_analysis_Dryse'!J492</f>
        <v>G598</v>
      </c>
      <c r="I346" t="str">
        <f>'Final data_for_R_analysis_Dryse'!J712</f>
        <v>R242</v>
      </c>
      <c r="J346">
        <f>IFERROR(INDEX('Green_rooibos initial weight'!$C$5:$C$1749,MATCH(H346, 'Green_rooibos initial weight'!$A$5:$A$1749,0)),"")</f>
        <v>2.1680000000000001</v>
      </c>
      <c r="K346">
        <f>IFERROR(INDEX('Green_rooibos initial weight'!$C$5:$C$1749,MATCH(I346, 'Green_rooibos initial weight'!$A$5:$A$1749,0)),"")</f>
        <v>2.194</v>
      </c>
      <c r="L346" s="195">
        <f t="shared" si="39"/>
        <v>1.9182000000000001</v>
      </c>
      <c r="M346" s="195">
        <f t="shared" si="40"/>
        <v>1.9441999999999999</v>
      </c>
      <c r="N346" s="16">
        <f>IF('Dry_Litterbag Placem_Collection'!G53="N.A","",'Dry_Litterbag Placem_Collection'!G53)</f>
        <v>43005</v>
      </c>
      <c r="O346" s="195">
        <f>IF(IFERROR(INDEX('Both teabags AfterDry'!$D$1:$D$839,MATCH(H346,'Both teabags AfterDry'!$A$1:$A$839,0)),"")="N.A","",(IFERROR(INDEX('Both teabags AfterDry'!$D$1:$D$839,MATCH(H346,'Both teabags AfterDry'!$A$1:$A$839,0)),"")))</f>
        <v>1.9169</v>
      </c>
      <c r="P346" s="195">
        <f>IF(IFERROR(INDEX('Both teabags AfterDry'!$D$1:$D$839,MATCH(I346,'Both teabags AfterDry'!$A$1:$A$839,0)),"")="N.A","",(IFERROR(INDEX('Both teabags AfterDry'!$D$1:$D$839,MATCH(I346,'Both teabags AfterDry'!$A$1:$A$839,0)),"")))</f>
        <v>1.9262999999999999</v>
      </c>
      <c r="Q346" s="195">
        <f t="shared" si="41"/>
        <v>1.7663</v>
      </c>
      <c r="R346" s="195">
        <f t="shared" si="41"/>
        <v>1.7756999999999998</v>
      </c>
      <c r="S346" s="195">
        <f t="shared" si="36"/>
        <v>7.91888228547597E-2</v>
      </c>
      <c r="T346" s="195">
        <f t="shared" si="42"/>
        <v>5.1914762726635845E-2</v>
      </c>
      <c r="U346" s="195">
        <f t="shared" si="37"/>
        <v>0.913331961732332</v>
      </c>
      <c r="V346">
        <f t="shared" si="38"/>
        <v>67</v>
      </c>
      <c r="W346" s="195">
        <f t="shared" si="43"/>
        <v>0.90595151679957275</v>
      </c>
      <c r="X346" s="195" t="str">
        <f t="shared" si="44"/>
        <v/>
      </c>
      <c r="Y346" s="255" t="str">
        <f>IF(ISNUMBER(SEARCH("C", 'Dry_Litterbag Placem_Collection'!V53)),"YES","NO")</f>
        <v>NO</v>
      </c>
      <c r="Z346" s="255" t="str">
        <f>IF(ISNUMBER(SEARCH("H", 'Dry_Litterbag Placem_Collection'!V53)),"YES","NO")</f>
        <v>NO</v>
      </c>
      <c r="AA346" s="255" t="str">
        <f>IF(ISNUMBER(SEARCH("R", 'Dry_Litterbag Placem_Collection'!V53)),"YES","NO")</f>
        <v>NO</v>
      </c>
      <c r="AB346" s="255" t="str">
        <f>IF(ISNUMBER(SEARCH("C", 'Dry_Litterbag Placem_Collection'!U53)),"YES","NO")</f>
        <v>NO</v>
      </c>
      <c r="AC346" s="255" t="str">
        <f>IF(ISNUMBER(SEARCH("H", 'Dry_Litterbag Placem_Collection'!U53)),"YES","NO")</f>
        <v>NO</v>
      </c>
      <c r="AD346" s="255" t="str">
        <f>IF(ISNUMBER(SEARCH("R", 'Dry_Litterbag Placem_Collection'!U53)),"YES","NO")</f>
        <v>NO</v>
      </c>
    </row>
    <row r="347" spans="2:30">
      <c r="B347" t="str">
        <f>'Final data_for_R_analysis_Dryse'!A493</f>
        <v>Dry</v>
      </c>
      <c r="C347" s="263">
        <f>'Final data_for_R_analysis_Dryse'!B493</f>
        <v>52</v>
      </c>
      <c r="D347" t="s">
        <v>3834</v>
      </c>
      <c r="E347" t="s">
        <v>25</v>
      </c>
      <c r="F347" s="387">
        <v>4</v>
      </c>
      <c r="G347" s="16">
        <f>'Dry_Litterbag Placem_Collection'!E54</f>
        <v>42938</v>
      </c>
      <c r="H347" s="92" t="str">
        <f>'Final data_for_R_analysis_Dryse'!J493</f>
        <v>G848</v>
      </c>
      <c r="I347" t="str">
        <f>'Final data_for_R_analysis_Dryse'!J713</f>
        <v>R648</v>
      </c>
      <c r="J347">
        <f>IFERROR(INDEX('Green_rooibos initial weight'!$C$5:$C$1749,MATCH(H347, 'Green_rooibos initial weight'!$A$5:$A$1749,0)),"")</f>
        <v>2.0110000000000001</v>
      </c>
      <c r="K347">
        <f>IFERROR(INDEX('Green_rooibos initial weight'!$C$5:$C$1749,MATCH(I347, 'Green_rooibos initial weight'!$A$5:$A$1749,0)),"")</f>
        <v>2.1920000000000002</v>
      </c>
      <c r="L347" s="195">
        <f t="shared" si="39"/>
        <v>1.7612000000000001</v>
      </c>
      <c r="M347" s="195">
        <f t="shared" si="40"/>
        <v>1.9422000000000001</v>
      </c>
      <c r="N347" s="16">
        <f>IF('Dry_Litterbag Placem_Collection'!G54="N.A","",'Dry_Litterbag Placem_Collection'!G54)</f>
        <v>43005</v>
      </c>
      <c r="O347" s="195">
        <f>IF(IFERROR(INDEX('Both teabags AfterDry'!$D$1:$D$839,MATCH(H347,'Both teabags AfterDry'!$A$1:$A$839,0)),"")="N.A","",(IFERROR(INDEX('Both teabags AfterDry'!$D$1:$D$839,MATCH(H347,'Both teabags AfterDry'!$A$1:$A$839,0)),"")))</f>
        <v>1.8361000000000001</v>
      </c>
      <c r="P347" s="195">
        <f>IF(IFERROR(INDEX('Both teabags AfterDry'!$D$1:$D$839,MATCH(I347,'Both teabags AfterDry'!$A$1:$A$839,0)),"")="N.A","",(IFERROR(INDEX('Both teabags AfterDry'!$D$1:$D$839,MATCH(I347,'Both teabags AfterDry'!$A$1:$A$839,0)),"")))</f>
        <v>1.9649000000000001</v>
      </c>
      <c r="Q347" s="195">
        <f t="shared" si="41"/>
        <v>1.6855</v>
      </c>
      <c r="R347" s="195">
        <f t="shared" si="41"/>
        <v>1.8143</v>
      </c>
      <c r="S347" s="195">
        <f t="shared" si="36"/>
        <v>4.2982057687940056E-2</v>
      </c>
      <c r="T347" s="195">
        <f t="shared" si="42"/>
        <v>2.8178261097081832E-2</v>
      </c>
      <c r="U347" s="195">
        <f t="shared" si="37"/>
        <v>0.93414684378539792</v>
      </c>
      <c r="V347">
        <f t="shared" si="38"/>
        <v>67</v>
      </c>
      <c r="W347" s="195">
        <f t="shared" si="43"/>
        <v>0.9489524255487648</v>
      </c>
      <c r="X347" s="195" t="str">
        <f t="shared" si="44"/>
        <v/>
      </c>
      <c r="Y347" s="255" t="str">
        <f>IF(ISNUMBER(SEARCH("C", 'Dry_Litterbag Placem_Collection'!V54)),"YES","NO")</f>
        <v>NO</v>
      </c>
      <c r="Z347" s="255" t="str">
        <f>IF(ISNUMBER(SEARCH("H", 'Dry_Litterbag Placem_Collection'!V54)),"YES","NO")</f>
        <v>NO</v>
      </c>
      <c r="AA347" s="255" t="str">
        <f>IF(ISNUMBER(SEARCH("R", 'Dry_Litterbag Placem_Collection'!V54)),"YES","NO")</f>
        <v>NO</v>
      </c>
      <c r="AB347" s="255" t="str">
        <f>IF(ISNUMBER(SEARCH("C", 'Dry_Litterbag Placem_Collection'!U54)),"YES","NO")</f>
        <v>NO</v>
      </c>
      <c r="AC347" s="255" t="str">
        <f>IF(ISNUMBER(SEARCH("H", 'Dry_Litterbag Placem_Collection'!U54)),"YES","NO")</f>
        <v>NO</v>
      </c>
      <c r="AD347" s="255" t="str">
        <f>IF(ISNUMBER(SEARCH("R", 'Dry_Litterbag Placem_Collection'!U54)),"YES","NO")</f>
        <v>NO</v>
      </c>
    </row>
    <row r="348" spans="2:30">
      <c r="B348" t="str">
        <f>'Final data_for_R_analysis_Dryse'!A494</f>
        <v>Dry</v>
      </c>
      <c r="C348" s="263">
        <f>'Final data_for_R_analysis_Dryse'!B494</f>
        <v>53</v>
      </c>
      <c r="D348" t="s">
        <v>3834</v>
      </c>
      <c r="E348" t="s">
        <v>25</v>
      </c>
      <c r="F348" s="387">
        <v>5</v>
      </c>
      <c r="G348" s="16">
        <f>'Dry_Litterbag Placem_Collection'!E55</f>
        <v>42938</v>
      </c>
      <c r="H348" s="92" t="str">
        <f>'Final data_for_R_analysis_Dryse'!J494</f>
        <v>G759</v>
      </c>
      <c r="I348" t="str">
        <f>'Final data_for_R_analysis_Dryse'!J714</f>
        <v>R140</v>
      </c>
      <c r="J348">
        <f>IFERROR(INDEX('Green_rooibos initial weight'!$C$5:$C$1749,MATCH(H348, 'Green_rooibos initial weight'!$A$5:$A$1749,0)),"")</f>
        <v>2.0539999999999998</v>
      </c>
      <c r="K348">
        <f>IFERROR(INDEX('Green_rooibos initial weight'!$C$5:$C$1749,MATCH(I348, 'Green_rooibos initial weight'!$A$5:$A$1749,0)),"")</f>
        <v>2.1930000000000001</v>
      </c>
      <c r="L348" s="195">
        <f t="shared" si="39"/>
        <v>1.8041999999999998</v>
      </c>
      <c r="M348" s="195">
        <f t="shared" si="40"/>
        <v>1.9432</v>
      </c>
      <c r="N348" s="16">
        <f>IF('Dry_Litterbag Placem_Collection'!G55="N.A","",'Dry_Litterbag Placem_Collection'!G55)</f>
        <v>43005</v>
      </c>
      <c r="O348" s="195">
        <f>IF(IFERROR(INDEX('Both teabags AfterDry'!$D$1:$D$839,MATCH(H348,'Both teabags AfterDry'!$A$1:$A$839,0)),"")="N.A","",(IFERROR(INDEX('Both teabags AfterDry'!$D$1:$D$839,MATCH(H348,'Both teabags AfterDry'!$A$1:$A$839,0)),"")))</f>
        <v>1.8980999999999999</v>
      </c>
      <c r="P348" s="195">
        <f>IF(IFERROR(INDEX('Both teabags AfterDry'!$D$1:$D$839,MATCH(I348,'Both teabags AfterDry'!$A$1:$A$839,0)),"")="N.A","",(IFERROR(INDEX('Both teabags AfterDry'!$D$1:$D$839,MATCH(I348,'Both teabags AfterDry'!$A$1:$A$839,0)),"")))</f>
        <v>1.9561999999999999</v>
      </c>
      <c r="Q348" s="195">
        <f t="shared" si="41"/>
        <v>1.7474999999999998</v>
      </c>
      <c r="R348" s="195">
        <f t="shared" si="41"/>
        <v>1.8055999999999999</v>
      </c>
      <c r="S348" s="195">
        <f t="shared" si="36"/>
        <v>3.1426671100764914E-2</v>
      </c>
      <c r="T348" s="195">
        <f t="shared" si="42"/>
        <v>2.060275825133279E-2</v>
      </c>
      <c r="U348" s="195">
        <f t="shared" si="37"/>
        <v>0.92918896665294348</v>
      </c>
      <c r="V348">
        <f t="shared" si="38"/>
        <v>67</v>
      </c>
      <c r="W348" s="195">
        <f t="shared" si="43"/>
        <v>0.96267616258816524</v>
      </c>
      <c r="X348" s="195" t="str">
        <f t="shared" si="44"/>
        <v/>
      </c>
      <c r="Y348" s="255" t="str">
        <f>IF(ISNUMBER(SEARCH("C", 'Dry_Litterbag Placem_Collection'!V55)),"YES","NO")</f>
        <v>NO</v>
      </c>
      <c r="Z348" s="255" t="str">
        <f>IF(ISNUMBER(SEARCH("H", 'Dry_Litterbag Placem_Collection'!V55)),"YES","NO")</f>
        <v>NO</v>
      </c>
      <c r="AA348" s="255" t="str">
        <f>IF(ISNUMBER(SEARCH("R", 'Dry_Litterbag Placem_Collection'!V55)),"YES","NO")</f>
        <v>NO</v>
      </c>
      <c r="AB348" s="255" t="str">
        <f>IF(ISNUMBER(SEARCH("C", 'Dry_Litterbag Placem_Collection'!U55)),"YES","NO")</f>
        <v>NO</v>
      </c>
      <c r="AC348" s="255" t="str">
        <f>IF(ISNUMBER(SEARCH("H", 'Dry_Litterbag Placem_Collection'!U55)),"YES","NO")</f>
        <v>NO</v>
      </c>
      <c r="AD348" s="255" t="str">
        <f>IF(ISNUMBER(SEARCH("R", 'Dry_Litterbag Placem_Collection'!U55)),"YES","NO")</f>
        <v>NO</v>
      </c>
    </row>
    <row r="349" spans="2:30">
      <c r="B349" t="str">
        <f>'Final data_for_R_analysis_Dryse'!A495</f>
        <v>Dry</v>
      </c>
      <c r="C349" s="263">
        <f>'Final data_for_R_analysis_Dryse'!B495</f>
        <v>54</v>
      </c>
      <c r="D349" t="s">
        <v>3834</v>
      </c>
      <c r="E349" t="s">
        <v>25</v>
      </c>
      <c r="F349" s="387">
        <v>6</v>
      </c>
      <c r="G349" s="16">
        <f>'Dry_Litterbag Placem_Collection'!E56</f>
        <v>0</v>
      </c>
      <c r="H349" s="92" t="str">
        <f>'Final data_for_R_analysis_Dryse'!J495</f>
        <v/>
      </c>
      <c r="I349" t="str">
        <f>'Final data_for_R_analysis_Dryse'!J715</f>
        <v/>
      </c>
      <c r="J349" t="str">
        <f>IFERROR(INDEX('Green_rooibos initial weight'!$C$5:$C$1749,MATCH(H349, 'Green_rooibos initial weight'!$A$5:$A$1749,0)),"")</f>
        <v/>
      </c>
      <c r="K349" t="str">
        <f>IFERROR(INDEX('Green_rooibos initial weight'!$C$5:$C$1749,MATCH(I349, 'Green_rooibos initial weight'!$A$5:$A$1749,0)),"")</f>
        <v/>
      </c>
      <c r="L349" s="195" t="str">
        <f t="shared" si="39"/>
        <v/>
      </c>
      <c r="M349" s="195" t="str">
        <f t="shared" si="40"/>
        <v/>
      </c>
      <c r="N349" s="16">
        <f>IF('Dry_Litterbag Placem_Collection'!G56="N.A","",'Dry_Litterbag Placem_Collection'!G56)</f>
        <v>0</v>
      </c>
      <c r="O349" s="195" t="str">
        <f>IF(IFERROR(INDEX('Both teabags AfterDry'!$D$1:$D$839,MATCH(H349,'Both teabags AfterDry'!$A$1:$A$839,0)),"")="N.A","",(IFERROR(INDEX('Both teabags AfterDry'!$D$1:$D$839,MATCH(H349,'Both teabags AfterDry'!$A$1:$A$839,0)),"")))</f>
        <v/>
      </c>
      <c r="P349" s="195" t="str">
        <f>IF(IFERROR(INDEX('Both teabags AfterDry'!$D$1:$D$839,MATCH(I349,'Both teabags AfterDry'!$A$1:$A$839,0)),"")="N.A","",(IFERROR(INDEX('Both teabags AfterDry'!$D$1:$D$839,MATCH(I349,'Both teabags AfterDry'!$A$1:$A$839,0)),"")))</f>
        <v/>
      </c>
      <c r="Q349" s="195" t="str">
        <f t="shared" si="41"/>
        <v/>
      </c>
      <c r="R349" s="195" t="str">
        <f t="shared" si="41"/>
        <v/>
      </c>
      <c r="S349" s="195" t="str">
        <f t="shared" si="36"/>
        <v/>
      </c>
      <c r="T349" s="195" t="str">
        <f t="shared" si="42"/>
        <v/>
      </c>
      <c r="U349" s="195" t="str">
        <f t="shared" si="37"/>
        <v/>
      </c>
      <c r="V349" t="str">
        <f t="shared" si="38"/>
        <v/>
      </c>
      <c r="W349" s="195" t="str">
        <f t="shared" si="43"/>
        <v/>
      </c>
      <c r="X349" s="195" t="str">
        <f t="shared" si="44"/>
        <v/>
      </c>
      <c r="Y349" s="255" t="str">
        <f>IF(ISNUMBER(SEARCH("C", 'Dry_Litterbag Placem_Collection'!V56)),"YES","NO")</f>
        <v>NO</v>
      </c>
      <c r="Z349" s="255" t="str">
        <f>IF(ISNUMBER(SEARCH("H", 'Dry_Litterbag Placem_Collection'!V56)),"YES","NO")</f>
        <v>NO</v>
      </c>
      <c r="AA349" s="255" t="str">
        <f>IF(ISNUMBER(SEARCH("R", 'Dry_Litterbag Placem_Collection'!V56)),"YES","NO")</f>
        <v>NO</v>
      </c>
      <c r="AB349" s="255" t="str">
        <f>IF(ISNUMBER(SEARCH("C", 'Dry_Litterbag Placem_Collection'!U56)),"YES","NO")</f>
        <v>NO</v>
      </c>
      <c r="AC349" s="255" t="str">
        <f>IF(ISNUMBER(SEARCH("H", 'Dry_Litterbag Placem_Collection'!U56)),"YES","NO")</f>
        <v>NO</v>
      </c>
      <c r="AD349" s="255" t="str">
        <f>IF(ISNUMBER(SEARCH("R", 'Dry_Litterbag Placem_Collection'!U56)),"YES","NO")</f>
        <v>NO</v>
      </c>
    </row>
    <row r="350" spans="2:30">
      <c r="B350" t="str">
        <f>'Final data_for_R_analysis_Dryse'!A496</f>
        <v>Dry</v>
      </c>
      <c r="C350" s="263">
        <f>'Final data_for_R_analysis_Dryse'!B496</f>
        <v>55</v>
      </c>
      <c r="D350" t="s">
        <v>3834</v>
      </c>
      <c r="E350" t="s">
        <v>25</v>
      </c>
      <c r="F350" s="387">
        <v>7</v>
      </c>
      <c r="G350" s="16">
        <f>'Dry_Litterbag Placem_Collection'!E57</f>
        <v>42938</v>
      </c>
      <c r="H350" s="92" t="str">
        <f>'Final data_for_R_analysis_Dryse'!J496</f>
        <v>G260</v>
      </c>
      <c r="I350" t="str">
        <f>'Final data_for_R_analysis_Dryse'!J716</f>
        <v>R192</v>
      </c>
      <c r="J350">
        <f>IFERROR(INDEX('Green_rooibos initial weight'!$C$5:$C$1749,MATCH(H350, 'Green_rooibos initial weight'!$A$5:$A$1749,0)),"")</f>
        <v>2.1560000000000001</v>
      </c>
      <c r="K350">
        <f>IFERROR(INDEX('Green_rooibos initial weight'!$C$5:$C$1749,MATCH(I350, 'Green_rooibos initial weight'!$A$5:$A$1749,0)),"")</f>
        <v>2.1970000000000001</v>
      </c>
      <c r="L350" s="195">
        <f t="shared" si="39"/>
        <v>1.9062000000000001</v>
      </c>
      <c r="M350" s="195">
        <f t="shared" si="40"/>
        <v>1.9472</v>
      </c>
      <c r="N350" s="16">
        <f>IF('Dry_Litterbag Placem_Collection'!G57="N.A","",'Dry_Litterbag Placem_Collection'!G57)</f>
        <v>43005</v>
      </c>
      <c r="O350" s="195">
        <f>IF(IFERROR(INDEX('Both teabags AfterDry'!$D$1:$D$839,MATCH(H350,'Both teabags AfterDry'!$A$1:$A$839,0)),"")="N.A","",(IFERROR(INDEX('Both teabags AfterDry'!$D$1:$D$839,MATCH(H350,'Both teabags AfterDry'!$A$1:$A$839,0)),"")))</f>
        <v>1.9074</v>
      </c>
      <c r="P350" s="195">
        <f>IF(IFERROR(INDEX('Both teabags AfterDry'!$D$1:$D$839,MATCH(I350,'Both teabags AfterDry'!$A$1:$A$839,0)),"")="N.A","",(IFERROR(INDEX('Both teabags AfterDry'!$D$1:$D$839,MATCH(I350,'Both teabags AfterDry'!$A$1:$A$839,0)),"")))</f>
        <v>1.9886999999999999</v>
      </c>
      <c r="Q350" s="195">
        <f t="shared" si="41"/>
        <v>1.7567999999999999</v>
      </c>
      <c r="R350" s="195">
        <f t="shared" si="41"/>
        <v>1.8380999999999998</v>
      </c>
      <c r="S350" s="195">
        <f t="shared" si="36"/>
        <v>7.8375826251180447E-2</v>
      </c>
      <c r="T350" s="195">
        <f t="shared" si="42"/>
        <v>5.1381776829752521E-2</v>
      </c>
      <c r="U350" s="195">
        <f t="shared" si="37"/>
        <v>0.94397082990961367</v>
      </c>
      <c r="V350">
        <f t="shared" si="38"/>
        <v>67</v>
      </c>
      <c r="W350" s="195">
        <f t="shared" si="43"/>
        <v>0.90691707096059326</v>
      </c>
      <c r="X350" s="195" t="str">
        <f t="shared" si="44"/>
        <v/>
      </c>
      <c r="Y350" s="255" t="str">
        <f>IF(ISNUMBER(SEARCH("C", 'Dry_Litterbag Placem_Collection'!V57)),"YES","NO")</f>
        <v>NO</v>
      </c>
      <c r="Z350" s="255" t="str">
        <f>IF(ISNUMBER(SEARCH("H", 'Dry_Litterbag Placem_Collection'!V57)),"YES","NO")</f>
        <v>NO</v>
      </c>
      <c r="AA350" s="255" t="str">
        <f>IF(ISNUMBER(SEARCH("R", 'Dry_Litterbag Placem_Collection'!V57)),"YES","NO")</f>
        <v>NO</v>
      </c>
      <c r="AB350" s="255" t="str">
        <f>IF(ISNUMBER(SEARCH("C", 'Dry_Litterbag Placem_Collection'!U57)),"YES","NO")</f>
        <v>NO</v>
      </c>
      <c r="AC350" s="255" t="str">
        <f>IF(ISNUMBER(SEARCH("H", 'Dry_Litterbag Placem_Collection'!U57)),"YES","NO")</f>
        <v>NO</v>
      </c>
      <c r="AD350" s="255" t="str">
        <f>IF(ISNUMBER(SEARCH("R", 'Dry_Litterbag Placem_Collection'!U57)),"YES","NO")</f>
        <v>NO</v>
      </c>
    </row>
    <row r="351" spans="2:30">
      <c r="B351" t="str">
        <f>'Final data_for_R_analysis_Dryse'!A497</f>
        <v>Dry</v>
      </c>
      <c r="C351" s="263">
        <f>'Final data_for_R_analysis_Dryse'!B497</f>
        <v>56</v>
      </c>
      <c r="D351" t="s">
        <v>3834</v>
      </c>
      <c r="E351" t="s">
        <v>25</v>
      </c>
      <c r="F351" s="387">
        <v>8</v>
      </c>
      <c r="G351" s="16">
        <f>'Dry_Litterbag Placem_Collection'!E58</f>
        <v>42938</v>
      </c>
      <c r="H351" s="92" t="str">
        <f>'Final data_for_R_analysis_Dryse'!J497</f>
        <v>G493</v>
      </c>
      <c r="I351" t="str">
        <f>'Final data_for_R_analysis_Dryse'!J717</f>
        <v>R227</v>
      </c>
      <c r="J351">
        <f>IFERROR(INDEX('Green_rooibos initial weight'!$C$5:$C$1749,MATCH(H351, 'Green_rooibos initial weight'!$A$5:$A$1749,0)),"")</f>
        <v>2.0510000000000002</v>
      </c>
      <c r="K351">
        <f>IFERROR(INDEX('Green_rooibos initial weight'!$C$5:$C$1749,MATCH(I351, 'Green_rooibos initial weight'!$A$5:$A$1749,0)),"")</f>
        <v>2.254</v>
      </c>
      <c r="L351" s="195">
        <f t="shared" si="39"/>
        <v>1.8012000000000001</v>
      </c>
      <c r="M351" s="195">
        <f t="shared" si="40"/>
        <v>2.0042</v>
      </c>
      <c r="N351" s="16">
        <f>IF('Dry_Litterbag Placem_Collection'!G58="N.A","",'Dry_Litterbag Placem_Collection'!G58)</f>
        <v>43005</v>
      </c>
      <c r="O351" s="195" t="str">
        <f>IF(IFERROR(INDEX('Both teabags AfterDry'!$D$1:$D$839,MATCH(H351,'Both teabags AfterDry'!$A$1:$A$839,0)),"")="N.A","",(IFERROR(INDEX('Both teabags AfterDry'!$D$1:$D$839,MATCH(H351,'Both teabags AfterDry'!$A$1:$A$839,0)),"")))</f>
        <v/>
      </c>
      <c r="P351" s="195">
        <f>IF(IFERROR(INDEX('Both teabags AfterDry'!$D$1:$D$839,MATCH(I351,'Both teabags AfterDry'!$A$1:$A$839,0)),"")="N.A","",(IFERROR(INDEX('Both teabags AfterDry'!$D$1:$D$839,MATCH(I351,'Both teabags AfterDry'!$A$1:$A$839,0)),"")))</f>
        <v>2.0263</v>
      </c>
      <c r="Q351" s="195" t="str">
        <f t="shared" si="41"/>
        <v/>
      </c>
      <c r="R351" s="195">
        <f t="shared" si="41"/>
        <v>1.8756999999999999</v>
      </c>
      <c r="S351" s="195" t="str">
        <f t="shared" si="36"/>
        <v/>
      </c>
      <c r="T351" s="195" t="str">
        <f t="shared" si="42"/>
        <v/>
      </c>
      <c r="U351" s="195">
        <f t="shared" si="37"/>
        <v>0.93588464225127233</v>
      </c>
      <c r="V351">
        <f t="shared" si="38"/>
        <v>67</v>
      </c>
      <c r="W351" s="195" t="str">
        <f t="shared" si="43"/>
        <v/>
      </c>
      <c r="X351" s="195" t="str">
        <f t="shared" si="44"/>
        <v/>
      </c>
      <c r="Y351" s="255" t="str">
        <f>IF(ISNUMBER(SEARCH("C", 'Dry_Litterbag Placem_Collection'!V58)),"YES","NO")</f>
        <v>NO</v>
      </c>
      <c r="Z351" s="255" t="str">
        <f>IF(ISNUMBER(SEARCH("H", 'Dry_Litterbag Placem_Collection'!V58)),"YES","NO")</f>
        <v>NO</v>
      </c>
      <c r="AA351" s="255" t="str">
        <f>IF(ISNUMBER(SEARCH("R", 'Dry_Litterbag Placem_Collection'!V58)),"YES","NO")</f>
        <v>NO</v>
      </c>
      <c r="AB351" s="255" t="str">
        <f>IF(ISNUMBER(SEARCH("C", 'Dry_Litterbag Placem_Collection'!U58)),"YES","NO")</f>
        <v>NO</v>
      </c>
      <c r="AC351" s="255" t="str">
        <f>IF(ISNUMBER(SEARCH("H", 'Dry_Litterbag Placem_Collection'!U58)),"YES","NO")</f>
        <v>NO</v>
      </c>
      <c r="AD351" s="255" t="str">
        <f>IF(ISNUMBER(SEARCH("R", 'Dry_Litterbag Placem_Collection'!U58)),"YES","NO")</f>
        <v>NO</v>
      </c>
    </row>
    <row r="352" spans="2:30">
      <c r="B352" t="str">
        <f>'Final data_for_R_analysis_Dryse'!A498</f>
        <v>Dry</v>
      </c>
      <c r="C352" s="263">
        <f>'Final data_for_R_analysis_Dryse'!B498</f>
        <v>57</v>
      </c>
      <c r="D352" t="s">
        <v>3835</v>
      </c>
      <c r="E352" t="s">
        <v>25</v>
      </c>
      <c r="F352" s="386">
        <v>1</v>
      </c>
      <c r="G352" s="16">
        <f>'Dry_Litterbag Placem_Collection'!E59</f>
        <v>42938</v>
      </c>
      <c r="H352" s="92" t="str">
        <f>'Final data_for_R_analysis_Dryse'!J498</f>
        <v>G342</v>
      </c>
      <c r="I352" t="str">
        <f>'Final data_for_R_analysis_Dryse'!J718</f>
        <v>R416</v>
      </c>
      <c r="J352">
        <f>IFERROR(INDEX('Green_rooibos initial weight'!$C$5:$C$1749,MATCH(H352, 'Green_rooibos initial weight'!$A$5:$A$1749,0)),"")</f>
        <v>1.9039999999999999</v>
      </c>
      <c r="K352">
        <f>IFERROR(INDEX('Green_rooibos initial weight'!$C$5:$C$1749,MATCH(I352, 'Green_rooibos initial weight'!$A$5:$A$1749,0)),"")</f>
        <v>2.2469999999999999</v>
      </c>
      <c r="L352" s="195">
        <f t="shared" si="39"/>
        <v>1.6541999999999999</v>
      </c>
      <c r="M352" s="195">
        <f t="shared" si="40"/>
        <v>1.9971999999999999</v>
      </c>
      <c r="N352" s="16">
        <f>IF('Dry_Litterbag Placem_Collection'!G59="N.A","",'Dry_Litterbag Placem_Collection'!G59)</f>
        <v>43005</v>
      </c>
      <c r="O352" s="195">
        <f>IF(IFERROR(INDEX('Both teabags AfterDry'!$D$1:$D$839,MATCH(H352,'Both teabags AfterDry'!$A$1:$A$839,0)),"")="N.A","",(IFERROR(INDEX('Both teabags AfterDry'!$D$1:$D$839,MATCH(H352,'Both teabags AfterDry'!$A$1:$A$839,0)),"")))</f>
        <v>1.7556</v>
      </c>
      <c r="P352" s="195">
        <f>IF(IFERROR(INDEX('Both teabags AfterDry'!$D$1:$D$839,MATCH(I352,'Both teabags AfterDry'!$A$1:$A$839,0)),"")="N.A","",(IFERROR(INDEX('Both teabags AfterDry'!$D$1:$D$839,MATCH(I352,'Both teabags AfterDry'!$A$1:$A$839,0)),"")))</f>
        <v>2.0192999999999999</v>
      </c>
      <c r="Q352" s="195">
        <f t="shared" si="41"/>
        <v>1.605</v>
      </c>
      <c r="R352" s="195">
        <f t="shared" si="41"/>
        <v>1.8686999999999998</v>
      </c>
      <c r="S352" s="195">
        <f t="shared" si="36"/>
        <v>2.9742473703300631E-2</v>
      </c>
      <c r="T352" s="195">
        <f t="shared" si="42"/>
        <v>1.949862884111872E-2</v>
      </c>
      <c r="U352" s="195">
        <f t="shared" si="37"/>
        <v>0.93565992389345076</v>
      </c>
      <c r="V352">
        <f t="shared" si="38"/>
        <v>67</v>
      </c>
      <c r="W352" s="195">
        <f t="shared" si="43"/>
        <v>0.96467639702695884</v>
      </c>
      <c r="X352" s="195" t="str">
        <f t="shared" si="44"/>
        <v/>
      </c>
      <c r="Y352" s="255" t="str">
        <f>IF(ISNUMBER(SEARCH("C", 'Dry_Litterbag Placem_Collection'!V59)),"YES","NO")</f>
        <v>NO</v>
      </c>
      <c r="Z352" s="255" t="str">
        <f>IF(ISNUMBER(SEARCH("H", 'Dry_Litterbag Placem_Collection'!V59)),"YES","NO")</f>
        <v>NO</v>
      </c>
      <c r="AA352" s="255" t="str">
        <f>IF(ISNUMBER(SEARCH("R", 'Dry_Litterbag Placem_Collection'!V59)),"YES","NO")</f>
        <v>NO</v>
      </c>
      <c r="AB352" s="255" t="str">
        <f>IF(ISNUMBER(SEARCH("C", 'Dry_Litterbag Placem_Collection'!U59)),"YES","NO")</f>
        <v>NO</v>
      </c>
      <c r="AC352" s="255" t="str">
        <f>IF(ISNUMBER(SEARCH("H", 'Dry_Litterbag Placem_Collection'!U59)),"YES","NO")</f>
        <v>NO</v>
      </c>
      <c r="AD352" s="255" t="str">
        <f>IF(ISNUMBER(SEARCH("R", 'Dry_Litterbag Placem_Collection'!U59)),"YES","NO")</f>
        <v>NO</v>
      </c>
    </row>
    <row r="353" spans="2:30">
      <c r="B353" t="str">
        <f>'Final data_for_R_analysis_Dryse'!A499</f>
        <v>Dry</v>
      </c>
      <c r="C353" s="263">
        <f>'Final data_for_R_analysis_Dryse'!B499</f>
        <v>58</v>
      </c>
      <c r="D353" t="s">
        <v>3835</v>
      </c>
      <c r="E353" t="s">
        <v>25</v>
      </c>
      <c r="F353" s="386">
        <v>2</v>
      </c>
      <c r="G353" s="16">
        <f>'Dry_Litterbag Placem_Collection'!E60</f>
        <v>42938</v>
      </c>
      <c r="H353" s="92" t="str">
        <f>'Final data_for_R_analysis_Dryse'!J499</f>
        <v>G735</v>
      </c>
      <c r="I353" t="str">
        <f>'Final data_for_R_analysis_Dryse'!J719</f>
        <v>R689</v>
      </c>
      <c r="J353">
        <f>IFERROR(INDEX('Green_rooibos initial weight'!$C$5:$C$1749,MATCH(H353, 'Green_rooibos initial weight'!$A$5:$A$1749,0)),"")</f>
        <v>2.0950000000000002</v>
      </c>
      <c r="K353">
        <f>IFERROR(INDEX('Green_rooibos initial weight'!$C$5:$C$1749,MATCH(I353, 'Green_rooibos initial weight'!$A$5:$A$1749,0)),"")</f>
        <v>2.11</v>
      </c>
      <c r="L353" s="195">
        <f t="shared" si="39"/>
        <v>1.8452000000000002</v>
      </c>
      <c r="M353" s="195">
        <f t="shared" si="40"/>
        <v>1.8601999999999999</v>
      </c>
      <c r="N353" s="16">
        <f>IF('Dry_Litterbag Placem_Collection'!G60="N.A","",'Dry_Litterbag Placem_Collection'!G60)</f>
        <v>43005</v>
      </c>
      <c r="O353" s="195">
        <f>IF(IFERROR(INDEX('Both teabags AfterDry'!$D$1:$D$839,MATCH(H353,'Both teabags AfterDry'!$A$1:$A$839,0)),"")="N.A","",(IFERROR(INDEX('Both teabags AfterDry'!$D$1:$D$839,MATCH(H353,'Both teabags AfterDry'!$A$1:$A$839,0)),"")))</f>
        <v>1.9036</v>
      </c>
      <c r="P353" s="195">
        <f>IF(IFERROR(INDEX('Both teabags AfterDry'!$D$1:$D$839,MATCH(I353,'Both teabags AfterDry'!$A$1:$A$839,0)),"")="N.A","",(IFERROR(INDEX('Both teabags AfterDry'!$D$1:$D$839,MATCH(I353,'Both teabags AfterDry'!$A$1:$A$839,0)),"")))</f>
        <v>1.9226000000000001</v>
      </c>
      <c r="Q353" s="195">
        <f t="shared" si="41"/>
        <v>1.7529999999999999</v>
      </c>
      <c r="R353" s="195">
        <f t="shared" si="41"/>
        <v>1.772</v>
      </c>
      <c r="S353" s="195">
        <f t="shared" si="36"/>
        <v>4.9967483199653273E-2</v>
      </c>
      <c r="T353" s="195">
        <f t="shared" si="42"/>
        <v>3.2757779959867707E-2</v>
      </c>
      <c r="U353" s="195">
        <f t="shared" si="37"/>
        <v>0.95258574346844438</v>
      </c>
      <c r="V353">
        <f t="shared" si="38"/>
        <v>67</v>
      </c>
      <c r="W353" s="195">
        <f t="shared" si="43"/>
        <v>0.94065619572487735</v>
      </c>
      <c r="X353" s="195" t="str">
        <f t="shared" si="44"/>
        <v/>
      </c>
      <c r="Y353" s="255" t="str">
        <f>IF(ISNUMBER(SEARCH("C", 'Dry_Litterbag Placem_Collection'!V60)),"YES","NO")</f>
        <v>NO</v>
      </c>
      <c r="Z353" s="255" t="str">
        <f>IF(ISNUMBER(SEARCH("H", 'Dry_Litterbag Placem_Collection'!V60)),"YES","NO")</f>
        <v>NO</v>
      </c>
      <c r="AA353" s="255" t="str">
        <f>IF(ISNUMBER(SEARCH("R", 'Dry_Litterbag Placem_Collection'!V60)),"YES","NO")</f>
        <v>NO</v>
      </c>
      <c r="AB353" s="255" t="str">
        <f>IF(ISNUMBER(SEARCH("C", 'Dry_Litterbag Placem_Collection'!U60)),"YES","NO")</f>
        <v>NO</v>
      </c>
      <c r="AC353" s="255" t="str">
        <f>IF(ISNUMBER(SEARCH("H", 'Dry_Litterbag Placem_Collection'!U60)),"YES","NO")</f>
        <v>NO</v>
      </c>
      <c r="AD353" s="255" t="str">
        <f>IF(ISNUMBER(SEARCH("R", 'Dry_Litterbag Placem_Collection'!U60)),"YES","NO")</f>
        <v>NO</v>
      </c>
    </row>
    <row r="354" spans="2:30">
      <c r="B354" t="str">
        <f>'Final data_for_R_analysis_Dryse'!A500</f>
        <v>Dry</v>
      </c>
      <c r="C354" s="263">
        <f>'Final data_for_R_analysis_Dryse'!B500</f>
        <v>59</v>
      </c>
      <c r="D354" t="s">
        <v>3835</v>
      </c>
      <c r="E354" t="s">
        <v>25</v>
      </c>
      <c r="F354" s="386">
        <v>3</v>
      </c>
      <c r="G354" s="16">
        <f>'Dry_Litterbag Placem_Collection'!E61</f>
        <v>42938</v>
      </c>
      <c r="H354" s="92" t="str">
        <f>'Final data_for_R_analysis_Dryse'!J500</f>
        <v>G558</v>
      </c>
      <c r="I354" t="str">
        <f>'Final data_for_R_analysis_Dryse'!J720</f>
        <v>R231</v>
      </c>
      <c r="J354">
        <f>IFERROR(INDEX('Green_rooibos initial weight'!$C$5:$C$1749,MATCH(H354, 'Green_rooibos initial weight'!$A$5:$A$1749,0)),"")</f>
        <v>2.1789999999999998</v>
      </c>
      <c r="K354">
        <f>IFERROR(INDEX('Green_rooibos initial weight'!$C$5:$C$1749,MATCH(I354, 'Green_rooibos initial weight'!$A$5:$A$1749,0)),"")</f>
        <v>2.1230000000000002</v>
      </c>
      <c r="L354" s="195">
        <f t="shared" si="39"/>
        <v>1.9291999999999998</v>
      </c>
      <c r="M354" s="195">
        <f t="shared" si="40"/>
        <v>1.8732000000000002</v>
      </c>
      <c r="N354" s="16">
        <f>IF('Dry_Litterbag Placem_Collection'!G61="N.A","",'Dry_Litterbag Placem_Collection'!G61)</f>
        <v>43005</v>
      </c>
      <c r="O354" s="195">
        <f>IF(IFERROR(INDEX('Both teabags AfterDry'!$D$1:$D$839,MATCH(H354,'Both teabags AfterDry'!$A$1:$A$839,0)),"")="N.A","",(IFERROR(INDEX('Both teabags AfterDry'!$D$1:$D$839,MATCH(H354,'Both teabags AfterDry'!$A$1:$A$839,0)),"")))</f>
        <v>1.9415</v>
      </c>
      <c r="P354" s="195" t="str">
        <f>IF(IFERROR(INDEX('Both teabags AfterDry'!$D$1:$D$839,MATCH(I354,'Both teabags AfterDry'!$A$1:$A$839,0)),"")="N.A","",(IFERROR(INDEX('Both teabags AfterDry'!$D$1:$D$839,MATCH(I354,'Both teabags AfterDry'!$A$1:$A$839,0)),"")))</f>
        <v/>
      </c>
      <c r="Q354" s="195">
        <f t="shared" si="41"/>
        <v>1.7908999999999999</v>
      </c>
      <c r="R354" s="195" t="str">
        <f t="shared" si="41"/>
        <v/>
      </c>
      <c r="S354" s="195">
        <f t="shared" si="36"/>
        <v>7.1687746216048009E-2</v>
      </c>
      <c r="T354" s="195">
        <f t="shared" si="42"/>
        <v>4.6997192293656155E-2</v>
      </c>
      <c r="U354" s="195" t="str">
        <f t="shared" si="37"/>
        <v/>
      </c>
      <c r="V354">
        <f t="shared" si="38"/>
        <v>67</v>
      </c>
      <c r="W354" s="195">
        <f t="shared" si="43"/>
        <v>0.91486015888830408</v>
      </c>
      <c r="X354" s="195" t="str">
        <f t="shared" si="44"/>
        <v/>
      </c>
      <c r="Y354" s="255" t="str">
        <f>IF(ISNUMBER(SEARCH("C", 'Dry_Litterbag Placem_Collection'!V61)),"YES","NO")</f>
        <v>NO</v>
      </c>
      <c r="Z354" s="255" t="str">
        <f>IF(ISNUMBER(SEARCH("H", 'Dry_Litterbag Placem_Collection'!V61)),"YES","NO")</f>
        <v>NO</v>
      </c>
      <c r="AA354" s="255" t="str">
        <f>IF(ISNUMBER(SEARCH("R", 'Dry_Litterbag Placem_Collection'!V61)),"YES","NO")</f>
        <v>NO</v>
      </c>
      <c r="AB354" s="255" t="str">
        <f>IF(ISNUMBER(SEARCH("C", 'Dry_Litterbag Placem_Collection'!U61)),"YES","NO")</f>
        <v>NO</v>
      </c>
      <c r="AC354" s="255" t="str">
        <f>IF(ISNUMBER(SEARCH("H", 'Dry_Litterbag Placem_Collection'!U61)),"YES","NO")</f>
        <v>NO</v>
      </c>
      <c r="AD354" s="255" t="str">
        <f>IF(ISNUMBER(SEARCH("R", 'Dry_Litterbag Placem_Collection'!U61)),"YES","NO")</f>
        <v>NO</v>
      </c>
    </row>
    <row r="355" spans="2:30">
      <c r="B355" t="str">
        <f>'Final data_for_R_analysis_Dryse'!A501</f>
        <v>Dry</v>
      </c>
      <c r="C355" s="263">
        <f>'Final data_for_R_analysis_Dryse'!B501</f>
        <v>60</v>
      </c>
      <c r="D355" t="s">
        <v>3835</v>
      </c>
      <c r="E355" t="s">
        <v>25</v>
      </c>
      <c r="F355" s="387">
        <v>4</v>
      </c>
      <c r="G355" s="16">
        <f>'Dry_Litterbag Placem_Collection'!E62</f>
        <v>42938</v>
      </c>
      <c r="H355" s="92" t="str">
        <f>'Final data_for_R_analysis_Dryse'!J501</f>
        <v>G751</v>
      </c>
      <c r="I355" t="str">
        <f>'Final data_for_R_analysis_Dryse'!J721</f>
        <v>R297</v>
      </c>
      <c r="J355">
        <f>IFERROR(INDEX('Green_rooibos initial weight'!$C$5:$C$1749,MATCH(H355, 'Green_rooibos initial weight'!$A$5:$A$1749,0)),"")</f>
        <v>2.0750000000000002</v>
      </c>
      <c r="K355">
        <f>IFERROR(INDEX('Green_rooibos initial weight'!$C$5:$C$1749,MATCH(I355, 'Green_rooibos initial weight'!$A$5:$A$1749,0)),"")</f>
        <v>2.1800000000000002</v>
      </c>
      <c r="L355" s="195">
        <f t="shared" si="39"/>
        <v>1.8252000000000002</v>
      </c>
      <c r="M355" s="195">
        <f t="shared" si="40"/>
        <v>1.9302000000000001</v>
      </c>
      <c r="N355" s="16">
        <f>IF('Dry_Litterbag Placem_Collection'!G62="N.A","",'Dry_Litterbag Placem_Collection'!G62)</f>
        <v>43005</v>
      </c>
      <c r="O355" s="195" t="str">
        <f>IF(IFERROR(INDEX('Both teabags AfterDry'!$D$1:$D$839,MATCH(H355,'Both teabags AfterDry'!$A$1:$A$839,0)),"")="N.A","",(IFERROR(INDEX('Both teabags AfterDry'!$D$1:$D$839,MATCH(H355,'Both teabags AfterDry'!$A$1:$A$839,0)),"")))</f>
        <v/>
      </c>
      <c r="P355" s="195">
        <f>IF(IFERROR(INDEX('Both teabags AfterDry'!$D$1:$D$839,MATCH(I355,'Both teabags AfterDry'!$A$1:$A$839,0)),"")="N.A","",(IFERROR(INDEX('Both teabags AfterDry'!$D$1:$D$839,MATCH(I355,'Both teabags AfterDry'!$A$1:$A$839,0)),"")))</f>
        <v>1.9569000000000001</v>
      </c>
      <c r="Q355" s="195" t="str">
        <f t="shared" si="41"/>
        <v/>
      </c>
      <c r="R355" s="195">
        <f t="shared" si="41"/>
        <v>1.8063</v>
      </c>
      <c r="S355" s="195" t="str">
        <f t="shared" si="36"/>
        <v/>
      </c>
      <c r="T355" s="195" t="str">
        <f t="shared" si="42"/>
        <v/>
      </c>
      <c r="U355" s="195">
        <f t="shared" si="37"/>
        <v>0.93580976064656507</v>
      </c>
      <c r="V355">
        <f t="shared" si="38"/>
        <v>67</v>
      </c>
      <c r="W355" s="195" t="str">
        <f t="shared" si="43"/>
        <v/>
      </c>
      <c r="X355" s="195" t="str">
        <f t="shared" si="44"/>
        <v/>
      </c>
      <c r="Y355" s="255" t="str">
        <f>IF(ISNUMBER(SEARCH("C", 'Dry_Litterbag Placem_Collection'!V62)),"YES","NO")</f>
        <v>NO</v>
      </c>
      <c r="Z355" s="255" t="str">
        <f>IF(ISNUMBER(SEARCH("H", 'Dry_Litterbag Placem_Collection'!V62)),"YES","NO")</f>
        <v>NO</v>
      </c>
      <c r="AA355" s="255" t="str">
        <f>IF(ISNUMBER(SEARCH("R", 'Dry_Litterbag Placem_Collection'!V62)),"YES","NO")</f>
        <v>NO</v>
      </c>
      <c r="AB355" s="255" t="str">
        <f>IF(ISNUMBER(SEARCH("C", 'Dry_Litterbag Placem_Collection'!U62)),"YES","NO")</f>
        <v>NO</v>
      </c>
      <c r="AC355" s="255" t="str">
        <f>IF(ISNUMBER(SEARCH("H", 'Dry_Litterbag Placem_Collection'!U62)),"YES","NO")</f>
        <v>NO</v>
      </c>
      <c r="AD355" s="255" t="str">
        <f>IF(ISNUMBER(SEARCH("R", 'Dry_Litterbag Placem_Collection'!U62)),"YES","NO")</f>
        <v>NO</v>
      </c>
    </row>
    <row r="356" spans="2:30">
      <c r="B356" t="str">
        <f>'Final data_for_R_analysis_Dryse'!A502</f>
        <v>Dry</v>
      </c>
      <c r="C356" s="263">
        <f>'Final data_for_R_analysis_Dryse'!B502</f>
        <v>61</v>
      </c>
      <c r="D356" t="s">
        <v>3835</v>
      </c>
      <c r="E356" t="s">
        <v>25</v>
      </c>
      <c r="F356" s="387">
        <v>5</v>
      </c>
      <c r="G356" s="16">
        <f>'Dry_Litterbag Placem_Collection'!E63</f>
        <v>42938</v>
      </c>
      <c r="H356" s="92" t="str">
        <f>'Final data_for_R_analysis_Dryse'!J502</f>
        <v>G748</v>
      </c>
      <c r="I356" t="str">
        <f>'Final data_for_R_analysis_Dryse'!J722</f>
        <v>R200</v>
      </c>
      <c r="J356">
        <f>IFERROR(INDEX('Green_rooibos initial weight'!$C$5:$C$1749,MATCH(H356, 'Green_rooibos initial weight'!$A$5:$A$1749,0)),"")</f>
        <v>2.081</v>
      </c>
      <c r="K356">
        <f>IFERROR(INDEX('Green_rooibos initial weight'!$C$5:$C$1749,MATCH(I356, 'Green_rooibos initial weight'!$A$5:$A$1749,0)),"")</f>
        <v>2.242</v>
      </c>
      <c r="L356" s="195">
        <f t="shared" si="39"/>
        <v>1.8311999999999999</v>
      </c>
      <c r="M356" s="195">
        <f t="shared" si="40"/>
        <v>1.9922</v>
      </c>
      <c r="N356" s="16">
        <f>IF('Dry_Litterbag Placem_Collection'!G63="N.A","",'Dry_Litterbag Placem_Collection'!G63)</f>
        <v>43005</v>
      </c>
      <c r="O356" s="195" t="str">
        <f>IF(IFERROR(INDEX('Both teabags AfterDry'!$D$1:$D$839,MATCH(H356,'Both teabags AfterDry'!$A$1:$A$839,0)),"")="N.A","",(IFERROR(INDEX('Both teabags AfterDry'!$D$1:$D$839,MATCH(H356,'Both teabags AfterDry'!$A$1:$A$839,0)),"")))</f>
        <v/>
      </c>
      <c r="P356" s="195" t="str">
        <f>IF(IFERROR(INDEX('Both teabags AfterDry'!$D$1:$D$839,MATCH(I356,'Both teabags AfterDry'!$A$1:$A$839,0)),"")="N.A","",(IFERROR(INDEX('Both teabags AfterDry'!$D$1:$D$839,MATCH(I356,'Both teabags AfterDry'!$A$1:$A$839,0)),"")))</f>
        <v/>
      </c>
      <c r="Q356" s="195" t="str">
        <f t="shared" si="41"/>
        <v/>
      </c>
      <c r="R356" s="195" t="str">
        <f t="shared" si="41"/>
        <v/>
      </c>
      <c r="S356" s="195" t="str">
        <f t="shared" si="36"/>
        <v/>
      </c>
      <c r="T356" s="195" t="str">
        <f t="shared" si="42"/>
        <v/>
      </c>
      <c r="U356" s="195" t="str">
        <f t="shared" si="37"/>
        <v/>
      </c>
      <c r="V356">
        <f t="shared" si="38"/>
        <v>67</v>
      </c>
      <c r="W356" s="195" t="str">
        <f t="shared" si="43"/>
        <v/>
      </c>
      <c r="X356" s="195" t="str">
        <f t="shared" si="44"/>
        <v/>
      </c>
      <c r="Y356" s="255" t="str">
        <f>IF(ISNUMBER(SEARCH("C", 'Dry_Litterbag Placem_Collection'!V63)),"YES","NO")</f>
        <v>NO</v>
      </c>
      <c r="Z356" s="255" t="str">
        <f>IF(ISNUMBER(SEARCH("H", 'Dry_Litterbag Placem_Collection'!V63)),"YES","NO")</f>
        <v>NO</v>
      </c>
      <c r="AA356" s="255" t="str">
        <f>IF(ISNUMBER(SEARCH("R", 'Dry_Litterbag Placem_Collection'!V63)),"YES","NO")</f>
        <v>NO</v>
      </c>
      <c r="AB356" s="255" t="str">
        <f>IF(ISNUMBER(SEARCH("C", 'Dry_Litterbag Placem_Collection'!U63)),"YES","NO")</f>
        <v>NO</v>
      </c>
      <c r="AC356" s="255" t="str">
        <f>IF(ISNUMBER(SEARCH("H", 'Dry_Litterbag Placem_Collection'!U63)),"YES","NO")</f>
        <v>NO</v>
      </c>
      <c r="AD356" s="255" t="str">
        <f>IF(ISNUMBER(SEARCH("R", 'Dry_Litterbag Placem_Collection'!U63)),"YES","NO")</f>
        <v>NO</v>
      </c>
    </row>
    <row r="357" spans="2:30">
      <c r="B357" t="str">
        <f>'Final data_for_R_analysis_Dryse'!A503</f>
        <v>Dry</v>
      </c>
      <c r="C357" s="263">
        <f>'Final data_for_R_analysis_Dryse'!B503</f>
        <v>62</v>
      </c>
      <c r="D357" t="s">
        <v>3835</v>
      </c>
      <c r="E357" t="s">
        <v>25</v>
      </c>
      <c r="F357" s="387">
        <v>6</v>
      </c>
      <c r="G357" s="390">
        <f>'Dry_Litterbag Placem_Collection'!E64</f>
        <v>0</v>
      </c>
      <c r="H357" s="92" t="str">
        <f>'Final data_for_R_analysis_Dryse'!J503</f>
        <v/>
      </c>
      <c r="I357" t="str">
        <f>'Final data_for_R_analysis_Dryse'!J723</f>
        <v/>
      </c>
      <c r="J357" t="str">
        <f>IFERROR(INDEX('Green_rooibos initial weight'!$C$5:$C$1749,MATCH(H357, 'Green_rooibos initial weight'!$A$5:$A$1749,0)),"")</f>
        <v/>
      </c>
      <c r="K357" t="str">
        <f>IFERROR(INDEX('Green_rooibos initial weight'!$C$5:$C$1749,MATCH(I357, 'Green_rooibos initial weight'!$A$5:$A$1749,0)),"")</f>
        <v/>
      </c>
      <c r="L357" s="195" t="str">
        <f t="shared" si="39"/>
        <v/>
      </c>
      <c r="M357" s="195" t="str">
        <f t="shared" si="40"/>
        <v/>
      </c>
      <c r="N357" s="16">
        <f>IF('Dry_Litterbag Placem_Collection'!G64="N.A","",'Dry_Litterbag Placem_Collection'!G64)</f>
        <v>0</v>
      </c>
      <c r="O357" s="195" t="str">
        <f>IF(IFERROR(INDEX('Both teabags AfterDry'!$D$1:$D$839,MATCH(H357,'Both teabags AfterDry'!$A$1:$A$839,0)),"")="N.A","",(IFERROR(INDEX('Both teabags AfterDry'!$D$1:$D$839,MATCH(H357,'Both teabags AfterDry'!$A$1:$A$839,0)),"")))</f>
        <v/>
      </c>
      <c r="P357" s="195" t="str">
        <f>IF(IFERROR(INDEX('Both teabags AfterDry'!$D$1:$D$839,MATCH(I357,'Both teabags AfterDry'!$A$1:$A$839,0)),"")="N.A","",(IFERROR(INDEX('Both teabags AfterDry'!$D$1:$D$839,MATCH(I357,'Both teabags AfterDry'!$A$1:$A$839,0)),"")))</f>
        <v/>
      </c>
      <c r="Q357" s="195" t="str">
        <f t="shared" si="41"/>
        <v/>
      </c>
      <c r="R357" s="195" t="str">
        <f t="shared" si="41"/>
        <v/>
      </c>
      <c r="S357" s="195" t="str">
        <f t="shared" si="36"/>
        <v/>
      </c>
      <c r="T357" s="195" t="str">
        <f t="shared" si="42"/>
        <v/>
      </c>
      <c r="U357" s="195" t="str">
        <f t="shared" si="37"/>
        <v/>
      </c>
      <c r="V357" t="str">
        <f t="shared" si="38"/>
        <v/>
      </c>
      <c r="W357" s="195" t="str">
        <f t="shared" si="43"/>
        <v/>
      </c>
      <c r="X357" s="195" t="str">
        <f t="shared" si="44"/>
        <v/>
      </c>
      <c r="Y357" s="255" t="str">
        <f>IF(ISNUMBER(SEARCH("C", 'Dry_Litterbag Placem_Collection'!V64)),"YES","NO")</f>
        <v>NO</v>
      </c>
      <c r="Z357" s="255" t="str">
        <f>IF(ISNUMBER(SEARCH("H", 'Dry_Litterbag Placem_Collection'!V64)),"YES","NO")</f>
        <v>NO</v>
      </c>
      <c r="AA357" s="255" t="str">
        <f>IF(ISNUMBER(SEARCH("R", 'Dry_Litterbag Placem_Collection'!V64)),"YES","NO")</f>
        <v>NO</v>
      </c>
      <c r="AB357" s="255" t="str">
        <f>IF(ISNUMBER(SEARCH("C", 'Dry_Litterbag Placem_Collection'!U64)),"YES","NO")</f>
        <v>NO</v>
      </c>
      <c r="AC357" s="255" t="str">
        <f>IF(ISNUMBER(SEARCH("H", 'Dry_Litterbag Placem_Collection'!U64)),"YES","NO")</f>
        <v>NO</v>
      </c>
      <c r="AD357" s="255" t="str">
        <f>IF(ISNUMBER(SEARCH("R", 'Dry_Litterbag Placem_Collection'!U64)),"YES","NO")</f>
        <v>NO</v>
      </c>
    </row>
    <row r="358" spans="2:30">
      <c r="B358" t="str">
        <f>'Final data_for_R_analysis_Dryse'!A504</f>
        <v>Dry</v>
      </c>
      <c r="C358" s="263">
        <f>'Final data_for_R_analysis_Dryse'!B504</f>
        <v>63</v>
      </c>
      <c r="D358" t="s">
        <v>3835</v>
      </c>
      <c r="E358" t="s">
        <v>25</v>
      </c>
      <c r="F358" s="387">
        <v>7</v>
      </c>
      <c r="G358" s="16">
        <f>'Dry_Litterbag Placem_Collection'!E65</f>
        <v>42938</v>
      </c>
      <c r="H358" s="92" t="str">
        <f>'Final data_for_R_analysis_Dryse'!J504</f>
        <v>G629</v>
      </c>
      <c r="I358" t="str">
        <f>'Final data_for_R_analysis_Dryse'!J724</f>
        <v>R713</v>
      </c>
      <c r="J358">
        <f>IFERROR(INDEX('Green_rooibos initial weight'!$C$5:$C$1749,MATCH(H358, 'Green_rooibos initial weight'!$A$5:$A$1749,0)),"")</f>
        <v>1.978</v>
      </c>
      <c r="K358">
        <f>IFERROR(INDEX('Green_rooibos initial weight'!$C$5:$C$1749,MATCH(I358, 'Green_rooibos initial weight'!$A$5:$A$1749,0)),"")</f>
        <v>2.1619999999999999</v>
      </c>
      <c r="L358" s="195">
        <f t="shared" si="39"/>
        <v>1.7282</v>
      </c>
      <c r="M358" s="195">
        <f t="shared" si="40"/>
        <v>1.9121999999999999</v>
      </c>
      <c r="N358" s="16">
        <f>IF('Dry_Litterbag Placem_Collection'!G65="N.A","",'Dry_Litterbag Placem_Collection'!G65)</f>
        <v>43005</v>
      </c>
      <c r="O358" s="195">
        <f>IF(IFERROR(INDEX('Both teabags AfterDry'!$D$1:$D$839,MATCH(H358,'Both teabags AfterDry'!$A$1:$A$839,0)),"")="N.A","",(IFERROR(INDEX('Both teabags AfterDry'!$D$1:$D$839,MATCH(H358,'Both teabags AfterDry'!$A$1:$A$839,0)),"")))</f>
        <v>1.8411</v>
      </c>
      <c r="P358" s="195">
        <f>IF(IFERROR(INDEX('Both teabags AfterDry'!$D$1:$D$839,MATCH(I358,'Both teabags AfterDry'!$A$1:$A$839,0)),"")="N.A","",(IFERROR(INDEX('Both teabags AfterDry'!$D$1:$D$839,MATCH(I358,'Both teabags AfterDry'!$A$1:$A$839,0)),"")))</f>
        <v>1.9921</v>
      </c>
      <c r="Q358" s="195">
        <f t="shared" si="41"/>
        <v>1.6904999999999999</v>
      </c>
      <c r="R358" s="195">
        <f t="shared" si="41"/>
        <v>1.8414999999999999</v>
      </c>
      <c r="S358" s="195">
        <f t="shared" si="36"/>
        <v>2.1814604791112191E-2</v>
      </c>
      <c r="T358" s="195">
        <f t="shared" si="42"/>
        <v>1.4301261098211324E-2</v>
      </c>
      <c r="U358" s="195">
        <f t="shared" si="37"/>
        <v>0.96302688003346926</v>
      </c>
      <c r="V358">
        <f t="shared" si="38"/>
        <v>67</v>
      </c>
      <c r="W358" s="195">
        <f t="shared" si="43"/>
        <v>0.97409191830034181</v>
      </c>
      <c r="X358" s="195" t="str">
        <f t="shared" si="44"/>
        <v/>
      </c>
      <c r="Y358" s="255" t="str">
        <f>IF(ISNUMBER(SEARCH("C", 'Dry_Litterbag Placem_Collection'!V65)),"YES","NO")</f>
        <v>NO</v>
      </c>
      <c r="Z358" s="255" t="str">
        <f>IF(ISNUMBER(SEARCH("H", 'Dry_Litterbag Placem_Collection'!V65)),"YES","NO")</f>
        <v>NO</v>
      </c>
      <c r="AA358" s="255" t="str">
        <f>IF(ISNUMBER(SEARCH("R", 'Dry_Litterbag Placem_Collection'!V65)),"YES","NO")</f>
        <v>NO</v>
      </c>
      <c r="AB358" s="255" t="str">
        <f>IF(ISNUMBER(SEARCH("C", 'Dry_Litterbag Placem_Collection'!U65)),"YES","NO")</f>
        <v>NO</v>
      </c>
      <c r="AC358" s="255" t="str">
        <f>IF(ISNUMBER(SEARCH("H", 'Dry_Litterbag Placem_Collection'!U65)),"YES","NO")</f>
        <v>NO</v>
      </c>
      <c r="AD358" s="255" t="str">
        <f>IF(ISNUMBER(SEARCH("R", 'Dry_Litterbag Placem_Collection'!U65)),"YES","NO")</f>
        <v>NO</v>
      </c>
    </row>
    <row r="359" spans="2:30">
      <c r="B359" t="str">
        <f>'Final data_for_R_analysis_Dryse'!A505</f>
        <v>Dry</v>
      </c>
      <c r="C359" s="263">
        <f>'Final data_for_R_analysis_Dryse'!B505</f>
        <v>64</v>
      </c>
      <c r="D359" t="s">
        <v>3835</v>
      </c>
      <c r="E359" t="s">
        <v>25</v>
      </c>
      <c r="F359" s="387">
        <v>8</v>
      </c>
      <c r="G359" s="16">
        <f>'Dry_Litterbag Placem_Collection'!E66</f>
        <v>42938</v>
      </c>
      <c r="H359" s="92" t="str">
        <f>'Final data_for_R_analysis_Dryse'!J505</f>
        <v>G84</v>
      </c>
      <c r="I359" t="str">
        <f>'Final data_for_R_analysis_Dryse'!J725</f>
        <v>R237</v>
      </c>
      <c r="J359">
        <f>IFERROR(INDEX('Green_rooibos initial weight'!$C$5:$C$1749,MATCH(H359, 'Green_rooibos initial weight'!$A$5:$A$1749,0)),"")</f>
        <v>2.1259999999999999</v>
      </c>
      <c r="K359">
        <f>IFERROR(INDEX('Green_rooibos initial weight'!$C$5:$C$1749,MATCH(I359, 'Green_rooibos initial weight'!$A$5:$A$1749,0)),"")</f>
        <v>2.1989999999999998</v>
      </c>
      <c r="L359" s="195">
        <f t="shared" si="39"/>
        <v>1.8761999999999999</v>
      </c>
      <c r="M359" s="195">
        <f t="shared" si="40"/>
        <v>1.9491999999999998</v>
      </c>
      <c r="N359" s="16">
        <f>IF('Dry_Litterbag Placem_Collection'!G66="N.A","",'Dry_Litterbag Placem_Collection'!G66)</f>
        <v>43005</v>
      </c>
      <c r="O359" s="195">
        <f>IF(IFERROR(INDEX('Both teabags AfterDry'!$D$1:$D$839,MATCH(H359,'Both teabags AfterDry'!$A$1:$A$839,0)),"")="N.A","",(IFERROR(INDEX('Both teabags AfterDry'!$D$1:$D$839,MATCH(H359,'Both teabags AfterDry'!$A$1:$A$839,0)),"")))</f>
        <v>1.9314</v>
      </c>
      <c r="P359" s="195">
        <f>IF(IFERROR(INDEX('Both teabags AfterDry'!$D$1:$D$839,MATCH(I359,'Both teabags AfterDry'!$A$1:$A$839,0)),"")="N.A","",(IFERROR(INDEX('Both teabags AfterDry'!$D$1:$D$839,MATCH(I359,'Both teabags AfterDry'!$A$1:$A$839,0)),"")))</f>
        <v>1.9715</v>
      </c>
      <c r="Q359" s="195">
        <f t="shared" si="41"/>
        <v>1.7807999999999999</v>
      </c>
      <c r="R359" s="195">
        <f t="shared" si="41"/>
        <v>1.8209</v>
      </c>
      <c r="S359" s="195">
        <f t="shared" si="36"/>
        <v>5.084745762711862E-2</v>
      </c>
      <c r="T359" s="195">
        <f t="shared" si="42"/>
        <v>3.3334675308989911E-2</v>
      </c>
      <c r="U359" s="195">
        <f t="shared" si="37"/>
        <v>0.93417812435871128</v>
      </c>
      <c r="V359">
        <f t="shared" si="38"/>
        <v>67</v>
      </c>
      <c r="W359" s="195">
        <f t="shared" si="43"/>
        <v>0.93961109545472843</v>
      </c>
      <c r="X359" s="195" t="str">
        <f t="shared" si="44"/>
        <v/>
      </c>
      <c r="Y359" s="255" t="str">
        <f>IF(ISNUMBER(SEARCH("C", 'Dry_Litterbag Placem_Collection'!V66)),"YES","NO")</f>
        <v>NO</v>
      </c>
      <c r="Z359" s="255" t="str">
        <f>IF(ISNUMBER(SEARCH("H", 'Dry_Litterbag Placem_Collection'!V66)),"YES","NO")</f>
        <v>NO</v>
      </c>
      <c r="AA359" s="255" t="str">
        <f>IF(ISNUMBER(SEARCH("R", 'Dry_Litterbag Placem_Collection'!V66)),"YES","NO")</f>
        <v>NO</v>
      </c>
      <c r="AB359" s="255" t="str">
        <f>IF(ISNUMBER(SEARCH("C", 'Dry_Litterbag Placem_Collection'!U66)),"YES","NO")</f>
        <v>NO</v>
      </c>
      <c r="AC359" s="255" t="str">
        <f>IF(ISNUMBER(SEARCH("H", 'Dry_Litterbag Placem_Collection'!U66)),"YES","NO")</f>
        <v>NO</v>
      </c>
      <c r="AD359" s="255" t="str">
        <f>IF(ISNUMBER(SEARCH("R", 'Dry_Litterbag Placem_Collection'!U66)),"YES","NO")</f>
        <v>NO</v>
      </c>
    </row>
    <row r="360" spans="2:30">
      <c r="B360" t="str">
        <f>'Final data_for_R_analysis_Dryse'!A506</f>
        <v>Dry</v>
      </c>
      <c r="C360" s="263">
        <f>'Final data_for_R_analysis_Dryse'!B506</f>
        <v>65</v>
      </c>
      <c r="D360" t="s">
        <v>3836</v>
      </c>
      <c r="E360" t="s">
        <v>25</v>
      </c>
      <c r="F360" s="386">
        <v>1</v>
      </c>
      <c r="G360" s="16">
        <f>'Dry_Litterbag Placem_Collection'!E67</f>
        <v>42937</v>
      </c>
      <c r="H360" s="92" t="str">
        <f>'Final data_for_R_analysis_Dryse'!J506</f>
        <v>G586</v>
      </c>
      <c r="I360" t="str">
        <f>'Final data_for_R_analysis_Dryse'!J726</f>
        <v>R654</v>
      </c>
      <c r="J360">
        <f>IFERROR(INDEX('Green_rooibos initial weight'!$C$5:$C$1749,MATCH(H360, 'Green_rooibos initial weight'!$A$5:$A$1749,0)),"")</f>
        <v>1.9590000000000001</v>
      </c>
      <c r="K360">
        <f>IFERROR(INDEX('Green_rooibos initial weight'!$C$5:$C$1749,MATCH(I360, 'Green_rooibos initial weight'!$A$5:$A$1749,0)),"")</f>
        <v>2.2040000000000002</v>
      </c>
      <c r="L360" s="195">
        <f t="shared" si="39"/>
        <v>1.7092000000000001</v>
      </c>
      <c r="M360" s="195">
        <f t="shared" si="40"/>
        <v>1.9542000000000002</v>
      </c>
      <c r="N360" s="16">
        <f>IF('Dry_Litterbag Placem_Collection'!G67="N.A","",'Dry_Litterbag Placem_Collection'!G67)</f>
        <v>43005</v>
      </c>
      <c r="O360" s="195" t="str">
        <f>IF(IFERROR(INDEX('Both teabags AfterDry'!$D$1:$D$839,MATCH(H360,'Both teabags AfterDry'!$A$1:$A$839,0)),"")="N.A","",(IFERROR(INDEX('Both teabags AfterDry'!$D$1:$D$839,MATCH(H360,'Both teabags AfterDry'!$A$1:$A$839,0)),"")))</f>
        <v/>
      </c>
      <c r="P360" s="195" t="str">
        <f>IF(IFERROR(INDEX('Both teabags AfterDry'!$D$1:$D$839,MATCH(I360,'Both teabags AfterDry'!$A$1:$A$839,0)),"")="N.A","",(IFERROR(INDEX('Both teabags AfterDry'!$D$1:$D$839,MATCH(I360,'Both teabags AfterDry'!$A$1:$A$839,0)),"")))</f>
        <v/>
      </c>
      <c r="Q360" s="195" t="str">
        <f t="shared" si="41"/>
        <v/>
      </c>
      <c r="R360" s="195" t="str">
        <f t="shared" si="41"/>
        <v/>
      </c>
      <c r="S360" s="195" t="str">
        <f t="shared" si="36"/>
        <v/>
      </c>
      <c r="T360" s="195" t="str">
        <f t="shared" si="42"/>
        <v/>
      </c>
      <c r="U360" s="195" t="str">
        <f t="shared" si="37"/>
        <v/>
      </c>
      <c r="V360">
        <f t="shared" si="38"/>
        <v>68</v>
      </c>
      <c r="W360" s="195" t="str">
        <f t="shared" si="43"/>
        <v/>
      </c>
      <c r="X360" s="195" t="str">
        <f t="shared" si="44"/>
        <v/>
      </c>
      <c r="Y360" s="255" t="str">
        <f>IF(ISNUMBER(SEARCH("C", 'Dry_Litterbag Placem_Collection'!V67)),"YES","NO")</f>
        <v>NO</v>
      </c>
      <c r="Z360" s="255" t="str">
        <f>IF(ISNUMBER(SEARCH("H", 'Dry_Litterbag Placem_Collection'!V67)),"YES","NO")</f>
        <v>NO</v>
      </c>
      <c r="AA360" s="255" t="str">
        <f>IF(ISNUMBER(SEARCH("R", 'Dry_Litterbag Placem_Collection'!V67)),"YES","NO")</f>
        <v>NO</v>
      </c>
      <c r="AB360" s="255" t="str">
        <f>IF(ISNUMBER(SEARCH("C", 'Dry_Litterbag Placem_Collection'!U67)),"YES","NO")</f>
        <v>NO</v>
      </c>
      <c r="AC360" s="255" t="str">
        <f>IF(ISNUMBER(SEARCH("H", 'Dry_Litterbag Placem_Collection'!U67)),"YES","NO")</f>
        <v>NO</v>
      </c>
      <c r="AD360" s="255" t="str">
        <f>IF(ISNUMBER(SEARCH("R", 'Dry_Litterbag Placem_Collection'!U67)),"YES","NO")</f>
        <v>NO</v>
      </c>
    </row>
    <row r="361" spans="2:30">
      <c r="B361" t="str">
        <f>'Final data_for_R_analysis_Dryse'!A507</f>
        <v>Dry</v>
      </c>
      <c r="C361" s="263">
        <f>'Final data_for_R_analysis_Dryse'!B507</f>
        <v>66</v>
      </c>
      <c r="D361" t="s">
        <v>3836</v>
      </c>
      <c r="E361" t="s">
        <v>25</v>
      </c>
      <c r="F361" s="386">
        <v>2</v>
      </c>
      <c r="G361" s="16">
        <f>'Dry_Litterbag Placem_Collection'!E68</f>
        <v>42937</v>
      </c>
      <c r="H361" s="92" t="str">
        <f>'Final data_for_R_analysis_Dryse'!J507</f>
        <v>G851</v>
      </c>
      <c r="I361" t="str">
        <f>'Final data_for_R_analysis_Dryse'!J727</f>
        <v>R634</v>
      </c>
      <c r="J361">
        <f>IFERROR(INDEX('Green_rooibos initial weight'!$C$5:$C$1749,MATCH(H361, 'Green_rooibos initial weight'!$A$5:$A$1749,0)),"")</f>
        <v>1.9930000000000001</v>
      </c>
      <c r="K361">
        <f>IFERROR(INDEX('Green_rooibos initial weight'!$C$5:$C$1749,MATCH(I361, 'Green_rooibos initial weight'!$A$5:$A$1749,0)),"")</f>
        <v>2.0979999999999999</v>
      </c>
      <c r="L361" s="195">
        <f t="shared" si="39"/>
        <v>1.7432000000000001</v>
      </c>
      <c r="M361" s="195">
        <f t="shared" si="40"/>
        <v>1.8481999999999998</v>
      </c>
      <c r="N361" s="16">
        <f>IF('Dry_Litterbag Placem_Collection'!G68="N.A","",'Dry_Litterbag Placem_Collection'!G68)</f>
        <v>43005</v>
      </c>
      <c r="O361" s="195">
        <f>IF(IFERROR(INDEX('Both teabags AfterDry'!$D$1:$D$839,MATCH(H361,'Both teabags AfterDry'!$A$1:$A$839,0)),"")="N.A","",(IFERROR(INDEX('Both teabags AfterDry'!$D$1:$D$839,MATCH(H361,'Both teabags AfterDry'!$A$1:$A$839,0)),"")))</f>
        <v>1.8367</v>
      </c>
      <c r="P361" s="195">
        <f>IF(IFERROR(INDEX('Both teabags AfterDry'!$D$1:$D$839,MATCH(I361,'Both teabags AfterDry'!$A$1:$A$839,0)),"")="N.A","",(IFERROR(INDEX('Both teabags AfterDry'!$D$1:$D$839,MATCH(I361,'Both teabags AfterDry'!$A$1:$A$839,0)),"")))</f>
        <v>1.9177</v>
      </c>
      <c r="Q361" s="195">
        <f t="shared" si="41"/>
        <v>1.6860999999999999</v>
      </c>
      <c r="R361" s="195">
        <f t="shared" si="41"/>
        <v>1.7670999999999999</v>
      </c>
      <c r="S361" s="195">
        <f t="shared" si="36"/>
        <v>3.2755851307939454E-2</v>
      </c>
      <c r="T361" s="195">
        <f t="shared" si="42"/>
        <v>2.147414480045436E-2</v>
      </c>
      <c r="U361" s="195">
        <f t="shared" si="37"/>
        <v>0.9561194675900877</v>
      </c>
      <c r="V361">
        <f t="shared" si="38"/>
        <v>68</v>
      </c>
      <c r="W361" s="195">
        <f t="shared" si="43"/>
        <v>0.96109756376729283</v>
      </c>
      <c r="X361" s="195" t="str">
        <f t="shared" si="44"/>
        <v/>
      </c>
      <c r="Y361" s="255" t="str">
        <f>IF(ISNUMBER(SEARCH("C", 'Dry_Litterbag Placem_Collection'!V68)),"YES","NO")</f>
        <v>NO</v>
      </c>
      <c r="Z361" s="255" t="str">
        <f>IF(ISNUMBER(SEARCH("H", 'Dry_Litterbag Placem_Collection'!V68)),"YES","NO")</f>
        <v>NO</v>
      </c>
      <c r="AA361" s="255" t="str">
        <f>IF(ISNUMBER(SEARCH("R", 'Dry_Litterbag Placem_Collection'!V68)),"YES","NO")</f>
        <v>NO</v>
      </c>
      <c r="AB361" s="255" t="str">
        <f>IF(ISNUMBER(SEARCH("C", 'Dry_Litterbag Placem_Collection'!U68)),"YES","NO")</f>
        <v>NO</v>
      </c>
      <c r="AC361" s="255" t="str">
        <f>IF(ISNUMBER(SEARCH("H", 'Dry_Litterbag Placem_Collection'!U68)),"YES","NO")</f>
        <v>NO</v>
      </c>
      <c r="AD361" s="255" t="str">
        <f>IF(ISNUMBER(SEARCH("R", 'Dry_Litterbag Placem_Collection'!U68)),"YES","NO")</f>
        <v>NO</v>
      </c>
    </row>
    <row r="362" spans="2:30">
      <c r="B362" t="str">
        <f>'Final data_for_R_analysis_Dryse'!A508</f>
        <v>Dry</v>
      </c>
      <c r="C362" s="263">
        <f>'Final data_for_R_analysis_Dryse'!B508</f>
        <v>67</v>
      </c>
      <c r="D362" t="s">
        <v>3836</v>
      </c>
      <c r="E362" t="s">
        <v>25</v>
      </c>
      <c r="F362" s="386">
        <v>3</v>
      </c>
      <c r="G362" s="390">
        <f>'Dry_Litterbag Placem_Collection'!E69</f>
        <v>0</v>
      </c>
      <c r="H362" s="92" t="str">
        <f>'Final data_for_R_analysis_Dryse'!J508</f>
        <v/>
      </c>
      <c r="I362" t="str">
        <f>'Final data_for_R_analysis_Dryse'!J728</f>
        <v/>
      </c>
      <c r="J362" t="str">
        <f>IFERROR(INDEX('Green_rooibos initial weight'!$C$5:$C$1749,MATCH(H362, 'Green_rooibos initial weight'!$A$5:$A$1749,0)),"")</f>
        <v/>
      </c>
      <c r="K362" t="str">
        <f>IFERROR(INDEX('Green_rooibos initial weight'!$C$5:$C$1749,MATCH(I362, 'Green_rooibos initial weight'!$A$5:$A$1749,0)),"")</f>
        <v/>
      </c>
      <c r="L362" s="195" t="str">
        <f t="shared" si="39"/>
        <v/>
      </c>
      <c r="M362" s="195" t="str">
        <f t="shared" si="40"/>
        <v/>
      </c>
      <c r="N362" s="16">
        <f>IF('Dry_Litterbag Placem_Collection'!G69="N.A","",'Dry_Litterbag Placem_Collection'!G69)</f>
        <v>0</v>
      </c>
      <c r="O362" s="195" t="str">
        <f>IF(IFERROR(INDEX('Both teabags AfterDry'!$D$1:$D$839,MATCH(H362,'Both teabags AfterDry'!$A$1:$A$839,0)),"")="N.A","",(IFERROR(INDEX('Both teabags AfterDry'!$D$1:$D$839,MATCH(H362,'Both teabags AfterDry'!$A$1:$A$839,0)),"")))</f>
        <v/>
      </c>
      <c r="P362" s="195" t="str">
        <f>IF(IFERROR(INDEX('Both teabags AfterDry'!$D$1:$D$839,MATCH(I362,'Both teabags AfterDry'!$A$1:$A$839,0)),"")="N.A","",(IFERROR(INDEX('Both teabags AfterDry'!$D$1:$D$839,MATCH(I362,'Both teabags AfterDry'!$A$1:$A$839,0)),"")))</f>
        <v/>
      </c>
      <c r="Q362" s="195" t="str">
        <f t="shared" si="41"/>
        <v/>
      </c>
      <c r="R362" s="195" t="str">
        <f t="shared" si="41"/>
        <v/>
      </c>
      <c r="S362" s="195" t="str">
        <f t="shared" si="36"/>
        <v/>
      </c>
      <c r="T362" s="195" t="str">
        <f t="shared" si="42"/>
        <v/>
      </c>
      <c r="U362" s="195" t="str">
        <f t="shared" si="37"/>
        <v/>
      </c>
      <c r="V362" t="str">
        <f t="shared" si="38"/>
        <v/>
      </c>
      <c r="W362" s="195" t="str">
        <f t="shared" si="43"/>
        <v/>
      </c>
      <c r="X362" s="195" t="str">
        <f t="shared" si="44"/>
        <v/>
      </c>
      <c r="Y362" s="255" t="str">
        <f>IF(ISNUMBER(SEARCH("C", 'Dry_Litterbag Placem_Collection'!V69)),"YES","NO")</f>
        <v>NO</v>
      </c>
      <c r="Z362" s="255" t="str">
        <f>IF(ISNUMBER(SEARCH("H", 'Dry_Litterbag Placem_Collection'!V69)),"YES","NO")</f>
        <v>NO</v>
      </c>
      <c r="AA362" s="255" t="str">
        <f>IF(ISNUMBER(SEARCH("R", 'Dry_Litterbag Placem_Collection'!V69)),"YES","NO")</f>
        <v>NO</v>
      </c>
      <c r="AB362" s="255" t="str">
        <f>IF(ISNUMBER(SEARCH("C", 'Dry_Litterbag Placem_Collection'!U69)),"YES","NO")</f>
        <v>NO</v>
      </c>
      <c r="AC362" s="255" t="str">
        <f>IF(ISNUMBER(SEARCH("H", 'Dry_Litterbag Placem_Collection'!U69)),"YES","NO")</f>
        <v>NO</v>
      </c>
      <c r="AD362" s="255" t="str">
        <f>IF(ISNUMBER(SEARCH("R", 'Dry_Litterbag Placem_Collection'!U69)),"YES","NO")</f>
        <v>NO</v>
      </c>
    </row>
    <row r="363" spans="2:30">
      <c r="B363" t="str">
        <f>'Final data_for_R_analysis_Dryse'!A509</f>
        <v>Dry</v>
      </c>
      <c r="C363" s="263">
        <f>'Final data_for_R_analysis_Dryse'!B509</f>
        <v>68</v>
      </c>
      <c r="D363" t="s">
        <v>3836</v>
      </c>
      <c r="E363" t="s">
        <v>25</v>
      </c>
      <c r="F363" s="387">
        <v>4</v>
      </c>
      <c r="G363" s="16">
        <f>'Dry_Litterbag Placem_Collection'!E70</f>
        <v>42937</v>
      </c>
      <c r="H363" s="92" t="str">
        <f>'Final data_for_R_analysis_Dryse'!J509</f>
        <v>G467</v>
      </c>
      <c r="I363" t="str">
        <f>'Final data_for_R_analysis_Dryse'!J729</f>
        <v>R201</v>
      </c>
      <c r="J363">
        <f>IFERROR(INDEX('Green_rooibos initial weight'!$C$5:$C$1749,MATCH(H363, 'Green_rooibos initial weight'!$A$5:$A$1749,0)),"")</f>
        <v>2.0259999999999998</v>
      </c>
      <c r="K363">
        <f>IFERROR(INDEX('Green_rooibos initial weight'!$C$5:$C$1749,MATCH(I363, 'Green_rooibos initial weight'!$A$5:$A$1749,0)),"")</f>
        <v>2.2349999999999999</v>
      </c>
      <c r="L363" s="195">
        <f t="shared" si="39"/>
        <v>1.7761999999999998</v>
      </c>
      <c r="M363" s="195">
        <f t="shared" si="40"/>
        <v>1.9851999999999999</v>
      </c>
      <c r="N363" s="16">
        <f>IF('Dry_Litterbag Placem_Collection'!G70="N.A","",'Dry_Litterbag Placem_Collection'!G70)</f>
        <v>43005</v>
      </c>
      <c r="O363" s="195">
        <f>IF(IFERROR(INDEX('Both teabags AfterDry'!$D$1:$D$839,MATCH(H363,'Both teabags AfterDry'!$A$1:$A$839,0)),"")="N.A","",(IFERROR(INDEX('Both teabags AfterDry'!$D$1:$D$839,MATCH(H363,'Both teabags AfterDry'!$A$1:$A$839,0)),"")))</f>
        <v>1.8359000000000001</v>
      </c>
      <c r="P363" s="195">
        <f>IF(IFERROR(INDEX('Both teabags AfterDry'!$D$1:$D$839,MATCH(I363,'Both teabags AfterDry'!$A$1:$A$839,0)),"")="N.A","",(IFERROR(INDEX('Both teabags AfterDry'!$D$1:$D$839,MATCH(I363,'Both teabags AfterDry'!$A$1:$A$839,0)),"")))</f>
        <v>2.0015000000000001</v>
      </c>
      <c r="Q363" s="195">
        <f t="shared" si="41"/>
        <v>1.6853</v>
      </c>
      <c r="R363" s="195">
        <f t="shared" si="41"/>
        <v>1.8509</v>
      </c>
      <c r="S363" s="195">
        <f t="shared" si="36"/>
        <v>5.1176669293998334E-2</v>
      </c>
      <c r="T363" s="195">
        <f t="shared" si="42"/>
        <v>3.3550500534782757E-2</v>
      </c>
      <c r="U363" s="195">
        <f t="shared" si="37"/>
        <v>0.93234938545234747</v>
      </c>
      <c r="V363">
        <f t="shared" si="38"/>
        <v>68</v>
      </c>
      <c r="W363" s="195">
        <f t="shared" si="43"/>
        <v>0.93922010772684283</v>
      </c>
      <c r="X363" s="195" t="str">
        <f t="shared" si="44"/>
        <v/>
      </c>
      <c r="Y363" s="255" t="str">
        <f>IF(ISNUMBER(SEARCH("C", 'Dry_Litterbag Placem_Collection'!V70)),"YES","NO")</f>
        <v>NO</v>
      </c>
      <c r="Z363" s="255" t="str">
        <f>IF(ISNUMBER(SEARCH("H", 'Dry_Litterbag Placem_Collection'!V70)),"YES","NO")</f>
        <v>NO</v>
      </c>
      <c r="AA363" s="255" t="str">
        <f>IF(ISNUMBER(SEARCH("R", 'Dry_Litterbag Placem_Collection'!V70)),"YES","NO")</f>
        <v>NO</v>
      </c>
      <c r="AB363" s="255" t="str">
        <f>IF(ISNUMBER(SEARCH("C", 'Dry_Litterbag Placem_Collection'!U70)),"YES","NO")</f>
        <v>NO</v>
      </c>
      <c r="AC363" s="255" t="str">
        <f>IF(ISNUMBER(SEARCH("H", 'Dry_Litterbag Placem_Collection'!U70)),"YES","NO")</f>
        <v>NO</v>
      </c>
      <c r="AD363" s="255" t="str">
        <f>IF(ISNUMBER(SEARCH("R", 'Dry_Litterbag Placem_Collection'!U70)),"YES","NO")</f>
        <v>NO</v>
      </c>
    </row>
    <row r="364" spans="2:30">
      <c r="B364" t="str">
        <f>'Final data_for_R_analysis_Dryse'!A510</f>
        <v>Dry</v>
      </c>
      <c r="C364" s="263">
        <f>'Final data_for_R_analysis_Dryse'!B510</f>
        <v>69</v>
      </c>
      <c r="D364" t="s">
        <v>3836</v>
      </c>
      <c r="E364" t="s">
        <v>25</v>
      </c>
      <c r="F364" s="387">
        <v>5</v>
      </c>
      <c r="G364" s="16">
        <f>'Dry_Litterbag Placem_Collection'!E71</f>
        <v>42937</v>
      </c>
      <c r="H364" s="92" t="str">
        <f>'Final data_for_R_analysis_Dryse'!J510</f>
        <v>G766</v>
      </c>
      <c r="I364" t="str">
        <f>'Final data_for_R_analysis_Dryse'!J730</f>
        <v>R174</v>
      </c>
      <c r="J364">
        <f>IFERROR(INDEX('Green_rooibos initial weight'!$C$5:$C$1749,MATCH(H364, 'Green_rooibos initial weight'!$A$5:$A$1749,0)),"")</f>
        <v>2.0409999999999999</v>
      </c>
      <c r="K364">
        <f>IFERROR(INDEX('Green_rooibos initial weight'!$C$5:$C$1749,MATCH(I364, 'Green_rooibos initial weight'!$A$5:$A$1749,0)),"")</f>
        <v>2.2410000000000001</v>
      </c>
      <c r="L364" s="195">
        <f t="shared" si="39"/>
        <v>1.7911999999999999</v>
      </c>
      <c r="M364" s="195">
        <f t="shared" si="40"/>
        <v>1.9912000000000001</v>
      </c>
      <c r="N364" s="16">
        <f>IF('Dry_Litterbag Placem_Collection'!G71="N.A","",'Dry_Litterbag Placem_Collection'!G71)</f>
        <v>43006</v>
      </c>
      <c r="O364" s="195">
        <f>IF(IFERROR(INDEX('Both teabags AfterDry'!$D$1:$D$839,MATCH(H364,'Both teabags AfterDry'!$A$1:$A$839,0)),"")="N.A","",(IFERROR(INDEX('Both teabags AfterDry'!$D$1:$D$839,MATCH(H364,'Both teabags AfterDry'!$A$1:$A$839,0)),"")))</f>
        <v>1.8654999999999999</v>
      </c>
      <c r="P364" s="195">
        <f>IF(IFERROR(INDEX('Both teabags AfterDry'!$D$1:$D$839,MATCH(I364,'Both teabags AfterDry'!$A$1:$A$839,0)),"")="N.A","",(IFERROR(INDEX('Both teabags AfterDry'!$D$1:$D$839,MATCH(I364,'Both teabags AfterDry'!$A$1:$A$839,0)),"")))</f>
        <v>1.9946999999999999</v>
      </c>
      <c r="Q364" s="195">
        <f t="shared" si="41"/>
        <v>1.7148999999999999</v>
      </c>
      <c r="R364" s="195">
        <f t="shared" si="41"/>
        <v>1.8440999999999999</v>
      </c>
      <c r="S364" s="195">
        <f t="shared" si="36"/>
        <v>4.2597141581062981E-2</v>
      </c>
      <c r="T364" s="195">
        <f t="shared" si="42"/>
        <v>2.7925917046017538E-2</v>
      </c>
      <c r="U364" s="195">
        <f t="shared" si="37"/>
        <v>0.9261249497790276</v>
      </c>
      <c r="V364">
        <f t="shared" si="38"/>
        <v>69</v>
      </c>
      <c r="W364" s="195">
        <f t="shared" si="43"/>
        <v>0.94940957056880881</v>
      </c>
      <c r="X364" s="195" t="str">
        <f t="shared" si="44"/>
        <v/>
      </c>
      <c r="Y364" s="255" t="str">
        <f>IF(ISNUMBER(SEARCH("C", 'Dry_Litterbag Placem_Collection'!V71)),"YES","NO")</f>
        <v>NO</v>
      </c>
      <c r="Z364" s="255" t="str">
        <f>IF(ISNUMBER(SEARCH("H", 'Dry_Litterbag Placem_Collection'!V71)),"YES","NO")</f>
        <v>NO</v>
      </c>
      <c r="AA364" s="255" t="str">
        <f>IF(ISNUMBER(SEARCH("R", 'Dry_Litterbag Placem_Collection'!V71)),"YES","NO")</f>
        <v>NO</v>
      </c>
      <c r="AB364" s="255" t="str">
        <f>IF(ISNUMBER(SEARCH("C", 'Dry_Litterbag Placem_Collection'!U71)),"YES","NO")</f>
        <v>NO</v>
      </c>
      <c r="AC364" s="255" t="str">
        <f>IF(ISNUMBER(SEARCH("H", 'Dry_Litterbag Placem_Collection'!U71)),"YES","NO")</f>
        <v>NO</v>
      </c>
      <c r="AD364" s="255" t="str">
        <f>IF(ISNUMBER(SEARCH("R", 'Dry_Litterbag Placem_Collection'!U71)),"YES","NO")</f>
        <v>NO</v>
      </c>
    </row>
    <row r="365" spans="2:30">
      <c r="B365" t="str">
        <f>'Final data_for_R_analysis_Dryse'!A511</f>
        <v>Dry</v>
      </c>
      <c r="C365" s="263">
        <f>'Final data_for_R_analysis_Dryse'!B511</f>
        <v>70</v>
      </c>
      <c r="D365" t="s">
        <v>3836</v>
      </c>
      <c r="E365" t="s">
        <v>25</v>
      </c>
      <c r="F365" s="387">
        <v>6</v>
      </c>
      <c r="G365" s="16">
        <f>'Dry_Litterbag Placem_Collection'!E72</f>
        <v>42937</v>
      </c>
      <c r="H365" s="92" t="str">
        <f>'Final data_for_R_analysis_Dryse'!J511</f>
        <v>G430</v>
      </c>
      <c r="I365" t="str">
        <f>'Final data_for_R_analysis_Dryse'!J731</f>
        <v>R261</v>
      </c>
      <c r="J365">
        <f>IFERROR(INDEX('Green_rooibos initial weight'!$C$5:$C$1749,MATCH(H365, 'Green_rooibos initial weight'!$A$5:$A$1749,0)),"")</f>
        <v>2.09</v>
      </c>
      <c r="K365">
        <f>IFERROR(INDEX('Green_rooibos initial weight'!$C$5:$C$1749,MATCH(I365, 'Green_rooibos initial weight'!$A$5:$A$1749,0)),"")</f>
        <v>2.2080000000000002</v>
      </c>
      <c r="L365" s="195">
        <f t="shared" si="39"/>
        <v>1.8401999999999998</v>
      </c>
      <c r="M365" s="195">
        <f t="shared" si="40"/>
        <v>1.9582000000000002</v>
      </c>
      <c r="N365" s="16">
        <f>IF('Dry_Litterbag Placem_Collection'!G72="N.A","",'Dry_Litterbag Placem_Collection'!G72)</f>
        <v>43006</v>
      </c>
      <c r="O365" s="195">
        <f>IF(IFERROR(INDEX('Both teabags AfterDry'!$D$1:$D$839,MATCH(H365,'Both teabags AfterDry'!$A$1:$A$839,0)),"")="N.A","",(IFERROR(INDEX('Both teabags AfterDry'!$D$1:$D$839,MATCH(H365,'Both teabags AfterDry'!$A$1:$A$839,0)),"")))</f>
        <v>1.8875999999999999</v>
      </c>
      <c r="P365" s="195">
        <f>IF(IFERROR(INDEX('Both teabags AfterDry'!$D$1:$D$839,MATCH(I365,'Both teabags AfterDry'!$A$1:$A$839,0)),"")="N.A","",(IFERROR(INDEX('Both teabags AfterDry'!$D$1:$D$839,MATCH(I365,'Both teabags AfterDry'!$A$1:$A$839,0)),"")))</f>
        <v>1.9642999999999999</v>
      </c>
      <c r="Q365" s="195">
        <f t="shared" si="41"/>
        <v>1.7369999999999999</v>
      </c>
      <c r="R365" s="195">
        <f t="shared" si="41"/>
        <v>1.8136999999999999</v>
      </c>
      <c r="S365" s="195">
        <f t="shared" si="36"/>
        <v>5.6080860776002606E-2</v>
      </c>
      <c r="T365" s="195">
        <f t="shared" si="42"/>
        <v>3.6765599938662054E-2</v>
      </c>
      <c r="U365" s="195">
        <f t="shared" si="37"/>
        <v>0.92620774180369714</v>
      </c>
      <c r="V365">
        <f t="shared" si="38"/>
        <v>69</v>
      </c>
      <c r="W365" s="195">
        <f t="shared" si="43"/>
        <v>0.93339565228503252</v>
      </c>
      <c r="X365" s="195" t="str">
        <f t="shared" si="44"/>
        <v/>
      </c>
      <c r="Y365" s="255" t="str">
        <f>IF(ISNUMBER(SEARCH("C", 'Dry_Litterbag Placem_Collection'!V72)),"YES","NO")</f>
        <v>NO</v>
      </c>
      <c r="Z365" s="255" t="str">
        <f>IF(ISNUMBER(SEARCH("H", 'Dry_Litterbag Placem_Collection'!V72)),"YES","NO")</f>
        <v>NO</v>
      </c>
      <c r="AA365" s="255" t="str">
        <f>IF(ISNUMBER(SEARCH("R", 'Dry_Litterbag Placem_Collection'!V72)),"YES","NO")</f>
        <v>NO</v>
      </c>
      <c r="AB365" s="255" t="str">
        <f>IF(ISNUMBER(SEARCH("C", 'Dry_Litterbag Placem_Collection'!U72)),"YES","NO")</f>
        <v>NO</v>
      </c>
      <c r="AC365" s="255" t="str">
        <f>IF(ISNUMBER(SEARCH("H", 'Dry_Litterbag Placem_Collection'!U72)),"YES","NO")</f>
        <v>NO</v>
      </c>
      <c r="AD365" s="255" t="str">
        <f>IF(ISNUMBER(SEARCH("R", 'Dry_Litterbag Placem_Collection'!U72)),"YES","NO")</f>
        <v>NO</v>
      </c>
    </row>
    <row r="366" spans="2:30">
      <c r="B366" t="str">
        <f>'Final data_for_R_analysis_Dryse'!A512</f>
        <v>Dry</v>
      </c>
      <c r="C366" s="263">
        <f>'Final data_for_R_analysis_Dryse'!B512</f>
        <v>71</v>
      </c>
      <c r="D366" t="s">
        <v>3836</v>
      </c>
      <c r="E366" t="s">
        <v>25</v>
      </c>
      <c r="F366" s="387">
        <v>7</v>
      </c>
      <c r="G366" s="16">
        <f>'Dry_Litterbag Placem_Collection'!E73</f>
        <v>42937</v>
      </c>
      <c r="H366" s="92" t="str">
        <f>'Final data_for_R_analysis_Dryse'!J512</f>
        <v>G174</v>
      </c>
      <c r="I366" t="str">
        <f>'Final data_for_R_analysis_Dryse'!J732</f>
        <v>R203</v>
      </c>
      <c r="J366">
        <f>IFERROR(INDEX('Green_rooibos initial weight'!$C$5:$C$1749,MATCH(H366, 'Green_rooibos initial weight'!$A$5:$A$1749,0)),"")</f>
        <v>2.0649999999999999</v>
      </c>
      <c r="K366">
        <f>IFERROR(INDEX('Green_rooibos initial weight'!$C$5:$C$1749,MATCH(I366, 'Green_rooibos initial weight'!$A$5:$A$1749,0)),"")</f>
        <v>2.2839999999999998</v>
      </c>
      <c r="L366" s="195">
        <f t="shared" si="39"/>
        <v>1.8151999999999999</v>
      </c>
      <c r="M366" s="195">
        <f t="shared" si="40"/>
        <v>2.0341999999999998</v>
      </c>
      <c r="N366" s="16">
        <f>IF('Dry_Litterbag Placem_Collection'!G73="N.A","",'Dry_Litterbag Placem_Collection'!G73)</f>
        <v>43006</v>
      </c>
      <c r="O366" s="195">
        <f>IF(IFERROR(INDEX('Both teabags AfterDry'!$D$1:$D$839,MATCH(H366,'Both teabags AfterDry'!$A$1:$A$839,0)),"")="N.A","",(IFERROR(INDEX('Both teabags AfterDry'!$D$1:$D$839,MATCH(H366,'Both teabags AfterDry'!$A$1:$A$839,0)),"")))</f>
        <v>1.8838999999999999</v>
      </c>
      <c r="P366" s="195">
        <f>IF(IFERROR(INDEX('Both teabags AfterDry'!$D$1:$D$839,MATCH(I366,'Both teabags AfterDry'!$A$1:$A$839,0)),"")="N.A","",(IFERROR(INDEX('Both teabags AfterDry'!$D$1:$D$839,MATCH(I366,'Both teabags AfterDry'!$A$1:$A$839,0)),"")))</f>
        <v>2.0466000000000002</v>
      </c>
      <c r="Q366" s="195">
        <f t="shared" si="41"/>
        <v>1.7332999999999998</v>
      </c>
      <c r="R366" s="195">
        <f t="shared" si="41"/>
        <v>1.8960000000000001</v>
      </c>
      <c r="S366" s="195">
        <f t="shared" si="36"/>
        <v>4.5118995152049424E-2</v>
      </c>
      <c r="T366" s="195">
        <f t="shared" si="42"/>
        <v>2.9579198722008652E-2</v>
      </c>
      <c r="U366" s="195">
        <f t="shared" si="37"/>
        <v>0.93206174417461429</v>
      </c>
      <c r="V366">
        <f t="shared" si="38"/>
        <v>69</v>
      </c>
      <c r="W366" s="195">
        <f t="shared" si="43"/>
        <v>0.94641449506882491</v>
      </c>
      <c r="X366" s="195" t="str">
        <f t="shared" si="44"/>
        <v/>
      </c>
      <c r="Y366" s="255" t="str">
        <f>IF(ISNUMBER(SEARCH("C", 'Dry_Litterbag Placem_Collection'!V73)),"YES","NO")</f>
        <v>NO</v>
      </c>
      <c r="Z366" s="255" t="str">
        <f>IF(ISNUMBER(SEARCH("H", 'Dry_Litterbag Placem_Collection'!V73)),"YES","NO")</f>
        <v>NO</v>
      </c>
      <c r="AA366" s="255" t="str">
        <f>IF(ISNUMBER(SEARCH("R", 'Dry_Litterbag Placem_Collection'!V73)),"YES","NO")</f>
        <v>NO</v>
      </c>
      <c r="AB366" s="255" t="str">
        <f>IF(ISNUMBER(SEARCH("C", 'Dry_Litterbag Placem_Collection'!U73)),"YES","NO")</f>
        <v>NO</v>
      </c>
      <c r="AC366" s="255" t="str">
        <f>IF(ISNUMBER(SEARCH("H", 'Dry_Litterbag Placem_Collection'!U73)),"YES","NO")</f>
        <v>NO</v>
      </c>
      <c r="AD366" s="255" t="str">
        <f>IF(ISNUMBER(SEARCH("R", 'Dry_Litterbag Placem_Collection'!U73)),"YES","NO")</f>
        <v>NO</v>
      </c>
    </row>
    <row r="367" spans="2:30">
      <c r="B367" t="str">
        <f>'Final data_for_R_analysis_Dryse'!A513</f>
        <v>Dry</v>
      </c>
      <c r="C367" s="263">
        <f>'Final data_for_R_analysis_Dryse'!B513</f>
        <v>72</v>
      </c>
      <c r="D367" t="s">
        <v>3836</v>
      </c>
      <c r="E367" t="s">
        <v>25</v>
      </c>
      <c r="F367" s="387">
        <v>8</v>
      </c>
      <c r="G367" s="16">
        <f>'Dry_Litterbag Placem_Collection'!E74</f>
        <v>42937</v>
      </c>
      <c r="H367" s="92" t="str">
        <f>'Final data_for_R_analysis_Dryse'!J513</f>
        <v>G714</v>
      </c>
      <c r="I367" t="str">
        <f>'Final data_for_R_analysis_Dryse'!J733</f>
        <v>R191</v>
      </c>
      <c r="J367">
        <f>IFERROR(INDEX('Green_rooibos initial weight'!$C$5:$C$1749,MATCH(H367, 'Green_rooibos initial weight'!$A$5:$A$1749,0)),"")</f>
        <v>2.0459999999999998</v>
      </c>
      <c r="K367">
        <f>IFERROR(INDEX('Green_rooibos initial weight'!$C$5:$C$1749,MATCH(I367, 'Green_rooibos initial weight'!$A$5:$A$1749,0)),"")</f>
        <v>2.1789999999999998</v>
      </c>
      <c r="L367" s="195">
        <f t="shared" si="39"/>
        <v>1.7961999999999998</v>
      </c>
      <c r="M367" s="195">
        <f t="shared" si="40"/>
        <v>1.9291999999999998</v>
      </c>
      <c r="N367" s="16">
        <f>IF('Dry_Litterbag Placem_Collection'!G74="N.A","",'Dry_Litterbag Placem_Collection'!G74)</f>
        <v>43006</v>
      </c>
      <c r="O367" s="195">
        <f>IF(IFERROR(INDEX('Both teabags AfterDry'!$D$1:$D$839,MATCH(H367,'Both teabags AfterDry'!$A$1:$A$839,0)),"")="N.A","",(IFERROR(INDEX('Both teabags AfterDry'!$D$1:$D$839,MATCH(H367,'Both teabags AfterDry'!$A$1:$A$839,0)),"")))</f>
        <v>1.8528</v>
      </c>
      <c r="P367" s="195">
        <f>IF(IFERROR(INDEX('Both teabags AfterDry'!$D$1:$D$839,MATCH(I367,'Both teabags AfterDry'!$A$1:$A$839,0)),"")="N.A","",(IFERROR(INDEX('Both teabags AfterDry'!$D$1:$D$839,MATCH(I367,'Both teabags AfterDry'!$A$1:$A$839,0)),"")))</f>
        <v>1.9675</v>
      </c>
      <c r="Q367" s="195">
        <f t="shared" si="41"/>
        <v>1.7021999999999999</v>
      </c>
      <c r="R367" s="195">
        <f t="shared" si="41"/>
        <v>1.8169</v>
      </c>
      <c r="S367" s="195">
        <f t="shared" si="36"/>
        <v>5.2332702371673423E-2</v>
      </c>
      <c r="T367" s="195">
        <f t="shared" si="42"/>
        <v>3.4308374951500853E-2</v>
      </c>
      <c r="U367" s="195">
        <f t="shared" si="37"/>
        <v>0.94178934273273907</v>
      </c>
      <c r="V367">
        <f t="shared" si="38"/>
        <v>69</v>
      </c>
      <c r="W367" s="195">
        <f t="shared" si="43"/>
        <v>0.93784714682699122</v>
      </c>
      <c r="X367" s="195" t="str">
        <f t="shared" si="44"/>
        <v/>
      </c>
      <c r="Y367" s="255" t="str">
        <f>IF(ISNUMBER(SEARCH("C", 'Dry_Litterbag Placem_Collection'!V74)),"YES","NO")</f>
        <v>NO</v>
      </c>
      <c r="Z367" s="255" t="str">
        <f>IF(ISNUMBER(SEARCH("H", 'Dry_Litterbag Placem_Collection'!V74)),"YES","NO")</f>
        <v>NO</v>
      </c>
      <c r="AA367" s="255" t="str">
        <f>IF(ISNUMBER(SEARCH("R", 'Dry_Litterbag Placem_Collection'!V74)),"YES","NO")</f>
        <v>NO</v>
      </c>
      <c r="AB367" s="255" t="str">
        <f>IF(ISNUMBER(SEARCH("C", 'Dry_Litterbag Placem_Collection'!U74)),"YES","NO")</f>
        <v>NO</v>
      </c>
      <c r="AC367" s="255" t="str">
        <f>IF(ISNUMBER(SEARCH("H", 'Dry_Litterbag Placem_Collection'!U74)),"YES","NO")</f>
        <v>NO</v>
      </c>
      <c r="AD367" s="255" t="str">
        <f>IF(ISNUMBER(SEARCH("R", 'Dry_Litterbag Placem_Collection'!U74)),"YES","NO")</f>
        <v>NO</v>
      </c>
    </row>
    <row r="368" spans="2:30">
      <c r="B368" t="str">
        <f>'Final data_for_R_analysis_Dryse'!A514</f>
        <v>Dry</v>
      </c>
      <c r="C368" s="263">
        <f>'Final data_for_R_analysis_Dryse'!B514</f>
        <v>73</v>
      </c>
      <c r="D368" t="s">
        <v>3838</v>
      </c>
      <c r="E368" t="s">
        <v>25</v>
      </c>
      <c r="F368" s="386">
        <v>1</v>
      </c>
      <c r="G368" s="16">
        <f>'Dry_Litterbag Placem_Collection'!E75</f>
        <v>42937</v>
      </c>
      <c r="H368" s="92" t="str">
        <f>'Final data_for_R_analysis_Dryse'!J514</f>
        <v>G726</v>
      </c>
      <c r="I368" t="str">
        <f>'Final data_for_R_analysis_Dryse'!J734</f>
        <v>R160</v>
      </c>
      <c r="J368">
        <f>IFERROR(INDEX('Green_rooibos initial weight'!$C$5:$C$1749,MATCH(H368, 'Green_rooibos initial weight'!$A$5:$A$1749,0)),"")</f>
        <v>1.9950000000000001</v>
      </c>
      <c r="K368">
        <f>IFERROR(INDEX('Green_rooibos initial weight'!$C$5:$C$1749,MATCH(I368, 'Green_rooibos initial weight'!$A$5:$A$1749,0)),"")</f>
        <v>2.1880000000000002</v>
      </c>
      <c r="L368" s="195">
        <f t="shared" si="39"/>
        <v>1.7452000000000001</v>
      </c>
      <c r="M368" s="195">
        <f t="shared" si="40"/>
        <v>1.9382000000000001</v>
      </c>
      <c r="N368" s="16">
        <f>IF('Dry_Litterbag Placem_Collection'!G75="N.A","",'Dry_Litterbag Placem_Collection'!G75)</f>
        <v>43006</v>
      </c>
      <c r="O368" s="195" t="str">
        <f>IF(IFERROR(INDEX('Both teabags AfterDry'!$D$1:$D$839,MATCH(H368,'Both teabags AfterDry'!$A$1:$A$839,0)),"")="N.A","",(IFERROR(INDEX('Both teabags AfterDry'!$D$1:$D$839,MATCH(H368,'Both teabags AfterDry'!$A$1:$A$839,0)),"")))</f>
        <v/>
      </c>
      <c r="P368" s="195" t="str">
        <f>IF(IFERROR(INDEX('Both teabags AfterDry'!$D$1:$D$839,MATCH(I368,'Both teabags AfterDry'!$A$1:$A$839,0)),"")="N.A","",(IFERROR(INDEX('Both teabags AfterDry'!$D$1:$D$839,MATCH(I368,'Both teabags AfterDry'!$A$1:$A$839,0)),"")))</f>
        <v/>
      </c>
      <c r="Q368" s="195" t="str">
        <f t="shared" si="41"/>
        <v/>
      </c>
      <c r="R368" s="195" t="str">
        <f t="shared" si="41"/>
        <v/>
      </c>
      <c r="S368" s="195" t="str">
        <f t="shared" si="36"/>
        <v/>
      </c>
      <c r="T368" s="195" t="str">
        <f t="shared" si="42"/>
        <v/>
      </c>
      <c r="U368" s="195" t="str">
        <f t="shared" si="37"/>
        <v/>
      </c>
      <c r="V368">
        <f t="shared" si="38"/>
        <v>69</v>
      </c>
      <c r="W368" s="195" t="str">
        <f t="shared" si="43"/>
        <v/>
      </c>
      <c r="X368" s="195" t="str">
        <f t="shared" si="44"/>
        <v/>
      </c>
      <c r="Y368" s="255" t="str">
        <f>IF(ISNUMBER(SEARCH("C", 'Dry_Litterbag Placem_Collection'!V75)),"YES","NO")</f>
        <v>NO</v>
      </c>
      <c r="Z368" s="255" t="str">
        <f>IF(ISNUMBER(SEARCH("H", 'Dry_Litterbag Placem_Collection'!V75)),"YES","NO")</f>
        <v>NO</v>
      </c>
      <c r="AA368" s="255" t="str">
        <f>IF(ISNUMBER(SEARCH("R", 'Dry_Litterbag Placem_Collection'!V75)),"YES","NO")</f>
        <v>NO</v>
      </c>
      <c r="AB368" s="255" t="str">
        <f>IF(ISNUMBER(SEARCH("C", 'Dry_Litterbag Placem_Collection'!U75)),"YES","NO")</f>
        <v>NO</v>
      </c>
      <c r="AC368" s="255" t="str">
        <f>IF(ISNUMBER(SEARCH("H", 'Dry_Litterbag Placem_Collection'!U75)),"YES","NO")</f>
        <v>NO</v>
      </c>
      <c r="AD368" s="255" t="str">
        <f>IF(ISNUMBER(SEARCH("R", 'Dry_Litterbag Placem_Collection'!U75)),"YES","NO")</f>
        <v>NO</v>
      </c>
    </row>
    <row r="369" spans="2:30">
      <c r="B369" t="str">
        <f>'Final data_for_R_analysis_Dryse'!A515</f>
        <v>Dry</v>
      </c>
      <c r="C369" s="263">
        <f>'Final data_for_R_analysis_Dryse'!B515</f>
        <v>74</v>
      </c>
      <c r="D369" t="s">
        <v>3838</v>
      </c>
      <c r="E369" t="s">
        <v>25</v>
      </c>
      <c r="F369" s="386">
        <v>2</v>
      </c>
      <c r="G369" s="16">
        <f>'Dry_Litterbag Placem_Collection'!E76</f>
        <v>42937</v>
      </c>
      <c r="H369" s="92" t="str">
        <f>'Final data_for_R_analysis_Dryse'!J515</f>
        <v>G866</v>
      </c>
      <c r="I369" t="str">
        <f>'Final data_for_R_analysis_Dryse'!J735</f>
        <v>R275</v>
      </c>
      <c r="J369">
        <f>IFERROR(INDEX('Green_rooibos initial weight'!$C$5:$C$1749,MATCH(H369, 'Green_rooibos initial weight'!$A$5:$A$1749,0)),"")</f>
        <v>2.0310000000000001</v>
      </c>
      <c r="K369">
        <f>IFERROR(INDEX('Green_rooibos initial weight'!$C$5:$C$1749,MATCH(I369, 'Green_rooibos initial weight'!$A$5:$A$1749,0)),"")</f>
        <v>0.22900000000000001</v>
      </c>
      <c r="L369" s="195">
        <f t="shared" si="39"/>
        <v>1.7812000000000001</v>
      </c>
      <c r="M369" s="195">
        <f t="shared" si="40"/>
        <v>-2.0800000000000013E-2</v>
      </c>
      <c r="N369" s="16">
        <f>IF('Dry_Litterbag Placem_Collection'!G76="N.A","",'Dry_Litterbag Placem_Collection'!G76)</f>
        <v>43006</v>
      </c>
      <c r="O369" s="195">
        <f>IF(IFERROR(INDEX('Both teabags AfterDry'!$D$1:$D$839,MATCH(H369,'Both teabags AfterDry'!$A$1:$A$839,0)),"")="N.A","",(IFERROR(INDEX('Both teabags AfterDry'!$D$1:$D$839,MATCH(H369,'Both teabags AfterDry'!$A$1:$A$839,0)),"")))</f>
        <v>1.8541000000000001</v>
      </c>
      <c r="P369" s="195">
        <f>IF(IFERROR(INDEX('Both teabags AfterDry'!$D$1:$D$839,MATCH(I369,'Both teabags AfterDry'!$A$1:$A$839,0)),"")="N.A","",(IFERROR(INDEX('Both teabags AfterDry'!$D$1:$D$839,MATCH(I369,'Both teabags AfterDry'!$A$1:$A$839,0)),"")))</f>
        <v>1.9981</v>
      </c>
      <c r="Q369" s="195">
        <f t="shared" si="41"/>
        <v>1.7035</v>
      </c>
      <c r="R369" s="195">
        <f t="shared" si="41"/>
        <v>1.8474999999999999</v>
      </c>
      <c r="S369" s="195">
        <f t="shared" si="36"/>
        <v>4.3622277116550645E-2</v>
      </c>
      <c r="T369" s="195">
        <f t="shared" si="42"/>
        <v>2.859797739707361E-2</v>
      </c>
      <c r="U369" s="195">
        <f t="shared" si="37"/>
        <v>-88.82211538461533</v>
      </c>
      <c r="V369">
        <f t="shared" si="38"/>
        <v>69</v>
      </c>
      <c r="W369" s="195">
        <f t="shared" si="43"/>
        <v>0.94819206993283767</v>
      </c>
      <c r="X369" s="195" t="str">
        <f t="shared" si="44"/>
        <v/>
      </c>
      <c r="Y369" s="255" t="str">
        <f>IF(ISNUMBER(SEARCH("C", 'Dry_Litterbag Placem_Collection'!V76)),"YES","NO")</f>
        <v>NO</v>
      </c>
      <c r="Z369" s="255" t="str">
        <f>IF(ISNUMBER(SEARCH("H", 'Dry_Litterbag Placem_Collection'!V76)),"YES","NO")</f>
        <v>NO</v>
      </c>
      <c r="AA369" s="255" t="str">
        <f>IF(ISNUMBER(SEARCH("R", 'Dry_Litterbag Placem_Collection'!V76)),"YES","NO")</f>
        <v>NO</v>
      </c>
      <c r="AB369" s="255" t="str">
        <f>IF(ISNUMBER(SEARCH("C", 'Dry_Litterbag Placem_Collection'!U76)),"YES","NO")</f>
        <v>NO</v>
      </c>
      <c r="AC369" s="255" t="str">
        <f>IF(ISNUMBER(SEARCH("H", 'Dry_Litterbag Placem_Collection'!U76)),"YES","NO")</f>
        <v>NO</v>
      </c>
      <c r="AD369" s="255" t="str">
        <f>IF(ISNUMBER(SEARCH("R", 'Dry_Litterbag Placem_Collection'!U76)),"YES","NO")</f>
        <v>NO</v>
      </c>
    </row>
    <row r="370" spans="2:30">
      <c r="B370" t="str">
        <f>'Final data_for_R_analysis_Dryse'!A516</f>
        <v>Dry</v>
      </c>
      <c r="C370" s="263">
        <f>'Final data_for_R_analysis_Dryse'!B516</f>
        <v>75</v>
      </c>
      <c r="D370" t="s">
        <v>3838</v>
      </c>
      <c r="E370" t="s">
        <v>25</v>
      </c>
      <c r="F370" s="386">
        <v>3</v>
      </c>
      <c r="G370" s="16">
        <f>'Dry_Litterbag Placem_Collection'!E77</f>
        <v>42937</v>
      </c>
      <c r="H370" s="92" t="str">
        <f>'Final data_for_R_analysis_Dryse'!J516</f>
        <v>G705</v>
      </c>
      <c r="I370" t="str">
        <f>'Final data_for_R_analysis_Dryse'!J736</f>
        <v>R657</v>
      </c>
      <c r="J370">
        <f>IFERROR(INDEX('Green_rooibos initial weight'!$C$5:$C$1749,MATCH(H370, 'Green_rooibos initial weight'!$A$5:$A$1749,0)),"")</f>
        <v>1.9830000000000001</v>
      </c>
      <c r="K370">
        <f>IFERROR(INDEX('Green_rooibos initial weight'!$C$5:$C$1749,MATCH(I370, 'Green_rooibos initial weight'!$A$5:$A$1749,0)),"")</f>
        <v>2.2509999999999999</v>
      </c>
      <c r="L370" s="195">
        <f t="shared" si="39"/>
        <v>1.7332000000000001</v>
      </c>
      <c r="M370" s="195">
        <f t="shared" si="40"/>
        <v>2.0011999999999999</v>
      </c>
      <c r="N370" s="16">
        <f>IF('Dry_Litterbag Placem_Collection'!G77="N.A","",'Dry_Litterbag Placem_Collection'!G77)</f>
        <v>43006</v>
      </c>
      <c r="O370" s="195">
        <f>IF(IFERROR(INDEX('Both teabags AfterDry'!$D$1:$D$839,MATCH(H370,'Both teabags AfterDry'!$A$1:$A$839,0)),"")="N.A","",(IFERROR(INDEX('Both teabags AfterDry'!$D$1:$D$839,MATCH(H370,'Both teabags AfterDry'!$A$1:$A$839,0)),"")))</f>
        <v>1.8152999999999999</v>
      </c>
      <c r="P370" s="195">
        <f>IF(IFERROR(INDEX('Both teabags AfterDry'!$D$1:$D$839,MATCH(I370,'Both teabags AfterDry'!$A$1:$A$839,0)),"")="N.A","",(IFERROR(INDEX('Both teabags AfterDry'!$D$1:$D$839,MATCH(I370,'Both teabags AfterDry'!$A$1:$A$839,0)),"")))</f>
        <v>2.0581999999999998</v>
      </c>
      <c r="Q370" s="195">
        <f t="shared" si="41"/>
        <v>1.6646999999999998</v>
      </c>
      <c r="R370" s="195">
        <f t="shared" si="41"/>
        <v>1.9075999999999997</v>
      </c>
      <c r="S370" s="195">
        <f t="shared" si="36"/>
        <v>3.9522270943918913E-2</v>
      </c>
      <c r="T370" s="195">
        <f t="shared" si="42"/>
        <v>2.5910087364659457E-2</v>
      </c>
      <c r="U370" s="195">
        <f t="shared" si="37"/>
        <v>0.95322806316210262</v>
      </c>
      <c r="V370">
        <f t="shared" si="38"/>
        <v>69</v>
      </c>
      <c r="W370" s="195">
        <f t="shared" si="43"/>
        <v>0.95306143593358794</v>
      </c>
      <c r="X370" s="195" t="str">
        <f t="shared" si="44"/>
        <v/>
      </c>
      <c r="Y370" s="255" t="str">
        <f>IF(ISNUMBER(SEARCH("C", 'Dry_Litterbag Placem_Collection'!V77)),"YES","NO")</f>
        <v>NO</v>
      </c>
      <c r="Z370" s="255" t="str">
        <f>IF(ISNUMBER(SEARCH("H", 'Dry_Litterbag Placem_Collection'!V77)),"YES","NO")</f>
        <v>NO</v>
      </c>
      <c r="AA370" s="255" t="str">
        <f>IF(ISNUMBER(SEARCH("R", 'Dry_Litterbag Placem_Collection'!V77)),"YES","NO")</f>
        <v>NO</v>
      </c>
      <c r="AB370" s="255" t="str">
        <f>IF(ISNUMBER(SEARCH("C", 'Dry_Litterbag Placem_Collection'!U77)),"YES","NO")</f>
        <v>NO</v>
      </c>
      <c r="AC370" s="255" t="str">
        <f>IF(ISNUMBER(SEARCH("H", 'Dry_Litterbag Placem_Collection'!U77)),"YES","NO")</f>
        <v>NO</v>
      </c>
      <c r="AD370" s="255" t="str">
        <f>IF(ISNUMBER(SEARCH("R", 'Dry_Litterbag Placem_Collection'!U77)),"YES","NO")</f>
        <v>NO</v>
      </c>
    </row>
    <row r="371" spans="2:30">
      <c r="B371" t="str">
        <f>'Final data_for_R_analysis_Dryse'!A517</f>
        <v>Dry</v>
      </c>
      <c r="C371" s="263">
        <f>'Final data_for_R_analysis_Dryse'!B517</f>
        <v>76</v>
      </c>
      <c r="D371" t="s">
        <v>3838</v>
      </c>
      <c r="E371" t="s">
        <v>25</v>
      </c>
      <c r="F371" s="387">
        <v>4</v>
      </c>
      <c r="G371" s="16">
        <f>'Dry_Litterbag Placem_Collection'!E78</f>
        <v>42937</v>
      </c>
      <c r="H371" s="92" t="str">
        <f>'Final data_for_R_analysis_Dryse'!J517</f>
        <v>G601</v>
      </c>
      <c r="I371" t="str">
        <f>'Final data_for_R_analysis_Dryse'!J737</f>
        <v>R306</v>
      </c>
      <c r="J371">
        <f>IFERROR(INDEX('Green_rooibos initial weight'!$C$5:$C$1749,MATCH(H371, 'Green_rooibos initial weight'!$A$5:$A$1749,0)),"")</f>
        <v>2.0099999999999998</v>
      </c>
      <c r="K371">
        <f>IFERROR(INDEX('Green_rooibos initial weight'!$C$5:$C$1749,MATCH(I371, 'Green_rooibos initial weight'!$A$5:$A$1749,0)),"")</f>
        <v>2.2440000000000002</v>
      </c>
      <c r="L371" s="195">
        <f t="shared" si="39"/>
        <v>1.7601999999999998</v>
      </c>
      <c r="M371" s="195">
        <f t="shared" si="40"/>
        <v>1.9942000000000002</v>
      </c>
      <c r="N371" s="16">
        <f>IF('Dry_Litterbag Placem_Collection'!G78="N.A","",'Dry_Litterbag Placem_Collection'!G78)</f>
        <v>43006</v>
      </c>
      <c r="O371" s="195">
        <f>IF(IFERROR(INDEX('Both teabags AfterDry'!$D$1:$D$839,MATCH(H371,'Both teabags AfterDry'!$A$1:$A$839,0)),"")="N.A","",(IFERROR(INDEX('Both teabags AfterDry'!$D$1:$D$839,MATCH(H371,'Both teabags AfterDry'!$A$1:$A$839,0)),"")))</f>
        <v>1.8379000000000001</v>
      </c>
      <c r="P371" s="195">
        <f>IF(IFERROR(INDEX('Both teabags AfterDry'!$D$1:$D$839,MATCH(I371,'Both teabags AfterDry'!$A$1:$A$839,0)),"")="N.A","",(IFERROR(INDEX('Both teabags AfterDry'!$D$1:$D$839,MATCH(I371,'Both teabags AfterDry'!$A$1:$A$839,0)),"")))</f>
        <v>2.0337999999999998</v>
      </c>
      <c r="Q371" s="195">
        <f t="shared" si="41"/>
        <v>1.6873</v>
      </c>
      <c r="R371" s="195">
        <f t="shared" si="41"/>
        <v>1.8831999999999998</v>
      </c>
      <c r="S371" s="195">
        <f t="shared" si="36"/>
        <v>4.1415748210430481E-2</v>
      </c>
      <c r="T371" s="195">
        <f t="shared" si="42"/>
        <v>2.7151416879047059E-2</v>
      </c>
      <c r="U371" s="195">
        <f t="shared" si="37"/>
        <v>0.94433858188747344</v>
      </c>
      <c r="V371">
        <f t="shared" si="38"/>
        <v>69</v>
      </c>
      <c r="W371" s="195">
        <f t="shared" si="43"/>
        <v>0.95081265058143649</v>
      </c>
      <c r="X371" s="195" t="str">
        <f t="shared" si="44"/>
        <v/>
      </c>
      <c r="Y371" s="255" t="str">
        <f>IF(ISNUMBER(SEARCH("C", 'Dry_Litterbag Placem_Collection'!V78)),"YES","NO")</f>
        <v>NO</v>
      </c>
      <c r="Z371" s="255" t="str">
        <f>IF(ISNUMBER(SEARCH("H", 'Dry_Litterbag Placem_Collection'!V78)),"YES","NO")</f>
        <v>NO</v>
      </c>
      <c r="AA371" s="255" t="str">
        <f>IF(ISNUMBER(SEARCH("R", 'Dry_Litterbag Placem_Collection'!V78)),"YES","NO")</f>
        <v>NO</v>
      </c>
      <c r="AB371" s="255" t="str">
        <f>IF(ISNUMBER(SEARCH("C", 'Dry_Litterbag Placem_Collection'!U78)),"YES","NO")</f>
        <v>NO</v>
      </c>
      <c r="AC371" s="255" t="str">
        <f>IF(ISNUMBER(SEARCH("H", 'Dry_Litterbag Placem_Collection'!U78)),"YES","NO")</f>
        <v>NO</v>
      </c>
      <c r="AD371" s="255" t="str">
        <f>IF(ISNUMBER(SEARCH("R", 'Dry_Litterbag Placem_Collection'!U78)),"YES","NO")</f>
        <v>NO</v>
      </c>
    </row>
    <row r="372" spans="2:30">
      <c r="B372" t="str">
        <f>'Final data_for_R_analysis_Dryse'!A518</f>
        <v>Dry</v>
      </c>
      <c r="C372" s="263">
        <f>'Final data_for_R_analysis_Dryse'!B518</f>
        <v>77</v>
      </c>
      <c r="D372" t="s">
        <v>3838</v>
      </c>
      <c r="E372" t="s">
        <v>25</v>
      </c>
      <c r="F372" s="387">
        <v>5</v>
      </c>
      <c r="G372" s="16">
        <f>'Dry_Litterbag Placem_Collection'!E79</f>
        <v>0</v>
      </c>
      <c r="H372" s="92" t="str">
        <f>'Final data_for_R_analysis_Dryse'!J518</f>
        <v/>
      </c>
      <c r="I372" t="str">
        <f>'Final data_for_R_analysis_Dryse'!J738</f>
        <v/>
      </c>
      <c r="J372" t="str">
        <f>IFERROR(INDEX('Green_rooibos initial weight'!$C$5:$C$1749,MATCH(H372, 'Green_rooibos initial weight'!$A$5:$A$1749,0)),"")</f>
        <v/>
      </c>
      <c r="K372" t="str">
        <f>IFERROR(INDEX('Green_rooibos initial weight'!$C$5:$C$1749,MATCH(I372, 'Green_rooibos initial weight'!$A$5:$A$1749,0)),"")</f>
        <v/>
      </c>
      <c r="L372" s="195" t="str">
        <f t="shared" si="39"/>
        <v/>
      </c>
      <c r="M372" s="195" t="str">
        <f t="shared" si="40"/>
        <v/>
      </c>
      <c r="N372" s="16">
        <f>IF('Dry_Litterbag Placem_Collection'!G79="N.A","",'Dry_Litterbag Placem_Collection'!G79)</f>
        <v>0</v>
      </c>
      <c r="O372" s="195" t="str">
        <f>IF(IFERROR(INDEX('Both teabags AfterDry'!$D$1:$D$839,MATCH(H372,'Both teabags AfterDry'!$A$1:$A$839,0)),"")="N.A","",(IFERROR(INDEX('Both teabags AfterDry'!$D$1:$D$839,MATCH(H372,'Both teabags AfterDry'!$A$1:$A$839,0)),"")))</f>
        <v/>
      </c>
      <c r="P372" s="195" t="str">
        <f>IF(IFERROR(INDEX('Both teabags AfterDry'!$D$1:$D$839,MATCH(I372,'Both teabags AfterDry'!$A$1:$A$839,0)),"")="N.A","",(IFERROR(INDEX('Both teabags AfterDry'!$D$1:$D$839,MATCH(I372,'Both teabags AfterDry'!$A$1:$A$839,0)),"")))</f>
        <v/>
      </c>
      <c r="Q372" s="195" t="str">
        <f t="shared" si="41"/>
        <v/>
      </c>
      <c r="R372" s="195" t="str">
        <f t="shared" si="41"/>
        <v/>
      </c>
      <c r="S372" s="195" t="str">
        <f t="shared" si="36"/>
        <v/>
      </c>
      <c r="T372" s="195" t="str">
        <f t="shared" si="42"/>
        <v/>
      </c>
      <c r="U372" s="195" t="str">
        <f t="shared" si="37"/>
        <v/>
      </c>
      <c r="V372" t="str">
        <f t="shared" si="38"/>
        <v/>
      </c>
      <c r="W372" s="195" t="str">
        <f t="shared" si="43"/>
        <v/>
      </c>
      <c r="X372" s="195" t="str">
        <f t="shared" si="44"/>
        <v/>
      </c>
      <c r="Y372" s="255" t="str">
        <f>IF(ISNUMBER(SEARCH("C", 'Dry_Litterbag Placem_Collection'!V79)),"YES","NO")</f>
        <v>NO</v>
      </c>
      <c r="Z372" s="255" t="str">
        <f>IF(ISNUMBER(SEARCH("H", 'Dry_Litterbag Placem_Collection'!V79)),"YES","NO")</f>
        <v>NO</v>
      </c>
      <c r="AA372" s="255" t="str">
        <f>IF(ISNUMBER(SEARCH("R", 'Dry_Litterbag Placem_Collection'!V79)),"YES","NO")</f>
        <v>NO</v>
      </c>
      <c r="AB372" s="255" t="str">
        <f>IF(ISNUMBER(SEARCH("C", 'Dry_Litterbag Placem_Collection'!U79)),"YES","NO")</f>
        <v>NO</v>
      </c>
      <c r="AC372" s="255" t="str">
        <f>IF(ISNUMBER(SEARCH("H", 'Dry_Litterbag Placem_Collection'!U79)),"YES","NO")</f>
        <v>NO</v>
      </c>
      <c r="AD372" s="255" t="str">
        <f>IF(ISNUMBER(SEARCH("R", 'Dry_Litterbag Placem_Collection'!U79)),"YES","NO")</f>
        <v>NO</v>
      </c>
    </row>
    <row r="373" spans="2:30">
      <c r="B373" t="str">
        <f>'Final data_for_R_analysis_Dryse'!A519</f>
        <v>Dry</v>
      </c>
      <c r="C373" s="263">
        <f>'Final data_for_R_analysis_Dryse'!B519</f>
        <v>78</v>
      </c>
      <c r="D373" t="s">
        <v>3838</v>
      </c>
      <c r="E373" t="s">
        <v>25</v>
      </c>
      <c r="F373" s="387">
        <v>6</v>
      </c>
      <c r="G373" s="16">
        <f>'Dry_Litterbag Placem_Collection'!E80</f>
        <v>42937</v>
      </c>
      <c r="H373" s="92" t="str">
        <f>'Final data_for_R_analysis_Dryse'!J519</f>
        <v>G157</v>
      </c>
      <c r="I373" t="str">
        <f>'Final data_for_R_analysis_Dryse'!J739</f>
        <v>R377</v>
      </c>
      <c r="J373">
        <f>IFERROR(INDEX('Green_rooibos initial weight'!$C$5:$C$1749,MATCH(H373, 'Green_rooibos initial weight'!$A$5:$A$1749,0)),"")</f>
        <v>1.994</v>
      </c>
      <c r="K373">
        <f>IFERROR(INDEX('Green_rooibos initial weight'!$C$5:$C$1749,MATCH(I373, 'Green_rooibos initial weight'!$A$5:$A$1749,0)),"")</f>
        <v>2.2309999999999999</v>
      </c>
      <c r="L373" s="195">
        <f t="shared" si="39"/>
        <v>1.7442</v>
      </c>
      <c r="M373" s="195">
        <f t="shared" si="40"/>
        <v>1.9811999999999999</v>
      </c>
      <c r="N373" s="16">
        <f>IF('Dry_Litterbag Placem_Collection'!G80="N.A","",'Dry_Litterbag Placem_Collection'!G80)</f>
        <v>43006</v>
      </c>
      <c r="O373" s="195">
        <f>IF(IFERROR(INDEX('Both teabags AfterDry'!$D$1:$D$839,MATCH(H373,'Both teabags AfterDry'!$A$1:$A$839,0)),"")="N.A","",(IFERROR(INDEX('Both teabags AfterDry'!$D$1:$D$839,MATCH(H373,'Both teabags AfterDry'!$A$1:$A$839,0)),"")))</f>
        <v>1.8103</v>
      </c>
      <c r="P373" s="195">
        <f>IF(IFERROR(INDEX('Both teabags AfterDry'!$D$1:$D$839,MATCH(I373,'Both teabags AfterDry'!$A$1:$A$839,0)),"")="N.A","",(IFERROR(INDEX('Both teabags AfterDry'!$D$1:$D$839,MATCH(I373,'Both teabags AfterDry'!$A$1:$A$839,0)),"")))</f>
        <v>1.9925999999999999</v>
      </c>
      <c r="Q373" s="195">
        <f t="shared" si="41"/>
        <v>1.6597</v>
      </c>
      <c r="R373" s="195">
        <f t="shared" si="41"/>
        <v>1.8419999999999999</v>
      </c>
      <c r="S373" s="195">
        <f t="shared" si="36"/>
        <v>4.8446279096433953E-2</v>
      </c>
      <c r="T373" s="195">
        <f t="shared" si="42"/>
        <v>3.1760506010963849E-2</v>
      </c>
      <c r="U373" s="195">
        <f t="shared" si="37"/>
        <v>0.9297395517867959</v>
      </c>
      <c r="V373">
        <f t="shared" si="38"/>
        <v>69</v>
      </c>
      <c r="W373" s="195">
        <f t="shared" si="43"/>
        <v>0.94246285142941333</v>
      </c>
      <c r="X373" s="195" t="str">
        <f t="shared" si="44"/>
        <v/>
      </c>
      <c r="Y373" s="255" t="str">
        <f>IF(ISNUMBER(SEARCH("C", 'Dry_Litterbag Placem_Collection'!V80)),"YES","NO")</f>
        <v>NO</v>
      </c>
      <c r="Z373" s="255" t="str">
        <f>IF(ISNUMBER(SEARCH("H", 'Dry_Litterbag Placem_Collection'!V80)),"YES","NO")</f>
        <v>NO</v>
      </c>
      <c r="AA373" s="255" t="str">
        <f>IF(ISNUMBER(SEARCH("R", 'Dry_Litterbag Placem_Collection'!V80)),"YES","NO")</f>
        <v>NO</v>
      </c>
      <c r="AB373" s="255" t="str">
        <f>IF(ISNUMBER(SEARCH("C", 'Dry_Litterbag Placem_Collection'!U80)),"YES","NO")</f>
        <v>NO</v>
      </c>
      <c r="AC373" s="255" t="str">
        <f>IF(ISNUMBER(SEARCH("H", 'Dry_Litterbag Placem_Collection'!U80)),"YES","NO")</f>
        <v>NO</v>
      </c>
      <c r="AD373" s="255" t="str">
        <f>IF(ISNUMBER(SEARCH("R", 'Dry_Litterbag Placem_Collection'!U80)),"YES","NO")</f>
        <v>NO</v>
      </c>
    </row>
    <row r="374" spans="2:30">
      <c r="B374" t="str">
        <f>'Final data_for_R_analysis_Dryse'!A520</f>
        <v>Dry</v>
      </c>
      <c r="C374" s="263">
        <f>'Final data_for_R_analysis_Dryse'!B520</f>
        <v>79</v>
      </c>
      <c r="D374" t="s">
        <v>3838</v>
      </c>
      <c r="E374" t="s">
        <v>25</v>
      </c>
      <c r="F374" s="387">
        <v>7</v>
      </c>
      <c r="G374" s="16">
        <f>'Dry_Litterbag Placem_Collection'!E81</f>
        <v>42937</v>
      </c>
      <c r="H374" s="92" t="str">
        <f>'Final data_for_R_analysis_Dryse'!J520</f>
        <v>G226</v>
      </c>
      <c r="I374" t="str">
        <f>'Final data_for_R_analysis_Dryse'!J740</f>
        <v>R61</v>
      </c>
      <c r="J374">
        <f>IFERROR(INDEX('Green_rooibos initial weight'!$C$5:$C$1749,MATCH(H374, 'Green_rooibos initial weight'!$A$5:$A$1749,0)),"")</f>
        <v>1.929</v>
      </c>
      <c r="K374">
        <f>IFERROR(INDEX('Green_rooibos initial weight'!$C$5:$C$1749,MATCH(I374, 'Green_rooibos initial weight'!$A$5:$A$1749,0)),"")</f>
        <v>2.2450000000000001</v>
      </c>
      <c r="L374" s="195">
        <f t="shared" si="39"/>
        <v>1.6792</v>
      </c>
      <c r="M374" s="195">
        <f t="shared" si="40"/>
        <v>1.9952000000000001</v>
      </c>
      <c r="N374" s="16">
        <f>IF('Dry_Litterbag Placem_Collection'!G81="N.A","",'Dry_Litterbag Placem_Collection'!G81)</f>
        <v>43006</v>
      </c>
      <c r="O374" s="195">
        <f>IF(IFERROR(INDEX('Both teabags AfterDry'!$D$1:$D$839,MATCH(H374,'Both teabags AfterDry'!$A$1:$A$839,0)),"")="N.A","",(IFERROR(INDEX('Both teabags AfterDry'!$D$1:$D$839,MATCH(H374,'Both teabags AfterDry'!$A$1:$A$839,0)),"")))</f>
        <v>1.7826</v>
      </c>
      <c r="P374" s="195">
        <f>IF(IFERROR(INDEX('Both teabags AfterDry'!$D$1:$D$839,MATCH(I374,'Both teabags AfterDry'!$A$1:$A$839,0)),"")="N.A","",(IFERROR(INDEX('Both teabags AfterDry'!$D$1:$D$839,MATCH(I374,'Both teabags AfterDry'!$A$1:$A$839,0)),"")))</f>
        <v>1.9782999999999999</v>
      </c>
      <c r="Q374" s="195">
        <f t="shared" si="41"/>
        <v>1.6319999999999999</v>
      </c>
      <c r="R374" s="195">
        <f t="shared" si="41"/>
        <v>1.8276999999999999</v>
      </c>
      <c r="S374" s="195">
        <f t="shared" si="36"/>
        <v>2.810862315388285E-2</v>
      </c>
      <c r="T374" s="195">
        <f t="shared" si="42"/>
        <v>1.842750591560964E-2</v>
      </c>
      <c r="U374" s="195">
        <f t="shared" si="37"/>
        <v>0.91604851643945462</v>
      </c>
      <c r="V374">
        <f t="shared" si="38"/>
        <v>69</v>
      </c>
      <c r="W374" s="195">
        <f t="shared" si="43"/>
        <v>0.96661683710940283</v>
      </c>
      <c r="X374" s="195" t="str">
        <f t="shared" si="44"/>
        <v/>
      </c>
      <c r="Y374" s="255" t="str">
        <f>IF(ISNUMBER(SEARCH("C", 'Dry_Litterbag Placem_Collection'!V81)),"YES","NO")</f>
        <v>NO</v>
      </c>
      <c r="Z374" s="255" t="str">
        <f>IF(ISNUMBER(SEARCH("H", 'Dry_Litterbag Placem_Collection'!V81)),"YES","NO")</f>
        <v>NO</v>
      </c>
      <c r="AA374" s="255" t="str">
        <f>IF(ISNUMBER(SEARCH("R", 'Dry_Litterbag Placem_Collection'!V81)),"YES","NO")</f>
        <v>NO</v>
      </c>
      <c r="AB374" s="255" t="str">
        <f>IF(ISNUMBER(SEARCH("C", 'Dry_Litterbag Placem_Collection'!U81)),"YES","NO")</f>
        <v>NO</v>
      </c>
      <c r="AC374" s="255" t="str">
        <f>IF(ISNUMBER(SEARCH("H", 'Dry_Litterbag Placem_Collection'!U81)),"YES","NO")</f>
        <v>NO</v>
      </c>
      <c r="AD374" s="255" t="str">
        <f>IF(ISNUMBER(SEARCH("R", 'Dry_Litterbag Placem_Collection'!U81)),"YES","NO")</f>
        <v>NO</v>
      </c>
    </row>
    <row r="375" spans="2:30">
      <c r="B375" t="str">
        <f>'Final data_for_R_analysis_Dryse'!A521</f>
        <v>Dry</v>
      </c>
      <c r="C375" s="263">
        <f>'Final data_for_R_analysis_Dryse'!B521</f>
        <v>80</v>
      </c>
      <c r="D375" t="s">
        <v>3838</v>
      </c>
      <c r="E375" t="s">
        <v>25</v>
      </c>
      <c r="F375" s="387">
        <v>8</v>
      </c>
      <c r="G375" s="16">
        <f>'Dry_Litterbag Placem_Collection'!E82</f>
        <v>42937</v>
      </c>
      <c r="H375" s="92" t="str">
        <f>'Final data_for_R_analysis_Dryse'!J521</f>
        <v>G855</v>
      </c>
      <c r="I375" t="str">
        <f>'Final data_for_R_analysis_Dryse'!J741</f>
        <v>R620</v>
      </c>
      <c r="J375">
        <f>IFERROR(INDEX('Green_rooibos initial weight'!$C$5:$C$1749,MATCH(H375, 'Green_rooibos initial weight'!$A$5:$A$1749,0)),"")</f>
        <v>1.9570000000000001</v>
      </c>
      <c r="K375">
        <f>IFERROR(INDEX('Green_rooibos initial weight'!$C$5:$C$1749,MATCH(I375, 'Green_rooibos initial weight'!$A$5:$A$1749,0)),"")</f>
        <v>2.1800000000000002</v>
      </c>
      <c r="L375" s="195">
        <f t="shared" si="39"/>
        <v>1.7072000000000001</v>
      </c>
      <c r="M375" s="195">
        <f t="shared" si="40"/>
        <v>1.9302000000000001</v>
      </c>
      <c r="N375" s="16">
        <f>IF('Dry_Litterbag Placem_Collection'!G82="N.A","",'Dry_Litterbag Placem_Collection'!G82)</f>
        <v>43006</v>
      </c>
      <c r="O375" s="195">
        <f>IF(IFERROR(INDEX('Both teabags AfterDry'!$D$1:$D$839,MATCH(H375,'Both teabags AfterDry'!$A$1:$A$839,0)),"")="N.A","",(IFERROR(INDEX('Both teabags AfterDry'!$D$1:$D$839,MATCH(H375,'Both teabags AfterDry'!$A$1:$A$839,0)),"")))</f>
        <v>1.7664</v>
      </c>
      <c r="P375" s="195">
        <f>IF(IFERROR(INDEX('Both teabags AfterDry'!$D$1:$D$839,MATCH(I375,'Both teabags AfterDry'!$A$1:$A$839,0)),"")="N.A","",(IFERROR(INDEX('Both teabags AfterDry'!$D$1:$D$839,MATCH(I375,'Both teabags AfterDry'!$A$1:$A$839,0)),"")))</f>
        <v>2.0047999999999999</v>
      </c>
      <c r="Q375" s="195">
        <f t="shared" si="41"/>
        <v>1.6157999999999999</v>
      </c>
      <c r="R375" s="195">
        <f t="shared" si="41"/>
        <v>1.8541999999999998</v>
      </c>
      <c r="S375" s="195">
        <f t="shared" si="36"/>
        <v>5.3537956888472404E-2</v>
      </c>
      <c r="T375" s="195">
        <f t="shared" si="42"/>
        <v>3.5098518055150588E-2</v>
      </c>
      <c r="U375" s="195">
        <f t="shared" si="37"/>
        <v>0.96062584188167011</v>
      </c>
      <c r="V375">
        <f t="shared" si="38"/>
        <v>69</v>
      </c>
      <c r="W375" s="195">
        <f t="shared" si="43"/>
        <v>0.93641572816095908</v>
      </c>
      <c r="X375" s="195" t="str">
        <f t="shared" si="44"/>
        <v/>
      </c>
      <c r="Y375" s="255" t="str">
        <f>IF(ISNUMBER(SEARCH("C", 'Dry_Litterbag Placem_Collection'!V82)),"YES","NO")</f>
        <v>NO</v>
      </c>
      <c r="Z375" s="255" t="str">
        <f>IF(ISNUMBER(SEARCH("H", 'Dry_Litterbag Placem_Collection'!V82)),"YES","NO")</f>
        <v>NO</v>
      </c>
      <c r="AA375" s="255" t="str">
        <f>IF(ISNUMBER(SEARCH("R", 'Dry_Litterbag Placem_Collection'!V82)),"YES","NO")</f>
        <v>NO</v>
      </c>
      <c r="AB375" s="255" t="str">
        <f>IF(ISNUMBER(SEARCH("C", 'Dry_Litterbag Placem_Collection'!U82)),"YES","NO")</f>
        <v>NO</v>
      </c>
      <c r="AC375" s="255" t="str">
        <f>IF(ISNUMBER(SEARCH("H", 'Dry_Litterbag Placem_Collection'!U82)),"YES","NO")</f>
        <v>NO</v>
      </c>
      <c r="AD375" s="255" t="str">
        <f>IF(ISNUMBER(SEARCH("R", 'Dry_Litterbag Placem_Collection'!U82)),"YES","NO")</f>
        <v>NO</v>
      </c>
    </row>
    <row r="376" spans="2:30">
      <c r="B376" t="str">
        <f>'Final data_for_R_analysis_Dryse'!A522</f>
        <v>Dry</v>
      </c>
      <c r="C376" s="263">
        <f>'Final data_for_R_analysis_Dryse'!B522</f>
        <v>81</v>
      </c>
      <c r="D376" t="s">
        <v>3839</v>
      </c>
      <c r="E376" t="s">
        <v>25</v>
      </c>
      <c r="F376" s="386">
        <v>1</v>
      </c>
      <c r="G376" s="16">
        <f>'Dry_Litterbag Placem_Collection'!E83</f>
        <v>42937</v>
      </c>
      <c r="H376" s="92" t="str">
        <f>'Final data_for_R_analysis_Dryse'!J522</f>
        <v>G413</v>
      </c>
      <c r="I376" t="str">
        <f>'Final data_for_R_analysis_Dryse'!J742</f>
        <v>R366</v>
      </c>
      <c r="J376">
        <f>IFERROR(INDEX('Green_rooibos initial weight'!$C$5:$C$1749,MATCH(H376, 'Green_rooibos initial weight'!$A$5:$A$1749,0)),"")</f>
        <v>2.1589999999999998</v>
      </c>
      <c r="K376">
        <f>IFERROR(INDEX('Green_rooibos initial weight'!$C$5:$C$1749,MATCH(I376, 'Green_rooibos initial weight'!$A$5:$A$1749,0)),"")</f>
        <v>2.2330000000000001</v>
      </c>
      <c r="L376" s="195">
        <f t="shared" si="39"/>
        <v>1.9091999999999998</v>
      </c>
      <c r="M376" s="195">
        <f t="shared" si="40"/>
        <v>1.9832000000000001</v>
      </c>
      <c r="N376" s="16">
        <f>IF('Dry_Litterbag Placem_Collection'!G83="N.A","",'Dry_Litterbag Placem_Collection'!G83)</f>
        <v>43006</v>
      </c>
      <c r="O376" s="195">
        <f>IF(IFERROR(INDEX('Both teabags AfterDry'!$D$1:$D$839,MATCH(H376,'Both teabags AfterDry'!$A$1:$A$839,0)),"")="N.A","",(IFERROR(INDEX('Both teabags AfterDry'!$D$1:$D$839,MATCH(H376,'Both teabags AfterDry'!$A$1:$A$839,0)),"")))</f>
        <v>1.9466000000000001</v>
      </c>
      <c r="P376" s="195">
        <f>IF(IFERROR(INDEX('Both teabags AfterDry'!$D$1:$D$839,MATCH(I376,'Both teabags AfterDry'!$A$1:$A$839,0)),"")="N.A","",(IFERROR(INDEX('Both teabags AfterDry'!$D$1:$D$839,MATCH(I376,'Both teabags AfterDry'!$A$1:$A$839,0)),"")))</f>
        <v>1.9832000000000001</v>
      </c>
      <c r="Q376" s="195">
        <f t="shared" si="41"/>
        <v>1.796</v>
      </c>
      <c r="R376" s="195">
        <f t="shared" si="41"/>
        <v>1.8326</v>
      </c>
      <c r="S376" s="195">
        <f t="shared" si="36"/>
        <v>5.9291849989524303E-2</v>
      </c>
      <c r="T376" s="195">
        <f t="shared" si="42"/>
        <v>3.8870666501445862E-2</v>
      </c>
      <c r="U376" s="195">
        <f t="shared" si="37"/>
        <v>0.92406212182331582</v>
      </c>
      <c r="V376">
        <f t="shared" si="38"/>
        <v>69</v>
      </c>
      <c r="W376" s="195">
        <f t="shared" si="43"/>
        <v>0.92958212590317779</v>
      </c>
      <c r="X376" s="195" t="str">
        <f t="shared" si="44"/>
        <v/>
      </c>
      <c r="Y376" s="255" t="str">
        <f>IF(ISNUMBER(SEARCH("C", 'Dry_Litterbag Placem_Collection'!V83)),"YES","NO")</f>
        <v>NO</v>
      </c>
      <c r="Z376" s="255" t="str">
        <f>IF(ISNUMBER(SEARCH("H", 'Dry_Litterbag Placem_Collection'!V83)),"YES","NO")</f>
        <v>NO</v>
      </c>
      <c r="AA376" s="255" t="str">
        <f>IF(ISNUMBER(SEARCH("R", 'Dry_Litterbag Placem_Collection'!V83)),"YES","NO")</f>
        <v>NO</v>
      </c>
      <c r="AB376" s="255" t="str">
        <f>IF(ISNUMBER(SEARCH("C", 'Dry_Litterbag Placem_Collection'!U83)),"YES","NO")</f>
        <v>NO</v>
      </c>
      <c r="AC376" s="255" t="str">
        <f>IF(ISNUMBER(SEARCH("H", 'Dry_Litterbag Placem_Collection'!U83)),"YES","NO")</f>
        <v>NO</v>
      </c>
      <c r="AD376" s="255" t="str">
        <f>IF(ISNUMBER(SEARCH("R", 'Dry_Litterbag Placem_Collection'!U83)),"YES","NO")</f>
        <v>NO</v>
      </c>
    </row>
    <row r="377" spans="2:30">
      <c r="B377" t="str">
        <f>'Final data_for_R_analysis_Dryse'!A523</f>
        <v>Dry</v>
      </c>
      <c r="C377" s="263">
        <f>'Final data_for_R_analysis_Dryse'!B523</f>
        <v>82</v>
      </c>
      <c r="D377" t="s">
        <v>3839</v>
      </c>
      <c r="E377" t="s">
        <v>25</v>
      </c>
      <c r="F377" s="386">
        <v>2</v>
      </c>
      <c r="G377" s="16">
        <f>'Dry_Litterbag Placem_Collection'!E84</f>
        <v>42937</v>
      </c>
      <c r="H377" s="92" t="str">
        <f>'Final data_for_R_analysis_Dryse'!J523</f>
        <v>G370</v>
      </c>
      <c r="I377" t="str">
        <f>'Final data_for_R_analysis_Dryse'!J743</f>
        <v>R610</v>
      </c>
      <c r="J377">
        <f>IFERROR(INDEX('Green_rooibos initial weight'!$C$5:$C$1749,MATCH(H377, 'Green_rooibos initial weight'!$A$5:$A$1749,0)),"")</f>
        <v>2.0619999999999998</v>
      </c>
      <c r="K377">
        <f>IFERROR(INDEX('Green_rooibos initial weight'!$C$5:$C$1749,MATCH(I377, 'Green_rooibos initial weight'!$A$5:$A$1749,0)),"")</f>
        <v>2.1230000000000002</v>
      </c>
      <c r="L377" s="195">
        <f t="shared" si="39"/>
        <v>1.8121999999999998</v>
      </c>
      <c r="M377" s="195">
        <f t="shared" si="40"/>
        <v>1.8732000000000002</v>
      </c>
      <c r="N377" s="16">
        <f>IF('Dry_Litterbag Placem_Collection'!G84="N.A","",'Dry_Litterbag Placem_Collection'!G84)</f>
        <v>43006</v>
      </c>
      <c r="O377" s="195">
        <f>IF(IFERROR(INDEX('Both teabags AfterDry'!$D$1:$D$839,MATCH(H377,'Both teabags AfterDry'!$A$1:$A$839,0)),"")="N.A","",(IFERROR(INDEX('Both teabags AfterDry'!$D$1:$D$839,MATCH(H377,'Both teabags AfterDry'!$A$1:$A$839,0)),"")))</f>
        <v>1.8433999999999999</v>
      </c>
      <c r="P377" s="195">
        <f>IF(IFERROR(INDEX('Both teabags AfterDry'!$D$1:$D$839,MATCH(I377,'Both teabags AfterDry'!$A$1:$A$839,0)),"")="N.A","",(IFERROR(INDEX('Both teabags AfterDry'!$D$1:$D$839,MATCH(I377,'Both teabags AfterDry'!$A$1:$A$839,0)),"")))</f>
        <v>1.9097999999999999</v>
      </c>
      <c r="Q377" s="195">
        <f t="shared" si="41"/>
        <v>1.6927999999999999</v>
      </c>
      <c r="R377" s="195">
        <f t="shared" si="41"/>
        <v>1.7591999999999999</v>
      </c>
      <c r="S377" s="195">
        <f t="shared" si="36"/>
        <v>6.5886767464959695E-2</v>
      </c>
      <c r="T377" s="195">
        <f t="shared" si="42"/>
        <v>4.3194175345199232E-2</v>
      </c>
      <c r="U377" s="195">
        <f t="shared" si="37"/>
        <v>0.93914157591287617</v>
      </c>
      <c r="V377">
        <f t="shared" si="38"/>
        <v>69</v>
      </c>
      <c r="W377" s="195">
        <f t="shared" si="43"/>
        <v>0.92174968234565358</v>
      </c>
      <c r="X377" s="195" t="str">
        <f t="shared" si="44"/>
        <v/>
      </c>
      <c r="Y377" s="255" t="str">
        <f>IF(ISNUMBER(SEARCH("C", 'Dry_Litterbag Placem_Collection'!V84)),"YES","NO")</f>
        <v>NO</v>
      </c>
      <c r="Z377" s="255" t="str">
        <f>IF(ISNUMBER(SEARCH("H", 'Dry_Litterbag Placem_Collection'!V84)),"YES","NO")</f>
        <v>NO</v>
      </c>
      <c r="AA377" s="255" t="str">
        <f>IF(ISNUMBER(SEARCH("R", 'Dry_Litterbag Placem_Collection'!V84)),"YES","NO")</f>
        <v>NO</v>
      </c>
      <c r="AB377" s="255" t="str">
        <f>IF(ISNUMBER(SEARCH("C", 'Dry_Litterbag Placem_Collection'!U84)),"YES","NO")</f>
        <v>NO</v>
      </c>
      <c r="AC377" s="255" t="str">
        <f>IF(ISNUMBER(SEARCH("H", 'Dry_Litterbag Placem_Collection'!U84)),"YES","NO")</f>
        <v>NO</v>
      </c>
      <c r="AD377" s="255" t="str">
        <f>IF(ISNUMBER(SEARCH("R", 'Dry_Litterbag Placem_Collection'!U84)),"YES","NO")</f>
        <v>NO</v>
      </c>
    </row>
    <row r="378" spans="2:30">
      <c r="B378" t="str">
        <f>'Final data_for_R_analysis_Dryse'!A524</f>
        <v>Dry</v>
      </c>
      <c r="C378" s="263">
        <f>'Final data_for_R_analysis_Dryse'!B524</f>
        <v>83</v>
      </c>
      <c r="D378" t="s">
        <v>3839</v>
      </c>
      <c r="E378" t="s">
        <v>25</v>
      </c>
      <c r="F378" s="386">
        <v>3</v>
      </c>
      <c r="G378" s="16">
        <f>'Dry_Litterbag Placem_Collection'!E85</f>
        <v>42937</v>
      </c>
      <c r="H378" s="92" t="str">
        <f>'Final data_for_R_analysis_Dryse'!J524</f>
        <v>G879</v>
      </c>
      <c r="I378" t="str">
        <f>'Final data_for_R_analysis_Dryse'!J744</f>
        <v>R614</v>
      </c>
      <c r="J378">
        <f>IFERROR(INDEX('Green_rooibos initial weight'!$C$5:$C$1749,MATCH(H378, 'Green_rooibos initial weight'!$A$5:$A$1749,0)),"")</f>
        <v>2.09</v>
      </c>
      <c r="K378">
        <f>IFERROR(INDEX('Green_rooibos initial weight'!$C$5:$C$1749,MATCH(I378, 'Green_rooibos initial weight'!$A$5:$A$1749,0)),"")</f>
        <v>2.1459999999999999</v>
      </c>
      <c r="L378" s="195">
        <f t="shared" si="39"/>
        <v>1.8401999999999998</v>
      </c>
      <c r="M378" s="195">
        <f t="shared" si="40"/>
        <v>1.8961999999999999</v>
      </c>
      <c r="N378" s="16">
        <f>IF('Dry_Litterbag Placem_Collection'!G85="N.A","",'Dry_Litterbag Placem_Collection'!G85)</f>
        <v>43006</v>
      </c>
      <c r="O378" s="195">
        <f>IF(IFERROR(INDEX('Both teabags AfterDry'!$D$1:$D$839,MATCH(H378,'Both teabags AfterDry'!$A$1:$A$839,0)),"")="N.A","",(IFERROR(INDEX('Both teabags AfterDry'!$D$1:$D$839,MATCH(H378,'Both teabags AfterDry'!$A$1:$A$839,0)),"")))</f>
        <v>1.8814</v>
      </c>
      <c r="P378" s="195">
        <f>IF(IFERROR(INDEX('Both teabags AfterDry'!$D$1:$D$839,MATCH(I378,'Both teabags AfterDry'!$A$1:$A$839,0)),"")="N.A","",(IFERROR(INDEX('Both teabags AfterDry'!$D$1:$D$839,MATCH(I378,'Both teabags AfterDry'!$A$1:$A$839,0)),"")))</f>
        <v>1.9262999999999999</v>
      </c>
      <c r="Q378" s="195">
        <f t="shared" si="41"/>
        <v>1.7307999999999999</v>
      </c>
      <c r="R378" s="195">
        <f t="shared" si="41"/>
        <v>1.7756999999999998</v>
      </c>
      <c r="S378" s="195">
        <f t="shared" si="36"/>
        <v>5.9450059776111286E-2</v>
      </c>
      <c r="T378" s="195">
        <f t="shared" si="42"/>
        <v>3.8974385981488634E-2</v>
      </c>
      <c r="U378" s="195">
        <f t="shared" si="37"/>
        <v>0.93645185107056217</v>
      </c>
      <c r="V378">
        <f t="shared" si="38"/>
        <v>69</v>
      </c>
      <c r="W378" s="195">
        <f t="shared" si="43"/>
        <v>0.92939422829440466</v>
      </c>
      <c r="X378" s="195" t="str">
        <f t="shared" si="44"/>
        <v/>
      </c>
      <c r="Y378" s="255" t="str">
        <f>IF(ISNUMBER(SEARCH("C", 'Dry_Litterbag Placem_Collection'!V85)),"YES","NO")</f>
        <v>NO</v>
      </c>
      <c r="Z378" s="255" t="str">
        <f>IF(ISNUMBER(SEARCH("H", 'Dry_Litterbag Placem_Collection'!V85)),"YES","NO")</f>
        <v>NO</v>
      </c>
      <c r="AA378" s="255" t="str">
        <f>IF(ISNUMBER(SEARCH("R", 'Dry_Litterbag Placem_Collection'!V85)),"YES","NO")</f>
        <v>NO</v>
      </c>
      <c r="AB378" s="255" t="str">
        <f>IF(ISNUMBER(SEARCH("C", 'Dry_Litterbag Placem_Collection'!U85)),"YES","NO")</f>
        <v>NO</v>
      </c>
      <c r="AC378" s="255" t="str">
        <f>IF(ISNUMBER(SEARCH("H", 'Dry_Litterbag Placem_Collection'!U85)),"YES","NO")</f>
        <v>NO</v>
      </c>
      <c r="AD378" s="255" t="str">
        <f>IF(ISNUMBER(SEARCH("R", 'Dry_Litterbag Placem_Collection'!U85)),"YES","NO")</f>
        <v>NO</v>
      </c>
    </row>
    <row r="379" spans="2:30">
      <c r="B379" t="str">
        <f>'Final data_for_R_analysis_Dryse'!A525</f>
        <v>Dry</v>
      </c>
      <c r="C379" s="263">
        <f>'Final data_for_R_analysis_Dryse'!B525</f>
        <v>84</v>
      </c>
      <c r="D379" t="s">
        <v>3839</v>
      </c>
      <c r="E379" t="s">
        <v>25</v>
      </c>
      <c r="F379" s="387">
        <v>4</v>
      </c>
      <c r="G379" s="16">
        <f>'Dry_Litterbag Placem_Collection'!E86</f>
        <v>42937</v>
      </c>
      <c r="H379" s="92" t="str">
        <f>'Final data_for_R_analysis_Dryse'!J525</f>
        <v>G854</v>
      </c>
      <c r="I379" t="str">
        <f>'Final data_for_R_analysis_Dryse'!J745</f>
        <v>R720</v>
      </c>
      <c r="J379">
        <f>IFERROR(INDEX('Green_rooibos initial weight'!$C$5:$C$1749,MATCH(H379, 'Green_rooibos initial weight'!$A$5:$A$1749,0)),"")</f>
        <v>1.998</v>
      </c>
      <c r="K379">
        <f>IFERROR(INDEX('Green_rooibos initial weight'!$C$5:$C$1749,MATCH(I379, 'Green_rooibos initial weight'!$A$5:$A$1749,0)),"")</f>
        <v>2.2080000000000002</v>
      </c>
      <c r="L379" s="195">
        <f t="shared" si="39"/>
        <v>1.7482</v>
      </c>
      <c r="M379" s="195">
        <f t="shared" si="40"/>
        <v>1.9582000000000002</v>
      </c>
      <c r="N379" s="16">
        <f>IF('Dry_Litterbag Placem_Collection'!G86="N.A","",'Dry_Litterbag Placem_Collection'!G86)</f>
        <v>43006</v>
      </c>
      <c r="O379" s="195">
        <f>IF(IFERROR(INDEX('Both teabags AfterDry'!$D$1:$D$839,MATCH(H379,'Both teabags AfterDry'!$A$1:$A$839,0)),"")="N.A","",(IFERROR(INDEX('Both teabags AfterDry'!$D$1:$D$839,MATCH(H379,'Both teabags AfterDry'!$A$1:$A$839,0)),"")))</f>
        <v>1.8062</v>
      </c>
      <c r="P379" s="195">
        <f>IF(IFERROR(INDEX('Both teabags AfterDry'!$D$1:$D$839,MATCH(I379,'Both teabags AfterDry'!$A$1:$A$839,0)),"")="N.A","",(IFERROR(INDEX('Both teabags AfterDry'!$D$1:$D$839,MATCH(I379,'Both teabags AfterDry'!$A$1:$A$839,0)),"")))</f>
        <v>1.9978</v>
      </c>
      <c r="Q379" s="195">
        <f t="shared" si="41"/>
        <v>1.6556</v>
      </c>
      <c r="R379" s="195">
        <f t="shared" si="41"/>
        <v>1.8472</v>
      </c>
      <c r="S379" s="195">
        <f t="shared" si="36"/>
        <v>5.2968767875529177E-2</v>
      </c>
      <c r="T379" s="195">
        <f t="shared" si="42"/>
        <v>3.472536801341107E-2</v>
      </c>
      <c r="U379" s="195">
        <f t="shared" si="37"/>
        <v>0.94331528955162891</v>
      </c>
      <c r="V379">
        <f t="shared" si="38"/>
        <v>69</v>
      </c>
      <c r="W379" s="195">
        <f t="shared" si="43"/>
        <v>0.93709172461338575</v>
      </c>
      <c r="X379" s="195" t="str">
        <f t="shared" si="44"/>
        <v/>
      </c>
      <c r="Y379" s="255" t="str">
        <f>IF(ISNUMBER(SEARCH("C", 'Dry_Litterbag Placem_Collection'!V86)),"YES","NO")</f>
        <v>NO</v>
      </c>
      <c r="Z379" s="255" t="str">
        <f>IF(ISNUMBER(SEARCH("H", 'Dry_Litterbag Placem_Collection'!V86)),"YES","NO")</f>
        <v>NO</v>
      </c>
      <c r="AA379" s="255" t="str">
        <f>IF(ISNUMBER(SEARCH("R", 'Dry_Litterbag Placem_Collection'!V86)),"YES","NO")</f>
        <v>NO</v>
      </c>
      <c r="AB379" s="255" t="str">
        <f>IF(ISNUMBER(SEARCH("C", 'Dry_Litterbag Placem_Collection'!U86)),"YES","NO")</f>
        <v>NO</v>
      </c>
      <c r="AC379" s="255" t="str">
        <f>IF(ISNUMBER(SEARCH("H", 'Dry_Litterbag Placem_Collection'!U86)),"YES","NO")</f>
        <v>NO</v>
      </c>
      <c r="AD379" s="255" t="str">
        <f>IF(ISNUMBER(SEARCH("R", 'Dry_Litterbag Placem_Collection'!U86)),"YES","NO")</f>
        <v>NO</v>
      </c>
    </row>
    <row r="380" spans="2:30">
      <c r="B380" t="str">
        <f>'Final data_for_R_analysis_Dryse'!A526</f>
        <v>Dry</v>
      </c>
      <c r="C380" s="263">
        <f>'Final data_for_R_analysis_Dryse'!B526</f>
        <v>85</v>
      </c>
      <c r="D380" t="s">
        <v>3839</v>
      </c>
      <c r="E380" t="s">
        <v>25</v>
      </c>
      <c r="F380" s="387">
        <v>5</v>
      </c>
      <c r="G380" s="16">
        <f>'Dry_Litterbag Placem_Collection'!E87</f>
        <v>0</v>
      </c>
      <c r="H380" s="92" t="str">
        <f>'Final data_for_R_analysis_Dryse'!J526</f>
        <v/>
      </c>
      <c r="I380" t="str">
        <f>'Final data_for_R_analysis_Dryse'!J746</f>
        <v/>
      </c>
      <c r="J380" t="str">
        <f>IFERROR(INDEX('Green_rooibos initial weight'!$C$5:$C$1749,MATCH(H380, 'Green_rooibos initial weight'!$A$5:$A$1749,0)),"")</f>
        <v/>
      </c>
      <c r="K380" t="str">
        <f>IFERROR(INDEX('Green_rooibos initial weight'!$C$5:$C$1749,MATCH(I380, 'Green_rooibos initial weight'!$A$5:$A$1749,0)),"")</f>
        <v/>
      </c>
      <c r="L380" s="195" t="str">
        <f t="shared" si="39"/>
        <v/>
      </c>
      <c r="M380" s="195" t="str">
        <f t="shared" si="40"/>
        <v/>
      </c>
      <c r="N380" s="16">
        <f>IF('Dry_Litterbag Placem_Collection'!G87="N.A","",'Dry_Litterbag Placem_Collection'!G87)</f>
        <v>0</v>
      </c>
      <c r="O380" s="195" t="str">
        <f>IF(IFERROR(INDEX('Both teabags AfterDry'!$D$1:$D$839,MATCH(H380,'Both teabags AfterDry'!$A$1:$A$839,0)),"")="N.A","",(IFERROR(INDEX('Both teabags AfterDry'!$D$1:$D$839,MATCH(H380,'Both teabags AfterDry'!$A$1:$A$839,0)),"")))</f>
        <v/>
      </c>
      <c r="P380" s="195" t="str">
        <f>IF(IFERROR(INDEX('Both teabags AfterDry'!$D$1:$D$839,MATCH(I380,'Both teabags AfterDry'!$A$1:$A$839,0)),"")="N.A","",(IFERROR(INDEX('Both teabags AfterDry'!$D$1:$D$839,MATCH(I380,'Both teabags AfterDry'!$A$1:$A$839,0)),"")))</f>
        <v/>
      </c>
      <c r="Q380" s="195" t="str">
        <f t="shared" si="41"/>
        <v/>
      </c>
      <c r="R380" s="195" t="str">
        <f t="shared" si="41"/>
        <v/>
      </c>
      <c r="S380" s="195" t="str">
        <f t="shared" si="36"/>
        <v/>
      </c>
      <c r="T380" s="195" t="str">
        <f t="shared" si="42"/>
        <v/>
      </c>
      <c r="U380" s="195" t="str">
        <f t="shared" si="37"/>
        <v/>
      </c>
      <c r="V380" t="str">
        <f t="shared" si="38"/>
        <v/>
      </c>
      <c r="W380" s="195" t="str">
        <f t="shared" si="43"/>
        <v/>
      </c>
      <c r="X380" s="195" t="str">
        <f t="shared" si="44"/>
        <v/>
      </c>
      <c r="Y380" s="255" t="str">
        <f>IF(ISNUMBER(SEARCH("C", 'Dry_Litterbag Placem_Collection'!V87)),"YES","NO")</f>
        <v>NO</v>
      </c>
      <c r="Z380" s="255" t="str">
        <f>IF(ISNUMBER(SEARCH("H", 'Dry_Litterbag Placem_Collection'!V87)),"YES","NO")</f>
        <v>NO</v>
      </c>
      <c r="AA380" s="255" t="str">
        <f>IF(ISNUMBER(SEARCH("R", 'Dry_Litterbag Placem_Collection'!V87)),"YES","NO")</f>
        <v>NO</v>
      </c>
      <c r="AB380" s="255" t="str">
        <f>IF(ISNUMBER(SEARCH("C", 'Dry_Litterbag Placem_Collection'!U87)),"YES","NO")</f>
        <v>NO</v>
      </c>
      <c r="AC380" s="255" t="str">
        <f>IF(ISNUMBER(SEARCH("H", 'Dry_Litterbag Placem_Collection'!U87)),"YES","NO")</f>
        <v>NO</v>
      </c>
      <c r="AD380" s="255" t="str">
        <f>IF(ISNUMBER(SEARCH("R", 'Dry_Litterbag Placem_Collection'!U87)),"YES","NO")</f>
        <v>NO</v>
      </c>
    </row>
    <row r="381" spans="2:30">
      <c r="B381" t="str">
        <f>'Final data_for_R_analysis_Dryse'!A527</f>
        <v>Dry</v>
      </c>
      <c r="C381" s="263">
        <f>'Final data_for_R_analysis_Dryse'!B527</f>
        <v>86</v>
      </c>
      <c r="D381" t="s">
        <v>3839</v>
      </c>
      <c r="E381" t="s">
        <v>25</v>
      </c>
      <c r="F381" s="387">
        <v>6</v>
      </c>
      <c r="G381" s="16">
        <f>'Dry_Litterbag Placem_Collection'!E88</f>
        <v>42937</v>
      </c>
      <c r="H381" s="92" t="str">
        <f>'Final data_for_R_analysis_Dryse'!J527</f>
        <v>G788</v>
      </c>
      <c r="I381" t="str">
        <f>'Final data_for_R_analysis_Dryse'!J747</f>
        <v>R643</v>
      </c>
      <c r="J381">
        <f>IFERROR(INDEX('Green_rooibos initial weight'!$C$5:$C$1749,MATCH(H381, 'Green_rooibos initial weight'!$A$5:$A$1749,0)),"")</f>
        <v>2.0699999999999998</v>
      </c>
      <c r="K381">
        <f>IFERROR(INDEX('Green_rooibos initial weight'!$C$5:$C$1749,MATCH(I381, 'Green_rooibos initial weight'!$A$5:$A$1749,0)),"")</f>
        <v>2.1930000000000001</v>
      </c>
      <c r="L381" s="195">
        <f t="shared" si="39"/>
        <v>1.8201999999999998</v>
      </c>
      <c r="M381" s="195">
        <f t="shared" si="40"/>
        <v>1.9432</v>
      </c>
      <c r="N381" s="16">
        <f>IF('Dry_Litterbag Placem_Collection'!G88="N.A","",'Dry_Litterbag Placem_Collection'!G88)</f>
        <v>43006</v>
      </c>
      <c r="O381" s="195" t="str">
        <f>IF(IFERROR(INDEX('Both teabags AfterDry'!$D$1:$D$839,MATCH(H381,'Both teabags AfterDry'!$A$1:$A$839,0)),"")="N.A","",(IFERROR(INDEX('Both teabags AfterDry'!$D$1:$D$839,MATCH(H381,'Both teabags AfterDry'!$A$1:$A$839,0)),"")))</f>
        <v/>
      </c>
      <c r="P381" s="195" t="str">
        <f>IF(IFERROR(INDEX('Both teabags AfterDry'!$D$1:$D$839,MATCH(I381,'Both teabags AfterDry'!$A$1:$A$839,0)),"")="N.A","",(IFERROR(INDEX('Both teabags AfterDry'!$D$1:$D$839,MATCH(I381,'Both teabags AfterDry'!$A$1:$A$839,0)),"")))</f>
        <v/>
      </c>
      <c r="Q381" s="195" t="str">
        <f t="shared" si="41"/>
        <v/>
      </c>
      <c r="R381" s="195" t="str">
        <f t="shared" si="41"/>
        <v/>
      </c>
      <c r="S381" s="195" t="str">
        <f t="shared" si="36"/>
        <v/>
      </c>
      <c r="T381" s="195" t="str">
        <f t="shared" si="42"/>
        <v/>
      </c>
      <c r="U381" s="195" t="str">
        <f t="shared" si="37"/>
        <v/>
      </c>
      <c r="V381">
        <f t="shared" si="38"/>
        <v>69</v>
      </c>
      <c r="W381" s="195" t="str">
        <f t="shared" si="43"/>
        <v/>
      </c>
      <c r="X381" s="195" t="str">
        <f t="shared" si="44"/>
        <v/>
      </c>
      <c r="Y381" s="255" t="str">
        <f>IF(ISNUMBER(SEARCH("C", 'Dry_Litterbag Placem_Collection'!V88)),"YES","NO")</f>
        <v>NO</v>
      </c>
      <c r="Z381" s="255" t="str">
        <f>IF(ISNUMBER(SEARCH("H", 'Dry_Litterbag Placem_Collection'!V88)),"YES","NO")</f>
        <v>NO</v>
      </c>
      <c r="AA381" s="255" t="str">
        <f>IF(ISNUMBER(SEARCH("R", 'Dry_Litterbag Placem_Collection'!V88)),"YES","NO")</f>
        <v>NO</v>
      </c>
      <c r="AB381" s="255" t="str">
        <f>IF(ISNUMBER(SEARCH("C", 'Dry_Litterbag Placem_Collection'!U88)),"YES","NO")</f>
        <v>NO</v>
      </c>
      <c r="AC381" s="255" t="str">
        <f>IF(ISNUMBER(SEARCH("H", 'Dry_Litterbag Placem_Collection'!U88)),"YES","NO")</f>
        <v>NO</v>
      </c>
      <c r="AD381" s="255" t="str">
        <f>IF(ISNUMBER(SEARCH("R", 'Dry_Litterbag Placem_Collection'!U88)),"YES","NO")</f>
        <v>NO</v>
      </c>
    </row>
    <row r="382" spans="2:30">
      <c r="B382" t="str">
        <f>'Final data_for_R_analysis_Dryse'!A528</f>
        <v>Dry</v>
      </c>
      <c r="C382" s="263">
        <f>'Final data_for_R_analysis_Dryse'!B528</f>
        <v>87</v>
      </c>
      <c r="D382" t="s">
        <v>3839</v>
      </c>
      <c r="E382" t="s">
        <v>25</v>
      </c>
      <c r="F382" s="387">
        <v>7</v>
      </c>
      <c r="G382" s="16">
        <f>'Dry_Litterbag Placem_Collection'!E89</f>
        <v>42937</v>
      </c>
      <c r="H382" s="92" t="str">
        <f>'Final data_for_R_analysis_Dryse'!J528</f>
        <v>G91</v>
      </c>
      <c r="I382" t="str">
        <f>'Final data_for_R_analysis_Dryse'!J748</f>
        <v>R277</v>
      </c>
      <c r="J382">
        <f>IFERROR(INDEX('Green_rooibos initial weight'!$C$5:$C$1749,MATCH(H382, 'Green_rooibos initial weight'!$A$5:$A$1749,0)),"")</f>
        <v>2.044</v>
      </c>
      <c r="K382">
        <f>IFERROR(INDEX('Green_rooibos initial weight'!$C$5:$C$1749,MATCH(I382, 'Green_rooibos initial weight'!$A$5:$A$1749,0)),"")</f>
        <v>2.1949999999999998</v>
      </c>
      <c r="L382" s="195">
        <f t="shared" si="39"/>
        <v>1.7942</v>
      </c>
      <c r="M382" s="195">
        <f t="shared" si="40"/>
        <v>1.9451999999999998</v>
      </c>
      <c r="N382" s="16">
        <f>IF('Dry_Litterbag Placem_Collection'!G89="N.A","",'Dry_Litterbag Placem_Collection'!G89)</f>
        <v>43006</v>
      </c>
      <c r="O382" s="195">
        <f>IF(IFERROR(INDEX('Both teabags AfterDry'!$D$1:$D$839,MATCH(H382,'Both teabags AfterDry'!$A$1:$A$839,0)),"")="N.A","",(IFERROR(INDEX('Both teabags AfterDry'!$D$1:$D$839,MATCH(H382,'Both teabags AfterDry'!$A$1:$A$839,0)),"")))</f>
        <v>1.8609</v>
      </c>
      <c r="P382" s="195">
        <f>IF(IFERROR(INDEX('Both teabags AfterDry'!$D$1:$D$839,MATCH(I382,'Both teabags AfterDry'!$A$1:$A$839,0)),"")="N.A","",(IFERROR(INDEX('Both teabags AfterDry'!$D$1:$D$839,MATCH(I382,'Both teabags AfterDry'!$A$1:$A$839,0)),"")))</f>
        <v>1.9473</v>
      </c>
      <c r="Q382" s="195">
        <f t="shared" si="41"/>
        <v>1.7102999999999999</v>
      </c>
      <c r="R382" s="195">
        <f t="shared" si="41"/>
        <v>1.7967</v>
      </c>
      <c r="S382" s="195">
        <f t="shared" si="36"/>
        <v>4.676178798350239E-2</v>
      </c>
      <c r="T382" s="195">
        <f t="shared" si="42"/>
        <v>3.0656184046191616E-2</v>
      </c>
      <c r="U382" s="195">
        <f t="shared" si="37"/>
        <v>0.92365823565700189</v>
      </c>
      <c r="V382">
        <f t="shared" si="38"/>
        <v>69</v>
      </c>
      <c r="W382" s="195">
        <f t="shared" si="43"/>
        <v>0.94446343469892824</v>
      </c>
      <c r="X382" s="195" t="str">
        <f t="shared" si="44"/>
        <v/>
      </c>
      <c r="Y382" s="255" t="str">
        <f>IF(ISNUMBER(SEARCH("C", 'Dry_Litterbag Placem_Collection'!V89)),"YES","NO")</f>
        <v>NO</v>
      </c>
      <c r="Z382" s="255" t="str">
        <f>IF(ISNUMBER(SEARCH("H", 'Dry_Litterbag Placem_Collection'!V89)),"YES","NO")</f>
        <v>NO</v>
      </c>
      <c r="AA382" s="255" t="str">
        <f>IF(ISNUMBER(SEARCH("R", 'Dry_Litterbag Placem_Collection'!V89)),"YES","NO")</f>
        <v>NO</v>
      </c>
      <c r="AB382" s="255" t="str">
        <f>IF(ISNUMBER(SEARCH("C", 'Dry_Litterbag Placem_Collection'!U89)),"YES","NO")</f>
        <v>NO</v>
      </c>
      <c r="AC382" s="255" t="str">
        <f>IF(ISNUMBER(SEARCH("H", 'Dry_Litterbag Placem_Collection'!U89)),"YES","NO")</f>
        <v>NO</v>
      </c>
      <c r="AD382" s="255" t="str">
        <f>IF(ISNUMBER(SEARCH("R", 'Dry_Litterbag Placem_Collection'!U89)),"YES","NO")</f>
        <v>NO</v>
      </c>
    </row>
    <row r="383" spans="2:30">
      <c r="B383" t="str">
        <f>'Final data_for_R_analysis_Dryse'!A529</f>
        <v>Dry</v>
      </c>
      <c r="C383" s="263">
        <f>'Final data_for_R_analysis_Dryse'!B529</f>
        <v>88</v>
      </c>
      <c r="D383" t="s">
        <v>3839</v>
      </c>
      <c r="E383" t="s">
        <v>25</v>
      </c>
      <c r="F383" s="387">
        <v>8</v>
      </c>
      <c r="G383" s="16">
        <f>'Dry_Litterbag Placem_Collection'!E90</f>
        <v>42937</v>
      </c>
      <c r="H383" s="92" t="str">
        <f>'Final data_for_R_analysis_Dryse'!J529</f>
        <v>G364</v>
      </c>
      <c r="I383" t="str">
        <f>'Final data_for_R_analysis_Dryse'!J749</f>
        <v>R197</v>
      </c>
      <c r="J383">
        <f>IFERROR(INDEX('Green_rooibos initial weight'!$C$5:$C$1749,MATCH(H383, 'Green_rooibos initial weight'!$A$5:$A$1749,0)),"")</f>
        <v>2.0569999999999999</v>
      </c>
      <c r="K383">
        <f>IFERROR(INDEX('Green_rooibos initial weight'!$C$5:$C$1749,MATCH(I383, 'Green_rooibos initial weight'!$A$5:$A$1749,0)),"")</f>
        <v>2.2330000000000001</v>
      </c>
      <c r="L383" s="195">
        <f t="shared" si="39"/>
        <v>1.8071999999999999</v>
      </c>
      <c r="M383" s="195">
        <f t="shared" si="40"/>
        <v>1.9832000000000001</v>
      </c>
      <c r="N383" s="16">
        <f>IF('Dry_Litterbag Placem_Collection'!G90="N.A","",'Dry_Litterbag Placem_Collection'!G90)</f>
        <v>43006</v>
      </c>
      <c r="O383" s="195">
        <f>IF(IFERROR(INDEX('Both teabags AfterDry'!$D$1:$D$839,MATCH(H383,'Both teabags AfterDry'!$A$1:$A$839,0)),"")="N.A","",(IFERROR(INDEX('Both teabags AfterDry'!$D$1:$D$839,MATCH(H383,'Both teabags AfterDry'!$A$1:$A$839,0)),"")))</f>
        <v>1.8589</v>
      </c>
      <c r="P383" s="195">
        <f>IF(IFERROR(INDEX('Both teabags AfterDry'!$D$1:$D$839,MATCH(I383,'Both teabags AfterDry'!$A$1:$A$839,0)),"")="N.A","",(IFERROR(INDEX('Both teabags AfterDry'!$D$1:$D$839,MATCH(I383,'Both teabags AfterDry'!$A$1:$A$839,0)),"")))</f>
        <v>1.9945999999999999</v>
      </c>
      <c r="Q383" s="195">
        <f t="shared" si="41"/>
        <v>1.7082999999999999</v>
      </c>
      <c r="R383" s="195">
        <f t="shared" si="41"/>
        <v>1.8439999999999999</v>
      </c>
      <c r="S383" s="195">
        <f t="shared" si="36"/>
        <v>5.4725542275343098E-2</v>
      </c>
      <c r="T383" s="195">
        <f t="shared" si="42"/>
        <v>3.587707759618694E-2</v>
      </c>
      <c r="U383" s="195">
        <f t="shared" si="37"/>
        <v>0.92981040742234766</v>
      </c>
      <c r="V383">
        <f t="shared" si="38"/>
        <v>69</v>
      </c>
      <c r="W383" s="195">
        <f t="shared" si="43"/>
        <v>0.93500529420980627</v>
      </c>
      <c r="X383" s="195" t="str">
        <f t="shared" si="44"/>
        <v/>
      </c>
      <c r="Y383" s="255" t="str">
        <f>IF(ISNUMBER(SEARCH("C", 'Dry_Litterbag Placem_Collection'!V90)),"YES","NO")</f>
        <v>NO</v>
      </c>
      <c r="Z383" s="255" t="str">
        <f>IF(ISNUMBER(SEARCH("H", 'Dry_Litterbag Placem_Collection'!V90)),"YES","NO")</f>
        <v>NO</v>
      </c>
      <c r="AA383" s="255" t="str">
        <f>IF(ISNUMBER(SEARCH("R", 'Dry_Litterbag Placem_Collection'!V90)),"YES","NO")</f>
        <v>NO</v>
      </c>
      <c r="AB383" s="255" t="str">
        <f>IF(ISNUMBER(SEARCH("C", 'Dry_Litterbag Placem_Collection'!U90)),"YES","NO")</f>
        <v>NO</v>
      </c>
      <c r="AC383" s="255" t="str">
        <f>IF(ISNUMBER(SEARCH("H", 'Dry_Litterbag Placem_Collection'!U90)),"YES","NO")</f>
        <v>NO</v>
      </c>
      <c r="AD383" s="255" t="str">
        <f>IF(ISNUMBER(SEARCH("R", 'Dry_Litterbag Placem_Collection'!U90)),"YES","NO")</f>
        <v>NO</v>
      </c>
    </row>
    <row r="384" spans="2:30">
      <c r="B384" t="str">
        <f>'Final data_for_R_analysis_Dryse'!A530</f>
        <v>Dry</v>
      </c>
      <c r="C384" s="263">
        <f>'Final data_for_R_analysis_Dryse'!B530</f>
        <v>89</v>
      </c>
      <c r="D384" t="s">
        <v>3840</v>
      </c>
      <c r="E384" t="s">
        <v>25</v>
      </c>
      <c r="F384" s="386">
        <v>1</v>
      </c>
      <c r="G384" s="16">
        <f>'Dry_Litterbag Placem_Collection'!E91</f>
        <v>42937</v>
      </c>
      <c r="H384" s="92" t="str">
        <f>'Final data_for_R_analysis_Dryse'!J530</f>
        <v>G862</v>
      </c>
      <c r="I384" t="str">
        <f>'Final data_for_R_analysis_Dryse'!J750</f>
        <v>R841</v>
      </c>
      <c r="J384">
        <f>IFERROR(INDEX('Green_rooibos initial weight'!$C$5:$C$1749,MATCH(H384, 'Green_rooibos initial weight'!$A$5:$A$1749,0)),"")</f>
        <v>1.996</v>
      </c>
      <c r="K384">
        <f>IFERROR(INDEX('Green_rooibos initial weight'!$C$5:$C$1749,MATCH(I384, 'Green_rooibos initial weight'!$A$5:$A$1749,0)),"")</f>
        <v>2.13</v>
      </c>
      <c r="L384" s="195">
        <f t="shared" si="39"/>
        <v>1.7462</v>
      </c>
      <c r="M384" s="195">
        <f t="shared" si="40"/>
        <v>1.8801999999999999</v>
      </c>
      <c r="N384" s="16">
        <f>IF('Dry_Litterbag Placem_Collection'!G91="N.A","",'Dry_Litterbag Placem_Collection'!G91)</f>
        <v>43006</v>
      </c>
      <c r="O384" s="195">
        <f>IF(IFERROR(INDEX('Both teabags AfterDry'!$D$1:$D$839,MATCH(H384,'Both teabags AfterDry'!$A$1:$A$839,0)),"")="N.A","",(IFERROR(INDEX('Both teabags AfterDry'!$D$1:$D$839,MATCH(H384,'Both teabags AfterDry'!$A$1:$A$839,0)),"")))</f>
        <v>1.8160000000000001</v>
      </c>
      <c r="P384" s="195">
        <f>IF(IFERROR(INDEX('Both teabags AfterDry'!$D$1:$D$839,MATCH(I384,'Both teabags AfterDry'!$A$1:$A$839,0)),"")="N.A","",(IFERROR(INDEX('Both teabags AfterDry'!$D$1:$D$839,MATCH(I384,'Both teabags AfterDry'!$A$1:$A$839,0)),"")))</f>
        <v>1.9592000000000001</v>
      </c>
      <c r="Q384" s="195">
        <f t="shared" si="41"/>
        <v>1.6654</v>
      </c>
      <c r="R384" s="195">
        <f t="shared" si="41"/>
        <v>1.8086</v>
      </c>
      <c r="S384" s="195">
        <f t="shared" si="36"/>
        <v>4.6271904707364531E-2</v>
      </c>
      <c r="T384" s="195">
        <f t="shared" si="42"/>
        <v>3.0335025413854216E-2</v>
      </c>
      <c r="U384" s="195">
        <f t="shared" si="37"/>
        <v>0.96191894479310713</v>
      </c>
      <c r="V384">
        <f t="shared" si="38"/>
        <v>69</v>
      </c>
      <c r="W384" s="195">
        <f t="shared" si="43"/>
        <v>0.94504524381548149</v>
      </c>
      <c r="X384" s="195" t="str">
        <f t="shared" si="44"/>
        <v/>
      </c>
      <c r="Y384" s="255" t="str">
        <f>IF(ISNUMBER(SEARCH("C", 'Dry_Litterbag Placem_Collection'!V91)),"YES","NO")</f>
        <v>NO</v>
      </c>
      <c r="Z384" s="255" t="str">
        <f>IF(ISNUMBER(SEARCH("H", 'Dry_Litterbag Placem_Collection'!V91)),"YES","NO")</f>
        <v>NO</v>
      </c>
      <c r="AA384" s="255" t="str">
        <f>IF(ISNUMBER(SEARCH("R", 'Dry_Litterbag Placem_Collection'!V91)),"YES","NO")</f>
        <v>NO</v>
      </c>
      <c r="AB384" s="255" t="str">
        <f>IF(ISNUMBER(SEARCH("C", 'Dry_Litterbag Placem_Collection'!U91)),"YES","NO")</f>
        <v>NO</v>
      </c>
      <c r="AC384" s="255" t="str">
        <f>IF(ISNUMBER(SEARCH("H", 'Dry_Litterbag Placem_Collection'!U91)),"YES","NO")</f>
        <v>NO</v>
      </c>
      <c r="AD384" s="255" t="str">
        <f>IF(ISNUMBER(SEARCH("R", 'Dry_Litterbag Placem_Collection'!U91)),"YES","NO")</f>
        <v>NO</v>
      </c>
    </row>
    <row r="385" spans="2:30">
      <c r="B385" t="str">
        <f>'Final data_for_R_analysis_Dryse'!A531</f>
        <v>Dry</v>
      </c>
      <c r="C385" s="263">
        <f>'Final data_for_R_analysis_Dryse'!B531</f>
        <v>90</v>
      </c>
      <c r="D385" t="s">
        <v>3840</v>
      </c>
      <c r="E385" t="s">
        <v>25</v>
      </c>
      <c r="F385" s="386">
        <v>2</v>
      </c>
      <c r="G385" s="16">
        <f>'Dry_Litterbag Placem_Collection'!E92</f>
        <v>42937</v>
      </c>
      <c r="H385" s="92" t="str">
        <f>'Final data_for_R_analysis_Dryse'!J531</f>
        <v>G330</v>
      </c>
      <c r="I385" t="str">
        <f>'Final data_for_R_analysis_Dryse'!J751</f>
        <v>R220</v>
      </c>
      <c r="J385">
        <f>IFERROR(INDEX('Green_rooibos initial weight'!$C$5:$C$1749,MATCH(H385, 'Green_rooibos initial weight'!$A$5:$A$1749,0)),"")</f>
        <v>2.1379999999999999</v>
      </c>
      <c r="K385">
        <f>IFERROR(INDEX('Green_rooibos initial weight'!$C$5:$C$1749,MATCH(I385, 'Green_rooibos initial weight'!$A$5:$A$1749,0)),"")</f>
        <v>2.2269999999999999</v>
      </c>
      <c r="L385" s="195">
        <f t="shared" si="39"/>
        <v>1.8881999999999999</v>
      </c>
      <c r="M385" s="195">
        <f t="shared" si="40"/>
        <v>1.9771999999999998</v>
      </c>
      <c r="N385" s="16">
        <f>IF('Dry_Litterbag Placem_Collection'!G92="N.A","",'Dry_Litterbag Placem_Collection'!G92)</f>
        <v>43006</v>
      </c>
      <c r="O385" s="195" t="str">
        <f>IF(IFERROR(INDEX('Both teabags AfterDry'!$D$1:$D$839,MATCH(H385,'Both teabags AfterDry'!$A$1:$A$839,0)),"")="N.A","",(IFERROR(INDEX('Both teabags AfterDry'!$D$1:$D$839,MATCH(H385,'Both teabags AfterDry'!$A$1:$A$839,0)),"")))</f>
        <v/>
      </c>
      <c r="P385" s="195" t="str">
        <f>IF(IFERROR(INDEX('Both teabags AfterDry'!$D$1:$D$839,MATCH(I385,'Both teabags AfterDry'!$A$1:$A$839,0)),"")="N.A","",(IFERROR(INDEX('Both teabags AfterDry'!$D$1:$D$839,MATCH(I385,'Both teabags AfterDry'!$A$1:$A$839,0)),"")))</f>
        <v/>
      </c>
      <c r="Q385" s="195" t="str">
        <f t="shared" si="41"/>
        <v/>
      </c>
      <c r="R385" s="195" t="str">
        <f t="shared" si="41"/>
        <v/>
      </c>
      <c r="S385" s="195" t="str">
        <f t="shared" si="36"/>
        <v/>
      </c>
      <c r="T385" s="195" t="str">
        <f t="shared" si="42"/>
        <v/>
      </c>
      <c r="U385" s="195" t="str">
        <f t="shared" si="37"/>
        <v/>
      </c>
      <c r="V385">
        <f t="shared" si="38"/>
        <v>69</v>
      </c>
      <c r="W385" s="195" t="str">
        <f t="shared" si="43"/>
        <v/>
      </c>
      <c r="X385" s="195" t="str">
        <f t="shared" si="44"/>
        <v/>
      </c>
      <c r="Y385" s="255" t="str">
        <f>IF(ISNUMBER(SEARCH("C", 'Dry_Litterbag Placem_Collection'!V92)),"YES","NO")</f>
        <v>NO</v>
      </c>
      <c r="Z385" s="255" t="str">
        <f>IF(ISNUMBER(SEARCH("H", 'Dry_Litterbag Placem_Collection'!V92)),"YES","NO")</f>
        <v>NO</v>
      </c>
      <c r="AA385" s="255" t="str">
        <f>IF(ISNUMBER(SEARCH("R", 'Dry_Litterbag Placem_Collection'!V92)),"YES","NO")</f>
        <v>NO</v>
      </c>
      <c r="AB385" s="255" t="str">
        <f>IF(ISNUMBER(SEARCH("C", 'Dry_Litterbag Placem_Collection'!U92)),"YES","NO")</f>
        <v>NO</v>
      </c>
      <c r="AC385" s="255" t="str">
        <f>IF(ISNUMBER(SEARCH("H", 'Dry_Litterbag Placem_Collection'!U92)),"YES","NO")</f>
        <v>NO</v>
      </c>
      <c r="AD385" s="255" t="str">
        <f>IF(ISNUMBER(SEARCH("R", 'Dry_Litterbag Placem_Collection'!U92)),"YES","NO")</f>
        <v>NO</v>
      </c>
    </row>
    <row r="386" spans="2:30">
      <c r="B386" t="str">
        <f>'Final data_for_R_analysis_Dryse'!A532</f>
        <v>Dry</v>
      </c>
      <c r="C386" s="263">
        <f>'Final data_for_R_analysis_Dryse'!B532</f>
        <v>91</v>
      </c>
      <c r="D386" t="s">
        <v>3840</v>
      </c>
      <c r="E386" t="s">
        <v>25</v>
      </c>
      <c r="F386" s="386">
        <v>3</v>
      </c>
      <c r="G386" s="16">
        <f>'Dry_Litterbag Placem_Collection'!E93</f>
        <v>42937</v>
      </c>
      <c r="H386" s="92" t="str">
        <f>'Final data_for_R_analysis_Dryse'!J532</f>
        <v>G596</v>
      </c>
      <c r="I386" t="str">
        <f>'Final data_for_R_analysis_Dryse'!J752</f>
        <v>R659</v>
      </c>
      <c r="J386">
        <f>IFERROR(INDEX('Green_rooibos initial weight'!$C$5:$C$1749,MATCH(H386, 'Green_rooibos initial weight'!$A$5:$A$1749,0)),"")</f>
        <v>2.0179999999999998</v>
      </c>
      <c r="K386">
        <f>IFERROR(INDEX('Green_rooibos initial weight'!$C$5:$C$1749,MATCH(I386, 'Green_rooibos initial weight'!$A$5:$A$1749,0)),"")</f>
        <v>2.2349999999999999</v>
      </c>
      <c r="L386" s="195">
        <f t="shared" si="39"/>
        <v>1.7681999999999998</v>
      </c>
      <c r="M386" s="195">
        <f t="shared" si="40"/>
        <v>1.9851999999999999</v>
      </c>
      <c r="N386" s="16">
        <f>IF('Dry_Litterbag Placem_Collection'!G93="N.A","",'Dry_Litterbag Placem_Collection'!G93)</f>
        <v>43006</v>
      </c>
      <c r="O386" s="195">
        <f>IF(IFERROR(INDEX('Both teabags AfterDry'!$D$1:$D$839,MATCH(H386,'Both teabags AfterDry'!$A$1:$A$839,0)),"")="N.A","",(IFERROR(INDEX('Both teabags AfterDry'!$D$1:$D$839,MATCH(H386,'Both teabags AfterDry'!$A$1:$A$839,0)),"")))</f>
        <v>1.8642000000000001</v>
      </c>
      <c r="P386" s="195">
        <f>IF(IFERROR(INDEX('Both teabags AfterDry'!$D$1:$D$839,MATCH(I386,'Both teabags AfterDry'!$A$1:$A$839,0)),"")="N.A","",(IFERROR(INDEX('Both teabags AfterDry'!$D$1:$D$839,MATCH(I386,'Both teabags AfterDry'!$A$1:$A$839,0)),"")))</f>
        <v>2.0495999999999999</v>
      </c>
      <c r="Q386" s="195">
        <f t="shared" si="41"/>
        <v>1.7136</v>
      </c>
      <c r="R386" s="195">
        <f t="shared" si="41"/>
        <v>1.8989999999999998</v>
      </c>
      <c r="S386" s="195">
        <f t="shared" si="36"/>
        <v>3.0878859857482066E-2</v>
      </c>
      <c r="T386" s="195">
        <f t="shared" si="42"/>
        <v>2.0243623089465684E-2</v>
      </c>
      <c r="U386" s="195">
        <f t="shared" si="37"/>
        <v>0.95657868224863996</v>
      </c>
      <c r="V386">
        <f t="shared" si="38"/>
        <v>69</v>
      </c>
      <c r="W386" s="195">
        <f t="shared" si="43"/>
        <v>0.96332676976546072</v>
      </c>
      <c r="X386" s="195" t="str">
        <f t="shared" si="44"/>
        <v/>
      </c>
      <c r="Y386" s="255" t="str">
        <f>IF(ISNUMBER(SEARCH("C", 'Dry_Litterbag Placem_Collection'!V93)),"YES","NO")</f>
        <v>NO</v>
      </c>
      <c r="Z386" s="255" t="str">
        <f>IF(ISNUMBER(SEARCH("H", 'Dry_Litterbag Placem_Collection'!V93)),"YES","NO")</f>
        <v>NO</v>
      </c>
      <c r="AA386" s="255" t="str">
        <f>IF(ISNUMBER(SEARCH("R", 'Dry_Litterbag Placem_Collection'!V93)),"YES","NO")</f>
        <v>NO</v>
      </c>
      <c r="AB386" s="255" t="str">
        <f>IF(ISNUMBER(SEARCH("C", 'Dry_Litterbag Placem_Collection'!U93)),"YES","NO")</f>
        <v>NO</v>
      </c>
      <c r="AC386" s="255" t="str">
        <f>IF(ISNUMBER(SEARCH("H", 'Dry_Litterbag Placem_Collection'!U93)),"YES","NO")</f>
        <v>NO</v>
      </c>
      <c r="AD386" s="255" t="str">
        <f>IF(ISNUMBER(SEARCH("R", 'Dry_Litterbag Placem_Collection'!U93)),"YES","NO")</f>
        <v>NO</v>
      </c>
    </row>
    <row r="387" spans="2:30">
      <c r="B387" t="str">
        <f>'Final data_for_R_analysis_Dryse'!A533</f>
        <v>Dry</v>
      </c>
      <c r="C387" s="263">
        <f>'Final data_for_R_analysis_Dryse'!B533</f>
        <v>92</v>
      </c>
      <c r="D387" t="s">
        <v>3840</v>
      </c>
      <c r="E387" t="s">
        <v>25</v>
      </c>
      <c r="F387" s="387">
        <v>4</v>
      </c>
      <c r="G387" s="16">
        <f>'Dry_Litterbag Placem_Collection'!E94</f>
        <v>42937</v>
      </c>
      <c r="H387" s="92" t="str">
        <f>'Final data_for_R_analysis_Dryse'!J533</f>
        <v>G380</v>
      </c>
      <c r="I387" t="str">
        <f>'Final data_for_R_analysis_Dryse'!J753</f>
        <v>R619</v>
      </c>
      <c r="J387">
        <f>IFERROR(INDEX('Green_rooibos initial weight'!$C$5:$C$1749,MATCH(H387, 'Green_rooibos initial weight'!$A$5:$A$1749,0)),"")</f>
        <v>2.0619999999999998</v>
      </c>
      <c r="K387">
        <f>IFERROR(INDEX('Green_rooibos initial weight'!$C$5:$C$1749,MATCH(I387, 'Green_rooibos initial weight'!$A$5:$A$1749,0)),"")</f>
        <v>2.1480000000000001</v>
      </c>
      <c r="L387" s="195">
        <f t="shared" si="39"/>
        <v>1.8121999999999998</v>
      </c>
      <c r="M387" s="195">
        <f t="shared" si="40"/>
        <v>1.8982000000000001</v>
      </c>
      <c r="N387" s="16">
        <f>IF('Dry_Litterbag Placem_Collection'!G94="N.A","",'Dry_Litterbag Placem_Collection'!G94)</f>
        <v>43006</v>
      </c>
      <c r="O387" s="195">
        <f>IF(IFERROR(INDEX('Both teabags AfterDry'!$D$1:$D$839,MATCH(H387,'Both teabags AfterDry'!$A$1:$A$839,0)),"")="N.A","",(IFERROR(INDEX('Both teabags AfterDry'!$D$1:$D$839,MATCH(H387,'Both teabags AfterDry'!$A$1:$A$839,0)),"")))</f>
        <v>1.8685</v>
      </c>
      <c r="P387" s="195">
        <f>IF(IFERROR(INDEX('Both teabags AfterDry'!$D$1:$D$839,MATCH(I387,'Both teabags AfterDry'!$A$1:$A$839,0)),"")="N.A","",(IFERROR(INDEX('Both teabags AfterDry'!$D$1:$D$839,MATCH(I387,'Both teabags AfterDry'!$A$1:$A$839,0)),"")))</f>
        <v>1.9713000000000001</v>
      </c>
      <c r="Q387" s="195">
        <f t="shared" si="41"/>
        <v>1.7179</v>
      </c>
      <c r="R387" s="195">
        <f t="shared" si="41"/>
        <v>1.8207</v>
      </c>
      <c r="S387" s="195">
        <f t="shared" si="36"/>
        <v>5.2036199095022551E-2</v>
      </c>
      <c r="T387" s="195">
        <f t="shared" si="42"/>
        <v>3.4113992755881777E-2</v>
      </c>
      <c r="U387" s="195">
        <f t="shared" si="37"/>
        <v>0.95917184701295954</v>
      </c>
      <c r="V387">
        <f t="shared" si="38"/>
        <v>69</v>
      </c>
      <c r="W387" s="195">
        <f t="shared" si="43"/>
        <v>0.93819928848572143</v>
      </c>
      <c r="X387" s="195" t="str">
        <f t="shared" si="44"/>
        <v/>
      </c>
      <c r="Y387" s="255" t="str">
        <f>IF(ISNUMBER(SEARCH("C", 'Dry_Litterbag Placem_Collection'!V94)),"YES","NO")</f>
        <v>NO</v>
      </c>
      <c r="Z387" s="255" t="str">
        <f>IF(ISNUMBER(SEARCH("H", 'Dry_Litterbag Placem_Collection'!V94)),"YES","NO")</f>
        <v>NO</v>
      </c>
      <c r="AA387" s="255" t="str">
        <f>IF(ISNUMBER(SEARCH("R", 'Dry_Litterbag Placem_Collection'!V94)),"YES","NO")</f>
        <v>NO</v>
      </c>
      <c r="AB387" s="255" t="str">
        <f>IF(ISNUMBER(SEARCH("C", 'Dry_Litterbag Placem_Collection'!U94)),"YES","NO")</f>
        <v>NO</v>
      </c>
      <c r="AC387" s="255" t="str">
        <f>IF(ISNUMBER(SEARCH("H", 'Dry_Litterbag Placem_Collection'!U94)),"YES","NO")</f>
        <v>NO</v>
      </c>
      <c r="AD387" s="255" t="str">
        <f>IF(ISNUMBER(SEARCH("R", 'Dry_Litterbag Placem_Collection'!U94)),"YES","NO")</f>
        <v>NO</v>
      </c>
    </row>
    <row r="388" spans="2:30">
      <c r="B388" t="str">
        <f>'Final data_for_R_analysis_Dryse'!A534</f>
        <v>Dry</v>
      </c>
      <c r="C388" s="263">
        <f>'Final data_for_R_analysis_Dryse'!B534</f>
        <v>93</v>
      </c>
      <c r="D388" t="s">
        <v>3840</v>
      </c>
      <c r="E388" t="s">
        <v>25</v>
      </c>
      <c r="F388" s="387">
        <v>5</v>
      </c>
      <c r="G388" s="16">
        <f>'Dry_Litterbag Placem_Collection'!E95</f>
        <v>42937</v>
      </c>
      <c r="H388" s="92" t="str">
        <f>'Final data_for_R_analysis_Dryse'!J534</f>
        <v>G872</v>
      </c>
      <c r="I388" t="str">
        <f>'Final data_for_R_analysis_Dryse'!J754</f>
        <v>R106</v>
      </c>
      <c r="J388">
        <f>IFERROR(INDEX('Green_rooibos initial weight'!$C$5:$C$1749,MATCH(H388, 'Green_rooibos initial weight'!$A$5:$A$1749,0)),"")</f>
        <v>2.008</v>
      </c>
      <c r="K388">
        <f>IFERROR(INDEX('Green_rooibos initial weight'!$C$5:$C$1749,MATCH(I388, 'Green_rooibos initial weight'!$A$5:$A$1749,0)),"")</f>
        <v>2.2330000000000001</v>
      </c>
      <c r="L388" s="195">
        <f t="shared" si="39"/>
        <v>1.7582</v>
      </c>
      <c r="M388" s="195">
        <f t="shared" si="40"/>
        <v>1.9832000000000001</v>
      </c>
      <c r="N388" s="16">
        <f>IF('Dry_Litterbag Placem_Collection'!G95="N.A","",'Dry_Litterbag Placem_Collection'!G95)</f>
        <v>43006</v>
      </c>
      <c r="O388" s="195">
        <f>IF(IFERROR(INDEX('Both teabags AfterDry'!$D$1:$D$839,MATCH(H388,'Both teabags AfterDry'!$A$1:$A$839,0)),"")="N.A","",(IFERROR(INDEX('Both teabags AfterDry'!$D$1:$D$839,MATCH(H388,'Both teabags AfterDry'!$A$1:$A$839,0)),"")))</f>
        <v>1.8389</v>
      </c>
      <c r="P388" s="195">
        <f>IF(IFERROR(INDEX('Both teabags AfterDry'!$D$1:$D$839,MATCH(I388,'Both teabags AfterDry'!$A$1:$A$839,0)),"")="N.A","",(IFERROR(INDEX('Both teabags AfterDry'!$D$1:$D$839,MATCH(I388,'Both teabags AfterDry'!$A$1:$A$839,0)),"")))</f>
        <v>2.0352999999999999</v>
      </c>
      <c r="Q388" s="195">
        <f t="shared" si="41"/>
        <v>1.6882999999999999</v>
      </c>
      <c r="R388" s="195">
        <f t="shared" si="41"/>
        <v>1.8846999999999998</v>
      </c>
      <c r="S388" s="195">
        <f t="shared" si="36"/>
        <v>3.9756569218519E-2</v>
      </c>
      <c r="T388" s="195">
        <f t="shared" si="42"/>
        <v>2.6063689083874703E-2</v>
      </c>
      <c r="U388" s="195">
        <f t="shared" si="37"/>
        <v>0.95033279548204908</v>
      </c>
      <c r="V388">
        <f t="shared" si="38"/>
        <v>69</v>
      </c>
      <c r="W388" s="195">
        <f t="shared" si="43"/>
        <v>0.95278317194950235</v>
      </c>
      <c r="X388" s="195" t="str">
        <f t="shared" si="44"/>
        <v/>
      </c>
      <c r="Y388" s="255" t="str">
        <f>IF(ISNUMBER(SEARCH("C", 'Dry_Litterbag Placem_Collection'!V95)),"YES","NO")</f>
        <v>NO</v>
      </c>
      <c r="Z388" s="255" t="str">
        <f>IF(ISNUMBER(SEARCH("H", 'Dry_Litterbag Placem_Collection'!V95)),"YES","NO")</f>
        <v>NO</v>
      </c>
      <c r="AA388" s="255" t="str">
        <f>IF(ISNUMBER(SEARCH("R", 'Dry_Litterbag Placem_Collection'!V95)),"YES","NO")</f>
        <v>NO</v>
      </c>
      <c r="AB388" s="255" t="str">
        <f>IF(ISNUMBER(SEARCH("C", 'Dry_Litterbag Placem_Collection'!U95)),"YES","NO")</f>
        <v>NO</v>
      </c>
      <c r="AC388" s="255" t="str">
        <f>IF(ISNUMBER(SEARCH("H", 'Dry_Litterbag Placem_Collection'!U95)),"YES","NO")</f>
        <v>NO</v>
      </c>
      <c r="AD388" s="255" t="str">
        <f>IF(ISNUMBER(SEARCH("R", 'Dry_Litterbag Placem_Collection'!U95)),"YES","NO")</f>
        <v>NO</v>
      </c>
    </row>
    <row r="389" spans="2:30">
      <c r="B389" t="str">
        <f>'Final data_for_R_analysis_Dryse'!A535</f>
        <v>Dry</v>
      </c>
      <c r="C389" s="263">
        <f>'Final data_for_R_analysis_Dryse'!B535</f>
        <v>94</v>
      </c>
      <c r="D389" t="s">
        <v>3840</v>
      </c>
      <c r="E389" t="s">
        <v>25</v>
      </c>
      <c r="F389" s="387">
        <v>6</v>
      </c>
      <c r="G389" s="16">
        <f>'Dry_Litterbag Placem_Collection'!E96</f>
        <v>0</v>
      </c>
      <c r="H389" s="92" t="str">
        <f>'Final data_for_R_analysis_Dryse'!J535</f>
        <v/>
      </c>
      <c r="I389" t="str">
        <f>'Final data_for_R_analysis_Dryse'!J755</f>
        <v/>
      </c>
      <c r="J389" t="str">
        <f>IFERROR(INDEX('Green_rooibos initial weight'!$C$5:$C$1749,MATCH(H389, 'Green_rooibos initial weight'!$A$5:$A$1749,0)),"")</f>
        <v/>
      </c>
      <c r="K389" t="str">
        <f>IFERROR(INDEX('Green_rooibos initial weight'!$C$5:$C$1749,MATCH(I389, 'Green_rooibos initial weight'!$A$5:$A$1749,0)),"")</f>
        <v/>
      </c>
      <c r="L389" s="195" t="str">
        <f t="shared" si="39"/>
        <v/>
      </c>
      <c r="M389" s="195" t="str">
        <f t="shared" si="40"/>
        <v/>
      </c>
      <c r="N389" s="16">
        <f>IF('Dry_Litterbag Placem_Collection'!G96="N.A","",'Dry_Litterbag Placem_Collection'!G96)</f>
        <v>0</v>
      </c>
      <c r="O389" s="195" t="str">
        <f>IF(IFERROR(INDEX('Both teabags AfterDry'!$D$1:$D$839,MATCH(H389,'Both teabags AfterDry'!$A$1:$A$839,0)),"")="N.A","",(IFERROR(INDEX('Both teabags AfterDry'!$D$1:$D$839,MATCH(H389,'Both teabags AfterDry'!$A$1:$A$839,0)),"")))</f>
        <v/>
      </c>
      <c r="P389" s="195" t="str">
        <f>IF(IFERROR(INDEX('Both teabags AfterDry'!$D$1:$D$839,MATCH(I389,'Both teabags AfterDry'!$A$1:$A$839,0)),"")="N.A","",(IFERROR(INDEX('Both teabags AfterDry'!$D$1:$D$839,MATCH(I389,'Both teabags AfterDry'!$A$1:$A$839,0)),"")))</f>
        <v/>
      </c>
      <c r="Q389" s="195" t="str">
        <f t="shared" si="41"/>
        <v/>
      </c>
      <c r="R389" s="195" t="str">
        <f t="shared" si="41"/>
        <v/>
      </c>
      <c r="S389" s="195" t="str">
        <f t="shared" si="36"/>
        <v/>
      </c>
      <c r="T389" s="195" t="str">
        <f t="shared" si="42"/>
        <v/>
      </c>
      <c r="U389" s="195" t="str">
        <f t="shared" si="37"/>
        <v/>
      </c>
      <c r="V389" t="str">
        <f t="shared" si="38"/>
        <v/>
      </c>
      <c r="W389" s="195" t="str">
        <f t="shared" si="43"/>
        <v/>
      </c>
      <c r="X389" s="195" t="str">
        <f t="shared" si="44"/>
        <v/>
      </c>
      <c r="Y389" s="255" t="str">
        <f>IF(ISNUMBER(SEARCH("C", 'Dry_Litterbag Placem_Collection'!V96)),"YES","NO")</f>
        <v>NO</v>
      </c>
      <c r="Z389" s="255" t="str">
        <f>IF(ISNUMBER(SEARCH("H", 'Dry_Litterbag Placem_Collection'!V96)),"YES","NO")</f>
        <v>NO</v>
      </c>
      <c r="AA389" s="255" t="str">
        <f>IF(ISNUMBER(SEARCH("R", 'Dry_Litterbag Placem_Collection'!V96)),"YES","NO")</f>
        <v>NO</v>
      </c>
      <c r="AB389" s="255" t="str">
        <f>IF(ISNUMBER(SEARCH("C", 'Dry_Litterbag Placem_Collection'!U96)),"YES","NO")</f>
        <v>NO</v>
      </c>
      <c r="AC389" s="255" t="str">
        <f>IF(ISNUMBER(SEARCH("H", 'Dry_Litterbag Placem_Collection'!U96)),"YES","NO")</f>
        <v>NO</v>
      </c>
      <c r="AD389" s="255" t="str">
        <f>IF(ISNUMBER(SEARCH("R", 'Dry_Litterbag Placem_Collection'!U96)),"YES","NO")</f>
        <v>NO</v>
      </c>
    </row>
    <row r="390" spans="2:30">
      <c r="B390" t="str">
        <f>'Final data_for_R_analysis_Dryse'!A536</f>
        <v>Dry</v>
      </c>
      <c r="C390" s="263">
        <f>'Final data_for_R_analysis_Dryse'!B536</f>
        <v>95</v>
      </c>
      <c r="D390" t="s">
        <v>3840</v>
      </c>
      <c r="E390" t="s">
        <v>25</v>
      </c>
      <c r="F390" s="387">
        <v>7</v>
      </c>
      <c r="G390" s="16">
        <f>'Dry_Litterbag Placem_Collection'!E97</f>
        <v>42937</v>
      </c>
      <c r="H390" s="92" t="str">
        <f>'Final data_for_R_analysis_Dryse'!J536</f>
        <v>G844</v>
      </c>
      <c r="I390" t="str">
        <f>'Final data_for_R_analysis_Dryse'!J756</f>
        <v>R233</v>
      </c>
      <c r="J390">
        <f>IFERROR(INDEX('Green_rooibos initial weight'!$C$5:$C$1749,MATCH(H390, 'Green_rooibos initial weight'!$A$5:$A$1749,0)),"")</f>
        <v>1.95</v>
      </c>
      <c r="K390">
        <f>IFERROR(INDEX('Green_rooibos initial weight'!$C$5:$C$1749,MATCH(I390, 'Green_rooibos initial weight'!$A$5:$A$1749,0)),"")</f>
        <v>2.1749999999999998</v>
      </c>
      <c r="L390" s="195">
        <f t="shared" si="39"/>
        <v>1.7001999999999999</v>
      </c>
      <c r="M390" s="195">
        <f t="shared" si="40"/>
        <v>1.9251999999999998</v>
      </c>
      <c r="N390" s="16">
        <f>IF('Dry_Litterbag Placem_Collection'!G97="N.A","",'Dry_Litterbag Placem_Collection'!G97)</f>
        <v>43006</v>
      </c>
      <c r="O390" s="195">
        <f>IF(IFERROR(INDEX('Both teabags AfterDry'!$D$1:$D$839,MATCH(H390,'Both teabags AfterDry'!$A$1:$A$839,0)),"")="N.A","",(IFERROR(INDEX('Both teabags AfterDry'!$D$1:$D$839,MATCH(H390,'Both teabags AfterDry'!$A$1:$A$839,0)),"")))</f>
        <v>1.7751999999999999</v>
      </c>
      <c r="P390" s="195">
        <f>IF(IFERROR(INDEX('Both teabags AfterDry'!$D$1:$D$839,MATCH(I390,'Both teabags AfterDry'!$A$1:$A$839,0)),"")="N.A","",(IFERROR(INDEX('Both teabags AfterDry'!$D$1:$D$839,MATCH(I390,'Both teabags AfterDry'!$A$1:$A$839,0)),"")))</f>
        <v>1.9479</v>
      </c>
      <c r="Q390" s="195">
        <f t="shared" si="41"/>
        <v>1.6245999999999998</v>
      </c>
      <c r="R390" s="195">
        <f t="shared" si="41"/>
        <v>1.7972999999999999</v>
      </c>
      <c r="S390" s="195">
        <f t="shared" si="36"/>
        <v>4.4465357016821638E-2</v>
      </c>
      <c r="T390" s="195">
        <f t="shared" si="42"/>
        <v>2.9150685360196597E-2</v>
      </c>
      <c r="U390" s="195">
        <f t="shared" si="37"/>
        <v>0.93356534386037815</v>
      </c>
      <c r="V390">
        <f t="shared" si="38"/>
        <v>69</v>
      </c>
      <c r="W390" s="195">
        <f t="shared" si="43"/>
        <v>0.9471907873909482</v>
      </c>
      <c r="X390" s="195" t="str">
        <f t="shared" si="44"/>
        <v/>
      </c>
      <c r="Y390" s="255" t="str">
        <f>IF(ISNUMBER(SEARCH("C", 'Dry_Litterbag Placem_Collection'!V97)),"YES","NO")</f>
        <v>NO</v>
      </c>
      <c r="Z390" s="255" t="str">
        <f>IF(ISNUMBER(SEARCH("H", 'Dry_Litterbag Placem_Collection'!V97)),"YES","NO")</f>
        <v>NO</v>
      </c>
      <c r="AA390" s="255" t="str">
        <f>IF(ISNUMBER(SEARCH("R", 'Dry_Litterbag Placem_Collection'!V97)),"YES","NO")</f>
        <v>NO</v>
      </c>
      <c r="AB390" s="255" t="str">
        <f>IF(ISNUMBER(SEARCH("C", 'Dry_Litterbag Placem_Collection'!U97)),"YES","NO")</f>
        <v>NO</v>
      </c>
      <c r="AC390" s="255" t="str">
        <f>IF(ISNUMBER(SEARCH("H", 'Dry_Litterbag Placem_Collection'!U97)),"YES","NO")</f>
        <v>NO</v>
      </c>
      <c r="AD390" s="255" t="str">
        <f>IF(ISNUMBER(SEARCH("R", 'Dry_Litterbag Placem_Collection'!U97)),"YES","NO")</f>
        <v>NO</v>
      </c>
    </row>
    <row r="391" spans="2:30">
      <c r="B391" t="str">
        <f>'Final data_for_R_analysis_Dryse'!A537</f>
        <v>Dry</v>
      </c>
      <c r="C391" s="263">
        <f>'Final data_for_R_analysis_Dryse'!B537</f>
        <v>96</v>
      </c>
      <c r="D391" t="s">
        <v>3840</v>
      </c>
      <c r="E391" t="s">
        <v>25</v>
      </c>
      <c r="F391" s="387">
        <v>8</v>
      </c>
      <c r="G391" s="16">
        <f>'Dry_Litterbag Placem_Collection'!E98</f>
        <v>42937</v>
      </c>
      <c r="H391" s="92" t="str">
        <f>'Final data_for_R_analysis_Dryse'!J537</f>
        <v>G372</v>
      </c>
      <c r="I391" t="str">
        <f>'Final data_for_R_analysis_Dryse'!J757</f>
        <v>R698</v>
      </c>
      <c r="J391">
        <f>IFERROR(INDEX('Green_rooibos initial weight'!$C$5:$C$1749,MATCH(H391, 'Green_rooibos initial weight'!$A$5:$A$1749,0)),"")</f>
        <v>2.1539999999999999</v>
      </c>
      <c r="K391">
        <f>IFERROR(INDEX('Green_rooibos initial weight'!$C$5:$C$1749,MATCH(I391, 'Green_rooibos initial weight'!$A$5:$A$1749,0)),"")</f>
        <v>2.1779999999999999</v>
      </c>
      <c r="L391" s="195">
        <f t="shared" si="39"/>
        <v>1.9041999999999999</v>
      </c>
      <c r="M391" s="195">
        <f t="shared" si="40"/>
        <v>1.9281999999999999</v>
      </c>
      <c r="N391" s="16">
        <f>IF('Dry_Litterbag Placem_Collection'!G98="N.A","",'Dry_Litterbag Placem_Collection'!G98)</f>
        <v>43006</v>
      </c>
      <c r="O391" s="195">
        <f>IF(IFERROR(INDEX('Both teabags AfterDry'!$D$1:$D$839,MATCH(H391,'Both teabags AfterDry'!$A$1:$A$839,0)),"")="N.A","",(IFERROR(INDEX('Both teabags AfterDry'!$D$1:$D$839,MATCH(H391,'Both teabags AfterDry'!$A$1:$A$839,0)),"")))</f>
        <v>1.9605999999999999</v>
      </c>
      <c r="P391" s="195">
        <f>IF(IFERROR(INDEX('Both teabags AfterDry'!$D$1:$D$839,MATCH(I391,'Both teabags AfterDry'!$A$1:$A$839,0)),"")="N.A","",(IFERROR(INDEX('Both teabags AfterDry'!$D$1:$D$839,MATCH(I391,'Both teabags AfterDry'!$A$1:$A$839,0)),"")))</f>
        <v>2.0065</v>
      </c>
      <c r="Q391" s="195">
        <f t="shared" si="41"/>
        <v>1.8099999999999998</v>
      </c>
      <c r="R391" s="195">
        <f t="shared" si="41"/>
        <v>1.8558999999999999</v>
      </c>
      <c r="S391" s="195">
        <f t="shared" si="36"/>
        <v>4.9469593530091394E-2</v>
      </c>
      <c r="T391" s="195">
        <f t="shared" si="42"/>
        <v>3.2431372480534973E-2</v>
      </c>
      <c r="U391" s="195">
        <f t="shared" si="37"/>
        <v>0.96250388963800437</v>
      </c>
      <c r="V391">
        <f t="shared" si="38"/>
        <v>69</v>
      </c>
      <c r="W391" s="195">
        <f t="shared" si="43"/>
        <v>0.94124751362221926</v>
      </c>
      <c r="X391" s="195" t="str">
        <f t="shared" si="44"/>
        <v/>
      </c>
      <c r="Y391" s="255" t="str">
        <f>IF(ISNUMBER(SEARCH("C", 'Dry_Litterbag Placem_Collection'!V98)),"YES","NO")</f>
        <v>NO</v>
      </c>
      <c r="Z391" s="255" t="str">
        <f>IF(ISNUMBER(SEARCH("H", 'Dry_Litterbag Placem_Collection'!V98)),"YES","NO")</f>
        <v>NO</v>
      </c>
      <c r="AA391" s="255" t="str">
        <f>IF(ISNUMBER(SEARCH("R", 'Dry_Litterbag Placem_Collection'!V98)),"YES","NO")</f>
        <v>NO</v>
      </c>
      <c r="AB391" s="255" t="str">
        <f>IF(ISNUMBER(SEARCH("C", 'Dry_Litterbag Placem_Collection'!U98)),"YES","NO")</f>
        <v>NO</v>
      </c>
      <c r="AC391" s="255" t="str">
        <f>IF(ISNUMBER(SEARCH("H", 'Dry_Litterbag Placem_Collection'!U98)),"YES","NO")</f>
        <v>NO</v>
      </c>
      <c r="AD391" s="255" t="str">
        <f>IF(ISNUMBER(SEARCH("R", 'Dry_Litterbag Placem_Collection'!U98)),"YES","NO")</f>
        <v>NO</v>
      </c>
    </row>
    <row r="392" spans="2:30">
      <c r="B392" t="str">
        <f>'Final data_for_R_analysis_Dryse'!A538</f>
        <v>Dry</v>
      </c>
      <c r="C392" s="263">
        <f>'Final data_for_R_analysis_Dryse'!B538</f>
        <v>97</v>
      </c>
      <c r="D392" t="s">
        <v>3841</v>
      </c>
      <c r="E392" t="s">
        <v>25</v>
      </c>
      <c r="F392" s="386">
        <v>1</v>
      </c>
      <c r="G392" s="16">
        <f>'Dry_Litterbag Placem_Collection'!E99</f>
        <v>42939</v>
      </c>
      <c r="H392" s="92" t="str">
        <f>'Final data_for_R_analysis_Dryse'!J538</f>
        <v>G3</v>
      </c>
      <c r="I392" t="str">
        <f>'Final data_for_R_analysis_Dryse'!J758</f>
        <v>R47</v>
      </c>
      <c r="J392">
        <f>IFERROR(INDEX('Green_rooibos initial weight'!$C$5:$C$1749,MATCH(H392, 'Green_rooibos initial weight'!$A$5:$A$1749,0)),"")</f>
        <v>2.0470000000000002</v>
      </c>
      <c r="K392">
        <f>IFERROR(INDEX('Green_rooibos initial weight'!$C$5:$C$1749,MATCH(I392, 'Green_rooibos initial weight'!$A$5:$A$1749,0)),"")</f>
        <v>2.1850000000000001</v>
      </c>
      <c r="L392" s="195">
        <f t="shared" si="39"/>
        <v>1.7972000000000001</v>
      </c>
      <c r="M392" s="195">
        <f t="shared" si="40"/>
        <v>1.9352</v>
      </c>
      <c r="N392" s="16">
        <f>IF('Dry_Litterbag Placem_Collection'!G99="N.A","",'Dry_Litterbag Placem_Collection'!G99)</f>
        <v>43010</v>
      </c>
      <c r="O392" s="195" t="str">
        <f>IF(IFERROR(INDEX('Both teabags AfterDry'!$D$1:$D$839,MATCH(H392,'Both teabags AfterDry'!$A$1:$A$839,0)),"")="N.A","",(IFERROR(INDEX('Both teabags AfterDry'!$D$1:$D$839,MATCH(H392,'Both teabags AfterDry'!$A$1:$A$839,0)),"")))</f>
        <v/>
      </c>
      <c r="P392" s="195" t="str">
        <f>IF(IFERROR(INDEX('Both teabags AfterDry'!$D$1:$D$839,MATCH(I392,'Both teabags AfterDry'!$A$1:$A$839,0)),"")="N.A","",(IFERROR(INDEX('Both teabags AfterDry'!$D$1:$D$839,MATCH(I392,'Both teabags AfterDry'!$A$1:$A$839,0)),"")))</f>
        <v/>
      </c>
      <c r="Q392" s="195" t="str">
        <f t="shared" si="41"/>
        <v/>
      </c>
      <c r="R392" s="195" t="str">
        <f t="shared" si="41"/>
        <v/>
      </c>
      <c r="S392" s="195" t="str">
        <f t="shared" si="36"/>
        <v/>
      </c>
      <c r="T392" s="195" t="str">
        <f t="shared" si="42"/>
        <v/>
      </c>
      <c r="U392" s="195" t="str">
        <f t="shared" si="37"/>
        <v/>
      </c>
      <c r="V392">
        <f t="shared" si="38"/>
        <v>71</v>
      </c>
      <c r="W392" s="195" t="str">
        <f t="shared" si="43"/>
        <v/>
      </c>
      <c r="X392" s="195" t="str">
        <f t="shared" si="44"/>
        <v/>
      </c>
      <c r="Y392" s="255" t="str">
        <f>IF(ISNUMBER(SEARCH("C", 'Dry_Litterbag Placem_Collection'!V99)),"YES","NO")</f>
        <v>NO</v>
      </c>
      <c r="Z392" s="255" t="str">
        <f>IF(ISNUMBER(SEARCH("H", 'Dry_Litterbag Placem_Collection'!V99)),"YES","NO")</f>
        <v>NO</v>
      </c>
      <c r="AA392" s="255" t="str">
        <f>IF(ISNUMBER(SEARCH("R", 'Dry_Litterbag Placem_Collection'!V99)),"YES","NO")</f>
        <v>NO</v>
      </c>
      <c r="AB392" s="255" t="str">
        <f>IF(ISNUMBER(SEARCH("C", 'Dry_Litterbag Placem_Collection'!U99)),"YES","NO")</f>
        <v>NO</v>
      </c>
      <c r="AC392" s="255" t="str">
        <f>IF(ISNUMBER(SEARCH("H", 'Dry_Litterbag Placem_Collection'!U99)),"YES","NO")</f>
        <v>NO</v>
      </c>
      <c r="AD392" s="255" t="str">
        <f>IF(ISNUMBER(SEARCH("R", 'Dry_Litterbag Placem_Collection'!U99)),"YES","NO")</f>
        <v>NO</v>
      </c>
    </row>
    <row r="393" spans="2:30">
      <c r="B393" t="str">
        <f>'Final data_for_R_analysis_Dryse'!A539</f>
        <v>Dry</v>
      </c>
      <c r="C393" s="263">
        <f>'Final data_for_R_analysis_Dryse'!B539</f>
        <v>98</v>
      </c>
      <c r="D393" t="s">
        <v>3841</v>
      </c>
      <c r="E393" t="s">
        <v>25</v>
      </c>
      <c r="F393" s="386">
        <v>2</v>
      </c>
      <c r="G393" s="16">
        <f>'Dry_Litterbag Placem_Collection'!E100</f>
        <v>42939</v>
      </c>
      <c r="H393" s="92" t="str">
        <f>'Final data_for_R_analysis_Dryse'!J539</f>
        <v>G25</v>
      </c>
      <c r="I393" t="str">
        <f>'Final data_for_R_analysis_Dryse'!J759</f>
        <v>R707</v>
      </c>
      <c r="J393">
        <f>IFERROR(INDEX('Green_rooibos initial weight'!$C$5:$C$1749,MATCH(H393, 'Green_rooibos initial weight'!$A$5:$A$1749,0)),"")</f>
        <v>2.0230000000000001</v>
      </c>
      <c r="K393">
        <f>IFERROR(INDEX('Green_rooibos initial weight'!$C$5:$C$1749,MATCH(I393, 'Green_rooibos initial weight'!$A$5:$A$1749,0)),"")</f>
        <v>2.145</v>
      </c>
      <c r="L393" s="195">
        <f t="shared" si="39"/>
        <v>1.7732000000000001</v>
      </c>
      <c r="M393" s="195">
        <f t="shared" si="40"/>
        <v>1.8952</v>
      </c>
      <c r="N393" s="16">
        <f>IF('Dry_Litterbag Placem_Collection'!G100="N.A","",'Dry_Litterbag Placem_Collection'!G100)</f>
        <v>43010</v>
      </c>
      <c r="O393" s="195">
        <f>IF(IFERROR(INDEX('Both teabags AfterDry'!$D$1:$D$839,MATCH(H393,'Both teabags AfterDry'!$A$1:$A$839,0)),"")="N.A","",(IFERROR(INDEX('Both teabags AfterDry'!$D$1:$D$839,MATCH(H393,'Both teabags AfterDry'!$A$1:$A$839,0)),"")))</f>
        <v>0.995</v>
      </c>
      <c r="P393" s="195">
        <f>IF(IFERROR(INDEX('Both teabags AfterDry'!$D$1:$D$839,MATCH(I393,'Both teabags AfterDry'!$A$1:$A$839,0)),"")="N.A","",(IFERROR(INDEX('Both teabags AfterDry'!$D$1:$D$839,MATCH(I393,'Both teabags AfterDry'!$A$1:$A$839,0)),"")))</f>
        <v>1.8146</v>
      </c>
      <c r="Q393" s="195">
        <f t="shared" si="41"/>
        <v>0.84440000000000004</v>
      </c>
      <c r="R393" s="195">
        <f t="shared" si="41"/>
        <v>1.6639999999999999</v>
      </c>
      <c r="S393" s="195">
        <f t="shared" si="36"/>
        <v>0.52379878186329798</v>
      </c>
      <c r="T393" s="195">
        <f t="shared" si="42"/>
        <v>0.34339302563959684</v>
      </c>
      <c r="U393" s="195">
        <f t="shared" si="37"/>
        <v>0.87800759814267615</v>
      </c>
      <c r="V393">
        <f t="shared" si="38"/>
        <v>71</v>
      </c>
      <c r="W393" s="195">
        <f t="shared" si="43"/>
        <v>0.37791118543551305</v>
      </c>
      <c r="X393" s="195">
        <f t="shared" si="44"/>
        <v>6.1817155044274286E-3</v>
      </c>
      <c r="Y393" s="255" t="str">
        <f>IF(ISNUMBER(SEARCH("C", 'Dry_Litterbag Placem_Collection'!V100)),"YES","NO")</f>
        <v>NO</v>
      </c>
      <c r="Z393" s="255" t="str">
        <f>IF(ISNUMBER(SEARCH("H", 'Dry_Litterbag Placem_Collection'!V100)),"YES","NO")</f>
        <v>NO</v>
      </c>
      <c r="AA393" s="255" t="str">
        <f>IF(ISNUMBER(SEARCH("R", 'Dry_Litterbag Placem_Collection'!V100)),"YES","NO")</f>
        <v>NO</v>
      </c>
      <c r="AB393" s="255" t="str">
        <f>IF(ISNUMBER(SEARCH("C", 'Dry_Litterbag Placem_Collection'!U100)),"YES","NO")</f>
        <v>NO</v>
      </c>
      <c r="AC393" s="255" t="str">
        <f>IF(ISNUMBER(SEARCH("H", 'Dry_Litterbag Placem_Collection'!U100)),"YES","NO")</f>
        <v>NO</v>
      </c>
      <c r="AD393" s="255" t="str">
        <f>IF(ISNUMBER(SEARCH("R", 'Dry_Litterbag Placem_Collection'!U100)),"YES","NO")</f>
        <v>NO</v>
      </c>
    </row>
    <row r="394" spans="2:30">
      <c r="B394" t="str">
        <f>'Final data_for_R_analysis_Dryse'!A540</f>
        <v>Dry</v>
      </c>
      <c r="C394" s="263">
        <f>'Final data_for_R_analysis_Dryse'!B540</f>
        <v>99</v>
      </c>
      <c r="D394" t="s">
        <v>3841</v>
      </c>
      <c r="E394" t="s">
        <v>25</v>
      </c>
      <c r="F394" s="386">
        <v>3</v>
      </c>
      <c r="G394" s="16">
        <f>'Dry_Litterbag Placem_Collection'!E101</f>
        <v>0</v>
      </c>
      <c r="H394" s="92" t="str">
        <f>'Final data_for_R_analysis_Dryse'!J540</f>
        <v/>
      </c>
      <c r="I394" t="str">
        <f>'Final data_for_R_analysis_Dryse'!J760</f>
        <v/>
      </c>
      <c r="J394" t="str">
        <f>IFERROR(INDEX('Green_rooibos initial weight'!$C$5:$C$1749,MATCH(H394, 'Green_rooibos initial weight'!$A$5:$A$1749,0)),"")</f>
        <v/>
      </c>
      <c r="K394" t="str">
        <f>IFERROR(INDEX('Green_rooibos initial weight'!$C$5:$C$1749,MATCH(I394, 'Green_rooibos initial weight'!$A$5:$A$1749,0)),"")</f>
        <v/>
      </c>
      <c r="L394" s="195" t="str">
        <f t="shared" si="39"/>
        <v/>
      </c>
      <c r="M394" s="195" t="str">
        <f t="shared" si="40"/>
        <v/>
      </c>
      <c r="N394" s="16">
        <f>IF('Dry_Litterbag Placem_Collection'!G101="N.A","",'Dry_Litterbag Placem_Collection'!G101)</f>
        <v>0</v>
      </c>
      <c r="O394" s="195" t="str">
        <f>IF(IFERROR(INDEX('Both teabags AfterDry'!$D$1:$D$839,MATCH(H394,'Both teabags AfterDry'!$A$1:$A$839,0)),"")="N.A","",(IFERROR(INDEX('Both teabags AfterDry'!$D$1:$D$839,MATCH(H394,'Both teabags AfterDry'!$A$1:$A$839,0)),"")))</f>
        <v/>
      </c>
      <c r="P394" s="195" t="str">
        <f>IF(IFERROR(INDEX('Both teabags AfterDry'!$D$1:$D$839,MATCH(I394,'Both teabags AfterDry'!$A$1:$A$839,0)),"")="N.A","",(IFERROR(INDEX('Both teabags AfterDry'!$D$1:$D$839,MATCH(I394,'Both teabags AfterDry'!$A$1:$A$839,0)),"")))</f>
        <v/>
      </c>
      <c r="Q394" s="195" t="str">
        <f t="shared" si="41"/>
        <v/>
      </c>
      <c r="R394" s="195" t="str">
        <f t="shared" si="41"/>
        <v/>
      </c>
      <c r="S394" s="195" t="str">
        <f t="shared" si="36"/>
        <v/>
      </c>
      <c r="T394" s="195" t="str">
        <f t="shared" si="42"/>
        <v/>
      </c>
      <c r="U394" s="195" t="str">
        <f t="shared" si="37"/>
        <v/>
      </c>
      <c r="V394" t="str">
        <f t="shared" si="38"/>
        <v/>
      </c>
      <c r="W394" s="195" t="str">
        <f t="shared" si="43"/>
        <v/>
      </c>
      <c r="X394" s="195" t="str">
        <f t="shared" si="44"/>
        <v/>
      </c>
      <c r="Y394" s="255" t="str">
        <f>IF(ISNUMBER(SEARCH("C", 'Dry_Litterbag Placem_Collection'!V101)),"YES","NO")</f>
        <v>NO</v>
      </c>
      <c r="Z394" s="255" t="str">
        <f>IF(ISNUMBER(SEARCH("H", 'Dry_Litterbag Placem_Collection'!V101)),"YES","NO")</f>
        <v>NO</v>
      </c>
      <c r="AA394" s="255" t="str">
        <f>IF(ISNUMBER(SEARCH("R", 'Dry_Litterbag Placem_Collection'!V101)),"YES","NO")</f>
        <v>NO</v>
      </c>
      <c r="AB394" s="255" t="str">
        <f>IF(ISNUMBER(SEARCH("C", 'Dry_Litterbag Placem_Collection'!U101)),"YES","NO")</f>
        <v>NO</v>
      </c>
      <c r="AC394" s="255" t="str">
        <f>IF(ISNUMBER(SEARCH("H", 'Dry_Litterbag Placem_Collection'!U101)),"YES","NO")</f>
        <v>NO</v>
      </c>
      <c r="AD394" s="255" t="str">
        <f>IF(ISNUMBER(SEARCH("R", 'Dry_Litterbag Placem_Collection'!U101)),"YES","NO")</f>
        <v>NO</v>
      </c>
    </row>
    <row r="395" spans="2:30">
      <c r="B395" t="str">
        <f>'Final data_for_R_analysis_Dryse'!A541</f>
        <v>Dry</v>
      </c>
      <c r="C395" s="263">
        <f>'Final data_for_R_analysis_Dryse'!B541</f>
        <v>100</v>
      </c>
      <c r="D395" t="s">
        <v>3841</v>
      </c>
      <c r="E395" t="s">
        <v>25</v>
      </c>
      <c r="F395" s="387">
        <v>4</v>
      </c>
      <c r="G395" s="16">
        <f>'Dry_Litterbag Placem_Collection'!E102</f>
        <v>42939</v>
      </c>
      <c r="H395" s="92" t="str">
        <f>'Final data_for_R_analysis_Dryse'!J541</f>
        <v>G187</v>
      </c>
      <c r="I395" t="str">
        <f>'Final data_for_R_analysis_Dryse'!J761</f>
        <v>R641</v>
      </c>
      <c r="J395">
        <f>IFERROR(INDEX('Green_rooibos initial weight'!$C$5:$C$1749,MATCH(H395, 'Green_rooibos initial weight'!$A$5:$A$1749,0)),"")</f>
        <v>1.996</v>
      </c>
      <c r="K395">
        <f>IFERROR(INDEX('Green_rooibos initial weight'!$C$5:$C$1749,MATCH(I395, 'Green_rooibos initial weight'!$A$5:$A$1749,0)),"")</f>
        <v>2.1459999999999999</v>
      </c>
      <c r="L395" s="195">
        <f t="shared" si="39"/>
        <v>1.7462</v>
      </c>
      <c r="M395" s="195">
        <f t="shared" si="40"/>
        <v>1.8961999999999999</v>
      </c>
      <c r="N395" s="16">
        <f>IF('Dry_Litterbag Placem_Collection'!G102="N.A","",'Dry_Litterbag Placem_Collection'!G102)</f>
        <v>43010</v>
      </c>
      <c r="O395" s="195">
        <f>IF(IFERROR(INDEX('Both teabags AfterDry'!$D$1:$D$839,MATCH(H395,'Both teabags AfterDry'!$A$1:$A$839,0)),"")="N.A","",(IFERROR(INDEX('Both teabags AfterDry'!$D$1:$D$839,MATCH(H395,'Both teabags AfterDry'!$A$1:$A$839,0)),"")))</f>
        <v>1.1655</v>
      </c>
      <c r="P395" s="195">
        <f>IF(IFERROR(INDEX('Both teabags AfterDry'!$D$1:$D$839,MATCH(I395,'Both teabags AfterDry'!$A$1:$A$839,0)),"")="N.A","",(IFERROR(INDEX('Both teabags AfterDry'!$D$1:$D$839,MATCH(I395,'Both teabags AfterDry'!$A$1:$A$839,0)),"")))</f>
        <v>1.9777</v>
      </c>
      <c r="Q395" s="195">
        <f t="shared" si="41"/>
        <v>1.0148999999999999</v>
      </c>
      <c r="R395" s="195">
        <f t="shared" si="41"/>
        <v>1.8270999999999999</v>
      </c>
      <c r="S395" s="195">
        <f t="shared" si="36"/>
        <v>0.41879509792692704</v>
      </c>
      <c r="T395" s="195">
        <f t="shared" si="42"/>
        <v>0.27455450600435122</v>
      </c>
      <c r="U395" s="195">
        <f t="shared" si="37"/>
        <v>0.96355869634004854</v>
      </c>
      <c r="V395">
        <f t="shared" si="38"/>
        <v>71</v>
      </c>
      <c r="W395" s="195">
        <f t="shared" si="43"/>
        <v>0.50261864854284199</v>
      </c>
      <c r="X395" s="195">
        <f t="shared" si="44"/>
        <v>2.005684580619812E-3</v>
      </c>
      <c r="Y395" s="255" t="str">
        <f>IF(ISNUMBER(SEARCH("C", 'Dry_Litterbag Placem_Collection'!V102)),"YES","NO")</f>
        <v>NO</v>
      </c>
      <c r="Z395" s="255" t="str">
        <f>IF(ISNUMBER(SEARCH("H", 'Dry_Litterbag Placem_Collection'!V102)),"YES","NO")</f>
        <v>NO</v>
      </c>
      <c r="AA395" s="255" t="str">
        <f>IF(ISNUMBER(SEARCH("R", 'Dry_Litterbag Placem_Collection'!V102)),"YES","NO")</f>
        <v>NO</v>
      </c>
      <c r="AB395" s="255" t="str">
        <f>IF(ISNUMBER(SEARCH("C", 'Dry_Litterbag Placem_Collection'!U102)),"YES","NO")</f>
        <v>NO</v>
      </c>
      <c r="AC395" s="255" t="str">
        <f>IF(ISNUMBER(SEARCH("H", 'Dry_Litterbag Placem_Collection'!U102)),"YES","NO")</f>
        <v>NO</v>
      </c>
      <c r="AD395" s="255" t="str">
        <f>IF(ISNUMBER(SEARCH("R", 'Dry_Litterbag Placem_Collection'!U102)),"YES","NO")</f>
        <v>NO</v>
      </c>
    </row>
    <row r="396" spans="2:30">
      <c r="B396" t="str">
        <f>'Final data_for_R_analysis_Dryse'!A542</f>
        <v>Dry</v>
      </c>
      <c r="C396" s="263">
        <f>'Final data_for_R_analysis_Dryse'!B542</f>
        <v>101</v>
      </c>
      <c r="D396" t="s">
        <v>3841</v>
      </c>
      <c r="E396" t="s">
        <v>25</v>
      </c>
      <c r="F396" s="387">
        <v>5</v>
      </c>
      <c r="G396" s="16">
        <f>'Dry_Litterbag Placem_Collection'!E103</f>
        <v>42939</v>
      </c>
      <c r="H396" s="92" t="str">
        <f>'Final data_for_R_analysis_Dryse'!J542</f>
        <v>G398</v>
      </c>
      <c r="I396" t="str">
        <f>'Final data_for_R_analysis_Dryse'!J762</f>
        <v>R245</v>
      </c>
      <c r="J396">
        <f>IFERROR(INDEX('Green_rooibos initial weight'!$C$5:$C$1749,MATCH(H396, 'Green_rooibos initial weight'!$A$5:$A$1749,0)),"")</f>
        <v>1.9870000000000001</v>
      </c>
      <c r="K396">
        <f>IFERROR(INDEX('Green_rooibos initial weight'!$C$5:$C$1749,MATCH(I396, 'Green_rooibos initial weight'!$A$5:$A$1749,0)),"")</f>
        <v>2.258</v>
      </c>
      <c r="L396" s="195">
        <f t="shared" si="39"/>
        <v>1.7372000000000001</v>
      </c>
      <c r="M396" s="195">
        <f t="shared" si="40"/>
        <v>2.0082</v>
      </c>
      <c r="N396" s="16">
        <f>IF('Dry_Litterbag Placem_Collection'!G103="N.A","",'Dry_Litterbag Placem_Collection'!G103)</f>
        <v>43010</v>
      </c>
      <c r="O396" s="195">
        <f>IF(IFERROR(INDEX('Both teabags AfterDry'!$D$1:$D$839,MATCH(H396,'Both teabags AfterDry'!$A$1:$A$839,0)),"")="N.A","",(IFERROR(INDEX('Both teabags AfterDry'!$D$1:$D$839,MATCH(H396,'Both teabags AfterDry'!$A$1:$A$839,0)),"")))</f>
        <v>1.0217000000000001</v>
      </c>
      <c r="P396" s="195">
        <f>IF(IFERROR(INDEX('Both teabags AfterDry'!$D$1:$D$839,MATCH(I396,'Both teabags AfterDry'!$A$1:$A$839,0)),"")="N.A","",(IFERROR(INDEX('Both teabags AfterDry'!$D$1:$D$839,MATCH(I396,'Both teabags AfterDry'!$A$1:$A$839,0)),"")))</f>
        <v>1.8418000000000001</v>
      </c>
      <c r="Q396" s="195">
        <f t="shared" si="41"/>
        <v>0.87109999999999999</v>
      </c>
      <c r="R396" s="195">
        <f t="shared" si="41"/>
        <v>1.6912</v>
      </c>
      <c r="S396" s="195">
        <f t="shared" ref="S396:S459" si="45">IFERROR(1-Q396/L396,"")</f>
        <v>0.49856090260188812</v>
      </c>
      <c r="T396" s="195">
        <f t="shared" si="42"/>
        <v>0.32684752759648728</v>
      </c>
      <c r="U396" s="195">
        <f t="shared" ref="U396:U459" si="46">IFERROR(R396/M396,"")</f>
        <v>0.84214719649437308</v>
      </c>
      <c r="V396">
        <f t="shared" ref="V396:V459" si="47">IF((N396-G396)&gt;0,(IFERROR(N396-G396,"")),"")</f>
        <v>71</v>
      </c>
      <c r="W396" s="195">
        <f t="shared" si="43"/>
        <v>0.40788491377447966</v>
      </c>
      <c r="X396" s="195">
        <f t="shared" si="44"/>
        <v>9.2905111218978178E-3</v>
      </c>
      <c r="Y396" s="255" t="str">
        <f>IF(ISNUMBER(SEARCH("C", 'Dry_Litterbag Placem_Collection'!V103)),"YES","NO")</f>
        <v>NO</v>
      </c>
      <c r="Z396" s="255" t="str">
        <f>IF(ISNUMBER(SEARCH("H", 'Dry_Litterbag Placem_Collection'!V103)),"YES","NO")</f>
        <v>NO</v>
      </c>
      <c r="AA396" s="255" t="str">
        <f>IF(ISNUMBER(SEARCH("R", 'Dry_Litterbag Placem_Collection'!V103)),"YES","NO")</f>
        <v>NO</v>
      </c>
      <c r="AB396" s="255" t="str">
        <f>IF(ISNUMBER(SEARCH("C", 'Dry_Litterbag Placem_Collection'!U103)),"YES","NO")</f>
        <v>NO</v>
      </c>
      <c r="AC396" s="255" t="str">
        <f>IF(ISNUMBER(SEARCH("H", 'Dry_Litterbag Placem_Collection'!U103)),"YES","NO")</f>
        <v>NO</v>
      </c>
      <c r="AD396" s="255" t="str">
        <f>IF(ISNUMBER(SEARCH("R", 'Dry_Litterbag Placem_Collection'!U103)),"YES","NO")</f>
        <v>NO</v>
      </c>
    </row>
    <row r="397" spans="2:30">
      <c r="B397" t="str">
        <f>'Final data_for_R_analysis_Dryse'!A543</f>
        <v>Dry</v>
      </c>
      <c r="C397" s="263">
        <f>'Final data_for_R_analysis_Dryse'!B543</f>
        <v>102</v>
      </c>
      <c r="D397" t="s">
        <v>3841</v>
      </c>
      <c r="E397" t="s">
        <v>25</v>
      </c>
      <c r="F397" s="387">
        <v>6</v>
      </c>
      <c r="G397" s="16">
        <f>'Dry_Litterbag Placem_Collection'!E104</f>
        <v>42939</v>
      </c>
      <c r="H397" s="92" t="str">
        <f>'Final data_for_R_analysis_Dryse'!J543</f>
        <v>G120</v>
      </c>
      <c r="I397" t="str">
        <f>'Final data_for_R_analysis_Dryse'!J763</f>
        <v>R714</v>
      </c>
      <c r="J397">
        <f>IFERROR(INDEX('Green_rooibos initial weight'!$C$5:$C$1749,MATCH(H397, 'Green_rooibos initial weight'!$A$5:$A$1749,0)),"")</f>
        <v>2.0449999999999999</v>
      </c>
      <c r="K397">
        <f>IFERROR(INDEX('Green_rooibos initial weight'!$C$5:$C$1749,MATCH(I397, 'Green_rooibos initial weight'!$A$5:$A$1749,0)),"")</f>
        <v>2.1560000000000001</v>
      </c>
      <c r="L397" s="195">
        <f t="shared" ref="L397:L460" si="48">IFERROR(IF(J397&gt;0,(J397*$F$31-($F$29+$F$30)),""),"")</f>
        <v>1.7951999999999999</v>
      </c>
      <c r="M397" s="195">
        <f t="shared" ref="M397:M460" si="49">IFERROR(IF(K397&gt;0,(K397*$F$32-($F$29+$F$30)),""),"")</f>
        <v>1.9062000000000001</v>
      </c>
      <c r="N397" s="16">
        <f>IF('Dry_Litterbag Placem_Collection'!G104="N.A","",'Dry_Litterbag Placem_Collection'!G104)</f>
        <v>43010</v>
      </c>
      <c r="O397" s="195">
        <f>IF(IFERROR(INDEX('Both teabags AfterDry'!$D$1:$D$839,MATCH(H397,'Both teabags AfterDry'!$A$1:$A$839,0)),"")="N.A","",(IFERROR(INDEX('Both teabags AfterDry'!$D$1:$D$839,MATCH(H397,'Both teabags AfterDry'!$A$1:$A$839,0)),"")))</f>
        <v>1.0569999999999999</v>
      </c>
      <c r="P397" s="195">
        <f>IF(IFERROR(INDEX('Both teabags AfterDry'!$D$1:$D$839,MATCH(I397,'Both teabags AfterDry'!$A$1:$A$839,0)),"")="N.A","",(IFERROR(INDEX('Both teabags AfterDry'!$D$1:$D$839,MATCH(I397,'Both teabags AfterDry'!$A$1:$A$839,0)),"")))</f>
        <v>1.8105</v>
      </c>
      <c r="Q397" s="195">
        <f t="shared" ref="Q397:R460" si="50">IFERROR(IF(O397&gt;0,O397-($F$29),""),"")</f>
        <v>0.90639999999999987</v>
      </c>
      <c r="R397" s="195">
        <f t="shared" si="50"/>
        <v>1.6598999999999999</v>
      </c>
      <c r="S397" s="195">
        <f t="shared" si="45"/>
        <v>0.49509803921568629</v>
      </c>
      <c r="T397" s="195">
        <f t="shared" ref="T397:T460" si="51">IFERROR($F$26*(1-W397),"")</f>
        <v>0.32457733687299151</v>
      </c>
      <c r="U397" s="195">
        <f t="shared" si="46"/>
        <v>0.87079005350960015</v>
      </c>
      <c r="V397">
        <f t="shared" si="47"/>
        <v>71</v>
      </c>
      <c r="W397" s="195">
        <f t="shared" ref="W397:W460" si="52">IFERROR(1-(S397/$F$25),"")</f>
        <v>0.41199757812863858</v>
      </c>
      <c r="X397" s="195">
        <f t="shared" ref="X397:X460" si="53">IFERROR(LN(T397/(U397-(1-T397)))/V397,"")</f>
        <v>7.1498872508218786E-3</v>
      </c>
      <c r="Y397" s="255" t="str">
        <f>IF(ISNUMBER(SEARCH("C", 'Dry_Litterbag Placem_Collection'!V104)),"YES","NO")</f>
        <v>NO</v>
      </c>
      <c r="Z397" s="255" t="str">
        <f>IF(ISNUMBER(SEARCH("H", 'Dry_Litterbag Placem_Collection'!V104)),"YES","NO")</f>
        <v>NO</v>
      </c>
      <c r="AA397" s="255" t="str">
        <f>IF(ISNUMBER(SEARCH("R", 'Dry_Litterbag Placem_Collection'!V104)),"YES","NO")</f>
        <v>NO</v>
      </c>
      <c r="AB397" s="255" t="str">
        <f>IF(ISNUMBER(SEARCH("C", 'Dry_Litterbag Placem_Collection'!U104)),"YES","NO")</f>
        <v>NO</v>
      </c>
      <c r="AC397" s="255" t="str">
        <f>IF(ISNUMBER(SEARCH("H", 'Dry_Litterbag Placem_Collection'!U104)),"YES","NO")</f>
        <v>NO</v>
      </c>
      <c r="AD397" s="255" t="str">
        <f>IF(ISNUMBER(SEARCH("R", 'Dry_Litterbag Placem_Collection'!U104)),"YES","NO")</f>
        <v>NO</v>
      </c>
    </row>
    <row r="398" spans="2:30">
      <c r="B398" t="str">
        <f>'Final data_for_R_analysis_Dryse'!A544</f>
        <v>Dry</v>
      </c>
      <c r="C398" s="263">
        <f>'Final data_for_R_analysis_Dryse'!B544</f>
        <v>103</v>
      </c>
      <c r="D398" t="s">
        <v>3841</v>
      </c>
      <c r="E398" t="s">
        <v>25</v>
      </c>
      <c r="F398" s="387">
        <v>7</v>
      </c>
      <c r="G398" s="16">
        <f>'Dry_Litterbag Placem_Collection'!E105</f>
        <v>42939</v>
      </c>
      <c r="H398" s="92" t="str">
        <f>'Final data_for_R_analysis_Dryse'!J544</f>
        <v>G145</v>
      </c>
      <c r="I398" t="str">
        <f>'Final data_for_R_analysis_Dryse'!J764</f>
        <v>R701</v>
      </c>
      <c r="J398">
        <f>IFERROR(INDEX('Green_rooibos initial weight'!$C$5:$C$1749,MATCH(H398, 'Green_rooibos initial weight'!$A$5:$A$1749,0)),"")</f>
        <v>2.044</v>
      </c>
      <c r="K398">
        <f>IFERROR(INDEX('Green_rooibos initial weight'!$C$5:$C$1749,MATCH(I398, 'Green_rooibos initial weight'!$A$5:$A$1749,0)),"")</f>
        <v>2.1549999999999998</v>
      </c>
      <c r="L398" s="195">
        <f t="shared" si="48"/>
        <v>1.7942</v>
      </c>
      <c r="M398" s="195">
        <f t="shared" si="49"/>
        <v>1.9051999999999998</v>
      </c>
      <c r="N398" s="16">
        <f>IF('Dry_Litterbag Placem_Collection'!G105="N.A","",'Dry_Litterbag Placem_Collection'!G105)</f>
        <v>43010</v>
      </c>
      <c r="O398" s="195">
        <f>IF(IFERROR(INDEX('Both teabags AfterDry'!$D$1:$D$839,MATCH(H398,'Both teabags AfterDry'!$A$1:$A$839,0)),"")="N.A","",(IFERROR(INDEX('Both teabags AfterDry'!$D$1:$D$839,MATCH(H398,'Both teabags AfterDry'!$A$1:$A$839,0)),"")))</f>
        <v>1.0654999999999999</v>
      </c>
      <c r="P398" s="195">
        <f>IF(IFERROR(INDEX('Both teabags AfterDry'!$D$1:$D$839,MATCH(I398,'Both teabags AfterDry'!$A$1:$A$839,0)),"")="N.A","",(IFERROR(INDEX('Both teabags AfterDry'!$D$1:$D$839,MATCH(I398,'Both teabags AfterDry'!$A$1:$A$839,0)),"")))</f>
        <v>1.8272999999999999</v>
      </c>
      <c r="Q398" s="195">
        <f t="shared" si="50"/>
        <v>0.91489999999999982</v>
      </c>
      <c r="R398" s="195">
        <f t="shared" si="50"/>
        <v>1.6766999999999999</v>
      </c>
      <c r="S398" s="195">
        <f t="shared" si="45"/>
        <v>0.49007914390814855</v>
      </c>
      <c r="T398" s="195">
        <f t="shared" si="51"/>
        <v>0.32128703971175537</v>
      </c>
      <c r="U398" s="195">
        <f t="shared" si="46"/>
        <v>0.88006508503044301</v>
      </c>
      <c r="V398">
        <f t="shared" si="47"/>
        <v>71</v>
      </c>
      <c r="W398" s="195">
        <f t="shared" si="52"/>
        <v>0.41795826139174752</v>
      </c>
      <c r="X398" s="195">
        <f t="shared" si="53"/>
        <v>6.5814040641289174E-3</v>
      </c>
      <c r="Y398" s="255" t="str">
        <f>IF(ISNUMBER(SEARCH("C", 'Dry_Litterbag Placem_Collection'!V105)),"YES","NO")</f>
        <v>NO</v>
      </c>
      <c r="Z398" s="255" t="str">
        <f>IF(ISNUMBER(SEARCH("H", 'Dry_Litterbag Placem_Collection'!V105)),"YES","NO")</f>
        <v>NO</v>
      </c>
      <c r="AA398" s="255" t="str">
        <f>IF(ISNUMBER(SEARCH("R", 'Dry_Litterbag Placem_Collection'!V105)),"YES","NO")</f>
        <v>NO</v>
      </c>
      <c r="AB398" s="255" t="str">
        <f>IF(ISNUMBER(SEARCH("C", 'Dry_Litterbag Placem_Collection'!U105)),"YES","NO")</f>
        <v>NO</v>
      </c>
      <c r="AC398" s="255" t="str">
        <f>IF(ISNUMBER(SEARCH("H", 'Dry_Litterbag Placem_Collection'!U105)),"YES","NO")</f>
        <v>NO</v>
      </c>
      <c r="AD398" s="255" t="str">
        <f>IF(ISNUMBER(SEARCH("R", 'Dry_Litterbag Placem_Collection'!U105)),"YES","NO")</f>
        <v>NO</v>
      </c>
    </row>
    <row r="399" spans="2:30">
      <c r="B399" t="str">
        <f>'Final data_for_R_analysis_Dryse'!A545</f>
        <v>Dry</v>
      </c>
      <c r="C399" s="263">
        <f>'Final data_for_R_analysis_Dryse'!B545</f>
        <v>104</v>
      </c>
      <c r="D399" t="s">
        <v>3841</v>
      </c>
      <c r="E399" t="s">
        <v>25</v>
      </c>
      <c r="F399" s="387">
        <v>8</v>
      </c>
      <c r="G399" s="16">
        <f>'Dry_Litterbag Placem_Collection'!E106</f>
        <v>42939</v>
      </c>
      <c r="H399" s="92" t="str">
        <f>'Final data_for_R_analysis_Dryse'!J545</f>
        <v>G76</v>
      </c>
      <c r="I399" t="str">
        <f>'Final data_for_R_analysis_Dryse'!J765</f>
        <v>R365</v>
      </c>
      <c r="J399">
        <f>IFERROR(INDEX('Green_rooibos initial weight'!$C$5:$C$1749,MATCH(H399, 'Green_rooibos initial weight'!$A$5:$A$1749,0)),"")</f>
        <v>2.0129999999999999</v>
      </c>
      <c r="K399">
        <f>IFERROR(INDEX('Green_rooibos initial weight'!$C$5:$C$1749,MATCH(I399, 'Green_rooibos initial weight'!$A$5:$A$1749,0)),"")</f>
        <v>2.2130000000000001</v>
      </c>
      <c r="L399" s="195">
        <f t="shared" si="48"/>
        <v>1.7631999999999999</v>
      </c>
      <c r="M399" s="195">
        <f t="shared" si="49"/>
        <v>1.9632000000000001</v>
      </c>
      <c r="N399" s="16">
        <f>IF('Dry_Litterbag Placem_Collection'!G106="N.A","",'Dry_Litterbag Placem_Collection'!G106)</f>
        <v>43010</v>
      </c>
      <c r="O399" s="195">
        <f>IF(IFERROR(INDEX('Both teabags AfterDry'!$D$1:$D$839,MATCH(H399,'Both teabags AfterDry'!$A$1:$A$839,0)),"")="N.A","",(IFERROR(INDEX('Both teabags AfterDry'!$D$1:$D$839,MATCH(H399,'Both teabags AfterDry'!$A$1:$A$839,0)),"")))</f>
        <v>1.2876000000000001</v>
      </c>
      <c r="P399" s="195">
        <f>IF(IFERROR(INDEX('Both teabags AfterDry'!$D$1:$D$839,MATCH(I399,'Both teabags AfterDry'!$A$1:$A$839,0)),"")="N.A","",(IFERROR(INDEX('Both teabags AfterDry'!$D$1:$D$839,MATCH(I399,'Both teabags AfterDry'!$A$1:$A$839,0)),"")))</f>
        <v>1.9468000000000001</v>
      </c>
      <c r="Q399" s="195">
        <f t="shared" si="50"/>
        <v>1.137</v>
      </c>
      <c r="R399" s="195">
        <f t="shared" si="50"/>
        <v>1.7962</v>
      </c>
      <c r="S399" s="195">
        <f t="shared" si="45"/>
        <v>0.35514972776769504</v>
      </c>
      <c r="T399" s="195">
        <f t="shared" si="51"/>
        <v>0.23282975027050795</v>
      </c>
      <c r="U399" s="195">
        <f t="shared" si="46"/>
        <v>0.91493480032599839</v>
      </c>
      <c r="V399">
        <f t="shared" si="47"/>
        <v>71</v>
      </c>
      <c r="W399" s="195">
        <f t="shared" si="52"/>
        <v>0.57820697414763056</v>
      </c>
      <c r="X399" s="195">
        <f t="shared" si="53"/>
        <v>6.404047441108938E-3</v>
      </c>
      <c r="Y399" s="255" t="str">
        <f>IF(ISNUMBER(SEARCH("C", 'Dry_Litterbag Placem_Collection'!V106)),"YES","NO")</f>
        <v>NO</v>
      </c>
      <c r="Z399" s="255" t="str">
        <f>IF(ISNUMBER(SEARCH("H", 'Dry_Litterbag Placem_Collection'!V106)),"YES","NO")</f>
        <v>NO</v>
      </c>
      <c r="AA399" s="255" t="str">
        <f>IF(ISNUMBER(SEARCH("R", 'Dry_Litterbag Placem_Collection'!V106)),"YES","NO")</f>
        <v>NO</v>
      </c>
      <c r="AB399" s="255" t="str">
        <f>IF(ISNUMBER(SEARCH("C", 'Dry_Litterbag Placem_Collection'!U106)),"YES","NO")</f>
        <v>NO</v>
      </c>
      <c r="AC399" s="255" t="str">
        <f>IF(ISNUMBER(SEARCH("H", 'Dry_Litterbag Placem_Collection'!U106)),"YES","NO")</f>
        <v>NO</v>
      </c>
      <c r="AD399" s="255" t="str">
        <f>IF(ISNUMBER(SEARCH("R", 'Dry_Litterbag Placem_Collection'!U106)),"YES","NO")</f>
        <v>NO</v>
      </c>
    </row>
    <row r="400" spans="2:30">
      <c r="B400" t="str">
        <f>'Final data_for_R_analysis_Dryse'!A546</f>
        <v>Dry</v>
      </c>
      <c r="C400" s="263">
        <f>'Final data_for_R_analysis_Dryse'!B546</f>
        <v>105</v>
      </c>
      <c r="D400" t="s">
        <v>3843</v>
      </c>
      <c r="E400" t="s">
        <v>25</v>
      </c>
      <c r="F400" s="386">
        <v>1</v>
      </c>
      <c r="G400" s="16">
        <f>'Dry_Litterbag Placem_Collection'!E107</f>
        <v>42939</v>
      </c>
      <c r="H400" s="92" t="str">
        <f>'Final data_for_R_analysis_Dryse'!J546</f>
        <v>G57</v>
      </c>
      <c r="I400" t="str">
        <f>'Final data_for_R_analysis_Dryse'!J766</f>
        <v>R212</v>
      </c>
      <c r="J400">
        <f>IFERROR(INDEX('Green_rooibos initial weight'!$C$5:$C$1749,MATCH(H400, 'Green_rooibos initial weight'!$A$5:$A$1749,0)),"")</f>
        <v>2.077</v>
      </c>
      <c r="K400">
        <f>IFERROR(INDEX('Green_rooibos initial weight'!$C$5:$C$1749,MATCH(I400, 'Green_rooibos initial weight'!$A$5:$A$1749,0)),"")</f>
        <v>2.2519999999999998</v>
      </c>
      <c r="L400" s="195">
        <f t="shared" si="48"/>
        <v>1.8271999999999999</v>
      </c>
      <c r="M400" s="195">
        <f t="shared" si="49"/>
        <v>2.0021999999999998</v>
      </c>
      <c r="N400" s="16">
        <f>IF('Dry_Litterbag Placem_Collection'!G107="N.A","",'Dry_Litterbag Placem_Collection'!G107)</f>
        <v>43010</v>
      </c>
      <c r="O400" s="195">
        <f>IF(IFERROR(INDEX('Both teabags AfterDry'!$D$1:$D$839,MATCH(H400,'Both teabags AfterDry'!$A$1:$A$839,0)),"")="N.A","",(IFERROR(INDEX('Both teabags AfterDry'!$D$1:$D$839,MATCH(H400,'Both teabags AfterDry'!$A$1:$A$839,0)),"")))</f>
        <v>1.0114000000000001</v>
      </c>
      <c r="P400" s="195">
        <f>IF(IFERROR(INDEX('Both teabags AfterDry'!$D$1:$D$839,MATCH(I400,'Both teabags AfterDry'!$A$1:$A$839,0)),"")="N.A","",(IFERROR(INDEX('Both teabags AfterDry'!$D$1:$D$839,MATCH(I400,'Both teabags AfterDry'!$A$1:$A$839,0)),"")))</f>
        <v>1.9135</v>
      </c>
      <c r="Q400" s="195">
        <f t="shared" si="50"/>
        <v>0.86080000000000001</v>
      </c>
      <c r="R400" s="195">
        <f t="shared" si="50"/>
        <v>1.7628999999999999</v>
      </c>
      <c r="S400" s="195">
        <f t="shared" si="45"/>
        <v>0.52889667250437822</v>
      </c>
      <c r="T400" s="195">
        <f t="shared" si="51"/>
        <v>0.34673511071545937</v>
      </c>
      <c r="U400" s="195">
        <f t="shared" si="46"/>
        <v>0.88048147038257918</v>
      </c>
      <c r="V400">
        <f t="shared" si="47"/>
        <v>71</v>
      </c>
      <c r="W400" s="195">
        <f t="shared" si="52"/>
        <v>0.37185668348648671</v>
      </c>
      <c r="X400" s="195">
        <f t="shared" si="53"/>
        <v>5.9529218924882256E-3</v>
      </c>
      <c r="Y400" s="255" t="str">
        <f>IF(ISNUMBER(SEARCH("C", 'Dry_Litterbag Placem_Collection'!V107)),"YES","NO")</f>
        <v>NO</v>
      </c>
      <c r="Z400" s="255" t="str">
        <f>IF(ISNUMBER(SEARCH("H", 'Dry_Litterbag Placem_Collection'!V107)),"YES","NO")</f>
        <v>NO</v>
      </c>
      <c r="AA400" s="255" t="str">
        <f>IF(ISNUMBER(SEARCH("R", 'Dry_Litterbag Placem_Collection'!V107)),"YES","NO")</f>
        <v>NO</v>
      </c>
      <c r="AB400" s="255" t="str">
        <f>IF(ISNUMBER(SEARCH("C", 'Dry_Litterbag Placem_Collection'!U107)),"YES","NO")</f>
        <v>NO</v>
      </c>
      <c r="AC400" s="255" t="str">
        <f>IF(ISNUMBER(SEARCH("H", 'Dry_Litterbag Placem_Collection'!U107)),"YES","NO")</f>
        <v>NO</v>
      </c>
      <c r="AD400" s="255" t="str">
        <f>IF(ISNUMBER(SEARCH("R", 'Dry_Litterbag Placem_Collection'!U107)),"YES","NO")</f>
        <v>NO</v>
      </c>
    </row>
    <row r="401" spans="2:30">
      <c r="B401" t="str">
        <f>'Final data_for_R_analysis_Dryse'!A547</f>
        <v>Dry</v>
      </c>
      <c r="C401" s="263">
        <f>'Final data_for_R_analysis_Dryse'!B547</f>
        <v>106</v>
      </c>
      <c r="D401" t="s">
        <v>3843</v>
      </c>
      <c r="E401" t="s">
        <v>25</v>
      </c>
      <c r="F401" s="386">
        <v>2</v>
      </c>
      <c r="G401" s="16">
        <f>'Dry_Litterbag Placem_Collection'!E108</f>
        <v>42939</v>
      </c>
      <c r="H401" s="92" t="str">
        <f>'Final data_for_R_analysis_Dryse'!J547</f>
        <v>G167</v>
      </c>
      <c r="I401" t="str">
        <f>'Final data_for_R_analysis_Dryse'!J767</f>
        <v>R66</v>
      </c>
      <c r="J401">
        <f>IFERROR(INDEX('Green_rooibos initial weight'!$C$5:$C$1749,MATCH(H401, 'Green_rooibos initial weight'!$A$5:$A$1749,0)),"")</f>
        <v>1.996</v>
      </c>
      <c r="K401">
        <f>IFERROR(INDEX('Green_rooibos initial weight'!$C$5:$C$1749,MATCH(I401, 'Green_rooibos initial weight'!$A$5:$A$1749,0)),"")</f>
        <v>2.1120000000000001</v>
      </c>
      <c r="L401" s="195">
        <f t="shared" si="48"/>
        <v>1.7462</v>
      </c>
      <c r="M401" s="195">
        <f t="shared" si="49"/>
        <v>1.8622000000000001</v>
      </c>
      <c r="N401" s="16">
        <f>IF('Dry_Litterbag Placem_Collection'!G108="N.A","",'Dry_Litterbag Placem_Collection'!G108)</f>
        <v>43010</v>
      </c>
      <c r="O401" s="195">
        <f>IF(IFERROR(INDEX('Both teabags AfterDry'!$D$1:$D$839,MATCH(H401,'Both teabags AfterDry'!$A$1:$A$839,0)),"")="N.A","",(IFERROR(INDEX('Both teabags AfterDry'!$D$1:$D$839,MATCH(H401,'Both teabags AfterDry'!$A$1:$A$839,0)),"")))</f>
        <v>0.98309999999999997</v>
      </c>
      <c r="P401" s="195">
        <f>IF(IFERROR(INDEX('Both teabags AfterDry'!$D$1:$D$839,MATCH(I401,'Both teabags AfterDry'!$A$1:$A$839,0)),"")="N.A","",(IFERROR(INDEX('Both teabags AfterDry'!$D$1:$D$839,MATCH(I401,'Both teabags AfterDry'!$A$1:$A$839,0)),"")))</f>
        <v>1.7972999999999999</v>
      </c>
      <c r="Q401" s="195">
        <f t="shared" si="50"/>
        <v>0.83250000000000002</v>
      </c>
      <c r="R401" s="195">
        <f t="shared" si="50"/>
        <v>1.6466999999999998</v>
      </c>
      <c r="S401" s="195">
        <f t="shared" si="45"/>
        <v>0.52325048677127473</v>
      </c>
      <c r="T401" s="195">
        <f t="shared" si="51"/>
        <v>0.34303357327523004</v>
      </c>
      <c r="U401" s="195">
        <f t="shared" si="46"/>
        <v>0.88427666201267308</v>
      </c>
      <c r="V401">
        <f t="shared" si="47"/>
        <v>71</v>
      </c>
      <c r="W401" s="195">
        <f t="shared" si="52"/>
        <v>0.37856236725501813</v>
      </c>
      <c r="X401" s="195">
        <f t="shared" si="53"/>
        <v>5.795951604745061E-3</v>
      </c>
      <c r="Y401" s="255" t="str">
        <f>IF(ISNUMBER(SEARCH("C", 'Dry_Litterbag Placem_Collection'!V108)),"YES","NO")</f>
        <v>NO</v>
      </c>
      <c r="Z401" s="255" t="str">
        <f>IF(ISNUMBER(SEARCH("H", 'Dry_Litterbag Placem_Collection'!V108)),"YES","NO")</f>
        <v>NO</v>
      </c>
      <c r="AA401" s="255" t="str">
        <f>IF(ISNUMBER(SEARCH("R", 'Dry_Litterbag Placem_Collection'!V108)),"YES","NO")</f>
        <v>NO</v>
      </c>
      <c r="AB401" s="255" t="str">
        <f>IF(ISNUMBER(SEARCH("C", 'Dry_Litterbag Placem_Collection'!U108)),"YES","NO")</f>
        <v>NO</v>
      </c>
      <c r="AC401" s="255" t="str">
        <f>IF(ISNUMBER(SEARCH("H", 'Dry_Litterbag Placem_Collection'!U108)),"YES","NO")</f>
        <v>NO</v>
      </c>
      <c r="AD401" s="255" t="str">
        <f>IF(ISNUMBER(SEARCH("R", 'Dry_Litterbag Placem_Collection'!U108)),"YES","NO")</f>
        <v>NO</v>
      </c>
    </row>
    <row r="402" spans="2:30">
      <c r="B402" t="str">
        <f>'Final data_for_R_analysis_Dryse'!A548</f>
        <v>Dry</v>
      </c>
      <c r="C402" s="263">
        <f>'Final data_for_R_analysis_Dryse'!B548</f>
        <v>107</v>
      </c>
      <c r="D402" t="s">
        <v>3843</v>
      </c>
      <c r="E402" t="s">
        <v>25</v>
      </c>
      <c r="F402" s="386">
        <v>3</v>
      </c>
      <c r="G402" s="16">
        <f>'Dry_Litterbag Placem_Collection'!E109</f>
        <v>42939</v>
      </c>
      <c r="H402" s="92" t="str">
        <f>'Final data_for_R_analysis_Dryse'!J548</f>
        <v>G208</v>
      </c>
      <c r="I402" t="str">
        <f>'Final data_for_R_analysis_Dryse'!J768</f>
        <v>R347</v>
      </c>
      <c r="J402">
        <f>IFERROR(INDEX('Green_rooibos initial weight'!$C$5:$C$1749,MATCH(H402, 'Green_rooibos initial weight'!$A$5:$A$1749,0)),"")</f>
        <v>2.0019999999999998</v>
      </c>
      <c r="K402">
        <f>IFERROR(INDEX('Green_rooibos initial weight'!$C$5:$C$1749,MATCH(I402, 'Green_rooibos initial weight'!$A$5:$A$1749,0)),"")</f>
        <v>2.2400000000000002</v>
      </c>
      <c r="L402" s="195">
        <f t="shared" si="48"/>
        <v>1.7521999999999998</v>
      </c>
      <c r="M402" s="195">
        <f t="shared" si="49"/>
        <v>1.9902000000000002</v>
      </c>
      <c r="N402" s="16">
        <f>IF('Dry_Litterbag Placem_Collection'!G109="N.A","",'Dry_Litterbag Placem_Collection'!G109)</f>
        <v>43010</v>
      </c>
      <c r="O402" s="195" t="str">
        <f>IF(IFERROR(INDEX('Both teabags AfterDry'!$D$1:$D$839,MATCH(H402,'Both teabags AfterDry'!$A$1:$A$839,0)),"")="N.A","",(IFERROR(INDEX('Both teabags AfterDry'!$D$1:$D$839,MATCH(H402,'Both teabags AfterDry'!$A$1:$A$839,0)),"")))</f>
        <v/>
      </c>
      <c r="P402" s="195" t="str">
        <f>IF(IFERROR(INDEX('Both teabags AfterDry'!$D$1:$D$839,MATCH(I402,'Both teabags AfterDry'!$A$1:$A$839,0)),"")="N.A","",(IFERROR(INDEX('Both teabags AfterDry'!$D$1:$D$839,MATCH(I402,'Both teabags AfterDry'!$A$1:$A$839,0)),"")))</f>
        <v/>
      </c>
      <c r="Q402" s="195" t="str">
        <f t="shared" si="50"/>
        <v/>
      </c>
      <c r="R402" s="195" t="str">
        <f t="shared" si="50"/>
        <v/>
      </c>
      <c r="S402" s="195" t="str">
        <f t="shared" si="45"/>
        <v/>
      </c>
      <c r="T402" s="195" t="str">
        <f t="shared" si="51"/>
        <v/>
      </c>
      <c r="U402" s="195" t="str">
        <f t="shared" si="46"/>
        <v/>
      </c>
      <c r="V402">
        <f t="shared" si="47"/>
        <v>71</v>
      </c>
      <c r="W402" s="195" t="str">
        <f t="shared" si="52"/>
        <v/>
      </c>
      <c r="X402" s="195" t="str">
        <f t="shared" si="53"/>
        <v/>
      </c>
      <c r="Y402" s="255" t="str">
        <f>IF(ISNUMBER(SEARCH("C", 'Dry_Litterbag Placem_Collection'!V109)),"YES","NO")</f>
        <v>NO</v>
      </c>
      <c r="Z402" s="255" t="str">
        <f>IF(ISNUMBER(SEARCH("H", 'Dry_Litterbag Placem_Collection'!V109)),"YES","NO")</f>
        <v>NO</v>
      </c>
      <c r="AA402" s="255" t="str">
        <f>IF(ISNUMBER(SEARCH("R", 'Dry_Litterbag Placem_Collection'!V109)),"YES","NO")</f>
        <v>NO</v>
      </c>
      <c r="AB402" s="255" t="str">
        <f>IF(ISNUMBER(SEARCH("C", 'Dry_Litterbag Placem_Collection'!U109)),"YES","NO")</f>
        <v>NO</v>
      </c>
      <c r="AC402" s="255" t="str">
        <f>IF(ISNUMBER(SEARCH("H", 'Dry_Litterbag Placem_Collection'!U109)),"YES","NO")</f>
        <v>NO</v>
      </c>
      <c r="AD402" s="255" t="str">
        <f>IF(ISNUMBER(SEARCH("R", 'Dry_Litterbag Placem_Collection'!U109)),"YES","NO")</f>
        <v>NO</v>
      </c>
    </row>
    <row r="403" spans="2:30">
      <c r="B403" t="str">
        <f>'Final data_for_R_analysis_Dryse'!A549</f>
        <v>Dry</v>
      </c>
      <c r="C403" s="263">
        <f>'Final data_for_R_analysis_Dryse'!B549</f>
        <v>108</v>
      </c>
      <c r="D403" t="s">
        <v>3843</v>
      </c>
      <c r="E403" t="s">
        <v>25</v>
      </c>
      <c r="F403" s="387">
        <v>4</v>
      </c>
      <c r="G403" s="16">
        <f>'Dry_Litterbag Placem_Collection'!E110</f>
        <v>42939</v>
      </c>
      <c r="H403" s="92" t="str">
        <f>'Final data_for_R_analysis_Dryse'!J549</f>
        <v>G62</v>
      </c>
      <c r="I403" t="str">
        <f>'Final data_for_R_analysis_Dryse'!J769</f>
        <v>R206</v>
      </c>
      <c r="J403">
        <f>IFERROR(INDEX('Green_rooibos initial weight'!$C$5:$C$1749,MATCH(H403, 'Green_rooibos initial weight'!$A$5:$A$1749,0)),"")</f>
        <v>2.0819999999999999</v>
      </c>
      <c r="K403">
        <f>IFERROR(INDEX('Green_rooibos initial weight'!$C$5:$C$1749,MATCH(I403, 'Green_rooibos initial weight'!$A$5:$A$1749,0)),"")</f>
        <v>2.2549999999999999</v>
      </c>
      <c r="L403" s="195">
        <f t="shared" si="48"/>
        <v>1.8321999999999998</v>
      </c>
      <c r="M403" s="195">
        <f t="shared" si="49"/>
        <v>2.0051999999999999</v>
      </c>
      <c r="N403" s="16">
        <f>IF('Dry_Litterbag Placem_Collection'!G110="N.A","",'Dry_Litterbag Placem_Collection'!G110)</f>
        <v>43010</v>
      </c>
      <c r="O403" s="195">
        <f>IF(IFERROR(INDEX('Both teabags AfterDry'!$D$1:$D$839,MATCH(H403,'Both teabags AfterDry'!$A$1:$A$839,0)),"")="N.A","",(IFERROR(INDEX('Both teabags AfterDry'!$D$1:$D$839,MATCH(H403,'Both teabags AfterDry'!$A$1:$A$839,0)),"")))</f>
        <v>1.0947</v>
      </c>
      <c r="P403" s="195">
        <f>IF(IFERROR(INDEX('Both teabags AfterDry'!$D$1:$D$839,MATCH(I403,'Both teabags AfterDry'!$A$1:$A$839,0)),"")="N.A","",(IFERROR(INDEX('Both teabags AfterDry'!$D$1:$D$839,MATCH(I403,'Both teabags AfterDry'!$A$1:$A$839,0)),"")))</f>
        <v>1.9655</v>
      </c>
      <c r="Q403" s="195">
        <f t="shared" si="50"/>
        <v>0.94409999999999994</v>
      </c>
      <c r="R403" s="195">
        <f t="shared" si="50"/>
        <v>1.8149</v>
      </c>
      <c r="S403" s="195">
        <f t="shared" si="45"/>
        <v>0.48471782556489462</v>
      </c>
      <c r="T403" s="195">
        <f t="shared" si="51"/>
        <v>0.31777225618981214</v>
      </c>
      <c r="U403" s="195">
        <f t="shared" si="46"/>
        <v>0.90509674845401955</v>
      </c>
      <c r="V403">
        <f t="shared" si="47"/>
        <v>71</v>
      </c>
      <c r="W403" s="195">
        <f t="shared" si="52"/>
        <v>0.42432562284454323</v>
      </c>
      <c r="X403" s="195">
        <f t="shared" si="53"/>
        <v>4.9964897882045917E-3</v>
      </c>
      <c r="Y403" s="255" t="str">
        <f>IF(ISNUMBER(SEARCH("C", 'Dry_Litterbag Placem_Collection'!V110)),"YES","NO")</f>
        <v>NO</v>
      </c>
      <c r="Z403" s="255" t="str">
        <f>IF(ISNUMBER(SEARCH("H", 'Dry_Litterbag Placem_Collection'!V110)),"YES","NO")</f>
        <v>NO</v>
      </c>
      <c r="AA403" s="255" t="str">
        <f>IF(ISNUMBER(SEARCH("R", 'Dry_Litterbag Placem_Collection'!V110)),"YES","NO")</f>
        <v>NO</v>
      </c>
      <c r="AB403" s="255" t="str">
        <f>IF(ISNUMBER(SEARCH("C", 'Dry_Litterbag Placem_Collection'!U110)),"YES","NO")</f>
        <v>NO</v>
      </c>
      <c r="AC403" s="255" t="str">
        <f>IF(ISNUMBER(SEARCH("H", 'Dry_Litterbag Placem_Collection'!U110)),"YES","NO")</f>
        <v>NO</v>
      </c>
      <c r="AD403" s="255" t="str">
        <f>IF(ISNUMBER(SEARCH("R", 'Dry_Litterbag Placem_Collection'!U110)),"YES","NO")</f>
        <v>NO</v>
      </c>
    </row>
    <row r="404" spans="2:30">
      <c r="B404" t="str">
        <f>'Final data_for_R_analysis_Dryse'!A550</f>
        <v>Dry</v>
      </c>
      <c r="C404" s="263">
        <f>'Final data_for_R_analysis_Dryse'!B550</f>
        <v>109</v>
      </c>
      <c r="D404" t="s">
        <v>3843</v>
      </c>
      <c r="E404" t="s">
        <v>25</v>
      </c>
      <c r="F404" s="387">
        <v>5</v>
      </c>
      <c r="G404" s="16">
        <f>'Dry_Litterbag Placem_Collection'!E111</f>
        <v>42939</v>
      </c>
      <c r="H404" s="92" t="str">
        <f>'Final data_for_R_analysis_Dryse'!J550</f>
        <v>G102</v>
      </c>
      <c r="I404" t="str">
        <f>'Final data_for_R_analysis_Dryse'!J770</f>
        <v>R299</v>
      </c>
      <c r="J404">
        <f>IFERROR(INDEX('Green_rooibos initial weight'!$C$5:$C$1749,MATCH(H404, 'Green_rooibos initial weight'!$A$5:$A$1749,0)),"")</f>
        <v>2.0920000000000001</v>
      </c>
      <c r="K404">
        <f>IFERROR(INDEX('Green_rooibos initial weight'!$C$5:$C$1749,MATCH(I404, 'Green_rooibos initial weight'!$A$5:$A$1749,0)),"")</f>
        <v>2.2919999999999998</v>
      </c>
      <c r="L404" s="195">
        <f t="shared" si="48"/>
        <v>1.8422000000000001</v>
      </c>
      <c r="M404" s="195">
        <f t="shared" si="49"/>
        <v>2.0421999999999998</v>
      </c>
      <c r="N404" s="16">
        <f>IF('Dry_Litterbag Placem_Collection'!G111="N.A","",'Dry_Litterbag Placem_Collection'!G111)</f>
        <v>43010</v>
      </c>
      <c r="O404" s="195">
        <f>IF(IFERROR(INDEX('Both teabags AfterDry'!$D$1:$D$839,MATCH(H404,'Both teabags AfterDry'!$A$1:$A$839,0)),"")="N.A","",(IFERROR(INDEX('Both teabags AfterDry'!$D$1:$D$839,MATCH(H404,'Both teabags AfterDry'!$A$1:$A$839,0)),"")))</f>
        <v>1.0327999999999999</v>
      </c>
      <c r="P404" s="195">
        <f>IF(IFERROR(INDEX('Both teabags AfterDry'!$D$1:$D$839,MATCH(I404,'Both teabags AfterDry'!$A$1:$A$839,0)),"")="N.A","",(IFERROR(INDEX('Both teabags AfterDry'!$D$1:$D$839,MATCH(I404,'Both teabags AfterDry'!$A$1:$A$839,0)),"")))</f>
        <v>1.8811</v>
      </c>
      <c r="Q404" s="195">
        <f t="shared" si="50"/>
        <v>0.88219999999999987</v>
      </c>
      <c r="R404" s="195">
        <f t="shared" si="50"/>
        <v>1.7304999999999999</v>
      </c>
      <c r="S404" s="195">
        <f t="shared" si="45"/>
        <v>0.52111605688850293</v>
      </c>
      <c r="T404" s="195">
        <f t="shared" si="51"/>
        <v>0.34163427957536063</v>
      </c>
      <c r="U404" s="195">
        <f t="shared" si="46"/>
        <v>0.84737048281265304</v>
      </c>
      <c r="V404">
        <f t="shared" si="47"/>
        <v>71</v>
      </c>
      <c r="W404" s="195">
        <f t="shared" si="52"/>
        <v>0.38109731960985394</v>
      </c>
      <c r="X404" s="195">
        <f t="shared" si="53"/>
        <v>8.3375858360886165E-3</v>
      </c>
      <c r="Y404" s="255" t="str">
        <f>IF(ISNUMBER(SEARCH("C", 'Dry_Litterbag Placem_Collection'!V111)),"YES","NO")</f>
        <v>NO</v>
      </c>
      <c r="Z404" s="255" t="str">
        <f>IF(ISNUMBER(SEARCH("H", 'Dry_Litterbag Placem_Collection'!V111)),"YES","NO")</f>
        <v>NO</v>
      </c>
      <c r="AA404" s="255" t="str">
        <f>IF(ISNUMBER(SEARCH("R", 'Dry_Litterbag Placem_Collection'!V111)),"YES","NO")</f>
        <v>NO</v>
      </c>
      <c r="AB404" s="255" t="str">
        <f>IF(ISNUMBER(SEARCH("C", 'Dry_Litterbag Placem_Collection'!U111)),"YES","NO")</f>
        <v>NO</v>
      </c>
      <c r="AC404" s="255" t="str">
        <f>IF(ISNUMBER(SEARCH("H", 'Dry_Litterbag Placem_Collection'!U111)),"YES","NO")</f>
        <v>NO</v>
      </c>
      <c r="AD404" s="255" t="str">
        <f>IF(ISNUMBER(SEARCH("R", 'Dry_Litterbag Placem_Collection'!U111)),"YES","NO")</f>
        <v>NO</v>
      </c>
    </row>
    <row r="405" spans="2:30">
      <c r="B405" t="str">
        <f>'Final data_for_R_analysis_Dryse'!A551</f>
        <v>Dry</v>
      </c>
      <c r="C405" s="263">
        <f>'Final data_for_R_analysis_Dryse'!B551</f>
        <v>110</v>
      </c>
      <c r="D405" t="s">
        <v>3843</v>
      </c>
      <c r="E405" t="s">
        <v>25</v>
      </c>
      <c r="F405" s="387">
        <v>6</v>
      </c>
      <c r="G405" s="16">
        <f>'Dry_Litterbag Placem_Collection'!E112</f>
        <v>42939</v>
      </c>
      <c r="H405" s="92" t="str">
        <f>'Final data_for_R_analysis_Dryse'!J551</f>
        <v>G265</v>
      </c>
      <c r="I405" t="str">
        <f>'Final data_for_R_analysis_Dryse'!J771</f>
        <v>R636</v>
      </c>
      <c r="J405">
        <f>IFERROR(INDEX('Green_rooibos initial weight'!$C$5:$C$1749,MATCH(H405, 'Green_rooibos initial weight'!$A$5:$A$1749,0)),"")</f>
        <v>1.9790000000000001</v>
      </c>
      <c r="K405">
        <f>IFERROR(INDEX('Green_rooibos initial weight'!$C$5:$C$1749,MATCH(I405, 'Green_rooibos initial weight'!$A$5:$A$1749,0)),"")</f>
        <v>2.1080000000000001</v>
      </c>
      <c r="L405" s="195">
        <f t="shared" si="48"/>
        <v>1.7292000000000001</v>
      </c>
      <c r="M405" s="195">
        <f t="shared" si="49"/>
        <v>1.8582000000000001</v>
      </c>
      <c r="N405" s="16">
        <f>IF('Dry_Litterbag Placem_Collection'!G112="N.A","",'Dry_Litterbag Placem_Collection'!G112)</f>
        <v>43010</v>
      </c>
      <c r="O405" s="195">
        <f>IF(IFERROR(INDEX('Both teabags AfterDry'!$D$1:$D$839,MATCH(H405,'Both teabags AfterDry'!$A$1:$A$839,0)),"")="N.A","",(IFERROR(INDEX('Both teabags AfterDry'!$D$1:$D$839,MATCH(H405,'Both teabags AfterDry'!$A$1:$A$839,0)),"")))</f>
        <v>0.93579999999999997</v>
      </c>
      <c r="P405" s="195">
        <f>IF(IFERROR(INDEX('Both teabags AfterDry'!$D$1:$D$839,MATCH(I405,'Both teabags AfterDry'!$A$1:$A$839,0)),"")="N.A","",(IFERROR(INDEX('Both teabags AfterDry'!$D$1:$D$839,MATCH(I405,'Both teabags AfterDry'!$A$1:$A$839,0)),"")))</f>
        <v>1.8521000000000001</v>
      </c>
      <c r="Q405" s="195">
        <f t="shared" si="50"/>
        <v>0.7851999999999999</v>
      </c>
      <c r="R405" s="195">
        <f t="shared" si="50"/>
        <v>1.7015</v>
      </c>
      <c r="S405" s="195">
        <f t="shared" si="45"/>
        <v>0.5459171871385613</v>
      </c>
      <c r="T405" s="195">
        <f t="shared" si="51"/>
        <v>0.35789345285093332</v>
      </c>
      <c r="U405" s="195">
        <f t="shared" si="46"/>
        <v>0.91567107953933913</v>
      </c>
      <c r="V405">
        <f t="shared" si="47"/>
        <v>71</v>
      </c>
      <c r="W405" s="195">
        <f t="shared" si="52"/>
        <v>0.35164229555990345</v>
      </c>
      <c r="X405" s="195">
        <f t="shared" si="53"/>
        <v>3.7844757760579942E-3</v>
      </c>
      <c r="Y405" s="255" t="str">
        <f>IF(ISNUMBER(SEARCH("C", 'Dry_Litterbag Placem_Collection'!V112)),"YES","NO")</f>
        <v>NO</v>
      </c>
      <c r="Z405" s="255" t="str">
        <f>IF(ISNUMBER(SEARCH("H", 'Dry_Litterbag Placem_Collection'!V112)),"YES","NO")</f>
        <v>NO</v>
      </c>
      <c r="AA405" s="255" t="str">
        <f>IF(ISNUMBER(SEARCH("R", 'Dry_Litterbag Placem_Collection'!V112)),"YES","NO")</f>
        <v>NO</v>
      </c>
      <c r="AB405" s="255" t="str">
        <f>IF(ISNUMBER(SEARCH("C", 'Dry_Litterbag Placem_Collection'!U112)),"YES","NO")</f>
        <v>NO</v>
      </c>
      <c r="AC405" s="255" t="str">
        <f>IF(ISNUMBER(SEARCH("H", 'Dry_Litterbag Placem_Collection'!U112)),"YES","NO")</f>
        <v>NO</v>
      </c>
      <c r="AD405" s="255" t="str">
        <f>IF(ISNUMBER(SEARCH("R", 'Dry_Litterbag Placem_Collection'!U112)),"YES","NO")</f>
        <v>NO</v>
      </c>
    </row>
    <row r="406" spans="2:30">
      <c r="B406" t="str">
        <f>'Final data_for_R_analysis_Dryse'!A552</f>
        <v>Dry</v>
      </c>
      <c r="C406" s="263">
        <f>'Final data_for_R_analysis_Dryse'!B552</f>
        <v>111</v>
      </c>
      <c r="D406" t="s">
        <v>3843</v>
      </c>
      <c r="E406" t="s">
        <v>25</v>
      </c>
      <c r="F406" s="387">
        <v>7</v>
      </c>
      <c r="G406" s="16">
        <f>'Dry_Litterbag Placem_Collection'!E113</f>
        <v>42939</v>
      </c>
      <c r="H406" s="92" t="str">
        <f>'Final data_for_R_analysis_Dryse'!J552</f>
        <v>G455</v>
      </c>
      <c r="I406" t="str">
        <f>'Final data_for_R_analysis_Dryse'!J772</f>
        <v>R239</v>
      </c>
      <c r="J406">
        <f>IFERROR(INDEX('Green_rooibos initial weight'!$C$5:$C$1749,MATCH(H406, 'Green_rooibos initial weight'!$A$5:$A$1749,0)),"")</f>
        <v>2.0299999999999998</v>
      </c>
      <c r="K406">
        <f>IFERROR(INDEX('Green_rooibos initial weight'!$C$5:$C$1749,MATCH(I406, 'Green_rooibos initial weight'!$A$5:$A$1749,0)),"")</f>
        <v>2.2189999999999999</v>
      </c>
      <c r="L406" s="195">
        <f t="shared" si="48"/>
        <v>1.7801999999999998</v>
      </c>
      <c r="M406" s="195">
        <f t="shared" si="49"/>
        <v>1.9691999999999998</v>
      </c>
      <c r="N406" s="16">
        <f>IF('Dry_Litterbag Placem_Collection'!G113="N.A","",'Dry_Litterbag Placem_Collection'!G113)</f>
        <v>43010</v>
      </c>
      <c r="O406" s="195">
        <f>IF(IFERROR(INDEX('Both teabags AfterDry'!$D$1:$D$839,MATCH(H406,'Both teabags AfterDry'!$A$1:$A$839,0)),"")="N.A","",(IFERROR(INDEX('Both teabags AfterDry'!$D$1:$D$839,MATCH(H406,'Both teabags AfterDry'!$A$1:$A$839,0)),"")))</f>
        <v>0.92169999999999996</v>
      </c>
      <c r="P406" s="195">
        <f>IF(IFERROR(INDEX('Both teabags AfterDry'!$D$1:$D$839,MATCH(I406,'Both teabags AfterDry'!$A$1:$A$839,0)),"")="N.A","",(IFERROR(INDEX('Both teabags AfterDry'!$D$1:$D$839,MATCH(I406,'Both teabags AfterDry'!$A$1:$A$839,0)),"")))</f>
        <v>1.8743000000000001</v>
      </c>
      <c r="Q406" s="195">
        <f t="shared" si="50"/>
        <v>0.7710999999999999</v>
      </c>
      <c r="R406" s="195">
        <f t="shared" si="50"/>
        <v>1.7237</v>
      </c>
      <c r="S406" s="195">
        <f t="shared" si="45"/>
        <v>0.56684642175036515</v>
      </c>
      <c r="T406" s="195">
        <f t="shared" si="51"/>
        <v>0.37161428124251966</v>
      </c>
      <c r="U406" s="195">
        <f t="shared" si="46"/>
        <v>0.87533008328255135</v>
      </c>
      <c r="V406">
        <f t="shared" si="47"/>
        <v>71</v>
      </c>
      <c r="W406" s="195">
        <f t="shared" si="52"/>
        <v>0.32678572238673975</v>
      </c>
      <c r="X406" s="195">
        <f t="shared" si="53"/>
        <v>5.7562446696306779E-3</v>
      </c>
      <c r="Y406" s="255" t="str">
        <f>IF(ISNUMBER(SEARCH("C", 'Dry_Litterbag Placem_Collection'!V113)),"YES","NO")</f>
        <v>NO</v>
      </c>
      <c r="Z406" s="255" t="str">
        <f>IF(ISNUMBER(SEARCH("H", 'Dry_Litterbag Placem_Collection'!V113)),"YES","NO")</f>
        <v>NO</v>
      </c>
      <c r="AA406" s="255" t="str">
        <f>IF(ISNUMBER(SEARCH("R", 'Dry_Litterbag Placem_Collection'!V113)),"YES","NO")</f>
        <v>NO</v>
      </c>
      <c r="AB406" s="255" t="str">
        <f>IF(ISNUMBER(SEARCH("C", 'Dry_Litterbag Placem_Collection'!U113)),"YES","NO")</f>
        <v>NO</v>
      </c>
      <c r="AC406" s="255" t="str">
        <f>IF(ISNUMBER(SEARCH("H", 'Dry_Litterbag Placem_Collection'!U113)),"YES","NO")</f>
        <v>NO</v>
      </c>
      <c r="AD406" s="255" t="str">
        <f>IF(ISNUMBER(SEARCH("R", 'Dry_Litterbag Placem_Collection'!U113)),"YES","NO")</f>
        <v>NO</v>
      </c>
    </row>
    <row r="407" spans="2:30">
      <c r="B407" t="str">
        <f>'Final data_for_R_analysis_Dryse'!A553</f>
        <v>Dry</v>
      </c>
      <c r="C407" s="263">
        <f>'Final data_for_R_analysis_Dryse'!B553</f>
        <v>112</v>
      </c>
      <c r="D407" t="s">
        <v>3843</v>
      </c>
      <c r="E407" t="s">
        <v>25</v>
      </c>
      <c r="F407" s="387">
        <v>8</v>
      </c>
      <c r="G407" s="16">
        <f>'Dry_Litterbag Placem_Collection'!E114</f>
        <v>0</v>
      </c>
      <c r="H407" s="92" t="str">
        <f>'Final data_for_R_analysis_Dryse'!J553</f>
        <v/>
      </c>
      <c r="I407" t="str">
        <f>'Final data_for_R_analysis_Dryse'!J773</f>
        <v/>
      </c>
      <c r="J407" t="str">
        <f>IFERROR(INDEX('Green_rooibos initial weight'!$C$5:$C$1749,MATCH(H407, 'Green_rooibos initial weight'!$A$5:$A$1749,0)),"")</f>
        <v/>
      </c>
      <c r="K407" t="str">
        <f>IFERROR(INDEX('Green_rooibos initial weight'!$C$5:$C$1749,MATCH(I407, 'Green_rooibos initial weight'!$A$5:$A$1749,0)),"")</f>
        <v/>
      </c>
      <c r="L407" s="195" t="str">
        <f t="shared" si="48"/>
        <v/>
      </c>
      <c r="M407" s="195" t="str">
        <f t="shared" si="49"/>
        <v/>
      </c>
      <c r="N407" s="16">
        <f>IF('Dry_Litterbag Placem_Collection'!G114="N.A","",'Dry_Litterbag Placem_Collection'!G114)</f>
        <v>0</v>
      </c>
      <c r="O407" s="195" t="str">
        <f>IF(IFERROR(INDEX('Both teabags AfterDry'!$D$1:$D$839,MATCH(H407,'Both teabags AfterDry'!$A$1:$A$839,0)),"")="N.A","",(IFERROR(INDEX('Both teabags AfterDry'!$D$1:$D$839,MATCH(H407,'Both teabags AfterDry'!$A$1:$A$839,0)),"")))</f>
        <v/>
      </c>
      <c r="P407" s="195" t="str">
        <f>IF(IFERROR(INDEX('Both teabags AfterDry'!$D$1:$D$839,MATCH(I407,'Both teabags AfterDry'!$A$1:$A$839,0)),"")="N.A","",(IFERROR(INDEX('Both teabags AfterDry'!$D$1:$D$839,MATCH(I407,'Both teabags AfterDry'!$A$1:$A$839,0)),"")))</f>
        <v/>
      </c>
      <c r="Q407" s="195" t="str">
        <f t="shared" si="50"/>
        <v/>
      </c>
      <c r="R407" s="195" t="str">
        <f t="shared" si="50"/>
        <v/>
      </c>
      <c r="S407" s="195" t="str">
        <f t="shared" si="45"/>
        <v/>
      </c>
      <c r="T407" s="195" t="str">
        <f t="shared" si="51"/>
        <v/>
      </c>
      <c r="U407" s="195" t="str">
        <f t="shared" si="46"/>
        <v/>
      </c>
      <c r="V407" t="str">
        <f t="shared" si="47"/>
        <v/>
      </c>
      <c r="W407" s="195" t="str">
        <f t="shared" si="52"/>
        <v/>
      </c>
      <c r="X407" s="195" t="str">
        <f t="shared" si="53"/>
        <v/>
      </c>
      <c r="Y407" s="255" t="str">
        <f>IF(ISNUMBER(SEARCH("C", 'Dry_Litterbag Placem_Collection'!V114)),"YES","NO")</f>
        <v>NO</v>
      </c>
      <c r="Z407" s="255" t="str">
        <f>IF(ISNUMBER(SEARCH("H", 'Dry_Litterbag Placem_Collection'!V114)),"YES","NO")</f>
        <v>NO</v>
      </c>
      <c r="AA407" s="255" t="str">
        <f>IF(ISNUMBER(SEARCH("R", 'Dry_Litterbag Placem_Collection'!V114)),"YES","NO")</f>
        <v>NO</v>
      </c>
      <c r="AB407" s="255" t="str">
        <f>IF(ISNUMBER(SEARCH("C", 'Dry_Litterbag Placem_Collection'!U114)),"YES","NO")</f>
        <v>NO</v>
      </c>
      <c r="AC407" s="255" t="str">
        <f>IF(ISNUMBER(SEARCH("H", 'Dry_Litterbag Placem_Collection'!U114)),"YES","NO")</f>
        <v>NO</v>
      </c>
      <c r="AD407" s="255" t="str">
        <f>IF(ISNUMBER(SEARCH("R", 'Dry_Litterbag Placem_Collection'!U114)),"YES","NO")</f>
        <v>NO</v>
      </c>
    </row>
    <row r="408" spans="2:30">
      <c r="B408" t="str">
        <f>'Final data_for_R_analysis_Dryse'!A554</f>
        <v>Dry</v>
      </c>
      <c r="C408" s="263">
        <f>'Final data_for_R_analysis_Dryse'!B554</f>
        <v>113</v>
      </c>
      <c r="D408" t="s">
        <v>3844</v>
      </c>
      <c r="E408" t="s">
        <v>25</v>
      </c>
      <c r="F408" s="386">
        <v>1</v>
      </c>
      <c r="G408" s="16">
        <f>'Dry_Litterbag Placem_Collection'!E115</f>
        <v>42939</v>
      </c>
      <c r="H408" s="92" t="str">
        <f>'Final data_for_R_analysis_Dryse'!J554</f>
        <v>G490</v>
      </c>
      <c r="I408" t="str">
        <f>'Final data_for_R_analysis_Dryse'!J774</f>
        <v>R313</v>
      </c>
      <c r="J408">
        <f>IFERROR(INDEX('Green_rooibos initial weight'!$C$5:$C$1749,MATCH(H408, 'Green_rooibos initial weight'!$A$5:$A$1749,0)),"")</f>
        <v>1.881</v>
      </c>
      <c r="K408">
        <f>IFERROR(INDEX('Green_rooibos initial weight'!$C$5:$C$1749,MATCH(I408, 'Green_rooibos initial weight'!$A$5:$A$1749,0)),"")</f>
        <v>2.2450000000000001</v>
      </c>
      <c r="L408" s="195">
        <f t="shared" si="48"/>
        <v>1.6312</v>
      </c>
      <c r="M408" s="195">
        <f t="shared" si="49"/>
        <v>1.9952000000000001</v>
      </c>
      <c r="N408" s="16">
        <f>IF('Dry_Litterbag Placem_Collection'!G115="N.A","",'Dry_Litterbag Placem_Collection'!G115)</f>
        <v>43008</v>
      </c>
      <c r="O408" s="195">
        <f>IF(IFERROR(INDEX('Both teabags AfterDry'!$D$1:$D$839,MATCH(H408,'Both teabags AfterDry'!$A$1:$A$839,0)),"")="N.A","",(IFERROR(INDEX('Both teabags AfterDry'!$D$1:$D$839,MATCH(H408,'Both teabags AfterDry'!$A$1:$A$839,0)),"")))</f>
        <v>0.72760000000000002</v>
      </c>
      <c r="P408" s="195">
        <f>IF(IFERROR(INDEX('Both teabags AfterDry'!$D$1:$D$839,MATCH(I408,'Both teabags AfterDry'!$A$1:$A$839,0)),"")="N.A","",(IFERROR(INDEX('Both teabags AfterDry'!$D$1:$D$839,MATCH(I408,'Both teabags AfterDry'!$A$1:$A$839,0)),"")))</f>
        <v>1.6048</v>
      </c>
      <c r="Q408" s="195">
        <f t="shared" si="50"/>
        <v>0.57699999999999996</v>
      </c>
      <c r="R408" s="195">
        <f t="shared" si="50"/>
        <v>1.4541999999999999</v>
      </c>
      <c r="S408" s="195">
        <f t="shared" si="45"/>
        <v>0.64627268268759197</v>
      </c>
      <c r="T408" s="195">
        <f t="shared" si="51"/>
        <v>0.4236847040897278</v>
      </c>
      <c r="U408" s="195">
        <f t="shared" si="46"/>
        <v>0.72884923817161185</v>
      </c>
      <c r="V408">
        <f t="shared" si="47"/>
        <v>69</v>
      </c>
      <c r="W408" s="195">
        <f t="shared" si="52"/>
        <v>0.23245524621426128</v>
      </c>
      <c r="X408" s="195">
        <f t="shared" si="53"/>
        <v>1.4805832067975555E-2</v>
      </c>
      <c r="Y408" s="255" t="str">
        <f>IF(ISNUMBER(SEARCH("C", 'Dry_Litterbag Placem_Collection'!V115)),"YES","NO")</f>
        <v>NO</v>
      </c>
      <c r="Z408" s="255" t="str">
        <f>IF(ISNUMBER(SEARCH("H", 'Dry_Litterbag Placem_Collection'!V115)),"YES","NO")</f>
        <v>NO</v>
      </c>
      <c r="AA408" s="255" t="str">
        <f>IF(ISNUMBER(SEARCH("R", 'Dry_Litterbag Placem_Collection'!V115)),"YES","NO")</f>
        <v>NO</v>
      </c>
      <c r="AB408" s="255" t="str">
        <f>IF(ISNUMBER(SEARCH("C", 'Dry_Litterbag Placem_Collection'!U115)),"YES","NO")</f>
        <v>NO</v>
      </c>
      <c r="AC408" s="255" t="str">
        <f>IF(ISNUMBER(SEARCH("H", 'Dry_Litterbag Placem_Collection'!U115)),"YES","NO")</f>
        <v>NO</v>
      </c>
      <c r="AD408" s="255" t="str">
        <f>IF(ISNUMBER(SEARCH("R", 'Dry_Litterbag Placem_Collection'!U115)),"YES","NO")</f>
        <v>NO</v>
      </c>
    </row>
    <row r="409" spans="2:30">
      <c r="B409" t="str">
        <f>'Final data_for_R_analysis_Dryse'!A555</f>
        <v>Dry</v>
      </c>
      <c r="C409" s="263">
        <f>'Final data_for_R_analysis_Dryse'!B555</f>
        <v>114</v>
      </c>
      <c r="D409" t="s">
        <v>3844</v>
      </c>
      <c r="E409" t="s">
        <v>25</v>
      </c>
      <c r="F409" s="386">
        <v>2</v>
      </c>
      <c r="G409" s="16">
        <f>'Dry_Litterbag Placem_Collection'!E116</f>
        <v>42939</v>
      </c>
      <c r="H409" s="92" t="str">
        <f>'Final data_for_R_analysis_Dryse'!J555</f>
        <v>G650</v>
      </c>
      <c r="I409" t="str">
        <f>'Final data_for_R_analysis_Dryse'!J775</f>
        <v>R247</v>
      </c>
      <c r="J409">
        <f>IFERROR(INDEX('Green_rooibos initial weight'!$C$5:$C$1749,MATCH(H409, 'Green_rooibos initial weight'!$A$5:$A$1749,0)),"")</f>
        <v>2.0270000000000001</v>
      </c>
      <c r="K409">
        <f>IFERROR(INDEX('Green_rooibos initial weight'!$C$5:$C$1749,MATCH(I409, 'Green_rooibos initial weight'!$A$5:$A$1749,0)),"")</f>
        <v>2.2330000000000001</v>
      </c>
      <c r="L409" s="195">
        <f t="shared" si="48"/>
        <v>1.7772000000000001</v>
      </c>
      <c r="M409" s="195">
        <f t="shared" si="49"/>
        <v>1.9832000000000001</v>
      </c>
      <c r="N409" s="16">
        <f>IF('Dry_Litterbag Placem_Collection'!G116="N.A","",'Dry_Litterbag Placem_Collection'!G116)</f>
        <v>43008</v>
      </c>
      <c r="O409" s="195">
        <f>IF(IFERROR(INDEX('Both teabags AfterDry'!$D$1:$D$839,MATCH(H409,'Both teabags AfterDry'!$A$1:$A$839,0)),"")="N.A","",(IFERROR(INDEX('Both teabags AfterDry'!$D$1:$D$839,MATCH(H409,'Both teabags AfterDry'!$A$1:$A$839,0)),"")))</f>
        <v>0.86890000000000001</v>
      </c>
      <c r="P409" s="195">
        <f>IF(IFERROR(INDEX('Both teabags AfterDry'!$D$1:$D$839,MATCH(I409,'Both teabags AfterDry'!$A$1:$A$839,0)),"")="N.A","",(IFERROR(INDEX('Both teabags AfterDry'!$D$1:$D$839,MATCH(I409,'Both teabags AfterDry'!$A$1:$A$839,0)),"")))</f>
        <v>1.7551000000000001</v>
      </c>
      <c r="Q409" s="195">
        <f t="shared" si="50"/>
        <v>0.71829999999999994</v>
      </c>
      <c r="R409" s="195">
        <f t="shared" si="50"/>
        <v>1.6045</v>
      </c>
      <c r="S409" s="195">
        <f t="shared" si="45"/>
        <v>0.59582489309025433</v>
      </c>
      <c r="T409" s="195">
        <f t="shared" si="51"/>
        <v>0.39061204392615256</v>
      </c>
      <c r="U409" s="195">
        <f t="shared" si="46"/>
        <v>0.8090459862847923</v>
      </c>
      <c r="V409">
        <f t="shared" si="47"/>
        <v>69</v>
      </c>
      <c r="W409" s="195">
        <f t="shared" si="52"/>
        <v>0.29236948564102805</v>
      </c>
      <c r="X409" s="195">
        <f t="shared" si="53"/>
        <v>9.726214467375989E-3</v>
      </c>
      <c r="Y409" s="255" t="str">
        <f>IF(ISNUMBER(SEARCH("C", 'Dry_Litterbag Placem_Collection'!V116)),"YES","NO")</f>
        <v>NO</v>
      </c>
      <c r="Z409" s="255" t="str">
        <f>IF(ISNUMBER(SEARCH("H", 'Dry_Litterbag Placem_Collection'!V116)),"YES","NO")</f>
        <v>NO</v>
      </c>
      <c r="AA409" s="255" t="str">
        <f>IF(ISNUMBER(SEARCH("R", 'Dry_Litterbag Placem_Collection'!V116)),"YES","NO")</f>
        <v>NO</v>
      </c>
      <c r="AB409" s="255" t="str">
        <f>IF(ISNUMBER(SEARCH("C", 'Dry_Litterbag Placem_Collection'!U116)),"YES","NO")</f>
        <v>NO</v>
      </c>
      <c r="AC409" s="255" t="str">
        <f>IF(ISNUMBER(SEARCH("H", 'Dry_Litterbag Placem_Collection'!U116)),"YES","NO")</f>
        <v>NO</v>
      </c>
      <c r="AD409" s="255" t="str">
        <f>IF(ISNUMBER(SEARCH("R", 'Dry_Litterbag Placem_Collection'!U116)),"YES","NO")</f>
        <v>NO</v>
      </c>
    </row>
    <row r="410" spans="2:30">
      <c r="B410" t="str">
        <f>'Final data_for_R_analysis_Dryse'!A556</f>
        <v>Dry</v>
      </c>
      <c r="C410" s="263">
        <f>'Final data_for_R_analysis_Dryse'!B556</f>
        <v>115</v>
      </c>
      <c r="D410" t="s">
        <v>3844</v>
      </c>
      <c r="E410" t="s">
        <v>25</v>
      </c>
      <c r="F410" s="386">
        <v>3</v>
      </c>
      <c r="G410" s="16">
        <f>'Dry_Litterbag Placem_Collection'!E117</f>
        <v>42939</v>
      </c>
      <c r="H410" s="92" t="str">
        <f>'Final data_for_R_analysis_Dryse'!J556</f>
        <v>G873</v>
      </c>
      <c r="I410" t="str">
        <f>'Final data_for_R_analysis_Dryse'!J776</f>
        <v>R671</v>
      </c>
      <c r="J410">
        <f>IFERROR(INDEX('Green_rooibos initial weight'!$C$5:$C$1749,MATCH(H410, 'Green_rooibos initial weight'!$A$5:$A$1749,0)),"")</f>
        <v>2.0089999999999999</v>
      </c>
      <c r="K410">
        <f>IFERROR(INDEX('Green_rooibos initial weight'!$C$5:$C$1749,MATCH(I410, 'Green_rooibos initial weight'!$A$5:$A$1749,0)),"")</f>
        <v>2.202</v>
      </c>
      <c r="L410" s="195">
        <f t="shared" si="48"/>
        <v>1.7591999999999999</v>
      </c>
      <c r="M410" s="195">
        <f t="shared" si="49"/>
        <v>1.9521999999999999</v>
      </c>
      <c r="N410" s="16">
        <f>IF('Dry_Litterbag Placem_Collection'!G117="N.A","",'Dry_Litterbag Placem_Collection'!G117)</f>
        <v>43008</v>
      </c>
      <c r="O410" s="195">
        <f>IF(IFERROR(INDEX('Both teabags AfterDry'!$D$1:$D$839,MATCH(H410,'Both teabags AfterDry'!$A$1:$A$839,0)),"")="N.A","",(IFERROR(INDEX('Both teabags AfterDry'!$D$1:$D$839,MATCH(H410,'Both teabags AfterDry'!$A$1:$A$839,0)),"")))</f>
        <v>0.68469999999999998</v>
      </c>
      <c r="P410" s="195">
        <f>IF(IFERROR(INDEX('Both teabags AfterDry'!$D$1:$D$839,MATCH(I410,'Both teabags AfterDry'!$A$1:$A$839,0)),"")="N.A","",(IFERROR(INDEX('Both teabags AfterDry'!$D$1:$D$839,MATCH(I410,'Both teabags AfterDry'!$A$1:$A$839,0)),"")))</f>
        <v>1.6099000000000001</v>
      </c>
      <c r="Q410" s="195">
        <f t="shared" si="50"/>
        <v>0.53410000000000002</v>
      </c>
      <c r="R410" s="195">
        <f t="shared" si="50"/>
        <v>1.4593</v>
      </c>
      <c r="S410" s="195">
        <f t="shared" si="45"/>
        <v>0.69639608913142337</v>
      </c>
      <c r="T410" s="195">
        <f t="shared" si="51"/>
        <v>0.45654470451371232</v>
      </c>
      <c r="U410" s="195">
        <f t="shared" si="46"/>
        <v>0.74751562339924194</v>
      </c>
      <c r="V410">
        <f t="shared" si="47"/>
        <v>69</v>
      </c>
      <c r="W410" s="195">
        <f t="shared" si="52"/>
        <v>0.17292625993892707</v>
      </c>
      <c r="X410" s="195">
        <f t="shared" si="53"/>
        <v>1.1670593462127527E-2</v>
      </c>
      <c r="Y410" s="255" t="str">
        <f>IF(ISNUMBER(SEARCH("C", 'Dry_Litterbag Placem_Collection'!V117)),"YES","NO")</f>
        <v>NO</v>
      </c>
      <c r="Z410" s="255" t="str">
        <f>IF(ISNUMBER(SEARCH("H", 'Dry_Litterbag Placem_Collection'!V117)),"YES","NO")</f>
        <v>NO</v>
      </c>
      <c r="AA410" s="255" t="str">
        <f>IF(ISNUMBER(SEARCH("R", 'Dry_Litterbag Placem_Collection'!V117)),"YES","NO")</f>
        <v>NO</v>
      </c>
      <c r="AB410" s="255" t="str">
        <f>IF(ISNUMBER(SEARCH("C", 'Dry_Litterbag Placem_Collection'!U117)),"YES","NO")</f>
        <v>NO</v>
      </c>
      <c r="AC410" s="255" t="str">
        <f>IF(ISNUMBER(SEARCH("H", 'Dry_Litterbag Placem_Collection'!U117)),"YES","NO")</f>
        <v>NO</v>
      </c>
      <c r="AD410" s="255" t="str">
        <f>IF(ISNUMBER(SEARCH("R", 'Dry_Litterbag Placem_Collection'!U117)),"YES","NO")</f>
        <v>NO</v>
      </c>
    </row>
    <row r="411" spans="2:30">
      <c r="B411" t="str">
        <f>'Final data_for_R_analysis_Dryse'!A557</f>
        <v>Dry</v>
      </c>
      <c r="C411" s="263">
        <f>'Final data_for_R_analysis_Dryse'!B557</f>
        <v>116</v>
      </c>
      <c r="D411" t="s">
        <v>3844</v>
      </c>
      <c r="E411" t="s">
        <v>25</v>
      </c>
      <c r="F411" s="387">
        <v>4</v>
      </c>
      <c r="G411" s="16">
        <f>'Dry_Litterbag Placem_Collection'!E118</f>
        <v>42939</v>
      </c>
      <c r="H411" s="92" t="str">
        <f>'Final data_for_R_analysis_Dryse'!J557</f>
        <v>G206</v>
      </c>
      <c r="I411" t="str">
        <f>'Final data_for_R_analysis_Dryse'!J777</f>
        <v>R638</v>
      </c>
      <c r="J411">
        <f>IFERROR(INDEX('Green_rooibos initial weight'!$C$5:$C$1749,MATCH(H411, 'Green_rooibos initial weight'!$A$5:$A$1749,0)),"")</f>
        <v>2.0249999999999999</v>
      </c>
      <c r="K411">
        <f>IFERROR(INDEX('Green_rooibos initial weight'!$C$5:$C$1749,MATCH(I411, 'Green_rooibos initial weight'!$A$5:$A$1749,0)),"")</f>
        <v>2.1659999999999999</v>
      </c>
      <c r="L411" s="195">
        <f t="shared" si="48"/>
        <v>1.7751999999999999</v>
      </c>
      <c r="M411" s="195">
        <f t="shared" si="49"/>
        <v>1.9161999999999999</v>
      </c>
      <c r="N411" s="16">
        <f>IF('Dry_Litterbag Placem_Collection'!G118="N.A","",'Dry_Litterbag Placem_Collection'!G118)</f>
        <v>43008</v>
      </c>
      <c r="O411" s="195">
        <f>IF(IFERROR(INDEX('Both teabags AfterDry'!$D$1:$D$839,MATCH(H411,'Both teabags AfterDry'!$A$1:$A$839,0)),"")="N.A","",(IFERROR(INDEX('Both teabags AfterDry'!$D$1:$D$839,MATCH(H411,'Both teabags AfterDry'!$A$1:$A$839,0)),"")))</f>
        <v>0.75260000000000005</v>
      </c>
      <c r="P411" s="195">
        <f>IF(IFERROR(INDEX('Both teabags AfterDry'!$D$1:$D$839,MATCH(I411,'Both teabags AfterDry'!$A$1:$A$839,0)),"")="N.A","",(IFERROR(INDEX('Both teabags AfterDry'!$D$1:$D$839,MATCH(I411,'Both teabags AfterDry'!$A$1:$A$839,0)),"")))</f>
        <v>1.5814999999999999</v>
      </c>
      <c r="Q411" s="195">
        <f t="shared" si="50"/>
        <v>0.60200000000000009</v>
      </c>
      <c r="R411" s="195">
        <f t="shared" si="50"/>
        <v>1.4308999999999998</v>
      </c>
      <c r="S411" s="195">
        <f t="shared" si="45"/>
        <v>0.66088328075709768</v>
      </c>
      <c r="T411" s="195">
        <f t="shared" si="51"/>
        <v>0.43326314842983132</v>
      </c>
      <c r="U411" s="195">
        <f t="shared" si="46"/>
        <v>0.74673833629057507</v>
      </c>
      <c r="V411">
        <f t="shared" si="47"/>
        <v>69</v>
      </c>
      <c r="W411" s="195">
        <f t="shared" si="52"/>
        <v>0.21510299197494331</v>
      </c>
      <c r="X411" s="195">
        <f t="shared" si="53"/>
        <v>1.2730147495636572E-2</v>
      </c>
      <c r="Y411" s="255" t="str">
        <f>IF(ISNUMBER(SEARCH("C", 'Dry_Litterbag Placem_Collection'!V118)),"YES","NO")</f>
        <v>NO</v>
      </c>
      <c r="Z411" s="255" t="str">
        <f>IF(ISNUMBER(SEARCH("H", 'Dry_Litterbag Placem_Collection'!V118)),"YES","NO")</f>
        <v>NO</v>
      </c>
      <c r="AA411" s="255" t="str">
        <f>IF(ISNUMBER(SEARCH("R", 'Dry_Litterbag Placem_Collection'!V118)),"YES","NO")</f>
        <v>NO</v>
      </c>
      <c r="AB411" s="255" t="str">
        <f>IF(ISNUMBER(SEARCH("C", 'Dry_Litterbag Placem_Collection'!U118)),"YES","NO")</f>
        <v>NO</v>
      </c>
      <c r="AC411" s="255" t="str">
        <f>IF(ISNUMBER(SEARCH("H", 'Dry_Litterbag Placem_Collection'!U118)),"YES","NO")</f>
        <v>NO</v>
      </c>
      <c r="AD411" s="255" t="str">
        <f>IF(ISNUMBER(SEARCH("R", 'Dry_Litterbag Placem_Collection'!U118)),"YES","NO")</f>
        <v>NO</v>
      </c>
    </row>
    <row r="412" spans="2:30">
      <c r="B412" t="str">
        <f>'Final data_for_R_analysis_Dryse'!A558</f>
        <v>Dry</v>
      </c>
      <c r="C412" s="263">
        <f>'Final data_for_R_analysis_Dryse'!B558</f>
        <v>117</v>
      </c>
      <c r="D412" t="s">
        <v>3844</v>
      </c>
      <c r="E412" t="s">
        <v>25</v>
      </c>
      <c r="F412" s="387">
        <v>5</v>
      </c>
      <c r="G412" s="16">
        <f>'Dry_Litterbag Placem_Collection'!E119</f>
        <v>42939</v>
      </c>
      <c r="H412" s="92" t="str">
        <f>'Final data_for_R_analysis_Dryse'!J558</f>
        <v>G163</v>
      </c>
      <c r="I412" t="str">
        <f>'Final data_for_R_analysis_Dryse'!J778</f>
        <v>R719</v>
      </c>
      <c r="J412">
        <f>IFERROR(INDEX('Green_rooibos initial weight'!$C$5:$C$1749,MATCH(H412, 'Green_rooibos initial weight'!$A$5:$A$1749,0)),"")</f>
        <v>2.04</v>
      </c>
      <c r="K412">
        <f>IFERROR(INDEX('Green_rooibos initial weight'!$C$5:$C$1749,MATCH(I412, 'Green_rooibos initial weight'!$A$5:$A$1749,0)),"")</f>
        <v>2.2050000000000001</v>
      </c>
      <c r="L412" s="195">
        <f t="shared" si="48"/>
        <v>1.7902</v>
      </c>
      <c r="M412" s="195">
        <f t="shared" si="49"/>
        <v>1.9552</v>
      </c>
      <c r="N412" s="16">
        <f>IF('Dry_Litterbag Placem_Collection'!G119="N.A","",'Dry_Litterbag Placem_Collection'!G119)</f>
        <v>43008</v>
      </c>
      <c r="O412" s="195" t="str">
        <f>IF(IFERROR(INDEX('Both teabags AfterDry'!$D$1:$D$839,MATCH(H412,'Both teabags AfterDry'!$A$1:$A$839,0)),"")="N.A","",(IFERROR(INDEX('Both teabags AfterDry'!$D$1:$D$839,MATCH(H412,'Both teabags AfterDry'!$A$1:$A$839,0)),"")))</f>
        <v/>
      </c>
      <c r="P412" s="195" t="str">
        <f>IF(IFERROR(INDEX('Both teabags AfterDry'!$D$1:$D$839,MATCH(I412,'Both teabags AfterDry'!$A$1:$A$839,0)),"")="N.A","",(IFERROR(INDEX('Both teabags AfterDry'!$D$1:$D$839,MATCH(I412,'Both teabags AfterDry'!$A$1:$A$839,0)),"")))</f>
        <v/>
      </c>
      <c r="Q412" s="195" t="str">
        <f t="shared" si="50"/>
        <v/>
      </c>
      <c r="R412" s="195" t="str">
        <f t="shared" si="50"/>
        <v/>
      </c>
      <c r="S412" s="195" t="str">
        <f t="shared" si="45"/>
        <v/>
      </c>
      <c r="T412" s="195" t="str">
        <f t="shared" si="51"/>
        <v/>
      </c>
      <c r="U412" s="195" t="str">
        <f t="shared" si="46"/>
        <v/>
      </c>
      <c r="V412">
        <f t="shared" si="47"/>
        <v>69</v>
      </c>
      <c r="W412" s="195" t="str">
        <f t="shared" si="52"/>
        <v/>
      </c>
      <c r="X412" s="195" t="str">
        <f t="shared" si="53"/>
        <v/>
      </c>
      <c r="Y412" s="255" t="str">
        <f>IF(ISNUMBER(SEARCH("C", 'Dry_Litterbag Placem_Collection'!V119)),"YES","NO")</f>
        <v>NO</v>
      </c>
      <c r="Z412" s="255" t="str">
        <f>IF(ISNUMBER(SEARCH("H", 'Dry_Litterbag Placem_Collection'!V119)),"YES","NO")</f>
        <v>NO</v>
      </c>
      <c r="AA412" s="255" t="str">
        <f>IF(ISNUMBER(SEARCH("R", 'Dry_Litterbag Placem_Collection'!V119)),"YES","NO")</f>
        <v>NO</v>
      </c>
      <c r="AB412" s="255" t="str">
        <f>IF(ISNUMBER(SEARCH("C", 'Dry_Litterbag Placem_Collection'!U119)),"YES","NO")</f>
        <v>NO</v>
      </c>
      <c r="AC412" s="255" t="str">
        <f>IF(ISNUMBER(SEARCH("H", 'Dry_Litterbag Placem_Collection'!U119)),"YES","NO")</f>
        <v>NO</v>
      </c>
      <c r="AD412" s="255" t="str">
        <f>IF(ISNUMBER(SEARCH("R", 'Dry_Litterbag Placem_Collection'!U119)),"YES","NO")</f>
        <v>NO</v>
      </c>
    </row>
    <row r="413" spans="2:30">
      <c r="B413" t="str">
        <f>'Final data_for_R_analysis_Dryse'!A559</f>
        <v>Dry</v>
      </c>
      <c r="C413" s="263">
        <f>'Final data_for_R_analysis_Dryse'!B559</f>
        <v>118</v>
      </c>
      <c r="D413" t="s">
        <v>3844</v>
      </c>
      <c r="E413" t="s">
        <v>25</v>
      </c>
      <c r="F413" s="387">
        <v>6</v>
      </c>
      <c r="G413" s="16">
        <f>'Dry_Litterbag Placem_Collection'!E120</f>
        <v>42939</v>
      </c>
      <c r="H413" s="92" t="str">
        <f>'Final data_for_R_analysis_Dryse'!J559</f>
        <v>G83</v>
      </c>
      <c r="I413" t="str">
        <f>'Final data_for_R_analysis_Dryse'!J779</f>
        <v>R173</v>
      </c>
      <c r="J413">
        <f>IFERROR(INDEX('Green_rooibos initial weight'!$C$5:$C$1749,MATCH(H413, 'Green_rooibos initial weight'!$A$5:$A$1749,0)),"")</f>
        <v>2.0209999999999999</v>
      </c>
      <c r="K413">
        <f>IFERROR(INDEX('Green_rooibos initial weight'!$C$5:$C$1749,MATCH(I413, 'Green_rooibos initial weight'!$A$5:$A$1749,0)),"")</f>
        <v>2.2040000000000002</v>
      </c>
      <c r="L413" s="195">
        <f t="shared" si="48"/>
        <v>1.7711999999999999</v>
      </c>
      <c r="M413" s="195">
        <f t="shared" si="49"/>
        <v>1.9542000000000002</v>
      </c>
      <c r="N413" s="16">
        <f>IF('Dry_Litterbag Placem_Collection'!G120="N.A","",'Dry_Litterbag Placem_Collection'!G120)</f>
        <v>43008</v>
      </c>
      <c r="O413" s="195">
        <f>IF(IFERROR(INDEX('Both teabags AfterDry'!$D$1:$D$839,MATCH(H413,'Both teabags AfterDry'!$A$1:$A$839,0)),"")="N.A","",(IFERROR(INDEX('Both teabags AfterDry'!$D$1:$D$839,MATCH(H413,'Both teabags AfterDry'!$A$1:$A$839,0)),"")))</f>
        <v>0.81779999999999997</v>
      </c>
      <c r="P413" s="195">
        <f>IF(IFERROR(INDEX('Both teabags AfterDry'!$D$1:$D$839,MATCH(I413,'Both teabags AfterDry'!$A$1:$A$839,0)),"")="N.A","",(IFERROR(INDEX('Both teabags AfterDry'!$D$1:$D$839,MATCH(I413,'Both teabags AfterDry'!$A$1:$A$839,0)),"")))</f>
        <v>1.5261</v>
      </c>
      <c r="Q413" s="195">
        <f t="shared" si="50"/>
        <v>0.66720000000000002</v>
      </c>
      <c r="R413" s="195">
        <f t="shared" si="50"/>
        <v>1.3754999999999999</v>
      </c>
      <c r="S413" s="195">
        <f t="shared" si="45"/>
        <v>0.62330623306233057</v>
      </c>
      <c r="T413" s="195">
        <f t="shared" si="51"/>
        <v>0.40862831431164665</v>
      </c>
      <c r="U413" s="195">
        <f t="shared" si="46"/>
        <v>0.70386859072766339</v>
      </c>
      <c r="V413">
        <f t="shared" si="47"/>
        <v>69</v>
      </c>
      <c r="W413" s="195">
        <f t="shared" si="52"/>
        <v>0.25973131465281407</v>
      </c>
      <c r="X413" s="195">
        <f t="shared" si="53"/>
        <v>1.8693916889785722E-2</v>
      </c>
      <c r="Y413" s="255" t="str">
        <f>IF(ISNUMBER(SEARCH("C", 'Dry_Litterbag Placem_Collection'!V120)),"YES","NO")</f>
        <v>NO</v>
      </c>
      <c r="Z413" s="255" t="str">
        <f>IF(ISNUMBER(SEARCH("H", 'Dry_Litterbag Placem_Collection'!V120)),"YES","NO")</f>
        <v>NO</v>
      </c>
      <c r="AA413" s="255" t="str">
        <f>IF(ISNUMBER(SEARCH("R", 'Dry_Litterbag Placem_Collection'!V120)),"YES","NO")</f>
        <v>NO</v>
      </c>
      <c r="AB413" s="255" t="str">
        <f>IF(ISNUMBER(SEARCH("C", 'Dry_Litterbag Placem_Collection'!U120)),"YES","NO")</f>
        <v>NO</v>
      </c>
      <c r="AC413" s="255" t="str">
        <f>IF(ISNUMBER(SEARCH("H", 'Dry_Litterbag Placem_Collection'!U120)),"YES","NO")</f>
        <v>NO</v>
      </c>
      <c r="AD413" s="255" t="str">
        <f>IF(ISNUMBER(SEARCH("R", 'Dry_Litterbag Placem_Collection'!U120)),"YES","NO")</f>
        <v>YES</v>
      </c>
    </row>
    <row r="414" spans="2:30">
      <c r="B414" t="str">
        <f>'Final data_for_R_analysis_Dryse'!A560</f>
        <v>Dry</v>
      </c>
      <c r="C414" s="263">
        <f>'Final data_for_R_analysis_Dryse'!B560</f>
        <v>119</v>
      </c>
      <c r="D414" t="s">
        <v>3844</v>
      </c>
      <c r="E414" t="s">
        <v>25</v>
      </c>
      <c r="F414" s="387">
        <v>7</v>
      </c>
      <c r="G414" s="16">
        <f>'Dry_Litterbag Placem_Collection'!E121</f>
        <v>42939</v>
      </c>
      <c r="H414" s="92" t="str">
        <f>'Final data_for_R_analysis_Dryse'!J560</f>
        <v>G159</v>
      </c>
      <c r="I414" t="str">
        <f>'Final data_for_R_analysis_Dryse'!J780</f>
        <v>R373</v>
      </c>
      <c r="J414">
        <f>IFERROR(INDEX('Green_rooibos initial weight'!$C$5:$C$1749,MATCH(H414, 'Green_rooibos initial weight'!$A$5:$A$1749,0)),"")</f>
        <v>2.1419999999999999</v>
      </c>
      <c r="K414">
        <f>IFERROR(INDEX('Green_rooibos initial weight'!$C$5:$C$1749,MATCH(I414, 'Green_rooibos initial weight'!$A$5:$A$1749,0)),"")</f>
        <v>2.226</v>
      </c>
      <c r="L414" s="195">
        <f t="shared" si="48"/>
        <v>1.8921999999999999</v>
      </c>
      <c r="M414" s="195">
        <f t="shared" si="49"/>
        <v>1.9762</v>
      </c>
      <c r="N414" s="16">
        <f>IF('Dry_Litterbag Placem_Collection'!G121="N.A","",'Dry_Litterbag Placem_Collection'!G121)</f>
        <v>43008</v>
      </c>
      <c r="O414" s="195">
        <f>IF(IFERROR(INDEX('Both teabags AfterDry'!$D$1:$D$839,MATCH(H414,'Both teabags AfterDry'!$A$1:$A$839,0)),"")="N.A","",(IFERROR(INDEX('Both teabags AfterDry'!$D$1:$D$839,MATCH(H414,'Both teabags AfterDry'!$A$1:$A$839,0)),"")))</f>
        <v>0.76990000000000003</v>
      </c>
      <c r="P414" s="195">
        <f>IF(IFERROR(INDEX('Both teabags AfterDry'!$D$1:$D$839,MATCH(I414,'Both teabags AfterDry'!$A$1:$A$839,0)),"")="N.A","",(IFERROR(INDEX('Both teabags AfterDry'!$D$1:$D$839,MATCH(I414,'Both teabags AfterDry'!$A$1:$A$839,0)),"")))</f>
        <v>1.5419</v>
      </c>
      <c r="Q414" s="195">
        <f t="shared" si="50"/>
        <v>0.61929999999999996</v>
      </c>
      <c r="R414" s="195">
        <f t="shared" si="50"/>
        <v>1.3913</v>
      </c>
      <c r="S414" s="195">
        <f t="shared" si="45"/>
        <v>0.67270901596025789</v>
      </c>
      <c r="T414" s="195">
        <f t="shared" si="51"/>
        <v>0.44101588694781763</v>
      </c>
      <c r="U414" s="195">
        <f t="shared" si="46"/>
        <v>0.70402793239550654</v>
      </c>
      <c r="V414">
        <f t="shared" si="47"/>
        <v>69</v>
      </c>
      <c r="W414" s="195">
        <f t="shared" si="52"/>
        <v>0.20105817581917107</v>
      </c>
      <c r="X414" s="195">
        <f t="shared" si="53"/>
        <v>1.6116594209979157E-2</v>
      </c>
      <c r="Y414" s="255" t="str">
        <f>IF(ISNUMBER(SEARCH("C", 'Dry_Litterbag Placem_Collection'!V121)),"YES","NO")</f>
        <v>NO</v>
      </c>
      <c r="Z414" s="255" t="str">
        <f>IF(ISNUMBER(SEARCH("H", 'Dry_Litterbag Placem_Collection'!V121)),"YES","NO")</f>
        <v>NO</v>
      </c>
      <c r="AA414" s="255" t="str">
        <f>IF(ISNUMBER(SEARCH("R", 'Dry_Litterbag Placem_Collection'!V121)),"YES","NO")</f>
        <v>NO</v>
      </c>
      <c r="AB414" s="255" t="str">
        <f>IF(ISNUMBER(SEARCH("C", 'Dry_Litterbag Placem_Collection'!U121)),"YES","NO")</f>
        <v>NO</v>
      </c>
      <c r="AC414" s="255" t="str">
        <f>IF(ISNUMBER(SEARCH("H", 'Dry_Litterbag Placem_Collection'!U121)),"YES","NO")</f>
        <v>NO</v>
      </c>
      <c r="AD414" s="255" t="str">
        <f>IF(ISNUMBER(SEARCH("R", 'Dry_Litterbag Placem_Collection'!U121)),"YES","NO")</f>
        <v>YES</v>
      </c>
    </row>
    <row r="415" spans="2:30">
      <c r="B415" t="str">
        <f>'Final data_for_R_analysis_Dryse'!A561</f>
        <v>Dry</v>
      </c>
      <c r="C415" s="263">
        <f>'Final data_for_R_analysis_Dryse'!B561</f>
        <v>120</v>
      </c>
      <c r="D415" t="s">
        <v>3844</v>
      </c>
      <c r="E415" t="s">
        <v>25</v>
      </c>
      <c r="F415" s="387">
        <v>8</v>
      </c>
      <c r="G415" s="16">
        <f>'Dry_Litterbag Placem_Collection'!E122</f>
        <v>0</v>
      </c>
      <c r="H415" s="92" t="str">
        <f>'Final data_for_R_analysis_Dryse'!J561</f>
        <v/>
      </c>
      <c r="I415" t="str">
        <f>'Final data_for_R_analysis_Dryse'!J781</f>
        <v/>
      </c>
      <c r="J415" t="str">
        <f>IFERROR(INDEX('Green_rooibos initial weight'!$C$5:$C$1749,MATCH(H415, 'Green_rooibos initial weight'!$A$5:$A$1749,0)),"")</f>
        <v/>
      </c>
      <c r="K415" t="str">
        <f>IFERROR(INDEX('Green_rooibos initial weight'!$C$5:$C$1749,MATCH(I415, 'Green_rooibos initial weight'!$A$5:$A$1749,0)),"")</f>
        <v/>
      </c>
      <c r="L415" s="195" t="str">
        <f t="shared" si="48"/>
        <v/>
      </c>
      <c r="M415" s="195" t="str">
        <f t="shared" si="49"/>
        <v/>
      </c>
      <c r="N415" s="16">
        <f>IF('Dry_Litterbag Placem_Collection'!G122="N.A","",'Dry_Litterbag Placem_Collection'!G122)</f>
        <v>0</v>
      </c>
      <c r="O415" s="195" t="str">
        <f>IF(IFERROR(INDEX('Both teabags AfterDry'!$D$1:$D$839,MATCH(H415,'Both teabags AfterDry'!$A$1:$A$839,0)),"")="N.A","",(IFERROR(INDEX('Both teabags AfterDry'!$D$1:$D$839,MATCH(H415,'Both teabags AfterDry'!$A$1:$A$839,0)),"")))</f>
        <v/>
      </c>
      <c r="P415" s="195" t="str">
        <f>IF(IFERROR(INDEX('Both teabags AfterDry'!$D$1:$D$839,MATCH(I415,'Both teabags AfterDry'!$A$1:$A$839,0)),"")="N.A","",(IFERROR(INDEX('Both teabags AfterDry'!$D$1:$D$839,MATCH(I415,'Both teabags AfterDry'!$A$1:$A$839,0)),"")))</f>
        <v/>
      </c>
      <c r="Q415" s="195" t="str">
        <f t="shared" si="50"/>
        <v/>
      </c>
      <c r="R415" s="195" t="str">
        <f t="shared" si="50"/>
        <v/>
      </c>
      <c r="S415" s="195" t="str">
        <f t="shared" si="45"/>
        <v/>
      </c>
      <c r="T415" s="195" t="str">
        <f t="shared" si="51"/>
        <v/>
      </c>
      <c r="U415" s="195" t="str">
        <f t="shared" si="46"/>
        <v/>
      </c>
      <c r="V415" t="str">
        <f t="shared" si="47"/>
        <v/>
      </c>
      <c r="W415" s="195" t="str">
        <f t="shared" si="52"/>
        <v/>
      </c>
      <c r="X415" s="195" t="str">
        <f t="shared" si="53"/>
        <v/>
      </c>
      <c r="Y415" s="255" t="str">
        <f>IF(ISNUMBER(SEARCH("C", 'Dry_Litterbag Placem_Collection'!V122)),"YES","NO")</f>
        <v>NO</v>
      </c>
      <c r="Z415" s="255" t="str">
        <f>IF(ISNUMBER(SEARCH("H", 'Dry_Litterbag Placem_Collection'!V122)),"YES","NO")</f>
        <v>NO</v>
      </c>
      <c r="AA415" s="255" t="str">
        <f>IF(ISNUMBER(SEARCH("R", 'Dry_Litterbag Placem_Collection'!V122)),"YES","NO")</f>
        <v>NO</v>
      </c>
      <c r="AB415" s="255" t="str">
        <f>IF(ISNUMBER(SEARCH("C", 'Dry_Litterbag Placem_Collection'!U122)),"YES","NO")</f>
        <v>NO</v>
      </c>
      <c r="AC415" s="255" t="str">
        <f>IF(ISNUMBER(SEARCH("H", 'Dry_Litterbag Placem_Collection'!U122)),"YES","NO")</f>
        <v>NO</v>
      </c>
      <c r="AD415" s="255" t="str">
        <f>IF(ISNUMBER(SEARCH("R", 'Dry_Litterbag Placem_Collection'!U122)),"YES","NO")</f>
        <v>NO</v>
      </c>
    </row>
    <row r="416" spans="2:30">
      <c r="B416" t="str">
        <f>'Final data_for_R_analysis_Dryse'!A562</f>
        <v>Dry</v>
      </c>
      <c r="C416" s="263">
        <f>'Final data_for_R_analysis_Dryse'!B562</f>
        <v>121</v>
      </c>
      <c r="D416" t="s">
        <v>3845</v>
      </c>
      <c r="E416" t="s">
        <v>25</v>
      </c>
      <c r="F416" s="386">
        <v>1</v>
      </c>
      <c r="G416" s="16">
        <f>'Dry_Litterbag Placem_Collection'!E123</f>
        <v>42939</v>
      </c>
      <c r="H416" s="92" t="str">
        <f>'Final data_for_R_analysis_Dryse'!J562</f>
        <v>G16</v>
      </c>
      <c r="I416" t="str">
        <f>'Final data_for_R_analysis_Dryse'!J782</f>
        <v>R374</v>
      </c>
      <c r="J416">
        <f>IFERROR(INDEX('Green_rooibos initial weight'!$C$5:$C$1749,MATCH(H416, 'Green_rooibos initial weight'!$A$5:$A$1749,0)),"")</f>
        <v>1.9410000000000001</v>
      </c>
      <c r="K416">
        <f>IFERROR(INDEX('Green_rooibos initial weight'!$C$5:$C$1749,MATCH(I416, 'Green_rooibos initial weight'!$A$5:$A$1749,0)),"")</f>
        <v>2.2090000000000001</v>
      </c>
      <c r="L416" s="195">
        <f t="shared" si="48"/>
        <v>1.6912</v>
      </c>
      <c r="M416" s="195">
        <f t="shared" si="49"/>
        <v>1.9592000000000001</v>
      </c>
      <c r="N416" s="16">
        <f>IF('Dry_Litterbag Placem_Collection'!G123="N.A","",'Dry_Litterbag Placem_Collection'!G123)</f>
        <v>43008</v>
      </c>
      <c r="O416" s="195" t="str">
        <f>IF(IFERROR(INDEX('Both teabags AfterDry'!$D$1:$D$839,MATCH(H416,'Both teabags AfterDry'!$A$1:$A$839,0)),"")="N.A","",(IFERROR(INDEX('Both teabags AfterDry'!$D$1:$D$839,MATCH(H416,'Both teabags AfterDry'!$A$1:$A$839,0)),"")))</f>
        <v/>
      </c>
      <c r="P416" s="195" t="str">
        <f>IF(IFERROR(INDEX('Both teabags AfterDry'!$D$1:$D$839,MATCH(I416,'Both teabags AfterDry'!$A$1:$A$839,0)),"")="N.A","",(IFERROR(INDEX('Both teabags AfterDry'!$D$1:$D$839,MATCH(I416,'Both teabags AfterDry'!$A$1:$A$839,0)),"")))</f>
        <v/>
      </c>
      <c r="Q416" s="195" t="str">
        <f t="shared" si="50"/>
        <v/>
      </c>
      <c r="R416" s="195" t="str">
        <f t="shared" si="50"/>
        <v/>
      </c>
      <c r="S416" s="195" t="str">
        <f t="shared" si="45"/>
        <v/>
      </c>
      <c r="T416" s="195" t="str">
        <f t="shared" si="51"/>
        <v/>
      </c>
      <c r="U416" s="195" t="str">
        <f t="shared" si="46"/>
        <v/>
      </c>
      <c r="V416">
        <f t="shared" si="47"/>
        <v>69</v>
      </c>
      <c r="W416" s="195" t="str">
        <f t="shared" si="52"/>
        <v/>
      </c>
      <c r="X416" s="195" t="str">
        <f t="shared" si="53"/>
        <v/>
      </c>
      <c r="Y416" s="255" t="str">
        <f>IF(ISNUMBER(SEARCH("C", 'Dry_Litterbag Placem_Collection'!V123)),"YES","NO")</f>
        <v>NO</v>
      </c>
      <c r="Z416" s="255" t="str">
        <f>IF(ISNUMBER(SEARCH("H", 'Dry_Litterbag Placem_Collection'!V123)),"YES","NO")</f>
        <v>NO</v>
      </c>
      <c r="AA416" s="255" t="str">
        <f>IF(ISNUMBER(SEARCH("R", 'Dry_Litterbag Placem_Collection'!V123)),"YES","NO")</f>
        <v>NO</v>
      </c>
      <c r="AB416" s="255" t="str">
        <f>IF(ISNUMBER(SEARCH("C", 'Dry_Litterbag Placem_Collection'!U123)),"YES","NO")</f>
        <v>NO</v>
      </c>
      <c r="AC416" s="255" t="str">
        <f>IF(ISNUMBER(SEARCH("H", 'Dry_Litterbag Placem_Collection'!U123)),"YES","NO")</f>
        <v>NO</v>
      </c>
      <c r="AD416" s="255" t="str">
        <f>IF(ISNUMBER(SEARCH("R", 'Dry_Litterbag Placem_Collection'!U123)),"YES","NO")</f>
        <v>NO</v>
      </c>
    </row>
    <row r="417" spans="2:30">
      <c r="B417" t="str">
        <f>'Final data_for_R_analysis_Dryse'!A563</f>
        <v>Dry</v>
      </c>
      <c r="C417" s="263">
        <f>'Final data_for_R_analysis_Dryse'!B563</f>
        <v>122</v>
      </c>
      <c r="D417" t="s">
        <v>3845</v>
      </c>
      <c r="E417" t="s">
        <v>25</v>
      </c>
      <c r="F417" s="386">
        <v>2</v>
      </c>
      <c r="G417" s="16">
        <f>'Dry_Litterbag Placem_Collection'!E124</f>
        <v>42939</v>
      </c>
      <c r="H417" s="92" t="str">
        <f>'Final data_for_R_analysis_Dryse'!J563</f>
        <v>G109</v>
      </c>
      <c r="I417" t="str">
        <f>'Final data_for_R_analysis_Dryse'!J783</f>
        <v>R388</v>
      </c>
      <c r="J417">
        <f>IFERROR(INDEX('Green_rooibos initial weight'!$C$5:$C$1749,MATCH(H417, 'Green_rooibos initial weight'!$A$5:$A$1749,0)),"")</f>
        <v>1.992</v>
      </c>
      <c r="K417">
        <f>IFERROR(INDEX('Green_rooibos initial weight'!$C$5:$C$1749,MATCH(I417, 'Green_rooibos initial weight'!$A$5:$A$1749,0)),"")</f>
        <v>2.2349999999999999</v>
      </c>
      <c r="L417" s="195">
        <f t="shared" si="48"/>
        <v>1.7422</v>
      </c>
      <c r="M417" s="195">
        <f t="shared" si="49"/>
        <v>1.9851999999999999</v>
      </c>
      <c r="N417" s="16">
        <f>IF('Dry_Litterbag Placem_Collection'!G124="N.A","",'Dry_Litterbag Placem_Collection'!G124)</f>
        <v>43008</v>
      </c>
      <c r="O417" s="195">
        <f>IF(IFERROR(INDEX('Both teabags AfterDry'!$D$1:$D$839,MATCH(H417,'Both teabags AfterDry'!$A$1:$A$839,0)),"")="N.A","",(IFERROR(INDEX('Both teabags AfterDry'!$D$1:$D$839,MATCH(H417,'Both teabags AfterDry'!$A$1:$A$839,0)),"")))</f>
        <v>0.67359999999999998</v>
      </c>
      <c r="P417" s="195">
        <f>IF(IFERROR(INDEX('Both teabags AfterDry'!$D$1:$D$839,MATCH(I417,'Both teabags AfterDry'!$A$1:$A$839,0)),"")="N.A","",(IFERROR(INDEX('Both teabags AfterDry'!$D$1:$D$839,MATCH(I417,'Both teabags AfterDry'!$A$1:$A$839,0)),"")))</f>
        <v>1.4536</v>
      </c>
      <c r="Q417" s="195">
        <f t="shared" si="50"/>
        <v>0.52299999999999991</v>
      </c>
      <c r="R417" s="195">
        <f t="shared" si="50"/>
        <v>1.3029999999999999</v>
      </c>
      <c r="S417" s="195">
        <f t="shared" si="45"/>
        <v>0.6998048444495466</v>
      </c>
      <c r="T417" s="195">
        <f t="shared" si="51"/>
        <v>0.45877942296454838</v>
      </c>
      <c r="U417" s="195">
        <f t="shared" si="46"/>
        <v>0.65635704211162604</v>
      </c>
      <c r="V417">
        <f t="shared" si="47"/>
        <v>69</v>
      </c>
      <c r="W417" s="195">
        <f t="shared" si="52"/>
        <v>0.16887785694828195</v>
      </c>
      <c r="X417" s="195">
        <f t="shared" si="53"/>
        <v>2.0035528360593132E-2</v>
      </c>
      <c r="Y417" s="255" t="str">
        <f>IF(ISNUMBER(SEARCH("C", 'Dry_Litterbag Placem_Collection'!V124)),"YES","NO")</f>
        <v>NO</v>
      </c>
      <c r="Z417" s="255" t="str">
        <f>IF(ISNUMBER(SEARCH("H", 'Dry_Litterbag Placem_Collection'!V124)),"YES","NO")</f>
        <v>NO</v>
      </c>
      <c r="AA417" s="255" t="str">
        <f>IF(ISNUMBER(SEARCH("R", 'Dry_Litterbag Placem_Collection'!V124)),"YES","NO")</f>
        <v>NO</v>
      </c>
      <c r="AB417" s="255" t="str">
        <f>IF(ISNUMBER(SEARCH("C", 'Dry_Litterbag Placem_Collection'!U124)),"YES","NO")</f>
        <v>NO</v>
      </c>
      <c r="AC417" s="255" t="str">
        <f>IF(ISNUMBER(SEARCH("H", 'Dry_Litterbag Placem_Collection'!U124)),"YES","NO")</f>
        <v>NO</v>
      </c>
      <c r="AD417" s="255" t="str">
        <f>IF(ISNUMBER(SEARCH("R", 'Dry_Litterbag Placem_Collection'!U124)),"YES","NO")</f>
        <v>NO</v>
      </c>
    </row>
    <row r="418" spans="2:30">
      <c r="B418" t="str">
        <f>'Final data_for_R_analysis_Dryse'!A564</f>
        <v>Dry</v>
      </c>
      <c r="C418" s="263">
        <f>'Final data_for_R_analysis_Dryse'!B564</f>
        <v>123</v>
      </c>
      <c r="D418" t="s">
        <v>3845</v>
      </c>
      <c r="E418" t="s">
        <v>25</v>
      </c>
      <c r="F418" s="386">
        <v>3</v>
      </c>
      <c r="G418" s="16">
        <f>'Dry_Litterbag Placem_Collection'!E125</f>
        <v>42939</v>
      </c>
      <c r="H418" s="92" t="str">
        <f>'Final data_for_R_analysis_Dryse'!J564</f>
        <v>G344</v>
      </c>
      <c r="I418" t="str">
        <f>'Final data_for_R_analysis_Dryse'!J784</f>
        <v>R281</v>
      </c>
      <c r="J418">
        <f>IFERROR(INDEX('Green_rooibos initial weight'!$C$5:$C$1749,MATCH(H418, 'Green_rooibos initial weight'!$A$5:$A$1749,0)),"")</f>
        <v>1.93</v>
      </c>
      <c r="K418">
        <f>IFERROR(INDEX('Green_rooibos initial weight'!$C$5:$C$1749,MATCH(I418, 'Green_rooibos initial weight'!$A$5:$A$1749,0)),"")</f>
        <v>2.17</v>
      </c>
      <c r="L418" s="195">
        <f t="shared" si="48"/>
        <v>1.6801999999999999</v>
      </c>
      <c r="M418" s="195">
        <f t="shared" si="49"/>
        <v>1.9201999999999999</v>
      </c>
      <c r="N418" s="16">
        <f>IF('Dry_Litterbag Placem_Collection'!G125="N.A","",'Dry_Litterbag Placem_Collection'!G125)</f>
        <v>43008</v>
      </c>
      <c r="O418" s="195">
        <f>IF(IFERROR(INDEX('Both teabags AfterDry'!$D$1:$D$839,MATCH(H418,'Both teabags AfterDry'!$A$1:$A$839,0)),"")="N.A","",(IFERROR(INDEX('Both teabags AfterDry'!$D$1:$D$839,MATCH(H418,'Both teabags AfterDry'!$A$1:$A$839,0)),"")))</f>
        <v>0.78580000000000005</v>
      </c>
      <c r="P418" s="195">
        <f>IF(IFERROR(INDEX('Both teabags AfterDry'!$D$1:$D$839,MATCH(I418,'Both teabags AfterDry'!$A$1:$A$839,0)),"")="N.A","",(IFERROR(INDEX('Both teabags AfterDry'!$D$1:$D$839,MATCH(I418,'Both teabags AfterDry'!$A$1:$A$839,0)),"")))</f>
        <v>1.7361</v>
      </c>
      <c r="Q418" s="195">
        <f t="shared" si="50"/>
        <v>0.63519999999999999</v>
      </c>
      <c r="R418" s="195">
        <f t="shared" si="50"/>
        <v>1.5854999999999999</v>
      </c>
      <c r="S418" s="195">
        <f t="shared" si="45"/>
        <v>0.62194976788477563</v>
      </c>
      <c r="T418" s="195">
        <f t="shared" si="51"/>
        <v>0.40773904022849905</v>
      </c>
      <c r="U418" s="195">
        <f t="shared" si="46"/>
        <v>0.8256952400791584</v>
      </c>
      <c r="V418">
        <f t="shared" si="47"/>
        <v>69</v>
      </c>
      <c r="W418" s="195">
        <f t="shared" si="52"/>
        <v>0.26134231842663225</v>
      </c>
      <c r="X418" s="195">
        <f t="shared" si="53"/>
        <v>8.0829968083643913E-3</v>
      </c>
      <c r="Y418" s="255" t="str">
        <f>IF(ISNUMBER(SEARCH("C", 'Dry_Litterbag Placem_Collection'!V125)),"YES","NO")</f>
        <v>NO</v>
      </c>
      <c r="Z418" s="255" t="str">
        <f>IF(ISNUMBER(SEARCH("H", 'Dry_Litterbag Placem_Collection'!V125)),"YES","NO")</f>
        <v>NO</v>
      </c>
      <c r="AA418" s="255" t="str">
        <f>IF(ISNUMBER(SEARCH("R", 'Dry_Litterbag Placem_Collection'!V125)),"YES","NO")</f>
        <v>NO</v>
      </c>
      <c r="AB418" s="255" t="str">
        <f>IF(ISNUMBER(SEARCH("C", 'Dry_Litterbag Placem_Collection'!U125)),"YES","NO")</f>
        <v>NO</v>
      </c>
      <c r="AC418" s="255" t="str">
        <f>IF(ISNUMBER(SEARCH("H", 'Dry_Litterbag Placem_Collection'!U125)),"YES","NO")</f>
        <v>NO</v>
      </c>
      <c r="AD418" s="255" t="str">
        <f>IF(ISNUMBER(SEARCH("R", 'Dry_Litterbag Placem_Collection'!U125)),"YES","NO")</f>
        <v>NO</v>
      </c>
    </row>
    <row r="419" spans="2:30">
      <c r="B419" t="str">
        <f>'Final data_for_R_analysis_Dryse'!A565</f>
        <v>Dry</v>
      </c>
      <c r="C419" s="263">
        <f>'Final data_for_R_analysis_Dryse'!B565</f>
        <v>124</v>
      </c>
      <c r="D419" t="s">
        <v>3845</v>
      </c>
      <c r="E419" t="s">
        <v>25</v>
      </c>
      <c r="F419" s="387">
        <v>4</v>
      </c>
      <c r="G419" s="16">
        <f>'Dry_Litterbag Placem_Collection'!E126</f>
        <v>42939</v>
      </c>
      <c r="H419" s="92" t="str">
        <f>'Final data_for_R_analysis_Dryse'!J565</f>
        <v>G221</v>
      </c>
      <c r="I419" t="str">
        <f>'Final data_for_R_analysis_Dryse'!J785</f>
        <v>R443</v>
      </c>
      <c r="J419">
        <f>IFERROR(INDEX('Green_rooibos initial weight'!$C$5:$C$1749,MATCH(H419, 'Green_rooibos initial weight'!$A$5:$A$1749,0)),"")</f>
        <v>2.004</v>
      </c>
      <c r="K419">
        <f>IFERROR(INDEX('Green_rooibos initial weight'!$C$5:$C$1749,MATCH(I419, 'Green_rooibos initial weight'!$A$5:$A$1749,0)),"")</f>
        <v>2.2149999999999999</v>
      </c>
      <c r="L419" s="195">
        <f t="shared" si="48"/>
        <v>1.7542</v>
      </c>
      <c r="M419" s="195">
        <f t="shared" si="49"/>
        <v>1.9651999999999998</v>
      </c>
      <c r="N419" s="16">
        <f>IF('Dry_Litterbag Placem_Collection'!G126="N.A","",'Dry_Litterbag Placem_Collection'!G126)</f>
        <v>43008</v>
      </c>
      <c r="O419" s="195">
        <f>IF(IFERROR(INDEX('Both teabags AfterDry'!$D$1:$D$839,MATCH(H419,'Both teabags AfterDry'!$A$1:$A$839,0)),"")="N.A","",(IFERROR(INDEX('Both teabags AfterDry'!$D$1:$D$839,MATCH(H419,'Both teabags AfterDry'!$A$1:$A$839,0)),"")))</f>
        <v>0.66700000000000004</v>
      </c>
      <c r="P419" s="195">
        <f>IF(IFERROR(INDEX('Both teabags AfterDry'!$D$1:$D$839,MATCH(I419,'Both teabags AfterDry'!$A$1:$A$839,0)),"")="N.A","",(IFERROR(INDEX('Both teabags AfterDry'!$D$1:$D$839,MATCH(I419,'Both teabags AfterDry'!$A$1:$A$839,0)),"")))</f>
        <v>1.5766</v>
      </c>
      <c r="Q419" s="195">
        <f t="shared" si="50"/>
        <v>0.51639999999999997</v>
      </c>
      <c r="R419" s="195">
        <f t="shared" si="50"/>
        <v>1.4259999999999999</v>
      </c>
      <c r="S419" s="195">
        <f t="shared" si="45"/>
        <v>0.70562079580435522</v>
      </c>
      <c r="T419" s="195">
        <f t="shared" si="51"/>
        <v>0.46259225568171508</v>
      </c>
      <c r="U419" s="195">
        <f t="shared" si="46"/>
        <v>0.72562589049460613</v>
      </c>
      <c r="V419">
        <f t="shared" si="47"/>
        <v>69</v>
      </c>
      <c r="W419" s="195">
        <f t="shared" si="52"/>
        <v>0.16197055130124083</v>
      </c>
      <c r="X419" s="195">
        <f t="shared" si="53"/>
        <v>1.3032527053062206E-2</v>
      </c>
      <c r="Y419" s="255" t="str">
        <f>IF(ISNUMBER(SEARCH("C", 'Dry_Litterbag Placem_Collection'!V126)),"YES","NO")</f>
        <v>NO</v>
      </c>
      <c r="Z419" s="255" t="str">
        <f>IF(ISNUMBER(SEARCH("H", 'Dry_Litterbag Placem_Collection'!V126)),"YES","NO")</f>
        <v>NO</v>
      </c>
      <c r="AA419" s="255" t="str">
        <f>IF(ISNUMBER(SEARCH("R", 'Dry_Litterbag Placem_Collection'!V126)),"YES","NO")</f>
        <v>NO</v>
      </c>
      <c r="AB419" s="255" t="str">
        <f>IF(ISNUMBER(SEARCH("C", 'Dry_Litterbag Placem_Collection'!U126)),"YES","NO")</f>
        <v>NO</v>
      </c>
      <c r="AC419" s="255" t="str">
        <f>IF(ISNUMBER(SEARCH("H", 'Dry_Litterbag Placem_Collection'!U126)),"YES","NO")</f>
        <v>NO</v>
      </c>
      <c r="AD419" s="255" t="str">
        <f>IF(ISNUMBER(SEARCH("R", 'Dry_Litterbag Placem_Collection'!U126)),"YES","NO")</f>
        <v>NO</v>
      </c>
    </row>
    <row r="420" spans="2:30">
      <c r="B420" t="str">
        <f>'Final data_for_R_analysis_Dryse'!A566</f>
        <v>Dry</v>
      </c>
      <c r="C420" s="263">
        <f>'Final data_for_R_analysis_Dryse'!B566</f>
        <v>125</v>
      </c>
      <c r="D420" t="s">
        <v>3845</v>
      </c>
      <c r="E420" t="s">
        <v>25</v>
      </c>
      <c r="F420" s="387">
        <v>5</v>
      </c>
      <c r="G420" s="16">
        <f>'Dry_Litterbag Placem_Collection'!E127</f>
        <v>42939</v>
      </c>
      <c r="H420" s="92" t="str">
        <f>'Final data_for_R_analysis_Dryse'!J566</f>
        <v>G757</v>
      </c>
      <c r="I420" t="str">
        <f>'Final data_for_R_analysis_Dryse'!J786</f>
        <v>R180</v>
      </c>
      <c r="J420">
        <f>IFERROR(INDEX('Green_rooibos initial weight'!$C$5:$C$1749,MATCH(H420, 'Green_rooibos initial weight'!$A$5:$A$1749,0)),"")</f>
        <v>2.0670000000000002</v>
      </c>
      <c r="K420">
        <f>IFERROR(INDEX('Green_rooibos initial weight'!$C$5:$C$1749,MATCH(I420, 'Green_rooibos initial weight'!$A$5:$A$1749,0)),"")</f>
        <v>2.2010000000000001</v>
      </c>
      <c r="L420" s="195">
        <f t="shared" si="48"/>
        <v>1.8172000000000001</v>
      </c>
      <c r="M420" s="195">
        <f t="shared" si="49"/>
        <v>1.9512</v>
      </c>
      <c r="N420" s="16">
        <f>IF('Dry_Litterbag Placem_Collection'!G127="N.A","",'Dry_Litterbag Placem_Collection'!G127)</f>
        <v>43008</v>
      </c>
      <c r="O420" s="195">
        <f>IF(IFERROR(INDEX('Both teabags AfterDry'!$D$1:$D$839,MATCH(H420,'Both teabags AfterDry'!$A$1:$A$839,0)),"")="N.A","",(IFERROR(INDEX('Both teabags AfterDry'!$D$1:$D$839,MATCH(H420,'Both teabags AfterDry'!$A$1:$A$839,0)),"")))</f>
        <v>0.92230000000000001</v>
      </c>
      <c r="P420" s="195">
        <f>IF(IFERROR(INDEX('Both teabags AfterDry'!$D$1:$D$839,MATCH(I420,'Both teabags AfterDry'!$A$1:$A$839,0)),"")="N.A","",(IFERROR(INDEX('Both teabags AfterDry'!$D$1:$D$839,MATCH(I420,'Both teabags AfterDry'!$A$1:$A$839,0)),"")))</f>
        <v>1.595</v>
      </c>
      <c r="Q420" s="195">
        <f t="shared" si="50"/>
        <v>0.77170000000000005</v>
      </c>
      <c r="R420" s="195">
        <f t="shared" si="50"/>
        <v>1.4443999999999999</v>
      </c>
      <c r="S420" s="195">
        <f t="shared" si="45"/>
        <v>0.5753356812678847</v>
      </c>
      <c r="T420" s="195">
        <f t="shared" si="51"/>
        <v>0.37717968653191497</v>
      </c>
      <c r="U420" s="195">
        <f t="shared" si="46"/>
        <v>0.74026240262402621</v>
      </c>
      <c r="V420">
        <f t="shared" si="47"/>
        <v>69</v>
      </c>
      <c r="W420" s="195">
        <f t="shared" si="52"/>
        <v>0.31670346642769032</v>
      </c>
      <c r="X420" s="195">
        <f t="shared" si="53"/>
        <v>1.6909802060260697E-2</v>
      </c>
      <c r="Y420" s="255" t="str">
        <f>IF(ISNUMBER(SEARCH("C", 'Dry_Litterbag Placem_Collection'!V127)),"YES","NO")</f>
        <v>NO</v>
      </c>
      <c r="Z420" s="255" t="str">
        <f>IF(ISNUMBER(SEARCH("H", 'Dry_Litterbag Placem_Collection'!V127)),"YES","NO")</f>
        <v>NO</v>
      </c>
      <c r="AA420" s="255" t="str">
        <f>IF(ISNUMBER(SEARCH("R", 'Dry_Litterbag Placem_Collection'!V127)),"YES","NO")</f>
        <v>NO</v>
      </c>
      <c r="AB420" s="255" t="str">
        <f>IF(ISNUMBER(SEARCH("C", 'Dry_Litterbag Placem_Collection'!U127)),"YES","NO")</f>
        <v>NO</v>
      </c>
      <c r="AC420" s="255" t="str">
        <f>IF(ISNUMBER(SEARCH("H", 'Dry_Litterbag Placem_Collection'!U127)),"YES","NO")</f>
        <v>NO</v>
      </c>
      <c r="AD420" s="255" t="str">
        <f>IF(ISNUMBER(SEARCH("R", 'Dry_Litterbag Placem_Collection'!U127)),"YES","NO")</f>
        <v>NO</v>
      </c>
    </row>
    <row r="421" spans="2:30">
      <c r="B421" t="str">
        <f>'Final data_for_R_analysis_Dryse'!A567</f>
        <v>Dry</v>
      </c>
      <c r="C421" s="263">
        <f>'Final data_for_R_analysis_Dryse'!B567</f>
        <v>126</v>
      </c>
      <c r="D421" t="s">
        <v>3845</v>
      </c>
      <c r="E421" t="s">
        <v>25</v>
      </c>
      <c r="F421" s="387">
        <v>6</v>
      </c>
      <c r="G421" s="16">
        <f>'Dry_Litterbag Placem_Collection'!E128</f>
        <v>0</v>
      </c>
      <c r="H421" s="92" t="str">
        <f>'Final data_for_R_analysis_Dryse'!J567</f>
        <v/>
      </c>
      <c r="I421" t="str">
        <f>'Final data_for_R_analysis_Dryse'!J787</f>
        <v/>
      </c>
      <c r="J421" t="str">
        <f>IFERROR(INDEX('Green_rooibos initial weight'!$C$5:$C$1749,MATCH(H421, 'Green_rooibos initial weight'!$A$5:$A$1749,0)),"")</f>
        <v/>
      </c>
      <c r="K421" t="str">
        <f>IFERROR(INDEX('Green_rooibos initial weight'!$C$5:$C$1749,MATCH(I421, 'Green_rooibos initial weight'!$A$5:$A$1749,0)),"")</f>
        <v/>
      </c>
      <c r="L421" s="195" t="str">
        <f t="shared" si="48"/>
        <v/>
      </c>
      <c r="M421" s="195" t="str">
        <f t="shared" si="49"/>
        <v/>
      </c>
      <c r="N421" s="16">
        <f>IF('Dry_Litterbag Placem_Collection'!G128="N.A","",'Dry_Litterbag Placem_Collection'!G128)</f>
        <v>0</v>
      </c>
      <c r="O421" s="195" t="str">
        <f>IF(IFERROR(INDEX('Both teabags AfterDry'!$D$1:$D$839,MATCH(H421,'Both teabags AfterDry'!$A$1:$A$839,0)),"")="N.A","",(IFERROR(INDEX('Both teabags AfterDry'!$D$1:$D$839,MATCH(H421,'Both teabags AfterDry'!$A$1:$A$839,0)),"")))</f>
        <v/>
      </c>
      <c r="P421" s="195" t="str">
        <f>IF(IFERROR(INDEX('Both teabags AfterDry'!$D$1:$D$839,MATCH(I421,'Both teabags AfterDry'!$A$1:$A$839,0)),"")="N.A","",(IFERROR(INDEX('Both teabags AfterDry'!$D$1:$D$839,MATCH(I421,'Both teabags AfterDry'!$A$1:$A$839,0)),"")))</f>
        <v/>
      </c>
      <c r="Q421" s="195" t="str">
        <f t="shared" si="50"/>
        <v/>
      </c>
      <c r="R421" s="195" t="str">
        <f t="shared" si="50"/>
        <v/>
      </c>
      <c r="S421" s="195" t="str">
        <f t="shared" si="45"/>
        <v/>
      </c>
      <c r="T421" s="195" t="str">
        <f t="shared" si="51"/>
        <v/>
      </c>
      <c r="U421" s="195" t="str">
        <f t="shared" si="46"/>
        <v/>
      </c>
      <c r="V421" t="str">
        <f t="shared" si="47"/>
        <v/>
      </c>
      <c r="W421" s="195" t="str">
        <f t="shared" si="52"/>
        <v/>
      </c>
      <c r="X421" s="195" t="str">
        <f t="shared" si="53"/>
        <v/>
      </c>
      <c r="Y421" s="255" t="str">
        <f>IF(ISNUMBER(SEARCH("C", 'Dry_Litterbag Placem_Collection'!V128)),"YES","NO")</f>
        <v>NO</v>
      </c>
      <c r="Z421" s="255" t="str">
        <f>IF(ISNUMBER(SEARCH("H", 'Dry_Litterbag Placem_Collection'!V128)),"YES","NO")</f>
        <v>NO</v>
      </c>
      <c r="AA421" s="255" t="str">
        <f>IF(ISNUMBER(SEARCH("R", 'Dry_Litterbag Placem_Collection'!V128)),"YES","NO")</f>
        <v>NO</v>
      </c>
      <c r="AB421" s="255" t="str">
        <f>IF(ISNUMBER(SEARCH("C", 'Dry_Litterbag Placem_Collection'!U128)),"YES","NO")</f>
        <v>NO</v>
      </c>
      <c r="AC421" s="255" t="str">
        <f>IF(ISNUMBER(SEARCH("H", 'Dry_Litterbag Placem_Collection'!U128)),"YES","NO")</f>
        <v>NO</v>
      </c>
      <c r="AD421" s="255" t="str">
        <f>IF(ISNUMBER(SEARCH("R", 'Dry_Litterbag Placem_Collection'!U128)),"YES","NO")</f>
        <v>NO</v>
      </c>
    </row>
    <row r="422" spans="2:30">
      <c r="B422" t="str">
        <f>'Final data_for_R_analysis_Dryse'!A568</f>
        <v>Dry</v>
      </c>
      <c r="C422" s="263">
        <f>'Final data_for_R_analysis_Dryse'!B568</f>
        <v>127</v>
      </c>
      <c r="D422" t="s">
        <v>3845</v>
      </c>
      <c r="E422" t="s">
        <v>25</v>
      </c>
      <c r="F422" s="387">
        <v>7</v>
      </c>
      <c r="G422" s="16">
        <f>'Dry_Litterbag Placem_Collection'!E129</f>
        <v>42939</v>
      </c>
      <c r="H422" s="92" t="str">
        <f>'Final data_for_R_analysis_Dryse'!J568</f>
        <v>G96</v>
      </c>
      <c r="I422" t="str">
        <f>'Final data_for_R_analysis_Dryse'!J788</f>
        <v>R229</v>
      </c>
      <c r="J422">
        <f>IFERROR(INDEX('Green_rooibos initial weight'!$C$5:$C$1749,MATCH(H422, 'Green_rooibos initial weight'!$A$5:$A$1749,0)),"")</f>
        <v>2.2349999999999999</v>
      </c>
      <c r="K422">
        <f>IFERROR(INDEX('Green_rooibos initial weight'!$C$5:$C$1749,MATCH(I422, 'Green_rooibos initial weight'!$A$5:$A$1749,0)),"")</f>
        <v>2.2530000000000001</v>
      </c>
      <c r="L422" s="195">
        <f t="shared" si="48"/>
        <v>1.9851999999999999</v>
      </c>
      <c r="M422" s="195">
        <f t="shared" si="49"/>
        <v>2.0032000000000001</v>
      </c>
      <c r="N422" s="16">
        <f>IF('Dry_Litterbag Placem_Collection'!G129="N.A","",'Dry_Litterbag Placem_Collection'!G129)</f>
        <v>43008</v>
      </c>
      <c r="O422" s="195">
        <f>IF(IFERROR(INDEX('Both teabags AfterDry'!$D$1:$D$839,MATCH(H422,'Both teabags AfterDry'!$A$1:$A$839,0)),"")="N.A","",(IFERROR(INDEX('Both teabags AfterDry'!$D$1:$D$839,MATCH(H422,'Both teabags AfterDry'!$A$1:$A$839,0)),"")))</f>
        <v>0.77790000000000004</v>
      </c>
      <c r="P422" s="195">
        <f>IF(IFERROR(INDEX('Both teabags AfterDry'!$D$1:$D$839,MATCH(I422,'Both teabags AfterDry'!$A$1:$A$839,0)),"")="N.A","",(IFERROR(INDEX('Both teabags AfterDry'!$D$1:$D$839,MATCH(I422,'Both teabags AfterDry'!$A$1:$A$839,0)),"")))</f>
        <v>1.5876999999999999</v>
      </c>
      <c r="Q422" s="195">
        <f t="shared" si="50"/>
        <v>0.62729999999999997</v>
      </c>
      <c r="R422" s="195">
        <f t="shared" si="50"/>
        <v>1.4370999999999998</v>
      </c>
      <c r="S422" s="195">
        <f t="shared" si="45"/>
        <v>0.6840116864799517</v>
      </c>
      <c r="T422" s="195">
        <f t="shared" si="51"/>
        <v>0.44842571370182116</v>
      </c>
      <c r="U422" s="195">
        <f t="shared" si="46"/>
        <v>0.71740215654952066</v>
      </c>
      <c r="V422">
        <f t="shared" si="47"/>
        <v>69</v>
      </c>
      <c r="W422" s="195">
        <f t="shared" si="52"/>
        <v>0.18763457662713567</v>
      </c>
      <c r="X422" s="195">
        <f t="shared" si="53"/>
        <v>1.4417285664180577E-2</v>
      </c>
      <c r="Y422" s="255" t="str">
        <f>IF(ISNUMBER(SEARCH("C", 'Dry_Litterbag Placem_Collection'!V129)),"YES","NO")</f>
        <v>NO</v>
      </c>
      <c r="Z422" s="255" t="str">
        <f>IF(ISNUMBER(SEARCH("H", 'Dry_Litterbag Placem_Collection'!V129)),"YES","NO")</f>
        <v>NO</v>
      </c>
      <c r="AA422" s="255" t="str">
        <f>IF(ISNUMBER(SEARCH("R", 'Dry_Litterbag Placem_Collection'!V129)),"YES","NO")</f>
        <v>NO</v>
      </c>
      <c r="AB422" s="255" t="str">
        <f>IF(ISNUMBER(SEARCH("C", 'Dry_Litterbag Placem_Collection'!U129)),"YES","NO")</f>
        <v>NO</v>
      </c>
      <c r="AC422" s="255" t="str">
        <f>IF(ISNUMBER(SEARCH("H", 'Dry_Litterbag Placem_Collection'!U129)),"YES","NO")</f>
        <v>NO</v>
      </c>
      <c r="AD422" s="255" t="str">
        <f>IF(ISNUMBER(SEARCH("R", 'Dry_Litterbag Placem_Collection'!U129)),"YES","NO")</f>
        <v>YES</v>
      </c>
    </row>
    <row r="423" spans="2:30">
      <c r="B423" t="str">
        <f>'Final data_for_R_analysis_Dryse'!A569</f>
        <v>Dry</v>
      </c>
      <c r="C423" s="263">
        <f>'Final data_for_R_analysis_Dryse'!B569</f>
        <v>128</v>
      </c>
      <c r="D423" t="s">
        <v>3845</v>
      </c>
      <c r="E423" t="s">
        <v>25</v>
      </c>
      <c r="F423" s="387">
        <v>8</v>
      </c>
      <c r="G423" s="16">
        <f>'Dry_Litterbag Placem_Collection'!E130</f>
        <v>42939</v>
      </c>
      <c r="H423" s="92" t="str">
        <f>'Final data_for_R_analysis_Dryse'!J569</f>
        <v>G134</v>
      </c>
      <c r="I423" t="str">
        <f>'Final data_for_R_analysis_Dryse'!J789</f>
        <v>R272</v>
      </c>
      <c r="J423">
        <f>IFERROR(INDEX('Green_rooibos initial weight'!$C$5:$C$1749,MATCH(H423, 'Green_rooibos initial weight'!$A$5:$A$1749,0)),"")</f>
        <v>2.0089999999999999</v>
      </c>
      <c r="K423">
        <f>IFERROR(INDEX('Green_rooibos initial weight'!$C$5:$C$1749,MATCH(I423, 'Green_rooibos initial weight'!$A$5:$A$1749,0)),"")</f>
        <v>2.2999999999999998</v>
      </c>
      <c r="L423" s="195">
        <f t="shared" si="48"/>
        <v>1.7591999999999999</v>
      </c>
      <c r="M423" s="195">
        <f t="shared" si="49"/>
        <v>2.0501999999999998</v>
      </c>
      <c r="N423" s="16">
        <f>IF('Dry_Litterbag Placem_Collection'!G130="N.A","",'Dry_Litterbag Placem_Collection'!G130)</f>
        <v>43008</v>
      </c>
      <c r="O423" s="195">
        <f>IF(IFERROR(INDEX('Both teabags AfterDry'!$D$1:$D$839,MATCH(H423,'Both teabags AfterDry'!$A$1:$A$839,0)),"")="N.A","",(IFERROR(INDEX('Both teabags AfterDry'!$D$1:$D$839,MATCH(H423,'Both teabags AfterDry'!$A$1:$A$839,0)),"")))</f>
        <v>0.82289999999999996</v>
      </c>
      <c r="P423" s="195">
        <f>IF(IFERROR(INDEX('Both teabags AfterDry'!$D$1:$D$839,MATCH(I423,'Both teabags AfterDry'!$A$1:$A$839,0)),"")="N.A","",(IFERROR(INDEX('Both teabags AfterDry'!$D$1:$D$839,MATCH(I423,'Both teabags AfterDry'!$A$1:$A$839,0)),"")))</f>
        <v>1.6163000000000001</v>
      </c>
      <c r="Q423" s="195">
        <f t="shared" si="50"/>
        <v>0.6722999999999999</v>
      </c>
      <c r="R423" s="195">
        <f t="shared" si="50"/>
        <v>1.4657</v>
      </c>
      <c r="S423" s="195">
        <f t="shared" si="45"/>
        <v>0.61783765347885411</v>
      </c>
      <c r="T423" s="195">
        <f t="shared" si="51"/>
        <v>0.40504321225692103</v>
      </c>
      <c r="U423" s="195">
        <f t="shared" si="46"/>
        <v>0.71490586284264956</v>
      </c>
      <c r="V423">
        <f t="shared" si="47"/>
        <v>69</v>
      </c>
      <c r="W423" s="195">
        <f t="shared" si="52"/>
        <v>0.26622606475195476</v>
      </c>
      <c r="X423" s="195">
        <f t="shared" si="53"/>
        <v>1.763661564936083E-2</v>
      </c>
      <c r="Y423" s="255" t="str">
        <f>IF(ISNUMBER(SEARCH("C", 'Dry_Litterbag Placem_Collection'!V130)),"YES","NO")</f>
        <v>NO</v>
      </c>
      <c r="Z423" s="255" t="str">
        <f>IF(ISNUMBER(SEARCH("H", 'Dry_Litterbag Placem_Collection'!V130)),"YES","NO")</f>
        <v>NO</v>
      </c>
      <c r="AA423" s="255" t="str">
        <f>IF(ISNUMBER(SEARCH("R", 'Dry_Litterbag Placem_Collection'!V130)),"YES","NO")</f>
        <v>NO</v>
      </c>
      <c r="AB423" s="255" t="str">
        <f>IF(ISNUMBER(SEARCH("C", 'Dry_Litterbag Placem_Collection'!U130)),"YES","NO")</f>
        <v>NO</v>
      </c>
      <c r="AC423" s="255" t="str">
        <f>IF(ISNUMBER(SEARCH("H", 'Dry_Litterbag Placem_Collection'!U130)),"YES","NO")</f>
        <v>NO</v>
      </c>
      <c r="AD423" s="255" t="str">
        <f>IF(ISNUMBER(SEARCH("R", 'Dry_Litterbag Placem_Collection'!U130)),"YES","NO")</f>
        <v>NO</v>
      </c>
    </row>
    <row r="424" spans="2:30">
      <c r="B424" t="str">
        <f>'Final data_for_R_analysis_Dryse'!A570</f>
        <v>Dry</v>
      </c>
      <c r="C424" s="263">
        <f>'Final data_for_R_analysis_Dryse'!B570</f>
        <v>129</v>
      </c>
      <c r="D424" t="s">
        <v>3846</v>
      </c>
      <c r="E424" t="s">
        <v>25</v>
      </c>
      <c r="F424" s="386">
        <v>1</v>
      </c>
      <c r="G424" s="16">
        <f>'Dry_Litterbag Placem_Collection'!E131</f>
        <v>42939</v>
      </c>
      <c r="H424" s="92" t="str">
        <f>'Final data_for_R_analysis_Dryse'!J570</f>
        <v>G671</v>
      </c>
      <c r="I424" t="str">
        <f>'Final data_for_R_analysis_Dryse'!J790</f>
        <v>R207</v>
      </c>
      <c r="J424">
        <f>IFERROR(INDEX('Green_rooibos initial weight'!$C$5:$C$1749,MATCH(H424, 'Green_rooibos initial weight'!$A$5:$A$1749,0)),"")</f>
        <v>2.0510000000000002</v>
      </c>
      <c r="K424">
        <f>IFERROR(INDEX('Green_rooibos initial weight'!$C$5:$C$1749,MATCH(I424, 'Green_rooibos initial weight'!$A$5:$A$1749,0)),"")</f>
        <v>2.1800000000000002</v>
      </c>
      <c r="L424" s="195">
        <f t="shared" si="48"/>
        <v>1.8012000000000001</v>
      </c>
      <c r="M424" s="195">
        <f t="shared" si="49"/>
        <v>1.9302000000000001</v>
      </c>
      <c r="N424" s="16">
        <f>IF('Dry_Litterbag Placem_Collection'!G131="N.A","",'Dry_Litterbag Placem_Collection'!G131)</f>
        <v>43008</v>
      </c>
      <c r="O424" s="195">
        <f>IF(IFERROR(INDEX('Both teabags AfterDry'!$D$1:$D$839,MATCH(H424,'Both teabags AfterDry'!$A$1:$A$839,0)),"")="N.A","",(IFERROR(INDEX('Both teabags AfterDry'!$D$1:$D$839,MATCH(H424,'Both teabags AfterDry'!$A$1:$A$839,0)),"")))</f>
        <v>0.68540000000000001</v>
      </c>
      <c r="P424" s="195">
        <f>IF(IFERROR(INDEX('Both teabags AfterDry'!$D$1:$D$839,MATCH(I424,'Both teabags AfterDry'!$A$1:$A$839,0)),"")="N.A","",(IFERROR(INDEX('Both teabags AfterDry'!$D$1:$D$839,MATCH(I424,'Both teabags AfterDry'!$A$1:$A$839,0)),"")))</f>
        <v>1.6962999999999999</v>
      </c>
      <c r="Q424" s="195">
        <f t="shared" si="50"/>
        <v>0.53479999999999994</v>
      </c>
      <c r="R424" s="195">
        <f t="shared" si="50"/>
        <v>1.5456999999999999</v>
      </c>
      <c r="S424" s="195">
        <f t="shared" si="45"/>
        <v>0.70308683100155456</v>
      </c>
      <c r="T424" s="195">
        <f t="shared" si="51"/>
        <v>0.46093103410078168</v>
      </c>
      <c r="U424" s="195">
        <f t="shared" si="46"/>
        <v>0.80079784478292393</v>
      </c>
      <c r="V424">
        <f t="shared" si="47"/>
        <v>69</v>
      </c>
      <c r="W424" s="195">
        <f t="shared" si="52"/>
        <v>0.16498001068698975</v>
      </c>
      <c r="X424" s="195">
        <f t="shared" si="53"/>
        <v>8.2020185015251219E-3</v>
      </c>
      <c r="Y424" s="255" t="str">
        <f>IF(ISNUMBER(SEARCH("C", 'Dry_Litterbag Placem_Collection'!V131)),"YES","NO")</f>
        <v>NO</v>
      </c>
      <c r="Z424" s="255" t="str">
        <f>IF(ISNUMBER(SEARCH("H", 'Dry_Litterbag Placem_Collection'!V131)),"YES","NO")</f>
        <v>NO</v>
      </c>
      <c r="AA424" s="255" t="str">
        <f>IF(ISNUMBER(SEARCH("R", 'Dry_Litterbag Placem_Collection'!V131)),"YES","NO")</f>
        <v>NO</v>
      </c>
      <c r="AB424" s="255" t="str">
        <f>IF(ISNUMBER(SEARCH("C", 'Dry_Litterbag Placem_Collection'!U131)),"YES","NO")</f>
        <v>NO</v>
      </c>
      <c r="AC424" s="255" t="str">
        <f>IF(ISNUMBER(SEARCH("H", 'Dry_Litterbag Placem_Collection'!U131)),"YES","NO")</f>
        <v>NO</v>
      </c>
      <c r="AD424" s="255" t="str">
        <f>IF(ISNUMBER(SEARCH("R", 'Dry_Litterbag Placem_Collection'!U131)),"YES","NO")</f>
        <v>NO</v>
      </c>
    </row>
    <row r="425" spans="2:30">
      <c r="B425" t="str">
        <f>'Final data_for_R_analysis_Dryse'!A571</f>
        <v>Dry</v>
      </c>
      <c r="C425" s="263">
        <f>'Final data_for_R_analysis_Dryse'!B571</f>
        <v>130</v>
      </c>
      <c r="D425" t="s">
        <v>3846</v>
      </c>
      <c r="E425" t="s">
        <v>25</v>
      </c>
      <c r="F425" s="386">
        <v>2</v>
      </c>
      <c r="G425" s="16">
        <f>'Dry_Litterbag Placem_Collection'!E132</f>
        <v>42939</v>
      </c>
      <c r="H425" s="92" t="str">
        <f>'Final data_for_R_analysis_Dryse'!J571</f>
        <v>G400</v>
      </c>
      <c r="I425" t="str">
        <f>'Final data_for_R_analysis_Dryse'!J791</f>
        <v>R193</v>
      </c>
      <c r="J425">
        <f>IFERROR(INDEX('Green_rooibos initial weight'!$C$5:$C$1749,MATCH(H425, 'Green_rooibos initial weight'!$A$5:$A$1749,0)),"")</f>
        <v>2.0089999999999999</v>
      </c>
      <c r="K425">
        <f>IFERROR(INDEX('Green_rooibos initial weight'!$C$5:$C$1749,MATCH(I425, 'Green_rooibos initial weight'!$A$5:$A$1749,0)),"")</f>
        <v>2.198</v>
      </c>
      <c r="L425" s="195">
        <f t="shared" si="48"/>
        <v>1.7591999999999999</v>
      </c>
      <c r="M425" s="195">
        <f t="shared" si="49"/>
        <v>1.9481999999999999</v>
      </c>
      <c r="N425" s="16">
        <f>IF('Dry_Litterbag Placem_Collection'!G132="N.A","",'Dry_Litterbag Placem_Collection'!G132)</f>
        <v>43008</v>
      </c>
      <c r="O425" s="195">
        <f>IF(IFERROR(INDEX('Both teabags AfterDry'!$D$1:$D$839,MATCH(H425,'Both teabags AfterDry'!$A$1:$A$839,0)),"")="N.A","",(IFERROR(INDEX('Both teabags AfterDry'!$D$1:$D$839,MATCH(H425,'Both teabags AfterDry'!$A$1:$A$839,0)),"")))</f>
        <v>0.86</v>
      </c>
      <c r="P425" s="195">
        <f>IF(IFERROR(INDEX('Both teabags AfterDry'!$D$1:$D$839,MATCH(I425,'Both teabags AfterDry'!$A$1:$A$839,0)),"")="N.A","",(IFERROR(INDEX('Both teabags AfterDry'!$D$1:$D$839,MATCH(I425,'Both teabags AfterDry'!$A$1:$A$839,0)),"")))</f>
        <v>1.7978000000000001</v>
      </c>
      <c r="Q425" s="195">
        <f t="shared" si="50"/>
        <v>0.70940000000000003</v>
      </c>
      <c r="R425" s="195">
        <f t="shared" si="50"/>
        <v>1.6472</v>
      </c>
      <c r="S425" s="195">
        <f t="shared" si="45"/>
        <v>0.59674852205547979</v>
      </c>
      <c r="T425" s="195">
        <f t="shared" si="51"/>
        <v>0.39121755840216732</v>
      </c>
      <c r="U425" s="195">
        <f t="shared" si="46"/>
        <v>0.84549840878759885</v>
      </c>
      <c r="V425">
        <f t="shared" si="47"/>
        <v>69</v>
      </c>
      <c r="W425" s="195">
        <f t="shared" si="52"/>
        <v>0.29127253912650852</v>
      </c>
      <c r="X425" s="195">
        <f t="shared" si="53"/>
        <v>7.281200707997309E-3</v>
      </c>
      <c r="Y425" s="255" t="str">
        <f>IF(ISNUMBER(SEARCH("C", 'Dry_Litterbag Placem_Collection'!V132)),"YES","NO")</f>
        <v>NO</v>
      </c>
      <c r="Z425" s="255" t="str">
        <f>IF(ISNUMBER(SEARCH("H", 'Dry_Litterbag Placem_Collection'!V132)),"YES","NO")</f>
        <v>NO</v>
      </c>
      <c r="AA425" s="255" t="str">
        <f>IF(ISNUMBER(SEARCH("R", 'Dry_Litterbag Placem_Collection'!V132)),"YES","NO")</f>
        <v>NO</v>
      </c>
      <c r="AB425" s="255" t="str">
        <f>IF(ISNUMBER(SEARCH("C", 'Dry_Litterbag Placem_Collection'!U132)),"YES","NO")</f>
        <v>NO</v>
      </c>
      <c r="AC425" s="255" t="str">
        <f>IF(ISNUMBER(SEARCH("H", 'Dry_Litterbag Placem_Collection'!U132)),"YES","NO")</f>
        <v>NO</v>
      </c>
      <c r="AD425" s="255" t="str">
        <f>IF(ISNUMBER(SEARCH("R", 'Dry_Litterbag Placem_Collection'!U132)),"YES","NO")</f>
        <v>YES</v>
      </c>
    </row>
    <row r="426" spans="2:30">
      <c r="B426" t="str">
        <f>'Final data_for_R_analysis_Dryse'!A572</f>
        <v>Dry</v>
      </c>
      <c r="C426" s="263">
        <f>'Final data_for_R_analysis_Dryse'!B572</f>
        <v>131</v>
      </c>
      <c r="D426" t="s">
        <v>3846</v>
      </c>
      <c r="E426" t="s">
        <v>25</v>
      </c>
      <c r="F426" s="386">
        <v>3</v>
      </c>
      <c r="G426" s="16">
        <f>'Dry_Litterbag Placem_Collection'!E133</f>
        <v>42939</v>
      </c>
      <c r="H426" s="92" t="str">
        <f>'Final data_for_R_analysis_Dryse'!J572</f>
        <v>G48</v>
      </c>
      <c r="I426" t="str">
        <f>'Final data_for_R_analysis_Dryse'!J792</f>
        <v>R188</v>
      </c>
      <c r="J426">
        <f>IFERROR(INDEX('Green_rooibos initial weight'!$C$5:$C$1749,MATCH(H426, 'Green_rooibos initial weight'!$A$5:$A$1749,0)),"")</f>
        <v>2.0590000000000002</v>
      </c>
      <c r="K426">
        <f>IFERROR(INDEX('Green_rooibos initial weight'!$C$5:$C$1749,MATCH(I426, 'Green_rooibos initial weight'!$A$5:$A$1749,0)),"")</f>
        <v>2.2440000000000002</v>
      </c>
      <c r="L426" s="195">
        <f t="shared" si="48"/>
        <v>1.8092000000000001</v>
      </c>
      <c r="M426" s="195">
        <f t="shared" si="49"/>
        <v>1.9942000000000002</v>
      </c>
      <c r="N426" s="16">
        <f>IF('Dry_Litterbag Placem_Collection'!G133="N.A","",'Dry_Litterbag Placem_Collection'!G133)</f>
        <v>43008</v>
      </c>
      <c r="O426" s="195">
        <f>IF(IFERROR(INDEX('Both teabags AfterDry'!$D$1:$D$839,MATCH(H426,'Both teabags AfterDry'!$A$1:$A$839,0)),"")="N.A","",(IFERROR(INDEX('Both teabags AfterDry'!$D$1:$D$839,MATCH(H426,'Both teabags AfterDry'!$A$1:$A$839,0)),"")))</f>
        <v>0.84750000000000003</v>
      </c>
      <c r="P426" s="195">
        <f>IF(IFERROR(INDEX('Both teabags AfterDry'!$D$1:$D$839,MATCH(I426,'Both teabags AfterDry'!$A$1:$A$839,0)),"")="N.A","",(IFERROR(INDEX('Both teabags AfterDry'!$D$1:$D$839,MATCH(I426,'Both teabags AfterDry'!$A$1:$A$839,0)),"")))</f>
        <v>1.7876000000000001</v>
      </c>
      <c r="Q426" s="195">
        <f t="shared" si="50"/>
        <v>0.69690000000000007</v>
      </c>
      <c r="R426" s="195">
        <f t="shared" si="50"/>
        <v>1.637</v>
      </c>
      <c r="S426" s="195">
        <f t="shared" si="45"/>
        <v>0.61480212248507626</v>
      </c>
      <c r="T426" s="195">
        <f t="shared" si="51"/>
        <v>0.40305317293558446</v>
      </c>
      <c r="U426" s="195">
        <f t="shared" si="46"/>
        <v>0.82088055360545575</v>
      </c>
      <c r="V426">
        <f t="shared" si="47"/>
        <v>69</v>
      </c>
      <c r="W426" s="195">
        <f t="shared" si="52"/>
        <v>0.26983120845002817</v>
      </c>
      <c r="X426" s="195">
        <f t="shared" si="53"/>
        <v>8.5176572693988154E-3</v>
      </c>
      <c r="Y426" s="255" t="str">
        <f>IF(ISNUMBER(SEARCH("C", 'Dry_Litterbag Placem_Collection'!V133)),"YES","NO")</f>
        <v>NO</v>
      </c>
      <c r="Z426" s="255" t="str">
        <f>IF(ISNUMBER(SEARCH("H", 'Dry_Litterbag Placem_Collection'!V133)),"YES","NO")</f>
        <v>NO</v>
      </c>
      <c r="AA426" s="255" t="str">
        <f>IF(ISNUMBER(SEARCH("R", 'Dry_Litterbag Placem_Collection'!V133)),"YES","NO")</f>
        <v>YES</v>
      </c>
      <c r="AB426" s="255" t="str">
        <f>IF(ISNUMBER(SEARCH("C", 'Dry_Litterbag Placem_Collection'!U133)),"YES","NO")</f>
        <v>NO</v>
      </c>
      <c r="AC426" s="255" t="str">
        <f>IF(ISNUMBER(SEARCH("H", 'Dry_Litterbag Placem_Collection'!U133)),"YES","NO")</f>
        <v>NO</v>
      </c>
      <c r="AD426" s="255" t="str">
        <f>IF(ISNUMBER(SEARCH("R", 'Dry_Litterbag Placem_Collection'!U133)),"YES","NO")</f>
        <v>YES</v>
      </c>
    </row>
    <row r="427" spans="2:30">
      <c r="B427" t="str">
        <f>'Final data_for_R_analysis_Dryse'!A573</f>
        <v>Dry</v>
      </c>
      <c r="C427" s="263">
        <f>'Final data_for_R_analysis_Dryse'!B573</f>
        <v>132</v>
      </c>
      <c r="D427" t="s">
        <v>3846</v>
      </c>
      <c r="E427" t="s">
        <v>25</v>
      </c>
      <c r="F427" s="387">
        <v>4</v>
      </c>
      <c r="G427" s="16">
        <f>'Dry_Litterbag Placem_Collection'!E134</f>
        <v>0</v>
      </c>
      <c r="H427" s="92" t="str">
        <f>'Final data_for_R_analysis_Dryse'!J573</f>
        <v/>
      </c>
      <c r="I427" t="str">
        <f>'Final data_for_R_analysis_Dryse'!J793</f>
        <v/>
      </c>
      <c r="J427" t="str">
        <f>IFERROR(INDEX('Green_rooibos initial weight'!$C$5:$C$1749,MATCH(H427, 'Green_rooibos initial weight'!$A$5:$A$1749,0)),"")</f>
        <v/>
      </c>
      <c r="K427" t="str">
        <f>IFERROR(INDEX('Green_rooibos initial weight'!$C$5:$C$1749,MATCH(I427, 'Green_rooibos initial weight'!$A$5:$A$1749,0)),"")</f>
        <v/>
      </c>
      <c r="L427" s="195" t="str">
        <f t="shared" si="48"/>
        <v/>
      </c>
      <c r="M427" s="195" t="str">
        <f t="shared" si="49"/>
        <v/>
      </c>
      <c r="N427" s="16">
        <f>IF('Dry_Litterbag Placem_Collection'!G134="N.A","",'Dry_Litterbag Placem_Collection'!G134)</f>
        <v>0</v>
      </c>
      <c r="O427" s="195" t="str">
        <f>IF(IFERROR(INDEX('Both teabags AfterDry'!$D$1:$D$839,MATCH(H427,'Both teabags AfterDry'!$A$1:$A$839,0)),"")="N.A","",(IFERROR(INDEX('Both teabags AfterDry'!$D$1:$D$839,MATCH(H427,'Both teabags AfterDry'!$A$1:$A$839,0)),"")))</f>
        <v/>
      </c>
      <c r="P427" s="195" t="str">
        <f>IF(IFERROR(INDEX('Both teabags AfterDry'!$D$1:$D$839,MATCH(I427,'Both teabags AfterDry'!$A$1:$A$839,0)),"")="N.A","",(IFERROR(INDEX('Both teabags AfterDry'!$D$1:$D$839,MATCH(I427,'Both teabags AfterDry'!$A$1:$A$839,0)),"")))</f>
        <v/>
      </c>
      <c r="Q427" s="195" t="str">
        <f t="shared" si="50"/>
        <v/>
      </c>
      <c r="R427" s="195" t="str">
        <f t="shared" si="50"/>
        <v/>
      </c>
      <c r="S427" s="195" t="str">
        <f t="shared" si="45"/>
        <v/>
      </c>
      <c r="T427" s="195" t="str">
        <f t="shared" si="51"/>
        <v/>
      </c>
      <c r="U427" s="195" t="str">
        <f t="shared" si="46"/>
        <v/>
      </c>
      <c r="V427" t="str">
        <f t="shared" si="47"/>
        <v/>
      </c>
      <c r="W427" s="195" t="str">
        <f t="shared" si="52"/>
        <v/>
      </c>
      <c r="X427" s="195" t="str">
        <f t="shared" si="53"/>
        <v/>
      </c>
      <c r="Y427" s="255" t="str">
        <f>IF(ISNUMBER(SEARCH("C", 'Dry_Litterbag Placem_Collection'!V134)),"YES","NO")</f>
        <v>NO</v>
      </c>
      <c r="Z427" s="255" t="str">
        <f>IF(ISNUMBER(SEARCH("H", 'Dry_Litterbag Placem_Collection'!V134)),"YES","NO")</f>
        <v>NO</v>
      </c>
      <c r="AA427" s="255" t="str">
        <f>IF(ISNUMBER(SEARCH("R", 'Dry_Litterbag Placem_Collection'!V134)),"YES","NO")</f>
        <v>NO</v>
      </c>
      <c r="AB427" s="255" t="str">
        <f>IF(ISNUMBER(SEARCH("C", 'Dry_Litterbag Placem_Collection'!U134)),"YES","NO")</f>
        <v>NO</v>
      </c>
      <c r="AC427" s="255" t="str">
        <f>IF(ISNUMBER(SEARCH("H", 'Dry_Litterbag Placem_Collection'!U134)),"YES","NO")</f>
        <v>NO</v>
      </c>
      <c r="AD427" s="255" t="str">
        <f>IF(ISNUMBER(SEARCH("R", 'Dry_Litterbag Placem_Collection'!U134)),"YES","NO")</f>
        <v>NO</v>
      </c>
    </row>
    <row r="428" spans="2:30">
      <c r="B428" t="str">
        <f>'Final data_for_R_analysis_Dryse'!A574</f>
        <v>Dry</v>
      </c>
      <c r="C428" s="263">
        <f>'Final data_for_R_analysis_Dryse'!B574</f>
        <v>133</v>
      </c>
      <c r="D428" t="s">
        <v>3846</v>
      </c>
      <c r="E428" t="s">
        <v>25</v>
      </c>
      <c r="F428" s="387">
        <v>5</v>
      </c>
      <c r="G428" s="16">
        <f>'Dry_Litterbag Placem_Collection'!E135</f>
        <v>42939</v>
      </c>
      <c r="H428" s="92" t="str">
        <f>'Final data_for_R_analysis_Dryse'!J574</f>
        <v>G210</v>
      </c>
      <c r="I428" t="str">
        <f>'Final data_for_R_analysis_Dryse'!J794</f>
        <v>R683</v>
      </c>
      <c r="J428">
        <f>IFERROR(INDEX('Green_rooibos initial weight'!$C$5:$C$1749,MATCH(H428, 'Green_rooibos initial weight'!$A$5:$A$1749,0)),"")</f>
        <v>1.923</v>
      </c>
      <c r="K428">
        <f>IFERROR(INDEX('Green_rooibos initial weight'!$C$5:$C$1749,MATCH(I428, 'Green_rooibos initial weight'!$A$5:$A$1749,0)),"")</f>
        <v>2.141</v>
      </c>
      <c r="L428" s="195">
        <f t="shared" si="48"/>
        <v>1.6732</v>
      </c>
      <c r="M428" s="195">
        <f t="shared" si="49"/>
        <v>1.8912</v>
      </c>
      <c r="N428" s="16">
        <f>IF('Dry_Litterbag Placem_Collection'!G135="N.A","",'Dry_Litterbag Placem_Collection'!G135)</f>
        <v>43008</v>
      </c>
      <c r="O428" s="195" t="str">
        <f>IF(IFERROR(INDEX('Both teabags AfterDry'!$D$1:$D$839,MATCH(H428,'Both teabags AfterDry'!$A$1:$A$839,0)),"")="N.A","",(IFERROR(INDEX('Both teabags AfterDry'!$D$1:$D$839,MATCH(H428,'Both teabags AfterDry'!$A$1:$A$839,0)),"")))</f>
        <v/>
      </c>
      <c r="P428" s="195" t="str">
        <f>IF(IFERROR(INDEX('Both teabags AfterDry'!$D$1:$D$839,MATCH(I428,'Both teabags AfterDry'!$A$1:$A$839,0)),"")="N.A","",(IFERROR(INDEX('Both teabags AfterDry'!$D$1:$D$839,MATCH(I428,'Both teabags AfterDry'!$A$1:$A$839,0)),"")))</f>
        <v/>
      </c>
      <c r="Q428" s="195" t="str">
        <f t="shared" si="50"/>
        <v/>
      </c>
      <c r="R428" s="195" t="str">
        <f t="shared" si="50"/>
        <v/>
      </c>
      <c r="S428" s="195" t="str">
        <f t="shared" si="45"/>
        <v/>
      </c>
      <c r="T428" s="195" t="str">
        <f t="shared" si="51"/>
        <v/>
      </c>
      <c r="U428" s="195" t="str">
        <f t="shared" si="46"/>
        <v/>
      </c>
      <c r="V428">
        <f t="shared" si="47"/>
        <v>69</v>
      </c>
      <c r="W428" s="195" t="str">
        <f t="shared" si="52"/>
        <v/>
      </c>
      <c r="X428" s="195" t="str">
        <f t="shared" si="53"/>
        <v/>
      </c>
      <c r="Y428" s="255" t="str">
        <f>IF(ISNUMBER(SEARCH("C", 'Dry_Litterbag Placem_Collection'!V135)),"YES","NO")</f>
        <v>NO</v>
      </c>
      <c r="Z428" s="255" t="str">
        <f>IF(ISNUMBER(SEARCH("H", 'Dry_Litterbag Placem_Collection'!V135)),"YES","NO")</f>
        <v>NO</v>
      </c>
      <c r="AA428" s="255" t="str">
        <f>IF(ISNUMBER(SEARCH("R", 'Dry_Litterbag Placem_Collection'!V135)),"YES","NO")</f>
        <v>NO</v>
      </c>
      <c r="AB428" s="255" t="str">
        <f>IF(ISNUMBER(SEARCH("C", 'Dry_Litterbag Placem_Collection'!U135)),"YES","NO")</f>
        <v>NO</v>
      </c>
      <c r="AC428" s="255" t="str">
        <f>IF(ISNUMBER(SEARCH("H", 'Dry_Litterbag Placem_Collection'!U135)),"YES","NO")</f>
        <v>NO</v>
      </c>
      <c r="AD428" s="255" t="str">
        <f>IF(ISNUMBER(SEARCH("R", 'Dry_Litterbag Placem_Collection'!U135)),"YES","NO")</f>
        <v>YES</v>
      </c>
    </row>
    <row r="429" spans="2:30">
      <c r="B429" t="str">
        <f>'Final data_for_R_analysis_Dryse'!A575</f>
        <v>Dry</v>
      </c>
      <c r="C429" s="263">
        <f>'Final data_for_R_analysis_Dryse'!B575</f>
        <v>134</v>
      </c>
      <c r="D429" t="s">
        <v>3846</v>
      </c>
      <c r="E429" t="s">
        <v>25</v>
      </c>
      <c r="F429" s="387">
        <v>6</v>
      </c>
      <c r="G429" s="16">
        <f>'Dry_Litterbag Placem_Collection'!E136</f>
        <v>42939</v>
      </c>
      <c r="H429" s="92" t="str">
        <f>'Final data_for_R_analysis_Dryse'!J575</f>
        <v>G40</v>
      </c>
      <c r="I429" t="str">
        <f>'Final data_for_R_analysis_Dryse'!J795</f>
        <v>R649</v>
      </c>
      <c r="J429">
        <f>IFERROR(INDEX('Green_rooibos initial weight'!$C$5:$C$1749,MATCH(H429, 'Green_rooibos initial weight'!$A$5:$A$1749,0)),"")</f>
        <v>2.0369999999999999</v>
      </c>
      <c r="K429">
        <f>IFERROR(INDEX('Green_rooibos initial weight'!$C$5:$C$1749,MATCH(I429, 'Green_rooibos initial weight'!$A$5:$A$1749,0)),"")</f>
        <v>2.161</v>
      </c>
      <c r="L429" s="195">
        <f t="shared" si="48"/>
        <v>1.7871999999999999</v>
      </c>
      <c r="M429" s="195">
        <f t="shared" si="49"/>
        <v>1.9112</v>
      </c>
      <c r="N429" s="16">
        <f>IF('Dry_Litterbag Placem_Collection'!G136="N.A","",'Dry_Litterbag Placem_Collection'!G136)</f>
        <v>43008</v>
      </c>
      <c r="O429" s="195">
        <f>IF(IFERROR(INDEX('Both teabags AfterDry'!$D$1:$D$839,MATCH(H429,'Both teabags AfterDry'!$A$1:$A$839,0)),"")="N.A","",(IFERROR(INDEX('Both teabags AfterDry'!$D$1:$D$839,MATCH(H429,'Both teabags AfterDry'!$A$1:$A$839,0)),"")))</f>
        <v>0.68400000000000005</v>
      </c>
      <c r="P429" s="195">
        <f>IF(IFERROR(INDEX('Both teabags AfterDry'!$D$1:$D$839,MATCH(I429,'Both teabags AfterDry'!$A$1:$A$839,0)),"")="N.A","",(IFERROR(INDEX('Both teabags AfterDry'!$D$1:$D$839,MATCH(I429,'Both teabags AfterDry'!$A$1:$A$839,0)),"")))</f>
        <v>1.7554000000000001</v>
      </c>
      <c r="Q429" s="195">
        <f t="shared" si="50"/>
        <v>0.5334000000000001</v>
      </c>
      <c r="R429" s="195">
        <f t="shared" si="50"/>
        <v>1.6048</v>
      </c>
      <c r="S429" s="195">
        <f t="shared" si="45"/>
        <v>0.70154431512981197</v>
      </c>
      <c r="T429" s="195">
        <f t="shared" si="51"/>
        <v>0.45991978854115945</v>
      </c>
      <c r="U429" s="195">
        <f t="shared" si="46"/>
        <v>0.83968187526161575</v>
      </c>
      <c r="V429">
        <f t="shared" si="47"/>
        <v>69</v>
      </c>
      <c r="W429" s="195">
        <f t="shared" si="52"/>
        <v>0.16681197728050834</v>
      </c>
      <c r="X429" s="195">
        <f t="shared" si="53"/>
        <v>6.2115695144984205E-3</v>
      </c>
      <c r="Y429" s="255" t="str">
        <f>IF(ISNUMBER(SEARCH("C", 'Dry_Litterbag Placem_Collection'!V136)),"YES","NO")</f>
        <v>NO</v>
      </c>
      <c r="Z429" s="255" t="str">
        <f>IF(ISNUMBER(SEARCH("H", 'Dry_Litterbag Placem_Collection'!V136)),"YES","NO")</f>
        <v>NO</v>
      </c>
      <c r="AA429" s="255" t="str">
        <f>IF(ISNUMBER(SEARCH("R", 'Dry_Litterbag Placem_Collection'!V136)),"YES","NO")</f>
        <v>YES</v>
      </c>
      <c r="AB429" s="255" t="str">
        <f>IF(ISNUMBER(SEARCH("C", 'Dry_Litterbag Placem_Collection'!U136)),"YES","NO")</f>
        <v>NO</v>
      </c>
      <c r="AC429" s="255" t="str">
        <f>IF(ISNUMBER(SEARCH("H", 'Dry_Litterbag Placem_Collection'!U136)),"YES","NO")</f>
        <v>NO</v>
      </c>
      <c r="AD429" s="255" t="str">
        <f>IF(ISNUMBER(SEARCH("R", 'Dry_Litterbag Placem_Collection'!U136)),"YES","NO")</f>
        <v>YES</v>
      </c>
    </row>
    <row r="430" spans="2:30">
      <c r="B430" t="str">
        <f>'Final data_for_R_analysis_Dryse'!A576</f>
        <v>Dry</v>
      </c>
      <c r="C430" s="263">
        <f>'Final data_for_R_analysis_Dryse'!B576</f>
        <v>135</v>
      </c>
      <c r="D430" t="s">
        <v>3846</v>
      </c>
      <c r="E430" t="s">
        <v>25</v>
      </c>
      <c r="F430" s="387">
        <v>7</v>
      </c>
      <c r="G430" s="16">
        <f>'Dry_Litterbag Placem_Collection'!E137</f>
        <v>42939</v>
      </c>
      <c r="H430" s="92" t="str">
        <f>'Final data_for_R_analysis_Dryse'!J576</f>
        <v>G517</v>
      </c>
      <c r="I430" t="str">
        <f>'Final data_for_R_analysis_Dryse'!J796</f>
        <v>R223</v>
      </c>
      <c r="J430">
        <f>IFERROR(INDEX('Green_rooibos initial weight'!$C$5:$C$1749,MATCH(H430, 'Green_rooibos initial weight'!$A$5:$A$1749,0)),"")</f>
        <v>2.069</v>
      </c>
      <c r="K430">
        <f>IFERROR(INDEX('Green_rooibos initial weight'!$C$5:$C$1749,MATCH(I430, 'Green_rooibos initial weight'!$A$5:$A$1749,0)),"")</f>
        <v>2.2170000000000001</v>
      </c>
      <c r="L430" s="195">
        <f t="shared" si="48"/>
        <v>1.8191999999999999</v>
      </c>
      <c r="M430" s="195">
        <f t="shared" si="49"/>
        <v>1.9672000000000001</v>
      </c>
      <c r="N430" s="16">
        <f>IF('Dry_Litterbag Placem_Collection'!G137="N.A","",'Dry_Litterbag Placem_Collection'!G137)</f>
        <v>43008</v>
      </c>
      <c r="O430" s="195">
        <f>IF(IFERROR(INDEX('Both teabags AfterDry'!$D$1:$D$839,MATCH(H430,'Both teabags AfterDry'!$A$1:$A$839,0)),"")="N.A","",(IFERROR(INDEX('Both teabags AfterDry'!$D$1:$D$839,MATCH(H430,'Both teabags AfterDry'!$A$1:$A$839,0)),"")))</f>
        <v>0.7097</v>
      </c>
      <c r="P430" s="195">
        <f>IF(IFERROR(INDEX('Both teabags AfterDry'!$D$1:$D$839,MATCH(I430,'Both teabags AfterDry'!$A$1:$A$839,0)),"")="N.A","",(IFERROR(INDEX('Both teabags AfterDry'!$D$1:$D$839,MATCH(I430,'Both teabags AfterDry'!$A$1:$A$839,0)),"")))</f>
        <v>1.7884</v>
      </c>
      <c r="Q430" s="195">
        <f t="shared" si="50"/>
        <v>0.55909999999999993</v>
      </c>
      <c r="R430" s="195">
        <f t="shared" si="50"/>
        <v>1.6377999999999999</v>
      </c>
      <c r="S430" s="195">
        <f t="shared" si="45"/>
        <v>0.69266710642040463</v>
      </c>
      <c r="T430" s="195">
        <f t="shared" si="51"/>
        <v>0.45410005076492088</v>
      </c>
      <c r="U430" s="195">
        <f t="shared" si="46"/>
        <v>0.83255388369255789</v>
      </c>
      <c r="V430">
        <f t="shared" si="47"/>
        <v>69</v>
      </c>
      <c r="W430" s="195">
        <f t="shared" si="52"/>
        <v>0.17735498049833176</v>
      </c>
      <c r="X430" s="195">
        <f t="shared" si="53"/>
        <v>6.667273405600185E-3</v>
      </c>
      <c r="Y430" s="255" t="str">
        <f>IF(ISNUMBER(SEARCH("C", 'Dry_Litterbag Placem_Collection'!V137)),"YES","NO")</f>
        <v>NO</v>
      </c>
      <c r="Z430" s="255" t="str">
        <f>IF(ISNUMBER(SEARCH("H", 'Dry_Litterbag Placem_Collection'!V137)),"YES","NO")</f>
        <v>NO</v>
      </c>
      <c r="AA430" s="255" t="str">
        <f>IF(ISNUMBER(SEARCH("R", 'Dry_Litterbag Placem_Collection'!V137)),"YES","NO")</f>
        <v>NO</v>
      </c>
      <c r="AB430" s="255" t="str">
        <f>IF(ISNUMBER(SEARCH("C", 'Dry_Litterbag Placem_Collection'!U137)),"YES","NO")</f>
        <v>NO</v>
      </c>
      <c r="AC430" s="255" t="str">
        <f>IF(ISNUMBER(SEARCH("H", 'Dry_Litterbag Placem_Collection'!U137)),"YES","NO")</f>
        <v>NO</v>
      </c>
      <c r="AD430" s="255" t="str">
        <f>IF(ISNUMBER(SEARCH("R", 'Dry_Litterbag Placem_Collection'!U137)),"YES","NO")</f>
        <v>NO</v>
      </c>
    </row>
    <row r="431" spans="2:30">
      <c r="B431" t="str">
        <f>'Final data_for_R_analysis_Dryse'!A577</f>
        <v>Dry</v>
      </c>
      <c r="C431" s="263">
        <f>'Final data_for_R_analysis_Dryse'!B577</f>
        <v>136</v>
      </c>
      <c r="D431" t="s">
        <v>3846</v>
      </c>
      <c r="E431" t="s">
        <v>25</v>
      </c>
      <c r="F431" s="387">
        <v>8</v>
      </c>
      <c r="G431" s="16">
        <f>'Dry_Litterbag Placem_Collection'!E138</f>
        <v>42939</v>
      </c>
      <c r="H431" s="92" t="str">
        <f>'Final data_for_R_analysis_Dryse'!J577</f>
        <v>G67</v>
      </c>
      <c r="I431" t="str">
        <f>'Final data_for_R_analysis_Dryse'!J797</f>
        <v>R214</v>
      </c>
      <c r="J431">
        <f>IFERROR(INDEX('Green_rooibos initial weight'!$C$5:$C$1749,MATCH(H431, 'Green_rooibos initial weight'!$A$5:$A$1749,0)),"")</f>
        <v>1.984</v>
      </c>
      <c r="K431">
        <f>IFERROR(INDEX('Green_rooibos initial weight'!$C$5:$C$1749,MATCH(I431, 'Green_rooibos initial weight'!$A$5:$A$1749,0)),"")</f>
        <v>2.1960000000000002</v>
      </c>
      <c r="L431" s="195">
        <f t="shared" si="48"/>
        <v>1.7342</v>
      </c>
      <c r="M431" s="195">
        <f t="shared" si="49"/>
        <v>1.9462000000000002</v>
      </c>
      <c r="N431" s="16">
        <f>IF('Dry_Litterbag Placem_Collection'!G138="N.A","",'Dry_Litterbag Placem_Collection'!G138)</f>
        <v>43008</v>
      </c>
      <c r="O431" s="195">
        <f>IF(IFERROR(INDEX('Both teabags AfterDry'!$D$1:$D$839,MATCH(H431,'Both teabags AfterDry'!$A$1:$A$839,0)),"")="N.A","",(IFERROR(INDEX('Both teabags AfterDry'!$D$1:$D$839,MATCH(H431,'Both teabags AfterDry'!$A$1:$A$839,0)),"")))</f>
        <v>0.77739999999999998</v>
      </c>
      <c r="P431" s="195">
        <f>IF(IFERROR(INDEX('Both teabags AfterDry'!$D$1:$D$839,MATCH(I431,'Both teabags AfterDry'!$A$1:$A$839,0)),"")="N.A","",(IFERROR(INDEX('Both teabags AfterDry'!$D$1:$D$839,MATCH(I431,'Both teabags AfterDry'!$A$1:$A$839,0)),"")))</f>
        <v>1.7265999999999999</v>
      </c>
      <c r="Q431" s="195">
        <f t="shared" si="50"/>
        <v>0.62680000000000002</v>
      </c>
      <c r="R431" s="195">
        <f t="shared" si="50"/>
        <v>1.5759999999999998</v>
      </c>
      <c r="S431" s="195">
        <f t="shared" si="45"/>
        <v>0.63856533271825622</v>
      </c>
      <c r="T431" s="195">
        <f t="shared" si="51"/>
        <v>0.41863190458489014</v>
      </c>
      <c r="U431" s="195">
        <f t="shared" si="46"/>
        <v>0.80978316719761567</v>
      </c>
      <c r="V431">
        <f t="shared" si="47"/>
        <v>69</v>
      </c>
      <c r="W431" s="195">
        <f t="shared" si="52"/>
        <v>0.2416088685056339</v>
      </c>
      <c r="X431" s="195">
        <f t="shared" si="53"/>
        <v>8.7801095698280818E-3</v>
      </c>
      <c r="Y431" s="255" t="str">
        <f>IF(ISNUMBER(SEARCH("C", 'Dry_Litterbag Placem_Collection'!V138)),"YES","NO")</f>
        <v>NO</v>
      </c>
      <c r="Z431" s="255" t="str">
        <f>IF(ISNUMBER(SEARCH("H", 'Dry_Litterbag Placem_Collection'!V138)),"YES","NO")</f>
        <v>NO</v>
      </c>
      <c r="AA431" s="255" t="str">
        <f>IF(ISNUMBER(SEARCH("R", 'Dry_Litterbag Placem_Collection'!V138)),"YES","NO")</f>
        <v>NO</v>
      </c>
      <c r="AB431" s="255" t="str">
        <f>IF(ISNUMBER(SEARCH("C", 'Dry_Litterbag Placem_Collection'!U138)),"YES","NO")</f>
        <v>NO</v>
      </c>
      <c r="AC431" s="255" t="str">
        <f>IF(ISNUMBER(SEARCH("H", 'Dry_Litterbag Placem_Collection'!U138)),"YES","NO")</f>
        <v>NO</v>
      </c>
      <c r="AD431" s="255" t="str">
        <f>IF(ISNUMBER(SEARCH("R", 'Dry_Litterbag Placem_Collection'!U138)),"YES","NO")</f>
        <v>YES</v>
      </c>
    </row>
    <row r="432" spans="2:30">
      <c r="B432" t="str">
        <f>'Final data_for_R_analysis_Dryse'!A578</f>
        <v>Dry</v>
      </c>
      <c r="C432" s="263">
        <f>'Final data_for_R_analysis_Dryse'!B578</f>
        <v>137</v>
      </c>
      <c r="D432" t="s">
        <v>3848</v>
      </c>
      <c r="E432" t="s">
        <v>25</v>
      </c>
      <c r="F432" s="386">
        <v>1</v>
      </c>
      <c r="G432" s="16">
        <f>'Dry_Litterbag Placem_Collection'!E139</f>
        <v>42939</v>
      </c>
      <c r="H432" s="92" t="str">
        <f>'Final data_for_R_analysis_Dryse'!J578</f>
        <v>G335</v>
      </c>
      <c r="I432" t="str">
        <f>'Final data_for_R_analysis_Dryse'!J798</f>
        <v>R628</v>
      </c>
      <c r="J432">
        <f>IFERROR(INDEX('Green_rooibos initial weight'!$C$5:$C$1749,MATCH(H432, 'Green_rooibos initial weight'!$A$5:$A$1749,0)),"")</f>
        <v>1.956</v>
      </c>
      <c r="K432">
        <f>IFERROR(INDEX('Green_rooibos initial weight'!$C$5:$C$1749,MATCH(I432, 'Green_rooibos initial weight'!$A$5:$A$1749,0)),"")</f>
        <v>2.0110000000000001</v>
      </c>
      <c r="L432" s="195">
        <f t="shared" si="48"/>
        <v>1.7061999999999999</v>
      </c>
      <c r="M432" s="195">
        <f t="shared" si="49"/>
        <v>1.7612000000000001</v>
      </c>
      <c r="N432" s="16">
        <f>IF('Dry_Litterbag Placem_Collection'!G139="N.A","",'Dry_Litterbag Placem_Collection'!G139)</f>
        <v>43008</v>
      </c>
      <c r="O432" s="195">
        <f>IF(IFERROR(INDEX('Both teabags AfterDry'!$D$1:$D$839,MATCH(H432,'Both teabags AfterDry'!$A$1:$A$839,0)),"")="N.A","",(IFERROR(INDEX('Both teabags AfterDry'!$D$1:$D$839,MATCH(H432,'Both teabags AfterDry'!$A$1:$A$839,0)),"")))</f>
        <v>0.85829999999999995</v>
      </c>
      <c r="P432" s="195">
        <f>IF(IFERROR(INDEX('Both teabags AfterDry'!$D$1:$D$839,MATCH(I432,'Both teabags AfterDry'!$A$1:$A$839,0)),"")="N.A","",(IFERROR(INDEX('Both teabags AfterDry'!$D$1:$D$839,MATCH(I432,'Both teabags AfterDry'!$A$1:$A$839,0)),"")))</f>
        <v>1.7652000000000001</v>
      </c>
      <c r="Q432" s="195">
        <f t="shared" si="50"/>
        <v>0.7077</v>
      </c>
      <c r="R432" s="195">
        <f t="shared" si="50"/>
        <v>1.6146</v>
      </c>
      <c r="S432" s="195">
        <f t="shared" si="45"/>
        <v>0.58521861446489276</v>
      </c>
      <c r="T432" s="195">
        <f t="shared" si="51"/>
        <v>0.38365875912662806</v>
      </c>
      <c r="U432" s="195">
        <f t="shared" si="46"/>
        <v>0.91676129911424031</v>
      </c>
      <c r="V432">
        <f t="shared" si="47"/>
        <v>69</v>
      </c>
      <c r="W432" s="195">
        <f t="shared" si="52"/>
        <v>0.30496601607494922</v>
      </c>
      <c r="X432" s="195">
        <f t="shared" si="53"/>
        <v>3.5445191299054274E-3</v>
      </c>
      <c r="Y432" s="255" t="str">
        <f>IF(ISNUMBER(SEARCH("C", 'Dry_Litterbag Placem_Collection'!V139)),"YES","NO")</f>
        <v>NO</v>
      </c>
      <c r="Z432" s="255" t="str">
        <f>IF(ISNUMBER(SEARCH("H", 'Dry_Litterbag Placem_Collection'!V139)),"YES","NO")</f>
        <v>NO</v>
      </c>
      <c r="AA432" s="255" t="str">
        <f>IF(ISNUMBER(SEARCH("R", 'Dry_Litterbag Placem_Collection'!V139)),"YES","NO")</f>
        <v>NO</v>
      </c>
      <c r="AB432" s="255" t="str">
        <f>IF(ISNUMBER(SEARCH("C", 'Dry_Litterbag Placem_Collection'!U139)),"YES","NO")</f>
        <v>NO</v>
      </c>
      <c r="AC432" s="255" t="str">
        <f>IF(ISNUMBER(SEARCH("H", 'Dry_Litterbag Placem_Collection'!U139)),"YES","NO")</f>
        <v>NO</v>
      </c>
      <c r="AD432" s="255" t="str">
        <f>IF(ISNUMBER(SEARCH("R", 'Dry_Litterbag Placem_Collection'!U139)),"YES","NO")</f>
        <v>NO</v>
      </c>
    </row>
    <row r="433" spans="2:30">
      <c r="B433" t="str">
        <f>'Final data_for_R_analysis_Dryse'!A579</f>
        <v>Dry</v>
      </c>
      <c r="C433" s="263">
        <f>'Final data_for_R_analysis_Dryse'!B579</f>
        <v>138</v>
      </c>
      <c r="D433" t="s">
        <v>3848</v>
      </c>
      <c r="E433" t="s">
        <v>25</v>
      </c>
      <c r="F433" s="386">
        <v>2</v>
      </c>
      <c r="G433" s="16">
        <f>'Dry_Litterbag Placem_Collection'!E140</f>
        <v>42939</v>
      </c>
      <c r="H433" s="92" t="str">
        <f>'Final data_for_R_analysis_Dryse'!J579</f>
        <v>G484</v>
      </c>
      <c r="I433" t="str">
        <f>'Final data_for_R_analysis_Dryse'!J799</f>
        <v>R198</v>
      </c>
      <c r="J433">
        <f>IFERROR(INDEX('Green_rooibos initial weight'!$C$5:$C$1749,MATCH(H433, 'Green_rooibos initial weight'!$A$5:$A$1749,0)),"")</f>
        <v>2.0009999999999999</v>
      </c>
      <c r="K433">
        <f>IFERROR(INDEX('Green_rooibos initial weight'!$C$5:$C$1749,MATCH(I433, 'Green_rooibos initial weight'!$A$5:$A$1749,0)),"")</f>
        <v>2.1970000000000001</v>
      </c>
      <c r="L433" s="195">
        <f t="shared" si="48"/>
        <v>1.7511999999999999</v>
      </c>
      <c r="M433" s="195">
        <f t="shared" si="49"/>
        <v>1.9472</v>
      </c>
      <c r="N433" s="16">
        <f>IF('Dry_Litterbag Placem_Collection'!G140="N.A","",'Dry_Litterbag Placem_Collection'!G140)</f>
        <v>43008</v>
      </c>
      <c r="O433" s="195">
        <f>IF(IFERROR(INDEX('Both teabags AfterDry'!$D$1:$D$839,MATCH(H433,'Both teabags AfterDry'!$A$1:$A$839,0)),"")="N.A","",(IFERROR(INDEX('Both teabags AfterDry'!$D$1:$D$839,MATCH(H433,'Both teabags AfterDry'!$A$1:$A$839,0)),"")))</f>
        <v>0.66439999999999999</v>
      </c>
      <c r="P433" s="195">
        <f>IF(IFERROR(INDEX('Both teabags AfterDry'!$D$1:$D$839,MATCH(I433,'Both teabags AfterDry'!$A$1:$A$839,0)),"")="N.A","",(IFERROR(INDEX('Both teabags AfterDry'!$D$1:$D$839,MATCH(I433,'Both teabags AfterDry'!$A$1:$A$839,0)),"")))</f>
        <v>1.7765</v>
      </c>
      <c r="Q433" s="195">
        <f t="shared" si="50"/>
        <v>0.51380000000000003</v>
      </c>
      <c r="R433" s="195">
        <f t="shared" si="50"/>
        <v>1.6258999999999999</v>
      </c>
      <c r="S433" s="195">
        <f t="shared" si="45"/>
        <v>0.70660118775696668</v>
      </c>
      <c r="T433" s="195">
        <f t="shared" si="51"/>
        <v>0.46323498294756016</v>
      </c>
      <c r="U433" s="195">
        <f t="shared" si="46"/>
        <v>0.83499383730484789</v>
      </c>
      <c r="V433">
        <f t="shared" si="47"/>
        <v>69</v>
      </c>
      <c r="W433" s="195">
        <f t="shared" si="52"/>
        <v>0.16080619031239107</v>
      </c>
      <c r="X433" s="195">
        <f t="shared" si="53"/>
        <v>6.3822232297417415E-3</v>
      </c>
      <c r="Y433" s="255" t="str">
        <f>IF(ISNUMBER(SEARCH("C", 'Dry_Litterbag Placem_Collection'!V140)),"YES","NO")</f>
        <v>NO</v>
      </c>
      <c r="Z433" s="255" t="str">
        <f>IF(ISNUMBER(SEARCH("H", 'Dry_Litterbag Placem_Collection'!V140)),"YES","NO")</f>
        <v>NO</v>
      </c>
      <c r="AA433" s="255" t="str">
        <f>IF(ISNUMBER(SEARCH("R", 'Dry_Litterbag Placem_Collection'!V140)),"YES","NO")</f>
        <v>NO</v>
      </c>
      <c r="AB433" s="255" t="str">
        <f>IF(ISNUMBER(SEARCH("C", 'Dry_Litterbag Placem_Collection'!U140)),"YES","NO")</f>
        <v>NO</v>
      </c>
      <c r="AC433" s="255" t="str">
        <f>IF(ISNUMBER(SEARCH("H", 'Dry_Litterbag Placem_Collection'!U140)),"YES","NO")</f>
        <v>NO</v>
      </c>
      <c r="AD433" s="255" t="str">
        <f>IF(ISNUMBER(SEARCH("R", 'Dry_Litterbag Placem_Collection'!U140)),"YES","NO")</f>
        <v>NO</v>
      </c>
    </row>
    <row r="434" spans="2:30">
      <c r="B434" t="str">
        <f>'Final data_for_R_analysis_Dryse'!A580</f>
        <v>Dry</v>
      </c>
      <c r="C434" s="263">
        <f>'Final data_for_R_analysis_Dryse'!B580</f>
        <v>139</v>
      </c>
      <c r="D434" t="s">
        <v>3848</v>
      </c>
      <c r="E434" t="s">
        <v>25</v>
      </c>
      <c r="F434" s="386">
        <v>3</v>
      </c>
      <c r="G434" s="16">
        <f>'Dry_Litterbag Placem_Collection'!E141</f>
        <v>42939</v>
      </c>
      <c r="H434" s="92" t="str">
        <f>'Final data_for_R_analysis_Dryse'!J580</f>
        <v>G868</v>
      </c>
      <c r="I434" t="str">
        <f>'Final data_for_R_analysis_Dryse'!J800</f>
        <v>R706</v>
      </c>
      <c r="J434">
        <f>IFERROR(INDEX('Green_rooibos initial weight'!$C$5:$C$1749,MATCH(H434, 'Green_rooibos initial weight'!$A$5:$A$1749,0)),"")</f>
        <v>1.95</v>
      </c>
      <c r="K434">
        <f>IFERROR(INDEX('Green_rooibos initial weight'!$C$5:$C$1749,MATCH(I434, 'Green_rooibos initial weight'!$A$5:$A$1749,0)),"")</f>
        <v>2.1480000000000001</v>
      </c>
      <c r="L434" s="195">
        <f t="shared" si="48"/>
        <v>1.7001999999999999</v>
      </c>
      <c r="M434" s="195">
        <f t="shared" si="49"/>
        <v>1.8982000000000001</v>
      </c>
      <c r="N434" s="16">
        <f>IF('Dry_Litterbag Placem_Collection'!G141="N.A","",'Dry_Litterbag Placem_Collection'!G141)</f>
        <v>43008</v>
      </c>
      <c r="O434" s="195">
        <f>IF(IFERROR(INDEX('Both teabags AfterDry'!$D$1:$D$839,MATCH(H434,'Both teabags AfterDry'!$A$1:$A$839,0)),"")="N.A","",(IFERROR(INDEX('Both teabags AfterDry'!$D$1:$D$839,MATCH(H434,'Both teabags AfterDry'!$A$1:$A$839,0)),"")))</f>
        <v>0.71699999999999997</v>
      </c>
      <c r="P434" s="195">
        <f>IF(IFERROR(INDEX('Both teabags AfterDry'!$D$1:$D$839,MATCH(I434,'Both teabags AfterDry'!$A$1:$A$839,0)),"")="N.A","",(IFERROR(INDEX('Both teabags AfterDry'!$D$1:$D$839,MATCH(I434,'Both teabags AfterDry'!$A$1:$A$839,0)),"")))</f>
        <v>1.5846</v>
      </c>
      <c r="Q434" s="195">
        <f t="shared" si="50"/>
        <v>0.56640000000000001</v>
      </c>
      <c r="R434" s="195">
        <f t="shared" si="50"/>
        <v>1.4339999999999999</v>
      </c>
      <c r="S434" s="195">
        <f t="shared" si="45"/>
        <v>0.66686272203270203</v>
      </c>
      <c r="T434" s="195">
        <f t="shared" si="51"/>
        <v>0.4371831621877097</v>
      </c>
      <c r="U434" s="195">
        <f t="shared" si="46"/>
        <v>0.75545253397955947</v>
      </c>
      <c r="V434">
        <f t="shared" si="47"/>
        <v>69</v>
      </c>
      <c r="W434" s="195">
        <f t="shared" si="52"/>
        <v>0.20800151777588827</v>
      </c>
      <c r="X434" s="195">
        <f t="shared" si="53"/>
        <v>1.1877556843150106E-2</v>
      </c>
      <c r="Y434" s="255" t="str">
        <f>IF(ISNUMBER(SEARCH("C", 'Dry_Litterbag Placem_Collection'!V141)),"YES","NO")</f>
        <v>NO</v>
      </c>
      <c r="Z434" s="255" t="str">
        <f>IF(ISNUMBER(SEARCH("H", 'Dry_Litterbag Placem_Collection'!V141)),"YES","NO")</f>
        <v>NO</v>
      </c>
      <c r="AA434" s="255" t="str">
        <f>IF(ISNUMBER(SEARCH("R", 'Dry_Litterbag Placem_Collection'!V141)),"YES","NO")</f>
        <v>NO</v>
      </c>
      <c r="AB434" s="255" t="str">
        <f>IF(ISNUMBER(SEARCH("C", 'Dry_Litterbag Placem_Collection'!U141)),"YES","NO")</f>
        <v>NO</v>
      </c>
      <c r="AC434" s="255" t="str">
        <f>IF(ISNUMBER(SEARCH("H", 'Dry_Litterbag Placem_Collection'!U141)),"YES","NO")</f>
        <v>NO</v>
      </c>
      <c r="AD434" s="255" t="str">
        <f>IF(ISNUMBER(SEARCH("R", 'Dry_Litterbag Placem_Collection'!U141)),"YES","NO")</f>
        <v>NO</v>
      </c>
    </row>
    <row r="435" spans="2:30">
      <c r="B435" t="str">
        <f>'Final data_for_R_analysis_Dryse'!A581</f>
        <v>Dry</v>
      </c>
      <c r="C435" s="263">
        <f>'Final data_for_R_analysis_Dryse'!B581</f>
        <v>140</v>
      </c>
      <c r="D435" t="s">
        <v>3848</v>
      </c>
      <c r="E435" t="s">
        <v>25</v>
      </c>
      <c r="F435" s="387">
        <v>4</v>
      </c>
      <c r="G435" s="16">
        <f>'Dry_Litterbag Placem_Collection'!E142</f>
        <v>42939</v>
      </c>
      <c r="H435" s="92" t="str">
        <f>'Final data_for_R_analysis_Dryse'!J581</f>
        <v>G792</v>
      </c>
      <c r="I435" t="str">
        <f>'Final data_for_R_analysis_Dryse'!J801</f>
        <v>R710</v>
      </c>
      <c r="J435">
        <f>IFERROR(INDEX('Green_rooibos initial weight'!$C$5:$C$1749,MATCH(H435, 'Green_rooibos initial weight'!$A$5:$A$1749,0)),"")</f>
        <v>2.0550000000000002</v>
      </c>
      <c r="K435">
        <f>IFERROR(INDEX('Green_rooibos initial weight'!$C$5:$C$1749,MATCH(I435, 'Green_rooibos initial weight'!$A$5:$A$1749,0)),"")</f>
        <v>2.1070000000000002</v>
      </c>
      <c r="L435" s="195">
        <f t="shared" si="48"/>
        <v>1.8052000000000001</v>
      </c>
      <c r="M435" s="195">
        <f t="shared" si="49"/>
        <v>1.8572000000000002</v>
      </c>
      <c r="N435" s="16">
        <f>IF('Dry_Litterbag Placem_Collection'!G142="N.A","",'Dry_Litterbag Placem_Collection'!G142)</f>
        <v>43008</v>
      </c>
      <c r="O435" s="195">
        <f>IF(IFERROR(INDEX('Both teabags AfterDry'!$D$1:$D$839,MATCH(H435,'Both teabags AfterDry'!$A$1:$A$839,0)),"")="N.A","",(IFERROR(INDEX('Both teabags AfterDry'!$D$1:$D$839,MATCH(H435,'Both teabags AfterDry'!$A$1:$A$839,0)),"")))</f>
        <v>0.87409999999999999</v>
      </c>
      <c r="P435" s="195">
        <f>IF(IFERROR(INDEX('Both teabags AfterDry'!$D$1:$D$839,MATCH(I435,'Both teabags AfterDry'!$A$1:$A$839,0)),"")="N.A","",(IFERROR(INDEX('Both teabags AfterDry'!$D$1:$D$839,MATCH(I435,'Both teabags AfterDry'!$A$1:$A$839,0)),"")))</f>
        <v>1.7403999999999999</v>
      </c>
      <c r="Q435" s="195">
        <f t="shared" si="50"/>
        <v>0.72350000000000003</v>
      </c>
      <c r="R435" s="195">
        <f t="shared" si="50"/>
        <v>1.5897999999999999</v>
      </c>
      <c r="S435" s="195">
        <f t="shared" si="45"/>
        <v>0.59921338355860843</v>
      </c>
      <c r="T435" s="195">
        <f t="shared" si="51"/>
        <v>0.39283347710730626</v>
      </c>
      <c r="U435" s="195">
        <f t="shared" si="46"/>
        <v>0.85601981477492983</v>
      </c>
      <c r="V435">
        <f t="shared" si="47"/>
        <v>69</v>
      </c>
      <c r="W435" s="195">
        <f t="shared" si="52"/>
        <v>0.2883451501679235</v>
      </c>
      <c r="X435" s="195">
        <f t="shared" si="53"/>
        <v>6.6162647261412211E-3</v>
      </c>
      <c r="Y435" s="255" t="str">
        <f>IF(ISNUMBER(SEARCH("C", 'Dry_Litterbag Placem_Collection'!V142)),"YES","NO")</f>
        <v>NO</v>
      </c>
      <c r="Z435" s="255" t="str">
        <f>IF(ISNUMBER(SEARCH("H", 'Dry_Litterbag Placem_Collection'!V142)),"YES","NO")</f>
        <v>NO</v>
      </c>
      <c r="AA435" s="255" t="str">
        <f>IF(ISNUMBER(SEARCH("R", 'Dry_Litterbag Placem_Collection'!V142)),"YES","NO")</f>
        <v>NO</v>
      </c>
      <c r="AB435" s="255" t="str">
        <f>IF(ISNUMBER(SEARCH("C", 'Dry_Litterbag Placem_Collection'!U142)),"YES","NO")</f>
        <v>NO</v>
      </c>
      <c r="AC435" s="255" t="str">
        <f>IF(ISNUMBER(SEARCH("H", 'Dry_Litterbag Placem_Collection'!U142)),"YES","NO")</f>
        <v>NO</v>
      </c>
      <c r="AD435" s="255" t="str">
        <f>IF(ISNUMBER(SEARCH("R", 'Dry_Litterbag Placem_Collection'!U142)),"YES","NO")</f>
        <v>NO</v>
      </c>
    </row>
    <row r="436" spans="2:30">
      <c r="B436" t="str">
        <f>'Final data_for_R_analysis_Dryse'!A582</f>
        <v>Dry</v>
      </c>
      <c r="C436" s="263">
        <f>'Final data_for_R_analysis_Dryse'!B582</f>
        <v>141</v>
      </c>
      <c r="D436" t="s">
        <v>3848</v>
      </c>
      <c r="E436" t="s">
        <v>25</v>
      </c>
      <c r="F436" s="387">
        <v>5</v>
      </c>
      <c r="G436" s="16">
        <f>'Dry_Litterbag Placem_Collection'!E143</f>
        <v>0</v>
      </c>
      <c r="H436" s="92" t="str">
        <f>'Final data_for_R_analysis_Dryse'!J582</f>
        <v/>
      </c>
      <c r="I436" t="str">
        <f>'Final data_for_R_analysis_Dryse'!J802</f>
        <v/>
      </c>
      <c r="J436" t="str">
        <f>IFERROR(INDEX('Green_rooibos initial weight'!$C$5:$C$1749,MATCH(H436, 'Green_rooibos initial weight'!$A$5:$A$1749,0)),"")</f>
        <v/>
      </c>
      <c r="K436" t="str">
        <f>IFERROR(INDEX('Green_rooibos initial weight'!$C$5:$C$1749,MATCH(I436, 'Green_rooibos initial weight'!$A$5:$A$1749,0)),"")</f>
        <v/>
      </c>
      <c r="L436" s="195" t="str">
        <f t="shared" si="48"/>
        <v/>
      </c>
      <c r="M436" s="195" t="str">
        <f t="shared" si="49"/>
        <v/>
      </c>
      <c r="N436" s="16">
        <f>IF('Dry_Litterbag Placem_Collection'!G143="N.A","",'Dry_Litterbag Placem_Collection'!G143)</f>
        <v>0</v>
      </c>
      <c r="O436" s="195" t="str">
        <f>IF(IFERROR(INDEX('Both teabags AfterDry'!$D$1:$D$839,MATCH(H436,'Both teabags AfterDry'!$A$1:$A$839,0)),"")="N.A","",(IFERROR(INDEX('Both teabags AfterDry'!$D$1:$D$839,MATCH(H436,'Both teabags AfterDry'!$A$1:$A$839,0)),"")))</f>
        <v/>
      </c>
      <c r="P436" s="195" t="str">
        <f>IF(IFERROR(INDEX('Both teabags AfterDry'!$D$1:$D$839,MATCH(I436,'Both teabags AfterDry'!$A$1:$A$839,0)),"")="N.A","",(IFERROR(INDEX('Both teabags AfterDry'!$D$1:$D$839,MATCH(I436,'Both teabags AfterDry'!$A$1:$A$839,0)),"")))</f>
        <v/>
      </c>
      <c r="Q436" s="195" t="str">
        <f t="shared" si="50"/>
        <v/>
      </c>
      <c r="R436" s="195" t="str">
        <f t="shared" si="50"/>
        <v/>
      </c>
      <c r="S436" s="195" t="str">
        <f t="shared" si="45"/>
        <v/>
      </c>
      <c r="T436" s="195" t="str">
        <f t="shared" si="51"/>
        <v/>
      </c>
      <c r="U436" s="195" t="str">
        <f t="shared" si="46"/>
        <v/>
      </c>
      <c r="V436" t="str">
        <f t="shared" si="47"/>
        <v/>
      </c>
      <c r="W436" s="195" t="str">
        <f t="shared" si="52"/>
        <v/>
      </c>
      <c r="X436" s="195" t="str">
        <f t="shared" si="53"/>
        <v/>
      </c>
      <c r="Y436" s="255" t="str">
        <f>IF(ISNUMBER(SEARCH("C", 'Dry_Litterbag Placem_Collection'!V143)),"YES","NO")</f>
        <v>NO</v>
      </c>
      <c r="Z436" s="255" t="str">
        <f>IF(ISNUMBER(SEARCH("H", 'Dry_Litterbag Placem_Collection'!V143)),"YES","NO")</f>
        <v>NO</v>
      </c>
      <c r="AA436" s="255" t="str">
        <f>IF(ISNUMBER(SEARCH("R", 'Dry_Litterbag Placem_Collection'!V143)),"YES","NO")</f>
        <v>NO</v>
      </c>
      <c r="AB436" s="255" t="str">
        <f>IF(ISNUMBER(SEARCH("C", 'Dry_Litterbag Placem_Collection'!U143)),"YES","NO")</f>
        <v>NO</v>
      </c>
      <c r="AC436" s="255" t="str">
        <f>IF(ISNUMBER(SEARCH("H", 'Dry_Litterbag Placem_Collection'!U143)),"YES","NO")</f>
        <v>NO</v>
      </c>
      <c r="AD436" s="255" t="str">
        <f>IF(ISNUMBER(SEARCH("R", 'Dry_Litterbag Placem_Collection'!U143)),"YES","NO")</f>
        <v>NO</v>
      </c>
    </row>
    <row r="437" spans="2:30">
      <c r="B437" t="str">
        <f>'Final data_for_R_analysis_Dryse'!A583</f>
        <v>Dry</v>
      </c>
      <c r="C437" s="263">
        <f>'Final data_for_R_analysis_Dryse'!B583</f>
        <v>142</v>
      </c>
      <c r="D437" t="s">
        <v>3848</v>
      </c>
      <c r="E437" t="s">
        <v>25</v>
      </c>
      <c r="F437" s="387">
        <v>6</v>
      </c>
      <c r="G437" s="16">
        <f>'Dry_Litterbag Placem_Collection'!E144</f>
        <v>42939</v>
      </c>
      <c r="H437" s="92" t="str">
        <f>'Final data_for_R_analysis_Dryse'!J583</f>
        <v>G711</v>
      </c>
      <c r="I437" t="str">
        <f>'Final data_for_R_analysis_Dryse'!J803</f>
        <v>R626</v>
      </c>
      <c r="J437">
        <f>IFERROR(INDEX('Green_rooibos initial weight'!$C$5:$C$1749,MATCH(H437, 'Green_rooibos initial weight'!$A$5:$A$1749,0)),"")</f>
        <v>2.1070000000000002</v>
      </c>
      <c r="K437">
        <f>IFERROR(INDEX('Green_rooibos initial weight'!$C$5:$C$1749,MATCH(I437, 'Green_rooibos initial weight'!$A$5:$A$1749,0)),"")</f>
        <v>2.0699999999999998</v>
      </c>
      <c r="L437" s="195">
        <f t="shared" si="48"/>
        <v>1.8572000000000002</v>
      </c>
      <c r="M437" s="195">
        <f t="shared" si="49"/>
        <v>1.8201999999999998</v>
      </c>
      <c r="N437" s="16">
        <f>IF('Dry_Litterbag Placem_Collection'!G144="N.A","",'Dry_Litterbag Placem_Collection'!G144)</f>
        <v>43008</v>
      </c>
      <c r="O437" s="195" t="str">
        <f>IF(IFERROR(INDEX('Both teabags AfterDry'!$D$1:$D$839,MATCH(H437,'Both teabags AfterDry'!$A$1:$A$839,0)),"")="N.A","",(IFERROR(INDEX('Both teabags AfterDry'!$D$1:$D$839,MATCH(H437,'Both teabags AfterDry'!$A$1:$A$839,0)),"")))</f>
        <v/>
      </c>
      <c r="P437" s="195" t="str">
        <f>IF(IFERROR(INDEX('Both teabags AfterDry'!$D$1:$D$839,MATCH(I437,'Both teabags AfterDry'!$A$1:$A$839,0)),"")="N.A","",(IFERROR(INDEX('Both teabags AfterDry'!$D$1:$D$839,MATCH(I437,'Both teabags AfterDry'!$A$1:$A$839,0)),"")))</f>
        <v/>
      </c>
      <c r="Q437" s="195" t="str">
        <f t="shared" si="50"/>
        <v/>
      </c>
      <c r="R437" s="195" t="str">
        <f t="shared" si="50"/>
        <v/>
      </c>
      <c r="S437" s="195" t="str">
        <f t="shared" si="45"/>
        <v/>
      </c>
      <c r="T437" s="195" t="str">
        <f t="shared" si="51"/>
        <v/>
      </c>
      <c r="U437" s="195" t="str">
        <f t="shared" si="46"/>
        <v/>
      </c>
      <c r="V437">
        <f t="shared" si="47"/>
        <v>69</v>
      </c>
      <c r="W437" s="195" t="str">
        <f t="shared" si="52"/>
        <v/>
      </c>
      <c r="X437" s="195" t="str">
        <f t="shared" si="53"/>
        <v/>
      </c>
      <c r="Y437" s="255" t="str">
        <f>IF(ISNUMBER(SEARCH("C", 'Dry_Litterbag Placem_Collection'!V144)),"YES","NO")</f>
        <v>NO</v>
      </c>
      <c r="Z437" s="255" t="str">
        <f>IF(ISNUMBER(SEARCH("H", 'Dry_Litterbag Placem_Collection'!V144)),"YES","NO")</f>
        <v>NO</v>
      </c>
      <c r="AA437" s="255" t="str">
        <f>IF(ISNUMBER(SEARCH("R", 'Dry_Litterbag Placem_Collection'!V144)),"YES","NO")</f>
        <v>NO</v>
      </c>
      <c r="AB437" s="255" t="str">
        <f>IF(ISNUMBER(SEARCH("C", 'Dry_Litterbag Placem_Collection'!U144)),"YES","NO")</f>
        <v>NO</v>
      </c>
      <c r="AC437" s="255" t="str">
        <f>IF(ISNUMBER(SEARCH("H", 'Dry_Litterbag Placem_Collection'!U144)),"YES","NO")</f>
        <v>NO</v>
      </c>
      <c r="AD437" s="255" t="str">
        <f>IF(ISNUMBER(SEARCH("R", 'Dry_Litterbag Placem_Collection'!U144)),"YES","NO")</f>
        <v>YES</v>
      </c>
    </row>
    <row r="438" spans="2:30">
      <c r="B438" t="str">
        <f>'Final data_for_R_analysis_Dryse'!A584</f>
        <v>Dry</v>
      </c>
      <c r="C438" s="263">
        <f>'Final data_for_R_analysis_Dryse'!B584</f>
        <v>143</v>
      </c>
      <c r="D438" t="s">
        <v>3848</v>
      </c>
      <c r="E438" t="s">
        <v>25</v>
      </c>
      <c r="F438" s="387">
        <v>7</v>
      </c>
      <c r="G438" s="16">
        <f>'Dry_Litterbag Placem_Collection'!E145</f>
        <v>42939</v>
      </c>
      <c r="H438" s="92" t="str">
        <f>'Final data_for_R_analysis_Dryse'!J584</f>
        <v>G205</v>
      </c>
      <c r="I438" t="str">
        <f>'Final data_for_R_analysis_Dryse'!J804</f>
        <v>R195</v>
      </c>
      <c r="J438">
        <f>IFERROR(INDEX('Green_rooibos initial weight'!$C$5:$C$1749,MATCH(H438, 'Green_rooibos initial weight'!$A$5:$A$1749,0)),"")</f>
        <v>2.1240000000000001</v>
      </c>
      <c r="K438">
        <f>IFERROR(INDEX('Green_rooibos initial weight'!$C$5:$C$1749,MATCH(I438, 'Green_rooibos initial weight'!$A$5:$A$1749,0)),"")</f>
        <v>2.1640000000000001</v>
      </c>
      <c r="L438" s="195">
        <f t="shared" si="48"/>
        <v>1.8742000000000001</v>
      </c>
      <c r="M438" s="195">
        <f t="shared" si="49"/>
        <v>1.9142000000000001</v>
      </c>
      <c r="N438" s="16">
        <f>IF('Dry_Litterbag Placem_Collection'!G145="N.A","",'Dry_Litterbag Placem_Collection'!G145)</f>
        <v>43008</v>
      </c>
      <c r="O438" s="195">
        <f>IF(IFERROR(INDEX('Both teabags AfterDry'!$D$1:$D$839,MATCH(H438,'Both teabags AfterDry'!$A$1:$A$839,0)),"")="N.A","",(IFERROR(INDEX('Both teabags AfterDry'!$D$1:$D$839,MATCH(H438,'Both teabags AfterDry'!$A$1:$A$839,0)),"")))</f>
        <v>0.82040000000000002</v>
      </c>
      <c r="P438" s="195">
        <f>IF(IFERROR(INDEX('Both teabags AfterDry'!$D$1:$D$839,MATCH(I438,'Both teabags AfterDry'!$A$1:$A$839,0)),"")="N.A","",(IFERROR(INDEX('Both teabags AfterDry'!$D$1:$D$839,MATCH(I438,'Both teabags AfterDry'!$A$1:$A$839,0)),"")))</f>
        <v>1.6592</v>
      </c>
      <c r="Q438" s="195">
        <f t="shared" si="50"/>
        <v>0.66979999999999995</v>
      </c>
      <c r="R438" s="195">
        <f t="shared" si="50"/>
        <v>1.5085999999999999</v>
      </c>
      <c r="S438" s="195">
        <f t="shared" si="45"/>
        <v>0.64262085156333371</v>
      </c>
      <c r="T438" s="195">
        <f t="shared" si="51"/>
        <v>0.42129062952845631</v>
      </c>
      <c r="U438" s="195">
        <f t="shared" si="46"/>
        <v>0.78810991536934483</v>
      </c>
      <c r="V438">
        <f t="shared" si="47"/>
        <v>69</v>
      </c>
      <c r="W438" s="195">
        <f t="shared" si="52"/>
        <v>0.23679233781076758</v>
      </c>
      <c r="X438" s="195">
        <f t="shared" si="53"/>
        <v>1.0131507627760267E-2</v>
      </c>
      <c r="Y438" s="255" t="str">
        <f>IF(ISNUMBER(SEARCH("C", 'Dry_Litterbag Placem_Collection'!V145)),"YES","NO")</f>
        <v>NO</v>
      </c>
      <c r="Z438" s="255" t="str">
        <f>IF(ISNUMBER(SEARCH("H", 'Dry_Litterbag Placem_Collection'!V145)),"YES","NO")</f>
        <v>NO</v>
      </c>
      <c r="AA438" s="255" t="str">
        <f>IF(ISNUMBER(SEARCH("R", 'Dry_Litterbag Placem_Collection'!V145)),"YES","NO")</f>
        <v>NO</v>
      </c>
      <c r="AB438" s="255" t="str">
        <f>IF(ISNUMBER(SEARCH("C", 'Dry_Litterbag Placem_Collection'!U145)),"YES","NO")</f>
        <v>NO</v>
      </c>
      <c r="AC438" s="255" t="str">
        <f>IF(ISNUMBER(SEARCH("H", 'Dry_Litterbag Placem_Collection'!U145)),"YES","NO")</f>
        <v>NO</v>
      </c>
      <c r="AD438" s="255" t="str">
        <f>IF(ISNUMBER(SEARCH("R", 'Dry_Litterbag Placem_Collection'!U145)),"YES","NO")</f>
        <v>YES</v>
      </c>
    </row>
    <row r="439" spans="2:30">
      <c r="B439" t="str">
        <f>'Final data_for_R_analysis_Dryse'!A585</f>
        <v>Dry</v>
      </c>
      <c r="C439" s="263">
        <f>'Final data_for_R_analysis_Dryse'!B585</f>
        <v>144</v>
      </c>
      <c r="D439" t="s">
        <v>3848</v>
      </c>
      <c r="E439" t="s">
        <v>25</v>
      </c>
      <c r="F439" s="387">
        <v>8</v>
      </c>
      <c r="G439" s="16">
        <f>'Dry_Litterbag Placem_Collection'!E146</f>
        <v>42939</v>
      </c>
      <c r="H439" s="92" t="str">
        <f>'Final data_for_R_analysis_Dryse'!J585</f>
        <v>G384</v>
      </c>
      <c r="I439" t="str">
        <f>'Final data_for_R_analysis_Dryse'!J805</f>
        <v>R295</v>
      </c>
      <c r="J439">
        <f>IFERROR(INDEX('Green_rooibos initial weight'!$C$5:$C$1749,MATCH(H439, 'Green_rooibos initial weight'!$A$5:$A$1749,0)),"")</f>
        <v>2.0499999999999998</v>
      </c>
      <c r="K439">
        <f>IFERROR(INDEX('Green_rooibos initial weight'!$C$5:$C$1749,MATCH(I439, 'Green_rooibos initial weight'!$A$5:$A$1749,0)),"")</f>
        <v>2.194</v>
      </c>
      <c r="L439" s="195">
        <f t="shared" si="48"/>
        <v>1.8001999999999998</v>
      </c>
      <c r="M439" s="195">
        <f t="shared" si="49"/>
        <v>1.9441999999999999</v>
      </c>
      <c r="N439" s="16">
        <f>IF('Dry_Litterbag Placem_Collection'!G146="N.A","",'Dry_Litterbag Placem_Collection'!G146)</f>
        <v>43008</v>
      </c>
      <c r="O439" s="195">
        <f>IF(IFERROR(INDEX('Both teabags AfterDry'!$D$1:$D$839,MATCH(H439,'Both teabags AfterDry'!$A$1:$A$839,0)),"")="N.A","",(IFERROR(INDEX('Both teabags AfterDry'!$D$1:$D$839,MATCH(H439,'Both teabags AfterDry'!$A$1:$A$839,0)),"")))</f>
        <v>0.73660000000000003</v>
      </c>
      <c r="P439" s="195">
        <f>IF(IFERROR(INDEX('Both teabags AfterDry'!$D$1:$D$839,MATCH(I439,'Both teabags AfterDry'!$A$1:$A$839,0)),"")="N.A","",(IFERROR(INDEX('Both teabags AfterDry'!$D$1:$D$839,MATCH(I439,'Both teabags AfterDry'!$A$1:$A$839,0)),"")))</f>
        <v>1.7096</v>
      </c>
      <c r="Q439" s="195">
        <f t="shared" si="50"/>
        <v>0.58600000000000008</v>
      </c>
      <c r="R439" s="195">
        <f t="shared" si="50"/>
        <v>1.5589999999999999</v>
      </c>
      <c r="S439" s="195">
        <f t="shared" si="45"/>
        <v>0.6744806132651926</v>
      </c>
      <c r="T439" s="195">
        <f t="shared" si="51"/>
        <v>0.44217731415960371</v>
      </c>
      <c r="U439" s="195">
        <f t="shared" si="46"/>
        <v>0.8018722353667318</v>
      </c>
      <c r="V439">
        <f t="shared" si="47"/>
        <v>69</v>
      </c>
      <c r="W439" s="195">
        <f t="shared" si="52"/>
        <v>0.19895414101521069</v>
      </c>
      <c r="X439" s="195">
        <f t="shared" si="53"/>
        <v>8.6136186722333523E-3</v>
      </c>
      <c r="Y439" s="255" t="str">
        <f>IF(ISNUMBER(SEARCH("C", 'Dry_Litterbag Placem_Collection'!V146)),"YES","NO")</f>
        <v>NO</v>
      </c>
      <c r="Z439" s="255" t="str">
        <f>IF(ISNUMBER(SEARCH("H", 'Dry_Litterbag Placem_Collection'!V146)),"YES","NO")</f>
        <v>NO</v>
      </c>
      <c r="AA439" s="255" t="str">
        <f>IF(ISNUMBER(SEARCH("R", 'Dry_Litterbag Placem_Collection'!V146)),"YES","NO")</f>
        <v>NO</v>
      </c>
      <c r="AB439" s="255" t="str">
        <f>IF(ISNUMBER(SEARCH("C", 'Dry_Litterbag Placem_Collection'!U146)),"YES","NO")</f>
        <v>NO</v>
      </c>
      <c r="AC439" s="255" t="str">
        <f>IF(ISNUMBER(SEARCH("H", 'Dry_Litterbag Placem_Collection'!U146)),"YES","NO")</f>
        <v>NO</v>
      </c>
      <c r="AD439" s="255" t="str">
        <f>IF(ISNUMBER(SEARCH("R", 'Dry_Litterbag Placem_Collection'!U146)),"YES","NO")</f>
        <v>NO</v>
      </c>
    </row>
    <row r="440" spans="2:30">
      <c r="B440" t="str">
        <f>'Final data_for_R_analysis_Dryse'!A586</f>
        <v>Dry</v>
      </c>
      <c r="C440" s="263">
        <f>'Final data_for_R_analysis_Dryse'!B586</f>
        <v>145</v>
      </c>
      <c r="D440" t="s">
        <v>3849</v>
      </c>
      <c r="E440" t="s">
        <v>25</v>
      </c>
      <c r="F440" s="386">
        <v>1</v>
      </c>
      <c r="G440" s="16">
        <f>'Dry_Litterbag Placem_Collection'!E147</f>
        <v>42939</v>
      </c>
      <c r="H440" s="92" t="str">
        <f>'Final data_for_R_analysis_Dryse'!J586</f>
        <v>G72</v>
      </c>
      <c r="I440" t="str">
        <f>'Final data_for_R_analysis_Dryse'!J806</f>
        <v>R609</v>
      </c>
      <c r="J440">
        <f>IFERROR(INDEX('Green_rooibos initial weight'!$C$5:$C$1749,MATCH(H440, 'Green_rooibos initial weight'!$A$5:$A$1749,0)),"")</f>
        <v>2.0190000000000001</v>
      </c>
      <c r="K440">
        <f>IFERROR(INDEX('Green_rooibos initial weight'!$C$5:$C$1749,MATCH(I440, 'Green_rooibos initial weight'!$A$5:$A$1749,0)),"")</f>
        <v>2.165</v>
      </c>
      <c r="L440" s="195">
        <f t="shared" si="48"/>
        <v>1.7692000000000001</v>
      </c>
      <c r="M440" s="195">
        <f t="shared" si="49"/>
        <v>1.9152</v>
      </c>
      <c r="N440" s="16">
        <f>IF('Dry_Litterbag Placem_Collection'!G147="N.A","",'Dry_Litterbag Placem_Collection'!G147)</f>
        <v>43010</v>
      </c>
      <c r="O440" s="195">
        <f>IF(IFERROR(INDEX('Both teabags AfterDry'!$D$1:$D$839,MATCH(H440,'Both teabags AfterDry'!$A$1:$A$839,0)),"")="N.A","",(IFERROR(INDEX('Both teabags AfterDry'!$D$1:$D$839,MATCH(H440,'Both teabags AfterDry'!$A$1:$A$839,0)),"")))</f>
        <v>1.7161999999999999</v>
      </c>
      <c r="P440" s="195">
        <f>IF(IFERROR(INDEX('Both teabags AfterDry'!$D$1:$D$839,MATCH(I440,'Both teabags AfterDry'!$A$1:$A$839,0)),"")="N.A","",(IFERROR(INDEX('Both teabags AfterDry'!$D$1:$D$839,MATCH(I440,'Both teabags AfterDry'!$A$1:$A$839,0)),"")))</f>
        <v>1.9753000000000001</v>
      </c>
      <c r="Q440" s="195">
        <f t="shared" si="50"/>
        <v>1.5655999999999999</v>
      </c>
      <c r="R440" s="195">
        <f t="shared" si="50"/>
        <v>1.8247</v>
      </c>
      <c r="S440" s="195">
        <f t="shared" si="45"/>
        <v>0.11508026226543078</v>
      </c>
      <c r="T440" s="195">
        <f t="shared" si="51"/>
        <v>7.544454248280022E-2</v>
      </c>
      <c r="U440" s="195">
        <f t="shared" si="46"/>
        <v>0.95274644945697573</v>
      </c>
      <c r="V440">
        <f t="shared" si="47"/>
        <v>71</v>
      </c>
      <c r="W440" s="195">
        <f t="shared" si="52"/>
        <v>0.86332510419782571</v>
      </c>
      <c r="X440" s="195">
        <f t="shared" si="53"/>
        <v>1.386472334570287E-2</v>
      </c>
      <c r="Y440" s="255" t="str">
        <f>IF(ISNUMBER(SEARCH("C", 'Dry_Litterbag Placem_Collection'!V147)),"YES","NO")</f>
        <v>NO</v>
      </c>
      <c r="Z440" s="255" t="str">
        <f>IF(ISNUMBER(SEARCH("H", 'Dry_Litterbag Placem_Collection'!V147)),"YES","NO")</f>
        <v>NO</v>
      </c>
      <c r="AA440" s="255" t="str">
        <f>IF(ISNUMBER(SEARCH("R", 'Dry_Litterbag Placem_Collection'!V147)),"YES","NO")</f>
        <v>NO</v>
      </c>
      <c r="AB440" s="255" t="str">
        <f>IF(ISNUMBER(SEARCH("C", 'Dry_Litterbag Placem_Collection'!U147)),"YES","NO")</f>
        <v>NO</v>
      </c>
      <c r="AC440" s="255" t="str">
        <f>IF(ISNUMBER(SEARCH("H", 'Dry_Litterbag Placem_Collection'!U147)),"YES","NO")</f>
        <v>NO</v>
      </c>
      <c r="AD440" s="255" t="str">
        <f>IF(ISNUMBER(SEARCH("R", 'Dry_Litterbag Placem_Collection'!U147)),"YES","NO")</f>
        <v>NO</v>
      </c>
    </row>
    <row r="441" spans="2:30">
      <c r="B441" t="str">
        <f>'Final data_for_R_analysis_Dryse'!A587</f>
        <v>Dry</v>
      </c>
      <c r="C441" s="263">
        <f>'Final data_for_R_analysis_Dryse'!B587</f>
        <v>146</v>
      </c>
      <c r="D441" t="s">
        <v>3849</v>
      </c>
      <c r="E441" t="s">
        <v>25</v>
      </c>
      <c r="F441" s="386">
        <v>2</v>
      </c>
      <c r="G441" s="16">
        <f>'Dry_Litterbag Placem_Collection'!E148</f>
        <v>42939</v>
      </c>
      <c r="H441" s="92" t="str">
        <f>'Final data_for_R_analysis_Dryse'!J587</f>
        <v>G336</v>
      </c>
      <c r="I441" t="str">
        <f>'Final data_for_R_analysis_Dryse'!J807</f>
        <v>R292</v>
      </c>
      <c r="J441">
        <f>IFERROR(INDEX('Green_rooibos initial weight'!$C$5:$C$1749,MATCH(H441, 'Green_rooibos initial weight'!$A$5:$A$1749,0)),"")</f>
        <v>1.9950000000000001</v>
      </c>
      <c r="K441">
        <f>IFERROR(INDEX('Green_rooibos initial weight'!$C$5:$C$1749,MATCH(I441, 'Green_rooibos initial weight'!$A$5:$A$1749,0)),"")</f>
        <v>2.2370000000000001</v>
      </c>
      <c r="L441" s="195">
        <f t="shared" si="48"/>
        <v>1.7452000000000001</v>
      </c>
      <c r="M441" s="195">
        <f t="shared" si="49"/>
        <v>1.9872000000000001</v>
      </c>
      <c r="N441" s="16">
        <f>IF('Dry_Litterbag Placem_Collection'!G148="N.A","",'Dry_Litterbag Placem_Collection'!G148)</f>
        <v>43010</v>
      </c>
      <c r="O441" s="195">
        <f>IF(IFERROR(INDEX('Both teabags AfterDry'!$D$1:$D$839,MATCH(H441,'Both teabags AfterDry'!$A$1:$A$839,0)),"")="N.A","",(IFERROR(INDEX('Both teabags AfterDry'!$D$1:$D$839,MATCH(H441,'Both teabags AfterDry'!$A$1:$A$839,0)),"")))</f>
        <v>1.6466000000000001</v>
      </c>
      <c r="P441" s="195">
        <f>IF(IFERROR(INDEX('Both teabags AfterDry'!$D$1:$D$839,MATCH(I441,'Both teabags AfterDry'!$A$1:$A$839,0)),"")="N.A","",(IFERROR(INDEX('Both teabags AfterDry'!$D$1:$D$839,MATCH(I441,'Both teabags AfterDry'!$A$1:$A$839,0)),"")))</f>
        <v>2.0505</v>
      </c>
      <c r="Q441" s="195">
        <f t="shared" si="50"/>
        <v>1.496</v>
      </c>
      <c r="R441" s="195">
        <f t="shared" si="50"/>
        <v>1.8998999999999999</v>
      </c>
      <c r="S441" s="195">
        <f t="shared" si="45"/>
        <v>0.14279165711666286</v>
      </c>
      <c r="T441" s="195">
        <f t="shared" si="51"/>
        <v>9.3611632694059255E-2</v>
      </c>
      <c r="U441" s="195">
        <f t="shared" si="46"/>
        <v>0.95606884057971009</v>
      </c>
      <c r="V441">
        <f t="shared" si="47"/>
        <v>71</v>
      </c>
      <c r="W441" s="195">
        <f t="shared" si="52"/>
        <v>0.83041370888757382</v>
      </c>
      <c r="X441" s="195">
        <f t="shared" si="53"/>
        <v>8.9231365162854882E-3</v>
      </c>
      <c r="Y441" s="255" t="str">
        <f>IF(ISNUMBER(SEARCH("C", 'Dry_Litterbag Placem_Collection'!V148)),"YES","NO")</f>
        <v>NO</v>
      </c>
      <c r="Z441" s="255" t="str">
        <f>IF(ISNUMBER(SEARCH("H", 'Dry_Litterbag Placem_Collection'!V148)),"YES","NO")</f>
        <v>NO</v>
      </c>
      <c r="AA441" s="255" t="str">
        <f>IF(ISNUMBER(SEARCH("R", 'Dry_Litterbag Placem_Collection'!V148)),"YES","NO")</f>
        <v>NO</v>
      </c>
      <c r="AB441" s="255" t="str">
        <f>IF(ISNUMBER(SEARCH("C", 'Dry_Litterbag Placem_Collection'!U148)),"YES","NO")</f>
        <v>NO</v>
      </c>
      <c r="AC441" s="255" t="str">
        <f>IF(ISNUMBER(SEARCH("H", 'Dry_Litterbag Placem_Collection'!U148)),"YES","NO")</f>
        <v>NO</v>
      </c>
      <c r="AD441" s="255" t="str">
        <f>IF(ISNUMBER(SEARCH("R", 'Dry_Litterbag Placem_Collection'!U148)),"YES","NO")</f>
        <v>NO</v>
      </c>
    </row>
    <row r="442" spans="2:30">
      <c r="B442" t="str">
        <f>'Final data_for_R_analysis_Dryse'!A588</f>
        <v>Dry</v>
      </c>
      <c r="C442" s="263">
        <f>'Final data_for_R_analysis_Dryse'!B588</f>
        <v>147</v>
      </c>
      <c r="D442" t="s">
        <v>3849</v>
      </c>
      <c r="E442" t="s">
        <v>25</v>
      </c>
      <c r="F442" s="386">
        <v>3</v>
      </c>
      <c r="G442" s="16">
        <f>'Dry_Litterbag Placem_Collection'!E149</f>
        <v>42939</v>
      </c>
      <c r="H442" s="92" t="str">
        <f>'Final data_for_R_analysis_Dryse'!J588</f>
        <v>G303</v>
      </c>
      <c r="I442" t="str">
        <f>'Final data_for_R_analysis_Dryse'!J808</f>
        <v>R243</v>
      </c>
      <c r="J442">
        <f>IFERROR(INDEX('Green_rooibos initial weight'!$C$5:$C$1749,MATCH(H442, 'Green_rooibos initial weight'!$A$5:$A$1749,0)),"")</f>
        <v>1.9850000000000001</v>
      </c>
      <c r="K442">
        <f>IFERROR(INDEX('Green_rooibos initial weight'!$C$5:$C$1749,MATCH(I442, 'Green_rooibos initial weight'!$A$5:$A$1749,0)),"")</f>
        <v>2.1680000000000001</v>
      </c>
      <c r="L442" s="195">
        <f t="shared" si="48"/>
        <v>1.7352000000000001</v>
      </c>
      <c r="M442" s="195">
        <f t="shared" si="49"/>
        <v>1.9182000000000001</v>
      </c>
      <c r="N442" s="16">
        <f>IF('Dry_Litterbag Placem_Collection'!G149="N.A","",'Dry_Litterbag Placem_Collection'!G149)</f>
        <v>43010</v>
      </c>
      <c r="O442" s="195">
        <f>IF(IFERROR(INDEX('Both teabags AfterDry'!$D$1:$D$839,MATCH(H442,'Both teabags AfterDry'!$A$1:$A$839,0)),"")="N.A","",(IFERROR(INDEX('Both teabags AfterDry'!$D$1:$D$839,MATCH(H442,'Both teabags AfterDry'!$A$1:$A$839,0)),"")))</f>
        <v>1.6654</v>
      </c>
      <c r="P442" s="195">
        <f>IF(IFERROR(INDEX('Both teabags AfterDry'!$D$1:$D$839,MATCH(I442,'Both teabags AfterDry'!$A$1:$A$839,0)),"")="N.A","",(IFERROR(INDEX('Both teabags AfterDry'!$D$1:$D$839,MATCH(I442,'Both teabags AfterDry'!$A$1:$A$839,0)),"")))</f>
        <v>1.9182999999999999</v>
      </c>
      <c r="Q442" s="195">
        <f t="shared" si="50"/>
        <v>1.5147999999999999</v>
      </c>
      <c r="R442" s="195">
        <f t="shared" si="50"/>
        <v>1.7676999999999998</v>
      </c>
      <c r="S442" s="195">
        <f t="shared" si="45"/>
        <v>0.12701705855232837</v>
      </c>
      <c r="T442" s="195">
        <f t="shared" si="51"/>
        <v>8.3270090642381542E-2</v>
      </c>
      <c r="U442" s="195">
        <f t="shared" si="46"/>
        <v>0.92154102804712734</v>
      </c>
      <c r="V442">
        <f t="shared" si="47"/>
        <v>71</v>
      </c>
      <c r="W442" s="195">
        <f t="shared" si="52"/>
        <v>0.84914838651742475</v>
      </c>
      <c r="X442" s="195">
        <f t="shared" si="53"/>
        <v>4.015718022430155E-2</v>
      </c>
      <c r="Y442" s="255" t="str">
        <f>IF(ISNUMBER(SEARCH("C", 'Dry_Litterbag Placem_Collection'!V149)),"YES","NO")</f>
        <v>NO</v>
      </c>
      <c r="Z442" s="255" t="str">
        <f>IF(ISNUMBER(SEARCH("H", 'Dry_Litterbag Placem_Collection'!V149)),"YES","NO")</f>
        <v>NO</v>
      </c>
      <c r="AA442" s="255" t="str">
        <f>IF(ISNUMBER(SEARCH("R", 'Dry_Litterbag Placem_Collection'!V149)),"YES","NO")</f>
        <v>NO</v>
      </c>
      <c r="AB442" s="255" t="str">
        <f>IF(ISNUMBER(SEARCH("C", 'Dry_Litterbag Placem_Collection'!U149)),"YES","NO")</f>
        <v>NO</v>
      </c>
      <c r="AC442" s="255" t="str">
        <f>IF(ISNUMBER(SEARCH("H", 'Dry_Litterbag Placem_Collection'!U149)),"YES","NO")</f>
        <v>NO</v>
      </c>
      <c r="AD442" s="255" t="str">
        <f>IF(ISNUMBER(SEARCH("R", 'Dry_Litterbag Placem_Collection'!U149)),"YES","NO")</f>
        <v>NO</v>
      </c>
    </row>
    <row r="443" spans="2:30">
      <c r="B443" t="str">
        <f>'Final data_for_R_analysis_Dryse'!A589</f>
        <v>Dry</v>
      </c>
      <c r="C443" s="263">
        <f>'Final data_for_R_analysis_Dryse'!B589</f>
        <v>148</v>
      </c>
      <c r="D443" t="s">
        <v>3849</v>
      </c>
      <c r="E443" t="s">
        <v>25</v>
      </c>
      <c r="F443" s="387">
        <v>4</v>
      </c>
      <c r="G443" s="16">
        <f>'Dry_Litterbag Placem_Collection'!E150</f>
        <v>42939</v>
      </c>
      <c r="H443" s="92" t="str">
        <f>'Final data_for_R_analysis_Dryse'!J589</f>
        <v>G161</v>
      </c>
      <c r="I443" t="str">
        <f>'Final data_for_R_analysis_Dryse'!J809</f>
        <v>R422</v>
      </c>
      <c r="J443">
        <f>IFERROR(INDEX('Green_rooibos initial weight'!$C$5:$C$1749,MATCH(H443, 'Green_rooibos initial weight'!$A$5:$A$1749,0)),"")</f>
        <v>2.0979999999999999</v>
      </c>
      <c r="K443">
        <f>IFERROR(INDEX('Green_rooibos initial weight'!$C$5:$C$1749,MATCH(I443, 'Green_rooibos initial weight'!$A$5:$A$1749,0)),"")</f>
        <v>2.1760000000000002</v>
      </c>
      <c r="L443" s="195">
        <f t="shared" si="48"/>
        <v>1.8481999999999998</v>
      </c>
      <c r="M443" s="195">
        <f t="shared" si="49"/>
        <v>1.9262000000000001</v>
      </c>
      <c r="N443" s="16">
        <f>IF('Dry_Litterbag Placem_Collection'!G150="N.A","",'Dry_Litterbag Placem_Collection'!G150)</f>
        <v>43010</v>
      </c>
      <c r="O443" s="195">
        <f>IF(IFERROR(INDEX('Both teabags AfterDry'!$D$1:$D$839,MATCH(H443,'Both teabags AfterDry'!$A$1:$A$839,0)),"")="N.A","",(IFERROR(INDEX('Both teabags AfterDry'!$D$1:$D$839,MATCH(H443,'Both teabags AfterDry'!$A$1:$A$839,0)),"")))</f>
        <v>1.7174</v>
      </c>
      <c r="P443" s="195">
        <f>IF(IFERROR(INDEX('Both teabags AfterDry'!$D$1:$D$839,MATCH(I443,'Both teabags AfterDry'!$A$1:$A$839,0)),"")="N.A","",(IFERROR(INDEX('Both teabags AfterDry'!$D$1:$D$839,MATCH(I443,'Both teabags AfterDry'!$A$1:$A$839,0)),"")))</f>
        <v>1.9601999999999999</v>
      </c>
      <c r="Q443" s="195">
        <f t="shared" si="50"/>
        <v>1.5668</v>
      </c>
      <c r="R443" s="195">
        <f t="shared" si="50"/>
        <v>1.8095999999999999</v>
      </c>
      <c r="S443" s="195">
        <f t="shared" si="45"/>
        <v>0.15225624932366622</v>
      </c>
      <c r="T443" s="195">
        <f t="shared" si="51"/>
        <v>9.981644848772421E-2</v>
      </c>
      <c r="U443" s="195">
        <f t="shared" si="46"/>
        <v>0.93946630671789</v>
      </c>
      <c r="V443">
        <f t="shared" si="47"/>
        <v>71</v>
      </c>
      <c r="W443" s="195">
        <f t="shared" si="52"/>
        <v>0.81917310056571702</v>
      </c>
      <c r="X443" s="195">
        <f t="shared" si="53"/>
        <v>1.3134469866306408E-2</v>
      </c>
      <c r="Y443" s="255" t="str">
        <f>IF(ISNUMBER(SEARCH("C", 'Dry_Litterbag Placem_Collection'!V150)),"YES","NO")</f>
        <v>NO</v>
      </c>
      <c r="Z443" s="255" t="str">
        <f>IF(ISNUMBER(SEARCH("H", 'Dry_Litterbag Placem_Collection'!V150)),"YES","NO")</f>
        <v>NO</v>
      </c>
      <c r="AA443" s="255" t="str">
        <f>IF(ISNUMBER(SEARCH("R", 'Dry_Litterbag Placem_Collection'!V150)),"YES","NO")</f>
        <v>NO</v>
      </c>
      <c r="AB443" s="255" t="str">
        <f>IF(ISNUMBER(SEARCH("C", 'Dry_Litterbag Placem_Collection'!U150)),"YES","NO")</f>
        <v>YES</v>
      </c>
      <c r="AC443" s="255" t="str">
        <f>IF(ISNUMBER(SEARCH("H", 'Dry_Litterbag Placem_Collection'!U150)),"YES","NO")</f>
        <v>NO</v>
      </c>
      <c r="AD443" s="255" t="str">
        <f>IF(ISNUMBER(SEARCH("R", 'Dry_Litterbag Placem_Collection'!U150)),"YES","NO")</f>
        <v>NO</v>
      </c>
    </row>
    <row r="444" spans="2:30">
      <c r="B444" t="str">
        <f>'Final data_for_R_analysis_Dryse'!A590</f>
        <v>Dry</v>
      </c>
      <c r="C444" s="263">
        <f>'Final data_for_R_analysis_Dryse'!B590</f>
        <v>149</v>
      </c>
      <c r="D444" t="s">
        <v>3849</v>
      </c>
      <c r="E444" t="s">
        <v>25</v>
      </c>
      <c r="F444" s="387">
        <v>5</v>
      </c>
      <c r="G444" s="16">
        <f>'Dry_Litterbag Placem_Collection'!E151</f>
        <v>42939</v>
      </c>
      <c r="H444" s="92" t="str">
        <f>'Final data_for_R_analysis_Dryse'!J590</f>
        <v>G464</v>
      </c>
      <c r="I444" t="str">
        <f>'Final data_for_R_analysis_Dryse'!J810</f>
        <v>R664</v>
      </c>
      <c r="J444">
        <f>IFERROR(INDEX('Green_rooibos initial weight'!$C$5:$C$1749,MATCH(H444, 'Green_rooibos initial weight'!$A$5:$A$1749,0)),"")</f>
        <v>1.964</v>
      </c>
      <c r="K444">
        <f>IFERROR(INDEX('Green_rooibos initial weight'!$C$5:$C$1749,MATCH(I444, 'Green_rooibos initial weight'!$A$5:$A$1749,0)),"")</f>
        <v>2.09</v>
      </c>
      <c r="L444" s="195">
        <f t="shared" si="48"/>
        <v>1.7141999999999999</v>
      </c>
      <c r="M444" s="195">
        <f t="shared" si="49"/>
        <v>1.8401999999999998</v>
      </c>
      <c r="N444" s="16">
        <f>IF('Dry_Litterbag Placem_Collection'!G151="N.A","",'Dry_Litterbag Placem_Collection'!G151)</f>
        <v>43010</v>
      </c>
      <c r="O444" s="195">
        <f>IF(IFERROR(INDEX('Both teabags AfterDry'!$D$1:$D$839,MATCH(H444,'Both teabags AfterDry'!$A$1:$A$839,0)),"")="N.A","",(IFERROR(INDEX('Both teabags AfterDry'!$D$1:$D$839,MATCH(H444,'Both teabags AfterDry'!$A$1:$A$839,0)),"")))</f>
        <v>1.571</v>
      </c>
      <c r="P444" s="195">
        <f>IF(IFERROR(INDEX('Both teabags AfterDry'!$D$1:$D$839,MATCH(I444,'Both teabags AfterDry'!$A$1:$A$839,0)),"")="N.A","",(IFERROR(INDEX('Both teabags AfterDry'!$D$1:$D$839,MATCH(I444,'Both teabags AfterDry'!$A$1:$A$839,0)),"")))</f>
        <v>1.8895999999999999</v>
      </c>
      <c r="Q444" s="195">
        <f t="shared" si="50"/>
        <v>1.4203999999999999</v>
      </c>
      <c r="R444" s="195">
        <f t="shared" si="50"/>
        <v>1.7389999999999999</v>
      </c>
      <c r="S444" s="195">
        <f t="shared" si="45"/>
        <v>0.17139190292847983</v>
      </c>
      <c r="T444" s="195">
        <f t="shared" si="51"/>
        <v>0.1123614375493122</v>
      </c>
      <c r="U444" s="195">
        <f t="shared" si="46"/>
        <v>0.94500597761112926</v>
      </c>
      <c r="V444">
        <f t="shared" si="47"/>
        <v>71</v>
      </c>
      <c r="W444" s="195">
        <f t="shared" si="52"/>
        <v>0.7964466711063185</v>
      </c>
      <c r="X444" s="195">
        <f t="shared" si="53"/>
        <v>9.4682300604145755E-3</v>
      </c>
      <c r="Y444" s="255" t="str">
        <f>IF(ISNUMBER(SEARCH("C", 'Dry_Litterbag Placem_Collection'!V151)),"YES","NO")</f>
        <v>NO</v>
      </c>
      <c r="Z444" s="255" t="str">
        <f>IF(ISNUMBER(SEARCH("H", 'Dry_Litterbag Placem_Collection'!V151)),"YES","NO")</f>
        <v>NO</v>
      </c>
      <c r="AA444" s="255" t="str">
        <f>IF(ISNUMBER(SEARCH("R", 'Dry_Litterbag Placem_Collection'!V151)),"YES","NO")</f>
        <v>NO</v>
      </c>
      <c r="AB444" s="255" t="str">
        <f>IF(ISNUMBER(SEARCH("C", 'Dry_Litterbag Placem_Collection'!U151)),"YES","NO")</f>
        <v>NO</v>
      </c>
      <c r="AC444" s="255" t="str">
        <f>IF(ISNUMBER(SEARCH("H", 'Dry_Litterbag Placem_Collection'!U151)),"YES","NO")</f>
        <v>NO</v>
      </c>
      <c r="AD444" s="255" t="str">
        <f>IF(ISNUMBER(SEARCH("R", 'Dry_Litterbag Placem_Collection'!U151)),"YES","NO")</f>
        <v>NO</v>
      </c>
    </row>
    <row r="445" spans="2:30">
      <c r="B445" t="str">
        <f>'Final data_for_R_analysis_Dryse'!A591</f>
        <v>Dry</v>
      </c>
      <c r="C445" s="263">
        <f>'Final data_for_R_analysis_Dryse'!B591</f>
        <v>150</v>
      </c>
      <c r="D445" t="s">
        <v>3849</v>
      </c>
      <c r="E445" t="s">
        <v>25</v>
      </c>
      <c r="F445" s="387">
        <v>6</v>
      </c>
      <c r="G445" s="16">
        <f>'Dry_Litterbag Placem_Collection'!E152</f>
        <v>42939</v>
      </c>
      <c r="H445" s="92" t="str">
        <f>'Final data_for_R_analysis_Dryse'!J591</f>
        <v>G843</v>
      </c>
      <c r="I445" t="str">
        <f>'Final data_for_R_analysis_Dryse'!J811</f>
        <v>R316</v>
      </c>
      <c r="J445">
        <f>IFERROR(INDEX('Green_rooibos initial weight'!$C$5:$C$1749,MATCH(H445, 'Green_rooibos initial weight'!$A$5:$A$1749,0)),"")</f>
        <v>1.964</v>
      </c>
      <c r="K445">
        <f>IFERROR(INDEX('Green_rooibos initial weight'!$C$5:$C$1749,MATCH(I445, 'Green_rooibos initial weight'!$A$5:$A$1749,0)),"")</f>
        <v>2.1779999999999999</v>
      </c>
      <c r="L445" s="195">
        <f t="shared" si="48"/>
        <v>1.7141999999999999</v>
      </c>
      <c r="M445" s="195">
        <f t="shared" si="49"/>
        <v>1.9281999999999999</v>
      </c>
      <c r="N445" s="16">
        <f>IF('Dry_Litterbag Placem_Collection'!G152="N.A","",'Dry_Litterbag Placem_Collection'!G152)</f>
        <v>43010</v>
      </c>
      <c r="O445" s="195" t="str">
        <f>IF(IFERROR(INDEX('Both teabags AfterDry'!$D$1:$D$839,MATCH(H445,'Both teabags AfterDry'!$A$1:$A$839,0)),"")="N.A","",(IFERROR(INDEX('Both teabags AfterDry'!$D$1:$D$839,MATCH(H445,'Both teabags AfterDry'!$A$1:$A$839,0)),"")))</f>
        <v/>
      </c>
      <c r="P445" s="195" t="str">
        <f>IF(IFERROR(INDEX('Both teabags AfterDry'!$D$1:$D$839,MATCH(I445,'Both teabags AfterDry'!$A$1:$A$839,0)),"")="N.A","",(IFERROR(INDEX('Both teabags AfterDry'!$D$1:$D$839,MATCH(I445,'Both teabags AfterDry'!$A$1:$A$839,0)),"")))</f>
        <v/>
      </c>
      <c r="Q445" s="195" t="str">
        <f t="shared" si="50"/>
        <v/>
      </c>
      <c r="R445" s="195" t="str">
        <f t="shared" si="50"/>
        <v/>
      </c>
      <c r="S445" s="195" t="str">
        <f t="shared" si="45"/>
        <v/>
      </c>
      <c r="T445" s="195" t="str">
        <f t="shared" si="51"/>
        <v/>
      </c>
      <c r="U445" s="195" t="str">
        <f t="shared" si="46"/>
        <v/>
      </c>
      <c r="V445">
        <f t="shared" si="47"/>
        <v>71</v>
      </c>
      <c r="W445" s="195" t="str">
        <f t="shared" si="52"/>
        <v/>
      </c>
      <c r="X445" s="195" t="str">
        <f t="shared" si="53"/>
        <v/>
      </c>
      <c r="Y445" s="255" t="str">
        <f>IF(ISNUMBER(SEARCH("C", 'Dry_Litterbag Placem_Collection'!V152)),"YES","NO")</f>
        <v>NO</v>
      </c>
      <c r="Z445" s="255" t="str">
        <f>IF(ISNUMBER(SEARCH("H", 'Dry_Litterbag Placem_Collection'!V152)),"YES","NO")</f>
        <v>NO</v>
      </c>
      <c r="AA445" s="255" t="str">
        <f>IF(ISNUMBER(SEARCH("R", 'Dry_Litterbag Placem_Collection'!V152)),"YES","NO")</f>
        <v>NO</v>
      </c>
      <c r="AB445" s="255" t="str">
        <f>IF(ISNUMBER(SEARCH("C", 'Dry_Litterbag Placem_Collection'!U152)),"YES","NO")</f>
        <v>NO</v>
      </c>
      <c r="AC445" s="255" t="str">
        <f>IF(ISNUMBER(SEARCH("H", 'Dry_Litterbag Placem_Collection'!U152)),"YES","NO")</f>
        <v>NO</v>
      </c>
      <c r="AD445" s="255" t="str">
        <f>IF(ISNUMBER(SEARCH("R", 'Dry_Litterbag Placem_Collection'!U152)),"YES","NO")</f>
        <v>NO</v>
      </c>
    </row>
    <row r="446" spans="2:30">
      <c r="B446" t="str">
        <f>'Final data_for_R_analysis_Dryse'!A592</f>
        <v>Dry</v>
      </c>
      <c r="C446" s="263">
        <f>'Final data_for_R_analysis_Dryse'!B592</f>
        <v>151</v>
      </c>
      <c r="D446" t="s">
        <v>3849</v>
      </c>
      <c r="E446" t="s">
        <v>25</v>
      </c>
      <c r="F446" s="387">
        <v>7</v>
      </c>
      <c r="G446" s="16">
        <f>'Dry_Litterbag Placem_Collection'!E153</f>
        <v>0</v>
      </c>
      <c r="H446" s="92" t="str">
        <f>'Final data_for_R_analysis_Dryse'!J592</f>
        <v/>
      </c>
      <c r="I446" t="str">
        <f>'Final data_for_R_analysis_Dryse'!J812</f>
        <v/>
      </c>
      <c r="J446" t="str">
        <f>IFERROR(INDEX('Green_rooibos initial weight'!$C$5:$C$1749,MATCH(H446, 'Green_rooibos initial weight'!$A$5:$A$1749,0)),"")</f>
        <v/>
      </c>
      <c r="K446" t="str">
        <f>IFERROR(INDEX('Green_rooibos initial weight'!$C$5:$C$1749,MATCH(I446, 'Green_rooibos initial weight'!$A$5:$A$1749,0)),"")</f>
        <v/>
      </c>
      <c r="L446" s="195" t="str">
        <f t="shared" si="48"/>
        <v/>
      </c>
      <c r="M446" s="195" t="str">
        <f t="shared" si="49"/>
        <v/>
      </c>
      <c r="N446" s="16">
        <f>IF('Dry_Litterbag Placem_Collection'!G153="N.A","",'Dry_Litterbag Placem_Collection'!G153)</f>
        <v>0</v>
      </c>
      <c r="O446" s="195" t="str">
        <f>IF(IFERROR(INDEX('Both teabags AfterDry'!$D$1:$D$839,MATCH(H446,'Both teabags AfterDry'!$A$1:$A$839,0)),"")="N.A","",(IFERROR(INDEX('Both teabags AfterDry'!$D$1:$D$839,MATCH(H446,'Both teabags AfterDry'!$A$1:$A$839,0)),"")))</f>
        <v/>
      </c>
      <c r="P446" s="195" t="str">
        <f>IF(IFERROR(INDEX('Both teabags AfterDry'!$D$1:$D$839,MATCH(I446,'Both teabags AfterDry'!$A$1:$A$839,0)),"")="N.A","",(IFERROR(INDEX('Both teabags AfterDry'!$D$1:$D$839,MATCH(I446,'Both teabags AfterDry'!$A$1:$A$839,0)),"")))</f>
        <v/>
      </c>
      <c r="Q446" s="195" t="str">
        <f t="shared" si="50"/>
        <v/>
      </c>
      <c r="R446" s="195" t="str">
        <f t="shared" si="50"/>
        <v/>
      </c>
      <c r="S446" s="195" t="str">
        <f t="shared" si="45"/>
        <v/>
      </c>
      <c r="T446" s="195" t="str">
        <f t="shared" si="51"/>
        <v/>
      </c>
      <c r="U446" s="195" t="str">
        <f t="shared" si="46"/>
        <v/>
      </c>
      <c r="V446" t="str">
        <f t="shared" si="47"/>
        <v/>
      </c>
      <c r="W446" s="195" t="str">
        <f t="shared" si="52"/>
        <v/>
      </c>
      <c r="X446" s="195" t="str">
        <f t="shared" si="53"/>
        <v/>
      </c>
      <c r="Y446" s="255" t="str">
        <f>IF(ISNUMBER(SEARCH("C", 'Dry_Litterbag Placem_Collection'!V153)),"YES","NO")</f>
        <v>NO</v>
      </c>
      <c r="Z446" s="255" t="str">
        <f>IF(ISNUMBER(SEARCH("H", 'Dry_Litterbag Placem_Collection'!V153)),"YES","NO")</f>
        <v>NO</v>
      </c>
      <c r="AA446" s="255" t="str">
        <f>IF(ISNUMBER(SEARCH("R", 'Dry_Litterbag Placem_Collection'!V153)),"YES","NO")</f>
        <v>NO</v>
      </c>
      <c r="AB446" s="255" t="str">
        <f>IF(ISNUMBER(SEARCH("C", 'Dry_Litterbag Placem_Collection'!U153)),"YES","NO")</f>
        <v>NO</v>
      </c>
      <c r="AC446" s="255" t="str">
        <f>IF(ISNUMBER(SEARCH("H", 'Dry_Litterbag Placem_Collection'!U153)),"YES","NO")</f>
        <v>NO</v>
      </c>
      <c r="AD446" s="255" t="str">
        <f>IF(ISNUMBER(SEARCH("R", 'Dry_Litterbag Placem_Collection'!U153)),"YES","NO")</f>
        <v>NO</v>
      </c>
    </row>
    <row r="447" spans="2:30">
      <c r="B447" t="str">
        <f>'Final data_for_R_analysis_Dryse'!A593</f>
        <v>Dry</v>
      </c>
      <c r="C447" s="263">
        <f>'Final data_for_R_analysis_Dryse'!B593</f>
        <v>152</v>
      </c>
      <c r="D447" t="s">
        <v>3849</v>
      </c>
      <c r="E447" t="s">
        <v>25</v>
      </c>
      <c r="F447" s="387">
        <v>8</v>
      </c>
      <c r="G447" s="16">
        <f>'Dry_Litterbag Placem_Collection'!E154</f>
        <v>42939</v>
      </c>
      <c r="H447" s="92" t="str">
        <f>'Final data_for_R_analysis_Dryse'!J593</f>
        <v>G617</v>
      </c>
      <c r="I447" t="str">
        <f>'Final data_for_R_analysis_Dryse'!J813</f>
        <v>R635</v>
      </c>
      <c r="J447">
        <f>IFERROR(INDEX('Green_rooibos initial weight'!$C$5:$C$1749,MATCH(H447, 'Green_rooibos initial weight'!$A$5:$A$1749,0)),"")</f>
        <v>2.0880000000000001</v>
      </c>
      <c r="K447">
        <f>IFERROR(INDEX('Green_rooibos initial weight'!$C$5:$C$1749,MATCH(I447, 'Green_rooibos initial weight'!$A$5:$A$1749,0)),"")</f>
        <v>2.1320000000000001</v>
      </c>
      <c r="L447" s="195">
        <f t="shared" si="48"/>
        <v>1.8382000000000001</v>
      </c>
      <c r="M447" s="195">
        <f t="shared" si="49"/>
        <v>1.8822000000000001</v>
      </c>
      <c r="N447" s="16">
        <f>IF('Dry_Litterbag Placem_Collection'!G154="N.A","",'Dry_Litterbag Placem_Collection'!G154)</f>
        <v>43010</v>
      </c>
      <c r="O447" s="195">
        <f>IF(IFERROR(INDEX('Both teabags AfterDry'!$D$1:$D$839,MATCH(H447,'Both teabags AfterDry'!$A$1:$A$839,0)),"")="N.A","",(IFERROR(INDEX('Both teabags AfterDry'!$D$1:$D$839,MATCH(H447,'Both teabags AfterDry'!$A$1:$A$839,0)),"")))</f>
        <v>1.3632</v>
      </c>
      <c r="P447" s="195">
        <f>IF(IFERROR(INDEX('Both teabags AfterDry'!$D$1:$D$839,MATCH(I447,'Both teabags AfterDry'!$A$1:$A$839,0)),"")="N.A","",(IFERROR(INDEX('Both teabags AfterDry'!$D$1:$D$839,MATCH(I447,'Both teabags AfterDry'!$A$1:$A$839,0)),"")))</f>
        <v>1.9524999999999999</v>
      </c>
      <c r="Q447" s="195">
        <f t="shared" si="50"/>
        <v>1.2125999999999999</v>
      </c>
      <c r="R447" s="195">
        <f t="shared" si="50"/>
        <v>1.8018999999999998</v>
      </c>
      <c r="S447" s="195">
        <f t="shared" si="45"/>
        <v>0.34033293439234036</v>
      </c>
      <c r="T447" s="195">
        <f t="shared" si="51"/>
        <v>0.22311612801018038</v>
      </c>
      <c r="U447" s="195">
        <f t="shared" si="46"/>
        <v>0.95733715864413971</v>
      </c>
      <c r="V447">
        <f t="shared" si="47"/>
        <v>71</v>
      </c>
      <c r="W447" s="195">
        <f t="shared" si="52"/>
        <v>0.59580411592358629</v>
      </c>
      <c r="X447" s="195">
        <f t="shared" si="53"/>
        <v>2.9890203485146674E-3</v>
      </c>
      <c r="Y447" s="255" t="str">
        <f>IF(ISNUMBER(SEARCH("C", 'Dry_Litterbag Placem_Collection'!V154)),"YES","NO")</f>
        <v>NO</v>
      </c>
      <c r="Z447" s="255" t="str">
        <f>IF(ISNUMBER(SEARCH("H", 'Dry_Litterbag Placem_Collection'!V154)),"YES","NO")</f>
        <v>NO</v>
      </c>
      <c r="AA447" s="255" t="str">
        <f>IF(ISNUMBER(SEARCH("R", 'Dry_Litterbag Placem_Collection'!V154)),"YES","NO")</f>
        <v>NO</v>
      </c>
      <c r="AB447" s="255" t="str">
        <f>IF(ISNUMBER(SEARCH("C", 'Dry_Litterbag Placem_Collection'!U154)),"YES","NO")</f>
        <v>NO</v>
      </c>
      <c r="AC447" s="255" t="str">
        <f>IF(ISNUMBER(SEARCH("H", 'Dry_Litterbag Placem_Collection'!U154)),"YES","NO")</f>
        <v>NO</v>
      </c>
      <c r="AD447" s="255" t="str">
        <f>IF(ISNUMBER(SEARCH("R", 'Dry_Litterbag Placem_Collection'!U154)),"YES","NO")</f>
        <v>NO</v>
      </c>
    </row>
    <row r="448" spans="2:30">
      <c r="B448" t="str">
        <f>'Final data_for_R_analysis_Dryse'!A594</f>
        <v>Dry</v>
      </c>
      <c r="C448" s="263">
        <f>'Final data_for_R_analysis_Dryse'!B594</f>
        <v>153</v>
      </c>
      <c r="D448" t="s">
        <v>3850</v>
      </c>
      <c r="E448" t="s">
        <v>25</v>
      </c>
      <c r="F448" s="386">
        <v>1</v>
      </c>
      <c r="G448" s="16">
        <f>'Dry_Litterbag Placem_Collection'!E155</f>
        <v>42939</v>
      </c>
      <c r="H448" s="92" t="str">
        <f>'Final data_for_R_analysis_Dryse'!J594</f>
        <v>G19</v>
      </c>
      <c r="I448" t="str">
        <f>'Final data_for_R_analysis_Dryse'!J814</f>
        <v>R651</v>
      </c>
      <c r="J448">
        <f>IFERROR(INDEX('Green_rooibos initial weight'!$C$5:$C$1749,MATCH(H448, 'Green_rooibos initial weight'!$A$5:$A$1749,0)),"")</f>
        <v>2.0659999999999998</v>
      </c>
      <c r="K448">
        <f>IFERROR(INDEX('Green_rooibos initial weight'!$C$5:$C$1749,MATCH(I448, 'Green_rooibos initial weight'!$A$5:$A$1749,0)),"")</f>
        <v>2.2349999999999999</v>
      </c>
      <c r="L448" s="195">
        <f t="shared" si="48"/>
        <v>1.8161999999999998</v>
      </c>
      <c r="M448" s="195">
        <f t="shared" si="49"/>
        <v>1.9851999999999999</v>
      </c>
      <c r="N448" s="16">
        <f>IF('Dry_Litterbag Placem_Collection'!G155="N.A","",'Dry_Litterbag Placem_Collection'!G155)</f>
        <v>43010</v>
      </c>
      <c r="O448" s="195">
        <f>IF(IFERROR(INDEX('Both teabags AfterDry'!$D$1:$D$839,MATCH(H448,'Both teabags AfterDry'!$A$1:$A$839,0)),"")="N.A","",(IFERROR(INDEX('Both teabags AfterDry'!$D$1:$D$839,MATCH(H448,'Both teabags AfterDry'!$A$1:$A$839,0)),"")))</f>
        <v>1.0404</v>
      </c>
      <c r="P448" s="195">
        <f>IF(IFERROR(INDEX('Both teabags AfterDry'!$D$1:$D$839,MATCH(I448,'Both teabags AfterDry'!$A$1:$A$839,0)),"")="N.A","",(IFERROR(INDEX('Both teabags AfterDry'!$D$1:$D$839,MATCH(I448,'Both teabags AfterDry'!$A$1:$A$839,0)),"")))</f>
        <v>2.0049000000000001</v>
      </c>
      <c r="Q448" s="195">
        <f t="shared" si="50"/>
        <v>0.88979999999999992</v>
      </c>
      <c r="R448" s="195">
        <f t="shared" si="50"/>
        <v>1.8543000000000001</v>
      </c>
      <c r="S448" s="195">
        <f t="shared" si="45"/>
        <v>0.5100759828212752</v>
      </c>
      <c r="T448" s="195">
        <f t="shared" si="51"/>
        <v>0.33439660631513535</v>
      </c>
      <c r="U448" s="195">
        <f t="shared" si="46"/>
        <v>0.93406205923836394</v>
      </c>
      <c r="V448">
        <f t="shared" si="47"/>
        <v>71</v>
      </c>
      <c r="W448" s="195">
        <f t="shared" si="52"/>
        <v>0.394209046530552</v>
      </c>
      <c r="X448" s="195">
        <f t="shared" si="53"/>
        <v>3.0933912151955337E-3</v>
      </c>
      <c r="Y448" s="255" t="str">
        <f>IF(ISNUMBER(SEARCH("C", 'Dry_Litterbag Placem_Collection'!V155)),"YES","NO")</f>
        <v>NO</v>
      </c>
      <c r="Z448" s="255" t="str">
        <f>IF(ISNUMBER(SEARCH("H", 'Dry_Litterbag Placem_Collection'!V155)),"YES","NO")</f>
        <v>NO</v>
      </c>
      <c r="AA448" s="255" t="str">
        <f>IF(ISNUMBER(SEARCH("R", 'Dry_Litterbag Placem_Collection'!V155)),"YES","NO")</f>
        <v>NO</v>
      </c>
      <c r="AB448" s="255" t="str">
        <f>IF(ISNUMBER(SEARCH("C", 'Dry_Litterbag Placem_Collection'!U155)),"YES","NO")</f>
        <v>NO</v>
      </c>
      <c r="AC448" s="255" t="str">
        <f>IF(ISNUMBER(SEARCH("H", 'Dry_Litterbag Placem_Collection'!U155)),"YES","NO")</f>
        <v>NO</v>
      </c>
      <c r="AD448" s="255" t="str">
        <f>IF(ISNUMBER(SEARCH("R", 'Dry_Litterbag Placem_Collection'!U155)),"YES","NO")</f>
        <v>NO</v>
      </c>
    </row>
    <row r="449" spans="2:30">
      <c r="B449" t="str">
        <f>'Final data_for_R_analysis_Dryse'!A595</f>
        <v>Dry</v>
      </c>
      <c r="C449" s="263">
        <f>'Final data_for_R_analysis_Dryse'!B595</f>
        <v>154</v>
      </c>
      <c r="D449" t="s">
        <v>3850</v>
      </c>
      <c r="E449" t="s">
        <v>25</v>
      </c>
      <c r="F449" s="386">
        <v>2</v>
      </c>
      <c r="G449" s="16">
        <f>'Dry_Litterbag Placem_Collection'!E156</f>
        <v>42939</v>
      </c>
      <c r="H449" s="92" t="str">
        <f>'Final data_for_R_analysis_Dryse'!J595</f>
        <v>G275</v>
      </c>
      <c r="I449" t="str">
        <f>'Final data_for_R_analysis_Dryse'!J815</f>
        <v>R367</v>
      </c>
      <c r="J449">
        <f>IFERROR(INDEX('Green_rooibos initial weight'!$C$5:$C$1749,MATCH(H449, 'Green_rooibos initial weight'!$A$5:$A$1749,0)),"")</f>
        <v>2.097</v>
      </c>
      <c r="K449">
        <f>IFERROR(INDEX('Green_rooibos initial weight'!$C$5:$C$1749,MATCH(I449, 'Green_rooibos initial weight'!$A$5:$A$1749,0)),"")</f>
        <v>2.165</v>
      </c>
      <c r="L449" s="195">
        <f t="shared" si="48"/>
        <v>1.8472</v>
      </c>
      <c r="M449" s="195">
        <f t="shared" si="49"/>
        <v>1.9152</v>
      </c>
      <c r="N449" s="16">
        <f>IF('Dry_Litterbag Placem_Collection'!G156="N.A","",'Dry_Litterbag Placem_Collection'!G156)</f>
        <v>43010</v>
      </c>
      <c r="O449" s="195">
        <f>IF(IFERROR(INDEX('Both teabags AfterDry'!$D$1:$D$839,MATCH(H449,'Both teabags AfterDry'!$A$1:$A$839,0)),"")="N.A","",(IFERROR(INDEX('Both teabags AfterDry'!$D$1:$D$839,MATCH(H449,'Both teabags AfterDry'!$A$1:$A$839,0)),"")))</f>
        <v>1.2171000000000001</v>
      </c>
      <c r="P449" s="195">
        <f>IF(IFERROR(INDEX('Both teabags AfterDry'!$D$1:$D$839,MATCH(I449,'Both teabags AfterDry'!$A$1:$A$839,0)),"")="N.A","",(IFERROR(INDEX('Both teabags AfterDry'!$D$1:$D$839,MATCH(I449,'Both teabags AfterDry'!$A$1:$A$839,0)),"")))</f>
        <v>1.8496999999999999</v>
      </c>
      <c r="Q449" s="195">
        <f t="shared" si="50"/>
        <v>1.0665</v>
      </c>
      <c r="R449" s="195">
        <f t="shared" si="50"/>
        <v>1.6990999999999998</v>
      </c>
      <c r="S449" s="195">
        <f t="shared" si="45"/>
        <v>0.42263967085318321</v>
      </c>
      <c r="T449" s="195">
        <f t="shared" si="51"/>
        <v>0.27707493861158811</v>
      </c>
      <c r="U449" s="195">
        <f t="shared" si="46"/>
        <v>0.88716583124477855</v>
      </c>
      <c r="V449">
        <f t="shared" si="47"/>
        <v>71</v>
      </c>
      <c r="W449" s="195">
        <f t="shared" si="52"/>
        <v>0.49805264744277522</v>
      </c>
      <c r="X449" s="195">
        <f t="shared" si="53"/>
        <v>7.3655569861496529E-3</v>
      </c>
      <c r="Y449" s="255" t="str">
        <f>IF(ISNUMBER(SEARCH("C", 'Dry_Litterbag Placem_Collection'!V156)),"YES","NO")</f>
        <v>NO</v>
      </c>
      <c r="Z449" s="255" t="str">
        <f>IF(ISNUMBER(SEARCH("H", 'Dry_Litterbag Placem_Collection'!V156)),"YES","NO")</f>
        <v>NO</v>
      </c>
      <c r="AA449" s="255" t="str">
        <f>IF(ISNUMBER(SEARCH("R", 'Dry_Litterbag Placem_Collection'!V156)),"YES","NO")</f>
        <v>NO</v>
      </c>
      <c r="AB449" s="255" t="str">
        <f>IF(ISNUMBER(SEARCH("C", 'Dry_Litterbag Placem_Collection'!U156)),"YES","NO")</f>
        <v>NO</v>
      </c>
      <c r="AC449" s="255" t="str">
        <f>IF(ISNUMBER(SEARCH("H", 'Dry_Litterbag Placem_Collection'!U156)),"YES","NO")</f>
        <v>NO</v>
      </c>
      <c r="AD449" s="255" t="str">
        <f>IF(ISNUMBER(SEARCH("R", 'Dry_Litterbag Placem_Collection'!U156)),"YES","NO")</f>
        <v>NO</v>
      </c>
    </row>
    <row r="450" spans="2:30">
      <c r="B450" t="str">
        <f>'Final data_for_R_analysis_Dryse'!A596</f>
        <v>Dry</v>
      </c>
      <c r="C450" s="263">
        <f>'Final data_for_R_analysis_Dryse'!B596</f>
        <v>155</v>
      </c>
      <c r="D450" t="s">
        <v>3850</v>
      </c>
      <c r="E450" t="s">
        <v>25</v>
      </c>
      <c r="F450" s="386">
        <v>3</v>
      </c>
      <c r="G450" s="16">
        <f>'Dry_Litterbag Placem_Collection'!E157</f>
        <v>42939</v>
      </c>
      <c r="H450" s="92" t="str">
        <f>'Final data_for_R_analysis_Dryse'!J596</f>
        <v>G289</v>
      </c>
      <c r="I450" t="str">
        <f>'Final data_for_R_analysis_Dryse'!J816</f>
        <v>R617</v>
      </c>
      <c r="J450">
        <f>IFERROR(INDEX('Green_rooibos initial weight'!$C$5:$C$1749,MATCH(H450, 'Green_rooibos initial weight'!$A$5:$A$1749,0)),"")</f>
        <v>2.093</v>
      </c>
      <c r="K450">
        <f>IFERROR(INDEX('Green_rooibos initial weight'!$C$5:$C$1749,MATCH(I450, 'Green_rooibos initial weight'!$A$5:$A$1749,0)),"")</f>
        <v>2.2010000000000001</v>
      </c>
      <c r="L450" s="195">
        <f t="shared" si="48"/>
        <v>1.8431999999999999</v>
      </c>
      <c r="M450" s="195">
        <f t="shared" si="49"/>
        <v>1.9512</v>
      </c>
      <c r="N450" s="16">
        <f>IF('Dry_Litterbag Placem_Collection'!G157="N.A","",'Dry_Litterbag Placem_Collection'!G157)</f>
        <v>43010</v>
      </c>
      <c r="O450" s="195">
        <f>IF(IFERROR(INDEX('Both teabags AfterDry'!$D$1:$D$839,MATCH(H450,'Both teabags AfterDry'!$A$1:$A$839,0)),"")="N.A","",(IFERROR(INDEX('Both teabags AfterDry'!$D$1:$D$839,MATCH(H450,'Both teabags AfterDry'!$A$1:$A$839,0)),"")))</f>
        <v>1.2491000000000001</v>
      </c>
      <c r="P450" s="195">
        <f>IF(IFERROR(INDEX('Both teabags AfterDry'!$D$1:$D$839,MATCH(I450,'Both teabags AfterDry'!$A$1:$A$839,0)),"")="N.A","",(IFERROR(INDEX('Both teabags AfterDry'!$D$1:$D$839,MATCH(I450,'Both teabags AfterDry'!$A$1:$A$839,0)),"")))</f>
        <v>1.8621000000000001</v>
      </c>
      <c r="Q450" s="195">
        <f t="shared" si="50"/>
        <v>1.0985</v>
      </c>
      <c r="R450" s="195">
        <f t="shared" si="50"/>
        <v>1.7115</v>
      </c>
      <c r="S450" s="195">
        <f t="shared" si="45"/>
        <v>0.40402560763888884</v>
      </c>
      <c r="T450" s="195">
        <f t="shared" si="51"/>
        <v>0.26487189479414086</v>
      </c>
      <c r="U450" s="195">
        <f t="shared" si="46"/>
        <v>0.87715252152521528</v>
      </c>
      <c r="V450">
        <f t="shared" si="47"/>
        <v>71</v>
      </c>
      <c r="W450" s="195">
        <f t="shared" si="52"/>
        <v>0.52015961088017959</v>
      </c>
      <c r="X450" s="195">
        <f t="shared" si="53"/>
        <v>8.7781310493058803E-3</v>
      </c>
      <c r="Y450" s="255" t="str">
        <f>IF(ISNUMBER(SEARCH("C", 'Dry_Litterbag Placem_Collection'!V157)),"YES","NO")</f>
        <v>NO</v>
      </c>
      <c r="Z450" s="255" t="str">
        <f>IF(ISNUMBER(SEARCH("H", 'Dry_Litterbag Placem_Collection'!V157)),"YES","NO")</f>
        <v>NO</v>
      </c>
      <c r="AA450" s="255" t="str">
        <f>IF(ISNUMBER(SEARCH("R", 'Dry_Litterbag Placem_Collection'!V157)),"YES","NO")</f>
        <v>NO</v>
      </c>
      <c r="AB450" s="255" t="str">
        <f>IF(ISNUMBER(SEARCH("C", 'Dry_Litterbag Placem_Collection'!U157)),"YES","NO")</f>
        <v>NO</v>
      </c>
      <c r="AC450" s="255" t="str">
        <f>IF(ISNUMBER(SEARCH("H", 'Dry_Litterbag Placem_Collection'!U157)),"YES","NO")</f>
        <v>NO</v>
      </c>
      <c r="AD450" s="255" t="str">
        <f>IF(ISNUMBER(SEARCH("R", 'Dry_Litterbag Placem_Collection'!U157)),"YES","NO")</f>
        <v>NO</v>
      </c>
    </row>
    <row r="451" spans="2:30">
      <c r="B451" t="str">
        <f>'Final data_for_R_analysis_Dryse'!A597</f>
        <v>Dry</v>
      </c>
      <c r="C451" s="263">
        <f>'Final data_for_R_analysis_Dryse'!B597</f>
        <v>156</v>
      </c>
      <c r="D451" t="s">
        <v>3850</v>
      </c>
      <c r="E451" t="s">
        <v>25</v>
      </c>
      <c r="F451" s="387">
        <v>4</v>
      </c>
      <c r="G451" s="16">
        <f>'Dry_Litterbag Placem_Collection'!E158</f>
        <v>42939</v>
      </c>
      <c r="H451" s="92" t="str">
        <f>'Final data_for_R_analysis_Dryse'!J597</f>
        <v>G65</v>
      </c>
      <c r="I451" t="str">
        <f>'Final data_for_R_analysis_Dryse'!J817</f>
        <v>R84</v>
      </c>
      <c r="J451">
        <f>IFERROR(INDEX('Green_rooibos initial weight'!$C$5:$C$1749,MATCH(H451, 'Green_rooibos initial weight'!$A$5:$A$1749,0)),"")</f>
        <v>2.0750000000000002</v>
      </c>
      <c r="K451">
        <f>IFERROR(INDEX('Green_rooibos initial weight'!$C$5:$C$1749,MATCH(I451, 'Green_rooibos initial weight'!$A$5:$A$1749,0)),"")</f>
        <v>2.1629999999999998</v>
      </c>
      <c r="L451" s="195">
        <f t="shared" si="48"/>
        <v>1.8252000000000002</v>
      </c>
      <c r="M451" s="195">
        <f t="shared" si="49"/>
        <v>1.9131999999999998</v>
      </c>
      <c r="N451" s="16">
        <f>IF('Dry_Litterbag Placem_Collection'!G158="N.A","",'Dry_Litterbag Placem_Collection'!G158)</f>
        <v>43010</v>
      </c>
      <c r="O451" s="195">
        <f>IF(IFERROR(INDEX('Both teabags AfterDry'!$D$1:$D$839,MATCH(H451,'Both teabags AfterDry'!$A$1:$A$839,0)),"")="N.A","",(IFERROR(INDEX('Both teabags AfterDry'!$D$1:$D$839,MATCH(H451,'Both teabags AfterDry'!$A$1:$A$839,0)),"")))</f>
        <v>1.0561</v>
      </c>
      <c r="P451" s="195">
        <f>IF(IFERROR(INDEX('Both teabags AfterDry'!$D$1:$D$839,MATCH(I451,'Both teabags AfterDry'!$A$1:$A$839,0)),"")="N.A","",(IFERROR(INDEX('Both teabags AfterDry'!$D$1:$D$839,MATCH(I451,'Both teabags AfterDry'!$A$1:$A$839,0)),"")))</f>
        <v>1.8827</v>
      </c>
      <c r="Q451" s="195">
        <f t="shared" si="50"/>
        <v>0.90549999999999997</v>
      </c>
      <c r="R451" s="195">
        <f t="shared" si="50"/>
        <v>1.7321</v>
      </c>
      <c r="S451" s="195">
        <f t="shared" si="45"/>
        <v>0.50388998465921553</v>
      </c>
      <c r="T451" s="195">
        <f t="shared" si="51"/>
        <v>0.33034117759131476</v>
      </c>
      <c r="U451" s="195">
        <f t="shared" si="46"/>
        <v>0.90534183566799087</v>
      </c>
      <c r="V451">
        <f t="shared" si="47"/>
        <v>71</v>
      </c>
      <c r="W451" s="195">
        <f t="shared" si="52"/>
        <v>0.40155583769689362</v>
      </c>
      <c r="X451" s="195">
        <f t="shared" si="53"/>
        <v>4.7554683641648386E-3</v>
      </c>
      <c r="Y451" s="255" t="str">
        <f>IF(ISNUMBER(SEARCH("C", 'Dry_Litterbag Placem_Collection'!V158)),"YES","NO")</f>
        <v>NO</v>
      </c>
      <c r="Z451" s="255" t="str">
        <f>IF(ISNUMBER(SEARCH("H", 'Dry_Litterbag Placem_Collection'!V158)),"YES","NO")</f>
        <v>NO</v>
      </c>
      <c r="AA451" s="255" t="str">
        <f>IF(ISNUMBER(SEARCH("R", 'Dry_Litterbag Placem_Collection'!V158)),"YES","NO")</f>
        <v>NO</v>
      </c>
      <c r="AB451" s="255" t="str">
        <f>IF(ISNUMBER(SEARCH("C", 'Dry_Litterbag Placem_Collection'!U158)),"YES","NO")</f>
        <v>NO</v>
      </c>
      <c r="AC451" s="255" t="str">
        <f>IF(ISNUMBER(SEARCH("H", 'Dry_Litterbag Placem_Collection'!U158)),"YES","NO")</f>
        <v>NO</v>
      </c>
      <c r="AD451" s="255" t="str">
        <f>IF(ISNUMBER(SEARCH("R", 'Dry_Litterbag Placem_Collection'!U158)),"YES","NO")</f>
        <v>NO</v>
      </c>
    </row>
    <row r="452" spans="2:30">
      <c r="B452" t="str">
        <f>'Final data_for_R_analysis_Dryse'!A598</f>
        <v>Dry</v>
      </c>
      <c r="C452" s="263">
        <f>'Final data_for_R_analysis_Dryse'!B598</f>
        <v>157</v>
      </c>
      <c r="D452" t="s">
        <v>3850</v>
      </c>
      <c r="E452" t="s">
        <v>25</v>
      </c>
      <c r="F452" s="387">
        <v>5</v>
      </c>
      <c r="G452" s="16">
        <f>'Dry_Litterbag Placem_Collection'!E159</f>
        <v>42939</v>
      </c>
      <c r="H452" s="92" t="str">
        <f>'Final data_for_R_analysis_Dryse'!J598</f>
        <v>G33</v>
      </c>
      <c r="I452" t="str">
        <f>'Final data_for_R_analysis_Dryse'!J818</f>
        <v>R248</v>
      </c>
      <c r="J452">
        <f>IFERROR(INDEX('Green_rooibos initial weight'!$C$5:$C$1749,MATCH(H452, 'Green_rooibos initial weight'!$A$5:$A$1749,0)),"")</f>
        <v>2.0579999999999998</v>
      </c>
      <c r="K452">
        <f>IFERROR(INDEX('Green_rooibos initial weight'!$C$5:$C$1749,MATCH(I452, 'Green_rooibos initial weight'!$A$5:$A$1749,0)),"")</f>
        <v>2.1829999999999998</v>
      </c>
      <c r="L452" s="195">
        <f t="shared" si="48"/>
        <v>1.8081999999999998</v>
      </c>
      <c r="M452" s="195">
        <f t="shared" si="49"/>
        <v>1.9331999999999998</v>
      </c>
      <c r="N452" s="16">
        <f>IF('Dry_Litterbag Placem_Collection'!G159="N.A","",'Dry_Litterbag Placem_Collection'!G159)</f>
        <v>43010</v>
      </c>
      <c r="O452" s="195" t="str">
        <f>IF(IFERROR(INDEX('Both teabags AfterDry'!$D$1:$D$839,MATCH(H452,'Both teabags AfterDry'!$A$1:$A$839,0)),"")="N.A","",(IFERROR(INDEX('Both teabags AfterDry'!$D$1:$D$839,MATCH(H452,'Both teabags AfterDry'!$A$1:$A$839,0)),"")))</f>
        <v/>
      </c>
      <c r="P452" s="195" t="str">
        <f>IF(IFERROR(INDEX('Both teabags AfterDry'!$D$1:$D$839,MATCH(I452,'Both teabags AfterDry'!$A$1:$A$839,0)),"")="N.A","",(IFERROR(INDEX('Both teabags AfterDry'!$D$1:$D$839,MATCH(I452,'Both teabags AfterDry'!$A$1:$A$839,0)),"")))</f>
        <v/>
      </c>
      <c r="Q452" s="195" t="str">
        <f t="shared" si="50"/>
        <v/>
      </c>
      <c r="R452" s="195" t="str">
        <f t="shared" si="50"/>
        <v/>
      </c>
      <c r="S452" s="195" t="str">
        <f t="shared" si="45"/>
        <v/>
      </c>
      <c r="T452" s="195" t="str">
        <f t="shared" si="51"/>
        <v/>
      </c>
      <c r="U452" s="195" t="str">
        <f t="shared" si="46"/>
        <v/>
      </c>
      <c r="V452">
        <f t="shared" si="47"/>
        <v>71</v>
      </c>
      <c r="W452" s="195" t="str">
        <f t="shared" si="52"/>
        <v/>
      </c>
      <c r="X452" s="195" t="str">
        <f t="shared" si="53"/>
        <v/>
      </c>
      <c r="Y452" s="255" t="str">
        <f>IF(ISNUMBER(SEARCH("C", 'Dry_Litterbag Placem_Collection'!V159)),"YES","NO")</f>
        <v>NO</v>
      </c>
      <c r="Z452" s="255" t="str">
        <f>IF(ISNUMBER(SEARCH("H", 'Dry_Litterbag Placem_Collection'!V159)),"YES","NO")</f>
        <v>NO</v>
      </c>
      <c r="AA452" s="255" t="str">
        <f>IF(ISNUMBER(SEARCH("R", 'Dry_Litterbag Placem_Collection'!V159)),"YES","NO")</f>
        <v>NO</v>
      </c>
      <c r="AB452" s="255" t="str">
        <f>IF(ISNUMBER(SEARCH("C", 'Dry_Litterbag Placem_Collection'!U159)),"YES","NO")</f>
        <v>NO</v>
      </c>
      <c r="AC452" s="255" t="str">
        <f>IF(ISNUMBER(SEARCH("H", 'Dry_Litterbag Placem_Collection'!U159)),"YES","NO")</f>
        <v>NO</v>
      </c>
      <c r="AD452" s="255" t="str">
        <f>IF(ISNUMBER(SEARCH("R", 'Dry_Litterbag Placem_Collection'!U159)),"YES","NO")</f>
        <v>NO</v>
      </c>
    </row>
    <row r="453" spans="2:30">
      <c r="B453" t="str">
        <f>'Final data_for_R_analysis_Dryse'!A599</f>
        <v>Dry</v>
      </c>
      <c r="C453" s="263">
        <f>'Final data_for_R_analysis_Dryse'!B599</f>
        <v>158</v>
      </c>
      <c r="D453" t="s">
        <v>3850</v>
      </c>
      <c r="E453" t="s">
        <v>25</v>
      </c>
      <c r="F453" s="387">
        <v>6</v>
      </c>
      <c r="G453" s="16">
        <f>'Dry_Litterbag Placem_Collection'!E160</f>
        <v>42939</v>
      </c>
      <c r="H453" s="92" t="str">
        <f>'Final data_for_R_analysis_Dryse'!J599</f>
        <v>G153</v>
      </c>
      <c r="I453" t="str">
        <f>'Final data_for_R_analysis_Dryse'!J819</f>
        <v>R238</v>
      </c>
      <c r="J453">
        <f>IFERROR(INDEX('Green_rooibos initial weight'!$C$5:$C$1749,MATCH(H453, 'Green_rooibos initial weight'!$A$5:$A$1749,0)),"")</f>
        <v>2.0529999999999999</v>
      </c>
      <c r="K453">
        <f>IFERROR(INDEX('Green_rooibos initial weight'!$C$5:$C$1749,MATCH(I453, 'Green_rooibos initial weight'!$A$5:$A$1749,0)),"")</f>
        <v>2.2389999999999999</v>
      </c>
      <c r="L453" s="195">
        <f t="shared" si="48"/>
        <v>1.8031999999999999</v>
      </c>
      <c r="M453" s="195">
        <f t="shared" si="49"/>
        <v>1.9891999999999999</v>
      </c>
      <c r="N453" s="16">
        <f>IF('Dry_Litterbag Placem_Collection'!G160="N.A","",'Dry_Litterbag Placem_Collection'!G160)</f>
        <v>43010</v>
      </c>
      <c r="O453" s="195">
        <f>IF(IFERROR(INDEX('Both teabags AfterDry'!$D$1:$D$839,MATCH(H453,'Both teabags AfterDry'!$A$1:$A$839,0)),"")="N.A","",(IFERROR(INDEX('Both teabags AfterDry'!$D$1:$D$839,MATCH(H453,'Both teabags AfterDry'!$A$1:$A$839,0)),"")))</f>
        <v>0.87609999999999999</v>
      </c>
      <c r="P453" s="195">
        <f>IF(IFERROR(INDEX('Both teabags AfterDry'!$D$1:$D$839,MATCH(I453,'Both teabags AfterDry'!$A$1:$A$839,0)),"")="N.A","",(IFERROR(INDEX('Both teabags AfterDry'!$D$1:$D$839,MATCH(I453,'Both teabags AfterDry'!$A$1:$A$839,0)),"")))</f>
        <v>1.7898000000000001</v>
      </c>
      <c r="Q453" s="195">
        <f t="shared" si="50"/>
        <v>0.72550000000000003</v>
      </c>
      <c r="R453" s="195">
        <f t="shared" si="50"/>
        <v>1.6392</v>
      </c>
      <c r="S453" s="195">
        <f t="shared" si="45"/>
        <v>0.59765971606033719</v>
      </c>
      <c r="T453" s="195">
        <f t="shared" si="51"/>
        <v>0.3918149207426439</v>
      </c>
      <c r="U453" s="195">
        <f t="shared" si="46"/>
        <v>0.82404986929418866</v>
      </c>
      <c r="V453">
        <f t="shared" si="47"/>
        <v>71</v>
      </c>
      <c r="W453" s="195">
        <f t="shared" si="52"/>
        <v>0.29019036097347128</v>
      </c>
      <c r="X453" s="195">
        <f t="shared" si="53"/>
        <v>8.3963006718876E-3</v>
      </c>
      <c r="Y453" s="255" t="str">
        <f>IF(ISNUMBER(SEARCH("C", 'Dry_Litterbag Placem_Collection'!V160)),"YES","NO")</f>
        <v>NO</v>
      </c>
      <c r="Z453" s="255" t="str">
        <f>IF(ISNUMBER(SEARCH("H", 'Dry_Litterbag Placem_Collection'!V160)),"YES","NO")</f>
        <v>NO</v>
      </c>
      <c r="AA453" s="255" t="str">
        <f>IF(ISNUMBER(SEARCH("R", 'Dry_Litterbag Placem_Collection'!V160)),"YES","NO")</f>
        <v>NO</v>
      </c>
      <c r="AB453" s="255" t="str">
        <f>IF(ISNUMBER(SEARCH("C", 'Dry_Litterbag Placem_Collection'!U160)),"YES","NO")</f>
        <v>NO</v>
      </c>
      <c r="AC453" s="255" t="str">
        <f>IF(ISNUMBER(SEARCH("H", 'Dry_Litterbag Placem_Collection'!U160)),"YES","NO")</f>
        <v>NO</v>
      </c>
      <c r="AD453" s="255" t="str">
        <f>IF(ISNUMBER(SEARCH("R", 'Dry_Litterbag Placem_Collection'!U160)),"YES","NO")</f>
        <v>NO</v>
      </c>
    </row>
    <row r="454" spans="2:30">
      <c r="B454" t="str">
        <f>'Final data_for_R_analysis_Dryse'!A600</f>
        <v>Dry</v>
      </c>
      <c r="C454" s="263">
        <f>'Final data_for_R_analysis_Dryse'!B600</f>
        <v>159</v>
      </c>
      <c r="D454" t="s">
        <v>3850</v>
      </c>
      <c r="E454" t="s">
        <v>25</v>
      </c>
      <c r="F454" s="387">
        <v>7</v>
      </c>
      <c r="G454" s="16">
        <f>'Dry_Litterbag Placem_Collection'!E161</f>
        <v>0</v>
      </c>
      <c r="H454" s="92" t="str">
        <f>'Final data_for_R_analysis_Dryse'!J600</f>
        <v/>
      </c>
      <c r="I454" t="str">
        <f>'Final data_for_R_analysis_Dryse'!J820</f>
        <v/>
      </c>
      <c r="J454" t="str">
        <f>IFERROR(INDEX('Green_rooibos initial weight'!$C$5:$C$1749,MATCH(H454, 'Green_rooibos initial weight'!$A$5:$A$1749,0)),"")</f>
        <v/>
      </c>
      <c r="K454" t="str">
        <f>IFERROR(INDEX('Green_rooibos initial weight'!$C$5:$C$1749,MATCH(I454, 'Green_rooibos initial weight'!$A$5:$A$1749,0)),"")</f>
        <v/>
      </c>
      <c r="L454" s="195" t="str">
        <f t="shared" si="48"/>
        <v/>
      </c>
      <c r="M454" s="195" t="str">
        <f t="shared" si="49"/>
        <v/>
      </c>
      <c r="N454" s="16">
        <f>IF('Dry_Litterbag Placem_Collection'!G161="N.A","",'Dry_Litterbag Placem_Collection'!G161)</f>
        <v>0</v>
      </c>
      <c r="O454" s="195" t="str">
        <f>IF(IFERROR(INDEX('Both teabags AfterDry'!$D$1:$D$839,MATCH(H454,'Both teabags AfterDry'!$A$1:$A$839,0)),"")="N.A","",(IFERROR(INDEX('Both teabags AfterDry'!$D$1:$D$839,MATCH(H454,'Both teabags AfterDry'!$A$1:$A$839,0)),"")))</f>
        <v/>
      </c>
      <c r="P454" s="195" t="str">
        <f>IF(IFERROR(INDEX('Both teabags AfterDry'!$D$1:$D$839,MATCH(I454,'Both teabags AfterDry'!$A$1:$A$839,0)),"")="N.A","",(IFERROR(INDEX('Both teabags AfterDry'!$D$1:$D$839,MATCH(I454,'Both teabags AfterDry'!$A$1:$A$839,0)),"")))</f>
        <v/>
      </c>
      <c r="Q454" s="195" t="str">
        <f t="shared" si="50"/>
        <v/>
      </c>
      <c r="R454" s="195" t="str">
        <f t="shared" si="50"/>
        <v/>
      </c>
      <c r="S454" s="195" t="str">
        <f t="shared" si="45"/>
        <v/>
      </c>
      <c r="T454" s="195" t="str">
        <f t="shared" si="51"/>
        <v/>
      </c>
      <c r="U454" s="195" t="str">
        <f t="shared" si="46"/>
        <v/>
      </c>
      <c r="V454" t="str">
        <f t="shared" si="47"/>
        <v/>
      </c>
      <c r="W454" s="195" t="str">
        <f t="shared" si="52"/>
        <v/>
      </c>
      <c r="X454" s="195" t="str">
        <f t="shared" si="53"/>
        <v/>
      </c>
      <c r="Y454" s="255" t="str">
        <f>IF(ISNUMBER(SEARCH("C", 'Dry_Litterbag Placem_Collection'!V161)),"YES","NO")</f>
        <v>NO</v>
      </c>
      <c r="Z454" s="255" t="str">
        <f>IF(ISNUMBER(SEARCH("H", 'Dry_Litterbag Placem_Collection'!V161)),"YES","NO")</f>
        <v>NO</v>
      </c>
      <c r="AA454" s="255" t="str">
        <f>IF(ISNUMBER(SEARCH("R", 'Dry_Litterbag Placem_Collection'!V161)),"YES","NO")</f>
        <v>NO</v>
      </c>
      <c r="AB454" s="255" t="str">
        <f>IF(ISNUMBER(SEARCH("C", 'Dry_Litterbag Placem_Collection'!U161)),"YES","NO")</f>
        <v>NO</v>
      </c>
      <c r="AC454" s="255" t="str">
        <f>IF(ISNUMBER(SEARCH("H", 'Dry_Litterbag Placem_Collection'!U161)),"YES","NO")</f>
        <v>NO</v>
      </c>
      <c r="AD454" s="255" t="str">
        <f>IF(ISNUMBER(SEARCH("R", 'Dry_Litterbag Placem_Collection'!U161)),"YES","NO")</f>
        <v>NO</v>
      </c>
    </row>
    <row r="455" spans="2:30">
      <c r="B455" t="str">
        <f>'Final data_for_R_analysis_Dryse'!A601</f>
        <v>Dry</v>
      </c>
      <c r="C455" s="263">
        <f>'Final data_for_R_analysis_Dryse'!B601</f>
        <v>160</v>
      </c>
      <c r="D455" t="s">
        <v>3850</v>
      </c>
      <c r="E455" t="s">
        <v>25</v>
      </c>
      <c r="F455" s="387">
        <v>8</v>
      </c>
      <c r="G455" s="16">
        <f>'Dry_Litterbag Placem_Collection'!E162</f>
        <v>42939</v>
      </c>
      <c r="H455" s="92" t="str">
        <f>'Final data_for_R_analysis_Dryse'!J601</f>
        <v>G175</v>
      </c>
      <c r="I455" t="str">
        <f>'Final data_for_R_analysis_Dryse'!J821</f>
        <v>R350</v>
      </c>
      <c r="J455">
        <f>IFERROR(INDEX('Green_rooibos initial weight'!$C$5:$C$1749,MATCH(H455, 'Green_rooibos initial weight'!$A$5:$A$1749,0)),"")</f>
        <v>1.9930000000000001</v>
      </c>
      <c r="K455">
        <f>IFERROR(INDEX('Green_rooibos initial weight'!$C$5:$C$1749,MATCH(I455, 'Green_rooibos initial weight'!$A$5:$A$1749,0)),"")</f>
        <v>2.21</v>
      </c>
      <c r="L455" s="195">
        <f t="shared" si="48"/>
        <v>1.7432000000000001</v>
      </c>
      <c r="M455" s="195">
        <f t="shared" si="49"/>
        <v>1.9601999999999999</v>
      </c>
      <c r="N455" s="16">
        <f>IF('Dry_Litterbag Placem_Collection'!G162="N.A","",'Dry_Litterbag Placem_Collection'!G162)</f>
        <v>43010</v>
      </c>
      <c r="O455" s="195">
        <f>IF(IFERROR(INDEX('Both teabags AfterDry'!$D$1:$D$839,MATCH(H455,'Both teabags AfterDry'!$A$1:$A$839,0)),"")="N.A","",(IFERROR(INDEX('Both teabags AfterDry'!$D$1:$D$839,MATCH(H455,'Both teabags AfterDry'!$A$1:$A$839,0)),"")))</f>
        <v>1.2042999999999999</v>
      </c>
      <c r="P455" s="195">
        <f>IF(IFERROR(INDEX('Both teabags AfterDry'!$D$1:$D$839,MATCH(I455,'Both teabags AfterDry'!$A$1:$A$839,0)),"")="N.A","",(IFERROR(INDEX('Both teabags AfterDry'!$D$1:$D$839,MATCH(I455,'Both teabags AfterDry'!$A$1:$A$839,0)),"")))</f>
        <v>1.9824999999999999</v>
      </c>
      <c r="Q455" s="195">
        <f t="shared" si="50"/>
        <v>1.0536999999999999</v>
      </c>
      <c r="R455" s="195">
        <f t="shared" si="50"/>
        <v>1.8318999999999999</v>
      </c>
      <c r="S455" s="195">
        <f t="shared" si="45"/>
        <v>0.39553694355208824</v>
      </c>
      <c r="T455" s="195">
        <f t="shared" si="51"/>
        <v>0.25930687985837614</v>
      </c>
      <c r="U455" s="195">
        <f t="shared" si="46"/>
        <v>0.93454749515355573</v>
      </c>
      <c r="V455">
        <f t="shared" si="47"/>
        <v>71</v>
      </c>
      <c r="W455" s="195">
        <f t="shared" si="52"/>
        <v>0.53024115967685481</v>
      </c>
      <c r="X455" s="195">
        <f t="shared" si="53"/>
        <v>4.0972534042167941E-3</v>
      </c>
      <c r="Y455" s="255" t="str">
        <f>IF(ISNUMBER(SEARCH("C", 'Dry_Litterbag Placem_Collection'!V162)),"YES","NO")</f>
        <v>NO</v>
      </c>
      <c r="Z455" s="255" t="str">
        <f>IF(ISNUMBER(SEARCH("H", 'Dry_Litterbag Placem_Collection'!V162)),"YES","NO")</f>
        <v>NO</v>
      </c>
      <c r="AA455" s="255" t="str">
        <f>IF(ISNUMBER(SEARCH("R", 'Dry_Litterbag Placem_Collection'!V162)),"YES","NO")</f>
        <v>NO</v>
      </c>
      <c r="AB455" s="255" t="str">
        <f>IF(ISNUMBER(SEARCH("C", 'Dry_Litterbag Placem_Collection'!U162)),"YES","NO")</f>
        <v>NO</v>
      </c>
      <c r="AC455" s="255" t="str">
        <f>IF(ISNUMBER(SEARCH("H", 'Dry_Litterbag Placem_Collection'!U162)),"YES","NO")</f>
        <v>NO</v>
      </c>
      <c r="AD455" s="255" t="str">
        <f>IF(ISNUMBER(SEARCH("R", 'Dry_Litterbag Placem_Collection'!U162)),"YES","NO")</f>
        <v>NO</v>
      </c>
    </row>
    <row r="456" spans="2:30">
      <c r="B456" t="str">
        <f>'Final data_for_R_analysis_Dryse'!A602</f>
        <v>Dry</v>
      </c>
      <c r="C456" s="263">
        <f>'Final data_for_R_analysis_Dryse'!B602</f>
        <v>161</v>
      </c>
      <c r="D456" t="s">
        <v>3851</v>
      </c>
      <c r="E456" t="s">
        <v>25</v>
      </c>
      <c r="F456" s="386">
        <v>1</v>
      </c>
      <c r="G456" s="16">
        <f>'Dry_Litterbag Placem_Collection'!E163</f>
        <v>42940</v>
      </c>
      <c r="H456" s="92" t="str">
        <f>'Final data_for_R_analysis_Dryse'!J602</f>
        <v>G207</v>
      </c>
      <c r="I456" t="str">
        <f>'Final data_for_R_analysis_Dryse'!J822</f>
        <v>R314</v>
      </c>
      <c r="J456">
        <f>IFERROR(INDEX('Green_rooibos initial weight'!$C$5:$C$1749,MATCH(H456, 'Green_rooibos initial weight'!$A$5:$A$1749,0)),"")</f>
        <v>2.1539999999999999</v>
      </c>
      <c r="K456">
        <f>IFERROR(INDEX('Green_rooibos initial weight'!$C$5:$C$1749,MATCH(I456, 'Green_rooibos initial weight'!$A$5:$A$1749,0)),"")</f>
        <v>2.17</v>
      </c>
      <c r="L456" s="195">
        <f t="shared" si="48"/>
        <v>1.9041999999999999</v>
      </c>
      <c r="M456" s="195">
        <f t="shared" si="49"/>
        <v>1.9201999999999999</v>
      </c>
      <c r="N456" s="16">
        <f>IF('Dry_Litterbag Placem_Collection'!G163="N.A","",'Dry_Litterbag Placem_Collection'!G163)</f>
        <v>43009</v>
      </c>
      <c r="O456" s="195">
        <f>IF(IFERROR(INDEX('Both teabags AfterDry'!$D$1:$D$839,MATCH(H456,'Both teabags AfterDry'!$A$1:$A$839,0)),"")="N.A","",(IFERROR(INDEX('Both teabags AfterDry'!$D$1:$D$839,MATCH(H456,'Both teabags AfterDry'!$A$1:$A$839,0)),"")))</f>
        <v>0.76570000000000005</v>
      </c>
      <c r="P456" s="195">
        <f>IF(IFERROR(INDEX('Both teabags AfterDry'!$D$1:$D$839,MATCH(I456,'Both teabags AfterDry'!$A$1:$A$839,0)),"")="N.A","",(IFERROR(INDEX('Both teabags AfterDry'!$D$1:$D$839,MATCH(I456,'Both teabags AfterDry'!$A$1:$A$839,0)),"")))</f>
        <v>1.7397</v>
      </c>
      <c r="Q456" s="195">
        <f t="shared" si="50"/>
        <v>0.61509999999999998</v>
      </c>
      <c r="R456" s="195">
        <f t="shared" si="50"/>
        <v>1.5891</v>
      </c>
      <c r="S456" s="195">
        <f t="shared" si="45"/>
        <v>0.67697720827644159</v>
      </c>
      <c r="T456" s="195">
        <f t="shared" si="51"/>
        <v>0.44381403677980502</v>
      </c>
      <c r="U456" s="195">
        <f t="shared" si="46"/>
        <v>0.82757004478700136</v>
      </c>
      <c r="V456">
        <f t="shared" si="47"/>
        <v>69</v>
      </c>
      <c r="W456" s="195">
        <f t="shared" si="52"/>
        <v>0.19598906380470116</v>
      </c>
      <c r="X456" s="195">
        <f t="shared" si="53"/>
        <v>7.1285586372014428E-3</v>
      </c>
      <c r="Y456" s="255" t="str">
        <f>IF(ISNUMBER(SEARCH("C", 'Dry_Litterbag Placem_Collection'!V163)),"YES","NO")</f>
        <v>NO</v>
      </c>
      <c r="Z456" s="255" t="str">
        <f>IF(ISNUMBER(SEARCH("H", 'Dry_Litterbag Placem_Collection'!V163)),"YES","NO")</f>
        <v>NO</v>
      </c>
      <c r="AA456" s="255" t="str">
        <f>IF(ISNUMBER(SEARCH("R", 'Dry_Litterbag Placem_Collection'!V163)),"YES","NO")</f>
        <v>NO</v>
      </c>
      <c r="AB456" s="255" t="str">
        <f>IF(ISNUMBER(SEARCH("C", 'Dry_Litterbag Placem_Collection'!U163)),"YES","NO")</f>
        <v>NO</v>
      </c>
      <c r="AC456" s="255" t="str">
        <f>IF(ISNUMBER(SEARCH("H", 'Dry_Litterbag Placem_Collection'!U163)),"YES","NO")</f>
        <v>NO</v>
      </c>
      <c r="AD456" s="255" t="str">
        <f>IF(ISNUMBER(SEARCH("R", 'Dry_Litterbag Placem_Collection'!U163)),"YES","NO")</f>
        <v>NO</v>
      </c>
    </row>
    <row r="457" spans="2:30">
      <c r="B457" t="str">
        <f>'Final data_for_R_analysis_Dryse'!A603</f>
        <v>Dry</v>
      </c>
      <c r="C457" s="263">
        <f>'Final data_for_R_analysis_Dryse'!B603</f>
        <v>162</v>
      </c>
      <c r="D457" t="s">
        <v>3851</v>
      </c>
      <c r="E457" t="s">
        <v>25</v>
      </c>
      <c r="F457" s="386">
        <v>2</v>
      </c>
      <c r="G457" s="16">
        <f>'Dry_Litterbag Placem_Collection'!E164</f>
        <v>42940</v>
      </c>
      <c r="H457" s="92" t="str">
        <f>'Final data_for_R_analysis_Dryse'!J603</f>
        <v>G580</v>
      </c>
      <c r="I457" t="str">
        <f>'Final data_for_R_analysis_Dryse'!J823</f>
        <v>R425</v>
      </c>
      <c r="J457">
        <f>IFERROR(INDEX('Green_rooibos initial weight'!$C$5:$C$1749,MATCH(H457, 'Green_rooibos initial weight'!$A$5:$A$1749,0)),"")</f>
        <v>2.1440000000000001</v>
      </c>
      <c r="K457">
        <f>IFERROR(INDEX('Green_rooibos initial weight'!$C$5:$C$1749,MATCH(I457, 'Green_rooibos initial weight'!$A$5:$A$1749,0)),"")</f>
        <v>2.25</v>
      </c>
      <c r="L457" s="195">
        <f t="shared" si="48"/>
        <v>1.8942000000000001</v>
      </c>
      <c r="M457" s="195">
        <f t="shared" si="49"/>
        <v>2.0002</v>
      </c>
      <c r="N457" s="16">
        <f>IF('Dry_Litterbag Placem_Collection'!G164="N.A","",'Dry_Litterbag Placem_Collection'!G164)</f>
        <v>43009</v>
      </c>
      <c r="O457" s="195">
        <f>IF(IFERROR(INDEX('Both teabags AfterDry'!$D$1:$D$839,MATCH(H457,'Both teabags AfterDry'!$A$1:$A$839,0)),"")="N.A","",(IFERROR(INDEX('Both teabags AfterDry'!$D$1:$D$839,MATCH(H457,'Both teabags AfterDry'!$A$1:$A$839,0)),"")))</f>
        <v>0.84409999999999996</v>
      </c>
      <c r="P457" s="195">
        <f>IF(IFERROR(INDEX('Both teabags AfterDry'!$D$1:$D$839,MATCH(I457,'Both teabags AfterDry'!$A$1:$A$839,0)),"")="N.A","",(IFERROR(INDEX('Both teabags AfterDry'!$D$1:$D$839,MATCH(I457,'Both teabags AfterDry'!$A$1:$A$839,0)),"")))</f>
        <v>1.8856999999999999</v>
      </c>
      <c r="Q457" s="195">
        <f t="shared" si="50"/>
        <v>0.69350000000000001</v>
      </c>
      <c r="R457" s="195">
        <f t="shared" si="50"/>
        <v>1.7350999999999999</v>
      </c>
      <c r="S457" s="195">
        <f t="shared" si="45"/>
        <v>0.63388237778481682</v>
      </c>
      <c r="T457" s="195">
        <f t="shared" si="51"/>
        <v>0.41556184386843104</v>
      </c>
      <c r="U457" s="195">
        <f t="shared" si="46"/>
        <v>0.86746325367463251</v>
      </c>
      <c r="V457">
        <f t="shared" si="47"/>
        <v>69</v>
      </c>
      <c r="W457" s="195">
        <f t="shared" si="52"/>
        <v>0.24717057270211773</v>
      </c>
      <c r="X457" s="195">
        <f t="shared" si="53"/>
        <v>5.5666067775764225E-3</v>
      </c>
      <c r="Y457" s="255" t="str">
        <f>IF(ISNUMBER(SEARCH("C", 'Dry_Litterbag Placem_Collection'!V164)),"YES","NO")</f>
        <v>NO</v>
      </c>
      <c r="Z457" s="255" t="str">
        <f>IF(ISNUMBER(SEARCH("H", 'Dry_Litterbag Placem_Collection'!V164)),"YES","NO")</f>
        <v>NO</v>
      </c>
      <c r="AA457" s="255" t="str">
        <f>IF(ISNUMBER(SEARCH("R", 'Dry_Litterbag Placem_Collection'!V164)),"YES","NO")</f>
        <v>NO</v>
      </c>
      <c r="AB457" s="255" t="str">
        <f>IF(ISNUMBER(SEARCH("C", 'Dry_Litterbag Placem_Collection'!U164)),"YES","NO")</f>
        <v>NO</v>
      </c>
      <c r="AC457" s="255" t="str">
        <f>IF(ISNUMBER(SEARCH("H", 'Dry_Litterbag Placem_Collection'!U164)),"YES","NO")</f>
        <v>NO</v>
      </c>
      <c r="AD457" s="255" t="str">
        <f>IF(ISNUMBER(SEARCH("R", 'Dry_Litterbag Placem_Collection'!U164)),"YES","NO")</f>
        <v>NO</v>
      </c>
    </row>
    <row r="458" spans="2:30">
      <c r="B458" t="str">
        <f>'Final data_for_R_analysis_Dryse'!A604</f>
        <v>Dry</v>
      </c>
      <c r="C458" s="263">
        <f>'Final data_for_R_analysis_Dryse'!B604</f>
        <v>163</v>
      </c>
      <c r="D458" t="s">
        <v>3851</v>
      </c>
      <c r="E458" t="s">
        <v>25</v>
      </c>
      <c r="F458" s="386">
        <v>3</v>
      </c>
      <c r="G458" s="16">
        <f>'Dry_Litterbag Placem_Collection'!E165</f>
        <v>42940</v>
      </c>
      <c r="H458" s="92" t="str">
        <f>'Final data_for_R_analysis_Dryse'!J604</f>
        <v>G722</v>
      </c>
      <c r="I458" t="str">
        <f>'Final data_for_R_analysis_Dryse'!J824</f>
        <v>R267</v>
      </c>
      <c r="J458">
        <f>IFERROR(INDEX('Green_rooibos initial weight'!$C$5:$C$1749,MATCH(H458, 'Green_rooibos initial weight'!$A$5:$A$1749,0)),"")</f>
        <v>2.0790000000000002</v>
      </c>
      <c r="K458">
        <f>IFERROR(INDEX('Green_rooibos initial weight'!$C$5:$C$1749,MATCH(I458, 'Green_rooibos initial weight'!$A$5:$A$1749,0)),"")</f>
        <v>2.1930000000000001</v>
      </c>
      <c r="L458" s="195">
        <f t="shared" si="48"/>
        <v>1.8292000000000002</v>
      </c>
      <c r="M458" s="195">
        <f t="shared" si="49"/>
        <v>1.9432</v>
      </c>
      <c r="N458" s="16">
        <f>IF('Dry_Litterbag Placem_Collection'!G165="N.A","",'Dry_Litterbag Placem_Collection'!G165)</f>
        <v>43009</v>
      </c>
      <c r="O458" s="195">
        <f>IF(IFERROR(INDEX('Both teabags AfterDry'!$D$1:$D$839,MATCH(H458,'Both teabags AfterDry'!$A$1:$A$839,0)),"")="N.A","",(IFERROR(INDEX('Both teabags AfterDry'!$D$1:$D$839,MATCH(H458,'Both teabags AfterDry'!$A$1:$A$839,0)),"")))</f>
        <v>0.86109999999999998</v>
      </c>
      <c r="P458" s="195">
        <f>IF(IFERROR(INDEX('Both teabags AfterDry'!$D$1:$D$839,MATCH(I458,'Both teabags AfterDry'!$A$1:$A$839,0)),"")="N.A","",(IFERROR(INDEX('Both teabags AfterDry'!$D$1:$D$839,MATCH(I458,'Both teabags AfterDry'!$A$1:$A$839,0)),"")))</f>
        <v>1.7754000000000001</v>
      </c>
      <c r="Q458" s="195">
        <f t="shared" si="50"/>
        <v>0.71049999999999991</v>
      </c>
      <c r="R458" s="195">
        <f t="shared" si="50"/>
        <v>1.6248</v>
      </c>
      <c r="S458" s="195">
        <f t="shared" si="45"/>
        <v>0.61157883227640508</v>
      </c>
      <c r="T458" s="195">
        <f t="shared" si="51"/>
        <v>0.40094004206244138</v>
      </c>
      <c r="U458" s="195">
        <f t="shared" si="46"/>
        <v>0.83614656237134621</v>
      </c>
      <c r="V458">
        <f t="shared" si="47"/>
        <v>69</v>
      </c>
      <c r="W458" s="195">
        <f t="shared" si="52"/>
        <v>0.27365934408978021</v>
      </c>
      <c r="X458" s="195">
        <f t="shared" si="53"/>
        <v>7.6142956688170556E-3</v>
      </c>
      <c r="Y458" s="255" t="str">
        <f>IF(ISNUMBER(SEARCH("C", 'Dry_Litterbag Placem_Collection'!V165)),"YES","NO")</f>
        <v>NO</v>
      </c>
      <c r="Z458" s="255" t="str">
        <f>IF(ISNUMBER(SEARCH("H", 'Dry_Litterbag Placem_Collection'!V165)),"YES","NO")</f>
        <v>NO</v>
      </c>
      <c r="AA458" s="255" t="str">
        <f>IF(ISNUMBER(SEARCH("R", 'Dry_Litterbag Placem_Collection'!V165)),"YES","NO")</f>
        <v>NO</v>
      </c>
      <c r="AB458" s="255" t="str">
        <f>IF(ISNUMBER(SEARCH("C", 'Dry_Litterbag Placem_Collection'!U165)),"YES","NO")</f>
        <v>NO</v>
      </c>
      <c r="AC458" s="255" t="str">
        <f>IF(ISNUMBER(SEARCH("H", 'Dry_Litterbag Placem_Collection'!U165)),"YES","NO")</f>
        <v>NO</v>
      </c>
      <c r="AD458" s="255" t="str">
        <f>IF(ISNUMBER(SEARCH("R", 'Dry_Litterbag Placem_Collection'!U165)),"YES","NO")</f>
        <v>NO</v>
      </c>
    </row>
    <row r="459" spans="2:30">
      <c r="B459" t="str">
        <f>'Final data_for_R_analysis_Dryse'!A605</f>
        <v>Dry</v>
      </c>
      <c r="C459" s="263">
        <f>'Final data_for_R_analysis_Dryse'!B605</f>
        <v>164</v>
      </c>
      <c r="D459" t="s">
        <v>3851</v>
      </c>
      <c r="E459" t="s">
        <v>25</v>
      </c>
      <c r="F459" s="387">
        <v>4</v>
      </c>
      <c r="G459" s="16">
        <f>'Dry_Litterbag Placem_Collection'!E166</f>
        <v>42940</v>
      </c>
      <c r="H459" s="92" t="str">
        <f>'Final data_for_R_analysis_Dryse'!J605</f>
        <v>G239</v>
      </c>
      <c r="I459" t="str">
        <f>'Final data_for_R_analysis_Dryse'!J825</f>
        <v>R211</v>
      </c>
      <c r="J459">
        <f>IFERROR(INDEX('Green_rooibos initial weight'!$C$5:$C$1749,MATCH(H459, 'Green_rooibos initial weight'!$A$5:$A$1749,0)),"")</f>
        <v>2.1019999999999999</v>
      </c>
      <c r="K459">
        <f>IFERROR(INDEX('Green_rooibos initial weight'!$C$5:$C$1749,MATCH(I459, 'Green_rooibos initial weight'!$A$5:$A$1749,0)),"")</f>
        <v>2.2389999999999999</v>
      </c>
      <c r="L459" s="195">
        <f t="shared" si="48"/>
        <v>1.8521999999999998</v>
      </c>
      <c r="M459" s="195">
        <f t="shared" si="49"/>
        <v>1.9891999999999999</v>
      </c>
      <c r="N459" s="16">
        <f>IF('Dry_Litterbag Placem_Collection'!G166="N.A","",'Dry_Litterbag Placem_Collection'!G166)</f>
        <v>43009</v>
      </c>
      <c r="O459" s="195">
        <f>IF(IFERROR(INDEX('Both teabags AfterDry'!$D$1:$D$839,MATCH(H459,'Both teabags AfterDry'!$A$1:$A$839,0)),"")="N.A","",(IFERROR(INDEX('Both teabags AfterDry'!$D$1:$D$839,MATCH(H459,'Both teabags AfterDry'!$A$1:$A$839,0)),"")))</f>
        <v>0.73950000000000005</v>
      </c>
      <c r="P459" s="195">
        <f>IF(IFERROR(INDEX('Both teabags AfterDry'!$D$1:$D$839,MATCH(I459,'Both teabags AfterDry'!$A$1:$A$839,0)),"")="N.A","",(IFERROR(INDEX('Both teabags AfterDry'!$D$1:$D$839,MATCH(I459,'Both teabags AfterDry'!$A$1:$A$839,0)),"")))</f>
        <v>1.7732000000000001</v>
      </c>
      <c r="Q459" s="195">
        <f t="shared" si="50"/>
        <v>0.58889999999999998</v>
      </c>
      <c r="R459" s="195">
        <f t="shared" si="50"/>
        <v>1.6226</v>
      </c>
      <c r="S459" s="195">
        <f t="shared" si="45"/>
        <v>0.68205377389050859</v>
      </c>
      <c r="T459" s="195">
        <f t="shared" si="51"/>
        <v>0.44714214155292259</v>
      </c>
      <c r="U459" s="195">
        <f t="shared" si="46"/>
        <v>0.81570480595214168</v>
      </c>
      <c r="V459">
        <f t="shared" si="47"/>
        <v>69</v>
      </c>
      <c r="W459" s="195">
        <f t="shared" si="52"/>
        <v>0.18995988849108236</v>
      </c>
      <c r="X459" s="195">
        <f t="shared" si="53"/>
        <v>7.7000669563297014E-3</v>
      </c>
      <c r="Y459" s="255" t="str">
        <f>IF(ISNUMBER(SEARCH("C", 'Dry_Litterbag Placem_Collection'!V166)),"YES","NO")</f>
        <v>NO</v>
      </c>
      <c r="Z459" s="255" t="str">
        <f>IF(ISNUMBER(SEARCH("H", 'Dry_Litterbag Placem_Collection'!V166)),"YES","NO")</f>
        <v>NO</v>
      </c>
      <c r="AA459" s="255" t="str">
        <f>IF(ISNUMBER(SEARCH("R", 'Dry_Litterbag Placem_Collection'!V166)),"YES","NO")</f>
        <v>YES</v>
      </c>
      <c r="AB459" s="255" t="str">
        <f>IF(ISNUMBER(SEARCH("C", 'Dry_Litterbag Placem_Collection'!U166)),"YES","NO")</f>
        <v>NO</v>
      </c>
      <c r="AC459" s="255" t="str">
        <f>IF(ISNUMBER(SEARCH("H", 'Dry_Litterbag Placem_Collection'!U166)),"YES","NO")</f>
        <v>NO</v>
      </c>
      <c r="AD459" s="255" t="str">
        <f>IF(ISNUMBER(SEARCH("R", 'Dry_Litterbag Placem_Collection'!U166)),"YES","NO")</f>
        <v>YES</v>
      </c>
    </row>
    <row r="460" spans="2:30">
      <c r="B460" t="str">
        <f>'Final data_for_R_analysis_Dryse'!A606</f>
        <v>Dry</v>
      </c>
      <c r="C460" s="263">
        <f>'Final data_for_R_analysis_Dryse'!B606</f>
        <v>165</v>
      </c>
      <c r="D460" t="s">
        <v>3851</v>
      </c>
      <c r="E460" t="s">
        <v>25</v>
      </c>
      <c r="F460" s="387">
        <v>5</v>
      </c>
      <c r="G460" s="16">
        <f>'Dry_Litterbag Placem_Collection'!E167</f>
        <v>42940</v>
      </c>
      <c r="H460" s="92" t="str">
        <f>'Final data_for_R_analysis_Dryse'!J606</f>
        <v>G343</v>
      </c>
      <c r="I460" t="str">
        <f>'Final data_for_R_analysis_Dryse'!J826</f>
        <v>R310</v>
      </c>
      <c r="J460">
        <f>IFERROR(INDEX('Green_rooibos initial weight'!$C$5:$C$1749,MATCH(H460, 'Green_rooibos initial weight'!$A$5:$A$1749,0)),"")</f>
        <v>1.8340000000000001</v>
      </c>
      <c r="K460">
        <f>IFERROR(INDEX('Green_rooibos initial weight'!$C$5:$C$1749,MATCH(I460, 'Green_rooibos initial weight'!$A$5:$A$1749,0)),"")</f>
        <v>2.2170000000000001</v>
      </c>
      <c r="L460" s="195">
        <f t="shared" si="48"/>
        <v>1.5842000000000001</v>
      </c>
      <c r="M460" s="195">
        <f t="shared" si="49"/>
        <v>1.9672000000000001</v>
      </c>
      <c r="N460" s="16">
        <f>IF('Dry_Litterbag Placem_Collection'!G167="N.A","",'Dry_Litterbag Placem_Collection'!G167)</f>
        <v>43009</v>
      </c>
      <c r="O460" s="195">
        <f>IF(IFERROR(INDEX('Both teabags AfterDry'!$D$1:$D$839,MATCH(H460,'Both teabags AfterDry'!$A$1:$A$839,0)),"")="N.A","",(IFERROR(INDEX('Both teabags AfterDry'!$D$1:$D$839,MATCH(H460,'Both teabags AfterDry'!$A$1:$A$839,0)),"")))</f>
        <v>0.68059999999999998</v>
      </c>
      <c r="P460" s="195">
        <f>IF(IFERROR(INDEX('Both teabags AfterDry'!$D$1:$D$839,MATCH(I460,'Both teabags AfterDry'!$A$1:$A$839,0)),"")="N.A","",(IFERROR(INDEX('Both teabags AfterDry'!$D$1:$D$839,MATCH(I460,'Both teabags AfterDry'!$A$1:$A$839,0)),"")))</f>
        <v>1.7559</v>
      </c>
      <c r="Q460" s="195">
        <f t="shared" si="50"/>
        <v>0.53</v>
      </c>
      <c r="R460" s="195">
        <f t="shared" si="50"/>
        <v>1.6052999999999999</v>
      </c>
      <c r="S460" s="195">
        <f t="shared" ref="S460:S515" si="54">IFERROR(1-Q460/L460,"")</f>
        <v>0.66544628203509659</v>
      </c>
      <c r="T460" s="195">
        <f t="shared" si="51"/>
        <v>0.43625456969521775</v>
      </c>
      <c r="U460" s="195">
        <f t="shared" ref="U460:U515" si="55">IFERROR(R460/M460,"")</f>
        <v>0.81603294021960138</v>
      </c>
      <c r="V460">
        <f t="shared" ref="V460:V515" si="56">IF((N460-G460)&gt;0,(IFERROR(N460-G460,"")),"")</f>
        <v>69</v>
      </c>
      <c r="W460" s="195">
        <f t="shared" si="52"/>
        <v>0.20968375055214183</v>
      </c>
      <c r="X460" s="195">
        <f t="shared" si="53"/>
        <v>7.9370521577088651E-3</v>
      </c>
      <c r="Y460" s="255" t="str">
        <f>IF(ISNUMBER(SEARCH("C", 'Dry_Litterbag Placem_Collection'!V167)),"YES","NO")</f>
        <v>NO</v>
      </c>
      <c r="Z460" s="255" t="str">
        <f>IF(ISNUMBER(SEARCH("H", 'Dry_Litterbag Placem_Collection'!V167)),"YES","NO")</f>
        <v>NO</v>
      </c>
      <c r="AA460" s="255" t="str">
        <f>IF(ISNUMBER(SEARCH("R", 'Dry_Litterbag Placem_Collection'!V167)),"YES","NO")</f>
        <v>NO</v>
      </c>
      <c r="AB460" s="255" t="str">
        <f>IF(ISNUMBER(SEARCH("C", 'Dry_Litterbag Placem_Collection'!U167)),"YES","NO")</f>
        <v>NO</v>
      </c>
      <c r="AC460" s="255" t="str">
        <f>IF(ISNUMBER(SEARCH("H", 'Dry_Litterbag Placem_Collection'!U167)),"YES","NO")</f>
        <v>NO</v>
      </c>
      <c r="AD460" s="255" t="str">
        <f>IF(ISNUMBER(SEARCH("R", 'Dry_Litterbag Placem_Collection'!U167)),"YES","NO")</f>
        <v>NO</v>
      </c>
    </row>
    <row r="461" spans="2:30">
      <c r="B461" t="str">
        <f>'Final data_for_R_analysis_Dryse'!A607</f>
        <v>Dry</v>
      </c>
      <c r="C461" s="263">
        <f>'Final data_for_R_analysis_Dryse'!B607</f>
        <v>166</v>
      </c>
      <c r="D461" t="s">
        <v>3851</v>
      </c>
      <c r="E461" t="s">
        <v>25</v>
      </c>
      <c r="F461" s="387">
        <v>6</v>
      </c>
      <c r="G461" s="16">
        <f>'Dry_Litterbag Placem_Collection'!E168</f>
        <v>42940</v>
      </c>
      <c r="H461" s="92" t="str">
        <f>'Final data_for_R_analysis_Dryse'!J607</f>
        <v>G409</v>
      </c>
      <c r="I461" t="str">
        <f>'Final data_for_R_analysis_Dryse'!J827</f>
        <v>R269</v>
      </c>
      <c r="J461">
        <f>IFERROR(INDEX('Green_rooibos initial weight'!$C$5:$C$1749,MATCH(H461, 'Green_rooibos initial weight'!$A$5:$A$1749,0)),"")</f>
        <v>1.968</v>
      </c>
      <c r="K461">
        <f>IFERROR(INDEX('Green_rooibos initial weight'!$C$5:$C$1749,MATCH(I461, 'Green_rooibos initial weight'!$A$5:$A$1749,0)),"")</f>
        <v>2.278</v>
      </c>
      <c r="L461" s="195">
        <f t="shared" ref="L461:L515" si="57">IFERROR(IF(J461&gt;0,(J461*$F$31-($F$29+$F$30)),""),"")</f>
        <v>1.7181999999999999</v>
      </c>
      <c r="M461" s="195">
        <f t="shared" ref="M461:M515" si="58">IFERROR(IF(K461&gt;0,(K461*$F$32-($F$29+$F$30)),""),"")</f>
        <v>2.0282</v>
      </c>
      <c r="N461" s="16">
        <f>IF('Dry_Litterbag Placem_Collection'!G168="N.A","",'Dry_Litterbag Placem_Collection'!G168)</f>
        <v>43009</v>
      </c>
      <c r="O461" s="195">
        <f>IF(IFERROR(INDEX('Both teabags AfterDry'!$D$1:$D$839,MATCH(H461,'Both teabags AfterDry'!$A$1:$A$839,0)),"")="N.A","",(IFERROR(INDEX('Both teabags AfterDry'!$D$1:$D$839,MATCH(H461,'Both teabags AfterDry'!$A$1:$A$839,0)),"")))</f>
        <v>0.77039999999999997</v>
      </c>
      <c r="P461" s="195">
        <f>IF(IFERROR(INDEX('Both teabags AfterDry'!$D$1:$D$839,MATCH(I461,'Both teabags AfterDry'!$A$1:$A$839,0)),"")="N.A","",(IFERROR(INDEX('Both teabags AfterDry'!$D$1:$D$839,MATCH(I461,'Both teabags AfterDry'!$A$1:$A$839,0)),"")))</f>
        <v>1.8042</v>
      </c>
      <c r="Q461" s="195">
        <f t="shared" ref="Q461:R515" si="59">IFERROR(IF(O461&gt;0,O461-($F$29),""),"")</f>
        <v>0.61979999999999991</v>
      </c>
      <c r="R461" s="195">
        <f t="shared" si="59"/>
        <v>1.6536</v>
      </c>
      <c r="S461" s="195">
        <f t="shared" si="54"/>
        <v>0.63927365847980444</v>
      </c>
      <c r="T461" s="195">
        <f t="shared" ref="T461:T515" si="60">IFERROR($F$26*(1-W461),"")</f>
        <v>0.41909627016728279</v>
      </c>
      <c r="U461" s="195">
        <f t="shared" si="55"/>
        <v>0.81530421063011538</v>
      </c>
      <c r="V461">
        <f t="shared" si="56"/>
        <v>69</v>
      </c>
      <c r="W461" s="195">
        <f t="shared" ref="W461:W515" si="61">IFERROR(1-(S461/$F$25),"")</f>
        <v>0.24076762650854577</v>
      </c>
      <c r="X461" s="195">
        <f t="shared" ref="X461:X515" si="62">IFERROR(LN(T461/(U461-(1-T461)))/V461,"")</f>
        <v>8.4212977736596792E-3</v>
      </c>
      <c r="Y461" s="255" t="str">
        <f>IF(ISNUMBER(SEARCH("C", 'Dry_Litterbag Placem_Collection'!V168)),"YES","NO")</f>
        <v>NO</v>
      </c>
      <c r="Z461" s="255" t="str">
        <f>IF(ISNUMBER(SEARCH("H", 'Dry_Litterbag Placem_Collection'!V168)),"YES","NO")</f>
        <v>NO</v>
      </c>
      <c r="AA461" s="255" t="str">
        <f>IF(ISNUMBER(SEARCH("R", 'Dry_Litterbag Placem_Collection'!V168)),"YES","NO")</f>
        <v>NO</v>
      </c>
      <c r="AB461" s="255" t="str">
        <f>IF(ISNUMBER(SEARCH("C", 'Dry_Litterbag Placem_Collection'!U168)),"YES","NO")</f>
        <v>NO</v>
      </c>
      <c r="AC461" s="255" t="str">
        <f>IF(ISNUMBER(SEARCH("H", 'Dry_Litterbag Placem_Collection'!U168)),"YES","NO")</f>
        <v>NO</v>
      </c>
      <c r="AD461" s="255" t="str">
        <f>IF(ISNUMBER(SEARCH("R", 'Dry_Litterbag Placem_Collection'!U168)),"YES","NO")</f>
        <v>NO</v>
      </c>
    </row>
    <row r="462" spans="2:30">
      <c r="B462" t="str">
        <f>'Final data_for_R_analysis_Dryse'!A608</f>
        <v>Dry</v>
      </c>
      <c r="C462" s="263">
        <f>'Final data_for_R_analysis_Dryse'!B608</f>
        <v>167</v>
      </c>
      <c r="D462" t="s">
        <v>3851</v>
      </c>
      <c r="E462" t="s">
        <v>25</v>
      </c>
      <c r="F462" s="387">
        <v>7</v>
      </c>
      <c r="G462" s="16">
        <f>'Dry_Litterbag Placem_Collection'!E169</f>
        <v>0</v>
      </c>
      <c r="H462" s="92" t="str">
        <f>'Final data_for_R_analysis_Dryse'!J608</f>
        <v/>
      </c>
      <c r="I462" t="str">
        <f>'Final data_for_R_analysis_Dryse'!J828</f>
        <v/>
      </c>
      <c r="J462" t="str">
        <f>IFERROR(INDEX('Green_rooibos initial weight'!$C$5:$C$1749,MATCH(H462, 'Green_rooibos initial weight'!$A$5:$A$1749,0)),"")</f>
        <v/>
      </c>
      <c r="K462" t="str">
        <f>IFERROR(INDEX('Green_rooibos initial weight'!$C$5:$C$1749,MATCH(I462, 'Green_rooibos initial weight'!$A$5:$A$1749,0)),"")</f>
        <v/>
      </c>
      <c r="L462" s="195" t="str">
        <f t="shared" si="57"/>
        <v/>
      </c>
      <c r="M462" s="195" t="str">
        <f t="shared" si="58"/>
        <v/>
      </c>
      <c r="N462" s="16">
        <f>IF('Dry_Litterbag Placem_Collection'!G169="N.A","",'Dry_Litterbag Placem_Collection'!G169)</f>
        <v>0</v>
      </c>
      <c r="O462" s="195" t="str">
        <f>IF(IFERROR(INDEX('Both teabags AfterDry'!$D$1:$D$839,MATCH(H462,'Both teabags AfterDry'!$A$1:$A$839,0)),"")="N.A","",(IFERROR(INDEX('Both teabags AfterDry'!$D$1:$D$839,MATCH(H462,'Both teabags AfterDry'!$A$1:$A$839,0)),"")))</f>
        <v/>
      </c>
      <c r="P462" s="195" t="str">
        <f>IF(IFERROR(INDEX('Both teabags AfterDry'!$D$1:$D$839,MATCH(I462,'Both teabags AfterDry'!$A$1:$A$839,0)),"")="N.A","",(IFERROR(INDEX('Both teabags AfterDry'!$D$1:$D$839,MATCH(I462,'Both teabags AfterDry'!$A$1:$A$839,0)),"")))</f>
        <v/>
      </c>
      <c r="Q462" s="195" t="str">
        <f t="shared" si="59"/>
        <v/>
      </c>
      <c r="R462" s="195" t="str">
        <f t="shared" si="59"/>
        <v/>
      </c>
      <c r="S462" s="195" t="str">
        <f t="shared" si="54"/>
        <v/>
      </c>
      <c r="T462" s="195" t="str">
        <f t="shared" si="60"/>
        <v/>
      </c>
      <c r="U462" s="195" t="str">
        <f t="shared" si="55"/>
        <v/>
      </c>
      <c r="V462" t="str">
        <f t="shared" si="56"/>
        <v/>
      </c>
      <c r="W462" s="195" t="str">
        <f t="shared" si="61"/>
        <v/>
      </c>
      <c r="X462" s="195" t="str">
        <f t="shared" si="62"/>
        <v/>
      </c>
      <c r="Y462" s="255" t="str">
        <f>IF(ISNUMBER(SEARCH("C", 'Dry_Litterbag Placem_Collection'!V169)),"YES","NO")</f>
        <v>NO</v>
      </c>
      <c r="Z462" s="255" t="str">
        <f>IF(ISNUMBER(SEARCH("H", 'Dry_Litterbag Placem_Collection'!V169)),"YES","NO")</f>
        <v>NO</v>
      </c>
      <c r="AA462" s="255" t="str">
        <f>IF(ISNUMBER(SEARCH("R", 'Dry_Litterbag Placem_Collection'!V169)),"YES","NO")</f>
        <v>NO</v>
      </c>
      <c r="AB462" s="255" t="str">
        <f>IF(ISNUMBER(SEARCH("C", 'Dry_Litterbag Placem_Collection'!U169)),"YES","NO")</f>
        <v>NO</v>
      </c>
      <c r="AC462" s="255" t="str">
        <f>IF(ISNUMBER(SEARCH("H", 'Dry_Litterbag Placem_Collection'!U169)),"YES","NO")</f>
        <v>NO</v>
      </c>
      <c r="AD462" s="255" t="str">
        <f>IF(ISNUMBER(SEARCH("R", 'Dry_Litterbag Placem_Collection'!U169)),"YES","NO")</f>
        <v>NO</v>
      </c>
    </row>
    <row r="463" spans="2:30">
      <c r="B463" t="str">
        <f>'Final data_for_R_analysis_Dryse'!A609</f>
        <v>Dry</v>
      </c>
      <c r="C463" s="263">
        <f>'Final data_for_R_analysis_Dryse'!B609</f>
        <v>168</v>
      </c>
      <c r="D463" t="s">
        <v>3851</v>
      </c>
      <c r="E463" t="s">
        <v>25</v>
      </c>
      <c r="F463" s="387">
        <v>8</v>
      </c>
      <c r="G463" s="16">
        <f>'Dry_Litterbag Placem_Collection'!E170</f>
        <v>42940</v>
      </c>
      <c r="H463" s="92" t="str">
        <f>'Final data_for_R_analysis_Dryse'!J609</f>
        <v>G304</v>
      </c>
      <c r="I463" t="str">
        <f>'Final data_for_R_analysis_Dryse'!J829</f>
        <v>R413</v>
      </c>
      <c r="J463">
        <f>IFERROR(INDEX('Green_rooibos initial weight'!$C$5:$C$1749,MATCH(H463, 'Green_rooibos initial weight'!$A$5:$A$1749,0)),"")</f>
        <v>1.9490000000000001</v>
      </c>
      <c r="K463">
        <f>IFERROR(INDEX('Green_rooibos initial weight'!$C$5:$C$1749,MATCH(I463, 'Green_rooibos initial weight'!$A$5:$A$1749,0)),"")</f>
        <v>2.214</v>
      </c>
      <c r="L463" s="195">
        <f t="shared" si="57"/>
        <v>1.6992</v>
      </c>
      <c r="M463" s="195">
        <f t="shared" si="58"/>
        <v>1.9641999999999999</v>
      </c>
      <c r="N463" s="16">
        <f>IF('Dry_Litterbag Placem_Collection'!G170="N.A","",'Dry_Litterbag Placem_Collection'!G170)</f>
        <v>43009</v>
      </c>
      <c r="O463" s="195" t="str">
        <f>IF(IFERROR(INDEX('Both teabags AfterDry'!$D$1:$D$839,MATCH(H463,'Both teabags AfterDry'!$A$1:$A$839,0)),"")="N.A","",(IFERROR(INDEX('Both teabags AfterDry'!$D$1:$D$839,MATCH(H463,'Both teabags AfterDry'!$A$1:$A$839,0)),"")))</f>
        <v/>
      </c>
      <c r="P463" s="195" t="str">
        <f>IF(IFERROR(INDEX('Both teabags AfterDry'!$D$1:$D$839,MATCH(I463,'Both teabags AfterDry'!$A$1:$A$839,0)),"")="N.A","",(IFERROR(INDEX('Both teabags AfterDry'!$D$1:$D$839,MATCH(I463,'Both teabags AfterDry'!$A$1:$A$839,0)),"")))</f>
        <v/>
      </c>
      <c r="Q463" s="195" t="str">
        <f t="shared" si="59"/>
        <v/>
      </c>
      <c r="R463" s="195" t="str">
        <f t="shared" si="59"/>
        <v/>
      </c>
      <c r="S463" s="195" t="str">
        <f t="shared" si="54"/>
        <v/>
      </c>
      <c r="T463" s="195" t="str">
        <f t="shared" si="60"/>
        <v/>
      </c>
      <c r="U463" s="195" t="str">
        <f t="shared" si="55"/>
        <v/>
      </c>
      <c r="V463">
        <f t="shared" si="56"/>
        <v>69</v>
      </c>
      <c r="W463" s="195" t="str">
        <f t="shared" si="61"/>
        <v/>
      </c>
      <c r="X463" s="195" t="str">
        <f t="shared" si="62"/>
        <v/>
      </c>
      <c r="Y463" s="255" t="str">
        <f>IF(ISNUMBER(SEARCH("C", 'Dry_Litterbag Placem_Collection'!V170)),"YES","NO")</f>
        <v>NO</v>
      </c>
      <c r="Z463" s="255" t="str">
        <f>IF(ISNUMBER(SEARCH("H", 'Dry_Litterbag Placem_Collection'!V170)),"YES","NO")</f>
        <v>NO</v>
      </c>
      <c r="AA463" s="255" t="str">
        <f>IF(ISNUMBER(SEARCH("R", 'Dry_Litterbag Placem_Collection'!V170)),"YES","NO")</f>
        <v>YES</v>
      </c>
      <c r="AB463" s="255" t="str">
        <f>IF(ISNUMBER(SEARCH("C", 'Dry_Litterbag Placem_Collection'!U170)),"YES","NO")</f>
        <v>NO</v>
      </c>
      <c r="AC463" s="255" t="str">
        <f>IF(ISNUMBER(SEARCH("H", 'Dry_Litterbag Placem_Collection'!U170)),"YES","NO")</f>
        <v>NO</v>
      </c>
      <c r="AD463" s="255" t="str">
        <f>IF(ISNUMBER(SEARCH("R", 'Dry_Litterbag Placem_Collection'!U170)),"YES","NO")</f>
        <v>NO</v>
      </c>
    </row>
    <row r="464" spans="2:30">
      <c r="B464" t="str">
        <f>'Final data_for_R_analysis_Dryse'!A610</f>
        <v>Dry</v>
      </c>
      <c r="C464" s="263">
        <f>'Final data_for_R_analysis_Dryse'!B610</f>
        <v>169</v>
      </c>
      <c r="D464" t="s">
        <v>3853</v>
      </c>
      <c r="E464" t="s">
        <v>25</v>
      </c>
      <c r="F464" s="386">
        <v>1</v>
      </c>
      <c r="G464" s="16">
        <f>'Dry_Litterbag Placem_Collection'!E171</f>
        <v>42940</v>
      </c>
      <c r="H464" s="92" t="str">
        <f>'Final data_for_R_analysis_Dryse'!J610</f>
        <v>G135</v>
      </c>
      <c r="I464" t="str">
        <f>'Final data_for_R_analysis_Dryse'!J830</f>
        <v>R80</v>
      </c>
      <c r="J464">
        <f>IFERROR(INDEX('Green_rooibos initial weight'!$C$5:$C$1749,MATCH(H464, 'Green_rooibos initial weight'!$A$5:$A$1749,0)),"")</f>
        <v>2.0049999999999999</v>
      </c>
      <c r="K464">
        <f>IFERROR(INDEX('Green_rooibos initial weight'!$C$5:$C$1749,MATCH(I464, 'Green_rooibos initial weight'!$A$5:$A$1749,0)),"")</f>
        <v>2.177</v>
      </c>
      <c r="L464" s="195">
        <f t="shared" si="57"/>
        <v>1.7551999999999999</v>
      </c>
      <c r="M464" s="195">
        <f t="shared" si="58"/>
        <v>1.9272</v>
      </c>
      <c r="N464" s="16">
        <f>IF('Dry_Litterbag Placem_Collection'!G171="N.A","",'Dry_Litterbag Placem_Collection'!G171)</f>
        <v>43009</v>
      </c>
      <c r="O464" s="195">
        <f>IF(IFERROR(INDEX('Both teabags AfterDry'!$D$1:$D$839,MATCH(H464,'Both teabags AfterDry'!$A$1:$A$839,0)),"")="N.A","",(IFERROR(INDEX('Both teabags AfterDry'!$D$1:$D$839,MATCH(H464,'Both teabags AfterDry'!$A$1:$A$839,0)),"")))</f>
        <v>0.78129999999999999</v>
      </c>
      <c r="P464" s="195">
        <f>IF(IFERROR(INDEX('Both teabags AfterDry'!$D$1:$D$839,MATCH(I464,'Both teabags AfterDry'!$A$1:$A$839,0)),"")="N.A","",(IFERROR(INDEX('Both teabags AfterDry'!$D$1:$D$839,MATCH(I464,'Both teabags AfterDry'!$A$1:$A$839,0)),"")))</f>
        <v>1.8815999999999999</v>
      </c>
      <c r="Q464" s="195">
        <f t="shared" si="59"/>
        <v>0.63070000000000004</v>
      </c>
      <c r="R464" s="195">
        <f t="shared" si="59"/>
        <v>1.7309999999999999</v>
      </c>
      <c r="S464" s="195">
        <f t="shared" si="54"/>
        <v>0.64066773017319956</v>
      </c>
      <c r="T464" s="195">
        <f t="shared" si="60"/>
        <v>0.42001019840333281</v>
      </c>
      <c r="U464" s="195">
        <f t="shared" si="55"/>
        <v>0.89819427148194264</v>
      </c>
      <c r="V464">
        <f t="shared" si="56"/>
        <v>69</v>
      </c>
      <c r="W464" s="195">
        <f t="shared" si="61"/>
        <v>0.23911195941425223</v>
      </c>
      <c r="X464" s="195">
        <f t="shared" si="62"/>
        <v>4.0229685461178385E-3</v>
      </c>
      <c r="Y464" s="255" t="str">
        <f>IF(ISNUMBER(SEARCH("C", 'Dry_Litterbag Placem_Collection'!V171)),"YES","NO")</f>
        <v>NO</v>
      </c>
      <c r="Z464" s="255" t="str">
        <f>IF(ISNUMBER(SEARCH("H", 'Dry_Litterbag Placem_Collection'!V171)),"YES","NO")</f>
        <v>NO</v>
      </c>
      <c r="AA464" s="255" t="str">
        <f>IF(ISNUMBER(SEARCH("R", 'Dry_Litterbag Placem_Collection'!V171)),"YES","NO")</f>
        <v>YES</v>
      </c>
      <c r="AB464" s="255" t="str">
        <f>IF(ISNUMBER(SEARCH("C", 'Dry_Litterbag Placem_Collection'!U171)),"YES","NO")</f>
        <v>NO</v>
      </c>
      <c r="AC464" s="255" t="str">
        <f>IF(ISNUMBER(SEARCH("H", 'Dry_Litterbag Placem_Collection'!U171)),"YES","NO")</f>
        <v>NO</v>
      </c>
      <c r="AD464" s="255" t="str">
        <f>IF(ISNUMBER(SEARCH("R", 'Dry_Litterbag Placem_Collection'!U171)),"YES","NO")</f>
        <v>YES</v>
      </c>
    </row>
    <row r="465" spans="2:30">
      <c r="B465" t="str">
        <f>'Final data_for_R_analysis_Dryse'!A611</f>
        <v>Dry</v>
      </c>
      <c r="C465" s="263">
        <f>'Final data_for_R_analysis_Dryse'!B611</f>
        <v>170</v>
      </c>
      <c r="D465" t="s">
        <v>3853</v>
      </c>
      <c r="E465" t="s">
        <v>25</v>
      </c>
      <c r="F465" s="386">
        <v>2</v>
      </c>
      <c r="G465" s="16">
        <f>'Dry_Litterbag Placem_Collection'!E172</f>
        <v>42940</v>
      </c>
      <c r="H465" s="92" t="str">
        <f>'Final data_for_R_analysis_Dryse'!J611</f>
        <v>G515</v>
      </c>
      <c r="I465" t="str">
        <f>'Final data_for_R_analysis_Dryse'!J831</f>
        <v>R208</v>
      </c>
      <c r="J465">
        <f>IFERROR(INDEX('Green_rooibos initial weight'!$C$5:$C$1749,MATCH(H465, 'Green_rooibos initial weight'!$A$5:$A$1749,0)),"")</f>
        <v>1.9890000000000001</v>
      </c>
      <c r="K465">
        <f>IFERROR(INDEX('Green_rooibos initial weight'!$C$5:$C$1749,MATCH(I465, 'Green_rooibos initial weight'!$A$5:$A$1749,0)),"")</f>
        <v>2.2250000000000001</v>
      </c>
      <c r="L465" s="195">
        <f t="shared" si="57"/>
        <v>1.7392000000000001</v>
      </c>
      <c r="M465" s="195">
        <f t="shared" si="58"/>
        <v>1.9752000000000001</v>
      </c>
      <c r="N465" s="16">
        <f>IF('Dry_Litterbag Placem_Collection'!G172="N.A","",'Dry_Litterbag Placem_Collection'!G172)</f>
        <v>43009</v>
      </c>
      <c r="O465" s="195">
        <f>IF(IFERROR(INDEX('Both teabags AfterDry'!$D$1:$D$839,MATCH(H465,'Both teabags AfterDry'!$A$1:$A$839,0)),"")="N.A","",(IFERROR(INDEX('Both teabags AfterDry'!$D$1:$D$839,MATCH(H465,'Both teabags AfterDry'!$A$1:$A$839,0)),"")))</f>
        <v>0.77959999999999996</v>
      </c>
      <c r="P465" s="195">
        <f>IF(IFERROR(INDEX('Both teabags AfterDry'!$D$1:$D$839,MATCH(I465,'Both teabags AfterDry'!$A$1:$A$839,0)),"")="N.A","",(IFERROR(INDEX('Both teabags AfterDry'!$D$1:$D$839,MATCH(I465,'Both teabags AfterDry'!$A$1:$A$839,0)),"")))</f>
        <v>1.8463000000000001</v>
      </c>
      <c r="Q465" s="195">
        <f t="shared" si="59"/>
        <v>0.629</v>
      </c>
      <c r="R465" s="195">
        <f t="shared" si="59"/>
        <v>1.6957</v>
      </c>
      <c r="S465" s="195">
        <f t="shared" si="54"/>
        <v>0.63833946642134309</v>
      </c>
      <c r="T465" s="195">
        <f t="shared" si="60"/>
        <v>0.41848383071803019</v>
      </c>
      <c r="U465" s="195">
        <f t="shared" si="55"/>
        <v>0.8584953422438234</v>
      </c>
      <c r="V465">
        <f t="shared" si="56"/>
        <v>69</v>
      </c>
      <c r="W465" s="195">
        <f t="shared" si="61"/>
        <v>0.24187711826443814</v>
      </c>
      <c r="X465" s="195">
        <f t="shared" si="62"/>
        <v>5.9811005421561833E-3</v>
      </c>
      <c r="Y465" s="255" t="str">
        <f>IF(ISNUMBER(SEARCH("C", 'Dry_Litterbag Placem_Collection'!V172)),"YES","NO")</f>
        <v>NO</v>
      </c>
      <c r="Z465" s="255" t="str">
        <f>IF(ISNUMBER(SEARCH("H", 'Dry_Litterbag Placem_Collection'!V172)),"YES","NO")</f>
        <v>NO</v>
      </c>
      <c r="AA465" s="255" t="str">
        <f>IF(ISNUMBER(SEARCH("R", 'Dry_Litterbag Placem_Collection'!V172)),"YES","NO")</f>
        <v>NO</v>
      </c>
      <c r="AB465" s="255" t="str">
        <f>IF(ISNUMBER(SEARCH("C", 'Dry_Litterbag Placem_Collection'!U172)),"YES","NO")</f>
        <v>NO</v>
      </c>
      <c r="AC465" s="255" t="str">
        <f>IF(ISNUMBER(SEARCH("H", 'Dry_Litterbag Placem_Collection'!U172)),"YES","NO")</f>
        <v>NO</v>
      </c>
      <c r="AD465" s="255" t="str">
        <f>IF(ISNUMBER(SEARCH("R", 'Dry_Litterbag Placem_Collection'!U172)),"YES","NO")</f>
        <v>YES</v>
      </c>
    </row>
    <row r="466" spans="2:30">
      <c r="B466" t="str">
        <f>'Final data_for_R_analysis_Dryse'!A612</f>
        <v>Dry</v>
      </c>
      <c r="C466" s="263">
        <f>'Final data_for_R_analysis_Dryse'!B612</f>
        <v>171</v>
      </c>
      <c r="D466" t="s">
        <v>3853</v>
      </c>
      <c r="E466" t="s">
        <v>25</v>
      </c>
      <c r="F466" s="386">
        <v>3</v>
      </c>
      <c r="G466" s="16">
        <f>'Dry_Litterbag Placem_Collection'!E173</f>
        <v>42940</v>
      </c>
      <c r="H466" s="92" t="str">
        <f>'Final data_for_R_analysis_Dryse'!J612</f>
        <v>G348</v>
      </c>
      <c r="I466" t="str">
        <f>'Final data_for_R_analysis_Dryse'!J832</f>
        <v>R633</v>
      </c>
      <c r="J466">
        <f>IFERROR(INDEX('Green_rooibos initial weight'!$C$5:$C$1749,MATCH(H466, 'Green_rooibos initial weight'!$A$5:$A$1749,0)),"")</f>
        <v>2.0139999999999998</v>
      </c>
      <c r="K466">
        <f>IFERROR(INDEX('Green_rooibos initial weight'!$C$5:$C$1749,MATCH(I466, 'Green_rooibos initial weight'!$A$5:$A$1749,0)),"")</f>
        <v>2.0760000000000001</v>
      </c>
      <c r="L466" s="195">
        <f t="shared" si="57"/>
        <v>1.7641999999999998</v>
      </c>
      <c r="M466" s="195">
        <f t="shared" si="58"/>
        <v>1.8262</v>
      </c>
      <c r="N466" s="16">
        <f>IF('Dry_Litterbag Placem_Collection'!G173="N.A","",'Dry_Litterbag Placem_Collection'!G173)</f>
        <v>43009</v>
      </c>
      <c r="O466" s="195">
        <f>IF(IFERROR(INDEX('Both teabags AfterDry'!$D$1:$D$839,MATCH(H466,'Both teabags AfterDry'!$A$1:$A$839,0)),"")="N.A","",(IFERROR(INDEX('Both teabags AfterDry'!$D$1:$D$839,MATCH(H466,'Both teabags AfterDry'!$A$1:$A$839,0)),"")))</f>
        <v>0.69310000000000005</v>
      </c>
      <c r="P466" s="195">
        <f>IF(IFERROR(INDEX('Both teabags AfterDry'!$D$1:$D$839,MATCH(I466,'Both teabags AfterDry'!$A$1:$A$839,0)),"")="N.A","",(IFERROR(INDEX('Both teabags AfterDry'!$D$1:$D$839,MATCH(I466,'Both teabags AfterDry'!$A$1:$A$839,0)),"")))</f>
        <v>1.6096999999999999</v>
      </c>
      <c r="Q466" s="195">
        <f t="shared" si="59"/>
        <v>0.54249999999999998</v>
      </c>
      <c r="R466" s="195">
        <f t="shared" si="59"/>
        <v>1.4590999999999998</v>
      </c>
      <c r="S466" s="195">
        <f t="shared" si="54"/>
        <v>0.69249518195215964</v>
      </c>
      <c r="T466" s="195">
        <f t="shared" si="60"/>
        <v>0.45398734018716408</v>
      </c>
      <c r="U466" s="195">
        <f t="shared" si="55"/>
        <v>0.79898149162194709</v>
      </c>
      <c r="V466">
        <f t="shared" si="56"/>
        <v>69</v>
      </c>
      <c r="W466" s="195">
        <f t="shared" si="61"/>
        <v>0.17755916632760138</v>
      </c>
      <c r="X466" s="195">
        <f t="shared" si="62"/>
        <v>8.4754061723794297E-3</v>
      </c>
      <c r="Y466" s="255" t="str">
        <f>IF(ISNUMBER(SEARCH("C", 'Dry_Litterbag Placem_Collection'!V173)),"YES","NO")</f>
        <v>NO</v>
      </c>
      <c r="Z466" s="255" t="str">
        <f>IF(ISNUMBER(SEARCH("H", 'Dry_Litterbag Placem_Collection'!V173)),"YES","NO")</f>
        <v>NO</v>
      </c>
      <c r="AA466" s="255" t="str">
        <f>IF(ISNUMBER(SEARCH("R", 'Dry_Litterbag Placem_Collection'!V173)),"YES","NO")</f>
        <v>NO</v>
      </c>
      <c r="AB466" s="255" t="str">
        <f>IF(ISNUMBER(SEARCH("C", 'Dry_Litterbag Placem_Collection'!U173)),"YES","NO")</f>
        <v>NO</v>
      </c>
      <c r="AC466" s="255" t="str">
        <f>IF(ISNUMBER(SEARCH("H", 'Dry_Litterbag Placem_Collection'!U173)),"YES","NO")</f>
        <v>NO</v>
      </c>
      <c r="AD466" s="255" t="str">
        <f>IF(ISNUMBER(SEARCH("R", 'Dry_Litterbag Placem_Collection'!U173)),"YES","NO")</f>
        <v>YES</v>
      </c>
    </row>
    <row r="467" spans="2:30">
      <c r="B467" t="str">
        <f>'Final data_for_R_analysis_Dryse'!A613</f>
        <v>Dry</v>
      </c>
      <c r="C467" s="263">
        <f>'Final data_for_R_analysis_Dryse'!B613</f>
        <v>172</v>
      </c>
      <c r="D467" t="s">
        <v>3853</v>
      </c>
      <c r="E467" t="s">
        <v>25</v>
      </c>
      <c r="F467" s="387">
        <v>4</v>
      </c>
      <c r="G467" s="16">
        <f>'Dry_Litterbag Placem_Collection'!E174</f>
        <v>0</v>
      </c>
      <c r="H467" s="92" t="str">
        <f>'Final data_for_R_analysis_Dryse'!J613</f>
        <v/>
      </c>
      <c r="I467" t="str">
        <f>'Final data_for_R_analysis_Dryse'!J833</f>
        <v/>
      </c>
      <c r="J467" t="str">
        <f>IFERROR(INDEX('Green_rooibos initial weight'!$C$5:$C$1749,MATCH(H467, 'Green_rooibos initial weight'!$A$5:$A$1749,0)),"")</f>
        <v/>
      </c>
      <c r="K467" t="str">
        <f>IFERROR(INDEX('Green_rooibos initial weight'!$C$5:$C$1749,MATCH(I467, 'Green_rooibos initial weight'!$A$5:$A$1749,0)),"")</f>
        <v/>
      </c>
      <c r="L467" s="195" t="str">
        <f t="shared" si="57"/>
        <v/>
      </c>
      <c r="M467" s="195" t="str">
        <f t="shared" si="58"/>
        <v/>
      </c>
      <c r="N467" s="16">
        <f>IF('Dry_Litterbag Placem_Collection'!G174="N.A","",'Dry_Litterbag Placem_Collection'!G174)</f>
        <v>0</v>
      </c>
      <c r="O467" s="195" t="str">
        <f>IF(IFERROR(INDEX('Both teabags AfterDry'!$D$1:$D$839,MATCH(H467,'Both teabags AfterDry'!$A$1:$A$839,0)),"")="N.A","",(IFERROR(INDEX('Both teabags AfterDry'!$D$1:$D$839,MATCH(H467,'Both teabags AfterDry'!$A$1:$A$839,0)),"")))</f>
        <v/>
      </c>
      <c r="P467" s="195" t="str">
        <f>IF(IFERROR(INDEX('Both teabags AfterDry'!$D$1:$D$839,MATCH(I467,'Both teabags AfterDry'!$A$1:$A$839,0)),"")="N.A","",(IFERROR(INDEX('Both teabags AfterDry'!$D$1:$D$839,MATCH(I467,'Both teabags AfterDry'!$A$1:$A$839,0)),"")))</f>
        <v/>
      </c>
      <c r="Q467" s="195" t="str">
        <f t="shared" si="59"/>
        <v/>
      </c>
      <c r="R467" s="195" t="str">
        <f t="shared" si="59"/>
        <v/>
      </c>
      <c r="S467" s="195" t="str">
        <f t="shared" si="54"/>
        <v/>
      </c>
      <c r="T467" s="195" t="str">
        <f t="shared" si="60"/>
        <v/>
      </c>
      <c r="U467" s="195" t="str">
        <f t="shared" si="55"/>
        <v/>
      </c>
      <c r="V467" t="str">
        <f t="shared" si="56"/>
        <v/>
      </c>
      <c r="W467" s="195" t="str">
        <f t="shared" si="61"/>
        <v/>
      </c>
      <c r="X467" s="195" t="str">
        <f t="shared" si="62"/>
        <v/>
      </c>
      <c r="Y467" s="255" t="str">
        <f>IF(ISNUMBER(SEARCH("C", 'Dry_Litterbag Placem_Collection'!V174)),"YES","NO")</f>
        <v>NO</v>
      </c>
      <c r="Z467" s="255" t="str">
        <f>IF(ISNUMBER(SEARCH("H", 'Dry_Litterbag Placem_Collection'!V174)),"YES","NO")</f>
        <v>NO</v>
      </c>
      <c r="AA467" s="255" t="str">
        <f>IF(ISNUMBER(SEARCH("R", 'Dry_Litterbag Placem_Collection'!V174)),"YES","NO")</f>
        <v>NO</v>
      </c>
      <c r="AB467" s="255" t="str">
        <f>IF(ISNUMBER(SEARCH("C", 'Dry_Litterbag Placem_Collection'!U174)),"YES","NO")</f>
        <v>NO</v>
      </c>
      <c r="AC467" s="255" t="str">
        <f>IF(ISNUMBER(SEARCH("H", 'Dry_Litterbag Placem_Collection'!U174)),"YES","NO")</f>
        <v>NO</v>
      </c>
      <c r="AD467" s="255" t="str">
        <f>IF(ISNUMBER(SEARCH("R", 'Dry_Litterbag Placem_Collection'!U174)),"YES","NO")</f>
        <v>NO</v>
      </c>
    </row>
    <row r="468" spans="2:30">
      <c r="B468" t="str">
        <f>'Final data_for_R_analysis_Dryse'!A614</f>
        <v>Dry</v>
      </c>
      <c r="C468" s="263">
        <f>'Final data_for_R_analysis_Dryse'!B614</f>
        <v>173</v>
      </c>
      <c r="D468" t="s">
        <v>3853</v>
      </c>
      <c r="E468" t="s">
        <v>25</v>
      </c>
      <c r="F468" s="387">
        <v>5</v>
      </c>
      <c r="G468" s="16">
        <f>'Dry_Litterbag Placem_Collection'!E175</f>
        <v>42940</v>
      </c>
      <c r="H468" s="92" t="str">
        <f>'Final data_for_R_analysis_Dryse'!J614</f>
        <v>G307</v>
      </c>
      <c r="I468" t="str">
        <f>'Final data_for_R_analysis_Dryse'!J834</f>
        <v>R473</v>
      </c>
      <c r="J468">
        <f>IFERROR(INDEX('Green_rooibos initial weight'!$C$5:$C$1749,MATCH(H468, 'Green_rooibos initial weight'!$A$5:$A$1749,0)),"")</f>
        <v>1.9810000000000001</v>
      </c>
      <c r="K468">
        <f>IFERROR(INDEX('Green_rooibos initial weight'!$C$5:$C$1749,MATCH(I468, 'Green_rooibos initial weight'!$A$5:$A$1749,0)),"")</f>
        <v>2.302</v>
      </c>
      <c r="L468" s="195">
        <f t="shared" si="57"/>
        <v>1.7312000000000001</v>
      </c>
      <c r="M468" s="195">
        <f t="shared" si="58"/>
        <v>2.0522</v>
      </c>
      <c r="N468" s="16">
        <f>IF('Dry_Litterbag Placem_Collection'!G175="N.A","",'Dry_Litterbag Placem_Collection'!G175)</f>
        <v>43009</v>
      </c>
      <c r="O468" s="195" t="str">
        <f>IF(IFERROR(INDEX('Both teabags AfterDry'!$D$1:$D$839,MATCH(H468,'Both teabags AfterDry'!$A$1:$A$839,0)),"")="N.A","",(IFERROR(INDEX('Both teabags AfterDry'!$D$1:$D$839,MATCH(H468,'Both teabags AfterDry'!$A$1:$A$839,0)),"")))</f>
        <v/>
      </c>
      <c r="P468" s="195" t="str">
        <f>IF(IFERROR(INDEX('Both teabags AfterDry'!$D$1:$D$839,MATCH(I468,'Both teabags AfterDry'!$A$1:$A$839,0)),"")="N.A","",(IFERROR(INDEX('Both teabags AfterDry'!$D$1:$D$839,MATCH(I468,'Both teabags AfterDry'!$A$1:$A$839,0)),"")))</f>
        <v/>
      </c>
      <c r="Q468" s="195" t="str">
        <f t="shared" si="59"/>
        <v/>
      </c>
      <c r="R468" s="195" t="str">
        <f t="shared" si="59"/>
        <v/>
      </c>
      <c r="S468" s="195" t="str">
        <f t="shared" si="54"/>
        <v/>
      </c>
      <c r="T468" s="195" t="str">
        <f t="shared" si="60"/>
        <v/>
      </c>
      <c r="U468" s="195" t="str">
        <f t="shared" si="55"/>
        <v/>
      </c>
      <c r="V468">
        <f t="shared" si="56"/>
        <v>69</v>
      </c>
      <c r="W468" s="195" t="str">
        <f t="shared" si="61"/>
        <v/>
      </c>
      <c r="X468" s="195" t="str">
        <f t="shared" si="62"/>
        <v/>
      </c>
      <c r="Y468" s="255" t="str">
        <f>IF(ISNUMBER(SEARCH("C", 'Dry_Litterbag Placem_Collection'!V175)),"YES","NO")</f>
        <v>NO</v>
      </c>
      <c r="Z468" s="255" t="str">
        <f>IF(ISNUMBER(SEARCH("H", 'Dry_Litterbag Placem_Collection'!V175)),"YES","NO")</f>
        <v>NO</v>
      </c>
      <c r="AA468" s="255" t="str">
        <f>IF(ISNUMBER(SEARCH("R", 'Dry_Litterbag Placem_Collection'!V175)),"YES","NO")</f>
        <v>NO</v>
      </c>
      <c r="AB468" s="255" t="str">
        <f>IF(ISNUMBER(SEARCH("C", 'Dry_Litterbag Placem_Collection'!U175)),"YES","NO")</f>
        <v>NO</v>
      </c>
      <c r="AC468" s="255" t="str">
        <f>IF(ISNUMBER(SEARCH("H", 'Dry_Litterbag Placem_Collection'!U175)),"YES","NO")</f>
        <v>NO</v>
      </c>
      <c r="AD468" s="255" t="str">
        <f>IF(ISNUMBER(SEARCH("R", 'Dry_Litterbag Placem_Collection'!U175)),"YES","NO")</f>
        <v>NO</v>
      </c>
    </row>
    <row r="469" spans="2:30">
      <c r="B469" t="str">
        <f>'Final data_for_R_analysis_Dryse'!A615</f>
        <v>Dry</v>
      </c>
      <c r="C469" s="263">
        <f>'Final data_for_R_analysis_Dryse'!B615</f>
        <v>174</v>
      </c>
      <c r="D469" t="s">
        <v>3853</v>
      </c>
      <c r="E469" t="s">
        <v>25</v>
      </c>
      <c r="F469" s="387">
        <v>6</v>
      </c>
      <c r="G469" s="16">
        <f>'Dry_Litterbag Placem_Collection'!E176</f>
        <v>42940</v>
      </c>
      <c r="H469" s="92" t="str">
        <f>'Final data_for_R_analysis_Dryse'!J615</f>
        <v>G155</v>
      </c>
      <c r="I469" t="str">
        <f>'Final data_for_R_analysis_Dryse'!J835</f>
        <v>R702</v>
      </c>
      <c r="J469">
        <f>IFERROR(INDEX('Green_rooibos initial weight'!$C$5:$C$1749,MATCH(H469, 'Green_rooibos initial weight'!$A$5:$A$1749,0)),"")</f>
        <v>2.0379999999999998</v>
      </c>
      <c r="K469">
        <f>IFERROR(INDEX('Green_rooibos initial weight'!$C$5:$C$1749,MATCH(I469, 'Green_rooibos initial weight'!$A$5:$A$1749,0)),"")</f>
        <v>2.2010000000000001</v>
      </c>
      <c r="L469" s="195">
        <f t="shared" si="57"/>
        <v>1.7881999999999998</v>
      </c>
      <c r="M469" s="195">
        <f t="shared" si="58"/>
        <v>1.9512</v>
      </c>
      <c r="N469" s="16">
        <f>IF('Dry_Litterbag Placem_Collection'!G176="N.A","",'Dry_Litterbag Placem_Collection'!G176)</f>
        <v>43009</v>
      </c>
      <c r="O469" s="195">
        <f>IF(IFERROR(INDEX('Both teabags AfterDry'!$D$1:$D$839,MATCH(H469,'Both teabags AfterDry'!$A$1:$A$839,0)),"")="N.A","",(IFERROR(INDEX('Both teabags AfterDry'!$D$1:$D$839,MATCH(H469,'Both teabags AfterDry'!$A$1:$A$839,0)),"")))</f>
        <v>0.78239999999999998</v>
      </c>
      <c r="P469" s="195">
        <f>IF(IFERROR(INDEX('Both teabags AfterDry'!$D$1:$D$839,MATCH(I469,'Both teabags AfterDry'!$A$1:$A$839,0)),"")="N.A","",(IFERROR(INDEX('Both teabags AfterDry'!$D$1:$D$839,MATCH(I469,'Both teabags AfterDry'!$A$1:$A$839,0)),"")))</f>
        <v>1.7047000000000001</v>
      </c>
      <c r="Q469" s="195">
        <f t="shared" si="59"/>
        <v>0.63179999999999992</v>
      </c>
      <c r="R469" s="195">
        <f t="shared" si="59"/>
        <v>1.5541</v>
      </c>
      <c r="S469" s="195">
        <f t="shared" si="54"/>
        <v>0.6466838161279499</v>
      </c>
      <c r="T469" s="195">
        <f t="shared" si="60"/>
        <v>0.42395423575134017</v>
      </c>
      <c r="U469" s="195">
        <f t="shared" si="55"/>
        <v>0.79648421484214837</v>
      </c>
      <c r="V469">
        <f t="shared" si="56"/>
        <v>69</v>
      </c>
      <c r="W469" s="195">
        <f t="shared" si="61"/>
        <v>0.23196696421858676</v>
      </c>
      <c r="X469" s="195">
        <f t="shared" si="62"/>
        <v>9.4783622401016995E-3</v>
      </c>
      <c r="Y469" s="255" t="str">
        <f>IF(ISNUMBER(SEARCH("C", 'Dry_Litterbag Placem_Collection'!V176)),"YES","NO")</f>
        <v>NO</v>
      </c>
      <c r="Z469" s="255" t="str">
        <f>IF(ISNUMBER(SEARCH("H", 'Dry_Litterbag Placem_Collection'!V176)),"YES","NO")</f>
        <v>NO</v>
      </c>
      <c r="AA469" s="255" t="str">
        <f>IF(ISNUMBER(SEARCH("R", 'Dry_Litterbag Placem_Collection'!V176)),"YES","NO")</f>
        <v>NO</v>
      </c>
      <c r="AB469" s="255" t="str">
        <f>IF(ISNUMBER(SEARCH("C", 'Dry_Litterbag Placem_Collection'!U176)),"YES","NO")</f>
        <v>NO</v>
      </c>
      <c r="AC469" s="255" t="str">
        <f>IF(ISNUMBER(SEARCH("H", 'Dry_Litterbag Placem_Collection'!U176)),"YES","NO")</f>
        <v>NO</v>
      </c>
      <c r="AD469" s="255" t="str">
        <f>IF(ISNUMBER(SEARCH("R", 'Dry_Litterbag Placem_Collection'!U176)),"YES","NO")</f>
        <v>NO</v>
      </c>
    </row>
    <row r="470" spans="2:30">
      <c r="B470" t="str">
        <f>'Final data_for_R_analysis_Dryse'!A616</f>
        <v>Dry</v>
      </c>
      <c r="C470" s="263">
        <f>'Final data_for_R_analysis_Dryse'!B616</f>
        <v>175</v>
      </c>
      <c r="D470" t="s">
        <v>3853</v>
      </c>
      <c r="E470" t="s">
        <v>25</v>
      </c>
      <c r="F470" s="387">
        <v>7</v>
      </c>
      <c r="G470" s="16">
        <f>'Dry_Litterbag Placem_Collection'!E177</f>
        <v>42940</v>
      </c>
      <c r="H470" s="92" t="str">
        <f>'Final data_for_R_analysis_Dryse'!J616</f>
        <v>G719</v>
      </c>
      <c r="I470" t="str">
        <f>'Final data_for_R_analysis_Dryse'!J836</f>
        <v>R175</v>
      </c>
      <c r="J470">
        <f>IFERROR(INDEX('Green_rooibos initial weight'!$C$5:$C$1749,MATCH(H470, 'Green_rooibos initial weight'!$A$5:$A$1749,0)),"")</f>
        <v>2.02</v>
      </c>
      <c r="K470">
        <f>IFERROR(INDEX('Green_rooibos initial weight'!$C$5:$C$1749,MATCH(I470, 'Green_rooibos initial weight'!$A$5:$A$1749,0)),"")</f>
        <v>2.2330000000000001</v>
      </c>
      <c r="L470" s="195">
        <f t="shared" si="57"/>
        <v>1.7702</v>
      </c>
      <c r="M470" s="195">
        <f t="shared" si="58"/>
        <v>1.9832000000000001</v>
      </c>
      <c r="N470" s="16">
        <f>IF('Dry_Litterbag Placem_Collection'!G177="N.A","",'Dry_Litterbag Placem_Collection'!G177)</f>
        <v>43009</v>
      </c>
      <c r="O470" s="195">
        <f>IF(IFERROR(INDEX('Both teabags AfterDry'!$D$1:$D$839,MATCH(H470,'Both teabags AfterDry'!$A$1:$A$839,0)),"")="N.A","",(IFERROR(INDEX('Both teabags AfterDry'!$D$1:$D$839,MATCH(H470,'Both teabags AfterDry'!$A$1:$A$839,0)),"")))</f>
        <v>0.80269999999999997</v>
      </c>
      <c r="P470" s="195">
        <f>IF(IFERROR(INDEX('Both teabags AfterDry'!$D$1:$D$839,MATCH(I470,'Both teabags AfterDry'!$A$1:$A$839,0)),"")="N.A","",(IFERROR(INDEX('Both teabags AfterDry'!$D$1:$D$839,MATCH(I470,'Both teabags AfterDry'!$A$1:$A$839,0)),"")))</f>
        <v>1.8721000000000001</v>
      </c>
      <c r="Q470" s="195">
        <f t="shared" si="59"/>
        <v>0.6520999999999999</v>
      </c>
      <c r="R470" s="195">
        <f t="shared" si="59"/>
        <v>1.7215</v>
      </c>
      <c r="S470" s="195">
        <f t="shared" si="54"/>
        <v>0.63162354536210596</v>
      </c>
      <c r="T470" s="195">
        <f t="shared" si="60"/>
        <v>0.41408099410912419</v>
      </c>
      <c r="U470" s="195">
        <f t="shared" si="55"/>
        <v>0.86804154901169828</v>
      </c>
      <c r="V470">
        <f t="shared" si="56"/>
        <v>69</v>
      </c>
      <c r="W470" s="195">
        <f t="shared" si="61"/>
        <v>0.24985327154144177</v>
      </c>
      <c r="X470" s="195">
        <f t="shared" si="62"/>
        <v>5.5611603770005713E-3</v>
      </c>
      <c r="Y470" s="255" t="str">
        <f>IF(ISNUMBER(SEARCH("C", 'Dry_Litterbag Placem_Collection'!V177)),"YES","NO")</f>
        <v>NO</v>
      </c>
      <c r="Z470" s="255" t="str">
        <f>IF(ISNUMBER(SEARCH("H", 'Dry_Litterbag Placem_Collection'!V177)),"YES","NO")</f>
        <v>NO</v>
      </c>
      <c r="AA470" s="255" t="str">
        <f>IF(ISNUMBER(SEARCH("R", 'Dry_Litterbag Placem_Collection'!V177)),"YES","NO")</f>
        <v>YES</v>
      </c>
      <c r="AB470" s="255" t="str">
        <f>IF(ISNUMBER(SEARCH("C", 'Dry_Litterbag Placem_Collection'!U177)),"YES","NO")</f>
        <v>NO</v>
      </c>
      <c r="AC470" s="255" t="str">
        <f>IF(ISNUMBER(SEARCH("H", 'Dry_Litterbag Placem_Collection'!U177)),"YES","NO")</f>
        <v>NO</v>
      </c>
      <c r="AD470" s="255" t="str">
        <f>IF(ISNUMBER(SEARCH("R", 'Dry_Litterbag Placem_Collection'!U177)),"YES","NO")</f>
        <v>NO</v>
      </c>
    </row>
    <row r="471" spans="2:30">
      <c r="B471" t="str">
        <f>'Final data_for_R_analysis_Dryse'!A617</f>
        <v>Dry</v>
      </c>
      <c r="C471" s="263">
        <f>'Final data_for_R_analysis_Dryse'!B617</f>
        <v>176</v>
      </c>
      <c r="D471" t="s">
        <v>3853</v>
      </c>
      <c r="E471" t="s">
        <v>25</v>
      </c>
      <c r="F471" s="387">
        <v>8</v>
      </c>
      <c r="G471" s="16">
        <f>'Dry_Litterbag Placem_Collection'!E178</f>
        <v>42940</v>
      </c>
      <c r="H471" s="92" t="str">
        <f>'Final data_for_R_analysis_Dryse'!J617</f>
        <v>G323</v>
      </c>
      <c r="I471" t="str">
        <f>'Final data_for_R_analysis_Dryse'!J837</f>
        <v>R332</v>
      </c>
      <c r="J471">
        <f>IFERROR(INDEX('Green_rooibos initial weight'!$C$5:$C$1749,MATCH(H471, 'Green_rooibos initial weight'!$A$5:$A$1749,0)),"")</f>
        <v>1.97</v>
      </c>
      <c r="K471">
        <f>IFERROR(INDEX('Green_rooibos initial weight'!$C$5:$C$1749,MATCH(I471, 'Green_rooibos initial weight'!$A$5:$A$1749,0)),"")</f>
        <v>2.1880000000000002</v>
      </c>
      <c r="L471" s="195">
        <f t="shared" si="57"/>
        <v>1.7202</v>
      </c>
      <c r="M471" s="195">
        <f t="shared" si="58"/>
        <v>1.9382000000000001</v>
      </c>
      <c r="N471" s="16">
        <f>IF('Dry_Litterbag Placem_Collection'!G178="N.A","",'Dry_Litterbag Placem_Collection'!G178)</f>
        <v>43009</v>
      </c>
      <c r="O471" s="195">
        <f>IF(IFERROR(INDEX('Both teabags AfterDry'!$D$1:$D$839,MATCH(H471,'Both teabags AfterDry'!$A$1:$A$839,0)),"")="N.A","",(IFERROR(INDEX('Both teabags AfterDry'!$D$1:$D$839,MATCH(H471,'Both teabags AfterDry'!$A$1:$A$839,0)),"")))</f>
        <v>0.74829999999999997</v>
      </c>
      <c r="P471" s="195">
        <f>IF(IFERROR(INDEX('Both teabags AfterDry'!$D$1:$D$839,MATCH(I471,'Both teabags AfterDry'!$A$1:$A$839,0)),"")="N.A","",(IFERROR(INDEX('Both teabags AfterDry'!$D$1:$D$839,MATCH(I471,'Both teabags AfterDry'!$A$1:$A$839,0)),"")))</f>
        <v>1.8720000000000001</v>
      </c>
      <c r="Q471" s="195">
        <f t="shared" si="59"/>
        <v>0.5976999999999999</v>
      </c>
      <c r="R471" s="195">
        <f t="shared" si="59"/>
        <v>1.7214</v>
      </c>
      <c r="S471" s="195">
        <f t="shared" si="54"/>
        <v>0.65254040227880483</v>
      </c>
      <c r="T471" s="195">
        <f t="shared" si="60"/>
        <v>0.42779370790724502</v>
      </c>
      <c r="U471" s="195">
        <f t="shared" si="55"/>
        <v>0.88814363842740685</v>
      </c>
      <c r="V471">
        <f t="shared" si="56"/>
        <v>69</v>
      </c>
      <c r="W471" s="195">
        <f t="shared" si="61"/>
        <v>0.22501139871875908</v>
      </c>
      <c r="X471" s="195">
        <f t="shared" si="62"/>
        <v>4.3927125460899909E-3</v>
      </c>
      <c r="Y471" s="255" t="str">
        <f>IF(ISNUMBER(SEARCH("C", 'Dry_Litterbag Placem_Collection'!V178)),"YES","NO")</f>
        <v>NO</v>
      </c>
      <c r="Z471" s="255" t="str">
        <f>IF(ISNUMBER(SEARCH("H", 'Dry_Litterbag Placem_Collection'!V178)),"YES","NO")</f>
        <v>NO</v>
      </c>
      <c r="AA471" s="255" t="str">
        <f>IF(ISNUMBER(SEARCH("R", 'Dry_Litterbag Placem_Collection'!V178)),"YES","NO")</f>
        <v>YES</v>
      </c>
      <c r="AB471" s="255" t="str">
        <f>IF(ISNUMBER(SEARCH("C", 'Dry_Litterbag Placem_Collection'!U178)),"YES","NO")</f>
        <v>NO</v>
      </c>
      <c r="AC471" s="255" t="str">
        <f>IF(ISNUMBER(SEARCH("H", 'Dry_Litterbag Placem_Collection'!U178)),"YES","NO")</f>
        <v>NO</v>
      </c>
      <c r="AD471" s="255" t="str">
        <f>IF(ISNUMBER(SEARCH("R", 'Dry_Litterbag Placem_Collection'!U178)),"YES","NO")</f>
        <v>YES</v>
      </c>
    </row>
    <row r="472" spans="2:30">
      <c r="B472" t="str">
        <f>'Final data_for_R_analysis_Dryse'!A618</f>
        <v>Dry</v>
      </c>
      <c r="C472" s="263">
        <f>'Final data_for_R_analysis_Dryse'!B618</f>
        <v>177</v>
      </c>
      <c r="D472" t="s">
        <v>3854</v>
      </c>
      <c r="E472" t="s">
        <v>25</v>
      </c>
      <c r="F472" s="386">
        <v>1</v>
      </c>
      <c r="G472" s="16">
        <f>'Dry_Litterbag Placem_Collection'!E179</f>
        <v>42940</v>
      </c>
      <c r="H472" s="92" t="str">
        <f>'Final data_for_R_analysis_Dryse'!J618</f>
        <v>G14</v>
      </c>
      <c r="I472" t="str">
        <f>'Final data_for_R_analysis_Dryse'!J838</f>
        <v>R279</v>
      </c>
      <c r="J472">
        <f>IFERROR(INDEX('Green_rooibos initial weight'!$C$5:$C$1749,MATCH(H472, 'Green_rooibos initial weight'!$A$5:$A$1749,0)),"")</f>
        <v>2.0750000000000002</v>
      </c>
      <c r="K472">
        <f>IFERROR(INDEX('Green_rooibos initial weight'!$C$5:$C$1749,MATCH(I472, 'Green_rooibos initial weight'!$A$5:$A$1749,0)),"")</f>
        <v>2.161</v>
      </c>
      <c r="L472" s="195">
        <f t="shared" si="57"/>
        <v>1.8252000000000002</v>
      </c>
      <c r="M472" s="195">
        <f t="shared" si="58"/>
        <v>1.9112</v>
      </c>
      <c r="N472" s="16">
        <f>IF('Dry_Litterbag Placem_Collection'!G179="N.A","",'Dry_Litterbag Placem_Collection'!G179)</f>
        <v>43009</v>
      </c>
      <c r="O472" s="195" t="str">
        <f>IF(IFERROR(INDEX('Both teabags AfterDry'!$D$1:$D$839,MATCH(H472,'Both teabags AfterDry'!$A$1:$A$839,0)),"")="N.A","",(IFERROR(INDEX('Both teabags AfterDry'!$D$1:$D$839,MATCH(H472,'Both teabags AfterDry'!$A$1:$A$839,0)),"")))</f>
        <v/>
      </c>
      <c r="P472" s="195" t="str">
        <f>IF(IFERROR(INDEX('Both teabags AfterDry'!$D$1:$D$839,MATCH(I472,'Both teabags AfterDry'!$A$1:$A$839,0)),"")="N.A","",(IFERROR(INDEX('Both teabags AfterDry'!$D$1:$D$839,MATCH(I472,'Both teabags AfterDry'!$A$1:$A$839,0)),"")))</f>
        <v/>
      </c>
      <c r="Q472" s="195" t="str">
        <f t="shared" si="59"/>
        <v/>
      </c>
      <c r="R472" s="195" t="str">
        <f t="shared" si="59"/>
        <v/>
      </c>
      <c r="S472" s="195" t="str">
        <f t="shared" si="54"/>
        <v/>
      </c>
      <c r="T472" s="195" t="str">
        <f t="shared" si="60"/>
        <v/>
      </c>
      <c r="U472" s="195" t="str">
        <f t="shared" si="55"/>
        <v/>
      </c>
      <c r="V472">
        <f t="shared" si="56"/>
        <v>69</v>
      </c>
      <c r="W472" s="195" t="str">
        <f t="shared" si="61"/>
        <v/>
      </c>
      <c r="X472" s="195" t="str">
        <f t="shared" si="62"/>
        <v/>
      </c>
      <c r="Y472" s="255" t="str">
        <f>IF(ISNUMBER(SEARCH("C", 'Dry_Litterbag Placem_Collection'!V179)),"YES","NO")</f>
        <v>NO</v>
      </c>
      <c r="Z472" s="255" t="str">
        <f>IF(ISNUMBER(SEARCH("H", 'Dry_Litterbag Placem_Collection'!V179)),"YES","NO")</f>
        <v>NO</v>
      </c>
      <c r="AA472" s="255" t="str">
        <f>IF(ISNUMBER(SEARCH("R", 'Dry_Litterbag Placem_Collection'!V179)),"YES","NO")</f>
        <v>YES</v>
      </c>
      <c r="AB472" s="255" t="str">
        <f>IF(ISNUMBER(SEARCH("C", 'Dry_Litterbag Placem_Collection'!U179)),"YES","NO")</f>
        <v>NO</v>
      </c>
      <c r="AC472" s="255" t="str">
        <f>IF(ISNUMBER(SEARCH("H", 'Dry_Litterbag Placem_Collection'!U179)),"YES","NO")</f>
        <v>NO</v>
      </c>
      <c r="AD472" s="255" t="str">
        <f>IF(ISNUMBER(SEARCH("R", 'Dry_Litterbag Placem_Collection'!U179)),"YES","NO")</f>
        <v>NO</v>
      </c>
    </row>
    <row r="473" spans="2:30">
      <c r="B473" t="str">
        <f>'Final data_for_R_analysis_Dryse'!A619</f>
        <v>Dry</v>
      </c>
      <c r="C473" s="263">
        <f>'Final data_for_R_analysis_Dryse'!B619</f>
        <v>178</v>
      </c>
      <c r="D473" t="s">
        <v>3854</v>
      </c>
      <c r="E473" t="s">
        <v>25</v>
      </c>
      <c r="F473" s="386">
        <v>2</v>
      </c>
      <c r="G473" s="16">
        <f>'Dry_Litterbag Placem_Collection'!E180</f>
        <v>42940</v>
      </c>
      <c r="H473" s="92" t="str">
        <f>'Final data_for_R_analysis_Dryse'!J619</f>
        <v>G410</v>
      </c>
      <c r="I473" t="str">
        <f>'Final data_for_R_analysis_Dryse'!J839</f>
        <v>R718</v>
      </c>
      <c r="J473">
        <f>IFERROR(INDEX('Green_rooibos initial weight'!$C$5:$C$1749,MATCH(H473, 'Green_rooibos initial weight'!$A$5:$A$1749,0)),"")</f>
        <v>2.1110000000000002</v>
      </c>
      <c r="K473">
        <f>IFERROR(INDEX('Green_rooibos initial weight'!$C$5:$C$1749,MATCH(I473, 'Green_rooibos initial weight'!$A$5:$A$1749,0)),"")</f>
        <v>2.2050000000000001</v>
      </c>
      <c r="L473" s="195">
        <f t="shared" si="57"/>
        <v>1.8612000000000002</v>
      </c>
      <c r="M473" s="195">
        <f t="shared" si="58"/>
        <v>1.9552</v>
      </c>
      <c r="N473" s="16">
        <f>IF('Dry_Litterbag Placem_Collection'!G180="N.A","",'Dry_Litterbag Placem_Collection'!G180)</f>
        <v>43009</v>
      </c>
      <c r="O473" s="195">
        <f>IF(IFERROR(INDEX('Both teabags AfterDry'!$D$1:$D$839,MATCH(H473,'Both teabags AfterDry'!$A$1:$A$839,0)),"")="N.A","",(IFERROR(INDEX('Both teabags AfterDry'!$D$1:$D$839,MATCH(H473,'Both teabags AfterDry'!$A$1:$A$839,0)),"")))</f>
        <v>0.71050000000000002</v>
      </c>
      <c r="P473" s="195">
        <f>IF(IFERROR(INDEX('Both teabags AfterDry'!$D$1:$D$839,MATCH(I473,'Both teabags AfterDry'!$A$1:$A$839,0)),"")="N.A","",(IFERROR(INDEX('Both teabags AfterDry'!$D$1:$D$839,MATCH(I473,'Both teabags AfterDry'!$A$1:$A$839,0)),"")))</f>
        <v>1.8359000000000001</v>
      </c>
      <c r="Q473" s="195">
        <f t="shared" si="59"/>
        <v>0.55990000000000006</v>
      </c>
      <c r="R473" s="195">
        <f t="shared" si="59"/>
        <v>1.6853</v>
      </c>
      <c r="S473" s="195">
        <f t="shared" si="54"/>
        <v>0.69917257683215128</v>
      </c>
      <c r="T473" s="195">
        <f t="shared" si="60"/>
        <v>0.45836491972844129</v>
      </c>
      <c r="U473" s="195">
        <f t="shared" si="55"/>
        <v>0.86195785597381336</v>
      </c>
      <c r="V473">
        <f t="shared" si="56"/>
        <v>69</v>
      </c>
      <c r="W473" s="195">
        <f t="shared" si="61"/>
        <v>0.16962876860789633</v>
      </c>
      <c r="X473" s="195">
        <f t="shared" si="62"/>
        <v>5.1932822222561011E-3</v>
      </c>
      <c r="Y473" s="255" t="str">
        <f>IF(ISNUMBER(SEARCH("C", 'Dry_Litterbag Placem_Collection'!V180)),"YES","NO")</f>
        <v>NO</v>
      </c>
      <c r="Z473" s="255" t="str">
        <f>IF(ISNUMBER(SEARCH("H", 'Dry_Litterbag Placem_Collection'!V180)),"YES","NO")</f>
        <v>NO</v>
      </c>
      <c r="AA473" s="255" t="str">
        <f>IF(ISNUMBER(SEARCH("R", 'Dry_Litterbag Placem_Collection'!V180)),"YES","NO")</f>
        <v>NO</v>
      </c>
      <c r="AB473" s="255" t="str">
        <f>IF(ISNUMBER(SEARCH("C", 'Dry_Litterbag Placem_Collection'!U180)),"YES","NO")</f>
        <v>NO</v>
      </c>
      <c r="AC473" s="255" t="str">
        <f>IF(ISNUMBER(SEARCH("H", 'Dry_Litterbag Placem_Collection'!U180)),"YES","NO")</f>
        <v>NO</v>
      </c>
      <c r="AD473" s="255" t="str">
        <f>IF(ISNUMBER(SEARCH("R", 'Dry_Litterbag Placem_Collection'!U180)),"YES","NO")</f>
        <v>NO</v>
      </c>
    </row>
    <row r="474" spans="2:30">
      <c r="B474" t="str">
        <f>'Final data_for_R_analysis_Dryse'!A620</f>
        <v>Dry</v>
      </c>
      <c r="C474" s="263">
        <f>'Final data_for_R_analysis_Dryse'!B620</f>
        <v>179</v>
      </c>
      <c r="D474" t="s">
        <v>3854</v>
      </c>
      <c r="E474" t="s">
        <v>25</v>
      </c>
      <c r="F474" s="386">
        <v>3</v>
      </c>
      <c r="G474" s="16">
        <f>'Dry_Litterbag Placem_Collection'!E181</f>
        <v>42940</v>
      </c>
      <c r="H474" s="92" t="str">
        <f>'Final data_for_R_analysis_Dryse'!J620</f>
        <v>G78</v>
      </c>
      <c r="I474" t="str">
        <f>'Final data_for_R_analysis_Dryse'!J840</f>
        <v>R640</v>
      </c>
      <c r="J474">
        <f>IFERROR(INDEX('Green_rooibos initial weight'!$C$5:$C$1749,MATCH(H474, 'Green_rooibos initial weight'!$A$5:$A$1749,0)),"")</f>
        <v>2.0379999999999998</v>
      </c>
      <c r="K474">
        <f>IFERROR(INDEX('Green_rooibos initial weight'!$C$5:$C$1749,MATCH(I474, 'Green_rooibos initial weight'!$A$5:$A$1749,0)),"")</f>
        <v>2.1019999999999999</v>
      </c>
      <c r="L474" s="195">
        <f t="shared" si="57"/>
        <v>1.7881999999999998</v>
      </c>
      <c r="M474" s="195">
        <f t="shared" si="58"/>
        <v>1.8521999999999998</v>
      </c>
      <c r="N474" s="16">
        <f>IF('Dry_Litterbag Placem_Collection'!G181="N.A","",'Dry_Litterbag Placem_Collection'!G181)</f>
        <v>43009</v>
      </c>
      <c r="O474" s="195">
        <f>IF(IFERROR(INDEX('Both teabags AfterDry'!$D$1:$D$839,MATCH(H474,'Both teabags AfterDry'!$A$1:$A$839,0)),"")="N.A","",(IFERROR(INDEX('Both teabags AfterDry'!$D$1:$D$839,MATCH(H474,'Both teabags AfterDry'!$A$1:$A$839,0)),"")))</f>
        <v>0.871</v>
      </c>
      <c r="P474" s="195">
        <f>IF(IFERROR(INDEX('Both teabags AfterDry'!$D$1:$D$839,MATCH(I474,'Both teabags AfterDry'!$A$1:$A$839,0)),"")="N.A","",(IFERROR(INDEX('Both teabags AfterDry'!$D$1:$D$839,MATCH(I474,'Both teabags AfterDry'!$A$1:$A$839,0)),"")))</f>
        <v>1.6580999999999999</v>
      </c>
      <c r="Q474" s="195">
        <f t="shared" si="59"/>
        <v>0.72039999999999993</v>
      </c>
      <c r="R474" s="195">
        <f t="shared" si="59"/>
        <v>1.5074999999999998</v>
      </c>
      <c r="S474" s="195">
        <f t="shared" si="54"/>
        <v>0.59713678559445249</v>
      </c>
      <c r="T474" s="195">
        <f t="shared" si="60"/>
        <v>0.39147209696928481</v>
      </c>
      <c r="U474" s="195">
        <f t="shared" si="55"/>
        <v>0.81389698736637506</v>
      </c>
      <c r="V474">
        <f t="shared" si="56"/>
        <v>69</v>
      </c>
      <c r="W474" s="195">
        <f t="shared" si="61"/>
        <v>0.29081141853390435</v>
      </c>
      <c r="X474" s="195">
        <f t="shared" si="62"/>
        <v>9.3493546238809459E-3</v>
      </c>
      <c r="Y474" s="255" t="str">
        <f>IF(ISNUMBER(SEARCH("C", 'Dry_Litterbag Placem_Collection'!V181)),"YES","NO")</f>
        <v>NO</v>
      </c>
      <c r="Z474" s="255" t="str">
        <f>IF(ISNUMBER(SEARCH("H", 'Dry_Litterbag Placem_Collection'!V181)),"YES","NO")</f>
        <v>NO</v>
      </c>
      <c r="AA474" s="255" t="str">
        <f>IF(ISNUMBER(SEARCH("R", 'Dry_Litterbag Placem_Collection'!V181)),"YES","NO")</f>
        <v>NO</v>
      </c>
      <c r="AB474" s="255" t="str">
        <f>IF(ISNUMBER(SEARCH("C", 'Dry_Litterbag Placem_Collection'!U181)),"YES","NO")</f>
        <v>NO</v>
      </c>
      <c r="AC474" s="255" t="str">
        <f>IF(ISNUMBER(SEARCH("H", 'Dry_Litterbag Placem_Collection'!U181)),"YES","NO")</f>
        <v>NO</v>
      </c>
      <c r="AD474" s="255" t="str">
        <f>IF(ISNUMBER(SEARCH("R", 'Dry_Litterbag Placem_Collection'!U181)),"YES","NO")</f>
        <v>YES</v>
      </c>
    </row>
    <row r="475" spans="2:30">
      <c r="B475" t="str">
        <f>'Final data_for_R_analysis_Dryse'!A621</f>
        <v>Dry</v>
      </c>
      <c r="C475" s="263">
        <f>'Final data_for_R_analysis_Dryse'!B621</f>
        <v>180</v>
      </c>
      <c r="D475" t="s">
        <v>3854</v>
      </c>
      <c r="E475" t="s">
        <v>25</v>
      </c>
      <c r="F475" s="387">
        <v>4</v>
      </c>
      <c r="G475" s="16">
        <f>'Dry_Litterbag Placem_Collection'!E182</f>
        <v>42940</v>
      </c>
      <c r="H475" s="92" t="str">
        <f>'Final data_for_R_analysis_Dryse'!J621</f>
        <v>G422</v>
      </c>
      <c r="I475" t="str">
        <f>'Final data_for_R_analysis_Dryse'!J841</f>
        <v>R669</v>
      </c>
      <c r="J475">
        <f>IFERROR(INDEX('Green_rooibos initial weight'!$C$5:$C$1749,MATCH(H475, 'Green_rooibos initial weight'!$A$5:$A$1749,0)),"")</f>
        <v>2.0049999999999999</v>
      </c>
      <c r="K475">
        <f>IFERROR(INDEX('Green_rooibos initial weight'!$C$5:$C$1749,MATCH(I475, 'Green_rooibos initial weight'!$A$5:$A$1749,0)),"")</f>
        <v>2.1480000000000001</v>
      </c>
      <c r="L475" s="195">
        <f t="shared" si="57"/>
        <v>1.7551999999999999</v>
      </c>
      <c r="M475" s="195">
        <f t="shared" si="58"/>
        <v>1.8982000000000001</v>
      </c>
      <c r="N475" s="16">
        <f>IF('Dry_Litterbag Placem_Collection'!G182="N.A","",'Dry_Litterbag Placem_Collection'!G182)</f>
        <v>43009</v>
      </c>
      <c r="O475" s="195">
        <f>IF(IFERROR(INDEX('Both teabags AfterDry'!$D$1:$D$839,MATCH(H475,'Both teabags AfterDry'!$A$1:$A$839,0)),"")="N.A","",(IFERROR(INDEX('Both teabags AfterDry'!$D$1:$D$839,MATCH(H475,'Both teabags AfterDry'!$A$1:$A$839,0)),"")))</f>
        <v>0.751</v>
      </c>
      <c r="P475" s="195">
        <f>IF(IFERROR(INDEX('Both teabags AfterDry'!$D$1:$D$839,MATCH(I475,'Both teabags AfterDry'!$A$1:$A$839,0)),"")="N.A","",(IFERROR(INDEX('Both teabags AfterDry'!$D$1:$D$839,MATCH(I475,'Both teabags AfterDry'!$A$1:$A$839,0)),"")))</f>
        <v>1.6716</v>
      </c>
      <c r="Q475" s="195">
        <f t="shared" si="59"/>
        <v>0.60040000000000004</v>
      </c>
      <c r="R475" s="195">
        <f t="shared" si="59"/>
        <v>1.5209999999999999</v>
      </c>
      <c r="S475" s="195">
        <f t="shared" si="54"/>
        <v>0.6579307201458523</v>
      </c>
      <c r="T475" s="195">
        <f t="shared" si="60"/>
        <v>0.43132750299348038</v>
      </c>
      <c r="U475" s="195">
        <f t="shared" si="55"/>
        <v>0.8012854283004951</v>
      </c>
      <c r="V475">
        <f t="shared" si="56"/>
        <v>69</v>
      </c>
      <c r="W475" s="195">
        <f t="shared" si="61"/>
        <v>0.2186095960263037</v>
      </c>
      <c r="X475" s="195">
        <f t="shared" si="62"/>
        <v>8.9491570462087167E-3</v>
      </c>
      <c r="Y475" s="255" t="str">
        <f>IF(ISNUMBER(SEARCH("C", 'Dry_Litterbag Placem_Collection'!V182)),"YES","NO")</f>
        <v>NO</v>
      </c>
      <c r="Z475" s="255" t="str">
        <f>IF(ISNUMBER(SEARCH("H", 'Dry_Litterbag Placem_Collection'!V182)),"YES","NO")</f>
        <v>NO</v>
      </c>
      <c r="AA475" s="255" t="str">
        <f>IF(ISNUMBER(SEARCH("R", 'Dry_Litterbag Placem_Collection'!V182)),"YES","NO")</f>
        <v>NO</v>
      </c>
      <c r="AB475" s="255" t="str">
        <f>IF(ISNUMBER(SEARCH("C", 'Dry_Litterbag Placem_Collection'!U182)),"YES","NO")</f>
        <v>NO</v>
      </c>
      <c r="AC475" s="255" t="str">
        <f>IF(ISNUMBER(SEARCH("H", 'Dry_Litterbag Placem_Collection'!U182)),"YES","NO")</f>
        <v>NO</v>
      </c>
      <c r="AD475" s="255" t="str">
        <f>IF(ISNUMBER(SEARCH("R", 'Dry_Litterbag Placem_Collection'!U182)),"YES","NO")</f>
        <v>YES</v>
      </c>
    </row>
    <row r="476" spans="2:30">
      <c r="B476" t="str">
        <f>'Final data_for_R_analysis_Dryse'!A622</f>
        <v>Dry</v>
      </c>
      <c r="C476" s="263">
        <f>'Final data_for_R_analysis_Dryse'!B622</f>
        <v>181</v>
      </c>
      <c r="D476" t="s">
        <v>3854</v>
      </c>
      <c r="E476" t="s">
        <v>25</v>
      </c>
      <c r="F476" s="387">
        <v>5</v>
      </c>
      <c r="G476" s="16">
        <f>'Dry_Litterbag Placem_Collection'!E183</f>
        <v>42940</v>
      </c>
      <c r="H476" s="92" t="str">
        <f>'Final data_for_R_analysis_Dryse'!J622</f>
        <v>G870</v>
      </c>
      <c r="I476" t="str">
        <f>'Final data_for_R_analysis_Dryse'!J842</f>
        <v>R170</v>
      </c>
      <c r="J476">
        <f>IFERROR(INDEX('Green_rooibos initial weight'!$C$5:$C$1749,MATCH(H476, 'Green_rooibos initial weight'!$A$5:$A$1749,0)),"")</f>
        <v>1.972</v>
      </c>
      <c r="K476">
        <f>IFERROR(INDEX('Green_rooibos initial weight'!$C$5:$C$1749,MATCH(I476, 'Green_rooibos initial weight'!$A$5:$A$1749,0)),"")</f>
        <v>2.1120000000000001</v>
      </c>
      <c r="L476" s="195">
        <f t="shared" si="57"/>
        <v>1.7222</v>
      </c>
      <c r="M476" s="195">
        <f t="shared" si="58"/>
        <v>1.8622000000000001</v>
      </c>
      <c r="N476" s="16">
        <f>IF('Dry_Litterbag Placem_Collection'!G183="N.A","",'Dry_Litterbag Placem_Collection'!G183)</f>
        <v>43009</v>
      </c>
      <c r="O476" s="195">
        <f>IF(IFERROR(INDEX('Both teabags AfterDry'!$D$1:$D$839,MATCH(H476,'Both teabags AfterDry'!$A$1:$A$839,0)),"")="N.A","",(IFERROR(INDEX('Both teabags AfterDry'!$D$1:$D$839,MATCH(H476,'Both teabags AfterDry'!$A$1:$A$839,0)),"")))</f>
        <v>0.75219999999999998</v>
      </c>
      <c r="P476" s="195">
        <f>IF(IFERROR(INDEX('Both teabags AfterDry'!$D$1:$D$839,MATCH(I476,'Both teabags AfterDry'!$A$1:$A$839,0)),"")="N.A","",(IFERROR(INDEX('Both teabags AfterDry'!$D$1:$D$839,MATCH(I476,'Both teabags AfterDry'!$A$1:$A$839,0)),"")))</f>
        <v>1.7410000000000001</v>
      </c>
      <c r="Q476" s="195">
        <f t="shared" si="59"/>
        <v>0.60159999999999991</v>
      </c>
      <c r="R476" s="195">
        <f t="shared" si="59"/>
        <v>1.5904</v>
      </c>
      <c r="S476" s="195">
        <f t="shared" si="54"/>
        <v>0.6506793636046917</v>
      </c>
      <c r="T476" s="195">
        <f t="shared" si="60"/>
        <v>0.42657364454844404</v>
      </c>
      <c r="U476" s="195">
        <f t="shared" si="55"/>
        <v>0.85404360433895388</v>
      </c>
      <c r="V476">
        <f t="shared" si="56"/>
        <v>69</v>
      </c>
      <c r="W476" s="195">
        <f t="shared" si="61"/>
        <v>0.22722165842673192</v>
      </c>
      <c r="X476" s="195">
        <f t="shared" si="62"/>
        <v>6.0694693719159816E-3</v>
      </c>
      <c r="Y476" s="255" t="str">
        <f>IF(ISNUMBER(SEARCH("C", 'Dry_Litterbag Placem_Collection'!V183)),"YES","NO")</f>
        <v>NO</v>
      </c>
      <c r="Z476" s="255" t="str">
        <f>IF(ISNUMBER(SEARCH("H", 'Dry_Litterbag Placem_Collection'!V183)),"YES","NO")</f>
        <v>NO</v>
      </c>
      <c r="AA476" s="255" t="str">
        <f>IF(ISNUMBER(SEARCH("R", 'Dry_Litterbag Placem_Collection'!V183)),"YES","NO")</f>
        <v>NO</v>
      </c>
      <c r="AB476" s="255" t="str">
        <f>IF(ISNUMBER(SEARCH("C", 'Dry_Litterbag Placem_Collection'!U183)),"YES","NO")</f>
        <v>NO</v>
      </c>
      <c r="AC476" s="255" t="str">
        <f>IF(ISNUMBER(SEARCH("H", 'Dry_Litterbag Placem_Collection'!U183)),"YES","NO")</f>
        <v>NO</v>
      </c>
      <c r="AD476" s="255" t="str">
        <f>IF(ISNUMBER(SEARCH("R", 'Dry_Litterbag Placem_Collection'!U183)),"YES","NO")</f>
        <v>NO</v>
      </c>
    </row>
    <row r="477" spans="2:30">
      <c r="B477" t="str">
        <f>'Final data_for_R_analysis_Dryse'!A623</f>
        <v>Dry</v>
      </c>
      <c r="C477" s="263">
        <f>'Final data_for_R_analysis_Dryse'!B623</f>
        <v>182</v>
      </c>
      <c r="D477" t="s">
        <v>3854</v>
      </c>
      <c r="E477" t="s">
        <v>25</v>
      </c>
      <c r="F477" s="387">
        <v>6</v>
      </c>
      <c r="G477" s="16">
        <f>'Dry_Litterbag Placem_Collection'!E184</f>
        <v>42940</v>
      </c>
      <c r="H477" s="92" t="str">
        <f>'Final data_for_R_analysis_Dryse'!J623</f>
        <v>G136</v>
      </c>
      <c r="I477" t="str">
        <f>'Final data_for_R_analysis_Dryse'!J843</f>
        <v>R697</v>
      </c>
      <c r="J477">
        <f>IFERROR(INDEX('Green_rooibos initial weight'!$C$5:$C$1749,MATCH(H477, 'Green_rooibos initial weight'!$A$5:$A$1749,0)),"")</f>
        <v>1.9430000000000001</v>
      </c>
      <c r="K477">
        <f>IFERROR(INDEX('Green_rooibos initial weight'!$C$5:$C$1749,MATCH(I477, 'Green_rooibos initial weight'!$A$5:$A$1749,0)),"")</f>
        <v>2.133</v>
      </c>
      <c r="L477" s="195">
        <f t="shared" si="57"/>
        <v>1.6932</v>
      </c>
      <c r="M477" s="195">
        <f t="shared" si="58"/>
        <v>1.8832</v>
      </c>
      <c r="N477" s="16">
        <f>IF('Dry_Litterbag Placem_Collection'!G184="N.A","",'Dry_Litterbag Placem_Collection'!G184)</f>
        <v>43009</v>
      </c>
      <c r="O477" s="195">
        <f>IF(IFERROR(INDEX('Both teabags AfterDry'!$D$1:$D$839,MATCH(H477,'Both teabags AfterDry'!$A$1:$A$839,0)),"")="N.A","",(IFERROR(INDEX('Both teabags AfterDry'!$D$1:$D$839,MATCH(H477,'Both teabags AfterDry'!$A$1:$A$839,0)),"")))</f>
        <v>0.71589999999999998</v>
      </c>
      <c r="P477" s="195">
        <f>IF(IFERROR(INDEX('Both teabags AfterDry'!$D$1:$D$839,MATCH(I477,'Both teabags AfterDry'!$A$1:$A$839,0)),"")="N.A","",(IFERROR(INDEX('Both teabags AfterDry'!$D$1:$D$839,MATCH(I477,'Both teabags AfterDry'!$A$1:$A$839,0)),"")))</f>
        <v>1.8089</v>
      </c>
      <c r="Q477" s="195">
        <f t="shared" si="59"/>
        <v>0.56529999999999991</v>
      </c>
      <c r="R477" s="195">
        <f t="shared" si="59"/>
        <v>1.6582999999999999</v>
      </c>
      <c r="S477" s="195">
        <f t="shared" si="54"/>
        <v>0.66613512875029535</v>
      </c>
      <c r="T477" s="195">
        <f t="shared" si="60"/>
        <v>0.43670616516646449</v>
      </c>
      <c r="U477" s="195">
        <f t="shared" si="55"/>
        <v>0.8805756159728122</v>
      </c>
      <c r="V477">
        <f t="shared" si="56"/>
        <v>69</v>
      </c>
      <c r="W477" s="195">
        <f t="shared" si="61"/>
        <v>0.20886564281437603</v>
      </c>
      <c r="X477" s="195">
        <f t="shared" si="62"/>
        <v>4.6300043403323552E-3</v>
      </c>
      <c r="Y477" s="255" t="str">
        <f>IF(ISNUMBER(SEARCH("C", 'Dry_Litterbag Placem_Collection'!V184)),"YES","NO")</f>
        <v>NO</v>
      </c>
      <c r="Z477" s="255" t="str">
        <f>IF(ISNUMBER(SEARCH("H", 'Dry_Litterbag Placem_Collection'!V184)),"YES","NO")</f>
        <v>NO</v>
      </c>
      <c r="AA477" s="255" t="str">
        <f>IF(ISNUMBER(SEARCH("R", 'Dry_Litterbag Placem_Collection'!V184)),"YES","NO")</f>
        <v>NO</v>
      </c>
      <c r="AB477" s="255" t="str">
        <f>IF(ISNUMBER(SEARCH("C", 'Dry_Litterbag Placem_Collection'!U184)),"YES","NO")</f>
        <v>NO</v>
      </c>
      <c r="AC477" s="255" t="str">
        <f>IF(ISNUMBER(SEARCH("H", 'Dry_Litterbag Placem_Collection'!U184)),"YES","NO")</f>
        <v>NO</v>
      </c>
      <c r="AD477" s="255" t="str">
        <f>IF(ISNUMBER(SEARCH("R", 'Dry_Litterbag Placem_Collection'!U184)),"YES","NO")</f>
        <v>YES</v>
      </c>
    </row>
    <row r="478" spans="2:30">
      <c r="B478" t="str">
        <f>'Final data_for_R_analysis_Dryse'!A624</f>
        <v>Dry</v>
      </c>
      <c r="C478" s="263">
        <f>'Final data_for_R_analysis_Dryse'!B624</f>
        <v>183</v>
      </c>
      <c r="D478" t="s">
        <v>3854</v>
      </c>
      <c r="E478" t="s">
        <v>25</v>
      </c>
      <c r="F478" s="387">
        <v>7</v>
      </c>
      <c r="G478" s="16">
        <f>'Dry_Litterbag Placem_Collection'!E185</f>
        <v>0</v>
      </c>
      <c r="H478" s="92" t="str">
        <f>'Final data_for_R_analysis_Dryse'!J624</f>
        <v/>
      </c>
      <c r="I478" t="str">
        <f>'Final data_for_R_analysis_Dryse'!J844</f>
        <v/>
      </c>
      <c r="J478" t="str">
        <f>IFERROR(INDEX('Green_rooibos initial weight'!$C$5:$C$1749,MATCH(H478, 'Green_rooibos initial weight'!$A$5:$A$1749,0)),"")</f>
        <v/>
      </c>
      <c r="K478" t="str">
        <f>IFERROR(INDEX('Green_rooibos initial weight'!$C$5:$C$1749,MATCH(I478, 'Green_rooibos initial weight'!$A$5:$A$1749,0)),"")</f>
        <v/>
      </c>
      <c r="L478" s="195" t="str">
        <f t="shared" si="57"/>
        <v/>
      </c>
      <c r="M478" s="195" t="str">
        <f t="shared" si="58"/>
        <v/>
      </c>
      <c r="N478" s="16">
        <f>IF('Dry_Litterbag Placem_Collection'!G185="N.A","",'Dry_Litterbag Placem_Collection'!G185)</f>
        <v>0</v>
      </c>
      <c r="O478" s="195" t="str">
        <f>IF(IFERROR(INDEX('Both teabags AfterDry'!$D$1:$D$839,MATCH(H478,'Both teabags AfterDry'!$A$1:$A$839,0)),"")="N.A","",(IFERROR(INDEX('Both teabags AfterDry'!$D$1:$D$839,MATCH(H478,'Both teabags AfterDry'!$A$1:$A$839,0)),"")))</f>
        <v/>
      </c>
      <c r="P478" s="195" t="str">
        <f>IF(IFERROR(INDEX('Both teabags AfterDry'!$D$1:$D$839,MATCH(I478,'Both teabags AfterDry'!$A$1:$A$839,0)),"")="N.A","",(IFERROR(INDEX('Both teabags AfterDry'!$D$1:$D$839,MATCH(I478,'Both teabags AfterDry'!$A$1:$A$839,0)),"")))</f>
        <v/>
      </c>
      <c r="Q478" s="195" t="str">
        <f t="shared" si="59"/>
        <v/>
      </c>
      <c r="R478" s="195" t="str">
        <f t="shared" si="59"/>
        <v/>
      </c>
      <c r="S478" s="195" t="str">
        <f t="shared" si="54"/>
        <v/>
      </c>
      <c r="T478" s="195" t="str">
        <f t="shared" si="60"/>
        <v/>
      </c>
      <c r="U478" s="195" t="str">
        <f t="shared" si="55"/>
        <v/>
      </c>
      <c r="V478" t="str">
        <f t="shared" si="56"/>
        <v/>
      </c>
      <c r="W478" s="195" t="str">
        <f t="shared" si="61"/>
        <v/>
      </c>
      <c r="X478" s="195" t="str">
        <f t="shared" si="62"/>
        <v/>
      </c>
      <c r="Y478" s="255" t="str">
        <f>IF(ISNUMBER(SEARCH("C", 'Dry_Litterbag Placem_Collection'!V185)),"YES","NO")</f>
        <v>NO</v>
      </c>
      <c r="Z478" s="255" t="str">
        <f>IF(ISNUMBER(SEARCH("H", 'Dry_Litterbag Placem_Collection'!V185)),"YES","NO")</f>
        <v>NO</v>
      </c>
      <c r="AA478" s="255" t="str">
        <f>IF(ISNUMBER(SEARCH("R", 'Dry_Litterbag Placem_Collection'!V185)),"YES","NO")</f>
        <v>NO</v>
      </c>
      <c r="AB478" s="255" t="str">
        <f>IF(ISNUMBER(SEARCH("C", 'Dry_Litterbag Placem_Collection'!U185)),"YES","NO")</f>
        <v>NO</v>
      </c>
      <c r="AC478" s="255" t="str">
        <f>IF(ISNUMBER(SEARCH("H", 'Dry_Litterbag Placem_Collection'!U185)),"YES","NO")</f>
        <v>NO</v>
      </c>
      <c r="AD478" s="255" t="str">
        <f>IF(ISNUMBER(SEARCH("R", 'Dry_Litterbag Placem_Collection'!U185)),"YES","NO")</f>
        <v>NO</v>
      </c>
    </row>
    <row r="479" spans="2:30">
      <c r="B479" t="str">
        <f>'Final data_for_R_analysis_Dryse'!A625</f>
        <v>Dry</v>
      </c>
      <c r="C479" s="263">
        <f>'Final data_for_R_analysis_Dryse'!B625</f>
        <v>184</v>
      </c>
      <c r="D479" t="s">
        <v>3854</v>
      </c>
      <c r="E479" t="s">
        <v>25</v>
      </c>
      <c r="F479" s="387">
        <v>8</v>
      </c>
      <c r="G479" s="16">
        <f>'Dry_Litterbag Placem_Collection'!E186</f>
        <v>42940</v>
      </c>
      <c r="H479" s="92" t="str">
        <f>'Final data_for_R_analysis_Dryse'!J625</f>
        <v>G266</v>
      </c>
      <c r="I479" t="str">
        <f>'Final data_for_R_analysis_Dryse'!J845</f>
        <v>R674</v>
      </c>
      <c r="J479">
        <f>IFERROR(INDEX('Green_rooibos initial weight'!$C$5:$C$1749,MATCH(H479, 'Green_rooibos initial weight'!$A$5:$A$1749,0)),"")</f>
        <v>1.9570000000000001</v>
      </c>
      <c r="K479">
        <f>IFERROR(INDEX('Green_rooibos initial weight'!$C$5:$C$1749,MATCH(I479, 'Green_rooibos initial weight'!$A$5:$A$1749,0)),"")</f>
        <v>2.1629999999999998</v>
      </c>
      <c r="L479" s="195">
        <f t="shared" si="57"/>
        <v>1.7072000000000001</v>
      </c>
      <c r="M479" s="195">
        <f t="shared" si="58"/>
        <v>1.9131999999999998</v>
      </c>
      <c r="N479" s="16">
        <f>IF('Dry_Litterbag Placem_Collection'!G186="N.A","",'Dry_Litterbag Placem_Collection'!G186)</f>
        <v>43009</v>
      </c>
      <c r="O479" s="195">
        <f>IF(IFERROR(INDEX('Both teabags AfterDry'!$D$1:$D$839,MATCH(H479,'Both teabags AfterDry'!$A$1:$A$839,0)),"")="N.A","",(IFERROR(INDEX('Both teabags AfterDry'!$D$1:$D$839,MATCH(H479,'Both teabags AfterDry'!$A$1:$A$839,0)),"")))</f>
        <v>0.69879999999999998</v>
      </c>
      <c r="P479" s="195">
        <f>IF(IFERROR(INDEX('Both teabags AfterDry'!$D$1:$D$839,MATCH(I479,'Both teabags AfterDry'!$A$1:$A$839,0)),"")="N.A","",(IFERROR(INDEX('Both teabags AfterDry'!$D$1:$D$839,MATCH(I479,'Both teabags AfterDry'!$A$1:$A$839,0)),"")))</f>
        <v>1.6498999999999999</v>
      </c>
      <c r="Q479" s="195">
        <f t="shared" si="59"/>
        <v>0.54820000000000002</v>
      </c>
      <c r="R479" s="195">
        <f t="shared" si="59"/>
        <v>1.4992999999999999</v>
      </c>
      <c r="S479" s="195">
        <f t="shared" si="54"/>
        <v>0.6788894095595126</v>
      </c>
      <c r="T479" s="195">
        <f t="shared" si="60"/>
        <v>0.44506764142143823</v>
      </c>
      <c r="U479" s="195">
        <f t="shared" si="55"/>
        <v>0.78366088229144892</v>
      </c>
      <c r="V479">
        <f t="shared" si="56"/>
        <v>69</v>
      </c>
      <c r="W479" s="195">
        <f t="shared" si="61"/>
        <v>0.19371804090319167</v>
      </c>
      <c r="X479" s="195">
        <f t="shared" si="62"/>
        <v>9.6476878183940837E-3</v>
      </c>
      <c r="Y479" s="255" t="str">
        <f>IF(ISNUMBER(SEARCH("C", 'Dry_Litterbag Placem_Collection'!V186)),"YES","NO")</f>
        <v>NO</v>
      </c>
      <c r="Z479" s="255" t="str">
        <f>IF(ISNUMBER(SEARCH("H", 'Dry_Litterbag Placem_Collection'!V186)),"YES","NO")</f>
        <v>NO</v>
      </c>
      <c r="AA479" s="255" t="str">
        <f>IF(ISNUMBER(SEARCH("R", 'Dry_Litterbag Placem_Collection'!V186)),"YES","NO")</f>
        <v>NO</v>
      </c>
      <c r="AB479" s="255" t="str">
        <f>IF(ISNUMBER(SEARCH("C", 'Dry_Litterbag Placem_Collection'!U186)),"YES","NO")</f>
        <v>NO</v>
      </c>
      <c r="AC479" s="255" t="str">
        <f>IF(ISNUMBER(SEARCH("H", 'Dry_Litterbag Placem_Collection'!U186)),"YES","NO")</f>
        <v>NO</v>
      </c>
      <c r="AD479" s="255" t="str">
        <f>IF(ISNUMBER(SEARCH("R", 'Dry_Litterbag Placem_Collection'!U186)),"YES","NO")</f>
        <v>YES</v>
      </c>
    </row>
    <row r="480" spans="2:30">
      <c r="B480" t="str">
        <f>'Final data_for_R_analysis_Dryse'!A626</f>
        <v>Dry</v>
      </c>
      <c r="C480" s="263">
        <f>'Final data_for_R_analysis_Dryse'!B626</f>
        <v>185</v>
      </c>
      <c r="D480" t="s">
        <v>3855</v>
      </c>
      <c r="E480" t="s">
        <v>25</v>
      </c>
      <c r="F480" s="386">
        <v>1</v>
      </c>
      <c r="G480" s="16">
        <f>'Dry_Litterbag Placem_Collection'!E187</f>
        <v>42940</v>
      </c>
      <c r="H480" s="92" t="str">
        <f>'Final data_for_R_analysis_Dryse'!J626</f>
        <v>G165</v>
      </c>
      <c r="I480" t="str">
        <f>'Final data_for_R_analysis_Dryse'!J846</f>
        <v>R607</v>
      </c>
      <c r="J480">
        <f>IFERROR(INDEX('Green_rooibos initial weight'!$C$5:$C$1749,MATCH(H480, 'Green_rooibos initial weight'!$A$5:$A$1749,0)),"")</f>
        <v>2.0089999999999999</v>
      </c>
      <c r="K480">
        <f>IFERROR(INDEX('Green_rooibos initial weight'!$C$5:$C$1749,MATCH(I480, 'Green_rooibos initial weight'!$A$5:$A$1749,0)),"")</f>
        <v>2.14</v>
      </c>
      <c r="L480" s="195">
        <f t="shared" si="57"/>
        <v>1.7591999999999999</v>
      </c>
      <c r="M480" s="195">
        <f t="shared" si="58"/>
        <v>1.8902000000000001</v>
      </c>
      <c r="N480" s="16">
        <f>IF('Dry_Litterbag Placem_Collection'!G187="N.A","",'Dry_Litterbag Placem_Collection'!G187)</f>
        <v>43009</v>
      </c>
      <c r="O480" s="195" t="str">
        <f>IF(IFERROR(INDEX('Both teabags AfterDry'!$D$1:$D$839,MATCH(H480,'Both teabags AfterDry'!$A$1:$A$839,0)),"")="N.A","",(IFERROR(INDEX('Both teabags AfterDry'!$D$1:$D$839,MATCH(H480,'Both teabags AfterDry'!$A$1:$A$839,0)),"")))</f>
        <v/>
      </c>
      <c r="P480" s="195" t="str">
        <f>IF(IFERROR(INDEX('Both teabags AfterDry'!$D$1:$D$839,MATCH(I480,'Both teabags AfterDry'!$A$1:$A$839,0)),"")="N.A","",(IFERROR(INDEX('Both teabags AfterDry'!$D$1:$D$839,MATCH(I480,'Both teabags AfterDry'!$A$1:$A$839,0)),"")))</f>
        <v/>
      </c>
      <c r="Q480" s="195" t="str">
        <f t="shared" si="59"/>
        <v/>
      </c>
      <c r="R480" s="195" t="str">
        <f t="shared" si="59"/>
        <v/>
      </c>
      <c r="S480" s="195" t="str">
        <f t="shared" si="54"/>
        <v/>
      </c>
      <c r="T480" s="195" t="str">
        <f t="shared" si="60"/>
        <v/>
      </c>
      <c r="U480" s="195" t="str">
        <f t="shared" si="55"/>
        <v/>
      </c>
      <c r="V480">
        <f t="shared" si="56"/>
        <v>69</v>
      </c>
      <c r="W480" s="195" t="str">
        <f t="shared" si="61"/>
        <v/>
      </c>
      <c r="X480" s="195" t="str">
        <f t="shared" si="62"/>
        <v/>
      </c>
      <c r="Y480" s="255" t="str">
        <f>IF(ISNUMBER(SEARCH("C", 'Dry_Litterbag Placem_Collection'!V187)),"YES","NO")</f>
        <v>NO</v>
      </c>
      <c r="Z480" s="255" t="str">
        <f>IF(ISNUMBER(SEARCH("H", 'Dry_Litterbag Placem_Collection'!V187)),"YES","NO")</f>
        <v>NO</v>
      </c>
      <c r="AA480" s="255" t="str">
        <f>IF(ISNUMBER(SEARCH("R", 'Dry_Litterbag Placem_Collection'!V187)),"YES","NO")</f>
        <v>NO</v>
      </c>
      <c r="AB480" s="255" t="str">
        <f>IF(ISNUMBER(SEARCH("C", 'Dry_Litterbag Placem_Collection'!U187)),"YES","NO")</f>
        <v>NO</v>
      </c>
      <c r="AC480" s="255" t="str">
        <f>IF(ISNUMBER(SEARCH("H", 'Dry_Litterbag Placem_Collection'!U187)),"YES","NO")</f>
        <v>NO</v>
      </c>
      <c r="AD480" s="255" t="str">
        <f>IF(ISNUMBER(SEARCH("R", 'Dry_Litterbag Placem_Collection'!U187)),"YES","NO")</f>
        <v>YES</v>
      </c>
    </row>
    <row r="481" spans="2:30">
      <c r="B481" t="str">
        <f>'Final data_for_R_analysis_Dryse'!A627</f>
        <v>Dry</v>
      </c>
      <c r="C481" s="263">
        <f>'Final data_for_R_analysis_Dryse'!B627</f>
        <v>186</v>
      </c>
      <c r="D481" t="s">
        <v>3855</v>
      </c>
      <c r="E481" t="s">
        <v>25</v>
      </c>
      <c r="F481" s="386">
        <v>2</v>
      </c>
      <c r="G481" s="16">
        <f>'Dry_Litterbag Placem_Collection'!E188</f>
        <v>42940</v>
      </c>
      <c r="H481" s="92" t="str">
        <f>'Final data_for_R_analysis_Dryse'!J627</f>
        <v>G22</v>
      </c>
      <c r="I481" t="str">
        <f>'Final data_for_R_analysis_Dryse'!J847</f>
        <v>R629</v>
      </c>
      <c r="J481">
        <f>IFERROR(INDEX('Green_rooibos initial weight'!$C$5:$C$1749,MATCH(H481, 'Green_rooibos initial weight'!$A$5:$A$1749,0)),"")</f>
        <v>2.1</v>
      </c>
      <c r="K481">
        <f>IFERROR(INDEX('Green_rooibos initial weight'!$C$5:$C$1749,MATCH(I481, 'Green_rooibos initial weight'!$A$5:$A$1749,0)),"")</f>
        <v>2.1669999999999998</v>
      </c>
      <c r="L481" s="195">
        <f t="shared" si="57"/>
        <v>1.8502000000000001</v>
      </c>
      <c r="M481" s="195">
        <f t="shared" si="58"/>
        <v>1.9171999999999998</v>
      </c>
      <c r="N481" s="16">
        <f>IF('Dry_Litterbag Placem_Collection'!G188="N.A","",'Dry_Litterbag Placem_Collection'!G188)</f>
        <v>43009</v>
      </c>
      <c r="O481" s="195">
        <f>IF(IFERROR(INDEX('Both teabags AfterDry'!$D$1:$D$839,MATCH(H481,'Both teabags AfterDry'!$A$1:$A$839,0)),"")="N.A","",(IFERROR(INDEX('Both teabags AfterDry'!$D$1:$D$839,MATCH(H481,'Both teabags AfterDry'!$A$1:$A$839,0)),"")))</f>
        <v>0.7238</v>
      </c>
      <c r="P481" s="195">
        <f>IF(IFERROR(INDEX('Both teabags AfterDry'!$D$1:$D$839,MATCH(I481,'Both teabags AfterDry'!$A$1:$A$839,0)),"")="N.A","",(IFERROR(INDEX('Both teabags AfterDry'!$D$1:$D$839,MATCH(I481,'Both teabags AfterDry'!$A$1:$A$839,0)),"")))</f>
        <v>1.8498000000000001</v>
      </c>
      <c r="Q481" s="195">
        <f t="shared" si="59"/>
        <v>0.57319999999999993</v>
      </c>
      <c r="R481" s="195">
        <f t="shared" si="59"/>
        <v>1.6992</v>
      </c>
      <c r="S481" s="195">
        <f t="shared" si="54"/>
        <v>0.69019565452383524</v>
      </c>
      <c r="T481" s="195">
        <f t="shared" si="60"/>
        <v>0.45247981151681366</v>
      </c>
      <c r="U481" s="195">
        <f t="shared" si="55"/>
        <v>0.88629250991028596</v>
      </c>
      <c r="V481">
        <f t="shared" si="56"/>
        <v>69</v>
      </c>
      <c r="W481" s="195">
        <f t="shared" si="61"/>
        <v>0.18029019652751155</v>
      </c>
      <c r="X481" s="195">
        <f t="shared" si="62"/>
        <v>4.1944185967748571E-3</v>
      </c>
      <c r="Y481" s="255" t="str">
        <f>IF(ISNUMBER(SEARCH("C", 'Dry_Litterbag Placem_Collection'!V188)),"YES","NO")</f>
        <v>NO</v>
      </c>
      <c r="Z481" s="255" t="str">
        <f>IF(ISNUMBER(SEARCH("H", 'Dry_Litterbag Placem_Collection'!V188)),"YES","NO")</f>
        <v>NO</v>
      </c>
      <c r="AA481" s="255" t="str">
        <f>IF(ISNUMBER(SEARCH("R", 'Dry_Litterbag Placem_Collection'!V188)),"YES","NO")</f>
        <v>NO</v>
      </c>
      <c r="AB481" s="255" t="str">
        <f>IF(ISNUMBER(SEARCH("C", 'Dry_Litterbag Placem_Collection'!U188)),"YES","NO")</f>
        <v>NO</v>
      </c>
      <c r="AC481" s="255" t="str">
        <f>IF(ISNUMBER(SEARCH("H", 'Dry_Litterbag Placem_Collection'!U188)),"YES","NO")</f>
        <v>NO</v>
      </c>
      <c r="AD481" s="255" t="str">
        <f>IF(ISNUMBER(SEARCH("R", 'Dry_Litterbag Placem_Collection'!U188)),"YES","NO")</f>
        <v>NO</v>
      </c>
    </row>
    <row r="482" spans="2:30">
      <c r="B482" t="str">
        <f>'Final data_for_R_analysis_Dryse'!A628</f>
        <v>Dry</v>
      </c>
      <c r="C482" s="263">
        <f>'Final data_for_R_analysis_Dryse'!B628</f>
        <v>187</v>
      </c>
      <c r="D482" t="s">
        <v>3855</v>
      </c>
      <c r="E482" t="s">
        <v>25</v>
      </c>
      <c r="F482" s="386">
        <v>3</v>
      </c>
      <c r="G482" s="16">
        <f>'Dry_Litterbag Placem_Collection'!E189</f>
        <v>42940</v>
      </c>
      <c r="H482" s="92" t="str">
        <f>'Final data_for_R_analysis_Dryse'!J628</f>
        <v>G371</v>
      </c>
      <c r="I482" t="str">
        <f>'Final data_for_R_analysis_Dryse'!J848</f>
        <v>R679</v>
      </c>
      <c r="J482">
        <f>IFERROR(INDEX('Green_rooibos initial weight'!$C$5:$C$1749,MATCH(H482, 'Green_rooibos initial weight'!$A$5:$A$1749,0)),"")</f>
        <v>2.06</v>
      </c>
      <c r="K482">
        <f>IFERROR(INDEX('Green_rooibos initial weight'!$C$5:$C$1749,MATCH(I482, 'Green_rooibos initial weight'!$A$5:$A$1749,0)),"")</f>
        <v>2.149</v>
      </c>
      <c r="L482" s="195">
        <f t="shared" si="57"/>
        <v>1.8102</v>
      </c>
      <c r="M482" s="195">
        <f t="shared" si="58"/>
        <v>1.8992</v>
      </c>
      <c r="N482" s="16">
        <f>IF('Dry_Litterbag Placem_Collection'!G189="N.A","",'Dry_Litterbag Placem_Collection'!G189)</f>
        <v>43009</v>
      </c>
      <c r="O482" s="195">
        <f>IF(IFERROR(INDEX('Both teabags AfterDry'!$D$1:$D$839,MATCH(H482,'Both teabags AfterDry'!$A$1:$A$839,0)),"")="N.A","",(IFERROR(INDEX('Both teabags AfterDry'!$D$1:$D$839,MATCH(H482,'Both teabags AfterDry'!$A$1:$A$839,0)),"")))</f>
        <v>0.81369999999999998</v>
      </c>
      <c r="P482" s="195">
        <f>IF(IFERROR(INDEX('Both teabags AfterDry'!$D$1:$D$839,MATCH(I482,'Both teabags AfterDry'!$A$1:$A$839,0)),"")="N.A","",(IFERROR(INDEX('Both teabags AfterDry'!$D$1:$D$839,MATCH(I482,'Both teabags AfterDry'!$A$1:$A$839,0)),"")))</f>
        <v>1.7021999999999999</v>
      </c>
      <c r="Q482" s="195">
        <f t="shared" si="59"/>
        <v>0.66310000000000002</v>
      </c>
      <c r="R482" s="195">
        <f t="shared" si="59"/>
        <v>1.5515999999999999</v>
      </c>
      <c r="S482" s="195">
        <f t="shared" si="54"/>
        <v>0.63368688542702456</v>
      </c>
      <c r="T482" s="195">
        <f t="shared" si="60"/>
        <v>0.41543368260774061</v>
      </c>
      <c r="U482" s="195">
        <f t="shared" si="55"/>
        <v>0.81697556866048859</v>
      </c>
      <c r="V482">
        <f t="shared" si="56"/>
        <v>69</v>
      </c>
      <c r="W482" s="195">
        <f t="shared" si="61"/>
        <v>0.2474027488990207</v>
      </c>
      <c r="X482" s="195">
        <f t="shared" si="62"/>
        <v>8.4177269739579494E-3</v>
      </c>
      <c r="Y482" s="255" t="str">
        <f>IF(ISNUMBER(SEARCH("C", 'Dry_Litterbag Placem_Collection'!V189)),"YES","NO")</f>
        <v>NO</v>
      </c>
      <c r="Z482" s="255" t="str">
        <f>IF(ISNUMBER(SEARCH("H", 'Dry_Litterbag Placem_Collection'!V189)),"YES","NO")</f>
        <v>NO</v>
      </c>
      <c r="AA482" s="255" t="str">
        <f>IF(ISNUMBER(SEARCH("R", 'Dry_Litterbag Placem_Collection'!V189)),"YES","NO")</f>
        <v>NO</v>
      </c>
      <c r="AB482" s="255" t="str">
        <f>IF(ISNUMBER(SEARCH("C", 'Dry_Litterbag Placem_Collection'!U189)),"YES","NO")</f>
        <v>NO</v>
      </c>
      <c r="AC482" s="255" t="str">
        <f>IF(ISNUMBER(SEARCH("H", 'Dry_Litterbag Placem_Collection'!U189)),"YES","NO")</f>
        <v>NO</v>
      </c>
      <c r="AD482" s="255" t="str">
        <f>IF(ISNUMBER(SEARCH("R", 'Dry_Litterbag Placem_Collection'!U189)),"YES","NO")</f>
        <v>NO</v>
      </c>
    </row>
    <row r="483" spans="2:30">
      <c r="B483" t="str">
        <f>'Final data_for_R_analysis_Dryse'!A629</f>
        <v>Dry</v>
      </c>
      <c r="C483" s="263">
        <f>'Final data_for_R_analysis_Dryse'!B629</f>
        <v>188</v>
      </c>
      <c r="D483" t="s">
        <v>3855</v>
      </c>
      <c r="E483" t="s">
        <v>25</v>
      </c>
      <c r="F483" s="387">
        <v>4</v>
      </c>
      <c r="G483" s="16">
        <f>'Dry_Litterbag Placem_Collection'!E190</f>
        <v>42940</v>
      </c>
      <c r="H483" s="92" t="str">
        <f>'Final data_for_R_analysis_Dryse'!J629</f>
        <v>G185</v>
      </c>
      <c r="I483" t="str">
        <f>'Final data_for_R_analysis_Dryse'!J849</f>
        <v>R682</v>
      </c>
      <c r="J483">
        <f>IFERROR(INDEX('Green_rooibos initial weight'!$C$5:$C$1749,MATCH(H483, 'Green_rooibos initial weight'!$A$5:$A$1749,0)),"")</f>
        <v>2.13</v>
      </c>
      <c r="K483">
        <f>IFERROR(INDEX('Green_rooibos initial weight'!$C$5:$C$1749,MATCH(I483, 'Green_rooibos initial weight'!$A$5:$A$1749,0)),"")</f>
        <v>2.1720000000000002</v>
      </c>
      <c r="L483" s="195">
        <f t="shared" si="57"/>
        <v>1.8801999999999999</v>
      </c>
      <c r="M483" s="195">
        <f t="shared" si="58"/>
        <v>1.9222000000000001</v>
      </c>
      <c r="N483" s="16">
        <f>IF('Dry_Litterbag Placem_Collection'!G190="N.A","",'Dry_Litterbag Placem_Collection'!G190)</f>
        <v>43009</v>
      </c>
      <c r="O483" s="195">
        <f>IF(IFERROR(INDEX('Both teabags AfterDry'!$D$1:$D$839,MATCH(H483,'Both teabags AfterDry'!$A$1:$A$839,0)),"")="N.A","",(IFERROR(INDEX('Both teabags AfterDry'!$D$1:$D$839,MATCH(H483,'Both teabags AfterDry'!$A$1:$A$839,0)),"")))</f>
        <v>0.74670000000000003</v>
      </c>
      <c r="P483" s="195">
        <f>IF(IFERROR(INDEX('Both teabags AfterDry'!$D$1:$D$839,MATCH(I483,'Both teabags AfterDry'!$A$1:$A$839,0)),"")="N.A","",(IFERROR(INDEX('Both teabags AfterDry'!$D$1:$D$839,MATCH(I483,'Both teabags AfterDry'!$A$1:$A$839,0)),"")))</f>
        <v>1.7353000000000001</v>
      </c>
      <c r="Q483" s="195">
        <f t="shared" si="59"/>
        <v>0.59610000000000007</v>
      </c>
      <c r="R483" s="195">
        <f t="shared" si="59"/>
        <v>1.5847</v>
      </c>
      <c r="S483" s="195">
        <f t="shared" si="54"/>
        <v>0.68295925965322835</v>
      </c>
      <c r="T483" s="195">
        <f t="shared" si="60"/>
        <v>0.44773576167290036</v>
      </c>
      <c r="U483" s="195">
        <f t="shared" si="55"/>
        <v>0.82441993549058368</v>
      </c>
      <c r="V483">
        <f t="shared" si="56"/>
        <v>69</v>
      </c>
      <c r="W483" s="195">
        <f t="shared" si="61"/>
        <v>0.18888448972300664</v>
      </c>
      <c r="X483" s="195">
        <f t="shared" si="62"/>
        <v>7.2149119150584917E-3</v>
      </c>
      <c r="Y483" s="255" t="str">
        <f>IF(ISNUMBER(SEARCH("C", 'Dry_Litterbag Placem_Collection'!V190)),"YES","NO")</f>
        <v>NO</v>
      </c>
      <c r="Z483" s="255" t="str">
        <f>IF(ISNUMBER(SEARCH("H", 'Dry_Litterbag Placem_Collection'!V190)),"YES","NO")</f>
        <v>NO</v>
      </c>
      <c r="AA483" s="255" t="str">
        <f>IF(ISNUMBER(SEARCH("R", 'Dry_Litterbag Placem_Collection'!V190)),"YES","NO")</f>
        <v>NO</v>
      </c>
      <c r="AB483" s="255" t="str">
        <f>IF(ISNUMBER(SEARCH("C", 'Dry_Litterbag Placem_Collection'!U190)),"YES","NO")</f>
        <v>NO</v>
      </c>
      <c r="AC483" s="255" t="str">
        <f>IF(ISNUMBER(SEARCH("H", 'Dry_Litterbag Placem_Collection'!U190)),"YES","NO")</f>
        <v>NO</v>
      </c>
      <c r="AD483" s="255" t="str">
        <f>IF(ISNUMBER(SEARCH("R", 'Dry_Litterbag Placem_Collection'!U190)),"YES","NO")</f>
        <v>NO</v>
      </c>
    </row>
    <row r="484" spans="2:30">
      <c r="B484" t="str">
        <f>'Final data_for_R_analysis_Dryse'!A630</f>
        <v>Dry</v>
      </c>
      <c r="C484" s="263">
        <f>'Final data_for_R_analysis_Dryse'!B630</f>
        <v>189</v>
      </c>
      <c r="D484" t="s">
        <v>3855</v>
      </c>
      <c r="E484" t="s">
        <v>25</v>
      </c>
      <c r="F484" s="387">
        <v>5</v>
      </c>
      <c r="G484" s="16">
        <f>'Dry_Litterbag Placem_Collection'!E191</f>
        <v>42940</v>
      </c>
      <c r="H484" s="92" t="str">
        <f>'Final data_for_R_analysis_Dryse'!J630</f>
        <v>G301</v>
      </c>
      <c r="I484" t="str">
        <f>'Final data_for_R_analysis_Dryse'!J850</f>
        <v>R693</v>
      </c>
      <c r="J484">
        <f>IFERROR(INDEX('Green_rooibos initial weight'!$C$5:$C$1749,MATCH(H484, 'Green_rooibos initial weight'!$A$5:$A$1749,0)),"")</f>
        <v>1.9379999999999999</v>
      </c>
      <c r="K484">
        <f>IFERROR(INDEX('Green_rooibos initial weight'!$C$5:$C$1749,MATCH(I484, 'Green_rooibos initial weight'!$A$5:$A$1749,0)),"")</f>
        <v>2.1789999999999998</v>
      </c>
      <c r="L484" s="195">
        <f t="shared" si="57"/>
        <v>1.6881999999999999</v>
      </c>
      <c r="M484" s="195">
        <f t="shared" si="58"/>
        <v>1.9291999999999998</v>
      </c>
      <c r="N484" s="16">
        <f>IF('Dry_Litterbag Placem_Collection'!G191="N.A","",'Dry_Litterbag Placem_Collection'!G191)</f>
        <v>43009</v>
      </c>
      <c r="O484" s="195">
        <f>IF(IFERROR(INDEX('Both teabags AfterDry'!$D$1:$D$839,MATCH(H484,'Both teabags AfterDry'!$A$1:$A$839,0)),"")="N.A","",(IFERROR(INDEX('Both teabags AfterDry'!$D$1:$D$839,MATCH(H484,'Both teabags AfterDry'!$A$1:$A$839,0)),"")))</f>
        <v>0.66849999999999998</v>
      </c>
      <c r="P484" s="195">
        <f>IF(IFERROR(INDEX('Both teabags AfterDry'!$D$1:$D$839,MATCH(I484,'Both teabags AfterDry'!$A$1:$A$839,0)),"")="N.A","",(IFERROR(INDEX('Both teabags AfterDry'!$D$1:$D$839,MATCH(I484,'Both teabags AfterDry'!$A$1:$A$839,0)),"")))</f>
        <v>1.919</v>
      </c>
      <c r="Q484" s="195">
        <f t="shared" si="59"/>
        <v>0.51790000000000003</v>
      </c>
      <c r="R484" s="195">
        <f t="shared" si="59"/>
        <v>1.7684</v>
      </c>
      <c r="S484" s="195">
        <f t="shared" si="54"/>
        <v>0.69322355171188244</v>
      </c>
      <c r="T484" s="195">
        <f t="shared" si="60"/>
        <v>0.45446484625292061</v>
      </c>
      <c r="U484" s="195">
        <f t="shared" si="55"/>
        <v>0.91664938834750165</v>
      </c>
      <c r="V484">
        <f t="shared" si="56"/>
        <v>69</v>
      </c>
      <c r="W484" s="195">
        <f t="shared" si="61"/>
        <v>0.17669411910702792</v>
      </c>
      <c r="X484" s="195">
        <f t="shared" si="62"/>
        <v>2.9363860791439848E-3</v>
      </c>
      <c r="Y484" s="255" t="str">
        <f>IF(ISNUMBER(SEARCH("C", 'Dry_Litterbag Placem_Collection'!V191)),"YES","NO")</f>
        <v>NO</v>
      </c>
      <c r="Z484" s="255" t="str">
        <f>IF(ISNUMBER(SEARCH("H", 'Dry_Litterbag Placem_Collection'!V191)),"YES","NO")</f>
        <v>NO</v>
      </c>
      <c r="AA484" s="255" t="str">
        <f>IF(ISNUMBER(SEARCH("R", 'Dry_Litterbag Placem_Collection'!V191)),"YES","NO")</f>
        <v>NO</v>
      </c>
      <c r="AB484" s="255" t="str">
        <f>IF(ISNUMBER(SEARCH("C", 'Dry_Litterbag Placem_Collection'!U191)),"YES","NO")</f>
        <v>NO</v>
      </c>
      <c r="AC484" s="255" t="str">
        <f>IF(ISNUMBER(SEARCH("H", 'Dry_Litterbag Placem_Collection'!U191)),"YES","NO")</f>
        <v>NO</v>
      </c>
      <c r="AD484" s="255" t="str">
        <f>IF(ISNUMBER(SEARCH("R", 'Dry_Litterbag Placem_Collection'!U191)),"YES","NO")</f>
        <v>YES</v>
      </c>
    </row>
    <row r="485" spans="2:30">
      <c r="B485" t="str">
        <f>'Final data_for_R_analysis_Dryse'!A631</f>
        <v>Dry</v>
      </c>
      <c r="C485" s="263">
        <f>'Final data_for_R_analysis_Dryse'!B631</f>
        <v>190</v>
      </c>
      <c r="D485" t="s">
        <v>3855</v>
      </c>
      <c r="E485" t="s">
        <v>25</v>
      </c>
      <c r="F485" s="387">
        <v>6</v>
      </c>
      <c r="G485" s="16">
        <f>'Dry_Litterbag Placem_Collection'!E192</f>
        <v>42940</v>
      </c>
      <c r="H485" s="92" t="str">
        <f>'Final data_for_R_analysis_Dryse'!J631</f>
        <v>G466</v>
      </c>
      <c r="I485" t="str">
        <f>'Final data_for_R_analysis_Dryse'!J851</f>
        <v>R605</v>
      </c>
      <c r="J485">
        <f>IFERROR(INDEX('Green_rooibos initial weight'!$C$5:$C$1749,MATCH(H485, 'Green_rooibos initial weight'!$A$5:$A$1749,0)),"")</f>
        <v>1.9319999999999999</v>
      </c>
      <c r="K485">
        <f>IFERROR(INDEX('Green_rooibos initial weight'!$C$5:$C$1749,MATCH(I485, 'Green_rooibos initial weight'!$A$5:$A$1749,0)),"")</f>
        <v>2.165</v>
      </c>
      <c r="L485" s="195">
        <f t="shared" si="57"/>
        <v>1.6821999999999999</v>
      </c>
      <c r="M485" s="195">
        <f t="shared" si="58"/>
        <v>1.9152</v>
      </c>
      <c r="N485" s="16">
        <f>IF('Dry_Litterbag Placem_Collection'!G192="N.A","",'Dry_Litterbag Placem_Collection'!G192)</f>
        <v>43009</v>
      </c>
      <c r="O485" s="195">
        <f>IF(IFERROR(INDEX('Both teabags AfterDry'!$D$1:$D$839,MATCH(H485,'Both teabags AfterDry'!$A$1:$A$839,0)),"")="N.A","",(IFERROR(INDEX('Both teabags AfterDry'!$D$1:$D$839,MATCH(H485,'Both teabags AfterDry'!$A$1:$A$839,0)),"")))</f>
        <v>0.81599999999999995</v>
      </c>
      <c r="P485" s="195">
        <f>IF(IFERROR(INDEX('Both teabags AfterDry'!$D$1:$D$839,MATCH(I485,'Both teabags AfterDry'!$A$1:$A$839,0)),"")="N.A","",(IFERROR(INDEX('Both teabags AfterDry'!$D$1:$D$839,MATCH(I485,'Both teabags AfterDry'!$A$1:$A$839,0)),"")))</f>
        <v>1.8051999999999999</v>
      </c>
      <c r="Q485" s="195">
        <f t="shared" si="59"/>
        <v>0.66539999999999999</v>
      </c>
      <c r="R485" s="195">
        <f t="shared" si="59"/>
        <v>1.6545999999999998</v>
      </c>
      <c r="S485" s="195">
        <f t="shared" si="54"/>
        <v>0.6044465580787064</v>
      </c>
      <c r="T485" s="195">
        <f t="shared" si="60"/>
        <v>0.39626425185207359</v>
      </c>
      <c r="U485" s="195">
        <f t="shared" si="55"/>
        <v>0.86393065998329144</v>
      </c>
      <c r="V485">
        <f t="shared" si="56"/>
        <v>69</v>
      </c>
      <c r="W485" s="195">
        <f t="shared" si="61"/>
        <v>0.28212997852885224</v>
      </c>
      <c r="X485" s="195">
        <f t="shared" si="62"/>
        <v>6.096380873890089E-3</v>
      </c>
      <c r="Y485" s="255" t="str">
        <f>IF(ISNUMBER(SEARCH("C", 'Dry_Litterbag Placem_Collection'!V192)),"YES","NO")</f>
        <v>NO</v>
      </c>
      <c r="Z485" s="255" t="str">
        <f>IF(ISNUMBER(SEARCH("H", 'Dry_Litterbag Placem_Collection'!V192)),"YES","NO")</f>
        <v>NO</v>
      </c>
      <c r="AA485" s="255" t="str">
        <f>IF(ISNUMBER(SEARCH("R", 'Dry_Litterbag Placem_Collection'!V192)),"YES","NO")</f>
        <v>NO</v>
      </c>
      <c r="AB485" s="255" t="str">
        <f>IF(ISNUMBER(SEARCH("C", 'Dry_Litterbag Placem_Collection'!U192)),"YES","NO")</f>
        <v>NO</v>
      </c>
      <c r="AC485" s="255" t="str">
        <f>IF(ISNUMBER(SEARCH("H", 'Dry_Litterbag Placem_Collection'!U192)),"YES","NO")</f>
        <v>NO</v>
      </c>
      <c r="AD485" s="255" t="str">
        <f>IF(ISNUMBER(SEARCH("R", 'Dry_Litterbag Placem_Collection'!U192)),"YES","NO")</f>
        <v>NO</v>
      </c>
    </row>
    <row r="486" spans="2:30">
      <c r="B486" t="str">
        <f>'Final data_for_R_analysis_Dryse'!A632</f>
        <v>Dry</v>
      </c>
      <c r="C486" s="263">
        <f>'Final data_for_R_analysis_Dryse'!B632</f>
        <v>191</v>
      </c>
      <c r="D486" t="s">
        <v>3855</v>
      </c>
      <c r="E486" t="s">
        <v>25</v>
      </c>
      <c r="F486" s="387">
        <v>7</v>
      </c>
      <c r="G486" s="16">
        <f>'Dry_Litterbag Placem_Collection'!E193</f>
        <v>42940</v>
      </c>
      <c r="H486" s="92" t="str">
        <f>'Final data_for_R_analysis_Dryse'!J632</f>
        <v>G32</v>
      </c>
      <c r="I486" t="str">
        <f>'Final data_for_R_analysis_Dryse'!J852</f>
        <v>R240</v>
      </c>
      <c r="J486">
        <f>IFERROR(INDEX('Green_rooibos initial weight'!$C$5:$C$1749,MATCH(H486, 'Green_rooibos initial weight'!$A$5:$A$1749,0)),"")</f>
        <v>2.0510000000000002</v>
      </c>
      <c r="K486">
        <f>IFERROR(INDEX('Green_rooibos initial weight'!$C$5:$C$1749,MATCH(I486, 'Green_rooibos initial weight'!$A$5:$A$1749,0)),"")</f>
        <v>2.1800000000000002</v>
      </c>
      <c r="L486" s="195">
        <f t="shared" si="57"/>
        <v>1.8012000000000001</v>
      </c>
      <c r="M486" s="195">
        <f t="shared" si="58"/>
        <v>1.9302000000000001</v>
      </c>
      <c r="N486" s="16">
        <f>IF('Dry_Litterbag Placem_Collection'!G193="N.A","",'Dry_Litterbag Placem_Collection'!G193)</f>
        <v>43009</v>
      </c>
      <c r="O486" s="195">
        <f>IF(IFERROR(INDEX('Both teabags AfterDry'!$D$1:$D$839,MATCH(H486,'Both teabags AfterDry'!$A$1:$A$839,0)),"")="N.A","",(IFERROR(INDEX('Both teabags AfterDry'!$D$1:$D$839,MATCH(H486,'Both teabags AfterDry'!$A$1:$A$839,0)),"")))</f>
        <v>0.77580000000000005</v>
      </c>
      <c r="P486" s="195">
        <f>IF(IFERROR(INDEX('Both teabags AfterDry'!$D$1:$D$839,MATCH(I486,'Both teabags AfterDry'!$A$1:$A$839,0)),"")="N.A","",(IFERROR(INDEX('Both teabags AfterDry'!$D$1:$D$839,MATCH(I486,'Both teabags AfterDry'!$A$1:$A$839,0)),"")))</f>
        <v>1.7597</v>
      </c>
      <c r="Q486" s="195">
        <f t="shared" si="59"/>
        <v>0.62519999999999998</v>
      </c>
      <c r="R486" s="195">
        <f t="shared" si="59"/>
        <v>1.6091</v>
      </c>
      <c r="S486" s="195">
        <f t="shared" si="54"/>
        <v>0.65289806795469696</v>
      </c>
      <c r="T486" s="195">
        <f t="shared" si="60"/>
        <v>0.42802818706768736</v>
      </c>
      <c r="U486" s="195">
        <f t="shared" si="55"/>
        <v>0.83364418195005696</v>
      </c>
      <c r="V486">
        <f t="shared" si="56"/>
        <v>69</v>
      </c>
      <c r="W486" s="195">
        <f t="shared" si="61"/>
        <v>0.22458661763100118</v>
      </c>
      <c r="X486" s="195">
        <f t="shared" si="62"/>
        <v>7.1318236195175855E-3</v>
      </c>
      <c r="Y486" s="255" t="str">
        <f>IF(ISNUMBER(SEARCH("C", 'Dry_Litterbag Placem_Collection'!V193)),"YES","NO")</f>
        <v>NO</v>
      </c>
      <c r="Z486" s="255" t="str">
        <f>IF(ISNUMBER(SEARCH("H", 'Dry_Litterbag Placem_Collection'!V193)),"YES","NO")</f>
        <v>NO</v>
      </c>
      <c r="AA486" s="255" t="str">
        <f>IF(ISNUMBER(SEARCH("R", 'Dry_Litterbag Placem_Collection'!V193)),"YES","NO")</f>
        <v>NO</v>
      </c>
      <c r="AB486" s="255" t="str">
        <f>IF(ISNUMBER(SEARCH("C", 'Dry_Litterbag Placem_Collection'!U193)),"YES","NO")</f>
        <v>NO</v>
      </c>
      <c r="AC486" s="255" t="str">
        <f>IF(ISNUMBER(SEARCH("H", 'Dry_Litterbag Placem_Collection'!U193)),"YES","NO")</f>
        <v>NO</v>
      </c>
      <c r="AD486" s="255" t="str">
        <f>IF(ISNUMBER(SEARCH("R", 'Dry_Litterbag Placem_Collection'!U193)),"YES","NO")</f>
        <v>NO</v>
      </c>
    </row>
    <row r="487" spans="2:30">
      <c r="B487" t="str">
        <f>'Final data_for_R_analysis_Dryse'!A633</f>
        <v>Dry</v>
      </c>
      <c r="C487" s="263">
        <f>'Final data_for_R_analysis_Dryse'!B633</f>
        <v>192</v>
      </c>
      <c r="D487" t="s">
        <v>3855</v>
      </c>
      <c r="E487" t="s">
        <v>25</v>
      </c>
      <c r="F487" s="387">
        <v>8</v>
      </c>
      <c r="G487" s="16">
        <f>'Dry_Litterbag Placem_Collection'!E194</f>
        <v>0</v>
      </c>
      <c r="H487" s="92" t="str">
        <f>'Final data_for_R_analysis_Dryse'!J633</f>
        <v/>
      </c>
      <c r="I487" t="str">
        <f>'Final data_for_R_analysis_Dryse'!J853</f>
        <v/>
      </c>
      <c r="J487" t="str">
        <f>IFERROR(INDEX('Green_rooibos initial weight'!$C$5:$C$1749,MATCH(H487, 'Green_rooibos initial weight'!$A$5:$A$1749,0)),"")</f>
        <v/>
      </c>
      <c r="K487" t="str">
        <f>IFERROR(INDEX('Green_rooibos initial weight'!$C$5:$C$1749,MATCH(I487, 'Green_rooibos initial weight'!$A$5:$A$1749,0)),"")</f>
        <v/>
      </c>
      <c r="L487" s="195" t="str">
        <f t="shared" si="57"/>
        <v/>
      </c>
      <c r="M487" s="195" t="str">
        <f t="shared" si="58"/>
        <v/>
      </c>
      <c r="N487" s="16">
        <f>IF('Dry_Litterbag Placem_Collection'!G194="N.A","",'Dry_Litterbag Placem_Collection'!G194)</f>
        <v>0</v>
      </c>
      <c r="O487" s="195" t="str">
        <f>IF(IFERROR(INDEX('Both teabags AfterDry'!$D$1:$D$839,MATCH(H487,'Both teabags AfterDry'!$A$1:$A$839,0)),"")="N.A","",(IFERROR(INDEX('Both teabags AfterDry'!$D$1:$D$839,MATCH(H487,'Both teabags AfterDry'!$A$1:$A$839,0)),"")))</f>
        <v/>
      </c>
      <c r="P487" s="195" t="str">
        <f>IF(IFERROR(INDEX('Both teabags AfterDry'!$D$1:$D$839,MATCH(I487,'Both teabags AfterDry'!$A$1:$A$839,0)),"")="N.A","",(IFERROR(INDEX('Both teabags AfterDry'!$D$1:$D$839,MATCH(I487,'Both teabags AfterDry'!$A$1:$A$839,0)),"")))</f>
        <v/>
      </c>
      <c r="Q487" s="195" t="str">
        <f t="shared" si="59"/>
        <v/>
      </c>
      <c r="R487" s="195" t="str">
        <f t="shared" si="59"/>
        <v/>
      </c>
      <c r="S487" s="195" t="str">
        <f t="shared" si="54"/>
        <v/>
      </c>
      <c r="T487" s="195" t="str">
        <f t="shared" si="60"/>
        <v/>
      </c>
      <c r="U487" s="195" t="str">
        <f t="shared" si="55"/>
        <v/>
      </c>
      <c r="V487" t="str">
        <f t="shared" si="56"/>
        <v/>
      </c>
      <c r="W487" s="195" t="str">
        <f t="shared" si="61"/>
        <v/>
      </c>
      <c r="X487" s="195" t="str">
        <f t="shared" si="62"/>
        <v/>
      </c>
      <c r="Y487" s="255" t="str">
        <f>IF(ISNUMBER(SEARCH("C", 'Dry_Litterbag Placem_Collection'!V194)),"YES","NO")</f>
        <v>NO</v>
      </c>
      <c r="Z487" s="255" t="str">
        <f>IF(ISNUMBER(SEARCH("H", 'Dry_Litterbag Placem_Collection'!V194)),"YES","NO")</f>
        <v>NO</v>
      </c>
      <c r="AA487" s="255" t="str">
        <f>IF(ISNUMBER(SEARCH("R", 'Dry_Litterbag Placem_Collection'!V194)),"YES","NO")</f>
        <v>NO</v>
      </c>
      <c r="AB487" s="255" t="str">
        <f>IF(ISNUMBER(SEARCH("C", 'Dry_Litterbag Placem_Collection'!U194)),"YES","NO")</f>
        <v>NO</v>
      </c>
      <c r="AC487" s="255" t="str">
        <f>IF(ISNUMBER(SEARCH("H", 'Dry_Litterbag Placem_Collection'!U194)),"YES","NO")</f>
        <v>NO</v>
      </c>
      <c r="AD487" s="255" t="str">
        <f>IF(ISNUMBER(SEARCH("R", 'Dry_Litterbag Placem_Collection'!U194)),"YES","NO")</f>
        <v>NO</v>
      </c>
    </row>
    <row r="488" spans="2:30">
      <c r="B488" t="str">
        <f>'Final data_for_R_analysis_Dryse'!A634</f>
        <v>Dry</v>
      </c>
      <c r="C488" s="263">
        <f>'Final data_for_R_analysis_Dryse'!B634</f>
        <v>193</v>
      </c>
      <c r="D488" t="s">
        <v>2445</v>
      </c>
      <c r="E488" t="s">
        <v>25</v>
      </c>
      <c r="F488" s="387">
        <v>1</v>
      </c>
      <c r="G488" s="16">
        <f>'Dry_Litterbag Placem_Collection'!E195</f>
        <v>42942</v>
      </c>
      <c r="H488" s="92" t="str">
        <f>'Final data_for_R_analysis_Dryse'!J634</f>
        <v>G45</v>
      </c>
      <c r="I488" t="str">
        <f>'Final data_for_R_analysis_Dryse'!J854</f>
        <v>R623</v>
      </c>
      <c r="J488">
        <f>IFERROR(INDEX('Green_rooibos initial weight'!$C$5:$C$1749,MATCH(H488, 'Green_rooibos initial weight'!$A$5:$A$1749,0)),"")</f>
        <v>2.0779999999999998</v>
      </c>
      <c r="K488">
        <f>IFERROR(INDEX('Green_rooibos initial weight'!$C$5:$C$1749,MATCH(I488, 'Green_rooibos initial weight'!$A$5:$A$1749,0)),"")</f>
        <v>2.056</v>
      </c>
      <c r="L488" s="195">
        <f t="shared" si="57"/>
        <v>1.8281999999999998</v>
      </c>
      <c r="M488" s="195">
        <f t="shared" si="58"/>
        <v>1.8062</v>
      </c>
      <c r="N488" s="16">
        <f>IF('Dry_Litterbag Placem_Collection'!G195="N.A","",'Dry_Litterbag Placem_Collection'!G195)</f>
        <v>43004</v>
      </c>
      <c r="O488" s="195">
        <f>IF(IFERROR(INDEX('Both teabags AfterDry'!$D$1:$D$839,MATCH(H488,'Both teabags AfterDry'!$A$1:$A$839,0)),"")="N.A","",(IFERROR(INDEX('Both teabags AfterDry'!$D$1:$D$839,MATCH(H488,'Both teabags AfterDry'!$A$1:$A$839,0)),"")))</f>
        <v>0.82699999999999996</v>
      </c>
      <c r="P488" s="195">
        <f>IF(IFERROR(INDEX('Both teabags AfterDry'!$D$1:$D$839,MATCH(I488,'Both teabags AfterDry'!$A$1:$A$839,0)),"")="N.A","",(IFERROR(INDEX('Both teabags AfterDry'!$D$1:$D$839,MATCH(I488,'Both teabags AfterDry'!$A$1:$A$839,0)),"")))</f>
        <v>1.397</v>
      </c>
      <c r="Q488" s="195">
        <f t="shared" si="59"/>
        <v>0.67639999999999989</v>
      </c>
      <c r="R488" s="195">
        <f t="shared" si="59"/>
        <v>1.2464</v>
      </c>
      <c r="S488" s="195">
        <f t="shared" si="54"/>
        <v>0.6300185975276229</v>
      </c>
      <c r="T488" s="195">
        <f t="shared" si="60"/>
        <v>0.4130288192817671</v>
      </c>
      <c r="U488" s="195">
        <f t="shared" si="55"/>
        <v>0.69006754512235624</v>
      </c>
      <c r="V488">
        <f t="shared" si="56"/>
        <v>62</v>
      </c>
      <c r="W488" s="195">
        <f t="shared" si="61"/>
        <v>0.25175938535911768</v>
      </c>
      <c r="X488" s="195">
        <f t="shared" si="62"/>
        <v>2.2384729730325809E-2</v>
      </c>
      <c r="Y488" s="255" t="str">
        <f>IF(ISNUMBER(SEARCH("C", 'Dry_Litterbag Placem_Collection'!V195)),"YES","NO")</f>
        <v>NO</v>
      </c>
      <c r="Z488" s="255" t="str">
        <f>IF(ISNUMBER(SEARCH("H", 'Dry_Litterbag Placem_Collection'!V195)),"YES","NO")</f>
        <v>NO</v>
      </c>
      <c r="AA488" s="255" t="str">
        <f>IF(ISNUMBER(SEARCH("R", 'Dry_Litterbag Placem_Collection'!V195)),"YES","NO")</f>
        <v>NO</v>
      </c>
      <c r="AB488" s="255" t="str">
        <f>IF(ISNUMBER(SEARCH("C", 'Dry_Litterbag Placem_Collection'!U195)),"YES","NO")</f>
        <v>NO</v>
      </c>
      <c r="AC488" s="255" t="str">
        <f>IF(ISNUMBER(SEARCH("H", 'Dry_Litterbag Placem_Collection'!U195)),"YES","NO")</f>
        <v>NO</v>
      </c>
      <c r="AD488" s="255" t="str">
        <f>IF(ISNUMBER(SEARCH("R", 'Dry_Litterbag Placem_Collection'!U195)),"YES","NO")</f>
        <v>YES</v>
      </c>
    </row>
    <row r="489" spans="2:30">
      <c r="B489" t="str">
        <f>'Final data_for_R_analysis_Dryse'!A635</f>
        <v>Dry</v>
      </c>
      <c r="C489" s="263">
        <f>'Final data_for_R_analysis_Dryse'!B635</f>
        <v>194</v>
      </c>
      <c r="D489" t="s">
        <v>2438</v>
      </c>
      <c r="E489" t="s">
        <v>25</v>
      </c>
      <c r="F489" s="387">
        <v>2</v>
      </c>
      <c r="G489" s="16">
        <f>'Dry_Litterbag Placem_Collection'!E196</f>
        <v>42942</v>
      </c>
      <c r="H489" s="92" t="str">
        <f>'Final data_for_R_analysis_Dryse'!J635</f>
        <v>G90</v>
      </c>
      <c r="I489" t="str">
        <f>'Final data_for_R_analysis_Dryse'!J855</f>
        <v>R611</v>
      </c>
      <c r="J489">
        <f>IFERROR(INDEX('Green_rooibos initial weight'!$C$5:$C$1749,MATCH(H489, 'Green_rooibos initial weight'!$A$5:$A$1749,0)),"")</f>
        <v>2.0409999999999999</v>
      </c>
      <c r="K489">
        <f>IFERROR(INDEX('Green_rooibos initial weight'!$C$5:$C$1749,MATCH(I489, 'Green_rooibos initial weight'!$A$5:$A$1749,0)),"")</f>
        <v>2.157</v>
      </c>
      <c r="L489" s="195">
        <f t="shared" si="57"/>
        <v>1.7911999999999999</v>
      </c>
      <c r="M489" s="195">
        <f t="shared" si="58"/>
        <v>1.9072</v>
      </c>
      <c r="N489" s="16">
        <f>IF('Dry_Litterbag Placem_Collection'!G196="N.A","",'Dry_Litterbag Placem_Collection'!G196)</f>
        <v>43004</v>
      </c>
      <c r="O489" s="195">
        <f>IF(IFERROR(INDEX('Both teabags AfterDry'!$D$1:$D$839,MATCH(H489,'Both teabags AfterDry'!$A$1:$A$839,0)),"")="N.A","",(IFERROR(INDEX('Both teabags AfterDry'!$D$1:$D$839,MATCH(H489,'Both teabags AfterDry'!$A$1:$A$839,0)),"")))</f>
        <v>0.74199999999999999</v>
      </c>
      <c r="P489" s="195">
        <f>IF(IFERROR(INDEX('Both teabags AfterDry'!$D$1:$D$839,MATCH(I489,'Both teabags AfterDry'!$A$1:$A$839,0)),"")="N.A","",(IFERROR(INDEX('Both teabags AfterDry'!$D$1:$D$839,MATCH(I489,'Both teabags AfterDry'!$A$1:$A$839,0)),"")))</f>
        <v>1.593</v>
      </c>
      <c r="Q489" s="195">
        <f t="shared" si="59"/>
        <v>0.59139999999999993</v>
      </c>
      <c r="R489" s="195">
        <f t="shared" si="59"/>
        <v>1.4423999999999999</v>
      </c>
      <c r="S489" s="195">
        <f t="shared" si="54"/>
        <v>0.66983028137561407</v>
      </c>
      <c r="T489" s="195">
        <f t="shared" si="60"/>
        <v>0.4391286405217803</v>
      </c>
      <c r="U489" s="195">
        <f t="shared" si="55"/>
        <v>0.75629194630872476</v>
      </c>
      <c r="V489">
        <f t="shared" si="56"/>
        <v>62</v>
      </c>
      <c r="W489" s="195">
        <f t="shared" si="61"/>
        <v>0.20447710050402124</v>
      </c>
      <c r="X489" s="195">
        <f t="shared" si="62"/>
        <v>1.3058682411617516E-2</v>
      </c>
      <c r="Y489" s="255" t="str">
        <f>IF(ISNUMBER(SEARCH("C", 'Dry_Litterbag Placem_Collection'!V196)),"YES","NO")</f>
        <v>NO</v>
      </c>
      <c r="Z489" s="255" t="str">
        <f>IF(ISNUMBER(SEARCH("H", 'Dry_Litterbag Placem_Collection'!V196)),"YES","NO")</f>
        <v>NO</v>
      </c>
      <c r="AA489" s="255" t="str">
        <f>IF(ISNUMBER(SEARCH("R", 'Dry_Litterbag Placem_Collection'!V196)),"YES","NO")</f>
        <v>YES</v>
      </c>
      <c r="AB489" s="255" t="str">
        <f>IF(ISNUMBER(SEARCH("C", 'Dry_Litterbag Placem_Collection'!U196)),"YES","NO")</f>
        <v>NO</v>
      </c>
      <c r="AC489" s="255" t="str">
        <f>IF(ISNUMBER(SEARCH("H", 'Dry_Litterbag Placem_Collection'!U196)),"YES","NO")</f>
        <v>NO</v>
      </c>
      <c r="AD489" s="255" t="str">
        <f>IF(ISNUMBER(SEARCH("R", 'Dry_Litterbag Placem_Collection'!U196)),"YES","NO")</f>
        <v>YES</v>
      </c>
    </row>
    <row r="490" spans="2:30">
      <c r="B490" t="str">
        <f>'Final data_for_R_analysis_Dryse'!A636</f>
        <v>Dry</v>
      </c>
      <c r="C490" s="263">
        <f>'Final data_for_R_analysis_Dryse'!B636</f>
        <v>195</v>
      </c>
      <c r="D490" t="s">
        <v>2430</v>
      </c>
      <c r="E490" t="s">
        <v>25</v>
      </c>
      <c r="F490" s="387">
        <v>3</v>
      </c>
      <c r="G490" s="16">
        <f>'Dry_Litterbag Placem_Collection'!E197</f>
        <v>42942</v>
      </c>
      <c r="H490" s="92" t="str">
        <f>'Final data_for_R_analysis_Dryse'!J636</f>
        <v>G338</v>
      </c>
      <c r="I490" t="str">
        <f>'Final data_for_R_analysis_Dryse'!J856</f>
        <v>R645</v>
      </c>
      <c r="J490">
        <f>IFERROR(INDEX('Green_rooibos initial weight'!$C$5:$C$1749,MATCH(H490, 'Green_rooibos initial weight'!$A$5:$A$1749,0)),"")</f>
        <v>1.946</v>
      </c>
      <c r="K490">
        <f>IFERROR(INDEX('Green_rooibos initial weight'!$C$5:$C$1749,MATCH(I490, 'Green_rooibos initial weight'!$A$5:$A$1749,0)),"")</f>
        <v>2.2469999999999999</v>
      </c>
      <c r="L490" s="195">
        <f t="shared" si="57"/>
        <v>1.6961999999999999</v>
      </c>
      <c r="M490" s="195">
        <f t="shared" si="58"/>
        <v>1.9971999999999999</v>
      </c>
      <c r="N490" s="16">
        <f>IF('Dry_Litterbag Placem_Collection'!G197="N.A","",'Dry_Litterbag Placem_Collection'!G197)</f>
        <v>43004</v>
      </c>
      <c r="O490" s="195">
        <f>IF(IFERROR(INDEX('Both teabags AfterDry'!$D$1:$D$839,MATCH(H490,'Both teabags AfterDry'!$A$1:$A$839,0)),"")="N.A","",(IFERROR(INDEX('Both teabags AfterDry'!$D$1:$D$839,MATCH(H490,'Both teabags AfterDry'!$A$1:$A$839,0)),"")))</f>
        <v>0.83299999999999996</v>
      </c>
      <c r="P490" s="195">
        <f>IF(IFERROR(INDEX('Both teabags AfterDry'!$D$1:$D$839,MATCH(I490,'Both teabags AfterDry'!$A$1:$A$839,0)),"")="N.A","",(IFERROR(INDEX('Both teabags AfterDry'!$D$1:$D$839,MATCH(I490,'Both teabags AfterDry'!$A$1:$A$839,0)),"")))</f>
        <v>1.7509999999999999</v>
      </c>
      <c r="Q490" s="195">
        <f t="shared" si="59"/>
        <v>0.6823999999999999</v>
      </c>
      <c r="R490" s="195">
        <f t="shared" si="59"/>
        <v>1.6003999999999998</v>
      </c>
      <c r="S490" s="195">
        <f t="shared" si="54"/>
        <v>0.59768895177455494</v>
      </c>
      <c r="T490" s="195">
        <f t="shared" si="60"/>
        <v>0.39183408714911444</v>
      </c>
      <c r="U490" s="195">
        <f t="shared" si="55"/>
        <v>0.80132185059082717</v>
      </c>
      <c r="V490">
        <f t="shared" si="56"/>
        <v>62</v>
      </c>
      <c r="W490" s="195">
        <f t="shared" si="61"/>
        <v>0.29015563922261878</v>
      </c>
      <c r="X490" s="195">
        <f t="shared" si="62"/>
        <v>1.1408720530456258E-2</v>
      </c>
      <c r="Y490" s="255" t="str">
        <f>IF(ISNUMBER(SEARCH("C", 'Dry_Litterbag Placem_Collection'!V197)),"YES","NO")</f>
        <v>NO</v>
      </c>
      <c r="Z490" s="255" t="str">
        <f>IF(ISNUMBER(SEARCH("H", 'Dry_Litterbag Placem_Collection'!V197)),"YES","NO")</f>
        <v>NO</v>
      </c>
      <c r="AA490" s="255" t="str">
        <f>IF(ISNUMBER(SEARCH("R", 'Dry_Litterbag Placem_Collection'!V197)),"YES","NO")</f>
        <v>NO</v>
      </c>
      <c r="AB490" s="255" t="str">
        <f>IF(ISNUMBER(SEARCH("C", 'Dry_Litterbag Placem_Collection'!U197)),"YES","NO")</f>
        <v>NO</v>
      </c>
      <c r="AC490" s="255" t="str">
        <f>IF(ISNUMBER(SEARCH("H", 'Dry_Litterbag Placem_Collection'!U197)),"YES","NO")</f>
        <v>NO</v>
      </c>
      <c r="AD490" s="255" t="str">
        <f>IF(ISNUMBER(SEARCH("R", 'Dry_Litterbag Placem_Collection'!U197)),"YES","NO")</f>
        <v>YES</v>
      </c>
    </row>
    <row r="491" spans="2:30">
      <c r="B491" t="str">
        <f>'Final data_for_R_analysis_Dryse'!A637</f>
        <v>Dry</v>
      </c>
      <c r="C491" s="263">
        <f>'Final data_for_R_analysis_Dryse'!B637</f>
        <v>196</v>
      </c>
      <c r="D491" t="s">
        <v>2421</v>
      </c>
      <c r="E491" t="s">
        <v>25</v>
      </c>
      <c r="F491" s="387">
        <v>4</v>
      </c>
      <c r="G491" s="16">
        <f>'Dry_Litterbag Placem_Collection'!E198</f>
        <v>42942</v>
      </c>
      <c r="H491" s="92" t="str">
        <f>'Final data_for_R_analysis_Dryse'!J637</f>
        <v>G243</v>
      </c>
      <c r="I491" t="str">
        <f>'Final data_for_R_analysis_Dryse'!J857</f>
        <v>R709</v>
      </c>
      <c r="J491">
        <f>IFERROR(INDEX('Green_rooibos initial weight'!$C$5:$C$1749,MATCH(H491, 'Green_rooibos initial weight'!$A$5:$A$1749,0)),"")</f>
        <v>2.13</v>
      </c>
      <c r="K491">
        <f>IFERROR(INDEX('Green_rooibos initial weight'!$C$5:$C$1749,MATCH(I491, 'Green_rooibos initial weight'!$A$5:$A$1749,0)),"")</f>
        <v>2.157</v>
      </c>
      <c r="L491" s="195">
        <f t="shared" si="57"/>
        <v>1.8801999999999999</v>
      </c>
      <c r="M491" s="195">
        <f t="shared" si="58"/>
        <v>1.9072</v>
      </c>
      <c r="N491" s="16">
        <f>IF('Dry_Litterbag Placem_Collection'!G198="N.A","",'Dry_Litterbag Placem_Collection'!G198)</f>
        <v>43004</v>
      </c>
      <c r="O491" s="195">
        <f>IF(IFERROR(INDEX('Both teabags AfterDry'!$D$1:$D$839,MATCH(H491,'Both teabags AfterDry'!$A$1:$A$839,0)),"")="N.A","",(IFERROR(INDEX('Both teabags AfterDry'!$D$1:$D$839,MATCH(H491,'Both teabags AfterDry'!$A$1:$A$839,0)),"")))</f>
        <v>1.04</v>
      </c>
      <c r="P491" s="195">
        <f>IF(IFERROR(INDEX('Both teabags AfterDry'!$D$1:$D$839,MATCH(I491,'Both teabags AfterDry'!$A$1:$A$839,0)),"")="N.A","",(IFERROR(INDEX('Both teabags AfterDry'!$D$1:$D$839,MATCH(I491,'Both teabags AfterDry'!$A$1:$A$839,0)),"")))</f>
        <v>1.863</v>
      </c>
      <c r="Q491" s="195">
        <f t="shared" si="59"/>
        <v>0.88939999999999997</v>
      </c>
      <c r="R491" s="195">
        <f t="shared" si="59"/>
        <v>1.7123999999999999</v>
      </c>
      <c r="S491" s="195">
        <f t="shared" si="54"/>
        <v>0.52696521646633343</v>
      </c>
      <c r="T491" s="195">
        <f t="shared" si="60"/>
        <v>0.34546888300405709</v>
      </c>
      <c r="U491" s="195">
        <f t="shared" si="55"/>
        <v>0.89786073825503354</v>
      </c>
      <c r="V491">
        <f t="shared" si="56"/>
        <v>62</v>
      </c>
      <c r="W491" s="195">
        <f t="shared" si="61"/>
        <v>0.37415057426801257</v>
      </c>
      <c r="X491" s="195">
        <f t="shared" si="62"/>
        <v>5.6529933101503284E-3</v>
      </c>
      <c r="Y491" s="255" t="str">
        <f>IF(ISNUMBER(SEARCH("C", 'Dry_Litterbag Placem_Collection'!V198)),"YES","NO")</f>
        <v>NO</v>
      </c>
      <c r="Z491" s="255" t="str">
        <f>IF(ISNUMBER(SEARCH("H", 'Dry_Litterbag Placem_Collection'!V198)),"YES","NO")</f>
        <v>NO</v>
      </c>
      <c r="AA491" s="255" t="str">
        <f>IF(ISNUMBER(SEARCH("R", 'Dry_Litterbag Placem_Collection'!V198)),"YES","NO")</f>
        <v>NO</v>
      </c>
      <c r="AB491" s="255" t="str">
        <f>IF(ISNUMBER(SEARCH("C", 'Dry_Litterbag Placem_Collection'!U198)),"YES","NO")</f>
        <v>NO</v>
      </c>
      <c r="AC491" s="255" t="str">
        <f>IF(ISNUMBER(SEARCH("H", 'Dry_Litterbag Placem_Collection'!U198)),"YES","NO")</f>
        <v>NO</v>
      </c>
      <c r="AD491" s="255" t="str">
        <f>IF(ISNUMBER(SEARCH("R", 'Dry_Litterbag Placem_Collection'!U198)),"YES","NO")</f>
        <v>YES</v>
      </c>
    </row>
    <row r="492" spans="2:30">
      <c r="B492" t="str">
        <f>'Final data_for_R_analysis_Dryse'!A638</f>
        <v>Dry</v>
      </c>
      <c r="C492" s="263">
        <f>'Final data_for_R_analysis_Dryse'!B638</f>
        <v>197</v>
      </c>
      <c r="D492" t="s">
        <v>2431</v>
      </c>
      <c r="E492" t="s">
        <v>25</v>
      </c>
      <c r="F492" s="387">
        <v>1</v>
      </c>
      <c r="G492" s="16">
        <f>'Dry_Litterbag Placem_Collection'!E199</f>
        <v>42942</v>
      </c>
      <c r="H492" s="92" t="str">
        <f>'Final data_for_R_analysis_Dryse'!J638</f>
        <v>G254</v>
      </c>
      <c r="I492" t="str">
        <f>'Final data_for_R_analysis_Dryse'!J858</f>
        <v>R131</v>
      </c>
      <c r="J492">
        <f>IFERROR(INDEX('Green_rooibos initial weight'!$C$5:$C$1749,MATCH(H492, 'Green_rooibos initial weight'!$A$5:$A$1749,0)),"")</f>
        <v>1.917</v>
      </c>
      <c r="K492">
        <f>IFERROR(INDEX('Green_rooibos initial weight'!$C$5:$C$1749,MATCH(I492, 'Green_rooibos initial weight'!$A$5:$A$1749,0)),"")</f>
        <v>2.1560000000000001</v>
      </c>
      <c r="L492" s="195">
        <f t="shared" si="57"/>
        <v>1.6672</v>
      </c>
      <c r="M492" s="195">
        <f t="shared" si="58"/>
        <v>1.9062000000000001</v>
      </c>
      <c r="N492" s="16">
        <f>IF('Dry_Litterbag Placem_Collection'!G199="N.A","",'Dry_Litterbag Placem_Collection'!G199)</f>
        <v>43004</v>
      </c>
      <c r="O492" s="195">
        <f>IF(IFERROR(INDEX('Both teabags AfterDry'!$D$1:$D$839,MATCH(H492,'Both teabags AfterDry'!$A$1:$A$839,0)),"")="N.A","",(IFERROR(INDEX('Both teabags AfterDry'!$D$1:$D$839,MATCH(H492,'Both teabags AfterDry'!$A$1:$A$839,0)),"")))</f>
        <v>0.82399999999999995</v>
      </c>
      <c r="P492" s="195">
        <f>IF(IFERROR(INDEX('Both teabags AfterDry'!$D$1:$D$839,MATCH(I492,'Both teabags AfterDry'!$A$1:$A$839,0)),"")="N.A","",(IFERROR(INDEX('Both teabags AfterDry'!$D$1:$D$839,MATCH(I492,'Both teabags AfterDry'!$A$1:$A$839,0)),"")))</f>
        <v>1.577</v>
      </c>
      <c r="Q492" s="195">
        <f t="shared" si="59"/>
        <v>0.6734</v>
      </c>
      <c r="R492" s="195">
        <f t="shared" si="59"/>
        <v>1.4263999999999999</v>
      </c>
      <c r="S492" s="195">
        <f t="shared" si="54"/>
        <v>0.59608925143953928</v>
      </c>
      <c r="T492" s="195">
        <f t="shared" si="60"/>
        <v>0.39078535248767904</v>
      </c>
      <c r="U492" s="195">
        <f t="shared" si="55"/>
        <v>0.74829503724687851</v>
      </c>
      <c r="V492">
        <f t="shared" si="56"/>
        <v>62</v>
      </c>
      <c r="W492" s="195">
        <f t="shared" si="61"/>
        <v>0.292055520855654</v>
      </c>
      <c r="X492" s="195">
        <f t="shared" si="62"/>
        <v>1.6663005310603263E-2</v>
      </c>
      <c r="Y492" s="255" t="str">
        <f>IF(ISNUMBER(SEARCH("C", 'Dry_Litterbag Placem_Collection'!V199)),"YES","NO")</f>
        <v>NO</v>
      </c>
      <c r="Z492" s="255" t="str">
        <f>IF(ISNUMBER(SEARCH("H", 'Dry_Litterbag Placem_Collection'!V199)),"YES","NO")</f>
        <v>NO</v>
      </c>
      <c r="AA492" s="255" t="str">
        <f>IF(ISNUMBER(SEARCH("R", 'Dry_Litterbag Placem_Collection'!V199)),"YES","NO")</f>
        <v>YES</v>
      </c>
      <c r="AB492" s="255" t="str">
        <f>IF(ISNUMBER(SEARCH("C", 'Dry_Litterbag Placem_Collection'!U199)),"YES","NO")</f>
        <v>NO</v>
      </c>
      <c r="AC492" s="255" t="str">
        <f>IF(ISNUMBER(SEARCH("H", 'Dry_Litterbag Placem_Collection'!U199)),"YES","NO")</f>
        <v>NO</v>
      </c>
      <c r="AD492" s="255" t="str">
        <f>IF(ISNUMBER(SEARCH("R", 'Dry_Litterbag Placem_Collection'!U199)),"YES","NO")</f>
        <v>YES</v>
      </c>
    </row>
    <row r="493" spans="2:30">
      <c r="B493" t="str">
        <f>'Final data_for_R_analysis_Dryse'!A639</f>
        <v>Dry</v>
      </c>
      <c r="C493" s="263">
        <f>'Final data_for_R_analysis_Dryse'!B639</f>
        <v>198</v>
      </c>
      <c r="D493" t="s">
        <v>2439</v>
      </c>
      <c r="E493" t="s">
        <v>25</v>
      </c>
      <c r="F493" s="387">
        <v>2</v>
      </c>
      <c r="G493" s="16">
        <f>'Dry_Litterbag Placem_Collection'!E200</f>
        <v>42942</v>
      </c>
      <c r="H493" s="92" t="str">
        <f>'Final data_for_R_analysis_Dryse'!J639</f>
        <v>G780</v>
      </c>
      <c r="I493" t="str">
        <f>'Final data_for_R_analysis_Dryse'!J859</f>
        <v>R711</v>
      </c>
      <c r="J493">
        <f>IFERROR(INDEX('Green_rooibos initial weight'!$C$5:$C$1749,MATCH(H493, 'Green_rooibos initial weight'!$A$5:$A$1749,0)),"")</f>
        <v>1.962</v>
      </c>
      <c r="K493">
        <f>IFERROR(INDEX('Green_rooibos initial weight'!$C$5:$C$1749,MATCH(I493, 'Green_rooibos initial weight'!$A$5:$A$1749,0)),"")</f>
        <v>2.13</v>
      </c>
      <c r="L493" s="195">
        <f t="shared" si="57"/>
        <v>1.7121999999999999</v>
      </c>
      <c r="M493" s="195">
        <f t="shared" si="58"/>
        <v>1.8801999999999999</v>
      </c>
      <c r="N493" s="16">
        <f>IF('Dry_Litterbag Placem_Collection'!G200="N.A","",'Dry_Litterbag Placem_Collection'!G200)</f>
        <v>43004</v>
      </c>
      <c r="O493" s="195">
        <f>IF(IFERROR(INDEX('Both teabags AfterDry'!$D$1:$D$839,MATCH(H493,'Both teabags AfterDry'!$A$1:$A$839,0)),"")="N.A","",(IFERROR(INDEX('Both teabags AfterDry'!$D$1:$D$839,MATCH(H493,'Both teabags AfterDry'!$A$1:$A$839,0)),"")))</f>
        <v>0.69899999999999995</v>
      </c>
      <c r="P493" s="195">
        <f>IF(IFERROR(INDEX('Both teabags AfterDry'!$D$1:$D$839,MATCH(I493,'Both teabags AfterDry'!$A$1:$A$839,0)),"")="N.A","",(IFERROR(INDEX('Both teabags AfterDry'!$D$1:$D$839,MATCH(I493,'Both teabags AfterDry'!$A$1:$A$839,0)),"")))</f>
        <v>1.7210000000000001</v>
      </c>
      <c r="Q493" s="195">
        <f t="shared" si="59"/>
        <v>0.5484</v>
      </c>
      <c r="R493" s="195">
        <f t="shared" si="59"/>
        <v>1.5704</v>
      </c>
      <c r="S493" s="195">
        <f t="shared" si="54"/>
        <v>0.679710314215629</v>
      </c>
      <c r="T493" s="195">
        <f t="shared" si="60"/>
        <v>0.44560581169480673</v>
      </c>
      <c r="U493" s="195">
        <f t="shared" si="55"/>
        <v>0.83523029464950549</v>
      </c>
      <c r="V493">
        <f t="shared" si="56"/>
        <v>62</v>
      </c>
      <c r="W493" s="195">
        <f t="shared" si="61"/>
        <v>0.19274309475578499</v>
      </c>
      <c r="X493" s="195">
        <f t="shared" si="62"/>
        <v>7.4461852128768144E-3</v>
      </c>
      <c r="Y493" s="255" t="str">
        <f>IF(ISNUMBER(SEARCH("C", 'Dry_Litterbag Placem_Collection'!V200)),"YES","NO")</f>
        <v>NO</v>
      </c>
      <c r="Z493" s="255" t="str">
        <f>IF(ISNUMBER(SEARCH("H", 'Dry_Litterbag Placem_Collection'!V200)),"YES","NO")</f>
        <v>NO</v>
      </c>
      <c r="AA493" s="255" t="str">
        <f>IF(ISNUMBER(SEARCH("R", 'Dry_Litterbag Placem_Collection'!V200)),"YES","NO")</f>
        <v>YES</v>
      </c>
      <c r="AB493" s="255" t="str">
        <f>IF(ISNUMBER(SEARCH("C", 'Dry_Litterbag Placem_Collection'!U200)),"YES","NO")</f>
        <v>NO</v>
      </c>
      <c r="AC493" s="255" t="str">
        <f>IF(ISNUMBER(SEARCH("H", 'Dry_Litterbag Placem_Collection'!U200)),"YES","NO")</f>
        <v>NO</v>
      </c>
      <c r="AD493" s="255" t="str">
        <f>IF(ISNUMBER(SEARCH("R", 'Dry_Litterbag Placem_Collection'!U200)),"YES","NO")</f>
        <v>YES</v>
      </c>
    </row>
    <row r="494" spans="2:30">
      <c r="B494" t="str">
        <f>'Final data_for_R_analysis_Dryse'!A640</f>
        <v>Dry</v>
      </c>
      <c r="C494" s="263">
        <f>'Final data_for_R_analysis_Dryse'!B640</f>
        <v>199</v>
      </c>
      <c r="D494" t="s">
        <v>2423</v>
      </c>
      <c r="E494" t="s">
        <v>25</v>
      </c>
      <c r="F494" s="387">
        <v>3</v>
      </c>
      <c r="G494" s="16">
        <f>'Dry_Litterbag Placem_Collection'!E201</f>
        <v>42942</v>
      </c>
      <c r="H494" s="92" t="str">
        <f>'Final data_for_R_analysis_Dryse'!J640</f>
        <v>G182</v>
      </c>
      <c r="I494" t="str">
        <f>'Final data_for_R_analysis_Dryse'!J860</f>
        <v>R236</v>
      </c>
      <c r="J494">
        <f>IFERROR(INDEX('Green_rooibos initial weight'!$C$5:$C$1749,MATCH(H494, 'Green_rooibos initial weight'!$A$5:$A$1749,0)),"")</f>
        <v>1.8919999999999999</v>
      </c>
      <c r="K494">
        <f>IFERROR(INDEX('Green_rooibos initial weight'!$C$5:$C$1749,MATCH(I494, 'Green_rooibos initial weight'!$A$5:$A$1749,0)),"")</f>
        <v>2.2440000000000002</v>
      </c>
      <c r="L494" s="195">
        <f t="shared" si="57"/>
        <v>1.6421999999999999</v>
      </c>
      <c r="M494" s="195">
        <f t="shared" si="58"/>
        <v>1.9942000000000002</v>
      </c>
      <c r="N494" s="16">
        <f>IF('Dry_Litterbag Placem_Collection'!G201="N.A","",'Dry_Litterbag Placem_Collection'!G201)</f>
        <v>43004</v>
      </c>
      <c r="O494" s="195">
        <f>IF(IFERROR(INDEX('Both teabags AfterDry'!$D$1:$D$839,MATCH(H494,'Both teabags AfterDry'!$A$1:$A$839,0)),"")="N.A","",(IFERROR(INDEX('Both teabags AfterDry'!$D$1:$D$839,MATCH(H494,'Both teabags AfterDry'!$A$1:$A$839,0)),"")))</f>
        <v>0.62490000000000001</v>
      </c>
      <c r="P494" s="195">
        <f>IF(IFERROR(INDEX('Both teabags AfterDry'!$D$1:$D$839,MATCH(I494,'Both teabags AfterDry'!$A$1:$A$839,0)),"")="N.A","",(IFERROR(INDEX('Both teabags AfterDry'!$D$1:$D$839,MATCH(I494,'Both teabags AfterDry'!$A$1:$A$839,0)),"")))</f>
        <v>1.62</v>
      </c>
      <c r="Q494" s="195">
        <f t="shared" si="59"/>
        <v>0.4743</v>
      </c>
      <c r="R494" s="195">
        <f t="shared" si="59"/>
        <v>1.4694</v>
      </c>
      <c r="S494" s="195">
        <f t="shared" si="54"/>
        <v>0.71118012422360244</v>
      </c>
      <c r="T494" s="195">
        <f t="shared" si="60"/>
        <v>0.46623685103495083</v>
      </c>
      <c r="U494" s="195">
        <f t="shared" si="55"/>
        <v>0.73683682679771334</v>
      </c>
      <c r="V494">
        <f t="shared" si="56"/>
        <v>62</v>
      </c>
      <c r="W494" s="195">
        <f t="shared" si="61"/>
        <v>0.15536802348740797</v>
      </c>
      <c r="X494" s="195">
        <f t="shared" si="62"/>
        <v>1.3405240497500906E-2</v>
      </c>
      <c r="Y494" s="255" t="str">
        <f>IF(ISNUMBER(SEARCH("C", 'Dry_Litterbag Placem_Collection'!V201)),"YES","NO")</f>
        <v>NO</v>
      </c>
      <c r="Z494" s="255" t="str">
        <f>IF(ISNUMBER(SEARCH("H", 'Dry_Litterbag Placem_Collection'!V201)),"YES","NO")</f>
        <v>NO</v>
      </c>
      <c r="AA494" s="255" t="str">
        <f>IF(ISNUMBER(SEARCH("R", 'Dry_Litterbag Placem_Collection'!V201)),"YES","NO")</f>
        <v>YES</v>
      </c>
      <c r="AB494" s="255" t="str">
        <f>IF(ISNUMBER(SEARCH("C", 'Dry_Litterbag Placem_Collection'!U201)),"YES","NO")</f>
        <v>NO</v>
      </c>
      <c r="AC494" s="255" t="str">
        <f>IF(ISNUMBER(SEARCH("H", 'Dry_Litterbag Placem_Collection'!U201)),"YES","NO")</f>
        <v>NO</v>
      </c>
      <c r="AD494" s="255" t="str">
        <f>IF(ISNUMBER(SEARCH("R", 'Dry_Litterbag Placem_Collection'!U201)),"YES","NO")</f>
        <v>YES</v>
      </c>
    </row>
    <row r="495" spans="2:30">
      <c r="B495" t="str">
        <f>'Final data_for_R_analysis_Dryse'!A641</f>
        <v>Dry</v>
      </c>
      <c r="C495" s="263">
        <f>'Final data_for_R_analysis_Dryse'!B641</f>
        <v>200</v>
      </c>
      <c r="D495" t="s">
        <v>2446</v>
      </c>
      <c r="E495" t="s">
        <v>25</v>
      </c>
      <c r="F495" s="387">
        <v>4</v>
      </c>
      <c r="G495" s="16">
        <f>'Dry_Litterbag Placem_Collection'!E202</f>
        <v>42942</v>
      </c>
      <c r="H495" s="92" t="str">
        <f>'Final data_for_R_analysis_Dryse'!J641</f>
        <v>G186</v>
      </c>
      <c r="I495" t="str">
        <f>'Final data_for_R_analysis_Dryse'!J861</f>
        <v>R205</v>
      </c>
      <c r="J495">
        <f>IFERROR(INDEX('Green_rooibos initial weight'!$C$5:$C$1749,MATCH(H495, 'Green_rooibos initial weight'!$A$5:$A$1749,0)),"")</f>
        <v>2.0419999999999998</v>
      </c>
      <c r="K495">
        <f>IFERROR(INDEX('Green_rooibos initial weight'!$C$5:$C$1749,MATCH(I495, 'Green_rooibos initial weight'!$A$5:$A$1749,0)),"")</f>
        <v>2.181</v>
      </c>
      <c r="L495" s="195">
        <f t="shared" si="57"/>
        <v>1.7921999999999998</v>
      </c>
      <c r="M495" s="195">
        <f t="shared" si="58"/>
        <v>1.9312</v>
      </c>
      <c r="N495" s="16">
        <f>IF('Dry_Litterbag Placem_Collection'!G202="N.A","",'Dry_Litterbag Placem_Collection'!G202)</f>
        <v>43004</v>
      </c>
      <c r="O495" s="195">
        <f>IF(IFERROR(INDEX('Both teabags AfterDry'!$D$1:$D$839,MATCH(H495,'Both teabags AfterDry'!$A$1:$A$839,0)),"")="N.A","",(IFERROR(INDEX('Both teabags AfterDry'!$D$1:$D$839,MATCH(H495,'Both teabags AfterDry'!$A$1:$A$839,0)),"")))</f>
        <v>0.6643</v>
      </c>
      <c r="P495" s="195">
        <f>IF(IFERROR(INDEX('Both teabags AfterDry'!$D$1:$D$839,MATCH(I495,'Both teabags AfterDry'!$A$1:$A$839,0)),"")="N.A","",(IFERROR(INDEX('Both teabags AfterDry'!$D$1:$D$839,MATCH(I495,'Both teabags AfterDry'!$A$1:$A$839,0)),"")))</f>
        <v>1.6595</v>
      </c>
      <c r="Q495" s="195">
        <f t="shared" si="59"/>
        <v>0.51370000000000005</v>
      </c>
      <c r="R495" s="195">
        <f t="shared" si="59"/>
        <v>1.5088999999999999</v>
      </c>
      <c r="S495" s="195">
        <f t="shared" si="54"/>
        <v>0.71336904363352294</v>
      </c>
      <c r="T495" s="195">
        <f t="shared" si="60"/>
        <v>0.46767186708515995</v>
      </c>
      <c r="U495" s="195">
        <f t="shared" si="55"/>
        <v>0.7813276719138359</v>
      </c>
      <c r="V495">
        <f t="shared" si="56"/>
        <v>62</v>
      </c>
      <c r="W495" s="195">
        <f t="shared" si="61"/>
        <v>0.15276835672978273</v>
      </c>
      <c r="X495" s="195">
        <f t="shared" si="62"/>
        <v>1.016638493943047E-2</v>
      </c>
      <c r="Y495" s="255" t="str">
        <f>IF(ISNUMBER(SEARCH("C", 'Dry_Litterbag Placem_Collection'!V202)),"YES","NO")</f>
        <v>NO</v>
      </c>
      <c r="Z495" s="255" t="str">
        <f>IF(ISNUMBER(SEARCH("H", 'Dry_Litterbag Placem_Collection'!V202)),"YES","NO")</f>
        <v>NO</v>
      </c>
      <c r="AA495" s="255" t="str">
        <f>IF(ISNUMBER(SEARCH("R", 'Dry_Litterbag Placem_Collection'!V202)),"YES","NO")</f>
        <v>YES</v>
      </c>
      <c r="AB495" s="255" t="str">
        <f>IF(ISNUMBER(SEARCH("C", 'Dry_Litterbag Placem_Collection'!U202)),"YES","NO")</f>
        <v>NO</v>
      </c>
      <c r="AC495" s="255" t="str">
        <f>IF(ISNUMBER(SEARCH("H", 'Dry_Litterbag Placem_Collection'!U202)),"YES","NO")</f>
        <v>NO</v>
      </c>
      <c r="AD495" s="255" t="str">
        <f>IF(ISNUMBER(SEARCH("R", 'Dry_Litterbag Placem_Collection'!U202)),"YES","NO")</f>
        <v>YES</v>
      </c>
    </row>
    <row r="496" spans="2:30">
      <c r="B496" t="str">
        <f>'Final data_for_R_analysis_Dryse'!A642</f>
        <v>Dry</v>
      </c>
      <c r="C496" s="263">
        <f>'Final data_for_R_analysis_Dryse'!B642</f>
        <v>201</v>
      </c>
      <c r="D496" t="s">
        <v>2447</v>
      </c>
      <c r="E496" t="s">
        <v>25</v>
      </c>
      <c r="F496" s="387">
        <v>1</v>
      </c>
      <c r="G496" s="16">
        <f>'Dry_Litterbag Placem_Collection'!E203</f>
        <v>42942</v>
      </c>
      <c r="H496" s="92" t="str">
        <f>'Final data_for_R_analysis_Dryse'!J642</f>
        <v>G315</v>
      </c>
      <c r="I496" t="str">
        <f>'Final data_for_R_analysis_Dryse'!J862</f>
        <v>R665</v>
      </c>
      <c r="J496">
        <f>IFERROR(INDEX('Green_rooibos initial weight'!$C$5:$C$1749,MATCH(H496, 'Green_rooibos initial weight'!$A$5:$A$1749,0)),"")</f>
        <v>2.0960000000000001</v>
      </c>
      <c r="K496">
        <f>IFERROR(INDEX('Green_rooibos initial weight'!$C$5:$C$1749,MATCH(I496, 'Green_rooibos initial weight'!$A$5:$A$1749,0)),"")</f>
        <v>2.1579999999999999</v>
      </c>
      <c r="L496" s="195">
        <f t="shared" si="57"/>
        <v>1.8462000000000001</v>
      </c>
      <c r="M496" s="195">
        <f t="shared" si="58"/>
        <v>1.9081999999999999</v>
      </c>
      <c r="N496" s="16">
        <f>IF('Dry_Litterbag Placem_Collection'!G203="N.A","",'Dry_Litterbag Placem_Collection'!G203)</f>
        <v>43004</v>
      </c>
      <c r="O496" s="195">
        <f>IF(IFERROR(INDEX('Both teabags AfterDry'!$D$1:$D$839,MATCH(H496,'Both teabags AfterDry'!$A$1:$A$839,0)),"")="N.A","",(IFERROR(INDEX('Both teabags AfterDry'!$D$1:$D$839,MATCH(H496,'Both teabags AfterDry'!$A$1:$A$839,0)),"")))</f>
        <v>0.84</v>
      </c>
      <c r="P496" s="195">
        <f>IF(IFERROR(INDEX('Both teabags AfterDry'!$D$1:$D$839,MATCH(I496,'Both teabags AfterDry'!$A$1:$A$839,0)),"")="N.A","",(IFERROR(INDEX('Both teabags AfterDry'!$D$1:$D$839,MATCH(I496,'Both teabags AfterDry'!$A$1:$A$839,0)),"")))</f>
        <v>1.7869999999999999</v>
      </c>
      <c r="Q496" s="195">
        <f t="shared" si="59"/>
        <v>0.68940000000000001</v>
      </c>
      <c r="R496" s="195">
        <f t="shared" si="59"/>
        <v>1.6363999999999999</v>
      </c>
      <c r="S496" s="195">
        <f t="shared" si="54"/>
        <v>0.62658433539161518</v>
      </c>
      <c r="T496" s="195">
        <f t="shared" si="60"/>
        <v>0.41077737902158146</v>
      </c>
      <c r="U496" s="195">
        <f t="shared" si="55"/>
        <v>0.85756210040876213</v>
      </c>
      <c r="V496">
        <f t="shared" si="56"/>
        <v>62</v>
      </c>
      <c r="W496" s="195">
        <f t="shared" si="61"/>
        <v>0.25583808148264231</v>
      </c>
      <c r="X496" s="195">
        <f t="shared" si="62"/>
        <v>6.8677180269008887E-3</v>
      </c>
      <c r="Y496" s="255" t="str">
        <f>IF(ISNUMBER(SEARCH("C", 'Dry_Litterbag Placem_Collection'!V203)),"YES","NO")</f>
        <v>NO</v>
      </c>
      <c r="Z496" s="255" t="str">
        <f>IF(ISNUMBER(SEARCH("H", 'Dry_Litterbag Placem_Collection'!V203)),"YES","NO")</f>
        <v>NO</v>
      </c>
      <c r="AA496" s="255" t="str">
        <f>IF(ISNUMBER(SEARCH("R", 'Dry_Litterbag Placem_Collection'!V203)),"YES","NO")</f>
        <v>YES</v>
      </c>
      <c r="AB496" s="255" t="str">
        <f>IF(ISNUMBER(SEARCH("C", 'Dry_Litterbag Placem_Collection'!U203)),"YES","NO")</f>
        <v>NO</v>
      </c>
      <c r="AC496" s="255" t="str">
        <f>IF(ISNUMBER(SEARCH("H", 'Dry_Litterbag Placem_Collection'!U203)),"YES","NO")</f>
        <v>NO</v>
      </c>
      <c r="AD496" s="255" t="str">
        <f>IF(ISNUMBER(SEARCH("R", 'Dry_Litterbag Placem_Collection'!U203)),"YES","NO")</f>
        <v>YES</v>
      </c>
    </row>
    <row r="497" spans="2:30">
      <c r="B497" t="str">
        <f>'Final data_for_R_analysis_Dryse'!A643</f>
        <v>Dry</v>
      </c>
      <c r="C497" s="263">
        <f>'Final data_for_R_analysis_Dryse'!B643</f>
        <v>202</v>
      </c>
      <c r="D497" t="s">
        <v>2424</v>
      </c>
      <c r="E497" t="s">
        <v>25</v>
      </c>
      <c r="F497" s="387">
        <v>2</v>
      </c>
      <c r="G497" s="16">
        <f>'Dry_Litterbag Placem_Collection'!E204</f>
        <v>42942</v>
      </c>
      <c r="H497" s="92" t="str">
        <f>'Final data_for_R_analysis_Dryse'!J643</f>
        <v>G147</v>
      </c>
      <c r="I497" t="str">
        <f>'Final data_for_R_analysis_Dryse'!J863</f>
        <v>R224</v>
      </c>
      <c r="J497">
        <f>IFERROR(INDEX('Green_rooibos initial weight'!$C$5:$C$1749,MATCH(H497, 'Green_rooibos initial weight'!$A$5:$A$1749,0)),"")</f>
        <v>2.0369999999999999</v>
      </c>
      <c r="K497">
        <f>IFERROR(INDEX('Green_rooibos initial weight'!$C$5:$C$1749,MATCH(I497, 'Green_rooibos initial weight'!$A$5:$A$1749,0)),"")</f>
        <v>2.298</v>
      </c>
      <c r="L497" s="195">
        <f t="shared" si="57"/>
        <v>1.7871999999999999</v>
      </c>
      <c r="M497" s="195">
        <f t="shared" si="58"/>
        <v>2.0482</v>
      </c>
      <c r="N497" s="16">
        <f>IF('Dry_Litterbag Placem_Collection'!G204="N.A","",'Dry_Litterbag Placem_Collection'!G204)</f>
        <v>43004</v>
      </c>
      <c r="O497" s="195">
        <f>IF(IFERROR(INDEX('Both teabags AfterDry'!$D$1:$D$839,MATCH(H497,'Both teabags AfterDry'!$A$1:$A$839,0)),"")="N.A","",(IFERROR(INDEX('Both teabags AfterDry'!$D$1:$D$839,MATCH(H497,'Both teabags AfterDry'!$A$1:$A$839,0)),"")))</f>
        <v>0.71709999999999996</v>
      </c>
      <c r="P497" s="195">
        <f>IF(IFERROR(INDEX('Both teabags AfterDry'!$D$1:$D$839,MATCH(I497,'Both teabags AfterDry'!$A$1:$A$839,0)),"")="N.A","",(IFERROR(INDEX('Both teabags AfterDry'!$D$1:$D$839,MATCH(I497,'Both teabags AfterDry'!$A$1:$A$839,0)),"")))</f>
        <v>1.8384</v>
      </c>
      <c r="Q497" s="195">
        <f t="shared" si="59"/>
        <v>0.5665</v>
      </c>
      <c r="R497" s="195">
        <f t="shared" si="59"/>
        <v>1.6878</v>
      </c>
      <c r="S497" s="195">
        <f t="shared" si="54"/>
        <v>0.68302372426141456</v>
      </c>
      <c r="T497" s="195">
        <f t="shared" si="60"/>
        <v>0.44777802350629559</v>
      </c>
      <c r="U497" s="195">
        <f t="shared" si="55"/>
        <v>0.82404062103310216</v>
      </c>
      <c r="V497">
        <f t="shared" si="56"/>
        <v>62</v>
      </c>
      <c r="W497" s="195">
        <f t="shared" si="61"/>
        <v>0.18880792843062399</v>
      </c>
      <c r="X497" s="195">
        <f t="shared" si="62"/>
        <v>8.0510085560315543E-3</v>
      </c>
      <c r="Y497" s="255" t="str">
        <f>IF(ISNUMBER(SEARCH("C", 'Dry_Litterbag Placem_Collection'!V204)),"YES","NO")</f>
        <v>NO</v>
      </c>
      <c r="Z497" s="255" t="str">
        <f>IF(ISNUMBER(SEARCH("H", 'Dry_Litterbag Placem_Collection'!V204)),"YES","NO")</f>
        <v>NO</v>
      </c>
      <c r="AA497" s="255" t="str">
        <f>IF(ISNUMBER(SEARCH("R", 'Dry_Litterbag Placem_Collection'!V204)),"YES","NO")</f>
        <v>YES</v>
      </c>
      <c r="AB497" s="255" t="str">
        <f>IF(ISNUMBER(SEARCH("C", 'Dry_Litterbag Placem_Collection'!U204)),"YES","NO")</f>
        <v>NO</v>
      </c>
      <c r="AC497" s="255" t="str">
        <f>IF(ISNUMBER(SEARCH("H", 'Dry_Litterbag Placem_Collection'!U204)),"YES","NO")</f>
        <v>NO</v>
      </c>
      <c r="AD497" s="255" t="str">
        <f>IF(ISNUMBER(SEARCH("R", 'Dry_Litterbag Placem_Collection'!U204)),"YES","NO")</f>
        <v>YES</v>
      </c>
    </row>
    <row r="498" spans="2:30">
      <c r="B498" t="str">
        <f>'Final data_for_R_analysis_Dryse'!A644</f>
        <v>Dry</v>
      </c>
      <c r="C498" s="263">
        <f>'Final data_for_R_analysis_Dryse'!B644</f>
        <v>203</v>
      </c>
      <c r="D498" t="s">
        <v>2433</v>
      </c>
      <c r="E498" t="s">
        <v>25</v>
      </c>
      <c r="F498" s="387">
        <v>3</v>
      </c>
      <c r="G498" s="16">
        <f>'Dry_Litterbag Placem_Collection'!E205</f>
        <v>42942</v>
      </c>
      <c r="H498" s="92" t="str">
        <f>'Final data_for_R_analysis_Dryse'!J644</f>
        <v>G168</v>
      </c>
      <c r="I498" t="str">
        <f>'Final data_for_R_analysis_Dryse'!J864</f>
        <v>R621</v>
      </c>
      <c r="J498">
        <f>IFERROR(INDEX('Green_rooibos initial weight'!$C$5:$C$1749,MATCH(H498, 'Green_rooibos initial weight'!$A$5:$A$1749,0)),"")</f>
        <v>2.0499999999999998</v>
      </c>
      <c r="K498">
        <f>IFERROR(INDEX('Green_rooibos initial weight'!$C$5:$C$1749,MATCH(I498, 'Green_rooibos initial weight'!$A$5:$A$1749,0)),"")</f>
        <v>2.0459999999999998</v>
      </c>
      <c r="L498" s="195">
        <f t="shared" si="57"/>
        <v>1.8001999999999998</v>
      </c>
      <c r="M498" s="195">
        <f t="shared" si="58"/>
        <v>1.7961999999999998</v>
      </c>
      <c r="N498" s="16">
        <f>IF('Dry_Litterbag Placem_Collection'!G205="N.A","",'Dry_Litterbag Placem_Collection'!G205)</f>
        <v>43004</v>
      </c>
      <c r="O498" s="195">
        <f>IF(IFERROR(INDEX('Both teabags AfterDry'!$D$1:$D$839,MATCH(H498,'Both teabags AfterDry'!$A$1:$A$839,0)),"")="N.A","",(IFERROR(INDEX('Both teabags AfterDry'!$D$1:$D$839,MATCH(H498,'Both teabags AfterDry'!$A$1:$A$839,0)),"")))</f>
        <v>0.72609999999999997</v>
      </c>
      <c r="P498" s="195">
        <f>IF(IFERROR(INDEX('Both teabags AfterDry'!$D$1:$D$839,MATCH(I498,'Both teabags AfterDry'!$A$1:$A$839,0)),"")="N.A","",(IFERROR(INDEX('Both teabags AfterDry'!$D$1:$D$839,MATCH(I498,'Both teabags AfterDry'!$A$1:$A$839,0)),"")))</f>
        <v>1.6888000000000001</v>
      </c>
      <c r="Q498" s="195">
        <f t="shared" si="59"/>
        <v>0.5754999999999999</v>
      </c>
      <c r="R498" s="195">
        <f t="shared" si="59"/>
        <v>1.5382</v>
      </c>
      <c r="S498" s="195">
        <f t="shared" si="54"/>
        <v>0.68031329852238642</v>
      </c>
      <c r="T498" s="195">
        <f t="shared" si="60"/>
        <v>0.44600111732108949</v>
      </c>
      <c r="U498" s="195">
        <f t="shared" si="55"/>
        <v>0.85636343391604508</v>
      </c>
      <c r="V498">
        <f t="shared" si="56"/>
        <v>62</v>
      </c>
      <c r="W498" s="195">
        <f t="shared" si="61"/>
        <v>0.19202696137483799</v>
      </c>
      <c r="X498" s="195">
        <f t="shared" si="62"/>
        <v>6.2691620085817343E-3</v>
      </c>
      <c r="Y498" s="255" t="str">
        <f>IF(ISNUMBER(SEARCH("C", 'Dry_Litterbag Placem_Collection'!V205)),"YES","NO")</f>
        <v>NO</v>
      </c>
      <c r="Z498" s="255" t="str">
        <f>IF(ISNUMBER(SEARCH("H", 'Dry_Litterbag Placem_Collection'!V205)),"YES","NO")</f>
        <v>NO</v>
      </c>
      <c r="AA498" s="255" t="str">
        <f>IF(ISNUMBER(SEARCH("R", 'Dry_Litterbag Placem_Collection'!V205)),"YES","NO")</f>
        <v>YES</v>
      </c>
      <c r="AB498" s="255" t="str">
        <f>IF(ISNUMBER(SEARCH("C", 'Dry_Litterbag Placem_Collection'!U205)),"YES","NO")</f>
        <v>NO</v>
      </c>
      <c r="AC498" s="255" t="str">
        <f>IF(ISNUMBER(SEARCH("H", 'Dry_Litterbag Placem_Collection'!U205)),"YES","NO")</f>
        <v>NO</v>
      </c>
      <c r="AD498" s="255" t="str">
        <f>IF(ISNUMBER(SEARCH("R", 'Dry_Litterbag Placem_Collection'!U205)),"YES","NO")</f>
        <v>YES</v>
      </c>
    </row>
    <row r="499" spans="2:30">
      <c r="B499" t="str">
        <f>'Final data_for_R_analysis_Dryse'!A645</f>
        <v>Dry</v>
      </c>
      <c r="C499" s="263">
        <f>'Final data_for_R_analysis_Dryse'!B645</f>
        <v>204</v>
      </c>
      <c r="D499" t="s">
        <v>2440</v>
      </c>
      <c r="E499" t="s">
        <v>25</v>
      </c>
      <c r="F499" s="387">
        <v>4</v>
      </c>
      <c r="G499" s="16">
        <f>'Dry_Litterbag Placem_Collection'!E206</f>
        <v>42942</v>
      </c>
      <c r="H499" s="92" t="str">
        <f>'Final data_for_R_analysis_Dryse'!J645</f>
        <v>G672</v>
      </c>
      <c r="I499" t="str">
        <f>'Final data_for_R_analysis_Dryse'!J865</f>
        <v>R708</v>
      </c>
      <c r="J499">
        <f>IFERROR(INDEX('Green_rooibos initial weight'!$C$5:$C$1749,MATCH(H499, 'Green_rooibos initial weight'!$A$5:$A$1749,0)),"")</f>
        <v>2.0350000000000001</v>
      </c>
      <c r="K499">
        <f>IFERROR(INDEX('Green_rooibos initial weight'!$C$5:$C$1749,MATCH(I499, 'Green_rooibos initial weight'!$A$5:$A$1749,0)),"")</f>
        <v>2.157</v>
      </c>
      <c r="L499" s="195">
        <f t="shared" si="57"/>
        <v>1.7852000000000001</v>
      </c>
      <c r="M499" s="195">
        <f t="shared" si="58"/>
        <v>1.9072</v>
      </c>
      <c r="N499" s="16">
        <f>IF('Dry_Litterbag Placem_Collection'!G206="N.A","",'Dry_Litterbag Placem_Collection'!G206)</f>
        <v>43004</v>
      </c>
      <c r="O499" s="195">
        <f>IF(IFERROR(INDEX('Both teabags AfterDry'!$D$1:$D$839,MATCH(H499,'Both teabags AfterDry'!$A$1:$A$839,0)),"")="N.A","",(IFERROR(INDEX('Both teabags AfterDry'!$D$1:$D$839,MATCH(H499,'Both teabags AfterDry'!$A$1:$A$839,0)),"")))</f>
        <v>0.75690000000000002</v>
      </c>
      <c r="P499" s="195">
        <f>IF(IFERROR(INDEX('Both teabags AfterDry'!$D$1:$D$839,MATCH(I499,'Both teabags AfterDry'!$A$1:$A$839,0)),"")="N.A","",(IFERROR(INDEX('Both teabags AfterDry'!$D$1:$D$839,MATCH(I499,'Both teabags AfterDry'!$A$1:$A$839,0)),"")))</f>
        <v>1.7259</v>
      </c>
      <c r="Q499" s="195">
        <f t="shared" si="59"/>
        <v>0.60630000000000006</v>
      </c>
      <c r="R499" s="195">
        <f t="shared" si="59"/>
        <v>1.5752999999999999</v>
      </c>
      <c r="S499" s="195">
        <f t="shared" si="54"/>
        <v>0.66037418776607659</v>
      </c>
      <c r="T499" s="195">
        <f t="shared" si="60"/>
        <v>0.43292939625519516</v>
      </c>
      <c r="U499" s="195">
        <f t="shared" si="55"/>
        <v>0.82597525167785235</v>
      </c>
      <c r="V499">
        <f t="shared" si="56"/>
        <v>62</v>
      </c>
      <c r="W499" s="195">
        <f t="shared" si="61"/>
        <v>0.21570761547971895</v>
      </c>
      <c r="X499" s="195">
        <f t="shared" si="62"/>
        <v>8.2921744894285734E-3</v>
      </c>
      <c r="Y499" s="255" t="str">
        <f>IF(ISNUMBER(SEARCH("C", 'Dry_Litterbag Placem_Collection'!V206)),"YES","NO")</f>
        <v>NO</v>
      </c>
      <c r="Z499" s="255" t="str">
        <f>IF(ISNUMBER(SEARCH("H", 'Dry_Litterbag Placem_Collection'!V206)),"YES","NO")</f>
        <v>NO</v>
      </c>
      <c r="AA499" s="255" t="str">
        <f>IF(ISNUMBER(SEARCH("R", 'Dry_Litterbag Placem_Collection'!V206)),"YES","NO")</f>
        <v>NO</v>
      </c>
      <c r="AB499" s="255" t="str">
        <f>IF(ISNUMBER(SEARCH("C", 'Dry_Litterbag Placem_Collection'!U206)),"YES","NO")</f>
        <v>NO</v>
      </c>
      <c r="AC499" s="255" t="str">
        <f>IF(ISNUMBER(SEARCH("H", 'Dry_Litterbag Placem_Collection'!U206)),"YES","NO")</f>
        <v>NO</v>
      </c>
      <c r="AD499" s="255" t="str">
        <f>IF(ISNUMBER(SEARCH("R", 'Dry_Litterbag Placem_Collection'!U206)),"YES","NO")</f>
        <v>NO</v>
      </c>
    </row>
    <row r="500" spans="2:30">
      <c r="B500" t="str">
        <f>'Final data_for_R_analysis_Dryse'!A646</f>
        <v>Dry</v>
      </c>
      <c r="C500" s="263">
        <f>'Final data_for_R_analysis_Dryse'!B646</f>
        <v>205</v>
      </c>
      <c r="D500" t="s">
        <v>2434</v>
      </c>
      <c r="E500" t="s">
        <v>25</v>
      </c>
      <c r="F500" s="387">
        <v>1</v>
      </c>
      <c r="G500" s="16">
        <f>'Dry_Litterbag Placem_Collection'!E207</f>
        <v>42942</v>
      </c>
      <c r="H500" s="92" t="str">
        <f>'Final data_for_R_analysis_Dryse'!J646</f>
        <v>G173</v>
      </c>
      <c r="I500" t="str">
        <f>'Final data_for_R_analysis_Dryse'!J866</f>
        <v>R637</v>
      </c>
      <c r="J500">
        <f>IFERROR(INDEX('Green_rooibos initial weight'!$C$5:$C$1749,MATCH(H500, 'Green_rooibos initial weight'!$A$5:$A$1749,0)),"")</f>
        <v>2.1419999999999999</v>
      </c>
      <c r="K500">
        <f>IFERROR(INDEX('Green_rooibos initial weight'!$C$5:$C$1749,MATCH(I500, 'Green_rooibos initial weight'!$A$5:$A$1749,0)),"")</f>
        <v>2.129</v>
      </c>
      <c r="L500" s="195">
        <f t="shared" si="57"/>
        <v>1.8921999999999999</v>
      </c>
      <c r="M500" s="195">
        <f t="shared" si="58"/>
        <v>1.8792</v>
      </c>
      <c r="N500" s="16">
        <f>IF('Dry_Litterbag Placem_Collection'!G207="N.A","",'Dry_Litterbag Placem_Collection'!G207)</f>
        <v>43004</v>
      </c>
      <c r="O500" s="195">
        <f>IF(IFERROR(INDEX('Both teabags AfterDry'!$D$1:$D$839,MATCH(H500,'Both teabags AfterDry'!$A$1:$A$839,0)),"")="N.A","",(IFERROR(INDEX('Both teabags AfterDry'!$D$1:$D$839,MATCH(H500,'Both teabags AfterDry'!$A$1:$A$839,0)),"")))</f>
        <v>0.79190000000000005</v>
      </c>
      <c r="P500" s="195">
        <f>IF(IFERROR(INDEX('Both teabags AfterDry'!$D$1:$D$839,MATCH(I500,'Both teabags AfterDry'!$A$1:$A$839,0)),"")="N.A","",(IFERROR(INDEX('Both teabags AfterDry'!$D$1:$D$839,MATCH(I500,'Both teabags AfterDry'!$A$1:$A$839,0)),"")))</f>
        <v>1.6534</v>
      </c>
      <c r="Q500" s="195">
        <f t="shared" si="59"/>
        <v>0.64129999999999998</v>
      </c>
      <c r="R500" s="195">
        <f t="shared" si="59"/>
        <v>1.5027999999999999</v>
      </c>
      <c r="S500" s="195">
        <f t="shared" si="54"/>
        <v>0.66108233801923688</v>
      </c>
      <c r="T500" s="195">
        <f t="shared" si="60"/>
        <v>0.43339364677745701</v>
      </c>
      <c r="U500" s="195">
        <f t="shared" si="55"/>
        <v>0.79970200085142606</v>
      </c>
      <c r="V500">
        <f t="shared" si="56"/>
        <v>62</v>
      </c>
      <c r="W500" s="195">
        <f t="shared" si="61"/>
        <v>0.21486658192489683</v>
      </c>
      <c r="X500" s="195">
        <f t="shared" si="62"/>
        <v>1.0003186383719796E-2</v>
      </c>
      <c r="Y500" s="255" t="str">
        <f>IF(ISNUMBER(SEARCH("C", 'Dry_Litterbag Placem_Collection'!V207)),"YES","NO")</f>
        <v>NO</v>
      </c>
      <c r="Z500" s="255" t="str">
        <f>IF(ISNUMBER(SEARCH("H", 'Dry_Litterbag Placem_Collection'!V207)),"YES","NO")</f>
        <v>NO</v>
      </c>
      <c r="AA500" s="255" t="str">
        <f>IF(ISNUMBER(SEARCH("R", 'Dry_Litterbag Placem_Collection'!V207)),"YES","NO")</f>
        <v>YES</v>
      </c>
      <c r="AB500" s="255" t="str">
        <f>IF(ISNUMBER(SEARCH("C", 'Dry_Litterbag Placem_Collection'!U207)),"YES","NO")</f>
        <v>NO</v>
      </c>
      <c r="AC500" s="255" t="str">
        <f>IF(ISNUMBER(SEARCH("H", 'Dry_Litterbag Placem_Collection'!U207)),"YES","NO")</f>
        <v>NO</v>
      </c>
      <c r="AD500" s="255" t="str">
        <f>IF(ISNUMBER(SEARCH("R", 'Dry_Litterbag Placem_Collection'!U207)),"YES","NO")</f>
        <v>YES</v>
      </c>
    </row>
    <row r="501" spans="2:30">
      <c r="B501" t="str">
        <f>'Final data_for_R_analysis_Dryse'!A647</f>
        <v>Dry</v>
      </c>
      <c r="C501" s="263">
        <f>'Final data_for_R_analysis_Dryse'!B647</f>
        <v>206</v>
      </c>
      <c r="D501" t="s">
        <v>2425</v>
      </c>
      <c r="E501" t="s">
        <v>25</v>
      </c>
      <c r="F501" s="387">
        <v>2</v>
      </c>
      <c r="G501" s="16">
        <f>'Dry_Litterbag Placem_Collection'!E208</f>
        <v>42942</v>
      </c>
      <c r="H501" s="92" t="str">
        <f>'Final data_for_R_analysis_Dryse'!J647</f>
        <v>G262</v>
      </c>
      <c r="I501" t="str">
        <f>'Final data_for_R_analysis_Dryse'!J867</f>
        <v>R284</v>
      </c>
      <c r="J501">
        <f>IFERROR(INDEX('Green_rooibos initial weight'!$C$5:$C$1749,MATCH(H501, 'Green_rooibos initial weight'!$A$5:$A$1749,0)),"")</f>
        <v>2.012</v>
      </c>
      <c r="K501">
        <f>IFERROR(INDEX('Green_rooibos initial weight'!$C$5:$C$1749,MATCH(I501, 'Green_rooibos initial weight'!$A$5:$A$1749,0)),"")</f>
        <v>2.2480000000000002</v>
      </c>
      <c r="L501" s="195">
        <f t="shared" si="57"/>
        <v>1.7622</v>
      </c>
      <c r="M501" s="195">
        <f t="shared" si="58"/>
        <v>1.9982000000000002</v>
      </c>
      <c r="N501" s="16">
        <f>IF('Dry_Litterbag Placem_Collection'!G208="N.A","",'Dry_Litterbag Placem_Collection'!G208)</f>
        <v>43004</v>
      </c>
      <c r="O501" s="195">
        <f>IF(IFERROR(INDEX('Both teabags AfterDry'!$D$1:$D$839,MATCH(H501,'Both teabags AfterDry'!$A$1:$A$839,0)),"")="N.A","",(IFERROR(INDEX('Both teabags AfterDry'!$D$1:$D$839,MATCH(H501,'Both teabags AfterDry'!$A$1:$A$839,0)),"")))</f>
        <v>0.59640000000000004</v>
      </c>
      <c r="P501" s="195">
        <f>IF(IFERROR(INDEX('Both teabags AfterDry'!$D$1:$D$839,MATCH(I501,'Both teabags AfterDry'!$A$1:$A$839,0)),"")="N.A","",(IFERROR(INDEX('Both teabags AfterDry'!$D$1:$D$839,MATCH(I501,'Both teabags AfterDry'!$A$1:$A$839,0)),"")))</f>
        <v>1.6192</v>
      </c>
      <c r="Q501" s="195">
        <f t="shared" si="59"/>
        <v>0.44580000000000003</v>
      </c>
      <c r="R501" s="195">
        <f t="shared" si="59"/>
        <v>1.4685999999999999</v>
      </c>
      <c r="S501" s="195">
        <f t="shared" si="54"/>
        <v>0.74702076949267959</v>
      </c>
      <c r="T501" s="195">
        <f t="shared" si="60"/>
        <v>0.48973333106883515</v>
      </c>
      <c r="U501" s="195">
        <f t="shared" si="55"/>
        <v>0.73496146531878681</v>
      </c>
      <c r="V501">
        <f t="shared" si="56"/>
        <v>62</v>
      </c>
      <c r="W501" s="195">
        <f t="shared" si="61"/>
        <v>0.11280193646950165</v>
      </c>
      <c r="X501" s="195">
        <f t="shared" si="62"/>
        <v>1.2566419351191051E-2</v>
      </c>
      <c r="Y501" s="255" t="str">
        <f>IF(ISNUMBER(SEARCH("C", 'Dry_Litterbag Placem_Collection'!V208)),"YES","NO")</f>
        <v>NO</v>
      </c>
      <c r="Z501" s="255" t="str">
        <f>IF(ISNUMBER(SEARCH("H", 'Dry_Litterbag Placem_Collection'!V208)),"YES","NO")</f>
        <v>NO</v>
      </c>
      <c r="AA501" s="255" t="str">
        <f>IF(ISNUMBER(SEARCH("R", 'Dry_Litterbag Placem_Collection'!V208)),"YES","NO")</f>
        <v>YES</v>
      </c>
      <c r="AB501" s="255" t="str">
        <f>IF(ISNUMBER(SEARCH("C", 'Dry_Litterbag Placem_Collection'!U208)),"YES","NO")</f>
        <v>NO</v>
      </c>
      <c r="AC501" s="255" t="str">
        <f>IF(ISNUMBER(SEARCH("H", 'Dry_Litterbag Placem_Collection'!U208)),"YES","NO")</f>
        <v>NO</v>
      </c>
      <c r="AD501" s="255" t="str">
        <f>IF(ISNUMBER(SEARCH("R", 'Dry_Litterbag Placem_Collection'!U208)),"YES","NO")</f>
        <v>YES</v>
      </c>
    </row>
    <row r="502" spans="2:30">
      <c r="B502" t="str">
        <f>'Final data_for_R_analysis_Dryse'!A648</f>
        <v>Dry</v>
      </c>
      <c r="C502" s="263">
        <f>'Final data_for_R_analysis_Dryse'!B648</f>
        <v>207</v>
      </c>
      <c r="D502" t="s">
        <v>2448</v>
      </c>
      <c r="E502" t="s">
        <v>25</v>
      </c>
      <c r="F502" s="387">
        <v>3</v>
      </c>
      <c r="G502" s="16">
        <f>'Dry_Litterbag Placem_Collection'!E209</f>
        <v>42942</v>
      </c>
      <c r="H502" s="92" t="str">
        <f>'Final data_for_R_analysis_Dryse'!J648</f>
        <v>G230</v>
      </c>
      <c r="I502" t="str">
        <f>'Final data_for_R_analysis_Dryse'!J868</f>
        <v>R604</v>
      </c>
      <c r="J502">
        <f>IFERROR(INDEX('Green_rooibos initial weight'!$C$5:$C$1749,MATCH(H502, 'Green_rooibos initial weight'!$A$5:$A$1749,0)),"")</f>
        <v>2.0030000000000001</v>
      </c>
      <c r="K502">
        <f>IFERROR(INDEX('Green_rooibos initial weight'!$C$5:$C$1749,MATCH(I502, 'Green_rooibos initial weight'!$A$5:$A$1749,0)),"")</f>
        <v>2.1230000000000002</v>
      </c>
      <c r="L502" s="195">
        <f t="shared" si="57"/>
        <v>1.7532000000000001</v>
      </c>
      <c r="M502" s="195">
        <f t="shared" si="58"/>
        <v>1.8732000000000002</v>
      </c>
      <c r="N502" s="16">
        <f>IF('Dry_Litterbag Placem_Collection'!G209="N.A","",'Dry_Litterbag Placem_Collection'!G209)</f>
        <v>43004</v>
      </c>
      <c r="O502" s="195">
        <f>IF(IFERROR(INDEX('Both teabags AfterDry'!$D$1:$D$839,MATCH(H502,'Both teabags AfterDry'!$A$1:$A$839,0)),"")="N.A","",(IFERROR(INDEX('Both teabags AfterDry'!$D$1:$D$839,MATCH(H502,'Both teabags AfterDry'!$A$1:$A$839,0)),"")))</f>
        <v>0.73299999999999998</v>
      </c>
      <c r="P502" s="195">
        <f>IF(IFERROR(INDEX('Both teabags AfterDry'!$D$1:$D$839,MATCH(I502,'Both teabags AfterDry'!$A$1:$A$839,0)),"")="N.A","",(IFERROR(INDEX('Both teabags AfterDry'!$D$1:$D$839,MATCH(I502,'Both teabags AfterDry'!$A$1:$A$839,0)),"")))</f>
        <v>1.615</v>
      </c>
      <c r="Q502" s="195">
        <f t="shared" si="59"/>
        <v>0.58240000000000003</v>
      </c>
      <c r="R502" s="195">
        <f t="shared" si="59"/>
        <v>1.4643999999999999</v>
      </c>
      <c r="S502" s="195">
        <f t="shared" si="54"/>
        <v>0.66780743782797169</v>
      </c>
      <c r="T502" s="195">
        <f t="shared" si="60"/>
        <v>0.43780250080883659</v>
      </c>
      <c r="U502" s="195">
        <f t="shared" si="55"/>
        <v>0.78176382660687582</v>
      </c>
      <c r="V502">
        <f t="shared" si="56"/>
        <v>62</v>
      </c>
      <c r="W502" s="195">
        <f t="shared" si="61"/>
        <v>0.20687952752022365</v>
      </c>
      <c r="X502" s="195">
        <f t="shared" si="62"/>
        <v>1.1130863474287026E-2</v>
      </c>
      <c r="Y502" s="255" t="str">
        <f>IF(ISNUMBER(SEARCH("C", 'Dry_Litterbag Placem_Collection'!V209)),"YES","NO")</f>
        <v>NO</v>
      </c>
      <c r="Z502" s="255" t="str">
        <f>IF(ISNUMBER(SEARCH("H", 'Dry_Litterbag Placem_Collection'!V209)),"YES","NO")</f>
        <v>NO</v>
      </c>
      <c r="AA502" s="255" t="str">
        <f>IF(ISNUMBER(SEARCH("R", 'Dry_Litterbag Placem_Collection'!V209)),"YES","NO")</f>
        <v>YES</v>
      </c>
      <c r="AB502" s="255" t="str">
        <f>IF(ISNUMBER(SEARCH("C", 'Dry_Litterbag Placem_Collection'!U209)),"YES","NO")</f>
        <v>NO</v>
      </c>
      <c r="AC502" s="255" t="str">
        <f>IF(ISNUMBER(SEARCH("H", 'Dry_Litterbag Placem_Collection'!U209)),"YES","NO")</f>
        <v>NO</v>
      </c>
      <c r="AD502" s="255" t="str">
        <f>IF(ISNUMBER(SEARCH("R", 'Dry_Litterbag Placem_Collection'!U209)),"YES","NO")</f>
        <v>NO</v>
      </c>
    </row>
    <row r="503" spans="2:30">
      <c r="B503" t="str">
        <f>'Final data_for_R_analysis_Dryse'!A649</f>
        <v>Dry</v>
      </c>
      <c r="C503" s="263">
        <f>'Final data_for_R_analysis_Dryse'!B649</f>
        <v>208</v>
      </c>
      <c r="D503" t="s">
        <v>2441</v>
      </c>
      <c r="E503" t="s">
        <v>25</v>
      </c>
      <c r="F503" s="387">
        <v>4</v>
      </c>
      <c r="G503" s="16">
        <f>'Dry_Litterbag Placem_Collection'!E210</f>
        <v>42942</v>
      </c>
      <c r="H503" s="92" t="str">
        <f>'Final data_for_R_analysis_Dryse'!J649</f>
        <v>G140</v>
      </c>
      <c r="I503" t="str">
        <f>'Final data_for_R_analysis_Dryse'!J869</f>
        <v>R625</v>
      </c>
      <c r="J503">
        <f>IFERROR(INDEX('Green_rooibos initial weight'!$C$5:$C$1749,MATCH(H503, 'Green_rooibos initial weight'!$A$5:$A$1749,0)),"")</f>
        <v>2.0590000000000002</v>
      </c>
      <c r="K503">
        <f>IFERROR(INDEX('Green_rooibos initial weight'!$C$5:$C$1749,MATCH(I503, 'Green_rooibos initial weight'!$A$5:$A$1749,0)),"")</f>
        <v>2.1589999999999998</v>
      </c>
      <c r="L503" s="195">
        <f t="shared" si="57"/>
        <v>1.8092000000000001</v>
      </c>
      <c r="M503" s="195">
        <f t="shared" si="58"/>
        <v>1.9091999999999998</v>
      </c>
      <c r="N503" s="16">
        <f>IF('Dry_Litterbag Placem_Collection'!G210="N.A","",'Dry_Litterbag Placem_Collection'!G210)</f>
        <v>43004</v>
      </c>
      <c r="O503" s="195">
        <f>IF(IFERROR(INDEX('Both teabags AfterDry'!$D$1:$D$839,MATCH(H503,'Both teabags AfterDry'!$A$1:$A$839,0)),"")="N.A","",(IFERROR(INDEX('Both teabags AfterDry'!$D$1:$D$839,MATCH(H503,'Both teabags AfterDry'!$A$1:$A$839,0)),"")))</f>
        <v>0.74199999999999999</v>
      </c>
      <c r="P503" s="195">
        <f>IF(IFERROR(INDEX('Both teabags AfterDry'!$D$1:$D$839,MATCH(I503,'Both teabags AfterDry'!$A$1:$A$839,0)),"")="N.A","",(IFERROR(INDEX('Both teabags AfterDry'!$D$1:$D$839,MATCH(I503,'Both teabags AfterDry'!$A$1:$A$839,0)),"")))</f>
        <v>1.6539999999999999</v>
      </c>
      <c r="Q503" s="195">
        <f t="shared" si="59"/>
        <v>0.59139999999999993</v>
      </c>
      <c r="R503" s="195">
        <f t="shared" si="59"/>
        <v>1.5033999999999998</v>
      </c>
      <c r="S503" s="195">
        <f t="shared" si="54"/>
        <v>0.67311518903382717</v>
      </c>
      <c r="T503" s="195">
        <f t="shared" si="60"/>
        <v>0.44128216668250902</v>
      </c>
      <c r="U503" s="195">
        <f t="shared" si="55"/>
        <v>0.78745024093861304</v>
      </c>
      <c r="V503">
        <f t="shared" si="56"/>
        <v>62</v>
      </c>
      <c r="W503" s="195">
        <f t="shared" si="61"/>
        <v>0.2005757849954547</v>
      </c>
      <c r="X503" s="195">
        <f t="shared" si="62"/>
        <v>1.059889854780407E-2</v>
      </c>
      <c r="Y503" s="255" t="str">
        <f>IF(ISNUMBER(SEARCH("C", 'Dry_Litterbag Placem_Collection'!V210)),"YES","NO")</f>
        <v>NO</v>
      </c>
      <c r="Z503" s="255" t="str">
        <f>IF(ISNUMBER(SEARCH("H", 'Dry_Litterbag Placem_Collection'!V210)),"YES","NO")</f>
        <v>NO</v>
      </c>
      <c r="AA503" s="255" t="str">
        <f>IF(ISNUMBER(SEARCH("R", 'Dry_Litterbag Placem_Collection'!V210)),"YES","NO")</f>
        <v>YES</v>
      </c>
      <c r="AB503" s="255" t="str">
        <f>IF(ISNUMBER(SEARCH("C", 'Dry_Litterbag Placem_Collection'!U210)),"YES","NO")</f>
        <v>NO</v>
      </c>
      <c r="AC503" s="255" t="str">
        <f>IF(ISNUMBER(SEARCH("H", 'Dry_Litterbag Placem_Collection'!U210)),"YES","NO")</f>
        <v>NO</v>
      </c>
      <c r="AD503" s="255" t="str">
        <f>IF(ISNUMBER(SEARCH("R", 'Dry_Litterbag Placem_Collection'!U210)),"YES","NO")</f>
        <v>YES</v>
      </c>
    </row>
    <row r="504" spans="2:30">
      <c r="B504" t="str">
        <f>'Final data_for_R_analysis_Dryse'!A650</f>
        <v>Dry</v>
      </c>
      <c r="C504" s="263">
        <f>'Final data_for_R_analysis_Dryse'!B650</f>
        <v>209</v>
      </c>
      <c r="D504" t="s">
        <v>2435</v>
      </c>
      <c r="E504" t="s">
        <v>25</v>
      </c>
      <c r="F504" s="387">
        <v>1</v>
      </c>
      <c r="G504" s="16">
        <f>'Dry_Litterbag Placem_Collection'!E211</f>
        <v>42942</v>
      </c>
      <c r="H504" s="92" t="str">
        <f>'Final data_for_R_analysis_Dryse'!J650</f>
        <v>G92</v>
      </c>
      <c r="I504" t="str">
        <f>'Final data_for_R_analysis_Dryse'!J870</f>
        <v>R647</v>
      </c>
      <c r="J504">
        <f>IFERROR(INDEX('Green_rooibos initial weight'!$C$5:$C$1749,MATCH(H504, 'Green_rooibos initial weight'!$A$5:$A$1749,0)),"")</f>
        <v>2.1930000000000001</v>
      </c>
      <c r="K504">
        <f>IFERROR(INDEX('Green_rooibos initial weight'!$C$5:$C$1749,MATCH(I504, 'Green_rooibos initial weight'!$A$5:$A$1749,0)),"")</f>
        <v>2.1640000000000001</v>
      </c>
      <c r="L504" s="195">
        <f t="shared" si="57"/>
        <v>1.9432</v>
      </c>
      <c r="M504" s="195">
        <f t="shared" si="58"/>
        <v>1.9142000000000001</v>
      </c>
      <c r="N504" s="16">
        <f>IF('Dry_Litterbag Placem_Collection'!G211="N.A","",'Dry_Litterbag Placem_Collection'!G211)</f>
        <v>43004</v>
      </c>
      <c r="O504" s="195">
        <f>IF(IFERROR(INDEX('Both teabags AfterDry'!$D$1:$D$839,MATCH(H504,'Both teabags AfterDry'!$A$1:$A$839,0)),"")="N.A","",(IFERROR(INDEX('Both teabags AfterDry'!$D$1:$D$839,MATCH(H504,'Both teabags AfterDry'!$A$1:$A$839,0)),"")))</f>
        <v>0.73619999999999997</v>
      </c>
      <c r="P504" s="195">
        <f>IF(IFERROR(INDEX('Both teabags AfterDry'!$D$1:$D$839,MATCH(I504,'Both teabags AfterDry'!$A$1:$A$839,0)),"")="N.A","",(IFERROR(INDEX('Both teabags AfterDry'!$D$1:$D$839,MATCH(I504,'Both teabags AfterDry'!$A$1:$A$839,0)),"")))</f>
        <v>1.6881999999999999</v>
      </c>
      <c r="Q504" s="195">
        <f t="shared" si="59"/>
        <v>0.5855999999999999</v>
      </c>
      <c r="R504" s="195">
        <f t="shared" si="59"/>
        <v>1.5375999999999999</v>
      </c>
      <c r="S504" s="195">
        <f t="shared" si="54"/>
        <v>0.698641416220667</v>
      </c>
      <c r="T504" s="195">
        <f t="shared" si="60"/>
        <v>0.45801670042019982</v>
      </c>
      <c r="U504" s="195">
        <f t="shared" si="55"/>
        <v>0.8032598474558561</v>
      </c>
      <c r="V504">
        <f t="shared" si="56"/>
        <v>62</v>
      </c>
      <c r="W504" s="195">
        <f t="shared" si="61"/>
        <v>0.17025960068804391</v>
      </c>
      <c r="X504" s="195">
        <f t="shared" si="62"/>
        <v>9.0536488785231736E-3</v>
      </c>
      <c r="Y504" s="255" t="str">
        <f>IF(ISNUMBER(SEARCH("C", 'Dry_Litterbag Placem_Collection'!V211)),"YES","NO")</f>
        <v>NO</v>
      </c>
      <c r="Z504" s="255" t="str">
        <f>IF(ISNUMBER(SEARCH("H", 'Dry_Litterbag Placem_Collection'!V211)),"YES","NO")</f>
        <v>NO</v>
      </c>
      <c r="AA504" s="255" t="str">
        <f>IF(ISNUMBER(SEARCH("R", 'Dry_Litterbag Placem_Collection'!V211)),"YES","NO")</f>
        <v>YES</v>
      </c>
      <c r="AB504" s="255" t="str">
        <f>IF(ISNUMBER(SEARCH("C", 'Dry_Litterbag Placem_Collection'!U211)),"YES","NO")</f>
        <v>NO</v>
      </c>
      <c r="AC504" s="255" t="str">
        <f>IF(ISNUMBER(SEARCH("H", 'Dry_Litterbag Placem_Collection'!U211)),"YES","NO")</f>
        <v>NO</v>
      </c>
      <c r="AD504" s="255" t="str">
        <f>IF(ISNUMBER(SEARCH("R", 'Dry_Litterbag Placem_Collection'!U211)),"YES","NO")</f>
        <v>YES</v>
      </c>
    </row>
    <row r="505" spans="2:30">
      <c r="B505" t="str">
        <f>'Final data_for_R_analysis_Dryse'!A651</f>
        <v>Dry</v>
      </c>
      <c r="C505" s="263">
        <f>'Final data_for_R_analysis_Dryse'!B651</f>
        <v>210</v>
      </c>
      <c r="D505" t="s">
        <v>2449</v>
      </c>
      <c r="E505" t="s">
        <v>25</v>
      </c>
      <c r="F505" s="387">
        <v>2</v>
      </c>
      <c r="G505" s="16">
        <f>'Dry_Litterbag Placem_Collection'!E212</f>
        <v>42942</v>
      </c>
      <c r="H505" s="92" t="str">
        <f>'Final data_for_R_analysis_Dryse'!J651</f>
        <v>G36</v>
      </c>
      <c r="I505" t="str">
        <f>'Final data_for_R_analysis_Dryse'!J871</f>
        <v>R599</v>
      </c>
      <c r="J505">
        <f>IFERROR(INDEX('Green_rooibos initial weight'!$C$5:$C$1749,MATCH(H505, 'Green_rooibos initial weight'!$A$5:$A$1749,0)),"")</f>
        <v>2.1429999999999998</v>
      </c>
      <c r="K505">
        <f>IFERROR(INDEX('Green_rooibos initial weight'!$C$5:$C$1749,MATCH(I505, 'Green_rooibos initial weight'!$A$5:$A$1749,0)),"")</f>
        <v>2.1760000000000002</v>
      </c>
      <c r="L505" s="195">
        <f t="shared" si="57"/>
        <v>1.8931999999999998</v>
      </c>
      <c r="M505" s="195">
        <f t="shared" si="58"/>
        <v>1.9262000000000001</v>
      </c>
      <c r="N505" s="16">
        <f>IF('Dry_Litterbag Placem_Collection'!G212="N.A","",'Dry_Litterbag Placem_Collection'!G212)</f>
        <v>43004</v>
      </c>
      <c r="O505" s="195">
        <f>IF(IFERROR(INDEX('Both teabags AfterDry'!$D$1:$D$839,MATCH(H505,'Both teabags AfterDry'!$A$1:$A$839,0)),"")="N.A","",(IFERROR(INDEX('Both teabags AfterDry'!$D$1:$D$839,MATCH(H505,'Both teabags AfterDry'!$A$1:$A$839,0)),"")))</f>
        <v>0.84599999999999997</v>
      </c>
      <c r="P505" s="195">
        <f>IF(IFERROR(INDEX('Both teabags AfterDry'!$D$1:$D$839,MATCH(I505,'Both teabags AfterDry'!$A$1:$A$839,0)),"")="N.A","",(IFERROR(INDEX('Both teabags AfterDry'!$D$1:$D$839,MATCH(I505,'Both teabags AfterDry'!$A$1:$A$839,0)),"")))</f>
        <v>1.742</v>
      </c>
      <c r="Q505" s="195">
        <f t="shared" si="59"/>
        <v>0.69540000000000002</v>
      </c>
      <c r="R505" s="195">
        <f t="shared" si="59"/>
        <v>1.5913999999999999</v>
      </c>
      <c r="S505" s="195">
        <f t="shared" si="54"/>
        <v>0.6326854003803084</v>
      </c>
      <c r="T505" s="195">
        <f t="shared" si="60"/>
        <v>0.41477712709017844</v>
      </c>
      <c r="U505" s="195">
        <f t="shared" si="55"/>
        <v>0.82618627349184914</v>
      </c>
      <c r="V505">
        <f t="shared" si="56"/>
        <v>62</v>
      </c>
      <c r="W505" s="195">
        <f t="shared" si="61"/>
        <v>0.24859216106851734</v>
      </c>
      <c r="X505" s="195">
        <f t="shared" si="62"/>
        <v>8.7596173493872838E-3</v>
      </c>
      <c r="Y505" s="255" t="str">
        <f>IF(ISNUMBER(SEARCH("C", 'Dry_Litterbag Placem_Collection'!V212)),"YES","NO")</f>
        <v>NO</v>
      </c>
      <c r="Z505" s="255" t="str">
        <f>IF(ISNUMBER(SEARCH("H", 'Dry_Litterbag Placem_Collection'!V212)),"YES","NO")</f>
        <v>NO</v>
      </c>
      <c r="AA505" s="255" t="str">
        <f>IF(ISNUMBER(SEARCH("R", 'Dry_Litterbag Placem_Collection'!V212)),"YES","NO")</f>
        <v>NO</v>
      </c>
      <c r="AB505" s="255" t="str">
        <f>IF(ISNUMBER(SEARCH("C", 'Dry_Litterbag Placem_Collection'!U212)),"YES","NO")</f>
        <v>NO</v>
      </c>
      <c r="AC505" s="255" t="str">
        <f>IF(ISNUMBER(SEARCH("H", 'Dry_Litterbag Placem_Collection'!U212)),"YES","NO")</f>
        <v>NO</v>
      </c>
      <c r="AD505" s="255" t="str">
        <f>IF(ISNUMBER(SEARCH("R", 'Dry_Litterbag Placem_Collection'!U212)),"YES","NO")</f>
        <v>NO</v>
      </c>
    </row>
    <row r="506" spans="2:30">
      <c r="B506" t="str">
        <f>'Final data_for_R_analysis_Dryse'!A652</f>
        <v>Dry</v>
      </c>
      <c r="C506" s="263">
        <f>'Final data_for_R_analysis_Dryse'!B652</f>
        <v>211</v>
      </c>
      <c r="D506" t="s">
        <v>2426</v>
      </c>
      <c r="E506" t="s">
        <v>25</v>
      </c>
      <c r="F506" s="387">
        <v>3</v>
      </c>
      <c r="G506" s="16">
        <f>'Dry_Litterbag Placem_Collection'!E213</f>
        <v>42942</v>
      </c>
      <c r="H506" s="92" t="str">
        <f>'Final data_for_R_analysis_Dryse'!J652</f>
        <v>G434</v>
      </c>
      <c r="I506" t="str">
        <f>'Final data_for_R_analysis_Dryse'!J872</f>
        <v>R670</v>
      </c>
      <c r="J506">
        <f>IFERROR(INDEX('Green_rooibos initial weight'!$C$5:$C$1749,MATCH(H506, 'Green_rooibos initial weight'!$A$5:$A$1749,0)),"")</f>
        <v>2.0339999999999998</v>
      </c>
      <c r="K506">
        <f>IFERROR(INDEX('Green_rooibos initial weight'!$C$5:$C$1749,MATCH(I506, 'Green_rooibos initial weight'!$A$5:$A$1749,0)),"")</f>
        <v>2.1059999999999999</v>
      </c>
      <c r="L506" s="195">
        <f t="shared" si="57"/>
        <v>1.7841999999999998</v>
      </c>
      <c r="M506" s="195">
        <f t="shared" si="58"/>
        <v>1.8561999999999999</v>
      </c>
      <c r="N506" s="16">
        <f>IF('Dry_Litterbag Placem_Collection'!G213="N.A","",'Dry_Litterbag Placem_Collection'!G213)</f>
        <v>43004</v>
      </c>
      <c r="O506" s="195">
        <f>IF(IFERROR(INDEX('Both teabags AfterDry'!$D$1:$D$839,MATCH(H506,'Both teabags AfterDry'!$A$1:$A$839,0)),"")="N.A","",(IFERROR(INDEX('Both teabags AfterDry'!$D$1:$D$839,MATCH(H506,'Both teabags AfterDry'!$A$1:$A$839,0)),"")))</f>
        <v>0.74099999999999999</v>
      </c>
      <c r="P506" s="195">
        <f>IF(IFERROR(INDEX('Both teabags AfterDry'!$D$1:$D$839,MATCH(I506,'Both teabags AfterDry'!$A$1:$A$839,0)),"")="N.A","",(IFERROR(INDEX('Both teabags AfterDry'!$D$1:$D$839,MATCH(I506,'Both teabags AfterDry'!$A$1:$A$839,0)),"")))</f>
        <v>1.4770000000000001</v>
      </c>
      <c r="Q506" s="195">
        <f t="shared" si="59"/>
        <v>0.59040000000000004</v>
      </c>
      <c r="R506" s="195">
        <f t="shared" si="59"/>
        <v>1.3264</v>
      </c>
      <c r="S506" s="195">
        <f t="shared" si="54"/>
        <v>0.66909539289317332</v>
      </c>
      <c r="T506" s="195">
        <f t="shared" si="60"/>
        <v>0.43864686089908755</v>
      </c>
      <c r="U506" s="195">
        <f t="shared" si="55"/>
        <v>0.71457817045576988</v>
      </c>
      <c r="V506">
        <f t="shared" si="56"/>
        <v>62</v>
      </c>
      <c r="W506" s="195">
        <f t="shared" si="61"/>
        <v>0.20534988967556611</v>
      </c>
      <c r="X506" s="195">
        <f t="shared" si="62"/>
        <v>1.696430706882612E-2</v>
      </c>
      <c r="Y506" s="255" t="str">
        <f>IF(ISNUMBER(SEARCH("C", 'Dry_Litterbag Placem_Collection'!V213)),"YES","NO")</f>
        <v>NO</v>
      </c>
      <c r="Z506" s="255" t="str">
        <f>IF(ISNUMBER(SEARCH("H", 'Dry_Litterbag Placem_Collection'!V213)),"YES","NO")</f>
        <v>NO</v>
      </c>
      <c r="AA506" s="255" t="str">
        <f>IF(ISNUMBER(SEARCH("R", 'Dry_Litterbag Placem_Collection'!V213)),"YES","NO")</f>
        <v>NO</v>
      </c>
      <c r="AB506" s="255" t="str">
        <f>IF(ISNUMBER(SEARCH("C", 'Dry_Litterbag Placem_Collection'!U213)),"YES","NO")</f>
        <v>NO</v>
      </c>
      <c r="AC506" s="255" t="str">
        <f>IF(ISNUMBER(SEARCH("H", 'Dry_Litterbag Placem_Collection'!U213)),"YES","NO")</f>
        <v>NO</v>
      </c>
      <c r="AD506" s="255" t="str">
        <f>IF(ISNUMBER(SEARCH("R", 'Dry_Litterbag Placem_Collection'!U213)),"YES","NO")</f>
        <v>YES</v>
      </c>
    </row>
    <row r="507" spans="2:30">
      <c r="B507" t="str">
        <f>'Final data_for_R_analysis_Dryse'!A653</f>
        <v>Dry</v>
      </c>
      <c r="C507" s="263">
        <f>'Final data_for_R_analysis_Dryse'!B653</f>
        <v>215</v>
      </c>
      <c r="D507" t="s">
        <v>2427</v>
      </c>
      <c r="E507" t="s">
        <v>25</v>
      </c>
      <c r="F507" s="387">
        <v>3</v>
      </c>
      <c r="G507" s="16">
        <f>'Dry_Litterbag Placem_Collection'!E214</f>
        <v>42942</v>
      </c>
      <c r="H507" s="92" t="str">
        <f>'Final data_for_R_analysis_Dryse'!J653</f>
        <v>G56</v>
      </c>
      <c r="I507" t="str">
        <f>'Final data_for_R_analysis_Dryse'!J873</f>
        <v>R256</v>
      </c>
      <c r="J507">
        <f>IFERROR(INDEX('Green_rooibos initial weight'!$C$5:$C$1749,MATCH(H507, 'Green_rooibos initial weight'!$A$5:$A$1749,0)),"")</f>
        <v>2.02</v>
      </c>
      <c r="K507">
        <f>IFERROR(INDEX('Green_rooibos initial weight'!$C$5:$C$1749,MATCH(I507, 'Green_rooibos initial weight'!$A$5:$A$1749,0)),"")</f>
        <v>2.2000000000000002</v>
      </c>
      <c r="L507" s="195">
        <f t="shared" si="57"/>
        <v>1.7702</v>
      </c>
      <c r="M507" s="195">
        <f t="shared" si="58"/>
        <v>1.9502000000000002</v>
      </c>
      <c r="N507" s="16">
        <f>IF('Dry_Litterbag Placem_Collection'!G214="N.A","",'Dry_Litterbag Placem_Collection'!G214)</f>
        <v>43004</v>
      </c>
      <c r="O507" s="195">
        <f>IF(IFERROR(INDEX('Both teabags AfterDry'!$D$1:$D$839,MATCH(H507,'Both teabags AfterDry'!$A$1:$A$839,0)),"")="N.A","",(IFERROR(INDEX('Both teabags AfterDry'!$D$1:$D$839,MATCH(H507,'Both teabags AfterDry'!$A$1:$A$839,0)),"")))</f>
        <v>0.7238</v>
      </c>
      <c r="P507" s="195">
        <f>IF(IFERROR(INDEX('Both teabags AfterDry'!$D$1:$D$839,MATCH(I507,'Both teabags AfterDry'!$A$1:$A$839,0)),"")="N.A","",(IFERROR(INDEX('Both teabags AfterDry'!$D$1:$D$839,MATCH(I507,'Both teabags AfterDry'!$A$1:$A$839,0)),"")))</f>
        <v>1.5882000000000001</v>
      </c>
      <c r="Q507" s="195">
        <f t="shared" si="59"/>
        <v>0.57319999999999993</v>
      </c>
      <c r="R507" s="195">
        <f t="shared" si="59"/>
        <v>1.4376</v>
      </c>
      <c r="S507" s="195">
        <f t="shared" si="54"/>
        <v>0.67619478025081914</v>
      </c>
      <c r="T507" s="195">
        <f t="shared" si="60"/>
        <v>0.44330109109079835</v>
      </c>
      <c r="U507" s="195">
        <f t="shared" si="55"/>
        <v>0.73715516357296684</v>
      </c>
      <c r="V507">
        <f t="shared" si="56"/>
        <v>62</v>
      </c>
      <c r="W507" s="195">
        <f t="shared" si="61"/>
        <v>0.19691831324130737</v>
      </c>
      <c r="X507" s="195">
        <f t="shared" si="62"/>
        <v>1.4496142114091398E-2</v>
      </c>
      <c r="Y507" s="255" t="str">
        <f>IF(ISNUMBER(SEARCH("C", 'Dry_Litterbag Placem_Collection'!V214)),"YES","NO")</f>
        <v>NO</v>
      </c>
      <c r="Z507" s="255" t="str">
        <f>IF(ISNUMBER(SEARCH("H", 'Dry_Litterbag Placem_Collection'!V214)),"YES","NO")</f>
        <v>NO</v>
      </c>
      <c r="AA507" s="255" t="str">
        <f>IF(ISNUMBER(SEARCH("R", 'Dry_Litterbag Placem_Collection'!V214)),"YES","NO")</f>
        <v>YES</v>
      </c>
      <c r="AB507" s="255" t="str">
        <f>IF(ISNUMBER(SEARCH("C", 'Dry_Litterbag Placem_Collection'!U214)),"YES","NO")</f>
        <v>NO</v>
      </c>
      <c r="AC507" s="255" t="str">
        <f>IF(ISNUMBER(SEARCH("H", 'Dry_Litterbag Placem_Collection'!U214)),"YES","NO")</f>
        <v>NO</v>
      </c>
      <c r="AD507" s="255" t="str">
        <f>IF(ISNUMBER(SEARCH("R", 'Dry_Litterbag Placem_Collection'!U214)),"YES","NO")</f>
        <v>YES</v>
      </c>
    </row>
    <row r="508" spans="2:30">
      <c r="B508" t="str">
        <f>'Final data_for_R_analysis_Dryse'!A654</f>
        <v>Dry</v>
      </c>
      <c r="C508" s="263">
        <f>'Final data_for_R_analysis_Dryse'!B654</f>
        <v>212</v>
      </c>
      <c r="D508" t="s">
        <v>2442</v>
      </c>
      <c r="E508" t="s">
        <v>25</v>
      </c>
      <c r="F508" s="387">
        <v>4</v>
      </c>
      <c r="G508" s="16">
        <f>'Dry_Litterbag Placem_Collection'!E215</f>
        <v>42942</v>
      </c>
      <c r="H508" s="92" t="str">
        <f>'Final data_for_R_analysis_Dryse'!J654</f>
        <v>G363</v>
      </c>
      <c r="I508" t="str">
        <f>'Final data_for_R_analysis_Dryse'!J874</f>
        <v>R658</v>
      </c>
      <c r="J508">
        <f>IFERROR(INDEX('Green_rooibos initial weight'!$C$5:$C$1749,MATCH(H508, 'Green_rooibos initial weight'!$A$5:$A$1749,0)),"")</f>
        <v>2.02</v>
      </c>
      <c r="K508">
        <f>IFERROR(INDEX('Green_rooibos initial weight'!$C$5:$C$1749,MATCH(I508, 'Green_rooibos initial weight'!$A$5:$A$1749,0)),"")</f>
        <v>2.2080000000000002</v>
      </c>
      <c r="L508" s="195">
        <f t="shared" si="57"/>
        <v>1.7702</v>
      </c>
      <c r="M508" s="195">
        <f t="shared" si="58"/>
        <v>1.9582000000000002</v>
      </c>
      <c r="N508" s="16">
        <f>IF('Dry_Litterbag Placem_Collection'!G215="N.A","",'Dry_Litterbag Placem_Collection'!G215)</f>
        <v>43004</v>
      </c>
      <c r="O508" s="195">
        <f>IF(IFERROR(INDEX('Both teabags AfterDry'!$D$1:$D$839,MATCH(H508,'Both teabags AfterDry'!$A$1:$A$839,0)),"")="N.A","",(IFERROR(INDEX('Both teabags AfterDry'!$D$1:$D$839,MATCH(H508,'Both teabags AfterDry'!$A$1:$A$839,0)),"")))</f>
        <v>0.753</v>
      </c>
      <c r="P508" s="195">
        <f>IF(IFERROR(INDEX('Both teabags AfterDry'!$D$1:$D$839,MATCH(I508,'Both teabags AfterDry'!$A$1:$A$839,0)),"")="N.A","",(IFERROR(INDEX('Both teabags AfterDry'!$D$1:$D$839,MATCH(I508,'Both teabags AfterDry'!$A$1:$A$839,0)),"")))</f>
        <v>1.655</v>
      </c>
      <c r="Q508" s="195">
        <f t="shared" si="59"/>
        <v>0.60240000000000005</v>
      </c>
      <c r="R508" s="195">
        <f t="shared" si="59"/>
        <v>1.5044</v>
      </c>
      <c r="S508" s="195">
        <f t="shared" si="54"/>
        <v>0.65969946898655518</v>
      </c>
      <c r="T508" s="195">
        <f t="shared" si="60"/>
        <v>0.43248706280353744</v>
      </c>
      <c r="U508" s="195">
        <f t="shared" si="55"/>
        <v>0.76825656214891214</v>
      </c>
      <c r="V508">
        <f t="shared" si="56"/>
        <v>62</v>
      </c>
      <c r="W508" s="195">
        <f t="shared" si="61"/>
        <v>0.21650894419649025</v>
      </c>
      <c r="X508" s="195">
        <f t="shared" si="62"/>
        <v>1.237941640582442E-2</v>
      </c>
      <c r="Y508" s="255" t="str">
        <f>IF(ISNUMBER(SEARCH("C", 'Dry_Litterbag Placem_Collection'!V215)),"YES","NO")</f>
        <v>NO</v>
      </c>
      <c r="Z508" s="255" t="str">
        <f>IF(ISNUMBER(SEARCH("H", 'Dry_Litterbag Placem_Collection'!V215)),"YES","NO")</f>
        <v>NO</v>
      </c>
      <c r="AA508" s="255" t="str">
        <f>IF(ISNUMBER(SEARCH("R", 'Dry_Litterbag Placem_Collection'!V215)),"YES","NO")</f>
        <v>YES</v>
      </c>
      <c r="AB508" s="255" t="str">
        <f>IF(ISNUMBER(SEARCH("C", 'Dry_Litterbag Placem_Collection'!U215)),"YES","NO")</f>
        <v>NO</v>
      </c>
      <c r="AC508" s="255" t="str">
        <f>IF(ISNUMBER(SEARCH("H", 'Dry_Litterbag Placem_Collection'!U215)),"YES","NO")</f>
        <v>NO</v>
      </c>
      <c r="AD508" s="255" t="str">
        <f>IF(ISNUMBER(SEARCH("R", 'Dry_Litterbag Placem_Collection'!U215)),"YES","NO")</f>
        <v>YES</v>
      </c>
    </row>
    <row r="509" spans="2:30">
      <c r="B509" t="str">
        <f>'Final data_for_R_analysis_Dryse'!A655</f>
        <v>Dry</v>
      </c>
      <c r="C509" s="263">
        <f>'Final data_for_R_analysis_Dryse'!B655</f>
        <v>213</v>
      </c>
      <c r="D509" t="s">
        <v>2450</v>
      </c>
      <c r="E509" t="s">
        <v>25</v>
      </c>
      <c r="F509" s="387">
        <v>1</v>
      </c>
      <c r="G509" s="16">
        <f>'Dry_Litterbag Placem_Collection'!E216</f>
        <v>42942</v>
      </c>
      <c r="H509" s="92" t="str">
        <f>'Final data_for_R_analysis_Dryse'!J655</f>
        <v>G5</v>
      </c>
      <c r="I509" t="str">
        <f>'Final data_for_R_analysis_Dryse'!J875</f>
        <v>R699</v>
      </c>
      <c r="J509">
        <f>IFERROR(INDEX('Green_rooibos initial weight'!$C$5:$C$1749,MATCH(H509, 'Green_rooibos initial weight'!$A$5:$A$1749,0)),"")</f>
        <v>2.0139999999999998</v>
      </c>
      <c r="K509">
        <f>IFERROR(INDEX('Green_rooibos initial weight'!$C$5:$C$1749,MATCH(I509, 'Green_rooibos initial weight'!$A$5:$A$1749,0)),"")</f>
        <v>2.157</v>
      </c>
      <c r="L509" s="195">
        <f t="shared" si="57"/>
        <v>1.7641999999999998</v>
      </c>
      <c r="M509" s="195">
        <f t="shared" si="58"/>
        <v>1.9072</v>
      </c>
      <c r="N509" s="16">
        <f>IF('Dry_Litterbag Placem_Collection'!G216="N.A","",'Dry_Litterbag Placem_Collection'!G216)</f>
        <v>43004</v>
      </c>
      <c r="O509" s="195">
        <f>IF(IFERROR(INDEX('Both teabags AfterDry'!$D$1:$D$839,MATCH(H509,'Both teabags AfterDry'!$A$1:$A$839,0)),"")="N.A","",(IFERROR(INDEX('Both teabags AfterDry'!$D$1:$D$839,MATCH(H509,'Both teabags AfterDry'!$A$1:$A$839,0)),"")))</f>
        <v>0.67</v>
      </c>
      <c r="P509" s="195">
        <f>IF(IFERROR(INDEX('Both teabags AfterDry'!$D$1:$D$839,MATCH(I509,'Both teabags AfterDry'!$A$1:$A$839,0)),"")="N.A","",(IFERROR(INDEX('Both teabags AfterDry'!$D$1:$D$839,MATCH(I509,'Both teabags AfterDry'!$A$1:$A$839,0)),"")))</f>
        <v>1.748</v>
      </c>
      <c r="Q509" s="195">
        <f t="shared" si="59"/>
        <v>0.51940000000000008</v>
      </c>
      <c r="R509" s="195">
        <f t="shared" si="59"/>
        <v>1.5973999999999999</v>
      </c>
      <c r="S509" s="195">
        <f t="shared" si="54"/>
        <v>0.7055889354948417</v>
      </c>
      <c r="T509" s="195">
        <f t="shared" si="60"/>
        <v>0.46257136863794857</v>
      </c>
      <c r="U509" s="195">
        <f t="shared" si="55"/>
        <v>0.83756291946308725</v>
      </c>
      <c r="V509">
        <f t="shared" si="56"/>
        <v>62</v>
      </c>
      <c r="W509" s="195">
        <f t="shared" si="61"/>
        <v>0.16200839014864399</v>
      </c>
      <c r="X509" s="195">
        <f t="shared" si="62"/>
        <v>6.9769492598676227E-3</v>
      </c>
      <c r="Y509" s="255" t="str">
        <f>IF(ISNUMBER(SEARCH("C", 'Dry_Litterbag Placem_Collection'!V216)),"YES","NO")</f>
        <v>NO</v>
      </c>
      <c r="Z509" s="255" t="str">
        <f>IF(ISNUMBER(SEARCH("H", 'Dry_Litterbag Placem_Collection'!V216)),"YES","NO")</f>
        <v>NO</v>
      </c>
      <c r="AA509" s="255" t="str">
        <f>IF(ISNUMBER(SEARCH("R", 'Dry_Litterbag Placem_Collection'!V216)),"YES","NO")</f>
        <v>NO</v>
      </c>
      <c r="AB509" s="255" t="str">
        <f>IF(ISNUMBER(SEARCH("C", 'Dry_Litterbag Placem_Collection'!U216)),"YES","NO")</f>
        <v>NO</v>
      </c>
      <c r="AC509" s="255" t="str">
        <f>IF(ISNUMBER(SEARCH("H", 'Dry_Litterbag Placem_Collection'!U216)),"YES","NO")</f>
        <v>NO</v>
      </c>
      <c r="AD509" s="255" t="str">
        <f>IF(ISNUMBER(SEARCH("R", 'Dry_Litterbag Placem_Collection'!U216)),"YES","NO")</f>
        <v>NO</v>
      </c>
    </row>
    <row r="510" spans="2:30">
      <c r="B510" t="str">
        <f>'Final data_for_R_analysis_Dryse'!A656</f>
        <v>Dry</v>
      </c>
      <c r="C510" s="263">
        <f>'Final data_for_R_analysis_Dryse'!B656</f>
        <v>214</v>
      </c>
      <c r="D510" t="s">
        <v>2443</v>
      </c>
      <c r="E510" t="s">
        <v>25</v>
      </c>
      <c r="F510" s="387">
        <v>2</v>
      </c>
      <c r="G510" s="16">
        <f>'Dry_Litterbag Placem_Collection'!E217</f>
        <v>42942</v>
      </c>
      <c r="H510" s="92" t="str">
        <f>'Final data_for_R_analysis_Dryse'!J656</f>
        <v>G771</v>
      </c>
      <c r="I510" t="str">
        <f>'Final data_for_R_analysis_Dryse'!J876</f>
        <v>R663</v>
      </c>
      <c r="J510">
        <f>IFERROR(INDEX('Green_rooibos initial weight'!$C$5:$C$1749,MATCH(H510, 'Green_rooibos initial weight'!$A$5:$A$1749,0)),"")</f>
        <v>1.9910000000000001</v>
      </c>
      <c r="K510">
        <f>IFERROR(INDEX('Green_rooibos initial weight'!$C$5:$C$1749,MATCH(I510, 'Green_rooibos initial weight'!$A$5:$A$1749,0)),"")</f>
        <v>2.105</v>
      </c>
      <c r="L510" s="195">
        <f t="shared" si="57"/>
        <v>1.7412000000000001</v>
      </c>
      <c r="M510" s="195">
        <f t="shared" si="58"/>
        <v>1.8552</v>
      </c>
      <c r="N510" s="16">
        <f>IF('Dry_Litterbag Placem_Collection'!G217="N.A","",'Dry_Litterbag Placem_Collection'!G217)</f>
        <v>43004</v>
      </c>
      <c r="O510" s="195">
        <f>IF(IFERROR(INDEX('Both teabags AfterDry'!$D$1:$D$839,MATCH(H510,'Both teabags AfterDry'!$A$1:$A$839,0)),"")="N.A","",(IFERROR(INDEX('Both teabags AfterDry'!$D$1:$D$839,MATCH(H510,'Both teabags AfterDry'!$A$1:$A$839,0)),"")))</f>
        <v>0.65300000000000002</v>
      </c>
      <c r="P510" s="195">
        <f>IF(IFERROR(INDEX('Both teabags AfterDry'!$D$1:$D$839,MATCH(I510,'Both teabags AfterDry'!$A$1:$A$839,0)),"")="N.A","",(IFERROR(INDEX('Both teabags AfterDry'!$D$1:$D$839,MATCH(I510,'Both teabags AfterDry'!$A$1:$A$839,0)),"")))</f>
        <v>1.6679999999999999</v>
      </c>
      <c r="Q510" s="195">
        <f t="shared" si="59"/>
        <v>0.50239999999999996</v>
      </c>
      <c r="R510" s="195">
        <f t="shared" si="59"/>
        <v>1.5173999999999999</v>
      </c>
      <c r="S510" s="195">
        <f t="shared" si="54"/>
        <v>0.71146335860326215</v>
      </c>
      <c r="T510" s="195">
        <f t="shared" si="60"/>
        <v>0.46642253438123604</v>
      </c>
      <c r="U510" s="195">
        <f t="shared" si="55"/>
        <v>0.81791720569210857</v>
      </c>
      <c r="V510">
        <f t="shared" si="56"/>
        <v>62</v>
      </c>
      <c r="W510" s="195">
        <f t="shared" si="61"/>
        <v>0.15503164061370289</v>
      </c>
      <c r="X510" s="195">
        <f t="shared" si="62"/>
        <v>7.9826154575965442E-3</v>
      </c>
      <c r="Y510" s="255" t="str">
        <f>IF(ISNUMBER(SEARCH("C", 'Dry_Litterbag Placem_Collection'!V217)),"YES","NO")</f>
        <v>NO</v>
      </c>
      <c r="Z510" s="255" t="str">
        <f>IF(ISNUMBER(SEARCH("H", 'Dry_Litterbag Placem_Collection'!V217)),"YES","NO")</f>
        <v>NO</v>
      </c>
      <c r="AA510" s="255" t="str">
        <f>IF(ISNUMBER(SEARCH("R", 'Dry_Litterbag Placem_Collection'!V217)),"YES","NO")</f>
        <v>NO</v>
      </c>
      <c r="AB510" s="255" t="str">
        <f>IF(ISNUMBER(SEARCH("C", 'Dry_Litterbag Placem_Collection'!U217)),"YES","NO")</f>
        <v>NO</v>
      </c>
      <c r="AC510" s="255" t="str">
        <f>IF(ISNUMBER(SEARCH("H", 'Dry_Litterbag Placem_Collection'!U217)),"YES","NO")</f>
        <v>NO</v>
      </c>
      <c r="AD510" s="255" t="str">
        <f>IF(ISNUMBER(SEARCH("R", 'Dry_Litterbag Placem_Collection'!U217)),"YES","NO")</f>
        <v>YES</v>
      </c>
    </row>
    <row r="511" spans="2:30">
      <c r="B511" t="str">
        <f>'Final data_for_R_analysis_Dryse'!A657</f>
        <v>Dry</v>
      </c>
      <c r="C511" s="263">
        <f>'Final data_for_R_analysis_Dryse'!B657</f>
        <v>216</v>
      </c>
      <c r="D511" t="s">
        <v>2436</v>
      </c>
      <c r="E511" t="s">
        <v>25</v>
      </c>
      <c r="F511" s="387">
        <v>4</v>
      </c>
      <c r="G511" s="16">
        <f>'Dry_Litterbag Placem_Collection'!E218</f>
        <v>42942</v>
      </c>
      <c r="H511" s="92" t="str">
        <f>'Final data_for_R_analysis_Dryse'!J657</f>
        <v>G361</v>
      </c>
      <c r="I511" t="str">
        <f>'Final data_for_R_analysis_Dryse'!J877</f>
        <v>R622</v>
      </c>
      <c r="J511">
        <f>IFERROR(INDEX('Green_rooibos initial weight'!$C$5:$C$1749,MATCH(H511, 'Green_rooibos initial weight'!$A$5:$A$1749,0)),"")</f>
        <v>2.0590000000000002</v>
      </c>
      <c r="K511">
        <f>IFERROR(INDEX('Green_rooibos initial weight'!$C$5:$C$1749,MATCH(I511, 'Green_rooibos initial weight'!$A$5:$A$1749,0)),"")</f>
        <v>2.1640000000000001</v>
      </c>
      <c r="L511" s="195">
        <f t="shared" si="57"/>
        <v>1.8092000000000001</v>
      </c>
      <c r="M511" s="195">
        <f t="shared" si="58"/>
        <v>1.9142000000000001</v>
      </c>
      <c r="N511" s="16">
        <f>IF('Dry_Litterbag Placem_Collection'!G218="N.A","",'Dry_Litterbag Placem_Collection'!G218)</f>
        <v>43004</v>
      </c>
      <c r="O511" s="195">
        <f>IF(IFERROR(INDEX('Both teabags AfterDry'!$D$1:$D$839,MATCH(H511,'Both teabags AfterDry'!$A$1:$A$839,0)),"")="N.A","",(IFERROR(INDEX('Both teabags AfterDry'!$D$1:$D$839,MATCH(H511,'Both teabags AfterDry'!$A$1:$A$839,0)),"")))</f>
        <v>0.73499999999999999</v>
      </c>
      <c r="P511" s="195">
        <f>IF(IFERROR(INDEX('Both teabags AfterDry'!$D$1:$D$839,MATCH(I511,'Both teabags AfterDry'!$A$1:$A$839,0)),"")="N.A","",(IFERROR(INDEX('Both teabags AfterDry'!$D$1:$D$839,MATCH(I511,'Both teabags AfterDry'!$A$1:$A$839,0)),"")))</f>
        <v>1.6419999999999999</v>
      </c>
      <c r="Q511" s="195">
        <f t="shared" si="59"/>
        <v>0.58440000000000003</v>
      </c>
      <c r="R511" s="195">
        <f t="shared" si="59"/>
        <v>1.4913999999999998</v>
      </c>
      <c r="S511" s="195">
        <f t="shared" si="54"/>
        <v>0.67698430245412333</v>
      </c>
      <c r="T511" s="195">
        <f t="shared" si="60"/>
        <v>0.44381868759462723</v>
      </c>
      <c r="U511" s="195">
        <f t="shared" si="55"/>
        <v>0.77912443840768975</v>
      </c>
      <c r="V511">
        <f t="shared" si="56"/>
        <v>62</v>
      </c>
      <c r="W511" s="195">
        <f t="shared" si="61"/>
        <v>0.19598063841553048</v>
      </c>
      <c r="X511" s="195">
        <f t="shared" si="62"/>
        <v>1.1104829341503992E-2</v>
      </c>
      <c r="Y511" s="255" t="str">
        <f>IF(ISNUMBER(SEARCH("C", 'Dry_Litterbag Placem_Collection'!V218)),"YES","NO")</f>
        <v>NO</v>
      </c>
      <c r="Z511" s="255" t="str">
        <f>IF(ISNUMBER(SEARCH("H", 'Dry_Litterbag Placem_Collection'!V218)),"YES","NO")</f>
        <v>NO</v>
      </c>
      <c r="AA511" s="255" t="str">
        <f>IF(ISNUMBER(SEARCH("R", 'Dry_Litterbag Placem_Collection'!V218)),"YES","NO")</f>
        <v>NO</v>
      </c>
      <c r="AB511" s="255" t="str">
        <f>IF(ISNUMBER(SEARCH("C", 'Dry_Litterbag Placem_Collection'!U218)),"YES","NO")</f>
        <v>NO</v>
      </c>
      <c r="AC511" s="255" t="str">
        <f>IF(ISNUMBER(SEARCH("H", 'Dry_Litterbag Placem_Collection'!U218)),"YES","NO")</f>
        <v>NO</v>
      </c>
      <c r="AD511" s="255" t="str">
        <f>IF(ISNUMBER(SEARCH("R", 'Dry_Litterbag Placem_Collection'!U218)),"YES","NO")</f>
        <v>NO</v>
      </c>
    </row>
    <row r="512" spans="2:30">
      <c r="B512" t="str">
        <f>'Final data_for_R_analysis_Dryse'!A658</f>
        <v>Dry</v>
      </c>
      <c r="C512" s="263">
        <f>'Final data_for_R_analysis_Dryse'!B658</f>
        <v>217</v>
      </c>
      <c r="D512" t="s">
        <v>2429</v>
      </c>
      <c r="E512" t="s">
        <v>25</v>
      </c>
      <c r="F512" s="387">
        <v>1</v>
      </c>
      <c r="G512" s="16">
        <f>'Dry_Litterbag Placem_Collection'!E219</f>
        <v>42942</v>
      </c>
      <c r="H512" s="92" t="str">
        <f>'Final data_for_R_analysis_Dryse'!J658</f>
        <v>G204</v>
      </c>
      <c r="I512" t="str">
        <f>'Final data_for_R_analysis_Dryse'!J878</f>
        <v>R608</v>
      </c>
      <c r="J512">
        <f>IFERROR(INDEX('Green_rooibos initial weight'!$C$5:$C$1749,MATCH(H512, 'Green_rooibos initial weight'!$A$5:$A$1749,0)),"")</f>
        <v>2.1970000000000001</v>
      </c>
      <c r="K512">
        <f>IFERROR(INDEX('Green_rooibos initial weight'!$C$5:$C$1749,MATCH(I512, 'Green_rooibos initial weight'!$A$5:$A$1749,0)),"")</f>
        <v>2.1440000000000001</v>
      </c>
      <c r="L512" s="195">
        <f t="shared" si="57"/>
        <v>1.9472</v>
      </c>
      <c r="M512" s="195">
        <f t="shared" si="58"/>
        <v>1.8942000000000001</v>
      </c>
      <c r="N512" s="16">
        <f>IF('Dry_Litterbag Placem_Collection'!G219="N.A","",'Dry_Litterbag Placem_Collection'!G219)</f>
        <v>43004</v>
      </c>
      <c r="O512" s="195">
        <f>IF(IFERROR(INDEX('Both teabags AfterDry'!$D$1:$D$839,MATCH(H512,'Both teabags AfterDry'!$A$1:$A$839,0)),"")="N.A","",(IFERROR(INDEX('Both teabags AfterDry'!$D$1:$D$839,MATCH(H512,'Both teabags AfterDry'!$A$1:$A$839,0)),"")))</f>
        <v>0.80579999999999996</v>
      </c>
      <c r="P512" s="195">
        <f>IF(IFERROR(INDEX('Both teabags AfterDry'!$D$1:$D$839,MATCH(I512,'Both teabags AfterDry'!$A$1:$A$839,0)),"")="N.A","",(IFERROR(INDEX('Both teabags AfterDry'!$D$1:$D$839,MATCH(I512,'Both teabags AfterDry'!$A$1:$A$839,0)),"")))</f>
        <v>1.6455</v>
      </c>
      <c r="Q512" s="195">
        <f t="shared" si="59"/>
        <v>0.6552</v>
      </c>
      <c r="R512" s="195">
        <f t="shared" si="59"/>
        <v>1.4948999999999999</v>
      </c>
      <c r="S512" s="195">
        <f t="shared" si="54"/>
        <v>0.6635168447000821</v>
      </c>
      <c r="T512" s="195">
        <f t="shared" si="60"/>
        <v>0.43498966540908002</v>
      </c>
      <c r="U512" s="195">
        <f t="shared" si="55"/>
        <v>0.78919860627177696</v>
      </c>
      <c r="V512">
        <f t="shared" si="56"/>
        <v>62</v>
      </c>
      <c r="W512" s="195">
        <f t="shared" si="61"/>
        <v>0.21197524382413047</v>
      </c>
      <c r="X512" s="195">
        <f t="shared" si="62"/>
        <v>1.069090444704884E-2</v>
      </c>
      <c r="Y512" s="255" t="str">
        <f>IF(ISNUMBER(SEARCH("C", 'Dry_Litterbag Placem_Collection'!V219)),"YES","NO")</f>
        <v>NO</v>
      </c>
      <c r="Z512" s="255" t="str">
        <f>IF(ISNUMBER(SEARCH("H", 'Dry_Litterbag Placem_Collection'!V219)),"YES","NO")</f>
        <v>NO</v>
      </c>
      <c r="AA512" s="255" t="str">
        <f>IF(ISNUMBER(SEARCH("R", 'Dry_Litterbag Placem_Collection'!V219)),"YES","NO")</f>
        <v>NO</v>
      </c>
      <c r="AB512" s="255" t="str">
        <f>IF(ISNUMBER(SEARCH("C", 'Dry_Litterbag Placem_Collection'!U219)),"YES","NO")</f>
        <v>NO</v>
      </c>
      <c r="AC512" s="255" t="str">
        <f>IF(ISNUMBER(SEARCH("H", 'Dry_Litterbag Placem_Collection'!U219)),"YES","NO")</f>
        <v>NO</v>
      </c>
      <c r="AD512" s="255" t="str">
        <f>IF(ISNUMBER(SEARCH("R", 'Dry_Litterbag Placem_Collection'!U219)),"YES","NO")</f>
        <v>YES</v>
      </c>
    </row>
    <row r="513" spans="2:30">
      <c r="B513" t="str">
        <f>'Final data_for_R_analysis_Dryse'!A659</f>
        <v>Dry</v>
      </c>
      <c r="C513" s="263">
        <f>'Final data_for_R_analysis_Dryse'!B659</f>
        <v>218</v>
      </c>
      <c r="D513" t="s">
        <v>2437</v>
      </c>
      <c r="E513" t="s">
        <v>25</v>
      </c>
      <c r="F513" s="387">
        <v>2</v>
      </c>
      <c r="G513" s="16">
        <f>'Dry_Litterbag Placem_Collection'!E220</f>
        <v>42942</v>
      </c>
      <c r="H513" s="92" t="str">
        <f>'Final data_for_R_analysis_Dryse'!J659</f>
        <v>G170</v>
      </c>
      <c r="I513" t="str">
        <f>'Final data_for_R_analysis_Dryse'!J879</f>
        <v>R639</v>
      </c>
      <c r="J513">
        <f>IFERROR(INDEX('Green_rooibos initial weight'!$C$5:$C$1749,MATCH(H513, 'Green_rooibos initial weight'!$A$5:$A$1749,0)),"")</f>
        <v>2.0390000000000001</v>
      </c>
      <c r="K513">
        <f>IFERROR(INDEX('Green_rooibos initial weight'!$C$5:$C$1749,MATCH(I513, 'Green_rooibos initial weight'!$A$5:$A$1749,0)),"")</f>
        <v>2.0840000000000001</v>
      </c>
      <c r="L513" s="195">
        <f t="shared" si="57"/>
        <v>1.7892000000000001</v>
      </c>
      <c r="M513" s="195">
        <f t="shared" si="58"/>
        <v>1.8342000000000001</v>
      </c>
      <c r="N513" s="16">
        <f>IF('Dry_Litterbag Placem_Collection'!G220="N.A","",'Dry_Litterbag Placem_Collection'!G220)</f>
        <v>43004</v>
      </c>
      <c r="O513" s="195">
        <f>IF(IFERROR(INDEX('Both teabags AfterDry'!$D$1:$D$839,MATCH(H513,'Both teabags AfterDry'!$A$1:$A$839,0)),"")="N.A","",(IFERROR(INDEX('Both teabags AfterDry'!$D$1:$D$839,MATCH(H513,'Both teabags AfterDry'!$A$1:$A$839,0)),"")))</f>
        <v>0.66100000000000003</v>
      </c>
      <c r="P513" s="195">
        <f>IF(IFERROR(INDEX('Both teabags AfterDry'!$D$1:$D$839,MATCH(I513,'Both teabags AfterDry'!$A$1:$A$839,0)),"")="N.A","",(IFERROR(INDEX('Both teabags AfterDry'!$D$1:$D$839,MATCH(I513,'Both teabags AfterDry'!$A$1:$A$839,0)),"")))</f>
        <v>1.6519999999999999</v>
      </c>
      <c r="Q513" s="195">
        <f t="shared" si="59"/>
        <v>0.51039999999999996</v>
      </c>
      <c r="R513" s="195">
        <f t="shared" si="59"/>
        <v>1.5013999999999998</v>
      </c>
      <c r="S513" s="195">
        <f t="shared" si="54"/>
        <v>0.71473284149340488</v>
      </c>
      <c r="T513" s="195">
        <f t="shared" si="60"/>
        <v>0.46856594834246978</v>
      </c>
      <c r="U513" s="195">
        <f t="shared" si="55"/>
        <v>0.81855849961836213</v>
      </c>
      <c r="V513">
        <f t="shared" si="56"/>
        <v>62</v>
      </c>
      <c r="W513" s="195">
        <f t="shared" si="61"/>
        <v>0.15114864430712005</v>
      </c>
      <c r="X513" s="195">
        <f t="shared" si="62"/>
        <v>7.8993728754922343E-3</v>
      </c>
      <c r="Y513" s="255" t="str">
        <f>IF(ISNUMBER(SEARCH("C", 'Dry_Litterbag Placem_Collection'!V220)),"YES","NO")</f>
        <v>NO</v>
      </c>
      <c r="Z513" s="255" t="str">
        <f>IF(ISNUMBER(SEARCH("H", 'Dry_Litterbag Placem_Collection'!V220)),"YES","NO")</f>
        <v>NO</v>
      </c>
      <c r="AA513" s="255" t="str">
        <f>IF(ISNUMBER(SEARCH("R", 'Dry_Litterbag Placem_Collection'!V220)),"YES","NO")</f>
        <v>YES</v>
      </c>
      <c r="AB513" s="255" t="str">
        <f>IF(ISNUMBER(SEARCH("C", 'Dry_Litterbag Placem_Collection'!U220)),"YES","NO")</f>
        <v>NO</v>
      </c>
      <c r="AC513" s="255" t="str">
        <f>IF(ISNUMBER(SEARCH("H", 'Dry_Litterbag Placem_Collection'!U220)),"YES","NO")</f>
        <v>NO</v>
      </c>
      <c r="AD513" s="255" t="str">
        <f>IF(ISNUMBER(SEARCH("R", 'Dry_Litterbag Placem_Collection'!U220)),"YES","NO")</f>
        <v>YES</v>
      </c>
    </row>
    <row r="514" spans="2:30">
      <c r="B514" t="str">
        <f>'Final data_for_R_analysis_Dryse'!A660</f>
        <v>Dry</v>
      </c>
      <c r="C514" s="263">
        <f>'Final data_for_R_analysis_Dryse'!B660</f>
        <v>219</v>
      </c>
      <c r="D514" t="s">
        <v>2444</v>
      </c>
      <c r="E514" t="s">
        <v>25</v>
      </c>
      <c r="F514" s="387">
        <v>3</v>
      </c>
      <c r="G514" s="16">
        <f>'Dry_Litterbag Placem_Collection'!E221</f>
        <v>42942</v>
      </c>
      <c r="H514" s="92" t="str">
        <f>'Final data_for_R_analysis_Dryse'!J660</f>
        <v>G123</v>
      </c>
      <c r="I514" t="str">
        <f>'Final data_for_R_analysis_Dryse'!J880</f>
        <v>R246</v>
      </c>
      <c r="J514">
        <f>IFERROR(INDEX('Green_rooibos initial weight'!$C$5:$C$1749,MATCH(H514, 'Green_rooibos initial weight'!$A$5:$A$1749,0)),"")</f>
        <v>2.133</v>
      </c>
      <c r="K514">
        <f>IFERROR(INDEX('Green_rooibos initial weight'!$C$5:$C$1749,MATCH(I514, 'Green_rooibos initial weight'!$A$5:$A$1749,0)),"")</f>
        <v>2.2170000000000001</v>
      </c>
      <c r="L514" s="195">
        <f t="shared" si="57"/>
        <v>1.8832</v>
      </c>
      <c r="M514" s="195">
        <f t="shared" si="58"/>
        <v>1.9672000000000001</v>
      </c>
      <c r="N514" s="16">
        <f>IF('Dry_Litterbag Placem_Collection'!G221="N.A","",'Dry_Litterbag Placem_Collection'!G221)</f>
        <v>43004</v>
      </c>
      <c r="O514" s="195">
        <f>IF(IFERROR(INDEX('Both teabags AfterDry'!$D$1:$D$839,MATCH(H514,'Both teabags AfterDry'!$A$1:$A$839,0)),"")="N.A","",(IFERROR(INDEX('Both teabags AfterDry'!$D$1:$D$839,MATCH(H514,'Both teabags AfterDry'!$A$1:$A$839,0)),"")))</f>
        <v>0.82250000000000001</v>
      </c>
      <c r="P514" s="195">
        <f>IF(IFERROR(INDEX('Both teabags AfterDry'!$D$1:$D$839,MATCH(I514,'Both teabags AfterDry'!$A$1:$A$839,0)),"")="N.A","",(IFERROR(INDEX('Both teabags AfterDry'!$D$1:$D$839,MATCH(I514,'Both teabags AfterDry'!$A$1:$A$839,0)),"")))</f>
        <v>1.639</v>
      </c>
      <c r="Q514" s="195">
        <f t="shared" si="59"/>
        <v>0.67189999999999994</v>
      </c>
      <c r="R514" s="195">
        <f t="shared" si="59"/>
        <v>1.4883999999999999</v>
      </c>
      <c r="S514" s="195">
        <f t="shared" si="54"/>
        <v>0.64321367884451996</v>
      </c>
      <c r="T514" s="195">
        <f t="shared" si="60"/>
        <v>0.42167927639213187</v>
      </c>
      <c r="U514" s="195">
        <f t="shared" si="55"/>
        <v>0.75660837738918252</v>
      </c>
      <c r="V514">
        <f t="shared" si="56"/>
        <v>62</v>
      </c>
      <c r="W514" s="195">
        <f t="shared" si="61"/>
        <v>0.23608826740555822</v>
      </c>
      <c r="X514" s="195">
        <f t="shared" si="62"/>
        <v>1.3884624808672117E-2</v>
      </c>
      <c r="Y514" s="255" t="str">
        <f>IF(ISNUMBER(SEARCH("C", 'Dry_Litterbag Placem_Collection'!V221)),"YES","NO")</f>
        <v>NO</v>
      </c>
      <c r="Z514" s="255" t="str">
        <f>IF(ISNUMBER(SEARCH("H", 'Dry_Litterbag Placem_Collection'!V221)),"YES","NO")</f>
        <v>NO</v>
      </c>
      <c r="AA514" s="255" t="str">
        <f>IF(ISNUMBER(SEARCH("R", 'Dry_Litterbag Placem_Collection'!V221)),"YES","NO")</f>
        <v>NO</v>
      </c>
      <c r="AB514" s="255" t="str">
        <f>IF(ISNUMBER(SEARCH("C", 'Dry_Litterbag Placem_Collection'!U221)),"YES","NO")</f>
        <v>NO</v>
      </c>
      <c r="AC514" s="255" t="str">
        <f>IF(ISNUMBER(SEARCH("H", 'Dry_Litterbag Placem_Collection'!U221)),"YES","NO")</f>
        <v>NO</v>
      </c>
      <c r="AD514" s="255" t="str">
        <f>IF(ISNUMBER(SEARCH("R", 'Dry_Litterbag Placem_Collection'!U221)),"YES","NO")</f>
        <v>YES</v>
      </c>
    </row>
    <row r="515" spans="2:30">
      <c r="B515" t="str">
        <f>'Final data_for_R_analysis_Dryse'!A661</f>
        <v>Dry</v>
      </c>
      <c r="C515" s="386">
        <f>'Final data_for_R_analysis_Dryse'!B661</f>
        <v>220</v>
      </c>
      <c r="D515" t="s">
        <v>2451</v>
      </c>
      <c r="E515" t="s">
        <v>25</v>
      </c>
      <c r="F515" s="387">
        <v>4</v>
      </c>
      <c r="G515" s="388">
        <f>'Dry_Litterbag Placem_Collection'!E222</f>
        <v>42942</v>
      </c>
      <c r="H515" s="92" t="str">
        <f>'Final data_for_R_analysis_Dryse'!J661</f>
        <v>G53</v>
      </c>
      <c r="I515" s="92" t="str">
        <f>'Final data_for_R_analysis_Dryse'!J881</f>
        <v>R672</v>
      </c>
      <c r="J515" s="92">
        <f>IFERROR(INDEX('Green_rooibos initial weight'!$C$5:$C$1749,MATCH(H515, 'Green_rooibos initial weight'!$A$5:$A$1749,0)),"")</f>
        <v>1.907</v>
      </c>
      <c r="K515" s="92">
        <f>IFERROR(INDEX('Green_rooibos initial weight'!$C$5:$C$1749,MATCH(I515, 'Green_rooibos initial weight'!$A$5:$A$1749,0)),"")</f>
        <v>2.161</v>
      </c>
      <c r="L515" s="195">
        <f t="shared" si="57"/>
        <v>1.6572</v>
      </c>
      <c r="M515" s="195">
        <f t="shared" si="58"/>
        <v>1.9112</v>
      </c>
      <c r="N515" s="388">
        <f>IF('Dry_Litterbag Placem_Collection'!G222="N.A","",'Dry_Litterbag Placem_Collection'!G222)</f>
        <v>43004</v>
      </c>
      <c r="O515" s="195" t="str">
        <f>IF(IFERROR(INDEX('Both teabags AfterDry'!$D$1:$D$839,MATCH(H515,'Both teabags AfterDry'!$A$1:$A$839,0)),"")="N.A","",(IFERROR(INDEX('Both teabags AfterDry'!$D$1:$D$839,MATCH(H515,'Both teabags AfterDry'!$A$1:$A$839,0)),"")))</f>
        <v/>
      </c>
      <c r="P515" s="195" t="str">
        <f>IF(IFERROR(INDEX('Both teabags AfterDry'!$D$1:$D$839,MATCH(I515,'Both teabags AfterDry'!$A$1:$A$839,0)),"")="N.A","",(IFERROR(INDEX('Both teabags AfterDry'!$D$1:$D$839,MATCH(I515,'Both teabags AfterDry'!$A$1:$A$839,0)),"")))</f>
        <v/>
      </c>
      <c r="Q515" s="195" t="str">
        <f t="shared" si="59"/>
        <v/>
      </c>
      <c r="R515" s="195" t="str">
        <f t="shared" si="59"/>
        <v/>
      </c>
      <c r="S515" s="195" t="str">
        <f t="shared" si="54"/>
        <v/>
      </c>
      <c r="T515" s="195" t="str">
        <f t="shared" si="60"/>
        <v/>
      </c>
      <c r="U515" s="195" t="str">
        <f t="shared" si="55"/>
        <v/>
      </c>
      <c r="V515" s="92">
        <f t="shared" si="56"/>
        <v>62</v>
      </c>
      <c r="W515" s="195" t="str">
        <f t="shared" si="61"/>
        <v/>
      </c>
      <c r="X515" s="195" t="str">
        <f t="shared" si="62"/>
        <v/>
      </c>
      <c r="Y515" s="255" t="str">
        <f>IF(ISNUMBER(SEARCH("C", 'Dry_Litterbag Placem_Collection'!V222)),"YES","NO")</f>
        <v>NO</v>
      </c>
      <c r="Z515" s="255" t="str">
        <f>IF(ISNUMBER(SEARCH("H", 'Dry_Litterbag Placem_Collection'!V222)),"YES","NO")</f>
        <v>NO</v>
      </c>
      <c r="AA515" s="255" t="str">
        <f>IF(ISNUMBER(SEARCH("R", 'Dry_Litterbag Placem_Collection'!V222)),"YES","NO")</f>
        <v>NO</v>
      </c>
      <c r="AB515" s="255" t="str">
        <f>IF(ISNUMBER(SEARCH("C", 'Dry_Litterbag Placem_Collection'!U222)),"YES","NO")</f>
        <v>NO</v>
      </c>
      <c r="AC515" s="255" t="str">
        <f>IF(ISNUMBER(SEARCH("H", 'Dry_Litterbag Placem_Collection'!U222)),"YES","NO")</f>
        <v>NO</v>
      </c>
      <c r="AD515" s="255" t="str">
        <f>IF(ISNUMBER(SEARCH("R", 'Dry_Litterbag Placem_Collection'!U222)),"YES","NO")</f>
        <v>YES</v>
      </c>
    </row>
  </sheetData>
  <mergeCells count="51">
    <mergeCell ref="D73:H74"/>
    <mergeCell ref="Y74:AD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K39:K63" xr:uid="{4D304FE2-AD78-45CA-854D-9BD4F4593A1C}">
      <formula1>shading</formula1>
    </dataValidation>
    <dataValidation type="list" allowBlank="1" showInputMessage="1" showErrorMessage="1" sqref="L39:L63" xr:uid="{F673938C-AA16-43DA-99B9-06B637D4DF84}">
      <formula1>human_impact</formula1>
    </dataValidation>
    <dataValidation type="list" allowBlank="1" showInputMessage="1" showErrorMessage="1" sqref="O39:O63" xr:uid="{0F718265-1EEC-41CD-8A45-E199F89A3387}">
      <formula1>ecosystem</formula1>
    </dataValidation>
    <dataValidation type="list" allowBlank="1" showInputMessage="1" showErrorMessage="1" sqref="Q39:Q63" xr:uid="{5F9D61CF-8680-4389-8DA9-469044422A13}">
      <formula1>soildepth</formula1>
    </dataValidation>
    <dataValidation type="list" allowBlank="1" showInputMessage="1" showErrorMessage="1" sqref="R39:R63" xr:uid="{67D5706A-672F-4944-B98A-8B62A4F97ED7}">
      <formula1>rootingdepth</formula1>
    </dataValidation>
    <dataValidation type="list" allowBlank="1" showInputMessage="1" showErrorMessage="1" sqref="S39:S63" xr:uid="{FB4F6A00-F06E-4A80-97F6-1367254E0583}">
      <formula1>slope</formula1>
    </dataValidation>
    <dataValidation type="list" allowBlank="1" showInputMessage="1" showErrorMessage="1" sqref="T39:T63" xr:uid="{8054FFF6-B7FE-4003-9A66-86377D98305E}">
      <formula1>aspect</formula1>
    </dataValidation>
  </dataValidations>
  <hyperlinks>
    <hyperlink ref="F16" r:id="rId1" xr:uid="{D58790F6-456E-4F40-8EFE-551B3317A99D}"/>
    <hyperlink ref="F15" r:id="rId2" xr:uid="{5C40B110-7636-4C91-9DAC-A61DB1DE3531}"/>
  </hyperlinks>
  <pageMargins left="0.7" right="0.7" top="0.75" bottom="0.75" header="0.3" footer="0.3"/>
  <pageSetup paperSize="9" orientation="portrait" r:id="rId3"/>
  <legacyDrawing r:id="rId4"/>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U515"/>
  <sheetViews>
    <sheetView topLeftCell="A66" zoomScale="85" zoomScaleNormal="85" workbookViewId="0">
      <selection activeCell="E94" sqref="E94"/>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89" customFormat="1">
      <c r="B1" s="289" t="s">
        <v>3793</v>
      </c>
      <c r="D1" s="289" t="s">
        <v>3794</v>
      </c>
      <c r="E1" s="290"/>
      <c r="K1" s="290"/>
      <c r="L1" s="291"/>
      <c r="M1" s="291"/>
    </row>
    <row r="2" spans="2:13" s="289" customFormat="1">
      <c r="B2" s="292" t="s">
        <v>3795</v>
      </c>
      <c r="E2" s="290"/>
      <c r="K2" s="290"/>
      <c r="L2" s="291"/>
      <c r="M2" s="291"/>
    </row>
    <row r="3" spans="2:13" s="294" customFormat="1" ht="30" customHeight="1">
      <c r="B3" s="293" t="s">
        <v>3796</v>
      </c>
      <c r="E3" s="295"/>
      <c r="K3" s="295"/>
      <c r="L3" s="296"/>
      <c r="M3" s="296"/>
    </row>
    <row r="4" spans="2:13" s="298" customFormat="1">
      <c r="B4" s="297" t="s">
        <v>3797</v>
      </c>
      <c r="E4" s="299"/>
      <c r="K4" s="299"/>
      <c r="L4" s="300"/>
      <c r="M4" s="300"/>
    </row>
    <row r="5" spans="2:13" s="298" customFormat="1">
      <c r="B5" s="298" t="s">
        <v>3798</v>
      </c>
      <c r="E5" s="299"/>
      <c r="K5" s="299"/>
      <c r="L5" s="300"/>
      <c r="M5" s="300"/>
    </row>
    <row r="6" spans="2:13" s="297" customFormat="1">
      <c r="B6" s="297" t="s">
        <v>3799</v>
      </c>
      <c r="E6" s="301"/>
      <c r="K6" s="301"/>
      <c r="L6" s="302"/>
      <c r="M6" s="302"/>
    </row>
    <row r="7" spans="2:13" s="289" customFormat="1">
      <c r="B7" s="303" t="s">
        <v>3800</v>
      </c>
      <c r="C7" s="304"/>
      <c r="D7" s="304"/>
      <c r="E7" s="305"/>
      <c r="G7" s="304"/>
      <c r="K7" s="290"/>
      <c r="L7" s="291"/>
      <c r="M7" s="291"/>
    </row>
    <row r="8" spans="2:13" s="289" customFormat="1">
      <c r="B8" s="304"/>
      <c r="C8" s="304"/>
      <c r="D8" s="304"/>
      <c r="E8" s="305"/>
      <c r="G8" s="304"/>
      <c r="K8" s="290"/>
      <c r="L8" s="291"/>
      <c r="M8" s="291"/>
    </row>
    <row r="9" spans="2:13" s="289" customFormat="1">
      <c r="B9" s="304"/>
      <c r="C9" s="304"/>
      <c r="D9" s="304"/>
      <c r="E9" s="305"/>
      <c r="G9" s="304"/>
      <c r="K9" s="290"/>
      <c r="L9" s="291"/>
      <c r="M9" s="291"/>
    </row>
    <row r="10" spans="2:13" s="304" customFormat="1">
      <c r="B10" s="306" t="s">
        <v>3801</v>
      </c>
      <c r="C10" s="306"/>
      <c r="E10" s="305"/>
      <c r="K10" s="305"/>
      <c r="L10" s="307"/>
      <c r="M10" s="307"/>
    </row>
    <row r="11" spans="2:13" s="304" customFormat="1" ht="15" thickBot="1">
      <c r="B11" s="306" t="s">
        <v>3802</v>
      </c>
      <c r="C11" s="306"/>
      <c r="E11" s="305"/>
      <c r="F11" s="304" t="s">
        <v>3803</v>
      </c>
      <c r="K11" s="305"/>
      <c r="L11" s="307"/>
      <c r="M11" s="307"/>
    </row>
    <row r="12" spans="2:13" s="303" customFormat="1">
      <c r="B12" s="420" t="s">
        <v>0</v>
      </c>
      <c r="C12" s="421"/>
      <c r="D12" s="421"/>
      <c r="E12" s="421"/>
      <c r="F12" s="308" t="s">
        <v>3804</v>
      </c>
      <c r="G12" s="309"/>
      <c r="H12" s="309"/>
      <c r="I12" s="309"/>
      <c r="K12" s="310"/>
      <c r="L12" s="311"/>
      <c r="M12" s="311"/>
    </row>
    <row r="13" spans="2:13" s="303" customFormat="1">
      <c r="B13" s="418" t="s">
        <v>3805</v>
      </c>
      <c r="C13" s="419"/>
      <c r="D13" s="419"/>
      <c r="E13" s="419"/>
      <c r="F13" s="313" t="s">
        <v>3806</v>
      </c>
      <c r="G13" s="309"/>
      <c r="H13" s="309"/>
      <c r="I13" s="309"/>
      <c r="K13" s="310"/>
      <c r="L13" s="311"/>
      <c r="M13" s="311"/>
    </row>
    <row r="14" spans="2:13" s="303" customFormat="1">
      <c r="B14" s="418" t="s">
        <v>1</v>
      </c>
      <c r="C14" s="419"/>
      <c r="D14" s="419"/>
      <c r="E14" s="419"/>
      <c r="F14" s="314" t="s">
        <v>3807</v>
      </c>
      <c r="G14" s="315"/>
      <c r="H14" s="316"/>
      <c r="I14" s="316"/>
      <c r="J14" s="316"/>
      <c r="K14" s="310"/>
      <c r="L14" s="311"/>
      <c r="M14" s="311"/>
    </row>
    <row r="15" spans="2:13" s="303" customFormat="1">
      <c r="B15" s="418" t="s">
        <v>2</v>
      </c>
      <c r="C15" s="419"/>
      <c r="D15" s="419"/>
      <c r="E15" s="419"/>
      <c r="F15" s="317" t="s">
        <v>3808</v>
      </c>
      <c r="G15" s="318"/>
      <c r="H15" s="319"/>
      <c r="I15" s="319"/>
      <c r="K15" s="310"/>
      <c r="L15" s="311"/>
      <c r="M15" s="311"/>
    </row>
    <row r="16" spans="2:13" s="303" customFormat="1">
      <c r="B16" s="418" t="s">
        <v>3</v>
      </c>
      <c r="C16" s="419"/>
      <c r="D16" s="419"/>
      <c r="E16" s="419"/>
      <c r="F16" s="320" t="s">
        <v>3809</v>
      </c>
      <c r="G16" s="319"/>
      <c r="H16" s="319"/>
      <c r="I16" s="319"/>
      <c r="K16" s="310"/>
      <c r="L16" s="311"/>
      <c r="M16" s="311"/>
    </row>
    <row r="17" spans="2:14" s="303" customFormat="1">
      <c r="B17" s="418" t="s">
        <v>4</v>
      </c>
      <c r="C17" s="419"/>
      <c r="D17" s="419"/>
      <c r="E17" s="419"/>
      <c r="F17" s="321" t="s">
        <v>3810</v>
      </c>
      <c r="G17" s="319"/>
      <c r="H17" s="319"/>
      <c r="I17" s="319"/>
      <c r="K17" s="310"/>
      <c r="L17" s="311"/>
      <c r="M17" s="311"/>
    </row>
    <row r="18" spans="2:14" s="303" customFormat="1">
      <c r="B18" s="418" t="s">
        <v>5</v>
      </c>
      <c r="C18" s="419"/>
      <c r="D18" s="419"/>
      <c r="E18" s="419"/>
      <c r="F18" s="321" t="s">
        <v>3811</v>
      </c>
      <c r="G18" s="319"/>
      <c r="H18" s="319"/>
      <c r="I18" s="319"/>
      <c r="K18" s="310"/>
      <c r="L18" s="311"/>
      <c r="M18" s="311"/>
    </row>
    <row r="19" spans="2:14" s="303" customFormat="1">
      <c r="B19" s="418" t="s">
        <v>6</v>
      </c>
      <c r="C19" s="419"/>
      <c r="D19" s="419"/>
      <c r="E19" s="419"/>
      <c r="F19" s="314" t="s">
        <v>3812</v>
      </c>
      <c r="G19" s="318"/>
      <c r="H19" s="322"/>
      <c r="I19" s="322"/>
      <c r="J19" s="322"/>
      <c r="K19" s="322"/>
      <c r="L19" s="322"/>
      <c r="M19" s="322"/>
      <c r="N19" s="322"/>
    </row>
    <row r="20" spans="2:14" s="303" customFormat="1" ht="15" thickBot="1">
      <c r="B20" s="422" t="s">
        <v>7</v>
      </c>
      <c r="C20" s="423"/>
      <c r="D20" s="423"/>
      <c r="E20" s="423"/>
      <c r="F20" s="323" t="s">
        <v>3813</v>
      </c>
      <c r="G20" s="319"/>
      <c r="H20" s="319"/>
      <c r="I20" s="319"/>
      <c r="K20" s="310"/>
      <c r="L20" s="311"/>
      <c r="M20" s="311"/>
    </row>
    <row r="21" spans="2:14">
      <c r="B21" s="309" t="s">
        <v>3814</v>
      </c>
      <c r="C21" s="309"/>
      <c r="D21" s="309"/>
      <c r="E21" s="309"/>
      <c r="F21" s="319"/>
    </row>
    <row r="23" spans="2:14">
      <c r="B23" s="324" t="s">
        <v>3815</v>
      </c>
      <c r="C23" s="309"/>
      <c r="D23" s="325"/>
      <c r="E23" s="326"/>
      <c r="F23" s="303"/>
      <c r="G23" s="303"/>
      <c r="H23" s="303"/>
      <c r="I23" s="303"/>
    </row>
    <row r="24" spans="2:14" ht="15" thickBot="1">
      <c r="B24" s="324" t="s">
        <v>3816</v>
      </c>
      <c r="C24" s="309"/>
      <c r="D24" s="325"/>
      <c r="E24" s="326"/>
      <c r="F24" s="303" t="s">
        <v>3803</v>
      </c>
      <c r="G24" s="303"/>
      <c r="H24" s="303"/>
      <c r="I24" s="303"/>
    </row>
    <row r="25" spans="2:14">
      <c r="B25" s="420" t="s">
        <v>8</v>
      </c>
      <c r="C25" s="421"/>
      <c r="D25" s="421"/>
      <c r="E25" s="421"/>
      <c r="F25" s="327">
        <v>0.84199999999999997</v>
      </c>
      <c r="G25" s="303"/>
      <c r="H25" s="303"/>
      <c r="I25" s="303"/>
    </row>
    <row r="26" spans="2:14">
      <c r="B26" s="418" t="s">
        <v>9</v>
      </c>
      <c r="C26" s="419"/>
      <c r="D26" s="419"/>
      <c r="E26" s="419"/>
      <c r="F26" s="328">
        <v>0.55200000000000005</v>
      </c>
      <c r="G26" s="303"/>
      <c r="H26" s="303"/>
      <c r="I26" s="303"/>
    </row>
    <row r="27" spans="2:14">
      <c r="B27" s="418" t="s">
        <v>10</v>
      </c>
      <c r="C27" s="419"/>
      <c r="D27" s="419"/>
      <c r="E27" s="419"/>
      <c r="F27" s="329">
        <v>0.12180000000000001</v>
      </c>
      <c r="G27" s="303"/>
      <c r="H27" s="303"/>
      <c r="I27" s="303"/>
    </row>
    <row r="28" spans="2:14">
      <c r="B28" s="418" t="s">
        <v>11</v>
      </c>
      <c r="C28" s="419"/>
      <c r="D28" s="419"/>
      <c r="E28" s="419"/>
      <c r="F28" s="329">
        <v>2.8799999999999999E-2</v>
      </c>
      <c r="G28" s="303"/>
      <c r="H28" s="303"/>
      <c r="I28" s="303"/>
    </row>
    <row r="29" spans="2:14">
      <c r="B29" s="418" t="s">
        <v>12</v>
      </c>
      <c r="C29" s="419"/>
      <c r="D29" s="419"/>
      <c r="E29" s="419"/>
      <c r="F29" s="330">
        <f>F27+F28</f>
        <v>0.15060000000000001</v>
      </c>
      <c r="G29" s="303"/>
      <c r="H29" s="303"/>
      <c r="I29" s="303"/>
    </row>
    <row r="30" spans="2:14">
      <c r="B30" s="418" t="s">
        <v>13</v>
      </c>
      <c r="C30" s="419"/>
      <c r="D30" s="419"/>
      <c r="E30" s="419"/>
      <c r="F30" s="329">
        <v>9.9199999999999997E-2</v>
      </c>
      <c r="G30" s="303"/>
      <c r="H30" s="303"/>
      <c r="I30" s="303"/>
    </row>
    <row r="31" spans="2:14">
      <c r="B31" s="418" t="s">
        <v>14</v>
      </c>
      <c r="C31" s="419"/>
      <c r="D31" s="419"/>
      <c r="E31" s="419"/>
      <c r="F31" s="329">
        <v>1</v>
      </c>
      <c r="G31" s="303" t="s">
        <v>3817</v>
      </c>
      <c r="H31" s="303"/>
      <c r="I31" s="303"/>
    </row>
    <row r="32" spans="2:14" ht="15" thickBot="1">
      <c r="B32" s="422" t="s">
        <v>15</v>
      </c>
      <c r="C32" s="423"/>
      <c r="D32" s="423"/>
      <c r="E32" s="423"/>
      <c r="F32" s="331">
        <v>1</v>
      </c>
      <c r="G32" s="303"/>
      <c r="H32" s="303"/>
      <c r="I32" s="303"/>
    </row>
    <row r="33" spans="1:24">
      <c r="A33" s="303"/>
      <c r="B33" s="309"/>
      <c r="C33" s="309"/>
      <c r="D33" s="309"/>
      <c r="E33" s="309"/>
      <c r="F33" s="332"/>
      <c r="G33" s="303"/>
      <c r="H33" s="303"/>
      <c r="I33" s="303"/>
      <c r="J33" s="303"/>
      <c r="K33" s="310"/>
      <c r="L33" s="311"/>
      <c r="M33" s="311"/>
      <c r="N33" s="303"/>
      <c r="O33" s="303"/>
      <c r="P33" s="303"/>
      <c r="Q33" s="303"/>
      <c r="R33" s="303"/>
      <c r="S33" s="303"/>
      <c r="T33" s="303"/>
      <c r="U33" s="303"/>
      <c r="V33" s="303"/>
      <c r="W33" s="303"/>
      <c r="X33" s="303"/>
    </row>
    <row r="34" spans="1:24">
      <c r="A34" s="303"/>
      <c r="B34" s="333" t="s">
        <v>3818</v>
      </c>
      <c r="C34" s="319"/>
      <c r="D34" s="303"/>
      <c r="E34" s="310"/>
      <c r="F34" s="303"/>
      <c r="G34" s="303"/>
      <c r="H34" s="303"/>
      <c r="I34" s="303"/>
      <c r="J34" s="303"/>
      <c r="K34" s="310"/>
      <c r="L34" s="311"/>
      <c r="M34" s="311"/>
      <c r="N34" s="303"/>
      <c r="O34" s="303"/>
      <c r="P34" s="303"/>
      <c r="Q34" s="303"/>
      <c r="R34" s="303"/>
      <c r="S34" s="303"/>
      <c r="T34" s="303"/>
      <c r="U34" s="303"/>
      <c r="V34" s="303"/>
      <c r="W34" s="303"/>
      <c r="X34" s="303"/>
    </row>
    <row r="35" spans="1:24">
      <c r="A35" s="289"/>
      <c r="B35" s="289"/>
      <c r="C35" s="289"/>
      <c r="D35" s="289"/>
      <c r="E35" s="289"/>
      <c r="F35" s="290"/>
      <c r="G35" s="289"/>
      <c r="H35" s="304"/>
      <c r="I35" s="304"/>
      <c r="J35" s="289"/>
      <c r="K35" s="289"/>
      <c r="L35" s="289"/>
      <c r="M35" s="289"/>
      <c r="N35" s="289"/>
      <c r="O35" s="289"/>
      <c r="P35" s="289"/>
      <c r="Q35" s="289"/>
      <c r="R35" s="289"/>
      <c r="S35" s="289"/>
      <c r="T35" s="289"/>
      <c r="U35" s="289"/>
      <c r="V35" s="289"/>
      <c r="W35" s="289"/>
      <c r="X35" s="289"/>
    </row>
    <row r="36" spans="1:24" ht="15" thickBot="1">
      <c r="A36" s="303"/>
      <c r="B36" s="333" t="s">
        <v>3819</v>
      </c>
      <c r="C36" s="303"/>
      <c r="D36" s="303"/>
      <c r="E36" s="310"/>
      <c r="F36" s="310"/>
      <c r="G36" s="303"/>
      <c r="H36" s="303" t="s">
        <v>3820</v>
      </c>
      <c r="I36" s="303"/>
      <c r="J36" s="303"/>
      <c r="K36" s="303"/>
      <c r="L36" s="303"/>
      <c r="M36" s="303"/>
      <c r="N36" s="303"/>
      <c r="O36" s="303"/>
      <c r="P36" s="303"/>
      <c r="Q36" s="303"/>
      <c r="R36" s="303"/>
      <c r="S36" s="303"/>
      <c r="T36" s="303"/>
      <c r="U36" s="303"/>
      <c r="V36" s="303"/>
      <c r="W36" s="303"/>
      <c r="X36" s="303"/>
    </row>
    <row r="37" spans="1:24" ht="15" customHeight="1" thickBot="1">
      <c r="A37" s="319"/>
      <c r="B37" s="430" t="s">
        <v>3821</v>
      </c>
      <c r="C37" s="431"/>
      <c r="D37" s="431"/>
      <c r="E37" s="432" t="s">
        <v>17</v>
      </c>
      <c r="F37" s="433"/>
      <c r="G37" s="334" t="s">
        <v>3822</v>
      </c>
      <c r="H37" s="335"/>
      <c r="I37" s="335"/>
      <c r="J37" s="336"/>
      <c r="K37" s="425" t="s">
        <v>3823</v>
      </c>
      <c r="L37" s="426"/>
      <c r="M37" s="426"/>
      <c r="N37" s="426"/>
      <c r="O37" s="426"/>
      <c r="P37" s="426"/>
      <c r="Q37" s="426"/>
      <c r="R37" s="427"/>
    </row>
    <row r="38" spans="1:24" ht="15" thickBot="1">
      <c r="A38" s="319"/>
      <c r="B38" s="428" t="s">
        <v>16</v>
      </c>
      <c r="C38" s="429"/>
      <c r="D38" s="429"/>
      <c r="E38" s="337" t="s">
        <v>18</v>
      </c>
      <c r="F38" s="338" t="s">
        <v>212</v>
      </c>
      <c r="G38" s="339" t="s">
        <v>2677</v>
      </c>
      <c r="H38" s="340" t="s">
        <v>2678</v>
      </c>
      <c r="I38" s="340" t="s">
        <v>2679</v>
      </c>
      <c r="J38" s="340" t="s">
        <v>2680</v>
      </c>
      <c r="K38" s="334" t="s">
        <v>204</v>
      </c>
      <c r="L38" s="336" t="s">
        <v>203</v>
      </c>
      <c r="M38" s="336"/>
      <c r="N38" s="336" t="s">
        <v>205</v>
      </c>
      <c r="O38" s="421" t="s">
        <v>216</v>
      </c>
      <c r="P38" s="421"/>
      <c r="Q38" s="336" t="s">
        <v>206</v>
      </c>
      <c r="R38" s="336" t="s">
        <v>207</v>
      </c>
      <c r="S38" s="336" t="s">
        <v>217</v>
      </c>
      <c r="T38" s="327" t="s">
        <v>218</v>
      </c>
    </row>
    <row r="39" spans="1:24">
      <c r="A39" s="319"/>
      <c r="B39" s="341" t="s">
        <v>3824</v>
      </c>
      <c r="C39" s="342"/>
      <c r="D39" s="343" t="s">
        <v>3825</v>
      </c>
      <c r="E39" s="344">
        <v>-3.3978609999999998</v>
      </c>
      <c r="F39" s="345">
        <v>34.837608000000003</v>
      </c>
      <c r="G39" s="346">
        <v>12.565665055683967</v>
      </c>
      <c r="H39" s="347">
        <v>0.9665896196679955</v>
      </c>
      <c r="I39" s="347">
        <v>86.467745324648035</v>
      </c>
      <c r="J39" s="348">
        <v>1.0225726959093147</v>
      </c>
      <c r="K39" s="344" t="s">
        <v>229</v>
      </c>
      <c r="L39" s="349" t="s">
        <v>257</v>
      </c>
      <c r="M39" s="349"/>
      <c r="N39" s="349" t="s">
        <v>2672</v>
      </c>
      <c r="O39" s="349" t="s">
        <v>3826</v>
      </c>
      <c r="P39" s="349"/>
      <c r="Q39" s="349" t="s">
        <v>247</v>
      </c>
      <c r="R39" s="349" t="s">
        <v>247</v>
      </c>
      <c r="S39" s="349" t="s">
        <v>234</v>
      </c>
      <c r="T39" s="308" t="s">
        <v>3827</v>
      </c>
    </row>
    <row r="40" spans="1:24">
      <c r="A40" s="319"/>
      <c r="B40" s="350" t="s">
        <v>3828</v>
      </c>
      <c r="C40" s="351"/>
      <c r="D40" s="352" t="s">
        <v>3825</v>
      </c>
      <c r="E40" s="353">
        <v>-3.3978290019999999</v>
      </c>
      <c r="F40" s="354">
        <v>34.837011969999999</v>
      </c>
      <c r="G40" s="355">
        <v>21.13063730679653</v>
      </c>
      <c r="H40" s="356">
        <v>3.0912555579081076</v>
      </c>
      <c r="I40" s="356">
        <v>75.778107135295357</v>
      </c>
      <c r="J40" s="357">
        <v>0.46131099063578063</v>
      </c>
      <c r="K40" s="353" t="s">
        <v>229</v>
      </c>
      <c r="L40" s="424" t="s">
        <v>257</v>
      </c>
      <c r="M40" s="424"/>
      <c r="N40" s="358" t="s">
        <v>2670</v>
      </c>
      <c r="O40" s="358" t="s">
        <v>3826</v>
      </c>
      <c r="P40" s="358"/>
      <c r="Q40" s="358" t="s">
        <v>247</v>
      </c>
      <c r="R40" s="358" t="s">
        <v>247</v>
      </c>
      <c r="S40" s="358" t="s">
        <v>234</v>
      </c>
      <c r="T40" s="313" t="s">
        <v>3827</v>
      </c>
    </row>
    <row r="41" spans="1:24">
      <c r="A41" s="319"/>
      <c r="B41" s="350" t="s">
        <v>3829</v>
      </c>
      <c r="C41" s="351"/>
      <c r="D41" s="352" t="s">
        <v>3825</v>
      </c>
      <c r="E41" s="353">
        <v>-3.3854090330000002</v>
      </c>
      <c r="F41" s="354">
        <v>34.818901029999999</v>
      </c>
      <c r="G41" s="355">
        <v>54.080969906906262</v>
      </c>
      <c r="H41" s="356">
        <v>21.264484651351896</v>
      </c>
      <c r="I41" s="356">
        <v>24.654545441741845</v>
      </c>
      <c r="J41" s="357">
        <v>1.8433218334154755</v>
      </c>
      <c r="K41" s="353" t="s">
        <v>229</v>
      </c>
      <c r="L41" s="424" t="s">
        <v>257</v>
      </c>
      <c r="M41" s="424"/>
      <c r="N41" s="358" t="s">
        <v>2673</v>
      </c>
      <c r="O41" s="358" t="s">
        <v>3826</v>
      </c>
      <c r="P41" s="358"/>
      <c r="Q41" s="358" t="s">
        <v>247</v>
      </c>
      <c r="R41" s="358" t="s">
        <v>247</v>
      </c>
      <c r="S41" s="358" t="s">
        <v>234</v>
      </c>
      <c r="T41" s="313" t="s">
        <v>3827</v>
      </c>
    </row>
    <row r="42" spans="1:24">
      <c r="A42" s="319"/>
      <c r="B42" s="350" t="s">
        <v>3830</v>
      </c>
      <c r="C42" s="351"/>
      <c r="D42" s="352" t="s">
        <v>3825</v>
      </c>
      <c r="E42" s="353">
        <v>-3.3849129919999998</v>
      </c>
      <c r="F42" s="354">
        <v>34.818899020000003</v>
      </c>
      <c r="G42" s="355">
        <v>51.960000000000008</v>
      </c>
      <c r="H42" s="356">
        <v>18.919999999999995</v>
      </c>
      <c r="I42" s="356">
        <v>29.120000000000005</v>
      </c>
      <c r="J42" s="357">
        <v>1.85293247905372</v>
      </c>
      <c r="K42" s="353" t="s">
        <v>229</v>
      </c>
      <c r="L42" s="424" t="s">
        <v>257</v>
      </c>
      <c r="M42" s="424"/>
      <c r="N42" s="358" t="s">
        <v>2673</v>
      </c>
      <c r="O42" s="358" t="s">
        <v>3826</v>
      </c>
      <c r="P42" s="358"/>
      <c r="Q42" s="358" t="s">
        <v>247</v>
      </c>
      <c r="R42" s="358" t="s">
        <v>247</v>
      </c>
      <c r="S42" s="358" t="s">
        <v>234</v>
      </c>
      <c r="T42" s="313" t="s">
        <v>3827</v>
      </c>
    </row>
    <row r="43" spans="1:24">
      <c r="A43" s="319"/>
      <c r="B43" s="350" t="s">
        <v>3831</v>
      </c>
      <c r="C43" s="351"/>
      <c r="D43" s="352" t="s">
        <v>3832</v>
      </c>
      <c r="E43" s="353">
        <v>-3.4092039989999998</v>
      </c>
      <c r="F43" s="354">
        <v>34.852751009999999</v>
      </c>
      <c r="G43" s="355">
        <v>23.96</v>
      </c>
      <c r="H43" s="356">
        <v>0.91999999999999804</v>
      </c>
      <c r="I43" s="356">
        <v>75.12</v>
      </c>
      <c r="J43" s="357">
        <v>1.2493839329719072</v>
      </c>
      <c r="K43" s="353" t="s">
        <v>229</v>
      </c>
      <c r="L43" s="424" t="s">
        <v>244</v>
      </c>
      <c r="M43" s="424"/>
      <c r="N43" s="358" t="s">
        <v>2670</v>
      </c>
      <c r="O43" s="358" t="s">
        <v>3826</v>
      </c>
      <c r="P43" s="358"/>
      <c r="Q43" s="358" t="s">
        <v>247</v>
      </c>
      <c r="R43" s="358" t="s">
        <v>247</v>
      </c>
      <c r="S43" s="358" t="s">
        <v>234</v>
      </c>
      <c r="T43" s="313" t="s">
        <v>3827</v>
      </c>
    </row>
    <row r="44" spans="1:24">
      <c r="A44" s="319"/>
      <c r="B44" s="350" t="s">
        <v>3833</v>
      </c>
      <c r="C44" s="351"/>
      <c r="D44" s="352" t="s">
        <v>3832</v>
      </c>
      <c r="E44" s="353">
        <v>-3.4083420040000001</v>
      </c>
      <c r="F44" s="354">
        <v>34.850283040000001</v>
      </c>
      <c r="G44" s="355">
        <v>19.96</v>
      </c>
      <c r="H44" s="356">
        <v>4.9199999999999982</v>
      </c>
      <c r="I44" s="356">
        <v>75.12</v>
      </c>
      <c r="J44" s="357">
        <v>1.641498275012321</v>
      </c>
      <c r="K44" s="353" t="s">
        <v>229</v>
      </c>
      <c r="L44" s="424" t="s">
        <v>244</v>
      </c>
      <c r="M44" s="424"/>
      <c r="N44" s="358" t="s">
        <v>2671</v>
      </c>
      <c r="O44" s="358" t="s">
        <v>3826</v>
      </c>
      <c r="P44" s="358"/>
      <c r="Q44" s="358" t="s">
        <v>247</v>
      </c>
      <c r="R44" s="358" t="s">
        <v>247</v>
      </c>
      <c r="S44" s="358" t="s">
        <v>234</v>
      </c>
      <c r="T44" s="313" t="s">
        <v>3827</v>
      </c>
    </row>
    <row r="45" spans="1:24">
      <c r="A45" s="319"/>
      <c r="B45" s="350" t="s">
        <v>3834</v>
      </c>
      <c r="C45" s="351"/>
      <c r="D45" s="352" t="s">
        <v>3832</v>
      </c>
      <c r="E45" s="353">
        <v>-3.406225992</v>
      </c>
      <c r="F45" s="354">
        <v>34.85055998</v>
      </c>
      <c r="G45" s="355">
        <v>21.96</v>
      </c>
      <c r="H45" s="356">
        <v>8.9199999999999982</v>
      </c>
      <c r="I45" s="356">
        <v>69.12</v>
      </c>
      <c r="J45" s="357">
        <v>1.7491375061606702</v>
      </c>
      <c r="K45" s="353" t="s">
        <v>229</v>
      </c>
      <c r="L45" s="424" t="s">
        <v>244</v>
      </c>
      <c r="M45" s="424"/>
      <c r="N45" s="358" t="s">
        <v>2670</v>
      </c>
      <c r="O45" s="358" t="s">
        <v>3826</v>
      </c>
      <c r="P45" s="358"/>
      <c r="Q45" s="358" t="s">
        <v>247</v>
      </c>
      <c r="R45" s="358" t="s">
        <v>247</v>
      </c>
      <c r="S45" s="358" t="s">
        <v>234</v>
      </c>
      <c r="T45" s="313" t="s">
        <v>3827</v>
      </c>
    </row>
    <row r="46" spans="1:24">
      <c r="A46" s="319"/>
      <c r="B46" s="350" t="s">
        <v>3835</v>
      </c>
      <c r="C46" s="351"/>
      <c r="D46" s="352" t="s">
        <v>3832</v>
      </c>
      <c r="E46" s="353">
        <v>-3.4064239729999999</v>
      </c>
      <c r="F46" s="354">
        <v>34.851213010000002</v>
      </c>
      <c r="G46" s="355">
        <v>25.96</v>
      </c>
      <c r="H46" s="356">
        <v>6.9200000000000008</v>
      </c>
      <c r="I46" s="356">
        <v>67.12</v>
      </c>
      <c r="J46" s="357">
        <v>1.7568260226712666</v>
      </c>
      <c r="K46" s="353" t="s">
        <v>229</v>
      </c>
      <c r="L46" s="424" t="s">
        <v>244</v>
      </c>
      <c r="M46" s="424"/>
      <c r="N46" s="358" t="s">
        <v>2670</v>
      </c>
      <c r="O46" s="358" t="s">
        <v>3826</v>
      </c>
      <c r="P46" s="358"/>
      <c r="Q46" s="358" t="s">
        <v>247</v>
      </c>
      <c r="R46" s="358" t="s">
        <v>247</v>
      </c>
      <c r="S46" s="358" t="s">
        <v>234</v>
      </c>
      <c r="T46" s="313" t="s">
        <v>3827</v>
      </c>
    </row>
    <row r="47" spans="1:24">
      <c r="A47" s="319"/>
      <c r="B47" s="350" t="s">
        <v>3836</v>
      </c>
      <c r="C47" s="351"/>
      <c r="D47" s="352" t="s">
        <v>3837</v>
      </c>
      <c r="E47" s="353">
        <v>-3.2993960379999998</v>
      </c>
      <c r="F47" s="354">
        <v>34.848240959999998</v>
      </c>
      <c r="G47" s="355">
        <v>47.96</v>
      </c>
      <c r="H47" s="356">
        <v>22.919999999999995</v>
      </c>
      <c r="I47" s="356">
        <v>29.120000000000012</v>
      </c>
      <c r="J47" s="357">
        <v>2.8831936914736325</v>
      </c>
      <c r="K47" s="353" t="s">
        <v>229</v>
      </c>
      <c r="L47" s="424" t="s">
        <v>230</v>
      </c>
      <c r="M47" s="424"/>
      <c r="N47" s="358" t="s">
        <v>2673</v>
      </c>
      <c r="O47" s="358" t="s">
        <v>3826</v>
      </c>
      <c r="P47" s="358"/>
      <c r="Q47" s="358" t="s">
        <v>247</v>
      </c>
      <c r="R47" s="358" t="s">
        <v>247</v>
      </c>
      <c r="S47" s="358" t="s">
        <v>234</v>
      </c>
      <c r="T47" s="313" t="s">
        <v>3827</v>
      </c>
    </row>
    <row r="48" spans="1:24">
      <c r="A48" s="319"/>
      <c r="B48" s="350" t="s">
        <v>3838</v>
      </c>
      <c r="C48" s="351"/>
      <c r="D48" s="352" t="s">
        <v>3837</v>
      </c>
      <c r="E48" s="353">
        <v>-3.3025860229999999</v>
      </c>
      <c r="F48" s="354">
        <v>34.848048009999999</v>
      </c>
      <c r="G48" s="355">
        <v>45.272914521112256</v>
      </c>
      <c r="H48" s="356">
        <v>23.604531410916575</v>
      </c>
      <c r="I48" s="356">
        <v>31.122554067971166</v>
      </c>
      <c r="J48" s="357">
        <v>2.0547560374568752</v>
      </c>
      <c r="K48" s="353" t="s">
        <v>229</v>
      </c>
      <c r="L48" s="424" t="s">
        <v>230</v>
      </c>
      <c r="M48" s="424"/>
      <c r="N48" s="358" t="s">
        <v>2673</v>
      </c>
      <c r="O48" s="358" t="s">
        <v>3826</v>
      </c>
      <c r="P48" s="358"/>
      <c r="Q48" s="358" t="s">
        <v>247</v>
      </c>
      <c r="R48" s="358" t="s">
        <v>247</v>
      </c>
      <c r="S48" s="358" t="s">
        <v>234</v>
      </c>
      <c r="T48" s="313" t="s">
        <v>3827</v>
      </c>
    </row>
    <row r="49" spans="1:20">
      <c r="A49" s="319"/>
      <c r="B49" s="350" t="s">
        <v>3839</v>
      </c>
      <c r="C49" s="351"/>
      <c r="D49" s="352" t="s">
        <v>3837</v>
      </c>
      <c r="E49" s="353">
        <v>-3.2957159630000001</v>
      </c>
      <c r="F49" s="354">
        <v>34.852460999999998</v>
      </c>
      <c r="G49" s="355">
        <v>38.691629007962128</v>
      </c>
      <c r="H49" s="356">
        <v>26.81299763288143</v>
      </c>
      <c r="I49" s="356">
        <v>34.495373359156439</v>
      </c>
      <c r="J49" s="357">
        <v>2.5483587974371611</v>
      </c>
      <c r="K49" s="353" t="s">
        <v>229</v>
      </c>
      <c r="L49" s="424" t="s">
        <v>230</v>
      </c>
      <c r="M49" s="424"/>
      <c r="N49" s="358" t="s">
        <v>2675</v>
      </c>
      <c r="O49" s="358" t="s">
        <v>3826</v>
      </c>
      <c r="P49" s="358"/>
      <c r="Q49" s="358" t="s">
        <v>247</v>
      </c>
      <c r="R49" s="358" t="s">
        <v>247</v>
      </c>
      <c r="S49" s="358" t="s">
        <v>234</v>
      </c>
      <c r="T49" s="313" t="s">
        <v>3827</v>
      </c>
    </row>
    <row r="50" spans="1:20">
      <c r="A50" s="319"/>
      <c r="B50" s="350" t="s">
        <v>3840</v>
      </c>
      <c r="C50" s="351"/>
      <c r="D50" s="352" t="s">
        <v>3837</v>
      </c>
      <c r="E50" s="353">
        <v>-3.2966709980000002</v>
      </c>
      <c r="F50" s="354">
        <v>34.854407019999996</v>
      </c>
      <c r="G50" s="355">
        <v>28.145762029394</v>
      </c>
      <c r="H50" s="356">
        <v>25.085564727199518</v>
      </c>
      <c r="I50" s="356">
        <v>46.768673243406489</v>
      </c>
      <c r="J50" s="357">
        <v>2.1716214884179394</v>
      </c>
      <c r="K50" s="353" t="s">
        <v>229</v>
      </c>
      <c r="L50" s="424" t="s">
        <v>230</v>
      </c>
      <c r="M50" s="424"/>
      <c r="N50" s="358" t="s">
        <v>2670</v>
      </c>
      <c r="O50" s="358" t="s">
        <v>3826</v>
      </c>
      <c r="P50" s="358"/>
      <c r="Q50" s="358" t="s">
        <v>247</v>
      </c>
      <c r="R50" s="358" t="s">
        <v>247</v>
      </c>
      <c r="S50" s="358" t="s">
        <v>234</v>
      </c>
      <c r="T50" s="313" t="s">
        <v>3827</v>
      </c>
    </row>
    <row r="51" spans="1:20">
      <c r="A51" s="303"/>
      <c r="B51" s="350" t="s">
        <v>3841</v>
      </c>
      <c r="C51" s="351"/>
      <c r="D51" s="352" t="s">
        <v>3842</v>
      </c>
      <c r="E51" s="353">
        <v>-2.3691620310000001</v>
      </c>
      <c r="F51" s="354">
        <v>34.06028104</v>
      </c>
      <c r="G51" s="355">
        <v>45.96</v>
      </c>
      <c r="H51" s="356">
        <v>14.920000000000003</v>
      </c>
      <c r="I51" s="356">
        <v>39.119999999999997</v>
      </c>
      <c r="J51" s="357">
        <v>2.0374568753080333</v>
      </c>
      <c r="K51" s="353" t="s">
        <v>229</v>
      </c>
      <c r="L51" s="424" t="s">
        <v>257</v>
      </c>
      <c r="M51" s="424"/>
      <c r="N51" s="358" t="s">
        <v>2673</v>
      </c>
      <c r="O51" s="358" t="s">
        <v>3826</v>
      </c>
      <c r="P51" s="358"/>
      <c r="Q51" s="358" t="s">
        <v>247</v>
      </c>
      <c r="R51" s="358" t="s">
        <v>247</v>
      </c>
      <c r="S51" s="358" t="s">
        <v>234</v>
      </c>
      <c r="T51" s="313" t="s">
        <v>3827</v>
      </c>
    </row>
    <row r="52" spans="1:20">
      <c r="A52" s="303"/>
      <c r="B52" s="350" t="s">
        <v>3843</v>
      </c>
      <c r="C52" s="351"/>
      <c r="D52" s="352" t="s">
        <v>3842</v>
      </c>
      <c r="E52" s="353">
        <v>-2.3698080240000001</v>
      </c>
      <c r="F52" s="354">
        <v>34.059671010000002</v>
      </c>
      <c r="G52" s="355">
        <v>34.344660194174757</v>
      </c>
      <c r="H52" s="356">
        <v>19.22727272727273</v>
      </c>
      <c r="I52" s="356">
        <v>46.428067078552509</v>
      </c>
      <c r="J52" s="357">
        <v>1.7452932479053718</v>
      </c>
      <c r="K52" s="353" t="s">
        <v>229</v>
      </c>
      <c r="L52" s="424" t="s">
        <v>257</v>
      </c>
      <c r="M52" s="424"/>
      <c r="N52" s="358" t="s">
        <v>2670</v>
      </c>
      <c r="O52" s="358" t="s">
        <v>3826</v>
      </c>
      <c r="P52" s="358"/>
      <c r="Q52" s="358" t="s">
        <v>247</v>
      </c>
      <c r="R52" s="358" t="s">
        <v>247</v>
      </c>
      <c r="S52" s="358" t="s">
        <v>234</v>
      </c>
      <c r="T52" s="313" t="s">
        <v>3827</v>
      </c>
    </row>
    <row r="53" spans="1:20">
      <c r="A53" s="303"/>
      <c r="B53" s="350" t="s">
        <v>3844</v>
      </c>
      <c r="C53" s="351"/>
      <c r="D53" s="352" t="s">
        <v>3842</v>
      </c>
      <c r="E53" s="353">
        <v>-2.3487199940000001</v>
      </c>
      <c r="F53" s="354">
        <v>34.051391029999998</v>
      </c>
      <c r="G53" s="355">
        <v>27.96</v>
      </c>
      <c r="H53" s="356">
        <v>4.9200000000000017</v>
      </c>
      <c r="I53" s="356">
        <v>67.12</v>
      </c>
      <c r="J53" s="357">
        <v>0.88610152784622953</v>
      </c>
      <c r="K53" s="353" t="s">
        <v>229</v>
      </c>
      <c r="L53" s="424" t="s">
        <v>257</v>
      </c>
      <c r="M53" s="424"/>
      <c r="N53" s="358" t="s">
        <v>2670</v>
      </c>
      <c r="O53" s="358" t="s">
        <v>3826</v>
      </c>
      <c r="P53" s="358"/>
      <c r="Q53" s="358" t="s">
        <v>247</v>
      </c>
      <c r="R53" s="358" t="s">
        <v>247</v>
      </c>
      <c r="S53" s="358" t="s">
        <v>234</v>
      </c>
      <c r="T53" s="313" t="s">
        <v>3827</v>
      </c>
    </row>
    <row r="54" spans="1:20">
      <c r="A54" s="303"/>
      <c r="B54" s="350" t="s">
        <v>3845</v>
      </c>
      <c r="C54" s="351"/>
      <c r="D54" s="352" t="s">
        <v>3842</v>
      </c>
      <c r="E54" s="353">
        <v>-2.3492639789999998</v>
      </c>
      <c r="F54" s="354">
        <v>34.051464029999998</v>
      </c>
      <c r="G54" s="355">
        <v>17.96</v>
      </c>
      <c r="H54" s="356">
        <v>4.9199999999999982</v>
      </c>
      <c r="I54" s="356">
        <v>77.12</v>
      </c>
      <c r="J54" s="357">
        <v>2.0220798422868409</v>
      </c>
      <c r="K54" s="353" t="s">
        <v>229</v>
      </c>
      <c r="L54" s="424" t="s">
        <v>257</v>
      </c>
      <c r="M54" s="424"/>
      <c r="N54" s="358" t="s">
        <v>2671</v>
      </c>
      <c r="O54" s="358" t="s">
        <v>3826</v>
      </c>
      <c r="P54" s="358"/>
      <c r="Q54" s="358" t="s">
        <v>247</v>
      </c>
      <c r="R54" s="358" t="s">
        <v>247</v>
      </c>
      <c r="S54" s="358" t="s">
        <v>234</v>
      </c>
      <c r="T54" s="313" t="s">
        <v>3827</v>
      </c>
    </row>
    <row r="55" spans="1:20">
      <c r="B55" s="350" t="s">
        <v>3846</v>
      </c>
      <c r="C55" s="351"/>
      <c r="D55" s="352" t="s">
        <v>3847</v>
      </c>
      <c r="E55" s="353">
        <v>-2.3503360249999998</v>
      </c>
      <c r="F55" s="354">
        <v>34.049662009999999</v>
      </c>
      <c r="G55" s="355">
        <v>31.214836424255054</v>
      </c>
      <c r="H55" s="356">
        <v>11.377370285476141</v>
      </c>
      <c r="I55" s="356">
        <v>57.407793290268799</v>
      </c>
      <c r="J55" s="357">
        <v>1.7337604731394776</v>
      </c>
      <c r="K55" s="353" t="s">
        <v>229</v>
      </c>
      <c r="L55" s="424" t="s">
        <v>244</v>
      </c>
      <c r="M55" s="424"/>
      <c r="N55" s="358" t="s">
        <v>2670</v>
      </c>
      <c r="O55" s="358" t="s">
        <v>3826</v>
      </c>
      <c r="P55" s="358"/>
      <c r="Q55" s="358" t="s">
        <v>247</v>
      </c>
      <c r="R55" s="358" t="s">
        <v>247</v>
      </c>
      <c r="S55" s="358" t="s">
        <v>234</v>
      </c>
      <c r="T55" s="313" t="s">
        <v>3827</v>
      </c>
    </row>
    <row r="56" spans="1:20">
      <c r="B56" s="350" t="s">
        <v>3848</v>
      </c>
      <c r="C56" s="351"/>
      <c r="D56" s="352" t="s">
        <v>3847</v>
      </c>
      <c r="E56" s="353">
        <v>-2.348596025</v>
      </c>
      <c r="F56" s="354">
        <v>34.050070959999999</v>
      </c>
      <c r="G56" s="355">
        <v>33.96</v>
      </c>
      <c r="H56" s="356">
        <v>8.9200000000000017</v>
      </c>
      <c r="I56" s="356">
        <v>57.12</v>
      </c>
      <c r="J56" s="357">
        <v>2.072055199605717</v>
      </c>
      <c r="K56" s="353" t="s">
        <v>229</v>
      </c>
      <c r="L56" s="424" t="s">
        <v>244</v>
      </c>
      <c r="M56" s="424"/>
      <c r="N56" s="358" t="s">
        <v>2670</v>
      </c>
      <c r="O56" s="358" t="s">
        <v>3826</v>
      </c>
      <c r="P56" s="358"/>
      <c r="Q56" s="358" t="s">
        <v>247</v>
      </c>
      <c r="R56" s="358" t="s">
        <v>247</v>
      </c>
      <c r="S56" s="358" t="s">
        <v>234</v>
      </c>
      <c r="T56" s="313" t="s">
        <v>3827</v>
      </c>
    </row>
    <row r="57" spans="1:20">
      <c r="B57" s="350" t="s">
        <v>3849</v>
      </c>
      <c r="C57" s="351"/>
      <c r="D57" s="352" t="s">
        <v>3847</v>
      </c>
      <c r="E57" s="353">
        <v>-2.3675269729999999</v>
      </c>
      <c r="F57" s="354">
        <v>34.06035799</v>
      </c>
      <c r="G57" s="355">
        <v>39.96</v>
      </c>
      <c r="H57" s="356">
        <v>12.920000000000002</v>
      </c>
      <c r="I57" s="356">
        <v>47.12</v>
      </c>
      <c r="J57" s="357">
        <v>1.6549531789058647</v>
      </c>
      <c r="K57" s="353" t="s">
        <v>229</v>
      </c>
      <c r="L57" s="424" t="s">
        <v>244</v>
      </c>
      <c r="M57" s="424"/>
      <c r="N57" s="358" t="s">
        <v>2674</v>
      </c>
      <c r="O57" s="358" t="s">
        <v>3826</v>
      </c>
      <c r="P57" s="358"/>
      <c r="Q57" s="358" t="s">
        <v>247</v>
      </c>
      <c r="R57" s="358" t="s">
        <v>247</v>
      </c>
      <c r="S57" s="358" t="s">
        <v>234</v>
      </c>
      <c r="T57" s="313" t="s">
        <v>3827</v>
      </c>
    </row>
    <row r="58" spans="1:20">
      <c r="B58" s="350" t="s">
        <v>3850</v>
      </c>
      <c r="C58" s="351"/>
      <c r="D58" s="352" t="s">
        <v>3847</v>
      </c>
      <c r="E58" s="353">
        <v>-2.3676780150000001</v>
      </c>
      <c r="F58" s="354">
        <v>34.05937797</v>
      </c>
      <c r="G58" s="355">
        <v>27.96</v>
      </c>
      <c r="H58" s="356">
        <v>4.9200000000000017</v>
      </c>
      <c r="I58" s="356">
        <v>67.12</v>
      </c>
      <c r="J58" s="357">
        <v>1.0437161163134547</v>
      </c>
      <c r="K58" s="353" t="s">
        <v>229</v>
      </c>
      <c r="L58" s="424" t="s">
        <v>244</v>
      </c>
      <c r="M58" s="424"/>
      <c r="N58" s="358" t="s">
        <v>2670</v>
      </c>
      <c r="O58" s="358" t="s">
        <v>3826</v>
      </c>
      <c r="P58" s="358"/>
      <c r="Q58" s="358" t="s">
        <v>247</v>
      </c>
      <c r="R58" s="358" t="s">
        <v>247</v>
      </c>
      <c r="S58" s="358" t="s">
        <v>234</v>
      </c>
      <c r="T58" s="313" t="s">
        <v>3827</v>
      </c>
    </row>
    <row r="59" spans="1:20">
      <c r="B59" s="350" t="s">
        <v>3851</v>
      </c>
      <c r="C59" s="351"/>
      <c r="D59" s="352" t="s">
        <v>3852</v>
      </c>
      <c r="E59" s="353">
        <v>-2.272751033</v>
      </c>
      <c r="F59" s="354">
        <v>34.023176030000002</v>
      </c>
      <c r="G59" s="355">
        <v>21.96</v>
      </c>
      <c r="H59" s="356">
        <v>4.9199999999999982</v>
      </c>
      <c r="I59" s="356">
        <v>73.12</v>
      </c>
      <c r="J59" s="357">
        <v>1.2416954164613114</v>
      </c>
      <c r="K59" s="353" t="s">
        <v>229</v>
      </c>
      <c r="L59" s="424" t="s">
        <v>230</v>
      </c>
      <c r="M59" s="424"/>
      <c r="N59" s="358" t="s">
        <v>2670</v>
      </c>
      <c r="O59" s="358" t="s">
        <v>3826</v>
      </c>
      <c r="P59" s="358"/>
      <c r="Q59" s="358" t="s">
        <v>247</v>
      </c>
      <c r="R59" s="358" t="s">
        <v>247</v>
      </c>
      <c r="S59" s="358" t="s">
        <v>234</v>
      </c>
      <c r="T59" s="313" t="s">
        <v>3827</v>
      </c>
    </row>
    <row r="60" spans="1:20">
      <c r="B60" s="350" t="s">
        <v>3853</v>
      </c>
      <c r="C60" s="351"/>
      <c r="D60" s="352" t="s">
        <v>3852</v>
      </c>
      <c r="E60" s="353">
        <v>-2.2784290180000002</v>
      </c>
      <c r="F60" s="354">
        <v>34.024240030000001</v>
      </c>
      <c r="G60" s="355">
        <v>23.96</v>
      </c>
      <c r="H60" s="356">
        <v>4.9199999999999982</v>
      </c>
      <c r="I60" s="356">
        <v>71.12</v>
      </c>
      <c r="J60" s="357">
        <v>3.30913750616067</v>
      </c>
      <c r="K60" s="353" t="s">
        <v>229</v>
      </c>
      <c r="L60" s="424" t="s">
        <v>230</v>
      </c>
      <c r="M60" s="424"/>
      <c r="N60" s="358" t="s">
        <v>2670</v>
      </c>
      <c r="O60" s="358" t="s">
        <v>3826</v>
      </c>
      <c r="P60" s="358"/>
      <c r="Q60" s="358" t="s">
        <v>247</v>
      </c>
      <c r="R60" s="358" t="s">
        <v>247</v>
      </c>
      <c r="S60" s="358" t="s">
        <v>234</v>
      </c>
      <c r="T60" s="313" t="s">
        <v>3827</v>
      </c>
    </row>
    <row r="61" spans="1:20">
      <c r="B61" s="350" t="s">
        <v>3854</v>
      </c>
      <c r="C61" s="351"/>
      <c r="D61" s="352" t="s">
        <v>3852</v>
      </c>
      <c r="E61" s="353">
        <v>-2.277740026</v>
      </c>
      <c r="F61" s="354">
        <v>34.027640990000002</v>
      </c>
      <c r="G61" s="355">
        <v>25.96</v>
      </c>
      <c r="H61" s="356">
        <v>8.9200000000000017</v>
      </c>
      <c r="I61" s="356">
        <v>65.12</v>
      </c>
      <c r="J61" s="357">
        <v>1.614588467225234</v>
      </c>
      <c r="K61" s="353" t="s">
        <v>229</v>
      </c>
      <c r="L61" s="424" t="s">
        <v>230</v>
      </c>
      <c r="M61" s="424"/>
      <c r="N61" s="358" t="s">
        <v>2670</v>
      </c>
      <c r="O61" s="358" t="s">
        <v>3826</v>
      </c>
      <c r="P61" s="358"/>
      <c r="Q61" s="358" t="s">
        <v>247</v>
      </c>
      <c r="R61" s="358" t="s">
        <v>247</v>
      </c>
      <c r="S61" s="358" t="s">
        <v>234</v>
      </c>
      <c r="T61" s="313" t="s">
        <v>3827</v>
      </c>
    </row>
    <row r="62" spans="1:20">
      <c r="B62" s="350" t="s">
        <v>3855</v>
      </c>
      <c r="C62" s="351"/>
      <c r="D62" s="352" t="s">
        <v>3852</v>
      </c>
      <c r="E62" s="353">
        <v>-2.2787330300000002</v>
      </c>
      <c r="F62" s="354">
        <v>34.032136029999997</v>
      </c>
      <c r="G62" s="355">
        <v>25.96</v>
      </c>
      <c r="H62" s="356">
        <v>8.9200000000000017</v>
      </c>
      <c r="I62" s="356">
        <v>65.12</v>
      </c>
      <c r="J62" s="357">
        <v>1.6991621488417901</v>
      </c>
      <c r="K62" s="353" t="s">
        <v>229</v>
      </c>
      <c r="L62" s="424" t="s">
        <v>230</v>
      </c>
      <c r="M62" s="424"/>
      <c r="N62" s="358" t="s">
        <v>2670</v>
      </c>
      <c r="O62" s="358" t="s">
        <v>3826</v>
      </c>
      <c r="P62" s="358"/>
      <c r="Q62" s="358" t="s">
        <v>247</v>
      </c>
      <c r="R62" s="358" t="s">
        <v>247</v>
      </c>
      <c r="S62" s="358" t="s">
        <v>234</v>
      </c>
      <c r="T62" s="313" t="s">
        <v>3827</v>
      </c>
    </row>
    <row r="63" spans="1:20" ht="15" thickBot="1">
      <c r="B63" s="359" t="s">
        <v>2526</v>
      </c>
      <c r="C63" s="360"/>
      <c r="D63" s="361" t="s">
        <v>3856</v>
      </c>
      <c r="E63" s="362">
        <v>-2.439403972</v>
      </c>
      <c r="F63" s="363">
        <v>34.838404959999998</v>
      </c>
      <c r="G63" s="364">
        <v>22.017293559158162</v>
      </c>
      <c r="H63" s="365">
        <v>6.5855206693798616</v>
      </c>
      <c r="I63" s="365">
        <v>71.397185771461977</v>
      </c>
      <c r="J63" s="366">
        <v>1.1393420404139967</v>
      </c>
      <c r="K63" s="362" t="s">
        <v>229</v>
      </c>
      <c r="L63" s="367" t="s">
        <v>230</v>
      </c>
      <c r="M63" s="367"/>
      <c r="N63" s="367" t="s">
        <v>2670</v>
      </c>
      <c r="O63" s="367" t="s">
        <v>3826</v>
      </c>
      <c r="P63" s="367"/>
      <c r="Q63" s="367" t="s">
        <v>247</v>
      </c>
      <c r="R63" s="367" t="s">
        <v>247</v>
      </c>
      <c r="S63" s="367" t="s">
        <v>234</v>
      </c>
      <c r="T63" s="368" t="s">
        <v>3827</v>
      </c>
    </row>
    <row r="64" spans="1:20">
      <c r="B64" s="333" t="s">
        <v>3857</v>
      </c>
    </row>
    <row r="67" spans="2:47" ht="15" thickBot="1">
      <c r="B67" s="333" t="s">
        <v>3858</v>
      </c>
      <c r="C67" s="319"/>
      <c r="D67" s="319"/>
      <c r="E67" s="319"/>
      <c r="F67" s="369"/>
      <c r="G67" s="369"/>
      <c r="H67" s="369"/>
      <c r="I67" s="369"/>
      <c r="J67" s="319"/>
      <c r="K67" s="370"/>
      <c r="L67" s="371"/>
    </row>
    <row r="68" spans="2:47" ht="15" thickBot="1">
      <c r="B68" s="437" t="s">
        <v>21</v>
      </c>
      <c r="C68" s="438"/>
      <c r="D68" s="438"/>
      <c r="E68" s="438"/>
      <c r="F68" s="372" t="s">
        <v>3859</v>
      </c>
      <c r="G68" s="373"/>
      <c r="H68" s="373"/>
      <c r="I68" s="373"/>
      <c r="J68" s="373"/>
      <c r="K68" s="373"/>
      <c r="L68" s="374"/>
    </row>
    <row r="69" spans="2:47">
      <c r="B69" s="439" t="s">
        <v>22</v>
      </c>
      <c r="C69" s="440"/>
      <c r="D69" s="440"/>
      <c r="E69" s="440"/>
      <c r="F69" s="375" t="s">
        <v>3860</v>
      </c>
      <c r="G69" s="376"/>
      <c r="H69" s="376"/>
      <c r="I69" s="376"/>
      <c r="J69" s="376"/>
      <c r="K69" s="376"/>
      <c r="L69" s="377"/>
    </row>
    <row r="70" spans="2:47" ht="15" thickBot="1">
      <c r="B70" s="441" t="s">
        <v>25</v>
      </c>
      <c r="C70" s="442"/>
      <c r="D70" s="442"/>
      <c r="E70" s="442"/>
      <c r="F70" s="443" t="s">
        <v>3861</v>
      </c>
      <c r="G70" s="424"/>
      <c r="H70" s="424"/>
      <c r="I70" s="424"/>
      <c r="J70" s="424"/>
      <c r="K70" s="424"/>
      <c r="L70" s="424"/>
      <c r="M70" s="424"/>
      <c r="N70" s="424"/>
    </row>
    <row r="71" spans="2:47">
      <c r="B71" s="333" t="s">
        <v>3862</v>
      </c>
    </row>
    <row r="72" spans="2:47" ht="18">
      <c r="AO72" s="379"/>
    </row>
    <row r="73" spans="2:47">
      <c r="D73" s="434" t="s">
        <v>3863</v>
      </c>
      <c r="E73" s="434"/>
      <c r="F73" s="434"/>
      <c r="G73" s="434"/>
      <c r="H73" s="434"/>
    </row>
    <row r="74" spans="2:47" ht="18.600000000000001" thickBot="1">
      <c r="B74" s="380" t="s">
        <v>3864</v>
      </c>
      <c r="D74" s="435"/>
      <c r="E74" s="435"/>
      <c r="F74" s="435"/>
      <c r="G74" s="435"/>
      <c r="H74" s="435"/>
      <c r="AG74" s="436" t="s">
        <v>3865</v>
      </c>
      <c r="AH74" s="436"/>
      <c r="AI74" s="436"/>
      <c r="AJ74" s="436"/>
      <c r="AK74" s="436"/>
      <c r="AL74" s="436"/>
    </row>
    <row r="75" spans="2:47" ht="101.4" thickBot="1">
      <c r="B75" s="381" t="s">
        <v>2457</v>
      </c>
      <c r="C75" s="109" t="s">
        <v>23</v>
      </c>
      <c r="D75" s="109" t="s">
        <v>3866</v>
      </c>
      <c r="E75" s="109" t="s">
        <v>25</v>
      </c>
      <c r="F75" s="109" t="s">
        <v>26</v>
      </c>
      <c r="G75" s="382" t="s">
        <v>27</v>
      </c>
      <c r="H75" s="109" t="s">
        <v>3867</v>
      </c>
      <c r="I75" s="109" t="s">
        <v>3868</v>
      </c>
      <c r="J75" s="109" t="s">
        <v>3869</v>
      </c>
      <c r="K75" s="109" t="s">
        <v>28</v>
      </c>
      <c r="L75" s="109" t="s">
        <v>29</v>
      </c>
      <c r="M75" s="109" t="s">
        <v>3870</v>
      </c>
      <c r="N75" s="109" t="s">
        <v>3871</v>
      </c>
      <c r="O75" s="109" t="s">
        <v>30</v>
      </c>
      <c r="P75" s="109" t="s">
        <v>3886</v>
      </c>
      <c r="Q75" s="109" t="s">
        <v>3873</v>
      </c>
      <c r="R75" s="382" t="s">
        <v>31</v>
      </c>
      <c r="S75" s="109" t="s">
        <v>3874</v>
      </c>
      <c r="T75" s="109" t="s">
        <v>3875</v>
      </c>
      <c r="U75" s="109" t="s">
        <v>34</v>
      </c>
      <c r="V75" s="109" t="s">
        <v>35</v>
      </c>
      <c r="W75" s="109" t="s">
        <v>3876</v>
      </c>
      <c r="X75" s="109" t="s">
        <v>3877</v>
      </c>
      <c r="Y75" s="109" t="s">
        <v>3878</v>
      </c>
      <c r="Z75" s="109" t="s">
        <v>3879</v>
      </c>
      <c r="AA75" s="109" t="s">
        <v>3880</v>
      </c>
      <c r="AB75" s="109" t="s">
        <v>288</v>
      </c>
      <c r="AC75" s="109" t="s">
        <v>291</v>
      </c>
      <c r="AD75" s="109" t="s">
        <v>292</v>
      </c>
      <c r="AE75" s="109" t="s">
        <v>40</v>
      </c>
      <c r="AF75" s="383" t="s">
        <v>41</v>
      </c>
      <c r="AG75" s="384" t="s">
        <v>3888</v>
      </c>
      <c r="AH75" s="384" t="s">
        <v>3881</v>
      </c>
      <c r="AI75" s="384" t="s">
        <v>3882</v>
      </c>
      <c r="AJ75" s="384" t="s">
        <v>3887</v>
      </c>
      <c r="AK75" s="384" t="s">
        <v>3883</v>
      </c>
      <c r="AL75" s="385" t="s">
        <v>3884</v>
      </c>
      <c r="AR75" s="444" t="s">
        <v>3565</v>
      </c>
      <c r="AS75" s="444"/>
      <c r="AT75" s="444"/>
      <c r="AU75" s="444"/>
    </row>
    <row r="76" spans="2:47">
      <c r="B76" t="str">
        <f>'Final data_for_R_analysis_Dryse'!A2</f>
        <v>Dry</v>
      </c>
      <c r="C76" s="263">
        <f>'Final data_for_R_analysis_Dryse'!B2</f>
        <v>1</v>
      </c>
      <c r="D76" t="s">
        <v>3824</v>
      </c>
      <c r="E76" t="s">
        <v>22</v>
      </c>
      <c r="F76" s="386">
        <v>1</v>
      </c>
      <c r="G76" s="16">
        <f>'Dry_Litterbag Placem_Collection'!E3</f>
        <v>42938</v>
      </c>
      <c r="H76" t="str">
        <f>'Final data_for_R_analysis_Dryse'!J2</f>
        <v>G407</v>
      </c>
      <c r="I76" t="str">
        <f>'Final data_for_R_analysis_Dryse'!J222</f>
        <v>R811</v>
      </c>
      <c r="J76">
        <f>IFERROR(INDEX('Green_rooibos initial weight'!$C$5:$C$1749,MATCH(H76, 'Green_rooibos initial weight'!$A$5:$A$1749,0)),"")</f>
        <v>1.966</v>
      </c>
      <c r="K76">
        <f>IFERROR(INDEX('Green_rooibos initial weight'!$C$5:$C$1749,MATCH(I76, 'Green_rooibos initial weight'!$A$5:$A$1749,0)),"")</f>
        <v>2.226</v>
      </c>
      <c r="L76" s="195">
        <f>IFERROR(IF(J76&gt;0,(J76*$F$31-($F$29+$F$30)),""),"")</f>
        <v>1.7161999999999999</v>
      </c>
      <c r="M76" s="240">
        <f>AVERAGE(Ashed_controlls!$K$1:$K$11)</f>
        <v>5.5147656768714146</v>
      </c>
      <c r="N76" s="195">
        <f t="shared" ref="N76:N139" si="0">IFERROR(L76-(M76/100)*L76,"")</f>
        <v>1.6215555914535327</v>
      </c>
      <c r="O76" s="195">
        <f>IFERROR(IF(K76&gt;0,(K76*$F$32-($F$29+$F$30)),""),"")</f>
        <v>1.9762</v>
      </c>
      <c r="P76" s="240">
        <f>AVERAGE(Ashed_controlls!$K$12:$K$14)</f>
        <v>2.2816647271287041</v>
      </c>
      <c r="Q76" s="195">
        <f t="shared" ref="Q76:Q139" si="1">IFERROR(O76-(P76/100)*O76,"")</f>
        <v>1.9311097416624825</v>
      </c>
      <c r="R76" s="16">
        <f>IF('Dry_Litterbag Placem_Collection'!G3="N.A","",'Dry_Litterbag Placem_Collection'!G3)</f>
        <v>43007</v>
      </c>
      <c r="S76" s="195">
        <f>IF(IFERROR(INDEX('Both teabags AfterDry'!$D$1:$D$839,MATCH(H76,'Both teabags AfterDry'!$A$1:$A$839,0)),"")="N.A","",(IFERROR(INDEX('Both teabags AfterDry'!$D$1:$D$839,MATCH(H76,'Both teabags AfterDry'!$A$1:$A$839,0)),"")))</f>
        <v>1.278</v>
      </c>
      <c r="T76" s="195">
        <f>IF(IFERROR(INDEX('Both teabags AfterDry'!$D$1:$D$839,MATCH(I76,'Both teabags AfterDry'!$A$1:$A$839,0)),"")="N.A","",(IFERROR(INDEX('Both teabags AfterDry'!$D$1:$D$839,MATCH(I76,'Both teabags AfterDry'!$A$1:$A$839,0)),"")))</f>
        <v>1.8292999999999999</v>
      </c>
      <c r="U76" s="195">
        <f>IFERROR(IF(S76&gt;0,S76-($F$29),""),"")</f>
        <v>1.1274</v>
      </c>
      <c r="V76" s="195">
        <f>IFERROR(IF(T76&gt;0,T76-($F$29),""),"")</f>
        <v>1.6786999999999999</v>
      </c>
      <c r="W76" s="195">
        <f>IFERROR(INDEX('Ashed teabags dry'!$K$2:$K$821,MATCH(H76,'Ashed teabags dry'!$A$2:$A$821,0)),"")</f>
        <v>21.67931688804563</v>
      </c>
      <c r="X76" s="195">
        <f>IFERROR(INDEX('Ashed teabags dry'!$K$2:$K$821,MATCH(I76,'Ashed teabags dry'!$A$2:$A$821,0)),"")</f>
        <v>3.9233576642330181</v>
      </c>
      <c r="Y76" s="195">
        <f t="shared" ref="Y76:Z139" si="2">IFERROR(U76-(W76/100)*U76,"")</f>
        <v>0.88298738140417354</v>
      </c>
      <c r="Z76" s="195">
        <f t="shared" si="2"/>
        <v>1.6128385948905202</v>
      </c>
      <c r="AA76" s="195">
        <f>IFERROR(1-Y76/N76,"")</f>
        <v>0.45546894225644163</v>
      </c>
      <c r="AB76" s="195">
        <f>IFERROR($F$26*(1-AE76),"")</f>
        <v>0.29859721630113517</v>
      </c>
      <c r="AC76" s="195">
        <f t="shared" ref="AC76:AC139" si="3">IFERROR(Z76/Q76,"")</f>
        <v>0.83518743657832495</v>
      </c>
      <c r="AD76">
        <f t="shared" ref="AD76:AD139" si="4">IF((R76-G76)&gt;0,(IFERROR(R76-G76,"")),"")</f>
        <v>69</v>
      </c>
      <c r="AE76" s="195">
        <f>IFERROR(1-(AA76/$F$25),"")</f>
        <v>0.45906301394721893</v>
      </c>
      <c r="AF76" s="195">
        <f>IFERROR(LN(AB76/(AC76-(1-AB76)))/AD76,"")</f>
        <v>1.1635711933221597E-2</v>
      </c>
      <c r="AG76" s="255" t="str">
        <f>IF(ISNUMBER(SEARCH("C", 'Dry_Litterbag Placem_Collection'!AB3)),"YES","NO")</f>
        <v>NO</v>
      </c>
      <c r="AH76" s="255" t="str">
        <f>IF(ISNUMBER(SEARCH("H", 'Dry_Litterbag Placem_Collection'!AB3)),"YES","NO")</f>
        <v>NO</v>
      </c>
      <c r="AI76" s="255" t="str">
        <f>IF(ISNUMBER(SEARCH("R", 'Dry_Litterbag Placem_Collection'!AB3)),"YES","NO")</f>
        <v>NO</v>
      </c>
      <c r="AJ76" s="255" t="str">
        <f>IF(ISNUMBER(SEARCH("C", 'Dry_Litterbag Placem_Collection'!AA3)),"YES","NO")</f>
        <v>NO</v>
      </c>
      <c r="AK76" s="255" t="str">
        <f>IF(ISNUMBER(SEARCH("H", 'Dry_Litterbag Placem_Collection'!AA3)),"YES","NO")</f>
        <v>NO</v>
      </c>
      <c r="AL76" s="255" t="str">
        <f>IF(ISNUMBER(SEARCH("R", 'Dry_Litterbag Placem_Collection'!AA3)),"YES","NO")</f>
        <v>NO</v>
      </c>
      <c r="AR76" t="s">
        <v>1643</v>
      </c>
      <c r="AT76" t="s">
        <v>328</v>
      </c>
    </row>
    <row r="77" spans="2:47">
      <c r="B77" t="str">
        <f>'Final data_for_R_analysis_Dryse'!A3</f>
        <v>Dry</v>
      </c>
      <c r="C77" s="263">
        <f>'Final data_for_R_analysis_Dryse'!B3</f>
        <v>2</v>
      </c>
      <c r="D77" t="s">
        <v>3824</v>
      </c>
      <c r="E77" t="s">
        <v>22</v>
      </c>
      <c r="F77" s="386">
        <v>2</v>
      </c>
      <c r="G77" s="16">
        <f>'Dry_Litterbag Placem_Collection'!E4</f>
        <v>0</v>
      </c>
      <c r="H77" t="str">
        <f>'Final data_for_R_analysis_Dryse'!J3</f>
        <v/>
      </c>
      <c r="I77" t="str">
        <f>'Final data_for_R_analysis_Dryse'!J223</f>
        <v/>
      </c>
      <c r="J77" t="str">
        <f>IFERROR(INDEX('Green_rooibos initial weight'!$C$5:$C$1749,MATCH(H77, 'Green_rooibos initial weight'!$A$5:$A$1749,0)),"")</f>
        <v/>
      </c>
      <c r="K77" t="str">
        <f>IFERROR(INDEX('Green_rooibos initial weight'!$C$5:$C$1749,MATCH(I77, 'Green_rooibos initial weight'!$A$5:$A$1749,0)),"")</f>
        <v/>
      </c>
      <c r="L77" s="195" t="str">
        <f t="shared" ref="L77:L140" si="5">IFERROR(IF(J77&gt;0,(J77*$F$31-($F$29+$F$30)),""),"")</f>
        <v/>
      </c>
      <c r="M77" s="240">
        <f>AVERAGE(Ashed_controlls!$K$1:$K$11)</f>
        <v>5.5147656768714146</v>
      </c>
      <c r="N77" s="195" t="str">
        <f t="shared" si="0"/>
        <v/>
      </c>
      <c r="O77" s="195" t="str">
        <f t="shared" ref="O77:O140" si="6">IFERROR(IF(K77&gt;0,(K77*$F$32-($F$29+$F$30)),""),"")</f>
        <v/>
      </c>
      <c r="P77" s="240">
        <f>AVERAGE(Ashed_controlls!$K$12:$K$14)</f>
        <v>2.2816647271287041</v>
      </c>
      <c r="Q77" s="195" t="str">
        <f t="shared" si="1"/>
        <v/>
      </c>
      <c r="R77" s="16">
        <f>IF('Dry_Litterbag Placem_Collection'!G4="N.A","",'Dry_Litterbag Placem_Collection'!G4)</f>
        <v>0</v>
      </c>
      <c r="S77" s="195" t="str">
        <f>IF(IFERROR(INDEX('Both teabags AfterDry'!$D$1:$D$839,MATCH(H77,'Both teabags AfterDry'!$A$1:$A$839,0)),"")="N.A","",(IFERROR(INDEX('Both teabags AfterDry'!$D$1:$D$839,MATCH(H77,'Both teabags AfterDry'!$A$1:$A$839,0)),"")))</f>
        <v/>
      </c>
      <c r="T77" s="195" t="str">
        <f>IF(IFERROR(INDEX('Both teabags AfterDry'!$D$1:$D$839,MATCH(I77,'Both teabags AfterDry'!$A$1:$A$839,0)),"")="N.A","",(IFERROR(INDEX('Both teabags AfterDry'!$D$1:$D$839,MATCH(I77,'Both teabags AfterDry'!$A$1:$A$839,0)),"")))</f>
        <v/>
      </c>
      <c r="U77" s="195" t="str">
        <f t="shared" ref="U77:V140" si="7">IFERROR(IF(S77&gt;0,S77-($F$29),""),"")</f>
        <v/>
      </c>
      <c r="V77" s="195" t="str">
        <f t="shared" si="7"/>
        <v/>
      </c>
      <c r="W77" s="195" t="str">
        <f>IFERROR(INDEX('Ashed teabags dry'!$K$2:$K$821,MATCH(H77,'Ashed teabags dry'!$A$2:$A$821,0)),"")</f>
        <v/>
      </c>
      <c r="X77" s="195" t="str">
        <f>IFERROR(INDEX('Ashed teabags dry'!$K$2:$K$821,MATCH(I77,'Ashed teabags dry'!$A$2:$A$821,0)),"")</f>
        <v/>
      </c>
      <c r="Y77" s="195" t="str">
        <f t="shared" si="2"/>
        <v/>
      </c>
      <c r="Z77" s="195" t="str">
        <f t="shared" si="2"/>
        <v/>
      </c>
      <c r="AA77" s="195" t="str">
        <f t="shared" ref="AA77:AA140" si="8">IFERROR(1-Y77/N77,"")</f>
        <v/>
      </c>
      <c r="AB77" s="195" t="str">
        <f t="shared" ref="AB77:AB140" si="9">IFERROR($F$26*(1-AE77),"")</f>
        <v/>
      </c>
      <c r="AC77" s="195" t="str">
        <f t="shared" si="3"/>
        <v/>
      </c>
      <c r="AD77" t="str">
        <f t="shared" si="4"/>
        <v/>
      </c>
      <c r="AE77" s="195" t="str">
        <f t="shared" ref="AE77:AE140" si="10">IFERROR(1-(AA77/$F$25),"")</f>
        <v/>
      </c>
      <c r="AF77" s="195" t="str">
        <f t="shared" ref="AF77:AF140" si="11">IFERROR(LN(AB77/(AC77-(1-AB77)))/AD77,"")</f>
        <v/>
      </c>
      <c r="AG77" s="255" t="str">
        <f>IF(ISNUMBER(SEARCH("C", 'Dry_Litterbag Placem_Collection'!AB4)),"YES","NO")</f>
        <v>NO</v>
      </c>
      <c r="AH77" s="255" t="str">
        <f>IF(ISNUMBER(SEARCH("H", 'Dry_Litterbag Placem_Collection'!AB4)),"YES","NO")</f>
        <v>NO</v>
      </c>
      <c r="AI77" s="255" t="str">
        <f>IF(ISNUMBER(SEARCH("R", 'Dry_Litterbag Placem_Collection'!AB4)),"YES","NO")</f>
        <v>NO</v>
      </c>
      <c r="AJ77" s="255" t="str">
        <f>IF(ISNUMBER(SEARCH("C", 'Dry_Litterbag Placem_Collection'!AA4)),"YES","NO")</f>
        <v>NO</v>
      </c>
      <c r="AK77" s="255" t="str">
        <f>IF(ISNUMBER(SEARCH("H", 'Dry_Litterbag Placem_Collection'!AA4)),"YES","NO")</f>
        <v>NO</v>
      </c>
      <c r="AL77" s="255" t="str">
        <f>IF(ISNUMBER(SEARCH("R", 'Dry_Litterbag Placem_Collection'!AA4)),"YES","NO")</f>
        <v>NO</v>
      </c>
      <c r="AR77" t="s">
        <v>3654</v>
      </c>
      <c r="AT77" t="s">
        <v>3654</v>
      </c>
    </row>
    <row r="78" spans="2:47">
      <c r="B78" t="str">
        <f>'Final data_for_R_analysis_Dryse'!A4</f>
        <v>Dry</v>
      </c>
      <c r="C78" s="263">
        <f>'Final data_for_R_analysis_Dryse'!B4</f>
        <v>3</v>
      </c>
      <c r="D78" t="s">
        <v>3824</v>
      </c>
      <c r="E78" t="s">
        <v>22</v>
      </c>
      <c r="F78" s="386">
        <v>3</v>
      </c>
      <c r="G78" s="16">
        <f>'Dry_Litterbag Placem_Collection'!E5</f>
        <v>42938</v>
      </c>
      <c r="H78" t="str">
        <f>'Final data_for_R_analysis_Dryse'!J4</f>
        <v>G259</v>
      </c>
      <c r="I78" t="str">
        <f>'Final data_for_R_analysis_Dryse'!J224</f>
        <v>R742</v>
      </c>
      <c r="J78">
        <f>IFERROR(INDEX('Green_rooibos initial weight'!$C$5:$C$1749,MATCH(H78, 'Green_rooibos initial weight'!$A$5:$A$1749,0)),"")</f>
        <v>1.913</v>
      </c>
      <c r="K78">
        <f>IFERROR(INDEX('Green_rooibos initial weight'!$C$5:$C$1749,MATCH(I78, 'Green_rooibos initial weight'!$A$5:$A$1749,0)),"")</f>
        <v>2.1259999999999999</v>
      </c>
      <c r="L78" s="195">
        <f t="shared" si="5"/>
        <v>1.6632</v>
      </c>
      <c r="M78" s="240">
        <f>AVERAGE(Ashed_controlls!$K$1:$K$11)</f>
        <v>5.5147656768714146</v>
      </c>
      <c r="N78" s="195">
        <f t="shared" si="0"/>
        <v>1.5714784172622747</v>
      </c>
      <c r="O78" s="195">
        <f t="shared" si="6"/>
        <v>1.8761999999999999</v>
      </c>
      <c r="P78" s="240">
        <f>AVERAGE(Ashed_controlls!$K$12:$K$14)</f>
        <v>2.2816647271287041</v>
      </c>
      <c r="Q78" s="195">
        <f t="shared" si="1"/>
        <v>1.8333914063896111</v>
      </c>
      <c r="R78" s="16">
        <f>IF('Dry_Litterbag Placem_Collection'!G5="N.A","",'Dry_Litterbag Placem_Collection'!G5)</f>
        <v>43007</v>
      </c>
      <c r="S78" s="195">
        <f>IF(IFERROR(INDEX('Both teabags AfterDry'!$D$1:$D$839,MATCH(H78,'Both teabags AfterDry'!$A$1:$A$839,0)),"")="N.A","",(IFERROR(INDEX('Both teabags AfterDry'!$D$1:$D$839,MATCH(H78,'Both teabags AfterDry'!$A$1:$A$839,0)),"")))</f>
        <v>1.5964</v>
      </c>
      <c r="T78" s="195">
        <f>IF(IFERROR(INDEX('Both teabags AfterDry'!$D$1:$D$839,MATCH(I78,'Both teabags AfterDry'!$A$1:$A$839,0)),"")="N.A","",(IFERROR(INDEX('Both teabags AfterDry'!$D$1:$D$839,MATCH(I78,'Both teabags AfterDry'!$A$1:$A$839,0)),"")))</f>
        <v>1.8767</v>
      </c>
      <c r="U78" s="195">
        <f t="shared" si="7"/>
        <v>1.4458</v>
      </c>
      <c r="V78" s="195">
        <f t="shared" si="7"/>
        <v>1.7261</v>
      </c>
      <c r="W78" s="195">
        <f>IFERROR(INDEX('Ashed teabags dry'!$K$2:$K$821,MATCH(H78,'Ashed teabags dry'!$A$2:$A$821,0)),"")</f>
        <v>10.613993336505917</v>
      </c>
      <c r="X78" s="195">
        <f>IFERROR(INDEX('Ashed teabags dry'!$K$2:$K$821,MATCH(I78,'Ashed teabags dry'!$A$2:$A$821,0)),"")</f>
        <v>2.7142857142857459</v>
      </c>
      <c r="Y78" s="195">
        <f t="shared" si="2"/>
        <v>1.2923428843407974</v>
      </c>
      <c r="Z78" s="195">
        <f t="shared" si="2"/>
        <v>1.6792487142857138</v>
      </c>
      <c r="AA78" s="195">
        <f t="shared" si="8"/>
        <v>0.17762606845582307</v>
      </c>
      <c r="AB78" s="195">
        <f t="shared" si="9"/>
        <v>0.11644844392828307</v>
      </c>
      <c r="AC78" s="195">
        <f t="shared" si="3"/>
        <v>0.91592483112624523</v>
      </c>
      <c r="AD78">
        <f t="shared" si="4"/>
        <v>69</v>
      </c>
      <c r="AE78" s="195">
        <f t="shared" si="10"/>
        <v>0.78904267404296546</v>
      </c>
      <c r="AF78" s="195">
        <f t="shared" si="11"/>
        <v>1.8552397032406274E-2</v>
      </c>
      <c r="AG78" s="255" t="str">
        <f>IF(ISNUMBER(SEARCH("C", 'Dry_Litterbag Placem_Collection'!AB5)),"YES","NO")</f>
        <v>NO</v>
      </c>
      <c r="AH78" s="255" t="str">
        <f>IF(ISNUMBER(SEARCH("H", 'Dry_Litterbag Placem_Collection'!AB5)),"YES","NO")</f>
        <v>NO</v>
      </c>
      <c r="AI78" s="255" t="str">
        <f>IF(ISNUMBER(SEARCH("R", 'Dry_Litterbag Placem_Collection'!AB5)),"YES","NO")</f>
        <v>NO</v>
      </c>
      <c r="AJ78" s="255" t="str">
        <f>IF(ISNUMBER(SEARCH("C", 'Dry_Litterbag Placem_Collection'!AA5)),"YES","NO")</f>
        <v>NO</v>
      </c>
      <c r="AK78" s="255" t="str">
        <f>IF(ISNUMBER(SEARCH("H", 'Dry_Litterbag Placem_Collection'!AA5)),"YES","NO")</f>
        <v>NO</v>
      </c>
      <c r="AL78" s="255" t="str">
        <f>IF(ISNUMBER(SEARCH("R", 'Dry_Litterbag Placem_Collection'!AA5)),"YES","NO")</f>
        <v>NO</v>
      </c>
      <c r="AR78" t="s">
        <v>1791</v>
      </c>
      <c r="AT78" t="s">
        <v>397</v>
      </c>
    </row>
    <row r="79" spans="2:47">
      <c r="B79" t="str">
        <f>'Final data_for_R_analysis_Dryse'!A5</f>
        <v>Dry</v>
      </c>
      <c r="C79" s="263">
        <f>'Final data_for_R_analysis_Dryse'!B5</f>
        <v>4</v>
      </c>
      <c r="D79" t="s">
        <v>3824</v>
      </c>
      <c r="E79" t="s">
        <v>22</v>
      </c>
      <c r="F79" s="387">
        <v>4</v>
      </c>
      <c r="G79" s="16">
        <f>'Dry_Litterbag Placem_Collection'!E6</f>
        <v>42938</v>
      </c>
      <c r="H79" t="str">
        <f>'Final data_for_R_analysis_Dryse'!J5</f>
        <v>G255</v>
      </c>
      <c r="I79" t="str">
        <f>'Final data_for_R_analysis_Dryse'!J225</f>
        <v>R661</v>
      </c>
      <c r="J79">
        <f>IFERROR(INDEX('Green_rooibos initial weight'!$C$5:$C$1749,MATCH(H79, 'Green_rooibos initial weight'!$A$5:$A$1749,0)),"")</f>
        <v>2.0310000000000001</v>
      </c>
      <c r="K79">
        <f>IFERROR(INDEX('Green_rooibos initial weight'!$C$5:$C$1749,MATCH(I79, 'Green_rooibos initial weight'!$A$5:$A$1749,0)),"")</f>
        <v>2.1629999999999998</v>
      </c>
      <c r="L79" s="195">
        <f t="shared" si="5"/>
        <v>1.7812000000000001</v>
      </c>
      <c r="M79" s="240">
        <f>AVERAGE(Ashed_controlls!$K$1:$K$11)</f>
        <v>5.5147656768714146</v>
      </c>
      <c r="N79" s="195">
        <f t="shared" si="0"/>
        <v>1.6829709937635664</v>
      </c>
      <c r="O79" s="195">
        <f t="shared" si="6"/>
        <v>1.9131999999999998</v>
      </c>
      <c r="P79" s="240">
        <f>AVERAGE(Ashed_controlls!$K$12:$K$14)</f>
        <v>2.2816647271287041</v>
      </c>
      <c r="Q79" s="195">
        <f t="shared" si="1"/>
        <v>1.8695471904405734</v>
      </c>
      <c r="R79" s="16">
        <f>IF('Dry_Litterbag Placem_Collection'!G6="N.A","",'Dry_Litterbag Placem_Collection'!G6)</f>
        <v>43007</v>
      </c>
      <c r="S79" s="195">
        <f>IF(IFERROR(INDEX('Both teabags AfterDry'!$D$1:$D$839,MATCH(H79,'Both teabags AfterDry'!$A$1:$A$839,0)),"")="N.A","",(IFERROR(INDEX('Both teabags AfterDry'!$D$1:$D$839,MATCH(H79,'Both teabags AfterDry'!$A$1:$A$839,0)),"")))</f>
        <v>1.6215999999999999</v>
      </c>
      <c r="T79" s="195">
        <f>IF(IFERROR(INDEX('Both teabags AfterDry'!$D$1:$D$839,MATCH(I79,'Both teabags AfterDry'!$A$1:$A$839,0)),"")="N.A","",(IFERROR(INDEX('Both teabags AfterDry'!$D$1:$D$839,MATCH(I79,'Both teabags AfterDry'!$A$1:$A$839,0)),"")))</f>
        <v>1.837</v>
      </c>
      <c r="U79" s="195">
        <f t="shared" si="7"/>
        <v>1.4709999999999999</v>
      </c>
      <c r="V79" s="195">
        <f t="shared" si="7"/>
        <v>1.6863999999999999</v>
      </c>
      <c r="W79" s="195">
        <f>IFERROR(INDEX('Ashed teabags dry'!$K$2:$K$821,MATCH(H79,'Ashed teabags dry'!$A$2:$A$821,0)),"")</f>
        <v>8.5846867749423765</v>
      </c>
      <c r="X79" s="195">
        <f>IFERROR(INDEX('Ashed teabags dry'!$K$2:$K$821,MATCH(I79,'Ashed teabags dry'!$A$2:$A$821,0)),"")</f>
        <v>2.5594149908590014</v>
      </c>
      <c r="Y79" s="195">
        <f t="shared" si="2"/>
        <v>1.3447192575405975</v>
      </c>
      <c r="Z79" s="195">
        <f t="shared" si="2"/>
        <v>1.6432380255941537</v>
      </c>
      <c r="AA79" s="195">
        <f t="shared" si="8"/>
        <v>0.20098488772319767</v>
      </c>
      <c r="AB79" s="195">
        <f t="shared" si="9"/>
        <v>0.13176206416057618</v>
      </c>
      <c r="AC79" s="195">
        <f t="shared" si="3"/>
        <v>0.8789497446207345</v>
      </c>
      <c r="AD79">
        <f t="shared" si="4"/>
        <v>69</v>
      </c>
      <c r="AE79" s="195">
        <f t="shared" si="10"/>
        <v>0.76130060840475333</v>
      </c>
      <c r="AF79" s="195">
        <f t="shared" si="11"/>
        <v>3.6371753542998125E-2</v>
      </c>
      <c r="AG79" s="255" t="str">
        <f>IF(ISNUMBER(SEARCH("C", 'Dry_Litterbag Placem_Collection'!AB6)),"YES","NO")</f>
        <v>NO</v>
      </c>
      <c r="AH79" s="255" t="str">
        <f>IF(ISNUMBER(SEARCH("H", 'Dry_Litterbag Placem_Collection'!AB6)),"YES","NO")</f>
        <v>NO</v>
      </c>
      <c r="AI79" s="255" t="str">
        <f>IF(ISNUMBER(SEARCH("R", 'Dry_Litterbag Placem_Collection'!AB6)),"YES","NO")</f>
        <v>NO</v>
      </c>
      <c r="AJ79" s="255" t="str">
        <f>IF(ISNUMBER(SEARCH("C", 'Dry_Litterbag Placem_Collection'!AA6)),"YES","NO")</f>
        <v>NO</v>
      </c>
      <c r="AK79" s="255" t="str">
        <f>IF(ISNUMBER(SEARCH("H", 'Dry_Litterbag Placem_Collection'!AA6)),"YES","NO")</f>
        <v>NO</v>
      </c>
      <c r="AL79" s="255" t="str">
        <f>IF(ISNUMBER(SEARCH("R", 'Dry_Litterbag Placem_Collection'!AA6)),"YES","NO")</f>
        <v>NO</v>
      </c>
      <c r="AR79" t="s">
        <v>1795</v>
      </c>
      <c r="AT79" t="s">
        <v>478</v>
      </c>
    </row>
    <row r="80" spans="2:47">
      <c r="B80" t="str">
        <f>'Final data_for_R_analysis_Dryse'!A6</f>
        <v>Dry</v>
      </c>
      <c r="C80" s="263">
        <f>'Final data_for_R_analysis_Dryse'!B6</f>
        <v>5</v>
      </c>
      <c r="D80" t="s">
        <v>3824</v>
      </c>
      <c r="E80" t="s">
        <v>22</v>
      </c>
      <c r="F80" s="387">
        <v>5</v>
      </c>
      <c r="G80" s="16">
        <f>'Dry_Litterbag Placem_Collection'!E7</f>
        <v>42938</v>
      </c>
      <c r="H80" t="str">
        <f>'Final data_for_R_analysis_Dryse'!J6</f>
        <v>G122</v>
      </c>
      <c r="I80" t="str">
        <f>'Final data_for_R_analysis_Dryse'!J226</f>
        <v>R724</v>
      </c>
      <c r="J80">
        <f>IFERROR(INDEX('Green_rooibos initial weight'!$C$5:$C$1749,MATCH(H80, 'Green_rooibos initial weight'!$A$5:$A$1749,0)),"")</f>
        <v>1.95</v>
      </c>
      <c r="K80">
        <f>IFERROR(INDEX('Green_rooibos initial weight'!$C$5:$C$1749,MATCH(I80, 'Green_rooibos initial weight'!$A$5:$A$1749,0)),"")</f>
        <v>2.149</v>
      </c>
      <c r="L80" s="195">
        <f t="shared" si="5"/>
        <v>1.7001999999999999</v>
      </c>
      <c r="M80" s="240">
        <f>AVERAGE(Ashed_controlls!$K$1:$K$11)</f>
        <v>5.5147656768714146</v>
      </c>
      <c r="N80" s="195">
        <f t="shared" si="0"/>
        <v>1.6064379539618321</v>
      </c>
      <c r="O80" s="195">
        <f t="shared" si="6"/>
        <v>1.8992</v>
      </c>
      <c r="P80" s="240">
        <f>AVERAGE(Ashed_controlls!$K$12:$K$14)</f>
        <v>2.2816647271287041</v>
      </c>
      <c r="Q80" s="195">
        <f t="shared" si="1"/>
        <v>1.8558666235023717</v>
      </c>
      <c r="R80" s="16">
        <f>IF('Dry_Litterbag Placem_Collection'!G7="N.A","",'Dry_Litterbag Placem_Collection'!G7)</f>
        <v>0</v>
      </c>
      <c r="S80" s="195" t="str">
        <f>IF(IFERROR(INDEX('Both teabags AfterDry'!$D$1:$D$839,MATCH(H80,'Both teabags AfterDry'!$A$1:$A$839,0)),"")="N.A","",(IFERROR(INDEX('Both teabags AfterDry'!$D$1:$D$839,MATCH(H80,'Both teabags AfterDry'!$A$1:$A$839,0)),"")))</f>
        <v/>
      </c>
      <c r="T80" s="195" t="str">
        <f>IF(IFERROR(INDEX('Both teabags AfterDry'!$D$1:$D$839,MATCH(I80,'Both teabags AfterDry'!$A$1:$A$839,0)),"")="N.A","",(IFERROR(INDEX('Both teabags AfterDry'!$D$1:$D$839,MATCH(I80,'Both teabags AfterDry'!$A$1:$A$839,0)),"")))</f>
        <v/>
      </c>
      <c r="U80" s="195" t="str">
        <f t="shared" si="7"/>
        <v/>
      </c>
      <c r="V80" s="195" t="str">
        <f t="shared" si="7"/>
        <v/>
      </c>
      <c r="W80" s="195" t="str">
        <f>IFERROR(INDEX('Ashed teabags dry'!$K$2:$K$821,MATCH(H80,'Ashed teabags dry'!$A$2:$A$821,0)),"")</f>
        <v/>
      </c>
      <c r="X80" s="195" t="str">
        <f>IFERROR(INDEX('Ashed teabags dry'!$K$2:$K$821,MATCH(I80,'Ashed teabags dry'!$A$2:$A$821,0)),"")</f>
        <v/>
      </c>
      <c r="Y80" s="195" t="str">
        <f t="shared" si="2"/>
        <v/>
      </c>
      <c r="Z80" s="195" t="str">
        <f t="shared" si="2"/>
        <v/>
      </c>
      <c r="AA80" s="195" t="str">
        <f t="shared" si="8"/>
        <v/>
      </c>
      <c r="AB80" s="195" t="str">
        <f t="shared" si="9"/>
        <v/>
      </c>
      <c r="AC80" s="195" t="str">
        <f t="shared" si="3"/>
        <v/>
      </c>
      <c r="AD80" t="str">
        <f t="shared" si="4"/>
        <v/>
      </c>
      <c r="AE80" s="195" t="str">
        <f t="shared" si="10"/>
        <v/>
      </c>
      <c r="AF80" s="195" t="str">
        <f t="shared" si="11"/>
        <v/>
      </c>
      <c r="AG80" s="255" t="str">
        <f>IF(ISNUMBER(SEARCH("C", 'Dry_Litterbag Placem_Collection'!AB7)),"YES","NO")</f>
        <v>NO</v>
      </c>
      <c r="AH80" s="255" t="str">
        <f>IF(ISNUMBER(SEARCH("H", 'Dry_Litterbag Placem_Collection'!AB7)),"YES","NO")</f>
        <v>NO</v>
      </c>
      <c r="AI80" s="255" t="str">
        <f>IF(ISNUMBER(SEARCH("R", 'Dry_Litterbag Placem_Collection'!AB7)),"YES","NO")</f>
        <v>NO</v>
      </c>
      <c r="AJ80" s="255" t="str">
        <f>IF(ISNUMBER(SEARCH("C", 'Dry_Litterbag Placem_Collection'!AA7)),"YES","NO")</f>
        <v>NO</v>
      </c>
      <c r="AK80" s="255" t="str">
        <f>IF(ISNUMBER(SEARCH("H", 'Dry_Litterbag Placem_Collection'!AA7)),"YES","NO")</f>
        <v>NO</v>
      </c>
      <c r="AL80" s="255" t="str">
        <f>IF(ISNUMBER(SEARCH("R", 'Dry_Litterbag Placem_Collection'!AA7)),"YES","NO")</f>
        <v>NO</v>
      </c>
      <c r="AR80" t="s">
        <v>1928</v>
      </c>
      <c r="AT80" t="s">
        <v>415</v>
      </c>
    </row>
    <row r="81" spans="2:46">
      <c r="B81" t="str">
        <f>'Final data_for_R_analysis_Dryse'!A7</f>
        <v>Dry</v>
      </c>
      <c r="C81" s="263">
        <f>'Final data_for_R_analysis_Dryse'!B7</f>
        <v>6</v>
      </c>
      <c r="D81" t="s">
        <v>3824</v>
      </c>
      <c r="E81" t="s">
        <v>22</v>
      </c>
      <c r="F81" s="387">
        <v>6</v>
      </c>
      <c r="G81" s="16">
        <f>'Dry_Litterbag Placem_Collection'!E8</f>
        <v>42938</v>
      </c>
      <c r="H81" t="str">
        <f>'Final data_for_R_analysis_Dryse'!J7</f>
        <v>G478</v>
      </c>
      <c r="I81" t="str">
        <f>'Final data_for_R_analysis_Dryse'!J227</f>
        <v>R688</v>
      </c>
      <c r="J81">
        <f>IFERROR(INDEX('Green_rooibos initial weight'!$C$5:$C$1749,MATCH(H81, 'Green_rooibos initial weight'!$A$5:$A$1749,0)),"")</f>
        <v>2.056</v>
      </c>
      <c r="K81">
        <f>IFERROR(INDEX('Green_rooibos initial weight'!$C$5:$C$1749,MATCH(I81, 'Green_rooibos initial weight'!$A$5:$A$1749,0)),"")</f>
        <v>2.1709999999999998</v>
      </c>
      <c r="L81" s="195">
        <f t="shared" si="5"/>
        <v>1.8062</v>
      </c>
      <c r="M81" s="240">
        <f>AVERAGE(Ashed_controlls!$K$1:$K$11)</f>
        <v>5.5147656768714146</v>
      </c>
      <c r="N81" s="195">
        <f t="shared" si="0"/>
        <v>1.7065923023443486</v>
      </c>
      <c r="O81" s="195">
        <f t="shared" si="6"/>
        <v>1.9211999999999998</v>
      </c>
      <c r="P81" s="240">
        <f>AVERAGE(Ashed_controlls!$K$12:$K$14)</f>
        <v>2.2816647271287041</v>
      </c>
      <c r="Q81" s="195">
        <f t="shared" si="1"/>
        <v>1.8773646572624032</v>
      </c>
      <c r="R81" s="16">
        <f>IF('Dry_Litterbag Placem_Collection'!G8="N.A","",'Dry_Litterbag Placem_Collection'!G8)</f>
        <v>43007</v>
      </c>
      <c r="S81" s="195" t="str">
        <f>IF(IFERROR(INDEX('Both teabags AfterDry'!$D$1:$D$839,MATCH(H81,'Both teabags AfterDry'!$A$1:$A$839,0)),"")="N.A","",(IFERROR(INDEX('Both teabags AfterDry'!$D$1:$D$839,MATCH(H81,'Both teabags AfterDry'!$A$1:$A$839,0)),"")))</f>
        <v/>
      </c>
      <c r="T81" s="195" t="str">
        <f>IF(IFERROR(INDEX('Both teabags AfterDry'!$D$1:$D$839,MATCH(I81,'Both teabags AfterDry'!$A$1:$A$839,0)),"")="N.A","",(IFERROR(INDEX('Both teabags AfterDry'!$D$1:$D$839,MATCH(I81,'Both teabags AfterDry'!$A$1:$A$839,0)),"")))</f>
        <v/>
      </c>
      <c r="U81" s="195" t="str">
        <f t="shared" si="7"/>
        <v/>
      </c>
      <c r="V81" s="195" t="str">
        <f t="shared" si="7"/>
        <v/>
      </c>
      <c r="W81" s="195" t="str">
        <f>IFERROR(INDEX('Ashed teabags dry'!$K$2:$K$821,MATCH(H81,'Ashed teabags dry'!$A$2:$A$821,0)),"")</f>
        <v/>
      </c>
      <c r="X81" s="195" t="str">
        <f>IFERROR(INDEX('Ashed teabags dry'!$K$2:$K$821,MATCH(I81,'Ashed teabags dry'!$A$2:$A$821,0)),"")</f>
        <v/>
      </c>
      <c r="Y81" s="195" t="str">
        <f t="shared" si="2"/>
        <v/>
      </c>
      <c r="Z81" s="195" t="str">
        <f t="shared" si="2"/>
        <v/>
      </c>
      <c r="AA81" s="195" t="str">
        <f t="shared" si="8"/>
        <v/>
      </c>
      <c r="AB81" s="195" t="str">
        <f t="shared" si="9"/>
        <v/>
      </c>
      <c r="AC81" s="195" t="str">
        <f t="shared" si="3"/>
        <v/>
      </c>
      <c r="AD81">
        <f t="shared" si="4"/>
        <v>69</v>
      </c>
      <c r="AE81" s="195" t="str">
        <f t="shared" si="10"/>
        <v/>
      </c>
      <c r="AF81" s="195" t="str">
        <f t="shared" si="11"/>
        <v/>
      </c>
      <c r="AG81" s="255" t="str">
        <f>IF(ISNUMBER(SEARCH("C", 'Dry_Litterbag Placem_Collection'!AB8)),"YES","NO")</f>
        <v>NO</v>
      </c>
      <c r="AH81" s="255" t="str">
        <f>IF(ISNUMBER(SEARCH("H", 'Dry_Litterbag Placem_Collection'!AB8)),"YES","NO")</f>
        <v>NO</v>
      </c>
      <c r="AI81" s="255" t="str">
        <f>IF(ISNUMBER(SEARCH("R", 'Dry_Litterbag Placem_Collection'!AB8)),"YES","NO")</f>
        <v>NO</v>
      </c>
      <c r="AJ81" s="255" t="str">
        <f>IF(ISNUMBER(SEARCH("C", 'Dry_Litterbag Placem_Collection'!AA8)),"YES","NO")</f>
        <v>NO</v>
      </c>
      <c r="AK81" s="255" t="str">
        <f>IF(ISNUMBER(SEARCH("H", 'Dry_Litterbag Placem_Collection'!AA8)),"YES","NO")</f>
        <v>NO</v>
      </c>
      <c r="AL81" s="255" t="str">
        <f>IF(ISNUMBER(SEARCH("R", 'Dry_Litterbag Placem_Collection'!AA8)),"YES","NO")</f>
        <v>NO</v>
      </c>
      <c r="AR81" t="s">
        <v>1572</v>
      </c>
      <c r="AT81" t="s">
        <v>451</v>
      </c>
    </row>
    <row r="82" spans="2:46">
      <c r="B82" t="str">
        <f>'Final data_for_R_analysis_Dryse'!A8</f>
        <v>Dry</v>
      </c>
      <c r="C82" s="263">
        <f>'Final data_for_R_analysis_Dryse'!B8</f>
        <v>7</v>
      </c>
      <c r="D82" t="s">
        <v>3824</v>
      </c>
      <c r="E82" t="s">
        <v>22</v>
      </c>
      <c r="F82" s="387">
        <v>7</v>
      </c>
      <c r="G82" s="16">
        <f>'Dry_Litterbag Placem_Collection'!E9</f>
        <v>42938</v>
      </c>
      <c r="H82" t="str">
        <f>'Final data_for_R_analysis_Dryse'!J8</f>
        <v>G106</v>
      </c>
      <c r="I82" t="str">
        <f>'Final data_for_R_analysis_Dryse'!J228</f>
        <v>R762</v>
      </c>
      <c r="J82">
        <f>IFERROR(INDEX('Green_rooibos initial weight'!$C$5:$C$1749,MATCH(H82, 'Green_rooibos initial weight'!$A$5:$A$1749,0)),"")</f>
        <v>2.1230000000000002</v>
      </c>
      <c r="K82">
        <f>IFERROR(INDEX('Green_rooibos initial weight'!$C$5:$C$1749,MATCH(I82, 'Green_rooibos initial weight'!$A$5:$A$1749,0)),"")</f>
        <v>2.1949999999999998</v>
      </c>
      <c r="L82" s="195">
        <f t="shared" si="5"/>
        <v>1.8732000000000002</v>
      </c>
      <c r="M82" s="240">
        <f>AVERAGE(Ashed_controlls!$K$1:$K$11)</f>
        <v>5.5147656768714146</v>
      </c>
      <c r="N82" s="195">
        <f t="shared" si="0"/>
        <v>1.7698974093408448</v>
      </c>
      <c r="O82" s="195">
        <f t="shared" si="6"/>
        <v>1.9451999999999998</v>
      </c>
      <c r="P82" s="240">
        <f>AVERAGE(Ashed_controlls!$K$12:$K$14)</f>
        <v>2.2816647271287041</v>
      </c>
      <c r="Q82" s="195">
        <f t="shared" si="1"/>
        <v>1.9008170577278922</v>
      </c>
      <c r="R82" s="16">
        <f>IF('Dry_Litterbag Placem_Collection'!G9="N.A","",'Dry_Litterbag Placem_Collection'!G9)</f>
        <v>43007</v>
      </c>
      <c r="S82" s="195">
        <f>IF(IFERROR(INDEX('Both teabags AfterDry'!$D$1:$D$839,MATCH(H82,'Both teabags AfterDry'!$A$1:$A$839,0)),"")="N.A","",(IFERROR(INDEX('Both teabags AfterDry'!$D$1:$D$839,MATCH(H82,'Both teabags AfterDry'!$A$1:$A$839,0)),"")))</f>
        <v>2.0188999999999999</v>
      </c>
      <c r="T82" s="195">
        <f>IF(IFERROR(INDEX('Both teabags AfterDry'!$D$1:$D$839,MATCH(I82,'Both teabags AfterDry'!$A$1:$A$839,0)),"")="N.A","",(IFERROR(INDEX('Both teabags AfterDry'!$D$1:$D$839,MATCH(I82,'Both teabags AfterDry'!$A$1:$A$839,0)),"")))</f>
        <v>1.7052</v>
      </c>
      <c r="U82" s="195">
        <f t="shared" si="7"/>
        <v>1.8682999999999998</v>
      </c>
      <c r="V82" s="195">
        <f t="shared" si="7"/>
        <v>1.5546</v>
      </c>
      <c r="W82" s="195">
        <f>IFERROR(INDEX('Ashed teabags dry'!$K$2:$K$821,MATCH(H82,'Ashed teabags dry'!$A$2:$A$821,0)),"")</f>
        <v>8.482523444160524</v>
      </c>
      <c r="X82" s="195">
        <f>IFERROR(INDEX('Ashed teabags dry'!$K$2:$K$821,MATCH(I82,'Ashed teabags dry'!$A$2:$A$821,0)),"")</f>
        <v>6.2499999999996207</v>
      </c>
      <c r="Y82" s="195">
        <f t="shared" si="2"/>
        <v>1.7098210144927488</v>
      </c>
      <c r="Z82" s="195">
        <f t="shared" si="2"/>
        <v>1.4574375000000059</v>
      </c>
      <c r="AA82" s="195">
        <f t="shared" si="8"/>
        <v>3.3943433405255963E-2</v>
      </c>
      <c r="AB82" s="195">
        <f t="shared" si="9"/>
        <v>2.2252702184918424E-2</v>
      </c>
      <c r="AC82" s="195">
        <f t="shared" si="3"/>
        <v>0.76674264578734785</v>
      </c>
      <c r="AD82">
        <f t="shared" si="4"/>
        <v>69</v>
      </c>
      <c r="AE82" s="195">
        <f t="shared" si="10"/>
        <v>0.95968713372297387</v>
      </c>
      <c r="AF82" s="195" t="str">
        <f t="shared" si="11"/>
        <v/>
      </c>
      <c r="AG82" s="255" t="str">
        <f>IF(ISNUMBER(SEARCH("C", 'Dry_Litterbag Placem_Collection'!AB9)),"YES","NO")</f>
        <v>NO</v>
      </c>
      <c r="AH82" s="255" t="str">
        <f>IF(ISNUMBER(SEARCH("H", 'Dry_Litterbag Placem_Collection'!AB9)),"YES","NO")</f>
        <v>NO</v>
      </c>
      <c r="AI82" s="255" t="str">
        <f>IF(ISNUMBER(SEARCH("R", 'Dry_Litterbag Placem_Collection'!AB9)),"YES","NO")</f>
        <v>NO</v>
      </c>
      <c r="AJ82" s="255" t="str">
        <f>IF(ISNUMBER(SEARCH("C", 'Dry_Litterbag Placem_Collection'!AA9)),"YES","NO")</f>
        <v>NO</v>
      </c>
      <c r="AK82" s="255" t="str">
        <f>IF(ISNUMBER(SEARCH("H", 'Dry_Litterbag Placem_Collection'!AA9)),"YES","NO")</f>
        <v>NO</v>
      </c>
      <c r="AL82" s="255" t="str">
        <f>IF(ISNUMBER(SEARCH("R", 'Dry_Litterbag Placem_Collection'!AA9)),"YES","NO")</f>
        <v>NO</v>
      </c>
      <c r="AR82" t="s">
        <v>1944</v>
      </c>
      <c r="AT82" t="s">
        <v>377</v>
      </c>
    </row>
    <row r="83" spans="2:46">
      <c r="B83" t="str">
        <f>'Final data_for_R_analysis_Dryse'!A9</f>
        <v>Dry</v>
      </c>
      <c r="C83" s="263">
        <f>'Final data_for_R_analysis_Dryse'!B9</f>
        <v>8</v>
      </c>
      <c r="D83" t="s">
        <v>3824</v>
      </c>
      <c r="E83" t="s">
        <v>22</v>
      </c>
      <c r="F83" s="387">
        <v>8</v>
      </c>
      <c r="G83" s="16">
        <f>'Dry_Litterbag Placem_Collection'!E10</f>
        <v>42938</v>
      </c>
      <c r="H83" t="str">
        <f>'Final data_for_R_analysis_Dryse'!J9</f>
        <v>G228</v>
      </c>
      <c r="I83" t="str">
        <f>'Final data_for_R_analysis_Dryse'!J229</f>
        <v>R727</v>
      </c>
      <c r="J83">
        <f>IFERROR(INDEX('Green_rooibos initial weight'!$C$5:$C$1749,MATCH(H83, 'Green_rooibos initial weight'!$A$5:$A$1749,0)),"")</f>
        <v>1.976</v>
      </c>
      <c r="K83">
        <f>IFERROR(INDEX('Green_rooibos initial weight'!$C$5:$C$1749,MATCH(I83, 'Green_rooibos initial weight'!$A$5:$A$1749,0)),"")</f>
        <v>2.1629999999999998</v>
      </c>
      <c r="L83" s="195">
        <f t="shared" si="5"/>
        <v>1.7262</v>
      </c>
      <c r="M83" s="240">
        <f>AVERAGE(Ashed_controlls!$K$1:$K$11)</f>
        <v>5.5147656768714146</v>
      </c>
      <c r="N83" s="195">
        <f t="shared" si="0"/>
        <v>1.6310041148858456</v>
      </c>
      <c r="O83" s="195">
        <f t="shared" si="6"/>
        <v>1.9131999999999998</v>
      </c>
      <c r="P83" s="240">
        <f>AVERAGE(Ashed_controlls!$K$12:$K$14)</f>
        <v>2.2816647271287041</v>
      </c>
      <c r="Q83" s="195">
        <f t="shared" si="1"/>
        <v>1.8695471904405734</v>
      </c>
      <c r="R83" s="16">
        <f>IF('Dry_Litterbag Placem_Collection'!G10="N.A","",'Dry_Litterbag Placem_Collection'!G10)</f>
        <v>43007</v>
      </c>
      <c r="S83" s="195">
        <f>IF(IFERROR(INDEX('Both teabags AfterDry'!$D$1:$D$839,MATCH(H83,'Both teabags AfterDry'!$A$1:$A$839,0)),"")="N.A","",(IFERROR(INDEX('Both teabags AfterDry'!$D$1:$D$839,MATCH(H83,'Both teabags AfterDry'!$A$1:$A$839,0)),"")))</f>
        <v>0.83330000000000004</v>
      </c>
      <c r="T83" s="195">
        <f>IF(IFERROR(INDEX('Both teabags AfterDry'!$D$1:$D$839,MATCH(I83,'Both teabags AfterDry'!$A$1:$A$839,0)),"")="N.A","",(IFERROR(INDEX('Both teabags AfterDry'!$D$1:$D$839,MATCH(I83,'Both teabags AfterDry'!$A$1:$A$839,0)),"")))</f>
        <v>0</v>
      </c>
      <c r="U83" s="195">
        <f t="shared" si="7"/>
        <v>0.68270000000000008</v>
      </c>
      <c r="V83" s="195" t="str">
        <f t="shared" si="7"/>
        <v/>
      </c>
      <c r="W83" s="195">
        <f>IFERROR(INDEX('Ashed teabags dry'!$K$2:$K$821,MATCH(H83,'Ashed teabags dry'!$A$2:$A$821,0)),"")</f>
        <v>14.545454545454678</v>
      </c>
      <c r="X83" s="195">
        <f>IFERROR(INDEX('Ashed teabags dry'!$K$2:$K$821,MATCH(I83,'Ashed teabags dry'!$A$2:$A$821,0)),"")</f>
        <v>91.762114537445356</v>
      </c>
      <c r="Y83" s="195">
        <f t="shared" si="2"/>
        <v>0.58339818181818104</v>
      </c>
      <c r="Z83" s="195" t="str">
        <f t="shared" si="2"/>
        <v/>
      </c>
      <c r="AA83" s="195">
        <f t="shared" si="8"/>
        <v>0.64230735134655792</v>
      </c>
      <c r="AB83" s="195">
        <f t="shared" si="9"/>
        <v>0.4210851044457245</v>
      </c>
      <c r="AC83" s="195" t="str">
        <f t="shared" si="3"/>
        <v/>
      </c>
      <c r="AD83">
        <f t="shared" si="4"/>
        <v>69</v>
      </c>
      <c r="AE83" s="195">
        <f t="shared" si="10"/>
        <v>0.23716466585919482</v>
      </c>
      <c r="AF83" s="195" t="str">
        <f t="shared" si="11"/>
        <v/>
      </c>
      <c r="AG83" s="255" t="str">
        <f>IF(ISNUMBER(SEARCH("C", 'Dry_Litterbag Placem_Collection'!AB10)),"YES","NO")</f>
        <v>NO</v>
      </c>
      <c r="AH83" s="255" t="str">
        <f>IF(ISNUMBER(SEARCH("H", 'Dry_Litterbag Placem_Collection'!AB10)),"YES","NO")</f>
        <v>NO</v>
      </c>
      <c r="AI83" s="255" t="str">
        <f>IF(ISNUMBER(SEARCH("R", 'Dry_Litterbag Placem_Collection'!AB10)),"YES","NO")</f>
        <v>NO</v>
      </c>
      <c r="AJ83" s="255" t="str">
        <f>IF(ISNUMBER(SEARCH("C", 'Dry_Litterbag Placem_Collection'!AA10)),"YES","NO")</f>
        <v>NO</v>
      </c>
      <c r="AK83" s="255" t="str">
        <f>IF(ISNUMBER(SEARCH("H", 'Dry_Litterbag Placem_Collection'!AA10)),"YES","NO")</f>
        <v>NO</v>
      </c>
      <c r="AL83" s="255" t="str">
        <f>IF(ISNUMBER(SEARCH("R", 'Dry_Litterbag Placem_Collection'!AA10)),"YES","NO")</f>
        <v>NO</v>
      </c>
      <c r="AR83" t="s">
        <v>1822</v>
      </c>
      <c r="AT83" t="s">
        <v>412</v>
      </c>
    </row>
    <row r="84" spans="2:46">
      <c r="B84" t="str">
        <f>'Final data_for_R_analysis_Dryse'!A10</f>
        <v>Dry</v>
      </c>
      <c r="C84" s="263">
        <f>'Final data_for_R_analysis_Dryse'!B10</f>
        <v>9</v>
      </c>
      <c r="D84" t="s">
        <v>3828</v>
      </c>
      <c r="E84" t="s">
        <v>22</v>
      </c>
      <c r="F84" s="386">
        <v>1</v>
      </c>
      <c r="G84" s="16">
        <f>'Dry_Litterbag Placem_Collection'!E11</f>
        <v>42938</v>
      </c>
      <c r="H84" t="str">
        <f>'Final data_for_R_analysis_Dryse'!J10</f>
        <v>G277</v>
      </c>
      <c r="I84" t="str">
        <f>'Final data_for_R_analysis_Dryse'!J230</f>
        <v>R785</v>
      </c>
      <c r="J84">
        <f>IFERROR(INDEX('Green_rooibos initial weight'!$C$5:$C$1749,MATCH(H84, 'Green_rooibos initial weight'!$A$5:$A$1749,0)),"")</f>
        <v>1.93</v>
      </c>
      <c r="K84">
        <f>IFERROR(INDEX('Green_rooibos initial weight'!$C$5:$C$1749,MATCH(I84, 'Green_rooibos initial weight'!$A$5:$A$1749,0)),"")</f>
        <v>2.2549999999999999</v>
      </c>
      <c r="L84" s="195">
        <f t="shared" si="5"/>
        <v>1.6801999999999999</v>
      </c>
      <c r="M84" s="240">
        <f>AVERAGE(Ashed_controlls!$K$1:$K$11)</f>
        <v>5.5147656768714146</v>
      </c>
      <c r="N84" s="195">
        <f t="shared" si="0"/>
        <v>1.5875409070972064</v>
      </c>
      <c r="O84" s="195">
        <f t="shared" si="6"/>
        <v>2.0051999999999999</v>
      </c>
      <c r="P84" s="240">
        <f>AVERAGE(Ashed_controlls!$K$12:$K$14)</f>
        <v>2.2816647271287041</v>
      </c>
      <c r="Q84" s="195">
        <f t="shared" si="1"/>
        <v>1.959448058891615</v>
      </c>
      <c r="R84" s="16">
        <f>IF('Dry_Litterbag Placem_Collection'!G11="N.A","",'Dry_Litterbag Placem_Collection'!G11)</f>
        <v>43007</v>
      </c>
      <c r="S84" s="195">
        <f>IF(IFERROR(INDEX('Both teabags AfterDry'!$D$1:$D$839,MATCH(H84,'Both teabags AfterDry'!$A$1:$A$839,0)),"")="N.A","",(IFERROR(INDEX('Both teabags AfterDry'!$D$1:$D$839,MATCH(H84,'Both teabags AfterDry'!$A$1:$A$839,0)),"")))</f>
        <v>1.9345000000000001</v>
      </c>
      <c r="T84" s="195">
        <f>IF(IFERROR(INDEX('Both teabags AfterDry'!$D$1:$D$839,MATCH(I84,'Both teabags AfterDry'!$A$1:$A$839,0)),"")="N.A","",(IFERROR(INDEX('Both teabags AfterDry'!$D$1:$D$839,MATCH(I84,'Both teabags AfterDry'!$A$1:$A$839,0)),"")))</f>
        <v>3.7812999999999999</v>
      </c>
      <c r="U84" s="195">
        <f t="shared" si="7"/>
        <v>1.7839</v>
      </c>
      <c r="V84" s="195">
        <f t="shared" si="7"/>
        <v>3.6307</v>
      </c>
      <c r="W84" s="195">
        <f>IFERROR(INDEX('Ashed teabags dry'!$K$2:$K$821,MATCH(H84,'Ashed teabags dry'!$A$2:$A$821,0)),"")</f>
        <v>22.768222768222728</v>
      </c>
      <c r="X84" s="195">
        <f>IFERROR(INDEX('Ashed teabags dry'!$K$2:$K$821,MATCH(I84,'Ashed teabags dry'!$A$2:$A$821,0)),"")</f>
        <v>96.078431372548579</v>
      </c>
      <c r="Y84" s="195">
        <f t="shared" si="2"/>
        <v>1.3777376740376748</v>
      </c>
      <c r="Z84" s="195">
        <f t="shared" si="2"/>
        <v>0.1423803921568787</v>
      </c>
      <c r="AA84" s="195">
        <f t="shared" si="8"/>
        <v>0.13215611145614736</v>
      </c>
      <c r="AB84" s="195">
        <f t="shared" si="9"/>
        <v>8.6639160954623914E-2</v>
      </c>
      <c r="AC84" s="195">
        <f t="shared" si="3"/>
        <v>7.266351945936135E-2</v>
      </c>
      <c r="AD84">
        <f t="shared" si="4"/>
        <v>69</v>
      </c>
      <c r="AE84" s="195">
        <f t="shared" si="10"/>
        <v>0.84304499827060886</v>
      </c>
      <c r="AF84" s="195" t="str">
        <f t="shared" si="11"/>
        <v/>
      </c>
      <c r="AG84" s="255" t="str">
        <f>IF(ISNUMBER(SEARCH("C", 'Dry_Litterbag Placem_Collection'!AB11)),"YES","NO")</f>
        <v>NO</v>
      </c>
      <c r="AH84" s="255" t="str">
        <f>IF(ISNUMBER(SEARCH("H", 'Dry_Litterbag Placem_Collection'!AB11)),"YES","NO")</f>
        <v>NO</v>
      </c>
      <c r="AI84" s="255" t="str">
        <f>IF(ISNUMBER(SEARCH("R", 'Dry_Litterbag Placem_Collection'!AB11)),"YES","NO")</f>
        <v>NO</v>
      </c>
      <c r="AJ84" s="255" t="str">
        <f>IF(ISNUMBER(SEARCH("C", 'Dry_Litterbag Placem_Collection'!AA11)),"YES","NO")</f>
        <v>NO</v>
      </c>
      <c r="AK84" s="255" t="str">
        <f>IF(ISNUMBER(SEARCH("H", 'Dry_Litterbag Placem_Collection'!AA11)),"YES","NO")</f>
        <v>NO</v>
      </c>
      <c r="AL84" s="255" t="str">
        <f>IF(ISNUMBER(SEARCH("R", 'Dry_Litterbag Placem_Collection'!AA11)),"YES","NO")</f>
        <v>NO</v>
      </c>
      <c r="AR84" t="s">
        <v>1773</v>
      </c>
      <c r="AT84" t="s">
        <v>354</v>
      </c>
    </row>
    <row r="85" spans="2:46">
      <c r="B85" t="str">
        <f>'Final data_for_R_analysis_Dryse'!A11</f>
        <v>Dry</v>
      </c>
      <c r="C85" s="263">
        <f>'Final data_for_R_analysis_Dryse'!B11</f>
        <v>10</v>
      </c>
      <c r="D85" t="s">
        <v>3828</v>
      </c>
      <c r="E85" t="s">
        <v>22</v>
      </c>
      <c r="F85" s="386">
        <v>2</v>
      </c>
      <c r="G85" s="16">
        <f>'Dry_Litterbag Placem_Collection'!E12</f>
        <v>42938</v>
      </c>
      <c r="H85" t="str">
        <f>'Final data_for_R_analysis_Dryse'!J11</f>
        <v>G310</v>
      </c>
      <c r="I85" t="str">
        <f>'Final data_for_R_analysis_Dryse'!J231</f>
        <v>R747</v>
      </c>
      <c r="J85">
        <f>IFERROR(INDEX('Green_rooibos initial weight'!$C$5:$C$1749,MATCH(H85, 'Green_rooibos initial weight'!$A$5:$A$1749,0)),"")</f>
        <v>2.0459999999999998</v>
      </c>
      <c r="K85">
        <f>IFERROR(INDEX('Green_rooibos initial weight'!$C$5:$C$1749,MATCH(I85, 'Green_rooibos initial weight'!$A$5:$A$1749,0)),"")</f>
        <v>2.1549999999999998</v>
      </c>
      <c r="L85" s="195">
        <f t="shared" si="5"/>
        <v>1.7961999999999998</v>
      </c>
      <c r="M85" s="240">
        <f>AVERAGE(Ashed_controlls!$K$1:$K$11)</f>
        <v>5.5147656768714146</v>
      </c>
      <c r="N85" s="195">
        <f t="shared" si="0"/>
        <v>1.6971437789120354</v>
      </c>
      <c r="O85" s="195">
        <f t="shared" si="6"/>
        <v>1.9051999999999998</v>
      </c>
      <c r="P85" s="240">
        <f>AVERAGE(Ashed_controlls!$K$12:$K$14)</f>
        <v>2.2816647271287041</v>
      </c>
      <c r="Q85" s="195">
        <f t="shared" si="1"/>
        <v>1.8617297236187438</v>
      </c>
      <c r="R85" s="16">
        <f>IF('Dry_Litterbag Placem_Collection'!G12="N.A","",'Dry_Litterbag Placem_Collection'!G12)</f>
        <v>0</v>
      </c>
      <c r="S85" s="195" t="str">
        <f>IF(IFERROR(INDEX('Both teabags AfterDry'!$D$1:$D$839,MATCH(H85,'Both teabags AfterDry'!$A$1:$A$839,0)),"")="N.A","",(IFERROR(INDEX('Both teabags AfterDry'!$D$1:$D$839,MATCH(H85,'Both teabags AfterDry'!$A$1:$A$839,0)),"")))</f>
        <v/>
      </c>
      <c r="T85" s="195" t="str">
        <f>IF(IFERROR(INDEX('Both teabags AfterDry'!$D$1:$D$839,MATCH(I85,'Both teabags AfterDry'!$A$1:$A$839,0)),"")="N.A","",(IFERROR(INDEX('Both teabags AfterDry'!$D$1:$D$839,MATCH(I85,'Both teabags AfterDry'!$A$1:$A$839,0)),"")))</f>
        <v/>
      </c>
      <c r="U85" s="195" t="str">
        <f t="shared" si="7"/>
        <v/>
      </c>
      <c r="V85" s="195" t="str">
        <f t="shared" si="7"/>
        <v/>
      </c>
      <c r="W85" s="195" t="str">
        <f>IFERROR(INDEX('Ashed teabags dry'!$K$2:$K$821,MATCH(H85,'Ashed teabags dry'!$A$2:$A$821,0)),"")</f>
        <v/>
      </c>
      <c r="X85" s="195" t="str">
        <f>IFERROR(INDEX('Ashed teabags dry'!$K$2:$K$821,MATCH(I85,'Ashed teabags dry'!$A$2:$A$821,0)),"")</f>
        <v/>
      </c>
      <c r="Y85" s="195" t="str">
        <f t="shared" si="2"/>
        <v/>
      </c>
      <c r="Z85" s="195" t="str">
        <f t="shared" si="2"/>
        <v/>
      </c>
      <c r="AA85" s="195" t="str">
        <f t="shared" si="8"/>
        <v/>
      </c>
      <c r="AB85" s="195" t="str">
        <f t="shared" si="9"/>
        <v/>
      </c>
      <c r="AC85" s="195" t="str">
        <f t="shared" si="3"/>
        <v/>
      </c>
      <c r="AD85" t="str">
        <f t="shared" si="4"/>
        <v/>
      </c>
      <c r="AE85" s="195" t="str">
        <f t="shared" si="10"/>
        <v/>
      </c>
      <c r="AF85" s="195" t="str">
        <f t="shared" si="11"/>
        <v/>
      </c>
      <c r="AG85" s="255" t="str">
        <f>IF(ISNUMBER(SEARCH("C", 'Dry_Litterbag Placem_Collection'!AB12)),"YES","NO")</f>
        <v>NO</v>
      </c>
      <c r="AH85" s="255" t="str">
        <f>IF(ISNUMBER(SEARCH("H", 'Dry_Litterbag Placem_Collection'!AB12)),"YES","NO")</f>
        <v>NO</v>
      </c>
      <c r="AI85" s="255" t="str">
        <f>IF(ISNUMBER(SEARCH("R", 'Dry_Litterbag Placem_Collection'!AB12)),"YES","NO")</f>
        <v>NO</v>
      </c>
      <c r="AJ85" s="255" t="str">
        <f>IF(ISNUMBER(SEARCH("C", 'Dry_Litterbag Placem_Collection'!AA12)),"YES","NO")</f>
        <v>NO</v>
      </c>
      <c r="AK85" s="255" t="str">
        <f>IF(ISNUMBER(SEARCH("H", 'Dry_Litterbag Placem_Collection'!AA12)),"YES","NO")</f>
        <v>NO</v>
      </c>
      <c r="AL85" s="255" t="str">
        <f>IF(ISNUMBER(SEARCH("R", 'Dry_Litterbag Placem_Collection'!AA12)),"YES","NO")</f>
        <v>NO</v>
      </c>
      <c r="AR85" t="s">
        <v>1740</v>
      </c>
      <c r="AT85" t="s">
        <v>392</v>
      </c>
    </row>
    <row r="86" spans="2:46">
      <c r="B86" t="str">
        <f>'Final data_for_R_analysis_Dryse'!A12</f>
        <v>Dry</v>
      </c>
      <c r="C86" s="263">
        <f>'Final data_for_R_analysis_Dryse'!B12</f>
        <v>11</v>
      </c>
      <c r="D86" t="s">
        <v>3828</v>
      </c>
      <c r="E86" t="s">
        <v>22</v>
      </c>
      <c r="F86" s="386">
        <v>3</v>
      </c>
      <c r="G86" s="16">
        <f>'Dry_Litterbag Placem_Collection'!E13</f>
        <v>42938</v>
      </c>
      <c r="H86" t="str">
        <f>'Final data_for_R_analysis_Dryse'!J12</f>
        <v>G435</v>
      </c>
      <c r="I86" t="str">
        <f>'Final data_for_R_analysis_Dryse'!J232</f>
        <v>R748</v>
      </c>
      <c r="J86">
        <f>IFERROR(INDEX('Green_rooibos initial weight'!$C$5:$C$1749,MATCH(H86, 'Green_rooibos initial weight'!$A$5:$A$1749,0)),"")</f>
        <v>2.0009999999999999</v>
      </c>
      <c r="K86">
        <f>IFERROR(INDEX('Green_rooibos initial weight'!$C$5:$C$1749,MATCH(I86, 'Green_rooibos initial weight'!$A$5:$A$1749,0)),"")</f>
        <v>2.1829999999999998</v>
      </c>
      <c r="L86" s="195">
        <f t="shared" si="5"/>
        <v>1.7511999999999999</v>
      </c>
      <c r="M86" s="240">
        <f>AVERAGE(Ashed_controlls!$K$1:$K$11)</f>
        <v>5.5147656768714146</v>
      </c>
      <c r="N86" s="195">
        <f t="shared" si="0"/>
        <v>1.6546254234666278</v>
      </c>
      <c r="O86" s="195">
        <f t="shared" si="6"/>
        <v>1.9331999999999998</v>
      </c>
      <c r="P86" s="240">
        <f>AVERAGE(Ashed_controlls!$K$12:$K$14)</f>
        <v>2.2816647271287041</v>
      </c>
      <c r="Q86" s="195">
        <f t="shared" si="1"/>
        <v>1.8890908574951477</v>
      </c>
      <c r="R86" s="16">
        <f>IF('Dry_Litterbag Placem_Collection'!G13="N.A","",'Dry_Litterbag Placem_Collection'!G13)</f>
        <v>43007</v>
      </c>
      <c r="S86" s="195">
        <f>IF(IFERROR(INDEX('Both teabags AfterDry'!$D$1:$D$839,MATCH(H86,'Both teabags AfterDry'!$A$1:$A$839,0)),"")="N.A","",(IFERROR(INDEX('Both teabags AfterDry'!$D$1:$D$839,MATCH(H86,'Both teabags AfterDry'!$A$1:$A$839,0)),"")))</f>
        <v>1.7934000000000001</v>
      </c>
      <c r="T86" s="195">
        <f>IF(IFERROR(INDEX('Both teabags AfterDry'!$D$1:$D$839,MATCH(I86,'Both teabags AfterDry'!$A$1:$A$839,0)),"")="N.A","",(IFERROR(INDEX('Both teabags AfterDry'!$D$1:$D$839,MATCH(I86,'Both teabags AfterDry'!$A$1:$A$839,0)),"")))</f>
        <v>0.98360000000000003</v>
      </c>
      <c r="U86" s="195">
        <f t="shared" si="7"/>
        <v>1.6428</v>
      </c>
      <c r="V86" s="195">
        <f t="shared" si="7"/>
        <v>0.83299999999999996</v>
      </c>
      <c r="W86" s="195">
        <f>IFERROR(INDEX('Ashed teabags dry'!$K$2:$K$821,MATCH(H86,'Ashed teabags dry'!$A$2:$A$821,0)),"")</f>
        <v>10.240078392944513</v>
      </c>
      <c r="X86" s="195">
        <f>IFERROR(INDEX('Ashed teabags dry'!$K$2:$K$821,MATCH(I86,'Ashed teabags dry'!$A$2:$A$821,0)),"")</f>
        <v>89.951923076922583</v>
      </c>
      <c r="Y86" s="195">
        <f t="shared" si="2"/>
        <v>1.4745759921607076</v>
      </c>
      <c r="Z86" s="195">
        <f t="shared" si="2"/>
        <v>8.3700480769234864E-2</v>
      </c>
      <c r="AA86" s="195">
        <f t="shared" si="8"/>
        <v>0.10881582547468438</v>
      </c>
      <c r="AB86" s="195">
        <f t="shared" si="9"/>
        <v>7.1337690810006849E-2</v>
      </c>
      <c r="AC86" s="195">
        <f t="shared" si="3"/>
        <v>4.4307281694337383E-2</v>
      </c>
      <c r="AD86">
        <f t="shared" si="4"/>
        <v>69</v>
      </c>
      <c r="AE86" s="195">
        <f t="shared" si="10"/>
        <v>0.87076505288042239</v>
      </c>
      <c r="AF86" s="195" t="str">
        <f t="shared" si="11"/>
        <v/>
      </c>
      <c r="AG86" s="255" t="str">
        <f>IF(ISNUMBER(SEARCH("C", 'Dry_Litterbag Placem_Collection'!AB13)),"YES","NO")</f>
        <v>NO</v>
      </c>
      <c r="AH86" s="255" t="str">
        <f>IF(ISNUMBER(SEARCH("H", 'Dry_Litterbag Placem_Collection'!AB13)),"YES","NO")</f>
        <v>NO</v>
      </c>
      <c r="AI86" s="255" t="str">
        <f>IF(ISNUMBER(SEARCH("R", 'Dry_Litterbag Placem_Collection'!AB13)),"YES","NO")</f>
        <v>NO</v>
      </c>
      <c r="AJ86" s="255" t="str">
        <f>IF(ISNUMBER(SEARCH("C", 'Dry_Litterbag Placem_Collection'!AA13)),"YES","NO")</f>
        <v>NO</v>
      </c>
      <c r="AK86" s="255" t="str">
        <f>IF(ISNUMBER(SEARCH("H", 'Dry_Litterbag Placem_Collection'!AA13)),"YES","NO")</f>
        <v>NO</v>
      </c>
      <c r="AL86" s="255" t="str">
        <f>IF(ISNUMBER(SEARCH("R", 'Dry_Litterbag Placem_Collection'!AA13)),"YES","NO")</f>
        <v>NO</v>
      </c>
      <c r="AR86" t="s">
        <v>1615</v>
      </c>
      <c r="AT86" t="s">
        <v>391</v>
      </c>
    </row>
    <row r="87" spans="2:46">
      <c r="B87" t="str">
        <f>'Final data_for_R_analysis_Dryse'!A13</f>
        <v>Dry</v>
      </c>
      <c r="C87" s="263">
        <f>'Final data_for_R_analysis_Dryse'!B13</f>
        <v>12</v>
      </c>
      <c r="D87" t="s">
        <v>3828</v>
      </c>
      <c r="E87" t="s">
        <v>22</v>
      </c>
      <c r="F87" s="387">
        <v>4</v>
      </c>
      <c r="G87" s="16">
        <f>'Dry_Litterbag Placem_Collection'!E14</f>
        <v>0</v>
      </c>
      <c r="H87" t="str">
        <f>'Final data_for_R_analysis_Dryse'!J13</f>
        <v/>
      </c>
      <c r="I87" t="str">
        <f>'Final data_for_R_analysis_Dryse'!J233</f>
        <v/>
      </c>
      <c r="J87" t="str">
        <f>IFERROR(INDEX('Green_rooibos initial weight'!$C$5:$C$1749,MATCH(H87, 'Green_rooibos initial weight'!$A$5:$A$1749,0)),"")</f>
        <v/>
      </c>
      <c r="K87" t="str">
        <f>IFERROR(INDEX('Green_rooibos initial weight'!$C$5:$C$1749,MATCH(I87, 'Green_rooibos initial weight'!$A$5:$A$1749,0)),"")</f>
        <v/>
      </c>
      <c r="L87" s="195" t="str">
        <f t="shared" si="5"/>
        <v/>
      </c>
      <c r="M87" s="240">
        <f>AVERAGE(Ashed_controlls!$K$1:$K$11)</f>
        <v>5.5147656768714146</v>
      </c>
      <c r="N87" s="195" t="str">
        <f t="shared" si="0"/>
        <v/>
      </c>
      <c r="O87" s="195" t="str">
        <f t="shared" si="6"/>
        <v/>
      </c>
      <c r="P87" s="240">
        <f>AVERAGE(Ashed_controlls!$K$12:$K$14)</f>
        <v>2.2816647271287041</v>
      </c>
      <c r="Q87" s="195" t="str">
        <f t="shared" si="1"/>
        <v/>
      </c>
      <c r="R87" s="16">
        <f>IF('Dry_Litterbag Placem_Collection'!G14="N.A","",'Dry_Litterbag Placem_Collection'!G14)</f>
        <v>0</v>
      </c>
      <c r="S87" s="195" t="str">
        <f>IF(IFERROR(INDEX('Both teabags AfterDry'!$D$1:$D$839,MATCH(H87,'Both teabags AfterDry'!$A$1:$A$839,0)),"")="N.A","",(IFERROR(INDEX('Both teabags AfterDry'!$D$1:$D$839,MATCH(H87,'Both teabags AfterDry'!$A$1:$A$839,0)),"")))</f>
        <v/>
      </c>
      <c r="T87" s="195" t="str">
        <f>IF(IFERROR(INDEX('Both teabags AfterDry'!$D$1:$D$839,MATCH(I87,'Both teabags AfterDry'!$A$1:$A$839,0)),"")="N.A","",(IFERROR(INDEX('Both teabags AfterDry'!$D$1:$D$839,MATCH(I87,'Both teabags AfterDry'!$A$1:$A$839,0)),"")))</f>
        <v/>
      </c>
      <c r="U87" s="195" t="str">
        <f t="shared" si="7"/>
        <v/>
      </c>
      <c r="V87" s="195" t="str">
        <f t="shared" si="7"/>
        <v/>
      </c>
      <c r="W87" s="195" t="str">
        <f>IFERROR(INDEX('Ashed teabags dry'!$K$2:$K$821,MATCH(H87,'Ashed teabags dry'!$A$2:$A$821,0)),"")</f>
        <v/>
      </c>
      <c r="X87" s="195" t="str">
        <f>IFERROR(INDEX('Ashed teabags dry'!$K$2:$K$821,MATCH(I87,'Ashed teabags dry'!$A$2:$A$821,0)),"")</f>
        <v/>
      </c>
      <c r="Y87" s="195" t="str">
        <f t="shared" si="2"/>
        <v/>
      </c>
      <c r="Z87" s="195" t="str">
        <f t="shared" si="2"/>
        <v/>
      </c>
      <c r="AA87" s="195" t="str">
        <f t="shared" si="8"/>
        <v/>
      </c>
      <c r="AB87" s="195" t="str">
        <f t="shared" si="9"/>
        <v/>
      </c>
      <c r="AC87" s="195" t="str">
        <f t="shared" si="3"/>
        <v/>
      </c>
      <c r="AD87" t="str">
        <f t="shared" si="4"/>
        <v/>
      </c>
      <c r="AE87" s="195" t="str">
        <f t="shared" si="10"/>
        <v/>
      </c>
      <c r="AF87" s="195" t="str">
        <f t="shared" si="11"/>
        <v/>
      </c>
      <c r="AG87" s="255" t="str">
        <f>IF(ISNUMBER(SEARCH("C", 'Dry_Litterbag Placem_Collection'!AB14)),"YES","NO")</f>
        <v>NO</v>
      </c>
      <c r="AH87" s="255" t="str">
        <f>IF(ISNUMBER(SEARCH("H", 'Dry_Litterbag Placem_Collection'!AB14)),"YES","NO")</f>
        <v>NO</v>
      </c>
      <c r="AI87" s="255" t="str">
        <f>IF(ISNUMBER(SEARCH("R", 'Dry_Litterbag Placem_Collection'!AB14)),"YES","NO")</f>
        <v>NO</v>
      </c>
      <c r="AJ87" s="255" t="str">
        <f>IF(ISNUMBER(SEARCH("C", 'Dry_Litterbag Placem_Collection'!AA14)),"YES","NO")</f>
        <v>NO</v>
      </c>
      <c r="AK87" s="255" t="str">
        <f>IF(ISNUMBER(SEARCH("H", 'Dry_Litterbag Placem_Collection'!AA14)),"YES","NO")</f>
        <v>NO</v>
      </c>
      <c r="AL87" s="255" t="str">
        <f>IF(ISNUMBER(SEARCH("R", 'Dry_Litterbag Placem_Collection'!AA14)),"YES","NO")</f>
        <v>NO</v>
      </c>
      <c r="AR87" t="s">
        <v>3654</v>
      </c>
      <c r="AT87" t="s">
        <v>3654</v>
      </c>
    </row>
    <row r="88" spans="2:46">
      <c r="B88" t="str">
        <f>'Final data_for_R_analysis_Dryse'!A14</f>
        <v>Dry</v>
      </c>
      <c r="C88" s="263">
        <f>'Final data_for_R_analysis_Dryse'!B14</f>
        <v>13</v>
      </c>
      <c r="D88" t="s">
        <v>3828</v>
      </c>
      <c r="E88" t="s">
        <v>22</v>
      </c>
      <c r="F88" s="387">
        <v>5</v>
      </c>
      <c r="G88" s="16">
        <f>'Dry_Litterbag Placem_Collection'!E15</f>
        <v>42938</v>
      </c>
      <c r="H88" t="str">
        <f>'Final data_for_R_analysis_Dryse'!J14</f>
        <v>G2</v>
      </c>
      <c r="I88" t="str">
        <f>'Final data_for_R_analysis_Dryse'!J234</f>
        <v>R784</v>
      </c>
      <c r="J88">
        <f>IFERROR(INDEX('Green_rooibos initial weight'!$C$5:$C$1749,MATCH(H88, 'Green_rooibos initial weight'!$A$5:$A$1749,0)),"")</f>
        <v>2</v>
      </c>
      <c r="K88">
        <f>IFERROR(INDEX('Green_rooibos initial weight'!$C$5:$C$1749,MATCH(I88, 'Green_rooibos initial weight'!$A$5:$A$1749,0)),"")</f>
        <v>2.17</v>
      </c>
      <c r="L88" s="195">
        <f t="shared" si="5"/>
        <v>1.7502</v>
      </c>
      <c r="M88" s="240">
        <f>AVERAGE(Ashed_controlls!$K$1:$K$11)</f>
        <v>5.5147656768714146</v>
      </c>
      <c r="N88" s="195">
        <f t="shared" si="0"/>
        <v>1.6536805711233964</v>
      </c>
      <c r="O88" s="195">
        <f t="shared" si="6"/>
        <v>1.9201999999999999</v>
      </c>
      <c r="P88" s="240">
        <f>AVERAGE(Ashed_controlls!$K$12:$K$14)</f>
        <v>2.2816647271287041</v>
      </c>
      <c r="Q88" s="195">
        <f t="shared" si="1"/>
        <v>1.8763874739096746</v>
      </c>
      <c r="R88" s="16">
        <f>IF('Dry_Litterbag Placem_Collection'!G15="N.A","",'Dry_Litterbag Placem_Collection'!G15)</f>
        <v>43007</v>
      </c>
      <c r="S88" s="195">
        <f>IF(IFERROR(INDEX('Both teabags AfterDry'!$D$1:$D$839,MATCH(H88,'Both teabags AfterDry'!$A$1:$A$839,0)),"")="N.A","",(IFERROR(INDEX('Both teabags AfterDry'!$D$1:$D$839,MATCH(H88,'Both teabags AfterDry'!$A$1:$A$839,0)),"")))</f>
        <v>1.7587999999999999</v>
      </c>
      <c r="T88" s="195">
        <f>IF(IFERROR(INDEX('Both teabags AfterDry'!$D$1:$D$839,MATCH(I88,'Both teabags AfterDry'!$A$1:$A$839,0)),"")="N.A","",(IFERROR(INDEX('Both teabags AfterDry'!$D$1:$D$839,MATCH(I88,'Both teabags AfterDry'!$A$1:$A$839,0)),"")))</f>
        <v>0</v>
      </c>
      <c r="U88" s="195">
        <f t="shared" si="7"/>
        <v>1.6081999999999999</v>
      </c>
      <c r="V88" s="195" t="str">
        <f t="shared" si="7"/>
        <v/>
      </c>
      <c r="W88" s="195">
        <f>IFERROR(INDEX('Ashed teabags dry'!$K$2:$K$821,MATCH(H88,'Ashed teabags dry'!$A$2:$A$821,0)),"")</f>
        <v>27.976482116609386</v>
      </c>
      <c r="X88" s="195">
        <f>IFERROR(INDEX('Ashed teabags dry'!$K$2:$K$821,MATCH(I88,'Ashed teabags dry'!$A$2:$A$821,0)),"")</f>
        <v>92.742616033754956</v>
      </c>
      <c r="Y88" s="195">
        <f t="shared" si="2"/>
        <v>1.1582822146006877</v>
      </c>
      <c r="Z88" s="195" t="str">
        <f t="shared" si="2"/>
        <v/>
      </c>
      <c r="AA88" s="195">
        <f t="shared" si="8"/>
        <v>0.29957318551923806</v>
      </c>
      <c r="AB88" s="195">
        <f t="shared" si="9"/>
        <v>0.19639477245441733</v>
      </c>
      <c r="AC88" s="195" t="str">
        <f t="shared" si="3"/>
        <v/>
      </c>
      <c r="AD88">
        <f t="shared" si="4"/>
        <v>69</v>
      </c>
      <c r="AE88" s="195">
        <f t="shared" si="10"/>
        <v>0.64421236874199761</v>
      </c>
      <c r="AF88" s="195" t="str">
        <f t="shared" si="11"/>
        <v/>
      </c>
      <c r="AG88" s="255" t="str">
        <f>IF(ISNUMBER(SEARCH("C", 'Dry_Litterbag Placem_Collection'!AB15)),"YES","NO")</f>
        <v>NO</v>
      </c>
      <c r="AH88" s="255" t="str">
        <f>IF(ISNUMBER(SEARCH("H", 'Dry_Litterbag Placem_Collection'!AB15)),"YES","NO")</f>
        <v>NO</v>
      </c>
      <c r="AI88" s="255" t="str">
        <f>IF(ISNUMBER(SEARCH("R", 'Dry_Litterbag Placem_Collection'!AB15)),"YES","NO")</f>
        <v>NO</v>
      </c>
      <c r="AJ88" s="255" t="str">
        <f>IF(ISNUMBER(SEARCH("C", 'Dry_Litterbag Placem_Collection'!AA15)),"YES","NO")</f>
        <v>NO</v>
      </c>
      <c r="AK88" s="255" t="str">
        <f>IF(ISNUMBER(SEARCH("H", 'Dry_Litterbag Placem_Collection'!AA15)),"YES","NO")</f>
        <v>NO</v>
      </c>
      <c r="AL88" s="255" t="str">
        <f>IF(ISNUMBER(SEARCH("R", 'Dry_Litterbag Placem_Collection'!AA15)),"YES","NO")</f>
        <v>NO</v>
      </c>
      <c r="AR88" t="s">
        <v>2048</v>
      </c>
      <c r="AT88" t="s">
        <v>355</v>
      </c>
    </row>
    <row r="89" spans="2:46">
      <c r="B89" t="str">
        <f>'Final data_for_R_analysis_Dryse'!A15</f>
        <v>Dry</v>
      </c>
      <c r="C89" s="263">
        <f>'Final data_for_R_analysis_Dryse'!B15</f>
        <v>14</v>
      </c>
      <c r="D89" t="s">
        <v>3828</v>
      </c>
      <c r="E89" t="s">
        <v>22</v>
      </c>
      <c r="F89" s="387">
        <v>6</v>
      </c>
      <c r="G89" s="16">
        <f>'Dry_Litterbag Placem_Collection'!E16</f>
        <v>42938</v>
      </c>
      <c r="H89" t="str">
        <f>'Final data_for_R_analysis_Dryse'!J15</f>
        <v>G225</v>
      </c>
      <c r="I89" t="str">
        <f>'Final data_for_R_analysis_Dryse'!J235</f>
        <v>R838</v>
      </c>
      <c r="J89">
        <f>IFERROR(INDEX('Green_rooibos initial weight'!$C$5:$C$1749,MATCH(H89, 'Green_rooibos initial weight'!$A$5:$A$1749,0)),"")</f>
        <v>2.117</v>
      </c>
      <c r="K89">
        <f>IFERROR(INDEX('Green_rooibos initial weight'!$C$5:$C$1749,MATCH(I89, 'Green_rooibos initial weight'!$A$5:$A$1749,0)),"")</f>
        <v>2.1589999999999998</v>
      </c>
      <c r="L89" s="195">
        <f t="shared" si="5"/>
        <v>1.8672</v>
      </c>
      <c r="M89" s="240">
        <f>AVERAGE(Ashed_controlls!$K$1:$K$11)</f>
        <v>5.5147656768714146</v>
      </c>
      <c r="N89" s="195">
        <f t="shared" si="0"/>
        <v>1.764228295281457</v>
      </c>
      <c r="O89" s="195">
        <f t="shared" si="6"/>
        <v>1.9091999999999998</v>
      </c>
      <c r="P89" s="240">
        <f>AVERAGE(Ashed_controlls!$K$12:$K$14)</f>
        <v>2.2816647271287041</v>
      </c>
      <c r="Q89" s="195">
        <f t="shared" si="1"/>
        <v>1.8656384570296585</v>
      </c>
      <c r="R89" s="16">
        <f>IF('Dry_Litterbag Placem_Collection'!G16="N.A","",'Dry_Litterbag Placem_Collection'!G16)</f>
        <v>43007</v>
      </c>
      <c r="S89" s="195">
        <f>IF(IFERROR(INDEX('Both teabags AfterDry'!$D$1:$D$839,MATCH(H89,'Both teabags AfterDry'!$A$1:$A$839,0)),"")="N.A","",(IFERROR(INDEX('Both teabags AfterDry'!$D$1:$D$839,MATCH(H89,'Both teabags AfterDry'!$A$1:$A$839,0)),"")))</f>
        <v>1.25</v>
      </c>
      <c r="T89" s="195">
        <f>IF(IFERROR(INDEX('Both teabags AfterDry'!$D$1:$D$839,MATCH(I89,'Both teabags AfterDry'!$A$1:$A$839,0)),"")="N.A","",(IFERROR(INDEX('Both teabags AfterDry'!$D$1:$D$839,MATCH(I89,'Both teabags AfterDry'!$A$1:$A$839,0)),"")))</f>
        <v>1.0848</v>
      </c>
      <c r="U89" s="195">
        <f t="shared" si="7"/>
        <v>1.0993999999999999</v>
      </c>
      <c r="V89" s="195">
        <f t="shared" si="7"/>
        <v>0.93419999999999992</v>
      </c>
      <c r="W89" s="195" t="str">
        <f>IFERROR(INDEX('Ashed teabags dry'!$K$2:$K$821,MATCH(H89,'Ashed teabags dry'!$A$2:$A$821,0)),"")</f>
        <v/>
      </c>
      <c r="X89" s="195">
        <f>IFERROR(INDEX('Ashed teabags dry'!$K$2:$K$821,MATCH(I89,'Ashed teabags dry'!$A$2:$A$821,0)),"")</f>
        <v>96.944824441403483</v>
      </c>
      <c r="Y89" s="195" t="str">
        <f t="shared" si="2"/>
        <v/>
      </c>
      <c r="Z89" s="195">
        <f t="shared" si="2"/>
        <v>2.854145006840858E-2</v>
      </c>
      <c r="AA89" s="195" t="str">
        <f t="shared" si="8"/>
        <v/>
      </c>
      <c r="AB89" s="195" t="str">
        <f t="shared" si="9"/>
        <v/>
      </c>
      <c r="AC89" s="195">
        <f t="shared" si="3"/>
        <v>1.5298489351388221E-2</v>
      </c>
      <c r="AD89">
        <f t="shared" si="4"/>
        <v>69</v>
      </c>
      <c r="AE89" s="195" t="str">
        <f t="shared" si="10"/>
        <v/>
      </c>
      <c r="AF89" s="195" t="str">
        <f t="shared" si="11"/>
        <v/>
      </c>
      <c r="AG89" s="255" t="str">
        <f>IF(ISNUMBER(SEARCH("C", 'Dry_Litterbag Placem_Collection'!AB16)),"YES","NO")</f>
        <v>NO</v>
      </c>
      <c r="AH89" s="255" t="str">
        <f>IF(ISNUMBER(SEARCH("H", 'Dry_Litterbag Placem_Collection'!AB16)),"YES","NO")</f>
        <v>NO</v>
      </c>
      <c r="AI89" s="255" t="str">
        <f>IF(ISNUMBER(SEARCH("R", 'Dry_Litterbag Placem_Collection'!AB16)),"YES","NO")</f>
        <v>NO</v>
      </c>
      <c r="AJ89" s="255" t="str">
        <f>IF(ISNUMBER(SEARCH("C", 'Dry_Litterbag Placem_Collection'!AA16)),"YES","NO")</f>
        <v>NO</v>
      </c>
      <c r="AK89" s="255" t="str">
        <f>IF(ISNUMBER(SEARCH("H", 'Dry_Litterbag Placem_Collection'!AA16)),"YES","NO")</f>
        <v>NO</v>
      </c>
      <c r="AL89" s="255" t="str">
        <f>IF(ISNUMBER(SEARCH("R", 'Dry_Litterbag Placem_Collection'!AA16)),"YES","NO")</f>
        <v>NO</v>
      </c>
      <c r="AR89" t="s">
        <v>1825</v>
      </c>
      <c r="AT89" t="s">
        <v>301</v>
      </c>
    </row>
    <row r="90" spans="2:46">
      <c r="B90" t="str">
        <f>'Final data_for_R_analysis_Dryse'!A16</f>
        <v>Dry</v>
      </c>
      <c r="C90" s="263">
        <f>'Final data_for_R_analysis_Dryse'!B16</f>
        <v>15</v>
      </c>
      <c r="D90" t="s">
        <v>3828</v>
      </c>
      <c r="E90" t="s">
        <v>22</v>
      </c>
      <c r="F90" s="387">
        <v>7</v>
      </c>
      <c r="G90" s="16">
        <f>'Dry_Litterbag Placem_Collection'!E17</f>
        <v>42938</v>
      </c>
      <c r="H90" t="str">
        <f>'Final data_for_R_analysis_Dryse'!J16</f>
        <v>G444</v>
      </c>
      <c r="I90" t="str">
        <f>'Final data_for_R_analysis_Dryse'!J236</f>
        <v>R793</v>
      </c>
      <c r="J90">
        <f>IFERROR(INDEX('Green_rooibos initial weight'!$C$5:$C$1749,MATCH(H90, 'Green_rooibos initial weight'!$A$5:$A$1749,0)),"")</f>
        <v>2.0259999999999998</v>
      </c>
      <c r="K90">
        <f>IFERROR(INDEX('Green_rooibos initial weight'!$C$5:$C$1749,MATCH(I90, 'Green_rooibos initial weight'!$A$5:$A$1749,0)),"")</f>
        <v>2.2050000000000001</v>
      </c>
      <c r="L90" s="195">
        <f t="shared" si="5"/>
        <v>1.7761999999999998</v>
      </c>
      <c r="M90" s="240">
        <f>AVERAGE(Ashed_controlls!$K$1:$K$11)</f>
        <v>5.5147656768714146</v>
      </c>
      <c r="N90" s="195">
        <f t="shared" si="0"/>
        <v>1.6782467320474097</v>
      </c>
      <c r="O90" s="195">
        <f t="shared" si="6"/>
        <v>1.9552</v>
      </c>
      <c r="P90" s="240">
        <f>AVERAGE(Ashed_controlls!$K$12:$K$14)</f>
        <v>2.2816647271287041</v>
      </c>
      <c r="Q90" s="195">
        <f t="shared" si="1"/>
        <v>1.9105888912551796</v>
      </c>
      <c r="R90" s="16">
        <f>IF('Dry_Litterbag Placem_Collection'!G17="N.A","",'Dry_Litterbag Placem_Collection'!G17)</f>
        <v>43007</v>
      </c>
      <c r="S90" s="195">
        <f>IF(IFERROR(INDEX('Both teabags AfterDry'!$D$1:$D$839,MATCH(H90,'Both teabags AfterDry'!$A$1:$A$839,0)),"")="N.A","",(IFERROR(INDEX('Both teabags AfterDry'!$D$1:$D$839,MATCH(H90,'Both teabags AfterDry'!$A$1:$A$839,0)),"")))</f>
        <v>1.3574999999999999</v>
      </c>
      <c r="T90" s="195">
        <f>IF(IFERROR(INDEX('Both teabags AfterDry'!$D$1:$D$839,MATCH(I90,'Both teabags AfterDry'!$A$1:$A$839,0)),"")="N.A","",(IFERROR(INDEX('Both teabags AfterDry'!$D$1:$D$839,MATCH(I90,'Both teabags AfterDry'!$A$1:$A$839,0)),"")))</f>
        <v>0.24560000000000001</v>
      </c>
      <c r="U90" s="195">
        <f t="shared" si="7"/>
        <v>1.2068999999999999</v>
      </c>
      <c r="V90" s="195">
        <f t="shared" si="7"/>
        <v>9.5000000000000001E-2</v>
      </c>
      <c r="W90" s="195">
        <f>IFERROR(INDEX('Ashed teabags dry'!$K$2:$K$821,MATCH(H90,'Ashed teabags dry'!$A$2:$A$821,0)),"")</f>
        <v>10.790345480359514</v>
      </c>
      <c r="X90" s="195">
        <f>IFERROR(INDEX('Ashed teabags dry'!$K$2:$K$821,MATCH(I90,'Ashed teabags dry'!$A$2:$A$821,0)),"")</f>
        <v>0</v>
      </c>
      <c r="Y90" s="195">
        <f t="shared" si="2"/>
        <v>1.0766713203975409</v>
      </c>
      <c r="Z90" s="195">
        <f t="shared" si="2"/>
        <v>9.5000000000000001E-2</v>
      </c>
      <c r="AA90" s="195">
        <f t="shared" si="8"/>
        <v>0.35845468974395989</v>
      </c>
      <c r="AB90" s="195">
        <f t="shared" si="9"/>
        <v>0.23499642368012572</v>
      </c>
      <c r="AC90" s="195">
        <f t="shared" si="3"/>
        <v>4.9722889332612444E-2</v>
      </c>
      <c r="AD90">
        <f t="shared" si="4"/>
        <v>69</v>
      </c>
      <c r="AE90" s="195">
        <f t="shared" si="10"/>
        <v>0.57428184115919256</v>
      </c>
      <c r="AF90" s="195" t="str">
        <f t="shared" si="11"/>
        <v/>
      </c>
      <c r="AG90" s="255" t="str">
        <f>IF(ISNUMBER(SEARCH("C", 'Dry_Litterbag Placem_Collection'!AB17)),"YES","NO")</f>
        <v>NO</v>
      </c>
      <c r="AH90" s="255" t="str">
        <f>IF(ISNUMBER(SEARCH("H", 'Dry_Litterbag Placem_Collection'!AB17)),"YES","NO")</f>
        <v>NO</v>
      </c>
      <c r="AI90" s="255" t="str">
        <f>IF(ISNUMBER(SEARCH("R", 'Dry_Litterbag Placem_Collection'!AB17)),"YES","NO")</f>
        <v>NO</v>
      </c>
      <c r="AJ90" s="255" t="str">
        <f>IF(ISNUMBER(SEARCH("C", 'Dry_Litterbag Placem_Collection'!AA17)),"YES","NO")</f>
        <v>NO</v>
      </c>
      <c r="AK90" s="255" t="str">
        <f>IF(ISNUMBER(SEARCH("H", 'Dry_Litterbag Placem_Collection'!AA17)),"YES","NO")</f>
        <v>NO</v>
      </c>
      <c r="AL90" s="255" t="str">
        <f>IF(ISNUMBER(SEARCH("R", 'Dry_Litterbag Placem_Collection'!AA17)),"YES","NO")</f>
        <v>NO</v>
      </c>
      <c r="AR90" t="s">
        <v>1606</v>
      </c>
      <c r="AT90" t="s">
        <v>346</v>
      </c>
    </row>
    <row r="91" spans="2:46">
      <c r="B91" t="str">
        <f>'Final data_for_R_analysis_Dryse'!A17</f>
        <v>Dry</v>
      </c>
      <c r="C91" s="263">
        <f>'Final data_for_R_analysis_Dryse'!B17</f>
        <v>16</v>
      </c>
      <c r="D91" t="s">
        <v>3828</v>
      </c>
      <c r="E91" t="s">
        <v>22</v>
      </c>
      <c r="F91" s="387">
        <v>8</v>
      </c>
      <c r="G91" s="16">
        <f>'Dry_Litterbag Placem_Collection'!E18</f>
        <v>42938</v>
      </c>
      <c r="H91" t="str">
        <f>'Final data_for_R_analysis_Dryse'!J17</f>
        <v>G376</v>
      </c>
      <c r="I91" t="str">
        <f>'Final data_for_R_analysis_Dryse'!J237</f>
        <v>R755</v>
      </c>
      <c r="J91">
        <f>IFERROR(INDEX('Green_rooibos initial weight'!$C$5:$C$1749,MATCH(H91, 'Green_rooibos initial weight'!$A$5:$A$1749,0)),"")</f>
        <v>2.0329999999999999</v>
      </c>
      <c r="K91">
        <f>IFERROR(INDEX('Green_rooibos initial weight'!$C$5:$C$1749,MATCH(I91, 'Green_rooibos initial weight'!$A$5:$A$1749,0)),"")</f>
        <v>2.2120000000000002</v>
      </c>
      <c r="L91" s="195">
        <f t="shared" si="5"/>
        <v>1.7831999999999999</v>
      </c>
      <c r="M91" s="240">
        <f>AVERAGE(Ashed_controlls!$K$1:$K$11)</f>
        <v>5.5147656768714146</v>
      </c>
      <c r="N91" s="195">
        <f t="shared" si="0"/>
        <v>1.6848606984500289</v>
      </c>
      <c r="O91" s="195">
        <f t="shared" si="6"/>
        <v>1.9622000000000002</v>
      </c>
      <c r="P91" s="240">
        <f>AVERAGE(Ashed_controlls!$K$12:$K$14)</f>
        <v>2.2816647271287041</v>
      </c>
      <c r="Q91" s="195">
        <f t="shared" si="1"/>
        <v>1.9174291747242806</v>
      </c>
      <c r="R91" s="16">
        <f>IF('Dry_Litterbag Placem_Collection'!G18="N.A","",'Dry_Litterbag Placem_Collection'!G18)</f>
        <v>43007</v>
      </c>
      <c r="S91" s="195" t="str">
        <f>IF(IFERROR(INDEX('Both teabags AfterDry'!$D$1:$D$839,MATCH(H91,'Both teabags AfterDry'!$A$1:$A$839,0)),"")="N.A","",(IFERROR(INDEX('Both teabags AfterDry'!$D$1:$D$839,MATCH(H91,'Both teabags AfterDry'!$A$1:$A$839,0)),"")))</f>
        <v/>
      </c>
      <c r="T91" s="195" t="str">
        <f>IF(IFERROR(INDEX('Both teabags AfterDry'!$D$1:$D$839,MATCH(I91,'Both teabags AfterDry'!$A$1:$A$839,0)),"")="N.A","",(IFERROR(INDEX('Both teabags AfterDry'!$D$1:$D$839,MATCH(I91,'Both teabags AfterDry'!$A$1:$A$839,0)),"")))</f>
        <v/>
      </c>
      <c r="U91" s="195" t="str">
        <f t="shared" si="7"/>
        <v/>
      </c>
      <c r="V91" s="195" t="str">
        <f t="shared" si="7"/>
        <v/>
      </c>
      <c r="W91" s="195" t="str">
        <f>IFERROR(INDEX('Ashed teabags dry'!$K$2:$K$821,MATCH(H91,'Ashed teabags dry'!$A$2:$A$821,0)),"")</f>
        <v/>
      </c>
      <c r="X91" s="195" t="str">
        <f>IFERROR(INDEX('Ashed teabags dry'!$K$2:$K$821,MATCH(I91,'Ashed teabags dry'!$A$2:$A$821,0)),"")</f>
        <v/>
      </c>
      <c r="Y91" s="195" t="str">
        <f t="shared" si="2"/>
        <v/>
      </c>
      <c r="Z91" s="195" t="str">
        <f t="shared" si="2"/>
        <v/>
      </c>
      <c r="AA91" s="195" t="str">
        <f t="shared" si="8"/>
        <v/>
      </c>
      <c r="AB91" s="195" t="str">
        <f t="shared" si="9"/>
        <v/>
      </c>
      <c r="AC91" s="195" t="str">
        <f t="shared" si="3"/>
        <v/>
      </c>
      <c r="AD91">
        <f t="shared" si="4"/>
        <v>69</v>
      </c>
      <c r="AE91" s="195" t="str">
        <f t="shared" si="10"/>
        <v/>
      </c>
      <c r="AF91" s="195" t="str">
        <f t="shared" si="11"/>
        <v/>
      </c>
      <c r="AG91" s="255" t="str">
        <f>IF(ISNUMBER(SEARCH("C", 'Dry_Litterbag Placem_Collection'!AB18)),"YES","NO")</f>
        <v>NO</v>
      </c>
      <c r="AH91" s="255" t="str">
        <f>IF(ISNUMBER(SEARCH("H", 'Dry_Litterbag Placem_Collection'!AB18)),"YES","NO")</f>
        <v>NO</v>
      </c>
      <c r="AI91" s="255" t="str">
        <f>IF(ISNUMBER(SEARCH("R", 'Dry_Litterbag Placem_Collection'!AB18)),"YES","NO")</f>
        <v>NO</v>
      </c>
      <c r="AJ91" s="255" t="str">
        <f>IF(ISNUMBER(SEARCH("C", 'Dry_Litterbag Placem_Collection'!AA18)),"YES","NO")</f>
        <v>NO</v>
      </c>
      <c r="AK91" s="255" t="str">
        <f>IF(ISNUMBER(SEARCH("H", 'Dry_Litterbag Placem_Collection'!AA18)),"YES","NO")</f>
        <v>NO</v>
      </c>
      <c r="AL91" s="255" t="str">
        <f>IF(ISNUMBER(SEARCH("R", 'Dry_Litterbag Placem_Collection'!AA18)),"YES","NO")</f>
        <v>NO</v>
      </c>
      <c r="AR91" t="s">
        <v>1674</v>
      </c>
      <c r="AT91" t="s">
        <v>384</v>
      </c>
    </row>
    <row r="92" spans="2:46">
      <c r="B92" t="str">
        <f>'Final data_for_R_analysis_Dryse'!A18</f>
        <v>Dry</v>
      </c>
      <c r="C92" s="263">
        <f>'Final data_for_R_analysis_Dryse'!B18</f>
        <v>17</v>
      </c>
      <c r="D92" t="s">
        <v>3829</v>
      </c>
      <c r="E92" t="s">
        <v>22</v>
      </c>
      <c r="F92" s="386">
        <v>1</v>
      </c>
      <c r="G92" s="16">
        <f>'Dry_Litterbag Placem_Collection'!E19</f>
        <v>42936</v>
      </c>
      <c r="H92" t="str">
        <f>'Final data_for_R_analysis_Dryse'!J18</f>
        <v>G209</v>
      </c>
      <c r="I92" t="str">
        <f>'Final data_for_R_analysis_Dryse'!J238</f>
        <v>R826</v>
      </c>
      <c r="J92">
        <f>IFERROR(INDEX('Green_rooibos initial weight'!$C$5:$C$1749,MATCH(H92, 'Green_rooibos initial weight'!$A$5:$A$1749,0)),"")</f>
        <v>2.1160000000000001</v>
      </c>
      <c r="K92">
        <f>IFERROR(INDEX('Green_rooibos initial weight'!$C$5:$C$1749,MATCH(I92, 'Green_rooibos initial weight'!$A$5:$A$1749,0)),"")</f>
        <v>2.1659999999999999</v>
      </c>
      <c r="L92" s="195">
        <f t="shared" si="5"/>
        <v>1.8662000000000001</v>
      </c>
      <c r="M92" s="240">
        <f>AVERAGE(Ashed_controlls!$K$1:$K$11)</f>
        <v>5.5147656768714146</v>
      </c>
      <c r="N92" s="195">
        <f t="shared" si="0"/>
        <v>1.7632834429382258</v>
      </c>
      <c r="O92" s="195">
        <f t="shared" si="6"/>
        <v>1.9161999999999999</v>
      </c>
      <c r="P92" s="240">
        <f>AVERAGE(Ashed_controlls!$K$12:$K$14)</f>
        <v>2.2816647271287041</v>
      </c>
      <c r="Q92" s="195">
        <f t="shared" si="1"/>
        <v>1.8724787404987597</v>
      </c>
      <c r="R92" s="16">
        <f>IF('Dry_Litterbag Placem_Collection'!G19="N.A","",'Dry_Litterbag Placem_Collection'!G19)</f>
        <v>43007</v>
      </c>
      <c r="S92" s="195">
        <f>IF(IFERROR(INDEX('Both teabags AfterDry'!$D$1:$D$839,MATCH(H92,'Both teabags AfterDry'!$A$1:$A$839,0)),"")="N.A","",(IFERROR(INDEX('Both teabags AfterDry'!$D$1:$D$839,MATCH(H92,'Both teabags AfterDry'!$A$1:$A$839,0)),"")))</f>
        <v>1.9087000000000001</v>
      </c>
      <c r="T92" s="195">
        <f>IF(IFERROR(INDEX('Both teabags AfterDry'!$D$1:$D$839,MATCH(I92,'Both teabags AfterDry'!$A$1:$A$839,0)),"")="N.A","",(IFERROR(INDEX('Both teabags AfterDry'!$D$1:$D$839,MATCH(I92,'Both teabags AfterDry'!$A$1:$A$839,0)),"")))</f>
        <v>1.9086000000000001</v>
      </c>
      <c r="U92" s="195">
        <f t="shared" si="7"/>
        <v>1.7581</v>
      </c>
      <c r="V92" s="195">
        <f t="shared" si="7"/>
        <v>1.758</v>
      </c>
      <c r="W92" s="195">
        <f>IFERROR(INDEX('Ashed teabags dry'!$K$2:$K$821,MATCH(H92,'Ashed teabags dry'!$A$2:$A$821,0)),"")</f>
        <v>5.4283290924516674</v>
      </c>
      <c r="X92" s="195">
        <f>IFERROR(INDEX('Ashed teabags dry'!$K$2:$K$821,MATCH(I92,'Ashed teabags dry'!$A$2:$A$821,0)),"")</f>
        <v>3.214971209212738</v>
      </c>
      <c r="Y92" s="195">
        <f t="shared" si="2"/>
        <v>1.6626645462256073</v>
      </c>
      <c r="Z92" s="195">
        <f t="shared" si="2"/>
        <v>1.7014808061420401</v>
      </c>
      <c r="AA92" s="195">
        <f t="shared" si="8"/>
        <v>5.7063370676783243E-2</v>
      </c>
      <c r="AB92" s="195">
        <f t="shared" si="9"/>
        <v>3.7409715693093072E-2</v>
      </c>
      <c r="AC92" s="195">
        <f t="shared" si="3"/>
        <v>0.90867830397306837</v>
      </c>
      <c r="AD92">
        <f t="shared" si="4"/>
        <v>71</v>
      </c>
      <c r="AE92" s="195">
        <f t="shared" si="10"/>
        <v>0.93222877591830966</v>
      </c>
      <c r="AF92" s="195" t="str">
        <f t="shared" si="11"/>
        <v/>
      </c>
      <c r="AG92" s="255" t="str">
        <f>IF(ISNUMBER(SEARCH("C", 'Dry_Litterbag Placem_Collection'!AB19)),"YES","NO")</f>
        <v>NO</v>
      </c>
      <c r="AH92" s="255" t="str">
        <f>IF(ISNUMBER(SEARCH("H", 'Dry_Litterbag Placem_Collection'!AB19)),"YES","NO")</f>
        <v>NO</v>
      </c>
      <c r="AI92" s="255" t="str">
        <f>IF(ISNUMBER(SEARCH("R", 'Dry_Litterbag Placem_Collection'!AB19)),"YES","NO")</f>
        <v>NO</v>
      </c>
      <c r="AJ92" s="255" t="str">
        <f>IF(ISNUMBER(SEARCH("C", 'Dry_Litterbag Placem_Collection'!AA19)),"YES","NO")</f>
        <v>NO</v>
      </c>
      <c r="AK92" s="255" t="str">
        <f>IF(ISNUMBER(SEARCH("H", 'Dry_Litterbag Placem_Collection'!AA19)),"YES","NO")</f>
        <v>NO</v>
      </c>
      <c r="AL92" s="255" t="str">
        <f>IF(ISNUMBER(SEARCH("R", 'Dry_Litterbag Placem_Collection'!AA19)),"YES","NO")</f>
        <v>NO</v>
      </c>
      <c r="AR92" t="s">
        <v>1841</v>
      </c>
      <c r="AT92" t="s">
        <v>313</v>
      </c>
    </row>
    <row r="93" spans="2:46">
      <c r="B93" t="str">
        <f>'Final data_for_R_analysis_Dryse'!A19</f>
        <v>Dry</v>
      </c>
      <c r="C93" s="263">
        <f>'Final data_for_R_analysis_Dryse'!B19</f>
        <v>18</v>
      </c>
      <c r="D93" t="s">
        <v>3829</v>
      </c>
      <c r="E93" t="s">
        <v>22</v>
      </c>
      <c r="F93" s="386">
        <v>2</v>
      </c>
      <c r="G93" s="16">
        <f>'Dry_Litterbag Placem_Collection'!E20</f>
        <v>42936</v>
      </c>
      <c r="H93" t="str">
        <f>'Final data_for_R_analysis_Dryse'!J19</f>
        <v>G10</v>
      </c>
      <c r="I93" t="str">
        <f>'Final data_for_R_analysis_Dryse'!J239</f>
        <v>R732</v>
      </c>
      <c r="J93">
        <f>IFERROR(INDEX('Green_rooibos initial weight'!$C$5:$C$1749,MATCH(H93, 'Green_rooibos initial weight'!$A$5:$A$1749,0)),"")</f>
        <v>1.9710000000000001</v>
      </c>
      <c r="K93">
        <f>IFERROR(INDEX('Green_rooibos initial weight'!$C$5:$C$1749,MATCH(I93, 'Green_rooibos initial weight'!$A$5:$A$1749,0)),"")</f>
        <v>2.2189999999999999</v>
      </c>
      <c r="L93" s="195">
        <f t="shared" si="5"/>
        <v>1.7212000000000001</v>
      </c>
      <c r="M93" s="240">
        <f>AVERAGE(Ashed_controlls!$K$1:$K$11)</f>
        <v>5.5147656768714146</v>
      </c>
      <c r="N93" s="195">
        <f t="shared" si="0"/>
        <v>1.6262798531696894</v>
      </c>
      <c r="O93" s="195">
        <f t="shared" si="6"/>
        <v>1.9691999999999998</v>
      </c>
      <c r="P93" s="240">
        <f>AVERAGE(Ashed_controlls!$K$12:$K$14)</f>
        <v>2.2816647271287041</v>
      </c>
      <c r="Q93" s="195">
        <f t="shared" si="1"/>
        <v>1.9242694581933815</v>
      </c>
      <c r="R93" s="16">
        <f>IF('Dry_Litterbag Placem_Collection'!G20="N.A","",'Dry_Litterbag Placem_Collection'!G20)</f>
        <v>43007</v>
      </c>
      <c r="S93" s="195">
        <f>IF(IFERROR(INDEX('Both teabags AfterDry'!$D$1:$D$839,MATCH(H93,'Both teabags AfterDry'!$A$1:$A$839,0)),"")="N.A","",(IFERROR(INDEX('Both teabags AfterDry'!$D$1:$D$839,MATCH(H93,'Both teabags AfterDry'!$A$1:$A$839,0)),"")))</f>
        <v>1.7706999999999999</v>
      </c>
      <c r="T93" s="195">
        <f>IF(IFERROR(INDEX('Both teabags AfterDry'!$D$1:$D$839,MATCH(I93,'Both teabags AfterDry'!$A$1:$A$839,0)),"")="N.A","",(IFERROR(INDEX('Both teabags AfterDry'!$D$1:$D$839,MATCH(I93,'Both teabags AfterDry'!$A$1:$A$839,0)),"")))</f>
        <v>1.9874000000000001</v>
      </c>
      <c r="U93" s="195">
        <f t="shared" si="7"/>
        <v>1.6200999999999999</v>
      </c>
      <c r="V93" s="195">
        <f t="shared" si="7"/>
        <v>1.8368</v>
      </c>
      <c r="W93" s="195">
        <f>IFERROR(INDEX('Ashed teabags dry'!$K$2:$K$821,MATCH(H93,'Ashed teabags dry'!$A$2:$A$821,0)),"")</f>
        <v>5.8337384540594233</v>
      </c>
      <c r="X93" s="195">
        <f>IFERROR(INDEX('Ashed teabags dry'!$K$2:$K$821,MATCH(I93,'Ashed teabags dry'!$A$2:$A$821,0)),"")</f>
        <v>2.4777006937559349</v>
      </c>
      <c r="Y93" s="195">
        <f t="shared" si="2"/>
        <v>1.5255876033057831</v>
      </c>
      <c r="Z93" s="195">
        <f t="shared" si="2"/>
        <v>1.791289593657091</v>
      </c>
      <c r="AA93" s="195">
        <f t="shared" si="8"/>
        <v>6.1915696531351982E-2</v>
      </c>
      <c r="AB93" s="195">
        <f t="shared" si="9"/>
        <v>4.0590812927917212E-2</v>
      </c>
      <c r="AC93" s="195">
        <f t="shared" si="3"/>
        <v>0.93089332475237641</v>
      </c>
      <c r="AD93">
        <f t="shared" si="4"/>
        <v>71</v>
      </c>
      <c r="AE93" s="195">
        <f t="shared" si="10"/>
        <v>0.92646591860884564</v>
      </c>
      <c r="AF93" s="195" t="str">
        <f t="shared" si="11"/>
        <v/>
      </c>
      <c r="AG93" s="255" t="str">
        <f>IF(ISNUMBER(SEARCH("C", 'Dry_Litterbag Placem_Collection'!AB20)),"YES","NO")</f>
        <v>NO</v>
      </c>
      <c r="AH93" s="255" t="str">
        <f>IF(ISNUMBER(SEARCH("H", 'Dry_Litterbag Placem_Collection'!AB20)),"YES","NO")</f>
        <v>NO</v>
      </c>
      <c r="AI93" s="255" t="str">
        <f>IF(ISNUMBER(SEARCH("R", 'Dry_Litterbag Placem_Collection'!AB20)),"YES","NO")</f>
        <v>NO</v>
      </c>
      <c r="AJ93" s="255" t="str">
        <f>IF(ISNUMBER(SEARCH("C", 'Dry_Litterbag Placem_Collection'!AA20)),"YES","NO")</f>
        <v>NO</v>
      </c>
      <c r="AK93" s="255" t="str">
        <f>IF(ISNUMBER(SEARCH("H", 'Dry_Litterbag Placem_Collection'!AA20)),"YES","NO")</f>
        <v>NO</v>
      </c>
      <c r="AL93" s="255" t="str">
        <f>IF(ISNUMBER(SEARCH("R", 'Dry_Litterbag Placem_Collection'!AA20)),"YES","NO")</f>
        <v>NO</v>
      </c>
      <c r="AR93" t="s">
        <v>2040</v>
      </c>
      <c r="AT93" t="s">
        <v>407</v>
      </c>
    </row>
    <row r="94" spans="2:46">
      <c r="B94" t="str">
        <f>'Final data_for_R_analysis_Dryse'!A20</f>
        <v>Dry</v>
      </c>
      <c r="C94" s="263">
        <f>'Final data_for_R_analysis_Dryse'!B20</f>
        <v>19</v>
      </c>
      <c r="D94" t="s">
        <v>3829</v>
      </c>
      <c r="E94" t="s">
        <v>22</v>
      </c>
      <c r="F94" s="386">
        <v>3</v>
      </c>
      <c r="G94" s="16">
        <f>'Dry_Litterbag Placem_Collection'!E21</f>
        <v>42936</v>
      </c>
      <c r="H94" t="str">
        <f>'Final data_for_R_analysis_Dryse'!J20</f>
        <v>G190</v>
      </c>
      <c r="I94" t="str">
        <f>'Final data_for_R_analysis_Dryse'!J240</f>
        <v>R749</v>
      </c>
      <c r="J94">
        <f>IFERROR(INDEX('Green_rooibos initial weight'!$C$5:$C$1749,MATCH(H94, 'Green_rooibos initial weight'!$A$5:$A$1749,0)),"")</f>
        <v>1.909</v>
      </c>
      <c r="K94">
        <f>IFERROR(INDEX('Green_rooibos initial weight'!$C$5:$C$1749,MATCH(I94, 'Green_rooibos initial weight'!$A$5:$A$1749,0)),"")</f>
        <v>2.2050000000000001</v>
      </c>
      <c r="L94" s="195">
        <f t="shared" si="5"/>
        <v>1.6592</v>
      </c>
      <c r="M94" s="240">
        <f>AVERAGE(Ashed_controlls!$K$1:$K$11)</f>
        <v>5.5147656768714146</v>
      </c>
      <c r="N94" s="195">
        <f t="shared" si="0"/>
        <v>1.5676990078893496</v>
      </c>
      <c r="O94" s="195">
        <f t="shared" si="6"/>
        <v>1.9552</v>
      </c>
      <c r="P94" s="240">
        <f>AVERAGE(Ashed_controlls!$K$12:$K$14)</f>
        <v>2.2816647271287041</v>
      </c>
      <c r="Q94" s="195">
        <f t="shared" si="1"/>
        <v>1.9105888912551796</v>
      </c>
      <c r="R94" s="16">
        <f>IF('Dry_Litterbag Placem_Collection'!G21="N.A","",'Dry_Litterbag Placem_Collection'!G21)</f>
        <v>43007</v>
      </c>
      <c r="S94" s="195">
        <f>IF(IFERROR(INDEX('Both teabags AfterDry'!$D$1:$D$839,MATCH(H94,'Both teabags AfterDry'!$A$1:$A$839,0)),"")="N.A","",(IFERROR(INDEX('Both teabags AfterDry'!$D$1:$D$839,MATCH(H94,'Both teabags AfterDry'!$A$1:$A$839,0)),"")))</f>
        <v>1.7041999999999999</v>
      </c>
      <c r="T94" s="195">
        <f>IF(IFERROR(INDEX('Both teabags AfterDry'!$D$1:$D$839,MATCH(I94,'Both teabags AfterDry'!$A$1:$A$839,0)),"")="N.A","",(IFERROR(INDEX('Both teabags AfterDry'!$D$1:$D$839,MATCH(I94,'Both teabags AfterDry'!$A$1:$A$839,0)),"")))</f>
        <v>1.9492</v>
      </c>
      <c r="U94" s="195">
        <f t="shared" si="7"/>
        <v>1.5535999999999999</v>
      </c>
      <c r="V94" s="195">
        <f t="shared" si="7"/>
        <v>1.7986</v>
      </c>
      <c r="W94" s="195">
        <f>IFERROR(INDEX('Ashed teabags dry'!$K$2:$K$821,MATCH(H94,'Ashed teabags dry'!$A$2:$A$821,0)),"")</f>
        <v>6.0311284046705405</v>
      </c>
      <c r="X94" s="195">
        <f>IFERROR(INDEX('Ashed teabags dry'!$K$2:$K$821,MATCH(I94,'Ashed teabags dry'!$A$2:$A$821,0)),"")</f>
        <v>3.2445520581110632</v>
      </c>
      <c r="Y94" s="195">
        <f t="shared" si="2"/>
        <v>1.4599003891050384</v>
      </c>
      <c r="Z94" s="195">
        <f t="shared" si="2"/>
        <v>1.7402434866828145</v>
      </c>
      <c r="AA94" s="195">
        <f t="shared" si="8"/>
        <v>6.8762318686062307E-2</v>
      </c>
      <c r="AB94" s="195">
        <f t="shared" si="9"/>
        <v>4.5079334815565759E-2</v>
      </c>
      <c r="AC94" s="195">
        <f t="shared" si="3"/>
        <v>0.91084141368557048</v>
      </c>
      <c r="AD94">
        <f t="shared" si="4"/>
        <v>71</v>
      </c>
      <c r="AE94" s="195">
        <f t="shared" si="10"/>
        <v>0.91833453837759826</v>
      </c>
      <c r="AF94" s="195" t="str">
        <f t="shared" si="11"/>
        <v/>
      </c>
      <c r="AG94" s="255" t="str">
        <f>IF(ISNUMBER(SEARCH("C", 'Dry_Litterbag Placem_Collection'!AB21)),"YES","NO")</f>
        <v>NO</v>
      </c>
      <c r="AH94" s="255" t="str">
        <f>IF(ISNUMBER(SEARCH("H", 'Dry_Litterbag Placem_Collection'!AB21)),"YES","NO")</f>
        <v>NO</v>
      </c>
      <c r="AI94" s="255" t="str">
        <f>IF(ISNUMBER(SEARCH("R", 'Dry_Litterbag Placem_Collection'!AB21)),"YES","NO")</f>
        <v>NO</v>
      </c>
      <c r="AJ94" s="255" t="str">
        <f>IF(ISNUMBER(SEARCH("C", 'Dry_Litterbag Placem_Collection'!AA21)),"YES","NO")</f>
        <v>NO</v>
      </c>
      <c r="AK94" s="255" t="str">
        <f>IF(ISNUMBER(SEARCH("H", 'Dry_Litterbag Placem_Collection'!AA21)),"YES","NO")</f>
        <v>NO</v>
      </c>
      <c r="AL94" s="255" t="str">
        <f>IF(ISNUMBER(SEARCH("R", 'Dry_Litterbag Placem_Collection'!AA21)),"YES","NO")</f>
        <v>NO</v>
      </c>
      <c r="AR94" t="s">
        <v>1860</v>
      </c>
      <c r="AT94" t="s">
        <v>390</v>
      </c>
    </row>
    <row r="95" spans="2:46">
      <c r="B95" t="str">
        <f>'Final data_for_R_analysis_Dryse'!A21</f>
        <v>Dry</v>
      </c>
      <c r="C95" s="263">
        <f>'Final data_for_R_analysis_Dryse'!B21</f>
        <v>20</v>
      </c>
      <c r="D95" t="s">
        <v>3829</v>
      </c>
      <c r="E95" t="s">
        <v>22</v>
      </c>
      <c r="F95" s="387">
        <v>4</v>
      </c>
      <c r="G95" s="16">
        <f>'Dry_Litterbag Placem_Collection'!E22</f>
        <v>42936</v>
      </c>
      <c r="H95" t="str">
        <f>'Final data_for_R_analysis_Dryse'!J21</f>
        <v>G38</v>
      </c>
      <c r="I95" t="str">
        <f>'Final data_for_R_analysis_Dryse'!J241</f>
        <v>R632</v>
      </c>
      <c r="J95">
        <f>IFERROR(INDEX('Green_rooibos initial weight'!$C$5:$C$1749,MATCH(H95, 'Green_rooibos initial weight'!$A$5:$A$1749,0)),"")</f>
        <v>1.93</v>
      </c>
      <c r="K95">
        <f>IFERROR(INDEX('Green_rooibos initial weight'!$C$5:$C$1749,MATCH(I95, 'Green_rooibos initial weight'!$A$5:$A$1749,0)),"")</f>
        <v>2.1269999999999998</v>
      </c>
      <c r="L95" s="195">
        <f t="shared" si="5"/>
        <v>1.6801999999999999</v>
      </c>
      <c r="M95" s="240">
        <f>AVERAGE(Ashed_controlls!$K$1:$K$11)</f>
        <v>5.5147656768714146</v>
      </c>
      <c r="N95" s="195">
        <f t="shared" si="0"/>
        <v>1.5875409070972064</v>
      </c>
      <c r="O95" s="195">
        <f t="shared" si="6"/>
        <v>1.8771999999999998</v>
      </c>
      <c r="P95" s="240">
        <f>AVERAGE(Ashed_controlls!$K$12:$K$14)</f>
        <v>2.2816647271287041</v>
      </c>
      <c r="Q95" s="195">
        <f t="shared" si="1"/>
        <v>1.8343685897423396</v>
      </c>
      <c r="R95" s="16">
        <f>IF('Dry_Litterbag Placem_Collection'!G22="N.A","",'Dry_Litterbag Placem_Collection'!G22)</f>
        <v>43007</v>
      </c>
      <c r="S95" s="195">
        <f>IF(IFERROR(INDEX('Both teabags AfterDry'!$D$1:$D$839,MATCH(H95,'Both teabags AfterDry'!$A$1:$A$839,0)),"")="N.A","",(IFERROR(INDEX('Both teabags AfterDry'!$D$1:$D$839,MATCH(H95,'Both teabags AfterDry'!$A$1:$A$839,0)),"")))</f>
        <v>1.6738</v>
      </c>
      <c r="T95" s="195">
        <f>IF(IFERROR(INDEX('Both teabags AfterDry'!$D$1:$D$839,MATCH(I95,'Both teabags AfterDry'!$A$1:$A$839,0)),"")="N.A","",(IFERROR(INDEX('Both teabags AfterDry'!$D$1:$D$839,MATCH(I95,'Both teabags AfterDry'!$A$1:$A$839,0)),"")))</f>
        <v>1.9161999999999999</v>
      </c>
      <c r="U95" s="195">
        <f t="shared" si="7"/>
        <v>1.5231999999999999</v>
      </c>
      <c r="V95" s="195">
        <f t="shared" si="7"/>
        <v>1.7655999999999998</v>
      </c>
      <c r="W95" s="195">
        <f>IFERROR(INDEX('Ashed teabags dry'!$K$2:$K$821,MATCH(H95,'Ashed teabags dry'!$A$2:$A$821,0)),"")</f>
        <v>6.723084156088639</v>
      </c>
      <c r="X95" s="195">
        <f>IFERROR(INDEX('Ashed teabags dry'!$K$2:$K$821,MATCH(I95,'Ashed teabags dry'!$A$2:$A$821,0)),"")</f>
        <v>3.0104712041882107</v>
      </c>
      <c r="Y95" s="195">
        <f t="shared" si="2"/>
        <v>1.4207939821344577</v>
      </c>
      <c r="Z95" s="195">
        <f t="shared" si="2"/>
        <v>1.7124471204188527</v>
      </c>
      <c r="AA95" s="195">
        <f t="shared" si="8"/>
        <v>0.10503472648628809</v>
      </c>
      <c r="AB95" s="195">
        <f t="shared" si="9"/>
        <v>6.8858870570583167E-2</v>
      </c>
      <c r="AC95" s="195">
        <f t="shared" si="3"/>
        <v>0.93353491222796592</v>
      </c>
      <c r="AD95">
        <f t="shared" si="4"/>
        <v>71</v>
      </c>
      <c r="AE95" s="195">
        <f t="shared" si="10"/>
        <v>0.87525566925618992</v>
      </c>
      <c r="AF95" s="195">
        <f t="shared" si="11"/>
        <v>4.7312453244476721E-2</v>
      </c>
      <c r="AG95" s="255" t="str">
        <f>IF(ISNUMBER(SEARCH("C", 'Dry_Litterbag Placem_Collection'!AB22)),"YES","NO")</f>
        <v>NO</v>
      </c>
      <c r="AH95" s="255" t="str">
        <f>IF(ISNUMBER(SEARCH("H", 'Dry_Litterbag Placem_Collection'!AB22)),"YES","NO")</f>
        <v>NO</v>
      </c>
      <c r="AI95" s="255" t="str">
        <f>IF(ISNUMBER(SEARCH("R", 'Dry_Litterbag Placem_Collection'!AB22)),"YES","NO")</f>
        <v>NO</v>
      </c>
      <c r="AJ95" s="255" t="str">
        <f>IF(ISNUMBER(SEARCH("C", 'Dry_Litterbag Placem_Collection'!AA22)),"YES","NO")</f>
        <v>NO</v>
      </c>
      <c r="AK95" s="255" t="str">
        <f>IF(ISNUMBER(SEARCH("H", 'Dry_Litterbag Placem_Collection'!AA22)),"YES","NO")</f>
        <v>NO</v>
      </c>
      <c r="AL95" s="255" t="str">
        <f>IF(ISNUMBER(SEARCH("R", 'Dry_Litterbag Placem_Collection'!AA22)),"YES","NO")</f>
        <v>NO</v>
      </c>
      <c r="AR95" t="s">
        <v>2012</v>
      </c>
      <c r="AT95" t="s">
        <v>507</v>
      </c>
    </row>
    <row r="96" spans="2:46">
      <c r="B96" t="str">
        <f>'Final data_for_R_analysis_Dryse'!A22</f>
        <v>Dry</v>
      </c>
      <c r="C96" s="263">
        <f>'Final data_for_R_analysis_Dryse'!B22</f>
        <v>21</v>
      </c>
      <c r="D96" t="s">
        <v>3829</v>
      </c>
      <c r="E96" t="s">
        <v>22</v>
      </c>
      <c r="F96" s="387">
        <v>5</v>
      </c>
      <c r="G96" s="16">
        <f>'Dry_Litterbag Placem_Collection'!E23</f>
        <v>42936</v>
      </c>
      <c r="H96" t="str">
        <f>'Final data_for_R_analysis_Dryse'!J22</f>
        <v>G468</v>
      </c>
      <c r="I96" t="str">
        <f>'Final data_for_R_analysis_Dryse'!J242</f>
        <v>R630</v>
      </c>
      <c r="J96">
        <f>IFERROR(INDEX('Green_rooibos initial weight'!$C$5:$C$1749,MATCH(H96, 'Green_rooibos initial weight'!$A$5:$A$1749,0)),"")</f>
        <v>2.1309999999999998</v>
      </c>
      <c r="K96">
        <f>IFERROR(INDEX('Green_rooibos initial weight'!$C$5:$C$1749,MATCH(I96, 'Green_rooibos initial weight'!$A$5:$A$1749,0)),"")</f>
        <v>2.13</v>
      </c>
      <c r="L96" s="195">
        <f t="shared" si="5"/>
        <v>1.8811999999999998</v>
      </c>
      <c r="M96" s="240">
        <f>AVERAGE(Ashed_controlls!$K$1:$K$11)</f>
        <v>5.5147656768714146</v>
      </c>
      <c r="N96" s="195">
        <f t="shared" si="0"/>
        <v>1.7774562280866948</v>
      </c>
      <c r="O96" s="195">
        <f t="shared" si="6"/>
        <v>1.8801999999999999</v>
      </c>
      <c r="P96" s="240">
        <f>AVERAGE(Ashed_controlls!$K$12:$K$14)</f>
        <v>2.2816647271287041</v>
      </c>
      <c r="Q96" s="195">
        <f t="shared" si="1"/>
        <v>1.837300139800526</v>
      </c>
      <c r="R96" s="16">
        <f>IF('Dry_Litterbag Placem_Collection'!G23="N.A","",'Dry_Litterbag Placem_Collection'!G23)</f>
        <v>43007</v>
      </c>
      <c r="S96" s="195" t="str">
        <f>IF(IFERROR(INDEX('Both teabags AfterDry'!$D$1:$D$839,MATCH(H96,'Both teabags AfterDry'!$A$1:$A$839,0)),"")="N.A","",(IFERROR(INDEX('Both teabags AfterDry'!$D$1:$D$839,MATCH(H96,'Both teabags AfterDry'!$A$1:$A$839,0)),"")))</f>
        <v/>
      </c>
      <c r="T96" s="195" t="str">
        <f>IF(IFERROR(INDEX('Both teabags AfterDry'!$D$1:$D$839,MATCH(I96,'Both teabags AfterDry'!$A$1:$A$839,0)),"")="N.A","",(IFERROR(INDEX('Both teabags AfterDry'!$D$1:$D$839,MATCH(I96,'Both teabags AfterDry'!$A$1:$A$839,0)),"")))</f>
        <v/>
      </c>
      <c r="U96" s="195" t="str">
        <f t="shared" si="7"/>
        <v/>
      </c>
      <c r="V96" s="195" t="str">
        <f t="shared" si="7"/>
        <v/>
      </c>
      <c r="W96" s="195" t="str">
        <f>IFERROR(INDEX('Ashed teabags dry'!$K$2:$K$821,MATCH(H96,'Ashed teabags dry'!$A$2:$A$821,0)),"")</f>
        <v/>
      </c>
      <c r="X96" s="195" t="str">
        <f>IFERROR(INDEX('Ashed teabags dry'!$K$2:$K$821,MATCH(I96,'Ashed teabags dry'!$A$2:$A$821,0)),"")</f>
        <v/>
      </c>
      <c r="Y96" s="195" t="str">
        <f t="shared" si="2"/>
        <v/>
      </c>
      <c r="Z96" s="195" t="str">
        <f t="shared" si="2"/>
        <v/>
      </c>
      <c r="AA96" s="195" t="str">
        <f t="shared" si="8"/>
        <v/>
      </c>
      <c r="AB96" s="195" t="str">
        <f t="shared" si="9"/>
        <v/>
      </c>
      <c r="AC96" s="195" t="str">
        <f t="shared" si="3"/>
        <v/>
      </c>
      <c r="AD96">
        <f t="shared" si="4"/>
        <v>71</v>
      </c>
      <c r="AE96" s="195" t="str">
        <f t="shared" si="10"/>
        <v/>
      </c>
      <c r="AF96" s="195" t="str">
        <f t="shared" si="11"/>
        <v/>
      </c>
      <c r="AG96" s="255" t="str">
        <f>IF(ISNUMBER(SEARCH("C", 'Dry_Litterbag Placem_Collection'!AB23)),"YES","NO")</f>
        <v>NO</v>
      </c>
      <c r="AH96" s="255" t="str">
        <f>IF(ISNUMBER(SEARCH("H", 'Dry_Litterbag Placem_Collection'!AB23)),"YES","NO")</f>
        <v>NO</v>
      </c>
      <c r="AI96" s="255" t="str">
        <f>IF(ISNUMBER(SEARCH("R", 'Dry_Litterbag Placem_Collection'!AB23)),"YES","NO")</f>
        <v>NO</v>
      </c>
      <c r="AJ96" s="255" t="str">
        <f>IF(ISNUMBER(SEARCH("C", 'Dry_Litterbag Placem_Collection'!AA23)),"YES","NO")</f>
        <v>NO</v>
      </c>
      <c r="AK96" s="255" t="str">
        <f>IF(ISNUMBER(SEARCH("H", 'Dry_Litterbag Placem_Collection'!AA23)),"YES","NO")</f>
        <v>NO</v>
      </c>
      <c r="AL96" s="255" t="str">
        <f>IF(ISNUMBER(SEARCH("R", 'Dry_Litterbag Placem_Collection'!AA23)),"YES","NO")</f>
        <v>NO</v>
      </c>
      <c r="AR96" t="s">
        <v>1582</v>
      </c>
      <c r="AT96" t="s">
        <v>509</v>
      </c>
    </row>
    <row r="97" spans="2:46">
      <c r="B97" t="str">
        <f>'Final data_for_R_analysis_Dryse'!A23</f>
        <v>Dry</v>
      </c>
      <c r="C97" s="263">
        <f>'Final data_for_R_analysis_Dryse'!B23</f>
        <v>22</v>
      </c>
      <c r="D97" t="s">
        <v>3829</v>
      </c>
      <c r="E97" t="s">
        <v>22</v>
      </c>
      <c r="F97" s="387">
        <v>6</v>
      </c>
      <c r="G97" s="16">
        <f>'Dry_Litterbag Placem_Collection'!E24</f>
        <v>42936</v>
      </c>
      <c r="H97" t="str">
        <f>'Final data_for_R_analysis_Dryse'!J23</f>
        <v>G8</v>
      </c>
      <c r="I97" t="str">
        <f>'Final data_for_R_analysis_Dryse'!J243</f>
        <v>R723</v>
      </c>
      <c r="J97">
        <f>IFERROR(INDEX('Green_rooibos initial weight'!$C$5:$C$1749,MATCH(H97, 'Green_rooibos initial weight'!$A$5:$A$1749,0)),"")</f>
        <v>2.0209999999999999</v>
      </c>
      <c r="K97">
        <f>IFERROR(INDEX('Green_rooibos initial weight'!$C$5:$C$1749,MATCH(I97, 'Green_rooibos initial weight'!$A$5:$A$1749,0)),"")</f>
        <v>2.2559999999999998</v>
      </c>
      <c r="L97" s="195">
        <f t="shared" si="5"/>
        <v>1.7711999999999999</v>
      </c>
      <c r="M97" s="240">
        <f>AVERAGE(Ashed_controlls!$K$1:$K$11)</f>
        <v>5.5147656768714146</v>
      </c>
      <c r="N97" s="195">
        <f t="shared" si="0"/>
        <v>1.6735224703312535</v>
      </c>
      <c r="O97" s="195">
        <f t="shared" si="6"/>
        <v>2.0061999999999998</v>
      </c>
      <c r="P97" s="240">
        <f>AVERAGE(Ashed_controlls!$K$12:$K$14)</f>
        <v>2.2816647271287041</v>
      </c>
      <c r="Q97" s="195">
        <f t="shared" si="1"/>
        <v>1.9604252422443438</v>
      </c>
      <c r="R97" s="16">
        <f>IF('Dry_Litterbag Placem_Collection'!G24="N.A","",'Dry_Litterbag Placem_Collection'!G24)</f>
        <v>43007</v>
      </c>
      <c r="S97" s="195">
        <f>IF(IFERROR(INDEX('Both teabags AfterDry'!$D$1:$D$839,MATCH(H97,'Both teabags AfterDry'!$A$1:$A$839,0)),"")="N.A","",(IFERROR(INDEX('Both teabags AfterDry'!$D$1:$D$839,MATCH(H97,'Both teabags AfterDry'!$A$1:$A$839,0)),"")))</f>
        <v>1.4722999999999999</v>
      </c>
      <c r="T97" s="195">
        <f>IF(IFERROR(INDEX('Both teabags AfterDry'!$D$1:$D$839,MATCH(I97,'Both teabags AfterDry'!$A$1:$A$839,0)),"")="N.A","",(IFERROR(INDEX('Both teabags AfterDry'!$D$1:$D$839,MATCH(I97,'Both teabags AfterDry'!$A$1:$A$839,0)),"")))</f>
        <v>1.8997999999999999</v>
      </c>
      <c r="U97" s="195">
        <f t="shared" si="7"/>
        <v>1.3216999999999999</v>
      </c>
      <c r="V97" s="195">
        <f t="shared" si="7"/>
        <v>1.7491999999999999</v>
      </c>
      <c r="W97" s="195">
        <f>IFERROR(INDEX('Ashed teabags dry'!$K$2:$K$821,MATCH(H97,'Ashed teabags dry'!$A$2:$A$821,0)),"")</f>
        <v>8.7882822902793247</v>
      </c>
      <c r="X97" s="195">
        <f>IFERROR(INDEX('Ashed teabags dry'!$K$2:$K$821,MATCH(I97,'Ashed teabags dry'!$A$2:$A$821,0)),"")</f>
        <v>3.508771929824448</v>
      </c>
      <c r="Y97" s="195">
        <f t="shared" si="2"/>
        <v>1.2055452729693781</v>
      </c>
      <c r="Z97" s="195">
        <f t="shared" si="2"/>
        <v>1.6878245614035106</v>
      </c>
      <c r="AA97" s="195">
        <f t="shared" si="8"/>
        <v>0.27963604054222524</v>
      </c>
      <c r="AB97" s="195">
        <f t="shared" si="9"/>
        <v>0.18332434011794338</v>
      </c>
      <c r="AC97" s="195">
        <f t="shared" si="3"/>
        <v>0.86094818870585799</v>
      </c>
      <c r="AD97">
        <f t="shared" si="4"/>
        <v>71</v>
      </c>
      <c r="AE97" s="195">
        <f t="shared" si="10"/>
        <v>0.6678906881921316</v>
      </c>
      <c r="AF97" s="195">
        <f t="shared" si="11"/>
        <v>2.001257136053796E-2</v>
      </c>
      <c r="AG97" s="255" t="str">
        <f>IF(ISNUMBER(SEARCH("C", 'Dry_Litterbag Placem_Collection'!AB24)),"YES","NO")</f>
        <v>NO</v>
      </c>
      <c r="AH97" s="255" t="str">
        <f>IF(ISNUMBER(SEARCH("H", 'Dry_Litterbag Placem_Collection'!AB24)),"YES","NO")</f>
        <v>NO</v>
      </c>
      <c r="AI97" s="255" t="str">
        <f>IF(ISNUMBER(SEARCH("R", 'Dry_Litterbag Placem_Collection'!AB24)),"YES","NO")</f>
        <v>NO</v>
      </c>
      <c r="AJ97" s="255" t="str">
        <f>IF(ISNUMBER(SEARCH("C", 'Dry_Litterbag Placem_Collection'!AA24)),"YES","NO")</f>
        <v>NO</v>
      </c>
      <c r="AK97" s="255" t="str">
        <f>IF(ISNUMBER(SEARCH("H", 'Dry_Litterbag Placem_Collection'!AA24)),"YES","NO")</f>
        <v>NO</v>
      </c>
      <c r="AL97" s="255" t="str">
        <f>IF(ISNUMBER(SEARCH("R", 'Dry_Litterbag Placem_Collection'!AA24)),"YES","NO")</f>
        <v>NO</v>
      </c>
      <c r="AR97" t="s">
        <v>2042</v>
      </c>
      <c r="AT97" t="s">
        <v>416</v>
      </c>
    </row>
    <row r="98" spans="2:46">
      <c r="B98" t="str">
        <f>'Final data_for_R_analysis_Dryse'!A24</f>
        <v>Dry</v>
      </c>
      <c r="C98" s="263">
        <f>'Final data_for_R_analysis_Dryse'!B24</f>
        <v>23</v>
      </c>
      <c r="D98" t="s">
        <v>3829</v>
      </c>
      <c r="E98" t="s">
        <v>22</v>
      </c>
      <c r="F98" s="387">
        <v>7</v>
      </c>
      <c r="G98" s="390">
        <f>'Dry_Litterbag Placem_Collection'!E25</f>
        <v>0</v>
      </c>
      <c r="H98" t="str">
        <f>'Final data_for_R_analysis_Dryse'!J24</f>
        <v/>
      </c>
      <c r="I98" t="str">
        <f>'Final data_for_R_analysis_Dryse'!J244</f>
        <v/>
      </c>
      <c r="J98" t="str">
        <f>IFERROR(INDEX('Green_rooibos initial weight'!$C$5:$C$1749,MATCH(H98, 'Green_rooibos initial weight'!$A$5:$A$1749,0)),"")</f>
        <v/>
      </c>
      <c r="K98" t="str">
        <f>IFERROR(INDEX('Green_rooibos initial weight'!$C$5:$C$1749,MATCH(I98, 'Green_rooibos initial weight'!$A$5:$A$1749,0)),"")</f>
        <v/>
      </c>
      <c r="L98" s="195" t="str">
        <f t="shared" si="5"/>
        <v/>
      </c>
      <c r="M98" s="240">
        <f>AVERAGE(Ashed_controlls!$K$1:$K$11)</f>
        <v>5.5147656768714146</v>
      </c>
      <c r="N98" s="195" t="str">
        <f t="shared" si="0"/>
        <v/>
      </c>
      <c r="O98" s="195" t="str">
        <f t="shared" si="6"/>
        <v/>
      </c>
      <c r="P98" s="240">
        <f>AVERAGE(Ashed_controlls!$K$12:$K$14)</f>
        <v>2.2816647271287041</v>
      </c>
      <c r="Q98" s="195" t="str">
        <f t="shared" si="1"/>
        <v/>
      </c>
      <c r="R98" s="16">
        <f>IF('Dry_Litterbag Placem_Collection'!G25="N.A","",'Dry_Litterbag Placem_Collection'!G25)</f>
        <v>0</v>
      </c>
      <c r="S98" s="195" t="str">
        <f>IF(IFERROR(INDEX('Both teabags AfterDry'!$D$1:$D$839,MATCH(H98,'Both teabags AfterDry'!$A$1:$A$839,0)),"")="N.A","",(IFERROR(INDEX('Both teabags AfterDry'!$D$1:$D$839,MATCH(H98,'Both teabags AfterDry'!$A$1:$A$839,0)),"")))</f>
        <v/>
      </c>
      <c r="T98" s="195" t="str">
        <f>IF(IFERROR(INDEX('Both teabags AfterDry'!$D$1:$D$839,MATCH(I98,'Both teabags AfterDry'!$A$1:$A$839,0)),"")="N.A","",(IFERROR(INDEX('Both teabags AfterDry'!$D$1:$D$839,MATCH(I98,'Both teabags AfterDry'!$A$1:$A$839,0)),"")))</f>
        <v/>
      </c>
      <c r="U98" s="195" t="str">
        <f t="shared" si="7"/>
        <v/>
      </c>
      <c r="V98" s="195" t="str">
        <f t="shared" si="7"/>
        <v/>
      </c>
      <c r="W98" s="195" t="str">
        <f>IFERROR(INDEX('Ashed teabags dry'!$K$2:$K$821,MATCH(H98,'Ashed teabags dry'!$A$2:$A$821,0)),"")</f>
        <v/>
      </c>
      <c r="X98" s="195" t="str">
        <f>IFERROR(INDEX('Ashed teabags dry'!$K$2:$K$821,MATCH(I98,'Ashed teabags dry'!$A$2:$A$821,0)),"")</f>
        <v/>
      </c>
      <c r="Y98" s="195" t="str">
        <f t="shared" si="2"/>
        <v/>
      </c>
      <c r="Z98" s="195" t="str">
        <f t="shared" si="2"/>
        <v/>
      </c>
      <c r="AA98" s="195" t="str">
        <f t="shared" si="8"/>
        <v/>
      </c>
      <c r="AB98" s="195" t="str">
        <f t="shared" si="9"/>
        <v/>
      </c>
      <c r="AC98" s="195" t="str">
        <f t="shared" si="3"/>
        <v/>
      </c>
      <c r="AD98" t="str">
        <f t="shared" si="4"/>
        <v/>
      </c>
      <c r="AE98" s="195" t="str">
        <f t="shared" si="10"/>
        <v/>
      </c>
      <c r="AF98" s="195" t="str">
        <f t="shared" si="11"/>
        <v/>
      </c>
      <c r="AG98" s="255" t="str">
        <f>IF(ISNUMBER(SEARCH("C", 'Dry_Litterbag Placem_Collection'!AB25)),"YES","NO")</f>
        <v>NO</v>
      </c>
      <c r="AH98" s="255" t="str">
        <f>IF(ISNUMBER(SEARCH("H", 'Dry_Litterbag Placem_Collection'!AB25)),"YES","NO")</f>
        <v>NO</v>
      </c>
      <c r="AI98" s="255" t="str">
        <f>IF(ISNUMBER(SEARCH("R", 'Dry_Litterbag Placem_Collection'!AB25)),"YES","NO")</f>
        <v>NO</v>
      </c>
      <c r="AJ98" s="255" t="str">
        <f>IF(ISNUMBER(SEARCH("C", 'Dry_Litterbag Placem_Collection'!AA25)),"YES","NO")</f>
        <v>NO</v>
      </c>
      <c r="AK98" s="255" t="str">
        <f>IF(ISNUMBER(SEARCH("H", 'Dry_Litterbag Placem_Collection'!AA25)),"YES","NO")</f>
        <v>NO</v>
      </c>
      <c r="AL98" s="255" t="str">
        <f>IF(ISNUMBER(SEARCH("R", 'Dry_Litterbag Placem_Collection'!AA25)),"YES","NO")</f>
        <v>NO</v>
      </c>
      <c r="AR98" t="s">
        <v>3654</v>
      </c>
      <c r="AT98" t="s">
        <v>3654</v>
      </c>
    </row>
    <row r="99" spans="2:46">
      <c r="B99" t="str">
        <f>'Final data_for_R_analysis_Dryse'!A25</f>
        <v>Dry</v>
      </c>
      <c r="C99" s="263">
        <f>'Final data_for_R_analysis_Dryse'!B25</f>
        <v>24</v>
      </c>
      <c r="D99" t="s">
        <v>3829</v>
      </c>
      <c r="E99" t="s">
        <v>22</v>
      </c>
      <c r="F99" s="387">
        <v>8</v>
      </c>
      <c r="G99" s="16">
        <f>'Dry_Litterbag Placem_Collection'!E26</f>
        <v>42936</v>
      </c>
      <c r="H99" t="str">
        <f>'Final data_for_R_analysis_Dryse'!J25</f>
        <v>G320</v>
      </c>
      <c r="I99" t="str">
        <f>'Final data_for_R_analysis_Dryse'!J245</f>
        <v>R225</v>
      </c>
      <c r="J99">
        <f>IFERROR(INDEX('Green_rooibos initial weight'!$C$5:$C$1749,MATCH(H99, 'Green_rooibos initial weight'!$A$5:$A$1749,0)),"")</f>
        <v>2.044</v>
      </c>
      <c r="K99">
        <f>IFERROR(INDEX('Green_rooibos initial weight'!$C$5:$C$1749,MATCH(I99, 'Green_rooibos initial weight'!$A$5:$A$1749,0)),"")</f>
        <v>2.214</v>
      </c>
      <c r="L99" s="195">
        <f t="shared" si="5"/>
        <v>1.7942</v>
      </c>
      <c r="M99" s="240">
        <f>AVERAGE(Ashed_controlls!$K$1:$K$11)</f>
        <v>5.5147656768714146</v>
      </c>
      <c r="N99" s="195">
        <f t="shared" si="0"/>
        <v>1.6952540742255731</v>
      </c>
      <c r="O99" s="195">
        <f t="shared" si="6"/>
        <v>1.9641999999999999</v>
      </c>
      <c r="P99" s="240">
        <f>AVERAGE(Ashed_controlls!$K$12:$K$14)</f>
        <v>2.2816647271287041</v>
      </c>
      <c r="Q99" s="195">
        <f t="shared" si="1"/>
        <v>1.919383541429738</v>
      </c>
      <c r="R99" s="16">
        <f>IF('Dry_Litterbag Placem_Collection'!G26="N.A","",'Dry_Litterbag Placem_Collection'!G26)</f>
        <v>43007</v>
      </c>
      <c r="S99" s="195">
        <f>IF(IFERROR(INDEX('Both teabags AfterDry'!$D$1:$D$839,MATCH(H99,'Both teabags AfterDry'!$A$1:$A$839,0)),"")="N.A","",(IFERROR(INDEX('Both teabags AfterDry'!$D$1:$D$839,MATCH(H99,'Both teabags AfterDry'!$A$1:$A$839,0)),"")))</f>
        <v>1.7525999999999999</v>
      </c>
      <c r="T99" s="195">
        <f>IF(IFERROR(INDEX('Both teabags AfterDry'!$D$1:$D$839,MATCH(I99,'Both teabags AfterDry'!$A$1:$A$839,0)),"")="N.A","",(IFERROR(INDEX('Both teabags AfterDry'!$D$1:$D$839,MATCH(I99,'Both teabags AfterDry'!$A$1:$A$839,0)),"")))</f>
        <v>1.9572000000000001</v>
      </c>
      <c r="U99" s="195">
        <f t="shared" si="7"/>
        <v>1.6019999999999999</v>
      </c>
      <c r="V99" s="195">
        <f t="shared" si="7"/>
        <v>1.8066</v>
      </c>
      <c r="W99" s="195">
        <f>IFERROR(INDEX('Ashed teabags dry'!$K$2:$K$821,MATCH(H99,'Ashed teabags dry'!$A$2:$A$821,0)),"")</f>
        <v>6.2730627306273838</v>
      </c>
      <c r="X99" s="195">
        <f>IFERROR(INDEX('Ashed teabags dry'!$K$2:$K$821,MATCH(I99,'Ashed teabags dry'!$A$2:$A$821,0)),"")</f>
        <v>2.4928092042184851</v>
      </c>
      <c r="Y99" s="195">
        <f t="shared" si="2"/>
        <v>1.5015055350553492</v>
      </c>
      <c r="Z99" s="195">
        <f t="shared" si="2"/>
        <v>1.7615649089165888</v>
      </c>
      <c r="AA99" s="195">
        <f t="shared" si="8"/>
        <v>0.11428879134753422</v>
      </c>
      <c r="AB99" s="195">
        <f t="shared" si="9"/>
        <v>7.4925668436863324E-2</v>
      </c>
      <c r="AC99" s="195">
        <f t="shared" si="3"/>
        <v>0.91777639585489468</v>
      </c>
      <c r="AD99">
        <f t="shared" si="4"/>
        <v>71</v>
      </c>
      <c r="AE99" s="195">
        <f t="shared" si="10"/>
        <v>0.8642650934114795</v>
      </c>
      <c r="AF99" s="195" t="str">
        <f t="shared" si="11"/>
        <v/>
      </c>
      <c r="AG99" s="255" t="str">
        <f>IF(ISNUMBER(SEARCH("C", 'Dry_Litterbag Placem_Collection'!AB26)),"YES","NO")</f>
        <v>NO</v>
      </c>
      <c r="AH99" s="255" t="str">
        <f>IF(ISNUMBER(SEARCH("H", 'Dry_Litterbag Placem_Collection'!AB26)),"YES","NO")</f>
        <v>NO</v>
      </c>
      <c r="AI99" s="255" t="str">
        <f>IF(ISNUMBER(SEARCH("R", 'Dry_Litterbag Placem_Collection'!AB26)),"YES","NO")</f>
        <v>NO</v>
      </c>
      <c r="AJ99" s="255" t="str">
        <f>IF(ISNUMBER(SEARCH("C", 'Dry_Litterbag Placem_Collection'!AA26)),"YES","NO")</f>
        <v>NO</v>
      </c>
      <c r="AK99" s="255" t="str">
        <f>IF(ISNUMBER(SEARCH("H", 'Dry_Litterbag Placem_Collection'!AA26)),"YES","NO")</f>
        <v>NO</v>
      </c>
      <c r="AL99" s="255" t="str">
        <f>IF(ISNUMBER(SEARCH("R", 'Dry_Litterbag Placem_Collection'!AA26)),"YES","NO")</f>
        <v>NO</v>
      </c>
      <c r="AR99" t="s">
        <v>1730</v>
      </c>
      <c r="AT99" t="s">
        <v>916</v>
      </c>
    </row>
    <row r="100" spans="2:46">
      <c r="B100" t="str">
        <f>'Final data_for_R_analysis_Dryse'!A26</f>
        <v>Dry</v>
      </c>
      <c r="C100" s="263">
        <f>'Final data_for_R_analysis_Dryse'!B26</f>
        <v>25</v>
      </c>
      <c r="D100" t="s">
        <v>3830</v>
      </c>
      <c r="E100" t="s">
        <v>22</v>
      </c>
      <c r="F100" s="386">
        <v>1</v>
      </c>
      <c r="G100" s="16">
        <f>'Dry_Litterbag Placem_Collection'!E27</f>
        <v>42936</v>
      </c>
      <c r="H100" t="str">
        <f>'Final data_for_R_analysis_Dryse'!J26</f>
        <v>G322</v>
      </c>
      <c r="I100" t="str">
        <f>'Final data_for_R_analysis_Dryse'!J246</f>
        <v>R43</v>
      </c>
      <c r="J100">
        <f>IFERROR(INDEX('Green_rooibos initial weight'!$C$5:$C$1749,MATCH(H100, 'Green_rooibos initial weight'!$A$5:$A$1749,0)),"")</f>
        <v>2.0169999999999999</v>
      </c>
      <c r="K100">
        <f>IFERROR(INDEX('Green_rooibos initial weight'!$C$5:$C$1749,MATCH(I100, 'Green_rooibos initial weight'!$A$5:$A$1749,0)),"")</f>
        <v>2.2759999999999998</v>
      </c>
      <c r="L100" s="195">
        <f t="shared" si="5"/>
        <v>1.7671999999999999</v>
      </c>
      <c r="M100" s="240">
        <f>AVERAGE(Ashed_controlls!$K$1:$K$11)</f>
        <v>5.5147656768714146</v>
      </c>
      <c r="N100" s="195">
        <f t="shared" si="0"/>
        <v>1.6697430609583281</v>
      </c>
      <c r="O100" s="195">
        <f t="shared" si="6"/>
        <v>2.0261999999999998</v>
      </c>
      <c r="P100" s="240">
        <f>AVERAGE(Ashed_controlls!$K$12:$K$14)</f>
        <v>2.2816647271287041</v>
      </c>
      <c r="Q100" s="195">
        <f t="shared" si="1"/>
        <v>1.9799689092989179</v>
      </c>
      <c r="R100" s="16">
        <f>IF('Dry_Litterbag Placem_Collection'!G27="N.A","",'Dry_Litterbag Placem_Collection'!G27)</f>
        <v>43007</v>
      </c>
      <c r="S100" s="195">
        <f>IF(IFERROR(INDEX('Both teabags AfterDry'!$D$1:$D$839,MATCH(H100,'Both teabags AfterDry'!$A$1:$A$839,0)),"")="N.A","",(IFERROR(INDEX('Both teabags AfterDry'!$D$1:$D$839,MATCH(H100,'Both teabags AfterDry'!$A$1:$A$839,0)),"")))</f>
        <v>1.8697999999999999</v>
      </c>
      <c r="T100" s="195">
        <f>IF(IFERROR(INDEX('Both teabags AfterDry'!$D$1:$D$839,MATCH(I100,'Both teabags AfterDry'!$A$1:$A$839,0)),"")="N.A","",(IFERROR(INDEX('Both teabags AfterDry'!$D$1:$D$839,MATCH(I100,'Both teabags AfterDry'!$A$1:$A$839,0)),"")))</f>
        <v>2.0165999999999999</v>
      </c>
      <c r="U100" s="195">
        <f t="shared" si="7"/>
        <v>1.7191999999999998</v>
      </c>
      <c r="V100" s="195">
        <f t="shared" si="7"/>
        <v>1.8659999999999999</v>
      </c>
      <c r="W100" s="195">
        <f>IFERROR(INDEX('Ashed teabags dry'!$K$2:$K$821,MATCH(H100,'Ashed teabags dry'!$A$2:$A$821,0)),"")</f>
        <v>6.1076102762959152</v>
      </c>
      <c r="X100" s="195">
        <f>IFERROR(INDEX('Ashed teabags dry'!$K$2:$K$821,MATCH(I100,'Ashed teabags dry'!$A$2:$A$821,0)),"")</f>
        <v>3.4160037435664092</v>
      </c>
      <c r="Y100" s="195">
        <f t="shared" si="2"/>
        <v>1.6141979641299204</v>
      </c>
      <c r="Z100" s="195">
        <f t="shared" si="2"/>
        <v>1.8022573701450506</v>
      </c>
      <c r="AA100" s="195">
        <f t="shared" si="8"/>
        <v>3.3265655134106842E-2</v>
      </c>
      <c r="AB100" s="195">
        <f t="shared" si="9"/>
        <v>2.1808362985780233E-2</v>
      </c>
      <c r="AC100" s="195">
        <f t="shared" si="3"/>
        <v>0.91024528803495575</v>
      </c>
      <c r="AD100">
        <f t="shared" si="4"/>
        <v>71</v>
      </c>
      <c r="AE100" s="195">
        <f t="shared" si="10"/>
        <v>0.96049209604025321</v>
      </c>
      <c r="AF100" s="195" t="str">
        <f t="shared" si="11"/>
        <v/>
      </c>
      <c r="AG100" s="255" t="str">
        <f>IF(ISNUMBER(SEARCH("C", 'Dry_Litterbag Placem_Collection'!AB27)),"YES","NO")</f>
        <v>NO</v>
      </c>
      <c r="AH100" s="255" t="str">
        <f>IF(ISNUMBER(SEARCH("H", 'Dry_Litterbag Placem_Collection'!AB27)),"YES","NO")</f>
        <v>NO</v>
      </c>
      <c r="AI100" s="255" t="str">
        <f>IF(ISNUMBER(SEARCH("R", 'Dry_Litterbag Placem_Collection'!AB27)),"YES","NO")</f>
        <v>NO</v>
      </c>
      <c r="AJ100" s="255" t="str">
        <f>IF(ISNUMBER(SEARCH("C", 'Dry_Litterbag Placem_Collection'!AA27)),"YES","NO")</f>
        <v>NO</v>
      </c>
      <c r="AK100" s="255" t="str">
        <f>IF(ISNUMBER(SEARCH("H", 'Dry_Litterbag Placem_Collection'!AA27)),"YES","NO")</f>
        <v>NO</v>
      </c>
      <c r="AL100" s="255" t="str">
        <f>IF(ISNUMBER(SEARCH("R", 'Dry_Litterbag Placem_Collection'!AA27)),"YES","NO")</f>
        <v>NO</v>
      </c>
      <c r="AR100" t="s">
        <v>1728</v>
      </c>
      <c r="AT100" t="s">
        <v>1098</v>
      </c>
    </row>
    <row r="101" spans="2:46">
      <c r="B101" t="str">
        <f>'Final data_for_R_analysis_Dryse'!A27</f>
        <v>Dry</v>
      </c>
      <c r="C101" s="263">
        <f>'Final data_for_R_analysis_Dryse'!B27</f>
        <v>26</v>
      </c>
      <c r="D101" t="s">
        <v>3830</v>
      </c>
      <c r="E101" t="s">
        <v>22</v>
      </c>
      <c r="F101" s="386">
        <v>2</v>
      </c>
      <c r="G101" s="16">
        <f>'Dry_Litterbag Placem_Collection'!E28</f>
        <v>42936</v>
      </c>
      <c r="H101" t="str">
        <f>'Final data_for_R_analysis_Dryse'!J27</f>
        <v>G58</v>
      </c>
      <c r="I101" t="str">
        <f>'Final data_for_R_analysis_Dryse'!J247</f>
        <v>R602</v>
      </c>
      <c r="J101">
        <f>IFERROR(INDEX('Green_rooibos initial weight'!$C$5:$C$1749,MATCH(H101, 'Green_rooibos initial weight'!$A$5:$A$1749,0)),"")</f>
        <v>1.9370000000000001</v>
      </c>
      <c r="K101">
        <f>IFERROR(INDEX('Green_rooibos initial weight'!$C$5:$C$1749,MATCH(I101, 'Green_rooibos initial weight'!$A$5:$A$1749,0)),"")</f>
        <v>2.19</v>
      </c>
      <c r="L101" s="195">
        <f t="shared" si="5"/>
        <v>1.6872</v>
      </c>
      <c r="M101" s="240">
        <f>AVERAGE(Ashed_controlls!$K$1:$K$11)</f>
        <v>5.5147656768714146</v>
      </c>
      <c r="N101" s="195">
        <f t="shared" si="0"/>
        <v>1.5941548734998254</v>
      </c>
      <c r="O101" s="195">
        <f t="shared" si="6"/>
        <v>1.9401999999999999</v>
      </c>
      <c r="P101" s="240">
        <f>AVERAGE(Ashed_controlls!$K$12:$K$14)</f>
        <v>2.2816647271287041</v>
      </c>
      <c r="Q101" s="195">
        <f t="shared" si="1"/>
        <v>1.8959311409642488</v>
      </c>
      <c r="R101" s="16">
        <f>IF('Dry_Litterbag Placem_Collection'!G28="N.A","",'Dry_Litterbag Placem_Collection'!G28)</f>
        <v>43007</v>
      </c>
      <c r="S101" s="195">
        <f>IF(IFERROR(INDEX('Both teabags AfterDry'!$D$1:$D$839,MATCH(H101,'Both teabags AfterDry'!$A$1:$A$839,0)),"")="N.A","",(IFERROR(INDEX('Both teabags AfterDry'!$D$1:$D$839,MATCH(H101,'Both teabags AfterDry'!$A$1:$A$839,0)),"")))</f>
        <v>1.7357</v>
      </c>
      <c r="T101" s="195">
        <f>IF(IFERROR(INDEX('Both teabags AfterDry'!$D$1:$D$839,MATCH(I101,'Both teabags AfterDry'!$A$1:$A$839,0)),"")="N.A","",(IFERROR(INDEX('Both teabags AfterDry'!$D$1:$D$839,MATCH(I101,'Both teabags AfterDry'!$A$1:$A$839,0)),"")))</f>
        <v>1.9849000000000001</v>
      </c>
      <c r="U101" s="195">
        <f t="shared" si="7"/>
        <v>1.5851</v>
      </c>
      <c r="V101" s="195">
        <f t="shared" si="7"/>
        <v>1.8343</v>
      </c>
      <c r="W101" s="195">
        <f>IFERROR(INDEX('Ashed teabags dry'!$K$2:$K$821,MATCH(H101,'Ashed teabags dry'!$A$2:$A$821,0)),"")</f>
        <v>5.724049551473775</v>
      </c>
      <c r="X101" s="195">
        <f>IFERROR(INDEX('Ashed teabags dry'!$K$2:$K$821,MATCH(I101,'Ashed teabags dry'!$A$2:$A$821,0)),"")</f>
        <v>2.2760290556907226</v>
      </c>
      <c r="Y101" s="195">
        <f t="shared" si="2"/>
        <v>1.4943680905595891</v>
      </c>
      <c r="Z101" s="195">
        <f t="shared" si="2"/>
        <v>1.7925507990314651</v>
      </c>
      <c r="AA101" s="195">
        <f t="shared" si="8"/>
        <v>6.2595413155287272E-2</v>
      </c>
      <c r="AB101" s="195">
        <f t="shared" si="9"/>
        <v>4.1036422876150336E-2</v>
      </c>
      <c r="AC101" s="195">
        <f t="shared" si="3"/>
        <v>0.94547252286799532</v>
      </c>
      <c r="AD101">
        <f t="shared" si="4"/>
        <v>71</v>
      </c>
      <c r="AE101" s="195">
        <f t="shared" si="10"/>
        <v>0.92565865420987259</v>
      </c>
      <c r="AF101" s="195" t="str">
        <f t="shared" si="11"/>
        <v/>
      </c>
      <c r="AG101" s="255" t="str">
        <f>IF(ISNUMBER(SEARCH("C", 'Dry_Litterbag Placem_Collection'!AB28)),"YES","NO")</f>
        <v>NO</v>
      </c>
      <c r="AH101" s="255" t="str">
        <f>IF(ISNUMBER(SEARCH("H", 'Dry_Litterbag Placem_Collection'!AB28)),"YES","NO")</f>
        <v>NO</v>
      </c>
      <c r="AI101" s="255" t="str">
        <f>IF(ISNUMBER(SEARCH("R", 'Dry_Litterbag Placem_Collection'!AB28)),"YES","NO")</f>
        <v>NO</v>
      </c>
      <c r="AJ101" s="255" t="str">
        <f>IF(ISNUMBER(SEARCH("C", 'Dry_Litterbag Placem_Collection'!AA28)),"YES","NO")</f>
        <v>NO</v>
      </c>
      <c r="AK101" s="255" t="str">
        <f>IF(ISNUMBER(SEARCH("H", 'Dry_Litterbag Placem_Collection'!AA28)),"YES","NO")</f>
        <v>NO</v>
      </c>
      <c r="AL101" s="255" t="str">
        <f>IF(ISNUMBER(SEARCH("R", 'Dry_Litterbag Placem_Collection'!AA28)),"YES","NO")</f>
        <v>NO</v>
      </c>
      <c r="AR101" t="s">
        <v>1992</v>
      </c>
      <c r="AT101" t="s">
        <v>537</v>
      </c>
    </row>
    <row r="102" spans="2:46">
      <c r="B102" t="str">
        <f>'Final data_for_R_analysis_Dryse'!A28</f>
        <v>Dry</v>
      </c>
      <c r="C102" s="263">
        <f>'Final data_for_R_analysis_Dryse'!B28</f>
        <v>27</v>
      </c>
      <c r="D102" t="s">
        <v>3830</v>
      </c>
      <c r="E102" t="s">
        <v>22</v>
      </c>
      <c r="F102" s="386">
        <v>3</v>
      </c>
      <c r="G102" s="16">
        <f>'Dry_Litterbag Placem_Collection'!E29</f>
        <v>42936</v>
      </c>
      <c r="H102" t="str">
        <f>'Final data_for_R_analysis_Dryse'!J28</f>
        <v>G340</v>
      </c>
      <c r="I102" t="str">
        <f>'Final data_for_R_analysis_Dryse'!J248</f>
        <v>R666</v>
      </c>
      <c r="J102">
        <f>IFERROR(INDEX('Green_rooibos initial weight'!$C$5:$C$1749,MATCH(H102, 'Green_rooibos initial weight'!$A$5:$A$1749,0)),"")</f>
        <v>2.0150000000000001</v>
      </c>
      <c r="K102">
        <f>IFERROR(INDEX('Green_rooibos initial weight'!$C$5:$C$1749,MATCH(I102, 'Green_rooibos initial weight'!$A$5:$A$1749,0)),"")</f>
        <v>2.15</v>
      </c>
      <c r="L102" s="195">
        <f t="shared" si="5"/>
        <v>1.7652000000000001</v>
      </c>
      <c r="M102" s="240">
        <f>AVERAGE(Ashed_controlls!$K$1:$K$11)</f>
        <v>5.5147656768714146</v>
      </c>
      <c r="N102" s="195">
        <f t="shared" si="0"/>
        <v>1.6678533562718658</v>
      </c>
      <c r="O102" s="195">
        <f t="shared" si="6"/>
        <v>1.9001999999999999</v>
      </c>
      <c r="P102" s="240">
        <f>AVERAGE(Ashed_controlls!$K$12:$K$14)</f>
        <v>2.2816647271287041</v>
      </c>
      <c r="Q102" s="195">
        <f t="shared" si="1"/>
        <v>1.8568438068551003</v>
      </c>
      <c r="R102" s="16">
        <f>IF('Dry_Litterbag Placem_Collection'!G29="N.A","",'Dry_Litterbag Placem_Collection'!G29)</f>
        <v>43007</v>
      </c>
      <c r="S102" s="195" t="str">
        <f>IF(IFERROR(INDEX('Both teabags AfterDry'!$D$1:$D$839,MATCH(H102,'Both teabags AfterDry'!$A$1:$A$839,0)),"")="N.A","",(IFERROR(INDEX('Both teabags AfterDry'!$D$1:$D$839,MATCH(H102,'Both teabags AfterDry'!$A$1:$A$839,0)),"")))</f>
        <v/>
      </c>
      <c r="T102" s="195" t="str">
        <f>IF(IFERROR(INDEX('Both teabags AfterDry'!$D$1:$D$839,MATCH(I102,'Both teabags AfterDry'!$A$1:$A$839,0)),"")="N.A","",(IFERROR(INDEX('Both teabags AfterDry'!$D$1:$D$839,MATCH(I102,'Both teabags AfterDry'!$A$1:$A$839,0)),"")))</f>
        <v/>
      </c>
      <c r="U102" s="195" t="str">
        <f t="shared" si="7"/>
        <v/>
      </c>
      <c r="V102" s="195" t="str">
        <f t="shared" si="7"/>
        <v/>
      </c>
      <c r="W102" s="195" t="str">
        <f>IFERROR(INDEX('Ashed teabags dry'!$K$2:$K$821,MATCH(H102,'Ashed teabags dry'!$A$2:$A$821,0)),"")</f>
        <v/>
      </c>
      <c r="X102" s="195" t="str">
        <f>IFERROR(INDEX('Ashed teabags dry'!$K$2:$K$821,MATCH(I102,'Ashed teabags dry'!$A$2:$A$821,0)),"")</f>
        <v/>
      </c>
      <c r="Y102" s="195" t="str">
        <f t="shared" si="2"/>
        <v/>
      </c>
      <c r="Z102" s="195" t="str">
        <f t="shared" si="2"/>
        <v/>
      </c>
      <c r="AA102" s="195" t="str">
        <f t="shared" si="8"/>
        <v/>
      </c>
      <c r="AB102" s="195" t="str">
        <f t="shared" si="9"/>
        <v/>
      </c>
      <c r="AC102" s="195" t="str">
        <f t="shared" si="3"/>
        <v/>
      </c>
      <c r="AD102">
        <f t="shared" si="4"/>
        <v>71</v>
      </c>
      <c r="AE102" s="195" t="str">
        <f t="shared" si="10"/>
        <v/>
      </c>
      <c r="AF102" s="195" t="str">
        <f t="shared" si="11"/>
        <v/>
      </c>
      <c r="AG102" s="255" t="str">
        <f>IF(ISNUMBER(SEARCH("C", 'Dry_Litterbag Placem_Collection'!AB29)),"YES","NO")</f>
        <v>NO</v>
      </c>
      <c r="AH102" s="255" t="str">
        <f>IF(ISNUMBER(SEARCH("H", 'Dry_Litterbag Placem_Collection'!AB29)),"YES","NO")</f>
        <v>NO</v>
      </c>
      <c r="AI102" s="255" t="str">
        <f>IF(ISNUMBER(SEARCH("R", 'Dry_Litterbag Placem_Collection'!AB29)),"YES","NO")</f>
        <v>NO</v>
      </c>
      <c r="AJ102" s="255" t="str">
        <f>IF(ISNUMBER(SEARCH("C", 'Dry_Litterbag Placem_Collection'!AA29)),"YES","NO")</f>
        <v>NO</v>
      </c>
      <c r="AK102" s="255" t="str">
        <f>IF(ISNUMBER(SEARCH("H", 'Dry_Litterbag Placem_Collection'!AA29)),"YES","NO")</f>
        <v>NO</v>
      </c>
      <c r="AL102" s="255" t="str">
        <f>IF(ISNUMBER(SEARCH("R", 'Dry_Litterbag Placem_Collection'!AA29)),"YES","NO")</f>
        <v>NO</v>
      </c>
      <c r="AR102" t="s">
        <v>1710</v>
      </c>
      <c r="AT102" t="s">
        <v>473</v>
      </c>
    </row>
    <row r="103" spans="2:46">
      <c r="B103" t="str">
        <f>'Final data_for_R_analysis_Dryse'!A29</f>
        <v>Dry</v>
      </c>
      <c r="C103" s="263">
        <f>'Final data_for_R_analysis_Dryse'!B29</f>
        <v>28</v>
      </c>
      <c r="D103" t="s">
        <v>3830</v>
      </c>
      <c r="E103" t="s">
        <v>22</v>
      </c>
      <c r="F103" s="387">
        <v>4</v>
      </c>
      <c r="G103" s="16">
        <f>'Dry_Litterbag Placem_Collection'!E30</f>
        <v>42936</v>
      </c>
      <c r="H103" t="str">
        <f>'Final data_for_R_analysis_Dryse'!J29</f>
        <v>G61</v>
      </c>
      <c r="I103" t="str">
        <f>'Final data_for_R_analysis_Dryse'!J249</f>
        <v>R705</v>
      </c>
      <c r="J103">
        <f>IFERROR(INDEX('Green_rooibos initial weight'!$C$5:$C$1749,MATCH(H103, 'Green_rooibos initial weight'!$A$5:$A$1749,0)),"")</f>
        <v>1.88</v>
      </c>
      <c r="K103">
        <f>IFERROR(INDEX('Green_rooibos initial weight'!$C$5:$C$1749,MATCH(I103, 'Green_rooibos initial weight'!$A$5:$A$1749,0)),"")</f>
        <v>2.1859999999999999</v>
      </c>
      <c r="L103" s="195">
        <f t="shared" si="5"/>
        <v>1.6301999999999999</v>
      </c>
      <c r="M103" s="240">
        <f>AVERAGE(Ashed_controlls!$K$1:$K$11)</f>
        <v>5.5147656768714146</v>
      </c>
      <c r="N103" s="195">
        <f t="shared" si="0"/>
        <v>1.5402982899356421</v>
      </c>
      <c r="O103" s="195">
        <f t="shared" si="6"/>
        <v>1.9361999999999999</v>
      </c>
      <c r="P103" s="240">
        <f>AVERAGE(Ashed_controlls!$K$12:$K$14)</f>
        <v>2.2816647271287041</v>
      </c>
      <c r="Q103" s="195">
        <f t="shared" si="1"/>
        <v>1.8920224075533341</v>
      </c>
      <c r="R103" s="16">
        <f>IF('Dry_Litterbag Placem_Collection'!G30="N.A","",'Dry_Litterbag Placem_Collection'!G30)</f>
        <v>43007</v>
      </c>
      <c r="S103" s="195">
        <f>IF(IFERROR(INDEX('Both teabags AfterDry'!$D$1:$D$839,MATCH(H103,'Both teabags AfterDry'!$A$1:$A$839,0)),"")="N.A","",(IFERROR(INDEX('Both teabags AfterDry'!$D$1:$D$839,MATCH(H103,'Both teabags AfterDry'!$A$1:$A$839,0)),"")))</f>
        <v>1.4991000000000001</v>
      </c>
      <c r="T103" s="195">
        <f>IF(IFERROR(INDEX('Both teabags AfterDry'!$D$1:$D$839,MATCH(I103,'Both teabags AfterDry'!$A$1:$A$839,0)),"")="N.A","",(IFERROR(INDEX('Both teabags AfterDry'!$D$1:$D$839,MATCH(I103,'Both teabags AfterDry'!$A$1:$A$839,0)),"")))</f>
        <v>2.0167999999999999</v>
      </c>
      <c r="U103" s="195">
        <f t="shared" si="7"/>
        <v>1.3485</v>
      </c>
      <c r="V103" s="195">
        <f t="shared" si="7"/>
        <v>1.8661999999999999</v>
      </c>
      <c r="W103" s="195">
        <f>IFERROR(INDEX('Ashed teabags dry'!$K$2:$K$821,MATCH(H103,'Ashed teabags dry'!$A$2:$A$821,0)),"")</f>
        <v>6.888472352389627</v>
      </c>
      <c r="X103" s="195">
        <f>IFERROR(INDEX('Ashed teabags dry'!$K$2:$K$821,MATCH(I103,'Ashed teabags dry'!$A$2:$A$821,0)),"")</f>
        <v>3.6201222378937139</v>
      </c>
      <c r="Y103" s="195">
        <f t="shared" si="2"/>
        <v>1.2556089503280259</v>
      </c>
      <c r="Z103" s="195">
        <f t="shared" si="2"/>
        <v>1.7986412787964274</v>
      </c>
      <c r="AA103" s="195">
        <f t="shared" si="8"/>
        <v>0.1848274074364592</v>
      </c>
      <c r="AB103" s="195">
        <f t="shared" si="9"/>
        <v>0.12116951176356945</v>
      </c>
      <c r="AC103" s="195">
        <f t="shared" si="3"/>
        <v>0.95064480823054187</v>
      </c>
      <c r="AD103">
        <f t="shared" si="4"/>
        <v>71</v>
      </c>
      <c r="AE103" s="195">
        <f t="shared" si="10"/>
        <v>0.78049001492106984</v>
      </c>
      <c r="AF103" s="195">
        <f t="shared" si="11"/>
        <v>7.3676984493174103E-3</v>
      </c>
      <c r="AG103" s="255" t="str">
        <f>IF(ISNUMBER(SEARCH("C", 'Dry_Litterbag Placem_Collection'!AB30)),"YES","NO")</f>
        <v>NO</v>
      </c>
      <c r="AH103" s="255" t="str">
        <f>IF(ISNUMBER(SEARCH("H", 'Dry_Litterbag Placem_Collection'!AB30)),"YES","NO")</f>
        <v>NO</v>
      </c>
      <c r="AI103" s="255" t="str">
        <f>IF(ISNUMBER(SEARCH("R", 'Dry_Litterbag Placem_Collection'!AB30)),"YES","NO")</f>
        <v>NO</v>
      </c>
      <c r="AJ103" s="255" t="str">
        <f>IF(ISNUMBER(SEARCH("C", 'Dry_Litterbag Placem_Collection'!AA30)),"YES","NO")</f>
        <v>NO</v>
      </c>
      <c r="AK103" s="255" t="str">
        <f>IF(ISNUMBER(SEARCH("H", 'Dry_Litterbag Placem_Collection'!AA30)),"YES","NO")</f>
        <v>NO</v>
      </c>
      <c r="AL103" s="255" t="str">
        <f>IF(ISNUMBER(SEARCH("R", 'Dry_Litterbag Placem_Collection'!AA30)),"YES","NO")</f>
        <v>NO</v>
      </c>
      <c r="AR103" t="s">
        <v>1989</v>
      </c>
      <c r="AT103" t="s">
        <v>434</v>
      </c>
    </row>
    <row r="104" spans="2:46">
      <c r="B104" t="str">
        <f>'Final data_for_R_analysis_Dryse'!A30</f>
        <v>Dry</v>
      </c>
      <c r="C104" s="263">
        <f>'Final data_for_R_analysis_Dryse'!B30</f>
        <v>29</v>
      </c>
      <c r="D104" t="s">
        <v>3830</v>
      </c>
      <c r="E104" t="s">
        <v>22</v>
      </c>
      <c r="F104" s="387">
        <v>5</v>
      </c>
      <c r="G104" s="16">
        <f>'Dry_Litterbag Placem_Collection'!E31</f>
        <v>42936</v>
      </c>
      <c r="H104" t="str">
        <f>'Final data_for_R_analysis_Dryse'!J30</f>
        <v>G319</v>
      </c>
      <c r="I104" t="str">
        <f>'Final data_for_R_analysis_Dryse'!J250</f>
        <v>R305</v>
      </c>
      <c r="J104">
        <f>IFERROR(INDEX('Green_rooibos initial weight'!$C$5:$C$1749,MATCH(H104, 'Green_rooibos initial weight'!$A$5:$A$1749,0)),"")</f>
        <v>2.012</v>
      </c>
      <c r="K104">
        <f>IFERROR(INDEX('Green_rooibos initial weight'!$C$5:$C$1749,MATCH(I104, 'Green_rooibos initial weight'!$A$5:$A$1749,0)),"")</f>
        <v>2.2829999999999999</v>
      </c>
      <c r="L104" s="195">
        <f t="shared" si="5"/>
        <v>1.7622</v>
      </c>
      <c r="M104" s="240">
        <f>AVERAGE(Ashed_controlls!$K$1:$K$11)</f>
        <v>5.5147656768714146</v>
      </c>
      <c r="N104" s="195">
        <f t="shared" si="0"/>
        <v>1.6650187992421719</v>
      </c>
      <c r="O104" s="195">
        <f t="shared" si="6"/>
        <v>2.0331999999999999</v>
      </c>
      <c r="P104" s="240">
        <f>AVERAGE(Ashed_controlls!$K$12:$K$14)</f>
        <v>2.2816647271287041</v>
      </c>
      <c r="Q104" s="195">
        <f t="shared" si="1"/>
        <v>1.9868091927680191</v>
      </c>
      <c r="R104" s="16">
        <f>IF('Dry_Litterbag Placem_Collection'!G31="N.A","",'Dry_Litterbag Placem_Collection'!G31)</f>
        <v>43007</v>
      </c>
      <c r="S104" s="195">
        <f>IF(IFERROR(INDEX('Both teabags AfterDry'!$D$1:$D$839,MATCH(H104,'Both teabags AfterDry'!$A$1:$A$839,0)),"")="N.A","",(IFERROR(INDEX('Both teabags AfterDry'!$D$1:$D$839,MATCH(H104,'Both teabags AfterDry'!$A$1:$A$839,0)),"")))</f>
        <v>1.8162</v>
      </c>
      <c r="T104" s="195">
        <f>IF(IFERROR(INDEX('Both teabags AfterDry'!$D$1:$D$839,MATCH(I104,'Both teabags AfterDry'!$A$1:$A$839,0)),"")="N.A","",(IFERROR(INDEX('Both teabags AfterDry'!$D$1:$D$839,MATCH(I104,'Both teabags AfterDry'!$A$1:$A$839,0)),"")))</f>
        <v>2.0718999999999999</v>
      </c>
      <c r="U104" s="195">
        <f t="shared" si="7"/>
        <v>1.6656</v>
      </c>
      <c r="V104" s="195">
        <f t="shared" si="7"/>
        <v>1.9212999999999998</v>
      </c>
      <c r="W104" s="195" t="str">
        <f>IFERROR(INDEX('Ashed teabags dry'!$K$2:$K$821,MATCH(H104,'Ashed teabags dry'!$A$2:$A$821,0)),"")</f>
        <v/>
      </c>
      <c r="X104" s="195">
        <f>IFERROR(INDEX('Ashed teabags dry'!$K$2:$K$821,MATCH(I104,'Ashed teabags dry'!$A$2:$A$821,0)),"")</f>
        <v>2.7534965034964429</v>
      </c>
      <c r="Y104" s="195" t="str">
        <f t="shared" si="2"/>
        <v/>
      </c>
      <c r="Z104" s="195">
        <f t="shared" si="2"/>
        <v>1.8683970716783227</v>
      </c>
      <c r="AA104" s="195" t="str">
        <f t="shared" si="8"/>
        <v/>
      </c>
      <c r="AB104" s="195" t="str">
        <f t="shared" si="9"/>
        <v/>
      </c>
      <c r="AC104" s="195">
        <f t="shared" si="3"/>
        <v>0.94040085906552262</v>
      </c>
      <c r="AD104">
        <f t="shared" si="4"/>
        <v>71</v>
      </c>
      <c r="AE104" s="195" t="str">
        <f t="shared" si="10"/>
        <v/>
      </c>
      <c r="AF104" s="195" t="str">
        <f t="shared" si="11"/>
        <v/>
      </c>
      <c r="AG104" s="255" t="str">
        <f>IF(ISNUMBER(SEARCH("C", 'Dry_Litterbag Placem_Collection'!AB31)),"YES","NO")</f>
        <v>NO</v>
      </c>
      <c r="AH104" s="255" t="str">
        <f>IF(ISNUMBER(SEARCH("H", 'Dry_Litterbag Placem_Collection'!AB31)),"YES","NO")</f>
        <v>NO</v>
      </c>
      <c r="AI104" s="255" t="str">
        <f>IF(ISNUMBER(SEARCH("R", 'Dry_Litterbag Placem_Collection'!AB31)),"YES","NO")</f>
        <v>NO</v>
      </c>
      <c r="AJ104" s="255" t="str">
        <f>IF(ISNUMBER(SEARCH("C", 'Dry_Litterbag Placem_Collection'!AA31)),"YES","NO")</f>
        <v>NO</v>
      </c>
      <c r="AK104" s="255" t="str">
        <f>IF(ISNUMBER(SEARCH("H", 'Dry_Litterbag Placem_Collection'!AA31)),"YES","NO")</f>
        <v>NO</v>
      </c>
      <c r="AL104" s="255" t="str">
        <f>IF(ISNUMBER(SEARCH("R", 'Dry_Litterbag Placem_Collection'!AA31)),"YES","NO")</f>
        <v>NO</v>
      </c>
      <c r="AR104" t="s">
        <v>1731</v>
      </c>
      <c r="AT104" t="s">
        <v>836</v>
      </c>
    </row>
    <row r="105" spans="2:46">
      <c r="B105" t="str">
        <f>'Final data_for_R_analysis_Dryse'!A31</f>
        <v>Dry</v>
      </c>
      <c r="C105" s="263">
        <f>'Final data_for_R_analysis_Dryse'!B31</f>
        <v>30</v>
      </c>
      <c r="D105" t="s">
        <v>3830</v>
      </c>
      <c r="E105" t="s">
        <v>22</v>
      </c>
      <c r="F105" s="387">
        <v>6</v>
      </c>
      <c r="G105" s="16">
        <f>'Dry_Litterbag Placem_Collection'!E32</f>
        <v>42936</v>
      </c>
      <c r="H105" t="str">
        <f>'Final data_for_R_analysis_Dryse'!J31</f>
        <v>G273</v>
      </c>
      <c r="I105" t="str">
        <f>'Final data_for_R_analysis_Dryse'!J251</f>
        <v>R667</v>
      </c>
      <c r="J105">
        <f>IFERROR(INDEX('Green_rooibos initial weight'!$C$5:$C$1749,MATCH(H105, 'Green_rooibos initial weight'!$A$5:$A$1749,0)),"")</f>
        <v>2.073</v>
      </c>
      <c r="K105">
        <f>IFERROR(INDEX('Green_rooibos initial weight'!$C$5:$C$1749,MATCH(I105, 'Green_rooibos initial weight'!$A$5:$A$1749,0)),"")</f>
        <v>2.1949999999999998</v>
      </c>
      <c r="L105" s="195">
        <f t="shared" si="5"/>
        <v>1.8231999999999999</v>
      </c>
      <c r="M105" s="240">
        <f>AVERAGE(Ashed_controlls!$K$1:$K$11)</f>
        <v>5.5147656768714146</v>
      </c>
      <c r="N105" s="195">
        <f t="shared" si="0"/>
        <v>1.7226547921792803</v>
      </c>
      <c r="O105" s="195">
        <f t="shared" si="6"/>
        <v>1.9451999999999998</v>
      </c>
      <c r="P105" s="240">
        <f>AVERAGE(Ashed_controlls!$K$12:$K$14)</f>
        <v>2.2816647271287041</v>
      </c>
      <c r="Q105" s="195">
        <f t="shared" si="1"/>
        <v>1.9008170577278922</v>
      </c>
      <c r="R105" s="16">
        <f>IF('Dry_Litterbag Placem_Collection'!G32="N.A","",'Dry_Litterbag Placem_Collection'!G32)</f>
        <v>43007</v>
      </c>
      <c r="S105" s="195">
        <f>IF(IFERROR(INDEX('Both teabags AfterDry'!$D$1:$D$839,MATCH(H105,'Both teabags AfterDry'!$A$1:$A$839,0)),"")="N.A","",(IFERROR(INDEX('Both teabags AfterDry'!$D$1:$D$839,MATCH(H105,'Both teabags AfterDry'!$A$1:$A$839,0)),"")))</f>
        <v>1.9318</v>
      </c>
      <c r="T105" s="195">
        <f>IF(IFERROR(INDEX('Both teabags AfterDry'!$D$1:$D$839,MATCH(I105,'Both teabags AfterDry'!$A$1:$A$839,0)),"")="N.A","",(IFERROR(INDEX('Both teabags AfterDry'!$D$1:$D$839,MATCH(I105,'Both teabags AfterDry'!$A$1:$A$839,0)),"")))</f>
        <v>2.0158999999999998</v>
      </c>
      <c r="U105" s="195">
        <f t="shared" si="7"/>
        <v>1.7811999999999999</v>
      </c>
      <c r="V105" s="195">
        <f t="shared" si="7"/>
        <v>1.8652999999999997</v>
      </c>
      <c r="W105" s="195">
        <f>IFERROR(INDEX('Ashed teabags dry'!$K$2:$K$821,MATCH(H105,'Ashed teabags dry'!$A$2:$A$821,0)),"")</f>
        <v>5.1138805328754682</v>
      </c>
      <c r="X105" s="195">
        <f>IFERROR(INDEX('Ashed teabags dry'!$K$2:$K$821,MATCH(I105,'Ashed teabags dry'!$A$2:$A$821,0)),"")</f>
        <v>2.0813623462635014</v>
      </c>
      <c r="Y105" s="195">
        <f t="shared" si="2"/>
        <v>1.690111559948422</v>
      </c>
      <c r="Z105" s="195">
        <f t="shared" si="2"/>
        <v>1.8264763481551467</v>
      </c>
      <c r="AA105" s="195">
        <f t="shared" si="8"/>
        <v>1.8891325399959413E-2</v>
      </c>
      <c r="AB105" s="195">
        <f t="shared" si="9"/>
        <v>1.2384811901161063E-2</v>
      </c>
      <c r="AC105" s="195">
        <f t="shared" si="3"/>
        <v>0.9608901291839167</v>
      </c>
      <c r="AD105">
        <f t="shared" si="4"/>
        <v>71</v>
      </c>
      <c r="AE105" s="195">
        <f t="shared" si="10"/>
        <v>0.97756374655586764</v>
      </c>
      <c r="AF105" s="195" t="str">
        <f t="shared" si="11"/>
        <v/>
      </c>
      <c r="AG105" s="255" t="str">
        <f>IF(ISNUMBER(SEARCH("C", 'Dry_Litterbag Placem_Collection'!AB32)),"YES","NO")</f>
        <v>NO</v>
      </c>
      <c r="AH105" s="255" t="str">
        <f>IF(ISNUMBER(SEARCH("H", 'Dry_Litterbag Placem_Collection'!AB32)),"YES","NO")</f>
        <v>NO</v>
      </c>
      <c r="AI105" s="255" t="str">
        <f>IF(ISNUMBER(SEARCH("R", 'Dry_Litterbag Placem_Collection'!AB32)),"YES","NO")</f>
        <v>NO</v>
      </c>
      <c r="AJ105" s="255" t="str">
        <f>IF(ISNUMBER(SEARCH("C", 'Dry_Litterbag Placem_Collection'!AA32)),"YES","NO")</f>
        <v>NO</v>
      </c>
      <c r="AK105" s="255" t="str">
        <f>IF(ISNUMBER(SEARCH("H", 'Dry_Litterbag Placem_Collection'!AA32)),"YES","NO")</f>
        <v>NO</v>
      </c>
      <c r="AL105" s="255" t="str">
        <f>IF(ISNUMBER(SEARCH("R", 'Dry_Litterbag Placem_Collection'!AA32)),"YES","NO")</f>
        <v>NO</v>
      </c>
      <c r="AR105" t="s">
        <v>1777</v>
      </c>
      <c r="AT105" t="s">
        <v>472</v>
      </c>
    </row>
    <row r="106" spans="2:46">
      <c r="B106" t="str">
        <f>'Final data_for_R_analysis_Dryse'!A32</f>
        <v>Dry</v>
      </c>
      <c r="C106" s="263">
        <f>'Final data_for_R_analysis_Dryse'!B32</f>
        <v>31</v>
      </c>
      <c r="D106" t="s">
        <v>3830</v>
      </c>
      <c r="E106" t="s">
        <v>22</v>
      </c>
      <c r="F106" s="387">
        <v>7</v>
      </c>
      <c r="G106" s="390">
        <f>'Dry_Litterbag Placem_Collection'!E33</f>
        <v>0</v>
      </c>
      <c r="H106" t="str">
        <f>'Final data_for_R_analysis_Dryse'!J32</f>
        <v/>
      </c>
      <c r="I106" t="str">
        <f>'Final data_for_R_analysis_Dryse'!J252</f>
        <v/>
      </c>
      <c r="J106" t="str">
        <f>IFERROR(INDEX('Green_rooibos initial weight'!$C$5:$C$1749,MATCH(H106, 'Green_rooibos initial weight'!$A$5:$A$1749,0)),"")</f>
        <v/>
      </c>
      <c r="K106" t="str">
        <f>IFERROR(INDEX('Green_rooibos initial weight'!$C$5:$C$1749,MATCH(I106, 'Green_rooibos initial weight'!$A$5:$A$1749,0)),"")</f>
        <v/>
      </c>
      <c r="L106" s="195" t="str">
        <f t="shared" si="5"/>
        <v/>
      </c>
      <c r="M106" s="240">
        <f>AVERAGE(Ashed_controlls!$K$1:$K$11)</f>
        <v>5.5147656768714146</v>
      </c>
      <c r="N106" s="195" t="str">
        <f t="shared" si="0"/>
        <v/>
      </c>
      <c r="O106" s="195" t="str">
        <f t="shared" si="6"/>
        <v/>
      </c>
      <c r="P106" s="240">
        <f>AVERAGE(Ashed_controlls!$K$12:$K$14)</f>
        <v>2.2816647271287041</v>
      </c>
      <c r="Q106" s="195" t="str">
        <f t="shared" si="1"/>
        <v/>
      </c>
      <c r="R106" s="16">
        <f>IF('Dry_Litterbag Placem_Collection'!G33="N.A","",'Dry_Litterbag Placem_Collection'!G33)</f>
        <v>0</v>
      </c>
      <c r="S106" s="195" t="str">
        <f>IF(IFERROR(INDEX('Both teabags AfterDry'!$D$1:$D$839,MATCH(H106,'Both teabags AfterDry'!$A$1:$A$839,0)),"")="N.A","",(IFERROR(INDEX('Both teabags AfterDry'!$D$1:$D$839,MATCH(H106,'Both teabags AfterDry'!$A$1:$A$839,0)),"")))</f>
        <v/>
      </c>
      <c r="T106" s="195" t="str">
        <f>IF(IFERROR(INDEX('Both teabags AfterDry'!$D$1:$D$839,MATCH(I106,'Both teabags AfterDry'!$A$1:$A$839,0)),"")="N.A","",(IFERROR(INDEX('Both teabags AfterDry'!$D$1:$D$839,MATCH(I106,'Both teabags AfterDry'!$A$1:$A$839,0)),"")))</f>
        <v/>
      </c>
      <c r="U106" s="195" t="str">
        <f t="shared" si="7"/>
        <v/>
      </c>
      <c r="V106" s="195" t="str">
        <f t="shared" si="7"/>
        <v/>
      </c>
      <c r="W106" s="195" t="str">
        <f>IFERROR(INDEX('Ashed teabags dry'!$K$2:$K$821,MATCH(H106,'Ashed teabags dry'!$A$2:$A$821,0)),"")</f>
        <v/>
      </c>
      <c r="X106" s="195" t="str">
        <f>IFERROR(INDEX('Ashed teabags dry'!$K$2:$K$821,MATCH(I106,'Ashed teabags dry'!$A$2:$A$821,0)),"")</f>
        <v/>
      </c>
      <c r="Y106" s="195" t="str">
        <f t="shared" si="2"/>
        <v/>
      </c>
      <c r="Z106" s="195" t="str">
        <f t="shared" si="2"/>
        <v/>
      </c>
      <c r="AA106" s="195" t="str">
        <f t="shared" si="8"/>
        <v/>
      </c>
      <c r="AB106" s="195" t="str">
        <f t="shared" si="9"/>
        <v/>
      </c>
      <c r="AC106" s="195" t="str">
        <f t="shared" si="3"/>
        <v/>
      </c>
      <c r="AD106" t="str">
        <f t="shared" si="4"/>
        <v/>
      </c>
      <c r="AE106" s="195" t="str">
        <f t="shared" si="10"/>
        <v/>
      </c>
      <c r="AF106" s="195" t="str">
        <f t="shared" si="11"/>
        <v/>
      </c>
      <c r="AG106" s="255" t="str">
        <f>IF(ISNUMBER(SEARCH("C", 'Dry_Litterbag Placem_Collection'!AB33)),"YES","NO")</f>
        <v>NO</v>
      </c>
      <c r="AH106" s="255" t="str">
        <f>IF(ISNUMBER(SEARCH("H", 'Dry_Litterbag Placem_Collection'!AB33)),"YES","NO")</f>
        <v>NO</v>
      </c>
      <c r="AI106" s="255" t="str">
        <f>IF(ISNUMBER(SEARCH("R", 'Dry_Litterbag Placem_Collection'!AB33)),"YES","NO")</f>
        <v>NO</v>
      </c>
      <c r="AJ106" s="255" t="str">
        <f>IF(ISNUMBER(SEARCH("C", 'Dry_Litterbag Placem_Collection'!AA33)),"YES","NO")</f>
        <v>NO</v>
      </c>
      <c r="AK106" s="255" t="str">
        <f>IF(ISNUMBER(SEARCH("H", 'Dry_Litterbag Placem_Collection'!AA33)),"YES","NO")</f>
        <v>NO</v>
      </c>
      <c r="AL106" s="255" t="str">
        <f>IF(ISNUMBER(SEARCH("R", 'Dry_Litterbag Placem_Collection'!AA33)),"YES","NO")</f>
        <v>NO</v>
      </c>
      <c r="AR106" t="s">
        <v>3654</v>
      </c>
      <c r="AT106" t="s">
        <v>3654</v>
      </c>
    </row>
    <row r="107" spans="2:46">
      <c r="B107" t="str">
        <f>'Final data_for_R_analysis_Dryse'!A33</f>
        <v>Dry</v>
      </c>
      <c r="C107" s="263">
        <f>'Final data_for_R_analysis_Dryse'!B33</f>
        <v>32</v>
      </c>
      <c r="D107" t="s">
        <v>3830</v>
      </c>
      <c r="E107" t="s">
        <v>22</v>
      </c>
      <c r="F107" s="387">
        <v>8</v>
      </c>
      <c r="G107" s="16">
        <f>'Dry_Litterbag Placem_Collection'!E34</f>
        <v>42936</v>
      </c>
      <c r="H107" t="str">
        <f>'Final data_for_R_analysis_Dryse'!J33</f>
        <v>G193</v>
      </c>
      <c r="I107" t="str">
        <f>'Final data_for_R_analysis_Dryse'!J253</f>
        <v>R743</v>
      </c>
      <c r="J107">
        <f>IFERROR(INDEX('Green_rooibos initial weight'!$C$5:$C$1749,MATCH(H107, 'Green_rooibos initial weight'!$A$5:$A$1749,0)),"")</f>
        <v>2.177</v>
      </c>
      <c r="K107">
        <f>IFERROR(INDEX('Green_rooibos initial weight'!$C$5:$C$1749,MATCH(I107, 'Green_rooibos initial weight'!$A$5:$A$1749,0)),"")</f>
        <v>2.2480000000000002</v>
      </c>
      <c r="L107" s="195">
        <f t="shared" si="5"/>
        <v>1.9272</v>
      </c>
      <c r="M107" s="240">
        <f>AVERAGE(Ashed_controlls!$K$1:$K$11)</f>
        <v>5.5147656768714146</v>
      </c>
      <c r="N107" s="195">
        <f t="shared" si="0"/>
        <v>1.8209194358753342</v>
      </c>
      <c r="O107" s="195">
        <f t="shared" si="6"/>
        <v>1.9982000000000002</v>
      </c>
      <c r="P107" s="240">
        <f>AVERAGE(Ashed_controlls!$K$12:$K$14)</f>
        <v>2.2816647271287041</v>
      </c>
      <c r="Q107" s="195">
        <f t="shared" si="1"/>
        <v>1.9526077754225144</v>
      </c>
      <c r="R107" s="16">
        <f>IF('Dry_Litterbag Placem_Collection'!G34="N.A","",'Dry_Litterbag Placem_Collection'!G34)</f>
        <v>43007</v>
      </c>
      <c r="S107" s="195">
        <f>IF(IFERROR(INDEX('Both teabags AfterDry'!$D$1:$D$839,MATCH(H107,'Both teabags AfterDry'!$A$1:$A$839,0)),"")="N.A","",(IFERROR(INDEX('Both teabags AfterDry'!$D$1:$D$839,MATCH(H107,'Both teabags AfterDry'!$A$1:$A$839,0)),"")))</f>
        <v>1.8848</v>
      </c>
      <c r="T107" s="195">
        <f>IF(IFERROR(INDEX('Both teabags AfterDry'!$D$1:$D$839,MATCH(I107,'Both teabags AfterDry'!$A$1:$A$839,0)),"")="N.A","",(IFERROR(INDEX('Both teabags AfterDry'!$D$1:$D$839,MATCH(I107,'Both teabags AfterDry'!$A$1:$A$839,0)),"")))</f>
        <v>1.9944999999999999</v>
      </c>
      <c r="U107" s="195">
        <f t="shared" si="7"/>
        <v>1.7342</v>
      </c>
      <c r="V107" s="195">
        <f t="shared" si="7"/>
        <v>1.8438999999999999</v>
      </c>
      <c r="W107" s="195">
        <f>IFERROR(INDEX('Ashed teabags dry'!$K$2:$K$821,MATCH(H107,'Ashed teabags dry'!$A$2:$A$821,0)),"")</f>
        <v>6.5004452359746852</v>
      </c>
      <c r="X107" s="195">
        <f>IFERROR(INDEX('Ashed teabags dry'!$K$2:$K$821,MATCH(I107,'Ashed teabags dry'!$A$2:$A$821,0)),"")</f>
        <v>3.3151904997520401</v>
      </c>
      <c r="Y107" s="195">
        <f t="shared" si="2"/>
        <v>1.6214692787177269</v>
      </c>
      <c r="Z107" s="195">
        <f t="shared" si="2"/>
        <v>1.7827712023750719</v>
      </c>
      <c r="AA107" s="195">
        <f t="shared" si="8"/>
        <v>0.10953266422889796</v>
      </c>
      <c r="AB107" s="195">
        <f t="shared" si="9"/>
        <v>7.1807637356712195E-2</v>
      </c>
      <c r="AC107" s="195">
        <f t="shared" si="3"/>
        <v>0.91302064081420942</v>
      </c>
      <c r="AD107">
        <f t="shared" si="4"/>
        <v>71</v>
      </c>
      <c r="AE107" s="195">
        <f t="shared" si="10"/>
        <v>0.86991370044073879</v>
      </c>
      <c r="AF107" s="195" t="str">
        <f t="shared" si="11"/>
        <v/>
      </c>
      <c r="AG107" s="255" t="str">
        <f>IF(ISNUMBER(SEARCH("C", 'Dry_Litterbag Placem_Collection'!AB34)),"YES","NO")</f>
        <v>NO</v>
      </c>
      <c r="AH107" s="255" t="str">
        <f>IF(ISNUMBER(SEARCH("H", 'Dry_Litterbag Placem_Collection'!AB34)),"YES","NO")</f>
        <v>NO</v>
      </c>
      <c r="AI107" s="255" t="str">
        <f>IF(ISNUMBER(SEARCH("R", 'Dry_Litterbag Placem_Collection'!AB34)),"YES","NO")</f>
        <v>NO</v>
      </c>
      <c r="AJ107" s="255" t="str">
        <f>IF(ISNUMBER(SEARCH("C", 'Dry_Litterbag Placem_Collection'!AA34)),"YES","NO")</f>
        <v>NO</v>
      </c>
      <c r="AK107" s="255" t="str">
        <f>IF(ISNUMBER(SEARCH("H", 'Dry_Litterbag Placem_Collection'!AA34)),"YES","NO")</f>
        <v>NO</v>
      </c>
      <c r="AL107" s="255" t="str">
        <f>IF(ISNUMBER(SEARCH("R", 'Dry_Litterbag Placem_Collection'!AA34)),"YES","NO")</f>
        <v>NO</v>
      </c>
      <c r="AR107" t="s">
        <v>1857</v>
      </c>
      <c r="AT107" t="s">
        <v>396</v>
      </c>
    </row>
    <row r="108" spans="2:46">
      <c r="B108" t="str">
        <f>'Final data_for_R_analysis_Dryse'!A34</f>
        <v>Dry</v>
      </c>
      <c r="C108" s="263">
        <f>'Final data_for_R_analysis_Dryse'!B34</f>
        <v>33</v>
      </c>
      <c r="D108" t="s">
        <v>3831</v>
      </c>
      <c r="E108" t="s">
        <v>22</v>
      </c>
      <c r="F108" s="386">
        <v>1</v>
      </c>
      <c r="G108" s="16">
        <f>'Dry_Litterbag Placem_Collection'!E35</f>
        <v>42938</v>
      </c>
      <c r="H108" t="str">
        <f>'Final data_for_R_analysis_Dryse'!J34</f>
        <v>G218</v>
      </c>
      <c r="I108" t="str">
        <f>'Final data_for_R_analysis_Dryse'!J254</f>
        <v>R769</v>
      </c>
      <c r="J108">
        <f>IFERROR(INDEX('Green_rooibos initial weight'!$C$5:$C$1749,MATCH(H108, 'Green_rooibos initial weight'!$A$5:$A$1749,0)),"")</f>
        <v>1.96</v>
      </c>
      <c r="K108">
        <f>IFERROR(INDEX('Green_rooibos initial weight'!$C$5:$C$1749,MATCH(I108, 'Green_rooibos initial weight'!$A$5:$A$1749,0)),"")</f>
        <v>2.2480000000000002</v>
      </c>
      <c r="L108" s="195">
        <f t="shared" si="5"/>
        <v>1.7101999999999999</v>
      </c>
      <c r="M108" s="240">
        <f>AVERAGE(Ashed_controlls!$K$1:$K$11)</f>
        <v>5.5147656768714146</v>
      </c>
      <c r="N108" s="195">
        <f t="shared" si="0"/>
        <v>1.615886477394145</v>
      </c>
      <c r="O108" s="195">
        <f t="shared" si="6"/>
        <v>1.9982000000000002</v>
      </c>
      <c r="P108" s="240">
        <f>AVERAGE(Ashed_controlls!$K$12:$K$14)</f>
        <v>2.2816647271287041</v>
      </c>
      <c r="Q108" s="195">
        <f t="shared" si="1"/>
        <v>1.9526077754225144</v>
      </c>
      <c r="R108" s="16">
        <f>IF('Dry_Litterbag Placem_Collection'!G35="N.A","",'Dry_Litterbag Placem_Collection'!G35)</f>
        <v>43005</v>
      </c>
      <c r="S108" s="195">
        <f>IF(IFERROR(INDEX('Both teabags AfterDry'!$D$1:$D$839,MATCH(H108,'Both teabags AfterDry'!$A$1:$A$839,0)),"")="N.A","",(IFERROR(INDEX('Both teabags AfterDry'!$D$1:$D$839,MATCH(H108,'Both teabags AfterDry'!$A$1:$A$839,0)),"")))</f>
        <v>1.7766</v>
      </c>
      <c r="T108" s="195">
        <f>IF(IFERROR(INDEX('Both teabags AfterDry'!$D$1:$D$839,MATCH(I108,'Both teabags AfterDry'!$A$1:$A$839,0)),"")="N.A","",(IFERROR(INDEX('Both teabags AfterDry'!$D$1:$D$839,MATCH(I108,'Both teabags AfterDry'!$A$1:$A$839,0)),"")))</f>
        <v>1.9911000000000001</v>
      </c>
      <c r="U108" s="195">
        <f t="shared" si="7"/>
        <v>1.6259999999999999</v>
      </c>
      <c r="V108" s="195">
        <f t="shared" si="7"/>
        <v>1.8405</v>
      </c>
      <c r="W108" s="195">
        <f>IFERROR(INDEX('Ashed teabags dry'!$K$2:$K$821,MATCH(H108,'Ashed teabags dry'!$A$2:$A$821,0)),"")</f>
        <v>5.8311575282857895</v>
      </c>
      <c r="X108" s="195">
        <f>IFERROR(INDEX('Ashed teabags dry'!$K$2:$K$821,MATCH(I108,'Ashed teabags dry'!$A$2:$A$821,0)),"")</f>
        <v>2.7544351073765245</v>
      </c>
      <c r="Y108" s="195">
        <f t="shared" si="2"/>
        <v>1.5311853785900729</v>
      </c>
      <c r="Z108" s="195">
        <f t="shared" si="2"/>
        <v>1.7898046218487351</v>
      </c>
      <c r="AA108" s="195">
        <f t="shared" si="8"/>
        <v>5.2417728589860602E-2</v>
      </c>
      <c r="AB108" s="195">
        <f t="shared" si="9"/>
        <v>3.4364116605229277E-2</v>
      </c>
      <c r="AC108" s="195">
        <f t="shared" si="3"/>
        <v>0.91662270547982883</v>
      </c>
      <c r="AD108">
        <f t="shared" si="4"/>
        <v>67</v>
      </c>
      <c r="AE108" s="195">
        <f t="shared" si="10"/>
        <v>0.93774616557023682</v>
      </c>
      <c r="AF108" s="195" t="str">
        <f t="shared" si="11"/>
        <v/>
      </c>
      <c r="AG108" s="255" t="str">
        <f>IF(ISNUMBER(SEARCH("C", 'Dry_Litterbag Placem_Collection'!AB35)),"YES","NO")</f>
        <v>NO</v>
      </c>
      <c r="AH108" s="255" t="str">
        <f>IF(ISNUMBER(SEARCH("H", 'Dry_Litterbag Placem_Collection'!AB35)),"YES","NO")</f>
        <v>NO</v>
      </c>
      <c r="AI108" s="255" t="str">
        <f>IF(ISNUMBER(SEARCH("R", 'Dry_Litterbag Placem_Collection'!AB35)),"YES","NO")</f>
        <v>NO</v>
      </c>
      <c r="AJ108" s="255" t="str">
        <f>IF(ISNUMBER(SEARCH("C", 'Dry_Litterbag Placem_Collection'!AA35)),"YES","NO")</f>
        <v>NO</v>
      </c>
      <c r="AK108" s="255" t="str">
        <f>IF(ISNUMBER(SEARCH("H", 'Dry_Litterbag Placem_Collection'!AA35)),"YES","NO")</f>
        <v>NO</v>
      </c>
      <c r="AL108" s="255" t="str">
        <f>IF(ISNUMBER(SEARCH("R", 'Dry_Litterbag Placem_Collection'!AA35)),"YES","NO")</f>
        <v>NO</v>
      </c>
      <c r="AR108" t="s">
        <v>1832</v>
      </c>
      <c r="AT108" t="s">
        <v>370</v>
      </c>
    </row>
    <row r="109" spans="2:46">
      <c r="B109" t="str">
        <f>'Final data_for_R_analysis_Dryse'!A35</f>
        <v>Dry</v>
      </c>
      <c r="C109" s="263">
        <f>'Final data_for_R_analysis_Dryse'!B35</f>
        <v>34</v>
      </c>
      <c r="D109" t="s">
        <v>3831</v>
      </c>
      <c r="E109" t="s">
        <v>22</v>
      </c>
      <c r="F109" s="386">
        <v>2</v>
      </c>
      <c r="G109" s="16">
        <f>'Dry_Litterbag Placem_Collection'!E36</f>
        <v>42938</v>
      </c>
      <c r="H109" t="str">
        <f>'Final data_for_R_analysis_Dryse'!J35</f>
        <v>G104</v>
      </c>
      <c r="I109" t="str">
        <f>'Final data_for_R_analysis_Dryse'!J255</f>
        <v>R753</v>
      </c>
      <c r="J109">
        <f>IFERROR(INDEX('Green_rooibos initial weight'!$C$5:$C$1749,MATCH(H109, 'Green_rooibos initial weight'!$A$5:$A$1749,0)),"")</f>
        <v>2.0259999999999998</v>
      </c>
      <c r="K109">
        <f>IFERROR(INDEX('Green_rooibos initial weight'!$C$5:$C$1749,MATCH(I109, 'Green_rooibos initial weight'!$A$5:$A$1749,0)),"")</f>
        <v>2.2400000000000002</v>
      </c>
      <c r="L109" s="195">
        <f t="shared" si="5"/>
        <v>1.7761999999999998</v>
      </c>
      <c r="M109" s="240">
        <f>AVERAGE(Ashed_controlls!$K$1:$K$11)</f>
        <v>5.5147656768714146</v>
      </c>
      <c r="N109" s="195">
        <f t="shared" si="0"/>
        <v>1.6782467320474097</v>
      </c>
      <c r="O109" s="195">
        <f t="shared" si="6"/>
        <v>1.9902000000000002</v>
      </c>
      <c r="P109" s="240">
        <f>AVERAGE(Ashed_controlls!$K$12:$K$14)</f>
        <v>2.2816647271287041</v>
      </c>
      <c r="Q109" s="195">
        <f t="shared" si="1"/>
        <v>1.9447903086006848</v>
      </c>
      <c r="R109" s="16">
        <f>IF('Dry_Litterbag Placem_Collection'!G36="N.A","",'Dry_Litterbag Placem_Collection'!G36)</f>
        <v>43005</v>
      </c>
      <c r="S109" s="195" t="str">
        <f>IF(IFERROR(INDEX('Both teabags AfterDry'!$D$1:$D$839,MATCH(H109,'Both teabags AfterDry'!$A$1:$A$839,0)),"")="N.A","",(IFERROR(INDEX('Both teabags AfterDry'!$D$1:$D$839,MATCH(H109,'Both teabags AfterDry'!$A$1:$A$839,0)),"")))</f>
        <v/>
      </c>
      <c r="T109" s="195" t="str">
        <f>IF(IFERROR(INDEX('Both teabags AfterDry'!$D$1:$D$839,MATCH(I109,'Both teabags AfterDry'!$A$1:$A$839,0)),"")="N.A","",(IFERROR(INDEX('Both teabags AfterDry'!$D$1:$D$839,MATCH(I109,'Both teabags AfterDry'!$A$1:$A$839,0)),"")))</f>
        <v/>
      </c>
      <c r="U109" s="195" t="str">
        <f t="shared" si="7"/>
        <v/>
      </c>
      <c r="V109" s="195" t="str">
        <f t="shared" si="7"/>
        <v/>
      </c>
      <c r="W109" s="195" t="str">
        <f>IFERROR(INDEX('Ashed teabags dry'!$K$2:$K$821,MATCH(H109,'Ashed teabags dry'!$A$2:$A$821,0)),"")</f>
        <v/>
      </c>
      <c r="X109" s="195" t="str">
        <f>IFERROR(INDEX('Ashed teabags dry'!$K$2:$K$821,MATCH(I109,'Ashed teabags dry'!$A$2:$A$821,0)),"")</f>
        <v/>
      </c>
      <c r="Y109" s="195" t="str">
        <f t="shared" si="2"/>
        <v/>
      </c>
      <c r="Z109" s="195" t="str">
        <f t="shared" si="2"/>
        <v/>
      </c>
      <c r="AA109" s="195" t="str">
        <f t="shared" si="8"/>
        <v/>
      </c>
      <c r="AB109" s="195" t="str">
        <f t="shared" si="9"/>
        <v/>
      </c>
      <c r="AC109" s="195" t="str">
        <f t="shared" si="3"/>
        <v/>
      </c>
      <c r="AD109">
        <f t="shared" si="4"/>
        <v>67</v>
      </c>
      <c r="AE109" s="195" t="str">
        <f t="shared" si="10"/>
        <v/>
      </c>
      <c r="AF109" s="195" t="str">
        <f t="shared" si="11"/>
        <v/>
      </c>
      <c r="AG109" s="255" t="str">
        <f>IF(ISNUMBER(SEARCH("C", 'Dry_Litterbag Placem_Collection'!AB36)),"YES","NO")</f>
        <v>NO</v>
      </c>
      <c r="AH109" s="255" t="str">
        <f>IF(ISNUMBER(SEARCH("H", 'Dry_Litterbag Placem_Collection'!AB36)),"YES","NO")</f>
        <v>NO</v>
      </c>
      <c r="AI109" s="255" t="str">
        <f>IF(ISNUMBER(SEARCH("R", 'Dry_Litterbag Placem_Collection'!AB36)),"YES","NO")</f>
        <v>NO</v>
      </c>
      <c r="AJ109" s="255" t="str">
        <f>IF(ISNUMBER(SEARCH("C", 'Dry_Litterbag Placem_Collection'!AA36)),"YES","NO")</f>
        <v>NO</v>
      </c>
      <c r="AK109" s="255" t="str">
        <f>IF(ISNUMBER(SEARCH("H", 'Dry_Litterbag Placem_Collection'!AA36)),"YES","NO")</f>
        <v>NO</v>
      </c>
      <c r="AL109" s="255" t="str">
        <f>IF(ISNUMBER(SEARCH("R", 'Dry_Litterbag Placem_Collection'!AA36)),"YES","NO")</f>
        <v>NO</v>
      </c>
      <c r="AR109" t="s">
        <v>1946</v>
      </c>
      <c r="AT109" t="s">
        <v>386</v>
      </c>
    </row>
    <row r="110" spans="2:46">
      <c r="B110" t="str">
        <f>'Final data_for_R_analysis_Dryse'!A36</f>
        <v>Dry</v>
      </c>
      <c r="C110" s="263">
        <f>'Final data_for_R_analysis_Dryse'!B36</f>
        <v>35</v>
      </c>
      <c r="D110" t="s">
        <v>3831</v>
      </c>
      <c r="E110" t="s">
        <v>22</v>
      </c>
      <c r="F110" s="386">
        <v>3</v>
      </c>
      <c r="G110" s="16">
        <f>'Dry_Litterbag Placem_Collection'!E37</f>
        <v>42938</v>
      </c>
      <c r="H110" t="str">
        <f>'Final data_for_R_analysis_Dryse'!J36</f>
        <v>G188</v>
      </c>
      <c r="I110" t="str">
        <f>'Final data_for_R_analysis_Dryse'!J256</f>
        <v>R776</v>
      </c>
      <c r="J110">
        <f>IFERROR(INDEX('Green_rooibos initial weight'!$C$5:$C$1749,MATCH(H110, 'Green_rooibos initial weight'!$A$5:$A$1749,0)),"")</f>
        <v>1.952</v>
      </c>
      <c r="K110">
        <f>IFERROR(INDEX('Green_rooibos initial weight'!$C$5:$C$1749,MATCH(I110, 'Green_rooibos initial weight'!$A$5:$A$1749,0)),"")</f>
        <v>2.1989999999999998</v>
      </c>
      <c r="L110" s="195">
        <f t="shared" si="5"/>
        <v>1.7021999999999999</v>
      </c>
      <c r="M110" s="240">
        <f>AVERAGE(Ashed_controlls!$K$1:$K$11)</f>
        <v>5.5147656768714146</v>
      </c>
      <c r="N110" s="195">
        <f t="shared" si="0"/>
        <v>1.6083276586482946</v>
      </c>
      <c r="O110" s="195">
        <f t="shared" si="6"/>
        <v>1.9491999999999998</v>
      </c>
      <c r="P110" s="240">
        <f>AVERAGE(Ashed_controlls!$K$12:$K$14)</f>
        <v>2.2816647271287041</v>
      </c>
      <c r="Q110" s="195">
        <f t="shared" si="1"/>
        <v>1.9047257911388071</v>
      </c>
      <c r="R110" s="16">
        <f>IF('Dry_Litterbag Placem_Collection'!G37="N.A","",'Dry_Litterbag Placem_Collection'!G37)</f>
        <v>43005</v>
      </c>
      <c r="S110" s="195">
        <f>IF(IFERROR(INDEX('Both teabags AfterDry'!$D$1:$D$839,MATCH(H110,'Both teabags AfterDry'!$A$1:$A$839,0)),"")="N.A","",(IFERROR(INDEX('Both teabags AfterDry'!$D$1:$D$839,MATCH(H110,'Both teabags AfterDry'!$A$1:$A$839,0)),"")))</f>
        <v>1.7849999999999999</v>
      </c>
      <c r="T110" s="195">
        <f>IF(IFERROR(INDEX('Both teabags AfterDry'!$D$1:$D$839,MATCH(I110,'Both teabags AfterDry'!$A$1:$A$839,0)),"")="N.A","",(IFERROR(INDEX('Both teabags AfterDry'!$D$1:$D$839,MATCH(I110,'Both teabags AfterDry'!$A$1:$A$839,0)),"")))</f>
        <v>1.9447000000000001</v>
      </c>
      <c r="U110" s="195">
        <f t="shared" si="7"/>
        <v>1.6343999999999999</v>
      </c>
      <c r="V110" s="195">
        <f t="shared" si="7"/>
        <v>1.7941</v>
      </c>
      <c r="W110" s="195">
        <f>IFERROR(INDEX('Ashed teabags dry'!$K$2:$K$821,MATCH(H110,'Ashed teabags dry'!$A$2:$A$821,0)),"")</f>
        <v>5.9055118110234908</v>
      </c>
      <c r="X110" s="195">
        <f>IFERROR(INDEX('Ashed teabags dry'!$K$2:$K$821,MATCH(I110,'Ashed teabags dry'!$A$2:$A$821,0)),"")</f>
        <v>3.3316506814742248</v>
      </c>
      <c r="Y110" s="195">
        <f t="shared" si="2"/>
        <v>1.5378803149606319</v>
      </c>
      <c r="Z110" s="195">
        <f t="shared" si="2"/>
        <v>1.734326855123671</v>
      </c>
      <c r="AA110" s="195">
        <f t="shared" si="8"/>
        <v>4.3801611760422965E-2</v>
      </c>
      <c r="AB110" s="195">
        <f t="shared" si="9"/>
        <v>2.8715545952201289E-2</v>
      </c>
      <c r="AC110" s="195">
        <f t="shared" si="3"/>
        <v>0.91053886244000659</v>
      </c>
      <c r="AD110">
        <f t="shared" si="4"/>
        <v>67</v>
      </c>
      <c r="AE110" s="195">
        <f t="shared" si="10"/>
        <v>0.94797908341992521</v>
      </c>
      <c r="AF110" s="195" t="str">
        <f t="shared" si="11"/>
        <v/>
      </c>
      <c r="AG110" s="255" t="str">
        <f>IF(ISNUMBER(SEARCH("C", 'Dry_Litterbag Placem_Collection'!AB37)),"YES","NO")</f>
        <v>NO</v>
      </c>
      <c r="AH110" s="255" t="str">
        <f>IF(ISNUMBER(SEARCH("H", 'Dry_Litterbag Placem_Collection'!AB37)),"YES","NO")</f>
        <v>NO</v>
      </c>
      <c r="AI110" s="255" t="str">
        <f>IF(ISNUMBER(SEARCH("R", 'Dry_Litterbag Placem_Collection'!AB37)),"YES","NO")</f>
        <v>NO</v>
      </c>
      <c r="AJ110" s="255" t="str">
        <f>IF(ISNUMBER(SEARCH("C", 'Dry_Litterbag Placem_Collection'!AA37)),"YES","NO")</f>
        <v>NO</v>
      </c>
      <c r="AK110" s="255" t="str">
        <f>IF(ISNUMBER(SEARCH("H", 'Dry_Litterbag Placem_Collection'!AA37)),"YES","NO")</f>
        <v>NO</v>
      </c>
      <c r="AL110" s="255" t="str">
        <f>IF(ISNUMBER(SEARCH("R", 'Dry_Litterbag Placem_Collection'!AA37)),"YES","NO")</f>
        <v>NO</v>
      </c>
      <c r="AR110" t="s">
        <v>1862</v>
      </c>
      <c r="AT110" t="s">
        <v>363</v>
      </c>
    </row>
    <row r="111" spans="2:46">
      <c r="B111" t="str">
        <f>'Final data_for_R_analysis_Dryse'!A37</f>
        <v>Dry</v>
      </c>
      <c r="C111" s="263">
        <f>'Final data_for_R_analysis_Dryse'!B37</f>
        <v>36</v>
      </c>
      <c r="D111" t="s">
        <v>3831</v>
      </c>
      <c r="E111" t="s">
        <v>22</v>
      </c>
      <c r="F111" s="387">
        <v>4</v>
      </c>
      <c r="G111" s="16">
        <f>'Dry_Litterbag Placem_Collection'!E38</f>
        <v>42938</v>
      </c>
      <c r="H111" t="str">
        <f>'Final data_for_R_analysis_Dryse'!J37</f>
        <v>G379</v>
      </c>
      <c r="I111" t="str">
        <f>'Final data_for_R_analysis_Dryse'!J257</f>
        <v>R799</v>
      </c>
      <c r="J111">
        <f>IFERROR(INDEX('Green_rooibos initial weight'!$C$5:$C$1749,MATCH(H111, 'Green_rooibos initial weight'!$A$5:$A$1749,0)),"")</f>
        <v>2.052</v>
      </c>
      <c r="K111">
        <f>IFERROR(INDEX('Green_rooibos initial weight'!$C$5:$C$1749,MATCH(I111, 'Green_rooibos initial weight'!$A$5:$A$1749,0)),"")</f>
        <v>2.2040000000000002</v>
      </c>
      <c r="L111" s="195">
        <f t="shared" si="5"/>
        <v>1.8022</v>
      </c>
      <c r="M111" s="240">
        <f>AVERAGE(Ashed_controlls!$K$1:$K$11)</f>
        <v>5.5147656768714146</v>
      </c>
      <c r="N111" s="195">
        <f t="shared" si="0"/>
        <v>1.7028128929714235</v>
      </c>
      <c r="O111" s="195">
        <f t="shared" si="6"/>
        <v>1.9542000000000002</v>
      </c>
      <c r="P111" s="240">
        <f>AVERAGE(Ashed_controlls!$K$12:$K$14)</f>
        <v>2.2816647271287041</v>
      </c>
      <c r="Q111" s="195">
        <f t="shared" si="1"/>
        <v>1.909611707902451</v>
      </c>
      <c r="R111" s="16">
        <f>IF('Dry_Litterbag Placem_Collection'!G38="N.A","",'Dry_Litterbag Placem_Collection'!G38)</f>
        <v>43005</v>
      </c>
      <c r="S111" s="195">
        <f>IF(IFERROR(INDEX('Both teabags AfterDry'!$D$1:$D$839,MATCH(H111,'Both teabags AfterDry'!$A$1:$A$839,0)),"")="N.A","",(IFERROR(INDEX('Both teabags AfterDry'!$D$1:$D$839,MATCH(H111,'Both teabags AfterDry'!$A$1:$A$839,0)),"")))</f>
        <v>1.65</v>
      </c>
      <c r="T111" s="195">
        <f>IF(IFERROR(INDEX('Both teabags AfterDry'!$D$1:$D$839,MATCH(I111,'Both teabags AfterDry'!$A$1:$A$839,0)),"")="N.A","",(IFERROR(INDEX('Both teabags AfterDry'!$D$1:$D$839,MATCH(I111,'Both teabags AfterDry'!$A$1:$A$839,0)),"")))</f>
        <v>1.3494999999999999</v>
      </c>
      <c r="U111" s="195">
        <f t="shared" si="7"/>
        <v>1.4993999999999998</v>
      </c>
      <c r="V111" s="195">
        <f t="shared" si="7"/>
        <v>1.1988999999999999</v>
      </c>
      <c r="W111" s="195">
        <f>IFERROR(INDEX('Ashed teabags dry'!$K$2:$K$821,MATCH(H111,'Ashed teabags dry'!$A$2:$A$821,0)),"")</f>
        <v>8.6725663716812598</v>
      </c>
      <c r="X111" s="195">
        <f>IFERROR(INDEX('Ashed teabags dry'!$K$2:$K$821,MATCH(I111,'Ashed teabags dry'!$A$2:$A$821,0)),"")</f>
        <v>96.616541353382999</v>
      </c>
      <c r="Y111" s="195">
        <f t="shared" si="2"/>
        <v>1.3693635398230111</v>
      </c>
      <c r="Z111" s="195">
        <f t="shared" si="2"/>
        <v>4.0564285714291159E-2</v>
      </c>
      <c r="AA111" s="195">
        <f t="shared" si="8"/>
        <v>0.19582266174091523</v>
      </c>
      <c r="AB111" s="195">
        <f t="shared" si="9"/>
        <v>0.12837780199641949</v>
      </c>
      <c r="AC111" s="195">
        <f t="shared" si="3"/>
        <v>2.1242164334469672E-2</v>
      </c>
      <c r="AD111">
        <f t="shared" si="4"/>
        <v>67</v>
      </c>
      <c r="AE111" s="195">
        <f t="shared" si="10"/>
        <v>0.76743151812242849</v>
      </c>
      <c r="AF111" s="195" t="str">
        <f t="shared" si="11"/>
        <v/>
      </c>
      <c r="AG111" s="255" t="str">
        <f>IF(ISNUMBER(SEARCH("C", 'Dry_Litterbag Placem_Collection'!AB38)),"YES","NO")</f>
        <v>NO</v>
      </c>
      <c r="AH111" s="255" t="str">
        <f>IF(ISNUMBER(SEARCH("H", 'Dry_Litterbag Placem_Collection'!AB38)),"YES","NO")</f>
        <v>NO</v>
      </c>
      <c r="AI111" s="255" t="str">
        <f>IF(ISNUMBER(SEARCH("R", 'Dry_Litterbag Placem_Collection'!AB38)),"YES","NO")</f>
        <v>NO</v>
      </c>
      <c r="AJ111" s="255" t="str">
        <f>IF(ISNUMBER(SEARCH("C", 'Dry_Litterbag Placem_Collection'!AA38)),"YES","NO")</f>
        <v>NO</v>
      </c>
      <c r="AK111" s="255" t="str">
        <f>IF(ISNUMBER(SEARCH("H", 'Dry_Litterbag Placem_Collection'!AA38)),"YES","NO")</f>
        <v>NO</v>
      </c>
      <c r="AL111" s="255" t="str">
        <f>IF(ISNUMBER(SEARCH("R", 'Dry_Litterbag Placem_Collection'!AA38)),"YES","NO")</f>
        <v>NO</v>
      </c>
      <c r="AR111" t="s">
        <v>1671</v>
      </c>
      <c r="AT111" t="s">
        <v>340</v>
      </c>
    </row>
    <row r="112" spans="2:46">
      <c r="B112" t="str">
        <f>'Final data_for_R_analysis_Dryse'!A38</f>
        <v>Dry</v>
      </c>
      <c r="C112" s="263">
        <f>'Final data_for_R_analysis_Dryse'!B38</f>
        <v>37</v>
      </c>
      <c r="D112" t="s">
        <v>3831</v>
      </c>
      <c r="E112" t="s">
        <v>22</v>
      </c>
      <c r="F112" s="387">
        <v>5</v>
      </c>
      <c r="G112" s="16">
        <f>'Dry_Litterbag Placem_Collection'!E39</f>
        <v>42938</v>
      </c>
      <c r="H112" t="str">
        <f>'Final data_for_R_analysis_Dryse'!J38</f>
        <v>G66</v>
      </c>
      <c r="I112" t="str">
        <f>'Final data_for_R_analysis_Dryse'!J258</f>
        <v>R722</v>
      </c>
      <c r="J112">
        <f>IFERROR(INDEX('Green_rooibos initial weight'!$C$5:$C$1749,MATCH(H112, 'Green_rooibos initial weight'!$A$5:$A$1749,0)),"")</f>
        <v>1.9490000000000001</v>
      </c>
      <c r="K112">
        <f>IFERROR(INDEX('Green_rooibos initial weight'!$C$5:$C$1749,MATCH(I112, 'Green_rooibos initial weight'!$A$5:$A$1749,0)),"")</f>
        <v>2.2069999999999999</v>
      </c>
      <c r="L112" s="195">
        <f t="shared" si="5"/>
        <v>1.6992</v>
      </c>
      <c r="M112" s="240">
        <f>AVERAGE(Ashed_controlls!$K$1:$K$11)</f>
        <v>5.5147656768714146</v>
      </c>
      <c r="N112" s="195">
        <f t="shared" si="0"/>
        <v>1.6054931016186009</v>
      </c>
      <c r="O112" s="195">
        <f t="shared" si="6"/>
        <v>1.9571999999999998</v>
      </c>
      <c r="P112" s="240">
        <f>AVERAGE(Ashed_controlls!$K$12:$K$14)</f>
        <v>2.2816647271287041</v>
      </c>
      <c r="Q112" s="195">
        <f t="shared" si="1"/>
        <v>1.9125432579606367</v>
      </c>
      <c r="R112" s="16">
        <f>IF('Dry_Litterbag Placem_Collection'!G39="N.A","",'Dry_Litterbag Placem_Collection'!G39)</f>
        <v>43005</v>
      </c>
      <c r="S112" s="195">
        <f>IF(IFERROR(INDEX('Both teabags AfterDry'!$D$1:$D$839,MATCH(H112,'Both teabags AfterDry'!$A$1:$A$839,0)),"")="N.A","",(IFERROR(INDEX('Both teabags AfterDry'!$D$1:$D$839,MATCH(H112,'Both teabags AfterDry'!$A$1:$A$839,0)),"")))</f>
        <v>3.3298000000000001</v>
      </c>
      <c r="T112" s="195">
        <f>IF(IFERROR(INDEX('Both teabags AfterDry'!$D$1:$D$839,MATCH(I112,'Both teabags AfterDry'!$A$1:$A$839,0)),"")="N.A","",(IFERROR(INDEX('Both teabags AfterDry'!$D$1:$D$839,MATCH(I112,'Both teabags AfterDry'!$A$1:$A$839,0)),"")))</f>
        <v>0.13320000000000001</v>
      </c>
      <c r="U112" s="195">
        <f t="shared" si="7"/>
        <v>3.1792000000000002</v>
      </c>
      <c r="V112" s="195">
        <f t="shared" si="7"/>
        <v>-1.7399999999999999E-2</v>
      </c>
      <c r="W112" s="195">
        <f>IFERROR(INDEX('Ashed teabags dry'!$K$2:$K$821,MATCH(H112,'Ashed teabags dry'!$A$2:$A$821,0)),"")</f>
        <v>73.511543134872284</v>
      </c>
      <c r="X112" s="195">
        <f>IFERROR(INDEX('Ashed teabags dry'!$K$2:$K$821,MATCH(I112,'Ashed teabags dry'!$A$2:$A$821,0)),"")</f>
        <v>96.545105566220045</v>
      </c>
      <c r="Y112" s="195">
        <f t="shared" si="2"/>
        <v>0.84212102065614047</v>
      </c>
      <c r="Z112" s="195">
        <f t="shared" si="2"/>
        <v>-6.0115163147771156E-4</v>
      </c>
      <c r="AA112" s="195">
        <f t="shared" si="8"/>
        <v>0.47547515476264324</v>
      </c>
      <c r="AB112" s="195">
        <f t="shared" si="9"/>
        <v>0.31171292806292056</v>
      </c>
      <c r="AC112" s="195">
        <f t="shared" si="3"/>
        <v>-3.1432054097365898E-4</v>
      </c>
      <c r="AD112">
        <f t="shared" si="4"/>
        <v>67</v>
      </c>
      <c r="AE112" s="195">
        <f t="shared" si="10"/>
        <v>0.43530266655268024</v>
      </c>
      <c r="AF112" s="195" t="str">
        <f t="shared" si="11"/>
        <v/>
      </c>
      <c r="AG112" s="255" t="str">
        <f>IF(ISNUMBER(SEARCH("C", 'Dry_Litterbag Placem_Collection'!AB39)),"YES","NO")</f>
        <v>NO</v>
      </c>
      <c r="AH112" s="255" t="str">
        <f>IF(ISNUMBER(SEARCH("H", 'Dry_Litterbag Placem_Collection'!AB39)),"YES","NO")</f>
        <v>NO</v>
      </c>
      <c r="AI112" s="255" t="str">
        <f>IF(ISNUMBER(SEARCH("R", 'Dry_Litterbag Placem_Collection'!AB39)),"YES","NO")</f>
        <v>NO</v>
      </c>
      <c r="AJ112" s="255" t="str">
        <f>IF(ISNUMBER(SEARCH("C", 'Dry_Litterbag Placem_Collection'!AA39)),"YES","NO")</f>
        <v>NO</v>
      </c>
      <c r="AK112" s="255" t="str">
        <f>IF(ISNUMBER(SEARCH("H", 'Dry_Litterbag Placem_Collection'!AA39)),"YES","NO")</f>
        <v>NO</v>
      </c>
      <c r="AL112" s="255" t="str">
        <f>IF(ISNUMBER(SEARCH("R", 'Dry_Litterbag Placem_Collection'!AA39)),"YES","NO")</f>
        <v>NO</v>
      </c>
      <c r="AR112" t="s">
        <v>1984</v>
      </c>
      <c r="AT112" t="s">
        <v>417</v>
      </c>
    </row>
    <row r="113" spans="2:46">
      <c r="B113" t="str">
        <f>'Final data_for_R_analysis_Dryse'!A39</f>
        <v>Dry</v>
      </c>
      <c r="C113" s="263">
        <f>'Final data_for_R_analysis_Dryse'!B39</f>
        <v>38</v>
      </c>
      <c r="D113" t="s">
        <v>3831</v>
      </c>
      <c r="E113" t="s">
        <v>22</v>
      </c>
      <c r="F113" s="387">
        <v>6</v>
      </c>
      <c r="G113" s="16">
        <f>'Dry_Litterbag Placem_Collection'!E40</f>
        <v>42938</v>
      </c>
      <c r="H113" t="str">
        <f>'Final data_for_R_analysis_Dryse'!J39</f>
        <v>G625</v>
      </c>
      <c r="I113" t="str">
        <f>'Final data_for_R_analysis_Dryse'!J259</f>
        <v>R796</v>
      </c>
      <c r="J113">
        <f>IFERROR(INDEX('Green_rooibos initial weight'!$C$5:$C$1749,MATCH(H113, 'Green_rooibos initial weight'!$A$5:$A$1749,0)),"")</f>
        <v>1.9650000000000001</v>
      </c>
      <c r="K113">
        <f>IFERROR(INDEX('Green_rooibos initial weight'!$C$5:$C$1749,MATCH(I113, 'Green_rooibos initial weight'!$A$5:$A$1749,0)),"")</f>
        <v>2.2360000000000002</v>
      </c>
      <c r="L113" s="195">
        <f t="shared" si="5"/>
        <v>1.7152000000000001</v>
      </c>
      <c r="M113" s="240">
        <f>AVERAGE(Ashed_controlls!$K$1:$K$11)</f>
        <v>5.5147656768714146</v>
      </c>
      <c r="N113" s="195">
        <f t="shared" si="0"/>
        <v>1.6206107391103015</v>
      </c>
      <c r="O113" s="195">
        <f t="shared" si="6"/>
        <v>1.9862000000000002</v>
      </c>
      <c r="P113" s="240">
        <f>AVERAGE(Ashed_controlls!$K$12:$K$14)</f>
        <v>2.2816647271287041</v>
      </c>
      <c r="Q113" s="195">
        <f t="shared" si="1"/>
        <v>1.9408815751897699</v>
      </c>
      <c r="R113" s="16">
        <f>IF('Dry_Litterbag Placem_Collection'!G40="N.A","",'Dry_Litterbag Placem_Collection'!G40)</f>
        <v>43005</v>
      </c>
      <c r="S113" s="195">
        <f>IF(IFERROR(INDEX('Both teabags AfterDry'!$D$1:$D$839,MATCH(H113,'Both teabags AfterDry'!$A$1:$A$839,0)),"")="N.A","",(IFERROR(INDEX('Both teabags AfterDry'!$D$1:$D$839,MATCH(H113,'Both teabags AfterDry'!$A$1:$A$839,0)),"")))</f>
        <v>1.8379000000000001</v>
      </c>
      <c r="T113" s="195">
        <f>IF(IFERROR(INDEX('Both teabags AfterDry'!$D$1:$D$839,MATCH(I113,'Both teabags AfterDry'!$A$1:$A$839,0)),"")="N.A","",(IFERROR(INDEX('Both teabags AfterDry'!$D$1:$D$839,MATCH(I113,'Both teabags AfterDry'!$A$1:$A$839,0)),"")))</f>
        <v>1.9076</v>
      </c>
      <c r="U113" s="195">
        <f t="shared" si="7"/>
        <v>1.6873</v>
      </c>
      <c r="V113" s="195">
        <f t="shared" si="7"/>
        <v>1.7569999999999999</v>
      </c>
      <c r="W113" s="195">
        <f>IFERROR(INDEX('Ashed teabags dry'!$K$2:$K$821,MATCH(H113,'Ashed teabags dry'!$A$2:$A$821,0)),"")</f>
        <v>9.99592003263969</v>
      </c>
      <c r="X113" s="195">
        <f>IFERROR(INDEX('Ashed teabags dry'!$K$2:$K$821,MATCH(I113,'Ashed teabags dry'!$A$2:$A$821,0)),"")</f>
        <v>4.810004810006216</v>
      </c>
      <c r="Y113" s="195">
        <f t="shared" si="2"/>
        <v>1.5186388412892706</v>
      </c>
      <c r="Z113" s="195">
        <f t="shared" si="2"/>
        <v>1.6724882154881906</v>
      </c>
      <c r="AA113" s="195">
        <f t="shared" si="8"/>
        <v>6.2921894419268432E-2</v>
      </c>
      <c r="AB113" s="195">
        <f t="shared" si="9"/>
        <v>4.1250458099092856E-2</v>
      </c>
      <c r="AC113" s="195">
        <f t="shared" si="3"/>
        <v>0.86171574652856542</v>
      </c>
      <c r="AD113">
        <f t="shared" si="4"/>
        <v>67</v>
      </c>
      <c r="AE113" s="195">
        <f t="shared" si="10"/>
        <v>0.92527090924077382</v>
      </c>
      <c r="AF113" s="195" t="str">
        <f t="shared" si="11"/>
        <v/>
      </c>
      <c r="AG113" s="255" t="str">
        <f>IF(ISNUMBER(SEARCH("C", 'Dry_Litterbag Placem_Collection'!AB40)),"YES","NO")</f>
        <v>NO</v>
      </c>
      <c r="AH113" s="255" t="str">
        <f>IF(ISNUMBER(SEARCH("H", 'Dry_Litterbag Placem_Collection'!AB40)),"YES","NO")</f>
        <v>NO</v>
      </c>
      <c r="AI113" s="255" t="str">
        <f>IF(ISNUMBER(SEARCH("R", 'Dry_Litterbag Placem_Collection'!AB40)),"YES","NO")</f>
        <v>NO</v>
      </c>
      <c r="AJ113" s="255" t="str">
        <f>IF(ISNUMBER(SEARCH("C", 'Dry_Litterbag Placem_Collection'!AA40)),"YES","NO")</f>
        <v>NO</v>
      </c>
      <c r="AK113" s="255" t="str">
        <f>IF(ISNUMBER(SEARCH("H", 'Dry_Litterbag Placem_Collection'!AA40)),"YES","NO")</f>
        <v>NO</v>
      </c>
      <c r="AL113" s="255" t="str">
        <f>IF(ISNUMBER(SEARCH("R", 'Dry_Litterbag Placem_Collection'!AA40)),"YES","NO")</f>
        <v>NO</v>
      </c>
      <c r="AR113" t="s">
        <v>1425</v>
      </c>
      <c r="AT113" t="s">
        <v>343</v>
      </c>
    </row>
    <row r="114" spans="2:46">
      <c r="B114" t="str">
        <f>'Final data_for_R_analysis_Dryse'!A40</f>
        <v>Dry</v>
      </c>
      <c r="C114" s="263">
        <f>'Final data_for_R_analysis_Dryse'!B40</f>
        <v>39</v>
      </c>
      <c r="D114" t="s">
        <v>3831</v>
      </c>
      <c r="E114" t="s">
        <v>22</v>
      </c>
      <c r="F114" s="387">
        <v>7</v>
      </c>
      <c r="G114" s="16">
        <f>'Dry_Litterbag Placem_Collection'!E41</f>
        <v>42938</v>
      </c>
      <c r="H114" t="str">
        <f>'Final data_for_R_analysis_Dryse'!J40</f>
        <v/>
      </c>
      <c r="I114" t="str">
        <f>'Final data_for_R_analysis_Dryse'!J260</f>
        <v/>
      </c>
      <c r="J114" t="str">
        <f>IFERROR(INDEX('Green_rooibos initial weight'!$C$5:$C$1749,MATCH(H114, 'Green_rooibos initial weight'!$A$5:$A$1749,0)),"")</f>
        <v/>
      </c>
      <c r="K114" t="str">
        <f>IFERROR(INDEX('Green_rooibos initial weight'!$C$5:$C$1749,MATCH(I114, 'Green_rooibos initial weight'!$A$5:$A$1749,0)),"")</f>
        <v/>
      </c>
      <c r="L114" s="195" t="str">
        <f t="shared" si="5"/>
        <v/>
      </c>
      <c r="M114" s="240">
        <f>AVERAGE(Ashed_controlls!$K$1:$K$11)</f>
        <v>5.5147656768714146</v>
      </c>
      <c r="N114" s="195" t="str">
        <f t="shared" si="0"/>
        <v/>
      </c>
      <c r="O114" s="195" t="str">
        <f t="shared" si="6"/>
        <v/>
      </c>
      <c r="P114" s="240">
        <f>AVERAGE(Ashed_controlls!$K$12:$K$14)</f>
        <v>2.2816647271287041</v>
      </c>
      <c r="Q114" s="195" t="str">
        <f t="shared" si="1"/>
        <v/>
      </c>
      <c r="R114" s="16">
        <f>IF('Dry_Litterbag Placem_Collection'!G41="N.A","",'Dry_Litterbag Placem_Collection'!G41)</f>
        <v>0</v>
      </c>
      <c r="S114" s="195" t="str">
        <f>IF(IFERROR(INDEX('Both teabags AfterDry'!$D$1:$D$839,MATCH(H114,'Both teabags AfterDry'!$A$1:$A$839,0)),"")="N.A","",(IFERROR(INDEX('Both teabags AfterDry'!$D$1:$D$839,MATCH(H114,'Both teabags AfterDry'!$A$1:$A$839,0)),"")))</f>
        <v/>
      </c>
      <c r="T114" s="195" t="str">
        <f>IF(IFERROR(INDEX('Both teabags AfterDry'!$D$1:$D$839,MATCH(I114,'Both teabags AfterDry'!$A$1:$A$839,0)),"")="N.A","",(IFERROR(INDEX('Both teabags AfterDry'!$D$1:$D$839,MATCH(I114,'Both teabags AfterDry'!$A$1:$A$839,0)),"")))</f>
        <v/>
      </c>
      <c r="U114" s="195" t="str">
        <f t="shared" si="7"/>
        <v/>
      </c>
      <c r="V114" s="195" t="str">
        <f t="shared" si="7"/>
        <v/>
      </c>
      <c r="W114" s="195" t="str">
        <f>IFERROR(INDEX('Ashed teabags dry'!$K$2:$K$821,MATCH(H114,'Ashed teabags dry'!$A$2:$A$821,0)),"")</f>
        <v/>
      </c>
      <c r="X114" s="195" t="str">
        <f>IFERROR(INDEX('Ashed teabags dry'!$K$2:$K$821,MATCH(I114,'Ashed teabags dry'!$A$2:$A$821,0)),"")</f>
        <v/>
      </c>
      <c r="Y114" s="195" t="str">
        <f t="shared" si="2"/>
        <v/>
      </c>
      <c r="Z114" s="195" t="str">
        <f t="shared" si="2"/>
        <v/>
      </c>
      <c r="AA114" s="195" t="str">
        <f t="shared" si="8"/>
        <v/>
      </c>
      <c r="AB114" s="195" t="str">
        <f t="shared" si="9"/>
        <v/>
      </c>
      <c r="AC114" s="195" t="str">
        <f t="shared" si="3"/>
        <v/>
      </c>
      <c r="AD114" t="str">
        <f t="shared" si="4"/>
        <v/>
      </c>
      <c r="AE114" s="195" t="str">
        <f t="shared" si="10"/>
        <v/>
      </c>
      <c r="AF114" s="195" t="str">
        <f t="shared" si="11"/>
        <v/>
      </c>
      <c r="AG114" s="255" t="str">
        <f>IF(ISNUMBER(SEARCH("C", 'Dry_Litterbag Placem_Collection'!AB41)),"YES","NO")</f>
        <v>NO</v>
      </c>
      <c r="AH114" s="255" t="str">
        <f>IF(ISNUMBER(SEARCH("H", 'Dry_Litterbag Placem_Collection'!AB41)),"YES","NO")</f>
        <v>NO</v>
      </c>
      <c r="AI114" s="255" t="str">
        <f>IF(ISNUMBER(SEARCH("R", 'Dry_Litterbag Placem_Collection'!AB41)),"YES","NO")</f>
        <v>NO</v>
      </c>
      <c r="AJ114" s="255" t="str">
        <f>IF(ISNUMBER(SEARCH("C", 'Dry_Litterbag Placem_Collection'!AA41)),"YES","NO")</f>
        <v>NO</v>
      </c>
      <c r="AK114" s="255" t="str">
        <f>IF(ISNUMBER(SEARCH("H", 'Dry_Litterbag Placem_Collection'!AA41)),"YES","NO")</f>
        <v>NO</v>
      </c>
      <c r="AL114" s="255" t="str">
        <f>IF(ISNUMBER(SEARCH("R", 'Dry_Litterbag Placem_Collection'!AA41)),"YES","NO")</f>
        <v>NO</v>
      </c>
      <c r="AR114" t="s">
        <v>3654</v>
      </c>
      <c r="AT114" t="s">
        <v>3654</v>
      </c>
    </row>
    <row r="115" spans="2:46">
      <c r="B115" t="str">
        <f>'Final data_for_R_analysis_Dryse'!A41</f>
        <v>Dry</v>
      </c>
      <c r="C115" s="263">
        <f>'Final data_for_R_analysis_Dryse'!B41</f>
        <v>40</v>
      </c>
      <c r="D115" t="s">
        <v>3831</v>
      </c>
      <c r="E115" t="s">
        <v>22</v>
      </c>
      <c r="F115" s="387">
        <v>8</v>
      </c>
      <c r="G115" s="16">
        <f>'Dry_Litterbag Placem_Collection'!E42</f>
        <v>42938</v>
      </c>
      <c r="H115" t="str">
        <f>'Final data_for_R_analysis_Dryse'!J41</f>
        <v>G88</v>
      </c>
      <c r="I115" t="str">
        <f>'Final data_for_R_analysis_Dryse'!J261</f>
        <v>R782</v>
      </c>
      <c r="J115">
        <f>IFERROR(INDEX('Green_rooibos initial weight'!$C$5:$C$1749,MATCH(H115, 'Green_rooibos initial weight'!$A$5:$A$1749,0)),"")</f>
        <v>2.1549999999999998</v>
      </c>
      <c r="K115">
        <f>IFERROR(INDEX('Green_rooibos initial weight'!$C$5:$C$1749,MATCH(I115, 'Green_rooibos initial weight'!$A$5:$A$1749,0)),"")</f>
        <v>2.2410000000000001</v>
      </c>
      <c r="L115" s="195">
        <f t="shared" si="5"/>
        <v>1.9051999999999998</v>
      </c>
      <c r="M115" s="240">
        <f>AVERAGE(Ashed_controlls!$K$1:$K$11)</f>
        <v>5.5147656768714146</v>
      </c>
      <c r="N115" s="195">
        <f t="shared" si="0"/>
        <v>1.8001326843242456</v>
      </c>
      <c r="O115" s="195">
        <f t="shared" si="6"/>
        <v>1.9912000000000001</v>
      </c>
      <c r="P115" s="240">
        <f>AVERAGE(Ashed_controlls!$K$12:$K$14)</f>
        <v>2.2816647271287041</v>
      </c>
      <c r="Q115" s="195">
        <f t="shared" si="1"/>
        <v>1.9457674919534134</v>
      </c>
      <c r="R115" s="16">
        <f>IF('Dry_Litterbag Placem_Collection'!G42="N.A","",'Dry_Litterbag Placem_Collection'!G42)</f>
        <v>43005</v>
      </c>
      <c r="S115" s="195">
        <f>IF(IFERROR(INDEX('Both teabags AfterDry'!$D$1:$D$839,MATCH(H115,'Both teabags AfterDry'!$A$1:$A$839,0)),"")="N.A","",(IFERROR(INDEX('Both teabags AfterDry'!$D$1:$D$839,MATCH(H115,'Both teabags AfterDry'!$A$1:$A$839,0)),"")))</f>
        <v>1.9495</v>
      </c>
      <c r="T115" s="195">
        <f>IF(IFERROR(INDEX('Both teabags AfterDry'!$D$1:$D$839,MATCH(I115,'Both teabags AfterDry'!$A$1:$A$839,0)),"")="N.A","",(IFERROR(INDEX('Both teabags AfterDry'!$D$1:$D$839,MATCH(I115,'Both teabags AfterDry'!$A$1:$A$839,0)),"")))</f>
        <v>1.992</v>
      </c>
      <c r="U115" s="195">
        <f t="shared" si="7"/>
        <v>1.7988999999999999</v>
      </c>
      <c r="V115" s="195">
        <f t="shared" si="7"/>
        <v>1.8413999999999999</v>
      </c>
      <c r="W115" s="195">
        <f>IFERROR(INDEX('Ashed teabags dry'!$K$2:$K$821,MATCH(H115,'Ashed teabags dry'!$A$2:$A$821,0)),"")</f>
        <v>6.6945606694563358</v>
      </c>
      <c r="X115" s="195">
        <f>IFERROR(INDEX('Ashed teabags dry'!$K$2:$K$821,MATCH(I115,'Ashed teabags dry'!$A$2:$A$821,0)),"")</f>
        <v>3.5485460818134884</v>
      </c>
      <c r="Y115" s="195">
        <f t="shared" si="2"/>
        <v>1.6784715481171499</v>
      </c>
      <c r="Z115" s="195">
        <f t="shared" si="2"/>
        <v>1.7760570724494864</v>
      </c>
      <c r="AA115" s="195">
        <f t="shared" si="8"/>
        <v>6.7584538221284629E-2</v>
      </c>
      <c r="AB115" s="195">
        <f t="shared" si="9"/>
        <v>4.4307203204452646E-2</v>
      </c>
      <c r="AC115" s="195">
        <f t="shared" si="3"/>
        <v>0.91277970250517981</v>
      </c>
      <c r="AD115">
        <f t="shared" si="4"/>
        <v>67</v>
      </c>
      <c r="AE115" s="195">
        <f t="shared" si="10"/>
        <v>0.9197333275281655</v>
      </c>
      <c r="AF115" s="195" t="str">
        <f t="shared" si="11"/>
        <v/>
      </c>
      <c r="AG115" s="255" t="str">
        <f>IF(ISNUMBER(SEARCH("C", 'Dry_Litterbag Placem_Collection'!AB42)),"YES","NO")</f>
        <v>NO</v>
      </c>
      <c r="AH115" s="255" t="str">
        <f>IF(ISNUMBER(SEARCH("H", 'Dry_Litterbag Placem_Collection'!AB42)),"YES","NO")</f>
        <v>NO</v>
      </c>
      <c r="AI115" s="255" t="str">
        <f>IF(ISNUMBER(SEARCH("R", 'Dry_Litterbag Placem_Collection'!AB42)),"YES","NO")</f>
        <v>NO</v>
      </c>
      <c r="AJ115" s="255" t="str">
        <f>IF(ISNUMBER(SEARCH("C", 'Dry_Litterbag Placem_Collection'!AA42)),"YES","NO")</f>
        <v>NO</v>
      </c>
      <c r="AK115" s="255" t="str">
        <f>IF(ISNUMBER(SEARCH("H", 'Dry_Litterbag Placem_Collection'!AA42)),"YES","NO")</f>
        <v>NO</v>
      </c>
      <c r="AL115" s="255" t="str">
        <f>IF(ISNUMBER(SEARCH("R", 'Dry_Litterbag Placem_Collection'!AA42)),"YES","NO")</f>
        <v>NO</v>
      </c>
      <c r="AR115" t="s">
        <v>1962</v>
      </c>
      <c r="AT115" t="s">
        <v>357</v>
      </c>
    </row>
    <row r="116" spans="2:46">
      <c r="B116" t="str">
        <f>'Final data_for_R_analysis_Dryse'!A42</f>
        <v>Dry</v>
      </c>
      <c r="C116" s="263">
        <f>'Final data_for_R_analysis_Dryse'!B42</f>
        <v>41</v>
      </c>
      <c r="D116" t="s">
        <v>3833</v>
      </c>
      <c r="E116" t="s">
        <v>22</v>
      </c>
      <c r="F116" s="386">
        <v>1</v>
      </c>
      <c r="G116" s="16">
        <f>'Dry_Litterbag Placem_Collection'!E43</f>
        <v>42938</v>
      </c>
      <c r="H116" t="str">
        <f>'Final data_for_R_analysis_Dryse'!J42</f>
        <v>G256</v>
      </c>
      <c r="I116" t="str">
        <f>'Final data_for_R_analysis_Dryse'!J262</f>
        <v>R820</v>
      </c>
      <c r="J116">
        <f>IFERROR(INDEX('Green_rooibos initial weight'!$C$5:$C$1749,MATCH(H116, 'Green_rooibos initial weight'!$A$5:$A$1749,0)),"")</f>
        <v>2.11</v>
      </c>
      <c r="K116">
        <f>IFERROR(INDEX('Green_rooibos initial weight'!$C$5:$C$1749,MATCH(I116, 'Green_rooibos initial weight'!$A$5:$A$1749,0)),"")</f>
        <v>2.2170000000000001</v>
      </c>
      <c r="L116" s="195">
        <f t="shared" si="5"/>
        <v>1.8601999999999999</v>
      </c>
      <c r="M116" s="240">
        <f>AVERAGE(Ashed_controlls!$K$1:$K$11)</f>
        <v>5.5147656768714146</v>
      </c>
      <c r="N116" s="195">
        <f t="shared" si="0"/>
        <v>1.7576143288788377</v>
      </c>
      <c r="O116" s="195">
        <f t="shared" si="6"/>
        <v>1.9672000000000001</v>
      </c>
      <c r="P116" s="240">
        <f>AVERAGE(Ashed_controlls!$K$12:$K$14)</f>
        <v>2.2816647271287041</v>
      </c>
      <c r="Q116" s="195">
        <f t="shared" si="1"/>
        <v>1.9223150914879241</v>
      </c>
      <c r="R116" s="16">
        <f>IF('Dry_Litterbag Placem_Collection'!G43="N.A","",'Dry_Litterbag Placem_Collection'!G43)</f>
        <v>43005</v>
      </c>
      <c r="S116" s="195">
        <f>IF(IFERROR(INDEX('Both teabags AfterDry'!$D$1:$D$839,MATCH(H116,'Both teabags AfterDry'!$A$1:$A$839,0)),"")="N.A","",(IFERROR(INDEX('Both teabags AfterDry'!$D$1:$D$839,MATCH(H116,'Both teabags AfterDry'!$A$1:$A$839,0)),"")))</f>
        <v>1.6208</v>
      </c>
      <c r="T116" s="195">
        <f>IF(IFERROR(INDEX('Both teabags AfterDry'!$D$1:$D$839,MATCH(I116,'Both teabags AfterDry'!$A$1:$A$839,0)),"")="N.A","",(IFERROR(INDEX('Both teabags AfterDry'!$D$1:$D$839,MATCH(I116,'Both teabags AfterDry'!$A$1:$A$839,0)),"")))</f>
        <v>1.2708999999999999</v>
      </c>
      <c r="U116" s="195">
        <f t="shared" si="7"/>
        <v>1.4702</v>
      </c>
      <c r="V116" s="195">
        <f t="shared" si="7"/>
        <v>1.1202999999999999</v>
      </c>
      <c r="W116" s="195">
        <f>IFERROR(INDEX('Ashed teabags dry'!$K$2:$K$821,MATCH(H116,'Ashed teabags dry'!$A$2:$A$821,0)),"")</f>
        <v>6.3627730294394693</v>
      </c>
      <c r="X116" s="195">
        <f>IFERROR(INDEX('Ashed teabags dry'!$K$2:$K$821,MATCH(I116,'Ashed teabags dry'!$A$2:$A$821,0)),"")</f>
        <v>3.1920199501252777</v>
      </c>
      <c r="Y116" s="195">
        <f t="shared" si="2"/>
        <v>1.376654510921181</v>
      </c>
      <c r="Z116" s="195">
        <f t="shared" si="2"/>
        <v>1.0845398004987463</v>
      </c>
      <c r="AA116" s="195">
        <f t="shared" si="8"/>
        <v>0.21674824317156471</v>
      </c>
      <c r="AB116" s="195">
        <f t="shared" si="9"/>
        <v>0.14209623542838923</v>
      </c>
      <c r="AC116" s="195">
        <f t="shared" si="3"/>
        <v>0.5641841991987292</v>
      </c>
      <c r="AD116">
        <f t="shared" si="4"/>
        <v>67</v>
      </c>
      <c r="AE116" s="195">
        <f t="shared" si="10"/>
        <v>0.74257928364422243</v>
      </c>
      <c r="AF116" s="195" t="str">
        <f t="shared" si="11"/>
        <v/>
      </c>
      <c r="AG116" s="255" t="str">
        <f>IF(ISNUMBER(SEARCH("C", 'Dry_Litterbag Placem_Collection'!AB43)),"YES","NO")</f>
        <v>NO</v>
      </c>
      <c r="AH116" s="255" t="str">
        <f>IF(ISNUMBER(SEARCH("H", 'Dry_Litterbag Placem_Collection'!AB43)),"YES","NO")</f>
        <v>NO</v>
      </c>
      <c r="AI116" s="255" t="str">
        <f>IF(ISNUMBER(SEARCH("R", 'Dry_Litterbag Placem_Collection'!AB43)),"YES","NO")</f>
        <v>NO</v>
      </c>
      <c r="AJ116" s="255" t="str">
        <f>IF(ISNUMBER(SEARCH("C", 'Dry_Litterbag Placem_Collection'!AA43)),"YES","NO")</f>
        <v>NO</v>
      </c>
      <c r="AK116" s="255" t="str">
        <f>IF(ISNUMBER(SEARCH("H", 'Dry_Litterbag Placem_Collection'!AA43)),"YES","NO")</f>
        <v>NO</v>
      </c>
      <c r="AL116" s="255" t="str">
        <f>IF(ISNUMBER(SEARCH("R", 'Dry_Litterbag Placem_Collection'!AA43)),"YES","NO")</f>
        <v>NO</v>
      </c>
      <c r="AR116" t="s">
        <v>1794</v>
      </c>
      <c r="AT116" t="s">
        <v>319</v>
      </c>
    </row>
    <row r="117" spans="2:46">
      <c r="B117" t="str">
        <f>'Final data_for_R_analysis_Dryse'!A43</f>
        <v>Dry</v>
      </c>
      <c r="C117" s="263">
        <f>'Final data_for_R_analysis_Dryse'!B43</f>
        <v>42</v>
      </c>
      <c r="D117" t="s">
        <v>3833</v>
      </c>
      <c r="E117" t="s">
        <v>22</v>
      </c>
      <c r="F117" s="386">
        <v>2</v>
      </c>
      <c r="G117" s="16">
        <f>'Dry_Litterbag Placem_Collection'!E44</f>
        <v>42938</v>
      </c>
      <c r="H117" t="str">
        <f>'Final data_for_R_analysis_Dryse'!J43</f>
        <v>G341</v>
      </c>
      <c r="I117" t="str">
        <f>'Final data_for_R_analysis_Dryse'!J263</f>
        <v>R806</v>
      </c>
      <c r="J117">
        <f>IFERROR(INDEX('Green_rooibos initial weight'!$C$5:$C$1749,MATCH(H117, 'Green_rooibos initial weight'!$A$5:$A$1749,0)),"")</f>
        <v>1.954</v>
      </c>
      <c r="K117">
        <f>IFERROR(INDEX('Green_rooibos initial weight'!$C$5:$C$1749,MATCH(I117, 'Green_rooibos initial weight'!$A$5:$A$1749,0)),"")</f>
        <v>2.2389999999999999</v>
      </c>
      <c r="L117" s="195">
        <f t="shared" si="5"/>
        <v>1.7041999999999999</v>
      </c>
      <c r="M117" s="240">
        <f>AVERAGE(Ashed_controlls!$K$1:$K$11)</f>
        <v>5.5147656768714146</v>
      </c>
      <c r="N117" s="195">
        <f t="shared" si="0"/>
        <v>1.6102173633347574</v>
      </c>
      <c r="O117" s="195">
        <f t="shared" si="6"/>
        <v>1.9891999999999999</v>
      </c>
      <c r="P117" s="240">
        <f>AVERAGE(Ashed_controlls!$K$12:$K$14)</f>
        <v>2.2816647271287041</v>
      </c>
      <c r="Q117" s="195">
        <f t="shared" si="1"/>
        <v>1.9438131252479556</v>
      </c>
      <c r="R117" s="16">
        <f>IF('Dry_Litterbag Placem_Collection'!G44="N.A","",'Dry_Litterbag Placem_Collection'!G44)</f>
        <v>43005</v>
      </c>
      <c r="S117" s="195">
        <f>IF(IFERROR(INDEX('Both teabags AfterDry'!$D$1:$D$839,MATCH(H117,'Both teabags AfterDry'!$A$1:$A$839,0)),"")="N.A","",(IFERROR(INDEX('Both teabags AfterDry'!$D$1:$D$839,MATCH(H117,'Both teabags AfterDry'!$A$1:$A$839,0)),"")))</f>
        <v>1.7267999999999999</v>
      </c>
      <c r="T117" s="195">
        <f>IF(IFERROR(INDEX('Both teabags AfterDry'!$D$1:$D$839,MATCH(I117,'Both teabags AfterDry'!$A$1:$A$839,0)),"")="N.A","",(IFERROR(INDEX('Both teabags AfterDry'!$D$1:$D$839,MATCH(I117,'Both teabags AfterDry'!$A$1:$A$839,0)),"")))</f>
        <v>0.14760000000000001</v>
      </c>
      <c r="U117" s="195">
        <f t="shared" si="7"/>
        <v>1.5761999999999998</v>
      </c>
      <c r="V117" s="195">
        <f t="shared" si="7"/>
        <v>-3.0000000000000027E-3</v>
      </c>
      <c r="W117" s="195">
        <f>IFERROR(INDEX('Ashed teabags dry'!$K$2:$K$821,MATCH(H117,'Ashed teabags dry'!$A$2:$A$821,0)),"")</f>
        <v>7.1704594246447426</v>
      </c>
      <c r="X117" s="195">
        <f>IFERROR(INDEX('Ashed teabags dry'!$K$2:$K$821,MATCH(I117,'Ashed teabags dry'!$A$2:$A$821,0)),"")</f>
        <v>0</v>
      </c>
      <c r="Y117" s="195">
        <f t="shared" si="2"/>
        <v>1.4631792185487493</v>
      </c>
      <c r="Z117" s="195">
        <f t="shared" si="2"/>
        <v>-3.0000000000000027E-3</v>
      </c>
      <c r="AA117" s="195">
        <f t="shared" si="8"/>
        <v>9.1315711862336557E-2</v>
      </c>
      <c r="AB117" s="195">
        <f t="shared" si="9"/>
        <v>5.9864932242291925E-2</v>
      </c>
      <c r="AC117" s="195">
        <f t="shared" si="3"/>
        <v>-1.5433582380082543E-3</v>
      </c>
      <c r="AD117">
        <f t="shared" si="4"/>
        <v>67</v>
      </c>
      <c r="AE117" s="195">
        <f t="shared" si="10"/>
        <v>0.89154903579294942</v>
      </c>
      <c r="AF117" s="195" t="str">
        <f t="shared" si="11"/>
        <v/>
      </c>
      <c r="AG117" s="255" t="str">
        <f>IF(ISNUMBER(SEARCH("C", 'Dry_Litterbag Placem_Collection'!AB44)),"YES","NO")</f>
        <v>NO</v>
      </c>
      <c r="AH117" s="255" t="str">
        <f>IF(ISNUMBER(SEARCH("H", 'Dry_Litterbag Placem_Collection'!AB44)),"YES","NO")</f>
        <v>NO</v>
      </c>
      <c r="AI117" s="255" t="str">
        <f>IF(ISNUMBER(SEARCH("R", 'Dry_Litterbag Placem_Collection'!AB44)),"YES","NO")</f>
        <v>NO</v>
      </c>
      <c r="AJ117" s="255" t="str">
        <f>IF(ISNUMBER(SEARCH("C", 'Dry_Litterbag Placem_Collection'!AA44)),"YES","NO")</f>
        <v>NO</v>
      </c>
      <c r="AK117" s="255" t="str">
        <f>IF(ISNUMBER(SEARCH("H", 'Dry_Litterbag Placem_Collection'!AA44)),"YES","NO")</f>
        <v>NO</v>
      </c>
      <c r="AL117" s="255" t="str">
        <f>IF(ISNUMBER(SEARCH("R", 'Dry_Litterbag Placem_Collection'!AA44)),"YES","NO")</f>
        <v>NO</v>
      </c>
      <c r="AR117" t="s">
        <v>1709</v>
      </c>
      <c r="AT117" t="s">
        <v>333</v>
      </c>
    </row>
    <row r="118" spans="2:46">
      <c r="B118" t="str">
        <f>'Final data_for_R_analysis_Dryse'!A44</f>
        <v>Dry</v>
      </c>
      <c r="C118" s="263">
        <f>'Final data_for_R_analysis_Dryse'!B44</f>
        <v>43</v>
      </c>
      <c r="D118" t="s">
        <v>3833</v>
      </c>
      <c r="E118" t="s">
        <v>22</v>
      </c>
      <c r="F118" s="386">
        <v>3</v>
      </c>
      <c r="G118" s="16">
        <f>'Dry_Litterbag Placem_Collection'!E45</f>
        <v>42938</v>
      </c>
      <c r="H118" t="str">
        <f>'Final data_for_R_analysis_Dryse'!J44</f>
        <v>G246</v>
      </c>
      <c r="I118" t="str">
        <f>'Final data_for_R_analysis_Dryse'!J264</f>
        <v>R758</v>
      </c>
      <c r="J118">
        <f>IFERROR(INDEX('Green_rooibos initial weight'!$C$5:$C$1749,MATCH(H118, 'Green_rooibos initial weight'!$A$5:$A$1749,0)),"")</f>
        <v>2.1829999999999998</v>
      </c>
      <c r="K118">
        <f>IFERROR(INDEX('Green_rooibos initial weight'!$C$5:$C$1749,MATCH(I118, 'Green_rooibos initial weight'!$A$5:$A$1749,0)),"")</f>
        <v>2.2200000000000002</v>
      </c>
      <c r="L118" s="195">
        <f t="shared" si="5"/>
        <v>1.9331999999999998</v>
      </c>
      <c r="M118" s="240">
        <f>AVERAGE(Ashed_controlls!$K$1:$K$11)</f>
        <v>5.5147656768714146</v>
      </c>
      <c r="N118" s="195">
        <f t="shared" si="0"/>
        <v>1.8265885499347216</v>
      </c>
      <c r="O118" s="195">
        <f t="shared" si="6"/>
        <v>1.9702000000000002</v>
      </c>
      <c r="P118" s="240">
        <f>AVERAGE(Ashed_controlls!$K$12:$K$14)</f>
        <v>2.2816647271287041</v>
      </c>
      <c r="Q118" s="195">
        <f t="shared" si="1"/>
        <v>1.9252466415461105</v>
      </c>
      <c r="R118" s="16">
        <f>IF('Dry_Litterbag Placem_Collection'!G45="N.A","",'Dry_Litterbag Placem_Collection'!G45)</f>
        <v>43005</v>
      </c>
      <c r="S118" s="195">
        <f>IF(IFERROR(INDEX('Both teabags AfterDry'!$D$1:$D$839,MATCH(H118,'Both teabags AfterDry'!$A$1:$A$839,0)),"")="N.A","",(IFERROR(INDEX('Both teabags AfterDry'!$D$1:$D$839,MATCH(H118,'Both teabags AfterDry'!$A$1:$A$839,0)),"")))</f>
        <v>1.9577</v>
      </c>
      <c r="T118" s="195">
        <f>IF(IFERROR(INDEX('Both teabags AfterDry'!$D$1:$D$839,MATCH(I118,'Both teabags AfterDry'!$A$1:$A$839,0)),"")="N.A","",(IFERROR(INDEX('Both teabags AfterDry'!$D$1:$D$839,MATCH(I118,'Both teabags AfterDry'!$A$1:$A$839,0)),"")))</f>
        <v>1.6818</v>
      </c>
      <c r="U118" s="195">
        <f t="shared" si="7"/>
        <v>1.8070999999999999</v>
      </c>
      <c r="V118" s="195">
        <f t="shared" si="7"/>
        <v>1.5311999999999999</v>
      </c>
      <c r="W118" s="195">
        <f>IFERROR(INDEX('Ashed teabags dry'!$K$2:$K$821,MATCH(H118,'Ashed teabags dry'!$A$2:$A$821,0)),"")</f>
        <v>8.1468218442253786</v>
      </c>
      <c r="X118" s="195">
        <f>IFERROR(INDEX('Ashed teabags dry'!$K$2:$K$821,MATCH(I118,'Ashed teabags dry'!$A$2:$A$821,0)),"")</f>
        <v>92.062122519413393</v>
      </c>
      <c r="Y118" s="195">
        <f t="shared" si="2"/>
        <v>1.6598787824530032</v>
      </c>
      <c r="Z118" s="195">
        <f t="shared" si="2"/>
        <v>0.12154477998274205</v>
      </c>
      <c r="AA118" s="195">
        <f t="shared" si="8"/>
        <v>9.1268374307764244E-2</v>
      </c>
      <c r="AB118" s="195">
        <f t="shared" si="9"/>
        <v>5.9833898596064E-2</v>
      </c>
      <c r="AC118" s="195">
        <f t="shared" si="3"/>
        <v>6.3132056620617147E-2</v>
      </c>
      <c r="AD118">
        <f t="shared" si="4"/>
        <v>67</v>
      </c>
      <c r="AE118" s="195">
        <f t="shared" si="10"/>
        <v>0.89160525616655073</v>
      </c>
      <c r="AF118" s="195" t="str">
        <f t="shared" si="11"/>
        <v/>
      </c>
      <c r="AG118" s="255" t="str">
        <f>IF(ISNUMBER(SEARCH("C", 'Dry_Litterbag Placem_Collection'!AB45)),"YES","NO")</f>
        <v>NO</v>
      </c>
      <c r="AH118" s="255" t="str">
        <f>IF(ISNUMBER(SEARCH("H", 'Dry_Litterbag Placem_Collection'!AB45)),"YES","NO")</f>
        <v>NO</v>
      </c>
      <c r="AI118" s="255" t="str">
        <f>IF(ISNUMBER(SEARCH("R", 'Dry_Litterbag Placem_Collection'!AB45)),"YES","NO")</f>
        <v>NO</v>
      </c>
      <c r="AJ118" s="255" t="str">
        <f>IF(ISNUMBER(SEARCH("C", 'Dry_Litterbag Placem_Collection'!AA45)),"YES","NO")</f>
        <v>NO</v>
      </c>
      <c r="AK118" s="255" t="str">
        <f>IF(ISNUMBER(SEARCH("H", 'Dry_Litterbag Placem_Collection'!AA45)),"YES","NO")</f>
        <v>NO</v>
      </c>
      <c r="AL118" s="255" t="str">
        <f>IF(ISNUMBER(SEARCH("R", 'Dry_Litterbag Placem_Collection'!AA45)),"YES","NO")</f>
        <v>NO</v>
      </c>
      <c r="AR118" t="s">
        <v>1804</v>
      </c>
      <c r="AT118" t="s">
        <v>381</v>
      </c>
    </row>
    <row r="119" spans="2:46">
      <c r="B119" t="str">
        <f>'Final data_for_R_analysis_Dryse'!A45</f>
        <v>Dry</v>
      </c>
      <c r="C119" s="263">
        <f>'Final data_for_R_analysis_Dryse'!B45</f>
        <v>44</v>
      </c>
      <c r="D119" t="s">
        <v>3833</v>
      </c>
      <c r="E119" t="s">
        <v>22</v>
      </c>
      <c r="F119" s="387">
        <v>4</v>
      </c>
      <c r="G119" s="16">
        <f>'Dry_Litterbag Placem_Collection'!E46</f>
        <v>42938</v>
      </c>
      <c r="H119" t="str">
        <f>'Final data_for_R_analysis_Dryse'!J45</f>
        <v>G115</v>
      </c>
      <c r="I119" t="str">
        <f>'Final data_for_R_analysis_Dryse'!J265</f>
        <v>R783</v>
      </c>
      <c r="J119">
        <f>IFERROR(INDEX('Green_rooibos initial weight'!$C$5:$C$1749,MATCH(H119, 'Green_rooibos initial weight'!$A$5:$A$1749,0)),"")</f>
        <v>2.048</v>
      </c>
      <c r="K119">
        <f>IFERROR(INDEX('Green_rooibos initial weight'!$C$5:$C$1749,MATCH(I119, 'Green_rooibos initial weight'!$A$5:$A$1749,0)),"")</f>
        <v>2.1989999999999998</v>
      </c>
      <c r="L119" s="195">
        <f t="shared" si="5"/>
        <v>1.7982</v>
      </c>
      <c r="M119" s="240">
        <f>AVERAGE(Ashed_controlls!$K$1:$K$11)</f>
        <v>5.5147656768714146</v>
      </c>
      <c r="N119" s="195">
        <f t="shared" si="0"/>
        <v>1.6990334835984982</v>
      </c>
      <c r="O119" s="195">
        <f t="shared" si="6"/>
        <v>1.9491999999999998</v>
      </c>
      <c r="P119" s="240">
        <f>AVERAGE(Ashed_controlls!$K$12:$K$14)</f>
        <v>2.2816647271287041</v>
      </c>
      <c r="Q119" s="195">
        <f t="shared" si="1"/>
        <v>1.9047257911388071</v>
      </c>
      <c r="R119" s="16">
        <f>IF('Dry_Litterbag Placem_Collection'!G46="N.A","",'Dry_Litterbag Placem_Collection'!G46)</f>
        <v>43005</v>
      </c>
      <c r="S119" s="195">
        <f>IF(IFERROR(INDEX('Both teabags AfterDry'!$D$1:$D$839,MATCH(H119,'Both teabags AfterDry'!$A$1:$A$839,0)),"")="N.A","",(IFERROR(INDEX('Both teabags AfterDry'!$D$1:$D$839,MATCH(H119,'Both teabags AfterDry'!$A$1:$A$839,0)),"")))</f>
        <v>1.7069000000000001</v>
      </c>
      <c r="T119" s="195">
        <f>IF(IFERROR(INDEX('Both teabags AfterDry'!$D$1:$D$839,MATCH(I119,'Both teabags AfterDry'!$A$1:$A$839,0)),"")="N.A","",(IFERROR(INDEX('Both teabags AfterDry'!$D$1:$D$839,MATCH(I119,'Both teabags AfterDry'!$A$1:$A$839,0)),"")))</f>
        <v>1.8973</v>
      </c>
      <c r="U119" s="195">
        <f t="shared" si="7"/>
        <v>1.5563</v>
      </c>
      <c r="V119" s="195">
        <f t="shared" si="7"/>
        <v>1.7466999999999999</v>
      </c>
      <c r="W119" s="195">
        <f>IFERROR(INDEX('Ashed teabags dry'!$K$2:$K$821,MATCH(H119,'Ashed teabags dry'!$A$2:$A$821,0)),"")</f>
        <v>5.939159826170572</v>
      </c>
      <c r="X119" s="195">
        <f>IFERROR(INDEX('Ashed teabags dry'!$K$2:$K$821,MATCH(I119,'Ashed teabags dry'!$A$2:$A$821,0)),"")</f>
        <v>3.6579572446556408</v>
      </c>
      <c r="Y119" s="195">
        <f t="shared" si="2"/>
        <v>1.4638688556253074</v>
      </c>
      <c r="Z119" s="195">
        <f t="shared" si="2"/>
        <v>1.6828064608075999</v>
      </c>
      <c r="AA119" s="195">
        <f t="shared" si="8"/>
        <v>0.13841082606277988</v>
      </c>
      <c r="AB119" s="195">
        <f t="shared" si="9"/>
        <v>9.0739638939019582E-2</v>
      </c>
      <c r="AC119" s="195">
        <f t="shared" si="3"/>
        <v>0.88349014258975045</v>
      </c>
      <c r="AD119">
        <f t="shared" si="4"/>
        <v>67</v>
      </c>
      <c r="AE119" s="195">
        <f t="shared" si="10"/>
        <v>0.83561659612496453</v>
      </c>
      <c r="AF119" s="195" t="str">
        <f t="shared" si="11"/>
        <v/>
      </c>
      <c r="AG119" s="255" t="str">
        <f>IF(ISNUMBER(SEARCH("C", 'Dry_Litterbag Placem_Collection'!AB46)),"YES","NO")</f>
        <v>NO</v>
      </c>
      <c r="AH119" s="255" t="str">
        <f>IF(ISNUMBER(SEARCH("H", 'Dry_Litterbag Placem_Collection'!AB46)),"YES","NO")</f>
        <v>NO</v>
      </c>
      <c r="AI119" s="255" t="str">
        <f>IF(ISNUMBER(SEARCH("R", 'Dry_Litterbag Placem_Collection'!AB46)),"YES","NO")</f>
        <v>NO</v>
      </c>
      <c r="AJ119" s="255" t="str">
        <f>IF(ISNUMBER(SEARCH("C", 'Dry_Litterbag Placem_Collection'!AA46)),"YES","NO")</f>
        <v>NO</v>
      </c>
      <c r="AK119" s="255" t="str">
        <f>IF(ISNUMBER(SEARCH("H", 'Dry_Litterbag Placem_Collection'!AA46)),"YES","NO")</f>
        <v>NO</v>
      </c>
      <c r="AL119" s="255" t="str">
        <f>IF(ISNUMBER(SEARCH("R", 'Dry_Litterbag Placem_Collection'!AA46)),"YES","NO")</f>
        <v>NO</v>
      </c>
      <c r="AR119" t="s">
        <v>1935</v>
      </c>
      <c r="AT119" t="s">
        <v>356</v>
      </c>
    </row>
    <row r="120" spans="2:46">
      <c r="B120" t="str">
        <f>'Final data_for_R_analysis_Dryse'!A46</f>
        <v>Dry</v>
      </c>
      <c r="C120" s="263">
        <f>'Final data_for_R_analysis_Dryse'!B46</f>
        <v>45</v>
      </c>
      <c r="D120" t="s">
        <v>3833</v>
      </c>
      <c r="E120" t="s">
        <v>22</v>
      </c>
      <c r="F120" s="387">
        <v>5</v>
      </c>
      <c r="G120" s="16">
        <f>'Dry_Litterbag Placem_Collection'!E47</f>
        <v>42938</v>
      </c>
      <c r="H120" t="str">
        <f>'Final data_for_R_analysis_Dryse'!J46</f>
        <v>G480</v>
      </c>
      <c r="I120" t="str">
        <f>'Final data_for_R_analysis_Dryse'!J266</f>
        <v>R827</v>
      </c>
      <c r="J120">
        <f>IFERROR(INDEX('Green_rooibos initial weight'!$C$5:$C$1749,MATCH(H120, 'Green_rooibos initial weight'!$A$5:$A$1749,0)),"")</f>
        <v>1.9850000000000001</v>
      </c>
      <c r="K120">
        <f>IFERROR(INDEX('Green_rooibos initial weight'!$C$5:$C$1749,MATCH(I120, 'Green_rooibos initial weight'!$A$5:$A$1749,0)),"")</f>
        <v>2.222</v>
      </c>
      <c r="L120" s="195">
        <f t="shared" si="5"/>
        <v>1.7352000000000001</v>
      </c>
      <c r="M120" s="240">
        <f>AVERAGE(Ashed_controlls!$K$1:$K$11)</f>
        <v>5.5147656768714146</v>
      </c>
      <c r="N120" s="195">
        <f t="shared" si="0"/>
        <v>1.6395077859749272</v>
      </c>
      <c r="O120" s="195">
        <f t="shared" si="6"/>
        <v>1.9722</v>
      </c>
      <c r="P120" s="240">
        <f>AVERAGE(Ashed_controlls!$K$12:$K$14)</f>
        <v>2.2816647271287041</v>
      </c>
      <c r="Q120" s="195">
        <f t="shared" si="1"/>
        <v>1.9272010082515676</v>
      </c>
      <c r="R120" s="16">
        <f>IF('Dry_Litterbag Placem_Collection'!G47="N.A","",'Dry_Litterbag Placem_Collection'!G47)</f>
        <v>43005</v>
      </c>
      <c r="S120" s="195" t="str">
        <f>IF(IFERROR(INDEX('Both teabags AfterDry'!$D$1:$D$839,MATCH(H120,'Both teabags AfterDry'!$A$1:$A$839,0)),"")="N.A","",(IFERROR(INDEX('Both teabags AfterDry'!$D$1:$D$839,MATCH(H120,'Both teabags AfterDry'!$A$1:$A$839,0)),"")))</f>
        <v/>
      </c>
      <c r="T120" s="195" t="str">
        <f>IF(IFERROR(INDEX('Both teabags AfterDry'!$D$1:$D$839,MATCH(I120,'Both teabags AfterDry'!$A$1:$A$839,0)),"")="N.A","",(IFERROR(INDEX('Both teabags AfterDry'!$D$1:$D$839,MATCH(I120,'Both teabags AfterDry'!$A$1:$A$839,0)),"")))</f>
        <v/>
      </c>
      <c r="U120" s="195" t="str">
        <f t="shared" si="7"/>
        <v/>
      </c>
      <c r="V120" s="195" t="str">
        <f t="shared" si="7"/>
        <v/>
      </c>
      <c r="W120" s="195" t="str">
        <f>IFERROR(INDEX('Ashed teabags dry'!$K$2:$K$821,MATCH(H120,'Ashed teabags dry'!$A$2:$A$821,0)),"")</f>
        <v/>
      </c>
      <c r="X120" s="195" t="str">
        <f>IFERROR(INDEX('Ashed teabags dry'!$K$2:$K$821,MATCH(I120,'Ashed teabags dry'!$A$2:$A$821,0)),"")</f>
        <v/>
      </c>
      <c r="Y120" s="195" t="str">
        <f t="shared" si="2"/>
        <v/>
      </c>
      <c r="Z120" s="195" t="str">
        <f t="shared" si="2"/>
        <v/>
      </c>
      <c r="AA120" s="195" t="str">
        <f t="shared" si="8"/>
        <v/>
      </c>
      <c r="AB120" s="195" t="str">
        <f t="shared" si="9"/>
        <v/>
      </c>
      <c r="AC120" s="195" t="str">
        <f t="shared" si="3"/>
        <v/>
      </c>
      <c r="AD120">
        <f t="shared" si="4"/>
        <v>67</v>
      </c>
      <c r="AE120" s="195" t="str">
        <f t="shared" si="10"/>
        <v/>
      </c>
      <c r="AF120" s="195" t="str">
        <f t="shared" si="11"/>
        <v/>
      </c>
      <c r="AG120" s="255" t="str">
        <f>IF(ISNUMBER(SEARCH("C", 'Dry_Litterbag Placem_Collection'!AB47)),"YES","NO")</f>
        <v>NO</v>
      </c>
      <c r="AH120" s="255" t="str">
        <f>IF(ISNUMBER(SEARCH("H", 'Dry_Litterbag Placem_Collection'!AB47)),"YES","NO")</f>
        <v>NO</v>
      </c>
      <c r="AI120" s="255" t="str">
        <f>IF(ISNUMBER(SEARCH("R", 'Dry_Litterbag Placem_Collection'!AB47)),"YES","NO")</f>
        <v>NO</v>
      </c>
      <c r="AJ120" s="255" t="str">
        <f>IF(ISNUMBER(SEARCH("C", 'Dry_Litterbag Placem_Collection'!AA47)),"YES","NO")</f>
        <v>NO</v>
      </c>
      <c r="AK120" s="255" t="str">
        <f>IF(ISNUMBER(SEARCH("H", 'Dry_Litterbag Placem_Collection'!AA47)),"YES","NO")</f>
        <v>NO</v>
      </c>
      <c r="AL120" s="255" t="str">
        <f>IF(ISNUMBER(SEARCH("R", 'Dry_Litterbag Placem_Collection'!AA47)),"YES","NO")</f>
        <v>NO</v>
      </c>
      <c r="AR120" t="s">
        <v>1570</v>
      </c>
      <c r="AT120" t="s">
        <v>312</v>
      </c>
    </row>
    <row r="121" spans="2:46">
      <c r="B121" t="str">
        <f>'Final data_for_R_analysis_Dryse'!A47</f>
        <v>Dry</v>
      </c>
      <c r="C121" s="263">
        <f>'Final data_for_R_analysis_Dryse'!B47</f>
        <v>46</v>
      </c>
      <c r="D121" t="s">
        <v>3833</v>
      </c>
      <c r="E121" t="s">
        <v>22</v>
      </c>
      <c r="F121" s="387">
        <v>6</v>
      </c>
      <c r="G121" s="16">
        <f>'Dry_Litterbag Placem_Collection'!E48</f>
        <v>0</v>
      </c>
      <c r="H121" t="str">
        <f>'Final data_for_R_analysis_Dryse'!J47</f>
        <v/>
      </c>
      <c r="I121" t="str">
        <f>'Final data_for_R_analysis_Dryse'!J267</f>
        <v/>
      </c>
      <c r="J121" t="str">
        <f>IFERROR(INDEX('Green_rooibos initial weight'!$C$5:$C$1749,MATCH(H121, 'Green_rooibos initial weight'!$A$5:$A$1749,0)),"")</f>
        <v/>
      </c>
      <c r="K121" t="str">
        <f>IFERROR(INDEX('Green_rooibos initial weight'!$C$5:$C$1749,MATCH(I121, 'Green_rooibos initial weight'!$A$5:$A$1749,0)),"")</f>
        <v/>
      </c>
      <c r="L121" s="195" t="str">
        <f t="shared" si="5"/>
        <v/>
      </c>
      <c r="M121" s="240">
        <f>AVERAGE(Ashed_controlls!$K$1:$K$11)</f>
        <v>5.5147656768714146</v>
      </c>
      <c r="N121" s="195" t="str">
        <f t="shared" si="0"/>
        <v/>
      </c>
      <c r="O121" s="195" t="str">
        <f t="shared" si="6"/>
        <v/>
      </c>
      <c r="P121" s="240">
        <f>AVERAGE(Ashed_controlls!$K$12:$K$14)</f>
        <v>2.2816647271287041</v>
      </c>
      <c r="Q121" s="195" t="str">
        <f t="shared" si="1"/>
        <v/>
      </c>
      <c r="R121" s="16">
        <f>IF('Dry_Litterbag Placem_Collection'!G48="N.A","",'Dry_Litterbag Placem_Collection'!G48)</f>
        <v>0</v>
      </c>
      <c r="S121" s="195" t="str">
        <f>IF(IFERROR(INDEX('Both teabags AfterDry'!$D$1:$D$839,MATCH(H121,'Both teabags AfterDry'!$A$1:$A$839,0)),"")="N.A","",(IFERROR(INDEX('Both teabags AfterDry'!$D$1:$D$839,MATCH(H121,'Both teabags AfterDry'!$A$1:$A$839,0)),"")))</f>
        <v/>
      </c>
      <c r="T121" s="195" t="str">
        <f>IF(IFERROR(INDEX('Both teabags AfterDry'!$D$1:$D$839,MATCH(I121,'Both teabags AfterDry'!$A$1:$A$839,0)),"")="N.A","",(IFERROR(INDEX('Both teabags AfterDry'!$D$1:$D$839,MATCH(I121,'Both teabags AfterDry'!$A$1:$A$839,0)),"")))</f>
        <v/>
      </c>
      <c r="U121" s="195" t="str">
        <f t="shared" si="7"/>
        <v/>
      </c>
      <c r="V121" s="195" t="str">
        <f t="shared" si="7"/>
        <v/>
      </c>
      <c r="W121" s="195" t="str">
        <f>IFERROR(INDEX('Ashed teabags dry'!$K$2:$K$821,MATCH(H121,'Ashed teabags dry'!$A$2:$A$821,0)),"")</f>
        <v/>
      </c>
      <c r="X121" s="195" t="str">
        <f>IFERROR(INDEX('Ashed teabags dry'!$K$2:$K$821,MATCH(I121,'Ashed teabags dry'!$A$2:$A$821,0)),"")</f>
        <v/>
      </c>
      <c r="Y121" s="195" t="str">
        <f t="shared" si="2"/>
        <v/>
      </c>
      <c r="Z121" s="195" t="str">
        <f t="shared" si="2"/>
        <v/>
      </c>
      <c r="AA121" s="195" t="str">
        <f t="shared" si="8"/>
        <v/>
      </c>
      <c r="AB121" s="195" t="str">
        <f t="shared" si="9"/>
        <v/>
      </c>
      <c r="AC121" s="195" t="str">
        <f t="shared" si="3"/>
        <v/>
      </c>
      <c r="AD121" t="str">
        <f t="shared" si="4"/>
        <v/>
      </c>
      <c r="AE121" s="195" t="str">
        <f t="shared" si="10"/>
        <v/>
      </c>
      <c r="AF121" s="195" t="str">
        <f t="shared" si="11"/>
        <v/>
      </c>
      <c r="AG121" s="255" t="str">
        <f>IF(ISNUMBER(SEARCH("C", 'Dry_Litterbag Placem_Collection'!AB48)),"YES","NO")</f>
        <v>NO</v>
      </c>
      <c r="AH121" s="255" t="str">
        <f>IF(ISNUMBER(SEARCH("H", 'Dry_Litterbag Placem_Collection'!AB48)),"YES","NO")</f>
        <v>NO</v>
      </c>
      <c r="AI121" s="255" t="str">
        <f>IF(ISNUMBER(SEARCH("R", 'Dry_Litterbag Placem_Collection'!AB48)),"YES","NO")</f>
        <v>NO</v>
      </c>
      <c r="AJ121" s="255" t="str">
        <f>IF(ISNUMBER(SEARCH("C", 'Dry_Litterbag Placem_Collection'!AA48)),"YES","NO")</f>
        <v>NO</v>
      </c>
      <c r="AK121" s="255" t="str">
        <f>IF(ISNUMBER(SEARCH("H", 'Dry_Litterbag Placem_Collection'!AA48)),"YES","NO")</f>
        <v>NO</v>
      </c>
      <c r="AL121" s="255" t="str">
        <f>IF(ISNUMBER(SEARCH("R", 'Dry_Litterbag Placem_Collection'!AA48)),"YES","NO")</f>
        <v>NO</v>
      </c>
      <c r="AR121" t="s">
        <v>3654</v>
      </c>
      <c r="AT121" t="s">
        <v>3654</v>
      </c>
    </row>
    <row r="122" spans="2:46">
      <c r="B122" t="str">
        <f>'Final data_for_R_analysis_Dryse'!A48</f>
        <v>Dry</v>
      </c>
      <c r="C122" s="263">
        <f>'Final data_for_R_analysis_Dryse'!B48</f>
        <v>47</v>
      </c>
      <c r="D122" t="s">
        <v>3833</v>
      </c>
      <c r="E122" t="s">
        <v>22</v>
      </c>
      <c r="F122" s="387">
        <v>7</v>
      </c>
      <c r="G122" s="16">
        <f>'Dry_Litterbag Placem_Collection'!E49</f>
        <v>42938</v>
      </c>
      <c r="H122" t="str">
        <f>'Final data_for_R_analysis_Dryse'!J48</f>
        <v>G110</v>
      </c>
      <c r="I122" t="str">
        <f>'Final data_for_R_analysis_Dryse'!J268</f>
        <v>R831</v>
      </c>
      <c r="J122">
        <f>IFERROR(INDEX('Green_rooibos initial weight'!$C$5:$C$1749,MATCH(H122, 'Green_rooibos initial weight'!$A$5:$A$1749,0)),"")</f>
        <v>2.093</v>
      </c>
      <c r="K122">
        <f>IFERROR(INDEX('Green_rooibos initial weight'!$C$5:$C$1749,MATCH(I122, 'Green_rooibos initial weight'!$A$5:$A$1749,0)),"")</f>
        <v>2.2410000000000001</v>
      </c>
      <c r="L122" s="195">
        <f t="shared" si="5"/>
        <v>1.8431999999999999</v>
      </c>
      <c r="M122" s="240">
        <f>AVERAGE(Ashed_controlls!$K$1:$K$11)</f>
        <v>5.5147656768714146</v>
      </c>
      <c r="N122" s="195">
        <f t="shared" si="0"/>
        <v>1.741551839043906</v>
      </c>
      <c r="O122" s="195">
        <f t="shared" si="6"/>
        <v>1.9912000000000001</v>
      </c>
      <c r="P122" s="240">
        <f>AVERAGE(Ashed_controlls!$K$12:$K$14)</f>
        <v>2.2816647271287041</v>
      </c>
      <c r="Q122" s="195">
        <f t="shared" si="1"/>
        <v>1.9457674919534134</v>
      </c>
      <c r="R122" s="16">
        <f>IF('Dry_Litterbag Placem_Collection'!G49="N.A","",'Dry_Litterbag Placem_Collection'!G49)</f>
        <v>43005</v>
      </c>
      <c r="S122" s="195">
        <f>IF(IFERROR(INDEX('Both teabags AfterDry'!$D$1:$D$839,MATCH(H122,'Both teabags AfterDry'!$A$1:$A$839,0)),"")="N.A","",(IFERROR(INDEX('Both teabags AfterDry'!$D$1:$D$839,MATCH(H122,'Both teabags AfterDry'!$A$1:$A$839,0)),"")))</f>
        <v>1.8372999999999999</v>
      </c>
      <c r="T122" s="195">
        <f>IF(IFERROR(INDEX('Both teabags AfterDry'!$D$1:$D$839,MATCH(I122,'Both teabags AfterDry'!$A$1:$A$839,0)),"")="N.A","",(IFERROR(INDEX('Both teabags AfterDry'!$D$1:$D$839,MATCH(I122,'Both teabags AfterDry'!$A$1:$A$839,0)),"")))</f>
        <v>1.9105000000000001</v>
      </c>
      <c r="U122" s="195">
        <f t="shared" si="7"/>
        <v>1.6866999999999999</v>
      </c>
      <c r="V122" s="195">
        <f t="shared" si="7"/>
        <v>1.7599</v>
      </c>
      <c r="W122" s="195">
        <f>IFERROR(INDEX('Ashed teabags dry'!$K$2:$K$821,MATCH(H122,'Ashed teabags dry'!$A$2:$A$821,0)),"")</f>
        <v>6.3440422936146827</v>
      </c>
      <c r="X122" s="195">
        <f>IFERROR(INDEX('Ashed teabags dry'!$K$2:$K$821,MATCH(I122,'Ashed teabags dry'!$A$2:$A$821,0)),"")</f>
        <v>4.5857988165679391</v>
      </c>
      <c r="Y122" s="195">
        <f t="shared" si="2"/>
        <v>1.5796950386336011</v>
      </c>
      <c r="Z122" s="195">
        <f t="shared" si="2"/>
        <v>1.6791945266272208</v>
      </c>
      <c r="AA122" s="195">
        <f t="shared" si="8"/>
        <v>9.293826160188412E-2</v>
      </c>
      <c r="AB122" s="195">
        <f t="shared" si="9"/>
        <v>6.0928646560855164E-2</v>
      </c>
      <c r="AC122" s="195">
        <f t="shared" si="3"/>
        <v>0.8629985512510685</v>
      </c>
      <c r="AD122">
        <f t="shared" si="4"/>
        <v>67</v>
      </c>
      <c r="AE122" s="195">
        <f t="shared" si="10"/>
        <v>0.88962201709990008</v>
      </c>
      <c r="AF122" s="195" t="str">
        <f t="shared" si="11"/>
        <v/>
      </c>
      <c r="AG122" s="255" t="str">
        <f>IF(ISNUMBER(SEARCH("C", 'Dry_Litterbag Placem_Collection'!AB49)),"YES","NO")</f>
        <v>NO</v>
      </c>
      <c r="AH122" s="255" t="str">
        <f>IF(ISNUMBER(SEARCH("H", 'Dry_Litterbag Placem_Collection'!AB49)),"YES","NO")</f>
        <v>NO</v>
      </c>
      <c r="AI122" s="255" t="str">
        <f>IF(ISNUMBER(SEARCH("R", 'Dry_Litterbag Placem_Collection'!AB49)),"YES","NO")</f>
        <v>NO</v>
      </c>
      <c r="AJ122" s="255" t="str">
        <f>IF(ISNUMBER(SEARCH("C", 'Dry_Litterbag Placem_Collection'!AA49)),"YES","NO")</f>
        <v>NO</v>
      </c>
      <c r="AK122" s="255" t="str">
        <f>IF(ISNUMBER(SEARCH("H", 'Dry_Litterbag Placem_Collection'!AA49)),"YES","NO")</f>
        <v>NO</v>
      </c>
      <c r="AL122" s="255" t="str">
        <f>IF(ISNUMBER(SEARCH("R", 'Dry_Litterbag Placem_Collection'!AA49)),"YES","NO")</f>
        <v>NO</v>
      </c>
      <c r="AR122" t="s">
        <v>1940</v>
      </c>
      <c r="AT122" t="s">
        <v>308</v>
      </c>
    </row>
    <row r="123" spans="2:46">
      <c r="B123" t="str">
        <f>'Final data_for_R_analysis_Dryse'!A49</f>
        <v>Dry</v>
      </c>
      <c r="C123" s="263">
        <f>'Final data_for_R_analysis_Dryse'!B49</f>
        <v>48</v>
      </c>
      <c r="D123" t="s">
        <v>3833</v>
      </c>
      <c r="E123" t="s">
        <v>22</v>
      </c>
      <c r="F123" s="387">
        <v>8</v>
      </c>
      <c r="G123" s="16">
        <f>'Dry_Litterbag Placem_Collection'!E50</f>
        <v>42938</v>
      </c>
      <c r="H123" t="str">
        <f>'Final data_for_R_analysis_Dryse'!J49</f>
        <v>G233</v>
      </c>
      <c r="I123" t="str">
        <f>'Final data_for_R_analysis_Dryse'!J269</f>
        <v>R828</v>
      </c>
      <c r="J123">
        <f>IFERROR(INDEX('Green_rooibos initial weight'!$C$5:$C$1749,MATCH(H123, 'Green_rooibos initial weight'!$A$5:$A$1749,0)),"")</f>
        <v>1.9490000000000001</v>
      </c>
      <c r="K123">
        <f>IFERROR(INDEX('Green_rooibos initial weight'!$C$5:$C$1749,MATCH(I123, 'Green_rooibos initial weight'!$A$5:$A$1749,0)),"")</f>
        <v>2.2330000000000001</v>
      </c>
      <c r="L123" s="195">
        <f t="shared" si="5"/>
        <v>1.6992</v>
      </c>
      <c r="M123" s="240">
        <f>AVERAGE(Ashed_controlls!$K$1:$K$11)</f>
        <v>5.5147656768714146</v>
      </c>
      <c r="N123" s="195">
        <f t="shared" si="0"/>
        <v>1.6054931016186009</v>
      </c>
      <c r="O123" s="195">
        <f t="shared" si="6"/>
        <v>1.9832000000000001</v>
      </c>
      <c r="P123" s="240">
        <f>AVERAGE(Ashed_controlls!$K$12:$K$14)</f>
        <v>2.2816647271287041</v>
      </c>
      <c r="Q123" s="195">
        <f t="shared" si="1"/>
        <v>1.9379500251315835</v>
      </c>
      <c r="R123" s="16">
        <f>IF('Dry_Litterbag Placem_Collection'!G50="N.A","",'Dry_Litterbag Placem_Collection'!G50)</f>
        <v>43005</v>
      </c>
      <c r="S123" s="195">
        <f>IF(IFERROR(INDEX('Both teabags AfterDry'!$D$1:$D$839,MATCH(H123,'Both teabags AfterDry'!$A$1:$A$839,0)),"")="N.A","",(IFERROR(INDEX('Both teabags AfterDry'!$D$1:$D$839,MATCH(H123,'Both teabags AfterDry'!$A$1:$A$839,0)),"")))</f>
        <v>1.6727000000000001</v>
      </c>
      <c r="T123" s="195">
        <f>IF(IFERROR(INDEX('Both teabags AfterDry'!$D$1:$D$839,MATCH(I123,'Both teabags AfterDry'!$A$1:$A$839,0)),"")="N.A","",(IFERROR(INDEX('Both teabags AfterDry'!$D$1:$D$839,MATCH(I123,'Both teabags AfterDry'!$A$1:$A$839,0)),"")))</f>
        <v>1.7596000000000001</v>
      </c>
      <c r="U123" s="195">
        <f t="shared" si="7"/>
        <v>1.5221</v>
      </c>
      <c r="V123" s="195">
        <f t="shared" si="7"/>
        <v>1.609</v>
      </c>
      <c r="W123" s="195">
        <f>IFERROR(INDEX('Ashed teabags dry'!$K$2:$K$821,MATCH(H123,'Ashed teabags dry'!$A$2:$A$821,0)),"")</f>
        <v>6.3352826510722657</v>
      </c>
      <c r="X123" s="195">
        <f>IFERROR(INDEX('Ashed teabags dry'!$K$2:$K$821,MATCH(I123,'Ashed teabags dry'!$A$2:$A$821,0)),"")</f>
        <v>2.0276953511382803</v>
      </c>
      <c r="Y123" s="195">
        <f t="shared" si="2"/>
        <v>1.4256706627680291</v>
      </c>
      <c r="Z123" s="195">
        <f t="shared" si="2"/>
        <v>1.576374381800185</v>
      </c>
      <c r="AA123" s="195">
        <f t="shared" si="8"/>
        <v>0.1120044917472901</v>
      </c>
      <c r="AB123" s="195">
        <f t="shared" si="9"/>
        <v>7.3428122855705658E-2</v>
      </c>
      <c r="AC123" s="195">
        <f t="shared" si="3"/>
        <v>0.81342364940146061</v>
      </c>
      <c r="AD123">
        <f t="shared" si="4"/>
        <v>67</v>
      </c>
      <c r="AE123" s="195">
        <f t="shared" si="10"/>
        <v>0.86697803830488107</v>
      </c>
      <c r="AF123" s="195" t="str">
        <f t="shared" si="11"/>
        <v/>
      </c>
      <c r="AG123" s="255" t="str">
        <f>IF(ISNUMBER(SEARCH("C", 'Dry_Litterbag Placem_Collection'!AB50)),"YES","NO")</f>
        <v>NO</v>
      </c>
      <c r="AH123" s="255" t="str">
        <f>IF(ISNUMBER(SEARCH("H", 'Dry_Litterbag Placem_Collection'!AB50)),"YES","NO")</f>
        <v>NO</v>
      </c>
      <c r="AI123" s="255" t="str">
        <f>IF(ISNUMBER(SEARCH("R", 'Dry_Litterbag Placem_Collection'!AB50)),"YES","NO")</f>
        <v>NO</v>
      </c>
      <c r="AJ123" s="255" t="str">
        <f>IF(ISNUMBER(SEARCH("C", 'Dry_Litterbag Placem_Collection'!AA50)),"YES","NO")</f>
        <v>NO</v>
      </c>
      <c r="AK123" s="255" t="str">
        <f>IF(ISNUMBER(SEARCH("H", 'Dry_Litterbag Placem_Collection'!AA50)),"YES","NO")</f>
        <v>NO</v>
      </c>
      <c r="AL123" s="255" t="str">
        <f>IF(ISNUMBER(SEARCH("R", 'Dry_Litterbag Placem_Collection'!AA50)),"YES","NO")</f>
        <v>NO</v>
      </c>
      <c r="AR123" t="s">
        <v>1817</v>
      </c>
      <c r="AT123" t="s">
        <v>311</v>
      </c>
    </row>
    <row r="124" spans="2:46">
      <c r="B124" t="str">
        <f>'Final data_for_R_analysis_Dryse'!A50</f>
        <v>Dry</v>
      </c>
      <c r="C124" s="263">
        <f>'Final data_for_R_analysis_Dryse'!B50</f>
        <v>49</v>
      </c>
      <c r="D124" t="s">
        <v>3834</v>
      </c>
      <c r="E124" t="s">
        <v>22</v>
      </c>
      <c r="F124" s="386">
        <v>1</v>
      </c>
      <c r="G124" s="16">
        <f>'Dry_Litterbag Placem_Collection'!E51</f>
        <v>42938</v>
      </c>
      <c r="H124" t="str">
        <f>'Final data_for_R_analysis_Dryse'!J50</f>
        <v>G54</v>
      </c>
      <c r="I124" t="str">
        <f>'Final data_for_R_analysis_Dryse'!J270</f>
        <v>R805</v>
      </c>
      <c r="J124">
        <f>IFERROR(INDEX('Green_rooibos initial weight'!$C$5:$C$1749,MATCH(H124, 'Green_rooibos initial weight'!$A$5:$A$1749,0)),"")</f>
        <v>2.0539999999999998</v>
      </c>
      <c r="K124">
        <f>IFERROR(INDEX('Green_rooibos initial weight'!$C$5:$C$1749,MATCH(I124, 'Green_rooibos initial weight'!$A$5:$A$1749,0)),"")</f>
        <v>2.2469999999999999</v>
      </c>
      <c r="L124" s="195">
        <f t="shared" si="5"/>
        <v>1.8041999999999998</v>
      </c>
      <c r="M124" s="240">
        <f>AVERAGE(Ashed_controlls!$K$1:$K$11)</f>
        <v>5.5147656768714146</v>
      </c>
      <c r="N124" s="195">
        <f t="shared" si="0"/>
        <v>1.7047025976578858</v>
      </c>
      <c r="O124" s="195">
        <f t="shared" si="6"/>
        <v>1.9971999999999999</v>
      </c>
      <c r="P124" s="240">
        <f>AVERAGE(Ashed_controlls!$K$12:$K$14)</f>
        <v>2.2816647271287041</v>
      </c>
      <c r="Q124" s="195">
        <f t="shared" si="1"/>
        <v>1.9516305920697854</v>
      </c>
      <c r="R124" s="16">
        <f>IF('Dry_Litterbag Placem_Collection'!G51="N.A","",'Dry_Litterbag Placem_Collection'!G51)</f>
        <v>43005</v>
      </c>
      <c r="S124" s="195" t="str">
        <f>IF(IFERROR(INDEX('Both teabags AfterDry'!$D$1:$D$839,MATCH(H124,'Both teabags AfterDry'!$A$1:$A$839,0)),"")="N.A","",(IFERROR(INDEX('Both teabags AfterDry'!$D$1:$D$839,MATCH(H124,'Both teabags AfterDry'!$A$1:$A$839,0)),"")))</f>
        <v/>
      </c>
      <c r="T124" s="195" t="str">
        <f>IF(IFERROR(INDEX('Both teabags AfterDry'!$D$1:$D$839,MATCH(I124,'Both teabags AfterDry'!$A$1:$A$839,0)),"")="N.A","",(IFERROR(INDEX('Both teabags AfterDry'!$D$1:$D$839,MATCH(I124,'Both teabags AfterDry'!$A$1:$A$839,0)),"")))</f>
        <v/>
      </c>
      <c r="U124" s="195" t="str">
        <f t="shared" si="7"/>
        <v/>
      </c>
      <c r="V124" s="195" t="str">
        <f t="shared" si="7"/>
        <v/>
      </c>
      <c r="W124" s="195" t="str">
        <f>IFERROR(INDEX('Ashed teabags dry'!$K$2:$K$821,MATCH(H124,'Ashed teabags dry'!$A$2:$A$821,0)),"")</f>
        <v/>
      </c>
      <c r="X124" s="195" t="str">
        <f>IFERROR(INDEX('Ashed teabags dry'!$K$2:$K$821,MATCH(I124,'Ashed teabags dry'!$A$2:$A$821,0)),"")</f>
        <v/>
      </c>
      <c r="Y124" s="195" t="str">
        <f t="shared" si="2"/>
        <v/>
      </c>
      <c r="Z124" s="195" t="str">
        <f t="shared" si="2"/>
        <v/>
      </c>
      <c r="AA124" s="195" t="str">
        <f t="shared" si="8"/>
        <v/>
      </c>
      <c r="AB124" s="195" t="str">
        <f t="shared" si="9"/>
        <v/>
      </c>
      <c r="AC124" s="195" t="str">
        <f t="shared" si="3"/>
        <v/>
      </c>
      <c r="AD124">
        <f t="shared" si="4"/>
        <v>67</v>
      </c>
      <c r="AE124" s="195" t="str">
        <f t="shared" si="10"/>
        <v/>
      </c>
      <c r="AF124" s="195" t="str">
        <f t="shared" si="11"/>
        <v/>
      </c>
      <c r="AG124" s="255" t="str">
        <f>IF(ISNUMBER(SEARCH("C", 'Dry_Litterbag Placem_Collection'!AB51)),"YES","NO")</f>
        <v>NO</v>
      </c>
      <c r="AH124" s="255" t="str">
        <f>IF(ISNUMBER(SEARCH("H", 'Dry_Litterbag Placem_Collection'!AB51)),"YES","NO")</f>
        <v>NO</v>
      </c>
      <c r="AI124" s="255" t="str">
        <f>IF(ISNUMBER(SEARCH("R", 'Dry_Litterbag Placem_Collection'!AB51)),"YES","NO")</f>
        <v>NO</v>
      </c>
      <c r="AJ124" s="255" t="str">
        <f>IF(ISNUMBER(SEARCH("C", 'Dry_Litterbag Placem_Collection'!AA51)),"YES","NO")</f>
        <v>NO</v>
      </c>
      <c r="AK124" s="255" t="str">
        <f>IF(ISNUMBER(SEARCH("H", 'Dry_Litterbag Placem_Collection'!AA51)),"YES","NO")</f>
        <v>NO</v>
      </c>
      <c r="AL124" s="255" t="str">
        <f>IF(ISNUMBER(SEARCH("R", 'Dry_Litterbag Placem_Collection'!AA51)),"YES","NO")</f>
        <v>NO</v>
      </c>
      <c r="AR124" t="s">
        <v>1996</v>
      </c>
      <c r="AT124" t="s">
        <v>334</v>
      </c>
    </row>
    <row r="125" spans="2:46">
      <c r="B125" t="str">
        <f>'Final data_for_R_analysis_Dryse'!A51</f>
        <v>Dry</v>
      </c>
      <c r="C125" s="263">
        <f>'Final data_for_R_analysis_Dryse'!B51</f>
        <v>50</v>
      </c>
      <c r="D125" t="s">
        <v>3834</v>
      </c>
      <c r="E125" t="s">
        <v>22</v>
      </c>
      <c r="F125" s="386">
        <v>2</v>
      </c>
      <c r="G125" s="16">
        <f>'Dry_Litterbag Placem_Collection'!E52</f>
        <v>42938</v>
      </c>
      <c r="H125" t="str">
        <f>'Final data_for_R_analysis_Dryse'!J51</f>
        <v>G276</v>
      </c>
      <c r="I125" t="str">
        <f>'Final data_for_R_analysis_Dryse'!J271</f>
        <v>R754</v>
      </c>
      <c r="J125">
        <f>IFERROR(INDEX('Green_rooibos initial weight'!$C$5:$C$1749,MATCH(H125, 'Green_rooibos initial weight'!$A$5:$A$1749,0)),"")</f>
        <v>1.966</v>
      </c>
      <c r="K125">
        <f>IFERROR(INDEX('Green_rooibos initial weight'!$C$5:$C$1749,MATCH(I125, 'Green_rooibos initial weight'!$A$5:$A$1749,0)),"")</f>
        <v>2.2069999999999999</v>
      </c>
      <c r="L125" s="195">
        <f t="shared" si="5"/>
        <v>1.7161999999999999</v>
      </c>
      <c r="M125" s="240">
        <f>AVERAGE(Ashed_controlls!$K$1:$K$11)</f>
        <v>5.5147656768714146</v>
      </c>
      <c r="N125" s="195">
        <f t="shared" si="0"/>
        <v>1.6215555914535327</v>
      </c>
      <c r="O125" s="195">
        <f t="shared" si="6"/>
        <v>1.9571999999999998</v>
      </c>
      <c r="P125" s="240">
        <f>AVERAGE(Ashed_controlls!$K$12:$K$14)</f>
        <v>2.2816647271287041</v>
      </c>
      <c r="Q125" s="195">
        <f t="shared" si="1"/>
        <v>1.9125432579606367</v>
      </c>
      <c r="R125" s="16">
        <f>IF('Dry_Litterbag Placem_Collection'!G52="N.A","",'Dry_Litterbag Placem_Collection'!G52)</f>
        <v>0</v>
      </c>
      <c r="S125" s="195" t="str">
        <f>IF(IFERROR(INDEX('Both teabags AfterDry'!$D$1:$D$839,MATCH(H125,'Both teabags AfterDry'!$A$1:$A$839,0)),"")="N.A","",(IFERROR(INDEX('Both teabags AfterDry'!$D$1:$D$839,MATCH(H125,'Both teabags AfterDry'!$A$1:$A$839,0)),"")))</f>
        <v/>
      </c>
      <c r="T125" s="195" t="str">
        <f>IF(IFERROR(INDEX('Both teabags AfterDry'!$D$1:$D$839,MATCH(I125,'Both teabags AfterDry'!$A$1:$A$839,0)),"")="N.A","",(IFERROR(INDEX('Both teabags AfterDry'!$D$1:$D$839,MATCH(I125,'Both teabags AfterDry'!$A$1:$A$839,0)),"")))</f>
        <v/>
      </c>
      <c r="U125" s="195" t="str">
        <f t="shared" si="7"/>
        <v/>
      </c>
      <c r="V125" s="195" t="str">
        <f t="shared" si="7"/>
        <v/>
      </c>
      <c r="W125" s="195" t="str">
        <f>IFERROR(INDEX('Ashed teabags dry'!$K$2:$K$821,MATCH(H125,'Ashed teabags dry'!$A$2:$A$821,0)),"")</f>
        <v/>
      </c>
      <c r="X125" s="195" t="str">
        <f>IFERROR(INDEX('Ashed teabags dry'!$K$2:$K$821,MATCH(I125,'Ashed teabags dry'!$A$2:$A$821,0)),"")</f>
        <v/>
      </c>
      <c r="Y125" s="195" t="str">
        <f t="shared" si="2"/>
        <v/>
      </c>
      <c r="Z125" s="195" t="str">
        <f t="shared" si="2"/>
        <v/>
      </c>
      <c r="AA125" s="195" t="str">
        <f t="shared" si="8"/>
        <v/>
      </c>
      <c r="AB125" s="195" t="str">
        <f t="shared" si="9"/>
        <v/>
      </c>
      <c r="AC125" s="195" t="str">
        <f t="shared" si="3"/>
        <v/>
      </c>
      <c r="AD125" t="str">
        <f t="shared" si="4"/>
        <v/>
      </c>
      <c r="AE125" s="195" t="str">
        <f t="shared" si="10"/>
        <v/>
      </c>
      <c r="AF125" s="195" t="str">
        <f t="shared" si="11"/>
        <v/>
      </c>
      <c r="AG125" s="255" t="str">
        <f>IF(ISNUMBER(SEARCH("C", 'Dry_Litterbag Placem_Collection'!AB52)),"YES","NO")</f>
        <v>NO</v>
      </c>
      <c r="AH125" s="255" t="str">
        <f>IF(ISNUMBER(SEARCH("H", 'Dry_Litterbag Placem_Collection'!AB52)),"YES","NO")</f>
        <v>NO</v>
      </c>
      <c r="AI125" s="255" t="str">
        <f>IF(ISNUMBER(SEARCH("R", 'Dry_Litterbag Placem_Collection'!AB52)),"YES","NO")</f>
        <v>NO</v>
      </c>
      <c r="AJ125" s="255" t="str">
        <f>IF(ISNUMBER(SEARCH("C", 'Dry_Litterbag Placem_Collection'!AA52)),"YES","NO")</f>
        <v>NO</v>
      </c>
      <c r="AK125" s="255" t="str">
        <f>IF(ISNUMBER(SEARCH("H", 'Dry_Litterbag Placem_Collection'!AA52)),"YES","NO")</f>
        <v>NO</v>
      </c>
      <c r="AL125" s="255" t="str">
        <f>IF(ISNUMBER(SEARCH("R", 'Dry_Litterbag Placem_Collection'!AA52)),"YES","NO")</f>
        <v>NO</v>
      </c>
      <c r="AR125" t="s">
        <v>1774</v>
      </c>
      <c r="AT125" t="s">
        <v>385</v>
      </c>
    </row>
    <row r="126" spans="2:46">
      <c r="B126" t="str">
        <f>'Final data_for_R_analysis_Dryse'!A52</f>
        <v>Dry</v>
      </c>
      <c r="C126" s="263">
        <f>'Final data_for_R_analysis_Dryse'!B52</f>
        <v>51</v>
      </c>
      <c r="D126" t="s">
        <v>3834</v>
      </c>
      <c r="E126" t="s">
        <v>22</v>
      </c>
      <c r="F126" s="386">
        <v>3</v>
      </c>
      <c r="G126" s="16">
        <f>'Dry_Litterbag Placem_Collection'!E53</f>
        <v>42938</v>
      </c>
      <c r="H126" t="str">
        <f>'Final data_for_R_analysis_Dryse'!J52</f>
        <v>G227</v>
      </c>
      <c r="I126" t="str">
        <f>'Final data_for_R_analysis_Dryse'!J272</f>
        <v>R798</v>
      </c>
      <c r="J126">
        <f>IFERROR(INDEX('Green_rooibos initial weight'!$C$5:$C$1749,MATCH(H126, 'Green_rooibos initial weight'!$A$5:$A$1749,0)),"")</f>
        <v>1.986</v>
      </c>
      <c r="K126">
        <f>IFERROR(INDEX('Green_rooibos initial weight'!$C$5:$C$1749,MATCH(I126, 'Green_rooibos initial weight'!$A$5:$A$1749,0)),"")</f>
        <v>2.1850000000000001</v>
      </c>
      <c r="L126" s="195">
        <f t="shared" si="5"/>
        <v>1.7362</v>
      </c>
      <c r="M126" s="240">
        <f>AVERAGE(Ashed_controlls!$K$1:$K$11)</f>
        <v>5.5147656768714146</v>
      </c>
      <c r="N126" s="195">
        <f t="shared" si="0"/>
        <v>1.6404526383181586</v>
      </c>
      <c r="O126" s="195">
        <f t="shared" si="6"/>
        <v>1.9352</v>
      </c>
      <c r="P126" s="240">
        <f>AVERAGE(Ashed_controlls!$K$12:$K$14)</f>
        <v>2.2816647271287041</v>
      </c>
      <c r="Q126" s="195">
        <f t="shared" si="1"/>
        <v>1.8910452242006053</v>
      </c>
      <c r="R126" s="16">
        <f>IF('Dry_Litterbag Placem_Collection'!G53="N.A","",'Dry_Litterbag Placem_Collection'!G53)</f>
        <v>43005</v>
      </c>
      <c r="S126" s="195">
        <f>IF(IFERROR(INDEX('Both teabags AfterDry'!$D$1:$D$839,MATCH(H126,'Both teabags AfterDry'!$A$1:$A$839,0)),"")="N.A","",(IFERROR(INDEX('Both teabags AfterDry'!$D$1:$D$839,MATCH(H126,'Both teabags AfterDry'!$A$1:$A$839,0)),"")))</f>
        <v>1.7715000000000001</v>
      </c>
      <c r="T126" s="195">
        <f>IF(IFERROR(INDEX('Both teabags AfterDry'!$D$1:$D$839,MATCH(I126,'Both teabags AfterDry'!$A$1:$A$839,0)),"")="N.A","",(IFERROR(INDEX('Both teabags AfterDry'!$D$1:$D$839,MATCH(I126,'Both teabags AfterDry'!$A$1:$A$839,0)),"")))</f>
        <v>1.8956999999999999</v>
      </c>
      <c r="U126" s="195">
        <f t="shared" si="7"/>
        <v>1.6209</v>
      </c>
      <c r="V126" s="195">
        <f t="shared" si="7"/>
        <v>1.7450999999999999</v>
      </c>
      <c r="W126" s="195">
        <f>IFERROR(INDEX('Ashed teabags dry'!$K$2:$K$821,MATCH(H126,'Ashed teabags dry'!$A$2:$A$821,0)),"")</f>
        <v>5.9108954565503948</v>
      </c>
      <c r="X126" s="195">
        <f>IFERROR(INDEX('Ashed teabags dry'!$K$2:$K$821,MATCH(I126,'Ashed teabags dry'!$A$2:$A$821,0)),"")</f>
        <v>3.1954887218038985</v>
      </c>
      <c r="Y126" s="195">
        <f t="shared" si="2"/>
        <v>1.5250902955447747</v>
      </c>
      <c r="Z126" s="195">
        <f t="shared" si="2"/>
        <v>1.6893355263158001</v>
      </c>
      <c r="AA126" s="195">
        <f t="shared" si="8"/>
        <v>7.0323482725875519E-2</v>
      </c>
      <c r="AB126" s="195">
        <f t="shared" si="9"/>
        <v>4.6102805777533583E-2</v>
      </c>
      <c r="AC126" s="195">
        <f t="shared" si="3"/>
        <v>0.89333428132578208</v>
      </c>
      <c r="AD126">
        <f t="shared" si="4"/>
        <v>67</v>
      </c>
      <c r="AE126" s="195">
        <f t="shared" si="10"/>
        <v>0.91648042431606236</v>
      </c>
      <c r="AF126" s="195" t="str">
        <f t="shared" si="11"/>
        <v/>
      </c>
      <c r="AG126" s="255" t="str">
        <f>IF(ISNUMBER(SEARCH("C", 'Dry_Litterbag Placem_Collection'!AB53)),"YES","NO")</f>
        <v>NO</v>
      </c>
      <c r="AH126" s="255" t="str">
        <f>IF(ISNUMBER(SEARCH("H", 'Dry_Litterbag Placem_Collection'!AB53)),"YES","NO")</f>
        <v>NO</v>
      </c>
      <c r="AI126" s="255" t="str">
        <f>IF(ISNUMBER(SEARCH("R", 'Dry_Litterbag Placem_Collection'!AB53)),"YES","NO")</f>
        <v>NO</v>
      </c>
      <c r="AJ126" s="255" t="str">
        <f>IF(ISNUMBER(SEARCH("C", 'Dry_Litterbag Placem_Collection'!AA53)),"YES","NO")</f>
        <v>NO</v>
      </c>
      <c r="AK126" s="255" t="str">
        <f>IF(ISNUMBER(SEARCH("H", 'Dry_Litterbag Placem_Collection'!AA53)),"YES","NO")</f>
        <v>NO</v>
      </c>
      <c r="AL126" s="255" t="str">
        <f>IF(ISNUMBER(SEARCH("R", 'Dry_Litterbag Placem_Collection'!AA53)),"YES","NO")</f>
        <v>NO</v>
      </c>
      <c r="AR126" t="s">
        <v>1823</v>
      </c>
      <c r="AT126" t="s">
        <v>341</v>
      </c>
    </row>
    <row r="127" spans="2:46">
      <c r="B127" t="str">
        <f>'Final data_for_R_analysis_Dryse'!A53</f>
        <v>Dry</v>
      </c>
      <c r="C127" s="263">
        <f>'Final data_for_R_analysis_Dryse'!B53</f>
        <v>52</v>
      </c>
      <c r="D127" t="s">
        <v>3834</v>
      </c>
      <c r="E127" t="s">
        <v>22</v>
      </c>
      <c r="F127" s="387">
        <v>4</v>
      </c>
      <c r="G127" s="16">
        <f>'Dry_Litterbag Placem_Collection'!E54</f>
        <v>42938</v>
      </c>
      <c r="H127" t="str">
        <f>'Final data_for_R_analysis_Dryse'!J53</f>
        <v>G237</v>
      </c>
      <c r="I127" t="str">
        <f>'Final data_for_R_analysis_Dryse'!J273</f>
        <v>R833</v>
      </c>
      <c r="J127">
        <f>IFERROR(INDEX('Green_rooibos initial weight'!$C$5:$C$1749,MATCH(H127, 'Green_rooibos initial weight'!$A$5:$A$1749,0)),"")</f>
        <v>1.988</v>
      </c>
      <c r="K127">
        <f>IFERROR(INDEX('Green_rooibos initial weight'!$C$5:$C$1749,MATCH(I127, 'Green_rooibos initial weight'!$A$5:$A$1749,0)),"")</f>
        <v>2.218</v>
      </c>
      <c r="L127" s="195">
        <f t="shared" si="5"/>
        <v>1.7382</v>
      </c>
      <c r="M127" s="240">
        <f>AVERAGE(Ashed_controlls!$K$1:$K$11)</f>
        <v>5.5147656768714146</v>
      </c>
      <c r="N127" s="195">
        <f t="shared" si="0"/>
        <v>1.6423423430046211</v>
      </c>
      <c r="O127" s="195">
        <f t="shared" si="6"/>
        <v>1.9681999999999999</v>
      </c>
      <c r="P127" s="240">
        <f>AVERAGE(Ashed_controlls!$K$12:$K$14)</f>
        <v>2.2816647271287041</v>
      </c>
      <c r="Q127" s="195">
        <f t="shared" si="1"/>
        <v>1.9232922748406529</v>
      </c>
      <c r="R127" s="16">
        <f>IF('Dry_Litterbag Placem_Collection'!G54="N.A","",'Dry_Litterbag Placem_Collection'!G54)</f>
        <v>43005</v>
      </c>
      <c r="S127" s="195">
        <f>IF(IFERROR(INDEX('Both teabags AfterDry'!$D$1:$D$839,MATCH(H127,'Both teabags AfterDry'!$A$1:$A$839,0)),"")="N.A","",(IFERROR(INDEX('Both teabags AfterDry'!$D$1:$D$839,MATCH(H127,'Both teabags AfterDry'!$A$1:$A$839,0)),"")))</f>
        <v>1.8220000000000001</v>
      </c>
      <c r="T127" s="195">
        <f>IF(IFERROR(INDEX('Both teabags AfterDry'!$D$1:$D$839,MATCH(I127,'Both teabags AfterDry'!$A$1:$A$839,0)),"")="N.A","",(IFERROR(INDEX('Both teabags AfterDry'!$D$1:$D$839,MATCH(I127,'Both teabags AfterDry'!$A$1:$A$839,0)),"")))</f>
        <v>1.9791000000000001</v>
      </c>
      <c r="U127" s="195">
        <f t="shared" si="7"/>
        <v>1.6714</v>
      </c>
      <c r="V127" s="195">
        <f t="shared" si="7"/>
        <v>1.8285</v>
      </c>
      <c r="W127" s="195">
        <f>IFERROR(INDEX('Ashed teabags dry'!$K$2:$K$821,MATCH(H127,'Ashed teabags dry'!$A$2:$A$821,0)),"")</f>
        <v>5.8161350844273088</v>
      </c>
      <c r="X127" s="195">
        <f>IFERROR(INDEX('Ashed teabags dry'!$K$2:$K$821,MATCH(I127,'Ashed teabags dry'!$A$2:$A$821,0)),"")</f>
        <v>3.0042918454938667</v>
      </c>
      <c r="Y127" s="195">
        <f t="shared" si="2"/>
        <v>1.5741891181988819</v>
      </c>
      <c r="Z127" s="195">
        <f t="shared" si="2"/>
        <v>1.7735665236051446</v>
      </c>
      <c r="AA127" s="195">
        <f t="shared" si="8"/>
        <v>4.1497575152970145E-2</v>
      </c>
      <c r="AB127" s="195">
        <f t="shared" si="9"/>
        <v>2.720506114541513E-2</v>
      </c>
      <c r="AC127" s="195">
        <f t="shared" si="3"/>
        <v>0.92215132707902481</v>
      </c>
      <c r="AD127">
        <f t="shared" si="4"/>
        <v>67</v>
      </c>
      <c r="AE127" s="195">
        <f t="shared" si="10"/>
        <v>0.95071546893946535</v>
      </c>
      <c r="AF127" s="195" t="str">
        <f t="shared" si="11"/>
        <v/>
      </c>
      <c r="AG127" s="255" t="str">
        <f>IF(ISNUMBER(SEARCH("C", 'Dry_Litterbag Placem_Collection'!AB54)),"YES","NO")</f>
        <v>NO</v>
      </c>
      <c r="AH127" s="255" t="str">
        <f>IF(ISNUMBER(SEARCH("H", 'Dry_Litterbag Placem_Collection'!AB54)),"YES","NO")</f>
        <v>NO</v>
      </c>
      <c r="AI127" s="255" t="str">
        <f>IF(ISNUMBER(SEARCH("R", 'Dry_Litterbag Placem_Collection'!AB54)),"YES","NO")</f>
        <v>NO</v>
      </c>
      <c r="AJ127" s="255" t="str">
        <f>IF(ISNUMBER(SEARCH("C", 'Dry_Litterbag Placem_Collection'!AA54)),"YES","NO")</f>
        <v>NO</v>
      </c>
      <c r="AK127" s="255" t="str">
        <f>IF(ISNUMBER(SEARCH("H", 'Dry_Litterbag Placem_Collection'!AA54)),"YES","NO")</f>
        <v>NO</v>
      </c>
      <c r="AL127" s="255" t="str">
        <f>IF(ISNUMBER(SEARCH("R", 'Dry_Litterbag Placem_Collection'!AA54)),"YES","NO")</f>
        <v>NO</v>
      </c>
      <c r="AR127" t="s">
        <v>1813</v>
      </c>
      <c r="AT127" t="s">
        <v>306</v>
      </c>
    </row>
    <row r="128" spans="2:46">
      <c r="B128" t="str">
        <f>'Final data_for_R_analysis_Dryse'!A54</f>
        <v>Dry</v>
      </c>
      <c r="C128" s="263">
        <f>'Final data_for_R_analysis_Dryse'!B54</f>
        <v>53</v>
      </c>
      <c r="D128" t="s">
        <v>3834</v>
      </c>
      <c r="E128" t="s">
        <v>22</v>
      </c>
      <c r="F128" s="387">
        <v>5</v>
      </c>
      <c r="G128" s="16">
        <f>'Dry_Litterbag Placem_Collection'!E55</f>
        <v>42938</v>
      </c>
      <c r="H128" t="str">
        <f>'Final data_for_R_analysis_Dryse'!J54</f>
        <v>G172</v>
      </c>
      <c r="I128" t="str">
        <f>'Final data_for_R_analysis_Dryse'!J274</f>
        <v>R734</v>
      </c>
      <c r="J128">
        <f>IFERROR(INDEX('Green_rooibos initial weight'!$C$5:$C$1749,MATCH(H128, 'Green_rooibos initial weight'!$A$5:$A$1749,0)),"")</f>
        <v>1.9870000000000001</v>
      </c>
      <c r="K128">
        <f>IFERROR(INDEX('Green_rooibos initial weight'!$C$5:$C$1749,MATCH(I128, 'Green_rooibos initial weight'!$A$5:$A$1749,0)),"")</f>
        <v>2.1589999999999998</v>
      </c>
      <c r="L128" s="195">
        <f t="shared" si="5"/>
        <v>1.7372000000000001</v>
      </c>
      <c r="M128" s="240">
        <f>AVERAGE(Ashed_controlls!$K$1:$K$11)</f>
        <v>5.5147656768714146</v>
      </c>
      <c r="N128" s="195">
        <f t="shared" si="0"/>
        <v>1.64139749066139</v>
      </c>
      <c r="O128" s="195">
        <f t="shared" si="6"/>
        <v>1.9091999999999998</v>
      </c>
      <c r="P128" s="240">
        <f>AVERAGE(Ashed_controlls!$K$12:$K$14)</f>
        <v>2.2816647271287041</v>
      </c>
      <c r="Q128" s="195">
        <f t="shared" si="1"/>
        <v>1.8656384570296585</v>
      </c>
      <c r="R128" s="16">
        <f>IF('Dry_Litterbag Placem_Collection'!G55="N.A","",'Dry_Litterbag Placem_Collection'!G55)</f>
        <v>43005</v>
      </c>
      <c r="S128" s="195">
        <f>IF(IFERROR(INDEX('Both teabags AfterDry'!$D$1:$D$839,MATCH(H128,'Both teabags AfterDry'!$A$1:$A$839,0)),"")="N.A","",(IFERROR(INDEX('Both teabags AfterDry'!$D$1:$D$839,MATCH(H128,'Both teabags AfterDry'!$A$1:$A$839,0)),"")))</f>
        <v>1.8197000000000001</v>
      </c>
      <c r="T128" s="195">
        <f>IF(IFERROR(INDEX('Both teabags AfterDry'!$D$1:$D$839,MATCH(I128,'Both teabags AfterDry'!$A$1:$A$839,0)),"")="N.A","",(IFERROR(INDEX('Both teabags AfterDry'!$D$1:$D$839,MATCH(I128,'Both teabags AfterDry'!$A$1:$A$839,0)),"")))</f>
        <v>1.8914</v>
      </c>
      <c r="U128" s="195">
        <f t="shared" si="7"/>
        <v>1.6691</v>
      </c>
      <c r="V128" s="195">
        <f t="shared" si="7"/>
        <v>1.7407999999999999</v>
      </c>
      <c r="W128" s="195">
        <f>IFERROR(INDEX('Ashed teabags dry'!$K$2:$K$821,MATCH(H128,'Ashed teabags dry'!$A$2:$A$821,0)),"")</f>
        <v>5.6308213378488601</v>
      </c>
      <c r="X128" s="195">
        <f>IFERROR(INDEX('Ashed teabags dry'!$K$2:$K$821,MATCH(I128,'Ashed teabags dry'!$A$2:$A$821,0)),"")</f>
        <v>2.63419483101393</v>
      </c>
      <c r="Y128" s="195">
        <f t="shared" si="2"/>
        <v>1.5751159610499648</v>
      </c>
      <c r="Z128" s="195">
        <f t="shared" si="2"/>
        <v>1.6949439363817094</v>
      </c>
      <c r="AA128" s="195">
        <f t="shared" si="8"/>
        <v>4.0381156903509963E-2</v>
      </c>
      <c r="AB128" s="195">
        <f t="shared" si="9"/>
        <v>2.6473157494937682E-2</v>
      </c>
      <c r="AC128" s="195">
        <f t="shared" si="3"/>
        <v>0.9085061095279322</v>
      </c>
      <c r="AD128">
        <f t="shared" si="4"/>
        <v>67</v>
      </c>
      <c r="AE128" s="195">
        <f t="shared" si="10"/>
        <v>0.95204138134975058</v>
      </c>
      <c r="AF128" s="195" t="str">
        <f t="shared" si="11"/>
        <v/>
      </c>
      <c r="AG128" s="255" t="str">
        <f>IF(ISNUMBER(SEARCH("C", 'Dry_Litterbag Placem_Collection'!AB55)),"YES","NO")</f>
        <v>NO</v>
      </c>
      <c r="AH128" s="255" t="str">
        <f>IF(ISNUMBER(SEARCH("H", 'Dry_Litterbag Placem_Collection'!AB55)),"YES","NO")</f>
        <v>NO</v>
      </c>
      <c r="AI128" s="255" t="str">
        <f>IF(ISNUMBER(SEARCH("R", 'Dry_Litterbag Placem_Collection'!AB55)),"YES","NO")</f>
        <v>NO</v>
      </c>
      <c r="AJ128" s="255" t="str">
        <f>IF(ISNUMBER(SEARCH("C", 'Dry_Litterbag Placem_Collection'!AA55)),"YES","NO")</f>
        <v>NO</v>
      </c>
      <c r="AK128" s="255" t="str">
        <f>IF(ISNUMBER(SEARCH("H", 'Dry_Litterbag Placem_Collection'!AA55)),"YES","NO")</f>
        <v>NO</v>
      </c>
      <c r="AL128" s="255" t="str">
        <f>IF(ISNUMBER(SEARCH("R", 'Dry_Litterbag Placem_Collection'!AA55)),"YES","NO")</f>
        <v>NO</v>
      </c>
      <c r="AR128" t="s">
        <v>1878</v>
      </c>
      <c r="AT128" t="s">
        <v>405</v>
      </c>
    </row>
    <row r="129" spans="2:46">
      <c r="B129" t="str">
        <f>'Final data_for_R_analysis_Dryse'!A55</f>
        <v>Dry</v>
      </c>
      <c r="C129" s="263">
        <f>'Final data_for_R_analysis_Dryse'!B55</f>
        <v>54</v>
      </c>
      <c r="D129" t="s">
        <v>3834</v>
      </c>
      <c r="E129" t="s">
        <v>22</v>
      </c>
      <c r="F129" s="387">
        <v>6</v>
      </c>
      <c r="G129" s="16">
        <f>'Dry_Litterbag Placem_Collection'!E56</f>
        <v>0</v>
      </c>
      <c r="H129" t="str">
        <f>'Final data_for_R_analysis_Dryse'!J55</f>
        <v/>
      </c>
      <c r="I129" t="str">
        <f>'Final data_for_R_analysis_Dryse'!J275</f>
        <v/>
      </c>
      <c r="J129" t="str">
        <f>IFERROR(INDEX('Green_rooibos initial weight'!$C$5:$C$1749,MATCH(H129, 'Green_rooibos initial weight'!$A$5:$A$1749,0)),"")</f>
        <v/>
      </c>
      <c r="K129" t="str">
        <f>IFERROR(INDEX('Green_rooibos initial weight'!$C$5:$C$1749,MATCH(I129, 'Green_rooibos initial weight'!$A$5:$A$1749,0)),"")</f>
        <v/>
      </c>
      <c r="L129" s="195" t="str">
        <f t="shared" si="5"/>
        <v/>
      </c>
      <c r="M129" s="240">
        <f>AVERAGE(Ashed_controlls!$K$1:$K$11)</f>
        <v>5.5147656768714146</v>
      </c>
      <c r="N129" s="195" t="str">
        <f t="shared" si="0"/>
        <v/>
      </c>
      <c r="O129" s="195" t="str">
        <f t="shared" si="6"/>
        <v/>
      </c>
      <c r="P129" s="240">
        <f>AVERAGE(Ashed_controlls!$K$12:$K$14)</f>
        <v>2.2816647271287041</v>
      </c>
      <c r="Q129" s="195" t="str">
        <f t="shared" si="1"/>
        <v/>
      </c>
      <c r="R129" s="16">
        <f>IF('Dry_Litterbag Placem_Collection'!G56="N.A","",'Dry_Litterbag Placem_Collection'!G56)</f>
        <v>0</v>
      </c>
      <c r="S129" s="195" t="str">
        <f>IF(IFERROR(INDEX('Both teabags AfterDry'!$D$1:$D$839,MATCH(H129,'Both teabags AfterDry'!$A$1:$A$839,0)),"")="N.A","",(IFERROR(INDEX('Both teabags AfterDry'!$D$1:$D$839,MATCH(H129,'Both teabags AfterDry'!$A$1:$A$839,0)),"")))</f>
        <v/>
      </c>
      <c r="T129" s="195" t="str">
        <f>IF(IFERROR(INDEX('Both teabags AfterDry'!$D$1:$D$839,MATCH(I129,'Both teabags AfterDry'!$A$1:$A$839,0)),"")="N.A","",(IFERROR(INDEX('Both teabags AfterDry'!$D$1:$D$839,MATCH(I129,'Both teabags AfterDry'!$A$1:$A$839,0)),"")))</f>
        <v/>
      </c>
      <c r="U129" s="195" t="str">
        <f t="shared" si="7"/>
        <v/>
      </c>
      <c r="V129" s="195" t="str">
        <f t="shared" si="7"/>
        <v/>
      </c>
      <c r="W129" s="195" t="str">
        <f>IFERROR(INDEX('Ashed teabags dry'!$K$2:$K$821,MATCH(H129,'Ashed teabags dry'!$A$2:$A$821,0)),"")</f>
        <v/>
      </c>
      <c r="X129" s="195" t="str">
        <f>IFERROR(INDEX('Ashed teabags dry'!$K$2:$K$821,MATCH(I129,'Ashed teabags dry'!$A$2:$A$821,0)),"")</f>
        <v/>
      </c>
      <c r="Y129" s="195" t="str">
        <f t="shared" si="2"/>
        <v/>
      </c>
      <c r="Z129" s="195" t="str">
        <f t="shared" si="2"/>
        <v/>
      </c>
      <c r="AA129" s="195" t="str">
        <f t="shared" si="8"/>
        <v/>
      </c>
      <c r="AB129" s="195" t="str">
        <f t="shared" si="9"/>
        <v/>
      </c>
      <c r="AC129" s="195" t="str">
        <f t="shared" si="3"/>
        <v/>
      </c>
      <c r="AD129" t="str">
        <f t="shared" si="4"/>
        <v/>
      </c>
      <c r="AE129" s="195" t="str">
        <f t="shared" si="10"/>
        <v/>
      </c>
      <c r="AF129" s="195" t="str">
        <f t="shared" si="11"/>
        <v/>
      </c>
      <c r="AG129" s="255" t="str">
        <f>IF(ISNUMBER(SEARCH("C", 'Dry_Litterbag Placem_Collection'!AB56)),"YES","NO")</f>
        <v>NO</v>
      </c>
      <c r="AH129" s="255" t="str">
        <f>IF(ISNUMBER(SEARCH("H", 'Dry_Litterbag Placem_Collection'!AB56)),"YES","NO")</f>
        <v>NO</v>
      </c>
      <c r="AI129" s="255" t="str">
        <f>IF(ISNUMBER(SEARCH("R", 'Dry_Litterbag Placem_Collection'!AB56)),"YES","NO")</f>
        <v>NO</v>
      </c>
      <c r="AJ129" s="255" t="str">
        <f>IF(ISNUMBER(SEARCH("C", 'Dry_Litterbag Placem_Collection'!AA56)),"YES","NO")</f>
        <v>NO</v>
      </c>
      <c r="AK129" s="255" t="str">
        <f>IF(ISNUMBER(SEARCH("H", 'Dry_Litterbag Placem_Collection'!AA56)),"YES","NO")</f>
        <v>NO</v>
      </c>
      <c r="AL129" s="255" t="str">
        <f>IF(ISNUMBER(SEARCH("R", 'Dry_Litterbag Placem_Collection'!AA56)),"YES","NO")</f>
        <v>NO</v>
      </c>
      <c r="AR129" t="s">
        <v>3654</v>
      </c>
      <c r="AT129" t="s">
        <v>3654</v>
      </c>
    </row>
    <row r="130" spans="2:46">
      <c r="B130" t="str">
        <f>'Final data_for_R_analysis_Dryse'!A56</f>
        <v>Dry</v>
      </c>
      <c r="C130" s="263">
        <f>'Final data_for_R_analysis_Dryse'!B56</f>
        <v>55</v>
      </c>
      <c r="D130" t="s">
        <v>3834</v>
      </c>
      <c r="E130" t="s">
        <v>22</v>
      </c>
      <c r="F130" s="387">
        <v>7</v>
      </c>
      <c r="G130" s="16">
        <f>'Dry_Litterbag Placem_Collection'!E57</f>
        <v>42938</v>
      </c>
      <c r="H130" t="str">
        <f>'Final data_for_R_analysis_Dryse'!J56</f>
        <v>G86</v>
      </c>
      <c r="I130" t="str">
        <f>'Final data_for_R_analysis_Dryse'!J276</f>
        <v>R839</v>
      </c>
      <c r="J130">
        <f>IFERROR(INDEX('Green_rooibos initial weight'!$C$5:$C$1749,MATCH(H130, 'Green_rooibos initial weight'!$A$5:$A$1749,0)),"")</f>
        <v>2.1030000000000002</v>
      </c>
      <c r="K130">
        <f>IFERROR(INDEX('Green_rooibos initial weight'!$C$5:$C$1749,MATCH(I130, 'Green_rooibos initial weight'!$A$5:$A$1749,0)),"")</f>
        <v>2.2269999999999999</v>
      </c>
      <c r="L130" s="195">
        <f t="shared" si="5"/>
        <v>1.8532000000000002</v>
      </c>
      <c r="M130" s="240">
        <f>AVERAGE(Ashed_controlls!$K$1:$K$11)</f>
        <v>5.5147656768714146</v>
      </c>
      <c r="N130" s="195">
        <f t="shared" si="0"/>
        <v>1.7510003624762192</v>
      </c>
      <c r="O130" s="195">
        <f t="shared" si="6"/>
        <v>1.9771999999999998</v>
      </c>
      <c r="P130" s="240">
        <f>AVERAGE(Ashed_controlls!$K$12:$K$14)</f>
        <v>2.2816647271287041</v>
      </c>
      <c r="Q130" s="195">
        <f t="shared" si="1"/>
        <v>1.9320869250152111</v>
      </c>
      <c r="R130" s="16">
        <f>IF('Dry_Litterbag Placem_Collection'!G57="N.A","",'Dry_Litterbag Placem_Collection'!G57)</f>
        <v>43005</v>
      </c>
      <c r="S130" s="195">
        <f>IF(IFERROR(INDEX('Both teabags AfterDry'!$D$1:$D$839,MATCH(H130,'Both teabags AfterDry'!$A$1:$A$839,0)),"")="N.A","",(IFERROR(INDEX('Both teabags AfterDry'!$D$1:$D$839,MATCH(H130,'Both teabags AfterDry'!$A$1:$A$839,0)),"")))</f>
        <v>1.8914</v>
      </c>
      <c r="T130" s="195">
        <f>IF(IFERROR(INDEX('Both teabags AfterDry'!$D$1:$D$839,MATCH(I130,'Both teabags AfterDry'!$A$1:$A$839,0)),"")="N.A","",(IFERROR(INDEX('Both teabags AfterDry'!$D$1:$D$839,MATCH(I130,'Both teabags AfterDry'!$A$1:$A$839,0)),"")))</f>
        <v>1.9775</v>
      </c>
      <c r="U130" s="195">
        <f t="shared" si="7"/>
        <v>1.7407999999999999</v>
      </c>
      <c r="V130" s="195">
        <f t="shared" si="7"/>
        <v>1.8269</v>
      </c>
      <c r="W130" s="195">
        <f>IFERROR(INDEX('Ashed teabags dry'!$K$2:$K$821,MATCH(H130,'Ashed teabags dry'!$A$2:$A$821,0)),"")</f>
        <v>6.1160714285713613</v>
      </c>
      <c r="X130" s="195">
        <f>IFERROR(INDEX('Ashed teabags dry'!$K$2:$K$821,MATCH(I130,'Ashed teabags dry'!$A$2:$A$821,0)),"")</f>
        <v>2.7226580526069402</v>
      </c>
      <c r="Y130" s="195">
        <f t="shared" si="2"/>
        <v>1.6343314285714297</v>
      </c>
      <c r="Z130" s="195">
        <f t="shared" si="2"/>
        <v>1.7771597600369238</v>
      </c>
      <c r="AA130" s="195">
        <f t="shared" si="8"/>
        <v>6.6629874216473262E-2</v>
      </c>
      <c r="AB130" s="195">
        <f t="shared" si="9"/>
        <v>4.3681342716737834E-2</v>
      </c>
      <c r="AC130" s="195">
        <f t="shared" si="3"/>
        <v>0.91981356378307488</v>
      </c>
      <c r="AD130">
        <f t="shared" si="4"/>
        <v>67</v>
      </c>
      <c r="AE130" s="195">
        <f t="shared" si="10"/>
        <v>0.92086713275953291</v>
      </c>
      <c r="AF130" s="195" t="str">
        <f t="shared" si="11"/>
        <v/>
      </c>
      <c r="AG130" s="255" t="str">
        <f>IF(ISNUMBER(SEARCH("C", 'Dry_Litterbag Placem_Collection'!AB57)),"YES","NO")</f>
        <v>NO</v>
      </c>
      <c r="AH130" s="255" t="str">
        <f>IF(ISNUMBER(SEARCH("H", 'Dry_Litterbag Placem_Collection'!AB57)),"YES","NO")</f>
        <v>NO</v>
      </c>
      <c r="AI130" s="255" t="str">
        <f>IF(ISNUMBER(SEARCH("R", 'Dry_Litterbag Placem_Collection'!AB57)),"YES","NO")</f>
        <v>NO</v>
      </c>
      <c r="AJ130" s="255" t="str">
        <f>IF(ISNUMBER(SEARCH("C", 'Dry_Litterbag Placem_Collection'!AA57)),"YES","NO")</f>
        <v>NO</v>
      </c>
      <c r="AK130" s="255" t="str">
        <f>IF(ISNUMBER(SEARCH("H", 'Dry_Litterbag Placem_Collection'!AA57)),"YES","NO")</f>
        <v>NO</v>
      </c>
      <c r="AL130" s="255" t="str">
        <f>IF(ISNUMBER(SEARCH("R", 'Dry_Litterbag Placem_Collection'!AA57)),"YES","NO")</f>
        <v>NO</v>
      </c>
      <c r="AR130" t="s">
        <v>1964</v>
      </c>
      <c r="AT130" t="s">
        <v>300</v>
      </c>
    </row>
    <row r="131" spans="2:46">
      <c r="B131" t="str">
        <f>'Final data_for_R_analysis_Dryse'!A57</f>
        <v>Dry</v>
      </c>
      <c r="C131" s="263">
        <f>'Final data_for_R_analysis_Dryse'!B57</f>
        <v>56</v>
      </c>
      <c r="D131" t="s">
        <v>3834</v>
      </c>
      <c r="E131" t="s">
        <v>22</v>
      </c>
      <c r="F131" s="387">
        <v>8</v>
      </c>
      <c r="G131" s="16">
        <f>'Dry_Litterbag Placem_Collection'!E58</f>
        <v>42938</v>
      </c>
      <c r="H131" t="str">
        <f>'Final data_for_R_analysis_Dryse'!J57</f>
        <v>G107</v>
      </c>
      <c r="I131" t="str">
        <f>'Final data_for_R_analysis_Dryse'!J277</f>
        <v>R760</v>
      </c>
      <c r="J131">
        <f>IFERROR(INDEX('Green_rooibos initial weight'!$C$5:$C$1749,MATCH(H131, 'Green_rooibos initial weight'!$A$5:$A$1749,0)),"")</f>
        <v>2.1749999999999998</v>
      </c>
      <c r="K131">
        <f>IFERROR(INDEX('Green_rooibos initial weight'!$C$5:$C$1749,MATCH(I131, 'Green_rooibos initial weight'!$A$5:$A$1749,0)),"")</f>
        <v>2.2320000000000002</v>
      </c>
      <c r="L131" s="195">
        <f t="shared" si="5"/>
        <v>1.9251999999999998</v>
      </c>
      <c r="M131" s="240">
        <f>AVERAGE(Ashed_controlls!$K$1:$K$11)</f>
        <v>5.5147656768714146</v>
      </c>
      <c r="N131" s="195">
        <f t="shared" si="0"/>
        <v>1.8190297311888712</v>
      </c>
      <c r="O131" s="195">
        <f t="shared" si="6"/>
        <v>1.9822000000000002</v>
      </c>
      <c r="P131" s="240">
        <f>AVERAGE(Ashed_controlls!$K$12:$K$14)</f>
        <v>2.2816647271287041</v>
      </c>
      <c r="Q131" s="195">
        <f t="shared" si="1"/>
        <v>1.936972841778855</v>
      </c>
      <c r="R131" s="16">
        <f>IF('Dry_Litterbag Placem_Collection'!G58="N.A","",'Dry_Litterbag Placem_Collection'!G58)</f>
        <v>43005</v>
      </c>
      <c r="S131" s="195">
        <f>IF(IFERROR(INDEX('Both teabags AfterDry'!$D$1:$D$839,MATCH(H131,'Both teabags AfterDry'!$A$1:$A$839,0)),"")="N.A","",(IFERROR(INDEX('Both teabags AfterDry'!$D$1:$D$839,MATCH(H131,'Both teabags AfterDry'!$A$1:$A$839,0)),"")))</f>
        <v>2.0276000000000001</v>
      </c>
      <c r="T131" s="195">
        <f>IF(IFERROR(INDEX('Both teabags AfterDry'!$D$1:$D$839,MATCH(I131,'Both teabags AfterDry'!$A$1:$A$839,0)),"")="N.A","",(IFERROR(INDEX('Both teabags AfterDry'!$D$1:$D$839,MATCH(I131,'Both teabags AfterDry'!$A$1:$A$839,0)),"")))</f>
        <v>1.9821</v>
      </c>
      <c r="U131" s="195">
        <f t="shared" si="7"/>
        <v>1.877</v>
      </c>
      <c r="V131" s="195">
        <f t="shared" si="7"/>
        <v>1.8314999999999999</v>
      </c>
      <c r="W131" s="195">
        <f>IFERROR(INDEX('Ashed teabags dry'!$K$2:$K$821,MATCH(H131,'Ashed teabags dry'!$A$2:$A$821,0)),"")</f>
        <v>5.6218057921633493</v>
      </c>
      <c r="X131" s="195">
        <f>IFERROR(INDEX('Ashed teabags dry'!$K$2:$K$821,MATCH(I131,'Ashed teabags dry'!$A$2:$A$821,0)),"")</f>
        <v>2.8949950932292219</v>
      </c>
      <c r="Y131" s="195">
        <f t="shared" si="2"/>
        <v>1.7714787052810939</v>
      </c>
      <c r="Z131" s="195">
        <f t="shared" si="2"/>
        <v>1.7784781648675068</v>
      </c>
      <c r="AA131" s="195">
        <f t="shared" si="8"/>
        <v>2.614087339666471E-2</v>
      </c>
      <c r="AB131" s="195">
        <f t="shared" si="9"/>
        <v>1.7137484697100851E-2</v>
      </c>
      <c r="AC131" s="195">
        <f t="shared" si="3"/>
        <v>0.91817403244240037</v>
      </c>
      <c r="AD131">
        <f t="shared" si="4"/>
        <v>67</v>
      </c>
      <c r="AE131" s="195">
        <f t="shared" si="10"/>
        <v>0.96895383207046948</v>
      </c>
      <c r="AF131" s="195" t="str">
        <f t="shared" si="11"/>
        <v/>
      </c>
      <c r="AG131" s="255" t="str">
        <f>IF(ISNUMBER(SEARCH("C", 'Dry_Litterbag Placem_Collection'!AB58)),"YES","NO")</f>
        <v>NO</v>
      </c>
      <c r="AH131" s="255" t="str">
        <f>IF(ISNUMBER(SEARCH("H", 'Dry_Litterbag Placem_Collection'!AB58)),"YES","NO")</f>
        <v>NO</v>
      </c>
      <c r="AI131" s="255" t="str">
        <f>IF(ISNUMBER(SEARCH("R", 'Dry_Litterbag Placem_Collection'!AB58)),"YES","NO")</f>
        <v>NO</v>
      </c>
      <c r="AJ131" s="255" t="str">
        <f>IF(ISNUMBER(SEARCH("C", 'Dry_Litterbag Placem_Collection'!AA58)),"YES","NO")</f>
        <v>NO</v>
      </c>
      <c r="AK131" s="255" t="str">
        <f>IF(ISNUMBER(SEARCH("H", 'Dry_Litterbag Placem_Collection'!AA58)),"YES","NO")</f>
        <v>NO</v>
      </c>
      <c r="AL131" s="255" t="str">
        <f>IF(ISNUMBER(SEARCH("R", 'Dry_Litterbag Placem_Collection'!AA58)),"YES","NO")</f>
        <v>NO</v>
      </c>
      <c r="AR131" t="s">
        <v>1943</v>
      </c>
      <c r="AT131" t="s">
        <v>379</v>
      </c>
    </row>
    <row r="132" spans="2:46">
      <c r="B132" t="str">
        <f>'Final data_for_R_analysis_Dryse'!A58</f>
        <v>Dry</v>
      </c>
      <c r="C132" s="263">
        <f>'Final data_for_R_analysis_Dryse'!B58</f>
        <v>57</v>
      </c>
      <c r="D132" t="s">
        <v>3835</v>
      </c>
      <c r="E132" t="s">
        <v>22</v>
      </c>
      <c r="F132" s="386">
        <v>1</v>
      </c>
      <c r="G132" s="16">
        <f>'Dry_Litterbag Placem_Collection'!E59</f>
        <v>42938</v>
      </c>
      <c r="H132" t="str">
        <f>'Final data_for_R_analysis_Dryse'!J58</f>
        <v>G41</v>
      </c>
      <c r="I132" t="str">
        <f>'Final data_for_R_analysis_Dryse'!J278</f>
        <v>R830</v>
      </c>
      <c r="J132">
        <f>IFERROR(INDEX('Green_rooibos initial weight'!$C$5:$C$1749,MATCH(H132, 'Green_rooibos initial weight'!$A$5:$A$1749,0)),"")</f>
        <v>1.9850000000000001</v>
      </c>
      <c r="K132">
        <f>IFERROR(INDEX('Green_rooibos initial weight'!$C$5:$C$1749,MATCH(I132, 'Green_rooibos initial weight'!$A$5:$A$1749,0)),"")</f>
        <v>2.2160000000000002</v>
      </c>
      <c r="L132" s="195">
        <f t="shared" si="5"/>
        <v>1.7352000000000001</v>
      </c>
      <c r="M132" s="240">
        <f>AVERAGE(Ashed_controlls!$K$1:$K$11)</f>
        <v>5.5147656768714146</v>
      </c>
      <c r="N132" s="195">
        <f t="shared" si="0"/>
        <v>1.6395077859749272</v>
      </c>
      <c r="O132" s="195">
        <f t="shared" si="6"/>
        <v>1.9662000000000002</v>
      </c>
      <c r="P132" s="240">
        <f>AVERAGE(Ashed_controlls!$K$12:$K$14)</f>
        <v>2.2816647271287041</v>
      </c>
      <c r="Q132" s="195">
        <f t="shared" si="1"/>
        <v>1.9213379081351956</v>
      </c>
      <c r="R132" s="16">
        <f>IF('Dry_Litterbag Placem_Collection'!G59="N.A","",'Dry_Litterbag Placem_Collection'!G59)</f>
        <v>43005</v>
      </c>
      <c r="S132" s="195">
        <f>IF(IFERROR(INDEX('Both teabags AfterDry'!$D$1:$D$839,MATCH(H132,'Both teabags AfterDry'!$A$1:$A$839,0)),"")="N.A","",(IFERROR(INDEX('Both teabags AfterDry'!$D$1:$D$839,MATCH(H132,'Both teabags AfterDry'!$A$1:$A$839,0)),"")))</f>
        <v>1.7847</v>
      </c>
      <c r="T132" s="195">
        <f>IF(IFERROR(INDEX('Both teabags AfterDry'!$D$1:$D$839,MATCH(I132,'Both teabags AfterDry'!$A$1:$A$839,0)),"")="N.A","",(IFERROR(INDEX('Both teabags AfterDry'!$D$1:$D$839,MATCH(I132,'Both teabags AfterDry'!$A$1:$A$839,0)),"")))</f>
        <v>1.9719</v>
      </c>
      <c r="U132" s="195">
        <f t="shared" si="7"/>
        <v>1.6340999999999999</v>
      </c>
      <c r="V132" s="195">
        <f t="shared" si="7"/>
        <v>1.8212999999999999</v>
      </c>
      <c r="W132" s="195">
        <f>IFERROR(INDEX('Ashed teabags dry'!$K$2:$K$821,MATCH(H132,'Ashed teabags dry'!$A$2:$A$821,0)),"")</f>
        <v>6.1166429587480353</v>
      </c>
      <c r="X132" s="195">
        <f>IFERROR(INDEX('Ashed teabags dry'!$K$2:$K$821,MATCH(I132,'Ashed teabags dry'!$A$2:$A$821,0)),"")</f>
        <v>2.183219178082795</v>
      </c>
      <c r="Y132" s="195">
        <f t="shared" si="2"/>
        <v>1.5341479374110982</v>
      </c>
      <c r="Z132" s="195">
        <f t="shared" si="2"/>
        <v>1.781537029109578</v>
      </c>
      <c r="AA132" s="195">
        <f t="shared" si="8"/>
        <v>6.4263097415653392E-2</v>
      </c>
      <c r="AB132" s="195">
        <f t="shared" si="9"/>
        <v>4.2129726571782267E-2</v>
      </c>
      <c r="AC132" s="195">
        <f t="shared" si="3"/>
        <v>0.92723774488928656</v>
      </c>
      <c r="AD132">
        <f t="shared" si="4"/>
        <v>67</v>
      </c>
      <c r="AE132" s="195">
        <f t="shared" si="10"/>
        <v>0.92367803157285822</v>
      </c>
      <c r="AF132" s="195" t="str">
        <f t="shared" si="11"/>
        <v/>
      </c>
      <c r="AG132" s="255" t="str">
        <f>IF(ISNUMBER(SEARCH("C", 'Dry_Litterbag Placem_Collection'!AB59)),"YES","NO")</f>
        <v>NO</v>
      </c>
      <c r="AH132" s="255" t="str">
        <f>IF(ISNUMBER(SEARCH("H", 'Dry_Litterbag Placem_Collection'!AB59)),"YES","NO")</f>
        <v>NO</v>
      </c>
      <c r="AI132" s="255" t="str">
        <f>IF(ISNUMBER(SEARCH("R", 'Dry_Litterbag Placem_Collection'!AB59)),"YES","NO")</f>
        <v>NO</v>
      </c>
      <c r="AJ132" s="255" t="str">
        <f>IF(ISNUMBER(SEARCH("C", 'Dry_Litterbag Placem_Collection'!AA59)),"YES","NO")</f>
        <v>NO</v>
      </c>
      <c r="AK132" s="255" t="str">
        <f>IF(ISNUMBER(SEARCH("H", 'Dry_Litterbag Placem_Collection'!AA59)),"YES","NO")</f>
        <v>NO</v>
      </c>
      <c r="AL132" s="255" t="str">
        <f>IF(ISNUMBER(SEARCH("R", 'Dry_Litterbag Placem_Collection'!AA59)),"YES","NO")</f>
        <v>NO</v>
      </c>
      <c r="AR132" t="s">
        <v>2009</v>
      </c>
      <c r="AT132" t="s">
        <v>309</v>
      </c>
    </row>
    <row r="133" spans="2:46">
      <c r="B133" t="str">
        <f>'Final data_for_R_analysis_Dryse'!A59</f>
        <v>Dry</v>
      </c>
      <c r="C133" s="263">
        <f>'Final data_for_R_analysis_Dryse'!B59</f>
        <v>58</v>
      </c>
      <c r="D133" t="s">
        <v>3835</v>
      </c>
      <c r="E133" t="s">
        <v>22</v>
      </c>
      <c r="F133" s="386">
        <v>2</v>
      </c>
      <c r="G133" s="16">
        <f>'Dry_Litterbag Placem_Collection'!E60</f>
        <v>42938</v>
      </c>
      <c r="H133" t="str">
        <f>'Final data_for_R_analysis_Dryse'!J59</f>
        <v>G481</v>
      </c>
      <c r="I133" t="str">
        <f>'Final data_for_R_analysis_Dryse'!J279</f>
        <v>R725</v>
      </c>
      <c r="J133">
        <f>IFERROR(INDEX('Green_rooibos initial weight'!$C$5:$C$1749,MATCH(H133, 'Green_rooibos initial weight'!$A$5:$A$1749,0)),"")</f>
        <v>2.0529999999999999</v>
      </c>
      <c r="K133">
        <f>IFERROR(INDEX('Green_rooibos initial weight'!$C$5:$C$1749,MATCH(I133, 'Green_rooibos initial weight'!$A$5:$A$1749,0)),"")</f>
        <v>2.1930000000000001</v>
      </c>
      <c r="L133" s="195">
        <f t="shared" si="5"/>
        <v>1.8031999999999999</v>
      </c>
      <c r="M133" s="240">
        <f>AVERAGE(Ashed_controlls!$K$1:$K$11)</f>
        <v>5.5147656768714146</v>
      </c>
      <c r="N133" s="195">
        <f t="shared" si="0"/>
        <v>1.7037577453146546</v>
      </c>
      <c r="O133" s="195">
        <f t="shared" si="6"/>
        <v>1.9432</v>
      </c>
      <c r="P133" s="240">
        <f>AVERAGE(Ashed_controlls!$K$12:$K$14)</f>
        <v>2.2816647271287041</v>
      </c>
      <c r="Q133" s="195">
        <f t="shared" si="1"/>
        <v>1.8988626910224351</v>
      </c>
      <c r="R133" s="16">
        <f>IF('Dry_Litterbag Placem_Collection'!G60="N.A","",'Dry_Litterbag Placem_Collection'!G60)</f>
        <v>43005</v>
      </c>
      <c r="S133" s="195">
        <f>IF(IFERROR(INDEX('Both teabags AfterDry'!$D$1:$D$839,MATCH(H133,'Both teabags AfterDry'!$A$1:$A$839,0)),"")="N.A","",(IFERROR(INDEX('Both teabags AfterDry'!$D$1:$D$839,MATCH(H133,'Both teabags AfterDry'!$A$1:$A$839,0)),"")))</f>
        <v>1.7612000000000001</v>
      </c>
      <c r="T133" s="195">
        <f>IF(IFERROR(INDEX('Both teabags AfterDry'!$D$1:$D$839,MATCH(I133,'Both teabags AfterDry'!$A$1:$A$839,0)),"")="N.A","",(IFERROR(INDEX('Both teabags AfterDry'!$D$1:$D$839,MATCH(I133,'Both teabags AfterDry'!$A$1:$A$839,0)),"")))</f>
        <v>0.71450000000000002</v>
      </c>
      <c r="U133" s="195">
        <f t="shared" si="7"/>
        <v>1.6106</v>
      </c>
      <c r="V133" s="195">
        <f t="shared" si="7"/>
        <v>0.56390000000000007</v>
      </c>
      <c r="W133" s="195">
        <f>IFERROR(INDEX('Ashed teabags dry'!$K$2:$K$821,MATCH(H133,'Ashed teabags dry'!$A$2:$A$821,0)),"")</f>
        <v>5.8618976651769072</v>
      </c>
      <c r="X133" s="195">
        <f>IFERROR(INDEX('Ashed teabags dry'!$K$2:$K$821,MATCH(I133,'Ashed teabags dry'!$A$2:$A$821,0)),"")</f>
        <v>3.528360875390312</v>
      </c>
      <c r="Y133" s="195">
        <f t="shared" si="2"/>
        <v>1.5161882762046608</v>
      </c>
      <c r="Z133" s="195">
        <f t="shared" si="2"/>
        <v>0.54400357302367408</v>
      </c>
      <c r="AA133" s="195">
        <f t="shared" si="8"/>
        <v>0.11009163105835384</v>
      </c>
      <c r="AB133" s="195">
        <f t="shared" si="9"/>
        <v>7.2174085919490885E-2</v>
      </c>
      <c r="AC133" s="195">
        <f t="shared" si="3"/>
        <v>0.28648915774460632</v>
      </c>
      <c r="AD133">
        <f t="shared" si="4"/>
        <v>67</v>
      </c>
      <c r="AE133" s="195">
        <f t="shared" si="10"/>
        <v>0.86924984434874841</v>
      </c>
      <c r="AF133" s="195" t="str">
        <f t="shared" si="11"/>
        <v/>
      </c>
      <c r="AG133" s="255" t="str">
        <f>IF(ISNUMBER(SEARCH("C", 'Dry_Litterbag Placem_Collection'!AB60)),"YES","NO")</f>
        <v>NO</v>
      </c>
      <c r="AH133" s="255" t="str">
        <f>IF(ISNUMBER(SEARCH("H", 'Dry_Litterbag Placem_Collection'!AB60)),"YES","NO")</f>
        <v>NO</v>
      </c>
      <c r="AI133" s="255" t="str">
        <f>IF(ISNUMBER(SEARCH("R", 'Dry_Litterbag Placem_Collection'!AB60)),"YES","NO")</f>
        <v>NO</v>
      </c>
      <c r="AJ133" s="255" t="str">
        <f>IF(ISNUMBER(SEARCH("C", 'Dry_Litterbag Placem_Collection'!AA60)),"YES","NO")</f>
        <v>NO</v>
      </c>
      <c r="AK133" s="255" t="str">
        <f>IF(ISNUMBER(SEARCH("H", 'Dry_Litterbag Placem_Collection'!AA60)),"YES","NO")</f>
        <v>NO</v>
      </c>
      <c r="AL133" s="255" t="str">
        <f>IF(ISNUMBER(SEARCH("R", 'Dry_Litterbag Placem_Collection'!AA60)),"YES","NO")</f>
        <v>NO</v>
      </c>
      <c r="AR133" t="s">
        <v>1569</v>
      </c>
      <c r="AT133" t="s">
        <v>414</v>
      </c>
    </row>
    <row r="134" spans="2:46">
      <c r="B134" t="str">
        <f>'Final data_for_R_analysis_Dryse'!A60</f>
        <v>Dry</v>
      </c>
      <c r="C134" s="263">
        <f>'Final data_for_R_analysis_Dryse'!B60</f>
        <v>59</v>
      </c>
      <c r="D134" t="s">
        <v>3835</v>
      </c>
      <c r="E134" t="s">
        <v>22</v>
      </c>
      <c r="F134" s="386">
        <v>3</v>
      </c>
      <c r="G134" s="16">
        <f>'Dry_Litterbag Placem_Collection'!E61</f>
        <v>42938</v>
      </c>
      <c r="H134" t="str">
        <f>'Final data_for_R_analysis_Dryse'!J60</f>
        <v>G261</v>
      </c>
      <c r="I134" t="str">
        <f>'Final data_for_R_analysis_Dryse'!J280</f>
        <v>R721</v>
      </c>
      <c r="J134">
        <f>IFERROR(INDEX('Green_rooibos initial weight'!$C$5:$C$1749,MATCH(H134, 'Green_rooibos initial weight'!$A$5:$A$1749,0)),"")</f>
        <v>1.9850000000000001</v>
      </c>
      <c r="K134">
        <f>IFERROR(INDEX('Green_rooibos initial weight'!$C$5:$C$1749,MATCH(I134, 'Green_rooibos initial weight'!$A$5:$A$1749,0)),"")</f>
        <v>2.2229999999999999</v>
      </c>
      <c r="L134" s="195">
        <f t="shared" si="5"/>
        <v>1.7352000000000001</v>
      </c>
      <c r="M134" s="240">
        <f>AVERAGE(Ashed_controlls!$K$1:$K$11)</f>
        <v>5.5147656768714146</v>
      </c>
      <c r="N134" s="195">
        <f t="shared" si="0"/>
        <v>1.6395077859749272</v>
      </c>
      <c r="O134" s="195">
        <f t="shared" si="6"/>
        <v>1.9731999999999998</v>
      </c>
      <c r="P134" s="240">
        <f>AVERAGE(Ashed_controlls!$K$12:$K$14)</f>
        <v>2.2816647271287041</v>
      </c>
      <c r="Q134" s="195">
        <f t="shared" si="1"/>
        <v>1.9281781916042962</v>
      </c>
      <c r="R134" s="16">
        <f>IF('Dry_Litterbag Placem_Collection'!G61="N.A","",'Dry_Litterbag Placem_Collection'!G61)</f>
        <v>43005</v>
      </c>
      <c r="S134" s="195">
        <f>IF(IFERROR(INDEX('Both teabags AfterDry'!$D$1:$D$839,MATCH(H134,'Both teabags AfterDry'!$A$1:$A$839,0)),"")="N.A","",(IFERROR(INDEX('Both teabags AfterDry'!$D$1:$D$839,MATCH(H134,'Both teabags AfterDry'!$A$1:$A$839,0)),"")))</f>
        <v>1.8041</v>
      </c>
      <c r="T134" s="195">
        <f>IF(IFERROR(INDEX('Both teabags AfterDry'!$D$1:$D$839,MATCH(I134,'Both teabags AfterDry'!$A$1:$A$839,0)),"")="N.A","",(IFERROR(INDEX('Both teabags AfterDry'!$D$1:$D$839,MATCH(I134,'Both teabags AfterDry'!$A$1:$A$839,0)),"")))</f>
        <v>1.9549000000000001</v>
      </c>
      <c r="U134" s="195">
        <f t="shared" si="7"/>
        <v>1.6535</v>
      </c>
      <c r="V134" s="195">
        <f t="shared" si="7"/>
        <v>1.8043</v>
      </c>
      <c r="W134" s="195">
        <f>IFERROR(INDEX('Ashed teabags dry'!$K$2:$K$821,MATCH(H134,'Ashed teabags dry'!$A$2:$A$821,0)),"")</f>
        <v>5.7350933090575786</v>
      </c>
      <c r="X134" s="195">
        <f>IFERROR(INDEX('Ashed teabags dry'!$K$2:$K$821,MATCH(I134,'Ashed teabags dry'!$A$2:$A$821,0)),"")</f>
        <v>2.6871401151632113</v>
      </c>
      <c r="Y134" s="195">
        <f t="shared" si="2"/>
        <v>1.558670232134733</v>
      </c>
      <c r="Z134" s="195">
        <f t="shared" si="2"/>
        <v>1.7558159309021102</v>
      </c>
      <c r="AA134" s="195">
        <f t="shared" si="8"/>
        <v>4.9305989597435484E-2</v>
      </c>
      <c r="AB134" s="195">
        <f t="shared" si="9"/>
        <v>3.232411669570591E-2</v>
      </c>
      <c r="AC134" s="195">
        <f t="shared" si="3"/>
        <v>0.91060874899804989</v>
      </c>
      <c r="AD134">
        <f t="shared" si="4"/>
        <v>67</v>
      </c>
      <c r="AE134" s="195">
        <f t="shared" si="10"/>
        <v>0.94144181758024292</v>
      </c>
      <c r="AF134" s="195" t="str">
        <f t="shared" si="11"/>
        <v/>
      </c>
      <c r="AG134" s="255" t="str">
        <f>IF(ISNUMBER(SEARCH("C", 'Dry_Litterbag Placem_Collection'!AB61)),"YES","NO")</f>
        <v>NO</v>
      </c>
      <c r="AH134" s="255" t="str">
        <f>IF(ISNUMBER(SEARCH("H", 'Dry_Litterbag Placem_Collection'!AB61)),"YES","NO")</f>
        <v>NO</v>
      </c>
      <c r="AI134" s="255" t="str">
        <f>IF(ISNUMBER(SEARCH("R", 'Dry_Litterbag Placem_Collection'!AB61)),"YES","NO")</f>
        <v>NO</v>
      </c>
      <c r="AJ134" s="255" t="str">
        <f>IF(ISNUMBER(SEARCH("C", 'Dry_Litterbag Placem_Collection'!AA61)),"YES","NO")</f>
        <v>NO</v>
      </c>
      <c r="AK134" s="255" t="str">
        <f>IF(ISNUMBER(SEARCH("H", 'Dry_Litterbag Placem_Collection'!AA61)),"YES","NO")</f>
        <v>NO</v>
      </c>
      <c r="AL134" s="255" t="str">
        <f>IF(ISNUMBER(SEARCH("R", 'Dry_Litterbag Placem_Collection'!AA61)),"YES","NO")</f>
        <v>NO</v>
      </c>
      <c r="AR134" t="s">
        <v>1789</v>
      </c>
      <c r="AT134" t="s">
        <v>418</v>
      </c>
    </row>
    <row r="135" spans="2:46">
      <c r="B135" t="str">
        <f>'Final data_for_R_analysis_Dryse'!A61</f>
        <v>Dry</v>
      </c>
      <c r="C135" s="263">
        <f>'Final data_for_R_analysis_Dryse'!B61</f>
        <v>60</v>
      </c>
      <c r="D135" t="s">
        <v>3835</v>
      </c>
      <c r="E135" t="s">
        <v>22</v>
      </c>
      <c r="F135" s="387">
        <v>4</v>
      </c>
      <c r="G135" s="16">
        <f>'Dry_Litterbag Placem_Collection'!E62</f>
        <v>42938</v>
      </c>
      <c r="H135" t="str">
        <f>'Final data_for_R_analysis_Dryse'!J61</f>
        <v>G152</v>
      </c>
      <c r="I135" t="str">
        <f>'Final data_for_R_analysis_Dryse'!J281</f>
        <v>R763</v>
      </c>
      <c r="J135">
        <f>IFERROR(INDEX('Green_rooibos initial weight'!$C$5:$C$1749,MATCH(H135, 'Green_rooibos initial weight'!$A$5:$A$1749,0)),"")</f>
        <v>2.0489999999999999</v>
      </c>
      <c r="K135">
        <f>IFERROR(INDEX('Green_rooibos initial weight'!$C$5:$C$1749,MATCH(I135, 'Green_rooibos initial weight'!$A$5:$A$1749,0)),"")</f>
        <v>2.2589999999999999</v>
      </c>
      <c r="L135" s="195">
        <f t="shared" si="5"/>
        <v>1.7991999999999999</v>
      </c>
      <c r="M135" s="240">
        <f>AVERAGE(Ashed_controlls!$K$1:$K$11)</f>
        <v>5.5147656768714146</v>
      </c>
      <c r="N135" s="195">
        <f t="shared" si="0"/>
        <v>1.6999783359417293</v>
      </c>
      <c r="O135" s="195">
        <f t="shared" si="6"/>
        <v>2.0091999999999999</v>
      </c>
      <c r="P135" s="240">
        <f>AVERAGE(Ashed_controlls!$K$12:$K$14)</f>
        <v>2.2816647271287041</v>
      </c>
      <c r="Q135" s="195">
        <f t="shared" si="1"/>
        <v>1.9633567923025299</v>
      </c>
      <c r="R135" s="16">
        <f>IF('Dry_Litterbag Placem_Collection'!G62="N.A","",'Dry_Litterbag Placem_Collection'!G62)</f>
        <v>43005</v>
      </c>
      <c r="S135" s="195">
        <f>IF(IFERROR(INDEX('Both teabags AfterDry'!$D$1:$D$839,MATCH(H135,'Both teabags AfterDry'!$A$1:$A$839,0)),"")="N.A","",(IFERROR(INDEX('Both teabags AfterDry'!$D$1:$D$839,MATCH(H135,'Both teabags AfterDry'!$A$1:$A$839,0)),"")))</f>
        <v>1.8697999999999999</v>
      </c>
      <c r="T135" s="195">
        <f>IF(IFERROR(INDEX('Both teabags AfterDry'!$D$1:$D$839,MATCH(I135,'Both teabags AfterDry'!$A$1:$A$839,0)),"")="N.A","",(IFERROR(INDEX('Both teabags AfterDry'!$D$1:$D$839,MATCH(I135,'Both teabags AfterDry'!$A$1:$A$839,0)),"")))</f>
        <v>1.9797</v>
      </c>
      <c r="U135" s="195">
        <f t="shared" si="7"/>
        <v>1.7191999999999998</v>
      </c>
      <c r="V135" s="195">
        <f t="shared" si="7"/>
        <v>1.8290999999999999</v>
      </c>
      <c r="W135" s="195">
        <f>IFERROR(INDEX('Ashed teabags dry'!$K$2:$K$821,MATCH(H135,'Ashed teabags dry'!$A$2:$A$821,0)),"")</f>
        <v>5.545536519386725</v>
      </c>
      <c r="X135" s="195">
        <f>IFERROR(INDEX('Ashed teabags dry'!$K$2:$K$821,MATCH(I135,'Ashed teabags dry'!$A$2:$A$821,0)),"")</f>
        <v>2.8315946348738801</v>
      </c>
      <c r="Y135" s="195">
        <f t="shared" si="2"/>
        <v>1.6238611361587032</v>
      </c>
      <c r="Z135" s="195">
        <f t="shared" si="2"/>
        <v>1.7773073025335218</v>
      </c>
      <c r="AA135" s="195">
        <f t="shared" si="8"/>
        <v>4.4775393999865187E-2</v>
      </c>
      <c r="AB135" s="195">
        <f t="shared" si="9"/>
        <v>2.9353940009412785E-2</v>
      </c>
      <c r="AC135" s="195">
        <f t="shared" si="3"/>
        <v>0.90523908313637769</v>
      </c>
      <c r="AD135">
        <f t="shared" si="4"/>
        <v>67</v>
      </c>
      <c r="AE135" s="195">
        <f t="shared" si="10"/>
        <v>0.94682257244671597</v>
      </c>
      <c r="AF135" s="195" t="str">
        <f t="shared" si="11"/>
        <v/>
      </c>
      <c r="AG135" s="255" t="str">
        <f>IF(ISNUMBER(SEARCH("C", 'Dry_Litterbag Placem_Collection'!AB62)),"YES","NO")</f>
        <v>NO</v>
      </c>
      <c r="AH135" s="255" t="str">
        <f>IF(ISNUMBER(SEARCH("H", 'Dry_Litterbag Placem_Collection'!AB62)),"YES","NO")</f>
        <v>NO</v>
      </c>
      <c r="AI135" s="255" t="str">
        <f>IF(ISNUMBER(SEARCH("R", 'Dry_Litterbag Placem_Collection'!AB62)),"YES","NO")</f>
        <v>NO</v>
      </c>
      <c r="AJ135" s="255" t="str">
        <f>IF(ISNUMBER(SEARCH("C", 'Dry_Litterbag Placem_Collection'!AA62)),"YES","NO")</f>
        <v>NO</v>
      </c>
      <c r="AK135" s="255" t="str">
        <f>IF(ISNUMBER(SEARCH("H", 'Dry_Litterbag Placem_Collection'!AA62)),"YES","NO")</f>
        <v>NO</v>
      </c>
      <c r="AL135" s="255" t="str">
        <f>IF(ISNUMBER(SEARCH("R", 'Dry_Litterbag Placem_Collection'!AA62)),"YES","NO")</f>
        <v>NO</v>
      </c>
      <c r="AR135" t="s">
        <v>1898</v>
      </c>
      <c r="AT135" t="s">
        <v>376</v>
      </c>
    </row>
    <row r="136" spans="2:46">
      <c r="B136" t="str">
        <f>'Final data_for_R_analysis_Dryse'!A62</f>
        <v>Dry</v>
      </c>
      <c r="C136" s="263">
        <f>'Final data_for_R_analysis_Dryse'!B62</f>
        <v>61</v>
      </c>
      <c r="D136" t="s">
        <v>3835</v>
      </c>
      <c r="E136" t="s">
        <v>22</v>
      </c>
      <c r="F136" s="387">
        <v>5</v>
      </c>
      <c r="G136" s="16">
        <f>'Dry_Litterbag Placem_Collection'!E63</f>
        <v>42938</v>
      </c>
      <c r="H136" t="str">
        <f>'Final data_for_R_analysis_Dryse'!J62</f>
        <v>G191</v>
      </c>
      <c r="I136" t="str">
        <f>'Final data_for_R_analysis_Dryse'!J282</f>
        <v>R775</v>
      </c>
      <c r="J136">
        <f>IFERROR(INDEX('Green_rooibos initial weight'!$C$5:$C$1749,MATCH(H136, 'Green_rooibos initial weight'!$A$5:$A$1749,0)),"")</f>
        <v>2.0590000000000002</v>
      </c>
      <c r="K136">
        <f>IFERROR(INDEX('Green_rooibos initial weight'!$C$5:$C$1749,MATCH(I136, 'Green_rooibos initial weight'!$A$5:$A$1749,0)),"")</f>
        <v>2.2290000000000001</v>
      </c>
      <c r="L136" s="195">
        <f t="shared" si="5"/>
        <v>1.8092000000000001</v>
      </c>
      <c r="M136" s="240">
        <f>AVERAGE(Ashed_controlls!$K$1:$K$11)</f>
        <v>5.5147656768714146</v>
      </c>
      <c r="N136" s="195">
        <f t="shared" si="0"/>
        <v>1.7094268593740425</v>
      </c>
      <c r="O136" s="195">
        <f t="shared" si="6"/>
        <v>1.9792000000000001</v>
      </c>
      <c r="P136" s="240">
        <f>AVERAGE(Ashed_controlls!$K$12:$K$14)</f>
        <v>2.2816647271287041</v>
      </c>
      <c r="Q136" s="195">
        <f t="shared" si="1"/>
        <v>1.9340412917206689</v>
      </c>
      <c r="R136" s="16">
        <f>IF('Dry_Litterbag Placem_Collection'!G63="N.A","",'Dry_Litterbag Placem_Collection'!G63)</f>
        <v>43005</v>
      </c>
      <c r="S136" s="195" t="str">
        <f>IF(IFERROR(INDEX('Both teabags AfterDry'!$D$1:$D$839,MATCH(H136,'Both teabags AfterDry'!$A$1:$A$839,0)),"")="N.A","",(IFERROR(INDEX('Both teabags AfterDry'!$D$1:$D$839,MATCH(H136,'Both teabags AfterDry'!$A$1:$A$839,0)),"")))</f>
        <v/>
      </c>
      <c r="T136" s="195" t="str">
        <f>IF(IFERROR(INDEX('Both teabags AfterDry'!$D$1:$D$839,MATCH(I136,'Both teabags AfterDry'!$A$1:$A$839,0)),"")="N.A","",(IFERROR(INDEX('Both teabags AfterDry'!$D$1:$D$839,MATCH(I136,'Both teabags AfterDry'!$A$1:$A$839,0)),"")))</f>
        <v/>
      </c>
      <c r="U136" s="195" t="str">
        <f t="shared" si="7"/>
        <v/>
      </c>
      <c r="V136" s="195" t="str">
        <f t="shared" si="7"/>
        <v/>
      </c>
      <c r="W136" s="195" t="str">
        <f>IFERROR(INDEX('Ashed teabags dry'!$K$2:$K$821,MATCH(H136,'Ashed teabags dry'!$A$2:$A$821,0)),"")</f>
        <v/>
      </c>
      <c r="X136" s="195" t="str">
        <f>IFERROR(INDEX('Ashed teabags dry'!$K$2:$K$821,MATCH(I136,'Ashed teabags dry'!$A$2:$A$821,0)),"")</f>
        <v/>
      </c>
      <c r="Y136" s="195" t="str">
        <f t="shared" si="2"/>
        <v/>
      </c>
      <c r="Z136" s="195" t="str">
        <f t="shared" si="2"/>
        <v/>
      </c>
      <c r="AA136" s="195" t="str">
        <f t="shared" si="8"/>
        <v/>
      </c>
      <c r="AB136" s="195" t="str">
        <f t="shared" si="9"/>
        <v/>
      </c>
      <c r="AC136" s="195" t="str">
        <f t="shared" si="3"/>
        <v/>
      </c>
      <c r="AD136">
        <f t="shared" si="4"/>
        <v>67</v>
      </c>
      <c r="AE136" s="195" t="str">
        <f t="shared" si="10"/>
        <v/>
      </c>
      <c r="AF136" s="195" t="str">
        <f t="shared" si="11"/>
        <v/>
      </c>
      <c r="AG136" s="255" t="str">
        <f>IF(ISNUMBER(SEARCH("C", 'Dry_Litterbag Placem_Collection'!AB63)),"YES","NO")</f>
        <v>NO</v>
      </c>
      <c r="AH136" s="255" t="str">
        <f>IF(ISNUMBER(SEARCH("H", 'Dry_Litterbag Placem_Collection'!AB63)),"YES","NO")</f>
        <v>NO</v>
      </c>
      <c r="AI136" s="255" t="str">
        <f>IF(ISNUMBER(SEARCH("R", 'Dry_Litterbag Placem_Collection'!AB63)),"YES","NO")</f>
        <v>NO</v>
      </c>
      <c r="AJ136" s="255" t="str">
        <f>IF(ISNUMBER(SEARCH("C", 'Dry_Litterbag Placem_Collection'!AA63)),"YES","NO")</f>
        <v>NO</v>
      </c>
      <c r="AK136" s="255" t="str">
        <f>IF(ISNUMBER(SEARCH("H", 'Dry_Litterbag Placem_Collection'!AA63)),"YES","NO")</f>
        <v>NO</v>
      </c>
      <c r="AL136" s="255" t="str">
        <f>IF(ISNUMBER(SEARCH("R", 'Dry_Litterbag Placem_Collection'!AA63)),"YES","NO")</f>
        <v>NO</v>
      </c>
      <c r="AR136" t="s">
        <v>1859</v>
      </c>
      <c r="AT136" t="s">
        <v>364</v>
      </c>
    </row>
    <row r="137" spans="2:46">
      <c r="B137" t="str">
        <f>'Final data_for_R_analysis_Dryse'!A63</f>
        <v>Dry</v>
      </c>
      <c r="C137" s="263">
        <f>'Final data_for_R_analysis_Dryse'!B63</f>
        <v>62</v>
      </c>
      <c r="D137" t="s">
        <v>3835</v>
      </c>
      <c r="E137" t="s">
        <v>22</v>
      </c>
      <c r="F137" s="387">
        <v>6</v>
      </c>
      <c r="G137" s="390">
        <f>'Dry_Litterbag Placem_Collection'!E64</f>
        <v>0</v>
      </c>
      <c r="H137" t="str">
        <f>'Final data_for_R_analysis_Dryse'!J63</f>
        <v/>
      </c>
      <c r="I137" t="str">
        <f>'Final data_for_R_analysis_Dryse'!J283</f>
        <v/>
      </c>
      <c r="J137" t="str">
        <f>IFERROR(INDEX('Green_rooibos initial weight'!$C$5:$C$1749,MATCH(H137, 'Green_rooibos initial weight'!$A$5:$A$1749,0)),"")</f>
        <v/>
      </c>
      <c r="K137" t="str">
        <f>IFERROR(INDEX('Green_rooibos initial weight'!$C$5:$C$1749,MATCH(I137, 'Green_rooibos initial weight'!$A$5:$A$1749,0)),"")</f>
        <v/>
      </c>
      <c r="L137" s="195" t="str">
        <f t="shared" si="5"/>
        <v/>
      </c>
      <c r="M137" s="240">
        <f>AVERAGE(Ashed_controlls!$K$1:$K$11)</f>
        <v>5.5147656768714146</v>
      </c>
      <c r="N137" s="195" t="str">
        <f t="shared" si="0"/>
        <v/>
      </c>
      <c r="O137" s="195" t="str">
        <f t="shared" si="6"/>
        <v/>
      </c>
      <c r="P137" s="240">
        <f>AVERAGE(Ashed_controlls!$K$12:$K$14)</f>
        <v>2.2816647271287041</v>
      </c>
      <c r="Q137" s="195" t="str">
        <f t="shared" si="1"/>
        <v/>
      </c>
      <c r="R137" s="16">
        <f>IF('Dry_Litterbag Placem_Collection'!G64="N.A","",'Dry_Litterbag Placem_Collection'!G64)</f>
        <v>0</v>
      </c>
      <c r="S137" s="195" t="str">
        <f>IF(IFERROR(INDEX('Both teabags AfterDry'!$D$1:$D$839,MATCH(H137,'Both teabags AfterDry'!$A$1:$A$839,0)),"")="N.A","",(IFERROR(INDEX('Both teabags AfterDry'!$D$1:$D$839,MATCH(H137,'Both teabags AfterDry'!$A$1:$A$839,0)),"")))</f>
        <v/>
      </c>
      <c r="T137" s="195" t="str">
        <f>IF(IFERROR(INDEX('Both teabags AfterDry'!$D$1:$D$839,MATCH(I137,'Both teabags AfterDry'!$A$1:$A$839,0)),"")="N.A","",(IFERROR(INDEX('Both teabags AfterDry'!$D$1:$D$839,MATCH(I137,'Both teabags AfterDry'!$A$1:$A$839,0)),"")))</f>
        <v/>
      </c>
      <c r="U137" s="195" t="str">
        <f t="shared" si="7"/>
        <v/>
      </c>
      <c r="V137" s="195" t="str">
        <f t="shared" si="7"/>
        <v/>
      </c>
      <c r="W137" s="195" t="str">
        <f>IFERROR(INDEX('Ashed teabags dry'!$K$2:$K$821,MATCH(H137,'Ashed teabags dry'!$A$2:$A$821,0)),"")</f>
        <v/>
      </c>
      <c r="X137" s="195" t="str">
        <f>IFERROR(INDEX('Ashed teabags dry'!$K$2:$K$821,MATCH(I137,'Ashed teabags dry'!$A$2:$A$821,0)),"")</f>
        <v/>
      </c>
      <c r="Y137" s="195" t="str">
        <f t="shared" si="2"/>
        <v/>
      </c>
      <c r="Z137" s="195" t="str">
        <f t="shared" si="2"/>
        <v/>
      </c>
      <c r="AA137" s="195" t="str">
        <f t="shared" si="8"/>
        <v/>
      </c>
      <c r="AB137" s="195" t="str">
        <f t="shared" si="9"/>
        <v/>
      </c>
      <c r="AC137" s="195" t="str">
        <f t="shared" si="3"/>
        <v/>
      </c>
      <c r="AD137" t="str">
        <f t="shared" si="4"/>
        <v/>
      </c>
      <c r="AE137" s="195" t="str">
        <f t="shared" si="10"/>
        <v/>
      </c>
      <c r="AF137" s="195" t="str">
        <f t="shared" si="11"/>
        <v/>
      </c>
      <c r="AG137" s="255" t="str">
        <f>IF(ISNUMBER(SEARCH("C", 'Dry_Litterbag Placem_Collection'!AB64)),"YES","NO")</f>
        <v>NO</v>
      </c>
      <c r="AH137" s="255" t="str">
        <f>IF(ISNUMBER(SEARCH("H", 'Dry_Litterbag Placem_Collection'!AB64)),"YES","NO")</f>
        <v>NO</v>
      </c>
      <c r="AI137" s="255" t="str">
        <f>IF(ISNUMBER(SEARCH("R", 'Dry_Litterbag Placem_Collection'!AB64)),"YES","NO")</f>
        <v>NO</v>
      </c>
      <c r="AJ137" s="255" t="str">
        <f>IF(ISNUMBER(SEARCH("C", 'Dry_Litterbag Placem_Collection'!AA64)),"YES","NO")</f>
        <v>NO</v>
      </c>
      <c r="AK137" s="255" t="str">
        <f>IF(ISNUMBER(SEARCH("H", 'Dry_Litterbag Placem_Collection'!AA64)),"YES","NO")</f>
        <v>NO</v>
      </c>
      <c r="AL137" s="255" t="str">
        <f>IF(ISNUMBER(SEARCH("R", 'Dry_Litterbag Placem_Collection'!AA64)),"YES","NO")</f>
        <v>NO</v>
      </c>
      <c r="AR137" t="s">
        <v>3654</v>
      </c>
      <c r="AT137" t="s">
        <v>3654</v>
      </c>
    </row>
    <row r="138" spans="2:46">
      <c r="B138" t="str">
        <f>'Final data_for_R_analysis_Dryse'!A64</f>
        <v>Dry</v>
      </c>
      <c r="C138" s="263">
        <f>'Final data_for_R_analysis_Dryse'!B64</f>
        <v>63</v>
      </c>
      <c r="D138" t="s">
        <v>3835</v>
      </c>
      <c r="E138" t="s">
        <v>22</v>
      </c>
      <c r="F138" s="387">
        <v>7</v>
      </c>
      <c r="G138" s="16">
        <f>'Dry_Litterbag Placem_Collection'!E65</f>
        <v>42938</v>
      </c>
      <c r="H138" t="str">
        <f>'Final data_for_R_analysis_Dryse'!J64</f>
        <v>G49</v>
      </c>
      <c r="I138" t="str">
        <f>'Final data_for_R_analysis_Dryse'!J284</f>
        <v>R733</v>
      </c>
      <c r="J138">
        <f>IFERROR(INDEX('Green_rooibos initial weight'!$C$5:$C$1749,MATCH(H138, 'Green_rooibos initial weight'!$A$5:$A$1749,0)),"")</f>
        <v>2.0859999999999999</v>
      </c>
      <c r="K138">
        <f>IFERROR(INDEX('Green_rooibos initial weight'!$C$5:$C$1749,MATCH(I138, 'Green_rooibos initial weight'!$A$5:$A$1749,0)),"")</f>
        <v>2.181</v>
      </c>
      <c r="L138" s="195">
        <f t="shared" si="5"/>
        <v>1.8361999999999998</v>
      </c>
      <c r="M138" s="240">
        <f>AVERAGE(Ashed_controlls!$K$1:$K$11)</f>
        <v>5.5147656768714146</v>
      </c>
      <c r="N138" s="195">
        <f t="shared" si="0"/>
        <v>1.734937872641287</v>
      </c>
      <c r="O138" s="195">
        <f t="shared" si="6"/>
        <v>1.9312</v>
      </c>
      <c r="P138" s="240">
        <f>AVERAGE(Ashed_controlls!$K$12:$K$14)</f>
        <v>2.2816647271287041</v>
      </c>
      <c r="Q138" s="195">
        <f t="shared" si="1"/>
        <v>1.8871364907896906</v>
      </c>
      <c r="R138" s="16">
        <f>IF('Dry_Litterbag Placem_Collection'!G65="N.A","",'Dry_Litterbag Placem_Collection'!G65)</f>
        <v>43005</v>
      </c>
      <c r="S138" s="195">
        <f>IF(IFERROR(INDEX('Both teabags AfterDry'!$D$1:$D$839,MATCH(H138,'Both teabags AfterDry'!$A$1:$A$839,0)),"")="N.A","",(IFERROR(INDEX('Both teabags AfterDry'!$D$1:$D$839,MATCH(H138,'Both teabags AfterDry'!$A$1:$A$839,0)),"")))</f>
        <v>1.9326000000000001</v>
      </c>
      <c r="T138" s="195">
        <f>IF(IFERROR(INDEX('Both teabags AfterDry'!$D$1:$D$839,MATCH(I138,'Both teabags AfterDry'!$A$1:$A$839,0)),"")="N.A","",(IFERROR(INDEX('Both teabags AfterDry'!$D$1:$D$839,MATCH(I138,'Both teabags AfterDry'!$A$1:$A$839,0)),"")))</f>
        <v>1.9025000000000001</v>
      </c>
      <c r="U138" s="195">
        <f t="shared" si="7"/>
        <v>1.782</v>
      </c>
      <c r="V138" s="195">
        <f t="shared" si="7"/>
        <v>1.7519</v>
      </c>
      <c r="W138" s="195">
        <f>IFERROR(INDEX('Ashed teabags dry'!$K$2:$K$821,MATCH(H138,'Ashed teabags dry'!$A$2:$A$821,0)),"")</f>
        <v>4.9388753056235117</v>
      </c>
      <c r="X138" s="195">
        <f>IFERROR(INDEX('Ashed teabags dry'!$K$2:$K$821,MATCH(I138,'Ashed teabags dry'!$A$2:$A$821,0)),"")</f>
        <v>2.0627417275461966</v>
      </c>
      <c r="Y138" s="195">
        <f t="shared" si="2"/>
        <v>1.693989242053789</v>
      </c>
      <c r="Z138" s="195">
        <f t="shared" si="2"/>
        <v>1.7157628276751182</v>
      </c>
      <c r="AA138" s="195">
        <f t="shared" si="8"/>
        <v>2.3602361348627032E-2</v>
      </c>
      <c r="AB138" s="195">
        <f t="shared" si="9"/>
        <v>1.5473282024278029E-2</v>
      </c>
      <c r="AC138" s="195">
        <f t="shared" si="3"/>
        <v>0.90918851712582838</v>
      </c>
      <c r="AD138">
        <f t="shared" si="4"/>
        <v>67</v>
      </c>
      <c r="AE138" s="195">
        <f t="shared" si="10"/>
        <v>0.97196869198500357</v>
      </c>
      <c r="AF138" s="195" t="str">
        <f t="shared" si="11"/>
        <v/>
      </c>
      <c r="AG138" s="255" t="str">
        <f>IF(ISNUMBER(SEARCH("C", 'Dry_Litterbag Placem_Collection'!AB65)),"YES","NO")</f>
        <v>NO</v>
      </c>
      <c r="AH138" s="255" t="str">
        <f>IF(ISNUMBER(SEARCH("H", 'Dry_Litterbag Placem_Collection'!AB65)),"YES","NO")</f>
        <v>NO</v>
      </c>
      <c r="AI138" s="255" t="str">
        <f>IF(ISNUMBER(SEARCH("R", 'Dry_Litterbag Placem_Collection'!AB65)),"YES","NO")</f>
        <v>NO</v>
      </c>
      <c r="AJ138" s="255" t="str">
        <f>IF(ISNUMBER(SEARCH("C", 'Dry_Litterbag Placem_Collection'!AA65)),"YES","NO")</f>
        <v>NO</v>
      </c>
      <c r="AK138" s="255" t="str">
        <f>IF(ISNUMBER(SEARCH("H", 'Dry_Litterbag Placem_Collection'!AA65)),"YES","NO")</f>
        <v>NO</v>
      </c>
      <c r="AL138" s="255" t="str">
        <f>IF(ISNUMBER(SEARCH("R", 'Dry_Litterbag Placem_Collection'!AA65)),"YES","NO")</f>
        <v>NO</v>
      </c>
      <c r="AR138" t="s">
        <v>2001</v>
      </c>
      <c r="AT138" t="s">
        <v>406</v>
      </c>
    </row>
    <row r="139" spans="2:46">
      <c r="B139" t="str">
        <f>'Final data_for_R_analysis_Dryse'!A65</f>
        <v>Dry</v>
      </c>
      <c r="C139" s="263">
        <f>'Final data_for_R_analysis_Dryse'!B65</f>
        <v>64</v>
      </c>
      <c r="D139" t="s">
        <v>3835</v>
      </c>
      <c r="E139" t="s">
        <v>22</v>
      </c>
      <c r="F139" s="387">
        <v>8</v>
      </c>
      <c r="G139" s="16">
        <f>'Dry_Litterbag Placem_Collection'!E66</f>
        <v>42938</v>
      </c>
      <c r="H139" t="str">
        <f>'Final data_for_R_analysis_Dryse'!J65</f>
        <v>G347</v>
      </c>
      <c r="I139" t="str">
        <f>'Final data_for_R_analysis_Dryse'!J285</f>
        <v>R765</v>
      </c>
      <c r="J139">
        <f>IFERROR(INDEX('Green_rooibos initial weight'!$C$5:$C$1749,MATCH(H139, 'Green_rooibos initial weight'!$A$5:$A$1749,0)),"")</f>
        <v>1.8919999999999999</v>
      </c>
      <c r="K139">
        <f>IFERROR(INDEX('Green_rooibos initial weight'!$C$5:$C$1749,MATCH(I139, 'Green_rooibos initial weight'!$A$5:$A$1749,0)),"")</f>
        <v>2.2400000000000002</v>
      </c>
      <c r="L139" s="195">
        <f t="shared" si="5"/>
        <v>1.6421999999999999</v>
      </c>
      <c r="M139" s="240">
        <f>AVERAGE(Ashed_controlls!$K$1:$K$11)</f>
        <v>5.5147656768714146</v>
      </c>
      <c r="N139" s="195">
        <f t="shared" si="0"/>
        <v>1.5516365180544176</v>
      </c>
      <c r="O139" s="195">
        <f t="shared" si="6"/>
        <v>1.9902000000000002</v>
      </c>
      <c r="P139" s="240">
        <f>AVERAGE(Ashed_controlls!$K$12:$K$14)</f>
        <v>2.2816647271287041</v>
      </c>
      <c r="Q139" s="195">
        <f t="shared" si="1"/>
        <v>1.9447903086006848</v>
      </c>
      <c r="R139" s="16">
        <f>IF('Dry_Litterbag Placem_Collection'!G66="N.A","",'Dry_Litterbag Placem_Collection'!G66)</f>
        <v>43005</v>
      </c>
      <c r="S139" s="195">
        <f>IF(IFERROR(INDEX('Both teabags AfterDry'!$D$1:$D$839,MATCH(H139,'Both teabags AfterDry'!$A$1:$A$839,0)),"")="N.A","",(IFERROR(INDEX('Both teabags AfterDry'!$D$1:$D$839,MATCH(H139,'Both teabags AfterDry'!$A$1:$A$839,0)),"")))</f>
        <v>1.6924999999999999</v>
      </c>
      <c r="T139" s="195">
        <f>IF(IFERROR(INDEX('Both teabags AfterDry'!$D$1:$D$839,MATCH(I139,'Both teabags AfterDry'!$A$1:$A$839,0)),"")="N.A","",(IFERROR(INDEX('Both teabags AfterDry'!$D$1:$D$839,MATCH(I139,'Both teabags AfterDry'!$A$1:$A$839,0)),"")))</f>
        <v>1.9783999999999999</v>
      </c>
      <c r="U139" s="195">
        <f t="shared" si="7"/>
        <v>1.5418999999999998</v>
      </c>
      <c r="V139" s="195">
        <f t="shared" si="7"/>
        <v>1.8277999999999999</v>
      </c>
      <c r="W139" s="195">
        <f>IFERROR(INDEX('Ashed teabags dry'!$K$2:$K$821,MATCH(H139,'Ashed teabags dry'!$A$2:$A$821,0)),"")</f>
        <v>6.3334982681843854</v>
      </c>
      <c r="X139" s="195">
        <f>IFERROR(INDEX('Ashed teabags dry'!$K$2:$K$821,MATCH(I139,'Ashed teabags dry'!$A$2:$A$821,0)),"")</f>
        <v>2.2874191944304623</v>
      </c>
      <c r="Y139" s="195">
        <f t="shared" si="2"/>
        <v>1.4442437902028649</v>
      </c>
      <c r="Z139" s="195">
        <f t="shared" si="2"/>
        <v>1.7859905519641999</v>
      </c>
      <c r="AA139" s="195">
        <f t="shared" si="8"/>
        <v>6.9212555003675402E-2</v>
      </c>
      <c r="AB139" s="195">
        <f t="shared" si="9"/>
        <v>4.5374501617611467E-2</v>
      </c>
      <c r="AC139" s="195">
        <f t="shared" si="3"/>
        <v>0.91834607775748101</v>
      </c>
      <c r="AD139">
        <f t="shared" si="4"/>
        <v>67</v>
      </c>
      <c r="AE139" s="195">
        <f t="shared" si="10"/>
        <v>0.91779981591012416</v>
      </c>
      <c r="AF139" s="195" t="str">
        <f t="shared" si="11"/>
        <v/>
      </c>
      <c r="AG139" s="255" t="str">
        <f>IF(ISNUMBER(SEARCH("C", 'Dry_Litterbag Placem_Collection'!AB66)),"YES","NO")</f>
        <v>NO</v>
      </c>
      <c r="AH139" s="255" t="str">
        <f>IF(ISNUMBER(SEARCH("H", 'Dry_Litterbag Placem_Collection'!AB66)),"YES","NO")</f>
        <v>NO</v>
      </c>
      <c r="AI139" s="255" t="str">
        <f>IF(ISNUMBER(SEARCH("R", 'Dry_Litterbag Placem_Collection'!AB66)),"YES","NO")</f>
        <v>NO</v>
      </c>
      <c r="AJ139" s="255" t="str">
        <f>IF(ISNUMBER(SEARCH("C", 'Dry_Litterbag Placem_Collection'!AA66)),"YES","NO")</f>
        <v>NO</v>
      </c>
      <c r="AK139" s="255" t="str">
        <f>IF(ISNUMBER(SEARCH("H", 'Dry_Litterbag Placem_Collection'!AA66)),"YES","NO")</f>
        <v>NO</v>
      </c>
      <c r="AL139" s="255" t="str">
        <f>IF(ISNUMBER(SEARCH("R", 'Dry_Litterbag Placem_Collection'!AA66)),"YES","NO")</f>
        <v>NO</v>
      </c>
      <c r="AR139" t="s">
        <v>1703</v>
      </c>
      <c r="AT139" t="s">
        <v>374</v>
      </c>
    </row>
    <row r="140" spans="2:46">
      <c r="B140" t="str">
        <f>'Final data_for_R_analysis_Dryse'!A66</f>
        <v>Dry</v>
      </c>
      <c r="C140" s="263">
        <f>'Final data_for_R_analysis_Dryse'!B66</f>
        <v>65</v>
      </c>
      <c r="D140" t="s">
        <v>3836</v>
      </c>
      <c r="E140" t="s">
        <v>22</v>
      </c>
      <c r="F140" s="386">
        <v>1</v>
      </c>
      <c r="G140" s="16">
        <f>'Dry_Litterbag Placem_Collection'!E67</f>
        <v>42937</v>
      </c>
      <c r="H140" t="str">
        <f>'Final data_for_R_analysis_Dryse'!J66</f>
        <v>G495</v>
      </c>
      <c r="I140" t="str">
        <f>'Final data_for_R_analysis_Dryse'!J286</f>
        <v>R731</v>
      </c>
      <c r="J140">
        <f>IFERROR(INDEX('Green_rooibos initial weight'!$C$5:$C$1749,MATCH(H140, 'Green_rooibos initial weight'!$A$5:$A$1749,0)),"")</f>
        <v>2.0390000000000001</v>
      </c>
      <c r="K140">
        <f>IFERROR(INDEX('Green_rooibos initial weight'!$C$5:$C$1749,MATCH(I140, 'Green_rooibos initial weight'!$A$5:$A$1749,0)),"")</f>
        <v>2.2480000000000002</v>
      </c>
      <c r="L140" s="195">
        <f t="shared" si="5"/>
        <v>1.7892000000000001</v>
      </c>
      <c r="M140" s="240">
        <f>AVERAGE(Ashed_controlls!$K$1:$K$11)</f>
        <v>5.5147656768714146</v>
      </c>
      <c r="N140" s="195">
        <f t="shared" ref="N140:N203" si="12">IFERROR(L140-(M140/100)*L140,"")</f>
        <v>1.6905298125094168</v>
      </c>
      <c r="O140" s="195">
        <f t="shared" si="6"/>
        <v>1.9982000000000002</v>
      </c>
      <c r="P140" s="240">
        <f>AVERAGE(Ashed_controlls!$K$12:$K$14)</f>
        <v>2.2816647271287041</v>
      </c>
      <c r="Q140" s="195">
        <f t="shared" ref="Q140:Q203" si="13">IFERROR(O140-(P140/100)*O140,"")</f>
        <v>1.9526077754225144</v>
      </c>
      <c r="R140" s="16">
        <f>IF('Dry_Litterbag Placem_Collection'!G67="N.A","",'Dry_Litterbag Placem_Collection'!G67)</f>
        <v>43005</v>
      </c>
      <c r="S140" s="195" t="str">
        <f>IF(IFERROR(INDEX('Both teabags AfterDry'!$D$1:$D$839,MATCH(H140,'Both teabags AfterDry'!$A$1:$A$839,0)),"")="N.A","",(IFERROR(INDEX('Both teabags AfterDry'!$D$1:$D$839,MATCH(H140,'Both teabags AfterDry'!$A$1:$A$839,0)),"")))</f>
        <v/>
      </c>
      <c r="T140" s="195" t="str">
        <f>IF(IFERROR(INDEX('Both teabags AfterDry'!$D$1:$D$839,MATCH(I140,'Both teabags AfterDry'!$A$1:$A$839,0)),"")="N.A","",(IFERROR(INDEX('Both teabags AfterDry'!$D$1:$D$839,MATCH(I140,'Both teabags AfterDry'!$A$1:$A$839,0)),"")))</f>
        <v/>
      </c>
      <c r="U140" s="195" t="str">
        <f t="shared" si="7"/>
        <v/>
      </c>
      <c r="V140" s="195" t="str">
        <f t="shared" si="7"/>
        <v/>
      </c>
      <c r="W140" s="195" t="str">
        <f>IFERROR(INDEX('Ashed teabags dry'!$K$2:$K$821,MATCH(H140,'Ashed teabags dry'!$A$2:$A$821,0)),"")</f>
        <v/>
      </c>
      <c r="X140" s="195" t="str">
        <f>IFERROR(INDEX('Ashed teabags dry'!$K$2:$K$821,MATCH(I140,'Ashed teabags dry'!$A$2:$A$821,0)),"")</f>
        <v/>
      </c>
      <c r="Y140" s="195" t="str">
        <f t="shared" ref="Y140:Z203" si="14">IFERROR(U140-(W140/100)*U140,"")</f>
        <v/>
      </c>
      <c r="Z140" s="195" t="str">
        <f t="shared" si="14"/>
        <v/>
      </c>
      <c r="AA140" s="195" t="str">
        <f t="shared" si="8"/>
        <v/>
      </c>
      <c r="AB140" s="195" t="str">
        <f t="shared" si="9"/>
        <v/>
      </c>
      <c r="AC140" s="195" t="str">
        <f t="shared" ref="AC140:AC203" si="15">IFERROR(Z140/Q140,"")</f>
        <v/>
      </c>
      <c r="AD140">
        <f t="shared" ref="AD140:AD203" si="16">IF((R140-G140)&gt;0,(IFERROR(R140-G140,"")),"")</f>
        <v>68</v>
      </c>
      <c r="AE140" s="195" t="str">
        <f t="shared" si="10"/>
        <v/>
      </c>
      <c r="AF140" s="195" t="str">
        <f t="shared" si="11"/>
        <v/>
      </c>
      <c r="AG140" s="255" t="str">
        <f>IF(ISNUMBER(SEARCH("C", 'Dry_Litterbag Placem_Collection'!AB67)),"YES","NO")</f>
        <v>NO</v>
      </c>
      <c r="AH140" s="255" t="str">
        <f>IF(ISNUMBER(SEARCH("H", 'Dry_Litterbag Placem_Collection'!AB67)),"YES","NO")</f>
        <v>NO</v>
      </c>
      <c r="AI140" s="255" t="str">
        <f>IF(ISNUMBER(SEARCH("R", 'Dry_Litterbag Placem_Collection'!AB67)),"YES","NO")</f>
        <v>NO</v>
      </c>
      <c r="AJ140" s="255" t="str">
        <f>IF(ISNUMBER(SEARCH("C", 'Dry_Litterbag Placem_Collection'!AA67)),"YES","NO")</f>
        <v>NO</v>
      </c>
      <c r="AK140" s="255" t="str">
        <f>IF(ISNUMBER(SEARCH("H", 'Dry_Litterbag Placem_Collection'!AA67)),"YES","NO")</f>
        <v>NO</v>
      </c>
      <c r="AL140" s="255" t="str">
        <f>IF(ISNUMBER(SEARCH("R", 'Dry_Litterbag Placem_Collection'!AA67)),"YES","NO")</f>
        <v>NO</v>
      </c>
      <c r="AR140" t="s">
        <v>1555</v>
      </c>
      <c r="AT140" t="s">
        <v>408</v>
      </c>
    </row>
    <row r="141" spans="2:46">
      <c r="B141" t="str">
        <f>'Final data_for_R_analysis_Dryse'!A67</f>
        <v>Dry</v>
      </c>
      <c r="C141" s="263">
        <f>'Final data_for_R_analysis_Dryse'!B67</f>
        <v>66</v>
      </c>
      <c r="D141" t="s">
        <v>3836</v>
      </c>
      <c r="E141" t="s">
        <v>22</v>
      </c>
      <c r="F141" s="386">
        <v>2</v>
      </c>
      <c r="G141" s="16">
        <f>'Dry_Litterbag Placem_Collection'!E68</f>
        <v>42937</v>
      </c>
      <c r="H141" t="str">
        <f>'Final data_for_R_analysis_Dryse'!J67</f>
        <v>G247</v>
      </c>
      <c r="I141" t="str">
        <f>'Final data_for_R_analysis_Dryse'!J287</f>
        <v>R816</v>
      </c>
      <c r="J141">
        <f>IFERROR(INDEX('Green_rooibos initial weight'!$C$5:$C$1749,MATCH(H141, 'Green_rooibos initial weight'!$A$5:$A$1749,0)),"")</f>
        <v>2.13</v>
      </c>
      <c r="K141">
        <f>IFERROR(INDEX('Green_rooibos initial weight'!$C$5:$C$1749,MATCH(I141, 'Green_rooibos initial weight'!$A$5:$A$1749,0)),"")</f>
        <v>2.194</v>
      </c>
      <c r="L141" s="195">
        <f t="shared" ref="L141:L204" si="17">IFERROR(IF(J141&gt;0,(J141*$F$31-($F$29+$F$30)),""),"")</f>
        <v>1.8801999999999999</v>
      </c>
      <c r="M141" s="240">
        <f>AVERAGE(Ashed_controlls!$K$1:$K$11)</f>
        <v>5.5147656768714146</v>
      </c>
      <c r="N141" s="195">
        <f t="shared" si="12"/>
        <v>1.7765113757434636</v>
      </c>
      <c r="O141" s="195">
        <f t="shared" ref="O141:O204" si="18">IFERROR(IF(K141&gt;0,(K141*$F$32-($F$29+$F$30)),""),"")</f>
        <v>1.9441999999999999</v>
      </c>
      <c r="P141" s="240">
        <f>AVERAGE(Ashed_controlls!$K$12:$K$14)</f>
        <v>2.2816647271287041</v>
      </c>
      <c r="Q141" s="195">
        <f t="shared" si="13"/>
        <v>1.8998398743751637</v>
      </c>
      <c r="R141" s="16">
        <f>IF('Dry_Litterbag Placem_Collection'!G68="N.A","",'Dry_Litterbag Placem_Collection'!G68)</f>
        <v>43005</v>
      </c>
      <c r="S141" s="195">
        <f>IF(IFERROR(INDEX('Both teabags AfterDry'!$D$1:$D$839,MATCH(H141,'Both teabags AfterDry'!$A$1:$A$839,0)),"")="N.A","",(IFERROR(INDEX('Both teabags AfterDry'!$D$1:$D$839,MATCH(H141,'Both teabags AfterDry'!$A$1:$A$839,0)),"")))</f>
        <v>1.9853000000000001</v>
      </c>
      <c r="T141" s="195" t="str">
        <f>IF(IFERROR(INDEX('Both teabags AfterDry'!$D$1:$D$839,MATCH(I141,'Both teabags AfterDry'!$A$1:$A$839,0)),"")="N.A","",(IFERROR(INDEX('Both teabags AfterDry'!$D$1:$D$839,MATCH(I141,'Both teabags AfterDry'!$A$1:$A$839,0)),"")))</f>
        <v/>
      </c>
      <c r="U141" s="195">
        <f t="shared" ref="U141:V204" si="19">IFERROR(IF(S141&gt;0,S141-($F$29),""),"")</f>
        <v>1.8347</v>
      </c>
      <c r="V141" s="195" t="str">
        <f t="shared" si="19"/>
        <v/>
      </c>
      <c r="W141" s="195">
        <f>IFERROR(INDEX('Ashed teabags dry'!$K$2:$K$821,MATCH(H141,'Ashed teabags dry'!$A$2:$A$821,0)),"")</f>
        <v>6.078147612156255</v>
      </c>
      <c r="X141" s="195">
        <f>IFERROR(INDEX('Ashed teabags dry'!$K$2:$K$821,MATCH(I141,'Ashed teabags dry'!$A$2:$A$821,0)),"")</f>
        <v>3.3524481693872197</v>
      </c>
      <c r="Y141" s="195">
        <f t="shared" si="14"/>
        <v>1.7231842257597692</v>
      </c>
      <c r="Z141" s="195" t="str">
        <f t="shared" si="14"/>
        <v/>
      </c>
      <c r="AA141" s="195">
        <f t="shared" ref="AA141:AA204" si="20">IFERROR(1-Y141/N141,"")</f>
        <v>3.0017905154914759E-2</v>
      </c>
      <c r="AB141" s="195">
        <f t="shared" ref="AB141:AB204" si="21">IFERROR($F$26*(1-AE141),"")</f>
        <v>1.9679196728637719E-2</v>
      </c>
      <c r="AC141" s="195" t="str">
        <f t="shared" si="15"/>
        <v/>
      </c>
      <c r="AD141">
        <f t="shared" si="16"/>
        <v>68</v>
      </c>
      <c r="AE141" s="195">
        <f t="shared" ref="AE141:AE204" si="22">IFERROR(1-(AA141/$F$25),"")</f>
        <v>0.96434928128869979</v>
      </c>
      <c r="AF141" s="195" t="str">
        <f t="shared" ref="AF141:AF204" si="23">IFERROR(LN(AB141/(AC141-(1-AB141)))/AD141,"")</f>
        <v/>
      </c>
      <c r="AG141" s="255" t="str">
        <f>IF(ISNUMBER(SEARCH("C", 'Dry_Litterbag Placem_Collection'!AB68)),"YES","NO")</f>
        <v>NO</v>
      </c>
      <c r="AH141" s="255" t="str">
        <f>IF(ISNUMBER(SEARCH("H", 'Dry_Litterbag Placem_Collection'!AB68)),"YES","NO")</f>
        <v>NO</v>
      </c>
      <c r="AI141" s="255" t="str">
        <f>IF(ISNUMBER(SEARCH("R", 'Dry_Litterbag Placem_Collection'!AB68)),"YES","NO")</f>
        <v>NO</v>
      </c>
      <c r="AJ141" s="255" t="str">
        <f>IF(ISNUMBER(SEARCH("C", 'Dry_Litterbag Placem_Collection'!AA68)),"YES","NO")</f>
        <v>NO</v>
      </c>
      <c r="AK141" s="255" t="str">
        <f>IF(ISNUMBER(SEARCH("H", 'Dry_Litterbag Placem_Collection'!AA68)),"YES","NO")</f>
        <v>NO</v>
      </c>
      <c r="AL141" s="255" t="str">
        <f>IF(ISNUMBER(SEARCH("R", 'Dry_Litterbag Placem_Collection'!AA68)),"YES","NO")</f>
        <v>NO</v>
      </c>
      <c r="AR141" t="s">
        <v>1803</v>
      </c>
      <c r="AT141" t="s">
        <v>323</v>
      </c>
    </row>
    <row r="142" spans="2:46">
      <c r="B142" t="str">
        <f>'Final data_for_R_analysis_Dryse'!A68</f>
        <v>Dry</v>
      </c>
      <c r="C142" s="263">
        <f>'Final data_for_R_analysis_Dryse'!B68</f>
        <v>67</v>
      </c>
      <c r="D142" t="s">
        <v>3836</v>
      </c>
      <c r="E142" t="s">
        <v>22</v>
      </c>
      <c r="F142" s="386">
        <v>3</v>
      </c>
      <c r="G142" s="390">
        <f>'Dry_Litterbag Placem_Collection'!E69</f>
        <v>0</v>
      </c>
      <c r="H142" t="str">
        <f>'Final data_for_R_analysis_Dryse'!J68</f>
        <v/>
      </c>
      <c r="I142" t="str">
        <f>'Final data_for_R_analysis_Dryse'!J288</f>
        <v/>
      </c>
      <c r="J142" t="str">
        <f>IFERROR(INDEX('Green_rooibos initial weight'!$C$5:$C$1749,MATCH(H142, 'Green_rooibos initial weight'!$A$5:$A$1749,0)),"")</f>
        <v/>
      </c>
      <c r="K142" t="str">
        <f>IFERROR(INDEX('Green_rooibos initial weight'!$C$5:$C$1749,MATCH(I142, 'Green_rooibos initial weight'!$A$5:$A$1749,0)),"")</f>
        <v/>
      </c>
      <c r="L142" s="195" t="str">
        <f t="shared" si="17"/>
        <v/>
      </c>
      <c r="M142" s="240">
        <f>AVERAGE(Ashed_controlls!$K$1:$K$11)</f>
        <v>5.5147656768714146</v>
      </c>
      <c r="N142" s="195" t="str">
        <f t="shared" si="12"/>
        <v/>
      </c>
      <c r="O142" s="195" t="str">
        <f t="shared" si="18"/>
        <v/>
      </c>
      <c r="P142" s="240">
        <f>AVERAGE(Ashed_controlls!$K$12:$K$14)</f>
        <v>2.2816647271287041</v>
      </c>
      <c r="Q142" s="195" t="str">
        <f t="shared" si="13"/>
        <v/>
      </c>
      <c r="R142" s="16">
        <f>IF('Dry_Litterbag Placem_Collection'!G69="N.A","",'Dry_Litterbag Placem_Collection'!G69)</f>
        <v>0</v>
      </c>
      <c r="S142" s="195" t="str">
        <f>IF(IFERROR(INDEX('Both teabags AfterDry'!$D$1:$D$839,MATCH(H142,'Both teabags AfterDry'!$A$1:$A$839,0)),"")="N.A","",(IFERROR(INDEX('Both teabags AfterDry'!$D$1:$D$839,MATCH(H142,'Both teabags AfterDry'!$A$1:$A$839,0)),"")))</f>
        <v/>
      </c>
      <c r="T142" s="195" t="str">
        <f>IF(IFERROR(INDEX('Both teabags AfterDry'!$D$1:$D$839,MATCH(I142,'Both teabags AfterDry'!$A$1:$A$839,0)),"")="N.A","",(IFERROR(INDEX('Both teabags AfterDry'!$D$1:$D$839,MATCH(I142,'Both teabags AfterDry'!$A$1:$A$839,0)),"")))</f>
        <v/>
      </c>
      <c r="U142" s="195" t="str">
        <f t="shared" si="19"/>
        <v/>
      </c>
      <c r="V142" s="195" t="str">
        <f t="shared" si="19"/>
        <v/>
      </c>
      <c r="W142" s="195" t="str">
        <f>IFERROR(INDEX('Ashed teabags dry'!$K$2:$K$821,MATCH(H142,'Ashed teabags dry'!$A$2:$A$821,0)),"")</f>
        <v/>
      </c>
      <c r="X142" s="195" t="str">
        <f>IFERROR(INDEX('Ashed teabags dry'!$K$2:$K$821,MATCH(I142,'Ashed teabags dry'!$A$2:$A$821,0)),"")</f>
        <v/>
      </c>
      <c r="Y142" s="195" t="str">
        <f t="shared" si="14"/>
        <v/>
      </c>
      <c r="Z142" s="195" t="str">
        <f t="shared" si="14"/>
        <v/>
      </c>
      <c r="AA142" s="195" t="str">
        <f t="shared" si="20"/>
        <v/>
      </c>
      <c r="AB142" s="195" t="str">
        <f t="shared" si="21"/>
        <v/>
      </c>
      <c r="AC142" s="195" t="str">
        <f t="shared" si="15"/>
        <v/>
      </c>
      <c r="AD142" t="str">
        <f t="shared" si="16"/>
        <v/>
      </c>
      <c r="AE142" s="195" t="str">
        <f t="shared" si="22"/>
        <v/>
      </c>
      <c r="AF142" s="195" t="str">
        <f t="shared" si="23"/>
        <v/>
      </c>
      <c r="AG142" s="255" t="str">
        <f>IF(ISNUMBER(SEARCH("C", 'Dry_Litterbag Placem_Collection'!AB69)),"YES","NO")</f>
        <v>NO</v>
      </c>
      <c r="AH142" s="255" t="str">
        <f>IF(ISNUMBER(SEARCH("H", 'Dry_Litterbag Placem_Collection'!AB69)),"YES","NO")</f>
        <v>NO</v>
      </c>
      <c r="AI142" s="255" t="str">
        <f>IF(ISNUMBER(SEARCH("R", 'Dry_Litterbag Placem_Collection'!AB69)),"YES","NO")</f>
        <v>NO</v>
      </c>
      <c r="AJ142" s="255" t="str">
        <f>IF(ISNUMBER(SEARCH("C", 'Dry_Litterbag Placem_Collection'!AA69)),"YES","NO")</f>
        <v>NO</v>
      </c>
      <c r="AK142" s="255" t="str">
        <f>IF(ISNUMBER(SEARCH("H", 'Dry_Litterbag Placem_Collection'!AA69)),"YES","NO")</f>
        <v>NO</v>
      </c>
      <c r="AL142" s="255" t="str">
        <f>IF(ISNUMBER(SEARCH("R", 'Dry_Litterbag Placem_Collection'!AA69)),"YES","NO")</f>
        <v>NO</v>
      </c>
      <c r="AR142" t="s">
        <v>3654</v>
      </c>
      <c r="AT142" t="s">
        <v>3654</v>
      </c>
    </row>
    <row r="143" spans="2:46">
      <c r="B143" t="str">
        <f>'Final data_for_R_analysis_Dryse'!A69</f>
        <v>Dry</v>
      </c>
      <c r="C143" s="263">
        <f>'Final data_for_R_analysis_Dryse'!B69</f>
        <v>68</v>
      </c>
      <c r="D143" t="s">
        <v>3836</v>
      </c>
      <c r="E143" t="s">
        <v>22</v>
      </c>
      <c r="F143" s="387">
        <v>4</v>
      </c>
      <c r="G143" s="16">
        <f>'Dry_Litterbag Placem_Collection'!E70</f>
        <v>42937</v>
      </c>
      <c r="H143" t="str">
        <f>'Final data_for_R_analysis_Dryse'!J69</f>
        <v>G63</v>
      </c>
      <c r="I143" t="str">
        <f>'Final data_for_R_analysis_Dryse'!J289</f>
        <v>R815</v>
      </c>
      <c r="J143">
        <f>IFERROR(INDEX('Green_rooibos initial weight'!$C$5:$C$1749,MATCH(H143, 'Green_rooibos initial weight'!$A$5:$A$1749,0)),"")</f>
        <v>2</v>
      </c>
      <c r="K143">
        <f>IFERROR(INDEX('Green_rooibos initial weight'!$C$5:$C$1749,MATCH(I143, 'Green_rooibos initial weight'!$A$5:$A$1749,0)),"")</f>
        <v>2.2130000000000001</v>
      </c>
      <c r="L143" s="195">
        <f t="shared" si="17"/>
        <v>1.7502</v>
      </c>
      <c r="M143" s="240">
        <f>AVERAGE(Ashed_controlls!$K$1:$K$11)</f>
        <v>5.5147656768714146</v>
      </c>
      <c r="N143" s="195">
        <f t="shared" si="12"/>
        <v>1.6536805711233964</v>
      </c>
      <c r="O143" s="195">
        <f t="shared" si="18"/>
        <v>1.9632000000000001</v>
      </c>
      <c r="P143" s="240">
        <f>AVERAGE(Ashed_controlls!$K$12:$K$14)</f>
        <v>2.2816647271287041</v>
      </c>
      <c r="Q143" s="195">
        <f t="shared" si="13"/>
        <v>1.9184063580770094</v>
      </c>
      <c r="R143" s="16">
        <f>IF('Dry_Litterbag Placem_Collection'!G70="N.A","",'Dry_Litterbag Placem_Collection'!G70)</f>
        <v>43005</v>
      </c>
      <c r="S143" s="195">
        <f>IF(IFERROR(INDEX('Both teabags AfterDry'!$D$1:$D$839,MATCH(H143,'Both teabags AfterDry'!$A$1:$A$839,0)),"")="N.A","",(IFERROR(INDEX('Both teabags AfterDry'!$D$1:$D$839,MATCH(H143,'Both teabags AfterDry'!$A$1:$A$839,0)),"")))</f>
        <v>1.8152999999999999</v>
      </c>
      <c r="T143" s="195">
        <f>IF(IFERROR(INDEX('Both teabags AfterDry'!$D$1:$D$839,MATCH(I143,'Both teabags AfterDry'!$A$1:$A$839,0)),"")="N.A","",(IFERROR(INDEX('Both teabags AfterDry'!$D$1:$D$839,MATCH(I143,'Both teabags AfterDry'!$A$1:$A$839,0)),"")))</f>
        <v>1.9467000000000001</v>
      </c>
      <c r="U143" s="195">
        <f t="shared" si="19"/>
        <v>1.6646999999999998</v>
      </c>
      <c r="V143" s="195">
        <f t="shared" si="19"/>
        <v>1.7961</v>
      </c>
      <c r="W143" s="195">
        <f>IFERROR(INDEX('Ashed teabags dry'!$K$2:$K$821,MATCH(H143,'Ashed teabags dry'!$A$2:$A$821,0)),"")</f>
        <v>5.6851311953349883</v>
      </c>
      <c r="X143" s="195">
        <f>IFERROR(INDEX('Ashed teabags dry'!$K$2:$K$821,MATCH(I143,'Ashed teabags dry'!$A$2:$A$821,0)),"")</f>
        <v>2.8207461328482384</v>
      </c>
      <c r="Y143" s="195">
        <f t="shared" si="14"/>
        <v>1.5700596209912583</v>
      </c>
      <c r="Z143" s="195">
        <f t="shared" si="14"/>
        <v>1.7454365787079129</v>
      </c>
      <c r="AA143" s="195">
        <f t="shared" si="20"/>
        <v>5.0566567444964128E-2</v>
      </c>
      <c r="AB143" s="195">
        <f t="shared" si="21"/>
        <v>3.3150528776271053E-2</v>
      </c>
      <c r="AC143" s="195">
        <f t="shared" si="15"/>
        <v>0.909836735767244</v>
      </c>
      <c r="AD143">
        <f t="shared" si="16"/>
        <v>68</v>
      </c>
      <c r="AE143" s="195">
        <f t="shared" si="22"/>
        <v>0.93994469424588578</v>
      </c>
      <c r="AF143" s="195" t="str">
        <f t="shared" si="23"/>
        <v/>
      </c>
      <c r="AG143" s="255" t="str">
        <f>IF(ISNUMBER(SEARCH("C", 'Dry_Litterbag Placem_Collection'!AB70)),"YES","NO")</f>
        <v>NO</v>
      </c>
      <c r="AH143" s="255" t="str">
        <f>IF(ISNUMBER(SEARCH("H", 'Dry_Litterbag Placem_Collection'!AB70)),"YES","NO")</f>
        <v>NO</v>
      </c>
      <c r="AI143" s="255" t="str">
        <f>IF(ISNUMBER(SEARCH("R", 'Dry_Litterbag Placem_Collection'!AB70)),"YES","NO")</f>
        <v>NO</v>
      </c>
      <c r="AJ143" s="255" t="str">
        <f>IF(ISNUMBER(SEARCH("C", 'Dry_Litterbag Placem_Collection'!AA70)),"YES","NO")</f>
        <v>NO</v>
      </c>
      <c r="AK143" s="255" t="str">
        <f>IF(ISNUMBER(SEARCH("H", 'Dry_Litterbag Placem_Collection'!AA70)),"YES","NO")</f>
        <v>NO</v>
      </c>
      <c r="AL143" s="255" t="str">
        <f>IF(ISNUMBER(SEARCH("R", 'Dry_Litterbag Placem_Collection'!AA70)),"YES","NO")</f>
        <v>NO</v>
      </c>
      <c r="AR143" t="s">
        <v>1987</v>
      </c>
      <c r="AT143" t="s">
        <v>324</v>
      </c>
    </row>
    <row r="144" spans="2:46">
      <c r="B144" t="str">
        <f>'Final data_for_R_analysis_Dryse'!A70</f>
        <v>Dry</v>
      </c>
      <c r="C144" s="263">
        <f>'Final data_for_R_analysis_Dryse'!B70</f>
        <v>69</v>
      </c>
      <c r="D144" t="s">
        <v>3836</v>
      </c>
      <c r="E144" t="s">
        <v>22</v>
      </c>
      <c r="F144" s="387">
        <v>5</v>
      </c>
      <c r="G144" s="16">
        <f>'Dry_Litterbag Placem_Collection'!E71</f>
        <v>42937</v>
      </c>
      <c r="H144" t="str">
        <f>'Final data_for_R_analysis_Dryse'!J70</f>
        <v>G382</v>
      </c>
      <c r="I144" t="str">
        <f>'Final data_for_R_analysis_Dryse'!J290</f>
        <v>R741</v>
      </c>
      <c r="J144">
        <f>IFERROR(INDEX('Green_rooibos initial weight'!$C$5:$C$1749,MATCH(H144, 'Green_rooibos initial weight'!$A$5:$A$1749,0)),"")</f>
        <v>2.0960000000000001</v>
      </c>
      <c r="K144">
        <f>IFERROR(INDEX('Green_rooibos initial weight'!$C$5:$C$1749,MATCH(I144, 'Green_rooibos initial weight'!$A$5:$A$1749,0)),"")</f>
        <v>2.262</v>
      </c>
      <c r="L144" s="195">
        <f t="shared" si="17"/>
        <v>1.8462000000000001</v>
      </c>
      <c r="M144" s="240">
        <f>AVERAGE(Ashed_controlls!$K$1:$K$11)</f>
        <v>5.5147656768714146</v>
      </c>
      <c r="N144" s="195">
        <f t="shared" si="12"/>
        <v>1.7443863960735999</v>
      </c>
      <c r="O144" s="195">
        <f t="shared" si="18"/>
        <v>2.0122</v>
      </c>
      <c r="P144" s="240">
        <f>AVERAGE(Ashed_controlls!$K$12:$K$14)</f>
        <v>2.2816647271287041</v>
      </c>
      <c r="Q144" s="195">
        <f t="shared" si="13"/>
        <v>1.9662883423607163</v>
      </c>
      <c r="R144" s="16">
        <f>IF('Dry_Litterbag Placem_Collection'!G71="N.A","",'Dry_Litterbag Placem_Collection'!G71)</f>
        <v>43006</v>
      </c>
      <c r="S144" s="195">
        <f>IF(IFERROR(INDEX('Both teabags AfterDry'!$D$1:$D$839,MATCH(H144,'Both teabags AfterDry'!$A$1:$A$839,0)),"")="N.A","",(IFERROR(INDEX('Both teabags AfterDry'!$D$1:$D$839,MATCH(H144,'Both teabags AfterDry'!$A$1:$A$839,0)),"")))</f>
        <v>1.8677999999999999</v>
      </c>
      <c r="T144" s="195">
        <f>IF(IFERROR(INDEX('Both teabags AfterDry'!$D$1:$D$839,MATCH(I144,'Both teabags AfterDry'!$A$1:$A$839,0)),"")="N.A","",(IFERROR(INDEX('Both teabags AfterDry'!$D$1:$D$839,MATCH(I144,'Both teabags AfterDry'!$A$1:$A$839,0)),"")))</f>
        <v>1.9702999999999999</v>
      </c>
      <c r="U144" s="195">
        <f t="shared" si="19"/>
        <v>1.7171999999999998</v>
      </c>
      <c r="V144" s="195">
        <f t="shared" si="19"/>
        <v>1.8196999999999999</v>
      </c>
      <c r="W144" s="195">
        <f>IFERROR(INDEX('Ashed teabags dry'!$K$2:$K$821,MATCH(H144,'Ashed teabags dry'!$A$2:$A$821,0)),"")</f>
        <v>5.5063913470994565</v>
      </c>
      <c r="X144" s="195">
        <f>IFERROR(INDEX('Ashed teabags dry'!$K$2:$K$821,MATCH(I144,'Ashed teabags dry'!$A$2:$A$821,0)),"")</f>
        <v>3.5535535535533986</v>
      </c>
      <c r="Y144" s="195">
        <f t="shared" si="14"/>
        <v>1.622644247787608</v>
      </c>
      <c r="Z144" s="195">
        <f t="shared" si="14"/>
        <v>1.7550359859859888</v>
      </c>
      <c r="AA144" s="195">
        <f t="shared" si="20"/>
        <v>6.9790815016683605E-2</v>
      </c>
      <c r="AB144" s="195">
        <f t="shared" si="21"/>
        <v>4.5753598443241492E-2</v>
      </c>
      <c r="AC144" s="195">
        <f t="shared" si="15"/>
        <v>0.89256288011091045</v>
      </c>
      <c r="AD144">
        <f t="shared" si="16"/>
        <v>69</v>
      </c>
      <c r="AE144" s="195">
        <f t="shared" si="22"/>
        <v>0.91711304629847556</v>
      </c>
      <c r="AF144" s="195" t="str">
        <f t="shared" si="23"/>
        <v/>
      </c>
      <c r="AG144" s="255" t="str">
        <f>IF(ISNUMBER(SEARCH("C", 'Dry_Litterbag Placem_Collection'!AB71)),"YES","NO")</f>
        <v>NO</v>
      </c>
      <c r="AH144" s="255" t="str">
        <f>IF(ISNUMBER(SEARCH("H", 'Dry_Litterbag Placem_Collection'!AB71)),"YES","NO")</f>
        <v>NO</v>
      </c>
      <c r="AI144" s="255" t="str">
        <f>IF(ISNUMBER(SEARCH("R", 'Dry_Litterbag Placem_Collection'!AB71)),"YES","NO")</f>
        <v>NO</v>
      </c>
      <c r="AJ144" s="255" t="str">
        <f>IF(ISNUMBER(SEARCH("C", 'Dry_Litterbag Placem_Collection'!AA71)),"YES","NO")</f>
        <v>NO</v>
      </c>
      <c r="AK144" s="255" t="str">
        <f>IF(ISNUMBER(SEARCH("H", 'Dry_Litterbag Placem_Collection'!AA71)),"YES","NO")</f>
        <v>NO</v>
      </c>
      <c r="AL144" s="255" t="str">
        <f>IF(ISNUMBER(SEARCH("R", 'Dry_Litterbag Placem_Collection'!AA71)),"YES","NO")</f>
        <v>NO</v>
      </c>
      <c r="AR144" t="s">
        <v>1668</v>
      </c>
      <c r="AT144" t="s">
        <v>398</v>
      </c>
    </row>
    <row r="145" spans="2:46">
      <c r="B145" t="str">
        <f>'Final data_for_R_analysis_Dryse'!A71</f>
        <v>Dry</v>
      </c>
      <c r="C145" s="263">
        <f>'Final data_for_R_analysis_Dryse'!B71</f>
        <v>70</v>
      </c>
      <c r="D145" t="s">
        <v>3836</v>
      </c>
      <c r="E145" t="s">
        <v>22</v>
      </c>
      <c r="F145" s="387">
        <v>6</v>
      </c>
      <c r="G145" s="16">
        <f>'Dry_Litterbag Placem_Collection'!E72</f>
        <v>42937</v>
      </c>
      <c r="H145" t="str">
        <f>'Final data_for_R_analysis_Dryse'!J71</f>
        <v>G278</v>
      </c>
      <c r="I145" t="str">
        <f>'Final data_for_R_analysis_Dryse'!J291</f>
        <v>R294</v>
      </c>
      <c r="J145">
        <f>IFERROR(INDEX('Green_rooibos initial weight'!$C$5:$C$1749,MATCH(H145, 'Green_rooibos initial weight'!$A$5:$A$1749,0)),"")</f>
        <v>2.0049999999999999</v>
      </c>
      <c r="K145">
        <f>IFERROR(INDEX('Green_rooibos initial weight'!$C$5:$C$1749,MATCH(I145, 'Green_rooibos initial weight'!$A$5:$A$1749,0)),"")</f>
        <v>2.226</v>
      </c>
      <c r="L145" s="195">
        <f t="shared" si="17"/>
        <v>1.7551999999999999</v>
      </c>
      <c r="M145" s="240">
        <f>AVERAGE(Ashed_controlls!$K$1:$K$11)</f>
        <v>5.5147656768714146</v>
      </c>
      <c r="N145" s="195">
        <f t="shared" si="12"/>
        <v>1.6584048328395529</v>
      </c>
      <c r="O145" s="195">
        <f t="shared" si="18"/>
        <v>1.9762</v>
      </c>
      <c r="P145" s="240">
        <f>AVERAGE(Ashed_controlls!$K$12:$K$14)</f>
        <v>2.2816647271287041</v>
      </c>
      <c r="Q145" s="195">
        <f t="shared" si="13"/>
        <v>1.9311097416624825</v>
      </c>
      <c r="R145" s="16">
        <f>IF('Dry_Litterbag Placem_Collection'!G72="N.A","",'Dry_Litterbag Placem_Collection'!G72)</f>
        <v>43006</v>
      </c>
      <c r="S145" s="195">
        <f>IF(IFERROR(INDEX('Both teabags AfterDry'!$D$1:$D$839,MATCH(H145,'Both teabags AfterDry'!$A$1:$A$839,0)),"")="N.A","",(IFERROR(INDEX('Both teabags AfterDry'!$D$1:$D$839,MATCH(H145,'Both teabags AfterDry'!$A$1:$A$839,0)),"")))</f>
        <v>1.8243</v>
      </c>
      <c r="T145" s="195">
        <f>IF(IFERROR(INDEX('Both teabags AfterDry'!$D$1:$D$839,MATCH(I145,'Both teabags AfterDry'!$A$1:$A$839,0)),"")="N.A","",(IFERROR(INDEX('Both teabags AfterDry'!$D$1:$D$839,MATCH(I145,'Both teabags AfterDry'!$A$1:$A$839,0)),"")))</f>
        <v>0.51</v>
      </c>
      <c r="U145" s="195">
        <f t="shared" si="19"/>
        <v>1.6737</v>
      </c>
      <c r="V145" s="195">
        <f t="shared" si="19"/>
        <v>0.3594</v>
      </c>
      <c r="W145" s="195">
        <f>IFERROR(INDEX('Ashed teabags dry'!$K$2:$K$821,MATCH(H145,'Ashed teabags dry'!$A$2:$A$821,0)),"")</f>
        <v>5.9292476332832429</v>
      </c>
      <c r="X145" s="195">
        <f>IFERROR(INDEX('Ashed teabags dry'!$K$2:$K$821,MATCH(I145,'Ashed teabags dry'!$A$2:$A$821,0)),"")</f>
        <v>66.450324513230314</v>
      </c>
      <c r="Y145" s="195">
        <f t="shared" si="14"/>
        <v>1.5744621823617384</v>
      </c>
      <c r="Z145" s="195">
        <f t="shared" si="14"/>
        <v>0.12057753369945023</v>
      </c>
      <c r="AA145" s="195">
        <f t="shared" si="20"/>
        <v>5.0616501360579269E-2</v>
      </c>
      <c r="AB145" s="195">
        <f t="shared" si="21"/>
        <v>3.3183264549928482E-2</v>
      </c>
      <c r="AC145" s="195">
        <f t="shared" si="15"/>
        <v>6.2439503617047497E-2</v>
      </c>
      <c r="AD145">
        <f t="shared" si="16"/>
        <v>69</v>
      </c>
      <c r="AE145" s="195">
        <f t="shared" si="22"/>
        <v>0.93988539030810059</v>
      </c>
      <c r="AF145" s="195" t="str">
        <f t="shared" si="23"/>
        <v/>
      </c>
      <c r="AG145" s="255" t="str">
        <f>IF(ISNUMBER(SEARCH("C", 'Dry_Litterbag Placem_Collection'!AB72)),"YES","NO")</f>
        <v>NO</v>
      </c>
      <c r="AH145" s="255" t="str">
        <f>IF(ISNUMBER(SEARCH("H", 'Dry_Litterbag Placem_Collection'!AB72)),"YES","NO")</f>
        <v>NO</v>
      </c>
      <c r="AI145" s="255" t="str">
        <f>IF(ISNUMBER(SEARCH("R", 'Dry_Litterbag Placem_Collection'!AB72)),"YES","NO")</f>
        <v>NO</v>
      </c>
      <c r="AJ145" s="255" t="str">
        <f>IF(ISNUMBER(SEARCH("C", 'Dry_Litterbag Placem_Collection'!AA72)),"YES","NO")</f>
        <v>NO</v>
      </c>
      <c r="AK145" s="255" t="str">
        <f>IF(ISNUMBER(SEARCH("H", 'Dry_Litterbag Placem_Collection'!AA72)),"YES","NO")</f>
        <v>NO</v>
      </c>
      <c r="AL145" s="255" t="str">
        <f>IF(ISNUMBER(SEARCH("R", 'Dry_Litterbag Placem_Collection'!AA72)),"YES","NO")</f>
        <v>NO</v>
      </c>
      <c r="AR145" t="s">
        <v>1772</v>
      </c>
      <c r="AT145" t="s">
        <v>847</v>
      </c>
    </row>
    <row r="146" spans="2:46">
      <c r="B146" t="str">
        <f>'Final data_for_R_analysis_Dryse'!A72</f>
        <v>Dry</v>
      </c>
      <c r="C146" s="263">
        <f>'Final data_for_R_analysis_Dryse'!B72</f>
        <v>71</v>
      </c>
      <c r="D146" t="s">
        <v>3836</v>
      </c>
      <c r="E146" t="s">
        <v>22</v>
      </c>
      <c r="F146" s="387">
        <v>7</v>
      </c>
      <c r="G146" s="16">
        <f>'Dry_Litterbag Placem_Collection'!E73</f>
        <v>42937</v>
      </c>
      <c r="H146" t="str">
        <f>'Final data_for_R_analysis_Dryse'!J72</f>
        <v>G138</v>
      </c>
      <c r="I146" t="str">
        <f>'Final data_for_R_analysis_Dryse'!J292</f>
        <v>R761</v>
      </c>
      <c r="J146">
        <f>IFERROR(INDEX('Green_rooibos initial weight'!$C$5:$C$1749,MATCH(H146, 'Green_rooibos initial weight'!$A$5:$A$1749,0)),"")</f>
        <v>1.956</v>
      </c>
      <c r="K146">
        <f>IFERROR(INDEX('Green_rooibos initial weight'!$C$5:$C$1749,MATCH(I146, 'Green_rooibos initial weight'!$A$5:$A$1749,0)),"")</f>
        <v>2.1509999999999998</v>
      </c>
      <c r="L146" s="195">
        <f t="shared" si="17"/>
        <v>1.7061999999999999</v>
      </c>
      <c r="M146" s="240">
        <f>AVERAGE(Ashed_controlls!$K$1:$K$11)</f>
        <v>5.5147656768714146</v>
      </c>
      <c r="N146" s="195">
        <f t="shared" si="12"/>
        <v>1.6121070680212199</v>
      </c>
      <c r="O146" s="195">
        <f t="shared" si="18"/>
        <v>1.9011999999999998</v>
      </c>
      <c r="P146" s="240">
        <f>AVERAGE(Ashed_controlls!$K$12:$K$14)</f>
        <v>2.2816647271287041</v>
      </c>
      <c r="Q146" s="195">
        <f t="shared" si="13"/>
        <v>1.8578209902078289</v>
      </c>
      <c r="R146" s="16">
        <f>IF('Dry_Litterbag Placem_Collection'!G73="N.A","",'Dry_Litterbag Placem_Collection'!G73)</f>
        <v>43006</v>
      </c>
      <c r="S146" s="195">
        <f>IF(IFERROR(INDEX('Both teabags AfterDry'!$D$1:$D$839,MATCH(H146,'Both teabags AfterDry'!$A$1:$A$839,0)),"")="N.A","",(IFERROR(INDEX('Both teabags AfterDry'!$D$1:$D$839,MATCH(H146,'Both teabags AfterDry'!$A$1:$A$839,0)),"")))</f>
        <v>1.782</v>
      </c>
      <c r="T146" s="195">
        <f>IF(IFERROR(INDEX('Both teabags AfterDry'!$D$1:$D$839,MATCH(I146,'Both teabags AfterDry'!$A$1:$A$839,0)),"")="N.A","",(IFERROR(INDEX('Both teabags AfterDry'!$D$1:$D$839,MATCH(I146,'Both teabags AfterDry'!$A$1:$A$839,0)),"")))</f>
        <v>1.9017999999999999</v>
      </c>
      <c r="U146" s="195">
        <f t="shared" si="19"/>
        <v>1.6314</v>
      </c>
      <c r="V146" s="195">
        <f t="shared" si="19"/>
        <v>1.7511999999999999</v>
      </c>
      <c r="W146" s="195">
        <f>IFERROR(INDEX('Ashed teabags dry'!$K$2:$K$821,MATCH(H146,'Ashed teabags dry'!$A$2:$A$821,0)),"")</f>
        <v>5.177372962607877</v>
      </c>
      <c r="X146" s="195">
        <f>IFERROR(INDEX('Ashed teabags dry'!$K$2:$K$821,MATCH(I146,'Ashed teabags dry'!$A$2:$A$821,0)),"")</f>
        <v>2.5515210991172763</v>
      </c>
      <c r="Y146" s="195">
        <f t="shared" si="14"/>
        <v>1.546936337488015</v>
      </c>
      <c r="Z146" s="195">
        <f t="shared" si="14"/>
        <v>1.7065177625122581</v>
      </c>
      <c r="AA146" s="195">
        <f t="shared" si="20"/>
        <v>4.0425807829996496E-2</v>
      </c>
      <c r="AB146" s="195">
        <f t="shared" si="21"/>
        <v>2.6502429836292241E-2</v>
      </c>
      <c r="AC146" s="195">
        <f t="shared" si="15"/>
        <v>0.91855876939002346</v>
      </c>
      <c r="AD146">
        <f t="shared" si="16"/>
        <v>69</v>
      </c>
      <c r="AE146" s="195">
        <f t="shared" si="22"/>
        <v>0.95198835174584739</v>
      </c>
      <c r="AF146" s="195" t="str">
        <f t="shared" si="23"/>
        <v/>
      </c>
      <c r="AG146" s="255" t="str">
        <f>IF(ISNUMBER(SEARCH("C", 'Dry_Litterbag Placem_Collection'!AB73)),"YES","NO")</f>
        <v>NO</v>
      </c>
      <c r="AH146" s="255" t="str">
        <f>IF(ISNUMBER(SEARCH("H", 'Dry_Litterbag Placem_Collection'!AB73)),"YES","NO")</f>
        <v>NO</v>
      </c>
      <c r="AI146" s="255" t="str">
        <f>IF(ISNUMBER(SEARCH("R", 'Dry_Litterbag Placem_Collection'!AB73)),"YES","NO")</f>
        <v>NO</v>
      </c>
      <c r="AJ146" s="255" t="str">
        <f>IF(ISNUMBER(SEARCH("C", 'Dry_Litterbag Placem_Collection'!AA73)),"YES","NO")</f>
        <v>NO</v>
      </c>
      <c r="AK146" s="255" t="str">
        <f>IF(ISNUMBER(SEARCH("H", 'Dry_Litterbag Placem_Collection'!AA73)),"YES","NO")</f>
        <v>NO</v>
      </c>
      <c r="AL146" s="255" t="str">
        <f>IF(ISNUMBER(SEARCH("R", 'Dry_Litterbag Placem_Collection'!AA73)),"YES","NO")</f>
        <v>NO</v>
      </c>
      <c r="AR146" t="s">
        <v>1912</v>
      </c>
      <c r="AT146" t="s">
        <v>378</v>
      </c>
    </row>
    <row r="147" spans="2:46">
      <c r="B147" t="str">
        <f>'Final data_for_R_analysis_Dryse'!A73</f>
        <v>Dry</v>
      </c>
      <c r="C147" s="263">
        <f>'Final data_for_R_analysis_Dryse'!B73</f>
        <v>72</v>
      </c>
      <c r="D147" t="s">
        <v>3836</v>
      </c>
      <c r="E147" t="s">
        <v>22</v>
      </c>
      <c r="F147" s="387">
        <v>8</v>
      </c>
      <c r="G147" s="16">
        <f>'Dry_Litterbag Placem_Collection'!E74</f>
        <v>42937</v>
      </c>
      <c r="H147" t="str">
        <f>'Final data_for_R_analysis_Dryse'!J73</f>
        <v>G431</v>
      </c>
      <c r="I147" t="str">
        <f>'Final data_for_R_analysis_Dryse'!J293</f>
        <v>R780</v>
      </c>
      <c r="J147">
        <f>IFERROR(INDEX('Green_rooibos initial weight'!$C$5:$C$1749,MATCH(H147, 'Green_rooibos initial weight'!$A$5:$A$1749,0)),"")</f>
        <v>2.08</v>
      </c>
      <c r="K147">
        <f>IFERROR(INDEX('Green_rooibos initial weight'!$C$5:$C$1749,MATCH(I147, 'Green_rooibos initial weight'!$A$5:$A$1749,0)),"")</f>
        <v>2.19</v>
      </c>
      <c r="L147" s="195">
        <f t="shared" si="17"/>
        <v>1.8302</v>
      </c>
      <c r="M147" s="240">
        <f>AVERAGE(Ashed_controlls!$K$1:$K$11)</f>
        <v>5.5147656768714146</v>
      </c>
      <c r="N147" s="195">
        <f t="shared" si="12"/>
        <v>1.7292687585818993</v>
      </c>
      <c r="O147" s="195">
        <f t="shared" si="18"/>
        <v>1.9401999999999999</v>
      </c>
      <c r="P147" s="240">
        <f>AVERAGE(Ashed_controlls!$K$12:$K$14)</f>
        <v>2.2816647271287041</v>
      </c>
      <c r="Q147" s="195">
        <f t="shared" si="13"/>
        <v>1.8959311409642488</v>
      </c>
      <c r="R147" s="16">
        <f>IF('Dry_Litterbag Placem_Collection'!G74="N.A","",'Dry_Litterbag Placem_Collection'!G74)</f>
        <v>43006</v>
      </c>
      <c r="S147" s="195">
        <f>IF(IFERROR(INDEX('Both teabags AfterDry'!$D$1:$D$839,MATCH(H147,'Both teabags AfterDry'!$A$1:$A$839,0)),"")="N.A","",(IFERROR(INDEX('Both teabags AfterDry'!$D$1:$D$839,MATCH(H147,'Both teabags AfterDry'!$A$1:$A$839,0)),"")))</f>
        <v>1.8758999999999999</v>
      </c>
      <c r="T147" s="195">
        <f>IF(IFERROR(INDEX('Both teabags AfterDry'!$D$1:$D$839,MATCH(I147,'Both teabags AfterDry'!$A$1:$A$839,0)),"")="N.A","",(IFERROR(INDEX('Both teabags AfterDry'!$D$1:$D$839,MATCH(I147,'Both teabags AfterDry'!$A$1:$A$839,0)),"")))</f>
        <v>1.9477</v>
      </c>
      <c r="U147" s="195">
        <f t="shared" si="19"/>
        <v>1.7252999999999998</v>
      </c>
      <c r="V147" s="195">
        <f t="shared" si="19"/>
        <v>1.7970999999999999</v>
      </c>
      <c r="W147" s="195">
        <f>IFERROR(INDEX('Ashed teabags dry'!$K$2:$K$821,MATCH(H147,'Ashed teabags dry'!$A$2:$A$821,0)),"")</f>
        <v>5.6922334780507073</v>
      </c>
      <c r="X147" s="195">
        <f>IFERROR(INDEX('Ashed teabags dry'!$K$2:$K$821,MATCH(I147,'Ashed teabags dry'!$A$2:$A$821,0)),"")</f>
        <v>2.0045558086562076</v>
      </c>
      <c r="Y147" s="195">
        <f t="shared" si="14"/>
        <v>1.627091895803191</v>
      </c>
      <c r="Z147" s="195">
        <f t="shared" si="14"/>
        <v>1.7610761275626392</v>
      </c>
      <c r="AA147" s="195">
        <f t="shared" si="20"/>
        <v>5.9086745349230307E-2</v>
      </c>
      <c r="AB147" s="195">
        <f t="shared" si="21"/>
        <v>3.8736203601870689E-2</v>
      </c>
      <c r="AC147" s="195">
        <f t="shared" si="15"/>
        <v>0.92887135482514205</v>
      </c>
      <c r="AD147">
        <f t="shared" si="16"/>
        <v>69</v>
      </c>
      <c r="AE147" s="195">
        <f t="shared" si="22"/>
        <v>0.9298257181125531</v>
      </c>
      <c r="AF147" s="195" t="str">
        <f t="shared" si="23"/>
        <v/>
      </c>
      <c r="AG147" s="255" t="str">
        <f>IF(ISNUMBER(SEARCH("C", 'Dry_Litterbag Placem_Collection'!AB74)),"YES","NO")</f>
        <v>NO</v>
      </c>
      <c r="AH147" s="255" t="str">
        <f>IF(ISNUMBER(SEARCH("H", 'Dry_Litterbag Placem_Collection'!AB74)),"YES","NO")</f>
        <v>NO</v>
      </c>
      <c r="AI147" s="255" t="str">
        <f>IF(ISNUMBER(SEARCH("R", 'Dry_Litterbag Placem_Collection'!AB74)),"YES","NO")</f>
        <v>NO</v>
      </c>
      <c r="AJ147" s="255" t="str">
        <f>IF(ISNUMBER(SEARCH("C", 'Dry_Litterbag Placem_Collection'!AA74)),"YES","NO")</f>
        <v>NO</v>
      </c>
      <c r="AK147" s="255" t="str">
        <f>IF(ISNUMBER(SEARCH("H", 'Dry_Litterbag Placem_Collection'!AA74)),"YES","NO")</f>
        <v>NO</v>
      </c>
      <c r="AL147" s="255" t="str">
        <f>IF(ISNUMBER(SEARCH("R", 'Dry_Litterbag Placem_Collection'!AA74)),"YES","NO")</f>
        <v>NO</v>
      </c>
      <c r="AR147" t="s">
        <v>1619</v>
      </c>
      <c r="AT147" t="s">
        <v>359</v>
      </c>
    </row>
    <row r="148" spans="2:46">
      <c r="B148" t="str">
        <f>'Final data_for_R_analysis_Dryse'!A74</f>
        <v>Dry</v>
      </c>
      <c r="C148" s="263">
        <f>'Final data_for_R_analysis_Dryse'!B74</f>
        <v>73</v>
      </c>
      <c r="D148" t="s">
        <v>3838</v>
      </c>
      <c r="E148" t="s">
        <v>22</v>
      </c>
      <c r="F148" s="386">
        <v>1</v>
      </c>
      <c r="G148" s="16">
        <f>'Dry_Litterbag Placem_Collection'!E75</f>
        <v>42937</v>
      </c>
      <c r="H148" t="str">
        <f>'Final data_for_R_analysis_Dryse'!J74</f>
        <v>G321</v>
      </c>
      <c r="I148" t="str">
        <f>'Final data_for_R_analysis_Dryse'!J294</f>
        <v>R730</v>
      </c>
      <c r="J148">
        <f>IFERROR(INDEX('Green_rooibos initial weight'!$C$5:$C$1749,MATCH(H148, 'Green_rooibos initial weight'!$A$5:$A$1749,0)),"")</f>
        <v>1.9179999999999999</v>
      </c>
      <c r="K148">
        <f>IFERROR(INDEX('Green_rooibos initial weight'!$C$5:$C$1749,MATCH(I148, 'Green_rooibos initial weight'!$A$5:$A$1749,0)),"")</f>
        <v>2.1509999999999998</v>
      </c>
      <c r="L148" s="195">
        <f t="shared" si="17"/>
        <v>1.6681999999999999</v>
      </c>
      <c r="M148" s="240">
        <f>AVERAGE(Ashed_controlls!$K$1:$K$11)</f>
        <v>5.5147656768714146</v>
      </c>
      <c r="N148" s="195">
        <f t="shared" si="12"/>
        <v>1.5762026789784309</v>
      </c>
      <c r="O148" s="195">
        <f t="shared" si="18"/>
        <v>1.9011999999999998</v>
      </c>
      <c r="P148" s="240">
        <f>AVERAGE(Ashed_controlls!$K$12:$K$14)</f>
        <v>2.2816647271287041</v>
      </c>
      <c r="Q148" s="195">
        <f t="shared" si="13"/>
        <v>1.8578209902078289</v>
      </c>
      <c r="R148" s="16">
        <f>IF('Dry_Litterbag Placem_Collection'!G75="N.A","",'Dry_Litterbag Placem_Collection'!G75)</f>
        <v>43006</v>
      </c>
      <c r="S148" s="195" t="str">
        <f>IF(IFERROR(INDEX('Both teabags AfterDry'!$D$1:$D$839,MATCH(H148,'Both teabags AfterDry'!$A$1:$A$839,0)),"")="N.A","",(IFERROR(INDEX('Both teabags AfterDry'!$D$1:$D$839,MATCH(H148,'Both teabags AfterDry'!$A$1:$A$839,0)),"")))</f>
        <v/>
      </c>
      <c r="T148" s="195" t="str">
        <f>IF(IFERROR(INDEX('Both teabags AfterDry'!$D$1:$D$839,MATCH(I148,'Both teabags AfterDry'!$A$1:$A$839,0)),"")="N.A","",(IFERROR(INDEX('Both teabags AfterDry'!$D$1:$D$839,MATCH(I148,'Both teabags AfterDry'!$A$1:$A$839,0)),"")))</f>
        <v/>
      </c>
      <c r="U148" s="195" t="str">
        <f t="shared" si="19"/>
        <v/>
      </c>
      <c r="V148" s="195" t="str">
        <f t="shared" si="19"/>
        <v/>
      </c>
      <c r="W148" s="195" t="str">
        <f>IFERROR(INDEX('Ashed teabags dry'!$K$2:$K$821,MATCH(H148,'Ashed teabags dry'!$A$2:$A$821,0)),"")</f>
        <v/>
      </c>
      <c r="X148" s="195" t="str">
        <f>IFERROR(INDEX('Ashed teabags dry'!$K$2:$K$821,MATCH(I148,'Ashed teabags dry'!$A$2:$A$821,0)),"")</f>
        <v/>
      </c>
      <c r="Y148" s="195" t="str">
        <f t="shared" si="14"/>
        <v/>
      </c>
      <c r="Z148" s="195" t="str">
        <f t="shared" si="14"/>
        <v/>
      </c>
      <c r="AA148" s="195" t="str">
        <f t="shared" si="20"/>
        <v/>
      </c>
      <c r="AB148" s="195" t="str">
        <f t="shared" si="21"/>
        <v/>
      </c>
      <c r="AC148" s="195" t="str">
        <f t="shared" si="15"/>
        <v/>
      </c>
      <c r="AD148">
        <f t="shared" si="16"/>
        <v>69</v>
      </c>
      <c r="AE148" s="195" t="str">
        <f t="shared" si="22"/>
        <v/>
      </c>
      <c r="AF148" s="195" t="str">
        <f t="shared" si="23"/>
        <v/>
      </c>
      <c r="AG148" s="255" t="str">
        <f>IF(ISNUMBER(SEARCH("C", 'Dry_Litterbag Placem_Collection'!AB75)),"YES","NO")</f>
        <v>NO</v>
      </c>
      <c r="AH148" s="255" t="str">
        <f>IF(ISNUMBER(SEARCH("H", 'Dry_Litterbag Placem_Collection'!AB75)),"YES","NO")</f>
        <v>NO</v>
      </c>
      <c r="AI148" s="255" t="str">
        <f>IF(ISNUMBER(SEARCH("R", 'Dry_Litterbag Placem_Collection'!AB75)),"YES","NO")</f>
        <v>NO</v>
      </c>
      <c r="AJ148" s="255" t="str">
        <f>IF(ISNUMBER(SEARCH("C", 'Dry_Litterbag Placem_Collection'!AA75)),"YES","NO")</f>
        <v>NO</v>
      </c>
      <c r="AK148" s="255" t="str">
        <f>IF(ISNUMBER(SEARCH("H", 'Dry_Litterbag Placem_Collection'!AA75)),"YES","NO")</f>
        <v>NO</v>
      </c>
      <c r="AL148" s="255" t="str">
        <f>IF(ISNUMBER(SEARCH("R", 'Dry_Litterbag Placem_Collection'!AA75)),"YES","NO")</f>
        <v>NO</v>
      </c>
      <c r="AR148" t="s">
        <v>1729</v>
      </c>
      <c r="AT148" t="s">
        <v>409</v>
      </c>
    </row>
    <row r="149" spans="2:46">
      <c r="B149" t="str">
        <f>'Final data_for_R_analysis_Dryse'!A75</f>
        <v>Dry</v>
      </c>
      <c r="C149" s="263">
        <f>'Final data_for_R_analysis_Dryse'!B75</f>
        <v>74</v>
      </c>
      <c r="D149" t="s">
        <v>3838</v>
      </c>
      <c r="E149" t="s">
        <v>22</v>
      </c>
      <c r="F149" s="386">
        <v>2</v>
      </c>
      <c r="G149" s="16">
        <f>'Dry_Litterbag Placem_Collection'!E76</f>
        <v>42937</v>
      </c>
      <c r="H149" t="str">
        <f>'Final data_for_R_analysis_Dryse'!J75</f>
        <v>G329</v>
      </c>
      <c r="I149" t="str">
        <f>'Final data_for_R_analysis_Dryse'!J295</f>
        <v>R825</v>
      </c>
      <c r="J149">
        <f>IFERROR(INDEX('Green_rooibos initial weight'!$C$5:$C$1749,MATCH(H149, 'Green_rooibos initial weight'!$A$5:$A$1749,0)),"")</f>
        <v>1.9550000000000001</v>
      </c>
      <c r="K149">
        <f>IFERROR(INDEX('Green_rooibos initial weight'!$C$5:$C$1749,MATCH(I149, 'Green_rooibos initial weight'!$A$5:$A$1749,0)),"")</f>
        <v>2.1419999999999999</v>
      </c>
      <c r="L149" s="195">
        <f t="shared" si="17"/>
        <v>1.7052</v>
      </c>
      <c r="M149" s="240">
        <f>AVERAGE(Ashed_controlls!$K$1:$K$11)</f>
        <v>5.5147656768714146</v>
      </c>
      <c r="N149" s="195">
        <f t="shared" si="12"/>
        <v>1.6111622156779888</v>
      </c>
      <c r="O149" s="195">
        <f t="shared" si="18"/>
        <v>1.8921999999999999</v>
      </c>
      <c r="P149" s="240">
        <f>AVERAGE(Ashed_controlls!$K$12:$K$14)</f>
        <v>2.2816647271287041</v>
      </c>
      <c r="Q149" s="195">
        <f t="shared" si="13"/>
        <v>1.8490263400332705</v>
      </c>
      <c r="R149" s="16">
        <f>IF('Dry_Litterbag Placem_Collection'!G76="N.A","",'Dry_Litterbag Placem_Collection'!G76)</f>
        <v>43006</v>
      </c>
      <c r="S149" s="195">
        <f>IF(IFERROR(INDEX('Both teabags AfterDry'!$D$1:$D$839,MATCH(H149,'Both teabags AfterDry'!$A$1:$A$839,0)),"")="N.A","",(IFERROR(INDEX('Both teabags AfterDry'!$D$1:$D$839,MATCH(H149,'Both teabags AfterDry'!$A$1:$A$839,0)),"")))</f>
        <v>1.7850999999999999</v>
      </c>
      <c r="T149" s="195">
        <f>IF(IFERROR(INDEX('Both teabags AfterDry'!$D$1:$D$839,MATCH(I149,'Both teabags AfterDry'!$A$1:$A$839,0)),"")="N.A","",(IFERROR(INDEX('Both teabags AfterDry'!$D$1:$D$839,MATCH(I149,'Both teabags AfterDry'!$A$1:$A$839,0)),"")))</f>
        <v>1.8925000000000001</v>
      </c>
      <c r="U149" s="195">
        <f t="shared" si="19"/>
        <v>1.6344999999999998</v>
      </c>
      <c r="V149" s="195">
        <f t="shared" si="19"/>
        <v>1.7419</v>
      </c>
      <c r="W149" s="195">
        <f>IFERROR(INDEX('Ashed teabags dry'!$K$2:$K$821,MATCH(H149,'Ashed teabags dry'!$A$2:$A$821,0)),"")</f>
        <v>5.4652880354504347</v>
      </c>
      <c r="X149" s="195">
        <f>IFERROR(INDEX('Ashed teabags dry'!$K$2:$K$821,MATCH(I149,'Ashed teabags dry'!$A$2:$A$821,0)),"")</f>
        <v>2.7741655830084477</v>
      </c>
      <c r="Y149" s="195">
        <f t="shared" si="14"/>
        <v>1.5451698670605625</v>
      </c>
      <c r="Z149" s="195">
        <f t="shared" si="14"/>
        <v>1.6935768097095758</v>
      </c>
      <c r="AA149" s="195">
        <f t="shared" si="20"/>
        <v>4.0959468869902871E-2</v>
      </c>
      <c r="AB149" s="195">
        <f t="shared" si="21"/>
        <v>2.6852288380268895E-2</v>
      </c>
      <c r="AC149" s="195">
        <f t="shared" si="15"/>
        <v>0.91592898004854939</v>
      </c>
      <c r="AD149">
        <f t="shared" si="16"/>
        <v>69</v>
      </c>
      <c r="AE149" s="195">
        <f t="shared" si="22"/>
        <v>0.95135455003574476</v>
      </c>
      <c r="AF149" s="195" t="str">
        <f t="shared" si="23"/>
        <v/>
      </c>
      <c r="AG149" s="255" t="str">
        <f>IF(ISNUMBER(SEARCH("C", 'Dry_Litterbag Placem_Collection'!AB76)),"YES","NO")</f>
        <v>NO</v>
      </c>
      <c r="AH149" s="255" t="str">
        <f>IF(ISNUMBER(SEARCH("H", 'Dry_Litterbag Placem_Collection'!AB76)),"YES","NO")</f>
        <v>NO</v>
      </c>
      <c r="AI149" s="255" t="str">
        <f>IF(ISNUMBER(SEARCH("R", 'Dry_Litterbag Placem_Collection'!AB76)),"YES","NO")</f>
        <v>NO</v>
      </c>
      <c r="AJ149" s="255" t="str">
        <f>IF(ISNUMBER(SEARCH("C", 'Dry_Litterbag Placem_Collection'!AA76)),"YES","NO")</f>
        <v>NO</v>
      </c>
      <c r="AK149" s="255" t="str">
        <f>IF(ISNUMBER(SEARCH("H", 'Dry_Litterbag Placem_Collection'!AA76)),"YES","NO")</f>
        <v>NO</v>
      </c>
      <c r="AL149" s="255" t="str">
        <f>IF(ISNUMBER(SEARCH("R", 'Dry_Litterbag Placem_Collection'!AA76)),"YES","NO")</f>
        <v>NO</v>
      </c>
      <c r="AR149" t="s">
        <v>1721</v>
      </c>
      <c r="AT149" t="s">
        <v>314</v>
      </c>
    </row>
    <row r="150" spans="2:46">
      <c r="B150" t="str">
        <f>'Final data_for_R_analysis_Dryse'!A76</f>
        <v>Dry</v>
      </c>
      <c r="C150" s="263">
        <f>'Final data_for_R_analysis_Dryse'!B76</f>
        <v>75</v>
      </c>
      <c r="D150" t="s">
        <v>3838</v>
      </c>
      <c r="E150" t="s">
        <v>22</v>
      </c>
      <c r="F150" s="386">
        <v>3</v>
      </c>
      <c r="G150" s="16">
        <f>'Dry_Litterbag Placem_Collection'!E77</f>
        <v>42937</v>
      </c>
      <c r="H150" t="str">
        <f>'Final data_for_R_analysis_Dryse'!J76</f>
        <v>G215</v>
      </c>
      <c r="I150" t="str">
        <f>'Final data_for_R_analysis_Dryse'!J296</f>
        <v>R840</v>
      </c>
      <c r="J150">
        <f>IFERROR(INDEX('Green_rooibos initial weight'!$C$5:$C$1749,MATCH(H150, 'Green_rooibos initial weight'!$A$5:$A$1749,0)),"")</f>
        <v>2.0579999999999998</v>
      </c>
      <c r="K150">
        <f>IFERROR(INDEX('Green_rooibos initial weight'!$C$5:$C$1749,MATCH(I150, 'Green_rooibos initial weight'!$A$5:$A$1749,0)),"")</f>
        <v>2.3010000000000002</v>
      </c>
      <c r="L150" s="195">
        <f t="shared" si="17"/>
        <v>1.8081999999999998</v>
      </c>
      <c r="M150" s="240">
        <f>AVERAGE(Ashed_controlls!$K$1:$K$11)</f>
        <v>5.5147656768714146</v>
      </c>
      <c r="N150" s="195">
        <f t="shared" si="12"/>
        <v>1.7084820070308109</v>
      </c>
      <c r="O150" s="195">
        <f t="shared" si="18"/>
        <v>2.0512000000000001</v>
      </c>
      <c r="P150" s="240">
        <f>AVERAGE(Ashed_controlls!$K$12:$K$14)</f>
        <v>2.2816647271287041</v>
      </c>
      <c r="Q150" s="195">
        <f t="shared" si="13"/>
        <v>2.0043984931171361</v>
      </c>
      <c r="R150" s="16">
        <f>IF('Dry_Litterbag Placem_Collection'!G77="N.A","",'Dry_Litterbag Placem_Collection'!G77)</f>
        <v>43006</v>
      </c>
      <c r="S150" s="195">
        <f>IF(IFERROR(INDEX('Both teabags AfterDry'!$D$1:$D$839,MATCH(H150,'Both teabags AfterDry'!$A$1:$A$839,0)),"")="N.A","",(IFERROR(INDEX('Both teabags AfterDry'!$D$1:$D$839,MATCH(H150,'Both teabags AfterDry'!$A$1:$A$839,0)),"")))</f>
        <v>1.9146000000000001</v>
      </c>
      <c r="T150" s="195">
        <f>IF(IFERROR(INDEX('Both teabags AfterDry'!$D$1:$D$839,MATCH(I150,'Both teabags AfterDry'!$A$1:$A$839,0)),"")="N.A","",(IFERROR(INDEX('Both teabags AfterDry'!$D$1:$D$839,MATCH(I150,'Both teabags AfterDry'!$A$1:$A$839,0)),"")))</f>
        <v>2.0405000000000002</v>
      </c>
      <c r="U150" s="195">
        <f t="shared" si="19"/>
        <v>1.764</v>
      </c>
      <c r="V150" s="195">
        <f t="shared" si="19"/>
        <v>1.8899000000000001</v>
      </c>
      <c r="W150" s="195">
        <f>IFERROR(INDEX('Ashed teabags dry'!$K$2:$K$821,MATCH(H150,'Ashed teabags dry'!$A$2:$A$821,0)),"")</f>
        <v>5.0223769269016794</v>
      </c>
      <c r="X150" s="195">
        <f>IFERROR(INDEX('Ashed teabags dry'!$K$2:$K$821,MATCH(I150,'Ashed teabags dry'!$A$2:$A$821,0)),"")</f>
        <v>3.2504780114727398</v>
      </c>
      <c r="Y150" s="195">
        <f t="shared" si="14"/>
        <v>1.6754052710094545</v>
      </c>
      <c r="Z150" s="195">
        <f t="shared" si="14"/>
        <v>1.8284692160611768</v>
      </c>
      <c r="AA150" s="195">
        <f t="shared" si="20"/>
        <v>1.9360306918795644E-2</v>
      </c>
      <c r="AB150" s="195">
        <f t="shared" si="21"/>
        <v>1.2692267718735375E-2</v>
      </c>
      <c r="AC150" s="195">
        <f t="shared" si="15"/>
        <v>0.91222839287692581</v>
      </c>
      <c r="AD150">
        <f t="shared" si="16"/>
        <v>69</v>
      </c>
      <c r="AE150" s="195">
        <f t="shared" si="22"/>
        <v>0.97700676137910258</v>
      </c>
      <c r="AF150" s="195" t="str">
        <f t="shared" si="23"/>
        <v/>
      </c>
      <c r="AG150" s="255" t="str">
        <f>IF(ISNUMBER(SEARCH("C", 'Dry_Litterbag Placem_Collection'!AB77)),"YES","NO")</f>
        <v>NO</v>
      </c>
      <c r="AH150" s="255" t="str">
        <f>IF(ISNUMBER(SEARCH("H", 'Dry_Litterbag Placem_Collection'!AB77)),"YES","NO")</f>
        <v>NO</v>
      </c>
      <c r="AI150" s="255" t="str">
        <f>IF(ISNUMBER(SEARCH("R", 'Dry_Litterbag Placem_Collection'!AB77)),"YES","NO")</f>
        <v>NO</v>
      </c>
      <c r="AJ150" s="255" t="str">
        <f>IF(ISNUMBER(SEARCH("C", 'Dry_Litterbag Placem_Collection'!AA77)),"YES","NO")</f>
        <v>NO</v>
      </c>
      <c r="AK150" s="255" t="str">
        <f>IF(ISNUMBER(SEARCH("H", 'Dry_Litterbag Placem_Collection'!AA77)),"YES","NO")</f>
        <v>NO</v>
      </c>
      <c r="AL150" s="255" t="str">
        <f>IF(ISNUMBER(SEARCH("R", 'Dry_Litterbag Placem_Collection'!AA77)),"YES","NO")</f>
        <v>NO</v>
      </c>
      <c r="AR150" t="s">
        <v>1835</v>
      </c>
      <c r="AT150" t="s">
        <v>299</v>
      </c>
    </row>
    <row r="151" spans="2:46">
      <c r="B151" t="str">
        <f>'Final data_for_R_analysis_Dryse'!A77</f>
        <v>Dry</v>
      </c>
      <c r="C151" s="263">
        <f>'Final data_for_R_analysis_Dryse'!B77</f>
        <v>76</v>
      </c>
      <c r="D151" t="s">
        <v>3838</v>
      </c>
      <c r="E151" t="s">
        <v>22</v>
      </c>
      <c r="F151" s="387">
        <v>4</v>
      </c>
      <c r="G151" s="16">
        <f>'Dry_Litterbag Placem_Collection'!E78</f>
        <v>42937</v>
      </c>
      <c r="H151" t="str">
        <f>'Final data_for_R_analysis_Dryse'!J77</f>
        <v>G60</v>
      </c>
      <c r="I151" t="str">
        <f>'Final data_for_R_analysis_Dryse'!J297</f>
        <v>R770</v>
      </c>
      <c r="J151">
        <f>IFERROR(INDEX('Green_rooibos initial weight'!$C$5:$C$1749,MATCH(H151, 'Green_rooibos initial weight'!$A$5:$A$1749,0)),"")</f>
        <v>2.1230000000000002</v>
      </c>
      <c r="K151">
        <f>IFERROR(INDEX('Green_rooibos initial weight'!$C$5:$C$1749,MATCH(I151, 'Green_rooibos initial weight'!$A$5:$A$1749,0)),"")</f>
        <v>2.206</v>
      </c>
      <c r="L151" s="195">
        <f t="shared" si="17"/>
        <v>1.8732000000000002</v>
      </c>
      <c r="M151" s="240">
        <f>AVERAGE(Ashed_controlls!$K$1:$K$11)</f>
        <v>5.5147656768714146</v>
      </c>
      <c r="N151" s="195">
        <f t="shared" si="12"/>
        <v>1.7698974093408448</v>
      </c>
      <c r="O151" s="195">
        <f t="shared" si="18"/>
        <v>1.9561999999999999</v>
      </c>
      <c r="P151" s="240">
        <f>AVERAGE(Ashed_controlls!$K$12:$K$14)</f>
        <v>2.2816647271287041</v>
      </c>
      <c r="Q151" s="195">
        <f t="shared" si="13"/>
        <v>1.9115660746079082</v>
      </c>
      <c r="R151" s="16">
        <f>IF('Dry_Litterbag Placem_Collection'!G78="N.A","",'Dry_Litterbag Placem_Collection'!G78)</f>
        <v>43006</v>
      </c>
      <c r="S151" s="195">
        <f>IF(IFERROR(INDEX('Both teabags AfterDry'!$D$1:$D$839,MATCH(H151,'Both teabags AfterDry'!$A$1:$A$839,0)),"")="N.A","",(IFERROR(INDEX('Both teabags AfterDry'!$D$1:$D$839,MATCH(H151,'Both teabags AfterDry'!$A$1:$A$839,0)),"")))</f>
        <v>1.9540999999999999</v>
      </c>
      <c r="T151" s="195">
        <f>IF(IFERROR(INDEX('Both teabags AfterDry'!$D$1:$D$839,MATCH(I151,'Both teabags AfterDry'!$A$1:$A$839,0)),"")="N.A","",(IFERROR(INDEX('Both teabags AfterDry'!$D$1:$D$839,MATCH(I151,'Both teabags AfterDry'!$A$1:$A$839,0)),"")))</f>
        <v>1.9444999999999999</v>
      </c>
      <c r="U151" s="195">
        <f t="shared" si="19"/>
        <v>1.8034999999999999</v>
      </c>
      <c r="V151" s="195">
        <f t="shared" si="19"/>
        <v>1.7938999999999998</v>
      </c>
      <c r="W151" s="195">
        <f>IFERROR(INDEX('Ashed teabags dry'!$K$2:$K$821,MATCH(H151,'Ashed teabags dry'!$A$2:$A$821,0)),"")</f>
        <v>5.8748403575990409</v>
      </c>
      <c r="X151" s="195">
        <f>IFERROR(INDEX('Ashed teabags dry'!$K$2:$K$821,MATCH(I151,'Ashed teabags dry'!$A$2:$A$821,0)),"")</f>
        <v>2.8059990324146233</v>
      </c>
      <c r="Y151" s="195">
        <f t="shared" si="14"/>
        <v>1.6975472541507013</v>
      </c>
      <c r="Z151" s="195">
        <f t="shared" si="14"/>
        <v>1.7435631833575138</v>
      </c>
      <c r="AA151" s="195">
        <f t="shared" si="20"/>
        <v>4.0878163224776221E-2</v>
      </c>
      <c r="AB151" s="195">
        <f t="shared" si="21"/>
        <v>2.6798985867074195E-2</v>
      </c>
      <c r="AC151" s="195">
        <f t="shared" si="15"/>
        <v>0.91211243310809731</v>
      </c>
      <c r="AD151">
        <f t="shared" si="16"/>
        <v>69</v>
      </c>
      <c r="AE151" s="195">
        <f t="shared" si="22"/>
        <v>0.9514511125596482</v>
      </c>
      <c r="AF151" s="195" t="str">
        <f t="shared" si="23"/>
        <v/>
      </c>
      <c r="AG151" s="255" t="str">
        <f>IF(ISNUMBER(SEARCH("C", 'Dry_Litterbag Placem_Collection'!AB78)),"YES","NO")</f>
        <v>NO</v>
      </c>
      <c r="AH151" s="255" t="str">
        <f>IF(ISNUMBER(SEARCH("H", 'Dry_Litterbag Placem_Collection'!AB78)),"YES","NO")</f>
        <v>NO</v>
      </c>
      <c r="AI151" s="255" t="str">
        <f>IF(ISNUMBER(SEARCH("R", 'Dry_Litterbag Placem_Collection'!AB78)),"YES","NO")</f>
        <v>NO</v>
      </c>
      <c r="AJ151" s="255" t="str">
        <f>IF(ISNUMBER(SEARCH("C", 'Dry_Litterbag Placem_Collection'!AA78)),"YES","NO")</f>
        <v>NO</v>
      </c>
      <c r="AK151" s="255" t="str">
        <f>IF(ISNUMBER(SEARCH("H", 'Dry_Litterbag Placem_Collection'!AA78)),"YES","NO")</f>
        <v>NO</v>
      </c>
      <c r="AL151" s="255" t="str">
        <f>IF(ISNUMBER(SEARCH("R", 'Dry_Litterbag Placem_Collection'!AA78)),"YES","NO")</f>
        <v>NO</v>
      </c>
      <c r="AR151" t="s">
        <v>1990</v>
      </c>
      <c r="AT151" t="s">
        <v>369</v>
      </c>
    </row>
    <row r="152" spans="2:46">
      <c r="B152" t="str">
        <f>'Final data_for_R_analysis_Dryse'!A78</f>
        <v>Dry</v>
      </c>
      <c r="C152" s="263">
        <f>'Final data_for_R_analysis_Dryse'!B78</f>
        <v>77</v>
      </c>
      <c r="D152" t="s">
        <v>3838</v>
      </c>
      <c r="E152" t="s">
        <v>22</v>
      </c>
      <c r="F152" s="387">
        <v>5</v>
      </c>
      <c r="G152" s="16">
        <f>'Dry_Litterbag Placem_Collection'!E79</f>
        <v>0</v>
      </c>
      <c r="H152" t="str">
        <f>'Final data_for_R_analysis_Dryse'!J78</f>
        <v/>
      </c>
      <c r="I152" t="str">
        <f>'Final data_for_R_analysis_Dryse'!J298</f>
        <v/>
      </c>
      <c r="J152" t="str">
        <f>IFERROR(INDEX('Green_rooibos initial weight'!$C$5:$C$1749,MATCH(H152, 'Green_rooibos initial weight'!$A$5:$A$1749,0)),"")</f>
        <v/>
      </c>
      <c r="K152" t="str">
        <f>IFERROR(INDEX('Green_rooibos initial weight'!$C$5:$C$1749,MATCH(I152, 'Green_rooibos initial weight'!$A$5:$A$1749,0)),"")</f>
        <v/>
      </c>
      <c r="L152" s="195" t="str">
        <f t="shared" si="17"/>
        <v/>
      </c>
      <c r="M152" s="240">
        <f>AVERAGE(Ashed_controlls!$K$1:$K$11)</f>
        <v>5.5147656768714146</v>
      </c>
      <c r="N152" s="195" t="str">
        <f t="shared" si="12"/>
        <v/>
      </c>
      <c r="O152" s="195" t="str">
        <f t="shared" si="18"/>
        <v/>
      </c>
      <c r="P152" s="240">
        <f>AVERAGE(Ashed_controlls!$K$12:$K$14)</f>
        <v>2.2816647271287041</v>
      </c>
      <c r="Q152" s="195" t="str">
        <f t="shared" si="13"/>
        <v/>
      </c>
      <c r="R152" s="16">
        <f>IF('Dry_Litterbag Placem_Collection'!G79="N.A","",'Dry_Litterbag Placem_Collection'!G79)</f>
        <v>0</v>
      </c>
      <c r="S152" s="195" t="str">
        <f>IF(IFERROR(INDEX('Both teabags AfterDry'!$D$1:$D$839,MATCH(H152,'Both teabags AfterDry'!$A$1:$A$839,0)),"")="N.A","",(IFERROR(INDEX('Both teabags AfterDry'!$D$1:$D$839,MATCH(H152,'Both teabags AfterDry'!$A$1:$A$839,0)),"")))</f>
        <v/>
      </c>
      <c r="T152" s="195" t="str">
        <f>IF(IFERROR(INDEX('Both teabags AfterDry'!$D$1:$D$839,MATCH(I152,'Both teabags AfterDry'!$A$1:$A$839,0)),"")="N.A","",(IFERROR(INDEX('Both teabags AfterDry'!$D$1:$D$839,MATCH(I152,'Both teabags AfterDry'!$A$1:$A$839,0)),"")))</f>
        <v/>
      </c>
      <c r="U152" s="195" t="str">
        <f t="shared" si="19"/>
        <v/>
      </c>
      <c r="V152" s="195" t="str">
        <f t="shared" si="19"/>
        <v/>
      </c>
      <c r="W152" s="195" t="str">
        <f>IFERROR(INDEX('Ashed teabags dry'!$K$2:$K$821,MATCH(H152,'Ashed teabags dry'!$A$2:$A$821,0)),"")</f>
        <v/>
      </c>
      <c r="X152" s="195" t="str">
        <f>IFERROR(INDEX('Ashed teabags dry'!$K$2:$K$821,MATCH(I152,'Ashed teabags dry'!$A$2:$A$821,0)),"")</f>
        <v/>
      </c>
      <c r="Y152" s="195" t="str">
        <f t="shared" si="14"/>
        <v/>
      </c>
      <c r="Z152" s="195" t="str">
        <f t="shared" si="14"/>
        <v/>
      </c>
      <c r="AA152" s="195" t="str">
        <f t="shared" si="20"/>
        <v/>
      </c>
      <c r="AB152" s="195" t="str">
        <f t="shared" si="21"/>
        <v/>
      </c>
      <c r="AC152" s="195" t="str">
        <f t="shared" si="15"/>
        <v/>
      </c>
      <c r="AD152" t="str">
        <f t="shared" si="16"/>
        <v/>
      </c>
      <c r="AE152" s="195" t="str">
        <f t="shared" si="22"/>
        <v/>
      </c>
      <c r="AF152" s="195" t="str">
        <f t="shared" si="23"/>
        <v/>
      </c>
      <c r="AG152" s="255" t="str">
        <f>IF(ISNUMBER(SEARCH("C", 'Dry_Litterbag Placem_Collection'!AB79)),"YES","NO")</f>
        <v>NO</v>
      </c>
      <c r="AH152" s="255" t="str">
        <f>IF(ISNUMBER(SEARCH("H", 'Dry_Litterbag Placem_Collection'!AB79)),"YES","NO")</f>
        <v>NO</v>
      </c>
      <c r="AI152" s="255" t="str">
        <f>IF(ISNUMBER(SEARCH("R", 'Dry_Litterbag Placem_Collection'!AB79)),"YES","NO")</f>
        <v>NO</v>
      </c>
      <c r="AJ152" s="255" t="str">
        <f>IF(ISNUMBER(SEARCH("C", 'Dry_Litterbag Placem_Collection'!AA79)),"YES","NO")</f>
        <v>NO</v>
      </c>
      <c r="AK152" s="255" t="str">
        <f>IF(ISNUMBER(SEARCH("H", 'Dry_Litterbag Placem_Collection'!AA79)),"YES","NO")</f>
        <v>NO</v>
      </c>
      <c r="AL152" s="255" t="str">
        <f>IF(ISNUMBER(SEARCH("R", 'Dry_Litterbag Placem_Collection'!AA79)),"YES","NO")</f>
        <v>NO</v>
      </c>
      <c r="AR152" t="s">
        <v>3654</v>
      </c>
      <c r="AT152" t="s">
        <v>3654</v>
      </c>
    </row>
    <row r="153" spans="2:46">
      <c r="B153" t="str">
        <f>'Final data_for_R_analysis_Dryse'!A79</f>
        <v>Dry</v>
      </c>
      <c r="C153" s="263">
        <f>'Final data_for_R_analysis_Dryse'!B79</f>
        <v>78</v>
      </c>
      <c r="D153" t="s">
        <v>3838</v>
      </c>
      <c r="E153" t="s">
        <v>22</v>
      </c>
      <c r="F153" s="387">
        <v>6</v>
      </c>
      <c r="G153" s="16">
        <f>'Dry_Litterbag Placem_Collection'!E80</f>
        <v>42937</v>
      </c>
      <c r="H153" t="str">
        <f>'Final data_for_R_analysis_Dryse'!J79</f>
        <v>G97</v>
      </c>
      <c r="I153" t="str">
        <f>'Final data_for_R_analysis_Dryse'!J299</f>
        <v>R696</v>
      </c>
      <c r="J153">
        <f>IFERROR(INDEX('Green_rooibos initial weight'!$C$5:$C$1749,MATCH(H153, 'Green_rooibos initial weight'!$A$5:$A$1749,0)),"")</f>
        <v>2.0960000000000001</v>
      </c>
      <c r="K153">
        <f>IFERROR(INDEX('Green_rooibos initial weight'!$C$5:$C$1749,MATCH(I153, 'Green_rooibos initial weight'!$A$5:$A$1749,0)),"")</f>
        <v>2.1389999999999998</v>
      </c>
      <c r="L153" s="195">
        <f t="shared" si="17"/>
        <v>1.8462000000000001</v>
      </c>
      <c r="M153" s="240">
        <f>AVERAGE(Ashed_controlls!$K$1:$K$11)</f>
        <v>5.5147656768714146</v>
      </c>
      <c r="N153" s="195">
        <f t="shared" si="12"/>
        <v>1.7443863960735999</v>
      </c>
      <c r="O153" s="195">
        <f t="shared" si="18"/>
        <v>1.8891999999999998</v>
      </c>
      <c r="P153" s="240">
        <f>AVERAGE(Ashed_controlls!$K$12:$K$14)</f>
        <v>2.2816647271287041</v>
      </c>
      <c r="Q153" s="195">
        <f t="shared" si="13"/>
        <v>1.8460947899750844</v>
      </c>
      <c r="R153" s="16">
        <f>IF('Dry_Litterbag Placem_Collection'!G80="N.A","",'Dry_Litterbag Placem_Collection'!G80)</f>
        <v>43006</v>
      </c>
      <c r="S153" s="195">
        <f>IF(IFERROR(INDEX('Both teabags AfterDry'!$D$1:$D$839,MATCH(H153,'Both teabags AfterDry'!$A$1:$A$839,0)),"")="N.A","",(IFERROR(INDEX('Both teabags AfterDry'!$D$1:$D$839,MATCH(H153,'Both teabags AfterDry'!$A$1:$A$839,0)),"")))</f>
        <v>1.7647999999999999</v>
      </c>
      <c r="T153" s="195">
        <f>IF(IFERROR(INDEX('Both teabags AfterDry'!$D$1:$D$839,MATCH(I153,'Both teabags AfterDry'!$A$1:$A$839,0)),"")="N.A","",(IFERROR(INDEX('Both teabags AfterDry'!$D$1:$D$839,MATCH(I153,'Both teabags AfterDry'!$A$1:$A$839,0)),"")))</f>
        <v>1.9605999999999999</v>
      </c>
      <c r="U153" s="195">
        <f t="shared" si="19"/>
        <v>1.6141999999999999</v>
      </c>
      <c r="V153" s="195">
        <f t="shared" si="19"/>
        <v>1.8099999999999998</v>
      </c>
      <c r="W153" s="195">
        <f>IFERROR(INDEX('Ashed teabags dry'!$K$2:$K$821,MATCH(H153,'Ashed teabags dry'!$A$2:$A$821,0)),"")</f>
        <v>5.6475170399223327</v>
      </c>
      <c r="X153" s="195">
        <f>IFERROR(INDEX('Ashed teabags dry'!$K$2:$K$821,MATCH(I153,'Ashed teabags dry'!$A$2:$A$821,0)),"")</f>
        <v>2.2848808945063115</v>
      </c>
      <c r="Y153" s="195">
        <f t="shared" si="14"/>
        <v>1.5230377799415735</v>
      </c>
      <c r="Z153" s="195">
        <f t="shared" si="14"/>
        <v>1.7686436558094356</v>
      </c>
      <c r="AA153" s="195">
        <f t="shared" si="20"/>
        <v>0.12689196420601245</v>
      </c>
      <c r="AB153" s="195">
        <f t="shared" si="21"/>
        <v>8.3188081047172097E-2</v>
      </c>
      <c r="AC153" s="195">
        <f t="shared" si="15"/>
        <v>0.95804596026908562</v>
      </c>
      <c r="AD153">
        <f t="shared" si="16"/>
        <v>69</v>
      </c>
      <c r="AE153" s="195">
        <f t="shared" si="22"/>
        <v>0.84929695462468824</v>
      </c>
      <c r="AF153" s="195">
        <f t="shared" si="23"/>
        <v>1.0171593046052297E-2</v>
      </c>
      <c r="AG153" s="255" t="str">
        <f>IF(ISNUMBER(SEARCH("C", 'Dry_Litterbag Placem_Collection'!AB80)),"YES","NO")</f>
        <v>NO</v>
      </c>
      <c r="AH153" s="255" t="str">
        <f>IF(ISNUMBER(SEARCH("H", 'Dry_Litterbag Placem_Collection'!AB80)),"YES","NO")</f>
        <v>NO</v>
      </c>
      <c r="AI153" s="255" t="str">
        <f>IF(ISNUMBER(SEARCH("R", 'Dry_Litterbag Placem_Collection'!AB80)),"YES","NO")</f>
        <v>NO</v>
      </c>
      <c r="AJ153" s="255" t="str">
        <f>IF(ISNUMBER(SEARCH("C", 'Dry_Litterbag Placem_Collection'!AA80)),"YES","NO")</f>
        <v>NO</v>
      </c>
      <c r="AK153" s="255" t="str">
        <f>IF(ISNUMBER(SEARCH("H", 'Dry_Litterbag Placem_Collection'!AA80)),"YES","NO")</f>
        <v>NO</v>
      </c>
      <c r="AL153" s="255" t="str">
        <f>IF(ISNUMBER(SEARCH("R", 'Dry_Litterbag Placem_Collection'!AA80)),"YES","NO")</f>
        <v>NO</v>
      </c>
      <c r="AR153" t="s">
        <v>1953</v>
      </c>
      <c r="AT153" t="s">
        <v>443</v>
      </c>
    </row>
    <row r="154" spans="2:46">
      <c r="B154" t="str">
        <f>'Final data_for_R_analysis_Dryse'!A80</f>
        <v>Dry</v>
      </c>
      <c r="C154" s="263">
        <f>'Final data_for_R_analysis_Dryse'!B80</f>
        <v>79</v>
      </c>
      <c r="D154" t="s">
        <v>3838</v>
      </c>
      <c r="E154" t="s">
        <v>22</v>
      </c>
      <c r="F154" s="387">
        <v>7</v>
      </c>
      <c r="G154" s="16">
        <f>'Dry_Litterbag Placem_Collection'!E81</f>
        <v>42937</v>
      </c>
      <c r="H154" t="str">
        <f>'Final data_for_R_analysis_Dryse'!J80</f>
        <v>G130</v>
      </c>
      <c r="I154" t="str">
        <f>'Final data_for_R_analysis_Dryse'!J300</f>
        <v>R270</v>
      </c>
      <c r="J154">
        <f>IFERROR(INDEX('Green_rooibos initial weight'!$C$5:$C$1749,MATCH(H154, 'Green_rooibos initial weight'!$A$5:$A$1749,0)),"")</f>
        <v>1.976</v>
      </c>
      <c r="K154">
        <f>IFERROR(INDEX('Green_rooibos initial weight'!$C$5:$C$1749,MATCH(I154, 'Green_rooibos initial weight'!$A$5:$A$1749,0)),"")</f>
        <v>2.2170000000000001</v>
      </c>
      <c r="L154" s="195">
        <f t="shared" si="17"/>
        <v>1.7262</v>
      </c>
      <c r="M154" s="240">
        <f>AVERAGE(Ashed_controlls!$K$1:$K$11)</f>
        <v>5.5147656768714146</v>
      </c>
      <c r="N154" s="195">
        <f t="shared" si="12"/>
        <v>1.6310041148858456</v>
      </c>
      <c r="O154" s="195">
        <f t="shared" si="18"/>
        <v>1.9672000000000001</v>
      </c>
      <c r="P154" s="240">
        <f>AVERAGE(Ashed_controlls!$K$12:$K$14)</f>
        <v>2.2816647271287041</v>
      </c>
      <c r="Q154" s="195">
        <f t="shared" si="13"/>
        <v>1.9223150914879241</v>
      </c>
      <c r="R154" s="16">
        <f>IF('Dry_Litterbag Placem_Collection'!G81="N.A","",'Dry_Litterbag Placem_Collection'!G81)</f>
        <v>43006</v>
      </c>
      <c r="S154" s="195">
        <f>IF(IFERROR(INDEX('Both teabags AfterDry'!$D$1:$D$839,MATCH(H154,'Both teabags AfterDry'!$A$1:$A$839,0)),"")="N.A","",(IFERROR(INDEX('Both teabags AfterDry'!$D$1:$D$839,MATCH(H154,'Both teabags AfterDry'!$A$1:$A$839,0)),"")))</f>
        <v>1.8545</v>
      </c>
      <c r="T154" s="195">
        <f>IF(IFERROR(INDEX('Both teabags AfterDry'!$D$1:$D$839,MATCH(I154,'Both teabags AfterDry'!$A$1:$A$839,0)),"")="N.A","",(IFERROR(INDEX('Both teabags AfterDry'!$D$1:$D$839,MATCH(I154,'Both teabags AfterDry'!$A$1:$A$839,0)),"")))</f>
        <v>1.9970000000000001</v>
      </c>
      <c r="U154" s="195">
        <f t="shared" si="19"/>
        <v>1.7039</v>
      </c>
      <c r="V154" s="195">
        <f t="shared" si="19"/>
        <v>1.8464</v>
      </c>
      <c r="W154" s="195">
        <f>IFERROR(INDEX('Ashed teabags dry'!$K$2:$K$821,MATCH(H154,'Ashed teabags dry'!$A$2:$A$821,0)),"")</f>
        <v>5.8363970588233842</v>
      </c>
      <c r="X154" s="195">
        <f>IFERROR(INDEX('Ashed teabags dry'!$K$2:$K$821,MATCH(I154,'Ashed teabags dry'!$A$2:$A$821,0)),"")</f>
        <v>2.6437847866422564</v>
      </c>
      <c r="Y154" s="195">
        <f t="shared" si="14"/>
        <v>1.6044536305147084</v>
      </c>
      <c r="Z154" s="195">
        <f t="shared" si="14"/>
        <v>1.7975851576994375</v>
      </c>
      <c r="AA154" s="195">
        <f t="shared" si="20"/>
        <v>1.627861274463771E-2</v>
      </c>
      <c r="AB154" s="195">
        <f t="shared" si="21"/>
        <v>1.0671964649691232E-2</v>
      </c>
      <c r="AC154" s="195">
        <f t="shared" si="15"/>
        <v>0.93511472997283585</v>
      </c>
      <c r="AD154">
        <f t="shared" si="16"/>
        <v>69</v>
      </c>
      <c r="AE154" s="195">
        <f t="shared" si="22"/>
        <v>0.9806667307070811</v>
      </c>
      <c r="AF154" s="195" t="str">
        <f t="shared" si="23"/>
        <v/>
      </c>
      <c r="AG154" s="255" t="str">
        <f>IF(ISNUMBER(SEARCH("C", 'Dry_Litterbag Placem_Collection'!AB81)),"YES","NO")</f>
        <v>NO</v>
      </c>
      <c r="AH154" s="255" t="str">
        <f>IF(ISNUMBER(SEARCH("H", 'Dry_Litterbag Placem_Collection'!AB81)),"YES","NO")</f>
        <v>NO</v>
      </c>
      <c r="AI154" s="255" t="str">
        <f>IF(ISNUMBER(SEARCH("R", 'Dry_Litterbag Placem_Collection'!AB81)),"YES","NO")</f>
        <v>NO</v>
      </c>
      <c r="AJ154" s="255" t="str">
        <f>IF(ISNUMBER(SEARCH("C", 'Dry_Litterbag Placem_Collection'!AA81)),"YES","NO")</f>
        <v>NO</v>
      </c>
      <c r="AK154" s="255" t="str">
        <f>IF(ISNUMBER(SEARCH("H", 'Dry_Litterbag Placem_Collection'!AA81)),"YES","NO")</f>
        <v>NO</v>
      </c>
      <c r="AL154" s="255" t="str">
        <f>IF(ISNUMBER(SEARCH("R", 'Dry_Litterbag Placem_Collection'!AA81)),"YES","NO")</f>
        <v>NO</v>
      </c>
      <c r="AR154" t="s">
        <v>1930</v>
      </c>
      <c r="AT154" t="s">
        <v>871</v>
      </c>
    </row>
    <row r="155" spans="2:46">
      <c r="B155" t="str">
        <f>'Final data_for_R_analysis_Dryse'!A81</f>
        <v>Dry</v>
      </c>
      <c r="C155" s="263">
        <f>'Final data_for_R_analysis_Dryse'!B81</f>
        <v>80</v>
      </c>
      <c r="D155" t="s">
        <v>3838</v>
      </c>
      <c r="E155" t="s">
        <v>22</v>
      </c>
      <c r="F155" s="387">
        <v>8</v>
      </c>
      <c r="G155" s="16">
        <f>'Dry_Litterbag Placem_Collection'!E82</f>
        <v>42937</v>
      </c>
      <c r="H155" t="str">
        <f>'Final data_for_R_analysis_Dryse'!J81</f>
        <v>G24</v>
      </c>
      <c r="I155" t="str">
        <f>'Final data_for_R_analysis_Dryse'!J301</f>
        <v>R726</v>
      </c>
      <c r="J155">
        <f>IFERROR(INDEX('Green_rooibos initial weight'!$C$5:$C$1749,MATCH(H155, 'Green_rooibos initial weight'!$A$5:$A$1749,0)),"")</f>
        <v>2.09</v>
      </c>
      <c r="K155">
        <f>IFERROR(INDEX('Green_rooibos initial weight'!$C$5:$C$1749,MATCH(I155, 'Green_rooibos initial weight'!$A$5:$A$1749,0)),"")</f>
        <v>2.2810000000000001</v>
      </c>
      <c r="L155" s="195">
        <f t="shared" si="17"/>
        <v>1.8401999999999998</v>
      </c>
      <c r="M155" s="240">
        <f>AVERAGE(Ashed_controlls!$K$1:$K$11)</f>
        <v>5.5147656768714146</v>
      </c>
      <c r="N155" s="195">
        <f t="shared" si="12"/>
        <v>1.7387172820142121</v>
      </c>
      <c r="O155" s="195">
        <f t="shared" si="18"/>
        <v>2.0312000000000001</v>
      </c>
      <c r="P155" s="240">
        <f>AVERAGE(Ashed_controlls!$K$12:$K$14)</f>
        <v>2.2816647271287041</v>
      </c>
      <c r="Q155" s="195">
        <f t="shared" si="13"/>
        <v>1.9848548260625618</v>
      </c>
      <c r="R155" s="16">
        <f>IF('Dry_Litterbag Placem_Collection'!G82="N.A","",'Dry_Litterbag Placem_Collection'!G82)</f>
        <v>43006</v>
      </c>
      <c r="S155" s="195">
        <f>IF(IFERROR(INDEX('Both teabags AfterDry'!$D$1:$D$839,MATCH(H155,'Both teabags AfterDry'!$A$1:$A$839,0)),"")="N.A","",(IFERROR(INDEX('Both teabags AfterDry'!$D$1:$D$839,MATCH(H155,'Both teabags AfterDry'!$A$1:$A$839,0)),"")))</f>
        <v>1.9084000000000001</v>
      </c>
      <c r="T155" s="195">
        <f>IF(IFERROR(INDEX('Both teabags AfterDry'!$D$1:$D$839,MATCH(I155,'Both teabags AfterDry'!$A$1:$A$839,0)),"")="N.A","",(IFERROR(INDEX('Both teabags AfterDry'!$D$1:$D$839,MATCH(I155,'Both teabags AfterDry'!$A$1:$A$839,0)),"")))</f>
        <v>1.9471000000000001</v>
      </c>
      <c r="U155" s="195">
        <f t="shared" si="19"/>
        <v>1.7578</v>
      </c>
      <c r="V155" s="195">
        <f t="shared" si="19"/>
        <v>1.7965</v>
      </c>
      <c r="W155" s="195">
        <f>IFERROR(INDEX('Ashed teabags dry'!$K$2:$K$821,MATCH(H155,'Ashed teabags dry'!$A$2:$A$821,0)),"")</f>
        <v>5.4078826764434664</v>
      </c>
      <c r="X155" s="195">
        <f>IFERROR(INDEX('Ashed teabags dry'!$K$2:$K$821,MATCH(I155,'Ashed teabags dry'!$A$2:$A$821,0)),"")</f>
        <v>2.8653295128930178</v>
      </c>
      <c r="Y155" s="195">
        <f t="shared" si="14"/>
        <v>1.6627402383134768</v>
      </c>
      <c r="Z155" s="195">
        <f t="shared" si="14"/>
        <v>1.7450243553008769</v>
      </c>
      <c r="AA155" s="195">
        <f t="shared" si="20"/>
        <v>4.3697180954410109E-2</v>
      </c>
      <c r="AB155" s="195">
        <f t="shared" si="21"/>
        <v>2.8647083000990968E-2</v>
      </c>
      <c r="AC155" s="195">
        <f t="shared" si="15"/>
        <v>0.87916976717262163</v>
      </c>
      <c r="AD155">
        <f t="shared" si="16"/>
        <v>69</v>
      </c>
      <c r="AE155" s="195">
        <f t="shared" si="22"/>
        <v>0.94810311050545115</v>
      </c>
      <c r="AF155" s="195" t="str">
        <f t="shared" si="23"/>
        <v/>
      </c>
      <c r="AG155" s="255" t="str">
        <f>IF(ISNUMBER(SEARCH("C", 'Dry_Litterbag Placem_Collection'!AB82)),"YES","NO")</f>
        <v>NO</v>
      </c>
      <c r="AH155" s="255" t="str">
        <f>IF(ISNUMBER(SEARCH("H", 'Dry_Litterbag Placem_Collection'!AB82)),"YES","NO")</f>
        <v>NO</v>
      </c>
      <c r="AI155" s="255" t="str">
        <f>IF(ISNUMBER(SEARCH("R", 'Dry_Litterbag Placem_Collection'!AB82)),"YES","NO")</f>
        <v>NO</v>
      </c>
      <c r="AJ155" s="255" t="str">
        <f>IF(ISNUMBER(SEARCH("C", 'Dry_Litterbag Placem_Collection'!AA82)),"YES","NO")</f>
        <v>NO</v>
      </c>
      <c r="AK155" s="255" t="str">
        <f>IF(ISNUMBER(SEARCH("H", 'Dry_Litterbag Placem_Collection'!AA82)),"YES","NO")</f>
        <v>NO</v>
      </c>
      <c r="AL155" s="255" t="str">
        <f>IF(ISNUMBER(SEARCH("R", 'Dry_Litterbag Placem_Collection'!AA82)),"YES","NO")</f>
        <v>NO</v>
      </c>
      <c r="AR155" t="s">
        <v>2026</v>
      </c>
      <c r="AT155" t="s">
        <v>413</v>
      </c>
    </row>
    <row r="156" spans="2:46">
      <c r="B156" t="str">
        <f>'Final data_for_R_analysis_Dryse'!A82</f>
        <v>Dry</v>
      </c>
      <c r="C156" s="263">
        <f>'Final data_for_R_analysis_Dryse'!B82</f>
        <v>81</v>
      </c>
      <c r="D156" t="s">
        <v>3839</v>
      </c>
      <c r="E156" t="s">
        <v>22</v>
      </c>
      <c r="F156" s="386">
        <v>1</v>
      </c>
      <c r="G156" s="16">
        <f>'Dry_Litterbag Placem_Collection'!E83</f>
        <v>42937</v>
      </c>
      <c r="H156" t="str">
        <f>'Final data_for_R_analysis_Dryse'!J82</f>
        <v>G312</v>
      </c>
      <c r="I156" t="str">
        <f>'Final data_for_R_analysis_Dryse'!J302</f>
        <v>R739</v>
      </c>
      <c r="J156">
        <f>IFERROR(INDEX('Green_rooibos initial weight'!$C$5:$C$1749,MATCH(H156, 'Green_rooibos initial weight'!$A$5:$A$1749,0)),"")</f>
        <v>2.0179999999999998</v>
      </c>
      <c r="K156">
        <f>IFERROR(INDEX('Green_rooibos initial weight'!$C$5:$C$1749,MATCH(I156, 'Green_rooibos initial weight'!$A$5:$A$1749,0)),"")</f>
        <v>2.222</v>
      </c>
      <c r="L156" s="195">
        <f t="shared" si="17"/>
        <v>1.7681999999999998</v>
      </c>
      <c r="M156" s="240">
        <f>AVERAGE(Ashed_controlls!$K$1:$K$11)</f>
        <v>5.5147656768714146</v>
      </c>
      <c r="N156" s="195">
        <f t="shared" si="12"/>
        <v>1.6706879133015595</v>
      </c>
      <c r="O156" s="195">
        <f t="shared" si="18"/>
        <v>1.9722</v>
      </c>
      <c r="P156" s="240">
        <f>AVERAGE(Ashed_controlls!$K$12:$K$14)</f>
        <v>2.2816647271287041</v>
      </c>
      <c r="Q156" s="195">
        <f t="shared" si="13"/>
        <v>1.9272010082515676</v>
      </c>
      <c r="R156" s="16">
        <f>IF('Dry_Litterbag Placem_Collection'!G83="N.A","",'Dry_Litterbag Placem_Collection'!G83)</f>
        <v>43006</v>
      </c>
      <c r="S156" s="195">
        <f>IF(IFERROR(INDEX('Both teabags AfterDry'!$D$1:$D$839,MATCH(H156,'Both teabags AfterDry'!$A$1:$A$839,0)),"")="N.A","",(IFERROR(INDEX('Both teabags AfterDry'!$D$1:$D$839,MATCH(H156,'Both teabags AfterDry'!$A$1:$A$839,0)),"")))</f>
        <v>1.7978000000000001</v>
      </c>
      <c r="T156" s="195">
        <f>IF(IFERROR(INDEX('Both teabags AfterDry'!$D$1:$D$839,MATCH(I156,'Both teabags AfterDry'!$A$1:$A$839,0)),"")="N.A","",(IFERROR(INDEX('Both teabags AfterDry'!$D$1:$D$839,MATCH(I156,'Both teabags AfterDry'!$A$1:$A$839,0)),"")))</f>
        <v>1.9457</v>
      </c>
      <c r="U156" s="195">
        <f t="shared" si="19"/>
        <v>1.6472</v>
      </c>
      <c r="V156" s="195">
        <f t="shared" si="19"/>
        <v>1.7950999999999999</v>
      </c>
      <c r="W156" s="195">
        <f>IFERROR(INDEX('Ashed teabags dry'!$K$2:$K$821,MATCH(H156,'Ashed teabags dry'!$A$2:$A$821,0)),"")</f>
        <v>5.5148853099064077</v>
      </c>
      <c r="X156" s="195">
        <f>IFERROR(INDEX('Ashed teabags dry'!$K$2:$K$821,MATCH(I156,'Ashed teabags dry'!$A$2:$A$821,0)),"")</f>
        <v>2.6627218934911183</v>
      </c>
      <c r="Y156" s="195">
        <f t="shared" si="14"/>
        <v>1.5563588091752216</v>
      </c>
      <c r="Z156" s="195">
        <f t="shared" si="14"/>
        <v>1.7473014792899408</v>
      </c>
      <c r="AA156" s="195">
        <f t="shared" si="20"/>
        <v>6.8432352455584877E-2</v>
      </c>
      <c r="AB156" s="195">
        <f t="shared" si="21"/>
        <v>4.486301491149982E-2</v>
      </c>
      <c r="AC156" s="195">
        <f t="shared" si="15"/>
        <v>0.90665243106901516</v>
      </c>
      <c r="AD156">
        <f t="shared" si="16"/>
        <v>69</v>
      </c>
      <c r="AE156" s="195">
        <f t="shared" si="22"/>
        <v>0.9187264222617757</v>
      </c>
      <c r="AF156" s="195" t="str">
        <f t="shared" si="23"/>
        <v/>
      </c>
      <c r="AG156" s="255" t="str">
        <f>IF(ISNUMBER(SEARCH("C", 'Dry_Litterbag Placem_Collection'!AB83)),"YES","NO")</f>
        <v>NO</v>
      </c>
      <c r="AH156" s="255" t="str">
        <f>IF(ISNUMBER(SEARCH("H", 'Dry_Litterbag Placem_Collection'!AB83)),"YES","NO")</f>
        <v>NO</v>
      </c>
      <c r="AI156" s="255" t="str">
        <f>IF(ISNUMBER(SEARCH("R", 'Dry_Litterbag Placem_Collection'!AB83)),"YES","NO")</f>
        <v>NO</v>
      </c>
      <c r="AJ156" s="255" t="str">
        <f>IF(ISNUMBER(SEARCH("C", 'Dry_Litterbag Placem_Collection'!AA83)),"YES","NO")</f>
        <v>NO</v>
      </c>
      <c r="AK156" s="255" t="str">
        <f>IF(ISNUMBER(SEARCH("H", 'Dry_Litterbag Placem_Collection'!AA83)),"YES","NO")</f>
        <v>NO</v>
      </c>
      <c r="AL156" s="255" t="str">
        <f>IF(ISNUMBER(SEARCH("R", 'Dry_Litterbag Placem_Collection'!AA83)),"YES","NO")</f>
        <v>NO</v>
      </c>
      <c r="AR156" t="s">
        <v>1738</v>
      </c>
      <c r="AT156" t="s">
        <v>400</v>
      </c>
    </row>
    <row r="157" spans="2:46">
      <c r="B157" t="str">
        <f>'Final data_for_R_analysis_Dryse'!A83</f>
        <v>Dry</v>
      </c>
      <c r="C157" s="263">
        <f>'Final data_for_R_analysis_Dryse'!B83</f>
        <v>82</v>
      </c>
      <c r="D157" t="s">
        <v>3839</v>
      </c>
      <c r="E157" t="s">
        <v>22</v>
      </c>
      <c r="F157" s="386">
        <v>2</v>
      </c>
      <c r="G157" s="16">
        <f>'Dry_Litterbag Placem_Collection'!E84</f>
        <v>42937</v>
      </c>
      <c r="H157" t="str">
        <f>'Final data_for_R_analysis_Dryse'!J83</f>
        <v>G356</v>
      </c>
      <c r="I157" t="str">
        <f>'Final data_for_R_analysis_Dryse'!J303</f>
        <v>R800</v>
      </c>
      <c r="J157">
        <f>IFERROR(INDEX('Green_rooibos initial weight'!$C$5:$C$1749,MATCH(H157, 'Green_rooibos initial weight'!$A$5:$A$1749,0)),"")</f>
        <v>1.9870000000000001</v>
      </c>
      <c r="K157">
        <f>IFERROR(INDEX('Green_rooibos initial weight'!$C$5:$C$1749,MATCH(I157, 'Green_rooibos initial weight'!$A$5:$A$1749,0)),"")</f>
        <v>2.1579999999999999</v>
      </c>
      <c r="L157" s="195">
        <f t="shared" si="17"/>
        <v>1.7372000000000001</v>
      </c>
      <c r="M157" s="240">
        <f>AVERAGE(Ashed_controlls!$K$1:$K$11)</f>
        <v>5.5147656768714146</v>
      </c>
      <c r="N157" s="195">
        <f t="shared" si="12"/>
        <v>1.64139749066139</v>
      </c>
      <c r="O157" s="195">
        <f t="shared" si="18"/>
        <v>1.9081999999999999</v>
      </c>
      <c r="P157" s="240">
        <f>AVERAGE(Ashed_controlls!$K$12:$K$14)</f>
        <v>2.2816647271287041</v>
      </c>
      <c r="Q157" s="195">
        <f t="shared" si="13"/>
        <v>1.8646612736769299</v>
      </c>
      <c r="R157" s="16">
        <f>IF('Dry_Litterbag Placem_Collection'!G84="N.A","",'Dry_Litterbag Placem_Collection'!G84)</f>
        <v>43006</v>
      </c>
      <c r="S157" s="195">
        <f>IF(IFERROR(INDEX('Both teabags AfterDry'!$D$1:$D$839,MATCH(H157,'Both teabags AfterDry'!$A$1:$A$839,0)),"")="N.A","",(IFERROR(INDEX('Both teabags AfterDry'!$D$1:$D$839,MATCH(H157,'Both teabags AfterDry'!$A$1:$A$839,0)),"")))</f>
        <v>1.7767999999999999</v>
      </c>
      <c r="T157" s="195">
        <f>IF(IFERROR(INDEX('Both teabags AfterDry'!$D$1:$D$839,MATCH(I157,'Both teabags AfterDry'!$A$1:$A$839,0)),"")="N.A","",(IFERROR(INDEX('Both teabags AfterDry'!$D$1:$D$839,MATCH(I157,'Both teabags AfterDry'!$A$1:$A$839,0)),"")))</f>
        <v>1.8712</v>
      </c>
      <c r="U157" s="195">
        <f t="shared" si="19"/>
        <v>1.6261999999999999</v>
      </c>
      <c r="V157" s="195">
        <f t="shared" si="19"/>
        <v>1.7205999999999999</v>
      </c>
      <c r="W157" s="195">
        <f>IFERROR(INDEX('Ashed teabags dry'!$K$2:$K$821,MATCH(H157,'Ashed teabags dry'!$A$2:$A$821,0)),"")</f>
        <v>5.2706552706550589</v>
      </c>
      <c r="X157" s="195">
        <f>IFERROR(INDEX('Ashed teabags dry'!$K$2:$K$821,MATCH(I157,'Ashed teabags dry'!$A$2:$A$821,0)),"")</f>
        <v>2.8725314183131179</v>
      </c>
      <c r="Y157" s="195">
        <f t="shared" si="14"/>
        <v>1.5404886039886074</v>
      </c>
      <c r="Z157" s="195">
        <f t="shared" si="14"/>
        <v>1.6711752244165043</v>
      </c>
      <c r="AA157" s="195">
        <f t="shared" si="20"/>
        <v>6.1477422286128847E-2</v>
      </c>
      <c r="AB157" s="195">
        <f t="shared" si="21"/>
        <v>4.0303488244588029E-2</v>
      </c>
      <c r="AC157" s="195">
        <f t="shared" si="15"/>
        <v>0.89623528305551714</v>
      </c>
      <c r="AD157">
        <f t="shared" si="16"/>
        <v>69</v>
      </c>
      <c r="AE157" s="195">
        <f t="shared" si="22"/>
        <v>0.92698643433951444</v>
      </c>
      <c r="AF157" s="195" t="str">
        <f t="shared" si="23"/>
        <v/>
      </c>
      <c r="AG157" s="255" t="str">
        <f>IF(ISNUMBER(SEARCH("C", 'Dry_Litterbag Placem_Collection'!AB84)),"YES","NO")</f>
        <v>NO</v>
      </c>
      <c r="AH157" s="255" t="str">
        <f>IF(ISNUMBER(SEARCH("H", 'Dry_Litterbag Placem_Collection'!AB84)),"YES","NO")</f>
        <v>NO</v>
      </c>
      <c r="AI157" s="255" t="str">
        <f>IF(ISNUMBER(SEARCH("R", 'Dry_Litterbag Placem_Collection'!AB84)),"YES","NO")</f>
        <v>NO</v>
      </c>
      <c r="AJ157" s="255" t="str">
        <f>IF(ISNUMBER(SEARCH("C", 'Dry_Litterbag Placem_Collection'!AA84)),"YES","NO")</f>
        <v>NO</v>
      </c>
      <c r="AK157" s="255" t="str">
        <f>IF(ISNUMBER(SEARCH("H", 'Dry_Litterbag Placem_Collection'!AA84)),"YES","NO")</f>
        <v>NO</v>
      </c>
      <c r="AL157" s="255" t="str">
        <f>IF(ISNUMBER(SEARCH("R", 'Dry_Litterbag Placem_Collection'!AA84)),"YES","NO")</f>
        <v>NO</v>
      </c>
      <c r="AR157" t="s">
        <v>1694</v>
      </c>
      <c r="AT157" t="s">
        <v>339</v>
      </c>
    </row>
    <row r="158" spans="2:46">
      <c r="B158" t="str">
        <f>'Final data_for_R_analysis_Dryse'!A84</f>
        <v>Dry</v>
      </c>
      <c r="C158" s="263">
        <f>'Final data_for_R_analysis_Dryse'!B84</f>
        <v>83</v>
      </c>
      <c r="D158" t="s">
        <v>3839</v>
      </c>
      <c r="E158" t="s">
        <v>22</v>
      </c>
      <c r="F158" s="386">
        <v>3</v>
      </c>
      <c r="G158" s="16">
        <f>'Dry_Litterbag Placem_Collection'!E85</f>
        <v>42937</v>
      </c>
      <c r="H158" t="str">
        <f>'Final data_for_R_analysis_Dryse'!J84</f>
        <v>G331</v>
      </c>
      <c r="I158" t="str">
        <f>'Final data_for_R_analysis_Dryse'!J304</f>
        <v>R764</v>
      </c>
      <c r="J158">
        <f>IFERROR(INDEX('Green_rooibos initial weight'!$C$5:$C$1749,MATCH(H158, 'Green_rooibos initial weight'!$A$5:$A$1749,0)),"")</f>
        <v>2.0550000000000002</v>
      </c>
      <c r="K158">
        <f>IFERROR(INDEX('Green_rooibos initial weight'!$C$5:$C$1749,MATCH(I158, 'Green_rooibos initial weight'!$A$5:$A$1749,0)),"")</f>
        <v>2.2160000000000002</v>
      </c>
      <c r="L158" s="195">
        <f t="shared" si="17"/>
        <v>1.8052000000000001</v>
      </c>
      <c r="M158" s="240">
        <f>AVERAGE(Ashed_controlls!$K$1:$K$11)</f>
        <v>5.5147656768714146</v>
      </c>
      <c r="N158" s="195">
        <f t="shared" si="12"/>
        <v>1.7056474500011174</v>
      </c>
      <c r="O158" s="195">
        <f t="shared" si="18"/>
        <v>1.9662000000000002</v>
      </c>
      <c r="P158" s="240">
        <f>AVERAGE(Ashed_controlls!$K$12:$K$14)</f>
        <v>2.2816647271287041</v>
      </c>
      <c r="Q158" s="195">
        <f t="shared" si="13"/>
        <v>1.9213379081351956</v>
      </c>
      <c r="R158" s="16">
        <f>IF('Dry_Litterbag Placem_Collection'!G85="N.A","",'Dry_Litterbag Placem_Collection'!G85)</f>
        <v>43006</v>
      </c>
      <c r="S158" s="195">
        <f>IF(IFERROR(INDEX('Both teabags AfterDry'!$D$1:$D$839,MATCH(H158,'Both teabags AfterDry'!$A$1:$A$839,0)),"")="N.A","",(IFERROR(INDEX('Both teabags AfterDry'!$D$1:$D$839,MATCH(H158,'Both teabags AfterDry'!$A$1:$A$839,0)),"")))</f>
        <v>1.8354999999999999</v>
      </c>
      <c r="T158" s="195">
        <f>IF(IFERROR(INDEX('Both teabags AfterDry'!$D$1:$D$839,MATCH(I158,'Both teabags AfterDry'!$A$1:$A$839,0)),"")="N.A","",(IFERROR(INDEX('Both teabags AfterDry'!$D$1:$D$839,MATCH(I158,'Both teabags AfterDry'!$A$1:$A$839,0)),"")))</f>
        <v>1.9178999999999999</v>
      </c>
      <c r="U158" s="195">
        <f t="shared" si="19"/>
        <v>1.6848999999999998</v>
      </c>
      <c r="V158" s="195">
        <f t="shared" si="19"/>
        <v>1.7672999999999999</v>
      </c>
      <c r="W158" s="195">
        <f>IFERROR(INDEX('Ashed teabags dry'!$K$2:$K$821,MATCH(H158,'Ashed teabags dry'!$A$2:$A$821,0)),"")</f>
        <v>5.6902523503216829</v>
      </c>
      <c r="X158" s="195">
        <f>IFERROR(INDEX('Ashed teabags dry'!$K$2:$K$821,MATCH(I158,'Ashed teabags dry'!$A$2:$A$821,0)),"")</f>
        <v>2.3591718825229306</v>
      </c>
      <c r="Y158" s="195">
        <f t="shared" si="14"/>
        <v>1.5890249381494299</v>
      </c>
      <c r="Z158" s="195">
        <f t="shared" si="14"/>
        <v>1.7256063553201721</v>
      </c>
      <c r="AA158" s="195">
        <f t="shared" si="20"/>
        <v>6.8374336004554226E-2</v>
      </c>
      <c r="AB158" s="195">
        <f t="shared" si="21"/>
        <v>4.4824980373532018E-2</v>
      </c>
      <c r="AC158" s="195">
        <f t="shared" si="15"/>
        <v>0.89812747045365082</v>
      </c>
      <c r="AD158">
        <f t="shared" si="16"/>
        <v>69</v>
      </c>
      <c r="AE158" s="195">
        <f t="shared" si="22"/>
        <v>0.91879532541026809</v>
      </c>
      <c r="AF158" s="195" t="str">
        <f t="shared" si="23"/>
        <v/>
      </c>
      <c r="AG158" s="255" t="str">
        <f>IF(ISNUMBER(SEARCH("C", 'Dry_Litterbag Placem_Collection'!AB85)),"YES","NO")</f>
        <v>NO</v>
      </c>
      <c r="AH158" s="255" t="str">
        <f>IF(ISNUMBER(SEARCH("H", 'Dry_Litterbag Placem_Collection'!AB85)),"YES","NO")</f>
        <v>NO</v>
      </c>
      <c r="AI158" s="255" t="str">
        <f>IF(ISNUMBER(SEARCH("R", 'Dry_Litterbag Placem_Collection'!AB85)),"YES","NO")</f>
        <v>NO</v>
      </c>
      <c r="AJ158" s="255" t="str">
        <f>IF(ISNUMBER(SEARCH("C", 'Dry_Litterbag Placem_Collection'!AA85)),"YES","NO")</f>
        <v>NO</v>
      </c>
      <c r="AK158" s="255" t="str">
        <f>IF(ISNUMBER(SEARCH("H", 'Dry_Litterbag Placem_Collection'!AA85)),"YES","NO")</f>
        <v>NO</v>
      </c>
      <c r="AL158" s="255" t="str">
        <f>IF(ISNUMBER(SEARCH("R", 'Dry_Litterbag Placem_Collection'!AA85)),"YES","NO")</f>
        <v>NO</v>
      </c>
      <c r="AR158" t="s">
        <v>1719</v>
      </c>
      <c r="AT158" t="s">
        <v>375</v>
      </c>
    </row>
    <row r="159" spans="2:46">
      <c r="B159" t="str">
        <f>'Final data_for_R_analysis_Dryse'!A85</f>
        <v>Dry</v>
      </c>
      <c r="C159" s="263">
        <f>'Final data_for_R_analysis_Dryse'!B85</f>
        <v>84</v>
      </c>
      <c r="D159" t="s">
        <v>3839</v>
      </c>
      <c r="E159" t="s">
        <v>22</v>
      </c>
      <c r="F159" s="387">
        <v>4</v>
      </c>
      <c r="G159" s="16">
        <f>'Dry_Litterbag Placem_Collection'!E86</f>
        <v>42937</v>
      </c>
      <c r="H159" t="str">
        <f>'Final data_for_R_analysis_Dryse'!J85</f>
        <v>G101</v>
      </c>
      <c r="I159" t="str">
        <f>'Final data_for_R_analysis_Dryse'!J305</f>
        <v>R778</v>
      </c>
      <c r="J159">
        <f>IFERROR(INDEX('Green_rooibos initial weight'!$C$5:$C$1749,MATCH(H159, 'Green_rooibos initial weight'!$A$5:$A$1749,0)),"")</f>
        <v>2.173</v>
      </c>
      <c r="K159">
        <f>IFERROR(INDEX('Green_rooibos initial weight'!$C$5:$C$1749,MATCH(I159, 'Green_rooibos initial weight'!$A$5:$A$1749,0)),"")</f>
        <v>2.2450000000000001</v>
      </c>
      <c r="L159" s="195">
        <f t="shared" si="17"/>
        <v>1.9232</v>
      </c>
      <c r="M159" s="240">
        <f>AVERAGE(Ashed_controlls!$K$1:$K$11)</f>
        <v>5.5147656768714146</v>
      </c>
      <c r="N159" s="195">
        <f t="shared" si="12"/>
        <v>1.8171400265024089</v>
      </c>
      <c r="O159" s="195">
        <f t="shared" si="18"/>
        <v>1.9952000000000001</v>
      </c>
      <c r="P159" s="240">
        <f>AVERAGE(Ashed_controlls!$K$12:$K$14)</f>
        <v>2.2816647271287041</v>
      </c>
      <c r="Q159" s="195">
        <f t="shared" si="13"/>
        <v>1.9496762253643283</v>
      </c>
      <c r="R159" s="16">
        <f>IF('Dry_Litterbag Placem_Collection'!G86="N.A","",'Dry_Litterbag Placem_Collection'!G86)</f>
        <v>43006</v>
      </c>
      <c r="S159" s="195">
        <f>IF(IFERROR(INDEX('Both teabags AfterDry'!$D$1:$D$839,MATCH(H159,'Both teabags AfterDry'!$A$1:$A$839,0)),"")="N.A","",(IFERROR(INDEX('Both teabags AfterDry'!$D$1:$D$839,MATCH(H159,'Both teabags AfterDry'!$A$1:$A$839,0)),"")))</f>
        <v>1.9434</v>
      </c>
      <c r="T159" s="195">
        <f>IF(IFERROR(INDEX('Both teabags AfterDry'!$D$1:$D$839,MATCH(I159,'Both teabags AfterDry'!$A$1:$A$839,0)),"")="N.A","",(IFERROR(INDEX('Both teabags AfterDry'!$D$1:$D$839,MATCH(I159,'Both teabags AfterDry'!$A$1:$A$839,0)),"")))</f>
        <v>1.9495</v>
      </c>
      <c r="U159" s="195">
        <f t="shared" si="19"/>
        <v>1.7927999999999999</v>
      </c>
      <c r="V159" s="195">
        <f t="shared" si="19"/>
        <v>1.7988999999999999</v>
      </c>
      <c r="W159" s="195">
        <f>IFERROR(INDEX('Ashed teabags dry'!$K$2:$K$821,MATCH(H159,'Ashed teabags dry'!$A$2:$A$821,0)),"")</f>
        <v>5.5508112724168974</v>
      </c>
      <c r="X159" s="195">
        <f>IFERROR(INDEX('Ashed teabags dry'!$K$2:$K$821,MATCH(I159,'Ashed teabags dry'!$A$2:$A$821,0)),"")</f>
        <v>2.5398406374508733</v>
      </c>
      <c r="Y159" s="195">
        <f t="shared" si="14"/>
        <v>1.6932850555081098</v>
      </c>
      <c r="Z159" s="195">
        <f t="shared" si="14"/>
        <v>1.7532108067728962</v>
      </c>
      <c r="AA159" s="195">
        <f t="shared" si="20"/>
        <v>6.8159288325563172E-2</v>
      </c>
      <c r="AB159" s="195">
        <f t="shared" si="21"/>
        <v>4.468399899728133E-2</v>
      </c>
      <c r="AC159" s="195">
        <f t="shared" si="15"/>
        <v>0.89923177190370707</v>
      </c>
      <c r="AD159">
        <f t="shared" si="16"/>
        <v>69</v>
      </c>
      <c r="AE159" s="195">
        <f t="shared" si="22"/>
        <v>0.9190507264542005</v>
      </c>
      <c r="AF159" s="195" t="str">
        <f t="shared" si="23"/>
        <v/>
      </c>
      <c r="AG159" s="255" t="str">
        <f>IF(ISNUMBER(SEARCH("C", 'Dry_Litterbag Placem_Collection'!AB86)),"YES","NO")</f>
        <v>NO</v>
      </c>
      <c r="AH159" s="255" t="str">
        <f>IF(ISNUMBER(SEARCH("H", 'Dry_Litterbag Placem_Collection'!AB86)),"YES","NO")</f>
        <v>NO</v>
      </c>
      <c r="AI159" s="255" t="str">
        <f>IF(ISNUMBER(SEARCH("R", 'Dry_Litterbag Placem_Collection'!AB86)),"YES","NO")</f>
        <v>NO</v>
      </c>
      <c r="AJ159" s="255" t="str">
        <f>IF(ISNUMBER(SEARCH("C", 'Dry_Litterbag Placem_Collection'!AA86)),"YES","NO")</f>
        <v>NO</v>
      </c>
      <c r="AK159" s="255" t="str">
        <f>IF(ISNUMBER(SEARCH("H", 'Dry_Litterbag Placem_Collection'!AA86)),"YES","NO")</f>
        <v>NO</v>
      </c>
      <c r="AL159" s="255" t="str">
        <f>IF(ISNUMBER(SEARCH("R", 'Dry_Litterbag Placem_Collection'!AA86)),"YES","NO")</f>
        <v>NO</v>
      </c>
      <c r="AR159" t="s">
        <v>1949</v>
      </c>
      <c r="AT159" t="s">
        <v>361</v>
      </c>
    </row>
    <row r="160" spans="2:46">
      <c r="B160" t="str">
        <f>'Final data_for_R_analysis_Dryse'!A86</f>
        <v>Dry</v>
      </c>
      <c r="C160" s="263">
        <f>'Final data_for_R_analysis_Dryse'!B86</f>
        <v>85</v>
      </c>
      <c r="D160" t="s">
        <v>3839</v>
      </c>
      <c r="E160" t="s">
        <v>22</v>
      </c>
      <c r="F160" s="387">
        <v>5</v>
      </c>
      <c r="G160" s="16">
        <f>'Dry_Litterbag Placem_Collection'!E87</f>
        <v>0</v>
      </c>
      <c r="H160" t="str">
        <f>'Final data_for_R_analysis_Dryse'!J86</f>
        <v/>
      </c>
      <c r="I160" t="str">
        <f>'Final data_for_R_analysis_Dryse'!J306</f>
        <v/>
      </c>
      <c r="J160" t="str">
        <f>IFERROR(INDEX('Green_rooibos initial weight'!$C$5:$C$1749,MATCH(H160, 'Green_rooibos initial weight'!$A$5:$A$1749,0)),"")</f>
        <v/>
      </c>
      <c r="K160" t="str">
        <f>IFERROR(INDEX('Green_rooibos initial weight'!$C$5:$C$1749,MATCH(I160, 'Green_rooibos initial weight'!$A$5:$A$1749,0)),"")</f>
        <v/>
      </c>
      <c r="L160" s="195" t="str">
        <f t="shared" si="17"/>
        <v/>
      </c>
      <c r="M160" s="240">
        <f>AVERAGE(Ashed_controlls!$K$1:$K$11)</f>
        <v>5.5147656768714146</v>
      </c>
      <c r="N160" s="195" t="str">
        <f t="shared" si="12"/>
        <v/>
      </c>
      <c r="O160" s="195" t="str">
        <f t="shared" si="18"/>
        <v/>
      </c>
      <c r="P160" s="240">
        <f>AVERAGE(Ashed_controlls!$K$12:$K$14)</f>
        <v>2.2816647271287041</v>
      </c>
      <c r="Q160" s="195" t="str">
        <f t="shared" si="13"/>
        <v/>
      </c>
      <c r="R160" s="16">
        <f>IF('Dry_Litterbag Placem_Collection'!G87="N.A","",'Dry_Litterbag Placem_Collection'!G87)</f>
        <v>0</v>
      </c>
      <c r="S160" s="195" t="str">
        <f>IF(IFERROR(INDEX('Both teabags AfterDry'!$D$1:$D$839,MATCH(H160,'Both teabags AfterDry'!$A$1:$A$839,0)),"")="N.A","",(IFERROR(INDEX('Both teabags AfterDry'!$D$1:$D$839,MATCH(H160,'Both teabags AfterDry'!$A$1:$A$839,0)),"")))</f>
        <v/>
      </c>
      <c r="T160" s="195" t="str">
        <f>IF(IFERROR(INDEX('Both teabags AfterDry'!$D$1:$D$839,MATCH(I160,'Both teabags AfterDry'!$A$1:$A$839,0)),"")="N.A","",(IFERROR(INDEX('Both teabags AfterDry'!$D$1:$D$839,MATCH(I160,'Both teabags AfterDry'!$A$1:$A$839,0)),"")))</f>
        <v/>
      </c>
      <c r="U160" s="195" t="str">
        <f t="shared" si="19"/>
        <v/>
      </c>
      <c r="V160" s="195" t="str">
        <f t="shared" si="19"/>
        <v/>
      </c>
      <c r="W160" s="195" t="str">
        <f>IFERROR(INDEX('Ashed teabags dry'!$K$2:$K$821,MATCH(H160,'Ashed teabags dry'!$A$2:$A$821,0)),"")</f>
        <v/>
      </c>
      <c r="X160" s="195" t="str">
        <f>IFERROR(INDEX('Ashed teabags dry'!$K$2:$K$821,MATCH(I160,'Ashed teabags dry'!$A$2:$A$821,0)),"")</f>
        <v/>
      </c>
      <c r="Y160" s="195" t="str">
        <f t="shared" si="14"/>
        <v/>
      </c>
      <c r="Z160" s="195" t="str">
        <f t="shared" si="14"/>
        <v/>
      </c>
      <c r="AA160" s="195" t="str">
        <f t="shared" si="20"/>
        <v/>
      </c>
      <c r="AB160" s="195" t="str">
        <f t="shared" si="21"/>
        <v/>
      </c>
      <c r="AC160" s="195" t="str">
        <f t="shared" si="15"/>
        <v/>
      </c>
      <c r="AD160" t="str">
        <f t="shared" si="16"/>
        <v/>
      </c>
      <c r="AE160" s="195" t="str">
        <f t="shared" si="22"/>
        <v/>
      </c>
      <c r="AF160" s="195" t="str">
        <f t="shared" si="23"/>
        <v/>
      </c>
      <c r="AG160" s="255" t="str">
        <f>IF(ISNUMBER(SEARCH("C", 'Dry_Litterbag Placem_Collection'!AB87)),"YES","NO")</f>
        <v>NO</v>
      </c>
      <c r="AH160" s="255" t="str">
        <f>IF(ISNUMBER(SEARCH("H", 'Dry_Litterbag Placem_Collection'!AB87)),"YES","NO")</f>
        <v>NO</v>
      </c>
      <c r="AI160" s="255" t="str">
        <f>IF(ISNUMBER(SEARCH("R", 'Dry_Litterbag Placem_Collection'!AB87)),"YES","NO")</f>
        <v>NO</v>
      </c>
      <c r="AJ160" s="255" t="str">
        <f>IF(ISNUMBER(SEARCH("C", 'Dry_Litterbag Placem_Collection'!AA87)),"YES","NO")</f>
        <v>NO</v>
      </c>
      <c r="AK160" s="255" t="str">
        <f>IF(ISNUMBER(SEARCH("H", 'Dry_Litterbag Placem_Collection'!AA87)),"YES","NO")</f>
        <v>NO</v>
      </c>
      <c r="AL160" s="255" t="str">
        <f>IF(ISNUMBER(SEARCH("R", 'Dry_Litterbag Placem_Collection'!AA87)),"YES","NO")</f>
        <v>NO</v>
      </c>
      <c r="AR160" t="s">
        <v>3654</v>
      </c>
      <c r="AT160" t="s">
        <v>3654</v>
      </c>
    </row>
    <row r="161" spans="2:46">
      <c r="B161" t="str">
        <f>'Final data_for_R_analysis_Dryse'!A87</f>
        <v>Dry</v>
      </c>
      <c r="C161" s="263">
        <f>'Final data_for_R_analysis_Dryse'!B87</f>
        <v>86</v>
      </c>
      <c r="D161" t="s">
        <v>3839</v>
      </c>
      <c r="E161" t="s">
        <v>22</v>
      </c>
      <c r="F161" s="387">
        <v>6</v>
      </c>
      <c r="G161" s="16">
        <f>'Dry_Litterbag Placem_Collection'!E88</f>
        <v>42937</v>
      </c>
      <c r="H161" t="str">
        <f>'Final data_for_R_analysis_Dryse'!J87</f>
        <v>G31</v>
      </c>
      <c r="I161" t="str">
        <f>'Final data_for_R_analysis_Dryse'!J307</f>
        <v>R738</v>
      </c>
      <c r="J161">
        <f>IFERROR(INDEX('Green_rooibos initial weight'!$C$5:$C$1749,MATCH(H161, 'Green_rooibos initial weight'!$A$5:$A$1749,0)),"")</f>
        <v>1.9390000000000001</v>
      </c>
      <c r="K161">
        <f>IFERROR(INDEX('Green_rooibos initial weight'!$C$5:$C$1749,MATCH(I161, 'Green_rooibos initial weight'!$A$5:$A$1749,0)),"")</f>
        <v>2.1890000000000001</v>
      </c>
      <c r="L161" s="195">
        <f t="shared" si="17"/>
        <v>1.6892</v>
      </c>
      <c r="M161" s="240">
        <f>AVERAGE(Ashed_controlls!$K$1:$K$11)</f>
        <v>5.5147656768714146</v>
      </c>
      <c r="N161" s="195">
        <f t="shared" si="12"/>
        <v>1.5960445781862882</v>
      </c>
      <c r="O161" s="195">
        <f t="shared" si="18"/>
        <v>1.9392</v>
      </c>
      <c r="P161" s="240">
        <f>AVERAGE(Ashed_controlls!$K$12:$K$14)</f>
        <v>2.2816647271287041</v>
      </c>
      <c r="Q161" s="195">
        <f t="shared" si="13"/>
        <v>1.8949539576115202</v>
      </c>
      <c r="R161" s="16">
        <f>IF('Dry_Litterbag Placem_Collection'!G88="N.A","",'Dry_Litterbag Placem_Collection'!G88)</f>
        <v>43006</v>
      </c>
      <c r="S161" s="195" t="str">
        <f>IF(IFERROR(INDEX('Both teabags AfterDry'!$D$1:$D$839,MATCH(H161,'Both teabags AfterDry'!$A$1:$A$839,0)),"")="N.A","",(IFERROR(INDEX('Both teabags AfterDry'!$D$1:$D$839,MATCH(H161,'Both teabags AfterDry'!$A$1:$A$839,0)),"")))</f>
        <v/>
      </c>
      <c r="T161" s="195" t="str">
        <f>IF(IFERROR(INDEX('Both teabags AfterDry'!$D$1:$D$839,MATCH(I161,'Both teabags AfterDry'!$A$1:$A$839,0)),"")="N.A","",(IFERROR(INDEX('Both teabags AfterDry'!$D$1:$D$839,MATCH(I161,'Both teabags AfterDry'!$A$1:$A$839,0)),"")))</f>
        <v/>
      </c>
      <c r="U161" s="195" t="str">
        <f t="shared" si="19"/>
        <v/>
      </c>
      <c r="V161" s="195" t="str">
        <f t="shared" si="19"/>
        <v/>
      </c>
      <c r="W161" s="195" t="str">
        <f>IFERROR(INDEX('Ashed teabags dry'!$K$2:$K$821,MATCH(H161,'Ashed teabags dry'!$A$2:$A$821,0)),"")</f>
        <v/>
      </c>
      <c r="X161" s="195" t="str">
        <f>IFERROR(INDEX('Ashed teabags dry'!$K$2:$K$821,MATCH(I161,'Ashed teabags dry'!$A$2:$A$821,0)),"")</f>
        <v/>
      </c>
      <c r="Y161" s="195" t="str">
        <f t="shared" si="14"/>
        <v/>
      </c>
      <c r="Z161" s="195" t="str">
        <f t="shared" si="14"/>
        <v/>
      </c>
      <c r="AA161" s="195" t="str">
        <f t="shared" si="20"/>
        <v/>
      </c>
      <c r="AB161" s="195" t="str">
        <f t="shared" si="21"/>
        <v/>
      </c>
      <c r="AC161" s="195" t="str">
        <f t="shared" si="15"/>
        <v/>
      </c>
      <c r="AD161">
        <f t="shared" si="16"/>
        <v>69</v>
      </c>
      <c r="AE161" s="195" t="str">
        <f t="shared" si="22"/>
        <v/>
      </c>
      <c r="AF161" s="195" t="str">
        <f t="shared" si="23"/>
        <v/>
      </c>
      <c r="AG161" s="255" t="str">
        <f>IF(ISNUMBER(SEARCH("C", 'Dry_Litterbag Placem_Collection'!AB88)),"YES","NO")</f>
        <v>NO</v>
      </c>
      <c r="AH161" s="255" t="str">
        <f>IF(ISNUMBER(SEARCH("H", 'Dry_Litterbag Placem_Collection'!AB88)),"YES","NO")</f>
        <v>NO</v>
      </c>
      <c r="AI161" s="255" t="str">
        <f>IF(ISNUMBER(SEARCH("R", 'Dry_Litterbag Placem_Collection'!AB88)),"YES","NO")</f>
        <v>NO</v>
      </c>
      <c r="AJ161" s="255" t="str">
        <f>IF(ISNUMBER(SEARCH("C", 'Dry_Litterbag Placem_Collection'!AA88)),"YES","NO")</f>
        <v>NO</v>
      </c>
      <c r="AK161" s="255" t="str">
        <f>IF(ISNUMBER(SEARCH("H", 'Dry_Litterbag Placem_Collection'!AA88)),"YES","NO")</f>
        <v>NO</v>
      </c>
      <c r="AL161" s="255" t="str">
        <f>IF(ISNUMBER(SEARCH("R", 'Dry_Litterbag Placem_Collection'!AA88)),"YES","NO")</f>
        <v>NO</v>
      </c>
      <c r="AR161" t="s">
        <v>2019</v>
      </c>
      <c r="AT161" t="s">
        <v>401</v>
      </c>
    </row>
    <row r="162" spans="2:46">
      <c r="B162" t="str">
        <f>'Final data_for_R_analysis_Dryse'!A88</f>
        <v>Dry</v>
      </c>
      <c r="C162" s="263">
        <f>'Final data_for_R_analysis_Dryse'!B88</f>
        <v>87</v>
      </c>
      <c r="D162" t="s">
        <v>3839</v>
      </c>
      <c r="E162" t="s">
        <v>22</v>
      </c>
      <c r="F162" s="387">
        <v>7</v>
      </c>
      <c r="G162" s="16">
        <f>'Dry_Litterbag Placem_Collection'!E89</f>
        <v>42937</v>
      </c>
      <c r="H162" t="str">
        <f>'Final data_for_R_analysis_Dryse'!J88</f>
        <v>G220</v>
      </c>
      <c r="I162" t="str">
        <f>'Final data_for_R_analysis_Dryse'!J308</f>
        <v>R394</v>
      </c>
      <c r="J162">
        <f>IFERROR(INDEX('Green_rooibos initial weight'!$C$5:$C$1749,MATCH(H162, 'Green_rooibos initial weight'!$A$5:$A$1749,0)),"")</f>
        <v>2.1179999999999999</v>
      </c>
      <c r="K162">
        <f>IFERROR(INDEX('Green_rooibos initial weight'!$C$5:$C$1749,MATCH(I162, 'Green_rooibos initial weight'!$A$5:$A$1749,0)),"")</f>
        <v>2.1800000000000002</v>
      </c>
      <c r="L162" s="195">
        <f t="shared" si="17"/>
        <v>1.8681999999999999</v>
      </c>
      <c r="M162" s="240">
        <f>AVERAGE(Ashed_controlls!$K$1:$K$11)</f>
        <v>5.5147656768714146</v>
      </c>
      <c r="N162" s="195">
        <f t="shared" si="12"/>
        <v>1.7651731476246881</v>
      </c>
      <c r="O162" s="195">
        <f t="shared" si="18"/>
        <v>1.9302000000000001</v>
      </c>
      <c r="P162" s="240">
        <f>AVERAGE(Ashed_controlls!$K$12:$K$14)</f>
        <v>2.2816647271287041</v>
      </c>
      <c r="Q162" s="195">
        <f t="shared" si="13"/>
        <v>1.8861593074369618</v>
      </c>
      <c r="R162" s="16">
        <f>IF('Dry_Litterbag Placem_Collection'!G89="N.A","",'Dry_Litterbag Placem_Collection'!G89)</f>
        <v>43006</v>
      </c>
      <c r="S162" s="195">
        <f>IF(IFERROR(INDEX('Both teabags AfterDry'!$D$1:$D$839,MATCH(H162,'Both teabags AfterDry'!$A$1:$A$839,0)),"")="N.A","",(IFERROR(INDEX('Both teabags AfterDry'!$D$1:$D$839,MATCH(H162,'Both teabags AfterDry'!$A$1:$A$839,0)),"")))</f>
        <v>1.9671000000000001</v>
      </c>
      <c r="T162" s="195">
        <f>IF(IFERROR(INDEX('Both teabags AfterDry'!$D$1:$D$839,MATCH(I162,'Both teabags AfterDry'!$A$1:$A$839,0)),"")="N.A","",(IFERROR(INDEX('Both teabags AfterDry'!$D$1:$D$839,MATCH(I162,'Both teabags AfterDry'!$A$1:$A$839,0)),"")))</f>
        <v>1.9392</v>
      </c>
      <c r="U162" s="195">
        <f t="shared" si="19"/>
        <v>1.8165</v>
      </c>
      <c r="V162" s="195">
        <f t="shared" si="19"/>
        <v>1.7886</v>
      </c>
      <c r="W162" s="195">
        <f>IFERROR(INDEX('Ashed teabags dry'!$K$2:$K$821,MATCH(H162,'Ashed teabags dry'!$A$2:$A$821,0)),"")</f>
        <v>5.9062218214606252</v>
      </c>
      <c r="X162" s="195">
        <f>IFERROR(INDEX('Ashed teabags dry'!$K$2:$K$821,MATCH(I162,'Ashed teabags dry'!$A$2:$A$821,0)),"")</f>
        <v>3.1437125748499946</v>
      </c>
      <c r="Y162" s="195">
        <f t="shared" si="14"/>
        <v>1.7092134806131678</v>
      </c>
      <c r="Z162" s="195">
        <f t="shared" si="14"/>
        <v>1.732371556886233</v>
      </c>
      <c r="AA162" s="195">
        <f t="shared" si="20"/>
        <v>3.1702083779612589E-2</v>
      </c>
      <c r="AB162" s="195">
        <f t="shared" si="21"/>
        <v>2.0783313831765019E-2</v>
      </c>
      <c r="AC162" s="195">
        <f t="shared" si="15"/>
        <v>0.91846513179223144</v>
      </c>
      <c r="AD162">
        <f t="shared" si="16"/>
        <v>69</v>
      </c>
      <c r="AE162" s="195">
        <f t="shared" si="22"/>
        <v>0.96234906914535323</v>
      </c>
      <c r="AF162" s="195" t="str">
        <f t="shared" si="23"/>
        <v/>
      </c>
      <c r="AG162" s="255" t="str">
        <f>IF(ISNUMBER(SEARCH("C", 'Dry_Litterbag Placem_Collection'!AB89)),"YES","NO")</f>
        <v>NO</v>
      </c>
      <c r="AH162" s="255" t="str">
        <f>IF(ISNUMBER(SEARCH("H", 'Dry_Litterbag Placem_Collection'!AB89)),"YES","NO")</f>
        <v>NO</v>
      </c>
      <c r="AI162" s="255" t="str">
        <f>IF(ISNUMBER(SEARCH("R", 'Dry_Litterbag Placem_Collection'!AB89)),"YES","NO")</f>
        <v>NO</v>
      </c>
      <c r="AJ162" s="255" t="str">
        <f>IF(ISNUMBER(SEARCH("C", 'Dry_Litterbag Placem_Collection'!AA89)),"YES","NO")</f>
        <v>NO</v>
      </c>
      <c r="AK162" s="255" t="str">
        <f>IF(ISNUMBER(SEARCH("H", 'Dry_Litterbag Placem_Collection'!AA89)),"YES","NO")</f>
        <v>NO</v>
      </c>
      <c r="AL162" s="255" t="str">
        <f>IF(ISNUMBER(SEARCH("R", 'Dry_Litterbag Placem_Collection'!AA89)),"YES","NO")</f>
        <v>NO</v>
      </c>
      <c r="AR162" t="s">
        <v>1830</v>
      </c>
      <c r="AT162" t="s">
        <v>747</v>
      </c>
    </row>
    <row r="163" spans="2:46">
      <c r="B163" t="str">
        <f>'Final data_for_R_analysis_Dryse'!A89</f>
        <v>Dry</v>
      </c>
      <c r="C163" s="263">
        <f>'Final data_for_R_analysis_Dryse'!B89</f>
        <v>88</v>
      </c>
      <c r="D163" t="s">
        <v>3839</v>
      </c>
      <c r="E163" t="s">
        <v>22</v>
      </c>
      <c r="F163" s="387">
        <v>8</v>
      </c>
      <c r="G163" s="16">
        <f>'Dry_Litterbag Placem_Collection'!E90</f>
        <v>42937</v>
      </c>
      <c r="H163" t="str">
        <f>'Final data_for_R_analysis_Dryse'!J89</f>
        <v>G531</v>
      </c>
      <c r="I163" t="str">
        <f>'Final data_for_R_analysis_Dryse'!J309</f>
        <v>R819</v>
      </c>
      <c r="J163">
        <f>IFERROR(INDEX('Green_rooibos initial weight'!$C$5:$C$1749,MATCH(H163, 'Green_rooibos initial weight'!$A$5:$A$1749,0)),"")</f>
        <v>2.0110000000000001</v>
      </c>
      <c r="K163">
        <f>IFERROR(INDEX('Green_rooibos initial weight'!$C$5:$C$1749,MATCH(I163, 'Green_rooibos initial weight'!$A$5:$A$1749,0)),"")</f>
        <v>2.16</v>
      </c>
      <c r="L163" s="195">
        <f t="shared" si="17"/>
        <v>1.7612000000000001</v>
      </c>
      <c r="M163" s="240">
        <f>AVERAGE(Ashed_controlls!$K$1:$K$11)</f>
        <v>5.5147656768714146</v>
      </c>
      <c r="N163" s="195">
        <f t="shared" si="12"/>
        <v>1.6640739468989407</v>
      </c>
      <c r="O163" s="195">
        <f t="shared" si="18"/>
        <v>1.9102000000000001</v>
      </c>
      <c r="P163" s="240">
        <f>AVERAGE(Ashed_controlls!$K$12:$K$14)</f>
        <v>2.2816647271287041</v>
      </c>
      <c r="Q163" s="195">
        <f t="shared" si="13"/>
        <v>1.8666156403823877</v>
      </c>
      <c r="R163" s="16">
        <f>IF('Dry_Litterbag Placem_Collection'!G90="N.A","",'Dry_Litterbag Placem_Collection'!G90)</f>
        <v>43006</v>
      </c>
      <c r="S163" s="195">
        <f>IF(IFERROR(INDEX('Both teabags AfterDry'!$D$1:$D$839,MATCH(H163,'Both teabags AfterDry'!$A$1:$A$839,0)),"")="N.A","",(IFERROR(INDEX('Both teabags AfterDry'!$D$1:$D$839,MATCH(H163,'Both teabags AfterDry'!$A$1:$A$839,0)),"")))</f>
        <v>1.8593999999999999</v>
      </c>
      <c r="T163" s="195">
        <f>IF(IFERROR(INDEX('Both teabags AfterDry'!$D$1:$D$839,MATCH(I163,'Both teabags AfterDry'!$A$1:$A$839,0)),"")="N.A","",(IFERROR(INDEX('Both teabags AfterDry'!$D$1:$D$839,MATCH(I163,'Both teabags AfterDry'!$A$1:$A$839,0)),"")))</f>
        <v>2.8028</v>
      </c>
      <c r="U163" s="195">
        <f t="shared" si="19"/>
        <v>1.7087999999999999</v>
      </c>
      <c r="V163" s="195">
        <f t="shared" si="19"/>
        <v>2.6522000000000001</v>
      </c>
      <c r="W163" s="195">
        <f>IFERROR(INDEX('Ashed teabags dry'!$K$2:$K$821,MATCH(H163,'Ashed teabags dry'!$A$2:$A$821,0)),"")</f>
        <v>7.2600696171056427</v>
      </c>
      <c r="X163" s="195">
        <f>IFERROR(INDEX('Ashed teabags dry'!$K$2:$K$821,MATCH(I163,'Ashed teabags dry'!$A$2:$A$821,0)),"")</f>
        <v>86.93858845096193</v>
      </c>
      <c r="Y163" s="195">
        <f t="shared" si="14"/>
        <v>1.5847399303828986</v>
      </c>
      <c r="Z163" s="195">
        <f t="shared" si="14"/>
        <v>0.3464147571035876</v>
      </c>
      <c r="AA163" s="195">
        <f t="shared" si="20"/>
        <v>4.7674573995875491E-2</v>
      </c>
      <c r="AB163" s="195">
        <f t="shared" si="21"/>
        <v>3.1254590078056116E-2</v>
      </c>
      <c r="AC163" s="195">
        <f t="shared" si="15"/>
        <v>0.18558440720695044</v>
      </c>
      <c r="AD163">
        <f t="shared" si="16"/>
        <v>69</v>
      </c>
      <c r="AE163" s="195">
        <f t="shared" si="22"/>
        <v>0.94337936580062298</v>
      </c>
      <c r="AF163" s="195" t="str">
        <f t="shared" si="23"/>
        <v/>
      </c>
      <c r="AG163" s="255" t="str">
        <f>IF(ISNUMBER(SEARCH("C", 'Dry_Litterbag Placem_Collection'!AB90)),"YES","NO")</f>
        <v>NO</v>
      </c>
      <c r="AH163" s="255" t="str">
        <f>IF(ISNUMBER(SEARCH("H", 'Dry_Litterbag Placem_Collection'!AB90)),"YES","NO")</f>
        <v>NO</v>
      </c>
      <c r="AI163" s="255" t="str">
        <f>IF(ISNUMBER(SEARCH("R", 'Dry_Litterbag Placem_Collection'!AB90)),"YES","NO")</f>
        <v>NO</v>
      </c>
      <c r="AJ163" s="255" t="str">
        <f>IF(ISNUMBER(SEARCH("C", 'Dry_Litterbag Placem_Collection'!AA90)),"YES","NO")</f>
        <v>NO</v>
      </c>
      <c r="AK163" s="255" t="str">
        <f>IF(ISNUMBER(SEARCH("H", 'Dry_Litterbag Placem_Collection'!AA90)),"YES","NO")</f>
        <v>NO</v>
      </c>
      <c r="AL163" s="255" t="str">
        <f>IF(ISNUMBER(SEARCH("R", 'Dry_Litterbag Placem_Collection'!AA90)),"YES","NO")</f>
        <v>NO</v>
      </c>
      <c r="AR163" t="s">
        <v>1519</v>
      </c>
      <c r="AT163" t="s">
        <v>320</v>
      </c>
    </row>
    <row r="164" spans="2:46">
      <c r="B164" t="str">
        <f>'Final data_for_R_analysis_Dryse'!A90</f>
        <v>Dry</v>
      </c>
      <c r="C164" s="263">
        <f>'Final data_for_R_analysis_Dryse'!B90</f>
        <v>89</v>
      </c>
      <c r="D164" t="s">
        <v>3840</v>
      </c>
      <c r="E164" t="s">
        <v>22</v>
      </c>
      <c r="F164" s="386">
        <v>1</v>
      </c>
      <c r="G164" s="16">
        <f>'Dry_Litterbag Placem_Collection'!E91</f>
        <v>42937</v>
      </c>
      <c r="H164" t="str">
        <f>'Final data_for_R_analysis_Dryse'!J90</f>
        <v>G35</v>
      </c>
      <c r="I164" t="str">
        <f>'Final data_for_R_analysis_Dryse'!J310</f>
        <v>R818</v>
      </c>
      <c r="J164">
        <f>IFERROR(INDEX('Green_rooibos initial weight'!$C$5:$C$1749,MATCH(H164, 'Green_rooibos initial weight'!$A$5:$A$1749,0)),"")</f>
        <v>2.0299999999999998</v>
      </c>
      <c r="K164">
        <f>IFERROR(INDEX('Green_rooibos initial weight'!$C$5:$C$1749,MATCH(I164, 'Green_rooibos initial weight'!$A$5:$A$1749,0)),"")</f>
        <v>2.1680000000000001</v>
      </c>
      <c r="L164" s="195">
        <f t="shared" si="17"/>
        <v>1.7801999999999998</v>
      </c>
      <c r="M164" s="240">
        <f>AVERAGE(Ashed_controlls!$K$1:$K$11)</f>
        <v>5.5147656768714146</v>
      </c>
      <c r="N164" s="195">
        <f t="shared" si="12"/>
        <v>1.6820261414203348</v>
      </c>
      <c r="O164" s="195">
        <f t="shared" si="18"/>
        <v>1.9182000000000001</v>
      </c>
      <c r="P164" s="240">
        <f>AVERAGE(Ashed_controlls!$K$12:$K$14)</f>
        <v>2.2816647271287041</v>
      </c>
      <c r="Q164" s="195">
        <f t="shared" si="13"/>
        <v>1.8744331072042173</v>
      </c>
      <c r="R164" s="16">
        <f>IF('Dry_Litterbag Placem_Collection'!G91="N.A","",'Dry_Litterbag Placem_Collection'!G91)</f>
        <v>43006</v>
      </c>
      <c r="S164" s="195">
        <f>IF(IFERROR(INDEX('Both teabags AfterDry'!$D$1:$D$839,MATCH(H164,'Both teabags AfterDry'!$A$1:$A$839,0)),"")="N.A","",(IFERROR(INDEX('Both teabags AfterDry'!$D$1:$D$839,MATCH(H164,'Both teabags AfterDry'!$A$1:$A$839,0)),"")))</f>
        <v>1.8633999999999999</v>
      </c>
      <c r="T164" s="195">
        <f>IF(IFERROR(INDEX('Both teabags AfterDry'!$D$1:$D$839,MATCH(I164,'Both teabags AfterDry'!$A$1:$A$839,0)),"")="N.A","",(IFERROR(INDEX('Both teabags AfterDry'!$D$1:$D$839,MATCH(I164,'Both teabags AfterDry'!$A$1:$A$839,0)),"")))</f>
        <v>1.9155</v>
      </c>
      <c r="U164" s="195">
        <f t="shared" si="19"/>
        <v>1.7127999999999999</v>
      </c>
      <c r="V164" s="195">
        <f t="shared" si="19"/>
        <v>1.7648999999999999</v>
      </c>
      <c r="W164" s="195">
        <f>IFERROR(INDEX('Ashed teabags dry'!$K$2:$K$821,MATCH(H164,'Ashed teabags dry'!$A$2:$A$821,0)),"")</f>
        <v>5.6105610561053325</v>
      </c>
      <c r="X164" s="195">
        <f>IFERROR(INDEX('Ashed teabags dry'!$K$2:$K$821,MATCH(I164,'Ashed teabags dry'!$A$2:$A$821,0)),"")</f>
        <v>2.8114396509937518</v>
      </c>
      <c r="Y164" s="195">
        <f t="shared" si="14"/>
        <v>1.6167023102310278</v>
      </c>
      <c r="Z164" s="195">
        <f t="shared" si="14"/>
        <v>1.7152809015996111</v>
      </c>
      <c r="AA164" s="195">
        <f t="shared" si="20"/>
        <v>3.8836394738875013E-2</v>
      </c>
      <c r="AB164" s="195">
        <f t="shared" si="21"/>
        <v>2.546043930624586E-2</v>
      </c>
      <c r="AC164" s="195">
        <f t="shared" si="15"/>
        <v>0.91509315270151881</v>
      </c>
      <c r="AD164">
        <f t="shared" si="16"/>
        <v>69</v>
      </c>
      <c r="AE164" s="195">
        <f t="shared" si="22"/>
        <v>0.95387601574955461</v>
      </c>
      <c r="AF164" s="195" t="str">
        <f t="shared" si="23"/>
        <v/>
      </c>
      <c r="AG164" s="255" t="str">
        <f>IF(ISNUMBER(SEARCH("C", 'Dry_Litterbag Placem_Collection'!AB91)),"YES","NO")</f>
        <v>NO</v>
      </c>
      <c r="AH164" s="255" t="str">
        <f>IF(ISNUMBER(SEARCH("H", 'Dry_Litterbag Placem_Collection'!AB91)),"YES","NO")</f>
        <v>NO</v>
      </c>
      <c r="AI164" s="255" t="str">
        <f>IF(ISNUMBER(SEARCH("R", 'Dry_Litterbag Placem_Collection'!AB91)),"YES","NO")</f>
        <v>NO</v>
      </c>
      <c r="AJ164" s="255" t="str">
        <f>IF(ISNUMBER(SEARCH("C", 'Dry_Litterbag Placem_Collection'!AA91)),"YES","NO")</f>
        <v>NO</v>
      </c>
      <c r="AK164" s="255" t="str">
        <f>IF(ISNUMBER(SEARCH("H", 'Dry_Litterbag Placem_Collection'!AA91)),"YES","NO")</f>
        <v>NO</v>
      </c>
      <c r="AL164" s="255" t="str">
        <f>IF(ISNUMBER(SEARCH("R", 'Dry_Litterbag Placem_Collection'!AA91)),"YES","NO")</f>
        <v>NO</v>
      </c>
      <c r="AR164" t="s">
        <v>2015</v>
      </c>
      <c r="AT164" t="s">
        <v>321</v>
      </c>
    </row>
    <row r="165" spans="2:46">
      <c r="B165" t="str">
        <f>'Final data_for_R_analysis_Dryse'!A91</f>
        <v>Dry</v>
      </c>
      <c r="C165" s="263">
        <f>'Final data_for_R_analysis_Dryse'!B91</f>
        <v>90</v>
      </c>
      <c r="D165" t="s">
        <v>3840</v>
      </c>
      <c r="E165" t="s">
        <v>22</v>
      </c>
      <c r="F165" s="386">
        <v>2</v>
      </c>
      <c r="G165" s="16">
        <f>'Dry_Litterbag Placem_Collection'!E92</f>
        <v>42937</v>
      </c>
      <c r="H165" t="str">
        <f>'Final data_for_R_analysis_Dryse'!J91</f>
        <v>G264</v>
      </c>
      <c r="I165" t="str">
        <f>'Final data_for_R_analysis_Dryse'!J311</f>
        <v>R767</v>
      </c>
      <c r="J165">
        <f>IFERROR(INDEX('Green_rooibos initial weight'!$C$5:$C$1749,MATCH(H165, 'Green_rooibos initial weight'!$A$5:$A$1749,0)),"")</f>
        <v>2.1070000000000002</v>
      </c>
      <c r="K165">
        <f>IFERROR(INDEX('Green_rooibos initial weight'!$C$5:$C$1749,MATCH(I165, 'Green_rooibos initial weight'!$A$5:$A$1749,0)),"")</f>
        <v>2.1890000000000001</v>
      </c>
      <c r="L165" s="195">
        <f t="shared" si="17"/>
        <v>1.8572000000000002</v>
      </c>
      <c r="M165" s="240">
        <f>AVERAGE(Ashed_controlls!$K$1:$K$11)</f>
        <v>5.5147656768714146</v>
      </c>
      <c r="N165" s="195">
        <f t="shared" si="12"/>
        <v>1.7547797718491442</v>
      </c>
      <c r="O165" s="195">
        <f t="shared" si="18"/>
        <v>1.9392</v>
      </c>
      <c r="P165" s="240">
        <f>AVERAGE(Ashed_controlls!$K$12:$K$14)</f>
        <v>2.2816647271287041</v>
      </c>
      <c r="Q165" s="195">
        <f t="shared" si="13"/>
        <v>1.8949539576115202</v>
      </c>
      <c r="R165" s="16">
        <f>IF('Dry_Litterbag Placem_Collection'!G92="N.A","",'Dry_Litterbag Placem_Collection'!G92)</f>
        <v>43006</v>
      </c>
      <c r="S165" s="195" t="str">
        <f>IF(IFERROR(INDEX('Both teabags AfterDry'!$D$1:$D$839,MATCH(H165,'Both teabags AfterDry'!$A$1:$A$839,0)),"")="N.A","",(IFERROR(INDEX('Both teabags AfterDry'!$D$1:$D$839,MATCH(H165,'Both teabags AfterDry'!$A$1:$A$839,0)),"")))</f>
        <v/>
      </c>
      <c r="T165" s="195" t="str">
        <f>IF(IFERROR(INDEX('Both teabags AfterDry'!$D$1:$D$839,MATCH(I165,'Both teabags AfterDry'!$A$1:$A$839,0)),"")="N.A","",(IFERROR(INDEX('Both teabags AfterDry'!$D$1:$D$839,MATCH(I165,'Both teabags AfterDry'!$A$1:$A$839,0)),"")))</f>
        <v/>
      </c>
      <c r="U165" s="195" t="str">
        <f t="shared" si="19"/>
        <v/>
      </c>
      <c r="V165" s="195" t="str">
        <f t="shared" si="19"/>
        <v/>
      </c>
      <c r="W165" s="195" t="str">
        <f>IFERROR(INDEX('Ashed teabags dry'!$K$2:$K$821,MATCH(H165,'Ashed teabags dry'!$A$2:$A$821,0)),"")</f>
        <v/>
      </c>
      <c r="X165" s="195" t="str">
        <f>IFERROR(INDEX('Ashed teabags dry'!$K$2:$K$821,MATCH(I165,'Ashed teabags dry'!$A$2:$A$821,0)),"")</f>
        <v/>
      </c>
      <c r="Y165" s="195" t="str">
        <f t="shared" si="14"/>
        <v/>
      </c>
      <c r="Z165" s="195" t="str">
        <f t="shared" si="14"/>
        <v/>
      </c>
      <c r="AA165" s="195" t="str">
        <f t="shared" si="20"/>
        <v/>
      </c>
      <c r="AB165" s="195" t="str">
        <f t="shared" si="21"/>
        <v/>
      </c>
      <c r="AC165" s="195" t="str">
        <f t="shared" si="15"/>
        <v/>
      </c>
      <c r="AD165">
        <f t="shared" si="16"/>
        <v>69</v>
      </c>
      <c r="AE165" s="195" t="str">
        <f t="shared" si="22"/>
        <v/>
      </c>
      <c r="AF165" s="195" t="str">
        <f t="shared" si="23"/>
        <v/>
      </c>
      <c r="AG165" s="255" t="str">
        <f>IF(ISNUMBER(SEARCH("C", 'Dry_Litterbag Placem_Collection'!AB92)),"YES","NO")</f>
        <v>NO</v>
      </c>
      <c r="AH165" s="255" t="str">
        <f>IF(ISNUMBER(SEARCH("H", 'Dry_Litterbag Placem_Collection'!AB92)),"YES","NO")</f>
        <v>NO</v>
      </c>
      <c r="AI165" s="255" t="str">
        <f>IF(ISNUMBER(SEARCH("R", 'Dry_Litterbag Placem_Collection'!AB92)),"YES","NO")</f>
        <v>NO</v>
      </c>
      <c r="AJ165" s="255" t="str">
        <f>IF(ISNUMBER(SEARCH("C", 'Dry_Litterbag Placem_Collection'!AA92)),"YES","NO")</f>
        <v>NO</v>
      </c>
      <c r="AK165" s="255" t="str">
        <f>IF(ISNUMBER(SEARCH("H", 'Dry_Litterbag Placem_Collection'!AA92)),"YES","NO")</f>
        <v>NO</v>
      </c>
      <c r="AL165" s="255" t="str">
        <f>IF(ISNUMBER(SEARCH("R", 'Dry_Litterbag Placem_Collection'!AA92)),"YES","NO")</f>
        <v>NO</v>
      </c>
      <c r="AR165" t="s">
        <v>1786</v>
      </c>
      <c r="AT165" t="s">
        <v>372</v>
      </c>
    </row>
    <row r="166" spans="2:46">
      <c r="B166" t="str">
        <f>'Final data_for_R_analysis_Dryse'!A92</f>
        <v>Dry</v>
      </c>
      <c r="C166" s="263">
        <f>'Final data_for_R_analysis_Dryse'!B92</f>
        <v>91</v>
      </c>
      <c r="D166" t="s">
        <v>3840</v>
      </c>
      <c r="E166" t="s">
        <v>22</v>
      </c>
      <c r="F166" s="386">
        <v>3</v>
      </c>
      <c r="G166" s="16">
        <f>'Dry_Litterbag Placem_Collection'!E93</f>
        <v>42937</v>
      </c>
      <c r="H166" t="str">
        <f>'Final data_for_R_analysis_Dryse'!J92</f>
        <v>G13</v>
      </c>
      <c r="I166" t="str">
        <f>'Final data_for_R_analysis_Dryse'!J312</f>
        <v>R787</v>
      </c>
      <c r="J166">
        <f>IFERROR(INDEX('Green_rooibos initial weight'!$C$5:$C$1749,MATCH(H166, 'Green_rooibos initial weight'!$A$5:$A$1749,0)),"")</f>
        <v>2.085</v>
      </c>
      <c r="K166">
        <f>IFERROR(INDEX('Green_rooibos initial weight'!$C$5:$C$1749,MATCH(I166, 'Green_rooibos initial weight'!$A$5:$A$1749,0)),"")</f>
        <v>2.1579999999999999</v>
      </c>
      <c r="L166" s="195">
        <f t="shared" si="17"/>
        <v>1.8351999999999999</v>
      </c>
      <c r="M166" s="240">
        <f>AVERAGE(Ashed_controlls!$K$1:$K$11)</f>
        <v>5.5147656768714146</v>
      </c>
      <c r="N166" s="195">
        <f t="shared" si="12"/>
        <v>1.7339930202980558</v>
      </c>
      <c r="O166" s="195">
        <f t="shared" si="18"/>
        <v>1.9081999999999999</v>
      </c>
      <c r="P166" s="240">
        <f>AVERAGE(Ashed_controlls!$K$12:$K$14)</f>
        <v>2.2816647271287041</v>
      </c>
      <c r="Q166" s="195">
        <f t="shared" si="13"/>
        <v>1.8646612736769299</v>
      </c>
      <c r="R166" s="16">
        <f>IF('Dry_Litterbag Placem_Collection'!G93="N.A","",'Dry_Litterbag Placem_Collection'!G93)</f>
        <v>43006</v>
      </c>
      <c r="S166" s="195">
        <f>IF(IFERROR(INDEX('Both teabags AfterDry'!$D$1:$D$839,MATCH(H166,'Both teabags AfterDry'!$A$1:$A$839,0)),"")="N.A","",(IFERROR(INDEX('Both teabags AfterDry'!$D$1:$D$839,MATCH(H166,'Both teabags AfterDry'!$A$1:$A$839,0)),"")))</f>
        <v>1.9104000000000001</v>
      </c>
      <c r="T166" s="195">
        <f>IF(IFERROR(INDEX('Both teabags AfterDry'!$D$1:$D$839,MATCH(I166,'Both teabags AfterDry'!$A$1:$A$839,0)),"")="N.A","",(IFERROR(INDEX('Both teabags AfterDry'!$D$1:$D$839,MATCH(I166,'Both teabags AfterDry'!$A$1:$A$839,0)),"")))</f>
        <v>1.8551</v>
      </c>
      <c r="U166" s="195">
        <f t="shared" si="19"/>
        <v>1.7598</v>
      </c>
      <c r="V166" s="195">
        <f t="shared" si="19"/>
        <v>1.7044999999999999</v>
      </c>
      <c r="W166" s="195">
        <f>IFERROR(INDEX('Ashed teabags dry'!$K$2:$K$821,MATCH(H166,'Ashed teabags dry'!$A$2:$A$821,0)),"")</f>
        <v>5.9558517284466683</v>
      </c>
      <c r="X166" s="195">
        <f>IFERROR(INDEX('Ashed teabags dry'!$K$2:$K$821,MATCH(I166,'Ashed teabags dry'!$A$2:$A$821,0)),"")</f>
        <v>3.5746606334838318</v>
      </c>
      <c r="Y166" s="195">
        <f t="shared" si="14"/>
        <v>1.6549889212827955</v>
      </c>
      <c r="Z166" s="195">
        <f t="shared" si="14"/>
        <v>1.643569909502268</v>
      </c>
      <c r="AA166" s="195">
        <f t="shared" si="20"/>
        <v>4.5561947534068059E-2</v>
      </c>
      <c r="AB166" s="195">
        <f t="shared" si="21"/>
        <v>2.9869590307370037E-2</v>
      </c>
      <c r="AC166" s="195">
        <f t="shared" si="15"/>
        <v>0.88143081679457458</v>
      </c>
      <c r="AD166">
        <f t="shared" si="16"/>
        <v>69</v>
      </c>
      <c r="AE166" s="195">
        <f t="shared" si="22"/>
        <v>0.9458884233562137</v>
      </c>
      <c r="AF166" s="195" t="str">
        <f t="shared" si="23"/>
        <v/>
      </c>
      <c r="AG166" s="255" t="str">
        <f>IF(ISNUMBER(SEARCH("C", 'Dry_Litterbag Placem_Collection'!AB93)),"YES","NO")</f>
        <v>NO</v>
      </c>
      <c r="AH166" s="255" t="str">
        <f>IF(ISNUMBER(SEARCH("H", 'Dry_Litterbag Placem_Collection'!AB93)),"YES","NO")</f>
        <v>NO</v>
      </c>
      <c r="AI166" s="255" t="str">
        <f>IF(ISNUMBER(SEARCH("R", 'Dry_Litterbag Placem_Collection'!AB93)),"YES","NO")</f>
        <v>NO</v>
      </c>
      <c r="AJ166" s="255" t="str">
        <f>IF(ISNUMBER(SEARCH("C", 'Dry_Litterbag Placem_Collection'!AA93)),"YES","NO")</f>
        <v>NO</v>
      </c>
      <c r="AK166" s="255" t="str">
        <f>IF(ISNUMBER(SEARCH("H", 'Dry_Litterbag Placem_Collection'!AA93)),"YES","NO")</f>
        <v>NO</v>
      </c>
      <c r="AL166" s="255" t="str">
        <f>IF(ISNUMBER(SEARCH("R", 'Dry_Litterbag Placem_Collection'!AA93)),"YES","NO")</f>
        <v>NO</v>
      </c>
      <c r="AR166" t="s">
        <v>2037</v>
      </c>
      <c r="AT166" t="s">
        <v>352</v>
      </c>
    </row>
    <row r="167" spans="2:46">
      <c r="B167" t="str">
        <f>'Final data_for_R_analysis_Dryse'!A93</f>
        <v>Dry</v>
      </c>
      <c r="C167" s="263">
        <f>'Final data_for_R_analysis_Dryse'!B93</f>
        <v>92</v>
      </c>
      <c r="D167" t="s">
        <v>3840</v>
      </c>
      <c r="E167" t="s">
        <v>22</v>
      </c>
      <c r="F167" s="387">
        <v>4</v>
      </c>
      <c r="G167" s="16">
        <f>'Dry_Litterbag Placem_Collection'!E94</f>
        <v>42937</v>
      </c>
      <c r="H167" t="str">
        <f>'Final data_for_R_analysis_Dryse'!J93</f>
        <v>G324</v>
      </c>
      <c r="I167" t="str">
        <f>'Final data_for_R_analysis_Dryse'!J313</f>
        <v>R812</v>
      </c>
      <c r="J167">
        <f>IFERROR(INDEX('Green_rooibos initial weight'!$C$5:$C$1749,MATCH(H167, 'Green_rooibos initial weight'!$A$5:$A$1749,0)),"")</f>
        <v>2.0430000000000001</v>
      </c>
      <c r="K167">
        <f>IFERROR(INDEX('Green_rooibos initial weight'!$C$5:$C$1749,MATCH(I167, 'Green_rooibos initial weight'!$A$5:$A$1749,0)),"")</f>
        <v>2.1819999999999999</v>
      </c>
      <c r="L167" s="195">
        <f t="shared" si="17"/>
        <v>1.7932000000000001</v>
      </c>
      <c r="M167" s="240">
        <f>AVERAGE(Ashed_controlls!$K$1:$K$11)</f>
        <v>5.5147656768714146</v>
      </c>
      <c r="N167" s="195">
        <f t="shared" si="12"/>
        <v>1.6943092218823419</v>
      </c>
      <c r="O167" s="195">
        <f t="shared" si="18"/>
        <v>1.9321999999999999</v>
      </c>
      <c r="P167" s="240">
        <f>AVERAGE(Ashed_controlls!$K$12:$K$14)</f>
        <v>2.2816647271287041</v>
      </c>
      <c r="Q167" s="195">
        <f t="shared" si="13"/>
        <v>1.8881136741424192</v>
      </c>
      <c r="R167" s="16">
        <f>IF('Dry_Litterbag Placem_Collection'!G94="N.A","",'Dry_Litterbag Placem_Collection'!G94)</f>
        <v>43006</v>
      </c>
      <c r="S167" s="195">
        <f>IF(IFERROR(INDEX('Both teabags AfterDry'!$D$1:$D$839,MATCH(H167,'Both teabags AfterDry'!$A$1:$A$839,0)),"")="N.A","",(IFERROR(INDEX('Both teabags AfterDry'!$D$1:$D$839,MATCH(H167,'Both teabags AfterDry'!$A$1:$A$839,0)),"")))</f>
        <v>1.6847000000000001</v>
      </c>
      <c r="T167" s="195">
        <f>IF(IFERROR(INDEX('Both teabags AfterDry'!$D$1:$D$839,MATCH(I167,'Both teabags AfterDry'!$A$1:$A$839,0)),"")="N.A","",(IFERROR(INDEX('Both teabags AfterDry'!$D$1:$D$839,MATCH(I167,'Both teabags AfterDry'!$A$1:$A$839,0)),"")))</f>
        <v>1.8855</v>
      </c>
      <c r="U167" s="195">
        <f t="shared" si="19"/>
        <v>1.5341</v>
      </c>
      <c r="V167" s="195">
        <f t="shared" si="19"/>
        <v>1.7348999999999999</v>
      </c>
      <c r="W167" s="195">
        <f>IFERROR(INDEX('Ashed teabags dry'!$K$2:$K$821,MATCH(H167,'Ashed teabags dry'!$A$2:$A$821,0)),"")</f>
        <v>7.5962018990501106</v>
      </c>
      <c r="X167" s="195">
        <f>IFERROR(INDEX('Ashed teabags dry'!$K$2:$K$821,MATCH(I167,'Ashed teabags dry'!$A$2:$A$821,0)),"")</f>
        <v>1.8952618453866015</v>
      </c>
      <c r="Y167" s="195">
        <f t="shared" si="14"/>
        <v>1.4175666666666722</v>
      </c>
      <c r="Z167" s="195">
        <f t="shared" si="14"/>
        <v>1.7020191022443878</v>
      </c>
      <c r="AA167" s="195">
        <f t="shared" si="20"/>
        <v>0.16333651003104055</v>
      </c>
      <c r="AB167" s="195">
        <f t="shared" si="21"/>
        <v>0.10708046738377007</v>
      </c>
      <c r="AC167" s="195">
        <f t="shared" si="15"/>
        <v>0.90143889404193023</v>
      </c>
      <c r="AD167">
        <f t="shared" si="16"/>
        <v>69</v>
      </c>
      <c r="AE167" s="195">
        <f t="shared" si="22"/>
        <v>0.8060136460438948</v>
      </c>
      <c r="AF167" s="195">
        <f t="shared" si="23"/>
        <v>3.6684626021082307E-2</v>
      </c>
      <c r="AG167" s="255" t="str">
        <f>IF(ISNUMBER(SEARCH("C", 'Dry_Litterbag Placem_Collection'!AB94)),"YES","NO")</f>
        <v>NO</v>
      </c>
      <c r="AH167" s="255" t="str">
        <f>IF(ISNUMBER(SEARCH("H", 'Dry_Litterbag Placem_Collection'!AB94)),"YES","NO")</f>
        <v>NO</v>
      </c>
      <c r="AI167" s="255" t="str">
        <f>IF(ISNUMBER(SEARCH("R", 'Dry_Litterbag Placem_Collection'!AB94)),"YES","NO")</f>
        <v>NO</v>
      </c>
      <c r="AJ167" s="255" t="str">
        <f>IF(ISNUMBER(SEARCH("C", 'Dry_Litterbag Placem_Collection'!AA94)),"YES","NO")</f>
        <v>NO</v>
      </c>
      <c r="AK167" s="255" t="str">
        <f>IF(ISNUMBER(SEARCH("H", 'Dry_Litterbag Placem_Collection'!AA94)),"YES","NO")</f>
        <v>NO</v>
      </c>
      <c r="AL167" s="255" t="str">
        <f>IF(ISNUMBER(SEARCH("R", 'Dry_Litterbag Placem_Collection'!AA94)),"YES","NO")</f>
        <v>NO</v>
      </c>
      <c r="AR167" t="s">
        <v>1726</v>
      </c>
      <c r="AT167" t="s">
        <v>327</v>
      </c>
    </row>
    <row r="168" spans="2:46">
      <c r="B168" t="str">
        <f>'Final data_for_R_analysis_Dryse'!A94</f>
        <v>Dry</v>
      </c>
      <c r="C168" s="263">
        <f>'Final data_for_R_analysis_Dryse'!B94</f>
        <v>93</v>
      </c>
      <c r="D168" t="s">
        <v>3840</v>
      </c>
      <c r="E168" t="s">
        <v>22</v>
      </c>
      <c r="F168" s="387">
        <v>5</v>
      </c>
      <c r="G168" s="16">
        <f>'Dry_Litterbag Placem_Collection'!E95</f>
        <v>42937</v>
      </c>
      <c r="H168" t="str">
        <f>'Final data_for_R_analysis_Dryse'!J94</f>
        <v>G99</v>
      </c>
      <c r="I168" t="str">
        <f>'Final data_for_R_analysis_Dryse'!J314</f>
        <v>R675</v>
      </c>
      <c r="J168">
        <f>IFERROR(INDEX('Green_rooibos initial weight'!$C$5:$C$1749,MATCH(H168, 'Green_rooibos initial weight'!$A$5:$A$1749,0)),"")</f>
        <v>2.097</v>
      </c>
      <c r="K168">
        <f>IFERROR(INDEX('Green_rooibos initial weight'!$C$5:$C$1749,MATCH(I168, 'Green_rooibos initial weight'!$A$5:$A$1749,0)),"")</f>
        <v>2.2069999999999999</v>
      </c>
      <c r="L168" s="195">
        <f t="shared" si="17"/>
        <v>1.8472</v>
      </c>
      <c r="M168" s="240">
        <f>AVERAGE(Ashed_controlls!$K$1:$K$11)</f>
        <v>5.5147656768714146</v>
      </c>
      <c r="N168" s="195">
        <f t="shared" si="12"/>
        <v>1.7453312484168313</v>
      </c>
      <c r="O168" s="195">
        <f t="shared" si="18"/>
        <v>1.9571999999999998</v>
      </c>
      <c r="P168" s="240">
        <f>AVERAGE(Ashed_controlls!$K$12:$K$14)</f>
        <v>2.2816647271287041</v>
      </c>
      <c r="Q168" s="195">
        <f t="shared" si="13"/>
        <v>1.9125432579606367</v>
      </c>
      <c r="R168" s="16">
        <f>IF('Dry_Litterbag Placem_Collection'!G95="N.A","",'Dry_Litterbag Placem_Collection'!G95)</f>
        <v>43006</v>
      </c>
      <c r="S168" s="195">
        <f>IF(IFERROR(INDEX('Both teabags AfterDry'!$D$1:$D$839,MATCH(H168,'Both teabags AfterDry'!$A$1:$A$839,0)),"")="N.A","",(IFERROR(INDEX('Both teabags AfterDry'!$D$1:$D$839,MATCH(H168,'Both teabags AfterDry'!$A$1:$A$839,0)),"")))</f>
        <v>1.9186000000000001</v>
      </c>
      <c r="T168" s="195">
        <f>IF(IFERROR(INDEX('Both teabags AfterDry'!$D$1:$D$839,MATCH(I168,'Both teabags AfterDry'!$A$1:$A$839,0)),"")="N.A","",(IFERROR(INDEX('Both teabags AfterDry'!$D$1:$D$839,MATCH(I168,'Both teabags AfterDry'!$A$1:$A$839,0)),"")))</f>
        <v>2.0310000000000001</v>
      </c>
      <c r="U168" s="195">
        <f t="shared" si="19"/>
        <v>1.768</v>
      </c>
      <c r="V168" s="195">
        <f t="shared" si="19"/>
        <v>1.8804000000000001</v>
      </c>
      <c r="W168" s="195">
        <f>IFERROR(INDEX('Ashed teabags dry'!$K$2:$K$821,MATCH(H168,'Ashed teabags dry'!$A$2:$A$821,0)),"")</f>
        <v>6.1659712563742239</v>
      </c>
      <c r="X168" s="195">
        <f>IFERROR(INDEX('Ashed teabags dry'!$K$2:$K$821,MATCH(I168,'Ashed teabags dry'!$A$2:$A$821,0)),"")</f>
        <v>3.8099506947561541</v>
      </c>
      <c r="Y168" s="195">
        <f t="shared" si="14"/>
        <v>1.6589856281873037</v>
      </c>
      <c r="Z168" s="195">
        <f t="shared" si="14"/>
        <v>1.8087576871358053</v>
      </c>
      <c r="AA168" s="195">
        <f t="shared" si="20"/>
        <v>4.947233959619457E-2</v>
      </c>
      <c r="AB168" s="195">
        <f t="shared" si="21"/>
        <v>3.2433172751899532E-2</v>
      </c>
      <c r="AC168" s="195">
        <f t="shared" si="15"/>
        <v>0.9457342622746745</v>
      </c>
      <c r="AD168">
        <f t="shared" si="16"/>
        <v>69</v>
      </c>
      <c r="AE168" s="195">
        <f t="shared" si="22"/>
        <v>0.94124425226105157</v>
      </c>
      <c r="AF168" s="195" t="str">
        <f t="shared" si="23"/>
        <v/>
      </c>
      <c r="AG168" s="255" t="str">
        <f>IF(ISNUMBER(SEARCH("C", 'Dry_Litterbag Placem_Collection'!AB95)),"YES","NO")</f>
        <v>NO</v>
      </c>
      <c r="AH168" s="255" t="str">
        <f>IF(ISNUMBER(SEARCH("H", 'Dry_Litterbag Placem_Collection'!AB95)),"YES","NO")</f>
        <v>NO</v>
      </c>
      <c r="AI168" s="255" t="str">
        <f>IF(ISNUMBER(SEARCH("R", 'Dry_Litterbag Placem_Collection'!AB95)),"YES","NO")</f>
        <v>NO</v>
      </c>
      <c r="AJ168" s="255" t="str">
        <f>IF(ISNUMBER(SEARCH("C", 'Dry_Litterbag Placem_Collection'!AA95)),"YES","NO")</f>
        <v>NO</v>
      </c>
      <c r="AK168" s="255" t="str">
        <f>IF(ISNUMBER(SEARCH("H", 'Dry_Litterbag Placem_Collection'!AA95)),"YES","NO")</f>
        <v>NO</v>
      </c>
      <c r="AL168" s="255" t="str">
        <f>IF(ISNUMBER(SEARCH("R", 'Dry_Litterbag Placem_Collection'!AA95)),"YES","NO")</f>
        <v>NO</v>
      </c>
      <c r="AR168" t="s">
        <v>1951</v>
      </c>
      <c r="AT168" t="s">
        <v>464</v>
      </c>
    </row>
    <row r="169" spans="2:46">
      <c r="B169" t="str">
        <f>'Final data_for_R_analysis_Dryse'!A95</f>
        <v>Dry</v>
      </c>
      <c r="C169" s="263">
        <f>'Final data_for_R_analysis_Dryse'!B95</f>
        <v>94</v>
      </c>
      <c r="D169" t="s">
        <v>3840</v>
      </c>
      <c r="E169" t="s">
        <v>22</v>
      </c>
      <c r="F169" s="387">
        <v>6</v>
      </c>
      <c r="G169" s="16">
        <f>'Dry_Litterbag Placem_Collection'!E96</f>
        <v>0</v>
      </c>
      <c r="H169" t="str">
        <f>'Final data_for_R_analysis_Dryse'!J95</f>
        <v/>
      </c>
      <c r="I169" t="str">
        <f>'Final data_for_R_analysis_Dryse'!J315</f>
        <v/>
      </c>
      <c r="J169" t="str">
        <f>IFERROR(INDEX('Green_rooibos initial weight'!$C$5:$C$1749,MATCH(H169, 'Green_rooibos initial weight'!$A$5:$A$1749,0)),"")</f>
        <v/>
      </c>
      <c r="K169" t="str">
        <f>IFERROR(INDEX('Green_rooibos initial weight'!$C$5:$C$1749,MATCH(I169, 'Green_rooibos initial weight'!$A$5:$A$1749,0)),"")</f>
        <v/>
      </c>
      <c r="L169" s="195" t="str">
        <f t="shared" si="17"/>
        <v/>
      </c>
      <c r="M169" s="240">
        <f>AVERAGE(Ashed_controlls!$K$1:$K$11)</f>
        <v>5.5147656768714146</v>
      </c>
      <c r="N169" s="195" t="str">
        <f t="shared" si="12"/>
        <v/>
      </c>
      <c r="O169" s="195" t="str">
        <f t="shared" si="18"/>
        <v/>
      </c>
      <c r="P169" s="240">
        <f>AVERAGE(Ashed_controlls!$K$12:$K$14)</f>
        <v>2.2816647271287041</v>
      </c>
      <c r="Q169" s="195" t="str">
        <f t="shared" si="13"/>
        <v/>
      </c>
      <c r="R169" s="16">
        <f>IF('Dry_Litterbag Placem_Collection'!G96="N.A","",'Dry_Litterbag Placem_Collection'!G96)</f>
        <v>0</v>
      </c>
      <c r="S169" s="195" t="str">
        <f>IF(IFERROR(INDEX('Both teabags AfterDry'!$D$1:$D$839,MATCH(H169,'Both teabags AfterDry'!$A$1:$A$839,0)),"")="N.A","",(IFERROR(INDEX('Both teabags AfterDry'!$D$1:$D$839,MATCH(H169,'Both teabags AfterDry'!$A$1:$A$839,0)),"")))</f>
        <v/>
      </c>
      <c r="T169" s="195" t="str">
        <f>IF(IFERROR(INDEX('Both teabags AfterDry'!$D$1:$D$839,MATCH(I169,'Both teabags AfterDry'!$A$1:$A$839,0)),"")="N.A","",(IFERROR(INDEX('Both teabags AfterDry'!$D$1:$D$839,MATCH(I169,'Both teabags AfterDry'!$A$1:$A$839,0)),"")))</f>
        <v/>
      </c>
      <c r="U169" s="195" t="str">
        <f t="shared" si="19"/>
        <v/>
      </c>
      <c r="V169" s="195" t="str">
        <f t="shared" si="19"/>
        <v/>
      </c>
      <c r="W169" s="195" t="str">
        <f>IFERROR(INDEX('Ashed teabags dry'!$K$2:$K$821,MATCH(H169,'Ashed teabags dry'!$A$2:$A$821,0)),"")</f>
        <v/>
      </c>
      <c r="X169" s="195" t="str">
        <f>IFERROR(INDEX('Ashed teabags dry'!$K$2:$K$821,MATCH(I169,'Ashed teabags dry'!$A$2:$A$821,0)),"")</f>
        <v/>
      </c>
      <c r="Y169" s="195" t="str">
        <f t="shared" si="14"/>
        <v/>
      </c>
      <c r="Z169" s="195" t="str">
        <f t="shared" si="14"/>
        <v/>
      </c>
      <c r="AA169" s="195" t="str">
        <f t="shared" si="20"/>
        <v/>
      </c>
      <c r="AB169" s="195" t="str">
        <f t="shared" si="21"/>
        <v/>
      </c>
      <c r="AC169" s="195" t="str">
        <f t="shared" si="15"/>
        <v/>
      </c>
      <c r="AD169" t="str">
        <f t="shared" si="16"/>
        <v/>
      </c>
      <c r="AE169" s="195" t="str">
        <f t="shared" si="22"/>
        <v/>
      </c>
      <c r="AF169" s="195" t="str">
        <f t="shared" si="23"/>
        <v/>
      </c>
      <c r="AG169" s="255" t="str">
        <f>IF(ISNUMBER(SEARCH("C", 'Dry_Litterbag Placem_Collection'!AB96)),"YES","NO")</f>
        <v>NO</v>
      </c>
      <c r="AH169" s="255" t="str">
        <f>IF(ISNUMBER(SEARCH("H", 'Dry_Litterbag Placem_Collection'!AB96)),"YES","NO")</f>
        <v>NO</v>
      </c>
      <c r="AI169" s="255" t="str">
        <f>IF(ISNUMBER(SEARCH("R", 'Dry_Litterbag Placem_Collection'!AB96)),"YES","NO")</f>
        <v>NO</v>
      </c>
      <c r="AJ169" s="255" t="str">
        <f>IF(ISNUMBER(SEARCH("C", 'Dry_Litterbag Placem_Collection'!AA96)),"YES","NO")</f>
        <v>NO</v>
      </c>
      <c r="AK169" s="255" t="str">
        <f>IF(ISNUMBER(SEARCH("H", 'Dry_Litterbag Placem_Collection'!AA96)),"YES","NO")</f>
        <v>NO</v>
      </c>
      <c r="AL169" s="255" t="str">
        <f>IF(ISNUMBER(SEARCH("R", 'Dry_Litterbag Placem_Collection'!AA96)),"YES","NO")</f>
        <v>NO</v>
      </c>
      <c r="AR169" t="s">
        <v>3654</v>
      </c>
      <c r="AT169" t="s">
        <v>3654</v>
      </c>
    </row>
    <row r="170" spans="2:46">
      <c r="B170" t="str">
        <f>'Final data_for_R_analysis_Dryse'!A96</f>
        <v>Dry</v>
      </c>
      <c r="C170" s="263">
        <f>'Final data_for_R_analysis_Dryse'!B96</f>
        <v>95</v>
      </c>
      <c r="D170" t="s">
        <v>3840</v>
      </c>
      <c r="E170" t="s">
        <v>22</v>
      </c>
      <c r="F170" s="387">
        <v>7</v>
      </c>
      <c r="G170" s="16">
        <f>'Dry_Litterbag Placem_Collection'!E97</f>
        <v>42937</v>
      </c>
      <c r="H170" t="str">
        <f>'Final data_for_R_analysis_Dryse'!J96</f>
        <v>G126</v>
      </c>
      <c r="I170" t="str">
        <f>'Final data_for_R_analysis_Dryse'!J316</f>
        <v>R794</v>
      </c>
      <c r="J170">
        <f>IFERROR(INDEX('Green_rooibos initial weight'!$C$5:$C$1749,MATCH(H170, 'Green_rooibos initial weight'!$A$5:$A$1749,0)),"")</f>
        <v>2.093</v>
      </c>
      <c r="K170">
        <f>IFERROR(INDEX('Green_rooibos initial weight'!$C$5:$C$1749,MATCH(I170, 'Green_rooibos initial weight'!$A$5:$A$1749,0)),"")</f>
        <v>2.2000000000000002</v>
      </c>
      <c r="L170" s="195">
        <f t="shared" si="17"/>
        <v>1.8431999999999999</v>
      </c>
      <c r="M170" s="240">
        <f>AVERAGE(Ashed_controlls!$K$1:$K$11)</f>
        <v>5.5147656768714146</v>
      </c>
      <c r="N170" s="195">
        <f t="shared" si="12"/>
        <v>1.741551839043906</v>
      </c>
      <c r="O170" s="195">
        <f t="shared" si="18"/>
        <v>1.9502000000000002</v>
      </c>
      <c r="P170" s="240">
        <f>AVERAGE(Ashed_controlls!$K$12:$K$14)</f>
        <v>2.2816647271287041</v>
      </c>
      <c r="Q170" s="195">
        <f t="shared" si="13"/>
        <v>1.9057029744915361</v>
      </c>
      <c r="R170" s="16">
        <f>IF('Dry_Litterbag Placem_Collection'!G97="N.A","",'Dry_Litterbag Placem_Collection'!G97)</f>
        <v>43006</v>
      </c>
      <c r="S170" s="195">
        <f>IF(IFERROR(INDEX('Both teabags AfterDry'!$D$1:$D$839,MATCH(H170,'Both teabags AfterDry'!$A$1:$A$839,0)),"")="N.A","",(IFERROR(INDEX('Both teabags AfterDry'!$D$1:$D$839,MATCH(H170,'Both teabags AfterDry'!$A$1:$A$839,0)),"")))</f>
        <v>1.8705000000000001</v>
      </c>
      <c r="T170" s="195">
        <f>IF(IFERROR(INDEX('Both teabags AfterDry'!$D$1:$D$839,MATCH(I170,'Both teabags AfterDry'!$A$1:$A$839,0)),"")="N.A","",(IFERROR(INDEX('Both teabags AfterDry'!$D$1:$D$839,MATCH(I170,'Both teabags AfterDry'!$A$1:$A$839,0)),"")))</f>
        <v>1.9469000000000001</v>
      </c>
      <c r="U170" s="195">
        <f t="shared" si="19"/>
        <v>1.7199</v>
      </c>
      <c r="V170" s="195">
        <f t="shared" si="19"/>
        <v>1.7963</v>
      </c>
      <c r="W170" s="195">
        <f>IFERROR(INDEX('Ashed teabags dry'!$K$2:$K$821,MATCH(H170,'Ashed teabags dry'!$A$2:$A$821,0)),"")</f>
        <v>5.4866412213739713</v>
      </c>
      <c r="X170" s="195">
        <f>IFERROR(INDEX('Ashed teabags dry'!$K$2:$K$821,MATCH(I170,'Ashed teabags dry'!$A$2:$A$821,0)),"")</f>
        <v>2.6693030153240724</v>
      </c>
      <c r="Y170" s="195">
        <f t="shared" si="14"/>
        <v>1.6255352576335891</v>
      </c>
      <c r="Z170" s="195">
        <f t="shared" si="14"/>
        <v>1.7483513099357337</v>
      </c>
      <c r="AA170" s="195">
        <f t="shared" si="20"/>
        <v>6.6616783267277713E-2</v>
      </c>
      <c r="AB170" s="195">
        <f t="shared" si="21"/>
        <v>4.367276052676642E-2</v>
      </c>
      <c r="AC170" s="195">
        <f t="shared" si="15"/>
        <v>0.91743117019703158</v>
      </c>
      <c r="AD170">
        <f t="shared" si="16"/>
        <v>69</v>
      </c>
      <c r="AE170" s="195">
        <f t="shared" si="22"/>
        <v>0.92088268020513331</v>
      </c>
      <c r="AF170" s="195" t="str">
        <f t="shared" si="23"/>
        <v/>
      </c>
      <c r="AG170" s="255" t="str">
        <f>IF(ISNUMBER(SEARCH("C", 'Dry_Litterbag Placem_Collection'!AB97)),"YES","NO")</f>
        <v>NO</v>
      </c>
      <c r="AH170" s="255" t="str">
        <f>IF(ISNUMBER(SEARCH("H", 'Dry_Litterbag Placem_Collection'!AB97)),"YES","NO")</f>
        <v>NO</v>
      </c>
      <c r="AI170" s="255" t="str">
        <f>IF(ISNUMBER(SEARCH("R", 'Dry_Litterbag Placem_Collection'!AB97)),"YES","NO")</f>
        <v>NO</v>
      </c>
      <c r="AJ170" s="255" t="str">
        <f>IF(ISNUMBER(SEARCH("C", 'Dry_Litterbag Placem_Collection'!AA97)),"YES","NO")</f>
        <v>NO</v>
      </c>
      <c r="AK170" s="255" t="str">
        <f>IF(ISNUMBER(SEARCH("H", 'Dry_Litterbag Placem_Collection'!AA97)),"YES","NO")</f>
        <v>NO</v>
      </c>
      <c r="AL170" s="255" t="str">
        <f>IF(ISNUMBER(SEARCH("R", 'Dry_Litterbag Placem_Collection'!AA97)),"YES","NO")</f>
        <v>NO</v>
      </c>
      <c r="AR170" t="s">
        <v>1924</v>
      </c>
      <c r="AT170" t="s">
        <v>345</v>
      </c>
    </row>
    <row r="171" spans="2:46">
      <c r="B171" t="str">
        <f>'Final data_for_R_analysis_Dryse'!A97</f>
        <v>Dry</v>
      </c>
      <c r="C171" s="263">
        <f>'Final data_for_R_analysis_Dryse'!B97</f>
        <v>96</v>
      </c>
      <c r="D171" t="s">
        <v>3840</v>
      </c>
      <c r="E171" t="s">
        <v>22</v>
      </c>
      <c r="F171" s="387">
        <v>8</v>
      </c>
      <c r="G171" s="16">
        <f>'Dry_Litterbag Placem_Collection'!E98</f>
        <v>42937</v>
      </c>
      <c r="H171" t="str">
        <f>'Final data_for_R_analysis_Dryse'!J97</f>
        <v>G244</v>
      </c>
      <c r="I171" t="str">
        <f>'Final data_for_R_analysis_Dryse'!J317</f>
        <v>R737</v>
      </c>
      <c r="J171">
        <f>IFERROR(INDEX('Green_rooibos initial weight'!$C$5:$C$1749,MATCH(H171, 'Green_rooibos initial weight'!$A$5:$A$1749,0)),"")</f>
        <v>2.04</v>
      </c>
      <c r="K171">
        <f>IFERROR(INDEX('Green_rooibos initial weight'!$C$5:$C$1749,MATCH(I171, 'Green_rooibos initial weight'!$A$5:$A$1749,0)),"")</f>
        <v>2.222</v>
      </c>
      <c r="L171" s="195">
        <f t="shared" si="17"/>
        <v>1.7902</v>
      </c>
      <c r="M171" s="240">
        <f>AVERAGE(Ashed_controlls!$K$1:$K$11)</f>
        <v>5.5147656768714146</v>
      </c>
      <c r="N171" s="195">
        <f t="shared" si="12"/>
        <v>1.691474664852648</v>
      </c>
      <c r="O171" s="195">
        <f t="shared" si="18"/>
        <v>1.9722</v>
      </c>
      <c r="P171" s="240">
        <f>AVERAGE(Ashed_controlls!$K$12:$K$14)</f>
        <v>2.2816647271287041</v>
      </c>
      <c r="Q171" s="195">
        <f t="shared" si="13"/>
        <v>1.9272010082515676</v>
      </c>
      <c r="R171" s="16">
        <f>IF('Dry_Litterbag Placem_Collection'!G98="N.A","",'Dry_Litterbag Placem_Collection'!G98)</f>
        <v>43006</v>
      </c>
      <c r="S171" s="195">
        <f>IF(IFERROR(INDEX('Both teabags AfterDry'!$D$1:$D$839,MATCH(H171,'Both teabags AfterDry'!$A$1:$A$839,0)),"")="N.A","",(IFERROR(INDEX('Both teabags AfterDry'!$D$1:$D$839,MATCH(H171,'Both teabags AfterDry'!$A$1:$A$839,0)),"")))</f>
        <v>1.8649</v>
      </c>
      <c r="T171" s="195">
        <f>IF(IFERROR(INDEX('Both teabags AfterDry'!$D$1:$D$839,MATCH(I171,'Both teabags AfterDry'!$A$1:$A$839,0)),"")="N.A","",(IFERROR(INDEX('Both teabags AfterDry'!$D$1:$D$839,MATCH(I171,'Both teabags AfterDry'!$A$1:$A$839,0)),"")))</f>
        <v>1.9686999999999999</v>
      </c>
      <c r="U171" s="195">
        <f t="shared" si="19"/>
        <v>1.7142999999999999</v>
      </c>
      <c r="V171" s="195">
        <f t="shared" si="19"/>
        <v>1.8180999999999998</v>
      </c>
      <c r="W171" s="195">
        <f>IFERROR(INDEX('Ashed teabags dry'!$K$2:$K$821,MATCH(H171,'Ashed teabags dry'!$A$2:$A$821,0)),"")</f>
        <v>5.8795180722893514</v>
      </c>
      <c r="X171" s="195">
        <f>IFERROR(INDEX('Ashed teabags dry'!$K$2:$K$821,MATCH(I171,'Ashed teabags dry'!$A$2:$A$821,0)),"")</f>
        <v>3.1531531531539305</v>
      </c>
      <c r="Y171" s="195">
        <f t="shared" si="14"/>
        <v>1.6135074216867435</v>
      </c>
      <c r="Z171" s="195">
        <f t="shared" si="14"/>
        <v>1.7607725225225082</v>
      </c>
      <c r="AA171" s="195">
        <f t="shared" si="20"/>
        <v>4.6094242370870231E-2</v>
      </c>
      <c r="AB171" s="195">
        <f t="shared" si="21"/>
        <v>3.0218553193254619E-2</v>
      </c>
      <c r="AC171" s="195">
        <f t="shared" si="15"/>
        <v>0.91364238342732607</v>
      </c>
      <c r="AD171">
        <f t="shared" si="16"/>
        <v>69</v>
      </c>
      <c r="AE171" s="195">
        <f t="shared" si="22"/>
        <v>0.94525624421511845</v>
      </c>
      <c r="AF171" s="195" t="str">
        <f t="shared" si="23"/>
        <v/>
      </c>
      <c r="AG171" s="255" t="str">
        <f>IF(ISNUMBER(SEARCH("C", 'Dry_Litterbag Placem_Collection'!AB98)),"YES","NO")</f>
        <v>NO</v>
      </c>
      <c r="AH171" s="255" t="str">
        <f>IF(ISNUMBER(SEARCH("H", 'Dry_Litterbag Placem_Collection'!AB98)),"YES","NO")</f>
        <v>NO</v>
      </c>
      <c r="AI171" s="255" t="str">
        <f>IF(ISNUMBER(SEARCH("R", 'Dry_Litterbag Placem_Collection'!AB98)),"YES","NO")</f>
        <v>NO</v>
      </c>
      <c r="AJ171" s="255" t="str">
        <f>IF(ISNUMBER(SEARCH("C", 'Dry_Litterbag Placem_Collection'!AA98)),"YES","NO")</f>
        <v>NO</v>
      </c>
      <c r="AK171" s="255" t="str">
        <f>IF(ISNUMBER(SEARCH("H", 'Dry_Litterbag Placem_Collection'!AA98)),"YES","NO")</f>
        <v>NO</v>
      </c>
      <c r="AL171" s="255" t="str">
        <f>IF(ISNUMBER(SEARCH("R", 'Dry_Litterbag Placem_Collection'!AA98)),"YES","NO")</f>
        <v>NO</v>
      </c>
      <c r="AR171" t="s">
        <v>1806</v>
      </c>
      <c r="AT171" t="s">
        <v>402</v>
      </c>
    </row>
    <row r="172" spans="2:46">
      <c r="B172" t="str">
        <f>'Final data_for_R_analysis_Dryse'!A98</f>
        <v>Dry</v>
      </c>
      <c r="C172" s="263">
        <f>'Final data_for_R_analysis_Dryse'!B98</f>
        <v>97</v>
      </c>
      <c r="D172" t="s">
        <v>3841</v>
      </c>
      <c r="E172" t="s">
        <v>22</v>
      </c>
      <c r="F172" s="386">
        <v>1</v>
      </c>
      <c r="G172" s="16">
        <f>'Dry_Litterbag Placem_Collection'!E99</f>
        <v>42939</v>
      </c>
      <c r="H172" t="str">
        <f>'Final data_for_R_analysis_Dryse'!J98</f>
        <v>G432</v>
      </c>
      <c r="I172" t="str">
        <f>'Final data_for_R_analysis_Dryse'!J318</f>
        <v>R801</v>
      </c>
      <c r="J172">
        <f>IFERROR(INDEX('Green_rooibos initial weight'!$C$5:$C$1749,MATCH(H172, 'Green_rooibos initial weight'!$A$5:$A$1749,0)),"")</f>
        <v>2.0659999999999998</v>
      </c>
      <c r="K172">
        <f>IFERROR(INDEX('Green_rooibos initial weight'!$C$5:$C$1749,MATCH(I172, 'Green_rooibos initial weight'!$A$5:$A$1749,0)),"")</f>
        <v>2.17</v>
      </c>
      <c r="L172" s="195">
        <f t="shared" si="17"/>
        <v>1.8161999999999998</v>
      </c>
      <c r="M172" s="240">
        <f>AVERAGE(Ashed_controlls!$K$1:$K$11)</f>
        <v>5.5147656768714146</v>
      </c>
      <c r="N172" s="195">
        <f t="shared" si="12"/>
        <v>1.7160408257766613</v>
      </c>
      <c r="O172" s="195">
        <f t="shared" si="18"/>
        <v>1.9201999999999999</v>
      </c>
      <c r="P172" s="240">
        <f>AVERAGE(Ashed_controlls!$K$12:$K$14)</f>
        <v>2.2816647271287041</v>
      </c>
      <c r="Q172" s="195">
        <f t="shared" si="13"/>
        <v>1.8763874739096746</v>
      </c>
      <c r="R172" s="16">
        <f>IF('Dry_Litterbag Placem_Collection'!G99="N.A","",'Dry_Litterbag Placem_Collection'!G99)</f>
        <v>43010</v>
      </c>
      <c r="S172" s="195" t="str">
        <f>IF(IFERROR(INDEX('Both teabags AfterDry'!$D$1:$D$839,MATCH(H172,'Both teabags AfterDry'!$A$1:$A$839,0)),"")="N.A","",(IFERROR(INDEX('Both teabags AfterDry'!$D$1:$D$839,MATCH(H172,'Both teabags AfterDry'!$A$1:$A$839,0)),"")))</f>
        <v/>
      </c>
      <c r="T172" s="195" t="str">
        <f>IF(IFERROR(INDEX('Both teabags AfterDry'!$D$1:$D$839,MATCH(I172,'Both teabags AfterDry'!$A$1:$A$839,0)),"")="N.A","",(IFERROR(INDEX('Both teabags AfterDry'!$D$1:$D$839,MATCH(I172,'Both teabags AfterDry'!$A$1:$A$839,0)),"")))</f>
        <v/>
      </c>
      <c r="U172" s="195" t="str">
        <f t="shared" si="19"/>
        <v/>
      </c>
      <c r="V172" s="195" t="str">
        <f t="shared" si="19"/>
        <v/>
      </c>
      <c r="W172" s="195" t="str">
        <f>IFERROR(INDEX('Ashed teabags dry'!$K$2:$K$821,MATCH(H172,'Ashed teabags dry'!$A$2:$A$821,0)),"")</f>
        <v/>
      </c>
      <c r="X172" s="195" t="str">
        <f>IFERROR(INDEX('Ashed teabags dry'!$K$2:$K$821,MATCH(I172,'Ashed teabags dry'!$A$2:$A$821,0)),"")</f>
        <v/>
      </c>
      <c r="Y172" s="195" t="str">
        <f t="shared" si="14"/>
        <v/>
      </c>
      <c r="Z172" s="195" t="str">
        <f t="shared" si="14"/>
        <v/>
      </c>
      <c r="AA172" s="195" t="str">
        <f t="shared" si="20"/>
        <v/>
      </c>
      <c r="AB172" s="195" t="str">
        <f t="shared" si="21"/>
        <v/>
      </c>
      <c r="AC172" s="195" t="str">
        <f t="shared" si="15"/>
        <v/>
      </c>
      <c r="AD172">
        <f t="shared" si="16"/>
        <v>71</v>
      </c>
      <c r="AE172" s="195" t="str">
        <f t="shared" si="22"/>
        <v/>
      </c>
      <c r="AF172" s="195" t="str">
        <f t="shared" si="23"/>
        <v/>
      </c>
      <c r="AG172" s="255" t="str">
        <f>IF(ISNUMBER(SEARCH("C", 'Dry_Litterbag Placem_Collection'!AB99)),"YES","NO")</f>
        <v>NO</v>
      </c>
      <c r="AH172" s="255" t="str">
        <f>IF(ISNUMBER(SEARCH("H", 'Dry_Litterbag Placem_Collection'!AB99)),"YES","NO")</f>
        <v>NO</v>
      </c>
      <c r="AI172" s="255" t="str">
        <f>IF(ISNUMBER(SEARCH("R", 'Dry_Litterbag Placem_Collection'!AB99)),"YES","NO")</f>
        <v>NO</v>
      </c>
      <c r="AJ172" s="255" t="str">
        <f>IF(ISNUMBER(SEARCH("C", 'Dry_Litterbag Placem_Collection'!AA99)),"YES","NO")</f>
        <v>NO</v>
      </c>
      <c r="AK172" s="255" t="str">
        <f>IF(ISNUMBER(SEARCH("H", 'Dry_Litterbag Placem_Collection'!AA99)),"YES","NO")</f>
        <v>NO</v>
      </c>
      <c r="AL172" s="255" t="str">
        <f>IF(ISNUMBER(SEARCH("R", 'Dry_Litterbag Placem_Collection'!AA99)),"YES","NO")</f>
        <v>NO</v>
      </c>
      <c r="AR172" t="s">
        <v>1618</v>
      </c>
      <c r="AT172" t="s">
        <v>338</v>
      </c>
    </row>
    <row r="173" spans="2:46">
      <c r="B173" t="str">
        <f>'Final data_for_R_analysis_Dryse'!A99</f>
        <v>Dry</v>
      </c>
      <c r="C173" s="263">
        <f>'Final data_for_R_analysis_Dryse'!B99</f>
        <v>98</v>
      </c>
      <c r="D173" t="s">
        <v>3841</v>
      </c>
      <c r="E173" t="s">
        <v>22</v>
      </c>
      <c r="F173" s="386">
        <v>2</v>
      </c>
      <c r="G173" s="16">
        <f>'Dry_Litterbag Placem_Collection'!E100</f>
        <v>42939</v>
      </c>
      <c r="H173" t="str">
        <f>'Final data_for_R_analysis_Dryse'!J99</f>
        <v>G184</v>
      </c>
      <c r="I173" t="str">
        <f>'Final data_for_R_analysis_Dryse'!J319</f>
        <v>R808</v>
      </c>
      <c r="J173">
        <f>IFERROR(INDEX('Green_rooibos initial weight'!$C$5:$C$1749,MATCH(H173, 'Green_rooibos initial weight'!$A$5:$A$1749,0)),"")</f>
        <v>1.925</v>
      </c>
      <c r="K173">
        <f>IFERROR(INDEX('Green_rooibos initial weight'!$C$5:$C$1749,MATCH(I173, 'Green_rooibos initial weight'!$A$5:$A$1749,0)),"")</f>
        <v>2.2309999999999999</v>
      </c>
      <c r="L173" s="195">
        <f t="shared" si="17"/>
        <v>1.6752</v>
      </c>
      <c r="M173" s="240">
        <f>AVERAGE(Ashed_controlls!$K$1:$K$11)</f>
        <v>5.5147656768714146</v>
      </c>
      <c r="N173" s="195">
        <f t="shared" si="12"/>
        <v>1.5828166453810502</v>
      </c>
      <c r="O173" s="195">
        <f t="shared" si="18"/>
        <v>1.9811999999999999</v>
      </c>
      <c r="P173" s="240">
        <f>AVERAGE(Ashed_controlls!$K$12:$K$14)</f>
        <v>2.2816647271287041</v>
      </c>
      <c r="Q173" s="195">
        <f t="shared" si="13"/>
        <v>1.935995658426126</v>
      </c>
      <c r="R173" s="16">
        <f>IF('Dry_Litterbag Placem_Collection'!G100="N.A","",'Dry_Litterbag Placem_Collection'!G100)</f>
        <v>43010</v>
      </c>
      <c r="S173" s="195">
        <f>IF(IFERROR(INDEX('Both teabags AfterDry'!$D$1:$D$839,MATCH(H173,'Both teabags AfterDry'!$A$1:$A$839,0)),"")="N.A","",(IFERROR(INDEX('Both teabags AfterDry'!$D$1:$D$839,MATCH(H173,'Both teabags AfterDry'!$A$1:$A$839,0)),"")))</f>
        <v>0.99180000000000001</v>
      </c>
      <c r="T173" s="195">
        <f>IF(IFERROR(INDEX('Both teabags AfterDry'!$D$1:$D$839,MATCH(I173,'Both teabags AfterDry'!$A$1:$A$839,0)),"")="N.A","",(IFERROR(INDEX('Both teabags AfterDry'!$D$1:$D$839,MATCH(I173,'Both teabags AfterDry'!$A$1:$A$839,0)),"")))</f>
        <v>0</v>
      </c>
      <c r="U173" s="195">
        <f t="shared" si="19"/>
        <v>0.84119999999999995</v>
      </c>
      <c r="V173" s="195" t="str">
        <f t="shared" si="19"/>
        <v/>
      </c>
      <c r="W173" s="195">
        <f>IFERROR(INDEX('Ashed teabags dry'!$K$2:$K$821,MATCH(H173,'Ashed teabags dry'!$A$2:$A$821,0)),"")</f>
        <v>12.153918348193013</v>
      </c>
      <c r="X173" s="195" t="str">
        <f>IFERROR(INDEX('Ashed teabags dry'!$K$2:$K$821,MATCH(I173,'Ashed teabags dry'!$A$2:$A$821,0)),"")</f>
        <v/>
      </c>
      <c r="Y173" s="195">
        <f t="shared" si="14"/>
        <v>0.73896123885500031</v>
      </c>
      <c r="Z173" s="195" t="str">
        <f t="shared" si="14"/>
        <v/>
      </c>
      <c r="AA173" s="195">
        <f t="shared" si="20"/>
        <v>0.53313528701418134</v>
      </c>
      <c r="AB173" s="195">
        <f t="shared" si="21"/>
        <v>0.34951386987152983</v>
      </c>
      <c r="AC173" s="195" t="str">
        <f t="shared" si="15"/>
        <v/>
      </c>
      <c r="AD173">
        <f t="shared" si="16"/>
        <v>71</v>
      </c>
      <c r="AE173" s="195">
        <f t="shared" si="22"/>
        <v>0.3668226995080982</v>
      </c>
      <c r="AF173" s="195" t="str">
        <f t="shared" si="23"/>
        <v/>
      </c>
      <c r="AG173" s="255" t="str">
        <f>IF(ISNUMBER(SEARCH("C", 'Dry_Litterbag Placem_Collection'!AB100)),"YES","NO")</f>
        <v>NO</v>
      </c>
      <c r="AH173" s="255" t="str">
        <f>IF(ISNUMBER(SEARCH("H", 'Dry_Litterbag Placem_Collection'!AB100)),"YES","NO")</f>
        <v>NO</v>
      </c>
      <c r="AI173" s="255" t="str">
        <f>IF(ISNUMBER(SEARCH("R", 'Dry_Litterbag Placem_Collection'!AB100)),"YES","NO")</f>
        <v>NO</v>
      </c>
      <c r="AJ173" s="255" t="str">
        <f>IF(ISNUMBER(SEARCH("C", 'Dry_Litterbag Placem_Collection'!AA100)),"YES","NO")</f>
        <v>NO</v>
      </c>
      <c r="AK173" s="255" t="str">
        <f>IF(ISNUMBER(SEARCH("H", 'Dry_Litterbag Placem_Collection'!AA100)),"YES","NO")</f>
        <v>NO</v>
      </c>
      <c r="AL173" s="255" t="str">
        <f>IF(ISNUMBER(SEARCH("R", 'Dry_Litterbag Placem_Collection'!AA100)),"YES","NO")</f>
        <v>NO</v>
      </c>
      <c r="AR173" t="s">
        <v>1866</v>
      </c>
      <c r="AT173" t="s">
        <v>331</v>
      </c>
    </row>
    <row r="174" spans="2:46">
      <c r="B174" t="str">
        <f>'Final data_for_R_analysis_Dryse'!A100</f>
        <v>Dry</v>
      </c>
      <c r="C174" s="263">
        <f>'Final data_for_R_analysis_Dryse'!B100</f>
        <v>99</v>
      </c>
      <c r="D174" t="s">
        <v>3841</v>
      </c>
      <c r="E174" t="s">
        <v>22</v>
      </c>
      <c r="F174" s="386">
        <v>3</v>
      </c>
      <c r="G174" s="16">
        <f>'Dry_Litterbag Placem_Collection'!E101</f>
        <v>0</v>
      </c>
      <c r="H174" t="str">
        <f>'Final data_for_R_analysis_Dryse'!J100</f>
        <v/>
      </c>
      <c r="I174" t="str">
        <f>'Final data_for_R_analysis_Dryse'!J320</f>
        <v/>
      </c>
      <c r="J174" t="str">
        <f>IFERROR(INDEX('Green_rooibos initial weight'!$C$5:$C$1749,MATCH(H174, 'Green_rooibos initial weight'!$A$5:$A$1749,0)),"")</f>
        <v/>
      </c>
      <c r="K174" t="str">
        <f>IFERROR(INDEX('Green_rooibos initial weight'!$C$5:$C$1749,MATCH(I174, 'Green_rooibos initial weight'!$A$5:$A$1749,0)),"")</f>
        <v/>
      </c>
      <c r="L174" s="195" t="str">
        <f t="shared" si="17"/>
        <v/>
      </c>
      <c r="M174" s="240">
        <f>AVERAGE(Ashed_controlls!$K$1:$K$11)</f>
        <v>5.5147656768714146</v>
      </c>
      <c r="N174" s="195" t="str">
        <f t="shared" si="12"/>
        <v/>
      </c>
      <c r="O174" s="195" t="str">
        <f t="shared" si="18"/>
        <v/>
      </c>
      <c r="P174" s="240">
        <f>AVERAGE(Ashed_controlls!$K$12:$K$14)</f>
        <v>2.2816647271287041</v>
      </c>
      <c r="Q174" s="195" t="str">
        <f t="shared" si="13"/>
        <v/>
      </c>
      <c r="R174" s="16">
        <f>IF('Dry_Litterbag Placem_Collection'!G101="N.A","",'Dry_Litterbag Placem_Collection'!G101)</f>
        <v>0</v>
      </c>
      <c r="S174" s="195" t="str">
        <f>IF(IFERROR(INDEX('Both teabags AfterDry'!$D$1:$D$839,MATCH(H174,'Both teabags AfterDry'!$A$1:$A$839,0)),"")="N.A","",(IFERROR(INDEX('Both teabags AfterDry'!$D$1:$D$839,MATCH(H174,'Both teabags AfterDry'!$A$1:$A$839,0)),"")))</f>
        <v/>
      </c>
      <c r="T174" s="195" t="str">
        <f>IF(IFERROR(INDEX('Both teabags AfterDry'!$D$1:$D$839,MATCH(I174,'Both teabags AfterDry'!$A$1:$A$839,0)),"")="N.A","",(IFERROR(INDEX('Both teabags AfterDry'!$D$1:$D$839,MATCH(I174,'Both teabags AfterDry'!$A$1:$A$839,0)),"")))</f>
        <v/>
      </c>
      <c r="U174" s="195" t="str">
        <f t="shared" si="19"/>
        <v/>
      </c>
      <c r="V174" s="195" t="str">
        <f t="shared" si="19"/>
        <v/>
      </c>
      <c r="W174" s="195" t="str">
        <f>IFERROR(INDEX('Ashed teabags dry'!$K$2:$K$821,MATCH(H174,'Ashed teabags dry'!$A$2:$A$821,0)),"")</f>
        <v/>
      </c>
      <c r="X174" s="195" t="str">
        <f>IFERROR(INDEX('Ashed teabags dry'!$K$2:$K$821,MATCH(I174,'Ashed teabags dry'!$A$2:$A$821,0)),"")</f>
        <v/>
      </c>
      <c r="Y174" s="195" t="str">
        <f t="shared" si="14"/>
        <v/>
      </c>
      <c r="Z174" s="195" t="str">
        <f t="shared" si="14"/>
        <v/>
      </c>
      <c r="AA174" s="195" t="str">
        <f t="shared" si="20"/>
        <v/>
      </c>
      <c r="AB174" s="195" t="str">
        <f t="shared" si="21"/>
        <v/>
      </c>
      <c r="AC174" s="195" t="str">
        <f t="shared" si="15"/>
        <v/>
      </c>
      <c r="AD174" t="str">
        <f t="shared" si="16"/>
        <v/>
      </c>
      <c r="AE174" s="195" t="str">
        <f t="shared" si="22"/>
        <v/>
      </c>
      <c r="AF174" s="195" t="str">
        <f t="shared" si="23"/>
        <v/>
      </c>
      <c r="AG174" s="255" t="str">
        <f>IF(ISNUMBER(SEARCH("C", 'Dry_Litterbag Placem_Collection'!AB101)),"YES","NO")</f>
        <v>NO</v>
      </c>
      <c r="AH174" s="255" t="str">
        <f>IF(ISNUMBER(SEARCH("H", 'Dry_Litterbag Placem_Collection'!AB101)),"YES","NO")</f>
        <v>NO</v>
      </c>
      <c r="AI174" s="255" t="str">
        <f>IF(ISNUMBER(SEARCH("R", 'Dry_Litterbag Placem_Collection'!AB101)),"YES","NO")</f>
        <v>NO</v>
      </c>
      <c r="AJ174" s="255" t="str">
        <f>IF(ISNUMBER(SEARCH("C", 'Dry_Litterbag Placem_Collection'!AA101)),"YES","NO")</f>
        <v>NO</v>
      </c>
      <c r="AK174" s="255" t="str">
        <f>IF(ISNUMBER(SEARCH("H", 'Dry_Litterbag Placem_Collection'!AA101)),"YES","NO")</f>
        <v>NO</v>
      </c>
      <c r="AL174" s="255" t="str">
        <f>IF(ISNUMBER(SEARCH("R", 'Dry_Litterbag Placem_Collection'!AA101)),"YES","NO")</f>
        <v>NO</v>
      </c>
      <c r="AR174" t="s">
        <v>3654</v>
      </c>
      <c r="AT174" t="s">
        <v>3654</v>
      </c>
    </row>
    <row r="175" spans="2:46">
      <c r="B175" t="str">
        <f>'Final data_for_R_analysis_Dryse'!A101</f>
        <v>Dry</v>
      </c>
      <c r="C175" s="263">
        <f>'Final data_for_R_analysis_Dryse'!B101</f>
        <v>100</v>
      </c>
      <c r="D175" t="s">
        <v>3841</v>
      </c>
      <c r="E175" t="s">
        <v>22</v>
      </c>
      <c r="F175" s="387">
        <v>4</v>
      </c>
      <c r="G175" s="16">
        <f>'Dry_Litterbag Placem_Collection'!E102</f>
        <v>42939</v>
      </c>
      <c r="H175" t="str">
        <f>'Final data_for_R_analysis_Dryse'!J101</f>
        <v>G176</v>
      </c>
      <c r="I175" t="str">
        <f>'Final data_for_R_analysis_Dryse'!J321</f>
        <v>R276</v>
      </c>
      <c r="J175">
        <f>IFERROR(INDEX('Green_rooibos initial weight'!$C$5:$C$1749,MATCH(H175, 'Green_rooibos initial weight'!$A$5:$A$1749,0)),"")</f>
        <v>2.0590000000000002</v>
      </c>
      <c r="K175">
        <f>IFERROR(INDEX('Green_rooibos initial weight'!$C$5:$C$1749,MATCH(I175, 'Green_rooibos initial weight'!$A$5:$A$1749,0)),"")</f>
        <v>2.1930000000000001</v>
      </c>
      <c r="L175" s="195">
        <f t="shared" si="17"/>
        <v>1.8092000000000001</v>
      </c>
      <c r="M175" s="240">
        <f>AVERAGE(Ashed_controlls!$K$1:$K$11)</f>
        <v>5.5147656768714146</v>
      </c>
      <c r="N175" s="195">
        <f t="shared" si="12"/>
        <v>1.7094268593740425</v>
      </c>
      <c r="O175" s="195">
        <f t="shared" si="18"/>
        <v>1.9432</v>
      </c>
      <c r="P175" s="240">
        <f>AVERAGE(Ashed_controlls!$K$12:$K$14)</f>
        <v>2.2816647271287041</v>
      </c>
      <c r="Q175" s="195">
        <f t="shared" si="13"/>
        <v>1.8988626910224351</v>
      </c>
      <c r="R175" s="16">
        <f>IF('Dry_Litterbag Placem_Collection'!G102="N.A","",'Dry_Litterbag Placem_Collection'!G102)</f>
        <v>43010</v>
      </c>
      <c r="S175" s="195">
        <f>IF(IFERROR(INDEX('Both teabags AfterDry'!$D$1:$D$839,MATCH(H175,'Both teabags AfterDry'!$A$1:$A$839,0)),"")="N.A","",(IFERROR(INDEX('Both teabags AfterDry'!$D$1:$D$839,MATCH(H175,'Both teabags AfterDry'!$A$1:$A$839,0)),"")))</f>
        <v>1.3146</v>
      </c>
      <c r="T175" s="195">
        <f>IF(IFERROR(INDEX('Both teabags AfterDry'!$D$1:$D$839,MATCH(I175,'Both teabags AfterDry'!$A$1:$A$839,0)),"")="N.A","",(IFERROR(INDEX('Both teabags AfterDry'!$D$1:$D$839,MATCH(I175,'Both teabags AfterDry'!$A$1:$A$839,0)),"")))</f>
        <v>1.4581</v>
      </c>
      <c r="U175" s="195">
        <f t="shared" si="19"/>
        <v>1.1639999999999999</v>
      </c>
      <c r="V175" s="195">
        <f t="shared" si="19"/>
        <v>1.3074999999999999</v>
      </c>
      <c r="W175" s="195">
        <f>IFERROR(INDEX('Ashed teabags dry'!$K$2:$K$821,MATCH(H175,'Ashed teabags dry'!$A$2:$A$821,0)),"")</f>
        <v>14.190157668418236</v>
      </c>
      <c r="X175" s="195">
        <f>IFERROR(INDEX('Ashed teabags dry'!$K$2:$K$821,MATCH(I175,'Ashed teabags dry'!$A$2:$A$821,0)),"")</f>
        <v>88.392857142857224</v>
      </c>
      <c r="Y175" s="195">
        <f t="shared" si="14"/>
        <v>0.99882656473961173</v>
      </c>
      <c r="Z175" s="195">
        <f t="shared" si="14"/>
        <v>0.1517633928571418</v>
      </c>
      <c r="AA175" s="195">
        <f t="shared" si="20"/>
        <v>0.4156950563504298</v>
      </c>
      <c r="AB175" s="195">
        <f t="shared" si="21"/>
        <v>0.27252217470954548</v>
      </c>
      <c r="AC175" s="195">
        <f t="shared" si="15"/>
        <v>7.9923310713649026E-2</v>
      </c>
      <c r="AD175">
        <f t="shared" si="16"/>
        <v>71</v>
      </c>
      <c r="AE175" s="195">
        <f t="shared" si="22"/>
        <v>0.50630040813488142</v>
      </c>
      <c r="AF175" s="195" t="str">
        <f t="shared" si="23"/>
        <v/>
      </c>
      <c r="AG175" s="255" t="str">
        <f>IF(ISNUMBER(SEARCH("C", 'Dry_Litterbag Placem_Collection'!AB102)),"YES","NO")</f>
        <v>NO</v>
      </c>
      <c r="AH175" s="255" t="str">
        <f>IF(ISNUMBER(SEARCH("H", 'Dry_Litterbag Placem_Collection'!AB102)),"YES","NO")</f>
        <v>NO</v>
      </c>
      <c r="AI175" s="255" t="str">
        <f>IF(ISNUMBER(SEARCH("R", 'Dry_Litterbag Placem_Collection'!AB102)),"YES","NO")</f>
        <v>NO</v>
      </c>
      <c r="AJ175" s="255" t="str">
        <f>IF(ISNUMBER(SEARCH("C", 'Dry_Litterbag Placem_Collection'!AA102)),"YES","NO")</f>
        <v>NO</v>
      </c>
      <c r="AK175" s="255" t="str">
        <f>IF(ISNUMBER(SEARCH("H", 'Dry_Litterbag Placem_Collection'!AA102)),"YES","NO")</f>
        <v>NO</v>
      </c>
      <c r="AL175" s="255" t="str">
        <f>IF(ISNUMBER(SEARCH("R", 'Dry_Litterbag Placem_Collection'!AA102)),"YES","NO")</f>
        <v>NO</v>
      </c>
      <c r="AR175" t="s">
        <v>1874</v>
      </c>
      <c r="AT175" t="s">
        <v>865</v>
      </c>
    </row>
    <row r="176" spans="2:46">
      <c r="B176" t="str">
        <f>'Final data_for_R_analysis_Dryse'!A102</f>
        <v>Dry</v>
      </c>
      <c r="C176" s="263">
        <f>'Final data_for_R_analysis_Dryse'!B102</f>
        <v>101</v>
      </c>
      <c r="D176" t="s">
        <v>3841</v>
      </c>
      <c r="E176" t="s">
        <v>22</v>
      </c>
      <c r="F176" s="387">
        <v>5</v>
      </c>
      <c r="G176" s="16">
        <f>'Dry_Litterbag Placem_Collection'!E103</f>
        <v>42939</v>
      </c>
      <c r="H176" t="str">
        <f>'Final data_for_R_analysis_Dryse'!J102</f>
        <v>G11</v>
      </c>
      <c r="I176" t="str">
        <f>'Final data_for_R_analysis_Dryse'!J322</f>
        <v>R624</v>
      </c>
      <c r="J176">
        <f>IFERROR(INDEX('Green_rooibos initial weight'!$C$5:$C$1749,MATCH(H176, 'Green_rooibos initial weight'!$A$5:$A$1749,0)),"")</f>
        <v>1.839</v>
      </c>
      <c r="K176">
        <f>IFERROR(INDEX('Green_rooibos initial weight'!$C$5:$C$1749,MATCH(I176, 'Green_rooibos initial weight'!$A$5:$A$1749,0)),"")</f>
        <v>2.0739999999999998</v>
      </c>
      <c r="L176" s="195">
        <f t="shared" si="17"/>
        <v>1.5891999999999999</v>
      </c>
      <c r="M176" s="240">
        <f>AVERAGE(Ashed_controlls!$K$1:$K$11)</f>
        <v>5.5147656768714146</v>
      </c>
      <c r="N176" s="195">
        <f t="shared" si="12"/>
        <v>1.5015593438631594</v>
      </c>
      <c r="O176" s="195">
        <f t="shared" si="18"/>
        <v>1.8241999999999998</v>
      </c>
      <c r="P176" s="240">
        <f>AVERAGE(Ashed_controlls!$K$12:$K$14)</f>
        <v>2.2816647271287041</v>
      </c>
      <c r="Q176" s="195">
        <f t="shared" si="13"/>
        <v>1.7825778720477179</v>
      </c>
      <c r="R176" s="16">
        <f>IF('Dry_Litterbag Placem_Collection'!G103="N.A","",'Dry_Litterbag Placem_Collection'!G103)</f>
        <v>43010</v>
      </c>
      <c r="S176" s="195">
        <f>IF(IFERROR(INDEX('Both teabags AfterDry'!$D$1:$D$839,MATCH(H176,'Both teabags AfterDry'!$A$1:$A$839,0)),"")="N.A","",(IFERROR(INDEX('Both teabags AfterDry'!$D$1:$D$839,MATCH(H176,'Both teabags AfterDry'!$A$1:$A$839,0)),"")))</f>
        <v>1.0169999999999999</v>
      </c>
      <c r="T176" s="195">
        <f>IF(IFERROR(INDEX('Both teabags AfterDry'!$D$1:$D$839,MATCH(I176,'Both teabags AfterDry'!$A$1:$A$839,0)),"")="N.A","",(IFERROR(INDEX('Both teabags AfterDry'!$D$1:$D$839,MATCH(I176,'Both teabags AfterDry'!$A$1:$A$839,0)),"")))</f>
        <v>0</v>
      </c>
      <c r="U176" s="195">
        <f t="shared" si="19"/>
        <v>0.86639999999999984</v>
      </c>
      <c r="V176" s="195" t="str">
        <f t="shared" si="19"/>
        <v/>
      </c>
      <c r="W176" s="195">
        <f>IFERROR(INDEX('Ashed teabags dry'!$K$2:$K$821,MATCH(H176,'Ashed teabags dry'!$A$2:$A$821,0)),"")</f>
        <v>15.774099318403096</v>
      </c>
      <c r="X176" s="195">
        <f>IFERROR(INDEX('Ashed teabags dry'!$K$2:$K$821,MATCH(I176,'Ashed teabags dry'!$A$2:$A$821,0)),"")</f>
        <v>86.281234688877774</v>
      </c>
      <c r="Y176" s="195">
        <f t="shared" si="14"/>
        <v>0.72973320350535542</v>
      </c>
      <c r="Z176" s="195" t="str">
        <f t="shared" si="14"/>
        <v/>
      </c>
      <c r="AA176" s="195">
        <f t="shared" si="20"/>
        <v>0.51401640801759907</v>
      </c>
      <c r="AB176" s="195">
        <f t="shared" si="21"/>
        <v>0.33697987794027873</v>
      </c>
      <c r="AC176" s="195" t="str">
        <f t="shared" si="15"/>
        <v/>
      </c>
      <c r="AD176">
        <f t="shared" si="16"/>
        <v>71</v>
      </c>
      <c r="AE176" s="195">
        <f t="shared" si="22"/>
        <v>0.38952920662992985</v>
      </c>
      <c r="AF176" s="195" t="str">
        <f t="shared" si="23"/>
        <v/>
      </c>
      <c r="AG176" s="255" t="str">
        <f>IF(ISNUMBER(SEARCH("C", 'Dry_Litterbag Placem_Collection'!AB103)),"YES","NO")</f>
        <v>NO</v>
      </c>
      <c r="AH176" s="255" t="str">
        <f>IF(ISNUMBER(SEARCH("H", 'Dry_Litterbag Placem_Collection'!AB103)),"YES","NO")</f>
        <v>NO</v>
      </c>
      <c r="AI176" s="255" t="str">
        <f>IF(ISNUMBER(SEARCH("R", 'Dry_Litterbag Placem_Collection'!AB103)),"YES","NO")</f>
        <v>NO</v>
      </c>
      <c r="AJ176" s="255" t="str">
        <f>IF(ISNUMBER(SEARCH("C", 'Dry_Litterbag Placem_Collection'!AA103)),"YES","NO")</f>
        <v>NO</v>
      </c>
      <c r="AK176" s="255" t="str">
        <f>IF(ISNUMBER(SEARCH("H", 'Dry_Litterbag Placem_Collection'!AA103)),"YES","NO")</f>
        <v>NO</v>
      </c>
      <c r="AL176" s="255" t="str">
        <f>IF(ISNUMBER(SEARCH("R", 'Dry_Litterbag Placem_Collection'!AA103)),"YES","NO")</f>
        <v>NO</v>
      </c>
      <c r="AR176" t="s">
        <v>2039</v>
      </c>
      <c r="AT176" t="s">
        <v>515</v>
      </c>
    </row>
    <row r="177" spans="2:46">
      <c r="B177" t="str">
        <f>'Final data_for_R_analysis_Dryse'!A103</f>
        <v>Dry</v>
      </c>
      <c r="C177" s="263">
        <f>'Final data_for_R_analysis_Dryse'!B103</f>
        <v>102</v>
      </c>
      <c r="D177" t="s">
        <v>3841</v>
      </c>
      <c r="E177" t="s">
        <v>22</v>
      </c>
      <c r="F177" s="387">
        <v>6</v>
      </c>
      <c r="G177" s="16">
        <f>'Dry_Litterbag Placem_Collection'!E104</f>
        <v>42939</v>
      </c>
      <c r="H177" t="str">
        <f>'Final data_for_R_analysis_Dryse'!J103</f>
        <v>G284</v>
      </c>
      <c r="I177" t="str">
        <f>'Final data_for_R_analysis_Dryse'!J323</f>
        <v>R781</v>
      </c>
      <c r="J177">
        <f>IFERROR(INDEX('Green_rooibos initial weight'!$C$5:$C$1749,MATCH(H177, 'Green_rooibos initial weight'!$A$5:$A$1749,0)),"")</f>
        <v>2.0760000000000001</v>
      </c>
      <c r="K177">
        <f>IFERROR(INDEX('Green_rooibos initial weight'!$C$5:$C$1749,MATCH(I177, 'Green_rooibos initial weight'!$A$5:$A$1749,0)),"")</f>
        <v>2.194</v>
      </c>
      <c r="L177" s="195">
        <f t="shared" si="17"/>
        <v>1.8262</v>
      </c>
      <c r="M177" s="240">
        <f>AVERAGE(Ashed_controlls!$K$1:$K$11)</f>
        <v>5.5147656768714146</v>
      </c>
      <c r="N177" s="195">
        <f t="shared" si="12"/>
        <v>1.7254893492089742</v>
      </c>
      <c r="O177" s="195">
        <f t="shared" si="18"/>
        <v>1.9441999999999999</v>
      </c>
      <c r="P177" s="240">
        <f>AVERAGE(Ashed_controlls!$K$12:$K$14)</f>
        <v>2.2816647271287041</v>
      </c>
      <c r="Q177" s="195">
        <f t="shared" si="13"/>
        <v>1.8998398743751637</v>
      </c>
      <c r="R177" s="16">
        <f>IF('Dry_Litterbag Placem_Collection'!G104="N.A","",'Dry_Litterbag Placem_Collection'!G104)</f>
        <v>43010</v>
      </c>
      <c r="S177" s="195">
        <f>IF(IFERROR(INDEX('Both teabags AfterDry'!$D$1:$D$839,MATCH(H177,'Both teabags AfterDry'!$A$1:$A$839,0)),"")="N.A","",(IFERROR(INDEX('Both teabags AfterDry'!$D$1:$D$839,MATCH(H177,'Both teabags AfterDry'!$A$1:$A$839,0)),"")))</f>
        <v>1.1585000000000001</v>
      </c>
      <c r="T177" s="195">
        <f>IF(IFERROR(INDEX('Both teabags AfterDry'!$D$1:$D$839,MATCH(I177,'Both teabags AfterDry'!$A$1:$A$839,0)),"")="N.A","",(IFERROR(INDEX('Both teabags AfterDry'!$D$1:$D$839,MATCH(I177,'Both teabags AfterDry'!$A$1:$A$839,0)),"")))</f>
        <v>1.8687</v>
      </c>
      <c r="U177" s="195">
        <f t="shared" si="19"/>
        <v>1.0079</v>
      </c>
      <c r="V177" s="195">
        <f t="shared" si="19"/>
        <v>1.7181</v>
      </c>
      <c r="W177" s="195">
        <f>IFERROR(INDEX('Ashed teabags dry'!$K$2:$K$821,MATCH(H177,'Ashed teabags dry'!$A$2:$A$821,0)),"")</f>
        <v>12.200736648250626</v>
      </c>
      <c r="X177" s="195">
        <f>IFERROR(INDEX('Ashed teabags dry'!$K$2:$K$821,MATCH(I177,'Ashed teabags dry'!$A$2:$A$821,0)),"")</f>
        <v>3.9305301645336419</v>
      </c>
      <c r="Y177" s="195">
        <f t="shared" si="14"/>
        <v>0.88492877532228198</v>
      </c>
      <c r="Z177" s="195">
        <f t="shared" si="14"/>
        <v>1.6505695612431475</v>
      </c>
      <c r="AA177" s="195">
        <f t="shared" si="20"/>
        <v>0.48714329895576303</v>
      </c>
      <c r="AB177" s="195">
        <f t="shared" si="21"/>
        <v>0.31936235275959768</v>
      </c>
      <c r="AC177" s="195">
        <f t="shared" si="15"/>
        <v>0.86879404075356692</v>
      </c>
      <c r="AD177">
        <f t="shared" si="16"/>
        <v>71</v>
      </c>
      <c r="AE177" s="195">
        <f t="shared" si="22"/>
        <v>0.42144501311667093</v>
      </c>
      <c r="AF177" s="195">
        <f t="shared" si="23"/>
        <v>7.4514487719086605E-3</v>
      </c>
      <c r="AG177" s="255" t="str">
        <f>IF(ISNUMBER(SEARCH("C", 'Dry_Litterbag Placem_Collection'!AB104)),"YES","NO")</f>
        <v>NO</v>
      </c>
      <c r="AH177" s="255" t="str">
        <f>IF(ISNUMBER(SEARCH("H", 'Dry_Litterbag Placem_Collection'!AB104)),"YES","NO")</f>
        <v>NO</v>
      </c>
      <c r="AI177" s="255" t="str">
        <f>IF(ISNUMBER(SEARCH("R", 'Dry_Litterbag Placem_Collection'!AB104)),"YES","NO")</f>
        <v>NO</v>
      </c>
      <c r="AJ177" s="255" t="str">
        <f>IF(ISNUMBER(SEARCH("C", 'Dry_Litterbag Placem_Collection'!AA104)),"YES","NO")</f>
        <v>NO</v>
      </c>
      <c r="AK177" s="255" t="str">
        <f>IF(ISNUMBER(SEARCH("H", 'Dry_Litterbag Placem_Collection'!AA104)),"YES","NO")</f>
        <v>NO</v>
      </c>
      <c r="AL177" s="255" t="str">
        <f>IF(ISNUMBER(SEARCH("R", 'Dry_Litterbag Placem_Collection'!AA104)),"YES","NO")</f>
        <v>NO</v>
      </c>
      <c r="AR177" t="s">
        <v>1766</v>
      </c>
      <c r="AT177" t="s">
        <v>358</v>
      </c>
    </row>
    <row r="178" spans="2:46">
      <c r="B178" t="str">
        <f>'Final data_for_R_analysis_Dryse'!A104</f>
        <v>Dry</v>
      </c>
      <c r="C178" s="263">
        <f>'Final data_for_R_analysis_Dryse'!B104</f>
        <v>103</v>
      </c>
      <c r="D178" t="s">
        <v>3841</v>
      </c>
      <c r="E178" t="s">
        <v>22</v>
      </c>
      <c r="F178" s="387">
        <v>7</v>
      </c>
      <c r="G178" s="16">
        <f>'Dry_Litterbag Placem_Collection'!E105</f>
        <v>42939</v>
      </c>
      <c r="H178" t="str">
        <f>'Final data_for_R_analysis_Dryse'!J104</f>
        <v>G326</v>
      </c>
      <c r="I178" t="str">
        <f>'Final data_for_R_analysis_Dryse'!J324</f>
        <v>R772</v>
      </c>
      <c r="J178">
        <f>IFERROR(INDEX('Green_rooibos initial weight'!$C$5:$C$1749,MATCH(H178, 'Green_rooibos initial weight'!$A$5:$A$1749,0)),"")</f>
        <v>2.04</v>
      </c>
      <c r="K178">
        <f>IFERROR(INDEX('Green_rooibos initial weight'!$C$5:$C$1749,MATCH(I178, 'Green_rooibos initial weight'!$A$5:$A$1749,0)),"")</f>
        <v>2.1909999999999998</v>
      </c>
      <c r="L178" s="195">
        <f t="shared" si="17"/>
        <v>1.7902</v>
      </c>
      <c r="M178" s="240">
        <f>AVERAGE(Ashed_controlls!$K$1:$K$11)</f>
        <v>5.5147656768714146</v>
      </c>
      <c r="N178" s="195">
        <f t="shared" si="12"/>
        <v>1.691474664852648</v>
      </c>
      <c r="O178" s="195">
        <f t="shared" si="18"/>
        <v>1.9411999999999998</v>
      </c>
      <c r="P178" s="240">
        <f>AVERAGE(Ashed_controlls!$K$12:$K$14)</f>
        <v>2.2816647271287041</v>
      </c>
      <c r="Q178" s="195">
        <f t="shared" si="13"/>
        <v>1.8969083243169773</v>
      </c>
      <c r="R178" s="16">
        <f>IF('Dry_Litterbag Placem_Collection'!G105="N.A","",'Dry_Litterbag Placem_Collection'!G105)</f>
        <v>43010</v>
      </c>
      <c r="S178" s="195">
        <f>IF(IFERROR(INDEX('Both teabags AfterDry'!$D$1:$D$839,MATCH(H178,'Both teabags AfterDry'!$A$1:$A$839,0)),"")="N.A","",(IFERROR(INDEX('Both teabags AfterDry'!$D$1:$D$839,MATCH(H178,'Both teabags AfterDry'!$A$1:$A$839,0)),"")))</f>
        <v>1.0625</v>
      </c>
      <c r="T178" s="195">
        <f>IF(IFERROR(INDEX('Both teabags AfterDry'!$D$1:$D$839,MATCH(I178,'Both teabags AfterDry'!$A$1:$A$839,0)),"")="N.A","",(IFERROR(INDEX('Both teabags AfterDry'!$D$1:$D$839,MATCH(I178,'Both teabags AfterDry'!$A$1:$A$839,0)),"")))</f>
        <v>1.5579000000000001</v>
      </c>
      <c r="U178" s="195">
        <f t="shared" si="19"/>
        <v>0.91189999999999993</v>
      </c>
      <c r="V178" s="195">
        <f t="shared" si="19"/>
        <v>1.4073</v>
      </c>
      <c r="W178" s="195">
        <f>IFERROR(INDEX('Ashed teabags dry'!$K$2:$K$821,MATCH(H178,'Ashed teabags dry'!$A$2:$A$821,0)),"")</f>
        <v>16.846473029045587</v>
      </c>
      <c r="X178" s="195">
        <f>IFERROR(INDEX('Ashed teabags dry'!$K$2:$K$821,MATCH(I178,'Ashed teabags dry'!$A$2:$A$821,0)),"")</f>
        <v>79.426490669094463</v>
      </c>
      <c r="Y178" s="195">
        <f t="shared" si="14"/>
        <v>0.75827701244813328</v>
      </c>
      <c r="Z178" s="195">
        <f t="shared" si="14"/>
        <v>0.28953099681383354</v>
      </c>
      <c r="AA178" s="195">
        <f t="shared" si="20"/>
        <v>0.55170655038206551</v>
      </c>
      <c r="AB178" s="195">
        <f t="shared" si="21"/>
        <v>0.36168885488230429</v>
      </c>
      <c r="AC178" s="195">
        <f t="shared" si="15"/>
        <v>0.15263309939771888</v>
      </c>
      <c r="AD178">
        <f t="shared" si="16"/>
        <v>71</v>
      </c>
      <c r="AE178" s="195">
        <f t="shared" si="22"/>
        <v>0.34476656724220245</v>
      </c>
      <c r="AF178" s="195" t="str">
        <f t="shared" si="23"/>
        <v/>
      </c>
      <c r="AG178" s="255" t="str">
        <f>IF(ISNUMBER(SEARCH("C", 'Dry_Litterbag Placem_Collection'!AB105)),"YES","NO")</f>
        <v>NO</v>
      </c>
      <c r="AH178" s="255" t="str">
        <f>IF(ISNUMBER(SEARCH("H", 'Dry_Litterbag Placem_Collection'!AB105)),"YES","NO")</f>
        <v>NO</v>
      </c>
      <c r="AI178" s="255" t="str">
        <f>IF(ISNUMBER(SEARCH("R", 'Dry_Litterbag Placem_Collection'!AB105)),"YES","NO")</f>
        <v>NO</v>
      </c>
      <c r="AJ178" s="255" t="str">
        <f>IF(ISNUMBER(SEARCH("C", 'Dry_Litterbag Placem_Collection'!AA105)),"YES","NO")</f>
        <v>NO</v>
      </c>
      <c r="AK178" s="255" t="str">
        <f>IF(ISNUMBER(SEARCH("H", 'Dry_Litterbag Placem_Collection'!AA105)),"YES","NO")</f>
        <v>NO</v>
      </c>
      <c r="AL178" s="255" t="str">
        <f>IF(ISNUMBER(SEARCH("R", 'Dry_Litterbag Placem_Collection'!AA105)),"YES","NO")</f>
        <v>NO</v>
      </c>
      <c r="AR178" t="s">
        <v>1724</v>
      </c>
      <c r="AT178" t="s">
        <v>367</v>
      </c>
    </row>
    <row r="179" spans="2:46">
      <c r="B179" t="str">
        <f>'Final data_for_R_analysis_Dryse'!A105</f>
        <v>Dry</v>
      </c>
      <c r="C179" s="263">
        <f>'Final data_for_R_analysis_Dryse'!B105</f>
        <v>104</v>
      </c>
      <c r="D179" t="s">
        <v>3841</v>
      </c>
      <c r="E179" t="s">
        <v>22</v>
      </c>
      <c r="F179" s="387">
        <v>8</v>
      </c>
      <c r="G179" s="16">
        <f>'Dry_Litterbag Placem_Collection'!E106</f>
        <v>42939</v>
      </c>
      <c r="H179" t="str">
        <f>'Final data_for_R_analysis_Dryse'!J105</f>
        <v>G162</v>
      </c>
      <c r="I179" t="str">
        <f>'Final data_for_R_analysis_Dryse'!J325</f>
        <v>R744</v>
      </c>
      <c r="J179">
        <f>IFERROR(INDEX('Green_rooibos initial weight'!$C$5:$C$1749,MATCH(H179, 'Green_rooibos initial weight'!$A$5:$A$1749,0)),"")</f>
        <v>2.0390000000000001</v>
      </c>
      <c r="K179">
        <f>IFERROR(INDEX('Green_rooibos initial weight'!$C$5:$C$1749,MATCH(I179, 'Green_rooibos initial weight'!$A$5:$A$1749,0)),"")</f>
        <v>2.2280000000000002</v>
      </c>
      <c r="L179" s="195">
        <f t="shared" si="17"/>
        <v>1.7892000000000001</v>
      </c>
      <c r="M179" s="240">
        <f>AVERAGE(Ashed_controlls!$K$1:$K$11)</f>
        <v>5.5147656768714146</v>
      </c>
      <c r="N179" s="195">
        <f t="shared" si="12"/>
        <v>1.6905298125094168</v>
      </c>
      <c r="O179" s="195">
        <f t="shared" si="18"/>
        <v>1.9782000000000002</v>
      </c>
      <c r="P179" s="240">
        <f>AVERAGE(Ashed_controlls!$K$12:$K$14)</f>
        <v>2.2816647271287041</v>
      </c>
      <c r="Q179" s="195">
        <f t="shared" si="13"/>
        <v>1.9330641083679401</v>
      </c>
      <c r="R179" s="16">
        <f>IF('Dry_Litterbag Placem_Collection'!G106="N.A","",'Dry_Litterbag Placem_Collection'!G106)</f>
        <v>43010</v>
      </c>
      <c r="S179" s="195">
        <f>IF(IFERROR(INDEX('Both teabags AfterDry'!$D$1:$D$839,MATCH(H179,'Both teabags AfterDry'!$A$1:$A$839,0)),"")="N.A","",(IFERROR(INDEX('Both teabags AfterDry'!$D$1:$D$839,MATCH(H179,'Both teabags AfterDry'!$A$1:$A$839,0)),"")))</f>
        <v>1.4899</v>
      </c>
      <c r="T179" s="195">
        <f>IF(IFERROR(INDEX('Both teabags AfterDry'!$D$1:$D$839,MATCH(I179,'Both teabags AfterDry'!$A$1:$A$839,0)),"")="N.A","",(IFERROR(INDEX('Both teabags AfterDry'!$D$1:$D$839,MATCH(I179,'Both teabags AfterDry'!$A$1:$A$839,0)),"")))</f>
        <v>0</v>
      </c>
      <c r="U179" s="195">
        <f t="shared" si="19"/>
        <v>1.3392999999999999</v>
      </c>
      <c r="V179" s="195" t="str">
        <f t="shared" si="19"/>
        <v/>
      </c>
      <c r="W179" s="195" t="str">
        <f>IFERROR(INDEX('Ashed teabags dry'!$K$2:$K$821,MATCH(H179,'Ashed teabags dry'!$A$2:$A$821,0)),"")</f>
        <v/>
      </c>
      <c r="X179" s="195">
        <f>IFERROR(INDEX('Ashed teabags dry'!$K$2:$K$821,MATCH(I179,'Ashed teabags dry'!$A$2:$A$821,0)),"")</f>
        <v>84.528487229861895</v>
      </c>
      <c r="Y179" s="195" t="str">
        <f t="shared" si="14"/>
        <v/>
      </c>
      <c r="Z179" s="195" t="str">
        <f t="shared" si="14"/>
        <v/>
      </c>
      <c r="AA179" s="195" t="str">
        <f t="shared" si="20"/>
        <v/>
      </c>
      <c r="AB179" s="195" t="str">
        <f t="shared" si="21"/>
        <v/>
      </c>
      <c r="AC179" s="195" t="str">
        <f t="shared" si="15"/>
        <v/>
      </c>
      <c r="AD179">
        <f t="shared" si="16"/>
        <v>71</v>
      </c>
      <c r="AE179" s="195" t="str">
        <f t="shared" si="22"/>
        <v/>
      </c>
      <c r="AF179" s="195" t="str">
        <f t="shared" si="23"/>
        <v/>
      </c>
      <c r="AG179" s="255" t="str">
        <f>IF(ISNUMBER(SEARCH("C", 'Dry_Litterbag Placem_Collection'!AB106)),"YES","NO")</f>
        <v>NO</v>
      </c>
      <c r="AH179" s="255" t="str">
        <f>IF(ISNUMBER(SEARCH("H", 'Dry_Litterbag Placem_Collection'!AB106)),"YES","NO")</f>
        <v>NO</v>
      </c>
      <c r="AI179" s="255" t="str">
        <f>IF(ISNUMBER(SEARCH("R", 'Dry_Litterbag Placem_Collection'!AB106)),"YES","NO")</f>
        <v>NO</v>
      </c>
      <c r="AJ179" s="255" t="str">
        <f>IF(ISNUMBER(SEARCH("C", 'Dry_Litterbag Placem_Collection'!AA106)),"YES","NO")</f>
        <v>NO</v>
      </c>
      <c r="AK179" s="255" t="str">
        <f>IF(ISNUMBER(SEARCH("H", 'Dry_Litterbag Placem_Collection'!AA106)),"YES","NO")</f>
        <v>NO</v>
      </c>
      <c r="AL179" s="255" t="str">
        <f>IF(ISNUMBER(SEARCH("R", 'Dry_Litterbag Placem_Collection'!AA106)),"YES","NO")</f>
        <v>NO</v>
      </c>
      <c r="AR179" t="s">
        <v>1888</v>
      </c>
      <c r="AT179" t="s">
        <v>395</v>
      </c>
    </row>
    <row r="180" spans="2:46">
      <c r="B180" t="str">
        <f>'Final data_for_R_analysis_Dryse'!A106</f>
        <v>Dry</v>
      </c>
      <c r="C180" s="263">
        <f>'Final data_for_R_analysis_Dryse'!B106</f>
        <v>105</v>
      </c>
      <c r="D180" t="s">
        <v>3843</v>
      </c>
      <c r="E180" t="s">
        <v>22</v>
      </c>
      <c r="F180" s="386">
        <v>1</v>
      </c>
      <c r="G180" s="16">
        <f>'Dry_Litterbag Placem_Collection'!E107</f>
        <v>42939</v>
      </c>
      <c r="H180" t="str">
        <f>'Final data_for_R_analysis_Dryse'!J106</f>
        <v>G6</v>
      </c>
      <c r="I180" t="str">
        <f>'Final data_for_R_analysis_Dryse'!J326</f>
        <v>R824</v>
      </c>
      <c r="J180">
        <f>IFERROR(INDEX('Green_rooibos initial weight'!$C$5:$C$1749,MATCH(H180, 'Green_rooibos initial weight'!$A$5:$A$1749,0)),"")</f>
        <v>2.016</v>
      </c>
      <c r="K180">
        <f>IFERROR(INDEX('Green_rooibos initial weight'!$C$5:$C$1749,MATCH(I180, 'Green_rooibos initial weight'!$A$5:$A$1749,0)),"")</f>
        <v>2.173</v>
      </c>
      <c r="L180" s="195">
        <f t="shared" si="17"/>
        <v>1.7662</v>
      </c>
      <c r="M180" s="240">
        <f>AVERAGE(Ashed_controlls!$K$1:$K$11)</f>
        <v>5.5147656768714146</v>
      </c>
      <c r="N180" s="195">
        <f t="shared" si="12"/>
        <v>1.668798208615097</v>
      </c>
      <c r="O180" s="195">
        <f t="shared" si="18"/>
        <v>1.9232</v>
      </c>
      <c r="P180" s="240">
        <f>AVERAGE(Ashed_controlls!$K$12:$K$14)</f>
        <v>2.2816647271287041</v>
      </c>
      <c r="Q180" s="195">
        <f t="shared" si="13"/>
        <v>1.8793190239678608</v>
      </c>
      <c r="R180" s="16">
        <f>IF('Dry_Litterbag Placem_Collection'!G107="N.A","",'Dry_Litterbag Placem_Collection'!G107)</f>
        <v>43010</v>
      </c>
      <c r="S180" s="195">
        <f>IF(IFERROR(INDEX('Both teabags AfterDry'!$D$1:$D$839,MATCH(H180,'Both teabags AfterDry'!$A$1:$A$839,0)),"")="N.A","",(IFERROR(INDEX('Both teabags AfterDry'!$D$1:$D$839,MATCH(H180,'Both teabags AfterDry'!$A$1:$A$839,0)),"")))</f>
        <v>1.1637</v>
      </c>
      <c r="T180" s="195">
        <f>IF(IFERROR(INDEX('Both teabags AfterDry'!$D$1:$D$839,MATCH(I180,'Both teabags AfterDry'!$A$1:$A$839,0)),"")="N.A","",(IFERROR(INDEX('Both teabags AfterDry'!$D$1:$D$839,MATCH(I180,'Both teabags AfterDry'!$A$1:$A$839,0)),"")))</f>
        <v>1.7653000000000001</v>
      </c>
      <c r="U180" s="195">
        <f t="shared" si="19"/>
        <v>1.0130999999999999</v>
      </c>
      <c r="V180" s="195">
        <f t="shared" si="19"/>
        <v>1.6147</v>
      </c>
      <c r="W180" s="195">
        <f>IFERROR(INDEX('Ashed teabags dry'!$K$2:$K$821,MATCH(H180,'Ashed teabags dry'!$A$2:$A$821,0)),"")</f>
        <v>24.114832535885235</v>
      </c>
      <c r="X180" s="195">
        <f>IFERROR(INDEX('Ashed teabags dry'!$K$2:$K$821,MATCH(I180,'Ashed teabags dry'!$A$2:$A$821,0)),"")</f>
        <v>83.348375451263863</v>
      </c>
      <c r="Y180" s="195">
        <f t="shared" si="14"/>
        <v>0.76879263157894662</v>
      </c>
      <c r="Z180" s="195">
        <f t="shared" si="14"/>
        <v>0.26887378158844233</v>
      </c>
      <c r="AA180" s="195">
        <f t="shared" si="20"/>
        <v>0.53931360447890664</v>
      </c>
      <c r="AB180" s="195">
        <f t="shared" si="21"/>
        <v>0.353564263268832</v>
      </c>
      <c r="AC180" s="195">
        <f t="shared" si="15"/>
        <v>0.1430697918551164</v>
      </c>
      <c r="AD180">
        <f t="shared" si="16"/>
        <v>71</v>
      </c>
      <c r="AE180" s="195">
        <f t="shared" si="22"/>
        <v>0.35948503031008705</v>
      </c>
      <c r="AF180" s="195" t="str">
        <f t="shared" si="23"/>
        <v/>
      </c>
      <c r="AG180" s="255" t="str">
        <f>IF(ISNUMBER(SEARCH("C", 'Dry_Litterbag Placem_Collection'!AB107)),"YES","NO")</f>
        <v>NO</v>
      </c>
      <c r="AH180" s="255" t="str">
        <f>IF(ISNUMBER(SEARCH("H", 'Dry_Litterbag Placem_Collection'!AB107)),"YES","NO")</f>
        <v>NO</v>
      </c>
      <c r="AI180" s="255" t="str">
        <f>IF(ISNUMBER(SEARCH("R", 'Dry_Litterbag Placem_Collection'!AB107)),"YES","NO")</f>
        <v>NO</v>
      </c>
      <c r="AJ180" s="255" t="str">
        <f>IF(ISNUMBER(SEARCH("C", 'Dry_Litterbag Placem_Collection'!AA107)),"YES","NO")</f>
        <v>NO</v>
      </c>
      <c r="AK180" s="255" t="str">
        <f>IF(ISNUMBER(SEARCH("H", 'Dry_Litterbag Placem_Collection'!AA107)),"YES","NO")</f>
        <v>NO</v>
      </c>
      <c r="AL180" s="255" t="str">
        <f>IF(ISNUMBER(SEARCH("R", 'Dry_Litterbag Placem_Collection'!AA107)),"YES","NO")</f>
        <v>NO</v>
      </c>
      <c r="AR180" t="s">
        <v>2044</v>
      </c>
      <c r="AT180" t="s">
        <v>315</v>
      </c>
    </row>
    <row r="181" spans="2:46">
      <c r="B181" t="str">
        <f>'Final data_for_R_analysis_Dryse'!A107</f>
        <v>Dry</v>
      </c>
      <c r="C181" s="263">
        <f>'Final data_for_R_analysis_Dryse'!B107</f>
        <v>106</v>
      </c>
      <c r="D181" t="s">
        <v>3843</v>
      </c>
      <c r="E181" t="s">
        <v>22</v>
      </c>
      <c r="F181" s="386">
        <v>2</v>
      </c>
      <c r="G181" s="16">
        <f>'Dry_Litterbag Placem_Collection'!E108</f>
        <v>42939</v>
      </c>
      <c r="H181" t="str">
        <f>'Final data_for_R_analysis_Dryse'!J107</f>
        <v>G20</v>
      </c>
      <c r="I181" t="str">
        <f>'Final data_for_R_analysis_Dryse'!J327</f>
        <v>R790</v>
      </c>
      <c r="J181">
        <f>IFERROR(INDEX('Green_rooibos initial weight'!$C$5:$C$1749,MATCH(H181, 'Green_rooibos initial weight'!$A$5:$A$1749,0)),"")</f>
        <v>2.032</v>
      </c>
      <c r="K181">
        <f>IFERROR(INDEX('Green_rooibos initial weight'!$C$5:$C$1749,MATCH(I181, 'Green_rooibos initial weight'!$A$5:$A$1749,0)),"")</f>
        <v>2.266</v>
      </c>
      <c r="L181" s="195">
        <f t="shared" si="17"/>
        <v>1.7822</v>
      </c>
      <c r="M181" s="240">
        <f>AVERAGE(Ashed_controlls!$K$1:$K$11)</f>
        <v>5.5147656768714146</v>
      </c>
      <c r="N181" s="195">
        <f t="shared" si="12"/>
        <v>1.6839158461067976</v>
      </c>
      <c r="O181" s="195">
        <f t="shared" si="18"/>
        <v>2.0162</v>
      </c>
      <c r="P181" s="240">
        <f>AVERAGE(Ashed_controlls!$K$12:$K$14)</f>
        <v>2.2816647271287041</v>
      </c>
      <c r="Q181" s="195">
        <f t="shared" si="13"/>
        <v>1.9701970757716312</v>
      </c>
      <c r="R181" s="16">
        <f>IF('Dry_Litterbag Placem_Collection'!G108="N.A","",'Dry_Litterbag Placem_Collection'!G108)</f>
        <v>43010</v>
      </c>
      <c r="S181" s="195">
        <f>IF(IFERROR(INDEX('Both teabags AfterDry'!$D$1:$D$839,MATCH(H181,'Both teabags AfterDry'!$A$1:$A$839,0)),"")="N.A","",(IFERROR(INDEX('Both teabags AfterDry'!$D$1:$D$839,MATCH(H181,'Both teabags AfterDry'!$A$1:$A$839,0)),"")))</f>
        <v>1.0826</v>
      </c>
      <c r="T181" s="195">
        <f>IF(IFERROR(INDEX('Both teabags AfterDry'!$D$1:$D$839,MATCH(I181,'Both teabags AfterDry'!$A$1:$A$839,0)),"")="N.A","",(IFERROR(INDEX('Both teabags AfterDry'!$D$1:$D$839,MATCH(I181,'Both teabags AfterDry'!$A$1:$A$839,0)),"")))</f>
        <v>2.2315</v>
      </c>
      <c r="U181" s="195">
        <f t="shared" si="19"/>
        <v>0.93199999999999994</v>
      </c>
      <c r="V181" s="195">
        <f t="shared" si="19"/>
        <v>2.0809000000000002</v>
      </c>
      <c r="W181" s="195">
        <f>IFERROR(INDEX('Ashed teabags dry'!$K$2:$K$821,MATCH(H181,'Ashed teabags dry'!$A$2:$A$821,0)),"")</f>
        <v>11.814345991561</v>
      </c>
      <c r="X181" s="195">
        <f>IFERROR(INDEX('Ashed teabags dry'!$K$2:$K$821,MATCH(I181,'Ashed teabags dry'!$A$2:$A$821,0)),"")</f>
        <v>81.485100146555695</v>
      </c>
      <c r="Y181" s="195">
        <f t="shared" si="14"/>
        <v>0.82189029535865143</v>
      </c>
      <c r="Z181" s="195">
        <f t="shared" si="14"/>
        <v>0.38527655105032244</v>
      </c>
      <c r="AA181" s="195">
        <f t="shared" si="20"/>
        <v>0.51191723905986364</v>
      </c>
      <c r="AB181" s="195">
        <f t="shared" si="21"/>
        <v>0.33560370066632395</v>
      </c>
      <c r="AC181" s="195">
        <f t="shared" si="15"/>
        <v>0.1955522905744991</v>
      </c>
      <c r="AD181">
        <f t="shared" si="16"/>
        <v>71</v>
      </c>
      <c r="AE181" s="195">
        <f t="shared" si="22"/>
        <v>0.39202228140158712</v>
      </c>
      <c r="AF181" s="195" t="str">
        <f t="shared" si="23"/>
        <v/>
      </c>
      <c r="AG181" s="255" t="str">
        <f>IF(ISNUMBER(SEARCH("C", 'Dry_Litterbag Placem_Collection'!AB108)),"YES","NO")</f>
        <v>NO</v>
      </c>
      <c r="AH181" s="255" t="str">
        <f>IF(ISNUMBER(SEARCH("H", 'Dry_Litterbag Placem_Collection'!AB108)),"YES","NO")</f>
        <v>NO</v>
      </c>
      <c r="AI181" s="255" t="str">
        <f>IF(ISNUMBER(SEARCH("R", 'Dry_Litterbag Placem_Collection'!AB108)),"YES","NO")</f>
        <v>NO</v>
      </c>
      <c r="AJ181" s="255" t="str">
        <f>IF(ISNUMBER(SEARCH("C", 'Dry_Litterbag Placem_Collection'!AA108)),"YES","NO")</f>
        <v>NO</v>
      </c>
      <c r="AK181" s="255" t="str">
        <f>IF(ISNUMBER(SEARCH("H", 'Dry_Litterbag Placem_Collection'!AA108)),"YES","NO")</f>
        <v>NO</v>
      </c>
      <c r="AL181" s="255" t="str">
        <f>IF(ISNUMBER(SEARCH("R", 'Dry_Litterbag Placem_Collection'!AA108)),"YES","NO")</f>
        <v>NO</v>
      </c>
      <c r="AR181" t="s">
        <v>2030</v>
      </c>
      <c r="AT181" t="s">
        <v>349</v>
      </c>
    </row>
    <row r="182" spans="2:46">
      <c r="B182" t="str">
        <f>'Final data_for_R_analysis_Dryse'!A108</f>
        <v>Dry</v>
      </c>
      <c r="C182" s="263">
        <f>'Final data_for_R_analysis_Dryse'!B108</f>
        <v>107</v>
      </c>
      <c r="D182" t="s">
        <v>3843</v>
      </c>
      <c r="E182" t="s">
        <v>22</v>
      </c>
      <c r="F182" s="386">
        <v>3</v>
      </c>
      <c r="G182" s="16">
        <f>'Dry_Litterbag Placem_Collection'!E109</f>
        <v>42939</v>
      </c>
      <c r="H182" t="str">
        <f>'Final data_for_R_analysis_Dryse'!J108</f>
        <v>G129</v>
      </c>
      <c r="I182" t="str">
        <f>'Final data_for_R_analysis_Dryse'!J328</f>
        <v>R809</v>
      </c>
      <c r="J182">
        <f>IFERROR(INDEX('Green_rooibos initial weight'!$C$5:$C$1749,MATCH(H182, 'Green_rooibos initial weight'!$A$5:$A$1749,0)),"")</f>
        <v>1.9630000000000001</v>
      </c>
      <c r="K182">
        <f>IFERROR(INDEX('Green_rooibos initial weight'!$C$5:$C$1749,MATCH(I182, 'Green_rooibos initial weight'!$A$5:$A$1749,0)),"")</f>
        <v>2.2210000000000001</v>
      </c>
      <c r="L182" s="195">
        <f t="shared" si="17"/>
        <v>1.7132000000000001</v>
      </c>
      <c r="M182" s="240">
        <f>AVERAGE(Ashed_controlls!$K$1:$K$11)</f>
        <v>5.5147656768714146</v>
      </c>
      <c r="N182" s="195">
        <f t="shared" si="12"/>
        <v>1.618721034423839</v>
      </c>
      <c r="O182" s="195">
        <f t="shared" si="18"/>
        <v>1.9712000000000001</v>
      </c>
      <c r="P182" s="240">
        <f>AVERAGE(Ashed_controlls!$K$12:$K$14)</f>
        <v>2.2816647271287041</v>
      </c>
      <c r="Q182" s="195">
        <f t="shared" si="13"/>
        <v>1.926223824898839</v>
      </c>
      <c r="R182" s="16">
        <f>IF('Dry_Litterbag Placem_Collection'!G109="N.A","",'Dry_Litterbag Placem_Collection'!G109)</f>
        <v>43010</v>
      </c>
      <c r="S182" s="195" t="str">
        <f>IF(IFERROR(INDEX('Both teabags AfterDry'!$D$1:$D$839,MATCH(H182,'Both teabags AfterDry'!$A$1:$A$839,0)),"")="N.A","",(IFERROR(INDEX('Both teabags AfterDry'!$D$1:$D$839,MATCH(H182,'Both teabags AfterDry'!$A$1:$A$839,0)),"")))</f>
        <v/>
      </c>
      <c r="T182" s="195" t="str">
        <f>IF(IFERROR(INDEX('Both teabags AfterDry'!$D$1:$D$839,MATCH(I182,'Both teabags AfterDry'!$A$1:$A$839,0)),"")="N.A","",(IFERROR(INDEX('Both teabags AfterDry'!$D$1:$D$839,MATCH(I182,'Both teabags AfterDry'!$A$1:$A$839,0)),"")))</f>
        <v/>
      </c>
      <c r="U182" s="195" t="str">
        <f t="shared" si="19"/>
        <v/>
      </c>
      <c r="V182" s="195" t="str">
        <f t="shared" si="19"/>
        <v/>
      </c>
      <c r="W182" s="195" t="str">
        <f>IFERROR(INDEX('Ashed teabags dry'!$K$2:$K$821,MATCH(H182,'Ashed teabags dry'!$A$2:$A$821,0)),"")</f>
        <v/>
      </c>
      <c r="X182" s="195">
        <f>IFERROR(INDEX('Ashed teabags dry'!$K$2:$K$821,MATCH(I182,'Ashed teabags dry'!$A$2:$A$821,0)),"")</f>
        <v>0</v>
      </c>
      <c r="Y182" s="195" t="str">
        <f t="shared" si="14"/>
        <v/>
      </c>
      <c r="Z182" s="195" t="str">
        <f t="shared" si="14"/>
        <v/>
      </c>
      <c r="AA182" s="195" t="str">
        <f t="shared" si="20"/>
        <v/>
      </c>
      <c r="AB182" s="195" t="str">
        <f t="shared" si="21"/>
        <v/>
      </c>
      <c r="AC182" s="195" t="str">
        <f t="shared" si="15"/>
        <v/>
      </c>
      <c r="AD182">
        <f t="shared" si="16"/>
        <v>71</v>
      </c>
      <c r="AE182" s="195" t="str">
        <f t="shared" si="22"/>
        <v/>
      </c>
      <c r="AF182" s="195" t="str">
        <f t="shared" si="23"/>
        <v/>
      </c>
      <c r="AG182" s="255" t="str">
        <f>IF(ISNUMBER(SEARCH("C", 'Dry_Litterbag Placem_Collection'!AB109)),"YES","NO")</f>
        <v>NO</v>
      </c>
      <c r="AH182" s="255" t="str">
        <f>IF(ISNUMBER(SEARCH("H", 'Dry_Litterbag Placem_Collection'!AB109)),"YES","NO")</f>
        <v>NO</v>
      </c>
      <c r="AI182" s="255" t="str">
        <f>IF(ISNUMBER(SEARCH("R", 'Dry_Litterbag Placem_Collection'!AB109)),"YES","NO")</f>
        <v>NO</v>
      </c>
      <c r="AJ182" s="255" t="str">
        <f>IF(ISNUMBER(SEARCH("C", 'Dry_Litterbag Placem_Collection'!AA109)),"YES","NO")</f>
        <v>NO</v>
      </c>
      <c r="AK182" s="255" t="str">
        <f>IF(ISNUMBER(SEARCH("H", 'Dry_Litterbag Placem_Collection'!AA109)),"YES","NO")</f>
        <v>NO</v>
      </c>
      <c r="AL182" s="255" t="str">
        <f>IF(ISNUMBER(SEARCH("R", 'Dry_Litterbag Placem_Collection'!AA109)),"YES","NO")</f>
        <v>NO</v>
      </c>
      <c r="AR182" t="s">
        <v>1921</v>
      </c>
      <c r="AT182" t="s">
        <v>330</v>
      </c>
    </row>
    <row r="183" spans="2:46">
      <c r="B183" t="str">
        <f>'Final data_for_R_analysis_Dryse'!A109</f>
        <v>Dry</v>
      </c>
      <c r="C183" s="263">
        <f>'Final data_for_R_analysis_Dryse'!B109</f>
        <v>108</v>
      </c>
      <c r="D183" t="s">
        <v>3843</v>
      </c>
      <c r="E183" t="s">
        <v>22</v>
      </c>
      <c r="F183" s="387">
        <v>4</v>
      </c>
      <c r="G183" s="16">
        <f>'Dry_Litterbag Placem_Collection'!E110</f>
        <v>42939</v>
      </c>
      <c r="H183" t="str">
        <f>'Final data_for_R_analysis_Dryse'!J109</f>
        <v>G258</v>
      </c>
      <c r="I183" t="str">
        <f>'Final data_for_R_analysis_Dryse'!J329</f>
        <v>R777</v>
      </c>
      <c r="J183">
        <f>IFERROR(INDEX('Green_rooibos initial weight'!$C$5:$C$1749,MATCH(H183, 'Green_rooibos initial weight'!$A$5:$A$1749,0)),"")</f>
        <v>2.1280000000000001</v>
      </c>
      <c r="K183">
        <f>IFERROR(INDEX('Green_rooibos initial weight'!$C$5:$C$1749,MATCH(I183, 'Green_rooibos initial weight'!$A$5:$A$1749,0)),"")</f>
        <v>2.2549999999999999</v>
      </c>
      <c r="L183" s="195">
        <f t="shared" si="17"/>
        <v>1.8782000000000001</v>
      </c>
      <c r="M183" s="240">
        <f>AVERAGE(Ashed_controlls!$K$1:$K$11)</f>
        <v>5.5147656768714146</v>
      </c>
      <c r="N183" s="195">
        <f t="shared" si="12"/>
        <v>1.7746216710570011</v>
      </c>
      <c r="O183" s="195">
        <f t="shared" si="18"/>
        <v>2.0051999999999999</v>
      </c>
      <c r="P183" s="240">
        <f>AVERAGE(Ashed_controlls!$K$12:$K$14)</f>
        <v>2.2816647271287041</v>
      </c>
      <c r="Q183" s="195">
        <f t="shared" si="13"/>
        <v>1.959448058891615</v>
      </c>
      <c r="R183" s="16">
        <f>IF('Dry_Litterbag Placem_Collection'!G110="N.A","",'Dry_Litterbag Placem_Collection'!G110)</f>
        <v>43010</v>
      </c>
      <c r="S183" s="195">
        <f>IF(IFERROR(INDEX('Both teabags AfterDry'!$D$1:$D$839,MATCH(H183,'Both teabags AfterDry'!$A$1:$A$839,0)),"")="N.A","",(IFERROR(INDEX('Both teabags AfterDry'!$D$1:$D$839,MATCH(H183,'Both teabags AfterDry'!$A$1:$A$839,0)),"")))</f>
        <v>0.92730000000000001</v>
      </c>
      <c r="T183" s="195">
        <f>IF(IFERROR(INDEX('Both teabags AfterDry'!$D$1:$D$839,MATCH(I183,'Both teabags AfterDry'!$A$1:$A$839,0)),"")="N.A","",(IFERROR(INDEX('Both teabags AfterDry'!$D$1:$D$839,MATCH(I183,'Both teabags AfterDry'!$A$1:$A$839,0)),"")))</f>
        <v>1.8240000000000001</v>
      </c>
      <c r="U183" s="195">
        <f t="shared" si="19"/>
        <v>0.77669999999999995</v>
      </c>
      <c r="V183" s="195">
        <f t="shared" si="19"/>
        <v>1.6734</v>
      </c>
      <c r="W183" s="195">
        <f>IFERROR(INDEX('Ashed teabags dry'!$K$2:$K$821,MATCH(H183,'Ashed teabags dry'!$A$2:$A$821,0)),"")</f>
        <v>20.211233797408489</v>
      </c>
      <c r="X183" s="195">
        <f>IFERROR(INDEX('Ashed teabags dry'!$K$2:$K$821,MATCH(I183,'Ashed teabags dry'!$A$2:$A$821,0)),"")</f>
        <v>4.6835443037977491</v>
      </c>
      <c r="Y183" s="195">
        <f t="shared" si="14"/>
        <v>0.61971934709552823</v>
      </c>
      <c r="Z183" s="195">
        <f t="shared" si="14"/>
        <v>1.5950255696202484</v>
      </c>
      <c r="AA183" s="195">
        <f t="shared" si="20"/>
        <v>0.65078790752825044</v>
      </c>
      <c r="AB183" s="195">
        <f t="shared" si="21"/>
        <v>0.42664480398526639</v>
      </c>
      <c r="AC183" s="195">
        <f t="shared" si="15"/>
        <v>0.81401778545867332</v>
      </c>
      <c r="AD183">
        <f t="shared" si="16"/>
        <v>71</v>
      </c>
      <c r="AE183" s="195">
        <f t="shared" si="22"/>
        <v>0.22709274640350297</v>
      </c>
      <c r="AF183" s="195">
        <f t="shared" si="23"/>
        <v>8.0641678529666978E-3</v>
      </c>
      <c r="AG183" s="255" t="str">
        <f>IF(ISNUMBER(SEARCH("C", 'Dry_Litterbag Placem_Collection'!AB110)),"YES","NO")</f>
        <v>NO</v>
      </c>
      <c r="AH183" s="255" t="str">
        <f>IF(ISNUMBER(SEARCH("H", 'Dry_Litterbag Placem_Collection'!AB110)),"YES","NO")</f>
        <v>NO</v>
      </c>
      <c r="AI183" s="255" t="str">
        <f>IF(ISNUMBER(SEARCH("R", 'Dry_Litterbag Placem_Collection'!AB110)),"YES","NO")</f>
        <v>NO</v>
      </c>
      <c r="AJ183" s="255" t="str">
        <f>IF(ISNUMBER(SEARCH("C", 'Dry_Litterbag Placem_Collection'!AA110)),"YES","NO")</f>
        <v>NO</v>
      </c>
      <c r="AK183" s="255" t="str">
        <f>IF(ISNUMBER(SEARCH("H", 'Dry_Litterbag Placem_Collection'!AA110)),"YES","NO")</f>
        <v>NO</v>
      </c>
      <c r="AL183" s="255" t="str">
        <f>IF(ISNUMBER(SEARCH("R", 'Dry_Litterbag Placem_Collection'!AA110)),"YES","NO")</f>
        <v>NO</v>
      </c>
      <c r="AR183" t="s">
        <v>1792</v>
      </c>
      <c r="AT183" t="s">
        <v>362</v>
      </c>
    </row>
    <row r="184" spans="2:46">
      <c r="B184" t="str">
        <f>'Final data_for_R_analysis_Dryse'!A110</f>
        <v>Dry</v>
      </c>
      <c r="C184" s="263">
        <f>'Final data_for_R_analysis_Dryse'!B110</f>
        <v>109</v>
      </c>
      <c r="D184" t="s">
        <v>3843</v>
      </c>
      <c r="E184" t="s">
        <v>22</v>
      </c>
      <c r="F184" s="387">
        <v>5</v>
      </c>
      <c r="G184" s="16">
        <f>'Dry_Litterbag Placem_Collection'!E111</f>
        <v>42939</v>
      </c>
      <c r="H184" t="str">
        <f>'Final data_for_R_analysis_Dryse'!J110</f>
        <v>G294</v>
      </c>
      <c r="I184" t="str">
        <f>'Final data_for_R_analysis_Dryse'!J330</f>
        <v>R804</v>
      </c>
      <c r="J184">
        <f>IFERROR(INDEX('Green_rooibos initial weight'!$C$5:$C$1749,MATCH(H184, 'Green_rooibos initial weight'!$A$5:$A$1749,0)),"")</f>
        <v>1.994</v>
      </c>
      <c r="K184">
        <f>IFERROR(INDEX('Green_rooibos initial weight'!$C$5:$C$1749,MATCH(I184, 'Green_rooibos initial weight'!$A$5:$A$1749,0)),"")</f>
        <v>2.1960000000000002</v>
      </c>
      <c r="L184" s="195">
        <f t="shared" si="17"/>
        <v>1.7442</v>
      </c>
      <c r="M184" s="240">
        <f>AVERAGE(Ashed_controlls!$K$1:$K$11)</f>
        <v>5.5147656768714146</v>
      </c>
      <c r="N184" s="195">
        <f t="shared" si="12"/>
        <v>1.6480114570640088</v>
      </c>
      <c r="O184" s="195">
        <f t="shared" si="18"/>
        <v>1.9462000000000002</v>
      </c>
      <c r="P184" s="240">
        <f>AVERAGE(Ashed_controlls!$K$12:$K$14)</f>
        <v>2.2816647271287041</v>
      </c>
      <c r="Q184" s="195">
        <f t="shared" si="13"/>
        <v>1.9017942410806212</v>
      </c>
      <c r="R184" s="16">
        <f>IF('Dry_Litterbag Placem_Collection'!G111="N.A","",'Dry_Litterbag Placem_Collection'!G111)</f>
        <v>43010</v>
      </c>
      <c r="S184" s="195">
        <f>IF(IFERROR(INDEX('Both teabags AfterDry'!$D$1:$D$839,MATCH(H184,'Both teabags AfterDry'!$A$1:$A$839,0)),"")="N.A","",(IFERROR(INDEX('Both teabags AfterDry'!$D$1:$D$839,MATCH(H184,'Both teabags AfterDry'!$A$1:$A$839,0)),"")))</f>
        <v>0.93010000000000004</v>
      </c>
      <c r="T184" s="195">
        <f>IF(IFERROR(INDEX('Both teabags AfterDry'!$D$1:$D$839,MATCH(I184,'Both teabags AfterDry'!$A$1:$A$839,0)),"")="N.A","",(IFERROR(INDEX('Both teabags AfterDry'!$D$1:$D$839,MATCH(I184,'Both teabags AfterDry'!$A$1:$A$839,0)),"")))</f>
        <v>1.3936999999999999</v>
      </c>
      <c r="U184" s="195">
        <f t="shared" si="19"/>
        <v>0.77950000000000008</v>
      </c>
      <c r="V184" s="195">
        <f t="shared" si="19"/>
        <v>1.2430999999999999</v>
      </c>
      <c r="W184" s="195">
        <f>IFERROR(INDEX('Ashed teabags dry'!$K$2:$K$821,MATCH(H184,'Ashed teabags dry'!$A$2:$A$821,0)),"")</f>
        <v>29.671832269827163</v>
      </c>
      <c r="X184" s="195">
        <f>IFERROR(INDEX('Ashed teabags dry'!$K$2:$K$821,MATCH(I184,'Ashed teabags dry'!$A$2:$A$821,0)),"")</f>
        <v>71.520554730063893</v>
      </c>
      <c r="Y184" s="195">
        <f t="shared" si="14"/>
        <v>0.54820806745669737</v>
      </c>
      <c r="Z184" s="195">
        <f t="shared" si="14"/>
        <v>0.35402798415057579</v>
      </c>
      <c r="AA184" s="195">
        <f t="shared" si="20"/>
        <v>0.6673517862349394</v>
      </c>
      <c r="AB184" s="195">
        <f t="shared" si="21"/>
        <v>0.43750378384998412</v>
      </c>
      <c r="AC184" s="195">
        <f t="shared" si="15"/>
        <v>0.18615472510286551</v>
      </c>
      <c r="AD184">
        <f t="shared" si="16"/>
        <v>71</v>
      </c>
      <c r="AE184" s="195">
        <f t="shared" si="22"/>
        <v>0.2074206814311883</v>
      </c>
      <c r="AF184" s="195" t="str">
        <f t="shared" si="23"/>
        <v/>
      </c>
      <c r="AG184" s="255" t="str">
        <f>IF(ISNUMBER(SEARCH("C", 'Dry_Litterbag Placem_Collection'!AB111)),"YES","NO")</f>
        <v>NO</v>
      </c>
      <c r="AH184" s="255" t="str">
        <f>IF(ISNUMBER(SEARCH("H", 'Dry_Litterbag Placem_Collection'!AB111)),"YES","NO")</f>
        <v>NO</v>
      </c>
      <c r="AI184" s="255" t="str">
        <f>IF(ISNUMBER(SEARCH("R", 'Dry_Litterbag Placem_Collection'!AB111)),"YES","NO")</f>
        <v>NO</v>
      </c>
      <c r="AJ184" s="255" t="str">
        <f>IF(ISNUMBER(SEARCH("C", 'Dry_Litterbag Placem_Collection'!AA111)),"YES","NO")</f>
        <v>NO</v>
      </c>
      <c r="AK184" s="255" t="str">
        <f>IF(ISNUMBER(SEARCH("H", 'Dry_Litterbag Placem_Collection'!AA111)),"YES","NO")</f>
        <v>NO</v>
      </c>
      <c r="AL184" s="255" t="str">
        <f>IF(ISNUMBER(SEARCH("R", 'Dry_Litterbag Placem_Collection'!AA111)),"YES","NO")</f>
        <v>NO</v>
      </c>
      <c r="AR184" t="s">
        <v>1756</v>
      </c>
      <c r="AT184" t="s">
        <v>335</v>
      </c>
    </row>
    <row r="185" spans="2:46">
      <c r="B185" t="str">
        <f>'Final data_for_R_analysis_Dryse'!A111</f>
        <v>Dry</v>
      </c>
      <c r="C185" s="263">
        <f>'Final data_for_R_analysis_Dryse'!B111</f>
        <v>110</v>
      </c>
      <c r="D185" t="s">
        <v>3843</v>
      </c>
      <c r="E185" t="s">
        <v>22</v>
      </c>
      <c r="F185" s="387">
        <v>6</v>
      </c>
      <c r="G185" s="16">
        <f>'Dry_Litterbag Placem_Collection'!E112</f>
        <v>42939</v>
      </c>
      <c r="H185" t="str">
        <f>'Final data_for_R_analysis_Dryse'!J111</f>
        <v>G350</v>
      </c>
      <c r="I185" t="str">
        <f>'Final data_for_R_analysis_Dryse'!J331</f>
        <v>R786</v>
      </c>
      <c r="J185">
        <f>IFERROR(INDEX('Green_rooibos initial weight'!$C$5:$C$1749,MATCH(H185, 'Green_rooibos initial weight'!$A$5:$A$1749,0)),"")</f>
        <v>2.0640000000000001</v>
      </c>
      <c r="K185">
        <f>IFERROR(INDEX('Green_rooibos initial weight'!$C$5:$C$1749,MATCH(I185, 'Green_rooibos initial weight'!$A$5:$A$1749,0)),"")</f>
        <v>2.177</v>
      </c>
      <c r="L185" s="195">
        <f t="shared" si="17"/>
        <v>1.8142</v>
      </c>
      <c r="M185" s="240">
        <f>AVERAGE(Ashed_controlls!$K$1:$K$11)</f>
        <v>5.5147656768714146</v>
      </c>
      <c r="N185" s="195">
        <f t="shared" si="12"/>
        <v>1.7141511210901987</v>
      </c>
      <c r="O185" s="195">
        <f t="shared" si="18"/>
        <v>1.9272</v>
      </c>
      <c r="P185" s="240">
        <f>AVERAGE(Ashed_controlls!$K$12:$K$14)</f>
        <v>2.2816647271287041</v>
      </c>
      <c r="Q185" s="195">
        <f t="shared" si="13"/>
        <v>1.8832277573787757</v>
      </c>
      <c r="R185" s="16">
        <f>IF('Dry_Litterbag Placem_Collection'!G112="N.A","",'Dry_Litterbag Placem_Collection'!G112)</f>
        <v>43010</v>
      </c>
      <c r="S185" s="195">
        <f>IF(IFERROR(INDEX('Both teabags AfterDry'!$D$1:$D$839,MATCH(H185,'Both teabags AfterDry'!$A$1:$A$839,0)),"")="N.A","",(IFERROR(INDEX('Both teabags AfterDry'!$D$1:$D$839,MATCH(H185,'Both teabags AfterDry'!$A$1:$A$839,0)),"")))</f>
        <v>0.95640000000000003</v>
      </c>
      <c r="T185" s="195">
        <f>IF(IFERROR(INDEX('Both teabags AfterDry'!$D$1:$D$839,MATCH(I185,'Both teabags AfterDry'!$A$1:$A$839,0)),"")="N.A","",(IFERROR(INDEX('Both teabags AfterDry'!$D$1:$D$839,MATCH(I185,'Both teabags AfterDry'!$A$1:$A$839,0)),"")))</f>
        <v>1.7806</v>
      </c>
      <c r="U185" s="195">
        <f t="shared" si="19"/>
        <v>0.80580000000000007</v>
      </c>
      <c r="V185" s="195">
        <f t="shared" si="19"/>
        <v>1.63</v>
      </c>
      <c r="W185" s="195">
        <f>IFERROR(INDEX('Ashed teabags dry'!$K$2:$K$821,MATCH(H185,'Ashed teabags dry'!$A$2:$A$821,0)),"")</f>
        <v>19.624497094323072</v>
      </c>
      <c r="X185" s="195">
        <f>IFERROR(INDEX('Ashed teabags dry'!$K$2:$K$821,MATCH(I185,'Ashed teabags dry'!$A$2:$A$821,0)),"")</f>
        <v>88.700312639571393</v>
      </c>
      <c r="Y185" s="195">
        <f t="shared" si="14"/>
        <v>0.64766580241394478</v>
      </c>
      <c r="Z185" s="195">
        <f t="shared" si="14"/>
        <v>0.18418490397498632</v>
      </c>
      <c r="AA185" s="195">
        <f t="shared" si="20"/>
        <v>0.62216528376912894</v>
      </c>
      <c r="AB185" s="195">
        <f t="shared" si="21"/>
        <v>0.40788032855173301</v>
      </c>
      <c r="AC185" s="195">
        <f t="shared" si="15"/>
        <v>9.7802776776904216E-2</v>
      </c>
      <c r="AD185">
        <f t="shared" si="16"/>
        <v>71</v>
      </c>
      <c r="AE185" s="195">
        <f t="shared" si="22"/>
        <v>0.26108636131932428</v>
      </c>
      <c r="AF185" s="195" t="str">
        <f t="shared" si="23"/>
        <v/>
      </c>
      <c r="AG185" s="255" t="str">
        <f>IF(ISNUMBER(SEARCH("C", 'Dry_Litterbag Placem_Collection'!AB112)),"YES","NO")</f>
        <v>NO</v>
      </c>
      <c r="AH185" s="255" t="str">
        <f>IF(ISNUMBER(SEARCH("H", 'Dry_Litterbag Placem_Collection'!AB112)),"YES","NO")</f>
        <v>NO</v>
      </c>
      <c r="AI185" s="255" t="str">
        <f>IF(ISNUMBER(SEARCH("R", 'Dry_Litterbag Placem_Collection'!AB112)),"YES","NO")</f>
        <v>NO</v>
      </c>
      <c r="AJ185" s="255" t="str">
        <f>IF(ISNUMBER(SEARCH("C", 'Dry_Litterbag Placem_Collection'!AA112)),"YES","NO")</f>
        <v>NO</v>
      </c>
      <c r="AK185" s="255" t="str">
        <f>IF(ISNUMBER(SEARCH("H", 'Dry_Litterbag Placem_Collection'!AA112)),"YES","NO")</f>
        <v>NO</v>
      </c>
      <c r="AL185" s="255" t="str">
        <f>IF(ISNUMBER(SEARCH("R", 'Dry_Litterbag Placem_Collection'!AA112)),"YES","NO")</f>
        <v>NO</v>
      </c>
      <c r="AR185" t="s">
        <v>1700</v>
      </c>
      <c r="AT185" t="s">
        <v>353</v>
      </c>
    </row>
    <row r="186" spans="2:46">
      <c r="B186" t="str">
        <f>'Final data_for_R_analysis_Dryse'!A112</f>
        <v>Dry</v>
      </c>
      <c r="C186" s="263">
        <f>'Final data_for_R_analysis_Dryse'!B112</f>
        <v>111</v>
      </c>
      <c r="D186" t="s">
        <v>3843</v>
      </c>
      <c r="E186" t="s">
        <v>22</v>
      </c>
      <c r="F186" s="387">
        <v>7</v>
      </c>
      <c r="G186" s="16">
        <f>'Dry_Litterbag Placem_Collection'!E113</f>
        <v>42939</v>
      </c>
      <c r="H186" t="str">
        <f>'Final data_for_R_analysis_Dryse'!J112</f>
        <v>G274</v>
      </c>
      <c r="I186" t="str">
        <f>'Final data_for_R_analysis_Dryse'!J332</f>
        <v>R835</v>
      </c>
      <c r="J186">
        <f>IFERROR(INDEX('Green_rooibos initial weight'!$C$5:$C$1749,MATCH(H186, 'Green_rooibos initial weight'!$A$5:$A$1749,0)),"")</f>
        <v>2.12</v>
      </c>
      <c r="K186">
        <f>IFERROR(INDEX('Green_rooibos initial weight'!$C$5:$C$1749,MATCH(I186, 'Green_rooibos initial weight'!$A$5:$A$1749,0)),"")</f>
        <v>2.15</v>
      </c>
      <c r="L186" s="195">
        <f t="shared" si="17"/>
        <v>1.8702000000000001</v>
      </c>
      <c r="M186" s="240">
        <f>AVERAGE(Ashed_controlls!$K$1:$K$11)</f>
        <v>5.5147656768714146</v>
      </c>
      <c r="N186" s="195">
        <f t="shared" si="12"/>
        <v>1.7670628523111509</v>
      </c>
      <c r="O186" s="195">
        <f t="shared" si="18"/>
        <v>1.9001999999999999</v>
      </c>
      <c r="P186" s="240">
        <f>AVERAGE(Ashed_controlls!$K$12:$K$14)</f>
        <v>2.2816647271287041</v>
      </c>
      <c r="Q186" s="195">
        <f t="shared" si="13"/>
        <v>1.8568438068551003</v>
      </c>
      <c r="R186" s="16">
        <f>IF('Dry_Litterbag Placem_Collection'!G113="N.A","",'Dry_Litterbag Placem_Collection'!G113)</f>
        <v>43010</v>
      </c>
      <c r="S186" s="195">
        <f>IF(IFERROR(INDEX('Both teabags AfterDry'!$D$1:$D$839,MATCH(H186,'Both teabags AfterDry'!$A$1:$A$839,0)),"")="N.A","",(IFERROR(INDEX('Both teabags AfterDry'!$D$1:$D$839,MATCH(H186,'Both teabags AfterDry'!$A$1:$A$839,0)),"")))</f>
        <v>1.0779000000000001</v>
      </c>
      <c r="T186" s="195">
        <f>IF(IFERROR(INDEX('Both teabags AfterDry'!$D$1:$D$839,MATCH(I186,'Both teabags AfterDry'!$A$1:$A$839,0)),"")="N.A","",(IFERROR(INDEX('Both teabags AfterDry'!$D$1:$D$839,MATCH(I186,'Both teabags AfterDry'!$A$1:$A$839,0)),"")))</f>
        <v>1.7563</v>
      </c>
      <c r="U186" s="195">
        <f t="shared" si="19"/>
        <v>0.92730000000000001</v>
      </c>
      <c r="V186" s="195">
        <f t="shared" si="19"/>
        <v>1.6056999999999999</v>
      </c>
      <c r="W186" s="195">
        <f>IFERROR(INDEX('Ashed teabags dry'!$K$2:$K$821,MATCH(H186,'Ashed teabags dry'!$A$2:$A$821,0)),"")</f>
        <v>17.275747508306221</v>
      </c>
      <c r="X186" s="195">
        <f>IFERROR(INDEX('Ashed teabags dry'!$K$2:$K$821,MATCH(I186,'Ashed teabags dry'!$A$2:$A$821,0)),"")</f>
        <v>4.065040650406667</v>
      </c>
      <c r="Y186" s="195">
        <f t="shared" si="14"/>
        <v>0.76710199335547635</v>
      </c>
      <c r="Z186" s="195">
        <f t="shared" si="14"/>
        <v>1.54042764227642</v>
      </c>
      <c r="AA186" s="195">
        <f t="shared" si="20"/>
        <v>0.56588867659564035</v>
      </c>
      <c r="AB186" s="195">
        <f t="shared" si="21"/>
        <v>0.37098640080854334</v>
      </c>
      <c r="AC186" s="195">
        <f t="shared" si="15"/>
        <v>0.82959462534730477</v>
      </c>
      <c r="AD186">
        <f t="shared" si="16"/>
        <v>71</v>
      </c>
      <c r="AE186" s="195">
        <f t="shared" si="22"/>
        <v>0.32792318694104472</v>
      </c>
      <c r="AF186" s="195">
        <f t="shared" si="23"/>
        <v>8.6612270541274062E-3</v>
      </c>
      <c r="AG186" s="255" t="str">
        <f>IF(ISNUMBER(SEARCH("C", 'Dry_Litterbag Placem_Collection'!AB113)),"YES","NO")</f>
        <v>NO</v>
      </c>
      <c r="AH186" s="255" t="str">
        <f>IF(ISNUMBER(SEARCH("H", 'Dry_Litterbag Placem_Collection'!AB113)),"YES","NO")</f>
        <v>NO</v>
      </c>
      <c r="AI186" s="255" t="str">
        <f>IF(ISNUMBER(SEARCH("R", 'Dry_Litterbag Placem_Collection'!AB113)),"YES","NO")</f>
        <v>NO</v>
      </c>
      <c r="AJ186" s="255" t="str">
        <f>IF(ISNUMBER(SEARCH("C", 'Dry_Litterbag Placem_Collection'!AA113)),"YES","NO")</f>
        <v>NO</v>
      </c>
      <c r="AK186" s="255" t="str">
        <f>IF(ISNUMBER(SEARCH("H", 'Dry_Litterbag Placem_Collection'!AA113)),"YES","NO")</f>
        <v>NO</v>
      </c>
      <c r="AL186" s="255" t="str">
        <f>IF(ISNUMBER(SEARCH("R", 'Dry_Litterbag Placem_Collection'!AA113)),"YES","NO")</f>
        <v>NO</v>
      </c>
      <c r="AR186" t="s">
        <v>1776</v>
      </c>
      <c r="AT186" t="s">
        <v>304</v>
      </c>
    </row>
    <row r="187" spans="2:46">
      <c r="B187" t="str">
        <f>'Final data_for_R_analysis_Dryse'!A113</f>
        <v>Dry</v>
      </c>
      <c r="C187" s="263">
        <f>'Final data_for_R_analysis_Dryse'!B113</f>
        <v>112</v>
      </c>
      <c r="D187" t="s">
        <v>3843</v>
      </c>
      <c r="E187" t="s">
        <v>22</v>
      </c>
      <c r="F187" s="387">
        <v>8</v>
      </c>
      <c r="G187" s="16">
        <f>'Dry_Litterbag Placem_Collection'!E114</f>
        <v>0</v>
      </c>
      <c r="H187" t="str">
        <f>'Final data_for_R_analysis_Dryse'!J113</f>
        <v/>
      </c>
      <c r="I187" t="str">
        <f>'Final data_for_R_analysis_Dryse'!J333</f>
        <v/>
      </c>
      <c r="J187" t="str">
        <f>IFERROR(INDEX('Green_rooibos initial weight'!$C$5:$C$1749,MATCH(H187, 'Green_rooibos initial weight'!$A$5:$A$1749,0)),"")</f>
        <v/>
      </c>
      <c r="K187" t="str">
        <f>IFERROR(INDEX('Green_rooibos initial weight'!$C$5:$C$1749,MATCH(I187, 'Green_rooibos initial weight'!$A$5:$A$1749,0)),"")</f>
        <v/>
      </c>
      <c r="L187" s="195" t="str">
        <f t="shared" si="17"/>
        <v/>
      </c>
      <c r="M187" s="240">
        <f>AVERAGE(Ashed_controlls!$K$1:$K$11)</f>
        <v>5.5147656768714146</v>
      </c>
      <c r="N187" s="195" t="str">
        <f t="shared" si="12"/>
        <v/>
      </c>
      <c r="O187" s="195" t="str">
        <f t="shared" si="18"/>
        <v/>
      </c>
      <c r="P187" s="240">
        <f>AVERAGE(Ashed_controlls!$K$12:$K$14)</f>
        <v>2.2816647271287041</v>
      </c>
      <c r="Q187" s="195" t="str">
        <f t="shared" si="13"/>
        <v/>
      </c>
      <c r="R187" s="16">
        <f>IF('Dry_Litterbag Placem_Collection'!G114="N.A","",'Dry_Litterbag Placem_Collection'!G114)</f>
        <v>0</v>
      </c>
      <c r="S187" s="195" t="str">
        <f>IF(IFERROR(INDEX('Both teabags AfterDry'!$D$1:$D$839,MATCH(H187,'Both teabags AfterDry'!$A$1:$A$839,0)),"")="N.A","",(IFERROR(INDEX('Both teabags AfterDry'!$D$1:$D$839,MATCH(H187,'Both teabags AfterDry'!$A$1:$A$839,0)),"")))</f>
        <v/>
      </c>
      <c r="T187" s="195" t="str">
        <f>IF(IFERROR(INDEX('Both teabags AfterDry'!$D$1:$D$839,MATCH(I187,'Both teabags AfterDry'!$A$1:$A$839,0)),"")="N.A","",(IFERROR(INDEX('Both teabags AfterDry'!$D$1:$D$839,MATCH(I187,'Both teabags AfterDry'!$A$1:$A$839,0)),"")))</f>
        <v/>
      </c>
      <c r="U187" s="195" t="str">
        <f t="shared" si="19"/>
        <v/>
      </c>
      <c r="V187" s="195" t="str">
        <f t="shared" si="19"/>
        <v/>
      </c>
      <c r="W187" s="195" t="str">
        <f>IFERROR(INDEX('Ashed teabags dry'!$K$2:$K$821,MATCH(H187,'Ashed teabags dry'!$A$2:$A$821,0)),"")</f>
        <v/>
      </c>
      <c r="X187" s="195" t="str">
        <f>IFERROR(INDEX('Ashed teabags dry'!$K$2:$K$821,MATCH(I187,'Ashed teabags dry'!$A$2:$A$821,0)),"")</f>
        <v/>
      </c>
      <c r="Y187" s="195" t="str">
        <f t="shared" si="14"/>
        <v/>
      </c>
      <c r="Z187" s="195" t="str">
        <f t="shared" si="14"/>
        <v/>
      </c>
      <c r="AA187" s="195" t="str">
        <f t="shared" si="20"/>
        <v/>
      </c>
      <c r="AB187" s="195" t="str">
        <f t="shared" si="21"/>
        <v/>
      </c>
      <c r="AC187" s="195" t="str">
        <f t="shared" si="15"/>
        <v/>
      </c>
      <c r="AD187" t="str">
        <f t="shared" si="16"/>
        <v/>
      </c>
      <c r="AE187" s="195" t="str">
        <f t="shared" si="22"/>
        <v/>
      </c>
      <c r="AF187" s="195" t="str">
        <f t="shared" si="23"/>
        <v/>
      </c>
      <c r="AG187" s="255" t="str">
        <f>IF(ISNUMBER(SEARCH("C", 'Dry_Litterbag Placem_Collection'!AB114)),"YES","NO")</f>
        <v>NO</v>
      </c>
      <c r="AH187" s="255" t="str">
        <f>IF(ISNUMBER(SEARCH("H", 'Dry_Litterbag Placem_Collection'!AB114)),"YES","NO")</f>
        <v>NO</v>
      </c>
      <c r="AI187" s="255" t="str">
        <f>IF(ISNUMBER(SEARCH("R", 'Dry_Litterbag Placem_Collection'!AB114)),"YES","NO")</f>
        <v>NO</v>
      </c>
      <c r="AJ187" s="255" t="str">
        <f>IF(ISNUMBER(SEARCH("C", 'Dry_Litterbag Placem_Collection'!AA114)),"YES","NO")</f>
        <v>NO</v>
      </c>
      <c r="AK187" s="255" t="str">
        <f>IF(ISNUMBER(SEARCH("H", 'Dry_Litterbag Placem_Collection'!AA114)),"YES","NO")</f>
        <v>NO</v>
      </c>
      <c r="AL187" s="255" t="str">
        <f>IF(ISNUMBER(SEARCH("R", 'Dry_Litterbag Placem_Collection'!AA114)),"YES","NO")</f>
        <v>NO</v>
      </c>
      <c r="AR187" t="s">
        <v>3654</v>
      </c>
      <c r="AT187" t="s">
        <v>3654</v>
      </c>
    </row>
    <row r="188" spans="2:46">
      <c r="B188" t="str">
        <f>'Final data_for_R_analysis_Dryse'!A114</f>
        <v>Dry</v>
      </c>
      <c r="C188" s="263">
        <f>'Final data_for_R_analysis_Dryse'!B114</f>
        <v>113</v>
      </c>
      <c r="D188" t="s">
        <v>3844</v>
      </c>
      <c r="E188" t="s">
        <v>22</v>
      </c>
      <c r="F188" s="386">
        <v>1</v>
      </c>
      <c r="G188" s="16">
        <f>'Dry_Litterbag Placem_Collection'!E115</f>
        <v>42939</v>
      </c>
      <c r="H188" t="str">
        <f>'Final data_for_R_analysis_Dryse'!J114</f>
        <v>G314</v>
      </c>
      <c r="I188" t="str">
        <f>'Final data_for_R_analysis_Dryse'!J334</f>
        <v>R807</v>
      </c>
      <c r="J188">
        <f>IFERROR(INDEX('Green_rooibos initial weight'!$C$5:$C$1749,MATCH(H188, 'Green_rooibos initial weight'!$A$5:$A$1749,0)),"")</f>
        <v>2.0430000000000001</v>
      </c>
      <c r="K188">
        <f>IFERROR(INDEX('Green_rooibos initial weight'!$C$5:$C$1749,MATCH(I188, 'Green_rooibos initial weight'!$A$5:$A$1749,0)),"")</f>
        <v>2.21</v>
      </c>
      <c r="L188" s="195">
        <f t="shared" si="17"/>
        <v>1.7932000000000001</v>
      </c>
      <c r="M188" s="240">
        <f>AVERAGE(Ashed_controlls!$K$1:$K$11)</f>
        <v>5.5147656768714146</v>
      </c>
      <c r="N188" s="195">
        <f t="shared" si="12"/>
        <v>1.6943092218823419</v>
      </c>
      <c r="O188" s="195">
        <f t="shared" si="18"/>
        <v>1.9601999999999999</v>
      </c>
      <c r="P188" s="240">
        <f>AVERAGE(Ashed_controlls!$K$12:$K$14)</f>
        <v>2.2816647271287041</v>
      </c>
      <c r="Q188" s="195">
        <f t="shared" si="13"/>
        <v>1.9154748080188231</v>
      </c>
      <c r="R188" s="16">
        <f>IF('Dry_Litterbag Placem_Collection'!G115="N.A","",'Dry_Litterbag Placem_Collection'!G115)</f>
        <v>43008</v>
      </c>
      <c r="S188" s="195">
        <f>IF(IFERROR(INDEX('Both teabags AfterDry'!$D$1:$D$839,MATCH(H188,'Both teabags AfterDry'!$A$1:$A$839,0)),"")="N.A","",(IFERROR(INDEX('Both teabags AfterDry'!$D$1:$D$839,MATCH(H188,'Both teabags AfterDry'!$A$1:$A$839,0)),"")))</f>
        <v>0.78080000000000005</v>
      </c>
      <c r="T188" s="195">
        <f>IF(IFERROR(INDEX('Both teabags AfterDry'!$D$1:$D$839,MATCH(I188,'Both teabags AfterDry'!$A$1:$A$839,0)),"")="N.A","",(IFERROR(INDEX('Both teabags AfterDry'!$D$1:$D$839,MATCH(I188,'Both teabags AfterDry'!$A$1:$A$839,0)),"")))</f>
        <v>1.5793999999999999</v>
      </c>
      <c r="U188" s="195">
        <f t="shared" si="19"/>
        <v>0.63020000000000009</v>
      </c>
      <c r="V188" s="195">
        <f t="shared" si="19"/>
        <v>1.4287999999999998</v>
      </c>
      <c r="W188" s="195">
        <f>IFERROR(INDEX('Ashed teabags dry'!$K$2:$K$821,MATCH(H188,'Ashed teabags dry'!$A$2:$A$821,0)),"")</f>
        <v>21.798134011874424</v>
      </c>
      <c r="X188" s="195">
        <f>IFERROR(INDEX('Ashed teabags dry'!$K$2:$K$821,MATCH(I188,'Ashed teabags dry'!$A$2:$A$821,0)),"")</f>
        <v>9.4054580896693931</v>
      </c>
      <c r="Y188" s="195">
        <f t="shared" si="14"/>
        <v>0.49282815945716746</v>
      </c>
      <c r="Z188" s="195">
        <f t="shared" si="14"/>
        <v>1.2944148148148036</v>
      </c>
      <c r="AA188" s="195">
        <f t="shared" si="20"/>
        <v>0.70912738177176082</v>
      </c>
      <c r="AB188" s="195">
        <f t="shared" si="21"/>
        <v>0.46489111014015677</v>
      </c>
      <c r="AC188" s="195">
        <f t="shared" si="15"/>
        <v>0.67576707842668926</v>
      </c>
      <c r="AD188">
        <f t="shared" si="16"/>
        <v>69</v>
      </c>
      <c r="AE188" s="195">
        <f t="shared" si="22"/>
        <v>0.15780595989102042</v>
      </c>
      <c r="AF188" s="195">
        <f t="shared" si="23"/>
        <v>1.7325658749616508E-2</v>
      </c>
      <c r="AG188" s="255" t="str">
        <f>IF(ISNUMBER(SEARCH("C", 'Dry_Litterbag Placem_Collection'!AB115)),"YES","NO")</f>
        <v>NO</v>
      </c>
      <c r="AH188" s="255" t="str">
        <f>IF(ISNUMBER(SEARCH("H", 'Dry_Litterbag Placem_Collection'!AB115)),"YES","NO")</f>
        <v>NO</v>
      </c>
      <c r="AI188" s="255" t="str">
        <f>IF(ISNUMBER(SEARCH("R", 'Dry_Litterbag Placem_Collection'!AB115)),"YES","NO")</f>
        <v>NO</v>
      </c>
      <c r="AJ188" s="255" t="str">
        <f>IF(ISNUMBER(SEARCH("C", 'Dry_Litterbag Placem_Collection'!AA115)),"YES","NO")</f>
        <v>NO</v>
      </c>
      <c r="AK188" s="255" t="str">
        <f>IF(ISNUMBER(SEARCH("H", 'Dry_Litterbag Placem_Collection'!AA115)),"YES","NO")</f>
        <v>NO</v>
      </c>
      <c r="AL188" s="255" t="str">
        <f>IF(ISNUMBER(SEARCH("R", 'Dry_Litterbag Placem_Collection'!AA115)),"YES","NO")</f>
        <v>NO</v>
      </c>
      <c r="AR188" t="s">
        <v>1736</v>
      </c>
      <c r="AT188" t="s">
        <v>332</v>
      </c>
    </row>
    <row r="189" spans="2:46">
      <c r="B189" t="str">
        <f>'Final data_for_R_analysis_Dryse'!A115</f>
        <v>Dry</v>
      </c>
      <c r="C189" s="263">
        <f>'Final data_for_R_analysis_Dryse'!B115</f>
        <v>114</v>
      </c>
      <c r="D189" t="s">
        <v>3844</v>
      </c>
      <c r="E189" t="s">
        <v>22</v>
      </c>
      <c r="F189" s="386">
        <v>2</v>
      </c>
      <c r="G189" s="16">
        <f>'Dry_Litterbag Placem_Collection'!E116</f>
        <v>42939</v>
      </c>
      <c r="H189" t="str">
        <f>'Final data_for_R_analysis_Dryse'!J115</f>
        <v>G263</v>
      </c>
      <c r="I189" t="str">
        <f>'Final data_for_R_analysis_Dryse'!J335</f>
        <v>R829</v>
      </c>
      <c r="J189">
        <f>IFERROR(INDEX('Green_rooibos initial weight'!$C$5:$C$1749,MATCH(H189, 'Green_rooibos initial weight'!$A$5:$A$1749,0)),"")</f>
        <v>2.0960000000000001</v>
      </c>
      <c r="K189">
        <f>IFERROR(INDEX('Green_rooibos initial weight'!$C$5:$C$1749,MATCH(I189, 'Green_rooibos initial weight'!$A$5:$A$1749,0)),"")</f>
        <v>2.1880000000000002</v>
      </c>
      <c r="L189" s="195">
        <f t="shared" si="17"/>
        <v>1.8462000000000001</v>
      </c>
      <c r="M189" s="240">
        <f>AVERAGE(Ashed_controlls!$K$1:$K$11)</f>
        <v>5.5147656768714146</v>
      </c>
      <c r="N189" s="195">
        <f t="shared" si="12"/>
        <v>1.7443863960735999</v>
      </c>
      <c r="O189" s="195">
        <f t="shared" si="18"/>
        <v>1.9382000000000001</v>
      </c>
      <c r="P189" s="240">
        <f>AVERAGE(Ashed_controlls!$K$12:$K$14)</f>
        <v>2.2816647271287041</v>
      </c>
      <c r="Q189" s="195">
        <f t="shared" si="13"/>
        <v>1.8939767742587916</v>
      </c>
      <c r="R189" s="16">
        <f>IF('Dry_Litterbag Placem_Collection'!G116="N.A","",'Dry_Litterbag Placem_Collection'!G116)</f>
        <v>43008</v>
      </c>
      <c r="S189" s="195">
        <f>IF(IFERROR(INDEX('Both teabags AfterDry'!$D$1:$D$839,MATCH(H189,'Both teabags AfterDry'!$A$1:$A$839,0)),"")="N.A","",(IFERROR(INDEX('Both teabags AfterDry'!$D$1:$D$839,MATCH(H189,'Both teabags AfterDry'!$A$1:$A$839,0)),"")))</f>
        <v>0.83330000000000004</v>
      </c>
      <c r="T189" s="195">
        <f>IF(IFERROR(INDEX('Both teabags AfterDry'!$D$1:$D$839,MATCH(I189,'Both teabags AfterDry'!$A$1:$A$839,0)),"")="N.A","",(IFERROR(INDEX('Both teabags AfterDry'!$D$1:$D$839,MATCH(I189,'Both teabags AfterDry'!$A$1:$A$839,0)),"")))</f>
        <v>1.1127</v>
      </c>
      <c r="U189" s="195">
        <f t="shared" si="19"/>
        <v>0.68270000000000008</v>
      </c>
      <c r="V189" s="195">
        <f t="shared" si="19"/>
        <v>0.96209999999999996</v>
      </c>
      <c r="W189" s="195">
        <f>IFERROR(INDEX('Ashed teabags dry'!$K$2:$K$821,MATCH(H189,'Ashed teabags dry'!$A$2:$A$821,0)),"")</f>
        <v>29.125376992675438</v>
      </c>
      <c r="X189" s="195">
        <f>IFERROR(INDEX('Ashed teabags dry'!$K$2:$K$821,MATCH(I189,'Ashed teabags dry'!$A$2:$A$821,0)),"")</f>
        <v>88.557650153441656</v>
      </c>
      <c r="Y189" s="195">
        <f t="shared" si="14"/>
        <v>0.48386105127100487</v>
      </c>
      <c r="Z189" s="195">
        <f t="shared" si="14"/>
        <v>0.11008684787373779</v>
      </c>
      <c r="AA189" s="195">
        <f t="shared" si="20"/>
        <v>0.72261819264348959</v>
      </c>
      <c r="AB189" s="195">
        <f t="shared" si="21"/>
        <v>0.47373544220808345</v>
      </c>
      <c r="AC189" s="195">
        <f t="shared" si="15"/>
        <v>5.8124708481084891E-2</v>
      </c>
      <c r="AD189">
        <f t="shared" si="16"/>
        <v>69</v>
      </c>
      <c r="AE189" s="195">
        <f t="shared" si="22"/>
        <v>0.14178361918825466</v>
      </c>
      <c r="AF189" s="195" t="str">
        <f t="shared" si="23"/>
        <v/>
      </c>
      <c r="AG189" s="255" t="str">
        <f>IF(ISNUMBER(SEARCH("C", 'Dry_Litterbag Placem_Collection'!AB116)),"YES","NO")</f>
        <v>NO</v>
      </c>
      <c r="AH189" s="255" t="str">
        <f>IF(ISNUMBER(SEARCH("H", 'Dry_Litterbag Placem_Collection'!AB116)),"YES","NO")</f>
        <v>NO</v>
      </c>
      <c r="AI189" s="255" t="str">
        <f>IF(ISNUMBER(SEARCH("R", 'Dry_Litterbag Placem_Collection'!AB116)),"YES","NO")</f>
        <v>NO</v>
      </c>
      <c r="AJ189" s="255" t="str">
        <f>IF(ISNUMBER(SEARCH("C", 'Dry_Litterbag Placem_Collection'!AA116)),"YES","NO")</f>
        <v>NO</v>
      </c>
      <c r="AK189" s="255" t="str">
        <f>IF(ISNUMBER(SEARCH("H", 'Dry_Litterbag Placem_Collection'!AA116)),"YES","NO")</f>
        <v>NO</v>
      </c>
      <c r="AL189" s="255" t="str">
        <f>IF(ISNUMBER(SEARCH("R", 'Dry_Litterbag Placem_Collection'!AA116)),"YES","NO")</f>
        <v>NO</v>
      </c>
      <c r="AR189" t="s">
        <v>1787</v>
      </c>
      <c r="AT189" t="s">
        <v>310</v>
      </c>
    </row>
    <row r="190" spans="2:46">
      <c r="B190" t="str">
        <f>'Final data_for_R_analysis_Dryse'!A116</f>
        <v>Dry</v>
      </c>
      <c r="C190" s="263">
        <f>'Final data_for_R_analysis_Dryse'!B116</f>
        <v>115</v>
      </c>
      <c r="D190" t="s">
        <v>3844</v>
      </c>
      <c r="E190" t="s">
        <v>22</v>
      </c>
      <c r="F190" s="386">
        <v>3</v>
      </c>
      <c r="G190" s="16">
        <f>'Dry_Litterbag Placem_Collection'!E117</f>
        <v>42939</v>
      </c>
      <c r="H190" t="str">
        <f>'Final data_for_R_analysis_Dryse'!J116</f>
        <v>G125</v>
      </c>
      <c r="I190" t="str">
        <f>'Final data_for_R_analysis_Dryse'!J336</f>
        <v>R766</v>
      </c>
      <c r="J190">
        <f>IFERROR(INDEX('Green_rooibos initial weight'!$C$5:$C$1749,MATCH(H190, 'Green_rooibos initial weight'!$A$5:$A$1749,0)),"")</f>
        <v>2.0979999999999999</v>
      </c>
      <c r="K190">
        <f>IFERROR(INDEX('Green_rooibos initial weight'!$C$5:$C$1749,MATCH(I190, 'Green_rooibos initial weight'!$A$5:$A$1749,0)),"")</f>
        <v>2.21</v>
      </c>
      <c r="L190" s="195">
        <f t="shared" si="17"/>
        <v>1.8481999999999998</v>
      </c>
      <c r="M190" s="240">
        <f>AVERAGE(Ashed_controlls!$K$1:$K$11)</f>
        <v>5.5147656768714146</v>
      </c>
      <c r="N190" s="195">
        <f t="shared" si="12"/>
        <v>1.7462761007600625</v>
      </c>
      <c r="O190" s="195">
        <f t="shared" si="18"/>
        <v>1.9601999999999999</v>
      </c>
      <c r="P190" s="240">
        <f>AVERAGE(Ashed_controlls!$K$12:$K$14)</f>
        <v>2.2816647271287041</v>
      </c>
      <c r="Q190" s="195">
        <f t="shared" si="13"/>
        <v>1.9154748080188231</v>
      </c>
      <c r="R190" s="16">
        <f>IF('Dry_Litterbag Placem_Collection'!G117="N.A","",'Dry_Litterbag Placem_Collection'!G117)</f>
        <v>43008</v>
      </c>
      <c r="S190" s="195">
        <f>IF(IFERROR(INDEX('Both teabags AfterDry'!$D$1:$D$839,MATCH(H190,'Both teabags AfterDry'!$A$1:$A$839,0)),"")="N.A","",(IFERROR(INDEX('Both teabags AfterDry'!$D$1:$D$839,MATCH(H190,'Both teabags AfterDry'!$A$1:$A$839,0)),"")))</f>
        <v>0.78120000000000001</v>
      </c>
      <c r="T190" s="195">
        <f>IF(IFERROR(INDEX('Both teabags AfterDry'!$D$1:$D$839,MATCH(I190,'Both teabags AfterDry'!$A$1:$A$839,0)),"")="N.A","",(IFERROR(INDEX('Both teabags AfterDry'!$D$1:$D$839,MATCH(I190,'Both teabags AfterDry'!$A$1:$A$839,0)),"")))</f>
        <v>1.6694</v>
      </c>
      <c r="U190" s="195">
        <f t="shared" si="19"/>
        <v>0.63060000000000005</v>
      </c>
      <c r="V190" s="195">
        <f t="shared" si="19"/>
        <v>1.5187999999999999</v>
      </c>
      <c r="W190" s="195">
        <f>IFERROR(INDEX('Ashed teabags dry'!$K$2:$K$821,MATCH(H190,'Ashed teabags dry'!$A$2:$A$821,0)),"")</f>
        <v>18.503937007873372</v>
      </c>
      <c r="X190" s="195">
        <f>IFERROR(INDEX('Ashed teabags dry'!$K$2:$K$821,MATCH(I190,'Ashed teabags dry'!$A$2:$A$821,0)),"")</f>
        <v>23.045267489711783</v>
      </c>
      <c r="Y190" s="195">
        <f t="shared" si="14"/>
        <v>0.51391417322835053</v>
      </c>
      <c r="Z190" s="195">
        <f t="shared" si="14"/>
        <v>1.1687884773662574</v>
      </c>
      <c r="AA190" s="195">
        <f t="shared" si="20"/>
        <v>0.70570852283629681</v>
      </c>
      <c r="AB190" s="195">
        <f t="shared" si="21"/>
        <v>0.46264976794018514</v>
      </c>
      <c r="AC190" s="195">
        <f t="shared" si="15"/>
        <v>0.61018211906171504</v>
      </c>
      <c r="AD190">
        <f t="shared" si="16"/>
        <v>69</v>
      </c>
      <c r="AE190" s="195">
        <f t="shared" si="22"/>
        <v>0.16186636242720087</v>
      </c>
      <c r="AF190" s="195">
        <f t="shared" si="23"/>
        <v>2.6794441442518264E-2</v>
      </c>
      <c r="AG190" s="255" t="str">
        <f>IF(ISNUMBER(SEARCH("C", 'Dry_Litterbag Placem_Collection'!AB117)),"YES","NO")</f>
        <v>NO</v>
      </c>
      <c r="AH190" s="255" t="str">
        <f>IF(ISNUMBER(SEARCH("H", 'Dry_Litterbag Placem_Collection'!AB117)),"YES","NO")</f>
        <v>NO</v>
      </c>
      <c r="AI190" s="255" t="str">
        <f>IF(ISNUMBER(SEARCH("R", 'Dry_Litterbag Placem_Collection'!AB117)),"YES","NO")</f>
        <v>NO</v>
      </c>
      <c r="AJ190" s="255" t="str">
        <f>IF(ISNUMBER(SEARCH("C", 'Dry_Litterbag Placem_Collection'!AA117)),"YES","NO")</f>
        <v>NO</v>
      </c>
      <c r="AK190" s="255" t="str">
        <f>IF(ISNUMBER(SEARCH("H", 'Dry_Litterbag Placem_Collection'!AA117)),"YES","NO")</f>
        <v>NO</v>
      </c>
      <c r="AL190" s="255" t="str">
        <f>IF(ISNUMBER(SEARCH("R", 'Dry_Litterbag Placem_Collection'!AA117)),"YES","NO")</f>
        <v>NO</v>
      </c>
      <c r="AR190" t="s">
        <v>1925</v>
      </c>
      <c r="AT190" t="s">
        <v>373</v>
      </c>
    </row>
    <row r="191" spans="2:46">
      <c r="B191" t="str">
        <f>'Final data_for_R_analysis_Dryse'!A117</f>
        <v>Dry</v>
      </c>
      <c r="C191" s="263">
        <f>'Final data_for_R_analysis_Dryse'!B117</f>
        <v>116</v>
      </c>
      <c r="D191" t="s">
        <v>3844</v>
      </c>
      <c r="E191" t="s">
        <v>22</v>
      </c>
      <c r="F191" s="387">
        <v>4</v>
      </c>
      <c r="G191" s="16">
        <f>'Dry_Litterbag Placem_Collection'!E118</f>
        <v>42939</v>
      </c>
      <c r="H191" t="str">
        <f>'Final data_for_R_analysis_Dryse'!J117</f>
        <v>G189</v>
      </c>
      <c r="I191" t="str">
        <f>'Final data_for_R_analysis_Dryse'!J337</f>
        <v>R757</v>
      </c>
      <c r="J191">
        <f>IFERROR(INDEX('Green_rooibos initial weight'!$C$5:$C$1749,MATCH(H191, 'Green_rooibos initial weight'!$A$5:$A$1749,0)),"")</f>
        <v>2.0059999999999998</v>
      </c>
      <c r="K191">
        <f>IFERROR(INDEX('Green_rooibos initial weight'!$C$5:$C$1749,MATCH(I191, 'Green_rooibos initial weight'!$A$5:$A$1749,0)),"")</f>
        <v>2.2050000000000001</v>
      </c>
      <c r="L191" s="195">
        <f t="shared" si="17"/>
        <v>1.7561999999999998</v>
      </c>
      <c r="M191" s="240">
        <f>AVERAGE(Ashed_controlls!$K$1:$K$11)</f>
        <v>5.5147656768714146</v>
      </c>
      <c r="N191" s="195">
        <f t="shared" si="12"/>
        <v>1.659349685182784</v>
      </c>
      <c r="O191" s="195">
        <f t="shared" si="18"/>
        <v>1.9552</v>
      </c>
      <c r="P191" s="240">
        <f>AVERAGE(Ashed_controlls!$K$12:$K$14)</f>
        <v>2.2816647271287041</v>
      </c>
      <c r="Q191" s="195">
        <f t="shared" si="13"/>
        <v>1.9105888912551796</v>
      </c>
      <c r="R191" s="16">
        <f>IF('Dry_Litterbag Placem_Collection'!G118="N.A","",'Dry_Litterbag Placem_Collection'!G118)</f>
        <v>43008</v>
      </c>
      <c r="S191" s="195">
        <f>IF(IFERROR(INDEX('Both teabags AfterDry'!$D$1:$D$839,MATCH(H191,'Both teabags AfterDry'!$A$1:$A$839,0)),"")="N.A","",(IFERROR(INDEX('Both teabags AfterDry'!$D$1:$D$839,MATCH(H191,'Both teabags AfterDry'!$A$1:$A$839,0)),"")))</f>
        <v>0.76890000000000003</v>
      </c>
      <c r="T191" s="195">
        <f>IF(IFERROR(INDEX('Both teabags AfterDry'!$D$1:$D$839,MATCH(I191,'Both teabags AfterDry'!$A$1:$A$839,0)),"")="N.A","",(IFERROR(INDEX('Both teabags AfterDry'!$D$1:$D$839,MATCH(I191,'Both teabags AfterDry'!$A$1:$A$839,0)),"")))</f>
        <v>1.7337</v>
      </c>
      <c r="U191" s="195">
        <f t="shared" si="19"/>
        <v>0.61830000000000007</v>
      </c>
      <c r="V191" s="195">
        <f t="shared" si="19"/>
        <v>1.5831</v>
      </c>
      <c r="W191" s="195">
        <f>IFERROR(INDEX('Ashed teabags dry'!$K$2:$K$821,MATCH(H191,'Ashed teabags dry'!$A$2:$A$821,0)),"")</f>
        <v>20.116618075801487</v>
      </c>
      <c r="X191" s="195">
        <f>IFERROR(INDEX('Ashed teabags dry'!$K$2:$K$821,MATCH(I191,'Ashed teabags dry'!$A$2:$A$821,0)),"")</f>
        <v>14.66357308584627</v>
      </c>
      <c r="Y191" s="195">
        <f t="shared" si="14"/>
        <v>0.49391895043731948</v>
      </c>
      <c r="Z191" s="195">
        <f t="shared" si="14"/>
        <v>1.3509609744779676</v>
      </c>
      <c r="AA191" s="195">
        <f t="shared" si="20"/>
        <v>0.70234185425303386</v>
      </c>
      <c r="AB191" s="195">
        <f t="shared" si="21"/>
        <v>0.46044264079296288</v>
      </c>
      <c r="AC191" s="195">
        <f t="shared" si="15"/>
        <v>0.70709140028048678</v>
      </c>
      <c r="AD191">
        <f t="shared" si="16"/>
        <v>69</v>
      </c>
      <c r="AE191" s="195">
        <f t="shared" si="22"/>
        <v>0.16586478117216874</v>
      </c>
      <c r="AF191" s="195">
        <f t="shared" si="23"/>
        <v>1.46521989636635E-2</v>
      </c>
      <c r="AG191" s="255" t="str">
        <f>IF(ISNUMBER(SEARCH("C", 'Dry_Litterbag Placem_Collection'!AB118)),"YES","NO")</f>
        <v>NO</v>
      </c>
      <c r="AH191" s="255" t="str">
        <f>IF(ISNUMBER(SEARCH("H", 'Dry_Litterbag Placem_Collection'!AB118)),"YES","NO")</f>
        <v>NO</v>
      </c>
      <c r="AI191" s="255" t="str">
        <f>IF(ISNUMBER(SEARCH("R", 'Dry_Litterbag Placem_Collection'!AB118)),"YES","NO")</f>
        <v>NO</v>
      </c>
      <c r="AJ191" s="255" t="str">
        <f>IF(ISNUMBER(SEARCH("C", 'Dry_Litterbag Placem_Collection'!AA118)),"YES","NO")</f>
        <v>NO</v>
      </c>
      <c r="AK191" s="255" t="str">
        <f>IF(ISNUMBER(SEARCH("H", 'Dry_Litterbag Placem_Collection'!AA118)),"YES","NO")</f>
        <v>NO</v>
      </c>
      <c r="AL191" s="255" t="str">
        <f>IF(ISNUMBER(SEARCH("R", 'Dry_Litterbag Placem_Collection'!AA118)),"YES","NO")</f>
        <v>NO</v>
      </c>
      <c r="AR191" t="s">
        <v>1861</v>
      </c>
      <c r="AT191" t="s">
        <v>382</v>
      </c>
    </row>
    <row r="192" spans="2:46">
      <c r="B192" t="str">
        <f>'Final data_for_R_analysis_Dryse'!A118</f>
        <v>Dry</v>
      </c>
      <c r="C192" s="263">
        <f>'Final data_for_R_analysis_Dryse'!B118</f>
        <v>117</v>
      </c>
      <c r="D192" t="s">
        <v>3844</v>
      </c>
      <c r="E192" t="s">
        <v>22</v>
      </c>
      <c r="F192" s="387">
        <v>5</v>
      </c>
      <c r="G192" s="16">
        <f>'Dry_Litterbag Placem_Collection'!E119</f>
        <v>42939</v>
      </c>
      <c r="H192" t="str">
        <f>'Final data_for_R_analysis_Dryse'!J118</f>
        <v>G533</v>
      </c>
      <c r="I192" t="str">
        <f>'Final data_for_R_analysis_Dryse'!J338</f>
        <v>R745</v>
      </c>
      <c r="J192">
        <f>IFERROR(INDEX('Green_rooibos initial weight'!$C$5:$C$1749,MATCH(H192, 'Green_rooibos initial weight'!$A$5:$A$1749,0)),"")</f>
        <v>2.1070000000000002</v>
      </c>
      <c r="K192">
        <f>IFERROR(INDEX('Green_rooibos initial weight'!$C$5:$C$1749,MATCH(I192, 'Green_rooibos initial weight'!$A$5:$A$1749,0)),"")</f>
        <v>2.2909999999999999</v>
      </c>
      <c r="L192" s="195">
        <f t="shared" si="17"/>
        <v>1.8572000000000002</v>
      </c>
      <c r="M192" s="240">
        <f>AVERAGE(Ashed_controlls!$K$1:$K$11)</f>
        <v>5.5147656768714146</v>
      </c>
      <c r="N192" s="195">
        <f t="shared" si="12"/>
        <v>1.7547797718491442</v>
      </c>
      <c r="O192" s="195">
        <f t="shared" si="18"/>
        <v>2.0411999999999999</v>
      </c>
      <c r="P192" s="240">
        <f>AVERAGE(Ashed_controlls!$K$12:$K$14)</f>
        <v>2.2816647271287041</v>
      </c>
      <c r="Q192" s="195">
        <f t="shared" si="13"/>
        <v>1.9946266595898487</v>
      </c>
      <c r="R192" s="16">
        <f>IF('Dry_Litterbag Placem_Collection'!G119="N.A","",'Dry_Litterbag Placem_Collection'!G119)</f>
        <v>43008</v>
      </c>
      <c r="S192" s="195" t="str">
        <f>IF(IFERROR(INDEX('Both teabags AfterDry'!$D$1:$D$839,MATCH(H192,'Both teabags AfterDry'!$A$1:$A$839,0)),"")="N.A","",(IFERROR(INDEX('Both teabags AfterDry'!$D$1:$D$839,MATCH(H192,'Both teabags AfterDry'!$A$1:$A$839,0)),"")))</f>
        <v/>
      </c>
      <c r="T192" s="195" t="str">
        <f>IF(IFERROR(INDEX('Both teabags AfterDry'!$D$1:$D$839,MATCH(I192,'Both teabags AfterDry'!$A$1:$A$839,0)),"")="N.A","",(IFERROR(INDEX('Both teabags AfterDry'!$D$1:$D$839,MATCH(I192,'Both teabags AfterDry'!$A$1:$A$839,0)),"")))</f>
        <v/>
      </c>
      <c r="U192" s="195" t="str">
        <f t="shared" si="19"/>
        <v/>
      </c>
      <c r="V192" s="195" t="str">
        <f t="shared" si="19"/>
        <v/>
      </c>
      <c r="W192" s="195" t="str">
        <f>IFERROR(INDEX('Ashed teabags dry'!$K$2:$K$821,MATCH(H192,'Ashed teabags dry'!$A$2:$A$821,0)),"")</f>
        <v/>
      </c>
      <c r="X192" s="195" t="str">
        <f>IFERROR(INDEX('Ashed teabags dry'!$K$2:$K$821,MATCH(I192,'Ashed teabags dry'!$A$2:$A$821,0)),"")</f>
        <v/>
      </c>
      <c r="Y192" s="195" t="str">
        <f t="shared" si="14"/>
        <v/>
      </c>
      <c r="Z192" s="195" t="str">
        <f t="shared" si="14"/>
        <v/>
      </c>
      <c r="AA192" s="195" t="str">
        <f t="shared" si="20"/>
        <v/>
      </c>
      <c r="AB192" s="195" t="str">
        <f t="shared" si="21"/>
        <v/>
      </c>
      <c r="AC192" s="195" t="str">
        <f t="shared" si="15"/>
        <v/>
      </c>
      <c r="AD192">
        <f t="shared" si="16"/>
        <v>69</v>
      </c>
      <c r="AE192" s="195" t="str">
        <f t="shared" si="22"/>
        <v/>
      </c>
      <c r="AF192" s="195" t="str">
        <f t="shared" si="23"/>
        <v/>
      </c>
      <c r="AG192" s="255" t="str">
        <f>IF(ISNUMBER(SEARCH("C", 'Dry_Litterbag Placem_Collection'!AB119)),"YES","NO")</f>
        <v>NO</v>
      </c>
      <c r="AH192" s="255" t="str">
        <f>IF(ISNUMBER(SEARCH("H", 'Dry_Litterbag Placem_Collection'!AB119)),"YES","NO")</f>
        <v>NO</v>
      </c>
      <c r="AI192" s="255" t="str">
        <f>IF(ISNUMBER(SEARCH("R", 'Dry_Litterbag Placem_Collection'!AB119)),"YES","NO")</f>
        <v>NO</v>
      </c>
      <c r="AJ192" s="255" t="str">
        <f>IF(ISNUMBER(SEARCH("C", 'Dry_Litterbag Placem_Collection'!AA119)),"YES","NO")</f>
        <v>NO</v>
      </c>
      <c r="AK192" s="255" t="str">
        <f>IF(ISNUMBER(SEARCH("H", 'Dry_Litterbag Placem_Collection'!AA119)),"YES","NO")</f>
        <v>NO</v>
      </c>
      <c r="AL192" s="255" t="str">
        <f>IF(ISNUMBER(SEARCH("R", 'Dry_Litterbag Placem_Collection'!AA119)),"YES","NO")</f>
        <v>NO</v>
      </c>
      <c r="AR192" t="s">
        <v>1517</v>
      </c>
      <c r="AT192" t="s">
        <v>394</v>
      </c>
    </row>
    <row r="193" spans="2:46">
      <c r="B193" t="str">
        <f>'Final data_for_R_analysis_Dryse'!A119</f>
        <v>Dry</v>
      </c>
      <c r="C193" s="263">
        <f>'Final data_for_R_analysis_Dryse'!B119</f>
        <v>118</v>
      </c>
      <c r="D193" t="s">
        <v>3844</v>
      </c>
      <c r="E193" t="s">
        <v>22</v>
      </c>
      <c r="F193" s="387">
        <v>6</v>
      </c>
      <c r="G193" s="16">
        <f>'Dry_Litterbag Placem_Collection'!E120</f>
        <v>42939</v>
      </c>
      <c r="H193" t="str">
        <f>'Final data_for_R_analysis_Dryse'!J119</f>
        <v>G200</v>
      </c>
      <c r="I193" t="str">
        <f>'Final data_for_R_analysis_Dryse'!J339</f>
        <v>R791</v>
      </c>
      <c r="J193">
        <f>IFERROR(INDEX('Green_rooibos initial weight'!$C$5:$C$1749,MATCH(H193, 'Green_rooibos initial weight'!$A$5:$A$1749,0)),"")</f>
        <v>2.0150000000000001</v>
      </c>
      <c r="K193">
        <f>IFERROR(INDEX('Green_rooibos initial weight'!$C$5:$C$1749,MATCH(I193, 'Green_rooibos initial weight'!$A$5:$A$1749,0)),"")</f>
        <v>2.1579999999999999</v>
      </c>
      <c r="L193" s="195">
        <f t="shared" si="17"/>
        <v>1.7652000000000001</v>
      </c>
      <c r="M193" s="240">
        <f>AVERAGE(Ashed_controlls!$K$1:$K$11)</f>
        <v>5.5147656768714146</v>
      </c>
      <c r="N193" s="195">
        <f t="shared" si="12"/>
        <v>1.6678533562718658</v>
      </c>
      <c r="O193" s="195">
        <f t="shared" si="18"/>
        <v>1.9081999999999999</v>
      </c>
      <c r="P193" s="240">
        <f>AVERAGE(Ashed_controlls!$K$12:$K$14)</f>
        <v>2.2816647271287041</v>
      </c>
      <c r="Q193" s="195">
        <f t="shared" si="13"/>
        <v>1.8646612736769299</v>
      </c>
      <c r="R193" s="16">
        <f>IF('Dry_Litterbag Placem_Collection'!G120="N.A","",'Dry_Litterbag Placem_Collection'!G120)</f>
        <v>43008</v>
      </c>
      <c r="S193" s="195">
        <f>IF(IFERROR(INDEX('Both teabags AfterDry'!$D$1:$D$839,MATCH(H193,'Both teabags AfterDry'!$A$1:$A$839,0)),"")="N.A","",(IFERROR(INDEX('Both teabags AfterDry'!$D$1:$D$839,MATCH(H193,'Both teabags AfterDry'!$A$1:$A$839,0)),"")))</f>
        <v>0.71760000000000002</v>
      </c>
      <c r="T193" s="195">
        <f>IF(IFERROR(INDEX('Both teabags AfterDry'!$D$1:$D$839,MATCH(I193,'Both teabags AfterDry'!$A$1:$A$839,0)),"")="N.A","",(IFERROR(INDEX('Both teabags AfterDry'!$D$1:$D$839,MATCH(I193,'Both teabags AfterDry'!$A$1:$A$839,0)),"")))</f>
        <v>1.629</v>
      </c>
      <c r="U193" s="195">
        <f t="shared" si="19"/>
        <v>0.56699999999999995</v>
      </c>
      <c r="V193" s="195">
        <f t="shared" si="19"/>
        <v>1.4783999999999999</v>
      </c>
      <c r="W193" s="195">
        <f>IFERROR(INDEX('Ashed teabags dry'!$K$2:$K$821,MATCH(H193,'Ashed teabags dry'!$A$2:$A$821,0)),"")</f>
        <v>18.547215496368619</v>
      </c>
      <c r="X193" s="195">
        <f>IFERROR(INDEX('Ashed teabags dry'!$K$2:$K$821,MATCH(I193,'Ashed teabags dry'!$A$2:$A$821,0)),"")</f>
        <v>7.1167883211671752</v>
      </c>
      <c r="Y193" s="195">
        <f t="shared" si="14"/>
        <v>0.46183728813558989</v>
      </c>
      <c r="Z193" s="195">
        <f t="shared" si="14"/>
        <v>1.3731854014598643</v>
      </c>
      <c r="AA193" s="195">
        <f t="shared" si="20"/>
        <v>0.72309478744106759</v>
      </c>
      <c r="AB193" s="195">
        <f t="shared" si="21"/>
        <v>0.47404788915376406</v>
      </c>
      <c r="AC193" s="195">
        <f t="shared" si="15"/>
        <v>0.73642619216951766</v>
      </c>
      <c r="AD193">
        <f t="shared" si="16"/>
        <v>69</v>
      </c>
      <c r="AE193" s="195">
        <f t="shared" si="22"/>
        <v>0.14121759211274632</v>
      </c>
      <c r="AF193" s="195">
        <f t="shared" si="23"/>
        <v>1.1767330900373648E-2</v>
      </c>
      <c r="AG193" s="255" t="str">
        <f>IF(ISNUMBER(SEARCH("C", 'Dry_Litterbag Placem_Collection'!AB120)),"YES","NO")</f>
        <v>NO</v>
      </c>
      <c r="AH193" s="255" t="str">
        <f>IF(ISNUMBER(SEARCH("H", 'Dry_Litterbag Placem_Collection'!AB120)),"YES","NO")</f>
        <v>NO</v>
      </c>
      <c r="AI193" s="255" t="str">
        <f>IF(ISNUMBER(SEARCH("R", 'Dry_Litterbag Placem_Collection'!AB120)),"YES","NO")</f>
        <v>NO</v>
      </c>
      <c r="AJ193" s="255" t="str">
        <f>IF(ISNUMBER(SEARCH("C", 'Dry_Litterbag Placem_Collection'!AA120)),"YES","NO")</f>
        <v>NO</v>
      </c>
      <c r="AK193" s="255" t="str">
        <f>IF(ISNUMBER(SEARCH("H", 'Dry_Litterbag Placem_Collection'!AA120)),"YES","NO")</f>
        <v>NO</v>
      </c>
      <c r="AL193" s="255" t="str">
        <f>IF(ISNUMBER(SEARCH("R", 'Dry_Litterbag Placem_Collection'!AA120)),"YES","NO")</f>
        <v>NO</v>
      </c>
      <c r="AR193" t="s">
        <v>1850</v>
      </c>
      <c r="AT193" t="s">
        <v>348</v>
      </c>
    </row>
    <row r="194" spans="2:46">
      <c r="B194" t="str">
        <f>'Final data_for_R_analysis_Dryse'!A120</f>
        <v>Dry</v>
      </c>
      <c r="C194" s="263">
        <f>'Final data_for_R_analysis_Dryse'!B120</f>
        <v>119</v>
      </c>
      <c r="D194" t="s">
        <v>3844</v>
      </c>
      <c r="E194" t="s">
        <v>22</v>
      </c>
      <c r="F194" s="387">
        <v>7</v>
      </c>
      <c r="G194" s="16">
        <f>'Dry_Litterbag Placem_Collection'!E121</f>
        <v>42939</v>
      </c>
      <c r="H194" t="str">
        <f>'Final data_for_R_analysis_Dryse'!J120</f>
        <v>G236</v>
      </c>
      <c r="I194" t="str">
        <f>'Final data_for_R_analysis_Dryse'!J340</f>
        <v>R802</v>
      </c>
      <c r="J194">
        <f>IFERROR(INDEX('Green_rooibos initial weight'!$C$5:$C$1749,MATCH(H194, 'Green_rooibos initial weight'!$A$5:$A$1749,0)),"")</f>
        <v>2.0529999999999999</v>
      </c>
      <c r="K194">
        <f>IFERROR(INDEX('Green_rooibos initial weight'!$C$5:$C$1749,MATCH(I194, 'Green_rooibos initial weight'!$A$5:$A$1749,0)),"")</f>
        <v>2.25</v>
      </c>
      <c r="L194" s="195">
        <f t="shared" si="17"/>
        <v>1.8031999999999999</v>
      </c>
      <c r="M194" s="240">
        <f>AVERAGE(Ashed_controlls!$K$1:$K$11)</f>
        <v>5.5147656768714146</v>
      </c>
      <c r="N194" s="195">
        <f t="shared" si="12"/>
        <v>1.7037577453146546</v>
      </c>
      <c r="O194" s="195">
        <f t="shared" si="18"/>
        <v>2.0002</v>
      </c>
      <c r="P194" s="240">
        <f>AVERAGE(Ashed_controlls!$K$12:$K$14)</f>
        <v>2.2816647271287041</v>
      </c>
      <c r="Q194" s="195">
        <f t="shared" si="13"/>
        <v>1.9545621421279717</v>
      </c>
      <c r="R194" s="16">
        <f>IF('Dry_Litterbag Placem_Collection'!G121="N.A","",'Dry_Litterbag Placem_Collection'!G121)</f>
        <v>43008</v>
      </c>
      <c r="S194" s="195">
        <f>IF(IFERROR(INDEX('Both teabags AfterDry'!$D$1:$D$839,MATCH(H194,'Both teabags AfterDry'!$A$1:$A$839,0)),"")="N.A","",(IFERROR(INDEX('Both teabags AfterDry'!$D$1:$D$839,MATCH(H194,'Both teabags AfterDry'!$A$1:$A$839,0)),"")))</f>
        <v>0.81489999999999996</v>
      </c>
      <c r="T194" s="195">
        <f>IF(IFERROR(INDEX('Both teabags AfterDry'!$D$1:$D$839,MATCH(I194,'Both teabags AfterDry'!$A$1:$A$839,0)),"")="N.A","",(IFERROR(INDEX('Both teabags AfterDry'!$D$1:$D$839,MATCH(I194,'Both teabags AfterDry'!$A$1:$A$839,0)),"")))</f>
        <v>1.6778</v>
      </c>
      <c r="U194" s="195">
        <f t="shared" si="19"/>
        <v>0.66429999999999989</v>
      </c>
      <c r="V194" s="195">
        <f t="shared" si="19"/>
        <v>1.5271999999999999</v>
      </c>
      <c r="W194" s="195">
        <f>IFERROR(INDEX('Ashed teabags dry'!$K$2:$K$821,MATCH(H194,'Ashed teabags dry'!$A$2:$A$821,0)),"")</f>
        <v>19.0062711046786</v>
      </c>
      <c r="X194" s="195">
        <f>IFERROR(INDEX('Ashed teabags dry'!$K$2:$K$821,MATCH(I194,'Ashed teabags dry'!$A$2:$A$821,0)),"")</f>
        <v>9.0650213573804805</v>
      </c>
      <c r="Y194" s="195">
        <f t="shared" si="14"/>
        <v>0.53804134105162005</v>
      </c>
      <c r="Z194" s="195">
        <f t="shared" si="14"/>
        <v>1.3887589938300853</v>
      </c>
      <c r="AA194" s="195">
        <f t="shared" si="20"/>
        <v>0.68420314300478613</v>
      </c>
      <c r="AB194" s="195">
        <f t="shared" si="21"/>
        <v>0.44855122914328027</v>
      </c>
      <c r="AC194" s="195">
        <f t="shared" si="15"/>
        <v>0.71052179099208124</v>
      </c>
      <c r="AD194">
        <f t="shared" si="16"/>
        <v>69</v>
      </c>
      <c r="AE194" s="195">
        <f t="shared" si="22"/>
        <v>0.1874071935810141</v>
      </c>
      <c r="AF194" s="195">
        <f t="shared" si="23"/>
        <v>1.502405152648441E-2</v>
      </c>
      <c r="AG194" s="255" t="str">
        <f>IF(ISNUMBER(SEARCH("C", 'Dry_Litterbag Placem_Collection'!AB121)),"YES","NO")</f>
        <v>NO</v>
      </c>
      <c r="AH194" s="255" t="str">
        <f>IF(ISNUMBER(SEARCH("H", 'Dry_Litterbag Placem_Collection'!AB121)),"YES","NO")</f>
        <v>NO</v>
      </c>
      <c r="AI194" s="255" t="str">
        <f>IF(ISNUMBER(SEARCH("R", 'Dry_Litterbag Placem_Collection'!AB121)),"YES","NO")</f>
        <v>NO</v>
      </c>
      <c r="AJ194" s="255" t="str">
        <f>IF(ISNUMBER(SEARCH("C", 'Dry_Litterbag Placem_Collection'!AA121)),"YES","NO")</f>
        <v>NO</v>
      </c>
      <c r="AK194" s="255" t="str">
        <f>IF(ISNUMBER(SEARCH("H", 'Dry_Litterbag Placem_Collection'!AA121)),"YES","NO")</f>
        <v>NO</v>
      </c>
      <c r="AL194" s="255" t="str">
        <f>IF(ISNUMBER(SEARCH("R", 'Dry_Litterbag Placem_Collection'!AA121)),"YES","NO")</f>
        <v>NO</v>
      </c>
      <c r="AR194" t="s">
        <v>1814</v>
      </c>
      <c r="AT194" t="s">
        <v>337</v>
      </c>
    </row>
    <row r="195" spans="2:46">
      <c r="B195" t="str">
        <f>'Final data_for_R_analysis_Dryse'!A121</f>
        <v>Dry</v>
      </c>
      <c r="C195" s="263">
        <f>'Final data_for_R_analysis_Dryse'!B121</f>
        <v>120</v>
      </c>
      <c r="D195" t="s">
        <v>3844</v>
      </c>
      <c r="E195" t="s">
        <v>22</v>
      </c>
      <c r="F195" s="387">
        <v>8</v>
      </c>
      <c r="G195" s="16">
        <f>'Dry_Litterbag Placem_Collection'!E122</f>
        <v>0</v>
      </c>
      <c r="H195" t="str">
        <f>'Final data_for_R_analysis_Dryse'!J121</f>
        <v/>
      </c>
      <c r="I195" t="str">
        <f>'Final data_for_R_analysis_Dryse'!J341</f>
        <v/>
      </c>
      <c r="J195" t="str">
        <f>IFERROR(INDEX('Green_rooibos initial weight'!$C$5:$C$1749,MATCH(H195, 'Green_rooibos initial weight'!$A$5:$A$1749,0)),"")</f>
        <v/>
      </c>
      <c r="K195" t="str">
        <f>IFERROR(INDEX('Green_rooibos initial weight'!$C$5:$C$1749,MATCH(I195, 'Green_rooibos initial weight'!$A$5:$A$1749,0)),"")</f>
        <v/>
      </c>
      <c r="L195" s="195" t="str">
        <f t="shared" si="17"/>
        <v/>
      </c>
      <c r="M195" s="240">
        <f>AVERAGE(Ashed_controlls!$K$1:$K$11)</f>
        <v>5.5147656768714146</v>
      </c>
      <c r="N195" s="195" t="str">
        <f t="shared" si="12"/>
        <v/>
      </c>
      <c r="O195" s="195" t="str">
        <f t="shared" si="18"/>
        <v/>
      </c>
      <c r="P195" s="240">
        <f>AVERAGE(Ashed_controlls!$K$12:$K$14)</f>
        <v>2.2816647271287041</v>
      </c>
      <c r="Q195" s="195" t="str">
        <f t="shared" si="13"/>
        <v/>
      </c>
      <c r="R195" s="16">
        <f>IF('Dry_Litterbag Placem_Collection'!G122="N.A","",'Dry_Litterbag Placem_Collection'!G122)</f>
        <v>0</v>
      </c>
      <c r="S195" s="195" t="str">
        <f>IF(IFERROR(INDEX('Both teabags AfterDry'!$D$1:$D$839,MATCH(H195,'Both teabags AfterDry'!$A$1:$A$839,0)),"")="N.A","",(IFERROR(INDEX('Both teabags AfterDry'!$D$1:$D$839,MATCH(H195,'Both teabags AfterDry'!$A$1:$A$839,0)),"")))</f>
        <v/>
      </c>
      <c r="T195" s="195" t="str">
        <f>IF(IFERROR(INDEX('Both teabags AfterDry'!$D$1:$D$839,MATCH(I195,'Both teabags AfterDry'!$A$1:$A$839,0)),"")="N.A","",(IFERROR(INDEX('Both teabags AfterDry'!$D$1:$D$839,MATCH(I195,'Both teabags AfterDry'!$A$1:$A$839,0)),"")))</f>
        <v/>
      </c>
      <c r="U195" s="195" t="str">
        <f t="shared" si="19"/>
        <v/>
      </c>
      <c r="V195" s="195" t="str">
        <f t="shared" si="19"/>
        <v/>
      </c>
      <c r="W195" s="195" t="str">
        <f>IFERROR(INDEX('Ashed teabags dry'!$K$2:$K$821,MATCH(H195,'Ashed teabags dry'!$A$2:$A$821,0)),"")</f>
        <v/>
      </c>
      <c r="X195" s="195" t="str">
        <f>IFERROR(INDEX('Ashed teabags dry'!$K$2:$K$821,MATCH(I195,'Ashed teabags dry'!$A$2:$A$821,0)),"")</f>
        <v/>
      </c>
      <c r="Y195" s="195" t="str">
        <f t="shared" si="14"/>
        <v/>
      </c>
      <c r="Z195" s="195" t="str">
        <f t="shared" si="14"/>
        <v/>
      </c>
      <c r="AA195" s="195" t="str">
        <f t="shared" si="20"/>
        <v/>
      </c>
      <c r="AB195" s="195" t="str">
        <f t="shared" si="21"/>
        <v/>
      </c>
      <c r="AC195" s="195" t="str">
        <f t="shared" si="15"/>
        <v/>
      </c>
      <c r="AD195" t="str">
        <f t="shared" si="16"/>
        <v/>
      </c>
      <c r="AE195" s="195" t="str">
        <f t="shared" si="22"/>
        <v/>
      </c>
      <c r="AF195" s="195" t="str">
        <f t="shared" si="23"/>
        <v/>
      </c>
      <c r="AG195" s="255" t="str">
        <f>IF(ISNUMBER(SEARCH("C", 'Dry_Litterbag Placem_Collection'!AB122)),"YES","NO")</f>
        <v>NO</v>
      </c>
      <c r="AH195" s="255" t="str">
        <f>IF(ISNUMBER(SEARCH("H", 'Dry_Litterbag Placem_Collection'!AB122)),"YES","NO")</f>
        <v>NO</v>
      </c>
      <c r="AI195" s="255" t="str">
        <f>IF(ISNUMBER(SEARCH("R", 'Dry_Litterbag Placem_Collection'!AB122)),"YES","NO")</f>
        <v>NO</v>
      </c>
      <c r="AJ195" s="255" t="str">
        <f>IF(ISNUMBER(SEARCH("C", 'Dry_Litterbag Placem_Collection'!AA122)),"YES","NO")</f>
        <v>NO</v>
      </c>
      <c r="AK195" s="255" t="str">
        <f>IF(ISNUMBER(SEARCH("H", 'Dry_Litterbag Placem_Collection'!AA122)),"YES","NO")</f>
        <v>NO</v>
      </c>
      <c r="AL195" s="255" t="str">
        <f>IF(ISNUMBER(SEARCH("R", 'Dry_Litterbag Placem_Collection'!AA122)),"YES","NO")</f>
        <v>NO</v>
      </c>
      <c r="AR195" t="s">
        <v>3654</v>
      </c>
      <c r="AT195" t="s">
        <v>3654</v>
      </c>
    </row>
    <row r="196" spans="2:46">
      <c r="B196" t="str">
        <f>'Final data_for_R_analysis_Dryse'!A122</f>
        <v>Dry</v>
      </c>
      <c r="C196" s="263">
        <f>'Final data_for_R_analysis_Dryse'!B122</f>
        <v>121</v>
      </c>
      <c r="D196" t="s">
        <v>3845</v>
      </c>
      <c r="E196" t="s">
        <v>22</v>
      </c>
      <c r="F196" s="386">
        <v>1</v>
      </c>
      <c r="G196" s="16">
        <f>'Dry_Litterbag Placem_Collection'!E123</f>
        <v>42939</v>
      </c>
      <c r="H196" t="str">
        <f>'Final data_for_R_analysis_Dryse'!J122</f>
        <v>G280</v>
      </c>
      <c r="I196" t="str">
        <f>'Final data_for_R_analysis_Dryse'!J342</f>
        <v>R822</v>
      </c>
      <c r="J196">
        <f>IFERROR(INDEX('Green_rooibos initial weight'!$C$5:$C$1749,MATCH(H196, 'Green_rooibos initial weight'!$A$5:$A$1749,0)),"")</f>
        <v>1.9450000000000001</v>
      </c>
      <c r="K196">
        <f>IFERROR(INDEX('Green_rooibos initial weight'!$C$5:$C$1749,MATCH(I196, 'Green_rooibos initial weight'!$A$5:$A$1749,0)),"")</f>
        <v>2.1880000000000002</v>
      </c>
      <c r="L196" s="195">
        <f t="shared" si="17"/>
        <v>1.6952</v>
      </c>
      <c r="M196" s="240">
        <f>AVERAGE(Ashed_controlls!$K$1:$K$11)</f>
        <v>5.5147656768714146</v>
      </c>
      <c r="N196" s="195">
        <f t="shared" si="12"/>
        <v>1.6017136922456758</v>
      </c>
      <c r="O196" s="195">
        <f t="shared" si="18"/>
        <v>1.9382000000000001</v>
      </c>
      <c r="P196" s="240">
        <f>AVERAGE(Ashed_controlls!$K$12:$K$14)</f>
        <v>2.2816647271287041</v>
      </c>
      <c r="Q196" s="195">
        <f t="shared" si="13"/>
        <v>1.8939767742587916</v>
      </c>
      <c r="R196" s="16">
        <f>IF('Dry_Litterbag Placem_Collection'!G123="N.A","",'Dry_Litterbag Placem_Collection'!G123)</f>
        <v>43008</v>
      </c>
      <c r="S196" s="195" t="str">
        <f>IF(IFERROR(INDEX('Both teabags AfterDry'!$D$1:$D$839,MATCH(H196,'Both teabags AfterDry'!$A$1:$A$839,0)),"")="N.A","",(IFERROR(INDEX('Both teabags AfterDry'!$D$1:$D$839,MATCH(H196,'Both teabags AfterDry'!$A$1:$A$839,0)),"")))</f>
        <v/>
      </c>
      <c r="T196" s="195" t="str">
        <f>IF(IFERROR(INDEX('Both teabags AfterDry'!$D$1:$D$839,MATCH(I196,'Both teabags AfterDry'!$A$1:$A$839,0)),"")="N.A","",(IFERROR(INDEX('Both teabags AfterDry'!$D$1:$D$839,MATCH(I196,'Both teabags AfterDry'!$A$1:$A$839,0)),"")))</f>
        <v/>
      </c>
      <c r="U196" s="195" t="str">
        <f t="shared" si="19"/>
        <v/>
      </c>
      <c r="V196" s="195" t="str">
        <f t="shared" si="19"/>
        <v/>
      </c>
      <c r="W196" s="195" t="str">
        <f>IFERROR(INDEX('Ashed teabags dry'!$K$2:$K$821,MATCH(H196,'Ashed teabags dry'!$A$2:$A$821,0)),"")</f>
        <v/>
      </c>
      <c r="X196" s="195" t="str">
        <f>IFERROR(INDEX('Ashed teabags dry'!$K$2:$K$821,MATCH(I196,'Ashed teabags dry'!$A$2:$A$821,0)),"")</f>
        <v/>
      </c>
      <c r="Y196" s="195" t="str">
        <f t="shared" si="14"/>
        <v/>
      </c>
      <c r="Z196" s="195" t="str">
        <f t="shared" si="14"/>
        <v/>
      </c>
      <c r="AA196" s="195" t="str">
        <f t="shared" si="20"/>
        <v/>
      </c>
      <c r="AB196" s="195" t="str">
        <f t="shared" si="21"/>
        <v/>
      </c>
      <c r="AC196" s="195" t="str">
        <f t="shared" si="15"/>
        <v/>
      </c>
      <c r="AD196">
        <f t="shared" si="16"/>
        <v>69</v>
      </c>
      <c r="AE196" s="195" t="str">
        <f t="shared" si="22"/>
        <v/>
      </c>
      <c r="AF196" s="195" t="str">
        <f t="shared" si="23"/>
        <v/>
      </c>
      <c r="AG196" s="255" t="str">
        <f>IF(ISNUMBER(SEARCH("C", 'Dry_Litterbag Placem_Collection'!AB123)),"YES","NO")</f>
        <v>NO</v>
      </c>
      <c r="AH196" s="255" t="str">
        <f>IF(ISNUMBER(SEARCH("H", 'Dry_Litterbag Placem_Collection'!AB123)),"YES","NO")</f>
        <v>NO</v>
      </c>
      <c r="AI196" s="255" t="str">
        <f>IF(ISNUMBER(SEARCH("R", 'Dry_Litterbag Placem_Collection'!AB123)),"YES","NO")</f>
        <v>NO</v>
      </c>
      <c r="AJ196" s="255" t="str">
        <f>IF(ISNUMBER(SEARCH("C", 'Dry_Litterbag Placem_Collection'!AA123)),"YES","NO")</f>
        <v>NO</v>
      </c>
      <c r="AK196" s="255" t="str">
        <f>IF(ISNUMBER(SEARCH("H", 'Dry_Litterbag Placem_Collection'!AA123)),"YES","NO")</f>
        <v>NO</v>
      </c>
      <c r="AL196" s="255" t="str">
        <f>IF(ISNUMBER(SEARCH("R", 'Dry_Litterbag Placem_Collection'!AA123)),"YES","NO")</f>
        <v>NO</v>
      </c>
      <c r="AR196" t="s">
        <v>1770</v>
      </c>
      <c r="AT196" t="s">
        <v>317</v>
      </c>
    </row>
    <row r="197" spans="2:46">
      <c r="B197" t="str">
        <f>'Final data_for_R_analysis_Dryse'!A123</f>
        <v>Dry</v>
      </c>
      <c r="C197" s="263">
        <f>'Final data_for_R_analysis_Dryse'!B123</f>
        <v>122</v>
      </c>
      <c r="D197" t="s">
        <v>3845</v>
      </c>
      <c r="E197" t="s">
        <v>22</v>
      </c>
      <c r="F197" s="386">
        <v>2</v>
      </c>
      <c r="G197" s="16">
        <f>'Dry_Litterbag Placem_Collection'!E124</f>
        <v>42939</v>
      </c>
      <c r="H197" t="str">
        <f>'Final data_for_R_analysis_Dryse'!J123</f>
        <v>G231</v>
      </c>
      <c r="I197" t="str">
        <f>'Final data_for_R_analysis_Dryse'!J343</f>
        <v>R792</v>
      </c>
      <c r="J197">
        <f>IFERROR(INDEX('Green_rooibos initial weight'!$C$5:$C$1749,MATCH(H197, 'Green_rooibos initial weight'!$A$5:$A$1749,0)),"")</f>
        <v>2.085</v>
      </c>
      <c r="K197">
        <f>IFERROR(INDEX('Green_rooibos initial weight'!$C$5:$C$1749,MATCH(I197, 'Green_rooibos initial weight'!$A$5:$A$1749,0)),"")</f>
        <v>2.2389999999999999</v>
      </c>
      <c r="L197" s="195">
        <f t="shared" si="17"/>
        <v>1.8351999999999999</v>
      </c>
      <c r="M197" s="240">
        <f>AVERAGE(Ashed_controlls!$K$1:$K$11)</f>
        <v>5.5147656768714146</v>
      </c>
      <c r="N197" s="195">
        <f t="shared" si="12"/>
        <v>1.7339930202980558</v>
      </c>
      <c r="O197" s="195">
        <f t="shared" si="18"/>
        <v>1.9891999999999999</v>
      </c>
      <c r="P197" s="240">
        <f>AVERAGE(Ashed_controlls!$K$12:$K$14)</f>
        <v>2.2816647271287041</v>
      </c>
      <c r="Q197" s="195">
        <f t="shared" si="13"/>
        <v>1.9438131252479556</v>
      </c>
      <c r="R197" s="16">
        <f>IF('Dry_Litterbag Placem_Collection'!G124="N.A","",'Dry_Litterbag Placem_Collection'!G124)</f>
        <v>43008</v>
      </c>
      <c r="S197" s="195">
        <f>IF(IFERROR(INDEX('Both teabags AfterDry'!$D$1:$D$839,MATCH(H197,'Both teabags AfterDry'!$A$1:$A$839,0)),"")="N.A","",(IFERROR(INDEX('Both teabags AfterDry'!$D$1:$D$839,MATCH(H197,'Both teabags AfterDry'!$A$1:$A$839,0)),"")))</f>
        <v>1.8747</v>
      </c>
      <c r="T197" s="195">
        <f>IF(IFERROR(INDEX('Both teabags AfterDry'!$D$1:$D$839,MATCH(I197,'Both teabags AfterDry'!$A$1:$A$839,0)),"")="N.A","",(IFERROR(INDEX('Both teabags AfterDry'!$D$1:$D$839,MATCH(I197,'Both teabags AfterDry'!$A$1:$A$839,0)),"")))</f>
        <v>0</v>
      </c>
      <c r="U197" s="195">
        <f t="shared" si="19"/>
        <v>1.7241</v>
      </c>
      <c r="V197" s="195" t="str">
        <f t="shared" si="19"/>
        <v/>
      </c>
      <c r="W197" s="195">
        <f>IFERROR(INDEX('Ashed teabags dry'!$K$2:$K$821,MATCH(H197,'Ashed teabags dry'!$A$2:$A$821,0)),"")</f>
        <v>27.063339731285495</v>
      </c>
      <c r="X197" s="195">
        <f>IFERROR(INDEX('Ashed teabags dry'!$K$2:$K$821,MATCH(I197,'Ashed teabags dry'!$A$2:$A$821,0)),"")</f>
        <v>0</v>
      </c>
      <c r="Y197" s="195">
        <f t="shared" si="14"/>
        <v>1.2575009596929068</v>
      </c>
      <c r="Z197" s="195" t="str">
        <f t="shared" si="14"/>
        <v/>
      </c>
      <c r="AA197" s="195">
        <f t="shared" si="20"/>
        <v>0.27479468200122559</v>
      </c>
      <c r="AB197" s="195">
        <f t="shared" si="21"/>
        <v>0.18015043285591034</v>
      </c>
      <c r="AC197" s="195" t="str">
        <f t="shared" si="15"/>
        <v/>
      </c>
      <c r="AD197">
        <f t="shared" si="16"/>
        <v>69</v>
      </c>
      <c r="AE197" s="195">
        <f t="shared" si="22"/>
        <v>0.67364052018856824</v>
      </c>
      <c r="AF197" s="195" t="str">
        <f t="shared" si="23"/>
        <v/>
      </c>
      <c r="AG197" s="255" t="str">
        <f>IF(ISNUMBER(SEARCH("C", 'Dry_Litterbag Placem_Collection'!AB124)),"YES","NO")</f>
        <v>NO</v>
      </c>
      <c r="AH197" s="255" t="str">
        <f>IF(ISNUMBER(SEARCH("H", 'Dry_Litterbag Placem_Collection'!AB124)),"YES","NO")</f>
        <v>NO</v>
      </c>
      <c r="AI197" s="255" t="str">
        <f>IF(ISNUMBER(SEARCH("R", 'Dry_Litterbag Placem_Collection'!AB124)),"YES","NO")</f>
        <v>NO</v>
      </c>
      <c r="AJ197" s="255" t="str">
        <f>IF(ISNUMBER(SEARCH("C", 'Dry_Litterbag Placem_Collection'!AA124)),"YES","NO")</f>
        <v>NO</v>
      </c>
      <c r="AK197" s="255" t="str">
        <f>IF(ISNUMBER(SEARCH("H", 'Dry_Litterbag Placem_Collection'!AA124)),"YES","NO")</f>
        <v>NO</v>
      </c>
      <c r="AL197" s="255" t="str">
        <f>IF(ISNUMBER(SEARCH("R", 'Dry_Litterbag Placem_Collection'!AA124)),"YES","NO")</f>
        <v>NO</v>
      </c>
      <c r="AR197" t="s">
        <v>1819</v>
      </c>
      <c r="AT197" t="s">
        <v>347</v>
      </c>
    </row>
    <row r="198" spans="2:46">
      <c r="B198" t="str">
        <f>'Final data_for_R_analysis_Dryse'!A124</f>
        <v>Dry</v>
      </c>
      <c r="C198" s="263">
        <f>'Final data_for_R_analysis_Dryse'!B124</f>
        <v>123</v>
      </c>
      <c r="D198" t="s">
        <v>3845</v>
      </c>
      <c r="E198" t="s">
        <v>22</v>
      </c>
      <c r="F198" s="386">
        <v>3</v>
      </c>
      <c r="G198" s="16">
        <f>'Dry_Litterbag Placem_Collection'!E125</f>
        <v>42939</v>
      </c>
      <c r="H198" t="str">
        <f>'Final data_for_R_analysis_Dryse'!J124</f>
        <v>G292</v>
      </c>
      <c r="I198" t="str">
        <f>'Final data_for_R_analysis_Dryse'!J344</f>
        <v>R740</v>
      </c>
      <c r="J198">
        <f>IFERROR(INDEX('Green_rooibos initial weight'!$C$5:$C$1749,MATCH(H198, 'Green_rooibos initial weight'!$A$5:$A$1749,0)),"")</f>
        <v>2.0289999999999999</v>
      </c>
      <c r="K198">
        <f>IFERROR(INDEX('Green_rooibos initial weight'!$C$5:$C$1749,MATCH(I198, 'Green_rooibos initial weight'!$A$5:$A$1749,0)),"")</f>
        <v>2.161</v>
      </c>
      <c r="L198" s="195">
        <f t="shared" si="17"/>
        <v>1.7791999999999999</v>
      </c>
      <c r="M198" s="240">
        <f>AVERAGE(Ashed_controlls!$K$1:$K$11)</f>
        <v>5.5147656768714146</v>
      </c>
      <c r="N198" s="195">
        <f t="shared" si="12"/>
        <v>1.6810812890771036</v>
      </c>
      <c r="O198" s="195">
        <f t="shared" si="18"/>
        <v>1.9112</v>
      </c>
      <c r="P198" s="240">
        <f>AVERAGE(Ashed_controlls!$K$12:$K$14)</f>
        <v>2.2816647271287041</v>
      </c>
      <c r="Q198" s="195">
        <f t="shared" si="13"/>
        <v>1.8675928237351163</v>
      </c>
      <c r="R198" s="16">
        <f>IF('Dry_Litterbag Placem_Collection'!G125="N.A","",'Dry_Litterbag Placem_Collection'!G125)</f>
        <v>43008</v>
      </c>
      <c r="S198" s="195">
        <f>IF(IFERROR(INDEX('Both teabags AfterDry'!$D$1:$D$839,MATCH(H198,'Both teabags AfterDry'!$A$1:$A$839,0)),"")="N.A","",(IFERROR(INDEX('Both teabags AfterDry'!$D$1:$D$839,MATCH(H198,'Both teabags AfterDry'!$A$1:$A$839,0)),"")))</f>
        <v>0.88980000000000004</v>
      </c>
      <c r="T198" s="195">
        <f>IF(IFERROR(INDEX('Both teabags AfterDry'!$D$1:$D$839,MATCH(I198,'Both teabags AfterDry'!$A$1:$A$839,0)),"")="N.A","",(IFERROR(INDEX('Both teabags AfterDry'!$D$1:$D$839,MATCH(I198,'Both teabags AfterDry'!$A$1:$A$839,0)),"")))</f>
        <v>1.6575</v>
      </c>
      <c r="U198" s="195">
        <f t="shared" si="19"/>
        <v>0.73920000000000008</v>
      </c>
      <c r="V198" s="195">
        <f t="shared" si="19"/>
        <v>1.5068999999999999</v>
      </c>
      <c r="W198" s="195">
        <f>IFERROR(INDEX('Ashed teabags dry'!$K$2:$K$821,MATCH(H198,'Ashed teabags dry'!$A$2:$A$821,0)),"")</f>
        <v>18.857705563761883</v>
      </c>
      <c r="X198" s="195">
        <f>IFERROR(INDEX('Ashed teabags dry'!$K$2:$K$821,MATCH(I198,'Ashed teabags dry'!$A$2:$A$821,0)),"")</f>
        <v>10.523831996223592</v>
      </c>
      <c r="Y198" s="195">
        <f t="shared" si="14"/>
        <v>0.59980384047267221</v>
      </c>
      <c r="Z198" s="195">
        <f t="shared" si="14"/>
        <v>1.3483163756489067</v>
      </c>
      <c r="AA198" s="195">
        <f t="shared" si="20"/>
        <v>0.64320354740135244</v>
      </c>
      <c r="AB198" s="195">
        <f t="shared" si="21"/>
        <v>0.42167263440088665</v>
      </c>
      <c r="AC198" s="195">
        <f t="shared" si="15"/>
        <v>0.72195414252680845</v>
      </c>
      <c r="AD198">
        <f t="shared" si="16"/>
        <v>69</v>
      </c>
      <c r="AE198" s="195">
        <f t="shared" si="22"/>
        <v>0.23610029999839377</v>
      </c>
      <c r="AF198" s="195">
        <f t="shared" si="23"/>
        <v>1.5608857348347166E-2</v>
      </c>
      <c r="AG198" s="255" t="str">
        <f>IF(ISNUMBER(SEARCH("C", 'Dry_Litterbag Placem_Collection'!AB125)),"YES","NO")</f>
        <v>NO</v>
      </c>
      <c r="AH198" s="255" t="str">
        <f>IF(ISNUMBER(SEARCH("H", 'Dry_Litterbag Placem_Collection'!AB125)),"YES","NO")</f>
        <v>NO</v>
      </c>
      <c r="AI198" s="255" t="str">
        <f>IF(ISNUMBER(SEARCH("R", 'Dry_Litterbag Placem_Collection'!AB125)),"YES","NO")</f>
        <v>NO</v>
      </c>
      <c r="AJ198" s="255" t="str">
        <f>IF(ISNUMBER(SEARCH("C", 'Dry_Litterbag Placem_Collection'!AA125)),"YES","NO")</f>
        <v>NO</v>
      </c>
      <c r="AK198" s="255" t="str">
        <f>IF(ISNUMBER(SEARCH("H", 'Dry_Litterbag Placem_Collection'!AA125)),"YES","NO")</f>
        <v>NO</v>
      </c>
      <c r="AL198" s="255" t="str">
        <f>IF(ISNUMBER(SEARCH("R", 'Dry_Litterbag Placem_Collection'!AA125)),"YES","NO")</f>
        <v>NO</v>
      </c>
      <c r="AR198" t="s">
        <v>1758</v>
      </c>
      <c r="AT198" t="s">
        <v>399</v>
      </c>
    </row>
    <row r="199" spans="2:46">
      <c r="B199" t="str">
        <f>'Final data_for_R_analysis_Dryse'!A125</f>
        <v>Dry</v>
      </c>
      <c r="C199" s="263">
        <f>'Final data_for_R_analysis_Dryse'!B125</f>
        <v>124</v>
      </c>
      <c r="D199" t="s">
        <v>3845</v>
      </c>
      <c r="E199" t="s">
        <v>22</v>
      </c>
      <c r="F199" s="387">
        <v>4</v>
      </c>
      <c r="G199" s="16">
        <f>'Dry_Litterbag Placem_Collection'!E126</f>
        <v>42939</v>
      </c>
      <c r="H199" t="str">
        <f>'Final data_for_R_analysis_Dryse'!J125</f>
        <v>G116</v>
      </c>
      <c r="I199" t="str">
        <f>'Final data_for_R_analysis_Dryse'!J345</f>
        <v>R797</v>
      </c>
      <c r="J199">
        <f>IFERROR(INDEX('Green_rooibos initial weight'!$C$5:$C$1749,MATCH(H199, 'Green_rooibos initial weight'!$A$5:$A$1749,0)),"")</f>
        <v>1.925</v>
      </c>
      <c r="K199">
        <f>IFERROR(INDEX('Green_rooibos initial weight'!$C$5:$C$1749,MATCH(I199, 'Green_rooibos initial weight'!$A$5:$A$1749,0)),"")</f>
        <v>2.2130000000000001</v>
      </c>
      <c r="L199" s="195">
        <f t="shared" si="17"/>
        <v>1.6752</v>
      </c>
      <c r="M199" s="240">
        <f>AVERAGE(Ashed_controlls!$K$1:$K$11)</f>
        <v>5.5147656768714146</v>
      </c>
      <c r="N199" s="195">
        <f t="shared" si="12"/>
        <v>1.5828166453810502</v>
      </c>
      <c r="O199" s="195">
        <f t="shared" si="18"/>
        <v>1.9632000000000001</v>
      </c>
      <c r="P199" s="240">
        <f>AVERAGE(Ashed_controlls!$K$12:$K$14)</f>
        <v>2.2816647271287041</v>
      </c>
      <c r="Q199" s="195">
        <f t="shared" si="13"/>
        <v>1.9184063580770094</v>
      </c>
      <c r="R199" s="16">
        <f>IF('Dry_Litterbag Placem_Collection'!G126="N.A","",'Dry_Litterbag Placem_Collection'!G126)</f>
        <v>43008</v>
      </c>
      <c r="S199" s="195">
        <f>IF(IFERROR(INDEX('Both teabags AfterDry'!$D$1:$D$839,MATCH(H199,'Both teabags AfterDry'!$A$1:$A$839,0)),"")="N.A","",(IFERROR(INDEX('Both teabags AfterDry'!$D$1:$D$839,MATCH(H199,'Both teabags AfterDry'!$A$1:$A$839,0)),"")))</f>
        <v>0.63749999999999996</v>
      </c>
      <c r="T199" s="195">
        <f>IF(IFERROR(INDEX('Both teabags AfterDry'!$D$1:$D$839,MATCH(I199,'Both teabags AfterDry'!$A$1:$A$839,0)),"")="N.A","",(IFERROR(INDEX('Both teabags AfterDry'!$D$1:$D$839,MATCH(I199,'Both teabags AfterDry'!$A$1:$A$839,0)),"")))</f>
        <v>1.5708</v>
      </c>
      <c r="U199" s="195">
        <f t="shared" si="19"/>
        <v>0.48689999999999994</v>
      </c>
      <c r="V199" s="195">
        <f t="shared" si="19"/>
        <v>1.4201999999999999</v>
      </c>
      <c r="W199" s="195">
        <f>IFERROR(INDEX('Ashed teabags dry'!$K$2:$K$821,MATCH(H199,'Ashed teabags dry'!$A$2:$A$821,0)),"")</f>
        <v>17.988929889299115</v>
      </c>
      <c r="X199" s="195">
        <f>IFERROR(INDEX('Ashed teabags dry'!$K$2:$K$821,MATCH(I199,'Ashed teabags dry'!$A$2:$A$821,0)),"")</f>
        <v>3.4211742949603519</v>
      </c>
      <c r="Y199" s="195">
        <f t="shared" si="14"/>
        <v>0.39931190036900255</v>
      </c>
      <c r="Z199" s="195">
        <f t="shared" si="14"/>
        <v>1.371612482662973</v>
      </c>
      <c r="AA199" s="195">
        <f t="shared" si="20"/>
        <v>0.74772068417762216</v>
      </c>
      <c r="AB199" s="195">
        <f t="shared" si="21"/>
        <v>0.49019218250124402</v>
      </c>
      <c r="AC199" s="195">
        <f t="shared" si="15"/>
        <v>0.71497494620371416</v>
      </c>
      <c r="AD199">
        <f t="shared" si="16"/>
        <v>69</v>
      </c>
      <c r="AE199" s="195">
        <f t="shared" si="22"/>
        <v>0.111970683874558</v>
      </c>
      <c r="AF199" s="195">
        <f t="shared" si="23"/>
        <v>1.2622791513459209E-2</v>
      </c>
      <c r="AG199" s="255" t="str">
        <f>IF(ISNUMBER(SEARCH("C", 'Dry_Litterbag Placem_Collection'!AB126)),"YES","NO")</f>
        <v>NO</v>
      </c>
      <c r="AH199" s="255" t="str">
        <f>IF(ISNUMBER(SEARCH("H", 'Dry_Litterbag Placem_Collection'!AB126)),"YES","NO")</f>
        <v>NO</v>
      </c>
      <c r="AI199" s="255" t="str">
        <f>IF(ISNUMBER(SEARCH("R", 'Dry_Litterbag Placem_Collection'!AB126)),"YES","NO")</f>
        <v>NO</v>
      </c>
      <c r="AJ199" s="255" t="str">
        <f>IF(ISNUMBER(SEARCH("C", 'Dry_Litterbag Placem_Collection'!AA126)),"YES","NO")</f>
        <v>NO</v>
      </c>
      <c r="AK199" s="255" t="str">
        <f>IF(ISNUMBER(SEARCH("H", 'Dry_Litterbag Placem_Collection'!AA126)),"YES","NO")</f>
        <v>NO</v>
      </c>
      <c r="AL199" s="255" t="str">
        <f>IF(ISNUMBER(SEARCH("R", 'Dry_Litterbag Placem_Collection'!AA126)),"YES","NO")</f>
        <v>NO</v>
      </c>
      <c r="AR199" t="s">
        <v>1934</v>
      </c>
      <c r="AT199" t="s">
        <v>342</v>
      </c>
    </row>
    <row r="200" spans="2:46">
      <c r="B200" t="str">
        <f>'Final data_for_R_analysis_Dryse'!A126</f>
        <v>Dry</v>
      </c>
      <c r="C200" s="263">
        <f>'Final data_for_R_analysis_Dryse'!B126</f>
        <v>125</v>
      </c>
      <c r="D200" t="s">
        <v>3845</v>
      </c>
      <c r="E200" t="s">
        <v>22</v>
      </c>
      <c r="F200" s="387">
        <v>5</v>
      </c>
      <c r="G200" s="16">
        <f>'Dry_Litterbag Placem_Collection'!E127</f>
        <v>42939</v>
      </c>
      <c r="H200" t="str">
        <f>'Final data_for_R_analysis_Dryse'!J126</f>
        <v>G50</v>
      </c>
      <c r="I200" t="str">
        <f>'Final data_for_R_analysis_Dryse'!J346</f>
        <v>R795</v>
      </c>
      <c r="J200">
        <f>IFERROR(INDEX('Green_rooibos initial weight'!$C$5:$C$1749,MATCH(H200, 'Green_rooibos initial weight'!$A$5:$A$1749,0)),"")</f>
        <v>1.954</v>
      </c>
      <c r="K200">
        <f>IFERROR(INDEX('Green_rooibos initial weight'!$C$5:$C$1749,MATCH(I200, 'Green_rooibos initial weight'!$A$5:$A$1749,0)),"")</f>
        <v>2.2170000000000001</v>
      </c>
      <c r="L200" s="195">
        <f t="shared" si="17"/>
        <v>1.7041999999999999</v>
      </c>
      <c r="M200" s="240">
        <f>AVERAGE(Ashed_controlls!$K$1:$K$11)</f>
        <v>5.5147656768714146</v>
      </c>
      <c r="N200" s="195">
        <f t="shared" si="12"/>
        <v>1.6102173633347574</v>
      </c>
      <c r="O200" s="195">
        <f t="shared" si="18"/>
        <v>1.9672000000000001</v>
      </c>
      <c r="P200" s="240">
        <f>AVERAGE(Ashed_controlls!$K$12:$K$14)</f>
        <v>2.2816647271287041</v>
      </c>
      <c r="Q200" s="195">
        <f t="shared" si="13"/>
        <v>1.9223150914879241</v>
      </c>
      <c r="R200" s="16">
        <f>IF('Dry_Litterbag Placem_Collection'!G127="N.A","",'Dry_Litterbag Placem_Collection'!G127)</f>
        <v>43008</v>
      </c>
      <c r="S200" s="195">
        <f>IF(IFERROR(INDEX('Both teabags AfterDry'!$D$1:$D$839,MATCH(H200,'Both teabags AfterDry'!$A$1:$A$839,0)),"")="N.A","",(IFERROR(INDEX('Both teabags AfterDry'!$D$1:$D$839,MATCH(H200,'Both teabags AfterDry'!$A$1:$A$839,0)),"")))</f>
        <v>0.8911</v>
      </c>
      <c r="T200" s="195">
        <f>IF(IFERROR(INDEX('Both teabags AfterDry'!$D$1:$D$839,MATCH(I200,'Both teabags AfterDry'!$A$1:$A$839,0)),"")="N.A","",(IFERROR(INDEX('Both teabags AfterDry'!$D$1:$D$839,MATCH(I200,'Both teabags AfterDry'!$A$1:$A$839,0)),"")))</f>
        <v>0.83220000000000005</v>
      </c>
      <c r="U200" s="195">
        <f t="shared" si="19"/>
        <v>0.74049999999999994</v>
      </c>
      <c r="V200" s="195">
        <f t="shared" si="19"/>
        <v>0.68159999999999998</v>
      </c>
      <c r="W200" s="195">
        <f>IFERROR(INDEX('Ashed teabags dry'!$K$2:$K$821,MATCH(H200,'Ashed teabags dry'!$A$2:$A$821,0)),"")</f>
        <v>30.974309258361465</v>
      </c>
      <c r="X200" s="195">
        <f>IFERROR(INDEX('Ashed teabags dry'!$K$2:$K$821,MATCH(I200,'Ashed teabags dry'!$A$2:$A$821,0)),"")</f>
        <v>91.950000000000998</v>
      </c>
      <c r="Y200" s="195">
        <f t="shared" si="14"/>
        <v>0.5111352399418333</v>
      </c>
      <c r="Z200" s="195">
        <f t="shared" si="14"/>
        <v>5.4868799999993167E-2</v>
      </c>
      <c r="AA200" s="195">
        <f t="shared" si="20"/>
        <v>0.68256755169794392</v>
      </c>
      <c r="AB200" s="195">
        <f t="shared" si="21"/>
        <v>0.44747896500862833</v>
      </c>
      <c r="AC200" s="195">
        <f t="shared" si="15"/>
        <v>2.8543083411743508E-2</v>
      </c>
      <c r="AD200">
        <f t="shared" si="16"/>
        <v>69</v>
      </c>
      <c r="AE200" s="195">
        <f t="shared" si="22"/>
        <v>0.18934970107132554</v>
      </c>
      <c r="AF200" s="195" t="str">
        <f t="shared" si="23"/>
        <v/>
      </c>
      <c r="AG200" s="255" t="str">
        <f>IF(ISNUMBER(SEARCH("C", 'Dry_Litterbag Placem_Collection'!AB127)),"YES","NO")</f>
        <v>NO</v>
      </c>
      <c r="AH200" s="255" t="str">
        <f>IF(ISNUMBER(SEARCH("H", 'Dry_Litterbag Placem_Collection'!AB127)),"YES","NO")</f>
        <v>NO</v>
      </c>
      <c r="AI200" s="255" t="str">
        <f>IF(ISNUMBER(SEARCH("R", 'Dry_Litterbag Placem_Collection'!AB127)),"YES","NO")</f>
        <v>NO</v>
      </c>
      <c r="AJ200" s="255" t="str">
        <f>IF(ISNUMBER(SEARCH("C", 'Dry_Litterbag Placem_Collection'!AA127)),"YES","NO")</f>
        <v>NO</v>
      </c>
      <c r="AK200" s="255" t="str">
        <f>IF(ISNUMBER(SEARCH("H", 'Dry_Litterbag Placem_Collection'!AA127)),"YES","NO")</f>
        <v>NO</v>
      </c>
      <c r="AL200" s="255" t="str">
        <f>IF(ISNUMBER(SEARCH("R", 'Dry_Litterbag Placem_Collection'!AA127)),"YES","NO")</f>
        <v>NO</v>
      </c>
      <c r="AR200" t="s">
        <v>2000</v>
      </c>
      <c r="AT200" t="s">
        <v>344</v>
      </c>
    </row>
    <row r="201" spans="2:46">
      <c r="B201" t="str">
        <f>'Final data_for_R_analysis_Dryse'!A127</f>
        <v>Dry</v>
      </c>
      <c r="C201" s="263">
        <f>'Final data_for_R_analysis_Dryse'!B127</f>
        <v>126</v>
      </c>
      <c r="D201" t="s">
        <v>3845</v>
      </c>
      <c r="E201" t="s">
        <v>22</v>
      </c>
      <c r="F201" s="387">
        <v>6</v>
      </c>
      <c r="G201" s="16">
        <f>'Dry_Litterbag Placem_Collection'!E128</f>
        <v>0</v>
      </c>
      <c r="H201" t="str">
        <f>'Final data_for_R_analysis_Dryse'!J127</f>
        <v/>
      </c>
      <c r="I201" t="str">
        <f>'Final data_for_R_analysis_Dryse'!J347</f>
        <v/>
      </c>
      <c r="J201" t="str">
        <f>IFERROR(INDEX('Green_rooibos initial weight'!$C$5:$C$1749,MATCH(H201, 'Green_rooibos initial weight'!$A$5:$A$1749,0)),"")</f>
        <v/>
      </c>
      <c r="K201" t="str">
        <f>IFERROR(INDEX('Green_rooibos initial weight'!$C$5:$C$1749,MATCH(I201, 'Green_rooibos initial weight'!$A$5:$A$1749,0)),"")</f>
        <v/>
      </c>
      <c r="L201" s="195" t="str">
        <f t="shared" si="17"/>
        <v/>
      </c>
      <c r="M201" s="240">
        <f>AVERAGE(Ashed_controlls!$K$1:$K$11)</f>
        <v>5.5147656768714146</v>
      </c>
      <c r="N201" s="195" t="str">
        <f t="shared" si="12"/>
        <v/>
      </c>
      <c r="O201" s="195" t="str">
        <f t="shared" si="18"/>
        <v/>
      </c>
      <c r="P201" s="240">
        <f>AVERAGE(Ashed_controlls!$K$12:$K$14)</f>
        <v>2.2816647271287041</v>
      </c>
      <c r="Q201" s="195" t="str">
        <f t="shared" si="13"/>
        <v/>
      </c>
      <c r="R201" s="16">
        <f>IF('Dry_Litterbag Placem_Collection'!G128="N.A","",'Dry_Litterbag Placem_Collection'!G128)</f>
        <v>0</v>
      </c>
      <c r="S201" s="195" t="str">
        <f>IF(IFERROR(INDEX('Both teabags AfterDry'!$D$1:$D$839,MATCH(H201,'Both teabags AfterDry'!$A$1:$A$839,0)),"")="N.A","",(IFERROR(INDEX('Both teabags AfterDry'!$D$1:$D$839,MATCH(H201,'Both teabags AfterDry'!$A$1:$A$839,0)),"")))</f>
        <v/>
      </c>
      <c r="T201" s="195" t="str">
        <f>IF(IFERROR(INDEX('Both teabags AfterDry'!$D$1:$D$839,MATCH(I201,'Both teabags AfterDry'!$A$1:$A$839,0)),"")="N.A","",(IFERROR(INDEX('Both teabags AfterDry'!$D$1:$D$839,MATCH(I201,'Both teabags AfterDry'!$A$1:$A$839,0)),"")))</f>
        <v/>
      </c>
      <c r="U201" s="195" t="str">
        <f t="shared" si="19"/>
        <v/>
      </c>
      <c r="V201" s="195" t="str">
        <f t="shared" si="19"/>
        <v/>
      </c>
      <c r="W201" s="195" t="str">
        <f>IFERROR(INDEX('Ashed teabags dry'!$K$2:$K$821,MATCH(H201,'Ashed teabags dry'!$A$2:$A$821,0)),"")</f>
        <v/>
      </c>
      <c r="X201" s="195" t="str">
        <f>IFERROR(INDEX('Ashed teabags dry'!$K$2:$K$821,MATCH(I201,'Ashed teabags dry'!$A$2:$A$821,0)),"")</f>
        <v/>
      </c>
      <c r="Y201" s="195" t="str">
        <f t="shared" si="14"/>
        <v/>
      </c>
      <c r="Z201" s="195" t="str">
        <f t="shared" si="14"/>
        <v/>
      </c>
      <c r="AA201" s="195" t="str">
        <f t="shared" si="20"/>
        <v/>
      </c>
      <c r="AB201" s="195" t="str">
        <f t="shared" si="21"/>
        <v/>
      </c>
      <c r="AC201" s="195" t="str">
        <f t="shared" si="15"/>
        <v/>
      </c>
      <c r="AD201" t="str">
        <f t="shared" si="16"/>
        <v/>
      </c>
      <c r="AE201" s="195" t="str">
        <f t="shared" si="22"/>
        <v/>
      </c>
      <c r="AF201" s="195" t="str">
        <f t="shared" si="23"/>
        <v/>
      </c>
      <c r="AG201" s="255" t="str">
        <f>IF(ISNUMBER(SEARCH("C", 'Dry_Litterbag Placem_Collection'!AB128)),"YES","NO")</f>
        <v>NO</v>
      </c>
      <c r="AH201" s="255" t="str">
        <f>IF(ISNUMBER(SEARCH("H", 'Dry_Litterbag Placem_Collection'!AB128)),"YES","NO")</f>
        <v>NO</v>
      </c>
      <c r="AI201" s="255" t="str">
        <f>IF(ISNUMBER(SEARCH("R", 'Dry_Litterbag Placem_Collection'!AB128)),"YES","NO")</f>
        <v>NO</v>
      </c>
      <c r="AJ201" s="255" t="str">
        <f>IF(ISNUMBER(SEARCH("C", 'Dry_Litterbag Placem_Collection'!AA128)),"YES","NO")</f>
        <v>NO</v>
      </c>
      <c r="AK201" s="255" t="str">
        <f>IF(ISNUMBER(SEARCH("H", 'Dry_Litterbag Placem_Collection'!AA128)),"YES","NO")</f>
        <v>NO</v>
      </c>
      <c r="AL201" s="255" t="str">
        <f>IF(ISNUMBER(SEARCH("R", 'Dry_Litterbag Placem_Collection'!AA128)),"YES","NO")</f>
        <v>NO</v>
      </c>
      <c r="AR201" t="s">
        <v>3654</v>
      </c>
      <c r="AT201" t="s">
        <v>3654</v>
      </c>
    </row>
    <row r="202" spans="2:46">
      <c r="B202" t="str">
        <f>'Final data_for_R_analysis_Dryse'!A128</f>
        <v>Dry</v>
      </c>
      <c r="C202" s="263">
        <f>'Final data_for_R_analysis_Dryse'!B128</f>
        <v>127</v>
      </c>
      <c r="D202" t="s">
        <v>3845</v>
      </c>
      <c r="E202" t="s">
        <v>22</v>
      </c>
      <c r="F202" s="387">
        <v>7</v>
      </c>
      <c r="G202" s="16">
        <f>'Dry_Litterbag Placem_Collection'!E129</f>
        <v>42939</v>
      </c>
      <c r="H202" t="str">
        <f>'Final data_for_R_analysis_Dryse'!J128</f>
        <v>G318</v>
      </c>
      <c r="I202" t="str">
        <f>'Final data_for_R_analysis_Dryse'!J348</f>
        <v>R751</v>
      </c>
      <c r="J202">
        <f>IFERROR(INDEX('Green_rooibos initial weight'!$C$5:$C$1749,MATCH(H202, 'Green_rooibos initial weight'!$A$5:$A$1749,0)),"")</f>
        <v>1.929</v>
      </c>
      <c r="K202">
        <f>IFERROR(INDEX('Green_rooibos initial weight'!$C$5:$C$1749,MATCH(I202, 'Green_rooibos initial weight'!$A$5:$A$1749,0)),"")</f>
        <v>2.262</v>
      </c>
      <c r="L202" s="195">
        <f t="shared" si="17"/>
        <v>1.6792</v>
      </c>
      <c r="M202" s="240">
        <f>AVERAGE(Ashed_controlls!$K$1:$K$11)</f>
        <v>5.5147656768714146</v>
      </c>
      <c r="N202" s="195">
        <f t="shared" si="12"/>
        <v>1.5865960547539752</v>
      </c>
      <c r="O202" s="195">
        <f t="shared" si="18"/>
        <v>2.0122</v>
      </c>
      <c r="P202" s="240">
        <f>AVERAGE(Ashed_controlls!$K$12:$K$14)</f>
        <v>2.2816647271287041</v>
      </c>
      <c r="Q202" s="195">
        <f t="shared" si="13"/>
        <v>1.9662883423607163</v>
      </c>
      <c r="R202" s="16">
        <f>IF('Dry_Litterbag Placem_Collection'!G129="N.A","",'Dry_Litterbag Placem_Collection'!G129)</f>
        <v>43008</v>
      </c>
      <c r="S202" s="195">
        <f>IF(IFERROR(INDEX('Both teabags AfterDry'!$D$1:$D$839,MATCH(H202,'Both teabags AfterDry'!$A$1:$A$839,0)),"")="N.A","",(IFERROR(INDEX('Both teabags AfterDry'!$D$1:$D$839,MATCH(H202,'Both teabags AfterDry'!$A$1:$A$839,0)),"")))</f>
        <v>0.70609999999999995</v>
      </c>
      <c r="T202" s="195">
        <f>IF(IFERROR(INDEX('Both teabags AfterDry'!$D$1:$D$839,MATCH(I202,'Both teabags AfterDry'!$A$1:$A$839,0)),"")="N.A","",(IFERROR(INDEX('Both teabags AfterDry'!$D$1:$D$839,MATCH(I202,'Both teabags AfterDry'!$A$1:$A$839,0)),"")))</f>
        <v>1.6394</v>
      </c>
      <c r="U202" s="195">
        <f t="shared" si="19"/>
        <v>0.55549999999999988</v>
      </c>
      <c r="V202" s="195">
        <f t="shared" si="19"/>
        <v>1.4887999999999999</v>
      </c>
      <c r="W202" s="195">
        <f>IFERROR(INDEX('Ashed teabags dry'!$K$2:$K$821,MATCH(H202,'Ashed teabags dry'!$A$2:$A$821,0)),"")</f>
        <v>13.937442502299483</v>
      </c>
      <c r="X202" s="195">
        <f>IFERROR(INDEX('Ashed teabags dry'!$K$2:$K$821,MATCH(I202,'Ashed teabags dry'!$A$2:$A$821,0)),"")</f>
        <v>4.0196078431371527</v>
      </c>
      <c r="Y202" s="195">
        <f t="shared" si="14"/>
        <v>0.47807750689972628</v>
      </c>
      <c r="Z202" s="195">
        <f t="shared" si="14"/>
        <v>1.428956078431374</v>
      </c>
      <c r="AA202" s="195">
        <f t="shared" si="20"/>
        <v>0.69867723705271723</v>
      </c>
      <c r="AB202" s="195">
        <f t="shared" si="21"/>
        <v>0.45804018391104506</v>
      </c>
      <c r="AC202" s="195">
        <f t="shared" si="15"/>
        <v>0.72672763584397604</v>
      </c>
      <c r="AD202">
        <f t="shared" si="16"/>
        <v>69</v>
      </c>
      <c r="AE202" s="195">
        <f t="shared" si="22"/>
        <v>0.17021705813216481</v>
      </c>
      <c r="AF202" s="195">
        <f t="shared" si="23"/>
        <v>1.315734651511646E-2</v>
      </c>
      <c r="AG202" s="255" t="str">
        <f>IF(ISNUMBER(SEARCH("C", 'Dry_Litterbag Placem_Collection'!AB129)),"YES","NO")</f>
        <v>NO</v>
      </c>
      <c r="AH202" s="255" t="str">
        <f>IF(ISNUMBER(SEARCH("H", 'Dry_Litterbag Placem_Collection'!AB129)),"YES","NO")</f>
        <v>NO</v>
      </c>
      <c r="AI202" s="255" t="str">
        <f>IF(ISNUMBER(SEARCH("R", 'Dry_Litterbag Placem_Collection'!AB129)),"YES","NO")</f>
        <v>NO</v>
      </c>
      <c r="AJ202" s="255" t="str">
        <f>IF(ISNUMBER(SEARCH("C", 'Dry_Litterbag Placem_Collection'!AA129)),"YES","NO")</f>
        <v>NO</v>
      </c>
      <c r="AK202" s="255" t="str">
        <f>IF(ISNUMBER(SEARCH("H", 'Dry_Litterbag Placem_Collection'!AA129)),"YES","NO")</f>
        <v>NO</v>
      </c>
      <c r="AL202" s="255" t="str">
        <f>IF(ISNUMBER(SEARCH("R", 'Dry_Litterbag Placem_Collection'!AA129)),"YES","NO")</f>
        <v>NO</v>
      </c>
      <c r="AR202" t="s">
        <v>1732</v>
      </c>
      <c r="AT202" t="s">
        <v>388</v>
      </c>
    </row>
    <row r="203" spans="2:46">
      <c r="B203" t="str">
        <f>'Final data_for_R_analysis_Dryse'!A129</f>
        <v>Dry</v>
      </c>
      <c r="C203" s="263">
        <f>'Final data_for_R_analysis_Dryse'!B129</f>
        <v>128</v>
      </c>
      <c r="D203" t="s">
        <v>3845</v>
      </c>
      <c r="E203" t="s">
        <v>22</v>
      </c>
      <c r="F203" s="387">
        <v>8</v>
      </c>
      <c r="G203" s="16">
        <f>'Dry_Litterbag Placem_Collection'!E130</f>
        <v>42939</v>
      </c>
      <c r="H203" t="str">
        <f>'Final data_for_R_analysis_Dryse'!J129</f>
        <v>G34</v>
      </c>
      <c r="I203" t="str">
        <f>'Final data_for_R_analysis_Dryse'!J349</f>
        <v>R819</v>
      </c>
      <c r="J203">
        <f>IFERROR(INDEX('Green_rooibos initial weight'!$C$5:$C$1749,MATCH(H203, 'Green_rooibos initial weight'!$A$5:$A$1749,0)),"")</f>
        <v>2.133</v>
      </c>
      <c r="K203">
        <f>IFERROR(INDEX('Green_rooibos initial weight'!$C$5:$C$1749,MATCH(I203, 'Green_rooibos initial weight'!$A$5:$A$1749,0)),"")</f>
        <v>2.16</v>
      </c>
      <c r="L203" s="195">
        <f t="shared" si="17"/>
        <v>1.8832</v>
      </c>
      <c r="M203" s="240">
        <f>AVERAGE(Ashed_controlls!$K$1:$K$11)</f>
        <v>5.5147656768714146</v>
      </c>
      <c r="N203" s="195">
        <f t="shared" si="12"/>
        <v>1.7793459327731576</v>
      </c>
      <c r="O203" s="195">
        <f t="shared" si="18"/>
        <v>1.9102000000000001</v>
      </c>
      <c r="P203" s="240">
        <f>AVERAGE(Ashed_controlls!$K$12:$K$14)</f>
        <v>2.2816647271287041</v>
      </c>
      <c r="Q203" s="195">
        <f t="shared" si="13"/>
        <v>1.8666156403823877</v>
      </c>
      <c r="R203" s="16">
        <f>IF('Dry_Litterbag Placem_Collection'!G130="N.A","",'Dry_Litterbag Placem_Collection'!G130)</f>
        <v>43008</v>
      </c>
      <c r="S203" s="195">
        <f>IF(IFERROR(INDEX('Both teabags AfterDry'!$D$1:$D$839,MATCH(H203,'Both teabags AfterDry'!$A$1:$A$839,0)),"")="N.A","",(IFERROR(INDEX('Both teabags AfterDry'!$D$1:$D$839,MATCH(H203,'Both teabags AfterDry'!$A$1:$A$839,0)),"")))</f>
        <v>0.92579999999999996</v>
      </c>
      <c r="T203" s="195">
        <f>IF(IFERROR(INDEX('Both teabags AfterDry'!$D$1:$D$839,MATCH(I203,'Both teabags AfterDry'!$A$1:$A$839,0)),"")="N.A","",(IFERROR(INDEX('Both teabags AfterDry'!$D$1:$D$839,MATCH(I203,'Both teabags AfterDry'!$A$1:$A$839,0)),"")))</f>
        <v>2.8028</v>
      </c>
      <c r="U203" s="195">
        <f t="shared" si="19"/>
        <v>0.77519999999999989</v>
      </c>
      <c r="V203" s="195">
        <f t="shared" si="19"/>
        <v>2.6522000000000001</v>
      </c>
      <c r="W203" s="195">
        <f>IFERROR(INDEX('Ashed teabags dry'!$K$2:$K$821,MATCH(H203,'Ashed teabags dry'!$A$2:$A$821,0)),"")</f>
        <v>26.714158504006296</v>
      </c>
      <c r="X203" s="195">
        <f>IFERROR(INDEX('Ashed teabags dry'!$K$2:$K$821,MATCH(I203,'Ashed teabags dry'!$A$2:$A$821,0)),"")</f>
        <v>86.93858845096193</v>
      </c>
      <c r="Y203" s="195">
        <f t="shared" si="14"/>
        <v>0.56811184327694308</v>
      </c>
      <c r="Z203" s="195">
        <f t="shared" si="14"/>
        <v>0.3464147571035876</v>
      </c>
      <c r="AA203" s="195">
        <f t="shared" si="20"/>
        <v>0.68071872208035122</v>
      </c>
      <c r="AB203" s="195">
        <f t="shared" si="21"/>
        <v>0.44626690568688115</v>
      </c>
      <c r="AC203" s="195">
        <f t="shared" si="15"/>
        <v>0.18558440720695044</v>
      </c>
      <c r="AD203">
        <f t="shared" si="16"/>
        <v>69</v>
      </c>
      <c r="AE203" s="195">
        <f t="shared" si="22"/>
        <v>0.19154546071217193</v>
      </c>
      <c r="AF203" s="195" t="str">
        <f t="shared" si="23"/>
        <v/>
      </c>
      <c r="AG203" s="255" t="str">
        <f>IF(ISNUMBER(SEARCH("C", 'Dry_Litterbag Placem_Collection'!AB130)),"YES","NO")</f>
        <v>NO</v>
      </c>
      <c r="AH203" s="255" t="str">
        <f>IF(ISNUMBER(SEARCH("H", 'Dry_Litterbag Placem_Collection'!AB130)),"YES","NO")</f>
        <v>NO</v>
      </c>
      <c r="AI203" s="255" t="str">
        <f>IF(ISNUMBER(SEARCH("R", 'Dry_Litterbag Placem_Collection'!AB130)),"YES","NO")</f>
        <v>NO</v>
      </c>
      <c r="AJ203" s="255" t="str">
        <f>IF(ISNUMBER(SEARCH("C", 'Dry_Litterbag Placem_Collection'!AA130)),"YES","NO")</f>
        <v>NO</v>
      </c>
      <c r="AK203" s="255" t="str">
        <f>IF(ISNUMBER(SEARCH("H", 'Dry_Litterbag Placem_Collection'!AA130)),"YES","NO")</f>
        <v>NO</v>
      </c>
      <c r="AL203" s="255" t="str">
        <f>IF(ISNUMBER(SEARCH("R", 'Dry_Litterbag Placem_Collection'!AA130)),"YES","NO")</f>
        <v>NO</v>
      </c>
      <c r="AR203" t="s">
        <v>2016</v>
      </c>
      <c r="AT203" t="s">
        <v>320</v>
      </c>
    </row>
    <row r="204" spans="2:46">
      <c r="B204" t="str">
        <f>'Final data_for_R_analysis_Dryse'!A130</f>
        <v>Dry</v>
      </c>
      <c r="C204" s="263">
        <f>'Final data_for_R_analysis_Dryse'!B130</f>
        <v>129</v>
      </c>
      <c r="D204" t="s">
        <v>3846</v>
      </c>
      <c r="E204" t="s">
        <v>22</v>
      </c>
      <c r="F204" s="386">
        <v>1</v>
      </c>
      <c r="G204" s="16">
        <f>'Dry_Litterbag Placem_Collection'!E131</f>
        <v>42939</v>
      </c>
      <c r="H204" t="str">
        <f>'Final data_for_R_analysis_Dryse'!J130</f>
        <v>G80</v>
      </c>
      <c r="I204" t="str">
        <f>'Final data_for_R_analysis_Dryse'!J350</f>
        <v>R768</v>
      </c>
      <c r="J204">
        <f>IFERROR(INDEX('Green_rooibos initial weight'!$C$5:$C$1749,MATCH(H204, 'Green_rooibos initial weight'!$A$5:$A$1749,0)),"")</f>
        <v>2.0259999999999998</v>
      </c>
      <c r="K204">
        <f>IFERROR(INDEX('Green_rooibos initial weight'!$C$5:$C$1749,MATCH(I204, 'Green_rooibos initial weight'!$A$5:$A$1749,0)),"")</f>
        <v>2.2120000000000002</v>
      </c>
      <c r="L204" s="195">
        <f t="shared" si="17"/>
        <v>1.7761999999999998</v>
      </c>
      <c r="M204" s="240">
        <f>AVERAGE(Ashed_controlls!$K$1:$K$11)</f>
        <v>5.5147656768714146</v>
      </c>
      <c r="N204" s="195">
        <f t="shared" ref="N204:N267" si="24">IFERROR(L204-(M204/100)*L204,"")</f>
        <v>1.6782467320474097</v>
      </c>
      <c r="O204" s="195">
        <f t="shared" si="18"/>
        <v>1.9622000000000002</v>
      </c>
      <c r="P204" s="240">
        <f>AVERAGE(Ashed_controlls!$K$12:$K$14)</f>
        <v>2.2816647271287041</v>
      </c>
      <c r="Q204" s="195">
        <f t="shared" ref="Q204:Q267" si="25">IFERROR(O204-(P204/100)*O204,"")</f>
        <v>1.9174291747242806</v>
      </c>
      <c r="R204" s="16">
        <f>IF('Dry_Litterbag Placem_Collection'!G131="N.A","",'Dry_Litterbag Placem_Collection'!G131)</f>
        <v>43008</v>
      </c>
      <c r="S204" s="195">
        <f>IF(IFERROR(INDEX('Both teabags AfterDry'!$D$1:$D$839,MATCH(H204,'Both teabags AfterDry'!$A$1:$A$839,0)),"")="N.A","",(IFERROR(INDEX('Both teabags AfterDry'!$D$1:$D$839,MATCH(H204,'Both teabags AfterDry'!$A$1:$A$839,0)),"")))</f>
        <v>0.72970000000000002</v>
      </c>
      <c r="T204" s="195">
        <f>IF(IFERROR(INDEX('Both teabags AfterDry'!$D$1:$D$839,MATCH(I204,'Both teabags AfterDry'!$A$1:$A$839,0)),"")="N.A","",(IFERROR(INDEX('Both teabags AfterDry'!$D$1:$D$839,MATCH(I204,'Both teabags AfterDry'!$A$1:$A$839,0)),"")))</f>
        <v>0.67179999999999995</v>
      </c>
      <c r="U204" s="195">
        <f t="shared" si="19"/>
        <v>0.57909999999999995</v>
      </c>
      <c r="V204" s="195">
        <f t="shared" si="19"/>
        <v>0.52119999999999989</v>
      </c>
      <c r="W204" s="195">
        <f>IFERROR(INDEX('Ashed teabags dry'!$K$2:$K$821,MATCH(H204,'Ashed teabags dry'!$A$2:$A$821,0)),"")</f>
        <v>20.009394081728875</v>
      </c>
      <c r="X204" s="195">
        <f>IFERROR(INDEX('Ashed teabags dry'!$K$2:$K$821,MATCH(I204,'Ashed teabags dry'!$A$2:$A$821,0)),"")</f>
        <v>87.766714082503427</v>
      </c>
      <c r="Y204" s="195">
        <f t="shared" ref="Y204:Z267" si="26">IFERROR(U204-(W204/100)*U204,"")</f>
        <v>0.46322559887270803</v>
      </c>
      <c r="Z204" s="195">
        <f t="shared" si="26"/>
        <v>6.3759886201992133E-2</v>
      </c>
      <c r="AA204" s="195">
        <f t="shared" si="20"/>
        <v>0.72398242163857107</v>
      </c>
      <c r="AB204" s="195">
        <f t="shared" si="21"/>
        <v>0.47462980610984712</v>
      </c>
      <c r="AC204" s="195">
        <f t="shared" ref="AC204:AC267" si="27">IFERROR(Z204/Q204,"")</f>
        <v>3.3252798613101611E-2</v>
      </c>
      <c r="AD204">
        <f t="shared" ref="AD204:AD267" si="28">IF((R204-G204)&gt;0,(IFERROR(R204-G204,"")),"")</f>
        <v>69</v>
      </c>
      <c r="AE204" s="195">
        <f t="shared" si="22"/>
        <v>0.14016339472853789</v>
      </c>
      <c r="AF204" s="195" t="str">
        <f t="shared" si="23"/>
        <v/>
      </c>
      <c r="AG204" s="255" t="str">
        <f>IF(ISNUMBER(SEARCH("C", 'Dry_Litterbag Placem_Collection'!AB131)),"YES","NO")</f>
        <v>NO</v>
      </c>
      <c r="AH204" s="255" t="str">
        <f>IF(ISNUMBER(SEARCH("H", 'Dry_Litterbag Placem_Collection'!AB131)),"YES","NO")</f>
        <v>NO</v>
      </c>
      <c r="AI204" s="255" t="str">
        <f>IF(ISNUMBER(SEARCH("R", 'Dry_Litterbag Placem_Collection'!AB131)),"YES","NO")</f>
        <v>NO</v>
      </c>
      <c r="AJ204" s="255" t="str">
        <f>IF(ISNUMBER(SEARCH("C", 'Dry_Litterbag Placem_Collection'!AA131)),"YES","NO")</f>
        <v>NO</v>
      </c>
      <c r="AK204" s="255" t="str">
        <f>IF(ISNUMBER(SEARCH("H", 'Dry_Litterbag Placem_Collection'!AA131)),"YES","NO")</f>
        <v>NO</v>
      </c>
      <c r="AL204" s="255" t="str">
        <f>IF(ISNUMBER(SEARCH("R", 'Dry_Litterbag Placem_Collection'!AA131)),"YES","NO")</f>
        <v>NO</v>
      </c>
      <c r="AR204" t="s">
        <v>1970</v>
      </c>
      <c r="AT204" t="s">
        <v>371</v>
      </c>
    </row>
    <row r="205" spans="2:46">
      <c r="B205" t="str">
        <f>'Final data_for_R_analysis_Dryse'!A131</f>
        <v>Dry</v>
      </c>
      <c r="C205" s="263">
        <f>'Final data_for_R_analysis_Dryse'!B131</f>
        <v>130</v>
      </c>
      <c r="D205" t="s">
        <v>3846</v>
      </c>
      <c r="E205" t="s">
        <v>22</v>
      </c>
      <c r="F205" s="386">
        <v>2</v>
      </c>
      <c r="G205" s="16">
        <f>'Dry_Litterbag Placem_Collection'!E132</f>
        <v>42939</v>
      </c>
      <c r="H205" t="str">
        <f>'Final data_for_R_analysis_Dryse'!J131</f>
        <v>G64</v>
      </c>
      <c r="I205" t="str">
        <f>'Final data_for_R_analysis_Dryse'!J351</f>
        <v>R789</v>
      </c>
      <c r="J205">
        <f>IFERROR(INDEX('Green_rooibos initial weight'!$C$5:$C$1749,MATCH(H205, 'Green_rooibos initial weight'!$A$5:$A$1749,0)),"")</f>
        <v>2.0840000000000001</v>
      </c>
      <c r="K205">
        <f>IFERROR(INDEX('Green_rooibos initial weight'!$C$5:$C$1749,MATCH(I205, 'Green_rooibos initial weight'!$A$5:$A$1749,0)),"")</f>
        <v>2.2549999999999999</v>
      </c>
      <c r="L205" s="195">
        <f t="shared" ref="L205:L268" si="29">IFERROR(IF(J205&gt;0,(J205*$F$31-($F$29+$F$30)),""),"")</f>
        <v>1.8342000000000001</v>
      </c>
      <c r="M205" s="240">
        <f>AVERAGE(Ashed_controlls!$K$1:$K$11)</f>
        <v>5.5147656768714146</v>
      </c>
      <c r="N205" s="195">
        <f t="shared" si="24"/>
        <v>1.7330481679548246</v>
      </c>
      <c r="O205" s="195">
        <f t="shared" ref="O205:O268" si="30">IFERROR(IF(K205&gt;0,(K205*$F$32-($F$29+$F$30)),""),"")</f>
        <v>2.0051999999999999</v>
      </c>
      <c r="P205" s="240">
        <f>AVERAGE(Ashed_controlls!$K$12:$K$14)</f>
        <v>2.2816647271287041</v>
      </c>
      <c r="Q205" s="195">
        <f t="shared" si="25"/>
        <v>1.959448058891615</v>
      </c>
      <c r="R205" s="16">
        <f>IF('Dry_Litterbag Placem_Collection'!G132="N.A","",'Dry_Litterbag Placem_Collection'!G132)</f>
        <v>43008</v>
      </c>
      <c r="S205" s="195">
        <f>IF(IFERROR(INDEX('Both teabags AfterDry'!$D$1:$D$839,MATCH(H205,'Both teabags AfterDry'!$A$1:$A$839,0)),"")="N.A","",(IFERROR(INDEX('Both teabags AfterDry'!$D$1:$D$839,MATCH(H205,'Both teabags AfterDry'!$A$1:$A$839,0)),"")))</f>
        <v>0.83650000000000002</v>
      </c>
      <c r="T205" s="195">
        <f>IF(IFERROR(INDEX('Both teabags AfterDry'!$D$1:$D$839,MATCH(I205,'Both teabags AfterDry'!$A$1:$A$839,0)),"")="N.A","",(IFERROR(INDEX('Both teabags AfterDry'!$D$1:$D$839,MATCH(I205,'Both teabags AfterDry'!$A$1:$A$839,0)),"")))</f>
        <v>2.4607999999999999</v>
      </c>
      <c r="U205" s="195">
        <f t="shared" ref="U205:V268" si="31">IFERROR(IF(S205&gt;0,S205-($F$29),""),"")</f>
        <v>0.68589999999999995</v>
      </c>
      <c r="V205" s="195">
        <f t="shared" si="31"/>
        <v>2.3102</v>
      </c>
      <c r="W205" s="195">
        <f>IFERROR(INDEX('Ashed teabags dry'!$K$2:$K$821,MATCH(H205,'Ashed teabags dry'!$A$2:$A$821,0)),"")</f>
        <v>23.217636022513883</v>
      </c>
      <c r="X205" s="195">
        <f>IFERROR(INDEX('Ashed teabags dry'!$K$2:$K$821,MATCH(I205,'Ashed teabags dry'!$A$2:$A$821,0)),"")</f>
        <v>91.804831833254127</v>
      </c>
      <c r="Y205" s="195">
        <f t="shared" si="26"/>
        <v>0.52665023452157722</v>
      </c>
      <c r="Z205" s="195">
        <f t="shared" si="26"/>
        <v>0.18932477498816302</v>
      </c>
      <c r="AA205" s="195">
        <f t="shared" ref="AA205:AA268" si="32">IFERROR(1-Y205/N205,"")</f>
        <v>0.69611333126240882</v>
      </c>
      <c r="AB205" s="195">
        <f t="shared" ref="AB205:AB268" si="33">IFERROR($F$26*(1-AE205),"")</f>
        <v>0.45635933355920394</v>
      </c>
      <c r="AC205" s="195">
        <f t="shared" si="27"/>
        <v>9.6621481814249691E-2</v>
      </c>
      <c r="AD205">
        <f t="shared" si="28"/>
        <v>69</v>
      </c>
      <c r="AE205" s="195">
        <f t="shared" ref="AE205:AE268" si="34">IFERROR(1-(AA205/$F$25),"")</f>
        <v>0.17326207688550022</v>
      </c>
      <c r="AF205" s="195" t="str">
        <f t="shared" ref="AF205:AF268" si="35">IFERROR(LN(AB205/(AC205-(1-AB205)))/AD205,"")</f>
        <v/>
      </c>
      <c r="AG205" s="255" t="str">
        <f>IF(ISNUMBER(SEARCH("C", 'Dry_Litterbag Placem_Collection'!AB132)),"YES","NO")</f>
        <v>NO</v>
      </c>
      <c r="AH205" s="255" t="str">
        <f>IF(ISNUMBER(SEARCH("H", 'Dry_Litterbag Placem_Collection'!AB132)),"YES","NO")</f>
        <v>NO</v>
      </c>
      <c r="AI205" s="255" t="str">
        <f>IF(ISNUMBER(SEARCH("R", 'Dry_Litterbag Placem_Collection'!AB132)),"YES","NO")</f>
        <v>NO</v>
      </c>
      <c r="AJ205" s="255" t="str">
        <f>IF(ISNUMBER(SEARCH("C", 'Dry_Litterbag Placem_Collection'!AA132)),"YES","NO")</f>
        <v>NO</v>
      </c>
      <c r="AK205" s="255" t="str">
        <f>IF(ISNUMBER(SEARCH("H", 'Dry_Litterbag Placem_Collection'!AA132)),"YES","NO")</f>
        <v>NO</v>
      </c>
      <c r="AL205" s="255" t="str">
        <f>IF(ISNUMBER(SEARCH("R", 'Dry_Litterbag Placem_Collection'!AA132)),"YES","NO")</f>
        <v>NO</v>
      </c>
      <c r="AR205" t="s">
        <v>1986</v>
      </c>
      <c r="AT205" t="s">
        <v>350</v>
      </c>
    </row>
    <row r="206" spans="2:46">
      <c r="B206" t="str">
        <f>'Final data_for_R_analysis_Dryse'!A132</f>
        <v>Dry</v>
      </c>
      <c r="C206" s="263">
        <f>'Final data_for_R_analysis_Dryse'!B132</f>
        <v>131</v>
      </c>
      <c r="D206" t="s">
        <v>3846</v>
      </c>
      <c r="E206" t="s">
        <v>22</v>
      </c>
      <c r="F206" s="386">
        <v>3</v>
      </c>
      <c r="G206" s="16">
        <f>'Dry_Litterbag Placem_Collection'!E133</f>
        <v>42939</v>
      </c>
      <c r="H206" t="str">
        <f>'Final data_for_R_analysis_Dryse'!J132</f>
        <v>G118</v>
      </c>
      <c r="I206" t="str">
        <f>'Final data_for_R_analysis_Dryse'!J352</f>
        <v>R586</v>
      </c>
      <c r="J206">
        <f>IFERROR(INDEX('Green_rooibos initial weight'!$C$5:$C$1749,MATCH(H206, 'Green_rooibos initial weight'!$A$5:$A$1749,0)),"")</f>
        <v>2.0870000000000002</v>
      </c>
      <c r="K206">
        <f>IFERROR(INDEX('Green_rooibos initial weight'!$C$5:$C$1749,MATCH(I206, 'Green_rooibos initial weight'!$A$5:$A$1749,0)),"")</f>
        <v>2.1520000000000001</v>
      </c>
      <c r="L206" s="195">
        <f t="shared" si="29"/>
        <v>1.8372000000000002</v>
      </c>
      <c r="M206" s="240">
        <f>AVERAGE(Ashed_controlls!$K$1:$K$11)</f>
        <v>5.5147656768714146</v>
      </c>
      <c r="N206" s="195">
        <f t="shared" si="24"/>
        <v>1.7358827249845186</v>
      </c>
      <c r="O206" s="195">
        <f t="shared" si="30"/>
        <v>1.9022000000000001</v>
      </c>
      <c r="P206" s="240">
        <f>AVERAGE(Ashed_controlls!$K$12:$K$14)</f>
        <v>2.2816647271287041</v>
      </c>
      <c r="Q206" s="195">
        <f t="shared" si="25"/>
        <v>1.8587981735605579</v>
      </c>
      <c r="R206" s="16">
        <f>IF('Dry_Litterbag Placem_Collection'!G133="N.A","",'Dry_Litterbag Placem_Collection'!G133)</f>
        <v>43008</v>
      </c>
      <c r="S206" s="195">
        <f>IF(IFERROR(INDEX('Both teabags AfterDry'!$D$1:$D$839,MATCH(H206,'Both teabags AfterDry'!$A$1:$A$839,0)),"")="N.A","",(IFERROR(INDEX('Both teabags AfterDry'!$D$1:$D$839,MATCH(H206,'Both teabags AfterDry'!$A$1:$A$839,0)),"")))</f>
        <v>0.87509999999999999</v>
      </c>
      <c r="T206" s="195">
        <f>IF(IFERROR(INDEX('Both teabags AfterDry'!$D$1:$D$839,MATCH(I206,'Both teabags AfterDry'!$A$1:$A$839,0)),"")="N.A","",(IFERROR(INDEX('Both teabags AfterDry'!$D$1:$D$839,MATCH(I206,'Both teabags AfterDry'!$A$1:$A$839,0)),"")))</f>
        <v>2.2069000000000001</v>
      </c>
      <c r="U206" s="195">
        <f t="shared" si="31"/>
        <v>0.72449999999999992</v>
      </c>
      <c r="V206" s="195">
        <f t="shared" si="31"/>
        <v>2.0563000000000002</v>
      </c>
      <c r="W206" s="195">
        <f>IFERROR(INDEX('Ashed teabags dry'!$K$2:$K$821,MATCH(H206,'Ashed teabags dry'!$A$2:$A$821,0)),"")</f>
        <v>19.267364414842707</v>
      </c>
      <c r="X206" s="195">
        <f>IFERROR(INDEX('Ashed teabags dry'!$K$2:$K$821,MATCH(I206,'Ashed teabags dry'!$A$2:$A$821,0)),"")</f>
        <v>73.946360153256592</v>
      </c>
      <c r="Y206" s="195">
        <f t="shared" si="26"/>
        <v>0.58490794481446451</v>
      </c>
      <c r="Z206" s="195">
        <f t="shared" si="26"/>
        <v>0.53574099616858462</v>
      </c>
      <c r="AA206" s="195">
        <f t="shared" si="32"/>
        <v>0.66304869770526631</v>
      </c>
      <c r="AB206" s="195">
        <f t="shared" si="33"/>
        <v>0.43468275669038842</v>
      </c>
      <c r="AC206" s="195">
        <f t="shared" si="27"/>
        <v>0.28821902441531028</v>
      </c>
      <c r="AD206">
        <f t="shared" si="28"/>
        <v>69</v>
      </c>
      <c r="AE206" s="195">
        <f t="shared" si="34"/>
        <v>0.21253123787973116</v>
      </c>
      <c r="AF206" s="195" t="str">
        <f t="shared" si="35"/>
        <v/>
      </c>
      <c r="AG206" s="255" t="str">
        <f>IF(ISNUMBER(SEARCH("C", 'Dry_Litterbag Placem_Collection'!AB133)),"YES","NO")</f>
        <v>NO</v>
      </c>
      <c r="AH206" s="255" t="str">
        <f>IF(ISNUMBER(SEARCH("H", 'Dry_Litterbag Placem_Collection'!AB133)),"YES","NO")</f>
        <v>NO</v>
      </c>
      <c r="AI206" s="255" t="str">
        <f>IF(ISNUMBER(SEARCH("R", 'Dry_Litterbag Placem_Collection'!AB133)),"YES","NO")</f>
        <v>NO</v>
      </c>
      <c r="AJ206" s="255" t="str">
        <f>IF(ISNUMBER(SEARCH("C", 'Dry_Litterbag Placem_Collection'!AA133)),"YES","NO")</f>
        <v>NO</v>
      </c>
      <c r="AK206" s="255" t="str">
        <f>IF(ISNUMBER(SEARCH("H", 'Dry_Litterbag Placem_Collection'!AA133)),"YES","NO")</f>
        <v>NO</v>
      </c>
      <c r="AL206" s="255" t="str">
        <f>IF(ISNUMBER(SEARCH("R", 'Dry_Litterbag Placem_Collection'!AA133)),"YES","NO")</f>
        <v>NO</v>
      </c>
      <c r="AR206" t="s">
        <v>1932</v>
      </c>
      <c r="AT206" t="s">
        <v>555</v>
      </c>
    </row>
    <row r="207" spans="2:46">
      <c r="B207" t="str">
        <f>'Final data_for_R_analysis_Dryse'!A133</f>
        <v>Dry</v>
      </c>
      <c r="C207" s="263">
        <f>'Final data_for_R_analysis_Dryse'!B133</f>
        <v>132</v>
      </c>
      <c r="D207" t="s">
        <v>3846</v>
      </c>
      <c r="E207" t="s">
        <v>22</v>
      </c>
      <c r="F207" s="387">
        <v>4</v>
      </c>
      <c r="G207" s="16">
        <f>'Dry_Litterbag Placem_Collection'!E134</f>
        <v>0</v>
      </c>
      <c r="H207" t="str">
        <f>'Final data_for_R_analysis_Dryse'!J133</f>
        <v/>
      </c>
      <c r="I207" t="str">
        <f>'Final data_for_R_analysis_Dryse'!J353</f>
        <v/>
      </c>
      <c r="J207" t="str">
        <f>IFERROR(INDEX('Green_rooibos initial weight'!$C$5:$C$1749,MATCH(H207, 'Green_rooibos initial weight'!$A$5:$A$1749,0)),"")</f>
        <v/>
      </c>
      <c r="K207" t="str">
        <f>IFERROR(INDEX('Green_rooibos initial weight'!$C$5:$C$1749,MATCH(I207, 'Green_rooibos initial weight'!$A$5:$A$1749,0)),"")</f>
        <v/>
      </c>
      <c r="L207" s="195" t="str">
        <f t="shared" si="29"/>
        <v/>
      </c>
      <c r="M207" s="240">
        <f>AVERAGE(Ashed_controlls!$K$1:$K$11)</f>
        <v>5.5147656768714146</v>
      </c>
      <c r="N207" s="195" t="str">
        <f t="shared" si="24"/>
        <v/>
      </c>
      <c r="O207" s="195" t="str">
        <f t="shared" si="30"/>
        <v/>
      </c>
      <c r="P207" s="240">
        <f>AVERAGE(Ashed_controlls!$K$12:$K$14)</f>
        <v>2.2816647271287041</v>
      </c>
      <c r="Q207" s="195" t="str">
        <f t="shared" si="25"/>
        <v/>
      </c>
      <c r="R207" s="16">
        <f>IF('Dry_Litterbag Placem_Collection'!G134="N.A","",'Dry_Litterbag Placem_Collection'!G134)</f>
        <v>0</v>
      </c>
      <c r="S207" s="195" t="str">
        <f>IF(IFERROR(INDEX('Both teabags AfterDry'!$D$1:$D$839,MATCH(H207,'Both teabags AfterDry'!$A$1:$A$839,0)),"")="N.A","",(IFERROR(INDEX('Both teabags AfterDry'!$D$1:$D$839,MATCH(H207,'Both teabags AfterDry'!$A$1:$A$839,0)),"")))</f>
        <v/>
      </c>
      <c r="T207" s="195" t="str">
        <f>IF(IFERROR(INDEX('Both teabags AfterDry'!$D$1:$D$839,MATCH(I207,'Both teabags AfterDry'!$A$1:$A$839,0)),"")="N.A","",(IFERROR(INDEX('Both teabags AfterDry'!$D$1:$D$839,MATCH(I207,'Both teabags AfterDry'!$A$1:$A$839,0)),"")))</f>
        <v/>
      </c>
      <c r="U207" s="195" t="str">
        <f t="shared" si="31"/>
        <v/>
      </c>
      <c r="V207" s="195" t="str">
        <f t="shared" si="31"/>
        <v/>
      </c>
      <c r="W207" s="195" t="str">
        <f>IFERROR(INDEX('Ashed teabags dry'!$K$2:$K$821,MATCH(H207,'Ashed teabags dry'!$A$2:$A$821,0)),"")</f>
        <v/>
      </c>
      <c r="X207" s="195" t="str">
        <f>IFERROR(INDEX('Ashed teabags dry'!$K$2:$K$821,MATCH(I207,'Ashed teabags dry'!$A$2:$A$821,0)),"")</f>
        <v/>
      </c>
      <c r="Y207" s="195" t="str">
        <f t="shared" si="26"/>
        <v/>
      </c>
      <c r="Z207" s="195" t="str">
        <f t="shared" si="26"/>
        <v/>
      </c>
      <c r="AA207" s="195" t="str">
        <f t="shared" si="32"/>
        <v/>
      </c>
      <c r="AB207" s="195" t="str">
        <f t="shared" si="33"/>
        <v/>
      </c>
      <c r="AC207" s="195" t="str">
        <f t="shared" si="27"/>
        <v/>
      </c>
      <c r="AD207" t="str">
        <f t="shared" si="28"/>
        <v/>
      </c>
      <c r="AE207" s="195" t="str">
        <f t="shared" si="34"/>
        <v/>
      </c>
      <c r="AF207" s="195" t="str">
        <f t="shared" si="35"/>
        <v/>
      </c>
      <c r="AG207" s="255" t="str">
        <f>IF(ISNUMBER(SEARCH("C", 'Dry_Litterbag Placem_Collection'!AB134)),"YES","NO")</f>
        <v>NO</v>
      </c>
      <c r="AH207" s="255" t="str">
        <f>IF(ISNUMBER(SEARCH("H", 'Dry_Litterbag Placem_Collection'!AB134)),"YES","NO")</f>
        <v>NO</v>
      </c>
      <c r="AI207" s="255" t="str">
        <f>IF(ISNUMBER(SEARCH("R", 'Dry_Litterbag Placem_Collection'!AB134)),"YES","NO")</f>
        <v>NO</v>
      </c>
      <c r="AJ207" s="255" t="str">
        <f>IF(ISNUMBER(SEARCH("C", 'Dry_Litterbag Placem_Collection'!AA134)),"YES","NO")</f>
        <v>NO</v>
      </c>
      <c r="AK207" s="255" t="str">
        <f>IF(ISNUMBER(SEARCH("H", 'Dry_Litterbag Placem_Collection'!AA134)),"YES","NO")</f>
        <v>NO</v>
      </c>
      <c r="AL207" s="255" t="str">
        <f>IF(ISNUMBER(SEARCH("R", 'Dry_Litterbag Placem_Collection'!AA134)),"YES","NO")</f>
        <v>NO</v>
      </c>
      <c r="AR207" t="s">
        <v>3654</v>
      </c>
      <c r="AT207" t="s">
        <v>3654</v>
      </c>
    </row>
    <row r="208" spans="2:46">
      <c r="B208" t="str">
        <f>'Final data_for_R_analysis_Dryse'!A134</f>
        <v>Dry</v>
      </c>
      <c r="C208" s="263">
        <f>'Final data_for_R_analysis_Dryse'!B134</f>
        <v>133</v>
      </c>
      <c r="D208" t="s">
        <v>3846</v>
      </c>
      <c r="E208" t="s">
        <v>22</v>
      </c>
      <c r="F208" s="387">
        <v>5</v>
      </c>
      <c r="G208" s="16">
        <f>'Dry_Litterbag Placem_Collection'!E135</f>
        <v>42939</v>
      </c>
      <c r="H208" t="str">
        <f>'Final data_for_R_analysis_Dryse'!J134</f>
        <v>G270</v>
      </c>
      <c r="I208" t="str">
        <f>'Final data_for_R_analysis_Dryse'!J354</f>
        <v>R817</v>
      </c>
      <c r="J208">
        <f>IFERROR(INDEX('Green_rooibos initial weight'!$C$5:$C$1749,MATCH(H208, 'Green_rooibos initial weight'!$A$5:$A$1749,0)),"")</f>
        <v>2.0139999999999998</v>
      </c>
      <c r="K208">
        <f>IFERROR(INDEX('Green_rooibos initial weight'!$C$5:$C$1749,MATCH(I208, 'Green_rooibos initial weight'!$A$5:$A$1749,0)),"")</f>
        <v>2.1749999999999998</v>
      </c>
      <c r="L208" s="195">
        <f t="shared" si="29"/>
        <v>1.7641999999999998</v>
      </c>
      <c r="M208" s="240">
        <f>AVERAGE(Ashed_controlls!$K$1:$K$11)</f>
        <v>5.5147656768714146</v>
      </c>
      <c r="N208" s="195">
        <f t="shared" si="24"/>
        <v>1.6669085039286342</v>
      </c>
      <c r="O208" s="195">
        <f t="shared" si="30"/>
        <v>1.9251999999999998</v>
      </c>
      <c r="P208" s="240">
        <f>AVERAGE(Ashed_controlls!$K$12:$K$14)</f>
        <v>2.2816647271287041</v>
      </c>
      <c r="Q208" s="195">
        <f t="shared" si="25"/>
        <v>1.8812733906733179</v>
      </c>
      <c r="R208" s="16">
        <f>IF('Dry_Litterbag Placem_Collection'!G135="N.A","",'Dry_Litterbag Placem_Collection'!G135)</f>
        <v>43008</v>
      </c>
      <c r="S208" s="195" t="str">
        <f>IF(IFERROR(INDEX('Both teabags AfterDry'!$D$1:$D$839,MATCH(H208,'Both teabags AfterDry'!$A$1:$A$839,0)),"")="N.A","",(IFERROR(INDEX('Both teabags AfterDry'!$D$1:$D$839,MATCH(H208,'Both teabags AfterDry'!$A$1:$A$839,0)),"")))</f>
        <v/>
      </c>
      <c r="T208" s="195" t="str">
        <f>IF(IFERROR(INDEX('Both teabags AfterDry'!$D$1:$D$839,MATCH(I208,'Both teabags AfterDry'!$A$1:$A$839,0)),"")="N.A","",(IFERROR(INDEX('Both teabags AfterDry'!$D$1:$D$839,MATCH(I208,'Both teabags AfterDry'!$A$1:$A$839,0)),"")))</f>
        <v/>
      </c>
      <c r="U208" s="195" t="str">
        <f t="shared" si="31"/>
        <v/>
      </c>
      <c r="V208" s="195" t="str">
        <f t="shared" si="31"/>
        <v/>
      </c>
      <c r="W208" s="195" t="str">
        <f>IFERROR(INDEX('Ashed teabags dry'!$K$2:$K$821,MATCH(H208,'Ashed teabags dry'!$A$2:$A$821,0)),"")</f>
        <v/>
      </c>
      <c r="X208" s="195" t="str">
        <f>IFERROR(INDEX('Ashed teabags dry'!$K$2:$K$821,MATCH(I208,'Ashed teabags dry'!$A$2:$A$821,0)),"")</f>
        <v/>
      </c>
      <c r="Y208" s="195" t="str">
        <f t="shared" si="26"/>
        <v/>
      </c>
      <c r="Z208" s="195" t="str">
        <f t="shared" si="26"/>
        <v/>
      </c>
      <c r="AA208" s="195" t="str">
        <f t="shared" si="32"/>
        <v/>
      </c>
      <c r="AB208" s="195" t="str">
        <f t="shared" si="33"/>
        <v/>
      </c>
      <c r="AC208" s="195" t="str">
        <f t="shared" si="27"/>
        <v/>
      </c>
      <c r="AD208">
        <f t="shared" si="28"/>
        <v>69</v>
      </c>
      <c r="AE208" s="195" t="str">
        <f t="shared" si="34"/>
        <v/>
      </c>
      <c r="AF208" s="195" t="str">
        <f t="shared" si="35"/>
        <v/>
      </c>
      <c r="AG208" s="255" t="str">
        <f>IF(ISNUMBER(SEARCH("C", 'Dry_Litterbag Placem_Collection'!AB135)),"YES","NO")</f>
        <v>NO</v>
      </c>
      <c r="AH208" s="255" t="str">
        <f>IF(ISNUMBER(SEARCH("H", 'Dry_Litterbag Placem_Collection'!AB135)),"YES","NO")</f>
        <v>NO</v>
      </c>
      <c r="AI208" s="255" t="str">
        <f>IF(ISNUMBER(SEARCH("R", 'Dry_Litterbag Placem_Collection'!AB135)),"YES","NO")</f>
        <v>NO</v>
      </c>
      <c r="AJ208" s="255" t="str">
        <f>IF(ISNUMBER(SEARCH("C", 'Dry_Litterbag Placem_Collection'!AA135)),"YES","NO")</f>
        <v>NO</v>
      </c>
      <c r="AK208" s="255" t="str">
        <f>IF(ISNUMBER(SEARCH("H", 'Dry_Litterbag Placem_Collection'!AA135)),"YES","NO")</f>
        <v>NO</v>
      </c>
      <c r="AL208" s="255" t="str">
        <f>IF(ISNUMBER(SEARCH("R", 'Dry_Litterbag Placem_Collection'!AA135)),"YES","NO")</f>
        <v>NO</v>
      </c>
      <c r="AR208" t="s">
        <v>1780</v>
      </c>
      <c r="AT208" t="s">
        <v>322</v>
      </c>
    </row>
    <row r="209" spans="2:46">
      <c r="B209" t="str">
        <f>'Final data_for_R_analysis_Dryse'!A135</f>
        <v>Dry</v>
      </c>
      <c r="C209" s="263">
        <f>'Final data_for_R_analysis_Dryse'!B135</f>
        <v>134</v>
      </c>
      <c r="D209" t="s">
        <v>3846</v>
      </c>
      <c r="E209" t="s">
        <v>22</v>
      </c>
      <c r="F209" s="387">
        <v>6</v>
      </c>
      <c r="G209" s="16">
        <f>'Dry_Litterbag Placem_Collection'!E136</f>
        <v>42939</v>
      </c>
      <c r="H209" t="str">
        <f>'Final data_for_R_analysis_Dryse'!J135</f>
        <v>G316</v>
      </c>
      <c r="I209" t="str">
        <f>'Final data_for_R_analysis_Dryse'!J355</f>
        <v>R837</v>
      </c>
      <c r="J209">
        <f>IFERROR(INDEX('Green_rooibos initial weight'!$C$5:$C$1749,MATCH(H209, 'Green_rooibos initial weight'!$A$5:$A$1749,0)),"")</f>
        <v>2.0579999999999998</v>
      </c>
      <c r="K209">
        <f>IFERROR(INDEX('Green_rooibos initial weight'!$C$5:$C$1749,MATCH(I209, 'Green_rooibos initial weight'!$A$5:$A$1749,0)),"")</f>
        <v>2.1909999999999998</v>
      </c>
      <c r="L209" s="195">
        <f t="shared" si="29"/>
        <v>1.8081999999999998</v>
      </c>
      <c r="M209" s="240">
        <f>AVERAGE(Ashed_controlls!$K$1:$K$11)</f>
        <v>5.5147656768714146</v>
      </c>
      <c r="N209" s="195">
        <f t="shared" si="24"/>
        <v>1.7084820070308109</v>
      </c>
      <c r="O209" s="195">
        <f t="shared" si="30"/>
        <v>1.9411999999999998</v>
      </c>
      <c r="P209" s="240">
        <f>AVERAGE(Ashed_controlls!$K$12:$K$14)</f>
        <v>2.2816647271287041</v>
      </c>
      <c r="Q209" s="195">
        <f t="shared" si="25"/>
        <v>1.8969083243169773</v>
      </c>
      <c r="R209" s="16">
        <f>IF('Dry_Litterbag Placem_Collection'!G136="N.A","",'Dry_Litterbag Placem_Collection'!G136)</f>
        <v>43008</v>
      </c>
      <c r="S209" s="195">
        <f>IF(IFERROR(INDEX('Both teabags AfterDry'!$D$1:$D$839,MATCH(H209,'Both teabags AfterDry'!$A$1:$A$839,0)),"")="N.A","",(IFERROR(INDEX('Both teabags AfterDry'!$D$1:$D$839,MATCH(H209,'Both teabags AfterDry'!$A$1:$A$839,0)),"")))</f>
        <v>0.6512</v>
      </c>
      <c r="T209" s="195">
        <f>IF(IFERROR(INDEX('Both teabags AfterDry'!$D$1:$D$839,MATCH(I209,'Both teabags AfterDry'!$A$1:$A$839,0)),"")="N.A","",(IFERROR(INDEX('Both teabags AfterDry'!$D$1:$D$839,MATCH(I209,'Both teabags AfterDry'!$A$1:$A$839,0)),"")))</f>
        <v>1.7436</v>
      </c>
      <c r="U209" s="195">
        <f t="shared" si="31"/>
        <v>0.50059999999999993</v>
      </c>
      <c r="V209" s="195">
        <f t="shared" si="31"/>
        <v>1.593</v>
      </c>
      <c r="W209" s="195" t="str">
        <f>IFERROR(INDEX('Ashed teabags dry'!$K$2:$K$821,MATCH(H209,'Ashed teabags dry'!$A$2:$A$821,0)),"")</f>
        <v/>
      </c>
      <c r="X209" s="195">
        <f>IFERROR(INDEX('Ashed teabags dry'!$K$2:$K$821,MATCH(I209,'Ashed teabags dry'!$A$2:$A$821,0)),"")</f>
        <v>3.5795197100129474</v>
      </c>
      <c r="Y209" s="195" t="str">
        <f t="shared" si="26"/>
        <v/>
      </c>
      <c r="Z209" s="195">
        <f t="shared" si="26"/>
        <v>1.5359782510194937</v>
      </c>
      <c r="AA209" s="195" t="str">
        <f t="shared" si="32"/>
        <v/>
      </c>
      <c r="AB209" s="195" t="str">
        <f t="shared" si="33"/>
        <v/>
      </c>
      <c r="AC209" s="195">
        <f t="shared" si="27"/>
        <v>0.80972719204685639</v>
      </c>
      <c r="AD209">
        <f t="shared" si="28"/>
        <v>69</v>
      </c>
      <c r="AE209" s="195" t="str">
        <f t="shared" si="34"/>
        <v/>
      </c>
      <c r="AF209" s="195" t="str">
        <f t="shared" si="35"/>
        <v/>
      </c>
      <c r="AG209" s="255" t="str">
        <f>IF(ISNUMBER(SEARCH("C", 'Dry_Litterbag Placem_Collection'!AB136)),"YES","NO")</f>
        <v>NO</v>
      </c>
      <c r="AH209" s="255" t="str">
        <f>IF(ISNUMBER(SEARCH("H", 'Dry_Litterbag Placem_Collection'!AB136)),"YES","NO")</f>
        <v>NO</v>
      </c>
      <c r="AI209" s="255" t="str">
        <f>IF(ISNUMBER(SEARCH("R", 'Dry_Litterbag Placem_Collection'!AB136)),"YES","NO")</f>
        <v>NO</v>
      </c>
      <c r="AJ209" s="255" t="str">
        <f>IF(ISNUMBER(SEARCH("C", 'Dry_Litterbag Placem_Collection'!AA136)),"YES","NO")</f>
        <v>NO</v>
      </c>
      <c r="AK209" s="255" t="str">
        <f>IF(ISNUMBER(SEARCH("H", 'Dry_Litterbag Placem_Collection'!AA136)),"YES","NO")</f>
        <v>NO</v>
      </c>
      <c r="AL209" s="255" t="str">
        <f>IF(ISNUMBER(SEARCH("R", 'Dry_Litterbag Placem_Collection'!AA136)),"YES","NO")</f>
        <v>NO</v>
      </c>
      <c r="AR209" t="s">
        <v>1734</v>
      </c>
      <c r="AT209" t="s">
        <v>302</v>
      </c>
    </row>
    <row r="210" spans="2:46">
      <c r="B210" t="str">
        <f>'Final data_for_R_analysis_Dryse'!A136</f>
        <v>Dry</v>
      </c>
      <c r="C210" s="263">
        <f>'Final data_for_R_analysis_Dryse'!B136</f>
        <v>135</v>
      </c>
      <c r="D210" t="s">
        <v>3846</v>
      </c>
      <c r="E210" t="s">
        <v>22</v>
      </c>
      <c r="F210" s="387">
        <v>7</v>
      </c>
      <c r="G210" s="16">
        <f>'Dry_Litterbag Placem_Collection'!E137</f>
        <v>42939</v>
      </c>
      <c r="H210" t="str">
        <f>'Final data_for_R_analysis_Dryse'!J136</f>
        <v>G77</v>
      </c>
      <c r="I210" t="str">
        <f>'Final data_for_R_analysis_Dryse'!J356</f>
        <v>R756</v>
      </c>
      <c r="J210">
        <f>IFERROR(INDEX('Green_rooibos initial weight'!$C$5:$C$1749,MATCH(H210, 'Green_rooibos initial weight'!$A$5:$A$1749,0)),"")</f>
        <v>2.0190000000000001</v>
      </c>
      <c r="K210">
        <f>IFERROR(INDEX('Green_rooibos initial weight'!$C$5:$C$1749,MATCH(I210, 'Green_rooibos initial weight'!$A$5:$A$1749,0)),"")</f>
        <v>2.2690000000000001</v>
      </c>
      <c r="L210" s="195">
        <f t="shared" si="29"/>
        <v>1.7692000000000001</v>
      </c>
      <c r="M210" s="240">
        <f>AVERAGE(Ashed_controlls!$K$1:$K$11)</f>
        <v>5.5147656768714146</v>
      </c>
      <c r="N210" s="195">
        <f t="shared" si="24"/>
        <v>1.6716327656447911</v>
      </c>
      <c r="O210" s="195">
        <f t="shared" si="30"/>
        <v>2.0192000000000001</v>
      </c>
      <c r="P210" s="240">
        <f>AVERAGE(Ashed_controlls!$K$12:$K$14)</f>
        <v>2.2816647271287041</v>
      </c>
      <c r="Q210" s="195">
        <f t="shared" si="25"/>
        <v>1.9731286258298173</v>
      </c>
      <c r="R210" s="16">
        <f>IF('Dry_Litterbag Placem_Collection'!G137="N.A","",'Dry_Litterbag Placem_Collection'!G137)</f>
        <v>43008</v>
      </c>
      <c r="S210" s="195">
        <f>IF(IFERROR(INDEX('Both teabags AfterDry'!$D$1:$D$839,MATCH(H210,'Both teabags AfterDry'!$A$1:$A$839,0)),"")="N.A","",(IFERROR(INDEX('Both teabags AfterDry'!$D$1:$D$839,MATCH(H210,'Both teabags AfterDry'!$A$1:$A$839,0)),"")))</f>
        <v>0.94330000000000003</v>
      </c>
      <c r="T210" s="195">
        <f>IF(IFERROR(INDEX('Both teabags AfterDry'!$D$1:$D$839,MATCH(I210,'Both teabags AfterDry'!$A$1:$A$839,0)),"")="N.A","",(IFERROR(INDEX('Both teabags AfterDry'!$D$1:$D$839,MATCH(I210,'Both teabags AfterDry'!$A$1:$A$839,0)),"")))</f>
        <v>2.0406</v>
      </c>
      <c r="U210" s="195">
        <f t="shared" si="31"/>
        <v>0.79269999999999996</v>
      </c>
      <c r="V210" s="195">
        <f t="shared" si="31"/>
        <v>1.89</v>
      </c>
      <c r="W210" s="195">
        <f>IFERROR(INDEX('Ashed teabags dry'!$K$2:$K$821,MATCH(H210,'Ashed teabags dry'!$A$2:$A$821,0)),"")</f>
        <v>34.179033030157882</v>
      </c>
      <c r="X210" s="195">
        <f>IFERROR(INDEX('Ashed teabags dry'!$K$2:$K$821,MATCH(I210,'Ashed teabags dry'!$A$2:$A$821,0)),"")</f>
        <v>89.95546759030151</v>
      </c>
      <c r="Y210" s="195">
        <f t="shared" si="26"/>
        <v>0.52176280516993845</v>
      </c>
      <c r="Z210" s="195">
        <f t="shared" si="26"/>
        <v>0.18984166254330148</v>
      </c>
      <c r="AA210" s="195">
        <f t="shared" si="32"/>
        <v>0.68787235097735033</v>
      </c>
      <c r="AB210" s="195">
        <f t="shared" si="33"/>
        <v>0.45095669565260976</v>
      </c>
      <c r="AC210" s="195">
        <f t="shared" si="27"/>
        <v>9.621352610170654E-2</v>
      </c>
      <c r="AD210">
        <f t="shared" si="28"/>
        <v>69</v>
      </c>
      <c r="AE210" s="195">
        <f t="shared" si="34"/>
        <v>0.18304946439744618</v>
      </c>
      <c r="AF210" s="195" t="str">
        <f t="shared" si="35"/>
        <v/>
      </c>
      <c r="AG210" s="255" t="str">
        <f>IF(ISNUMBER(SEARCH("C", 'Dry_Litterbag Placem_Collection'!AB137)),"YES","NO")</f>
        <v>NO</v>
      </c>
      <c r="AH210" s="255" t="str">
        <f>IF(ISNUMBER(SEARCH("H", 'Dry_Litterbag Placem_Collection'!AB137)),"YES","NO")</f>
        <v>NO</v>
      </c>
      <c r="AI210" s="255" t="str">
        <f>IF(ISNUMBER(SEARCH("R", 'Dry_Litterbag Placem_Collection'!AB137)),"YES","NO")</f>
        <v>NO</v>
      </c>
      <c r="AJ210" s="255" t="str">
        <f>IF(ISNUMBER(SEARCH("C", 'Dry_Litterbag Placem_Collection'!AA137)),"YES","NO")</f>
        <v>NO</v>
      </c>
      <c r="AK210" s="255" t="str">
        <f>IF(ISNUMBER(SEARCH("H", 'Dry_Litterbag Placem_Collection'!AA137)),"YES","NO")</f>
        <v>NO</v>
      </c>
      <c r="AL210" s="255" t="str">
        <f>IF(ISNUMBER(SEARCH("R", 'Dry_Litterbag Placem_Collection'!AA137)),"YES","NO")</f>
        <v>NO</v>
      </c>
      <c r="AR210" t="s">
        <v>1973</v>
      </c>
      <c r="AT210" t="s">
        <v>383</v>
      </c>
    </row>
    <row r="211" spans="2:46">
      <c r="B211" t="str">
        <f>'Final data_for_R_analysis_Dryse'!A137</f>
        <v>Dry</v>
      </c>
      <c r="C211" s="263">
        <f>'Final data_for_R_analysis_Dryse'!B137</f>
        <v>136</v>
      </c>
      <c r="D211" t="s">
        <v>3846</v>
      </c>
      <c r="E211" t="s">
        <v>22</v>
      </c>
      <c r="F211" s="387">
        <v>8</v>
      </c>
      <c r="G211" s="16">
        <f>'Dry_Litterbag Placem_Collection'!E138</f>
        <v>42939</v>
      </c>
      <c r="H211" t="str">
        <f>'Final data_for_R_analysis_Dryse'!J137</f>
        <v>G332</v>
      </c>
      <c r="I211" t="str">
        <f>'Final data_for_R_analysis_Dryse'!J357</f>
        <v>R184</v>
      </c>
      <c r="J211">
        <f>IFERROR(INDEX('Green_rooibos initial weight'!$C$5:$C$1749,MATCH(H211, 'Green_rooibos initial weight'!$A$5:$A$1749,0)),"")</f>
        <v>2.121</v>
      </c>
      <c r="K211">
        <f>IFERROR(INDEX('Green_rooibos initial weight'!$C$5:$C$1749,MATCH(I211, 'Green_rooibos initial weight'!$A$5:$A$1749,0)),"")</f>
        <v>2.202</v>
      </c>
      <c r="L211" s="195">
        <f t="shared" si="29"/>
        <v>1.8712</v>
      </c>
      <c r="M211" s="240">
        <f>AVERAGE(Ashed_controlls!$K$1:$K$11)</f>
        <v>5.5147656768714146</v>
      </c>
      <c r="N211" s="195">
        <f t="shared" si="24"/>
        <v>1.7680077046543821</v>
      </c>
      <c r="O211" s="195">
        <f t="shared" si="30"/>
        <v>1.9521999999999999</v>
      </c>
      <c r="P211" s="240">
        <f>AVERAGE(Ashed_controlls!$K$12:$K$14)</f>
        <v>2.2816647271287041</v>
      </c>
      <c r="Q211" s="195">
        <f t="shared" si="25"/>
        <v>1.9076573411969935</v>
      </c>
      <c r="R211" s="16">
        <f>IF('Dry_Litterbag Placem_Collection'!G138="N.A","",'Dry_Litterbag Placem_Collection'!G138)</f>
        <v>43008</v>
      </c>
      <c r="S211" s="195">
        <f>IF(IFERROR(INDEX('Both teabags AfterDry'!$D$1:$D$839,MATCH(H211,'Both teabags AfterDry'!$A$1:$A$839,0)),"")="N.A","",(IFERROR(INDEX('Both teabags AfterDry'!$D$1:$D$839,MATCH(H211,'Both teabags AfterDry'!$A$1:$A$839,0)),"")))</f>
        <v>0.98260000000000003</v>
      </c>
      <c r="T211" s="195">
        <f>IF(IFERROR(INDEX('Both teabags AfterDry'!$D$1:$D$839,MATCH(I211,'Both teabags AfterDry'!$A$1:$A$839,0)),"")="N.A","",(IFERROR(INDEX('Both teabags AfterDry'!$D$1:$D$839,MATCH(I211,'Both teabags AfterDry'!$A$1:$A$839,0)),"")))</f>
        <v>1.7850999999999999</v>
      </c>
      <c r="U211" s="195">
        <f t="shared" si="31"/>
        <v>0.83200000000000007</v>
      </c>
      <c r="V211" s="195">
        <f t="shared" si="31"/>
        <v>1.6344999999999998</v>
      </c>
      <c r="W211" s="195">
        <f>IFERROR(INDEX('Ashed teabags dry'!$K$2:$K$821,MATCH(H211,'Ashed teabags dry'!$A$2:$A$821,0)),"")</f>
        <v>36.128717698681726</v>
      </c>
      <c r="X211" s="195">
        <f>IFERROR(INDEX('Ashed teabags dry'!$K$2:$K$821,MATCH(I211,'Ashed teabags dry'!$A$2:$A$821,0)),"")</f>
        <v>4.4315992292882065</v>
      </c>
      <c r="Y211" s="195">
        <f t="shared" si="26"/>
        <v>0.53140906874696814</v>
      </c>
      <c r="Z211" s="195">
        <f t="shared" si="26"/>
        <v>1.562065510597284</v>
      </c>
      <c r="AA211" s="195">
        <f t="shared" si="32"/>
        <v>0.69943056959084338</v>
      </c>
      <c r="AB211" s="195">
        <f t="shared" si="33"/>
        <v>0.45853405512368833</v>
      </c>
      <c r="AC211" s="195">
        <f t="shared" si="27"/>
        <v>0.81883967149841397</v>
      </c>
      <c r="AD211">
        <f t="shared" si="28"/>
        <v>69</v>
      </c>
      <c r="AE211" s="195">
        <f t="shared" si="34"/>
        <v>0.16932236390636179</v>
      </c>
      <c r="AF211" s="195">
        <f t="shared" si="35"/>
        <v>7.2850546897403855E-3</v>
      </c>
      <c r="AG211" s="255" t="str">
        <f>IF(ISNUMBER(SEARCH("C", 'Dry_Litterbag Placem_Collection'!AB138)),"YES","NO")</f>
        <v>NO</v>
      </c>
      <c r="AH211" s="255" t="str">
        <f>IF(ISNUMBER(SEARCH("H", 'Dry_Litterbag Placem_Collection'!AB138)),"YES","NO")</f>
        <v>NO</v>
      </c>
      <c r="AI211" s="255" t="str">
        <f>IF(ISNUMBER(SEARCH("R", 'Dry_Litterbag Placem_Collection'!AB138)),"YES","NO")</f>
        <v>NO</v>
      </c>
      <c r="AJ211" s="255" t="str">
        <f>IF(ISNUMBER(SEARCH("C", 'Dry_Litterbag Placem_Collection'!AA138)),"YES","NO")</f>
        <v>NO</v>
      </c>
      <c r="AK211" s="255" t="str">
        <f>IF(ISNUMBER(SEARCH("H", 'Dry_Litterbag Placem_Collection'!AA138)),"YES","NO")</f>
        <v>NO</v>
      </c>
      <c r="AL211" s="255" t="str">
        <f>IF(ISNUMBER(SEARCH("R", 'Dry_Litterbag Placem_Collection'!AA138)),"YES","NO")</f>
        <v>NO</v>
      </c>
      <c r="AR211" t="s">
        <v>1718</v>
      </c>
      <c r="AT211" t="s">
        <v>957</v>
      </c>
    </row>
    <row r="212" spans="2:46">
      <c r="B212" t="str">
        <f>'Final data_for_R_analysis_Dryse'!A138</f>
        <v>Dry</v>
      </c>
      <c r="C212" s="263">
        <f>'Final data_for_R_analysis_Dryse'!B138</f>
        <v>137</v>
      </c>
      <c r="D212" t="s">
        <v>3848</v>
      </c>
      <c r="E212" t="s">
        <v>22</v>
      </c>
      <c r="F212" s="386">
        <v>1</v>
      </c>
      <c r="G212" s="16">
        <f>'Dry_Litterbag Placem_Collection'!E139</f>
        <v>42939</v>
      </c>
      <c r="H212" t="str">
        <f>'Final data_for_R_analysis_Dryse'!J138</f>
        <v>G30</v>
      </c>
      <c r="I212" t="str">
        <f>'Final data_for_R_analysis_Dryse'!J358</f>
        <v>R746</v>
      </c>
      <c r="J212">
        <f>IFERROR(INDEX('Green_rooibos initial weight'!$C$5:$C$1749,MATCH(H212, 'Green_rooibos initial weight'!$A$5:$A$1749,0)),"")</f>
        <v>2.0680000000000001</v>
      </c>
      <c r="K212">
        <f>IFERROR(INDEX('Green_rooibos initial weight'!$C$5:$C$1749,MATCH(I212, 'Green_rooibos initial weight'!$A$5:$A$1749,0)),"")</f>
        <v>2.2290000000000001</v>
      </c>
      <c r="L212" s="195">
        <f t="shared" si="29"/>
        <v>1.8182</v>
      </c>
      <c r="M212" s="240">
        <f>AVERAGE(Ashed_controlls!$K$1:$K$11)</f>
        <v>5.5147656768714146</v>
      </c>
      <c r="N212" s="195">
        <f t="shared" si="24"/>
        <v>1.7179305304631241</v>
      </c>
      <c r="O212" s="195">
        <f t="shared" si="30"/>
        <v>1.9792000000000001</v>
      </c>
      <c r="P212" s="240">
        <f>AVERAGE(Ashed_controlls!$K$12:$K$14)</f>
        <v>2.2816647271287041</v>
      </c>
      <c r="Q212" s="195">
        <f t="shared" si="25"/>
        <v>1.9340412917206689</v>
      </c>
      <c r="R212" s="16">
        <f>IF('Dry_Litterbag Placem_Collection'!G139="N.A","",'Dry_Litterbag Placem_Collection'!G139)</f>
        <v>43008</v>
      </c>
      <c r="S212" s="195">
        <f>IF(IFERROR(INDEX('Both teabags AfterDry'!$D$1:$D$839,MATCH(H212,'Both teabags AfterDry'!$A$1:$A$839,0)),"")="N.A","",(IFERROR(INDEX('Both teabags AfterDry'!$D$1:$D$839,MATCH(H212,'Both teabags AfterDry'!$A$1:$A$839,0)),"")))</f>
        <v>0.80879999999999996</v>
      </c>
      <c r="T212" s="195">
        <f>IF(IFERROR(INDEX('Both teabags AfterDry'!$D$1:$D$839,MATCH(I212,'Both teabags AfterDry'!$A$1:$A$839,0)),"")="N.A","",(IFERROR(INDEX('Both teabags AfterDry'!$D$1:$D$839,MATCH(I212,'Both teabags AfterDry'!$A$1:$A$839,0)),"")))</f>
        <v>5.0305999999999997</v>
      </c>
      <c r="U212" s="195">
        <f t="shared" si="31"/>
        <v>0.6581999999999999</v>
      </c>
      <c r="V212" s="195">
        <f t="shared" si="31"/>
        <v>4.88</v>
      </c>
      <c r="W212" s="195">
        <f>IFERROR(INDEX('Ashed teabags dry'!$K$2:$K$821,MATCH(H212,'Ashed teabags dry'!$A$2:$A$821,0)),"")</f>
        <v>19.57311534968159</v>
      </c>
      <c r="X212" s="195">
        <f>IFERROR(INDEX('Ashed teabags dry'!$K$2:$K$821,MATCH(I212,'Ashed teabags dry'!$A$2:$A$821,0)),"")</f>
        <v>91.181818181818144</v>
      </c>
      <c r="Y212" s="195">
        <f t="shared" si="26"/>
        <v>0.52936975476839565</v>
      </c>
      <c r="Z212" s="195">
        <f t="shared" si="26"/>
        <v>0.43032727272727467</v>
      </c>
      <c r="AA212" s="195">
        <f t="shared" si="32"/>
        <v>0.6918561342374614</v>
      </c>
      <c r="AB212" s="195">
        <f t="shared" si="33"/>
        <v>0.45356839204166122</v>
      </c>
      <c r="AC212" s="195">
        <f t="shared" si="27"/>
        <v>0.22250159527071064</v>
      </c>
      <c r="AD212">
        <f t="shared" si="28"/>
        <v>69</v>
      </c>
      <c r="AE212" s="195">
        <f t="shared" si="34"/>
        <v>0.17831813035930943</v>
      </c>
      <c r="AF212" s="195" t="str">
        <f t="shared" si="35"/>
        <v/>
      </c>
      <c r="AG212" s="255" t="str">
        <f>IF(ISNUMBER(SEARCH("C", 'Dry_Litterbag Placem_Collection'!AB139)),"YES","NO")</f>
        <v>NO</v>
      </c>
      <c r="AH212" s="255" t="str">
        <f>IF(ISNUMBER(SEARCH("H", 'Dry_Litterbag Placem_Collection'!AB139)),"YES","NO")</f>
        <v>NO</v>
      </c>
      <c r="AI212" s="255" t="str">
        <f>IF(ISNUMBER(SEARCH("R", 'Dry_Litterbag Placem_Collection'!AB139)),"YES","NO")</f>
        <v>NO</v>
      </c>
      <c r="AJ212" s="255" t="str">
        <f>IF(ISNUMBER(SEARCH("C", 'Dry_Litterbag Placem_Collection'!AA139)),"YES","NO")</f>
        <v>NO</v>
      </c>
      <c r="AK212" s="255" t="str">
        <f>IF(ISNUMBER(SEARCH("H", 'Dry_Litterbag Placem_Collection'!AA139)),"YES","NO")</f>
        <v>NO</v>
      </c>
      <c r="AL212" s="255" t="str">
        <f>IF(ISNUMBER(SEARCH("R", 'Dry_Litterbag Placem_Collection'!AA139)),"YES","NO")</f>
        <v>NO</v>
      </c>
      <c r="AR212" t="s">
        <v>2020</v>
      </c>
      <c r="AT212" t="s">
        <v>393</v>
      </c>
    </row>
    <row r="213" spans="2:46">
      <c r="B213" t="str">
        <f>'Final data_for_R_analysis_Dryse'!A139</f>
        <v>Dry</v>
      </c>
      <c r="C213" s="263">
        <f>'Final data_for_R_analysis_Dryse'!B139</f>
        <v>138</v>
      </c>
      <c r="D213" t="s">
        <v>3848</v>
      </c>
      <c r="E213" t="s">
        <v>22</v>
      </c>
      <c r="F213" s="386">
        <v>2</v>
      </c>
      <c r="G213" s="16">
        <f>'Dry_Litterbag Placem_Collection'!E140</f>
        <v>42939</v>
      </c>
      <c r="H213" t="str">
        <f>'Final data_for_R_analysis_Dryse'!J139</f>
        <v>G213</v>
      </c>
      <c r="I213" t="str">
        <f>'Final data_for_R_analysis_Dryse'!J359</f>
        <v>R821</v>
      </c>
      <c r="J213">
        <f>IFERROR(INDEX('Green_rooibos initial weight'!$C$5:$C$1749,MATCH(H213, 'Green_rooibos initial weight'!$A$5:$A$1749,0)),"")</f>
        <v>2.0670000000000002</v>
      </c>
      <c r="K213">
        <f>IFERROR(INDEX('Green_rooibos initial weight'!$C$5:$C$1749,MATCH(I213, 'Green_rooibos initial weight'!$A$5:$A$1749,0)),"")</f>
        <v>2.1680000000000001</v>
      </c>
      <c r="L213" s="195">
        <f t="shared" si="29"/>
        <v>1.8172000000000001</v>
      </c>
      <c r="M213" s="240">
        <f>AVERAGE(Ashed_controlls!$K$1:$K$11)</f>
        <v>5.5147656768714146</v>
      </c>
      <c r="N213" s="195">
        <f t="shared" si="24"/>
        <v>1.7169856781198929</v>
      </c>
      <c r="O213" s="195">
        <f t="shared" si="30"/>
        <v>1.9182000000000001</v>
      </c>
      <c r="P213" s="240">
        <f>AVERAGE(Ashed_controlls!$K$12:$K$14)</f>
        <v>2.2816647271287041</v>
      </c>
      <c r="Q213" s="195">
        <f t="shared" si="25"/>
        <v>1.8744331072042173</v>
      </c>
      <c r="R213" s="16">
        <f>IF('Dry_Litterbag Placem_Collection'!G140="N.A","",'Dry_Litterbag Placem_Collection'!G140)</f>
        <v>43008</v>
      </c>
      <c r="S213" s="195">
        <f>IF(IFERROR(INDEX('Both teabags AfterDry'!$D$1:$D$839,MATCH(H213,'Both teabags AfterDry'!$A$1:$A$839,0)),"")="N.A","",(IFERROR(INDEX('Both teabags AfterDry'!$D$1:$D$839,MATCH(H213,'Both teabags AfterDry'!$A$1:$A$839,0)),"")))</f>
        <v>0.66200000000000003</v>
      </c>
      <c r="T213" s="195">
        <f>IF(IFERROR(INDEX('Both teabags AfterDry'!$D$1:$D$839,MATCH(I213,'Both teabags AfterDry'!$A$1:$A$839,0)),"")="N.A","",(IFERROR(INDEX('Both teabags AfterDry'!$D$1:$D$839,MATCH(I213,'Both teabags AfterDry'!$A$1:$A$839,0)),"")))</f>
        <v>0.2059</v>
      </c>
      <c r="U213" s="195">
        <f t="shared" si="31"/>
        <v>0.51140000000000008</v>
      </c>
      <c r="V213" s="195">
        <f t="shared" si="31"/>
        <v>5.5299999999999988E-2</v>
      </c>
      <c r="W213" s="195">
        <f>IFERROR(INDEX('Ashed teabags dry'!$K$2:$K$821,MATCH(H213,'Ashed teabags dry'!$A$2:$A$821,0)),"")</f>
        <v>28.084896347481987</v>
      </c>
      <c r="X213" s="195">
        <f>IFERROR(INDEX('Ashed teabags dry'!$K$2:$K$821,MATCH(I213,'Ashed teabags dry'!$A$2:$A$821,0)),"")</f>
        <v>0</v>
      </c>
      <c r="Y213" s="195">
        <f t="shared" si="26"/>
        <v>0.36777384007897718</v>
      </c>
      <c r="Z213" s="195">
        <f t="shared" si="26"/>
        <v>5.5299999999999988E-2</v>
      </c>
      <c r="AA213" s="195">
        <f t="shared" si="32"/>
        <v>0.78580261631437065</v>
      </c>
      <c r="AB213" s="195">
        <f t="shared" si="33"/>
        <v>0.51515800974528825</v>
      </c>
      <c r="AC213" s="195">
        <f t="shared" si="27"/>
        <v>2.9502253127870685E-2</v>
      </c>
      <c r="AD213">
        <f t="shared" si="28"/>
        <v>69</v>
      </c>
      <c r="AE213" s="195">
        <f t="shared" si="34"/>
        <v>6.6742735968680855E-2</v>
      </c>
      <c r="AF213" s="195" t="str">
        <f t="shared" si="35"/>
        <v/>
      </c>
      <c r="AG213" s="255" t="str">
        <f>IF(ISNUMBER(SEARCH("C", 'Dry_Litterbag Placem_Collection'!AB140)),"YES","NO")</f>
        <v>NO</v>
      </c>
      <c r="AH213" s="255" t="str">
        <f>IF(ISNUMBER(SEARCH("H", 'Dry_Litterbag Placem_Collection'!AB140)),"YES","NO")</f>
        <v>NO</v>
      </c>
      <c r="AI213" s="255" t="str">
        <f>IF(ISNUMBER(SEARCH("R", 'Dry_Litterbag Placem_Collection'!AB140)),"YES","NO")</f>
        <v>NO</v>
      </c>
      <c r="AJ213" s="255" t="str">
        <f>IF(ISNUMBER(SEARCH("C", 'Dry_Litterbag Placem_Collection'!AA140)),"YES","NO")</f>
        <v>NO</v>
      </c>
      <c r="AK213" s="255" t="str">
        <f>IF(ISNUMBER(SEARCH("H", 'Dry_Litterbag Placem_Collection'!AA140)),"YES","NO")</f>
        <v>NO</v>
      </c>
      <c r="AL213" s="255" t="str">
        <f>IF(ISNUMBER(SEARCH("R", 'Dry_Litterbag Placem_Collection'!AA140)),"YES","NO")</f>
        <v>NO</v>
      </c>
      <c r="AR213" t="s">
        <v>1837</v>
      </c>
      <c r="AT213" t="s">
        <v>318</v>
      </c>
    </row>
    <row r="214" spans="2:46">
      <c r="B214" t="str">
        <f>'Final data_for_R_analysis_Dryse'!A140</f>
        <v>Dry</v>
      </c>
      <c r="C214" s="263">
        <f>'Final data_for_R_analysis_Dryse'!B140</f>
        <v>139</v>
      </c>
      <c r="D214" t="s">
        <v>3848</v>
      </c>
      <c r="E214" t="s">
        <v>22</v>
      </c>
      <c r="F214" s="386">
        <v>3</v>
      </c>
      <c r="G214" s="16">
        <f>'Dry_Litterbag Placem_Collection'!E141</f>
        <v>42939</v>
      </c>
      <c r="H214" t="str">
        <f>'Final data_for_R_analysis_Dryse'!J140</f>
        <v>G17</v>
      </c>
      <c r="I214" t="str">
        <f>'Final data_for_R_analysis_Dryse'!J360</f>
        <v>R813</v>
      </c>
      <c r="J214">
        <f>IFERROR(INDEX('Green_rooibos initial weight'!$C$5:$C$1749,MATCH(H214, 'Green_rooibos initial weight'!$A$5:$A$1749,0)),"")</f>
        <v>1.9870000000000001</v>
      </c>
      <c r="K214">
        <f>IFERROR(INDEX('Green_rooibos initial weight'!$C$5:$C$1749,MATCH(I214, 'Green_rooibos initial weight'!$A$5:$A$1749,0)),"")</f>
        <v>2.2309999999999999</v>
      </c>
      <c r="L214" s="195">
        <f t="shared" si="29"/>
        <v>1.7372000000000001</v>
      </c>
      <c r="M214" s="240">
        <f>AVERAGE(Ashed_controlls!$K$1:$K$11)</f>
        <v>5.5147656768714146</v>
      </c>
      <c r="N214" s="195">
        <f t="shared" si="24"/>
        <v>1.64139749066139</v>
      </c>
      <c r="O214" s="195">
        <f t="shared" si="30"/>
        <v>1.9811999999999999</v>
      </c>
      <c r="P214" s="240">
        <f>AVERAGE(Ashed_controlls!$K$12:$K$14)</f>
        <v>2.2816647271287041</v>
      </c>
      <c r="Q214" s="195">
        <f t="shared" si="25"/>
        <v>1.935995658426126</v>
      </c>
      <c r="R214" s="16">
        <f>IF('Dry_Litterbag Placem_Collection'!G141="N.A","",'Dry_Litterbag Placem_Collection'!G141)</f>
        <v>43008</v>
      </c>
      <c r="S214" s="195">
        <f>IF(IFERROR(INDEX('Both teabags AfterDry'!$D$1:$D$839,MATCH(H214,'Both teabags AfterDry'!$A$1:$A$839,0)),"")="N.A","",(IFERROR(INDEX('Both teabags AfterDry'!$D$1:$D$839,MATCH(H214,'Both teabags AfterDry'!$A$1:$A$839,0)),"")))</f>
        <v>0.73580000000000001</v>
      </c>
      <c r="T214" s="195">
        <f>IF(IFERROR(INDEX('Both teabags AfterDry'!$D$1:$D$839,MATCH(I214,'Both teabags AfterDry'!$A$1:$A$839,0)),"")="N.A","",(IFERROR(INDEX('Both teabags AfterDry'!$D$1:$D$839,MATCH(I214,'Both teabags AfterDry'!$A$1:$A$839,0)),"")))</f>
        <v>2.1772999999999998</v>
      </c>
      <c r="U214" s="195">
        <f t="shared" si="31"/>
        <v>0.58519999999999994</v>
      </c>
      <c r="V214" s="195">
        <f t="shared" si="31"/>
        <v>2.0266999999999999</v>
      </c>
      <c r="W214" s="195">
        <f>IFERROR(INDEX('Ashed teabags dry'!$K$2:$K$821,MATCH(H214,'Ashed teabags dry'!$A$2:$A$821,0)),"")</f>
        <v>21.345029239766301</v>
      </c>
      <c r="X214" s="195">
        <f>IFERROR(INDEX('Ashed teabags dry'!$K$2:$K$821,MATCH(I214,'Ashed teabags dry'!$A$2:$A$821,0)),"")</f>
        <v>88.823816495851673</v>
      </c>
      <c r="Y214" s="195">
        <f t="shared" si="26"/>
        <v>0.46028888888888758</v>
      </c>
      <c r="Z214" s="195">
        <f t="shared" si="26"/>
        <v>0.22650771107857426</v>
      </c>
      <c r="AA214" s="195">
        <f t="shared" si="32"/>
        <v>0.71957500148034392</v>
      </c>
      <c r="AB214" s="195">
        <f t="shared" si="33"/>
        <v>0.47174038101799276</v>
      </c>
      <c r="AC214" s="195">
        <f t="shared" si="27"/>
        <v>0.11699804702181742</v>
      </c>
      <c r="AD214">
        <f t="shared" si="28"/>
        <v>69</v>
      </c>
      <c r="AE214" s="195">
        <f t="shared" si="34"/>
        <v>0.14539786047465086</v>
      </c>
      <c r="AF214" s="195" t="str">
        <f t="shared" si="35"/>
        <v/>
      </c>
      <c r="AG214" s="255" t="str">
        <f>IF(ISNUMBER(SEARCH("C", 'Dry_Litterbag Placem_Collection'!AB141)),"YES","NO")</f>
        <v>NO</v>
      </c>
      <c r="AH214" s="255" t="str">
        <f>IF(ISNUMBER(SEARCH("H", 'Dry_Litterbag Placem_Collection'!AB141)),"YES","NO")</f>
        <v>NO</v>
      </c>
      <c r="AI214" s="255" t="str">
        <f>IF(ISNUMBER(SEARCH("R", 'Dry_Litterbag Placem_Collection'!AB141)),"YES","NO")</f>
        <v>NO</v>
      </c>
      <c r="AJ214" s="255" t="str">
        <f>IF(ISNUMBER(SEARCH("C", 'Dry_Litterbag Placem_Collection'!AA141)),"YES","NO")</f>
        <v>NO</v>
      </c>
      <c r="AK214" s="255" t="str">
        <f>IF(ISNUMBER(SEARCH("H", 'Dry_Litterbag Placem_Collection'!AA141)),"YES","NO")</f>
        <v>NO</v>
      </c>
      <c r="AL214" s="255" t="str">
        <f>IF(ISNUMBER(SEARCH("R", 'Dry_Litterbag Placem_Collection'!AA141)),"YES","NO")</f>
        <v>NO</v>
      </c>
      <c r="AR214" t="s">
        <v>1800</v>
      </c>
      <c r="AT214" t="s">
        <v>326</v>
      </c>
    </row>
    <row r="215" spans="2:46">
      <c r="B215" t="str">
        <f>'Final data_for_R_analysis_Dryse'!A141</f>
        <v>Dry</v>
      </c>
      <c r="C215" s="263">
        <f>'Final data_for_R_analysis_Dryse'!B141</f>
        <v>140</v>
      </c>
      <c r="D215" t="s">
        <v>3848</v>
      </c>
      <c r="E215" t="s">
        <v>22</v>
      </c>
      <c r="F215" s="387">
        <v>4</v>
      </c>
      <c r="G215" s="16">
        <f>'Dry_Litterbag Placem_Collection'!E142</f>
        <v>42939</v>
      </c>
      <c r="H215" t="str">
        <f>'Final data_for_R_analysis_Dryse'!J141</f>
        <v>G401</v>
      </c>
      <c r="I215" t="str">
        <f>'Final data_for_R_analysis_Dryse'!J361</f>
        <v>R729</v>
      </c>
      <c r="J215">
        <f>IFERROR(INDEX('Green_rooibos initial weight'!$C$5:$C$1749,MATCH(H215, 'Green_rooibos initial weight'!$A$5:$A$1749,0)),"")</f>
        <v>1.9390000000000001</v>
      </c>
      <c r="K215">
        <f>IFERROR(INDEX('Green_rooibos initial weight'!$C$5:$C$1749,MATCH(I215, 'Green_rooibos initial weight'!$A$5:$A$1749,0)),"")</f>
        <v>2.1970000000000001</v>
      </c>
      <c r="L215" s="195">
        <f t="shared" si="29"/>
        <v>1.6892</v>
      </c>
      <c r="M215" s="240">
        <f>AVERAGE(Ashed_controlls!$K$1:$K$11)</f>
        <v>5.5147656768714146</v>
      </c>
      <c r="N215" s="195">
        <f t="shared" si="24"/>
        <v>1.5960445781862882</v>
      </c>
      <c r="O215" s="195">
        <f t="shared" si="30"/>
        <v>1.9472</v>
      </c>
      <c r="P215" s="240">
        <f>AVERAGE(Ashed_controlls!$K$12:$K$14)</f>
        <v>2.2816647271287041</v>
      </c>
      <c r="Q215" s="195">
        <f t="shared" si="25"/>
        <v>1.90277142443335</v>
      </c>
      <c r="R215" s="16">
        <f>IF('Dry_Litterbag Placem_Collection'!G142="N.A","",'Dry_Litterbag Placem_Collection'!G142)</f>
        <v>43008</v>
      </c>
      <c r="S215" s="195">
        <f>IF(IFERROR(INDEX('Both teabags AfterDry'!$D$1:$D$839,MATCH(H215,'Both teabags AfterDry'!$A$1:$A$839,0)),"")="N.A","",(IFERROR(INDEX('Both teabags AfterDry'!$D$1:$D$839,MATCH(H215,'Both teabags AfterDry'!$A$1:$A$839,0)),"")))</f>
        <v>0.9304</v>
      </c>
      <c r="T215" s="195">
        <f>IF(IFERROR(INDEX('Both teabags AfterDry'!$D$1:$D$839,MATCH(I215,'Both teabags AfterDry'!$A$1:$A$839,0)),"")="N.A","",(IFERROR(INDEX('Both teabags AfterDry'!$D$1:$D$839,MATCH(I215,'Both teabags AfterDry'!$A$1:$A$839,0)),"")))</f>
        <v>1.7859</v>
      </c>
      <c r="U215" s="195">
        <f t="shared" si="31"/>
        <v>0.77980000000000005</v>
      </c>
      <c r="V215" s="195">
        <f t="shared" si="31"/>
        <v>1.6353</v>
      </c>
      <c r="W215" s="195">
        <f>IFERROR(INDEX('Ashed teabags dry'!$K$2:$K$821,MATCH(H215,'Ashed teabags dry'!$A$2:$A$821,0)),"")</f>
        <v>22.900763358778644</v>
      </c>
      <c r="X215" s="195">
        <f>IFERROR(INDEX('Ashed teabags dry'!$K$2:$K$821,MATCH(I215,'Ashed teabags dry'!$A$2:$A$821,0)),"")</f>
        <v>7.374631268436298</v>
      </c>
      <c r="Y215" s="195">
        <f t="shared" si="26"/>
        <v>0.60121984732824418</v>
      </c>
      <c r="Z215" s="195">
        <f t="shared" si="26"/>
        <v>1.5147026548672613</v>
      </c>
      <c r="AA215" s="195">
        <f t="shared" si="32"/>
        <v>0.6233063565107575</v>
      </c>
      <c r="AB215" s="195">
        <f t="shared" si="33"/>
        <v>0.40862839524220684</v>
      </c>
      <c r="AC215" s="195">
        <f t="shared" si="27"/>
        <v>0.79605076858789992</v>
      </c>
      <c r="AD215">
        <f t="shared" si="28"/>
        <v>69</v>
      </c>
      <c r="AE215" s="195">
        <f t="shared" si="34"/>
        <v>0.25973116803948038</v>
      </c>
      <c r="AF215" s="195">
        <f t="shared" si="35"/>
        <v>1.0019746018546867E-2</v>
      </c>
      <c r="AG215" s="255" t="str">
        <f>IF(ISNUMBER(SEARCH("C", 'Dry_Litterbag Placem_Collection'!AB142)),"YES","NO")</f>
        <v>NO</v>
      </c>
      <c r="AH215" s="255" t="str">
        <f>IF(ISNUMBER(SEARCH("H", 'Dry_Litterbag Placem_Collection'!AB142)),"YES","NO")</f>
        <v>NO</v>
      </c>
      <c r="AI215" s="255" t="str">
        <f>IF(ISNUMBER(SEARCH("R", 'Dry_Litterbag Placem_Collection'!AB142)),"YES","NO")</f>
        <v>NO</v>
      </c>
      <c r="AJ215" s="255" t="str">
        <f>IF(ISNUMBER(SEARCH("C", 'Dry_Litterbag Placem_Collection'!AA142)),"YES","NO")</f>
        <v>NO</v>
      </c>
      <c r="AK215" s="255" t="str">
        <f>IF(ISNUMBER(SEARCH("H", 'Dry_Litterbag Placem_Collection'!AA142)),"YES","NO")</f>
        <v>NO</v>
      </c>
      <c r="AL215" s="255" t="str">
        <f>IF(ISNUMBER(SEARCH("R", 'Dry_Litterbag Placem_Collection'!AA142)),"YES","NO")</f>
        <v>NO</v>
      </c>
      <c r="AR215" t="s">
        <v>1649</v>
      </c>
      <c r="AT215" t="s">
        <v>410</v>
      </c>
    </row>
    <row r="216" spans="2:46">
      <c r="B216" t="str">
        <f>'Final data_for_R_analysis_Dryse'!A142</f>
        <v>Dry</v>
      </c>
      <c r="C216" s="263">
        <f>'Final data_for_R_analysis_Dryse'!B142</f>
        <v>141</v>
      </c>
      <c r="D216" t="s">
        <v>3848</v>
      </c>
      <c r="E216" t="s">
        <v>22</v>
      </c>
      <c r="F216" s="387">
        <v>5</v>
      </c>
      <c r="G216" s="16">
        <f>'Dry_Litterbag Placem_Collection'!E143</f>
        <v>0</v>
      </c>
      <c r="H216" t="str">
        <f>'Final data_for_R_analysis_Dryse'!J142</f>
        <v/>
      </c>
      <c r="I216" t="str">
        <f>'Final data_for_R_analysis_Dryse'!J362</f>
        <v/>
      </c>
      <c r="J216" t="str">
        <f>IFERROR(INDEX('Green_rooibos initial weight'!$C$5:$C$1749,MATCH(H216, 'Green_rooibos initial weight'!$A$5:$A$1749,0)),"")</f>
        <v/>
      </c>
      <c r="K216" t="str">
        <f>IFERROR(INDEX('Green_rooibos initial weight'!$C$5:$C$1749,MATCH(I216, 'Green_rooibos initial weight'!$A$5:$A$1749,0)),"")</f>
        <v/>
      </c>
      <c r="L216" s="195" t="str">
        <f t="shared" si="29"/>
        <v/>
      </c>
      <c r="M216" s="240">
        <f>AVERAGE(Ashed_controlls!$K$1:$K$11)</f>
        <v>5.5147656768714146</v>
      </c>
      <c r="N216" s="195" t="str">
        <f t="shared" si="24"/>
        <v/>
      </c>
      <c r="O216" s="195" t="str">
        <f t="shared" si="30"/>
        <v/>
      </c>
      <c r="P216" s="240">
        <f>AVERAGE(Ashed_controlls!$K$12:$K$14)</f>
        <v>2.2816647271287041</v>
      </c>
      <c r="Q216" s="195" t="str">
        <f t="shared" si="25"/>
        <v/>
      </c>
      <c r="R216" s="16">
        <f>IF('Dry_Litterbag Placem_Collection'!G143="N.A","",'Dry_Litterbag Placem_Collection'!G143)</f>
        <v>0</v>
      </c>
      <c r="S216" s="195" t="str">
        <f>IF(IFERROR(INDEX('Both teabags AfterDry'!$D$1:$D$839,MATCH(H216,'Both teabags AfterDry'!$A$1:$A$839,0)),"")="N.A","",(IFERROR(INDEX('Both teabags AfterDry'!$D$1:$D$839,MATCH(H216,'Both teabags AfterDry'!$A$1:$A$839,0)),"")))</f>
        <v/>
      </c>
      <c r="T216" s="195" t="str">
        <f>IF(IFERROR(INDEX('Both teabags AfterDry'!$D$1:$D$839,MATCH(I216,'Both teabags AfterDry'!$A$1:$A$839,0)),"")="N.A","",(IFERROR(INDEX('Both teabags AfterDry'!$D$1:$D$839,MATCH(I216,'Both teabags AfterDry'!$A$1:$A$839,0)),"")))</f>
        <v/>
      </c>
      <c r="U216" s="195" t="str">
        <f t="shared" si="31"/>
        <v/>
      </c>
      <c r="V216" s="195" t="str">
        <f t="shared" si="31"/>
        <v/>
      </c>
      <c r="W216" s="195" t="str">
        <f>IFERROR(INDEX('Ashed teabags dry'!$K$2:$K$821,MATCH(H216,'Ashed teabags dry'!$A$2:$A$821,0)),"")</f>
        <v/>
      </c>
      <c r="X216" s="195" t="str">
        <f>IFERROR(INDEX('Ashed teabags dry'!$K$2:$K$821,MATCH(I216,'Ashed teabags dry'!$A$2:$A$821,0)),"")</f>
        <v/>
      </c>
      <c r="Y216" s="195" t="str">
        <f t="shared" si="26"/>
        <v/>
      </c>
      <c r="Z216" s="195" t="str">
        <f t="shared" si="26"/>
        <v/>
      </c>
      <c r="AA216" s="195" t="str">
        <f t="shared" si="32"/>
        <v/>
      </c>
      <c r="AB216" s="195" t="str">
        <f t="shared" si="33"/>
        <v/>
      </c>
      <c r="AC216" s="195" t="str">
        <f t="shared" si="27"/>
        <v/>
      </c>
      <c r="AD216" t="str">
        <f t="shared" si="28"/>
        <v/>
      </c>
      <c r="AE216" s="195" t="str">
        <f t="shared" si="34"/>
        <v/>
      </c>
      <c r="AF216" s="195" t="str">
        <f t="shared" si="35"/>
        <v/>
      </c>
      <c r="AG216" s="255" t="str">
        <f>IF(ISNUMBER(SEARCH("C", 'Dry_Litterbag Placem_Collection'!AB143)),"YES","NO")</f>
        <v>NO</v>
      </c>
      <c r="AH216" s="255" t="str">
        <f>IF(ISNUMBER(SEARCH("H", 'Dry_Litterbag Placem_Collection'!AB143)),"YES","NO")</f>
        <v>NO</v>
      </c>
      <c r="AI216" s="255" t="str">
        <f>IF(ISNUMBER(SEARCH("R", 'Dry_Litterbag Placem_Collection'!AB143)),"YES","NO")</f>
        <v>NO</v>
      </c>
      <c r="AJ216" s="255" t="str">
        <f>IF(ISNUMBER(SEARCH("C", 'Dry_Litterbag Placem_Collection'!AA143)),"YES","NO")</f>
        <v>NO</v>
      </c>
      <c r="AK216" s="255" t="str">
        <f>IF(ISNUMBER(SEARCH("H", 'Dry_Litterbag Placem_Collection'!AA143)),"YES","NO")</f>
        <v>NO</v>
      </c>
      <c r="AL216" s="255" t="str">
        <f>IF(ISNUMBER(SEARCH("R", 'Dry_Litterbag Placem_Collection'!AA143)),"YES","NO")</f>
        <v>NO</v>
      </c>
      <c r="AR216" t="s">
        <v>3654</v>
      </c>
      <c r="AT216" t="s">
        <v>3654</v>
      </c>
    </row>
    <row r="217" spans="2:46">
      <c r="B217" t="str">
        <f>'Final data_for_R_analysis_Dryse'!A143</f>
        <v>Dry</v>
      </c>
      <c r="C217" s="263">
        <f>'Final data_for_R_analysis_Dryse'!B143</f>
        <v>142</v>
      </c>
      <c r="D217" t="s">
        <v>3848</v>
      </c>
      <c r="E217" t="s">
        <v>22</v>
      </c>
      <c r="F217" s="387">
        <v>6</v>
      </c>
      <c r="G217" s="16">
        <f>'Dry_Litterbag Placem_Collection'!E144</f>
        <v>42939</v>
      </c>
      <c r="H217" t="str">
        <f>'Final data_for_R_analysis_Dryse'!J143</f>
        <v>G87</v>
      </c>
      <c r="I217" t="str">
        <f>'Final data_for_R_analysis_Dryse'!J363</f>
        <v>R834</v>
      </c>
      <c r="J217">
        <f>IFERROR(INDEX('Green_rooibos initial weight'!$C$5:$C$1749,MATCH(H217, 'Green_rooibos initial weight'!$A$5:$A$1749,0)),"")</f>
        <v>1.9870000000000001</v>
      </c>
      <c r="K217">
        <f>IFERROR(INDEX('Green_rooibos initial weight'!$C$5:$C$1749,MATCH(I217, 'Green_rooibos initial weight'!$A$5:$A$1749,0)),"")</f>
        <v>2.1840000000000002</v>
      </c>
      <c r="L217" s="195">
        <f t="shared" si="29"/>
        <v>1.7372000000000001</v>
      </c>
      <c r="M217" s="240">
        <f>AVERAGE(Ashed_controlls!$K$1:$K$11)</f>
        <v>5.5147656768714146</v>
      </c>
      <c r="N217" s="195">
        <f t="shared" si="24"/>
        <v>1.64139749066139</v>
      </c>
      <c r="O217" s="195">
        <f t="shared" si="30"/>
        <v>1.9342000000000001</v>
      </c>
      <c r="P217" s="240">
        <f>AVERAGE(Ashed_controlls!$K$12:$K$14)</f>
        <v>2.2816647271287041</v>
      </c>
      <c r="Q217" s="195">
        <f t="shared" si="25"/>
        <v>1.8900680408478767</v>
      </c>
      <c r="R217" s="16">
        <f>IF('Dry_Litterbag Placem_Collection'!G144="N.A","",'Dry_Litterbag Placem_Collection'!G144)</f>
        <v>43008</v>
      </c>
      <c r="S217" s="195" t="str">
        <f>IF(IFERROR(INDEX('Both teabags AfterDry'!$D$1:$D$839,MATCH(H217,'Both teabags AfterDry'!$A$1:$A$839,0)),"")="N.A","",(IFERROR(INDEX('Both teabags AfterDry'!$D$1:$D$839,MATCH(H217,'Both teabags AfterDry'!$A$1:$A$839,0)),"")))</f>
        <v/>
      </c>
      <c r="T217" s="195" t="str">
        <f>IF(IFERROR(INDEX('Both teabags AfterDry'!$D$1:$D$839,MATCH(I217,'Both teabags AfterDry'!$A$1:$A$839,0)),"")="N.A","",(IFERROR(INDEX('Both teabags AfterDry'!$D$1:$D$839,MATCH(I217,'Both teabags AfterDry'!$A$1:$A$839,0)),"")))</f>
        <v/>
      </c>
      <c r="U217" s="195" t="str">
        <f t="shared" si="31"/>
        <v/>
      </c>
      <c r="V217" s="195" t="str">
        <f t="shared" si="31"/>
        <v/>
      </c>
      <c r="W217" s="195" t="str">
        <f>IFERROR(INDEX('Ashed teabags dry'!$K$2:$K$821,MATCH(H217,'Ashed teabags dry'!$A$2:$A$821,0)),"")</f>
        <v/>
      </c>
      <c r="X217" s="195" t="str">
        <f>IFERROR(INDEX('Ashed teabags dry'!$K$2:$K$821,MATCH(I217,'Ashed teabags dry'!$A$2:$A$821,0)),"")</f>
        <v/>
      </c>
      <c r="Y217" s="195" t="str">
        <f t="shared" si="26"/>
        <v/>
      </c>
      <c r="Z217" s="195" t="str">
        <f t="shared" si="26"/>
        <v/>
      </c>
      <c r="AA217" s="195" t="str">
        <f t="shared" si="32"/>
        <v/>
      </c>
      <c r="AB217" s="195" t="str">
        <f t="shared" si="33"/>
        <v/>
      </c>
      <c r="AC217" s="195" t="str">
        <f t="shared" si="27"/>
        <v/>
      </c>
      <c r="AD217">
        <f t="shared" si="28"/>
        <v>69</v>
      </c>
      <c r="AE217" s="195" t="str">
        <f t="shared" si="34"/>
        <v/>
      </c>
      <c r="AF217" s="195" t="str">
        <f t="shared" si="35"/>
        <v/>
      </c>
      <c r="AG217" s="255" t="str">
        <f>IF(ISNUMBER(SEARCH("C", 'Dry_Litterbag Placem_Collection'!AB144)),"YES","NO")</f>
        <v>NO</v>
      </c>
      <c r="AH217" s="255" t="str">
        <f>IF(ISNUMBER(SEARCH("H", 'Dry_Litterbag Placem_Collection'!AB144)),"YES","NO")</f>
        <v>NO</v>
      </c>
      <c r="AI217" s="255" t="str">
        <f>IF(ISNUMBER(SEARCH("R", 'Dry_Litterbag Placem_Collection'!AB144)),"YES","NO")</f>
        <v>NO</v>
      </c>
      <c r="AJ217" s="255" t="str">
        <f>IF(ISNUMBER(SEARCH("C", 'Dry_Litterbag Placem_Collection'!AA144)),"YES","NO")</f>
        <v>NO</v>
      </c>
      <c r="AK217" s="255" t="str">
        <f>IF(ISNUMBER(SEARCH("H", 'Dry_Litterbag Placem_Collection'!AA144)),"YES","NO")</f>
        <v>NO</v>
      </c>
      <c r="AL217" s="255" t="str">
        <f>IF(ISNUMBER(SEARCH("R", 'Dry_Litterbag Placem_Collection'!AA144)),"YES","NO")</f>
        <v>NO</v>
      </c>
      <c r="AR217" t="s">
        <v>1963</v>
      </c>
      <c r="AT217" t="s">
        <v>305</v>
      </c>
    </row>
    <row r="218" spans="2:46">
      <c r="B218" t="str">
        <f>'Final data_for_R_analysis_Dryse'!A144</f>
        <v>Dry</v>
      </c>
      <c r="C218" s="263">
        <f>'Final data_for_R_analysis_Dryse'!B144</f>
        <v>143</v>
      </c>
      <c r="D218" t="s">
        <v>3848</v>
      </c>
      <c r="E218" t="s">
        <v>22</v>
      </c>
      <c r="F218" s="387">
        <v>7</v>
      </c>
      <c r="G218" s="16">
        <f>'Dry_Litterbag Placem_Collection'!E145</f>
        <v>42939</v>
      </c>
      <c r="H218" t="str">
        <f>'Final data_for_R_analysis_Dryse'!J144</f>
        <v>G501</v>
      </c>
      <c r="I218" t="str">
        <f>'Final data_for_R_analysis_Dryse'!J364</f>
        <v>R774</v>
      </c>
      <c r="J218">
        <f>IFERROR(INDEX('Green_rooibos initial weight'!$C$5:$C$1749,MATCH(H218, 'Green_rooibos initial weight'!$A$5:$A$1749,0)),"")</f>
        <v>1.917</v>
      </c>
      <c r="K218">
        <f>IFERROR(INDEX('Green_rooibos initial weight'!$C$5:$C$1749,MATCH(I218, 'Green_rooibos initial weight'!$A$5:$A$1749,0)),"")</f>
        <v>2.1629999999999998</v>
      </c>
      <c r="L218" s="195">
        <f t="shared" si="29"/>
        <v>1.6672</v>
      </c>
      <c r="M218" s="240">
        <f>AVERAGE(Ashed_controlls!$K$1:$K$11)</f>
        <v>5.5147656768714146</v>
      </c>
      <c r="N218" s="195">
        <f t="shared" si="24"/>
        <v>1.5752578266351998</v>
      </c>
      <c r="O218" s="195">
        <f t="shared" si="30"/>
        <v>1.9131999999999998</v>
      </c>
      <c r="P218" s="240">
        <f>AVERAGE(Ashed_controlls!$K$12:$K$14)</f>
        <v>2.2816647271287041</v>
      </c>
      <c r="Q218" s="195">
        <f t="shared" si="25"/>
        <v>1.8695471904405734</v>
      </c>
      <c r="R218" s="16">
        <f>IF('Dry_Litterbag Placem_Collection'!G145="N.A","",'Dry_Litterbag Placem_Collection'!G145)</f>
        <v>43008</v>
      </c>
      <c r="S218" s="195">
        <f>IF(IFERROR(INDEX('Both teabags AfterDry'!$D$1:$D$839,MATCH(H218,'Both teabags AfterDry'!$A$1:$A$839,0)),"")="N.A","",(IFERROR(INDEX('Both teabags AfterDry'!$D$1:$D$839,MATCH(H218,'Both teabags AfterDry'!$A$1:$A$839,0)),"")))</f>
        <v>0.78680000000000005</v>
      </c>
      <c r="T218" s="195">
        <f>IF(IFERROR(INDEX('Both teabags AfterDry'!$D$1:$D$839,MATCH(I218,'Both teabags AfterDry'!$A$1:$A$839,0)),"")="N.A","",(IFERROR(INDEX('Both teabags AfterDry'!$D$1:$D$839,MATCH(I218,'Both teabags AfterDry'!$A$1:$A$839,0)),"")))</f>
        <v>1.5979000000000001</v>
      </c>
      <c r="U218" s="195">
        <f t="shared" si="31"/>
        <v>0.6362000000000001</v>
      </c>
      <c r="V218" s="195">
        <f t="shared" si="31"/>
        <v>1.4473</v>
      </c>
      <c r="W218" s="195">
        <f>IFERROR(INDEX('Ashed teabags dry'!$K$2:$K$821,MATCH(H218,'Ashed teabags dry'!$A$2:$A$821,0)),"")</f>
        <v>20.618120237087211</v>
      </c>
      <c r="X218" s="195">
        <f>IFERROR(INDEX('Ashed teabags dry'!$K$2:$K$821,MATCH(I218,'Ashed teabags dry'!$A$2:$A$821,0)),"")</f>
        <v>5.2657480314956748</v>
      </c>
      <c r="Y218" s="195">
        <f t="shared" si="26"/>
        <v>0.50502751905165122</v>
      </c>
      <c r="Z218" s="195">
        <f t="shared" si="26"/>
        <v>1.371088828740163</v>
      </c>
      <c r="AA218" s="195">
        <f t="shared" si="32"/>
        <v>0.67940008898073156</v>
      </c>
      <c r="AB218" s="195">
        <f t="shared" si="33"/>
        <v>0.44540243363107346</v>
      </c>
      <c r="AC218" s="195">
        <f t="shared" si="27"/>
        <v>0.73338016593047606</v>
      </c>
      <c r="AD218">
        <f t="shared" si="28"/>
        <v>69</v>
      </c>
      <c r="AE218" s="195">
        <f t="shared" si="34"/>
        <v>0.19311153327704089</v>
      </c>
      <c r="AF218" s="195">
        <f t="shared" si="35"/>
        <v>1.3229096791529373E-2</v>
      </c>
      <c r="AG218" s="255" t="str">
        <f>IF(ISNUMBER(SEARCH("C", 'Dry_Litterbag Placem_Collection'!AB145)),"YES","NO")</f>
        <v>NO</v>
      </c>
      <c r="AH218" s="255" t="str">
        <f>IF(ISNUMBER(SEARCH("H", 'Dry_Litterbag Placem_Collection'!AB145)),"YES","NO")</f>
        <v>NO</v>
      </c>
      <c r="AI218" s="255" t="str">
        <f>IF(ISNUMBER(SEARCH("R", 'Dry_Litterbag Placem_Collection'!AB145)),"YES","NO")</f>
        <v>NO</v>
      </c>
      <c r="AJ218" s="255" t="str">
        <f>IF(ISNUMBER(SEARCH("C", 'Dry_Litterbag Placem_Collection'!AA145)),"YES","NO")</f>
        <v>NO</v>
      </c>
      <c r="AK218" s="255" t="str">
        <f>IF(ISNUMBER(SEARCH("H", 'Dry_Litterbag Placem_Collection'!AA145)),"YES","NO")</f>
        <v>NO</v>
      </c>
      <c r="AL218" s="255" t="str">
        <f>IF(ISNUMBER(SEARCH("R", 'Dry_Litterbag Placem_Collection'!AA145)),"YES","NO")</f>
        <v>NO</v>
      </c>
      <c r="AR218" t="s">
        <v>1549</v>
      </c>
      <c r="AT218" t="s">
        <v>365</v>
      </c>
    </row>
    <row r="219" spans="2:46">
      <c r="B219" t="str">
        <f>'Final data_for_R_analysis_Dryse'!A145</f>
        <v>Dry</v>
      </c>
      <c r="C219" s="263">
        <f>'Final data_for_R_analysis_Dryse'!B145</f>
        <v>144</v>
      </c>
      <c r="D219" t="s">
        <v>3848</v>
      </c>
      <c r="E219" t="s">
        <v>22</v>
      </c>
      <c r="F219" s="387">
        <v>8</v>
      </c>
      <c r="G219" s="16">
        <f>'Dry_Litterbag Placem_Collection'!E146</f>
        <v>42939</v>
      </c>
      <c r="H219" t="str">
        <f>'Final data_for_R_analysis_Dryse'!J145</f>
        <v>G141</v>
      </c>
      <c r="I219" t="str">
        <f>'Final data_for_R_analysis_Dryse'!J365</f>
        <v>R779</v>
      </c>
      <c r="J219">
        <f>IFERROR(INDEX('Green_rooibos initial weight'!$C$5:$C$1749,MATCH(H219, 'Green_rooibos initial weight'!$A$5:$A$1749,0)),"")</f>
        <v>2.0310000000000001</v>
      </c>
      <c r="K219">
        <f>IFERROR(INDEX('Green_rooibos initial weight'!$C$5:$C$1749,MATCH(I219, 'Green_rooibos initial weight'!$A$5:$A$1749,0)),"")</f>
        <v>2.16</v>
      </c>
      <c r="L219" s="195">
        <f t="shared" si="29"/>
        <v>1.7812000000000001</v>
      </c>
      <c r="M219" s="240">
        <f>AVERAGE(Ashed_controlls!$K$1:$K$11)</f>
        <v>5.5147656768714146</v>
      </c>
      <c r="N219" s="195">
        <f t="shared" si="24"/>
        <v>1.6829709937635664</v>
      </c>
      <c r="O219" s="195">
        <f t="shared" si="30"/>
        <v>1.9102000000000001</v>
      </c>
      <c r="P219" s="240">
        <f>AVERAGE(Ashed_controlls!$K$12:$K$14)</f>
        <v>2.2816647271287041</v>
      </c>
      <c r="Q219" s="195">
        <f t="shared" si="25"/>
        <v>1.8666156403823877</v>
      </c>
      <c r="R219" s="16">
        <f>IF('Dry_Litterbag Placem_Collection'!G146="N.A","",'Dry_Litterbag Placem_Collection'!G146)</f>
        <v>43008</v>
      </c>
      <c r="S219" s="195">
        <f>IF(IFERROR(INDEX('Both teabags AfterDry'!$D$1:$D$839,MATCH(H219,'Both teabags AfterDry'!$A$1:$A$839,0)),"")="N.A","",(IFERROR(INDEX('Both teabags AfterDry'!$D$1:$D$839,MATCH(H219,'Both teabags AfterDry'!$A$1:$A$839,0)),"")))</f>
        <v>0.66180000000000005</v>
      </c>
      <c r="T219" s="195">
        <f>IF(IFERROR(INDEX('Both teabags AfterDry'!$D$1:$D$839,MATCH(I219,'Both teabags AfterDry'!$A$1:$A$839,0)),"")="N.A","",(IFERROR(INDEX('Both teabags AfterDry'!$D$1:$D$839,MATCH(I219,'Both teabags AfterDry'!$A$1:$A$839,0)),"")))</f>
        <v>0.17680000000000001</v>
      </c>
      <c r="U219" s="195">
        <f t="shared" si="31"/>
        <v>0.5112000000000001</v>
      </c>
      <c r="V219" s="195">
        <f t="shared" si="31"/>
        <v>2.6200000000000001E-2</v>
      </c>
      <c r="W219" s="195">
        <f>IFERROR(INDEX('Ashed teabags dry'!$K$2:$K$821,MATCH(H219,'Ashed teabags dry'!$A$2:$A$821,0)),"")</f>
        <v>16.886930983847094</v>
      </c>
      <c r="X219" s="195">
        <f>IFERROR(INDEX('Ashed teabags dry'!$K$2:$K$821,MATCH(I219,'Ashed teabags dry'!$A$2:$A$821,0)),"")</f>
        <v>0</v>
      </c>
      <c r="Y219" s="195">
        <f t="shared" si="26"/>
        <v>0.42487400881057374</v>
      </c>
      <c r="Z219" s="195">
        <f t="shared" si="26"/>
        <v>2.6200000000000001E-2</v>
      </c>
      <c r="AA219" s="195">
        <f t="shared" si="32"/>
        <v>0.74754525753266643</v>
      </c>
      <c r="AB219" s="195">
        <f t="shared" si="33"/>
        <v>0.49007717595965788</v>
      </c>
      <c r="AC219" s="195">
        <f t="shared" si="27"/>
        <v>1.4036097969602767E-2</v>
      </c>
      <c r="AD219">
        <f t="shared" si="28"/>
        <v>69</v>
      </c>
      <c r="AE219" s="195">
        <f t="shared" si="34"/>
        <v>0.1121790290585909</v>
      </c>
      <c r="AF219" s="195" t="str">
        <f t="shared" si="35"/>
        <v/>
      </c>
      <c r="AG219" s="255" t="str">
        <f>IF(ISNUMBER(SEARCH("C", 'Dry_Litterbag Placem_Collection'!AB146)),"YES","NO")</f>
        <v>NO</v>
      </c>
      <c r="AH219" s="255" t="str">
        <f>IF(ISNUMBER(SEARCH("H", 'Dry_Litterbag Placem_Collection'!AB146)),"YES","NO")</f>
        <v>NO</v>
      </c>
      <c r="AI219" s="255" t="str">
        <f>IF(ISNUMBER(SEARCH("R", 'Dry_Litterbag Placem_Collection'!AB146)),"YES","NO")</f>
        <v>NO</v>
      </c>
      <c r="AJ219" s="255" t="str">
        <f>IF(ISNUMBER(SEARCH("C", 'Dry_Litterbag Placem_Collection'!AA146)),"YES","NO")</f>
        <v>NO</v>
      </c>
      <c r="AK219" s="255" t="str">
        <f>IF(ISNUMBER(SEARCH("H", 'Dry_Litterbag Placem_Collection'!AA146)),"YES","NO")</f>
        <v>NO</v>
      </c>
      <c r="AL219" s="255" t="str">
        <f>IF(ISNUMBER(SEARCH("R", 'Dry_Litterbag Placem_Collection'!AA146)),"YES","NO")</f>
        <v>NO</v>
      </c>
      <c r="AR219" t="s">
        <v>1909</v>
      </c>
      <c r="AT219" t="s">
        <v>360</v>
      </c>
    </row>
    <row r="220" spans="2:46">
      <c r="B220" t="str">
        <f>'Final data_for_R_analysis_Dryse'!A146</f>
        <v>Dry</v>
      </c>
      <c r="C220" s="263">
        <f>'Final data_for_R_analysis_Dryse'!B146</f>
        <v>145</v>
      </c>
      <c r="D220" t="s">
        <v>3849</v>
      </c>
      <c r="E220" t="s">
        <v>22</v>
      </c>
      <c r="F220" s="386">
        <v>1</v>
      </c>
      <c r="G220" s="16">
        <f>'Dry_Litterbag Placem_Collection'!E147</f>
        <v>42939</v>
      </c>
      <c r="H220" t="str">
        <f>'Final data_for_R_analysis_Dryse'!J146</f>
        <v>G131</v>
      </c>
      <c r="I220" t="str">
        <f>'Final data_for_R_analysis_Dryse'!J366</f>
        <v>R728</v>
      </c>
      <c r="J220">
        <f>IFERROR(INDEX('Green_rooibos initial weight'!$C$5:$C$1749,MATCH(H220, 'Green_rooibos initial weight'!$A$5:$A$1749,0)),"")</f>
        <v>1.9670000000000001</v>
      </c>
      <c r="K220">
        <f>IFERROR(INDEX('Green_rooibos initial weight'!$C$5:$C$1749,MATCH(I220, 'Green_rooibos initial weight'!$A$5:$A$1749,0)),"")</f>
        <v>2.2429999999999999</v>
      </c>
      <c r="L220" s="195">
        <f t="shared" si="29"/>
        <v>1.7172000000000001</v>
      </c>
      <c r="M220" s="240">
        <f>AVERAGE(Ashed_controlls!$K$1:$K$11)</f>
        <v>5.5147656768714146</v>
      </c>
      <c r="N220" s="195">
        <f t="shared" si="24"/>
        <v>1.6225004437967641</v>
      </c>
      <c r="O220" s="195">
        <f t="shared" si="30"/>
        <v>1.9931999999999999</v>
      </c>
      <c r="P220" s="240">
        <f>AVERAGE(Ashed_controlls!$K$12:$K$14)</f>
        <v>2.2816647271287041</v>
      </c>
      <c r="Q220" s="195">
        <f t="shared" si="25"/>
        <v>1.9477218586588705</v>
      </c>
      <c r="R220" s="16">
        <f>IF('Dry_Litterbag Placem_Collection'!G147="N.A","",'Dry_Litterbag Placem_Collection'!G147)</f>
        <v>43010</v>
      </c>
      <c r="S220" s="195">
        <f>IF(IFERROR(INDEX('Both teabags AfterDry'!$D$1:$D$839,MATCH(H220,'Both teabags AfterDry'!$A$1:$A$839,0)),"")="N.A","",(IFERROR(INDEX('Both teabags AfterDry'!$D$1:$D$839,MATCH(H220,'Both teabags AfterDry'!$A$1:$A$839,0)),"")))</f>
        <v>1.544</v>
      </c>
      <c r="T220" s="195">
        <f>IF(IFERROR(INDEX('Both teabags AfterDry'!$D$1:$D$839,MATCH(I220,'Both teabags AfterDry'!$A$1:$A$839,0)),"")="N.A","",(IFERROR(INDEX('Both teabags AfterDry'!$D$1:$D$839,MATCH(I220,'Both teabags AfterDry'!$A$1:$A$839,0)),"")))</f>
        <v>1.9579</v>
      </c>
      <c r="U220" s="195">
        <f t="shared" si="31"/>
        <v>1.3934</v>
      </c>
      <c r="V220" s="195">
        <f t="shared" si="31"/>
        <v>1.8072999999999999</v>
      </c>
      <c r="W220" s="195">
        <f>IFERROR(INDEX('Ashed teabags dry'!$K$2:$K$821,MATCH(H220,'Ashed teabags dry'!$A$2:$A$821,0)),"")</f>
        <v>8.3820662768028189</v>
      </c>
      <c r="X220" s="195">
        <f>IFERROR(INDEX('Ashed teabags dry'!$K$2:$K$821,MATCH(I220,'Ashed teabags dry'!$A$2:$A$821,0)),"")</f>
        <v>3.1746031746032655</v>
      </c>
      <c r="Y220" s="195">
        <f t="shared" si="26"/>
        <v>1.2766042884990294</v>
      </c>
      <c r="Z220" s="195">
        <f t="shared" si="26"/>
        <v>1.7499253968253952</v>
      </c>
      <c r="AA220" s="195">
        <f t="shared" si="32"/>
        <v>0.21318709441355443</v>
      </c>
      <c r="AB220" s="195">
        <f t="shared" si="33"/>
        <v>0.13976161058940859</v>
      </c>
      <c r="AC220" s="195">
        <f t="shared" si="27"/>
        <v>0.89844727523381052</v>
      </c>
      <c r="AD220">
        <f t="shared" si="28"/>
        <v>71</v>
      </c>
      <c r="AE220" s="195">
        <f t="shared" si="34"/>
        <v>0.74680867646846272</v>
      </c>
      <c r="AF220" s="195">
        <f t="shared" si="35"/>
        <v>1.8265775887172896E-2</v>
      </c>
      <c r="AG220" s="255" t="str">
        <f>IF(ISNUMBER(SEARCH("C", 'Dry_Litterbag Placem_Collection'!AB147)),"YES","NO")</f>
        <v>NO</v>
      </c>
      <c r="AH220" s="255" t="str">
        <f>IF(ISNUMBER(SEARCH("H", 'Dry_Litterbag Placem_Collection'!AB147)),"YES","NO")</f>
        <v>NO</v>
      </c>
      <c r="AI220" s="255" t="str">
        <f>IF(ISNUMBER(SEARCH("R", 'Dry_Litterbag Placem_Collection'!AB147)),"YES","NO")</f>
        <v>NO</v>
      </c>
      <c r="AJ220" s="255" t="str">
        <f>IF(ISNUMBER(SEARCH("C", 'Dry_Litterbag Placem_Collection'!AA147)),"YES","NO")</f>
        <v>NO</v>
      </c>
      <c r="AK220" s="255" t="str">
        <f>IF(ISNUMBER(SEARCH("H", 'Dry_Litterbag Placem_Collection'!AA147)),"YES","NO")</f>
        <v>NO</v>
      </c>
      <c r="AL220" s="255" t="str">
        <f>IF(ISNUMBER(SEARCH("R", 'Dry_Litterbag Placem_Collection'!AA147)),"YES","NO")</f>
        <v>NO</v>
      </c>
      <c r="AR220" t="s">
        <v>1919</v>
      </c>
      <c r="AT220" t="s">
        <v>411</v>
      </c>
    </row>
    <row r="221" spans="2:46">
      <c r="B221" t="str">
        <f>'Final data_for_R_analysis_Dryse'!A147</f>
        <v>Dry</v>
      </c>
      <c r="C221" s="263">
        <f>'Final data_for_R_analysis_Dryse'!B147</f>
        <v>146</v>
      </c>
      <c r="D221" t="s">
        <v>3849</v>
      </c>
      <c r="E221" t="s">
        <v>22</v>
      </c>
      <c r="F221" s="386">
        <v>2</v>
      </c>
      <c r="G221" s="16">
        <f>'Dry_Litterbag Placem_Collection'!E148</f>
        <v>42939</v>
      </c>
      <c r="H221" t="str">
        <f>'Final data_for_R_analysis_Dryse'!J147</f>
        <v>G465</v>
      </c>
      <c r="I221" t="str">
        <f>'Final data_for_R_analysis_Dryse'!J367</f>
        <v>R13</v>
      </c>
      <c r="J221">
        <f>IFERROR(INDEX('Green_rooibos initial weight'!$C$5:$C$1749,MATCH(H221, 'Green_rooibos initial weight'!$A$5:$A$1749,0)),"")</f>
        <v>2.004</v>
      </c>
      <c r="K221">
        <f>IFERROR(INDEX('Green_rooibos initial weight'!$C$5:$C$1749,MATCH(I221, 'Green_rooibos initial weight'!$A$5:$A$1749,0)),"")</f>
        <v>2.2490000000000001</v>
      </c>
      <c r="L221" s="195">
        <f t="shared" si="29"/>
        <v>1.7542</v>
      </c>
      <c r="M221" s="240">
        <f>AVERAGE(Ashed_controlls!$K$1:$K$11)</f>
        <v>5.5147656768714146</v>
      </c>
      <c r="N221" s="195">
        <f t="shared" si="24"/>
        <v>1.6574599804963217</v>
      </c>
      <c r="O221" s="195">
        <f t="shared" si="30"/>
        <v>1.9992000000000001</v>
      </c>
      <c r="P221" s="240">
        <f>AVERAGE(Ashed_controlls!$K$12:$K$14)</f>
        <v>2.2816647271287041</v>
      </c>
      <c r="Q221" s="195">
        <f t="shared" si="25"/>
        <v>1.953584958775243</v>
      </c>
      <c r="R221" s="16">
        <f>IF('Dry_Litterbag Placem_Collection'!G148="N.A","",'Dry_Litterbag Placem_Collection'!G148)</f>
        <v>43010</v>
      </c>
      <c r="S221" s="195">
        <f>IF(IFERROR(INDEX('Both teabags AfterDry'!$D$1:$D$839,MATCH(H221,'Both teabags AfterDry'!$A$1:$A$839,0)),"")="N.A","",(IFERROR(INDEX('Both teabags AfterDry'!$D$1:$D$839,MATCH(H221,'Both teabags AfterDry'!$A$1:$A$839,0)),"")))</f>
        <v>1.6845000000000001</v>
      </c>
      <c r="T221" s="195">
        <f>IF(IFERROR(INDEX('Both teabags AfterDry'!$D$1:$D$839,MATCH(I221,'Both teabags AfterDry'!$A$1:$A$839,0)),"")="N.A","",(IFERROR(INDEX('Both teabags AfterDry'!$D$1:$D$839,MATCH(I221,'Both teabags AfterDry'!$A$1:$A$839,0)),"")))</f>
        <v>0.68400000000000005</v>
      </c>
      <c r="U221" s="195">
        <f t="shared" si="31"/>
        <v>1.5339</v>
      </c>
      <c r="V221" s="195">
        <f t="shared" si="31"/>
        <v>0.5334000000000001</v>
      </c>
      <c r="W221" s="195">
        <f>IFERROR(INDEX('Ashed teabags dry'!$K$2:$K$821,MATCH(H221,'Ashed teabags dry'!$A$2:$A$821,0)),"")</f>
        <v>6.8675889328057185</v>
      </c>
      <c r="X221" s="195">
        <f>IFERROR(INDEX('Ashed teabags dry'!$K$2:$K$821,MATCH(I221,'Ashed teabags dry'!$A$2:$A$821,0)),"")</f>
        <v>88.478802992518979</v>
      </c>
      <c r="Y221" s="195">
        <f t="shared" si="26"/>
        <v>1.4285580533596931</v>
      </c>
      <c r="Z221" s="195">
        <f t="shared" si="26"/>
        <v>6.1454064837903777E-2</v>
      </c>
      <c r="AA221" s="195">
        <f t="shared" si="32"/>
        <v>0.13810404464069448</v>
      </c>
      <c r="AB221" s="195">
        <f t="shared" si="33"/>
        <v>9.0538518576797317E-2</v>
      </c>
      <c r="AC221" s="195">
        <f t="shared" si="27"/>
        <v>3.1457073091119135E-2</v>
      </c>
      <c r="AD221">
        <f t="shared" si="28"/>
        <v>71</v>
      </c>
      <c r="AE221" s="195">
        <f t="shared" si="34"/>
        <v>0.83598094460725125</v>
      </c>
      <c r="AF221" s="195" t="str">
        <f t="shared" si="35"/>
        <v/>
      </c>
      <c r="AG221" s="255" t="str">
        <f>IF(ISNUMBER(SEARCH("C", 'Dry_Litterbag Placem_Collection'!AB148)),"YES","NO")</f>
        <v>NO</v>
      </c>
      <c r="AH221" s="255" t="str">
        <f>IF(ISNUMBER(SEARCH("H", 'Dry_Litterbag Placem_Collection'!AB148)),"YES","NO")</f>
        <v>NO</v>
      </c>
      <c r="AI221" s="255" t="str">
        <f>IF(ISNUMBER(SEARCH("R", 'Dry_Litterbag Placem_Collection'!AB148)),"YES","NO")</f>
        <v>NO</v>
      </c>
      <c r="AJ221" s="255" t="str">
        <f>IF(ISNUMBER(SEARCH("C", 'Dry_Litterbag Placem_Collection'!AA148)),"YES","NO")</f>
        <v>NO</v>
      </c>
      <c r="AK221" s="255" t="str">
        <f>IF(ISNUMBER(SEARCH("H", 'Dry_Litterbag Placem_Collection'!AA148)),"YES","NO")</f>
        <v>NO</v>
      </c>
      <c r="AL221" s="255" t="str">
        <f>IF(ISNUMBER(SEARCH("R", 'Dry_Litterbag Placem_Collection'!AA148)),"YES","NO")</f>
        <v>NO</v>
      </c>
      <c r="AR221" t="s">
        <v>1585</v>
      </c>
      <c r="AT221" t="s">
        <v>1128</v>
      </c>
    </row>
    <row r="222" spans="2:46">
      <c r="B222" t="str">
        <f>'Final data_for_R_analysis_Dryse'!A148</f>
        <v>Dry</v>
      </c>
      <c r="C222" s="263">
        <f>'Final data_for_R_analysis_Dryse'!B148</f>
        <v>147</v>
      </c>
      <c r="D222" t="s">
        <v>3849</v>
      </c>
      <c r="E222" t="s">
        <v>22</v>
      </c>
      <c r="F222" s="386">
        <v>3</v>
      </c>
      <c r="G222" s="16">
        <f>'Dry_Litterbag Placem_Collection'!E149</f>
        <v>42939</v>
      </c>
      <c r="H222" t="str">
        <f>'Final data_for_R_analysis_Dryse'!J148</f>
        <v>G15</v>
      </c>
      <c r="I222" t="str">
        <f>'Final data_for_R_analysis_Dryse'!J368</f>
        <v>R832</v>
      </c>
      <c r="J222">
        <f>IFERROR(INDEX('Green_rooibos initial weight'!$C$5:$C$1749,MATCH(H222, 'Green_rooibos initial weight'!$A$5:$A$1749,0)),"")</f>
        <v>2.0510000000000002</v>
      </c>
      <c r="K222">
        <f>IFERROR(INDEX('Green_rooibos initial weight'!$C$5:$C$1749,MATCH(I222, 'Green_rooibos initial weight'!$A$5:$A$1749,0)),"")</f>
        <v>2.2149999999999999</v>
      </c>
      <c r="L222" s="195">
        <f t="shared" si="29"/>
        <v>1.8012000000000001</v>
      </c>
      <c r="M222" s="240">
        <f>AVERAGE(Ashed_controlls!$K$1:$K$11)</f>
        <v>5.5147656768714146</v>
      </c>
      <c r="N222" s="195">
        <f t="shared" si="24"/>
        <v>1.7018680406281923</v>
      </c>
      <c r="O222" s="195">
        <f t="shared" si="30"/>
        <v>1.9651999999999998</v>
      </c>
      <c r="P222" s="240">
        <f>AVERAGE(Ashed_controlls!$K$12:$K$14)</f>
        <v>2.2816647271287041</v>
      </c>
      <c r="Q222" s="195">
        <f t="shared" si="25"/>
        <v>1.9203607247824666</v>
      </c>
      <c r="R222" s="16">
        <f>IF('Dry_Litterbag Placem_Collection'!G149="N.A","",'Dry_Litterbag Placem_Collection'!G149)</f>
        <v>43010</v>
      </c>
      <c r="S222" s="195">
        <f>IF(IFERROR(INDEX('Both teabags AfterDry'!$D$1:$D$839,MATCH(H222,'Both teabags AfterDry'!$A$1:$A$839,0)),"")="N.A","",(IFERROR(INDEX('Both teabags AfterDry'!$D$1:$D$839,MATCH(H222,'Both teabags AfterDry'!$A$1:$A$839,0)),"")))</f>
        <v>1.6711</v>
      </c>
      <c r="T222" s="195">
        <f>IF(IFERROR(INDEX('Both teabags AfterDry'!$D$1:$D$839,MATCH(I222,'Both teabags AfterDry'!$A$1:$A$839,0)),"")="N.A","",(IFERROR(INDEX('Both teabags AfterDry'!$D$1:$D$839,MATCH(I222,'Both teabags AfterDry'!$A$1:$A$839,0)),"")))</f>
        <v>1.7279</v>
      </c>
      <c r="U222" s="195">
        <f t="shared" si="31"/>
        <v>1.5205</v>
      </c>
      <c r="V222" s="195">
        <f t="shared" si="31"/>
        <v>1.5772999999999999</v>
      </c>
      <c r="W222" s="195">
        <f>IFERROR(INDEX('Ashed teabags dry'!$K$2:$K$821,MATCH(H222,'Ashed teabags dry'!$A$2:$A$821,0)),"")</f>
        <v>6.9790628115651439</v>
      </c>
      <c r="X222" s="195">
        <f>IFERROR(INDEX('Ashed teabags dry'!$K$2:$K$821,MATCH(I222,'Ashed teabags dry'!$A$2:$A$821,0)),"")</f>
        <v>3.1790556334733524</v>
      </c>
      <c r="Y222" s="195">
        <f t="shared" si="26"/>
        <v>1.4143833499501519</v>
      </c>
      <c r="Z222" s="195">
        <f t="shared" si="26"/>
        <v>1.5271567554932248</v>
      </c>
      <c r="AA222" s="195">
        <f t="shared" si="32"/>
        <v>0.16892302094816014</v>
      </c>
      <c r="AB222" s="195">
        <f t="shared" si="33"/>
        <v>0.1107428830919055</v>
      </c>
      <c r="AC222" s="195">
        <f t="shared" si="27"/>
        <v>0.79524473490063552</v>
      </c>
      <c r="AD222">
        <f t="shared" si="28"/>
        <v>71</v>
      </c>
      <c r="AE222" s="195">
        <f t="shared" si="34"/>
        <v>0.7993788349784321</v>
      </c>
      <c r="AF222" s="195" t="str">
        <f t="shared" si="35"/>
        <v/>
      </c>
      <c r="AG222" s="255" t="str">
        <f>IF(ISNUMBER(SEARCH("C", 'Dry_Litterbag Placem_Collection'!AB149)),"YES","NO")</f>
        <v>NO</v>
      </c>
      <c r="AH222" s="255" t="str">
        <f>IF(ISNUMBER(SEARCH("H", 'Dry_Litterbag Placem_Collection'!AB149)),"YES","NO")</f>
        <v>NO</v>
      </c>
      <c r="AI222" s="255" t="str">
        <f>IF(ISNUMBER(SEARCH("R", 'Dry_Litterbag Placem_Collection'!AB149)),"YES","NO")</f>
        <v>NO</v>
      </c>
      <c r="AJ222" s="255" t="str">
        <f>IF(ISNUMBER(SEARCH("C", 'Dry_Litterbag Placem_Collection'!AA149)),"YES","NO")</f>
        <v>NO</v>
      </c>
      <c r="AK222" s="255" t="str">
        <f>IF(ISNUMBER(SEARCH("H", 'Dry_Litterbag Placem_Collection'!AA149)),"YES","NO")</f>
        <v>NO</v>
      </c>
      <c r="AL222" s="255" t="str">
        <f>IF(ISNUMBER(SEARCH("R", 'Dry_Litterbag Placem_Collection'!AA149)),"YES","NO")</f>
        <v>NO</v>
      </c>
      <c r="AR222" t="s">
        <v>2035</v>
      </c>
      <c r="AT222" t="s">
        <v>307</v>
      </c>
    </row>
    <row r="223" spans="2:46">
      <c r="B223" t="str">
        <f>'Final data_for_R_analysis_Dryse'!A149</f>
        <v>Dry</v>
      </c>
      <c r="C223" s="263">
        <f>'Final data_for_R_analysis_Dryse'!B149</f>
        <v>148</v>
      </c>
      <c r="D223" t="s">
        <v>3849</v>
      </c>
      <c r="E223" t="s">
        <v>22</v>
      </c>
      <c r="F223" s="387">
        <v>4</v>
      </c>
      <c r="G223" s="16">
        <f>'Dry_Litterbag Placem_Collection'!E150</f>
        <v>42939</v>
      </c>
      <c r="H223" t="str">
        <f>'Final data_for_R_analysis_Dryse'!J149</f>
        <v>G290</v>
      </c>
      <c r="I223" t="str">
        <f>'Final data_for_R_analysis_Dryse'!J369</f>
        <v>R823</v>
      </c>
      <c r="J223">
        <f>IFERROR(INDEX('Green_rooibos initial weight'!$C$5:$C$1749,MATCH(H223, 'Green_rooibos initial weight'!$A$5:$A$1749,0)),"")</f>
        <v>2.0539999999999998</v>
      </c>
      <c r="K223">
        <f>IFERROR(INDEX('Green_rooibos initial weight'!$C$5:$C$1749,MATCH(I223, 'Green_rooibos initial weight'!$A$5:$A$1749,0)),"")</f>
        <v>2.214</v>
      </c>
      <c r="L223" s="195">
        <f t="shared" si="29"/>
        <v>1.8041999999999998</v>
      </c>
      <c r="M223" s="240">
        <f>AVERAGE(Ashed_controlls!$K$1:$K$11)</f>
        <v>5.5147656768714146</v>
      </c>
      <c r="N223" s="195">
        <f t="shared" si="24"/>
        <v>1.7047025976578858</v>
      </c>
      <c r="O223" s="195">
        <f t="shared" si="30"/>
        <v>1.9641999999999999</v>
      </c>
      <c r="P223" s="240">
        <f>AVERAGE(Ashed_controlls!$K$12:$K$14)</f>
        <v>2.2816647271287041</v>
      </c>
      <c r="Q223" s="195">
        <f t="shared" si="25"/>
        <v>1.919383541429738</v>
      </c>
      <c r="R223" s="16">
        <f>IF('Dry_Litterbag Placem_Collection'!G150="N.A","",'Dry_Litterbag Placem_Collection'!G150)</f>
        <v>43010</v>
      </c>
      <c r="S223" s="195">
        <f>IF(IFERROR(INDEX('Both teabags AfterDry'!$D$1:$D$839,MATCH(H223,'Both teabags AfterDry'!$A$1:$A$839,0)),"")="N.A","",(IFERROR(INDEX('Both teabags AfterDry'!$D$1:$D$839,MATCH(H223,'Both teabags AfterDry'!$A$1:$A$839,0)),"")))</f>
        <v>1.6564000000000001</v>
      </c>
      <c r="T223" s="195">
        <f>IF(IFERROR(INDEX('Both teabags AfterDry'!$D$1:$D$839,MATCH(I223,'Both teabags AfterDry'!$A$1:$A$839,0)),"")="N.A","",(IFERROR(INDEX('Both teabags AfterDry'!$D$1:$D$839,MATCH(I223,'Both teabags AfterDry'!$A$1:$A$839,0)),"")))</f>
        <v>0</v>
      </c>
      <c r="U223" s="195">
        <f t="shared" si="31"/>
        <v>1.5058</v>
      </c>
      <c r="V223" s="195" t="str">
        <f t="shared" si="31"/>
        <v/>
      </c>
      <c r="W223" s="195">
        <f>IFERROR(INDEX('Ashed teabags dry'!$K$2:$K$821,MATCH(H223,'Ashed teabags dry'!$A$2:$A$821,0)),"")</f>
        <v>7.4552269887550784</v>
      </c>
      <c r="X223" s="195">
        <f>IFERROR(INDEX('Ashed teabags dry'!$K$2:$K$821,MATCH(I223,'Ashed teabags dry'!$A$2:$A$821,0)),"")</f>
        <v>90.2597402597399</v>
      </c>
      <c r="Y223" s="195">
        <f t="shared" si="26"/>
        <v>1.393539192003326</v>
      </c>
      <c r="Z223" s="195" t="str">
        <f t="shared" si="26"/>
        <v/>
      </c>
      <c r="AA223" s="195">
        <f t="shared" si="32"/>
        <v>0.18253237021054081</v>
      </c>
      <c r="AB223" s="195">
        <f t="shared" si="33"/>
        <v>0.11966492678885816</v>
      </c>
      <c r="AC223" s="195" t="str">
        <f t="shared" si="27"/>
        <v/>
      </c>
      <c r="AD223">
        <f t="shared" si="28"/>
        <v>71</v>
      </c>
      <c r="AE223" s="195">
        <f t="shared" si="34"/>
        <v>0.78321571233902509</v>
      </c>
      <c r="AF223" s="195" t="str">
        <f t="shared" si="35"/>
        <v/>
      </c>
      <c r="AG223" s="255" t="str">
        <f>IF(ISNUMBER(SEARCH("C", 'Dry_Litterbag Placem_Collection'!AB150)),"YES","NO")</f>
        <v>NO</v>
      </c>
      <c r="AH223" s="255" t="str">
        <f>IF(ISNUMBER(SEARCH("H", 'Dry_Litterbag Placem_Collection'!AB150)),"YES","NO")</f>
        <v>NO</v>
      </c>
      <c r="AI223" s="255" t="str">
        <f>IF(ISNUMBER(SEARCH("R", 'Dry_Litterbag Placem_Collection'!AB150)),"YES","NO")</f>
        <v>NO</v>
      </c>
      <c r="AJ223" s="255" t="str">
        <f>IF(ISNUMBER(SEARCH("C", 'Dry_Litterbag Placem_Collection'!AA150)),"YES","NO")</f>
        <v>NO</v>
      </c>
      <c r="AK223" s="255" t="str">
        <f>IF(ISNUMBER(SEARCH("H", 'Dry_Litterbag Placem_Collection'!AA150)),"YES","NO")</f>
        <v>NO</v>
      </c>
      <c r="AL223" s="255" t="str">
        <f>IF(ISNUMBER(SEARCH("R", 'Dry_Litterbag Placem_Collection'!AA150)),"YES","NO")</f>
        <v>NO</v>
      </c>
      <c r="AR223" t="s">
        <v>1760</v>
      </c>
      <c r="AT223" t="s">
        <v>316</v>
      </c>
    </row>
    <row r="224" spans="2:46">
      <c r="B224" t="str">
        <f>'Final data_for_R_analysis_Dryse'!A150</f>
        <v>Dry</v>
      </c>
      <c r="C224" s="263">
        <f>'Final data_for_R_analysis_Dryse'!B150</f>
        <v>149</v>
      </c>
      <c r="D224" t="s">
        <v>3849</v>
      </c>
      <c r="E224" t="s">
        <v>22</v>
      </c>
      <c r="F224" s="387">
        <v>5</v>
      </c>
      <c r="G224" s="16">
        <f>'Dry_Litterbag Placem_Collection'!E151</f>
        <v>42939</v>
      </c>
      <c r="H224" t="str">
        <f>'Final data_for_R_analysis_Dryse'!J150</f>
        <v>G194</v>
      </c>
      <c r="I224" t="str">
        <f>'Final data_for_R_analysis_Dryse'!J370</f>
        <v>R703</v>
      </c>
      <c r="J224">
        <f>IFERROR(INDEX('Green_rooibos initial weight'!$C$5:$C$1749,MATCH(H224, 'Green_rooibos initial weight'!$A$5:$A$1749,0)),"")</f>
        <v>2.032</v>
      </c>
      <c r="K224">
        <f>IFERROR(INDEX('Green_rooibos initial weight'!$C$5:$C$1749,MATCH(I224, 'Green_rooibos initial weight'!$A$5:$A$1749,0)),"")</f>
        <v>2.1379999999999999</v>
      </c>
      <c r="L224" s="195">
        <f t="shared" si="29"/>
        <v>1.7822</v>
      </c>
      <c r="M224" s="240">
        <f>AVERAGE(Ashed_controlls!$K$1:$K$11)</f>
        <v>5.5147656768714146</v>
      </c>
      <c r="N224" s="195">
        <f t="shared" si="24"/>
        <v>1.6839158461067976</v>
      </c>
      <c r="O224" s="195">
        <f t="shared" si="30"/>
        <v>1.8881999999999999</v>
      </c>
      <c r="P224" s="240">
        <f>AVERAGE(Ashed_controlls!$K$12:$K$14)</f>
        <v>2.2816647271287041</v>
      </c>
      <c r="Q224" s="195">
        <f t="shared" si="25"/>
        <v>1.8451176066223556</v>
      </c>
      <c r="R224" s="16">
        <f>IF('Dry_Litterbag Placem_Collection'!G151="N.A","",'Dry_Litterbag Placem_Collection'!G151)</f>
        <v>43010</v>
      </c>
      <c r="S224" s="195">
        <f>IF(IFERROR(INDEX('Both teabags AfterDry'!$D$1:$D$839,MATCH(H224,'Both teabags AfterDry'!$A$1:$A$839,0)),"")="N.A","",(IFERROR(INDEX('Both teabags AfterDry'!$D$1:$D$839,MATCH(H224,'Both teabags AfterDry'!$A$1:$A$839,0)),"")))</f>
        <v>1.56</v>
      </c>
      <c r="T224" s="195">
        <f>IF(IFERROR(INDEX('Both teabags AfterDry'!$D$1:$D$839,MATCH(I224,'Both teabags AfterDry'!$A$1:$A$839,0)),"")="N.A","",(IFERROR(INDEX('Both teabags AfterDry'!$D$1:$D$839,MATCH(I224,'Both teabags AfterDry'!$A$1:$A$839,0)),"")))</f>
        <v>1.9032</v>
      </c>
      <c r="U224" s="195">
        <f t="shared" si="31"/>
        <v>1.4094</v>
      </c>
      <c r="V224" s="195">
        <f t="shared" si="31"/>
        <v>1.7525999999999999</v>
      </c>
      <c r="W224" s="195">
        <f>IFERROR(INDEX('Ashed teabags dry'!$K$2:$K$821,MATCH(H224,'Ashed teabags dry'!$A$2:$A$821,0)),"")</f>
        <v>7.1186440677962963</v>
      </c>
      <c r="X224" s="195">
        <f>IFERROR(INDEX('Ashed teabags dry'!$K$2:$K$821,MATCH(I224,'Ashed teabags dry'!$A$2:$A$821,0)),"")</f>
        <v>3.0988686669941248</v>
      </c>
      <c r="Y224" s="195">
        <f t="shared" si="26"/>
        <v>1.3090698305084789</v>
      </c>
      <c r="Z224" s="195">
        <f t="shared" si="26"/>
        <v>1.698289227742261</v>
      </c>
      <c r="AA224" s="195">
        <f t="shared" si="32"/>
        <v>0.22260376993598596</v>
      </c>
      <c r="AB224" s="195">
        <f t="shared" si="33"/>
        <v>0.14593501306967249</v>
      </c>
      <c r="AC224" s="195">
        <f t="shared" si="27"/>
        <v>0.92042329532106282</v>
      </c>
      <c r="AD224">
        <f t="shared" si="28"/>
        <v>71</v>
      </c>
      <c r="AE224" s="195">
        <f t="shared" si="34"/>
        <v>0.73562497632305712</v>
      </c>
      <c r="AF224" s="195">
        <f t="shared" si="35"/>
        <v>1.1099893423320399E-2</v>
      </c>
      <c r="AG224" s="255" t="str">
        <f>IF(ISNUMBER(SEARCH("C", 'Dry_Litterbag Placem_Collection'!AB151)),"YES","NO")</f>
        <v>NO</v>
      </c>
      <c r="AH224" s="255" t="str">
        <f>IF(ISNUMBER(SEARCH("H", 'Dry_Litterbag Placem_Collection'!AB151)),"YES","NO")</f>
        <v>NO</v>
      </c>
      <c r="AI224" s="255" t="str">
        <f>IF(ISNUMBER(SEARCH("R", 'Dry_Litterbag Placem_Collection'!AB151)),"YES","NO")</f>
        <v>NO</v>
      </c>
      <c r="AJ224" s="255" t="str">
        <f>IF(ISNUMBER(SEARCH("C", 'Dry_Litterbag Placem_Collection'!AA151)),"YES","NO")</f>
        <v>NO</v>
      </c>
      <c r="AK224" s="255" t="str">
        <f>IF(ISNUMBER(SEARCH("H", 'Dry_Litterbag Placem_Collection'!AA151)),"YES","NO")</f>
        <v>NO</v>
      </c>
      <c r="AL224" s="255" t="str">
        <f>IF(ISNUMBER(SEARCH("R", 'Dry_Litterbag Placem_Collection'!AA151)),"YES","NO")</f>
        <v>NO</v>
      </c>
      <c r="AR224" t="s">
        <v>1856</v>
      </c>
      <c r="AT224" t="s">
        <v>436</v>
      </c>
    </row>
    <row r="225" spans="2:46">
      <c r="B225" t="str">
        <f>'Final data_for_R_analysis_Dryse'!A151</f>
        <v>Dry</v>
      </c>
      <c r="C225" s="263">
        <f>'Final data_for_R_analysis_Dryse'!B151</f>
        <v>150</v>
      </c>
      <c r="D225" t="s">
        <v>3849</v>
      </c>
      <c r="E225" t="s">
        <v>22</v>
      </c>
      <c r="F225" s="387">
        <v>6</v>
      </c>
      <c r="G225" s="16">
        <f>'Dry_Litterbag Placem_Collection'!E152</f>
        <v>42939</v>
      </c>
      <c r="H225" t="str">
        <f>'Final data_for_R_analysis_Dryse'!J151</f>
        <v>G272</v>
      </c>
      <c r="I225" t="str">
        <f>'Final data_for_R_analysis_Dryse'!J371</f>
        <v>R668</v>
      </c>
      <c r="J225">
        <f>IFERROR(INDEX('Green_rooibos initial weight'!$C$5:$C$1749,MATCH(H225, 'Green_rooibos initial weight'!$A$5:$A$1749,0)),"")</f>
        <v>2.0649999999999999</v>
      </c>
      <c r="K225">
        <f>IFERROR(INDEX('Green_rooibos initial weight'!$C$5:$C$1749,MATCH(I225, 'Green_rooibos initial weight'!$A$5:$A$1749,0)),"")</f>
        <v>2.1419999999999999</v>
      </c>
      <c r="L225" s="195">
        <f t="shared" si="29"/>
        <v>1.8151999999999999</v>
      </c>
      <c r="M225" s="240">
        <f>AVERAGE(Ashed_controlls!$K$1:$K$11)</f>
        <v>5.5147656768714146</v>
      </c>
      <c r="N225" s="195">
        <f t="shared" si="24"/>
        <v>1.7150959734334301</v>
      </c>
      <c r="O225" s="195">
        <f t="shared" si="30"/>
        <v>1.8921999999999999</v>
      </c>
      <c r="P225" s="240">
        <f>AVERAGE(Ashed_controlls!$K$12:$K$14)</f>
        <v>2.2816647271287041</v>
      </c>
      <c r="Q225" s="195">
        <f t="shared" si="25"/>
        <v>1.8490263400332705</v>
      </c>
      <c r="R225" s="16">
        <f>IF('Dry_Litterbag Placem_Collection'!G152="N.A","",'Dry_Litterbag Placem_Collection'!G152)</f>
        <v>43010</v>
      </c>
      <c r="S225" s="195" t="str">
        <f>IF(IFERROR(INDEX('Both teabags AfterDry'!$D$1:$D$839,MATCH(H225,'Both teabags AfterDry'!$A$1:$A$839,0)),"")="N.A","",(IFERROR(INDEX('Both teabags AfterDry'!$D$1:$D$839,MATCH(H225,'Both teabags AfterDry'!$A$1:$A$839,0)),"")))</f>
        <v/>
      </c>
      <c r="T225" s="195" t="str">
        <f>IF(IFERROR(INDEX('Both teabags AfterDry'!$D$1:$D$839,MATCH(I225,'Both teabags AfterDry'!$A$1:$A$839,0)),"")="N.A","",(IFERROR(INDEX('Both teabags AfterDry'!$D$1:$D$839,MATCH(I225,'Both teabags AfterDry'!$A$1:$A$839,0)),"")))</f>
        <v/>
      </c>
      <c r="U225" s="195" t="str">
        <f t="shared" si="31"/>
        <v/>
      </c>
      <c r="V225" s="195" t="str">
        <f t="shared" si="31"/>
        <v/>
      </c>
      <c r="W225" s="195" t="str">
        <f>IFERROR(INDEX('Ashed teabags dry'!$K$2:$K$821,MATCH(H225,'Ashed teabags dry'!$A$2:$A$821,0)),"")</f>
        <v/>
      </c>
      <c r="X225" s="195" t="str">
        <f>IFERROR(INDEX('Ashed teabags dry'!$K$2:$K$821,MATCH(I225,'Ashed teabags dry'!$A$2:$A$821,0)),"")</f>
        <v/>
      </c>
      <c r="Y225" s="195" t="str">
        <f t="shared" si="26"/>
        <v/>
      </c>
      <c r="Z225" s="195" t="str">
        <f t="shared" si="26"/>
        <v/>
      </c>
      <c r="AA225" s="195" t="str">
        <f t="shared" si="32"/>
        <v/>
      </c>
      <c r="AB225" s="195" t="str">
        <f t="shared" si="33"/>
        <v/>
      </c>
      <c r="AC225" s="195" t="str">
        <f t="shared" si="27"/>
        <v/>
      </c>
      <c r="AD225">
        <f t="shared" si="28"/>
        <v>71</v>
      </c>
      <c r="AE225" s="195" t="str">
        <f t="shared" si="34"/>
        <v/>
      </c>
      <c r="AF225" s="195" t="str">
        <f t="shared" si="35"/>
        <v/>
      </c>
      <c r="AG225" s="255" t="str">
        <f>IF(ISNUMBER(SEARCH("C", 'Dry_Litterbag Placem_Collection'!AB152)),"YES","NO")</f>
        <v>NO</v>
      </c>
      <c r="AH225" s="255" t="str">
        <f>IF(ISNUMBER(SEARCH("H", 'Dry_Litterbag Placem_Collection'!AB152)),"YES","NO")</f>
        <v>NO</v>
      </c>
      <c r="AI225" s="255" t="str">
        <f>IF(ISNUMBER(SEARCH("R", 'Dry_Litterbag Placem_Collection'!AB152)),"YES","NO")</f>
        <v>NO</v>
      </c>
      <c r="AJ225" s="255" t="str">
        <f>IF(ISNUMBER(SEARCH("C", 'Dry_Litterbag Placem_Collection'!AA152)),"YES","NO")</f>
        <v>NO</v>
      </c>
      <c r="AK225" s="255" t="str">
        <f>IF(ISNUMBER(SEARCH("H", 'Dry_Litterbag Placem_Collection'!AA152)),"YES","NO")</f>
        <v>NO</v>
      </c>
      <c r="AL225" s="255" t="str">
        <f>IF(ISNUMBER(SEARCH("R", 'Dry_Litterbag Placem_Collection'!AA152)),"YES","NO")</f>
        <v>NO</v>
      </c>
      <c r="AR225" t="s">
        <v>1778</v>
      </c>
      <c r="AT225" t="s">
        <v>471</v>
      </c>
    </row>
    <row r="226" spans="2:46">
      <c r="B226" t="str">
        <f>'Final data_for_R_analysis_Dryse'!A152</f>
        <v>Dry</v>
      </c>
      <c r="C226" s="263">
        <f>'Final data_for_R_analysis_Dryse'!B152</f>
        <v>151</v>
      </c>
      <c r="D226" t="s">
        <v>3849</v>
      </c>
      <c r="E226" t="s">
        <v>22</v>
      </c>
      <c r="F226" s="387">
        <v>7</v>
      </c>
      <c r="G226" s="16">
        <f>'Dry_Litterbag Placem_Collection'!E153</f>
        <v>0</v>
      </c>
      <c r="H226" t="str">
        <f>'Final data_for_R_analysis_Dryse'!J152</f>
        <v/>
      </c>
      <c r="I226" t="str">
        <f>'Final data_for_R_analysis_Dryse'!J372</f>
        <v/>
      </c>
      <c r="J226" t="str">
        <f>IFERROR(INDEX('Green_rooibos initial weight'!$C$5:$C$1749,MATCH(H226, 'Green_rooibos initial weight'!$A$5:$A$1749,0)),"")</f>
        <v/>
      </c>
      <c r="K226" t="str">
        <f>IFERROR(INDEX('Green_rooibos initial weight'!$C$5:$C$1749,MATCH(I226, 'Green_rooibos initial weight'!$A$5:$A$1749,0)),"")</f>
        <v/>
      </c>
      <c r="L226" s="195" t="str">
        <f t="shared" si="29"/>
        <v/>
      </c>
      <c r="M226" s="240">
        <f>AVERAGE(Ashed_controlls!$K$1:$K$11)</f>
        <v>5.5147656768714146</v>
      </c>
      <c r="N226" s="195" t="str">
        <f t="shared" si="24"/>
        <v/>
      </c>
      <c r="O226" s="195" t="str">
        <f t="shared" si="30"/>
        <v/>
      </c>
      <c r="P226" s="240">
        <f>AVERAGE(Ashed_controlls!$K$12:$K$14)</f>
        <v>2.2816647271287041</v>
      </c>
      <c r="Q226" s="195" t="str">
        <f t="shared" si="25"/>
        <v/>
      </c>
      <c r="R226" s="16">
        <f>IF('Dry_Litterbag Placem_Collection'!G153="N.A","",'Dry_Litterbag Placem_Collection'!G153)</f>
        <v>0</v>
      </c>
      <c r="S226" s="195" t="str">
        <f>IF(IFERROR(INDEX('Both teabags AfterDry'!$D$1:$D$839,MATCH(H226,'Both teabags AfterDry'!$A$1:$A$839,0)),"")="N.A","",(IFERROR(INDEX('Both teabags AfterDry'!$D$1:$D$839,MATCH(H226,'Both teabags AfterDry'!$A$1:$A$839,0)),"")))</f>
        <v/>
      </c>
      <c r="T226" s="195" t="str">
        <f>IF(IFERROR(INDEX('Both teabags AfterDry'!$D$1:$D$839,MATCH(I226,'Both teabags AfterDry'!$A$1:$A$839,0)),"")="N.A","",(IFERROR(INDEX('Both teabags AfterDry'!$D$1:$D$839,MATCH(I226,'Both teabags AfterDry'!$A$1:$A$839,0)),"")))</f>
        <v/>
      </c>
      <c r="U226" s="195" t="str">
        <f t="shared" si="31"/>
        <v/>
      </c>
      <c r="V226" s="195" t="str">
        <f t="shared" si="31"/>
        <v/>
      </c>
      <c r="W226" s="195" t="str">
        <f>IFERROR(INDEX('Ashed teabags dry'!$K$2:$K$821,MATCH(H226,'Ashed teabags dry'!$A$2:$A$821,0)),"")</f>
        <v/>
      </c>
      <c r="X226" s="195" t="str">
        <f>IFERROR(INDEX('Ashed teabags dry'!$K$2:$K$821,MATCH(I226,'Ashed teabags dry'!$A$2:$A$821,0)),"")</f>
        <v/>
      </c>
      <c r="Y226" s="195" t="str">
        <f t="shared" si="26"/>
        <v/>
      </c>
      <c r="Z226" s="195" t="str">
        <f t="shared" si="26"/>
        <v/>
      </c>
      <c r="AA226" s="195" t="str">
        <f t="shared" si="32"/>
        <v/>
      </c>
      <c r="AB226" s="195" t="str">
        <f t="shared" si="33"/>
        <v/>
      </c>
      <c r="AC226" s="195" t="str">
        <f t="shared" si="27"/>
        <v/>
      </c>
      <c r="AD226" t="str">
        <f t="shared" si="28"/>
        <v/>
      </c>
      <c r="AE226" s="195" t="str">
        <f t="shared" si="34"/>
        <v/>
      </c>
      <c r="AF226" s="195" t="str">
        <f t="shared" si="35"/>
        <v/>
      </c>
      <c r="AG226" s="255" t="str">
        <f>IF(ISNUMBER(SEARCH("C", 'Dry_Litterbag Placem_Collection'!AB153)),"YES","NO")</f>
        <v>NO</v>
      </c>
      <c r="AH226" s="255" t="str">
        <f>IF(ISNUMBER(SEARCH("H", 'Dry_Litterbag Placem_Collection'!AB153)),"YES","NO")</f>
        <v>NO</v>
      </c>
      <c r="AI226" s="255" t="str">
        <f>IF(ISNUMBER(SEARCH("R", 'Dry_Litterbag Placem_Collection'!AB153)),"YES","NO")</f>
        <v>NO</v>
      </c>
      <c r="AJ226" s="255" t="str">
        <f>IF(ISNUMBER(SEARCH("C", 'Dry_Litterbag Placem_Collection'!AA153)),"YES","NO")</f>
        <v>NO</v>
      </c>
      <c r="AK226" s="255" t="str">
        <f>IF(ISNUMBER(SEARCH("H", 'Dry_Litterbag Placem_Collection'!AA153)),"YES","NO")</f>
        <v>NO</v>
      </c>
      <c r="AL226" s="255" t="str">
        <f>IF(ISNUMBER(SEARCH("R", 'Dry_Litterbag Placem_Collection'!AA153)),"YES","NO")</f>
        <v>NO</v>
      </c>
      <c r="AR226" t="s">
        <v>3654</v>
      </c>
      <c r="AT226" t="s">
        <v>3654</v>
      </c>
    </row>
    <row r="227" spans="2:46">
      <c r="B227" t="str">
        <f>'Final data_for_R_analysis_Dryse'!A153</f>
        <v>Dry</v>
      </c>
      <c r="C227" s="263">
        <f>'Final data_for_R_analysis_Dryse'!B153</f>
        <v>152</v>
      </c>
      <c r="D227" t="s">
        <v>3849</v>
      </c>
      <c r="E227" t="s">
        <v>22</v>
      </c>
      <c r="F227" s="387">
        <v>8</v>
      </c>
      <c r="G227" s="16">
        <f>'Dry_Litterbag Placem_Collection'!E154</f>
        <v>42939</v>
      </c>
      <c r="H227" t="str">
        <f>'Final data_for_R_analysis_Dryse'!J153</f>
        <v>G198</v>
      </c>
      <c r="I227" t="str">
        <f>'Final data_for_R_analysis_Dryse'!J373</f>
        <v>R788</v>
      </c>
      <c r="J227">
        <f>IFERROR(INDEX('Green_rooibos initial weight'!$C$5:$C$1749,MATCH(H227, 'Green_rooibos initial weight'!$A$5:$A$1749,0)),"")</f>
        <v>1.931</v>
      </c>
      <c r="K227">
        <f>IFERROR(INDEX('Green_rooibos initial weight'!$C$5:$C$1749,MATCH(I227, 'Green_rooibos initial weight'!$A$5:$A$1749,0)),"")</f>
        <v>2.1869999999999998</v>
      </c>
      <c r="L227" s="195">
        <f t="shared" si="29"/>
        <v>1.6812</v>
      </c>
      <c r="M227" s="240">
        <f>AVERAGE(Ashed_controlls!$K$1:$K$11)</f>
        <v>5.5147656768714146</v>
      </c>
      <c r="N227" s="195">
        <f t="shared" si="24"/>
        <v>1.5884857594404378</v>
      </c>
      <c r="O227" s="195">
        <f t="shared" si="30"/>
        <v>1.9371999999999998</v>
      </c>
      <c r="P227" s="240">
        <f>AVERAGE(Ashed_controlls!$K$12:$K$14)</f>
        <v>2.2816647271287041</v>
      </c>
      <c r="Q227" s="195">
        <f t="shared" si="25"/>
        <v>1.8929995909060626</v>
      </c>
      <c r="R227" s="16">
        <f>IF('Dry_Litterbag Placem_Collection'!G154="N.A","",'Dry_Litterbag Placem_Collection'!G154)</f>
        <v>43010</v>
      </c>
      <c r="S227" s="195">
        <f>IF(IFERROR(INDEX('Both teabags AfterDry'!$D$1:$D$839,MATCH(H227,'Both teabags AfterDry'!$A$1:$A$839,0)),"")="N.A","",(IFERROR(INDEX('Both teabags AfterDry'!$D$1:$D$839,MATCH(H227,'Both teabags AfterDry'!$A$1:$A$839,0)),"")))</f>
        <v>1.3654999999999999</v>
      </c>
      <c r="T227" s="195">
        <f>IF(IFERROR(INDEX('Both teabags AfterDry'!$D$1:$D$839,MATCH(I227,'Both teabags AfterDry'!$A$1:$A$839,0)),"")="N.A","",(IFERROR(INDEX('Both teabags AfterDry'!$D$1:$D$839,MATCH(I227,'Both teabags AfterDry'!$A$1:$A$839,0)),"")))</f>
        <v>0.43190000000000001</v>
      </c>
      <c r="U227" s="195">
        <f t="shared" si="31"/>
        <v>1.2148999999999999</v>
      </c>
      <c r="V227" s="195">
        <f t="shared" si="31"/>
        <v>0.28129999999999999</v>
      </c>
      <c r="W227" s="195">
        <f>IFERROR(INDEX('Ashed teabags dry'!$K$2:$K$821,MATCH(H227,'Ashed teabags dry'!$A$2:$A$821,0)),"")</f>
        <v>10.100586756077433</v>
      </c>
      <c r="X227" s="195">
        <f>IFERROR(INDEX('Ashed teabags dry'!$K$2:$K$821,MATCH(I227,'Ashed teabags dry'!$A$2:$A$821,0)),"")</f>
        <v>89.775910364145446</v>
      </c>
      <c r="Y227" s="195">
        <f t="shared" si="26"/>
        <v>1.0921879715004152</v>
      </c>
      <c r="Z227" s="195">
        <f t="shared" si="26"/>
        <v>2.8760364145658857E-2</v>
      </c>
      <c r="AA227" s="195">
        <f t="shared" si="32"/>
        <v>0.31243452136130523</v>
      </c>
      <c r="AB227" s="195">
        <f t="shared" si="33"/>
        <v>0.20482643205634263</v>
      </c>
      <c r="AC227" s="195">
        <f t="shared" si="27"/>
        <v>1.5193011284219579E-2</v>
      </c>
      <c r="AD227">
        <f t="shared" si="28"/>
        <v>71</v>
      </c>
      <c r="AE227" s="195">
        <f t="shared" si="34"/>
        <v>0.62893762308633583</v>
      </c>
      <c r="AF227" s="195" t="str">
        <f t="shared" si="35"/>
        <v/>
      </c>
      <c r="AG227" s="255" t="str">
        <f>IF(ISNUMBER(SEARCH("C", 'Dry_Litterbag Placem_Collection'!AB154)),"YES","NO")</f>
        <v>NO</v>
      </c>
      <c r="AH227" s="255" t="str">
        <f>IF(ISNUMBER(SEARCH("H", 'Dry_Litterbag Placem_Collection'!AB154)),"YES","NO")</f>
        <v>NO</v>
      </c>
      <c r="AI227" s="255" t="str">
        <f>IF(ISNUMBER(SEARCH("R", 'Dry_Litterbag Placem_Collection'!AB154)),"YES","NO")</f>
        <v>NO</v>
      </c>
      <c r="AJ227" s="255" t="str">
        <f>IF(ISNUMBER(SEARCH("C", 'Dry_Litterbag Placem_Collection'!AA154)),"YES","NO")</f>
        <v>NO</v>
      </c>
      <c r="AK227" s="255" t="str">
        <f>IF(ISNUMBER(SEARCH("H", 'Dry_Litterbag Placem_Collection'!AA154)),"YES","NO")</f>
        <v>NO</v>
      </c>
      <c r="AL227" s="255" t="str">
        <f>IF(ISNUMBER(SEARCH("R", 'Dry_Litterbag Placem_Collection'!AA154)),"YES","NO")</f>
        <v>NO</v>
      </c>
      <c r="AR227" t="s">
        <v>1852</v>
      </c>
      <c r="AT227" t="s">
        <v>351</v>
      </c>
    </row>
    <row r="228" spans="2:46">
      <c r="B228" t="str">
        <f>'Final data_for_R_analysis_Dryse'!A154</f>
        <v>Dry</v>
      </c>
      <c r="C228" s="263">
        <f>'Final data_for_R_analysis_Dryse'!B154</f>
        <v>153</v>
      </c>
      <c r="D228" t="s">
        <v>3850</v>
      </c>
      <c r="E228" t="s">
        <v>22</v>
      </c>
      <c r="F228" s="386">
        <v>1</v>
      </c>
      <c r="G228" s="16">
        <f>'Dry_Litterbag Placem_Collection'!E155</f>
        <v>42939</v>
      </c>
      <c r="H228" t="str">
        <f>'Final data_for_R_analysis_Dryse'!J154</f>
        <v>G197</v>
      </c>
      <c r="I228" t="str">
        <f>'Final data_for_R_analysis_Dryse'!J374</f>
        <v>R735</v>
      </c>
      <c r="J228">
        <f>IFERROR(INDEX('Green_rooibos initial weight'!$C$5:$C$1749,MATCH(H228, 'Green_rooibos initial weight'!$A$5:$A$1749,0)),"")</f>
        <v>2.1120000000000001</v>
      </c>
      <c r="K228">
        <f>IFERROR(INDEX('Green_rooibos initial weight'!$C$5:$C$1749,MATCH(I228, 'Green_rooibos initial weight'!$A$5:$A$1749,0)),"")</f>
        <v>2.12</v>
      </c>
      <c r="L228" s="195">
        <f t="shared" si="29"/>
        <v>1.8622000000000001</v>
      </c>
      <c r="M228" s="240">
        <f>AVERAGE(Ashed_controlls!$K$1:$K$11)</f>
        <v>5.5147656768714146</v>
      </c>
      <c r="N228" s="195">
        <f t="shared" si="24"/>
        <v>1.7595040335653005</v>
      </c>
      <c r="O228" s="195">
        <f t="shared" si="30"/>
        <v>1.8702000000000001</v>
      </c>
      <c r="P228" s="240">
        <f>AVERAGE(Ashed_controlls!$K$12:$K$14)</f>
        <v>2.2816647271287041</v>
      </c>
      <c r="Q228" s="195">
        <f t="shared" si="25"/>
        <v>1.827528306273239</v>
      </c>
      <c r="R228" s="16">
        <f>IF('Dry_Litterbag Placem_Collection'!G155="N.A","",'Dry_Litterbag Placem_Collection'!G155)</f>
        <v>43010</v>
      </c>
      <c r="S228" s="195">
        <f>IF(IFERROR(INDEX('Both teabags AfterDry'!$D$1:$D$839,MATCH(H228,'Both teabags AfterDry'!$A$1:$A$839,0)),"")="N.A","",(IFERROR(INDEX('Both teabags AfterDry'!$D$1:$D$839,MATCH(H228,'Both teabags AfterDry'!$A$1:$A$839,0)),"")))</f>
        <v>1.2847</v>
      </c>
      <c r="T228" s="195">
        <f>IF(IFERROR(INDEX('Both teabags AfterDry'!$D$1:$D$839,MATCH(I228,'Both teabags AfterDry'!$A$1:$A$839,0)),"")="N.A","",(IFERROR(INDEX('Both teabags AfterDry'!$D$1:$D$839,MATCH(I228,'Both teabags AfterDry'!$A$1:$A$839,0)),"")))</f>
        <v>1.0566</v>
      </c>
      <c r="U228" s="195">
        <f t="shared" si="31"/>
        <v>1.1340999999999999</v>
      </c>
      <c r="V228" s="195">
        <f t="shared" si="31"/>
        <v>0.90599999999999992</v>
      </c>
      <c r="W228" s="195">
        <f>IFERROR(INDEX('Ashed teabags dry'!$K$2:$K$821,MATCH(H228,'Ashed teabags dry'!$A$2:$A$821,0)),"")</f>
        <v>10.205908683975077</v>
      </c>
      <c r="X228" s="195">
        <f>IFERROR(INDEX('Ashed teabags dry'!$K$2:$K$821,MATCH(I228,'Ashed teabags dry'!$A$2:$A$821,0)),"")</f>
        <v>50.895883777238879</v>
      </c>
      <c r="Y228" s="195">
        <f t="shared" si="26"/>
        <v>1.0183547896150387</v>
      </c>
      <c r="Z228" s="195">
        <f t="shared" si="26"/>
        <v>0.44488329297821572</v>
      </c>
      <c r="AA228" s="195">
        <f t="shared" si="32"/>
        <v>0.42122622614763994</v>
      </c>
      <c r="AB228" s="195">
        <f t="shared" si="33"/>
        <v>0.27614830977850036</v>
      </c>
      <c r="AC228" s="195">
        <f t="shared" si="27"/>
        <v>0.24343441983967823</v>
      </c>
      <c r="AD228">
        <f t="shared" si="28"/>
        <v>71</v>
      </c>
      <c r="AE228" s="195">
        <f t="shared" si="34"/>
        <v>0.49973132286503563</v>
      </c>
      <c r="AF228" s="195" t="str">
        <f t="shared" si="35"/>
        <v/>
      </c>
      <c r="AG228" s="255" t="str">
        <f>IF(ISNUMBER(SEARCH("C", 'Dry_Litterbag Placem_Collection'!AB155)),"YES","NO")</f>
        <v>NO</v>
      </c>
      <c r="AH228" s="255" t="str">
        <f>IF(ISNUMBER(SEARCH("H", 'Dry_Litterbag Placem_Collection'!AB155)),"YES","NO")</f>
        <v>NO</v>
      </c>
      <c r="AI228" s="255" t="str">
        <f>IF(ISNUMBER(SEARCH("R", 'Dry_Litterbag Placem_Collection'!AB155)),"YES","NO")</f>
        <v>NO</v>
      </c>
      <c r="AJ228" s="255" t="str">
        <f>IF(ISNUMBER(SEARCH("C", 'Dry_Litterbag Placem_Collection'!AA155)),"YES","NO")</f>
        <v>NO</v>
      </c>
      <c r="AK228" s="255" t="str">
        <f>IF(ISNUMBER(SEARCH("H", 'Dry_Litterbag Placem_Collection'!AA155)),"YES","NO")</f>
        <v>NO</v>
      </c>
      <c r="AL228" s="255" t="str">
        <f>IF(ISNUMBER(SEARCH("R", 'Dry_Litterbag Placem_Collection'!AA155)),"YES","NO")</f>
        <v>NO</v>
      </c>
      <c r="AR228" t="s">
        <v>1853</v>
      </c>
      <c r="AT228" t="s">
        <v>404</v>
      </c>
    </row>
    <row r="229" spans="2:46">
      <c r="B229" t="str">
        <f>'Final data_for_R_analysis_Dryse'!A155</f>
        <v>Dry</v>
      </c>
      <c r="C229" s="263">
        <f>'Final data_for_R_analysis_Dryse'!B155</f>
        <v>154</v>
      </c>
      <c r="D229" t="s">
        <v>3850</v>
      </c>
      <c r="E229" t="s">
        <v>22</v>
      </c>
      <c r="F229" s="386">
        <v>2</v>
      </c>
      <c r="G229" s="16">
        <f>'Dry_Litterbag Placem_Collection'!E156</f>
        <v>42939</v>
      </c>
      <c r="H229" t="str">
        <f>'Final data_for_R_analysis_Dryse'!J155</f>
        <v>G127</v>
      </c>
      <c r="I229" t="str">
        <f>'Final data_for_R_analysis_Dryse'!J375</f>
        <v>R836</v>
      </c>
      <c r="J229">
        <f>IFERROR(INDEX('Green_rooibos initial weight'!$C$5:$C$1749,MATCH(H229, 'Green_rooibos initial weight'!$A$5:$A$1749,0)),"")</f>
        <v>1.9490000000000001</v>
      </c>
      <c r="K229">
        <f>IFERROR(INDEX('Green_rooibos initial weight'!$C$5:$C$1749,MATCH(I229, 'Green_rooibos initial weight'!$A$5:$A$1749,0)),"")</f>
        <v>2.2000000000000002</v>
      </c>
      <c r="L229" s="195">
        <f t="shared" si="29"/>
        <v>1.6992</v>
      </c>
      <c r="M229" s="240">
        <f>AVERAGE(Ashed_controlls!$K$1:$K$11)</f>
        <v>5.5147656768714146</v>
      </c>
      <c r="N229" s="195">
        <f t="shared" si="24"/>
        <v>1.6054931016186009</v>
      </c>
      <c r="O229" s="195">
        <f t="shared" si="30"/>
        <v>1.9502000000000002</v>
      </c>
      <c r="P229" s="240">
        <f>AVERAGE(Ashed_controlls!$K$12:$K$14)</f>
        <v>2.2816647271287041</v>
      </c>
      <c r="Q229" s="195">
        <f t="shared" si="25"/>
        <v>1.9057029744915361</v>
      </c>
      <c r="R229" s="16">
        <f>IF('Dry_Litterbag Placem_Collection'!G156="N.A","",'Dry_Litterbag Placem_Collection'!G156)</f>
        <v>43010</v>
      </c>
      <c r="S229" s="195">
        <f>IF(IFERROR(INDEX('Both teabags AfterDry'!$D$1:$D$839,MATCH(H229,'Both teabags AfterDry'!$A$1:$A$839,0)),"")="N.A","",(IFERROR(INDEX('Both teabags AfterDry'!$D$1:$D$839,MATCH(H229,'Both teabags AfterDry'!$A$1:$A$839,0)),"")))</f>
        <v>1.1896</v>
      </c>
      <c r="T229" s="195">
        <f>IF(IFERROR(INDEX('Both teabags AfterDry'!$D$1:$D$839,MATCH(I229,'Both teabags AfterDry'!$A$1:$A$839,0)),"")="N.A","",(IFERROR(INDEX('Both teabags AfterDry'!$D$1:$D$839,MATCH(I229,'Both teabags AfterDry'!$A$1:$A$839,0)),"")))</f>
        <v>0.62509999999999999</v>
      </c>
      <c r="U229" s="195">
        <f t="shared" si="31"/>
        <v>1.0389999999999999</v>
      </c>
      <c r="V229" s="195">
        <f t="shared" si="31"/>
        <v>0.47449999999999998</v>
      </c>
      <c r="W229" s="195">
        <f>IFERROR(INDEX('Ashed teabags dry'!$K$2:$K$821,MATCH(H229,'Ashed teabags dry'!$A$2:$A$821,0)),"")</f>
        <v>12.964728312678373</v>
      </c>
      <c r="X229" s="195">
        <f>IFERROR(INDEX('Ashed teabags dry'!$K$2:$K$821,MATCH(I229,'Ashed teabags dry'!$A$2:$A$821,0)),"")</f>
        <v>87.866927592954596</v>
      </c>
      <c r="Y229" s="195">
        <f t="shared" si="26"/>
        <v>0.90429647283127168</v>
      </c>
      <c r="Z229" s="195">
        <f t="shared" si="26"/>
        <v>5.7571428571430439E-2</v>
      </c>
      <c r="AA229" s="195">
        <f t="shared" si="32"/>
        <v>0.43674845322001554</v>
      </c>
      <c r="AB229" s="195">
        <f t="shared" si="33"/>
        <v>0.28632440163592471</v>
      </c>
      <c r="AC229" s="195">
        <f t="shared" si="27"/>
        <v>3.0210074362082145E-2</v>
      </c>
      <c r="AD229">
        <f t="shared" si="28"/>
        <v>71</v>
      </c>
      <c r="AE229" s="195">
        <f t="shared" si="34"/>
        <v>0.48129637384796253</v>
      </c>
      <c r="AF229" s="195" t="str">
        <f t="shared" si="35"/>
        <v/>
      </c>
      <c r="AG229" s="255" t="str">
        <f>IF(ISNUMBER(SEARCH("C", 'Dry_Litterbag Placem_Collection'!AB156)),"YES","NO")</f>
        <v>NO</v>
      </c>
      <c r="AH229" s="255" t="str">
        <f>IF(ISNUMBER(SEARCH("H", 'Dry_Litterbag Placem_Collection'!AB156)),"YES","NO")</f>
        <v>NO</v>
      </c>
      <c r="AI229" s="255" t="str">
        <f>IF(ISNUMBER(SEARCH("R", 'Dry_Litterbag Placem_Collection'!AB156)),"YES","NO")</f>
        <v>NO</v>
      </c>
      <c r="AJ229" s="255" t="str">
        <f>IF(ISNUMBER(SEARCH("C", 'Dry_Litterbag Placem_Collection'!AA156)),"YES","NO")</f>
        <v>NO</v>
      </c>
      <c r="AK229" s="255" t="str">
        <f>IF(ISNUMBER(SEARCH("H", 'Dry_Litterbag Placem_Collection'!AA156)),"YES","NO")</f>
        <v>NO</v>
      </c>
      <c r="AL229" s="255" t="str">
        <f>IF(ISNUMBER(SEARCH("R", 'Dry_Litterbag Placem_Collection'!AA156)),"YES","NO")</f>
        <v>NO</v>
      </c>
      <c r="AR229" t="s">
        <v>1923</v>
      </c>
      <c r="AT229" t="s">
        <v>303</v>
      </c>
    </row>
    <row r="230" spans="2:46">
      <c r="B230" t="str">
        <f>'Final data_for_R_analysis_Dryse'!A156</f>
        <v>Dry</v>
      </c>
      <c r="C230" s="263">
        <f>'Final data_for_R_analysis_Dryse'!B156</f>
        <v>155</v>
      </c>
      <c r="D230" t="s">
        <v>3850</v>
      </c>
      <c r="E230" t="s">
        <v>22</v>
      </c>
      <c r="F230" s="386">
        <v>3</v>
      </c>
      <c r="G230" s="16">
        <f>'Dry_Litterbag Placem_Collection'!E157</f>
        <v>42939</v>
      </c>
      <c r="H230" t="str">
        <f>'Final data_for_R_analysis_Dryse'!J156</f>
        <v>G253</v>
      </c>
      <c r="I230" t="str">
        <f>'Final data_for_R_analysis_Dryse'!J376</f>
        <v>R337</v>
      </c>
      <c r="J230">
        <f>IFERROR(INDEX('Green_rooibos initial weight'!$C$5:$C$1749,MATCH(H230, 'Green_rooibos initial weight'!$A$5:$A$1749,0)),"")</f>
        <v>2.0169999999999999</v>
      </c>
      <c r="K230">
        <f>IFERROR(INDEX('Green_rooibos initial weight'!$C$5:$C$1749,MATCH(I230, 'Green_rooibos initial weight'!$A$5:$A$1749,0)),"")</f>
        <v>2.2309999999999999</v>
      </c>
      <c r="L230" s="195">
        <f t="shared" si="29"/>
        <v>1.7671999999999999</v>
      </c>
      <c r="M230" s="240">
        <f>AVERAGE(Ashed_controlls!$K$1:$K$11)</f>
        <v>5.5147656768714146</v>
      </c>
      <c r="N230" s="195">
        <f t="shared" si="24"/>
        <v>1.6697430609583281</v>
      </c>
      <c r="O230" s="195">
        <f t="shared" si="30"/>
        <v>1.9811999999999999</v>
      </c>
      <c r="P230" s="240">
        <f>AVERAGE(Ashed_controlls!$K$12:$K$14)</f>
        <v>2.2816647271287041</v>
      </c>
      <c r="Q230" s="195">
        <f t="shared" si="25"/>
        <v>1.935995658426126</v>
      </c>
      <c r="R230" s="16">
        <f>IF('Dry_Litterbag Placem_Collection'!G157="N.A","",'Dry_Litterbag Placem_Collection'!G157)</f>
        <v>43010</v>
      </c>
      <c r="S230" s="195">
        <f>IF(IFERROR(INDEX('Both teabags AfterDry'!$D$1:$D$839,MATCH(H230,'Both teabags AfterDry'!$A$1:$A$839,0)),"")="N.A","",(IFERROR(INDEX('Both teabags AfterDry'!$D$1:$D$839,MATCH(H230,'Both teabags AfterDry'!$A$1:$A$839,0)),"")))</f>
        <v>1.2484</v>
      </c>
      <c r="T230" s="195">
        <f>IF(IFERROR(INDEX('Both teabags AfterDry'!$D$1:$D$839,MATCH(I230,'Both teabags AfterDry'!$A$1:$A$839,0)),"")="N.A","",(IFERROR(INDEX('Both teabags AfterDry'!$D$1:$D$839,MATCH(I230,'Both teabags AfterDry'!$A$1:$A$839,0)),"")))</f>
        <v>1.8893</v>
      </c>
      <c r="U230" s="195">
        <f t="shared" si="31"/>
        <v>1.0977999999999999</v>
      </c>
      <c r="V230" s="195">
        <f t="shared" si="31"/>
        <v>1.7386999999999999</v>
      </c>
      <c r="W230" s="195">
        <f>IFERROR(INDEX('Ashed teabags dry'!$K$2:$K$821,MATCH(H230,'Ashed teabags dry'!$A$2:$A$821,0)),"")</f>
        <v>13.077679449360829</v>
      </c>
      <c r="X230" s="195">
        <f>IFERROR(INDEX('Ashed teabags dry'!$K$2:$K$821,MATCH(I230,'Ashed teabags dry'!$A$2:$A$821,0)),"")</f>
        <v>5.2232142857139205</v>
      </c>
      <c r="Y230" s="195">
        <f t="shared" si="26"/>
        <v>0.95423323500491675</v>
      </c>
      <c r="Z230" s="195">
        <f t="shared" si="26"/>
        <v>1.647883973214292</v>
      </c>
      <c r="AA230" s="195">
        <f t="shared" si="32"/>
        <v>0.42851492704677174</v>
      </c>
      <c r="AB230" s="195">
        <f t="shared" si="33"/>
        <v>0.28092665051047272</v>
      </c>
      <c r="AC230" s="195">
        <f t="shared" si="27"/>
        <v>0.8511816470466389</v>
      </c>
      <c r="AD230">
        <f t="shared" si="28"/>
        <v>71</v>
      </c>
      <c r="AE230" s="195">
        <f t="shared" si="34"/>
        <v>0.49107490849552049</v>
      </c>
      <c r="AF230" s="195">
        <f t="shared" si="35"/>
        <v>1.0626360321072836E-2</v>
      </c>
      <c r="AG230" s="255" t="str">
        <f>IF(ISNUMBER(SEARCH("C", 'Dry_Litterbag Placem_Collection'!AB157)),"YES","NO")</f>
        <v>NO</v>
      </c>
      <c r="AH230" s="255" t="str">
        <f>IF(ISNUMBER(SEARCH("H", 'Dry_Litterbag Placem_Collection'!AB157)),"YES","NO")</f>
        <v>NO</v>
      </c>
      <c r="AI230" s="255" t="str">
        <f>IF(ISNUMBER(SEARCH("R", 'Dry_Litterbag Placem_Collection'!AB157)),"YES","NO")</f>
        <v>NO</v>
      </c>
      <c r="AJ230" s="255" t="str">
        <f>IF(ISNUMBER(SEARCH("C", 'Dry_Litterbag Placem_Collection'!AA157)),"YES","NO")</f>
        <v>NO</v>
      </c>
      <c r="AK230" s="255" t="str">
        <f>IF(ISNUMBER(SEARCH("H", 'Dry_Litterbag Placem_Collection'!AA157)),"YES","NO")</f>
        <v>NO</v>
      </c>
      <c r="AL230" s="255" t="str">
        <f>IF(ISNUMBER(SEARCH("R", 'Dry_Litterbag Placem_Collection'!AA157)),"YES","NO")</f>
        <v>NO</v>
      </c>
      <c r="AR230" t="s">
        <v>1797</v>
      </c>
      <c r="AT230" t="s">
        <v>804</v>
      </c>
    </row>
    <row r="231" spans="2:46">
      <c r="B231" t="str">
        <f>'Final data_for_R_analysis_Dryse'!A157</f>
        <v>Dry</v>
      </c>
      <c r="C231" s="263">
        <f>'Final data_for_R_analysis_Dryse'!B157</f>
        <v>156</v>
      </c>
      <c r="D231" t="s">
        <v>3850</v>
      </c>
      <c r="E231" t="s">
        <v>22</v>
      </c>
      <c r="F231" s="387">
        <v>4</v>
      </c>
      <c r="G231" s="16">
        <f>'Dry_Litterbag Placem_Collection'!E158</f>
        <v>42939</v>
      </c>
      <c r="H231" t="str">
        <f>'Final data_for_R_analysis_Dryse'!J157</f>
        <v>G47</v>
      </c>
      <c r="I231" t="str">
        <f>'Final data_for_R_analysis_Dryse'!J377</f>
        <v>R118</v>
      </c>
      <c r="J231">
        <f>IFERROR(INDEX('Green_rooibos initial weight'!$C$5:$C$1749,MATCH(H231, 'Green_rooibos initial weight'!$A$5:$A$1749,0)),"")</f>
        <v>2.0840000000000001</v>
      </c>
      <c r="K231">
        <f>IFERROR(INDEX('Green_rooibos initial weight'!$C$5:$C$1749,MATCH(I231, 'Green_rooibos initial weight'!$A$5:$A$1749,0)),"")</f>
        <v>2.3330000000000002</v>
      </c>
      <c r="L231" s="195">
        <f t="shared" si="29"/>
        <v>1.8342000000000001</v>
      </c>
      <c r="M231" s="240">
        <f>AVERAGE(Ashed_controlls!$K$1:$K$11)</f>
        <v>5.5147656768714146</v>
      </c>
      <c r="N231" s="195">
        <f t="shared" si="24"/>
        <v>1.7330481679548246</v>
      </c>
      <c r="O231" s="195">
        <f t="shared" si="30"/>
        <v>2.0832000000000002</v>
      </c>
      <c r="P231" s="240">
        <f>AVERAGE(Ashed_controlls!$K$12:$K$14)</f>
        <v>2.2816647271287041</v>
      </c>
      <c r="Q231" s="195">
        <f t="shared" si="25"/>
        <v>2.035668360404455</v>
      </c>
      <c r="R231" s="16">
        <f>IF('Dry_Litterbag Placem_Collection'!G158="N.A","",'Dry_Litterbag Placem_Collection'!G158)</f>
        <v>43010</v>
      </c>
      <c r="S231" s="195">
        <f>IF(IFERROR(INDEX('Both teabags AfterDry'!$D$1:$D$839,MATCH(H231,'Both teabags AfterDry'!$A$1:$A$839,0)),"")="N.A","",(IFERROR(INDEX('Both teabags AfterDry'!$D$1:$D$839,MATCH(H231,'Both teabags AfterDry'!$A$1:$A$839,0)),"")))</f>
        <v>1.1167</v>
      </c>
      <c r="T231" s="195">
        <f>IF(IFERROR(INDEX('Both teabags AfterDry'!$D$1:$D$839,MATCH(I231,'Both teabags AfterDry'!$A$1:$A$839,0)),"")="N.A","",(IFERROR(INDEX('Both teabags AfterDry'!$D$1:$D$839,MATCH(I231,'Both teabags AfterDry'!$A$1:$A$839,0)),"")))</f>
        <v>0.79290000000000005</v>
      </c>
      <c r="U231" s="195">
        <f t="shared" si="31"/>
        <v>0.96609999999999996</v>
      </c>
      <c r="V231" s="195">
        <f t="shared" si="31"/>
        <v>0.64230000000000009</v>
      </c>
      <c r="W231" s="195">
        <f>IFERROR(INDEX('Ashed teabags dry'!$K$2:$K$821,MATCH(H231,'Ashed teabags dry'!$A$2:$A$821,0)),"")</f>
        <v>22.323571771483682</v>
      </c>
      <c r="X231" s="195">
        <f>IFERROR(INDEX('Ashed teabags dry'!$K$2:$K$821,MATCH(I231,'Ashed teabags dry'!$A$2:$A$821,0)),"")</f>
        <v>77.250247279920742</v>
      </c>
      <c r="Y231" s="195">
        <f t="shared" si="26"/>
        <v>0.75043197311569609</v>
      </c>
      <c r="Z231" s="195">
        <f t="shared" si="26"/>
        <v>0.14612166172106905</v>
      </c>
      <c r="AA231" s="195">
        <f t="shared" si="32"/>
        <v>0.56698723844399368</v>
      </c>
      <c r="AB231" s="195">
        <f t="shared" si="33"/>
        <v>0.3717065981248035</v>
      </c>
      <c r="AC231" s="195">
        <f t="shared" si="27"/>
        <v>7.178068125597678E-2</v>
      </c>
      <c r="AD231">
        <f t="shared" si="28"/>
        <v>71</v>
      </c>
      <c r="AE231" s="195">
        <f t="shared" si="34"/>
        <v>0.3266184816579647</v>
      </c>
      <c r="AF231" s="195" t="str">
        <f t="shared" si="35"/>
        <v/>
      </c>
      <c r="AG231" s="255" t="str">
        <f>IF(ISNUMBER(SEARCH("C", 'Dry_Litterbag Placem_Collection'!AB158)),"YES","NO")</f>
        <v>NO</v>
      </c>
      <c r="AH231" s="255" t="str">
        <f>IF(ISNUMBER(SEARCH("H", 'Dry_Litterbag Placem_Collection'!AB158)),"YES","NO")</f>
        <v>NO</v>
      </c>
      <c r="AI231" s="255" t="str">
        <f>IF(ISNUMBER(SEARCH("R", 'Dry_Litterbag Placem_Collection'!AB158)),"YES","NO")</f>
        <v>NO</v>
      </c>
      <c r="AJ231" s="255" t="str">
        <f>IF(ISNUMBER(SEARCH("C", 'Dry_Litterbag Placem_Collection'!AA158)),"YES","NO")</f>
        <v>NO</v>
      </c>
      <c r="AK231" s="255" t="str">
        <f>IF(ISNUMBER(SEARCH("H", 'Dry_Litterbag Placem_Collection'!AA158)),"YES","NO")</f>
        <v>NO</v>
      </c>
      <c r="AL231" s="255" t="str">
        <f>IF(ISNUMBER(SEARCH("R", 'Dry_Litterbag Placem_Collection'!AA158)),"YES","NO")</f>
        <v>NO</v>
      </c>
      <c r="AR231" t="s">
        <v>2003</v>
      </c>
      <c r="AT231" t="s">
        <v>1023</v>
      </c>
    </row>
    <row r="232" spans="2:46">
      <c r="B232" t="str">
        <f>'Final data_for_R_analysis_Dryse'!A158</f>
        <v>Dry</v>
      </c>
      <c r="C232" s="263">
        <f>'Final data_for_R_analysis_Dryse'!B158</f>
        <v>157</v>
      </c>
      <c r="D232" t="s">
        <v>3850</v>
      </c>
      <c r="E232" t="s">
        <v>22</v>
      </c>
      <c r="F232" s="387">
        <v>5</v>
      </c>
      <c r="G232" s="16">
        <f>'Dry_Litterbag Placem_Collection'!E159</f>
        <v>42939</v>
      </c>
      <c r="H232" t="str">
        <f>'Final data_for_R_analysis_Dryse'!J158</f>
        <v>G328</v>
      </c>
      <c r="I232" t="str">
        <f>'Final data_for_R_analysis_Dryse'!J378</f>
        <v>R478</v>
      </c>
      <c r="J232">
        <f>IFERROR(INDEX('Green_rooibos initial weight'!$C$5:$C$1749,MATCH(H232, 'Green_rooibos initial weight'!$A$5:$A$1749,0)),"")</f>
        <v>2.1309999999999998</v>
      </c>
      <c r="K232">
        <f>IFERROR(INDEX('Green_rooibos initial weight'!$C$5:$C$1749,MATCH(I232, 'Green_rooibos initial weight'!$A$5:$A$1749,0)),"")</f>
        <v>2.1640000000000001</v>
      </c>
      <c r="L232" s="195">
        <f t="shared" si="29"/>
        <v>1.8811999999999998</v>
      </c>
      <c r="M232" s="240">
        <f>AVERAGE(Ashed_controlls!$K$1:$K$11)</f>
        <v>5.5147656768714146</v>
      </c>
      <c r="N232" s="195">
        <f t="shared" si="24"/>
        <v>1.7774562280866948</v>
      </c>
      <c r="O232" s="195">
        <f t="shared" si="30"/>
        <v>1.9142000000000001</v>
      </c>
      <c r="P232" s="240">
        <f>AVERAGE(Ashed_controlls!$K$12:$K$14)</f>
        <v>2.2816647271287041</v>
      </c>
      <c r="Q232" s="195">
        <f t="shared" si="25"/>
        <v>1.8705243737933024</v>
      </c>
      <c r="R232" s="16">
        <f>IF('Dry_Litterbag Placem_Collection'!G159="N.A","",'Dry_Litterbag Placem_Collection'!G159)</f>
        <v>43010</v>
      </c>
      <c r="S232" s="195" t="str">
        <f>IF(IFERROR(INDEX('Both teabags AfterDry'!$D$1:$D$839,MATCH(H232,'Both teabags AfterDry'!$A$1:$A$839,0)),"")="N.A","",(IFERROR(INDEX('Both teabags AfterDry'!$D$1:$D$839,MATCH(H232,'Both teabags AfterDry'!$A$1:$A$839,0)),"")))</f>
        <v/>
      </c>
      <c r="T232" s="195" t="str">
        <f>IF(IFERROR(INDEX('Both teabags AfterDry'!$D$1:$D$839,MATCH(I232,'Both teabags AfterDry'!$A$1:$A$839,0)),"")="N.A","",(IFERROR(INDEX('Both teabags AfterDry'!$D$1:$D$839,MATCH(I232,'Both teabags AfterDry'!$A$1:$A$839,0)),"")))</f>
        <v/>
      </c>
      <c r="U232" s="195" t="str">
        <f t="shared" si="31"/>
        <v/>
      </c>
      <c r="V232" s="195" t="str">
        <f t="shared" si="31"/>
        <v/>
      </c>
      <c r="W232" s="195" t="str">
        <f>IFERROR(INDEX('Ashed teabags dry'!$K$2:$K$821,MATCH(H232,'Ashed teabags dry'!$A$2:$A$821,0)),"")</f>
        <v/>
      </c>
      <c r="X232" s="195" t="str">
        <f>IFERROR(INDEX('Ashed teabags dry'!$K$2:$K$821,MATCH(I232,'Ashed teabags dry'!$A$2:$A$821,0)),"")</f>
        <v/>
      </c>
      <c r="Y232" s="195" t="str">
        <f t="shared" si="26"/>
        <v/>
      </c>
      <c r="Z232" s="195" t="str">
        <f t="shared" si="26"/>
        <v/>
      </c>
      <c r="AA232" s="195" t="str">
        <f t="shared" si="32"/>
        <v/>
      </c>
      <c r="AB232" s="195" t="str">
        <f t="shared" si="33"/>
        <v/>
      </c>
      <c r="AC232" s="195" t="str">
        <f t="shared" si="27"/>
        <v/>
      </c>
      <c r="AD232">
        <f t="shared" si="28"/>
        <v>71</v>
      </c>
      <c r="AE232" s="195" t="str">
        <f t="shared" si="34"/>
        <v/>
      </c>
      <c r="AF232" s="195" t="str">
        <f t="shared" si="35"/>
        <v/>
      </c>
      <c r="AG232" s="255" t="str">
        <f>IF(ISNUMBER(SEARCH("C", 'Dry_Litterbag Placem_Collection'!AB159)),"YES","NO")</f>
        <v>NO</v>
      </c>
      <c r="AH232" s="255" t="str">
        <f>IF(ISNUMBER(SEARCH("H", 'Dry_Litterbag Placem_Collection'!AB159)),"YES","NO")</f>
        <v>NO</v>
      </c>
      <c r="AI232" s="255" t="str">
        <f>IF(ISNUMBER(SEARCH("R", 'Dry_Litterbag Placem_Collection'!AB159)),"YES","NO")</f>
        <v>NO</v>
      </c>
      <c r="AJ232" s="255" t="str">
        <f>IF(ISNUMBER(SEARCH("C", 'Dry_Litterbag Placem_Collection'!AA159)),"YES","NO")</f>
        <v>NO</v>
      </c>
      <c r="AK232" s="255" t="str">
        <f>IF(ISNUMBER(SEARCH("H", 'Dry_Litterbag Placem_Collection'!AA159)),"YES","NO")</f>
        <v>NO</v>
      </c>
      <c r="AL232" s="255" t="str">
        <f>IF(ISNUMBER(SEARCH("R", 'Dry_Litterbag Placem_Collection'!AA159)),"YES","NO")</f>
        <v>NO</v>
      </c>
      <c r="AR232" t="s">
        <v>1722</v>
      </c>
      <c r="AT232" t="s">
        <v>663</v>
      </c>
    </row>
    <row r="233" spans="2:46">
      <c r="B233" t="str">
        <f>'Final data_for_R_analysis_Dryse'!A159</f>
        <v>Dry</v>
      </c>
      <c r="C233" s="263">
        <f>'Final data_for_R_analysis_Dryse'!B159</f>
        <v>158</v>
      </c>
      <c r="D233" t="s">
        <v>3850</v>
      </c>
      <c r="E233" t="s">
        <v>22</v>
      </c>
      <c r="F233" s="387">
        <v>6</v>
      </c>
      <c r="G233" s="16">
        <f>'Dry_Litterbag Placem_Collection'!E160</f>
        <v>42939</v>
      </c>
      <c r="H233" t="str">
        <f>'Final data_for_R_analysis_Dryse'!J159</f>
        <v>G21</v>
      </c>
      <c r="I233" t="str">
        <f>'Final data_for_R_analysis_Dryse'!J379</f>
        <v>R773</v>
      </c>
      <c r="J233">
        <f>IFERROR(INDEX('Green_rooibos initial weight'!$C$5:$C$1749,MATCH(H233, 'Green_rooibos initial weight'!$A$5:$A$1749,0)),"")</f>
        <v>2.04</v>
      </c>
      <c r="K233">
        <f>IFERROR(INDEX('Green_rooibos initial weight'!$C$5:$C$1749,MATCH(I233, 'Green_rooibos initial weight'!$A$5:$A$1749,0)),"")</f>
        <v>2.2320000000000002</v>
      </c>
      <c r="L233" s="195">
        <f t="shared" si="29"/>
        <v>1.7902</v>
      </c>
      <c r="M233" s="240">
        <f>AVERAGE(Ashed_controlls!$K$1:$K$11)</f>
        <v>5.5147656768714146</v>
      </c>
      <c r="N233" s="195">
        <f t="shared" si="24"/>
        <v>1.691474664852648</v>
      </c>
      <c r="O233" s="195">
        <f t="shared" si="30"/>
        <v>1.9822000000000002</v>
      </c>
      <c r="P233" s="240">
        <f>AVERAGE(Ashed_controlls!$K$12:$K$14)</f>
        <v>2.2816647271287041</v>
      </c>
      <c r="Q233" s="195">
        <f t="shared" si="25"/>
        <v>1.936972841778855</v>
      </c>
      <c r="R233" s="16">
        <f>IF('Dry_Litterbag Placem_Collection'!G160="N.A","",'Dry_Litterbag Placem_Collection'!G160)</f>
        <v>43010</v>
      </c>
      <c r="S233" s="195">
        <f>IF(IFERROR(INDEX('Both teabags AfterDry'!$D$1:$D$839,MATCH(H233,'Both teabags AfterDry'!$A$1:$A$839,0)),"")="N.A","",(IFERROR(INDEX('Both teabags AfterDry'!$D$1:$D$839,MATCH(H233,'Both teabags AfterDry'!$A$1:$A$839,0)),"")))</f>
        <v>0</v>
      </c>
      <c r="T233" s="195">
        <f>IF(IFERROR(INDEX('Both teabags AfterDry'!$D$1:$D$839,MATCH(I233,'Both teabags AfterDry'!$A$1:$A$839,0)),"")="N.A","",(IFERROR(INDEX('Both teabags AfterDry'!$D$1:$D$839,MATCH(I233,'Both teabags AfterDry'!$A$1:$A$839,0)),"")))</f>
        <v>1.3551</v>
      </c>
      <c r="U233" s="195" t="str">
        <f t="shared" si="31"/>
        <v/>
      </c>
      <c r="V233" s="195">
        <f t="shared" si="31"/>
        <v>1.2044999999999999</v>
      </c>
      <c r="W233" s="195">
        <f>IFERROR(INDEX('Ashed teabags dry'!$K$2:$K$821,MATCH(H233,'Ashed teabags dry'!$A$2:$A$821,0)),"")</f>
        <v>0</v>
      </c>
      <c r="X233" s="195">
        <f>IFERROR(INDEX('Ashed teabags dry'!$K$2:$K$821,MATCH(I233,'Ashed teabags dry'!$A$2:$A$821,0)),"")</f>
        <v>86.234021632251483</v>
      </c>
      <c r="Y233" s="195" t="str">
        <f t="shared" si="26"/>
        <v/>
      </c>
      <c r="Z233" s="195">
        <f t="shared" si="26"/>
        <v>0.16581120943953098</v>
      </c>
      <c r="AA233" s="195" t="str">
        <f t="shared" si="32"/>
        <v/>
      </c>
      <c r="AB233" s="195" t="str">
        <f t="shared" si="33"/>
        <v/>
      </c>
      <c r="AC233" s="195">
        <f t="shared" si="27"/>
        <v>8.56032701456233E-2</v>
      </c>
      <c r="AD233">
        <f t="shared" si="28"/>
        <v>71</v>
      </c>
      <c r="AE233" s="195" t="str">
        <f t="shared" si="34"/>
        <v/>
      </c>
      <c r="AF233" s="195" t="str">
        <f t="shared" si="35"/>
        <v/>
      </c>
      <c r="AG233" s="255" t="str">
        <f>IF(ISNUMBER(SEARCH("C", 'Dry_Litterbag Placem_Collection'!AB160)),"YES","NO")</f>
        <v>NO</v>
      </c>
      <c r="AH233" s="255" t="str">
        <f>IF(ISNUMBER(SEARCH("H", 'Dry_Litterbag Placem_Collection'!AB160)),"YES","NO")</f>
        <v>NO</v>
      </c>
      <c r="AI233" s="255" t="str">
        <f>IF(ISNUMBER(SEARCH("R", 'Dry_Litterbag Placem_Collection'!AB160)),"YES","NO")</f>
        <v>NO</v>
      </c>
      <c r="AJ233" s="255" t="str">
        <f>IF(ISNUMBER(SEARCH("C", 'Dry_Litterbag Placem_Collection'!AA160)),"YES","NO")</f>
        <v>NO</v>
      </c>
      <c r="AK233" s="255" t="str">
        <f>IF(ISNUMBER(SEARCH("H", 'Dry_Litterbag Placem_Collection'!AA160)),"YES","NO")</f>
        <v>NO</v>
      </c>
      <c r="AL233" s="255" t="str">
        <f>IF(ISNUMBER(SEARCH("R", 'Dry_Litterbag Placem_Collection'!AA160)),"YES","NO")</f>
        <v>NO</v>
      </c>
      <c r="AR233" t="s">
        <v>2029</v>
      </c>
      <c r="AT233" t="s">
        <v>366</v>
      </c>
    </row>
    <row r="234" spans="2:46">
      <c r="B234" t="str">
        <f>'Final data_for_R_analysis_Dryse'!A160</f>
        <v>Dry</v>
      </c>
      <c r="C234" s="263">
        <f>'Final data_for_R_analysis_Dryse'!B160</f>
        <v>159</v>
      </c>
      <c r="D234" t="s">
        <v>3850</v>
      </c>
      <c r="E234" t="s">
        <v>22</v>
      </c>
      <c r="F234" s="387">
        <v>7</v>
      </c>
      <c r="G234" s="16">
        <f>'Dry_Litterbag Placem_Collection'!E161</f>
        <v>0</v>
      </c>
      <c r="H234" t="str">
        <f>'Final data_for_R_analysis_Dryse'!J160</f>
        <v/>
      </c>
      <c r="I234" t="str">
        <f>'Final data_for_R_analysis_Dryse'!J380</f>
        <v/>
      </c>
      <c r="J234" t="str">
        <f>IFERROR(INDEX('Green_rooibos initial weight'!$C$5:$C$1749,MATCH(H234, 'Green_rooibos initial weight'!$A$5:$A$1749,0)),"")</f>
        <v/>
      </c>
      <c r="K234" t="str">
        <f>IFERROR(INDEX('Green_rooibos initial weight'!$C$5:$C$1749,MATCH(I234, 'Green_rooibos initial weight'!$A$5:$A$1749,0)),"")</f>
        <v/>
      </c>
      <c r="L234" s="195" t="str">
        <f t="shared" si="29"/>
        <v/>
      </c>
      <c r="M234" s="240">
        <f>AVERAGE(Ashed_controlls!$K$1:$K$11)</f>
        <v>5.5147656768714146</v>
      </c>
      <c r="N234" s="195" t="str">
        <f t="shared" si="24"/>
        <v/>
      </c>
      <c r="O234" s="195" t="str">
        <f t="shared" si="30"/>
        <v/>
      </c>
      <c r="P234" s="240">
        <f>AVERAGE(Ashed_controlls!$K$12:$K$14)</f>
        <v>2.2816647271287041</v>
      </c>
      <c r="Q234" s="195" t="str">
        <f t="shared" si="25"/>
        <v/>
      </c>
      <c r="R234" s="16">
        <f>IF('Dry_Litterbag Placem_Collection'!G161="N.A","",'Dry_Litterbag Placem_Collection'!G161)</f>
        <v>0</v>
      </c>
      <c r="S234" s="195" t="str">
        <f>IF(IFERROR(INDEX('Both teabags AfterDry'!$D$1:$D$839,MATCH(H234,'Both teabags AfterDry'!$A$1:$A$839,0)),"")="N.A","",(IFERROR(INDEX('Both teabags AfterDry'!$D$1:$D$839,MATCH(H234,'Both teabags AfterDry'!$A$1:$A$839,0)),"")))</f>
        <v/>
      </c>
      <c r="T234" s="195" t="str">
        <f>IF(IFERROR(INDEX('Both teabags AfterDry'!$D$1:$D$839,MATCH(I234,'Both teabags AfterDry'!$A$1:$A$839,0)),"")="N.A","",(IFERROR(INDEX('Both teabags AfterDry'!$D$1:$D$839,MATCH(I234,'Both teabags AfterDry'!$A$1:$A$839,0)),"")))</f>
        <v/>
      </c>
      <c r="U234" s="195" t="str">
        <f t="shared" si="31"/>
        <v/>
      </c>
      <c r="V234" s="195" t="str">
        <f t="shared" si="31"/>
        <v/>
      </c>
      <c r="W234" s="195" t="str">
        <f>IFERROR(INDEX('Ashed teabags dry'!$K$2:$K$821,MATCH(H234,'Ashed teabags dry'!$A$2:$A$821,0)),"")</f>
        <v/>
      </c>
      <c r="X234" s="195" t="str">
        <f>IFERROR(INDEX('Ashed teabags dry'!$K$2:$K$821,MATCH(I234,'Ashed teabags dry'!$A$2:$A$821,0)),"")</f>
        <v/>
      </c>
      <c r="Y234" s="195" t="str">
        <f t="shared" si="26"/>
        <v/>
      </c>
      <c r="Z234" s="195" t="str">
        <f t="shared" si="26"/>
        <v/>
      </c>
      <c r="AA234" s="195" t="str">
        <f t="shared" si="32"/>
        <v/>
      </c>
      <c r="AB234" s="195" t="str">
        <f t="shared" si="33"/>
        <v/>
      </c>
      <c r="AC234" s="195" t="str">
        <f t="shared" si="27"/>
        <v/>
      </c>
      <c r="AD234" t="str">
        <f t="shared" si="28"/>
        <v/>
      </c>
      <c r="AE234" s="195" t="str">
        <f t="shared" si="34"/>
        <v/>
      </c>
      <c r="AF234" s="195" t="str">
        <f t="shared" si="35"/>
        <v/>
      </c>
      <c r="AG234" s="255" t="str">
        <f>IF(ISNUMBER(SEARCH("C", 'Dry_Litterbag Placem_Collection'!AB161)),"YES","NO")</f>
        <v>NO</v>
      </c>
      <c r="AH234" s="255" t="str">
        <f>IF(ISNUMBER(SEARCH("H", 'Dry_Litterbag Placem_Collection'!AB161)),"YES","NO")</f>
        <v>NO</v>
      </c>
      <c r="AI234" s="255" t="str">
        <f>IF(ISNUMBER(SEARCH("R", 'Dry_Litterbag Placem_Collection'!AB161)),"YES","NO")</f>
        <v>NO</v>
      </c>
      <c r="AJ234" s="255" t="str">
        <f>IF(ISNUMBER(SEARCH("C", 'Dry_Litterbag Placem_Collection'!AA161)),"YES","NO")</f>
        <v>NO</v>
      </c>
      <c r="AK234" s="255" t="str">
        <f>IF(ISNUMBER(SEARCH("H", 'Dry_Litterbag Placem_Collection'!AA161)),"YES","NO")</f>
        <v>NO</v>
      </c>
      <c r="AL234" s="255" t="str">
        <f>IF(ISNUMBER(SEARCH("R", 'Dry_Litterbag Placem_Collection'!AA161)),"YES","NO")</f>
        <v>NO</v>
      </c>
      <c r="AR234" t="s">
        <v>3654</v>
      </c>
      <c r="AT234" t="s">
        <v>3654</v>
      </c>
    </row>
    <row r="235" spans="2:46">
      <c r="B235" t="str">
        <f>'Final data_for_R_analysis_Dryse'!A161</f>
        <v>Dry</v>
      </c>
      <c r="C235" s="263">
        <f>'Final data_for_R_analysis_Dryse'!B161</f>
        <v>160</v>
      </c>
      <c r="D235" t="s">
        <v>3850</v>
      </c>
      <c r="E235" t="s">
        <v>22</v>
      </c>
      <c r="F235" s="387">
        <v>8</v>
      </c>
      <c r="G235" s="16">
        <f>'Dry_Litterbag Placem_Collection'!E162</f>
        <v>42939</v>
      </c>
      <c r="H235" t="str">
        <f>'Final data_for_R_analysis_Dryse'!J161</f>
        <v>G482</v>
      </c>
      <c r="I235" t="str">
        <f>'Final data_for_R_analysis_Dryse'!J381</f>
        <v>R401</v>
      </c>
      <c r="J235">
        <f>IFERROR(INDEX('Green_rooibos initial weight'!$C$5:$C$1749,MATCH(H235, 'Green_rooibos initial weight'!$A$5:$A$1749,0)),"")</f>
        <v>2.056</v>
      </c>
      <c r="K235">
        <f>IFERROR(INDEX('Green_rooibos initial weight'!$C$5:$C$1749,MATCH(I235, 'Green_rooibos initial weight'!$A$5:$A$1749,0)),"")</f>
        <v>2.214</v>
      </c>
      <c r="L235" s="195">
        <f t="shared" si="29"/>
        <v>1.8062</v>
      </c>
      <c r="M235" s="240">
        <f>AVERAGE(Ashed_controlls!$K$1:$K$11)</f>
        <v>5.5147656768714146</v>
      </c>
      <c r="N235" s="195">
        <f t="shared" si="24"/>
        <v>1.7065923023443486</v>
      </c>
      <c r="O235" s="195">
        <f t="shared" si="30"/>
        <v>1.9641999999999999</v>
      </c>
      <c r="P235" s="240">
        <f>AVERAGE(Ashed_controlls!$K$12:$K$14)</f>
        <v>2.2816647271287041</v>
      </c>
      <c r="Q235" s="195">
        <f t="shared" si="25"/>
        <v>1.919383541429738</v>
      </c>
      <c r="R235" s="16">
        <f>IF('Dry_Litterbag Placem_Collection'!G162="N.A","",'Dry_Litterbag Placem_Collection'!G162)</f>
        <v>43010</v>
      </c>
      <c r="S235" s="195">
        <f>IF(IFERROR(INDEX('Both teabags AfterDry'!$D$1:$D$839,MATCH(H235,'Both teabags AfterDry'!$A$1:$A$839,0)),"")="N.A","",(IFERROR(INDEX('Both teabags AfterDry'!$D$1:$D$839,MATCH(H235,'Both teabags AfterDry'!$A$1:$A$839,0)),"")))</f>
        <v>1.4819</v>
      </c>
      <c r="T235" s="195">
        <f>IF(IFERROR(INDEX('Both teabags AfterDry'!$D$1:$D$839,MATCH(I235,'Both teabags AfterDry'!$A$1:$A$839,0)),"")="N.A","",(IFERROR(INDEX('Both teabags AfterDry'!$D$1:$D$839,MATCH(I235,'Both teabags AfterDry'!$A$1:$A$839,0)),"")))</f>
        <v>1.7884</v>
      </c>
      <c r="U235" s="195">
        <f t="shared" si="31"/>
        <v>1.3312999999999999</v>
      </c>
      <c r="V235" s="195">
        <f t="shared" si="31"/>
        <v>1.6377999999999999</v>
      </c>
      <c r="W235" s="195">
        <f>IFERROR(INDEX('Ashed teabags dry'!$K$2:$K$821,MATCH(H235,'Ashed teabags dry'!$A$2:$A$821,0)),"")</f>
        <v>15.061378659112389</v>
      </c>
      <c r="X235" s="195">
        <f>IFERROR(INDEX('Ashed teabags dry'!$K$2:$K$821,MATCH(I235,'Ashed teabags dry'!$A$2:$A$821,0)),"")</f>
        <v>5.077369439072041</v>
      </c>
      <c r="Y235" s="195">
        <f t="shared" si="26"/>
        <v>1.1307878659112367</v>
      </c>
      <c r="Z235" s="195">
        <f t="shared" si="26"/>
        <v>1.554642843326878</v>
      </c>
      <c r="AA235" s="195">
        <f t="shared" si="32"/>
        <v>0.33740011345540954</v>
      </c>
      <c r="AB235" s="195">
        <f t="shared" si="33"/>
        <v>0.22119342354796448</v>
      </c>
      <c r="AC235" s="195">
        <f t="shared" si="27"/>
        <v>0.80996987301914303</v>
      </c>
      <c r="AD235">
        <f t="shared" si="28"/>
        <v>71</v>
      </c>
      <c r="AE235" s="195">
        <f t="shared" si="34"/>
        <v>0.59928727618122379</v>
      </c>
      <c r="AF235" s="195">
        <f t="shared" si="35"/>
        <v>2.7602768002354269E-2</v>
      </c>
      <c r="AG235" s="255" t="str">
        <f>IF(ISNUMBER(SEARCH("C", 'Dry_Litterbag Placem_Collection'!AB162)),"YES","NO")</f>
        <v>NO</v>
      </c>
      <c r="AH235" s="255" t="str">
        <f>IF(ISNUMBER(SEARCH("H", 'Dry_Litterbag Placem_Collection'!AB162)),"YES","NO")</f>
        <v>NO</v>
      </c>
      <c r="AI235" s="255" t="str">
        <f>IF(ISNUMBER(SEARCH("R", 'Dry_Litterbag Placem_Collection'!AB162)),"YES","NO")</f>
        <v>NO</v>
      </c>
      <c r="AJ235" s="255" t="str">
        <f>IF(ISNUMBER(SEARCH("C", 'Dry_Litterbag Placem_Collection'!AA162)),"YES","NO")</f>
        <v>NO</v>
      </c>
      <c r="AK235" s="255" t="str">
        <f>IF(ISNUMBER(SEARCH("H", 'Dry_Litterbag Placem_Collection'!AA162)),"YES","NO")</f>
        <v>NO</v>
      </c>
      <c r="AL235" s="255" t="str">
        <f>IF(ISNUMBER(SEARCH("R", 'Dry_Litterbag Placem_Collection'!AA162)),"YES","NO")</f>
        <v>NO</v>
      </c>
      <c r="AR235" t="s">
        <v>1568</v>
      </c>
      <c r="AT235" t="s">
        <v>740</v>
      </c>
    </row>
    <row r="236" spans="2:46">
      <c r="B236" t="str">
        <f>'Final data_for_R_analysis_Dryse'!A162</f>
        <v>Dry</v>
      </c>
      <c r="C236" s="263">
        <f>'Final data_for_R_analysis_Dryse'!B162</f>
        <v>161</v>
      </c>
      <c r="D236" t="s">
        <v>3851</v>
      </c>
      <c r="E236" t="s">
        <v>22</v>
      </c>
      <c r="F236" s="386">
        <v>1</v>
      </c>
      <c r="G236" s="16">
        <f>'Dry_Litterbag Placem_Collection'!E163</f>
        <v>42940</v>
      </c>
      <c r="H236" t="str">
        <f>'Final data_for_R_analysis_Dryse'!J162</f>
        <v>G51</v>
      </c>
      <c r="I236" t="str">
        <f>'Final data_for_R_analysis_Dryse'!J382</f>
        <v>R673</v>
      </c>
      <c r="J236">
        <f>IFERROR(INDEX('Green_rooibos initial weight'!$C$5:$C$1749,MATCH(H236, 'Green_rooibos initial weight'!$A$5:$A$1749,0)),"")</f>
        <v>2.0259999999999998</v>
      </c>
      <c r="K236">
        <f>IFERROR(INDEX('Green_rooibos initial weight'!$C$5:$C$1749,MATCH(I236, 'Green_rooibos initial weight'!$A$5:$A$1749,0)),"")</f>
        <v>2.121</v>
      </c>
      <c r="L236" s="195">
        <f t="shared" si="29"/>
        <v>1.7761999999999998</v>
      </c>
      <c r="M236" s="240">
        <f>AVERAGE(Ashed_controlls!$K$1:$K$11)</f>
        <v>5.5147656768714146</v>
      </c>
      <c r="N236" s="195">
        <f t="shared" si="24"/>
        <v>1.6782467320474097</v>
      </c>
      <c r="O236" s="195">
        <f t="shared" si="30"/>
        <v>1.8712</v>
      </c>
      <c r="P236" s="240">
        <f>AVERAGE(Ashed_controlls!$K$12:$K$14)</f>
        <v>2.2816647271287041</v>
      </c>
      <c r="Q236" s="195">
        <f t="shared" si="25"/>
        <v>1.8285054896259676</v>
      </c>
      <c r="R236" s="16">
        <f>IF('Dry_Litterbag Placem_Collection'!G163="N.A","",'Dry_Litterbag Placem_Collection'!G163)</f>
        <v>43009</v>
      </c>
      <c r="S236" s="195">
        <f>IF(IFERROR(INDEX('Both teabags AfterDry'!$D$1:$D$839,MATCH(H236,'Both teabags AfterDry'!$A$1:$A$839,0)),"")="N.A","",(IFERROR(INDEX('Both teabags AfterDry'!$D$1:$D$839,MATCH(H236,'Both teabags AfterDry'!$A$1:$A$839,0)),"")))</f>
        <v>0.81589999999999996</v>
      </c>
      <c r="T236" s="195">
        <f>IF(IFERROR(INDEX('Both teabags AfterDry'!$D$1:$D$839,MATCH(I236,'Both teabags AfterDry'!$A$1:$A$839,0)),"")="N.A","",(IFERROR(INDEX('Both teabags AfterDry'!$D$1:$D$839,MATCH(I236,'Both teabags AfterDry'!$A$1:$A$839,0)),"")))</f>
        <v>1.1623000000000001</v>
      </c>
      <c r="U236" s="195">
        <f t="shared" si="31"/>
        <v>0.6653</v>
      </c>
      <c r="V236" s="195">
        <f t="shared" si="31"/>
        <v>1.0117</v>
      </c>
      <c r="W236" s="195">
        <f>IFERROR(INDEX('Ashed teabags dry'!$K$2:$K$821,MATCH(H236,'Ashed teabags dry'!$A$2:$A$821,0)),"")</f>
        <v>26.176336226588315</v>
      </c>
      <c r="X236" s="195">
        <f>IFERROR(INDEX('Ashed teabags dry'!$K$2:$K$821,MATCH(I236,'Ashed teabags dry'!$A$2:$A$821,0)),"")</f>
        <v>32.285429141716598</v>
      </c>
      <c r="Y236" s="195">
        <f t="shared" si="26"/>
        <v>0.49114883508450791</v>
      </c>
      <c r="Z236" s="195">
        <f t="shared" si="26"/>
        <v>0.68506831337325313</v>
      </c>
      <c r="AA236" s="195">
        <f t="shared" si="32"/>
        <v>0.70734408373593471</v>
      </c>
      <c r="AB236" s="195">
        <f t="shared" si="33"/>
        <v>0.4637220121404228</v>
      </c>
      <c r="AC236" s="195">
        <f t="shared" si="27"/>
        <v>0.37466024425958283</v>
      </c>
      <c r="AD236">
        <f t="shared" si="28"/>
        <v>69</v>
      </c>
      <c r="AE236" s="195">
        <f t="shared" si="34"/>
        <v>0.15992389104995874</v>
      </c>
      <c r="AF236" s="195" t="str">
        <f t="shared" si="35"/>
        <v/>
      </c>
      <c r="AG236" s="255" t="str">
        <f>IF(ISNUMBER(SEARCH("C", 'Dry_Litterbag Placem_Collection'!AB163)),"YES","NO")</f>
        <v>NO</v>
      </c>
      <c r="AH236" s="255" t="str">
        <f>IF(ISNUMBER(SEARCH("H", 'Dry_Litterbag Placem_Collection'!AB163)),"YES","NO")</f>
        <v>NO</v>
      </c>
      <c r="AI236" s="255" t="str">
        <f>IF(ISNUMBER(SEARCH("R", 'Dry_Litterbag Placem_Collection'!AB163)),"YES","NO")</f>
        <v>NO</v>
      </c>
      <c r="AJ236" s="255" t="str">
        <f>IF(ISNUMBER(SEARCH("C", 'Dry_Litterbag Placem_Collection'!AA163)),"YES","NO")</f>
        <v>NO</v>
      </c>
      <c r="AK236" s="255" t="str">
        <f>IF(ISNUMBER(SEARCH("H", 'Dry_Litterbag Placem_Collection'!AA163)),"YES","NO")</f>
        <v>NO</v>
      </c>
      <c r="AL236" s="255" t="str">
        <f>IF(ISNUMBER(SEARCH("R", 'Dry_Litterbag Placem_Collection'!AA163)),"YES","NO")</f>
        <v>NO</v>
      </c>
      <c r="AR236" t="s">
        <v>1999</v>
      </c>
      <c r="AT236" t="s">
        <v>466</v>
      </c>
    </row>
    <row r="237" spans="2:46">
      <c r="B237" t="str">
        <f>'Final data_for_R_analysis_Dryse'!A163</f>
        <v>Dry</v>
      </c>
      <c r="C237" s="263">
        <f>'Final data_for_R_analysis_Dryse'!B163</f>
        <v>162</v>
      </c>
      <c r="D237" t="s">
        <v>3851</v>
      </c>
      <c r="E237" t="s">
        <v>22</v>
      </c>
      <c r="F237" s="386">
        <v>2</v>
      </c>
      <c r="G237" s="16">
        <f>'Dry_Litterbag Placem_Collection'!E164</f>
        <v>42940</v>
      </c>
      <c r="H237" t="str">
        <f>'Final data_for_R_analysis_Dryse'!J163</f>
        <v>G238</v>
      </c>
      <c r="I237" t="str">
        <f>'Final data_for_R_analysis_Dryse'!J383</f>
        <v>R814</v>
      </c>
      <c r="J237">
        <f>IFERROR(INDEX('Green_rooibos initial weight'!$C$5:$C$1749,MATCH(H237, 'Green_rooibos initial weight'!$A$5:$A$1749,0)),"")</f>
        <v>2.1160000000000001</v>
      </c>
      <c r="K237">
        <f>IFERROR(INDEX('Green_rooibos initial weight'!$C$5:$C$1749,MATCH(I237, 'Green_rooibos initial weight'!$A$5:$A$1749,0)),"")</f>
        <v>2.2210000000000001</v>
      </c>
      <c r="L237" s="195">
        <f t="shared" si="29"/>
        <v>1.8662000000000001</v>
      </c>
      <c r="M237" s="240">
        <f>AVERAGE(Ashed_controlls!$K$1:$K$11)</f>
        <v>5.5147656768714146</v>
      </c>
      <c r="N237" s="195">
        <f t="shared" si="24"/>
        <v>1.7632834429382258</v>
      </c>
      <c r="O237" s="195">
        <f t="shared" si="30"/>
        <v>1.9712000000000001</v>
      </c>
      <c r="P237" s="240">
        <f>AVERAGE(Ashed_controlls!$K$12:$K$14)</f>
        <v>2.2816647271287041</v>
      </c>
      <c r="Q237" s="195">
        <f t="shared" si="25"/>
        <v>1.926223824898839</v>
      </c>
      <c r="R237" s="16">
        <f>IF('Dry_Litterbag Placem_Collection'!G164="N.A","",'Dry_Litterbag Placem_Collection'!G164)</f>
        <v>43009</v>
      </c>
      <c r="S237" s="195">
        <f>IF(IFERROR(INDEX('Both teabags AfterDry'!$D$1:$D$839,MATCH(H237,'Both teabags AfterDry'!$A$1:$A$839,0)),"")="N.A","",(IFERROR(INDEX('Both teabags AfterDry'!$D$1:$D$839,MATCH(H237,'Both teabags AfterDry'!$A$1:$A$839,0)),"")))</f>
        <v>0.81089999999999995</v>
      </c>
      <c r="T237" s="195">
        <f>IF(IFERROR(INDEX('Both teabags AfterDry'!$D$1:$D$839,MATCH(I237,'Both teabags AfterDry'!$A$1:$A$839,0)),"")="N.A","",(IFERROR(INDEX('Both teabags AfterDry'!$D$1:$D$839,MATCH(I237,'Both teabags AfterDry'!$A$1:$A$839,0)),"")))</f>
        <v>2.4714999999999998</v>
      </c>
      <c r="U237" s="195">
        <f t="shared" si="31"/>
        <v>0.66029999999999989</v>
      </c>
      <c r="V237" s="195">
        <f t="shared" si="31"/>
        <v>2.3209</v>
      </c>
      <c r="W237" s="195">
        <f>IFERROR(INDEX('Ashed teabags dry'!$K$2:$K$821,MATCH(H237,'Ashed teabags dry'!$A$2:$A$821,0)),"")</f>
        <v>25.849056603773789</v>
      </c>
      <c r="X237" s="195">
        <f>IFERROR(INDEX('Ashed teabags dry'!$K$2:$K$821,MATCH(I237,'Ashed teabags dry'!$A$2:$A$821,0)),"")</f>
        <v>91.237322515213222</v>
      </c>
      <c r="Y237" s="195">
        <f t="shared" si="26"/>
        <v>0.48961867924528157</v>
      </c>
      <c r="Z237" s="195">
        <f t="shared" si="26"/>
        <v>0.20337298174441631</v>
      </c>
      <c r="AA237" s="195">
        <f t="shared" si="32"/>
        <v>0.72232559591814038</v>
      </c>
      <c r="AB237" s="195">
        <f t="shared" si="33"/>
        <v>0.47354362107697567</v>
      </c>
      <c r="AC237" s="195">
        <f t="shared" si="27"/>
        <v>0.10558117863332783</v>
      </c>
      <c r="AD237">
        <f t="shared" si="28"/>
        <v>69</v>
      </c>
      <c r="AE237" s="195">
        <f t="shared" si="34"/>
        <v>0.14213112123736293</v>
      </c>
      <c r="AF237" s="195" t="str">
        <f t="shared" si="35"/>
        <v/>
      </c>
      <c r="AG237" s="255" t="str">
        <f>IF(ISNUMBER(SEARCH("C", 'Dry_Litterbag Placem_Collection'!AB164)),"YES","NO")</f>
        <v>NO</v>
      </c>
      <c r="AH237" s="255" t="str">
        <f>IF(ISNUMBER(SEARCH("H", 'Dry_Litterbag Placem_Collection'!AB164)),"YES","NO")</f>
        <v>NO</v>
      </c>
      <c r="AI237" s="255" t="str">
        <f>IF(ISNUMBER(SEARCH("R", 'Dry_Litterbag Placem_Collection'!AB164)),"YES","NO")</f>
        <v>NO</v>
      </c>
      <c r="AJ237" s="255" t="str">
        <f>IF(ISNUMBER(SEARCH("C", 'Dry_Litterbag Placem_Collection'!AA164)),"YES","NO")</f>
        <v>NO</v>
      </c>
      <c r="AK237" s="255" t="str">
        <f>IF(ISNUMBER(SEARCH("H", 'Dry_Litterbag Placem_Collection'!AA164)),"YES","NO")</f>
        <v>NO</v>
      </c>
      <c r="AL237" s="255" t="str">
        <f>IF(ISNUMBER(SEARCH("R", 'Dry_Litterbag Placem_Collection'!AA164)),"YES","NO")</f>
        <v>NO</v>
      </c>
      <c r="AR237" t="s">
        <v>1812</v>
      </c>
      <c r="AT237" t="s">
        <v>325</v>
      </c>
    </row>
    <row r="238" spans="2:46">
      <c r="B238" t="str">
        <f>'Final data_for_R_analysis_Dryse'!A164</f>
        <v>Dry</v>
      </c>
      <c r="C238" s="263">
        <f>'Final data_for_R_analysis_Dryse'!B164</f>
        <v>163</v>
      </c>
      <c r="D238" t="s">
        <v>3851</v>
      </c>
      <c r="E238" t="s">
        <v>22</v>
      </c>
      <c r="F238" s="386">
        <v>3</v>
      </c>
      <c r="G238" s="16">
        <f>'Dry_Litterbag Placem_Collection'!E165</f>
        <v>42940</v>
      </c>
      <c r="H238" t="str">
        <f>'Final data_for_R_analysis_Dryse'!J164</f>
        <v>G59</v>
      </c>
      <c r="I238" t="str">
        <f>'Final data_for_R_analysis_Dryse'!J384</f>
        <v>R615</v>
      </c>
      <c r="J238">
        <f>IFERROR(INDEX('Green_rooibos initial weight'!$C$5:$C$1749,MATCH(H238, 'Green_rooibos initial weight'!$A$5:$A$1749,0)),"")</f>
        <v>1.929</v>
      </c>
      <c r="K238">
        <f>IFERROR(INDEX('Green_rooibos initial weight'!$C$5:$C$1749,MATCH(I238, 'Green_rooibos initial weight'!$A$5:$A$1749,0)),"")</f>
        <v>2.157</v>
      </c>
      <c r="L238" s="195">
        <f t="shared" si="29"/>
        <v>1.6792</v>
      </c>
      <c r="M238" s="240">
        <f>AVERAGE(Ashed_controlls!$K$1:$K$11)</f>
        <v>5.5147656768714146</v>
      </c>
      <c r="N238" s="195">
        <f t="shared" si="24"/>
        <v>1.5865960547539752</v>
      </c>
      <c r="O238" s="195">
        <f t="shared" si="30"/>
        <v>1.9072</v>
      </c>
      <c r="P238" s="240">
        <f>AVERAGE(Ashed_controlls!$K$12:$K$14)</f>
        <v>2.2816647271287041</v>
      </c>
      <c r="Q238" s="195">
        <f t="shared" si="25"/>
        <v>1.8636840903242013</v>
      </c>
      <c r="R238" s="16">
        <f>IF('Dry_Litterbag Placem_Collection'!G165="N.A","",'Dry_Litterbag Placem_Collection'!G165)</f>
        <v>43009</v>
      </c>
      <c r="S238" s="195">
        <f>IF(IFERROR(INDEX('Both teabags AfterDry'!$D$1:$D$839,MATCH(H238,'Both teabags AfterDry'!$A$1:$A$839,0)),"")="N.A","",(IFERROR(INDEX('Both teabags AfterDry'!$D$1:$D$839,MATCH(H238,'Both teabags AfterDry'!$A$1:$A$839,0)),"")))</f>
        <v>0.95679999999999998</v>
      </c>
      <c r="T238" s="195">
        <f>IF(IFERROR(INDEX('Both teabags AfterDry'!$D$1:$D$839,MATCH(I238,'Both teabags AfterDry'!$A$1:$A$839,0)),"")="N.A","",(IFERROR(INDEX('Both teabags AfterDry'!$D$1:$D$839,MATCH(I238,'Both teabags AfterDry'!$A$1:$A$839,0)),"")))</f>
        <v>1.4872000000000001</v>
      </c>
      <c r="U238" s="195">
        <f t="shared" si="31"/>
        <v>0.80620000000000003</v>
      </c>
      <c r="V238" s="195">
        <f t="shared" si="31"/>
        <v>1.3366</v>
      </c>
      <c r="W238" s="195">
        <f>IFERROR(INDEX('Ashed teabags dry'!$K$2:$K$821,MATCH(H238,'Ashed teabags dry'!$A$2:$A$821,0)),"")</f>
        <v>34.794396746499032</v>
      </c>
      <c r="X238" s="195">
        <f>IFERROR(INDEX('Ashed teabags dry'!$K$2:$K$821,MATCH(I238,'Ashed teabags dry'!$A$2:$A$821,0)),"")</f>
        <v>30.154767848227259</v>
      </c>
      <c r="Y238" s="195">
        <f t="shared" si="26"/>
        <v>0.52568757342972483</v>
      </c>
      <c r="Z238" s="195">
        <f t="shared" si="26"/>
        <v>0.93355137294059443</v>
      </c>
      <c r="AA238" s="195">
        <f t="shared" si="32"/>
        <v>0.66866955716006726</v>
      </c>
      <c r="AB238" s="195">
        <f t="shared" si="33"/>
        <v>0.43836769067975911</v>
      </c>
      <c r="AC238" s="195">
        <f t="shared" si="27"/>
        <v>0.50091717678300107</v>
      </c>
      <c r="AD238">
        <f t="shared" si="28"/>
        <v>69</v>
      </c>
      <c r="AE238" s="195">
        <f t="shared" si="34"/>
        <v>0.20585563282652342</v>
      </c>
      <c r="AF238" s="195" t="str">
        <f t="shared" si="35"/>
        <v/>
      </c>
      <c r="AG238" s="255" t="str">
        <f>IF(ISNUMBER(SEARCH("C", 'Dry_Litterbag Placem_Collection'!AB165)),"YES","NO")</f>
        <v>NO</v>
      </c>
      <c r="AH238" s="255" t="str">
        <f>IF(ISNUMBER(SEARCH("H", 'Dry_Litterbag Placem_Collection'!AB165)),"YES","NO")</f>
        <v>NO</v>
      </c>
      <c r="AI238" s="255" t="str">
        <f>IF(ISNUMBER(SEARCH("R", 'Dry_Litterbag Placem_Collection'!AB165)),"YES","NO")</f>
        <v>NO</v>
      </c>
      <c r="AJ238" s="255" t="str">
        <f>IF(ISNUMBER(SEARCH("C", 'Dry_Litterbag Placem_Collection'!AA165)),"YES","NO")</f>
        <v>NO</v>
      </c>
      <c r="AK238" s="255" t="str">
        <f>IF(ISNUMBER(SEARCH("H", 'Dry_Litterbag Placem_Collection'!AA165)),"YES","NO")</f>
        <v>NO</v>
      </c>
      <c r="AL238" s="255" t="str">
        <f>IF(ISNUMBER(SEARCH("R", 'Dry_Litterbag Placem_Collection'!AA165)),"YES","NO")</f>
        <v>NO</v>
      </c>
      <c r="AR238" t="s">
        <v>1991</v>
      </c>
      <c r="AT238" t="s">
        <v>524</v>
      </c>
    </row>
    <row r="239" spans="2:46">
      <c r="B239" t="str">
        <f>'Final data_for_R_analysis_Dryse'!A165</f>
        <v>Dry</v>
      </c>
      <c r="C239" s="263">
        <f>'Final data_for_R_analysis_Dryse'!B165</f>
        <v>164</v>
      </c>
      <c r="D239" t="s">
        <v>3851</v>
      </c>
      <c r="E239" t="s">
        <v>22</v>
      </c>
      <c r="F239" s="387">
        <v>4</v>
      </c>
      <c r="G239" s="16">
        <f>'Dry_Litterbag Placem_Collection'!E166</f>
        <v>42940</v>
      </c>
      <c r="H239" t="str">
        <f>'Final data_for_R_analysis_Dryse'!J165</f>
        <v>G7</v>
      </c>
      <c r="I239" t="str">
        <f>'Final data_for_R_analysis_Dryse'!J385</f>
        <v>R514</v>
      </c>
      <c r="J239">
        <f>IFERROR(INDEX('Green_rooibos initial weight'!$C$5:$C$1749,MATCH(H239, 'Green_rooibos initial weight'!$A$5:$A$1749,0)),"")</f>
        <v>1.974</v>
      </c>
      <c r="K239">
        <f>IFERROR(INDEX('Green_rooibos initial weight'!$C$5:$C$1749,MATCH(I239, 'Green_rooibos initial weight'!$A$5:$A$1749,0)),"")</f>
        <v>2.1059999999999999</v>
      </c>
      <c r="L239" s="195">
        <f t="shared" si="29"/>
        <v>1.7242</v>
      </c>
      <c r="M239" s="240">
        <f>AVERAGE(Ashed_controlls!$K$1:$K$11)</f>
        <v>5.5147656768714146</v>
      </c>
      <c r="N239" s="195">
        <f t="shared" si="24"/>
        <v>1.6291144101993831</v>
      </c>
      <c r="O239" s="195">
        <f t="shared" si="30"/>
        <v>1.8561999999999999</v>
      </c>
      <c r="P239" s="240">
        <f>AVERAGE(Ashed_controlls!$K$12:$K$14)</f>
        <v>2.2816647271287041</v>
      </c>
      <c r="Q239" s="195">
        <f t="shared" si="25"/>
        <v>1.8138477393350367</v>
      </c>
      <c r="R239" s="16">
        <f>IF('Dry_Litterbag Placem_Collection'!G166="N.A","",'Dry_Litterbag Placem_Collection'!G166)</f>
        <v>43009</v>
      </c>
      <c r="S239" s="195">
        <f>IF(IFERROR(INDEX('Both teabags AfterDry'!$D$1:$D$839,MATCH(H239,'Both teabags AfterDry'!$A$1:$A$839,0)),"")="N.A","",(IFERROR(INDEX('Both teabags AfterDry'!$D$1:$D$839,MATCH(H239,'Both teabags AfterDry'!$A$1:$A$839,0)),"")))</f>
        <v>0.82040000000000002</v>
      </c>
      <c r="T239" s="195">
        <f>IF(IFERROR(INDEX('Both teabags AfterDry'!$D$1:$D$839,MATCH(I239,'Both teabags AfterDry'!$A$1:$A$839,0)),"")="N.A","",(IFERROR(INDEX('Both teabags AfterDry'!$D$1:$D$839,MATCH(I239,'Both teabags AfterDry'!$A$1:$A$839,0)),"")))</f>
        <v>1.8293999999999999</v>
      </c>
      <c r="U239" s="195">
        <f t="shared" si="31"/>
        <v>0.66979999999999995</v>
      </c>
      <c r="V239" s="195">
        <f t="shared" si="31"/>
        <v>1.6787999999999998</v>
      </c>
      <c r="W239" s="195">
        <f>IFERROR(INDEX('Ashed teabags dry'!$K$2:$K$821,MATCH(H239,'Ashed teabags dry'!$A$2:$A$821,0)),"")</f>
        <v>25.538020086083453</v>
      </c>
      <c r="X239" s="195">
        <f>IFERROR(INDEX('Ashed teabags dry'!$K$2:$K$821,MATCH(I239,'Ashed teabags dry'!$A$2:$A$821,0)),"")</f>
        <v>11.27856101118171</v>
      </c>
      <c r="Y239" s="195">
        <f t="shared" si="26"/>
        <v>0.49874634146341301</v>
      </c>
      <c r="Z239" s="195">
        <f t="shared" si="26"/>
        <v>1.4894555177442814</v>
      </c>
      <c r="AA239" s="195">
        <f t="shared" si="32"/>
        <v>0.69385431843158718</v>
      </c>
      <c r="AB239" s="195">
        <f t="shared" si="33"/>
        <v>0.45487836552759642</v>
      </c>
      <c r="AC239" s="195">
        <f t="shared" si="27"/>
        <v>0.82115796460970936</v>
      </c>
      <c r="AD239">
        <f t="shared" si="28"/>
        <v>69</v>
      </c>
      <c r="AE239" s="195">
        <f t="shared" si="34"/>
        <v>0.17594498998623842</v>
      </c>
      <c r="AF239" s="195">
        <f t="shared" si="35"/>
        <v>7.239095169778424E-3</v>
      </c>
      <c r="AG239" s="255" t="str">
        <f>IF(ISNUMBER(SEARCH("C", 'Dry_Litterbag Placem_Collection'!AB166)),"YES","NO")</f>
        <v>NO</v>
      </c>
      <c r="AH239" s="255" t="str">
        <f>IF(ISNUMBER(SEARCH("H", 'Dry_Litterbag Placem_Collection'!AB166)),"YES","NO")</f>
        <v>NO</v>
      </c>
      <c r="AI239" s="255" t="str">
        <f>IF(ISNUMBER(SEARCH("R", 'Dry_Litterbag Placem_Collection'!AB166)),"YES","NO")</f>
        <v>NO</v>
      </c>
      <c r="AJ239" s="255" t="str">
        <f>IF(ISNUMBER(SEARCH("C", 'Dry_Litterbag Placem_Collection'!AA166)),"YES","NO")</f>
        <v>NO</v>
      </c>
      <c r="AK239" s="255" t="str">
        <f>IF(ISNUMBER(SEARCH("H", 'Dry_Litterbag Placem_Collection'!AA166)),"YES","NO")</f>
        <v>NO</v>
      </c>
      <c r="AL239" s="255" t="str">
        <f>IF(ISNUMBER(SEARCH("R", 'Dry_Litterbag Placem_Collection'!AA166)),"YES","NO")</f>
        <v>NO</v>
      </c>
      <c r="AR239" t="s">
        <v>2043</v>
      </c>
      <c r="AT239" t="s">
        <v>627</v>
      </c>
    </row>
    <row r="240" spans="2:46">
      <c r="B240" t="str">
        <f>'Final data_for_R_analysis_Dryse'!A166</f>
        <v>Dry</v>
      </c>
      <c r="C240" s="263">
        <f>'Final data_for_R_analysis_Dryse'!B166</f>
        <v>165</v>
      </c>
      <c r="D240" t="s">
        <v>3851</v>
      </c>
      <c r="E240" t="s">
        <v>22</v>
      </c>
      <c r="F240" s="387">
        <v>5</v>
      </c>
      <c r="G240" s="16">
        <f>'Dry_Litterbag Placem_Collection'!E167</f>
        <v>42940</v>
      </c>
      <c r="H240" t="str">
        <f>'Final data_for_R_analysis_Dryse'!J166</f>
        <v>G85</v>
      </c>
      <c r="I240" t="str">
        <f>'Final data_for_R_analysis_Dryse'!J386</f>
        <v>R127</v>
      </c>
      <c r="J240">
        <f>IFERROR(INDEX('Green_rooibos initial weight'!$C$5:$C$1749,MATCH(H240, 'Green_rooibos initial weight'!$A$5:$A$1749,0)),"")</f>
        <v>2.1360000000000001</v>
      </c>
      <c r="K240">
        <f>IFERROR(INDEX('Green_rooibos initial weight'!$C$5:$C$1749,MATCH(I240, 'Green_rooibos initial weight'!$A$5:$A$1749,0)),"")</f>
        <v>2.1869999999999998</v>
      </c>
      <c r="L240" s="195">
        <f t="shared" si="29"/>
        <v>1.8862000000000001</v>
      </c>
      <c r="M240" s="240">
        <f>AVERAGE(Ashed_controlls!$K$1:$K$11)</f>
        <v>5.5147656768714146</v>
      </c>
      <c r="N240" s="195">
        <f t="shared" si="24"/>
        <v>1.7821804898028515</v>
      </c>
      <c r="O240" s="195">
        <f t="shared" si="30"/>
        <v>1.9371999999999998</v>
      </c>
      <c r="P240" s="240">
        <f>AVERAGE(Ashed_controlls!$K$12:$K$14)</f>
        <v>2.2816647271287041</v>
      </c>
      <c r="Q240" s="195">
        <f t="shared" si="25"/>
        <v>1.8929995909060626</v>
      </c>
      <c r="R240" s="16">
        <f>IF('Dry_Litterbag Placem_Collection'!G167="N.A","",'Dry_Litterbag Placem_Collection'!G167)</f>
        <v>43009</v>
      </c>
      <c r="S240" s="195">
        <f>IF(IFERROR(INDEX('Both teabags AfterDry'!$D$1:$D$839,MATCH(H240,'Both teabags AfterDry'!$A$1:$A$839,0)),"")="N.A","",(IFERROR(INDEX('Both teabags AfterDry'!$D$1:$D$839,MATCH(H240,'Both teabags AfterDry'!$A$1:$A$839,0)),"")))</f>
        <v>0.84360000000000002</v>
      </c>
      <c r="T240" s="195">
        <f>IF(IFERROR(INDEX('Both teabags AfterDry'!$D$1:$D$839,MATCH(I240,'Both teabags AfterDry'!$A$1:$A$839,0)),"")="N.A","",(IFERROR(INDEX('Both teabags AfterDry'!$D$1:$D$839,MATCH(I240,'Both teabags AfterDry'!$A$1:$A$839,0)),"")))</f>
        <v>1.7946</v>
      </c>
      <c r="U240" s="195">
        <f t="shared" si="31"/>
        <v>0.69300000000000006</v>
      </c>
      <c r="V240" s="195">
        <f t="shared" si="31"/>
        <v>1.6439999999999999</v>
      </c>
      <c r="W240" s="195">
        <f>IFERROR(INDEX('Ashed teabags dry'!$K$2:$K$821,MATCH(H240,'Ashed teabags dry'!$A$2:$A$821,0)),"")</f>
        <v>25.443786982247975</v>
      </c>
      <c r="X240" s="195">
        <f>IFERROR(INDEX('Ashed teabags dry'!$K$2:$K$821,MATCH(I240,'Ashed teabags dry'!$A$2:$A$821,0)),"")</f>
        <v>16.392649903288074</v>
      </c>
      <c r="Y240" s="195">
        <f t="shared" si="26"/>
        <v>0.51667455621302161</v>
      </c>
      <c r="Z240" s="195">
        <f t="shared" si="26"/>
        <v>1.3745048355899441</v>
      </c>
      <c r="AA240" s="195">
        <f t="shared" si="32"/>
        <v>0.71008853526941196</v>
      </c>
      <c r="AB240" s="195">
        <f t="shared" si="33"/>
        <v>0.46552122502222737</v>
      </c>
      <c r="AC240" s="195">
        <f t="shared" si="27"/>
        <v>0.72609885506211491</v>
      </c>
      <c r="AD240">
        <f t="shared" si="28"/>
        <v>69</v>
      </c>
      <c r="AE240" s="195">
        <f t="shared" si="34"/>
        <v>0.15666444742350116</v>
      </c>
      <c r="AF240" s="195">
        <f t="shared" si="35"/>
        <v>1.2864391734823748E-2</v>
      </c>
      <c r="AG240" s="255" t="str">
        <f>IF(ISNUMBER(SEARCH("C", 'Dry_Litterbag Placem_Collection'!AB167)),"YES","NO")</f>
        <v>NO</v>
      </c>
      <c r="AH240" s="255" t="str">
        <f>IF(ISNUMBER(SEARCH("H", 'Dry_Litterbag Placem_Collection'!AB167)),"YES","NO")</f>
        <v>NO</v>
      </c>
      <c r="AI240" s="255" t="str">
        <f>IF(ISNUMBER(SEARCH("R", 'Dry_Litterbag Placem_Collection'!AB167)),"YES","NO")</f>
        <v>NO</v>
      </c>
      <c r="AJ240" s="255" t="str">
        <f>IF(ISNUMBER(SEARCH("C", 'Dry_Litterbag Placem_Collection'!AA167)),"YES","NO")</f>
        <v>NO</v>
      </c>
      <c r="AK240" s="255" t="str">
        <f>IF(ISNUMBER(SEARCH("H", 'Dry_Litterbag Placem_Collection'!AA167)),"YES","NO")</f>
        <v>NO</v>
      </c>
      <c r="AL240" s="255" t="str">
        <f>IF(ISNUMBER(SEARCH("R", 'Dry_Litterbag Placem_Collection'!AA167)),"YES","NO")</f>
        <v>NO</v>
      </c>
      <c r="AR240" t="s">
        <v>1965</v>
      </c>
      <c r="AT240" t="s">
        <v>1014</v>
      </c>
    </row>
    <row r="241" spans="2:46">
      <c r="B241" t="str">
        <f>'Final data_for_R_analysis_Dryse'!A167</f>
        <v>Dry</v>
      </c>
      <c r="C241" s="263">
        <f>'Final data_for_R_analysis_Dryse'!B167</f>
        <v>166</v>
      </c>
      <c r="D241" t="s">
        <v>3851</v>
      </c>
      <c r="E241" t="s">
        <v>22</v>
      </c>
      <c r="F241" s="387">
        <v>6</v>
      </c>
      <c r="G241" s="16">
        <f>'Dry_Litterbag Placem_Collection'!E168</f>
        <v>42940</v>
      </c>
      <c r="H241" t="str">
        <f>'Final data_for_R_analysis_Dryse'!J167</f>
        <v>G1</v>
      </c>
      <c r="I241" t="str">
        <f>'Final data_for_R_analysis_Dryse'!J387</f>
        <v>R752</v>
      </c>
      <c r="J241">
        <f>IFERROR(INDEX('Green_rooibos initial weight'!$C$5:$C$1749,MATCH(H241, 'Green_rooibos initial weight'!$A$5:$A$1749,0)),"")</f>
        <v>1.9870000000000001</v>
      </c>
      <c r="K241">
        <f>IFERROR(INDEX('Green_rooibos initial weight'!$C$5:$C$1749,MATCH(I241, 'Green_rooibos initial weight'!$A$5:$A$1749,0)),"")</f>
        <v>2.1970000000000001</v>
      </c>
      <c r="L241" s="195">
        <f t="shared" si="29"/>
        <v>1.7372000000000001</v>
      </c>
      <c r="M241" s="240">
        <f>AVERAGE(Ashed_controlls!$K$1:$K$11)</f>
        <v>5.5147656768714146</v>
      </c>
      <c r="N241" s="195">
        <f t="shared" si="24"/>
        <v>1.64139749066139</v>
      </c>
      <c r="O241" s="195">
        <f t="shared" si="30"/>
        <v>1.9472</v>
      </c>
      <c r="P241" s="240">
        <f>AVERAGE(Ashed_controlls!$K$12:$K$14)</f>
        <v>2.2816647271287041</v>
      </c>
      <c r="Q241" s="195">
        <f t="shared" si="25"/>
        <v>1.90277142443335</v>
      </c>
      <c r="R241" s="16">
        <f>IF('Dry_Litterbag Placem_Collection'!G168="N.A","",'Dry_Litterbag Placem_Collection'!G168)</f>
        <v>43009</v>
      </c>
      <c r="S241" s="195">
        <f>IF(IFERROR(INDEX('Both teabags AfterDry'!$D$1:$D$839,MATCH(H241,'Both teabags AfterDry'!$A$1:$A$839,0)),"")="N.A","",(IFERROR(INDEX('Both teabags AfterDry'!$D$1:$D$839,MATCH(H241,'Both teabags AfterDry'!$A$1:$A$839,0)),"")))</f>
        <v>0.85040000000000004</v>
      </c>
      <c r="T241" s="195">
        <f>IF(IFERROR(INDEX('Both teabags AfterDry'!$D$1:$D$839,MATCH(I241,'Both teabags AfterDry'!$A$1:$A$839,0)),"")="N.A","",(IFERROR(INDEX('Both teabags AfterDry'!$D$1:$D$839,MATCH(I241,'Both teabags AfterDry'!$A$1:$A$839,0)),"")))</f>
        <v>1.6897</v>
      </c>
      <c r="U241" s="195">
        <f t="shared" si="31"/>
        <v>0.69979999999999998</v>
      </c>
      <c r="V241" s="195">
        <f t="shared" si="31"/>
        <v>1.5390999999999999</v>
      </c>
      <c r="W241" s="195">
        <f>IFERROR(INDEX('Ashed teabags dry'!$K$2:$K$821,MATCH(H241,'Ashed teabags dry'!$A$2:$A$821,0)),"")</f>
        <v>26.737451737451874</v>
      </c>
      <c r="X241" s="195">
        <f>IFERROR(INDEX('Ashed teabags dry'!$K$2:$K$821,MATCH(I241,'Ashed teabags dry'!$A$2:$A$821,0)),"")</f>
        <v>8.4949215143121215</v>
      </c>
      <c r="Y241" s="195">
        <f t="shared" si="26"/>
        <v>0.51269131274131174</v>
      </c>
      <c r="Z241" s="195">
        <f t="shared" si="26"/>
        <v>1.408354662973222</v>
      </c>
      <c r="AA241" s="195">
        <f t="shared" si="32"/>
        <v>0.6876495086301575</v>
      </c>
      <c r="AB241" s="195">
        <f t="shared" si="33"/>
        <v>0.45081060423259733</v>
      </c>
      <c r="AC241" s="195">
        <f t="shared" si="27"/>
        <v>0.74015966652044585</v>
      </c>
      <c r="AD241">
        <f t="shared" si="28"/>
        <v>69</v>
      </c>
      <c r="AE241" s="195">
        <f t="shared" si="34"/>
        <v>0.18331412276703385</v>
      </c>
      <c r="AF241" s="195">
        <f t="shared" si="35"/>
        <v>1.2448254197205201E-2</v>
      </c>
      <c r="AG241" s="255" t="str">
        <f>IF(ISNUMBER(SEARCH("C", 'Dry_Litterbag Placem_Collection'!AB168)),"YES","NO")</f>
        <v>NO</v>
      </c>
      <c r="AH241" s="255" t="str">
        <f>IF(ISNUMBER(SEARCH("H", 'Dry_Litterbag Placem_Collection'!AB168)),"YES","NO")</f>
        <v>NO</v>
      </c>
      <c r="AI241" s="255" t="str">
        <f>IF(ISNUMBER(SEARCH("R", 'Dry_Litterbag Placem_Collection'!AB168)),"YES","NO")</f>
        <v>NO</v>
      </c>
      <c r="AJ241" s="255" t="str">
        <f>IF(ISNUMBER(SEARCH("C", 'Dry_Litterbag Placem_Collection'!AA168)),"YES","NO")</f>
        <v>NO</v>
      </c>
      <c r="AK241" s="255" t="str">
        <f>IF(ISNUMBER(SEARCH("H", 'Dry_Litterbag Placem_Collection'!AA168)),"YES","NO")</f>
        <v>NO</v>
      </c>
      <c r="AL241" s="255" t="str">
        <f>IF(ISNUMBER(SEARCH("R", 'Dry_Litterbag Placem_Collection'!AA168)),"YES","NO")</f>
        <v>NO</v>
      </c>
      <c r="AR241" t="s">
        <v>2049</v>
      </c>
      <c r="AT241" t="s">
        <v>387</v>
      </c>
    </row>
    <row r="242" spans="2:46">
      <c r="B242" t="str">
        <f>'Final data_for_R_analysis_Dryse'!A168</f>
        <v>Dry</v>
      </c>
      <c r="C242" s="263">
        <f>'Final data_for_R_analysis_Dryse'!B168</f>
        <v>167</v>
      </c>
      <c r="D242" t="s">
        <v>3851</v>
      </c>
      <c r="E242" t="s">
        <v>22</v>
      </c>
      <c r="F242" s="387">
        <v>7</v>
      </c>
      <c r="G242" s="16">
        <f>'Dry_Litterbag Placem_Collection'!E169</f>
        <v>0</v>
      </c>
      <c r="H242" t="str">
        <f>'Final data_for_R_analysis_Dryse'!J168</f>
        <v/>
      </c>
      <c r="I242" t="str">
        <f>'Final data_for_R_analysis_Dryse'!J388</f>
        <v/>
      </c>
      <c r="J242" t="str">
        <f>IFERROR(INDEX('Green_rooibos initial weight'!$C$5:$C$1749,MATCH(H242, 'Green_rooibos initial weight'!$A$5:$A$1749,0)),"")</f>
        <v/>
      </c>
      <c r="K242" t="str">
        <f>IFERROR(INDEX('Green_rooibos initial weight'!$C$5:$C$1749,MATCH(I242, 'Green_rooibos initial weight'!$A$5:$A$1749,0)),"")</f>
        <v/>
      </c>
      <c r="L242" s="195" t="str">
        <f t="shared" si="29"/>
        <v/>
      </c>
      <c r="M242" s="240">
        <f>AVERAGE(Ashed_controlls!$K$1:$K$11)</f>
        <v>5.5147656768714146</v>
      </c>
      <c r="N242" s="195" t="str">
        <f t="shared" si="24"/>
        <v/>
      </c>
      <c r="O242" s="195" t="str">
        <f t="shared" si="30"/>
        <v/>
      </c>
      <c r="P242" s="240">
        <f>AVERAGE(Ashed_controlls!$K$12:$K$14)</f>
        <v>2.2816647271287041</v>
      </c>
      <c r="Q242" s="195" t="str">
        <f t="shared" si="25"/>
        <v/>
      </c>
      <c r="R242" s="16">
        <f>IF('Dry_Litterbag Placem_Collection'!G169="N.A","",'Dry_Litterbag Placem_Collection'!G169)</f>
        <v>0</v>
      </c>
      <c r="S242" s="195" t="str">
        <f>IF(IFERROR(INDEX('Both teabags AfterDry'!$D$1:$D$839,MATCH(H242,'Both teabags AfterDry'!$A$1:$A$839,0)),"")="N.A","",(IFERROR(INDEX('Both teabags AfterDry'!$D$1:$D$839,MATCH(H242,'Both teabags AfterDry'!$A$1:$A$839,0)),"")))</f>
        <v/>
      </c>
      <c r="T242" s="195" t="str">
        <f>IF(IFERROR(INDEX('Both teabags AfterDry'!$D$1:$D$839,MATCH(I242,'Both teabags AfterDry'!$A$1:$A$839,0)),"")="N.A","",(IFERROR(INDEX('Both teabags AfterDry'!$D$1:$D$839,MATCH(I242,'Both teabags AfterDry'!$A$1:$A$839,0)),"")))</f>
        <v/>
      </c>
      <c r="U242" s="195" t="str">
        <f t="shared" si="31"/>
        <v/>
      </c>
      <c r="V242" s="195" t="str">
        <f t="shared" si="31"/>
        <v/>
      </c>
      <c r="W242" s="195" t="str">
        <f>IFERROR(INDEX('Ashed teabags dry'!$K$2:$K$821,MATCH(H242,'Ashed teabags dry'!$A$2:$A$821,0)),"")</f>
        <v/>
      </c>
      <c r="X242" s="195" t="str">
        <f>IFERROR(INDEX('Ashed teabags dry'!$K$2:$K$821,MATCH(I242,'Ashed teabags dry'!$A$2:$A$821,0)),"")</f>
        <v/>
      </c>
      <c r="Y242" s="195" t="str">
        <f t="shared" si="26"/>
        <v/>
      </c>
      <c r="Z242" s="195" t="str">
        <f t="shared" si="26"/>
        <v/>
      </c>
      <c r="AA242" s="195" t="str">
        <f t="shared" si="32"/>
        <v/>
      </c>
      <c r="AB242" s="195" t="str">
        <f t="shared" si="33"/>
        <v/>
      </c>
      <c r="AC242" s="195" t="str">
        <f t="shared" si="27"/>
        <v/>
      </c>
      <c r="AD242" t="str">
        <f t="shared" si="28"/>
        <v/>
      </c>
      <c r="AE242" s="195" t="str">
        <f t="shared" si="34"/>
        <v/>
      </c>
      <c r="AF242" s="195" t="str">
        <f t="shared" si="35"/>
        <v/>
      </c>
      <c r="AG242" s="255" t="str">
        <f>IF(ISNUMBER(SEARCH("C", 'Dry_Litterbag Placem_Collection'!AB169)),"YES","NO")</f>
        <v>NO</v>
      </c>
      <c r="AH242" s="255" t="str">
        <f>IF(ISNUMBER(SEARCH("H", 'Dry_Litterbag Placem_Collection'!AB169)),"YES","NO")</f>
        <v>NO</v>
      </c>
      <c r="AI242" s="255" t="str">
        <f>IF(ISNUMBER(SEARCH("R", 'Dry_Litterbag Placem_Collection'!AB169)),"YES","NO")</f>
        <v>NO</v>
      </c>
      <c r="AJ242" s="255" t="str">
        <f>IF(ISNUMBER(SEARCH("C", 'Dry_Litterbag Placem_Collection'!AA169)),"YES","NO")</f>
        <v>NO</v>
      </c>
      <c r="AK242" s="255" t="str">
        <f>IF(ISNUMBER(SEARCH("H", 'Dry_Litterbag Placem_Collection'!AA169)),"YES","NO")</f>
        <v>NO</v>
      </c>
      <c r="AL242" s="255" t="str">
        <f>IF(ISNUMBER(SEARCH("R", 'Dry_Litterbag Placem_Collection'!AA169)),"YES","NO")</f>
        <v>NO</v>
      </c>
      <c r="AR242" t="s">
        <v>3654</v>
      </c>
      <c r="AT242" t="s">
        <v>3654</v>
      </c>
    </row>
    <row r="243" spans="2:46">
      <c r="B243" t="str">
        <f>'Final data_for_R_analysis_Dryse'!A169</f>
        <v>Dry</v>
      </c>
      <c r="C243" s="263">
        <f>'Final data_for_R_analysis_Dryse'!B169</f>
        <v>168</v>
      </c>
      <c r="D243" t="s">
        <v>3851</v>
      </c>
      <c r="E243" t="s">
        <v>22</v>
      </c>
      <c r="F243" s="387">
        <v>8</v>
      </c>
      <c r="G243" s="16">
        <f>'Dry_Litterbag Placem_Collection'!E170</f>
        <v>42940</v>
      </c>
      <c r="H243" t="str">
        <f>'Final data_for_R_analysis_Dryse'!J169</f>
        <v>G70</v>
      </c>
      <c r="I243" t="str">
        <f>'Final data_for_R_analysis_Dryse'!J389</f>
        <v>R690</v>
      </c>
      <c r="J243">
        <f>IFERROR(INDEX('Green_rooibos initial weight'!$C$5:$C$1749,MATCH(H243, 'Green_rooibos initial weight'!$A$5:$A$1749,0)),"")</f>
        <v>2.0939999999999999</v>
      </c>
      <c r="K243">
        <f>IFERROR(INDEX('Green_rooibos initial weight'!$C$5:$C$1749,MATCH(I243, 'Green_rooibos initial weight'!$A$5:$A$1749,0)),"")</f>
        <v>2.141</v>
      </c>
      <c r="L243" s="195">
        <f t="shared" si="29"/>
        <v>1.8441999999999998</v>
      </c>
      <c r="M243" s="240">
        <f>AVERAGE(Ashed_controlls!$K$1:$K$11)</f>
        <v>5.5147656768714146</v>
      </c>
      <c r="N243" s="195">
        <f t="shared" si="24"/>
        <v>1.7424966913871371</v>
      </c>
      <c r="O243" s="195">
        <f t="shared" si="30"/>
        <v>1.8912</v>
      </c>
      <c r="P243" s="240">
        <f>AVERAGE(Ashed_controlls!$K$12:$K$14)</f>
        <v>2.2816647271287041</v>
      </c>
      <c r="Q243" s="195">
        <f t="shared" si="25"/>
        <v>1.8480491566805419</v>
      </c>
      <c r="R243" s="16">
        <f>IF('Dry_Litterbag Placem_Collection'!G170="N.A","",'Dry_Litterbag Placem_Collection'!G170)</f>
        <v>43009</v>
      </c>
      <c r="S243" s="195" t="str">
        <f>IF(IFERROR(INDEX('Both teabags AfterDry'!$D$1:$D$839,MATCH(H243,'Both teabags AfterDry'!$A$1:$A$839,0)),"")="N.A","",(IFERROR(INDEX('Both teabags AfterDry'!$D$1:$D$839,MATCH(H243,'Both teabags AfterDry'!$A$1:$A$839,0)),"")))</f>
        <v/>
      </c>
      <c r="T243" s="195" t="str">
        <f>IF(IFERROR(INDEX('Both teabags AfterDry'!$D$1:$D$839,MATCH(I243,'Both teabags AfterDry'!$A$1:$A$839,0)),"")="N.A","",(IFERROR(INDEX('Both teabags AfterDry'!$D$1:$D$839,MATCH(I243,'Both teabags AfterDry'!$A$1:$A$839,0)),"")))</f>
        <v/>
      </c>
      <c r="U243" s="195" t="str">
        <f t="shared" si="31"/>
        <v/>
      </c>
      <c r="V243" s="195" t="str">
        <f t="shared" si="31"/>
        <v/>
      </c>
      <c r="W243" s="195" t="str">
        <f>IFERROR(INDEX('Ashed teabags dry'!$K$2:$K$821,MATCH(H243,'Ashed teabags dry'!$A$2:$A$821,0)),"")</f>
        <v/>
      </c>
      <c r="X243" s="195" t="str">
        <f>IFERROR(INDEX('Ashed teabags dry'!$K$2:$K$821,MATCH(I243,'Ashed teabags dry'!$A$2:$A$821,0)),"")</f>
        <v/>
      </c>
      <c r="Y243" s="195" t="str">
        <f t="shared" si="26"/>
        <v/>
      </c>
      <c r="Z243" s="195" t="str">
        <f t="shared" si="26"/>
        <v/>
      </c>
      <c r="AA243" s="195" t="str">
        <f t="shared" si="32"/>
        <v/>
      </c>
      <c r="AB243" s="195" t="str">
        <f t="shared" si="33"/>
        <v/>
      </c>
      <c r="AC243" s="195" t="str">
        <f t="shared" si="27"/>
        <v/>
      </c>
      <c r="AD243">
        <f t="shared" si="28"/>
        <v>69</v>
      </c>
      <c r="AE243" s="195" t="str">
        <f t="shared" si="34"/>
        <v/>
      </c>
      <c r="AF243" s="195" t="str">
        <f t="shared" si="35"/>
        <v/>
      </c>
      <c r="AG243" s="255" t="str">
        <f>IF(ISNUMBER(SEARCH("C", 'Dry_Litterbag Placem_Collection'!AB170)),"YES","NO")</f>
        <v>NO</v>
      </c>
      <c r="AH243" s="255" t="str">
        <f>IF(ISNUMBER(SEARCH("H", 'Dry_Litterbag Placem_Collection'!AB170)),"YES","NO")</f>
        <v>NO</v>
      </c>
      <c r="AI243" s="255" t="str">
        <f>IF(ISNUMBER(SEARCH("R", 'Dry_Litterbag Placem_Collection'!AB170)),"YES","NO")</f>
        <v>NO</v>
      </c>
      <c r="AJ243" s="255" t="str">
        <f>IF(ISNUMBER(SEARCH("C", 'Dry_Litterbag Placem_Collection'!AA170)),"YES","NO")</f>
        <v>NO</v>
      </c>
      <c r="AK243" s="255" t="str">
        <f>IF(ISNUMBER(SEARCH("H", 'Dry_Litterbag Placem_Collection'!AA170)),"YES","NO")</f>
        <v>NO</v>
      </c>
      <c r="AL243" s="255" t="str">
        <f>IF(ISNUMBER(SEARCH("R", 'Dry_Litterbag Placem_Collection'!AA170)),"YES","NO")</f>
        <v>NO</v>
      </c>
      <c r="AR243" t="s">
        <v>1980</v>
      </c>
      <c r="AT243" t="s">
        <v>449</v>
      </c>
    </row>
    <row r="244" spans="2:46">
      <c r="B244" t="str">
        <f>'Final data_for_R_analysis_Dryse'!A170</f>
        <v>Dry</v>
      </c>
      <c r="C244" s="263">
        <f>'Final data_for_R_analysis_Dryse'!B170</f>
        <v>169</v>
      </c>
      <c r="D244" t="s">
        <v>3853</v>
      </c>
      <c r="E244" t="s">
        <v>22</v>
      </c>
      <c r="F244" s="386">
        <v>1</v>
      </c>
      <c r="G244" s="16">
        <f>'Dry_Litterbag Placem_Collection'!E171</f>
        <v>42940</v>
      </c>
      <c r="H244" t="str">
        <f>'Final data_for_R_analysis_Dryse'!J170</f>
        <v>G250</v>
      </c>
      <c r="I244" t="str">
        <f>'Final data_for_R_analysis_Dryse'!J390</f>
        <v>R684</v>
      </c>
      <c r="J244">
        <f>IFERROR(INDEX('Green_rooibos initial weight'!$C$5:$C$1749,MATCH(H244, 'Green_rooibos initial weight'!$A$5:$A$1749,0)),"")</f>
        <v>2.0139999999999998</v>
      </c>
      <c r="K244">
        <f>IFERROR(INDEX('Green_rooibos initial weight'!$C$5:$C$1749,MATCH(I244, 'Green_rooibos initial weight'!$A$5:$A$1749,0)),"")</f>
        <v>2.1139999999999999</v>
      </c>
      <c r="L244" s="195">
        <f t="shared" si="29"/>
        <v>1.7641999999999998</v>
      </c>
      <c r="M244" s="240">
        <f>AVERAGE(Ashed_controlls!$K$1:$K$11)</f>
        <v>5.5147656768714146</v>
      </c>
      <c r="N244" s="195">
        <f t="shared" si="24"/>
        <v>1.6669085039286342</v>
      </c>
      <c r="O244" s="195">
        <f t="shared" si="30"/>
        <v>1.8641999999999999</v>
      </c>
      <c r="P244" s="240">
        <f>AVERAGE(Ashed_controlls!$K$12:$K$14)</f>
        <v>2.2816647271287041</v>
      </c>
      <c r="Q244" s="195">
        <f t="shared" si="25"/>
        <v>1.8216652061568666</v>
      </c>
      <c r="R244" s="16">
        <f>IF('Dry_Litterbag Placem_Collection'!G171="N.A","",'Dry_Litterbag Placem_Collection'!G171)</f>
        <v>43009</v>
      </c>
      <c r="S244" s="195">
        <f>IF(IFERROR(INDEX('Both teabags AfterDry'!$D$1:$D$839,MATCH(H244,'Both teabags AfterDry'!$A$1:$A$839,0)),"")="N.A","",(IFERROR(INDEX('Both teabags AfterDry'!$D$1:$D$839,MATCH(H244,'Both teabags AfterDry'!$A$1:$A$839,0)),"")))</f>
        <v>0.80610000000000004</v>
      </c>
      <c r="T244" s="195">
        <f>IF(IFERROR(INDEX('Both teabags AfterDry'!$D$1:$D$839,MATCH(I244,'Both teabags AfterDry'!$A$1:$A$839,0)),"")="N.A","",(IFERROR(INDEX('Both teabags AfterDry'!$D$1:$D$839,MATCH(I244,'Both teabags AfterDry'!$A$1:$A$839,0)),"")))</f>
        <v>1.8154999999999999</v>
      </c>
      <c r="U244" s="195">
        <f t="shared" si="31"/>
        <v>0.65549999999999997</v>
      </c>
      <c r="V244" s="195">
        <f t="shared" si="31"/>
        <v>1.6648999999999998</v>
      </c>
      <c r="W244" s="195">
        <f>IFERROR(INDEX('Ashed teabags dry'!$K$2:$K$821,MATCH(H244,'Ashed teabags dry'!$A$2:$A$821,0)),"")</f>
        <v>17.823265102348216</v>
      </c>
      <c r="X244" s="195">
        <f>IFERROR(INDEX('Ashed teabags dry'!$K$2:$K$821,MATCH(I244,'Ashed teabags dry'!$A$2:$A$821,0)),"")</f>
        <v>11.642512077294652</v>
      </c>
      <c r="Y244" s="195">
        <f t="shared" si="26"/>
        <v>0.53866849725410737</v>
      </c>
      <c r="Z244" s="195">
        <f t="shared" si="26"/>
        <v>1.4710638164251213</v>
      </c>
      <c r="AA244" s="195">
        <f t="shared" si="32"/>
        <v>0.67684579208483686</v>
      </c>
      <c r="AB244" s="195">
        <f t="shared" si="33"/>
        <v>0.44372788269694774</v>
      </c>
      <c r="AC244" s="195">
        <f t="shared" si="27"/>
        <v>0.80753796661055932</v>
      </c>
      <c r="AD244">
        <f t="shared" si="28"/>
        <v>69</v>
      </c>
      <c r="AE244" s="195">
        <f t="shared" si="34"/>
        <v>0.19614514004176142</v>
      </c>
      <c r="AF244" s="195">
        <f t="shared" si="35"/>
        <v>8.2420283845384256E-3</v>
      </c>
      <c r="AG244" s="255" t="str">
        <f>IF(ISNUMBER(SEARCH("C", 'Dry_Litterbag Placem_Collection'!AB171)),"YES","NO")</f>
        <v>NO</v>
      </c>
      <c r="AH244" s="255" t="str">
        <f>IF(ISNUMBER(SEARCH("H", 'Dry_Litterbag Placem_Collection'!AB171)),"YES","NO")</f>
        <v>NO</v>
      </c>
      <c r="AI244" s="255" t="str">
        <f>IF(ISNUMBER(SEARCH("R", 'Dry_Litterbag Placem_Collection'!AB171)),"YES","NO")</f>
        <v>NO</v>
      </c>
      <c r="AJ244" s="255" t="str">
        <f>IF(ISNUMBER(SEARCH("C", 'Dry_Litterbag Placem_Collection'!AA171)),"YES","NO")</f>
        <v>NO</v>
      </c>
      <c r="AK244" s="255" t="str">
        <f>IF(ISNUMBER(SEARCH("H", 'Dry_Litterbag Placem_Collection'!AA171)),"YES","NO")</f>
        <v>NO</v>
      </c>
      <c r="AL244" s="255" t="str">
        <f>IF(ISNUMBER(SEARCH("R", 'Dry_Litterbag Placem_Collection'!AA171)),"YES","NO")</f>
        <v>NO</v>
      </c>
      <c r="AR244" t="s">
        <v>1800</v>
      </c>
      <c r="AT244" t="s">
        <v>455</v>
      </c>
    </row>
    <row r="245" spans="2:46">
      <c r="B245" t="str">
        <f>'Final data_for_R_analysis_Dryse'!A171</f>
        <v>Dry</v>
      </c>
      <c r="C245" s="263">
        <f>'Final data_for_R_analysis_Dryse'!B171</f>
        <v>170</v>
      </c>
      <c r="D245" t="s">
        <v>3853</v>
      </c>
      <c r="E245" t="s">
        <v>22</v>
      </c>
      <c r="F245" s="386">
        <v>2</v>
      </c>
      <c r="G245" s="16">
        <f>'Dry_Litterbag Placem_Collection'!E172</f>
        <v>42940</v>
      </c>
      <c r="H245" t="str">
        <f>'Final data_for_R_analysis_Dryse'!J171</f>
        <v>G624</v>
      </c>
      <c r="I245" t="str">
        <f>'Final data_for_R_analysis_Dryse'!J391</f>
        <v>R694</v>
      </c>
      <c r="J245">
        <f>IFERROR(INDEX('Green_rooibos initial weight'!$C$5:$C$1749,MATCH(H245, 'Green_rooibos initial weight'!$A$5:$A$1749,0)),"")</f>
        <v>2.024</v>
      </c>
      <c r="K245">
        <f>IFERROR(INDEX('Green_rooibos initial weight'!$C$5:$C$1749,MATCH(I245, 'Green_rooibos initial weight'!$A$5:$A$1749,0)),"")</f>
        <v>2.23</v>
      </c>
      <c r="L245" s="195">
        <f t="shared" si="29"/>
        <v>1.7742</v>
      </c>
      <c r="M245" s="240">
        <f>AVERAGE(Ashed_controlls!$K$1:$K$11)</f>
        <v>5.5147656768714146</v>
      </c>
      <c r="N245" s="195">
        <f t="shared" si="24"/>
        <v>1.6763570273609474</v>
      </c>
      <c r="O245" s="195">
        <f t="shared" si="30"/>
        <v>1.9802</v>
      </c>
      <c r="P245" s="240">
        <f>AVERAGE(Ashed_controlls!$K$12:$K$14)</f>
        <v>2.2816647271287041</v>
      </c>
      <c r="Q245" s="195">
        <f t="shared" si="25"/>
        <v>1.9350184750733974</v>
      </c>
      <c r="R245" s="16">
        <f>IF('Dry_Litterbag Placem_Collection'!G172="N.A","",'Dry_Litterbag Placem_Collection'!G172)</f>
        <v>43009</v>
      </c>
      <c r="S245" s="195">
        <f>IF(IFERROR(INDEX('Both teabags AfterDry'!$D$1:$D$839,MATCH(H245,'Both teabags AfterDry'!$A$1:$A$839,0)),"")="N.A","",(IFERROR(INDEX('Both teabags AfterDry'!$D$1:$D$839,MATCH(H245,'Both teabags AfterDry'!$A$1:$A$839,0)),"")))</f>
        <v>0.94779999999999998</v>
      </c>
      <c r="T245" s="195">
        <f>IF(IFERROR(INDEX('Both teabags AfterDry'!$D$1:$D$839,MATCH(I245,'Both teabags AfterDry'!$A$1:$A$839,0)),"")="N.A","",(IFERROR(INDEX('Both teabags AfterDry'!$D$1:$D$839,MATCH(I245,'Both teabags AfterDry'!$A$1:$A$839,0)),"")))</f>
        <v>1.7605</v>
      </c>
      <c r="U245" s="195">
        <f t="shared" si="31"/>
        <v>0.79719999999999991</v>
      </c>
      <c r="V245" s="195">
        <f t="shared" si="31"/>
        <v>1.6098999999999999</v>
      </c>
      <c r="W245" s="195">
        <f>IFERROR(INDEX('Ashed teabags dry'!$K$2:$K$821,MATCH(H245,'Ashed teabags dry'!$A$2:$A$821,0)),"")</f>
        <v>29.054385105340501</v>
      </c>
      <c r="X245" s="195">
        <f>IFERROR(INDEX('Ashed teabags dry'!$K$2:$K$821,MATCH(I245,'Ashed teabags dry'!$A$2:$A$821,0)),"")</f>
        <v>4.9253731343281189</v>
      </c>
      <c r="Y245" s="195">
        <f t="shared" si="26"/>
        <v>0.56557844194022544</v>
      </c>
      <c r="Z245" s="195">
        <f t="shared" si="26"/>
        <v>1.5306064179104515</v>
      </c>
      <c r="AA245" s="195">
        <f t="shared" si="32"/>
        <v>0.66261456676051678</v>
      </c>
      <c r="AB245" s="195">
        <f t="shared" si="33"/>
        <v>0.4343981482800538</v>
      </c>
      <c r="AC245" s="195">
        <f t="shared" si="27"/>
        <v>0.79100351631133337</v>
      </c>
      <c r="AD245">
        <f t="shared" si="28"/>
        <v>69</v>
      </c>
      <c r="AE245" s="195">
        <f t="shared" si="34"/>
        <v>0.21304683282598957</v>
      </c>
      <c r="AF245" s="195">
        <f t="shared" si="35"/>
        <v>9.508369844495922E-3</v>
      </c>
      <c r="AG245" s="255" t="str">
        <f>IF(ISNUMBER(SEARCH("C", 'Dry_Litterbag Placem_Collection'!AB172)),"YES","NO")</f>
        <v>NO</v>
      </c>
      <c r="AH245" s="255" t="str">
        <f>IF(ISNUMBER(SEARCH("H", 'Dry_Litterbag Placem_Collection'!AB172)),"YES","NO")</f>
        <v>NO</v>
      </c>
      <c r="AI245" s="255" t="str">
        <f>IF(ISNUMBER(SEARCH("R", 'Dry_Litterbag Placem_Collection'!AB172)),"YES","NO")</f>
        <v>NO</v>
      </c>
      <c r="AJ245" s="255" t="str">
        <f>IF(ISNUMBER(SEARCH("C", 'Dry_Litterbag Placem_Collection'!AA172)),"YES","NO")</f>
        <v>NO</v>
      </c>
      <c r="AK245" s="255" t="str">
        <f>IF(ISNUMBER(SEARCH("H", 'Dry_Litterbag Placem_Collection'!AA172)),"YES","NO")</f>
        <v>NO</v>
      </c>
      <c r="AL245" s="255" t="str">
        <f>IF(ISNUMBER(SEARCH("R", 'Dry_Litterbag Placem_Collection'!AA172)),"YES","NO")</f>
        <v>NO</v>
      </c>
      <c r="AR245" t="s">
        <v>1426</v>
      </c>
      <c r="AT245" t="s">
        <v>445</v>
      </c>
    </row>
    <row r="246" spans="2:46">
      <c r="B246" t="str">
        <f>'Final data_for_R_analysis_Dryse'!A172</f>
        <v>Dry</v>
      </c>
      <c r="C246" s="263">
        <f>'Final data_for_R_analysis_Dryse'!B172</f>
        <v>171</v>
      </c>
      <c r="D246" t="s">
        <v>3853</v>
      </c>
      <c r="E246" t="s">
        <v>22</v>
      </c>
      <c r="F246" s="386">
        <v>3</v>
      </c>
      <c r="G246" s="16">
        <f>'Dry_Litterbag Placem_Collection'!E173</f>
        <v>42940</v>
      </c>
      <c r="H246" t="str">
        <f>'Final data_for_R_analysis_Dryse'!J172</f>
        <v>G149</v>
      </c>
      <c r="I246" t="str">
        <f>'Final data_for_R_analysis_Dryse'!J392</f>
        <v>R655</v>
      </c>
      <c r="J246">
        <f>IFERROR(INDEX('Green_rooibos initial weight'!$C$5:$C$1749,MATCH(H246, 'Green_rooibos initial weight'!$A$5:$A$1749,0)),"")</f>
        <v>2.1789999999999998</v>
      </c>
      <c r="K246">
        <f>IFERROR(INDEX('Green_rooibos initial weight'!$C$5:$C$1749,MATCH(I246, 'Green_rooibos initial weight'!$A$5:$A$1749,0)),"")</f>
        <v>2.1779999999999999</v>
      </c>
      <c r="L246" s="195">
        <f t="shared" si="29"/>
        <v>1.9291999999999998</v>
      </c>
      <c r="M246" s="240">
        <f>AVERAGE(Ashed_controlls!$K$1:$K$11)</f>
        <v>5.5147656768714146</v>
      </c>
      <c r="N246" s="195">
        <f t="shared" si="24"/>
        <v>1.8228091405617965</v>
      </c>
      <c r="O246" s="195">
        <f t="shared" si="30"/>
        <v>1.9281999999999999</v>
      </c>
      <c r="P246" s="240">
        <f>AVERAGE(Ashed_controlls!$K$12:$K$14)</f>
        <v>2.2816647271287041</v>
      </c>
      <c r="Q246" s="195">
        <f t="shared" si="25"/>
        <v>1.8842049407315042</v>
      </c>
      <c r="R246" s="16">
        <f>IF('Dry_Litterbag Placem_Collection'!G173="N.A","",'Dry_Litterbag Placem_Collection'!G173)</f>
        <v>43009</v>
      </c>
      <c r="S246" s="195">
        <f>IF(IFERROR(INDEX('Both teabags AfterDry'!$D$1:$D$839,MATCH(H246,'Both teabags AfterDry'!$A$1:$A$839,0)),"")="N.A","",(IFERROR(INDEX('Both teabags AfterDry'!$D$1:$D$839,MATCH(H246,'Both teabags AfterDry'!$A$1:$A$839,0)),"")))</f>
        <v>0.75890000000000002</v>
      </c>
      <c r="T246" s="195">
        <f>IF(IFERROR(INDEX('Both teabags AfterDry'!$D$1:$D$839,MATCH(I246,'Both teabags AfterDry'!$A$1:$A$839,0)),"")="N.A","",(IFERROR(INDEX('Both teabags AfterDry'!$D$1:$D$839,MATCH(I246,'Both teabags AfterDry'!$A$1:$A$839,0)),"")))</f>
        <v>3.7545000000000002</v>
      </c>
      <c r="U246" s="195">
        <f t="shared" si="31"/>
        <v>0.60830000000000006</v>
      </c>
      <c r="V246" s="195">
        <f t="shared" si="31"/>
        <v>3.6039000000000003</v>
      </c>
      <c r="W246" s="195">
        <f>IFERROR(INDEX('Ashed teabags dry'!$K$2:$K$821,MATCH(H246,'Ashed teabags dry'!$A$2:$A$821,0)),"")</f>
        <v>19.04525111884687</v>
      </c>
      <c r="X246" s="195">
        <f>IFERROR(INDEX('Ashed teabags dry'!$K$2:$K$821,MATCH(I246,'Ashed teabags dry'!$A$2:$A$821,0)),"")</f>
        <v>89.436947417404014</v>
      </c>
      <c r="Y246" s="195">
        <f t="shared" si="26"/>
        <v>0.49244773744405457</v>
      </c>
      <c r="Z246" s="195">
        <f t="shared" si="26"/>
        <v>0.38068185202417704</v>
      </c>
      <c r="AA246" s="195">
        <f t="shared" si="32"/>
        <v>0.72984130566062433</v>
      </c>
      <c r="AB246" s="195">
        <f t="shared" si="33"/>
        <v>0.47847078470862792</v>
      </c>
      <c r="AC246" s="195">
        <f t="shared" si="27"/>
        <v>0.20203845335231158</v>
      </c>
      <c r="AD246">
        <f t="shared" si="28"/>
        <v>69</v>
      </c>
      <c r="AE246" s="195">
        <f t="shared" si="34"/>
        <v>0.13320510016552922</v>
      </c>
      <c r="AF246" s="195" t="str">
        <f t="shared" si="35"/>
        <v/>
      </c>
      <c r="AG246" s="255" t="str">
        <f>IF(ISNUMBER(SEARCH("C", 'Dry_Litterbag Placem_Collection'!AB173)),"YES","NO")</f>
        <v>NO</v>
      </c>
      <c r="AH246" s="255" t="str">
        <f>IF(ISNUMBER(SEARCH("H", 'Dry_Litterbag Placem_Collection'!AB173)),"YES","NO")</f>
        <v>NO</v>
      </c>
      <c r="AI246" s="255" t="str">
        <f>IF(ISNUMBER(SEARCH("R", 'Dry_Litterbag Placem_Collection'!AB173)),"YES","NO")</f>
        <v>NO</v>
      </c>
      <c r="AJ246" s="255" t="str">
        <f>IF(ISNUMBER(SEARCH("C", 'Dry_Litterbag Placem_Collection'!AA173)),"YES","NO")</f>
        <v>NO</v>
      </c>
      <c r="AK246" s="255" t="str">
        <f>IF(ISNUMBER(SEARCH("H", 'Dry_Litterbag Placem_Collection'!AA173)),"YES","NO")</f>
        <v>NO</v>
      </c>
      <c r="AL246" s="255" t="str">
        <f>IF(ISNUMBER(SEARCH("R", 'Dry_Litterbag Placem_Collection'!AA173)),"YES","NO")</f>
        <v>NO</v>
      </c>
      <c r="AR246" t="s">
        <v>1901</v>
      </c>
      <c r="AT246" t="s">
        <v>484</v>
      </c>
    </row>
    <row r="247" spans="2:46">
      <c r="B247" t="str">
        <f>'Final data_for_R_analysis_Dryse'!A173</f>
        <v>Dry</v>
      </c>
      <c r="C247" s="263">
        <f>'Final data_for_R_analysis_Dryse'!B173</f>
        <v>172</v>
      </c>
      <c r="D247" t="s">
        <v>3853</v>
      </c>
      <c r="E247" t="s">
        <v>22</v>
      </c>
      <c r="F247" s="387">
        <v>4</v>
      </c>
      <c r="G247" s="16">
        <f>'Dry_Litterbag Placem_Collection'!E174</f>
        <v>0</v>
      </c>
      <c r="H247" t="str">
        <f>'Final data_for_R_analysis_Dryse'!J173</f>
        <v/>
      </c>
      <c r="I247" t="str">
        <f>'Final data_for_R_analysis_Dryse'!J393</f>
        <v/>
      </c>
      <c r="J247" t="str">
        <f>IFERROR(INDEX('Green_rooibos initial weight'!$C$5:$C$1749,MATCH(H247, 'Green_rooibos initial weight'!$A$5:$A$1749,0)),"")</f>
        <v/>
      </c>
      <c r="K247" t="str">
        <f>IFERROR(INDEX('Green_rooibos initial weight'!$C$5:$C$1749,MATCH(I247, 'Green_rooibos initial weight'!$A$5:$A$1749,0)),"")</f>
        <v/>
      </c>
      <c r="L247" s="195" t="str">
        <f t="shared" si="29"/>
        <v/>
      </c>
      <c r="M247" s="240">
        <f>AVERAGE(Ashed_controlls!$K$1:$K$11)</f>
        <v>5.5147656768714146</v>
      </c>
      <c r="N247" s="195" t="str">
        <f t="shared" si="24"/>
        <v/>
      </c>
      <c r="O247" s="195" t="str">
        <f t="shared" si="30"/>
        <v/>
      </c>
      <c r="P247" s="240">
        <f>AVERAGE(Ashed_controlls!$K$12:$K$14)</f>
        <v>2.2816647271287041</v>
      </c>
      <c r="Q247" s="195" t="str">
        <f t="shared" si="25"/>
        <v/>
      </c>
      <c r="R247" s="16">
        <f>IF('Dry_Litterbag Placem_Collection'!G174="N.A","",'Dry_Litterbag Placem_Collection'!G174)</f>
        <v>0</v>
      </c>
      <c r="S247" s="195" t="str">
        <f>IF(IFERROR(INDEX('Both teabags AfterDry'!$D$1:$D$839,MATCH(H247,'Both teabags AfterDry'!$A$1:$A$839,0)),"")="N.A","",(IFERROR(INDEX('Both teabags AfterDry'!$D$1:$D$839,MATCH(H247,'Both teabags AfterDry'!$A$1:$A$839,0)),"")))</f>
        <v/>
      </c>
      <c r="T247" s="195" t="str">
        <f>IF(IFERROR(INDEX('Both teabags AfterDry'!$D$1:$D$839,MATCH(I247,'Both teabags AfterDry'!$A$1:$A$839,0)),"")="N.A","",(IFERROR(INDEX('Both teabags AfterDry'!$D$1:$D$839,MATCH(I247,'Both teabags AfterDry'!$A$1:$A$839,0)),"")))</f>
        <v/>
      </c>
      <c r="U247" s="195" t="str">
        <f t="shared" si="31"/>
        <v/>
      </c>
      <c r="V247" s="195" t="str">
        <f t="shared" si="31"/>
        <v/>
      </c>
      <c r="W247" s="195" t="str">
        <f>IFERROR(INDEX('Ashed teabags dry'!$K$2:$K$821,MATCH(H247,'Ashed teabags dry'!$A$2:$A$821,0)),"")</f>
        <v/>
      </c>
      <c r="X247" s="195" t="str">
        <f>IFERROR(INDEX('Ashed teabags dry'!$K$2:$K$821,MATCH(I247,'Ashed teabags dry'!$A$2:$A$821,0)),"")</f>
        <v/>
      </c>
      <c r="Y247" s="195" t="str">
        <f t="shared" si="26"/>
        <v/>
      </c>
      <c r="Z247" s="195" t="str">
        <f t="shared" si="26"/>
        <v/>
      </c>
      <c r="AA247" s="195" t="str">
        <f t="shared" si="32"/>
        <v/>
      </c>
      <c r="AB247" s="195" t="str">
        <f t="shared" si="33"/>
        <v/>
      </c>
      <c r="AC247" s="195" t="str">
        <f t="shared" si="27"/>
        <v/>
      </c>
      <c r="AD247" t="str">
        <f t="shared" si="28"/>
        <v/>
      </c>
      <c r="AE247" s="195" t="str">
        <f t="shared" si="34"/>
        <v/>
      </c>
      <c r="AF247" s="195" t="str">
        <f t="shared" si="35"/>
        <v/>
      </c>
      <c r="AG247" s="255" t="str">
        <f>IF(ISNUMBER(SEARCH("C", 'Dry_Litterbag Placem_Collection'!AB174)),"YES","NO")</f>
        <v>NO</v>
      </c>
      <c r="AH247" s="255" t="str">
        <f>IF(ISNUMBER(SEARCH("H", 'Dry_Litterbag Placem_Collection'!AB174)),"YES","NO")</f>
        <v>NO</v>
      </c>
      <c r="AI247" s="255" t="str">
        <f>IF(ISNUMBER(SEARCH("R", 'Dry_Litterbag Placem_Collection'!AB174)),"YES","NO")</f>
        <v>NO</v>
      </c>
      <c r="AJ247" s="255" t="str">
        <f>IF(ISNUMBER(SEARCH("C", 'Dry_Litterbag Placem_Collection'!AA174)),"YES","NO")</f>
        <v>NO</v>
      </c>
      <c r="AK247" s="255" t="str">
        <f>IF(ISNUMBER(SEARCH("H", 'Dry_Litterbag Placem_Collection'!AA174)),"YES","NO")</f>
        <v>NO</v>
      </c>
      <c r="AL247" s="255" t="str">
        <f>IF(ISNUMBER(SEARCH("R", 'Dry_Litterbag Placem_Collection'!AA174)),"YES","NO")</f>
        <v>NO</v>
      </c>
      <c r="AR247" t="s">
        <v>3654</v>
      </c>
      <c r="AT247" t="s">
        <v>3654</v>
      </c>
    </row>
    <row r="248" spans="2:46">
      <c r="B248" t="str">
        <f>'Final data_for_R_analysis_Dryse'!A174</f>
        <v>Dry</v>
      </c>
      <c r="C248" s="263">
        <f>'Final data_for_R_analysis_Dryse'!B174</f>
        <v>173</v>
      </c>
      <c r="D248" t="s">
        <v>3853</v>
      </c>
      <c r="E248" t="s">
        <v>22</v>
      </c>
      <c r="F248" s="387">
        <v>5</v>
      </c>
      <c r="G248" s="16">
        <f>'Dry_Litterbag Placem_Collection'!E175</f>
        <v>42940</v>
      </c>
      <c r="H248" t="str">
        <f>'Final data_for_R_analysis_Dryse'!J174</f>
        <v>G597</v>
      </c>
      <c r="I248" t="str">
        <f>'Final data_for_R_analysis_Dryse'!J394</f>
        <v>R405</v>
      </c>
      <c r="J248">
        <f>IFERROR(INDEX('Green_rooibos initial weight'!$C$5:$C$1749,MATCH(H248, 'Green_rooibos initial weight'!$A$5:$A$1749,0)),"")</f>
        <v>1.948</v>
      </c>
      <c r="K248">
        <f>IFERROR(INDEX('Green_rooibos initial weight'!$C$5:$C$1749,MATCH(I248, 'Green_rooibos initial weight'!$A$5:$A$1749,0)),"")</f>
        <v>2.2400000000000002</v>
      </c>
      <c r="L248" s="195">
        <f t="shared" si="29"/>
        <v>1.6981999999999999</v>
      </c>
      <c r="M248" s="240">
        <f>AVERAGE(Ashed_controlls!$K$1:$K$11)</f>
        <v>5.5147656768714146</v>
      </c>
      <c r="N248" s="195">
        <f t="shared" si="24"/>
        <v>1.6045482492753695</v>
      </c>
      <c r="O248" s="195">
        <f t="shared" si="30"/>
        <v>1.9902000000000002</v>
      </c>
      <c r="P248" s="240">
        <f>AVERAGE(Ashed_controlls!$K$12:$K$14)</f>
        <v>2.2816647271287041</v>
      </c>
      <c r="Q248" s="195">
        <f t="shared" si="25"/>
        <v>1.9447903086006848</v>
      </c>
      <c r="R248" s="16">
        <f>IF('Dry_Litterbag Placem_Collection'!G175="N.A","",'Dry_Litterbag Placem_Collection'!G175)</f>
        <v>43009</v>
      </c>
      <c r="S248" s="195" t="str">
        <f>IF(IFERROR(INDEX('Both teabags AfterDry'!$D$1:$D$839,MATCH(H248,'Both teabags AfterDry'!$A$1:$A$839,0)),"")="N.A","",(IFERROR(INDEX('Both teabags AfterDry'!$D$1:$D$839,MATCH(H248,'Both teabags AfterDry'!$A$1:$A$839,0)),"")))</f>
        <v/>
      </c>
      <c r="T248" s="195" t="str">
        <f>IF(IFERROR(INDEX('Both teabags AfterDry'!$D$1:$D$839,MATCH(I248,'Both teabags AfterDry'!$A$1:$A$839,0)),"")="N.A","",(IFERROR(INDEX('Both teabags AfterDry'!$D$1:$D$839,MATCH(I248,'Both teabags AfterDry'!$A$1:$A$839,0)),"")))</f>
        <v/>
      </c>
      <c r="U248" s="195" t="str">
        <f t="shared" si="31"/>
        <v/>
      </c>
      <c r="V248" s="195" t="str">
        <f t="shared" si="31"/>
        <v/>
      </c>
      <c r="W248" s="195" t="str">
        <f>IFERROR(INDEX('Ashed teabags dry'!$K$2:$K$821,MATCH(H248,'Ashed teabags dry'!$A$2:$A$821,0)),"")</f>
        <v/>
      </c>
      <c r="X248" s="195" t="str">
        <f>IFERROR(INDEX('Ashed teabags dry'!$K$2:$K$821,MATCH(I248,'Ashed teabags dry'!$A$2:$A$821,0)),"")</f>
        <v/>
      </c>
      <c r="Y248" s="195" t="str">
        <f t="shared" si="26"/>
        <v/>
      </c>
      <c r="Z248" s="195" t="str">
        <f t="shared" si="26"/>
        <v/>
      </c>
      <c r="AA248" s="195" t="str">
        <f t="shared" si="32"/>
        <v/>
      </c>
      <c r="AB248" s="195" t="str">
        <f t="shared" si="33"/>
        <v/>
      </c>
      <c r="AC248" s="195" t="str">
        <f t="shared" si="27"/>
        <v/>
      </c>
      <c r="AD248">
        <f t="shared" si="28"/>
        <v>69</v>
      </c>
      <c r="AE248" s="195" t="str">
        <f t="shared" si="34"/>
        <v/>
      </c>
      <c r="AF248" s="195" t="str">
        <f t="shared" si="35"/>
        <v/>
      </c>
      <c r="AG248" s="255" t="str">
        <f>IF(ISNUMBER(SEARCH("C", 'Dry_Litterbag Placem_Collection'!AB175)),"YES","NO")</f>
        <v>NO</v>
      </c>
      <c r="AH248" s="255" t="str">
        <f>IF(ISNUMBER(SEARCH("H", 'Dry_Litterbag Placem_Collection'!AB175)),"YES","NO")</f>
        <v>NO</v>
      </c>
      <c r="AI248" s="255" t="str">
        <f>IF(ISNUMBER(SEARCH("R", 'Dry_Litterbag Placem_Collection'!AB175)),"YES","NO")</f>
        <v>NO</v>
      </c>
      <c r="AJ248" s="255" t="str">
        <f>IF(ISNUMBER(SEARCH("C", 'Dry_Litterbag Placem_Collection'!AA175)),"YES","NO")</f>
        <v>NO</v>
      </c>
      <c r="AK248" s="255" t="str">
        <f>IF(ISNUMBER(SEARCH("H", 'Dry_Litterbag Placem_Collection'!AA175)),"YES","NO")</f>
        <v>NO</v>
      </c>
      <c r="AL248" s="255" t="str">
        <f>IF(ISNUMBER(SEARCH("R", 'Dry_Litterbag Placem_Collection'!AA175)),"YES","NO")</f>
        <v>NO</v>
      </c>
      <c r="AR248" t="s">
        <v>1453</v>
      </c>
      <c r="AT248" t="s">
        <v>736</v>
      </c>
    </row>
    <row r="249" spans="2:46">
      <c r="B249" t="str">
        <f>'Final data_for_R_analysis_Dryse'!A175</f>
        <v>Dry</v>
      </c>
      <c r="C249" s="263">
        <f>'Final data_for_R_analysis_Dryse'!B175</f>
        <v>174</v>
      </c>
      <c r="D249" t="s">
        <v>3853</v>
      </c>
      <c r="E249" t="s">
        <v>22</v>
      </c>
      <c r="F249" s="387">
        <v>6</v>
      </c>
      <c r="G249" s="16">
        <f>'Dry_Litterbag Placem_Collection'!E176</f>
        <v>42940</v>
      </c>
      <c r="H249" t="str">
        <f>'Final data_for_R_analysis_Dryse'!J175</f>
        <v>G396</v>
      </c>
      <c r="I249" t="str">
        <f>'Final data_for_R_analysis_Dryse'!J395</f>
        <v>R736</v>
      </c>
      <c r="J249">
        <f>IFERROR(INDEX('Green_rooibos initial weight'!$C$5:$C$1749,MATCH(H249, 'Green_rooibos initial weight'!$A$5:$A$1749,0)),"")</f>
        <v>2.0070000000000001</v>
      </c>
      <c r="K249">
        <f>IFERROR(INDEX('Green_rooibos initial weight'!$C$5:$C$1749,MATCH(I249, 'Green_rooibos initial weight'!$A$5:$A$1749,0)),"")</f>
        <v>2.2189999999999999</v>
      </c>
      <c r="L249" s="195">
        <f t="shared" si="29"/>
        <v>1.7572000000000001</v>
      </c>
      <c r="M249" s="240">
        <f>AVERAGE(Ashed_controlls!$K$1:$K$11)</f>
        <v>5.5147656768714146</v>
      </c>
      <c r="N249" s="195">
        <f t="shared" si="24"/>
        <v>1.6602945375260156</v>
      </c>
      <c r="O249" s="195">
        <f t="shared" si="30"/>
        <v>1.9691999999999998</v>
      </c>
      <c r="P249" s="240">
        <f>AVERAGE(Ashed_controlls!$K$12:$K$14)</f>
        <v>2.2816647271287041</v>
      </c>
      <c r="Q249" s="195">
        <f t="shared" si="25"/>
        <v>1.9242694581933815</v>
      </c>
      <c r="R249" s="16">
        <f>IF('Dry_Litterbag Placem_Collection'!G176="N.A","",'Dry_Litterbag Placem_Collection'!G176)</f>
        <v>43009</v>
      </c>
      <c r="S249" s="195">
        <f>IF(IFERROR(INDEX('Both teabags AfterDry'!$D$1:$D$839,MATCH(H249,'Both teabags AfterDry'!$A$1:$A$839,0)),"")="N.A","",(IFERROR(INDEX('Both teabags AfterDry'!$D$1:$D$839,MATCH(H249,'Both teabags AfterDry'!$A$1:$A$839,0)),"")))</f>
        <v>0.80349999999999999</v>
      </c>
      <c r="T249" s="195">
        <f>IF(IFERROR(INDEX('Both teabags AfterDry'!$D$1:$D$839,MATCH(I249,'Both teabags AfterDry'!$A$1:$A$839,0)),"")="N.A","",(IFERROR(INDEX('Both teabags AfterDry'!$D$1:$D$839,MATCH(I249,'Both teabags AfterDry'!$A$1:$A$839,0)),"")))</f>
        <v>1.6238999999999999</v>
      </c>
      <c r="U249" s="195">
        <f t="shared" si="31"/>
        <v>0.65290000000000004</v>
      </c>
      <c r="V249" s="195">
        <f t="shared" si="31"/>
        <v>1.4732999999999998</v>
      </c>
      <c r="W249" s="195">
        <f>IFERROR(INDEX('Ashed teabags dry'!$K$2:$K$821,MATCH(H249,'Ashed teabags dry'!$A$2:$A$821,0)),"")</f>
        <v>24.860074626865973</v>
      </c>
      <c r="X249" s="195">
        <f>IFERROR(INDEX('Ashed teabags dry'!$K$2:$K$821,MATCH(I249,'Ashed teabags dry'!$A$2:$A$821,0)),"")</f>
        <v>10.510638297872269</v>
      </c>
      <c r="Y249" s="195">
        <f t="shared" si="26"/>
        <v>0.49058857276119205</v>
      </c>
      <c r="Z249" s="195">
        <f t="shared" si="26"/>
        <v>1.3184467659574477</v>
      </c>
      <c r="AA249" s="195">
        <f t="shared" si="32"/>
        <v>0.70451714339058658</v>
      </c>
      <c r="AB249" s="195">
        <f t="shared" si="33"/>
        <v>0.46186872108266486</v>
      </c>
      <c r="AC249" s="195">
        <f t="shared" si="27"/>
        <v>0.68516743346084386</v>
      </c>
      <c r="AD249">
        <f t="shared" si="28"/>
        <v>69</v>
      </c>
      <c r="AE249" s="195">
        <f t="shared" si="34"/>
        <v>0.16328130238647676</v>
      </c>
      <c r="AF249" s="195">
        <f t="shared" si="35"/>
        <v>1.6588437556348069E-2</v>
      </c>
      <c r="AG249" s="255" t="str">
        <f>IF(ISNUMBER(SEARCH("C", 'Dry_Litterbag Placem_Collection'!AB176)),"YES","NO")</f>
        <v>NO</v>
      </c>
      <c r="AH249" s="255" t="str">
        <f>IF(ISNUMBER(SEARCH("H", 'Dry_Litterbag Placem_Collection'!AB176)),"YES","NO")</f>
        <v>NO</v>
      </c>
      <c r="AI249" s="255" t="str">
        <f>IF(ISNUMBER(SEARCH("R", 'Dry_Litterbag Placem_Collection'!AB176)),"YES","NO")</f>
        <v>NO</v>
      </c>
      <c r="AJ249" s="255" t="str">
        <f>IF(ISNUMBER(SEARCH("C", 'Dry_Litterbag Placem_Collection'!AA176)),"YES","NO")</f>
        <v>NO</v>
      </c>
      <c r="AK249" s="255" t="str">
        <f>IF(ISNUMBER(SEARCH("H", 'Dry_Litterbag Placem_Collection'!AA176)),"YES","NO")</f>
        <v>NO</v>
      </c>
      <c r="AL249" s="255" t="str">
        <f>IF(ISNUMBER(SEARCH("R", 'Dry_Litterbag Placem_Collection'!AA176)),"YES","NO")</f>
        <v>NO</v>
      </c>
      <c r="AR249" t="s">
        <v>1654</v>
      </c>
      <c r="AT249" t="s">
        <v>403</v>
      </c>
    </row>
    <row r="250" spans="2:46">
      <c r="B250" t="str">
        <f>'Final data_for_R_analysis_Dryse'!A176</f>
        <v>Dry</v>
      </c>
      <c r="C250" s="263">
        <f>'Final data_for_R_analysis_Dryse'!B176</f>
        <v>175</v>
      </c>
      <c r="D250" t="s">
        <v>3853</v>
      </c>
      <c r="E250" t="s">
        <v>22</v>
      </c>
      <c r="F250" s="387">
        <v>7</v>
      </c>
      <c r="G250" s="16">
        <f>'Dry_Litterbag Placem_Collection'!E177</f>
        <v>42940</v>
      </c>
      <c r="H250" t="str">
        <f>'Final data_for_R_analysis_Dryse'!J176</f>
        <v>G612</v>
      </c>
      <c r="I250" t="str">
        <f>'Final data_for_R_analysis_Dryse'!J396</f>
        <v>R338</v>
      </c>
      <c r="J250">
        <f>IFERROR(INDEX('Green_rooibos initial weight'!$C$5:$C$1749,MATCH(H250, 'Green_rooibos initial weight'!$A$5:$A$1749,0)),"")</f>
        <v>2.004</v>
      </c>
      <c r="K250">
        <f>IFERROR(INDEX('Green_rooibos initial weight'!$C$5:$C$1749,MATCH(I250, 'Green_rooibos initial weight'!$A$5:$A$1749,0)),"")</f>
        <v>2.1709999999999998</v>
      </c>
      <c r="L250" s="195">
        <f t="shared" si="29"/>
        <v>1.7542</v>
      </c>
      <c r="M250" s="240">
        <f>AVERAGE(Ashed_controlls!$K$1:$K$11)</f>
        <v>5.5147656768714146</v>
      </c>
      <c r="N250" s="195">
        <f t="shared" si="24"/>
        <v>1.6574599804963217</v>
      </c>
      <c r="O250" s="195">
        <f t="shared" si="30"/>
        <v>1.9211999999999998</v>
      </c>
      <c r="P250" s="240">
        <f>AVERAGE(Ashed_controlls!$K$12:$K$14)</f>
        <v>2.2816647271287041</v>
      </c>
      <c r="Q250" s="195">
        <f t="shared" si="25"/>
        <v>1.8773646572624032</v>
      </c>
      <c r="R250" s="16">
        <f>IF('Dry_Litterbag Placem_Collection'!G177="N.A","",'Dry_Litterbag Placem_Collection'!G177)</f>
        <v>43009</v>
      </c>
      <c r="S250" s="195">
        <f>IF(IFERROR(INDEX('Both teabags AfterDry'!$D$1:$D$839,MATCH(H250,'Both teabags AfterDry'!$A$1:$A$839,0)),"")="N.A","",(IFERROR(INDEX('Both teabags AfterDry'!$D$1:$D$839,MATCH(H250,'Both teabags AfterDry'!$A$1:$A$839,0)),"")))</f>
        <v>0.83</v>
      </c>
      <c r="T250" s="195">
        <f>IF(IFERROR(INDEX('Both teabags AfterDry'!$D$1:$D$839,MATCH(I250,'Both teabags AfterDry'!$A$1:$A$839,0)),"")="N.A","",(IFERROR(INDEX('Both teabags AfterDry'!$D$1:$D$839,MATCH(I250,'Both teabags AfterDry'!$A$1:$A$839,0)),"")))</f>
        <v>1.8117000000000001</v>
      </c>
      <c r="U250" s="195">
        <f t="shared" si="31"/>
        <v>0.6794</v>
      </c>
      <c r="V250" s="195">
        <f t="shared" si="31"/>
        <v>1.6611</v>
      </c>
      <c r="W250" s="195">
        <f>IFERROR(INDEX('Ashed teabags dry'!$K$2:$K$821,MATCH(H250,'Ashed teabags dry'!$A$2:$A$821,0)),"")</f>
        <v>28.902765388045704</v>
      </c>
      <c r="X250" s="195">
        <f>IFERROR(INDEX('Ashed teabags dry'!$K$2:$K$821,MATCH(I250,'Ashed teabags dry'!$A$2:$A$821,0)),"")</f>
        <v>8.794946550048822</v>
      </c>
      <c r="Y250" s="195">
        <f t="shared" si="26"/>
        <v>0.48303461195361752</v>
      </c>
      <c r="Z250" s="195">
        <f t="shared" si="26"/>
        <v>1.515007142857139</v>
      </c>
      <c r="AA250" s="195">
        <f t="shared" si="32"/>
        <v>0.7085693665985382</v>
      </c>
      <c r="AB250" s="195">
        <f t="shared" si="33"/>
        <v>0.46452528546602506</v>
      </c>
      <c r="AC250" s="195">
        <f t="shared" si="27"/>
        <v>0.80698607859505644</v>
      </c>
      <c r="AD250">
        <f t="shared" si="28"/>
        <v>69</v>
      </c>
      <c r="AE250" s="195">
        <f t="shared" si="34"/>
        <v>0.15846868574995465</v>
      </c>
      <c r="AF250" s="195">
        <f t="shared" si="35"/>
        <v>7.7827825735537872E-3</v>
      </c>
      <c r="AG250" s="255" t="str">
        <f>IF(ISNUMBER(SEARCH("C", 'Dry_Litterbag Placem_Collection'!AB177)),"YES","NO")</f>
        <v>NO</v>
      </c>
      <c r="AH250" s="255" t="str">
        <f>IF(ISNUMBER(SEARCH("H", 'Dry_Litterbag Placem_Collection'!AB177)),"YES","NO")</f>
        <v>NO</v>
      </c>
      <c r="AI250" s="255" t="str">
        <f>IF(ISNUMBER(SEARCH("R", 'Dry_Litterbag Placem_Collection'!AB177)),"YES","NO")</f>
        <v>NO</v>
      </c>
      <c r="AJ250" s="255" t="str">
        <f>IF(ISNUMBER(SEARCH("C", 'Dry_Litterbag Placem_Collection'!AA177)),"YES","NO")</f>
        <v>NO</v>
      </c>
      <c r="AK250" s="255" t="str">
        <f>IF(ISNUMBER(SEARCH("H", 'Dry_Litterbag Placem_Collection'!AA177)),"YES","NO")</f>
        <v>NO</v>
      </c>
      <c r="AL250" s="255" t="str">
        <f>IF(ISNUMBER(SEARCH("R", 'Dry_Litterbag Placem_Collection'!AA177)),"YES","NO")</f>
        <v>NO</v>
      </c>
      <c r="AR250" t="s">
        <v>1438</v>
      </c>
      <c r="AT250" t="s">
        <v>803</v>
      </c>
    </row>
    <row r="251" spans="2:46">
      <c r="B251" t="str">
        <f>'Final data_for_R_analysis_Dryse'!A177</f>
        <v>Dry</v>
      </c>
      <c r="C251" s="263">
        <f>'Final data_for_R_analysis_Dryse'!B177</f>
        <v>176</v>
      </c>
      <c r="D251" t="s">
        <v>3853</v>
      </c>
      <c r="E251" t="s">
        <v>22</v>
      </c>
      <c r="F251" s="387">
        <v>8</v>
      </c>
      <c r="G251" s="16">
        <f>'Dry_Litterbag Placem_Collection'!E178</f>
        <v>42940</v>
      </c>
      <c r="H251" t="str">
        <f>'Final data_for_R_analysis_Dryse'!J177</f>
        <v>G183</v>
      </c>
      <c r="I251" t="str">
        <f>'Final data_for_R_analysis_Dryse'!J397</f>
        <v>R52</v>
      </c>
      <c r="J251">
        <f>IFERROR(INDEX('Green_rooibos initial weight'!$C$5:$C$1749,MATCH(H251, 'Green_rooibos initial weight'!$A$5:$A$1749,0)),"")</f>
        <v>1.897</v>
      </c>
      <c r="K251">
        <f>IFERROR(INDEX('Green_rooibos initial weight'!$C$5:$C$1749,MATCH(I251, 'Green_rooibos initial weight'!$A$5:$A$1749,0)),"")</f>
        <v>2.1629999999999998</v>
      </c>
      <c r="L251" s="195">
        <f t="shared" si="29"/>
        <v>1.6472</v>
      </c>
      <c r="M251" s="240">
        <f>AVERAGE(Ashed_controlls!$K$1:$K$11)</f>
        <v>5.5147656768714146</v>
      </c>
      <c r="N251" s="195">
        <f t="shared" si="24"/>
        <v>1.5563607797705741</v>
      </c>
      <c r="O251" s="195">
        <f t="shared" si="30"/>
        <v>1.9131999999999998</v>
      </c>
      <c r="P251" s="240">
        <f>AVERAGE(Ashed_controlls!$K$12:$K$14)</f>
        <v>2.2816647271287041</v>
      </c>
      <c r="Q251" s="195">
        <f t="shared" si="25"/>
        <v>1.8695471904405734</v>
      </c>
      <c r="R251" s="16">
        <f>IF('Dry_Litterbag Placem_Collection'!G178="N.A","",'Dry_Litterbag Placem_Collection'!G178)</f>
        <v>43009</v>
      </c>
      <c r="S251" s="195">
        <f>IF(IFERROR(INDEX('Both teabags AfterDry'!$D$1:$D$839,MATCH(H251,'Both teabags AfterDry'!$A$1:$A$839,0)),"")="N.A","",(IFERROR(INDEX('Both teabags AfterDry'!$D$1:$D$839,MATCH(H251,'Both teabags AfterDry'!$A$1:$A$839,0)),"")))</f>
        <v>0.92459999999999998</v>
      </c>
      <c r="T251" s="195">
        <f>IF(IFERROR(INDEX('Both teabags AfterDry'!$D$1:$D$839,MATCH(I251,'Both teabags AfterDry'!$A$1:$A$839,0)),"")="N.A","",(IFERROR(INDEX('Both teabags AfterDry'!$D$1:$D$839,MATCH(I251,'Both teabags AfterDry'!$A$1:$A$839,0)),"")))</f>
        <v>0</v>
      </c>
      <c r="U251" s="195">
        <f t="shared" si="31"/>
        <v>0.77400000000000002</v>
      </c>
      <c r="V251" s="195" t="str">
        <f t="shared" si="31"/>
        <v/>
      </c>
      <c r="W251" s="195">
        <f>IFERROR(INDEX('Ashed teabags dry'!$K$2:$K$821,MATCH(H251,'Ashed teabags dry'!$A$2:$A$821,0)),"")</f>
        <v>36.390532544378914</v>
      </c>
      <c r="X251" s="195">
        <f>IFERROR(INDEX('Ashed teabags dry'!$K$2:$K$821,MATCH(I251,'Ashed teabags dry'!$A$2:$A$821,0)),"")</f>
        <v>93.555555555555571</v>
      </c>
      <c r="Y251" s="195">
        <f t="shared" si="26"/>
        <v>0.49233727810650724</v>
      </c>
      <c r="Z251" s="195" t="str">
        <f t="shared" si="26"/>
        <v/>
      </c>
      <c r="AA251" s="195">
        <f t="shared" si="32"/>
        <v>0.68366121499214105</v>
      </c>
      <c r="AB251" s="195">
        <f t="shared" si="33"/>
        <v>0.44819595092121367</v>
      </c>
      <c r="AC251" s="195" t="str">
        <f t="shared" si="27"/>
        <v/>
      </c>
      <c r="AD251">
        <f t="shared" si="28"/>
        <v>69</v>
      </c>
      <c r="AE251" s="195">
        <f t="shared" si="34"/>
        <v>0.18805081354852604</v>
      </c>
      <c r="AF251" s="195" t="str">
        <f t="shared" si="35"/>
        <v/>
      </c>
      <c r="AG251" s="255" t="str">
        <f>IF(ISNUMBER(SEARCH("C", 'Dry_Litterbag Placem_Collection'!AB178)),"YES","NO")</f>
        <v>NO</v>
      </c>
      <c r="AH251" s="255" t="str">
        <f>IF(ISNUMBER(SEARCH("H", 'Dry_Litterbag Placem_Collection'!AB178)),"YES","NO")</f>
        <v>NO</v>
      </c>
      <c r="AI251" s="255" t="str">
        <f>IF(ISNUMBER(SEARCH("R", 'Dry_Litterbag Placem_Collection'!AB178)),"YES","NO")</f>
        <v>NO</v>
      </c>
      <c r="AJ251" s="255" t="str">
        <f>IF(ISNUMBER(SEARCH("C", 'Dry_Litterbag Placem_Collection'!AA178)),"YES","NO")</f>
        <v>NO</v>
      </c>
      <c r="AK251" s="255" t="str">
        <f>IF(ISNUMBER(SEARCH("H", 'Dry_Litterbag Placem_Collection'!AA178)),"YES","NO")</f>
        <v>NO</v>
      </c>
      <c r="AL251" s="255" t="str">
        <f>IF(ISNUMBER(SEARCH("R", 'Dry_Litterbag Placem_Collection'!AA178)),"YES","NO")</f>
        <v>NO</v>
      </c>
      <c r="AR251" t="s">
        <v>1867</v>
      </c>
      <c r="AT251" t="s">
        <v>1089</v>
      </c>
    </row>
    <row r="252" spans="2:46">
      <c r="B252" t="str">
        <f>'Final data_for_R_analysis_Dryse'!A178</f>
        <v>Dry</v>
      </c>
      <c r="C252" s="263">
        <f>'Final data_for_R_analysis_Dryse'!B178</f>
        <v>177</v>
      </c>
      <c r="D252" t="s">
        <v>3854</v>
      </c>
      <c r="E252" t="s">
        <v>22</v>
      </c>
      <c r="F252" s="386">
        <v>1</v>
      </c>
      <c r="G252" s="16">
        <f>'Dry_Litterbag Placem_Collection'!E179</f>
        <v>42940</v>
      </c>
      <c r="H252" t="str">
        <f>'Final data_for_R_analysis_Dryse'!J178</f>
        <v>G98</v>
      </c>
      <c r="I252" t="str">
        <f>'Final data_for_R_analysis_Dryse'!J398</f>
        <v>R750</v>
      </c>
      <c r="J252">
        <f>IFERROR(INDEX('Green_rooibos initial weight'!$C$5:$C$1749,MATCH(H252, 'Green_rooibos initial weight'!$A$5:$A$1749,0)),"")</f>
        <v>2.0979999999999999</v>
      </c>
      <c r="K252">
        <f>IFERROR(INDEX('Green_rooibos initial weight'!$C$5:$C$1749,MATCH(I252, 'Green_rooibos initial weight'!$A$5:$A$1749,0)),"")</f>
        <v>2.2029999999999998</v>
      </c>
      <c r="L252" s="195">
        <f t="shared" si="29"/>
        <v>1.8481999999999998</v>
      </c>
      <c r="M252" s="240">
        <f>AVERAGE(Ashed_controlls!$K$1:$K$11)</f>
        <v>5.5147656768714146</v>
      </c>
      <c r="N252" s="195">
        <f t="shared" si="24"/>
        <v>1.7462761007600625</v>
      </c>
      <c r="O252" s="195">
        <f t="shared" si="30"/>
        <v>1.9531999999999998</v>
      </c>
      <c r="P252" s="240">
        <f>AVERAGE(Ashed_controlls!$K$12:$K$14)</f>
        <v>2.2816647271287041</v>
      </c>
      <c r="Q252" s="195">
        <f t="shared" si="25"/>
        <v>1.908634524549722</v>
      </c>
      <c r="R252" s="16">
        <f>IF('Dry_Litterbag Placem_Collection'!G179="N.A","",'Dry_Litterbag Placem_Collection'!G179)</f>
        <v>43009</v>
      </c>
      <c r="S252" s="195" t="str">
        <f>IF(IFERROR(INDEX('Both teabags AfterDry'!$D$1:$D$839,MATCH(H252,'Both teabags AfterDry'!$A$1:$A$839,0)),"")="N.A","",(IFERROR(INDEX('Both teabags AfterDry'!$D$1:$D$839,MATCH(H252,'Both teabags AfterDry'!$A$1:$A$839,0)),"")))</f>
        <v/>
      </c>
      <c r="T252" s="195" t="str">
        <f>IF(IFERROR(INDEX('Both teabags AfterDry'!$D$1:$D$839,MATCH(I252,'Both teabags AfterDry'!$A$1:$A$839,0)),"")="N.A","",(IFERROR(INDEX('Both teabags AfterDry'!$D$1:$D$839,MATCH(I252,'Both teabags AfterDry'!$A$1:$A$839,0)),"")))</f>
        <v/>
      </c>
      <c r="U252" s="195" t="str">
        <f t="shared" si="31"/>
        <v/>
      </c>
      <c r="V252" s="195" t="str">
        <f t="shared" si="31"/>
        <v/>
      </c>
      <c r="W252" s="195" t="str">
        <f>IFERROR(INDEX('Ashed teabags dry'!$K$2:$K$821,MATCH(H252,'Ashed teabags dry'!$A$2:$A$821,0)),"")</f>
        <v/>
      </c>
      <c r="X252" s="195" t="str">
        <f>IFERROR(INDEX('Ashed teabags dry'!$K$2:$K$821,MATCH(I252,'Ashed teabags dry'!$A$2:$A$821,0)),"")</f>
        <v/>
      </c>
      <c r="Y252" s="195" t="str">
        <f t="shared" si="26"/>
        <v/>
      </c>
      <c r="Z252" s="195" t="str">
        <f t="shared" si="26"/>
        <v/>
      </c>
      <c r="AA252" s="195" t="str">
        <f t="shared" si="32"/>
        <v/>
      </c>
      <c r="AB252" s="195" t="str">
        <f t="shared" si="33"/>
        <v/>
      </c>
      <c r="AC252" s="195" t="str">
        <f t="shared" si="27"/>
        <v/>
      </c>
      <c r="AD252">
        <f t="shared" si="28"/>
        <v>69</v>
      </c>
      <c r="AE252" s="195" t="str">
        <f t="shared" si="34"/>
        <v/>
      </c>
      <c r="AF252" s="195" t="str">
        <f t="shared" si="35"/>
        <v/>
      </c>
      <c r="AG252" s="255" t="str">
        <f>IF(ISNUMBER(SEARCH("C", 'Dry_Litterbag Placem_Collection'!AB179)),"YES","NO")</f>
        <v>NO</v>
      </c>
      <c r="AH252" s="255" t="str">
        <f>IF(ISNUMBER(SEARCH("H", 'Dry_Litterbag Placem_Collection'!AB179)),"YES","NO")</f>
        <v>NO</v>
      </c>
      <c r="AI252" s="255" t="str">
        <f>IF(ISNUMBER(SEARCH("R", 'Dry_Litterbag Placem_Collection'!AB179)),"YES","NO")</f>
        <v>NO</v>
      </c>
      <c r="AJ252" s="255" t="str">
        <f>IF(ISNUMBER(SEARCH("C", 'Dry_Litterbag Placem_Collection'!AA179)),"YES","NO")</f>
        <v>NO</v>
      </c>
      <c r="AK252" s="255" t="str">
        <f>IF(ISNUMBER(SEARCH("H", 'Dry_Litterbag Placem_Collection'!AA179)),"YES","NO")</f>
        <v>NO</v>
      </c>
      <c r="AL252" s="255" t="str">
        <f>IF(ISNUMBER(SEARCH("R", 'Dry_Litterbag Placem_Collection'!AA179)),"YES","NO")</f>
        <v>NO</v>
      </c>
      <c r="AR252" t="s">
        <v>1952</v>
      </c>
      <c r="AT252" t="s">
        <v>389</v>
      </c>
    </row>
    <row r="253" spans="2:46">
      <c r="B253" t="str">
        <f>'Final data_for_R_analysis_Dryse'!A179</f>
        <v>Dry</v>
      </c>
      <c r="C253" s="263">
        <f>'Final data_for_R_analysis_Dryse'!B179</f>
        <v>178</v>
      </c>
      <c r="D253" t="s">
        <v>3854</v>
      </c>
      <c r="E253" t="s">
        <v>22</v>
      </c>
      <c r="F253" s="386">
        <v>2</v>
      </c>
      <c r="G253" s="16">
        <f>'Dry_Litterbag Placem_Collection'!E180</f>
        <v>42940</v>
      </c>
      <c r="H253" t="str">
        <f>'Final data_for_R_analysis_Dryse'!J179</f>
        <v>G353</v>
      </c>
      <c r="I253" t="str">
        <f>'Final data_for_R_analysis_Dryse'!J399</f>
        <v>R612</v>
      </c>
      <c r="J253">
        <f>IFERROR(INDEX('Green_rooibos initial weight'!$C$5:$C$1749,MATCH(H253, 'Green_rooibos initial weight'!$A$5:$A$1749,0)),"")</f>
        <v>1.988</v>
      </c>
      <c r="K253">
        <f>IFERROR(INDEX('Green_rooibos initial weight'!$C$5:$C$1749,MATCH(I253, 'Green_rooibos initial weight'!$A$5:$A$1749,0)),"")</f>
        <v>2.11</v>
      </c>
      <c r="L253" s="195">
        <f t="shared" si="29"/>
        <v>1.7382</v>
      </c>
      <c r="M253" s="240">
        <f>AVERAGE(Ashed_controlls!$K$1:$K$11)</f>
        <v>5.5147656768714146</v>
      </c>
      <c r="N253" s="195">
        <f t="shared" si="24"/>
        <v>1.6423423430046211</v>
      </c>
      <c r="O253" s="195">
        <f t="shared" si="30"/>
        <v>1.8601999999999999</v>
      </c>
      <c r="P253" s="240">
        <f>AVERAGE(Ashed_controlls!$K$12:$K$14)</f>
        <v>2.2816647271287041</v>
      </c>
      <c r="Q253" s="195">
        <f t="shared" si="25"/>
        <v>1.8177564727459516</v>
      </c>
      <c r="R253" s="16">
        <f>IF('Dry_Litterbag Placem_Collection'!G180="N.A","",'Dry_Litterbag Placem_Collection'!G180)</f>
        <v>43009</v>
      </c>
      <c r="S253" s="195">
        <f>IF(IFERROR(INDEX('Both teabags AfterDry'!$D$1:$D$839,MATCH(H253,'Both teabags AfterDry'!$A$1:$A$839,0)),"")="N.A","",(IFERROR(INDEX('Both teabags AfterDry'!$D$1:$D$839,MATCH(H253,'Both teabags AfterDry'!$A$1:$A$839,0)),"")))</f>
        <v>0.80569999999999997</v>
      </c>
      <c r="T253" s="195">
        <f>IF(IFERROR(INDEX('Both teabags AfterDry'!$D$1:$D$839,MATCH(I253,'Both teabags AfterDry'!$A$1:$A$839,0)),"")="N.A","",(IFERROR(INDEX('Both teabags AfterDry'!$D$1:$D$839,MATCH(I253,'Both teabags AfterDry'!$A$1:$A$839,0)),"")))</f>
        <v>0</v>
      </c>
      <c r="U253" s="195">
        <f t="shared" si="31"/>
        <v>0.65510000000000002</v>
      </c>
      <c r="V253" s="195" t="str">
        <f t="shared" si="31"/>
        <v/>
      </c>
      <c r="W253" s="195">
        <f>IFERROR(INDEX('Ashed teabags dry'!$K$2:$K$821,MATCH(H253,'Ashed teabags dry'!$A$2:$A$821,0)),"")</f>
        <v>27.451946771808881</v>
      </c>
      <c r="X253" s="195">
        <f>IFERROR(INDEX('Ashed teabags dry'!$K$2:$K$821,MATCH(I253,'Ashed teabags dry'!$A$2:$A$821,0)),"")</f>
        <v>94.417238001958822</v>
      </c>
      <c r="Y253" s="195">
        <f t="shared" si="26"/>
        <v>0.47526229669788</v>
      </c>
      <c r="Z253" s="195" t="str">
        <f t="shared" si="26"/>
        <v/>
      </c>
      <c r="AA253" s="195">
        <f t="shared" si="32"/>
        <v>0.71061922703131408</v>
      </c>
      <c r="AB253" s="195">
        <f t="shared" si="33"/>
        <v>0.46586913696114657</v>
      </c>
      <c r="AC253" s="195" t="str">
        <f t="shared" si="27"/>
        <v/>
      </c>
      <c r="AD253">
        <f t="shared" si="28"/>
        <v>69</v>
      </c>
      <c r="AE253" s="195">
        <f t="shared" si="34"/>
        <v>0.15603417217183602</v>
      </c>
      <c r="AF253" s="195" t="str">
        <f t="shared" si="35"/>
        <v/>
      </c>
      <c r="AG253" s="255" t="str">
        <f>IF(ISNUMBER(SEARCH("C", 'Dry_Litterbag Placem_Collection'!AB180)),"YES","NO")</f>
        <v>NO</v>
      </c>
      <c r="AH253" s="255" t="str">
        <f>IF(ISNUMBER(SEARCH("H", 'Dry_Litterbag Placem_Collection'!AB180)),"YES","NO")</f>
        <v>NO</v>
      </c>
      <c r="AI253" s="255" t="str">
        <f>IF(ISNUMBER(SEARCH("R", 'Dry_Litterbag Placem_Collection'!AB180)),"YES","NO")</f>
        <v>NO</v>
      </c>
      <c r="AJ253" s="255" t="str">
        <f>IF(ISNUMBER(SEARCH("C", 'Dry_Litterbag Placem_Collection'!AA180)),"YES","NO")</f>
        <v>NO</v>
      </c>
      <c r="AK253" s="255" t="str">
        <f>IF(ISNUMBER(SEARCH("H", 'Dry_Litterbag Placem_Collection'!AA180)),"YES","NO")</f>
        <v>NO</v>
      </c>
      <c r="AL253" s="255" t="str">
        <f>IF(ISNUMBER(SEARCH("R", 'Dry_Litterbag Placem_Collection'!AA180)),"YES","NO")</f>
        <v>NO</v>
      </c>
      <c r="AR253" t="s">
        <v>1697</v>
      </c>
      <c r="AT253" t="s">
        <v>527</v>
      </c>
    </row>
    <row r="254" spans="2:46">
      <c r="B254" t="str">
        <f>'Final data_for_R_analysis_Dryse'!A180</f>
        <v>Dry</v>
      </c>
      <c r="C254" s="263">
        <f>'Final data_for_R_analysis_Dryse'!B180</f>
        <v>179</v>
      </c>
      <c r="D254" t="s">
        <v>3854</v>
      </c>
      <c r="E254" t="s">
        <v>22</v>
      </c>
      <c r="F254" s="386">
        <v>3</v>
      </c>
      <c r="G254" s="16">
        <f>'Dry_Litterbag Placem_Collection'!E181</f>
        <v>42940</v>
      </c>
      <c r="H254" t="str">
        <f>'Final data_for_R_analysis_Dryse'!J180</f>
        <v>G42</v>
      </c>
      <c r="I254" t="str">
        <f>'Final data_for_R_analysis_Dryse'!J400</f>
        <v>R491</v>
      </c>
      <c r="J254">
        <f>IFERROR(INDEX('Green_rooibos initial weight'!$C$5:$C$1749,MATCH(H254, 'Green_rooibos initial weight'!$A$5:$A$1749,0)),"")</f>
        <v>1.9530000000000001</v>
      </c>
      <c r="K254">
        <f>IFERROR(INDEX('Green_rooibos initial weight'!$C$5:$C$1749,MATCH(I254, 'Green_rooibos initial weight'!$A$5:$A$1749,0)),"")</f>
        <v>2.2690000000000001</v>
      </c>
      <c r="L254" s="195">
        <f t="shared" si="29"/>
        <v>1.7032</v>
      </c>
      <c r="M254" s="240">
        <f>AVERAGE(Ashed_controlls!$K$1:$K$11)</f>
        <v>5.5147656768714146</v>
      </c>
      <c r="N254" s="195">
        <f t="shared" si="24"/>
        <v>1.609272510991526</v>
      </c>
      <c r="O254" s="195">
        <f t="shared" si="30"/>
        <v>2.0192000000000001</v>
      </c>
      <c r="P254" s="240">
        <f>AVERAGE(Ashed_controlls!$K$12:$K$14)</f>
        <v>2.2816647271287041</v>
      </c>
      <c r="Q254" s="195">
        <f t="shared" si="25"/>
        <v>1.9731286258298173</v>
      </c>
      <c r="R254" s="16">
        <f>IF('Dry_Litterbag Placem_Collection'!G181="N.A","",'Dry_Litterbag Placem_Collection'!G181)</f>
        <v>43009</v>
      </c>
      <c r="S254" s="195" t="str">
        <f>IF(IFERROR(INDEX('Both teabags AfterDry'!$D$1:$D$839,MATCH(H254,'Both teabags AfterDry'!$A$1:$A$839,0)),"")="N.A","",(IFERROR(INDEX('Both teabags AfterDry'!$D$1:$D$839,MATCH(H254,'Both teabags AfterDry'!$A$1:$A$839,0)),"")))</f>
        <v/>
      </c>
      <c r="T254" s="195">
        <f>IF(IFERROR(INDEX('Both teabags AfterDry'!$D$1:$D$839,MATCH(I254,'Both teabags AfterDry'!$A$1:$A$839,0)),"")="N.A","",(IFERROR(INDEX('Both teabags AfterDry'!$D$1:$D$839,MATCH(I254,'Both teabags AfterDry'!$A$1:$A$839,0)),"")))</f>
        <v>2.0198</v>
      </c>
      <c r="U254" s="195" t="str">
        <f t="shared" si="31"/>
        <v/>
      </c>
      <c r="V254" s="195">
        <f t="shared" si="31"/>
        <v>1.8692</v>
      </c>
      <c r="W254" s="195">
        <f>IFERROR(INDEX('Ashed teabags dry'!$K$2:$K$821,MATCH(H254,'Ashed teabags dry'!$A$2:$A$821,0)),"")</f>
        <v>41.121951219512503</v>
      </c>
      <c r="X254" s="195">
        <f>IFERROR(INDEX('Ashed teabags dry'!$K$2:$K$821,MATCH(I254,'Ashed teabags dry'!$A$2:$A$821,0)),"")</f>
        <v>14.684287812040845</v>
      </c>
      <c r="Y254" s="195" t="str">
        <f t="shared" si="26"/>
        <v/>
      </c>
      <c r="Z254" s="195">
        <f t="shared" si="26"/>
        <v>1.5947212922173324</v>
      </c>
      <c r="AA254" s="195" t="str">
        <f t="shared" si="32"/>
        <v/>
      </c>
      <c r="AB254" s="195" t="str">
        <f t="shared" si="33"/>
        <v/>
      </c>
      <c r="AC254" s="195">
        <f t="shared" si="27"/>
        <v>0.80821963218270054</v>
      </c>
      <c r="AD254">
        <f t="shared" si="28"/>
        <v>69</v>
      </c>
      <c r="AE254" s="195" t="str">
        <f t="shared" si="34"/>
        <v/>
      </c>
      <c r="AF254" s="195" t="str">
        <f t="shared" si="35"/>
        <v/>
      </c>
      <c r="AG254" s="255" t="str">
        <f>IF(ISNUMBER(SEARCH("C", 'Dry_Litterbag Placem_Collection'!AB181)),"YES","NO")</f>
        <v>NO</v>
      </c>
      <c r="AH254" s="255" t="str">
        <f>IF(ISNUMBER(SEARCH("H", 'Dry_Litterbag Placem_Collection'!AB181)),"YES","NO")</f>
        <v>NO</v>
      </c>
      <c r="AI254" s="255" t="str">
        <f>IF(ISNUMBER(SEARCH("R", 'Dry_Litterbag Placem_Collection'!AB181)),"YES","NO")</f>
        <v>NO</v>
      </c>
      <c r="AJ254" s="255" t="str">
        <f>IF(ISNUMBER(SEARCH("C", 'Dry_Litterbag Placem_Collection'!AA181)),"YES","NO")</f>
        <v>NO</v>
      </c>
      <c r="AK254" s="255" t="str">
        <f>IF(ISNUMBER(SEARCH("H", 'Dry_Litterbag Placem_Collection'!AA181)),"YES","NO")</f>
        <v>NO</v>
      </c>
      <c r="AL254" s="255" t="str">
        <f>IF(ISNUMBER(SEARCH("R", 'Dry_Litterbag Placem_Collection'!AA181)),"YES","NO")</f>
        <v>NO</v>
      </c>
      <c r="AR254" t="s">
        <v>2008</v>
      </c>
      <c r="AT254" t="s">
        <v>650</v>
      </c>
    </row>
    <row r="255" spans="2:46">
      <c r="B255" t="str">
        <f>'Final data_for_R_analysis_Dryse'!A181</f>
        <v>Dry</v>
      </c>
      <c r="C255" s="263">
        <f>'Final data_for_R_analysis_Dryse'!B181</f>
        <v>180</v>
      </c>
      <c r="D255" t="s">
        <v>3854</v>
      </c>
      <c r="E255" t="s">
        <v>22</v>
      </c>
      <c r="F255" s="387">
        <v>4</v>
      </c>
      <c r="G255" s="16">
        <f>'Dry_Litterbag Placem_Collection'!E182</f>
        <v>42940</v>
      </c>
      <c r="H255" t="str">
        <f>'Final data_for_R_analysis_Dryse'!J181</f>
        <v>G245</v>
      </c>
      <c r="I255" t="str">
        <f>'Final data_for_R_analysis_Dryse'!J401</f>
        <v>R325</v>
      </c>
      <c r="J255">
        <f>IFERROR(INDEX('Green_rooibos initial weight'!$C$5:$C$1749,MATCH(H255, 'Green_rooibos initial weight'!$A$5:$A$1749,0)),"")</f>
        <v>2.0150000000000001</v>
      </c>
      <c r="K255">
        <f>IFERROR(INDEX('Green_rooibos initial weight'!$C$5:$C$1749,MATCH(I255, 'Green_rooibos initial weight'!$A$5:$A$1749,0)),"")</f>
        <v>2.2069999999999999</v>
      </c>
      <c r="L255" s="195">
        <f t="shared" si="29"/>
        <v>1.7652000000000001</v>
      </c>
      <c r="M255" s="240">
        <f>AVERAGE(Ashed_controlls!$K$1:$K$11)</f>
        <v>5.5147656768714146</v>
      </c>
      <c r="N255" s="195">
        <f t="shared" si="24"/>
        <v>1.6678533562718658</v>
      </c>
      <c r="O255" s="195">
        <f t="shared" si="30"/>
        <v>1.9571999999999998</v>
      </c>
      <c r="P255" s="240">
        <f>AVERAGE(Ashed_controlls!$K$12:$K$14)</f>
        <v>2.2816647271287041</v>
      </c>
      <c r="Q255" s="195">
        <f t="shared" si="25"/>
        <v>1.9125432579606367</v>
      </c>
      <c r="R255" s="16">
        <f>IF('Dry_Litterbag Placem_Collection'!G182="N.A","",'Dry_Litterbag Placem_Collection'!G182)</f>
        <v>43009</v>
      </c>
      <c r="S255" s="195">
        <f>IF(IFERROR(INDEX('Both teabags AfterDry'!$D$1:$D$839,MATCH(H255,'Both teabags AfterDry'!$A$1:$A$839,0)),"")="N.A","",(IFERROR(INDEX('Both teabags AfterDry'!$D$1:$D$839,MATCH(H255,'Both teabags AfterDry'!$A$1:$A$839,0)),"")))</f>
        <v>0.81240000000000001</v>
      </c>
      <c r="T255" s="195">
        <f>IF(IFERROR(INDEX('Both teabags AfterDry'!$D$1:$D$839,MATCH(I255,'Both teabags AfterDry'!$A$1:$A$839,0)),"")="N.A","",(IFERROR(INDEX('Both teabags AfterDry'!$D$1:$D$839,MATCH(I255,'Both teabags AfterDry'!$A$1:$A$839,0)),"")))</f>
        <v>1.6720999999999999</v>
      </c>
      <c r="U255" s="195">
        <f t="shared" si="31"/>
        <v>0.66179999999999994</v>
      </c>
      <c r="V255" s="195">
        <f t="shared" si="31"/>
        <v>1.5214999999999999</v>
      </c>
      <c r="W255" s="195">
        <f>IFERROR(INDEX('Ashed teabags dry'!$K$2:$K$821,MATCH(H255,'Ashed teabags dry'!$A$2:$A$821,0)),"")</f>
        <v>19.084712755598879</v>
      </c>
      <c r="X255" s="195">
        <f>IFERROR(INDEX('Ashed teabags dry'!$K$2:$K$821,MATCH(I255,'Ashed teabags dry'!$A$2:$A$821,0)),"")</f>
        <v>6.4801178203239465</v>
      </c>
      <c r="Y255" s="195">
        <f t="shared" si="26"/>
        <v>0.53549737098344652</v>
      </c>
      <c r="Z255" s="195">
        <f t="shared" si="26"/>
        <v>1.422905007363771</v>
      </c>
      <c r="AA255" s="195">
        <f t="shared" si="32"/>
        <v>0.67893018353817514</v>
      </c>
      <c r="AB255" s="195">
        <f t="shared" si="33"/>
        <v>0.44509437210578712</v>
      </c>
      <c r="AC255" s="195">
        <f t="shared" si="27"/>
        <v>0.74398579035594115</v>
      </c>
      <c r="AD255">
        <f t="shared" si="28"/>
        <v>69</v>
      </c>
      <c r="AE255" s="195">
        <f t="shared" si="34"/>
        <v>0.19366961575038577</v>
      </c>
      <c r="AF255" s="195">
        <f t="shared" si="35"/>
        <v>1.2407467633088675E-2</v>
      </c>
      <c r="AG255" s="255" t="str">
        <f>IF(ISNUMBER(SEARCH("C", 'Dry_Litterbag Placem_Collection'!AB182)),"YES","NO")</f>
        <v>NO</v>
      </c>
      <c r="AH255" s="255" t="str">
        <f>IF(ISNUMBER(SEARCH("H", 'Dry_Litterbag Placem_Collection'!AB182)),"YES","NO")</f>
        <v>NO</v>
      </c>
      <c r="AI255" s="255" t="str">
        <f>IF(ISNUMBER(SEARCH("R", 'Dry_Litterbag Placem_Collection'!AB182)),"YES","NO")</f>
        <v>NO</v>
      </c>
      <c r="AJ255" s="255" t="str">
        <f>IF(ISNUMBER(SEARCH("C", 'Dry_Litterbag Placem_Collection'!AA182)),"YES","NO")</f>
        <v>NO</v>
      </c>
      <c r="AK255" s="255" t="str">
        <f>IF(ISNUMBER(SEARCH("H", 'Dry_Litterbag Placem_Collection'!AA182)),"YES","NO")</f>
        <v>NO</v>
      </c>
      <c r="AL255" s="255" t="str">
        <f>IF(ISNUMBER(SEARCH("R", 'Dry_Litterbag Placem_Collection'!AA182)),"YES","NO")</f>
        <v>NO</v>
      </c>
      <c r="AR255" t="s">
        <v>1805</v>
      </c>
      <c r="AT255" t="s">
        <v>816</v>
      </c>
    </row>
    <row r="256" spans="2:46">
      <c r="B256" t="str">
        <f>'Final data_for_R_analysis_Dryse'!A182</f>
        <v>Dry</v>
      </c>
      <c r="C256" s="263">
        <f>'Final data_for_R_analysis_Dryse'!B182</f>
        <v>181</v>
      </c>
      <c r="D256" t="s">
        <v>3854</v>
      </c>
      <c r="E256" t="s">
        <v>22</v>
      </c>
      <c r="F256" s="387">
        <v>5</v>
      </c>
      <c r="G256" s="16">
        <f>'Dry_Litterbag Placem_Collection'!E183</f>
        <v>42940</v>
      </c>
      <c r="H256" t="str">
        <f>'Final data_for_R_analysis_Dryse'!J182</f>
        <v>G411</v>
      </c>
      <c r="I256" t="str">
        <f>'Final data_for_R_analysis_Dryse'!J402</f>
        <v>R116</v>
      </c>
      <c r="J256">
        <f>IFERROR(INDEX('Green_rooibos initial weight'!$C$5:$C$1749,MATCH(H256, 'Green_rooibos initial weight'!$A$5:$A$1749,0)),"")</f>
        <v>2.1120000000000001</v>
      </c>
      <c r="K256">
        <f>IFERROR(INDEX('Green_rooibos initial weight'!$C$5:$C$1749,MATCH(I256, 'Green_rooibos initial weight'!$A$5:$A$1749,0)),"")</f>
        <v>2.2909999999999999</v>
      </c>
      <c r="L256" s="195">
        <f t="shared" si="29"/>
        <v>1.8622000000000001</v>
      </c>
      <c r="M256" s="240">
        <f>AVERAGE(Ashed_controlls!$K$1:$K$11)</f>
        <v>5.5147656768714146</v>
      </c>
      <c r="N256" s="195">
        <f t="shared" si="24"/>
        <v>1.7595040335653005</v>
      </c>
      <c r="O256" s="195">
        <f t="shared" si="30"/>
        <v>2.0411999999999999</v>
      </c>
      <c r="P256" s="240">
        <f>AVERAGE(Ashed_controlls!$K$12:$K$14)</f>
        <v>2.2816647271287041</v>
      </c>
      <c r="Q256" s="195">
        <f t="shared" si="25"/>
        <v>1.9946266595898487</v>
      </c>
      <c r="R256" s="16">
        <f>IF('Dry_Litterbag Placem_Collection'!G183="N.A","",'Dry_Litterbag Placem_Collection'!G183)</f>
        <v>43009</v>
      </c>
      <c r="S256" s="195">
        <f>IF(IFERROR(INDEX('Both teabags AfterDry'!$D$1:$D$839,MATCH(H256,'Both teabags AfterDry'!$A$1:$A$839,0)),"")="N.A","",(IFERROR(INDEX('Both teabags AfterDry'!$D$1:$D$839,MATCH(H256,'Both teabags AfterDry'!$A$1:$A$839,0)),"")))</f>
        <v>0.76629999999999998</v>
      </c>
      <c r="T256" s="195">
        <f>IF(IFERROR(INDEX('Both teabags AfterDry'!$D$1:$D$839,MATCH(I256,'Both teabags AfterDry'!$A$1:$A$839,0)),"")="N.A","",(IFERROR(INDEX('Both teabags AfterDry'!$D$1:$D$839,MATCH(I256,'Both teabags AfterDry'!$A$1:$A$839,0)),"")))</f>
        <v>2.0322</v>
      </c>
      <c r="U256" s="195">
        <f t="shared" si="31"/>
        <v>0.61569999999999991</v>
      </c>
      <c r="V256" s="195">
        <f t="shared" si="31"/>
        <v>1.8815999999999999</v>
      </c>
      <c r="W256" s="195">
        <f>IFERROR(INDEX('Ashed teabags dry'!$K$2:$K$821,MATCH(H256,'Ashed teabags dry'!$A$2:$A$821,0)),"")</f>
        <v>18.218018914882634</v>
      </c>
      <c r="X256" s="195">
        <f>IFERROR(INDEX('Ashed teabags dry'!$K$2:$K$821,MATCH(I256,'Ashed teabags dry'!$A$2:$A$821,0)),"")</f>
        <v>7.2674418604643565</v>
      </c>
      <c r="Y256" s="195">
        <f t="shared" si="26"/>
        <v>0.50353165754106755</v>
      </c>
      <c r="Z256" s="195">
        <f t="shared" si="26"/>
        <v>1.7448558139535026</v>
      </c>
      <c r="AA256" s="195">
        <f t="shared" si="32"/>
        <v>0.71382182255032611</v>
      </c>
      <c r="AB256" s="195">
        <f t="shared" si="33"/>
        <v>0.467968700769335</v>
      </c>
      <c r="AC256" s="195">
        <f t="shared" si="27"/>
        <v>0.8747781473613182</v>
      </c>
      <c r="AD256">
        <f t="shared" si="28"/>
        <v>69</v>
      </c>
      <c r="AE256" s="195">
        <f t="shared" si="34"/>
        <v>0.15223061454830622</v>
      </c>
      <c r="AF256" s="195">
        <f t="shared" si="35"/>
        <v>4.5131781508547849E-3</v>
      </c>
      <c r="AG256" s="255" t="str">
        <f>IF(ISNUMBER(SEARCH("C", 'Dry_Litterbag Placem_Collection'!AB183)),"YES","NO")</f>
        <v>NO</v>
      </c>
      <c r="AH256" s="255" t="str">
        <f>IF(ISNUMBER(SEARCH("H", 'Dry_Litterbag Placem_Collection'!AB183)),"YES","NO")</f>
        <v>NO</v>
      </c>
      <c r="AI256" s="255" t="str">
        <f>IF(ISNUMBER(SEARCH("R", 'Dry_Litterbag Placem_Collection'!AB183)),"YES","NO")</f>
        <v>NO</v>
      </c>
      <c r="AJ256" s="255" t="str">
        <f>IF(ISNUMBER(SEARCH("C", 'Dry_Litterbag Placem_Collection'!AA183)),"YES","NO")</f>
        <v>NO</v>
      </c>
      <c r="AK256" s="255" t="str">
        <f>IF(ISNUMBER(SEARCH("H", 'Dry_Litterbag Placem_Collection'!AA183)),"YES","NO")</f>
        <v>NO</v>
      </c>
      <c r="AL256" s="255" t="str">
        <f>IF(ISNUMBER(SEARCH("R", 'Dry_Litterbag Placem_Collection'!AA183)),"YES","NO")</f>
        <v>NO</v>
      </c>
      <c r="AR256" t="s">
        <v>1639</v>
      </c>
      <c r="AT256" t="s">
        <v>1025</v>
      </c>
    </row>
    <row r="257" spans="2:46">
      <c r="B257" t="str">
        <f>'Final data_for_R_analysis_Dryse'!A183</f>
        <v>Dry</v>
      </c>
      <c r="C257" s="263">
        <f>'Final data_for_R_analysis_Dryse'!B183</f>
        <v>182</v>
      </c>
      <c r="D257" t="s">
        <v>3854</v>
      </c>
      <c r="E257" t="s">
        <v>22</v>
      </c>
      <c r="F257" s="387">
        <v>6</v>
      </c>
      <c r="G257" s="16">
        <f>'Dry_Litterbag Placem_Collection'!E184</f>
        <v>42940</v>
      </c>
      <c r="H257" t="str">
        <f>'Final data_for_R_analysis_Dryse'!J183</f>
        <v>G309</v>
      </c>
      <c r="I257" t="str">
        <f>'Final data_for_R_analysis_Dryse'!J403</f>
        <v>R613</v>
      </c>
      <c r="J257">
        <f>IFERROR(INDEX('Green_rooibos initial weight'!$C$5:$C$1749,MATCH(H257, 'Green_rooibos initial weight'!$A$5:$A$1749,0)),"")</f>
        <v>2.0579999999999998</v>
      </c>
      <c r="K257">
        <f>IFERROR(INDEX('Green_rooibos initial weight'!$C$5:$C$1749,MATCH(I257, 'Green_rooibos initial weight'!$A$5:$A$1749,0)),"")</f>
        <v>2.1680000000000001</v>
      </c>
      <c r="L257" s="195">
        <f t="shared" si="29"/>
        <v>1.8081999999999998</v>
      </c>
      <c r="M257" s="240">
        <f>AVERAGE(Ashed_controlls!$K$1:$K$11)</f>
        <v>5.5147656768714146</v>
      </c>
      <c r="N257" s="195">
        <f t="shared" si="24"/>
        <v>1.7084820070308109</v>
      </c>
      <c r="O257" s="195">
        <f t="shared" si="30"/>
        <v>1.9182000000000001</v>
      </c>
      <c r="P257" s="240">
        <f>AVERAGE(Ashed_controlls!$K$12:$K$14)</f>
        <v>2.2816647271287041</v>
      </c>
      <c r="Q257" s="195">
        <f t="shared" si="25"/>
        <v>1.8744331072042173</v>
      </c>
      <c r="R257" s="16">
        <f>IF('Dry_Litterbag Placem_Collection'!G184="N.A","",'Dry_Litterbag Placem_Collection'!G184)</f>
        <v>43009</v>
      </c>
      <c r="S257" s="195">
        <f>IF(IFERROR(INDEX('Both teabags AfterDry'!$D$1:$D$839,MATCH(H257,'Both teabags AfterDry'!$A$1:$A$839,0)),"")="N.A","",(IFERROR(INDEX('Both teabags AfterDry'!$D$1:$D$839,MATCH(H257,'Both teabags AfterDry'!$A$1:$A$839,0)),"")))</f>
        <v>0.88170000000000004</v>
      </c>
      <c r="T257" s="195">
        <f>IF(IFERROR(INDEX('Both teabags AfterDry'!$D$1:$D$839,MATCH(I257,'Both teabags AfterDry'!$A$1:$A$839,0)),"")="N.A","",(IFERROR(INDEX('Both teabags AfterDry'!$D$1:$D$839,MATCH(I257,'Both teabags AfterDry'!$A$1:$A$839,0)),"")))</f>
        <v>1.7827</v>
      </c>
      <c r="U257" s="195">
        <f t="shared" si="31"/>
        <v>0.73110000000000008</v>
      </c>
      <c r="V257" s="195">
        <f t="shared" si="31"/>
        <v>1.6320999999999999</v>
      </c>
      <c r="W257" s="195">
        <f>IFERROR(INDEX('Ashed teabags dry'!$K$2:$K$821,MATCH(H257,'Ashed teabags dry'!$A$2:$A$821,0)),"")</f>
        <v>34.288537549406669</v>
      </c>
      <c r="X257" s="195">
        <f>IFERROR(INDEX('Ashed teabags dry'!$K$2:$K$821,MATCH(I257,'Ashed teabags dry'!$A$2:$A$821,0)),"")</f>
        <v>22.3821339950374</v>
      </c>
      <c r="Y257" s="195">
        <f t="shared" si="26"/>
        <v>0.48041650197628794</v>
      </c>
      <c r="Z257" s="195">
        <f t="shared" si="26"/>
        <v>1.2668011910669945</v>
      </c>
      <c r="AA257" s="195">
        <f t="shared" si="32"/>
        <v>0.71880505618481227</v>
      </c>
      <c r="AB257" s="195">
        <f t="shared" si="33"/>
        <v>0.47123561878149217</v>
      </c>
      <c r="AC257" s="195">
        <f t="shared" si="27"/>
        <v>0.67583163474767738</v>
      </c>
      <c r="AD257">
        <f t="shared" si="28"/>
        <v>69</v>
      </c>
      <c r="AE257" s="195">
        <f t="shared" si="34"/>
        <v>0.14631228481613745</v>
      </c>
      <c r="AF257" s="195">
        <f t="shared" si="35"/>
        <v>1.687635118792085E-2</v>
      </c>
      <c r="AG257" s="255" t="str">
        <f>IF(ISNUMBER(SEARCH("C", 'Dry_Litterbag Placem_Collection'!AB184)),"YES","NO")</f>
        <v>NO</v>
      </c>
      <c r="AH257" s="255" t="str">
        <f>IF(ISNUMBER(SEARCH("H", 'Dry_Litterbag Placem_Collection'!AB184)),"YES","NO")</f>
        <v>NO</v>
      </c>
      <c r="AI257" s="255" t="str">
        <f>IF(ISNUMBER(SEARCH("R", 'Dry_Litterbag Placem_Collection'!AB184)),"YES","NO")</f>
        <v>NO</v>
      </c>
      <c r="AJ257" s="255" t="str">
        <f>IF(ISNUMBER(SEARCH("C", 'Dry_Litterbag Placem_Collection'!AA184)),"YES","NO")</f>
        <v>NO</v>
      </c>
      <c r="AK257" s="255" t="str">
        <f>IF(ISNUMBER(SEARCH("H", 'Dry_Litterbag Placem_Collection'!AA184)),"YES","NO")</f>
        <v>NO</v>
      </c>
      <c r="AL257" s="255" t="str">
        <f>IF(ISNUMBER(SEARCH("R", 'Dry_Litterbag Placem_Collection'!AA184)),"YES","NO")</f>
        <v>NO</v>
      </c>
      <c r="AR257" t="s">
        <v>1741</v>
      </c>
      <c r="AT257" t="s">
        <v>526</v>
      </c>
    </row>
    <row r="258" spans="2:46">
      <c r="B258" t="str">
        <f>'Final data_for_R_analysis_Dryse'!A184</f>
        <v>Dry</v>
      </c>
      <c r="C258" s="263">
        <f>'Final data_for_R_analysis_Dryse'!B184</f>
        <v>183</v>
      </c>
      <c r="D258" t="s">
        <v>3854</v>
      </c>
      <c r="E258" t="s">
        <v>22</v>
      </c>
      <c r="F258" s="387">
        <v>7</v>
      </c>
      <c r="G258" s="16">
        <f>'Dry_Litterbag Placem_Collection'!E185</f>
        <v>0</v>
      </c>
      <c r="H258" t="str">
        <f>'Final data_for_R_analysis_Dryse'!J184</f>
        <v/>
      </c>
      <c r="I258" t="str">
        <f>'Final data_for_R_analysis_Dryse'!J404</f>
        <v/>
      </c>
      <c r="J258" t="str">
        <f>IFERROR(INDEX('Green_rooibos initial weight'!$C$5:$C$1749,MATCH(H258, 'Green_rooibos initial weight'!$A$5:$A$1749,0)),"")</f>
        <v/>
      </c>
      <c r="K258" t="str">
        <f>IFERROR(INDEX('Green_rooibos initial weight'!$C$5:$C$1749,MATCH(I258, 'Green_rooibos initial weight'!$A$5:$A$1749,0)),"")</f>
        <v/>
      </c>
      <c r="L258" s="195" t="str">
        <f t="shared" si="29"/>
        <v/>
      </c>
      <c r="M258" s="240">
        <f>AVERAGE(Ashed_controlls!$K$1:$K$11)</f>
        <v>5.5147656768714146</v>
      </c>
      <c r="N258" s="195" t="str">
        <f t="shared" si="24"/>
        <v/>
      </c>
      <c r="O258" s="195" t="str">
        <f t="shared" si="30"/>
        <v/>
      </c>
      <c r="P258" s="240">
        <f>AVERAGE(Ashed_controlls!$K$12:$K$14)</f>
        <v>2.2816647271287041</v>
      </c>
      <c r="Q258" s="195" t="str">
        <f t="shared" si="25"/>
        <v/>
      </c>
      <c r="R258" s="16">
        <f>IF('Dry_Litterbag Placem_Collection'!G185="N.A","",'Dry_Litterbag Placem_Collection'!G185)</f>
        <v>0</v>
      </c>
      <c r="S258" s="195" t="str">
        <f>IF(IFERROR(INDEX('Both teabags AfterDry'!$D$1:$D$839,MATCH(H258,'Both teabags AfterDry'!$A$1:$A$839,0)),"")="N.A","",(IFERROR(INDEX('Both teabags AfterDry'!$D$1:$D$839,MATCH(H258,'Both teabags AfterDry'!$A$1:$A$839,0)),"")))</f>
        <v/>
      </c>
      <c r="T258" s="195" t="str">
        <f>IF(IFERROR(INDEX('Both teabags AfterDry'!$D$1:$D$839,MATCH(I258,'Both teabags AfterDry'!$A$1:$A$839,0)),"")="N.A","",(IFERROR(INDEX('Both teabags AfterDry'!$D$1:$D$839,MATCH(I258,'Both teabags AfterDry'!$A$1:$A$839,0)),"")))</f>
        <v/>
      </c>
      <c r="U258" s="195" t="str">
        <f t="shared" si="31"/>
        <v/>
      </c>
      <c r="V258" s="195" t="str">
        <f t="shared" si="31"/>
        <v/>
      </c>
      <c r="W258" s="195" t="str">
        <f>IFERROR(INDEX('Ashed teabags dry'!$K$2:$K$821,MATCH(H258,'Ashed teabags dry'!$A$2:$A$821,0)),"")</f>
        <v/>
      </c>
      <c r="X258" s="195" t="str">
        <f>IFERROR(INDEX('Ashed teabags dry'!$K$2:$K$821,MATCH(I258,'Ashed teabags dry'!$A$2:$A$821,0)),"")</f>
        <v/>
      </c>
      <c r="Y258" s="195" t="str">
        <f t="shared" si="26"/>
        <v/>
      </c>
      <c r="Z258" s="195" t="str">
        <f t="shared" si="26"/>
        <v/>
      </c>
      <c r="AA258" s="195" t="str">
        <f t="shared" si="32"/>
        <v/>
      </c>
      <c r="AB258" s="195" t="str">
        <f t="shared" si="33"/>
        <v/>
      </c>
      <c r="AC258" s="195" t="str">
        <f t="shared" si="27"/>
        <v/>
      </c>
      <c r="AD258" t="str">
        <f t="shared" si="28"/>
        <v/>
      </c>
      <c r="AE258" s="195" t="str">
        <f t="shared" si="34"/>
        <v/>
      </c>
      <c r="AF258" s="195" t="str">
        <f t="shared" si="35"/>
        <v/>
      </c>
      <c r="AG258" s="255" t="str">
        <f>IF(ISNUMBER(SEARCH("C", 'Dry_Litterbag Placem_Collection'!AB185)),"YES","NO")</f>
        <v>NO</v>
      </c>
      <c r="AH258" s="255" t="str">
        <f>IF(ISNUMBER(SEARCH("H", 'Dry_Litterbag Placem_Collection'!AB185)),"YES","NO")</f>
        <v>NO</v>
      </c>
      <c r="AI258" s="255" t="str">
        <f>IF(ISNUMBER(SEARCH("R", 'Dry_Litterbag Placem_Collection'!AB185)),"YES","NO")</f>
        <v>NO</v>
      </c>
      <c r="AJ258" s="255" t="str">
        <f>IF(ISNUMBER(SEARCH("C", 'Dry_Litterbag Placem_Collection'!AA185)),"YES","NO")</f>
        <v>NO</v>
      </c>
      <c r="AK258" s="255" t="str">
        <f>IF(ISNUMBER(SEARCH("H", 'Dry_Litterbag Placem_Collection'!AA185)),"YES","NO")</f>
        <v>NO</v>
      </c>
      <c r="AL258" s="255" t="str">
        <f>IF(ISNUMBER(SEARCH("R", 'Dry_Litterbag Placem_Collection'!AA185)),"YES","NO")</f>
        <v>NO</v>
      </c>
      <c r="AR258" t="s">
        <v>3654</v>
      </c>
      <c r="AT258" t="s">
        <v>3654</v>
      </c>
    </row>
    <row r="259" spans="2:46">
      <c r="B259" t="str">
        <f>'Final data_for_R_analysis_Dryse'!A185</f>
        <v>Dry</v>
      </c>
      <c r="C259" s="263">
        <f>'Final data_for_R_analysis_Dryse'!B185</f>
        <v>184</v>
      </c>
      <c r="D259" t="s">
        <v>3854</v>
      </c>
      <c r="E259" t="s">
        <v>22</v>
      </c>
      <c r="F259" s="387">
        <v>8</v>
      </c>
      <c r="G259" s="16">
        <f>'Dry_Litterbag Placem_Collection'!E186</f>
        <v>42940</v>
      </c>
      <c r="H259" t="str">
        <f>'Final data_for_R_analysis_Dryse'!J185</f>
        <v>G235</v>
      </c>
      <c r="I259" t="str">
        <f>'Final data_for_R_analysis_Dryse'!J405</f>
        <v>R179</v>
      </c>
      <c r="J259">
        <f>IFERROR(INDEX('Green_rooibos initial weight'!$C$5:$C$1749,MATCH(H259, 'Green_rooibos initial weight'!$A$5:$A$1749,0)),"")</f>
        <v>1.9259999999999999</v>
      </c>
      <c r="K259">
        <f>IFERROR(INDEX('Green_rooibos initial weight'!$C$5:$C$1749,MATCH(I259, 'Green_rooibos initial weight'!$A$5:$A$1749,0)),"")</f>
        <v>2.177</v>
      </c>
      <c r="L259" s="195">
        <f t="shared" si="29"/>
        <v>1.6761999999999999</v>
      </c>
      <c r="M259" s="240">
        <f>AVERAGE(Ashed_controlls!$K$1:$K$11)</f>
        <v>5.5147656768714146</v>
      </c>
      <c r="N259" s="195">
        <f t="shared" si="24"/>
        <v>1.5837614977242813</v>
      </c>
      <c r="O259" s="195">
        <f t="shared" si="30"/>
        <v>1.9272</v>
      </c>
      <c r="P259" s="240">
        <f>AVERAGE(Ashed_controlls!$K$12:$K$14)</f>
        <v>2.2816647271287041</v>
      </c>
      <c r="Q259" s="195">
        <f t="shared" si="25"/>
        <v>1.8832277573787757</v>
      </c>
      <c r="R259" s="16">
        <f>IF('Dry_Litterbag Placem_Collection'!G186="N.A","",'Dry_Litterbag Placem_Collection'!G186)</f>
        <v>43009</v>
      </c>
      <c r="S259" s="195">
        <f>IF(IFERROR(INDEX('Both teabags AfterDry'!$D$1:$D$839,MATCH(H259,'Both teabags AfterDry'!$A$1:$A$839,0)),"")="N.A","",(IFERROR(INDEX('Both teabags AfterDry'!$D$1:$D$839,MATCH(H259,'Both teabags AfterDry'!$A$1:$A$839,0)),"")))</f>
        <v>0.66620000000000001</v>
      </c>
      <c r="T259" s="195">
        <f>IF(IFERROR(INDEX('Both teabags AfterDry'!$D$1:$D$839,MATCH(I259,'Both teabags AfterDry'!$A$1:$A$839,0)),"")="N.A","",(IFERROR(INDEX('Both teabags AfterDry'!$D$1:$D$839,MATCH(I259,'Both teabags AfterDry'!$A$1:$A$839,0)),"")))</f>
        <v>1.7174</v>
      </c>
      <c r="U259" s="195">
        <f t="shared" si="31"/>
        <v>0.51560000000000006</v>
      </c>
      <c r="V259" s="195">
        <f t="shared" si="31"/>
        <v>1.5668</v>
      </c>
      <c r="W259" s="195">
        <f>IFERROR(INDEX('Ashed teabags dry'!$K$2:$K$821,MATCH(H259,'Ashed teabags dry'!$A$2:$A$821,0)),"")</f>
        <v>28.09315866084463</v>
      </c>
      <c r="X259" s="195">
        <f>IFERROR(INDEX('Ashed teabags dry'!$K$2:$K$821,MATCH(I259,'Ashed teabags dry'!$A$2:$A$821,0)),"")</f>
        <v>5.7032382793619867</v>
      </c>
      <c r="Y259" s="195">
        <f t="shared" si="26"/>
        <v>0.37075167394468511</v>
      </c>
      <c r="Z259" s="195">
        <f t="shared" si="26"/>
        <v>1.4774416626389564</v>
      </c>
      <c r="AA259" s="195">
        <f t="shared" si="32"/>
        <v>0.7659043520899953</v>
      </c>
      <c r="AB259" s="195">
        <f t="shared" si="33"/>
        <v>0.502113066928358</v>
      </c>
      <c r="AC259" s="195">
        <f t="shared" si="27"/>
        <v>0.78452627774315298</v>
      </c>
      <c r="AD259">
        <f t="shared" si="28"/>
        <v>69</v>
      </c>
      <c r="AE259" s="195">
        <f t="shared" si="34"/>
        <v>9.0374878752974674E-2</v>
      </c>
      <c r="AF259" s="195">
        <f t="shared" si="35"/>
        <v>8.1246455145481105E-3</v>
      </c>
      <c r="AG259" s="255" t="str">
        <f>IF(ISNUMBER(SEARCH("C", 'Dry_Litterbag Placem_Collection'!AB186)),"YES","NO")</f>
        <v>NO</v>
      </c>
      <c r="AH259" s="255" t="str">
        <f>IF(ISNUMBER(SEARCH("H", 'Dry_Litterbag Placem_Collection'!AB186)),"YES","NO")</f>
        <v>NO</v>
      </c>
      <c r="AI259" s="255" t="str">
        <f>IF(ISNUMBER(SEARCH("R", 'Dry_Litterbag Placem_Collection'!AB186)),"YES","NO")</f>
        <v>NO</v>
      </c>
      <c r="AJ259" s="255" t="str">
        <f>IF(ISNUMBER(SEARCH("C", 'Dry_Litterbag Placem_Collection'!AA186)),"YES","NO")</f>
        <v>NO</v>
      </c>
      <c r="AK259" s="255" t="str">
        <f>IF(ISNUMBER(SEARCH("H", 'Dry_Litterbag Placem_Collection'!AA186)),"YES","NO")</f>
        <v>NO</v>
      </c>
      <c r="AL259" s="255" t="str">
        <f>IF(ISNUMBER(SEARCH("R", 'Dry_Litterbag Placem_Collection'!AA186)),"YES","NO")</f>
        <v>NO</v>
      </c>
      <c r="AR259" t="s">
        <v>1815</v>
      </c>
      <c r="AT259" t="s">
        <v>962</v>
      </c>
    </row>
    <row r="260" spans="2:46">
      <c r="B260" t="str">
        <f>'Final data_for_R_analysis_Dryse'!A186</f>
        <v>Dry</v>
      </c>
      <c r="C260" s="263">
        <f>'Final data_for_R_analysis_Dryse'!B186</f>
        <v>185</v>
      </c>
      <c r="D260" t="s">
        <v>3855</v>
      </c>
      <c r="E260" t="s">
        <v>22</v>
      </c>
      <c r="F260" s="386">
        <v>1</v>
      </c>
      <c r="G260" s="16">
        <f>'Dry_Litterbag Placem_Collection'!E187</f>
        <v>42940</v>
      </c>
      <c r="H260" t="str">
        <f>'Final data_for_R_analysis_Dryse'!J186</f>
        <v>G369</v>
      </c>
      <c r="I260" t="str">
        <f>'Final data_for_R_analysis_Dryse'!J406</f>
        <v>R300</v>
      </c>
      <c r="J260">
        <f>IFERROR(INDEX('Green_rooibos initial weight'!$C$5:$C$1749,MATCH(H260, 'Green_rooibos initial weight'!$A$5:$A$1749,0)),"")</f>
        <v>2.1219999999999999</v>
      </c>
      <c r="K260">
        <f>IFERROR(INDEX('Green_rooibos initial weight'!$C$5:$C$1749,MATCH(I260, 'Green_rooibos initial weight'!$A$5:$A$1749,0)),"")</f>
        <v>2.2330000000000001</v>
      </c>
      <c r="L260" s="195">
        <f t="shared" si="29"/>
        <v>1.8721999999999999</v>
      </c>
      <c r="M260" s="240">
        <f>AVERAGE(Ashed_controlls!$K$1:$K$11)</f>
        <v>5.5147656768714146</v>
      </c>
      <c r="N260" s="195">
        <f t="shared" si="24"/>
        <v>1.7689525569976132</v>
      </c>
      <c r="O260" s="195">
        <f t="shared" si="30"/>
        <v>1.9832000000000001</v>
      </c>
      <c r="P260" s="240">
        <f>AVERAGE(Ashed_controlls!$K$12:$K$14)</f>
        <v>2.2816647271287041</v>
      </c>
      <c r="Q260" s="195">
        <f t="shared" si="25"/>
        <v>1.9379500251315835</v>
      </c>
      <c r="R260" s="16">
        <f>IF('Dry_Litterbag Placem_Collection'!G187="N.A","",'Dry_Litterbag Placem_Collection'!G187)</f>
        <v>43009</v>
      </c>
      <c r="S260" s="195" t="str">
        <f>IF(IFERROR(INDEX('Both teabags AfterDry'!$D$1:$D$839,MATCH(H260,'Both teabags AfterDry'!$A$1:$A$839,0)),"")="N.A","",(IFERROR(INDEX('Both teabags AfterDry'!$D$1:$D$839,MATCH(H260,'Both teabags AfterDry'!$A$1:$A$839,0)),"")))</f>
        <v/>
      </c>
      <c r="T260" s="195" t="str">
        <f>IF(IFERROR(INDEX('Both teabags AfterDry'!$D$1:$D$839,MATCH(I260,'Both teabags AfterDry'!$A$1:$A$839,0)),"")="N.A","",(IFERROR(INDEX('Both teabags AfterDry'!$D$1:$D$839,MATCH(I260,'Both teabags AfterDry'!$A$1:$A$839,0)),"")))</f>
        <v/>
      </c>
      <c r="U260" s="195" t="str">
        <f t="shared" si="31"/>
        <v/>
      </c>
      <c r="V260" s="195" t="str">
        <f t="shared" si="31"/>
        <v/>
      </c>
      <c r="W260" s="195" t="str">
        <f>IFERROR(INDEX('Ashed teabags dry'!$K$2:$K$821,MATCH(H260,'Ashed teabags dry'!$A$2:$A$821,0)),"")</f>
        <v/>
      </c>
      <c r="X260" s="195" t="str">
        <f>IFERROR(INDEX('Ashed teabags dry'!$K$2:$K$821,MATCH(I260,'Ashed teabags dry'!$A$2:$A$821,0)),"")</f>
        <v/>
      </c>
      <c r="Y260" s="195" t="str">
        <f t="shared" si="26"/>
        <v/>
      </c>
      <c r="Z260" s="195" t="str">
        <f t="shared" si="26"/>
        <v/>
      </c>
      <c r="AA260" s="195" t="str">
        <f t="shared" si="32"/>
        <v/>
      </c>
      <c r="AB260" s="195" t="str">
        <f t="shared" si="33"/>
        <v/>
      </c>
      <c r="AC260" s="195" t="str">
        <f t="shared" si="27"/>
        <v/>
      </c>
      <c r="AD260">
        <f t="shared" si="28"/>
        <v>69</v>
      </c>
      <c r="AE260" s="195" t="str">
        <f t="shared" si="34"/>
        <v/>
      </c>
      <c r="AF260" s="195" t="str">
        <f t="shared" si="35"/>
        <v/>
      </c>
      <c r="AG260" s="255" t="str">
        <f>IF(ISNUMBER(SEARCH("C", 'Dry_Litterbag Placem_Collection'!AB187)),"YES","NO")</f>
        <v>NO</v>
      </c>
      <c r="AH260" s="255" t="str">
        <f>IF(ISNUMBER(SEARCH("H", 'Dry_Litterbag Placem_Collection'!AB187)),"YES","NO")</f>
        <v>NO</v>
      </c>
      <c r="AI260" s="255" t="str">
        <f>IF(ISNUMBER(SEARCH("R", 'Dry_Litterbag Placem_Collection'!AB187)),"YES","NO")</f>
        <v>NO</v>
      </c>
      <c r="AJ260" s="255" t="str">
        <f>IF(ISNUMBER(SEARCH("C", 'Dry_Litterbag Placem_Collection'!AA187)),"YES","NO")</f>
        <v>NO</v>
      </c>
      <c r="AK260" s="255" t="str">
        <f>IF(ISNUMBER(SEARCH("H", 'Dry_Litterbag Placem_Collection'!AA187)),"YES","NO")</f>
        <v>NO</v>
      </c>
      <c r="AL260" s="255" t="str">
        <f>IF(ISNUMBER(SEARCH("R", 'Dry_Litterbag Placem_Collection'!AA187)),"YES","NO")</f>
        <v>NO</v>
      </c>
      <c r="AR260" t="s">
        <v>1681</v>
      </c>
      <c r="AT260" t="s">
        <v>841</v>
      </c>
    </row>
    <row r="261" spans="2:46">
      <c r="B261" t="str">
        <f>'Final data_for_R_analysis_Dryse'!A187</f>
        <v>Dry</v>
      </c>
      <c r="C261" s="263">
        <f>'Final data_for_R_analysis_Dryse'!B187</f>
        <v>186</v>
      </c>
      <c r="D261" t="s">
        <v>3855</v>
      </c>
      <c r="E261" t="s">
        <v>22</v>
      </c>
      <c r="F261" s="386">
        <v>2</v>
      </c>
      <c r="G261" s="16">
        <f>'Dry_Litterbag Placem_Collection'!E188</f>
        <v>42940</v>
      </c>
      <c r="H261" t="str">
        <f>'Final data_for_R_analysis_Dryse'!J187</f>
        <v>G295</v>
      </c>
      <c r="I261" t="str">
        <f>'Final data_for_R_analysis_Dryse'!J407</f>
        <v>R717</v>
      </c>
      <c r="J261">
        <f>IFERROR(INDEX('Green_rooibos initial weight'!$C$5:$C$1749,MATCH(H261, 'Green_rooibos initial weight'!$A$5:$A$1749,0)),"")</f>
        <v>2.0379999999999998</v>
      </c>
      <c r="K261">
        <f>IFERROR(INDEX('Green_rooibos initial weight'!$C$5:$C$1749,MATCH(I261, 'Green_rooibos initial weight'!$A$5:$A$1749,0)),"")</f>
        <v>2.1619999999999999</v>
      </c>
      <c r="L261" s="195">
        <f t="shared" si="29"/>
        <v>1.7881999999999998</v>
      </c>
      <c r="M261" s="240">
        <f>AVERAGE(Ashed_controlls!$K$1:$K$11)</f>
        <v>5.5147656768714146</v>
      </c>
      <c r="N261" s="195">
        <f t="shared" si="24"/>
        <v>1.6895849601661852</v>
      </c>
      <c r="O261" s="195">
        <f t="shared" si="30"/>
        <v>1.9121999999999999</v>
      </c>
      <c r="P261" s="240">
        <f>AVERAGE(Ashed_controlls!$K$12:$K$14)</f>
        <v>2.2816647271287041</v>
      </c>
      <c r="Q261" s="195">
        <f t="shared" si="25"/>
        <v>1.8685700070878448</v>
      </c>
      <c r="R261" s="16">
        <f>IF('Dry_Litterbag Placem_Collection'!G188="N.A","",'Dry_Litterbag Placem_Collection'!G188)</f>
        <v>43009</v>
      </c>
      <c r="S261" s="195">
        <f>IF(IFERROR(INDEX('Both teabags AfterDry'!$D$1:$D$839,MATCH(H261,'Both teabags AfterDry'!$A$1:$A$839,0)),"")="N.A","",(IFERROR(INDEX('Both teabags AfterDry'!$D$1:$D$839,MATCH(H261,'Both teabags AfterDry'!$A$1:$A$839,0)),"")))</f>
        <v>0.92659999999999998</v>
      </c>
      <c r="T261" s="195">
        <f>IF(IFERROR(INDEX('Both teabags AfterDry'!$D$1:$D$839,MATCH(I261,'Both teabags AfterDry'!$A$1:$A$839,0)),"")="N.A","",(IFERROR(INDEX('Both teabags AfterDry'!$D$1:$D$839,MATCH(I261,'Both teabags AfterDry'!$A$1:$A$839,0)),"")))</f>
        <v>1.7592000000000001</v>
      </c>
      <c r="U261" s="195">
        <f t="shared" si="31"/>
        <v>0.77600000000000002</v>
      </c>
      <c r="V261" s="195">
        <f t="shared" si="31"/>
        <v>1.6086</v>
      </c>
      <c r="W261" s="195">
        <f>IFERROR(INDEX('Ashed teabags dry'!$K$2:$K$821,MATCH(H261,'Ashed teabags dry'!$A$2:$A$821,0)),"")</f>
        <v>26.422563087580492</v>
      </c>
      <c r="X261" s="195">
        <f>IFERROR(INDEX('Ashed teabags dry'!$K$2:$K$821,MATCH(I261,'Ashed teabags dry'!$A$2:$A$821,0)),"")</f>
        <v>31.265266243282504</v>
      </c>
      <c r="Y261" s="195">
        <f t="shared" si="26"/>
        <v>0.57096091044037545</v>
      </c>
      <c r="Z261" s="195">
        <f t="shared" si="26"/>
        <v>1.1056669272105577</v>
      </c>
      <c r="AA261" s="195">
        <f t="shared" si="32"/>
        <v>0.66207031673375183</v>
      </c>
      <c r="AB261" s="195">
        <f t="shared" si="33"/>
        <v>0.4340413477874478</v>
      </c>
      <c r="AC261" s="195">
        <f t="shared" si="27"/>
        <v>0.5917182246405277</v>
      </c>
      <c r="AD261">
        <f t="shared" si="28"/>
        <v>69</v>
      </c>
      <c r="AE261" s="195">
        <f t="shared" si="34"/>
        <v>0.21369321052998591</v>
      </c>
      <c r="AF261" s="195">
        <f t="shared" si="35"/>
        <v>4.0932369538499956E-2</v>
      </c>
      <c r="AG261" s="255" t="str">
        <f>IF(ISNUMBER(SEARCH("C", 'Dry_Litterbag Placem_Collection'!AB188)),"YES","NO")</f>
        <v>NO</v>
      </c>
      <c r="AH261" s="255" t="str">
        <f>IF(ISNUMBER(SEARCH("H", 'Dry_Litterbag Placem_Collection'!AB188)),"YES","NO")</f>
        <v>NO</v>
      </c>
      <c r="AI261" s="255" t="str">
        <f>IF(ISNUMBER(SEARCH("R", 'Dry_Litterbag Placem_Collection'!AB188)),"YES","NO")</f>
        <v>NO</v>
      </c>
      <c r="AJ261" s="255" t="str">
        <f>IF(ISNUMBER(SEARCH("C", 'Dry_Litterbag Placem_Collection'!AA188)),"YES","NO")</f>
        <v>NO</v>
      </c>
      <c r="AK261" s="255" t="str">
        <f>IF(ISNUMBER(SEARCH("H", 'Dry_Litterbag Placem_Collection'!AA188)),"YES","NO")</f>
        <v>NO</v>
      </c>
      <c r="AL261" s="255" t="str">
        <f>IF(ISNUMBER(SEARCH("R", 'Dry_Litterbag Placem_Collection'!AA188)),"YES","NO")</f>
        <v>NO</v>
      </c>
      <c r="AR261" t="s">
        <v>1755</v>
      </c>
      <c r="AT261" t="s">
        <v>422</v>
      </c>
    </row>
    <row r="262" spans="2:46">
      <c r="B262" t="str">
        <f>'Final data_for_R_analysis_Dryse'!A188</f>
        <v>Dry</v>
      </c>
      <c r="C262" s="263">
        <f>'Final data_for_R_analysis_Dryse'!B188</f>
        <v>187</v>
      </c>
      <c r="D262" t="s">
        <v>3855</v>
      </c>
      <c r="E262" t="s">
        <v>22</v>
      </c>
      <c r="F262" s="386">
        <v>3</v>
      </c>
      <c r="G262" s="16">
        <f>'Dry_Litterbag Placem_Collection'!E189</f>
        <v>42940</v>
      </c>
      <c r="H262" t="str">
        <f>'Final data_for_R_analysis_Dryse'!J188</f>
        <v>G242</v>
      </c>
      <c r="I262" t="str">
        <f>'Final data_for_R_analysis_Dryse'!J408</f>
        <v>R759</v>
      </c>
      <c r="J262">
        <f>IFERROR(INDEX('Green_rooibos initial weight'!$C$5:$C$1749,MATCH(H262, 'Green_rooibos initial weight'!$A$5:$A$1749,0)),"")</f>
        <v>1.9470000000000001</v>
      </c>
      <c r="K262">
        <f>IFERROR(INDEX('Green_rooibos initial weight'!$C$5:$C$1749,MATCH(I262, 'Green_rooibos initial weight'!$A$5:$A$1749,0)),"")</f>
        <v>2.2469999999999999</v>
      </c>
      <c r="L262" s="195">
        <f t="shared" si="29"/>
        <v>1.6972</v>
      </c>
      <c r="M262" s="240">
        <f>AVERAGE(Ashed_controlls!$K$1:$K$11)</f>
        <v>5.5147656768714146</v>
      </c>
      <c r="N262" s="195">
        <f t="shared" si="24"/>
        <v>1.6036033969321384</v>
      </c>
      <c r="O262" s="195">
        <f t="shared" si="30"/>
        <v>1.9971999999999999</v>
      </c>
      <c r="P262" s="240">
        <f>AVERAGE(Ashed_controlls!$K$12:$K$14)</f>
        <v>2.2816647271287041</v>
      </c>
      <c r="Q262" s="195">
        <f t="shared" si="25"/>
        <v>1.9516305920697854</v>
      </c>
      <c r="R262" s="16">
        <f>IF('Dry_Litterbag Placem_Collection'!G189="N.A","",'Dry_Litterbag Placem_Collection'!G189)</f>
        <v>43009</v>
      </c>
      <c r="S262" s="195">
        <f>IF(IFERROR(INDEX('Both teabags AfterDry'!$D$1:$D$839,MATCH(H262,'Both teabags AfterDry'!$A$1:$A$839,0)),"")="N.A","",(IFERROR(INDEX('Both teabags AfterDry'!$D$1:$D$839,MATCH(H262,'Both teabags AfterDry'!$A$1:$A$839,0)),"")))</f>
        <v>0.70840000000000003</v>
      </c>
      <c r="T262" s="195">
        <f>IF(IFERROR(INDEX('Both teabags AfterDry'!$D$1:$D$839,MATCH(I262,'Both teabags AfterDry'!$A$1:$A$839,0)),"")="N.A","",(IFERROR(INDEX('Both teabags AfterDry'!$D$1:$D$839,MATCH(I262,'Both teabags AfterDry'!$A$1:$A$839,0)),"")))</f>
        <v>1.7075</v>
      </c>
      <c r="U262" s="195">
        <f t="shared" si="31"/>
        <v>0.55780000000000007</v>
      </c>
      <c r="V262" s="195">
        <f t="shared" si="31"/>
        <v>1.5569</v>
      </c>
      <c r="W262" s="195">
        <f>IFERROR(INDEX('Ashed teabags dry'!$K$2:$K$821,MATCH(H262,'Ashed teabags dry'!$A$2:$A$821,0)),"")</f>
        <v>27.059970745976948</v>
      </c>
      <c r="X262" s="195">
        <f>IFERROR(INDEX('Ashed teabags dry'!$K$2:$K$821,MATCH(I262,'Ashed teabags dry'!$A$2:$A$821,0)),"")</f>
        <v>9.3676814988289312</v>
      </c>
      <c r="Y262" s="195">
        <f t="shared" si="26"/>
        <v>0.40685948317894061</v>
      </c>
      <c r="Z262" s="195">
        <f t="shared" si="26"/>
        <v>1.4110545667447323</v>
      </c>
      <c r="AA262" s="195">
        <f t="shared" si="32"/>
        <v>0.74628422217282309</v>
      </c>
      <c r="AB262" s="195">
        <f t="shared" si="33"/>
        <v>0.48925046394227839</v>
      </c>
      <c r="AC262" s="195">
        <f t="shared" si="27"/>
        <v>0.72301314217884349</v>
      </c>
      <c r="AD262">
        <f t="shared" si="28"/>
        <v>69</v>
      </c>
      <c r="AE262" s="195">
        <f t="shared" si="34"/>
        <v>0.11367669575674211</v>
      </c>
      <c r="AF262" s="195">
        <f t="shared" si="35"/>
        <v>1.2102110538974925E-2</v>
      </c>
      <c r="AG262" s="255" t="str">
        <f>IF(ISNUMBER(SEARCH("C", 'Dry_Litterbag Placem_Collection'!AB189)),"YES","NO")</f>
        <v>NO</v>
      </c>
      <c r="AH262" s="255" t="str">
        <f>IF(ISNUMBER(SEARCH("H", 'Dry_Litterbag Placem_Collection'!AB189)),"YES","NO")</f>
        <v>NO</v>
      </c>
      <c r="AI262" s="255" t="str">
        <f>IF(ISNUMBER(SEARCH("R", 'Dry_Litterbag Placem_Collection'!AB189)),"YES","NO")</f>
        <v>NO</v>
      </c>
      <c r="AJ262" s="255" t="str">
        <f>IF(ISNUMBER(SEARCH("C", 'Dry_Litterbag Placem_Collection'!AA189)),"YES","NO")</f>
        <v>NO</v>
      </c>
      <c r="AK262" s="255" t="str">
        <f>IF(ISNUMBER(SEARCH("H", 'Dry_Litterbag Placem_Collection'!AA189)),"YES","NO")</f>
        <v>NO</v>
      </c>
      <c r="AL262" s="255" t="str">
        <f>IF(ISNUMBER(SEARCH("R", 'Dry_Litterbag Placem_Collection'!AA189)),"YES","NO")</f>
        <v>NO</v>
      </c>
      <c r="AR262" t="s">
        <v>1808</v>
      </c>
      <c r="AT262" t="s">
        <v>380</v>
      </c>
    </row>
    <row r="263" spans="2:46">
      <c r="B263" t="str">
        <f>'Final data_for_R_analysis_Dryse'!A189</f>
        <v>Dry</v>
      </c>
      <c r="C263" s="263">
        <f>'Final data_for_R_analysis_Dryse'!B189</f>
        <v>188</v>
      </c>
      <c r="D263" t="s">
        <v>3855</v>
      </c>
      <c r="E263" t="s">
        <v>22</v>
      </c>
      <c r="F263" s="387">
        <v>4</v>
      </c>
      <c r="G263" s="16">
        <f>'Dry_Litterbag Placem_Collection'!E190</f>
        <v>42940</v>
      </c>
      <c r="H263" t="str">
        <f>'Final data_for_R_analysis_Dryse'!J189</f>
        <v>G146</v>
      </c>
      <c r="I263" t="str">
        <f>'Final data_for_R_analysis_Dryse'!J409</f>
        <v>R357</v>
      </c>
      <c r="J263">
        <f>IFERROR(INDEX('Green_rooibos initial weight'!$C$5:$C$1749,MATCH(H263, 'Green_rooibos initial weight'!$A$5:$A$1749,0)),"")</f>
        <v>2.0529999999999999</v>
      </c>
      <c r="K263">
        <f>IFERROR(INDEX('Green_rooibos initial weight'!$C$5:$C$1749,MATCH(I263, 'Green_rooibos initial weight'!$A$5:$A$1749,0)),"")</f>
        <v>2.2090000000000001</v>
      </c>
      <c r="L263" s="195">
        <f t="shared" si="29"/>
        <v>1.8031999999999999</v>
      </c>
      <c r="M263" s="240">
        <f>AVERAGE(Ashed_controlls!$K$1:$K$11)</f>
        <v>5.5147656768714146</v>
      </c>
      <c r="N263" s="195">
        <f t="shared" si="24"/>
        <v>1.7037577453146546</v>
      </c>
      <c r="O263" s="195">
        <f t="shared" si="30"/>
        <v>1.9592000000000001</v>
      </c>
      <c r="P263" s="240">
        <f>AVERAGE(Ashed_controlls!$K$12:$K$14)</f>
        <v>2.2816647271287041</v>
      </c>
      <c r="Q263" s="195">
        <f t="shared" si="25"/>
        <v>1.9144976246660945</v>
      </c>
      <c r="R263" s="16">
        <f>IF('Dry_Litterbag Placem_Collection'!G190="N.A","",'Dry_Litterbag Placem_Collection'!G190)</f>
        <v>43009</v>
      </c>
      <c r="S263" s="195">
        <f>IF(IFERROR(INDEX('Both teabags AfterDry'!$D$1:$D$839,MATCH(H263,'Both teabags AfterDry'!$A$1:$A$839,0)),"")="N.A","",(IFERROR(INDEX('Both teabags AfterDry'!$D$1:$D$839,MATCH(H263,'Both teabags AfterDry'!$A$1:$A$839,0)),"")))</f>
        <v>0.91069999999999995</v>
      </c>
      <c r="T263" s="195">
        <f>IF(IFERROR(INDEX('Both teabags AfterDry'!$D$1:$D$839,MATCH(I263,'Both teabags AfterDry'!$A$1:$A$839,0)),"")="N.A","",(IFERROR(INDEX('Both teabags AfterDry'!$D$1:$D$839,MATCH(I263,'Both teabags AfterDry'!$A$1:$A$839,0)),"")))</f>
        <v>0</v>
      </c>
      <c r="U263" s="195">
        <f t="shared" si="31"/>
        <v>0.7601</v>
      </c>
      <c r="V263" s="195" t="str">
        <f t="shared" si="31"/>
        <v/>
      </c>
      <c r="W263" s="195">
        <f>IFERROR(INDEX('Ashed teabags dry'!$K$2:$K$821,MATCH(H263,'Ashed teabags dry'!$A$2:$A$821,0)),"")</f>
        <v>39.03411608329683</v>
      </c>
      <c r="X263" s="195">
        <f>IFERROR(INDEX('Ashed teabags dry'!$K$2:$K$821,MATCH(I263,'Ashed teabags dry'!$A$2:$A$821,0)),"")</f>
        <v>0</v>
      </c>
      <c r="Y263" s="195">
        <f t="shared" si="26"/>
        <v>0.46340168365086076</v>
      </c>
      <c r="Z263" s="195" t="str">
        <f t="shared" si="26"/>
        <v/>
      </c>
      <c r="AA263" s="195">
        <f t="shared" si="32"/>
        <v>0.72801198707667303</v>
      </c>
      <c r="AB263" s="195">
        <f t="shared" si="33"/>
        <v>0.47727151646831778</v>
      </c>
      <c r="AC263" s="195" t="str">
        <f t="shared" si="27"/>
        <v/>
      </c>
      <c r="AD263">
        <f t="shared" si="28"/>
        <v>69</v>
      </c>
      <c r="AE263" s="195">
        <f t="shared" si="34"/>
        <v>0.13537768755739543</v>
      </c>
      <c r="AF263" s="195" t="str">
        <f t="shared" si="35"/>
        <v/>
      </c>
      <c r="AG263" s="255" t="str">
        <f>IF(ISNUMBER(SEARCH("C", 'Dry_Litterbag Placem_Collection'!AB190)),"YES","NO")</f>
        <v>NO</v>
      </c>
      <c r="AH263" s="255" t="str">
        <f>IF(ISNUMBER(SEARCH("H", 'Dry_Litterbag Placem_Collection'!AB190)),"YES","NO")</f>
        <v>NO</v>
      </c>
      <c r="AI263" s="255" t="str">
        <f>IF(ISNUMBER(SEARCH("R", 'Dry_Litterbag Placem_Collection'!AB190)),"YES","NO")</f>
        <v>NO</v>
      </c>
      <c r="AJ263" s="255" t="str">
        <f>IF(ISNUMBER(SEARCH("C", 'Dry_Litterbag Placem_Collection'!AA190)),"YES","NO")</f>
        <v>NO</v>
      </c>
      <c r="AK263" s="255" t="str">
        <f>IF(ISNUMBER(SEARCH("H", 'Dry_Litterbag Placem_Collection'!AA190)),"YES","NO")</f>
        <v>NO</v>
      </c>
      <c r="AL263" s="255" t="str">
        <f>IF(ISNUMBER(SEARCH("R", 'Dry_Litterbag Placem_Collection'!AA190)),"YES","NO")</f>
        <v>NO</v>
      </c>
      <c r="AR263" t="s">
        <v>1904</v>
      </c>
      <c r="AT263" t="s">
        <v>784</v>
      </c>
    </row>
    <row r="264" spans="2:46">
      <c r="B264" t="str">
        <f>'Final data_for_R_analysis_Dryse'!A190</f>
        <v>Dry</v>
      </c>
      <c r="C264" s="263">
        <f>'Final data_for_R_analysis_Dryse'!B190</f>
        <v>189</v>
      </c>
      <c r="D264" t="s">
        <v>3855</v>
      </c>
      <c r="E264" t="s">
        <v>22</v>
      </c>
      <c r="F264" s="387">
        <v>5</v>
      </c>
      <c r="G264" s="16">
        <f>'Dry_Litterbag Placem_Collection'!E191</f>
        <v>42940</v>
      </c>
      <c r="H264" t="str">
        <f>'Final data_for_R_analysis_Dryse'!J190</f>
        <v>G144</v>
      </c>
      <c r="I264" t="str">
        <f>'Final data_for_R_analysis_Dryse'!J410</f>
        <v>R18</v>
      </c>
      <c r="J264">
        <f>IFERROR(INDEX('Green_rooibos initial weight'!$C$5:$C$1749,MATCH(H264, 'Green_rooibos initial weight'!$A$5:$A$1749,0)),"")</f>
        <v>2.0230000000000001</v>
      </c>
      <c r="K264">
        <f>IFERROR(INDEX('Green_rooibos initial weight'!$C$5:$C$1749,MATCH(I264, 'Green_rooibos initial weight'!$A$5:$A$1749,0)),"")</f>
        <v>2.2519999999999998</v>
      </c>
      <c r="L264" s="195">
        <f t="shared" si="29"/>
        <v>1.7732000000000001</v>
      </c>
      <c r="M264" s="240">
        <f>AVERAGE(Ashed_controlls!$K$1:$K$11)</f>
        <v>5.5147656768714146</v>
      </c>
      <c r="N264" s="195">
        <f t="shared" si="24"/>
        <v>1.6754121750177162</v>
      </c>
      <c r="O264" s="195">
        <f t="shared" si="30"/>
        <v>2.0021999999999998</v>
      </c>
      <c r="P264" s="240">
        <f>AVERAGE(Ashed_controlls!$K$12:$K$14)</f>
        <v>2.2816647271287041</v>
      </c>
      <c r="Q264" s="195">
        <f t="shared" si="25"/>
        <v>1.9565165088334289</v>
      </c>
      <c r="R264" s="16">
        <f>IF('Dry_Litterbag Placem_Collection'!G191="N.A","",'Dry_Litterbag Placem_Collection'!G191)</f>
        <v>43009</v>
      </c>
      <c r="S264" s="195">
        <f>IF(IFERROR(INDEX('Both teabags AfterDry'!$D$1:$D$839,MATCH(H264,'Both teabags AfterDry'!$A$1:$A$839,0)),"")="N.A","",(IFERROR(INDEX('Both teabags AfterDry'!$D$1:$D$839,MATCH(H264,'Both teabags AfterDry'!$A$1:$A$839,0)),"")))</f>
        <v>0.68520000000000003</v>
      </c>
      <c r="T264" s="195">
        <f>IF(IFERROR(INDEX('Both teabags AfterDry'!$D$1:$D$839,MATCH(I264,'Both teabags AfterDry'!$A$1:$A$839,0)),"")="N.A","",(IFERROR(INDEX('Both teabags AfterDry'!$D$1:$D$839,MATCH(I264,'Both teabags AfterDry'!$A$1:$A$839,0)),"")))</f>
        <v>0</v>
      </c>
      <c r="U264" s="195">
        <f t="shared" si="31"/>
        <v>0.53459999999999996</v>
      </c>
      <c r="V264" s="195" t="str">
        <f t="shared" si="31"/>
        <v/>
      </c>
      <c r="W264" s="195">
        <f>IFERROR(INDEX('Ashed teabags dry'!$K$2:$K$821,MATCH(H264,'Ashed teabags dry'!$A$2:$A$821,0)),"")</f>
        <v>22.366450324513245</v>
      </c>
      <c r="X264" s="195">
        <f>IFERROR(INDEX('Ashed teabags dry'!$K$2:$K$821,MATCH(I264,'Ashed teabags dry'!$A$2:$A$821,0)),"")</f>
        <v>91.674047829938516</v>
      </c>
      <c r="Y264" s="195">
        <f t="shared" si="26"/>
        <v>0.41502895656515215</v>
      </c>
      <c r="Z264" s="195" t="str">
        <f t="shared" si="26"/>
        <v/>
      </c>
      <c r="AA264" s="195">
        <f t="shared" si="32"/>
        <v>0.75228247546860305</v>
      </c>
      <c r="AB264" s="195">
        <f t="shared" si="33"/>
        <v>0.49318281052098445</v>
      </c>
      <c r="AC264" s="195" t="str">
        <f t="shared" si="27"/>
        <v/>
      </c>
      <c r="AD264">
        <f t="shared" si="28"/>
        <v>69</v>
      </c>
      <c r="AE264" s="195">
        <f t="shared" si="34"/>
        <v>0.10655287949097025</v>
      </c>
      <c r="AF264" s="195" t="str">
        <f t="shared" si="35"/>
        <v/>
      </c>
      <c r="AG264" s="255" t="str">
        <f>IF(ISNUMBER(SEARCH("C", 'Dry_Litterbag Placem_Collection'!AB191)),"YES","NO")</f>
        <v>NO</v>
      </c>
      <c r="AH264" s="255" t="str">
        <f>IF(ISNUMBER(SEARCH("H", 'Dry_Litterbag Placem_Collection'!AB191)),"YES","NO")</f>
        <v>NO</v>
      </c>
      <c r="AI264" s="255" t="str">
        <f>IF(ISNUMBER(SEARCH("R", 'Dry_Litterbag Placem_Collection'!AB191)),"YES","NO")</f>
        <v>NO</v>
      </c>
      <c r="AJ264" s="255" t="str">
        <f>IF(ISNUMBER(SEARCH("C", 'Dry_Litterbag Placem_Collection'!AA191)),"YES","NO")</f>
        <v>NO</v>
      </c>
      <c r="AK264" s="255" t="str">
        <f>IF(ISNUMBER(SEARCH("H", 'Dry_Litterbag Placem_Collection'!AA191)),"YES","NO")</f>
        <v>NO</v>
      </c>
      <c r="AL264" s="255" t="str">
        <f>IF(ISNUMBER(SEARCH("R", 'Dry_Litterbag Placem_Collection'!AA191)),"YES","NO")</f>
        <v>NO</v>
      </c>
      <c r="AR264" t="s">
        <v>1906</v>
      </c>
      <c r="AT264" t="s">
        <v>1123</v>
      </c>
    </row>
    <row r="265" spans="2:46">
      <c r="B265" t="str">
        <f>'Final data_for_R_analysis_Dryse'!A191</f>
        <v>Dry</v>
      </c>
      <c r="C265" s="263">
        <f>'Final data_for_R_analysis_Dryse'!B191</f>
        <v>190</v>
      </c>
      <c r="D265" t="s">
        <v>3855</v>
      </c>
      <c r="E265" t="s">
        <v>22</v>
      </c>
      <c r="F265" s="387">
        <v>6</v>
      </c>
      <c r="G265" s="16">
        <f>'Dry_Litterbag Placem_Collection'!E192</f>
        <v>42940</v>
      </c>
      <c r="H265" t="str">
        <f>'Final data_for_R_analysis_Dryse'!J191</f>
        <v>G171</v>
      </c>
      <c r="I265" t="str">
        <f>'Final data_for_R_analysis_Dryse'!J411</f>
        <v>R397</v>
      </c>
      <c r="J265">
        <f>IFERROR(INDEX('Green_rooibos initial weight'!$C$5:$C$1749,MATCH(H265, 'Green_rooibos initial weight'!$A$5:$A$1749,0)),"")</f>
        <v>1.9239999999999999</v>
      </c>
      <c r="K265">
        <f>IFERROR(INDEX('Green_rooibos initial weight'!$C$5:$C$1749,MATCH(I265, 'Green_rooibos initial weight'!$A$5:$A$1749,0)),"")</f>
        <v>2.1970000000000001</v>
      </c>
      <c r="L265" s="195">
        <f t="shared" si="29"/>
        <v>1.6741999999999999</v>
      </c>
      <c r="M265" s="240">
        <f>AVERAGE(Ashed_controlls!$K$1:$K$11)</f>
        <v>5.5147656768714146</v>
      </c>
      <c r="N265" s="195">
        <f t="shared" si="24"/>
        <v>1.5818717930378188</v>
      </c>
      <c r="O265" s="195">
        <f t="shared" si="30"/>
        <v>1.9472</v>
      </c>
      <c r="P265" s="240">
        <f>AVERAGE(Ashed_controlls!$K$12:$K$14)</f>
        <v>2.2816647271287041</v>
      </c>
      <c r="Q265" s="195">
        <f t="shared" si="25"/>
        <v>1.90277142443335</v>
      </c>
      <c r="R265" s="16">
        <f>IF('Dry_Litterbag Placem_Collection'!G192="N.A","",'Dry_Litterbag Placem_Collection'!G192)</f>
        <v>43009</v>
      </c>
      <c r="S265" s="195">
        <f>IF(IFERROR(INDEX('Both teabags AfterDry'!$D$1:$D$839,MATCH(H265,'Both teabags AfterDry'!$A$1:$A$839,0)),"")="N.A","",(IFERROR(INDEX('Both teabags AfterDry'!$D$1:$D$839,MATCH(H265,'Both teabags AfterDry'!$A$1:$A$839,0)),"")))</f>
        <v>0.75309999999999999</v>
      </c>
      <c r="T265" s="195">
        <f>IF(IFERROR(INDEX('Both teabags AfterDry'!$D$1:$D$839,MATCH(I265,'Both teabags AfterDry'!$A$1:$A$839,0)),"")="N.A","",(IFERROR(INDEX('Both teabags AfterDry'!$D$1:$D$839,MATCH(I265,'Both teabags AfterDry'!$A$1:$A$839,0)),"")))</f>
        <v>1.7444999999999999</v>
      </c>
      <c r="U265" s="195">
        <f t="shared" si="31"/>
        <v>0.60250000000000004</v>
      </c>
      <c r="V265" s="195">
        <f t="shared" si="31"/>
        <v>1.5938999999999999</v>
      </c>
      <c r="W265" s="195">
        <f>IFERROR(INDEX('Ashed teabags dry'!$K$2:$K$821,MATCH(H265,'Ashed teabags dry'!$A$2:$A$821,0)),"")</f>
        <v>24.915824915824324</v>
      </c>
      <c r="X265" s="195">
        <f>IFERROR(INDEX('Ashed teabags dry'!$K$2:$K$821,MATCH(I265,'Ashed teabags dry'!$A$2:$A$821,0)),"")</f>
        <v>11.059262715818997</v>
      </c>
      <c r="Y265" s="195">
        <f t="shared" si="26"/>
        <v>0.45238215488215849</v>
      </c>
      <c r="Z265" s="195">
        <f t="shared" si="26"/>
        <v>1.417626411572561</v>
      </c>
      <c r="AA265" s="195">
        <f t="shared" si="32"/>
        <v>0.71402097384048679</v>
      </c>
      <c r="AB265" s="195">
        <f t="shared" si="33"/>
        <v>0.46809926076003416</v>
      </c>
      <c r="AC265" s="195">
        <f t="shared" si="27"/>
        <v>0.74503242657994695</v>
      </c>
      <c r="AD265">
        <f t="shared" si="28"/>
        <v>69</v>
      </c>
      <c r="AE265" s="195">
        <f t="shared" si="34"/>
        <v>0.15199409282602516</v>
      </c>
      <c r="AF265" s="195">
        <f t="shared" si="35"/>
        <v>1.1402465854722172E-2</v>
      </c>
      <c r="AG265" s="255" t="str">
        <f>IF(ISNUMBER(SEARCH("C", 'Dry_Litterbag Placem_Collection'!AB192)),"YES","NO")</f>
        <v>NO</v>
      </c>
      <c r="AH265" s="255" t="str">
        <f>IF(ISNUMBER(SEARCH("H", 'Dry_Litterbag Placem_Collection'!AB192)),"YES","NO")</f>
        <v>NO</v>
      </c>
      <c r="AI265" s="255" t="str">
        <f>IF(ISNUMBER(SEARCH("R", 'Dry_Litterbag Placem_Collection'!AB192)),"YES","NO")</f>
        <v>NO</v>
      </c>
      <c r="AJ265" s="255" t="str">
        <f>IF(ISNUMBER(SEARCH("C", 'Dry_Litterbag Placem_Collection'!AA192)),"YES","NO")</f>
        <v>NO</v>
      </c>
      <c r="AK265" s="255" t="str">
        <f>IF(ISNUMBER(SEARCH("H", 'Dry_Litterbag Placem_Collection'!AA192)),"YES","NO")</f>
        <v>NO</v>
      </c>
      <c r="AL265" s="255" t="str">
        <f>IF(ISNUMBER(SEARCH("R", 'Dry_Litterbag Placem_Collection'!AA192)),"YES","NO")</f>
        <v>NO</v>
      </c>
      <c r="AR265" t="s">
        <v>1879</v>
      </c>
      <c r="AT265" t="s">
        <v>744</v>
      </c>
    </row>
    <row r="266" spans="2:46">
      <c r="B266" t="str">
        <f>'Final data_for_R_analysis_Dryse'!A192</f>
        <v>Dry</v>
      </c>
      <c r="C266" s="263">
        <f>'Final data_for_R_analysis_Dryse'!B192</f>
        <v>191</v>
      </c>
      <c r="D266" t="s">
        <v>3855</v>
      </c>
      <c r="E266" t="s">
        <v>22</v>
      </c>
      <c r="F266" s="387">
        <v>7</v>
      </c>
      <c r="G266" s="16">
        <f>'Dry_Litterbag Placem_Collection'!E193</f>
        <v>42940</v>
      </c>
      <c r="H266" t="str">
        <f>'Final data_for_R_analysis_Dryse'!J192</f>
        <v>G232</v>
      </c>
      <c r="I266" t="str">
        <f>'Final data_for_R_analysis_Dryse'!J412</f>
        <v>R715</v>
      </c>
      <c r="J266">
        <f>IFERROR(INDEX('Green_rooibos initial weight'!$C$5:$C$1749,MATCH(H266, 'Green_rooibos initial weight'!$A$5:$A$1749,0)),"")</f>
        <v>2.04</v>
      </c>
      <c r="K266">
        <f>IFERROR(INDEX('Green_rooibos initial weight'!$C$5:$C$1749,MATCH(I266, 'Green_rooibos initial weight'!$A$5:$A$1749,0)),"")</f>
        <v>2.161</v>
      </c>
      <c r="L266" s="195">
        <f t="shared" si="29"/>
        <v>1.7902</v>
      </c>
      <c r="M266" s="240">
        <f>AVERAGE(Ashed_controlls!$K$1:$K$11)</f>
        <v>5.5147656768714146</v>
      </c>
      <c r="N266" s="195">
        <f t="shared" si="24"/>
        <v>1.691474664852648</v>
      </c>
      <c r="O266" s="195">
        <f t="shared" si="30"/>
        <v>1.9112</v>
      </c>
      <c r="P266" s="240">
        <f>AVERAGE(Ashed_controlls!$K$12:$K$14)</f>
        <v>2.2816647271287041</v>
      </c>
      <c r="Q266" s="195">
        <f t="shared" si="25"/>
        <v>1.8675928237351163</v>
      </c>
      <c r="R266" s="16">
        <f>IF('Dry_Litterbag Placem_Collection'!G193="N.A","",'Dry_Litterbag Placem_Collection'!G193)</f>
        <v>43009</v>
      </c>
      <c r="S266" s="195">
        <f>IF(IFERROR(INDEX('Both teabags AfterDry'!$D$1:$D$839,MATCH(H266,'Both teabags AfterDry'!$A$1:$A$839,0)),"")="N.A","",(IFERROR(INDEX('Both teabags AfterDry'!$D$1:$D$839,MATCH(H266,'Both teabags AfterDry'!$A$1:$A$839,0)),"")))</f>
        <v>0.80369999999999997</v>
      </c>
      <c r="T266" s="195">
        <f>IF(IFERROR(INDEX('Both teabags AfterDry'!$D$1:$D$839,MATCH(I266,'Both teabags AfterDry'!$A$1:$A$839,0)),"")="N.A","",(IFERROR(INDEX('Both teabags AfterDry'!$D$1:$D$839,MATCH(I266,'Both teabags AfterDry'!$A$1:$A$839,0)),"")))</f>
        <v>1.9014</v>
      </c>
      <c r="U266" s="195">
        <f t="shared" si="31"/>
        <v>0.65310000000000001</v>
      </c>
      <c r="V266" s="195">
        <f t="shared" si="31"/>
        <v>1.7507999999999999</v>
      </c>
      <c r="W266" s="195">
        <f>IFERROR(INDEX('Ashed teabags dry'!$K$2:$K$821,MATCH(H266,'Ashed teabags dry'!$A$2:$A$821,0)),"")</f>
        <v>26.339066339066047</v>
      </c>
      <c r="X266" s="195">
        <f>IFERROR(INDEX('Ashed teabags dry'!$K$2:$K$821,MATCH(I266,'Ashed teabags dry'!$A$2:$A$821,0)),"")</f>
        <v>5.9051306873185379</v>
      </c>
      <c r="Y266" s="195">
        <f t="shared" si="26"/>
        <v>0.48107955773955968</v>
      </c>
      <c r="Z266" s="195">
        <f t="shared" si="26"/>
        <v>1.647412971926427</v>
      </c>
      <c r="AA266" s="195">
        <f t="shared" si="32"/>
        <v>0.71558571479906341</v>
      </c>
      <c r="AB266" s="195">
        <f t="shared" si="33"/>
        <v>0.46912507668537179</v>
      </c>
      <c r="AC266" s="195">
        <f t="shared" si="27"/>
        <v>0.88210500221973565</v>
      </c>
      <c r="AD266">
        <f t="shared" si="28"/>
        <v>69</v>
      </c>
      <c r="AE266" s="195">
        <f t="shared" si="34"/>
        <v>0.15013573064244246</v>
      </c>
      <c r="AF266" s="195">
        <f t="shared" si="35"/>
        <v>4.1946074890022679E-3</v>
      </c>
      <c r="AG266" s="255" t="str">
        <f>IF(ISNUMBER(SEARCH("C", 'Dry_Litterbag Placem_Collection'!AB193)),"YES","NO")</f>
        <v>NO</v>
      </c>
      <c r="AH266" s="255" t="str">
        <f>IF(ISNUMBER(SEARCH("H", 'Dry_Litterbag Placem_Collection'!AB193)),"YES","NO")</f>
        <v>NO</v>
      </c>
      <c r="AI266" s="255" t="str">
        <f>IF(ISNUMBER(SEARCH("R", 'Dry_Litterbag Placem_Collection'!AB193)),"YES","NO")</f>
        <v>NO</v>
      </c>
      <c r="AJ266" s="255" t="str">
        <f>IF(ISNUMBER(SEARCH("C", 'Dry_Litterbag Placem_Collection'!AA193)),"YES","NO")</f>
        <v>NO</v>
      </c>
      <c r="AK266" s="255" t="str">
        <f>IF(ISNUMBER(SEARCH("H", 'Dry_Litterbag Placem_Collection'!AA193)),"YES","NO")</f>
        <v>NO</v>
      </c>
      <c r="AL266" s="255" t="str">
        <f>IF(ISNUMBER(SEARCH("R", 'Dry_Litterbag Placem_Collection'!AA193)),"YES","NO")</f>
        <v>NO</v>
      </c>
      <c r="AR266" t="s">
        <v>1818</v>
      </c>
      <c r="AT266" t="s">
        <v>424</v>
      </c>
    </row>
    <row r="267" spans="2:46">
      <c r="B267" t="str">
        <f>'Final data_for_R_analysis_Dryse'!A193</f>
        <v>Dry</v>
      </c>
      <c r="C267" s="263">
        <f>'Final data_for_R_analysis_Dryse'!B193</f>
        <v>192</v>
      </c>
      <c r="D267" t="s">
        <v>3855</v>
      </c>
      <c r="E267" t="s">
        <v>22</v>
      </c>
      <c r="F267" s="387">
        <v>8</v>
      </c>
      <c r="G267" s="16">
        <f>'Dry_Litterbag Placem_Collection'!E194</f>
        <v>0</v>
      </c>
      <c r="H267" t="str">
        <f>'Final data_for_R_analysis_Dryse'!J193</f>
        <v/>
      </c>
      <c r="I267" t="str">
        <f>'Final data_for_R_analysis_Dryse'!J413</f>
        <v/>
      </c>
      <c r="J267" t="str">
        <f>IFERROR(INDEX('Green_rooibos initial weight'!$C$5:$C$1749,MATCH(H267, 'Green_rooibos initial weight'!$A$5:$A$1749,0)),"")</f>
        <v/>
      </c>
      <c r="K267" t="str">
        <f>IFERROR(INDEX('Green_rooibos initial weight'!$C$5:$C$1749,MATCH(I267, 'Green_rooibos initial weight'!$A$5:$A$1749,0)),"")</f>
        <v/>
      </c>
      <c r="L267" s="195" t="str">
        <f t="shared" si="29"/>
        <v/>
      </c>
      <c r="M267" s="240">
        <f>AVERAGE(Ashed_controlls!$K$1:$K$11)</f>
        <v>5.5147656768714146</v>
      </c>
      <c r="N267" s="195" t="str">
        <f t="shared" si="24"/>
        <v/>
      </c>
      <c r="O267" s="195" t="str">
        <f t="shared" si="30"/>
        <v/>
      </c>
      <c r="P267" s="240">
        <f>AVERAGE(Ashed_controlls!$K$12:$K$14)</f>
        <v>2.2816647271287041</v>
      </c>
      <c r="Q267" s="195" t="str">
        <f t="shared" si="25"/>
        <v/>
      </c>
      <c r="R267" s="16">
        <f>IF('Dry_Litterbag Placem_Collection'!G194="N.A","",'Dry_Litterbag Placem_Collection'!G194)</f>
        <v>0</v>
      </c>
      <c r="S267" s="195" t="str">
        <f>IF(IFERROR(INDEX('Both teabags AfterDry'!$D$1:$D$839,MATCH(H267,'Both teabags AfterDry'!$A$1:$A$839,0)),"")="N.A","",(IFERROR(INDEX('Both teabags AfterDry'!$D$1:$D$839,MATCH(H267,'Both teabags AfterDry'!$A$1:$A$839,0)),"")))</f>
        <v/>
      </c>
      <c r="T267" s="195" t="str">
        <f>IF(IFERROR(INDEX('Both teabags AfterDry'!$D$1:$D$839,MATCH(I267,'Both teabags AfterDry'!$A$1:$A$839,0)),"")="N.A","",(IFERROR(INDEX('Both teabags AfterDry'!$D$1:$D$839,MATCH(I267,'Both teabags AfterDry'!$A$1:$A$839,0)),"")))</f>
        <v/>
      </c>
      <c r="U267" s="195" t="str">
        <f t="shared" si="31"/>
        <v/>
      </c>
      <c r="V267" s="195" t="str">
        <f t="shared" si="31"/>
        <v/>
      </c>
      <c r="W267" s="195" t="str">
        <f>IFERROR(INDEX('Ashed teabags dry'!$K$2:$K$821,MATCH(H267,'Ashed teabags dry'!$A$2:$A$821,0)),"")</f>
        <v/>
      </c>
      <c r="X267" s="195" t="str">
        <f>IFERROR(INDEX('Ashed teabags dry'!$K$2:$K$821,MATCH(I267,'Ashed teabags dry'!$A$2:$A$821,0)),"")</f>
        <v/>
      </c>
      <c r="Y267" s="195" t="str">
        <f t="shared" si="26"/>
        <v/>
      </c>
      <c r="Z267" s="195" t="str">
        <f t="shared" si="26"/>
        <v/>
      </c>
      <c r="AA267" s="195" t="str">
        <f t="shared" si="32"/>
        <v/>
      </c>
      <c r="AB267" s="195" t="str">
        <f t="shared" si="33"/>
        <v/>
      </c>
      <c r="AC267" s="195" t="str">
        <f t="shared" si="27"/>
        <v/>
      </c>
      <c r="AD267" t="str">
        <f t="shared" si="28"/>
        <v/>
      </c>
      <c r="AE267" s="195" t="str">
        <f t="shared" si="34"/>
        <v/>
      </c>
      <c r="AF267" s="195" t="str">
        <f t="shared" si="35"/>
        <v/>
      </c>
      <c r="AG267" s="255" t="str">
        <f>IF(ISNUMBER(SEARCH("C", 'Dry_Litterbag Placem_Collection'!AB194)),"YES","NO")</f>
        <v>NO</v>
      </c>
      <c r="AH267" s="255" t="str">
        <f>IF(ISNUMBER(SEARCH("H", 'Dry_Litterbag Placem_Collection'!AB194)),"YES","NO")</f>
        <v>NO</v>
      </c>
      <c r="AI267" s="255" t="str">
        <f>IF(ISNUMBER(SEARCH("R", 'Dry_Litterbag Placem_Collection'!AB194)),"YES","NO")</f>
        <v>NO</v>
      </c>
      <c r="AJ267" s="255" t="str">
        <f>IF(ISNUMBER(SEARCH("C", 'Dry_Litterbag Placem_Collection'!AA194)),"YES","NO")</f>
        <v>NO</v>
      </c>
      <c r="AK267" s="255" t="str">
        <f>IF(ISNUMBER(SEARCH("H", 'Dry_Litterbag Placem_Collection'!AA194)),"YES","NO")</f>
        <v>NO</v>
      </c>
      <c r="AL267" s="255" t="str">
        <f>IF(ISNUMBER(SEARCH("R", 'Dry_Litterbag Placem_Collection'!AA194)),"YES","NO")</f>
        <v>NO</v>
      </c>
      <c r="AR267" t="s">
        <v>3654</v>
      </c>
      <c r="AT267" t="s">
        <v>3654</v>
      </c>
    </row>
    <row r="268" spans="2:46">
      <c r="B268" t="str">
        <f>'Final data_for_R_analysis_Dryse'!A194</f>
        <v>Dry</v>
      </c>
      <c r="C268" s="263">
        <f>'Final data_for_R_analysis_Dryse'!B194</f>
        <v>193</v>
      </c>
      <c r="D268" t="s">
        <v>2445</v>
      </c>
      <c r="E268" t="s">
        <v>22</v>
      </c>
      <c r="F268" s="387">
        <v>1</v>
      </c>
      <c r="G268" s="16">
        <f>'Dry_Litterbag Placem_Collection'!E195</f>
        <v>42942</v>
      </c>
      <c r="H268" t="str">
        <f>'Final data_for_R_analysis_Dryse'!J194</f>
        <v>G257</v>
      </c>
      <c r="I268" t="str">
        <f>'Final data_for_R_analysis_Dryse'!J414</f>
        <v>R695</v>
      </c>
      <c r="J268">
        <f>IFERROR(INDEX('Green_rooibos initial weight'!$C$5:$C$1749,MATCH(H268, 'Green_rooibos initial weight'!$A$5:$A$1749,0)),"")</f>
        <v>1.9319999999999999</v>
      </c>
      <c r="K268">
        <f>IFERROR(INDEX('Green_rooibos initial weight'!$C$5:$C$1749,MATCH(I268, 'Green_rooibos initial weight'!$A$5:$A$1749,0)),"")</f>
        <v>2.1789999999999998</v>
      </c>
      <c r="L268" s="195">
        <f t="shared" si="29"/>
        <v>1.6821999999999999</v>
      </c>
      <c r="M268" s="240">
        <f>AVERAGE(Ashed_controlls!$K$1:$K$11)</f>
        <v>5.5147656768714146</v>
      </c>
      <c r="N268" s="195">
        <f t="shared" ref="N268:N331" si="36">IFERROR(L268-(M268/100)*L268,"")</f>
        <v>1.589430611783669</v>
      </c>
      <c r="O268" s="195">
        <f t="shared" si="30"/>
        <v>1.9291999999999998</v>
      </c>
      <c r="P268" s="240">
        <f>AVERAGE(Ashed_controlls!$K$12:$K$14)</f>
        <v>2.2816647271287041</v>
      </c>
      <c r="Q268" s="195">
        <f t="shared" ref="Q268:Q331" si="37">IFERROR(O268-(P268/100)*O268,"")</f>
        <v>1.8851821240842328</v>
      </c>
      <c r="R268" s="16">
        <f>IF('Dry_Litterbag Placem_Collection'!G195="N.A","",'Dry_Litterbag Placem_Collection'!G195)</f>
        <v>43004</v>
      </c>
      <c r="S268" s="195">
        <f>IF(IFERROR(INDEX('Both teabags AfterDry'!$D$1:$D$839,MATCH(H268,'Both teabags AfterDry'!$A$1:$A$839,0)),"")="N.A","",(IFERROR(INDEX('Both teabags AfterDry'!$D$1:$D$839,MATCH(H268,'Both teabags AfterDry'!$A$1:$A$839,0)),"")))</f>
        <v>0.67</v>
      </c>
      <c r="T268" s="195">
        <f>IF(IFERROR(INDEX('Both teabags AfterDry'!$D$1:$D$839,MATCH(I268,'Both teabags AfterDry'!$A$1:$A$839,0)),"")="N.A","",(IFERROR(INDEX('Both teabags AfterDry'!$D$1:$D$839,MATCH(I268,'Both teabags AfterDry'!$A$1:$A$839,0)),"")))</f>
        <v>1.42</v>
      </c>
      <c r="U268" s="195">
        <f t="shared" si="31"/>
        <v>0.51940000000000008</v>
      </c>
      <c r="V268" s="195">
        <f t="shared" si="31"/>
        <v>1.2693999999999999</v>
      </c>
      <c r="W268" s="195">
        <f>IFERROR(INDEX('Ashed teabags dry'!$K$2:$K$821,MATCH(H268,'Ashed teabags dry'!$A$2:$A$821,0)),"")</f>
        <v>13.170731707316666</v>
      </c>
      <c r="X268" s="195">
        <f>IFERROR(INDEX('Ashed teabags dry'!$K$2:$K$821,MATCH(I268,'Ashed teabags dry'!$A$2:$A$821,0)),"")</f>
        <v>8.5788561525128699</v>
      </c>
      <c r="Y268" s="195">
        <f t="shared" ref="Y268:Z331" si="38">IFERROR(U268-(W268/100)*U268,"")</f>
        <v>0.45099121951219734</v>
      </c>
      <c r="Z268" s="195">
        <f t="shared" si="38"/>
        <v>1.1605000000000014</v>
      </c>
      <c r="AA268" s="195">
        <f t="shared" si="32"/>
        <v>0.71625611324668514</v>
      </c>
      <c r="AB268" s="195">
        <f t="shared" si="33"/>
        <v>0.46956457780542782</v>
      </c>
      <c r="AC268" s="195">
        <f t="shared" ref="AC268:AC331" si="39">IFERROR(Z268/Q268,"")</f>
        <v>0.61559039053785791</v>
      </c>
      <c r="AD268">
        <f t="shared" ref="AD268:AD331" si="40">IF((R268-G268)&gt;0,(IFERROR(R268-G268,"")),"")</f>
        <v>62</v>
      </c>
      <c r="AE268" s="195">
        <f t="shared" si="34"/>
        <v>0.14933953296118152</v>
      </c>
      <c r="AF268" s="195">
        <f t="shared" si="35"/>
        <v>2.7537630347814493E-2</v>
      </c>
      <c r="AG268" s="255" t="str">
        <f>IF(ISNUMBER(SEARCH("C", 'Dry_Litterbag Placem_Collection'!AB195)),"YES","NO")</f>
        <v>NO</v>
      </c>
      <c r="AH268" s="255" t="str">
        <f>IF(ISNUMBER(SEARCH("H", 'Dry_Litterbag Placem_Collection'!AB195)),"YES","NO")</f>
        <v>NO</v>
      </c>
      <c r="AI268" s="255" t="str">
        <f>IF(ISNUMBER(SEARCH("R", 'Dry_Litterbag Placem_Collection'!AB195)),"YES","NO")</f>
        <v>NO</v>
      </c>
      <c r="AJ268" s="255" t="str">
        <f>IF(ISNUMBER(SEARCH("C", 'Dry_Litterbag Placem_Collection'!AA195)),"YES","NO")</f>
        <v>NO</v>
      </c>
      <c r="AK268" s="255" t="str">
        <f>IF(ISNUMBER(SEARCH("H", 'Dry_Litterbag Placem_Collection'!AA195)),"YES","NO")</f>
        <v>NO</v>
      </c>
      <c r="AL268" s="255" t="str">
        <f>IF(ISNUMBER(SEARCH("R", 'Dry_Litterbag Placem_Collection'!AA195)),"YES","NO")</f>
        <v>NO</v>
      </c>
      <c r="AR268" t="s">
        <v>1793</v>
      </c>
      <c r="AT268" t="s">
        <v>444</v>
      </c>
    </row>
    <row r="269" spans="2:46">
      <c r="B269" t="str">
        <f>'Final data_for_R_analysis_Dryse'!A195</f>
        <v>Dry</v>
      </c>
      <c r="C269" s="263">
        <f>'Final data_for_R_analysis_Dryse'!B195</f>
        <v>194</v>
      </c>
      <c r="D269" t="s">
        <v>2438</v>
      </c>
      <c r="E269" t="s">
        <v>22</v>
      </c>
      <c r="F269" s="387">
        <v>2</v>
      </c>
      <c r="G269" s="16">
        <f>'Dry_Litterbag Placem_Collection'!E196</f>
        <v>42942</v>
      </c>
      <c r="H269" t="str">
        <f>'Final data_for_R_analysis_Dryse'!J195</f>
        <v>G148</v>
      </c>
      <c r="I269" t="str">
        <f>'Final data_for_R_analysis_Dryse'!J415</f>
        <v>R653</v>
      </c>
      <c r="J269">
        <f>IFERROR(INDEX('Green_rooibos initial weight'!$C$5:$C$1749,MATCH(H269, 'Green_rooibos initial weight'!$A$5:$A$1749,0)),"")</f>
        <v>2.0710000000000002</v>
      </c>
      <c r="K269">
        <f>IFERROR(INDEX('Green_rooibos initial weight'!$C$5:$C$1749,MATCH(I269, 'Green_rooibos initial weight'!$A$5:$A$1749,0)),"")</f>
        <v>2.1989999999999998</v>
      </c>
      <c r="L269" s="195">
        <f t="shared" ref="L269:L332" si="41">IFERROR(IF(J269&gt;0,(J269*$F$31-($F$29+$F$30)),""),"")</f>
        <v>1.8212000000000002</v>
      </c>
      <c r="M269" s="240">
        <f>AVERAGE(Ashed_controlls!$K$1:$K$11)</f>
        <v>5.5147656768714146</v>
      </c>
      <c r="N269" s="195">
        <f t="shared" si="36"/>
        <v>1.720765087492818</v>
      </c>
      <c r="O269" s="195">
        <f t="shared" ref="O269:O332" si="42">IFERROR(IF(K269&gt;0,(K269*$F$32-($F$29+$F$30)),""),"")</f>
        <v>1.9491999999999998</v>
      </c>
      <c r="P269" s="240">
        <f>AVERAGE(Ashed_controlls!$K$12:$K$14)</f>
        <v>2.2816647271287041</v>
      </c>
      <c r="Q269" s="195">
        <f t="shared" si="37"/>
        <v>1.9047257911388071</v>
      </c>
      <c r="R269" s="16">
        <f>IF('Dry_Litterbag Placem_Collection'!G196="N.A","",'Dry_Litterbag Placem_Collection'!G196)</f>
        <v>43004</v>
      </c>
      <c r="S269" s="195">
        <f>IF(IFERROR(INDEX('Both teabags AfterDry'!$D$1:$D$839,MATCH(H269,'Both teabags AfterDry'!$A$1:$A$839,0)),"")="N.A","",(IFERROR(INDEX('Both teabags AfterDry'!$D$1:$D$839,MATCH(H269,'Both teabags AfterDry'!$A$1:$A$839,0)),"")))</f>
        <v>0.433</v>
      </c>
      <c r="T269" s="195">
        <f>IF(IFERROR(INDEX('Both teabags AfterDry'!$D$1:$D$839,MATCH(I269,'Both teabags AfterDry'!$A$1:$A$839,0)),"")="N.A","",(IFERROR(INDEX('Both teabags AfterDry'!$D$1:$D$839,MATCH(I269,'Both teabags AfterDry'!$A$1:$A$839,0)),"")))</f>
        <v>1.613</v>
      </c>
      <c r="U269" s="195">
        <f t="shared" ref="U269:V332" si="43">IFERROR(IF(S269&gt;0,S269-($F$29),""),"")</f>
        <v>0.28239999999999998</v>
      </c>
      <c r="V269" s="195">
        <f t="shared" si="43"/>
        <v>1.4623999999999999</v>
      </c>
      <c r="W269" s="195">
        <f>IFERROR(INDEX('Ashed teabags dry'!$K$2:$K$821,MATCH(H269,'Ashed teabags dry'!$A$2:$A$821,0)),"")</f>
        <v>15.447941888619916</v>
      </c>
      <c r="X269" s="195">
        <f>IFERROR(INDEX('Ashed teabags dry'!$K$2:$K$821,MATCH(I269,'Ashed teabags dry'!$A$2:$A$821,0)),"")</f>
        <v>6.2529384109078929</v>
      </c>
      <c r="Y269" s="195">
        <f t="shared" si="38"/>
        <v>0.23877501210653734</v>
      </c>
      <c r="Z269" s="195">
        <f t="shared" si="38"/>
        <v>1.3709570286788828</v>
      </c>
      <c r="AA269" s="195">
        <f t="shared" ref="AA269:AA332" si="44">IFERROR(1-Y269/N269,"")</f>
        <v>0.86123904195753043</v>
      </c>
      <c r="AB269" s="195">
        <f t="shared" ref="AB269:AB332" si="45">IFERROR($F$26*(1-AE269),"")</f>
        <v>0.56461276859923615</v>
      </c>
      <c r="AC269" s="195">
        <f t="shared" si="39"/>
        <v>0.71976608657102714</v>
      </c>
      <c r="AD269">
        <f t="shared" si="40"/>
        <v>62</v>
      </c>
      <c r="AE269" s="195">
        <f t="shared" ref="AE269:AE332" si="46">IFERROR(1-(AA269/$F$25),"")</f>
        <v>-2.2849218476876931E-2</v>
      </c>
      <c r="AF269" s="195">
        <f t="shared" ref="AF269:AF332" si="47">IFERROR(LN(AB269/(AC269-(1-AB269)))/AD269,"")</f>
        <v>1.1061819106599593E-2</v>
      </c>
      <c r="AG269" s="255" t="str">
        <f>IF(ISNUMBER(SEARCH("C", 'Dry_Litterbag Placem_Collection'!AB196)),"YES","NO")</f>
        <v>NO</v>
      </c>
      <c r="AH269" s="255" t="str">
        <f>IF(ISNUMBER(SEARCH("H", 'Dry_Litterbag Placem_Collection'!AB196)),"YES","NO")</f>
        <v>NO</v>
      </c>
      <c r="AI269" s="255" t="str">
        <f>IF(ISNUMBER(SEARCH("R", 'Dry_Litterbag Placem_Collection'!AB196)),"YES","NO")</f>
        <v>NO</v>
      </c>
      <c r="AJ269" s="255" t="str">
        <f>IF(ISNUMBER(SEARCH("C", 'Dry_Litterbag Placem_Collection'!AA196)),"YES","NO")</f>
        <v>NO</v>
      </c>
      <c r="AK269" s="255" t="str">
        <f>IF(ISNUMBER(SEARCH("H", 'Dry_Litterbag Placem_Collection'!AA196)),"YES","NO")</f>
        <v>NO</v>
      </c>
      <c r="AL269" s="255" t="str">
        <f>IF(ISNUMBER(SEARCH("R", 'Dry_Litterbag Placem_Collection'!AA196)),"YES","NO")</f>
        <v>NO</v>
      </c>
      <c r="AR269" t="s">
        <v>1902</v>
      </c>
      <c r="AT269" t="s">
        <v>486</v>
      </c>
    </row>
    <row r="270" spans="2:46">
      <c r="B270" t="str">
        <f>'Final data_for_R_analysis_Dryse'!A196</f>
        <v>Dry</v>
      </c>
      <c r="C270" s="263">
        <f>'Final data_for_R_analysis_Dryse'!B196</f>
        <v>195</v>
      </c>
      <c r="D270" t="s">
        <v>2430</v>
      </c>
      <c r="E270" t="s">
        <v>22</v>
      </c>
      <c r="F270" s="387">
        <v>3</v>
      </c>
      <c r="G270" s="16">
        <f>'Dry_Litterbag Placem_Collection'!E197</f>
        <v>42942</v>
      </c>
      <c r="H270" t="str">
        <f>'Final data_for_R_analysis_Dryse'!J196</f>
        <v>G105</v>
      </c>
      <c r="I270" t="str">
        <f>'Final data_for_R_analysis_Dryse'!J416</f>
        <v>R389</v>
      </c>
      <c r="J270">
        <f>IFERROR(INDEX('Green_rooibos initial weight'!$C$5:$C$1749,MATCH(H270, 'Green_rooibos initial weight'!$A$5:$A$1749,0)),"")</f>
        <v>2.1440000000000001</v>
      </c>
      <c r="K270">
        <f>IFERROR(INDEX('Green_rooibos initial weight'!$C$5:$C$1749,MATCH(I270, 'Green_rooibos initial weight'!$A$5:$A$1749,0)),"")</f>
        <v>2.2349999999999999</v>
      </c>
      <c r="L270" s="195">
        <f t="shared" si="41"/>
        <v>1.8942000000000001</v>
      </c>
      <c r="M270" s="240">
        <f>AVERAGE(Ashed_controlls!$K$1:$K$11)</f>
        <v>5.5147656768714146</v>
      </c>
      <c r="N270" s="195">
        <f t="shared" si="36"/>
        <v>1.7897393085487017</v>
      </c>
      <c r="O270" s="195">
        <f t="shared" si="42"/>
        <v>1.9851999999999999</v>
      </c>
      <c r="P270" s="240">
        <f>AVERAGE(Ashed_controlls!$K$12:$K$14)</f>
        <v>2.2816647271287041</v>
      </c>
      <c r="Q270" s="195">
        <f t="shared" si="37"/>
        <v>1.9399043918370409</v>
      </c>
      <c r="R270" s="16">
        <f>IF('Dry_Litterbag Placem_Collection'!G197="N.A","",'Dry_Litterbag Placem_Collection'!G197)</f>
        <v>43004</v>
      </c>
      <c r="S270" s="195">
        <f>IF(IFERROR(INDEX('Both teabags AfterDry'!$D$1:$D$839,MATCH(H270,'Both teabags AfterDry'!$A$1:$A$839,0)),"")="N.A","",(IFERROR(INDEX('Both teabags AfterDry'!$D$1:$D$839,MATCH(H270,'Both teabags AfterDry'!$A$1:$A$839,0)),"")))</f>
        <v>1.2050000000000001</v>
      </c>
      <c r="T270" s="195">
        <f>IF(IFERROR(INDEX('Both teabags AfterDry'!$D$1:$D$839,MATCH(I270,'Both teabags AfterDry'!$A$1:$A$839,0)),"")="N.A","",(IFERROR(INDEX('Both teabags AfterDry'!$D$1:$D$839,MATCH(I270,'Both teabags AfterDry'!$A$1:$A$839,0)),"")))</f>
        <v>0.78200000000000003</v>
      </c>
      <c r="U270" s="195">
        <f t="shared" si="43"/>
        <v>1.0544</v>
      </c>
      <c r="V270" s="195">
        <f t="shared" si="43"/>
        <v>0.63139999999999996</v>
      </c>
      <c r="W270" s="195">
        <f>IFERROR(INDEX('Ashed teabags dry'!$K$2:$K$821,MATCH(H270,'Ashed teabags dry'!$A$2:$A$821,0)),"")</f>
        <v>44.075144508670796</v>
      </c>
      <c r="X270" s="195">
        <f>IFERROR(INDEX('Ashed teabags dry'!$K$2:$K$821,MATCH(I270,'Ashed teabags dry'!$A$2:$A$821,0)),"")</f>
        <v>74.075764491100372</v>
      </c>
      <c r="Y270" s="195">
        <f t="shared" si="38"/>
        <v>0.58967167630057515</v>
      </c>
      <c r="Z270" s="195">
        <f t="shared" si="38"/>
        <v>0.16368562300319223</v>
      </c>
      <c r="AA270" s="195">
        <f t="shared" si="44"/>
        <v>0.67052649875654824</v>
      </c>
      <c r="AB270" s="195">
        <f t="shared" si="45"/>
        <v>0.43958506806842601</v>
      </c>
      <c r="AC270" s="195">
        <f t="shared" si="39"/>
        <v>8.4378190848975826E-2</v>
      </c>
      <c r="AD270">
        <f t="shared" si="40"/>
        <v>62</v>
      </c>
      <c r="AE270" s="195">
        <f t="shared" si="46"/>
        <v>0.20365023900647472</v>
      </c>
      <c r="AF270" s="195" t="str">
        <f t="shared" si="47"/>
        <v/>
      </c>
      <c r="AG270" s="255" t="str">
        <f>IF(ISNUMBER(SEARCH("C", 'Dry_Litterbag Placem_Collection'!AB197)),"YES","NO")</f>
        <v>NO</v>
      </c>
      <c r="AH270" s="255" t="str">
        <f>IF(ISNUMBER(SEARCH("H", 'Dry_Litterbag Placem_Collection'!AB197)),"YES","NO")</f>
        <v>NO</v>
      </c>
      <c r="AI270" s="255" t="str">
        <f>IF(ISNUMBER(SEARCH("R", 'Dry_Litterbag Placem_Collection'!AB197)),"YES","NO")</f>
        <v>NO</v>
      </c>
      <c r="AJ270" s="255" t="str">
        <f>IF(ISNUMBER(SEARCH("C", 'Dry_Litterbag Placem_Collection'!AA197)),"YES","NO")</f>
        <v>NO</v>
      </c>
      <c r="AK270" s="255" t="str">
        <f>IF(ISNUMBER(SEARCH("H", 'Dry_Litterbag Placem_Collection'!AA197)),"YES","NO")</f>
        <v>NO</v>
      </c>
      <c r="AL270" s="255" t="str">
        <f>IF(ISNUMBER(SEARCH("R", 'Dry_Litterbag Placem_Collection'!AA197)),"YES","NO")</f>
        <v>NO</v>
      </c>
      <c r="AR270" t="s">
        <v>1945</v>
      </c>
      <c r="AT270" t="s">
        <v>752</v>
      </c>
    </row>
    <row r="271" spans="2:46">
      <c r="B271" t="str">
        <f>'Final data_for_R_analysis_Dryse'!A197</f>
        <v>Dry</v>
      </c>
      <c r="C271" s="263">
        <f>'Final data_for_R_analysis_Dryse'!B197</f>
        <v>196</v>
      </c>
      <c r="D271" t="s">
        <v>2421</v>
      </c>
      <c r="E271" t="s">
        <v>22</v>
      </c>
      <c r="F271" s="387">
        <v>4</v>
      </c>
      <c r="G271" s="16">
        <f>'Dry_Litterbag Placem_Collection'!E198</f>
        <v>42942</v>
      </c>
      <c r="H271" t="str">
        <f>'Final data_for_R_analysis_Dryse'!J197</f>
        <v>G12</v>
      </c>
      <c r="I271" t="str">
        <f>'Final data_for_R_analysis_Dryse'!J417</f>
        <v>R455</v>
      </c>
      <c r="J271">
        <f>IFERROR(INDEX('Green_rooibos initial weight'!$C$5:$C$1749,MATCH(H271, 'Green_rooibos initial weight'!$A$5:$A$1749,0)),"")</f>
        <v>1.9870000000000001</v>
      </c>
      <c r="K271">
        <f>IFERROR(INDEX('Green_rooibos initial weight'!$C$5:$C$1749,MATCH(I271, 'Green_rooibos initial weight'!$A$5:$A$1749,0)),"")</f>
        <v>2.1850000000000001</v>
      </c>
      <c r="L271" s="195">
        <f t="shared" si="41"/>
        <v>1.7372000000000001</v>
      </c>
      <c r="M271" s="240">
        <f>AVERAGE(Ashed_controlls!$K$1:$K$11)</f>
        <v>5.5147656768714146</v>
      </c>
      <c r="N271" s="195">
        <f t="shared" si="36"/>
        <v>1.64139749066139</v>
      </c>
      <c r="O271" s="195">
        <f t="shared" si="42"/>
        <v>1.9352</v>
      </c>
      <c r="P271" s="240">
        <f>AVERAGE(Ashed_controlls!$K$12:$K$14)</f>
        <v>2.2816647271287041</v>
      </c>
      <c r="Q271" s="195">
        <f t="shared" si="37"/>
        <v>1.8910452242006053</v>
      </c>
      <c r="R271" s="16">
        <f>IF('Dry_Litterbag Placem_Collection'!G198="N.A","",'Dry_Litterbag Placem_Collection'!G198)</f>
        <v>43004</v>
      </c>
      <c r="S271" s="195">
        <f>IF(IFERROR(INDEX('Both teabags AfterDry'!$D$1:$D$839,MATCH(H271,'Both teabags AfterDry'!$A$1:$A$839,0)),"")="N.A","",(IFERROR(INDEX('Both teabags AfterDry'!$D$1:$D$839,MATCH(H271,'Both teabags AfterDry'!$A$1:$A$839,0)),"")))</f>
        <v>0.748</v>
      </c>
      <c r="T271" s="195">
        <f>IF(IFERROR(INDEX('Both teabags AfterDry'!$D$1:$D$839,MATCH(I271,'Both teabags AfterDry'!$A$1:$A$839,0)),"")="N.A","",(IFERROR(INDEX('Both teabags AfterDry'!$D$1:$D$839,MATCH(I271,'Both teabags AfterDry'!$A$1:$A$839,0)),"")))</f>
        <v>0.19900000000000001</v>
      </c>
      <c r="U271" s="195">
        <f t="shared" si="43"/>
        <v>0.59739999999999993</v>
      </c>
      <c r="V271" s="195">
        <f t="shared" si="43"/>
        <v>4.8399999999999999E-2</v>
      </c>
      <c r="W271" s="195">
        <f>IFERROR(INDEX('Ashed teabags dry'!$K$2:$K$821,MATCH(H271,'Ashed teabags dry'!$A$2:$A$821,0)),"")</f>
        <v>27.855421686746478</v>
      </c>
      <c r="X271" s="195" t="str">
        <f>IFERROR(INDEX('Ashed teabags dry'!$K$2:$K$821,MATCH(I271,'Ashed teabags dry'!$A$2:$A$821,0)),"")</f>
        <v/>
      </c>
      <c r="Y271" s="195">
        <f t="shared" si="38"/>
        <v>0.43099171084337651</v>
      </c>
      <c r="Z271" s="195" t="str">
        <f t="shared" si="38"/>
        <v/>
      </c>
      <c r="AA271" s="195">
        <f t="shared" si="44"/>
        <v>0.73742392485947361</v>
      </c>
      <c r="AB271" s="195">
        <f t="shared" si="45"/>
        <v>0.4834418129720065</v>
      </c>
      <c r="AC271" s="195" t="str">
        <f t="shared" si="39"/>
        <v/>
      </c>
      <c r="AD271">
        <f t="shared" si="40"/>
        <v>62</v>
      </c>
      <c r="AE271" s="195">
        <f t="shared" si="46"/>
        <v>0.12419961418114767</v>
      </c>
      <c r="AF271" s="195" t="str">
        <f t="shared" si="47"/>
        <v/>
      </c>
      <c r="AG271" s="255" t="str">
        <f>IF(ISNUMBER(SEARCH("C", 'Dry_Litterbag Placem_Collection'!AB198)),"YES","NO")</f>
        <v>NO</v>
      </c>
      <c r="AH271" s="255" t="str">
        <f>IF(ISNUMBER(SEARCH("H", 'Dry_Litterbag Placem_Collection'!AB198)),"YES","NO")</f>
        <v>NO</v>
      </c>
      <c r="AI271" s="255" t="str">
        <f>IF(ISNUMBER(SEARCH("R", 'Dry_Litterbag Placem_Collection'!AB198)),"YES","NO")</f>
        <v>NO</v>
      </c>
      <c r="AJ271" s="255" t="str">
        <f>IF(ISNUMBER(SEARCH("C", 'Dry_Litterbag Placem_Collection'!AA198)),"YES","NO")</f>
        <v>NO</v>
      </c>
      <c r="AK271" s="255" t="str">
        <f>IF(ISNUMBER(SEARCH("H", 'Dry_Litterbag Placem_Collection'!AA198)),"YES","NO")</f>
        <v>NO</v>
      </c>
      <c r="AL271" s="255" t="str">
        <f>IF(ISNUMBER(SEARCH("R", 'Dry_Litterbag Placem_Collection'!AA198)),"YES","NO")</f>
        <v>NO</v>
      </c>
      <c r="AR271" t="s">
        <v>2038</v>
      </c>
      <c r="AT271" t="s">
        <v>686</v>
      </c>
    </row>
    <row r="272" spans="2:46">
      <c r="B272" t="str">
        <f>'Final data_for_R_analysis_Dryse'!A198</f>
        <v>Dry</v>
      </c>
      <c r="C272" s="263">
        <f>'Final data_for_R_analysis_Dryse'!B198</f>
        <v>197</v>
      </c>
      <c r="D272" t="s">
        <v>2431</v>
      </c>
      <c r="E272" t="s">
        <v>22</v>
      </c>
      <c r="F272" s="387">
        <v>1</v>
      </c>
      <c r="G272" s="16">
        <f>'Dry_Litterbag Placem_Collection'!E199</f>
        <v>42942</v>
      </c>
      <c r="H272" t="str">
        <f>'Final data_for_R_analysis_Dryse'!J198</f>
        <v>G399</v>
      </c>
      <c r="I272" t="str">
        <f>'Final data_for_R_analysis_Dryse'!J418</f>
        <v>R692</v>
      </c>
      <c r="J272">
        <f>IFERROR(INDEX('Green_rooibos initial weight'!$C$5:$C$1749,MATCH(H272, 'Green_rooibos initial weight'!$A$5:$A$1749,0)),"")</f>
        <v>2.0070000000000001</v>
      </c>
      <c r="K272">
        <f>IFERROR(INDEX('Green_rooibos initial weight'!$C$5:$C$1749,MATCH(I272, 'Green_rooibos initial weight'!$A$5:$A$1749,0)),"")</f>
        <v>2.1419999999999999</v>
      </c>
      <c r="L272" s="195">
        <f t="shared" si="41"/>
        <v>1.7572000000000001</v>
      </c>
      <c r="M272" s="240">
        <f>AVERAGE(Ashed_controlls!$K$1:$K$11)</f>
        <v>5.5147656768714146</v>
      </c>
      <c r="N272" s="195">
        <f t="shared" si="36"/>
        <v>1.6602945375260156</v>
      </c>
      <c r="O272" s="195">
        <f t="shared" si="42"/>
        <v>1.8921999999999999</v>
      </c>
      <c r="P272" s="240">
        <f>AVERAGE(Ashed_controlls!$K$12:$K$14)</f>
        <v>2.2816647271287041</v>
      </c>
      <c r="Q272" s="195">
        <f t="shared" si="37"/>
        <v>1.8490263400332705</v>
      </c>
      <c r="R272" s="16">
        <f>IF('Dry_Litterbag Placem_Collection'!G199="N.A","",'Dry_Litterbag Placem_Collection'!G199)</f>
        <v>43004</v>
      </c>
      <c r="S272" s="195">
        <f>IF(IFERROR(INDEX('Both teabags AfterDry'!$D$1:$D$839,MATCH(H272,'Both teabags AfterDry'!$A$1:$A$839,0)),"")="N.A","",(IFERROR(INDEX('Both teabags AfterDry'!$D$1:$D$839,MATCH(H272,'Both teabags AfterDry'!$A$1:$A$839,0)),"")))</f>
        <v>0.69</v>
      </c>
      <c r="T272" s="195">
        <f>IF(IFERROR(INDEX('Both teabags AfterDry'!$D$1:$D$839,MATCH(I272,'Both teabags AfterDry'!$A$1:$A$839,0)),"")="N.A","",(IFERROR(INDEX('Both teabags AfterDry'!$D$1:$D$839,MATCH(I272,'Both teabags AfterDry'!$A$1:$A$839,0)),"")))</f>
        <v>1.6160000000000001</v>
      </c>
      <c r="U272" s="195">
        <f t="shared" si="43"/>
        <v>0.53939999999999988</v>
      </c>
      <c r="V272" s="195">
        <f t="shared" si="43"/>
        <v>1.4654</v>
      </c>
      <c r="W272" s="195">
        <f>IFERROR(INDEX('Ashed teabags dry'!$K$2:$K$821,MATCH(H272,'Ashed teabags dry'!$A$2:$A$821,0)),"")</f>
        <v>18.458698661744211</v>
      </c>
      <c r="X272" s="195">
        <f>IFERROR(INDEX('Ashed teabags dry'!$K$2:$K$821,MATCH(I272,'Ashed teabags dry'!$A$2:$A$821,0)),"")</f>
        <v>6.6166740185264974</v>
      </c>
      <c r="Y272" s="195">
        <f t="shared" si="38"/>
        <v>0.43983377941855162</v>
      </c>
      <c r="Z272" s="195">
        <f t="shared" si="38"/>
        <v>1.3684392589325127</v>
      </c>
      <c r="AA272" s="195">
        <f t="shared" si="44"/>
        <v>0.73508689604319088</v>
      </c>
      <c r="AB272" s="195">
        <f t="shared" si="45"/>
        <v>0.4819096990686953</v>
      </c>
      <c r="AC272" s="195">
        <f t="shared" si="39"/>
        <v>0.74008640618277488</v>
      </c>
      <c r="AD272">
        <f t="shared" si="40"/>
        <v>62</v>
      </c>
      <c r="AE272" s="195">
        <f t="shared" si="46"/>
        <v>0.12697518284656661</v>
      </c>
      <c r="AF272" s="195">
        <f t="shared" si="47"/>
        <v>1.2501563102620806E-2</v>
      </c>
      <c r="AG272" s="255" t="str">
        <f>IF(ISNUMBER(SEARCH("C", 'Dry_Litterbag Placem_Collection'!AB199)),"YES","NO")</f>
        <v>NO</v>
      </c>
      <c r="AH272" s="255" t="str">
        <f>IF(ISNUMBER(SEARCH("H", 'Dry_Litterbag Placem_Collection'!AB199)),"YES","NO")</f>
        <v>NO</v>
      </c>
      <c r="AI272" s="255" t="str">
        <f>IF(ISNUMBER(SEARCH("R", 'Dry_Litterbag Placem_Collection'!AB199)),"YES","NO")</f>
        <v>NO</v>
      </c>
      <c r="AJ272" s="255" t="str">
        <f>IF(ISNUMBER(SEARCH("C", 'Dry_Litterbag Placem_Collection'!AA199)),"YES","NO")</f>
        <v>NO</v>
      </c>
      <c r="AK272" s="255" t="str">
        <f>IF(ISNUMBER(SEARCH("H", 'Dry_Litterbag Placem_Collection'!AA199)),"YES","NO")</f>
        <v>NO</v>
      </c>
      <c r="AL272" s="255" t="str">
        <f>IF(ISNUMBER(SEARCH("R", 'Dry_Litterbag Placem_Collection'!AA199)),"YES","NO")</f>
        <v>NO</v>
      </c>
      <c r="AR272" t="s">
        <v>1651</v>
      </c>
      <c r="AT272" t="s">
        <v>447</v>
      </c>
    </row>
    <row r="273" spans="2:46">
      <c r="B273" t="str">
        <f>'Final data_for_R_analysis_Dryse'!A199</f>
        <v>Dry</v>
      </c>
      <c r="C273" s="263">
        <f>'Final data_for_R_analysis_Dryse'!B199</f>
        <v>198</v>
      </c>
      <c r="D273" t="s">
        <v>2439</v>
      </c>
      <c r="E273" t="s">
        <v>22</v>
      </c>
      <c r="F273" s="387">
        <v>2</v>
      </c>
      <c r="G273" s="16">
        <f>'Dry_Litterbag Placem_Collection'!E200</f>
        <v>42942</v>
      </c>
      <c r="H273" t="str">
        <f>'Final data_for_R_analysis_Dryse'!J199</f>
        <v>G27</v>
      </c>
      <c r="I273" t="str">
        <f>'Final data_for_R_analysis_Dryse'!J419</f>
        <v>R352</v>
      </c>
      <c r="J273">
        <f>IFERROR(INDEX('Green_rooibos initial weight'!$C$5:$C$1749,MATCH(H273, 'Green_rooibos initial weight'!$A$5:$A$1749,0)),"")</f>
        <v>1.966</v>
      </c>
      <c r="K273">
        <f>IFERROR(INDEX('Green_rooibos initial weight'!$C$5:$C$1749,MATCH(I273, 'Green_rooibos initial weight'!$A$5:$A$1749,0)),"")</f>
        <v>2.2789999999999999</v>
      </c>
      <c r="L273" s="195">
        <f t="shared" si="41"/>
        <v>1.7161999999999999</v>
      </c>
      <c r="M273" s="240">
        <f>AVERAGE(Ashed_controlls!$K$1:$K$11)</f>
        <v>5.5147656768714146</v>
      </c>
      <c r="N273" s="195">
        <f t="shared" si="36"/>
        <v>1.6215555914535327</v>
      </c>
      <c r="O273" s="195">
        <f t="shared" si="42"/>
        <v>2.0291999999999999</v>
      </c>
      <c r="P273" s="240">
        <f>AVERAGE(Ashed_controlls!$K$12:$K$14)</f>
        <v>2.2816647271287041</v>
      </c>
      <c r="Q273" s="195">
        <f t="shared" si="37"/>
        <v>1.9829004593571042</v>
      </c>
      <c r="R273" s="16">
        <f>IF('Dry_Litterbag Placem_Collection'!G200="N.A","",'Dry_Litterbag Placem_Collection'!G200)</f>
        <v>43004</v>
      </c>
      <c r="S273" s="195">
        <f>IF(IFERROR(INDEX('Both teabags AfterDry'!$D$1:$D$839,MATCH(H273,'Both teabags AfterDry'!$A$1:$A$839,0)),"")="N.A","",(IFERROR(INDEX('Both teabags AfterDry'!$D$1:$D$839,MATCH(H273,'Both teabags AfterDry'!$A$1:$A$839,0)),"")))</f>
        <v>0.73799999999999999</v>
      </c>
      <c r="T273" s="195">
        <f>IF(IFERROR(INDEX('Both teabags AfterDry'!$D$1:$D$839,MATCH(I273,'Both teabags AfterDry'!$A$1:$A$839,0)),"")="N.A","",(IFERROR(INDEX('Both teabags AfterDry'!$D$1:$D$839,MATCH(I273,'Both teabags AfterDry'!$A$1:$A$839,0)),"")))</f>
        <v>1.615</v>
      </c>
      <c r="U273" s="195">
        <f t="shared" si="43"/>
        <v>0.58739999999999992</v>
      </c>
      <c r="V273" s="195">
        <f t="shared" si="43"/>
        <v>1.4643999999999999</v>
      </c>
      <c r="W273" s="195">
        <f>IFERROR(INDEX('Ashed teabags dry'!$K$2:$K$821,MATCH(H273,'Ashed teabags dry'!$A$2:$A$821,0)),"")</f>
        <v>26.042177538007827</v>
      </c>
      <c r="X273" s="195">
        <f>IFERROR(INDEX('Ashed teabags dry'!$K$2:$K$821,MATCH(I273,'Ashed teabags dry'!$A$2:$A$821,0)),"")</f>
        <v>5.1034482758627195</v>
      </c>
      <c r="Y273" s="195">
        <f t="shared" si="38"/>
        <v>0.43442824914174194</v>
      </c>
      <c r="Z273" s="195">
        <f t="shared" si="38"/>
        <v>1.3896651034482663</v>
      </c>
      <c r="AA273" s="195">
        <f t="shared" si="44"/>
        <v>0.73209167084285509</v>
      </c>
      <c r="AB273" s="195">
        <f t="shared" si="45"/>
        <v>0.47994608349792878</v>
      </c>
      <c r="AC273" s="195">
        <f t="shared" si="39"/>
        <v>0.70082443971939135</v>
      </c>
      <c r="AD273">
        <f t="shared" si="40"/>
        <v>62</v>
      </c>
      <c r="AE273" s="195">
        <f t="shared" si="46"/>
        <v>0.1305324574312885</v>
      </c>
      <c r="AF273" s="195">
        <f t="shared" si="47"/>
        <v>1.5749118906176911E-2</v>
      </c>
      <c r="AG273" s="255" t="str">
        <f>IF(ISNUMBER(SEARCH("C", 'Dry_Litterbag Placem_Collection'!AB200)),"YES","NO")</f>
        <v>NO</v>
      </c>
      <c r="AH273" s="255" t="str">
        <f>IF(ISNUMBER(SEARCH("H", 'Dry_Litterbag Placem_Collection'!AB200)),"YES","NO")</f>
        <v>NO</v>
      </c>
      <c r="AI273" s="255" t="str">
        <f>IF(ISNUMBER(SEARCH("R", 'Dry_Litterbag Placem_Collection'!AB200)),"YES","NO")</f>
        <v>NO</v>
      </c>
      <c r="AJ273" s="255" t="str">
        <f>IF(ISNUMBER(SEARCH("C", 'Dry_Litterbag Placem_Collection'!AA200)),"YES","NO")</f>
        <v>NO</v>
      </c>
      <c r="AK273" s="255" t="str">
        <f>IF(ISNUMBER(SEARCH("H", 'Dry_Litterbag Placem_Collection'!AA200)),"YES","NO")</f>
        <v>NO</v>
      </c>
      <c r="AL273" s="255" t="str">
        <f>IF(ISNUMBER(SEARCH("R", 'Dry_Litterbag Placem_Collection'!AA200)),"YES","NO")</f>
        <v>NO</v>
      </c>
      <c r="AR273" t="s">
        <v>2023</v>
      </c>
      <c r="AT273" t="s">
        <v>789</v>
      </c>
    </row>
    <row r="274" spans="2:46">
      <c r="B274" t="str">
        <f>'Final data_for_R_analysis_Dryse'!A200</f>
        <v>Dry</v>
      </c>
      <c r="C274" s="263">
        <f>'Final data_for_R_analysis_Dryse'!B200</f>
        <v>199</v>
      </c>
      <c r="D274" t="s">
        <v>2423</v>
      </c>
      <c r="E274" t="s">
        <v>22</v>
      </c>
      <c r="F274" s="387">
        <v>3</v>
      </c>
      <c r="G274" s="16">
        <f>'Dry_Litterbag Placem_Collection'!E201</f>
        <v>42942</v>
      </c>
      <c r="H274" t="str">
        <f>'Final data_for_R_analysis_Dryse'!J200</f>
        <v>G224</v>
      </c>
      <c r="I274" t="str">
        <f>'Final data_for_R_analysis_Dryse'!J420</f>
        <v>R327</v>
      </c>
      <c r="J274">
        <f>IFERROR(INDEX('Green_rooibos initial weight'!$C$5:$C$1749,MATCH(H274, 'Green_rooibos initial weight'!$A$5:$A$1749,0)),"")</f>
        <v>2.0259999999999998</v>
      </c>
      <c r="K274">
        <f>IFERROR(INDEX('Green_rooibos initial weight'!$C$5:$C$1749,MATCH(I274, 'Green_rooibos initial weight'!$A$5:$A$1749,0)),"")</f>
        <v>2.2229999999999999</v>
      </c>
      <c r="L274" s="195">
        <f t="shared" si="41"/>
        <v>1.7761999999999998</v>
      </c>
      <c r="M274" s="240">
        <f>AVERAGE(Ashed_controlls!$K$1:$K$11)</f>
        <v>5.5147656768714146</v>
      </c>
      <c r="N274" s="195">
        <f t="shared" si="36"/>
        <v>1.6782467320474097</v>
      </c>
      <c r="O274" s="195">
        <f t="shared" si="42"/>
        <v>1.9731999999999998</v>
      </c>
      <c r="P274" s="240">
        <f>AVERAGE(Ashed_controlls!$K$12:$K$14)</f>
        <v>2.2816647271287041</v>
      </c>
      <c r="Q274" s="195">
        <f t="shared" si="37"/>
        <v>1.9281781916042962</v>
      </c>
      <c r="R274" s="16">
        <f>IF('Dry_Litterbag Placem_Collection'!G201="N.A","",'Dry_Litterbag Placem_Collection'!G201)</f>
        <v>43004</v>
      </c>
      <c r="S274" s="195">
        <f>IF(IFERROR(INDEX('Both teabags AfterDry'!$D$1:$D$839,MATCH(H274,'Both teabags AfterDry'!$A$1:$A$839,0)),"")="N.A","",(IFERROR(INDEX('Both teabags AfterDry'!$D$1:$D$839,MATCH(H274,'Both teabags AfterDry'!$A$1:$A$839,0)),"")))</f>
        <v>0.53049999999999997</v>
      </c>
      <c r="T274" s="195">
        <f>IF(IFERROR(INDEX('Both teabags AfterDry'!$D$1:$D$839,MATCH(I274,'Both teabags AfterDry'!$A$1:$A$839,0)),"")="N.A","",(IFERROR(INDEX('Both teabags AfterDry'!$D$1:$D$839,MATCH(I274,'Both teabags AfterDry'!$A$1:$A$839,0)),"")))</f>
        <v>1.5642</v>
      </c>
      <c r="U274" s="195">
        <f t="shared" si="43"/>
        <v>0.37989999999999996</v>
      </c>
      <c r="V274" s="195">
        <f t="shared" si="43"/>
        <v>1.4136</v>
      </c>
      <c r="W274" s="195">
        <f>IFERROR(INDEX('Ashed teabags dry'!$K$2:$K$821,MATCH(H274,'Ashed teabags dry'!$A$2:$A$821,0)),"")</f>
        <v>22.616075886170179</v>
      </c>
      <c r="X274" s="195">
        <f>IFERROR(INDEX('Ashed teabags dry'!$K$2:$K$821,MATCH(I274,'Ashed teabags dry'!$A$2:$A$821,0)),"")</f>
        <v>3.4327009936770145</v>
      </c>
      <c r="Y274" s="195">
        <f t="shared" si="38"/>
        <v>0.29398152770843944</v>
      </c>
      <c r="Z274" s="195">
        <f t="shared" si="38"/>
        <v>1.3650753387533816</v>
      </c>
      <c r="AA274" s="195">
        <f t="shared" si="44"/>
        <v>0.82482818402405533</v>
      </c>
      <c r="AB274" s="195">
        <f t="shared" si="45"/>
        <v>0.5407424674361978</v>
      </c>
      <c r="AC274" s="195">
        <f t="shared" si="39"/>
        <v>0.70796119606435448</v>
      </c>
      <c r="AD274">
        <f t="shared" si="40"/>
        <v>62</v>
      </c>
      <c r="AE274" s="195">
        <f t="shared" si="46"/>
        <v>2.039408073152571E-2</v>
      </c>
      <c r="AF274" s="195">
        <f t="shared" si="47"/>
        <v>1.2527113767560114E-2</v>
      </c>
      <c r="AG274" s="255" t="str">
        <f>IF(ISNUMBER(SEARCH("C", 'Dry_Litterbag Placem_Collection'!AB201)),"YES","NO")</f>
        <v>NO</v>
      </c>
      <c r="AH274" s="255" t="str">
        <f>IF(ISNUMBER(SEARCH("H", 'Dry_Litterbag Placem_Collection'!AB201)),"YES","NO")</f>
        <v>NO</v>
      </c>
      <c r="AI274" s="255" t="str">
        <f>IF(ISNUMBER(SEARCH("R", 'Dry_Litterbag Placem_Collection'!AB201)),"YES","NO")</f>
        <v>NO</v>
      </c>
      <c r="AJ274" s="255" t="str">
        <f>IF(ISNUMBER(SEARCH("C", 'Dry_Litterbag Placem_Collection'!AA201)),"YES","NO")</f>
        <v>NO</v>
      </c>
      <c r="AK274" s="255" t="str">
        <f>IF(ISNUMBER(SEARCH("H", 'Dry_Litterbag Placem_Collection'!AA201)),"YES","NO")</f>
        <v>NO</v>
      </c>
      <c r="AL274" s="255" t="str">
        <f>IF(ISNUMBER(SEARCH("R", 'Dry_Litterbag Placem_Collection'!AA201)),"YES","NO")</f>
        <v>NO</v>
      </c>
      <c r="AR274" t="s">
        <v>1826</v>
      </c>
      <c r="AT274" t="s">
        <v>814</v>
      </c>
    </row>
    <row r="275" spans="2:46">
      <c r="B275" t="str">
        <f>'Final data_for_R_analysis_Dryse'!A201</f>
        <v>Dry</v>
      </c>
      <c r="C275" s="263">
        <f>'Final data_for_R_analysis_Dryse'!B201</f>
        <v>200</v>
      </c>
      <c r="D275" t="s">
        <v>2446</v>
      </c>
      <c r="E275" t="s">
        <v>22</v>
      </c>
      <c r="F275" s="387">
        <v>4</v>
      </c>
      <c r="G275" s="16">
        <f>'Dry_Litterbag Placem_Collection'!E202</f>
        <v>42942</v>
      </c>
      <c r="H275" t="str">
        <f>'Final data_for_R_analysis_Dryse'!J201</f>
        <v>G158</v>
      </c>
      <c r="I275" t="str">
        <f>'Final data_for_R_analysis_Dryse'!J421</f>
        <v>R75</v>
      </c>
      <c r="J275">
        <f>IFERROR(INDEX('Green_rooibos initial weight'!$C$5:$C$1749,MATCH(H275, 'Green_rooibos initial weight'!$A$5:$A$1749,0)),"")</f>
        <v>2.0609999999999999</v>
      </c>
      <c r="K275">
        <f>IFERROR(INDEX('Green_rooibos initial weight'!$C$5:$C$1749,MATCH(I275, 'Green_rooibos initial weight'!$A$5:$A$1749,0)),"")</f>
        <v>2.1819999999999999</v>
      </c>
      <c r="L275" s="195">
        <f t="shared" si="41"/>
        <v>1.8111999999999999</v>
      </c>
      <c r="M275" s="240">
        <f>AVERAGE(Ashed_controlls!$K$1:$K$11)</f>
        <v>5.5147656768714146</v>
      </c>
      <c r="N275" s="195">
        <f t="shared" si="36"/>
        <v>1.7113165640605048</v>
      </c>
      <c r="O275" s="195">
        <f t="shared" si="42"/>
        <v>1.9321999999999999</v>
      </c>
      <c r="P275" s="240">
        <f>AVERAGE(Ashed_controlls!$K$12:$K$14)</f>
        <v>2.2816647271287041</v>
      </c>
      <c r="Q275" s="195">
        <f t="shared" si="37"/>
        <v>1.8881136741424192</v>
      </c>
      <c r="R275" s="16">
        <f>IF('Dry_Litterbag Placem_Collection'!G202="N.A","",'Dry_Litterbag Placem_Collection'!G202)</f>
        <v>43004</v>
      </c>
      <c r="S275" s="195">
        <f>IF(IFERROR(INDEX('Both teabags AfterDry'!$D$1:$D$839,MATCH(H275,'Both teabags AfterDry'!$A$1:$A$839,0)),"")="N.A","",(IFERROR(INDEX('Both teabags AfterDry'!$D$1:$D$839,MATCH(H275,'Both teabags AfterDry'!$A$1:$A$839,0)),"")))</f>
        <v>0.71050000000000002</v>
      </c>
      <c r="T275" s="195">
        <f>IF(IFERROR(INDEX('Both teabags AfterDry'!$D$1:$D$839,MATCH(I275,'Both teabags AfterDry'!$A$1:$A$839,0)),"")="N.A","",(IFERROR(INDEX('Both teabags AfterDry'!$D$1:$D$839,MATCH(I275,'Both teabags AfterDry'!$A$1:$A$839,0)),"")))</f>
        <v>0.1565</v>
      </c>
      <c r="U275" s="195">
        <f t="shared" si="43"/>
        <v>0.55990000000000006</v>
      </c>
      <c r="V275" s="195">
        <f t="shared" si="43"/>
        <v>5.8999999999999886E-3</v>
      </c>
      <c r="W275" s="195">
        <f>IFERROR(INDEX('Ashed teabags dry'!$K$2:$K$821,MATCH(H275,'Ashed teabags dry'!$A$2:$A$821,0)),"")</f>
        <v>21.295855169128785</v>
      </c>
      <c r="X275" s="195">
        <f>IFERROR(INDEX('Ashed teabags dry'!$K$2:$K$821,MATCH(I275,'Ashed teabags dry'!$A$2:$A$821,0)),"")</f>
        <v>0</v>
      </c>
      <c r="Y275" s="195">
        <f t="shared" si="38"/>
        <v>0.44066450690804798</v>
      </c>
      <c r="Z275" s="195">
        <f t="shared" si="38"/>
        <v>5.8999999999999886E-3</v>
      </c>
      <c r="AA275" s="195">
        <f t="shared" si="44"/>
        <v>0.74249971269928761</v>
      </c>
      <c r="AB275" s="195">
        <f t="shared" si="45"/>
        <v>0.48676940785036438</v>
      </c>
      <c r="AC275" s="195">
        <f t="shared" si="39"/>
        <v>3.1248118589468758E-3</v>
      </c>
      <c r="AD275">
        <f t="shared" si="40"/>
        <v>62</v>
      </c>
      <c r="AE275" s="195">
        <f t="shared" si="46"/>
        <v>0.11817136258991967</v>
      </c>
      <c r="AF275" s="195" t="str">
        <f t="shared" si="47"/>
        <v/>
      </c>
      <c r="AG275" s="255" t="str">
        <f>IF(ISNUMBER(SEARCH("C", 'Dry_Litterbag Placem_Collection'!AB202)),"YES","NO")</f>
        <v>NO</v>
      </c>
      <c r="AH275" s="255" t="str">
        <f>IF(ISNUMBER(SEARCH("H", 'Dry_Litterbag Placem_Collection'!AB202)),"YES","NO")</f>
        <v>NO</v>
      </c>
      <c r="AI275" s="255" t="str">
        <f>IF(ISNUMBER(SEARCH("R", 'Dry_Litterbag Placem_Collection'!AB202)),"YES","NO")</f>
        <v>NO</v>
      </c>
      <c r="AJ275" s="255" t="str">
        <f>IF(ISNUMBER(SEARCH("C", 'Dry_Litterbag Placem_Collection'!AA202)),"YES","NO")</f>
        <v>NO</v>
      </c>
      <c r="AK275" s="255" t="str">
        <f>IF(ISNUMBER(SEARCH("H", 'Dry_Litterbag Placem_Collection'!AA202)),"YES","NO")</f>
        <v>NO</v>
      </c>
      <c r="AL275" s="255" t="str">
        <f>IF(ISNUMBER(SEARCH("R", 'Dry_Litterbag Placem_Collection'!AA202)),"YES","NO")</f>
        <v>NO</v>
      </c>
      <c r="AR275" t="s">
        <v>1892</v>
      </c>
      <c r="AT275" t="s">
        <v>1066</v>
      </c>
    </row>
    <row r="276" spans="2:46">
      <c r="B276" t="str">
        <f>'Final data_for_R_analysis_Dryse'!A202</f>
        <v>Dry</v>
      </c>
      <c r="C276" s="263">
        <f>'Final data_for_R_analysis_Dryse'!B202</f>
        <v>201</v>
      </c>
      <c r="D276" t="s">
        <v>2447</v>
      </c>
      <c r="E276" t="s">
        <v>22</v>
      </c>
      <c r="F276" s="387">
        <v>1</v>
      </c>
      <c r="G276" s="16">
        <f>'Dry_Litterbag Placem_Collection'!E203</f>
        <v>42942</v>
      </c>
      <c r="H276" t="str">
        <f>'Final data_for_R_analysis_Dryse'!J202</f>
        <v>G211</v>
      </c>
      <c r="I276" t="str">
        <f>'Final data_for_R_analysis_Dryse'!J422</f>
        <v>R36</v>
      </c>
      <c r="J276">
        <f>IFERROR(INDEX('Green_rooibos initial weight'!$C$5:$C$1749,MATCH(H276, 'Green_rooibos initial weight'!$A$5:$A$1749,0)),"")</f>
        <v>2.06</v>
      </c>
      <c r="K276">
        <f>IFERROR(INDEX('Green_rooibos initial weight'!$C$5:$C$1749,MATCH(I276, 'Green_rooibos initial weight'!$A$5:$A$1749,0)),"")</f>
        <v>2.298</v>
      </c>
      <c r="L276" s="195">
        <f t="shared" si="41"/>
        <v>1.8102</v>
      </c>
      <c r="M276" s="240">
        <f>AVERAGE(Ashed_controlls!$K$1:$K$11)</f>
        <v>5.5147656768714146</v>
      </c>
      <c r="N276" s="195">
        <f t="shared" si="36"/>
        <v>1.7103717117172736</v>
      </c>
      <c r="O276" s="195">
        <f t="shared" si="42"/>
        <v>2.0482</v>
      </c>
      <c r="P276" s="240">
        <f>AVERAGE(Ashed_controlls!$K$12:$K$14)</f>
        <v>2.2816647271287041</v>
      </c>
      <c r="Q276" s="195">
        <f t="shared" si="37"/>
        <v>2.0014669430589498</v>
      </c>
      <c r="R276" s="16">
        <f>IF('Dry_Litterbag Placem_Collection'!G203="N.A","",'Dry_Litterbag Placem_Collection'!G203)</f>
        <v>43004</v>
      </c>
      <c r="S276" s="195">
        <f>IF(IFERROR(INDEX('Both teabags AfterDry'!$D$1:$D$839,MATCH(H276,'Both teabags AfterDry'!$A$1:$A$839,0)),"")="N.A","",(IFERROR(INDEX('Both teabags AfterDry'!$D$1:$D$839,MATCH(H276,'Both teabags AfterDry'!$A$1:$A$839,0)),"")))</f>
        <v>0.67300000000000004</v>
      </c>
      <c r="T276" s="195">
        <f>IF(IFERROR(INDEX('Both teabags AfterDry'!$D$1:$D$839,MATCH(I276,'Both teabags AfterDry'!$A$1:$A$839,0)),"")="N.A","",(IFERROR(INDEX('Both teabags AfterDry'!$D$1:$D$839,MATCH(I276,'Both teabags AfterDry'!$A$1:$A$839,0)),"")))</f>
        <v>1.968</v>
      </c>
      <c r="U276" s="195">
        <f t="shared" si="43"/>
        <v>0.52239999999999998</v>
      </c>
      <c r="V276" s="195">
        <f t="shared" si="43"/>
        <v>1.8173999999999999</v>
      </c>
      <c r="W276" s="195">
        <f>IFERROR(INDEX('Ashed teabags dry'!$K$2:$K$821,MATCH(H276,'Ashed teabags dry'!$A$2:$A$821,0)),"")</f>
        <v>67.294685990337157</v>
      </c>
      <c r="X276" s="195">
        <f>IFERROR(INDEX('Ashed teabags dry'!$K$2:$K$821,MATCH(I276,'Ashed teabags dry'!$A$2:$A$821,0)),"")</f>
        <v>10.068426197458811</v>
      </c>
      <c r="Y276" s="195">
        <f t="shared" si="38"/>
        <v>0.17085256038647867</v>
      </c>
      <c r="Z276" s="195">
        <f t="shared" si="38"/>
        <v>1.6344164222873836</v>
      </c>
      <c r="AA276" s="195">
        <f t="shared" si="44"/>
        <v>0.90010793606090655</v>
      </c>
      <c r="AB276" s="195">
        <f t="shared" si="45"/>
        <v>0.59009451390216205</v>
      </c>
      <c r="AC276" s="195">
        <f t="shared" si="39"/>
        <v>0.81660925150700558</v>
      </c>
      <c r="AD276">
        <f t="shared" si="40"/>
        <v>62</v>
      </c>
      <c r="AE276" s="195">
        <f t="shared" si="46"/>
        <v>-6.9011800547394975E-2</v>
      </c>
      <c r="AF276" s="195">
        <f t="shared" si="47"/>
        <v>6.0031878356522203E-3</v>
      </c>
      <c r="AG276" s="255" t="str">
        <f>IF(ISNUMBER(SEARCH("C", 'Dry_Litterbag Placem_Collection'!AB203)),"YES","NO")</f>
        <v>NO</v>
      </c>
      <c r="AH276" s="255" t="str">
        <f>IF(ISNUMBER(SEARCH("H", 'Dry_Litterbag Placem_Collection'!AB203)),"YES","NO")</f>
        <v>NO</v>
      </c>
      <c r="AI276" s="255" t="str">
        <f>IF(ISNUMBER(SEARCH("R", 'Dry_Litterbag Placem_Collection'!AB203)),"YES","NO")</f>
        <v>NO</v>
      </c>
      <c r="AJ276" s="255" t="str">
        <f>IF(ISNUMBER(SEARCH("C", 'Dry_Litterbag Placem_Collection'!AA203)),"YES","NO")</f>
        <v>NO</v>
      </c>
      <c r="AK276" s="255" t="str">
        <f>IF(ISNUMBER(SEARCH("H", 'Dry_Litterbag Placem_Collection'!AA203)),"YES","NO")</f>
        <v>NO</v>
      </c>
      <c r="AL276" s="255" t="str">
        <f>IF(ISNUMBER(SEARCH("R", 'Dry_Litterbag Placem_Collection'!AA203)),"YES","NO")</f>
        <v>NO</v>
      </c>
      <c r="AR276" t="s">
        <v>1839</v>
      </c>
      <c r="AT276" t="s">
        <v>1105</v>
      </c>
    </row>
    <row r="277" spans="2:46">
      <c r="B277" t="str">
        <f>'Final data_for_R_analysis_Dryse'!A203</f>
        <v>Dry</v>
      </c>
      <c r="C277" s="263">
        <f>'Final data_for_R_analysis_Dryse'!B203</f>
        <v>202</v>
      </c>
      <c r="D277" t="s">
        <v>2424</v>
      </c>
      <c r="E277" t="s">
        <v>22</v>
      </c>
      <c r="F277" s="387">
        <v>2</v>
      </c>
      <c r="G277" s="16">
        <f>'Dry_Litterbag Placem_Collection'!E204</f>
        <v>42942</v>
      </c>
      <c r="H277" t="str">
        <f>'Final data_for_R_analysis_Dryse'!J203</f>
        <v>G181</v>
      </c>
      <c r="I277" t="str">
        <f>'Final data_for_R_analysis_Dryse'!J423</f>
        <v>R676</v>
      </c>
      <c r="J277">
        <f>IFERROR(INDEX('Green_rooibos initial weight'!$C$5:$C$1749,MATCH(H277, 'Green_rooibos initial weight'!$A$5:$A$1749,0)),"")</f>
        <v>1.7629999999999999</v>
      </c>
      <c r="K277">
        <f>IFERROR(INDEX('Green_rooibos initial weight'!$C$5:$C$1749,MATCH(I277, 'Green_rooibos initial weight'!$A$5:$A$1749,0)),"")</f>
        <v>2.1459999999999999</v>
      </c>
      <c r="L277" s="195">
        <f t="shared" si="41"/>
        <v>1.5131999999999999</v>
      </c>
      <c r="M277" s="240">
        <f>AVERAGE(Ashed_controlls!$K$1:$K$11)</f>
        <v>5.5147656768714146</v>
      </c>
      <c r="N277" s="195">
        <f t="shared" si="36"/>
        <v>1.4297505657775815</v>
      </c>
      <c r="O277" s="195">
        <f t="shared" si="42"/>
        <v>1.8961999999999999</v>
      </c>
      <c r="P277" s="240">
        <f>AVERAGE(Ashed_controlls!$K$12:$K$14)</f>
        <v>2.2816647271287041</v>
      </c>
      <c r="Q277" s="195">
        <f t="shared" si="37"/>
        <v>1.8529350734441854</v>
      </c>
      <c r="R277" s="16">
        <f>IF('Dry_Litterbag Placem_Collection'!G204="N.A","",'Dry_Litterbag Placem_Collection'!G204)</f>
        <v>43004</v>
      </c>
      <c r="S277" s="195">
        <f>IF(IFERROR(INDEX('Both teabags AfterDry'!$D$1:$D$839,MATCH(H277,'Both teabags AfterDry'!$A$1:$A$839,0)),"")="N.A","",(IFERROR(INDEX('Both teabags AfterDry'!$D$1:$D$839,MATCH(H277,'Both teabags AfterDry'!$A$1:$A$839,0)),"")))</f>
        <v>0.80740000000000001</v>
      </c>
      <c r="T277" s="195">
        <f>IF(IFERROR(INDEX('Both teabags AfterDry'!$D$1:$D$839,MATCH(I277,'Both teabags AfterDry'!$A$1:$A$839,0)),"")="N.A","",(IFERROR(INDEX('Both teabags AfterDry'!$D$1:$D$839,MATCH(I277,'Both teabags AfterDry'!$A$1:$A$839,0)),"")))</f>
        <v>1.6712</v>
      </c>
      <c r="U277" s="195">
        <f t="shared" si="43"/>
        <v>0.65680000000000005</v>
      </c>
      <c r="V277" s="195">
        <f t="shared" si="43"/>
        <v>1.5206</v>
      </c>
      <c r="W277" s="195">
        <f>IFERROR(INDEX('Ashed teabags dry'!$K$2:$K$821,MATCH(H277,'Ashed teabags dry'!$A$2:$A$821,0)),"")</f>
        <v>30.530575539568105</v>
      </c>
      <c r="X277" s="195">
        <f>IFERROR(INDEX('Ashed teabags dry'!$K$2:$K$821,MATCH(I277,'Ashed teabags dry'!$A$2:$A$821,0)),"")</f>
        <v>11.369253583786671</v>
      </c>
      <c r="Y277" s="195">
        <f t="shared" si="38"/>
        <v>0.45627517985611671</v>
      </c>
      <c r="Z277" s="195">
        <f t="shared" si="38"/>
        <v>1.3477191300049398</v>
      </c>
      <c r="AA277" s="195">
        <f t="shared" si="44"/>
        <v>0.68087078209480012</v>
      </c>
      <c r="AB277" s="195">
        <f t="shared" si="45"/>
        <v>0.44636659348732743</v>
      </c>
      <c r="AC277" s="195">
        <f t="shared" si="39"/>
        <v>0.72734287850671209</v>
      </c>
      <c r="AD277">
        <f t="shared" si="40"/>
        <v>62</v>
      </c>
      <c r="AE277" s="195">
        <f t="shared" si="46"/>
        <v>0.19136486687078369</v>
      </c>
      <c r="AF277" s="195">
        <f t="shared" si="47"/>
        <v>1.522187694133415E-2</v>
      </c>
      <c r="AG277" s="255" t="str">
        <f>IF(ISNUMBER(SEARCH("C", 'Dry_Litterbag Placem_Collection'!AB204)),"YES","NO")</f>
        <v>NO</v>
      </c>
      <c r="AH277" s="255" t="str">
        <f>IF(ISNUMBER(SEARCH("H", 'Dry_Litterbag Placem_Collection'!AB204)),"YES","NO")</f>
        <v>NO</v>
      </c>
      <c r="AI277" s="255" t="str">
        <f>IF(ISNUMBER(SEARCH("R", 'Dry_Litterbag Placem_Collection'!AB204)),"YES","NO")</f>
        <v>NO</v>
      </c>
      <c r="AJ277" s="255" t="str">
        <f>IF(ISNUMBER(SEARCH("C", 'Dry_Litterbag Placem_Collection'!AA204)),"YES","NO")</f>
        <v>NO</v>
      </c>
      <c r="AK277" s="255" t="str">
        <f>IF(ISNUMBER(SEARCH("H", 'Dry_Litterbag Placem_Collection'!AA204)),"YES","NO")</f>
        <v>NO</v>
      </c>
      <c r="AL277" s="255" t="str">
        <f>IF(ISNUMBER(SEARCH("R", 'Dry_Litterbag Placem_Collection'!AA204)),"YES","NO")</f>
        <v>NO</v>
      </c>
      <c r="AR277" t="s">
        <v>1869</v>
      </c>
      <c r="AT277" t="s">
        <v>463</v>
      </c>
    </row>
    <row r="278" spans="2:46">
      <c r="B278" t="str">
        <f>'Final data_for_R_analysis_Dryse'!A204</f>
        <v>Dry</v>
      </c>
      <c r="C278" s="263">
        <f>'Final data_for_R_analysis_Dryse'!B204</f>
        <v>203</v>
      </c>
      <c r="D278" t="s">
        <v>2433</v>
      </c>
      <c r="E278" t="s">
        <v>22</v>
      </c>
      <c r="F278" s="387">
        <v>3</v>
      </c>
      <c r="G278" s="16">
        <f>'Dry_Litterbag Placem_Collection'!E205</f>
        <v>42942</v>
      </c>
      <c r="H278" t="str">
        <f>'Final data_for_R_analysis_Dryse'!J204</f>
        <v>G179</v>
      </c>
      <c r="I278" t="str">
        <f>'Final data_for_R_analysis_Dryse'!J424</f>
        <v>R685</v>
      </c>
      <c r="J278">
        <f>IFERROR(INDEX('Green_rooibos initial weight'!$C$5:$C$1749,MATCH(H278, 'Green_rooibos initial weight'!$A$5:$A$1749,0)),"")</f>
        <v>1.9750000000000001</v>
      </c>
      <c r="K278">
        <f>IFERROR(INDEX('Green_rooibos initial weight'!$C$5:$C$1749,MATCH(I278, 'Green_rooibos initial weight'!$A$5:$A$1749,0)),"")</f>
        <v>2.1629999999999998</v>
      </c>
      <c r="L278" s="195">
        <f t="shared" si="41"/>
        <v>1.7252000000000001</v>
      </c>
      <c r="M278" s="240">
        <f>AVERAGE(Ashed_controlls!$K$1:$K$11)</f>
        <v>5.5147656768714146</v>
      </c>
      <c r="N278" s="195">
        <f t="shared" si="36"/>
        <v>1.6300592625426145</v>
      </c>
      <c r="O278" s="195">
        <f t="shared" si="42"/>
        <v>1.9131999999999998</v>
      </c>
      <c r="P278" s="240">
        <f>AVERAGE(Ashed_controlls!$K$12:$K$14)</f>
        <v>2.2816647271287041</v>
      </c>
      <c r="Q278" s="195">
        <f t="shared" si="37"/>
        <v>1.8695471904405734</v>
      </c>
      <c r="R278" s="16">
        <f>IF('Dry_Litterbag Placem_Collection'!G205="N.A","",'Dry_Litterbag Placem_Collection'!G205)</f>
        <v>43004</v>
      </c>
      <c r="S278" s="195">
        <f>IF(IFERROR(INDEX('Both teabags AfterDry'!$D$1:$D$839,MATCH(H278,'Both teabags AfterDry'!$A$1:$A$839,0)),"")="N.A","",(IFERROR(INDEX('Both teabags AfterDry'!$D$1:$D$839,MATCH(H278,'Both teabags AfterDry'!$A$1:$A$839,0)),"")))</f>
        <v>0.59770000000000001</v>
      </c>
      <c r="T278" s="195">
        <f>IF(IFERROR(INDEX('Both teabags AfterDry'!$D$1:$D$839,MATCH(I278,'Both teabags AfterDry'!$A$1:$A$839,0)),"")="N.A","",(IFERROR(INDEX('Both teabags AfterDry'!$D$1:$D$839,MATCH(I278,'Both teabags AfterDry'!$A$1:$A$839,0)),"")))</f>
        <v>1.7919</v>
      </c>
      <c r="U278" s="195">
        <f t="shared" si="43"/>
        <v>0.4471</v>
      </c>
      <c r="V278" s="195">
        <f t="shared" si="43"/>
        <v>1.6413</v>
      </c>
      <c r="W278" s="195">
        <f>IFERROR(INDEX('Ashed teabags dry'!$K$2:$K$821,MATCH(H278,'Ashed teabags dry'!$A$2:$A$821,0)),"")</f>
        <v>24.558823529410816</v>
      </c>
      <c r="X278" s="195">
        <f>IFERROR(INDEX('Ashed teabags dry'!$K$2:$K$821,MATCH(I278,'Ashed teabags dry'!$A$2:$A$821,0)),"")</f>
        <v>7.1924603174607373</v>
      </c>
      <c r="Y278" s="195">
        <f t="shared" si="38"/>
        <v>0.33729750000000425</v>
      </c>
      <c r="Z278" s="195">
        <f t="shared" si="38"/>
        <v>1.5232501488095169</v>
      </c>
      <c r="AA278" s="195">
        <f t="shared" si="44"/>
        <v>0.79307654160139085</v>
      </c>
      <c r="AB278" s="195">
        <f t="shared" si="45"/>
        <v>0.51992666385269337</v>
      </c>
      <c r="AC278" s="195">
        <f t="shared" si="39"/>
        <v>0.81476956377364895</v>
      </c>
      <c r="AD278">
        <f t="shared" si="40"/>
        <v>62</v>
      </c>
      <c r="AE278" s="195">
        <f t="shared" si="46"/>
        <v>5.8103869832077382E-2</v>
      </c>
      <c r="AF278" s="195">
        <f t="shared" si="47"/>
        <v>7.104265053768123E-3</v>
      </c>
      <c r="AG278" s="255" t="str">
        <f>IF(ISNUMBER(SEARCH("C", 'Dry_Litterbag Placem_Collection'!AB205)),"YES","NO")</f>
        <v>NO</v>
      </c>
      <c r="AH278" s="255" t="str">
        <f>IF(ISNUMBER(SEARCH("H", 'Dry_Litterbag Placem_Collection'!AB205)),"YES","NO")</f>
        <v>NO</v>
      </c>
      <c r="AI278" s="255" t="str">
        <f>IF(ISNUMBER(SEARCH("R", 'Dry_Litterbag Placem_Collection'!AB205)),"YES","NO")</f>
        <v>NO</v>
      </c>
      <c r="AJ278" s="255" t="str">
        <f>IF(ISNUMBER(SEARCH("C", 'Dry_Litterbag Placem_Collection'!AA205)),"YES","NO")</f>
        <v>NO</v>
      </c>
      <c r="AK278" s="255" t="str">
        <f>IF(ISNUMBER(SEARCH("H", 'Dry_Litterbag Placem_Collection'!AA205)),"YES","NO")</f>
        <v>NO</v>
      </c>
      <c r="AL278" s="255" t="str">
        <f>IF(ISNUMBER(SEARCH("R", 'Dry_Litterbag Placem_Collection'!AA205)),"YES","NO")</f>
        <v>NO</v>
      </c>
      <c r="AR278" t="s">
        <v>1871</v>
      </c>
      <c r="AT278" t="s">
        <v>454</v>
      </c>
    </row>
    <row r="279" spans="2:46">
      <c r="B279" t="str">
        <f>'Final data_for_R_analysis_Dryse'!A205</f>
        <v>Dry</v>
      </c>
      <c r="C279" s="263">
        <f>'Final data_for_R_analysis_Dryse'!B205</f>
        <v>204</v>
      </c>
      <c r="D279" t="s">
        <v>2440</v>
      </c>
      <c r="E279" t="s">
        <v>22</v>
      </c>
      <c r="F279" s="387">
        <v>4</v>
      </c>
      <c r="G279" s="16">
        <f>'Dry_Litterbag Placem_Collection'!E206</f>
        <v>42942</v>
      </c>
      <c r="H279" t="str">
        <f>'Final data_for_R_analysis_Dryse'!J205</f>
        <v>G248</v>
      </c>
      <c r="I279" t="str">
        <f>'Final data_for_R_analysis_Dryse'!J425</f>
        <v>R254</v>
      </c>
      <c r="J279">
        <f>IFERROR(INDEX('Green_rooibos initial weight'!$C$5:$C$1749,MATCH(H279, 'Green_rooibos initial weight'!$A$5:$A$1749,0)),"")</f>
        <v>1.9950000000000001</v>
      </c>
      <c r="K279">
        <f>IFERROR(INDEX('Green_rooibos initial weight'!$C$5:$C$1749,MATCH(I279, 'Green_rooibos initial weight'!$A$5:$A$1749,0)),"")</f>
        <v>2.266</v>
      </c>
      <c r="L279" s="195">
        <f t="shared" si="41"/>
        <v>1.7452000000000001</v>
      </c>
      <c r="M279" s="240">
        <f>AVERAGE(Ashed_controlls!$K$1:$K$11)</f>
        <v>5.5147656768714146</v>
      </c>
      <c r="N279" s="195">
        <f t="shared" si="36"/>
        <v>1.6489563094072401</v>
      </c>
      <c r="O279" s="195">
        <f t="shared" si="42"/>
        <v>2.0162</v>
      </c>
      <c r="P279" s="240">
        <f>AVERAGE(Ashed_controlls!$K$12:$K$14)</f>
        <v>2.2816647271287041</v>
      </c>
      <c r="Q279" s="195">
        <f t="shared" si="37"/>
        <v>1.9701970757716312</v>
      </c>
      <c r="R279" s="16">
        <f>IF('Dry_Litterbag Placem_Collection'!G206="N.A","",'Dry_Litterbag Placem_Collection'!G206)</f>
        <v>43004</v>
      </c>
      <c r="S279" s="195">
        <f>IF(IFERROR(INDEX('Both teabags AfterDry'!$D$1:$D$839,MATCH(H279,'Both teabags AfterDry'!$A$1:$A$839,0)),"")="N.A","",(IFERROR(INDEX('Both teabags AfterDry'!$D$1:$D$839,MATCH(H279,'Both teabags AfterDry'!$A$1:$A$839,0)),"")))</f>
        <v>1.7124999999999999</v>
      </c>
      <c r="T279" s="195">
        <f>IF(IFERROR(INDEX('Both teabags AfterDry'!$D$1:$D$839,MATCH(I279,'Both teabags AfterDry'!$A$1:$A$839,0)),"")="N.A","",(IFERROR(INDEX('Both teabags AfterDry'!$D$1:$D$839,MATCH(I279,'Both teabags AfterDry'!$A$1:$A$839,0)),"")))</f>
        <v>1.8010999999999999</v>
      </c>
      <c r="U279" s="195">
        <f t="shared" si="43"/>
        <v>1.5618999999999998</v>
      </c>
      <c r="V279" s="195">
        <f t="shared" si="43"/>
        <v>1.6504999999999999</v>
      </c>
      <c r="W279" s="195">
        <f>IFERROR(INDEX('Ashed teabags dry'!$K$2:$K$821,MATCH(H279,'Ashed teabags dry'!$A$2:$A$821,0)),"")</f>
        <v>13.375486381322672</v>
      </c>
      <c r="X279" s="195">
        <f>IFERROR(INDEX('Ashed teabags dry'!$K$2:$K$821,MATCH(I279,'Ashed teabags dry'!$A$2:$A$821,0)),"")</f>
        <v>6.0425953442297144</v>
      </c>
      <c r="Y279" s="195">
        <f t="shared" si="38"/>
        <v>1.352988278210121</v>
      </c>
      <c r="Z279" s="195">
        <f t="shared" si="38"/>
        <v>1.5507669638434884</v>
      </c>
      <c r="AA279" s="195">
        <f t="shared" si="44"/>
        <v>0.1794880977189216</v>
      </c>
      <c r="AB279" s="195">
        <f t="shared" si="45"/>
        <v>0.11766915669934055</v>
      </c>
      <c r="AC279" s="195">
        <f t="shared" si="39"/>
        <v>0.78711261066922855</v>
      </c>
      <c r="AD279">
        <f t="shared" si="40"/>
        <v>62</v>
      </c>
      <c r="AE279" s="195">
        <f t="shared" si="46"/>
        <v>0.7868312378635135</v>
      </c>
      <c r="AF279" s="195" t="str">
        <f t="shared" si="47"/>
        <v/>
      </c>
      <c r="AG279" s="255" t="str">
        <f>IF(ISNUMBER(SEARCH("C", 'Dry_Litterbag Placem_Collection'!AB206)),"YES","NO")</f>
        <v>NO</v>
      </c>
      <c r="AH279" s="255" t="str">
        <f>IF(ISNUMBER(SEARCH("H", 'Dry_Litterbag Placem_Collection'!AB206)),"YES","NO")</f>
        <v>NO</v>
      </c>
      <c r="AI279" s="255" t="str">
        <f>IF(ISNUMBER(SEARCH("R", 'Dry_Litterbag Placem_Collection'!AB206)),"YES","NO")</f>
        <v>NO</v>
      </c>
      <c r="AJ279" s="255" t="str">
        <f>IF(ISNUMBER(SEARCH("C", 'Dry_Litterbag Placem_Collection'!AA206)),"YES","NO")</f>
        <v>NO</v>
      </c>
      <c r="AK279" s="255" t="str">
        <f>IF(ISNUMBER(SEARCH("H", 'Dry_Litterbag Placem_Collection'!AA206)),"YES","NO")</f>
        <v>NO</v>
      </c>
      <c r="AL279" s="255" t="str">
        <f>IF(ISNUMBER(SEARCH("R", 'Dry_Litterbag Placem_Collection'!AA206)),"YES","NO")</f>
        <v>NO</v>
      </c>
      <c r="AR279" t="s">
        <v>1802</v>
      </c>
      <c r="AT279" t="s">
        <v>887</v>
      </c>
    </row>
    <row r="280" spans="2:46">
      <c r="B280" t="str">
        <f>'Final data_for_R_analysis_Dryse'!A206</f>
        <v>Dry</v>
      </c>
      <c r="C280" s="263">
        <f>'Final data_for_R_analysis_Dryse'!B206</f>
        <v>205</v>
      </c>
      <c r="D280" t="s">
        <v>2434</v>
      </c>
      <c r="E280" t="s">
        <v>22</v>
      </c>
      <c r="F280" s="387">
        <v>1</v>
      </c>
      <c r="G280" s="16">
        <f>'Dry_Litterbag Placem_Collection'!E207</f>
        <v>42942</v>
      </c>
      <c r="H280" t="str">
        <f>'Final data_for_R_analysis_Dryse'!J206</f>
        <v>G55</v>
      </c>
      <c r="I280" t="str">
        <f>'Final data_for_R_analysis_Dryse'!J426</f>
        <v>R348</v>
      </c>
      <c r="J280">
        <f>IFERROR(INDEX('Green_rooibos initial weight'!$C$5:$C$1749,MATCH(H280, 'Green_rooibos initial weight'!$A$5:$A$1749,0)),"")</f>
        <v>2.024</v>
      </c>
      <c r="K280">
        <f>IFERROR(INDEX('Green_rooibos initial weight'!$C$5:$C$1749,MATCH(I280, 'Green_rooibos initial weight'!$A$5:$A$1749,0)),"")</f>
        <v>2.31</v>
      </c>
      <c r="L280" s="195">
        <f t="shared" si="41"/>
        <v>1.7742</v>
      </c>
      <c r="M280" s="240">
        <f>AVERAGE(Ashed_controlls!$K$1:$K$11)</f>
        <v>5.5147656768714146</v>
      </c>
      <c r="N280" s="195">
        <f t="shared" si="36"/>
        <v>1.6763570273609474</v>
      </c>
      <c r="O280" s="195">
        <f t="shared" si="42"/>
        <v>2.0602</v>
      </c>
      <c r="P280" s="240">
        <f>AVERAGE(Ashed_controlls!$K$12:$K$14)</f>
        <v>2.2816647271287041</v>
      </c>
      <c r="Q280" s="195">
        <f t="shared" si="37"/>
        <v>2.0131931432916943</v>
      </c>
      <c r="R280" s="16">
        <f>IF('Dry_Litterbag Placem_Collection'!G207="N.A","",'Dry_Litterbag Placem_Collection'!G207)</f>
        <v>43004</v>
      </c>
      <c r="S280" s="195">
        <f>IF(IFERROR(INDEX('Both teabags AfterDry'!$D$1:$D$839,MATCH(H280,'Both teabags AfterDry'!$A$1:$A$839,0)),"")="N.A","",(IFERROR(INDEX('Both teabags AfterDry'!$D$1:$D$839,MATCH(H280,'Both teabags AfterDry'!$A$1:$A$839,0)),"")))</f>
        <v>0.86550000000000005</v>
      </c>
      <c r="T280" s="195">
        <f>IF(IFERROR(INDEX('Both teabags AfterDry'!$D$1:$D$839,MATCH(I280,'Both teabags AfterDry'!$A$1:$A$839,0)),"")="N.A","",(IFERROR(INDEX('Both teabags AfterDry'!$D$1:$D$839,MATCH(I280,'Both teabags AfterDry'!$A$1:$A$839,0)),"")))</f>
        <v>1.7168000000000001</v>
      </c>
      <c r="U280" s="195">
        <f t="shared" si="43"/>
        <v>0.71490000000000009</v>
      </c>
      <c r="V280" s="195">
        <f t="shared" si="43"/>
        <v>1.5662</v>
      </c>
      <c r="W280" s="195">
        <f>IFERROR(INDEX('Ashed teabags dry'!$K$2:$K$821,MATCH(H280,'Ashed teabags dry'!$A$2:$A$821,0)),"")</f>
        <v>19.260700389104883</v>
      </c>
      <c r="X280" s="195">
        <f>IFERROR(INDEX('Ashed teabags dry'!$K$2:$K$821,MATCH(I280,'Ashed teabags dry'!$A$2:$A$821,0)),"")</f>
        <v>5.9891107078038743</v>
      </c>
      <c r="Y280" s="195">
        <f t="shared" si="38"/>
        <v>0.57720525291828928</v>
      </c>
      <c r="Z280" s="195">
        <f t="shared" si="38"/>
        <v>1.4723985480943758</v>
      </c>
      <c r="AA280" s="195">
        <f t="shared" si="44"/>
        <v>0.65567880618666829</v>
      </c>
      <c r="AB280" s="195">
        <f t="shared" si="45"/>
        <v>0.42985118885396784</v>
      </c>
      <c r="AC280" s="195">
        <f t="shared" si="39"/>
        <v>0.73137470838337637</v>
      </c>
      <c r="AD280">
        <f t="shared" si="40"/>
        <v>62</v>
      </c>
      <c r="AE280" s="195">
        <f t="shared" si="46"/>
        <v>0.22128407816310181</v>
      </c>
      <c r="AF280" s="195">
        <f t="shared" si="47"/>
        <v>1.5816654941156874E-2</v>
      </c>
      <c r="AG280" s="255" t="str">
        <f>IF(ISNUMBER(SEARCH("C", 'Dry_Litterbag Placem_Collection'!AB207)),"YES","NO")</f>
        <v>NO</v>
      </c>
      <c r="AH280" s="255" t="str">
        <f>IF(ISNUMBER(SEARCH("H", 'Dry_Litterbag Placem_Collection'!AB207)),"YES","NO")</f>
        <v>NO</v>
      </c>
      <c r="AI280" s="255" t="str">
        <f>IF(ISNUMBER(SEARCH("R", 'Dry_Litterbag Placem_Collection'!AB207)),"YES","NO")</f>
        <v>NO</v>
      </c>
      <c r="AJ280" s="255" t="str">
        <f>IF(ISNUMBER(SEARCH("C", 'Dry_Litterbag Placem_Collection'!AA207)),"YES","NO")</f>
        <v>NO</v>
      </c>
      <c r="AK280" s="255" t="str">
        <f>IF(ISNUMBER(SEARCH("H", 'Dry_Litterbag Placem_Collection'!AA207)),"YES","NO")</f>
        <v>NO</v>
      </c>
      <c r="AL280" s="255" t="str">
        <f>IF(ISNUMBER(SEARCH("R", 'Dry_Litterbag Placem_Collection'!AA207)),"YES","NO")</f>
        <v>NO</v>
      </c>
      <c r="AR280" t="s">
        <v>1995</v>
      </c>
      <c r="AT280" t="s">
        <v>793</v>
      </c>
    </row>
    <row r="281" spans="2:46">
      <c r="B281" t="str">
        <f>'Final data_for_R_analysis_Dryse'!A207</f>
        <v>Dry</v>
      </c>
      <c r="C281" s="263">
        <f>'Final data_for_R_analysis_Dryse'!B207</f>
        <v>206</v>
      </c>
      <c r="D281" t="s">
        <v>2425</v>
      </c>
      <c r="E281" t="s">
        <v>22</v>
      </c>
      <c r="F281" s="387">
        <v>2</v>
      </c>
      <c r="G281" s="16">
        <f>'Dry_Litterbag Placem_Collection'!E208</f>
        <v>42942</v>
      </c>
      <c r="H281" t="str">
        <f>'Final data_for_R_analysis_Dryse'!J207</f>
        <v>G124</v>
      </c>
      <c r="I281" t="str">
        <f>'Final data_for_R_analysis_Dryse'!J427</f>
        <v>R686</v>
      </c>
      <c r="J281">
        <f>IFERROR(INDEX('Green_rooibos initial weight'!$C$5:$C$1749,MATCH(H281, 'Green_rooibos initial weight'!$A$5:$A$1749,0)),"")</f>
        <v>1.9390000000000001</v>
      </c>
      <c r="K281">
        <f>IFERROR(INDEX('Green_rooibos initial weight'!$C$5:$C$1749,MATCH(I281, 'Green_rooibos initial weight'!$A$5:$A$1749,0)),"")</f>
        <v>2.1890000000000001</v>
      </c>
      <c r="L281" s="195">
        <f t="shared" si="41"/>
        <v>1.6892</v>
      </c>
      <c r="M281" s="240">
        <f>AVERAGE(Ashed_controlls!$K$1:$K$11)</f>
        <v>5.5147656768714146</v>
      </c>
      <c r="N281" s="195">
        <f t="shared" si="36"/>
        <v>1.5960445781862882</v>
      </c>
      <c r="O281" s="195">
        <f t="shared" si="42"/>
        <v>1.9392</v>
      </c>
      <c r="P281" s="240">
        <f>AVERAGE(Ashed_controlls!$K$12:$K$14)</f>
        <v>2.2816647271287041</v>
      </c>
      <c r="Q281" s="195">
        <f t="shared" si="37"/>
        <v>1.8949539576115202</v>
      </c>
      <c r="R281" s="16">
        <f>IF('Dry_Litterbag Placem_Collection'!G208="N.A","",'Dry_Litterbag Placem_Collection'!G208)</f>
        <v>43004</v>
      </c>
      <c r="S281" s="195">
        <f>IF(IFERROR(INDEX('Both teabags AfterDry'!$D$1:$D$839,MATCH(H281,'Both teabags AfterDry'!$A$1:$A$839,0)),"")="N.A","",(IFERROR(INDEX('Both teabags AfterDry'!$D$1:$D$839,MATCH(H281,'Both teabags AfterDry'!$A$1:$A$839,0)),"")))</f>
        <v>0.66969999999999996</v>
      </c>
      <c r="T281" s="195">
        <f>IF(IFERROR(INDEX('Both teabags AfterDry'!$D$1:$D$839,MATCH(I281,'Both teabags AfterDry'!$A$1:$A$839,0)),"")="N.A","",(IFERROR(INDEX('Both teabags AfterDry'!$D$1:$D$839,MATCH(I281,'Both teabags AfterDry'!$A$1:$A$839,0)),"")))</f>
        <v>3.4599000000000002</v>
      </c>
      <c r="U281" s="195">
        <f t="shared" si="43"/>
        <v>0.51909999999999989</v>
      </c>
      <c r="V281" s="195">
        <f t="shared" si="43"/>
        <v>3.3093000000000004</v>
      </c>
      <c r="W281" s="195">
        <f>IFERROR(INDEX('Ashed teabags dry'!$K$2:$K$821,MATCH(H281,'Ashed teabags dry'!$A$2:$A$821,0)),"")</f>
        <v>14.333976833976731</v>
      </c>
      <c r="X281" s="195">
        <f>IFERROR(INDEX('Ashed teabags dry'!$K$2:$K$821,MATCH(I281,'Ashed teabags dry'!$A$2:$A$821,0)),"")</f>
        <v>95.258416311047142</v>
      </c>
      <c r="Y281" s="195">
        <f t="shared" si="38"/>
        <v>0.44469232625482669</v>
      </c>
      <c r="Z281" s="195">
        <f t="shared" si="38"/>
        <v>0.1569132290185169</v>
      </c>
      <c r="AA281" s="195">
        <f t="shared" si="44"/>
        <v>0.72137850512912005</v>
      </c>
      <c r="AB281" s="195">
        <f t="shared" si="45"/>
        <v>0.47292272545281983</v>
      </c>
      <c r="AC281" s="195">
        <f t="shared" si="39"/>
        <v>8.2805826700030713E-2</v>
      </c>
      <c r="AD281">
        <f t="shared" si="40"/>
        <v>62</v>
      </c>
      <c r="AE281" s="195">
        <f t="shared" si="46"/>
        <v>0.14325593215068877</v>
      </c>
      <c r="AF281" s="195" t="str">
        <f t="shared" si="47"/>
        <v/>
      </c>
      <c r="AG281" s="255" t="str">
        <f>IF(ISNUMBER(SEARCH("C", 'Dry_Litterbag Placem_Collection'!AB208)),"YES","NO")</f>
        <v>NO</v>
      </c>
      <c r="AH281" s="255" t="str">
        <f>IF(ISNUMBER(SEARCH("H", 'Dry_Litterbag Placem_Collection'!AB208)),"YES","NO")</f>
        <v>NO</v>
      </c>
      <c r="AI281" s="255" t="str">
        <f>IF(ISNUMBER(SEARCH("R", 'Dry_Litterbag Placem_Collection'!AB208)),"YES","NO")</f>
        <v>NO</v>
      </c>
      <c r="AJ281" s="255" t="str">
        <f>IF(ISNUMBER(SEARCH("C", 'Dry_Litterbag Placem_Collection'!AA208)),"YES","NO")</f>
        <v>NO</v>
      </c>
      <c r="AK281" s="255" t="str">
        <f>IF(ISNUMBER(SEARCH("H", 'Dry_Litterbag Placem_Collection'!AA208)),"YES","NO")</f>
        <v>NO</v>
      </c>
      <c r="AL281" s="255" t="str">
        <f>IF(ISNUMBER(SEARCH("R", 'Dry_Litterbag Placem_Collection'!AA208)),"YES","NO")</f>
        <v>NO</v>
      </c>
      <c r="AR281" t="s">
        <v>1926</v>
      </c>
      <c r="AT281" t="s">
        <v>453</v>
      </c>
    </row>
    <row r="282" spans="2:46">
      <c r="B282" t="str">
        <f>'Final data_for_R_analysis_Dryse'!A208</f>
        <v>Dry</v>
      </c>
      <c r="C282" s="263">
        <f>'Final data_for_R_analysis_Dryse'!B208</f>
        <v>207</v>
      </c>
      <c r="D282" t="s">
        <v>2448</v>
      </c>
      <c r="E282" t="s">
        <v>22</v>
      </c>
      <c r="F282" s="387">
        <v>3</v>
      </c>
      <c r="G282" s="16">
        <f>'Dry_Litterbag Placem_Collection'!E209</f>
        <v>42942</v>
      </c>
      <c r="H282" t="str">
        <f>'Final data_for_R_analysis_Dryse'!J208</f>
        <v>G234</v>
      </c>
      <c r="I282" t="str">
        <f>'Final data_for_R_analysis_Dryse'!J428</f>
        <v>R551</v>
      </c>
      <c r="J282">
        <f>IFERROR(INDEX('Green_rooibos initial weight'!$C$5:$C$1749,MATCH(H282, 'Green_rooibos initial weight'!$A$5:$A$1749,0)),"")</f>
        <v>2.13</v>
      </c>
      <c r="K282">
        <f>IFERROR(INDEX('Green_rooibos initial weight'!$C$5:$C$1749,MATCH(I282, 'Green_rooibos initial weight'!$A$5:$A$1749,0)),"")</f>
        <v>2.1739999999999999</v>
      </c>
      <c r="L282" s="195">
        <f t="shared" si="41"/>
        <v>1.8801999999999999</v>
      </c>
      <c r="M282" s="240">
        <f>AVERAGE(Ashed_controlls!$K$1:$K$11)</f>
        <v>5.5147656768714146</v>
      </c>
      <c r="N282" s="195">
        <f t="shared" si="36"/>
        <v>1.7765113757434636</v>
      </c>
      <c r="O282" s="195">
        <f t="shared" si="42"/>
        <v>1.9241999999999999</v>
      </c>
      <c r="P282" s="240">
        <f>AVERAGE(Ashed_controlls!$K$12:$K$14)</f>
        <v>2.2816647271287041</v>
      </c>
      <c r="Q282" s="195">
        <f t="shared" si="37"/>
        <v>1.8802962073205893</v>
      </c>
      <c r="R282" s="16">
        <f>IF('Dry_Litterbag Placem_Collection'!G209="N.A","",'Dry_Litterbag Placem_Collection'!G209)</f>
        <v>43004</v>
      </c>
      <c r="S282" s="195">
        <f>IF(IFERROR(INDEX('Both teabags AfterDry'!$D$1:$D$839,MATCH(H282,'Both teabags AfterDry'!$A$1:$A$839,0)),"")="N.A","",(IFERROR(INDEX('Both teabags AfterDry'!$D$1:$D$839,MATCH(H282,'Both teabags AfterDry'!$A$1:$A$839,0)),"")))</f>
        <v>0.745</v>
      </c>
      <c r="T282" s="195">
        <f>IF(IFERROR(INDEX('Both teabags AfterDry'!$D$1:$D$839,MATCH(I282,'Both teabags AfterDry'!$A$1:$A$839,0)),"")="N.A","",(IFERROR(INDEX('Both teabags AfterDry'!$D$1:$D$839,MATCH(I282,'Both teabags AfterDry'!$A$1:$A$839,0)),"")))</f>
        <v>8.3109999999999999</v>
      </c>
      <c r="U282" s="195">
        <f t="shared" si="43"/>
        <v>0.59440000000000004</v>
      </c>
      <c r="V282" s="195">
        <f t="shared" si="43"/>
        <v>8.1603999999999992</v>
      </c>
      <c r="W282" s="195">
        <f>IFERROR(INDEX('Ashed teabags dry'!$K$2:$K$821,MATCH(H282,'Ashed teabags dry'!$A$2:$A$821,0)),"")</f>
        <v>21.467639015496861</v>
      </c>
      <c r="X282" s="195">
        <f>IFERROR(INDEX('Ashed teabags dry'!$K$2:$K$821,MATCH(I282,'Ashed teabags dry'!$A$2:$A$821,0)),"")</f>
        <v>95.853767275969844</v>
      </c>
      <c r="Y282" s="195">
        <f t="shared" si="38"/>
        <v>0.46679635369188666</v>
      </c>
      <c r="Z282" s="195">
        <f t="shared" si="38"/>
        <v>0.33834917521175623</v>
      </c>
      <c r="AA282" s="195">
        <f t="shared" si="44"/>
        <v>0.73723987357157561</v>
      </c>
      <c r="AB282" s="195">
        <f t="shared" si="45"/>
        <v>0.48332115227020161</v>
      </c>
      <c r="AC282" s="195">
        <f t="shared" si="39"/>
        <v>0.17994461398925105</v>
      </c>
      <c r="AD282">
        <f t="shared" si="40"/>
        <v>62</v>
      </c>
      <c r="AE282" s="195">
        <f t="shared" si="46"/>
        <v>0.1244182024090551</v>
      </c>
      <c r="AF282" s="195" t="str">
        <f t="shared" si="47"/>
        <v/>
      </c>
      <c r="AG282" s="255" t="str">
        <f>IF(ISNUMBER(SEARCH("C", 'Dry_Litterbag Placem_Collection'!AB209)),"YES","NO")</f>
        <v>NO</v>
      </c>
      <c r="AH282" s="255" t="str">
        <f>IF(ISNUMBER(SEARCH("H", 'Dry_Litterbag Placem_Collection'!AB209)),"YES","NO")</f>
        <v>NO</v>
      </c>
      <c r="AI282" s="255" t="str">
        <f>IF(ISNUMBER(SEARCH("R", 'Dry_Litterbag Placem_Collection'!AB209)),"YES","NO")</f>
        <v>NO</v>
      </c>
      <c r="AJ282" s="255" t="str">
        <f>IF(ISNUMBER(SEARCH("C", 'Dry_Litterbag Placem_Collection'!AA209)),"YES","NO")</f>
        <v>NO</v>
      </c>
      <c r="AK282" s="255" t="str">
        <f>IF(ISNUMBER(SEARCH("H", 'Dry_Litterbag Placem_Collection'!AA209)),"YES","NO")</f>
        <v>NO</v>
      </c>
      <c r="AL282" s="255" t="str">
        <f>IF(ISNUMBER(SEARCH("R", 'Dry_Litterbag Placem_Collection'!AA209)),"YES","NO")</f>
        <v>NO</v>
      </c>
      <c r="AR282" t="s">
        <v>1816</v>
      </c>
      <c r="AT282" t="s">
        <v>590</v>
      </c>
    </row>
    <row r="283" spans="2:46">
      <c r="B283" t="str">
        <f>'Final data_for_R_analysis_Dryse'!A209</f>
        <v>Dry</v>
      </c>
      <c r="C283" s="263">
        <f>'Final data_for_R_analysis_Dryse'!B209</f>
        <v>208</v>
      </c>
      <c r="D283" t="s">
        <v>2441</v>
      </c>
      <c r="E283" t="s">
        <v>22</v>
      </c>
      <c r="F283" s="387">
        <v>4</v>
      </c>
      <c r="G283" s="16">
        <f>'Dry_Litterbag Placem_Collection'!E210</f>
        <v>42942</v>
      </c>
      <c r="H283" t="str">
        <f>'Final data_for_R_analysis_Dryse'!J209</f>
        <v>G412</v>
      </c>
      <c r="I283" t="str">
        <f>'Final data_for_R_analysis_Dryse'!J429</f>
        <v>R516</v>
      </c>
      <c r="J283">
        <f>IFERROR(INDEX('Green_rooibos initial weight'!$C$5:$C$1749,MATCH(H283, 'Green_rooibos initial weight'!$A$5:$A$1749,0)),"")</f>
        <v>2.0049999999999999</v>
      </c>
      <c r="K283">
        <f>IFERROR(INDEX('Green_rooibos initial weight'!$C$5:$C$1749,MATCH(I283, 'Green_rooibos initial weight'!$A$5:$A$1749,0)),"")</f>
        <v>2.141</v>
      </c>
      <c r="L283" s="195">
        <f t="shared" si="41"/>
        <v>1.7551999999999999</v>
      </c>
      <c r="M283" s="240">
        <f>AVERAGE(Ashed_controlls!$K$1:$K$11)</f>
        <v>5.5147656768714146</v>
      </c>
      <c r="N283" s="195">
        <f t="shared" si="36"/>
        <v>1.6584048328395529</v>
      </c>
      <c r="O283" s="195">
        <f t="shared" si="42"/>
        <v>1.8912</v>
      </c>
      <c r="P283" s="240">
        <f>AVERAGE(Ashed_controlls!$K$12:$K$14)</f>
        <v>2.2816647271287041</v>
      </c>
      <c r="Q283" s="195">
        <f t="shared" si="37"/>
        <v>1.8480491566805419</v>
      </c>
      <c r="R283" s="16">
        <f>IF('Dry_Litterbag Placem_Collection'!G210="N.A","",'Dry_Litterbag Placem_Collection'!G210)</f>
        <v>43004</v>
      </c>
      <c r="S283" s="195">
        <f>IF(IFERROR(INDEX('Both teabags AfterDry'!$D$1:$D$839,MATCH(H283,'Both teabags AfterDry'!$A$1:$A$839,0)),"")="N.A","",(IFERROR(INDEX('Both teabags AfterDry'!$D$1:$D$839,MATCH(H283,'Both teabags AfterDry'!$A$1:$A$839,0)),"")))</f>
        <v>0.72499999999999998</v>
      </c>
      <c r="T283" s="195">
        <f>IF(IFERROR(INDEX('Both teabags AfterDry'!$D$1:$D$839,MATCH(I283,'Both teabags AfterDry'!$A$1:$A$839,0)),"")="N.A","",(IFERROR(INDEX('Both teabags AfterDry'!$D$1:$D$839,MATCH(I283,'Both teabags AfterDry'!$A$1:$A$839,0)),"")))</f>
        <v>1.7749999999999999</v>
      </c>
      <c r="U283" s="195">
        <f t="shared" si="43"/>
        <v>0.57440000000000002</v>
      </c>
      <c r="V283" s="195">
        <f t="shared" si="43"/>
        <v>1.6243999999999998</v>
      </c>
      <c r="W283" s="195">
        <f>IFERROR(INDEX('Ashed teabags dry'!$K$2:$K$821,MATCH(H283,'Ashed teabags dry'!$A$2:$A$821,0)),"")</f>
        <v>27.644710578842087</v>
      </c>
      <c r="X283" s="195">
        <f>IFERROR(INDEX('Ashed teabags dry'!$K$2:$K$821,MATCH(I283,'Ashed teabags dry'!$A$2:$A$821,0)),"")</f>
        <v>78.613771089831701</v>
      </c>
      <c r="Y283" s="195">
        <f t="shared" si="38"/>
        <v>0.41560878243513111</v>
      </c>
      <c r="Z283" s="195">
        <f t="shared" si="38"/>
        <v>0.34739790241677393</v>
      </c>
      <c r="AA283" s="195">
        <f t="shared" si="44"/>
        <v>0.74939244374757541</v>
      </c>
      <c r="AB283" s="195">
        <f t="shared" si="45"/>
        <v>0.49128815789627278</v>
      </c>
      <c r="AC283" s="195">
        <f t="shared" si="39"/>
        <v>0.18798087765196062</v>
      </c>
      <c r="AD283">
        <f t="shared" si="40"/>
        <v>62</v>
      </c>
      <c r="AE283" s="195">
        <f t="shared" si="46"/>
        <v>0.1099852212024045</v>
      </c>
      <c r="AF283" s="195" t="str">
        <f t="shared" si="47"/>
        <v/>
      </c>
      <c r="AG283" s="255" t="str">
        <f>IF(ISNUMBER(SEARCH("C", 'Dry_Litterbag Placem_Collection'!AB210)),"YES","NO")</f>
        <v>NO</v>
      </c>
      <c r="AH283" s="255" t="str">
        <f>IF(ISNUMBER(SEARCH("H", 'Dry_Litterbag Placem_Collection'!AB210)),"YES","NO")</f>
        <v>NO</v>
      </c>
      <c r="AI283" s="255" t="str">
        <f>IF(ISNUMBER(SEARCH("R", 'Dry_Litterbag Placem_Collection'!AB210)),"YES","NO")</f>
        <v>NO</v>
      </c>
      <c r="AJ283" s="255" t="str">
        <f>IF(ISNUMBER(SEARCH("C", 'Dry_Litterbag Placem_Collection'!AA210)),"YES","NO")</f>
        <v>NO</v>
      </c>
      <c r="AK283" s="255" t="str">
        <f>IF(ISNUMBER(SEARCH("H", 'Dry_Litterbag Placem_Collection'!AA210)),"YES","NO")</f>
        <v>NO</v>
      </c>
      <c r="AL283" s="255" t="str">
        <f>IF(ISNUMBER(SEARCH("R", 'Dry_Litterbag Placem_Collection'!AA210)),"YES","NO")</f>
        <v>NO</v>
      </c>
      <c r="AR283" t="s">
        <v>1638</v>
      </c>
      <c r="AT283" t="s">
        <v>625</v>
      </c>
    </row>
    <row r="284" spans="2:46">
      <c r="B284" t="str">
        <f>'Final data_for_R_analysis_Dryse'!A210</f>
        <v>Dry</v>
      </c>
      <c r="C284" s="263">
        <f>'Final data_for_R_analysis_Dryse'!B210</f>
        <v>209</v>
      </c>
      <c r="D284" t="s">
        <v>2435</v>
      </c>
      <c r="E284" t="s">
        <v>22</v>
      </c>
      <c r="F284" s="387">
        <v>1</v>
      </c>
      <c r="G284" s="16">
        <f>'Dry_Litterbag Placem_Collection'!E211</f>
        <v>42942</v>
      </c>
      <c r="H284" t="str">
        <f>'Final data_for_R_analysis_Dryse'!J210</f>
        <v>G94</v>
      </c>
      <c r="I284" t="str">
        <f>'Final data_for_R_analysis_Dryse'!J430</f>
        <v>R678</v>
      </c>
      <c r="J284">
        <f>IFERROR(INDEX('Green_rooibos initial weight'!$C$5:$C$1749,MATCH(H284, 'Green_rooibos initial weight'!$A$5:$A$1749,0)),"")</f>
        <v>2.0630000000000002</v>
      </c>
      <c r="K284">
        <f>IFERROR(INDEX('Green_rooibos initial weight'!$C$5:$C$1749,MATCH(I284, 'Green_rooibos initial weight'!$A$5:$A$1749,0)),"")</f>
        <v>2.1320000000000001</v>
      </c>
      <c r="L284" s="195">
        <f t="shared" si="41"/>
        <v>1.8132000000000001</v>
      </c>
      <c r="M284" s="240">
        <f>AVERAGE(Ashed_controlls!$K$1:$K$11)</f>
        <v>5.5147656768714146</v>
      </c>
      <c r="N284" s="195">
        <f t="shared" si="36"/>
        <v>1.7132062687469676</v>
      </c>
      <c r="O284" s="195">
        <f t="shared" si="42"/>
        <v>1.8822000000000001</v>
      </c>
      <c r="P284" s="240">
        <f>AVERAGE(Ashed_controlls!$K$12:$K$14)</f>
        <v>2.2816647271287041</v>
      </c>
      <c r="Q284" s="195">
        <f t="shared" si="37"/>
        <v>1.8392545065059835</v>
      </c>
      <c r="R284" s="16">
        <f>IF('Dry_Litterbag Placem_Collection'!G211="N.A","",'Dry_Litterbag Placem_Collection'!G211)</f>
        <v>43004</v>
      </c>
      <c r="S284" s="195" t="str">
        <f>IF(IFERROR(INDEX('Both teabags AfterDry'!$D$1:$D$839,MATCH(H284,'Both teabags AfterDry'!$A$1:$A$839,0)),"")="N.A","",(IFERROR(INDEX('Both teabags AfterDry'!$D$1:$D$839,MATCH(H284,'Both teabags AfterDry'!$A$1:$A$839,0)),"")))</f>
        <v/>
      </c>
      <c r="T284" s="195">
        <f>IF(IFERROR(INDEX('Both teabags AfterDry'!$D$1:$D$839,MATCH(I284,'Both teabags AfterDry'!$A$1:$A$839,0)),"")="N.A","",(IFERROR(INDEX('Both teabags AfterDry'!$D$1:$D$839,MATCH(I284,'Both teabags AfterDry'!$A$1:$A$839,0)),"")))</f>
        <v>1.6856</v>
      </c>
      <c r="U284" s="195" t="str">
        <f t="shared" si="43"/>
        <v/>
      </c>
      <c r="V284" s="195">
        <f t="shared" si="43"/>
        <v>1.5349999999999999</v>
      </c>
      <c r="W284" s="195">
        <f>IFERROR(INDEX('Ashed teabags dry'!$K$2:$K$821,MATCH(H284,'Ashed teabags dry'!$A$2:$A$821,0)),"")</f>
        <v>19.445818901534416</v>
      </c>
      <c r="X284" s="195">
        <f>IFERROR(INDEX('Ashed teabags dry'!$K$2:$K$821,MATCH(I284,'Ashed teabags dry'!$A$2:$A$821,0)),"")</f>
        <v>3.8461538461540399</v>
      </c>
      <c r="Y284" s="195" t="str">
        <f t="shared" si="38"/>
        <v/>
      </c>
      <c r="Z284" s="195">
        <f t="shared" si="38"/>
        <v>1.4759615384615354</v>
      </c>
      <c r="AA284" s="195" t="str">
        <f t="shared" si="44"/>
        <v/>
      </c>
      <c r="AB284" s="195" t="str">
        <f t="shared" si="45"/>
        <v/>
      </c>
      <c r="AC284" s="195">
        <f t="shared" si="39"/>
        <v>0.80247814168220111</v>
      </c>
      <c r="AD284">
        <f t="shared" si="40"/>
        <v>62</v>
      </c>
      <c r="AE284" s="195" t="str">
        <f t="shared" si="46"/>
        <v/>
      </c>
      <c r="AF284" s="195" t="str">
        <f t="shared" si="47"/>
        <v/>
      </c>
      <c r="AG284" s="255" t="str">
        <f>IF(ISNUMBER(SEARCH("C", 'Dry_Litterbag Placem_Collection'!AB211)),"YES","NO")</f>
        <v>NO</v>
      </c>
      <c r="AH284" s="255" t="str">
        <f>IF(ISNUMBER(SEARCH("H", 'Dry_Litterbag Placem_Collection'!AB211)),"YES","NO")</f>
        <v>NO</v>
      </c>
      <c r="AI284" s="255" t="str">
        <f>IF(ISNUMBER(SEARCH("R", 'Dry_Litterbag Placem_Collection'!AB211)),"YES","NO")</f>
        <v>NO</v>
      </c>
      <c r="AJ284" s="255" t="str">
        <f>IF(ISNUMBER(SEARCH("C", 'Dry_Litterbag Placem_Collection'!AA211)),"YES","NO")</f>
        <v>NO</v>
      </c>
      <c r="AK284" s="255" t="str">
        <f>IF(ISNUMBER(SEARCH("H", 'Dry_Litterbag Placem_Collection'!AA211)),"YES","NO")</f>
        <v>NO</v>
      </c>
      <c r="AL284" s="255" t="str">
        <f>IF(ISNUMBER(SEARCH("R", 'Dry_Litterbag Placem_Collection'!AA211)),"YES","NO")</f>
        <v>NO</v>
      </c>
      <c r="AR284" t="s">
        <v>1956</v>
      </c>
      <c r="AT284" t="s">
        <v>461</v>
      </c>
    </row>
    <row r="285" spans="2:46">
      <c r="B285" t="str">
        <f>'Final data_for_R_analysis_Dryse'!A211</f>
        <v>Dry</v>
      </c>
      <c r="C285" s="263">
        <f>'Final data_for_R_analysis_Dryse'!B211</f>
        <v>210</v>
      </c>
      <c r="D285" t="s">
        <v>2449</v>
      </c>
      <c r="E285" t="s">
        <v>22</v>
      </c>
      <c r="F285" s="387">
        <v>2</v>
      </c>
      <c r="G285" s="16">
        <f>'Dry_Litterbag Placem_Collection'!E212</f>
        <v>42942</v>
      </c>
      <c r="H285" t="str">
        <f>'Final data_for_R_analysis_Dryse'!J211</f>
        <v>G93</v>
      </c>
      <c r="I285" t="str">
        <f>'Final data_for_R_analysis_Dryse'!J431</f>
        <v>R335</v>
      </c>
      <c r="J285">
        <f>IFERROR(INDEX('Green_rooibos initial weight'!$C$5:$C$1749,MATCH(H285, 'Green_rooibos initial weight'!$A$5:$A$1749,0)),"")</f>
        <v>2.1230000000000002</v>
      </c>
      <c r="K285">
        <f>IFERROR(INDEX('Green_rooibos initial weight'!$C$5:$C$1749,MATCH(I285, 'Green_rooibos initial weight'!$A$5:$A$1749,0)),"")</f>
        <v>2.1629999999999998</v>
      </c>
      <c r="L285" s="195">
        <f t="shared" si="41"/>
        <v>1.8732000000000002</v>
      </c>
      <c r="M285" s="240">
        <f>AVERAGE(Ashed_controlls!$K$1:$K$11)</f>
        <v>5.5147656768714146</v>
      </c>
      <c r="N285" s="195">
        <f t="shared" si="36"/>
        <v>1.7698974093408448</v>
      </c>
      <c r="O285" s="195">
        <f t="shared" si="42"/>
        <v>1.9131999999999998</v>
      </c>
      <c r="P285" s="240">
        <f>AVERAGE(Ashed_controlls!$K$12:$K$14)</f>
        <v>2.2816647271287041</v>
      </c>
      <c r="Q285" s="195">
        <f t="shared" si="37"/>
        <v>1.8695471904405734</v>
      </c>
      <c r="R285" s="16">
        <f>IF('Dry_Litterbag Placem_Collection'!G212="N.A","",'Dry_Litterbag Placem_Collection'!G212)</f>
        <v>43004</v>
      </c>
      <c r="S285" s="195">
        <f>IF(IFERROR(INDEX('Both teabags AfterDry'!$D$1:$D$839,MATCH(H285,'Both teabags AfterDry'!$A$1:$A$839,0)),"")="N.A","",(IFERROR(INDEX('Both teabags AfterDry'!$D$1:$D$839,MATCH(H285,'Both teabags AfterDry'!$A$1:$A$839,0)),"")))</f>
        <v>0.80600000000000005</v>
      </c>
      <c r="T285" s="195">
        <f>IF(IFERROR(INDEX('Both teabags AfterDry'!$D$1:$D$839,MATCH(I285,'Both teabags AfterDry'!$A$1:$A$839,0)),"")="N.A","",(IFERROR(INDEX('Both teabags AfterDry'!$D$1:$D$839,MATCH(I285,'Both teabags AfterDry'!$A$1:$A$839,0)),"")))</f>
        <v>1.716</v>
      </c>
      <c r="U285" s="195">
        <f t="shared" si="43"/>
        <v>0.65539999999999998</v>
      </c>
      <c r="V285" s="195">
        <f t="shared" si="43"/>
        <v>1.5653999999999999</v>
      </c>
      <c r="W285" s="195">
        <f>IFERROR(INDEX('Ashed teabags dry'!$K$2:$K$821,MATCH(H285,'Ashed teabags dry'!$A$2:$A$821,0)),"")</f>
        <v>13.82488479262701</v>
      </c>
      <c r="X285" s="195">
        <f>IFERROR(INDEX('Ashed teabags dry'!$K$2:$K$821,MATCH(I285,'Ashed teabags dry'!$A$2:$A$821,0)),"")</f>
        <v>89.116785265801681</v>
      </c>
      <c r="Y285" s="195">
        <f t="shared" si="38"/>
        <v>0.56479170506912257</v>
      </c>
      <c r="Z285" s="195">
        <f t="shared" si="38"/>
        <v>0.17036584344914041</v>
      </c>
      <c r="AA285" s="195">
        <f t="shared" si="44"/>
        <v>0.68089014533364089</v>
      </c>
      <c r="AB285" s="195">
        <f t="shared" si="45"/>
        <v>0.44637928767716128</v>
      </c>
      <c r="AC285" s="195">
        <f t="shared" si="39"/>
        <v>9.112679493743743E-2</v>
      </c>
      <c r="AD285">
        <f t="shared" si="40"/>
        <v>62</v>
      </c>
      <c r="AE285" s="195">
        <f t="shared" si="46"/>
        <v>0.1913418701500702</v>
      </c>
      <c r="AF285" s="195" t="str">
        <f t="shared" si="47"/>
        <v/>
      </c>
      <c r="AG285" s="255" t="str">
        <f>IF(ISNUMBER(SEARCH("C", 'Dry_Litterbag Placem_Collection'!AB212)),"YES","NO")</f>
        <v>NO</v>
      </c>
      <c r="AH285" s="255" t="str">
        <f>IF(ISNUMBER(SEARCH("H", 'Dry_Litterbag Placem_Collection'!AB212)),"YES","NO")</f>
        <v>NO</v>
      </c>
      <c r="AI285" s="255" t="str">
        <f>IF(ISNUMBER(SEARCH("R", 'Dry_Litterbag Placem_Collection'!AB212)),"YES","NO")</f>
        <v>NO</v>
      </c>
      <c r="AJ285" s="255" t="str">
        <f>IF(ISNUMBER(SEARCH("C", 'Dry_Litterbag Placem_Collection'!AA212)),"YES","NO")</f>
        <v>NO</v>
      </c>
      <c r="AK285" s="255" t="str">
        <f>IF(ISNUMBER(SEARCH("H", 'Dry_Litterbag Placem_Collection'!AA212)),"YES","NO")</f>
        <v>NO</v>
      </c>
      <c r="AL285" s="255" t="str">
        <f>IF(ISNUMBER(SEARCH("R", 'Dry_Litterbag Placem_Collection'!AA212)),"YES","NO")</f>
        <v>NO</v>
      </c>
      <c r="AR285" t="s">
        <v>1957</v>
      </c>
      <c r="AT285" t="s">
        <v>806</v>
      </c>
    </row>
    <row r="286" spans="2:46">
      <c r="B286" t="str">
        <f>'Final data_for_R_analysis_Dryse'!A212</f>
        <v>Dry</v>
      </c>
      <c r="C286" s="263">
        <f>'Final data_for_R_analysis_Dryse'!B212</f>
        <v>211</v>
      </c>
      <c r="D286" t="s">
        <v>2426</v>
      </c>
      <c r="E286" t="s">
        <v>22</v>
      </c>
      <c r="F286" s="387">
        <v>3</v>
      </c>
      <c r="G286" s="16">
        <f>'Dry_Litterbag Placem_Collection'!E213</f>
        <v>42942</v>
      </c>
      <c r="H286" t="str">
        <f>'Final data_for_R_analysis_Dryse'!J212</f>
        <v>G26</v>
      </c>
      <c r="I286" t="str">
        <f>'Final data_for_R_analysis_Dryse'!J432</f>
        <v>R249</v>
      </c>
      <c r="J286">
        <f>IFERROR(INDEX('Green_rooibos initial weight'!$C$5:$C$1749,MATCH(H286, 'Green_rooibos initial weight'!$A$5:$A$1749,0)),"")</f>
        <v>2.1059999999999999</v>
      </c>
      <c r="K286">
        <f>IFERROR(INDEX('Green_rooibos initial weight'!$C$5:$C$1749,MATCH(I286, 'Green_rooibos initial weight'!$A$5:$A$1749,0)),"")</f>
        <v>2.294</v>
      </c>
      <c r="L286" s="195">
        <f t="shared" si="41"/>
        <v>1.8561999999999999</v>
      </c>
      <c r="M286" s="240">
        <f>AVERAGE(Ashed_controlls!$K$1:$K$11)</f>
        <v>5.5147656768714146</v>
      </c>
      <c r="N286" s="195">
        <f t="shared" si="36"/>
        <v>1.7538349195059126</v>
      </c>
      <c r="O286" s="195">
        <f t="shared" si="42"/>
        <v>2.0442</v>
      </c>
      <c r="P286" s="240">
        <f>AVERAGE(Ashed_controlls!$K$12:$K$14)</f>
        <v>2.2816647271287041</v>
      </c>
      <c r="Q286" s="195">
        <f t="shared" si="37"/>
        <v>1.9975582096480351</v>
      </c>
      <c r="R286" s="16">
        <f>IF('Dry_Litterbag Placem_Collection'!G213="N.A","",'Dry_Litterbag Placem_Collection'!G213)</f>
        <v>43004</v>
      </c>
      <c r="S286" s="195">
        <f>IF(IFERROR(INDEX('Both teabags AfterDry'!$D$1:$D$839,MATCH(H286,'Both teabags AfterDry'!$A$1:$A$839,0)),"")="N.A","",(IFERROR(INDEX('Both teabags AfterDry'!$D$1:$D$839,MATCH(H286,'Both teabags AfterDry'!$A$1:$A$839,0)),"")))</f>
        <v>0.38400000000000001</v>
      </c>
      <c r="T286" s="195">
        <f>IF(IFERROR(INDEX('Both teabags AfterDry'!$D$1:$D$839,MATCH(I286,'Both teabags AfterDry'!$A$1:$A$839,0)),"")="N.A","",(IFERROR(INDEX('Both teabags AfterDry'!$D$1:$D$839,MATCH(I286,'Both teabags AfterDry'!$A$1:$A$839,0)),"")))</f>
        <v>1.1160000000000001</v>
      </c>
      <c r="U286" s="195">
        <f t="shared" si="43"/>
        <v>0.2334</v>
      </c>
      <c r="V286" s="195">
        <f t="shared" si="43"/>
        <v>0.96540000000000004</v>
      </c>
      <c r="W286" s="195">
        <f>IFERROR(INDEX('Ashed teabags dry'!$K$2:$K$821,MATCH(H286,'Ashed teabags dry'!$A$2:$A$821,0)),"")</f>
        <v>18.38888888888961</v>
      </c>
      <c r="X286" s="195">
        <f>IFERROR(INDEX('Ashed teabags dry'!$K$2:$K$821,MATCH(I286,'Ashed teabags dry'!$A$2:$A$821,0)),"")</f>
        <v>35.262904003859205</v>
      </c>
      <c r="Y286" s="195">
        <f t="shared" si="38"/>
        <v>0.19048033333333164</v>
      </c>
      <c r="Z286" s="195">
        <f t="shared" si="38"/>
        <v>0.62497192474674323</v>
      </c>
      <c r="AA286" s="195">
        <f t="shared" si="44"/>
        <v>0.89139209670486352</v>
      </c>
      <c r="AB286" s="195">
        <f t="shared" si="45"/>
        <v>0.58438056696090823</v>
      </c>
      <c r="AC286" s="195">
        <f t="shared" si="39"/>
        <v>0.31286794133366547</v>
      </c>
      <c r="AD286">
        <f t="shared" si="40"/>
        <v>62</v>
      </c>
      <c r="AE286" s="195">
        <f t="shared" si="46"/>
        <v>-5.8660447392949511E-2</v>
      </c>
      <c r="AF286" s="195" t="str">
        <f t="shared" si="47"/>
        <v/>
      </c>
      <c r="AG286" s="255" t="str">
        <f>IF(ISNUMBER(SEARCH("C", 'Dry_Litterbag Placem_Collection'!AB213)),"YES","NO")</f>
        <v>NO</v>
      </c>
      <c r="AH286" s="255" t="str">
        <f>IF(ISNUMBER(SEARCH("H", 'Dry_Litterbag Placem_Collection'!AB213)),"YES","NO")</f>
        <v>NO</v>
      </c>
      <c r="AI286" s="255" t="str">
        <f>IF(ISNUMBER(SEARCH("R", 'Dry_Litterbag Placem_Collection'!AB213)),"YES","NO")</f>
        <v>NO</v>
      </c>
      <c r="AJ286" s="255" t="str">
        <f>IF(ISNUMBER(SEARCH("C", 'Dry_Litterbag Placem_Collection'!AA213)),"YES","NO")</f>
        <v>NO</v>
      </c>
      <c r="AK286" s="255" t="str">
        <f>IF(ISNUMBER(SEARCH("H", 'Dry_Litterbag Placem_Collection'!AA213)),"YES","NO")</f>
        <v>NO</v>
      </c>
      <c r="AL286" s="255" t="str">
        <f>IF(ISNUMBER(SEARCH("R", 'Dry_Litterbag Placem_Collection'!AA213)),"YES","NO")</f>
        <v>NO</v>
      </c>
      <c r="AR286" t="s">
        <v>2024</v>
      </c>
      <c r="AT286" t="s">
        <v>892</v>
      </c>
    </row>
    <row r="287" spans="2:46">
      <c r="B287" t="str">
        <f>'Final data_for_R_analysis_Dryse'!A213</f>
        <v>Dry</v>
      </c>
      <c r="C287" s="263">
        <f>'Final data_for_R_analysis_Dryse'!B213</f>
        <v>215</v>
      </c>
      <c r="D287" t="s">
        <v>2427</v>
      </c>
      <c r="E287" t="s">
        <v>22</v>
      </c>
      <c r="F287" s="387">
        <v>3</v>
      </c>
      <c r="G287" s="16">
        <f>'Dry_Litterbag Placem_Collection'!E214</f>
        <v>42942</v>
      </c>
      <c r="H287" t="str">
        <f>'Final data_for_R_analysis_Dryse'!J213</f>
        <v>G169</v>
      </c>
      <c r="I287" t="str">
        <f>'Final data_for_R_analysis_Dryse'!J433</f>
        <v>R627</v>
      </c>
      <c r="J287">
        <f>IFERROR(INDEX('Green_rooibos initial weight'!$C$5:$C$1749,MATCH(H287, 'Green_rooibos initial weight'!$A$5:$A$1749,0)),"")</f>
        <v>2.0649999999999999</v>
      </c>
      <c r="K287">
        <f>IFERROR(INDEX('Green_rooibos initial weight'!$C$5:$C$1749,MATCH(I287, 'Green_rooibos initial weight'!$A$5:$A$1749,0)),"")</f>
        <v>2.1429999999999998</v>
      </c>
      <c r="L287" s="195">
        <f t="shared" si="41"/>
        <v>1.8151999999999999</v>
      </c>
      <c r="M287" s="240">
        <f>AVERAGE(Ashed_controlls!$K$1:$K$11)</f>
        <v>5.5147656768714146</v>
      </c>
      <c r="N287" s="195">
        <f t="shared" si="36"/>
        <v>1.7150959734334301</v>
      </c>
      <c r="O287" s="195">
        <f t="shared" si="42"/>
        <v>1.8931999999999998</v>
      </c>
      <c r="P287" s="240">
        <f>AVERAGE(Ashed_controlls!$K$12:$K$14)</f>
        <v>2.2816647271287041</v>
      </c>
      <c r="Q287" s="195">
        <f t="shared" si="37"/>
        <v>1.850003523385999</v>
      </c>
      <c r="R287" s="16">
        <f>IF('Dry_Litterbag Placem_Collection'!G214="N.A","",'Dry_Litterbag Placem_Collection'!G214)</f>
        <v>43004</v>
      </c>
      <c r="S287" s="195">
        <f>IF(IFERROR(INDEX('Both teabags AfterDry'!$D$1:$D$839,MATCH(H287,'Both teabags AfterDry'!$A$1:$A$839,0)),"")="N.A","",(IFERROR(INDEX('Both teabags AfterDry'!$D$1:$D$839,MATCH(H287,'Both teabags AfterDry'!$A$1:$A$839,0)),"")))</f>
        <v>0.70899999999999996</v>
      </c>
      <c r="T287" s="195">
        <f>IF(IFERROR(INDEX('Both teabags AfterDry'!$D$1:$D$839,MATCH(I287,'Both teabags AfterDry'!$A$1:$A$839,0)),"")="N.A","",(IFERROR(INDEX('Both teabags AfterDry'!$D$1:$D$839,MATCH(I287,'Both teabags AfterDry'!$A$1:$A$839,0)),"")))</f>
        <v>1.7356</v>
      </c>
      <c r="U287" s="195">
        <f t="shared" si="43"/>
        <v>0.55840000000000001</v>
      </c>
      <c r="V287" s="195">
        <f t="shared" si="43"/>
        <v>1.585</v>
      </c>
      <c r="W287" s="195">
        <f>IFERROR(INDEX('Ashed teabags dry'!$K$2:$K$821,MATCH(H287,'Ashed teabags dry'!$A$2:$A$821,0)),"")</f>
        <v>21.867199201197611</v>
      </c>
      <c r="X287" s="195">
        <f>IFERROR(INDEX('Ashed teabags dry'!$K$2:$K$821,MATCH(I287,'Ashed teabags dry'!$A$2:$A$821,0)),"")</f>
        <v>5.6538839724678436</v>
      </c>
      <c r="Y287" s="195">
        <f t="shared" si="38"/>
        <v>0.43629355966051253</v>
      </c>
      <c r="Z287" s="195">
        <f t="shared" si="38"/>
        <v>1.4953859390363846</v>
      </c>
      <c r="AA287" s="195">
        <f t="shared" si="44"/>
        <v>0.74561565858783885</v>
      </c>
      <c r="AB287" s="195">
        <f t="shared" si="45"/>
        <v>0.4888121657250441</v>
      </c>
      <c r="AC287" s="195">
        <f t="shared" si="39"/>
        <v>0.8083151843405304</v>
      </c>
      <c r="AD287">
        <f t="shared" si="40"/>
        <v>62</v>
      </c>
      <c r="AE287" s="195">
        <f t="shared" si="46"/>
        <v>0.11447071426622457</v>
      </c>
      <c r="AF287" s="195">
        <f t="shared" si="47"/>
        <v>8.0293138953481634E-3</v>
      </c>
      <c r="AG287" s="255" t="str">
        <f>IF(ISNUMBER(SEARCH("C", 'Dry_Litterbag Placem_Collection'!AB214)),"YES","NO")</f>
        <v>NO</v>
      </c>
      <c r="AH287" s="255" t="str">
        <f>IF(ISNUMBER(SEARCH("H", 'Dry_Litterbag Placem_Collection'!AB214)),"YES","NO")</f>
        <v>NO</v>
      </c>
      <c r="AI287" s="255" t="str">
        <f>IF(ISNUMBER(SEARCH("R", 'Dry_Litterbag Placem_Collection'!AB214)),"YES","NO")</f>
        <v>NO</v>
      </c>
      <c r="AJ287" s="255" t="str">
        <f>IF(ISNUMBER(SEARCH("C", 'Dry_Litterbag Placem_Collection'!AA214)),"YES","NO")</f>
        <v>NO</v>
      </c>
      <c r="AK287" s="255" t="str">
        <f>IF(ISNUMBER(SEARCH("H", 'Dry_Litterbag Placem_Collection'!AA214)),"YES","NO")</f>
        <v>NO</v>
      </c>
      <c r="AL287" s="255" t="str">
        <f>IF(ISNUMBER(SEARCH("R", 'Dry_Litterbag Placem_Collection'!AA214)),"YES","NO")</f>
        <v>NO</v>
      </c>
      <c r="AR287" t="s">
        <v>1881</v>
      </c>
      <c r="AT287" t="s">
        <v>512</v>
      </c>
    </row>
    <row r="288" spans="2:46">
      <c r="B288" t="str">
        <f>'Final data_for_R_analysis_Dryse'!A214</f>
        <v>Dry</v>
      </c>
      <c r="C288" s="263">
        <f>'Final data_for_R_analysis_Dryse'!B214</f>
        <v>212</v>
      </c>
      <c r="D288" t="s">
        <v>2442</v>
      </c>
      <c r="E288" t="s">
        <v>22</v>
      </c>
      <c r="F288" s="387">
        <v>4</v>
      </c>
      <c r="G288" s="16">
        <f>'Dry_Litterbag Placem_Collection'!E215</f>
        <v>42942</v>
      </c>
      <c r="H288" t="str">
        <f>'Final data_for_R_analysis_Dryse'!J214</f>
        <v>G68</v>
      </c>
      <c r="I288" t="str">
        <f>'Final data_for_R_analysis_Dryse'!J434</f>
        <v>R803</v>
      </c>
      <c r="J288">
        <f>IFERROR(INDEX('Green_rooibos initial weight'!$C$5:$C$1749,MATCH(H288, 'Green_rooibos initial weight'!$A$5:$A$1749,0)),"")</f>
        <v>1.921</v>
      </c>
      <c r="K288">
        <f>IFERROR(INDEX('Green_rooibos initial weight'!$C$5:$C$1749,MATCH(I288, 'Green_rooibos initial weight'!$A$5:$A$1749,0)),"")</f>
        <v>2.1930000000000001</v>
      </c>
      <c r="L288" s="195">
        <f t="shared" si="41"/>
        <v>1.6712</v>
      </c>
      <c r="M288" s="240">
        <f>AVERAGE(Ashed_controlls!$K$1:$K$11)</f>
        <v>5.5147656768714146</v>
      </c>
      <c r="N288" s="195">
        <f t="shared" si="36"/>
        <v>1.5790372360081248</v>
      </c>
      <c r="O288" s="195">
        <f t="shared" si="42"/>
        <v>1.9432</v>
      </c>
      <c r="P288" s="240">
        <f>AVERAGE(Ashed_controlls!$K$12:$K$14)</f>
        <v>2.2816647271287041</v>
      </c>
      <c r="Q288" s="195">
        <f t="shared" si="37"/>
        <v>1.8988626910224351</v>
      </c>
      <c r="R288" s="16">
        <f>IF('Dry_Litterbag Placem_Collection'!G215="N.A","",'Dry_Litterbag Placem_Collection'!G215)</f>
        <v>43004</v>
      </c>
      <c r="S288" s="195">
        <f>IF(IFERROR(INDEX('Both teabags AfterDry'!$D$1:$D$839,MATCH(H288,'Both teabags AfterDry'!$A$1:$A$839,0)),"")="N.A","",(IFERROR(INDEX('Both teabags AfterDry'!$D$1:$D$839,MATCH(H288,'Both teabags AfterDry'!$A$1:$A$839,0)),"")))</f>
        <v>0.71</v>
      </c>
      <c r="T288" s="195">
        <f>IF(IFERROR(INDEX('Both teabags AfterDry'!$D$1:$D$839,MATCH(I288,'Both teabags AfterDry'!$A$1:$A$839,0)),"")="N.A","",(IFERROR(INDEX('Both teabags AfterDry'!$D$1:$D$839,MATCH(I288,'Both teabags AfterDry'!$A$1:$A$839,0)),"")))</f>
        <v>0.78500000000000003</v>
      </c>
      <c r="U288" s="195">
        <f t="shared" si="43"/>
        <v>0.5593999999999999</v>
      </c>
      <c r="V288" s="195">
        <f t="shared" si="43"/>
        <v>0.63440000000000007</v>
      </c>
      <c r="W288" s="195">
        <f>IFERROR(INDEX('Ashed teabags dry'!$K$2:$K$821,MATCH(H288,'Ashed teabags dry'!$A$2:$A$821,0)),"")</f>
        <v>24.931756141947613</v>
      </c>
      <c r="X288" s="195">
        <f>IFERROR(INDEX('Ashed teabags dry'!$K$2:$K$821,MATCH(I288,'Ashed teabags dry'!$A$2:$A$821,0)),"")</f>
        <v>11.856932876041183</v>
      </c>
      <c r="Y288" s="195">
        <f t="shared" si="38"/>
        <v>0.419931756141945</v>
      </c>
      <c r="Z288" s="195">
        <f t="shared" si="38"/>
        <v>0.55917961783439485</v>
      </c>
      <c r="AA288" s="195">
        <f t="shared" si="44"/>
        <v>0.73405835748145443</v>
      </c>
      <c r="AB288" s="195">
        <f t="shared" si="45"/>
        <v>0.48123540775506285</v>
      </c>
      <c r="AC288" s="195">
        <f t="shared" si="39"/>
        <v>0.29448133373630442</v>
      </c>
      <c r="AD288">
        <f t="shared" si="40"/>
        <v>62</v>
      </c>
      <c r="AE288" s="195">
        <f t="shared" si="46"/>
        <v>0.128196725081408</v>
      </c>
      <c r="AF288" s="195" t="str">
        <f t="shared" si="47"/>
        <v/>
      </c>
      <c r="AG288" s="255" t="str">
        <f>IF(ISNUMBER(SEARCH("C", 'Dry_Litterbag Placem_Collection'!AB215)),"YES","NO")</f>
        <v>NO</v>
      </c>
      <c r="AH288" s="255" t="str">
        <f>IF(ISNUMBER(SEARCH("H", 'Dry_Litterbag Placem_Collection'!AB215)),"YES","NO")</f>
        <v>NO</v>
      </c>
      <c r="AI288" s="255" t="str">
        <f>IF(ISNUMBER(SEARCH("R", 'Dry_Litterbag Placem_Collection'!AB215)),"YES","NO")</f>
        <v>NO</v>
      </c>
      <c r="AJ288" s="255" t="str">
        <f>IF(ISNUMBER(SEARCH("C", 'Dry_Litterbag Placem_Collection'!AA215)),"YES","NO")</f>
        <v>NO</v>
      </c>
      <c r="AK288" s="255" t="str">
        <f>IF(ISNUMBER(SEARCH("H", 'Dry_Litterbag Placem_Collection'!AA215)),"YES","NO")</f>
        <v>NO</v>
      </c>
      <c r="AL288" s="255" t="str">
        <f>IF(ISNUMBER(SEARCH("R", 'Dry_Litterbag Placem_Collection'!AA215)),"YES","NO")</f>
        <v>NO</v>
      </c>
      <c r="AR288" t="s">
        <v>1982</v>
      </c>
      <c r="AT288" t="s">
        <v>336</v>
      </c>
    </row>
    <row r="289" spans="2:46">
      <c r="B289" t="str">
        <f>'Final data_for_R_analysis_Dryse'!A215</f>
        <v>Dry</v>
      </c>
      <c r="C289" s="263">
        <f>'Final data_for_R_analysis_Dryse'!B215</f>
        <v>213</v>
      </c>
      <c r="D289" t="s">
        <v>2450</v>
      </c>
      <c r="E289" t="s">
        <v>22</v>
      </c>
      <c r="F289" s="387">
        <v>1</v>
      </c>
      <c r="G289" s="16">
        <f>'Dry_Litterbag Placem_Collection'!E216</f>
        <v>42942</v>
      </c>
      <c r="H289" t="str">
        <f>'Final data_for_R_analysis_Dryse'!J215</f>
        <v>G143</v>
      </c>
      <c r="I289" t="str">
        <f>'Final data_for_R_analysis_Dryse'!J435</f>
        <v>R321</v>
      </c>
      <c r="J289">
        <f>IFERROR(INDEX('Green_rooibos initial weight'!$C$5:$C$1749,MATCH(H289, 'Green_rooibos initial weight'!$A$5:$A$1749,0)),"")</f>
        <v>1.9450000000000001</v>
      </c>
      <c r="K289">
        <f>IFERROR(INDEX('Green_rooibos initial weight'!$C$5:$C$1749,MATCH(I289, 'Green_rooibos initial weight'!$A$5:$A$1749,0)),"")</f>
        <v>2.1859999999999999</v>
      </c>
      <c r="L289" s="195">
        <f t="shared" si="41"/>
        <v>1.6952</v>
      </c>
      <c r="M289" s="240">
        <f>AVERAGE(Ashed_controlls!$K$1:$K$11)</f>
        <v>5.5147656768714146</v>
      </c>
      <c r="N289" s="195">
        <f t="shared" si="36"/>
        <v>1.6017136922456758</v>
      </c>
      <c r="O289" s="195">
        <f t="shared" si="42"/>
        <v>1.9361999999999999</v>
      </c>
      <c r="P289" s="240">
        <f>AVERAGE(Ashed_controlls!$K$12:$K$14)</f>
        <v>2.2816647271287041</v>
      </c>
      <c r="Q289" s="195">
        <f t="shared" si="37"/>
        <v>1.8920224075533341</v>
      </c>
      <c r="R289" s="16">
        <f>IF('Dry_Litterbag Placem_Collection'!G216="N.A","",'Dry_Litterbag Placem_Collection'!G216)</f>
        <v>43004</v>
      </c>
      <c r="S289" s="195">
        <f>IF(IFERROR(INDEX('Both teabags AfterDry'!$D$1:$D$839,MATCH(H289,'Both teabags AfterDry'!$A$1:$A$839,0)),"")="N.A","",(IFERROR(INDEX('Both teabags AfterDry'!$D$1:$D$839,MATCH(H289,'Both teabags AfterDry'!$A$1:$A$839,0)),"")))</f>
        <v>0.57899999999999996</v>
      </c>
      <c r="T289" s="195">
        <f>IF(IFERROR(INDEX('Both teabags AfterDry'!$D$1:$D$839,MATCH(I289,'Both teabags AfterDry'!$A$1:$A$839,0)),"")="N.A","",(IFERROR(INDEX('Both teabags AfterDry'!$D$1:$D$839,MATCH(I289,'Both teabags AfterDry'!$A$1:$A$839,0)),"")))</f>
        <v>1.6859999999999999</v>
      </c>
      <c r="U289" s="195">
        <f t="shared" si="43"/>
        <v>0.42839999999999995</v>
      </c>
      <c r="V289" s="195">
        <f t="shared" si="43"/>
        <v>1.5353999999999999</v>
      </c>
      <c r="W289" s="195">
        <f>IFERROR(INDEX('Ashed teabags dry'!$K$2:$K$821,MATCH(H289,'Ashed teabags dry'!$A$2:$A$821,0)),"")</f>
        <v>19.161676646707068</v>
      </c>
      <c r="X289" s="195">
        <f>IFERROR(INDEX('Ashed teabags dry'!$K$2:$K$821,MATCH(I289,'Ashed teabags dry'!$A$2:$A$821,0)),"")</f>
        <v>5.7692307692305311</v>
      </c>
      <c r="Y289" s="195">
        <f t="shared" si="38"/>
        <v>0.34631137724550687</v>
      </c>
      <c r="Z289" s="195">
        <f t="shared" si="38"/>
        <v>1.4468192307692342</v>
      </c>
      <c r="AA289" s="195">
        <f t="shared" si="44"/>
        <v>0.78378696584658492</v>
      </c>
      <c r="AB289" s="195">
        <f t="shared" si="45"/>
        <v>0.51383658568564716</v>
      </c>
      <c r="AC289" s="195">
        <f t="shared" si="39"/>
        <v>0.7646945538241201</v>
      </c>
      <c r="AD289">
        <f t="shared" si="40"/>
        <v>62</v>
      </c>
      <c r="AE289" s="195">
        <f t="shared" si="46"/>
        <v>6.9136620134697235E-2</v>
      </c>
      <c r="AF289" s="195">
        <f t="shared" si="47"/>
        <v>9.8770229610008128E-3</v>
      </c>
      <c r="AG289" s="255" t="str">
        <f>IF(ISNUMBER(SEARCH("C", 'Dry_Litterbag Placem_Collection'!AB216)),"YES","NO")</f>
        <v>NO</v>
      </c>
      <c r="AH289" s="255" t="str">
        <f>IF(ISNUMBER(SEARCH("H", 'Dry_Litterbag Placem_Collection'!AB216)),"YES","NO")</f>
        <v>NO</v>
      </c>
      <c r="AI289" s="255" t="str">
        <f>IF(ISNUMBER(SEARCH("R", 'Dry_Litterbag Placem_Collection'!AB216)),"YES","NO")</f>
        <v>NO</v>
      </c>
      <c r="AJ289" s="255" t="str">
        <f>IF(ISNUMBER(SEARCH("C", 'Dry_Litterbag Placem_Collection'!AA216)),"YES","NO")</f>
        <v>NO</v>
      </c>
      <c r="AK289" s="255" t="str">
        <f>IF(ISNUMBER(SEARCH("H", 'Dry_Litterbag Placem_Collection'!AA216)),"YES","NO")</f>
        <v>NO</v>
      </c>
      <c r="AL289" s="255" t="str">
        <f>IF(ISNUMBER(SEARCH("R", 'Dry_Litterbag Placem_Collection'!AA216)),"YES","NO")</f>
        <v>NO</v>
      </c>
      <c r="AR289" t="s">
        <v>1907</v>
      </c>
      <c r="AT289" t="s">
        <v>820</v>
      </c>
    </row>
    <row r="290" spans="2:46">
      <c r="B290" t="str">
        <f>'Final data_for_R_analysis_Dryse'!A216</f>
        <v>Dry</v>
      </c>
      <c r="C290" s="263">
        <f>'Final data_for_R_analysis_Dryse'!B216</f>
        <v>214</v>
      </c>
      <c r="D290" t="s">
        <v>2443</v>
      </c>
      <c r="E290" t="s">
        <v>22</v>
      </c>
      <c r="F290" s="387">
        <v>2</v>
      </c>
      <c r="G290" s="16">
        <f>'Dry_Litterbag Placem_Collection'!E217</f>
        <v>42942</v>
      </c>
      <c r="H290" t="str">
        <f>'Final data_for_R_analysis_Dryse'!J216</f>
        <v>G128</v>
      </c>
      <c r="I290" t="str">
        <f>'Final data_for_R_analysis_Dryse'!J436</f>
        <v>R677</v>
      </c>
      <c r="J290">
        <f>IFERROR(INDEX('Green_rooibos initial weight'!$C$5:$C$1749,MATCH(H290, 'Green_rooibos initial weight'!$A$5:$A$1749,0)),"")</f>
        <v>2.0219999999999998</v>
      </c>
      <c r="K290">
        <f>IFERROR(INDEX('Green_rooibos initial weight'!$C$5:$C$1749,MATCH(I290, 'Green_rooibos initial weight'!$A$5:$A$1749,0)),"")</f>
        <v>2.1240000000000001</v>
      </c>
      <c r="L290" s="195">
        <f t="shared" si="41"/>
        <v>1.7721999999999998</v>
      </c>
      <c r="M290" s="240">
        <f>AVERAGE(Ashed_controlls!$K$1:$K$11)</f>
        <v>5.5147656768714146</v>
      </c>
      <c r="N290" s="195">
        <f t="shared" si="36"/>
        <v>1.6744673226744846</v>
      </c>
      <c r="O290" s="195">
        <f t="shared" si="42"/>
        <v>1.8742000000000001</v>
      </c>
      <c r="P290" s="240">
        <f>AVERAGE(Ashed_controlls!$K$12:$K$14)</f>
        <v>2.2816647271287041</v>
      </c>
      <c r="Q290" s="195">
        <f t="shared" si="37"/>
        <v>1.8314370396841539</v>
      </c>
      <c r="R290" s="16">
        <f>IF('Dry_Litterbag Placem_Collection'!G217="N.A","",'Dry_Litterbag Placem_Collection'!G217)</f>
        <v>43004</v>
      </c>
      <c r="S290" s="195">
        <f>IF(IFERROR(INDEX('Both teabags AfterDry'!$D$1:$D$839,MATCH(H290,'Both teabags AfterDry'!$A$1:$A$839,0)),"")="N.A","",(IFERROR(INDEX('Both teabags AfterDry'!$D$1:$D$839,MATCH(H290,'Both teabags AfterDry'!$A$1:$A$839,0)),"")))</f>
        <v>0.70599999999999996</v>
      </c>
      <c r="T290" s="195">
        <f>IF(IFERROR(INDEX('Both teabags AfterDry'!$D$1:$D$839,MATCH(I290,'Both teabags AfterDry'!$A$1:$A$839,0)),"")="N.A","",(IFERROR(INDEX('Both teabags AfterDry'!$D$1:$D$839,MATCH(I290,'Both teabags AfterDry'!$A$1:$A$839,0)),"")))</f>
        <v>1.7569999999999999</v>
      </c>
      <c r="U290" s="195">
        <f t="shared" si="43"/>
        <v>0.55539999999999989</v>
      </c>
      <c r="V290" s="195">
        <f t="shared" si="43"/>
        <v>1.6063999999999998</v>
      </c>
      <c r="W290" s="195">
        <f>IFERROR(INDEX('Ashed teabags dry'!$K$2:$K$821,MATCH(H290,'Ashed teabags dry'!$A$2:$A$821,0)),"")</f>
        <v>20.06472491909372</v>
      </c>
      <c r="X290" s="195">
        <f>IFERROR(INDEX('Ashed teabags dry'!$K$2:$K$821,MATCH(I290,'Ashed teabags dry'!$A$2:$A$821,0)),"")</f>
        <v>10.652591170825588</v>
      </c>
      <c r="Y290" s="195">
        <f t="shared" si="38"/>
        <v>0.44396051779935342</v>
      </c>
      <c r="Z290" s="195">
        <f t="shared" si="38"/>
        <v>1.4352767754318576</v>
      </c>
      <c r="AA290" s="195">
        <f t="shared" si="44"/>
        <v>0.73486462722350843</v>
      </c>
      <c r="AB290" s="195">
        <f t="shared" si="45"/>
        <v>0.48176398364296519</v>
      </c>
      <c r="AC290" s="195">
        <f t="shared" si="39"/>
        <v>0.78368884342285805</v>
      </c>
      <c r="AD290">
        <f t="shared" si="40"/>
        <v>62</v>
      </c>
      <c r="AE290" s="195">
        <f t="shared" si="46"/>
        <v>0.12723916006709213</v>
      </c>
      <c r="AF290" s="195">
        <f t="shared" si="47"/>
        <v>9.6131803963733393E-3</v>
      </c>
      <c r="AG290" s="255" t="str">
        <f>IF(ISNUMBER(SEARCH("C", 'Dry_Litterbag Placem_Collection'!AB217)),"YES","NO")</f>
        <v>NO</v>
      </c>
      <c r="AH290" s="255" t="str">
        <f>IF(ISNUMBER(SEARCH("H", 'Dry_Litterbag Placem_Collection'!AB217)),"YES","NO")</f>
        <v>NO</v>
      </c>
      <c r="AI290" s="255" t="str">
        <f>IF(ISNUMBER(SEARCH("R", 'Dry_Litterbag Placem_Collection'!AB217)),"YES","NO")</f>
        <v>NO</v>
      </c>
      <c r="AJ290" s="255" t="str">
        <f>IF(ISNUMBER(SEARCH("C", 'Dry_Litterbag Placem_Collection'!AA217)),"YES","NO")</f>
        <v>NO</v>
      </c>
      <c r="AK290" s="255" t="str">
        <f>IF(ISNUMBER(SEARCH("H", 'Dry_Litterbag Placem_Collection'!AA217)),"YES","NO")</f>
        <v>NO</v>
      </c>
      <c r="AL290" s="255" t="str">
        <f>IF(ISNUMBER(SEARCH("R", 'Dry_Litterbag Placem_Collection'!AA217)),"YES","NO")</f>
        <v>NO</v>
      </c>
      <c r="AR290" t="s">
        <v>1922</v>
      </c>
      <c r="AT290" t="s">
        <v>462</v>
      </c>
    </row>
    <row r="291" spans="2:46">
      <c r="B291" t="str">
        <f>'Final data_for_R_analysis_Dryse'!A217</f>
        <v>Dry</v>
      </c>
      <c r="C291" s="263">
        <f>'Final data_for_R_analysis_Dryse'!B217</f>
        <v>216</v>
      </c>
      <c r="D291" t="s">
        <v>2436</v>
      </c>
      <c r="E291" t="s">
        <v>22</v>
      </c>
      <c r="F291" s="387">
        <v>4</v>
      </c>
      <c r="G291" s="16">
        <f>'Dry_Litterbag Placem_Collection'!E218</f>
        <v>42942</v>
      </c>
      <c r="H291" t="str">
        <f>'Final data_for_R_analysis_Dryse'!J217</f>
        <v>G95</v>
      </c>
      <c r="I291" t="str">
        <f>'Final data_for_R_analysis_Dryse'!J437</f>
        <v>R379</v>
      </c>
      <c r="J291">
        <f>IFERROR(INDEX('Green_rooibos initial weight'!$C$5:$C$1749,MATCH(H291, 'Green_rooibos initial weight'!$A$5:$A$1749,0)),"")</f>
        <v>2.1110000000000002</v>
      </c>
      <c r="K291">
        <f>IFERROR(INDEX('Green_rooibos initial weight'!$C$5:$C$1749,MATCH(I291, 'Green_rooibos initial weight'!$A$5:$A$1749,0)),"")</f>
        <v>2.246</v>
      </c>
      <c r="L291" s="195">
        <f t="shared" si="41"/>
        <v>1.8612000000000002</v>
      </c>
      <c r="M291" s="240">
        <f>AVERAGE(Ashed_controlls!$K$1:$K$11)</f>
        <v>5.5147656768714146</v>
      </c>
      <c r="N291" s="195">
        <f t="shared" si="36"/>
        <v>1.7585591812220693</v>
      </c>
      <c r="O291" s="195">
        <f t="shared" si="42"/>
        <v>1.9962</v>
      </c>
      <c r="P291" s="240">
        <f>AVERAGE(Ashed_controlls!$K$12:$K$14)</f>
        <v>2.2816647271287041</v>
      </c>
      <c r="Q291" s="195">
        <f t="shared" si="37"/>
        <v>1.9506534087170568</v>
      </c>
      <c r="R291" s="16">
        <f>IF('Dry_Litterbag Placem_Collection'!G218="N.A","",'Dry_Litterbag Placem_Collection'!G218)</f>
        <v>43004</v>
      </c>
      <c r="S291" s="195">
        <f>IF(IFERROR(INDEX('Both teabags AfterDry'!$D$1:$D$839,MATCH(H291,'Both teabags AfterDry'!$A$1:$A$839,0)),"")="N.A","",(IFERROR(INDEX('Both teabags AfterDry'!$D$1:$D$839,MATCH(H291,'Both teabags AfterDry'!$A$1:$A$839,0)),"")))</f>
        <v>0.80600000000000005</v>
      </c>
      <c r="T291" s="195">
        <f>IF(IFERROR(INDEX('Both teabags AfterDry'!$D$1:$D$839,MATCH(I291,'Both teabags AfterDry'!$A$1:$A$839,0)),"")="N.A","",(IFERROR(INDEX('Both teabags AfterDry'!$D$1:$D$839,MATCH(I291,'Both teabags AfterDry'!$A$1:$A$839,0)),"")))</f>
        <v>1.736</v>
      </c>
      <c r="U291" s="195">
        <f t="shared" si="43"/>
        <v>0.65539999999999998</v>
      </c>
      <c r="V291" s="195">
        <f t="shared" si="43"/>
        <v>1.5853999999999999</v>
      </c>
      <c r="W291" s="195">
        <f>IFERROR(INDEX('Ashed teabags dry'!$K$2:$K$821,MATCH(H291,'Ashed teabags dry'!$A$2:$A$821,0)),"")</f>
        <v>24.313893653516725</v>
      </c>
      <c r="X291" s="195">
        <f>IFERROR(INDEX('Ashed teabags dry'!$K$2:$K$821,MATCH(I291,'Ashed teabags dry'!$A$2:$A$821,0)),"")</f>
        <v>4.8247610377782575</v>
      </c>
      <c r="Y291" s="195">
        <f t="shared" si="38"/>
        <v>0.49604674099485135</v>
      </c>
      <c r="Z291" s="195">
        <f t="shared" si="38"/>
        <v>1.5089082385070633</v>
      </c>
      <c r="AA291" s="195">
        <f t="shared" si="44"/>
        <v>0.71792434039658803</v>
      </c>
      <c r="AB291" s="195">
        <f t="shared" si="45"/>
        <v>0.47065823740963969</v>
      </c>
      <c r="AC291" s="195">
        <f t="shared" si="39"/>
        <v>0.77353989784349808</v>
      </c>
      <c r="AD291">
        <f t="shared" si="40"/>
        <v>62</v>
      </c>
      <c r="AE291" s="195">
        <f t="shared" si="46"/>
        <v>0.14735826556224696</v>
      </c>
      <c r="AF291" s="195">
        <f t="shared" si="47"/>
        <v>1.058310152478994E-2</v>
      </c>
      <c r="AG291" s="255" t="str">
        <f>IF(ISNUMBER(SEARCH("C", 'Dry_Litterbag Placem_Collection'!AB218)),"YES","NO")</f>
        <v>NO</v>
      </c>
      <c r="AH291" s="255" t="str">
        <f>IF(ISNUMBER(SEARCH("H", 'Dry_Litterbag Placem_Collection'!AB218)),"YES","NO")</f>
        <v>NO</v>
      </c>
      <c r="AI291" s="255" t="str">
        <f>IF(ISNUMBER(SEARCH("R", 'Dry_Litterbag Placem_Collection'!AB218)),"YES","NO")</f>
        <v>NO</v>
      </c>
      <c r="AJ291" s="255" t="str">
        <f>IF(ISNUMBER(SEARCH("C", 'Dry_Litterbag Placem_Collection'!AA218)),"YES","NO")</f>
        <v>NO</v>
      </c>
      <c r="AK291" s="255" t="str">
        <f>IF(ISNUMBER(SEARCH("H", 'Dry_Litterbag Placem_Collection'!AA218)),"YES","NO")</f>
        <v>NO</v>
      </c>
      <c r="AL291" s="255" t="str">
        <f>IF(ISNUMBER(SEARCH("R", 'Dry_Litterbag Placem_Collection'!AA218)),"YES","NO")</f>
        <v>NO</v>
      </c>
      <c r="AR291" t="s">
        <v>1955</v>
      </c>
      <c r="AT291" t="s">
        <v>762</v>
      </c>
    </row>
    <row r="292" spans="2:46">
      <c r="B292" t="str">
        <f>'Final data_for_R_analysis_Dryse'!A218</f>
        <v>Dry</v>
      </c>
      <c r="C292" s="263">
        <f>'Final data_for_R_analysis_Dryse'!B218</f>
        <v>217</v>
      </c>
      <c r="D292" t="s">
        <v>2429</v>
      </c>
      <c r="E292" t="s">
        <v>22</v>
      </c>
      <c r="F292" s="387">
        <v>1</v>
      </c>
      <c r="G292" s="16">
        <f>'Dry_Litterbag Placem_Collection'!E219</f>
        <v>42942</v>
      </c>
      <c r="H292" t="str">
        <f>'Final data_for_R_analysis_Dryse'!J218</f>
        <v>G313</v>
      </c>
      <c r="I292" t="str">
        <f>'Final data_for_R_analysis_Dryse'!J438</f>
        <v>R771</v>
      </c>
      <c r="J292">
        <f>IFERROR(INDEX('Green_rooibos initial weight'!$C$5:$C$1749,MATCH(H292, 'Green_rooibos initial weight'!$A$5:$A$1749,0)),"")</f>
        <v>1.923</v>
      </c>
      <c r="K292">
        <f>IFERROR(INDEX('Green_rooibos initial weight'!$C$5:$C$1749,MATCH(I292, 'Green_rooibos initial weight'!$A$5:$A$1749,0)),"")</f>
        <v>2.2309999999999999</v>
      </c>
      <c r="L292" s="195">
        <f t="shared" si="41"/>
        <v>1.6732</v>
      </c>
      <c r="M292" s="240">
        <f>AVERAGE(Ashed_controlls!$K$1:$K$11)</f>
        <v>5.5147656768714146</v>
      </c>
      <c r="N292" s="195">
        <f t="shared" si="36"/>
        <v>1.5809269406945876</v>
      </c>
      <c r="O292" s="195">
        <f t="shared" si="42"/>
        <v>1.9811999999999999</v>
      </c>
      <c r="P292" s="240">
        <f>AVERAGE(Ashed_controlls!$K$12:$K$14)</f>
        <v>2.2816647271287041</v>
      </c>
      <c r="Q292" s="195">
        <f t="shared" si="37"/>
        <v>1.935995658426126</v>
      </c>
      <c r="R292" s="16">
        <f>IF('Dry_Litterbag Placem_Collection'!G219="N.A","",'Dry_Litterbag Placem_Collection'!G219)</f>
        <v>43004</v>
      </c>
      <c r="S292" s="195">
        <f>IF(IFERROR(INDEX('Both teabags AfterDry'!$D$1:$D$839,MATCH(H292,'Both teabags AfterDry'!$A$1:$A$839,0)),"")="N.A","",(IFERROR(INDEX('Both teabags AfterDry'!$D$1:$D$839,MATCH(H292,'Both teabags AfterDry'!$A$1:$A$839,0)),"")))</f>
        <v>0.74719999999999998</v>
      </c>
      <c r="T292" s="195">
        <f>IF(IFERROR(INDEX('Both teabags AfterDry'!$D$1:$D$839,MATCH(I292,'Both teabags AfterDry'!$A$1:$A$839,0)),"")="N.A","",(IFERROR(INDEX('Both teabags AfterDry'!$D$1:$D$839,MATCH(I292,'Both teabags AfterDry'!$A$1:$A$839,0)),"")))</f>
        <v>1.0895999999999999</v>
      </c>
      <c r="U292" s="195">
        <f t="shared" si="43"/>
        <v>0.59660000000000002</v>
      </c>
      <c r="V292" s="195">
        <f t="shared" si="43"/>
        <v>0.93899999999999983</v>
      </c>
      <c r="W292" s="195">
        <f>IFERROR(INDEX('Ashed teabags dry'!$K$2:$K$821,MATCH(H292,'Ashed teabags dry'!$A$2:$A$821,0)),"")</f>
        <v>17.652671755725578</v>
      </c>
      <c r="X292" s="195">
        <f>IFERROR(INDEX('Ashed teabags dry'!$K$2:$K$821,MATCH(I292,'Ashed teabags dry'!$A$2:$A$821,0)),"")</f>
        <v>85.664182376150734</v>
      </c>
      <c r="Y292" s="195">
        <f t="shared" si="38"/>
        <v>0.49128416030534122</v>
      </c>
      <c r="Z292" s="195">
        <f t="shared" si="38"/>
        <v>0.13461332748794463</v>
      </c>
      <c r="AA292" s="195">
        <f t="shared" si="44"/>
        <v>0.68924297027319104</v>
      </c>
      <c r="AB292" s="195">
        <f t="shared" si="45"/>
        <v>0.4518552489201918</v>
      </c>
      <c r="AC292" s="195">
        <f t="shared" si="39"/>
        <v>6.9531833349966793E-2</v>
      </c>
      <c r="AD292">
        <f t="shared" si="40"/>
        <v>62</v>
      </c>
      <c r="AE292" s="195">
        <f t="shared" si="46"/>
        <v>0.18142165050689896</v>
      </c>
      <c r="AF292" s="195" t="str">
        <f t="shared" si="47"/>
        <v/>
      </c>
      <c r="AG292" s="255" t="str">
        <f>IF(ISNUMBER(SEARCH("C", 'Dry_Litterbag Placem_Collection'!AB219)),"YES","NO")</f>
        <v>NO</v>
      </c>
      <c r="AH292" s="255" t="str">
        <f>IF(ISNUMBER(SEARCH("H", 'Dry_Litterbag Placem_Collection'!AB219)),"YES","NO")</f>
        <v>NO</v>
      </c>
      <c r="AI292" s="255" t="str">
        <f>IF(ISNUMBER(SEARCH("R", 'Dry_Litterbag Placem_Collection'!AB219)),"YES","NO")</f>
        <v>NO</v>
      </c>
      <c r="AJ292" s="255" t="str">
        <f>IF(ISNUMBER(SEARCH("C", 'Dry_Litterbag Placem_Collection'!AA219)),"YES","NO")</f>
        <v>NO</v>
      </c>
      <c r="AK292" s="255" t="str">
        <f>IF(ISNUMBER(SEARCH("H", 'Dry_Litterbag Placem_Collection'!AA219)),"YES","NO")</f>
        <v>NO</v>
      </c>
      <c r="AL292" s="255" t="str">
        <f>IF(ISNUMBER(SEARCH("R", 'Dry_Litterbag Placem_Collection'!AA219)),"YES","NO")</f>
        <v>NO</v>
      </c>
      <c r="AR292" t="s">
        <v>1737</v>
      </c>
      <c r="AT292" t="s">
        <v>368</v>
      </c>
    </row>
    <row r="293" spans="2:46">
      <c r="B293" t="str">
        <f>'Final data_for_R_analysis_Dryse'!A219</f>
        <v>Dry</v>
      </c>
      <c r="C293" s="263">
        <f>'Final data_for_R_analysis_Dryse'!B219</f>
        <v>218</v>
      </c>
      <c r="D293" t="s">
        <v>2437</v>
      </c>
      <c r="E293" t="s">
        <v>22</v>
      </c>
      <c r="F293" s="387">
        <v>2</v>
      </c>
      <c r="G293" s="16">
        <f>'Dry_Litterbag Placem_Collection'!E220</f>
        <v>42942</v>
      </c>
      <c r="H293" t="str">
        <f>'Final data_for_R_analysis_Dryse'!J219</f>
        <v>G485</v>
      </c>
      <c r="I293" t="str">
        <f>'Final data_for_R_analysis_Dryse'!J439</f>
        <v>R680</v>
      </c>
      <c r="J293">
        <f>IFERROR(INDEX('Green_rooibos initial weight'!$C$5:$C$1749,MATCH(H293, 'Green_rooibos initial weight'!$A$5:$A$1749,0)),"")</f>
        <v>1.9890000000000001</v>
      </c>
      <c r="K293">
        <f>IFERROR(INDEX('Green_rooibos initial weight'!$C$5:$C$1749,MATCH(I293, 'Green_rooibos initial weight'!$A$5:$A$1749,0)),"")</f>
        <v>2.1080000000000001</v>
      </c>
      <c r="L293" s="195">
        <f t="shared" si="41"/>
        <v>1.7392000000000001</v>
      </c>
      <c r="M293" s="240">
        <f>AVERAGE(Ashed_controlls!$K$1:$K$11)</f>
        <v>5.5147656768714146</v>
      </c>
      <c r="N293" s="195">
        <f t="shared" si="36"/>
        <v>1.6432871953478525</v>
      </c>
      <c r="O293" s="195">
        <f t="shared" si="42"/>
        <v>1.8582000000000001</v>
      </c>
      <c r="P293" s="240">
        <f>AVERAGE(Ashed_controlls!$K$12:$K$14)</f>
        <v>2.2816647271287041</v>
      </c>
      <c r="Q293" s="195">
        <f t="shared" si="37"/>
        <v>1.8158021060404945</v>
      </c>
      <c r="R293" s="16">
        <f>IF('Dry_Litterbag Placem_Collection'!G220="N.A","",'Dry_Litterbag Placem_Collection'!G220)</f>
        <v>43004</v>
      </c>
      <c r="S293" s="195">
        <f>IF(IFERROR(INDEX('Both teabags AfterDry'!$D$1:$D$839,MATCH(H293,'Both teabags AfterDry'!$A$1:$A$839,0)),"")="N.A","",(IFERROR(INDEX('Both teabags AfterDry'!$D$1:$D$839,MATCH(H293,'Both teabags AfterDry'!$A$1:$A$839,0)),"")))</f>
        <v>0.66900000000000004</v>
      </c>
      <c r="T293" s="195">
        <f>IF(IFERROR(INDEX('Both teabags AfterDry'!$D$1:$D$839,MATCH(I293,'Both teabags AfterDry'!$A$1:$A$839,0)),"")="N.A","",(IFERROR(INDEX('Both teabags AfterDry'!$D$1:$D$839,MATCH(I293,'Both teabags AfterDry'!$A$1:$A$839,0)),"")))</f>
        <v>0.17100000000000001</v>
      </c>
      <c r="U293" s="195">
        <f t="shared" si="43"/>
        <v>0.51839999999999997</v>
      </c>
      <c r="V293" s="195">
        <f t="shared" si="43"/>
        <v>2.0400000000000001E-2</v>
      </c>
      <c r="W293" s="195">
        <f>IFERROR(INDEX('Ashed teabags dry'!$K$2:$K$821,MATCH(H293,'Ashed teabags dry'!$A$2:$A$821,0)),"")</f>
        <v>22.069641981362956</v>
      </c>
      <c r="X293" s="195">
        <f>IFERROR(INDEX('Ashed teabags dry'!$K$2:$K$821,MATCH(I293,'Ashed teabags dry'!$A$2:$A$821,0)),"")</f>
        <v>0</v>
      </c>
      <c r="Y293" s="195">
        <f t="shared" si="38"/>
        <v>0.40399097596861444</v>
      </c>
      <c r="Z293" s="195">
        <f t="shared" si="38"/>
        <v>2.0400000000000001E-2</v>
      </c>
      <c r="AA293" s="195">
        <f t="shared" si="44"/>
        <v>0.75415680404964314</v>
      </c>
      <c r="AB293" s="195">
        <f t="shared" si="45"/>
        <v>0.49441158650285394</v>
      </c>
      <c r="AC293" s="195">
        <f t="shared" si="39"/>
        <v>1.1234704449420358E-2</v>
      </c>
      <c r="AD293">
        <f t="shared" si="40"/>
        <v>62</v>
      </c>
      <c r="AE293" s="195">
        <f t="shared" si="46"/>
        <v>0.10432683604555448</v>
      </c>
      <c r="AF293" s="195" t="str">
        <f t="shared" si="47"/>
        <v/>
      </c>
      <c r="AG293" s="255" t="str">
        <f>IF(ISNUMBER(SEARCH("C", 'Dry_Litterbag Placem_Collection'!AB220)),"YES","NO")</f>
        <v>NO</v>
      </c>
      <c r="AH293" s="255" t="str">
        <f>IF(ISNUMBER(SEARCH("H", 'Dry_Litterbag Placem_Collection'!AB220)),"YES","NO")</f>
        <v>NO</v>
      </c>
      <c r="AI293" s="255" t="str">
        <f>IF(ISNUMBER(SEARCH("R", 'Dry_Litterbag Placem_Collection'!AB220)),"YES","NO")</f>
        <v>NO</v>
      </c>
      <c r="AJ293" s="255" t="str">
        <f>IF(ISNUMBER(SEARCH("C", 'Dry_Litterbag Placem_Collection'!AA220)),"YES","NO")</f>
        <v>NO</v>
      </c>
      <c r="AK293" s="255" t="str">
        <f>IF(ISNUMBER(SEARCH("H", 'Dry_Litterbag Placem_Collection'!AA220)),"YES","NO")</f>
        <v>NO</v>
      </c>
      <c r="AL293" s="255" t="str">
        <f>IF(ISNUMBER(SEARCH("R", 'Dry_Litterbag Placem_Collection'!AA220)),"YES","NO")</f>
        <v>NO</v>
      </c>
      <c r="AR293" t="s">
        <v>1565</v>
      </c>
      <c r="AT293" t="s">
        <v>459</v>
      </c>
    </row>
    <row r="294" spans="2:46">
      <c r="B294" t="str">
        <f>'Final data_for_R_analysis_Dryse'!A220</f>
        <v>Dry</v>
      </c>
      <c r="C294" s="386">
        <f>'Final data_for_R_analysis_Dryse'!B220</f>
        <v>219</v>
      </c>
      <c r="D294" t="s">
        <v>2444</v>
      </c>
      <c r="E294" t="s">
        <v>22</v>
      </c>
      <c r="F294" s="387">
        <v>3</v>
      </c>
      <c r="G294" s="388">
        <f>'Dry_Litterbag Placem_Collection'!E221</f>
        <v>42942</v>
      </c>
      <c r="H294" s="92" t="str">
        <f>'Final data_for_R_analysis_Dryse'!J220</f>
        <v>G196</v>
      </c>
      <c r="I294" s="92" t="str">
        <f>'Final data_for_R_analysis_Dryse'!J440</f>
        <v>R178</v>
      </c>
      <c r="J294" s="92">
        <f>IFERROR(INDEX('Green_rooibos initial weight'!$C$5:$C$1749,MATCH(H294, 'Green_rooibos initial weight'!$A$5:$A$1749,0)),"")</f>
        <v>2.028</v>
      </c>
      <c r="K294" s="92">
        <f>IFERROR(INDEX('Green_rooibos initial weight'!$C$5:$C$1749,MATCH(I294, 'Green_rooibos initial weight'!$A$5:$A$1749,0)),"")</f>
        <v>2.222</v>
      </c>
      <c r="L294" s="195">
        <f t="shared" si="41"/>
        <v>1.7782</v>
      </c>
      <c r="M294" s="240">
        <f>AVERAGE(Ashed_controlls!$K$1:$K$11)</f>
        <v>5.5147656768714146</v>
      </c>
      <c r="N294" s="389">
        <f t="shared" si="36"/>
        <v>1.6801364367338725</v>
      </c>
      <c r="O294" s="195">
        <f t="shared" si="42"/>
        <v>1.9722</v>
      </c>
      <c r="P294" s="240">
        <f>AVERAGE(Ashed_controlls!$K$12:$K$14)</f>
        <v>2.2816647271287041</v>
      </c>
      <c r="Q294" s="389">
        <f t="shared" si="37"/>
        <v>1.9272010082515676</v>
      </c>
      <c r="R294" s="388">
        <f>IF('Dry_Litterbag Placem_Collection'!G221="N.A","",'Dry_Litterbag Placem_Collection'!G221)</f>
        <v>43004</v>
      </c>
      <c r="S294" s="195">
        <f>IF(IFERROR(INDEX('Both teabags AfterDry'!$D$1:$D$839,MATCH(H294,'Both teabags AfterDry'!$A$1:$A$839,0)),"")="N.A","",(IFERROR(INDEX('Both teabags AfterDry'!$D$1:$D$839,MATCH(H294,'Both teabags AfterDry'!$A$1:$A$839,0)),"")))</f>
        <v>0.5756</v>
      </c>
      <c r="T294" s="195">
        <f>IF(IFERROR(INDEX('Both teabags AfterDry'!$D$1:$D$839,MATCH(I294,'Both teabags AfterDry'!$A$1:$A$839,0)),"")="N.A","",(IFERROR(INDEX('Both teabags AfterDry'!$D$1:$D$839,MATCH(I294,'Both teabags AfterDry'!$A$1:$A$839,0)),"")))</f>
        <v>1.8229</v>
      </c>
      <c r="U294" s="195">
        <f t="shared" si="43"/>
        <v>0.42499999999999999</v>
      </c>
      <c r="V294" s="195">
        <f t="shared" si="43"/>
        <v>1.6722999999999999</v>
      </c>
      <c r="W294" s="195">
        <f>IFERROR(INDEX('Ashed teabags dry'!$K$2:$K$821,MATCH(H294,'Ashed teabags dry'!$A$2:$A$821,0)),"")</f>
        <v>22.698178237321503</v>
      </c>
      <c r="X294" s="195">
        <f>IFERROR(INDEX('Ashed teabags dry'!$K$2:$K$821,MATCH(I294,'Ashed teabags dry'!$A$2:$A$821,0)),"")</f>
        <v>19.137332672284675</v>
      </c>
      <c r="Y294" s="389">
        <f t="shared" si="38"/>
        <v>0.32853274249138359</v>
      </c>
      <c r="Z294" s="389">
        <f t="shared" si="38"/>
        <v>1.3522663857213832</v>
      </c>
      <c r="AA294" s="195">
        <f t="shared" si="44"/>
        <v>0.80446067634242846</v>
      </c>
      <c r="AB294" s="195">
        <f t="shared" si="45"/>
        <v>0.52738989707959683</v>
      </c>
      <c r="AC294" s="195">
        <f t="shared" si="39"/>
        <v>0.70167376414368543</v>
      </c>
      <c r="AD294" s="92">
        <f t="shared" si="40"/>
        <v>62</v>
      </c>
      <c r="AE294" s="195">
        <f t="shared" si="46"/>
        <v>4.4583519783339076E-2</v>
      </c>
      <c r="AF294" s="195">
        <f t="shared" si="47"/>
        <v>1.3450647679353514E-2</v>
      </c>
      <c r="AG294" s="255" t="str">
        <f>IF(ISNUMBER(SEARCH("C", 'Dry_Litterbag Placem_Collection'!AB221)),"YES","NO")</f>
        <v>NO</v>
      </c>
      <c r="AH294" s="255" t="str">
        <f>IF(ISNUMBER(SEARCH("H", 'Dry_Litterbag Placem_Collection'!AB221)),"YES","NO")</f>
        <v>NO</v>
      </c>
      <c r="AI294" s="255" t="str">
        <f>IF(ISNUMBER(SEARCH("R", 'Dry_Litterbag Placem_Collection'!AB221)),"YES","NO")</f>
        <v>NO</v>
      </c>
      <c r="AJ294" s="255" t="str">
        <f>IF(ISNUMBER(SEARCH("C", 'Dry_Litterbag Placem_Collection'!AA221)),"YES","NO")</f>
        <v>NO</v>
      </c>
      <c r="AK294" s="255" t="str">
        <f>IF(ISNUMBER(SEARCH("H", 'Dry_Litterbag Placem_Collection'!AA221)),"YES","NO")</f>
        <v>NO</v>
      </c>
      <c r="AL294" s="255" t="str">
        <f>IF(ISNUMBER(SEARCH("R", 'Dry_Litterbag Placem_Collection'!AA221)),"YES","NO")</f>
        <v>NO</v>
      </c>
      <c r="AR294" t="s">
        <v>1854</v>
      </c>
      <c r="AT294" t="s">
        <v>963</v>
      </c>
    </row>
    <row r="295" spans="2:46">
      <c r="B295" t="str">
        <f>'Final data_for_R_analysis_Dryse'!A221</f>
        <v>Dry</v>
      </c>
      <c r="C295" s="386">
        <f>'Final data_for_R_analysis_Dryse'!B221</f>
        <v>220</v>
      </c>
      <c r="D295" t="s">
        <v>2451</v>
      </c>
      <c r="E295" t="s">
        <v>22</v>
      </c>
      <c r="F295" s="387">
        <v>4</v>
      </c>
      <c r="G295" s="388">
        <f>'Dry_Litterbag Placem_Collection'!E222</f>
        <v>42942</v>
      </c>
      <c r="H295" s="92" t="str">
        <f>'Final data_for_R_analysis_Dryse'!J221</f>
        <v>G39</v>
      </c>
      <c r="I295" s="92" t="str">
        <f>'Final data_for_R_analysis_Dryse'!J441</f>
        <v>R194</v>
      </c>
      <c r="J295" s="92">
        <f>IFERROR(INDEX('Green_rooibos initial weight'!$C$5:$C$1749,MATCH(H295, 'Green_rooibos initial weight'!$A$5:$A$1749,0)),"")</f>
        <v>2.0670000000000002</v>
      </c>
      <c r="K295" s="92">
        <f>IFERROR(INDEX('Green_rooibos initial weight'!$C$5:$C$1749,MATCH(I295, 'Green_rooibos initial weight'!$A$5:$A$1749,0)),"")</f>
        <v>2.149</v>
      </c>
      <c r="L295" s="195">
        <f t="shared" si="41"/>
        <v>1.8172000000000001</v>
      </c>
      <c r="M295" s="240">
        <f>AVERAGE(Ashed_controlls!$K$1:$K$11)</f>
        <v>5.5147656768714146</v>
      </c>
      <c r="N295" s="389">
        <f t="shared" si="36"/>
        <v>1.7169856781198929</v>
      </c>
      <c r="O295" s="195">
        <f t="shared" si="42"/>
        <v>1.8992</v>
      </c>
      <c r="P295" s="240">
        <f>AVERAGE(Ashed_controlls!$K$12:$K$14)</f>
        <v>2.2816647271287041</v>
      </c>
      <c r="Q295" s="389">
        <f t="shared" si="37"/>
        <v>1.8558666235023717</v>
      </c>
      <c r="R295" s="388">
        <f>IF('Dry_Litterbag Placem_Collection'!G222="N.A","",'Dry_Litterbag Placem_Collection'!G222)</f>
        <v>43004</v>
      </c>
      <c r="S295" s="195" t="str">
        <f>IF(IFERROR(INDEX('Both teabags AfterDry'!$D$1:$D$839,MATCH(H295,'Both teabags AfterDry'!$A$1:$A$839,0)),"")="N.A","",(IFERROR(INDEX('Both teabags AfterDry'!$D$1:$D$839,MATCH(H295,'Both teabags AfterDry'!$A$1:$A$839,0)),"")))</f>
        <v/>
      </c>
      <c r="T295" s="195" t="str">
        <f>IF(IFERROR(INDEX('Both teabags AfterDry'!$D$1:$D$839,MATCH(I295,'Both teabags AfterDry'!$A$1:$A$839,0)),"")="N.A","",(IFERROR(INDEX('Both teabags AfterDry'!$D$1:$D$839,MATCH(I295,'Both teabags AfterDry'!$A$1:$A$839,0)),"")))</f>
        <v/>
      </c>
      <c r="U295" s="195" t="str">
        <f t="shared" si="43"/>
        <v/>
      </c>
      <c r="V295" s="195" t="str">
        <f t="shared" si="43"/>
        <v/>
      </c>
      <c r="W295" s="195" t="str">
        <f>IFERROR(INDEX('Ashed teabags dry'!$K$2:$K$821,MATCH(H295,'Ashed teabags dry'!$A$2:$A$821,0)),"")</f>
        <v/>
      </c>
      <c r="X295" s="195" t="str">
        <f>IFERROR(INDEX('Ashed teabags dry'!$K$2:$K$821,MATCH(I295,'Ashed teabags dry'!$A$2:$A$821,0)),"")</f>
        <v/>
      </c>
      <c r="Y295" s="389" t="str">
        <f t="shared" si="38"/>
        <v/>
      </c>
      <c r="Z295" s="389" t="str">
        <f t="shared" si="38"/>
        <v/>
      </c>
      <c r="AA295" s="195" t="str">
        <f t="shared" si="44"/>
        <v/>
      </c>
      <c r="AB295" s="195" t="str">
        <f t="shared" si="45"/>
        <v/>
      </c>
      <c r="AC295" s="195" t="str">
        <f t="shared" si="39"/>
        <v/>
      </c>
      <c r="AD295" s="92">
        <f t="shared" si="40"/>
        <v>62</v>
      </c>
      <c r="AE295" s="195" t="str">
        <f t="shared" si="46"/>
        <v/>
      </c>
      <c r="AF295" s="195" t="str">
        <f t="shared" si="47"/>
        <v/>
      </c>
      <c r="AG295" s="255" t="str">
        <f>IF(ISNUMBER(SEARCH("C", 'Dry_Litterbag Placem_Collection'!AB222)),"YES","NO")</f>
        <v>NO</v>
      </c>
      <c r="AH295" s="255" t="str">
        <f>IF(ISNUMBER(SEARCH("H", 'Dry_Litterbag Placem_Collection'!AB222)),"YES","NO")</f>
        <v>NO</v>
      </c>
      <c r="AI295" s="255" t="str">
        <f>IF(ISNUMBER(SEARCH("R", 'Dry_Litterbag Placem_Collection'!AB222)),"YES","NO")</f>
        <v>NO</v>
      </c>
      <c r="AJ295" s="255" t="str">
        <f>IF(ISNUMBER(SEARCH("C", 'Dry_Litterbag Placem_Collection'!AA222)),"YES","NO")</f>
        <v>NO</v>
      </c>
      <c r="AK295" s="255" t="str">
        <f>IF(ISNUMBER(SEARCH("H", 'Dry_Litterbag Placem_Collection'!AA222)),"YES","NO")</f>
        <v>NO</v>
      </c>
      <c r="AL295" s="255" t="str">
        <f>IF(ISNUMBER(SEARCH("R", 'Dry_Litterbag Placem_Collection'!AA222)),"YES","NO")</f>
        <v>NO</v>
      </c>
      <c r="AR295" t="s">
        <v>2011</v>
      </c>
      <c r="AT295" t="s">
        <v>947</v>
      </c>
    </row>
    <row r="296" spans="2:46">
      <c r="B296" t="str">
        <f>'Final data_for_R_analysis_Dryse'!A442</f>
        <v>Dry</v>
      </c>
      <c r="C296" s="386">
        <f>'Final data_for_R_analysis_Dryse'!B442</f>
        <v>1</v>
      </c>
      <c r="D296" t="s">
        <v>3824</v>
      </c>
      <c r="E296" t="s">
        <v>25</v>
      </c>
      <c r="F296" s="386">
        <v>1</v>
      </c>
      <c r="G296" s="388">
        <f>'Dry_Litterbag Placem_Collection'!E3</f>
        <v>42938</v>
      </c>
      <c r="H296" s="92" t="str">
        <f>'Final data_for_R_analysis_Dryse'!J442</f>
        <v>G377</v>
      </c>
      <c r="I296" s="92" t="str">
        <f>'Final data_for_R_analysis_Dryse'!J662</f>
        <v>R204</v>
      </c>
      <c r="J296" s="92">
        <f>IFERROR(INDEX('Green_rooibos initial weight'!$C$5:$C$1749,MATCH(H296, 'Green_rooibos initial weight'!$A$5:$A$1749,0)),"")</f>
        <v>2.1030000000000002</v>
      </c>
      <c r="K296" s="92">
        <f>IFERROR(INDEX('Green_rooibos initial weight'!$C$5:$C$1749,MATCH(I296, 'Green_rooibos initial weight'!$A$5:$A$1749,0)),"")</f>
        <v>2.2290000000000001</v>
      </c>
      <c r="L296" s="195">
        <f t="shared" si="41"/>
        <v>1.8532000000000002</v>
      </c>
      <c r="M296" s="240">
        <f>AVERAGE(Ashed_controlls!$K$1:$K$11)</f>
        <v>5.5147656768714146</v>
      </c>
      <c r="N296" s="389">
        <f t="shared" si="36"/>
        <v>1.7510003624762192</v>
      </c>
      <c r="O296" s="195">
        <f t="shared" si="42"/>
        <v>1.9792000000000001</v>
      </c>
      <c r="P296" s="240">
        <f>AVERAGE(Ashed_controlls!$K$12:$K$14)</f>
        <v>2.2816647271287041</v>
      </c>
      <c r="Q296" s="389">
        <f t="shared" si="37"/>
        <v>1.9340412917206689</v>
      </c>
      <c r="R296" s="388">
        <f>IF('Dry_Litterbag Placem_Collection'!G3="N.A","",'Dry_Litterbag Placem_Collection'!G3)</f>
        <v>43007</v>
      </c>
      <c r="S296" s="195">
        <f>IF(IFERROR(INDEX('Both teabags AfterDry'!$D$1:$D$839,MATCH(H296,'Both teabags AfterDry'!$A$1:$A$839,0)),"")="N.A","",(IFERROR(INDEX('Both teabags AfterDry'!$D$1:$D$839,MATCH(H296,'Both teabags AfterDry'!$A$1:$A$839,0)),"")))</f>
        <v>1.3894</v>
      </c>
      <c r="T296" s="195">
        <f>IF(IFERROR(INDEX('Both teabags AfterDry'!$D$1:$D$839,MATCH(I296,'Both teabags AfterDry'!$A$1:$A$839,0)),"")="N.A","",(IFERROR(INDEX('Both teabags AfterDry'!$D$1:$D$839,MATCH(I296,'Both teabags AfterDry'!$A$1:$A$839,0)),"")))</f>
        <v>1.8874</v>
      </c>
      <c r="U296" s="195">
        <f t="shared" si="43"/>
        <v>1.2387999999999999</v>
      </c>
      <c r="V296" s="195">
        <f t="shared" si="43"/>
        <v>1.7367999999999999</v>
      </c>
      <c r="W296" s="195">
        <f>IFERROR(INDEX('Ashed teabags dry'!$K$2:$K$821,MATCH(H296,'Ashed teabags dry'!$A$2:$A$821,0)),"")</f>
        <v>16.862567811935126</v>
      </c>
      <c r="X296" s="195">
        <f>IFERROR(INDEX('Ashed teabags dry'!$K$2:$K$821,MATCH(I296,'Ashed teabags dry'!$A$2:$A$821,0)),"")</f>
        <v>2.3391812865495751</v>
      </c>
      <c r="Y296" s="389">
        <f t="shared" si="38"/>
        <v>1.0299065099457476</v>
      </c>
      <c r="Z296" s="389">
        <f t="shared" si="38"/>
        <v>1.6961730994152069</v>
      </c>
      <c r="AA296" s="195">
        <f t="shared" si="44"/>
        <v>0.41181822002065116</v>
      </c>
      <c r="AB296" s="195">
        <f t="shared" si="45"/>
        <v>0.26998059079738657</v>
      </c>
      <c r="AC296" s="195">
        <f t="shared" si="39"/>
        <v>0.87700976534278829</v>
      </c>
      <c r="AD296" s="92">
        <f t="shared" si="40"/>
        <v>69</v>
      </c>
      <c r="AE296" s="195">
        <f t="shared" si="46"/>
        <v>0.5109047268163287</v>
      </c>
      <c r="AF296" s="195">
        <f t="shared" si="47"/>
        <v>8.8113491353737743E-3</v>
      </c>
      <c r="AG296" s="255" t="str">
        <f>IF(ISNUMBER(SEARCH("C", 'Dry_Litterbag Placem_Collection'!AD3)),"YES","NO")</f>
        <v>NO</v>
      </c>
      <c r="AH296" s="255" t="str">
        <f>IF(ISNUMBER(SEARCH("H", 'Dry_Litterbag Placem_Collection'!AD3)),"YES","NO")</f>
        <v>NO</v>
      </c>
      <c r="AI296" s="255" t="str">
        <f>IF(ISNUMBER(SEARCH("R", 'Dry_Litterbag Placem_Collection'!AD3)),"YES","NO")</f>
        <v>NO</v>
      </c>
      <c r="AJ296" s="255" t="str">
        <f>IF(ISNUMBER(SEARCH("C", 'Dry_Litterbag Placem_Collection'!AC3)),"YES","NO")</f>
        <v>NO</v>
      </c>
      <c r="AK296" s="255" t="str">
        <f>IF(ISNUMBER(SEARCH("H", 'Dry_Litterbag Placem_Collection'!AC3)),"YES","NO")</f>
        <v>NO</v>
      </c>
      <c r="AL296" s="255" t="str">
        <f>IF(ISNUMBER(SEARCH("R", 'Dry_Litterbag Placem_Collection'!AC3)),"YES","NO")</f>
        <v>NO</v>
      </c>
      <c r="AR296" t="s">
        <v>1673</v>
      </c>
      <c r="AT296" t="s">
        <v>937</v>
      </c>
    </row>
    <row r="297" spans="2:46">
      <c r="B297" t="str">
        <f>'Final data_for_R_analysis_Dryse'!A443</f>
        <v>Dry</v>
      </c>
      <c r="C297" s="386">
        <f>'Final data_for_R_analysis_Dryse'!B443</f>
        <v>2</v>
      </c>
      <c r="D297" t="s">
        <v>3824</v>
      </c>
      <c r="E297" t="s">
        <v>25</v>
      </c>
      <c r="F297" s="386">
        <v>2</v>
      </c>
      <c r="G297" s="388">
        <f>'Dry_Litterbag Placem_Collection'!E4</f>
        <v>0</v>
      </c>
      <c r="H297" s="92" t="str">
        <f>'Final data_for_R_analysis_Dryse'!J443</f>
        <v/>
      </c>
      <c r="I297" s="92" t="str">
        <f>'Final data_for_R_analysis_Dryse'!J663</f>
        <v/>
      </c>
      <c r="J297" s="92" t="str">
        <f>IFERROR(INDEX('Green_rooibos initial weight'!$C$5:$C$1749,MATCH(H297, 'Green_rooibos initial weight'!$A$5:$A$1749,0)),"")</f>
        <v/>
      </c>
      <c r="K297" s="92" t="str">
        <f>IFERROR(INDEX('Green_rooibos initial weight'!$C$5:$C$1749,MATCH(I297, 'Green_rooibos initial weight'!$A$5:$A$1749,0)),"")</f>
        <v/>
      </c>
      <c r="L297" s="195" t="str">
        <f t="shared" si="41"/>
        <v/>
      </c>
      <c r="M297" s="240">
        <f>AVERAGE(Ashed_controlls!$K$1:$K$11)</f>
        <v>5.5147656768714146</v>
      </c>
      <c r="N297" s="389" t="str">
        <f t="shared" si="36"/>
        <v/>
      </c>
      <c r="O297" s="195" t="str">
        <f t="shared" si="42"/>
        <v/>
      </c>
      <c r="P297" s="240">
        <f>AVERAGE(Ashed_controlls!$K$12:$K$14)</f>
        <v>2.2816647271287041</v>
      </c>
      <c r="Q297" s="389" t="str">
        <f t="shared" si="37"/>
        <v/>
      </c>
      <c r="R297" s="388">
        <f>IF('Dry_Litterbag Placem_Collection'!G4="N.A","",'Dry_Litterbag Placem_Collection'!G4)</f>
        <v>0</v>
      </c>
      <c r="S297" s="195" t="str">
        <f>IF(IFERROR(INDEX('Both teabags AfterDry'!$D$1:$D$839,MATCH(H297,'Both teabags AfterDry'!$A$1:$A$839,0)),"")="N.A","",(IFERROR(INDEX('Both teabags AfterDry'!$D$1:$D$839,MATCH(H297,'Both teabags AfterDry'!$A$1:$A$839,0)),"")))</f>
        <v/>
      </c>
      <c r="T297" s="195" t="str">
        <f>IF(IFERROR(INDEX('Both teabags AfterDry'!$D$1:$D$839,MATCH(I297,'Both teabags AfterDry'!$A$1:$A$839,0)),"")="N.A","",(IFERROR(INDEX('Both teabags AfterDry'!$D$1:$D$839,MATCH(I297,'Both teabags AfterDry'!$A$1:$A$839,0)),"")))</f>
        <v/>
      </c>
      <c r="U297" s="195" t="str">
        <f t="shared" si="43"/>
        <v/>
      </c>
      <c r="V297" s="195" t="str">
        <f t="shared" si="43"/>
        <v/>
      </c>
      <c r="W297" s="195" t="str">
        <f>IFERROR(INDEX('Ashed teabags dry'!$K$2:$K$821,MATCH(H297,'Ashed teabags dry'!$A$2:$A$821,0)),"")</f>
        <v/>
      </c>
      <c r="X297" s="195" t="str">
        <f>IFERROR(INDEX('Ashed teabags dry'!$K$2:$K$821,MATCH(I297,'Ashed teabags dry'!$A$2:$A$821,0)),"")</f>
        <v/>
      </c>
      <c r="Y297" s="389" t="str">
        <f t="shared" si="38"/>
        <v/>
      </c>
      <c r="Z297" s="389" t="str">
        <f t="shared" si="38"/>
        <v/>
      </c>
      <c r="AA297" s="195" t="str">
        <f t="shared" si="44"/>
        <v/>
      </c>
      <c r="AB297" s="195" t="str">
        <f t="shared" si="45"/>
        <v/>
      </c>
      <c r="AC297" s="195" t="str">
        <f t="shared" si="39"/>
        <v/>
      </c>
      <c r="AD297" s="92" t="str">
        <f t="shared" si="40"/>
        <v/>
      </c>
      <c r="AE297" s="195" t="str">
        <f t="shared" si="46"/>
        <v/>
      </c>
      <c r="AF297" s="195" t="str">
        <f t="shared" si="47"/>
        <v/>
      </c>
      <c r="AG297" s="255" t="str">
        <f>IF(ISNUMBER(SEARCH("C", 'Dry_Litterbag Placem_Collection'!AD4)),"YES","NO")</f>
        <v>NO</v>
      </c>
      <c r="AH297" s="255" t="str">
        <f>IF(ISNUMBER(SEARCH("H", 'Dry_Litterbag Placem_Collection'!AD4)),"YES","NO")</f>
        <v>NO</v>
      </c>
      <c r="AI297" s="255" t="str">
        <f>IF(ISNUMBER(SEARCH("R", 'Dry_Litterbag Placem_Collection'!AD4)),"YES","NO")</f>
        <v>NO</v>
      </c>
      <c r="AJ297" s="255" t="str">
        <f>IF(ISNUMBER(SEARCH("C", 'Dry_Litterbag Placem_Collection'!AC4)),"YES","NO")</f>
        <v>NO</v>
      </c>
      <c r="AK297" s="255" t="str">
        <f>IF(ISNUMBER(SEARCH("H", 'Dry_Litterbag Placem_Collection'!AC4)),"YES","NO")</f>
        <v>NO</v>
      </c>
      <c r="AL297" s="255" t="str">
        <f>IF(ISNUMBER(SEARCH("R", 'Dry_Litterbag Placem_Collection'!AC4)),"YES","NO")</f>
        <v>NO</v>
      </c>
      <c r="AR297" t="s">
        <v>3654</v>
      </c>
      <c r="AT297" t="s">
        <v>3654</v>
      </c>
    </row>
    <row r="298" spans="2:46">
      <c r="B298" t="str">
        <f>'Final data_for_R_analysis_Dryse'!A444</f>
        <v>Dry</v>
      </c>
      <c r="C298" s="263">
        <f>'Final data_for_R_analysis_Dryse'!B444</f>
        <v>3</v>
      </c>
      <c r="D298" t="s">
        <v>3824</v>
      </c>
      <c r="E298" t="s">
        <v>25</v>
      </c>
      <c r="F298" s="386">
        <v>3</v>
      </c>
      <c r="G298" s="16">
        <f>'Dry_Litterbag Placem_Collection'!E5</f>
        <v>42938</v>
      </c>
      <c r="H298" s="92" t="str">
        <f>'Final data_for_R_analysis_Dryse'!J444</f>
        <v>G44</v>
      </c>
      <c r="I298" t="str">
        <f>'Final data_for_R_analysis_Dryse'!J664</f>
        <v>R283</v>
      </c>
      <c r="J298">
        <f>IFERROR(INDEX('Green_rooibos initial weight'!$C$5:$C$1749,MATCH(H298, 'Green_rooibos initial weight'!$A$5:$A$1749,0)),"")</f>
        <v>2.0680000000000001</v>
      </c>
      <c r="K298">
        <f>IFERROR(INDEX('Green_rooibos initial weight'!$C$5:$C$1749,MATCH(I298, 'Green_rooibos initial weight'!$A$5:$A$1749,0)),"")</f>
        <v>2.21</v>
      </c>
      <c r="L298" s="195">
        <f t="shared" si="41"/>
        <v>1.8182</v>
      </c>
      <c r="M298" s="240">
        <f>AVERAGE(Ashed_controlls!$K$1:$K$11)</f>
        <v>5.5147656768714146</v>
      </c>
      <c r="N298" s="195">
        <f t="shared" si="36"/>
        <v>1.7179305304631241</v>
      </c>
      <c r="O298" s="195">
        <f t="shared" si="42"/>
        <v>1.9601999999999999</v>
      </c>
      <c r="P298" s="240">
        <f>AVERAGE(Ashed_controlls!$K$12:$K$14)</f>
        <v>2.2816647271287041</v>
      </c>
      <c r="Q298" s="195">
        <f t="shared" si="37"/>
        <v>1.9154748080188231</v>
      </c>
      <c r="R298" s="16">
        <f>IF('Dry_Litterbag Placem_Collection'!G5="N.A","",'Dry_Litterbag Placem_Collection'!G5)</f>
        <v>43007</v>
      </c>
      <c r="S298" s="195">
        <f>IF(IFERROR(INDEX('Both teabags AfterDry'!$D$1:$D$839,MATCH(H298,'Both teabags AfterDry'!$A$1:$A$839,0)),"")="N.A","",(IFERROR(INDEX('Both teabags AfterDry'!$D$1:$D$839,MATCH(H298,'Both teabags AfterDry'!$A$1:$A$839,0)),"")))</f>
        <v>1.5553999999999999</v>
      </c>
      <c r="T298" s="195">
        <f>IF(IFERROR(INDEX('Both teabags AfterDry'!$D$1:$D$839,MATCH(I298,'Both teabags AfterDry'!$A$1:$A$839,0)),"")="N.A","",(IFERROR(INDEX('Both teabags AfterDry'!$D$1:$D$839,MATCH(I298,'Both teabags AfterDry'!$A$1:$A$839,0)),"")))</f>
        <v>1.9180999999999999</v>
      </c>
      <c r="U298" s="195">
        <f t="shared" si="43"/>
        <v>1.4047999999999998</v>
      </c>
      <c r="V298" s="195">
        <f t="shared" si="43"/>
        <v>1.7674999999999998</v>
      </c>
      <c r="W298" s="195">
        <f>IFERROR(INDEX('Ashed teabags dry'!$K$2:$K$821,MATCH(H298,'Ashed teabags dry'!$A$2:$A$821,0)),"")</f>
        <v>10.622710622710303</v>
      </c>
      <c r="X298" s="195">
        <f>IFERROR(INDEX('Ashed teabags dry'!$K$2:$K$821,MATCH(I298,'Ashed teabags dry'!$A$2:$A$821,0)),"")</f>
        <v>2.5675077467904308</v>
      </c>
      <c r="Y298" s="195">
        <f t="shared" si="38"/>
        <v>1.2555721611721655</v>
      </c>
      <c r="Z298" s="195">
        <f t="shared" si="38"/>
        <v>1.7221193005754789</v>
      </c>
      <c r="AA298" s="195">
        <f t="shared" si="44"/>
        <v>0.26913682543747264</v>
      </c>
      <c r="AB298" s="195">
        <f t="shared" si="45"/>
        <v>0.17644124422979202</v>
      </c>
      <c r="AC298" s="195">
        <f t="shared" si="39"/>
        <v>0.89905609479493398</v>
      </c>
      <c r="AD298">
        <f t="shared" si="40"/>
        <v>69</v>
      </c>
      <c r="AE298" s="195">
        <f t="shared" si="46"/>
        <v>0.68036006480110145</v>
      </c>
      <c r="AF298" s="195">
        <f t="shared" si="47"/>
        <v>1.2302761103499002E-2</v>
      </c>
      <c r="AG298" s="255" t="str">
        <f>IF(ISNUMBER(SEARCH("C", 'Dry_Litterbag Placem_Collection'!AD5)),"YES","NO")</f>
        <v>NO</v>
      </c>
      <c r="AH298" s="255" t="str">
        <f>IF(ISNUMBER(SEARCH("H", 'Dry_Litterbag Placem_Collection'!AD5)),"YES","NO")</f>
        <v>NO</v>
      </c>
      <c r="AI298" s="255" t="str">
        <f>IF(ISNUMBER(SEARCH("R", 'Dry_Litterbag Placem_Collection'!AD5)),"YES","NO")</f>
        <v>NO</v>
      </c>
      <c r="AJ298" s="255" t="str">
        <f>IF(ISNUMBER(SEARCH("C", 'Dry_Litterbag Placem_Collection'!AC5)),"YES","NO")</f>
        <v>NO</v>
      </c>
      <c r="AK298" s="255" t="str">
        <f>IF(ISNUMBER(SEARCH("H", 'Dry_Litterbag Placem_Collection'!AC5)),"YES","NO")</f>
        <v>NO</v>
      </c>
      <c r="AL298" s="255" t="str">
        <f>IF(ISNUMBER(SEARCH("R", 'Dry_Litterbag Placem_Collection'!AC5)),"YES","NO")</f>
        <v>NO</v>
      </c>
      <c r="AR298" t="s">
        <v>2006</v>
      </c>
      <c r="AT298" t="s">
        <v>858</v>
      </c>
    </row>
    <row r="299" spans="2:46">
      <c r="B299" t="str">
        <f>'Final data_for_R_analysis_Dryse'!A445</f>
        <v>Dry</v>
      </c>
      <c r="C299" s="263">
        <f>'Final data_for_R_analysis_Dryse'!B445</f>
        <v>4</v>
      </c>
      <c r="D299" t="s">
        <v>3824</v>
      </c>
      <c r="E299" t="s">
        <v>25</v>
      </c>
      <c r="F299" s="387">
        <v>4</v>
      </c>
      <c r="G299" s="16">
        <f>'Dry_Litterbag Placem_Collection'!E6</f>
        <v>42938</v>
      </c>
      <c r="H299" s="92" t="str">
        <f>'Final data_for_R_analysis_Dryse'!J445</f>
        <v>G357</v>
      </c>
      <c r="I299" t="str">
        <f>'Final data_for_R_analysis_Dryse'!J665</f>
        <v>R298</v>
      </c>
      <c r="J299">
        <f>IFERROR(INDEX('Green_rooibos initial weight'!$C$5:$C$1749,MATCH(H299, 'Green_rooibos initial weight'!$A$5:$A$1749,0)),"")</f>
        <v>1.996</v>
      </c>
      <c r="K299">
        <f>IFERROR(INDEX('Green_rooibos initial weight'!$C$5:$C$1749,MATCH(I299, 'Green_rooibos initial weight'!$A$5:$A$1749,0)),"")</f>
        <v>2.2229999999999999</v>
      </c>
      <c r="L299" s="195">
        <f t="shared" si="41"/>
        <v>1.7462</v>
      </c>
      <c r="M299" s="240">
        <f>AVERAGE(Ashed_controlls!$K$1:$K$11)</f>
        <v>5.5147656768714146</v>
      </c>
      <c r="N299" s="195">
        <f t="shared" si="36"/>
        <v>1.6499011617504713</v>
      </c>
      <c r="O299" s="195">
        <f t="shared" si="42"/>
        <v>1.9731999999999998</v>
      </c>
      <c r="P299" s="240">
        <f>AVERAGE(Ashed_controlls!$K$12:$K$14)</f>
        <v>2.2816647271287041</v>
      </c>
      <c r="Q299" s="195">
        <f t="shared" si="37"/>
        <v>1.9281781916042962</v>
      </c>
      <c r="R299" s="16">
        <f>IF('Dry_Litterbag Placem_Collection'!G6="N.A","",'Dry_Litterbag Placem_Collection'!G6)</f>
        <v>43007</v>
      </c>
      <c r="S299" s="195">
        <f>IF(IFERROR(INDEX('Both teabags AfterDry'!$D$1:$D$839,MATCH(H299,'Both teabags AfterDry'!$A$1:$A$839,0)),"")="N.A","",(IFERROR(INDEX('Both teabags AfterDry'!$D$1:$D$839,MATCH(H299,'Both teabags AfterDry'!$A$1:$A$839,0)),"")))</f>
        <v>1.6417999999999999</v>
      </c>
      <c r="T299" s="195">
        <f>IF(IFERROR(INDEX('Both teabags AfterDry'!$D$1:$D$839,MATCH(I299,'Both teabags AfterDry'!$A$1:$A$839,0)),"")="N.A","",(IFERROR(INDEX('Both teabags AfterDry'!$D$1:$D$839,MATCH(I299,'Both teabags AfterDry'!$A$1:$A$839,0)),"")))</f>
        <v>1.9487000000000001</v>
      </c>
      <c r="U299" s="195">
        <f t="shared" si="43"/>
        <v>1.4911999999999999</v>
      </c>
      <c r="V299" s="195">
        <f t="shared" si="43"/>
        <v>1.7981</v>
      </c>
      <c r="W299" s="195">
        <f>IFERROR(INDEX('Ashed teabags dry'!$K$2:$K$821,MATCH(H299,'Ashed teabags dry'!$A$2:$A$821,0)),"")</f>
        <v>6.3956144358153066</v>
      </c>
      <c r="X299" s="195">
        <f>IFERROR(INDEX('Ashed teabags dry'!$K$2:$K$821,MATCH(I299,'Ashed teabags dry'!$A$2:$A$821,0)),"")</f>
        <v>2.1226415094341604</v>
      </c>
      <c r="Y299" s="195">
        <f t="shared" si="38"/>
        <v>1.3958285975331219</v>
      </c>
      <c r="Z299" s="195">
        <f t="shared" si="38"/>
        <v>1.7599327830188645</v>
      </c>
      <c r="AA299" s="195">
        <f t="shared" si="44"/>
        <v>0.15399259671275689</v>
      </c>
      <c r="AB299" s="195">
        <f t="shared" si="45"/>
        <v>0.10095476649102354</v>
      </c>
      <c r="AC299" s="195">
        <f t="shared" si="39"/>
        <v>0.91274384840674561</v>
      </c>
      <c r="AD299">
        <f t="shared" si="40"/>
        <v>69</v>
      </c>
      <c r="AE299" s="195">
        <f t="shared" si="46"/>
        <v>0.81711093026988491</v>
      </c>
      <c r="AF299" s="195">
        <f t="shared" si="47"/>
        <v>2.8947504849692458E-2</v>
      </c>
      <c r="AG299" s="255" t="str">
        <f>IF(ISNUMBER(SEARCH("C", 'Dry_Litterbag Placem_Collection'!AD6)),"YES","NO")</f>
        <v>NO</v>
      </c>
      <c r="AH299" s="255" t="str">
        <f>IF(ISNUMBER(SEARCH("H", 'Dry_Litterbag Placem_Collection'!AD6)),"YES","NO")</f>
        <v>NO</v>
      </c>
      <c r="AI299" s="255" t="str">
        <f>IF(ISNUMBER(SEARCH("R", 'Dry_Litterbag Placem_Collection'!AD6)),"YES","NO")</f>
        <v>NO</v>
      </c>
      <c r="AJ299" s="255" t="str">
        <f>IF(ISNUMBER(SEARCH("C", 'Dry_Litterbag Placem_Collection'!AC6)),"YES","NO")</f>
        <v>NO</v>
      </c>
      <c r="AK299" s="255" t="str">
        <f>IF(ISNUMBER(SEARCH("H", 'Dry_Litterbag Placem_Collection'!AC6)),"YES","NO")</f>
        <v>NO</v>
      </c>
      <c r="AL299" s="255" t="str">
        <f>IF(ISNUMBER(SEARCH("R", 'Dry_Litterbag Placem_Collection'!AC6)),"YES","NO")</f>
        <v>NO</v>
      </c>
      <c r="AR299" t="s">
        <v>1693</v>
      </c>
      <c r="AT299" t="s">
        <v>843</v>
      </c>
    </row>
    <row r="300" spans="2:46">
      <c r="B300" t="str">
        <f>'Final data_for_R_analysis_Dryse'!A446</f>
        <v>Dry</v>
      </c>
      <c r="C300" s="263">
        <f>'Final data_for_R_analysis_Dryse'!B446</f>
        <v>5</v>
      </c>
      <c r="D300" t="s">
        <v>3824</v>
      </c>
      <c r="E300" t="s">
        <v>25</v>
      </c>
      <c r="F300" s="387">
        <v>5</v>
      </c>
      <c r="G300" s="16">
        <f>'Dry_Litterbag Placem_Collection'!E7</f>
        <v>42938</v>
      </c>
      <c r="H300" s="92" t="str">
        <f>'Final data_for_R_analysis_Dryse'!J446</f>
        <v>G734</v>
      </c>
      <c r="I300" t="str">
        <f>'Final data_for_R_analysis_Dryse'!J666</f>
        <v>R226</v>
      </c>
      <c r="J300">
        <f>IFERROR(INDEX('Green_rooibos initial weight'!$C$5:$C$1749,MATCH(H300, 'Green_rooibos initial weight'!$A$5:$A$1749,0)),"")</f>
        <v>1.9870000000000001</v>
      </c>
      <c r="K300">
        <f>IFERROR(INDEX('Green_rooibos initial weight'!$C$5:$C$1749,MATCH(I300, 'Green_rooibos initial weight'!$A$5:$A$1749,0)),"")</f>
        <v>2.2410000000000001</v>
      </c>
      <c r="L300" s="195">
        <f t="shared" si="41"/>
        <v>1.7372000000000001</v>
      </c>
      <c r="M300" s="240">
        <f>AVERAGE(Ashed_controlls!$K$1:$K$11)</f>
        <v>5.5147656768714146</v>
      </c>
      <c r="N300" s="195">
        <f t="shared" si="36"/>
        <v>1.64139749066139</v>
      </c>
      <c r="O300" s="195">
        <f t="shared" si="42"/>
        <v>1.9912000000000001</v>
      </c>
      <c r="P300" s="240">
        <f>AVERAGE(Ashed_controlls!$K$12:$K$14)</f>
        <v>2.2816647271287041</v>
      </c>
      <c r="Q300" s="195">
        <f t="shared" si="37"/>
        <v>1.9457674919534134</v>
      </c>
      <c r="R300" s="16">
        <f>IF('Dry_Litterbag Placem_Collection'!G7="N.A","",'Dry_Litterbag Placem_Collection'!G7)</f>
        <v>0</v>
      </c>
      <c r="S300" s="195" t="str">
        <f>IF(IFERROR(INDEX('Both teabags AfterDry'!$D$1:$D$839,MATCH(H300,'Both teabags AfterDry'!$A$1:$A$839,0)),"")="N.A","",(IFERROR(INDEX('Both teabags AfterDry'!$D$1:$D$839,MATCH(H300,'Both teabags AfterDry'!$A$1:$A$839,0)),"")))</f>
        <v/>
      </c>
      <c r="T300" s="195" t="str">
        <f>IF(IFERROR(INDEX('Both teabags AfterDry'!$D$1:$D$839,MATCH(I300,'Both teabags AfterDry'!$A$1:$A$839,0)),"")="N.A","",(IFERROR(INDEX('Both teabags AfterDry'!$D$1:$D$839,MATCH(I300,'Both teabags AfterDry'!$A$1:$A$839,0)),"")))</f>
        <v/>
      </c>
      <c r="U300" s="195" t="str">
        <f t="shared" si="43"/>
        <v/>
      </c>
      <c r="V300" s="195" t="str">
        <f t="shared" si="43"/>
        <v/>
      </c>
      <c r="W300" s="195" t="str">
        <f>IFERROR(INDEX('Ashed teabags dry'!$K$2:$K$821,MATCH(H300,'Ashed teabags dry'!$A$2:$A$821,0)),"")</f>
        <v/>
      </c>
      <c r="X300" s="195" t="str">
        <f>IFERROR(INDEX('Ashed teabags dry'!$K$2:$K$821,MATCH(I300,'Ashed teabags dry'!$A$2:$A$821,0)),"")</f>
        <v/>
      </c>
      <c r="Y300" s="195" t="str">
        <f t="shared" si="38"/>
        <v/>
      </c>
      <c r="Z300" s="195" t="str">
        <f t="shared" si="38"/>
        <v/>
      </c>
      <c r="AA300" s="195" t="str">
        <f t="shared" si="44"/>
        <v/>
      </c>
      <c r="AB300" s="195" t="str">
        <f t="shared" si="45"/>
        <v/>
      </c>
      <c r="AC300" s="195" t="str">
        <f t="shared" si="39"/>
        <v/>
      </c>
      <c r="AD300" t="str">
        <f t="shared" si="40"/>
        <v/>
      </c>
      <c r="AE300" s="195" t="str">
        <f t="shared" si="46"/>
        <v/>
      </c>
      <c r="AF300" s="195" t="str">
        <f t="shared" si="47"/>
        <v/>
      </c>
      <c r="AG300" s="255" t="str">
        <f>IF(ISNUMBER(SEARCH("C", 'Dry_Litterbag Placem_Collection'!AD7)),"YES","NO")</f>
        <v>NO</v>
      </c>
      <c r="AH300" s="255" t="str">
        <f>IF(ISNUMBER(SEARCH("H", 'Dry_Litterbag Placem_Collection'!AD7)),"YES","NO")</f>
        <v>NO</v>
      </c>
      <c r="AI300" s="255" t="str">
        <f>IF(ISNUMBER(SEARCH("R", 'Dry_Litterbag Placem_Collection'!AD7)),"YES","NO")</f>
        <v>NO</v>
      </c>
      <c r="AJ300" s="255" t="str">
        <f>IF(ISNUMBER(SEARCH("C", 'Dry_Litterbag Placem_Collection'!AC7)),"YES","NO")</f>
        <v>NO</v>
      </c>
      <c r="AK300" s="255" t="str">
        <f>IF(ISNUMBER(SEARCH("H", 'Dry_Litterbag Placem_Collection'!AC7)),"YES","NO")</f>
        <v>NO</v>
      </c>
      <c r="AL300" s="255" t="str">
        <f>IF(ISNUMBER(SEARCH("R", 'Dry_Litterbag Placem_Collection'!AC7)),"YES","NO")</f>
        <v>NO</v>
      </c>
      <c r="AR300" t="s">
        <v>1316</v>
      </c>
      <c r="AT300" t="s">
        <v>915</v>
      </c>
    </row>
    <row r="301" spans="2:46">
      <c r="B301" t="str">
        <f>'Final data_for_R_analysis_Dryse'!A447</f>
        <v>Dry</v>
      </c>
      <c r="C301" s="263">
        <f>'Final data_for_R_analysis_Dryse'!B447</f>
        <v>6</v>
      </c>
      <c r="D301" t="s">
        <v>3824</v>
      </c>
      <c r="E301" t="s">
        <v>25</v>
      </c>
      <c r="F301" s="387">
        <v>6</v>
      </c>
      <c r="G301" s="16">
        <f>'Dry_Litterbag Placem_Collection'!E8</f>
        <v>42938</v>
      </c>
      <c r="H301" s="92" t="str">
        <f>'Final data_for_R_analysis_Dryse'!J447</f>
        <v>G164</v>
      </c>
      <c r="I301" t="str">
        <f>'Final data_for_R_analysis_Dryse'!J667</f>
        <v>R286</v>
      </c>
      <c r="J301">
        <f>IFERROR(INDEX('Green_rooibos initial weight'!$C$5:$C$1749,MATCH(H301, 'Green_rooibos initial weight'!$A$5:$A$1749,0)),"")</f>
        <v>1.994</v>
      </c>
      <c r="K301">
        <f>IFERROR(INDEX('Green_rooibos initial weight'!$C$5:$C$1749,MATCH(I301, 'Green_rooibos initial weight'!$A$5:$A$1749,0)),"")</f>
        <v>2.2160000000000002</v>
      </c>
      <c r="L301" s="195">
        <f t="shared" si="41"/>
        <v>1.7442</v>
      </c>
      <c r="M301" s="240">
        <f>AVERAGE(Ashed_controlls!$K$1:$K$11)</f>
        <v>5.5147656768714146</v>
      </c>
      <c r="N301" s="195">
        <f t="shared" si="36"/>
        <v>1.6480114570640088</v>
      </c>
      <c r="O301" s="195">
        <f t="shared" si="42"/>
        <v>1.9662000000000002</v>
      </c>
      <c r="P301" s="240">
        <f>AVERAGE(Ashed_controlls!$K$12:$K$14)</f>
        <v>2.2816647271287041</v>
      </c>
      <c r="Q301" s="195">
        <f t="shared" si="37"/>
        <v>1.9213379081351956</v>
      </c>
      <c r="R301" s="16">
        <f>IF('Dry_Litterbag Placem_Collection'!G8="N.A","",'Dry_Litterbag Placem_Collection'!G8)</f>
        <v>43007</v>
      </c>
      <c r="S301" s="195" t="str">
        <f>IF(IFERROR(INDEX('Both teabags AfterDry'!$D$1:$D$839,MATCH(H301,'Both teabags AfterDry'!$A$1:$A$839,0)),"")="N.A","",(IFERROR(INDEX('Both teabags AfterDry'!$D$1:$D$839,MATCH(H301,'Both teabags AfterDry'!$A$1:$A$839,0)),"")))</f>
        <v/>
      </c>
      <c r="T301" s="195" t="str">
        <f>IF(IFERROR(INDEX('Both teabags AfterDry'!$D$1:$D$839,MATCH(I301,'Both teabags AfterDry'!$A$1:$A$839,0)),"")="N.A","",(IFERROR(INDEX('Both teabags AfterDry'!$D$1:$D$839,MATCH(I301,'Both teabags AfterDry'!$A$1:$A$839,0)),"")))</f>
        <v/>
      </c>
      <c r="U301" s="195" t="str">
        <f t="shared" si="43"/>
        <v/>
      </c>
      <c r="V301" s="195" t="str">
        <f t="shared" si="43"/>
        <v/>
      </c>
      <c r="W301" s="195" t="str">
        <f>IFERROR(INDEX('Ashed teabags dry'!$K$2:$K$821,MATCH(H301,'Ashed teabags dry'!$A$2:$A$821,0)),"")</f>
        <v/>
      </c>
      <c r="X301" s="195" t="str">
        <f>IFERROR(INDEX('Ashed teabags dry'!$K$2:$K$821,MATCH(I301,'Ashed teabags dry'!$A$2:$A$821,0)),"")</f>
        <v/>
      </c>
      <c r="Y301" s="195" t="str">
        <f t="shared" si="38"/>
        <v/>
      </c>
      <c r="Z301" s="195" t="str">
        <f t="shared" si="38"/>
        <v/>
      </c>
      <c r="AA301" s="195" t="str">
        <f t="shared" si="44"/>
        <v/>
      </c>
      <c r="AB301" s="195" t="str">
        <f t="shared" si="45"/>
        <v/>
      </c>
      <c r="AC301" s="195" t="str">
        <f t="shared" si="39"/>
        <v/>
      </c>
      <c r="AD301">
        <f t="shared" si="40"/>
        <v>69</v>
      </c>
      <c r="AE301" s="195" t="str">
        <f t="shared" si="46"/>
        <v/>
      </c>
      <c r="AF301" s="195" t="str">
        <f t="shared" si="47"/>
        <v/>
      </c>
      <c r="AG301" s="255" t="str">
        <f>IF(ISNUMBER(SEARCH("C", 'Dry_Litterbag Placem_Collection'!AD8)),"YES","NO")</f>
        <v>NO</v>
      </c>
      <c r="AH301" s="255" t="str">
        <f>IF(ISNUMBER(SEARCH("H", 'Dry_Litterbag Placem_Collection'!AD8)),"YES","NO")</f>
        <v>NO</v>
      </c>
      <c r="AI301" s="255" t="str">
        <f>IF(ISNUMBER(SEARCH("R", 'Dry_Litterbag Placem_Collection'!AD8)),"YES","NO")</f>
        <v>NO</v>
      </c>
      <c r="AJ301" s="255" t="str">
        <f>IF(ISNUMBER(SEARCH("C", 'Dry_Litterbag Placem_Collection'!AC8)),"YES","NO")</f>
        <v>NO</v>
      </c>
      <c r="AK301" s="255" t="str">
        <f>IF(ISNUMBER(SEARCH("H", 'Dry_Litterbag Placem_Collection'!AC8)),"YES","NO")</f>
        <v>NO</v>
      </c>
      <c r="AL301" s="255" t="str">
        <f>IF(ISNUMBER(SEARCH("R", 'Dry_Litterbag Placem_Collection'!AC8)),"YES","NO")</f>
        <v>NO</v>
      </c>
      <c r="AR301" t="s">
        <v>1886</v>
      </c>
      <c r="AT301" t="s">
        <v>855</v>
      </c>
    </row>
    <row r="302" spans="2:46">
      <c r="B302" t="str">
        <f>'Final data_for_R_analysis_Dryse'!A448</f>
        <v>Dry</v>
      </c>
      <c r="C302" s="263">
        <f>'Final data_for_R_analysis_Dryse'!B448</f>
        <v>7</v>
      </c>
      <c r="D302" t="s">
        <v>3824</v>
      </c>
      <c r="E302" t="s">
        <v>25</v>
      </c>
      <c r="F302" s="387">
        <v>7</v>
      </c>
      <c r="G302" s="16">
        <f>'Dry_Litterbag Placem_Collection'!E9</f>
        <v>42938</v>
      </c>
      <c r="H302" s="92" t="str">
        <f>'Final data_for_R_analysis_Dryse'!J448</f>
        <v>G776</v>
      </c>
      <c r="I302" t="str">
        <f>'Final data_for_R_analysis_Dryse'!J668</f>
        <v>R210</v>
      </c>
      <c r="J302">
        <f>IFERROR(INDEX('Green_rooibos initial weight'!$C$5:$C$1749,MATCH(H302, 'Green_rooibos initial weight'!$A$5:$A$1749,0)),"")</f>
        <v>1.9790000000000001</v>
      </c>
      <c r="K302">
        <f>IFERROR(INDEX('Green_rooibos initial weight'!$C$5:$C$1749,MATCH(I302, 'Green_rooibos initial weight'!$A$5:$A$1749,0)),"")</f>
        <v>2.2429999999999999</v>
      </c>
      <c r="L302" s="195">
        <f t="shared" si="41"/>
        <v>1.7292000000000001</v>
      </c>
      <c r="M302" s="240">
        <f>AVERAGE(Ashed_controlls!$K$1:$K$11)</f>
        <v>5.5147656768714146</v>
      </c>
      <c r="N302" s="195">
        <f t="shared" si="36"/>
        <v>1.6338386719155396</v>
      </c>
      <c r="O302" s="195">
        <f t="shared" si="42"/>
        <v>1.9931999999999999</v>
      </c>
      <c r="P302" s="240">
        <f>AVERAGE(Ashed_controlls!$K$12:$K$14)</f>
        <v>2.2816647271287041</v>
      </c>
      <c r="Q302" s="195">
        <f t="shared" si="37"/>
        <v>1.9477218586588705</v>
      </c>
      <c r="R302" s="16">
        <f>IF('Dry_Litterbag Placem_Collection'!G9="N.A","",'Dry_Litterbag Placem_Collection'!G9)</f>
        <v>43007</v>
      </c>
      <c r="S302" s="195">
        <f>IF(IFERROR(INDEX('Both teabags AfterDry'!$D$1:$D$839,MATCH(H302,'Both teabags AfterDry'!$A$1:$A$839,0)),"")="N.A","",(IFERROR(INDEX('Both teabags AfterDry'!$D$1:$D$839,MATCH(H302,'Both teabags AfterDry'!$A$1:$A$839,0)),"")))</f>
        <v>1.8093999999999999</v>
      </c>
      <c r="T302" s="195">
        <f>IF(IFERROR(INDEX('Both teabags AfterDry'!$D$1:$D$839,MATCH(I302,'Both teabags AfterDry'!$A$1:$A$839,0)),"")="N.A","",(IFERROR(INDEX('Both teabags AfterDry'!$D$1:$D$839,MATCH(I302,'Both teabags AfterDry'!$A$1:$A$839,0)),"")))</f>
        <v>2.0261</v>
      </c>
      <c r="U302" s="195">
        <f t="shared" si="43"/>
        <v>1.6587999999999998</v>
      </c>
      <c r="V302" s="195">
        <f t="shared" si="43"/>
        <v>1.8754999999999999</v>
      </c>
      <c r="W302" s="195">
        <f>IFERROR(INDEX('Ashed teabags dry'!$K$2:$K$821,MATCH(H302,'Ashed teabags dry'!$A$2:$A$821,0)),"")</f>
        <v>5.924510272335799</v>
      </c>
      <c r="X302" s="195">
        <f>IFERROR(INDEX('Ashed teabags dry'!$K$2:$K$821,MATCH(I302,'Ashed teabags dry'!$A$2:$A$821,0)),"")</f>
        <v>3.0331753554506005</v>
      </c>
      <c r="Y302" s="195">
        <f t="shared" si="38"/>
        <v>1.5605242236024937</v>
      </c>
      <c r="Z302" s="195">
        <f t="shared" si="38"/>
        <v>1.8186127962085239</v>
      </c>
      <c r="AA302" s="195">
        <f t="shared" si="44"/>
        <v>4.4872513775849665E-2</v>
      </c>
      <c r="AB302" s="195">
        <f t="shared" si="45"/>
        <v>2.9417609981317146E-2</v>
      </c>
      <c r="AC302" s="195">
        <f t="shared" si="39"/>
        <v>0.93371278251236223</v>
      </c>
      <c r="AD302">
        <f t="shared" si="40"/>
        <v>69</v>
      </c>
      <c r="AE302" s="195">
        <f t="shared" si="46"/>
        <v>0.94670722829471532</v>
      </c>
      <c r="AF302" s="195" t="str">
        <f t="shared" si="47"/>
        <v/>
      </c>
      <c r="AG302" s="255" t="str">
        <f>IF(ISNUMBER(SEARCH("C", 'Dry_Litterbag Placem_Collection'!AD9)),"YES","NO")</f>
        <v>NO</v>
      </c>
      <c r="AH302" s="255" t="str">
        <f>IF(ISNUMBER(SEARCH("H", 'Dry_Litterbag Placem_Collection'!AD9)),"YES","NO")</f>
        <v>NO</v>
      </c>
      <c r="AI302" s="255" t="str">
        <f>IF(ISNUMBER(SEARCH("R", 'Dry_Litterbag Placem_Collection'!AD9)),"YES","NO")</f>
        <v>NO</v>
      </c>
      <c r="AJ302" s="255" t="str">
        <f>IF(ISNUMBER(SEARCH("C", 'Dry_Litterbag Placem_Collection'!AC9)),"YES","NO")</f>
        <v>NO</v>
      </c>
      <c r="AK302" s="255" t="str">
        <f>IF(ISNUMBER(SEARCH("H", 'Dry_Litterbag Placem_Collection'!AC9)),"YES","NO")</f>
        <v>NO</v>
      </c>
      <c r="AL302" s="255" t="str">
        <f>IF(ISNUMBER(SEARCH("R", 'Dry_Litterbag Placem_Collection'!AC9)),"YES","NO")</f>
        <v>NO</v>
      </c>
      <c r="AR302" t="s">
        <v>1274</v>
      </c>
      <c r="AT302" t="s">
        <v>931</v>
      </c>
    </row>
    <row r="303" spans="2:46">
      <c r="B303" t="str">
        <f>'Final data_for_R_analysis_Dryse'!A449</f>
        <v>Dry</v>
      </c>
      <c r="C303" s="263">
        <f>'Final data_for_R_analysis_Dryse'!B449</f>
        <v>8</v>
      </c>
      <c r="D303" t="s">
        <v>3824</v>
      </c>
      <c r="E303" t="s">
        <v>25</v>
      </c>
      <c r="F303" s="387">
        <v>8</v>
      </c>
      <c r="G303" s="16">
        <f>'Dry_Litterbag Placem_Collection'!E10</f>
        <v>42938</v>
      </c>
      <c r="H303" s="92" t="str">
        <f>'Final data_for_R_analysis_Dryse'!J449</f>
        <v>G23</v>
      </c>
      <c r="I303" t="str">
        <f>'Final data_for_R_analysis_Dryse'!J669</f>
        <v>R213</v>
      </c>
      <c r="J303">
        <f>IFERROR(INDEX('Green_rooibos initial weight'!$C$5:$C$1749,MATCH(H303, 'Green_rooibos initial weight'!$A$5:$A$1749,0)),"")</f>
        <v>2.0750000000000002</v>
      </c>
      <c r="K303">
        <f>IFERROR(INDEX('Green_rooibos initial weight'!$C$5:$C$1749,MATCH(I303, 'Green_rooibos initial weight'!$A$5:$A$1749,0)),"")</f>
        <v>2.254</v>
      </c>
      <c r="L303" s="195">
        <f t="shared" si="41"/>
        <v>1.8252000000000002</v>
      </c>
      <c r="M303" s="240">
        <f>AVERAGE(Ashed_controlls!$K$1:$K$11)</f>
        <v>5.5147656768714146</v>
      </c>
      <c r="N303" s="195">
        <f t="shared" si="36"/>
        <v>1.7245444968657431</v>
      </c>
      <c r="O303" s="195">
        <f t="shared" si="42"/>
        <v>2.0042</v>
      </c>
      <c r="P303" s="240">
        <f>AVERAGE(Ashed_controlls!$K$12:$K$14)</f>
        <v>2.2816647271287041</v>
      </c>
      <c r="Q303" s="195">
        <f t="shared" si="37"/>
        <v>1.9584708755388864</v>
      </c>
      <c r="R303" s="16">
        <f>IF('Dry_Litterbag Placem_Collection'!G10="N.A","",'Dry_Litterbag Placem_Collection'!G10)</f>
        <v>43007</v>
      </c>
      <c r="S303" s="195">
        <f>IF(IFERROR(INDEX('Both teabags AfterDry'!$D$1:$D$839,MATCH(H303,'Both teabags AfterDry'!$A$1:$A$839,0)),"")="N.A","",(IFERROR(INDEX('Both teabags AfterDry'!$D$1:$D$839,MATCH(H303,'Both teabags AfterDry'!$A$1:$A$839,0)),"")))</f>
        <v>0.94159999999999999</v>
      </c>
      <c r="T303" s="195">
        <f>IF(IFERROR(INDEX('Both teabags AfterDry'!$D$1:$D$839,MATCH(I303,'Both teabags AfterDry'!$A$1:$A$839,0)),"")="N.A","",(IFERROR(INDEX('Both teabags AfterDry'!$D$1:$D$839,MATCH(I303,'Both teabags AfterDry'!$A$1:$A$839,0)),"")))</f>
        <v>1.7698</v>
      </c>
      <c r="U303" s="195">
        <f t="shared" si="43"/>
        <v>0.79099999999999993</v>
      </c>
      <c r="V303" s="195">
        <f t="shared" si="43"/>
        <v>1.6192</v>
      </c>
      <c r="W303" s="195">
        <f>IFERROR(INDEX('Ashed teabags dry'!$K$2:$K$821,MATCH(H303,'Ashed teabags dry'!$A$2:$A$821,0)),"")</f>
        <v>19.020979020979762</v>
      </c>
      <c r="X303" s="195">
        <f>IFERROR(INDEX('Ashed teabags dry'!$K$2:$K$821,MATCH(I303,'Ashed teabags dry'!$A$2:$A$821,0)),"")</f>
        <v>2.3334747560458351</v>
      </c>
      <c r="Y303" s="195">
        <f t="shared" si="38"/>
        <v>0.64054405594405006</v>
      </c>
      <c r="Z303" s="195">
        <f t="shared" si="38"/>
        <v>1.5814163767501057</v>
      </c>
      <c r="AA303" s="195">
        <f t="shared" si="44"/>
        <v>0.62857203330606959</v>
      </c>
      <c r="AB303" s="195">
        <f t="shared" si="45"/>
        <v>0.41208047789186514</v>
      </c>
      <c r="AC303" s="195">
        <f t="shared" si="39"/>
        <v>0.80747505439158929</v>
      </c>
      <c r="AD303">
        <f t="shared" si="40"/>
        <v>69</v>
      </c>
      <c r="AE303" s="195">
        <f t="shared" si="46"/>
        <v>0.25347739512343281</v>
      </c>
      <c r="AF303" s="195">
        <f t="shared" si="47"/>
        <v>9.1248328983769104E-3</v>
      </c>
      <c r="AG303" s="255" t="str">
        <f>IF(ISNUMBER(SEARCH("C", 'Dry_Litterbag Placem_Collection'!AD10)),"YES","NO")</f>
        <v>NO</v>
      </c>
      <c r="AH303" s="255" t="str">
        <f>IF(ISNUMBER(SEARCH("H", 'Dry_Litterbag Placem_Collection'!AD10)),"YES","NO")</f>
        <v>NO</v>
      </c>
      <c r="AI303" s="255" t="str">
        <f>IF(ISNUMBER(SEARCH("R", 'Dry_Litterbag Placem_Collection'!AD10)),"YES","NO")</f>
        <v>NO</v>
      </c>
      <c r="AJ303" s="255" t="str">
        <f>IF(ISNUMBER(SEARCH("C", 'Dry_Litterbag Placem_Collection'!AC10)),"YES","NO")</f>
        <v>NO</v>
      </c>
      <c r="AK303" s="255" t="str">
        <f>IF(ISNUMBER(SEARCH("H", 'Dry_Litterbag Placem_Collection'!AC10)),"YES","NO")</f>
        <v>NO</v>
      </c>
      <c r="AL303" s="255" t="str">
        <f>IF(ISNUMBER(SEARCH("R", 'Dry_Litterbag Placem_Collection'!AC10)),"YES","NO")</f>
        <v>NO</v>
      </c>
      <c r="AR303" t="s">
        <v>2027</v>
      </c>
      <c r="AT303" t="s">
        <v>928</v>
      </c>
    </row>
    <row r="304" spans="2:46">
      <c r="B304" t="str">
        <f>'Final data_for_R_analysis_Dryse'!A450</f>
        <v>Dry</v>
      </c>
      <c r="C304" s="263">
        <f>'Final data_for_R_analysis_Dryse'!B450</f>
        <v>9</v>
      </c>
      <c r="D304" t="s">
        <v>3828</v>
      </c>
      <c r="E304" t="s">
        <v>25</v>
      </c>
      <c r="F304" s="386">
        <v>1</v>
      </c>
      <c r="G304" s="16">
        <f>'Dry_Litterbag Placem_Collection'!E11</f>
        <v>42938</v>
      </c>
      <c r="H304" s="92" t="str">
        <f>'Final data_for_R_analysis_Dryse'!J450</f>
        <v>G570</v>
      </c>
      <c r="I304" t="str">
        <f>'Final data_for_R_analysis_Dryse'!J670</f>
        <v>R704</v>
      </c>
      <c r="J304">
        <f>IFERROR(INDEX('Green_rooibos initial weight'!$C$5:$C$1749,MATCH(H304, 'Green_rooibos initial weight'!$A$5:$A$1749,0)),"")</f>
        <v>2.1040000000000001</v>
      </c>
      <c r="K304">
        <f>IFERROR(INDEX('Green_rooibos initial weight'!$C$5:$C$1749,MATCH(I304, 'Green_rooibos initial weight'!$A$5:$A$1749,0)),"")</f>
        <v>2.1480000000000001</v>
      </c>
      <c r="L304" s="195">
        <f t="shared" si="41"/>
        <v>1.8542000000000001</v>
      </c>
      <c r="M304" s="240">
        <f>AVERAGE(Ashed_controlls!$K$1:$K$11)</f>
        <v>5.5147656768714146</v>
      </c>
      <c r="N304" s="195">
        <f t="shared" si="36"/>
        <v>1.7519452148194503</v>
      </c>
      <c r="O304" s="195">
        <f t="shared" si="42"/>
        <v>1.8982000000000001</v>
      </c>
      <c r="P304" s="240">
        <f>AVERAGE(Ashed_controlls!$K$12:$K$14)</f>
        <v>2.2816647271287041</v>
      </c>
      <c r="Q304" s="195">
        <f t="shared" si="37"/>
        <v>1.854889440149643</v>
      </c>
      <c r="R304" s="16">
        <f>IF('Dry_Litterbag Placem_Collection'!G11="N.A","",'Dry_Litterbag Placem_Collection'!G11)</f>
        <v>43007</v>
      </c>
      <c r="S304" s="195">
        <f>IF(IFERROR(INDEX('Both teabags AfterDry'!$D$1:$D$839,MATCH(H304,'Both teabags AfterDry'!$A$1:$A$839,0)),"")="N.A","",(IFERROR(INDEX('Both teabags AfterDry'!$D$1:$D$839,MATCH(H304,'Both teabags AfterDry'!$A$1:$A$839,0)),"")))</f>
        <v>1.9100999999999999</v>
      </c>
      <c r="T304" s="195">
        <f>IF(IFERROR(INDEX('Both teabags AfterDry'!$D$1:$D$839,MATCH(I304,'Both teabags AfterDry'!$A$1:$A$839,0)),"")="N.A","",(IFERROR(INDEX('Both teabags AfterDry'!$D$1:$D$839,MATCH(I304,'Both teabags AfterDry'!$A$1:$A$839,0)),"")))</f>
        <v>1.9311</v>
      </c>
      <c r="U304" s="195">
        <f t="shared" si="43"/>
        <v>1.7594999999999998</v>
      </c>
      <c r="V304" s="195">
        <f t="shared" si="43"/>
        <v>1.7805</v>
      </c>
      <c r="W304" s="195">
        <f>IFERROR(INDEX('Ashed teabags dry'!$K$2:$K$821,MATCH(H304,'Ashed teabags dry'!$A$2:$A$821,0)),"")</f>
        <v>5.923344947734277</v>
      </c>
      <c r="X304" s="195">
        <f>IFERROR(INDEX('Ashed teabags dry'!$K$2:$K$821,MATCH(I304,'Ashed teabags dry'!$A$2:$A$821,0)),"")</f>
        <v>2.4847632442568237</v>
      </c>
      <c r="Y304" s="195">
        <f t="shared" si="38"/>
        <v>1.6552787456446152</v>
      </c>
      <c r="Z304" s="195">
        <f t="shared" si="38"/>
        <v>1.7362587904360072</v>
      </c>
      <c r="AA304" s="195">
        <f t="shared" si="44"/>
        <v>5.5176650706396213E-2</v>
      </c>
      <c r="AB304" s="195">
        <f t="shared" si="45"/>
        <v>3.6172816140060238E-2</v>
      </c>
      <c r="AC304" s="195">
        <f t="shared" si="39"/>
        <v>0.93604435545006648</v>
      </c>
      <c r="AD304">
        <f t="shared" si="40"/>
        <v>69</v>
      </c>
      <c r="AE304" s="195">
        <f t="shared" si="46"/>
        <v>0.93446953597815174</v>
      </c>
      <c r="AF304" s="195" t="str">
        <f t="shared" si="47"/>
        <v/>
      </c>
      <c r="AG304" s="255" t="str">
        <f>IF(ISNUMBER(SEARCH("C", 'Dry_Litterbag Placem_Collection'!AD11)),"YES","NO")</f>
        <v>NO</v>
      </c>
      <c r="AH304" s="255" t="str">
        <f>IF(ISNUMBER(SEARCH("H", 'Dry_Litterbag Placem_Collection'!AD11)),"YES","NO")</f>
        <v>NO</v>
      </c>
      <c r="AI304" s="255" t="str">
        <f>IF(ISNUMBER(SEARCH("R", 'Dry_Litterbag Placem_Collection'!AD11)),"YES","NO")</f>
        <v>NO</v>
      </c>
      <c r="AJ304" s="255" t="str">
        <f>IF(ISNUMBER(SEARCH("C", 'Dry_Litterbag Placem_Collection'!AC11)),"YES","NO")</f>
        <v>NO</v>
      </c>
      <c r="AK304" s="255" t="str">
        <f>IF(ISNUMBER(SEARCH("H", 'Dry_Litterbag Placem_Collection'!AC11)),"YES","NO")</f>
        <v>NO</v>
      </c>
      <c r="AL304" s="255" t="str">
        <f>IF(ISNUMBER(SEARCH("R", 'Dry_Litterbag Placem_Collection'!AC11)),"YES","NO")</f>
        <v>NO</v>
      </c>
      <c r="AR304" t="s">
        <v>1480</v>
      </c>
      <c r="AT304" t="s">
        <v>435</v>
      </c>
    </row>
    <row r="305" spans="2:46">
      <c r="B305" t="str">
        <f>'Final data_for_R_analysis_Dryse'!A451</f>
        <v>Dry</v>
      </c>
      <c r="C305" s="263">
        <f>'Final data_for_R_analysis_Dryse'!B451</f>
        <v>10</v>
      </c>
      <c r="D305" t="s">
        <v>3828</v>
      </c>
      <c r="E305" t="s">
        <v>25</v>
      </c>
      <c r="F305" s="386">
        <v>2</v>
      </c>
      <c r="G305" s="16">
        <f>'Dry_Litterbag Placem_Collection'!E12</f>
        <v>42938</v>
      </c>
      <c r="H305" s="92" t="str">
        <f>'Final data_for_R_analysis_Dryse'!J451</f>
        <v>G642</v>
      </c>
      <c r="I305" t="str">
        <f>'Final data_for_R_analysis_Dryse'!J671</f>
        <v>R355</v>
      </c>
      <c r="J305">
        <f>IFERROR(INDEX('Green_rooibos initial weight'!$C$5:$C$1749,MATCH(H305, 'Green_rooibos initial weight'!$A$5:$A$1749,0)),"")</f>
        <v>2.1269999999999998</v>
      </c>
      <c r="K305">
        <f>IFERROR(INDEX('Green_rooibos initial weight'!$C$5:$C$1749,MATCH(I305, 'Green_rooibos initial weight'!$A$5:$A$1749,0)),"")</f>
        <v>2.1850000000000001</v>
      </c>
      <c r="L305" s="195">
        <f t="shared" si="41"/>
        <v>1.8771999999999998</v>
      </c>
      <c r="M305" s="240">
        <f>AVERAGE(Ashed_controlls!$K$1:$K$11)</f>
        <v>5.5147656768714146</v>
      </c>
      <c r="N305" s="195">
        <f t="shared" si="36"/>
        <v>1.7736768187137695</v>
      </c>
      <c r="O305" s="195">
        <f t="shared" si="42"/>
        <v>1.9352</v>
      </c>
      <c r="P305" s="240">
        <f>AVERAGE(Ashed_controlls!$K$12:$K$14)</f>
        <v>2.2816647271287041</v>
      </c>
      <c r="Q305" s="195">
        <f t="shared" si="37"/>
        <v>1.8910452242006053</v>
      </c>
      <c r="R305" s="16">
        <f>IF('Dry_Litterbag Placem_Collection'!G12="N.A","",'Dry_Litterbag Placem_Collection'!G12)</f>
        <v>0</v>
      </c>
      <c r="S305" s="195" t="str">
        <f>IF(IFERROR(INDEX('Both teabags AfterDry'!$D$1:$D$839,MATCH(H305,'Both teabags AfterDry'!$A$1:$A$839,0)),"")="N.A","",(IFERROR(INDEX('Both teabags AfterDry'!$D$1:$D$839,MATCH(H305,'Both teabags AfterDry'!$A$1:$A$839,0)),"")))</f>
        <v/>
      </c>
      <c r="T305" s="195" t="str">
        <f>IF(IFERROR(INDEX('Both teabags AfterDry'!$D$1:$D$839,MATCH(I305,'Both teabags AfterDry'!$A$1:$A$839,0)),"")="N.A","",(IFERROR(INDEX('Both teabags AfterDry'!$D$1:$D$839,MATCH(I305,'Both teabags AfterDry'!$A$1:$A$839,0)),"")))</f>
        <v/>
      </c>
      <c r="U305" s="195" t="str">
        <f t="shared" si="43"/>
        <v/>
      </c>
      <c r="V305" s="195" t="str">
        <f t="shared" si="43"/>
        <v/>
      </c>
      <c r="W305" s="195" t="str">
        <f>IFERROR(INDEX('Ashed teabags dry'!$K$2:$K$821,MATCH(H305,'Ashed teabags dry'!$A$2:$A$821,0)),"")</f>
        <v/>
      </c>
      <c r="X305" s="195" t="str">
        <f>IFERROR(INDEX('Ashed teabags dry'!$K$2:$K$821,MATCH(I305,'Ashed teabags dry'!$A$2:$A$821,0)),"")</f>
        <v/>
      </c>
      <c r="Y305" s="195" t="str">
        <f t="shared" si="38"/>
        <v/>
      </c>
      <c r="Z305" s="195" t="str">
        <f t="shared" si="38"/>
        <v/>
      </c>
      <c r="AA305" s="195" t="str">
        <f t="shared" si="44"/>
        <v/>
      </c>
      <c r="AB305" s="195" t="str">
        <f t="shared" si="45"/>
        <v/>
      </c>
      <c r="AC305" s="195" t="str">
        <f t="shared" si="39"/>
        <v/>
      </c>
      <c r="AD305" t="str">
        <f t="shared" si="40"/>
        <v/>
      </c>
      <c r="AE305" s="195" t="str">
        <f t="shared" si="46"/>
        <v/>
      </c>
      <c r="AF305" s="195" t="str">
        <f t="shared" si="47"/>
        <v/>
      </c>
      <c r="AG305" s="255" t="str">
        <f>IF(ISNUMBER(SEARCH("C", 'Dry_Litterbag Placem_Collection'!AD12)),"YES","NO")</f>
        <v>NO</v>
      </c>
      <c r="AH305" s="255" t="str">
        <f>IF(ISNUMBER(SEARCH("H", 'Dry_Litterbag Placem_Collection'!AD12)),"YES","NO")</f>
        <v>NO</v>
      </c>
      <c r="AI305" s="255" t="str">
        <f>IF(ISNUMBER(SEARCH("R", 'Dry_Litterbag Placem_Collection'!AD12)),"YES","NO")</f>
        <v>NO</v>
      </c>
      <c r="AJ305" s="255" t="str">
        <f>IF(ISNUMBER(SEARCH("C", 'Dry_Litterbag Placem_Collection'!AC12)),"YES","NO")</f>
        <v>NO</v>
      </c>
      <c r="AK305" s="255" t="str">
        <f>IF(ISNUMBER(SEARCH("H", 'Dry_Litterbag Placem_Collection'!AC12)),"YES","NO")</f>
        <v>NO</v>
      </c>
      <c r="AL305" s="255" t="str">
        <f>IF(ISNUMBER(SEARCH("R", 'Dry_Litterbag Placem_Collection'!AC12)),"YES","NO")</f>
        <v>NO</v>
      </c>
      <c r="AR305" t="s">
        <v>1408</v>
      </c>
      <c r="AT305" t="s">
        <v>786</v>
      </c>
    </row>
    <row r="306" spans="2:46">
      <c r="B306" t="str">
        <f>'Final data_for_R_analysis_Dryse'!A452</f>
        <v>Dry</v>
      </c>
      <c r="C306" s="263">
        <f>'Final data_for_R_analysis_Dryse'!B452</f>
        <v>11</v>
      </c>
      <c r="D306" t="s">
        <v>3828</v>
      </c>
      <c r="E306" t="s">
        <v>25</v>
      </c>
      <c r="F306" s="386">
        <v>3</v>
      </c>
      <c r="G306" s="16">
        <f>'Dry_Litterbag Placem_Collection'!E13</f>
        <v>42938</v>
      </c>
      <c r="H306" s="92" t="str">
        <f>'Final data_for_R_analysis_Dryse'!J452</f>
        <v>G663</v>
      </c>
      <c r="I306" t="str">
        <f>'Final data_for_R_analysis_Dryse'!J672</f>
        <v>R616</v>
      </c>
      <c r="J306">
        <f>IFERROR(INDEX('Green_rooibos initial weight'!$C$5:$C$1749,MATCH(H306, 'Green_rooibos initial weight'!$A$5:$A$1749,0)),"")</f>
        <v>2.0760000000000001</v>
      </c>
      <c r="K306">
        <f>IFERROR(INDEX('Green_rooibos initial weight'!$C$5:$C$1749,MATCH(I306, 'Green_rooibos initial weight'!$A$5:$A$1749,0)),"")</f>
        <v>2.1739999999999999</v>
      </c>
      <c r="L306" s="195">
        <f t="shared" si="41"/>
        <v>1.8262</v>
      </c>
      <c r="M306" s="240">
        <f>AVERAGE(Ashed_controlls!$K$1:$K$11)</f>
        <v>5.5147656768714146</v>
      </c>
      <c r="N306" s="195">
        <f t="shared" si="36"/>
        <v>1.7254893492089742</v>
      </c>
      <c r="O306" s="195">
        <f t="shared" si="42"/>
        <v>1.9241999999999999</v>
      </c>
      <c r="P306" s="240">
        <f>AVERAGE(Ashed_controlls!$K$12:$K$14)</f>
        <v>2.2816647271287041</v>
      </c>
      <c r="Q306" s="195">
        <f t="shared" si="37"/>
        <v>1.8802962073205893</v>
      </c>
      <c r="R306" s="16">
        <f>IF('Dry_Litterbag Placem_Collection'!G13="N.A","",'Dry_Litterbag Placem_Collection'!G13)</f>
        <v>43007</v>
      </c>
      <c r="S306" s="195">
        <f>IF(IFERROR(INDEX('Both teabags AfterDry'!$D$1:$D$839,MATCH(H306,'Both teabags AfterDry'!$A$1:$A$839,0)),"")="N.A","",(IFERROR(INDEX('Both teabags AfterDry'!$D$1:$D$839,MATCH(H306,'Both teabags AfterDry'!$A$1:$A$839,0)),"")))</f>
        <v>1.6718</v>
      </c>
      <c r="T306" s="195">
        <f>IF(IFERROR(INDEX('Both teabags AfterDry'!$D$1:$D$839,MATCH(I306,'Both teabags AfterDry'!$A$1:$A$839,0)),"")="N.A","",(IFERROR(INDEX('Both teabags AfterDry'!$D$1:$D$839,MATCH(I306,'Both teabags AfterDry'!$A$1:$A$839,0)),"")))</f>
        <v>1.9423999999999999</v>
      </c>
      <c r="U306" s="195">
        <f t="shared" si="43"/>
        <v>1.5211999999999999</v>
      </c>
      <c r="V306" s="195">
        <f t="shared" si="43"/>
        <v>1.7917999999999998</v>
      </c>
      <c r="W306" s="195">
        <f>IFERROR(INDEX('Ashed teabags dry'!$K$2:$K$821,MATCH(H306,'Ashed teabags dry'!$A$2:$A$821,0)),"")</f>
        <v>7.9058031959628696</v>
      </c>
      <c r="X306" s="195">
        <f>IFERROR(INDEX('Ashed teabags dry'!$K$2:$K$821,MATCH(I306,'Ashed teabags dry'!$A$2:$A$821,0)),"")</f>
        <v>2.5878906250002163</v>
      </c>
      <c r="Y306" s="195">
        <f t="shared" si="38"/>
        <v>1.4009369217830128</v>
      </c>
      <c r="Z306" s="195">
        <f t="shared" si="38"/>
        <v>1.745430175781246</v>
      </c>
      <c r="AA306" s="195">
        <f t="shared" si="44"/>
        <v>0.18809297639231903</v>
      </c>
      <c r="AB306" s="195">
        <f t="shared" si="45"/>
        <v>0.12331035982014267</v>
      </c>
      <c r="AC306" s="195">
        <f t="shared" si="39"/>
        <v>0.92827405011281361</v>
      </c>
      <c r="AD306">
        <f t="shared" si="40"/>
        <v>69</v>
      </c>
      <c r="AE306" s="195">
        <f t="shared" si="46"/>
        <v>0.77661166699249518</v>
      </c>
      <c r="AF306" s="195">
        <f t="shared" si="47"/>
        <v>1.2630216436767745E-2</v>
      </c>
      <c r="AG306" s="255" t="str">
        <f>IF(ISNUMBER(SEARCH("C", 'Dry_Litterbag Placem_Collection'!AD13)),"YES","NO")</f>
        <v>NO</v>
      </c>
      <c r="AH306" s="255" t="str">
        <f>IF(ISNUMBER(SEARCH("H", 'Dry_Litterbag Placem_Collection'!AD13)),"YES","NO")</f>
        <v>NO</v>
      </c>
      <c r="AI306" s="255" t="str">
        <f>IF(ISNUMBER(SEARCH("R", 'Dry_Litterbag Placem_Collection'!AD13)),"YES","NO")</f>
        <v>NO</v>
      </c>
      <c r="AJ306" s="255" t="str">
        <f>IF(ISNUMBER(SEARCH("C", 'Dry_Litterbag Placem_Collection'!AC13)),"YES","NO")</f>
        <v>NO</v>
      </c>
      <c r="AK306" s="255" t="str">
        <f>IF(ISNUMBER(SEARCH("H", 'Dry_Litterbag Placem_Collection'!AC13)),"YES","NO")</f>
        <v>NO</v>
      </c>
      <c r="AL306" s="255" t="str">
        <f>IF(ISNUMBER(SEARCH("R", 'Dry_Litterbag Placem_Collection'!AC13)),"YES","NO")</f>
        <v>NO</v>
      </c>
      <c r="AR306" t="s">
        <v>1387</v>
      </c>
      <c r="AT306" t="s">
        <v>523</v>
      </c>
    </row>
    <row r="307" spans="2:46">
      <c r="B307" t="str">
        <f>'Final data_for_R_analysis_Dryse'!A453</f>
        <v>Dry</v>
      </c>
      <c r="C307" s="263">
        <f>'Final data_for_R_analysis_Dryse'!B453</f>
        <v>12</v>
      </c>
      <c r="D307" t="s">
        <v>3828</v>
      </c>
      <c r="E307" t="s">
        <v>25</v>
      </c>
      <c r="F307" s="387">
        <v>4</v>
      </c>
      <c r="G307" s="16">
        <f>'Dry_Litterbag Placem_Collection'!E14</f>
        <v>0</v>
      </c>
      <c r="H307" s="92" t="str">
        <f>'Final data_for_R_analysis_Dryse'!J453</f>
        <v/>
      </c>
      <c r="I307" t="str">
        <f>'Final data_for_R_analysis_Dryse'!J673</f>
        <v/>
      </c>
      <c r="J307" t="str">
        <f>IFERROR(INDEX('Green_rooibos initial weight'!$C$5:$C$1749,MATCH(H307, 'Green_rooibos initial weight'!$A$5:$A$1749,0)),"")</f>
        <v/>
      </c>
      <c r="K307" t="str">
        <f>IFERROR(INDEX('Green_rooibos initial weight'!$C$5:$C$1749,MATCH(I307, 'Green_rooibos initial weight'!$A$5:$A$1749,0)),"")</f>
        <v/>
      </c>
      <c r="L307" s="195" t="str">
        <f t="shared" si="41"/>
        <v/>
      </c>
      <c r="M307" s="240">
        <f>AVERAGE(Ashed_controlls!$K$1:$K$11)</f>
        <v>5.5147656768714146</v>
      </c>
      <c r="N307" s="195" t="str">
        <f t="shared" si="36"/>
        <v/>
      </c>
      <c r="O307" s="195" t="str">
        <f t="shared" si="42"/>
        <v/>
      </c>
      <c r="P307" s="240">
        <f>AVERAGE(Ashed_controlls!$K$12:$K$14)</f>
        <v>2.2816647271287041</v>
      </c>
      <c r="Q307" s="195" t="str">
        <f t="shared" si="37"/>
        <v/>
      </c>
      <c r="R307" s="16">
        <f>IF('Dry_Litterbag Placem_Collection'!G14="N.A","",'Dry_Litterbag Placem_Collection'!G14)</f>
        <v>0</v>
      </c>
      <c r="S307" s="195" t="str">
        <f>IF(IFERROR(INDEX('Both teabags AfterDry'!$D$1:$D$839,MATCH(H307,'Both teabags AfterDry'!$A$1:$A$839,0)),"")="N.A","",(IFERROR(INDEX('Both teabags AfterDry'!$D$1:$D$839,MATCH(H307,'Both teabags AfterDry'!$A$1:$A$839,0)),"")))</f>
        <v/>
      </c>
      <c r="T307" s="195" t="str">
        <f>IF(IFERROR(INDEX('Both teabags AfterDry'!$D$1:$D$839,MATCH(I307,'Both teabags AfterDry'!$A$1:$A$839,0)),"")="N.A","",(IFERROR(INDEX('Both teabags AfterDry'!$D$1:$D$839,MATCH(I307,'Both teabags AfterDry'!$A$1:$A$839,0)),"")))</f>
        <v/>
      </c>
      <c r="U307" s="195" t="str">
        <f t="shared" si="43"/>
        <v/>
      </c>
      <c r="V307" s="195" t="str">
        <f t="shared" si="43"/>
        <v/>
      </c>
      <c r="W307" s="195" t="str">
        <f>IFERROR(INDEX('Ashed teabags dry'!$K$2:$K$821,MATCH(H307,'Ashed teabags dry'!$A$2:$A$821,0)),"")</f>
        <v/>
      </c>
      <c r="X307" s="195" t="str">
        <f>IFERROR(INDEX('Ashed teabags dry'!$K$2:$K$821,MATCH(I307,'Ashed teabags dry'!$A$2:$A$821,0)),"")</f>
        <v/>
      </c>
      <c r="Y307" s="195" t="str">
        <f t="shared" si="38"/>
        <v/>
      </c>
      <c r="Z307" s="195" t="str">
        <f t="shared" si="38"/>
        <v/>
      </c>
      <c r="AA307" s="195" t="str">
        <f t="shared" si="44"/>
        <v/>
      </c>
      <c r="AB307" s="195" t="str">
        <f t="shared" si="45"/>
        <v/>
      </c>
      <c r="AC307" s="195" t="str">
        <f t="shared" si="39"/>
        <v/>
      </c>
      <c r="AD307" t="str">
        <f t="shared" si="40"/>
        <v/>
      </c>
      <c r="AE307" s="195" t="str">
        <f t="shared" si="46"/>
        <v/>
      </c>
      <c r="AF307" s="195" t="str">
        <f t="shared" si="47"/>
        <v/>
      </c>
      <c r="AG307" s="255" t="str">
        <f>IF(ISNUMBER(SEARCH("C", 'Dry_Litterbag Placem_Collection'!AD14)),"YES","NO")</f>
        <v>NO</v>
      </c>
      <c r="AH307" s="255" t="str">
        <f>IF(ISNUMBER(SEARCH("H", 'Dry_Litterbag Placem_Collection'!AD14)),"YES","NO")</f>
        <v>NO</v>
      </c>
      <c r="AI307" s="255" t="str">
        <f>IF(ISNUMBER(SEARCH("R", 'Dry_Litterbag Placem_Collection'!AD14)),"YES","NO")</f>
        <v>NO</v>
      </c>
      <c r="AJ307" s="255" t="str">
        <f>IF(ISNUMBER(SEARCH("C", 'Dry_Litterbag Placem_Collection'!AC14)),"YES","NO")</f>
        <v>NO</v>
      </c>
      <c r="AK307" s="255" t="str">
        <f>IF(ISNUMBER(SEARCH("H", 'Dry_Litterbag Placem_Collection'!AC14)),"YES","NO")</f>
        <v>NO</v>
      </c>
      <c r="AL307" s="255" t="str">
        <f>IF(ISNUMBER(SEARCH("R", 'Dry_Litterbag Placem_Collection'!AC14)),"YES","NO")</f>
        <v>NO</v>
      </c>
      <c r="AR307" t="s">
        <v>3654</v>
      </c>
      <c r="AT307" t="s">
        <v>3654</v>
      </c>
    </row>
    <row r="308" spans="2:46">
      <c r="B308" t="str">
        <f>'Final data_for_R_analysis_Dryse'!A454</f>
        <v>Dry</v>
      </c>
      <c r="C308" s="263">
        <f>'Final data_for_R_analysis_Dryse'!B454</f>
        <v>13</v>
      </c>
      <c r="D308" t="s">
        <v>3828</v>
      </c>
      <c r="E308" t="s">
        <v>25</v>
      </c>
      <c r="F308" s="387">
        <v>5</v>
      </c>
      <c r="G308" s="16">
        <f>'Dry_Litterbag Placem_Collection'!E15</f>
        <v>42938</v>
      </c>
      <c r="H308" s="92" t="str">
        <f>'Final data_for_R_analysis_Dryse'!J454</f>
        <v>G874</v>
      </c>
      <c r="I308" t="str">
        <f>'Final data_for_R_analysis_Dryse'!J674</f>
        <v>R603</v>
      </c>
      <c r="J308">
        <f>IFERROR(INDEX('Green_rooibos initial weight'!$C$5:$C$1749,MATCH(H308, 'Green_rooibos initial weight'!$A$5:$A$1749,0)),"")</f>
        <v>2.032</v>
      </c>
      <c r="K308">
        <f>IFERROR(INDEX('Green_rooibos initial weight'!$C$5:$C$1749,MATCH(I308, 'Green_rooibos initial weight'!$A$5:$A$1749,0)),"")</f>
        <v>2.1440000000000001</v>
      </c>
      <c r="L308" s="195">
        <f t="shared" si="41"/>
        <v>1.7822</v>
      </c>
      <c r="M308" s="240">
        <f>AVERAGE(Ashed_controlls!$K$1:$K$11)</f>
        <v>5.5147656768714146</v>
      </c>
      <c r="N308" s="195">
        <f t="shared" si="36"/>
        <v>1.6839158461067976</v>
      </c>
      <c r="O308" s="195">
        <f t="shared" si="42"/>
        <v>1.8942000000000001</v>
      </c>
      <c r="P308" s="240">
        <f>AVERAGE(Ashed_controlls!$K$12:$K$14)</f>
        <v>2.2816647271287041</v>
      </c>
      <c r="Q308" s="195">
        <f t="shared" si="37"/>
        <v>1.8509807067387283</v>
      </c>
      <c r="R308" s="16">
        <f>IF('Dry_Litterbag Placem_Collection'!G15="N.A","",'Dry_Litterbag Placem_Collection'!G15)</f>
        <v>43007</v>
      </c>
      <c r="S308" s="195">
        <f>IF(IFERROR(INDEX('Both teabags AfterDry'!$D$1:$D$839,MATCH(H308,'Both teabags AfterDry'!$A$1:$A$839,0)),"")="N.A","",(IFERROR(INDEX('Both teabags AfterDry'!$D$1:$D$839,MATCH(H308,'Both teabags AfterDry'!$A$1:$A$839,0)),"")))</f>
        <v>1.361</v>
      </c>
      <c r="T308" s="195">
        <f>IF(IFERROR(INDEX('Both teabags AfterDry'!$D$1:$D$839,MATCH(I308,'Both teabags AfterDry'!$A$1:$A$839,0)),"")="N.A","",(IFERROR(INDEX('Both teabags AfterDry'!$D$1:$D$839,MATCH(I308,'Both teabags AfterDry'!$A$1:$A$839,0)),"")))</f>
        <v>1.9094</v>
      </c>
      <c r="U308" s="195">
        <f t="shared" si="43"/>
        <v>1.2103999999999999</v>
      </c>
      <c r="V308" s="195">
        <f t="shared" si="43"/>
        <v>1.7587999999999999</v>
      </c>
      <c r="W308" s="195">
        <f>IFERROR(INDEX('Ashed teabags dry'!$K$2:$K$821,MATCH(H308,'Ashed teabags dry'!$A$2:$A$821,0)),"")</f>
        <v>9.2644320297957403</v>
      </c>
      <c r="X308" s="195">
        <f>IFERROR(INDEX('Ashed teabags dry'!$K$2:$K$821,MATCH(I308,'Ashed teabags dry'!$A$2:$A$821,0)),"")</f>
        <v>3.2763532763534955</v>
      </c>
      <c r="Y308" s="195">
        <f t="shared" si="38"/>
        <v>1.0982633147113523</v>
      </c>
      <c r="Z308" s="195">
        <f t="shared" si="38"/>
        <v>1.7011754985754945</v>
      </c>
      <c r="AA308" s="195">
        <f t="shared" si="44"/>
        <v>0.34779204242864636</v>
      </c>
      <c r="AB308" s="195">
        <f t="shared" si="45"/>
        <v>0.22800618458505084</v>
      </c>
      <c r="AC308" s="195">
        <f t="shared" si="39"/>
        <v>0.91906711527686435</v>
      </c>
      <c r="AD308">
        <f t="shared" si="40"/>
        <v>69</v>
      </c>
      <c r="AE308" s="195">
        <f t="shared" si="46"/>
        <v>0.58694531778070502</v>
      </c>
      <c r="AF308" s="195">
        <f t="shared" si="47"/>
        <v>6.3542268542506036E-3</v>
      </c>
      <c r="AG308" s="255" t="str">
        <f>IF(ISNUMBER(SEARCH("C", 'Dry_Litterbag Placem_Collection'!AD15)),"YES","NO")</f>
        <v>NO</v>
      </c>
      <c r="AH308" s="255" t="str">
        <f>IF(ISNUMBER(SEARCH("H", 'Dry_Litterbag Placem_Collection'!AD15)),"YES","NO")</f>
        <v>NO</v>
      </c>
      <c r="AI308" s="255" t="str">
        <f>IF(ISNUMBER(SEARCH("R", 'Dry_Litterbag Placem_Collection'!AD15)),"YES","NO")</f>
        <v>NO</v>
      </c>
      <c r="AJ308" s="255" t="str">
        <f>IF(ISNUMBER(SEARCH("C", 'Dry_Litterbag Placem_Collection'!AC15)),"YES","NO")</f>
        <v>NO</v>
      </c>
      <c r="AK308" s="255" t="str">
        <f>IF(ISNUMBER(SEARCH("H", 'Dry_Litterbag Placem_Collection'!AC15)),"YES","NO")</f>
        <v>NO</v>
      </c>
      <c r="AL308" s="255" t="str">
        <f>IF(ISNUMBER(SEARCH("R", 'Dry_Litterbag Placem_Collection'!AC15)),"YES","NO")</f>
        <v>NO</v>
      </c>
      <c r="AR308" t="s">
        <v>1176</v>
      </c>
      <c r="AT308" t="s">
        <v>536</v>
      </c>
    </row>
    <row r="309" spans="2:46">
      <c r="B309" t="str">
        <f>'Final data_for_R_analysis_Dryse'!A455</f>
        <v>Dry</v>
      </c>
      <c r="C309" s="263">
        <f>'Final data_for_R_analysis_Dryse'!B455</f>
        <v>14</v>
      </c>
      <c r="D309" t="s">
        <v>3828</v>
      </c>
      <c r="E309" t="s">
        <v>25</v>
      </c>
      <c r="F309" s="387">
        <v>6</v>
      </c>
      <c r="G309" s="16">
        <f>'Dry_Litterbag Placem_Collection'!E16</f>
        <v>42938</v>
      </c>
      <c r="H309" s="92" t="str">
        <f>'Final data_for_R_analysis_Dryse'!J455</f>
        <v>G219</v>
      </c>
      <c r="I309" t="str">
        <f>'Final data_for_R_analysis_Dryse'!J675</f>
        <v>R652</v>
      </c>
      <c r="J309">
        <f>IFERROR(INDEX('Green_rooibos initial weight'!$C$5:$C$1749,MATCH(H309, 'Green_rooibos initial weight'!$A$5:$A$1749,0)),"")</f>
        <v>2.0110000000000001</v>
      </c>
      <c r="K309">
        <f>IFERROR(INDEX('Green_rooibos initial weight'!$C$5:$C$1749,MATCH(I309, 'Green_rooibos initial weight'!$A$5:$A$1749,0)),"")</f>
        <v>2.2090000000000001</v>
      </c>
      <c r="L309" s="195">
        <f t="shared" si="41"/>
        <v>1.7612000000000001</v>
      </c>
      <c r="M309" s="240">
        <f>AVERAGE(Ashed_controlls!$K$1:$K$11)</f>
        <v>5.5147656768714146</v>
      </c>
      <c r="N309" s="195">
        <f t="shared" si="36"/>
        <v>1.6640739468989407</v>
      </c>
      <c r="O309" s="195">
        <f t="shared" si="42"/>
        <v>1.9592000000000001</v>
      </c>
      <c r="P309" s="240">
        <f>AVERAGE(Ashed_controlls!$K$12:$K$14)</f>
        <v>2.2816647271287041</v>
      </c>
      <c r="Q309" s="195">
        <f t="shared" si="37"/>
        <v>1.9144976246660945</v>
      </c>
      <c r="R309" s="16">
        <f>IF('Dry_Litterbag Placem_Collection'!G16="N.A","",'Dry_Litterbag Placem_Collection'!G16)</f>
        <v>43007</v>
      </c>
      <c r="S309" s="195">
        <f>IF(IFERROR(INDEX('Both teabags AfterDry'!$D$1:$D$839,MATCH(H309,'Both teabags AfterDry'!$A$1:$A$839,0)),"")="N.A","",(IFERROR(INDEX('Both teabags AfterDry'!$D$1:$D$839,MATCH(H309,'Both teabags AfterDry'!$A$1:$A$839,0)),"")))</f>
        <v>0.76939999999999997</v>
      </c>
      <c r="T309" s="195">
        <f>IF(IFERROR(INDEX('Both teabags AfterDry'!$D$1:$D$839,MATCH(I309,'Both teabags AfterDry'!$A$1:$A$839,0)),"")="N.A","",(IFERROR(INDEX('Both teabags AfterDry'!$D$1:$D$839,MATCH(I309,'Both teabags AfterDry'!$A$1:$A$839,0)),"")))</f>
        <v>1.9245000000000001</v>
      </c>
      <c r="U309" s="195">
        <f t="shared" si="43"/>
        <v>0.61880000000000002</v>
      </c>
      <c r="V309" s="195">
        <f t="shared" si="43"/>
        <v>1.7739</v>
      </c>
      <c r="W309" s="195">
        <f>IFERROR(INDEX('Ashed teabags dry'!$K$2:$K$821,MATCH(H309,'Ashed teabags dry'!$A$2:$A$821,0)),"")</f>
        <v>15.956439393940133</v>
      </c>
      <c r="X309" s="195">
        <f>IFERROR(INDEX('Ashed teabags dry'!$K$2:$K$821,MATCH(I309,'Ashed teabags dry'!$A$2:$A$821,0)),"")</f>
        <v>2.5664115263402163</v>
      </c>
      <c r="Y309" s="195">
        <f t="shared" si="38"/>
        <v>0.52006155303029844</v>
      </c>
      <c r="Z309" s="195">
        <f t="shared" si="38"/>
        <v>1.7283744259342508</v>
      </c>
      <c r="AA309" s="195">
        <f t="shared" si="44"/>
        <v>0.68747689728605443</v>
      </c>
      <c r="AB309" s="195">
        <f t="shared" si="45"/>
        <v>0.4506974433514277</v>
      </c>
      <c r="AC309" s="195">
        <f t="shared" si="39"/>
        <v>0.90278222530346297</v>
      </c>
      <c r="AD309">
        <f t="shared" si="40"/>
        <v>69</v>
      </c>
      <c r="AE309" s="195">
        <f t="shared" si="46"/>
        <v>0.18351912436335571</v>
      </c>
      <c r="AF309" s="195">
        <f t="shared" si="47"/>
        <v>3.521308518753978E-3</v>
      </c>
      <c r="AG309" s="255" t="str">
        <f>IF(ISNUMBER(SEARCH("C", 'Dry_Litterbag Placem_Collection'!AD16)),"YES","NO")</f>
        <v>NO</v>
      </c>
      <c r="AH309" s="255" t="str">
        <f>IF(ISNUMBER(SEARCH("H", 'Dry_Litterbag Placem_Collection'!AD16)),"YES","NO")</f>
        <v>NO</v>
      </c>
      <c r="AI309" s="255" t="str">
        <f>IF(ISNUMBER(SEARCH("R", 'Dry_Litterbag Placem_Collection'!AD16)),"YES","NO")</f>
        <v>NO</v>
      </c>
      <c r="AJ309" s="255" t="str">
        <f>IF(ISNUMBER(SEARCH("C", 'Dry_Litterbag Placem_Collection'!AC16)),"YES","NO")</f>
        <v>NO</v>
      </c>
      <c r="AK309" s="255" t="str">
        <f>IF(ISNUMBER(SEARCH("H", 'Dry_Litterbag Placem_Collection'!AC16)),"YES","NO")</f>
        <v>NO</v>
      </c>
      <c r="AL309" s="255" t="str">
        <f>IF(ISNUMBER(SEARCH("R", 'Dry_Litterbag Placem_Collection'!AC16)),"YES","NO")</f>
        <v>NO</v>
      </c>
      <c r="AR309" t="s">
        <v>1831</v>
      </c>
      <c r="AT309" t="s">
        <v>487</v>
      </c>
    </row>
    <row r="310" spans="2:46">
      <c r="B310" t="str">
        <f>'Final data_for_R_analysis_Dryse'!A456</f>
        <v>Dry</v>
      </c>
      <c r="C310" s="263">
        <f>'Final data_for_R_analysis_Dryse'!B456</f>
        <v>15</v>
      </c>
      <c r="D310" t="s">
        <v>3828</v>
      </c>
      <c r="E310" t="s">
        <v>25</v>
      </c>
      <c r="F310" s="387">
        <v>7</v>
      </c>
      <c r="G310" s="16">
        <f>'Dry_Litterbag Placem_Collection'!E17</f>
        <v>42938</v>
      </c>
      <c r="H310" s="92" t="str">
        <f>'Final data_for_R_analysis_Dryse'!J456</f>
        <v>G630</v>
      </c>
      <c r="I310" t="str">
        <f>'Final data_for_R_analysis_Dryse'!J676</f>
        <v>R304</v>
      </c>
      <c r="J310">
        <f>IFERROR(INDEX('Green_rooibos initial weight'!$C$5:$C$1749,MATCH(H310, 'Green_rooibos initial weight'!$A$5:$A$1749,0)),"")</f>
        <v>2.12</v>
      </c>
      <c r="K310">
        <f>IFERROR(INDEX('Green_rooibos initial weight'!$C$5:$C$1749,MATCH(I310, 'Green_rooibos initial weight'!$A$5:$A$1749,0)),"")</f>
        <v>2.1930000000000001</v>
      </c>
      <c r="L310" s="195">
        <f t="shared" si="41"/>
        <v>1.8702000000000001</v>
      </c>
      <c r="M310" s="240">
        <f>AVERAGE(Ashed_controlls!$K$1:$K$11)</f>
        <v>5.5147656768714146</v>
      </c>
      <c r="N310" s="195">
        <f t="shared" si="36"/>
        <v>1.7670628523111509</v>
      </c>
      <c r="O310" s="195">
        <f t="shared" si="42"/>
        <v>1.9432</v>
      </c>
      <c r="P310" s="240">
        <f>AVERAGE(Ashed_controlls!$K$12:$K$14)</f>
        <v>2.2816647271287041</v>
      </c>
      <c r="Q310" s="195">
        <f t="shared" si="37"/>
        <v>1.8988626910224351</v>
      </c>
      <c r="R310" s="16">
        <f>IF('Dry_Litterbag Placem_Collection'!G17="N.A","",'Dry_Litterbag Placem_Collection'!G17)</f>
        <v>43007</v>
      </c>
      <c r="S310" s="195">
        <f>IF(IFERROR(INDEX('Both teabags AfterDry'!$D$1:$D$839,MATCH(H310,'Both teabags AfterDry'!$A$1:$A$839,0)),"")="N.A","",(IFERROR(INDEX('Both teabags AfterDry'!$D$1:$D$839,MATCH(H310,'Both teabags AfterDry'!$A$1:$A$839,0)),"")))</f>
        <v>1.8631</v>
      </c>
      <c r="T310" s="195">
        <f>IF(IFERROR(INDEX('Both teabags AfterDry'!$D$1:$D$839,MATCH(I310,'Both teabags AfterDry'!$A$1:$A$839,0)),"")="N.A","",(IFERROR(INDEX('Both teabags AfterDry'!$D$1:$D$839,MATCH(I310,'Both teabags AfterDry'!$A$1:$A$839,0)),"")))</f>
        <v>1.8989</v>
      </c>
      <c r="U310" s="195">
        <f t="shared" si="43"/>
        <v>1.7124999999999999</v>
      </c>
      <c r="V310" s="195">
        <f t="shared" si="43"/>
        <v>1.7483</v>
      </c>
      <c r="W310" s="195">
        <f>IFERROR(INDEX('Ashed teabags dry'!$K$2:$K$821,MATCH(H310,'Ashed teabags dry'!$A$2:$A$821,0)),"")</f>
        <v>6.134371957156727</v>
      </c>
      <c r="X310" s="195">
        <f>IFERROR(INDEX('Ashed teabags dry'!$K$2:$K$821,MATCH(I310,'Ashed teabags dry'!$A$2:$A$821,0)),"")</f>
        <v>3.0414746543770974</v>
      </c>
      <c r="Y310" s="195">
        <f t="shared" si="38"/>
        <v>1.607448880233691</v>
      </c>
      <c r="Z310" s="195">
        <f t="shared" si="38"/>
        <v>1.6951258986175253</v>
      </c>
      <c r="AA310" s="195">
        <f t="shared" si="44"/>
        <v>9.0327274928959089E-2</v>
      </c>
      <c r="AB310" s="195">
        <f t="shared" si="45"/>
        <v>5.9216930832286713E-2</v>
      </c>
      <c r="AC310" s="195">
        <f t="shared" si="39"/>
        <v>0.89270588475504331</v>
      </c>
      <c r="AD310">
        <f t="shared" si="40"/>
        <v>69</v>
      </c>
      <c r="AE310" s="195">
        <f t="shared" si="46"/>
        <v>0.89272295139078495</v>
      </c>
      <c r="AF310" s="195" t="str">
        <f t="shared" si="47"/>
        <v/>
      </c>
      <c r="AG310" s="255" t="str">
        <f>IF(ISNUMBER(SEARCH("C", 'Dry_Litterbag Placem_Collection'!AD17)),"YES","NO")</f>
        <v>NO</v>
      </c>
      <c r="AH310" s="255" t="str">
        <f>IF(ISNUMBER(SEARCH("H", 'Dry_Litterbag Placem_Collection'!AD17)),"YES","NO")</f>
        <v>NO</v>
      </c>
      <c r="AI310" s="255" t="str">
        <f>IF(ISNUMBER(SEARCH("R", 'Dry_Litterbag Placem_Collection'!AD17)),"YES","NO")</f>
        <v>NO</v>
      </c>
      <c r="AJ310" s="255" t="str">
        <f>IF(ISNUMBER(SEARCH("C", 'Dry_Litterbag Placem_Collection'!AC17)),"YES","NO")</f>
        <v>NO</v>
      </c>
      <c r="AK310" s="255" t="str">
        <f>IF(ISNUMBER(SEARCH("H", 'Dry_Litterbag Placem_Collection'!AC17)),"YES","NO")</f>
        <v>NO</v>
      </c>
      <c r="AL310" s="255" t="str">
        <f>IF(ISNUMBER(SEARCH("R", 'Dry_Litterbag Placem_Collection'!AC17)),"YES","NO")</f>
        <v>NO</v>
      </c>
      <c r="AR310" t="s">
        <v>1420</v>
      </c>
      <c r="AT310" t="s">
        <v>837</v>
      </c>
    </row>
    <row r="311" spans="2:46">
      <c r="B311" t="str">
        <f>'Final data_for_R_analysis_Dryse'!A457</f>
        <v>Dry</v>
      </c>
      <c r="C311" s="263">
        <f>'Final data_for_R_analysis_Dryse'!B457</f>
        <v>16</v>
      </c>
      <c r="D311" t="s">
        <v>3828</v>
      </c>
      <c r="E311" t="s">
        <v>25</v>
      </c>
      <c r="F311" s="387">
        <v>8</v>
      </c>
      <c r="G311" s="16">
        <f>'Dry_Litterbag Placem_Collection'!E18</f>
        <v>42938</v>
      </c>
      <c r="H311" s="92" t="str">
        <f>'Final data_for_R_analysis_Dryse'!J457</f>
        <v>G662</v>
      </c>
      <c r="I311" t="str">
        <f>'Final data_for_R_analysis_Dryse'!J677</f>
        <v>R687</v>
      </c>
      <c r="J311">
        <f>IFERROR(INDEX('Green_rooibos initial weight'!$C$5:$C$1749,MATCH(H311, 'Green_rooibos initial weight'!$A$5:$A$1749,0)),"")</f>
        <v>2.1349999999999998</v>
      </c>
      <c r="K311">
        <f>IFERROR(INDEX('Green_rooibos initial weight'!$C$5:$C$1749,MATCH(I311, 'Green_rooibos initial weight'!$A$5:$A$1749,0)),"")</f>
        <v>2.2029999999999998</v>
      </c>
      <c r="L311" s="195">
        <f t="shared" si="41"/>
        <v>1.8851999999999998</v>
      </c>
      <c r="M311" s="240">
        <f>AVERAGE(Ashed_controlls!$K$1:$K$11)</f>
        <v>5.5147656768714146</v>
      </c>
      <c r="N311" s="195">
        <f t="shared" si="36"/>
        <v>1.7812356374596199</v>
      </c>
      <c r="O311" s="195">
        <f t="shared" si="42"/>
        <v>1.9531999999999998</v>
      </c>
      <c r="P311" s="240">
        <f>AVERAGE(Ashed_controlls!$K$12:$K$14)</f>
        <v>2.2816647271287041</v>
      </c>
      <c r="Q311" s="195">
        <f t="shared" si="37"/>
        <v>1.908634524549722</v>
      </c>
      <c r="R311" s="16">
        <f>IF('Dry_Litterbag Placem_Collection'!G18="N.A","",'Dry_Litterbag Placem_Collection'!G18)</f>
        <v>43007</v>
      </c>
      <c r="S311" s="195" t="str">
        <f>IF(IFERROR(INDEX('Both teabags AfterDry'!$D$1:$D$839,MATCH(H311,'Both teabags AfterDry'!$A$1:$A$839,0)),"")="N.A","",(IFERROR(INDEX('Both teabags AfterDry'!$D$1:$D$839,MATCH(H311,'Both teabags AfterDry'!$A$1:$A$839,0)),"")))</f>
        <v/>
      </c>
      <c r="T311" s="195" t="str">
        <f>IF(IFERROR(INDEX('Both teabags AfterDry'!$D$1:$D$839,MATCH(I311,'Both teabags AfterDry'!$A$1:$A$839,0)),"")="N.A","",(IFERROR(INDEX('Both teabags AfterDry'!$D$1:$D$839,MATCH(I311,'Both teabags AfterDry'!$A$1:$A$839,0)),"")))</f>
        <v/>
      </c>
      <c r="U311" s="195" t="str">
        <f t="shared" si="43"/>
        <v/>
      </c>
      <c r="V311" s="195" t="str">
        <f t="shared" si="43"/>
        <v/>
      </c>
      <c r="W311" s="195" t="str">
        <f>IFERROR(INDEX('Ashed teabags dry'!$K$2:$K$821,MATCH(H311,'Ashed teabags dry'!$A$2:$A$821,0)),"")</f>
        <v/>
      </c>
      <c r="X311" s="195" t="str">
        <f>IFERROR(INDEX('Ashed teabags dry'!$K$2:$K$821,MATCH(I311,'Ashed teabags dry'!$A$2:$A$821,0)),"")</f>
        <v/>
      </c>
      <c r="Y311" s="195" t="str">
        <f t="shared" si="38"/>
        <v/>
      </c>
      <c r="Z311" s="195" t="str">
        <f t="shared" si="38"/>
        <v/>
      </c>
      <c r="AA311" s="195" t="str">
        <f t="shared" si="44"/>
        <v/>
      </c>
      <c r="AB311" s="195" t="str">
        <f t="shared" si="45"/>
        <v/>
      </c>
      <c r="AC311" s="195" t="str">
        <f t="shared" si="39"/>
        <v/>
      </c>
      <c r="AD311">
        <f t="shared" si="40"/>
        <v>69</v>
      </c>
      <c r="AE311" s="195" t="str">
        <f t="shared" si="46"/>
        <v/>
      </c>
      <c r="AF311" s="195" t="str">
        <f t="shared" si="47"/>
        <v/>
      </c>
      <c r="AG311" s="255" t="str">
        <f>IF(ISNUMBER(SEARCH("C", 'Dry_Litterbag Placem_Collection'!AD18)),"YES","NO")</f>
        <v>NO</v>
      </c>
      <c r="AH311" s="255" t="str">
        <f>IF(ISNUMBER(SEARCH("H", 'Dry_Litterbag Placem_Collection'!AD18)),"YES","NO")</f>
        <v>NO</v>
      </c>
      <c r="AI311" s="255" t="str">
        <f>IF(ISNUMBER(SEARCH("R", 'Dry_Litterbag Placem_Collection'!AD18)),"YES","NO")</f>
        <v>NO</v>
      </c>
      <c r="AJ311" s="255" t="str">
        <f>IF(ISNUMBER(SEARCH("C", 'Dry_Litterbag Placem_Collection'!AC18)),"YES","NO")</f>
        <v>NO</v>
      </c>
      <c r="AK311" s="255" t="str">
        <f>IF(ISNUMBER(SEARCH("H", 'Dry_Litterbag Placem_Collection'!AC18)),"YES","NO")</f>
        <v>NO</v>
      </c>
      <c r="AL311" s="255" t="str">
        <f>IF(ISNUMBER(SEARCH("R", 'Dry_Litterbag Placem_Collection'!AC18)),"YES","NO")</f>
        <v>NO</v>
      </c>
      <c r="AR311" t="s">
        <v>1388</v>
      </c>
      <c r="AT311" t="s">
        <v>452</v>
      </c>
    </row>
    <row r="312" spans="2:46">
      <c r="B312" t="str">
        <f>'Final data_for_R_analysis_Dryse'!A458</f>
        <v>Dry</v>
      </c>
      <c r="C312" s="263">
        <f>'Final data_for_R_analysis_Dryse'!B458</f>
        <v>17</v>
      </c>
      <c r="D312" t="s">
        <v>3829</v>
      </c>
      <c r="E312" t="s">
        <v>25</v>
      </c>
      <c r="F312" s="386">
        <v>1</v>
      </c>
      <c r="G312" s="16">
        <f>'Dry_Litterbag Placem_Collection'!E19</f>
        <v>42936</v>
      </c>
      <c r="H312" s="92" t="str">
        <f>'Final data_for_R_analysis_Dryse'!J458</f>
        <v>G349</v>
      </c>
      <c r="I312" t="str">
        <f>'Final data_for_R_analysis_Dryse'!J678</f>
        <v>R407</v>
      </c>
      <c r="J312">
        <f>IFERROR(INDEX('Green_rooibos initial weight'!$C$5:$C$1749,MATCH(H312, 'Green_rooibos initial weight'!$A$5:$A$1749,0)),"")</f>
        <v>1.9450000000000001</v>
      </c>
      <c r="K312">
        <f>IFERROR(INDEX('Green_rooibos initial weight'!$C$5:$C$1749,MATCH(I312, 'Green_rooibos initial weight'!$A$5:$A$1749,0)),"")</f>
        <v>2.1859999999999999</v>
      </c>
      <c r="L312" s="195">
        <f t="shared" si="41"/>
        <v>1.6952</v>
      </c>
      <c r="M312" s="240">
        <f>AVERAGE(Ashed_controlls!$K$1:$K$11)</f>
        <v>5.5147656768714146</v>
      </c>
      <c r="N312" s="195">
        <f t="shared" si="36"/>
        <v>1.6017136922456758</v>
      </c>
      <c r="O312" s="195">
        <f t="shared" si="42"/>
        <v>1.9361999999999999</v>
      </c>
      <c r="P312" s="240">
        <f>AVERAGE(Ashed_controlls!$K$12:$K$14)</f>
        <v>2.2816647271287041</v>
      </c>
      <c r="Q312" s="195">
        <f t="shared" si="37"/>
        <v>1.8920224075533341</v>
      </c>
      <c r="R312" s="16">
        <f>IF('Dry_Litterbag Placem_Collection'!G19="N.A","",'Dry_Litterbag Placem_Collection'!G19)</f>
        <v>43007</v>
      </c>
      <c r="S312" s="195">
        <f>IF(IFERROR(INDEX('Both teabags AfterDry'!$D$1:$D$839,MATCH(H312,'Both teabags AfterDry'!$A$1:$A$839,0)),"")="N.A","",(IFERROR(INDEX('Both teabags AfterDry'!$D$1:$D$839,MATCH(H312,'Both teabags AfterDry'!$A$1:$A$839,0)),"")))</f>
        <v>1.7968</v>
      </c>
      <c r="T312" s="195">
        <f>IF(IFERROR(INDEX('Both teabags AfterDry'!$D$1:$D$839,MATCH(I312,'Both teabags AfterDry'!$A$1:$A$839,0)),"")="N.A","",(IFERROR(INDEX('Both teabags AfterDry'!$D$1:$D$839,MATCH(I312,'Both teabags AfterDry'!$A$1:$A$839,0)),"")))</f>
        <v>2.0062000000000002</v>
      </c>
      <c r="U312" s="195">
        <f t="shared" si="43"/>
        <v>1.6461999999999999</v>
      </c>
      <c r="V312" s="195">
        <f t="shared" si="43"/>
        <v>1.8556000000000001</v>
      </c>
      <c r="W312" s="195">
        <f>IFERROR(INDEX('Ashed teabags dry'!$K$2:$K$821,MATCH(H312,'Ashed teabags dry'!$A$2:$A$821,0)),"")</f>
        <v>5.923344947734277</v>
      </c>
      <c r="X312" s="195">
        <f>IFERROR(INDEX('Ashed teabags dry'!$K$2:$K$821,MATCH(I312,'Ashed teabags dry'!$A$2:$A$821,0)),"")</f>
        <v>2.9004329004331213</v>
      </c>
      <c r="Y312" s="195">
        <f t="shared" si="38"/>
        <v>1.5486898954703983</v>
      </c>
      <c r="Z312" s="195">
        <f t="shared" si="38"/>
        <v>1.8017795670995631</v>
      </c>
      <c r="AA312" s="195">
        <f t="shared" si="44"/>
        <v>3.3104416246161783E-2</v>
      </c>
      <c r="AB312" s="195">
        <f t="shared" si="45"/>
        <v>2.1702657681569267E-2</v>
      </c>
      <c r="AC312" s="195">
        <f t="shared" si="39"/>
        <v>0.95230350333404967</v>
      </c>
      <c r="AD312">
        <f t="shared" si="40"/>
        <v>71</v>
      </c>
      <c r="AE312" s="195">
        <f t="shared" si="46"/>
        <v>0.96068359115657742</v>
      </c>
      <c r="AF312" s="195" t="str">
        <f t="shared" si="47"/>
        <v/>
      </c>
      <c r="AG312" s="255" t="str">
        <f>IF(ISNUMBER(SEARCH("C", 'Dry_Litterbag Placem_Collection'!AD19)),"YES","NO")</f>
        <v>NO</v>
      </c>
      <c r="AH312" s="255" t="str">
        <f>IF(ISNUMBER(SEARCH("H", 'Dry_Litterbag Placem_Collection'!AD19)),"YES","NO")</f>
        <v>NO</v>
      </c>
      <c r="AI312" s="255" t="str">
        <f>IF(ISNUMBER(SEARCH("R", 'Dry_Litterbag Placem_Collection'!AD19)),"YES","NO")</f>
        <v>NO</v>
      </c>
      <c r="AJ312" s="255" t="str">
        <f>IF(ISNUMBER(SEARCH("C", 'Dry_Litterbag Placem_Collection'!AC19)),"YES","NO")</f>
        <v>NO</v>
      </c>
      <c r="AK312" s="255" t="str">
        <f>IF(ISNUMBER(SEARCH("H", 'Dry_Litterbag Placem_Collection'!AC19)),"YES","NO")</f>
        <v>NO</v>
      </c>
      <c r="AL312" s="255" t="str">
        <f>IF(ISNUMBER(SEARCH("R", 'Dry_Litterbag Placem_Collection'!AC19)),"YES","NO")</f>
        <v>NO</v>
      </c>
      <c r="AR312" t="s">
        <v>1701</v>
      </c>
      <c r="AT312" t="s">
        <v>734</v>
      </c>
    </row>
    <row r="313" spans="2:46">
      <c r="B313" t="str">
        <f>'Final data_for_R_analysis_Dryse'!A459</f>
        <v>Dry</v>
      </c>
      <c r="C313" s="263">
        <f>'Final data_for_R_analysis_Dryse'!B459</f>
        <v>18</v>
      </c>
      <c r="D313" t="s">
        <v>3829</v>
      </c>
      <c r="E313" t="s">
        <v>25</v>
      </c>
      <c r="F313" s="386">
        <v>2</v>
      </c>
      <c r="G313" s="16">
        <f>'Dry_Litterbag Placem_Collection'!E20</f>
        <v>42936</v>
      </c>
      <c r="H313" s="92" t="str">
        <f>'Final data_for_R_analysis_Dryse'!J459</f>
        <v>G113</v>
      </c>
      <c r="I313" t="str">
        <f>'Final data_for_R_analysis_Dryse'!J679</f>
        <v>R361</v>
      </c>
      <c r="J313">
        <f>IFERROR(INDEX('Green_rooibos initial weight'!$C$5:$C$1749,MATCH(H313, 'Green_rooibos initial weight'!$A$5:$A$1749,0)),"")</f>
        <v>2.0539999999999998</v>
      </c>
      <c r="K313">
        <f>IFERROR(INDEX('Green_rooibos initial weight'!$C$5:$C$1749,MATCH(I313, 'Green_rooibos initial weight'!$A$5:$A$1749,0)),"")</f>
        <v>2.2210000000000001</v>
      </c>
      <c r="L313" s="195">
        <f t="shared" si="41"/>
        <v>1.8041999999999998</v>
      </c>
      <c r="M313" s="240">
        <f>AVERAGE(Ashed_controlls!$K$1:$K$11)</f>
        <v>5.5147656768714146</v>
      </c>
      <c r="N313" s="195">
        <f t="shared" si="36"/>
        <v>1.7047025976578858</v>
      </c>
      <c r="O313" s="195">
        <f t="shared" si="42"/>
        <v>1.9712000000000001</v>
      </c>
      <c r="P313" s="240">
        <f>AVERAGE(Ashed_controlls!$K$12:$K$14)</f>
        <v>2.2816647271287041</v>
      </c>
      <c r="Q313" s="195">
        <f t="shared" si="37"/>
        <v>1.926223824898839</v>
      </c>
      <c r="R313" s="16">
        <f>IF('Dry_Litterbag Placem_Collection'!G20="N.A","",'Dry_Litterbag Placem_Collection'!G20)</f>
        <v>43007</v>
      </c>
      <c r="S313" s="195">
        <f>IF(IFERROR(INDEX('Both teabags AfterDry'!$D$1:$D$839,MATCH(H313,'Both teabags AfterDry'!$A$1:$A$839,0)),"")="N.A","",(IFERROR(INDEX('Both teabags AfterDry'!$D$1:$D$839,MATCH(H313,'Both teabags AfterDry'!$A$1:$A$839,0)),"")))</f>
        <v>1.8204</v>
      </c>
      <c r="T313" s="195">
        <f>IF(IFERROR(INDEX('Both teabags AfterDry'!$D$1:$D$839,MATCH(I313,'Both teabags AfterDry'!$A$1:$A$839,0)),"")="N.A","",(IFERROR(INDEX('Both teabags AfterDry'!$D$1:$D$839,MATCH(I313,'Both teabags AfterDry'!$A$1:$A$839,0)),"")))</f>
        <v>2.0156999999999998</v>
      </c>
      <c r="U313" s="195">
        <f t="shared" si="43"/>
        <v>1.6698</v>
      </c>
      <c r="V313" s="195">
        <f t="shared" si="43"/>
        <v>1.8650999999999998</v>
      </c>
      <c r="W313" s="195">
        <f>IFERROR(INDEX('Ashed teabags dry'!$K$2:$K$821,MATCH(H313,'Ashed teabags dry'!$A$2:$A$821,0)),"")</f>
        <v>6.7017711823853698</v>
      </c>
      <c r="X313" s="195">
        <f>IFERROR(INDEX('Ashed teabags dry'!$K$2:$K$821,MATCH(I313,'Ashed teabags dry'!$A$2:$A$821,0)),"")</f>
        <v>2.3668639053252516</v>
      </c>
      <c r="Y313" s="195">
        <f t="shared" si="38"/>
        <v>1.557893824796529</v>
      </c>
      <c r="Z313" s="195">
        <f t="shared" si="38"/>
        <v>1.8209556213017786</v>
      </c>
      <c r="AA313" s="195">
        <f t="shared" si="44"/>
        <v>8.6119873966907345E-2</v>
      </c>
      <c r="AB313" s="195">
        <f t="shared" si="45"/>
        <v>5.6458634714647127E-2</v>
      </c>
      <c r="AC313" s="195">
        <f t="shared" si="39"/>
        <v>0.94534996284630168</v>
      </c>
      <c r="AD313">
        <f t="shared" si="40"/>
        <v>71</v>
      </c>
      <c r="AE313" s="195">
        <f t="shared" si="46"/>
        <v>0.89771986464737841</v>
      </c>
      <c r="AF313" s="195">
        <f t="shared" si="47"/>
        <v>4.8464176399051456E-2</v>
      </c>
      <c r="AG313" s="255" t="str">
        <f>IF(ISNUMBER(SEARCH("C", 'Dry_Litterbag Placem_Collection'!AD20)),"YES","NO")</f>
        <v>NO</v>
      </c>
      <c r="AH313" s="255" t="str">
        <f>IF(ISNUMBER(SEARCH("H", 'Dry_Litterbag Placem_Collection'!AD20)),"YES","NO")</f>
        <v>NO</v>
      </c>
      <c r="AI313" s="255" t="str">
        <f>IF(ISNUMBER(SEARCH("R", 'Dry_Litterbag Placem_Collection'!AD20)),"YES","NO")</f>
        <v>NO</v>
      </c>
      <c r="AJ313" s="255" t="str">
        <f>IF(ISNUMBER(SEARCH("C", 'Dry_Litterbag Placem_Collection'!AC20)),"YES","NO")</f>
        <v>NO</v>
      </c>
      <c r="AK313" s="255" t="str">
        <f>IF(ISNUMBER(SEARCH("H", 'Dry_Litterbag Placem_Collection'!AC20)),"YES","NO")</f>
        <v>NO</v>
      </c>
      <c r="AL313" s="255" t="str">
        <f>IF(ISNUMBER(SEARCH("R", 'Dry_Litterbag Placem_Collection'!AC20)),"YES","NO")</f>
        <v>NO</v>
      </c>
      <c r="AR313" t="s">
        <v>1937</v>
      </c>
      <c r="AT313" t="s">
        <v>780</v>
      </c>
    </row>
    <row r="314" spans="2:46">
      <c r="B314" t="str">
        <f>'Final data_for_R_analysis_Dryse'!A460</f>
        <v>Dry</v>
      </c>
      <c r="C314" s="263">
        <f>'Final data_for_R_analysis_Dryse'!B460</f>
        <v>19</v>
      </c>
      <c r="D314" t="s">
        <v>3829</v>
      </c>
      <c r="E314" t="s">
        <v>25</v>
      </c>
      <c r="F314" s="386">
        <v>3</v>
      </c>
      <c r="G314" s="16">
        <f>'Dry_Litterbag Placem_Collection'!E21</f>
        <v>42936</v>
      </c>
      <c r="H314" s="92" t="str">
        <f>'Final data_for_R_analysis_Dryse'!J460</f>
        <v>G394</v>
      </c>
      <c r="I314" t="str">
        <f>'Final data_for_R_analysis_Dryse'!J680</f>
        <v>R280</v>
      </c>
      <c r="J314">
        <f>IFERROR(INDEX('Green_rooibos initial weight'!$C$5:$C$1749,MATCH(H314, 'Green_rooibos initial weight'!$A$5:$A$1749,0)),"")</f>
        <v>2.056</v>
      </c>
      <c r="K314">
        <f>IFERROR(INDEX('Green_rooibos initial weight'!$C$5:$C$1749,MATCH(I314, 'Green_rooibos initial weight'!$A$5:$A$1749,0)),"")</f>
        <v>2.11</v>
      </c>
      <c r="L314" s="195">
        <f t="shared" si="41"/>
        <v>1.8062</v>
      </c>
      <c r="M314" s="240">
        <f>AVERAGE(Ashed_controlls!$K$1:$K$11)</f>
        <v>5.5147656768714146</v>
      </c>
      <c r="N314" s="195">
        <f t="shared" si="36"/>
        <v>1.7065923023443486</v>
      </c>
      <c r="O314" s="195">
        <f t="shared" si="42"/>
        <v>1.8601999999999999</v>
      </c>
      <c r="P314" s="240">
        <f>AVERAGE(Ashed_controlls!$K$12:$K$14)</f>
        <v>2.2816647271287041</v>
      </c>
      <c r="Q314" s="195">
        <f t="shared" si="37"/>
        <v>1.8177564727459516</v>
      </c>
      <c r="R314" s="16">
        <f>IF('Dry_Litterbag Placem_Collection'!G21="N.A","",'Dry_Litterbag Placem_Collection'!G21)</f>
        <v>43007</v>
      </c>
      <c r="S314" s="195">
        <f>IF(IFERROR(INDEX('Both teabags AfterDry'!$D$1:$D$839,MATCH(H314,'Both teabags AfterDry'!$A$1:$A$839,0)),"")="N.A","",(IFERROR(INDEX('Both teabags AfterDry'!$D$1:$D$839,MATCH(H314,'Both teabags AfterDry'!$A$1:$A$839,0)),"")))</f>
        <v>1.8532999999999999</v>
      </c>
      <c r="T314" s="195">
        <f>IF(IFERROR(INDEX('Both teabags AfterDry'!$D$1:$D$839,MATCH(I314,'Both teabags AfterDry'!$A$1:$A$839,0)),"")="N.A","",(IFERROR(INDEX('Both teabags AfterDry'!$D$1:$D$839,MATCH(I314,'Both teabags AfterDry'!$A$1:$A$839,0)),"")))</f>
        <v>1.9007000000000001</v>
      </c>
      <c r="U314" s="195">
        <f t="shared" si="43"/>
        <v>1.7026999999999999</v>
      </c>
      <c r="V314" s="195">
        <f t="shared" si="43"/>
        <v>1.7501</v>
      </c>
      <c r="W314" s="195">
        <f>IFERROR(INDEX('Ashed teabags dry'!$K$2:$K$821,MATCH(H314,'Ashed teabags dry'!$A$2:$A$821,0)),"")</f>
        <v>6.2286689419790493</v>
      </c>
      <c r="X314" s="195">
        <f>IFERROR(INDEX('Ashed teabags dry'!$K$2:$K$821,MATCH(I314,'Ashed teabags dry'!$A$2:$A$821,0)),"")</f>
        <v>2.6531596719727872</v>
      </c>
      <c r="Y314" s="195">
        <f t="shared" si="38"/>
        <v>1.5966444539249227</v>
      </c>
      <c r="Z314" s="195">
        <f t="shared" si="38"/>
        <v>1.7036670525808042</v>
      </c>
      <c r="AA314" s="195">
        <f t="shared" si="44"/>
        <v>6.4425374630127097E-2</v>
      </c>
      <c r="AB314" s="195">
        <f t="shared" si="45"/>
        <v>4.223611258412132E-2</v>
      </c>
      <c r="AC314" s="195">
        <f t="shared" si="39"/>
        <v>0.9372361359314535</v>
      </c>
      <c r="AD314">
        <f t="shared" si="40"/>
        <v>71</v>
      </c>
      <c r="AE314" s="195">
        <f t="shared" si="46"/>
        <v>0.9234853032896353</v>
      </c>
      <c r="AF314" s="195" t="str">
        <f t="shared" si="47"/>
        <v/>
      </c>
      <c r="AG314" s="255" t="str">
        <f>IF(ISNUMBER(SEARCH("C", 'Dry_Litterbag Placem_Collection'!AD21)),"YES","NO")</f>
        <v>NO</v>
      </c>
      <c r="AH314" s="255" t="str">
        <f>IF(ISNUMBER(SEARCH("H", 'Dry_Litterbag Placem_Collection'!AD21)),"YES","NO")</f>
        <v>NO</v>
      </c>
      <c r="AI314" s="255" t="str">
        <f>IF(ISNUMBER(SEARCH("R", 'Dry_Litterbag Placem_Collection'!AD21)),"YES","NO")</f>
        <v>NO</v>
      </c>
      <c r="AJ314" s="255" t="str">
        <f>IF(ISNUMBER(SEARCH("C", 'Dry_Litterbag Placem_Collection'!AC21)),"YES","NO")</f>
        <v>NO</v>
      </c>
      <c r="AK314" s="255" t="str">
        <f>IF(ISNUMBER(SEARCH("H", 'Dry_Litterbag Placem_Collection'!AC21)),"YES","NO")</f>
        <v>NO</v>
      </c>
      <c r="AL314" s="255" t="str">
        <f>IF(ISNUMBER(SEARCH("R", 'Dry_Litterbag Placem_Collection'!AC21)),"YES","NO")</f>
        <v>NO</v>
      </c>
      <c r="AR314" t="s">
        <v>1656</v>
      </c>
      <c r="AT314" t="s">
        <v>861</v>
      </c>
    </row>
    <row r="315" spans="2:46">
      <c r="B315" t="str">
        <f>'Final data_for_R_analysis_Dryse'!A461</f>
        <v>Dry</v>
      </c>
      <c r="C315" s="263">
        <f>'Final data_for_R_analysis_Dryse'!B461</f>
        <v>20</v>
      </c>
      <c r="D315" t="s">
        <v>3829</v>
      </c>
      <c r="E315" t="s">
        <v>25</v>
      </c>
      <c r="F315" s="387">
        <v>4</v>
      </c>
      <c r="G315" s="16">
        <f>'Dry_Litterbag Placem_Collection'!E22</f>
        <v>42936</v>
      </c>
      <c r="H315" s="92" t="str">
        <f>'Final data_for_R_analysis_Dryse'!J461</f>
        <v>G79</v>
      </c>
      <c r="I315" t="str">
        <f>'Final data_for_R_analysis_Dryse'!J681</f>
        <v>R320</v>
      </c>
      <c r="J315">
        <f>IFERROR(INDEX('Green_rooibos initial weight'!$C$5:$C$1749,MATCH(H315, 'Green_rooibos initial weight'!$A$5:$A$1749,0)),"")</f>
        <v>2.1120000000000001</v>
      </c>
      <c r="K315">
        <f>IFERROR(INDEX('Green_rooibos initial weight'!$C$5:$C$1749,MATCH(I315, 'Green_rooibos initial weight'!$A$5:$A$1749,0)),"")</f>
        <v>2.1459999999999999</v>
      </c>
      <c r="L315" s="195">
        <f t="shared" si="41"/>
        <v>1.8622000000000001</v>
      </c>
      <c r="M315" s="240">
        <f>AVERAGE(Ashed_controlls!$K$1:$K$11)</f>
        <v>5.5147656768714146</v>
      </c>
      <c r="N315" s="195">
        <f t="shared" si="36"/>
        <v>1.7595040335653005</v>
      </c>
      <c r="O315" s="195">
        <f t="shared" si="42"/>
        <v>1.8961999999999999</v>
      </c>
      <c r="P315" s="240">
        <f>AVERAGE(Ashed_controlls!$K$12:$K$14)</f>
        <v>2.2816647271287041</v>
      </c>
      <c r="Q315" s="195">
        <f t="shared" si="37"/>
        <v>1.8529350734441854</v>
      </c>
      <c r="R315" s="16">
        <f>IF('Dry_Litterbag Placem_Collection'!G22="N.A","",'Dry_Litterbag Placem_Collection'!G22)</f>
        <v>43007</v>
      </c>
      <c r="S315" s="195">
        <f>IF(IFERROR(INDEX('Both teabags AfterDry'!$D$1:$D$839,MATCH(H315,'Both teabags AfterDry'!$A$1:$A$839,0)),"")="N.A","",(IFERROR(INDEX('Both teabags AfterDry'!$D$1:$D$839,MATCH(H315,'Both teabags AfterDry'!$A$1:$A$839,0)),"")))</f>
        <v>1.8559000000000001</v>
      </c>
      <c r="T315" s="195">
        <f>IF(IFERROR(INDEX('Both teabags AfterDry'!$D$1:$D$839,MATCH(I315,'Both teabags AfterDry'!$A$1:$A$839,0)),"")="N.A","",(IFERROR(INDEX('Both teabags AfterDry'!$D$1:$D$839,MATCH(I315,'Both teabags AfterDry'!$A$1:$A$839,0)),"")))</f>
        <v>1.9332</v>
      </c>
      <c r="U315" s="195">
        <f t="shared" si="43"/>
        <v>1.7053</v>
      </c>
      <c r="V315" s="195">
        <f t="shared" si="43"/>
        <v>1.7826</v>
      </c>
      <c r="W315" s="195">
        <f>IFERROR(INDEX('Ashed teabags dry'!$K$2:$K$821,MATCH(H315,'Ashed teabags dry'!$A$2:$A$821,0)),"")</f>
        <v>6.4935064935060867</v>
      </c>
      <c r="X315" s="195">
        <f>IFERROR(INDEX('Ashed teabags dry'!$K$2:$K$821,MATCH(I315,'Ashed teabags dry'!$A$2:$A$821,0)),"")</f>
        <v>2.2439024390243194</v>
      </c>
      <c r="Y315" s="195">
        <f t="shared" si="38"/>
        <v>1.5945662337662407</v>
      </c>
      <c r="Z315" s="195">
        <f t="shared" si="38"/>
        <v>1.7426001951219525</v>
      </c>
      <c r="AA315" s="195">
        <f t="shared" si="44"/>
        <v>9.3741075128338625E-2</v>
      </c>
      <c r="AB315" s="195">
        <f t="shared" si="45"/>
        <v>6.1454956616203017E-2</v>
      </c>
      <c r="AC315" s="195">
        <f t="shared" si="39"/>
        <v>0.94045399652501294</v>
      </c>
      <c r="AD315">
        <f t="shared" si="40"/>
        <v>71</v>
      </c>
      <c r="AE315" s="195">
        <f t="shared" si="46"/>
        <v>0.88866855685470469</v>
      </c>
      <c r="AF315" s="195">
        <f t="shared" si="47"/>
        <v>4.8897880218682056E-2</v>
      </c>
      <c r="AG315" s="255" t="str">
        <f>IF(ISNUMBER(SEARCH("C", 'Dry_Litterbag Placem_Collection'!AD22)),"YES","NO")</f>
        <v>NO</v>
      </c>
      <c r="AH315" s="255" t="str">
        <f>IF(ISNUMBER(SEARCH("H", 'Dry_Litterbag Placem_Collection'!AD22)),"YES","NO")</f>
        <v>NO</v>
      </c>
      <c r="AI315" s="255" t="str">
        <f>IF(ISNUMBER(SEARCH("R", 'Dry_Litterbag Placem_Collection'!AD22)),"YES","NO")</f>
        <v>NO</v>
      </c>
      <c r="AJ315" s="255" t="str">
        <f>IF(ISNUMBER(SEARCH("C", 'Dry_Litterbag Placem_Collection'!AC22)),"YES","NO")</f>
        <v>NO</v>
      </c>
      <c r="AK315" s="255" t="str">
        <f>IF(ISNUMBER(SEARCH("H", 'Dry_Litterbag Placem_Collection'!AC22)),"YES","NO")</f>
        <v>NO</v>
      </c>
      <c r="AL315" s="255" t="str">
        <f>IF(ISNUMBER(SEARCH("R", 'Dry_Litterbag Placem_Collection'!AC22)),"YES","NO")</f>
        <v>NO</v>
      </c>
      <c r="AR315" t="s">
        <v>1971</v>
      </c>
      <c r="AT315" t="s">
        <v>821</v>
      </c>
    </row>
    <row r="316" spans="2:46">
      <c r="B316" t="str">
        <f>'Final data_for_R_analysis_Dryse'!A462</f>
        <v>Dry</v>
      </c>
      <c r="C316" s="263">
        <f>'Final data_for_R_analysis_Dryse'!B462</f>
        <v>21</v>
      </c>
      <c r="D316" t="s">
        <v>3829</v>
      </c>
      <c r="E316" t="s">
        <v>25</v>
      </c>
      <c r="F316" s="387">
        <v>5</v>
      </c>
      <c r="G316" s="16">
        <f>'Dry_Litterbag Placem_Collection'!E23</f>
        <v>42936</v>
      </c>
      <c r="H316" s="92" t="str">
        <f>'Final data_for_R_analysis_Dryse'!J462</f>
        <v>G488</v>
      </c>
      <c r="I316" t="str">
        <f>'Final data_for_R_analysis_Dryse'!J682</f>
        <v>R209</v>
      </c>
      <c r="J316">
        <f>IFERROR(INDEX('Green_rooibos initial weight'!$C$5:$C$1749,MATCH(H316, 'Green_rooibos initial weight'!$A$5:$A$1749,0)),"")</f>
        <v>1.9910000000000001</v>
      </c>
      <c r="K316">
        <f>IFERROR(INDEX('Green_rooibos initial weight'!$C$5:$C$1749,MATCH(I316, 'Green_rooibos initial weight'!$A$5:$A$1749,0)),"")</f>
        <v>2.2069999999999999</v>
      </c>
      <c r="L316" s="195">
        <f t="shared" si="41"/>
        <v>1.7412000000000001</v>
      </c>
      <c r="M316" s="240">
        <f>AVERAGE(Ashed_controlls!$K$1:$K$11)</f>
        <v>5.5147656768714146</v>
      </c>
      <c r="N316" s="195">
        <f t="shared" si="36"/>
        <v>1.645176900034315</v>
      </c>
      <c r="O316" s="195">
        <f t="shared" si="42"/>
        <v>1.9571999999999998</v>
      </c>
      <c r="P316" s="240">
        <f>AVERAGE(Ashed_controlls!$K$12:$K$14)</f>
        <v>2.2816647271287041</v>
      </c>
      <c r="Q316" s="195">
        <f t="shared" si="37"/>
        <v>1.9125432579606367</v>
      </c>
      <c r="R316" s="16">
        <f>IF('Dry_Litterbag Placem_Collection'!G23="N.A","",'Dry_Litterbag Placem_Collection'!G23)</f>
        <v>43007</v>
      </c>
      <c r="S316" s="195" t="str">
        <f>IF(IFERROR(INDEX('Both teabags AfterDry'!$D$1:$D$839,MATCH(H316,'Both teabags AfterDry'!$A$1:$A$839,0)),"")="N.A","",(IFERROR(INDEX('Both teabags AfterDry'!$D$1:$D$839,MATCH(H316,'Both teabags AfterDry'!$A$1:$A$839,0)),"")))</f>
        <v/>
      </c>
      <c r="T316" s="195" t="str">
        <f>IF(IFERROR(INDEX('Both teabags AfterDry'!$D$1:$D$839,MATCH(I316,'Both teabags AfterDry'!$A$1:$A$839,0)),"")="N.A","",(IFERROR(INDEX('Both teabags AfterDry'!$D$1:$D$839,MATCH(I316,'Both teabags AfterDry'!$A$1:$A$839,0)),"")))</f>
        <v/>
      </c>
      <c r="U316" s="195" t="str">
        <f t="shared" si="43"/>
        <v/>
      </c>
      <c r="V316" s="195" t="str">
        <f t="shared" si="43"/>
        <v/>
      </c>
      <c r="W316" s="195" t="str">
        <f>IFERROR(INDEX('Ashed teabags dry'!$K$2:$K$821,MATCH(H316,'Ashed teabags dry'!$A$2:$A$821,0)),"")</f>
        <v/>
      </c>
      <c r="X316" s="195" t="str">
        <f>IFERROR(INDEX('Ashed teabags dry'!$K$2:$K$821,MATCH(I316,'Ashed teabags dry'!$A$2:$A$821,0)),"")</f>
        <v/>
      </c>
      <c r="Y316" s="195" t="str">
        <f t="shared" si="38"/>
        <v/>
      </c>
      <c r="Z316" s="195" t="str">
        <f t="shared" si="38"/>
        <v/>
      </c>
      <c r="AA316" s="195" t="str">
        <f t="shared" si="44"/>
        <v/>
      </c>
      <c r="AB316" s="195" t="str">
        <f t="shared" si="45"/>
        <v/>
      </c>
      <c r="AC316" s="195" t="str">
        <f t="shared" si="39"/>
        <v/>
      </c>
      <c r="AD316">
        <f t="shared" si="40"/>
        <v>71</v>
      </c>
      <c r="AE316" s="195" t="str">
        <f t="shared" si="46"/>
        <v/>
      </c>
      <c r="AF316" s="195" t="str">
        <f t="shared" si="47"/>
        <v/>
      </c>
      <c r="AG316" s="255" t="str">
        <f>IF(ISNUMBER(SEARCH("C", 'Dry_Litterbag Placem_Collection'!AD23)),"YES","NO")</f>
        <v>NO</v>
      </c>
      <c r="AH316" s="255" t="str">
        <f>IF(ISNUMBER(SEARCH("H", 'Dry_Litterbag Placem_Collection'!AD23)),"YES","NO")</f>
        <v>NO</v>
      </c>
      <c r="AI316" s="255" t="str">
        <f>IF(ISNUMBER(SEARCH("R", 'Dry_Litterbag Placem_Collection'!AD23)),"YES","NO")</f>
        <v>NO</v>
      </c>
      <c r="AJ316" s="255" t="str">
        <f>IF(ISNUMBER(SEARCH("C", 'Dry_Litterbag Placem_Collection'!AC23)),"YES","NO")</f>
        <v>NO</v>
      </c>
      <c r="AK316" s="255" t="str">
        <f>IF(ISNUMBER(SEARCH("H", 'Dry_Litterbag Placem_Collection'!AC23)),"YES","NO")</f>
        <v>NO</v>
      </c>
      <c r="AL316" s="255" t="str">
        <f>IF(ISNUMBER(SEARCH("R", 'Dry_Litterbag Placem_Collection'!AC23)),"YES","NO")</f>
        <v>NO</v>
      </c>
      <c r="AR316" t="s">
        <v>1562</v>
      </c>
      <c r="AT316" t="s">
        <v>932</v>
      </c>
    </row>
    <row r="317" spans="2:46">
      <c r="B317" t="str">
        <f>'Final data_for_R_analysis_Dryse'!A463</f>
        <v>Dry</v>
      </c>
      <c r="C317" s="263">
        <f>'Final data_for_R_analysis_Dryse'!B463</f>
        <v>22</v>
      </c>
      <c r="D317" t="s">
        <v>3829</v>
      </c>
      <c r="E317" t="s">
        <v>25</v>
      </c>
      <c r="F317" s="387">
        <v>6</v>
      </c>
      <c r="G317" s="16">
        <f>'Dry_Litterbag Placem_Collection'!E24</f>
        <v>42936</v>
      </c>
      <c r="H317" s="92" t="str">
        <f>'Final data_for_R_analysis_Dryse'!J463</f>
        <v>G750</v>
      </c>
      <c r="I317" t="str">
        <f>'Final data_for_R_analysis_Dryse'!J683</f>
        <v>R646</v>
      </c>
      <c r="J317">
        <f>IFERROR(INDEX('Green_rooibos initial weight'!$C$5:$C$1749,MATCH(H317, 'Green_rooibos initial weight'!$A$5:$A$1749,0)),"")</f>
        <v>1.966</v>
      </c>
      <c r="K317">
        <f>IFERROR(INDEX('Green_rooibos initial weight'!$C$5:$C$1749,MATCH(I317, 'Green_rooibos initial weight'!$A$5:$A$1749,0)),"")</f>
        <v>2.1480000000000001</v>
      </c>
      <c r="L317" s="195">
        <f t="shared" si="41"/>
        <v>1.7161999999999999</v>
      </c>
      <c r="M317" s="240">
        <f>AVERAGE(Ashed_controlls!$K$1:$K$11)</f>
        <v>5.5147656768714146</v>
      </c>
      <c r="N317" s="195">
        <f t="shared" si="36"/>
        <v>1.6215555914535327</v>
      </c>
      <c r="O317" s="195">
        <f t="shared" si="42"/>
        <v>1.8982000000000001</v>
      </c>
      <c r="P317" s="240">
        <f>AVERAGE(Ashed_controlls!$K$12:$K$14)</f>
        <v>2.2816647271287041</v>
      </c>
      <c r="Q317" s="195">
        <f t="shared" si="37"/>
        <v>1.854889440149643</v>
      </c>
      <c r="R317" s="16">
        <f>IF('Dry_Litterbag Placem_Collection'!G24="N.A","",'Dry_Litterbag Placem_Collection'!G24)</f>
        <v>43007</v>
      </c>
      <c r="S317" s="195">
        <f>IF(IFERROR(INDEX('Both teabags AfterDry'!$D$1:$D$839,MATCH(H317,'Both teabags AfterDry'!$A$1:$A$839,0)),"")="N.A","",(IFERROR(INDEX('Both teabags AfterDry'!$D$1:$D$839,MATCH(H317,'Both teabags AfterDry'!$A$1:$A$839,0)),"")))</f>
        <v>1.3833</v>
      </c>
      <c r="T317" s="195">
        <f>IF(IFERROR(INDEX('Both teabags AfterDry'!$D$1:$D$839,MATCH(I317,'Both teabags AfterDry'!$A$1:$A$839,0)),"")="N.A","",(IFERROR(INDEX('Both teabags AfterDry'!$D$1:$D$839,MATCH(I317,'Both teabags AfterDry'!$A$1:$A$839,0)),"")))</f>
        <v>1.8704000000000001</v>
      </c>
      <c r="U317" s="195">
        <f t="shared" si="43"/>
        <v>1.2326999999999999</v>
      </c>
      <c r="V317" s="195">
        <f t="shared" si="43"/>
        <v>1.7198</v>
      </c>
      <c r="W317" s="195">
        <f>IFERROR(INDEX('Ashed teabags dry'!$K$2:$K$821,MATCH(H317,'Ashed teabags dry'!$A$2:$A$821,0)),"")</f>
        <v>8.0118694362018044</v>
      </c>
      <c r="X317" s="195">
        <f>IFERROR(INDEX('Ashed teabags dry'!$K$2:$K$821,MATCH(I317,'Ashed teabags dry'!$A$2:$A$821,0)),"")</f>
        <v>2.497502497502583</v>
      </c>
      <c r="Y317" s="195">
        <f t="shared" si="38"/>
        <v>1.1339376854599403</v>
      </c>
      <c r="Z317" s="195">
        <f t="shared" si="38"/>
        <v>1.6768479520479507</v>
      </c>
      <c r="AA317" s="195">
        <f t="shared" si="44"/>
        <v>0.30070995318544746</v>
      </c>
      <c r="AB317" s="195">
        <f t="shared" si="45"/>
        <v>0.19714001681516274</v>
      </c>
      <c r="AC317" s="195">
        <f t="shared" si="39"/>
        <v>0.90401504033182223</v>
      </c>
      <c r="AD317">
        <f t="shared" si="40"/>
        <v>71</v>
      </c>
      <c r="AE317" s="195">
        <f t="shared" si="46"/>
        <v>0.64286228837832837</v>
      </c>
      <c r="AF317" s="195">
        <f t="shared" si="47"/>
        <v>9.3980234177306228E-3</v>
      </c>
      <c r="AG317" s="255" t="str">
        <f>IF(ISNUMBER(SEARCH("C", 'Dry_Litterbag Placem_Collection'!AD24)),"YES","NO")</f>
        <v>NO</v>
      </c>
      <c r="AH317" s="255" t="str">
        <f>IF(ISNUMBER(SEARCH("H", 'Dry_Litterbag Placem_Collection'!AD24)),"YES","NO")</f>
        <v>NO</v>
      </c>
      <c r="AI317" s="255" t="str">
        <f>IF(ISNUMBER(SEARCH("R", 'Dry_Litterbag Placem_Collection'!AD24)),"YES","NO")</f>
        <v>NO</v>
      </c>
      <c r="AJ317" s="255" t="str">
        <f>IF(ISNUMBER(SEARCH("C", 'Dry_Litterbag Placem_Collection'!AC24)),"YES","NO")</f>
        <v>NO</v>
      </c>
      <c r="AK317" s="255" t="str">
        <f>IF(ISNUMBER(SEARCH("H", 'Dry_Litterbag Placem_Collection'!AC24)),"YES","NO")</f>
        <v>NO</v>
      </c>
      <c r="AL317" s="255" t="str">
        <f>IF(ISNUMBER(SEARCH("R", 'Dry_Litterbag Placem_Collection'!AC24)),"YES","NO")</f>
        <v>NO</v>
      </c>
      <c r="AR317" t="s">
        <v>1300</v>
      </c>
      <c r="AT317" t="s">
        <v>493</v>
      </c>
    </row>
    <row r="318" spans="2:46">
      <c r="B318" t="str">
        <f>'Final data_for_R_analysis_Dryse'!A464</f>
        <v>Dry</v>
      </c>
      <c r="C318" s="263">
        <f>'Final data_for_R_analysis_Dryse'!B464</f>
        <v>23</v>
      </c>
      <c r="D318" t="s">
        <v>3829</v>
      </c>
      <c r="E318" t="s">
        <v>25</v>
      </c>
      <c r="F318" s="387">
        <v>7</v>
      </c>
      <c r="G318" s="390">
        <f>'Dry_Litterbag Placem_Collection'!E25</f>
        <v>0</v>
      </c>
      <c r="H318" s="92" t="str">
        <f>'Final data_for_R_analysis_Dryse'!J464</f>
        <v/>
      </c>
      <c r="I318" t="str">
        <f>'Final data_for_R_analysis_Dryse'!J684</f>
        <v/>
      </c>
      <c r="J318" t="str">
        <f>IFERROR(INDEX('Green_rooibos initial weight'!$C$5:$C$1749,MATCH(H318, 'Green_rooibos initial weight'!$A$5:$A$1749,0)),"")</f>
        <v/>
      </c>
      <c r="K318" t="str">
        <f>IFERROR(INDEX('Green_rooibos initial weight'!$C$5:$C$1749,MATCH(I318, 'Green_rooibos initial weight'!$A$5:$A$1749,0)),"")</f>
        <v/>
      </c>
      <c r="L318" s="195" t="str">
        <f t="shared" si="41"/>
        <v/>
      </c>
      <c r="M318" s="240">
        <f>AVERAGE(Ashed_controlls!$K$1:$K$11)</f>
        <v>5.5147656768714146</v>
      </c>
      <c r="N318" s="195" t="str">
        <f t="shared" si="36"/>
        <v/>
      </c>
      <c r="O318" s="195" t="str">
        <f t="shared" si="42"/>
        <v/>
      </c>
      <c r="P318" s="240">
        <f>AVERAGE(Ashed_controlls!$K$12:$K$14)</f>
        <v>2.2816647271287041</v>
      </c>
      <c r="Q318" s="195" t="str">
        <f t="shared" si="37"/>
        <v/>
      </c>
      <c r="R318" s="16">
        <f>IF('Dry_Litterbag Placem_Collection'!G25="N.A","",'Dry_Litterbag Placem_Collection'!G25)</f>
        <v>0</v>
      </c>
      <c r="S318" s="195" t="str">
        <f>IF(IFERROR(INDEX('Both teabags AfterDry'!$D$1:$D$839,MATCH(H318,'Both teabags AfterDry'!$A$1:$A$839,0)),"")="N.A","",(IFERROR(INDEX('Both teabags AfterDry'!$D$1:$D$839,MATCH(H318,'Both teabags AfterDry'!$A$1:$A$839,0)),"")))</f>
        <v/>
      </c>
      <c r="T318" s="195" t="str">
        <f>IF(IFERROR(INDEX('Both teabags AfterDry'!$D$1:$D$839,MATCH(I318,'Both teabags AfterDry'!$A$1:$A$839,0)),"")="N.A","",(IFERROR(INDEX('Both teabags AfterDry'!$D$1:$D$839,MATCH(I318,'Both teabags AfterDry'!$A$1:$A$839,0)),"")))</f>
        <v/>
      </c>
      <c r="U318" s="195" t="str">
        <f t="shared" si="43"/>
        <v/>
      </c>
      <c r="V318" s="195" t="str">
        <f t="shared" si="43"/>
        <v/>
      </c>
      <c r="W318" s="195" t="str">
        <f>IFERROR(INDEX('Ashed teabags dry'!$K$2:$K$821,MATCH(H318,'Ashed teabags dry'!$A$2:$A$821,0)),"")</f>
        <v/>
      </c>
      <c r="X318" s="195" t="str">
        <f>IFERROR(INDEX('Ashed teabags dry'!$K$2:$K$821,MATCH(I318,'Ashed teabags dry'!$A$2:$A$821,0)),"")</f>
        <v/>
      </c>
      <c r="Y318" s="195" t="str">
        <f t="shared" si="38"/>
        <v/>
      </c>
      <c r="Z318" s="195" t="str">
        <f t="shared" si="38"/>
        <v/>
      </c>
      <c r="AA318" s="195" t="str">
        <f t="shared" si="44"/>
        <v/>
      </c>
      <c r="AB318" s="195" t="str">
        <f t="shared" si="45"/>
        <v/>
      </c>
      <c r="AC318" s="195" t="str">
        <f t="shared" si="39"/>
        <v/>
      </c>
      <c r="AD318" t="str">
        <f t="shared" si="40"/>
        <v/>
      </c>
      <c r="AE318" s="195" t="str">
        <f t="shared" si="46"/>
        <v/>
      </c>
      <c r="AF318" s="195" t="str">
        <f t="shared" si="47"/>
        <v/>
      </c>
      <c r="AG318" s="255" t="str">
        <f>IF(ISNUMBER(SEARCH("C", 'Dry_Litterbag Placem_Collection'!AD25)),"YES","NO")</f>
        <v>NO</v>
      </c>
      <c r="AH318" s="255" t="str">
        <f>IF(ISNUMBER(SEARCH("H", 'Dry_Litterbag Placem_Collection'!AD25)),"YES","NO")</f>
        <v>NO</v>
      </c>
      <c r="AI318" s="255" t="str">
        <f>IF(ISNUMBER(SEARCH("R", 'Dry_Litterbag Placem_Collection'!AD25)),"YES","NO")</f>
        <v>NO</v>
      </c>
      <c r="AJ318" s="255" t="str">
        <f>IF(ISNUMBER(SEARCH("C", 'Dry_Litterbag Placem_Collection'!AC25)),"YES","NO")</f>
        <v>NO</v>
      </c>
      <c r="AK318" s="255" t="str">
        <f>IF(ISNUMBER(SEARCH("H", 'Dry_Litterbag Placem_Collection'!AC25)),"YES","NO")</f>
        <v>NO</v>
      </c>
      <c r="AL318" s="255" t="str">
        <f>IF(ISNUMBER(SEARCH("R", 'Dry_Litterbag Placem_Collection'!AC25)),"YES","NO")</f>
        <v>NO</v>
      </c>
      <c r="AR318" t="s">
        <v>3654</v>
      </c>
      <c r="AT318" t="s">
        <v>3654</v>
      </c>
    </row>
    <row r="319" spans="2:46">
      <c r="B319" t="str">
        <f>'Final data_for_R_analysis_Dryse'!A465</f>
        <v>Dry</v>
      </c>
      <c r="C319" s="263">
        <f>'Final data_for_R_analysis_Dryse'!B465</f>
        <v>24</v>
      </c>
      <c r="D319" t="s">
        <v>3829</v>
      </c>
      <c r="E319" t="s">
        <v>25</v>
      </c>
      <c r="F319" s="387">
        <v>8</v>
      </c>
      <c r="G319" s="16">
        <f>'Dry_Litterbag Placem_Collection'!E26</f>
        <v>42936</v>
      </c>
      <c r="H319" s="92" t="str">
        <f>'Final data_for_R_analysis_Dryse'!J465</f>
        <v>G562</v>
      </c>
      <c r="I319" t="str">
        <f>'Final data_for_R_analysis_Dryse'!J685</f>
        <v>R650</v>
      </c>
      <c r="J319">
        <f>IFERROR(INDEX('Green_rooibos initial weight'!$C$5:$C$1749,MATCH(H319, 'Green_rooibos initial weight'!$A$5:$A$1749,0)),"")</f>
        <v>2.1419999999999999</v>
      </c>
      <c r="K319">
        <f>IFERROR(INDEX('Green_rooibos initial weight'!$C$5:$C$1749,MATCH(I319, 'Green_rooibos initial weight'!$A$5:$A$1749,0)),"")</f>
        <v>2.169</v>
      </c>
      <c r="L319" s="195">
        <f t="shared" si="41"/>
        <v>1.8921999999999999</v>
      </c>
      <c r="M319" s="240">
        <f>AVERAGE(Ashed_controlls!$K$1:$K$11)</f>
        <v>5.5147656768714146</v>
      </c>
      <c r="N319" s="195">
        <f t="shared" si="36"/>
        <v>1.7878496038622389</v>
      </c>
      <c r="O319" s="195">
        <f t="shared" si="42"/>
        <v>1.9192</v>
      </c>
      <c r="P319" s="240">
        <f>AVERAGE(Ashed_controlls!$K$12:$K$14)</f>
        <v>2.2816647271287041</v>
      </c>
      <c r="Q319" s="195">
        <f t="shared" si="37"/>
        <v>1.8754102905569459</v>
      </c>
      <c r="R319" s="16">
        <f>IF('Dry_Litterbag Placem_Collection'!G26="N.A","",'Dry_Litterbag Placem_Collection'!G26)</f>
        <v>43007</v>
      </c>
      <c r="S319" s="195">
        <f>IF(IFERROR(INDEX('Both teabags AfterDry'!$D$1:$D$839,MATCH(H319,'Both teabags AfterDry'!$A$1:$A$839,0)),"")="N.A","",(IFERROR(INDEX('Both teabags AfterDry'!$D$1:$D$839,MATCH(H319,'Both teabags AfterDry'!$A$1:$A$839,0)),"")))</f>
        <v>1.8862000000000001</v>
      </c>
      <c r="T319" s="195">
        <f>IF(IFERROR(INDEX('Both teabags AfterDry'!$D$1:$D$839,MATCH(I319,'Both teabags AfterDry'!$A$1:$A$839,0)),"")="N.A","",(IFERROR(INDEX('Both teabags AfterDry'!$D$1:$D$839,MATCH(I319,'Both teabags AfterDry'!$A$1:$A$839,0)),"")))</f>
        <v>1.9756</v>
      </c>
      <c r="U319" s="195">
        <f t="shared" si="43"/>
        <v>1.7356</v>
      </c>
      <c r="V319" s="195">
        <f t="shared" si="43"/>
        <v>1.825</v>
      </c>
      <c r="W319" s="195">
        <f>IFERROR(INDEX('Ashed teabags dry'!$K$2:$K$821,MATCH(H319,'Ashed teabags dry'!$A$2:$A$821,0)),"")</f>
        <v>6.1334641805691774</v>
      </c>
      <c r="X319" s="195">
        <f>IFERROR(INDEX('Ashed teabags dry'!$K$2:$K$821,MATCH(I319,'Ashed teabags dry'!$A$2:$A$821,0)),"")</f>
        <v>3.4467713787080392</v>
      </c>
      <c r="Y319" s="195">
        <f t="shared" si="38"/>
        <v>1.6291475956820414</v>
      </c>
      <c r="Z319" s="195">
        <f t="shared" si="38"/>
        <v>1.7620964223385782</v>
      </c>
      <c r="AA319" s="195">
        <f t="shared" si="44"/>
        <v>8.8766978965880705E-2</v>
      </c>
      <c r="AB319" s="195">
        <f t="shared" si="45"/>
        <v>5.8194028965755547E-2</v>
      </c>
      <c r="AC319" s="195">
        <f t="shared" si="39"/>
        <v>0.939579158337285</v>
      </c>
      <c r="AD319">
        <f t="shared" si="40"/>
        <v>71</v>
      </c>
      <c r="AE319" s="195">
        <f t="shared" si="46"/>
        <v>0.89457603448232692</v>
      </c>
      <c r="AF319" s="195" t="str">
        <f t="shared" si="47"/>
        <v/>
      </c>
      <c r="AG319" s="255" t="str">
        <f>IF(ISNUMBER(SEARCH("C", 'Dry_Litterbag Placem_Collection'!AD26)),"YES","NO")</f>
        <v>NO</v>
      </c>
      <c r="AH319" s="255" t="str">
        <f>IF(ISNUMBER(SEARCH("H", 'Dry_Litterbag Placem_Collection'!AD26)),"YES","NO")</f>
        <v>NO</v>
      </c>
      <c r="AI319" s="255" t="str">
        <f>IF(ISNUMBER(SEARCH("R", 'Dry_Litterbag Placem_Collection'!AD26)),"YES","NO")</f>
        <v>NO</v>
      </c>
      <c r="AJ319" s="255" t="str">
        <f>IF(ISNUMBER(SEARCH("C", 'Dry_Litterbag Placem_Collection'!AC26)),"YES","NO")</f>
        <v>NO</v>
      </c>
      <c r="AK319" s="255" t="str">
        <f>IF(ISNUMBER(SEARCH("H", 'Dry_Litterbag Placem_Collection'!AC26)),"YES","NO")</f>
        <v>NO</v>
      </c>
      <c r="AL319" s="255" t="str">
        <f>IF(ISNUMBER(SEARCH("R", 'Dry_Litterbag Placem_Collection'!AC26)),"YES","NO")</f>
        <v>NO</v>
      </c>
      <c r="AR319" t="s">
        <v>1488</v>
      </c>
      <c r="AT319" t="s">
        <v>489</v>
      </c>
    </row>
    <row r="320" spans="2:46">
      <c r="B320" t="str">
        <f>'Final data_for_R_analysis_Dryse'!A466</f>
        <v>Dry</v>
      </c>
      <c r="C320" s="263">
        <f>'Final data_for_R_analysis_Dryse'!B466</f>
        <v>25</v>
      </c>
      <c r="D320" t="s">
        <v>3830</v>
      </c>
      <c r="E320" t="s">
        <v>25</v>
      </c>
      <c r="F320" s="386">
        <v>1</v>
      </c>
      <c r="G320" s="16">
        <f>'Dry_Litterbag Placem_Collection'!E27</f>
        <v>42936</v>
      </c>
      <c r="H320" s="92" t="str">
        <f>'Final data_for_R_analysis_Dryse'!J466</f>
        <v>G156</v>
      </c>
      <c r="I320" t="str">
        <f>'Final data_for_R_analysis_Dryse'!J686</f>
        <v>R230</v>
      </c>
      <c r="J320">
        <f>IFERROR(INDEX('Green_rooibos initial weight'!$C$5:$C$1749,MATCH(H320, 'Green_rooibos initial weight'!$A$5:$A$1749,0)),"")</f>
        <v>1.944</v>
      </c>
      <c r="K320">
        <f>IFERROR(INDEX('Green_rooibos initial weight'!$C$5:$C$1749,MATCH(I320, 'Green_rooibos initial weight'!$A$5:$A$1749,0)),"")</f>
        <v>2.2589999999999999</v>
      </c>
      <c r="L320" s="195">
        <f t="shared" si="41"/>
        <v>1.6941999999999999</v>
      </c>
      <c r="M320" s="240">
        <f>AVERAGE(Ashed_controlls!$K$1:$K$11)</f>
        <v>5.5147656768714146</v>
      </c>
      <c r="N320" s="195">
        <f t="shared" si="36"/>
        <v>1.6007688399024445</v>
      </c>
      <c r="O320" s="195">
        <f t="shared" si="42"/>
        <v>2.0091999999999999</v>
      </c>
      <c r="P320" s="240">
        <f>AVERAGE(Ashed_controlls!$K$12:$K$14)</f>
        <v>2.2816647271287041</v>
      </c>
      <c r="Q320" s="195">
        <f t="shared" si="37"/>
        <v>1.9633567923025299</v>
      </c>
      <c r="R320" s="16">
        <f>IF('Dry_Litterbag Placem_Collection'!G27="N.A","",'Dry_Litterbag Placem_Collection'!G27)</f>
        <v>43007</v>
      </c>
      <c r="S320" s="195">
        <f>IF(IFERROR(INDEX('Both teabags AfterDry'!$D$1:$D$839,MATCH(H320,'Both teabags AfterDry'!$A$1:$A$839,0)),"")="N.A","",(IFERROR(INDEX('Both teabags AfterDry'!$D$1:$D$839,MATCH(H320,'Both teabags AfterDry'!$A$1:$A$839,0)),"")))</f>
        <v>1.8079000000000001</v>
      </c>
      <c r="T320" s="195">
        <f>IF(IFERROR(INDEX('Both teabags AfterDry'!$D$1:$D$839,MATCH(I320,'Both teabags AfterDry'!$A$1:$A$839,0)),"")="N.A","",(IFERROR(INDEX('Both teabags AfterDry'!$D$1:$D$839,MATCH(I320,'Both teabags AfterDry'!$A$1:$A$839,0)),"")))</f>
        <v>2.0360999999999998</v>
      </c>
      <c r="U320" s="195">
        <f t="shared" si="43"/>
        <v>1.6573</v>
      </c>
      <c r="V320" s="195">
        <f t="shared" si="43"/>
        <v>1.8854999999999997</v>
      </c>
      <c r="W320" s="195">
        <f>IFERROR(INDEX('Ashed teabags dry'!$K$2:$K$821,MATCH(H320,'Ashed teabags dry'!$A$2:$A$821,0)),"")</f>
        <v>5.9562587249876717</v>
      </c>
      <c r="X320" s="195">
        <f>IFERROR(INDEX('Ashed teabags dry'!$K$2:$K$821,MATCH(I320,'Ashed teabags dry'!$A$2:$A$821,0)),"")</f>
        <v>3.0508474576268232</v>
      </c>
      <c r="Y320" s="195">
        <f t="shared" si="38"/>
        <v>1.5585869241507793</v>
      </c>
      <c r="Z320" s="195">
        <f t="shared" si="38"/>
        <v>1.827976271186446</v>
      </c>
      <c r="AA320" s="195">
        <f t="shared" si="44"/>
        <v>2.6351035015296675E-2</v>
      </c>
      <c r="AB320" s="195">
        <f t="shared" si="45"/>
        <v>1.7275262860384537E-2</v>
      </c>
      <c r="AC320" s="195">
        <f t="shared" si="39"/>
        <v>0.9310463988782619</v>
      </c>
      <c r="AD320">
        <f t="shared" si="40"/>
        <v>71</v>
      </c>
      <c r="AE320" s="195">
        <f t="shared" si="46"/>
        <v>0.96870423394857874</v>
      </c>
      <c r="AF320" s="195" t="str">
        <f t="shared" si="47"/>
        <v/>
      </c>
      <c r="AG320" s="255" t="str">
        <f>IF(ISNUMBER(SEARCH("C", 'Dry_Litterbag Placem_Collection'!AD27)),"YES","NO")</f>
        <v>NO</v>
      </c>
      <c r="AH320" s="255" t="str">
        <f>IF(ISNUMBER(SEARCH("H", 'Dry_Litterbag Placem_Collection'!AD27)),"YES","NO")</f>
        <v>NO</v>
      </c>
      <c r="AI320" s="255" t="str">
        <f>IF(ISNUMBER(SEARCH("R", 'Dry_Litterbag Placem_Collection'!AD27)),"YES","NO")</f>
        <v>NO</v>
      </c>
      <c r="AJ320" s="255" t="str">
        <f>IF(ISNUMBER(SEARCH("C", 'Dry_Litterbag Placem_Collection'!AC27)),"YES","NO")</f>
        <v>NO</v>
      </c>
      <c r="AK320" s="255" t="str">
        <f>IF(ISNUMBER(SEARCH("H", 'Dry_Litterbag Placem_Collection'!AC27)),"YES","NO")</f>
        <v>NO</v>
      </c>
      <c r="AL320" s="255" t="str">
        <f>IF(ISNUMBER(SEARCH("R", 'Dry_Litterbag Placem_Collection'!AC27)),"YES","NO")</f>
        <v>NO</v>
      </c>
      <c r="AR320" t="s">
        <v>1894</v>
      </c>
      <c r="AT320" t="s">
        <v>911</v>
      </c>
    </row>
    <row r="321" spans="2:46">
      <c r="B321" t="str">
        <f>'Final data_for_R_analysis_Dryse'!A467</f>
        <v>Dry</v>
      </c>
      <c r="C321" s="263">
        <f>'Final data_for_R_analysis_Dryse'!B467</f>
        <v>26</v>
      </c>
      <c r="D321" t="s">
        <v>3830</v>
      </c>
      <c r="E321" t="s">
        <v>25</v>
      </c>
      <c r="F321" s="386">
        <v>2</v>
      </c>
      <c r="G321" s="16">
        <f>'Dry_Litterbag Placem_Collection'!E28</f>
        <v>42936</v>
      </c>
      <c r="H321" s="92" t="str">
        <f>'Final data_for_R_analysis_Dryse'!J467</f>
        <v>G555</v>
      </c>
      <c r="I321" t="str">
        <f>'Final data_for_R_analysis_Dryse'!J687</f>
        <v>R642</v>
      </c>
      <c r="J321">
        <f>IFERROR(INDEX('Green_rooibos initial weight'!$C$5:$C$1749,MATCH(H321, 'Green_rooibos initial weight'!$A$5:$A$1749,0)),"")</f>
        <v>2.1469999999999998</v>
      </c>
      <c r="K321">
        <f>IFERROR(INDEX('Green_rooibos initial weight'!$C$5:$C$1749,MATCH(I321, 'Green_rooibos initial weight'!$A$5:$A$1749,0)),"")</f>
        <v>2.14</v>
      </c>
      <c r="L321" s="195">
        <f t="shared" si="41"/>
        <v>1.8971999999999998</v>
      </c>
      <c r="M321" s="240">
        <f>AVERAGE(Ashed_controlls!$K$1:$K$11)</f>
        <v>5.5147656768714146</v>
      </c>
      <c r="N321" s="195">
        <f t="shared" si="36"/>
        <v>1.7925738655783954</v>
      </c>
      <c r="O321" s="195">
        <f t="shared" si="42"/>
        <v>1.8902000000000001</v>
      </c>
      <c r="P321" s="240">
        <f>AVERAGE(Ashed_controlls!$K$12:$K$14)</f>
        <v>2.2816647271287041</v>
      </c>
      <c r="Q321" s="195">
        <f t="shared" si="37"/>
        <v>1.8470719733278134</v>
      </c>
      <c r="R321" s="16">
        <f>IF('Dry_Litterbag Placem_Collection'!G28="N.A","",'Dry_Litterbag Placem_Collection'!G28)</f>
        <v>43007</v>
      </c>
      <c r="S321" s="195">
        <f>IF(IFERROR(INDEX('Both teabags AfterDry'!$D$1:$D$839,MATCH(H321,'Both teabags AfterDry'!$A$1:$A$839,0)),"")="N.A","",(IFERROR(INDEX('Both teabags AfterDry'!$D$1:$D$839,MATCH(H321,'Both teabags AfterDry'!$A$1:$A$839,0)),"")))</f>
        <v>2.0030000000000001</v>
      </c>
      <c r="T321" s="195">
        <f>IF(IFERROR(INDEX('Both teabags AfterDry'!$D$1:$D$839,MATCH(I321,'Both teabags AfterDry'!$A$1:$A$839,0)),"")="N.A","",(IFERROR(INDEX('Both teabags AfterDry'!$D$1:$D$839,MATCH(I321,'Both teabags AfterDry'!$A$1:$A$839,0)),"")))</f>
        <v>1.9686999999999999</v>
      </c>
      <c r="U321" s="195">
        <f t="shared" si="43"/>
        <v>1.8524</v>
      </c>
      <c r="V321" s="195">
        <f t="shared" si="43"/>
        <v>1.8180999999999998</v>
      </c>
      <c r="W321" s="195">
        <f>IFERROR(INDEX('Ashed teabags dry'!$K$2:$K$821,MATCH(H321,'Ashed teabags dry'!$A$2:$A$821,0)),"")</f>
        <v>6.0509554140126784</v>
      </c>
      <c r="X321" s="195">
        <f>IFERROR(INDEX('Ashed teabags dry'!$K$2:$K$821,MATCH(I321,'Ashed teabags dry'!$A$2:$A$821,0)),"")</f>
        <v>2.1136683889149204</v>
      </c>
      <c r="Y321" s="195">
        <f t="shared" si="38"/>
        <v>1.7403121019108292</v>
      </c>
      <c r="Z321" s="195">
        <f t="shared" si="38"/>
        <v>1.7796713950211376</v>
      </c>
      <c r="AA321" s="195">
        <f t="shared" si="44"/>
        <v>2.9154594224045205E-2</v>
      </c>
      <c r="AB321" s="195">
        <f t="shared" si="45"/>
        <v>1.9113225667070008E-2</v>
      </c>
      <c r="AC321" s="195">
        <f t="shared" si="39"/>
        <v>0.96350950083160958</v>
      </c>
      <c r="AD321">
        <f t="shared" si="40"/>
        <v>71</v>
      </c>
      <c r="AE321" s="195">
        <f t="shared" si="46"/>
        <v>0.96537459118284419</v>
      </c>
      <c r="AF321" s="195" t="str">
        <f t="shared" si="47"/>
        <v/>
      </c>
      <c r="AG321" s="255" t="str">
        <f>IF(ISNUMBER(SEARCH("C", 'Dry_Litterbag Placem_Collection'!AD28)),"YES","NO")</f>
        <v>NO</v>
      </c>
      <c r="AH321" s="255" t="str">
        <f>IF(ISNUMBER(SEARCH("H", 'Dry_Litterbag Placem_Collection'!AD28)),"YES","NO")</f>
        <v>NO</v>
      </c>
      <c r="AI321" s="255" t="str">
        <f>IF(ISNUMBER(SEARCH("R", 'Dry_Litterbag Placem_Collection'!AD28)),"YES","NO")</f>
        <v>NO</v>
      </c>
      <c r="AJ321" s="255" t="str">
        <f>IF(ISNUMBER(SEARCH("C", 'Dry_Litterbag Placem_Collection'!AC28)),"YES","NO")</f>
        <v>NO</v>
      </c>
      <c r="AK321" s="255" t="str">
        <f>IF(ISNUMBER(SEARCH("H", 'Dry_Litterbag Placem_Collection'!AC28)),"YES","NO")</f>
        <v>NO</v>
      </c>
      <c r="AL321" s="255" t="str">
        <f>IF(ISNUMBER(SEARCH("R", 'Dry_Litterbag Placem_Collection'!AC28)),"YES","NO")</f>
        <v>NO</v>
      </c>
      <c r="AR321" t="s">
        <v>1495</v>
      </c>
      <c r="AT321" t="s">
        <v>497</v>
      </c>
    </row>
    <row r="322" spans="2:46">
      <c r="B322" t="str">
        <f>'Final data_for_R_analysis_Dryse'!A468</f>
        <v>Dry</v>
      </c>
      <c r="C322" s="263">
        <f>'Final data_for_R_analysis_Dryse'!B468</f>
        <v>27</v>
      </c>
      <c r="D322" t="s">
        <v>3830</v>
      </c>
      <c r="E322" t="s">
        <v>25</v>
      </c>
      <c r="F322" s="386">
        <v>3</v>
      </c>
      <c r="G322" s="16">
        <f>'Dry_Litterbag Placem_Collection'!E29</f>
        <v>42936</v>
      </c>
      <c r="H322" s="92" t="str">
        <f>'Final data_for_R_analysis_Dryse'!J468</f>
        <v>G378</v>
      </c>
      <c r="I322" t="str">
        <f>'Final data_for_R_analysis_Dryse'!J688</f>
        <v>R199</v>
      </c>
      <c r="J322">
        <f>IFERROR(INDEX('Green_rooibos initial weight'!$C$5:$C$1749,MATCH(H322, 'Green_rooibos initial weight'!$A$5:$A$1749,0)),"")</f>
        <v>2.0830000000000002</v>
      </c>
      <c r="K322">
        <f>IFERROR(INDEX('Green_rooibos initial weight'!$C$5:$C$1749,MATCH(I322, 'Green_rooibos initial weight'!$A$5:$A$1749,0)),"")</f>
        <v>2.1850000000000001</v>
      </c>
      <c r="L322" s="195">
        <f t="shared" si="41"/>
        <v>1.8332000000000002</v>
      </c>
      <c r="M322" s="240">
        <f>AVERAGE(Ashed_controlls!$K$1:$K$11)</f>
        <v>5.5147656768714146</v>
      </c>
      <c r="N322" s="195">
        <f t="shared" si="36"/>
        <v>1.7321033156115935</v>
      </c>
      <c r="O322" s="195">
        <f t="shared" si="42"/>
        <v>1.9352</v>
      </c>
      <c r="P322" s="240">
        <f>AVERAGE(Ashed_controlls!$K$12:$K$14)</f>
        <v>2.2816647271287041</v>
      </c>
      <c r="Q322" s="195">
        <f t="shared" si="37"/>
        <v>1.8910452242006053</v>
      </c>
      <c r="R322" s="16">
        <f>IF('Dry_Litterbag Placem_Collection'!G29="N.A","",'Dry_Litterbag Placem_Collection'!G29)</f>
        <v>43007</v>
      </c>
      <c r="S322" s="195" t="str">
        <f>IF(IFERROR(INDEX('Both teabags AfterDry'!$D$1:$D$839,MATCH(H322,'Both teabags AfterDry'!$A$1:$A$839,0)),"")="N.A","",(IFERROR(INDEX('Both teabags AfterDry'!$D$1:$D$839,MATCH(H322,'Both teabags AfterDry'!$A$1:$A$839,0)),"")))</f>
        <v/>
      </c>
      <c r="T322" s="195" t="str">
        <f>IF(IFERROR(INDEX('Both teabags AfterDry'!$D$1:$D$839,MATCH(I322,'Both teabags AfterDry'!$A$1:$A$839,0)),"")="N.A","",(IFERROR(INDEX('Both teabags AfterDry'!$D$1:$D$839,MATCH(I322,'Both teabags AfterDry'!$A$1:$A$839,0)),"")))</f>
        <v/>
      </c>
      <c r="U322" s="195" t="str">
        <f t="shared" si="43"/>
        <v/>
      </c>
      <c r="V322" s="195" t="str">
        <f t="shared" si="43"/>
        <v/>
      </c>
      <c r="W322" s="195" t="str">
        <f>IFERROR(INDEX('Ashed teabags dry'!$K$2:$K$821,MATCH(H322,'Ashed teabags dry'!$A$2:$A$821,0)),"")</f>
        <v/>
      </c>
      <c r="X322" s="195" t="str">
        <f>IFERROR(INDEX('Ashed teabags dry'!$K$2:$K$821,MATCH(I322,'Ashed teabags dry'!$A$2:$A$821,0)),"")</f>
        <v/>
      </c>
      <c r="Y322" s="195" t="str">
        <f t="shared" si="38"/>
        <v/>
      </c>
      <c r="Z322" s="195" t="str">
        <f t="shared" si="38"/>
        <v/>
      </c>
      <c r="AA322" s="195" t="str">
        <f t="shared" si="44"/>
        <v/>
      </c>
      <c r="AB322" s="195" t="str">
        <f t="shared" si="45"/>
        <v/>
      </c>
      <c r="AC322" s="195" t="str">
        <f t="shared" si="39"/>
        <v/>
      </c>
      <c r="AD322">
        <f t="shared" si="40"/>
        <v>71</v>
      </c>
      <c r="AE322" s="195" t="str">
        <f t="shared" si="46"/>
        <v/>
      </c>
      <c r="AF322" s="195" t="str">
        <f t="shared" si="47"/>
        <v/>
      </c>
      <c r="AG322" s="255" t="str">
        <f>IF(ISNUMBER(SEARCH("C", 'Dry_Litterbag Placem_Collection'!AD29)),"YES","NO")</f>
        <v>NO</v>
      </c>
      <c r="AH322" s="255" t="str">
        <f>IF(ISNUMBER(SEARCH("H", 'Dry_Litterbag Placem_Collection'!AD29)),"YES","NO")</f>
        <v>NO</v>
      </c>
      <c r="AI322" s="255" t="str">
        <f>IF(ISNUMBER(SEARCH("R", 'Dry_Litterbag Placem_Collection'!AD29)),"YES","NO")</f>
        <v>NO</v>
      </c>
      <c r="AJ322" s="255" t="str">
        <f>IF(ISNUMBER(SEARCH("C", 'Dry_Litterbag Placem_Collection'!AC29)),"YES","NO")</f>
        <v>NO</v>
      </c>
      <c r="AK322" s="255" t="str">
        <f>IF(ISNUMBER(SEARCH("H", 'Dry_Litterbag Placem_Collection'!AC29)),"YES","NO")</f>
        <v>NO</v>
      </c>
      <c r="AL322" s="255" t="str">
        <f>IF(ISNUMBER(SEARCH("R", 'Dry_Litterbag Placem_Collection'!AC29)),"YES","NO")</f>
        <v>NO</v>
      </c>
      <c r="AR322" t="s">
        <v>1672</v>
      </c>
      <c r="AT322" t="s">
        <v>942</v>
      </c>
    </row>
    <row r="323" spans="2:46">
      <c r="B323" t="str">
        <f>'Final data_for_R_analysis_Dryse'!A469</f>
        <v>Dry</v>
      </c>
      <c r="C323" s="263">
        <f>'Final data_for_R_analysis_Dryse'!B469</f>
        <v>28</v>
      </c>
      <c r="D323" t="s">
        <v>3830</v>
      </c>
      <c r="E323" t="s">
        <v>25</v>
      </c>
      <c r="F323" s="387">
        <v>4</v>
      </c>
      <c r="G323" s="16">
        <f>'Dry_Litterbag Placem_Collection'!E30</f>
        <v>42936</v>
      </c>
      <c r="H323" s="92" t="str">
        <f>'Final data_for_R_analysis_Dryse'!J469</f>
        <v>G46</v>
      </c>
      <c r="I323" t="str">
        <f>'Final data_for_R_analysis_Dryse'!J689</f>
        <v>R162</v>
      </c>
      <c r="J323">
        <f>IFERROR(INDEX('Green_rooibos initial weight'!$C$5:$C$1749,MATCH(H323, 'Green_rooibos initial weight'!$A$5:$A$1749,0)),"")</f>
        <v>1.895</v>
      </c>
      <c r="K323">
        <f>IFERROR(INDEX('Green_rooibos initial weight'!$C$5:$C$1749,MATCH(I323, 'Green_rooibos initial weight'!$A$5:$A$1749,0)),"")</f>
        <v>2.242</v>
      </c>
      <c r="L323" s="195">
        <f t="shared" si="41"/>
        <v>1.6452</v>
      </c>
      <c r="M323" s="240">
        <f>AVERAGE(Ashed_controlls!$K$1:$K$11)</f>
        <v>5.5147656768714146</v>
      </c>
      <c r="N323" s="195">
        <f t="shared" si="36"/>
        <v>1.5544710750841115</v>
      </c>
      <c r="O323" s="195">
        <f t="shared" si="42"/>
        <v>1.9922</v>
      </c>
      <c r="P323" s="240">
        <f>AVERAGE(Ashed_controlls!$K$12:$K$14)</f>
        <v>2.2816647271287041</v>
      </c>
      <c r="Q323" s="195">
        <f t="shared" si="37"/>
        <v>1.9467446753061419</v>
      </c>
      <c r="R323" s="16">
        <f>IF('Dry_Litterbag Placem_Collection'!G30="N.A","",'Dry_Litterbag Placem_Collection'!G30)</f>
        <v>43007</v>
      </c>
      <c r="S323" s="195">
        <f>IF(IFERROR(INDEX('Both teabags AfterDry'!$D$1:$D$839,MATCH(H323,'Both teabags AfterDry'!$A$1:$A$839,0)),"")="N.A","",(IFERROR(INDEX('Both teabags AfterDry'!$D$1:$D$839,MATCH(H323,'Both teabags AfterDry'!$A$1:$A$839,0)),"")))</f>
        <v>1.5884</v>
      </c>
      <c r="T323" s="195">
        <f>IF(IFERROR(INDEX('Both teabags AfterDry'!$D$1:$D$839,MATCH(I323,'Both teabags AfterDry'!$A$1:$A$839,0)),"")="N.A","",(IFERROR(INDEX('Both teabags AfterDry'!$D$1:$D$839,MATCH(I323,'Both teabags AfterDry'!$A$1:$A$839,0)),"")))</f>
        <v>1.964</v>
      </c>
      <c r="U323" s="195">
        <f t="shared" si="43"/>
        <v>1.4378</v>
      </c>
      <c r="V323" s="195">
        <f t="shared" si="43"/>
        <v>1.8133999999999999</v>
      </c>
      <c r="W323" s="195">
        <f>IFERROR(INDEX('Ashed teabags dry'!$K$2:$K$821,MATCH(H323,'Ashed teabags dry'!$A$2:$A$821,0)),"")</f>
        <v>6.5978456014354894</v>
      </c>
      <c r="X323" s="195">
        <f>IFERROR(INDEX('Ashed teabags dry'!$K$2:$K$821,MATCH(I323,'Ashed teabags dry'!$A$2:$A$821,0)),"")</f>
        <v>3.596059113301163</v>
      </c>
      <c r="Y323" s="195">
        <f t="shared" si="38"/>
        <v>1.3429361759425604</v>
      </c>
      <c r="Z323" s="195">
        <f t="shared" si="38"/>
        <v>1.7481890640393967</v>
      </c>
      <c r="AA323" s="195">
        <f t="shared" si="44"/>
        <v>0.13608159233847761</v>
      </c>
      <c r="AB323" s="195">
        <f t="shared" si="45"/>
        <v>8.9212635357291736E-2</v>
      </c>
      <c r="AC323" s="195">
        <f t="shared" si="39"/>
        <v>0.89800634167111781</v>
      </c>
      <c r="AD323">
        <f t="shared" si="40"/>
        <v>71</v>
      </c>
      <c r="AE323" s="195">
        <f t="shared" si="46"/>
        <v>0.83838290696142803</v>
      </c>
      <c r="AF323" s="195" t="str">
        <f t="shared" si="47"/>
        <v/>
      </c>
      <c r="AG323" s="255" t="str">
        <f>IF(ISNUMBER(SEARCH("C", 'Dry_Litterbag Placem_Collection'!AD30)),"YES","NO")</f>
        <v>NO</v>
      </c>
      <c r="AH323" s="255" t="str">
        <f>IF(ISNUMBER(SEARCH("H", 'Dry_Litterbag Placem_Collection'!AD30)),"YES","NO")</f>
        <v>NO</v>
      </c>
      <c r="AI323" s="255" t="str">
        <f>IF(ISNUMBER(SEARCH("R", 'Dry_Litterbag Placem_Collection'!AD30)),"YES","NO")</f>
        <v>NO</v>
      </c>
      <c r="AJ323" s="255" t="str">
        <f>IF(ISNUMBER(SEARCH("C", 'Dry_Litterbag Placem_Collection'!AC30)),"YES","NO")</f>
        <v>NO</v>
      </c>
      <c r="AK323" s="255" t="str">
        <f>IF(ISNUMBER(SEARCH("H", 'Dry_Litterbag Placem_Collection'!AC30)),"YES","NO")</f>
        <v>NO</v>
      </c>
      <c r="AL323" s="255" t="str">
        <f>IF(ISNUMBER(SEARCH("R", 'Dry_Litterbag Placem_Collection'!AC30)),"YES","NO")</f>
        <v>NO</v>
      </c>
      <c r="AR323" t="s">
        <v>2004</v>
      </c>
      <c r="AT323" t="s">
        <v>979</v>
      </c>
    </row>
    <row r="324" spans="2:46">
      <c r="B324" t="str">
        <f>'Final data_for_R_analysis_Dryse'!A470</f>
        <v>Dry</v>
      </c>
      <c r="C324" s="263">
        <f>'Final data_for_R_analysis_Dryse'!B470</f>
        <v>29</v>
      </c>
      <c r="D324" t="s">
        <v>3830</v>
      </c>
      <c r="E324" t="s">
        <v>25</v>
      </c>
      <c r="F324" s="387">
        <v>5</v>
      </c>
      <c r="G324" s="16">
        <f>'Dry_Litterbag Placem_Collection'!E31</f>
        <v>42936</v>
      </c>
      <c r="H324" s="92" t="str">
        <f>'Final data_for_R_analysis_Dryse'!J470</f>
        <v>G397</v>
      </c>
      <c r="I324" t="str">
        <f>'Final data_for_R_analysis_Dryse'!J690</f>
        <v>R163</v>
      </c>
      <c r="J324">
        <f>IFERROR(INDEX('Green_rooibos initial weight'!$C$5:$C$1749,MATCH(H324, 'Green_rooibos initial weight'!$A$5:$A$1749,0)),"")</f>
        <v>1.968</v>
      </c>
      <c r="K324">
        <f>IFERROR(INDEX('Green_rooibos initial weight'!$C$5:$C$1749,MATCH(I324, 'Green_rooibos initial weight'!$A$5:$A$1749,0)),"")</f>
        <v>2.23</v>
      </c>
      <c r="L324" s="195">
        <f t="shared" si="41"/>
        <v>1.7181999999999999</v>
      </c>
      <c r="M324" s="240">
        <f>AVERAGE(Ashed_controlls!$K$1:$K$11)</f>
        <v>5.5147656768714146</v>
      </c>
      <c r="N324" s="195">
        <f t="shared" si="36"/>
        <v>1.6234452961399952</v>
      </c>
      <c r="O324" s="195">
        <f t="shared" si="42"/>
        <v>1.9802</v>
      </c>
      <c r="P324" s="240">
        <f>AVERAGE(Ashed_controlls!$K$12:$K$14)</f>
        <v>2.2816647271287041</v>
      </c>
      <c r="Q324" s="195">
        <f t="shared" si="37"/>
        <v>1.9350184750733974</v>
      </c>
      <c r="R324" s="16">
        <f>IF('Dry_Litterbag Placem_Collection'!G31="N.A","",'Dry_Litterbag Placem_Collection'!G31)</f>
        <v>43007</v>
      </c>
      <c r="S324" s="195">
        <f>IF(IFERROR(INDEX('Both teabags AfterDry'!$D$1:$D$839,MATCH(H324,'Both teabags AfterDry'!$A$1:$A$839,0)),"")="N.A","",(IFERROR(INDEX('Both teabags AfterDry'!$D$1:$D$839,MATCH(H324,'Both teabags AfterDry'!$A$1:$A$839,0)),"")))</f>
        <v>1.7436</v>
      </c>
      <c r="T324" s="195">
        <f>IF(IFERROR(INDEX('Both teabags AfterDry'!$D$1:$D$839,MATCH(I324,'Both teabags AfterDry'!$A$1:$A$839,0)),"")="N.A","",(IFERROR(INDEX('Both teabags AfterDry'!$D$1:$D$839,MATCH(I324,'Both teabags AfterDry'!$A$1:$A$839,0)),"")))</f>
        <v>1.9955000000000001</v>
      </c>
      <c r="U324" s="195">
        <f t="shared" si="43"/>
        <v>1.593</v>
      </c>
      <c r="V324" s="195">
        <f t="shared" si="43"/>
        <v>1.8449</v>
      </c>
      <c r="W324" s="195">
        <f>IFERROR(INDEX('Ashed teabags dry'!$K$2:$K$821,MATCH(H324,'Ashed teabags dry'!$A$2:$A$821,0)),"")</f>
        <v>6.4090019569471499</v>
      </c>
      <c r="X324" s="195">
        <f>IFERROR(INDEX('Ashed teabags dry'!$K$2:$K$821,MATCH(I324,'Ashed teabags dry'!$A$2:$A$821,0)),"")</f>
        <v>2.8292682926832247</v>
      </c>
      <c r="Y324" s="195">
        <f t="shared" si="38"/>
        <v>1.4909045988258318</v>
      </c>
      <c r="Z324" s="195">
        <f t="shared" si="38"/>
        <v>1.7927028292682872</v>
      </c>
      <c r="AA324" s="195">
        <f t="shared" si="44"/>
        <v>8.1641615907416476E-2</v>
      </c>
      <c r="AB324" s="195">
        <f t="shared" si="45"/>
        <v>5.3522769573508162E-2</v>
      </c>
      <c r="AC324" s="195">
        <f t="shared" si="39"/>
        <v>0.92645256485227512</v>
      </c>
      <c r="AD324">
        <f t="shared" si="40"/>
        <v>71</v>
      </c>
      <c r="AE324" s="195">
        <f t="shared" si="46"/>
        <v>0.90303846091755768</v>
      </c>
      <c r="AF324" s="195" t="str">
        <f t="shared" si="47"/>
        <v/>
      </c>
      <c r="AG324" s="255" t="str">
        <f>IF(ISNUMBER(SEARCH("C", 'Dry_Litterbag Placem_Collection'!AD31)),"YES","NO")</f>
        <v>NO</v>
      </c>
      <c r="AH324" s="255" t="str">
        <f>IF(ISNUMBER(SEARCH("H", 'Dry_Litterbag Placem_Collection'!AD31)),"YES","NO")</f>
        <v>NO</v>
      </c>
      <c r="AI324" s="255" t="str">
        <f>IF(ISNUMBER(SEARCH("R", 'Dry_Litterbag Placem_Collection'!AD31)),"YES","NO")</f>
        <v>NO</v>
      </c>
      <c r="AJ324" s="255" t="str">
        <f>IF(ISNUMBER(SEARCH("C", 'Dry_Litterbag Placem_Collection'!AC31)),"YES","NO")</f>
        <v>NO</v>
      </c>
      <c r="AK324" s="255" t="str">
        <f>IF(ISNUMBER(SEARCH("H", 'Dry_Litterbag Placem_Collection'!AC31)),"YES","NO")</f>
        <v>NO</v>
      </c>
      <c r="AL324" s="255" t="str">
        <f>IF(ISNUMBER(SEARCH("R", 'Dry_Litterbag Placem_Collection'!AC31)),"YES","NO")</f>
        <v>NO</v>
      </c>
      <c r="AR324" t="s">
        <v>1653</v>
      </c>
      <c r="AT324" t="s">
        <v>978</v>
      </c>
    </row>
    <row r="325" spans="2:46">
      <c r="B325" t="str">
        <f>'Final data_for_R_analysis_Dryse'!A471</f>
        <v>Dry</v>
      </c>
      <c r="C325" s="263">
        <f>'Final data_for_R_analysis_Dryse'!B471</f>
        <v>30</v>
      </c>
      <c r="D325" t="s">
        <v>3830</v>
      </c>
      <c r="E325" t="s">
        <v>25</v>
      </c>
      <c r="F325" s="387">
        <v>6</v>
      </c>
      <c r="G325" s="16">
        <f>'Dry_Litterbag Placem_Collection'!E32</f>
        <v>42936</v>
      </c>
      <c r="H325" s="92" t="str">
        <f>'Final data_for_R_analysis_Dryse'!J471</f>
        <v>G166</v>
      </c>
      <c r="I325" t="str">
        <f>'Final data_for_R_analysis_Dryse'!J691</f>
        <v>R345</v>
      </c>
      <c r="J325">
        <f>IFERROR(INDEX('Green_rooibos initial weight'!$C$5:$C$1749,MATCH(H325, 'Green_rooibos initial weight'!$A$5:$A$1749,0)),"")</f>
        <v>2.032</v>
      </c>
      <c r="K325">
        <f>IFERROR(INDEX('Green_rooibos initial weight'!$C$5:$C$1749,MATCH(I325, 'Green_rooibos initial weight'!$A$5:$A$1749,0)),"")</f>
        <v>2.2599999999999998</v>
      </c>
      <c r="L325" s="195">
        <f t="shared" si="41"/>
        <v>1.7822</v>
      </c>
      <c r="M325" s="240">
        <f>AVERAGE(Ashed_controlls!$K$1:$K$11)</f>
        <v>5.5147656768714146</v>
      </c>
      <c r="N325" s="195">
        <f t="shared" si="36"/>
        <v>1.6839158461067976</v>
      </c>
      <c r="O325" s="195">
        <f t="shared" si="42"/>
        <v>2.0101999999999998</v>
      </c>
      <c r="P325" s="240">
        <f>AVERAGE(Ashed_controlls!$K$12:$K$14)</f>
        <v>2.2816647271287041</v>
      </c>
      <c r="Q325" s="195">
        <f t="shared" si="37"/>
        <v>1.9643339756552585</v>
      </c>
      <c r="R325" s="16">
        <f>IF('Dry_Litterbag Placem_Collection'!G32="N.A","",'Dry_Litterbag Placem_Collection'!G32)</f>
        <v>43007</v>
      </c>
      <c r="S325" s="195">
        <f>IF(IFERROR(INDEX('Both teabags AfterDry'!$D$1:$D$839,MATCH(H325,'Both teabags AfterDry'!$A$1:$A$839,0)),"")="N.A","",(IFERROR(INDEX('Both teabags AfterDry'!$D$1:$D$839,MATCH(H325,'Both teabags AfterDry'!$A$1:$A$839,0)),"")))</f>
        <v>1.8809</v>
      </c>
      <c r="T325" s="195">
        <f>IF(IFERROR(INDEX('Both teabags AfterDry'!$D$1:$D$839,MATCH(I325,'Both teabags AfterDry'!$A$1:$A$839,0)),"")="N.A","",(IFERROR(INDEX('Both teabags AfterDry'!$D$1:$D$839,MATCH(I325,'Both teabags AfterDry'!$A$1:$A$839,0)),"")))</f>
        <v>2.0409000000000002</v>
      </c>
      <c r="U325" s="195">
        <f t="shared" si="43"/>
        <v>1.7302999999999999</v>
      </c>
      <c r="V325" s="195">
        <f t="shared" si="43"/>
        <v>1.8903000000000001</v>
      </c>
      <c r="W325" s="195">
        <f>IFERROR(INDEX('Ashed teabags dry'!$K$2:$K$821,MATCH(H325,'Ashed teabags dry'!$A$2:$A$821,0)),"")</f>
        <v>5.730937348227001</v>
      </c>
      <c r="X325" s="195">
        <f>IFERROR(INDEX('Ashed teabags dry'!$K$2:$K$821,MATCH(I325,'Ashed teabags dry'!$A$2:$A$821,0)),"")</f>
        <v>2.2449975597850815</v>
      </c>
      <c r="Y325" s="195">
        <f t="shared" si="38"/>
        <v>1.6311375910636281</v>
      </c>
      <c r="Z325" s="195">
        <f t="shared" si="38"/>
        <v>1.8478628111273827</v>
      </c>
      <c r="AA325" s="195">
        <f t="shared" si="44"/>
        <v>3.1342572828204185E-2</v>
      </c>
      <c r="AB325" s="195">
        <f t="shared" si="45"/>
        <v>2.0547624942005571E-2</v>
      </c>
      <c r="AC325" s="195">
        <f t="shared" si="39"/>
        <v>0.94070704576138919</v>
      </c>
      <c r="AD325">
        <f t="shared" si="40"/>
        <v>71</v>
      </c>
      <c r="AE325" s="195">
        <f t="shared" si="46"/>
        <v>0.96277604177172904</v>
      </c>
      <c r="AF325" s="195" t="str">
        <f t="shared" si="47"/>
        <v/>
      </c>
      <c r="AG325" s="255" t="str">
        <f>IF(ISNUMBER(SEARCH("C", 'Dry_Litterbag Placem_Collection'!AD32)),"YES","NO")</f>
        <v>NO</v>
      </c>
      <c r="AH325" s="255" t="str">
        <f>IF(ISNUMBER(SEARCH("H", 'Dry_Litterbag Placem_Collection'!AD32)),"YES","NO")</f>
        <v>NO</v>
      </c>
      <c r="AI325" s="255" t="str">
        <f>IF(ISNUMBER(SEARCH("R", 'Dry_Litterbag Placem_Collection'!AD32)),"YES","NO")</f>
        <v>NO</v>
      </c>
      <c r="AJ325" s="255" t="str">
        <f>IF(ISNUMBER(SEARCH("C", 'Dry_Litterbag Placem_Collection'!AC32)),"YES","NO")</f>
        <v>NO</v>
      </c>
      <c r="AK325" s="255" t="str">
        <f>IF(ISNUMBER(SEARCH("H", 'Dry_Litterbag Placem_Collection'!AC32)),"YES","NO")</f>
        <v>NO</v>
      </c>
      <c r="AL325" s="255" t="str">
        <f>IF(ISNUMBER(SEARCH("R", 'Dry_Litterbag Placem_Collection'!AC32)),"YES","NO")</f>
        <v>NO</v>
      </c>
      <c r="AR325" t="s">
        <v>1884</v>
      </c>
      <c r="AT325" t="s">
        <v>796</v>
      </c>
    </row>
    <row r="326" spans="2:46">
      <c r="B326" t="str">
        <f>'Final data_for_R_analysis_Dryse'!A472</f>
        <v>Dry</v>
      </c>
      <c r="C326" s="263">
        <f>'Final data_for_R_analysis_Dryse'!B472</f>
        <v>31</v>
      </c>
      <c r="D326" t="s">
        <v>3830</v>
      </c>
      <c r="E326" t="s">
        <v>25</v>
      </c>
      <c r="F326" s="387">
        <v>7</v>
      </c>
      <c r="G326" s="390">
        <f>'Dry_Litterbag Placem_Collection'!E33</f>
        <v>0</v>
      </c>
      <c r="H326" s="92" t="str">
        <f>'Final data_for_R_analysis_Dryse'!J472</f>
        <v/>
      </c>
      <c r="I326" t="str">
        <f>'Final data_for_R_analysis_Dryse'!J692</f>
        <v/>
      </c>
      <c r="J326" t="str">
        <f>IFERROR(INDEX('Green_rooibos initial weight'!$C$5:$C$1749,MATCH(H326, 'Green_rooibos initial weight'!$A$5:$A$1749,0)),"")</f>
        <v/>
      </c>
      <c r="K326" t="str">
        <f>IFERROR(INDEX('Green_rooibos initial weight'!$C$5:$C$1749,MATCH(I326, 'Green_rooibos initial weight'!$A$5:$A$1749,0)),"")</f>
        <v/>
      </c>
      <c r="L326" s="195" t="str">
        <f t="shared" si="41"/>
        <v/>
      </c>
      <c r="M326" s="240">
        <f>AVERAGE(Ashed_controlls!$K$1:$K$11)</f>
        <v>5.5147656768714146</v>
      </c>
      <c r="N326" s="195" t="str">
        <f t="shared" si="36"/>
        <v/>
      </c>
      <c r="O326" s="195" t="str">
        <f t="shared" si="42"/>
        <v/>
      </c>
      <c r="P326" s="240">
        <f>AVERAGE(Ashed_controlls!$K$12:$K$14)</f>
        <v>2.2816647271287041</v>
      </c>
      <c r="Q326" s="195" t="str">
        <f t="shared" si="37"/>
        <v/>
      </c>
      <c r="R326" s="16">
        <f>IF('Dry_Litterbag Placem_Collection'!G33="N.A","",'Dry_Litterbag Placem_Collection'!G33)</f>
        <v>0</v>
      </c>
      <c r="S326" s="195" t="str">
        <f>IF(IFERROR(INDEX('Both teabags AfterDry'!$D$1:$D$839,MATCH(H326,'Both teabags AfterDry'!$A$1:$A$839,0)),"")="N.A","",(IFERROR(INDEX('Both teabags AfterDry'!$D$1:$D$839,MATCH(H326,'Both teabags AfterDry'!$A$1:$A$839,0)),"")))</f>
        <v/>
      </c>
      <c r="T326" s="195" t="str">
        <f>IF(IFERROR(INDEX('Both teabags AfterDry'!$D$1:$D$839,MATCH(I326,'Both teabags AfterDry'!$A$1:$A$839,0)),"")="N.A","",(IFERROR(INDEX('Both teabags AfterDry'!$D$1:$D$839,MATCH(I326,'Both teabags AfterDry'!$A$1:$A$839,0)),"")))</f>
        <v/>
      </c>
      <c r="U326" s="195" t="str">
        <f t="shared" si="43"/>
        <v/>
      </c>
      <c r="V326" s="195" t="str">
        <f t="shared" si="43"/>
        <v/>
      </c>
      <c r="W326" s="195" t="str">
        <f>IFERROR(INDEX('Ashed teabags dry'!$K$2:$K$821,MATCH(H326,'Ashed teabags dry'!$A$2:$A$821,0)),"")</f>
        <v/>
      </c>
      <c r="X326" s="195" t="str">
        <f>IFERROR(INDEX('Ashed teabags dry'!$K$2:$K$821,MATCH(I326,'Ashed teabags dry'!$A$2:$A$821,0)),"")</f>
        <v/>
      </c>
      <c r="Y326" s="195" t="str">
        <f t="shared" si="38"/>
        <v/>
      </c>
      <c r="Z326" s="195" t="str">
        <f t="shared" si="38"/>
        <v/>
      </c>
      <c r="AA326" s="195" t="str">
        <f t="shared" si="44"/>
        <v/>
      </c>
      <c r="AB326" s="195" t="str">
        <f t="shared" si="45"/>
        <v/>
      </c>
      <c r="AC326" s="195" t="str">
        <f t="shared" si="39"/>
        <v/>
      </c>
      <c r="AD326" t="str">
        <f t="shared" si="40"/>
        <v/>
      </c>
      <c r="AE326" s="195" t="str">
        <f t="shared" si="46"/>
        <v/>
      </c>
      <c r="AF326" s="195" t="str">
        <f t="shared" si="47"/>
        <v/>
      </c>
      <c r="AG326" s="255" t="str">
        <f>IF(ISNUMBER(SEARCH("C", 'Dry_Litterbag Placem_Collection'!AD33)),"YES","NO")</f>
        <v>NO</v>
      </c>
      <c r="AH326" s="255" t="str">
        <f>IF(ISNUMBER(SEARCH("H", 'Dry_Litterbag Placem_Collection'!AD33)),"YES","NO")</f>
        <v>NO</v>
      </c>
      <c r="AI326" s="255" t="str">
        <f>IF(ISNUMBER(SEARCH("R", 'Dry_Litterbag Placem_Collection'!AD33)),"YES","NO")</f>
        <v>NO</v>
      </c>
      <c r="AJ326" s="255" t="str">
        <f>IF(ISNUMBER(SEARCH("C", 'Dry_Litterbag Placem_Collection'!AC33)),"YES","NO")</f>
        <v>NO</v>
      </c>
      <c r="AK326" s="255" t="str">
        <f>IF(ISNUMBER(SEARCH("H", 'Dry_Litterbag Placem_Collection'!AC33)),"YES","NO")</f>
        <v>NO</v>
      </c>
      <c r="AL326" s="255" t="str">
        <f>IF(ISNUMBER(SEARCH("R", 'Dry_Litterbag Placem_Collection'!AC33)),"YES","NO")</f>
        <v>NO</v>
      </c>
      <c r="AR326" t="s">
        <v>3654</v>
      </c>
      <c r="AT326" t="s">
        <v>3654</v>
      </c>
    </row>
    <row r="327" spans="2:46">
      <c r="B327" t="str">
        <f>'Final data_for_R_analysis_Dryse'!A473</f>
        <v>Dry</v>
      </c>
      <c r="C327" s="263">
        <f>'Final data_for_R_analysis_Dryse'!B473</f>
        <v>32</v>
      </c>
      <c r="D327" t="s">
        <v>3830</v>
      </c>
      <c r="E327" t="s">
        <v>25</v>
      </c>
      <c r="F327" s="387">
        <v>8</v>
      </c>
      <c r="G327" s="16">
        <f>'Dry_Litterbag Placem_Collection'!E34</f>
        <v>42936</v>
      </c>
      <c r="H327" s="92" t="str">
        <f>'Final data_for_R_analysis_Dryse'!J473</f>
        <v>G293</v>
      </c>
      <c r="I327" t="str">
        <f>'Final data_for_R_analysis_Dryse'!J693</f>
        <v>R660</v>
      </c>
      <c r="J327">
        <f>IFERROR(INDEX('Green_rooibos initial weight'!$C$5:$C$1749,MATCH(H327, 'Green_rooibos initial weight'!$A$5:$A$1749,0)),"")</f>
        <v>2.0699999999999998</v>
      </c>
      <c r="K327">
        <f>IFERROR(INDEX('Green_rooibos initial weight'!$C$5:$C$1749,MATCH(I327, 'Green_rooibos initial weight'!$A$5:$A$1749,0)),"")</f>
        <v>2.2080000000000002</v>
      </c>
      <c r="L327" s="195">
        <f t="shared" si="41"/>
        <v>1.8201999999999998</v>
      </c>
      <c r="M327" s="240">
        <f>AVERAGE(Ashed_controlls!$K$1:$K$11)</f>
        <v>5.5147656768714146</v>
      </c>
      <c r="N327" s="195">
        <f t="shared" si="36"/>
        <v>1.7198202351495864</v>
      </c>
      <c r="O327" s="195">
        <f t="shared" si="42"/>
        <v>1.9582000000000002</v>
      </c>
      <c r="P327" s="240">
        <f>AVERAGE(Ashed_controlls!$K$12:$K$14)</f>
        <v>2.2816647271287041</v>
      </c>
      <c r="Q327" s="195">
        <f t="shared" si="37"/>
        <v>1.913520441313366</v>
      </c>
      <c r="R327" s="16">
        <f>IF('Dry_Litterbag Placem_Collection'!G34="N.A","",'Dry_Litterbag Placem_Collection'!G34)</f>
        <v>43007</v>
      </c>
      <c r="S327" s="195">
        <f>IF(IFERROR(INDEX('Both teabags AfterDry'!$D$1:$D$839,MATCH(H327,'Both teabags AfterDry'!$A$1:$A$839,0)),"")="N.A","",(IFERROR(INDEX('Both teabags AfterDry'!$D$1:$D$839,MATCH(H327,'Both teabags AfterDry'!$A$1:$A$839,0)),"")))</f>
        <v>1.8129</v>
      </c>
      <c r="T327" s="195">
        <f>IF(IFERROR(INDEX('Both teabags AfterDry'!$D$1:$D$839,MATCH(I327,'Both teabags AfterDry'!$A$1:$A$839,0)),"")="N.A","",(IFERROR(INDEX('Both teabags AfterDry'!$D$1:$D$839,MATCH(I327,'Both teabags AfterDry'!$A$1:$A$839,0)),"")))</f>
        <v>2.0331000000000001</v>
      </c>
      <c r="U327" s="195">
        <f t="shared" si="43"/>
        <v>1.6622999999999999</v>
      </c>
      <c r="V327" s="195">
        <f t="shared" si="43"/>
        <v>1.8825000000000001</v>
      </c>
      <c r="W327" s="195">
        <f>IFERROR(INDEX('Ashed teabags dry'!$K$2:$K$821,MATCH(H327,'Ashed teabags dry'!$A$2:$A$821,0)),"")</f>
        <v>6.7003792667513089</v>
      </c>
      <c r="X327" s="195">
        <f>IFERROR(INDEX('Ashed teabags dry'!$K$2:$K$821,MATCH(I327,'Ashed teabags dry'!$A$2:$A$821,0)),"")</f>
        <v>2.8682547399117464</v>
      </c>
      <c r="Y327" s="195">
        <f t="shared" si="38"/>
        <v>1.5509195954487929</v>
      </c>
      <c r="Z327" s="195">
        <f t="shared" si="38"/>
        <v>1.8285051045211613</v>
      </c>
      <c r="AA327" s="195">
        <f t="shared" si="44"/>
        <v>9.8208310525025766E-2</v>
      </c>
      <c r="AB327" s="195">
        <f t="shared" si="45"/>
        <v>6.4383595498591725E-2</v>
      </c>
      <c r="AC327" s="195">
        <f t="shared" si="39"/>
        <v>0.95557124190747944</v>
      </c>
      <c r="AD327">
        <f t="shared" si="40"/>
        <v>71</v>
      </c>
      <c r="AE327" s="195">
        <f t="shared" si="46"/>
        <v>0.88336305163298601</v>
      </c>
      <c r="AF327" s="195">
        <f t="shared" si="47"/>
        <v>1.6498412421701646E-2</v>
      </c>
      <c r="AG327" s="255" t="str">
        <f>IF(ISNUMBER(SEARCH("C", 'Dry_Litterbag Placem_Collection'!AD34)),"YES","NO")</f>
        <v>NO</v>
      </c>
      <c r="AH327" s="255" t="str">
        <f>IF(ISNUMBER(SEARCH("H", 'Dry_Litterbag Placem_Collection'!AD34)),"YES","NO")</f>
        <v>NO</v>
      </c>
      <c r="AI327" s="255" t="str">
        <f>IF(ISNUMBER(SEARCH("R", 'Dry_Litterbag Placem_Collection'!AD34)),"YES","NO")</f>
        <v>NO</v>
      </c>
      <c r="AJ327" s="255" t="str">
        <f>IF(ISNUMBER(SEARCH("C", 'Dry_Litterbag Placem_Collection'!AC34)),"YES","NO")</f>
        <v>NO</v>
      </c>
      <c r="AK327" s="255" t="str">
        <f>IF(ISNUMBER(SEARCH("H", 'Dry_Litterbag Placem_Collection'!AC34)),"YES","NO")</f>
        <v>NO</v>
      </c>
      <c r="AL327" s="255" t="str">
        <f>IF(ISNUMBER(SEARCH("R", 'Dry_Litterbag Placem_Collection'!AC34)),"YES","NO")</f>
        <v>NO</v>
      </c>
      <c r="AR327" t="s">
        <v>1757</v>
      </c>
      <c r="AT327" t="s">
        <v>479</v>
      </c>
    </row>
    <row r="328" spans="2:46">
      <c r="B328" t="str">
        <f>'Final data_for_R_analysis_Dryse'!A474</f>
        <v>Dry</v>
      </c>
      <c r="C328" s="263">
        <f>'Final data_for_R_analysis_Dryse'!B474</f>
        <v>33</v>
      </c>
      <c r="D328" t="s">
        <v>3831</v>
      </c>
      <c r="E328" t="s">
        <v>25</v>
      </c>
      <c r="F328" s="386">
        <v>1</v>
      </c>
      <c r="G328" s="16">
        <f>'Dry_Litterbag Placem_Collection'!E35</f>
        <v>42938</v>
      </c>
      <c r="H328" s="92" t="str">
        <f>'Final data_for_R_analysis_Dryse'!J474</f>
        <v>G139</v>
      </c>
      <c r="I328" t="str">
        <f>'Final data_for_R_analysis_Dryse'!J694</f>
        <v>R712</v>
      </c>
      <c r="J328">
        <f>IFERROR(INDEX('Green_rooibos initial weight'!$C$5:$C$1749,MATCH(H328, 'Green_rooibos initial weight'!$A$5:$A$1749,0)),"")</f>
        <v>2.0059999999999998</v>
      </c>
      <c r="K328">
        <f>IFERROR(INDEX('Green_rooibos initial weight'!$C$5:$C$1749,MATCH(I328, 'Green_rooibos initial weight'!$A$5:$A$1749,0)),"")</f>
        <v>2.161</v>
      </c>
      <c r="L328" s="195">
        <f t="shared" si="41"/>
        <v>1.7561999999999998</v>
      </c>
      <c r="M328" s="240">
        <f>AVERAGE(Ashed_controlls!$K$1:$K$11)</f>
        <v>5.5147656768714146</v>
      </c>
      <c r="N328" s="195">
        <f t="shared" si="36"/>
        <v>1.659349685182784</v>
      </c>
      <c r="O328" s="195">
        <f t="shared" si="42"/>
        <v>1.9112</v>
      </c>
      <c r="P328" s="240">
        <f>AVERAGE(Ashed_controlls!$K$12:$K$14)</f>
        <v>2.2816647271287041</v>
      </c>
      <c r="Q328" s="195">
        <f t="shared" si="37"/>
        <v>1.8675928237351163</v>
      </c>
      <c r="R328" s="16">
        <f>IF('Dry_Litterbag Placem_Collection'!G35="N.A","",'Dry_Litterbag Placem_Collection'!G35)</f>
        <v>43005</v>
      </c>
      <c r="S328" s="195">
        <f>IF(IFERROR(INDEX('Both teabags AfterDry'!$D$1:$D$839,MATCH(H328,'Both teabags AfterDry'!$A$1:$A$839,0)),"")="N.A","",(IFERROR(INDEX('Both teabags AfterDry'!$D$1:$D$839,MATCH(H328,'Both teabags AfterDry'!$A$1:$A$839,0)),"")))</f>
        <v>1.8048</v>
      </c>
      <c r="T328" s="195">
        <f>IF(IFERROR(INDEX('Both teabags AfterDry'!$D$1:$D$839,MATCH(I328,'Both teabags AfterDry'!$A$1:$A$839,0)),"")="N.A","",(IFERROR(INDEX('Both teabags AfterDry'!$D$1:$D$839,MATCH(I328,'Both teabags AfterDry'!$A$1:$A$839,0)),"")))</f>
        <v>1.9524999999999999</v>
      </c>
      <c r="U328" s="195">
        <f t="shared" si="43"/>
        <v>1.6541999999999999</v>
      </c>
      <c r="V328" s="195">
        <f t="shared" si="43"/>
        <v>1.8018999999999998</v>
      </c>
      <c r="W328" s="195">
        <f>IFERROR(INDEX('Ashed teabags dry'!$K$2:$K$821,MATCH(H328,'Ashed teabags dry'!$A$2:$A$821,0)),"")</f>
        <v>6.3172671970048668</v>
      </c>
      <c r="X328" s="195">
        <f>IFERROR(INDEX('Ashed teabags dry'!$K$2:$K$821,MATCH(I328,'Ashed teabags dry'!$A$2:$A$821,0)),"")</f>
        <v>2.162162162162347</v>
      </c>
      <c r="Y328" s="195">
        <f t="shared" si="38"/>
        <v>1.5496997660271454</v>
      </c>
      <c r="Z328" s="195">
        <f t="shared" si="38"/>
        <v>1.7629399999999964</v>
      </c>
      <c r="AA328" s="195">
        <f t="shared" si="44"/>
        <v>6.6080055418554107E-2</v>
      </c>
      <c r="AB328" s="195">
        <f t="shared" si="45"/>
        <v>4.3320891438292021E-2</v>
      </c>
      <c r="AC328" s="195">
        <f t="shared" si="39"/>
        <v>0.94396378996262253</v>
      </c>
      <c r="AD328">
        <f t="shared" si="40"/>
        <v>67</v>
      </c>
      <c r="AE328" s="195">
        <f t="shared" si="46"/>
        <v>0.92152012420599272</v>
      </c>
      <c r="AF328" s="195" t="str">
        <f t="shared" si="47"/>
        <v/>
      </c>
      <c r="AG328" s="255" t="str">
        <f>IF(ISNUMBER(SEARCH("C", 'Dry_Litterbag Placem_Collection'!AD35)),"YES","NO")</f>
        <v>NO</v>
      </c>
      <c r="AH328" s="255" t="str">
        <f>IF(ISNUMBER(SEARCH("H", 'Dry_Litterbag Placem_Collection'!AD35)),"YES","NO")</f>
        <v>NO</v>
      </c>
      <c r="AI328" s="255" t="str">
        <f>IF(ISNUMBER(SEARCH("R", 'Dry_Litterbag Placem_Collection'!AD35)),"YES","NO")</f>
        <v>NO</v>
      </c>
      <c r="AJ328" s="255" t="str">
        <f>IF(ISNUMBER(SEARCH("C", 'Dry_Litterbag Placem_Collection'!AC35)),"YES","NO")</f>
        <v>NO</v>
      </c>
      <c r="AK328" s="255" t="str">
        <f>IF(ISNUMBER(SEARCH("H", 'Dry_Litterbag Placem_Collection'!AC35)),"YES","NO")</f>
        <v>NO</v>
      </c>
      <c r="AL328" s="255" t="str">
        <f>IF(ISNUMBER(SEARCH("R", 'Dry_Litterbag Placem_Collection'!AC35)),"YES","NO")</f>
        <v>NO</v>
      </c>
      <c r="AR328" t="s">
        <v>1911</v>
      </c>
      <c r="AT328" t="s">
        <v>427</v>
      </c>
    </row>
    <row r="329" spans="2:46">
      <c r="B329" t="str">
        <f>'Final data_for_R_analysis_Dryse'!A475</f>
        <v>Dry</v>
      </c>
      <c r="C329" s="263">
        <f>'Final data_for_R_analysis_Dryse'!B475</f>
        <v>34</v>
      </c>
      <c r="D329" t="s">
        <v>3831</v>
      </c>
      <c r="E329" t="s">
        <v>25</v>
      </c>
      <c r="F329" s="386">
        <v>2</v>
      </c>
      <c r="G329" s="16">
        <f>'Dry_Litterbag Placem_Collection'!E36</f>
        <v>42938</v>
      </c>
      <c r="H329" s="92" t="str">
        <f>'Final data_for_R_analysis_Dryse'!J475</f>
        <v>G487</v>
      </c>
      <c r="I329" t="str">
        <f>'Final data_for_R_analysis_Dryse'!J695</f>
        <v>R324</v>
      </c>
      <c r="J329">
        <f>IFERROR(INDEX('Green_rooibos initial weight'!$C$5:$C$1749,MATCH(H329, 'Green_rooibos initial weight'!$A$5:$A$1749,0)),"")</f>
        <v>1.9259999999999999</v>
      </c>
      <c r="K329">
        <f>IFERROR(INDEX('Green_rooibos initial weight'!$C$5:$C$1749,MATCH(I329, 'Green_rooibos initial weight'!$A$5:$A$1749,0)),"")</f>
        <v>2.2410000000000001</v>
      </c>
      <c r="L329" s="195">
        <f t="shared" si="41"/>
        <v>1.6761999999999999</v>
      </c>
      <c r="M329" s="240">
        <f>AVERAGE(Ashed_controlls!$K$1:$K$11)</f>
        <v>5.5147656768714146</v>
      </c>
      <c r="N329" s="195">
        <f t="shared" si="36"/>
        <v>1.5837614977242813</v>
      </c>
      <c r="O329" s="195">
        <f t="shared" si="42"/>
        <v>1.9912000000000001</v>
      </c>
      <c r="P329" s="240">
        <f>AVERAGE(Ashed_controlls!$K$12:$K$14)</f>
        <v>2.2816647271287041</v>
      </c>
      <c r="Q329" s="195">
        <f t="shared" si="37"/>
        <v>1.9457674919534134</v>
      </c>
      <c r="R329" s="16">
        <f>IF('Dry_Litterbag Placem_Collection'!G36="N.A","",'Dry_Litterbag Placem_Collection'!G36)</f>
        <v>43005</v>
      </c>
      <c r="S329" s="195" t="str">
        <f>IF(IFERROR(INDEX('Both teabags AfterDry'!$D$1:$D$839,MATCH(H329,'Both teabags AfterDry'!$A$1:$A$839,0)),"")="N.A","",(IFERROR(INDEX('Both teabags AfterDry'!$D$1:$D$839,MATCH(H329,'Both teabags AfterDry'!$A$1:$A$839,0)),"")))</f>
        <v/>
      </c>
      <c r="T329" s="195" t="str">
        <f>IF(IFERROR(INDEX('Both teabags AfterDry'!$D$1:$D$839,MATCH(I329,'Both teabags AfterDry'!$A$1:$A$839,0)),"")="N.A","",(IFERROR(INDEX('Both teabags AfterDry'!$D$1:$D$839,MATCH(I329,'Both teabags AfterDry'!$A$1:$A$839,0)),"")))</f>
        <v/>
      </c>
      <c r="U329" s="195" t="str">
        <f t="shared" si="43"/>
        <v/>
      </c>
      <c r="V329" s="195" t="str">
        <f t="shared" si="43"/>
        <v/>
      </c>
      <c r="W329" s="195" t="str">
        <f>IFERROR(INDEX('Ashed teabags dry'!$K$2:$K$821,MATCH(H329,'Ashed teabags dry'!$A$2:$A$821,0)),"")</f>
        <v/>
      </c>
      <c r="X329" s="195" t="str">
        <f>IFERROR(INDEX('Ashed teabags dry'!$K$2:$K$821,MATCH(I329,'Ashed teabags dry'!$A$2:$A$821,0)),"")</f>
        <v/>
      </c>
      <c r="Y329" s="195" t="str">
        <f t="shared" si="38"/>
        <v/>
      </c>
      <c r="Z329" s="195" t="str">
        <f t="shared" si="38"/>
        <v/>
      </c>
      <c r="AA329" s="195" t="str">
        <f t="shared" si="44"/>
        <v/>
      </c>
      <c r="AB329" s="195" t="str">
        <f t="shared" si="45"/>
        <v/>
      </c>
      <c r="AC329" s="195" t="str">
        <f t="shared" si="39"/>
        <v/>
      </c>
      <c r="AD329">
        <f t="shared" si="40"/>
        <v>67</v>
      </c>
      <c r="AE329" s="195" t="str">
        <f t="shared" si="46"/>
        <v/>
      </c>
      <c r="AF329" s="195" t="str">
        <f t="shared" si="47"/>
        <v/>
      </c>
      <c r="AG329" s="255" t="str">
        <f>IF(ISNUMBER(SEARCH("C", 'Dry_Litterbag Placem_Collection'!AD36)),"YES","NO")</f>
        <v>NO</v>
      </c>
      <c r="AH329" s="255" t="str">
        <f>IF(ISNUMBER(SEARCH("H", 'Dry_Litterbag Placem_Collection'!AD36)),"YES","NO")</f>
        <v>NO</v>
      </c>
      <c r="AI329" s="255" t="str">
        <f>IF(ISNUMBER(SEARCH("R", 'Dry_Litterbag Placem_Collection'!AD36)),"YES","NO")</f>
        <v>NO</v>
      </c>
      <c r="AJ329" s="255" t="str">
        <f>IF(ISNUMBER(SEARCH("C", 'Dry_Litterbag Placem_Collection'!AC36)),"YES","NO")</f>
        <v>NO</v>
      </c>
      <c r="AK329" s="255" t="str">
        <f>IF(ISNUMBER(SEARCH("H", 'Dry_Litterbag Placem_Collection'!AC36)),"YES","NO")</f>
        <v>NO</v>
      </c>
      <c r="AL329" s="255" t="str">
        <f>IF(ISNUMBER(SEARCH("R", 'Dry_Litterbag Placem_Collection'!AC36)),"YES","NO")</f>
        <v>NO</v>
      </c>
      <c r="AR329" t="s">
        <v>1563</v>
      </c>
      <c r="AT329" t="s">
        <v>817</v>
      </c>
    </row>
    <row r="330" spans="2:46">
      <c r="B330" t="str">
        <f>'Final data_for_R_analysis_Dryse'!A476</f>
        <v>Dry</v>
      </c>
      <c r="C330" s="263">
        <f>'Final data_for_R_analysis_Dryse'!B476</f>
        <v>35</v>
      </c>
      <c r="D330" t="s">
        <v>3831</v>
      </c>
      <c r="E330" t="s">
        <v>25</v>
      </c>
      <c r="F330" s="386">
        <v>3</v>
      </c>
      <c r="G330" s="16">
        <f>'Dry_Litterbag Placem_Collection'!E37</f>
        <v>42938</v>
      </c>
      <c r="H330" s="92" t="str">
        <f>'Final data_for_R_analysis_Dryse'!J476</f>
        <v>G717</v>
      </c>
      <c r="I330" t="str">
        <f>'Final data_for_R_analysis_Dryse'!J696</f>
        <v>R108</v>
      </c>
      <c r="J330">
        <f>IFERROR(INDEX('Green_rooibos initial weight'!$C$5:$C$1749,MATCH(H330, 'Green_rooibos initial weight'!$A$5:$A$1749,0)),"")</f>
        <v>1.944</v>
      </c>
      <c r="K330">
        <f>IFERROR(INDEX('Green_rooibos initial weight'!$C$5:$C$1749,MATCH(I330, 'Green_rooibos initial weight'!$A$5:$A$1749,0)),"")</f>
        <v>2.1680000000000001</v>
      </c>
      <c r="L330" s="195">
        <f t="shared" si="41"/>
        <v>1.6941999999999999</v>
      </c>
      <c r="M330" s="240">
        <f>AVERAGE(Ashed_controlls!$K$1:$K$11)</f>
        <v>5.5147656768714146</v>
      </c>
      <c r="N330" s="195">
        <f t="shared" si="36"/>
        <v>1.6007688399024445</v>
      </c>
      <c r="O330" s="195">
        <f t="shared" si="42"/>
        <v>1.9182000000000001</v>
      </c>
      <c r="P330" s="240">
        <f>AVERAGE(Ashed_controlls!$K$12:$K$14)</f>
        <v>2.2816647271287041</v>
      </c>
      <c r="Q330" s="195">
        <f t="shared" si="37"/>
        <v>1.8744331072042173</v>
      </c>
      <c r="R330" s="16">
        <f>IF('Dry_Litterbag Placem_Collection'!G37="N.A","",'Dry_Litterbag Placem_Collection'!G37)</f>
        <v>43005</v>
      </c>
      <c r="S330" s="195">
        <f>IF(IFERROR(INDEX('Both teabags AfterDry'!$D$1:$D$839,MATCH(H330,'Both teabags AfterDry'!$A$1:$A$839,0)),"")="N.A","",(IFERROR(INDEX('Both teabags AfterDry'!$D$1:$D$839,MATCH(H330,'Both teabags AfterDry'!$A$1:$A$839,0)),"")))</f>
        <v>1.8165</v>
      </c>
      <c r="T330" s="195">
        <f>IF(IFERROR(INDEX('Both teabags AfterDry'!$D$1:$D$839,MATCH(I330,'Both teabags AfterDry'!$A$1:$A$839,0)),"")="N.A","",(IFERROR(INDEX('Both teabags AfterDry'!$D$1:$D$839,MATCH(I330,'Both teabags AfterDry'!$A$1:$A$839,0)),"")))</f>
        <v>1.9638</v>
      </c>
      <c r="U330" s="195">
        <f t="shared" si="43"/>
        <v>1.6658999999999999</v>
      </c>
      <c r="V330" s="195">
        <f t="shared" si="43"/>
        <v>1.8131999999999999</v>
      </c>
      <c r="W330" s="195">
        <f>IFERROR(INDEX('Ashed teabags dry'!$K$2:$K$821,MATCH(H330,'Ashed teabags dry'!$A$2:$A$821,0)),"")</f>
        <v>5.65371024735001</v>
      </c>
      <c r="X330" s="195">
        <f>IFERROR(INDEX('Ashed teabags dry'!$K$2:$K$821,MATCH(I330,'Ashed teabags dry'!$A$2:$A$821,0)),"")</f>
        <v>2.5853658536585367</v>
      </c>
      <c r="Y330" s="195">
        <f t="shared" si="38"/>
        <v>1.5717148409893962</v>
      </c>
      <c r="Z330" s="195">
        <f t="shared" si="38"/>
        <v>1.7663221463414633</v>
      </c>
      <c r="AA330" s="195">
        <f t="shared" si="44"/>
        <v>1.8150027779663014E-2</v>
      </c>
      <c r="AB330" s="195">
        <f t="shared" si="45"/>
        <v>1.1898830563389516E-2</v>
      </c>
      <c r="AC330" s="195">
        <f t="shared" si="39"/>
        <v>0.94232338276183925</v>
      </c>
      <c r="AD330">
        <f t="shared" si="40"/>
        <v>67</v>
      </c>
      <c r="AE330" s="195">
        <f t="shared" si="46"/>
        <v>0.97844414753009146</v>
      </c>
      <c r="AF330" s="195" t="str">
        <f t="shared" si="47"/>
        <v/>
      </c>
      <c r="AG330" s="255" t="str">
        <f>IF(ISNUMBER(SEARCH("C", 'Dry_Litterbag Placem_Collection'!AD37)),"YES","NO")</f>
        <v>NO</v>
      </c>
      <c r="AH330" s="255" t="str">
        <f>IF(ISNUMBER(SEARCH("H", 'Dry_Litterbag Placem_Collection'!AD37)),"YES","NO")</f>
        <v>NO</v>
      </c>
      <c r="AI330" s="255" t="str">
        <f>IF(ISNUMBER(SEARCH("R", 'Dry_Litterbag Placem_Collection'!AD37)),"YES","NO")</f>
        <v>NO</v>
      </c>
      <c r="AJ330" s="255" t="str">
        <f>IF(ISNUMBER(SEARCH("C", 'Dry_Litterbag Placem_Collection'!AC37)),"YES","NO")</f>
        <v>NO</v>
      </c>
      <c r="AK330" s="255" t="str">
        <f>IF(ISNUMBER(SEARCH("H", 'Dry_Litterbag Placem_Collection'!AC37)),"YES","NO")</f>
        <v>NO</v>
      </c>
      <c r="AL330" s="255" t="str">
        <f>IF(ISNUMBER(SEARCH("R", 'Dry_Litterbag Placem_Collection'!AC37)),"YES","NO")</f>
        <v>NO</v>
      </c>
      <c r="AR330" t="s">
        <v>1333</v>
      </c>
      <c r="AT330" t="s">
        <v>1033</v>
      </c>
    </row>
    <row r="331" spans="2:46">
      <c r="B331" t="str">
        <f>'Final data_for_R_analysis_Dryse'!A477</f>
        <v>Dry</v>
      </c>
      <c r="C331" s="263">
        <f>'Final data_for_R_analysis_Dryse'!B477</f>
        <v>36</v>
      </c>
      <c r="D331" t="s">
        <v>3831</v>
      </c>
      <c r="E331" t="s">
        <v>25</v>
      </c>
      <c r="F331" s="387">
        <v>4</v>
      </c>
      <c r="G331" s="16">
        <f>'Dry_Litterbag Placem_Collection'!E38</f>
        <v>42938</v>
      </c>
      <c r="H331" s="92" t="str">
        <f>'Final data_for_R_analysis_Dryse'!J477</f>
        <v>G767</v>
      </c>
      <c r="I331" t="str">
        <f>'Final data_for_R_analysis_Dryse'!J697</f>
        <v>R152</v>
      </c>
      <c r="J331">
        <f>IFERROR(INDEX('Green_rooibos initial weight'!$C$5:$C$1749,MATCH(H331, 'Green_rooibos initial weight'!$A$5:$A$1749,0)),"")</f>
        <v>1.8879999999999999</v>
      </c>
      <c r="K331">
        <f>IFERROR(INDEX('Green_rooibos initial weight'!$C$5:$C$1749,MATCH(I331, 'Green_rooibos initial weight'!$A$5:$A$1749,0)),"")</f>
        <v>2.1800000000000002</v>
      </c>
      <c r="L331" s="195">
        <f t="shared" si="41"/>
        <v>1.6381999999999999</v>
      </c>
      <c r="M331" s="240">
        <f>AVERAGE(Ashed_controlls!$K$1:$K$11)</f>
        <v>5.5147656768714146</v>
      </c>
      <c r="N331" s="195">
        <f t="shared" si="36"/>
        <v>1.5478571086814923</v>
      </c>
      <c r="O331" s="195">
        <f t="shared" si="42"/>
        <v>1.9302000000000001</v>
      </c>
      <c r="P331" s="240">
        <f>AVERAGE(Ashed_controlls!$K$12:$K$14)</f>
        <v>2.2816647271287041</v>
      </c>
      <c r="Q331" s="195">
        <f t="shared" si="37"/>
        <v>1.8861593074369618</v>
      </c>
      <c r="R331" s="16">
        <f>IF('Dry_Litterbag Placem_Collection'!G38="N.A","",'Dry_Litterbag Placem_Collection'!G38)</f>
        <v>43005</v>
      </c>
      <c r="S331" s="195">
        <f>IF(IFERROR(INDEX('Both teabags AfterDry'!$D$1:$D$839,MATCH(H331,'Both teabags AfterDry'!$A$1:$A$839,0)),"")="N.A","",(IFERROR(INDEX('Both teabags AfterDry'!$D$1:$D$839,MATCH(H331,'Both teabags AfterDry'!$A$1:$A$839,0)),"")))</f>
        <v>1.4665999999999999</v>
      </c>
      <c r="T331" s="195" t="str">
        <f>IF(IFERROR(INDEX('Both teabags AfterDry'!$D$1:$D$839,MATCH(I331,'Both teabags AfterDry'!$A$1:$A$839,0)),"")="N.A","",(IFERROR(INDEX('Both teabags AfterDry'!$D$1:$D$839,MATCH(I331,'Both teabags AfterDry'!$A$1:$A$839,0)),"")))</f>
        <v/>
      </c>
      <c r="U331" s="195">
        <f t="shared" si="43"/>
        <v>1.3159999999999998</v>
      </c>
      <c r="V331" s="195" t="str">
        <f t="shared" si="43"/>
        <v/>
      </c>
      <c r="W331" s="195">
        <f>IFERROR(INDEX('Ashed teabags dry'!$K$2:$K$821,MATCH(H331,'Ashed teabags dry'!$A$2:$A$821,0)),"")</f>
        <v>8.3333333333337372</v>
      </c>
      <c r="X331" s="195" t="str">
        <f>IFERROR(INDEX('Ashed teabags dry'!$K$2:$K$821,MATCH(I331,'Ashed teabags dry'!$A$2:$A$821,0)),"")</f>
        <v/>
      </c>
      <c r="Y331" s="195">
        <f t="shared" si="38"/>
        <v>1.2063333333333279</v>
      </c>
      <c r="Z331" s="195" t="str">
        <f t="shared" si="38"/>
        <v/>
      </c>
      <c r="AA331" s="195">
        <f t="shared" si="44"/>
        <v>0.22064296079570533</v>
      </c>
      <c r="AB331" s="195">
        <f t="shared" si="45"/>
        <v>0.14464954199433414</v>
      </c>
      <c r="AC331" s="195" t="str">
        <f t="shared" si="39"/>
        <v/>
      </c>
      <c r="AD331">
        <f t="shared" si="40"/>
        <v>67</v>
      </c>
      <c r="AE331" s="195">
        <f t="shared" si="46"/>
        <v>0.73795372827113381</v>
      </c>
      <c r="AF331" s="195" t="str">
        <f t="shared" si="47"/>
        <v/>
      </c>
      <c r="AG331" s="255" t="str">
        <f>IF(ISNUMBER(SEARCH("C", 'Dry_Litterbag Placem_Collection'!AD38)),"YES","NO")</f>
        <v>NO</v>
      </c>
      <c r="AH331" s="255" t="str">
        <f>IF(ISNUMBER(SEARCH("H", 'Dry_Litterbag Placem_Collection'!AD38)),"YES","NO")</f>
        <v>NO</v>
      </c>
      <c r="AI331" s="255" t="str">
        <f>IF(ISNUMBER(SEARCH("R", 'Dry_Litterbag Placem_Collection'!AD38)),"YES","NO")</f>
        <v>NO</v>
      </c>
      <c r="AJ331" s="255" t="str">
        <f>IF(ISNUMBER(SEARCH("C", 'Dry_Litterbag Placem_Collection'!AC38)),"YES","NO")</f>
        <v>NO</v>
      </c>
      <c r="AK331" s="255" t="str">
        <f>IF(ISNUMBER(SEARCH("H", 'Dry_Litterbag Placem_Collection'!AC38)),"YES","NO")</f>
        <v>NO</v>
      </c>
      <c r="AL331" s="255" t="str">
        <f>IF(ISNUMBER(SEARCH("R", 'Dry_Litterbag Placem_Collection'!AC38)),"YES","NO")</f>
        <v>NO</v>
      </c>
      <c r="AR331" t="s">
        <v>1283</v>
      </c>
      <c r="AT331" t="s">
        <v>989</v>
      </c>
    </row>
    <row r="332" spans="2:46">
      <c r="B332" t="str">
        <f>'Final data_for_R_analysis_Dryse'!A478</f>
        <v>Dry</v>
      </c>
      <c r="C332" s="263">
        <f>'Final data_for_R_analysis_Dryse'!B478</f>
        <v>37</v>
      </c>
      <c r="D332" t="s">
        <v>3831</v>
      </c>
      <c r="E332" t="s">
        <v>25</v>
      </c>
      <c r="F332" s="387">
        <v>5</v>
      </c>
      <c r="G332" s="16">
        <f>'Dry_Litterbag Placem_Collection'!E39</f>
        <v>42938</v>
      </c>
      <c r="H332" s="92" t="str">
        <f>'Final data_for_R_analysis_Dryse'!J478</f>
        <v>G473</v>
      </c>
      <c r="I332" t="str">
        <f>'Final data_for_R_analysis_Dryse'!J698</f>
        <v>R681</v>
      </c>
      <c r="J332">
        <f>IFERROR(INDEX('Green_rooibos initial weight'!$C$5:$C$1749,MATCH(H332, 'Green_rooibos initial weight'!$A$5:$A$1749,0)),"")</f>
        <v>2.077</v>
      </c>
      <c r="K332">
        <f>IFERROR(INDEX('Green_rooibos initial weight'!$C$5:$C$1749,MATCH(I332, 'Green_rooibos initial weight'!$A$5:$A$1749,0)),"")</f>
        <v>2.1859999999999999</v>
      </c>
      <c r="L332" s="195">
        <f t="shared" si="41"/>
        <v>1.8271999999999999</v>
      </c>
      <c r="M332" s="240">
        <f>AVERAGE(Ashed_controlls!$K$1:$K$11)</f>
        <v>5.5147656768714146</v>
      </c>
      <c r="N332" s="195">
        <f t="shared" ref="N332:N395" si="48">IFERROR(L332-(M332/100)*L332,"")</f>
        <v>1.7264342015522054</v>
      </c>
      <c r="O332" s="195">
        <f t="shared" si="42"/>
        <v>1.9361999999999999</v>
      </c>
      <c r="P332" s="240">
        <f>AVERAGE(Ashed_controlls!$K$12:$K$14)</f>
        <v>2.2816647271287041</v>
      </c>
      <c r="Q332" s="195">
        <f t="shared" ref="Q332:Q395" si="49">IFERROR(O332-(P332/100)*O332,"")</f>
        <v>1.8920224075533341</v>
      </c>
      <c r="R332" s="16">
        <f>IF('Dry_Litterbag Placem_Collection'!G39="N.A","",'Dry_Litterbag Placem_Collection'!G39)</f>
        <v>43005</v>
      </c>
      <c r="S332" s="195">
        <f>IF(IFERROR(INDEX('Both teabags AfterDry'!$D$1:$D$839,MATCH(H332,'Both teabags AfterDry'!$A$1:$A$839,0)),"")="N.A","",(IFERROR(INDEX('Both teabags AfterDry'!$D$1:$D$839,MATCH(H332,'Both teabags AfterDry'!$A$1:$A$839,0)),"")))</f>
        <v>1.8992</v>
      </c>
      <c r="T332" s="195">
        <f>IF(IFERROR(INDEX('Both teabags AfterDry'!$D$1:$D$839,MATCH(I332,'Both teabags AfterDry'!$A$1:$A$839,0)),"")="N.A","",(IFERROR(INDEX('Both teabags AfterDry'!$D$1:$D$839,MATCH(I332,'Both teabags AfterDry'!$A$1:$A$839,0)),"")))</f>
        <v>1.9663999999999999</v>
      </c>
      <c r="U332" s="195">
        <f t="shared" si="43"/>
        <v>1.7485999999999999</v>
      </c>
      <c r="V332" s="195">
        <f t="shared" si="43"/>
        <v>1.8157999999999999</v>
      </c>
      <c r="W332" s="195">
        <f>IFERROR(INDEX('Ashed teabags dry'!$K$2:$K$821,MATCH(H332,'Ashed teabags dry'!$A$2:$A$821,0)),"")</f>
        <v>6.7924528301884193</v>
      </c>
      <c r="X332" s="195">
        <f>IFERROR(INDEX('Ashed teabags dry'!$K$2:$K$821,MATCH(I332,'Ashed teabags dry'!$A$2:$A$821,0)),"")</f>
        <v>4.1249999999999165</v>
      </c>
      <c r="Y332" s="195">
        <f t="shared" ref="Y332:Z395" si="50">IFERROR(U332-(W332/100)*U332,"")</f>
        <v>1.6298271698113251</v>
      </c>
      <c r="Z332" s="195">
        <f t="shared" si="50"/>
        <v>1.7408982500000014</v>
      </c>
      <c r="AA332" s="195">
        <f t="shared" si="44"/>
        <v>5.5957552077005146E-2</v>
      </c>
      <c r="AB332" s="195">
        <f t="shared" si="45"/>
        <v>3.6684760981599548E-2</v>
      </c>
      <c r="AC332" s="195">
        <f t="shared" ref="AC332:AC395" si="51">IFERROR(Z332/Q332,"")</f>
        <v>0.92012559843371067</v>
      </c>
      <c r="AD332">
        <f t="shared" ref="AD332:AD395" si="52">IF((R332-G332)&gt;0,(IFERROR(R332-G332,"")),"")</f>
        <v>67</v>
      </c>
      <c r="AE332" s="195">
        <f t="shared" si="46"/>
        <v>0.93354209967101531</v>
      </c>
      <c r="AF332" s="195" t="str">
        <f t="shared" si="47"/>
        <v/>
      </c>
      <c r="AG332" s="255" t="str">
        <f>IF(ISNUMBER(SEARCH("C", 'Dry_Litterbag Placem_Collection'!AD39)),"YES","NO")</f>
        <v>NO</v>
      </c>
      <c r="AH332" s="255" t="str">
        <f>IF(ISNUMBER(SEARCH("H", 'Dry_Litterbag Placem_Collection'!AD39)),"YES","NO")</f>
        <v>NO</v>
      </c>
      <c r="AI332" s="255" t="str">
        <f>IF(ISNUMBER(SEARCH("R", 'Dry_Litterbag Placem_Collection'!AD39)),"YES","NO")</f>
        <v>NO</v>
      </c>
      <c r="AJ332" s="255" t="str">
        <f>IF(ISNUMBER(SEARCH("C", 'Dry_Litterbag Placem_Collection'!AC39)),"YES","NO")</f>
        <v>NO</v>
      </c>
      <c r="AK332" s="255" t="str">
        <f>IF(ISNUMBER(SEARCH("H", 'Dry_Litterbag Placem_Collection'!AC39)),"YES","NO")</f>
        <v>NO</v>
      </c>
      <c r="AL332" s="255" t="str">
        <f>IF(ISNUMBER(SEARCH("R", 'Dry_Litterbag Placem_Collection'!AC39)),"YES","NO")</f>
        <v>NO</v>
      </c>
      <c r="AR332" t="s">
        <v>1577</v>
      </c>
      <c r="AT332" t="s">
        <v>458</v>
      </c>
    </row>
    <row r="333" spans="2:46">
      <c r="B333" t="str">
        <f>'Final data_for_R_analysis_Dryse'!A479</f>
        <v>Dry</v>
      </c>
      <c r="C333" s="263">
        <f>'Final data_for_R_analysis_Dryse'!B479</f>
        <v>38</v>
      </c>
      <c r="D333" t="s">
        <v>3831</v>
      </c>
      <c r="E333" t="s">
        <v>25</v>
      </c>
      <c r="F333" s="387">
        <v>6</v>
      </c>
      <c r="G333" s="16">
        <f>'Dry_Litterbag Placem_Collection'!E40</f>
        <v>42938</v>
      </c>
      <c r="H333" s="92" t="str">
        <f>'Final data_for_R_analysis_Dryse'!J479</f>
        <v>G111</v>
      </c>
      <c r="I333" t="str">
        <f>'Final data_for_R_analysis_Dryse'!J699</f>
        <v>R260</v>
      </c>
      <c r="J333">
        <f>IFERROR(INDEX('Green_rooibos initial weight'!$C$5:$C$1749,MATCH(H333, 'Green_rooibos initial weight'!$A$5:$A$1749,0)),"")</f>
        <v>2.0750000000000002</v>
      </c>
      <c r="K333">
        <f>IFERROR(INDEX('Green_rooibos initial weight'!$C$5:$C$1749,MATCH(I333, 'Green_rooibos initial weight'!$A$5:$A$1749,0)),"")</f>
        <v>2.1779999999999999</v>
      </c>
      <c r="L333" s="195">
        <f t="shared" ref="L333:L396" si="53">IFERROR(IF(J333&gt;0,(J333*$F$31-($F$29+$F$30)),""),"")</f>
        <v>1.8252000000000002</v>
      </c>
      <c r="M333" s="240">
        <f>AVERAGE(Ashed_controlls!$K$1:$K$11)</f>
        <v>5.5147656768714146</v>
      </c>
      <c r="N333" s="195">
        <f t="shared" si="48"/>
        <v>1.7245444968657431</v>
      </c>
      <c r="O333" s="195">
        <f t="shared" ref="O333:O396" si="54">IFERROR(IF(K333&gt;0,(K333*$F$32-($F$29+$F$30)),""),"")</f>
        <v>1.9281999999999999</v>
      </c>
      <c r="P333" s="240">
        <f>AVERAGE(Ashed_controlls!$K$12:$K$14)</f>
        <v>2.2816647271287041</v>
      </c>
      <c r="Q333" s="195">
        <f t="shared" si="49"/>
        <v>1.8842049407315042</v>
      </c>
      <c r="R333" s="16">
        <f>IF('Dry_Litterbag Placem_Collection'!G40="N.A","",'Dry_Litterbag Placem_Collection'!G40)</f>
        <v>43005</v>
      </c>
      <c r="S333" s="195">
        <f>IF(IFERROR(INDEX('Both teabags AfterDry'!$D$1:$D$839,MATCH(H333,'Both teabags AfterDry'!$A$1:$A$839,0)),"")="N.A","",(IFERROR(INDEX('Both teabags AfterDry'!$D$1:$D$839,MATCH(H333,'Both teabags AfterDry'!$A$1:$A$839,0)),"")))</f>
        <v>1.8357000000000001</v>
      </c>
      <c r="T333" s="195">
        <f>IF(IFERROR(INDEX('Both teabags AfterDry'!$D$1:$D$839,MATCH(I333,'Both teabags AfterDry'!$A$1:$A$839,0)),"")="N.A","",(IFERROR(INDEX('Both teabags AfterDry'!$D$1:$D$839,MATCH(I333,'Both teabags AfterDry'!$A$1:$A$839,0)),"")))</f>
        <v>1.8734</v>
      </c>
      <c r="U333" s="195">
        <f t="shared" ref="U333:V396" si="55">IFERROR(IF(S333&gt;0,S333-($F$29),""),"")</f>
        <v>1.6851</v>
      </c>
      <c r="V333" s="195">
        <f t="shared" si="55"/>
        <v>1.7227999999999999</v>
      </c>
      <c r="W333" s="195">
        <f>IFERROR(INDEX('Ashed teabags dry'!$K$2:$K$821,MATCH(H333,'Ashed teabags dry'!$A$2:$A$821,0)),"")</f>
        <v>6.2317429406042981</v>
      </c>
      <c r="X333" s="195">
        <f>IFERROR(INDEX('Ashed teabags dry'!$K$2:$K$821,MATCH(I333,'Ashed teabags dry'!$A$2:$A$821,0)),"")</f>
        <v>3.7144036318613898</v>
      </c>
      <c r="Y333" s="195">
        <f t="shared" si="50"/>
        <v>1.580088899707877</v>
      </c>
      <c r="Z333" s="195">
        <f t="shared" si="50"/>
        <v>1.6588082542302918</v>
      </c>
      <c r="AA333" s="195">
        <f t="shared" ref="AA333:AA396" si="56">IFERROR(1-Y333/N333,"")</f>
        <v>8.3764493998505385E-2</v>
      </c>
      <c r="AB333" s="195">
        <f t="shared" ref="AB333:AB396" si="57">IFERROR($F$26*(1-AE333),"")</f>
        <v>5.4914490127286178E-2</v>
      </c>
      <c r="AC333" s="195">
        <f t="shared" si="51"/>
        <v>0.88037570562058565</v>
      </c>
      <c r="AD333">
        <f t="shared" si="52"/>
        <v>67</v>
      </c>
      <c r="AE333" s="195">
        <f t="shared" ref="AE333:AE396" si="58">IFERROR(1-(AA333/$F$25),"")</f>
        <v>0.90051722803027867</v>
      </c>
      <c r="AF333" s="195" t="str">
        <f t="shared" ref="AF333:AF396" si="59">IFERROR(LN(AB333/(AC333-(1-AB333)))/AD333,"")</f>
        <v/>
      </c>
      <c r="AG333" s="255" t="str">
        <f>IF(ISNUMBER(SEARCH("C", 'Dry_Litterbag Placem_Collection'!AD40)),"YES","NO")</f>
        <v>NO</v>
      </c>
      <c r="AH333" s="255" t="str">
        <f>IF(ISNUMBER(SEARCH("H", 'Dry_Litterbag Placem_Collection'!AD40)),"YES","NO")</f>
        <v>NO</v>
      </c>
      <c r="AI333" s="255" t="str">
        <f>IF(ISNUMBER(SEARCH("R", 'Dry_Litterbag Placem_Collection'!AD40)),"YES","NO")</f>
        <v>NO</v>
      </c>
      <c r="AJ333" s="255" t="str">
        <f>IF(ISNUMBER(SEARCH("C", 'Dry_Litterbag Placem_Collection'!AC40)),"YES","NO")</f>
        <v>NO</v>
      </c>
      <c r="AK333" s="255" t="str">
        <f>IF(ISNUMBER(SEARCH("H", 'Dry_Litterbag Placem_Collection'!AC40)),"YES","NO")</f>
        <v>NO</v>
      </c>
      <c r="AL333" s="255" t="str">
        <f>IF(ISNUMBER(SEARCH("R", 'Dry_Litterbag Placem_Collection'!AC40)),"YES","NO")</f>
        <v>NO</v>
      </c>
      <c r="AR333" t="s">
        <v>1939</v>
      </c>
      <c r="AT333" t="s">
        <v>881</v>
      </c>
    </row>
    <row r="334" spans="2:46">
      <c r="B334" t="str">
        <f>'Final data_for_R_analysis_Dryse'!A480</f>
        <v>Dry</v>
      </c>
      <c r="C334" s="263">
        <f>'Final data_for_R_analysis_Dryse'!B480</f>
        <v>39</v>
      </c>
      <c r="D334" t="s">
        <v>3831</v>
      </c>
      <c r="E334" t="s">
        <v>25</v>
      </c>
      <c r="F334" s="387">
        <v>7</v>
      </c>
      <c r="G334" s="16">
        <f>'Dry_Litterbag Placem_Collection'!E41</f>
        <v>42938</v>
      </c>
      <c r="H334" s="92" t="str">
        <f>'Final data_for_R_analysis_Dryse'!J480</f>
        <v/>
      </c>
      <c r="I334" t="str">
        <f>'Final data_for_R_analysis_Dryse'!J700</f>
        <v/>
      </c>
      <c r="J334" t="str">
        <f>IFERROR(INDEX('Green_rooibos initial weight'!$C$5:$C$1749,MATCH(H334, 'Green_rooibos initial weight'!$A$5:$A$1749,0)),"")</f>
        <v/>
      </c>
      <c r="K334" t="str">
        <f>IFERROR(INDEX('Green_rooibos initial weight'!$C$5:$C$1749,MATCH(I334, 'Green_rooibos initial weight'!$A$5:$A$1749,0)),"")</f>
        <v/>
      </c>
      <c r="L334" s="195" t="str">
        <f t="shared" si="53"/>
        <v/>
      </c>
      <c r="M334" s="240">
        <f>AVERAGE(Ashed_controlls!$K$1:$K$11)</f>
        <v>5.5147656768714146</v>
      </c>
      <c r="N334" s="195" t="str">
        <f t="shared" si="48"/>
        <v/>
      </c>
      <c r="O334" s="195" t="str">
        <f t="shared" si="54"/>
        <v/>
      </c>
      <c r="P334" s="240">
        <f>AVERAGE(Ashed_controlls!$K$12:$K$14)</f>
        <v>2.2816647271287041</v>
      </c>
      <c r="Q334" s="195" t="str">
        <f t="shared" si="49"/>
        <v/>
      </c>
      <c r="R334" s="16">
        <f>IF('Dry_Litterbag Placem_Collection'!G41="N.A","",'Dry_Litterbag Placem_Collection'!G41)</f>
        <v>0</v>
      </c>
      <c r="S334" s="195" t="str">
        <f>IF(IFERROR(INDEX('Both teabags AfterDry'!$D$1:$D$839,MATCH(H334,'Both teabags AfterDry'!$A$1:$A$839,0)),"")="N.A","",(IFERROR(INDEX('Both teabags AfterDry'!$D$1:$D$839,MATCH(H334,'Both teabags AfterDry'!$A$1:$A$839,0)),"")))</f>
        <v/>
      </c>
      <c r="T334" s="195" t="str">
        <f>IF(IFERROR(INDEX('Both teabags AfterDry'!$D$1:$D$839,MATCH(I334,'Both teabags AfterDry'!$A$1:$A$839,0)),"")="N.A","",(IFERROR(INDEX('Both teabags AfterDry'!$D$1:$D$839,MATCH(I334,'Both teabags AfterDry'!$A$1:$A$839,0)),"")))</f>
        <v/>
      </c>
      <c r="U334" s="195" t="str">
        <f t="shared" si="55"/>
        <v/>
      </c>
      <c r="V334" s="195" t="str">
        <f t="shared" si="55"/>
        <v/>
      </c>
      <c r="W334" s="195" t="str">
        <f>IFERROR(INDEX('Ashed teabags dry'!$K$2:$K$821,MATCH(H334,'Ashed teabags dry'!$A$2:$A$821,0)),"")</f>
        <v/>
      </c>
      <c r="X334" s="195" t="str">
        <f>IFERROR(INDEX('Ashed teabags dry'!$K$2:$K$821,MATCH(I334,'Ashed teabags dry'!$A$2:$A$821,0)),"")</f>
        <v/>
      </c>
      <c r="Y334" s="195" t="str">
        <f t="shared" si="50"/>
        <v/>
      </c>
      <c r="Z334" s="195" t="str">
        <f t="shared" si="50"/>
        <v/>
      </c>
      <c r="AA334" s="195" t="str">
        <f t="shared" si="56"/>
        <v/>
      </c>
      <c r="AB334" s="195" t="str">
        <f t="shared" si="57"/>
        <v/>
      </c>
      <c r="AC334" s="195" t="str">
        <f t="shared" si="51"/>
        <v/>
      </c>
      <c r="AD334" t="str">
        <f t="shared" si="52"/>
        <v/>
      </c>
      <c r="AE334" s="195" t="str">
        <f t="shared" si="58"/>
        <v/>
      </c>
      <c r="AF334" s="195" t="str">
        <f t="shared" si="59"/>
        <v/>
      </c>
      <c r="AG334" s="255" t="str">
        <f>IF(ISNUMBER(SEARCH("C", 'Dry_Litterbag Placem_Collection'!AD41)),"YES","NO")</f>
        <v>NO</v>
      </c>
      <c r="AH334" s="255" t="str">
        <f>IF(ISNUMBER(SEARCH("H", 'Dry_Litterbag Placem_Collection'!AD41)),"YES","NO")</f>
        <v>NO</v>
      </c>
      <c r="AI334" s="255" t="str">
        <f>IF(ISNUMBER(SEARCH("R", 'Dry_Litterbag Placem_Collection'!AD41)),"YES","NO")</f>
        <v>NO</v>
      </c>
      <c r="AJ334" s="255" t="str">
        <f>IF(ISNUMBER(SEARCH("C", 'Dry_Litterbag Placem_Collection'!AC41)),"YES","NO")</f>
        <v>NO</v>
      </c>
      <c r="AK334" s="255" t="str">
        <f>IF(ISNUMBER(SEARCH("H", 'Dry_Litterbag Placem_Collection'!AC41)),"YES","NO")</f>
        <v>NO</v>
      </c>
      <c r="AL334" s="255" t="str">
        <f>IF(ISNUMBER(SEARCH("R", 'Dry_Litterbag Placem_Collection'!AC41)),"YES","NO")</f>
        <v>NO</v>
      </c>
      <c r="AR334" t="s">
        <v>3654</v>
      </c>
      <c r="AT334" t="s">
        <v>3654</v>
      </c>
    </row>
    <row r="335" spans="2:46">
      <c r="B335" t="str">
        <f>'Final data_for_R_analysis_Dryse'!A481</f>
        <v>Dry</v>
      </c>
      <c r="C335" s="263">
        <f>'Final data_for_R_analysis_Dryse'!B481</f>
        <v>40</v>
      </c>
      <c r="D335" t="s">
        <v>3831</v>
      </c>
      <c r="E335" t="s">
        <v>25</v>
      </c>
      <c r="F335" s="387">
        <v>8</v>
      </c>
      <c r="G335" s="16">
        <f>'Dry_Litterbag Placem_Collection'!E42</f>
        <v>42938</v>
      </c>
      <c r="H335" s="92" t="str">
        <f>'Final data_for_R_analysis_Dryse'!J481</f>
        <v>G646</v>
      </c>
      <c r="I335" t="str">
        <f>'Final data_for_R_analysis_Dryse'!J701</f>
        <v>R402</v>
      </c>
      <c r="J335">
        <f>IFERROR(INDEX('Green_rooibos initial weight'!$C$5:$C$1749,MATCH(H335, 'Green_rooibos initial weight'!$A$5:$A$1749,0)),"")</f>
        <v>2.1629999999999998</v>
      </c>
      <c r="K335">
        <f>IFERROR(INDEX('Green_rooibos initial weight'!$C$5:$C$1749,MATCH(I335, 'Green_rooibos initial weight'!$A$5:$A$1749,0)),"")</f>
        <v>2.1459999999999999</v>
      </c>
      <c r="L335" s="195">
        <f t="shared" si="53"/>
        <v>1.9131999999999998</v>
      </c>
      <c r="M335" s="240">
        <f>AVERAGE(Ashed_controlls!$K$1:$K$11)</f>
        <v>5.5147656768714146</v>
      </c>
      <c r="N335" s="195">
        <f t="shared" si="48"/>
        <v>1.807691503070096</v>
      </c>
      <c r="O335" s="195">
        <f t="shared" si="54"/>
        <v>1.8961999999999999</v>
      </c>
      <c r="P335" s="240">
        <f>AVERAGE(Ashed_controlls!$K$12:$K$14)</f>
        <v>2.2816647271287041</v>
      </c>
      <c r="Q335" s="195">
        <f t="shared" si="49"/>
        <v>1.8529350734441854</v>
      </c>
      <c r="R335" s="16">
        <f>IF('Dry_Litterbag Placem_Collection'!G42="N.A","",'Dry_Litterbag Placem_Collection'!G42)</f>
        <v>43005</v>
      </c>
      <c r="S335" s="195">
        <f>IF(IFERROR(INDEX('Both teabags AfterDry'!$D$1:$D$839,MATCH(H335,'Both teabags AfterDry'!$A$1:$A$839,0)),"")="N.A","",(IFERROR(INDEX('Both teabags AfterDry'!$D$1:$D$839,MATCH(H335,'Both teabags AfterDry'!$A$1:$A$839,0)),"")))</f>
        <v>1.9007000000000001</v>
      </c>
      <c r="T335" s="195">
        <f>IF(IFERROR(INDEX('Both teabags AfterDry'!$D$1:$D$839,MATCH(I335,'Both teabags AfterDry'!$A$1:$A$839,0)),"")="N.A","",(IFERROR(INDEX('Both teabags AfterDry'!$D$1:$D$839,MATCH(I335,'Both teabags AfterDry'!$A$1:$A$839,0)),"")))</f>
        <v>1.9192</v>
      </c>
      <c r="U335" s="195">
        <f t="shared" si="55"/>
        <v>1.7501</v>
      </c>
      <c r="V335" s="195">
        <f t="shared" si="55"/>
        <v>1.7685999999999999</v>
      </c>
      <c r="W335" s="195">
        <f>IFERROR(INDEX('Ashed teabags dry'!$K$2:$K$821,MATCH(H335,'Ashed teabags dry'!$A$2:$A$821,0)),"")</f>
        <v>6.7672833495611799</v>
      </c>
      <c r="X335" s="195">
        <f>IFERROR(INDEX('Ashed teabags dry'!$K$2:$K$821,MATCH(I335,'Ashed teabags dry'!$A$2:$A$821,0)),"")</f>
        <v>3.0697674418608112</v>
      </c>
      <c r="Y335" s="195">
        <f t="shared" si="50"/>
        <v>1.6316657740993297</v>
      </c>
      <c r="Z335" s="195">
        <f t="shared" si="50"/>
        <v>1.7143080930232497</v>
      </c>
      <c r="AA335" s="195">
        <f t="shared" si="56"/>
        <v>9.7375978518354889E-2</v>
      </c>
      <c r="AB335" s="195">
        <f t="shared" si="57"/>
        <v>6.3837933660489191E-2</v>
      </c>
      <c r="AC335" s="195">
        <f t="shared" si="51"/>
        <v>0.92518519272061728</v>
      </c>
      <c r="AD335">
        <f t="shared" si="52"/>
        <v>67</v>
      </c>
      <c r="AE335" s="195">
        <f t="shared" si="58"/>
        <v>0.88435156945563553</v>
      </c>
      <c r="AF335" s="195" t="str">
        <f t="shared" si="59"/>
        <v/>
      </c>
      <c r="AG335" s="255" t="str">
        <f>IF(ISNUMBER(SEARCH("C", 'Dry_Litterbag Placem_Collection'!AD42)),"YES","NO")</f>
        <v>NO</v>
      </c>
      <c r="AH335" s="255" t="str">
        <f>IF(ISNUMBER(SEARCH("H", 'Dry_Litterbag Placem_Collection'!AD42)),"YES","NO")</f>
        <v>NO</v>
      </c>
      <c r="AI335" s="255" t="str">
        <f>IF(ISNUMBER(SEARCH("R", 'Dry_Litterbag Placem_Collection'!AD42)),"YES","NO")</f>
        <v>NO</v>
      </c>
      <c r="AJ335" s="255" t="str">
        <f>IF(ISNUMBER(SEARCH("C", 'Dry_Litterbag Placem_Collection'!AC42)),"YES","NO")</f>
        <v>NO</v>
      </c>
      <c r="AK335" s="255" t="str">
        <f>IF(ISNUMBER(SEARCH("H", 'Dry_Litterbag Placem_Collection'!AC42)),"YES","NO")</f>
        <v>NO</v>
      </c>
      <c r="AL335" s="255" t="str">
        <f>IF(ISNUMBER(SEARCH("R", 'Dry_Litterbag Placem_Collection'!AC42)),"YES","NO")</f>
        <v>NO</v>
      </c>
      <c r="AR335" t="s">
        <v>1404</v>
      </c>
      <c r="AT335" t="s">
        <v>739</v>
      </c>
    </row>
    <row r="336" spans="2:46">
      <c r="B336" t="str">
        <f>'Final data_for_R_analysis_Dryse'!A482</f>
        <v>Dry</v>
      </c>
      <c r="C336" s="263">
        <f>'Final data_for_R_analysis_Dryse'!B482</f>
        <v>41</v>
      </c>
      <c r="D336" t="s">
        <v>3833</v>
      </c>
      <c r="E336" t="s">
        <v>25</v>
      </c>
      <c r="F336" s="386">
        <v>1</v>
      </c>
      <c r="G336" s="16">
        <f>'Dry_Litterbag Placem_Collection'!E43</f>
        <v>42938</v>
      </c>
      <c r="H336" s="92" t="str">
        <f>'Final data_for_R_analysis_Dryse'!J482</f>
        <v>G43</v>
      </c>
      <c r="I336" t="str">
        <f>'Final data_for_R_analysis_Dryse'!J702</f>
        <v>R648</v>
      </c>
      <c r="J336">
        <f>IFERROR(INDEX('Green_rooibos initial weight'!$C$5:$C$1749,MATCH(H336, 'Green_rooibos initial weight'!$A$5:$A$1749,0)),"")</f>
        <v>1.9650000000000001</v>
      </c>
      <c r="K336">
        <f>IFERROR(INDEX('Green_rooibos initial weight'!$C$5:$C$1749,MATCH(I336, 'Green_rooibos initial weight'!$A$5:$A$1749,0)),"")</f>
        <v>2.1920000000000002</v>
      </c>
      <c r="L336" s="195">
        <f t="shared" si="53"/>
        <v>1.7152000000000001</v>
      </c>
      <c r="M336" s="240">
        <f>AVERAGE(Ashed_controlls!$K$1:$K$11)</f>
        <v>5.5147656768714146</v>
      </c>
      <c r="N336" s="195">
        <f t="shared" si="48"/>
        <v>1.6206107391103015</v>
      </c>
      <c r="O336" s="195">
        <f t="shared" si="54"/>
        <v>1.9422000000000001</v>
      </c>
      <c r="P336" s="240">
        <f>AVERAGE(Ashed_controlls!$K$12:$K$14)</f>
        <v>2.2816647271287041</v>
      </c>
      <c r="Q336" s="195">
        <f t="shared" si="49"/>
        <v>1.8978855076697065</v>
      </c>
      <c r="R336" s="16">
        <f>IF('Dry_Litterbag Placem_Collection'!G43="N.A","",'Dry_Litterbag Placem_Collection'!G43)</f>
        <v>43005</v>
      </c>
      <c r="S336" s="195">
        <f>IF(IFERROR(INDEX('Both teabags AfterDry'!$D$1:$D$839,MATCH(H336,'Both teabags AfterDry'!$A$1:$A$839,0)),"")="N.A","",(IFERROR(INDEX('Both teabags AfterDry'!$D$1:$D$839,MATCH(H336,'Both teabags AfterDry'!$A$1:$A$839,0)),"")))</f>
        <v>1.7821</v>
      </c>
      <c r="T336" s="195">
        <f>IF(IFERROR(INDEX('Both teabags AfterDry'!$D$1:$D$839,MATCH(I336,'Both teabags AfterDry'!$A$1:$A$839,0)),"")="N.A","",(IFERROR(INDEX('Both teabags AfterDry'!$D$1:$D$839,MATCH(I336,'Both teabags AfterDry'!$A$1:$A$839,0)),"")))</f>
        <v>1.9649000000000001</v>
      </c>
      <c r="U336" s="195">
        <f t="shared" si="55"/>
        <v>1.6315</v>
      </c>
      <c r="V336" s="195">
        <f t="shared" si="55"/>
        <v>1.8143</v>
      </c>
      <c r="W336" s="195">
        <f>IFERROR(INDEX('Ashed teabags dry'!$K$2:$K$821,MATCH(H336,'Ashed teabags dry'!$A$2:$A$821,0)),"")</f>
        <v>4.8097944905995158</v>
      </c>
      <c r="X336" s="195">
        <f>IFERROR(INDEX('Ashed teabags dry'!$K$2:$K$821,MATCH(I336,'Ashed teabags dry'!$A$2:$A$821,0)),"")</f>
        <v>3.1295137217131312</v>
      </c>
      <c r="Y336" s="195">
        <f t="shared" si="50"/>
        <v>1.5530282028858688</v>
      </c>
      <c r="Z336" s="195">
        <f t="shared" si="50"/>
        <v>1.7575212325469587</v>
      </c>
      <c r="AA336" s="195">
        <f t="shared" si="56"/>
        <v>4.1701893362458442E-2</v>
      </c>
      <c r="AB336" s="195">
        <f t="shared" si="57"/>
        <v>2.733900847515091E-2</v>
      </c>
      <c r="AC336" s="195">
        <f t="shared" si="51"/>
        <v>0.92604175828546564</v>
      </c>
      <c r="AD336">
        <f t="shared" si="52"/>
        <v>67</v>
      </c>
      <c r="AE336" s="195">
        <f t="shared" si="58"/>
        <v>0.95047281073342227</v>
      </c>
      <c r="AF336" s="195" t="str">
        <f t="shared" si="59"/>
        <v/>
      </c>
      <c r="AG336" s="255" t="str">
        <f>IF(ISNUMBER(SEARCH("C", 'Dry_Litterbag Placem_Collection'!AD43)),"YES","NO")</f>
        <v>NO</v>
      </c>
      <c r="AH336" s="255" t="str">
        <f>IF(ISNUMBER(SEARCH("H", 'Dry_Litterbag Placem_Collection'!AD43)),"YES","NO")</f>
        <v>NO</v>
      </c>
      <c r="AI336" s="255" t="str">
        <f>IF(ISNUMBER(SEARCH("R", 'Dry_Litterbag Placem_Collection'!AD43)),"YES","NO")</f>
        <v>NO</v>
      </c>
      <c r="AJ336" s="255" t="str">
        <f>IF(ISNUMBER(SEARCH("C", 'Dry_Litterbag Placem_Collection'!AC43)),"YES","NO")</f>
        <v>NO</v>
      </c>
      <c r="AK336" s="255" t="str">
        <f>IF(ISNUMBER(SEARCH("H", 'Dry_Litterbag Placem_Collection'!AC43)),"YES","NO")</f>
        <v>NO</v>
      </c>
      <c r="AL336" s="255" t="str">
        <f>IF(ISNUMBER(SEARCH("R", 'Dry_Litterbag Placem_Collection'!AC43)),"YES","NO")</f>
        <v>NO</v>
      </c>
      <c r="AR336" t="s">
        <v>2007</v>
      </c>
      <c r="AT336" t="s">
        <v>491</v>
      </c>
    </row>
    <row r="337" spans="2:46">
      <c r="B337" t="str">
        <f>'Final data_for_R_analysis_Dryse'!A483</f>
        <v>Dry</v>
      </c>
      <c r="C337" s="263">
        <f>'Final data_for_R_analysis_Dryse'!B483</f>
        <v>42</v>
      </c>
      <c r="D337" t="s">
        <v>3833</v>
      </c>
      <c r="E337" t="s">
        <v>25</v>
      </c>
      <c r="F337" s="386">
        <v>2</v>
      </c>
      <c r="G337" s="16">
        <f>'Dry_Litterbag Placem_Collection'!E44</f>
        <v>42938</v>
      </c>
      <c r="H337" s="92" t="str">
        <f>'Final data_for_R_analysis_Dryse'!J483</f>
        <v>G268</v>
      </c>
      <c r="I337" t="str">
        <f>'Final data_for_R_analysis_Dryse'!J703</f>
        <v>R257</v>
      </c>
      <c r="J337">
        <f>IFERROR(INDEX('Green_rooibos initial weight'!$C$5:$C$1749,MATCH(H337, 'Green_rooibos initial weight'!$A$5:$A$1749,0)),"")</f>
        <v>2.1389999999999998</v>
      </c>
      <c r="K337">
        <f>IFERROR(INDEX('Green_rooibos initial weight'!$C$5:$C$1749,MATCH(I337, 'Green_rooibos initial weight'!$A$5:$A$1749,0)),"")</f>
        <v>2.222</v>
      </c>
      <c r="L337" s="195">
        <f t="shared" si="53"/>
        <v>1.8891999999999998</v>
      </c>
      <c r="M337" s="240">
        <f>AVERAGE(Ashed_controlls!$K$1:$K$11)</f>
        <v>5.5147656768714146</v>
      </c>
      <c r="N337" s="195">
        <f t="shared" si="48"/>
        <v>1.785015046832545</v>
      </c>
      <c r="O337" s="195">
        <f t="shared" si="54"/>
        <v>1.9722</v>
      </c>
      <c r="P337" s="240">
        <f>AVERAGE(Ashed_controlls!$K$12:$K$14)</f>
        <v>2.2816647271287041</v>
      </c>
      <c r="Q337" s="195">
        <f t="shared" si="49"/>
        <v>1.9272010082515676</v>
      </c>
      <c r="R337" s="16">
        <f>IF('Dry_Litterbag Placem_Collection'!G44="N.A","",'Dry_Litterbag Placem_Collection'!G44)</f>
        <v>43005</v>
      </c>
      <c r="S337" s="195">
        <f>IF(IFERROR(INDEX('Both teabags AfterDry'!$D$1:$D$839,MATCH(H337,'Both teabags AfterDry'!$A$1:$A$839,0)),"")="N.A","",(IFERROR(INDEX('Both teabags AfterDry'!$D$1:$D$839,MATCH(H337,'Both teabags AfterDry'!$A$1:$A$839,0)),"")))</f>
        <v>1.7633000000000001</v>
      </c>
      <c r="T337" s="195">
        <f>IF(IFERROR(INDEX('Both teabags AfterDry'!$D$1:$D$839,MATCH(I337,'Both teabags AfterDry'!$A$1:$A$839,0)),"")="N.A","",(IFERROR(INDEX('Both teabags AfterDry'!$D$1:$D$839,MATCH(I337,'Both teabags AfterDry'!$A$1:$A$839,0)),"")))</f>
        <v>1.956</v>
      </c>
      <c r="U337" s="195">
        <f t="shared" si="55"/>
        <v>1.6127</v>
      </c>
      <c r="V337" s="195">
        <f t="shared" si="55"/>
        <v>1.8053999999999999</v>
      </c>
      <c r="W337" s="195">
        <f>IFERROR(INDEX('Ashed teabags dry'!$K$2:$K$821,MATCH(H337,'Ashed teabags dry'!$A$2:$A$821,0)),"")</f>
        <v>9.3972472710013903</v>
      </c>
      <c r="X337" s="195">
        <f>IFERROR(INDEX('Ashed teabags dry'!$K$2:$K$821,MATCH(I337,'Ashed teabags dry'!$A$2:$A$821,0)),"")</f>
        <v>2.8571428571426241</v>
      </c>
      <c r="Y337" s="195">
        <f t="shared" si="50"/>
        <v>1.4611505932605606</v>
      </c>
      <c r="Z337" s="195">
        <f t="shared" si="50"/>
        <v>1.753817142857147</v>
      </c>
      <c r="AA337" s="195">
        <f t="shared" si="56"/>
        <v>0.18143513924247978</v>
      </c>
      <c r="AB337" s="195">
        <f t="shared" si="57"/>
        <v>0.11894560197369221</v>
      </c>
      <c r="AC337" s="195">
        <f t="shared" si="51"/>
        <v>0.910033325713273</v>
      </c>
      <c r="AD337">
        <f t="shared" si="52"/>
        <v>67</v>
      </c>
      <c r="AE337" s="195">
        <f t="shared" si="58"/>
        <v>0.78451883700418079</v>
      </c>
      <c r="AF337" s="195">
        <f t="shared" si="59"/>
        <v>2.1076079521612927E-2</v>
      </c>
      <c r="AG337" s="255" t="str">
        <f>IF(ISNUMBER(SEARCH("C", 'Dry_Litterbag Placem_Collection'!AD44)),"YES","NO")</f>
        <v>NO</v>
      </c>
      <c r="AH337" s="255" t="str">
        <f>IF(ISNUMBER(SEARCH("H", 'Dry_Litterbag Placem_Collection'!AD44)),"YES","NO")</f>
        <v>NO</v>
      </c>
      <c r="AI337" s="255" t="str">
        <f>IF(ISNUMBER(SEARCH("R", 'Dry_Litterbag Placem_Collection'!AD44)),"YES","NO")</f>
        <v>NO</v>
      </c>
      <c r="AJ337" s="255" t="str">
        <f>IF(ISNUMBER(SEARCH("C", 'Dry_Litterbag Placem_Collection'!AC44)),"YES","NO")</f>
        <v>NO</v>
      </c>
      <c r="AK337" s="255" t="str">
        <f>IF(ISNUMBER(SEARCH("H", 'Dry_Litterbag Placem_Collection'!AC44)),"YES","NO")</f>
        <v>NO</v>
      </c>
      <c r="AL337" s="255" t="str">
        <f>IF(ISNUMBER(SEARCH("R", 'Dry_Litterbag Placem_Collection'!AC44)),"YES","NO")</f>
        <v>NO</v>
      </c>
      <c r="AR337" t="s">
        <v>1782</v>
      </c>
      <c r="AT337" t="s">
        <v>884</v>
      </c>
    </row>
    <row r="338" spans="2:46">
      <c r="B338" t="str">
        <f>'Final data_for_R_analysis_Dryse'!A484</f>
        <v>Dry</v>
      </c>
      <c r="C338" s="263">
        <f>'Final data_for_R_analysis_Dryse'!B484</f>
        <v>43</v>
      </c>
      <c r="D338" t="s">
        <v>3833</v>
      </c>
      <c r="E338" t="s">
        <v>25</v>
      </c>
      <c r="F338" s="386">
        <v>3</v>
      </c>
      <c r="G338" s="16">
        <f>'Dry_Litterbag Placem_Collection'!E45</f>
        <v>42938</v>
      </c>
      <c r="H338" s="92" t="str">
        <f>'Final data_for_R_analysis_Dryse'!J484</f>
        <v>G300</v>
      </c>
      <c r="I338" t="str">
        <f>'Final data_for_R_analysis_Dryse'!J704</f>
        <v>R691</v>
      </c>
      <c r="J338">
        <f>IFERROR(INDEX('Green_rooibos initial weight'!$C$5:$C$1749,MATCH(H338, 'Green_rooibos initial weight'!$A$5:$A$1749,0)),"")</f>
        <v>2.052</v>
      </c>
      <c r="K338">
        <f>IFERROR(INDEX('Green_rooibos initial weight'!$C$5:$C$1749,MATCH(I338, 'Green_rooibos initial weight'!$A$5:$A$1749,0)),"")</f>
        <v>2.1859999999999999</v>
      </c>
      <c r="L338" s="195">
        <f t="shared" si="53"/>
        <v>1.8022</v>
      </c>
      <c r="M338" s="240">
        <f>AVERAGE(Ashed_controlls!$K$1:$K$11)</f>
        <v>5.5147656768714146</v>
      </c>
      <c r="N338" s="195">
        <f t="shared" si="48"/>
        <v>1.7028128929714235</v>
      </c>
      <c r="O338" s="195">
        <f t="shared" si="54"/>
        <v>1.9361999999999999</v>
      </c>
      <c r="P338" s="240">
        <f>AVERAGE(Ashed_controlls!$K$12:$K$14)</f>
        <v>2.2816647271287041</v>
      </c>
      <c r="Q338" s="195">
        <f t="shared" si="49"/>
        <v>1.8920224075533341</v>
      </c>
      <c r="R338" s="16">
        <f>IF('Dry_Litterbag Placem_Collection'!G45="N.A","",'Dry_Litterbag Placem_Collection'!G45)</f>
        <v>43005</v>
      </c>
      <c r="S338" s="195">
        <f>IF(IFERROR(INDEX('Both teabags AfterDry'!$D$1:$D$839,MATCH(H338,'Both teabags AfterDry'!$A$1:$A$839,0)),"")="N.A","",(IFERROR(INDEX('Both teabags AfterDry'!$D$1:$D$839,MATCH(H338,'Both teabags AfterDry'!$A$1:$A$839,0)),"")))</f>
        <v>1.8340000000000001</v>
      </c>
      <c r="T338" s="195">
        <f>IF(IFERROR(INDEX('Both teabags AfterDry'!$D$1:$D$839,MATCH(I338,'Both teabags AfterDry'!$A$1:$A$839,0)),"")="N.A","",(IFERROR(INDEX('Both teabags AfterDry'!$D$1:$D$839,MATCH(I338,'Both teabags AfterDry'!$A$1:$A$839,0)),"")))</f>
        <v>1.9609000000000001</v>
      </c>
      <c r="U338" s="195">
        <f t="shared" si="55"/>
        <v>1.6834</v>
      </c>
      <c r="V338" s="195">
        <f t="shared" si="55"/>
        <v>1.8103</v>
      </c>
      <c r="W338" s="195">
        <f>IFERROR(INDEX('Ashed teabags dry'!$K$2:$K$821,MATCH(H338,'Ashed teabags dry'!$A$2:$A$821,0)),"")</f>
        <v>6.2999529854254668</v>
      </c>
      <c r="X338" s="195">
        <f>IFERROR(INDEX('Ashed teabags dry'!$K$2:$K$821,MATCH(I338,'Ashed teabags dry'!$A$2:$A$821,0)),"")</f>
        <v>3.8599640933580917</v>
      </c>
      <c r="Y338" s="195">
        <f t="shared" si="50"/>
        <v>1.5773465914433478</v>
      </c>
      <c r="Z338" s="195">
        <f t="shared" si="50"/>
        <v>1.7404230700179384</v>
      </c>
      <c r="AA338" s="195">
        <f t="shared" si="56"/>
        <v>7.3681789729190927E-2</v>
      </c>
      <c r="AB338" s="195">
        <f t="shared" si="57"/>
        <v>4.8304451223887643E-2</v>
      </c>
      <c r="AC338" s="195">
        <f t="shared" si="51"/>
        <v>0.91987444919775763</v>
      </c>
      <c r="AD338">
        <f t="shared" si="52"/>
        <v>67</v>
      </c>
      <c r="AE338" s="195">
        <f t="shared" si="58"/>
        <v>0.91249193618860935</v>
      </c>
      <c r="AF338" s="195" t="str">
        <f t="shared" si="59"/>
        <v/>
      </c>
      <c r="AG338" s="255" t="str">
        <f>IF(ISNUMBER(SEARCH("C", 'Dry_Litterbag Placem_Collection'!AD45)),"YES","NO")</f>
        <v>NO</v>
      </c>
      <c r="AH338" s="255" t="str">
        <f>IF(ISNUMBER(SEARCH("H", 'Dry_Litterbag Placem_Collection'!AD45)),"YES","NO")</f>
        <v>NO</v>
      </c>
      <c r="AI338" s="255" t="str">
        <f>IF(ISNUMBER(SEARCH("R", 'Dry_Litterbag Placem_Collection'!AD45)),"YES","NO")</f>
        <v>NO</v>
      </c>
      <c r="AJ338" s="255" t="str">
        <f>IF(ISNUMBER(SEARCH("C", 'Dry_Litterbag Placem_Collection'!AC45)),"YES","NO")</f>
        <v>NO</v>
      </c>
      <c r="AK338" s="255" t="str">
        <f>IF(ISNUMBER(SEARCH("H", 'Dry_Litterbag Placem_Collection'!AC45)),"YES","NO")</f>
        <v>NO</v>
      </c>
      <c r="AL338" s="255" t="str">
        <f>IF(ISNUMBER(SEARCH("R", 'Dry_Litterbag Placem_Collection'!AC45)),"YES","NO")</f>
        <v>NO</v>
      </c>
      <c r="AR338" t="s">
        <v>1750</v>
      </c>
      <c r="AT338" t="s">
        <v>448</v>
      </c>
    </row>
    <row r="339" spans="2:46">
      <c r="B339" t="str">
        <f>'Final data_for_R_analysis_Dryse'!A485</f>
        <v>Dry</v>
      </c>
      <c r="C339" s="263">
        <f>'Final data_for_R_analysis_Dryse'!B485</f>
        <v>44</v>
      </c>
      <c r="D339" t="s">
        <v>3833</v>
      </c>
      <c r="E339" t="s">
        <v>25</v>
      </c>
      <c r="F339" s="387">
        <v>4</v>
      </c>
      <c r="G339" s="16">
        <f>'Dry_Litterbag Placem_Collection'!E46</f>
        <v>42938</v>
      </c>
      <c r="H339" s="92" t="str">
        <f>'Final data_for_R_analysis_Dryse'!J485</f>
        <v>G823</v>
      </c>
      <c r="I339" t="str">
        <f>'Final data_for_R_analysis_Dryse'!J705</f>
        <v>R716</v>
      </c>
      <c r="J339">
        <f>IFERROR(INDEX('Green_rooibos initial weight'!$C$5:$C$1749,MATCH(H339, 'Green_rooibos initial weight'!$A$5:$A$1749,0)),"")</f>
        <v>1.9630000000000001</v>
      </c>
      <c r="K339">
        <f>IFERROR(INDEX('Green_rooibos initial weight'!$C$5:$C$1749,MATCH(I339, 'Green_rooibos initial weight'!$A$5:$A$1749,0)),"")</f>
        <v>2.2280000000000002</v>
      </c>
      <c r="L339" s="195">
        <f t="shared" si="53"/>
        <v>1.7132000000000001</v>
      </c>
      <c r="M339" s="240">
        <f>AVERAGE(Ashed_controlls!$K$1:$K$11)</f>
        <v>5.5147656768714146</v>
      </c>
      <c r="N339" s="195">
        <f t="shared" si="48"/>
        <v>1.618721034423839</v>
      </c>
      <c r="O339" s="195">
        <f t="shared" si="54"/>
        <v>1.9782000000000002</v>
      </c>
      <c r="P339" s="240">
        <f>AVERAGE(Ashed_controlls!$K$12:$K$14)</f>
        <v>2.2816647271287041</v>
      </c>
      <c r="Q339" s="195">
        <f t="shared" si="49"/>
        <v>1.9330641083679401</v>
      </c>
      <c r="R339" s="16">
        <f>IF('Dry_Litterbag Placem_Collection'!G46="N.A","",'Dry_Litterbag Placem_Collection'!G46)</f>
        <v>43005</v>
      </c>
      <c r="S339" s="195">
        <f>IF(IFERROR(INDEX('Both teabags AfterDry'!$D$1:$D$839,MATCH(H339,'Both teabags AfterDry'!$A$1:$A$839,0)),"")="N.A","",(IFERROR(INDEX('Both teabags AfterDry'!$D$1:$D$839,MATCH(H339,'Both teabags AfterDry'!$A$1:$A$839,0)),"")))</f>
        <v>1.8245</v>
      </c>
      <c r="T339" s="195">
        <f>IF(IFERROR(INDEX('Both teabags AfterDry'!$D$1:$D$839,MATCH(I339,'Both teabags AfterDry'!$A$1:$A$839,0)),"")="N.A","",(IFERROR(INDEX('Both teabags AfterDry'!$D$1:$D$839,MATCH(I339,'Both teabags AfterDry'!$A$1:$A$839,0)),"")))</f>
        <v>1.9879</v>
      </c>
      <c r="U339" s="195">
        <f t="shared" si="55"/>
        <v>1.6738999999999999</v>
      </c>
      <c r="V339" s="195">
        <f t="shared" si="55"/>
        <v>1.8372999999999999</v>
      </c>
      <c r="W339" s="195">
        <f>IFERROR(INDEX('Ashed teabags dry'!$K$2:$K$821,MATCH(H339,'Ashed teabags dry'!$A$2:$A$821,0)),"")</f>
        <v>6.7021748779403518</v>
      </c>
      <c r="X339" s="195">
        <f>IFERROR(INDEX('Ashed teabags dry'!$K$2:$K$821,MATCH(I339,'Ashed teabags dry'!$A$2:$A$821,0)),"")</f>
        <v>2.9353233830845578</v>
      </c>
      <c r="Y339" s="195">
        <f t="shared" si="50"/>
        <v>1.5617122947181563</v>
      </c>
      <c r="Z339" s="195">
        <f t="shared" si="50"/>
        <v>1.7833693034825873</v>
      </c>
      <c r="AA339" s="195">
        <f t="shared" si="56"/>
        <v>3.5218384448790552E-2</v>
      </c>
      <c r="AB339" s="195">
        <f t="shared" si="57"/>
        <v>2.3088537073316387E-2</v>
      </c>
      <c r="AC339" s="195">
        <f t="shared" si="51"/>
        <v>0.92256086891410027</v>
      </c>
      <c r="AD339">
        <f t="shared" si="52"/>
        <v>67</v>
      </c>
      <c r="AE339" s="195">
        <f t="shared" si="58"/>
        <v>0.95817294008457177</v>
      </c>
      <c r="AF339" s="195" t="str">
        <f t="shared" si="59"/>
        <v/>
      </c>
      <c r="AG339" s="255" t="str">
        <f>IF(ISNUMBER(SEARCH("C", 'Dry_Litterbag Placem_Collection'!AD46)),"YES","NO")</f>
        <v>NO</v>
      </c>
      <c r="AH339" s="255" t="str">
        <f>IF(ISNUMBER(SEARCH("H", 'Dry_Litterbag Placem_Collection'!AD46)),"YES","NO")</f>
        <v>NO</v>
      </c>
      <c r="AI339" s="255" t="str">
        <f>IF(ISNUMBER(SEARCH("R", 'Dry_Litterbag Placem_Collection'!AD46)),"YES","NO")</f>
        <v>NO</v>
      </c>
      <c r="AJ339" s="255" t="str">
        <f>IF(ISNUMBER(SEARCH("C", 'Dry_Litterbag Placem_Collection'!AC46)),"YES","NO")</f>
        <v>NO</v>
      </c>
      <c r="AK339" s="255" t="str">
        <f>IF(ISNUMBER(SEARCH("H", 'Dry_Litterbag Placem_Collection'!AC46)),"YES","NO")</f>
        <v>NO</v>
      </c>
      <c r="AL339" s="255" t="str">
        <f>IF(ISNUMBER(SEARCH("R", 'Dry_Litterbag Placem_Collection'!AC46)),"YES","NO")</f>
        <v>NO</v>
      </c>
      <c r="AR339" t="s">
        <v>1227</v>
      </c>
      <c r="AT339" t="s">
        <v>423</v>
      </c>
    </row>
    <row r="340" spans="2:46">
      <c r="B340" t="str">
        <f>'Final data_for_R_analysis_Dryse'!A486</f>
        <v>Dry</v>
      </c>
      <c r="C340" s="263">
        <f>'Final data_for_R_analysis_Dryse'!B486</f>
        <v>45</v>
      </c>
      <c r="D340" t="s">
        <v>3833</v>
      </c>
      <c r="E340" t="s">
        <v>25</v>
      </c>
      <c r="F340" s="387">
        <v>5</v>
      </c>
      <c r="G340" s="16">
        <f>'Dry_Litterbag Placem_Collection'!E47</f>
        <v>42938</v>
      </c>
      <c r="H340" s="92" t="str">
        <f>'Final data_for_R_analysis_Dryse'!J486</f>
        <v>G354</v>
      </c>
      <c r="I340" t="str">
        <f>'Final data_for_R_analysis_Dryse'!J706</f>
        <v>R631</v>
      </c>
      <c r="J340">
        <f>IFERROR(INDEX('Green_rooibos initial weight'!$C$5:$C$1749,MATCH(H340, 'Green_rooibos initial weight'!$A$5:$A$1749,0)),"")</f>
        <v>1.835</v>
      </c>
      <c r="K340">
        <f>IFERROR(INDEX('Green_rooibos initial weight'!$C$5:$C$1749,MATCH(I340, 'Green_rooibos initial weight'!$A$5:$A$1749,0)),"")</f>
        <v>2.133</v>
      </c>
      <c r="L340" s="195">
        <f t="shared" si="53"/>
        <v>1.5851999999999999</v>
      </c>
      <c r="M340" s="240">
        <f>AVERAGE(Ashed_controlls!$K$1:$K$11)</f>
        <v>5.5147656768714146</v>
      </c>
      <c r="N340" s="195">
        <f t="shared" si="48"/>
        <v>1.4977799344902343</v>
      </c>
      <c r="O340" s="195">
        <f t="shared" si="54"/>
        <v>1.8832</v>
      </c>
      <c r="P340" s="240">
        <f>AVERAGE(Ashed_controlls!$K$12:$K$14)</f>
        <v>2.2816647271287041</v>
      </c>
      <c r="Q340" s="195">
        <f t="shared" si="49"/>
        <v>1.8402316898587123</v>
      </c>
      <c r="R340" s="16">
        <f>IF('Dry_Litterbag Placem_Collection'!G47="N.A","",'Dry_Litterbag Placem_Collection'!G47)</f>
        <v>43005</v>
      </c>
      <c r="S340" s="195" t="str">
        <f>IF(IFERROR(INDEX('Both teabags AfterDry'!$D$1:$D$839,MATCH(H340,'Both teabags AfterDry'!$A$1:$A$839,0)),"")="N.A","",(IFERROR(INDEX('Both teabags AfterDry'!$D$1:$D$839,MATCH(H340,'Both teabags AfterDry'!$A$1:$A$839,0)),"")))</f>
        <v/>
      </c>
      <c r="T340" s="195" t="str">
        <f>IF(IFERROR(INDEX('Both teabags AfterDry'!$D$1:$D$839,MATCH(I340,'Both teabags AfterDry'!$A$1:$A$839,0)),"")="N.A","",(IFERROR(INDEX('Both teabags AfterDry'!$D$1:$D$839,MATCH(I340,'Both teabags AfterDry'!$A$1:$A$839,0)),"")))</f>
        <v/>
      </c>
      <c r="U340" s="195" t="str">
        <f t="shared" si="55"/>
        <v/>
      </c>
      <c r="V340" s="195" t="str">
        <f t="shared" si="55"/>
        <v/>
      </c>
      <c r="W340" s="195" t="str">
        <f>IFERROR(INDEX('Ashed teabags dry'!$K$2:$K$821,MATCH(H340,'Ashed teabags dry'!$A$2:$A$821,0)),"")</f>
        <v/>
      </c>
      <c r="X340" s="195" t="str">
        <f>IFERROR(INDEX('Ashed teabags dry'!$K$2:$K$821,MATCH(I340,'Ashed teabags dry'!$A$2:$A$821,0)),"")</f>
        <v/>
      </c>
      <c r="Y340" s="195" t="str">
        <f t="shared" si="50"/>
        <v/>
      </c>
      <c r="Z340" s="195" t="str">
        <f t="shared" si="50"/>
        <v/>
      </c>
      <c r="AA340" s="195" t="str">
        <f t="shared" si="56"/>
        <v/>
      </c>
      <c r="AB340" s="195" t="str">
        <f t="shared" si="57"/>
        <v/>
      </c>
      <c r="AC340" s="195" t="str">
        <f t="shared" si="51"/>
        <v/>
      </c>
      <c r="AD340">
        <f t="shared" si="52"/>
        <v>67</v>
      </c>
      <c r="AE340" s="195" t="str">
        <f t="shared" si="58"/>
        <v/>
      </c>
      <c r="AF340" s="195" t="str">
        <f t="shared" si="59"/>
        <v/>
      </c>
      <c r="AG340" s="255" t="str">
        <f>IF(ISNUMBER(SEARCH("C", 'Dry_Litterbag Placem_Collection'!AD47)),"YES","NO")</f>
        <v>NO</v>
      </c>
      <c r="AH340" s="255" t="str">
        <f>IF(ISNUMBER(SEARCH("H", 'Dry_Litterbag Placem_Collection'!AD47)),"YES","NO")</f>
        <v>NO</v>
      </c>
      <c r="AI340" s="255" t="str">
        <f>IF(ISNUMBER(SEARCH("R", 'Dry_Litterbag Placem_Collection'!AD47)),"YES","NO")</f>
        <v>NO</v>
      </c>
      <c r="AJ340" s="255" t="str">
        <f>IF(ISNUMBER(SEARCH("C", 'Dry_Litterbag Placem_Collection'!AC47)),"YES","NO")</f>
        <v>NO</v>
      </c>
      <c r="AK340" s="255" t="str">
        <f>IF(ISNUMBER(SEARCH("H", 'Dry_Litterbag Placem_Collection'!AC47)),"YES","NO")</f>
        <v>NO</v>
      </c>
      <c r="AL340" s="255" t="str">
        <f>IF(ISNUMBER(SEARCH("R", 'Dry_Litterbag Placem_Collection'!AC47)),"YES","NO")</f>
        <v>NO</v>
      </c>
      <c r="AR340" t="s">
        <v>1696</v>
      </c>
      <c r="AT340" t="s">
        <v>508</v>
      </c>
    </row>
    <row r="341" spans="2:46">
      <c r="B341" t="str">
        <f>'Final data_for_R_analysis_Dryse'!A487</f>
        <v>Dry</v>
      </c>
      <c r="C341" s="263">
        <f>'Final data_for_R_analysis_Dryse'!B487</f>
        <v>46</v>
      </c>
      <c r="D341" t="s">
        <v>3833</v>
      </c>
      <c r="E341" t="s">
        <v>25</v>
      </c>
      <c r="F341" s="387">
        <v>6</v>
      </c>
      <c r="G341" s="16">
        <f>'Dry_Litterbag Placem_Collection'!E48</f>
        <v>0</v>
      </c>
      <c r="H341" s="92" t="str">
        <f>'Final data_for_R_analysis_Dryse'!J487</f>
        <v/>
      </c>
      <c r="I341" t="str">
        <f>'Final data_for_R_analysis_Dryse'!J707</f>
        <v/>
      </c>
      <c r="J341" t="str">
        <f>IFERROR(INDEX('Green_rooibos initial weight'!$C$5:$C$1749,MATCH(H341, 'Green_rooibos initial weight'!$A$5:$A$1749,0)),"")</f>
        <v/>
      </c>
      <c r="K341" t="str">
        <f>IFERROR(INDEX('Green_rooibos initial weight'!$C$5:$C$1749,MATCH(I341, 'Green_rooibos initial weight'!$A$5:$A$1749,0)),"")</f>
        <v/>
      </c>
      <c r="L341" s="195" t="str">
        <f t="shared" si="53"/>
        <v/>
      </c>
      <c r="M341" s="240">
        <f>AVERAGE(Ashed_controlls!$K$1:$K$11)</f>
        <v>5.5147656768714146</v>
      </c>
      <c r="N341" s="195" t="str">
        <f t="shared" si="48"/>
        <v/>
      </c>
      <c r="O341" s="195" t="str">
        <f t="shared" si="54"/>
        <v/>
      </c>
      <c r="P341" s="240">
        <f>AVERAGE(Ashed_controlls!$K$12:$K$14)</f>
        <v>2.2816647271287041</v>
      </c>
      <c r="Q341" s="195" t="str">
        <f t="shared" si="49"/>
        <v/>
      </c>
      <c r="R341" s="16">
        <f>IF('Dry_Litterbag Placem_Collection'!G48="N.A","",'Dry_Litterbag Placem_Collection'!G48)</f>
        <v>0</v>
      </c>
      <c r="S341" s="195" t="str">
        <f>IF(IFERROR(INDEX('Both teabags AfterDry'!$D$1:$D$839,MATCH(H341,'Both teabags AfterDry'!$A$1:$A$839,0)),"")="N.A","",(IFERROR(INDEX('Both teabags AfterDry'!$D$1:$D$839,MATCH(H341,'Both teabags AfterDry'!$A$1:$A$839,0)),"")))</f>
        <v/>
      </c>
      <c r="T341" s="195" t="str">
        <f>IF(IFERROR(INDEX('Both teabags AfterDry'!$D$1:$D$839,MATCH(I341,'Both teabags AfterDry'!$A$1:$A$839,0)),"")="N.A","",(IFERROR(INDEX('Both teabags AfterDry'!$D$1:$D$839,MATCH(I341,'Both teabags AfterDry'!$A$1:$A$839,0)),"")))</f>
        <v/>
      </c>
      <c r="U341" s="195" t="str">
        <f t="shared" si="55"/>
        <v/>
      </c>
      <c r="V341" s="195" t="str">
        <f t="shared" si="55"/>
        <v/>
      </c>
      <c r="W341" s="195" t="str">
        <f>IFERROR(INDEX('Ashed teabags dry'!$K$2:$K$821,MATCH(H341,'Ashed teabags dry'!$A$2:$A$821,0)),"")</f>
        <v/>
      </c>
      <c r="X341" s="195" t="str">
        <f>IFERROR(INDEX('Ashed teabags dry'!$K$2:$K$821,MATCH(I341,'Ashed teabags dry'!$A$2:$A$821,0)),"")</f>
        <v/>
      </c>
      <c r="Y341" s="195" t="str">
        <f t="shared" si="50"/>
        <v/>
      </c>
      <c r="Z341" s="195" t="str">
        <f t="shared" si="50"/>
        <v/>
      </c>
      <c r="AA341" s="195" t="str">
        <f t="shared" si="56"/>
        <v/>
      </c>
      <c r="AB341" s="195" t="str">
        <f t="shared" si="57"/>
        <v/>
      </c>
      <c r="AC341" s="195" t="str">
        <f t="shared" si="51"/>
        <v/>
      </c>
      <c r="AD341" t="str">
        <f t="shared" si="52"/>
        <v/>
      </c>
      <c r="AE341" s="195" t="str">
        <f t="shared" si="58"/>
        <v/>
      </c>
      <c r="AF341" s="195" t="str">
        <f t="shared" si="59"/>
        <v/>
      </c>
      <c r="AG341" s="255" t="str">
        <f>IF(ISNUMBER(SEARCH("C", 'Dry_Litterbag Placem_Collection'!AD48)),"YES","NO")</f>
        <v>NO</v>
      </c>
      <c r="AH341" s="255" t="str">
        <f>IF(ISNUMBER(SEARCH("H", 'Dry_Litterbag Placem_Collection'!AD48)),"YES","NO")</f>
        <v>NO</v>
      </c>
      <c r="AI341" s="255" t="str">
        <f>IF(ISNUMBER(SEARCH("R", 'Dry_Litterbag Placem_Collection'!AD48)),"YES","NO")</f>
        <v>NO</v>
      </c>
      <c r="AJ341" s="255" t="str">
        <f>IF(ISNUMBER(SEARCH("C", 'Dry_Litterbag Placem_Collection'!AC48)),"YES","NO")</f>
        <v>NO</v>
      </c>
      <c r="AK341" s="255" t="str">
        <f>IF(ISNUMBER(SEARCH("H", 'Dry_Litterbag Placem_Collection'!AC48)),"YES","NO")</f>
        <v>NO</v>
      </c>
      <c r="AL341" s="255" t="str">
        <f>IF(ISNUMBER(SEARCH("R", 'Dry_Litterbag Placem_Collection'!AC48)),"YES","NO")</f>
        <v>NO</v>
      </c>
      <c r="AR341" t="s">
        <v>3654</v>
      </c>
      <c r="AT341" t="s">
        <v>3654</v>
      </c>
    </row>
    <row r="342" spans="2:46">
      <c r="B342" t="str">
        <f>'Final data_for_R_analysis_Dryse'!A488</f>
        <v>Dry</v>
      </c>
      <c r="C342" s="263">
        <f>'Final data_for_R_analysis_Dryse'!B488</f>
        <v>47</v>
      </c>
      <c r="D342" t="s">
        <v>3833</v>
      </c>
      <c r="E342" t="s">
        <v>25</v>
      </c>
      <c r="F342" s="387">
        <v>7</v>
      </c>
      <c r="G342" s="16">
        <f>'Dry_Litterbag Placem_Collection'!E49</f>
        <v>42938</v>
      </c>
      <c r="H342" s="92" t="str">
        <f>'Final data_for_R_analysis_Dryse'!J488</f>
        <v>G659</v>
      </c>
      <c r="I342" t="str">
        <f>'Final data_for_R_analysis_Dryse'!J708</f>
        <v>R606</v>
      </c>
      <c r="J342">
        <f>IFERROR(INDEX('Green_rooibos initial weight'!$C$5:$C$1749,MATCH(H342, 'Green_rooibos initial weight'!$A$5:$A$1749,0)),"")</f>
        <v>2.0529999999999999</v>
      </c>
      <c r="K342">
        <f>IFERROR(INDEX('Green_rooibos initial weight'!$C$5:$C$1749,MATCH(I342, 'Green_rooibos initial weight'!$A$5:$A$1749,0)),"")</f>
        <v>2.15</v>
      </c>
      <c r="L342" s="195">
        <f t="shared" si="53"/>
        <v>1.8031999999999999</v>
      </c>
      <c r="M342" s="240">
        <f>AVERAGE(Ashed_controlls!$K$1:$K$11)</f>
        <v>5.5147656768714146</v>
      </c>
      <c r="N342" s="195">
        <f t="shared" si="48"/>
        <v>1.7037577453146546</v>
      </c>
      <c r="O342" s="195">
        <f t="shared" si="54"/>
        <v>1.9001999999999999</v>
      </c>
      <c r="P342" s="240">
        <f>AVERAGE(Ashed_controlls!$K$12:$K$14)</f>
        <v>2.2816647271287041</v>
      </c>
      <c r="Q342" s="195">
        <f t="shared" si="49"/>
        <v>1.8568438068551003</v>
      </c>
      <c r="R342" s="16">
        <f>IF('Dry_Litterbag Placem_Collection'!G49="N.A","",'Dry_Litterbag Placem_Collection'!G49)</f>
        <v>43005</v>
      </c>
      <c r="S342" s="195">
        <f>IF(IFERROR(INDEX('Both teabags AfterDry'!$D$1:$D$839,MATCH(H342,'Both teabags AfterDry'!$A$1:$A$839,0)),"")="N.A","",(IFERROR(INDEX('Both teabags AfterDry'!$D$1:$D$839,MATCH(H342,'Both teabags AfterDry'!$A$1:$A$839,0)),"")))</f>
        <v>1.8913</v>
      </c>
      <c r="T342" s="195">
        <f>IF(IFERROR(INDEX('Both teabags AfterDry'!$D$1:$D$839,MATCH(I342,'Both teabags AfterDry'!$A$1:$A$839,0)),"")="N.A","",(IFERROR(INDEX('Both teabags AfterDry'!$D$1:$D$839,MATCH(I342,'Both teabags AfterDry'!$A$1:$A$839,0)),"")))</f>
        <v>1.9615</v>
      </c>
      <c r="U342" s="195">
        <f t="shared" si="55"/>
        <v>1.7406999999999999</v>
      </c>
      <c r="V342" s="195">
        <f t="shared" si="55"/>
        <v>1.8109</v>
      </c>
      <c r="W342" s="195">
        <f>IFERROR(INDEX('Ashed teabags dry'!$K$2:$K$821,MATCH(H342,'Ashed teabags dry'!$A$2:$A$821,0)),"")</f>
        <v>5.8849557522116545</v>
      </c>
      <c r="X342" s="195">
        <f>IFERROR(INDEX('Ashed teabags dry'!$K$2:$K$821,MATCH(I342,'Ashed teabags dry'!$A$2:$A$821,0)),"")</f>
        <v>1.9589106545621751</v>
      </c>
      <c r="Y342" s="195">
        <f t="shared" si="50"/>
        <v>1.6382605752212516</v>
      </c>
      <c r="Z342" s="195">
        <f t="shared" si="50"/>
        <v>1.7754260869565335</v>
      </c>
      <c r="AA342" s="195">
        <f t="shared" si="56"/>
        <v>3.8442771734139236E-2</v>
      </c>
      <c r="AB342" s="195">
        <f t="shared" si="57"/>
        <v>2.5202387170124567E-2</v>
      </c>
      <c r="AC342" s="195">
        <f t="shared" si="51"/>
        <v>0.95615262867130302</v>
      </c>
      <c r="AD342">
        <f t="shared" si="52"/>
        <v>67</v>
      </c>
      <c r="AE342" s="195">
        <f t="shared" si="58"/>
        <v>0.95434350150339753</v>
      </c>
      <c r="AF342" s="195" t="str">
        <f t="shared" si="59"/>
        <v/>
      </c>
      <c r="AG342" s="255" t="str">
        <f>IF(ISNUMBER(SEARCH("C", 'Dry_Litterbag Placem_Collection'!AD49)),"YES","NO")</f>
        <v>NO</v>
      </c>
      <c r="AH342" s="255" t="str">
        <f>IF(ISNUMBER(SEARCH("H", 'Dry_Litterbag Placem_Collection'!AD49)),"YES","NO")</f>
        <v>NO</v>
      </c>
      <c r="AI342" s="255" t="str">
        <f>IF(ISNUMBER(SEARCH("R", 'Dry_Litterbag Placem_Collection'!AD49)),"YES","NO")</f>
        <v>NO</v>
      </c>
      <c r="AJ342" s="255" t="str">
        <f>IF(ISNUMBER(SEARCH("C", 'Dry_Litterbag Placem_Collection'!AC49)),"YES","NO")</f>
        <v>NO</v>
      </c>
      <c r="AK342" s="255" t="str">
        <f>IF(ISNUMBER(SEARCH("H", 'Dry_Litterbag Placem_Collection'!AC49)),"YES","NO")</f>
        <v>NO</v>
      </c>
      <c r="AL342" s="255" t="str">
        <f>IF(ISNUMBER(SEARCH("R", 'Dry_Litterbag Placem_Collection'!AC49)),"YES","NO")</f>
        <v>NO</v>
      </c>
      <c r="AR342" t="s">
        <v>1391</v>
      </c>
      <c r="AT342" t="s">
        <v>533</v>
      </c>
    </row>
    <row r="343" spans="2:46">
      <c r="B343" t="str">
        <f>'Final data_for_R_analysis_Dryse'!A489</f>
        <v>Dry</v>
      </c>
      <c r="C343" s="263">
        <f>'Final data_for_R_analysis_Dryse'!B489</f>
        <v>48</v>
      </c>
      <c r="D343" t="s">
        <v>3833</v>
      </c>
      <c r="E343" t="s">
        <v>25</v>
      </c>
      <c r="F343" s="387">
        <v>8</v>
      </c>
      <c r="G343" s="16">
        <f>'Dry_Litterbag Placem_Collection'!E50</f>
        <v>42938</v>
      </c>
      <c r="H343" s="92" t="str">
        <f>'Final data_for_R_analysis_Dryse'!J489</f>
        <v>G267</v>
      </c>
      <c r="I343" t="str">
        <f>'Final data_for_R_analysis_Dryse'!J709</f>
        <v>R221</v>
      </c>
      <c r="J343">
        <f>IFERROR(INDEX('Green_rooibos initial weight'!$C$5:$C$1749,MATCH(H343, 'Green_rooibos initial weight'!$A$5:$A$1749,0)),"")</f>
        <v>2.069</v>
      </c>
      <c r="K343">
        <f>IFERROR(INDEX('Green_rooibos initial weight'!$C$5:$C$1749,MATCH(I343, 'Green_rooibos initial weight'!$A$5:$A$1749,0)),"")</f>
        <v>2.2210000000000001</v>
      </c>
      <c r="L343" s="195">
        <f t="shared" si="53"/>
        <v>1.8191999999999999</v>
      </c>
      <c r="M343" s="240">
        <f>AVERAGE(Ashed_controlls!$K$1:$K$11)</f>
        <v>5.5147656768714146</v>
      </c>
      <c r="N343" s="195">
        <f t="shared" si="48"/>
        <v>1.7188753828063552</v>
      </c>
      <c r="O343" s="195">
        <f t="shared" si="54"/>
        <v>1.9712000000000001</v>
      </c>
      <c r="P343" s="240">
        <f>AVERAGE(Ashed_controlls!$K$12:$K$14)</f>
        <v>2.2816647271287041</v>
      </c>
      <c r="Q343" s="195">
        <f t="shared" si="49"/>
        <v>1.926223824898839</v>
      </c>
      <c r="R343" s="16">
        <f>IF('Dry_Litterbag Placem_Collection'!G50="N.A","",'Dry_Litterbag Placem_Collection'!G50)</f>
        <v>43005</v>
      </c>
      <c r="S343" s="195">
        <f>IF(IFERROR(INDEX('Both teabags AfterDry'!$D$1:$D$839,MATCH(H343,'Both teabags AfterDry'!$A$1:$A$839,0)),"")="N.A","",(IFERROR(INDEX('Both teabags AfterDry'!$D$1:$D$839,MATCH(H343,'Both teabags AfterDry'!$A$1:$A$839,0)),"")))</f>
        <v>1.8248</v>
      </c>
      <c r="T343" s="195">
        <f>IF(IFERROR(INDEX('Both teabags AfterDry'!$D$1:$D$839,MATCH(I343,'Both teabags AfterDry'!$A$1:$A$839,0)),"")="N.A","",(IFERROR(INDEX('Both teabags AfterDry'!$D$1:$D$839,MATCH(I343,'Both teabags AfterDry'!$A$1:$A$839,0)),"")))</f>
        <v>1.8791</v>
      </c>
      <c r="U343" s="195">
        <f t="shared" si="55"/>
        <v>1.6741999999999999</v>
      </c>
      <c r="V343" s="195">
        <f t="shared" si="55"/>
        <v>1.7284999999999999</v>
      </c>
      <c r="W343" s="195">
        <f>IFERROR(INDEX('Ashed teabags dry'!$K$2:$K$821,MATCH(H343,'Ashed teabags dry'!$A$2:$A$821,0)),"")</f>
        <v>5.78791719476098</v>
      </c>
      <c r="X343" s="195">
        <f>IFERROR(INDEX('Ashed teabags dry'!$K$2:$K$821,MATCH(I343,'Ashed teabags dry'!$A$2:$A$821,0)),"")</f>
        <v>2.6198934280645174</v>
      </c>
      <c r="Y343" s="195">
        <f t="shared" si="50"/>
        <v>1.5772986903253117</v>
      </c>
      <c r="Z343" s="195">
        <f t="shared" si="50"/>
        <v>1.6832151420959047</v>
      </c>
      <c r="AA343" s="195">
        <f t="shared" si="56"/>
        <v>8.2365885216120538E-2</v>
      </c>
      <c r="AB343" s="195">
        <f t="shared" si="57"/>
        <v>5.3997587457599201E-2</v>
      </c>
      <c r="AC343" s="195">
        <f t="shared" si="51"/>
        <v>0.87384192861611154</v>
      </c>
      <c r="AD343">
        <f t="shared" si="52"/>
        <v>67</v>
      </c>
      <c r="AE343" s="195">
        <f t="shared" si="58"/>
        <v>0.90217828359130581</v>
      </c>
      <c r="AF343" s="195" t="str">
        <f t="shared" si="59"/>
        <v/>
      </c>
      <c r="AG343" s="255" t="str">
        <f>IF(ISNUMBER(SEARCH("C", 'Dry_Litterbag Placem_Collection'!AD50)),"YES","NO")</f>
        <v>NO</v>
      </c>
      <c r="AH343" s="255" t="str">
        <f>IF(ISNUMBER(SEARCH("H", 'Dry_Litterbag Placem_Collection'!AD50)),"YES","NO")</f>
        <v>NO</v>
      </c>
      <c r="AI343" s="255" t="str">
        <f>IF(ISNUMBER(SEARCH("R", 'Dry_Litterbag Placem_Collection'!AD50)),"YES","NO")</f>
        <v>NO</v>
      </c>
      <c r="AJ343" s="255" t="str">
        <f>IF(ISNUMBER(SEARCH("C", 'Dry_Litterbag Placem_Collection'!AC50)),"YES","NO")</f>
        <v>NO</v>
      </c>
      <c r="AK343" s="255" t="str">
        <f>IF(ISNUMBER(SEARCH("H", 'Dry_Litterbag Placem_Collection'!AC50)),"YES","NO")</f>
        <v>NO</v>
      </c>
      <c r="AL343" s="255" t="str">
        <f>IF(ISNUMBER(SEARCH("R", 'Dry_Litterbag Placem_Collection'!AC50)),"YES","NO")</f>
        <v>NO</v>
      </c>
      <c r="AR343" t="s">
        <v>1783</v>
      </c>
      <c r="AT343" t="s">
        <v>920</v>
      </c>
    </row>
    <row r="344" spans="2:46">
      <c r="B344" t="str">
        <f>'Final data_for_R_analysis_Dryse'!A490</f>
        <v>Dry</v>
      </c>
      <c r="C344" s="263">
        <f>'Final data_for_R_analysis_Dryse'!B490</f>
        <v>49</v>
      </c>
      <c r="D344" t="s">
        <v>3834</v>
      </c>
      <c r="E344" t="s">
        <v>25</v>
      </c>
      <c r="F344" s="386">
        <v>1</v>
      </c>
      <c r="G344" s="16">
        <f>'Dry_Litterbag Placem_Collection'!E51</f>
        <v>42938</v>
      </c>
      <c r="H344" s="92" t="str">
        <f>'Final data_for_R_analysis_Dryse'!J490</f>
        <v>G812</v>
      </c>
      <c r="I344" t="str">
        <f>'Final data_for_R_analysis_Dryse'!J710</f>
        <v>R308</v>
      </c>
      <c r="J344">
        <f>IFERROR(INDEX('Green_rooibos initial weight'!$C$5:$C$1749,MATCH(H344, 'Green_rooibos initial weight'!$A$5:$A$1749,0)),"")</f>
        <v>2.0169999999999999</v>
      </c>
      <c r="K344">
        <f>IFERROR(INDEX('Green_rooibos initial weight'!$C$5:$C$1749,MATCH(I344, 'Green_rooibos initial weight'!$A$5:$A$1749,0)),"")</f>
        <v>2.173</v>
      </c>
      <c r="L344" s="195">
        <f t="shared" si="53"/>
        <v>1.7671999999999999</v>
      </c>
      <c r="M344" s="240">
        <f>AVERAGE(Ashed_controlls!$K$1:$K$11)</f>
        <v>5.5147656768714146</v>
      </c>
      <c r="N344" s="195">
        <f t="shared" si="48"/>
        <v>1.6697430609583281</v>
      </c>
      <c r="O344" s="195">
        <f t="shared" si="54"/>
        <v>1.9232</v>
      </c>
      <c r="P344" s="240">
        <f>AVERAGE(Ashed_controlls!$K$12:$K$14)</f>
        <v>2.2816647271287041</v>
      </c>
      <c r="Q344" s="195">
        <f t="shared" si="49"/>
        <v>1.8793190239678608</v>
      </c>
      <c r="R344" s="16">
        <f>IF('Dry_Litterbag Placem_Collection'!G51="N.A","",'Dry_Litterbag Placem_Collection'!G51)</f>
        <v>43005</v>
      </c>
      <c r="S344" s="195" t="str">
        <f>IF(IFERROR(INDEX('Both teabags AfterDry'!$D$1:$D$839,MATCH(H344,'Both teabags AfterDry'!$A$1:$A$839,0)),"")="N.A","",(IFERROR(INDEX('Both teabags AfterDry'!$D$1:$D$839,MATCH(H344,'Both teabags AfterDry'!$A$1:$A$839,0)),"")))</f>
        <v/>
      </c>
      <c r="T344" s="195" t="str">
        <f>IF(IFERROR(INDEX('Both teabags AfterDry'!$D$1:$D$839,MATCH(I344,'Both teabags AfterDry'!$A$1:$A$839,0)),"")="N.A","",(IFERROR(INDEX('Both teabags AfterDry'!$D$1:$D$839,MATCH(I344,'Both teabags AfterDry'!$A$1:$A$839,0)),"")))</f>
        <v/>
      </c>
      <c r="U344" s="195" t="str">
        <f t="shared" si="55"/>
        <v/>
      </c>
      <c r="V344" s="195" t="str">
        <f t="shared" si="55"/>
        <v/>
      </c>
      <c r="W344" s="195" t="str">
        <f>IFERROR(INDEX('Ashed teabags dry'!$K$2:$K$821,MATCH(H344,'Ashed teabags dry'!$A$2:$A$821,0)),"")</f>
        <v/>
      </c>
      <c r="X344" s="195" t="str">
        <f>IFERROR(INDEX('Ashed teabags dry'!$K$2:$K$821,MATCH(I344,'Ashed teabags dry'!$A$2:$A$821,0)),"")</f>
        <v/>
      </c>
      <c r="Y344" s="195" t="str">
        <f t="shared" si="50"/>
        <v/>
      </c>
      <c r="Z344" s="195" t="str">
        <f t="shared" si="50"/>
        <v/>
      </c>
      <c r="AA344" s="195" t="str">
        <f t="shared" si="56"/>
        <v/>
      </c>
      <c r="AB344" s="195" t="str">
        <f t="shared" si="57"/>
        <v/>
      </c>
      <c r="AC344" s="195" t="str">
        <f t="shared" si="51"/>
        <v/>
      </c>
      <c r="AD344">
        <f t="shared" si="52"/>
        <v>67</v>
      </c>
      <c r="AE344" s="195" t="str">
        <f t="shared" si="58"/>
        <v/>
      </c>
      <c r="AF344" s="195" t="str">
        <f t="shared" si="59"/>
        <v/>
      </c>
      <c r="AG344" s="255" t="str">
        <f>IF(ISNUMBER(SEARCH("C", 'Dry_Litterbag Placem_Collection'!AD51)),"YES","NO")</f>
        <v>NO</v>
      </c>
      <c r="AH344" s="255" t="str">
        <f>IF(ISNUMBER(SEARCH("H", 'Dry_Litterbag Placem_Collection'!AD51)),"YES","NO")</f>
        <v>NO</v>
      </c>
      <c r="AI344" s="255" t="str">
        <f>IF(ISNUMBER(SEARCH("R", 'Dry_Litterbag Placem_Collection'!AD51)),"YES","NO")</f>
        <v>NO</v>
      </c>
      <c r="AJ344" s="255" t="str">
        <f>IF(ISNUMBER(SEARCH("C", 'Dry_Litterbag Placem_Collection'!AC51)),"YES","NO")</f>
        <v>NO</v>
      </c>
      <c r="AK344" s="255" t="str">
        <f>IF(ISNUMBER(SEARCH("H", 'Dry_Litterbag Placem_Collection'!AC51)),"YES","NO")</f>
        <v>NO</v>
      </c>
      <c r="AL344" s="255" t="str">
        <f>IF(ISNUMBER(SEARCH("R", 'Dry_Litterbag Placem_Collection'!AC51)),"YES","NO")</f>
        <v>NO</v>
      </c>
      <c r="AR344" t="s">
        <v>1238</v>
      </c>
      <c r="AT344" t="s">
        <v>833</v>
      </c>
    </row>
    <row r="345" spans="2:46">
      <c r="B345" t="str">
        <f>'Final data_for_R_analysis_Dryse'!A491</f>
        <v>Dry</v>
      </c>
      <c r="C345" s="263">
        <f>'Final data_for_R_analysis_Dryse'!B491</f>
        <v>50</v>
      </c>
      <c r="D345" t="s">
        <v>3834</v>
      </c>
      <c r="E345" t="s">
        <v>25</v>
      </c>
      <c r="F345" s="386">
        <v>2</v>
      </c>
      <c r="G345" s="16">
        <f>'Dry_Litterbag Placem_Collection'!E52</f>
        <v>42938</v>
      </c>
      <c r="H345" s="92" t="str">
        <f>'Final data_for_R_analysis_Dryse'!J491</f>
        <v>G212</v>
      </c>
      <c r="I345" t="str">
        <f>'Final data_for_R_analysis_Dryse'!J711</f>
        <v>R644</v>
      </c>
      <c r="J345">
        <f>IFERROR(INDEX('Green_rooibos initial weight'!$C$5:$C$1749,MATCH(H345, 'Green_rooibos initial weight'!$A$5:$A$1749,0)),"")</f>
        <v>1.9570000000000001</v>
      </c>
      <c r="K345">
        <f>IFERROR(INDEX('Green_rooibos initial weight'!$C$5:$C$1749,MATCH(I345, 'Green_rooibos initial weight'!$A$5:$A$1749,0)),"")</f>
        <v>2.2240000000000002</v>
      </c>
      <c r="L345" s="195">
        <f t="shared" si="53"/>
        <v>1.7072000000000001</v>
      </c>
      <c r="M345" s="240">
        <f>AVERAGE(Ashed_controlls!$K$1:$K$11)</f>
        <v>5.5147656768714146</v>
      </c>
      <c r="N345" s="195">
        <f t="shared" si="48"/>
        <v>1.6130519203644513</v>
      </c>
      <c r="O345" s="195">
        <f t="shared" si="54"/>
        <v>1.9742000000000002</v>
      </c>
      <c r="P345" s="240">
        <f>AVERAGE(Ashed_controlls!$K$12:$K$14)</f>
        <v>2.2816647271287041</v>
      </c>
      <c r="Q345" s="195">
        <f t="shared" si="49"/>
        <v>1.9291553749570254</v>
      </c>
      <c r="R345" s="16">
        <f>IF('Dry_Litterbag Placem_Collection'!G52="N.A","",'Dry_Litterbag Placem_Collection'!G52)</f>
        <v>0</v>
      </c>
      <c r="S345" s="195" t="str">
        <f>IF(IFERROR(INDEX('Both teabags AfterDry'!$D$1:$D$839,MATCH(H345,'Both teabags AfterDry'!$A$1:$A$839,0)),"")="N.A","",(IFERROR(INDEX('Both teabags AfterDry'!$D$1:$D$839,MATCH(H345,'Both teabags AfterDry'!$A$1:$A$839,0)),"")))</f>
        <v/>
      </c>
      <c r="T345" s="195" t="str">
        <f>IF(IFERROR(INDEX('Both teabags AfterDry'!$D$1:$D$839,MATCH(I345,'Both teabags AfterDry'!$A$1:$A$839,0)),"")="N.A","",(IFERROR(INDEX('Both teabags AfterDry'!$D$1:$D$839,MATCH(I345,'Both teabags AfterDry'!$A$1:$A$839,0)),"")))</f>
        <v/>
      </c>
      <c r="U345" s="195" t="str">
        <f t="shared" si="55"/>
        <v/>
      </c>
      <c r="V345" s="195" t="str">
        <f t="shared" si="55"/>
        <v/>
      </c>
      <c r="W345" s="195" t="str">
        <f>IFERROR(INDEX('Ashed teabags dry'!$K$2:$K$821,MATCH(H345,'Ashed teabags dry'!$A$2:$A$821,0)),"")</f>
        <v/>
      </c>
      <c r="X345" s="195" t="str">
        <f>IFERROR(INDEX('Ashed teabags dry'!$K$2:$K$821,MATCH(I345,'Ashed teabags dry'!$A$2:$A$821,0)),"")</f>
        <v/>
      </c>
      <c r="Y345" s="195" t="str">
        <f t="shared" si="50"/>
        <v/>
      </c>
      <c r="Z345" s="195" t="str">
        <f t="shared" si="50"/>
        <v/>
      </c>
      <c r="AA345" s="195" t="str">
        <f t="shared" si="56"/>
        <v/>
      </c>
      <c r="AB345" s="195" t="str">
        <f t="shared" si="57"/>
        <v/>
      </c>
      <c r="AC345" s="195" t="str">
        <f t="shared" si="51"/>
        <v/>
      </c>
      <c r="AD345" t="str">
        <f t="shared" si="52"/>
        <v/>
      </c>
      <c r="AE345" s="195" t="str">
        <f t="shared" si="58"/>
        <v/>
      </c>
      <c r="AF345" s="195" t="str">
        <f t="shared" si="59"/>
        <v/>
      </c>
      <c r="AG345" s="255" t="str">
        <f>IF(ISNUMBER(SEARCH("C", 'Dry_Litterbag Placem_Collection'!AD52)),"YES","NO")</f>
        <v>NO</v>
      </c>
      <c r="AH345" s="255" t="str">
        <f>IF(ISNUMBER(SEARCH("H", 'Dry_Litterbag Placem_Collection'!AD52)),"YES","NO")</f>
        <v>NO</v>
      </c>
      <c r="AI345" s="255" t="str">
        <f>IF(ISNUMBER(SEARCH("R", 'Dry_Litterbag Placem_Collection'!AD52)),"YES","NO")</f>
        <v>NO</v>
      </c>
      <c r="AJ345" s="255" t="str">
        <f>IF(ISNUMBER(SEARCH("C", 'Dry_Litterbag Placem_Collection'!AC52)),"YES","NO")</f>
        <v>NO</v>
      </c>
      <c r="AK345" s="255" t="str">
        <f>IF(ISNUMBER(SEARCH("H", 'Dry_Litterbag Placem_Collection'!AC52)),"YES","NO")</f>
        <v>NO</v>
      </c>
      <c r="AL345" s="255" t="str">
        <f>IF(ISNUMBER(SEARCH("R", 'Dry_Litterbag Placem_Collection'!AC52)),"YES","NO")</f>
        <v>NO</v>
      </c>
      <c r="AR345" t="s">
        <v>1838</v>
      </c>
      <c r="AT345" t="s">
        <v>495</v>
      </c>
    </row>
    <row r="346" spans="2:46">
      <c r="B346" t="str">
        <f>'Final data_for_R_analysis_Dryse'!A492</f>
        <v>Dry</v>
      </c>
      <c r="C346" s="263">
        <f>'Final data_for_R_analysis_Dryse'!B492</f>
        <v>51</v>
      </c>
      <c r="D346" t="s">
        <v>3834</v>
      </c>
      <c r="E346" t="s">
        <v>25</v>
      </c>
      <c r="F346" s="386">
        <v>3</v>
      </c>
      <c r="G346" s="16">
        <f>'Dry_Litterbag Placem_Collection'!E53</f>
        <v>42938</v>
      </c>
      <c r="H346" s="92" t="str">
        <f>'Final data_for_R_analysis_Dryse'!J492</f>
        <v>G598</v>
      </c>
      <c r="I346" t="str">
        <f>'Final data_for_R_analysis_Dryse'!J712</f>
        <v>R242</v>
      </c>
      <c r="J346">
        <f>IFERROR(INDEX('Green_rooibos initial weight'!$C$5:$C$1749,MATCH(H346, 'Green_rooibos initial weight'!$A$5:$A$1749,0)),"")</f>
        <v>2.1680000000000001</v>
      </c>
      <c r="K346">
        <f>IFERROR(INDEX('Green_rooibos initial weight'!$C$5:$C$1749,MATCH(I346, 'Green_rooibos initial weight'!$A$5:$A$1749,0)),"")</f>
        <v>2.194</v>
      </c>
      <c r="L346" s="195">
        <f t="shared" si="53"/>
        <v>1.9182000000000001</v>
      </c>
      <c r="M346" s="240">
        <f>AVERAGE(Ashed_controlls!$K$1:$K$11)</f>
        <v>5.5147656768714146</v>
      </c>
      <c r="N346" s="195">
        <f t="shared" si="48"/>
        <v>1.8124157647862527</v>
      </c>
      <c r="O346" s="195">
        <f t="shared" si="54"/>
        <v>1.9441999999999999</v>
      </c>
      <c r="P346" s="240">
        <f>AVERAGE(Ashed_controlls!$K$12:$K$14)</f>
        <v>2.2816647271287041</v>
      </c>
      <c r="Q346" s="195">
        <f t="shared" si="49"/>
        <v>1.8998398743751637</v>
      </c>
      <c r="R346" s="16">
        <f>IF('Dry_Litterbag Placem_Collection'!G53="N.A","",'Dry_Litterbag Placem_Collection'!G53)</f>
        <v>43005</v>
      </c>
      <c r="S346" s="195">
        <f>IF(IFERROR(INDEX('Both teabags AfterDry'!$D$1:$D$839,MATCH(H346,'Both teabags AfterDry'!$A$1:$A$839,0)),"")="N.A","",(IFERROR(INDEX('Both teabags AfterDry'!$D$1:$D$839,MATCH(H346,'Both teabags AfterDry'!$A$1:$A$839,0)),"")))</f>
        <v>1.9169</v>
      </c>
      <c r="T346" s="195">
        <f>IF(IFERROR(INDEX('Both teabags AfterDry'!$D$1:$D$839,MATCH(I346,'Both teabags AfterDry'!$A$1:$A$839,0)),"")="N.A","",(IFERROR(INDEX('Both teabags AfterDry'!$D$1:$D$839,MATCH(I346,'Both teabags AfterDry'!$A$1:$A$839,0)),"")))</f>
        <v>1.9262999999999999</v>
      </c>
      <c r="U346" s="195">
        <f t="shared" si="55"/>
        <v>1.7663</v>
      </c>
      <c r="V346" s="195">
        <f t="shared" si="55"/>
        <v>1.7756999999999998</v>
      </c>
      <c r="W346" s="195">
        <f>IFERROR(INDEX('Ashed teabags dry'!$K$2:$K$821,MATCH(H346,'Ashed teabags dry'!$A$2:$A$821,0)),"")</f>
        <v>6.1355764473040955</v>
      </c>
      <c r="X346" s="195">
        <f>IFERROR(INDEX('Ashed teabags dry'!$K$2:$K$821,MATCH(I346,'Ashed teabags dry'!$A$2:$A$821,0)),"")</f>
        <v>3.7440758293834344</v>
      </c>
      <c r="Y346" s="195">
        <f t="shared" si="50"/>
        <v>1.6579273132112677</v>
      </c>
      <c r="Z346" s="195">
        <f t="shared" si="50"/>
        <v>1.7092164454976382</v>
      </c>
      <c r="AA346" s="195">
        <f t="shared" si="56"/>
        <v>8.5238969212566129E-2</v>
      </c>
      <c r="AB346" s="195">
        <f t="shared" si="57"/>
        <v>5.5881129460019628E-2</v>
      </c>
      <c r="AC346" s="195">
        <f t="shared" si="51"/>
        <v>0.89966342350814199</v>
      </c>
      <c r="AD346">
        <f t="shared" si="52"/>
        <v>67</v>
      </c>
      <c r="AE346" s="195">
        <f t="shared" si="58"/>
        <v>0.89876606981880502</v>
      </c>
      <c r="AF346" s="195" t="str">
        <f t="shared" si="59"/>
        <v/>
      </c>
      <c r="AG346" s="255" t="str">
        <f>IF(ISNUMBER(SEARCH("C", 'Dry_Litterbag Placem_Collection'!AD53)),"YES","NO")</f>
        <v>NO</v>
      </c>
      <c r="AH346" s="255" t="str">
        <f>IF(ISNUMBER(SEARCH("H", 'Dry_Litterbag Placem_Collection'!AD53)),"YES","NO")</f>
        <v>NO</v>
      </c>
      <c r="AI346" s="255" t="str">
        <f>IF(ISNUMBER(SEARCH("R", 'Dry_Litterbag Placem_Collection'!AD53)),"YES","NO")</f>
        <v>NO</v>
      </c>
      <c r="AJ346" s="255" t="str">
        <f>IF(ISNUMBER(SEARCH("C", 'Dry_Litterbag Placem_Collection'!AC53)),"YES","NO")</f>
        <v>NO</v>
      </c>
      <c r="AK346" s="255" t="str">
        <f>IF(ISNUMBER(SEARCH("H", 'Dry_Litterbag Placem_Collection'!AC53)),"YES","NO")</f>
        <v>NO</v>
      </c>
      <c r="AL346" s="255" t="str">
        <f>IF(ISNUMBER(SEARCH("R", 'Dry_Litterbag Placem_Collection'!AC53)),"YES","NO")</f>
        <v>NO</v>
      </c>
      <c r="AR346" t="s">
        <v>1452</v>
      </c>
      <c r="AT346" t="s">
        <v>899</v>
      </c>
    </row>
    <row r="347" spans="2:46">
      <c r="B347" t="str">
        <f>'Final data_for_R_analysis_Dryse'!A493</f>
        <v>Dry</v>
      </c>
      <c r="C347" s="263">
        <f>'Final data_for_R_analysis_Dryse'!B493</f>
        <v>52</v>
      </c>
      <c r="D347" t="s">
        <v>3834</v>
      </c>
      <c r="E347" t="s">
        <v>25</v>
      </c>
      <c r="F347" s="387">
        <v>4</v>
      </c>
      <c r="G347" s="16">
        <f>'Dry_Litterbag Placem_Collection'!E54</f>
        <v>42938</v>
      </c>
      <c r="H347" s="92" t="str">
        <f>'Final data_for_R_analysis_Dryse'!J493</f>
        <v>G848</v>
      </c>
      <c r="I347" t="str">
        <f>'Final data_for_R_analysis_Dryse'!J713</f>
        <v>R648</v>
      </c>
      <c r="J347">
        <f>IFERROR(INDEX('Green_rooibos initial weight'!$C$5:$C$1749,MATCH(H347, 'Green_rooibos initial weight'!$A$5:$A$1749,0)),"")</f>
        <v>2.0110000000000001</v>
      </c>
      <c r="K347">
        <f>IFERROR(INDEX('Green_rooibos initial weight'!$C$5:$C$1749,MATCH(I347, 'Green_rooibos initial weight'!$A$5:$A$1749,0)),"")</f>
        <v>2.1920000000000002</v>
      </c>
      <c r="L347" s="195">
        <f t="shared" si="53"/>
        <v>1.7612000000000001</v>
      </c>
      <c r="M347" s="240">
        <f>AVERAGE(Ashed_controlls!$K$1:$K$11)</f>
        <v>5.5147656768714146</v>
      </c>
      <c r="N347" s="195">
        <f t="shared" si="48"/>
        <v>1.6640739468989407</v>
      </c>
      <c r="O347" s="195">
        <f t="shared" si="54"/>
        <v>1.9422000000000001</v>
      </c>
      <c r="P347" s="240">
        <f>AVERAGE(Ashed_controlls!$K$12:$K$14)</f>
        <v>2.2816647271287041</v>
      </c>
      <c r="Q347" s="195">
        <f t="shared" si="49"/>
        <v>1.8978855076697065</v>
      </c>
      <c r="R347" s="16">
        <f>IF('Dry_Litterbag Placem_Collection'!G54="N.A","",'Dry_Litterbag Placem_Collection'!G54)</f>
        <v>43005</v>
      </c>
      <c r="S347" s="195">
        <f>IF(IFERROR(INDEX('Both teabags AfterDry'!$D$1:$D$839,MATCH(H347,'Both teabags AfterDry'!$A$1:$A$839,0)),"")="N.A","",(IFERROR(INDEX('Both teabags AfterDry'!$D$1:$D$839,MATCH(H347,'Both teabags AfterDry'!$A$1:$A$839,0)),"")))</f>
        <v>1.8361000000000001</v>
      </c>
      <c r="T347" s="195">
        <f>IF(IFERROR(INDEX('Both teabags AfterDry'!$D$1:$D$839,MATCH(I347,'Both teabags AfterDry'!$A$1:$A$839,0)),"")="N.A","",(IFERROR(INDEX('Both teabags AfterDry'!$D$1:$D$839,MATCH(I347,'Both teabags AfterDry'!$A$1:$A$839,0)),"")))</f>
        <v>1.9649000000000001</v>
      </c>
      <c r="U347" s="195">
        <f t="shared" si="55"/>
        <v>1.6855</v>
      </c>
      <c r="V347" s="195">
        <f t="shared" si="55"/>
        <v>1.8143</v>
      </c>
      <c r="W347" s="195">
        <f>IFERROR(INDEX('Ashed teabags dry'!$K$2:$K$821,MATCH(H347,'Ashed teabags dry'!$A$2:$A$821,0)),"")</f>
        <v>5.7409879839785489</v>
      </c>
      <c r="X347" s="195">
        <f>IFERROR(INDEX('Ashed teabags dry'!$K$2:$K$821,MATCH(I347,'Ashed teabags dry'!$A$2:$A$821,0)),"")</f>
        <v>3.1295137217131312</v>
      </c>
      <c r="Y347" s="195">
        <f t="shared" si="50"/>
        <v>1.5887356475300416</v>
      </c>
      <c r="Z347" s="195">
        <f t="shared" si="50"/>
        <v>1.7575212325469587</v>
      </c>
      <c r="AA347" s="195">
        <f t="shared" si="56"/>
        <v>4.5273408377851654E-2</v>
      </c>
      <c r="AB347" s="195">
        <f t="shared" si="57"/>
        <v>2.9680429245337456E-2</v>
      </c>
      <c r="AC347" s="195">
        <f t="shared" si="51"/>
        <v>0.92604175828546564</v>
      </c>
      <c r="AD347">
        <f t="shared" si="52"/>
        <v>67</v>
      </c>
      <c r="AE347" s="195">
        <f t="shared" si="58"/>
        <v>0.94623110643960606</v>
      </c>
      <c r="AF347" s="195" t="str">
        <f t="shared" si="59"/>
        <v/>
      </c>
      <c r="AG347" s="255" t="str">
        <f>IF(ISNUMBER(SEARCH("C", 'Dry_Litterbag Placem_Collection'!AD54)),"YES","NO")</f>
        <v>NO</v>
      </c>
      <c r="AH347" s="255" t="str">
        <f>IF(ISNUMBER(SEARCH("H", 'Dry_Litterbag Placem_Collection'!AD54)),"YES","NO")</f>
        <v>NO</v>
      </c>
      <c r="AI347" s="255" t="str">
        <f>IF(ISNUMBER(SEARCH("R", 'Dry_Litterbag Placem_Collection'!AD54)),"YES","NO")</f>
        <v>NO</v>
      </c>
      <c r="AJ347" s="255" t="str">
        <f>IF(ISNUMBER(SEARCH("C", 'Dry_Litterbag Placem_Collection'!AC54)),"YES","NO")</f>
        <v>NO</v>
      </c>
      <c r="AK347" s="255" t="str">
        <f>IF(ISNUMBER(SEARCH("H", 'Dry_Litterbag Placem_Collection'!AC54)),"YES","NO")</f>
        <v>NO</v>
      </c>
      <c r="AL347" s="255" t="str">
        <f>IF(ISNUMBER(SEARCH("R", 'Dry_Litterbag Placem_Collection'!AC54)),"YES","NO")</f>
        <v>NO</v>
      </c>
      <c r="AR347" t="s">
        <v>1202</v>
      </c>
      <c r="AT347" t="s">
        <v>491</v>
      </c>
    </row>
    <row r="348" spans="2:46">
      <c r="B348" t="str">
        <f>'Final data_for_R_analysis_Dryse'!A494</f>
        <v>Dry</v>
      </c>
      <c r="C348" s="263">
        <f>'Final data_for_R_analysis_Dryse'!B494</f>
        <v>53</v>
      </c>
      <c r="D348" t="s">
        <v>3834</v>
      </c>
      <c r="E348" t="s">
        <v>25</v>
      </c>
      <c r="F348" s="387">
        <v>5</v>
      </c>
      <c r="G348" s="16">
        <f>'Dry_Litterbag Placem_Collection'!E55</f>
        <v>42938</v>
      </c>
      <c r="H348" s="92" t="str">
        <f>'Final data_for_R_analysis_Dryse'!J494</f>
        <v>G759</v>
      </c>
      <c r="I348" t="str">
        <f>'Final data_for_R_analysis_Dryse'!J714</f>
        <v>R140</v>
      </c>
      <c r="J348">
        <f>IFERROR(INDEX('Green_rooibos initial weight'!$C$5:$C$1749,MATCH(H348, 'Green_rooibos initial weight'!$A$5:$A$1749,0)),"")</f>
        <v>2.0539999999999998</v>
      </c>
      <c r="K348">
        <f>IFERROR(INDEX('Green_rooibos initial weight'!$C$5:$C$1749,MATCH(I348, 'Green_rooibos initial weight'!$A$5:$A$1749,0)),"")</f>
        <v>2.1930000000000001</v>
      </c>
      <c r="L348" s="195">
        <f t="shared" si="53"/>
        <v>1.8041999999999998</v>
      </c>
      <c r="M348" s="240">
        <f>AVERAGE(Ashed_controlls!$K$1:$K$11)</f>
        <v>5.5147656768714146</v>
      </c>
      <c r="N348" s="195">
        <f t="shared" si="48"/>
        <v>1.7047025976578858</v>
      </c>
      <c r="O348" s="195">
        <f t="shared" si="54"/>
        <v>1.9432</v>
      </c>
      <c r="P348" s="240">
        <f>AVERAGE(Ashed_controlls!$K$12:$K$14)</f>
        <v>2.2816647271287041</v>
      </c>
      <c r="Q348" s="195">
        <f t="shared" si="49"/>
        <v>1.8988626910224351</v>
      </c>
      <c r="R348" s="16">
        <f>IF('Dry_Litterbag Placem_Collection'!G55="N.A","",'Dry_Litterbag Placem_Collection'!G55)</f>
        <v>43005</v>
      </c>
      <c r="S348" s="195">
        <f>IF(IFERROR(INDEX('Both teabags AfterDry'!$D$1:$D$839,MATCH(H348,'Both teabags AfterDry'!$A$1:$A$839,0)),"")="N.A","",(IFERROR(INDEX('Both teabags AfterDry'!$D$1:$D$839,MATCH(H348,'Both teabags AfterDry'!$A$1:$A$839,0)),"")))</f>
        <v>1.8980999999999999</v>
      </c>
      <c r="T348" s="195">
        <f>IF(IFERROR(INDEX('Both teabags AfterDry'!$D$1:$D$839,MATCH(I348,'Both teabags AfterDry'!$A$1:$A$839,0)),"")="N.A","",(IFERROR(INDEX('Both teabags AfterDry'!$D$1:$D$839,MATCH(I348,'Both teabags AfterDry'!$A$1:$A$839,0)),"")))</f>
        <v>1.9561999999999999</v>
      </c>
      <c r="U348" s="195">
        <f t="shared" si="55"/>
        <v>1.7474999999999998</v>
      </c>
      <c r="V348" s="195">
        <f t="shared" si="55"/>
        <v>1.8055999999999999</v>
      </c>
      <c r="W348" s="195">
        <f>IFERROR(INDEX('Ashed teabags dry'!$K$2:$K$821,MATCH(H348,'Ashed teabags dry'!$A$2:$A$821,0)),"")</f>
        <v>5.7571359458148255</v>
      </c>
      <c r="X348" s="195">
        <f>IFERROR(INDEX('Ashed teabags dry'!$K$2:$K$821,MATCH(I348,'Ashed teabags dry'!$A$2:$A$821,0)),"")</f>
        <v>3.1146767343080963</v>
      </c>
      <c r="Y348" s="195">
        <f t="shared" si="50"/>
        <v>1.6468940493468858</v>
      </c>
      <c r="Z348" s="195">
        <f t="shared" si="50"/>
        <v>1.749361396885333</v>
      </c>
      <c r="AA348" s="195">
        <f t="shared" si="56"/>
        <v>3.3911222045665879E-2</v>
      </c>
      <c r="AB348" s="195">
        <f t="shared" si="57"/>
        <v>2.2231584999058841E-2</v>
      </c>
      <c r="AC348" s="195">
        <f t="shared" si="51"/>
        <v>0.92126798064761395</v>
      </c>
      <c r="AD348">
        <f t="shared" si="52"/>
        <v>67</v>
      </c>
      <c r="AE348" s="195">
        <f t="shared" si="58"/>
        <v>0.95972538949445862</v>
      </c>
      <c r="AF348" s="195" t="str">
        <f t="shared" si="59"/>
        <v/>
      </c>
      <c r="AG348" s="255" t="str">
        <f>IF(ISNUMBER(SEARCH("C", 'Dry_Litterbag Placem_Collection'!AD55)),"YES","NO")</f>
        <v>NO</v>
      </c>
      <c r="AH348" s="255" t="str">
        <f>IF(ISNUMBER(SEARCH("H", 'Dry_Litterbag Placem_Collection'!AD55)),"YES","NO")</f>
        <v>NO</v>
      </c>
      <c r="AI348" s="255" t="str">
        <f>IF(ISNUMBER(SEARCH("R", 'Dry_Litterbag Placem_Collection'!AD55)),"YES","NO")</f>
        <v>NO</v>
      </c>
      <c r="AJ348" s="255" t="str">
        <f>IF(ISNUMBER(SEARCH("C", 'Dry_Litterbag Placem_Collection'!AC55)),"YES","NO")</f>
        <v>NO</v>
      </c>
      <c r="AK348" s="255" t="str">
        <f>IF(ISNUMBER(SEARCH("H", 'Dry_Litterbag Placem_Collection'!AC55)),"YES","NO")</f>
        <v>NO</v>
      </c>
      <c r="AL348" s="255" t="str">
        <f>IF(ISNUMBER(SEARCH("R", 'Dry_Litterbag Placem_Collection'!AC55)),"YES","NO")</f>
        <v>NO</v>
      </c>
      <c r="AR348" t="s">
        <v>1291</v>
      </c>
      <c r="AT348" t="s">
        <v>1001</v>
      </c>
    </row>
    <row r="349" spans="2:46">
      <c r="B349" t="str">
        <f>'Final data_for_R_analysis_Dryse'!A495</f>
        <v>Dry</v>
      </c>
      <c r="C349" s="263">
        <f>'Final data_for_R_analysis_Dryse'!B495</f>
        <v>54</v>
      </c>
      <c r="D349" t="s">
        <v>3834</v>
      </c>
      <c r="E349" t="s">
        <v>25</v>
      </c>
      <c r="F349" s="387">
        <v>6</v>
      </c>
      <c r="G349" s="16">
        <f>'Dry_Litterbag Placem_Collection'!E56</f>
        <v>0</v>
      </c>
      <c r="H349" s="92" t="str">
        <f>'Final data_for_R_analysis_Dryse'!J495</f>
        <v/>
      </c>
      <c r="I349" t="str">
        <f>'Final data_for_R_analysis_Dryse'!J715</f>
        <v/>
      </c>
      <c r="J349" t="str">
        <f>IFERROR(INDEX('Green_rooibos initial weight'!$C$5:$C$1749,MATCH(H349, 'Green_rooibos initial weight'!$A$5:$A$1749,0)),"")</f>
        <v/>
      </c>
      <c r="K349" t="str">
        <f>IFERROR(INDEX('Green_rooibos initial weight'!$C$5:$C$1749,MATCH(I349, 'Green_rooibos initial weight'!$A$5:$A$1749,0)),"")</f>
        <v/>
      </c>
      <c r="L349" s="195" t="str">
        <f t="shared" si="53"/>
        <v/>
      </c>
      <c r="M349" s="240">
        <f>AVERAGE(Ashed_controlls!$K$1:$K$11)</f>
        <v>5.5147656768714146</v>
      </c>
      <c r="N349" s="195" t="str">
        <f t="shared" si="48"/>
        <v/>
      </c>
      <c r="O349" s="195" t="str">
        <f t="shared" si="54"/>
        <v/>
      </c>
      <c r="P349" s="240">
        <f>AVERAGE(Ashed_controlls!$K$12:$K$14)</f>
        <v>2.2816647271287041</v>
      </c>
      <c r="Q349" s="195" t="str">
        <f t="shared" si="49"/>
        <v/>
      </c>
      <c r="R349" s="16">
        <f>IF('Dry_Litterbag Placem_Collection'!G56="N.A","",'Dry_Litterbag Placem_Collection'!G56)</f>
        <v>0</v>
      </c>
      <c r="S349" s="195" t="str">
        <f>IF(IFERROR(INDEX('Both teabags AfterDry'!$D$1:$D$839,MATCH(H349,'Both teabags AfterDry'!$A$1:$A$839,0)),"")="N.A","",(IFERROR(INDEX('Both teabags AfterDry'!$D$1:$D$839,MATCH(H349,'Both teabags AfterDry'!$A$1:$A$839,0)),"")))</f>
        <v/>
      </c>
      <c r="T349" s="195" t="str">
        <f>IF(IFERROR(INDEX('Both teabags AfterDry'!$D$1:$D$839,MATCH(I349,'Both teabags AfterDry'!$A$1:$A$839,0)),"")="N.A","",(IFERROR(INDEX('Both teabags AfterDry'!$D$1:$D$839,MATCH(I349,'Both teabags AfterDry'!$A$1:$A$839,0)),"")))</f>
        <v/>
      </c>
      <c r="U349" s="195" t="str">
        <f t="shared" si="55"/>
        <v/>
      </c>
      <c r="V349" s="195" t="str">
        <f t="shared" si="55"/>
        <v/>
      </c>
      <c r="W349" s="195" t="str">
        <f>IFERROR(INDEX('Ashed teabags dry'!$K$2:$K$821,MATCH(H349,'Ashed teabags dry'!$A$2:$A$821,0)),"")</f>
        <v/>
      </c>
      <c r="X349" s="195" t="str">
        <f>IFERROR(INDEX('Ashed teabags dry'!$K$2:$K$821,MATCH(I349,'Ashed teabags dry'!$A$2:$A$821,0)),"")</f>
        <v/>
      </c>
      <c r="Y349" s="195" t="str">
        <f t="shared" si="50"/>
        <v/>
      </c>
      <c r="Z349" s="195" t="str">
        <f t="shared" si="50"/>
        <v/>
      </c>
      <c r="AA349" s="195" t="str">
        <f t="shared" si="56"/>
        <v/>
      </c>
      <c r="AB349" s="195" t="str">
        <f t="shared" si="57"/>
        <v/>
      </c>
      <c r="AC349" s="195" t="str">
        <f t="shared" si="51"/>
        <v/>
      </c>
      <c r="AD349" t="str">
        <f t="shared" si="52"/>
        <v/>
      </c>
      <c r="AE349" s="195" t="str">
        <f t="shared" si="58"/>
        <v/>
      </c>
      <c r="AF349" s="195" t="str">
        <f t="shared" si="59"/>
        <v/>
      </c>
      <c r="AG349" s="255" t="str">
        <f>IF(ISNUMBER(SEARCH("C", 'Dry_Litterbag Placem_Collection'!AD56)),"YES","NO")</f>
        <v>NO</v>
      </c>
      <c r="AH349" s="255" t="str">
        <f>IF(ISNUMBER(SEARCH("H", 'Dry_Litterbag Placem_Collection'!AD56)),"YES","NO")</f>
        <v>NO</v>
      </c>
      <c r="AI349" s="255" t="str">
        <f>IF(ISNUMBER(SEARCH("R", 'Dry_Litterbag Placem_Collection'!AD56)),"YES","NO")</f>
        <v>NO</v>
      </c>
      <c r="AJ349" s="255" t="str">
        <f>IF(ISNUMBER(SEARCH("C", 'Dry_Litterbag Placem_Collection'!AC56)),"YES","NO")</f>
        <v>NO</v>
      </c>
      <c r="AK349" s="255" t="str">
        <f>IF(ISNUMBER(SEARCH("H", 'Dry_Litterbag Placem_Collection'!AC56)),"YES","NO")</f>
        <v>NO</v>
      </c>
      <c r="AL349" s="255" t="str">
        <f>IF(ISNUMBER(SEARCH("R", 'Dry_Litterbag Placem_Collection'!AC56)),"YES","NO")</f>
        <v>NO</v>
      </c>
      <c r="AR349" t="s">
        <v>3654</v>
      </c>
      <c r="AT349" t="s">
        <v>3654</v>
      </c>
    </row>
    <row r="350" spans="2:46">
      <c r="B350" t="str">
        <f>'Final data_for_R_analysis_Dryse'!A496</f>
        <v>Dry</v>
      </c>
      <c r="C350" s="263">
        <f>'Final data_for_R_analysis_Dryse'!B496</f>
        <v>55</v>
      </c>
      <c r="D350" t="s">
        <v>3834</v>
      </c>
      <c r="E350" t="s">
        <v>25</v>
      </c>
      <c r="F350" s="387">
        <v>7</v>
      </c>
      <c r="G350" s="16">
        <f>'Dry_Litterbag Placem_Collection'!E57</f>
        <v>42938</v>
      </c>
      <c r="H350" s="92" t="str">
        <f>'Final data_for_R_analysis_Dryse'!J496</f>
        <v>G260</v>
      </c>
      <c r="I350" t="str">
        <f>'Final data_for_R_analysis_Dryse'!J716</f>
        <v>R192</v>
      </c>
      <c r="J350">
        <f>IFERROR(INDEX('Green_rooibos initial weight'!$C$5:$C$1749,MATCH(H350, 'Green_rooibos initial weight'!$A$5:$A$1749,0)),"")</f>
        <v>2.1560000000000001</v>
      </c>
      <c r="K350">
        <f>IFERROR(INDEX('Green_rooibos initial weight'!$C$5:$C$1749,MATCH(I350, 'Green_rooibos initial weight'!$A$5:$A$1749,0)),"")</f>
        <v>2.1970000000000001</v>
      </c>
      <c r="L350" s="195">
        <f t="shared" si="53"/>
        <v>1.9062000000000001</v>
      </c>
      <c r="M350" s="240">
        <f>AVERAGE(Ashed_controlls!$K$1:$K$11)</f>
        <v>5.5147656768714146</v>
      </c>
      <c r="N350" s="195">
        <f t="shared" si="48"/>
        <v>1.8010775366674772</v>
      </c>
      <c r="O350" s="195">
        <f t="shared" si="54"/>
        <v>1.9472</v>
      </c>
      <c r="P350" s="240">
        <f>AVERAGE(Ashed_controlls!$K$12:$K$14)</f>
        <v>2.2816647271287041</v>
      </c>
      <c r="Q350" s="195">
        <f t="shared" si="49"/>
        <v>1.90277142443335</v>
      </c>
      <c r="R350" s="16">
        <f>IF('Dry_Litterbag Placem_Collection'!G57="N.A","",'Dry_Litterbag Placem_Collection'!G57)</f>
        <v>43005</v>
      </c>
      <c r="S350" s="195">
        <f>IF(IFERROR(INDEX('Both teabags AfterDry'!$D$1:$D$839,MATCH(H350,'Both teabags AfterDry'!$A$1:$A$839,0)),"")="N.A","",(IFERROR(INDEX('Both teabags AfterDry'!$D$1:$D$839,MATCH(H350,'Both teabags AfterDry'!$A$1:$A$839,0)),"")))</f>
        <v>1.9074</v>
      </c>
      <c r="T350" s="195">
        <f>IF(IFERROR(INDEX('Both teabags AfterDry'!$D$1:$D$839,MATCH(I350,'Both teabags AfterDry'!$A$1:$A$839,0)),"")="N.A","",(IFERROR(INDEX('Both teabags AfterDry'!$D$1:$D$839,MATCH(I350,'Both teabags AfterDry'!$A$1:$A$839,0)),"")))</f>
        <v>1.9886999999999999</v>
      </c>
      <c r="U350" s="195">
        <f t="shared" si="55"/>
        <v>1.7567999999999999</v>
      </c>
      <c r="V350" s="195">
        <f t="shared" si="55"/>
        <v>1.8380999999999998</v>
      </c>
      <c r="W350" s="195">
        <f>IFERROR(INDEX('Ashed teabags dry'!$K$2:$K$821,MATCH(H350,'Ashed teabags dry'!$A$2:$A$821,0)),"")</f>
        <v>8.8734232274901057</v>
      </c>
      <c r="X350" s="195">
        <f>IFERROR(INDEX('Ashed teabags dry'!$K$2:$K$821,MATCH(I350,'Ashed teabags dry'!$A$2:$A$821,0)),"")</f>
        <v>3.4583536288358885</v>
      </c>
      <c r="Y350" s="195">
        <f t="shared" si="50"/>
        <v>1.6009117007394538</v>
      </c>
      <c r="Z350" s="195">
        <f t="shared" si="50"/>
        <v>1.7745320019483675</v>
      </c>
      <c r="AA350" s="195">
        <f t="shared" si="56"/>
        <v>0.11113671224748545</v>
      </c>
      <c r="AB350" s="195">
        <f t="shared" si="57"/>
        <v>7.2859222281011826E-2</v>
      </c>
      <c r="AC350" s="195">
        <f t="shared" si="51"/>
        <v>0.93260387409739842</v>
      </c>
      <c r="AD350">
        <f t="shared" si="52"/>
        <v>67</v>
      </c>
      <c r="AE350" s="195">
        <f t="shared" si="58"/>
        <v>0.86800865528802207</v>
      </c>
      <c r="AF350" s="195">
        <f t="shared" si="59"/>
        <v>3.8664378896711461E-2</v>
      </c>
      <c r="AG350" s="255" t="str">
        <f>IF(ISNUMBER(SEARCH("C", 'Dry_Litterbag Placem_Collection'!AD57)),"YES","NO")</f>
        <v>NO</v>
      </c>
      <c r="AH350" s="255" t="str">
        <f>IF(ISNUMBER(SEARCH("H", 'Dry_Litterbag Placem_Collection'!AD57)),"YES","NO")</f>
        <v>NO</v>
      </c>
      <c r="AI350" s="255" t="str">
        <f>IF(ISNUMBER(SEARCH("R", 'Dry_Litterbag Placem_Collection'!AD57)),"YES","NO")</f>
        <v>NO</v>
      </c>
      <c r="AJ350" s="255" t="str">
        <f>IF(ISNUMBER(SEARCH("C", 'Dry_Litterbag Placem_Collection'!AC57)),"YES","NO")</f>
        <v>NO</v>
      </c>
      <c r="AK350" s="255" t="str">
        <f>IF(ISNUMBER(SEARCH("H", 'Dry_Litterbag Placem_Collection'!AC57)),"YES","NO")</f>
        <v>NO</v>
      </c>
      <c r="AL350" s="255" t="str">
        <f>IF(ISNUMBER(SEARCH("R", 'Dry_Litterbag Placem_Collection'!AC57)),"YES","NO")</f>
        <v>NO</v>
      </c>
      <c r="AR350" t="s">
        <v>1790</v>
      </c>
      <c r="AT350" t="s">
        <v>949</v>
      </c>
    </row>
    <row r="351" spans="2:46">
      <c r="B351" t="str">
        <f>'Final data_for_R_analysis_Dryse'!A497</f>
        <v>Dry</v>
      </c>
      <c r="C351" s="263">
        <f>'Final data_for_R_analysis_Dryse'!B497</f>
        <v>56</v>
      </c>
      <c r="D351" t="s">
        <v>3834</v>
      </c>
      <c r="E351" t="s">
        <v>25</v>
      </c>
      <c r="F351" s="387">
        <v>8</v>
      </c>
      <c r="G351" s="16">
        <f>'Dry_Litterbag Placem_Collection'!E58</f>
        <v>42938</v>
      </c>
      <c r="H351" s="92" t="str">
        <f>'Final data_for_R_analysis_Dryse'!J497</f>
        <v>G493</v>
      </c>
      <c r="I351" t="str">
        <f>'Final data_for_R_analysis_Dryse'!J717</f>
        <v>R227</v>
      </c>
      <c r="J351">
        <f>IFERROR(INDEX('Green_rooibos initial weight'!$C$5:$C$1749,MATCH(H351, 'Green_rooibos initial weight'!$A$5:$A$1749,0)),"")</f>
        <v>2.0510000000000002</v>
      </c>
      <c r="K351">
        <f>IFERROR(INDEX('Green_rooibos initial weight'!$C$5:$C$1749,MATCH(I351, 'Green_rooibos initial weight'!$A$5:$A$1749,0)),"")</f>
        <v>2.254</v>
      </c>
      <c r="L351" s="195">
        <f t="shared" si="53"/>
        <v>1.8012000000000001</v>
      </c>
      <c r="M351" s="240">
        <f>AVERAGE(Ashed_controlls!$K$1:$K$11)</f>
        <v>5.5147656768714146</v>
      </c>
      <c r="N351" s="195">
        <f t="shared" si="48"/>
        <v>1.7018680406281923</v>
      </c>
      <c r="O351" s="195">
        <f t="shared" si="54"/>
        <v>2.0042</v>
      </c>
      <c r="P351" s="240">
        <f>AVERAGE(Ashed_controlls!$K$12:$K$14)</f>
        <v>2.2816647271287041</v>
      </c>
      <c r="Q351" s="195">
        <f t="shared" si="49"/>
        <v>1.9584708755388864</v>
      </c>
      <c r="R351" s="16">
        <f>IF('Dry_Litterbag Placem_Collection'!G58="N.A","",'Dry_Litterbag Placem_Collection'!G58)</f>
        <v>43005</v>
      </c>
      <c r="S351" s="195" t="str">
        <f>IF(IFERROR(INDEX('Both teabags AfterDry'!$D$1:$D$839,MATCH(H351,'Both teabags AfterDry'!$A$1:$A$839,0)),"")="N.A","",(IFERROR(INDEX('Both teabags AfterDry'!$D$1:$D$839,MATCH(H351,'Both teabags AfterDry'!$A$1:$A$839,0)),"")))</f>
        <v/>
      </c>
      <c r="T351" s="195">
        <f>IF(IFERROR(INDEX('Both teabags AfterDry'!$D$1:$D$839,MATCH(I351,'Both teabags AfterDry'!$A$1:$A$839,0)),"")="N.A","",(IFERROR(INDEX('Both teabags AfterDry'!$D$1:$D$839,MATCH(I351,'Both teabags AfterDry'!$A$1:$A$839,0)),"")))</f>
        <v>2.0263</v>
      </c>
      <c r="U351" s="195" t="str">
        <f t="shared" si="55"/>
        <v/>
      </c>
      <c r="V351" s="195">
        <f t="shared" si="55"/>
        <v>1.8756999999999999</v>
      </c>
      <c r="W351" s="195">
        <f>IFERROR(INDEX('Ashed teabags dry'!$K$2:$K$821,MATCH(H351,'Ashed teabags dry'!$A$2:$A$821,0)),"")</f>
        <v>6.380316930776055</v>
      </c>
      <c r="X351" s="195">
        <f>IFERROR(INDEX('Ashed teabags dry'!$K$2:$K$821,MATCH(I351,'Ashed teabags dry'!$A$2:$A$821,0)),"")</f>
        <v>3.7500000000005613</v>
      </c>
      <c r="Y351" s="195" t="str">
        <f t="shared" si="50"/>
        <v/>
      </c>
      <c r="Z351" s="195">
        <f t="shared" si="50"/>
        <v>1.8053612499999894</v>
      </c>
      <c r="AA351" s="195" t="str">
        <f t="shared" si="56"/>
        <v/>
      </c>
      <c r="AB351" s="195" t="str">
        <f t="shared" si="57"/>
        <v/>
      </c>
      <c r="AC351" s="195">
        <f t="shared" si="51"/>
        <v>0.92182185221581714</v>
      </c>
      <c r="AD351">
        <f t="shared" si="52"/>
        <v>67</v>
      </c>
      <c r="AE351" s="195" t="str">
        <f t="shared" si="58"/>
        <v/>
      </c>
      <c r="AF351" s="195" t="str">
        <f t="shared" si="59"/>
        <v/>
      </c>
      <c r="AG351" s="255" t="str">
        <f>IF(ISNUMBER(SEARCH("C", 'Dry_Litterbag Placem_Collection'!AD58)),"YES","NO")</f>
        <v>NO</v>
      </c>
      <c r="AH351" s="255" t="str">
        <f>IF(ISNUMBER(SEARCH("H", 'Dry_Litterbag Placem_Collection'!AD58)),"YES","NO")</f>
        <v>NO</v>
      </c>
      <c r="AI351" s="255" t="str">
        <f>IF(ISNUMBER(SEARCH("R", 'Dry_Litterbag Placem_Collection'!AD58)),"YES","NO")</f>
        <v>NO</v>
      </c>
      <c r="AJ351" s="255" t="str">
        <f>IF(ISNUMBER(SEARCH("C", 'Dry_Litterbag Placem_Collection'!AC58)),"YES","NO")</f>
        <v>NO</v>
      </c>
      <c r="AK351" s="255" t="str">
        <f>IF(ISNUMBER(SEARCH("H", 'Dry_Litterbag Placem_Collection'!AC58)),"YES","NO")</f>
        <v>NO</v>
      </c>
      <c r="AL351" s="255" t="str">
        <f>IF(ISNUMBER(SEARCH("R", 'Dry_Litterbag Placem_Collection'!AC58)),"YES","NO")</f>
        <v>NO</v>
      </c>
      <c r="AR351" t="s">
        <v>1557</v>
      </c>
      <c r="AT351" t="s">
        <v>914</v>
      </c>
    </row>
    <row r="352" spans="2:46">
      <c r="B352" t="str">
        <f>'Final data_for_R_analysis_Dryse'!A498</f>
        <v>Dry</v>
      </c>
      <c r="C352" s="263">
        <f>'Final data_for_R_analysis_Dryse'!B498</f>
        <v>57</v>
      </c>
      <c r="D352" t="s">
        <v>3835</v>
      </c>
      <c r="E352" t="s">
        <v>25</v>
      </c>
      <c r="F352" s="386">
        <v>1</v>
      </c>
      <c r="G352" s="16">
        <f>'Dry_Litterbag Placem_Collection'!E59</f>
        <v>42938</v>
      </c>
      <c r="H352" s="92" t="str">
        <f>'Final data_for_R_analysis_Dryse'!J498</f>
        <v>G342</v>
      </c>
      <c r="I352" t="str">
        <f>'Final data_for_R_analysis_Dryse'!J718</f>
        <v>R416</v>
      </c>
      <c r="J352">
        <f>IFERROR(INDEX('Green_rooibos initial weight'!$C$5:$C$1749,MATCH(H352, 'Green_rooibos initial weight'!$A$5:$A$1749,0)),"")</f>
        <v>1.9039999999999999</v>
      </c>
      <c r="K352">
        <f>IFERROR(INDEX('Green_rooibos initial weight'!$C$5:$C$1749,MATCH(I352, 'Green_rooibos initial weight'!$A$5:$A$1749,0)),"")</f>
        <v>2.2469999999999999</v>
      </c>
      <c r="L352" s="195">
        <f t="shared" si="53"/>
        <v>1.6541999999999999</v>
      </c>
      <c r="M352" s="240">
        <f>AVERAGE(Ashed_controlls!$K$1:$K$11)</f>
        <v>5.5147656768714146</v>
      </c>
      <c r="N352" s="195">
        <f t="shared" si="48"/>
        <v>1.5629747461731929</v>
      </c>
      <c r="O352" s="195">
        <f t="shared" si="54"/>
        <v>1.9971999999999999</v>
      </c>
      <c r="P352" s="240">
        <f>AVERAGE(Ashed_controlls!$K$12:$K$14)</f>
        <v>2.2816647271287041</v>
      </c>
      <c r="Q352" s="195">
        <f t="shared" si="49"/>
        <v>1.9516305920697854</v>
      </c>
      <c r="R352" s="16">
        <f>IF('Dry_Litterbag Placem_Collection'!G59="N.A","",'Dry_Litterbag Placem_Collection'!G59)</f>
        <v>43005</v>
      </c>
      <c r="S352" s="195">
        <f>IF(IFERROR(INDEX('Both teabags AfterDry'!$D$1:$D$839,MATCH(H352,'Both teabags AfterDry'!$A$1:$A$839,0)),"")="N.A","",(IFERROR(INDEX('Both teabags AfterDry'!$D$1:$D$839,MATCH(H352,'Both teabags AfterDry'!$A$1:$A$839,0)),"")))</f>
        <v>1.7556</v>
      </c>
      <c r="T352" s="195">
        <f>IF(IFERROR(INDEX('Both teabags AfterDry'!$D$1:$D$839,MATCH(I352,'Both teabags AfterDry'!$A$1:$A$839,0)),"")="N.A","",(IFERROR(INDEX('Both teabags AfterDry'!$D$1:$D$839,MATCH(I352,'Both teabags AfterDry'!$A$1:$A$839,0)),"")))</f>
        <v>2.0192999999999999</v>
      </c>
      <c r="U352" s="195">
        <f t="shared" si="55"/>
        <v>1.605</v>
      </c>
      <c r="V352" s="195">
        <f t="shared" si="55"/>
        <v>1.8686999999999998</v>
      </c>
      <c r="W352" s="195">
        <f>IFERROR(INDEX('Ashed teabags dry'!$K$2:$K$821,MATCH(H352,'Ashed teabags dry'!$A$2:$A$821,0)),"")</f>
        <v>5.6726094003237382</v>
      </c>
      <c r="X352" s="195">
        <f>IFERROR(INDEX('Ashed teabags dry'!$K$2:$K$821,MATCH(I352,'Ashed teabags dry'!$A$2:$A$821,0)),"")</f>
        <v>1.8527315914489777</v>
      </c>
      <c r="Y352" s="195">
        <f t="shared" si="50"/>
        <v>1.5139546191248039</v>
      </c>
      <c r="Z352" s="195">
        <f t="shared" si="50"/>
        <v>1.8340780047505927</v>
      </c>
      <c r="AA352" s="195">
        <f t="shared" si="56"/>
        <v>3.1363351946927187E-2</v>
      </c>
      <c r="AB352" s="195">
        <f t="shared" si="57"/>
        <v>2.0561247357130438E-2</v>
      </c>
      <c r="AC352" s="195">
        <f t="shared" si="51"/>
        <v>0.93976698879549569</v>
      </c>
      <c r="AD352">
        <f t="shared" si="52"/>
        <v>67</v>
      </c>
      <c r="AE352" s="195">
        <f t="shared" si="58"/>
        <v>0.96275136348345935</v>
      </c>
      <c r="AF352" s="195" t="str">
        <f t="shared" si="59"/>
        <v/>
      </c>
      <c r="AG352" s="255" t="str">
        <f>IF(ISNUMBER(SEARCH("C", 'Dry_Litterbag Placem_Collection'!AD59)),"YES","NO")</f>
        <v>NO</v>
      </c>
      <c r="AH352" s="255" t="str">
        <f>IF(ISNUMBER(SEARCH("H", 'Dry_Litterbag Placem_Collection'!AD59)),"YES","NO")</f>
        <v>NO</v>
      </c>
      <c r="AI352" s="255" t="str">
        <f>IF(ISNUMBER(SEARCH("R", 'Dry_Litterbag Placem_Collection'!AD59)),"YES","NO")</f>
        <v>NO</v>
      </c>
      <c r="AJ352" s="255" t="str">
        <f>IF(ISNUMBER(SEARCH("C", 'Dry_Litterbag Placem_Collection'!AC59)),"YES","NO")</f>
        <v>NO</v>
      </c>
      <c r="AK352" s="255" t="str">
        <f>IF(ISNUMBER(SEARCH("H", 'Dry_Litterbag Placem_Collection'!AC59)),"YES","NO")</f>
        <v>NO</v>
      </c>
      <c r="AL352" s="255" t="str">
        <f>IF(ISNUMBER(SEARCH("R", 'Dry_Litterbag Placem_Collection'!AC59)),"YES","NO")</f>
        <v>NO</v>
      </c>
      <c r="AR352" t="s">
        <v>1708</v>
      </c>
      <c r="AT352" t="s">
        <v>725</v>
      </c>
    </row>
    <row r="353" spans="2:46">
      <c r="B353" t="str">
        <f>'Final data_for_R_analysis_Dryse'!A499</f>
        <v>Dry</v>
      </c>
      <c r="C353" s="263">
        <f>'Final data_for_R_analysis_Dryse'!B499</f>
        <v>58</v>
      </c>
      <c r="D353" t="s">
        <v>3835</v>
      </c>
      <c r="E353" t="s">
        <v>25</v>
      </c>
      <c r="F353" s="386">
        <v>2</v>
      </c>
      <c r="G353" s="16">
        <f>'Dry_Litterbag Placem_Collection'!E60</f>
        <v>42938</v>
      </c>
      <c r="H353" s="92" t="str">
        <f>'Final data_for_R_analysis_Dryse'!J499</f>
        <v>G735</v>
      </c>
      <c r="I353" t="str">
        <f>'Final data_for_R_analysis_Dryse'!J719</f>
        <v>R689</v>
      </c>
      <c r="J353">
        <f>IFERROR(INDEX('Green_rooibos initial weight'!$C$5:$C$1749,MATCH(H353, 'Green_rooibos initial weight'!$A$5:$A$1749,0)),"")</f>
        <v>2.0950000000000002</v>
      </c>
      <c r="K353">
        <f>IFERROR(INDEX('Green_rooibos initial weight'!$C$5:$C$1749,MATCH(I353, 'Green_rooibos initial weight'!$A$5:$A$1749,0)),"")</f>
        <v>2.11</v>
      </c>
      <c r="L353" s="195">
        <f t="shared" si="53"/>
        <v>1.8452000000000002</v>
      </c>
      <c r="M353" s="240">
        <f>AVERAGE(Ashed_controlls!$K$1:$K$11)</f>
        <v>5.5147656768714146</v>
      </c>
      <c r="N353" s="195">
        <f t="shared" si="48"/>
        <v>1.7434415437303687</v>
      </c>
      <c r="O353" s="195">
        <f t="shared" si="54"/>
        <v>1.8601999999999999</v>
      </c>
      <c r="P353" s="240">
        <f>AVERAGE(Ashed_controlls!$K$12:$K$14)</f>
        <v>2.2816647271287041</v>
      </c>
      <c r="Q353" s="195">
        <f t="shared" si="49"/>
        <v>1.8177564727459516</v>
      </c>
      <c r="R353" s="16">
        <f>IF('Dry_Litterbag Placem_Collection'!G60="N.A","",'Dry_Litterbag Placem_Collection'!G60)</f>
        <v>43005</v>
      </c>
      <c r="S353" s="195">
        <f>IF(IFERROR(INDEX('Both teabags AfterDry'!$D$1:$D$839,MATCH(H353,'Both teabags AfterDry'!$A$1:$A$839,0)),"")="N.A","",(IFERROR(INDEX('Both teabags AfterDry'!$D$1:$D$839,MATCH(H353,'Both teabags AfterDry'!$A$1:$A$839,0)),"")))</f>
        <v>1.9036</v>
      </c>
      <c r="T353" s="195">
        <f>IF(IFERROR(INDEX('Both teabags AfterDry'!$D$1:$D$839,MATCH(I353,'Both teabags AfterDry'!$A$1:$A$839,0)),"")="N.A","",(IFERROR(INDEX('Both teabags AfterDry'!$D$1:$D$839,MATCH(I353,'Both teabags AfterDry'!$A$1:$A$839,0)),"")))</f>
        <v>1.9226000000000001</v>
      </c>
      <c r="U353" s="195">
        <f t="shared" si="55"/>
        <v>1.7529999999999999</v>
      </c>
      <c r="V353" s="195">
        <f t="shared" si="55"/>
        <v>1.772</v>
      </c>
      <c r="W353" s="195">
        <f>IFERROR(INDEX('Ashed teabags dry'!$K$2:$K$821,MATCH(H353,'Ashed teabags dry'!$A$2:$A$821,0)),"")</f>
        <v>6.5088757396447594</v>
      </c>
      <c r="X353" s="195">
        <f>IFERROR(INDEX('Ashed teabags dry'!$K$2:$K$821,MATCH(I353,'Ashed teabags dry'!$A$2:$A$821,0)),"")</f>
        <v>2.075098814229281</v>
      </c>
      <c r="Y353" s="195">
        <f t="shared" si="50"/>
        <v>1.6388994082840274</v>
      </c>
      <c r="Z353" s="195">
        <f t="shared" si="50"/>
        <v>1.7352292490118573</v>
      </c>
      <c r="AA353" s="195">
        <f t="shared" si="56"/>
        <v>5.9963086128289045E-2</v>
      </c>
      <c r="AB353" s="195">
        <f t="shared" si="57"/>
        <v>3.9310716796693033E-2</v>
      </c>
      <c r="AC353" s="195">
        <f t="shared" si="51"/>
        <v>0.9545994059317382</v>
      </c>
      <c r="AD353">
        <f t="shared" si="52"/>
        <v>67</v>
      </c>
      <c r="AE353" s="195">
        <f t="shared" si="58"/>
        <v>0.92878493333932421</v>
      </c>
      <c r="AF353" s="195" t="str">
        <f t="shared" si="59"/>
        <v/>
      </c>
      <c r="AG353" s="255" t="str">
        <f>IF(ISNUMBER(SEARCH("C", 'Dry_Litterbag Placem_Collection'!AD60)),"YES","NO")</f>
        <v>NO</v>
      </c>
      <c r="AH353" s="255" t="str">
        <f>IF(ISNUMBER(SEARCH("H", 'Dry_Litterbag Placem_Collection'!AD60)),"YES","NO")</f>
        <v>NO</v>
      </c>
      <c r="AI353" s="255" t="str">
        <f>IF(ISNUMBER(SEARCH("R", 'Dry_Litterbag Placem_Collection'!AD60)),"YES","NO")</f>
        <v>NO</v>
      </c>
      <c r="AJ353" s="255" t="str">
        <f>IF(ISNUMBER(SEARCH("C", 'Dry_Litterbag Placem_Collection'!AC60)),"YES","NO")</f>
        <v>NO</v>
      </c>
      <c r="AK353" s="255" t="str">
        <f>IF(ISNUMBER(SEARCH("H", 'Dry_Litterbag Placem_Collection'!AC60)),"YES","NO")</f>
        <v>NO</v>
      </c>
      <c r="AL353" s="255" t="str">
        <f>IF(ISNUMBER(SEARCH("R", 'Dry_Litterbag Placem_Collection'!AC60)),"YES","NO")</f>
        <v>NO</v>
      </c>
      <c r="AR353" t="s">
        <v>1315</v>
      </c>
      <c r="AT353" t="s">
        <v>450</v>
      </c>
    </row>
    <row r="354" spans="2:46">
      <c r="B354" t="str">
        <f>'Final data_for_R_analysis_Dryse'!A500</f>
        <v>Dry</v>
      </c>
      <c r="C354" s="263">
        <f>'Final data_for_R_analysis_Dryse'!B500</f>
        <v>59</v>
      </c>
      <c r="D354" t="s">
        <v>3835</v>
      </c>
      <c r="E354" t="s">
        <v>25</v>
      </c>
      <c r="F354" s="386">
        <v>3</v>
      </c>
      <c r="G354" s="16">
        <f>'Dry_Litterbag Placem_Collection'!E61</f>
        <v>42938</v>
      </c>
      <c r="H354" s="92" t="str">
        <f>'Final data_for_R_analysis_Dryse'!J500</f>
        <v>G558</v>
      </c>
      <c r="I354" t="str">
        <f>'Final data_for_R_analysis_Dryse'!J720</f>
        <v>R231</v>
      </c>
      <c r="J354">
        <f>IFERROR(INDEX('Green_rooibos initial weight'!$C$5:$C$1749,MATCH(H354, 'Green_rooibos initial weight'!$A$5:$A$1749,0)),"")</f>
        <v>2.1789999999999998</v>
      </c>
      <c r="K354">
        <f>IFERROR(INDEX('Green_rooibos initial weight'!$C$5:$C$1749,MATCH(I354, 'Green_rooibos initial weight'!$A$5:$A$1749,0)),"")</f>
        <v>2.1230000000000002</v>
      </c>
      <c r="L354" s="195">
        <f t="shared" si="53"/>
        <v>1.9291999999999998</v>
      </c>
      <c r="M354" s="240">
        <f>AVERAGE(Ashed_controlls!$K$1:$K$11)</f>
        <v>5.5147656768714146</v>
      </c>
      <c r="N354" s="195">
        <f t="shared" si="48"/>
        <v>1.8228091405617965</v>
      </c>
      <c r="O354" s="195">
        <f t="shared" si="54"/>
        <v>1.8732000000000002</v>
      </c>
      <c r="P354" s="240">
        <f>AVERAGE(Ashed_controlls!$K$12:$K$14)</f>
        <v>2.2816647271287041</v>
      </c>
      <c r="Q354" s="195">
        <f t="shared" si="49"/>
        <v>1.8304598563314254</v>
      </c>
      <c r="R354" s="16">
        <f>IF('Dry_Litterbag Placem_Collection'!G61="N.A","",'Dry_Litterbag Placem_Collection'!G61)</f>
        <v>43005</v>
      </c>
      <c r="S354" s="195">
        <f>IF(IFERROR(INDEX('Both teabags AfterDry'!$D$1:$D$839,MATCH(H354,'Both teabags AfterDry'!$A$1:$A$839,0)),"")="N.A","",(IFERROR(INDEX('Both teabags AfterDry'!$D$1:$D$839,MATCH(H354,'Both teabags AfterDry'!$A$1:$A$839,0)),"")))</f>
        <v>1.9415</v>
      </c>
      <c r="T354" s="195" t="str">
        <f>IF(IFERROR(INDEX('Both teabags AfterDry'!$D$1:$D$839,MATCH(I354,'Both teabags AfterDry'!$A$1:$A$839,0)),"")="N.A","",(IFERROR(INDEX('Both teabags AfterDry'!$D$1:$D$839,MATCH(I354,'Both teabags AfterDry'!$A$1:$A$839,0)),"")))</f>
        <v/>
      </c>
      <c r="U354" s="195">
        <f t="shared" si="55"/>
        <v>1.7908999999999999</v>
      </c>
      <c r="V354" s="195" t="str">
        <f t="shared" si="55"/>
        <v/>
      </c>
      <c r="W354" s="195">
        <f>IFERROR(INDEX('Ashed teabags dry'!$K$2:$K$821,MATCH(H354,'Ashed teabags dry'!$A$2:$A$821,0)),"")</f>
        <v>5.6511056511055608</v>
      </c>
      <c r="X354" s="195">
        <f>IFERROR(INDEX('Ashed teabags dry'!$K$2:$K$821,MATCH(I354,'Ashed teabags dry'!$A$2:$A$821,0)),"")</f>
        <v>2.4205748865354395</v>
      </c>
      <c r="Y354" s="195">
        <f t="shared" si="50"/>
        <v>1.6896943488943506</v>
      </c>
      <c r="Z354" s="195" t="str">
        <f t="shared" si="50"/>
        <v/>
      </c>
      <c r="AA354" s="195">
        <f t="shared" si="56"/>
        <v>7.3027278997744971E-2</v>
      </c>
      <c r="AB354" s="195">
        <f t="shared" si="57"/>
        <v>4.7875365803747315E-2</v>
      </c>
      <c r="AC354" s="195" t="str">
        <f t="shared" si="51"/>
        <v/>
      </c>
      <c r="AD354">
        <f t="shared" si="52"/>
        <v>67</v>
      </c>
      <c r="AE354" s="195">
        <f t="shared" si="58"/>
        <v>0.91326926484828386</v>
      </c>
      <c r="AF354" s="195" t="str">
        <f t="shared" si="59"/>
        <v/>
      </c>
      <c r="AG354" s="255" t="str">
        <f>IF(ISNUMBER(SEARCH("C", 'Dry_Litterbag Placem_Collection'!AD61)),"YES","NO")</f>
        <v>NO</v>
      </c>
      <c r="AH354" s="255" t="str">
        <f>IF(ISNUMBER(SEARCH("H", 'Dry_Litterbag Placem_Collection'!AD61)),"YES","NO")</f>
        <v>NO</v>
      </c>
      <c r="AI354" s="255" t="str">
        <f>IF(ISNUMBER(SEARCH("R", 'Dry_Litterbag Placem_Collection'!AD61)),"YES","NO")</f>
        <v>NO</v>
      </c>
      <c r="AJ354" s="255" t="str">
        <f>IF(ISNUMBER(SEARCH("C", 'Dry_Litterbag Placem_Collection'!AC61)),"YES","NO")</f>
        <v>NO</v>
      </c>
      <c r="AK354" s="255" t="str">
        <f>IF(ISNUMBER(SEARCH("H", 'Dry_Litterbag Placem_Collection'!AC61)),"YES","NO")</f>
        <v>NO</v>
      </c>
      <c r="AL354" s="255" t="str">
        <f>IF(ISNUMBER(SEARCH("R", 'Dry_Litterbag Placem_Collection'!AC61)),"YES","NO")</f>
        <v>NO</v>
      </c>
      <c r="AR354" t="s">
        <v>1492</v>
      </c>
      <c r="AT354" t="s">
        <v>910</v>
      </c>
    </row>
    <row r="355" spans="2:46">
      <c r="B355" t="str">
        <f>'Final data_for_R_analysis_Dryse'!A501</f>
        <v>Dry</v>
      </c>
      <c r="C355" s="263">
        <f>'Final data_for_R_analysis_Dryse'!B501</f>
        <v>60</v>
      </c>
      <c r="D355" t="s">
        <v>3835</v>
      </c>
      <c r="E355" t="s">
        <v>25</v>
      </c>
      <c r="F355" s="387">
        <v>4</v>
      </c>
      <c r="G355" s="16">
        <f>'Dry_Litterbag Placem_Collection'!E62</f>
        <v>42938</v>
      </c>
      <c r="H355" s="92" t="str">
        <f>'Final data_for_R_analysis_Dryse'!J501</f>
        <v>G751</v>
      </c>
      <c r="I355" t="str">
        <f>'Final data_for_R_analysis_Dryse'!J721</f>
        <v>R297</v>
      </c>
      <c r="J355">
        <f>IFERROR(INDEX('Green_rooibos initial weight'!$C$5:$C$1749,MATCH(H355, 'Green_rooibos initial weight'!$A$5:$A$1749,0)),"")</f>
        <v>2.0750000000000002</v>
      </c>
      <c r="K355">
        <f>IFERROR(INDEX('Green_rooibos initial weight'!$C$5:$C$1749,MATCH(I355, 'Green_rooibos initial weight'!$A$5:$A$1749,0)),"")</f>
        <v>2.1800000000000002</v>
      </c>
      <c r="L355" s="195">
        <f t="shared" si="53"/>
        <v>1.8252000000000002</v>
      </c>
      <c r="M355" s="240">
        <f>AVERAGE(Ashed_controlls!$K$1:$K$11)</f>
        <v>5.5147656768714146</v>
      </c>
      <c r="N355" s="195">
        <f t="shared" si="48"/>
        <v>1.7245444968657431</v>
      </c>
      <c r="O355" s="195">
        <f t="shared" si="54"/>
        <v>1.9302000000000001</v>
      </c>
      <c r="P355" s="240">
        <f>AVERAGE(Ashed_controlls!$K$12:$K$14)</f>
        <v>2.2816647271287041</v>
      </c>
      <c r="Q355" s="195">
        <f t="shared" si="49"/>
        <v>1.8861593074369618</v>
      </c>
      <c r="R355" s="16">
        <f>IF('Dry_Litterbag Placem_Collection'!G62="N.A","",'Dry_Litterbag Placem_Collection'!G62)</f>
        <v>43005</v>
      </c>
      <c r="S355" s="195" t="str">
        <f>IF(IFERROR(INDEX('Both teabags AfterDry'!$D$1:$D$839,MATCH(H355,'Both teabags AfterDry'!$A$1:$A$839,0)),"")="N.A","",(IFERROR(INDEX('Both teabags AfterDry'!$D$1:$D$839,MATCH(H355,'Both teabags AfterDry'!$A$1:$A$839,0)),"")))</f>
        <v/>
      </c>
      <c r="T355" s="195">
        <f>IF(IFERROR(INDEX('Both teabags AfterDry'!$D$1:$D$839,MATCH(I355,'Both teabags AfterDry'!$A$1:$A$839,0)),"")="N.A","",(IFERROR(INDEX('Both teabags AfterDry'!$D$1:$D$839,MATCH(I355,'Both teabags AfterDry'!$A$1:$A$839,0)),"")))</f>
        <v>1.9569000000000001</v>
      </c>
      <c r="U355" s="195" t="str">
        <f t="shared" si="55"/>
        <v/>
      </c>
      <c r="V355" s="195">
        <f t="shared" si="55"/>
        <v>1.8063</v>
      </c>
      <c r="W355" s="195" t="str">
        <f>IFERROR(INDEX('Ashed teabags dry'!$K$2:$K$821,MATCH(H355,'Ashed teabags dry'!$A$2:$A$821,0)),"")</f>
        <v/>
      </c>
      <c r="X355" s="195">
        <f>IFERROR(INDEX('Ashed teabags dry'!$K$2:$K$821,MATCH(I355,'Ashed teabags dry'!$A$2:$A$821,0)),"")</f>
        <v>2.1921641791054141</v>
      </c>
      <c r="Y355" s="195" t="str">
        <f t="shared" si="50"/>
        <v/>
      </c>
      <c r="Z355" s="195">
        <f t="shared" si="50"/>
        <v>1.766702938432819</v>
      </c>
      <c r="AA355" s="195" t="str">
        <f t="shared" si="56"/>
        <v/>
      </c>
      <c r="AB355" s="195" t="str">
        <f t="shared" si="57"/>
        <v/>
      </c>
      <c r="AC355" s="195">
        <f t="shared" si="51"/>
        <v>0.93666687191631337</v>
      </c>
      <c r="AD355">
        <f t="shared" si="52"/>
        <v>67</v>
      </c>
      <c r="AE355" s="195" t="str">
        <f t="shared" si="58"/>
        <v/>
      </c>
      <c r="AF355" s="195" t="str">
        <f t="shared" si="59"/>
        <v/>
      </c>
      <c r="AG355" s="255" t="str">
        <f>IF(ISNUMBER(SEARCH("C", 'Dry_Litterbag Placem_Collection'!AD62)),"YES","NO")</f>
        <v>NO</v>
      </c>
      <c r="AH355" s="255" t="str">
        <f>IF(ISNUMBER(SEARCH("H", 'Dry_Litterbag Placem_Collection'!AD62)),"YES","NO")</f>
        <v>NO</v>
      </c>
      <c r="AI355" s="255" t="str">
        <f>IF(ISNUMBER(SEARCH("R", 'Dry_Litterbag Placem_Collection'!AD62)),"YES","NO")</f>
        <v>NO</v>
      </c>
      <c r="AJ355" s="255" t="str">
        <f>IF(ISNUMBER(SEARCH("C", 'Dry_Litterbag Placem_Collection'!AC62)),"YES","NO")</f>
        <v>NO</v>
      </c>
      <c r="AK355" s="255" t="str">
        <f>IF(ISNUMBER(SEARCH("H", 'Dry_Litterbag Placem_Collection'!AC62)),"YES","NO")</f>
        <v>NO</v>
      </c>
      <c r="AL355" s="255" t="str">
        <f>IF(ISNUMBER(SEARCH("R", 'Dry_Litterbag Placem_Collection'!AC62)),"YES","NO")</f>
        <v>NO</v>
      </c>
      <c r="AR355" t="s">
        <v>1299</v>
      </c>
      <c r="AT355" t="s">
        <v>844</v>
      </c>
    </row>
    <row r="356" spans="2:46">
      <c r="B356" t="str">
        <f>'Final data_for_R_analysis_Dryse'!A502</f>
        <v>Dry</v>
      </c>
      <c r="C356" s="263">
        <f>'Final data_for_R_analysis_Dryse'!B502</f>
        <v>61</v>
      </c>
      <c r="D356" t="s">
        <v>3835</v>
      </c>
      <c r="E356" t="s">
        <v>25</v>
      </c>
      <c r="F356" s="387">
        <v>5</v>
      </c>
      <c r="G356" s="16">
        <f>'Dry_Litterbag Placem_Collection'!E63</f>
        <v>42938</v>
      </c>
      <c r="H356" s="92" t="str">
        <f>'Final data_for_R_analysis_Dryse'!J502</f>
        <v>G748</v>
      </c>
      <c r="I356" t="str">
        <f>'Final data_for_R_analysis_Dryse'!J722</f>
        <v>R200</v>
      </c>
      <c r="J356">
        <f>IFERROR(INDEX('Green_rooibos initial weight'!$C$5:$C$1749,MATCH(H356, 'Green_rooibos initial weight'!$A$5:$A$1749,0)),"")</f>
        <v>2.081</v>
      </c>
      <c r="K356">
        <f>IFERROR(INDEX('Green_rooibos initial weight'!$C$5:$C$1749,MATCH(I356, 'Green_rooibos initial weight'!$A$5:$A$1749,0)),"")</f>
        <v>2.242</v>
      </c>
      <c r="L356" s="195">
        <f t="shared" si="53"/>
        <v>1.8311999999999999</v>
      </c>
      <c r="M356" s="240">
        <f>AVERAGE(Ashed_controlls!$K$1:$K$11)</f>
        <v>5.5147656768714146</v>
      </c>
      <c r="N356" s="195">
        <f t="shared" si="48"/>
        <v>1.7302136109251305</v>
      </c>
      <c r="O356" s="195">
        <f t="shared" si="54"/>
        <v>1.9922</v>
      </c>
      <c r="P356" s="240">
        <f>AVERAGE(Ashed_controlls!$K$12:$K$14)</f>
        <v>2.2816647271287041</v>
      </c>
      <c r="Q356" s="195">
        <f t="shared" si="49"/>
        <v>1.9467446753061419</v>
      </c>
      <c r="R356" s="16">
        <f>IF('Dry_Litterbag Placem_Collection'!G63="N.A","",'Dry_Litterbag Placem_Collection'!G63)</f>
        <v>43005</v>
      </c>
      <c r="S356" s="195" t="str">
        <f>IF(IFERROR(INDEX('Both teabags AfterDry'!$D$1:$D$839,MATCH(H356,'Both teabags AfterDry'!$A$1:$A$839,0)),"")="N.A","",(IFERROR(INDEX('Both teabags AfterDry'!$D$1:$D$839,MATCH(H356,'Both teabags AfterDry'!$A$1:$A$839,0)),"")))</f>
        <v/>
      </c>
      <c r="T356" s="195" t="str">
        <f>IF(IFERROR(INDEX('Both teabags AfterDry'!$D$1:$D$839,MATCH(I356,'Both teabags AfterDry'!$A$1:$A$839,0)),"")="N.A","",(IFERROR(INDEX('Both teabags AfterDry'!$D$1:$D$839,MATCH(I356,'Both teabags AfterDry'!$A$1:$A$839,0)),"")))</f>
        <v/>
      </c>
      <c r="U356" s="195" t="str">
        <f t="shared" si="55"/>
        <v/>
      </c>
      <c r="V356" s="195" t="str">
        <f t="shared" si="55"/>
        <v/>
      </c>
      <c r="W356" s="195" t="str">
        <f>IFERROR(INDEX('Ashed teabags dry'!$K$2:$K$821,MATCH(H356,'Ashed teabags dry'!$A$2:$A$821,0)),"")</f>
        <v/>
      </c>
      <c r="X356" s="195" t="str">
        <f>IFERROR(INDEX('Ashed teabags dry'!$K$2:$K$821,MATCH(I356,'Ashed teabags dry'!$A$2:$A$821,0)),"")</f>
        <v/>
      </c>
      <c r="Y356" s="195" t="str">
        <f t="shared" si="50"/>
        <v/>
      </c>
      <c r="Z356" s="195" t="str">
        <f t="shared" si="50"/>
        <v/>
      </c>
      <c r="AA356" s="195" t="str">
        <f t="shared" si="56"/>
        <v/>
      </c>
      <c r="AB356" s="195" t="str">
        <f t="shared" si="57"/>
        <v/>
      </c>
      <c r="AC356" s="195" t="str">
        <f t="shared" si="51"/>
        <v/>
      </c>
      <c r="AD356">
        <f t="shared" si="52"/>
        <v>67</v>
      </c>
      <c r="AE356" s="195" t="str">
        <f t="shared" si="58"/>
        <v/>
      </c>
      <c r="AF356" s="195" t="str">
        <f t="shared" si="59"/>
        <v/>
      </c>
      <c r="AG356" s="255" t="str">
        <f>IF(ISNUMBER(SEARCH("C", 'Dry_Litterbag Placem_Collection'!AD63)),"YES","NO")</f>
        <v>NO</v>
      </c>
      <c r="AH356" s="255" t="str">
        <f>IF(ISNUMBER(SEARCH("H", 'Dry_Litterbag Placem_Collection'!AD63)),"YES","NO")</f>
        <v>NO</v>
      </c>
      <c r="AI356" s="255" t="str">
        <f>IF(ISNUMBER(SEARCH("R", 'Dry_Litterbag Placem_Collection'!AD63)),"YES","NO")</f>
        <v>NO</v>
      </c>
      <c r="AJ356" s="255" t="str">
        <f>IF(ISNUMBER(SEARCH("C", 'Dry_Litterbag Placem_Collection'!AC63)),"YES","NO")</f>
        <v>NO</v>
      </c>
      <c r="AK356" s="255" t="str">
        <f>IF(ISNUMBER(SEARCH("H", 'Dry_Litterbag Placem_Collection'!AC63)),"YES","NO")</f>
        <v>NO</v>
      </c>
      <c r="AL356" s="255" t="str">
        <f>IF(ISNUMBER(SEARCH("R", 'Dry_Litterbag Placem_Collection'!AC63)),"YES","NO")</f>
        <v>NO</v>
      </c>
      <c r="AR356" t="s">
        <v>1302</v>
      </c>
      <c r="AT356" t="s">
        <v>941</v>
      </c>
    </row>
    <row r="357" spans="2:46">
      <c r="B357" t="str">
        <f>'Final data_for_R_analysis_Dryse'!A503</f>
        <v>Dry</v>
      </c>
      <c r="C357" s="263">
        <f>'Final data_for_R_analysis_Dryse'!B503</f>
        <v>62</v>
      </c>
      <c r="D357" t="s">
        <v>3835</v>
      </c>
      <c r="E357" t="s">
        <v>25</v>
      </c>
      <c r="F357" s="387">
        <v>6</v>
      </c>
      <c r="G357" s="390">
        <f>'Dry_Litterbag Placem_Collection'!E64</f>
        <v>0</v>
      </c>
      <c r="H357" s="92" t="str">
        <f>'Final data_for_R_analysis_Dryse'!J503</f>
        <v/>
      </c>
      <c r="I357" t="str">
        <f>'Final data_for_R_analysis_Dryse'!J723</f>
        <v/>
      </c>
      <c r="J357" t="str">
        <f>IFERROR(INDEX('Green_rooibos initial weight'!$C$5:$C$1749,MATCH(H357, 'Green_rooibos initial weight'!$A$5:$A$1749,0)),"")</f>
        <v/>
      </c>
      <c r="K357" t="str">
        <f>IFERROR(INDEX('Green_rooibos initial weight'!$C$5:$C$1749,MATCH(I357, 'Green_rooibos initial weight'!$A$5:$A$1749,0)),"")</f>
        <v/>
      </c>
      <c r="L357" s="195" t="str">
        <f t="shared" si="53"/>
        <v/>
      </c>
      <c r="M357" s="240">
        <f>AVERAGE(Ashed_controlls!$K$1:$K$11)</f>
        <v>5.5147656768714146</v>
      </c>
      <c r="N357" s="195" t="str">
        <f t="shared" si="48"/>
        <v/>
      </c>
      <c r="O357" s="195" t="str">
        <f t="shared" si="54"/>
        <v/>
      </c>
      <c r="P357" s="240">
        <f>AVERAGE(Ashed_controlls!$K$12:$K$14)</f>
        <v>2.2816647271287041</v>
      </c>
      <c r="Q357" s="195" t="str">
        <f t="shared" si="49"/>
        <v/>
      </c>
      <c r="R357" s="16">
        <f>IF('Dry_Litterbag Placem_Collection'!G64="N.A","",'Dry_Litterbag Placem_Collection'!G64)</f>
        <v>0</v>
      </c>
      <c r="S357" s="195" t="str">
        <f>IF(IFERROR(INDEX('Both teabags AfterDry'!$D$1:$D$839,MATCH(H357,'Both teabags AfterDry'!$A$1:$A$839,0)),"")="N.A","",(IFERROR(INDEX('Both teabags AfterDry'!$D$1:$D$839,MATCH(H357,'Both teabags AfterDry'!$A$1:$A$839,0)),"")))</f>
        <v/>
      </c>
      <c r="T357" s="195" t="str">
        <f>IF(IFERROR(INDEX('Both teabags AfterDry'!$D$1:$D$839,MATCH(I357,'Both teabags AfterDry'!$A$1:$A$839,0)),"")="N.A","",(IFERROR(INDEX('Both teabags AfterDry'!$D$1:$D$839,MATCH(I357,'Both teabags AfterDry'!$A$1:$A$839,0)),"")))</f>
        <v/>
      </c>
      <c r="U357" s="195" t="str">
        <f t="shared" si="55"/>
        <v/>
      </c>
      <c r="V357" s="195" t="str">
        <f t="shared" si="55"/>
        <v/>
      </c>
      <c r="W357" s="195" t="str">
        <f>IFERROR(INDEX('Ashed teabags dry'!$K$2:$K$821,MATCH(H357,'Ashed teabags dry'!$A$2:$A$821,0)),"")</f>
        <v/>
      </c>
      <c r="X357" s="195" t="str">
        <f>IFERROR(INDEX('Ashed teabags dry'!$K$2:$K$821,MATCH(I357,'Ashed teabags dry'!$A$2:$A$821,0)),"")</f>
        <v/>
      </c>
      <c r="Y357" s="195" t="str">
        <f t="shared" si="50"/>
        <v/>
      </c>
      <c r="Z357" s="195" t="str">
        <f t="shared" si="50"/>
        <v/>
      </c>
      <c r="AA357" s="195" t="str">
        <f t="shared" si="56"/>
        <v/>
      </c>
      <c r="AB357" s="195" t="str">
        <f t="shared" si="57"/>
        <v/>
      </c>
      <c r="AC357" s="195" t="str">
        <f t="shared" si="51"/>
        <v/>
      </c>
      <c r="AD357" t="str">
        <f t="shared" si="52"/>
        <v/>
      </c>
      <c r="AE357" s="195" t="str">
        <f t="shared" si="58"/>
        <v/>
      </c>
      <c r="AF357" s="195" t="str">
        <f t="shared" si="59"/>
        <v/>
      </c>
      <c r="AG357" s="255" t="str">
        <f>IF(ISNUMBER(SEARCH("C", 'Dry_Litterbag Placem_Collection'!AD64)),"YES","NO")</f>
        <v>NO</v>
      </c>
      <c r="AH357" s="255" t="str">
        <f>IF(ISNUMBER(SEARCH("H", 'Dry_Litterbag Placem_Collection'!AD64)),"YES","NO")</f>
        <v>NO</v>
      </c>
      <c r="AI357" s="255" t="str">
        <f>IF(ISNUMBER(SEARCH("R", 'Dry_Litterbag Placem_Collection'!AD64)),"YES","NO")</f>
        <v>NO</v>
      </c>
      <c r="AJ357" s="255" t="str">
        <f>IF(ISNUMBER(SEARCH("C", 'Dry_Litterbag Placem_Collection'!AC64)),"YES","NO")</f>
        <v>NO</v>
      </c>
      <c r="AK357" s="255" t="str">
        <f>IF(ISNUMBER(SEARCH("H", 'Dry_Litterbag Placem_Collection'!AC64)),"YES","NO")</f>
        <v>NO</v>
      </c>
      <c r="AL357" s="255" t="str">
        <f>IF(ISNUMBER(SEARCH("R", 'Dry_Litterbag Placem_Collection'!AC64)),"YES","NO")</f>
        <v>NO</v>
      </c>
      <c r="AR357" t="s">
        <v>3654</v>
      </c>
      <c r="AT357" t="s">
        <v>3654</v>
      </c>
    </row>
    <row r="358" spans="2:46">
      <c r="B358" t="str">
        <f>'Final data_for_R_analysis_Dryse'!A504</f>
        <v>Dry</v>
      </c>
      <c r="C358" s="263">
        <f>'Final data_for_R_analysis_Dryse'!B504</f>
        <v>63</v>
      </c>
      <c r="D358" t="s">
        <v>3835</v>
      </c>
      <c r="E358" t="s">
        <v>25</v>
      </c>
      <c r="F358" s="387">
        <v>7</v>
      </c>
      <c r="G358" s="16">
        <f>'Dry_Litterbag Placem_Collection'!E65</f>
        <v>42938</v>
      </c>
      <c r="H358" s="92" t="str">
        <f>'Final data_for_R_analysis_Dryse'!J504</f>
        <v>G629</v>
      </c>
      <c r="I358" t="str">
        <f>'Final data_for_R_analysis_Dryse'!J724</f>
        <v>R713</v>
      </c>
      <c r="J358">
        <f>IFERROR(INDEX('Green_rooibos initial weight'!$C$5:$C$1749,MATCH(H358, 'Green_rooibos initial weight'!$A$5:$A$1749,0)),"")</f>
        <v>1.978</v>
      </c>
      <c r="K358">
        <f>IFERROR(INDEX('Green_rooibos initial weight'!$C$5:$C$1749,MATCH(I358, 'Green_rooibos initial weight'!$A$5:$A$1749,0)),"")</f>
        <v>2.1619999999999999</v>
      </c>
      <c r="L358" s="195">
        <f t="shared" si="53"/>
        <v>1.7282</v>
      </c>
      <c r="M358" s="240">
        <f>AVERAGE(Ashed_controlls!$K$1:$K$11)</f>
        <v>5.5147656768714146</v>
      </c>
      <c r="N358" s="195">
        <f t="shared" si="48"/>
        <v>1.6328938195723082</v>
      </c>
      <c r="O358" s="195">
        <f t="shared" si="54"/>
        <v>1.9121999999999999</v>
      </c>
      <c r="P358" s="240">
        <f>AVERAGE(Ashed_controlls!$K$12:$K$14)</f>
        <v>2.2816647271287041</v>
      </c>
      <c r="Q358" s="195">
        <f t="shared" si="49"/>
        <v>1.8685700070878448</v>
      </c>
      <c r="R358" s="16">
        <f>IF('Dry_Litterbag Placem_Collection'!G65="N.A","",'Dry_Litterbag Placem_Collection'!G65)</f>
        <v>43005</v>
      </c>
      <c r="S358" s="195">
        <f>IF(IFERROR(INDEX('Both teabags AfterDry'!$D$1:$D$839,MATCH(H358,'Both teabags AfterDry'!$A$1:$A$839,0)),"")="N.A","",(IFERROR(INDEX('Both teabags AfterDry'!$D$1:$D$839,MATCH(H358,'Both teabags AfterDry'!$A$1:$A$839,0)),"")))</f>
        <v>1.8411</v>
      </c>
      <c r="T358" s="195">
        <f>IF(IFERROR(INDEX('Both teabags AfterDry'!$D$1:$D$839,MATCH(I358,'Both teabags AfterDry'!$A$1:$A$839,0)),"")="N.A","",(IFERROR(INDEX('Both teabags AfterDry'!$D$1:$D$839,MATCH(I358,'Both teabags AfterDry'!$A$1:$A$839,0)),"")))</f>
        <v>1.9921</v>
      </c>
      <c r="U358" s="195">
        <f t="shared" si="55"/>
        <v>1.6904999999999999</v>
      </c>
      <c r="V358" s="195">
        <f t="shared" si="55"/>
        <v>1.8414999999999999</v>
      </c>
      <c r="W358" s="195">
        <f>IFERROR(INDEX('Ashed teabags dry'!$K$2:$K$821,MATCH(H358,'Ashed teabags dry'!$A$2:$A$821,0)),"")</f>
        <v>5.6801195814651884</v>
      </c>
      <c r="X358" s="195">
        <f>IFERROR(INDEX('Ashed teabags dry'!$K$2:$K$821,MATCH(I358,'Ashed teabags dry'!$A$2:$A$821,0)),"")</f>
        <v>2.4745269286755853</v>
      </c>
      <c r="Y358" s="195">
        <f t="shared" si="50"/>
        <v>1.5944775784753309</v>
      </c>
      <c r="Z358" s="195">
        <f t="shared" si="50"/>
        <v>1.7959315866084391</v>
      </c>
      <c r="AA358" s="195">
        <f t="shared" si="56"/>
        <v>2.3526478351813096E-2</v>
      </c>
      <c r="AB358" s="195">
        <f t="shared" si="57"/>
        <v>1.5423534501426188E-2</v>
      </c>
      <c r="AC358" s="195">
        <f t="shared" si="51"/>
        <v>0.96112619799960708</v>
      </c>
      <c r="AD358">
        <f t="shared" si="52"/>
        <v>67</v>
      </c>
      <c r="AE358" s="195">
        <f t="shared" si="58"/>
        <v>0.97205881430901053</v>
      </c>
      <c r="AF358" s="195" t="str">
        <f t="shared" si="59"/>
        <v/>
      </c>
      <c r="AG358" s="255" t="str">
        <f>IF(ISNUMBER(SEARCH("C", 'Dry_Litterbag Placem_Collection'!AD65)),"YES","NO")</f>
        <v>NO</v>
      </c>
      <c r="AH358" s="255" t="str">
        <f>IF(ISNUMBER(SEARCH("H", 'Dry_Litterbag Placem_Collection'!AD65)),"YES","NO")</f>
        <v>NO</v>
      </c>
      <c r="AI358" s="255" t="str">
        <f>IF(ISNUMBER(SEARCH("R", 'Dry_Litterbag Placem_Collection'!AD65)),"YES","NO")</f>
        <v>NO</v>
      </c>
      <c r="AJ358" s="255" t="str">
        <f>IF(ISNUMBER(SEARCH("C", 'Dry_Litterbag Placem_Collection'!AC65)),"YES","NO")</f>
        <v>NO</v>
      </c>
      <c r="AK358" s="255" t="str">
        <f>IF(ISNUMBER(SEARCH("H", 'Dry_Litterbag Placem_Collection'!AC65)),"YES","NO")</f>
        <v>NO</v>
      </c>
      <c r="AL358" s="255" t="str">
        <f>IF(ISNUMBER(SEARCH("R", 'Dry_Litterbag Placem_Collection'!AC65)),"YES","NO")</f>
        <v>NO</v>
      </c>
      <c r="AR358" t="s">
        <v>1421</v>
      </c>
      <c r="AT358" t="s">
        <v>426</v>
      </c>
    </row>
    <row r="359" spans="2:46">
      <c r="B359" t="str">
        <f>'Final data_for_R_analysis_Dryse'!A505</f>
        <v>Dry</v>
      </c>
      <c r="C359" s="263">
        <f>'Final data_for_R_analysis_Dryse'!B505</f>
        <v>64</v>
      </c>
      <c r="D359" t="s">
        <v>3835</v>
      </c>
      <c r="E359" t="s">
        <v>25</v>
      </c>
      <c r="F359" s="387">
        <v>8</v>
      </c>
      <c r="G359" s="16">
        <f>'Dry_Litterbag Placem_Collection'!E66</f>
        <v>42938</v>
      </c>
      <c r="H359" s="92" t="str">
        <f>'Final data_for_R_analysis_Dryse'!J505</f>
        <v>G84</v>
      </c>
      <c r="I359" t="str">
        <f>'Final data_for_R_analysis_Dryse'!J725</f>
        <v>R237</v>
      </c>
      <c r="J359">
        <f>IFERROR(INDEX('Green_rooibos initial weight'!$C$5:$C$1749,MATCH(H359, 'Green_rooibos initial weight'!$A$5:$A$1749,0)),"")</f>
        <v>2.1259999999999999</v>
      </c>
      <c r="K359">
        <f>IFERROR(INDEX('Green_rooibos initial weight'!$C$5:$C$1749,MATCH(I359, 'Green_rooibos initial weight'!$A$5:$A$1749,0)),"")</f>
        <v>2.1989999999999998</v>
      </c>
      <c r="L359" s="195">
        <f t="shared" si="53"/>
        <v>1.8761999999999999</v>
      </c>
      <c r="M359" s="240">
        <f>AVERAGE(Ashed_controlls!$K$1:$K$11)</f>
        <v>5.5147656768714146</v>
      </c>
      <c r="N359" s="195">
        <f t="shared" si="48"/>
        <v>1.7727319663705383</v>
      </c>
      <c r="O359" s="195">
        <f t="shared" si="54"/>
        <v>1.9491999999999998</v>
      </c>
      <c r="P359" s="240">
        <f>AVERAGE(Ashed_controlls!$K$12:$K$14)</f>
        <v>2.2816647271287041</v>
      </c>
      <c r="Q359" s="195">
        <f t="shared" si="49"/>
        <v>1.9047257911388071</v>
      </c>
      <c r="R359" s="16">
        <f>IF('Dry_Litterbag Placem_Collection'!G66="N.A","",'Dry_Litterbag Placem_Collection'!G66)</f>
        <v>43005</v>
      </c>
      <c r="S359" s="195">
        <f>IF(IFERROR(INDEX('Both teabags AfterDry'!$D$1:$D$839,MATCH(H359,'Both teabags AfterDry'!$A$1:$A$839,0)),"")="N.A","",(IFERROR(INDEX('Both teabags AfterDry'!$D$1:$D$839,MATCH(H359,'Both teabags AfterDry'!$A$1:$A$839,0)),"")))</f>
        <v>1.9314</v>
      </c>
      <c r="T359" s="195">
        <f>IF(IFERROR(INDEX('Both teabags AfterDry'!$D$1:$D$839,MATCH(I359,'Both teabags AfterDry'!$A$1:$A$839,0)),"")="N.A","",(IFERROR(INDEX('Both teabags AfterDry'!$D$1:$D$839,MATCH(I359,'Both teabags AfterDry'!$A$1:$A$839,0)),"")))</f>
        <v>1.9715</v>
      </c>
      <c r="U359" s="195">
        <f t="shared" si="55"/>
        <v>1.7807999999999999</v>
      </c>
      <c r="V359" s="195">
        <f t="shared" si="55"/>
        <v>1.8209</v>
      </c>
      <c r="W359" s="195">
        <f>IFERROR(INDEX('Ashed teabags dry'!$K$2:$K$821,MATCH(H359,'Ashed teabags dry'!$A$2:$A$821,0)),"")</f>
        <v>5.2683407188580818</v>
      </c>
      <c r="X359" s="195">
        <f>IFERROR(INDEX('Ashed teabags dry'!$K$2:$K$821,MATCH(I359,'Ashed teabags dry'!$A$2:$A$821,0)),"")</f>
        <v>2.2650602409639138</v>
      </c>
      <c r="Y359" s="195">
        <f t="shared" si="50"/>
        <v>1.6869813884785752</v>
      </c>
      <c r="Z359" s="195">
        <f t="shared" si="50"/>
        <v>1.7796555180722882</v>
      </c>
      <c r="AA359" s="195">
        <f t="shared" si="56"/>
        <v>4.8371992787791473E-2</v>
      </c>
      <c r="AB359" s="195">
        <f t="shared" si="57"/>
        <v>3.1711805248053324E-2</v>
      </c>
      <c r="AC359" s="195">
        <f t="shared" si="51"/>
        <v>0.93433686168981767</v>
      </c>
      <c r="AD359">
        <f t="shared" si="52"/>
        <v>67</v>
      </c>
      <c r="AE359" s="195">
        <f t="shared" si="58"/>
        <v>0.94255107744917876</v>
      </c>
      <c r="AF359" s="195" t="str">
        <f t="shared" si="59"/>
        <v/>
      </c>
      <c r="AG359" s="255" t="str">
        <f>IF(ISNUMBER(SEARCH("C", 'Dry_Litterbag Placem_Collection'!AD66)),"YES","NO")</f>
        <v>NO</v>
      </c>
      <c r="AH359" s="255" t="str">
        <f>IF(ISNUMBER(SEARCH("H", 'Dry_Litterbag Placem_Collection'!AD66)),"YES","NO")</f>
        <v>NO</v>
      </c>
      <c r="AI359" s="255" t="str">
        <f>IF(ISNUMBER(SEARCH("R", 'Dry_Litterbag Placem_Collection'!AD66)),"YES","NO")</f>
        <v>NO</v>
      </c>
      <c r="AJ359" s="255" t="str">
        <f>IF(ISNUMBER(SEARCH("C", 'Dry_Litterbag Placem_Collection'!AC66)),"YES","NO")</f>
        <v>NO</v>
      </c>
      <c r="AK359" s="255" t="str">
        <f>IF(ISNUMBER(SEARCH("H", 'Dry_Litterbag Placem_Collection'!AC66)),"YES","NO")</f>
        <v>NO</v>
      </c>
      <c r="AL359" s="255" t="str">
        <f>IF(ISNUMBER(SEARCH("R", 'Dry_Litterbag Placem_Collection'!AC66)),"YES","NO")</f>
        <v>NO</v>
      </c>
      <c r="AR359" t="s">
        <v>1966</v>
      </c>
      <c r="AT359" t="s">
        <v>904</v>
      </c>
    </row>
    <row r="360" spans="2:46">
      <c r="B360" t="str">
        <f>'Final data_for_R_analysis_Dryse'!A506</f>
        <v>Dry</v>
      </c>
      <c r="C360" s="263">
        <f>'Final data_for_R_analysis_Dryse'!B506</f>
        <v>65</v>
      </c>
      <c r="D360" t="s">
        <v>3836</v>
      </c>
      <c r="E360" t="s">
        <v>25</v>
      </c>
      <c r="F360" s="386">
        <v>1</v>
      </c>
      <c r="G360" s="16">
        <f>'Dry_Litterbag Placem_Collection'!E67</f>
        <v>42937</v>
      </c>
      <c r="H360" s="92" t="str">
        <f>'Final data_for_R_analysis_Dryse'!J506</f>
        <v>G586</v>
      </c>
      <c r="I360" t="str">
        <f>'Final data_for_R_analysis_Dryse'!J726</f>
        <v>R654</v>
      </c>
      <c r="J360">
        <f>IFERROR(INDEX('Green_rooibos initial weight'!$C$5:$C$1749,MATCH(H360, 'Green_rooibos initial weight'!$A$5:$A$1749,0)),"")</f>
        <v>1.9590000000000001</v>
      </c>
      <c r="K360">
        <f>IFERROR(INDEX('Green_rooibos initial weight'!$C$5:$C$1749,MATCH(I360, 'Green_rooibos initial weight'!$A$5:$A$1749,0)),"")</f>
        <v>2.2040000000000002</v>
      </c>
      <c r="L360" s="195">
        <f t="shared" si="53"/>
        <v>1.7092000000000001</v>
      </c>
      <c r="M360" s="240">
        <f>AVERAGE(Ashed_controlls!$K$1:$K$11)</f>
        <v>5.5147656768714146</v>
      </c>
      <c r="N360" s="195">
        <f t="shared" si="48"/>
        <v>1.6149416250509139</v>
      </c>
      <c r="O360" s="195">
        <f t="shared" si="54"/>
        <v>1.9542000000000002</v>
      </c>
      <c r="P360" s="240">
        <f>AVERAGE(Ashed_controlls!$K$12:$K$14)</f>
        <v>2.2816647271287041</v>
      </c>
      <c r="Q360" s="195">
        <f t="shared" si="49"/>
        <v>1.909611707902451</v>
      </c>
      <c r="R360" s="16">
        <f>IF('Dry_Litterbag Placem_Collection'!G67="N.A","",'Dry_Litterbag Placem_Collection'!G67)</f>
        <v>43005</v>
      </c>
      <c r="S360" s="195" t="str">
        <f>IF(IFERROR(INDEX('Both teabags AfterDry'!$D$1:$D$839,MATCH(H360,'Both teabags AfterDry'!$A$1:$A$839,0)),"")="N.A","",(IFERROR(INDEX('Both teabags AfterDry'!$D$1:$D$839,MATCH(H360,'Both teabags AfterDry'!$A$1:$A$839,0)),"")))</f>
        <v/>
      </c>
      <c r="T360" s="195" t="str">
        <f>IF(IFERROR(INDEX('Both teabags AfterDry'!$D$1:$D$839,MATCH(I360,'Both teabags AfterDry'!$A$1:$A$839,0)),"")="N.A","",(IFERROR(INDEX('Both teabags AfterDry'!$D$1:$D$839,MATCH(I360,'Both teabags AfterDry'!$A$1:$A$839,0)),"")))</f>
        <v/>
      </c>
      <c r="U360" s="195" t="str">
        <f t="shared" si="55"/>
        <v/>
      </c>
      <c r="V360" s="195" t="str">
        <f t="shared" si="55"/>
        <v/>
      </c>
      <c r="W360" s="195" t="str">
        <f>IFERROR(INDEX('Ashed teabags dry'!$K$2:$K$821,MATCH(H360,'Ashed teabags dry'!$A$2:$A$821,0)),"")</f>
        <v/>
      </c>
      <c r="X360" s="195" t="str">
        <f>IFERROR(INDEX('Ashed teabags dry'!$K$2:$K$821,MATCH(I360,'Ashed teabags dry'!$A$2:$A$821,0)),"")</f>
        <v/>
      </c>
      <c r="Y360" s="195" t="str">
        <f t="shared" si="50"/>
        <v/>
      </c>
      <c r="Z360" s="195" t="str">
        <f t="shared" si="50"/>
        <v/>
      </c>
      <c r="AA360" s="195" t="str">
        <f t="shared" si="56"/>
        <v/>
      </c>
      <c r="AB360" s="195" t="str">
        <f t="shared" si="57"/>
        <v/>
      </c>
      <c r="AC360" s="195" t="str">
        <f t="shared" si="51"/>
        <v/>
      </c>
      <c r="AD360">
        <f t="shared" si="52"/>
        <v>68</v>
      </c>
      <c r="AE360" s="195" t="str">
        <f t="shared" si="58"/>
        <v/>
      </c>
      <c r="AF360" s="195" t="str">
        <f t="shared" si="59"/>
        <v/>
      </c>
      <c r="AG360" s="255" t="str">
        <f>IF(ISNUMBER(SEARCH("C", 'Dry_Litterbag Placem_Collection'!AD67)),"YES","NO")</f>
        <v>NO</v>
      </c>
      <c r="AH360" s="255" t="str">
        <f>IF(ISNUMBER(SEARCH("H", 'Dry_Litterbag Placem_Collection'!AD67)),"YES","NO")</f>
        <v>NO</v>
      </c>
      <c r="AI360" s="255" t="str">
        <f>IF(ISNUMBER(SEARCH("R", 'Dry_Litterbag Placem_Collection'!AD67)),"YES","NO")</f>
        <v>NO</v>
      </c>
      <c r="AJ360" s="255" t="str">
        <f>IF(ISNUMBER(SEARCH("C", 'Dry_Litterbag Placem_Collection'!AC67)),"YES","NO")</f>
        <v>NO</v>
      </c>
      <c r="AK360" s="255" t="str">
        <f>IF(ISNUMBER(SEARCH("H", 'Dry_Litterbag Placem_Collection'!AC67)),"YES","NO")</f>
        <v>NO</v>
      </c>
      <c r="AL360" s="255" t="str">
        <f>IF(ISNUMBER(SEARCH("R", 'Dry_Litterbag Placem_Collection'!AC67)),"YES","NO")</f>
        <v>NO</v>
      </c>
      <c r="AR360" t="s">
        <v>1464</v>
      </c>
      <c r="AT360" t="s">
        <v>485</v>
      </c>
    </row>
    <row r="361" spans="2:46">
      <c r="B361" t="str">
        <f>'Final data_for_R_analysis_Dryse'!A507</f>
        <v>Dry</v>
      </c>
      <c r="C361" s="263">
        <f>'Final data_for_R_analysis_Dryse'!B507</f>
        <v>66</v>
      </c>
      <c r="D361" t="s">
        <v>3836</v>
      </c>
      <c r="E361" t="s">
        <v>25</v>
      </c>
      <c r="F361" s="386">
        <v>2</v>
      </c>
      <c r="G361" s="16">
        <f>'Dry_Litterbag Placem_Collection'!E68</f>
        <v>42937</v>
      </c>
      <c r="H361" s="92" t="str">
        <f>'Final data_for_R_analysis_Dryse'!J507</f>
        <v>G851</v>
      </c>
      <c r="I361" t="str">
        <f>'Final data_for_R_analysis_Dryse'!J727</f>
        <v>R634</v>
      </c>
      <c r="J361">
        <f>IFERROR(INDEX('Green_rooibos initial weight'!$C$5:$C$1749,MATCH(H361, 'Green_rooibos initial weight'!$A$5:$A$1749,0)),"")</f>
        <v>1.9930000000000001</v>
      </c>
      <c r="K361">
        <f>IFERROR(INDEX('Green_rooibos initial weight'!$C$5:$C$1749,MATCH(I361, 'Green_rooibos initial weight'!$A$5:$A$1749,0)),"")</f>
        <v>2.0979999999999999</v>
      </c>
      <c r="L361" s="195">
        <f t="shared" si="53"/>
        <v>1.7432000000000001</v>
      </c>
      <c r="M361" s="240">
        <f>AVERAGE(Ashed_controlls!$K$1:$K$11)</f>
        <v>5.5147656768714146</v>
      </c>
      <c r="N361" s="195">
        <f t="shared" si="48"/>
        <v>1.6470666047207776</v>
      </c>
      <c r="O361" s="195">
        <f t="shared" si="54"/>
        <v>1.8481999999999998</v>
      </c>
      <c r="P361" s="240">
        <f>AVERAGE(Ashed_controlls!$K$12:$K$14)</f>
        <v>2.2816647271287041</v>
      </c>
      <c r="Q361" s="195">
        <f t="shared" si="49"/>
        <v>1.8060302725132071</v>
      </c>
      <c r="R361" s="16">
        <f>IF('Dry_Litterbag Placem_Collection'!G68="N.A","",'Dry_Litterbag Placem_Collection'!G68)</f>
        <v>43005</v>
      </c>
      <c r="S361" s="195">
        <f>IF(IFERROR(INDEX('Both teabags AfterDry'!$D$1:$D$839,MATCH(H361,'Both teabags AfterDry'!$A$1:$A$839,0)),"")="N.A","",(IFERROR(INDEX('Both teabags AfterDry'!$D$1:$D$839,MATCH(H361,'Both teabags AfterDry'!$A$1:$A$839,0)),"")))</f>
        <v>1.8367</v>
      </c>
      <c r="T361" s="195">
        <f>IF(IFERROR(INDEX('Both teabags AfterDry'!$D$1:$D$839,MATCH(I361,'Both teabags AfterDry'!$A$1:$A$839,0)),"")="N.A","",(IFERROR(INDEX('Both teabags AfterDry'!$D$1:$D$839,MATCH(I361,'Both teabags AfterDry'!$A$1:$A$839,0)),"")))</f>
        <v>1.9177</v>
      </c>
      <c r="U361" s="195">
        <f t="shared" si="55"/>
        <v>1.6860999999999999</v>
      </c>
      <c r="V361" s="195">
        <f t="shared" si="55"/>
        <v>1.7670999999999999</v>
      </c>
      <c r="W361" s="195">
        <f>IFERROR(INDEX('Ashed teabags dry'!$K$2:$K$821,MATCH(H361,'Ashed teabags dry'!$A$2:$A$821,0)),"")</f>
        <v>6.3484251968505419</v>
      </c>
      <c r="X361" s="195">
        <f>IFERROR(INDEX('Ashed teabags dry'!$K$2:$K$821,MATCH(I361,'Ashed teabags dry'!$A$2:$A$821,0)),"")</f>
        <v>2.2058823529412819</v>
      </c>
      <c r="Y361" s="195">
        <f t="shared" si="50"/>
        <v>1.5790592027559029</v>
      </c>
      <c r="Z361" s="195">
        <f t="shared" si="50"/>
        <v>1.7281198529411745</v>
      </c>
      <c r="AA361" s="195">
        <f t="shared" si="56"/>
        <v>4.129001326962356E-2</v>
      </c>
      <c r="AB361" s="195">
        <f t="shared" si="57"/>
        <v>2.706898732165345E-2</v>
      </c>
      <c r="AC361" s="195">
        <f t="shared" si="51"/>
        <v>0.95686095589991671</v>
      </c>
      <c r="AD361">
        <f t="shared" si="52"/>
        <v>68</v>
      </c>
      <c r="AE361" s="195">
        <f t="shared" si="58"/>
        <v>0.95096197948975825</v>
      </c>
      <c r="AF361" s="195" t="str">
        <f t="shared" si="59"/>
        <v/>
      </c>
      <c r="AG361" s="255" t="str">
        <f>IF(ISNUMBER(SEARCH("C", 'Dry_Litterbag Placem_Collection'!AD68)),"YES","NO")</f>
        <v>NO</v>
      </c>
      <c r="AH361" s="255" t="str">
        <f>IF(ISNUMBER(SEARCH("H", 'Dry_Litterbag Placem_Collection'!AD68)),"YES","NO")</f>
        <v>NO</v>
      </c>
      <c r="AI361" s="255" t="str">
        <f>IF(ISNUMBER(SEARCH("R", 'Dry_Litterbag Placem_Collection'!AD68)),"YES","NO")</f>
        <v>NO</v>
      </c>
      <c r="AJ361" s="255" t="str">
        <f>IF(ISNUMBER(SEARCH("C", 'Dry_Litterbag Placem_Collection'!AC68)),"YES","NO")</f>
        <v>NO</v>
      </c>
      <c r="AK361" s="255" t="str">
        <f>IF(ISNUMBER(SEARCH("H", 'Dry_Litterbag Placem_Collection'!AC68)),"YES","NO")</f>
        <v>NO</v>
      </c>
      <c r="AL361" s="255" t="str">
        <f>IF(ISNUMBER(SEARCH("R", 'Dry_Litterbag Placem_Collection'!AC68)),"YES","NO")</f>
        <v>NO</v>
      </c>
      <c r="AR361" t="s">
        <v>1199</v>
      </c>
      <c r="AT361" t="s">
        <v>505</v>
      </c>
    </row>
    <row r="362" spans="2:46">
      <c r="B362" t="str">
        <f>'Final data_for_R_analysis_Dryse'!A508</f>
        <v>Dry</v>
      </c>
      <c r="C362" s="263">
        <f>'Final data_for_R_analysis_Dryse'!B508</f>
        <v>67</v>
      </c>
      <c r="D362" t="s">
        <v>3836</v>
      </c>
      <c r="E362" t="s">
        <v>25</v>
      </c>
      <c r="F362" s="386">
        <v>3</v>
      </c>
      <c r="G362" s="390">
        <f>'Dry_Litterbag Placem_Collection'!E69</f>
        <v>0</v>
      </c>
      <c r="H362" s="92" t="str">
        <f>'Final data_for_R_analysis_Dryse'!J508</f>
        <v/>
      </c>
      <c r="I362" t="str">
        <f>'Final data_for_R_analysis_Dryse'!J728</f>
        <v/>
      </c>
      <c r="J362" t="str">
        <f>IFERROR(INDEX('Green_rooibos initial weight'!$C$5:$C$1749,MATCH(H362, 'Green_rooibos initial weight'!$A$5:$A$1749,0)),"")</f>
        <v/>
      </c>
      <c r="K362" t="str">
        <f>IFERROR(INDEX('Green_rooibos initial weight'!$C$5:$C$1749,MATCH(I362, 'Green_rooibos initial weight'!$A$5:$A$1749,0)),"")</f>
        <v/>
      </c>
      <c r="L362" s="195" t="str">
        <f t="shared" si="53"/>
        <v/>
      </c>
      <c r="M362" s="240">
        <f>AVERAGE(Ashed_controlls!$K$1:$K$11)</f>
        <v>5.5147656768714146</v>
      </c>
      <c r="N362" s="195" t="str">
        <f t="shared" si="48"/>
        <v/>
      </c>
      <c r="O362" s="195" t="str">
        <f t="shared" si="54"/>
        <v/>
      </c>
      <c r="P362" s="240">
        <f>AVERAGE(Ashed_controlls!$K$12:$K$14)</f>
        <v>2.2816647271287041</v>
      </c>
      <c r="Q362" s="195" t="str">
        <f t="shared" si="49"/>
        <v/>
      </c>
      <c r="R362" s="16">
        <f>IF('Dry_Litterbag Placem_Collection'!G69="N.A","",'Dry_Litterbag Placem_Collection'!G69)</f>
        <v>0</v>
      </c>
      <c r="S362" s="195" t="str">
        <f>IF(IFERROR(INDEX('Both teabags AfterDry'!$D$1:$D$839,MATCH(H362,'Both teabags AfterDry'!$A$1:$A$839,0)),"")="N.A","",(IFERROR(INDEX('Both teabags AfterDry'!$D$1:$D$839,MATCH(H362,'Both teabags AfterDry'!$A$1:$A$839,0)),"")))</f>
        <v/>
      </c>
      <c r="T362" s="195" t="str">
        <f>IF(IFERROR(INDEX('Both teabags AfterDry'!$D$1:$D$839,MATCH(I362,'Both teabags AfterDry'!$A$1:$A$839,0)),"")="N.A","",(IFERROR(INDEX('Both teabags AfterDry'!$D$1:$D$839,MATCH(I362,'Both teabags AfterDry'!$A$1:$A$839,0)),"")))</f>
        <v/>
      </c>
      <c r="U362" s="195" t="str">
        <f t="shared" si="55"/>
        <v/>
      </c>
      <c r="V362" s="195" t="str">
        <f t="shared" si="55"/>
        <v/>
      </c>
      <c r="W362" s="195" t="str">
        <f>IFERROR(INDEX('Ashed teabags dry'!$K$2:$K$821,MATCH(H362,'Ashed teabags dry'!$A$2:$A$821,0)),"")</f>
        <v/>
      </c>
      <c r="X362" s="195" t="str">
        <f>IFERROR(INDEX('Ashed teabags dry'!$K$2:$K$821,MATCH(I362,'Ashed teabags dry'!$A$2:$A$821,0)),"")</f>
        <v/>
      </c>
      <c r="Y362" s="195" t="str">
        <f t="shared" si="50"/>
        <v/>
      </c>
      <c r="Z362" s="195" t="str">
        <f t="shared" si="50"/>
        <v/>
      </c>
      <c r="AA362" s="195" t="str">
        <f t="shared" si="56"/>
        <v/>
      </c>
      <c r="AB362" s="195" t="str">
        <f t="shared" si="57"/>
        <v/>
      </c>
      <c r="AC362" s="195" t="str">
        <f t="shared" si="51"/>
        <v/>
      </c>
      <c r="AD362" t="str">
        <f t="shared" si="52"/>
        <v/>
      </c>
      <c r="AE362" s="195" t="str">
        <f t="shared" si="58"/>
        <v/>
      </c>
      <c r="AF362" s="195" t="str">
        <f t="shared" si="59"/>
        <v/>
      </c>
      <c r="AG362" s="255" t="str">
        <f>IF(ISNUMBER(SEARCH("C", 'Dry_Litterbag Placem_Collection'!AD69)),"YES","NO")</f>
        <v>NO</v>
      </c>
      <c r="AH362" s="255" t="str">
        <f>IF(ISNUMBER(SEARCH("H", 'Dry_Litterbag Placem_Collection'!AD69)),"YES","NO")</f>
        <v>NO</v>
      </c>
      <c r="AI362" s="255" t="str">
        <f>IF(ISNUMBER(SEARCH("R", 'Dry_Litterbag Placem_Collection'!AD69)),"YES","NO")</f>
        <v>NO</v>
      </c>
      <c r="AJ362" s="255" t="str">
        <f>IF(ISNUMBER(SEARCH("C", 'Dry_Litterbag Placem_Collection'!AC69)),"YES","NO")</f>
        <v>NO</v>
      </c>
      <c r="AK362" s="255" t="str">
        <f>IF(ISNUMBER(SEARCH("H", 'Dry_Litterbag Placem_Collection'!AC69)),"YES","NO")</f>
        <v>NO</v>
      </c>
      <c r="AL362" s="255" t="str">
        <f>IF(ISNUMBER(SEARCH("R", 'Dry_Litterbag Placem_Collection'!AC69)),"YES","NO")</f>
        <v>NO</v>
      </c>
      <c r="AR362" t="s">
        <v>3654</v>
      </c>
      <c r="AT362" t="s">
        <v>3654</v>
      </c>
    </row>
    <row r="363" spans="2:46">
      <c r="B363" t="str">
        <f>'Final data_for_R_analysis_Dryse'!A509</f>
        <v>Dry</v>
      </c>
      <c r="C363" s="263">
        <f>'Final data_for_R_analysis_Dryse'!B509</f>
        <v>68</v>
      </c>
      <c r="D363" t="s">
        <v>3836</v>
      </c>
      <c r="E363" t="s">
        <v>25</v>
      </c>
      <c r="F363" s="387">
        <v>4</v>
      </c>
      <c r="G363" s="16">
        <f>'Dry_Litterbag Placem_Collection'!E70</f>
        <v>42937</v>
      </c>
      <c r="H363" s="92" t="str">
        <f>'Final data_for_R_analysis_Dryse'!J509</f>
        <v>G467</v>
      </c>
      <c r="I363" t="str">
        <f>'Final data_for_R_analysis_Dryse'!J729</f>
        <v>R201</v>
      </c>
      <c r="J363">
        <f>IFERROR(INDEX('Green_rooibos initial weight'!$C$5:$C$1749,MATCH(H363, 'Green_rooibos initial weight'!$A$5:$A$1749,0)),"")</f>
        <v>2.0259999999999998</v>
      </c>
      <c r="K363">
        <f>IFERROR(INDEX('Green_rooibos initial weight'!$C$5:$C$1749,MATCH(I363, 'Green_rooibos initial weight'!$A$5:$A$1749,0)),"")</f>
        <v>2.2349999999999999</v>
      </c>
      <c r="L363" s="195">
        <f t="shared" si="53"/>
        <v>1.7761999999999998</v>
      </c>
      <c r="M363" s="240">
        <f>AVERAGE(Ashed_controlls!$K$1:$K$11)</f>
        <v>5.5147656768714146</v>
      </c>
      <c r="N363" s="195">
        <f t="shared" si="48"/>
        <v>1.6782467320474097</v>
      </c>
      <c r="O363" s="195">
        <f t="shared" si="54"/>
        <v>1.9851999999999999</v>
      </c>
      <c r="P363" s="240">
        <f>AVERAGE(Ashed_controlls!$K$12:$K$14)</f>
        <v>2.2816647271287041</v>
      </c>
      <c r="Q363" s="195">
        <f t="shared" si="49"/>
        <v>1.9399043918370409</v>
      </c>
      <c r="R363" s="16">
        <f>IF('Dry_Litterbag Placem_Collection'!G70="N.A","",'Dry_Litterbag Placem_Collection'!G70)</f>
        <v>43005</v>
      </c>
      <c r="S363" s="195">
        <f>IF(IFERROR(INDEX('Both teabags AfterDry'!$D$1:$D$839,MATCH(H363,'Both teabags AfterDry'!$A$1:$A$839,0)),"")="N.A","",(IFERROR(INDEX('Both teabags AfterDry'!$D$1:$D$839,MATCH(H363,'Both teabags AfterDry'!$A$1:$A$839,0)),"")))</f>
        <v>1.8359000000000001</v>
      </c>
      <c r="T363" s="195">
        <f>IF(IFERROR(INDEX('Both teabags AfterDry'!$D$1:$D$839,MATCH(I363,'Both teabags AfterDry'!$A$1:$A$839,0)),"")="N.A","",(IFERROR(INDEX('Both teabags AfterDry'!$D$1:$D$839,MATCH(I363,'Both teabags AfterDry'!$A$1:$A$839,0)),"")))</f>
        <v>2.0015000000000001</v>
      </c>
      <c r="U363" s="195">
        <f t="shared" si="55"/>
        <v>1.6853</v>
      </c>
      <c r="V363" s="195">
        <f t="shared" si="55"/>
        <v>1.8509</v>
      </c>
      <c r="W363" s="195">
        <f>IFERROR(INDEX('Ashed teabags dry'!$K$2:$K$821,MATCH(H363,'Ashed teabags dry'!$A$2:$A$821,0)),"")</f>
        <v>5.6516237874314612</v>
      </c>
      <c r="X363" s="195">
        <f>IFERROR(INDEX('Ashed teabags dry'!$K$2:$K$821,MATCH(I363,'Ashed teabags dry'!$A$2:$A$821,0)),"")</f>
        <v>3.2690695725061474</v>
      </c>
      <c r="Y363" s="195">
        <f t="shared" si="50"/>
        <v>1.5900531843104175</v>
      </c>
      <c r="Z363" s="195">
        <f t="shared" si="50"/>
        <v>1.7903927912824837</v>
      </c>
      <c r="AA363" s="195">
        <f t="shared" si="56"/>
        <v>5.2551002217295362E-2</v>
      </c>
      <c r="AB363" s="195">
        <f t="shared" si="57"/>
        <v>3.4451488389485828E-2</v>
      </c>
      <c r="AC363" s="195">
        <f t="shared" si="51"/>
        <v>0.92292836637532771</v>
      </c>
      <c r="AD363">
        <f t="shared" si="52"/>
        <v>68</v>
      </c>
      <c r="AE363" s="195">
        <f t="shared" si="58"/>
        <v>0.93758788335238075</v>
      </c>
      <c r="AF363" s="195" t="str">
        <f t="shared" si="59"/>
        <v/>
      </c>
      <c r="AG363" s="255" t="str">
        <f>IF(ISNUMBER(SEARCH("C", 'Dry_Litterbag Placem_Collection'!AD70)),"YES","NO")</f>
        <v>NO</v>
      </c>
      <c r="AH363" s="255" t="str">
        <f>IF(ISNUMBER(SEARCH("H", 'Dry_Litterbag Placem_Collection'!AD70)),"YES","NO")</f>
        <v>NO</v>
      </c>
      <c r="AI363" s="255" t="str">
        <f>IF(ISNUMBER(SEARCH("R", 'Dry_Litterbag Placem_Collection'!AD70)),"YES","NO")</f>
        <v>NO</v>
      </c>
      <c r="AJ363" s="255" t="str">
        <f>IF(ISNUMBER(SEARCH("C", 'Dry_Litterbag Placem_Collection'!AC70)),"YES","NO")</f>
        <v>NO</v>
      </c>
      <c r="AK363" s="255" t="str">
        <f>IF(ISNUMBER(SEARCH("H", 'Dry_Litterbag Placem_Collection'!AC70)),"YES","NO")</f>
        <v>NO</v>
      </c>
      <c r="AL363" s="255" t="str">
        <f>IF(ISNUMBER(SEARCH("R", 'Dry_Litterbag Placem_Collection'!AC70)),"YES","NO")</f>
        <v>NO</v>
      </c>
      <c r="AR363" t="s">
        <v>1583</v>
      </c>
      <c r="AT363" t="s">
        <v>940</v>
      </c>
    </row>
    <row r="364" spans="2:46">
      <c r="B364" t="str">
        <f>'Final data_for_R_analysis_Dryse'!A510</f>
        <v>Dry</v>
      </c>
      <c r="C364" s="263">
        <f>'Final data_for_R_analysis_Dryse'!B510</f>
        <v>69</v>
      </c>
      <c r="D364" t="s">
        <v>3836</v>
      </c>
      <c r="E364" t="s">
        <v>25</v>
      </c>
      <c r="F364" s="387">
        <v>5</v>
      </c>
      <c r="G364" s="16">
        <f>'Dry_Litterbag Placem_Collection'!E71</f>
        <v>42937</v>
      </c>
      <c r="H364" s="92" t="str">
        <f>'Final data_for_R_analysis_Dryse'!J510</f>
        <v>G766</v>
      </c>
      <c r="I364" t="str">
        <f>'Final data_for_R_analysis_Dryse'!J730</f>
        <v>R174</v>
      </c>
      <c r="J364">
        <f>IFERROR(INDEX('Green_rooibos initial weight'!$C$5:$C$1749,MATCH(H364, 'Green_rooibos initial weight'!$A$5:$A$1749,0)),"")</f>
        <v>2.0409999999999999</v>
      </c>
      <c r="K364">
        <f>IFERROR(INDEX('Green_rooibos initial weight'!$C$5:$C$1749,MATCH(I364, 'Green_rooibos initial weight'!$A$5:$A$1749,0)),"")</f>
        <v>2.2410000000000001</v>
      </c>
      <c r="L364" s="195">
        <f t="shared" si="53"/>
        <v>1.7911999999999999</v>
      </c>
      <c r="M364" s="240">
        <f>AVERAGE(Ashed_controlls!$K$1:$K$11)</f>
        <v>5.5147656768714146</v>
      </c>
      <c r="N364" s="195">
        <f t="shared" si="48"/>
        <v>1.6924195171958791</v>
      </c>
      <c r="O364" s="195">
        <f t="shared" si="54"/>
        <v>1.9912000000000001</v>
      </c>
      <c r="P364" s="240">
        <f>AVERAGE(Ashed_controlls!$K$12:$K$14)</f>
        <v>2.2816647271287041</v>
      </c>
      <c r="Q364" s="195">
        <f t="shared" si="49"/>
        <v>1.9457674919534134</v>
      </c>
      <c r="R364" s="16">
        <f>IF('Dry_Litterbag Placem_Collection'!G71="N.A","",'Dry_Litterbag Placem_Collection'!G71)</f>
        <v>43006</v>
      </c>
      <c r="S364" s="195">
        <f>IF(IFERROR(INDEX('Both teabags AfterDry'!$D$1:$D$839,MATCH(H364,'Both teabags AfterDry'!$A$1:$A$839,0)),"")="N.A","",(IFERROR(INDEX('Both teabags AfterDry'!$D$1:$D$839,MATCH(H364,'Both teabags AfterDry'!$A$1:$A$839,0)),"")))</f>
        <v>1.8654999999999999</v>
      </c>
      <c r="T364" s="195">
        <f>IF(IFERROR(INDEX('Both teabags AfterDry'!$D$1:$D$839,MATCH(I364,'Both teabags AfterDry'!$A$1:$A$839,0)),"")="N.A","",(IFERROR(INDEX('Both teabags AfterDry'!$D$1:$D$839,MATCH(I364,'Both teabags AfterDry'!$A$1:$A$839,0)),"")))</f>
        <v>1.9946999999999999</v>
      </c>
      <c r="U364" s="195">
        <f t="shared" si="55"/>
        <v>1.7148999999999999</v>
      </c>
      <c r="V364" s="195">
        <f t="shared" si="55"/>
        <v>1.8440999999999999</v>
      </c>
      <c r="W364" s="195">
        <f>IFERROR(INDEX('Ashed teabags dry'!$K$2:$K$821,MATCH(H364,'Ashed teabags dry'!$A$2:$A$821,0)),"")</f>
        <v>6.0009837678305544</v>
      </c>
      <c r="X364" s="195">
        <f>IFERROR(INDEX('Ashed teabags dry'!$K$2:$K$821,MATCH(I364,'Ashed teabags dry'!$A$2:$A$821,0)),"")</f>
        <v>2.7638190954781701</v>
      </c>
      <c r="Y364" s="195">
        <f t="shared" si="50"/>
        <v>1.6119891293654738</v>
      </c>
      <c r="Z364" s="195">
        <f t="shared" si="50"/>
        <v>1.793132412060287</v>
      </c>
      <c r="AA364" s="195">
        <f t="shared" si="56"/>
        <v>4.7523907053298564E-2</v>
      </c>
      <c r="AB364" s="195">
        <f t="shared" si="57"/>
        <v>3.1155815550380991E-2</v>
      </c>
      <c r="AC364" s="195">
        <f t="shared" si="51"/>
        <v>0.92155533457911176</v>
      </c>
      <c r="AD364">
        <f t="shared" si="52"/>
        <v>69</v>
      </c>
      <c r="AE364" s="195">
        <f t="shared" si="58"/>
        <v>0.94355830516235328</v>
      </c>
      <c r="AF364" s="195" t="str">
        <f t="shared" si="59"/>
        <v/>
      </c>
      <c r="AG364" s="255" t="str">
        <f>IF(ISNUMBER(SEARCH("C", 'Dry_Litterbag Placem_Collection'!AD71)),"YES","NO")</f>
        <v>NO</v>
      </c>
      <c r="AH364" s="255" t="str">
        <f>IF(ISNUMBER(SEARCH("H", 'Dry_Litterbag Placem_Collection'!AD71)),"YES","NO")</f>
        <v>NO</v>
      </c>
      <c r="AI364" s="255" t="str">
        <f>IF(ISNUMBER(SEARCH("R", 'Dry_Litterbag Placem_Collection'!AD71)),"YES","NO")</f>
        <v>NO</v>
      </c>
      <c r="AJ364" s="255" t="str">
        <f>IF(ISNUMBER(SEARCH("C", 'Dry_Litterbag Placem_Collection'!AC71)),"YES","NO")</f>
        <v>NO</v>
      </c>
      <c r="AK364" s="255" t="str">
        <f>IF(ISNUMBER(SEARCH("H", 'Dry_Litterbag Placem_Collection'!AC71)),"YES","NO")</f>
        <v>NO</v>
      </c>
      <c r="AL364" s="255" t="str">
        <f>IF(ISNUMBER(SEARCH("R", 'Dry_Litterbag Placem_Collection'!AC71)),"YES","NO")</f>
        <v>NO</v>
      </c>
      <c r="AR364" t="s">
        <v>1284</v>
      </c>
      <c r="AT364" t="s">
        <v>967</v>
      </c>
    </row>
    <row r="365" spans="2:46">
      <c r="B365" t="str">
        <f>'Final data_for_R_analysis_Dryse'!A511</f>
        <v>Dry</v>
      </c>
      <c r="C365" s="263">
        <f>'Final data_for_R_analysis_Dryse'!B511</f>
        <v>70</v>
      </c>
      <c r="D365" t="s">
        <v>3836</v>
      </c>
      <c r="E365" t="s">
        <v>25</v>
      </c>
      <c r="F365" s="387">
        <v>6</v>
      </c>
      <c r="G365" s="16">
        <f>'Dry_Litterbag Placem_Collection'!E72</f>
        <v>42937</v>
      </c>
      <c r="H365" s="92" t="str">
        <f>'Final data_for_R_analysis_Dryse'!J511</f>
        <v>G430</v>
      </c>
      <c r="I365" t="str">
        <f>'Final data_for_R_analysis_Dryse'!J731</f>
        <v>R261</v>
      </c>
      <c r="J365">
        <f>IFERROR(INDEX('Green_rooibos initial weight'!$C$5:$C$1749,MATCH(H365, 'Green_rooibos initial weight'!$A$5:$A$1749,0)),"")</f>
        <v>2.09</v>
      </c>
      <c r="K365">
        <f>IFERROR(INDEX('Green_rooibos initial weight'!$C$5:$C$1749,MATCH(I365, 'Green_rooibos initial weight'!$A$5:$A$1749,0)),"")</f>
        <v>2.2080000000000002</v>
      </c>
      <c r="L365" s="195">
        <f t="shared" si="53"/>
        <v>1.8401999999999998</v>
      </c>
      <c r="M365" s="240">
        <f>AVERAGE(Ashed_controlls!$K$1:$K$11)</f>
        <v>5.5147656768714146</v>
      </c>
      <c r="N365" s="195">
        <f t="shared" si="48"/>
        <v>1.7387172820142121</v>
      </c>
      <c r="O365" s="195">
        <f t="shared" si="54"/>
        <v>1.9582000000000002</v>
      </c>
      <c r="P365" s="240">
        <f>AVERAGE(Ashed_controlls!$K$12:$K$14)</f>
        <v>2.2816647271287041</v>
      </c>
      <c r="Q365" s="195">
        <f t="shared" si="49"/>
        <v>1.913520441313366</v>
      </c>
      <c r="R365" s="16">
        <f>IF('Dry_Litterbag Placem_Collection'!G72="N.A","",'Dry_Litterbag Placem_Collection'!G72)</f>
        <v>43006</v>
      </c>
      <c r="S365" s="195">
        <f>IF(IFERROR(INDEX('Both teabags AfterDry'!$D$1:$D$839,MATCH(H365,'Both teabags AfterDry'!$A$1:$A$839,0)),"")="N.A","",(IFERROR(INDEX('Both teabags AfterDry'!$D$1:$D$839,MATCH(H365,'Both teabags AfterDry'!$A$1:$A$839,0)),"")))</f>
        <v>1.8875999999999999</v>
      </c>
      <c r="T365" s="195">
        <f>IF(IFERROR(INDEX('Both teabags AfterDry'!$D$1:$D$839,MATCH(I365,'Both teabags AfterDry'!$A$1:$A$839,0)),"")="N.A","",(IFERROR(INDEX('Both teabags AfterDry'!$D$1:$D$839,MATCH(I365,'Both teabags AfterDry'!$A$1:$A$839,0)),"")))</f>
        <v>1.9642999999999999</v>
      </c>
      <c r="U365" s="195">
        <f t="shared" si="55"/>
        <v>1.7369999999999999</v>
      </c>
      <c r="V365" s="195">
        <f t="shared" si="55"/>
        <v>1.8136999999999999</v>
      </c>
      <c r="W365" s="195">
        <f>IFERROR(INDEX('Ashed teabags dry'!$K$2:$K$821,MATCH(H365,'Ashed teabags dry'!$A$2:$A$821,0)),"")</f>
        <v>5.6997022543597504</v>
      </c>
      <c r="X365" s="195">
        <f>IFERROR(INDEX('Ashed teabags dry'!$K$2:$K$821,MATCH(I365,'Ashed teabags dry'!$A$2:$A$821,0)),"")</f>
        <v>3.9428289797936209</v>
      </c>
      <c r="Y365" s="195">
        <f t="shared" si="50"/>
        <v>1.637996171841771</v>
      </c>
      <c r="Z365" s="195">
        <f t="shared" si="50"/>
        <v>1.7421889107934829</v>
      </c>
      <c r="AA365" s="195">
        <f t="shared" si="56"/>
        <v>5.7928399984476409E-2</v>
      </c>
      <c r="AB365" s="195">
        <f t="shared" si="57"/>
        <v>3.7976813291485695E-2</v>
      </c>
      <c r="AC365" s="195">
        <f t="shared" si="51"/>
        <v>0.91046265991165076</v>
      </c>
      <c r="AD365">
        <f t="shared" si="52"/>
        <v>69</v>
      </c>
      <c r="AE365" s="195">
        <f t="shared" si="58"/>
        <v>0.93120142519658389</v>
      </c>
      <c r="AF365" s="195" t="str">
        <f t="shared" si="59"/>
        <v/>
      </c>
      <c r="AG365" s="255" t="str">
        <f>IF(ISNUMBER(SEARCH("C", 'Dry_Litterbag Placem_Collection'!AD72)),"YES","NO")</f>
        <v>NO</v>
      </c>
      <c r="AH365" s="255" t="str">
        <f>IF(ISNUMBER(SEARCH("H", 'Dry_Litterbag Placem_Collection'!AD72)),"YES","NO")</f>
        <v>NO</v>
      </c>
      <c r="AI365" s="255" t="str">
        <f>IF(ISNUMBER(SEARCH("R", 'Dry_Litterbag Placem_Collection'!AD72)),"YES","NO")</f>
        <v>NO</v>
      </c>
      <c r="AJ365" s="255" t="str">
        <f>IF(ISNUMBER(SEARCH("C", 'Dry_Litterbag Placem_Collection'!AC72)),"YES","NO")</f>
        <v>NO</v>
      </c>
      <c r="AK365" s="255" t="str">
        <f>IF(ISNUMBER(SEARCH("H", 'Dry_Litterbag Placem_Collection'!AC72)),"YES","NO")</f>
        <v>NO</v>
      </c>
      <c r="AL365" s="255" t="str">
        <f>IF(ISNUMBER(SEARCH("R", 'Dry_Litterbag Placem_Collection'!AC72)),"YES","NO")</f>
        <v>NO</v>
      </c>
      <c r="AR365" t="s">
        <v>1620</v>
      </c>
      <c r="AT365" t="s">
        <v>880</v>
      </c>
    </row>
    <row r="366" spans="2:46">
      <c r="B366" t="str">
        <f>'Final data_for_R_analysis_Dryse'!A512</f>
        <v>Dry</v>
      </c>
      <c r="C366" s="263">
        <f>'Final data_for_R_analysis_Dryse'!B512</f>
        <v>71</v>
      </c>
      <c r="D366" t="s">
        <v>3836</v>
      </c>
      <c r="E366" t="s">
        <v>25</v>
      </c>
      <c r="F366" s="387">
        <v>7</v>
      </c>
      <c r="G366" s="16">
        <f>'Dry_Litterbag Placem_Collection'!E73</f>
        <v>42937</v>
      </c>
      <c r="H366" s="92" t="str">
        <f>'Final data_for_R_analysis_Dryse'!J512</f>
        <v>G174</v>
      </c>
      <c r="I366" t="str">
        <f>'Final data_for_R_analysis_Dryse'!J732</f>
        <v>R203</v>
      </c>
      <c r="J366">
        <f>IFERROR(INDEX('Green_rooibos initial weight'!$C$5:$C$1749,MATCH(H366, 'Green_rooibos initial weight'!$A$5:$A$1749,0)),"")</f>
        <v>2.0649999999999999</v>
      </c>
      <c r="K366">
        <f>IFERROR(INDEX('Green_rooibos initial weight'!$C$5:$C$1749,MATCH(I366, 'Green_rooibos initial weight'!$A$5:$A$1749,0)),"")</f>
        <v>2.2839999999999998</v>
      </c>
      <c r="L366" s="195">
        <f t="shared" si="53"/>
        <v>1.8151999999999999</v>
      </c>
      <c r="M366" s="240">
        <f>AVERAGE(Ashed_controlls!$K$1:$K$11)</f>
        <v>5.5147656768714146</v>
      </c>
      <c r="N366" s="195">
        <f t="shared" si="48"/>
        <v>1.7150959734334301</v>
      </c>
      <c r="O366" s="195">
        <f t="shared" si="54"/>
        <v>2.0341999999999998</v>
      </c>
      <c r="P366" s="240">
        <f>AVERAGE(Ashed_controlls!$K$12:$K$14)</f>
        <v>2.2816647271287041</v>
      </c>
      <c r="Q366" s="195">
        <f t="shared" si="49"/>
        <v>1.9877863761207477</v>
      </c>
      <c r="R366" s="16">
        <f>IF('Dry_Litterbag Placem_Collection'!G73="N.A","",'Dry_Litterbag Placem_Collection'!G73)</f>
        <v>43006</v>
      </c>
      <c r="S366" s="195">
        <f>IF(IFERROR(INDEX('Both teabags AfterDry'!$D$1:$D$839,MATCH(H366,'Both teabags AfterDry'!$A$1:$A$839,0)),"")="N.A","",(IFERROR(INDEX('Both teabags AfterDry'!$D$1:$D$839,MATCH(H366,'Both teabags AfterDry'!$A$1:$A$839,0)),"")))</f>
        <v>1.8838999999999999</v>
      </c>
      <c r="T366" s="195">
        <f>IF(IFERROR(INDEX('Both teabags AfterDry'!$D$1:$D$839,MATCH(I366,'Both teabags AfterDry'!$A$1:$A$839,0)),"")="N.A","",(IFERROR(INDEX('Both teabags AfterDry'!$D$1:$D$839,MATCH(I366,'Both teabags AfterDry'!$A$1:$A$839,0)),"")))</f>
        <v>2.0466000000000002</v>
      </c>
      <c r="U366" s="195">
        <f t="shared" si="55"/>
        <v>1.7332999999999998</v>
      </c>
      <c r="V366" s="195">
        <f t="shared" si="55"/>
        <v>1.8960000000000001</v>
      </c>
      <c r="W366" s="195">
        <f>IFERROR(INDEX('Ashed teabags dry'!$K$2:$K$821,MATCH(H366,'Ashed teabags dry'!$A$2:$A$821,0)),"")</f>
        <v>5.4401582591501034</v>
      </c>
      <c r="X366" s="195">
        <f>IFERROR(INDEX('Ashed teabags dry'!$K$2:$K$821,MATCH(I366,'Ashed teabags dry'!$A$2:$A$821,0)),"")</f>
        <v>3.3625730994153482</v>
      </c>
      <c r="Y366" s="195">
        <f t="shared" si="50"/>
        <v>1.6390057368941511</v>
      </c>
      <c r="Z366" s="195">
        <f t="shared" si="50"/>
        <v>1.8322456140350851</v>
      </c>
      <c r="AA366" s="195">
        <f t="shared" si="56"/>
        <v>4.4365002144430954E-2</v>
      </c>
      <c r="AB366" s="195">
        <f t="shared" si="57"/>
        <v>2.9084894517489183E-2</v>
      </c>
      <c r="AC366" s="195">
        <f t="shared" si="51"/>
        <v>0.92175177174259182</v>
      </c>
      <c r="AD366">
        <f t="shared" si="52"/>
        <v>69</v>
      </c>
      <c r="AE366" s="195">
        <f t="shared" si="58"/>
        <v>0.94730997370020076</v>
      </c>
      <c r="AF366" s="195" t="str">
        <f t="shared" si="59"/>
        <v/>
      </c>
      <c r="AG366" s="255" t="str">
        <f>IF(ISNUMBER(SEARCH("C", 'Dry_Litterbag Placem_Collection'!AD73)),"YES","NO")</f>
        <v>NO</v>
      </c>
      <c r="AH366" s="255" t="str">
        <f>IF(ISNUMBER(SEARCH("H", 'Dry_Litterbag Placem_Collection'!AD73)),"YES","NO")</f>
        <v>NO</v>
      </c>
      <c r="AI366" s="255" t="str">
        <f>IF(ISNUMBER(SEARCH("R", 'Dry_Litterbag Placem_Collection'!AD73)),"YES","NO")</f>
        <v>NO</v>
      </c>
      <c r="AJ366" s="255" t="str">
        <f>IF(ISNUMBER(SEARCH("C", 'Dry_Litterbag Placem_Collection'!AC73)),"YES","NO")</f>
        <v>NO</v>
      </c>
      <c r="AK366" s="255" t="str">
        <f>IF(ISNUMBER(SEARCH("H", 'Dry_Litterbag Placem_Collection'!AC73)),"YES","NO")</f>
        <v>NO</v>
      </c>
      <c r="AL366" s="255" t="str">
        <f>IF(ISNUMBER(SEARCH("R", 'Dry_Litterbag Placem_Collection'!AC73)),"YES","NO")</f>
        <v>NO</v>
      </c>
      <c r="AR366" t="s">
        <v>1876</v>
      </c>
      <c r="AT366" t="s">
        <v>938</v>
      </c>
    </row>
    <row r="367" spans="2:46">
      <c r="B367" t="str">
        <f>'Final data_for_R_analysis_Dryse'!A513</f>
        <v>Dry</v>
      </c>
      <c r="C367" s="263">
        <f>'Final data_for_R_analysis_Dryse'!B513</f>
        <v>72</v>
      </c>
      <c r="D367" t="s">
        <v>3836</v>
      </c>
      <c r="E367" t="s">
        <v>25</v>
      </c>
      <c r="F367" s="387">
        <v>8</v>
      </c>
      <c r="G367" s="16">
        <f>'Dry_Litterbag Placem_Collection'!E74</f>
        <v>42937</v>
      </c>
      <c r="H367" s="92" t="str">
        <f>'Final data_for_R_analysis_Dryse'!J513</f>
        <v>G714</v>
      </c>
      <c r="I367" t="str">
        <f>'Final data_for_R_analysis_Dryse'!J733</f>
        <v>R191</v>
      </c>
      <c r="J367">
        <f>IFERROR(INDEX('Green_rooibos initial weight'!$C$5:$C$1749,MATCH(H367, 'Green_rooibos initial weight'!$A$5:$A$1749,0)),"")</f>
        <v>2.0459999999999998</v>
      </c>
      <c r="K367">
        <f>IFERROR(INDEX('Green_rooibos initial weight'!$C$5:$C$1749,MATCH(I367, 'Green_rooibos initial weight'!$A$5:$A$1749,0)),"")</f>
        <v>2.1789999999999998</v>
      </c>
      <c r="L367" s="195">
        <f t="shared" si="53"/>
        <v>1.7961999999999998</v>
      </c>
      <c r="M367" s="240">
        <f>AVERAGE(Ashed_controlls!$K$1:$K$11)</f>
        <v>5.5147656768714146</v>
      </c>
      <c r="N367" s="195">
        <f t="shared" si="48"/>
        <v>1.6971437789120354</v>
      </c>
      <c r="O367" s="195">
        <f t="shared" si="54"/>
        <v>1.9291999999999998</v>
      </c>
      <c r="P367" s="240">
        <f>AVERAGE(Ashed_controlls!$K$12:$K$14)</f>
        <v>2.2816647271287041</v>
      </c>
      <c r="Q367" s="195">
        <f t="shared" si="49"/>
        <v>1.8851821240842328</v>
      </c>
      <c r="R367" s="16">
        <f>IF('Dry_Litterbag Placem_Collection'!G74="N.A","",'Dry_Litterbag Placem_Collection'!G74)</f>
        <v>43006</v>
      </c>
      <c r="S367" s="195">
        <f>IF(IFERROR(INDEX('Both teabags AfterDry'!$D$1:$D$839,MATCH(H367,'Both teabags AfterDry'!$A$1:$A$839,0)),"")="N.A","",(IFERROR(INDEX('Both teabags AfterDry'!$D$1:$D$839,MATCH(H367,'Both teabags AfterDry'!$A$1:$A$839,0)),"")))</f>
        <v>1.8528</v>
      </c>
      <c r="T367" s="195">
        <f>IF(IFERROR(INDEX('Both teabags AfterDry'!$D$1:$D$839,MATCH(I367,'Both teabags AfterDry'!$A$1:$A$839,0)),"")="N.A","",(IFERROR(INDEX('Both teabags AfterDry'!$D$1:$D$839,MATCH(I367,'Both teabags AfterDry'!$A$1:$A$839,0)),"")))</f>
        <v>1.9675</v>
      </c>
      <c r="U367" s="195">
        <f t="shared" si="55"/>
        <v>1.7021999999999999</v>
      </c>
      <c r="V367" s="195">
        <f t="shared" si="55"/>
        <v>1.8169</v>
      </c>
      <c r="W367" s="195">
        <f>IFERROR(INDEX('Ashed teabags dry'!$K$2:$K$821,MATCH(H367,'Ashed teabags dry'!$A$2:$A$821,0)),"")</f>
        <v>5.4821341164956561</v>
      </c>
      <c r="X367" s="195">
        <f>IFERROR(INDEX('Ashed teabags dry'!$K$2:$K$821,MATCH(I367,'Ashed teabags dry'!$A$2:$A$821,0)),"")</f>
        <v>1.8121125417263937</v>
      </c>
      <c r="Y367" s="195">
        <f t="shared" si="50"/>
        <v>1.6088831130690109</v>
      </c>
      <c r="Z367" s="195">
        <f t="shared" si="50"/>
        <v>1.783975727229373</v>
      </c>
      <c r="AA367" s="195">
        <f t="shared" si="56"/>
        <v>5.2005414591098753E-2</v>
      </c>
      <c r="AB367" s="195">
        <f t="shared" si="57"/>
        <v>3.4093810990839114E-2</v>
      </c>
      <c r="AC367" s="195">
        <f t="shared" si="51"/>
        <v>0.9463147907239875</v>
      </c>
      <c r="AD367">
        <f t="shared" si="52"/>
        <v>69</v>
      </c>
      <c r="AE367" s="195">
        <f t="shared" si="58"/>
        <v>0.93823584965427698</v>
      </c>
      <c r="AF367" s="195" t="str">
        <f t="shared" si="59"/>
        <v/>
      </c>
      <c r="AG367" s="255" t="str">
        <f>IF(ISNUMBER(SEARCH("C", 'Dry_Litterbag Placem_Collection'!AD74)),"YES","NO")</f>
        <v>NO</v>
      </c>
      <c r="AH367" s="255" t="str">
        <f>IF(ISNUMBER(SEARCH("H", 'Dry_Litterbag Placem_Collection'!AD74)),"YES","NO")</f>
        <v>NO</v>
      </c>
      <c r="AI367" s="255" t="str">
        <f>IF(ISNUMBER(SEARCH("R", 'Dry_Litterbag Placem_Collection'!AD74)),"YES","NO")</f>
        <v>NO</v>
      </c>
      <c r="AJ367" s="255" t="str">
        <f>IF(ISNUMBER(SEARCH("C", 'Dry_Litterbag Placem_Collection'!AC74)),"YES","NO")</f>
        <v>NO</v>
      </c>
      <c r="AK367" s="255" t="str">
        <f>IF(ISNUMBER(SEARCH("H", 'Dry_Litterbag Placem_Collection'!AC74)),"YES","NO")</f>
        <v>NO</v>
      </c>
      <c r="AL367" s="255" t="str">
        <f>IF(ISNUMBER(SEARCH("R", 'Dry_Litterbag Placem_Collection'!AC74)),"YES","NO")</f>
        <v>NO</v>
      </c>
      <c r="AR367" t="s">
        <v>1336</v>
      </c>
      <c r="AT367" t="s">
        <v>950</v>
      </c>
    </row>
    <row r="368" spans="2:46">
      <c r="B368" t="str">
        <f>'Final data_for_R_analysis_Dryse'!A514</f>
        <v>Dry</v>
      </c>
      <c r="C368" s="263">
        <f>'Final data_for_R_analysis_Dryse'!B514</f>
        <v>73</v>
      </c>
      <c r="D368" t="s">
        <v>3838</v>
      </c>
      <c r="E368" t="s">
        <v>25</v>
      </c>
      <c r="F368" s="386">
        <v>1</v>
      </c>
      <c r="G368" s="16">
        <f>'Dry_Litterbag Placem_Collection'!E75</f>
        <v>42937</v>
      </c>
      <c r="H368" s="92" t="str">
        <f>'Final data_for_R_analysis_Dryse'!J514</f>
        <v>G726</v>
      </c>
      <c r="I368" t="str">
        <f>'Final data_for_R_analysis_Dryse'!J734</f>
        <v>R160</v>
      </c>
      <c r="J368">
        <f>IFERROR(INDEX('Green_rooibos initial weight'!$C$5:$C$1749,MATCH(H368, 'Green_rooibos initial weight'!$A$5:$A$1749,0)),"")</f>
        <v>1.9950000000000001</v>
      </c>
      <c r="K368">
        <f>IFERROR(INDEX('Green_rooibos initial weight'!$C$5:$C$1749,MATCH(I368, 'Green_rooibos initial weight'!$A$5:$A$1749,0)),"")</f>
        <v>2.1880000000000002</v>
      </c>
      <c r="L368" s="195">
        <f t="shared" si="53"/>
        <v>1.7452000000000001</v>
      </c>
      <c r="M368" s="240">
        <f>AVERAGE(Ashed_controlls!$K$1:$K$11)</f>
        <v>5.5147656768714146</v>
      </c>
      <c r="N368" s="195">
        <f t="shared" si="48"/>
        <v>1.6489563094072401</v>
      </c>
      <c r="O368" s="195">
        <f t="shared" si="54"/>
        <v>1.9382000000000001</v>
      </c>
      <c r="P368" s="240">
        <f>AVERAGE(Ashed_controlls!$K$12:$K$14)</f>
        <v>2.2816647271287041</v>
      </c>
      <c r="Q368" s="195">
        <f t="shared" si="49"/>
        <v>1.8939767742587916</v>
      </c>
      <c r="R368" s="16">
        <f>IF('Dry_Litterbag Placem_Collection'!G75="N.A","",'Dry_Litterbag Placem_Collection'!G75)</f>
        <v>43006</v>
      </c>
      <c r="S368" s="195" t="str">
        <f>IF(IFERROR(INDEX('Both teabags AfterDry'!$D$1:$D$839,MATCH(H368,'Both teabags AfterDry'!$A$1:$A$839,0)),"")="N.A","",(IFERROR(INDEX('Both teabags AfterDry'!$D$1:$D$839,MATCH(H368,'Both teabags AfterDry'!$A$1:$A$839,0)),"")))</f>
        <v/>
      </c>
      <c r="T368" s="195" t="str">
        <f>IF(IFERROR(INDEX('Both teabags AfterDry'!$D$1:$D$839,MATCH(I368,'Both teabags AfterDry'!$A$1:$A$839,0)),"")="N.A","",(IFERROR(INDEX('Both teabags AfterDry'!$D$1:$D$839,MATCH(I368,'Both teabags AfterDry'!$A$1:$A$839,0)),"")))</f>
        <v/>
      </c>
      <c r="U368" s="195" t="str">
        <f t="shared" si="55"/>
        <v/>
      </c>
      <c r="V368" s="195" t="str">
        <f t="shared" si="55"/>
        <v/>
      </c>
      <c r="W368" s="195" t="str">
        <f>IFERROR(INDEX('Ashed teabags dry'!$K$2:$K$821,MATCH(H368,'Ashed teabags dry'!$A$2:$A$821,0)),"")</f>
        <v/>
      </c>
      <c r="X368" s="195" t="str">
        <f>IFERROR(INDEX('Ashed teabags dry'!$K$2:$K$821,MATCH(I368,'Ashed teabags dry'!$A$2:$A$821,0)),"")</f>
        <v/>
      </c>
      <c r="Y368" s="195" t="str">
        <f t="shared" si="50"/>
        <v/>
      </c>
      <c r="Z368" s="195" t="str">
        <f t="shared" si="50"/>
        <v/>
      </c>
      <c r="AA368" s="195" t="str">
        <f t="shared" si="56"/>
        <v/>
      </c>
      <c r="AB368" s="195" t="str">
        <f t="shared" si="57"/>
        <v/>
      </c>
      <c r="AC368" s="195" t="str">
        <f t="shared" si="51"/>
        <v/>
      </c>
      <c r="AD368">
        <f t="shared" si="52"/>
        <v>69</v>
      </c>
      <c r="AE368" s="195" t="str">
        <f t="shared" si="58"/>
        <v/>
      </c>
      <c r="AF368" s="195" t="str">
        <f t="shared" si="59"/>
        <v/>
      </c>
      <c r="AG368" s="255" t="str">
        <f>IF(ISNUMBER(SEARCH("C", 'Dry_Litterbag Placem_Collection'!AD75)),"YES","NO")</f>
        <v>NO</v>
      </c>
      <c r="AH368" s="255" t="str">
        <f>IF(ISNUMBER(SEARCH("H", 'Dry_Litterbag Placem_Collection'!AD75)),"YES","NO")</f>
        <v>NO</v>
      </c>
      <c r="AI368" s="255" t="str">
        <f>IF(ISNUMBER(SEARCH("R", 'Dry_Litterbag Placem_Collection'!AD75)),"YES","NO")</f>
        <v>NO</v>
      </c>
      <c r="AJ368" s="255" t="str">
        <f>IF(ISNUMBER(SEARCH("C", 'Dry_Litterbag Placem_Collection'!AC75)),"YES","NO")</f>
        <v>NO</v>
      </c>
      <c r="AK368" s="255" t="str">
        <f>IF(ISNUMBER(SEARCH("H", 'Dry_Litterbag Placem_Collection'!AC75)),"YES","NO")</f>
        <v>NO</v>
      </c>
      <c r="AL368" s="255" t="str">
        <f>IF(ISNUMBER(SEARCH("R", 'Dry_Litterbag Placem_Collection'!AC75)),"YES","NO")</f>
        <v>NO</v>
      </c>
      <c r="AR368" t="s">
        <v>1324</v>
      </c>
      <c r="AT368" t="s">
        <v>981</v>
      </c>
    </row>
    <row r="369" spans="2:46">
      <c r="B369" t="str">
        <f>'Final data_for_R_analysis_Dryse'!A515</f>
        <v>Dry</v>
      </c>
      <c r="C369" s="263">
        <f>'Final data_for_R_analysis_Dryse'!B515</f>
        <v>74</v>
      </c>
      <c r="D369" t="s">
        <v>3838</v>
      </c>
      <c r="E369" t="s">
        <v>25</v>
      </c>
      <c r="F369" s="386">
        <v>2</v>
      </c>
      <c r="G369" s="16">
        <f>'Dry_Litterbag Placem_Collection'!E76</f>
        <v>42937</v>
      </c>
      <c r="H369" s="92" t="str">
        <f>'Final data_for_R_analysis_Dryse'!J515</f>
        <v>G866</v>
      </c>
      <c r="I369" t="str">
        <f>'Final data_for_R_analysis_Dryse'!J735</f>
        <v>R275</v>
      </c>
      <c r="J369">
        <f>IFERROR(INDEX('Green_rooibos initial weight'!$C$5:$C$1749,MATCH(H369, 'Green_rooibos initial weight'!$A$5:$A$1749,0)),"")</f>
        <v>2.0310000000000001</v>
      </c>
      <c r="K369">
        <f>IFERROR(INDEX('Green_rooibos initial weight'!$C$5:$C$1749,MATCH(I369, 'Green_rooibos initial weight'!$A$5:$A$1749,0)),"")</f>
        <v>0.22900000000000001</v>
      </c>
      <c r="L369" s="195">
        <f t="shared" si="53"/>
        <v>1.7812000000000001</v>
      </c>
      <c r="M369" s="240">
        <f>AVERAGE(Ashed_controlls!$K$1:$K$11)</f>
        <v>5.5147656768714146</v>
      </c>
      <c r="N369" s="195">
        <f t="shared" si="48"/>
        <v>1.6829709937635664</v>
      </c>
      <c r="O369" s="195">
        <f t="shared" si="54"/>
        <v>-2.0800000000000013E-2</v>
      </c>
      <c r="P369" s="240">
        <f>AVERAGE(Ashed_controlls!$K$12:$K$14)</f>
        <v>2.2816647271287041</v>
      </c>
      <c r="Q369" s="195">
        <f t="shared" si="49"/>
        <v>-2.0325413736757243E-2</v>
      </c>
      <c r="R369" s="16">
        <f>IF('Dry_Litterbag Placem_Collection'!G76="N.A","",'Dry_Litterbag Placem_Collection'!G76)</f>
        <v>43006</v>
      </c>
      <c r="S369" s="195">
        <f>IF(IFERROR(INDEX('Both teabags AfterDry'!$D$1:$D$839,MATCH(H369,'Both teabags AfterDry'!$A$1:$A$839,0)),"")="N.A","",(IFERROR(INDEX('Both teabags AfterDry'!$D$1:$D$839,MATCH(H369,'Both teabags AfterDry'!$A$1:$A$839,0)),"")))</f>
        <v>1.8541000000000001</v>
      </c>
      <c r="T369" s="195">
        <f>IF(IFERROR(INDEX('Both teabags AfterDry'!$D$1:$D$839,MATCH(I369,'Both teabags AfterDry'!$A$1:$A$839,0)),"")="N.A","",(IFERROR(INDEX('Both teabags AfterDry'!$D$1:$D$839,MATCH(I369,'Both teabags AfterDry'!$A$1:$A$839,0)),"")))</f>
        <v>1.9981</v>
      </c>
      <c r="U369" s="195">
        <f t="shared" si="55"/>
        <v>1.7035</v>
      </c>
      <c r="V369" s="195">
        <f t="shared" si="55"/>
        <v>1.8474999999999999</v>
      </c>
      <c r="W369" s="195">
        <f>IFERROR(INDEX('Ashed teabags dry'!$K$2:$K$821,MATCH(H369,'Ashed teabags dry'!$A$2:$A$821,0)),"")</f>
        <v>5.5854973052423755</v>
      </c>
      <c r="X369" s="195">
        <f>IFERROR(INDEX('Ashed teabags dry'!$K$2:$K$821,MATCH(I369,'Ashed teabags dry'!$A$2:$A$821,0)),"")</f>
        <v>2.3587223587229587</v>
      </c>
      <c r="Y369" s="195">
        <f t="shared" si="50"/>
        <v>1.6083510534051961</v>
      </c>
      <c r="Z369" s="195">
        <f t="shared" si="50"/>
        <v>1.8039226044225933</v>
      </c>
      <c r="AA369" s="195">
        <f t="shared" si="56"/>
        <v>4.4338221297266944E-2</v>
      </c>
      <c r="AB369" s="195">
        <f t="shared" si="57"/>
        <v>2.9067337477543188E-2</v>
      </c>
      <c r="AC369" s="195">
        <f t="shared" si="51"/>
        <v>-88.752073034573058</v>
      </c>
      <c r="AD369">
        <f t="shared" si="52"/>
        <v>69</v>
      </c>
      <c r="AE369" s="195">
        <f t="shared" si="58"/>
        <v>0.94734177993198698</v>
      </c>
      <c r="AF369" s="195" t="str">
        <f t="shared" si="59"/>
        <v/>
      </c>
      <c r="AG369" s="255" t="str">
        <f>IF(ISNUMBER(SEARCH("C", 'Dry_Litterbag Placem_Collection'!AD76)),"YES","NO")</f>
        <v>NO</v>
      </c>
      <c r="AH369" s="255" t="str">
        <f>IF(ISNUMBER(SEARCH("H", 'Dry_Litterbag Placem_Collection'!AD76)),"YES","NO")</f>
        <v>NO</v>
      </c>
      <c r="AI369" s="255" t="str">
        <f>IF(ISNUMBER(SEARCH("R", 'Dry_Litterbag Placem_Collection'!AD76)),"YES","NO")</f>
        <v>NO</v>
      </c>
      <c r="AJ369" s="255" t="str">
        <f>IF(ISNUMBER(SEARCH("C", 'Dry_Litterbag Placem_Collection'!AC76)),"YES","NO")</f>
        <v>NO</v>
      </c>
      <c r="AK369" s="255" t="str">
        <f>IF(ISNUMBER(SEARCH("H", 'Dry_Litterbag Placem_Collection'!AC76)),"YES","NO")</f>
        <v>NO</v>
      </c>
      <c r="AL369" s="255" t="str">
        <f>IF(ISNUMBER(SEARCH("R", 'Dry_Litterbag Placem_Collection'!AC76)),"YES","NO")</f>
        <v>NO</v>
      </c>
      <c r="AR369" t="s">
        <v>1184</v>
      </c>
      <c r="AT369" t="s">
        <v>866</v>
      </c>
    </row>
    <row r="370" spans="2:46">
      <c r="B370" t="str">
        <f>'Final data_for_R_analysis_Dryse'!A516</f>
        <v>Dry</v>
      </c>
      <c r="C370" s="263">
        <f>'Final data_for_R_analysis_Dryse'!B516</f>
        <v>75</v>
      </c>
      <c r="D370" t="s">
        <v>3838</v>
      </c>
      <c r="E370" t="s">
        <v>25</v>
      </c>
      <c r="F370" s="386">
        <v>3</v>
      </c>
      <c r="G370" s="16">
        <f>'Dry_Litterbag Placem_Collection'!E77</f>
        <v>42937</v>
      </c>
      <c r="H370" s="92" t="str">
        <f>'Final data_for_R_analysis_Dryse'!J516</f>
        <v>G705</v>
      </c>
      <c r="I370" t="str">
        <f>'Final data_for_R_analysis_Dryse'!J736</f>
        <v>R657</v>
      </c>
      <c r="J370">
        <f>IFERROR(INDEX('Green_rooibos initial weight'!$C$5:$C$1749,MATCH(H370, 'Green_rooibos initial weight'!$A$5:$A$1749,0)),"")</f>
        <v>1.9830000000000001</v>
      </c>
      <c r="K370">
        <f>IFERROR(INDEX('Green_rooibos initial weight'!$C$5:$C$1749,MATCH(I370, 'Green_rooibos initial weight'!$A$5:$A$1749,0)),"")</f>
        <v>2.2509999999999999</v>
      </c>
      <c r="L370" s="195">
        <f t="shared" si="53"/>
        <v>1.7332000000000001</v>
      </c>
      <c r="M370" s="240">
        <f>AVERAGE(Ashed_controlls!$K$1:$K$11)</f>
        <v>5.5147656768714146</v>
      </c>
      <c r="N370" s="195">
        <f t="shared" si="48"/>
        <v>1.6376180812884646</v>
      </c>
      <c r="O370" s="195">
        <f t="shared" si="54"/>
        <v>2.0011999999999999</v>
      </c>
      <c r="P370" s="240">
        <f>AVERAGE(Ashed_controlls!$K$12:$K$14)</f>
        <v>2.2816647271287041</v>
      </c>
      <c r="Q370" s="195">
        <f t="shared" si="49"/>
        <v>1.9555393254807003</v>
      </c>
      <c r="R370" s="16">
        <f>IF('Dry_Litterbag Placem_Collection'!G77="N.A","",'Dry_Litterbag Placem_Collection'!G77)</f>
        <v>43006</v>
      </c>
      <c r="S370" s="195">
        <f>IF(IFERROR(INDEX('Both teabags AfterDry'!$D$1:$D$839,MATCH(H370,'Both teabags AfterDry'!$A$1:$A$839,0)),"")="N.A","",(IFERROR(INDEX('Both teabags AfterDry'!$D$1:$D$839,MATCH(H370,'Both teabags AfterDry'!$A$1:$A$839,0)),"")))</f>
        <v>1.8152999999999999</v>
      </c>
      <c r="T370" s="195">
        <f>IF(IFERROR(INDEX('Both teabags AfterDry'!$D$1:$D$839,MATCH(I370,'Both teabags AfterDry'!$A$1:$A$839,0)),"")="N.A","",(IFERROR(INDEX('Both teabags AfterDry'!$D$1:$D$839,MATCH(I370,'Both teabags AfterDry'!$A$1:$A$839,0)),"")))</f>
        <v>2.0581999999999998</v>
      </c>
      <c r="U370" s="195">
        <f t="shared" si="55"/>
        <v>1.6646999999999998</v>
      </c>
      <c r="V370" s="195">
        <f t="shared" si="55"/>
        <v>1.9075999999999997</v>
      </c>
      <c r="W370" s="195">
        <f>IFERROR(INDEX('Ashed teabags dry'!$K$2:$K$821,MATCH(H370,'Ashed teabags dry'!$A$2:$A$821,0)),"")</f>
        <v>5.8558558558565581</v>
      </c>
      <c r="X370" s="195">
        <f>IFERROR(INDEX('Ashed teabags dry'!$K$2:$K$821,MATCH(I370,'Ashed teabags dry'!$A$2:$A$821,0)),"")</f>
        <v>2.5461807289067337</v>
      </c>
      <c r="Y370" s="195">
        <f t="shared" si="50"/>
        <v>1.5672175675675557</v>
      </c>
      <c r="Z370" s="195">
        <f t="shared" si="50"/>
        <v>1.8590290564153749</v>
      </c>
      <c r="AA370" s="195">
        <f t="shared" si="56"/>
        <v>4.2989580125738724E-2</v>
      </c>
      <c r="AB370" s="195">
        <f t="shared" si="57"/>
        <v>2.8183192671505663E-2</v>
      </c>
      <c r="AC370" s="195">
        <f t="shared" si="51"/>
        <v>0.95064774826678478</v>
      </c>
      <c r="AD370">
        <f t="shared" si="52"/>
        <v>69</v>
      </c>
      <c r="AE370" s="195">
        <f t="shared" si="58"/>
        <v>0.94894349153712743</v>
      </c>
      <c r="AF370" s="195" t="str">
        <f t="shared" si="59"/>
        <v/>
      </c>
      <c r="AG370" s="255" t="str">
        <f>IF(ISNUMBER(SEARCH("C", 'Dry_Litterbag Placem_Collection'!AD77)),"YES","NO")</f>
        <v>NO</v>
      </c>
      <c r="AH370" s="255" t="str">
        <f>IF(ISNUMBER(SEARCH("H", 'Dry_Litterbag Placem_Collection'!AD77)),"YES","NO")</f>
        <v>NO</v>
      </c>
      <c r="AI370" s="255" t="str">
        <f>IF(ISNUMBER(SEARCH("R", 'Dry_Litterbag Placem_Collection'!AD77)),"YES","NO")</f>
        <v>NO</v>
      </c>
      <c r="AJ370" s="255" t="str">
        <f>IF(ISNUMBER(SEARCH("C", 'Dry_Litterbag Placem_Collection'!AC77)),"YES","NO")</f>
        <v>NO</v>
      </c>
      <c r="AK370" s="255" t="str">
        <f>IF(ISNUMBER(SEARCH("H", 'Dry_Litterbag Placem_Collection'!AC77)),"YES","NO")</f>
        <v>NO</v>
      </c>
      <c r="AL370" s="255" t="str">
        <f>IF(ISNUMBER(SEARCH("R", 'Dry_Litterbag Placem_Collection'!AC77)),"YES","NO")</f>
        <v>NO</v>
      </c>
      <c r="AR370" t="s">
        <v>1345</v>
      </c>
      <c r="AT370" t="s">
        <v>482</v>
      </c>
    </row>
    <row r="371" spans="2:46">
      <c r="B371" t="str">
        <f>'Final data_for_R_analysis_Dryse'!A517</f>
        <v>Dry</v>
      </c>
      <c r="C371" s="263">
        <f>'Final data_for_R_analysis_Dryse'!B517</f>
        <v>76</v>
      </c>
      <c r="D371" t="s">
        <v>3838</v>
      </c>
      <c r="E371" t="s">
        <v>25</v>
      </c>
      <c r="F371" s="387">
        <v>4</v>
      </c>
      <c r="G371" s="16">
        <f>'Dry_Litterbag Placem_Collection'!E78</f>
        <v>42937</v>
      </c>
      <c r="H371" s="92" t="str">
        <f>'Final data_for_R_analysis_Dryse'!J517</f>
        <v>G601</v>
      </c>
      <c r="I371" t="str">
        <f>'Final data_for_R_analysis_Dryse'!J737</f>
        <v>R306</v>
      </c>
      <c r="J371">
        <f>IFERROR(INDEX('Green_rooibos initial weight'!$C$5:$C$1749,MATCH(H371, 'Green_rooibos initial weight'!$A$5:$A$1749,0)),"")</f>
        <v>2.0099999999999998</v>
      </c>
      <c r="K371">
        <f>IFERROR(INDEX('Green_rooibos initial weight'!$C$5:$C$1749,MATCH(I371, 'Green_rooibos initial weight'!$A$5:$A$1749,0)),"")</f>
        <v>2.2440000000000002</v>
      </c>
      <c r="L371" s="195">
        <f t="shared" si="53"/>
        <v>1.7601999999999998</v>
      </c>
      <c r="M371" s="240">
        <f>AVERAGE(Ashed_controlls!$K$1:$K$11)</f>
        <v>5.5147656768714146</v>
      </c>
      <c r="N371" s="195">
        <f t="shared" si="48"/>
        <v>1.6631290945557091</v>
      </c>
      <c r="O371" s="195">
        <f t="shared" si="54"/>
        <v>1.9942000000000002</v>
      </c>
      <c r="P371" s="240">
        <f>AVERAGE(Ashed_controlls!$K$12:$K$14)</f>
        <v>2.2816647271287041</v>
      </c>
      <c r="Q371" s="195">
        <f t="shared" si="49"/>
        <v>1.9486990420115995</v>
      </c>
      <c r="R371" s="16">
        <f>IF('Dry_Litterbag Placem_Collection'!G78="N.A","",'Dry_Litterbag Placem_Collection'!G78)</f>
        <v>43006</v>
      </c>
      <c r="S371" s="195">
        <f>IF(IFERROR(INDEX('Both teabags AfterDry'!$D$1:$D$839,MATCH(H371,'Both teabags AfterDry'!$A$1:$A$839,0)),"")="N.A","",(IFERROR(INDEX('Both teabags AfterDry'!$D$1:$D$839,MATCH(H371,'Both teabags AfterDry'!$A$1:$A$839,0)),"")))</f>
        <v>1.8379000000000001</v>
      </c>
      <c r="T371" s="195">
        <f>IF(IFERROR(INDEX('Both teabags AfterDry'!$D$1:$D$839,MATCH(I371,'Both teabags AfterDry'!$A$1:$A$839,0)),"")="N.A","",(IFERROR(INDEX('Both teabags AfterDry'!$D$1:$D$839,MATCH(I371,'Both teabags AfterDry'!$A$1:$A$839,0)),"")))</f>
        <v>2.0337999999999998</v>
      </c>
      <c r="U371" s="195">
        <f t="shared" si="55"/>
        <v>1.6873</v>
      </c>
      <c r="V371" s="195">
        <f t="shared" si="55"/>
        <v>1.8831999999999998</v>
      </c>
      <c r="W371" s="195">
        <f>IFERROR(INDEX('Ashed teabags dry'!$K$2:$K$821,MATCH(H371,'Ashed teabags dry'!$A$2:$A$821,0)),"")</f>
        <v>5.9833251593918666</v>
      </c>
      <c r="X371" s="195">
        <f>IFERROR(INDEX('Ashed teabags dry'!$K$2:$K$821,MATCH(I371,'Ashed teabags dry'!$A$2:$A$821,0)),"")</f>
        <v>3.2818532818523578</v>
      </c>
      <c r="Y371" s="195">
        <f t="shared" si="50"/>
        <v>1.586343354585581</v>
      </c>
      <c r="Z371" s="195">
        <f t="shared" si="50"/>
        <v>1.8213961389961562</v>
      </c>
      <c r="AA371" s="195">
        <f t="shared" si="56"/>
        <v>4.6169440617380819E-2</v>
      </c>
      <c r="AB371" s="195">
        <f t="shared" si="57"/>
        <v>3.0267851806168932E-2</v>
      </c>
      <c r="AC371" s="195">
        <f t="shared" si="51"/>
        <v>0.93467287648274755</v>
      </c>
      <c r="AD371">
        <f t="shared" si="52"/>
        <v>69</v>
      </c>
      <c r="AE371" s="195">
        <f t="shared" si="58"/>
        <v>0.94516693513375194</v>
      </c>
      <c r="AF371" s="195" t="str">
        <f t="shared" si="59"/>
        <v/>
      </c>
      <c r="AG371" s="255" t="str">
        <f>IF(ISNUMBER(SEARCH("C", 'Dry_Litterbag Placem_Collection'!AD78)),"YES","NO")</f>
        <v>NO</v>
      </c>
      <c r="AH371" s="255" t="str">
        <f>IF(ISNUMBER(SEARCH("H", 'Dry_Litterbag Placem_Collection'!AD78)),"YES","NO")</f>
        <v>NO</v>
      </c>
      <c r="AI371" s="255" t="str">
        <f>IF(ISNUMBER(SEARCH("R", 'Dry_Litterbag Placem_Collection'!AD78)),"YES","NO")</f>
        <v>NO</v>
      </c>
      <c r="AJ371" s="255" t="str">
        <f>IF(ISNUMBER(SEARCH("C", 'Dry_Litterbag Placem_Collection'!AC78)),"YES","NO")</f>
        <v>NO</v>
      </c>
      <c r="AK371" s="255" t="str">
        <f>IF(ISNUMBER(SEARCH("H", 'Dry_Litterbag Placem_Collection'!AC78)),"YES","NO")</f>
        <v>NO</v>
      </c>
      <c r="AL371" s="255" t="str">
        <f>IF(ISNUMBER(SEARCH("R", 'Dry_Litterbag Placem_Collection'!AC78)),"YES","NO")</f>
        <v>NO</v>
      </c>
      <c r="AR371" t="s">
        <v>1449</v>
      </c>
      <c r="AT371" t="s">
        <v>835</v>
      </c>
    </row>
    <row r="372" spans="2:46">
      <c r="B372" t="str">
        <f>'Final data_for_R_analysis_Dryse'!A518</f>
        <v>Dry</v>
      </c>
      <c r="C372" s="263">
        <f>'Final data_for_R_analysis_Dryse'!B518</f>
        <v>77</v>
      </c>
      <c r="D372" t="s">
        <v>3838</v>
      </c>
      <c r="E372" t="s">
        <v>25</v>
      </c>
      <c r="F372" s="387">
        <v>5</v>
      </c>
      <c r="G372" s="16">
        <f>'Dry_Litterbag Placem_Collection'!E79</f>
        <v>0</v>
      </c>
      <c r="H372" s="92" t="str">
        <f>'Final data_for_R_analysis_Dryse'!J518</f>
        <v/>
      </c>
      <c r="I372" t="str">
        <f>'Final data_for_R_analysis_Dryse'!J738</f>
        <v/>
      </c>
      <c r="J372" t="str">
        <f>IFERROR(INDEX('Green_rooibos initial weight'!$C$5:$C$1749,MATCH(H372, 'Green_rooibos initial weight'!$A$5:$A$1749,0)),"")</f>
        <v/>
      </c>
      <c r="K372" t="str">
        <f>IFERROR(INDEX('Green_rooibos initial weight'!$C$5:$C$1749,MATCH(I372, 'Green_rooibos initial weight'!$A$5:$A$1749,0)),"")</f>
        <v/>
      </c>
      <c r="L372" s="195" t="str">
        <f t="shared" si="53"/>
        <v/>
      </c>
      <c r="M372" s="240">
        <f>AVERAGE(Ashed_controlls!$K$1:$K$11)</f>
        <v>5.5147656768714146</v>
      </c>
      <c r="N372" s="195" t="str">
        <f t="shared" si="48"/>
        <v/>
      </c>
      <c r="O372" s="195" t="str">
        <f t="shared" si="54"/>
        <v/>
      </c>
      <c r="P372" s="240">
        <f>AVERAGE(Ashed_controlls!$K$12:$K$14)</f>
        <v>2.2816647271287041</v>
      </c>
      <c r="Q372" s="195" t="str">
        <f t="shared" si="49"/>
        <v/>
      </c>
      <c r="R372" s="16">
        <f>IF('Dry_Litterbag Placem_Collection'!G79="N.A","",'Dry_Litterbag Placem_Collection'!G79)</f>
        <v>0</v>
      </c>
      <c r="S372" s="195" t="str">
        <f>IF(IFERROR(INDEX('Both teabags AfterDry'!$D$1:$D$839,MATCH(H372,'Both teabags AfterDry'!$A$1:$A$839,0)),"")="N.A","",(IFERROR(INDEX('Both teabags AfterDry'!$D$1:$D$839,MATCH(H372,'Both teabags AfterDry'!$A$1:$A$839,0)),"")))</f>
        <v/>
      </c>
      <c r="T372" s="195" t="str">
        <f>IF(IFERROR(INDEX('Both teabags AfterDry'!$D$1:$D$839,MATCH(I372,'Both teabags AfterDry'!$A$1:$A$839,0)),"")="N.A","",(IFERROR(INDEX('Both teabags AfterDry'!$D$1:$D$839,MATCH(I372,'Both teabags AfterDry'!$A$1:$A$839,0)),"")))</f>
        <v/>
      </c>
      <c r="U372" s="195" t="str">
        <f t="shared" si="55"/>
        <v/>
      </c>
      <c r="V372" s="195" t="str">
        <f t="shared" si="55"/>
        <v/>
      </c>
      <c r="W372" s="195" t="str">
        <f>IFERROR(INDEX('Ashed teabags dry'!$K$2:$K$821,MATCH(H372,'Ashed teabags dry'!$A$2:$A$821,0)),"")</f>
        <v/>
      </c>
      <c r="X372" s="195" t="str">
        <f>IFERROR(INDEX('Ashed teabags dry'!$K$2:$K$821,MATCH(I372,'Ashed teabags dry'!$A$2:$A$821,0)),"")</f>
        <v/>
      </c>
      <c r="Y372" s="195" t="str">
        <f t="shared" si="50"/>
        <v/>
      </c>
      <c r="Z372" s="195" t="str">
        <f t="shared" si="50"/>
        <v/>
      </c>
      <c r="AA372" s="195" t="str">
        <f t="shared" si="56"/>
        <v/>
      </c>
      <c r="AB372" s="195" t="str">
        <f t="shared" si="57"/>
        <v/>
      </c>
      <c r="AC372" s="195" t="str">
        <f t="shared" si="51"/>
        <v/>
      </c>
      <c r="AD372" t="str">
        <f t="shared" si="52"/>
        <v/>
      </c>
      <c r="AE372" s="195" t="str">
        <f t="shared" si="58"/>
        <v/>
      </c>
      <c r="AF372" s="195" t="str">
        <f t="shared" si="59"/>
        <v/>
      </c>
      <c r="AG372" s="255" t="str">
        <f>IF(ISNUMBER(SEARCH("C", 'Dry_Litterbag Placem_Collection'!AD79)),"YES","NO")</f>
        <v>NO</v>
      </c>
      <c r="AH372" s="255" t="str">
        <f>IF(ISNUMBER(SEARCH("H", 'Dry_Litterbag Placem_Collection'!AD79)),"YES","NO")</f>
        <v>NO</v>
      </c>
      <c r="AI372" s="255" t="str">
        <f>IF(ISNUMBER(SEARCH("R", 'Dry_Litterbag Placem_Collection'!AD79)),"YES","NO")</f>
        <v>NO</v>
      </c>
      <c r="AJ372" s="255" t="str">
        <f>IF(ISNUMBER(SEARCH("C", 'Dry_Litterbag Placem_Collection'!AC79)),"YES","NO")</f>
        <v>NO</v>
      </c>
      <c r="AK372" s="255" t="str">
        <f>IF(ISNUMBER(SEARCH("H", 'Dry_Litterbag Placem_Collection'!AC79)),"YES","NO")</f>
        <v>NO</v>
      </c>
      <c r="AL372" s="255" t="str">
        <f>IF(ISNUMBER(SEARCH("R", 'Dry_Litterbag Placem_Collection'!AC79)),"YES","NO")</f>
        <v>NO</v>
      </c>
      <c r="AR372" t="s">
        <v>3654</v>
      </c>
      <c r="AT372" t="s">
        <v>3654</v>
      </c>
    </row>
    <row r="373" spans="2:46">
      <c r="B373" t="str">
        <f>'Final data_for_R_analysis_Dryse'!A519</f>
        <v>Dry</v>
      </c>
      <c r="C373" s="263">
        <f>'Final data_for_R_analysis_Dryse'!B519</f>
        <v>78</v>
      </c>
      <c r="D373" t="s">
        <v>3838</v>
      </c>
      <c r="E373" t="s">
        <v>25</v>
      </c>
      <c r="F373" s="387">
        <v>6</v>
      </c>
      <c r="G373" s="16">
        <f>'Dry_Litterbag Placem_Collection'!E80</f>
        <v>42937</v>
      </c>
      <c r="H373" s="92" t="str">
        <f>'Final data_for_R_analysis_Dryse'!J519</f>
        <v>G157</v>
      </c>
      <c r="I373" t="str">
        <f>'Final data_for_R_analysis_Dryse'!J739</f>
        <v>R377</v>
      </c>
      <c r="J373">
        <f>IFERROR(INDEX('Green_rooibos initial weight'!$C$5:$C$1749,MATCH(H373, 'Green_rooibos initial weight'!$A$5:$A$1749,0)),"")</f>
        <v>1.994</v>
      </c>
      <c r="K373">
        <f>IFERROR(INDEX('Green_rooibos initial weight'!$C$5:$C$1749,MATCH(I373, 'Green_rooibos initial weight'!$A$5:$A$1749,0)),"")</f>
        <v>2.2309999999999999</v>
      </c>
      <c r="L373" s="195">
        <f t="shared" si="53"/>
        <v>1.7442</v>
      </c>
      <c r="M373" s="240">
        <f>AVERAGE(Ashed_controlls!$K$1:$K$11)</f>
        <v>5.5147656768714146</v>
      </c>
      <c r="N373" s="195">
        <f t="shared" si="48"/>
        <v>1.6480114570640088</v>
      </c>
      <c r="O373" s="195">
        <f t="shared" si="54"/>
        <v>1.9811999999999999</v>
      </c>
      <c r="P373" s="240">
        <f>AVERAGE(Ashed_controlls!$K$12:$K$14)</f>
        <v>2.2816647271287041</v>
      </c>
      <c r="Q373" s="195">
        <f t="shared" si="49"/>
        <v>1.935995658426126</v>
      </c>
      <c r="R373" s="16">
        <f>IF('Dry_Litterbag Placem_Collection'!G80="N.A","",'Dry_Litterbag Placem_Collection'!G80)</f>
        <v>43006</v>
      </c>
      <c r="S373" s="195">
        <f>IF(IFERROR(INDEX('Both teabags AfterDry'!$D$1:$D$839,MATCH(H373,'Both teabags AfterDry'!$A$1:$A$839,0)),"")="N.A","",(IFERROR(INDEX('Both teabags AfterDry'!$D$1:$D$839,MATCH(H373,'Both teabags AfterDry'!$A$1:$A$839,0)),"")))</f>
        <v>1.8103</v>
      </c>
      <c r="T373" s="195">
        <f>IF(IFERROR(INDEX('Both teabags AfterDry'!$D$1:$D$839,MATCH(I373,'Both teabags AfterDry'!$A$1:$A$839,0)),"")="N.A","",(IFERROR(INDEX('Both teabags AfterDry'!$D$1:$D$839,MATCH(I373,'Both teabags AfterDry'!$A$1:$A$839,0)),"")))</f>
        <v>1.9925999999999999</v>
      </c>
      <c r="U373" s="195">
        <f t="shared" si="55"/>
        <v>1.6597</v>
      </c>
      <c r="V373" s="195">
        <f t="shared" si="55"/>
        <v>1.8419999999999999</v>
      </c>
      <c r="W373" s="195">
        <f>IFERROR(INDEX('Ashed teabags dry'!$K$2:$K$821,MATCH(H373,'Ashed teabags dry'!$A$2:$A$821,0)),"")</f>
        <v>6.3027295285366076</v>
      </c>
      <c r="X373" s="195">
        <f>IFERROR(INDEX('Ashed teabags dry'!$K$2:$K$821,MATCH(I373,'Ashed teabags dry'!$A$2:$A$821,0)),"")</f>
        <v>2.2244191794369352</v>
      </c>
      <c r="Y373" s="195">
        <f t="shared" si="50"/>
        <v>1.5550935980148779</v>
      </c>
      <c r="Z373" s="195">
        <f t="shared" si="50"/>
        <v>1.8010261987147715</v>
      </c>
      <c r="AA373" s="195">
        <f t="shared" si="56"/>
        <v>5.6381804052908269E-2</v>
      </c>
      <c r="AB373" s="195">
        <f t="shared" si="57"/>
        <v>3.6962892918296172E-2</v>
      </c>
      <c r="AC373" s="195">
        <f t="shared" si="51"/>
        <v>0.93028421364277325</v>
      </c>
      <c r="AD373">
        <f t="shared" si="52"/>
        <v>69</v>
      </c>
      <c r="AE373" s="195">
        <f t="shared" si="58"/>
        <v>0.93303823746685477</v>
      </c>
      <c r="AF373" s="195" t="str">
        <f t="shared" si="59"/>
        <v/>
      </c>
      <c r="AG373" s="255" t="str">
        <f>IF(ISNUMBER(SEARCH("C", 'Dry_Litterbag Placem_Collection'!AD80)),"YES","NO")</f>
        <v>NO</v>
      </c>
      <c r="AH373" s="255" t="str">
        <f>IF(ISNUMBER(SEARCH("H", 'Dry_Litterbag Placem_Collection'!AD80)),"YES","NO")</f>
        <v>NO</v>
      </c>
      <c r="AI373" s="255" t="str">
        <f>IF(ISNUMBER(SEARCH("R", 'Dry_Litterbag Placem_Collection'!AD80)),"YES","NO")</f>
        <v>NO</v>
      </c>
      <c r="AJ373" s="255" t="str">
        <f>IF(ISNUMBER(SEARCH("C", 'Dry_Litterbag Placem_Collection'!AC80)),"YES","NO")</f>
        <v>NO</v>
      </c>
      <c r="AK373" s="255" t="str">
        <f>IF(ISNUMBER(SEARCH("H", 'Dry_Litterbag Placem_Collection'!AC80)),"YES","NO")</f>
        <v>NO</v>
      </c>
      <c r="AL373" s="255" t="str">
        <f>IF(ISNUMBER(SEARCH("R", 'Dry_Litterbag Placem_Collection'!AC80)),"YES","NO")</f>
        <v>NO</v>
      </c>
      <c r="AR373" t="s">
        <v>1893</v>
      </c>
      <c r="AT373" t="s">
        <v>764</v>
      </c>
    </row>
    <row r="374" spans="2:46">
      <c r="B374" t="str">
        <f>'Final data_for_R_analysis_Dryse'!A520</f>
        <v>Dry</v>
      </c>
      <c r="C374" s="263">
        <f>'Final data_for_R_analysis_Dryse'!B520</f>
        <v>79</v>
      </c>
      <c r="D374" t="s">
        <v>3838</v>
      </c>
      <c r="E374" t="s">
        <v>25</v>
      </c>
      <c r="F374" s="387">
        <v>7</v>
      </c>
      <c r="G374" s="16">
        <f>'Dry_Litterbag Placem_Collection'!E81</f>
        <v>42937</v>
      </c>
      <c r="H374" s="92" t="str">
        <f>'Final data_for_R_analysis_Dryse'!J520</f>
        <v>G226</v>
      </c>
      <c r="I374" t="str">
        <f>'Final data_for_R_analysis_Dryse'!J740</f>
        <v>R61</v>
      </c>
      <c r="J374">
        <f>IFERROR(INDEX('Green_rooibos initial weight'!$C$5:$C$1749,MATCH(H374, 'Green_rooibos initial weight'!$A$5:$A$1749,0)),"")</f>
        <v>1.929</v>
      </c>
      <c r="K374">
        <f>IFERROR(INDEX('Green_rooibos initial weight'!$C$5:$C$1749,MATCH(I374, 'Green_rooibos initial weight'!$A$5:$A$1749,0)),"")</f>
        <v>2.2450000000000001</v>
      </c>
      <c r="L374" s="195">
        <f t="shared" si="53"/>
        <v>1.6792</v>
      </c>
      <c r="M374" s="240">
        <f>AVERAGE(Ashed_controlls!$K$1:$K$11)</f>
        <v>5.5147656768714146</v>
      </c>
      <c r="N374" s="195">
        <f t="shared" si="48"/>
        <v>1.5865960547539752</v>
      </c>
      <c r="O374" s="195">
        <f t="shared" si="54"/>
        <v>1.9952000000000001</v>
      </c>
      <c r="P374" s="240">
        <f>AVERAGE(Ashed_controlls!$K$12:$K$14)</f>
        <v>2.2816647271287041</v>
      </c>
      <c r="Q374" s="195">
        <f t="shared" si="49"/>
        <v>1.9496762253643283</v>
      </c>
      <c r="R374" s="16">
        <f>IF('Dry_Litterbag Placem_Collection'!G81="N.A","",'Dry_Litterbag Placem_Collection'!G81)</f>
        <v>43006</v>
      </c>
      <c r="S374" s="195">
        <f>IF(IFERROR(INDEX('Both teabags AfterDry'!$D$1:$D$839,MATCH(H374,'Both teabags AfterDry'!$A$1:$A$839,0)),"")="N.A","",(IFERROR(INDEX('Both teabags AfterDry'!$D$1:$D$839,MATCH(H374,'Both teabags AfterDry'!$A$1:$A$839,0)),"")))</f>
        <v>1.7826</v>
      </c>
      <c r="T374" s="195">
        <f>IF(IFERROR(INDEX('Both teabags AfterDry'!$D$1:$D$839,MATCH(I374,'Both teabags AfterDry'!$A$1:$A$839,0)),"")="N.A","",(IFERROR(INDEX('Both teabags AfterDry'!$D$1:$D$839,MATCH(I374,'Both teabags AfterDry'!$A$1:$A$839,0)),"")))</f>
        <v>1.9782999999999999</v>
      </c>
      <c r="U374" s="195">
        <f t="shared" si="55"/>
        <v>1.6319999999999999</v>
      </c>
      <c r="V374" s="195">
        <f t="shared" si="55"/>
        <v>1.8276999999999999</v>
      </c>
      <c r="W374" s="195">
        <f>IFERROR(INDEX('Ashed teabags dry'!$K$2:$K$821,MATCH(H374,'Ashed teabags dry'!$A$2:$A$821,0)),"")</f>
        <v>5.6047197640117146</v>
      </c>
      <c r="X374" s="195">
        <f>IFERROR(INDEX('Ashed teabags dry'!$K$2:$K$821,MATCH(I374,'Ashed teabags dry'!$A$2:$A$821,0)),"")</f>
        <v>2.8766455387618852</v>
      </c>
      <c r="Y374" s="195">
        <f t="shared" si="50"/>
        <v>1.5405309734513288</v>
      </c>
      <c r="Z374" s="195">
        <f t="shared" si="50"/>
        <v>1.7751235494880488</v>
      </c>
      <c r="AA374" s="195">
        <f t="shared" si="56"/>
        <v>2.9033906371202622E-2</v>
      </c>
      <c r="AB374" s="195">
        <f t="shared" si="57"/>
        <v>1.9034104889434526E-2</v>
      </c>
      <c r="AC374" s="195">
        <f t="shared" si="51"/>
        <v>0.91047094199260625</v>
      </c>
      <c r="AD374">
        <f t="shared" si="52"/>
        <v>69</v>
      </c>
      <c r="AE374" s="195">
        <f t="shared" si="58"/>
        <v>0.96551792592493746</v>
      </c>
      <c r="AF374" s="195" t="str">
        <f t="shared" si="59"/>
        <v/>
      </c>
      <c r="AG374" s="255" t="str">
        <f>IF(ISNUMBER(SEARCH("C", 'Dry_Litterbag Placem_Collection'!AD81)),"YES","NO")</f>
        <v>NO</v>
      </c>
      <c r="AH374" s="255" t="str">
        <f>IF(ISNUMBER(SEARCH("H", 'Dry_Litterbag Placem_Collection'!AD81)),"YES","NO")</f>
        <v>NO</v>
      </c>
      <c r="AI374" s="255" t="str">
        <f>IF(ISNUMBER(SEARCH("R", 'Dry_Litterbag Placem_Collection'!AD81)),"YES","NO")</f>
        <v>NO</v>
      </c>
      <c r="AJ374" s="255" t="str">
        <f>IF(ISNUMBER(SEARCH("C", 'Dry_Litterbag Placem_Collection'!AC81)),"YES","NO")</f>
        <v>NO</v>
      </c>
      <c r="AK374" s="255" t="str">
        <f>IF(ISNUMBER(SEARCH("H", 'Dry_Litterbag Placem_Collection'!AC81)),"YES","NO")</f>
        <v>NO</v>
      </c>
      <c r="AL374" s="255" t="str">
        <f>IF(ISNUMBER(SEARCH("R", 'Dry_Litterbag Placem_Collection'!AC81)),"YES","NO")</f>
        <v>NO</v>
      </c>
      <c r="AR374" t="s">
        <v>1824</v>
      </c>
      <c r="AT374" t="s">
        <v>1080</v>
      </c>
    </row>
    <row r="375" spans="2:46">
      <c r="B375" t="str">
        <f>'Final data_for_R_analysis_Dryse'!A521</f>
        <v>Dry</v>
      </c>
      <c r="C375" s="263">
        <f>'Final data_for_R_analysis_Dryse'!B521</f>
        <v>80</v>
      </c>
      <c r="D375" t="s">
        <v>3838</v>
      </c>
      <c r="E375" t="s">
        <v>25</v>
      </c>
      <c r="F375" s="387">
        <v>8</v>
      </c>
      <c r="G375" s="16">
        <f>'Dry_Litterbag Placem_Collection'!E82</f>
        <v>42937</v>
      </c>
      <c r="H375" s="92" t="str">
        <f>'Final data_for_R_analysis_Dryse'!J521</f>
        <v>G855</v>
      </c>
      <c r="I375" t="str">
        <f>'Final data_for_R_analysis_Dryse'!J741</f>
        <v>R620</v>
      </c>
      <c r="J375">
        <f>IFERROR(INDEX('Green_rooibos initial weight'!$C$5:$C$1749,MATCH(H375, 'Green_rooibos initial weight'!$A$5:$A$1749,0)),"")</f>
        <v>1.9570000000000001</v>
      </c>
      <c r="K375">
        <f>IFERROR(INDEX('Green_rooibos initial weight'!$C$5:$C$1749,MATCH(I375, 'Green_rooibos initial weight'!$A$5:$A$1749,0)),"")</f>
        <v>2.1800000000000002</v>
      </c>
      <c r="L375" s="195">
        <f t="shared" si="53"/>
        <v>1.7072000000000001</v>
      </c>
      <c r="M375" s="240">
        <f>AVERAGE(Ashed_controlls!$K$1:$K$11)</f>
        <v>5.5147656768714146</v>
      </c>
      <c r="N375" s="195">
        <f t="shared" si="48"/>
        <v>1.6130519203644513</v>
      </c>
      <c r="O375" s="195">
        <f t="shared" si="54"/>
        <v>1.9302000000000001</v>
      </c>
      <c r="P375" s="240">
        <f>AVERAGE(Ashed_controlls!$K$12:$K$14)</f>
        <v>2.2816647271287041</v>
      </c>
      <c r="Q375" s="195">
        <f t="shared" si="49"/>
        <v>1.8861593074369618</v>
      </c>
      <c r="R375" s="16">
        <f>IF('Dry_Litterbag Placem_Collection'!G82="N.A","",'Dry_Litterbag Placem_Collection'!G82)</f>
        <v>43006</v>
      </c>
      <c r="S375" s="195">
        <f>IF(IFERROR(INDEX('Both teabags AfterDry'!$D$1:$D$839,MATCH(H375,'Both teabags AfterDry'!$A$1:$A$839,0)),"")="N.A","",(IFERROR(INDEX('Both teabags AfterDry'!$D$1:$D$839,MATCH(H375,'Both teabags AfterDry'!$A$1:$A$839,0)),"")))</f>
        <v>1.7664</v>
      </c>
      <c r="T375" s="195">
        <f>IF(IFERROR(INDEX('Both teabags AfterDry'!$D$1:$D$839,MATCH(I375,'Both teabags AfterDry'!$A$1:$A$839,0)),"")="N.A","",(IFERROR(INDEX('Both teabags AfterDry'!$D$1:$D$839,MATCH(I375,'Both teabags AfterDry'!$A$1:$A$839,0)),"")))</f>
        <v>2.0047999999999999</v>
      </c>
      <c r="U375" s="195">
        <f t="shared" si="55"/>
        <v>1.6157999999999999</v>
      </c>
      <c r="V375" s="195">
        <f t="shared" si="55"/>
        <v>1.8541999999999998</v>
      </c>
      <c r="W375" s="195">
        <f>IFERROR(INDEX('Ashed teabags dry'!$K$2:$K$821,MATCH(H375,'Ashed teabags dry'!$A$2:$A$821,0)),"")</f>
        <v>6.0306475531388282</v>
      </c>
      <c r="X375" s="195">
        <f>IFERROR(INDEX('Ashed teabags dry'!$K$2:$K$821,MATCH(I375,'Ashed teabags dry'!$A$2:$A$821,0)),"")</f>
        <v>3.2972440944880175</v>
      </c>
      <c r="Y375" s="195">
        <f t="shared" si="50"/>
        <v>1.5183567968363827</v>
      </c>
      <c r="Z375" s="195">
        <f t="shared" si="50"/>
        <v>1.7930625000000031</v>
      </c>
      <c r="AA375" s="195">
        <f t="shared" si="56"/>
        <v>5.8705564484665351E-2</v>
      </c>
      <c r="AB375" s="195">
        <f t="shared" si="57"/>
        <v>3.8486308308236662E-2</v>
      </c>
      <c r="AC375" s="195">
        <f t="shared" si="51"/>
        <v>0.95064212918289237</v>
      </c>
      <c r="AD375">
        <f t="shared" si="52"/>
        <v>69</v>
      </c>
      <c r="AE375" s="195">
        <f t="shared" si="58"/>
        <v>0.93027842697783214</v>
      </c>
      <c r="AF375" s="195" t="str">
        <f t="shared" si="59"/>
        <v/>
      </c>
      <c r="AG375" s="255" t="str">
        <f>IF(ISNUMBER(SEARCH("C", 'Dry_Litterbag Placem_Collection'!AD82)),"YES","NO")</f>
        <v>NO</v>
      </c>
      <c r="AH375" s="255" t="str">
        <f>IF(ISNUMBER(SEARCH("H", 'Dry_Litterbag Placem_Collection'!AD82)),"YES","NO")</f>
        <v>NO</v>
      </c>
      <c r="AI375" s="255" t="str">
        <f>IF(ISNUMBER(SEARCH("R", 'Dry_Litterbag Placem_Collection'!AD82)),"YES","NO")</f>
        <v>NO</v>
      </c>
      <c r="AJ375" s="255" t="str">
        <f>IF(ISNUMBER(SEARCH("C", 'Dry_Litterbag Placem_Collection'!AC82)),"YES","NO")</f>
        <v>NO</v>
      </c>
      <c r="AK375" s="255" t="str">
        <f>IF(ISNUMBER(SEARCH("H", 'Dry_Litterbag Placem_Collection'!AC82)),"YES","NO")</f>
        <v>NO</v>
      </c>
      <c r="AL375" s="255" t="str">
        <f>IF(ISNUMBER(SEARCH("R", 'Dry_Litterbag Placem_Collection'!AC82)),"YES","NO")</f>
        <v>NO</v>
      </c>
      <c r="AR375" t="s">
        <v>1195</v>
      </c>
      <c r="AT375" t="s">
        <v>519</v>
      </c>
    </row>
    <row r="376" spans="2:46">
      <c r="B376" t="str">
        <f>'Final data_for_R_analysis_Dryse'!A522</f>
        <v>Dry</v>
      </c>
      <c r="C376" s="263">
        <f>'Final data_for_R_analysis_Dryse'!B522</f>
        <v>81</v>
      </c>
      <c r="D376" t="s">
        <v>3839</v>
      </c>
      <c r="E376" t="s">
        <v>25</v>
      </c>
      <c r="F376" s="386">
        <v>1</v>
      </c>
      <c r="G376" s="16">
        <f>'Dry_Litterbag Placem_Collection'!E83</f>
        <v>42937</v>
      </c>
      <c r="H376" s="92" t="str">
        <f>'Final data_for_R_analysis_Dryse'!J522</f>
        <v>G413</v>
      </c>
      <c r="I376" t="str">
        <f>'Final data_for_R_analysis_Dryse'!J742</f>
        <v>R366</v>
      </c>
      <c r="J376">
        <f>IFERROR(INDEX('Green_rooibos initial weight'!$C$5:$C$1749,MATCH(H376, 'Green_rooibos initial weight'!$A$5:$A$1749,0)),"")</f>
        <v>2.1589999999999998</v>
      </c>
      <c r="K376">
        <f>IFERROR(INDEX('Green_rooibos initial weight'!$C$5:$C$1749,MATCH(I376, 'Green_rooibos initial weight'!$A$5:$A$1749,0)),"")</f>
        <v>2.2330000000000001</v>
      </c>
      <c r="L376" s="195">
        <f t="shared" si="53"/>
        <v>1.9091999999999998</v>
      </c>
      <c r="M376" s="240">
        <f>AVERAGE(Ashed_controlls!$K$1:$K$11)</f>
        <v>5.5147656768714146</v>
      </c>
      <c r="N376" s="195">
        <f t="shared" si="48"/>
        <v>1.8039120936971709</v>
      </c>
      <c r="O376" s="195">
        <f t="shared" si="54"/>
        <v>1.9832000000000001</v>
      </c>
      <c r="P376" s="240">
        <f>AVERAGE(Ashed_controlls!$K$12:$K$14)</f>
        <v>2.2816647271287041</v>
      </c>
      <c r="Q376" s="195">
        <f t="shared" si="49"/>
        <v>1.9379500251315835</v>
      </c>
      <c r="R376" s="16">
        <f>IF('Dry_Litterbag Placem_Collection'!G83="N.A","",'Dry_Litterbag Placem_Collection'!G83)</f>
        <v>43006</v>
      </c>
      <c r="S376" s="195">
        <f>IF(IFERROR(INDEX('Both teabags AfterDry'!$D$1:$D$839,MATCH(H376,'Both teabags AfterDry'!$A$1:$A$839,0)),"")="N.A","",(IFERROR(INDEX('Both teabags AfterDry'!$D$1:$D$839,MATCH(H376,'Both teabags AfterDry'!$A$1:$A$839,0)),"")))</f>
        <v>1.9466000000000001</v>
      </c>
      <c r="T376" s="195">
        <f>IF(IFERROR(INDEX('Both teabags AfterDry'!$D$1:$D$839,MATCH(I376,'Both teabags AfterDry'!$A$1:$A$839,0)),"")="N.A","",(IFERROR(INDEX('Both teabags AfterDry'!$D$1:$D$839,MATCH(I376,'Both teabags AfterDry'!$A$1:$A$839,0)),"")))</f>
        <v>1.9832000000000001</v>
      </c>
      <c r="U376" s="195">
        <f t="shared" si="55"/>
        <v>1.796</v>
      </c>
      <c r="V376" s="195">
        <f t="shared" si="55"/>
        <v>1.8326</v>
      </c>
      <c r="W376" s="195">
        <f>IFERROR(INDEX('Ashed teabags dry'!$K$2:$K$821,MATCH(H376,'Ashed teabags dry'!$A$2:$A$821,0)),"")</f>
        <v>5.3246753246752787</v>
      </c>
      <c r="X376" s="195">
        <f>IFERROR(INDEX('Ashed teabags dry'!$K$2:$K$821,MATCH(I376,'Ashed teabags dry'!$A$2:$A$821,0)),"")</f>
        <v>3.3302497687320054</v>
      </c>
      <c r="Y376" s="195">
        <f t="shared" si="50"/>
        <v>1.7003688311688321</v>
      </c>
      <c r="Z376" s="195">
        <f t="shared" si="50"/>
        <v>1.7715698427382174</v>
      </c>
      <c r="AA376" s="195">
        <f t="shared" si="56"/>
        <v>5.7399283972936699E-2</v>
      </c>
      <c r="AB376" s="195">
        <f t="shared" si="57"/>
        <v>3.7629934386058245E-2</v>
      </c>
      <c r="AC376" s="195">
        <f t="shared" si="51"/>
        <v>0.91414629880248366</v>
      </c>
      <c r="AD376">
        <f t="shared" si="52"/>
        <v>69</v>
      </c>
      <c r="AE376" s="195">
        <f t="shared" si="58"/>
        <v>0.93182982901076405</v>
      </c>
      <c r="AF376" s="195" t="str">
        <f t="shared" si="59"/>
        <v/>
      </c>
      <c r="AG376" s="255" t="str">
        <f>IF(ISNUMBER(SEARCH("C", 'Dry_Litterbag Placem_Collection'!AD83)),"YES","NO")</f>
        <v>NO</v>
      </c>
      <c r="AH376" s="255" t="str">
        <f>IF(ISNUMBER(SEARCH("H", 'Dry_Litterbag Placem_Collection'!AD83)),"YES","NO")</f>
        <v>NO</v>
      </c>
      <c r="AI376" s="255" t="str">
        <f>IF(ISNUMBER(SEARCH("R", 'Dry_Litterbag Placem_Collection'!AD83)),"YES","NO")</f>
        <v>NO</v>
      </c>
      <c r="AJ376" s="255" t="str">
        <f>IF(ISNUMBER(SEARCH("C", 'Dry_Litterbag Placem_Collection'!AC83)),"YES","NO")</f>
        <v>NO</v>
      </c>
      <c r="AK376" s="255" t="str">
        <f>IF(ISNUMBER(SEARCH("H", 'Dry_Litterbag Placem_Collection'!AC83)),"YES","NO")</f>
        <v>NO</v>
      </c>
      <c r="AL376" s="255" t="str">
        <f>IF(ISNUMBER(SEARCH("R", 'Dry_Litterbag Placem_Collection'!AC83)),"YES","NO")</f>
        <v>NO</v>
      </c>
      <c r="AR376" t="s">
        <v>1637</v>
      </c>
      <c r="AT376" t="s">
        <v>775</v>
      </c>
    </row>
    <row r="377" spans="2:46">
      <c r="B377" t="str">
        <f>'Final data_for_R_analysis_Dryse'!A523</f>
        <v>Dry</v>
      </c>
      <c r="C377" s="263">
        <f>'Final data_for_R_analysis_Dryse'!B523</f>
        <v>82</v>
      </c>
      <c r="D377" t="s">
        <v>3839</v>
      </c>
      <c r="E377" t="s">
        <v>25</v>
      </c>
      <c r="F377" s="386">
        <v>2</v>
      </c>
      <c r="G377" s="16">
        <f>'Dry_Litterbag Placem_Collection'!E84</f>
        <v>42937</v>
      </c>
      <c r="H377" s="92" t="str">
        <f>'Final data_for_R_analysis_Dryse'!J523</f>
        <v>G370</v>
      </c>
      <c r="I377" t="str">
        <f>'Final data_for_R_analysis_Dryse'!J743</f>
        <v>R610</v>
      </c>
      <c r="J377">
        <f>IFERROR(INDEX('Green_rooibos initial weight'!$C$5:$C$1749,MATCH(H377, 'Green_rooibos initial weight'!$A$5:$A$1749,0)),"")</f>
        <v>2.0619999999999998</v>
      </c>
      <c r="K377">
        <f>IFERROR(INDEX('Green_rooibos initial weight'!$C$5:$C$1749,MATCH(I377, 'Green_rooibos initial weight'!$A$5:$A$1749,0)),"")</f>
        <v>2.1230000000000002</v>
      </c>
      <c r="L377" s="195">
        <f t="shared" si="53"/>
        <v>1.8121999999999998</v>
      </c>
      <c r="M377" s="240">
        <f>AVERAGE(Ashed_controlls!$K$1:$K$11)</f>
        <v>5.5147656768714146</v>
      </c>
      <c r="N377" s="195">
        <f t="shared" si="48"/>
        <v>1.712261416403736</v>
      </c>
      <c r="O377" s="195">
        <f t="shared" si="54"/>
        <v>1.8732000000000002</v>
      </c>
      <c r="P377" s="240">
        <f>AVERAGE(Ashed_controlls!$K$12:$K$14)</f>
        <v>2.2816647271287041</v>
      </c>
      <c r="Q377" s="195">
        <f t="shared" si="49"/>
        <v>1.8304598563314254</v>
      </c>
      <c r="R377" s="16">
        <f>IF('Dry_Litterbag Placem_Collection'!G84="N.A","",'Dry_Litterbag Placem_Collection'!G84)</f>
        <v>43006</v>
      </c>
      <c r="S377" s="195">
        <f>IF(IFERROR(INDEX('Both teabags AfterDry'!$D$1:$D$839,MATCH(H377,'Both teabags AfterDry'!$A$1:$A$839,0)),"")="N.A","",(IFERROR(INDEX('Both teabags AfterDry'!$D$1:$D$839,MATCH(H377,'Both teabags AfterDry'!$A$1:$A$839,0)),"")))</f>
        <v>1.8433999999999999</v>
      </c>
      <c r="T377" s="195">
        <f>IF(IFERROR(INDEX('Both teabags AfterDry'!$D$1:$D$839,MATCH(I377,'Both teabags AfterDry'!$A$1:$A$839,0)),"")="N.A","",(IFERROR(INDEX('Both teabags AfterDry'!$D$1:$D$839,MATCH(I377,'Both teabags AfterDry'!$A$1:$A$839,0)),"")))</f>
        <v>1.9097999999999999</v>
      </c>
      <c r="U377" s="195">
        <f t="shared" si="55"/>
        <v>1.6927999999999999</v>
      </c>
      <c r="V377" s="195">
        <f t="shared" si="55"/>
        <v>1.7591999999999999</v>
      </c>
      <c r="W377" s="195">
        <f>IFERROR(INDEX('Ashed teabags dry'!$K$2:$K$821,MATCH(H377,'Ashed teabags dry'!$A$2:$A$821,0)),"")</f>
        <v>5.4829185997469585</v>
      </c>
      <c r="X377" s="195">
        <f>IFERROR(INDEX('Ashed teabags dry'!$K$2:$K$821,MATCH(I377,'Ashed teabags dry'!$A$2:$A$821,0)),"")</f>
        <v>2.8992628992631118</v>
      </c>
      <c r="Y377" s="195">
        <f t="shared" si="50"/>
        <v>1.5999851539434833</v>
      </c>
      <c r="Z377" s="195">
        <f t="shared" si="50"/>
        <v>1.7081961670761632</v>
      </c>
      <c r="AA377" s="195">
        <f t="shared" si="56"/>
        <v>6.5571916405186892E-2</v>
      </c>
      <c r="AB377" s="195">
        <f t="shared" si="57"/>
        <v>4.298776467418431E-2</v>
      </c>
      <c r="AC377" s="195">
        <f t="shared" si="51"/>
        <v>0.93320602534256014</v>
      </c>
      <c r="AD377">
        <f t="shared" si="52"/>
        <v>69</v>
      </c>
      <c r="AE377" s="195">
        <f t="shared" si="58"/>
        <v>0.92212361472068061</v>
      </c>
      <c r="AF377" s="195" t="str">
        <f t="shared" si="59"/>
        <v/>
      </c>
      <c r="AG377" s="255" t="str">
        <f>IF(ISNUMBER(SEARCH("C", 'Dry_Litterbag Placem_Collection'!AD84)),"YES","NO")</f>
        <v>NO</v>
      </c>
      <c r="AH377" s="255" t="str">
        <f>IF(ISNUMBER(SEARCH("H", 'Dry_Litterbag Placem_Collection'!AD84)),"YES","NO")</f>
        <v>NO</v>
      </c>
      <c r="AI377" s="255" t="str">
        <f>IF(ISNUMBER(SEARCH("R", 'Dry_Litterbag Placem_Collection'!AD84)),"YES","NO")</f>
        <v>NO</v>
      </c>
      <c r="AJ377" s="255" t="str">
        <f>IF(ISNUMBER(SEARCH("C", 'Dry_Litterbag Placem_Collection'!AC84)),"YES","NO")</f>
        <v>NO</v>
      </c>
      <c r="AK377" s="255" t="str">
        <f>IF(ISNUMBER(SEARCH("H", 'Dry_Litterbag Placem_Collection'!AC84)),"YES","NO")</f>
        <v>NO</v>
      </c>
      <c r="AL377" s="255" t="str">
        <f>IF(ISNUMBER(SEARCH("R", 'Dry_Litterbag Placem_Collection'!AC84)),"YES","NO")</f>
        <v>NO</v>
      </c>
      <c r="AR377" t="s">
        <v>1680</v>
      </c>
      <c r="AT377" t="s">
        <v>529</v>
      </c>
    </row>
    <row r="378" spans="2:46">
      <c r="B378" t="str">
        <f>'Final data_for_R_analysis_Dryse'!A524</f>
        <v>Dry</v>
      </c>
      <c r="C378" s="263">
        <f>'Final data_for_R_analysis_Dryse'!B524</f>
        <v>83</v>
      </c>
      <c r="D378" t="s">
        <v>3839</v>
      </c>
      <c r="E378" t="s">
        <v>25</v>
      </c>
      <c r="F378" s="386">
        <v>3</v>
      </c>
      <c r="G378" s="16">
        <f>'Dry_Litterbag Placem_Collection'!E85</f>
        <v>42937</v>
      </c>
      <c r="H378" s="92" t="str">
        <f>'Final data_for_R_analysis_Dryse'!J524</f>
        <v>G879</v>
      </c>
      <c r="I378" t="str">
        <f>'Final data_for_R_analysis_Dryse'!J744</f>
        <v>R614</v>
      </c>
      <c r="J378">
        <f>IFERROR(INDEX('Green_rooibos initial weight'!$C$5:$C$1749,MATCH(H378, 'Green_rooibos initial weight'!$A$5:$A$1749,0)),"")</f>
        <v>2.09</v>
      </c>
      <c r="K378">
        <f>IFERROR(INDEX('Green_rooibos initial weight'!$C$5:$C$1749,MATCH(I378, 'Green_rooibos initial weight'!$A$5:$A$1749,0)),"")</f>
        <v>2.1459999999999999</v>
      </c>
      <c r="L378" s="195">
        <f t="shared" si="53"/>
        <v>1.8401999999999998</v>
      </c>
      <c r="M378" s="240">
        <f>AVERAGE(Ashed_controlls!$K$1:$K$11)</f>
        <v>5.5147656768714146</v>
      </c>
      <c r="N378" s="195">
        <f t="shared" si="48"/>
        <v>1.7387172820142121</v>
      </c>
      <c r="O378" s="195">
        <f t="shared" si="54"/>
        <v>1.8961999999999999</v>
      </c>
      <c r="P378" s="240">
        <f>AVERAGE(Ashed_controlls!$K$12:$K$14)</f>
        <v>2.2816647271287041</v>
      </c>
      <c r="Q378" s="195">
        <f t="shared" si="49"/>
        <v>1.8529350734441854</v>
      </c>
      <c r="R378" s="16">
        <f>IF('Dry_Litterbag Placem_Collection'!G85="N.A","",'Dry_Litterbag Placem_Collection'!G85)</f>
        <v>43006</v>
      </c>
      <c r="S378" s="195">
        <f>IF(IFERROR(INDEX('Both teabags AfterDry'!$D$1:$D$839,MATCH(H378,'Both teabags AfterDry'!$A$1:$A$839,0)),"")="N.A","",(IFERROR(INDEX('Both teabags AfterDry'!$D$1:$D$839,MATCH(H378,'Both teabags AfterDry'!$A$1:$A$839,0)),"")))</f>
        <v>1.8814</v>
      </c>
      <c r="T378" s="195">
        <f>IF(IFERROR(INDEX('Both teabags AfterDry'!$D$1:$D$839,MATCH(I378,'Both teabags AfterDry'!$A$1:$A$839,0)),"")="N.A","",(IFERROR(INDEX('Both teabags AfterDry'!$D$1:$D$839,MATCH(I378,'Both teabags AfterDry'!$A$1:$A$839,0)),"")))</f>
        <v>1.9262999999999999</v>
      </c>
      <c r="U378" s="195">
        <f t="shared" si="55"/>
        <v>1.7307999999999999</v>
      </c>
      <c r="V378" s="195">
        <f t="shared" si="55"/>
        <v>1.7756999999999998</v>
      </c>
      <c r="W378" s="195">
        <f>IFERROR(INDEX('Ashed teabags dry'!$K$2:$K$821,MATCH(H378,'Ashed teabags dry'!$A$2:$A$821,0)),"")</f>
        <v>6.0018903591673709</v>
      </c>
      <c r="X378" s="195">
        <f>IFERROR(INDEX('Ashed teabags dry'!$K$2:$K$821,MATCH(I378,'Ashed teabags dry'!$A$2:$A$821,0)),"")</f>
        <v>2.629063097514555</v>
      </c>
      <c r="Y378" s="195">
        <f t="shared" si="50"/>
        <v>1.6269192816635309</v>
      </c>
      <c r="Z378" s="195">
        <f t="shared" si="50"/>
        <v>1.729015726577434</v>
      </c>
      <c r="AA378" s="195">
        <f t="shared" si="56"/>
        <v>6.4299125284571268E-2</v>
      </c>
      <c r="AB378" s="195">
        <f t="shared" si="57"/>
        <v>4.215334579226053E-2</v>
      </c>
      <c r="AC378" s="195">
        <f t="shared" si="51"/>
        <v>0.93312267189350917</v>
      </c>
      <c r="AD378">
        <f t="shared" si="52"/>
        <v>69</v>
      </c>
      <c r="AE378" s="195">
        <f t="shared" si="58"/>
        <v>0.92363524312996281</v>
      </c>
      <c r="AF378" s="195" t="str">
        <f t="shared" si="59"/>
        <v/>
      </c>
      <c r="AG378" s="255" t="str">
        <f>IF(ISNUMBER(SEARCH("C", 'Dry_Litterbag Placem_Collection'!AD85)),"YES","NO")</f>
        <v>NO</v>
      </c>
      <c r="AH378" s="255" t="str">
        <f>IF(ISNUMBER(SEARCH("H", 'Dry_Litterbag Placem_Collection'!AD85)),"YES","NO")</f>
        <v>NO</v>
      </c>
      <c r="AI378" s="255" t="str">
        <f>IF(ISNUMBER(SEARCH("R", 'Dry_Litterbag Placem_Collection'!AD85)),"YES","NO")</f>
        <v>NO</v>
      </c>
      <c r="AJ378" s="255" t="str">
        <f>IF(ISNUMBER(SEARCH("C", 'Dry_Litterbag Placem_Collection'!AC85)),"YES","NO")</f>
        <v>NO</v>
      </c>
      <c r="AK378" s="255" t="str">
        <f>IF(ISNUMBER(SEARCH("H", 'Dry_Litterbag Placem_Collection'!AC85)),"YES","NO")</f>
        <v>NO</v>
      </c>
      <c r="AL378" s="255" t="str">
        <f>IF(ISNUMBER(SEARCH("R", 'Dry_Litterbag Placem_Collection'!AC85)),"YES","NO")</f>
        <v>NO</v>
      </c>
      <c r="AR378" t="s">
        <v>1171</v>
      </c>
      <c r="AT378" t="s">
        <v>525</v>
      </c>
    </row>
    <row r="379" spans="2:46">
      <c r="B379" t="str">
        <f>'Final data_for_R_analysis_Dryse'!A525</f>
        <v>Dry</v>
      </c>
      <c r="C379" s="263">
        <f>'Final data_for_R_analysis_Dryse'!B525</f>
        <v>84</v>
      </c>
      <c r="D379" t="s">
        <v>3839</v>
      </c>
      <c r="E379" t="s">
        <v>25</v>
      </c>
      <c r="F379" s="387">
        <v>4</v>
      </c>
      <c r="G379" s="16">
        <f>'Dry_Litterbag Placem_Collection'!E86</f>
        <v>42937</v>
      </c>
      <c r="H379" s="92" t="str">
        <f>'Final data_for_R_analysis_Dryse'!J525</f>
        <v>G854</v>
      </c>
      <c r="I379" t="str">
        <f>'Final data_for_R_analysis_Dryse'!J745</f>
        <v>R720</v>
      </c>
      <c r="J379">
        <f>IFERROR(INDEX('Green_rooibos initial weight'!$C$5:$C$1749,MATCH(H379, 'Green_rooibos initial weight'!$A$5:$A$1749,0)),"")</f>
        <v>1.998</v>
      </c>
      <c r="K379">
        <f>IFERROR(INDEX('Green_rooibos initial weight'!$C$5:$C$1749,MATCH(I379, 'Green_rooibos initial weight'!$A$5:$A$1749,0)),"")</f>
        <v>2.2080000000000002</v>
      </c>
      <c r="L379" s="195">
        <f t="shared" si="53"/>
        <v>1.7482</v>
      </c>
      <c r="M379" s="240">
        <f>AVERAGE(Ashed_controlls!$K$1:$K$11)</f>
        <v>5.5147656768714146</v>
      </c>
      <c r="N379" s="195">
        <f t="shared" si="48"/>
        <v>1.6517908664369338</v>
      </c>
      <c r="O379" s="195">
        <f t="shared" si="54"/>
        <v>1.9582000000000002</v>
      </c>
      <c r="P379" s="240">
        <f>AVERAGE(Ashed_controlls!$K$12:$K$14)</f>
        <v>2.2816647271287041</v>
      </c>
      <c r="Q379" s="195">
        <f t="shared" si="49"/>
        <v>1.913520441313366</v>
      </c>
      <c r="R379" s="16">
        <f>IF('Dry_Litterbag Placem_Collection'!G86="N.A","",'Dry_Litterbag Placem_Collection'!G86)</f>
        <v>43006</v>
      </c>
      <c r="S379" s="195">
        <f>IF(IFERROR(INDEX('Both teabags AfterDry'!$D$1:$D$839,MATCH(H379,'Both teabags AfterDry'!$A$1:$A$839,0)),"")="N.A","",(IFERROR(INDEX('Both teabags AfterDry'!$D$1:$D$839,MATCH(H379,'Both teabags AfterDry'!$A$1:$A$839,0)),"")))</f>
        <v>1.8062</v>
      </c>
      <c r="T379" s="195">
        <f>IF(IFERROR(INDEX('Both teabags AfterDry'!$D$1:$D$839,MATCH(I379,'Both teabags AfterDry'!$A$1:$A$839,0)),"")="N.A","",(IFERROR(INDEX('Both teabags AfterDry'!$D$1:$D$839,MATCH(I379,'Both teabags AfterDry'!$A$1:$A$839,0)),"")))</f>
        <v>1.9978</v>
      </c>
      <c r="U379" s="195">
        <f t="shared" si="55"/>
        <v>1.6556</v>
      </c>
      <c r="V379" s="195">
        <f t="shared" si="55"/>
        <v>1.8472</v>
      </c>
      <c r="W379" s="195">
        <f>IFERROR(INDEX('Ashed teabags dry'!$K$2:$K$821,MATCH(H379,'Ashed teabags dry'!$A$2:$A$821,0)),"")</f>
        <v>6.7607003891055024</v>
      </c>
      <c r="X379" s="195">
        <f>IFERROR(INDEX('Ashed teabags dry'!$K$2:$K$821,MATCH(I379,'Ashed teabags dry'!$A$2:$A$821,0)),"")</f>
        <v>2.5841053144808623</v>
      </c>
      <c r="Y379" s="195">
        <f t="shared" si="50"/>
        <v>1.5436698443579693</v>
      </c>
      <c r="Z379" s="195">
        <f t="shared" si="50"/>
        <v>1.7994664066309094</v>
      </c>
      <c r="AA379" s="195">
        <f t="shared" si="56"/>
        <v>6.5456847035479493E-2</v>
      </c>
      <c r="AB379" s="195">
        <f t="shared" si="57"/>
        <v>4.2912327272665869E-2</v>
      </c>
      <c r="AC379" s="195">
        <f t="shared" si="51"/>
        <v>0.94039570614454771</v>
      </c>
      <c r="AD379">
        <f t="shared" si="52"/>
        <v>69</v>
      </c>
      <c r="AE379" s="195">
        <f t="shared" si="58"/>
        <v>0.92226027667995314</v>
      </c>
      <c r="AF379" s="195" t="str">
        <f t="shared" si="59"/>
        <v/>
      </c>
      <c r="AG379" s="255" t="str">
        <f>IF(ISNUMBER(SEARCH("C", 'Dry_Litterbag Placem_Collection'!AD86)),"YES","NO")</f>
        <v>NO</v>
      </c>
      <c r="AH379" s="255" t="str">
        <f>IF(ISNUMBER(SEARCH("H", 'Dry_Litterbag Placem_Collection'!AD86)),"YES","NO")</f>
        <v>NO</v>
      </c>
      <c r="AI379" s="255" t="str">
        <f>IF(ISNUMBER(SEARCH("R", 'Dry_Litterbag Placem_Collection'!AD86)),"YES","NO")</f>
        <v>NO</v>
      </c>
      <c r="AJ379" s="255" t="str">
        <f>IF(ISNUMBER(SEARCH("C", 'Dry_Litterbag Placem_Collection'!AC86)),"YES","NO")</f>
        <v>NO</v>
      </c>
      <c r="AK379" s="255" t="str">
        <f>IF(ISNUMBER(SEARCH("H", 'Dry_Litterbag Placem_Collection'!AC86)),"YES","NO")</f>
        <v>NO</v>
      </c>
      <c r="AL379" s="255" t="str">
        <f>IF(ISNUMBER(SEARCH("R", 'Dry_Litterbag Placem_Collection'!AC86)),"YES","NO")</f>
        <v>NO</v>
      </c>
      <c r="AR379" t="s">
        <v>1196</v>
      </c>
      <c r="AT379" t="s">
        <v>419</v>
      </c>
    </row>
    <row r="380" spans="2:46">
      <c r="B380" t="str">
        <f>'Final data_for_R_analysis_Dryse'!A526</f>
        <v>Dry</v>
      </c>
      <c r="C380" s="263">
        <f>'Final data_for_R_analysis_Dryse'!B526</f>
        <v>85</v>
      </c>
      <c r="D380" t="s">
        <v>3839</v>
      </c>
      <c r="E380" t="s">
        <v>25</v>
      </c>
      <c r="F380" s="387">
        <v>5</v>
      </c>
      <c r="G380" s="16">
        <f>'Dry_Litterbag Placem_Collection'!E87</f>
        <v>0</v>
      </c>
      <c r="H380" s="92" t="str">
        <f>'Final data_for_R_analysis_Dryse'!J526</f>
        <v/>
      </c>
      <c r="I380" t="str">
        <f>'Final data_for_R_analysis_Dryse'!J746</f>
        <v/>
      </c>
      <c r="J380" t="str">
        <f>IFERROR(INDEX('Green_rooibos initial weight'!$C$5:$C$1749,MATCH(H380, 'Green_rooibos initial weight'!$A$5:$A$1749,0)),"")</f>
        <v/>
      </c>
      <c r="K380" t="str">
        <f>IFERROR(INDEX('Green_rooibos initial weight'!$C$5:$C$1749,MATCH(I380, 'Green_rooibos initial weight'!$A$5:$A$1749,0)),"")</f>
        <v/>
      </c>
      <c r="L380" s="195" t="str">
        <f t="shared" si="53"/>
        <v/>
      </c>
      <c r="M380" s="240">
        <f>AVERAGE(Ashed_controlls!$K$1:$K$11)</f>
        <v>5.5147656768714146</v>
      </c>
      <c r="N380" s="195" t="str">
        <f t="shared" si="48"/>
        <v/>
      </c>
      <c r="O380" s="195" t="str">
        <f t="shared" si="54"/>
        <v/>
      </c>
      <c r="P380" s="240">
        <f>AVERAGE(Ashed_controlls!$K$12:$K$14)</f>
        <v>2.2816647271287041</v>
      </c>
      <c r="Q380" s="195" t="str">
        <f t="shared" si="49"/>
        <v/>
      </c>
      <c r="R380" s="16">
        <f>IF('Dry_Litterbag Placem_Collection'!G87="N.A","",'Dry_Litterbag Placem_Collection'!G87)</f>
        <v>0</v>
      </c>
      <c r="S380" s="195" t="str">
        <f>IF(IFERROR(INDEX('Both teabags AfterDry'!$D$1:$D$839,MATCH(H380,'Both teabags AfterDry'!$A$1:$A$839,0)),"")="N.A","",(IFERROR(INDEX('Both teabags AfterDry'!$D$1:$D$839,MATCH(H380,'Both teabags AfterDry'!$A$1:$A$839,0)),"")))</f>
        <v/>
      </c>
      <c r="T380" s="195" t="str">
        <f>IF(IFERROR(INDEX('Both teabags AfterDry'!$D$1:$D$839,MATCH(I380,'Both teabags AfterDry'!$A$1:$A$839,0)),"")="N.A","",(IFERROR(INDEX('Both teabags AfterDry'!$D$1:$D$839,MATCH(I380,'Both teabags AfterDry'!$A$1:$A$839,0)),"")))</f>
        <v/>
      </c>
      <c r="U380" s="195" t="str">
        <f t="shared" si="55"/>
        <v/>
      </c>
      <c r="V380" s="195" t="str">
        <f t="shared" si="55"/>
        <v/>
      </c>
      <c r="W380" s="195" t="str">
        <f>IFERROR(INDEX('Ashed teabags dry'!$K$2:$K$821,MATCH(H380,'Ashed teabags dry'!$A$2:$A$821,0)),"")</f>
        <v/>
      </c>
      <c r="X380" s="195" t="str">
        <f>IFERROR(INDEX('Ashed teabags dry'!$K$2:$K$821,MATCH(I380,'Ashed teabags dry'!$A$2:$A$821,0)),"")</f>
        <v/>
      </c>
      <c r="Y380" s="195" t="str">
        <f t="shared" si="50"/>
        <v/>
      </c>
      <c r="Z380" s="195" t="str">
        <f t="shared" si="50"/>
        <v/>
      </c>
      <c r="AA380" s="195" t="str">
        <f t="shared" si="56"/>
        <v/>
      </c>
      <c r="AB380" s="195" t="str">
        <f t="shared" si="57"/>
        <v/>
      </c>
      <c r="AC380" s="195" t="str">
        <f t="shared" si="51"/>
        <v/>
      </c>
      <c r="AD380" t="str">
        <f t="shared" si="52"/>
        <v/>
      </c>
      <c r="AE380" s="195" t="str">
        <f t="shared" si="58"/>
        <v/>
      </c>
      <c r="AF380" s="195" t="str">
        <f t="shared" si="59"/>
        <v/>
      </c>
      <c r="AG380" s="255" t="str">
        <f>IF(ISNUMBER(SEARCH("C", 'Dry_Litterbag Placem_Collection'!AD87)),"YES","NO")</f>
        <v>NO</v>
      </c>
      <c r="AH380" s="255" t="str">
        <f>IF(ISNUMBER(SEARCH("H", 'Dry_Litterbag Placem_Collection'!AD87)),"YES","NO")</f>
        <v>NO</v>
      </c>
      <c r="AI380" s="255" t="str">
        <f>IF(ISNUMBER(SEARCH("R", 'Dry_Litterbag Placem_Collection'!AD87)),"YES","NO")</f>
        <v>NO</v>
      </c>
      <c r="AJ380" s="255" t="str">
        <f>IF(ISNUMBER(SEARCH("C", 'Dry_Litterbag Placem_Collection'!AC87)),"YES","NO")</f>
        <v>NO</v>
      </c>
      <c r="AK380" s="255" t="str">
        <f>IF(ISNUMBER(SEARCH("H", 'Dry_Litterbag Placem_Collection'!AC87)),"YES","NO")</f>
        <v>NO</v>
      </c>
      <c r="AL380" s="255" t="str">
        <f>IF(ISNUMBER(SEARCH("R", 'Dry_Litterbag Placem_Collection'!AC87)),"YES","NO")</f>
        <v>NO</v>
      </c>
      <c r="AR380" t="s">
        <v>3654</v>
      </c>
      <c r="AT380" t="s">
        <v>3654</v>
      </c>
    </row>
    <row r="381" spans="2:46">
      <c r="B381" t="str">
        <f>'Final data_for_R_analysis_Dryse'!A527</f>
        <v>Dry</v>
      </c>
      <c r="C381" s="263">
        <f>'Final data_for_R_analysis_Dryse'!B527</f>
        <v>86</v>
      </c>
      <c r="D381" t="s">
        <v>3839</v>
      </c>
      <c r="E381" t="s">
        <v>25</v>
      </c>
      <c r="F381" s="387">
        <v>6</v>
      </c>
      <c r="G381" s="16">
        <f>'Dry_Litterbag Placem_Collection'!E88</f>
        <v>42937</v>
      </c>
      <c r="H381" s="92" t="str">
        <f>'Final data_for_R_analysis_Dryse'!J527</f>
        <v>G788</v>
      </c>
      <c r="I381" t="str">
        <f>'Final data_for_R_analysis_Dryse'!J747</f>
        <v>R643</v>
      </c>
      <c r="J381">
        <f>IFERROR(INDEX('Green_rooibos initial weight'!$C$5:$C$1749,MATCH(H381, 'Green_rooibos initial weight'!$A$5:$A$1749,0)),"")</f>
        <v>2.0699999999999998</v>
      </c>
      <c r="K381">
        <f>IFERROR(INDEX('Green_rooibos initial weight'!$C$5:$C$1749,MATCH(I381, 'Green_rooibos initial weight'!$A$5:$A$1749,0)),"")</f>
        <v>2.1930000000000001</v>
      </c>
      <c r="L381" s="195">
        <f t="shared" si="53"/>
        <v>1.8201999999999998</v>
      </c>
      <c r="M381" s="240">
        <f>AVERAGE(Ashed_controlls!$K$1:$K$11)</f>
        <v>5.5147656768714146</v>
      </c>
      <c r="N381" s="195">
        <f t="shared" si="48"/>
        <v>1.7198202351495864</v>
      </c>
      <c r="O381" s="195">
        <f t="shared" si="54"/>
        <v>1.9432</v>
      </c>
      <c r="P381" s="240">
        <f>AVERAGE(Ashed_controlls!$K$12:$K$14)</f>
        <v>2.2816647271287041</v>
      </c>
      <c r="Q381" s="195">
        <f t="shared" si="49"/>
        <v>1.8988626910224351</v>
      </c>
      <c r="R381" s="16">
        <f>IF('Dry_Litterbag Placem_Collection'!G88="N.A","",'Dry_Litterbag Placem_Collection'!G88)</f>
        <v>43006</v>
      </c>
      <c r="S381" s="195" t="str">
        <f>IF(IFERROR(INDEX('Both teabags AfterDry'!$D$1:$D$839,MATCH(H381,'Both teabags AfterDry'!$A$1:$A$839,0)),"")="N.A","",(IFERROR(INDEX('Both teabags AfterDry'!$D$1:$D$839,MATCH(H381,'Both teabags AfterDry'!$A$1:$A$839,0)),"")))</f>
        <v/>
      </c>
      <c r="T381" s="195" t="str">
        <f>IF(IFERROR(INDEX('Both teabags AfterDry'!$D$1:$D$839,MATCH(I381,'Both teabags AfterDry'!$A$1:$A$839,0)),"")="N.A","",(IFERROR(INDEX('Both teabags AfterDry'!$D$1:$D$839,MATCH(I381,'Both teabags AfterDry'!$A$1:$A$839,0)),"")))</f>
        <v/>
      </c>
      <c r="U381" s="195" t="str">
        <f t="shared" si="55"/>
        <v/>
      </c>
      <c r="V381" s="195" t="str">
        <f t="shared" si="55"/>
        <v/>
      </c>
      <c r="W381" s="195" t="str">
        <f>IFERROR(INDEX('Ashed teabags dry'!$K$2:$K$821,MATCH(H381,'Ashed teabags dry'!$A$2:$A$821,0)),"")</f>
        <v/>
      </c>
      <c r="X381" s="195" t="str">
        <f>IFERROR(INDEX('Ashed teabags dry'!$K$2:$K$821,MATCH(I381,'Ashed teabags dry'!$A$2:$A$821,0)),"")</f>
        <v/>
      </c>
      <c r="Y381" s="195" t="str">
        <f t="shared" si="50"/>
        <v/>
      </c>
      <c r="Z381" s="195" t="str">
        <f t="shared" si="50"/>
        <v/>
      </c>
      <c r="AA381" s="195" t="str">
        <f t="shared" si="56"/>
        <v/>
      </c>
      <c r="AB381" s="195" t="str">
        <f t="shared" si="57"/>
        <v/>
      </c>
      <c r="AC381" s="195" t="str">
        <f t="shared" si="51"/>
        <v/>
      </c>
      <c r="AD381">
        <f t="shared" si="52"/>
        <v>69</v>
      </c>
      <c r="AE381" s="195" t="str">
        <f t="shared" si="58"/>
        <v/>
      </c>
      <c r="AF381" s="195" t="str">
        <f t="shared" si="59"/>
        <v/>
      </c>
      <c r="AG381" s="255" t="str">
        <f>IF(ISNUMBER(SEARCH("C", 'Dry_Litterbag Placem_Collection'!AD88)),"YES","NO")</f>
        <v>NO</v>
      </c>
      <c r="AH381" s="255" t="str">
        <f>IF(ISNUMBER(SEARCH("H", 'Dry_Litterbag Placem_Collection'!AD88)),"YES","NO")</f>
        <v>NO</v>
      </c>
      <c r="AI381" s="255" t="str">
        <f>IF(ISNUMBER(SEARCH("R", 'Dry_Litterbag Placem_Collection'!AD88)),"YES","NO")</f>
        <v>NO</v>
      </c>
      <c r="AJ381" s="255" t="str">
        <f>IF(ISNUMBER(SEARCH("C", 'Dry_Litterbag Placem_Collection'!AC88)),"YES","NO")</f>
        <v>NO</v>
      </c>
      <c r="AK381" s="255" t="str">
        <f>IF(ISNUMBER(SEARCH("H", 'Dry_Litterbag Placem_Collection'!AC88)),"YES","NO")</f>
        <v>NO</v>
      </c>
      <c r="AL381" s="255" t="str">
        <f>IF(ISNUMBER(SEARCH("R", 'Dry_Litterbag Placem_Collection'!AC88)),"YES","NO")</f>
        <v>NO</v>
      </c>
      <c r="AR381" t="s">
        <v>1262</v>
      </c>
      <c r="AT381" t="s">
        <v>496</v>
      </c>
    </row>
    <row r="382" spans="2:46">
      <c r="B382" t="str">
        <f>'Final data_for_R_analysis_Dryse'!A528</f>
        <v>Dry</v>
      </c>
      <c r="C382" s="263">
        <f>'Final data_for_R_analysis_Dryse'!B528</f>
        <v>87</v>
      </c>
      <c r="D382" t="s">
        <v>3839</v>
      </c>
      <c r="E382" t="s">
        <v>25</v>
      </c>
      <c r="F382" s="387">
        <v>7</v>
      </c>
      <c r="G382" s="16">
        <f>'Dry_Litterbag Placem_Collection'!E89</f>
        <v>42937</v>
      </c>
      <c r="H382" s="92" t="str">
        <f>'Final data_for_R_analysis_Dryse'!J528</f>
        <v>G91</v>
      </c>
      <c r="I382" t="str">
        <f>'Final data_for_R_analysis_Dryse'!J748</f>
        <v>R277</v>
      </c>
      <c r="J382">
        <f>IFERROR(INDEX('Green_rooibos initial weight'!$C$5:$C$1749,MATCH(H382, 'Green_rooibos initial weight'!$A$5:$A$1749,0)),"")</f>
        <v>2.044</v>
      </c>
      <c r="K382">
        <f>IFERROR(INDEX('Green_rooibos initial weight'!$C$5:$C$1749,MATCH(I382, 'Green_rooibos initial weight'!$A$5:$A$1749,0)),"")</f>
        <v>2.1949999999999998</v>
      </c>
      <c r="L382" s="195">
        <f t="shared" si="53"/>
        <v>1.7942</v>
      </c>
      <c r="M382" s="240">
        <f>AVERAGE(Ashed_controlls!$K$1:$K$11)</f>
        <v>5.5147656768714146</v>
      </c>
      <c r="N382" s="195">
        <f t="shared" si="48"/>
        <v>1.6952540742255731</v>
      </c>
      <c r="O382" s="195">
        <f t="shared" si="54"/>
        <v>1.9451999999999998</v>
      </c>
      <c r="P382" s="240">
        <f>AVERAGE(Ashed_controlls!$K$12:$K$14)</f>
        <v>2.2816647271287041</v>
      </c>
      <c r="Q382" s="195">
        <f t="shared" si="49"/>
        <v>1.9008170577278922</v>
      </c>
      <c r="R382" s="16">
        <f>IF('Dry_Litterbag Placem_Collection'!G89="N.A","",'Dry_Litterbag Placem_Collection'!G89)</f>
        <v>43006</v>
      </c>
      <c r="S382" s="195">
        <f>IF(IFERROR(INDEX('Both teabags AfterDry'!$D$1:$D$839,MATCH(H382,'Both teabags AfterDry'!$A$1:$A$839,0)),"")="N.A","",(IFERROR(INDEX('Both teabags AfterDry'!$D$1:$D$839,MATCH(H382,'Both teabags AfterDry'!$A$1:$A$839,0)),"")))</f>
        <v>1.8609</v>
      </c>
      <c r="T382" s="195">
        <f>IF(IFERROR(INDEX('Both teabags AfterDry'!$D$1:$D$839,MATCH(I382,'Both teabags AfterDry'!$A$1:$A$839,0)),"")="N.A","",(IFERROR(INDEX('Both teabags AfterDry'!$D$1:$D$839,MATCH(I382,'Both teabags AfterDry'!$A$1:$A$839,0)),"")))</f>
        <v>1.9473</v>
      </c>
      <c r="U382" s="195">
        <f t="shared" si="55"/>
        <v>1.7102999999999999</v>
      </c>
      <c r="V382" s="195">
        <f t="shared" si="55"/>
        <v>1.7967</v>
      </c>
      <c r="W382" s="195">
        <f>IFERROR(INDEX('Ashed teabags dry'!$K$2:$K$821,MATCH(H382,'Ashed teabags dry'!$A$2:$A$821,0)),"")</f>
        <v>5.6727613689638741</v>
      </c>
      <c r="X382" s="195">
        <f>IFERROR(INDEX('Ashed teabags dry'!$K$2:$K$821,MATCH(I382,'Ashed teabags dry'!$A$2:$A$821,0)),"")</f>
        <v>2.1385402138541729</v>
      </c>
      <c r="Y382" s="195">
        <f t="shared" si="50"/>
        <v>1.6132787623066107</v>
      </c>
      <c r="Z382" s="195">
        <f t="shared" si="50"/>
        <v>1.758276847977682</v>
      </c>
      <c r="AA382" s="195">
        <f t="shared" si="56"/>
        <v>4.8355767530840699E-2</v>
      </c>
      <c r="AB382" s="195">
        <f t="shared" si="57"/>
        <v>3.1701168262498913E-2</v>
      </c>
      <c r="AC382" s="195">
        <f t="shared" si="51"/>
        <v>0.92501108448564051</v>
      </c>
      <c r="AD382">
        <f t="shared" si="52"/>
        <v>69</v>
      </c>
      <c r="AE382" s="195">
        <f t="shared" si="58"/>
        <v>0.94257034735054546</v>
      </c>
      <c r="AF382" s="195" t="str">
        <f t="shared" si="59"/>
        <v/>
      </c>
      <c r="AG382" s="255" t="str">
        <f>IF(ISNUMBER(SEARCH("C", 'Dry_Litterbag Placem_Collection'!AD89)),"YES","NO")</f>
        <v>NO</v>
      </c>
      <c r="AH382" s="255" t="str">
        <f>IF(ISNUMBER(SEARCH("H", 'Dry_Litterbag Placem_Collection'!AD89)),"YES","NO")</f>
        <v>NO</v>
      </c>
      <c r="AI382" s="255" t="str">
        <f>IF(ISNUMBER(SEARCH("R", 'Dry_Litterbag Placem_Collection'!AD89)),"YES","NO")</f>
        <v>NO</v>
      </c>
      <c r="AJ382" s="255" t="str">
        <f>IF(ISNUMBER(SEARCH("C", 'Dry_Litterbag Placem_Collection'!AC89)),"YES","NO")</f>
        <v>NO</v>
      </c>
      <c r="AK382" s="255" t="str">
        <f>IF(ISNUMBER(SEARCH("H", 'Dry_Litterbag Placem_Collection'!AC89)),"YES","NO")</f>
        <v>NO</v>
      </c>
      <c r="AL382" s="255" t="str">
        <f>IF(ISNUMBER(SEARCH("R", 'Dry_Litterbag Placem_Collection'!AC89)),"YES","NO")</f>
        <v>NO</v>
      </c>
      <c r="AR382" t="s">
        <v>1959</v>
      </c>
      <c r="AT382" t="s">
        <v>864</v>
      </c>
    </row>
    <row r="383" spans="2:46">
      <c r="B383" t="str">
        <f>'Final data_for_R_analysis_Dryse'!A529</f>
        <v>Dry</v>
      </c>
      <c r="C383" s="263">
        <f>'Final data_for_R_analysis_Dryse'!B529</f>
        <v>88</v>
      </c>
      <c r="D383" t="s">
        <v>3839</v>
      </c>
      <c r="E383" t="s">
        <v>25</v>
      </c>
      <c r="F383" s="387">
        <v>8</v>
      </c>
      <c r="G383" s="16">
        <f>'Dry_Litterbag Placem_Collection'!E90</f>
        <v>42937</v>
      </c>
      <c r="H383" s="92" t="str">
        <f>'Final data_for_R_analysis_Dryse'!J529</f>
        <v>G364</v>
      </c>
      <c r="I383" t="str">
        <f>'Final data_for_R_analysis_Dryse'!J749</f>
        <v>R197</v>
      </c>
      <c r="J383">
        <f>IFERROR(INDEX('Green_rooibos initial weight'!$C$5:$C$1749,MATCH(H383, 'Green_rooibos initial weight'!$A$5:$A$1749,0)),"")</f>
        <v>2.0569999999999999</v>
      </c>
      <c r="K383">
        <f>IFERROR(INDEX('Green_rooibos initial weight'!$C$5:$C$1749,MATCH(I383, 'Green_rooibos initial weight'!$A$5:$A$1749,0)),"")</f>
        <v>2.2330000000000001</v>
      </c>
      <c r="L383" s="195">
        <f t="shared" si="53"/>
        <v>1.8071999999999999</v>
      </c>
      <c r="M383" s="240">
        <f>AVERAGE(Ashed_controlls!$K$1:$K$11)</f>
        <v>5.5147656768714146</v>
      </c>
      <c r="N383" s="195">
        <f t="shared" si="48"/>
        <v>1.7075371546875797</v>
      </c>
      <c r="O383" s="195">
        <f t="shared" si="54"/>
        <v>1.9832000000000001</v>
      </c>
      <c r="P383" s="240">
        <f>AVERAGE(Ashed_controlls!$K$12:$K$14)</f>
        <v>2.2816647271287041</v>
      </c>
      <c r="Q383" s="195">
        <f t="shared" si="49"/>
        <v>1.9379500251315835</v>
      </c>
      <c r="R383" s="16">
        <f>IF('Dry_Litterbag Placem_Collection'!G90="N.A","",'Dry_Litterbag Placem_Collection'!G90)</f>
        <v>43006</v>
      </c>
      <c r="S383" s="195">
        <f>IF(IFERROR(INDEX('Both teabags AfterDry'!$D$1:$D$839,MATCH(H383,'Both teabags AfterDry'!$A$1:$A$839,0)),"")="N.A","",(IFERROR(INDEX('Both teabags AfterDry'!$D$1:$D$839,MATCH(H383,'Both teabags AfterDry'!$A$1:$A$839,0)),"")))</f>
        <v>1.8589</v>
      </c>
      <c r="T383" s="195">
        <f>IF(IFERROR(INDEX('Both teabags AfterDry'!$D$1:$D$839,MATCH(I383,'Both teabags AfterDry'!$A$1:$A$839,0)),"")="N.A","",(IFERROR(INDEX('Both teabags AfterDry'!$D$1:$D$839,MATCH(I383,'Both teabags AfterDry'!$A$1:$A$839,0)),"")))</f>
        <v>1.9945999999999999</v>
      </c>
      <c r="U383" s="195">
        <f t="shared" si="55"/>
        <v>1.7082999999999999</v>
      </c>
      <c r="V383" s="195">
        <f t="shared" si="55"/>
        <v>1.8439999999999999</v>
      </c>
      <c r="W383" s="195">
        <f>IFERROR(INDEX('Ashed teabags dry'!$K$2:$K$821,MATCH(H383,'Ashed teabags dry'!$A$2:$A$821,0)),"")</f>
        <v>6.3441350981288833</v>
      </c>
      <c r="X383" s="195">
        <f>IFERROR(INDEX('Ashed teabags dry'!$K$2:$K$821,MATCH(I383,'Ashed teabags dry'!$A$2:$A$821,0)),"")</f>
        <v>1.9186843307443828</v>
      </c>
      <c r="Y383" s="195">
        <f t="shared" si="50"/>
        <v>1.5999231401186642</v>
      </c>
      <c r="Z383" s="195">
        <f t="shared" si="50"/>
        <v>1.8086194609410735</v>
      </c>
      <c r="AA383" s="195">
        <f t="shared" si="56"/>
        <v>6.3022941710808689E-2</v>
      </c>
      <c r="AB383" s="195">
        <f t="shared" si="57"/>
        <v>4.1316702879295036E-2</v>
      </c>
      <c r="AC383" s="195">
        <f t="shared" si="51"/>
        <v>0.93326424184662415</v>
      </c>
      <c r="AD383">
        <f t="shared" si="52"/>
        <v>69</v>
      </c>
      <c r="AE383" s="195">
        <f t="shared" si="58"/>
        <v>0.92515090058098726</v>
      </c>
      <c r="AF383" s="195" t="str">
        <f t="shared" si="59"/>
        <v/>
      </c>
      <c r="AG383" s="255" t="str">
        <f>IF(ISNUMBER(SEARCH("C", 'Dry_Litterbag Placem_Collection'!AD90)),"YES","NO")</f>
        <v>NO</v>
      </c>
      <c r="AH383" s="255" t="str">
        <f>IF(ISNUMBER(SEARCH("H", 'Dry_Litterbag Placem_Collection'!AD90)),"YES","NO")</f>
        <v>NO</v>
      </c>
      <c r="AI383" s="255" t="str">
        <f>IF(ISNUMBER(SEARCH("R", 'Dry_Litterbag Placem_Collection'!AD90)),"YES","NO")</f>
        <v>NO</v>
      </c>
      <c r="AJ383" s="255" t="str">
        <f>IF(ISNUMBER(SEARCH("C", 'Dry_Litterbag Placem_Collection'!AC90)),"YES","NO")</f>
        <v>NO</v>
      </c>
      <c r="AK383" s="255" t="str">
        <f>IF(ISNUMBER(SEARCH("H", 'Dry_Litterbag Placem_Collection'!AC90)),"YES","NO")</f>
        <v>NO</v>
      </c>
      <c r="AL383" s="255" t="str">
        <f>IF(ISNUMBER(SEARCH("R", 'Dry_Litterbag Placem_Collection'!AC90)),"YES","NO")</f>
        <v>NO</v>
      </c>
      <c r="AR383" t="s">
        <v>1686</v>
      </c>
      <c r="AT383" t="s">
        <v>944</v>
      </c>
    </row>
    <row r="384" spans="2:46">
      <c r="B384" t="str">
        <f>'Final data_for_R_analysis_Dryse'!A530</f>
        <v>Dry</v>
      </c>
      <c r="C384" s="263">
        <f>'Final data_for_R_analysis_Dryse'!B530</f>
        <v>89</v>
      </c>
      <c r="D384" t="s">
        <v>3840</v>
      </c>
      <c r="E384" t="s">
        <v>25</v>
      </c>
      <c r="F384" s="386">
        <v>1</v>
      </c>
      <c r="G384" s="16">
        <f>'Dry_Litterbag Placem_Collection'!E91</f>
        <v>42937</v>
      </c>
      <c r="H384" s="92" t="str">
        <f>'Final data_for_R_analysis_Dryse'!J530</f>
        <v>G862</v>
      </c>
      <c r="I384" t="str">
        <f>'Final data_for_R_analysis_Dryse'!J750</f>
        <v>R841</v>
      </c>
      <c r="J384">
        <f>IFERROR(INDEX('Green_rooibos initial weight'!$C$5:$C$1749,MATCH(H384, 'Green_rooibos initial weight'!$A$5:$A$1749,0)),"")</f>
        <v>1.996</v>
      </c>
      <c r="K384">
        <f>IFERROR(INDEX('Green_rooibos initial weight'!$C$5:$C$1749,MATCH(I384, 'Green_rooibos initial weight'!$A$5:$A$1749,0)),"")</f>
        <v>2.13</v>
      </c>
      <c r="L384" s="195">
        <f t="shared" si="53"/>
        <v>1.7462</v>
      </c>
      <c r="M384" s="240">
        <f>AVERAGE(Ashed_controlls!$K$1:$K$11)</f>
        <v>5.5147656768714146</v>
      </c>
      <c r="N384" s="195">
        <f t="shared" si="48"/>
        <v>1.6499011617504713</v>
      </c>
      <c r="O384" s="195">
        <f t="shared" si="54"/>
        <v>1.8801999999999999</v>
      </c>
      <c r="P384" s="240">
        <f>AVERAGE(Ashed_controlls!$K$12:$K$14)</f>
        <v>2.2816647271287041</v>
      </c>
      <c r="Q384" s="195">
        <f t="shared" si="49"/>
        <v>1.837300139800526</v>
      </c>
      <c r="R384" s="16">
        <f>IF('Dry_Litterbag Placem_Collection'!G91="N.A","",'Dry_Litterbag Placem_Collection'!G91)</f>
        <v>43006</v>
      </c>
      <c r="S384" s="195">
        <f>IF(IFERROR(INDEX('Both teabags AfterDry'!$D$1:$D$839,MATCH(H384,'Both teabags AfterDry'!$A$1:$A$839,0)),"")="N.A","",(IFERROR(INDEX('Both teabags AfterDry'!$D$1:$D$839,MATCH(H384,'Both teabags AfterDry'!$A$1:$A$839,0)),"")))</f>
        <v>1.8160000000000001</v>
      </c>
      <c r="T384" s="195">
        <f>IF(IFERROR(INDEX('Both teabags AfterDry'!$D$1:$D$839,MATCH(I384,'Both teabags AfterDry'!$A$1:$A$839,0)),"")="N.A","",(IFERROR(INDEX('Both teabags AfterDry'!$D$1:$D$839,MATCH(I384,'Both teabags AfterDry'!$A$1:$A$839,0)),"")))</f>
        <v>1.9592000000000001</v>
      </c>
      <c r="U384" s="195">
        <f t="shared" si="55"/>
        <v>1.6654</v>
      </c>
      <c r="V384" s="195">
        <f t="shared" si="55"/>
        <v>1.8086</v>
      </c>
      <c r="W384" s="195">
        <f>IFERROR(INDEX('Ashed teabags dry'!$K$2:$K$821,MATCH(H384,'Ashed teabags dry'!$A$2:$A$821,0)),"")</f>
        <v>6.0205580029367782</v>
      </c>
      <c r="X384" s="195" t="str">
        <f>IFERROR(INDEX('Ashed teabags dry'!$K$2:$K$821,MATCH(I384,'Ashed teabags dry'!$A$2:$A$821,0)),"")</f>
        <v/>
      </c>
      <c r="Y384" s="195">
        <f t="shared" si="50"/>
        <v>1.565133627019091</v>
      </c>
      <c r="Z384" s="195" t="str">
        <f t="shared" si="50"/>
        <v/>
      </c>
      <c r="AA384" s="195">
        <f t="shared" si="56"/>
        <v>5.137734107747749E-2</v>
      </c>
      <c r="AB384" s="195">
        <f t="shared" si="57"/>
        <v>3.368205733345319E-2</v>
      </c>
      <c r="AC384" s="195" t="str">
        <f t="shared" si="51"/>
        <v/>
      </c>
      <c r="AD384">
        <f t="shared" si="52"/>
        <v>69</v>
      </c>
      <c r="AE384" s="195">
        <f t="shared" si="58"/>
        <v>0.93898178019301959</v>
      </c>
      <c r="AF384" s="195" t="str">
        <f t="shared" si="59"/>
        <v/>
      </c>
      <c r="AG384" s="255" t="str">
        <f>IF(ISNUMBER(SEARCH("C", 'Dry_Litterbag Placem_Collection'!AD91)),"YES","NO")</f>
        <v>NO</v>
      </c>
      <c r="AH384" s="255" t="str">
        <f>IF(ISNUMBER(SEARCH("H", 'Dry_Litterbag Placem_Collection'!AD91)),"YES","NO")</f>
        <v>NO</v>
      </c>
      <c r="AI384" s="255" t="str">
        <f>IF(ISNUMBER(SEARCH("R", 'Dry_Litterbag Placem_Collection'!AD91)),"YES","NO")</f>
        <v>NO</v>
      </c>
      <c r="AJ384" s="255" t="str">
        <f>IF(ISNUMBER(SEARCH("C", 'Dry_Litterbag Placem_Collection'!AC91)),"YES","NO")</f>
        <v>NO</v>
      </c>
      <c r="AK384" s="255" t="str">
        <f>IF(ISNUMBER(SEARCH("H", 'Dry_Litterbag Placem_Collection'!AC91)),"YES","NO")</f>
        <v>NO</v>
      </c>
      <c r="AL384" s="255" t="str">
        <f>IF(ISNUMBER(SEARCH("R", 'Dry_Litterbag Placem_Collection'!AC91)),"YES","NO")</f>
        <v>NO</v>
      </c>
      <c r="AR384" t="s">
        <v>1188</v>
      </c>
      <c r="AT384" t="s">
        <v>539</v>
      </c>
    </row>
    <row r="385" spans="2:46">
      <c r="B385" t="str">
        <f>'Final data_for_R_analysis_Dryse'!A531</f>
        <v>Dry</v>
      </c>
      <c r="C385" s="263">
        <f>'Final data_for_R_analysis_Dryse'!B531</f>
        <v>90</v>
      </c>
      <c r="D385" t="s">
        <v>3840</v>
      </c>
      <c r="E385" t="s">
        <v>25</v>
      </c>
      <c r="F385" s="386">
        <v>2</v>
      </c>
      <c r="G385" s="16">
        <f>'Dry_Litterbag Placem_Collection'!E92</f>
        <v>42937</v>
      </c>
      <c r="H385" s="92" t="str">
        <f>'Final data_for_R_analysis_Dryse'!J531</f>
        <v>G330</v>
      </c>
      <c r="I385" t="str">
        <f>'Final data_for_R_analysis_Dryse'!J751</f>
        <v>R220</v>
      </c>
      <c r="J385">
        <f>IFERROR(INDEX('Green_rooibos initial weight'!$C$5:$C$1749,MATCH(H385, 'Green_rooibos initial weight'!$A$5:$A$1749,0)),"")</f>
        <v>2.1379999999999999</v>
      </c>
      <c r="K385">
        <f>IFERROR(INDEX('Green_rooibos initial weight'!$C$5:$C$1749,MATCH(I385, 'Green_rooibos initial weight'!$A$5:$A$1749,0)),"")</f>
        <v>2.2269999999999999</v>
      </c>
      <c r="L385" s="195">
        <f t="shared" si="53"/>
        <v>1.8881999999999999</v>
      </c>
      <c r="M385" s="240">
        <f>AVERAGE(Ashed_controlls!$K$1:$K$11)</f>
        <v>5.5147656768714146</v>
      </c>
      <c r="N385" s="195">
        <f t="shared" si="48"/>
        <v>1.7840701944893138</v>
      </c>
      <c r="O385" s="195">
        <f t="shared" si="54"/>
        <v>1.9771999999999998</v>
      </c>
      <c r="P385" s="240">
        <f>AVERAGE(Ashed_controlls!$K$12:$K$14)</f>
        <v>2.2816647271287041</v>
      </c>
      <c r="Q385" s="195">
        <f t="shared" si="49"/>
        <v>1.9320869250152111</v>
      </c>
      <c r="R385" s="16">
        <f>IF('Dry_Litterbag Placem_Collection'!G92="N.A","",'Dry_Litterbag Placem_Collection'!G92)</f>
        <v>43006</v>
      </c>
      <c r="S385" s="195" t="str">
        <f>IF(IFERROR(INDEX('Both teabags AfterDry'!$D$1:$D$839,MATCH(H385,'Both teabags AfterDry'!$A$1:$A$839,0)),"")="N.A","",(IFERROR(INDEX('Both teabags AfterDry'!$D$1:$D$839,MATCH(H385,'Both teabags AfterDry'!$A$1:$A$839,0)),"")))</f>
        <v/>
      </c>
      <c r="T385" s="195" t="str">
        <f>IF(IFERROR(INDEX('Both teabags AfterDry'!$D$1:$D$839,MATCH(I385,'Both teabags AfterDry'!$A$1:$A$839,0)),"")="N.A","",(IFERROR(INDEX('Both teabags AfterDry'!$D$1:$D$839,MATCH(I385,'Both teabags AfterDry'!$A$1:$A$839,0)),"")))</f>
        <v/>
      </c>
      <c r="U385" s="195" t="str">
        <f t="shared" si="55"/>
        <v/>
      </c>
      <c r="V385" s="195" t="str">
        <f t="shared" si="55"/>
        <v/>
      </c>
      <c r="W385" s="195" t="str">
        <f>IFERROR(INDEX('Ashed teabags dry'!$K$2:$K$821,MATCH(H385,'Ashed teabags dry'!$A$2:$A$821,0)),"")</f>
        <v/>
      </c>
      <c r="X385" s="195" t="str">
        <f>IFERROR(INDEX('Ashed teabags dry'!$K$2:$K$821,MATCH(I385,'Ashed teabags dry'!$A$2:$A$821,0)),"")</f>
        <v/>
      </c>
      <c r="Y385" s="195" t="str">
        <f t="shared" si="50"/>
        <v/>
      </c>
      <c r="Z385" s="195" t="str">
        <f t="shared" si="50"/>
        <v/>
      </c>
      <c r="AA385" s="195" t="str">
        <f t="shared" si="56"/>
        <v/>
      </c>
      <c r="AB385" s="195" t="str">
        <f t="shared" si="57"/>
        <v/>
      </c>
      <c r="AC385" s="195" t="str">
        <f t="shared" si="51"/>
        <v/>
      </c>
      <c r="AD385">
        <f t="shared" si="52"/>
        <v>69</v>
      </c>
      <c r="AE385" s="195" t="str">
        <f t="shared" si="58"/>
        <v/>
      </c>
      <c r="AF385" s="195" t="str">
        <f t="shared" si="59"/>
        <v/>
      </c>
      <c r="AG385" s="255" t="str">
        <f>IF(ISNUMBER(SEARCH("C", 'Dry_Litterbag Placem_Collection'!AD92)),"YES","NO")</f>
        <v>NO</v>
      </c>
      <c r="AH385" s="255" t="str">
        <f>IF(ISNUMBER(SEARCH("H", 'Dry_Litterbag Placem_Collection'!AD92)),"YES","NO")</f>
        <v>NO</v>
      </c>
      <c r="AI385" s="255" t="str">
        <f>IF(ISNUMBER(SEARCH("R", 'Dry_Litterbag Placem_Collection'!AD92)),"YES","NO")</f>
        <v>NO</v>
      </c>
      <c r="AJ385" s="255" t="str">
        <f>IF(ISNUMBER(SEARCH("C", 'Dry_Litterbag Placem_Collection'!AC92)),"YES","NO")</f>
        <v>NO</v>
      </c>
      <c r="AK385" s="255" t="str">
        <f>IF(ISNUMBER(SEARCH("H", 'Dry_Litterbag Placem_Collection'!AC92)),"YES","NO")</f>
        <v>NO</v>
      </c>
      <c r="AL385" s="255" t="str">
        <f>IF(ISNUMBER(SEARCH("R", 'Dry_Litterbag Placem_Collection'!AC92)),"YES","NO")</f>
        <v>NO</v>
      </c>
      <c r="AR385" t="s">
        <v>1720</v>
      </c>
      <c r="AT385" t="s">
        <v>921</v>
      </c>
    </row>
    <row r="386" spans="2:46">
      <c r="B386" t="str">
        <f>'Final data_for_R_analysis_Dryse'!A532</f>
        <v>Dry</v>
      </c>
      <c r="C386" s="263">
        <f>'Final data_for_R_analysis_Dryse'!B532</f>
        <v>91</v>
      </c>
      <c r="D386" t="s">
        <v>3840</v>
      </c>
      <c r="E386" t="s">
        <v>25</v>
      </c>
      <c r="F386" s="386">
        <v>3</v>
      </c>
      <c r="G386" s="16">
        <f>'Dry_Litterbag Placem_Collection'!E93</f>
        <v>42937</v>
      </c>
      <c r="H386" s="92" t="str">
        <f>'Final data_for_R_analysis_Dryse'!J532</f>
        <v>G596</v>
      </c>
      <c r="I386" t="str">
        <f>'Final data_for_R_analysis_Dryse'!J752</f>
        <v>R659</v>
      </c>
      <c r="J386">
        <f>IFERROR(INDEX('Green_rooibos initial weight'!$C$5:$C$1749,MATCH(H386, 'Green_rooibos initial weight'!$A$5:$A$1749,0)),"")</f>
        <v>2.0179999999999998</v>
      </c>
      <c r="K386">
        <f>IFERROR(INDEX('Green_rooibos initial weight'!$C$5:$C$1749,MATCH(I386, 'Green_rooibos initial weight'!$A$5:$A$1749,0)),"")</f>
        <v>2.2349999999999999</v>
      </c>
      <c r="L386" s="195">
        <f t="shared" si="53"/>
        <v>1.7681999999999998</v>
      </c>
      <c r="M386" s="240">
        <f>AVERAGE(Ashed_controlls!$K$1:$K$11)</f>
        <v>5.5147656768714146</v>
      </c>
      <c r="N386" s="195">
        <f t="shared" si="48"/>
        <v>1.6706879133015595</v>
      </c>
      <c r="O386" s="195">
        <f t="shared" si="54"/>
        <v>1.9851999999999999</v>
      </c>
      <c r="P386" s="240">
        <f>AVERAGE(Ashed_controlls!$K$12:$K$14)</f>
        <v>2.2816647271287041</v>
      </c>
      <c r="Q386" s="195">
        <f t="shared" si="49"/>
        <v>1.9399043918370409</v>
      </c>
      <c r="R386" s="16">
        <f>IF('Dry_Litterbag Placem_Collection'!G93="N.A","",'Dry_Litterbag Placem_Collection'!G93)</f>
        <v>43006</v>
      </c>
      <c r="S386" s="195">
        <f>IF(IFERROR(INDEX('Both teabags AfterDry'!$D$1:$D$839,MATCH(H386,'Both teabags AfterDry'!$A$1:$A$839,0)),"")="N.A","",(IFERROR(INDEX('Both teabags AfterDry'!$D$1:$D$839,MATCH(H386,'Both teabags AfterDry'!$A$1:$A$839,0)),"")))</f>
        <v>1.8642000000000001</v>
      </c>
      <c r="T386" s="195">
        <f>IF(IFERROR(INDEX('Both teabags AfterDry'!$D$1:$D$839,MATCH(I386,'Both teabags AfterDry'!$A$1:$A$839,0)),"")="N.A","",(IFERROR(INDEX('Both teabags AfterDry'!$D$1:$D$839,MATCH(I386,'Both teabags AfterDry'!$A$1:$A$839,0)),"")))</f>
        <v>2.0495999999999999</v>
      </c>
      <c r="U386" s="195">
        <f t="shared" si="55"/>
        <v>1.7136</v>
      </c>
      <c r="V386" s="195">
        <f t="shared" si="55"/>
        <v>1.8989999999999998</v>
      </c>
      <c r="W386" s="195">
        <f>IFERROR(INDEX('Ashed teabags dry'!$K$2:$K$821,MATCH(H386,'Ashed teabags dry'!$A$2:$A$821,0)),"")</f>
        <v>5.1882845188279267</v>
      </c>
      <c r="X386" s="195">
        <f>IFERROR(INDEX('Ashed teabags dry'!$K$2:$K$821,MATCH(I386,'Ashed teabags dry'!$A$2:$A$821,0)),"")</f>
        <v>4.1826717883060072</v>
      </c>
      <c r="Y386" s="195">
        <f t="shared" si="50"/>
        <v>1.6246935564853646</v>
      </c>
      <c r="Z386" s="195">
        <f t="shared" si="50"/>
        <v>1.8195710627400687</v>
      </c>
      <c r="AA386" s="195">
        <f t="shared" si="56"/>
        <v>2.7530190677744426E-2</v>
      </c>
      <c r="AB386" s="195">
        <f t="shared" si="57"/>
        <v>1.804829602626476E-2</v>
      </c>
      <c r="AC386" s="195">
        <f t="shared" si="51"/>
        <v>0.93796945375074925</v>
      </c>
      <c r="AD386">
        <f t="shared" si="52"/>
        <v>69</v>
      </c>
      <c r="AE386" s="195">
        <f t="shared" si="58"/>
        <v>0.96730381154662182</v>
      </c>
      <c r="AF386" s="195" t="str">
        <f t="shared" si="59"/>
        <v/>
      </c>
      <c r="AG386" s="255" t="str">
        <f>IF(ISNUMBER(SEARCH("C", 'Dry_Litterbag Placem_Collection'!AD93)),"YES","NO")</f>
        <v>NO</v>
      </c>
      <c r="AH386" s="255" t="str">
        <f>IF(ISNUMBER(SEARCH("H", 'Dry_Litterbag Placem_Collection'!AD93)),"YES","NO")</f>
        <v>NO</v>
      </c>
      <c r="AI386" s="255" t="str">
        <f>IF(ISNUMBER(SEARCH("R", 'Dry_Litterbag Placem_Collection'!AD93)),"YES","NO")</f>
        <v>NO</v>
      </c>
      <c r="AJ386" s="255" t="str">
        <f>IF(ISNUMBER(SEARCH("C", 'Dry_Litterbag Placem_Collection'!AC93)),"YES","NO")</f>
        <v>NO</v>
      </c>
      <c r="AK386" s="255" t="str">
        <f>IF(ISNUMBER(SEARCH("H", 'Dry_Litterbag Placem_Collection'!AC93)),"YES","NO")</f>
        <v>NO</v>
      </c>
      <c r="AL386" s="255" t="str">
        <f>IF(ISNUMBER(SEARCH("R", 'Dry_Litterbag Placem_Collection'!AC93)),"YES","NO")</f>
        <v>NO</v>
      </c>
      <c r="AR386" t="s">
        <v>1454</v>
      </c>
      <c r="AT386" t="s">
        <v>480</v>
      </c>
    </row>
    <row r="387" spans="2:46">
      <c r="B387" t="str">
        <f>'Final data_for_R_analysis_Dryse'!A533</f>
        <v>Dry</v>
      </c>
      <c r="C387" s="263">
        <f>'Final data_for_R_analysis_Dryse'!B533</f>
        <v>92</v>
      </c>
      <c r="D387" t="s">
        <v>3840</v>
      </c>
      <c r="E387" t="s">
        <v>25</v>
      </c>
      <c r="F387" s="387">
        <v>4</v>
      </c>
      <c r="G387" s="16">
        <f>'Dry_Litterbag Placem_Collection'!E94</f>
        <v>42937</v>
      </c>
      <c r="H387" s="92" t="str">
        <f>'Final data_for_R_analysis_Dryse'!J533</f>
        <v>G380</v>
      </c>
      <c r="I387" t="str">
        <f>'Final data_for_R_analysis_Dryse'!J753</f>
        <v>R619</v>
      </c>
      <c r="J387">
        <f>IFERROR(INDEX('Green_rooibos initial weight'!$C$5:$C$1749,MATCH(H387, 'Green_rooibos initial weight'!$A$5:$A$1749,0)),"")</f>
        <v>2.0619999999999998</v>
      </c>
      <c r="K387">
        <f>IFERROR(INDEX('Green_rooibos initial weight'!$C$5:$C$1749,MATCH(I387, 'Green_rooibos initial weight'!$A$5:$A$1749,0)),"")</f>
        <v>2.1480000000000001</v>
      </c>
      <c r="L387" s="195">
        <f t="shared" si="53"/>
        <v>1.8121999999999998</v>
      </c>
      <c r="M387" s="240">
        <f>AVERAGE(Ashed_controlls!$K$1:$K$11)</f>
        <v>5.5147656768714146</v>
      </c>
      <c r="N387" s="195">
        <f t="shared" si="48"/>
        <v>1.712261416403736</v>
      </c>
      <c r="O387" s="195">
        <f t="shared" si="54"/>
        <v>1.8982000000000001</v>
      </c>
      <c r="P387" s="240">
        <f>AVERAGE(Ashed_controlls!$K$12:$K$14)</f>
        <v>2.2816647271287041</v>
      </c>
      <c r="Q387" s="195">
        <f t="shared" si="49"/>
        <v>1.854889440149643</v>
      </c>
      <c r="R387" s="16">
        <f>IF('Dry_Litterbag Placem_Collection'!G94="N.A","",'Dry_Litterbag Placem_Collection'!G94)</f>
        <v>43006</v>
      </c>
      <c r="S387" s="195">
        <f>IF(IFERROR(INDEX('Both teabags AfterDry'!$D$1:$D$839,MATCH(H387,'Both teabags AfterDry'!$A$1:$A$839,0)),"")="N.A","",(IFERROR(INDEX('Both teabags AfterDry'!$D$1:$D$839,MATCH(H387,'Both teabags AfterDry'!$A$1:$A$839,0)),"")))</f>
        <v>1.8685</v>
      </c>
      <c r="T387" s="195">
        <f>IF(IFERROR(INDEX('Both teabags AfterDry'!$D$1:$D$839,MATCH(I387,'Both teabags AfterDry'!$A$1:$A$839,0)),"")="N.A","",(IFERROR(INDEX('Both teabags AfterDry'!$D$1:$D$839,MATCH(I387,'Both teabags AfterDry'!$A$1:$A$839,0)),"")))</f>
        <v>1.9713000000000001</v>
      </c>
      <c r="U387" s="195">
        <f t="shared" si="55"/>
        <v>1.7179</v>
      </c>
      <c r="V387" s="195">
        <f t="shared" si="55"/>
        <v>1.8207</v>
      </c>
      <c r="W387" s="195">
        <f>IFERROR(INDEX('Ashed teabags dry'!$K$2:$K$821,MATCH(H387,'Ashed teabags dry'!$A$2:$A$821,0)),"")</f>
        <v>5.9040590405909334</v>
      </c>
      <c r="X387" s="195">
        <f>IFERROR(INDEX('Ashed teabags dry'!$K$2:$K$821,MATCH(I387,'Ashed teabags dry'!$A$2:$A$821,0)),"")</f>
        <v>3.4364261168385459</v>
      </c>
      <c r="Y387" s="195">
        <f t="shared" si="50"/>
        <v>1.6164741697416884</v>
      </c>
      <c r="Z387" s="195">
        <f t="shared" si="50"/>
        <v>1.7581329896907205</v>
      </c>
      <c r="AA387" s="195">
        <f t="shared" si="56"/>
        <v>5.5941952405392348E-2</v>
      </c>
      <c r="AB387" s="195">
        <f t="shared" si="57"/>
        <v>3.6674534118499511E-2</v>
      </c>
      <c r="AC387" s="195">
        <f t="shared" si="51"/>
        <v>0.94783707946975182</v>
      </c>
      <c r="AD387">
        <f t="shared" si="52"/>
        <v>69</v>
      </c>
      <c r="AE387" s="195">
        <f t="shared" si="58"/>
        <v>0.93356062659692118</v>
      </c>
      <c r="AF387" s="195" t="str">
        <f t="shared" si="59"/>
        <v/>
      </c>
      <c r="AG387" s="255" t="str">
        <f>IF(ISNUMBER(SEARCH("C", 'Dry_Litterbag Placem_Collection'!AD94)),"YES","NO")</f>
        <v>NO</v>
      </c>
      <c r="AH387" s="255" t="str">
        <f>IF(ISNUMBER(SEARCH("H", 'Dry_Litterbag Placem_Collection'!AD94)),"YES","NO")</f>
        <v>NO</v>
      </c>
      <c r="AI387" s="255" t="str">
        <f>IF(ISNUMBER(SEARCH("R", 'Dry_Litterbag Placem_Collection'!AD94)),"YES","NO")</f>
        <v>NO</v>
      </c>
      <c r="AJ387" s="255" t="str">
        <f>IF(ISNUMBER(SEARCH("C", 'Dry_Litterbag Placem_Collection'!AC94)),"YES","NO")</f>
        <v>NO</v>
      </c>
      <c r="AK387" s="255" t="str">
        <f>IF(ISNUMBER(SEARCH("H", 'Dry_Litterbag Placem_Collection'!AC94)),"YES","NO")</f>
        <v>NO</v>
      </c>
      <c r="AL387" s="255" t="str">
        <f>IF(ISNUMBER(SEARCH("R", 'Dry_Litterbag Placem_Collection'!AC94)),"YES","NO")</f>
        <v>NO</v>
      </c>
      <c r="AR387" t="s">
        <v>1670</v>
      </c>
      <c r="AT387" t="s">
        <v>520</v>
      </c>
    </row>
    <row r="388" spans="2:46">
      <c r="B388" t="str">
        <f>'Final data_for_R_analysis_Dryse'!A534</f>
        <v>Dry</v>
      </c>
      <c r="C388" s="263">
        <f>'Final data_for_R_analysis_Dryse'!B534</f>
        <v>93</v>
      </c>
      <c r="D388" t="s">
        <v>3840</v>
      </c>
      <c r="E388" t="s">
        <v>25</v>
      </c>
      <c r="F388" s="387">
        <v>5</v>
      </c>
      <c r="G388" s="16">
        <f>'Dry_Litterbag Placem_Collection'!E95</f>
        <v>42937</v>
      </c>
      <c r="H388" s="92" t="str">
        <f>'Final data_for_R_analysis_Dryse'!J534</f>
        <v>G872</v>
      </c>
      <c r="I388" t="str">
        <f>'Final data_for_R_analysis_Dryse'!J754</f>
        <v>R106</v>
      </c>
      <c r="J388">
        <f>IFERROR(INDEX('Green_rooibos initial weight'!$C$5:$C$1749,MATCH(H388, 'Green_rooibos initial weight'!$A$5:$A$1749,0)),"")</f>
        <v>2.008</v>
      </c>
      <c r="K388">
        <f>IFERROR(INDEX('Green_rooibos initial weight'!$C$5:$C$1749,MATCH(I388, 'Green_rooibos initial weight'!$A$5:$A$1749,0)),"")</f>
        <v>2.2330000000000001</v>
      </c>
      <c r="L388" s="195">
        <f t="shared" si="53"/>
        <v>1.7582</v>
      </c>
      <c r="M388" s="240">
        <f>AVERAGE(Ashed_controlls!$K$1:$K$11)</f>
        <v>5.5147656768714146</v>
      </c>
      <c r="N388" s="195">
        <f t="shared" si="48"/>
        <v>1.6612393898692468</v>
      </c>
      <c r="O388" s="195">
        <f t="shared" si="54"/>
        <v>1.9832000000000001</v>
      </c>
      <c r="P388" s="240">
        <f>AVERAGE(Ashed_controlls!$K$12:$K$14)</f>
        <v>2.2816647271287041</v>
      </c>
      <c r="Q388" s="195">
        <f t="shared" si="49"/>
        <v>1.9379500251315835</v>
      </c>
      <c r="R388" s="16">
        <f>IF('Dry_Litterbag Placem_Collection'!G95="N.A","",'Dry_Litterbag Placem_Collection'!G95)</f>
        <v>43006</v>
      </c>
      <c r="S388" s="195">
        <f>IF(IFERROR(INDEX('Both teabags AfterDry'!$D$1:$D$839,MATCH(H388,'Both teabags AfterDry'!$A$1:$A$839,0)),"")="N.A","",(IFERROR(INDEX('Both teabags AfterDry'!$D$1:$D$839,MATCH(H388,'Both teabags AfterDry'!$A$1:$A$839,0)),"")))</f>
        <v>1.8389</v>
      </c>
      <c r="T388" s="195">
        <f>IF(IFERROR(INDEX('Both teabags AfterDry'!$D$1:$D$839,MATCH(I388,'Both teabags AfterDry'!$A$1:$A$839,0)),"")="N.A","",(IFERROR(INDEX('Both teabags AfterDry'!$D$1:$D$839,MATCH(I388,'Both teabags AfterDry'!$A$1:$A$839,0)),"")))</f>
        <v>2.0352999999999999</v>
      </c>
      <c r="U388" s="195">
        <f t="shared" si="55"/>
        <v>1.6882999999999999</v>
      </c>
      <c r="V388" s="195">
        <f t="shared" si="55"/>
        <v>1.8846999999999998</v>
      </c>
      <c r="W388" s="195">
        <f>IFERROR(INDEX('Ashed teabags dry'!$K$2:$K$821,MATCH(H388,'Ashed teabags dry'!$A$2:$A$821,0)),"")</f>
        <v>5.7008144020571656</v>
      </c>
      <c r="X388" s="195">
        <f>IFERROR(INDEX('Ashed teabags dry'!$K$2:$K$821,MATCH(I388,'Ashed teabags dry'!$A$2:$A$821,0)),"")</f>
        <v>2.5896414342635063</v>
      </c>
      <c r="Y388" s="195">
        <f t="shared" si="50"/>
        <v>1.5920531504500688</v>
      </c>
      <c r="Z388" s="195">
        <f t="shared" si="50"/>
        <v>1.8358930278884356</v>
      </c>
      <c r="AA388" s="195">
        <f t="shared" si="56"/>
        <v>4.1647362710694913E-2</v>
      </c>
      <c r="AB388" s="195">
        <f t="shared" si="57"/>
        <v>2.7303259164256039E-2</v>
      </c>
      <c r="AC388" s="195">
        <f t="shared" si="51"/>
        <v>0.94733765271567383</v>
      </c>
      <c r="AD388">
        <f t="shared" si="52"/>
        <v>69</v>
      </c>
      <c r="AE388" s="195">
        <f t="shared" si="58"/>
        <v>0.95053757397779703</v>
      </c>
      <c r="AF388" s="195" t="str">
        <f t="shared" si="59"/>
        <v/>
      </c>
      <c r="AG388" s="255" t="str">
        <f>IF(ISNUMBER(SEARCH("C", 'Dry_Litterbag Placem_Collection'!AD95)),"YES","NO")</f>
        <v>NO</v>
      </c>
      <c r="AH388" s="255" t="str">
        <f>IF(ISNUMBER(SEARCH("H", 'Dry_Litterbag Placem_Collection'!AD95)),"YES","NO")</f>
        <v>NO</v>
      </c>
      <c r="AI388" s="255" t="str">
        <f>IF(ISNUMBER(SEARCH("R", 'Dry_Litterbag Placem_Collection'!AD95)),"YES","NO")</f>
        <v>NO</v>
      </c>
      <c r="AJ388" s="255" t="str">
        <f>IF(ISNUMBER(SEARCH("C", 'Dry_Litterbag Placem_Collection'!AC95)),"YES","NO")</f>
        <v>NO</v>
      </c>
      <c r="AK388" s="255" t="str">
        <f>IF(ISNUMBER(SEARCH("H", 'Dry_Litterbag Placem_Collection'!AC95)),"YES","NO")</f>
        <v>NO</v>
      </c>
      <c r="AL388" s="255" t="str">
        <f>IF(ISNUMBER(SEARCH("R", 'Dry_Litterbag Placem_Collection'!AC95)),"YES","NO")</f>
        <v>NO</v>
      </c>
      <c r="AR388" t="s">
        <v>1178</v>
      </c>
      <c r="AT388" t="s">
        <v>1035</v>
      </c>
    </row>
    <row r="389" spans="2:46">
      <c r="B389" t="str">
        <f>'Final data_for_R_analysis_Dryse'!A535</f>
        <v>Dry</v>
      </c>
      <c r="C389" s="263">
        <f>'Final data_for_R_analysis_Dryse'!B535</f>
        <v>94</v>
      </c>
      <c r="D389" t="s">
        <v>3840</v>
      </c>
      <c r="E389" t="s">
        <v>25</v>
      </c>
      <c r="F389" s="387">
        <v>6</v>
      </c>
      <c r="G389" s="16">
        <f>'Dry_Litterbag Placem_Collection'!E96</f>
        <v>0</v>
      </c>
      <c r="H389" s="92" t="str">
        <f>'Final data_for_R_analysis_Dryse'!J535</f>
        <v/>
      </c>
      <c r="I389" t="str">
        <f>'Final data_for_R_analysis_Dryse'!J755</f>
        <v/>
      </c>
      <c r="J389" t="str">
        <f>IFERROR(INDEX('Green_rooibos initial weight'!$C$5:$C$1749,MATCH(H389, 'Green_rooibos initial weight'!$A$5:$A$1749,0)),"")</f>
        <v/>
      </c>
      <c r="K389" t="str">
        <f>IFERROR(INDEX('Green_rooibos initial weight'!$C$5:$C$1749,MATCH(I389, 'Green_rooibos initial weight'!$A$5:$A$1749,0)),"")</f>
        <v/>
      </c>
      <c r="L389" s="195" t="str">
        <f t="shared" si="53"/>
        <v/>
      </c>
      <c r="M389" s="240">
        <f>AVERAGE(Ashed_controlls!$K$1:$K$11)</f>
        <v>5.5147656768714146</v>
      </c>
      <c r="N389" s="195" t="str">
        <f t="shared" si="48"/>
        <v/>
      </c>
      <c r="O389" s="195" t="str">
        <f t="shared" si="54"/>
        <v/>
      </c>
      <c r="P389" s="240">
        <f>AVERAGE(Ashed_controlls!$K$12:$K$14)</f>
        <v>2.2816647271287041</v>
      </c>
      <c r="Q389" s="195" t="str">
        <f t="shared" si="49"/>
        <v/>
      </c>
      <c r="R389" s="16">
        <f>IF('Dry_Litterbag Placem_Collection'!G96="N.A","",'Dry_Litterbag Placem_Collection'!G96)</f>
        <v>0</v>
      </c>
      <c r="S389" s="195" t="str">
        <f>IF(IFERROR(INDEX('Both teabags AfterDry'!$D$1:$D$839,MATCH(H389,'Both teabags AfterDry'!$A$1:$A$839,0)),"")="N.A","",(IFERROR(INDEX('Both teabags AfterDry'!$D$1:$D$839,MATCH(H389,'Both teabags AfterDry'!$A$1:$A$839,0)),"")))</f>
        <v/>
      </c>
      <c r="T389" s="195" t="str">
        <f>IF(IFERROR(INDEX('Both teabags AfterDry'!$D$1:$D$839,MATCH(I389,'Both teabags AfterDry'!$A$1:$A$839,0)),"")="N.A","",(IFERROR(INDEX('Both teabags AfterDry'!$D$1:$D$839,MATCH(I389,'Both teabags AfterDry'!$A$1:$A$839,0)),"")))</f>
        <v/>
      </c>
      <c r="U389" s="195" t="str">
        <f t="shared" si="55"/>
        <v/>
      </c>
      <c r="V389" s="195" t="str">
        <f t="shared" si="55"/>
        <v/>
      </c>
      <c r="W389" s="195" t="str">
        <f>IFERROR(INDEX('Ashed teabags dry'!$K$2:$K$821,MATCH(H389,'Ashed teabags dry'!$A$2:$A$821,0)),"")</f>
        <v/>
      </c>
      <c r="X389" s="195" t="str">
        <f>IFERROR(INDEX('Ashed teabags dry'!$K$2:$K$821,MATCH(I389,'Ashed teabags dry'!$A$2:$A$821,0)),"")</f>
        <v/>
      </c>
      <c r="Y389" s="195" t="str">
        <f t="shared" si="50"/>
        <v/>
      </c>
      <c r="Z389" s="195" t="str">
        <f t="shared" si="50"/>
        <v/>
      </c>
      <c r="AA389" s="195" t="str">
        <f t="shared" si="56"/>
        <v/>
      </c>
      <c r="AB389" s="195" t="str">
        <f t="shared" si="57"/>
        <v/>
      </c>
      <c r="AC389" s="195" t="str">
        <f t="shared" si="51"/>
        <v/>
      </c>
      <c r="AD389" t="str">
        <f t="shared" si="52"/>
        <v/>
      </c>
      <c r="AE389" s="195" t="str">
        <f t="shared" si="58"/>
        <v/>
      </c>
      <c r="AF389" s="195" t="str">
        <f t="shared" si="59"/>
        <v/>
      </c>
      <c r="AG389" s="255" t="str">
        <f>IF(ISNUMBER(SEARCH("C", 'Dry_Litterbag Placem_Collection'!AD96)),"YES","NO")</f>
        <v>NO</v>
      </c>
      <c r="AH389" s="255" t="str">
        <f>IF(ISNUMBER(SEARCH("H", 'Dry_Litterbag Placem_Collection'!AD96)),"YES","NO")</f>
        <v>NO</v>
      </c>
      <c r="AI389" s="255" t="str">
        <f>IF(ISNUMBER(SEARCH("R", 'Dry_Litterbag Placem_Collection'!AD96)),"YES","NO")</f>
        <v>NO</v>
      </c>
      <c r="AJ389" s="255" t="str">
        <f>IF(ISNUMBER(SEARCH("C", 'Dry_Litterbag Placem_Collection'!AC96)),"YES","NO")</f>
        <v>NO</v>
      </c>
      <c r="AK389" s="255" t="str">
        <f>IF(ISNUMBER(SEARCH("H", 'Dry_Litterbag Placem_Collection'!AC96)),"YES","NO")</f>
        <v>NO</v>
      </c>
      <c r="AL389" s="255" t="str">
        <f>IF(ISNUMBER(SEARCH("R", 'Dry_Litterbag Placem_Collection'!AC96)),"YES","NO")</f>
        <v>NO</v>
      </c>
      <c r="AR389" t="s">
        <v>3654</v>
      </c>
      <c r="AT389" t="s">
        <v>3654</v>
      </c>
    </row>
    <row r="390" spans="2:46">
      <c r="B390" t="str">
        <f>'Final data_for_R_analysis_Dryse'!A536</f>
        <v>Dry</v>
      </c>
      <c r="C390" s="263">
        <f>'Final data_for_R_analysis_Dryse'!B536</f>
        <v>95</v>
      </c>
      <c r="D390" t="s">
        <v>3840</v>
      </c>
      <c r="E390" t="s">
        <v>25</v>
      </c>
      <c r="F390" s="387">
        <v>7</v>
      </c>
      <c r="G390" s="16">
        <f>'Dry_Litterbag Placem_Collection'!E97</f>
        <v>42937</v>
      </c>
      <c r="H390" s="92" t="str">
        <f>'Final data_for_R_analysis_Dryse'!J536</f>
        <v>G844</v>
      </c>
      <c r="I390" t="str">
        <f>'Final data_for_R_analysis_Dryse'!J756</f>
        <v>R233</v>
      </c>
      <c r="J390">
        <f>IFERROR(INDEX('Green_rooibos initial weight'!$C$5:$C$1749,MATCH(H390, 'Green_rooibos initial weight'!$A$5:$A$1749,0)),"")</f>
        <v>1.95</v>
      </c>
      <c r="K390">
        <f>IFERROR(INDEX('Green_rooibos initial weight'!$C$5:$C$1749,MATCH(I390, 'Green_rooibos initial weight'!$A$5:$A$1749,0)),"")</f>
        <v>2.1749999999999998</v>
      </c>
      <c r="L390" s="195">
        <f t="shared" si="53"/>
        <v>1.7001999999999999</v>
      </c>
      <c r="M390" s="240">
        <f>AVERAGE(Ashed_controlls!$K$1:$K$11)</f>
        <v>5.5147656768714146</v>
      </c>
      <c r="N390" s="195">
        <f t="shared" si="48"/>
        <v>1.6064379539618321</v>
      </c>
      <c r="O390" s="195">
        <f t="shared" si="54"/>
        <v>1.9251999999999998</v>
      </c>
      <c r="P390" s="240">
        <f>AVERAGE(Ashed_controlls!$K$12:$K$14)</f>
        <v>2.2816647271287041</v>
      </c>
      <c r="Q390" s="195">
        <f t="shared" si="49"/>
        <v>1.8812733906733179</v>
      </c>
      <c r="R390" s="16">
        <f>IF('Dry_Litterbag Placem_Collection'!G97="N.A","",'Dry_Litterbag Placem_Collection'!G97)</f>
        <v>43006</v>
      </c>
      <c r="S390" s="195">
        <f>IF(IFERROR(INDEX('Both teabags AfterDry'!$D$1:$D$839,MATCH(H390,'Both teabags AfterDry'!$A$1:$A$839,0)),"")="N.A","",(IFERROR(INDEX('Both teabags AfterDry'!$D$1:$D$839,MATCH(H390,'Both teabags AfterDry'!$A$1:$A$839,0)),"")))</f>
        <v>1.7751999999999999</v>
      </c>
      <c r="T390" s="195">
        <f>IF(IFERROR(INDEX('Both teabags AfterDry'!$D$1:$D$839,MATCH(I390,'Both teabags AfterDry'!$A$1:$A$839,0)),"")="N.A","",(IFERROR(INDEX('Both teabags AfterDry'!$D$1:$D$839,MATCH(I390,'Both teabags AfterDry'!$A$1:$A$839,0)),"")))</f>
        <v>1.9479</v>
      </c>
      <c r="U390" s="195">
        <f t="shared" si="55"/>
        <v>1.6245999999999998</v>
      </c>
      <c r="V390" s="195">
        <f t="shared" si="55"/>
        <v>1.7972999999999999</v>
      </c>
      <c r="W390" s="195">
        <f>IFERROR(INDEX('Ashed teabags dry'!$K$2:$K$821,MATCH(H390,'Ashed teabags dry'!$A$2:$A$821,0)),"")</f>
        <v>6.2158130283436162</v>
      </c>
      <c r="X390" s="195">
        <f>IFERROR(INDEX('Ashed teabags dry'!$K$2:$K$821,MATCH(I390,'Ashed teabags dry'!$A$2:$A$821,0)),"")</f>
        <v>2.2635814889335339</v>
      </c>
      <c r="Y390" s="195">
        <f t="shared" si="50"/>
        <v>1.5236179015415294</v>
      </c>
      <c r="Z390" s="195">
        <f t="shared" si="50"/>
        <v>1.7566166498993976</v>
      </c>
      <c r="AA390" s="195">
        <f t="shared" si="56"/>
        <v>5.1555089454933589E-2</v>
      </c>
      <c r="AB390" s="195">
        <f t="shared" si="57"/>
        <v>3.3798585960954107E-2</v>
      </c>
      <c r="AC390" s="195">
        <f t="shared" si="51"/>
        <v>0.93373810452434824</v>
      </c>
      <c r="AD390">
        <f t="shared" si="52"/>
        <v>69</v>
      </c>
      <c r="AE390" s="195">
        <f t="shared" si="58"/>
        <v>0.9387706776069672</v>
      </c>
      <c r="AF390" s="195" t="str">
        <f t="shared" si="59"/>
        <v/>
      </c>
      <c r="AG390" s="255" t="str">
        <f>IF(ISNUMBER(SEARCH("C", 'Dry_Litterbag Placem_Collection'!AD97)),"YES","NO")</f>
        <v>NO</v>
      </c>
      <c r="AH390" s="255" t="str">
        <f>IF(ISNUMBER(SEARCH("H", 'Dry_Litterbag Placem_Collection'!AD97)),"YES","NO")</f>
        <v>NO</v>
      </c>
      <c r="AI390" s="255" t="str">
        <f>IF(ISNUMBER(SEARCH("R", 'Dry_Litterbag Placem_Collection'!AD97)),"YES","NO")</f>
        <v>NO</v>
      </c>
      <c r="AJ390" s="255" t="str">
        <f>IF(ISNUMBER(SEARCH("C", 'Dry_Litterbag Placem_Collection'!AC97)),"YES","NO")</f>
        <v>NO</v>
      </c>
      <c r="AK390" s="255" t="str">
        <f>IF(ISNUMBER(SEARCH("H", 'Dry_Litterbag Placem_Collection'!AC97)),"YES","NO")</f>
        <v>NO</v>
      </c>
      <c r="AL390" s="255" t="str">
        <f>IF(ISNUMBER(SEARCH("R", 'Dry_Litterbag Placem_Collection'!AC97)),"YES","NO")</f>
        <v>NO</v>
      </c>
      <c r="AR390" t="s">
        <v>1206</v>
      </c>
      <c r="AT390" t="s">
        <v>908</v>
      </c>
    </row>
    <row r="391" spans="2:46">
      <c r="B391" t="str">
        <f>'Final data_for_R_analysis_Dryse'!A537</f>
        <v>Dry</v>
      </c>
      <c r="C391" s="263">
        <f>'Final data_for_R_analysis_Dryse'!B537</f>
        <v>96</v>
      </c>
      <c r="D391" t="s">
        <v>3840</v>
      </c>
      <c r="E391" t="s">
        <v>25</v>
      </c>
      <c r="F391" s="387">
        <v>8</v>
      </c>
      <c r="G391" s="16">
        <f>'Dry_Litterbag Placem_Collection'!E98</f>
        <v>42937</v>
      </c>
      <c r="H391" s="92" t="str">
        <f>'Final data_for_R_analysis_Dryse'!J537</f>
        <v>G372</v>
      </c>
      <c r="I391" t="str">
        <f>'Final data_for_R_analysis_Dryse'!J757</f>
        <v>R698</v>
      </c>
      <c r="J391">
        <f>IFERROR(INDEX('Green_rooibos initial weight'!$C$5:$C$1749,MATCH(H391, 'Green_rooibos initial weight'!$A$5:$A$1749,0)),"")</f>
        <v>2.1539999999999999</v>
      </c>
      <c r="K391">
        <f>IFERROR(INDEX('Green_rooibos initial weight'!$C$5:$C$1749,MATCH(I391, 'Green_rooibos initial weight'!$A$5:$A$1749,0)),"")</f>
        <v>2.1779999999999999</v>
      </c>
      <c r="L391" s="195">
        <f t="shared" si="53"/>
        <v>1.9041999999999999</v>
      </c>
      <c r="M391" s="240">
        <f>AVERAGE(Ashed_controlls!$K$1:$K$11)</f>
        <v>5.5147656768714146</v>
      </c>
      <c r="N391" s="195">
        <f t="shared" si="48"/>
        <v>1.7991878319810144</v>
      </c>
      <c r="O391" s="195">
        <f t="shared" si="54"/>
        <v>1.9281999999999999</v>
      </c>
      <c r="P391" s="240">
        <f>AVERAGE(Ashed_controlls!$K$12:$K$14)</f>
        <v>2.2816647271287041</v>
      </c>
      <c r="Q391" s="195">
        <f t="shared" si="49"/>
        <v>1.8842049407315042</v>
      </c>
      <c r="R391" s="16">
        <f>IF('Dry_Litterbag Placem_Collection'!G98="N.A","",'Dry_Litterbag Placem_Collection'!G98)</f>
        <v>43006</v>
      </c>
      <c r="S391" s="195">
        <f>IF(IFERROR(INDEX('Both teabags AfterDry'!$D$1:$D$839,MATCH(H391,'Both teabags AfterDry'!$A$1:$A$839,0)),"")="N.A","",(IFERROR(INDEX('Both teabags AfterDry'!$D$1:$D$839,MATCH(H391,'Both teabags AfterDry'!$A$1:$A$839,0)),"")))</f>
        <v>1.9605999999999999</v>
      </c>
      <c r="T391" s="195">
        <f>IF(IFERROR(INDEX('Both teabags AfterDry'!$D$1:$D$839,MATCH(I391,'Both teabags AfterDry'!$A$1:$A$839,0)),"")="N.A","",(IFERROR(INDEX('Both teabags AfterDry'!$D$1:$D$839,MATCH(I391,'Both teabags AfterDry'!$A$1:$A$839,0)),"")))</f>
        <v>2.0065</v>
      </c>
      <c r="U391" s="195">
        <f t="shared" si="55"/>
        <v>1.8099999999999998</v>
      </c>
      <c r="V391" s="195">
        <f t="shared" si="55"/>
        <v>1.8558999999999999</v>
      </c>
      <c r="W391" s="195">
        <f>IFERROR(INDEX('Ashed teabags dry'!$K$2:$K$821,MATCH(H391,'Ashed teabags dry'!$A$2:$A$821,0)),"")</f>
        <v>5.7128906249998721</v>
      </c>
      <c r="X391" s="195">
        <f>IFERROR(INDEX('Ashed teabags dry'!$K$2:$K$821,MATCH(I391,'Ashed teabags dry'!$A$2:$A$821,0)),"")</f>
        <v>3.4017008504250739</v>
      </c>
      <c r="Y391" s="195">
        <f t="shared" si="50"/>
        <v>1.7065966796875021</v>
      </c>
      <c r="Z391" s="195">
        <f t="shared" si="50"/>
        <v>1.792767833916961</v>
      </c>
      <c r="AA391" s="195">
        <f t="shared" si="56"/>
        <v>5.1462749273689767E-2</v>
      </c>
      <c r="AB391" s="195">
        <f t="shared" si="57"/>
        <v>3.3738049405079296E-2</v>
      </c>
      <c r="AC391" s="195">
        <f t="shared" si="51"/>
        <v>0.95147178269310528</v>
      </c>
      <c r="AD391">
        <f t="shared" si="52"/>
        <v>69</v>
      </c>
      <c r="AE391" s="195">
        <f t="shared" si="58"/>
        <v>0.93888034528065345</v>
      </c>
      <c r="AF391" s="195" t="str">
        <f t="shared" si="59"/>
        <v/>
      </c>
      <c r="AG391" s="255" t="str">
        <f>IF(ISNUMBER(SEARCH("C", 'Dry_Litterbag Placem_Collection'!AD98)),"YES","NO")</f>
        <v>NO</v>
      </c>
      <c r="AH391" s="255" t="str">
        <f>IF(ISNUMBER(SEARCH("H", 'Dry_Litterbag Placem_Collection'!AD98)),"YES","NO")</f>
        <v>NO</v>
      </c>
      <c r="AI391" s="255" t="str">
        <f>IF(ISNUMBER(SEARCH("R", 'Dry_Litterbag Placem_Collection'!AD98)),"YES","NO")</f>
        <v>NO</v>
      </c>
      <c r="AJ391" s="255" t="str">
        <f>IF(ISNUMBER(SEARCH("C", 'Dry_Litterbag Placem_Collection'!AC98)),"YES","NO")</f>
        <v>NO</v>
      </c>
      <c r="AK391" s="255" t="str">
        <f>IF(ISNUMBER(SEARCH("H", 'Dry_Litterbag Placem_Collection'!AC98)),"YES","NO")</f>
        <v>NO</v>
      </c>
      <c r="AL391" s="255" t="str">
        <f>IF(ISNUMBER(SEARCH("R", 'Dry_Litterbag Placem_Collection'!AC98)),"YES","NO")</f>
        <v>NO</v>
      </c>
      <c r="AR391" t="s">
        <v>1678</v>
      </c>
      <c r="AT391" t="s">
        <v>441</v>
      </c>
    </row>
    <row r="392" spans="2:46">
      <c r="B392" t="str">
        <f>'Final data_for_R_analysis_Dryse'!A538</f>
        <v>Dry</v>
      </c>
      <c r="C392" s="263">
        <f>'Final data_for_R_analysis_Dryse'!B538</f>
        <v>97</v>
      </c>
      <c r="D392" t="s">
        <v>3841</v>
      </c>
      <c r="E392" t="s">
        <v>25</v>
      </c>
      <c r="F392" s="386">
        <v>1</v>
      </c>
      <c r="G392" s="16">
        <f>'Dry_Litterbag Placem_Collection'!E99</f>
        <v>42939</v>
      </c>
      <c r="H392" s="92" t="str">
        <f>'Final data_for_R_analysis_Dryse'!J538</f>
        <v>G3</v>
      </c>
      <c r="I392" t="str">
        <f>'Final data_for_R_analysis_Dryse'!J758</f>
        <v>R47</v>
      </c>
      <c r="J392">
        <f>IFERROR(INDEX('Green_rooibos initial weight'!$C$5:$C$1749,MATCH(H392, 'Green_rooibos initial weight'!$A$5:$A$1749,0)),"")</f>
        <v>2.0470000000000002</v>
      </c>
      <c r="K392">
        <f>IFERROR(INDEX('Green_rooibos initial weight'!$C$5:$C$1749,MATCH(I392, 'Green_rooibos initial weight'!$A$5:$A$1749,0)),"")</f>
        <v>2.1850000000000001</v>
      </c>
      <c r="L392" s="195">
        <f t="shared" si="53"/>
        <v>1.7972000000000001</v>
      </c>
      <c r="M392" s="240">
        <f>AVERAGE(Ashed_controlls!$K$1:$K$11)</f>
        <v>5.5147656768714146</v>
      </c>
      <c r="N392" s="195">
        <f t="shared" si="48"/>
        <v>1.698088631255267</v>
      </c>
      <c r="O392" s="195">
        <f t="shared" si="54"/>
        <v>1.9352</v>
      </c>
      <c r="P392" s="240">
        <f>AVERAGE(Ashed_controlls!$K$12:$K$14)</f>
        <v>2.2816647271287041</v>
      </c>
      <c r="Q392" s="195">
        <f t="shared" si="49"/>
        <v>1.8910452242006053</v>
      </c>
      <c r="R392" s="16">
        <f>IF('Dry_Litterbag Placem_Collection'!G99="N.A","",'Dry_Litterbag Placem_Collection'!G99)</f>
        <v>43010</v>
      </c>
      <c r="S392" s="195" t="str">
        <f>IF(IFERROR(INDEX('Both teabags AfterDry'!$D$1:$D$839,MATCH(H392,'Both teabags AfterDry'!$A$1:$A$839,0)),"")="N.A","",(IFERROR(INDEX('Both teabags AfterDry'!$D$1:$D$839,MATCH(H392,'Both teabags AfterDry'!$A$1:$A$839,0)),"")))</f>
        <v/>
      </c>
      <c r="T392" s="195" t="str">
        <f>IF(IFERROR(INDEX('Both teabags AfterDry'!$D$1:$D$839,MATCH(I392,'Both teabags AfterDry'!$A$1:$A$839,0)),"")="N.A","",(IFERROR(INDEX('Both teabags AfterDry'!$D$1:$D$839,MATCH(I392,'Both teabags AfterDry'!$A$1:$A$839,0)),"")))</f>
        <v/>
      </c>
      <c r="U392" s="195" t="str">
        <f t="shared" si="55"/>
        <v/>
      </c>
      <c r="V392" s="195" t="str">
        <f t="shared" si="55"/>
        <v/>
      </c>
      <c r="W392" s="195" t="str">
        <f>IFERROR(INDEX('Ashed teabags dry'!$K$2:$K$821,MATCH(H392,'Ashed teabags dry'!$A$2:$A$821,0)),"")</f>
        <v/>
      </c>
      <c r="X392" s="195" t="str">
        <f>IFERROR(INDEX('Ashed teabags dry'!$K$2:$K$821,MATCH(I392,'Ashed teabags dry'!$A$2:$A$821,0)),"")</f>
        <v/>
      </c>
      <c r="Y392" s="195" t="str">
        <f t="shared" si="50"/>
        <v/>
      </c>
      <c r="Z392" s="195" t="str">
        <f t="shared" si="50"/>
        <v/>
      </c>
      <c r="AA392" s="195" t="str">
        <f t="shared" si="56"/>
        <v/>
      </c>
      <c r="AB392" s="195" t="str">
        <f t="shared" si="57"/>
        <v/>
      </c>
      <c r="AC392" s="195" t="str">
        <f t="shared" si="51"/>
        <v/>
      </c>
      <c r="AD392">
        <f t="shared" si="52"/>
        <v>71</v>
      </c>
      <c r="AE392" s="195" t="str">
        <f t="shared" si="58"/>
        <v/>
      </c>
      <c r="AF392" s="195" t="str">
        <f t="shared" si="59"/>
        <v/>
      </c>
      <c r="AG392" s="255" t="str">
        <f>IF(ISNUMBER(SEARCH("C", 'Dry_Litterbag Placem_Collection'!AD99)),"YES","NO")</f>
        <v>NO</v>
      </c>
      <c r="AH392" s="255" t="str">
        <f>IF(ISNUMBER(SEARCH("H", 'Dry_Litterbag Placem_Collection'!AD99)),"YES","NO")</f>
        <v>NO</v>
      </c>
      <c r="AI392" s="255" t="str">
        <f>IF(ISNUMBER(SEARCH("R", 'Dry_Litterbag Placem_Collection'!AD99)),"YES","NO")</f>
        <v>NO</v>
      </c>
      <c r="AJ392" s="255" t="str">
        <f>IF(ISNUMBER(SEARCH("C", 'Dry_Litterbag Placem_Collection'!AC99)),"YES","NO")</f>
        <v>NO</v>
      </c>
      <c r="AK392" s="255" t="str">
        <f>IF(ISNUMBER(SEARCH("H", 'Dry_Litterbag Placem_Collection'!AC99)),"YES","NO")</f>
        <v>NO</v>
      </c>
      <c r="AL392" s="255" t="str">
        <f>IF(ISNUMBER(SEARCH("R", 'Dry_Litterbag Placem_Collection'!AC99)),"YES","NO")</f>
        <v>NO</v>
      </c>
      <c r="AR392" t="s">
        <v>2047</v>
      </c>
      <c r="AT392" t="s">
        <v>1094</v>
      </c>
    </row>
    <row r="393" spans="2:46">
      <c r="B393" t="str">
        <f>'Final data_for_R_analysis_Dryse'!A539</f>
        <v>Dry</v>
      </c>
      <c r="C393" s="263">
        <f>'Final data_for_R_analysis_Dryse'!B539</f>
        <v>98</v>
      </c>
      <c r="D393" t="s">
        <v>3841</v>
      </c>
      <c r="E393" t="s">
        <v>25</v>
      </c>
      <c r="F393" s="386">
        <v>2</v>
      </c>
      <c r="G393" s="16">
        <f>'Dry_Litterbag Placem_Collection'!E100</f>
        <v>42939</v>
      </c>
      <c r="H393" s="92" t="str">
        <f>'Final data_for_R_analysis_Dryse'!J539</f>
        <v>G25</v>
      </c>
      <c r="I393" t="str">
        <f>'Final data_for_R_analysis_Dryse'!J759</f>
        <v>R707</v>
      </c>
      <c r="J393">
        <f>IFERROR(INDEX('Green_rooibos initial weight'!$C$5:$C$1749,MATCH(H393, 'Green_rooibos initial weight'!$A$5:$A$1749,0)),"")</f>
        <v>2.0230000000000001</v>
      </c>
      <c r="K393">
        <f>IFERROR(INDEX('Green_rooibos initial weight'!$C$5:$C$1749,MATCH(I393, 'Green_rooibos initial weight'!$A$5:$A$1749,0)),"")</f>
        <v>2.145</v>
      </c>
      <c r="L393" s="195">
        <f t="shared" si="53"/>
        <v>1.7732000000000001</v>
      </c>
      <c r="M393" s="240">
        <f>AVERAGE(Ashed_controlls!$K$1:$K$11)</f>
        <v>5.5147656768714146</v>
      </c>
      <c r="N393" s="195">
        <f t="shared" si="48"/>
        <v>1.6754121750177162</v>
      </c>
      <c r="O393" s="195">
        <f t="shared" si="54"/>
        <v>1.8952</v>
      </c>
      <c r="P393" s="240">
        <f>AVERAGE(Ashed_controlls!$K$12:$K$14)</f>
        <v>2.2816647271287041</v>
      </c>
      <c r="Q393" s="195">
        <f t="shared" si="49"/>
        <v>1.8519578900914568</v>
      </c>
      <c r="R393" s="16">
        <f>IF('Dry_Litterbag Placem_Collection'!G100="N.A","",'Dry_Litterbag Placem_Collection'!G100)</f>
        <v>43010</v>
      </c>
      <c r="S393" s="195">
        <f>IF(IFERROR(INDEX('Both teabags AfterDry'!$D$1:$D$839,MATCH(H393,'Both teabags AfterDry'!$A$1:$A$839,0)),"")="N.A","",(IFERROR(INDEX('Both teabags AfterDry'!$D$1:$D$839,MATCH(H393,'Both teabags AfterDry'!$A$1:$A$839,0)),"")))</f>
        <v>0.995</v>
      </c>
      <c r="T393" s="195">
        <f>IF(IFERROR(INDEX('Both teabags AfterDry'!$D$1:$D$839,MATCH(I393,'Both teabags AfterDry'!$A$1:$A$839,0)),"")="N.A","",(IFERROR(INDEX('Both teabags AfterDry'!$D$1:$D$839,MATCH(I393,'Both teabags AfterDry'!$A$1:$A$839,0)),"")))</f>
        <v>1.8146</v>
      </c>
      <c r="U393" s="195">
        <f t="shared" si="55"/>
        <v>0.84440000000000004</v>
      </c>
      <c r="V393" s="195">
        <f t="shared" si="55"/>
        <v>1.6639999999999999</v>
      </c>
      <c r="W393" s="195">
        <f>IFERROR(INDEX('Ashed teabags dry'!$K$2:$K$821,MATCH(H393,'Ashed teabags dry'!$A$2:$A$821,0)),"")</f>
        <v>21.132793907663359</v>
      </c>
      <c r="X393" s="195">
        <f>IFERROR(INDEX('Ashed teabags dry'!$K$2:$K$821,MATCH(I393,'Ashed teabags dry'!$A$2:$A$821,0)),"")</f>
        <v>4.2060491493383303</v>
      </c>
      <c r="Y393" s="195">
        <f t="shared" si="50"/>
        <v>0.66595468824369064</v>
      </c>
      <c r="Z393" s="195">
        <f t="shared" si="50"/>
        <v>1.5940113421550102</v>
      </c>
      <c r="AA393" s="195">
        <f t="shared" si="56"/>
        <v>0.60251292298466874</v>
      </c>
      <c r="AB393" s="195">
        <f t="shared" si="57"/>
        <v>0.39499659559089922</v>
      </c>
      <c r="AC393" s="195">
        <f t="shared" si="51"/>
        <v>0.86071683955853429</v>
      </c>
      <c r="AD393">
        <f t="shared" si="52"/>
        <v>71</v>
      </c>
      <c r="AE393" s="195">
        <f t="shared" si="58"/>
        <v>0.28442645726286375</v>
      </c>
      <c r="AF393" s="195">
        <f t="shared" si="59"/>
        <v>6.1242214445644139E-3</v>
      </c>
      <c r="AG393" s="255" t="str">
        <f>IF(ISNUMBER(SEARCH("C", 'Dry_Litterbag Placem_Collection'!AD100)),"YES","NO")</f>
        <v>NO</v>
      </c>
      <c r="AH393" s="255" t="str">
        <f>IF(ISNUMBER(SEARCH("H", 'Dry_Litterbag Placem_Collection'!AD100)),"YES","NO")</f>
        <v>NO</v>
      </c>
      <c r="AI393" s="255" t="str">
        <f>IF(ISNUMBER(SEARCH("R", 'Dry_Litterbag Placem_Collection'!AD100)),"YES","NO")</f>
        <v>NO</v>
      </c>
      <c r="AJ393" s="255" t="str">
        <f>IF(ISNUMBER(SEARCH("C", 'Dry_Litterbag Placem_Collection'!AC100)),"YES","NO")</f>
        <v>NO</v>
      </c>
      <c r="AK393" s="255" t="str">
        <f>IF(ISNUMBER(SEARCH("H", 'Dry_Litterbag Placem_Collection'!AC100)),"YES","NO")</f>
        <v>NO</v>
      </c>
      <c r="AL393" s="255" t="str">
        <f>IF(ISNUMBER(SEARCH("R", 'Dry_Litterbag Placem_Collection'!AC100)),"YES","NO")</f>
        <v>NO</v>
      </c>
      <c r="AR393" t="s">
        <v>2025</v>
      </c>
      <c r="AT393" t="s">
        <v>432</v>
      </c>
    </row>
    <row r="394" spans="2:46">
      <c r="B394" t="str">
        <f>'Final data_for_R_analysis_Dryse'!A540</f>
        <v>Dry</v>
      </c>
      <c r="C394" s="263">
        <f>'Final data_for_R_analysis_Dryse'!B540</f>
        <v>99</v>
      </c>
      <c r="D394" t="s">
        <v>3841</v>
      </c>
      <c r="E394" t="s">
        <v>25</v>
      </c>
      <c r="F394" s="386">
        <v>3</v>
      </c>
      <c r="G394" s="16">
        <f>'Dry_Litterbag Placem_Collection'!E101</f>
        <v>0</v>
      </c>
      <c r="H394" s="92" t="str">
        <f>'Final data_for_R_analysis_Dryse'!J540</f>
        <v/>
      </c>
      <c r="I394" t="str">
        <f>'Final data_for_R_analysis_Dryse'!J760</f>
        <v/>
      </c>
      <c r="J394" t="str">
        <f>IFERROR(INDEX('Green_rooibos initial weight'!$C$5:$C$1749,MATCH(H394, 'Green_rooibos initial weight'!$A$5:$A$1749,0)),"")</f>
        <v/>
      </c>
      <c r="K394" t="str">
        <f>IFERROR(INDEX('Green_rooibos initial weight'!$C$5:$C$1749,MATCH(I394, 'Green_rooibos initial weight'!$A$5:$A$1749,0)),"")</f>
        <v/>
      </c>
      <c r="L394" s="195" t="str">
        <f t="shared" si="53"/>
        <v/>
      </c>
      <c r="M394" s="240">
        <f>AVERAGE(Ashed_controlls!$K$1:$K$11)</f>
        <v>5.5147656768714146</v>
      </c>
      <c r="N394" s="195" t="str">
        <f t="shared" si="48"/>
        <v/>
      </c>
      <c r="O394" s="195" t="str">
        <f t="shared" si="54"/>
        <v/>
      </c>
      <c r="P394" s="240">
        <f>AVERAGE(Ashed_controlls!$K$12:$K$14)</f>
        <v>2.2816647271287041</v>
      </c>
      <c r="Q394" s="195" t="str">
        <f t="shared" si="49"/>
        <v/>
      </c>
      <c r="R394" s="16">
        <f>IF('Dry_Litterbag Placem_Collection'!G101="N.A","",'Dry_Litterbag Placem_Collection'!G101)</f>
        <v>0</v>
      </c>
      <c r="S394" s="195" t="str">
        <f>IF(IFERROR(INDEX('Both teabags AfterDry'!$D$1:$D$839,MATCH(H394,'Both teabags AfterDry'!$A$1:$A$839,0)),"")="N.A","",(IFERROR(INDEX('Both teabags AfterDry'!$D$1:$D$839,MATCH(H394,'Both teabags AfterDry'!$A$1:$A$839,0)),"")))</f>
        <v/>
      </c>
      <c r="T394" s="195" t="str">
        <f>IF(IFERROR(INDEX('Both teabags AfterDry'!$D$1:$D$839,MATCH(I394,'Both teabags AfterDry'!$A$1:$A$839,0)),"")="N.A","",(IFERROR(INDEX('Both teabags AfterDry'!$D$1:$D$839,MATCH(I394,'Both teabags AfterDry'!$A$1:$A$839,0)),"")))</f>
        <v/>
      </c>
      <c r="U394" s="195" t="str">
        <f t="shared" si="55"/>
        <v/>
      </c>
      <c r="V394" s="195" t="str">
        <f t="shared" si="55"/>
        <v/>
      </c>
      <c r="W394" s="195" t="str">
        <f>IFERROR(INDEX('Ashed teabags dry'!$K$2:$K$821,MATCH(H394,'Ashed teabags dry'!$A$2:$A$821,0)),"")</f>
        <v/>
      </c>
      <c r="X394" s="195" t="str">
        <f>IFERROR(INDEX('Ashed teabags dry'!$K$2:$K$821,MATCH(I394,'Ashed teabags dry'!$A$2:$A$821,0)),"")</f>
        <v/>
      </c>
      <c r="Y394" s="195" t="str">
        <f t="shared" si="50"/>
        <v/>
      </c>
      <c r="Z394" s="195" t="str">
        <f t="shared" si="50"/>
        <v/>
      </c>
      <c r="AA394" s="195" t="str">
        <f t="shared" si="56"/>
        <v/>
      </c>
      <c r="AB394" s="195" t="str">
        <f t="shared" si="57"/>
        <v/>
      </c>
      <c r="AC394" s="195" t="str">
        <f t="shared" si="51"/>
        <v/>
      </c>
      <c r="AD394" t="str">
        <f t="shared" si="52"/>
        <v/>
      </c>
      <c r="AE394" s="195" t="str">
        <f t="shared" si="58"/>
        <v/>
      </c>
      <c r="AF394" s="195" t="str">
        <f t="shared" si="59"/>
        <v/>
      </c>
      <c r="AG394" s="255" t="str">
        <f>IF(ISNUMBER(SEARCH("C", 'Dry_Litterbag Placem_Collection'!AD101)),"YES","NO")</f>
        <v>NO</v>
      </c>
      <c r="AH394" s="255" t="str">
        <f>IF(ISNUMBER(SEARCH("H", 'Dry_Litterbag Placem_Collection'!AD101)),"YES","NO")</f>
        <v>NO</v>
      </c>
      <c r="AI394" s="255" t="str">
        <f>IF(ISNUMBER(SEARCH("R", 'Dry_Litterbag Placem_Collection'!AD101)),"YES","NO")</f>
        <v>NO</v>
      </c>
      <c r="AJ394" s="255" t="str">
        <f>IF(ISNUMBER(SEARCH("C", 'Dry_Litterbag Placem_Collection'!AC101)),"YES","NO")</f>
        <v>NO</v>
      </c>
      <c r="AK394" s="255" t="str">
        <f>IF(ISNUMBER(SEARCH("H", 'Dry_Litterbag Placem_Collection'!AC101)),"YES","NO")</f>
        <v>NO</v>
      </c>
      <c r="AL394" s="255" t="str">
        <f>IF(ISNUMBER(SEARCH("R", 'Dry_Litterbag Placem_Collection'!AC101)),"YES","NO")</f>
        <v>NO</v>
      </c>
      <c r="AR394" t="s">
        <v>3654</v>
      </c>
      <c r="AT394" t="s">
        <v>3654</v>
      </c>
    </row>
    <row r="395" spans="2:46">
      <c r="B395" t="str">
        <f>'Final data_for_R_analysis_Dryse'!A541</f>
        <v>Dry</v>
      </c>
      <c r="C395" s="263">
        <f>'Final data_for_R_analysis_Dryse'!B541</f>
        <v>100</v>
      </c>
      <c r="D395" t="s">
        <v>3841</v>
      </c>
      <c r="E395" t="s">
        <v>25</v>
      </c>
      <c r="F395" s="387">
        <v>4</v>
      </c>
      <c r="G395" s="16">
        <f>'Dry_Litterbag Placem_Collection'!E102</f>
        <v>42939</v>
      </c>
      <c r="H395" s="92" t="str">
        <f>'Final data_for_R_analysis_Dryse'!J541</f>
        <v>G187</v>
      </c>
      <c r="I395" t="str">
        <f>'Final data_for_R_analysis_Dryse'!J761</f>
        <v>R641</v>
      </c>
      <c r="J395">
        <f>IFERROR(INDEX('Green_rooibos initial weight'!$C$5:$C$1749,MATCH(H395, 'Green_rooibos initial weight'!$A$5:$A$1749,0)),"")</f>
        <v>1.996</v>
      </c>
      <c r="K395">
        <f>IFERROR(INDEX('Green_rooibos initial weight'!$C$5:$C$1749,MATCH(I395, 'Green_rooibos initial weight'!$A$5:$A$1749,0)),"")</f>
        <v>2.1459999999999999</v>
      </c>
      <c r="L395" s="195">
        <f t="shared" si="53"/>
        <v>1.7462</v>
      </c>
      <c r="M395" s="240">
        <f>AVERAGE(Ashed_controlls!$K$1:$K$11)</f>
        <v>5.5147656768714146</v>
      </c>
      <c r="N395" s="195">
        <f t="shared" si="48"/>
        <v>1.6499011617504713</v>
      </c>
      <c r="O395" s="195">
        <f t="shared" si="54"/>
        <v>1.8961999999999999</v>
      </c>
      <c r="P395" s="240">
        <f>AVERAGE(Ashed_controlls!$K$12:$K$14)</f>
        <v>2.2816647271287041</v>
      </c>
      <c r="Q395" s="195">
        <f t="shared" si="49"/>
        <v>1.8529350734441854</v>
      </c>
      <c r="R395" s="16">
        <f>IF('Dry_Litterbag Placem_Collection'!G102="N.A","",'Dry_Litterbag Placem_Collection'!G102)</f>
        <v>43010</v>
      </c>
      <c r="S395" s="195">
        <f>IF(IFERROR(INDEX('Both teabags AfterDry'!$D$1:$D$839,MATCH(H395,'Both teabags AfterDry'!$A$1:$A$839,0)),"")="N.A","",(IFERROR(INDEX('Both teabags AfterDry'!$D$1:$D$839,MATCH(H395,'Both teabags AfterDry'!$A$1:$A$839,0)),"")))</f>
        <v>1.1655</v>
      </c>
      <c r="T395" s="195">
        <f>IF(IFERROR(INDEX('Both teabags AfterDry'!$D$1:$D$839,MATCH(I395,'Both teabags AfterDry'!$A$1:$A$839,0)),"")="N.A","",(IFERROR(INDEX('Both teabags AfterDry'!$D$1:$D$839,MATCH(I395,'Both teabags AfterDry'!$A$1:$A$839,0)),"")))</f>
        <v>1.9777</v>
      </c>
      <c r="U395" s="195">
        <f t="shared" si="55"/>
        <v>1.0148999999999999</v>
      </c>
      <c r="V395" s="195">
        <f t="shared" si="55"/>
        <v>1.8270999999999999</v>
      </c>
      <c r="W395" s="195">
        <f>IFERROR(INDEX('Ashed teabags dry'!$K$2:$K$821,MATCH(H395,'Ashed teabags dry'!$A$2:$A$821,0)),"")</f>
        <v>10.999039385206627</v>
      </c>
      <c r="X395" s="195">
        <f>IFERROR(INDEX('Ashed teabags dry'!$K$2:$K$821,MATCH(I395,'Ashed teabags dry'!$A$2:$A$821,0)),"")</f>
        <v>3.7708830548921735</v>
      </c>
      <c r="Y395" s="195">
        <f t="shared" si="50"/>
        <v>0.90327074927953788</v>
      </c>
      <c r="Z395" s="195">
        <f t="shared" si="50"/>
        <v>1.758202195704065</v>
      </c>
      <c r="AA395" s="195">
        <f t="shared" si="56"/>
        <v>0.45253038774685872</v>
      </c>
      <c r="AB395" s="195">
        <f t="shared" si="57"/>
        <v>0.29667075301219242</v>
      </c>
      <c r="AC395" s="195">
        <f t="shared" si="51"/>
        <v>0.94887415155673349</v>
      </c>
      <c r="AD395">
        <f t="shared" si="52"/>
        <v>71</v>
      </c>
      <c r="AE395" s="195">
        <f t="shared" si="58"/>
        <v>0.46255298367356446</v>
      </c>
      <c r="AF395" s="195">
        <f t="shared" si="59"/>
        <v>2.6639874223300395E-3</v>
      </c>
      <c r="AG395" s="255" t="str">
        <f>IF(ISNUMBER(SEARCH("C", 'Dry_Litterbag Placem_Collection'!AD102)),"YES","NO")</f>
        <v>NO</v>
      </c>
      <c r="AH395" s="255" t="str">
        <f>IF(ISNUMBER(SEARCH("H", 'Dry_Litterbag Placem_Collection'!AD102)),"YES","NO")</f>
        <v>NO</v>
      </c>
      <c r="AI395" s="255" t="str">
        <f>IF(ISNUMBER(SEARCH("R", 'Dry_Litterbag Placem_Collection'!AD102)),"YES","NO")</f>
        <v>NO</v>
      </c>
      <c r="AJ395" s="255" t="str">
        <f>IF(ISNUMBER(SEARCH("C", 'Dry_Litterbag Placem_Collection'!AC102)),"YES","NO")</f>
        <v>NO</v>
      </c>
      <c r="AK395" s="255" t="str">
        <f>IF(ISNUMBER(SEARCH("H", 'Dry_Litterbag Placem_Collection'!AC102)),"YES","NO")</f>
        <v>NO</v>
      </c>
      <c r="AL395" s="255" t="str">
        <f>IF(ISNUMBER(SEARCH("R", 'Dry_Litterbag Placem_Collection'!AC102)),"YES","NO")</f>
        <v>NO</v>
      </c>
      <c r="AR395" t="s">
        <v>1863</v>
      </c>
      <c r="AT395" t="s">
        <v>498</v>
      </c>
    </row>
    <row r="396" spans="2:46">
      <c r="B396" t="str">
        <f>'Final data_for_R_analysis_Dryse'!A542</f>
        <v>Dry</v>
      </c>
      <c r="C396" s="263">
        <f>'Final data_for_R_analysis_Dryse'!B542</f>
        <v>101</v>
      </c>
      <c r="D396" t="s">
        <v>3841</v>
      </c>
      <c r="E396" t="s">
        <v>25</v>
      </c>
      <c r="F396" s="387">
        <v>5</v>
      </c>
      <c r="G396" s="16">
        <f>'Dry_Litterbag Placem_Collection'!E103</f>
        <v>42939</v>
      </c>
      <c r="H396" s="92" t="str">
        <f>'Final data_for_R_analysis_Dryse'!J542</f>
        <v>G398</v>
      </c>
      <c r="I396" t="str">
        <f>'Final data_for_R_analysis_Dryse'!J762</f>
        <v>R245</v>
      </c>
      <c r="J396">
        <f>IFERROR(INDEX('Green_rooibos initial weight'!$C$5:$C$1749,MATCH(H396, 'Green_rooibos initial weight'!$A$5:$A$1749,0)),"")</f>
        <v>1.9870000000000001</v>
      </c>
      <c r="K396">
        <f>IFERROR(INDEX('Green_rooibos initial weight'!$C$5:$C$1749,MATCH(I396, 'Green_rooibos initial weight'!$A$5:$A$1749,0)),"")</f>
        <v>2.258</v>
      </c>
      <c r="L396" s="195">
        <f t="shared" si="53"/>
        <v>1.7372000000000001</v>
      </c>
      <c r="M396" s="240">
        <f>AVERAGE(Ashed_controlls!$K$1:$K$11)</f>
        <v>5.5147656768714146</v>
      </c>
      <c r="N396" s="195">
        <f t="shared" ref="N396:N459" si="60">IFERROR(L396-(M396/100)*L396,"")</f>
        <v>1.64139749066139</v>
      </c>
      <c r="O396" s="195">
        <f t="shared" si="54"/>
        <v>2.0082</v>
      </c>
      <c r="P396" s="240">
        <f>AVERAGE(Ashed_controlls!$K$12:$K$14)</f>
        <v>2.2816647271287041</v>
      </c>
      <c r="Q396" s="195">
        <f t="shared" ref="Q396:Q459" si="61">IFERROR(O396-(P396/100)*O396,"")</f>
        <v>1.9623796089498013</v>
      </c>
      <c r="R396" s="16">
        <f>IF('Dry_Litterbag Placem_Collection'!G103="N.A","",'Dry_Litterbag Placem_Collection'!G103)</f>
        <v>43010</v>
      </c>
      <c r="S396" s="195">
        <f>IF(IFERROR(INDEX('Both teabags AfterDry'!$D$1:$D$839,MATCH(H396,'Both teabags AfterDry'!$A$1:$A$839,0)),"")="N.A","",(IFERROR(INDEX('Both teabags AfterDry'!$D$1:$D$839,MATCH(H396,'Both teabags AfterDry'!$A$1:$A$839,0)),"")))</f>
        <v>1.0217000000000001</v>
      </c>
      <c r="T396" s="195">
        <f>IF(IFERROR(INDEX('Both teabags AfterDry'!$D$1:$D$839,MATCH(I396,'Both teabags AfterDry'!$A$1:$A$839,0)),"")="N.A","",(IFERROR(INDEX('Both teabags AfterDry'!$D$1:$D$839,MATCH(I396,'Both teabags AfterDry'!$A$1:$A$839,0)),"")))</f>
        <v>1.8418000000000001</v>
      </c>
      <c r="U396" s="195">
        <f t="shared" si="55"/>
        <v>0.87109999999999999</v>
      </c>
      <c r="V396" s="195">
        <f t="shared" si="55"/>
        <v>1.6912</v>
      </c>
      <c r="W396" s="195">
        <f>IFERROR(INDEX('Ashed teabags dry'!$K$2:$K$821,MATCH(H396,'Ashed teabags dry'!$A$2:$A$821,0)),"")</f>
        <v>14.119832791454268</v>
      </c>
      <c r="X396" s="195">
        <f>IFERROR(INDEX('Ashed teabags dry'!$K$2:$K$821,MATCH(I396,'Ashed teabags dry'!$A$2:$A$821,0)),"")</f>
        <v>3.2786885245898914</v>
      </c>
      <c r="Y396" s="195">
        <f t="shared" ref="Y396:Z459" si="62">IFERROR(U396-(W396/100)*U396,"")</f>
        <v>0.74810213655364188</v>
      </c>
      <c r="Z396" s="195">
        <f t="shared" si="62"/>
        <v>1.6357508196721358</v>
      </c>
      <c r="AA396" s="195">
        <f t="shared" si="56"/>
        <v>0.54422853646973768</v>
      </c>
      <c r="AB396" s="195">
        <f t="shared" si="57"/>
        <v>0.35678640395640765</v>
      </c>
      <c r="AC396" s="195">
        <f t="shared" ref="AC396:AC459" si="63">IFERROR(Z396/Q396,"")</f>
        <v>0.8335547374279606</v>
      </c>
      <c r="AD396">
        <f t="shared" ref="AD396:AD459" si="64">IF((R396-G396)&gt;0,(IFERROR(R396-G396,"")),"")</f>
        <v>71</v>
      </c>
      <c r="AE396" s="195">
        <f t="shared" si="58"/>
        <v>0.35364781891955144</v>
      </c>
      <c r="AF396" s="195">
        <f t="shared" si="59"/>
        <v>8.8495683280956413E-3</v>
      </c>
      <c r="AG396" s="255" t="str">
        <f>IF(ISNUMBER(SEARCH("C", 'Dry_Litterbag Placem_Collection'!AD103)),"YES","NO")</f>
        <v>NO</v>
      </c>
      <c r="AH396" s="255" t="str">
        <f>IF(ISNUMBER(SEARCH("H", 'Dry_Litterbag Placem_Collection'!AD103)),"YES","NO")</f>
        <v>NO</v>
      </c>
      <c r="AI396" s="255" t="str">
        <f>IF(ISNUMBER(SEARCH("R", 'Dry_Litterbag Placem_Collection'!AD103)),"YES","NO")</f>
        <v>NO</v>
      </c>
      <c r="AJ396" s="255" t="str">
        <f>IF(ISNUMBER(SEARCH("C", 'Dry_Litterbag Placem_Collection'!AC103)),"YES","NO")</f>
        <v>NO</v>
      </c>
      <c r="AK396" s="255" t="str">
        <f>IF(ISNUMBER(SEARCH("H", 'Dry_Litterbag Placem_Collection'!AC103)),"YES","NO")</f>
        <v>NO</v>
      </c>
      <c r="AL396" s="255" t="str">
        <f>IF(ISNUMBER(SEARCH("R", 'Dry_Litterbag Placem_Collection'!AC103)),"YES","NO")</f>
        <v>NO</v>
      </c>
      <c r="AR396" t="s">
        <v>1652</v>
      </c>
      <c r="AT396" t="s">
        <v>896</v>
      </c>
    </row>
    <row r="397" spans="2:46">
      <c r="B397" t="str">
        <f>'Final data_for_R_analysis_Dryse'!A543</f>
        <v>Dry</v>
      </c>
      <c r="C397" s="263">
        <f>'Final data_for_R_analysis_Dryse'!B543</f>
        <v>102</v>
      </c>
      <c r="D397" t="s">
        <v>3841</v>
      </c>
      <c r="E397" t="s">
        <v>25</v>
      </c>
      <c r="F397" s="387">
        <v>6</v>
      </c>
      <c r="G397" s="16">
        <f>'Dry_Litterbag Placem_Collection'!E104</f>
        <v>42939</v>
      </c>
      <c r="H397" s="92" t="str">
        <f>'Final data_for_R_analysis_Dryse'!J543</f>
        <v>G120</v>
      </c>
      <c r="I397" t="str">
        <f>'Final data_for_R_analysis_Dryse'!J763</f>
        <v>R714</v>
      </c>
      <c r="J397">
        <f>IFERROR(INDEX('Green_rooibos initial weight'!$C$5:$C$1749,MATCH(H397, 'Green_rooibos initial weight'!$A$5:$A$1749,0)),"")</f>
        <v>2.0449999999999999</v>
      </c>
      <c r="K397">
        <f>IFERROR(INDEX('Green_rooibos initial weight'!$C$5:$C$1749,MATCH(I397, 'Green_rooibos initial weight'!$A$5:$A$1749,0)),"")</f>
        <v>2.1560000000000001</v>
      </c>
      <c r="L397" s="195">
        <f t="shared" ref="L397:L460" si="65">IFERROR(IF(J397&gt;0,(J397*$F$31-($F$29+$F$30)),""),"")</f>
        <v>1.7951999999999999</v>
      </c>
      <c r="M397" s="240">
        <f>AVERAGE(Ashed_controlls!$K$1:$K$11)</f>
        <v>5.5147656768714146</v>
      </c>
      <c r="N397" s="195">
        <f t="shared" si="60"/>
        <v>1.6961989265688042</v>
      </c>
      <c r="O397" s="195">
        <f t="shared" ref="O397:O460" si="66">IFERROR(IF(K397&gt;0,(K397*$F$32-($F$29+$F$30)),""),"")</f>
        <v>1.9062000000000001</v>
      </c>
      <c r="P397" s="240">
        <f>AVERAGE(Ashed_controlls!$K$12:$K$14)</f>
        <v>2.2816647271287041</v>
      </c>
      <c r="Q397" s="195">
        <f t="shared" si="61"/>
        <v>1.8627069069714728</v>
      </c>
      <c r="R397" s="16">
        <f>IF('Dry_Litterbag Placem_Collection'!G104="N.A","",'Dry_Litterbag Placem_Collection'!G104)</f>
        <v>43010</v>
      </c>
      <c r="S397" s="195">
        <f>IF(IFERROR(INDEX('Both teabags AfterDry'!$D$1:$D$839,MATCH(H397,'Both teabags AfterDry'!$A$1:$A$839,0)),"")="N.A","",(IFERROR(INDEX('Both teabags AfterDry'!$D$1:$D$839,MATCH(H397,'Both teabags AfterDry'!$A$1:$A$839,0)),"")))</f>
        <v>1.0569999999999999</v>
      </c>
      <c r="T397" s="195">
        <f>IF(IFERROR(INDEX('Both teabags AfterDry'!$D$1:$D$839,MATCH(I397,'Both teabags AfterDry'!$A$1:$A$839,0)),"")="N.A","",(IFERROR(INDEX('Both teabags AfterDry'!$D$1:$D$839,MATCH(I397,'Both teabags AfterDry'!$A$1:$A$839,0)),"")))</f>
        <v>1.8105</v>
      </c>
      <c r="U397" s="195">
        <f t="shared" ref="U397:V460" si="67">IFERROR(IF(S397&gt;0,S397-($F$29),""),"")</f>
        <v>0.90639999999999987</v>
      </c>
      <c r="V397" s="195">
        <f t="shared" si="67"/>
        <v>1.6598999999999999</v>
      </c>
      <c r="W397" s="195">
        <f>IFERROR(INDEX('Ashed teabags dry'!$K$2:$K$821,MATCH(H397,'Ashed teabags dry'!$A$2:$A$821,0)),"")</f>
        <v>10.580708661416786</v>
      </c>
      <c r="X397" s="195">
        <f>IFERROR(INDEX('Ashed teabags dry'!$K$2:$K$821,MATCH(I397,'Ashed teabags dry'!$A$2:$A$821,0)),"")</f>
        <v>4.3863535666823292</v>
      </c>
      <c r="Y397" s="195">
        <f t="shared" si="62"/>
        <v>0.81049645669291814</v>
      </c>
      <c r="Z397" s="195">
        <f t="shared" si="62"/>
        <v>1.5870909171466399</v>
      </c>
      <c r="AA397" s="195">
        <f t="shared" ref="AA397:AA460" si="68">IFERROR(1-Y397/N397,"")</f>
        <v>0.52216898383938382</v>
      </c>
      <c r="AB397" s="195">
        <f t="shared" ref="AB397:AB460" si="69">IFERROR($F$26*(1-AE397),"")</f>
        <v>0.34232455947665075</v>
      </c>
      <c r="AC397" s="195">
        <f t="shared" si="63"/>
        <v>0.85203469810881316</v>
      </c>
      <c r="AD397">
        <f t="shared" si="64"/>
        <v>71</v>
      </c>
      <c r="AE397" s="195">
        <f t="shared" ref="AE397:AE460" si="70">IFERROR(1-(AA397/$F$25),"")</f>
        <v>0.37984681254229946</v>
      </c>
      <c r="AF397" s="195">
        <f t="shared" ref="AF397:AF460" si="71">IFERROR(LN(AB397/(AC397-(1-AB397)))/AD397,"")</f>
        <v>7.9725493186023223E-3</v>
      </c>
      <c r="AG397" s="255" t="str">
        <f>IF(ISNUMBER(SEARCH("C", 'Dry_Litterbag Placem_Collection'!AD104)),"YES","NO")</f>
        <v>NO</v>
      </c>
      <c r="AH397" s="255" t="str">
        <f>IF(ISNUMBER(SEARCH("H", 'Dry_Litterbag Placem_Collection'!AD104)),"YES","NO")</f>
        <v>NO</v>
      </c>
      <c r="AI397" s="255" t="str">
        <f>IF(ISNUMBER(SEARCH("R", 'Dry_Litterbag Placem_Collection'!AD104)),"YES","NO")</f>
        <v>NO</v>
      </c>
      <c r="AJ397" s="255" t="str">
        <f>IF(ISNUMBER(SEARCH("C", 'Dry_Litterbag Placem_Collection'!AC104)),"YES","NO")</f>
        <v>NO</v>
      </c>
      <c r="AK397" s="255" t="str">
        <f>IF(ISNUMBER(SEARCH("H", 'Dry_Litterbag Placem_Collection'!AC104)),"YES","NO")</f>
        <v>NO</v>
      </c>
      <c r="AL397" s="255" t="str">
        <f>IF(ISNUMBER(SEARCH("R", 'Dry_Litterbag Placem_Collection'!AC104)),"YES","NO")</f>
        <v>NO</v>
      </c>
      <c r="AR397" t="s">
        <v>1930</v>
      </c>
      <c r="AT397" t="s">
        <v>425</v>
      </c>
    </row>
    <row r="398" spans="2:46">
      <c r="B398" t="str">
        <f>'Final data_for_R_analysis_Dryse'!A544</f>
        <v>Dry</v>
      </c>
      <c r="C398" s="263">
        <f>'Final data_for_R_analysis_Dryse'!B544</f>
        <v>103</v>
      </c>
      <c r="D398" t="s">
        <v>3841</v>
      </c>
      <c r="E398" t="s">
        <v>25</v>
      </c>
      <c r="F398" s="387">
        <v>7</v>
      </c>
      <c r="G398" s="16">
        <f>'Dry_Litterbag Placem_Collection'!E105</f>
        <v>42939</v>
      </c>
      <c r="H398" s="92" t="str">
        <f>'Final data_for_R_analysis_Dryse'!J544</f>
        <v>G145</v>
      </c>
      <c r="I398" t="str">
        <f>'Final data_for_R_analysis_Dryse'!J764</f>
        <v>R701</v>
      </c>
      <c r="J398">
        <f>IFERROR(INDEX('Green_rooibos initial weight'!$C$5:$C$1749,MATCH(H398, 'Green_rooibos initial weight'!$A$5:$A$1749,0)),"")</f>
        <v>2.044</v>
      </c>
      <c r="K398">
        <f>IFERROR(INDEX('Green_rooibos initial weight'!$C$5:$C$1749,MATCH(I398, 'Green_rooibos initial weight'!$A$5:$A$1749,0)),"")</f>
        <v>2.1549999999999998</v>
      </c>
      <c r="L398" s="195">
        <f t="shared" si="65"/>
        <v>1.7942</v>
      </c>
      <c r="M398" s="240">
        <f>AVERAGE(Ashed_controlls!$K$1:$K$11)</f>
        <v>5.5147656768714146</v>
      </c>
      <c r="N398" s="195">
        <f t="shared" si="60"/>
        <v>1.6952540742255731</v>
      </c>
      <c r="O398" s="195">
        <f t="shared" si="66"/>
        <v>1.9051999999999998</v>
      </c>
      <c r="P398" s="240">
        <f>AVERAGE(Ashed_controlls!$K$12:$K$14)</f>
        <v>2.2816647271287041</v>
      </c>
      <c r="Q398" s="195">
        <f t="shared" si="61"/>
        <v>1.8617297236187438</v>
      </c>
      <c r="R398" s="16">
        <f>IF('Dry_Litterbag Placem_Collection'!G105="N.A","",'Dry_Litterbag Placem_Collection'!G105)</f>
        <v>43010</v>
      </c>
      <c r="S398" s="195">
        <f>IF(IFERROR(INDEX('Both teabags AfterDry'!$D$1:$D$839,MATCH(H398,'Both teabags AfterDry'!$A$1:$A$839,0)),"")="N.A","",(IFERROR(INDEX('Both teabags AfterDry'!$D$1:$D$839,MATCH(H398,'Both teabags AfterDry'!$A$1:$A$839,0)),"")))</f>
        <v>1.0654999999999999</v>
      </c>
      <c r="T398" s="195">
        <f>IF(IFERROR(INDEX('Both teabags AfterDry'!$D$1:$D$839,MATCH(I398,'Both teabags AfterDry'!$A$1:$A$839,0)),"")="N.A","",(IFERROR(INDEX('Both teabags AfterDry'!$D$1:$D$839,MATCH(I398,'Both teabags AfterDry'!$A$1:$A$839,0)),"")))</f>
        <v>1.8272999999999999</v>
      </c>
      <c r="U398" s="195">
        <f t="shared" si="67"/>
        <v>0.91489999999999982</v>
      </c>
      <c r="V398" s="195">
        <f t="shared" si="67"/>
        <v>1.6766999999999999</v>
      </c>
      <c r="W398" s="195">
        <f>IFERROR(INDEX('Ashed teabags dry'!$K$2:$K$821,MATCH(H398,'Ashed teabags dry'!$A$2:$A$821,0)),"")</f>
        <v>11.406672678088214</v>
      </c>
      <c r="X398" s="195">
        <f>IFERROR(INDEX('Ashed teabags dry'!$K$2:$K$821,MATCH(I398,'Ashed teabags dry'!$A$2:$A$821,0)),"")</f>
        <v>4.2152466367706989</v>
      </c>
      <c r="Y398" s="195">
        <f t="shared" si="62"/>
        <v>0.81054035166817084</v>
      </c>
      <c r="Z398" s="195">
        <f t="shared" si="62"/>
        <v>1.6060229596412656</v>
      </c>
      <c r="AA398" s="195">
        <f t="shared" si="68"/>
        <v>0.5218767711627873</v>
      </c>
      <c r="AB398" s="195">
        <f t="shared" si="69"/>
        <v>0.3421329901209722</v>
      </c>
      <c r="AC398" s="195">
        <f t="shared" si="63"/>
        <v>0.86265097412719649</v>
      </c>
      <c r="AD398">
        <f t="shared" si="64"/>
        <v>71</v>
      </c>
      <c r="AE398" s="195">
        <f t="shared" si="70"/>
        <v>0.38019385847649967</v>
      </c>
      <c r="AF398" s="195">
        <f t="shared" si="71"/>
        <v>7.2287877598408269E-3</v>
      </c>
      <c r="AG398" s="255" t="str">
        <f>IF(ISNUMBER(SEARCH("C", 'Dry_Litterbag Placem_Collection'!AD105)),"YES","NO")</f>
        <v>NO</v>
      </c>
      <c r="AH398" s="255" t="str">
        <f>IF(ISNUMBER(SEARCH("H", 'Dry_Litterbag Placem_Collection'!AD105)),"YES","NO")</f>
        <v>NO</v>
      </c>
      <c r="AI398" s="255" t="str">
        <f>IF(ISNUMBER(SEARCH("R", 'Dry_Litterbag Placem_Collection'!AD105)),"YES","NO")</f>
        <v>NO</v>
      </c>
      <c r="AJ398" s="255" t="str">
        <f>IF(ISNUMBER(SEARCH("C", 'Dry_Litterbag Placem_Collection'!AC105)),"YES","NO")</f>
        <v>NO</v>
      </c>
      <c r="AK398" s="255" t="str">
        <f>IF(ISNUMBER(SEARCH("H", 'Dry_Litterbag Placem_Collection'!AC105)),"YES","NO")</f>
        <v>NO</v>
      </c>
      <c r="AL398" s="255" t="str">
        <f>IF(ISNUMBER(SEARCH("R", 'Dry_Litterbag Placem_Collection'!AC105)),"YES","NO")</f>
        <v>NO</v>
      </c>
      <c r="AR398" t="s">
        <v>1905</v>
      </c>
      <c r="AT398" t="s">
        <v>438</v>
      </c>
    </row>
    <row r="399" spans="2:46">
      <c r="B399" t="str">
        <f>'Final data_for_R_analysis_Dryse'!A545</f>
        <v>Dry</v>
      </c>
      <c r="C399" s="263">
        <f>'Final data_for_R_analysis_Dryse'!B545</f>
        <v>104</v>
      </c>
      <c r="D399" t="s">
        <v>3841</v>
      </c>
      <c r="E399" t="s">
        <v>25</v>
      </c>
      <c r="F399" s="387">
        <v>8</v>
      </c>
      <c r="G399" s="16">
        <f>'Dry_Litterbag Placem_Collection'!E106</f>
        <v>42939</v>
      </c>
      <c r="H399" s="92" t="str">
        <f>'Final data_for_R_analysis_Dryse'!J545</f>
        <v>G76</v>
      </c>
      <c r="I399" t="str">
        <f>'Final data_for_R_analysis_Dryse'!J765</f>
        <v>R365</v>
      </c>
      <c r="J399">
        <f>IFERROR(INDEX('Green_rooibos initial weight'!$C$5:$C$1749,MATCH(H399, 'Green_rooibos initial weight'!$A$5:$A$1749,0)),"")</f>
        <v>2.0129999999999999</v>
      </c>
      <c r="K399">
        <f>IFERROR(INDEX('Green_rooibos initial weight'!$C$5:$C$1749,MATCH(I399, 'Green_rooibos initial weight'!$A$5:$A$1749,0)),"")</f>
        <v>2.2130000000000001</v>
      </c>
      <c r="L399" s="195">
        <f t="shared" si="65"/>
        <v>1.7631999999999999</v>
      </c>
      <c r="M399" s="240">
        <f>AVERAGE(Ashed_controlls!$K$1:$K$11)</f>
        <v>5.5147656768714146</v>
      </c>
      <c r="N399" s="195">
        <f t="shared" si="60"/>
        <v>1.665963651585403</v>
      </c>
      <c r="O399" s="195">
        <f t="shared" si="66"/>
        <v>1.9632000000000001</v>
      </c>
      <c r="P399" s="240">
        <f>AVERAGE(Ashed_controlls!$K$12:$K$14)</f>
        <v>2.2816647271287041</v>
      </c>
      <c r="Q399" s="195">
        <f t="shared" si="61"/>
        <v>1.9184063580770094</v>
      </c>
      <c r="R399" s="16">
        <f>IF('Dry_Litterbag Placem_Collection'!G106="N.A","",'Dry_Litterbag Placem_Collection'!G106)</f>
        <v>43010</v>
      </c>
      <c r="S399" s="195">
        <f>IF(IFERROR(INDEX('Both teabags AfterDry'!$D$1:$D$839,MATCH(H399,'Both teabags AfterDry'!$A$1:$A$839,0)),"")="N.A","",(IFERROR(INDEX('Both teabags AfterDry'!$D$1:$D$839,MATCH(H399,'Both teabags AfterDry'!$A$1:$A$839,0)),"")))</f>
        <v>1.2876000000000001</v>
      </c>
      <c r="T399" s="195">
        <f>IF(IFERROR(INDEX('Both teabags AfterDry'!$D$1:$D$839,MATCH(I399,'Both teabags AfterDry'!$A$1:$A$839,0)),"")="N.A","",(IFERROR(INDEX('Both teabags AfterDry'!$D$1:$D$839,MATCH(I399,'Both teabags AfterDry'!$A$1:$A$839,0)),"")))</f>
        <v>1.9468000000000001</v>
      </c>
      <c r="U399" s="195">
        <f t="shared" si="67"/>
        <v>1.137</v>
      </c>
      <c r="V399" s="195">
        <f t="shared" si="67"/>
        <v>1.7962</v>
      </c>
      <c r="W399" s="195">
        <f>IFERROR(INDEX('Ashed teabags dry'!$K$2:$K$821,MATCH(H399,'Ashed teabags dry'!$A$2:$A$821,0)),"")</f>
        <v>9.59232613908814</v>
      </c>
      <c r="X399" s="195">
        <f>IFERROR(INDEX('Ashed teabags dry'!$K$2:$K$821,MATCH(I399,'Ashed teabags dry'!$A$2:$A$821,0)),"")</f>
        <v>3.5681186283600224</v>
      </c>
      <c r="Y399" s="195">
        <f t="shared" si="62"/>
        <v>1.0279352517985678</v>
      </c>
      <c r="Z399" s="195">
        <f t="shared" si="62"/>
        <v>1.7321094531973973</v>
      </c>
      <c r="AA399" s="195">
        <f t="shared" si="68"/>
        <v>0.38297858370418814</v>
      </c>
      <c r="AB399" s="195">
        <f t="shared" si="69"/>
        <v>0.25107384584882647</v>
      </c>
      <c r="AC399" s="195">
        <f t="shared" si="63"/>
        <v>0.90288975842096653</v>
      </c>
      <c r="AD399">
        <f t="shared" si="64"/>
        <v>71</v>
      </c>
      <c r="AE399" s="195">
        <f t="shared" si="70"/>
        <v>0.54515607636082164</v>
      </c>
      <c r="AF399" s="195">
        <f t="shared" si="71"/>
        <v>6.8877586459026238E-3</v>
      </c>
      <c r="AG399" s="255" t="str">
        <f>IF(ISNUMBER(SEARCH("C", 'Dry_Litterbag Placem_Collection'!AD106)),"YES","NO")</f>
        <v>NO</v>
      </c>
      <c r="AH399" s="255" t="str">
        <f>IF(ISNUMBER(SEARCH("H", 'Dry_Litterbag Placem_Collection'!AD106)),"YES","NO")</f>
        <v>NO</v>
      </c>
      <c r="AI399" s="255" t="str">
        <f>IF(ISNUMBER(SEARCH("R", 'Dry_Litterbag Placem_Collection'!AD106)),"YES","NO")</f>
        <v>NO</v>
      </c>
      <c r="AJ399" s="255" t="str">
        <f>IF(ISNUMBER(SEARCH("C", 'Dry_Litterbag Placem_Collection'!AC106)),"YES","NO")</f>
        <v>NO</v>
      </c>
      <c r="AK399" s="255" t="str">
        <f>IF(ISNUMBER(SEARCH("H", 'Dry_Litterbag Placem_Collection'!AC106)),"YES","NO")</f>
        <v>NO</v>
      </c>
      <c r="AL399" s="255" t="str">
        <f>IF(ISNUMBER(SEARCH("R", 'Dry_Litterbag Placem_Collection'!AC106)),"YES","NO")</f>
        <v>NO</v>
      </c>
      <c r="AR399" t="s">
        <v>1974</v>
      </c>
      <c r="AT399" t="s">
        <v>776</v>
      </c>
    </row>
    <row r="400" spans="2:46">
      <c r="B400" t="str">
        <f>'Final data_for_R_analysis_Dryse'!A546</f>
        <v>Dry</v>
      </c>
      <c r="C400" s="263">
        <f>'Final data_for_R_analysis_Dryse'!B546</f>
        <v>105</v>
      </c>
      <c r="D400" t="s">
        <v>3843</v>
      </c>
      <c r="E400" t="s">
        <v>25</v>
      </c>
      <c r="F400" s="386">
        <v>1</v>
      </c>
      <c r="G400" s="16">
        <f>'Dry_Litterbag Placem_Collection'!E107</f>
        <v>42939</v>
      </c>
      <c r="H400" s="92" t="str">
        <f>'Final data_for_R_analysis_Dryse'!J546</f>
        <v>G57</v>
      </c>
      <c r="I400" t="str">
        <f>'Final data_for_R_analysis_Dryse'!J766</f>
        <v>R212</v>
      </c>
      <c r="J400">
        <f>IFERROR(INDEX('Green_rooibos initial weight'!$C$5:$C$1749,MATCH(H400, 'Green_rooibos initial weight'!$A$5:$A$1749,0)),"")</f>
        <v>2.077</v>
      </c>
      <c r="K400">
        <f>IFERROR(INDEX('Green_rooibos initial weight'!$C$5:$C$1749,MATCH(I400, 'Green_rooibos initial weight'!$A$5:$A$1749,0)),"")</f>
        <v>2.2519999999999998</v>
      </c>
      <c r="L400" s="195">
        <f t="shared" si="65"/>
        <v>1.8271999999999999</v>
      </c>
      <c r="M400" s="240">
        <f>AVERAGE(Ashed_controlls!$K$1:$K$11)</f>
        <v>5.5147656768714146</v>
      </c>
      <c r="N400" s="195">
        <f t="shared" si="60"/>
        <v>1.7264342015522054</v>
      </c>
      <c r="O400" s="195">
        <f t="shared" si="66"/>
        <v>2.0021999999999998</v>
      </c>
      <c r="P400" s="240">
        <f>AVERAGE(Ashed_controlls!$K$12:$K$14)</f>
        <v>2.2816647271287041</v>
      </c>
      <c r="Q400" s="195">
        <f t="shared" si="61"/>
        <v>1.9565165088334289</v>
      </c>
      <c r="R400" s="16">
        <f>IF('Dry_Litterbag Placem_Collection'!G107="N.A","",'Dry_Litterbag Placem_Collection'!G107)</f>
        <v>43010</v>
      </c>
      <c r="S400" s="195">
        <f>IF(IFERROR(INDEX('Both teabags AfterDry'!$D$1:$D$839,MATCH(H400,'Both teabags AfterDry'!$A$1:$A$839,0)),"")="N.A","",(IFERROR(INDEX('Both teabags AfterDry'!$D$1:$D$839,MATCH(H400,'Both teabags AfterDry'!$A$1:$A$839,0)),"")))</f>
        <v>1.0114000000000001</v>
      </c>
      <c r="T400" s="195">
        <f>IF(IFERROR(INDEX('Both teabags AfterDry'!$D$1:$D$839,MATCH(I400,'Both teabags AfterDry'!$A$1:$A$839,0)),"")="N.A","",(IFERROR(INDEX('Both teabags AfterDry'!$D$1:$D$839,MATCH(I400,'Both teabags AfterDry'!$A$1:$A$839,0)),"")))</f>
        <v>1.9135</v>
      </c>
      <c r="U400" s="195">
        <f t="shared" si="67"/>
        <v>0.86080000000000001</v>
      </c>
      <c r="V400" s="195">
        <f t="shared" si="67"/>
        <v>1.7628999999999999</v>
      </c>
      <c r="W400" s="195">
        <f>IFERROR(INDEX('Ashed teabags dry'!$K$2:$K$821,MATCH(H400,'Ashed teabags dry'!$A$2:$A$821,0)),"")</f>
        <v>24.439461883408928</v>
      </c>
      <c r="X400" s="195">
        <f>IFERROR(INDEX('Ashed teabags dry'!$K$2:$K$821,MATCH(I400,'Ashed teabags dry'!$A$2:$A$821,0)),"")</f>
        <v>7.1020019065774402</v>
      </c>
      <c r="Y400" s="195">
        <f t="shared" si="62"/>
        <v>0.65042511210761589</v>
      </c>
      <c r="Z400" s="195">
        <f t="shared" si="62"/>
        <v>1.6376988083889463</v>
      </c>
      <c r="AA400" s="195">
        <f t="shared" si="68"/>
        <v>0.62325519760739767</v>
      </c>
      <c r="AB400" s="195">
        <f t="shared" si="69"/>
        <v>0.40859485638869786</v>
      </c>
      <c r="AC400" s="195">
        <f t="shared" si="63"/>
        <v>0.83704829527118207</v>
      </c>
      <c r="AD400">
        <f t="shared" si="64"/>
        <v>71</v>
      </c>
      <c r="AE400" s="195">
        <f t="shared" si="70"/>
        <v>0.2597919268320692</v>
      </c>
      <c r="AF400" s="195">
        <f t="shared" si="71"/>
        <v>7.166819917542905E-3</v>
      </c>
      <c r="AG400" s="255" t="str">
        <f>IF(ISNUMBER(SEARCH("C", 'Dry_Litterbag Placem_Collection'!AD107)),"YES","NO")</f>
        <v>NO</v>
      </c>
      <c r="AH400" s="255" t="str">
        <f>IF(ISNUMBER(SEARCH("H", 'Dry_Litterbag Placem_Collection'!AD107)),"YES","NO")</f>
        <v>NO</v>
      </c>
      <c r="AI400" s="255" t="str">
        <f>IF(ISNUMBER(SEARCH("R", 'Dry_Litterbag Placem_Collection'!AD107)),"YES","NO")</f>
        <v>NO</v>
      </c>
      <c r="AJ400" s="255" t="str">
        <f>IF(ISNUMBER(SEARCH("C", 'Dry_Litterbag Placem_Collection'!AC107)),"YES","NO")</f>
        <v>NO</v>
      </c>
      <c r="AK400" s="255" t="str">
        <f>IF(ISNUMBER(SEARCH("H", 'Dry_Litterbag Placem_Collection'!AC107)),"YES","NO")</f>
        <v>NO</v>
      </c>
      <c r="AL400" s="255" t="str">
        <f>IF(ISNUMBER(SEARCH("R", 'Dry_Litterbag Placem_Collection'!AC107)),"YES","NO")</f>
        <v>NO</v>
      </c>
      <c r="AR400" t="s">
        <v>1993</v>
      </c>
      <c r="AT400" t="s">
        <v>929</v>
      </c>
    </row>
    <row r="401" spans="2:46">
      <c r="B401" t="str">
        <f>'Final data_for_R_analysis_Dryse'!A547</f>
        <v>Dry</v>
      </c>
      <c r="C401" s="263">
        <f>'Final data_for_R_analysis_Dryse'!B547</f>
        <v>106</v>
      </c>
      <c r="D401" t="s">
        <v>3843</v>
      </c>
      <c r="E401" t="s">
        <v>25</v>
      </c>
      <c r="F401" s="386">
        <v>2</v>
      </c>
      <c r="G401" s="16">
        <f>'Dry_Litterbag Placem_Collection'!E108</f>
        <v>42939</v>
      </c>
      <c r="H401" s="92" t="str">
        <f>'Final data_for_R_analysis_Dryse'!J547</f>
        <v>G167</v>
      </c>
      <c r="I401" t="str">
        <f>'Final data_for_R_analysis_Dryse'!J767</f>
        <v>R66</v>
      </c>
      <c r="J401">
        <f>IFERROR(INDEX('Green_rooibos initial weight'!$C$5:$C$1749,MATCH(H401, 'Green_rooibos initial weight'!$A$5:$A$1749,0)),"")</f>
        <v>1.996</v>
      </c>
      <c r="K401">
        <f>IFERROR(INDEX('Green_rooibos initial weight'!$C$5:$C$1749,MATCH(I401, 'Green_rooibos initial weight'!$A$5:$A$1749,0)),"")</f>
        <v>2.1120000000000001</v>
      </c>
      <c r="L401" s="195">
        <f t="shared" si="65"/>
        <v>1.7462</v>
      </c>
      <c r="M401" s="240">
        <f>AVERAGE(Ashed_controlls!$K$1:$K$11)</f>
        <v>5.5147656768714146</v>
      </c>
      <c r="N401" s="195">
        <f t="shared" si="60"/>
        <v>1.6499011617504713</v>
      </c>
      <c r="O401" s="195">
        <f t="shared" si="66"/>
        <v>1.8622000000000001</v>
      </c>
      <c r="P401" s="240">
        <f>AVERAGE(Ashed_controlls!$K$12:$K$14)</f>
        <v>2.2816647271287041</v>
      </c>
      <c r="Q401" s="195">
        <f t="shared" si="61"/>
        <v>1.8197108394514094</v>
      </c>
      <c r="R401" s="16">
        <f>IF('Dry_Litterbag Placem_Collection'!G108="N.A","",'Dry_Litterbag Placem_Collection'!G108)</f>
        <v>43010</v>
      </c>
      <c r="S401" s="195">
        <f>IF(IFERROR(INDEX('Both teabags AfterDry'!$D$1:$D$839,MATCH(H401,'Both teabags AfterDry'!$A$1:$A$839,0)),"")="N.A","",(IFERROR(INDEX('Both teabags AfterDry'!$D$1:$D$839,MATCH(H401,'Both teabags AfterDry'!$A$1:$A$839,0)),"")))</f>
        <v>0.98309999999999997</v>
      </c>
      <c r="T401" s="195">
        <f>IF(IFERROR(INDEX('Both teabags AfterDry'!$D$1:$D$839,MATCH(I401,'Both teabags AfterDry'!$A$1:$A$839,0)),"")="N.A","",(IFERROR(INDEX('Both teabags AfterDry'!$D$1:$D$839,MATCH(I401,'Both teabags AfterDry'!$A$1:$A$839,0)),"")))</f>
        <v>1.7972999999999999</v>
      </c>
      <c r="U401" s="195">
        <f t="shared" si="67"/>
        <v>0.83250000000000002</v>
      </c>
      <c r="V401" s="195">
        <f t="shared" si="67"/>
        <v>1.6466999999999998</v>
      </c>
      <c r="W401" s="195">
        <f>IFERROR(INDEX('Ashed teabags dry'!$K$2:$K$821,MATCH(H401,'Ashed teabags dry'!$A$2:$A$821,0)),"")</f>
        <v>18.432769367765196</v>
      </c>
      <c r="X401" s="195">
        <f>IFERROR(INDEX('Ashed teabags dry'!$K$2:$K$821,MATCH(I401,'Ashed teabags dry'!$A$2:$A$821,0)),"")</f>
        <v>2.6819923371648411</v>
      </c>
      <c r="Y401" s="195">
        <f t="shared" si="62"/>
        <v>0.67904719501335475</v>
      </c>
      <c r="Z401" s="195">
        <f t="shared" si="62"/>
        <v>1.6025356321839064</v>
      </c>
      <c r="AA401" s="195">
        <f t="shared" si="68"/>
        <v>0.58843159168824632</v>
      </c>
      <c r="AB401" s="195">
        <f t="shared" si="69"/>
        <v>0.3857651289927696</v>
      </c>
      <c r="AC401" s="195">
        <f t="shared" si="63"/>
        <v>0.88065400141652439</v>
      </c>
      <c r="AD401">
        <f t="shared" si="64"/>
        <v>71</v>
      </c>
      <c r="AE401" s="195">
        <f t="shared" si="70"/>
        <v>0.30115012863628698</v>
      </c>
      <c r="AF401" s="195">
        <f t="shared" si="71"/>
        <v>5.2134924397701041E-3</v>
      </c>
      <c r="AG401" s="255" t="str">
        <f>IF(ISNUMBER(SEARCH("C", 'Dry_Litterbag Placem_Collection'!AD108)),"YES","NO")</f>
        <v>NO</v>
      </c>
      <c r="AH401" s="255" t="str">
        <f>IF(ISNUMBER(SEARCH("H", 'Dry_Litterbag Placem_Collection'!AD108)),"YES","NO")</f>
        <v>NO</v>
      </c>
      <c r="AI401" s="255" t="str">
        <f>IF(ISNUMBER(SEARCH("R", 'Dry_Litterbag Placem_Collection'!AD108)),"YES","NO")</f>
        <v>NO</v>
      </c>
      <c r="AJ401" s="255" t="str">
        <f>IF(ISNUMBER(SEARCH("C", 'Dry_Litterbag Placem_Collection'!AC108)),"YES","NO")</f>
        <v>NO</v>
      </c>
      <c r="AK401" s="255" t="str">
        <f>IF(ISNUMBER(SEARCH("H", 'Dry_Litterbag Placem_Collection'!AC108)),"YES","NO")</f>
        <v>NO</v>
      </c>
      <c r="AL401" s="255" t="str">
        <f>IF(ISNUMBER(SEARCH("R", 'Dry_Litterbag Placem_Collection'!AC108)),"YES","NO")</f>
        <v>NO</v>
      </c>
      <c r="AR401" t="s">
        <v>1883</v>
      </c>
      <c r="AT401" t="s">
        <v>1075</v>
      </c>
    </row>
    <row r="402" spans="2:46">
      <c r="B402" t="str">
        <f>'Final data_for_R_analysis_Dryse'!A548</f>
        <v>Dry</v>
      </c>
      <c r="C402" s="263">
        <f>'Final data_for_R_analysis_Dryse'!B548</f>
        <v>107</v>
      </c>
      <c r="D402" t="s">
        <v>3843</v>
      </c>
      <c r="E402" t="s">
        <v>25</v>
      </c>
      <c r="F402" s="386">
        <v>3</v>
      </c>
      <c r="G402" s="16">
        <f>'Dry_Litterbag Placem_Collection'!E109</f>
        <v>42939</v>
      </c>
      <c r="H402" s="92" t="str">
        <f>'Final data_for_R_analysis_Dryse'!J548</f>
        <v>G208</v>
      </c>
      <c r="I402" t="str">
        <f>'Final data_for_R_analysis_Dryse'!J768</f>
        <v>R347</v>
      </c>
      <c r="J402">
        <f>IFERROR(INDEX('Green_rooibos initial weight'!$C$5:$C$1749,MATCH(H402, 'Green_rooibos initial weight'!$A$5:$A$1749,0)),"")</f>
        <v>2.0019999999999998</v>
      </c>
      <c r="K402">
        <f>IFERROR(INDEX('Green_rooibos initial weight'!$C$5:$C$1749,MATCH(I402, 'Green_rooibos initial weight'!$A$5:$A$1749,0)),"")</f>
        <v>2.2400000000000002</v>
      </c>
      <c r="L402" s="195">
        <f t="shared" si="65"/>
        <v>1.7521999999999998</v>
      </c>
      <c r="M402" s="240">
        <f>AVERAGE(Ashed_controlls!$K$1:$K$11)</f>
        <v>5.5147656768714146</v>
      </c>
      <c r="N402" s="195">
        <f t="shared" si="60"/>
        <v>1.6555702758098589</v>
      </c>
      <c r="O402" s="195">
        <f t="shared" si="66"/>
        <v>1.9902000000000002</v>
      </c>
      <c r="P402" s="240">
        <f>AVERAGE(Ashed_controlls!$K$12:$K$14)</f>
        <v>2.2816647271287041</v>
      </c>
      <c r="Q402" s="195">
        <f t="shared" si="61"/>
        <v>1.9447903086006848</v>
      </c>
      <c r="R402" s="16">
        <f>IF('Dry_Litterbag Placem_Collection'!G109="N.A","",'Dry_Litterbag Placem_Collection'!G109)</f>
        <v>43010</v>
      </c>
      <c r="S402" s="195" t="str">
        <f>IF(IFERROR(INDEX('Both teabags AfterDry'!$D$1:$D$839,MATCH(H402,'Both teabags AfterDry'!$A$1:$A$839,0)),"")="N.A","",(IFERROR(INDEX('Both teabags AfterDry'!$D$1:$D$839,MATCH(H402,'Both teabags AfterDry'!$A$1:$A$839,0)),"")))</f>
        <v/>
      </c>
      <c r="T402" s="195" t="str">
        <f>IF(IFERROR(INDEX('Both teabags AfterDry'!$D$1:$D$839,MATCH(I402,'Both teabags AfterDry'!$A$1:$A$839,0)),"")="N.A","",(IFERROR(INDEX('Both teabags AfterDry'!$D$1:$D$839,MATCH(I402,'Both teabags AfterDry'!$A$1:$A$839,0)),"")))</f>
        <v/>
      </c>
      <c r="U402" s="195" t="str">
        <f t="shared" si="67"/>
        <v/>
      </c>
      <c r="V402" s="195" t="str">
        <f t="shared" si="67"/>
        <v/>
      </c>
      <c r="W402" s="195" t="str">
        <f>IFERROR(INDEX('Ashed teabags dry'!$K$2:$K$821,MATCH(H402,'Ashed teabags dry'!$A$2:$A$821,0)),"")</f>
        <v/>
      </c>
      <c r="X402" s="195" t="str">
        <f>IFERROR(INDEX('Ashed teabags dry'!$K$2:$K$821,MATCH(I402,'Ashed teabags dry'!$A$2:$A$821,0)),"")</f>
        <v/>
      </c>
      <c r="Y402" s="195" t="str">
        <f t="shared" si="62"/>
        <v/>
      </c>
      <c r="Z402" s="195" t="str">
        <f t="shared" si="62"/>
        <v/>
      </c>
      <c r="AA402" s="195" t="str">
        <f t="shared" si="68"/>
        <v/>
      </c>
      <c r="AB402" s="195" t="str">
        <f t="shared" si="69"/>
        <v/>
      </c>
      <c r="AC402" s="195" t="str">
        <f t="shared" si="63"/>
        <v/>
      </c>
      <c r="AD402">
        <f t="shared" si="64"/>
        <v>71</v>
      </c>
      <c r="AE402" s="195" t="str">
        <f t="shared" si="70"/>
        <v/>
      </c>
      <c r="AF402" s="195" t="str">
        <f t="shared" si="71"/>
        <v/>
      </c>
      <c r="AG402" s="255" t="str">
        <f>IF(ISNUMBER(SEARCH("C", 'Dry_Litterbag Placem_Collection'!AD109)),"YES","NO")</f>
        <v>NO</v>
      </c>
      <c r="AH402" s="255" t="str">
        <f>IF(ISNUMBER(SEARCH("H", 'Dry_Litterbag Placem_Collection'!AD109)),"YES","NO")</f>
        <v>NO</v>
      </c>
      <c r="AI402" s="255" t="str">
        <f>IF(ISNUMBER(SEARCH("R", 'Dry_Litterbag Placem_Collection'!AD109)),"YES","NO")</f>
        <v>NO</v>
      </c>
      <c r="AJ402" s="255" t="str">
        <f>IF(ISNUMBER(SEARCH("C", 'Dry_Litterbag Placem_Collection'!AC109)),"YES","NO")</f>
        <v>NO</v>
      </c>
      <c r="AK402" s="255" t="str">
        <f>IF(ISNUMBER(SEARCH("H", 'Dry_Litterbag Placem_Collection'!AC109)),"YES","NO")</f>
        <v>NO</v>
      </c>
      <c r="AL402" s="255" t="str">
        <f>IF(ISNUMBER(SEARCH("R", 'Dry_Litterbag Placem_Collection'!AC109)),"YES","NO")</f>
        <v>NO</v>
      </c>
      <c r="AR402" t="s">
        <v>1842</v>
      </c>
      <c r="AT402" t="s">
        <v>794</v>
      </c>
    </row>
    <row r="403" spans="2:46">
      <c r="B403" t="str">
        <f>'Final data_for_R_analysis_Dryse'!A549</f>
        <v>Dry</v>
      </c>
      <c r="C403" s="263">
        <f>'Final data_for_R_analysis_Dryse'!B549</f>
        <v>108</v>
      </c>
      <c r="D403" t="s">
        <v>3843</v>
      </c>
      <c r="E403" t="s">
        <v>25</v>
      </c>
      <c r="F403" s="387">
        <v>4</v>
      </c>
      <c r="G403" s="16">
        <f>'Dry_Litterbag Placem_Collection'!E110</f>
        <v>42939</v>
      </c>
      <c r="H403" s="92" t="str">
        <f>'Final data_for_R_analysis_Dryse'!J549</f>
        <v>G62</v>
      </c>
      <c r="I403" t="str">
        <f>'Final data_for_R_analysis_Dryse'!J769</f>
        <v>R206</v>
      </c>
      <c r="J403">
        <f>IFERROR(INDEX('Green_rooibos initial weight'!$C$5:$C$1749,MATCH(H403, 'Green_rooibos initial weight'!$A$5:$A$1749,0)),"")</f>
        <v>2.0819999999999999</v>
      </c>
      <c r="K403">
        <f>IFERROR(INDEX('Green_rooibos initial weight'!$C$5:$C$1749,MATCH(I403, 'Green_rooibos initial weight'!$A$5:$A$1749,0)),"")</f>
        <v>2.2549999999999999</v>
      </c>
      <c r="L403" s="195">
        <f t="shared" si="65"/>
        <v>1.8321999999999998</v>
      </c>
      <c r="M403" s="240">
        <f>AVERAGE(Ashed_controlls!$K$1:$K$11)</f>
        <v>5.5147656768714146</v>
      </c>
      <c r="N403" s="195">
        <f t="shared" si="60"/>
        <v>1.7311584632683619</v>
      </c>
      <c r="O403" s="195">
        <f t="shared" si="66"/>
        <v>2.0051999999999999</v>
      </c>
      <c r="P403" s="240">
        <f>AVERAGE(Ashed_controlls!$K$12:$K$14)</f>
        <v>2.2816647271287041</v>
      </c>
      <c r="Q403" s="195">
        <f t="shared" si="61"/>
        <v>1.959448058891615</v>
      </c>
      <c r="R403" s="16">
        <f>IF('Dry_Litterbag Placem_Collection'!G110="N.A","",'Dry_Litterbag Placem_Collection'!G110)</f>
        <v>43010</v>
      </c>
      <c r="S403" s="195">
        <f>IF(IFERROR(INDEX('Both teabags AfterDry'!$D$1:$D$839,MATCH(H403,'Both teabags AfterDry'!$A$1:$A$839,0)),"")="N.A","",(IFERROR(INDEX('Both teabags AfterDry'!$D$1:$D$839,MATCH(H403,'Both teabags AfterDry'!$A$1:$A$839,0)),"")))</f>
        <v>1.0947</v>
      </c>
      <c r="T403" s="195">
        <f>IF(IFERROR(INDEX('Both teabags AfterDry'!$D$1:$D$839,MATCH(I403,'Both teabags AfterDry'!$A$1:$A$839,0)),"")="N.A","",(IFERROR(INDEX('Both teabags AfterDry'!$D$1:$D$839,MATCH(I403,'Both teabags AfterDry'!$A$1:$A$839,0)),"")))</f>
        <v>1.9655</v>
      </c>
      <c r="U403" s="195">
        <f t="shared" si="67"/>
        <v>0.94409999999999994</v>
      </c>
      <c r="V403" s="195">
        <f t="shared" si="67"/>
        <v>1.8149</v>
      </c>
      <c r="W403" s="195">
        <f>IFERROR(INDEX('Ashed teabags dry'!$K$2:$K$821,MATCH(H403,'Ashed teabags dry'!$A$2:$A$821,0)),"")</f>
        <v>18.630647414997014</v>
      </c>
      <c r="X403" s="195">
        <f>IFERROR(INDEX('Ashed teabags dry'!$K$2:$K$821,MATCH(I403,'Ashed teabags dry'!$A$2:$A$821,0)),"")</f>
        <v>4.1293532338306944</v>
      </c>
      <c r="Y403" s="195">
        <f t="shared" si="62"/>
        <v>0.76820805775501311</v>
      </c>
      <c r="Z403" s="195">
        <f t="shared" si="62"/>
        <v>1.7399563681592067</v>
      </c>
      <c r="AA403" s="195">
        <f t="shared" si="68"/>
        <v>0.55624625125035332</v>
      </c>
      <c r="AB403" s="195">
        <f t="shared" si="69"/>
        <v>0.3646650008197091</v>
      </c>
      <c r="AC403" s="195">
        <f t="shared" si="63"/>
        <v>0.88798289919633477</v>
      </c>
      <c r="AD403">
        <f t="shared" si="64"/>
        <v>71</v>
      </c>
      <c r="AE403" s="195">
        <f t="shared" si="70"/>
        <v>0.33937499851501984</v>
      </c>
      <c r="AF403" s="195">
        <f t="shared" si="71"/>
        <v>5.1687648773852063E-3</v>
      </c>
      <c r="AG403" s="255" t="str">
        <f>IF(ISNUMBER(SEARCH("C", 'Dry_Litterbag Placem_Collection'!AD110)),"YES","NO")</f>
        <v>NO</v>
      </c>
      <c r="AH403" s="255" t="str">
        <f>IF(ISNUMBER(SEARCH("H", 'Dry_Litterbag Placem_Collection'!AD110)),"YES","NO")</f>
        <v>NO</v>
      </c>
      <c r="AI403" s="255" t="str">
        <f>IF(ISNUMBER(SEARCH("R", 'Dry_Litterbag Placem_Collection'!AD110)),"YES","NO")</f>
        <v>NO</v>
      </c>
      <c r="AJ403" s="255" t="str">
        <f>IF(ISNUMBER(SEARCH("C", 'Dry_Litterbag Placem_Collection'!AC110)),"YES","NO")</f>
        <v>NO</v>
      </c>
      <c r="AK403" s="255" t="str">
        <f>IF(ISNUMBER(SEARCH("H", 'Dry_Litterbag Placem_Collection'!AC110)),"YES","NO")</f>
        <v>NO</v>
      </c>
      <c r="AL403" s="255" t="str">
        <f>IF(ISNUMBER(SEARCH("R", 'Dry_Litterbag Placem_Collection'!AC110)),"YES","NO")</f>
        <v>NO</v>
      </c>
      <c r="AR403" t="s">
        <v>1988</v>
      </c>
      <c r="AT403" t="s">
        <v>935</v>
      </c>
    </row>
    <row r="404" spans="2:46">
      <c r="B404" t="str">
        <f>'Final data_for_R_analysis_Dryse'!A550</f>
        <v>Dry</v>
      </c>
      <c r="C404" s="263">
        <f>'Final data_for_R_analysis_Dryse'!B550</f>
        <v>109</v>
      </c>
      <c r="D404" t="s">
        <v>3843</v>
      </c>
      <c r="E404" t="s">
        <v>25</v>
      </c>
      <c r="F404" s="387">
        <v>5</v>
      </c>
      <c r="G404" s="16">
        <f>'Dry_Litterbag Placem_Collection'!E111</f>
        <v>42939</v>
      </c>
      <c r="H404" s="92" t="str">
        <f>'Final data_for_R_analysis_Dryse'!J550</f>
        <v>G102</v>
      </c>
      <c r="I404" t="str">
        <f>'Final data_for_R_analysis_Dryse'!J770</f>
        <v>R299</v>
      </c>
      <c r="J404">
        <f>IFERROR(INDEX('Green_rooibos initial weight'!$C$5:$C$1749,MATCH(H404, 'Green_rooibos initial weight'!$A$5:$A$1749,0)),"")</f>
        <v>2.0920000000000001</v>
      </c>
      <c r="K404">
        <f>IFERROR(INDEX('Green_rooibos initial weight'!$C$5:$C$1749,MATCH(I404, 'Green_rooibos initial weight'!$A$5:$A$1749,0)),"")</f>
        <v>2.2919999999999998</v>
      </c>
      <c r="L404" s="195">
        <f t="shared" si="65"/>
        <v>1.8422000000000001</v>
      </c>
      <c r="M404" s="240">
        <f>AVERAGE(Ashed_controlls!$K$1:$K$11)</f>
        <v>5.5147656768714146</v>
      </c>
      <c r="N404" s="195">
        <f t="shared" si="60"/>
        <v>1.7406069867006748</v>
      </c>
      <c r="O404" s="195">
        <f t="shared" si="66"/>
        <v>2.0421999999999998</v>
      </c>
      <c r="P404" s="240">
        <f>AVERAGE(Ashed_controlls!$K$12:$K$14)</f>
        <v>2.2816647271287041</v>
      </c>
      <c r="Q404" s="195">
        <f t="shared" si="61"/>
        <v>1.9956038429425773</v>
      </c>
      <c r="R404" s="16">
        <f>IF('Dry_Litterbag Placem_Collection'!G111="N.A","",'Dry_Litterbag Placem_Collection'!G111)</f>
        <v>43010</v>
      </c>
      <c r="S404" s="195">
        <f>IF(IFERROR(INDEX('Both teabags AfterDry'!$D$1:$D$839,MATCH(H404,'Both teabags AfterDry'!$A$1:$A$839,0)),"")="N.A","",(IFERROR(INDEX('Both teabags AfterDry'!$D$1:$D$839,MATCH(H404,'Both teabags AfterDry'!$A$1:$A$839,0)),"")))</f>
        <v>1.0327999999999999</v>
      </c>
      <c r="T404" s="195">
        <f>IF(IFERROR(INDEX('Both teabags AfterDry'!$D$1:$D$839,MATCH(I404,'Both teabags AfterDry'!$A$1:$A$839,0)),"")="N.A","",(IFERROR(INDEX('Both teabags AfterDry'!$D$1:$D$839,MATCH(I404,'Both teabags AfterDry'!$A$1:$A$839,0)),"")))</f>
        <v>1.8811</v>
      </c>
      <c r="U404" s="195">
        <f t="shared" si="67"/>
        <v>0.88219999999999987</v>
      </c>
      <c r="V404" s="195">
        <f t="shared" si="67"/>
        <v>1.7304999999999999</v>
      </c>
      <c r="W404" s="195">
        <f>IFERROR(INDEX('Ashed teabags dry'!$K$2:$K$821,MATCH(H404,'Ashed teabags dry'!$A$2:$A$821,0)),"")</f>
        <v>18.731117824773449</v>
      </c>
      <c r="X404" s="195">
        <f>IFERROR(INDEX('Ashed teabags dry'!$K$2:$K$821,MATCH(I404,'Ashed teabags dry'!$A$2:$A$821,0)),"")</f>
        <v>6.3173359451526663</v>
      </c>
      <c r="Y404" s="195">
        <f t="shared" si="62"/>
        <v>0.71695407854984849</v>
      </c>
      <c r="Z404" s="195">
        <f t="shared" si="62"/>
        <v>1.6211785014691331</v>
      </c>
      <c r="AA404" s="195">
        <f t="shared" si="68"/>
        <v>0.5881011141355712</v>
      </c>
      <c r="AB404" s="195">
        <f t="shared" si="69"/>
        <v>0.38554847387510133</v>
      </c>
      <c r="AC404" s="195">
        <f t="shared" si="63"/>
        <v>0.81237491459159406</v>
      </c>
      <c r="AD404">
        <f t="shared" si="64"/>
        <v>71</v>
      </c>
      <c r="AE404" s="195">
        <f t="shared" si="70"/>
        <v>0.30154261979148311</v>
      </c>
      <c r="AF404" s="195">
        <f t="shared" si="71"/>
        <v>9.391364775802406E-3</v>
      </c>
      <c r="AG404" s="255" t="str">
        <f>IF(ISNUMBER(SEARCH("C", 'Dry_Litterbag Placem_Collection'!AD111)),"YES","NO")</f>
        <v>NO</v>
      </c>
      <c r="AH404" s="255" t="str">
        <f>IF(ISNUMBER(SEARCH("H", 'Dry_Litterbag Placem_Collection'!AD111)),"YES","NO")</f>
        <v>NO</v>
      </c>
      <c r="AI404" s="255" t="str">
        <f>IF(ISNUMBER(SEARCH("R", 'Dry_Litterbag Placem_Collection'!AD111)),"YES","NO")</f>
        <v>NO</v>
      </c>
      <c r="AJ404" s="255" t="str">
        <f>IF(ISNUMBER(SEARCH("C", 'Dry_Litterbag Placem_Collection'!AC111)),"YES","NO")</f>
        <v>NO</v>
      </c>
      <c r="AK404" s="255" t="str">
        <f>IF(ISNUMBER(SEARCH("H", 'Dry_Litterbag Placem_Collection'!AC111)),"YES","NO")</f>
        <v>NO</v>
      </c>
      <c r="AL404" s="255" t="str">
        <f>IF(ISNUMBER(SEARCH("R", 'Dry_Litterbag Placem_Collection'!AC111)),"YES","NO")</f>
        <v>NO</v>
      </c>
      <c r="AR404" t="s">
        <v>1948</v>
      </c>
      <c r="AT404" t="s">
        <v>842</v>
      </c>
    </row>
    <row r="405" spans="2:46">
      <c r="B405" t="str">
        <f>'Final data_for_R_analysis_Dryse'!A551</f>
        <v>Dry</v>
      </c>
      <c r="C405" s="263">
        <f>'Final data_for_R_analysis_Dryse'!B551</f>
        <v>110</v>
      </c>
      <c r="D405" t="s">
        <v>3843</v>
      </c>
      <c r="E405" t="s">
        <v>25</v>
      </c>
      <c r="F405" s="387">
        <v>6</v>
      </c>
      <c r="G405" s="16">
        <f>'Dry_Litterbag Placem_Collection'!E112</f>
        <v>42939</v>
      </c>
      <c r="H405" s="92" t="str">
        <f>'Final data_for_R_analysis_Dryse'!J551</f>
        <v>G265</v>
      </c>
      <c r="I405" t="str">
        <f>'Final data_for_R_analysis_Dryse'!J771</f>
        <v>R636</v>
      </c>
      <c r="J405">
        <f>IFERROR(INDEX('Green_rooibos initial weight'!$C$5:$C$1749,MATCH(H405, 'Green_rooibos initial weight'!$A$5:$A$1749,0)),"")</f>
        <v>1.9790000000000001</v>
      </c>
      <c r="K405">
        <f>IFERROR(INDEX('Green_rooibos initial weight'!$C$5:$C$1749,MATCH(I405, 'Green_rooibos initial weight'!$A$5:$A$1749,0)),"")</f>
        <v>2.1080000000000001</v>
      </c>
      <c r="L405" s="195">
        <f t="shared" si="65"/>
        <v>1.7292000000000001</v>
      </c>
      <c r="M405" s="240">
        <f>AVERAGE(Ashed_controlls!$K$1:$K$11)</f>
        <v>5.5147656768714146</v>
      </c>
      <c r="N405" s="195">
        <f t="shared" si="60"/>
        <v>1.6338386719155396</v>
      </c>
      <c r="O405" s="195">
        <f t="shared" si="66"/>
        <v>1.8582000000000001</v>
      </c>
      <c r="P405" s="240">
        <f>AVERAGE(Ashed_controlls!$K$12:$K$14)</f>
        <v>2.2816647271287041</v>
      </c>
      <c r="Q405" s="195">
        <f t="shared" si="61"/>
        <v>1.8158021060404945</v>
      </c>
      <c r="R405" s="16">
        <f>IF('Dry_Litterbag Placem_Collection'!G112="N.A","",'Dry_Litterbag Placem_Collection'!G112)</f>
        <v>43010</v>
      </c>
      <c r="S405" s="195">
        <f>IF(IFERROR(INDEX('Both teabags AfterDry'!$D$1:$D$839,MATCH(H405,'Both teabags AfterDry'!$A$1:$A$839,0)),"")="N.A","",(IFERROR(INDEX('Both teabags AfterDry'!$D$1:$D$839,MATCH(H405,'Both teabags AfterDry'!$A$1:$A$839,0)),"")))</f>
        <v>0.93579999999999997</v>
      </c>
      <c r="T405" s="195">
        <f>IF(IFERROR(INDEX('Both teabags AfterDry'!$D$1:$D$839,MATCH(I405,'Both teabags AfterDry'!$A$1:$A$839,0)),"")="N.A","",(IFERROR(INDEX('Both teabags AfterDry'!$D$1:$D$839,MATCH(I405,'Both teabags AfterDry'!$A$1:$A$839,0)),"")))</f>
        <v>1.8521000000000001</v>
      </c>
      <c r="U405" s="195">
        <f t="shared" si="67"/>
        <v>0.7851999999999999</v>
      </c>
      <c r="V405" s="195">
        <f t="shared" si="67"/>
        <v>1.7015</v>
      </c>
      <c r="W405" s="195">
        <f>IFERROR(INDEX('Ashed teabags dry'!$K$2:$K$821,MATCH(H405,'Ashed teabags dry'!$A$2:$A$821,0)),"")</f>
        <v>14.665354330708222</v>
      </c>
      <c r="X405" s="195">
        <f>IFERROR(INDEX('Ashed teabags dry'!$K$2:$K$821,MATCH(I405,'Ashed teabags dry'!$A$2:$A$821,0)),"")</f>
        <v>3.9122137404573722</v>
      </c>
      <c r="Y405" s="195">
        <f t="shared" si="62"/>
        <v>0.67004763779527898</v>
      </c>
      <c r="Z405" s="195">
        <f t="shared" si="62"/>
        <v>1.6349336832061179</v>
      </c>
      <c r="AA405" s="195">
        <f t="shared" si="68"/>
        <v>0.58989363557559571</v>
      </c>
      <c r="AB405" s="195">
        <f t="shared" si="69"/>
        <v>0.38672361857212456</v>
      </c>
      <c r="AC405" s="195">
        <f t="shared" si="63"/>
        <v>0.9003919963344601</v>
      </c>
      <c r="AD405">
        <f t="shared" si="64"/>
        <v>71</v>
      </c>
      <c r="AE405" s="195">
        <f t="shared" si="70"/>
        <v>0.29941373447078889</v>
      </c>
      <c r="AF405" s="195">
        <f t="shared" si="71"/>
        <v>4.1947225346417741E-3</v>
      </c>
      <c r="AG405" s="255" t="str">
        <f>IF(ISNUMBER(SEARCH("C", 'Dry_Litterbag Placem_Collection'!AD112)),"YES","NO")</f>
        <v>NO</v>
      </c>
      <c r="AH405" s="255" t="str">
        <f>IF(ISNUMBER(SEARCH("H", 'Dry_Litterbag Placem_Collection'!AD112)),"YES","NO")</f>
        <v>NO</v>
      </c>
      <c r="AI405" s="255" t="str">
        <f>IF(ISNUMBER(SEARCH("R", 'Dry_Litterbag Placem_Collection'!AD112)),"YES","NO")</f>
        <v>NO</v>
      </c>
      <c r="AJ405" s="255" t="str">
        <f>IF(ISNUMBER(SEARCH("C", 'Dry_Litterbag Placem_Collection'!AC112)),"YES","NO")</f>
        <v>NO</v>
      </c>
      <c r="AK405" s="255" t="str">
        <f>IF(ISNUMBER(SEARCH("H", 'Dry_Litterbag Placem_Collection'!AC112)),"YES","NO")</f>
        <v>NO</v>
      </c>
      <c r="AL405" s="255" t="str">
        <f>IF(ISNUMBER(SEARCH("R", 'Dry_Litterbag Placem_Collection'!AC112)),"YES","NO")</f>
        <v>NO</v>
      </c>
      <c r="AR405" t="s">
        <v>1785</v>
      </c>
      <c r="AT405" t="s">
        <v>503</v>
      </c>
    </row>
    <row r="406" spans="2:46">
      <c r="B406" t="str">
        <f>'Final data_for_R_analysis_Dryse'!A552</f>
        <v>Dry</v>
      </c>
      <c r="C406" s="263">
        <f>'Final data_for_R_analysis_Dryse'!B552</f>
        <v>111</v>
      </c>
      <c r="D406" t="s">
        <v>3843</v>
      </c>
      <c r="E406" t="s">
        <v>25</v>
      </c>
      <c r="F406" s="387">
        <v>7</v>
      </c>
      <c r="G406" s="16">
        <f>'Dry_Litterbag Placem_Collection'!E113</f>
        <v>42939</v>
      </c>
      <c r="H406" s="92" t="str">
        <f>'Final data_for_R_analysis_Dryse'!J552</f>
        <v>G455</v>
      </c>
      <c r="I406" t="str">
        <f>'Final data_for_R_analysis_Dryse'!J772</f>
        <v>R239</v>
      </c>
      <c r="J406">
        <f>IFERROR(INDEX('Green_rooibos initial weight'!$C$5:$C$1749,MATCH(H406, 'Green_rooibos initial weight'!$A$5:$A$1749,0)),"")</f>
        <v>2.0299999999999998</v>
      </c>
      <c r="K406">
        <f>IFERROR(INDEX('Green_rooibos initial weight'!$C$5:$C$1749,MATCH(I406, 'Green_rooibos initial weight'!$A$5:$A$1749,0)),"")</f>
        <v>2.2189999999999999</v>
      </c>
      <c r="L406" s="195">
        <f t="shared" si="65"/>
        <v>1.7801999999999998</v>
      </c>
      <c r="M406" s="240">
        <f>AVERAGE(Ashed_controlls!$K$1:$K$11)</f>
        <v>5.5147656768714146</v>
      </c>
      <c r="N406" s="195">
        <f t="shared" si="60"/>
        <v>1.6820261414203348</v>
      </c>
      <c r="O406" s="195">
        <f t="shared" si="66"/>
        <v>1.9691999999999998</v>
      </c>
      <c r="P406" s="240">
        <f>AVERAGE(Ashed_controlls!$K$12:$K$14)</f>
        <v>2.2816647271287041</v>
      </c>
      <c r="Q406" s="195">
        <f t="shared" si="61"/>
        <v>1.9242694581933815</v>
      </c>
      <c r="R406" s="16">
        <f>IF('Dry_Litterbag Placem_Collection'!G113="N.A","",'Dry_Litterbag Placem_Collection'!G113)</f>
        <v>43010</v>
      </c>
      <c r="S406" s="195">
        <f>IF(IFERROR(INDEX('Both teabags AfterDry'!$D$1:$D$839,MATCH(H406,'Both teabags AfterDry'!$A$1:$A$839,0)),"")="N.A","",(IFERROR(INDEX('Both teabags AfterDry'!$D$1:$D$839,MATCH(H406,'Both teabags AfterDry'!$A$1:$A$839,0)),"")))</f>
        <v>0.92169999999999996</v>
      </c>
      <c r="T406" s="195">
        <f>IF(IFERROR(INDEX('Both teabags AfterDry'!$D$1:$D$839,MATCH(I406,'Both teabags AfterDry'!$A$1:$A$839,0)),"")="N.A","",(IFERROR(INDEX('Both teabags AfterDry'!$D$1:$D$839,MATCH(I406,'Both teabags AfterDry'!$A$1:$A$839,0)),"")))</f>
        <v>1.8743000000000001</v>
      </c>
      <c r="U406" s="195">
        <f t="shared" si="67"/>
        <v>0.7710999999999999</v>
      </c>
      <c r="V406" s="195">
        <f t="shared" si="67"/>
        <v>1.7237</v>
      </c>
      <c r="W406" s="195">
        <f>IFERROR(INDEX('Ashed teabags dry'!$K$2:$K$821,MATCH(H406,'Ashed teabags dry'!$A$2:$A$821,0)),"")</f>
        <v>17.328170377541223</v>
      </c>
      <c r="X406" s="195">
        <f>IFERROR(INDEX('Ashed teabags dry'!$K$2:$K$821,MATCH(I406,'Ashed teabags dry'!$A$2:$A$821,0)),"")</f>
        <v>2.9234338747099509</v>
      </c>
      <c r="Y406" s="195">
        <f t="shared" si="62"/>
        <v>0.63748247821877957</v>
      </c>
      <c r="Z406" s="195">
        <f t="shared" si="62"/>
        <v>1.6733087703016245</v>
      </c>
      <c r="AA406" s="195">
        <f t="shared" si="68"/>
        <v>0.62100322788058615</v>
      </c>
      <c r="AB406" s="195">
        <f t="shared" si="69"/>
        <v>0.40711850568893543</v>
      </c>
      <c r="AC406" s="195">
        <f t="shared" si="63"/>
        <v>0.86958131730294475</v>
      </c>
      <c r="AD406">
        <f t="shared" si="64"/>
        <v>71</v>
      </c>
      <c r="AE406" s="195">
        <f t="shared" si="70"/>
        <v>0.26246647520120403</v>
      </c>
      <c r="AF406" s="195">
        <f t="shared" si="71"/>
        <v>5.4390290809678034E-3</v>
      </c>
      <c r="AG406" s="255" t="str">
        <f>IF(ISNUMBER(SEARCH("C", 'Dry_Litterbag Placem_Collection'!AD113)),"YES","NO")</f>
        <v>NO</v>
      </c>
      <c r="AH406" s="255" t="str">
        <f>IF(ISNUMBER(SEARCH("H", 'Dry_Litterbag Placem_Collection'!AD113)),"YES","NO")</f>
        <v>NO</v>
      </c>
      <c r="AI406" s="255" t="str">
        <f>IF(ISNUMBER(SEARCH("R", 'Dry_Litterbag Placem_Collection'!AD113)),"YES","NO")</f>
        <v>NO</v>
      </c>
      <c r="AJ406" s="255" t="str">
        <f>IF(ISNUMBER(SEARCH("C", 'Dry_Litterbag Placem_Collection'!AC113)),"YES","NO")</f>
        <v>NO</v>
      </c>
      <c r="AK406" s="255" t="str">
        <f>IF(ISNUMBER(SEARCH("H", 'Dry_Litterbag Placem_Collection'!AC113)),"YES","NO")</f>
        <v>NO</v>
      </c>
      <c r="AL406" s="255" t="str">
        <f>IF(ISNUMBER(SEARCH("R", 'Dry_Litterbag Placem_Collection'!AC113)),"YES","NO")</f>
        <v>NO</v>
      </c>
      <c r="AR406" t="s">
        <v>1595</v>
      </c>
      <c r="AT406" t="s">
        <v>902</v>
      </c>
    </row>
    <row r="407" spans="2:46">
      <c r="B407" t="str">
        <f>'Final data_for_R_analysis_Dryse'!A553</f>
        <v>Dry</v>
      </c>
      <c r="C407" s="263">
        <f>'Final data_for_R_analysis_Dryse'!B553</f>
        <v>112</v>
      </c>
      <c r="D407" t="s">
        <v>3843</v>
      </c>
      <c r="E407" t="s">
        <v>25</v>
      </c>
      <c r="F407" s="387">
        <v>8</v>
      </c>
      <c r="G407" s="16">
        <f>'Dry_Litterbag Placem_Collection'!E114</f>
        <v>0</v>
      </c>
      <c r="H407" s="92" t="str">
        <f>'Final data_for_R_analysis_Dryse'!J553</f>
        <v/>
      </c>
      <c r="I407" t="str">
        <f>'Final data_for_R_analysis_Dryse'!J773</f>
        <v/>
      </c>
      <c r="J407" t="str">
        <f>IFERROR(INDEX('Green_rooibos initial weight'!$C$5:$C$1749,MATCH(H407, 'Green_rooibos initial weight'!$A$5:$A$1749,0)),"")</f>
        <v/>
      </c>
      <c r="K407" t="str">
        <f>IFERROR(INDEX('Green_rooibos initial weight'!$C$5:$C$1749,MATCH(I407, 'Green_rooibos initial weight'!$A$5:$A$1749,0)),"")</f>
        <v/>
      </c>
      <c r="L407" s="195" t="str">
        <f t="shared" si="65"/>
        <v/>
      </c>
      <c r="M407" s="240">
        <f>AVERAGE(Ashed_controlls!$K$1:$K$11)</f>
        <v>5.5147656768714146</v>
      </c>
      <c r="N407" s="195" t="str">
        <f t="shared" si="60"/>
        <v/>
      </c>
      <c r="O407" s="195" t="str">
        <f t="shared" si="66"/>
        <v/>
      </c>
      <c r="P407" s="240">
        <f>AVERAGE(Ashed_controlls!$K$12:$K$14)</f>
        <v>2.2816647271287041</v>
      </c>
      <c r="Q407" s="195" t="str">
        <f t="shared" si="61"/>
        <v/>
      </c>
      <c r="R407" s="16">
        <f>IF('Dry_Litterbag Placem_Collection'!G114="N.A","",'Dry_Litterbag Placem_Collection'!G114)</f>
        <v>0</v>
      </c>
      <c r="S407" s="195" t="str">
        <f>IF(IFERROR(INDEX('Both teabags AfterDry'!$D$1:$D$839,MATCH(H407,'Both teabags AfterDry'!$A$1:$A$839,0)),"")="N.A","",(IFERROR(INDEX('Both teabags AfterDry'!$D$1:$D$839,MATCH(H407,'Both teabags AfterDry'!$A$1:$A$839,0)),"")))</f>
        <v/>
      </c>
      <c r="T407" s="195" t="str">
        <f>IF(IFERROR(INDEX('Both teabags AfterDry'!$D$1:$D$839,MATCH(I407,'Both teabags AfterDry'!$A$1:$A$839,0)),"")="N.A","",(IFERROR(INDEX('Both teabags AfterDry'!$D$1:$D$839,MATCH(I407,'Both teabags AfterDry'!$A$1:$A$839,0)),"")))</f>
        <v/>
      </c>
      <c r="U407" s="195" t="str">
        <f t="shared" si="67"/>
        <v/>
      </c>
      <c r="V407" s="195" t="str">
        <f t="shared" si="67"/>
        <v/>
      </c>
      <c r="W407" s="195" t="str">
        <f>IFERROR(INDEX('Ashed teabags dry'!$K$2:$K$821,MATCH(H407,'Ashed teabags dry'!$A$2:$A$821,0)),"")</f>
        <v/>
      </c>
      <c r="X407" s="195" t="str">
        <f>IFERROR(INDEX('Ashed teabags dry'!$K$2:$K$821,MATCH(I407,'Ashed teabags dry'!$A$2:$A$821,0)),"")</f>
        <v/>
      </c>
      <c r="Y407" s="195" t="str">
        <f t="shared" si="62"/>
        <v/>
      </c>
      <c r="Z407" s="195" t="str">
        <f t="shared" si="62"/>
        <v/>
      </c>
      <c r="AA407" s="195" t="str">
        <f t="shared" si="68"/>
        <v/>
      </c>
      <c r="AB407" s="195" t="str">
        <f t="shared" si="69"/>
        <v/>
      </c>
      <c r="AC407" s="195" t="str">
        <f t="shared" si="63"/>
        <v/>
      </c>
      <c r="AD407" t="str">
        <f t="shared" si="64"/>
        <v/>
      </c>
      <c r="AE407" s="195" t="str">
        <f t="shared" si="70"/>
        <v/>
      </c>
      <c r="AF407" s="195" t="str">
        <f t="shared" si="71"/>
        <v/>
      </c>
      <c r="AG407" s="255" t="str">
        <f>IF(ISNUMBER(SEARCH("C", 'Dry_Litterbag Placem_Collection'!AD114)),"YES","NO")</f>
        <v>NO</v>
      </c>
      <c r="AH407" s="255" t="str">
        <f>IF(ISNUMBER(SEARCH("H", 'Dry_Litterbag Placem_Collection'!AD114)),"YES","NO")</f>
        <v>NO</v>
      </c>
      <c r="AI407" s="255" t="str">
        <f>IF(ISNUMBER(SEARCH("R", 'Dry_Litterbag Placem_Collection'!AD114)),"YES","NO")</f>
        <v>NO</v>
      </c>
      <c r="AJ407" s="255" t="str">
        <f>IF(ISNUMBER(SEARCH("C", 'Dry_Litterbag Placem_Collection'!AC114)),"YES","NO")</f>
        <v>NO</v>
      </c>
      <c r="AK407" s="255" t="str">
        <f>IF(ISNUMBER(SEARCH("H", 'Dry_Litterbag Placem_Collection'!AC114)),"YES","NO")</f>
        <v>NO</v>
      </c>
      <c r="AL407" s="255" t="str">
        <f>IF(ISNUMBER(SEARCH("R", 'Dry_Litterbag Placem_Collection'!AC114)),"YES","NO")</f>
        <v>NO</v>
      </c>
      <c r="AR407" t="s">
        <v>3654</v>
      </c>
      <c r="AT407" t="s">
        <v>3654</v>
      </c>
    </row>
    <row r="408" spans="2:46">
      <c r="B408" t="str">
        <f>'Final data_for_R_analysis_Dryse'!A554</f>
        <v>Dry</v>
      </c>
      <c r="C408" s="263">
        <f>'Final data_for_R_analysis_Dryse'!B554</f>
        <v>113</v>
      </c>
      <c r="D408" t="s">
        <v>3844</v>
      </c>
      <c r="E408" t="s">
        <v>25</v>
      </c>
      <c r="F408" s="386">
        <v>1</v>
      </c>
      <c r="G408" s="16">
        <f>'Dry_Litterbag Placem_Collection'!E115</f>
        <v>42939</v>
      </c>
      <c r="H408" s="92" t="str">
        <f>'Final data_for_R_analysis_Dryse'!J554</f>
        <v>G490</v>
      </c>
      <c r="I408" t="str">
        <f>'Final data_for_R_analysis_Dryse'!J774</f>
        <v>R313</v>
      </c>
      <c r="J408">
        <f>IFERROR(INDEX('Green_rooibos initial weight'!$C$5:$C$1749,MATCH(H408, 'Green_rooibos initial weight'!$A$5:$A$1749,0)),"")</f>
        <v>1.881</v>
      </c>
      <c r="K408">
        <f>IFERROR(INDEX('Green_rooibos initial weight'!$C$5:$C$1749,MATCH(I408, 'Green_rooibos initial weight'!$A$5:$A$1749,0)),"")</f>
        <v>2.2450000000000001</v>
      </c>
      <c r="L408" s="195">
        <f t="shared" si="65"/>
        <v>1.6312</v>
      </c>
      <c r="M408" s="240">
        <f>AVERAGE(Ashed_controlls!$K$1:$K$11)</f>
        <v>5.5147656768714146</v>
      </c>
      <c r="N408" s="195">
        <f t="shared" si="60"/>
        <v>1.5412431422788735</v>
      </c>
      <c r="O408" s="195">
        <f t="shared" si="66"/>
        <v>1.9952000000000001</v>
      </c>
      <c r="P408" s="240">
        <f>AVERAGE(Ashed_controlls!$K$12:$K$14)</f>
        <v>2.2816647271287041</v>
      </c>
      <c r="Q408" s="195">
        <f t="shared" si="61"/>
        <v>1.9496762253643283</v>
      </c>
      <c r="R408" s="16">
        <f>IF('Dry_Litterbag Placem_Collection'!G115="N.A","",'Dry_Litterbag Placem_Collection'!G115)</f>
        <v>43008</v>
      </c>
      <c r="S408" s="195">
        <f>IF(IFERROR(INDEX('Both teabags AfterDry'!$D$1:$D$839,MATCH(H408,'Both teabags AfterDry'!$A$1:$A$839,0)),"")="N.A","",(IFERROR(INDEX('Both teabags AfterDry'!$D$1:$D$839,MATCH(H408,'Both teabags AfterDry'!$A$1:$A$839,0)),"")))</f>
        <v>0.72760000000000002</v>
      </c>
      <c r="T408" s="195">
        <f>IF(IFERROR(INDEX('Both teabags AfterDry'!$D$1:$D$839,MATCH(I408,'Both teabags AfterDry'!$A$1:$A$839,0)),"")="N.A","",(IFERROR(INDEX('Both teabags AfterDry'!$D$1:$D$839,MATCH(I408,'Both teabags AfterDry'!$A$1:$A$839,0)),"")))</f>
        <v>1.6048</v>
      </c>
      <c r="U408" s="195">
        <f t="shared" si="67"/>
        <v>0.57699999999999996</v>
      </c>
      <c r="V408" s="195">
        <f t="shared" si="67"/>
        <v>1.4541999999999999</v>
      </c>
      <c r="W408" s="195">
        <f>IFERROR(INDEX('Ashed teabags dry'!$K$2:$K$821,MATCH(H408,'Ashed teabags dry'!$A$2:$A$821,0)),"")</f>
        <v>23.173681664247997</v>
      </c>
      <c r="X408" s="195">
        <f>IFERROR(INDEX('Ashed teabags dry'!$K$2:$K$821,MATCH(I408,'Ashed teabags dry'!$A$2:$A$821,0)),"")</f>
        <v>8.9047619047618891</v>
      </c>
      <c r="Y408" s="195">
        <f t="shared" si="62"/>
        <v>0.44328785679728899</v>
      </c>
      <c r="Z408" s="195">
        <f t="shared" si="62"/>
        <v>1.3247069523809525</v>
      </c>
      <c r="AA408" s="195">
        <f t="shared" si="68"/>
        <v>0.7123829169861895</v>
      </c>
      <c r="AB408" s="195">
        <f t="shared" si="69"/>
        <v>0.46702538025697937</v>
      </c>
      <c r="AC408" s="195">
        <f t="shared" si="63"/>
        <v>0.67944971331504533</v>
      </c>
      <c r="AD408">
        <f t="shared" si="64"/>
        <v>69</v>
      </c>
      <c r="AE408" s="195">
        <f t="shared" si="70"/>
        <v>0.15393952851996495</v>
      </c>
      <c r="AF408" s="195">
        <f t="shared" si="71"/>
        <v>1.6804756512767031E-2</v>
      </c>
      <c r="AG408" s="255" t="str">
        <f>IF(ISNUMBER(SEARCH("C", 'Dry_Litterbag Placem_Collection'!AD115)),"YES","NO")</f>
        <v>NO</v>
      </c>
      <c r="AH408" s="255" t="str">
        <f>IF(ISNUMBER(SEARCH("H", 'Dry_Litterbag Placem_Collection'!AD115)),"YES","NO")</f>
        <v>NO</v>
      </c>
      <c r="AI408" s="255" t="str">
        <f>IF(ISNUMBER(SEARCH("R", 'Dry_Litterbag Placem_Collection'!AD115)),"YES","NO")</f>
        <v>NO</v>
      </c>
      <c r="AJ408" s="255" t="str">
        <f>IF(ISNUMBER(SEARCH("C", 'Dry_Litterbag Placem_Collection'!AC115)),"YES","NO")</f>
        <v>NO</v>
      </c>
      <c r="AK408" s="255" t="str">
        <f>IF(ISNUMBER(SEARCH("H", 'Dry_Litterbag Placem_Collection'!AC115)),"YES","NO")</f>
        <v>NO</v>
      </c>
      <c r="AL408" s="255" t="str">
        <f>IF(ISNUMBER(SEARCH("R", 'Dry_Litterbag Placem_Collection'!AC115)),"YES","NO")</f>
        <v>NO</v>
      </c>
      <c r="AR408" t="s">
        <v>1560</v>
      </c>
      <c r="AT408" t="s">
        <v>828</v>
      </c>
    </row>
    <row r="409" spans="2:46">
      <c r="B409" t="str">
        <f>'Final data_for_R_analysis_Dryse'!A555</f>
        <v>Dry</v>
      </c>
      <c r="C409" s="263">
        <f>'Final data_for_R_analysis_Dryse'!B555</f>
        <v>114</v>
      </c>
      <c r="D409" t="s">
        <v>3844</v>
      </c>
      <c r="E409" t="s">
        <v>25</v>
      </c>
      <c r="F409" s="386">
        <v>2</v>
      </c>
      <c r="G409" s="16">
        <f>'Dry_Litterbag Placem_Collection'!E116</f>
        <v>42939</v>
      </c>
      <c r="H409" s="92" t="str">
        <f>'Final data_for_R_analysis_Dryse'!J555</f>
        <v>G650</v>
      </c>
      <c r="I409" t="str">
        <f>'Final data_for_R_analysis_Dryse'!J775</f>
        <v>R247</v>
      </c>
      <c r="J409">
        <f>IFERROR(INDEX('Green_rooibos initial weight'!$C$5:$C$1749,MATCH(H409, 'Green_rooibos initial weight'!$A$5:$A$1749,0)),"")</f>
        <v>2.0270000000000001</v>
      </c>
      <c r="K409">
        <f>IFERROR(INDEX('Green_rooibos initial weight'!$C$5:$C$1749,MATCH(I409, 'Green_rooibos initial weight'!$A$5:$A$1749,0)),"")</f>
        <v>2.2330000000000001</v>
      </c>
      <c r="L409" s="195">
        <f t="shared" si="65"/>
        <v>1.7772000000000001</v>
      </c>
      <c r="M409" s="240">
        <f>AVERAGE(Ashed_controlls!$K$1:$K$11)</f>
        <v>5.5147656768714146</v>
      </c>
      <c r="N409" s="195">
        <f t="shared" si="60"/>
        <v>1.6791915843906413</v>
      </c>
      <c r="O409" s="195">
        <f t="shared" si="66"/>
        <v>1.9832000000000001</v>
      </c>
      <c r="P409" s="240">
        <f>AVERAGE(Ashed_controlls!$K$12:$K$14)</f>
        <v>2.2816647271287041</v>
      </c>
      <c r="Q409" s="195">
        <f t="shared" si="61"/>
        <v>1.9379500251315835</v>
      </c>
      <c r="R409" s="16">
        <f>IF('Dry_Litterbag Placem_Collection'!G116="N.A","",'Dry_Litterbag Placem_Collection'!G116)</f>
        <v>43008</v>
      </c>
      <c r="S409" s="195">
        <f>IF(IFERROR(INDEX('Both teabags AfterDry'!$D$1:$D$839,MATCH(H409,'Both teabags AfterDry'!$A$1:$A$839,0)),"")="N.A","",(IFERROR(INDEX('Both teabags AfterDry'!$D$1:$D$839,MATCH(H409,'Both teabags AfterDry'!$A$1:$A$839,0)),"")))</f>
        <v>0.86890000000000001</v>
      </c>
      <c r="T409" s="195">
        <f>IF(IFERROR(INDEX('Both teabags AfterDry'!$D$1:$D$839,MATCH(I409,'Both teabags AfterDry'!$A$1:$A$839,0)),"")="N.A","",(IFERROR(INDEX('Both teabags AfterDry'!$D$1:$D$839,MATCH(I409,'Both teabags AfterDry'!$A$1:$A$839,0)),"")))</f>
        <v>1.7551000000000001</v>
      </c>
      <c r="U409" s="195">
        <f t="shared" si="67"/>
        <v>0.71829999999999994</v>
      </c>
      <c r="V409" s="195">
        <f t="shared" si="67"/>
        <v>1.6045</v>
      </c>
      <c r="W409" s="195">
        <f>IFERROR(INDEX('Ashed teabags dry'!$K$2:$K$821,MATCH(H409,'Ashed teabags dry'!$A$2:$A$821,0)),"")</f>
        <v>22.395326192794663</v>
      </c>
      <c r="X409" s="195">
        <f>IFERROR(INDEX('Ashed teabags dry'!$K$2:$K$821,MATCH(I409,'Ashed teabags dry'!$A$2:$A$821,0)),"")</f>
        <v>8.2853345148423898</v>
      </c>
      <c r="Y409" s="195">
        <f t="shared" si="62"/>
        <v>0.55743437195715595</v>
      </c>
      <c r="Z409" s="195">
        <f t="shared" si="62"/>
        <v>1.471561807709354</v>
      </c>
      <c r="AA409" s="195">
        <f t="shared" si="68"/>
        <v>0.66803408429453137</v>
      </c>
      <c r="AB409" s="195">
        <f t="shared" si="69"/>
        <v>0.43795108614083295</v>
      </c>
      <c r="AC409" s="195">
        <f t="shared" si="63"/>
        <v>0.75933939917229676</v>
      </c>
      <c r="AD409">
        <f t="shared" si="64"/>
        <v>69</v>
      </c>
      <c r="AE409" s="195">
        <f t="shared" si="70"/>
        <v>0.20661035119414328</v>
      </c>
      <c r="AF409" s="195">
        <f t="shared" si="71"/>
        <v>1.1556957119733577E-2</v>
      </c>
      <c r="AG409" s="255" t="str">
        <f>IF(ISNUMBER(SEARCH("C", 'Dry_Litterbag Placem_Collection'!AD116)),"YES","NO")</f>
        <v>NO</v>
      </c>
      <c r="AH409" s="255" t="str">
        <f>IF(ISNUMBER(SEARCH("H", 'Dry_Litterbag Placem_Collection'!AD116)),"YES","NO")</f>
        <v>NO</v>
      </c>
      <c r="AI409" s="255" t="str">
        <f>IF(ISNUMBER(SEARCH("R", 'Dry_Litterbag Placem_Collection'!AD116)),"YES","NO")</f>
        <v>NO</v>
      </c>
      <c r="AJ409" s="255" t="str">
        <f>IF(ISNUMBER(SEARCH("C", 'Dry_Litterbag Placem_Collection'!AC116)),"YES","NO")</f>
        <v>NO</v>
      </c>
      <c r="AK409" s="255" t="str">
        <f>IF(ISNUMBER(SEARCH("H", 'Dry_Litterbag Placem_Collection'!AC116)),"YES","NO")</f>
        <v>NO</v>
      </c>
      <c r="AL409" s="255" t="str">
        <f>IF(ISNUMBER(SEARCH("R", 'Dry_Litterbag Placem_Collection'!AC116)),"YES","NO")</f>
        <v>NO</v>
      </c>
      <c r="AR409" t="s">
        <v>1400</v>
      </c>
      <c r="AT409" t="s">
        <v>894</v>
      </c>
    </row>
    <row r="410" spans="2:46">
      <c r="B410" t="str">
        <f>'Final data_for_R_analysis_Dryse'!A556</f>
        <v>Dry</v>
      </c>
      <c r="C410" s="263">
        <f>'Final data_for_R_analysis_Dryse'!B556</f>
        <v>115</v>
      </c>
      <c r="D410" t="s">
        <v>3844</v>
      </c>
      <c r="E410" t="s">
        <v>25</v>
      </c>
      <c r="F410" s="386">
        <v>3</v>
      </c>
      <c r="G410" s="16">
        <f>'Dry_Litterbag Placem_Collection'!E117</f>
        <v>42939</v>
      </c>
      <c r="H410" s="92" t="str">
        <f>'Final data_for_R_analysis_Dryse'!J556</f>
        <v>G873</v>
      </c>
      <c r="I410" t="str">
        <f>'Final data_for_R_analysis_Dryse'!J776</f>
        <v>R671</v>
      </c>
      <c r="J410">
        <f>IFERROR(INDEX('Green_rooibos initial weight'!$C$5:$C$1749,MATCH(H410, 'Green_rooibos initial weight'!$A$5:$A$1749,0)),"")</f>
        <v>2.0089999999999999</v>
      </c>
      <c r="K410">
        <f>IFERROR(INDEX('Green_rooibos initial weight'!$C$5:$C$1749,MATCH(I410, 'Green_rooibos initial weight'!$A$5:$A$1749,0)),"")</f>
        <v>2.202</v>
      </c>
      <c r="L410" s="195">
        <f t="shared" si="65"/>
        <v>1.7591999999999999</v>
      </c>
      <c r="M410" s="240">
        <f>AVERAGE(Ashed_controlls!$K$1:$K$11)</f>
        <v>5.5147656768714146</v>
      </c>
      <c r="N410" s="195">
        <f t="shared" si="60"/>
        <v>1.662184242212478</v>
      </c>
      <c r="O410" s="195">
        <f t="shared" si="66"/>
        <v>1.9521999999999999</v>
      </c>
      <c r="P410" s="240">
        <f>AVERAGE(Ashed_controlls!$K$12:$K$14)</f>
        <v>2.2816647271287041</v>
      </c>
      <c r="Q410" s="195">
        <f t="shared" si="61"/>
        <v>1.9076573411969935</v>
      </c>
      <c r="R410" s="16">
        <f>IF('Dry_Litterbag Placem_Collection'!G117="N.A","",'Dry_Litterbag Placem_Collection'!G117)</f>
        <v>43008</v>
      </c>
      <c r="S410" s="195">
        <f>IF(IFERROR(INDEX('Both teabags AfterDry'!$D$1:$D$839,MATCH(H410,'Both teabags AfterDry'!$A$1:$A$839,0)),"")="N.A","",(IFERROR(INDEX('Both teabags AfterDry'!$D$1:$D$839,MATCH(H410,'Both teabags AfterDry'!$A$1:$A$839,0)),"")))</f>
        <v>0.68469999999999998</v>
      </c>
      <c r="T410" s="195">
        <f>IF(IFERROR(INDEX('Both teabags AfterDry'!$D$1:$D$839,MATCH(I410,'Both teabags AfterDry'!$A$1:$A$839,0)),"")="N.A","",(IFERROR(INDEX('Both teabags AfterDry'!$D$1:$D$839,MATCH(I410,'Both teabags AfterDry'!$A$1:$A$839,0)),"")))</f>
        <v>1.6099000000000001</v>
      </c>
      <c r="U410" s="195">
        <f t="shared" si="67"/>
        <v>0.53410000000000002</v>
      </c>
      <c r="V410" s="195">
        <f t="shared" si="67"/>
        <v>1.4593</v>
      </c>
      <c r="W410" s="195">
        <f>IFERROR(INDEX('Ashed teabags dry'!$K$2:$K$821,MATCH(H410,'Ashed teabags dry'!$A$2:$A$821,0)),"")</f>
        <v>14.840499306518451</v>
      </c>
      <c r="X410" s="195">
        <f>IFERROR(INDEX('Ashed teabags dry'!$K$2:$K$821,MATCH(I410,'Ashed teabags dry'!$A$2:$A$821,0)),"")</f>
        <v>9.1992373689235691</v>
      </c>
      <c r="Y410" s="195">
        <f t="shared" si="62"/>
        <v>0.45483689320388498</v>
      </c>
      <c r="Z410" s="195">
        <f t="shared" si="62"/>
        <v>1.3250555290752983</v>
      </c>
      <c r="AA410" s="195">
        <f t="shared" si="68"/>
        <v>0.72636192688334789</v>
      </c>
      <c r="AB410" s="195">
        <f t="shared" si="69"/>
        <v>0.47618976679288372</v>
      </c>
      <c r="AC410" s="195">
        <f t="shared" si="63"/>
        <v>0.69459829103473514</v>
      </c>
      <c r="AD410">
        <f t="shared" si="64"/>
        <v>69</v>
      </c>
      <c r="AE410" s="195">
        <f t="shared" si="70"/>
        <v>0.13733737899839915</v>
      </c>
      <c r="AF410" s="195">
        <f t="shared" si="71"/>
        <v>1.4860769342735227E-2</v>
      </c>
      <c r="AG410" s="255" t="str">
        <f>IF(ISNUMBER(SEARCH("C", 'Dry_Litterbag Placem_Collection'!AD117)),"YES","NO")</f>
        <v>NO</v>
      </c>
      <c r="AH410" s="255" t="str">
        <f>IF(ISNUMBER(SEARCH("H", 'Dry_Litterbag Placem_Collection'!AD117)),"YES","NO")</f>
        <v>NO</v>
      </c>
      <c r="AI410" s="255" t="str">
        <f>IF(ISNUMBER(SEARCH("R", 'Dry_Litterbag Placem_Collection'!AD117)),"YES","NO")</f>
        <v>NO</v>
      </c>
      <c r="AJ410" s="255" t="str">
        <f>IF(ISNUMBER(SEARCH("C", 'Dry_Litterbag Placem_Collection'!AC117)),"YES","NO")</f>
        <v>NO</v>
      </c>
      <c r="AK410" s="255" t="str">
        <f>IF(ISNUMBER(SEARCH("H", 'Dry_Litterbag Placem_Collection'!AC117)),"YES","NO")</f>
        <v>NO</v>
      </c>
      <c r="AL410" s="255" t="str">
        <f>IF(ISNUMBER(SEARCH("R", 'Dry_Litterbag Placem_Collection'!AC117)),"YES","NO")</f>
        <v>NO</v>
      </c>
      <c r="AR410" t="s">
        <v>1177</v>
      </c>
      <c r="AT410" t="s">
        <v>468</v>
      </c>
    </row>
    <row r="411" spans="2:46">
      <c r="B411" t="str">
        <f>'Final data_for_R_analysis_Dryse'!A557</f>
        <v>Dry</v>
      </c>
      <c r="C411" s="263">
        <f>'Final data_for_R_analysis_Dryse'!B557</f>
        <v>116</v>
      </c>
      <c r="D411" t="s">
        <v>3844</v>
      </c>
      <c r="E411" t="s">
        <v>25</v>
      </c>
      <c r="F411" s="387">
        <v>4</v>
      </c>
      <c r="G411" s="16">
        <f>'Dry_Litterbag Placem_Collection'!E118</f>
        <v>42939</v>
      </c>
      <c r="H411" s="92" t="str">
        <f>'Final data_for_R_analysis_Dryse'!J557</f>
        <v>G206</v>
      </c>
      <c r="I411" t="str">
        <f>'Final data_for_R_analysis_Dryse'!J777</f>
        <v>R638</v>
      </c>
      <c r="J411">
        <f>IFERROR(INDEX('Green_rooibos initial weight'!$C$5:$C$1749,MATCH(H411, 'Green_rooibos initial weight'!$A$5:$A$1749,0)),"")</f>
        <v>2.0249999999999999</v>
      </c>
      <c r="K411">
        <f>IFERROR(INDEX('Green_rooibos initial weight'!$C$5:$C$1749,MATCH(I411, 'Green_rooibos initial weight'!$A$5:$A$1749,0)),"")</f>
        <v>2.1659999999999999</v>
      </c>
      <c r="L411" s="195">
        <f t="shared" si="65"/>
        <v>1.7751999999999999</v>
      </c>
      <c r="M411" s="240">
        <f>AVERAGE(Ashed_controlls!$K$1:$K$11)</f>
        <v>5.5147656768714146</v>
      </c>
      <c r="N411" s="195">
        <f t="shared" si="60"/>
        <v>1.6773018797041785</v>
      </c>
      <c r="O411" s="195">
        <f t="shared" si="66"/>
        <v>1.9161999999999999</v>
      </c>
      <c r="P411" s="240">
        <f>AVERAGE(Ashed_controlls!$K$12:$K$14)</f>
        <v>2.2816647271287041</v>
      </c>
      <c r="Q411" s="195">
        <f t="shared" si="61"/>
        <v>1.8724787404987597</v>
      </c>
      <c r="R411" s="16">
        <f>IF('Dry_Litterbag Placem_Collection'!G118="N.A","",'Dry_Litterbag Placem_Collection'!G118)</f>
        <v>43008</v>
      </c>
      <c r="S411" s="195">
        <f>IF(IFERROR(INDEX('Both teabags AfterDry'!$D$1:$D$839,MATCH(H411,'Both teabags AfterDry'!$A$1:$A$839,0)),"")="N.A","",(IFERROR(INDEX('Both teabags AfterDry'!$D$1:$D$839,MATCH(H411,'Both teabags AfterDry'!$A$1:$A$839,0)),"")))</f>
        <v>0.75260000000000005</v>
      </c>
      <c r="T411" s="195">
        <f>IF(IFERROR(INDEX('Both teabags AfterDry'!$D$1:$D$839,MATCH(I411,'Both teabags AfterDry'!$A$1:$A$839,0)),"")="N.A","",(IFERROR(INDEX('Both teabags AfterDry'!$D$1:$D$839,MATCH(I411,'Both teabags AfterDry'!$A$1:$A$839,0)),"")))</f>
        <v>1.5814999999999999</v>
      </c>
      <c r="U411" s="195">
        <f t="shared" si="67"/>
        <v>0.60200000000000009</v>
      </c>
      <c r="V411" s="195">
        <f t="shared" si="67"/>
        <v>1.4308999999999998</v>
      </c>
      <c r="W411" s="195">
        <f>IFERROR(INDEX('Ashed teabags dry'!$K$2:$K$821,MATCH(H411,'Ashed teabags dry'!$A$2:$A$821,0)),"")</f>
        <v>20.407259849490842</v>
      </c>
      <c r="X411" s="195">
        <f>IFERROR(INDEX('Ashed teabags dry'!$K$2:$K$821,MATCH(I411,'Ashed teabags dry'!$A$2:$A$821,0)),"")</f>
        <v>7.3855913004079357</v>
      </c>
      <c r="Y411" s="195">
        <f t="shared" si="62"/>
        <v>0.47914829570606521</v>
      </c>
      <c r="Z411" s="195">
        <f t="shared" si="62"/>
        <v>1.3252195740824626</v>
      </c>
      <c r="AA411" s="195">
        <f t="shared" si="68"/>
        <v>0.71433389451005003</v>
      </c>
      <c r="AB411" s="195">
        <f t="shared" si="69"/>
        <v>0.46830440590207562</v>
      </c>
      <c r="AC411" s="195">
        <f t="shared" si="63"/>
        <v>0.7077354446916031</v>
      </c>
      <c r="AD411">
        <f t="shared" si="64"/>
        <v>69</v>
      </c>
      <c r="AE411" s="195">
        <f t="shared" si="70"/>
        <v>0.15162245307595001</v>
      </c>
      <c r="AF411" s="195">
        <f t="shared" si="71"/>
        <v>1.4179827988392645E-2</v>
      </c>
      <c r="AG411" s="255" t="str">
        <f>IF(ISNUMBER(SEARCH("C", 'Dry_Litterbag Placem_Collection'!AD118)),"YES","NO")</f>
        <v>NO</v>
      </c>
      <c r="AH411" s="255" t="str">
        <f>IF(ISNUMBER(SEARCH("H", 'Dry_Litterbag Placem_Collection'!AD118)),"YES","NO")</f>
        <v>NO</v>
      </c>
      <c r="AI411" s="255" t="str">
        <f>IF(ISNUMBER(SEARCH("R", 'Dry_Litterbag Placem_Collection'!AD118)),"YES","NO")</f>
        <v>NO</v>
      </c>
      <c r="AJ411" s="255" t="str">
        <f>IF(ISNUMBER(SEARCH("C", 'Dry_Litterbag Placem_Collection'!AC118)),"YES","NO")</f>
        <v>NO</v>
      </c>
      <c r="AK411" s="255" t="str">
        <f>IF(ISNUMBER(SEARCH("H", 'Dry_Litterbag Placem_Collection'!AC118)),"YES","NO")</f>
        <v>NO</v>
      </c>
      <c r="AL411" s="255" t="str">
        <f>IF(ISNUMBER(SEARCH("R", 'Dry_Litterbag Placem_Collection'!AC118)),"YES","NO")</f>
        <v>NO</v>
      </c>
      <c r="AR411" t="s">
        <v>1844</v>
      </c>
      <c r="AT411" t="s">
        <v>501</v>
      </c>
    </row>
    <row r="412" spans="2:46">
      <c r="B412" t="str">
        <f>'Final data_for_R_analysis_Dryse'!A558</f>
        <v>Dry</v>
      </c>
      <c r="C412" s="263">
        <f>'Final data_for_R_analysis_Dryse'!B558</f>
        <v>117</v>
      </c>
      <c r="D412" t="s">
        <v>3844</v>
      </c>
      <c r="E412" t="s">
        <v>25</v>
      </c>
      <c r="F412" s="387">
        <v>5</v>
      </c>
      <c r="G412" s="16">
        <f>'Dry_Litterbag Placem_Collection'!E119</f>
        <v>42939</v>
      </c>
      <c r="H412" s="92" t="str">
        <f>'Final data_for_R_analysis_Dryse'!J558</f>
        <v>G163</v>
      </c>
      <c r="I412" t="str">
        <f>'Final data_for_R_analysis_Dryse'!J778</f>
        <v>R719</v>
      </c>
      <c r="J412">
        <f>IFERROR(INDEX('Green_rooibos initial weight'!$C$5:$C$1749,MATCH(H412, 'Green_rooibos initial weight'!$A$5:$A$1749,0)),"")</f>
        <v>2.04</v>
      </c>
      <c r="K412">
        <f>IFERROR(INDEX('Green_rooibos initial weight'!$C$5:$C$1749,MATCH(I412, 'Green_rooibos initial weight'!$A$5:$A$1749,0)),"")</f>
        <v>2.2050000000000001</v>
      </c>
      <c r="L412" s="195">
        <f t="shared" si="65"/>
        <v>1.7902</v>
      </c>
      <c r="M412" s="240">
        <f>AVERAGE(Ashed_controlls!$K$1:$K$11)</f>
        <v>5.5147656768714146</v>
      </c>
      <c r="N412" s="195">
        <f t="shared" si="60"/>
        <v>1.691474664852648</v>
      </c>
      <c r="O412" s="195">
        <f t="shared" si="66"/>
        <v>1.9552</v>
      </c>
      <c r="P412" s="240">
        <f>AVERAGE(Ashed_controlls!$K$12:$K$14)</f>
        <v>2.2816647271287041</v>
      </c>
      <c r="Q412" s="195">
        <f t="shared" si="61"/>
        <v>1.9105888912551796</v>
      </c>
      <c r="R412" s="16">
        <f>IF('Dry_Litterbag Placem_Collection'!G119="N.A","",'Dry_Litterbag Placem_Collection'!G119)</f>
        <v>43008</v>
      </c>
      <c r="S412" s="195" t="str">
        <f>IF(IFERROR(INDEX('Both teabags AfterDry'!$D$1:$D$839,MATCH(H412,'Both teabags AfterDry'!$A$1:$A$839,0)),"")="N.A","",(IFERROR(INDEX('Both teabags AfterDry'!$D$1:$D$839,MATCH(H412,'Both teabags AfterDry'!$A$1:$A$839,0)),"")))</f>
        <v/>
      </c>
      <c r="T412" s="195" t="str">
        <f>IF(IFERROR(INDEX('Both teabags AfterDry'!$D$1:$D$839,MATCH(I412,'Both teabags AfterDry'!$A$1:$A$839,0)),"")="N.A","",(IFERROR(INDEX('Both teabags AfterDry'!$D$1:$D$839,MATCH(I412,'Both teabags AfterDry'!$A$1:$A$839,0)),"")))</f>
        <v/>
      </c>
      <c r="U412" s="195" t="str">
        <f t="shared" si="67"/>
        <v/>
      </c>
      <c r="V412" s="195" t="str">
        <f t="shared" si="67"/>
        <v/>
      </c>
      <c r="W412" s="195" t="str">
        <f>IFERROR(INDEX('Ashed teabags dry'!$K$2:$K$821,MATCH(H412,'Ashed teabags dry'!$A$2:$A$821,0)),"")</f>
        <v/>
      </c>
      <c r="X412" s="195" t="str">
        <f>IFERROR(INDEX('Ashed teabags dry'!$K$2:$K$821,MATCH(I412,'Ashed teabags dry'!$A$2:$A$821,0)),"")</f>
        <v/>
      </c>
      <c r="Y412" s="195" t="str">
        <f t="shared" si="62"/>
        <v/>
      </c>
      <c r="Z412" s="195" t="str">
        <f t="shared" si="62"/>
        <v/>
      </c>
      <c r="AA412" s="195" t="str">
        <f t="shared" si="68"/>
        <v/>
      </c>
      <c r="AB412" s="195" t="str">
        <f t="shared" si="69"/>
        <v/>
      </c>
      <c r="AC412" s="195" t="str">
        <f t="shared" si="63"/>
        <v/>
      </c>
      <c r="AD412">
        <f t="shared" si="64"/>
        <v>69</v>
      </c>
      <c r="AE412" s="195" t="str">
        <f t="shared" si="70"/>
        <v/>
      </c>
      <c r="AF412" s="195" t="str">
        <f t="shared" si="71"/>
        <v/>
      </c>
      <c r="AG412" s="255" t="str">
        <f>IF(ISNUMBER(SEARCH("C", 'Dry_Litterbag Placem_Collection'!AD119)),"YES","NO")</f>
        <v>NO</v>
      </c>
      <c r="AH412" s="255" t="str">
        <f>IF(ISNUMBER(SEARCH("H", 'Dry_Litterbag Placem_Collection'!AD119)),"YES","NO")</f>
        <v>NO</v>
      </c>
      <c r="AI412" s="255" t="str">
        <f>IF(ISNUMBER(SEARCH("R", 'Dry_Litterbag Placem_Collection'!AD119)),"YES","NO")</f>
        <v>NO</v>
      </c>
      <c r="AJ412" s="255" t="str">
        <f>IF(ISNUMBER(SEARCH("C", 'Dry_Litterbag Placem_Collection'!AC119)),"YES","NO")</f>
        <v>NO</v>
      </c>
      <c r="AK412" s="255" t="str">
        <f>IF(ISNUMBER(SEARCH("H", 'Dry_Litterbag Placem_Collection'!AC119)),"YES","NO")</f>
        <v>NO</v>
      </c>
      <c r="AL412" s="255" t="str">
        <f>IF(ISNUMBER(SEARCH("R", 'Dry_Litterbag Placem_Collection'!AC119)),"YES","NO")</f>
        <v>NO</v>
      </c>
      <c r="AR412" t="s">
        <v>1887</v>
      </c>
      <c r="AT412" t="s">
        <v>420</v>
      </c>
    </row>
    <row r="413" spans="2:46">
      <c r="B413" t="str">
        <f>'Final data_for_R_analysis_Dryse'!A559</f>
        <v>Dry</v>
      </c>
      <c r="C413" s="263">
        <f>'Final data_for_R_analysis_Dryse'!B559</f>
        <v>118</v>
      </c>
      <c r="D413" t="s">
        <v>3844</v>
      </c>
      <c r="E413" t="s">
        <v>25</v>
      </c>
      <c r="F413" s="387">
        <v>6</v>
      </c>
      <c r="G413" s="16">
        <f>'Dry_Litterbag Placem_Collection'!E120</f>
        <v>42939</v>
      </c>
      <c r="H413" s="92" t="str">
        <f>'Final data_for_R_analysis_Dryse'!J559</f>
        <v>G83</v>
      </c>
      <c r="I413" t="str">
        <f>'Final data_for_R_analysis_Dryse'!J779</f>
        <v>R173</v>
      </c>
      <c r="J413">
        <f>IFERROR(INDEX('Green_rooibos initial weight'!$C$5:$C$1749,MATCH(H413, 'Green_rooibos initial weight'!$A$5:$A$1749,0)),"")</f>
        <v>2.0209999999999999</v>
      </c>
      <c r="K413">
        <f>IFERROR(INDEX('Green_rooibos initial weight'!$C$5:$C$1749,MATCH(I413, 'Green_rooibos initial weight'!$A$5:$A$1749,0)),"")</f>
        <v>2.2040000000000002</v>
      </c>
      <c r="L413" s="195">
        <f t="shared" si="65"/>
        <v>1.7711999999999999</v>
      </c>
      <c r="M413" s="240">
        <f>AVERAGE(Ashed_controlls!$K$1:$K$11)</f>
        <v>5.5147656768714146</v>
      </c>
      <c r="N413" s="195">
        <f t="shared" si="60"/>
        <v>1.6735224703312535</v>
      </c>
      <c r="O413" s="195">
        <f t="shared" si="66"/>
        <v>1.9542000000000002</v>
      </c>
      <c r="P413" s="240">
        <f>AVERAGE(Ashed_controlls!$K$12:$K$14)</f>
        <v>2.2816647271287041</v>
      </c>
      <c r="Q413" s="195">
        <f t="shared" si="61"/>
        <v>1.909611707902451</v>
      </c>
      <c r="R413" s="16">
        <f>IF('Dry_Litterbag Placem_Collection'!G120="N.A","",'Dry_Litterbag Placem_Collection'!G120)</f>
        <v>43008</v>
      </c>
      <c r="S413" s="195">
        <f>IF(IFERROR(INDEX('Both teabags AfterDry'!$D$1:$D$839,MATCH(H413,'Both teabags AfterDry'!$A$1:$A$839,0)),"")="N.A","",(IFERROR(INDEX('Both teabags AfterDry'!$D$1:$D$839,MATCH(H413,'Both teabags AfterDry'!$A$1:$A$839,0)),"")))</f>
        <v>0.81779999999999997</v>
      </c>
      <c r="T413" s="195">
        <f>IF(IFERROR(INDEX('Both teabags AfterDry'!$D$1:$D$839,MATCH(I413,'Both teabags AfterDry'!$A$1:$A$839,0)),"")="N.A","",(IFERROR(INDEX('Both teabags AfterDry'!$D$1:$D$839,MATCH(I413,'Both teabags AfterDry'!$A$1:$A$839,0)),"")))</f>
        <v>1.5261</v>
      </c>
      <c r="U413" s="195">
        <f t="shared" si="67"/>
        <v>0.66720000000000002</v>
      </c>
      <c r="V413" s="195">
        <f t="shared" si="67"/>
        <v>1.3754999999999999</v>
      </c>
      <c r="W413" s="195">
        <f>IFERROR(INDEX('Ashed teabags dry'!$K$2:$K$821,MATCH(H413,'Ashed teabags dry'!$A$2:$A$821,0)),"")</f>
        <v>31.832094446874049</v>
      </c>
      <c r="X413" s="195">
        <f>IFERROR(INDEX('Ashed teabags dry'!$K$2:$K$821,MATCH(I413,'Ashed teabags dry'!$A$2:$A$821,0)),"")</f>
        <v>8.9977728285078307</v>
      </c>
      <c r="Y413" s="195">
        <f t="shared" si="62"/>
        <v>0.45481626585045637</v>
      </c>
      <c r="Z413" s="195">
        <f t="shared" si="62"/>
        <v>1.2517356347438748</v>
      </c>
      <c r="AA413" s="195">
        <f t="shared" si="68"/>
        <v>0.72822816907834464</v>
      </c>
      <c r="AB413" s="195">
        <f t="shared" si="69"/>
        <v>0.4774132414860407</v>
      </c>
      <c r="AC413" s="195">
        <f t="shared" si="63"/>
        <v>0.65549222889861825</v>
      </c>
      <c r="AD413">
        <f t="shared" si="64"/>
        <v>69</v>
      </c>
      <c r="AE413" s="195">
        <f t="shared" si="70"/>
        <v>0.13512093933688285</v>
      </c>
      <c r="AF413" s="195">
        <f t="shared" si="71"/>
        <v>1.8532526429814497E-2</v>
      </c>
      <c r="AG413" s="255" t="str">
        <f>IF(ISNUMBER(SEARCH("C", 'Dry_Litterbag Placem_Collection'!AD120)),"YES","NO")</f>
        <v>NO</v>
      </c>
      <c r="AH413" s="255" t="str">
        <f>IF(ISNUMBER(SEARCH("H", 'Dry_Litterbag Placem_Collection'!AD120)),"YES","NO")</f>
        <v>NO</v>
      </c>
      <c r="AI413" s="255" t="str">
        <f>IF(ISNUMBER(SEARCH("R", 'Dry_Litterbag Placem_Collection'!AD120)),"YES","NO")</f>
        <v>NO</v>
      </c>
      <c r="AJ413" s="255" t="str">
        <f>IF(ISNUMBER(SEARCH("C", 'Dry_Litterbag Placem_Collection'!AC120)),"YES","NO")</f>
        <v>NO</v>
      </c>
      <c r="AK413" s="255" t="str">
        <f>IF(ISNUMBER(SEARCH("H", 'Dry_Litterbag Placem_Collection'!AC120)),"YES","NO")</f>
        <v>NO</v>
      </c>
      <c r="AL413" s="255" t="str">
        <f>IF(ISNUMBER(SEARCH("R", 'Dry_Litterbag Placem_Collection'!AC120)),"YES","NO")</f>
        <v>NO</v>
      </c>
      <c r="AR413" t="s">
        <v>1967</v>
      </c>
      <c r="AT413" t="s">
        <v>968</v>
      </c>
    </row>
    <row r="414" spans="2:46">
      <c r="B414" t="str">
        <f>'Final data_for_R_analysis_Dryse'!A560</f>
        <v>Dry</v>
      </c>
      <c r="C414" s="263">
        <f>'Final data_for_R_analysis_Dryse'!B560</f>
        <v>119</v>
      </c>
      <c r="D414" t="s">
        <v>3844</v>
      </c>
      <c r="E414" t="s">
        <v>25</v>
      </c>
      <c r="F414" s="387">
        <v>7</v>
      </c>
      <c r="G414" s="16">
        <f>'Dry_Litterbag Placem_Collection'!E121</f>
        <v>42939</v>
      </c>
      <c r="H414" s="92" t="str">
        <f>'Final data_for_R_analysis_Dryse'!J560</f>
        <v>G159</v>
      </c>
      <c r="I414" t="str">
        <f>'Final data_for_R_analysis_Dryse'!J780</f>
        <v>R373</v>
      </c>
      <c r="J414">
        <f>IFERROR(INDEX('Green_rooibos initial weight'!$C$5:$C$1749,MATCH(H414, 'Green_rooibos initial weight'!$A$5:$A$1749,0)),"")</f>
        <v>2.1419999999999999</v>
      </c>
      <c r="K414">
        <f>IFERROR(INDEX('Green_rooibos initial weight'!$C$5:$C$1749,MATCH(I414, 'Green_rooibos initial weight'!$A$5:$A$1749,0)),"")</f>
        <v>2.226</v>
      </c>
      <c r="L414" s="195">
        <f t="shared" si="65"/>
        <v>1.8921999999999999</v>
      </c>
      <c r="M414" s="240">
        <f>AVERAGE(Ashed_controlls!$K$1:$K$11)</f>
        <v>5.5147656768714146</v>
      </c>
      <c r="N414" s="195">
        <f t="shared" si="60"/>
        <v>1.7878496038622389</v>
      </c>
      <c r="O414" s="195">
        <f t="shared" si="66"/>
        <v>1.9762</v>
      </c>
      <c r="P414" s="240">
        <f>AVERAGE(Ashed_controlls!$K$12:$K$14)</f>
        <v>2.2816647271287041</v>
      </c>
      <c r="Q414" s="195">
        <f t="shared" si="61"/>
        <v>1.9311097416624825</v>
      </c>
      <c r="R414" s="16">
        <f>IF('Dry_Litterbag Placem_Collection'!G121="N.A","",'Dry_Litterbag Placem_Collection'!G121)</f>
        <v>43008</v>
      </c>
      <c r="S414" s="195">
        <f>IF(IFERROR(INDEX('Both teabags AfterDry'!$D$1:$D$839,MATCH(H414,'Both teabags AfterDry'!$A$1:$A$839,0)),"")="N.A","",(IFERROR(INDEX('Both teabags AfterDry'!$D$1:$D$839,MATCH(H414,'Both teabags AfterDry'!$A$1:$A$839,0)),"")))</f>
        <v>0.76990000000000003</v>
      </c>
      <c r="T414" s="195">
        <f>IF(IFERROR(INDEX('Both teabags AfterDry'!$D$1:$D$839,MATCH(I414,'Both teabags AfterDry'!$A$1:$A$839,0)),"")="N.A","",(IFERROR(INDEX('Both teabags AfterDry'!$D$1:$D$839,MATCH(I414,'Both teabags AfterDry'!$A$1:$A$839,0)),"")))</f>
        <v>1.5419</v>
      </c>
      <c r="U414" s="195">
        <f t="shared" si="67"/>
        <v>0.61929999999999996</v>
      </c>
      <c r="V414" s="195">
        <f t="shared" si="67"/>
        <v>1.3913</v>
      </c>
      <c r="W414" s="195">
        <f>IFERROR(INDEX('Ashed teabags dry'!$K$2:$K$821,MATCH(H414,'Ashed teabags dry'!$A$2:$A$821,0)),"")</f>
        <v>17.673992673993002</v>
      </c>
      <c r="X414" s="195">
        <f>IFERROR(INDEX('Ashed teabags dry'!$K$2:$K$821,MATCH(I414,'Ashed teabags dry'!$A$2:$A$821,0)),"")</f>
        <v>6.2859884836854203</v>
      </c>
      <c r="Y414" s="195">
        <f t="shared" si="62"/>
        <v>0.50984496336996132</v>
      </c>
      <c r="Z414" s="195">
        <f t="shared" si="62"/>
        <v>1.3038430422264846</v>
      </c>
      <c r="AA414" s="195">
        <f t="shared" si="68"/>
        <v>0.71482782317452309</v>
      </c>
      <c r="AB414" s="195">
        <f t="shared" si="69"/>
        <v>0.46862821661797721</v>
      </c>
      <c r="AC414" s="195">
        <f t="shared" si="63"/>
        <v>0.67517811862106436</v>
      </c>
      <c r="AD414">
        <f t="shared" si="64"/>
        <v>69</v>
      </c>
      <c r="AE414" s="195">
        <f t="shared" si="70"/>
        <v>0.15103583946018628</v>
      </c>
      <c r="AF414" s="195">
        <f t="shared" si="71"/>
        <v>1.7120902011020598E-2</v>
      </c>
      <c r="AG414" s="255" t="str">
        <f>IF(ISNUMBER(SEARCH("C", 'Dry_Litterbag Placem_Collection'!AD121)),"YES","NO")</f>
        <v>NO</v>
      </c>
      <c r="AH414" s="255" t="str">
        <f>IF(ISNUMBER(SEARCH("H", 'Dry_Litterbag Placem_Collection'!AD121)),"YES","NO")</f>
        <v>NO</v>
      </c>
      <c r="AI414" s="255" t="str">
        <f>IF(ISNUMBER(SEARCH("R", 'Dry_Litterbag Placem_Collection'!AD121)),"YES","NO")</f>
        <v>NO</v>
      </c>
      <c r="AJ414" s="255" t="str">
        <f>IF(ISNUMBER(SEARCH("C", 'Dry_Litterbag Placem_Collection'!AC121)),"YES","NO")</f>
        <v>NO</v>
      </c>
      <c r="AK414" s="255" t="str">
        <f>IF(ISNUMBER(SEARCH("H", 'Dry_Litterbag Placem_Collection'!AC121)),"YES","NO")</f>
        <v>NO</v>
      </c>
      <c r="AL414" s="255" t="str">
        <f>IF(ISNUMBER(SEARCH("R", 'Dry_Litterbag Placem_Collection'!AC121)),"YES","NO")</f>
        <v>NO</v>
      </c>
      <c r="AR414" t="s">
        <v>1891</v>
      </c>
      <c r="AT414" t="s">
        <v>768</v>
      </c>
    </row>
    <row r="415" spans="2:46">
      <c r="B415" t="str">
        <f>'Final data_for_R_analysis_Dryse'!A561</f>
        <v>Dry</v>
      </c>
      <c r="C415" s="263">
        <f>'Final data_for_R_analysis_Dryse'!B561</f>
        <v>120</v>
      </c>
      <c r="D415" t="s">
        <v>3844</v>
      </c>
      <c r="E415" t="s">
        <v>25</v>
      </c>
      <c r="F415" s="387">
        <v>8</v>
      </c>
      <c r="G415" s="16">
        <f>'Dry_Litterbag Placem_Collection'!E122</f>
        <v>0</v>
      </c>
      <c r="H415" s="92" t="str">
        <f>'Final data_for_R_analysis_Dryse'!J561</f>
        <v/>
      </c>
      <c r="I415" t="str">
        <f>'Final data_for_R_analysis_Dryse'!J781</f>
        <v/>
      </c>
      <c r="J415" t="str">
        <f>IFERROR(INDEX('Green_rooibos initial weight'!$C$5:$C$1749,MATCH(H415, 'Green_rooibos initial weight'!$A$5:$A$1749,0)),"")</f>
        <v/>
      </c>
      <c r="K415" t="str">
        <f>IFERROR(INDEX('Green_rooibos initial weight'!$C$5:$C$1749,MATCH(I415, 'Green_rooibos initial weight'!$A$5:$A$1749,0)),"")</f>
        <v/>
      </c>
      <c r="L415" s="195" t="str">
        <f t="shared" si="65"/>
        <v/>
      </c>
      <c r="M415" s="240">
        <f>AVERAGE(Ashed_controlls!$K$1:$K$11)</f>
        <v>5.5147656768714146</v>
      </c>
      <c r="N415" s="195" t="str">
        <f t="shared" si="60"/>
        <v/>
      </c>
      <c r="O415" s="195" t="str">
        <f t="shared" si="66"/>
        <v/>
      </c>
      <c r="P415" s="240">
        <f>AVERAGE(Ashed_controlls!$K$12:$K$14)</f>
        <v>2.2816647271287041</v>
      </c>
      <c r="Q415" s="195" t="str">
        <f t="shared" si="61"/>
        <v/>
      </c>
      <c r="R415" s="16">
        <f>IF('Dry_Litterbag Placem_Collection'!G122="N.A","",'Dry_Litterbag Placem_Collection'!G122)</f>
        <v>0</v>
      </c>
      <c r="S415" s="195" t="str">
        <f>IF(IFERROR(INDEX('Both teabags AfterDry'!$D$1:$D$839,MATCH(H415,'Both teabags AfterDry'!$A$1:$A$839,0)),"")="N.A","",(IFERROR(INDEX('Both teabags AfterDry'!$D$1:$D$839,MATCH(H415,'Both teabags AfterDry'!$A$1:$A$839,0)),"")))</f>
        <v/>
      </c>
      <c r="T415" s="195" t="str">
        <f>IF(IFERROR(INDEX('Both teabags AfterDry'!$D$1:$D$839,MATCH(I415,'Both teabags AfterDry'!$A$1:$A$839,0)),"")="N.A","",(IFERROR(INDEX('Both teabags AfterDry'!$D$1:$D$839,MATCH(I415,'Both teabags AfterDry'!$A$1:$A$839,0)),"")))</f>
        <v/>
      </c>
      <c r="U415" s="195" t="str">
        <f t="shared" si="67"/>
        <v/>
      </c>
      <c r="V415" s="195" t="str">
        <f t="shared" si="67"/>
        <v/>
      </c>
      <c r="W415" s="195" t="str">
        <f>IFERROR(INDEX('Ashed teabags dry'!$K$2:$K$821,MATCH(H415,'Ashed teabags dry'!$A$2:$A$821,0)),"")</f>
        <v/>
      </c>
      <c r="X415" s="195" t="str">
        <f>IFERROR(INDEX('Ashed teabags dry'!$K$2:$K$821,MATCH(I415,'Ashed teabags dry'!$A$2:$A$821,0)),"")</f>
        <v/>
      </c>
      <c r="Y415" s="195" t="str">
        <f t="shared" si="62"/>
        <v/>
      </c>
      <c r="Z415" s="195" t="str">
        <f t="shared" si="62"/>
        <v/>
      </c>
      <c r="AA415" s="195" t="str">
        <f t="shared" si="68"/>
        <v/>
      </c>
      <c r="AB415" s="195" t="str">
        <f t="shared" si="69"/>
        <v/>
      </c>
      <c r="AC415" s="195" t="str">
        <f t="shared" si="63"/>
        <v/>
      </c>
      <c r="AD415" t="str">
        <f t="shared" si="64"/>
        <v/>
      </c>
      <c r="AE415" s="195" t="str">
        <f t="shared" si="70"/>
        <v/>
      </c>
      <c r="AF415" s="195" t="str">
        <f t="shared" si="71"/>
        <v/>
      </c>
      <c r="AG415" s="255" t="str">
        <f>IF(ISNUMBER(SEARCH("C", 'Dry_Litterbag Placem_Collection'!AD122)),"YES","NO")</f>
        <v>NO</v>
      </c>
      <c r="AH415" s="255" t="str">
        <f>IF(ISNUMBER(SEARCH("H", 'Dry_Litterbag Placem_Collection'!AD122)),"YES","NO")</f>
        <v>NO</v>
      </c>
      <c r="AI415" s="255" t="str">
        <f>IF(ISNUMBER(SEARCH("R", 'Dry_Litterbag Placem_Collection'!AD122)),"YES","NO")</f>
        <v>NO</v>
      </c>
      <c r="AJ415" s="255" t="str">
        <f>IF(ISNUMBER(SEARCH("C", 'Dry_Litterbag Placem_Collection'!AC122)),"YES","NO")</f>
        <v>NO</v>
      </c>
      <c r="AK415" s="255" t="str">
        <f>IF(ISNUMBER(SEARCH("H", 'Dry_Litterbag Placem_Collection'!AC122)),"YES","NO")</f>
        <v>NO</v>
      </c>
      <c r="AL415" s="255" t="str">
        <f>IF(ISNUMBER(SEARCH("R", 'Dry_Litterbag Placem_Collection'!AC122)),"YES","NO")</f>
        <v>NO</v>
      </c>
      <c r="AR415" t="s">
        <v>3654</v>
      </c>
      <c r="AT415" t="s">
        <v>3654</v>
      </c>
    </row>
    <row r="416" spans="2:46">
      <c r="B416" t="str">
        <f>'Final data_for_R_analysis_Dryse'!A562</f>
        <v>Dry</v>
      </c>
      <c r="C416" s="263">
        <f>'Final data_for_R_analysis_Dryse'!B562</f>
        <v>121</v>
      </c>
      <c r="D416" t="s">
        <v>3845</v>
      </c>
      <c r="E416" t="s">
        <v>25</v>
      </c>
      <c r="F416" s="386">
        <v>1</v>
      </c>
      <c r="G416" s="16">
        <f>'Dry_Litterbag Placem_Collection'!E123</f>
        <v>42939</v>
      </c>
      <c r="H416" s="92" t="str">
        <f>'Final data_for_R_analysis_Dryse'!J562</f>
        <v>G16</v>
      </c>
      <c r="I416" t="str">
        <f>'Final data_for_R_analysis_Dryse'!J782</f>
        <v>R374</v>
      </c>
      <c r="J416">
        <f>IFERROR(INDEX('Green_rooibos initial weight'!$C$5:$C$1749,MATCH(H416, 'Green_rooibos initial weight'!$A$5:$A$1749,0)),"")</f>
        <v>1.9410000000000001</v>
      </c>
      <c r="K416">
        <f>IFERROR(INDEX('Green_rooibos initial weight'!$C$5:$C$1749,MATCH(I416, 'Green_rooibos initial weight'!$A$5:$A$1749,0)),"")</f>
        <v>2.2090000000000001</v>
      </c>
      <c r="L416" s="195">
        <f t="shared" si="65"/>
        <v>1.6912</v>
      </c>
      <c r="M416" s="240">
        <f>AVERAGE(Ashed_controlls!$K$1:$K$11)</f>
        <v>5.5147656768714146</v>
      </c>
      <c r="N416" s="195">
        <f t="shared" si="60"/>
        <v>1.5979342828727507</v>
      </c>
      <c r="O416" s="195">
        <f t="shared" si="66"/>
        <v>1.9592000000000001</v>
      </c>
      <c r="P416" s="240">
        <f>AVERAGE(Ashed_controlls!$K$12:$K$14)</f>
        <v>2.2816647271287041</v>
      </c>
      <c r="Q416" s="195">
        <f t="shared" si="61"/>
        <v>1.9144976246660945</v>
      </c>
      <c r="R416" s="16">
        <f>IF('Dry_Litterbag Placem_Collection'!G123="N.A","",'Dry_Litterbag Placem_Collection'!G123)</f>
        <v>43008</v>
      </c>
      <c r="S416" s="195" t="str">
        <f>IF(IFERROR(INDEX('Both teabags AfterDry'!$D$1:$D$839,MATCH(H416,'Both teabags AfterDry'!$A$1:$A$839,0)),"")="N.A","",(IFERROR(INDEX('Both teabags AfterDry'!$D$1:$D$839,MATCH(H416,'Both teabags AfterDry'!$A$1:$A$839,0)),"")))</f>
        <v/>
      </c>
      <c r="T416" s="195" t="str">
        <f>IF(IFERROR(INDEX('Both teabags AfterDry'!$D$1:$D$839,MATCH(I416,'Both teabags AfterDry'!$A$1:$A$839,0)),"")="N.A","",(IFERROR(INDEX('Both teabags AfterDry'!$D$1:$D$839,MATCH(I416,'Both teabags AfterDry'!$A$1:$A$839,0)),"")))</f>
        <v/>
      </c>
      <c r="U416" s="195" t="str">
        <f t="shared" si="67"/>
        <v/>
      </c>
      <c r="V416" s="195" t="str">
        <f t="shared" si="67"/>
        <v/>
      </c>
      <c r="W416" s="195">
        <f>IFERROR(INDEX('Ashed teabags dry'!$K$2:$K$821,MATCH(H416,'Ashed teabags dry'!$A$2:$A$821,0)),"")</f>
        <v>12.463485881207744</v>
      </c>
      <c r="X416" s="195" t="str">
        <f>IFERROR(INDEX('Ashed teabags dry'!$K$2:$K$821,MATCH(I416,'Ashed teabags dry'!$A$2:$A$821,0)),"")</f>
        <v/>
      </c>
      <c r="Y416" s="195" t="str">
        <f t="shared" si="62"/>
        <v/>
      </c>
      <c r="Z416" s="195" t="str">
        <f t="shared" si="62"/>
        <v/>
      </c>
      <c r="AA416" s="195" t="str">
        <f t="shared" si="68"/>
        <v/>
      </c>
      <c r="AB416" s="195" t="str">
        <f t="shared" si="69"/>
        <v/>
      </c>
      <c r="AC416" s="195" t="str">
        <f t="shared" si="63"/>
        <v/>
      </c>
      <c r="AD416">
        <f t="shared" si="64"/>
        <v>69</v>
      </c>
      <c r="AE416" s="195" t="str">
        <f t="shared" si="70"/>
        <v/>
      </c>
      <c r="AF416" s="195" t="str">
        <f t="shared" si="71"/>
        <v/>
      </c>
      <c r="AG416" s="255" t="str">
        <f>IF(ISNUMBER(SEARCH("C", 'Dry_Litterbag Placem_Collection'!AD123)),"YES","NO")</f>
        <v>NO</v>
      </c>
      <c r="AH416" s="255" t="str">
        <f>IF(ISNUMBER(SEARCH("H", 'Dry_Litterbag Placem_Collection'!AD123)),"YES","NO")</f>
        <v>NO</v>
      </c>
      <c r="AI416" s="255" t="str">
        <f>IF(ISNUMBER(SEARCH("R", 'Dry_Litterbag Placem_Collection'!AD123)),"YES","NO")</f>
        <v>NO</v>
      </c>
      <c r="AJ416" s="255" t="str">
        <f>IF(ISNUMBER(SEARCH("C", 'Dry_Litterbag Placem_Collection'!AC123)),"YES","NO")</f>
        <v>NO</v>
      </c>
      <c r="AK416" s="255" t="str">
        <f>IF(ISNUMBER(SEARCH("H", 'Dry_Litterbag Placem_Collection'!AC123)),"YES","NO")</f>
        <v>NO</v>
      </c>
      <c r="AL416" s="255" t="str">
        <f>IF(ISNUMBER(SEARCH("R", 'Dry_Litterbag Placem_Collection'!AC123)),"YES","NO")</f>
        <v>NO</v>
      </c>
      <c r="AR416" t="s">
        <v>2034</v>
      </c>
      <c r="AT416" t="s">
        <v>767</v>
      </c>
    </row>
    <row r="417" spans="2:46">
      <c r="B417" t="str">
        <f>'Final data_for_R_analysis_Dryse'!A563</f>
        <v>Dry</v>
      </c>
      <c r="C417" s="263">
        <f>'Final data_for_R_analysis_Dryse'!B563</f>
        <v>122</v>
      </c>
      <c r="D417" t="s">
        <v>3845</v>
      </c>
      <c r="E417" t="s">
        <v>25</v>
      </c>
      <c r="F417" s="386">
        <v>2</v>
      </c>
      <c r="G417" s="16">
        <f>'Dry_Litterbag Placem_Collection'!E124</f>
        <v>42939</v>
      </c>
      <c r="H417" s="92" t="str">
        <f>'Final data_for_R_analysis_Dryse'!J563</f>
        <v>G109</v>
      </c>
      <c r="I417" t="str">
        <f>'Final data_for_R_analysis_Dryse'!J783</f>
        <v>R388</v>
      </c>
      <c r="J417">
        <f>IFERROR(INDEX('Green_rooibos initial weight'!$C$5:$C$1749,MATCH(H417, 'Green_rooibos initial weight'!$A$5:$A$1749,0)),"")</f>
        <v>1.992</v>
      </c>
      <c r="K417">
        <f>IFERROR(INDEX('Green_rooibos initial weight'!$C$5:$C$1749,MATCH(I417, 'Green_rooibos initial weight'!$A$5:$A$1749,0)),"")</f>
        <v>2.2349999999999999</v>
      </c>
      <c r="L417" s="195">
        <f t="shared" si="65"/>
        <v>1.7422</v>
      </c>
      <c r="M417" s="240">
        <f>AVERAGE(Ashed_controlls!$K$1:$K$11)</f>
        <v>5.5147656768714146</v>
      </c>
      <c r="N417" s="195">
        <f t="shared" si="60"/>
        <v>1.6461217523775462</v>
      </c>
      <c r="O417" s="195">
        <f t="shared" si="66"/>
        <v>1.9851999999999999</v>
      </c>
      <c r="P417" s="240">
        <f>AVERAGE(Ashed_controlls!$K$12:$K$14)</f>
        <v>2.2816647271287041</v>
      </c>
      <c r="Q417" s="195">
        <f t="shared" si="61"/>
        <v>1.9399043918370409</v>
      </c>
      <c r="R417" s="16">
        <f>IF('Dry_Litterbag Placem_Collection'!G124="N.A","",'Dry_Litterbag Placem_Collection'!G124)</f>
        <v>43008</v>
      </c>
      <c r="S417" s="195">
        <f>IF(IFERROR(INDEX('Both teabags AfterDry'!$D$1:$D$839,MATCH(H417,'Both teabags AfterDry'!$A$1:$A$839,0)),"")="N.A","",(IFERROR(INDEX('Both teabags AfterDry'!$D$1:$D$839,MATCH(H417,'Both teabags AfterDry'!$A$1:$A$839,0)),"")))</f>
        <v>0.67359999999999998</v>
      </c>
      <c r="T417" s="195">
        <f>IF(IFERROR(INDEX('Both teabags AfterDry'!$D$1:$D$839,MATCH(I417,'Both teabags AfterDry'!$A$1:$A$839,0)),"")="N.A","",(IFERROR(INDEX('Both teabags AfterDry'!$D$1:$D$839,MATCH(I417,'Both teabags AfterDry'!$A$1:$A$839,0)),"")))</f>
        <v>1.4536</v>
      </c>
      <c r="U417" s="195">
        <f t="shared" si="67"/>
        <v>0.52299999999999991</v>
      </c>
      <c r="V417" s="195">
        <f t="shared" si="67"/>
        <v>1.3029999999999999</v>
      </c>
      <c r="W417" s="195">
        <f>IFERROR(INDEX('Ashed teabags dry'!$K$2:$K$821,MATCH(H417,'Ashed teabags dry'!$A$2:$A$821,0)),"")</f>
        <v>17.174515235456546</v>
      </c>
      <c r="X417" s="195">
        <f>IFERROR(INDEX('Ashed teabags dry'!$K$2:$K$821,MATCH(I417,'Ashed teabags dry'!$A$2:$A$821,0)),"")</f>
        <v>14.899853444064959</v>
      </c>
      <c r="Y417" s="195">
        <f t="shared" si="62"/>
        <v>0.4331772853185622</v>
      </c>
      <c r="Z417" s="195">
        <f t="shared" si="62"/>
        <v>1.1088549096238336</v>
      </c>
      <c r="AA417" s="195">
        <f t="shared" si="68"/>
        <v>0.73684978969938864</v>
      </c>
      <c r="AB417" s="195">
        <f t="shared" si="69"/>
        <v>0.48306542032548999</v>
      </c>
      <c r="AC417" s="195">
        <f t="shared" si="63"/>
        <v>0.57160286573390129</v>
      </c>
      <c r="AD417">
        <f t="shared" si="64"/>
        <v>69</v>
      </c>
      <c r="AE417" s="195">
        <f t="shared" si="70"/>
        <v>0.12488148491759066</v>
      </c>
      <c r="AF417" s="195">
        <f t="shared" si="71"/>
        <v>3.1577801862813101E-2</v>
      </c>
      <c r="AG417" s="255" t="str">
        <f>IF(ISNUMBER(SEARCH("C", 'Dry_Litterbag Placem_Collection'!AD124)),"YES","NO")</f>
        <v>NO</v>
      </c>
      <c r="AH417" s="255" t="str">
        <f>IF(ISNUMBER(SEARCH("H", 'Dry_Litterbag Placem_Collection'!AD124)),"YES","NO")</f>
        <v>NO</v>
      </c>
      <c r="AI417" s="255" t="str">
        <f>IF(ISNUMBER(SEARCH("R", 'Dry_Litterbag Placem_Collection'!AD124)),"YES","NO")</f>
        <v>NO</v>
      </c>
      <c r="AJ417" s="255" t="str">
        <f>IF(ISNUMBER(SEARCH("C", 'Dry_Litterbag Placem_Collection'!AC124)),"YES","NO")</f>
        <v>NO</v>
      </c>
      <c r="AK417" s="255" t="str">
        <f>IF(ISNUMBER(SEARCH("H", 'Dry_Litterbag Placem_Collection'!AC124)),"YES","NO")</f>
        <v>NO</v>
      </c>
      <c r="AL417" s="255" t="str">
        <f>IF(ISNUMBER(SEARCH("R", 'Dry_Litterbag Placem_Collection'!AC124)),"YES","NO")</f>
        <v>NO</v>
      </c>
      <c r="AR417" t="s">
        <v>1941</v>
      </c>
      <c r="AT417" t="s">
        <v>753</v>
      </c>
    </row>
    <row r="418" spans="2:46">
      <c r="B418" t="str">
        <f>'Final data_for_R_analysis_Dryse'!A564</f>
        <v>Dry</v>
      </c>
      <c r="C418" s="263">
        <f>'Final data_for_R_analysis_Dryse'!B564</f>
        <v>123</v>
      </c>
      <c r="D418" t="s">
        <v>3845</v>
      </c>
      <c r="E418" t="s">
        <v>25</v>
      </c>
      <c r="F418" s="386">
        <v>3</v>
      </c>
      <c r="G418" s="16">
        <f>'Dry_Litterbag Placem_Collection'!E125</f>
        <v>42939</v>
      </c>
      <c r="H418" s="92" t="str">
        <f>'Final data_for_R_analysis_Dryse'!J564</f>
        <v>G344</v>
      </c>
      <c r="I418" t="str">
        <f>'Final data_for_R_analysis_Dryse'!J784</f>
        <v>R281</v>
      </c>
      <c r="J418">
        <f>IFERROR(INDEX('Green_rooibos initial weight'!$C$5:$C$1749,MATCH(H418, 'Green_rooibos initial weight'!$A$5:$A$1749,0)),"")</f>
        <v>1.93</v>
      </c>
      <c r="K418">
        <f>IFERROR(INDEX('Green_rooibos initial weight'!$C$5:$C$1749,MATCH(I418, 'Green_rooibos initial weight'!$A$5:$A$1749,0)),"")</f>
        <v>2.17</v>
      </c>
      <c r="L418" s="195">
        <f t="shared" si="65"/>
        <v>1.6801999999999999</v>
      </c>
      <c r="M418" s="240">
        <f>AVERAGE(Ashed_controlls!$K$1:$K$11)</f>
        <v>5.5147656768714146</v>
      </c>
      <c r="N418" s="195">
        <f t="shared" si="60"/>
        <v>1.5875409070972064</v>
      </c>
      <c r="O418" s="195">
        <f t="shared" si="66"/>
        <v>1.9201999999999999</v>
      </c>
      <c r="P418" s="240">
        <f>AVERAGE(Ashed_controlls!$K$12:$K$14)</f>
        <v>2.2816647271287041</v>
      </c>
      <c r="Q418" s="195">
        <f t="shared" si="61"/>
        <v>1.8763874739096746</v>
      </c>
      <c r="R418" s="16">
        <f>IF('Dry_Litterbag Placem_Collection'!G125="N.A","",'Dry_Litterbag Placem_Collection'!G125)</f>
        <v>43008</v>
      </c>
      <c r="S418" s="195">
        <f>IF(IFERROR(INDEX('Both teabags AfterDry'!$D$1:$D$839,MATCH(H418,'Both teabags AfterDry'!$A$1:$A$839,0)),"")="N.A","",(IFERROR(INDEX('Both teabags AfterDry'!$D$1:$D$839,MATCH(H418,'Both teabags AfterDry'!$A$1:$A$839,0)),"")))</f>
        <v>0.78580000000000005</v>
      </c>
      <c r="T418" s="195">
        <f>IF(IFERROR(INDEX('Both teabags AfterDry'!$D$1:$D$839,MATCH(I418,'Both teabags AfterDry'!$A$1:$A$839,0)),"")="N.A","",(IFERROR(INDEX('Both teabags AfterDry'!$D$1:$D$839,MATCH(I418,'Both teabags AfterDry'!$A$1:$A$839,0)),"")))</f>
        <v>1.7361</v>
      </c>
      <c r="U418" s="195">
        <f t="shared" si="67"/>
        <v>0.63519999999999999</v>
      </c>
      <c r="V418" s="195">
        <f t="shared" si="67"/>
        <v>1.5854999999999999</v>
      </c>
      <c r="W418" s="195">
        <f>IFERROR(INDEX('Ashed teabags dry'!$K$2:$K$821,MATCH(H418,'Ashed teabags dry'!$A$2:$A$821,0)),"")</f>
        <v>19.618781961877247</v>
      </c>
      <c r="X418" s="195">
        <f>IFERROR(INDEX('Ashed teabags dry'!$K$2:$K$821,MATCH(I418,'Ashed teabags dry'!$A$2:$A$821,0)),"")</f>
        <v>4.862385321101006</v>
      </c>
      <c r="Y418" s="195">
        <f t="shared" si="62"/>
        <v>0.51058149697815569</v>
      </c>
      <c r="Z418" s="195">
        <f t="shared" si="62"/>
        <v>1.5084068807339435</v>
      </c>
      <c r="AA418" s="195">
        <f t="shared" si="68"/>
        <v>0.67838214770053018</v>
      </c>
      <c r="AB418" s="195">
        <f t="shared" si="69"/>
        <v>0.44473508970391062</v>
      </c>
      <c r="AC418" s="195">
        <f t="shared" si="63"/>
        <v>0.80388880319638878</v>
      </c>
      <c r="AD418">
        <f t="shared" si="64"/>
        <v>69</v>
      </c>
      <c r="AE418" s="195">
        <f t="shared" si="70"/>
        <v>0.19432048966682869</v>
      </c>
      <c r="AF418" s="195">
        <f t="shared" si="71"/>
        <v>8.4280799506051603E-3</v>
      </c>
      <c r="AG418" s="255" t="str">
        <f>IF(ISNUMBER(SEARCH("C", 'Dry_Litterbag Placem_Collection'!AD125)),"YES","NO")</f>
        <v>NO</v>
      </c>
      <c r="AH418" s="255" t="str">
        <f>IF(ISNUMBER(SEARCH("H", 'Dry_Litterbag Placem_Collection'!AD125)),"YES","NO")</f>
        <v>NO</v>
      </c>
      <c r="AI418" s="255" t="str">
        <f>IF(ISNUMBER(SEARCH("R", 'Dry_Litterbag Placem_Collection'!AD125)),"YES","NO")</f>
        <v>NO</v>
      </c>
      <c r="AJ418" s="255" t="str">
        <f>IF(ISNUMBER(SEARCH("C", 'Dry_Litterbag Placem_Collection'!AC125)),"YES","NO")</f>
        <v>NO</v>
      </c>
      <c r="AK418" s="255" t="str">
        <f>IF(ISNUMBER(SEARCH("H", 'Dry_Litterbag Placem_Collection'!AC125)),"YES","NO")</f>
        <v>NO</v>
      </c>
      <c r="AL418" s="255" t="str">
        <f>IF(ISNUMBER(SEARCH("R", 'Dry_Litterbag Placem_Collection'!AC125)),"YES","NO")</f>
        <v>NO</v>
      </c>
      <c r="AR418" t="s">
        <v>1706</v>
      </c>
      <c r="AT418" t="s">
        <v>860</v>
      </c>
    </row>
    <row r="419" spans="2:46">
      <c r="B419" t="str">
        <f>'Final data_for_R_analysis_Dryse'!A565</f>
        <v>Dry</v>
      </c>
      <c r="C419" s="263">
        <f>'Final data_for_R_analysis_Dryse'!B565</f>
        <v>124</v>
      </c>
      <c r="D419" t="s">
        <v>3845</v>
      </c>
      <c r="E419" t="s">
        <v>25</v>
      </c>
      <c r="F419" s="387">
        <v>4</v>
      </c>
      <c r="G419" s="16">
        <f>'Dry_Litterbag Placem_Collection'!E126</f>
        <v>42939</v>
      </c>
      <c r="H419" s="92" t="str">
        <f>'Final data_for_R_analysis_Dryse'!J565</f>
        <v>G221</v>
      </c>
      <c r="I419" t="str">
        <f>'Final data_for_R_analysis_Dryse'!J785</f>
        <v>R443</v>
      </c>
      <c r="J419">
        <f>IFERROR(INDEX('Green_rooibos initial weight'!$C$5:$C$1749,MATCH(H419, 'Green_rooibos initial weight'!$A$5:$A$1749,0)),"")</f>
        <v>2.004</v>
      </c>
      <c r="K419">
        <f>IFERROR(INDEX('Green_rooibos initial weight'!$C$5:$C$1749,MATCH(I419, 'Green_rooibos initial weight'!$A$5:$A$1749,0)),"")</f>
        <v>2.2149999999999999</v>
      </c>
      <c r="L419" s="195">
        <f t="shared" si="65"/>
        <v>1.7542</v>
      </c>
      <c r="M419" s="240">
        <f>AVERAGE(Ashed_controlls!$K$1:$K$11)</f>
        <v>5.5147656768714146</v>
      </c>
      <c r="N419" s="195">
        <f t="shared" si="60"/>
        <v>1.6574599804963217</v>
      </c>
      <c r="O419" s="195">
        <f t="shared" si="66"/>
        <v>1.9651999999999998</v>
      </c>
      <c r="P419" s="240">
        <f>AVERAGE(Ashed_controlls!$K$12:$K$14)</f>
        <v>2.2816647271287041</v>
      </c>
      <c r="Q419" s="195">
        <f t="shared" si="61"/>
        <v>1.9203607247824666</v>
      </c>
      <c r="R419" s="16">
        <f>IF('Dry_Litterbag Placem_Collection'!G126="N.A","",'Dry_Litterbag Placem_Collection'!G126)</f>
        <v>43008</v>
      </c>
      <c r="S419" s="195">
        <f>IF(IFERROR(INDEX('Both teabags AfterDry'!$D$1:$D$839,MATCH(H419,'Both teabags AfterDry'!$A$1:$A$839,0)),"")="N.A","",(IFERROR(INDEX('Both teabags AfterDry'!$D$1:$D$839,MATCH(H419,'Both teabags AfterDry'!$A$1:$A$839,0)),"")))</f>
        <v>0.66700000000000004</v>
      </c>
      <c r="T419" s="195">
        <f>IF(IFERROR(INDEX('Both teabags AfterDry'!$D$1:$D$839,MATCH(I419,'Both teabags AfterDry'!$A$1:$A$839,0)),"")="N.A","",(IFERROR(INDEX('Both teabags AfterDry'!$D$1:$D$839,MATCH(I419,'Both teabags AfterDry'!$A$1:$A$839,0)),"")))</f>
        <v>1.5766</v>
      </c>
      <c r="U419" s="195">
        <f t="shared" si="67"/>
        <v>0.51639999999999997</v>
      </c>
      <c r="V419" s="195">
        <f t="shared" si="67"/>
        <v>1.4259999999999999</v>
      </c>
      <c r="W419" s="195">
        <f>IFERROR(INDEX('Ashed teabags dry'!$K$2:$K$821,MATCH(H419,'Ashed teabags dry'!$A$2:$A$821,0)),"")</f>
        <v>19.375305026842138</v>
      </c>
      <c r="X419" s="195">
        <f>IFERROR(INDEX('Ashed teabags dry'!$K$2:$K$821,MATCH(I419,'Ashed teabags dry'!$A$2:$A$821,0)),"")</f>
        <v>9.9950024987499955</v>
      </c>
      <c r="Y419" s="195">
        <f t="shared" si="62"/>
        <v>0.41634592484138716</v>
      </c>
      <c r="Z419" s="195">
        <f t="shared" si="62"/>
        <v>1.283471264367825</v>
      </c>
      <c r="AA419" s="195">
        <f t="shared" si="68"/>
        <v>0.74880484009229975</v>
      </c>
      <c r="AB419" s="195">
        <f t="shared" si="69"/>
        <v>0.49090293554744596</v>
      </c>
      <c r="AC419" s="195">
        <f t="shared" si="63"/>
        <v>0.66834904911587023</v>
      </c>
      <c r="AD419">
        <f t="shared" si="64"/>
        <v>69</v>
      </c>
      <c r="AE419" s="195">
        <f t="shared" si="70"/>
        <v>0.11068308777636604</v>
      </c>
      <c r="AF419" s="195">
        <f t="shared" si="71"/>
        <v>1.6315342957059824E-2</v>
      </c>
      <c r="AG419" s="255" t="str">
        <f>IF(ISNUMBER(SEARCH("C", 'Dry_Litterbag Placem_Collection'!AD126)),"YES","NO")</f>
        <v>NO</v>
      </c>
      <c r="AH419" s="255" t="str">
        <f>IF(ISNUMBER(SEARCH("H", 'Dry_Litterbag Placem_Collection'!AD126)),"YES","NO")</f>
        <v>NO</v>
      </c>
      <c r="AI419" s="255" t="str">
        <f>IF(ISNUMBER(SEARCH("R", 'Dry_Litterbag Placem_Collection'!AD126)),"YES","NO")</f>
        <v>NO</v>
      </c>
      <c r="AJ419" s="255" t="str">
        <f>IF(ISNUMBER(SEARCH("C", 'Dry_Litterbag Placem_Collection'!AC126)),"YES","NO")</f>
        <v>NO</v>
      </c>
      <c r="AK419" s="255" t="str">
        <f>IF(ISNUMBER(SEARCH("H", 'Dry_Litterbag Placem_Collection'!AC126)),"YES","NO")</f>
        <v>NO</v>
      </c>
      <c r="AL419" s="255" t="str">
        <f>IF(ISNUMBER(SEARCH("R", 'Dry_Litterbag Placem_Collection'!AC126)),"YES","NO")</f>
        <v>NO</v>
      </c>
      <c r="AR419" t="s">
        <v>1829</v>
      </c>
      <c r="AT419" t="s">
        <v>698</v>
      </c>
    </row>
    <row r="420" spans="2:46">
      <c r="B420" t="str">
        <f>'Final data_for_R_analysis_Dryse'!A566</f>
        <v>Dry</v>
      </c>
      <c r="C420" s="263">
        <f>'Final data_for_R_analysis_Dryse'!B566</f>
        <v>125</v>
      </c>
      <c r="D420" t="s">
        <v>3845</v>
      </c>
      <c r="E420" t="s">
        <v>25</v>
      </c>
      <c r="F420" s="387">
        <v>5</v>
      </c>
      <c r="G420" s="16">
        <f>'Dry_Litterbag Placem_Collection'!E127</f>
        <v>42939</v>
      </c>
      <c r="H420" s="92" t="str">
        <f>'Final data_for_R_analysis_Dryse'!J566</f>
        <v>G757</v>
      </c>
      <c r="I420" t="str">
        <f>'Final data_for_R_analysis_Dryse'!J786</f>
        <v>R180</v>
      </c>
      <c r="J420">
        <f>IFERROR(INDEX('Green_rooibos initial weight'!$C$5:$C$1749,MATCH(H420, 'Green_rooibos initial weight'!$A$5:$A$1749,0)),"")</f>
        <v>2.0670000000000002</v>
      </c>
      <c r="K420">
        <f>IFERROR(INDEX('Green_rooibos initial weight'!$C$5:$C$1749,MATCH(I420, 'Green_rooibos initial weight'!$A$5:$A$1749,0)),"")</f>
        <v>2.2010000000000001</v>
      </c>
      <c r="L420" s="195">
        <f t="shared" si="65"/>
        <v>1.8172000000000001</v>
      </c>
      <c r="M420" s="240">
        <f>AVERAGE(Ashed_controlls!$K$1:$K$11)</f>
        <v>5.5147656768714146</v>
      </c>
      <c r="N420" s="195">
        <f t="shared" si="60"/>
        <v>1.7169856781198929</v>
      </c>
      <c r="O420" s="195">
        <f t="shared" si="66"/>
        <v>1.9512</v>
      </c>
      <c r="P420" s="240">
        <f>AVERAGE(Ashed_controlls!$K$12:$K$14)</f>
        <v>2.2816647271287041</v>
      </c>
      <c r="Q420" s="195">
        <f t="shared" si="61"/>
        <v>1.9066801578442647</v>
      </c>
      <c r="R420" s="16">
        <f>IF('Dry_Litterbag Placem_Collection'!G127="N.A","",'Dry_Litterbag Placem_Collection'!G127)</f>
        <v>43008</v>
      </c>
      <c r="S420" s="195">
        <f>IF(IFERROR(INDEX('Both teabags AfterDry'!$D$1:$D$839,MATCH(H420,'Both teabags AfterDry'!$A$1:$A$839,0)),"")="N.A","",(IFERROR(INDEX('Both teabags AfterDry'!$D$1:$D$839,MATCH(H420,'Both teabags AfterDry'!$A$1:$A$839,0)),"")))</f>
        <v>0.92230000000000001</v>
      </c>
      <c r="T420" s="195">
        <f>IF(IFERROR(INDEX('Both teabags AfterDry'!$D$1:$D$839,MATCH(I420,'Both teabags AfterDry'!$A$1:$A$839,0)),"")="N.A","",(IFERROR(INDEX('Both teabags AfterDry'!$D$1:$D$839,MATCH(I420,'Both teabags AfterDry'!$A$1:$A$839,0)),"")))</f>
        <v>1.595</v>
      </c>
      <c r="U420" s="195">
        <f t="shared" si="67"/>
        <v>0.77170000000000005</v>
      </c>
      <c r="V420" s="195">
        <f t="shared" si="67"/>
        <v>1.4443999999999999</v>
      </c>
      <c r="W420" s="195">
        <f>IFERROR(INDEX('Ashed teabags dry'!$K$2:$K$821,MATCH(H420,'Ashed teabags dry'!$A$2:$A$821,0)),"")</f>
        <v>20.954254795868039</v>
      </c>
      <c r="X420" s="195">
        <f>IFERROR(INDEX('Ashed teabags dry'!$K$2:$K$821,MATCH(I420,'Ashed teabags dry'!$A$2:$A$821,0)),"")</f>
        <v>2.6202953787519343</v>
      </c>
      <c r="Y420" s="195">
        <f t="shared" si="62"/>
        <v>0.60999601574028639</v>
      </c>
      <c r="Z420" s="195">
        <f t="shared" si="62"/>
        <v>1.406552453549307</v>
      </c>
      <c r="AA420" s="195">
        <f t="shared" si="68"/>
        <v>0.64472853587909085</v>
      </c>
      <c r="AB420" s="195">
        <f t="shared" si="69"/>
        <v>0.4226723893174088</v>
      </c>
      <c r="AC420" s="195">
        <f t="shared" si="63"/>
        <v>0.73769711598592747</v>
      </c>
      <c r="AD420">
        <f t="shared" si="64"/>
        <v>69</v>
      </c>
      <c r="AE420" s="195">
        <f t="shared" si="70"/>
        <v>0.23428914978730297</v>
      </c>
      <c r="AF420" s="195">
        <f t="shared" si="71"/>
        <v>1.4045171374444596E-2</v>
      </c>
      <c r="AG420" s="255" t="str">
        <f>IF(ISNUMBER(SEARCH("C", 'Dry_Litterbag Placem_Collection'!AD127)),"YES","NO")</f>
        <v>NO</v>
      </c>
      <c r="AH420" s="255" t="str">
        <f>IF(ISNUMBER(SEARCH("H", 'Dry_Litterbag Placem_Collection'!AD127)),"YES","NO")</f>
        <v>NO</v>
      </c>
      <c r="AI420" s="255" t="str">
        <f>IF(ISNUMBER(SEARCH("R", 'Dry_Litterbag Placem_Collection'!AD127)),"YES","NO")</f>
        <v>NO</v>
      </c>
      <c r="AJ420" s="255" t="str">
        <f>IF(ISNUMBER(SEARCH("C", 'Dry_Litterbag Placem_Collection'!AC127)),"YES","NO")</f>
        <v>NO</v>
      </c>
      <c r="AK420" s="255" t="str">
        <f>IF(ISNUMBER(SEARCH("H", 'Dry_Litterbag Placem_Collection'!AC127)),"YES","NO")</f>
        <v>NO</v>
      </c>
      <c r="AL420" s="255" t="str">
        <f>IF(ISNUMBER(SEARCH("R", 'Dry_Litterbag Placem_Collection'!AC127)),"YES","NO")</f>
        <v>NO</v>
      </c>
      <c r="AR420" t="s">
        <v>1293</v>
      </c>
      <c r="AT420" t="s">
        <v>961</v>
      </c>
    </row>
    <row r="421" spans="2:46">
      <c r="B421" t="str">
        <f>'Final data_for_R_analysis_Dryse'!A567</f>
        <v>Dry</v>
      </c>
      <c r="C421" s="263">
        <f>'Final data_for_R_analysis_Dryse'!B567</f>
        <v>126</v>
      </c>
      <c r="D421" t="s">
        <v>3845</v>
      </c>
      <c r="E421" t="s">
        <v>25</v>
      </c>
      <c r="F421" s="387">
        <v>6</v>
      </c>
      <c r="G421" s="16">
        <f>'Dry_Litterbag Placem_Collection'!E128</f>
        <v>0</v>
      </c>
      <c r="H421" s="92" t="str">
        <f>'Final data_for_R_analysis_Dryse'!J567</f>
        <v/>
      </c>
      <c r="I421" t="str">
        <f>'Final data_for_R_analysis_Dryse'!J787</f>
        <v/>
      </c>
      <c r="J421" t="str">
        <f>IFERROR(INDEX('Green_rooibos initial weight'!$C$5:$C$1749,MATCH(H421, 'Green_rooibos initial weight'!$A$5:$A$1749,0)),"")</f>
        <v/>
      </c>
      <c r="K421" t="str">
        <f>IFERROR(INDEX('Green_rooibos initial weight'!$C$5:$C$1749,MATCH(I421, 'Green_rooibos initial weight'!$A$5:$A$1749,0)),"")</f>
        <v/>
      </c>
      <c r="L421" s="195" t="str">
        <f t="shared" si="65"/>
        <v/>
      </c>
      <c r="M421" s="240">
        <f>AVERAGE(Ashed_controlls!$K$1:$K$11)</f>
        <v>5.5147656768714146</v>
      </c>
      <c r="N421" s="195" t="str">
        <f t="shared" si="60"/>
        <v/>
      </c>
      <c r="O421" s="195" t="str">
        <f t="shared" si="66"/>
        <v/>
      </c>
      <c r="P421" s="240">
        <f>AVERAGE(Ashed_controlls!$K$12:$K$14)</f>
        <v>2.2816647271287041</v>
      </c>
      <c r="Q421" s="195" t="str">
        <f t="shared" si="61"/>
        <v/>
      </c>
      <c r="R421" s="16">
        <f>IF('Dry_Litterbag Placem_Collection'!G128="N.A","",'Dry_Litterbag Placem_Collection'!G128)</f>
        <v>0</v>
      </c>
      <c r="S421" s="195" t="str">
        <f>IF(IFERROR(INDEX('Both teabags AfterDry'!$D$1:$D$839,MATCH(H421,'Both teabags AfterDry'!$A$1:$A$839,0)),"")="N.A","",(IFERROR(INDEX('Both teabags AfterDry'!$D$1:$D$839,MATCH(H421,'Both teabags AfterDry'!$A$1:$A$839,0)),"")))</f>
        <v/>
      </c>
      <c r="T421" s="195" t="str">
        <f>IF(IFERROR(INDEX('Both teabags AfterDry'!$D$1:$D$839,MATCH(I421,'Both teabags AfterDry'!$A$1:$A$839,0)),"")="N.A","",(IFERROR(INDEX('Both teabags AfterDry'!$D$1:$D$839,MATCH(I421,'Both teabags AfterDry'!$A$1:$A$839,0)),"")))</f>
        <v/>
      </c>
      <c r="U421" s="195" t="str">
        <f t="shared" si="67"/>
        <v/>
      </c>
      <c r="V421" s="195" t="str">
        <f t="shared" si="67"/>
        <v/>
      </c>
      <c r="W421" s="195" t="str">
        <f>IFERROR(INDEX('Ashed teabags dry'!$K$2:$K$821,MATCH(H421,'Ashed teabags dry'!$A$2:$A$821,0)),"")</f>
        <v/>
      </c>
      <c r="X421" s="195" t="str">
        <f>IFERROR(INDEX('Ashed teabags dry'!$K$2:$K$821,MATCH(I421,'Ashed teabags dry'!$A$2:$A$821,0)),"")</f>
        <v/>
      </c>
      <c r="Y421" s="195" t="str">
        <f t="shared" si="62"/>
        <v/>
      </c>
      <c r="Z421" s="195" t="str">
        <f t="shared" si="62"/>
        <v/>
      </c>
      <c r="AA421" s="195" t="str">
        <f t="shared" si="68"/>
        <v/>
      </c>
      <c r="AB421" s="195" t="str">
        <f t="shared" si="69"/>
        <v/>
      </c>
      <c r="AC421" s="195" t="str">
        <f t="shared" si="63"/>
        <v/>
      </c>
      <c r="AD421" t="str">
        <f t="shared" si="64"/>
        <v/>
      </c>
      <c r="AE421" s="195" t="str">
        <f t="shared" si="70"/>
        <v/>
      </c>
      <c r="AF421" s="195" t="str">
        <f t="shared" si="71"/>
        <v/>
      </c>
      <c r="AG421" s="255" t="str">
        <f>IF(ISNUMBER(SEARCH("C", 'Dry_Litterbag Placem_Collection'!AD128)),"YES","NO")</f>
        <v>NO</v>
      </c>
      <c r="AH421" s="255" t="str">
        <f>IF(ISNUMBER(SEARCH("H", 'Dry_Litterbag Placem_Collection'!AD128)),"YES","NO")</f>
        <v>NO</v>
      </c>
      <c r="AI421" s="255" t="str">
        <f>IF(ISNUMBER(SEARCH("R", 'Dry_Litterbag Placem_Collection'!AD128)),"YES","NO")</f>
        <v>NO</v>
      </c>
      <c r="AJ421" s="255" t="str">
        <f>IF(ISNUMBER(SEARCH("C", 'Dry_Litterbag Placem_Collection'!AC128)),"YES","NO")</f>
        <v>NO</v>
      </c>
      <c r="AK421" s="255" t="str">
        <f>IF(ISNUMBER(SEARCH("H", 'Dry_Litterbag Placem_Collection'!AC128)),"YES","NO")</f>
        <v>NO</v>
      </c>
      <c r="AL421" s="255" t="str">
        <f>IF(ISNUMBER(SEARCH("R", 'Dry_Litterbag Placem_Collection'!AC128)),"YES","NO")</f>
        <v>NO</v>
      </c>
      <c r="AR421" t="s">
        <v>3654</v>
      </c>
      <c r="AT421" t="s">
        <v>3654</v>
      </c>
    </row>
    <row r="422" spans="2:46">
      <c r="B422" t="str">
        <f>'Final data_for_R_analysis_Dryse'!A568</f>
        <v>Dry</v>
      </c>
      <c r="C422" s="263">
        <f>'Final data_for_R_analysis_Dryse'!B568</f>
        <v>127</v>
      </c>
      <c r="D422" t="s">
        <v>3845</v>
      </c>
      <c r="E422" t="s">
        <v>25</v>
      </c>
      <c r="F422" s="387">
        <v>7</v>
      </c>
      <c r="G422" s="16">
        <f>'Dry_Litterbag Placem_Collection'!E129</f>
        <v>42939</v>
      </c>
      <c r="H422" s="92" t="str">
        <f>'Final data_for_R_analysis_Dryse'!J568</f>
        <v>G96</v>
      </c>
      <c r="I422" t="str">
        <f>'Final data_for_R_analysis_Dryse'!J788</f>
        <v>R229</v>
      </c>
      <c r="J422">
        <f>IFERROR(INDEX('Green_rooibos initial weight'!$C$5:$C$1749,MATCH(H422, 'Green_rooibos initial weight'!$A$5:$A$1749,0)),"")</f>
        <v>2.2349999999999999</v>
      </c>
      <c r="K422">
        <f>IFERROR(INDEX('Green_rooibos initial weight'!$C$5:$C$1749,MATCH(I422, 'Green_rooibos initial weight'!$A$5:$A$1749,0)),"")</f>
        <v>2.2530000000000001</v>
      </c>
      <c r="L422" s="195">
        <f t="shared" si="65"/>
        <v>1.9851999999999999</v>
      </c>
      <c r="M422" s="240">
        <f>AVERAGE(Ashed_controlls!$K$1:$K$11)</f>
        <v>5.5147656768714146</v>
      </c>
      <c r="N422" s="195">
        <f t="shared" si="60"/>
        <v>1.8757208717827485</v>
      </c>
      <c r="O422" s="195">
        <f t="shared" si="66"/>
        <v>2.0032000000000001</v>
      </c>
      <c r="P422" s="240">
        <f>AVERAGE(Ashed_controlls!$K$12:$K$14)</f>
        <v>2.2816647271287041</v>
      </c>
      <c r="Q422" s="195">
        <f t="shared" si="61"/>
        <v>1.9574936921861579</v>
      </c>
      <c r="R422" s="16">
        <f>IF('Dry_Litterbag Placem_Collection'!G129="N.A","",'Dry_Litterbag Placem_Collection'!G129)</f>
        <v>43008</v>
      </c>
      <c r="S422" s="195">
        <f>IF(IFERROR(INDEX('Both teabags AfterDry'!$D$1:$D$839,MATCH(H422,'Both teabags AfterDry'!$A$1:$A$839,0)),"")="N.A","",(IFERROR(INDEX('Both teabags AfterDry'!$D$1:$D$839,MATCH(H422,'Both teabags AfterDry'!$A$1:$A$839,0)),"")))</f>
        <v>0.77790000000000004</v>
      </c>
      <c r="T422" s="195">
        <f>IF(IFERROR(INDEX('Both teabags AfterDry'!$D$1:$D$839,MATCH(I422,'Both teabags AfterDry'!$A$1:$A$839,0)),"")="N.A","",(IFERROR(INDEX('Both teabags AfterDry'!$D$1:$D$839,MATCH(I422,'Both teabags AfterDry'!$A$1:$A$839,0)),"")))</f>
        <v>1.5876999999999999</v>
      </c>
      <c r="U422" s="195">
        <f t="shared" si="67"/>
        <v>0.62729999999999997</v>
      </c>
      <c r="V422" s="195">
        <f t="shared" si="67"/>
        <v>1.4370999999999998</v>
      </c>
      <c r="W422" s="195">
        <f>IFERROR(INDEX('Ashed teabags dry'!$K$2:$K$821,MATCH(H422,'Ashed teabags dry'!$A$2:$A$821,0)),"")</f>
        <v>15.120274914089208</v>
      </c>
      <c r="X422" s="195">
        <f>IFERROR(INDEX('Ashed teabags dry'!$K$2:$K$821,MATCH(I422,'Ashed teabags dry'!$A$2:$A$821,0)),"")</f>
        <v>6.6340160284944094</v>
      </c>
      <c r="Y422" s="195">
        <f t="shared" si="62"/>
        <v>0.53245051546391842</v>
      </c>
      <c r="Z422" s="195">
        <f t="shared" si="62"/>
        <v>1.3417625556545068</v>
      </c>
      <c r="AA422" s="195">
        <f t="shared" si="68"/>
        <v>0.71613552769295596</v>
      </c>
      <c r="AB422" s="195">
        <f t="shared" si="69"/>
        <v>0.46948552409324434</v>
      </c>
      <c r="AC422" s="195">
        <f t="shared" si="63"/>
        <v>0.68544923593393881</v>
      </c>
      <c r="AD422">
        <f t="shared" si="64"/>
        <v>69</v>
      </c>
      <c r="AE422" s="195">
        <f t="shared" si="70"/>
        <v>0.1494827462078907</v>
      </c>
      <c r="AF422" s="195">
        <f t="shared" si="71"/>
        <v>1.6067149859514088E-2</v>
      </c>
      <c r="AG422" s="255" t="str">
        <f>IF(ISNUMBER(SEARCH("C", 'Dry_Litterbag Placem_Collection'!AD129)),"YES","NO")</f>
        <v>NO</v>
      </c>
      <c r="AH422" s="255" t="str">
        <f>IF(ISNUMBER(SEARCH("H", 'Dry_Litterbag Placem_Collection'!AD129)),"YES","NO")</f>
        <v>NO</v>
      </c>
      <c r="AI422" s="255" t="str">
        <f>IF(ISNUMBER(SEARCH("R", 'Dry_Litterbag Placem_Collection'!AD129)),"YES","NO")</f>
        <v>NO</v>
      </c>
      <c r="AJ422" s="255" t="str">
        <f>IF(ISNUMBER(SEARCH("C", 'Dry_Litterbag Placem_Collection'!AC129)),"YES","NO")</f>
        <v>NO</v>
      </c>
      <c r="AK422" s="255" t="str">
        <f>IF(ISNUMBER(SEARCH("H", 'Dry_Litterbag Placem_Collection'!AC129)),"YES","NO")</f>
        <v>NO</v>
      </c>
      <c r="AL422" s="255" t="str">
        <f>IF(ISNUMBER(SEARCH("R", 'Dry_Litterbag Placem_Collection'!AC129)),"YES","NO")</f>
        <v>NO</v>
      </c>
      <c r="AR422" t="s">
        <v>1954</v>
      </c>
      <c r="AT422" t="s">
        <v>912</v>
      </c>
    </row>
    <row r="423" spans="2:46">
      <c r="B423" t="str">
        <f>'Final data_for_R_analysis_Dryse'!A569</f>
        <v>Dry</v>
      </c>
      <c r="C423" s="263">
        <f>'Final data_for_R_analysis_Dryse'!B569</f>
        <v>128</v>
      </c>
      <c r="D423" t="s">
        <v>3845</v>
      </c>
      <c r="E423" t="s">
        <v>25</v>
      </c>
      <c r="F423" s="387">
        <v>8</v>
      </c>
      <c r="G423" s="16">
        <f>'Dry_Litterbag Placem_Collection'!E130</f>
        <v>42939</v>
      </c>
      <c r="H423" s="92" t="str">
        <f>'Final data_for_R_analysis_Dryse'!J569</f>
        <v>G134</v>
      </c>
      <c r="I423" t="str">
        <f>'Final data_for_R_analysis_Dryse'!J789</f>
        <v>R272</v>
      </c>
      <c r="J423">
        <f>IFERROR(INDEX('Green_rooibos initial weight'!$C$5:$C$1749,MATCH(H423, 'Green_rooibos initial weight'!$A$5:$A$1749,0)),"")</f>
        <v>2.0089999999999999</v>
      </c>
      <c r="K423">
        <f>IFERROR(INDEX('Green_rooibos initial weight'!$C$5:$C$1749,MATCH(I423, 'Green_rooibos initial weight'!$A$5:$A$1749,0)),"")</f>
        <v>2.2999999999999998</v>
      </c>
      <c r="L423" s="195">
        <f t="shared" si="65"/>
        <v>1.7591999999999999</v>
      </c>
      <c r="M423" s="240">
        <f>AVERAGE(Ashed_controlls!$K$1:$K$11)</f>
        <v>5.5147656768714146</v>
      </c>
      <c r="N423" s="195">
        <f t="shared" si="60"/>
        <v>1.662184242212478</v>
      </c>
      <c r="O423" s="195">
        <f t="shared" si="66"/>
        <v>2.0501999999999998</v>
      </c>
      <c r="P423" s="240">
        <f>AVERAGE(Ashed_controlls!$K$12:$K$14)</f>
        <v>2.2816647271287041</v>
      </c>
      <c r="Q423" s="195">
        <f t="shared" si="61"/>
        <v>2.0034213097644069</v>
      </c>
      <c r="R423" s="16">
        <f>IF('Dry_Litterbag Placem_Collection'!G130="N.A","",'Dry_Litterbag Placem_Collection'!G130)</f>
        <v>43008</v>
      </c>
      <c r="S423" s="195">
        <f>IF(IFERROR(INDEX('Both teabags AfterDry'!$D$1:$D$839,MATCH(H423,'Both teabags AfterDry'!$A$1:$A$839,0)),"")="N.A","",(IFERROR(INDEX('Both teabags AfterDry'!$D$1:$D$839,MATCH(H423,'Both teabags AfterDry'!$A$1:$A$839,0)),"")))</f>
        <v>0.82289999999999996</v>
      </c>
      <c r="T423" s="195">
        <f>IF(IFERROR(INDEX('Both teabags AfterDry'!$D$1:$D$839,MATCH(I423,'Both teabags AfterDry'!$A$1:$A$839,0)),"")="N.A","",(IFERROR(INDEX('Both teabags AfterDry'!$D$1:$D$839,MATCH(I423,'Both teabags AfterDry'!$A$1:$A$839,0)),"")))</f>
        <v>1.6163000000000001</v>
      </c>
      <c r="U423" s="195">
        <f t="shared" si="67"/>
        <v>0.6722999999999999</v>
      </c>
      <c r="V423" s="195">
        <f t="shared" si="67"/>
        <v>1.4657</v>
      </c>
      <c r="W423" s="195">
        <f>IFERROR(INDEX('Ashed teabags dry'!$K$2:$K$821,MATCH(H423,'Ashed teabags dry'!$A$2:$A$821,0)),"")</f>
        <v>18.432510885341248</v>
      </c>
      <c r="X423" s="195">
        <f>IFERROR(INDEX('Ashed teabags dry'!$K$2:$K$821,MATCH(I423,'Ashed teabags dry'!$A$2:$A$821,0)),"")</f>
        <v>8.0924855491328049</v>
      </c>
      <c r="Y423" s="195">
        <f t="shared" si="62"/>
        <v>0.54837822931785074</v>
      </c>
      <c r="Z423" s="195">
        <f t="shared" si="62"/>
        <v>1.3470884393063605</v>
      </c>
      <c r="AA423" s="195">
        <f t="shared" si="68"/>
        <v>0.67008577305009054</v>
      </c>
      <c r="AB423" s="195">
        <f t="shared" si="69"/>
        <v>0.43929613625136582</v>
      </c>
      <c r="AC423" s="195">
        <f t="shared" si="63"/>
        <v>0.67239398559895114</v>
      </c>
      <c r="AD423">
        <f t="shared" si="64"/>
        <v>69</v>
      </c>
      <c r="AE423" s="195">
        <f t="shared" si="70"/>
        <v>0.20417366621129385</v>
      </c>
      <c r="AF423" s="195">
        <f t="shared" si="71"/>
        <v>1.9847036060618672E-2</v>
      </c>
      <c r="AG423" s="255" t="str">
        <f>IF(ISNUMBER(SEARCH("C", 'Dry_Litterbag Placem_Collection'!AD130)),"YES","NO")</f>
        <v>NO</v>
      </c>
      <c r="AH423" s="255" t="str">
        <f>IF(ISNUMBER(SEARCH("H", 'Dry_Litterbag Placem_Collection'!AD130)),"YES","NO")</f>
        <v>NO</v>
      </c>
      <c r="AI423" s="255" t="str">
        <f>IF(ISNUMBER(SEARCH("R", 'Dry_Litterbag Placem_Collection'!AD130)),"YES","NO")</f>
        <v>NO</v>
      </c>
      <c r="AJ423" s="255" t="str">
        <f>IF(ISNUMBER(SEARCH("C", 'Dry_Litterbag Placem_Collection'!AC130)),"YES","NO")</f>
        <v>NO</v>
      </c>
      <c r="AK423" s="255" t="str">
        <f>IF(ISNUMBER(SEARCH("H", 'Dry_Litterbag Placem_Collection'!AC130)),"YES","NO")</f>
        <v>NO</v>
      </c>
      <c r="AL423" s="255" t="str">
        <f>IF(ISNUMBER(SEARCH("R", 'Dry_Litterbag Placem_Collection'!AC130)),"YES","NO")</f>
        <v>NO</v>
      </c>
      <c r="AR423" t="s">
        <v>1916</v>
      </c>
      <c r="AT423" t="s">
        <v>869</v>
      </c>
    </row>
    <row r="424" spans="2:46">
      <c r="B424" t="str">
        <f>'Final data_for_R_analysis_Dryse'!A570</f>
        <v>Dry</v>
      </c>
      <c r="C424" s="263">
        <f>'Final data_for_R_analysis_Dryse'!B570</f>
        <v>129</v>
      </c>
      <c r="D424" t="s">
        <v>3846</v>
      </c>
      <c r="E424" t="s">
        <v>25</v>
      </c>
      <c r="F424" s="386">
        <v>1</v>
      </c>
      <c r="G424" s="16">
        <f>'Dry_Litterbag Placem_Collection'!E131</f>
        <v>42939</v>
      </c>
      <c r="H424" s="92" t="str">
        <f>'Final data_for_R_analysis_Dryse'!J570</f>
        <v>G671</v>
      </c>
      <c r="I424" t="str">
        <f>'Final data_for_R_analysis_Dryse'!J790</f>
        <v>R207</v>
      </c>
      <c r="J424">
        <f>IFERROR(INDEX('Green_rooibos initial weight'!$C$5:$C$1749,MATCH(H424, 'Green_rooibos initial weight'!$A$5:$A$1749,0)),"")</f>
        <v>2.0510000000000002</v>
      </c>
      <c r="K424">
        <f>IFERROR(INDEX('Green_rooibos initial weight'!$C$5:$C$1749,MATCH(I424, 'Green_rooibos initial weight'!$A$5:$A$1749,0)),"")</f>
        <v>2.1800000000000002</v>
      </c>
      <c r="L424" s="195">
        <f t="shared" si="65"/>
        <v>1.8012000000000001</v>
      </c>
      <c r="M424" s="240">
        <f>AVERAGE(Ashed_controlls!$K$1:$K$11)</f>
        <v>5.5147656768714146</v>
      </c>
      <c r="N424" s="195">
        <f t="shared" si="60"/>
        <v>1.7018680406281923</v>
      </c>
      <c r="O424" s="195">
        <f t="shared" si="66"/>
        <v>1.9302000000000001</v>
      </c>
      <c r="P424" s="240">
        <f>AVERAGE(Ashed_controlls!$K$12:$K$14)</f>
        <v>2.2816647271287041</v>
      </c>
      <c r="Q424" s="195">
        <f t="shared" si="61"/>
        <v>1.8861593074369618</v>
      </c>
      <c r="R424" s="16">
        <f>IF('Dry_Litterbag Placem_Collection'!G131="N.A","",'Dry_Litterbag Placem_Collection'!G131)</f>
        <v>43008</v>
      </c>
      <c r="S424" s="195">
        <f>IF(IFERROR(INDEX('Both teabags AfterDry'!$D$1:$D$839,MATCH(H424,'Both teabags AfterDry'!$A$1:$A$839,0)),"")="N.A","",(IFERROR(INDEX('Both teabags AfterDry'!$D$1:$D$839,MATCH(H424,'Both teabags AfterDry'!$A$1:$A$839,0)),"")))</f>
        <v>0.68540000000000001</v>
      </c>
      <c r="T424" s="195">
        <f>IF(IFERROR(INDEX('Both teabags AfterDry'!$D$1:$D$839,MATCH(I424,'Both teabags AfterDry'!$A$1:$A$839,0)),"")="N.A","",(IFERROR(INDEX('Both teabags AfterDry'!$D$1:$D$839,MATCH(I424,'Both teabags AfterDry'!$A$1:$A$839,0)),"")))</f>
        <v>1.6962999999999999</v>
      </c>
      <c r="U424" s="195">
        <f t="shared" si="67"/>
        <v>0.53479999999999994</v>
      </c>
      <c r="V424" s="195">
        <f t="shared" si="67"/>
        <v>1.5456999999999999</v>
      </c>
      <c r="W424" s="195">
        <f>IFERROR(INDEX('Ashed teabags dry'!$K$2:$K$821,MATCH(H424,'Ashed teabags dry'!$A$2:$A$821,0)),"")</f>
        <v>15.942028985507489</v>
      </c>
      <c r="X424" s="195">
        <f>IFERROR(INDEX('Ashed teabags dry'!$K$2:$K$821,MATCH(I424,'Ashed teabags dry'!$A$2:$A$821,0)),"")</f>
        <v>6.3134657836639967</v>
      </c>
      <c r="Y424" s="195">
        <f t="shared" si="62"/>
        <v>0.44954202898550588</v>
      </c>
      <c r="Z424" s="195">
        <f t="shared" si="62"/>
        <v>1.4481127593819054</v>
      </c>
      <c r="AA424" s="195">
        <f t="shared" si="68"/>
        <v>0.73585376876836395</v>
      </c>
      <c r="AB424" s="195">
        <f t="shared" si="69"/>
        <v>0.48241244698353558</v>
      </c>
      <c r="AC424" s="195">
        <f t="shared" si="63"/>
        <v>0.76775739656354736</v>
      </c>
      <c r="AD424">
        <f t="shared" si="64"/>
        <v>69</v>
      </c>
      <c r="AE424" s="195">
        <f t="shared" si="70"/>
        <v>0.12606440763852256</v>
      </c>
      <c r="AF424" s="195">
        <f t="shared" si="71"/>
        <v>9.5168026942663436E-3</v>
      </c>
      <c r="AG424" s="255" t="str">
        <f>IF(ISNUMBER(SEARCH("C", 'Dry_Litterbag Placem_Collection'!AD131)),"YES","NO")</f>
        <v>NO</v>
      </c>
      <c r="AH424" s="255" t="str">
        <f>IF(ISNUMBER(SEARCH("H", 'Dry_Litterbag Placem_Collection'!AD131)),"YES","NO")</f>
        <v>NO</v>
      </c>
      <c r="AI424" s="255" t="str">
        <f>IF(ISNUMBER(SEARCH("R", 'Dry_Litterbag Placem_Collection'!AD131)),"YES","NO")</f>
        <v>NO</v>
      </c>
      <c r="AJ424" s="255" t="str">
        <f>IF(ISNUMBER(SEARCH("C", 'Dry_Litterbag Placem_Collection'!AC131)),"YES","NO")</f>
        <v>NO</v>
      </c>
      <c r="AK424" s="255" t="str">
        <f>IF(ISNUMBER(SEARCH("H", 'Dry_Litterbag Placem_Collection'!AC131)),"YES","NO")</f>
        <v>NO</v>
      </c>
      <c r="AL424" s="255" t="str">
        <f>IF(ISNUMBER(SEARCH("R", 'Dry_Litterbag Placem_Collection'!AC131)),"YES","NO")</f>
        <v>NO</v>
      </c>
      <c r="AR424" t="s">
        <v>1379</v>
      </c>
      <c r="AT424" t="s">
        <v>934</v>
      </c>
    </row>
    <row r="425" spans="2:46">
      <c r="B425" t="str">
        <f>'Final data_for_R_analysis_Dryse'!A571</f>
        <v>Dry</v>
      </c>
      <c r="C425" s="263">
        <f>'Final data_for_R_analysis_Dryse'!B571</f>
        <v>130</v>
      </c>
      <c r="D425" t="s">
        <v>3846</v>
      </c>
      <c r="E425" t="s">
        <v>25</v>
      </c>
      <c r="F425" s="386">
        <v>2</v>
      </c>
      <c r="G425" s="16">
        <f>'Dry_Litterbag Placem_Collection'!E132</f>
        <v>42939</v>
      </c>
      <c r="H425" s="92" t="str">
        <f>'Final data_for_R_analysis_Dryse'!J571</f>
        <v>G400</v>
      </c>
      <c r="I425" t="str">
        <f>'Final data_for_R_analysis_Dryse'!J791</f>
        <v>R193</v>
      </c>
      <c r="J425">
        <f>IFERROR(INDEX('Green_rooibos initial weight'!$C$5:$C$1749,MATCH(H425, 'Green_rooibos initial weight'!$A$5:$A$1749,0)),"")</f>
        <v>2.0089999999999999</v>
      </c>
      <c r="K425">
        <f>IFERROR(INDEX('Green_rooibos initial weight'!$C$5:$C$1749,MATCH(I425, 'Green_rooibos initial weight'!$A$5:$A$1749,0)),"")</f>
        <v>2.198</v>
      </c>
      <c r="L425" s="195">
        <f t="shared" si="65"/>
        <v>1.7591999999999999</v>
      </c>
      <c r="M425" s="240">
        <f>AVERAGE(Ashed_controlls!$K$1:$K$11)</f>
        <v>5.5147656768714146</v>
      </c>
      <c r="N425" s="195">
        <f t="shared" si="60"/>
        <v>1.662184242212478</v>
      </c>
      <c r="O425" s="195">
        <f t="shared" si="66"/>
        <v>1.9481999999999999</v>
      </c>
      <c r="P425" s="240">
        <f>AVERAGE(Ashed_controlls!$K$12:$K$14)</f>
        <v>2.2816647271287041</v>
      </c>
      <c r="Q425" s="195">
        <f t="shared" si="61"/>
        <v>1.9037486077860786</v>
      </c>
      <c r="R425" s="16">
        <f>IF('Dry_Litterbag Placem_Collection'!G132="N.A","",'Dry_Litterbag Placem_Collection'!G132)</f>
        <v>43008</v>
      </c>
      <c r="S425" s="195">
        <f>IF(IFERROR(INDEX('Both teabags AfterDry'!$D$1:$D$839,MATCH(H425,'Both teabags AfterDry'!$A$1:$A$839,0)),"")="N.A","",(IFERROR(INDEX('Both teabags AfterDry'!$D$1:$D$839,MATCH(H425,'Both teabags AfterDry'!$A$1:$A$839,0)),"")))</f>
        <v>0.86</v>
      </c>
      <c r="T425" s="195">
        <f>IF(IFERROR(INDEX('Both teabags AfterDry'!$D$1:$D$839,MATCH(I425,'Both teabags AfterDry'!$A$1:$A$839,0)),"")="N.A","",(IFERROR(INDEX('Both teabags AfterDry'!$D$1:$D$839,MATCH(I425,'Both teabags AfterDry'!$A$1:$A$839,0)),"")))</f>
        <v>1.7978000000000001</v>
      </c>
      <c r="U425" s="195">
        <f t="shared" si="67"/>
        <v>0.70940000000000003</v>
      </c>
      <c r="V425" s="195">
        <f t="shared" si="67"/>
        <v>1.6472</v>
      </c>
      <c r="W425" s="195">
        <f>IFERROR(INDEX('Ashed teabags dry'!$K$2:$K$821,MATCH(H425,'Ashed teabags dry'!$A$2:$A$821,0)),"")</f>
        <v>23.389830508474194</v>
      </c>
      <c r="X425" s="195">
        <f>IFERROR(INDEX('Ashed teabags dry'!$K$2:$K$821,MATCH(I425,'Ashed teabags dry'!$A$2:$A$821,0)),"")</f>
        <v>7.9980610761027835</v>
      </c>
      <c r="Y425" s="195">
        <f t="shared" si="62"/>
        <v>0.54347254237288412</v>
      </c>
      <c r="Z425" s="195">
        <f t="shared" si="62"/>
        <v>1.515455937954435</v>
      </c>
      <c r="AA425" s="195">
        <f t="shared" si="68"/>
        <v>0.67303712273827965</v>
      </c>
      <c r="AB425" s="195">
        <f t="shared" si="69"/>
        <v>0.44123098782842091</v>
      </c>
      <c r="AC425" s="195">
        <f t="shared" si="63"/>
        <v>0.79603784436475589</v>
      </c>
      <c r="AD425">
        <f t="shared" si="64"/>
        <v>69</v>
      </c>
      <c r="AE425" s="195">
        <f t="shared" si="70"/>
        <v>0.20066850031083172</v>
      </c>
      <c r="AF425" s="195">
        <f t="shared" si="71"/>
        <v>8.9909378102216025E-3</v>
      </c>
      <c r="AG425" s="255" t="str">
        <f>IF(ISNUMBER(SEARCH("C", 'Dry_Litterbag Placem_Collection'!AD132)),"YES","NO")</f>
        <v>NO</v>
      </c>
      <c r="AH425" s="255" t="str">
        <f>IF(ISNUMBER(SEARCH("H", 'Dry_Litterbag Placem_Collection'!AD132)),"YES","NO")</f>
        <v>NO</v>
      </c>
      <c r="AI425" s="255" t="str">
        <f>IF(ISNUMBER(SEARCH("R", 'Dry_Litterbag Placem_Collection'!AD132)),"YES","NO")</f>
        <v>NO</v>
      </c>
      <c r="AJ425" s="255" t="str">
        <f>IF(ISNUMBER(SEARCH("C", 'Dry_Litterbag Placem_Collection'!AC132)),"YES","NO")</f>
        <v>NO</v>
      </c>
      <c r="AK425" s="255" t="str">
        <f>IF(ISNUMBER(SEARCH("H", 'Dry_Litterbag Placem_Collection'!AC132)),"YES","NO")</f>
        <v>NO</v>
      </c>
      <c r="AL425" s="255" t="str">
        <f>IF(ISNUMBER(SEARCH("R", 'Dry_Litterbag Placem_Collection'!AC132)),"YES","NO")</f>
        <v>NO</v>
      </c>
      <c r="AR425" t="s">
        <v>1650</v>
      </c>
      <c r="AT425" t="s">
        <v>948</v>
      </c>
    </row>
    <row r="426" spans="2:46">
      <c r="B426" t="str">
        <f>'Final data_for_R_analysis_Dryse'!A572</f>
        <v>Dry</v>
      </c>
      <c r="C426" s="263">
        <f>'Final data_for_R_analysis_Dryse'!B572</f>
        <v>131</v>
      </c>
      <c r="D426" t="s">
        <v>3846</v>
      </c>
      <c r="E426" t="s">
        <v>25</v>
      </c>
      <c r="F426" s="386">
        <v>3</v>
      </c>
      <c r="G426" s="16">
        <f>'Dry_Litterbag Placem_Collection'!E133</f>
        <v>42939</v>
      </c>
      <c r="H426" s="92" t="str">
        <f>'Final data_for_R_analysis_Dryse'!J572</f>
        <v>G48</v>
      </c>
      <c r="I426" t="str">
        <f>'Final data_for_R_analysis_Dryse'!J792</f>
        <v>R188</v>
      </c>
      <c r="J426">
        <f>IFERROR(INDEX('Green_rooibos initial weight'!$C$5:$C$1749,MATCH(H426, 'Green_rooibos initial weight'!$A$5:$A$1749,0)),"")</f>
        <v>2.0590000000000002</v>
      </c>
      <c r="K426">
        <f>IFERROR(INDEX('Green_rooibos initial weight'!$C$5:$C$1749,MATCH(I426, 'Green_rooibos initial weight'!$A$5:$A$1749,0)),"")</f>
        <v>2.2440000000000002</v>
      </c>
      <c r="L426" s="195">
        <f t="shared" si="65"/>
        <v>1.8092000000000001</v>
      </c>
      <c r="M426" s="240">
        <f>AVERAGE(Ashed_controlls!$K$1:$K$11)</f>
        <v>5.5147656768714146</v>
      </c>
      <c r="N426" s="195">
        <f t="shared" si="60"/>
        <v>1.7094268593740425</v>
      </c>
      <c r="O426" s="195">
        <f t="shared" si="66"/>
        <v>1.9942000000000002</v>
      </c>
      <c r="P426" s="240">
        <f>AVERAGE(Ashed_controlls!$K$12:$K$14)</f>
        <v>2.2816647271287041</v>
      </c>
      <c r="Q426" s="195">
        <f t="shared" si="61"/>
        <v>1.9486990420115995</v>
      </c>
      <c r="R426" s="16">
        <f>IF('Dry_Litterbag Placem_Collection'!G133="N.A","",'Dry_Litterbag Placem_Collection'!G133)</f>
        <v>43008</v>
      </c>
      <c r="S426" s="195">
        <f>IF(IFERROR(INDEX('Both teabags AfterDry'!$D$1:$D$839,MATCH(H426,'Both teabags AfterDry'!$A$1:$A$839,0)),"")="N.A","",(IFERROR(INDEX('Both teabags AfterDry'!$D$1:$D$839,MATCH(H426,'Both teabags AfterDry'!$A$1:$A$839,0)),"")))</f>
        <v>0.84750000000000003</v>
      </c>
      <c r="T426" s="195">
        <f>IF(IFERROR(INDEX('Both teabags AfterDry'!$D$1:$D$839,MATCH(I426,'Both teabags AfterDry'!$A$1:$A$839,0)),"")="N.A","",(IFERROR(INDEX('Both teabags AfterDry'!$D$1:$D$839,MATCH(I426,'Both teabags AfterDry'!$A$1:$A$839,0)),"")))</f>
        <v>1.7876000000000001</v>
      </c>
      <c r="U426" s="195">
        <f t="shared" si="67"/>
        <v>0.69690000000000007</v>
      </c>
      <c r="V426" s="195">
        <f t="shared" si="67"/>
        <v>1.637</v>
      </c>
      <c r="W426" s="195">
        <f>IFERROR(INDEX('Ashed teabags dry'!$K$2:$K$821,MATCH(H426,'Ashed teabags dry'!$A$2:$A$821,0)),"")</f>
        <v>16.880037932669509</v>
      </c>
      <c r="X426" s="195">
        <f>IFERROR(INDEX('Ashed teabags dry'!$K$2:$K$821,MATCH(I426,'Ashed teabags dry'!$A$2:$A$821,0)),"")</f>
        <v>4.3834296724473862</v>
      </c>
      <c r="Y426" s="195">
        <f t="shared" si="62"/>
        <v>0.57926301564722626</v>
      </c>
      <c r="Z426" s="195">
        <f t="shared" si="62"/>
        <v>1.5652432562620362</v>
      </c>
      <c r="AA426" s="195">
        <f t="shared" si="68"/>
        <v>0.661136121460417</v>
      </c>
      <c r="AB426" s="195">
        <f t="shared" si="69"/>
        <v>0.43342890623058222</v>
      </c>
      <c r="AC426" s="195">
        <f t="shared" si="63"/>
        <v>0.80322472712167481</v>
      </c>
      <c r="AD426">
        <f t="shared" si="64"/>
        <v>69</v>
      </c>
      <c r="AE426" s="195">
        <f t="shared" si="70"/>
        <v>0.21480270610401775</v>
      </c>
      <c r="AF426" s="195">
        <f t="shared" si="71"/>
        <v>8.7700025187662737E-3</v>
      </c>
      <c r="AG426" s="255" t="str">
        <f>IF(ISNUMBER(SEARCH("C", 'Dry_Litterbag Placem_Collection'!AD133)),"YES","NO")</f>
        <v>NO</v>
      </c>
      <c r="AH426" s="255" t="str">
        <f>IF(ISNUMBER(SEARCH("H", 'Dry_Litterbag Placem_Collection'!AD133)),"YES","NO")</f>
        <v>NO</v>
      </c>
      <c r="AI426" s="255" t="str">
        <f>IF(ISNUMBER(SEARCH("R", 'Dry_Litterbag Placem_Collection'!AD133)),"YES","NO")</f>
        <v>NO</v>
      </c>
      <c r="AJ426" s="255" t="str">
        <f>IF(ISNUMBER(SEARCH("C", 'Dry_Litterbag Placem_Collection'!AC133)),"YES","NO")</f>
        <v>NO</v>
      </c>
      <c r="AK426" s="255" t="str">
        <f>IF(ISNUMBER(SEARCH("H", 'Dry_Litterbag Placem_Collection'!AC133)),"YES","NO")</f>
        <v>NO</v>
      </c>
      <c r="AL426" s="255" t="str">
        <f>IF(ISNUMBER(SEARCH("R", 'Dry_Litterbag Placem_Collection'!AC133)),"YES","NO")</f>
        <v>NO</v>
      </c>
      <c r="AR426" t="s">
        <v>2002</v>
      </c>
      <c r="AT426" t="s">
        <v>953</v>
      </c>
    </row>
    <row r="427" spans="2:46">
      <c r="B427" t="str">
        <f>'Final data_for_R_analysis_Dryse'!A573</f>
        <v>Dry</v>
      </c>
      <c r="C427" s="263">
        <f>'Final data_for_R_analysis_Dryse'!B573</f>
        <v>132</v>
      </c>
      <c r="D427" t="s">
        <v>3846</v>
      </c>
      <c r="E427" t="s">
        <v>25</v>
      </c>
      <c r="F427" s="387">
        <v>4</v>
      </c>
      <c r="G427" s="16">
        <f>'Dry_Litterbag Placem_Collection'!E134</f>
        <v>0</v>
      </c>
      <c r="H427" s="92" t="str">
        <f>'Final data_for_R_analysis_Dryse'!J573</f>
        <v/>
      </c>
      <c r="I427" t="str">
        <f>'Final data_for_R_analysis_Dryse'!J793</f>
        <v/>
      </c>
      <c r="J427" t="str">
        <f>IFERROR(INDEX('Green_rooibos initial weight'!$C$5:$C$1749,MATCH(H427, 'Green_rooibos initial weight'!$A$5:$A$1749,0)),"")</f>
        <v/>
      </c>
      <c r="K427" t="str">
        <f>IFERROR(INDEX('Green_rooibos initial weight'!$C$5:$C$1749,MATCH(I427, 'Green_rooibos initial weight'!$A$5:$A$1749,0)),"")</f>
        <v/>
      </c>
      <c r="L427" s="195" t="str">
        <f t="shared" si="65"/>
        <v/>
      </c>
      <c r="M427" s="240">
        <f>AVERAGE(Ashed_controlls!$K$1:$K$11)</f>
        <v>5.5147656768714146</v>
      </c>
      <c r="N427" s="195" t="str">
        <f t="shared" si="60"/>
        <v/>
      </c>
      <c r="O427" s="195" t="str">
        <f t="shared" si="66"/>
        <v/>
      </c>
      <c r="P427" s="240">
        <f>AVERAGE(Ashed_controlls!$K$12:$K$14)</f>
        <v>2.2816647271287041</v>
      </c>
      <c r="Q427" s="195" t="str">
        <f t="shared" si="61"/>
        <v/>
      </c>
      <c r="R427" s="16">
        <f>IF('Dry_Litterbag Placem_Collection'!G134="N.A","",'Dry_Litterbag Placem_Collection'!G134)</f>
        <v>0</v>
      </c>
      <c r="S427" s="195" t="str">
        <f>IF(IFERROR(INDEX('Both teabags AfterDry'!$D$1:$D$839,MATCH(H427,'Both teabags AfterDry'!$A$1:$A$839,0)),"")="N.A","",(IFERROR(INDEX('Both teabags AfterDry'!$D$1:$D$839,MATCH(H427,'Both teabags AfterDry'!$A$1:$A$839,0)),"")))</f>
        <v/>
      </c>
      <c r="T427" s="195" t="str">
        <f>IF(IFERROR(INDEX('Both teabags AfterDry'!$D$1:$D$839,MATCH(I427,'Both teabags AfterDry'!$A$1:$A$839,0)),"")="N.A","",(IFERROR(INDEX('Both teabags AfterDry'!$D$1:$D$839,MATCH(I427,'Both teabags AfterDry'!$A$1:$A$839,0)),"")))</f>
        <v/>
      </c>
      <c r="U427" s="195" t="str">
        <f t="shared" si="67"/>
        <v/>
      </c>
      <c r="V427" s="195" t="str">
        <f t="shared" si="67"/>
        <v/>
      </c>
      <c r="W427" s="195" t="str">
        <f>IFERROR(INDEX('Ashed teabags dry'!$K$2:$K$821,MATCH(H427,'Ashed teabags dry'!$A$2:$A$821,0)),"")</f>
        <v/>
      </c>
      <c r="X427" s="195" t="str">
        <f>IFERROR(INDEX('Ashed teabags dry'!$K$2:$K$821,MATCH(I427,'Ashed teabags dry'!$A$2:$A$821,0)),"")</f>
        <v/>
      </c>
      <c r="Y427" s="195" t="str">
        <f t="shared" si="62"/>
        <v/>
      </c>
      <c r="Z427" s="195" t="str">
        <f t="shared" si="62"/>
        <v/>
      </c>
      <c r="AA427" s="195" t="str">
        <f t="shared" si="68"/>
        <v/>
      </c>
      <c r="AB427" s="195" t="str">
        <f t="shared" si="69"/>
        <v/>
      </c>
      <c r="AC427" s="195" t="str">
        <f t="shared" si="63"/>
        <v/>
      </c>
      <c r="AD427" t="str">
        <f t="shared" si="64"/>
        <v/>
      </c>
      <c r="AE427" s="195" t="str">
        <f t="shared" si="70"/>
        <v/>
      </c>
      <c r="AF427" s="195" t="str">
        <f t="shared" si="71"/>
        <v/>
      </c>
      <c r="AG427" s="255" t="str">
        <f>IF(ISNUMBER(SEARCH("C", 'Dry_Litterbag Placem_Collection'!AD134)),"YES","NO")</f>
        <v>NO</v>
      </c>
      <c r="AH427" s="255" t="str">
        <f>IF(ISNUMBER(SEARCH("H", 'Dry_Litterbag Placem_Collection'!AD134)),"YES","NO")</f>
        <v>NO</v>
      </c>
      <c r="AI427" s="255" t="str">
        <f>IF(ISNUMBER(SEARCH("R", 'Dry_Litterbag Placem_Collection'!AD134)),"YES","NO")</f>
        <v>NO</v>
      </c>
      <c r="AJ427" s="255" t="str">
        <f>IF(ISNUMBER(SEARCH("C", 'Dry_Litterbag Placem_Collection'!AC134)),"YES","NO")</f>
        <v>NO</v>
      </c>
      <c r="AK427" s="255" t="str">
        <f>IF(ISNUMBER(SEARCH("H", 'Dry_Litterbag Placem_Collection'!AC134)),"YES","NO")</f>
        <v>NO</v>
      </c>
      <c r="AL427" s="255" t="str">
        <f>IF(ISNUMBER(SEARCH("R", 'Dry_Litterbag Placem_Collection'!AC134)),"YES","NO")</f>
        <v>NO</v>
      </c>
      <c r="AR427" t="s">
        <v>3654</v>
      </c>
      <c r="AT427" t="s">
        <v>3654</v>
      </c>
    </row>
    <row r="428" spans="2:46">
      <c r="B428" t="str">
        <f>'Final data_for_R_analysis_Dryse'!A574</f>
        <v>Dry</v>
      </c>
      <c r="C428" s="263">
        <f>'Final data_for_R_analysis_Dryse'!B574</f>
        <v>133</v>
      </c>
      <c r="D428" t="s">
        <v>3846</v>
      </c>
      <c r="E428" t="s">
        <v>25</v>
      </c>
      <c r="F428" s="387">
        <v>5</v>
      </c>
      <c r="G428" s="16">
        <f>'Dry_Litterbag Placem_Collection'!E135</f>
        <v>42939</v>
      </c>
      <c r="H428" s="92" t="str">
        <f>'Final data_for_R_analysis_Dryse'!J574</f>
        <v>G210</v>
      </c>
      <c r="I428" t="str">
        <f>'Final data_for_R_analysis_Dryse'!J794</f>
        <v>R683</v>
      </c>
      <c r="J428">
        <f>IFERROR(INDEX('Green_rooibos initial weight'!$C$5:$C$1749,MATCH(H428, 'Green_rooibos initial weight'!$A$5:$A$1749,0)),"")</f>
        <v>1.923</v>
      </c>
      <c r="K428">
        <f>IFERROR(INDEX('Green_rooibos initial weight'!$C$5:$C$1749,MATCH(I428, 'Green_rooibos initial weight'!$A$5:$A$1749,0)),"")</f>
        <v>2.141</v>
      </c>
      <c r="L428" s="195">
        <f t="shared" si="65"/>
        <v>1.6732</v>
      </c>
      <c r="M428" s="240">
        <f>AVERAGE(Ashed_controlls!$K$1:$K$11)</f>
        <v>5.5147656768714146</v>
      </c>
      <c r="N428" s="195">
        <f t="shared" si="60"/>
        <v>1.5809269406945876</v>
      </c>
      <c r="O428" s="195">
        <f t="shared" si="66"/>
        <v>1.8912</v>
      </c>
      <c r="P428" s="240">
        <f>AVERAGE(Ashed_controlls!$K$12:$K$14)</f>
        <v>2.2816647271287041</v>
      </c>
      <c r="Q428" s="195">
        <f t="shared" si="61"/>
        <v>1.8480491566805419</v>
      </c>
      <c r="R428" s="16">
        <f>IF('Dry_Litterbag Placem_Collection'!G135="N.A","",'Dry_Litterbag Placem_Collection'!G135)</f>
        <v>43008</v>
      </c>
      <c r="S428" s="195" t="str">
        <f>IF(IFERROR(INDEX('Both teabags AfterDry'!$D$1:$D$839,MATCH(H428,'Both teabags AfterDry'!$A$1:$A$839,0)),"")="N.A","",(IFERROR(INDEX('Both teabags AfterDry'!$D$1:$D$839,MATCH(H428,'Both teabags AfterDry'!$A$1:$A$839,0)),"")))</f>
        <v/>
      </c>
      <c r="T428" s="195" t="str">
        <f>IF(IFERROR(INDEX('Both teabags AfterDry'!$D$1:$D$839,MATCH(I428,'Both teabags AfterDry'!$A$1:$A$839,0)),"")="N.A","",(IFERROR(INDEX('Both teabags AfterDry'!$D$1:$D$839,MATCH(I428,'Both teabags AfterDry'!$A$1:$A$839,0)),"")))</f>
        <v/>
      </c>
      <c r="U428" s="195" t="str">
        <f t="shared" si="67"/>
        <v/>
      </c>
      <c r="V428" s="195" t="str">
        <f t="shared" si="67"/>
        <v/>
      </c>
      <c r="W428" s="195" t="str">
        <f>IFERROR(INDEX('Ashed teabags dry'!$K$2:$K$821,MATCH(H428,'Ashed teabags dry'!$A$2:$A$821,0)),"")</f>
        <v/>
      </c>
      <c r="X428" s="195" t="str">
        <f>IFERROR(INDEX('Ashed teabags dry'!$K$2:$K$821,MATCH(I428,'Ashed teabags dry'!$A$2:$A$821,0)),"")</f>
        <v/>
      </c>
      <c r="Y428" s="195" t="str">
        <f t="shared" si="62"/>
        <v/>
      </c>
      <c r="Z428" s="195" t="str">
        <f t="shared" si="62"/>
        <v/>
      </c>
      <c r="AA428" s="195" t="str">
        <f t="shared" si="68"/>
        <v/>
      </c>
      <c r="AB428" s="195" t="str">
        <f t="shared" si="69"/>
        <v/>
      </c>
      <c r="AC428" s="195" t="str">
        <f t="shared" si="63"/>
        <v/>
      </c>
      <c r="AD428">
        <f t="shared" si="64"/>
        <v>69</v>
      </c>
      <c r="AE428" s="195" t="str">
        <f t="shared" si="70"/>
        <v/>
      </c>
      <c r="AF428" s="195" t="str">
        <f t="shared" si="71"/>
        <v/>
      </c>
      <c r="AG428" s="255" t="str">
        <f>IF(ISNUMBER(SEARCH("C", 'Dry_Litterbag Placem_Collection'!AD135)),"YES","NO")</f>
        <v>NO</v>
      </c>
      <c r="AH428" s="255" t="str">
        <f>IF(ISNUMBER(SEARCH("H", 'Dry_Litterbag Placem_Collection'!AD135)),"YES","NO")</f>
        <v>NO</v>
      </c>
      <c r="AI428" s="255" t="str">
        <f>IF(ISNUMBER(SEARCH("R", 'Dry_Litterbag Placem_Collection'!AD135)),"YES","NO")</f>
        <v>NO</v>
      </c>
      <c r="AJ428" s="255" t="str">
        <f>IF(ISNUMBER(SEARCH("C", 'Dry_Litterbag Placem_Collection'!AC135)),"YES","NO")</f>
        <v>NO</v>
      </c>
      <c r="AK428" s="255" t="str">
        <f>IF(ISNUMBER(SEARCH("H", 'Dry_Litterbag Placem_Collection'!AC135)),"YES","NO")</f>
        <v>NO</v>
      </c>
      <c r="AL428" s="255" t="str">
        <f>IF(ISNUMBER(SEARCH("R", 'Dry_Litterbag Placem_Collection'!AC135)),"YES","NO")</f>
        <v>NO</v>
      </c>
      <c r="AR428" t="s">
        <v>1840</v>
      </c>
      <c r="AT428" t="s">
        <v>456</v>
      </c>
    </row>
    <row r="429" spans="2:46">
      <c r="B429" t="str">
        <f>'Final data_for_R_analysis_Dryse'!A575</f>
        <v>Dry</v>
      </c>
      <c r="C429" s="263">
        <f>'Final data_for_R_analysis_Dryse'!B575</f>
        <v>134</v>
      </c>
      <c r="D429" t="s">
        <v>3846</v>
      </c>
      <c r="E429" t="s">
        <v>25</v>
      </c>
      <c r="F429" s="387">
        <v>6</v>
      </c>
      <c r="G429" s="16">
        <f>'Dry_Litterbag Placem_Collection'!E136</f>
        <v>42939</v>
      </c>
      <c r="H429" s="92" t="str">
        <f>'Final data_for_R_analysis_Dryse'!J575</f>
        <v>G40</v>
      </c>
      <c r="I429" t="str">
        <f>'Final data_for_R_analysis_Dryse'!J795</f>
        <v>R649</v>
      </c>
      <c r="J429">
        <f>IFERROR(INDEX('Green_rooibos initial weight'!$C$5:$C$1749,MATCH(H429, 'Green_rooibos initial weight'!$A$5:$A$1749,0)),"")</f>
        <v>2.0369999999999999</v>
      </c>
      <c r="K429">
        <f>IFERROR(INDEX('Green_rooibos initial weight'!$C$5:$C$1749,MATCH(I429, 'Green_rooibos initial weight'!$A$5:$A$1749,0)),"")</f>
        <v>2.161</v>
      </c>
      <c r="L429" s="195">
        <f t="shared" si="65"/>
        <v>1.7871999999999999</v>
      </c>
      <c r="M429" s="240">
        <f>AVERAGE(Ashed_controlls!$K$1:$K$11)</f>
        <v>5.5147656768714146</v>
      </c>
      <c r="N429" s="195">
        <f t="shared" si="60"/>
        <v>1.688640107822954</v>
      </c>
      <c r="O429" s="195">
        <f t="shared" si="66"/>
        <v>1.9112</v>
      </c>
      <c r="P429" s="240">
        <f>AVERAGE(Ashed_controlls!$K$12:$K$14)</f>
        <v>2.2816647271287041</v>
      </c>
      <c r="Q429" s="195">
        <f t="shared" si="61"/>
        <v>1.8675928237351163</v>
      </c>
      <c r="R429" s="16">
        <f>IF('Dry_Litterbag Placem_Collection'!G136="N.A","",'Dry_Litterbag Placem_Collection'!G136)</f>
        <v>43008</v>
      </c>
      <c r="S429" s="195">
        <f>IF(IFERROR(INDEX('Both teabags AfterDry'!$D$1:$D$839,MATCH(H429,'Both teabags AfterDry'!$A$1:$A$839,0)),"")="N.A","",(IFERROR(INDEX('Both teabags AfterDry'!$D$1:$D$839,MATCH(H429,'Both teabags AfterDry'!$A$1:$A$839,0)),"")))</f>
        <v>0.68400000000000005</v>
      </c>
      <c r="T429" s="195">
        <f>IF(IFERROR(INDEX('Both teabags AfterDry'!$D$1:$D$839,MATCH(I429,'Both teabags AfterDry'!$A$1:$A$839,0)),"")="N.A","",(IFERROR(INDEX('Both teabags AfterDry'!$D$1:$D$839,MATCH(I429,'Both teabags AfterDry'!$A$1:$A$839,0)),"")))</f>
        <v>1.7554000000000001</v>
      </c>
      <c r="U429" s="195">
        <f t="shared" si="67"/>
        <v>0.5334000000000001</v>
      </c>
      <c r="V429" s="195">
        <f t="shared" si="67"/>
        <v>1.6048</v>
      </c>
      <c r="W429" s="195">
        <f>IFERROR(INDEX('Ashed teabags dry'!$K$2:$K$821,MATCH(H429,'Ashed teabags dry'!$A$2:$A$821,0)),"")</f>
        <v>16.995073891625683</v>
      </c>
      <c r="X429" s="195">
        <f>IFERROR(INDEX('Ashed teabags dry'!$K$2:$K$821,MATCH(I429,'Ashed teabags dry'!$A$2:$A$821,0)),"")</f>
        <v>5.5740828966174707</v>
      </c>
      <c r="Y429" s="195">
        <f t="shared" si="62"/>
        <v>0.44274827586206866</v>
      </c>
      <c r="Z429" s="195">
        <f t="shared" si="62"/>
        <v>1.5153471176750828</v>
      </c>
      <c r="AA429" s="195">
        <f t="shared" si="68"/>
        <v>0.73780779349551684</v>
      </c>
      <c r="AB429" s="195">
        <f t="shared" si="69"/>
        <v>0.48369347032010135</v>
      </c>
      <c r="AC429" s="195">
        <f t="shared" si="63"/>
        <v>0.81139052282522961</v>
      </c>
      <c r="AD429">
        <f t="shared" si="64"/>
        <v>69</v>
      </c>
      <c r="AE429" s="195">
        <f t="shared" si="70"/>
        <v>0.1237437131882223</v>
      </c>
      <c r="AF429" s="195">
        <f t="shared" si="71"/>
        <v>7.1621933616757526E-3</v>
      </c>
      <c r="AG429" s="255" t="str">
        <f>IF(ISNUMBER(SEARCH("C", 'Dry_Litterbag Placem_Collection'!AD136)),"YES","NO")</f>
        <v>NO</v>
      </c>
      <c r="AH429" s="255" t="str">
        <f>IF(ISNUMBER(SEARCH("H", 'Dry_Litterbag Placem_Collection'!AD136)),"YES","NO")</f>
        <v>NO</v>
      </c>
      <c r="AI429" s="255" t="str">
        <f>IF(ISNUMBER(SEARCH("R", 'Dry_Litterbag Placem_Collection'!AD136)),"YES","NO")</f>
        <v>NO</v>
      </c>
      <c r="AJ429" s="255" t="str">
        <f>IF(ISNUMBER(SEARCH("C", 'Dry_Litterbag Placem_Collection'!AC136)),"YES","NO")</f>
        <v>NO</v>
      </c>
      <c r="AK429" s="255" t="str">
        <f>IF(ISNUMBER(SEARCH("H", 'Dry_Litterbag Placem_Collection'!AC136)),"YES","NO")</f>
        <v>NO</v>
      </c>
      <c r="AL429" s="255" t="str">
        <f>IF(ISNUMBER(SEARCH("R", 'Dry_Litterbag Placem_Collection'!AC136)),"YES","NO")</f>
        <v>NO</v>
      </c>
      <c r="AR429" t="s">
        <v>2010</v>
      </c>
      <c r="AT429" t="s">
        <v>490</v>
      </c>
    </row>
    <row r="430" spans="2:46">
      <c r="B430" t="str">
        <f>'Final data_for_R_analysis_Dryse'!A576</f>
        <v>Dry</v>
      </c>
      <c r="C430" s="263">
        <f>'Final data_for_R_analysis_Dryse'!B576</f>
        <v>135</v>
      </c>
      <c r="D430" t="s">
        <v>3846</v>
      </c>
      <c r="E430" t="s">
        <v>25</v>
      </c>
      <c r="F430" s="387">
        <v>7</v>
      </c>
      <c r="G430" s="16">
        <f>'Dry_Litterbag Placem_Collection'!E137</f>
        <v>42939</v>
      </c>
      <c r="H430" s="92" t="str">
        <f>'Final data_for_R_analysis_Dryse'!J576</f>
        <v>G517</v>
      </c>
      <c r="I430" t="str">
        <f>'Final data_for_R_analysis_Dryse'!J796</f>
        <v>R223</v>
      </c>
      <c r="J430">
        <f>IFERROR(INDEX('Green_rooibos initial weight'!$C$5:$C$1749,MATCH(H430, 'Green_rooibos initial weight'!$A$5:$A$1749,0)),"")</f>
        <v>2.069</v>
      </c>
      <c r="K430">
        <f>IFERROR(INDEX('Green_rooibos initial weight'!$C$5:$C$1749,MATCH(I430, 'Green_rooibos initial weight'!$A$5:$A$1749,0)),"")</f>
        <v>2.2170000000000001</v>
      </c>
      <c r="L430" s="195">
        <f t="shared" si="65"/>
        <v>1.8191999999999999</v>
      </c>
      <c r="M430" s="240">
        <f>AVERAGE(Ashed_controlls!$K$1:$K$11)</f>
        <v>5.5147656768714146</v>
      </c>
      <c r="N430" s="195">
        <f t="shared" si="60"/>
        <v>1.7188753828063552</v>
      </c>
      <c r="O430" s="195">
        <f t="shared" si="66"/>
        <v>1.9672000000000001</v>
      </c>
      <c r="P430" s="240">
        <f>AVERAGE(Ashed_controlls!$K$12:$K$14)</f>
        <v>2.2816647271287041</v>
      </c>
      <c r="Q430" s="195">
        <f t="shared" si="61"/>
        <v>1.9223150914879241</v>
      </c>
      <c r="R430" s="16">
        <f>IF('Dry_Litterbag Placem_Collection'!G137="N.A","",'Dry_Litterbag Placem_Collection'!G137)</f>
        <v>43008</v>
      </c>
      <c r="S430" s="195">
        <f>IF(IFERROR(INDEX('Both teabags AfterDry'!$D$1:$D$839,MATCH(H430,'Both teabags AfterDry'!$A$1:$A$839,0)),"")="N.A","",(IFERROR(INDEX('Both teabags AfterDry'!$D$1:$D$839,MATCH(H430,'Both teabags AfterDry'!$A$1:$A$839,0)),"")))</f>
        <v>0.7097</v>
      </c>
      <c r="T430" s="195">
        <f>IF(IFERROR(INDEX('Both teabags AfterDry'!$D$1:$D$839,MATCH(I430,'Both teabags AfterDry'!$A$1:$A$839,0)),"")="N.A","",(IFERROR(INDEX('Both teabags AfterDry'!$D$1:$D$839,MATCH(I430,'Both teabags AfterDry'!$A$1:$A$839,0)),"")))</f>
        <v>1.7884</v>
      </c>
      <c r="U430" s="195">
        <f t="shared" si="67"/>
        <v>0.55909999999999993</v>
      </c>
      <c r="V430" s="195">
        <f t="shared" si="67"/>
        <v>1.6377999999999999</v>
      </c>
      <c r="W430" s="195">
        <f>IFERROR(INDEX('Ashed teabags dry'!$K$2:$K$821,MATCH(H430,'Ashed teabags dry'!$A$2:$A$821,0)),"")</f>
        <v>18.257464512971215</v>
      </c>
      <c r="X430" s="195">
        <f>IFERROR(INDEX('Ashed teabags dry'!$K$2:$K$821,MATCH(I430,'Ashed teabags dry'!$A$2:$A$821,0)),"")</f>
        <v>7.1172784243511256</v>
      </c>
      <c r="Y430" s="195">
        <f t="shared" si="62"/>
        <v>0.45702251590797788</v>
      </c>
      <c r="Z430" s="195">
        <f t="shared" si="62"/>
        <v>1.5212332139659772</v>
      </c>
      <c r="AA430" s="195">
        <f t="shared" si="68"/>
        <v>0.73411538702601509</v>
      </c>
      <c r="AB430" s="195">
        <f t="shared" si="69"/>
        <v>0.48127279529496486</v>
      </c>
      <c r="AC430" s="195">
        <f t="shared" si="63"/>
        <v>0.79135476837384722</v>
      </c>
      <c r="AD430">
        <f t="shared" si="64"/>
        <v>69</v>
      </c>
      <c r="AE430" s="195">
        <f t="shared" si="70"/>
        <v>0.12812899403086087</v>
      </c>
      <c r="AF430" s="195">
        <f t="shared" si="71"/>
        <v>8.2366322203474857E-3</v>
      </c>
      <c r="AG430" s="255" t="str">
        <f>IF(ISNUMBER(SEARCH("C", 'Dry_Litterbag Placem_Collection'!AD137)),"YES","NO")</f>
        <v>NO</v>
      </c>
      <c r="AH430" s="255" t="str">
        <f>IF(ISNUMBER(SEARCH("H", 'Dry_Litterbag Placem_Collection'!AD137)),"YES","NO")</f>
        <v>NO</v>
      </c>
      <c r="AI430" s="255" t="str">
        <f>IF(ISNUMBER(SEARCH("R", 'Dry_Litterbag Placem_Collection'!AD137)),"YES","NO")</f>
        <v>NO</v>
      </c>
      <c r="AJ430" s="255" t="str">
        <f>IF(ISNUMBER(SEARCH("C", 'Dry_Litterbag Placem_Collection'!AC137)),"YES","NO")</f>
        <v>NO</v>
      </c>
      <c r="AK430" s="255" t="str">
        <f>IF(ISNUMBER(SEARCH("H", 'Dry_Litterbag Placem_Collection'!AC137)),"YES","NO")</f>
        <v>NO</v>
      </c>
      <c r="AL430" s="255" t="str">
        <f>IF(ISNUMBER(SEARCH("R", 'Dry_Litterbag Placem_Collection'!AC137)),"YES","NO")</f>
        <v>NO</v>
      </c>
      <c r="AR430" t="s">
        <v>1533</v>
      </c>
      <c r="AT430" t="s">
        <v>918</v>
      </c>
    </row>
    <row r="431" spans="2:46">
      <c r="B431" t="str">
        <f>'Final data_for_R_analysis_Dryse'!A577</f>
        <v>Dry</v>
      </c>
      <c r="C431" s="263">
        <f>'Final data_for_R_analysis_Dryse'!B577</f>
        <v>136</v>
      </c>
      <c r="D431" t="s">
        <v>3846</v>
      </c>
      <c r="E431" t="s">
        <v>25</v>
      </c>
      <c r="F431" s="387">
        <v>8</v>
      </c>
      <c r="G431" s="16">
        <f>'Dry_Litterbag Placem_Collection'!E138</f>
        <v>42939</v>
      </c>
      <c r="H431" s="92" t="str">
        <f>'Final data_for_R_analysis_Dryse'!J577</f>
        <v>G67</v>
      </c>
      <c r="I431" t="str">
        <f>'Final data_for_R_analysis_Dryse'!J797</f>
        <v>R214</v>
      </c>
      <c r="J431">
        <f>IFERROR(INDEX('Green_rooibos initial weight'!$C$5:$C$1749,MATCH(H431, 'Green_rooibos initial weight'!$A$5:$A$1749,0)),"")</f>
        <v>1.984</v>
      </c>
      <c r="K431">
        <f>IFERROR(INDEX('Green_rooibos initial weight'!$C$5:$C$1749,MATCH(I431, 'Green_rooibos initial weight'!$A$5:$A$1749,0)),"")</f>
        <v>2.1960000000000002</v>
      </c>
      <c r="L431" s="195">
        <f t="shared" si="65"/>
        <v>1.7342</v>
      </c>
      <c r="M431" s="240">
        <f>AVERAGE(Ashed_controlls!$K$1:$K$11)</f>
        <v>5.5147656768714146</v>
      </c>
      <c r="N431" s="195">
        <f t="shared" si="60"/>
        <v>1.6385629336316958</v>
      </c>
      <c r="O431" s="195">
        <f t="shared" si="66"/>
        <v>1.9462000000000002</v>
      </c>
      <c r="P431" s="240">
        <f>AVERAGE(Ashed_controlls!$K$12:$K$14)</f>
        <v>2.2816647271287041</v>
      </c>
      <c r="Q431" s="195">
        <f t="shared" si="61"/>
        <v>1.9017942410806212</v>
      </c>
      <c r="R431" s="16">
        <f>IF('Dry_Litterbag Placem_Collection'!G138="N.A","",'Dry_Litterbag Placem_Collection'!G138)</f>
        <v>43008</v>
      </c>
      <c r="S431" s="195">
        <f>IF(IFERROR(INDEX('Both teabags AfterDry'!$D$1:$D$839,MATCH(H431,'Both teabags AfterDry'!$A$1:$A$839,0)),"")="N.A","",(IFERROR(INDEX('Both teabags AfterDry'!$D$1:$D$839,MATCH(H431,'Both teabags AfterDry'!$A$1:$A$839,0)),"")))</f>
        <v>0.77739999999999998</v>
      </c>
      <c r="T431" s="195">
        <f>IF(IFERROR(INDEX('Both teabags AfterDry'!$D$1:$D$839,MATCH(I431,'Both teabags AfterDry'!$A$1:$A$839,0)),"")="N.A","",(IFERROR(INDEX('Both teabags AfterDry'!$D$1:$D$839,MATCH(I431,'Both teabags AfterDry'!$A$1:$A$839,0)),"")))</f>
        <v>1.7265999999999999</v>
      </c>
      <c r="U431" s="195">
        <f t="shared" si="67"/>
        <v>0.62680000000000002</v>
      </c>
      <c r="V431" s="195">
        <f t="shared" si="67"/>
        <v>1.5759999999999998</v>
      </c>
      <c r="W431" s="195">
        <f>IFERROR(INDEX('Ashed teabags dry'!$K$2:$K$821,MATCH(H431,'Ashed teabags dry'!$A$2:$A$821,0)),"")</f>
        <v>23.004251299007908</v>
      </c>
      <c r="X431" s="195">
        <f>IFERROR(INDEX('Ashed teabags dry'!$K$2:$K$821,MATCH(I431,'Ashed teabags dry'!$A$2:$A$821,0)),"")</f>
        <v>9.4517958412093144</v>
      </c>
      <c r="Y431" s="195">
        <f t="shared" si="62"/>
        <v>0.48260935285781847</v>
      </c>
      <c r="Z431" s="195">
        <f t="shared" si="62"/>
        <v>1.427039697542541</v>
      </c>
      <c r="AA431" s="195">
        <f t="shared" si="68"/>
        <v>0.70546791767822581</v>
      </c>
      <c r="AB431" s="195">
        <f t="shared" si="69"/>
        <v>0.46249203154201984</v>
      </c>
      <c r="AC431" s="195">
        <f t="shared" si="63"/>
        <v>0.7503649273497015</v>
      </c>
      <c r="AD431">
        <f t="shared" si="64"/>
        <v>69</v>
      </c>
      <c r="AE431" s="195">
        <f t="shared" si="70"/>
        <v>0.16215211677170327</v>
      </c>
      <c r="AF431" s="195">
        <f t="shared" si="71"/>
        <v>1.1246506407086737E-2</v>
      </c>
      <c r="AG431" s="255" t="str">
        <f>IF(ISNUMBER(SEARCH("C", 'Dry_Litterbag Placem_Collection'!AD138)),"YES","NO")</f>
        <v>NO</v>
      </c>
      <c r="AH431" s="255" t="str">
        <f>IF(ISNUMBER(SEARCH("H", 'Dry_Litterbag Placem_Collection'!AD138)),"YES","NO")</f>
        <v>NO</v>
      </c>
      <c r="AI431" s="255" t="str">
        <f>IF(ISNUMBER(SEARCH("R", 'Dry_Litterbag Placem_Collection'!AD138)),"YES","NO")</f>
        <v>NO</v>
      </c>
      <c r="AJ431" s="255" t="str">
        <f>IF(ISNUMBER(SEARCH("C", 'Dry_Litterbag Placem_Collection'!AC138)),"YES","NO")</f>
        <v>NO</v>
      </c>
      <c r="AK431" s="255" t="str">
        <f>IF(ISNUMBER(SEARCH("H", 'Dry_Litterbag Placem_Collection'!AC138)),"YES","NO")</f>
        <v>NO</v>
      </c>
      <c r="AL431" s="255" t="str">
        <f>IF(ISNUMBER(SEARCH("R", 'Dry_Litterbag Placem_Collection'!AC138)),"YES","NO")</f>
        <v>NO</v>
      </c>
      <c r="AR431" t="s">
        <v>1983</v>
      </c>
      <c r="AT431" t="s">
        <v>927</v>
      </c>
    </row>
    <row r="432" spans="2:46">
      <c r="B432" t="str">
        <f>'Final data_for_R_analysis_Dryse'!A578</f>
        <v>Dry</v>
      </c>
      <c r="C432" s="263">
        <f>'Final data_for_R_analysis_Dryse'!B578</f>
        <v>137</v>
      </c>
      <c r="D432" t="s">
        <v>3848</v>
      </c>
      <c r="E432" t="s">
        <v>25</v>
      </c>
      <c r="F432" s="386">
        <v>1</v>
      </c>
      <c r="G432" s="16">
        <f>'Dry_Litterbag Placem_Collection'!E139</f>
        <v>42939</v>
      </c>
      <c r="H432" s="92" t="str">
        <f>'Final data_for_R_analysis_Dryse'!J578</f>
        <v>G335</v>
      </c>
      <c r="I432" t="str">
        <f>'Final data_for_R_analysis_Dryse'!J798</f>
        <v>R628</v>
      </c>
      <c r="J432">
        <f>IFERROR(INDEX('Green_rooibos initial weight'!$C$5:$C$1749,MATCH(H432, 'Green_rooibos initial weight'!$A$5:$A$1749,0)),"")</f>
        <v>1.956</v>
      </c>
      <c r="K432">
        <f>IFERROR(INDEX('Green_rooibos initial weight'!$C$5:$C$1749,MATCH(I432, 'Green_rooibos initial weight'!$A$5:$A$1749,0)),"")</f>
        <v>2.0110000000000001</v>
      </c>
      <c r="L432" s="195">
        <f t="shared" si="65"/>
        <v>1.7061999999999999</v>
      </c>
      <c r="M432" s="240">
        <f>AVERAGE(Ashed_controlls!$K$1:$K$11)</f>
        <v>5.5147656768714146</v>
      </c>
      <c r="N432" s="195">
        <f t="shared" si="60"/>
        <v>1.6121070680212199</v>
      </c>
      <c r="O432" s="195">
        <f t="shared" si="66"/>
        <v>1.7612000000000001</v>
      </c>
      <c r="P432" s="240">
        <f>AVERAGE(Ashed_controlls!$K$12:$K$14)</f>
        <v>2.2816647271287041</v>
      </c>
      <c r="Q432" s="195">
        <f t="shared" si="61"/>
        <v>1.7210153208258094</v>
      </c>
      <c r="R432" s="16">
        <f>IF('Dry_Litterbag Placem_Collection'!G139="N.A","",'Dry_Litterbag Placem_Collection'!G139)</f>
        <v>43008</v>
      </c>
      <c r="S432" s="195">
        <f>IF(IFERROR(INDEX('Both teabags AfterDry'!$D$1:$D$839,MATCH(H432,'Both teabags AfterDry'!$A$1:$A$839,0)),"")="N.A","",(IFERROR(INDEX('Both teabags AfterDry'!$D$1:$D$839,MATCH(H432,'Both teabags AfterDry'!$A$1:$A$839,0)),"")))</f>
        <v>0.85829999999999995</v>
      </c>
      <c r="T432" s="195">
        <f>IF(IFERROR(INDEX('Both teabags AfterDry'!$D$1:$D$839,MATCH(I432,'Both teabags AfterDry'!$A$1:$A$839,0)),"")="N.A","",(IFERROR(INDEX('Both teabags AfterDry'!$D$1:$D$839,MATCH(I432,'Both teabags AfterDry'!$A$1:$A$839,0)),"")))</f>
        <v>1.7652000000000001</v>
      </c>
      <c r="U432" s="195">
        <f t="shared" si="67"/>
        <v>0.7077</v>
      </c>
      <c r="V432" s="195">
        <f t="shared" si="67"/>
        <v>1.6146</v>
      </c>
      <c r="W432" s="195">
        <f>IFERROR(INDEX('Ashed teabags dry'!$K$2:$K$821,MATCH(H432,'Ashed teabags dry'!$A$2:$A$821,0)),"")</f>
        <v>28.521997034107514</v>
      </c>
      <c r="X432" s="195">
        <f>IFERROR(INDEX('Ashed teabags dry'!$K$2:$K$821,MATCH(I432,'Ashed teabags dry'!$A$2:$A$821,0)),"")</f>
        <v>9.0322580645165651</v>
      </c>
      <c r="Y432" s="195">
        <f t="shared" si="62"/>
        <v>0.50584982698962111</v>
      </c>
      <c r="Z432" s="195">
        <f t="shared" si="62"/>
        <v>1.4687651612903156</v>
      </c>
      <c r="AA432" s="195">
        <f t="shared" si="68"/>
        <v>0.68621821898558744</v>
      </c>
      <c r="AB432" s="195">
        <f t="shared" si="69"/>
        <v>0.44987227657962509</v>
      </c>
      <c r="AC432" s="195">
        <f t="shared" si="63"/>
        <v>0.85342945150862781</v>
      </c>
      <c r="AD432">
        <f t="shared" si="64"/>
        <v>69</v>
      </c>
      <c r="AE432" s="195">
        <f t="shared" si="70"/>
        <v>0.1850139917035778</v>
      </c>
      <c r="AF432" s="195">
        <f t="shared" si="71"/>
        <v>5.7135594254398006E-3</v>
      </c>
      <c r="AG432" s="255" t="str">
        <f>IF(ISNUMBER(SEARCH("C", 'Dry_Litterbag Placem_Collection'!AD139)),"YES","NO")</f>
        <v>NO</v>
      </c>
      <c r="AH432" s="255" t="str">
        <f>IF(ISNUMBER(SEARCH("H", 'Dry_Litterbag Placem_Collection'!AD139)),"YES","NO")</f>
        <v>NO</v>
      </c>
      <c r="AI432" s="255" t="str">
        <f>IF(ISNUMBER(SEARCH("R", 'Dry_Litterbag Placem_Collection'!AD139)),"YES","NO")</f>
        <v>NO</v>
      </c>
      <c r="AJ432" s="255" t="str">
        <f>IF(ISNUMBER(SEARCH("C", 'Dry_Litterbag Placem_Collection'!AC139)),"YES","NO")</f>
        <v>NO</v>
      </c>
      <c r="AK432" s="255" t="str">
        <f>IF(ISNUMBER(SEARCH("H", 'Dry_Litterbag Placem_Collection'!AC139)),"YES","NO")</f>
        <v>NO</v>
      </c>
      <c r="AL432" s="255" t="str">
        <f>IF(ISNUMBER(SEARCH("R", 'Dry_Litterbag Placem_Collection'!AC139)),"YES","NO")</f>
        <v>NO</v>
      </c>
      <c r="AR432" t="s">
        <v>1715</v>
      </c>
      <c r="AT432" t="s">
        <v>511</v>
      </c>
    </row>
    <row r="433" spans="2:46">
      <c r="B433" t="str">
        <f>'Final data_for_R_analysis_Dryse'!A579</f>
        <v>Dry</v>
      </c>
      <c r="C433" s="263">
        <f>'Final data_for_R_analysis_Dryse'!B579</f>
        <v>138</v>
      </c>
      <c r="D433" t="s">
        <v>3848</v>
      </c>
      <c r="E433" t="s">
        <v>25</v>
      </c>
      <c r="F433" s="386">
        <v>2</v>
      </c>
      <c r="G433" s="16">
        <f>'Dry_Litterbag Placem_Collection'!E140</f>
        <v>42939</v>
      </c>
      <c r="H433" s="92" t="str">
        <f>'Final data_for_R_analysis_Dryse'!J579</f>
        <v>G484</v>
      </c>
      <c r="I433" t="str">
        <f>'Final data_for_R_analysis_Dryse'!J799</f>
        <v>R198</v>
      </c>
      <c r="J433">
        <f>IFERROR(INDEX('Green_rooibos initial weight'!$C$5:$C$1749,MATCH(H433, 'Green_rooibos initial weight'!$A$5:$A$1749,0)),"")</f>
        <v>2.0009999999999999</v>
      </c>
      <c r="K433">
        <f>IFERROR(INDEX('Green_rooibos initial weight'!$C$5:$C$1749,MATCH(I433, 'Green_rooibos initial weight'!$A$5:$A$1749,0)),"")</f>
        <v>2.1970000000000001</v>
      </c>
      <c r="L433" s="195">
        <f t="shared" si="65"/>
        <v>1.7511999999999999</v>
      </c>
      <c r="M433" s="240">
        <f>AVERAGE(Ashed_controlls!$K$1:$K$11)</f>
        <v>5.5147656768714146</v>
      </c>
      <c r="N433" s="195">
        <f t="shared" si="60"/>
        <v>1.6546254234666278</v>
      </c>
      <c r="O433" s="195">
        <f t="shared" si="66"/>
        <v>1.9472</v>
      </c>
      <c r="P433" s="240">
        <f>AVERAGE(Ashed_controlls!$K$12:$K$14)</f>
        <v>2.2816647271287041</v>
      </c>
      <c r="Q433" s="195">
        <f t="shared" si="61"/>
        <v>1.90277142443335</v>
      </c>
      <c r="R433" s="16">
        <f>IF('Dry_Litterbag Placem_Collection'!G140="N.A","",'Dry_Litterbag Placem_Collection'!G140)</f>
        <v>43008</v>
      </c>
      <c r="S433" s="195">
        <f>IF(IFERROR(INDEX('Both teabags AfterDry'!$D$1:$D$839,MATCH(H433,'Both teabags AfterDry'!$A$1:$A$839,0)),"")="N.A","",(IFERROR(INDEX('Both teabags AfterDry'!$D$1:$D$839,MATCH(H433,'Both teabags AfterDry'!$A$1:$A$839,0)),"")))</f>
        <v>0.66439999999999999</v>
      </c>
      <c r="T433" s="195">
        <f>IF(IFERROR(INDEX('Both teabags AfterDry'!$D$1:$D$839,MATCH(I433,'Both teabags AfterDry'!$A$1:$A$839,0)),"")="N.A","",(IFERROR(INDEX('Both teabags AfterDry'!$D$1:$D$839,MATCH(I433,'Both teabags AfterDry'!$A$1:$A$839,0)),"")))</f>
        <v>1.7765</v>
      </c>
      <c r="U433" s="195">
        <f t="shared" si="67"/>
        <v>0.51380000000000003</v>
      </c>
      <c r="V433" s="195">
        <f t="shared" si="67"/>
        <v>1.6258999999999999</v>
      </c>
      <c r="W433" s="195">
        <f>IFERROR(INDEX('Ashed teabags dry'!$K$2:$K$821,MATCH(H433,'Ashed teabags dry'!$A$2:$A$821,0)),"")</f>
        <v>17.053529133112047</v>
      </c>
      <c r="X433" s="195">
        <f>IFERROR(INDEX('Ashed teabags dry'!$K$2:$K$821,MATCH(I433,'Ashed teabags dry'!$A$2:$A$821,0)),"")</f>
        <v>5.3694581280797298</v>
      </c>
      <c r="Y433" s="195">
        <f t="shared" si="62"/>
        <v>0.42617896731407034</v>
      </c>
      <c r="Z433" s="195">
        <f t="shared" si="62"/>
        <v>1.5385979802955516</v>
      </c>
      <c r="AA433" s="195">
        <f t="shared" si="68"/>
        <v>0.74243175448061405</v>
      </c>
      <c r="AB433" s="195">
        <f t="shared" si="69"/>
        <v>0.4867248556690012</v>
      </c>
      <c r="AC433" s="195">
        <f t="shared" si="63"/>
        <v>0.80860893775181109</v>
      </c>
      <c r="AD433">
        <f t="shared" si="64"/>
        <v>69</v>
      </c>
      <c r="AE433" s="195">
        <f t="shared" si="70"/>
        <v>0.11825207306340368</v>
      </c>
      <c r="AF433" s="195">
        <f t="shared" si="71"/>
        <v>7.2404748628389802E-3</v>
      </c>
      <c r="AG433" s="255" t="str">
        <f>IF(ISNUMBER(SEARCH("C", 'Dry_Litterbag Placem_Collection'!AD140)),"YES","NO")</f>
        <v>NO</v>
      </c>
      <c r="AH433" s="255" t="str">
        <f>IF(ISNUMBER(SEARCH("H", 'Dry_Litterbag Placem_Collection'!AD140)),"YES","NO")</f>
        <v>NO</v>
      </c>
      <c r="AI433" s="255" t="str">
        <f>IF(ISNUMBER(SEARCH("R", 'Dry_Litterbag Placem_Collection'!AD140)),"YES","NO")</f>
        <v>NO</v>
      </c>
      <c r="AJ433" s="255" t="str">
        <f>IF(ISNUMBER(SEARCH("C", 'Dry_Litterbag Placem_Collection'!AC140)),"YES","NO")</f>
        <v>NO</v>
      </c>
      <c r="AK433" s="255" t="str">
        <f>IF(ISNUMBER(SEARCH("H", 'Dry_Litterbag Placem_Collection'!AC140)),"YES","NO")</f>
        <v>NO</v>
      </c>
      <c r="AL433" s="255" t="str">
        <f>IF(ISNUMBER(SEARCH("R", 'Dry_Litterbag Placem_Collection'!AC140)),"YES","NO")</f>
        <v>NO</v>
      </c>
      <c r="AR433" t="s">
        <v>1566</v>
      </c>
      <c r="AT433" t="s">
        <v>943</v>
      </c>
    </row>
    <row r="434" spans="2:46">
      <c r="B434" t="str">
        <f>'Final data_for_R_analysis_Dryse'!A580</f>
        <v>Dry</v>
      </c>
      <c r="C434" s="263">
        <f>'Final data_for_R_analysis_Dryse'!B580</f>
        <v>139</v>
      </c>
      <c r="D434" t="s">
        <v>3848</v>
      </c>
      <c r="E434" t="s">
        <v>25</v>
      </c>
      <c r="F434" s="386">
        <v>3</v>
      </c>
      <c r="G434" s="16">
        <f>'Dry_Litterbag Placem_Collection'!E141</f>
        <v>42939</v>
      </c>
      <c r="H434" s="92" t="str">
        <f>'Final data_for_R_analysis_Dryse'!J580</f>
        <v>G868</v>
      </c>
      <c r="I434" t="str">
        <f>'Final data_for_R_analysis_Dryse'!J800</f>
        <v>R706</v>
      </c>
      <c r="J434">
        <f>IFERROR(INDEX('Green_rooibos initial weight'!$C$5:$C$1749,MATCH(H434, 'Green_rooibos initial weight'!$A$5:$A$1749,0)),"")</f>
        <v>1.95</v>
      </c>
      <c r="K434">
        <f>IFERROR(INDEX('Green_rooibos initial weight'!$C$5:$C$1749,MATCH(I434, 'Green_rooibos initial weight'!$A$5:$A$1749,0)),"")</f>
        <v>2.1480000000000001</v>
      </c>
      <c r="L434" s="195">
        <f t="shared" si="65"/>
        <v>1.7001999999999999</v>
      </c>
      <c r="M434" s="240">
        <f>AVERAGE(Ashed_controlls!$K$1:$K$11)</f>
        <v>5.5147656768714146</v>
      </c>
      <c r="N434" s="195">
        <f t="shared" si="60"/>
        <v>1.6064379539618321</v>
      </c>
      <c r="O434" s="195">
        <f t="shared" si="66"/>
        <v>1.8982000000000001</v>
      </c>
      <c r="P434" s="240">
        <f>AVERAGE(Ashed_controlls!$K$12:$K$14)</f>
        <v>2.2816647271287041</v>
      </c>
      <c r="Q434" s="195">
        <f t="shared" si="61"/>
        <v>1.854889440149643</v>
      </c>
      <c r="R434" s="16">
        <f>IF('Dry_Litterbag Placem_Collection'!G141="N.A","",'Dry_Litterbag Placem_Collection'!G141)</f>
        <v>43008</v>
      </c>
      <c r="S434" s="195">
        <f>IF(IFERROR(INDEX('Both teabags AfterDry'!$D$1:$D$839,MATCH(H434,'Both teabags AfterDry'!$A$1:$A$839,0)),"")="N.A","",(IFERROR(INDEX('Both teabags AfterDry'!$D$1:$D$839,MATCH(H434,'Both teabags AfterDry'!$A$1:$A$839,0)),"")))</f>
        <v>0.71699999999999997</v>
      </c>
      <c r="T434" s="195">
        <f>IF(IFERROR(INDEX('Both teabags AfterDry'!$D$1:$D$839,MATCH(I434,'Both teabags AfterDry'!$A$1:$A$839,0)),"")="N.A","",(IFERROR(INDEX('Both teabags AfterDry'!$D$1:$D$839,MATCH(I434,'Both teabags AfterDry'!$A$1:$A$839,0)),"")))</f>
        <v>1.5846</v>
      </c>
      <c r="U434" s="195">
        <f t="shared" si="67"/>
        <v>0.56640000000000001</v>
      </c>
      <c r="V434" s="195">
        <f t="shared" si="67"/>
        <v>1.4339999999999999</v>
      </c>
      <c r="W434" s="195">
        <f>IFERROR(INDEX('Ashed teabags dry'!$K$2:$K$821,MATCH(H434,'Ashed teabags dry'!$A$2:$A$821,0)),"")</f>
        <v>21.365853658537009</v>
      </c>
      <c r="X434" s="195">
        <f>IFERROR(INDEX('Ashed teabags dry'!$K$2:$K$821,MATCH(I434,'Ashed teabags dry'!$A$2:$A$821,0)),"")</f>
        <v>7.9318734793180647</v>
      </c>
      <c r="Y434" s="195">
        <f t="shared" si="62"/>
        <v>0.44538380487804641</v>
      </c>
      <c r="Z434" s="195">
        <f t="shared" si="62"/>
        <v>1.3202569343065789</v>
      </c>
      <c r="AA434" s="195">
        <f t="shared" si="68"/>
        <v>0.72275069586121821</v>
      </c>
      <c r="AB434" s="195">
        <f t="shared" si="69"/>
        <v>0.47382230892564431</v>
      </c>
      <c r="AC434" s="195">
        <f t="shared" si="63"/>
        <v>0.71177122783127567</v>
      </c>
      <c r="AD434">
        <f t="shared" si="64"/>
        <v>69</v>
      </c>
      <c r="AE434" s="195">
        <f t="shared" si="70"/>
        <v>0.14162625194629663</v>
      </c>
      <c r="AF434" s="195">
        <f t="shared" si="71"/>
        <v>1.3583672166515263E-2</v>
      </c>
      <c r="AG434" s="255" t="str">
        <f>IF(ISNUMBER(SEARCH("C", 'Dry_Litterbag Placem_Collection'!AD141)),"YES","NO")</f>
        <v>NO</v>
      </c>
      <c r="AH434" s="255" t="str">
        <f>IF(ISNUMBER(SEARCH("H", 'Dry_Litterbag Placem_Collection'!AD141)),"YES","NO")</f>
        <v>NO</v>
      </c>
      <c r="AI434" s="255" t="str">
        <f>IF(ISNUMBER(SEARCH("R", 'Dry_Litterbag Placem_Collection'!AD141)),"YES","NO")</f>
        <v>NO</v>
      </c>
      <c r="AJ434" s="255" t="str">
        <f>IF(ISNUMBER(SEARCH("C", 'Dry_Litterbag Placem_Collection'!AC141)),"YES","NO")</f>
        <v>NO</v>
      </c>
      <c r="AK434" s="255" t="str">
        <f>IF(ISNUMBER(SEARCH("H", 'Dry_Litterbag Placem_Collection'!AC141)),"YES","NO")</f>
        <v>NO</v>
      </c>
      <c r="AL434" s="255" t="str">
        <f>IF(ISNUMBER(SEARCH("R", 'Dry_Litterbag Placem_Collection'!AC141)),"YES","NO")</f>
        <v>NO</v>
      </c>
      <c r="AR434" t="s">
        <v>1182</v>
      </c>
      <c r="AT434" t="s">
        <v>433</v>
      </c>
    </row>
    <row r="435" spans="2:46">
      <c r="B435" t="str">
        <f>'Final data_for_R_analysis_Dryse'!A581</f>
        <v>Dry</v>
      </c>
      <c r="C435" s="263">
        <f>'Final data_for_R_analysis_Dryse'!B581</f>
        <v>140</v>
      </c>
      <c r="D435" t="s">
        <v>3848</v>
      </c>
      <c r="E435" t="s">
        <v>25</v>
      </c>
      <c r="F435" s="387">
        <v>4</v>
      </c>
      <c r="G435" s="16">
        <f>'Dry_Litterbag Placem_Collection'!E142</f>
        <v>42939</v>
      </c>
      <c r="H435" s="92" t="str">
        <f>'Final data_for_R_analysis_Dryse'!J581</f>
        <v>G792</v>
      </c>
      <c r="I435" t="str">
        <f>'Final data_for_R_analysis_Dryse'!J801</f>
        <v>R710</v>
      </c>
      <c r="J435">
        <f>IFERROR(INDEX('Green_rooibos initial weight'!$C$5:$C$1749,MATCH(H435, 'Green_rooibos initial weight'!$A$5:$A$1749,0)),"")</f>
        <v>2.0550000000000002</v>
      </c>
      <c r="K435">
        <f>IFERROR(INDEX('Green_rooibos initial weight'!$C$5:$C$1749,MATCH(I435, 'Green_rooibos initial weight'!$A$5:$A$1749,0)),"")</f>
        <v>2.1070000000000002</v>
      </c>
      <c r="L435" s="195">
        <f t="shared" si="65"/>
        <v>1.8052000000000001</v>
      </c>
      <c r="M435" s="240">
        <f>AVERAGE(Ashed_controlls!$K$1:$K$11)</f>
        <v>5.5147656768714146</v>
      </c>
      <c r="N435" s="195">
        <f t="shared" si="60"/>
        <v>1.7056474500011174</v>
      </c>
      <c r="O435" s="195">
        <f t="shared" si="66"/>
        <v>1.8572000000000002</v>
      </c>
      <c r="P435" s="240">
        <f>AVERAGE(Ashed_controlls!$K$12:$K$14)</f>
        <v>2.2816647271287041</v>
      </c>
      <c r="Q435" s="195">
        <f t="shared" si="61"/>
        <v>1.814824922687766</v>
      </c>
      <c r="R435" s="16">
        <f>IF('Dry_Litterbag Placem_Collection'!G142="N.A","",'Dry_Litterbag Placem_Collection'!G142)</f>
        <v>43008</v>
      </c>
      <c r="S435" s="195">
        <f>IF(IFERROR(INDEX('Both teabags AfterDry'!$D$1:$D$839,MATCH(H435,'Both teabags AfterDry'!$A$1:$A$839,0)),"")="N.A","",(IFERROR(INDEX('Both teabags AfterDry'!$D$1:$D$839,MATCH(H435,'Both teabags AfterDry'!$A$1:$A$839,0)),"")))</f>
        <v>0.87409999999999999</v>
      </c>
      <c r="T435" s="195">
        <f>IF(IFERROR(INDEX('Both teabags AfterDry'!$D$1:$D$839,MATCH(I435,'Both teabags AfterDry'!$A$1:$A$839,0)),"")="N.A","",(IFERROR(INDEX('Both teabags AfterDry'!$D$1:$D$839,MATCH(I435,'Both teabags AfterDry'!$A$1:$A$839,0)),"")))</f>
        <v>1.7403999999999999</v>
      </c>
      <c r="U435" s="195">
        <f t="shared" si="67"/>
        <v>0.72350000000000003</v>
      </c>
      <c r="V435" s="195">
        <f t="shared" si="67"/>
        <v>1.5897999999999999</v>
      </c>
      <c r="W435" s="195">
        <f>IFERROR(INDEX('Ashed teabags dry'!$K$2:$K$821,MATCH(H435,'Ashed teabags dry'!$A$2:$A$821,0)),"")</f>
        <v>15.89673913043449</v>
      </c>
      <c r="X435" s="195">
        <f>IFERROR(INDEX('Ashed teabags dry'!$K$2:$K$821,MATCH(I435,'Ashed teabags dry'!$A$2:$A$821,0)),"")</f>
        <v>14.236453201970816</v>
      </c>
      <c r="Y435" s="195">
        <f t="shared" si="62"/>
        <v>0.60848709239130649</v>
      </c>
      <c r="Z435" s="195">
        <f t="shared" si="62"/>
        <v>1.3634688669950679</v>
      </c>
      <c r="AA435" s="195">
        <f t="shared" si="68"/>
        <v>0.64325154510042037</v>
      </c>
      <c r="AB435" s="195">
        <f t="shared" si="69"/>
        <v>0.42170410082592885</v>
      </c>
      <c r="AC435" s="195">
        <f t="shared" si="63"/>
        <v>0.75129498716369991</v>
      </c>
      <c r="AD435">
        <f t="shared" si="64"/>
        <v>69</v>
      </c>
      <c r="AE435" s="195">
        <f t="shared" si="70"/>
        <v>0.23604329560520143</v>
      </c>
      <c r="AF435" s="195">
        <f t="shared" si="71"/>
        <v>1.2913298006778913E-2</v>
      </c>
      <c r="AG435" s="255" t="str">
        <f>IF(ISNUMBER(SEARCH("C", 'Dry_Litterbag Placem_Collection'!AD142)),"YES","NO")</f>
        <v>NO</v>
      </c>
      <c r="AH435" s="255" t="str">
        <f>IF(ISNUMBER(SEARCH("H", 'Dry_Litterbag Placem_Collection'!AD142)),"YES","NO")</f>
        <v>NO</v>
      </c>
      <c r="AI435" s="255" t="str">
        <f>IF(ISNUMBER(SEARCH("R", 'Dry_Litterbag Placem_Collection'!AD142)),"YES","NO")</f>
        <v>NO</v>
      </c>
      <c r="AJ435" s="255" t="str">
        <f>IF(ISNUMBER(SEARCH("C", 'Dry_Litterbag Placem_Collection'!AC142)),"YES","NO")</f>
        <v>NO</v>
      </c>
      <c r="AK435" s="255" t="str">
        <f>IF(ISNUMBER(SEARCH("H", 'Dry_Litterbag Placem_Collection'!AC142)),"YES","NO")</f>
        <v>NO</v>
      </c>
      <c r="AL435" s="255" t="str">
        <f>IF(ISNUMBER(SEARCH("R", 'Dry_Litterbag Placem_Collection'!AC142)),"YES","NO")</f>
        <v>NO</v>
      </c>
      <c r="AR435" t="s">
        <v>1258</v>
      </c>
      <c r="AT435" t="s">
        <v>429</v>
      </c>
    </row>
    <row r="436" spans="2:46">
      <c r="B436" t="str">
        <f>'Final data_for_R_analysis_Dryse'!A582</f>
        <v>Dry</v>
      </c>
      <c r="C436" s="263">
        <f>'Final data_for_R_analysis_Dryse'!B582</f>
        <v>141</v>
      </c>
      <c r="D436" t="s">
        <v>3848</v>
      </c>
      <c r="E436" t="s">
        <v>25</v>
      </c>
      <c r="F436" s="387">
        <v>5</v>
      </c>
      <c r="G436" s="16">
        <f>'Dry_Litterbag Placem_Collection'!E143</f>
        <v>0</v>
      </c>
      <c r="H436" s="92" t="str">
        <f>'Final data_for_R_analysis_Dryse'!J582</f>
        <v/>
      </c>
      <c r="I436" t="str">
        <f>'Final data_for_R_analysis_Dryse'!J802</f>
        <v/>
      </c>
      <c r="J436" t="str">
        <f>IFERROR(INDEX('Green_rooibos initial weight'!$C$5:$C$1749,MATCH(H436, 'Green_rooibos initial weight'!$A$5:$A$1749,0)),"")</f>
        <v/>
      </c>
      <c r="K436" t="str">
        <f>IFERROR(INDEX('Green_rooibos initial weight'!$C$5:$C$1749,MATCH(I436, 'Green_rooibos initial weight'!$A$5:$A$1749,0)),"")</f>
        <v/>
      </c>
      <c r="L436" s="195" t="str">
        <f t="shared" si="65"/>
        <v/>
      </c>
      <c r="M436" s="240">
        <f>AVERAGE(Ashed_controlls!$K$1:$K$11)</f>
        <v>5.5147656768714146</v>
      </c>
      <c r="N436" s="195" t="str">
        <f t="shared" si="60"/>
        <v/>
      </c>
      <c r="O436" s="195" t="str">
        <f t="shared" si="66"/>
        <v/>
      </c>
      <c r="P436" s="240">
        <f>AVERAGE(Ashed_controlls!$K$12:$K$14)</f>
        <v>2.2816647271287041</v>
      </c>
      <c r="Q436" s="195" t="str">
        <f t="shared" si="61"/>
        <v/>
      </c>
      <c r="R436" s="16">
        <f>IF('Dry_Litterbag Placem_Collection'!G143="N.A","",'Dry_Litterbag Placem_Collection'!G143)</f>
        <v>0</v>
      </c>
      <c r="S436" s="195" t="str">
        <f>IF(IFERROR(INDEX('Both teabags AfterDry'!$D$1:$D$839,MATCH(H436,'Both teabags AfterDry'!$A$1:$A$839,0)),"")="N.A","",(IFERROR(INDEX('Both teabags AfterDry'!$D$1:$D$839,MATCH(H436,'Both teabags AfterDry'!$A$1:$A$839,0)),"")))</f>
        <v/>
      </c>
      <c r="T436" s="195" t="str">
        <f>IF(IFERROR(INDEX('Both teabags AfterDry'!$D$1:$D$839,MATCH(I436,'Both teabags AfterDry'!$A$1:$A$839,0)),"")="N.A","",(IFERROR(INDEX('Both teabags AfterDry'!$D$1:$D$839,MATCH(I436,'Both teabags AfterDry'!$A$1:$A$839,0)),"")))</f>
        <v/>
      </c>
      <c r="U436" s="195" t="str">
        <f t="shared" si="67"/>
        <v/>
      </c>
      <c r="V436" s="195" t="str">
        <f t="shared" si="67"/>
        <v/>
      </c>
      <c r="W436" s="195" t="str">
        <f>IFERROR(INDEX('Ashed teabags dry'!$K$2:$K$821,MATCH(H436,'Ashed teabags dry'!$A$2:$A$821,0)),"")</f>
        <v/>
      </c>
      <c r="X436" s="195" t="str">
        <f>IFERROR(INDEX('Ashed teabags dry'!$K$2:$K$821,MATCH(I436,'Ashed teabags dry'!$A$2:$A$821,0)),"")</f>
        <v/>
      </c>
      <c r="Y436" s="195" t="str">
        <f t="shared" si="62"/>
        <v/>
      </c>
      <c r="Z436" s="195" t="str">
        <f t="shared" si="62"/>
        <v/>
      </c>
      <c r="AA436" s="195" t="str">
        <f t="shared" si="68"/>
        <v/>
      </c>
      <c r="AB436" s="195" t="str">
        <f t="shared" si="69"/>
        <v/>
      </c>
      <c r="AC436" s="195" t="str">
        <f t="shared" si="63"/>
        <v/>
      </c>
      <c r="AD436" t="str">
        <f t="shared" si="64"/>
        <v/>
      </c>
      <c r="AE436" s="195" t="str">
        <f t="shared" si="70"/>
        <v/>
      </c>
      <c r="AF436" s="195" t="str">
        <f t="shared" si="71"/>
        <v/>
      </c>
      <c r="AG436" s="255" t="str">
        <f>IF(ISNUMBER(SEARCH("C", 'Dry_Litterbag Placem_Collection'!AD143)),"YES","NO")</f>
        <v>NO</v>
      </c>
      <c r="AH436" s="255" t="str">
        <f>IF(ISNUMBER(SEARCH("H", 'Dry_Litterbag Placem_Collection'!AD143)),"YES","NO")</f>
        <v>NO</v>
      </c>
      <c r="AI436" s="255" t="str">
        <f>IF(ISNUMBER(SEARCH("R", 'Dry_Litterbag Placem_Collection'!AD143)),"YES","NO")</f>
        <v>NO</v>
      </c>
      <c r="AJ436" s="255" t="str">
        <f>IF(ISNUMBER(SEARCH("C", 'Dry_Litterbag Placem_Collection'!AC143)),"YES","NO")</f>
        <v>NO</v>
      </c>
      <c r="AK436" s="255" t="str">
        <f>IF(ISNUMBER(SEARCH("H", 'Dry_Litterbag Placem_Collection'!AC143)),"YES","NO")</f>
        <v>NO</v>
      </c>
      <c r="AL436" s="255" t="str">
        <f>IF(ISNUMBER(SEARCH("R", 'Dry_Litterbag Placem_Collection'!AC143)),"YES","NO")</f>
        <v>NO</v>
      </c>
      <c r="AR436" t="s">
        <v>3654</v>
      </c>
      <c r="AT436" t="s">
        <v>3654</v>
      </c>
    </row>
    <row r="437" spans="2:46">
      <c r="B437" t="str">
        <f>'Final data_for_R_analysis_Dryse'!A583</f>
        <v>Dry</v>
      </c>
      <c r="C437" s="263">
        <f>'Final data_for_R_analysis_Dryse'!B583</f>
        <v>142</v>
      </c>
      <c r="D437" t="s">
        <v>3848</v>
      </c>
      <c r="E437" t="s">
        <v>25</v>
      </c>
      <c r="F437" s="387">
        <v>6</v>
      </c>
      <c r="G437" s="16">
        <f>'Dry_Litterbag Placem_Collection'!E144</f>
        <v>42939</v>
      </c>
      <c r="H437" s="92" t="str">
        <f>'Final data_for_R_analysis_Dryse'!J583</f>
        <v>G711</v>
      </c>
      <c r="I437" t="str">
        <f>'Final data_for_R_analysis_Dryse'!J803</f>
        <v>R626</v>
      </c>
      <c r="J437">
        <f>IFERROR(INDEX('Green_rooibos initial weight'!$C$5:$C$1749,MATCH(H437, 'Green_rooibos initial weight'!$A$5:$A$1749,0)),"")</f>
        <v>2.1070000000000002</v>
      </c>
      <c r="K437">
        <f>IFERROR(INDEX('Green_rooibos initial weight'!$C$5:$C$1749,MATCH(I437, 'Green_rooibos initial weight'!$A$5:$A$1749,0)),"")</f>
        <v>2.0699999999999998</v>
      </c>
      <c r="L437" s="195">
        <f t="shared" si="65"/>
        <v>1.8572000000000002</v>
      </c>
      <c r="M437" s="240">
        <f>AVERAGE(Ashed_controlls!$K$1:$K$11)</f>
        <v>5.5147656768714146</v>
      </c>
      <c r="N437" s="195">
        <f t="shared" si="60"/>
        <v>1.7547797718491442</v>
      </c>
      <c r="O437" s="195">
        <f t="shared" si="66"/>
        <v>1.8201999999999998</v>
      </c>
      <c r="P437" s="240">
        <f>AVERAGE(Ashed_controlls!$K$12:$K$14)</f>
        <v>2.2816647271287041</v>
      </c>
      <c r="Q437" s="195">
        <f t="shared" si="61"/>
        <v>1.7786691386368032</v>
      </c>
      <c r="R437" s="16">
        <f>IF('Dry_Litterbag Placem_Collection'!G144="N.A","",'Dry_Litterbag Placem_Collection'!G144)</f>
        <v>43008</v>
      </c>
      <c r="S437" s="195" t="str">
        <f>IF(IFERROR(INDEX('Both teabags AfterDry'!$D$1:$D$839,MATCH(H437,'Both teabags AfterDry'!$A$1:$A$839,0)),"")="N.A","",(IFERROR(INDEX('Both teabags AfterDry'!$D$1:$D$839,MATCH(H437,'Both teabags AfterDry'!$A$1:$A$839,0)),"")))</f>
        <v/>
      </c>
      <c r="T437" s="195" t="str">
        <f>IF(IFERROR(INDEX('Both teabags AfterDry'!$D$1:$D$839,MATCH(I437,'Both teabags AfterDry'!$A$1:$A$839,0)),"")="N.A","",(IFERROR(INDEX('Both teabags AfterDry'!$D$1:$D$839,MATCH(I437,'Both teabags AfterDry'!$A$1:$A$839,0)),"")))</f>
        <v/>
      </c>
      <c r="U437" s="195" t="str">
        <f t="shared" si="67"/>
        <v/>
      </c>
      <c r="V437" s="195" t="str">
        <f t="shared" si="67"/>
        <v/>
      </c>
      <c r="W437" s="195" t="str">
        <f>IFERROR(INDEX('Ashed teabags dry'!$K$2:$K$821,MATCH(H437,'Ashed teabags dry'!$A$2:$A$821,0)),"")</f>
        <v/>
      </c>
      <c r="X437" s="195" t="str">
        <f>IFERROR(INDEX('Ashed teabags dry'!$K$2:$K$821,MATCH(I437,'Ashed teabags dry'!$A$2:$A$821,0)),"")</f>
        <v/>
      </c>
      <c r="Y437" s="195" t="str">
        <f t="shared" si="62"/>
        <v/>
      </c>
      <c r="Z437" s="195" t="str">
        <f t="shared" si="62"/>
        <v/>
      </c>
      <c r="AA437" s="195" t="str">
        <f t="shared" si="68"/>
        <v/>
      </c>
      <c r="AB437" s="195" t="str">
        <f t="shared" si="69"/>
        <v/>
      </c>
      <c r="AC437" s="195" t="str">
        <f t="shared" si="63"/>
        <v/>
      </c>
      <c r="AD437">
        <f t="shared" si="64"/>
        <v>69</v>
      </c>
      <c r="AE437" s="195" t="str">
        <f t="shared" si="70"/>
        <v/>
      </c>
      <c r="AF437" s="195" t="str">
        <f t="shared" si="71"/>
        <v/>
      </c>
      <c r="AG437" s="255" t="str">
        <f>IF(ISNUMBER(SEARCH("C", 'Dry_Litterbag Placem_Collection'!AD144)),"YES","NO")</f>
        <v>NO</v>
      </c>
      <c r="AH437" s="255" t="str">
        <f>IF(ISNUMBER(SEARCH("H", 'Dry_Litterbag Placem_Collection'!AD144)),"YES","NO")</f>
        <v>NO</v>
      </c>
      <c r="AI437" s="255" t="str">
        <f>IF(ISNUMBER(SEARCH("R", 'Dry_Litterbag Placem_Collection'!AD144)),"YES","NO")</f>
        <v>NO</v>
      </c>
      <c r="AJ437" s="255" t="str">
        <f>IF(ISNUMBER(SEARCH("C", 'Dry_Litterbag Placem_Collection'!AC144)),"YES","NO")</f>
        <v>NO</v>
      </c>
      <c r="AK437" s="255" t="str">
        <f>IF(ISNUMBER(SEARCH("H", 'Dry_Litterbag Placem_Collection'!AC144)),"YES","NO")</f>
        <v>NO</v>
      </c>
      <c r="AL437" s="255" t="str">
        <f>IF(ISNUMBER(SEARCH("R", 'Dry_Litterbag Placem_Collection'!AC144)),"YES","NO")</f>
        <v>NO</v>
      </c>
      <c r="AR437" t="s">
        <v>1339</v>
      </c>
      <c r="AT437" t="s">
        <v>513</v>
      </c>
    </row>
    <row r="438" spans="2:46">
      <c r="B438" t="str">
        <f>'Final data_for_R_analysis_Dryse'!A584</f>
        <v>Dry</v>
      </c>
      <c r="C438" s="263">
        <f>'Final data_for_R_analysis_Dryse'!B584</f>
        <v>143</v>
      </c>
      <c r="D438" t="s">
        <v>3848</v>
      </c>
      <c r="E438" t="s">
        <v>25</v>
      </c>
      <c r="F438" s="387">
        <v>7</v>
      </c>
      <c r="G438" s="16">
        <f>'Dry_Litterbag Placem_Collection'!E145</f>
        <v>42939</v>
      </c>
      <c r="H438" s="92" t="str">
        <f>'Final data_for_R_analysis_Dryse'!J584</f>
        <v>G205</v>
      </c>
      <c r="I438" t="str">
        <f>'Final data_for_R_analysis_Dryse'!J804</f>
        <v>R195</v>
      </c>
      <c r="J438">
        <f>IFERROR(INDEX('Green_rooibos initial weight'!$C$5:$C$1749,MATCH(H438, 'Green_rooibos initial weight'!$A$5:$A$1749,0)),"")</f>
        <v>2.1240000000000001</v>
      </c>
      <c r="K438">
        <f>IFERROR(INDEX('Green_rooibos initial weight'!$C$5:$C$1749,MATCH(I438, 'Green_rooibos initial weight'!$A$5:$A$1749,0)),"")</f>
        <v>2.1640000000000001</v>
      </c>
      <c r="L438" s="195">
        <f t="shared" si="65"/>
        <v>1.8742000000000001</v>
      </c>
      <c r="M438" s="240">
        <f>AVERAGE(Ashed_controlls!$K$1:$K$11)</f>
        <v>5.5147656768714146</v>
      </c>
      <c r="N438" s="195">
        <f t="shared" si="60"/>
        <v>1.770842261684076</v>
      </c>
      <c r="O438" s="195">
        <f t="shared" si="66"/>
        <v>1.9142000000000001</v>
      </c>
      <c r="P438" s="240">
        <f>AVERAGE(Ashed_controlls!$K$12:$K$14)</f>
        <v>2.2816647271287041</v>
      </c>
      <c r="Q438" s="195">
        <f t="shared" si="61"/>
        <v>1.8705243737933024</v>
      </c>
      <c r="R438" s="16">
        <f>IF('Dry_Litterbag Placem_Collection'!G145="N.A","",'Dry_Litterbag Placem_Collection'!G145)</f>
        <v>43008</v>
      </c>
      <c r="S438" s="195">
        <f>IF(IFERROR(INDEX('Both teabags AfterDry'!$D$1:$D$839,MATCH(H438,'Both teabags AfterDry'!$A$1:$A$839,0)),"")="N.A","",(IFERROR(INDEX('Both teabags AfterDry'!$D$1:$D$839,MATCH(H438,'Both teabags AfterDry'!$A$1:$A$839,0)),"")))</f>
        <v>0.82040000000000002</v>
      </c>
      <c r="T438" s="195">
        <f>IF(IFERROR(INDEX('Both teabags AfterDry'!$D$1:$D$839,MATCH(I438,'Both teabags AfterDry'!$A$1:$A$839,0)),"")="N.A","",(IFERROR(INDEX('Both teabags AfterDry'!$D$1:$D$839,MATCH(I438,'Both teabags AfterDry'!$A$1:$A$839,0)),"")))</f>
        <v>1.6592</v>
      </c>
      <c r="U438" s="195">
        <f t="shared" si="67"/>
        <v>0.66979999999999995</v>
      </c>
      <c r="V438" s="195">
        <f t="shared" si="67"/>
        <v>1.5085999999999999</v>
      </c>
      <c r="W438" s="195">
        <f>IFERROR(INDEX('Ashed teabags dry'!$K$2:$K$821,MATCH(H438,'Ashed teabags dry'!$A$2:$A$821,0)),"")</f>
        <v>18.392504930966592</v>
      </c>
      <c r="X438" s="195">
        <f>IFERROR(INDEX('Ashed teabags dry'!$K$2:$K$821,MATCH(I438,'Ashed teabags dry'!$A$2:$A$821,0)),"")</f>
        <v>10.110294117647566</v>
      </c>
      <c r="Y438" s="195">
        <f t="shared" si="62"/>
        <v>0.54660700197238576</v>
      </c>
      <c r="Z438" s="195">
        <f t="shared" si="62"/>
        <v>1.3560761029411688</v>
      </c>
      <c r="AA438" s="195">
        <f t="shared" si="68"/>
        <v>0.69132936693494029</v>
      </c>
      <c r="AB438" s="195">
        <f t="shared" si="69"/>
        <v>0.45322305290746684</v>
      </c>
      <c r="AC438" s="195">
        <f t="shared" si="63"/>
        <v>0.72497109470492183</v>
      </c>
      <c r="AD438">
        <f t="shared" si="64"/>
        <v>69</v>
      </c>
      <c r="AE438" s="195">
        <f t="shared" si="70"/>
        <v>0.17894374473285002</v>
      </c>
      <c r="AF438" s="195">
        <f t="shared" si="71"/>
        <v>1.3529140898648108E-2</v>
      </c>
      <c r="AG438" s="255" t="str">
        <f>IF(ISNUMBER(SEARCH("C", 'Dry_Litterbag Placem_Collection'!AD145)),"YES","NO")</f>
        <v>NO</v>
      </c>
      <c r="AH438" s="255" t="str">
        <f>IF(ISNUMBER(SEARCH("H", 'Dry_Litterbag Placem_Collection'!AD145)),"YES","NO")</f>
        <v>NO</v>
      </c>
      <c r="AI438" s="255" t="str">
        <f>IF(ISNUMBER(SEARCH("R", 'Dry_Litterbag Placem_Collection'!AD145)),"YES","NO")</f>
        <v>NO</v>
      </c>
      <c r="AJ438" s="255" t="str">
        <f>IF(ISNUMBER(SEARCH("C", 'Dry_Litterbag Placem_Collection'!AC145)),"YES","NO")</f>
        <v>NO</v>
      </c>
      <c r="AK438" s="255" t="str">
        <f>IF(ISNUMBER(SEARCH("H", 'Dry_Litterbag Placem_Collection'!AC145)),"YES","NO")</f>
        <v>NO</v>
      </c>
      <c r="AL438" s="255" t="str">
        <f>IF(ISNUMBER(SEARCH("R", 'Dry_Litterbag Placem_Collection'!AC145)),"YES","NO")</f>
        <v>NO</v>
      </c>
      <c r="AR438" t="s">
        <v>1845</v>
      </c>
      <c r="AT438" t="s">
        <v>946</v>
      </c>
    </row>
    <row r="439" spans="2:46">
      <c r="B439" t="str">
        <f>'Final data_for_R_analysis_Dryse'!A585</f>
        <v>Dry</v>
      </c>
      <c r="C439" s="263">
        <f>'Final data_for_R_analysis_Dryse'!B585</f>
        <v>144</v>
      </c>
      <c r="D439" t="s">
        <v>3848</v>
      </c>
      <c r="E439" t="s">
        <v>25</v>
      </c>
      <c r="F439" s="387">
        <v>8</v>
      </c>
      <c r="G439" s="16">
        <f>'Dry_Litterbag Placem_Collection'!E146</f>
        <v>42939</v>
      </c>
      <c r="H439" s="92" t="str">
        <f>'Final data_for_R_analysis_Dryse'!J585</f>
        <v>G384</v>
      </c>
      <c r="I439" t="str">
        <f>'Final data_for_R_analysis_Dryse'!J805</f>
        <v>R295</v>
      </c>
      <c r="J439">
        <f>IFERROR(INDEX('Green_rooibos initial weight'!$C$5:$C$1749,MATCH(H439, 'Green_rooibos initial weight'!$A$5:$A$1749,0)),"")</f>
        <v>2.0499999999999998</v>
      </c>
      <c r="K439">
        <f>IFERROR(INDEX('Green_rooibos initial weight'!$C$5:$C$1749,MATCH(I439, 'Green_rooibos initial weight'!$A$5:$A$1749,0)),"")</f>
        <v>2.194</v>
      </c>
      <c r="L439" s="195">
        <f t="shared" si="65"/>
        <v>1.8001999999999998</v>
      </c>
      <c r="M439" s="240">
        <f>AVERAGE(Ashed_controlls!$K$1:$K$11)</f>
        <v>5.5147656768714146</v>
      </c>
      <c r="N439" s="195">
        <f t="shared" si="60"/>
        <v>1.7009231882849607</v>
      </c>
      <c r="O439" s="195">
        <f t="shared" si="66"/>
        <v>1.9441999999999999</v>
      </c>
      <c r="P439" s="240">
        <f>AVERAGE(Ashed_controlls!$K$12:$K$14)</f>
        <v>2.2816647271287041</v>
      </c>
      <c r="Q439" s="195">
        <f t="shared" si="61"/>
        <v>1.8998398743751637</v>
      </c>
      <c r="R439" s="16">
        <f>IF('Dry_Litterbag Placem_Collection'!G146="N.A","",'Dry_Litterbag Placem_Collection'!G146)</f>
        <v>43008</v>
      </c>
      <c r="S439" s="195">
        <f>IF(IFERROR(INDEX('Both teabags AfterDry'!$D$1:$D$839,MATCH(H439,'Both teabags AfterDry'!$A$1:$A$839,0)),"")="N.A","",(IFERROR(INDEX('Both teabags AfterDry'!$D$1:$D$839,MATCH(H439,'Both teabags AfterDry'!$A$1:$A$839,0)),"")))</f>
        <v>0.73660000000000003</v>
      </c>
      <c r="T439" s="195">
        <f>IF(IFERROR(INDEX('Both teabags AfterDry'!$D$1:$D$839,MATCH(I439,'Both teabags AfterDry'!$A$1:$A$839,0)),"")="N.A","",(IFERROR(INDEX('Both teabags AfterDry'!$D$1:$D$839,MATCH(I439,'Both teabags AfterDry'!$A$1:$A$839,0)),"")))</f>
        <v>1.7096</v>
      </c>
      <c r="U439" s="195">
        <f t="shared" si="67"/>
        <v>0.58600000000000008</v>
      </c>
      <c r="V439" s="195">
        <f t="shared" si="67"/>
        <v>1.5589999999999999</v>
      </c>
      <c r="W439" s="195">
        <f>IFERROR(INDEX('Ashed teabags dry'!$K$2:$K$821,MATCH(H439,'Ashed teabags dry'!$A$2:$A$821,0)),"")</f>
        <v>16.379310344827655</v>
      </c>
      <c r="X439" s="195">
        <f>IFERROR(INDEX('Ashed teabags dry'!$K$2:$K$821,MATCH(I439,'Ashed teabags dry'!$A$2:$A$821,0)),"")</f>
        <v>6.2071917808215078</v>
      </c>
      <c r="Y439" s="195">
        <f t="shared" si="62"/>
        <v>0.49001724137931002</v>
      </c>
      <c r="Z439" s="195">
        <f t="shared" si="62"/>
        <v>1.4622298801369926</v>
      </c>
      <c r="AA439" s="195">
        <f t="shared" si="68"/>
        <v>0.71191101117658695</v>
      </c>
      <c r="AB439" s="195">
        <f t="shared" si="69"/>
        <v>0.46671600732716872</v>
      </c>
      <c r="AC439" s="195">
        <f t="shared" si="63"/>
        <v>0.76965953807970466</v>
      </c>
      <c r="AD439">
        <f t="shared" si="64"/>
        <v>69</v>
      </c>
      <c r="AE439" s="195">
        <f t="shared" si="70"/>
        <v>0.15449998672614373</v>
      </c>
      <c r="AF439" s="195">
        <f t="shared" si="71"/>
        <v>9.8594074924255506E-3</v>
      </c>
      <c r="AG439" s="255" t="str">
        <f>IF(ISNUMBER(SEARCH("C", 'Dry_Litterbag Placem_Collection'!AD146)),"YES","NO")</f>
        <v>NO</v>
      </c>
      <c r="AH439" s="255" t="str">
        <f>IF(ISNUMBER(SEARCH("H", 'Dry_Litterbag Placem_Collection'!AD146)),"YES","NO")</f>
        <v>NO</v>
      </c>
      <c r="AI439" s="255" t="str">
        <f>IF(ISNUMBER(SEARCH("R", 'Dry_Litterbag Placem_Collection'!AD146)),"YES","NO")</f>
        <v>NO</v>
      </c>
      <c r="AJ439" s="255" t="str">
        <f>IF(ISNUMBER(SEARCH("C", 'Dry_Litterbag Placem_Collection'!AC146)),"YES","NO")</f>
        <v>NO</v>
      </c>
      <c r="AK439" s="255" t="str">
        <f>IF(ISNUMBER(SEARCH("H", 'Dry_Litterbag Placem_Collection'!AC146)),"YES","NO")</f>
        <v>NO</v>
      </c>
      <c r="AL439" s="255" t="str">
        <f>IF(ISNUMBER(SEARCH("R", 'Dry_Litterbag Placem_Collection'!AC146)),"YES","NO")</f>
        <v>NO</v>
      </c>
      <c r="AR439" t="s">
        <v>1666</v>
      </c>
      <c r="AT439" t="s">
        <v>846</v>
      </c>
    </row>
    <row r="440" spans="2:46">
      <c r="B440" t="str">
        <f>'Final data_for_R_analysis_Dryse'!A586</f>
        <v>Dry</v>
      </c>
      <c r="C440" s="263">
        <f>'Final data_for_R_analysis_Dryse'!B586</f>
        <v>145</v>
      </c>
      <c r="D440" t="s">
        <v>3849</v>
      </c>
      <c r="E440" t="s">
        <v>25</v>
      </c>
      <c r="F440" s="386">
        <v>1</v>
      </c>
      <c r="G440" s="16">
        <f>'Dry_Litterbag Placem_Collection'!E147</f>
        <v>42939</v>
      </c>
      <c r="H440" s="92" t="str">
        <f>'Final data_for_R_analysis_Dryse'!J586</f>
        <v>G72</v>
      </c>
      <c r="I440" t="str">
        <f>'Final data_for_R_analysis_Dryse'!J806</f>
        <v>R609</v>
      </c>
      <c r="J440">
        <f>IFERROR(INDEX('Green_rooibos initial weight'!$C$5:$C$1749,MATCH(H440, 'Green_rooibos initial weight'!$A$5:$A$1749,0)),"")</f>
        <v>2.0190000000000001</v>
      </c>
      <c r="K440">
        <f>IFERROR(INDEX('Green_rooibos initial weight'!$C$5:$C$1749,MATCH(I440, 'Green_rooibos initial weight'!$A$5:$A$1749,0)),"")</f>
        <v>2.165</v>
      </c>
      <c r="L440" s="195">
        <f t="shared" si="65"/>
        <v>1.7692000000000001</v>
      </c>
      <c r="M440" s="240">
        <f>AVERAGE(Ashed_controlls!$K$1:$K$11)</f>
        <v>5.5147656768714146</v>
      </c>
      <c r="N440" s="195">
        <f t="shared" si="60"/>
        <v>1.6716327656447911</v>
      </c>
      <c r="O440" s="195">
        <f t="shared" si="66"/>
        <v>1.9152</v>
      </c>
      <c r="P440" s="240">
        <f>AVERAGE(Ashed_controlls!$K$12:$K$14)</f>
        <v>2.2816647271287041</v>
      </c>
      <c r="Q440" s="195">
        <f t="shared" si="61"/>
        <v>1.8715015571460312</v>
      </c>
      <c r="R440" s="16">
        <f>IF('Dry_Litterbag Placem_Collection'!G147="N.A","",'Dry_Litterbag Placem_Collection'!G147)</f>
        <v>43010</v>
      </c>
      <c r="S440" s="195">
        <f>IF(IFERROR(INDEX('Both teabags AfterDry'!$D$1:$D$839,MATCH(H440,'Both teabags AfterDry'!$A$1:$A$839,0)),"")="N.A","",(IFERROR(INDEX('Both teabags AfterDry'!$D$1:$D$839,MATCH(H440,'Both teabags AfterDry'!$A$1:$A$839,0)),"")))</f>
        <v>1.7161999999999999</v>
      </c>
      <c r="T440" s="195">
        <f>IF(IFERROR(INDEX('Both teabags AfterDry'!$D$1:$D$839,MATCH(I440,'Both teabags AfterDry'!$A$1:$A$839,0)),"")="N.A","",(IFERROR(INDEX('Both teabags AfterDry'!$D$1:$D$839,MATCH(I440,'Both teabags AfterDry'!$A$1:$A$839,0)),"")))</f>
        <v>1.9753000000000001</v>
      </c>
      <c r="U440" s="195">
        <f t="shared" si="67"/>
        <v>1.5655999999999999</v>
      </c>
      <c r="V440" s="195">
        <f t="shared" si="67"/>
        <v>1.8247</v>
      </c>
      <c r="W440" s="195">
        <f>IFERROR(INDEX('Ashed teabags dry'!$K$2:$K$821,MATCH(H440,'Ashed teabags dry'!$A$2:$A$821,0)),"")</f>
        <v>10.842779694431051</v>
      </c>
      <c r="X440" s="195">
        <f>IFERROR(INDEX('Ashed teabags dry'!$K$2:$K$821,MATCH(I440,'Ashed teabags dry'!$A$2:$A$821,0)),"")</f>
        <v>3.7512339585388541</v>
      </c>
      <c r="Y440" s="195">
        <f t="shared" si="62"/>
        <v>1.3958454411039873</v>
      </c>
      <c r="Z440" s="195">
        <f t="shared" si="62"/>
        <v>1.7562512339585414</v>
      </c>
      <c r="AA440" s="195">
        <f t="shared" si="68"/>
        <v>0.16498080811094029</v>
      </c>
      <c r="AB440" s="195">
        <f t="shared" si="69"/>
        <v>0.10815843952166161</v>
      </c>
      <c r="AC440" s="195">
        <f t="shared" si="63"/>
        <v>0.93841825952672886</v>
      </c>
      <c r="AD440">
        <f t="shared" si="64"/>
        <v>71</v>
      </c>
      <c r="AE440" s="195">
        <f t="shared" si="70"/>
        <v>0.80406079796800434</v>
      </c>
      <c r="AF440" s="195">
        <f t="shared" si="71"/>
        <v>1.1866151958200701E-2</v>
      </c>
      <c r="AG440" s="255" t="str">
        <f>IF(ISNUMBER(SEARCH("C", 'Dry_Litterbag Placem_Collection'!AD147)),"YES","NO")</f>
        <v>NO</v>
      </c>
      <c r="AH440" s="255" t="str">
        <f>IF(ISNUMBER(SEARCH("H", 'Dry_Litterbag Placem_Collection'!AD147)),"YES","NO")</f>
        <v>NO</v>
      </c>
      <c r="AI440" s="255" t="str">
        <f>IF(ISNUMBER(SEARCH("R", 'Dry_Litterbag Placem_Collection'!AD147)),"YES","NO")</f>
        <v>NO</v>
      </c>
      <c r="AJ440" s="255" t="str">
        <f>IF(ISNUMBER(SEARCH("C", 'Dry_Litterbag Placem_Collection'!AC147)),"YES","NO")</f>
        <v>NO</v>
      </c>
      <c r="AK440" s="255" t="str">
        <f>IF(ISNUMBER(SEARCH("H", 'Dry_Litterbag Placem_Collection'!AC147)),"YES","NO")</f>
        <v>NO</v>
      </c>
      <c r="AL440" s="255" t="str">
        <f>IF(ISNUMBER(SEARCH("R", 'Dry_Litterbag Placem_Collection'!AC147)),"YES","NO")</f>
        <v>NO</v>
      </c>
      <c r="AR440" t="s">
        <v>1978</v>
      </c>
      <c r="AT440" t="s">
        <v>530</v>
      </c>
    </row>
    <row r="441" spans="2:46">
      <c r="B441" t="str">
        <f>'Final data_for_R_analysis_Dryse'!A587</f>
        <v>Dry</v>
      </c>
      <c r="C441" s="263">
        <f>'Final data_for_R_analysis_Dryse'!B587</f>
        <v>146</v>
      </c>
      <c r="D441" t="s">
        <v>3849</v>
      </c>
      <c r="E441" t="s">
        <v>25</v>
      </c>
      <c r="F441" s="386">
        <v>2</v>
      </c>
      <c r="G441" s="16">
        <f>'Dry_Litterbag Placem_Collection'!E148</f>
        <v>42939</v>
      </c>
      <c r="H441" s="92" t="str">
        <f>'Final data_for_R_analysis_Dryse'!J587</f>
        <v>G336</v>
      </c>
      <c r="I441" t="str">
        <f>'Final data_for_R_analysis_Dryse'!J807</f>
        <v>R292</v>
      </c>
      <c r="J441">
        <f>IFERROR(INDEX('Green_rooibos initial weight'!$C$5:$C$1749,MATCH(H441, 'Green_rooibos initial weight'!$A$5:$A$1749,0)),"")</f>
        <v>1.9950000000000001</v>
      </c>
      <c r="K441">
        <f>IFERROR(INDEX('Green_rooibos initial weight'!$C$5:$C$1749,MATCH(I441, 'Green_rooibos initial weight'!$A$5:$A$1749,0)),"")</f>
        <v>2.2370000000000001</v>
      </c>
      <c r="L441" s="195">
        <f t="shared" si="65"/>
        <v>1.7452000000000001</v>
      </c>
      <c r="M441" s="240">
        <f>AVERAGE(Ashed_controlls!$K$1:$K$11)</f>
        <v>5.5147656768714146</v>
      </c>
      <c r="N441" s="195">
        <f t="shared" si="60"/>
        <v>1.6489563094072401</v>
      </c>
      <c r="O441" s="195">
        <f t="shared" si="66"/>
        <v>1.9872000000000001</v>
      </c>
      <c r="P441" s="240">
        <f>AVERAGE(Ashed_controlls!$K$12:$K$14)</f>
        <v>2.2816647271287041</v>
      </c>
      <c r="Q441" s="195">
        <f t="shared" si="61"/>
        <v>1.9418587585424985</v>
      </c>
      <c r="R441" s="16">
        <f>IF('Dry_Litterbag Placem_Collection'!G148="N.A","",'Dry_Litterbag Placem_Collection'!G148)</f>
        <v>43010</v>
      </c>
      <c r="S441" s="195">
        <f>IF(IFERROR(INDEX('Both teabags AfterDry'!$D$1:$D$839,MATCH(H441,'Both teabags AfterDry'!$A$1:$A$839,0)),"")="N.A","",(IFERROR(INDEX('Both teabags AfterDry'!$D$1:$D$839,MATCH(H441,'Both teabags AfterDry'!$A$1:$A$839,0)),"")))</f>
        <v>1.6466000000000001</v>
      </c>
      <c r="T441" s="195">
        <f>IF(IFERROR(INDEX('Both teabags AfterDry'!$D$1:$D$839,MATCH(I441,'Both teabags AfterDry'!$A$1:$A$839,0)),"")="N.A","",(IFERROR(INDEX('Both teabags AfterDry'!$D$1:$D$839,MATCH(I441,'Both teabags AfterDry'!$A$1:$A$839,0)),"")))</f>
        <v>2.0505</v>
      </c>
      <c r="U441" s="195">
        <f t="shared" si="67"/>
        <v>1.496</v>
      </c>
      <c r="V441" s="195">
        <f t="shared" si="67"/>
        <v>1.8998999999999999</v>
      </c>
      <c r="W441" s="195">
        <f>IFERROR(INDEX('Ashed teabags dry'!$K$2:$K$821,MATCH(H441,'Ashed teabags dry'!$A$2:$A$821,0)),"")</f>
        <v>9.7110374230223258</v>
      </c>
      <c r="X441" s="195">
        <f>IFERROR(INDEX('Ashed teabags dry'!$K$2:$K$821,MATCH(I441,'Ashed teabags dry'!$A$2:$A$821,0)),"")</f>
        <v>2.5435704192176245</v>
      </c>
      <c r="Y441" s="195">
        <f t="shared" si="62"/>
        <v>1.350722880151586</v>
      </c>
      <c r="Z441" s="195">
        <f t="shared" si="62"/>
        <v>1.8515747056052843</v>
      </c>
      <c r="AA441" s="195">
        <f t="shared" si="68"/>
        <v>0.18086193524609628</v>
      </c>
      <c r="AB441" s="195">
        <f t="shared" si="69"/>
        <v>0.1185698197812888</v>
      </c>
      <c r="AC441" s="195">
        <f t="shared" si="63"/>
        <v>0.95350637499249491</v>
      </c>
      <c r="AD441">
        <f t="shared" si="64"/>
        <v>71</v>
      </c>
      <c r="AE441" s="195">
        <f t="shared" si="70"/>
        <v>0.78519960184549131</v>
      </c>
      <c r="AF441" s="195">
        <f t="shared" si="71"/>
        <v>7.0109600469546824E-3</v>
      </c>
      <c r="AG441" s="255" t="str">
        <f>IF(ISNUMBER(SEARCH("C", 'Dry_Litterbag Placem_Collection'!AD148)),"YES","NO")</f>
        <v>NO</v>
      </c>
      <c r="AH441" s="255" t="str">
        <f>IF(ISNUMBER(SEARCH("H", 'Dry_Litterbag Placem_Collection'!AD148)),"YES","NO")</f>
        <v>NO</v>
      </c>
      <c r="AI441" s="255" t="str">
        <f>IF(ISNUMBER(SEARCH("R", 'Dry_Litterbag Placem_Collection'!AD148)),"YES","NO")</f>
        <v>NO</v>
      </c>
      <c r="AJ441" s="255" t="str">
        <f>IF(ISNUMBER(SEARCH("C", 'Dry_Litterbag Placem_Collection'!AC148)),"YES","NO")</f>
        <v>NO</v>
      </c>
      <c r="AK441" s="255" t="str">
        <f>IF(ISNUMBER(SEARCH("H", 'Dry_Litterbag Placem_Collection'!AC148)),"YES","NO")</f>
        <v>NO</v>
      </c>
      <c r="AL441" s="255" t="str">
        <f>IF(ISNUMBER(SEARCH("R", 'Dry_Litterbag Placem_Collection'!AC148)),"YES","NO")</f>
        <v>NO</v>
      </c>
      <c r="AR441" t="s">
        <v>1714</v>
      </c>
      <c r="AT441" t="s">
        <v>849</v>
      </c>
    </row>
    <row r="442" spans="2:46">
      <c r="B442" t="str">
        <f>'Final data_for_R_analysis_Dryse'!A588</f>
        <v>Dry</v>
      </c>
      <c r="C442" s="263">
        <f>'Final data_for_R_analysis_Dryse'!B588</f>
        <v>147</v>
      </c>
      <c r="D442" t="s">
        <v>3849</v>
      </c>
      <c r="E442" t="s">
        <v>25</v>
      </c>
      <c r="F442" s="386">
        <v>3</v>
      </c>
      <c r="G442" s="16">
        <f>'Dry_Litterbag Placem_Collection'!E149</f>
        <v>42939</v>
      </c>
      <c r="H442" s="92" t="str">
        <f>'Final data_for_R_analysis_Dryse'!J588</f>
        <v>G303</v>
      </c>
      <c r="I442" t="str">
        <f>'Final data_for_R_analysis_Dryse'!J808</f>
        <v>R243</v>
      </c>
      <c r="J442">
        <f>IFERROR(INDEX('Green_rooibos initial weight'!$C$5:$C$1749,MATCH(H442, 'Green_rooibos initial weight'!$A$5:$A$1749,0)),"")</f>
        <v>1.9850000000000001</v>
      </c>
      <c r="K442">
        <f>IFERROR(INDEX('Green_rooibos initial weight'!$C$5:$C$1749,MATCH(I442, 'Green_rooibos initial weight'!$A$5:$A$1749,0)),"")</f>
        <v>2.1680000000000001</v>
      </c>
      <c r="L442" s="195">
        <f t="shared" si="65"/>
        <v>1.7352000000000001</v>
      </c>
      <c r="M442" s="240">
        <f>AVERAGE(Ashed_controlls!$K$1:$K$11)</f>
        <v>5.5147656768714146</v>
      </c>
      <c r="N442" s="195">
        <f t="shared" si="60"/>
        <v>1.6395077859749272</v>
      </c>
      <c r="O442" s="195">
        <f t="shared" si="66"/>
        <v>1.9182000000000001</v>
      </c>
      <c r="P442" s="240">
        <f>AVERAGE(Ashed_controlls!$K$12:$K$14)</f>
        <v>2.2816647271287041</v>
      </c>
      <c r="Q442" s="195">
        <f t="shared" si="61"/>
        <v>1.8744331072042173</v>
      </c>
      <c r="R442" s="16">
        <f>IF('Dry_Litterbag Placem_Collection'!G149="N.A","",'Dry_Litterbag Placem_Collection'!G149)</f>
        <v>43010</v>
      </c>
      <c r="S442" s="195">
        <f>IF(IFERROR(INDEX('Both teabags AfterDry'!$D$1:$D$839,MATCH(H442,'Both teabags AfterDry'!$A$1:$A$839,0)),"")="N.A","",(IFERROR(INDEX('Both teabags AfterDry'!$D$1:$D$839,MATCH(H442,'Both teabags AfterDry'!$A$1:$A$839,0)),"")))</f>
        <v>1.6654</v>
      </c>
      <c r="T442" s="195">
        <f>IF(IFERROR(INDEX('Both teabags AfterDry'!$D$1:$D$839,MATCH(I442,'Both teabags AfterDry'!$A$1:$A$839,0)),"")="N.A","",(IFERROR(INDEX('Both teabags AfterDry'!$D$1:$D$839,MATCH(I442,'Both teabags AfterDry'!$A$1:$A$839,0)),"")))</f>
        <v>1.9182999999999999</v>
      </c>
      <c r="U442" s="195">
        <f t="shared" si="67"/>
        <v>1.5147999999999999</v>
      </c>
      <c r="V442" s="195">
        <f t="shared" si="67"/>
        <v>1.7676999999999998</v>
      </c>
      <c r="W442" s="195">
        <f>IFERROR(INDEX('Ashed teabags dry'!$K$2:$K$821,MATCH(H442,'Ashed teabags dry'!$A$2:$A$821,0)),"")</f>
        <v>8.1562036579344408</v>
      </c>
      <c r="X442" s="195">
        <f>IFERROR(INDEX('Ashed teabags dry'!$K$2:$K$821,MATCH(I442,'Ashed teabags dry'!$A$2:$A$821,0)),"")</f>
        <v>3.2670454545454892</v>
      </c>
      <c r="Y442" s="195">
        <f t="shared" si="62"/>
        <v>1.391249826989609</v>
      </c>
      <c r="Z442" s="195">
        <f t="shared" si="62"/>
        <v>1.7099484374999991</v>
      </c>
      <c r="AA442" s="195">
        <f t="shared" si="68"/>
        <v>0.15142225069562121</v>
      </c>
      <c r="AB442" s="195">
        <f t="shared" si="69"/>
        <v>9.9269694042735043E-2</v>
      </c>
      <c r="AC442" s="195">
        <f t="shared" si="63"/>
        <v>0.91224831173113841</v>
      </c>
      <c r="AD442">
        <f t="shared" si="64"/>
        <v>71</v>
      </c>
      <c r="AE442" s="195">
        <f t="shared" si="70"/>
        <v>0.82016359774866843</v>
      </c>
      <c r="AF442" s="195">
        <f t="shared" si="71"/>
        <v>3.0337025326048362E-2</v>
      </c>
      <c r="AG442" s="255" t="str">
        <f>IF(ISNUMBER(SEARCH("C", 'Dry_Litterbag Placem_Collection'!AD149)),"YES","NO")</f>
        <v>NO</v>
      </c>
      <c r="AH442" s="255" t="str">
        <f>IF(ISNUMBER(SEARCH("H", 'Dry_Litterbag Placem_Collection'!AD149)),"YES","NO")</f>
        <v>NO</v>
      </c>
      <c r="AI442" s="255" t="str">
        <f>IF(ISNUMBER(SEARCH("R", 'Dry_Litterbag Placem_Collection'!AD149)),"YES","NO")</f>
        <v>NO</v>
      </c>
      <c r="AJ442" s="255" t="str">
        <f>IF(ISNUMBER(SEARCH("C", 'Dry_Litterbag Placem_Collection'!AC149)),"YES","NO")</f>
        <v>NO</v>
      </c>
      <c r="AK442" s="255" t="str">
        <f>IF(ISNUMBER(SEARCH("H", 'Dry_Litterbag Placem_Collection'!AC149)),"YES","NO")</f>
        <v>NO</v>
      </c>
      <c r="AL442" s="255" t="str">
        <f>IF(ISNUMBER(SEARCH("R", 'Dry_Litterbag Placem_Collection'!AC149)),"YES","NO")</f>
        <v>NO</v>
      </c>
      <c r="AR442" t="s">
        <v>1747</v>
      </c>
      <c r="AT442" t="s">
        <v>898</v>
      </c>
    </row>
    <row r="443" spans="2:46">
      <c r="B443" t="str">
        <f>'Final data_for_R_analysis_Dryse'!A589</f>
        <v>Dry</v>
      </c>
      <c r="C443" s="263">
        <f>'Final data_for_R_analysis_Dryse'!B589</f>
        <v>148</v>
      </c>
      <c r="D443" t="s">
        <v>3849</v>
      </c>
      <c r="E443" t="s">
        <v>25</v>
      </c>
      <c r="F443" s="387">
        <v>4</v>
      </c>
      <c r="G443" s="16">
        <f>'Dry_Litterbag Placem_Collection'!E150</f>
        <v>42939</v>
      </c>
      <c r="H443" s="92" t="str">
        <f>'Final data_for_R_analysis_Dryse'!J589</f>
        <v>G161</v>
      </c>
      <c r="I443" t="str">
        <f>'Final data_for_R_analysis_Dryse'!J809</f>
        <v>R422</v>
      </c>
      <c r="J443">
        <f>IFERROR(INDEX('Green_rooibos initial weight'!$C$5:$C$1749,MATCH(H443, 'Green_rooibos initial weight'!$A$5:$A$1749,0)),"")</f>
        <v>2.0979999999999999</v>
      </c>
      <c r="K443">
        <f>IFERROR(INDEX('Green_rooibos initial weight'!$C$5:$C$1749,MATCH(I443, 'Green_rooibos initial weight'!$A$5:$A$1749,0)),"")</f>
        <v>2.1760000000000002</v>
      </c>
      <c r="L443" s="195">
        <f t="shared" si="65"/>
        <v>1.8481999999999998</v>
      </c>
      <c r="M443" s="240">
        <f>AVERAGE(Ashed_controlls!$K$1:$K$11)</f>
        <v>5.5147656768714146</v>
      </c>
      <c r="N443" s="195">
        <f t="shared" si="60"/>
        <v>1.7462761007600625</v>
      </c>
      <c r="O443" s="195">
        <f t="shared" si="66"/>
        <v>1.9262000000000001</v>
      </c>
      <c r="P443" s="240">
        <f>AVERAGE(Ashed_controlls!$K$12:$K$14)</f>
        <v>2.2816647271287041</v>
      </c>
      <c r="Q443" s="195">
        <f t="shared" si="61"/>
        <v>1.8822505740260471</v>
      </c>
      <c r="R443" s="16">
        <f>IF('Dry_Litterbag Placem_Collection'!G150="N.A","",'Dry_Litterbag Placem_Collection'!G150)</f>
        <v>43010</v>
      </c>
      <c r="S443" s="195">
        <f>IF(IFERROR(INDEX('Both teabags AfterDry'!$D$1:$D$839,MATCH(H443,'Both teabags AfterDry'!$A$1:$A$839,0)),"")="N.A","",(IFERROR(INDEX('Both teabags AfterDry'!$D$1:$D$839,MATCH(H443,'Both teabags AfterDry'!$A$1:$A$839,0)),"")))</f>
        <v>1.7174</v>
      </c>
      <c r="T443" s="195">
        <f>IF(IFERROR(INDEX('Both teabags AfterDry'!$D$1:$D$839,MATCH(I443,'Both teabags AfterDry'!$A$1:$A$839,0)),"")="N.A","",(IFERROR(INDEX('Both teabags AfterDry'!$D$1:$D$839,MATCH(I443,'Both teabags AfterDry'!$A$1:$A$839,0)),"")))</f>
        <v>1.9601999999999999</v>
      </c>
      <c r="U443" s="195">
        <f t="shared" si="67"/>
        <v>1.5668</v>
      </c>
      <c r="V443" s="195">
        <f t="shared" si="67"/>
        <v>1.8095999999999999</v>
      </c>
      <c r="W443" s="195">
        <f>IFERROR(INDEX('Ashed teabags dry'!$K$2:$K$821,MATCH(H443,'Ashed teabags dry'!$A$2:$A$821,0)),"")</f>
        <v>9.0731707317073607</v>
      </c>
      <c r="X443" s="195">
        <f>IFERROR(INDEX('Ashed teabags dry'!$K$2:$K$821,MATCH(I443,'Ashed teabags dry'!$A$2:$A$821,0)),"")</f>
        <v>4.0076335877862421</v>
      </c>
      <c r="Y443" s="195">
        <f t="shared" si="62"/>
        <v>1.4246415609756091</v>
      </c>
      <c r="Z443" s="195">
        <f t="shared" si="62"/>
        <v>1.73707786259542</v>
      </c>
      <c r="AA443" s="195">
        <f t="shared" si="68"/>
        <v>0.18418309661597199</v>
      </c>
      <c r="AB443" s="195">
        <f t="shared" si="69"/>
        <v>0.12074711322092228</v>
      </c>
      <c r="AC443" s="195">
        <f t="shared" si="63"/>
        <v>0.9228728026789178</v>
      </c>
      <c r="AD443">
        <f t="shared" si="64"/>
        <v>71</v>
      </c>
      <c r="AE443" s="195">
        <f t="shared" si="70"/>
        <v>0.78125522967224226</v>
      </c>
      <c r="AF443" s="195">
        <f t="shared" si="71"/>
        <v>1.4340627498880435E-2</v>
      </c>
      <c r="AG443" s="255" t="str">
        <f>IF(ISNUMBER(SEARCH("C", 'Dry_Litterbag Placem_Collection'!AD150)),"YES","NO")</f>
        <v>NO</v>
      </c>
      <c r="AH443" s="255" t="str">
        <f>IF(ISNUMBER(SEARCH("H", 'Dry_Litterbag Placem_Collection'!AD150)),"YES","NO")</f>
        <v>NO</v>
      </c>
      <c r="AI443" s="255" t="str">
        <f>IF(ISNUMBER(SEARCH("R", 'Dry_Litterbag Placem_Collection'!AD150)),"YES","NO")</f>
        <v>NO</v>
      </c>
      <c r="AJ443" s="255" t="str">
        <f>IF(ISNUMBER(SEARCH("C", 'Dry_Litterbag Placem_Collection'!AC150)),"YES","NO")</f>
        <v>NO</v>
      </c>
      <c r="AK443" s="255" t="str">
        <f>IF(ISNUMBER(SEARCH("H", 'Dry_Litterbag Placem_Collection'!AC150)),"YES","NO")</f>
        <v>NO</v>
      </c>
      <c r="AL443" s="255" t="str">
        <f>IF(ISNUMBER(SEARCH("R", 'Dry_Litterbag Placem_Collection'!AC150)),"YES","NO")</f>
        <v>NO</v>
      </c>
      <c r="AR443" t="s">
        <v>1889</v>
      </c>
      <c r="AT443" t="s">
        <v>719</v>
      </c>
    </row>
    <row r="444" spans="2:46">
      <c r="B444" t="str">
        <f>'Final data_for_R_analysis_Dryse'!A590</f>
        <v>Dry</v>
      </c>
      <c r="C444" s="263">
        <f>'Final data_for_R_analysis_Dryse'!B590</f>
        <v>149</v>
      </c>
      <c r="D444" t="s">
        <v>3849</v>
      </c>
      <c r="E444" t="s">
        <v>25</v>
      </c>
      <c r="F444" s="387">
        <v>5</v>
      </c>
      <c r="G444" s="16">
        <f>'Dry_Litterbag Placem_Collection'!E151</f>
        <v>42939</v>
      </c>
      <c r="H444" s="92" t="str">
        <f>'Final data_for_R_analysis_Dryse'!J590</f>
        <v>G464</v>
      </c>
      <c r="I444" t="str">
        <f>'Final data_for_R_analysis_Dryse'!J810</f>
        <v>R664</v>
      </c>
      <c r="J444">
        <f>IFERROR(INDEX('Green_rooibos initial weight'!$C$5:$C$1749,MATCH(H444, 'Green_rooibos initial weight'!$A$5:$A$1749,0)),"")</f>
        <v>1.964</v>
      </c>
      <c r="K444">
        <f>IFERROR(INDEX('Green_rooibos initial weight'!$C$5:$C$1749,MATCH(I444, 'Green_rooibos initial weight'!$A$5:$A$1749,0)),"")</f>
        <v>2.09</v>
      </c>
      <c r="L444" s="195">
        <f t="shared" si="65"/>
        <v>1.7141999999999999</v>
      </c>
      <c r="M444" s="240">
        <f>AVERAGE(Ashed_controlls!$K$1:$K$11)</f>
        <v>5.5147656768714146</v>
      </c>
      <c r="N444" s="195">
        <f t="shared" si="60"/>
        <v>1.6196658867670701</v>
      </c>
      <c r="O444" s="195">
        <f t="shared" si="66"/>
        <v>1.8401999999999998</v>
      </c>
      <c r="P444" s="240">
        <f>AVERAGE(Ashed_controlls!$K$12:$K$14)</f>
        <v>2.2816647271287041</v>
      </c>
      <c r="Q444" s="195">
        <f t="shared" si="61"/>
        <v>1.7982128056913775</v>
      </c>
      <c r="R444" s="16">
        <f>IF('Dry_Litterbag Placem_Collection'!G151="N.A","",'Dry_Litterbag Placem_Collection'!G151)</f>
        <v>43010</v>
      </c>
      <c r="S444" s="195">
        <f>IF(IFERROR(INDEX('Both teabags AfterDry'!$D$1:$D$839,MATCH(H444,'Both teabags AfterDry'!$A$1:$A$839,0)),"")="N.A","",(IFERROR(INDEX('Both teabags AfterDry'!$D$1:$D$839,MATCH(H444,'Both teabags AfterDry'!$A$1:$A$839,0)),"")))</f>
        <v>1.571</v>
      </c>
      <c r="T444" s="195">
        <f>IF(IFERROR(INDEX('Both teabags AfterDry'!$D$1:$D$839,MATCH(I444,'Both teabags AfterDry'!$A$1:$A$839,0)),"")="N.A","",(IFERROR(INDEX('Both teabags AfterDry'!$D$1:$D$839,MATCH(I444,'Both teabags AfterDry'!$A$1:$A$839,0)),"")))</f>
        <v>1.8895999999999999</v>
      </c>
      <c r="U444" s="195">
        <f t="shared" si="67"/>
        <v>1.4203999999999999</v>
      </c>
      <c r="V444" s="195">
        <f t="shared" si="67"/>
        <v>1.7389999999999999</v>
      </c>
      <c r="W444" s="195">
        <f>IFERROR(INDEX('Ashed teabags dry'!$K$2:$K$821,MATCH(H444,'Ashed teabags dry'!$A$2:$A$821,0)),"")</f>
        <v>7.6546506453042547</v>
      </c>
      <c r="X444" s="195">
        <f>IFERROR(INDEX('Ashed teabags dry'!$K$2:$K$821,MATCH(I444,'Ashed teabags dry'!$A$2:$A$821,0)),"")</f>
        <v>3.7617554858933753</v>
      </c>
      <c r="Y444" s="195">
        <f t="shared" si="62"/>
        <v>1.3116733422340983</v>
      </c>
      <c r="Z444" s="195">
        <f t="shared" si="62"/>
        <v>1.673583072100314</v>
      </c>
      <c r="AA444" s="195">
        <f t="shared" si="68"/>
        <v>0.1901580733713788</v>
      </c>
      <c r="AB444" s="195">
        <f t="shared" si="69"/>
        <v>0.12466420011995383</v>
      </c>
      <c r="AC444" s="195">
        <f t="shared" si="63"/>
        <v>0.93069244463357836</v>
      </c>
      <c r="AD444">
        <f t="shared" si="64"/>
        <v>71</v>
      </c>
      <c r="AE444" s="195">
        <f t="shared" si="70"/>
        <v>0.77415905775370686</v>
      </c>
      <c r="AF444" s="195">
        <f t="shared" si="71"/>
        <v>1.1434183404503329E-2</v>
      </c>
      <c r="AG444" s="255" t="str">
        <f>IF(ISNUMBER(SEARCH("C", 'Dry_Litterbag Placem_Collection'!AD151)),"YES","NO")</f>
        <v>NO</v>
      </c>
      <c r="AH444" s="255" t="str">
        <f>IF(ISNUMBER(SEARCH("H", 'Dry_Litterbag Placem_Collection'!AD151)),"YES","NO")</f>
        <v>NO</v>
      </c>
      <c r="AI444" s="255" t="str">
        <f>IF(ISNUMBER(SEARCH("R", 'Dry_Litterbag Placem_Collection'!AD151)),"YES","NO")</f>
        <v>NO</v>
      </c>
      <c r="AJ444" s="255" t="str">
        <f>IF(ISNUMBER(SEARCH("C", 'Dry_Litterbag Placem_Collection'!AC151)),"YES","NO")</f>
        <v>NO</v>
      </c>
      <c r="AK444" s="255" t="str">
        <f>IF(ISNUMBER(SEARCH("H", 'Dry_Litterbag Placem_Collection'!AC151)),"YES","NO")</f>
        <v>NO</v>
      </c>
      <c r="AL444" s="255" t="str">
        <f>IF(ISNUMBER(SEARCH("R", 'Dry_Litterbag Placem_Collection'!AC151)),"YES","NO")</f>
        <v>NO</v>
      </c>
      <c r="AR444" t="s">
        <v>1586</v>
      </c>
      <c r="AT444" t="s">
        <v>475</v>
      </c>
    </row>
    <row r="445" spans="2:46">
      <c r="B445" t="str">
        <f>'Final data_for_R_analysis_Dryse'!A591</f>
        <v>Dry</v>
      </c>
      <c r="C445" s="263">
        <f>'Final data_for_R_analysis_Dryse'!B591</f>
        <v>150</v>
      </c>
      <c r="D445" t="s">
        <v>3849</v>
      </c>
      <c r="E445" t="s">
        <v>25</v>
      </c>
      <c r="F445" s="387">
        <v>6</v>
      </c>
      <c r="G445" s="16">
        <f>'Dry_Litterbag Placem_Collection'!E152</f>
        <v>42939</v>
      </c>
      <c r="H445" s="92" t="str">
        <f>'Final data_for_R_analysis_Dryse'!J591</f>
        <v>G843</v>
      </c>
      <c r="I445" t="str">
        <f>'Final data_for_R_analysis_Dryse'!J811</f>
        <v>R316</v>
      </c>
      <c r="J445">
        <f>IFERROR(INDEX('Green_rooibos initial weight'!$C$5:$C$1749,MATCH(H445, 'Green_rooibos initial weight'!$A$5:$A$1749,0)),"")</f>
        <v>1.964</v>
      </c>
      <c r="K445">
        <f>IFERROR(INDEX('Green_rooibos initial weight'!$C$5:$C$1749,MATCH(I445, 'Green_rooibos initial weight'!$A$5:$A$1749,0)),"")</f>
        <v>2.1779999999999999</v>
      </c>
      <c r="L445" s="195">
        <f t="shared" si="65"/>
        <v>1.7141999999999999</v>
      </c>
      <c r="M445" s="240">
        <f>AVERAGE(Ashed_controlls!$K$1:$K$11)</f>
        <v>5.5147656768714146</v>
      </c>
      <c r="N445" s="195">
        <f t="shared" si="60"/>
        <v>1.6196658867670701</v>
      </c>
      <c r="O445" s="195">
        <f t="shared" si="66"/>
        <v>1.9281999999999999</v>
      </c>
      <c r="P445" s="240">
        <f>AVERAGE(Ashed_controlls!$K$12:$K$14)</f>
        <v>2.2816647271287041</v>
      </c>
      <c r="Q445" s="195">
        <f t="shared" si="61"/>
        <v>1.8842049407315042</v>
      </c>
      <c r="R445" s="16">
        <f>IF('Dry_Litterbag Placem_Collection'!G152="N.A","",'Dry_Litterbag Placem_Collection'!G152)</f>
        <v>43010</v>
      </c>
      <c r="S445" s="195" t="str">
        <f>IF(IFERROR(INDEX('Both teabags AfterDry'!$D$1:$D$839,MATCH(H445,'Both teabags AfterDry'!$A$1:$A$839,0)),"")="N.A","",(IFERROR(INDEX('Both teabags AfterDry'!$D$1:$D$839,MATCH(H445,'Both teabags AfterDry'!$A$1:$A$839,0)),"")))</f>
        <v/>
      </c>
      <c r="T445" s="195" t="str">
        <f>IF(IFERROR(INDEX('Both teabags AfterDry'!$D$1:$D$839,MATCH(I445,'Both teabags AfterDry'!$A$1:$A$839,0)),"")="N.A","",(IFERROR(INDEX('Both teabags AfterDry'!$D$1:$D$839,MATCH(I445,'Both teabags AfterDry'!$A$1:$A$839,0)),"")))</f>
        <v/>
      </c>
      <c r="U445" s="195" t="str">
        <f t="shared" si="67"/>
        <v/>
      </c>
      <c r="V445" s="195" t="str">
        <f t="shared" si="67"/>
        <v/>
      </c>
      <c r="W445" s="195" t="str">
        <f>IFERROR(INDEX('Ashed teabags dry'!$K$2:$K$821,MATCH(H445,'Ashed teabags dry'!$A$2:$A$821,0)),"")</f>
        <v/>
      </c>
      <c r="X445" s="195" t="str">
        <f>IFERROR(INDEX('Ashed teabags dry'!$K$2:$K$821,MATCH(I445,'Ashed teabags dry'!$A$2:$A$821,0)),"")</f>
        <v/>
      </c>
      <c r="Y445" s="195" t="str">
        <f t="shared" si="62"/>
        <v/>
      </c>
      <c r="Z445" s="195" t="str">
        <f t="shared" si="62"/>
        <v/>
      </c>
      <c r="AA445" s="195" t="str">
        <f t="shared" si="68"/>
        <v/>
      </c>
      <c r="AB445" s="195" t="str">
        <f t="shared" si="69"/>
        <v/>
      </c>
      <c r="AC445" s="195" t="str">
        <f t="shared" si="63"/>
        <v/>
      </c>
      <c r="AD445">
        <f t="shared" si="64"/>
        <v>71</v>
      </c>
      <c r="AE445" s="195" t="str">
        <f t="shared" si="70"/>
        <v/>
      </c>
      <c r="AF445" s="195" t="str">
        <f t="shared" si="71"/>
        <v/>
      </c>
      <c r="AG445" s="255" t="str">
        <f>IF(ISNUMBER(SEARCH("C", 'Dry_Litterbag Placem_Collection'!AD152)),"YES","NO")</f>
        <v>NO</v>
      </c>
      <c r="AH445" s="255" t="str">
        <f>IF(ISNUMBER(SEARCH("H", 'Dry_Litterbag Placem_Collection'!AD152)),"YES","NO")</f>
        <v>NO</v>
      </c>
      <c r="AI445" s="255" t="str">
        <f>IF(ISNUMBER(SEARCH("R", 'Dry_Litterbag Placem_Collection'!AD152)),"YES","NO")</f>
        <v>NO</v>
      </c>
      <c r="AJ445" s="255" t="str">
        <f>IF(ISNUMBER(SEARCH("C", 'Dry_Litterbag Placem_Collection'!AC152)),"YES","NO")</f>
        <v>NO</v>
      </c>
      <c r="AK445" s="255" t="str">
        <f>IF(ISNUMBER(SEARCH("H", 'Dry_Litterbag Placem_Collection'!AC152)),"YES","NO")</f>
        <v>NO</v>
      </c>
      <c r="AL445" s="255" t="str">
        <f>IF(ISNUMBER(SEARCH("R", 'Dry_Litterbag Placem_Collection'!AC152)),"YES","NO")</f>
        <v>NO</v>
      </c>
      <c r="AR445" t="s">
        <v>1207</v>
      </c>
      <c r="AT445" t="s">
        <v>825</v>
      </c>
    </row>
    <row r="446" spans="2:46">
      <c r="B446" t="str">
        <f>'Final data_for_R_analysis_Dryse'!A592</f>
        <v>Dry</v>
      </c>
      <c r="C446" s="263">
        <f>'Final data_for_R_analysis_Dryse'!B592</f>
        <v>151</v>
      </c>
      <c r="D446" t="s">
        <v>3849</v>
      </c>
      <c r="E446" t="s">
        <v>25</v>
      </c>
      <c r="F446" s="387">
        <v>7</v>
      </c>
      <c r="G446" s="16">
        <f>'Dry_Litterbag Placem_Collection'!E153</f>
        <v>0</v>
      </c>
      <c r="H446" s="92" t="str">
        <f>'Final data_for_R_analysis_Dryse'!J592</f>
        <v/>
      </c>
      <c r="I446" t="str">
        <f>'Final data_for_R_analysis_Dryse'!J812</f>
        <v/>
      </c>
      <c r="J446" t="str">
        <f>IFERROR(INDEX('Green_rooibos initial weight'!$C$5:$C$1749,MATCH(H446, 'Green_rooibos initial weight'!$A$5:$A$1749,0)),"")</f>
        <v/>
      </c>
      <c r="K446" t="str">
        <f>IFERROR(INDEX('Green_rooibos initial weight'!$C$5:$C$1749,MATCH(I446, 'Green_rooibos initial weight'!$A$5:$A$1749,0)),"")</f>
        <v/>
      </c>
      <c r="L446" s="195" t="str">
        <f t="shared" si="65"/>
        <v/>
      </c>
      <c r="M446" s="240">
        <f>AVERAGE(Ashed_controlls!$K$1:$K$11)</f>
        <v>5.5147656768714146</v>
      </c>
      <c r="N446" s="195" t="str">
        <f t="shared" si="60"/>
        <v/>
      </c>
      <c r="O446" s="195" t="str">
        <f t="shared" si="66"/>
        <v/>
      </c>
      <c r="P446" s="240">
        <f>AVERAGE(Ashed_controlls!$K$12:$K$14)</f>
        <v>2.2816647271287041</v>
      </c>
      <c r="Q446" s="195" t="str">
        <f t="shared" si="61"/>
        <v/>
      </c>
      <c r="R446" s="16">
        <f>IF('Dry_Litterbag Placem_Collection'!G153="N.A","",'Dry_Litterbag Placem_Collection'!G153)</f>
        <v>0</v>
      </c>
      <c r="S446" s="195" t="str">
        <f>IF(IFERROR(INDEX('Both teabags AfterDry'!$D$1:$D$839,MATCH(H446,'Both teabags AfterDry'!$A$1:$A$839,0)),"")="N.A","",(IFERROR(INDEX('Both teabags AfterDry'!$D$1:$D$839,MATCH(H446,'Both teabags AfterDry'!$A$1:$A$839,0)),"")))</f>
        <v/>
      </c>
      <c r="T446" s="195" t="str">
        <f>IF(IFERROR(INDEX('Both teabags AfterDry'!$D$1:$D$839,MATCH(I446,'Both teabags AfterDry'!$A$1:$A$839,0)),"")="N.A","",(IFERROR(INDEX('Both teabags AfterDry'!$D$1:$D$839,MATCH(I446,'Both teabags AfterDry'!$A$1:$A$839,0)),"")))</f>
        <v/>
      </c>
      <c r="U446" s="195" t="str">
        <f t="shared" si="67"/>
        <v/>
      </c>
      <c r="V446" s="195" t="str">
        <f t="shared" si="67"/>
        <v/>
      </c>
      <c r="W446" s="195" t="str">
        <f>IFERROR(INDEX('Ashed teabags dry'!$K$2:$K$821,MATCH(H446,'Ashed teabags dry'!$A$2:$A$821,0)),"")</f>
        <v/>
      </c>
      <c r="X446" s="195" t="str">
        <f>IFERROR(INDEX('Ashed teabags dry'!$K$2:$K$821,MATCH(I446,'Ashed teabags dry'!$A$2:$A$821,0)),"")</f>
        <v/>
      </c>
      <c r="Y446" s="195" t="str">
        <f t="shared" si="62"/>
        <v/>
      </c>
      <c r="Z446" s="195" t="str">
        <f t="shared" si="62"/>
        <v/>
      </c>
      <c r="AA446" s="195" t="str">
        <f t="shared" si="68"/>
        <v/>
      </c>
      <c r="AB446" s="195" t="str">
        <f t="shared" si="69"/>
        <v/>
      </c>
      <c r="AC446" s="195" t="str">
        <f t="shared" si="63"/>
        <v/>
      </c>
      <c r="AD446" t="str">
        <f t="shared" si="64"/>
        <v/>
      </c>
      <c r="AE446" s="195" t="str">
        <f t="shared" si="70"/>
        <v/>
      </c>
      <c r="AF446" s="195" t="str">
        <f t="shared" si="71"/>
        <v/>
      </c>
      <c r="AG446" s="255" t="str">
        <f>IF(ISNUMBER(SEARCH("C", 'Dry_Litterbag Placem_Collection'!AD153)),"YES","NO")</f>
        <v>NO</v>
      </c>
      <c r="AH446" s="255" t="str">
        <f>IF(ISNUMBER(SEARCH("H", 'Dry_Litterbag Placem_Collection'!AD153)),"YES","NO")</f>
        <v>NO</v>
      </c>
      <c r="AI446" s="255" t="str">
        <f>IF(ISNUMBER(SEARCH("R", 'Dry_Litterbag Placem_Collection'!AD153)),"YES","NO")</f>
        <v>NO</v>
      </c>
      <c r="AJ446" s="255" t="str">
        <f>IF(ISNUMBER(SEARCH("C", 'Dry_Litterbag Placem_Collection'!AC153)),"YES","NO")</f>
        <v>NO</v>
      </c>
      <c r="AK446" s="255" t="str">
        <f>IF(ISNUMBER(SEARCH("H", 'Dry_Litterbag Placem_Collection'!AC153)),"YES","NO")</f>
        <v>NO</v>
      </c>
      <c r="AL446" s="255" t="str">
        <f>IF(ISNUMBER(SEARCH("R", 'Dry_Litterbag Placem_Collection'!AC153)),"YES","NO")</f>
        <v>NO</v>
      </c>
      <c r="AR446" t="s">
        <v>3654</v>
      </c>
      <c r="AT446" t="s">
        <v>3654</v>
      </c>
    </row>
    <row r="447" spans="2:46">
      <c r="B447" t="str">
        <f>'Final data_for_R_analysis_Dryse'!A593</f>
        <v>Dry</v>
      </c>
      <c r="C447" s="263">
        <f>'Final data_for_R_analysis_Dryse'!B593</f>
        <v>152</v>
      </c>
      <c r="D447" t="s">
        <v>3849</v>
      </c>
      <c r="E447" t="s">
        <v>25</v>
      </c>
      <c r="F447" s="387">
        <v>8</v>
      </c>
      <c r="G447" s="16">
        <f>'Dry_Litterbag Placem_Collection'!E154</f>
        <v>42939</v>
      </c>
      <c r="H447" s="92" t="str">
        <f>'Final data_for_R_analysis_Dryse'!J593</f>
        <v>G617</v>
      </c>
      <c r="I447" t="str">
        <f>'Final data_for_R_analysis_Dryse'!J813</f>
        <v>R635</v>
      </c>
      <c r="J447">
        <f>IFERROR(INDEX('Green_rooibos initial weight'!$C$5:$C$1749,MATCH(H447, 'Green_rooibos initial weight'!$A$5:$A$1749,0)),"")</f>
        <v>2.0880000000000001</v>
      </c>
      <c r="K447">
        <f>IFERROR(INDEX('Green_rooibos initial weight'!$C$5:$C$1749,MATCH(I447, 'Green_rooibos initial weight'!$A$5:$A$1749,0)),"")</f>
        <v>2.1320000000000001</v>
      </c>
      <c r="L447" s="195">
        <f t="shared" si="65"/>
        <v>1.8382000000000001</v>
      </c>
      <c r="M447" s="240">
        <f>AVERAGE(Ashed_controlls!$K$1:$K$11)</f>
        <v>5.5147656768714146</v>
      </c>
      <c r="N447" s="195">
        <f t="shared" si="60"/>
        <v>1.7368275773277497</v>
      </c>
      <c r="O447" s="195">
        <f t="shared" si="66"/>
        <v>1.8822000000000001</v>
      </c>
      <c r="P447" s="240">
        <f>AVERAGE(Ashed_controlls!$K$12:$K$14)</f>
        <v>2.2816647271287041</v>
      </c>
      <c r="Q447" s="195">
        <f t="shared" si="61"/>
        <v>1.8392545065059835</v>
      </c>
      <c r="R447" s="16">
        <f>IF('Dry_Litterbag Placem_Collection'!G154="N.A","",'Dry_Litterbag Placem_Collection'!G154)</f>
        <v>43010</v>
      </c>
      <c r="S447" s="195">
        <f>IF(IFERROR(INDEX('Both teabags AfterDry'!$D$1:$D$839,MATCH(H447,'Both teabags AfterDry'!$A$1:$A$839,0)),"")="N.A","",(IFERROR(INDEX('Both teabags AfterDry'!$D$1:$D$839,MATCH(H447,'Both teabags AfterDry'!$A$1:$A$839,0)),"")))</f>
        <v>1.3632</v>
      </c>
      <c r="T447" s="195">
        <f>IF(IFERROR(INDEX('Both teabags AfterDry'!$D$1:$D$839,MATCH(I447,'Both teabags AfterDry'!$A$1:$A$839,0)),"")="N.A","",(IFERROR(INDEX('Both teabags AfterDry'!$D$1:$D$839,MATCH(I447,'Both teabags AfterDry'!$A$1:$A$839,0)),"")))</f>
        <v>1.9524999999999999</v>
      </c>
      <c r="U447" s="195">
        <f t="shared" si="67"/>
        <v>1.2125999999999999</v>
      </c>
      <c r="V447" s="195">
        <f t="shared" si="67"/>
        <v>1.8018999999999998</v>
      </c>
      <c r="W447" s="195" t="str">
        <f>IFERROR(INDEX('Ashed teabags dry'!$K$2:$K$821,MATCH(H447,'Ashed teabags dry'!$A$2:$A$821,0)),"")</f>
        <v/>
      </c>
      <c r="X447" s="195">
        <f>IFERROR(INDEX('Ashed teabags dry'!$K$2:$K$821,MATCH(I447,'Ashed teabags dry'!$A$2:$A$821,0)),"")</f>
        <v>3.6981509245371296</v>
      </c>
      <c r="Y447" s="195" t="str">
        <f t="shared" si="62"/>
        <v/>
      </c>
      <c r="Z447" s="195">
        <f t="shared" si="62"/>
        <v>1.7352630184907654</v>
      </c>
      <c r="AA447" s="195" t="str">
        <f t="shared" si="68"/>
        <v/>
      </c>
      <c r="AB447" s="195" t="str">
        <f t="shared" si="69"/>
        <v/>
      </c>
      <c r="AC447" s="195">
        <f t="shared" si="63"/>
        <v>0.94345997922127156</v>
      </c>
      <c r="AD447">
        <f t="shared" si="64"/>
        <v>71</v>
      </c>
      <c r="AE447" s="195" t="str">
        <f t="shared" si="70"/>
        <v/>
      </c>
      <c r="AF447" s="195" t="str">
        <f t="shared" si="71"/>
        <v/>
      </c>
      <c r="AG447" s="255" t="str">
        <f>IF(ISNUMBER(SEARCH("C", 'Dry_Litterbag Placem_Collection'!AD154)),"YES","NO")</f>
        <v>NO</v>
      </c>
      <c r="AH447" s="255" t="str">
        <f>IF(ISNUMBER(SEARCH("H", 'Dry_Litterbag Placem_Collection'!AD154)),"YES","NO")</f>
        <v>NO</v>
      </c>
      <c r="AI447" s="255" t="str">
        <f>IF(ISNUMBER(SEARCH("R", 'Dry_Litterbag Placem_Collection'!AD154)),"YES","NO")</f>
        <v>NO</v>
      </c>
      <c r="AJ447" s="255" t="str">
        <f>IF(ISNUMBER(SEARCH("C", 'Dry_Litterbag Placem_Collection'!AC154)),"YES","NO")</f>
        <v>NO</v>
      </c>
      <c r="AK447" s="255" t="str">
        <f>IF(ISNUMBER(SEARCH("H", 'Dry_Litterbag Placem_Collection'!AC154)),"YES","NO")</f>
        <v>NO</v>
      </c>
      <c r="AL447" s="255" t="str">
        <f>IF(ISNUMBER(SEARCH("R", 'Dry_Litterbag Placem_Collection'!AC154)),"YES","NO")</f>
        <v>NO</v>
      </c>
      <c r="AR447" t="s">
        <v>1433</v>
      </c>
      <c r="AT447" t="s">
        <v>504</v>
      </c>
    </row>
    <row r="448" spans="2:46">
      <c r="B448" t="str">
        <f>'Final data_for_R_analysis_Dryse'!A594</f>
        <v>Dry</v>
      </c>
      <c r="C448" s="263">
        <f>'Final data_for_R_analysis_Dryse'!B594</f>
        <v>153</v>
      </c>
      <c r="D448" t="s">
        <v>3850</v>
      </c>
      <c r="E448" t="s">
        <v>25</v>
      </c>
      <c r="F448" s="386">
        <v>1</v>
      </c>
      <c r="G448" s="16">
        <f>'Dry_Litterbag Placem_Collection'!E155</f>
        <v>42939</v>
      </c>
      <c r="H448" s="92" t="str">
        <f>'Final data_for_R_analysis_Dryse'!J594</f>
        <v>G19</v>
      </c>
      <c r="I448" t="str">
        <f>'Final data_for_R_analysis_Dryse'!J814</f>
        <v>R651</v>
      </c>
      <c r="J448">
        <f>IFERROR(INDEX('Green_rooibos initial weight'!$C$5:$C$1749,MATCH(H448, 'Green_rooibos initial weight'!$A$5:$A$1749,0)),"")</f>
        <v>2.0659999999999998</v>
      </c>
      <c r="K448">
        <f>IFERROR(INDEX('Green_rooibos initial weight'!$C$5:$C$1749,MATCH(I448, 'Green_rooibos initial weight'!$A$5:$A$1749,0)),"")</f>
        <v>2.2349999999999999</v>
      </c>
      <c r="L448" s="195">
        <f t="shared" si="65"/>
        <v>1.8161999999999998</v>
      </c>
      <c r="M448" s="240">
        <f>AVERAGE(Ashed_controlls!$K$1:$K$11)</f>
        <v>5.5147656768714146</v>
      </c>
      <c r="N448" s="195">
        <f t="shared" si="60"/>
        <v>1.7160408257766613</v>
      </c>
      <c r="O448" s="195">
        <f t="shared" si="66"/>
        <v>1.9851999999999999</v>
      </c>
      <c r="P448" s="240">
        <f>AVERAGE(Ashed_controlls!$K$12:$K$14)</f>
        <v>2.2816647271287041</v>
      </c>
      <c r="Q448" s="195">
        <f t="shared" si="61"/>
        <v>1.9399043918370409</v>
      </c>
      <c r="R448" s="16">
        <f>IF('Dry_Litterbag Placem_Collection'!G155="N.A","",'Dry_Litterbag Placem_Collection'!G155)</f>
        <v>43010</v>
      </c>
      <c r="S448" s="195">
        <f>IF(IFERROR(INDEX('Both teabags AfterDry'!$D$1:$D$839,MATCH(H448,'Both teabags AfterDry'!$A$1:$A$839,0)),"")="N.A","",(IFERROR(INDEX('Both teabags AfterDry'!$D$1:$D$839,MATCH(H448,'Both teabags AfterDry'!$A$1:$A$839,0)),"")))</f>
        <v>1.0404</v>
      </c>
      <c r="T448" s="195">
        <f>IF(IFERROR(INDEX('Both teabags AfterDry'!$D$1:$D$839,MATCH(I448,'Both teabags AfterDry'!$A$1:$A$839,0)),"")="N.A","",(IFERROR(INDEX('Both teabags AfterDry'!$D$1:$D$839,MATCH(I448,'Both teabags AfterDry'!$A$1:$A$839,0)),"")))</f>
        <v>2.0049000000000001</v>
      </c>
      <c r="U448" s="195">
        <f t="shared" si="67"/>
        <v>0.88979999999999992</v>
      </c>
      <c r="V448" s="195">
        <f t="shared" si="67"/>
        <v>1.8543000000000001</v>
      </c>
      <c r="W448" s="195" t="str">
        <f>IFERROR(INDEX('Ashed teabags dry'!$K$2:$K$821,MATCH(H448,'Ashed teabags dry'!$A$2:$A$821,0)),"")</f>
        <v/>
      </c>
      <c r="X448" s="195">
        <f>IFERROR(INDEX('Ashed teabags dry'!$K$2:$K$821,MATCH(I448,'Ashed teabags dry'!$A$2:$A$821,0)),"")</f>
        <v>4.6750818139321764</v>
      </c>
      <c r="Y448" s="195" t="str">
        <f t="shared" si="62"/>
        <v/>
      </c>
      <c r="Z448" s="195">
        <f t="shared" si="62"/>
        <v>1.7676099579242557</v>
      </c>
      <c r="AA448" s="195" t="str">
        <f t="shared" si="68"/>
        <v/>
      </c>
      <c r="AB448" s="195" t="str">
        <f t="shared" si="69"/>
        <v/>
      </c>
      <c r="AC448" s="195">
        <f t="shared" si="63"/>
        <v>0.91118405905064903</v>
      </c>
      <c r="AD448">
        <f t="shared" si="64"/>
        <v>71</v>
      </c>
      <c r="AE448" s="195" t="str">
        <f t="shared" si="70"/>
        <v/>
      </c>
      <c r="AF448" s="195" t="str">
        <f t="shared" si="71"/>
        <v/>
      </c>
      <c r="AG448" s="255" t="str">
        <f>IF(ISNUMBER(SEARCH("C", 'Dry_Litterbag Placem_Collection'!AD155)),"YES","NO")</f>
        <v>NO</v>
      </c>
      <c r="AH448" s="255" t="str">
        <f>IF(ISNUMBER(SEARCH("H", 'Dry_Litterbag Placem_Collection'!AD155)),"YES","NO")</f>
        <v>NO</v>
      </c>
      <c r="AI448" s="255" t="str">
        <f>IF(ISNUMBER(SEARCH("R", 'Dry_Litterbag Placem_Collection'!AD155)),"YES","NO")</f>
        <v>NO</v>
      </c>
      <c r="AJ448" s="255" t="str">
        <f>IF(ISNUMBER(SEARCH("C", 'Dry_Litterbag Placem_Collection'!AC155)),"YES","NO")</f>
        <v>NO</v>
      </c>
      <c r="AK448" s="255" t="str">
        <f>IF(ISNUMBER(SEARCH("H", 'Dry_Litterbag Placem_Collection'!AC155)),"YES","NO")</f>
        <v>NO</v>
      </c>
      <c r="AL448" s="255" t="str">
        <f>IF(ISNUMBER(SEARCH("R", 'Dry_Litterbag Placem_Collection'!AC155)),"YES","NO")</f>
        <v>NO</v>
      </c>
      <c r="AR448" t="s">
        <v>2031</v>
      </c>
      <c r="AT448" t="s">
        <v>488</v>
      </c>
    </row>
    <row r="449" spans="2:46">
      <c r="B449" t="str">
        <f>'Final data_for_R_analysis_Dryse'!A595</f>
        <v>Dry</v>
      </c>
      <c r="C449" s="263">
        <f>'Final data_for_R_analysis_Dryse'!B595</f>
        <v>154</v>
      </c>
      <c r="D449" t="s">
        <v>3850</v>
      </c>
      <c r="E449" t="s">
        <v>25</v>
      </c>
      <c r="F449" s="386">
        <v>2</v>
      </c>
      <c r="G449" s="16">
        <f>'Dry_Litterbag Placem_Collection'!E156</f>
        <v>42939</v>
      </c>
      <c r="H449" s="92" t="str">
        <f>'Final data_for_R_analysis_Dryse'!J595</f>
        <v>G275</v>
      </c>
      <c r="I449" t="str">
        <f>'Final data_for_R_analysis_Dryse'!J815</f>
        <v>R367</v>
      </c>
      <c r="J449">
        <f>IFERROR(INDEX('Green_rooibos initial weight'!$C$5:$C$1749,MATCH(H449, 'Green_rooibos initial weight'!$A$5:$A$1749,0)),"")</f>
        <v>2.097</v>
      </c>
      <c r="K449">
        <f>IFERROR(INDEX('Green_rooibos initial weight'!$C$5:$C$1749,MATCH(I449, 'Green_rooibos initial weight'!$A$5:$A$1749,0)),"")</f>
        <v>2.165</v>
      </c>
      <c r="L449" s="195">
        <f t="shared" si="65"/>
        <v>1.8472</v>
      </c>
      <c r="M449" s="240">
        <f>AVERAGE(Ashed_controlls!$K$1:$K$11)</f>
        <v>5.5147656768714146</v>
      </c>
      <c r="N449" s="195">
        <f t="shared" si="60"/>
        <v>1.7453312484168313</v>
      </c>
      <c r="O449" s="195">
        <f t="shared" si="66"/>
        <v>1.9152</v>
      </c>
      <c r="P449" s="240">
        <f>AVERAGE(Ashed_controlls!$K$12:$K$14)</f>
        <v>2.2816647271287041</v>
      </c>
      <c r="Q449" s="195">
        <f t="shared" si="61"/>
        <v>1.8715015571460312</v>
      </c>
      <c r="R449" s="16">
        <f>IF('Dry_Litterbag Placem_Collection'!G156="N.A","",'Dry_Litterbag Placem_Collection'!G156)</f>
        <v>43010</v>
      </c>
      <c r="S449" s="195">
        <f>IF(IFERROR(INDEX('Both teabags AfterDry'!$D$1:$D$839,MATCH(H449,'Both teabags AfterDry'!$A$1:$A$839,0)),"")="N.A","",(IFERROR(INDEX('Both teabags AfterDry'!$D$1:$D$839,MATCH(H449,'Both teabags AfterDry'!$A$1:$A$839,0)),"")))</f>
        <v>1.2171000000000001</v>
      </c>
      <c r="T449" s="195">
        <f>IF(IFERROR(INDEX('Both teabags AfterDry'!$D$1:$D$839,MATCH(I449,'Both teabags AfterDry'!$A$1:$A$839,0)),"")="N.A","",(IFERROR(INDEX('Both teabags AfterDry'!$D$1:$D$839,MATCH(I449,'Both teabags AfterDry'!$A$1:$A$839,0)),"")))</f>
        <v>1.8496999999999999</v>
      </c>
      <c r="U449" s="195">
        <f t="shared" si="67"/>
        <v>1.0665</v>
      </c>
      <c r="V449" s="195">
        <f t="shared" si="67"/>
        <v>1.6990999999999998</v>
      </c>
      <c r="W449" s="195">
        <f>IFERROR(INDEX('Ashed teabags dry'!$K$2:$K$821,MATCH(H449,'Ashed teabags dry'!$A$2:$A$821,0)),"")</f>
        <v>17.669902912621797</v>
      </c>
      <c r="X449" s="195">
        <f>IFERROR(INDEX('Ashed teabags dry'!$K$2:$K$821,MATCH(I449,'Ashed teabags dry'!$A$2:$A$821,0)),"")</f>
        <v>2.917264466762604</v>
      </c>
      <c r="Y449" s="195">
        <f t="shared" si="62"/>
        <v>0.87805048543688857</v>
      </c>
      <c r="Z449" s="195">
        <f t="shared" si="62"/>
        <v>1.6495327594452365</v>
      </c>
      <c r="AA449" s="195">
        <f t="shared" si="68"/>
        <v>0.49691470531261184</v>
      </c>
      <c r="AB449" s="195">
        <f t="shared" si="69"/>
        <v>0.32576831037121351</v>
      </c>
      <c r="AC449" s="195">
        <f t="shared" si="63"/>
        <v>0.88139534436760569</v>
      </c>
      <c r="AD449">
        <f t="shared" si="64"/>
        <v>71</v>
      </c>
      <c r="AE449" s="195">
        <f t="shared" si="70"/>
        <v>0.40984001744345389</v>
      </c>
      <c r="AF449" s="195">
        <f t="shared" si="71"/>
        <v>6.3757371944661535E-3</v>
      </c>
      <c r="AG449" s="255" t="str">
        <f>IF(ISNUMBER(SEARCH("C", 'Dry_Litterbag Placem_Collection'!AD156)),"YES","NO")</f>
        <v>NO</v>
      </c>
      <c r="AH449" s="255" t="str">
        <f>IF(ISNUMBER(SEARCH("H", 'Dry_Litterbag Placem_Collection'!AD156)),"YES","NO")</f>
        <v>NO</v>
      </c>
      <c r="AI449" s="255" t="str">
        <f>IF(ISNUMBER(SEARCH("R", 'Dry_Litterbag Placem_Collection'!AD156)),"YES","NO")</f>
        <v>NO</v>
      </c>
      <c r="AJ449" s="255" t="str">
        <f>IF(ISNUMBER(SEARCH("C", 'Dry_Litterbag Placem_Collection'!AC156)),"YES","NO")</f>
        <v>NO</v>
      </c>
      <c r="AK449" s="255" t="str">
        <f>IF(ISNUMBER(SEARCH("H", 'Dry_Litterbag Placem_Collection'!AC156)),"YES","NO")</f>
        <v>NO</v>
      </c>
      <c r="AL449" s="255" t="str">
        <f>IF(ISNUMBER(SEARCH("R", 'Dry_Litterbag Placem_Collection'!AC156)),"YES","NO")</f>
        <v>NO</v>
      </c>
      <c r="AR449" t="s">
        <v>1775</v>
      </c>
      <c r="AT449" t="s">
        <v>774</v>
      </c>
    </row>
    <row r="450" spans="2:46">
      <c r="B450" t="str">
        <f>'Final data_for_R_analysis_Dryse'!A596</f>
        <v>Dry</v>
      </c>
      <c r="C450" s="263">
        <f>'Final data_for_R_analysis_Dryse'!B596</f>
        <v>155</v>
      </c>
      <c r="D450" t="s">
        <v>3850</v>
      </c>
      <c r="E450" t="s">
        <v>25</v>
      </c>
      <c r="F450" s="386">
        <v>3</v>
      </c>
      <c r="G450" s="16">
        <f>'Dry_Litterbag Placem_Collection'!E157</f>
        <v>42939</v>
      </c>
      <c r="H450" s="92" t="str">
        <f>'Final data_for_R_analysis_Dryse'!J596</f>
        <v>G289</v>
      </c>
      <c r="I450" t="str">
        <f>'Final data_for_R_analysis_Dryse'!J816</f>
        <v>R617</v>
      </c>
      <c r="J450">
        <f>IFERROR(INDEX('Green_rooibos initial weight'!$C$5:$C$1749,MATCH(H450, 'Green_rooibos initial weight'!$A$5:$A$1749,0)),"")</f>
        <v>2.093</v>
      </c>
      <c r="K450">
        <f>IFERROR(INDEX('Green_rooibos initial weight'!$C$5:$C$1749,MATCH(I450, 'Green_rooibos initial weight'!$A$5:$A$1749,0)),"")</f>
        <v>2.2010000000000001</v>
      </c>
      <c r="L450" s="195">
        <f t="shared" si="65"/>
        <v>1.8431999999999999</v>
      </c>
      <c r="M450" s="240">
        <f>AVERAGE(Ashed_controlls!$K$1:$K$11)</f>
        <v>5.5147656768714146</v>
      </c>
      <c r="N450" s="195">
        <f t="shared" si="60"/>
        <v>1.741551839043906</v>
      </c>
      <c r="O450" s="195">
        <f t="shared" si="66"/>
        <v>1.9512</v>
      </c>
      <c r="P450" s="240">
        <f>AVERAGE(Ashed_controlls!$K$12:$K$14)</f>
        <v>2.2816647271287041</v>
      </c>
      <c r="Q450" s="195">
        <f t="shared" si="61"/>
        <v>1.9066801578442647</v>
      </c>
      <c r="R450" s="16">
        <f>IF('Dry_Litterbag Placem_Collection'!G157="N.A","",'Dry_Litterbag Placem_Collection'!G157)</f>
        <v>43010</v>
      </c>
      <c r="S450" s="195">
        <f>IF(IFERROR(INDEX('Both teabags AfterDry'!$D$1:$D$839,MATCH(H450,'Both teabags AfterDry'!$A$1:$A$839,0)),"")="N.A","",(IFERROR(INDEX('Both teabags AfterDry'!$D$1:$D$839,MATCH(H450,'Both teabags AfterDry'!$A$1:$A$839,0)),"")))</f>
        <v>1.2491000000000001</v>
      </c>
      <c r="T450" s="195">
        <f>IF(IFERROR(INDEX('Both teabags AfterDry'!$D$1:$D$839,MATCH(I450,'Both teabags AfterDry'!$A$1:$A$839,0)),"")="N.A","",(IFERROR(INDEX('Both teabags AfterDry'!$D$1:$D$839,MATCH(I450,'Both teabags AfterDry'!$A$1:$A$839,0)),"")))</f>
        <v>1.8621000000000001</v>
      </c>
      <c r="U450" s="195">
        <f t="shared" si="67"/>
        <v>1.0985</v>
      </c>
      <c r="V450" s="195">
        <f t="shared" si="67"/>
        <v>1.7115</v>
      </c>
      <c r="W450" s="195">
        <f>IFERROR(INDEX('Ashed teabags dry'!$K$2:$K$821,MATCH(H450,'Ashed teabags dry'!$A$2:$A$821,0)),"")</f>
        <v>10.862152946907919</v>
      </c>
      <c r="X450" s="195">
        <f>IFERROR(INDEX('Ashed teabags dry'!$K$2:$K$821,MATCH(I450,'Ashed teabags dry'!$A$2:$A$821,0)),"")</f>
        <v>2.5172754195451326</v>
      </c>
      <c r="Y450" s="195">
        <f t="shared" si="62"/>
        <v>0.97917924987821658</v>
      </c>
      <c r="Z450" s="195">
        <f t="shared" si="62"/>
        <v>1.6684168311944851</v>
      </c>
      <c r="AA450" s="195">
        <f t="shared" si="68"/>
        <v>0.43775474957106308</v>
      </c>
      <c r="AB450" s="195">
        <f t="shared" si="69"/>
        <v>0.28698411135775159</v>
      </c>
      <c r="AC450" s="195">
        <f t="shared" si="63"/>
        <v>0.87503760100007255</v>
      </c>
      <c r="AD450">
        <f t="shared" si="64"/>
        <v>71</v>
      </c>
      <c r="AE450" s="195">
        <f t="shared" si="70"/>
        <v>0.48010124754030514</v>
      </c>
      <c r="AF450" s="195">
        <f t="shared" si="71"/>
        <v>8.0520633796139461E-3</v>
      </c>
      <c r="AG450" s="255" t="str">
        <f>IF(ISNUMBER(SEARCH("C", 'Dry_Litterbag Placem_Collection'!AD157)),"YES","NO")</f>
        <v>NO</v>
      </c>
      <c r="AH450" s="255" t="str">
        <f>IF(ISNUMBER(SEARCH("H", 'Dry_Litterbag Placem_Collection'!AD157)),"YES","NO")</f>
        <v>NO</v>
      </c>
      <c r="AI450" s="255" t="str">
        <f>IF(ISNUMBER(SEARCH("R", 'Dry_Litterbag Placem_Collection'!AD157)),"YES","NO")</f>
        <v>NO</v>
      </c>
      <c r="AJ450" s="255" t="str">
        <f>IF(ISNUMBER(SEARCH("C", 'Dry_Litterbag Placem_Collection'!AC157)),"YES","NO")</f>
        <v>NO</v>
      </c>
      <c r="AK450" s="255" t="str">
        <f>IF(ISNUMBER(SEARCH("H", 'Dry_Litterbag Placem_Collection'!AC157)),"YES","NO")</f>
        <v>NO</v>
      </c>
      <c r="AL450" s="255" t="str">
        <f>IF(ISNUMBER(SEARCH("R", 'Dry_Litterbag Placem_Collection'!AC157)),"YES","NO")</f>
        <v>NO</v>
      </c>
      <c r="AR450" t="s">
        <v>1761</v>
      </c>
      <c r="AT450" t="s">
        <v>522</v>
      </c>
    </row>
    <row r="451" spans="2:46">
      <c r="B451" t="str">
        <f>'Final data_for_R_analysis_Dryse'!A597</f>
        <v>Dry</v>
      </c>
      <c r="C451" s="263">
        <f>'Final data_for_R_analysis_Dryse'!B597</f>
        <v>156</v>
      </c>
      <c r="D451" t="s">
        <v>3850</v>
      </c>
      <c r="E451" t="s">
        <v>25</v>
      </c>
      <c r="F451" s="387">
        <v>4</v>
      </c>
      <c r="G451" s="16">
        <f>'Dry_Litterbag Placem_Collection'!E158</f>
        <v>42939</v>
      </c>
      <c r="H451" s="92" t="str">
        <f>'Final data_for_R_analysis_Dryse'!J597</f>
        <v>G65</v>
      </c>
      <c r="I451" t="str">
        <f>'Final data_for_R_analysis_Dryse'!J817</f>
        <v>R84</v>
      </c>
      <c r="J451">
        <f>IFERROR(INDEX('Green_rooibos initial weight'!$C$5:$C$1749,MATCH(H451, 'Green_rooibos initial weight'!$A$5:$A$1749,0)),"")</f>
        <v>2.0750000000000002</v>
      </c>
      <c r="K451">
        <f>IFERROR(INDEX('Green_rooibos initial weight'!$C$5:$C$1749,MATCH(I451, 'Green_rooibos initial weight'!$A$5:$A$1749,0)),"")</f>
        <v>2.1629999999999998</v>
      </c>
      <c r="L451" s="195">
        <f t="shared" si="65"/>
        <v>1.8252000000000002</v>
      </c>
      <c r="M451" s="240">
        <f>AVERAGE(Ashed_controlls!$K$1:$K$11)</f>
        <v>5.5147656768714146</v>
      </c>
      <c r="N451" s="195">
        <f t="shared" si="60"/>
        <v>1.7245444968657431</v>
      </c>
      <c r="O451" s="195">
        <f t="shared" si="66"/>
        <v>1.9131999999999998</v>
      </c>
      <c r="P451" s="240">
        <f>AVERAGE(Ashed_controlls!$K$12:$K$14)</f>
        <v>2.2816647271287041</v>
      </c>
      <c r="Q451" s="195">
        <f t="shared" si="61"/>
        <v>1.8695471904405734</v>
      </c>
      <c r="R451" s="16">
        <f>IF('Dry_Litterbag Placem_Collection'!G158="N.A","",'Dry_Litterbag Placem_Collection'!G158)</f>
        <v>43010</v>
      </c>
      <c r="S451" s="195">
        <f>IF(IFERROR(INDEX('Both teabags AfterDry'!$D$1:$D$839,MATCH(H451,'Both teabags AfterDry'!$A$1:$A$839,0)),"")="N.A","",(IFERROR(INDEX('Both teabags AfterDry'!$D$1:$D$839,MATCH(H451,'Both teabags AfterDry'!$A$1:$A$839,0)),"")))</f>
        <v>1.0561</v>
      </c>
      <c r="T451" s="195">
        <f>IF(IFERROR(INDEX('Both teabags AfterDry'!$D$1:$D$839,MATCH(I451,'Both teabags AfterDry'!$A$1:$A$839,0)),"")="N.A","",(IFERROR(INDEX('Both teabags AfterDry'!$D$1:$D$839,MATCH(I451,'Both teabags AfterDry'!$A$1:$A$839,0)),"")))</f>
        <v>1.8827</v>
      </c>
      <c r="U451" s="195">
        <f t="shared" si="67"/>
        <v>0.90549999999999997</v>
      </c>
      <c r="V451" s="195">
        <f t="shared" si="67"/>
        <v>1.7321</v>
      </c>
      <c r="W451" s="195">
        <f>IFERROR(INDEX('Ashed teabags dry'!$K$2:$K$821,MATCH(H451,'Ashed teabags dry'!$A$2:$A$821,0)),"")</f>
        <v>16.530514175876895</v>
      </c>
      <c r="X451" s="195">
        <f>IFERROR(INDEX('Ashed teabags dry'!$K$2:$K$821,MATCH(I451,'Ashed teabags dry'!$A$2:$A$821,0)),"")</f>
        <v>7.2855953372191182</v>
      </c>
      <c r="Y451" s="195">
        <f t="shared" si="62"/>
        <v>0.75581619413743473</v>
      </c>
      <c r="Z451" s="195">
        <f t="shared" si="62"/>
        <v>1.6059062031640277</v>
      </c>
      <c r="AA451" s="195">
        <f t="shared" si="68"/>
        <v>0.56172995506286694</v>
      </c>
      <c r="AB451" s="195">
        <f t="shared" si="69"/>
        <v>0.36826001804596509</v>
      </c>
      <c r="AC451" s="195">
        <f t="shared" si="63"/>
        <v>0.85898136798867497</v>
      </c>
      <c r="AD451">
        <f t="shared" si="64"/>
        <v>71</v>
      </c>
      <c r="AE451" s="195">
        <f t="shared" si="70"/>
        <v>0.33286228614861402</v>
      </c>
      <c r="AF451" s="195">
        <f t="shared" si="71"/>
        <v>6.7996680611456424E-3</v>
      </c>
      <c r="AG451" s="255" t="str">
        <f>IF(ISNUMBER(SEARCH("C", 'Dry_Litterbag Placem_Collection'!AD158)),"YES","NO")</f>
        <v>NO</v>
      </c>
      <c r="AH451" s="255" t="str">
        <f>IF(ISNUMBER(SEARCH("H", 'Dry_Litterbag Placem_Collection'!AD158)),"YES","NO")</f>
        <v>NO</v>
      </c>
      <c r="AI451" s="255" t="str">
        <f>IF(ISNUMBER(SEARCH("R", 'Dry_Litterbag Placem_Collection'!AD158)),"YES","NO")</f>
        <v>NO</v>
      </c>
      <c r="AJ451" s="255" t="str">
        <f>IF(ISNUMBER(SEARCH("C", 'Dry_Litterbag Placem_Collection'!AC158)),"YES","NO")</f>
        <v>NO</v>
      </c>
      <c r="AK451" s="255" t="str">
        <f>IF(ISNUMBER(SEARCH("H", 'Dry_Litterbag Placem_Collection'!AC158)),"YES","NO")</f>
        <v>NO</v>
      </c>
      <c r="AL451" s="255" t="str">
        <f>IF(ISNUMBER(SEARCH("R", 'Dry_Litterbag Placem_Collection'!AC158)),"YES","NO")</f>
        <v>NO</v>
      </c>
      <c r="AR451" t="s">
        <v>1985</v>
      </c>
      <c r="AT451" t="s">
        <v>1057</v>
      </c>
    </row>
    <row r="452" spans="2:46">
      <c r="B452" t="str">
        <f>'Final data_for_R_analysis_Dryse'!A598</f>
        <v>Dry</v>
      </c>
      <c r="C452" s="263">
        <f>'Final data_for_R_analysis_Dryse'!B598</f>
        <v>157</v>
      </c>
      <c r="D452" t="s">
        <v>3850</v>
      </c>
      <c r="E452" t="s">
        <v>25</v>
      </c>
      <c r="F452" s="387">
        <v>5</v>
      </c>
      <c r="G452" s="16">
        <f>'Dry_Litterbag Placem_Collection'!E159</f>
        <v>42939</v>
      </c>
      <c r="H452" s="92" t="str">
        <f>'Final data_for_R_analysis_Dryse'!J598</f>
        <v>G33</v>
      </c>
      <c r="I452" t="str">
        <f>'Final data_for_R_analysis_Dryse'!J818</f>
        <v>R248</v>
      </c>
      <c r="J452">
        <f>IFERROR(INDEX('Green_rooibos initial weight'!$C$5:$C$1749,MATCH(H452, 'Green_rooibos initial weight'!$A$5:$A$1749,0)),"")</f>
        <v>2.0579999999999998</v>
      </c>
      <c r="K452">
        <f>IFERROR(INDEX('Green_rooibos initial weight'!$C$5:$C$1749,MATCH(I452, 'Green_rooibos initial weight'!$A$5:$A$1749,0)),"")</f>
        <v>2.1829999999999998</v>
      </c>
      <c r="L452" s="195">
        <f t="shared" si="65"/>
        <v>1.8081999999999998</v>
      </c>
      <c r="M452" s="240">
        <f>AVERAGE(Ashed_controlls!$K$1:$K$11)</f>
        <v>5.5147656768714146</v>
      </c>
      <c r="N452" s="195">
        <f t="shared" si="60"/>
        <v>1.7084820070308109</v>
      </c>
      <c r="O452" s="195">
        <f t="shared" si="66"/>
        <v>1.9331999999999998</v>
      </c>
      <c r="P452" s="240">
        <f>AVERAGE(Ashed_controlls!$K$12:$K$14)</f>
        <v>2.2816647271287041</v>
      </c>
      <c r="Q452" s="195">
        <f t="shared" si="61"/>
        <v>1.8890908574951477</v>
      </c>
      <c r="R452" s="16">
        <f>IF('Dry_Litterbag Placem_Collection'!G159="N.A","",'Dry_Litterbag Placem_Collection'!G159)</f>
        <v>43010</v>
      </c>
      <c r="S452" s="195" t="str">
        <f>IF(IFERROR(INDEX('Both teabags AfterDry'!$D$1:$D$839,MATCH(H452,'Both teabags AfterDry'!$A$1:$A$839,0)),"")="N.A","",(IFERROR(INDEX('Both teabags AfterDry'!$D$1:$D$839,MATCH(H452,'Both teabags AfterDry'!$A$1:$A$839,0)),"")))</f>
        <v/>
      </c>
      <c r="T452" s="195" t="str">
        <f>IF(IFERROR(INDEX('Both teabags AfterDry'!$D$1:$D$839,MATCH(I452,'Both teabags AfterDry'!$A$1:$A$839,0)),"")="N.A","",(IFERROR(INDEX('Both teabags AfterDry'!$D$1:$D$839,MATCH(I452,'Both teabags AfterDry'!$A$1:$A$839,0)),"")))</f>
        <v/>
      </c>
      <c r="U452" s="195" t="str">
        <f t="shared" si="67"/>
        <v/>
      </c>
      <c r="V452" s="195" t="str">
        <f t="shared" si="67"/>
        <v/>
      </c>
      <c r="W452" s="195" t="str">
        <f>IFERROR(INDEX('Ashed teabags dry'!$K$2:$K$821,MATCH(H452,'Ashed teabags dry'!$A$2:$A$821,0)),"")</f>
        <v/>
      </c>
      <c r="X452" s="195" t="str">
        <f>IFERROR(INDEX('Ashed teabags dry'!$K$2:$K$821,MATCH(I452,'Ashed teabags dry'!$A$2:$A$821,0)),"")</f>
        <v/>
      </c>
      <c r="Y452" s="195" t="str">
        <f t="shared" si="62"/>
        <v/>
      </c>
      <c r="Z452" s="195" t="str">
        <f t="shared" si="62"/>
        <v/>
      </c>
      <c r="AA452" s="195" t="str">
        <f t="shared" si="68"/>
        <v/>
      </c>
      <c r="AB452" s="195" t="str">
        <f t="shared" si="69"/>
        <v/>
      </c>
      <c r="AC452" s="195" t="str">
        <f t="shared" si="63"/>
        <v/>
      </c>
      <c r="AD452">
        <f t="shared" si="64"/>
        <v>71</v>
      </c>
      <c r="AE452" s="195" t="str">
        <f t="shared" si="70"/>
        <v/>
      </c>
      <c r="AF452" s="195" t="str">
        <f t="shared" si="71"/>
        <v/>
      </c>
      <c r="AG452" s="255" t="str">
        <f>IF(ISNUMBER(SEARCH("C", 'Dry_Litterbag Placem_Collection'!AD159)),"YES","NO")</f>
        <v>NO</v>
      </c>
      <c r="AH452" s="255" t="str">
        <f>IF(ISNUMBER(SEARCH("H", 'Dry_Litterbag Placem_Collection'!AD159)),"YES","NO")</f>
        <v>NO</v>
      </c>
      <c r="AI452" s="255" t="str">
        <f>IF(ISNUMBER(SEARCH("R", 'Dry_Litterbag Placem_Collection'!AD159)),"YES","NO")</f>
        <v>NO</v>
      </c>
      <c r="AJ452" s="255" t="str">
        <f>IF(ISNUMBER(SEARCH("C", 'Dry_Litterbag Placem_Collection'!AC159)),"YES","NO")</f>
        <v>NO</v>
      </c>
      <c r="AK452" s="255" t="str">
        <f>IF(ISNUMBER(SEARCH("H", 'Dry_Litterbag Placem_Collection'!AC159)),"YES","NO")</f>
        <v>NO</v>
      </c>
      <c r="AL452" s="255" t="str">
        <f>IF(ISNUMBER(SEARCH("R", 'Dry_Litterbag Placem_Collection'!AC159)),"YES","NO")</f>
        <v>NO</v>
      </c>
      <c r="AR452" t="s">
        <v>2017</v>
      </c>
      <c r="AT452" t="s">
        <v>893</v>
      </c>
    </row>
    <row r="453" spans="2:46">
      <c r="B453" t="str">
        <f>'Final data_for_R_analysis_Dryse'!A599</f>
        <v>Dry</v>
      </c>
      <c r="C453" s="263">
        <f>'Final data_for_R_analysis_Dryse'!B599</f>
        <v>158</v>
      </c>
      <c r="D453" t="s">
        <v>3850</v>
      </c>
      <c r="E453" t="s">
        <v>25</v>
      </c>
      <c r="F453" s="387">
        <v>6</v>
      </c>
      <c r="G453" s="16">
        <f>'Dry_Litterbag Placem_Collection'!E160</f>
        <v>42939</v>
      </c>
      <c r="H453" s="92" t="str">
        <f>'Final data_for_R_analysis_Dryse'!J599</f>
        <v>G153</v>
      </c>
      <c r="I453" t="str">
        <f>'Final data_for_R_analysis_Dryse'!J819</f>
        <v>R238</v>
      </c>
      <c r="J453">
        <f>IFERROR(INDEX('Green_rooibos initial weight'!$C$5:$C$1749,MATCH(H453, 'Green_rooibos initial weight'!$A$5:$A$1749,0)),"")</f>
        <v>2.0529999999999999</v>
      </c>
      <c r="K453">
        <f>IFERROR(INDEX('Green_rooibos initial weight'!$C$5:$C$1749,MATCH(I453, 'Green_rooibos initial weight'!$A$5:$A$1749,0)),"")</f>
        <v>2.2389999999999999</v>
      </c>
      <c r="L453" s="195">
        <f t="shared" si="65"/>
        <v>1.8031999999999999</v>
      </c>
      <c r="M453" s="240">
        <f>AVERAGE(Ashed_controlls!$K$1:$K$11)</f>
        <v>5.5147656768714146</v>
      </c>
      <c r="N453" s="195">
        <f t="shared" si="60"/>
        <v>1.7037577453146546</v>
      </c>
      <c r="O453" s="195">
        <f t="shared" si="66"/>
        <v>1.9891999999999999</v>
      </c>
      <c r="P453" s="240">
        <f>AVERAGE(Ashed_controlls!$K$12:$K$14)</f>
        <v>2.2816647271287041</v>
      </c>
      <c r="Q453" s="195">
        <f t="shared" si="61"/>
        <v>1.9438131252479556</v>
      </c>
      <c r="R453" s="16">
        <f>IF('Dry_Litterbag Placem_Collection'!G160="N.A","",'Dry_Litterbag Placem_Collection'!G160)</f>
        <v>43010</v>
      </c>
      <c r="S453" s="195">
        <f>IF(IFERROR(INDEX('Both teabags AfterDry'!$D$1:$D$839,MATCH(H453,'Both teabags AfterDry'!$A$1:$A$839,0)),"")="N.A","",(IFERROR(INDEX('Both teabags AfterDry'!$D$1:$D$839,MATCH(H453,'Both teabags AfterDry'!$A$1:$A$839,0)),"")))</f>
        <v>0.87609999999999999</v>
      </c>
      <c r="T453" s="195">
        <f>IF(IFERROR(INDEX('Both teabags AfterDry'!$D$1:$D$839,MATCH(I453,'Both teabags AfterDry'!$A$1:$A$839,0)),"")="N.A","",(IFERROR(INDEX('Both teabags AfterDry'!$D$1:$D$839,MATCH(I453,'Both teabags AfterDry'!$A$1:$A$839,0)),"")))</f>
        <v>1.7898000000000001</v>
      </c>
      <c r="U453" s="195">
        <f t="shared" si="67"/>
        <v>0.72550000000000003</v>
      </c>
      <c r="V453" s="195">
        <f t="shared" si="67"/>
        <v>1.6392</v>
      </c>
      <c r="W453" s="195">
        <f>IFERROR(INDEX('Ashed teabags dry'!$K$2:$K$821,MATCH(H453,'Ashed teabags dry'!$A$2:$A$821,0)),"")</f>
        <v>71.165940977261897</v>
      </c>
      <c r="X453" s="195">
        <f>IFERROR(INDEX('Ashed teabags dry'!$K$2:$K$821,MATCH(I453,'Ashed teabags dry'!$A$2:$A$821,0)),"")</f>
        <v>4.8905449464368154</v>
      </c>
      <c r="Y453" s="195">
        <f t="shared" si="62"/>
        <v>0.20919109820996495</v>
      </c>
      <c r="Z453" s="195">
        <f t="shared" si="62"/>
        <v>1.5590341872380078</v>
      </c>
      <c r="AA453" s="195">
        <f t="shared" si="68"/>
        <v>0.87721781527612019</v>
      </c>
      <c r="AB453" s="195">
        <f t="shared" si="69"/>
        <v>0.57508816393398854</v>
      </c>
      <c r="AC453" s="195">
        <f t="shared" si="63"/>
        <v>0.80204941873676006</v>
      </c>
      <c r="AD453">
        <f t="shared" si="64"/>
        <v>71</v>
      </c>
      <c r="AE453" s="195">
        <f t="shared" si="70"/>
        <v>-4.1826383938385003E-2</v>
      </c>
      <c r="AF453" s="195">
        <f t="shared" si="71"/>
        <v>5.942440788451183E-3</v>
      </c>
      <c r="AG453" s="255" t="str">
        <f>IF(ISNUMBER(SEARCH("C", 'Dry_Litterbag Placem_Collection'!AD160)),"YES","NO")</f>
        <v>NO</v>
      </c>
      <c r="AH453" s="255" t="str">
        <f>IF(ISNUMBER(SEARCH("H", 'Dry_Litterbag Placem_Collection'!AD160)),"YES","NO")</f>
        <v>NO</v>
      </c>
      <c r="AI453" s="255" t="str">
        <f>IF(ISNUMBER(SEARCH("R", 'Dry_Litterbag Placem_Collection'!AD160)),"YES","NO")</f>
        <v>NO</v>
      </c>
      <c r="AJ453" s="255" t="str">
        <f>IF(ISNUMBER(SEARCH("C", 'Dry_Litterbag Placem_Collection'!AC160)),"YES","NO")</f>
        <v>NO</v>
      </c>
      <c r="AK453" s="255" t="str">
        <f>IF(ISNUMBER(SEARCH("H", 'Dry_Litterbag Placem_Collection'!AC160)),"YES","NO")</f>
        <v>NO</v>
      </c>
      <c r="AL453" s="255" t="str">
        <f>IF(ISNUMBER(SEARCH("R", 'Dry_Litterbag Placem_Collection'!AC160)),"YES","NO")</f>
        <v>NO</v>
      </c>
      <c r="AR453" t="s">
        <v>1897</v>
      </c>
      <c r="AT453" t="s">
        <v>903</v>
      </c>
    </row>
    <row r="454" spans="2:46">
      <c r="B454" t="str">
        <f>'Final data_for_R_analysis_Dryse'!A600</f>
        <v>Dry</v>
      </c>
      <c r="C454" s="263">
        <f>'Final data_for_R_analysis_Dryse'!B600</f>
        <v>159</v>
      </c>
      <c r="D454" t="s">
        <v>3850</v>
      </c>
      <c r="E454" t="s">
        <v>25</v>
      </c>
      <c r="F454" s="387">
        <v>7</v>
      </c>
      <c r="G454" s="16">
        <f>'Dry_Litterbag Placem_Collection'!E161</f>
        <v>0</v>
      </c>
      <c r="H454" s="92" t="str">
        <f>'Final data_for_R_analysis_Dryse'!J600</f>
        <v/>
      </c>
      <c r="I454" t="str">
        <f>'Final data_for_R_analysis_Dryse'!J820</f>
        <v/>
      </c>
      <c r="J454" t="str">
        <f>IFERROR(INDEX('Green_rooibos initial weight'!$C$5:$C$1749,MATCH(H454, 'Green_rooibos initial weight'!$A$5:$A$1749,0)),"")</f>
        <v/>
      </c>
      <c r="K454" t="str">
        <f>IFERROR(INDEX('Green_rooibos initial weight'!$C$5:$C$1749,MATCH(I454, 'Green_rooibos initial weight'!$A$5:$A$1749,0)),"")</f>
        <v/>
      </c>
      <c r="L454" s="195" t="str">
        <f t="shared" si="65"/>
        <v/>
      </c>
      <c r="M454" s="240">
        <f>AVERAGE(Ashed_controlls!$K$1:$K$11)</f>
        <v>5.5147656768714146</v>
      </c>
      <c r="N454" s="195" t="str">
        <f t="shared" si="60"/>
        <v/>
      </c>
      <c r="O454" s="195" t="str">
        <f t="shared" si="66"/>
        <v/>
      </c>
      <c r="P454" s="240">
        <f>AVERAGE(Ashed_controlls!$K$12:$K$14)</f>
        <v>2.2816647271287041</v>
      </c>
      <c r="Q454" s="195" t="str">
        <f t="shared" si="61"/>
        <v/>
      </c>
      <c r="R454" s="16">
        <f>IF('Dry_Litterbag Placem_Collection'!G161="N.A","",'Dry_Litterbag Placem_Collection'!G161)</f>
        <v>0</v>
      </c>
      <c r="S454" s="195" t="str">
        <f>IF(IFERROR(INDEX('Both teabags AfterDry'!$D$1:$D$839,MATCH(H454,'Both teabags AfterDry'!$A$1:$A$839,0)),"")="N.A","",(IFERROR(INDEX('Both teabags AfterDry'!$D$1:$D$839,MATCH(H454,'Both teabags AfterDry'!$A$1:$A$839,0)),"")))</f>
        <v/>
      </c>
      <c r="T454" s="195" t="str">
        <f>IF(IFERROR(INDEX('Both teabags AfterDry'!$D$1:$D$839,MATCH(I454,'Both teabags AfterDry'!$A$1:$A$839,0)),"")="N.A","",(IFERROR(INDEX('Both teabags AfterDry'!$D$1:$D$839,MATCH(I454,'Both teabags AfterDry'!$A$1:$A$839,0)),"")))</f>
        <v/>
      </c>
      <c r="U454" s="195" t="str">
        <f t="shared" si="67"/>
        <v/>
      </c>
      <c r="V454" s="195" t="str">
        <f t="shared" si="67"/>
        <v/>
      </c>
      <c r="W454" s="195" t="str">
        <f>IFERROR(INDEX('Ashed teabags dry'!$K$2:$K$821,MATCH(H454,'Ashed teabags dry'!$A$2:$A$821,0)),"")</f>
        <v/>
      </c>
      <c r="X454" s="195" t="str">
        <f>IFERROR(INDEX('Ashed teabags dry'!$K$2:$K$821,MATCH(I454,'Ashed teabags dry'!$A$2:$A$821,0)),"")</f>
        <v/>
      </c>
      <c r="Y454" s="195" t="str">
        <f t="shared" si="62"/>
        <v/>
      </c>
      <c r="Z454" s="195" t="str">
        <f t="shared" si="62"/>
        <v/>
      </c>
      <c r="AA454" s="195" t="str">
        <f t="shared" si="68"/>
        <v/>
      </c>
      <c r="AB454" s="195" t="str">
        <f t="shared" si="69"/>
        <v/>
      </c>
      <c r="AC454" s="195" t="str">
        <f t="shared" si="63"/>
        <v/>
      </c>
      <c r="AD454" t="str">
        <f t="shared" si="64"/>
        <v/>
      </c>
      <c r="AE454" s="195" t="str">
        <f t="shared" si="70"/>
        <v/>
      </c>
      <c r="AF454" s="195" t="str">
        <f t="shared" si="71"/>
        <v/>
      </c>
      <c r="AG454" s="255" t="str">
        <f>IF(ISNUMBER(SEARCH("C", 'Dry_Litterbag Placem_Collection'!AD161)),"YES","NO")</f>
        <v>NO</v>
      </c>
      <c r="AH454" s="255" t="str">
        <f>IF(ISNUMBER(SEARCH("H", 'Dry_Litterbag Placem_Collection'!AD161)),"YES","NO")</f>
        <v>NO</v>
      </c>
      <c r="AI454" s="255" t="str">
        <f>IF(ISNUMBER(SEARCH("R", 'Dry_Litterbag Placem_Collection'!AD161)),"YES","NO")</f>
        <v>NO</v>
      </c>
      <c r="AJ454" s="255" t="str">
        <f>IF(ISNUMBER(SEARCH("C", 'Dry_Litterbag Placem_Collection'!AC161)),"YES","NO")</f>
        <v>NO</v>
      </c>
      <c r="AK454" s="255" t="str">
        <f>IF(ISNUMBER(SEARCH("H", 'Dry_Litterbag Placem_Collection'!AC161)),"YES","NO")</f>
        <v>NO</v>
      </c>
      <c r="AL454" s="255" t="str">
        <f>IF(ISNUMBER(SEARCH("R", 'Dry_Litterbag Placem_Collection'!AC161)),"YES","NO")</f>
        <v>NO</v>
      </c>
      <c r="AR454" t="s">
        <v>3654</v>
      </c>
      <c r="AT454" t="s">
        <v>3654</v>
      </c>
    </row>
    <row r="455" spans="2:46">
      <c r="B455" t="str">
        <f>'Final data_for_R_analysis_Dryse'!A601</f>
        <v>Dry</v>
      </c>
      <c r="C455" s="263">
        <f>'Final data_for_R_analysis_Dryse'!B601</f>
        <v>160</v>
      </c>
      <c r="D455" t="s">
        <v>3850</v>
      </c>
      <c r="E455" t="s">
        <v>25</v>
      </c>
      <c r="F455" s="387">
        <v>8</v>
      </c>
      <c r="G455" s="16">
        <f>'Dry_Litterbag Placem_Collection'!E162</f>
        <v>42939</v>
      </c>
      <c r="H455" s="92" t="str">
        <f>'Final data_for_R_analysis_Dryse'!J601</f>
        <v>G175</v>
      </c>
      <c r="I455" t="str">
        <f>'Final data_for_R_analysis_Dryse'!J821</f>
        <v>R350</v>
      </c>
      <c r="J455">
        <f>IFERROR(INDEX('Green_rooibos initial weight'!$C$5:$C$1749,MATCH(H455, 'Green_rooibos initial weight'!$A$5:$A$1749,0)),"")</f>
        <v>1.9930000000000001</v>
      </c>
      <c r="K455">
        <f>IFERROR(INDEX('Green_rooibos initial weight'!$C$5:$C$1749,MATCH(I455, 'Green_rooibos initial weight'!$A$5:$A$1749,0)),"")</f>
        <v>2.21</v>
      </c>
      <c r="L455" s="195">
        <f t="shared" si="65"/>
        <v>1.7432000000000001</v>
      </c>
      <c r="M455" s="240">
        <f>AVERAGE(Ashed_controlls!$K$1:$K$11)</f>
        <v>5.5147656768714146</v>
      </c>
      <c r="N455" s="195">
        <f t="shared" si="60"/>
        <v>1.6470666047207776</v>
      </c>
      <c r="O455" s="195">
        <f t="shared" si="66"/>
        <v>1.9601999999999999</v>
      </c>
      <c r="P455" s="240">
        <f>AVERAGE(Ashed_controlls!$K$12:$K$14)</f>
        <v>2.2816647271287041</v>
      </c>
      <c r="Q455" s="195">
        <f t="shared" si="61"/>
        <v>1.9154748080188231</v>
      </c>
      <c r="R455" s="16">
        <f>IF('Dry_Litterbag Placem_Collection'!G162="N.A","",'Dry_Litterbag Placem_Collection'!G162)</f>
        <v>43010</v>
      </c>
      <c r="S455" s="195">
        <f>IF(IFERROR(INDEX('Both teabags AfterDry'!$D$1:$D$839,MATCH(H455,'Both teabags AfterDry'!$A$1:$A$839,0)),"")="N.A","",(IFERROR(INDEX('Both teabags AfterDry'!$D$1:$D$839,MATCH(H455,'Both teabags AfterDry'!$A$1:$A$839,0)),"")))</f>
        <v>1.2042999999999999</v>
      </c>
      <c r="T455" s="195">
        <f>IF(IFERROR(INDEX('Both teabags AfterDry'!$D$1:$D$839,MATCH(I455,'Both teabags AfterDry'!$A$1:$A$839,0)),"")="N.A","",(IFERROR(INDEX('Both teabags AfterDry'!$D$1:$D$839,MATCH(I455,'Both teabags AfterDry'!$A$1:$A$839,0)),"")))</f>
        <v>1.9824999999999999</v>
      </c>
      <c r="U455" s="195">
        <f t="shared" si="67"/>
        <v>1.0536999999999999</v>
      </c>
      <c r="V455" s="195">
        <f t="shared" si="67"/>
        <v>1.8318999999999999</v>
      </c>
      <c r="W455" s="195">
        <f>IFERROR(INDEX('Ashed teabags dry'!$K$2:$K$821,MATCH(H455,'Ashed teabags dry'!$A$2:$A$821,0)),"")</f>
        <v>22.557651991613749</v>
      </c>
      <c r="X455" s="195">
        <f>IFERROR(INDEX('Ashed teabags dry'!$K$2:$K$821,MATCH(I455,'Ashed teabags dry'!$A$2:$A$821,0)),"")</f>
        <v>4.4153323629310188</v>
      </c>
      <c r="Y455" s="195">
        <f t="shared" si="62"/>
        <v>0.81601002096436581</v>
      </c>
      <c r="Z455" s="195">
        <f t="shared" si="62"/>
        <v>1.7510155264434666</v>
      </c>
      <c r="AA455" s="195">
        <f t="shared" si="68"/>
        <v>0.50456768498278093</v>
      </c>
      <c r="AB455" s="195">
        <f t="shared" si="69"/>
        <v>0.33078546568942413</v>
      </c>
      <c r="AC455" s="195">
        <f t="shared" si="63"/>
        <v>0.91414176741616515</v>
      </c>
      <c r="AD455">
        <f t="shared" si="64"/>
        <v>71</v>
      </c>
      <c r="AE455" s="195">
        <f t="shared" si="70"/>
        <v>0.40075096795394183</v>
      </c>
      <c r="AF455" s="195">
        <f t="shared" si="71"/>
        <v>4.232519248388405E-3</v>
      </c>
      <c r="AG455" s="255" t="str">
        <f>IF(ISNUMBER(SEARCH("C", 'Dry_Litterbag Placem_Collection'!AD162)),"YES","NO")</f>
        <v>NO</v>
      </c>
      <c r="AH455" s="255" t="str">
        <f>IF(ISNUMBER(SEARCH("H", 'Dry_Litterbag Placem_Collection'!AD162)),"YES","NO")</f>
        <v>NO</v>
      </c>
      <c r="AI455" s="255" t="str">
        <f>IF(ISNUMBER(SEARCH("R", 'Dry_Litterbag Placem_Collection'!AD162)),"YES","NO")</f>
        <v>NO</v>
      </c>
      <c r="AJ455" s="255" t="str">
        <f>IF(ISNUMBER(SEARCH("C", 'Dry_Litterbag Placem_Collection'!AC162)),"YES","NO")</f>
        <v>NO</v>
      </c>
      <c r="AK455" s="255" t="str">
        <f>IF(ISNUMBER(SEARCH("H", 'Dry_Litterbag Placem_Collection'!AC162)),"YES","NO")</f>
        <v>NO</v>
      </c>
      <c r="AL455" s="255" t="str">
        <f>IF(ISNUMBER(SEARCH("R", 'Dry_Litterbag Placem_Collection'!AC162)),"YES","NO")</f>
        <v>NO</v>
      </c>
      <c r="AR455" t="s">
        <v>1875</v>
      </c>
      <c r="AT455" t="s">
        <v>791</v>
      </c>
    </row>
    <row r="456" spans="2:46">
      <c r="B456" t="str">
        <f>'Final data_for_R_analysis_Dryse'!A602</f>
        <v>Dry</v>
      </c>
      <c r="C456" s="263">
        <f>'Final data_for_R_analysis_Dryse'!B602</f>
        <v>161</v>
      </c>
      <c r="D456" t="s">
        <v>3851</v>
      </c>
      <c r="E456" t="s">
        <v>25</v>
      </c>
      <c r="F456" s="386">
        <v>1</v>
      </c>
      <c r="G456" s="16">
        <f>'Dry_Litterbag Placem_Collection'!E163</f>
        <v>42940</v>
      </c>
      <c r="H456" s="92" t="str">
        <f>'Final data_for_R_analysis_Dryse'!J602</f>
        <v>G207</v>
      </c>
      <c r="I456" t="str">
        <f>'Final data_for_R_analysis_Dryse'!J822</f>
        <v>R314</v>
      </c>
      <c r="J456">
        <f>IFERROR(INDEX('Green_rooibos initial weight'!$C$5:$C$1749,MATCH(H456, 'Green_rooibos initial weight'!$A$5:$A$1749,0)),"")</f>
        <v>2.1539999999999999</v>
      </c>
      <c r="K456">
        <f>IFERROR(INDEX('Green_rooibos initial weight'!$C$5:$C$1749,MATCH(I456, 'Green_rooibos initial weight'!$A$5:$A$1749,0)),"")</f>
        <v>2.17</v>
      </c>
      <c r="L456" s="195">
        <f t="shared" si="65"/>
        <v>1.9041999999999999</v>
      </c>
      <c r="M456" s="240">
        <f>AVERAGE(Ashed_controlls!$K$1:$K$11)</f>
        <v>5.5147656768714146</v>
      </c>
      <c r="N456" s="195">
        <f t="shared" si="60"/>
        <v>1.7991878319810144</v>
      </c>
      <c r="O456" s="195">
        <f t="shared" si="66"/>
        <v>1.9201999999999999</v>
      </c>
      <c r="P456" s="240">
        <f>AVERAGE(Ashed_controlls!$K$12:$K$14)</f>
        <v>2.2816647271287041</v>
      </c>
      <c r="Q456" s="195">
        <f t="shared" si="61"/>
        <v>1.8763874739096746</v>
      </c>
      <c r="R456" s="16">
        <f>IF('Dry_Litterbag Placem_Collection'!G163="N.A","",'Dry_Litterbag Placem_Collection'!G163)</f>
        <v>43009</v>
      </c>
      <c r="S456" s="195">
        <f>IF(IFERROR(INDEX('Both teabags AfterDry'!$D$1:$D$839,MATCH(H456,'Both teabags AfterDry'!$A$1:$A$839,0)),"")="N.A","",(IFERROR(INDEX('Both teabags AfterDry'!$D$1:$D$839,MATCH(H456,'Both teabags AfterDry'!$A$1:$A$839,0)),"")))</f>
        <v>0.76570000000000005</v>
      </c>
      <c r="T456" s="195">
        <f>IF(IFERROR(INDEX('Both teabags AfterDry'!$D$1:$D$839,MATCH(I456,'Both teabags AfterDry'!$A$1:$A$839,0)),"")="N.A","",(IFERROR(INDEX('Both teabags AfterDry'!$D$1:$D$839,MATCH(I456,'Both teabags AfterDry'!$A$1:$A$839,0)),"")))</f>
        <v>1.7397</v>
      </c>
      <c r="U456" s="195">
        <f t="shared" si="67"/>
        <v>0.61509999999999998</v>
      </c>
      <c r="V456" s="195">
        <f t="shared" si="67"/>
        <v>1.5891</v>
      </c>
      <c r="W456" s="195">
        <f>IFERROR(INDEX('Ashed teabags dry'!$K$2:$K$821,MATCH(H456,'Ashed teabags dry'!$A$2:$A$821,0)),"")</f>
        <v>21.881091617933993</v>
      </c>
      <c r="X456" s="195">
        <f>IFERROR(INDEX('Ashed teabags dry'!$K$2:$K$821,MATCH(I456,'Ashed teabags dry'!$A$2:$A$821,0)),"")</f>
        <v>4.8425011753644043</v>
      </c>
      <c r="Y456" s="195">
        <f t="shared" si="62"/>
        <v>0.48050940545808796</v>
      </c>
      <c r="Z456" s="195">
        <f t="shared" si="62"/>
        <v>1.5121478138222841</v>
      </c>
      <c r="AA456" s="195">
        <f t="shared" si="68"/>
        <v>0.73292982704923137</v>
      </c>
      <c r="AB456" s="195">
        <f t="shared" si="69"/>
        <v>0.48049556357621825</v>
      </c>
      <c r="AC456" s="195">
        <f t="shared" si="63"/>
        <v>0.80588249220804364</v>
      </c>
      <c r="AD456">
        <f t="shared" si="64"/>
        <v>69</v>
      </c>
      <c r="AE456" s="195">
        <f t="shared" si="70"/>
        <v>0.12953702250685106</v>
      </c>
      <c r="AF456" s="195">
        <f t="shared" si="71"/>
        <v>7.5000751326066767E-3</v>
      </c>
      <c r="AG456" s="255" t="str">
        <f>IF(ISNUMBER(SEARCH("C", 'Dry_Litterbag Placem_Collection'!AD163)),"YES","NO")</f>
        <v>NO</v>
      </c>
      <c r="AH456" s="255" t="str">
        <f>IF(ISNUMBER(SEARCH("H", 'Dry_Litterbag Placem_Collection'!AD163)),"YES","NO")</f>
        <v>NO</v>
      </c>
      <c r="AI456" s="255" t="str">
        <f>IF(ISNUMBER(SEARCH("R", 'Dry_Litterbag Placem_Collection'!AD163)),"YES","NO")</f>
        <v>NO</v>
      </c>
      <c r="AJ456" s="255" t="str">
        <f>IF(ISNUMBER(SEARCH("C", 'Dry_Litterbag Placem_Collection'!AC163)),"YES","NO")</f>
        <v>NO</v>
      </c>
      <c r="AK456" s="255" t="str">
        <f>IF(ISNUMBER(SEARCH("H", 'Dry_Litterbag Placem_Collection'!AC163)),"YES","NO")</f>
        <v>NO</v>
      </c>
      <c r="AL456" s="255" t="str">
        <f>IF(ISNUMBER(SEARCH("R", 'Dry_Litterbag Placem_Collection'!AC163)),"YES","NO")</f>
        <v>NO</v>
      </c>
      <c r="AR456" t="s">
        <v>1843</v>
      </c>
      <c r="AT456" t="s">
        <v>827</v>
      </c>
    </row>
    <row r="457" spans="2:46">
      <c r="B457" t="str">
        <f>'Final data_for_R_analysis_Dryse'!A603</f>
        <v>Dry</v>
      </c>
      <c r="C457" s="263">
        <f>'Final data_for_R_analysis_Dryse'!B603</f>
        <v>162</v>
      </c>
      <c r="D457" t="s">
        <v>3851</v>
      </c>
      <c r="E457" t="s">
        <v>25</v>
      </c>
      <c r="F457" s="386">
        <v>2</v>
      </c>
      <c r="G457" s="16">
        <f>'Dry_Litterbag Placem_Collection'!E164</f>
        <v>42940</v>
      </c>
      <c r="H457" s="92" t="str">
        <f>'Final data_for_R_analysis_Dryse'!J603</f>
        <v>G580</v>
      </c>
      <c r="I457" t="str">
        <f>'Final data_for_R_analysis_Dryse'!J823</f>
        <v>R425</v>
      </c>
      <c r="J457">
        <f>IFERROR(INDEX('Green_rooibos initial weight'!$C$5:$C$1749,MATCH(H457, 'Green_rooibos initial weight'!$A$5:$A$1749,0)),"")</f>
        <v>2.1440000000000001</v>
      </c>
      <c r="K457">
        <f>IFERROR(INDEX('Green_rooibos initial weight'!$C$5:$C$1749,MATCH(I457, 'Green_rooibos initial weight'!$A$5:$A$1749,0)),"")</f>
        <v>2.25</v>
      </c>
      <c r="L457" s="195">
        <f t="shared" si="65"/>
        <v>1.8942000000000001</v>
      </c>
      <c r="M457" s="240">
        <f>AVERAGE(Ashed_controlls!$K$1:$K$11)</f>
        <v>5.5147656768714146</v>
      </c>
      <c r="N457" s="195">
        <f t="shared" si="60"/>
        <v>1.7897393085487017</v>
      </c>
      <c r="O457" s="195">
        <f t="shared" si="66"/>
        <v>2.0002</v>
      </c>
      <c r="P457" s="240">
        <f>AVERAGE(Ashed_controlls!$K$12:$K$14)</f>
        <v>2.2816647271287041</v>
      </c>
      <c r="Q457" s="195">
        <f t="shared" si="61"/>
        <v>1.9545621421279717</v>
      </c>
      <c r="R457" s="16">
        <f>IF('Dry_Litterbag Placem_Collection'!G164="N.A","",'Dry_Litterbag Placem_Collection'!G164)</f>
        <v>43009</v>
      </c>
      <c r="S457" s="195">
        <f>IF(IFERROR(INDEX('Both teabags AfterDry'!$D$1:$D$839,MATCH(H457,'Both teabags AfterDry'!$A$1:$A$839,0)),"")="N.A","",(IFERROR(INDEX('Both teabags AfterDry'!$D$1:$D$839,MATCH(H457,'Both teabags AfterDry'!$A$1:$A$839,0)),"")))</f>
        <v>0.84409999999999996</v>
      </c>
      <c r="T457" s="195">
        <f>IF(IFERROR(INDEX('Both teabags AfterDry'!$D$1:$D$839,MATCH(I457,'Both teabags AfterDry'!$A$1:$A$839,0)),"")="N.A","",(IFERROR(INDEX('Both teabags AfterDry'!$D$1:$D$839,MATCH(I457,'Both teabags AfterDry'!$A$1:$A$839,0)),"")))</f>
        <v>1.8856999999999999</v>
      </c>
      <c r="U457" s="195">
        <f t="shared" si="67"/>
        <v>0.69350000000000001</v>
      </c>
      <c r="V457" s="195">
        <f t="shared" si="67"/>
        <v>1.7350999999999999</v>
      </c>
      <c r="W457" s="195">
        <f>IFERROR(INDEX('Ashed teabags dry'!$K$2:$K$821,MATCH(H457,'Ashed teabags dry'!$A$2:$A$821,0)),"")</f>
        <v>19.492789656887485</v>
      </c>
      <c r="X457" s="195">
        <f>IFERROR(INDEX('Ashed teabags dry'!$K$2:$K$821,MATCH(I457,'Ashed teabags dry'!$A$2:$A$821,0)),"")</f>
        <v>6.8486590038315791</v>
      </c>
      <c r="Y457" s="195">
        <f t="shared" si="62"/>
        <v>0.5583175037294853</v>
      </c>
      <c r="Z457" s="195">
        <f t="shared" si="62"/>
        <v>1.6162689176245182</v>
      </c>
      <c r="AA457" s="195">
        <f t="shared" si="68"/>
        <v>0.68804534768685133</v>
      </c>
      <c r="AB457" s="195">
        <f t="shared" si="69"/>
        <v>0.45107010917237766</v>
      </c>
      <c r="AC457" s="195">
        <f t="shared" si="63"/>
        <v>0.82692122332056073</v>
      </c>
      <c r="AD457">
        <f t="shared" si="64"/>
        <v>69</v>
      </c>
      <c r="AE457" s="195">
        <f t="shared" si="70"/>
        <v>0.18284400512250432</v>
      </c>
      <c r="AF457" s="195">
        <f t="shared" si="71"/>
        <v>7.0149687682593397E-3</v>
      </c>
      <c r="AG457" s="255" t="str">
        <f>IF(ISNUMBER(SEARCH("C", 'Dry_Litterbag Placem_Collection'!AD164)),"YES","NO")</f>
        <v>NO</v>
      </c>
      <c r="AH457" s="255" t="str">
        <f>IF(ISNUMBER(SEARCH("H", 'Dry_Litterbag Placem_Collection'!AD164)),"YES","NO")</f>
        <v>NO</v>
      </c>
      <c r="AI457" s="255" t="str">
        <f>IF(ISNUMBER(SEARCH("R", 'Dry_Litterbag Placem_Collection'!AD164)),"YES","NO")</f>
        <v>NO</v>
      </c>
      <c r="AJ457" s="255" t="str">
        <f>IF(ISNUMBER(SEARCH("C", 'Dry_Litterbag Placem_Collection'!AC164)),"YES","NO")</f>
        <v>NO</v>
      </c>
      <c r="AK457" s="255" t="str">
        <f>IF(ISNUMBER(SEARCH("H", 'Dry_Litterbag Placem_Collection'!AC164)),"YES","NO")</f>
        <v>NO</v>
      </c>
      <c r="AL457" s="255" t="str">
        <f>IF(ISNUMBER(SEARCH("R", 'Dry_Litterbag Placem_Collection'!AC164)),"YES","NO")</f>
        <v>NO</v>
      </c>
      <c r="AR457" t="s">
        <v>1470</v>
      </c>
      <c r="AT457" t="s">
        <v>716</v>
      </c>
    </row>
    <row r="458" spans="2:46">
      <c r="B458" t="str">
        <f>'Final data_for_R_analysis_Dryse'!A604</f>
        <v>Dry</v>
      </c>
      <c r="C458" s="263">
        <f>'Final data_for_R_analysis_Dryse'!B604</f>
        <v>163</v>
      </c>
      <c r="D458" t="s">
        <v>3851</v>
      </c>
      <c r="E458" t="s">
        <v>25</v>
      </c>
      <c r="F458" s="386">
        <v>3</v>
      </c>
      <c r="G458" s="16">
        <f>'Dry_Litterbag Placem_Collection'!E165</f>
        <v>42940</v>
      </c>
      <c r="H458" s="92" t="str">
        <f>'Final data_for_R_analysis_Dryse'!J604</f>
        <v>G722</v>
      </c>
      <c r="I458" t="str">
        <f>'Final data_for_R_analysis_Dryse'!J824</f>
        <v>R267</v>
      </c>
      <c r="J458">
        <f>IFERROR(INDEX('Green_rooibos initial weight'!$C$5:$C$1749,MATCH(H458, 'Green_rooibos initial weight'!$A$5:$A$1749,0)),"")</f>
        <v>2.0790000000000002</v>
      </c>
      <c r="K458">
        <f>IFERROR(INDEX('Green_rooibos initial weight'!$C$5:$C$1749,MATCH(I458, 'Green_rooibos initial weight'!$A$5:$A$1749,0)),"")</f>
        <v>2.1930000000000001</v>
      </c>
      <c r="L458" s="195">
        <f t="shared" si="65"/>
        <v>1.8292000000000002</v>
      </c>
      <c r="M458" s="240">
        <f>AVERAGE(Ashed_controlls!$K$1:$K$11)</f>
        <v>5.5147656768714146</v>
      </c>
      <c r="N458" s="195">
        <f t="shared" si="60"/>
        <v>1.7283239062386682</v>
      </c>
      <c r="O458" s="195">
        <f t="shared" si="66"/>
        <v>1.9432</v>
      </c>
      <c r="P458" s="240">
        <f>AVERAGE(Ashed_controlls!$K$12:$K$14)</f>
        <v>2.2816647271287041</v>
      </c>
      <c r="Q458" s="195">
        <f t="shared" si="61"/>
        <v>1.8988626910224351</v>
      </c>
      <c r="R458" s="16">
        <f>IF('Dry_Litterbag Placem_Collection'!G165="N.A","",'Dry_Litterbag Placem_Collection'!G165)</f>
        <v>43009</v>
      </c>
      <c r="S458" s="195">
        <f>IF(IFERROR(INDEX('Both teabags AfterDry'!$D$1:$D$839,MATCH(H458,'Both teabags AfterDry'!$A$1:$A$839,0)),"")="N.A","",(IFERROR(INDEX('Both teabags AfterDry'!$D$1:$D$839,MATCH(H458,'Both teabags AfterDry'!$A$1:$A$839,0)),"")))</f>
        <v>0.86109999999999998</v>
      </c>
      <c r="T458" s="195">
        <f>IF(IFERROR(INDEX('Both teabags AfterDry'!$D$1:$D$839,MATCH(I458,'Both teabags AfterDry'!$A$1:$A$839,0)),"")="N.A","",(IFERROR(INDEX('Both teabags AfterDry'!$D$1:$D$839,MATCH(I458,'Both teabags AfterDry'!$A$1:$A$839,0)),"")))</f>
        <v>1.7754000000000001</v>
      </c>
      <c r="U458" s="195">
        <f t="shared" si="67"/>
        <v>0.71049999999999991</v>
      </c>
      <c r="V458" s="195">
        <f t="shared" si="67"/>
        <v>1.6248</v>
      </c>
      <c r="W458" s="195">
        <f>IFERROR(INDEX('Ashed teabags dry'!$K$2:$K$821,MATCH(H458,'Ashed teabags dry'!$A$2:$A$821,0)),"")</f>
        <v>29.172785119922423</v>
      </c>
      <c r="X458" s="195">
        <f>IFERROR(INDEX('Ashed teabags dry'!$K$2:$K$821,MATCH(I458,'Ashed teabags dry'!$A$2:$A$821,0)),"")</f>
        <v>9.0049751243772</v>
      </c>
      <c r="Y458" s="195">
        <f t="shared" si="62"/>
        <v>0.50322736172295113</v>
      </c>
      <c r="Z458" s="195">
        <f t="shared" si="62"/>
        <v>1.4784871641791193</v>
      </c>
      <c r="AA458" s="195">
        <f t="shared" si="68"/>
        <v>0.70883503959734084</v>
      </c>
      <c r="AB458" s="195">
        <f t="shared" si="69"/>
        <v>0.46469945588804301</v>
      </c>
      <c r="AC458" s="195">
        <f t="shared" si="63"/>
        <v>0.77861720658855738</v>
      </c>
      <c r="AD458">
        <f t="shared" si="64"/>
        <v>69</v>
      </c>
      <c r="AE458" s="195">
        <f t="shared" si="70"/>
        <v>0.15815315962311061</v>
      </c>
      <c r="AF458" s="195">
        <f t="shared" si="71"/>
        <v>9.3772048180339844E-3</v>
      </c>
      <c r="AG458" s="255" t="str">
        <f>IF(ISNUMBER(SEARCH("C", 'Dry_Litterbag Placem_Collection'!AD165)),"YES","NO")</f>
        <v>NO</v>
      </c>
      <c r="AH458" s="255" t="str">
        <f>IF(ISNUMBER(SEARCH("H", 'Dry_Litterbag Placem_Collection'!AD165)),"YES","NO")</f>
        <v>NO</v>
      </c>
      <c r="AI458" s="255" t="str">
        <f>IF(ISNUMBER(SEARCH("R", 'Dry_Litterbag Placem_Collection'!AD165)),"YES","NO")</f>
        <v>NO</v>
      </c>
      <c r="AJ458" s="255" t="str">
        <f>IF(ISNUMBER(SEARCH("C", 'Dry_Litterbag Placem_Collection'!AC165)),"YES","NO")</f>
        <v>NO</v>
      </c>
      <c r="AK458" s="255" t="str">
        <f>IF(ISNUMBER(SEARCH("H", 'Dry_Litterbag Placem_Collection'!AC165)),"YES","NO")</f>
        <v>NO</v>
      </c>
      <c r="AL458" s="255" t="str">
        <f>IF(ISNUMBER(SEARCH("R", 'Dry_Litterbag Placem_Collection'!AC165)),"YES","NO")</f>
        <v>NO</v>
      </c>
      <c r="AR458" t="s">
        <v>1328</v>
      </c>
      <c r="AT458" t="s">
        <v>874</v>
      </c>
    </row>
    <row r="459" spans="2:46">
      <c r="B459" t="str">
        <f>'Final data_for_R_analysis_Dryse'!A605</f>
        <v>Dry</v>
      </c>
      <c r="C459" s="263">
        <f>'Final data_for_R_analysis_Dryse'!B605</f>
        <v>164</v>
      </c>
      <c r="D459" t="s">
        <v>3851</v>
      </c>
      <c r="E459" t="s">
        <v>25</v>
      </c>
      <c r="F459" s="387">
        <v>4</v>
      </c>
      <c r="G459" s="16">
        <f>'Dry_Litterbag Placem_Collection'!E166</f>
        <v>42940</v>
      </c>
      <c r="H459" s="92" t="str">
        <f>'Final data_for_R_analysis_Dryse'!J605</f>
        <v>G239</v>
      </c>
      <c r="I459" t="str">
        <f>'Final data_for_R_analysis_Dryse'!J825</f>
        <v>R211</v>
      </c>
      <c r="J459">
        <f>IFERROR(INDEX('Green_rooibos initial weight'!$C$5:$C$1749,MATCH(H459, 'Green_rooibos initial weight'!$A$5:$A$1749,0)),"")</f>
        <v>2.1019999999999999</v>
      </c>
      <c r="K459">
        <f>IFERROR(INDEX('Green_rooibos initial weight'!$C$5:$C$1749,MATCH(I459, 'Green_rooibos initial weight'!$A$5:$A$1749,0)),"")</f>
        <v>2.2389999999999999</v>
      </c>
      <c r="L459" s="195">
        <f t="shared" si="65"/>
        <v>1.8521999999999998</v>
      </c>
      <c r="M459" s="240">
        <f>AVERAGE(Ashed_controlls!$K$1:$K$11)</f>
        <v>5.5147656768714146</v>
      </c>
      <c r="N459" s="195">
        <f t="shared" si="60"/>
        <v>1.7500555101329875</v>
      </c>
      <c r="O459" s="195">
        <f t="shared" si="66"/>
        <v>1.9891999999999999</v>
      </c>
      <c r="P459" s="240">
        <f>AVERAGE(Ashed_controlls!$K$12:$K$14)</f>
        <v>2.2816647271287041</v>
      </c>
      <c r="Q459" s="195">
        <f t="shared" si="61"/>
        <v>1.9438131252479556</v>
      </c>
      <c r="R459" s="16">
        <f>IF('Dry_Litterbag Placem_Collection'!G166="N.A","",'Dry_Litterbag Placem_Collection'!G166)</f>
        <v>43009</v>
      </c>
      <c r="S459" s="195">
        <f>IF(IFERROR(INDEX('Both teabags AfterDry'!$D$1:$D$839,MATCH(H459,'Both teabags AfterDry'!$A$1:$A$839,0)),"")="N.A","",(IFERROR(INDEX('Both teabags AfterDry'!$D$1:$D$839,MATCH(H459,'Both teabags AfterDry'!$A$1:$A$839,0)),"")))</f>
        <v>0.73950000000000005</v>
      </c>
      <c r="T459" s="195">
        <f>IF(IFERROR(INDEX('Both teabags AfterDry'!$D$1:$D$839,MATCH(I459,'Both teabags AfterDry'!$A$1:$A$839,0)),"")="N.A","",(IFERROR(INDEX('Both teabags AfterDry'!$D$1:$D$839,MATCH(I459,'Both teabags AfterDry'!$A$1:$A$839,0)),"")))</f>
        <v>1.7732000000000001</v>
      </c>
      <c r="U459" s="195">
        <f t="shared" si="67"/>
        <v>0.58889999999999998</v>
      </c>
      <c r="V459" s="195">
        <f t="shared" si="67"/>
        <v>1.6226</v>
      </c>
      <c r="W459" s="195">
        <f>IFERROR(INDEX('Ashed teabags dry'!$K$2:$K$821,MATCH(H459,'Ashed teabags dry'!$A$2:$A$821,0)),"")</f>
        <v>17.516081147946309</v>
      </c>
      <c r="X459" s="195">
        <f>IFERROR(INDEX('Ashed teabags dry'!$K$2:$K$821,MATCH(I459,'Ashed teabags dry'!$A$2:$A$821,0)),"")</f>
        <v>6.3861386138614789</v>
      </c>
      <c r="Y459" s="195">
        <f t="shared" si="62"/>
        <v>0.48574779811974417</v>
      </c>
      <c r="Z459" s="195">
        <f t="shared" si="62"/>
        <v>1.5189785148514836</v>
      </c>
      <c r="AA459" s="195">
        <f t="shared" si="68"/>
        <v>0.7224386339134854</v>
      </c>
      <c r="AB459" s="195">
        <f t="shared" si="69"/>
        <v>0.47361772674613301</v>
      </c>
      <c r="AC459" s="195">
        <f t="shared" si="63"/>
        <v>0.78144266808452612</v>
      </c>
      <c r="AD459">
        <f t="shared" si="64"/>
        <v>69</v>
      </c>
      <c r="AE459" s="195">
        <f t="shared" si="70"/>
        <v>0.14199687183671561</v>
      </c>
      <c r="AF459" s="195">
        <f t="shared" si="71"/>
        <v>8.9695674357301424E-3</v>
      </c>
      <c r="AG459" s="255" t="str">
        <f>IF(ISNUMBER(SEARCH("C", 'Dry_Litterbag Placem_Collection'!AD166)),"YES","NO")</f>
        <v>NO</v>
      </c>
      <c r="AH459" s="255" t="str">
        <f>IF(ISNUMBER(SEARCH("H", 'Dry_Litterbag Placem_Collection'!AD166)),"YES","NO")</f>
        <v>NO</v>
      </c>
      <c r="AI459" s="255" t="str">
        <f>IF(ISNUMBER(SEARCH("R", 'Dry_Litterbag Placem_Collection'!AD166)),"YES","NO")</f>
        <v>NO</v>
      </c>
      <c r="AJ459" s="255" t="str">
        <f>IF(ISNUMBER(SEARCH("C", 'Dry_Litterbag Placem_Collection'!AC166)),"YES","NO")</f>
        <v>NO</v>
      </c>
      <c r="AK459" s="255" t="str">
        <f>IF(ISNUMBER(SEARCH("H", 'Dry_Litterbag Placem_Collection'!AC166)),"YES","NO")</f>
        <v>NO</v>
      </c>
      <c r="AL459" s="255" t="str">
        <f>IF(ISNUMBER(SEARCH("R", 'Dry_Litterbag Placem_Collection'!AC166)),"YES","NO")</f>
        <v>NO</v>
      </c>
      <c r="AR459" t="s">
        <v>1811</v>
      </c>
      <c r="AT459" t="s">
        <v>930</v>
      </c>
    </row>
    <row r="460" spans="2:46">
      <c r="B460" t="str">
        <f>'Final data_for_R_analysis_Dryse'!A606</f>
        <v>Dry</v>
      </c>
      <c r="C460" s="263">
        <f>'Final data_for_R_analysis_Dryse'!B606</f>
        <v>165</v>
      </c>
      <c r="D460" t="s">
        <v>3851</v>
      </c>
      <c r="E460" t="s">
        <v>25</v>
      </c>
      <c r="F460" s="387">
        <v>5</v>
      </c>
      <c r="G460" s="16">
        <f>'Dry_Litterbag Placem_Collection'!E167</f>
        <v>42940</v>
      </c>
      <c r="H460" s="92" t="str">
        <f>'Final data_for_R_analysis_Dryse'!J606</f>
        <v>G343</v>
      </c>
      <c r="I460" t="str">
        <f>'Final data_for_R_analysis_Dryse'!J826</f>
        <v>R310</v>
      </c>
      <c r="J460">
        <f>IFERROR(INDEX('Green_rooibos initial weight'!$C$5:$C$1749,MATCH(H460, 'Green_rooibos initial weight'!$A$5:$A$1749,0)),"")</f>
        <v>1.8340000000000001</v>
      </c>
      <c r="K460">
        <f>IFERROR(INDEX('Green_rooibos initial weight'!$C$5:$C$1749,MATCH(I460, 'Green_rooibos initial weight'!$A$5:$A$1749,0)),"")</f>
        <v>2.2170000000000001</v>
      </c>
      <c r="L460" s="195">
        <f t="shared" si="65"/>
        <v>1.5842000000000001</v>
      </c>
      <c r="M460" s="240">
        <f>AVERAGE(Ashed_controlls!$K$1:$K$11)</f>
        <v>5.5147656768714146</v>
      </c>
      <c r="N460" s="195">
        <f t="shared" ref="N460:N515" si="72">IFERROR(L460-(M460/100)*L460,"")</f>
        <v>1.4968350821470031</v>
      </c>
      <c r="O460" s="195">
        <f t="shared" si="66"/>
        <v>1.9672000000000001</v>
      </c>
      <c r="P460" s="240">
        <f>AVERAGE(Ashed_controlls!$K$12:$K$14)</f>
        <v>2.2816647271287041</v>
      </c>
      <c r="Q460" s="195">
        <f t="shared" ref="Q460:Q515" si="73">IFERROR(O460-(P460/100)*O460,"")</f>
        <v>1.9223150914879241</v>
      </c>
      <c r="R460" s="16">
        <f>IF('Dry_Litterbag Placem_Collection'!G167="N.A","",'Dry_Litterbag Placem_Collection'!G167)</f>
        <v>43009</v>
      </c>
      <c r="S460" s="195">
        <f>IF(IFERROR(INDEX('Both teabags AfterDry'!$D$1:$D$839,MATCH(H460,'Both teabags AfterDry'!$A$1:$A$839,0)),"")="N.A","",(IFERROR(INDEX('Both teabags AfterDry'!$D$1:$D$839,MATCH(H460,'Both teabags AfterDry'!$A$1:$A$839,0)),"")))</f>
        <v>0.68059999999999998</v>
      </c>
      <c r="T460" s="195">
        <f>IF(IFERROR(INDEX('Both teabags AfterDry'!$D$1:$D$839,MATCH(I460,'Both teabags AfterDry'!$A$1:$A$839,0)),"")="N.A","",(IFERROR(INDEX('Both teabags AfterDry'!$D$1:$D$839,MATCH(I460,'Both teabags AfterDry'!$A$1:$A$839,0)),"")))</f>
        <v>1.7559</v>
      </c>
      <c r="U460" s="195">
        <f t="shared" si="67"/>
        <v>0.53</v>
      </c>
      <c r="V460" s="195">
        <f t="shared" si="67"/>
        <v>1.6052999999999999</v>
      </c>
      <c r="W460" s="195">
        <f>IFERROR(INDEX('Ashed teabags dry'!$K$2:$K$821,MATCH(H460,'Ashed teabags dry'!$A$2:$A$821,0)),"")</f>
        <v>16.867469879518342</v>
      </c>
      <c r="X460" s="195">
        <f>IFERROR(INDEX('Ashed teabags dry'!$K$2:$K$821,MATCH(I460,'Ashed teabags dry'!$A$2:$A$821,0)),"")</f>
        <v>4.4911610129003776</v>
      </c>
      <c r="Y460" s="195">
        <f t="shared" ref="Y460:Z515" si="74">IFERROR(U460-(W460/100)*U460,"")</f>
        <v>0.44060240963855279</v>
      </c>
      <c r="Z460" s="195">
        <f t="shared" si="74"/>
        <v>1.5332033922599102</v>
      </c>
      <c r="AA460" s="195">
        <f t="shared" si="68"/>
        <v>0.70564398516998317</v>
      </c>
      <c r="AB460" s="195">
        <f t="shared" si="69"/>
        <v>0.46260745821120042</v>
      </c>
      <c r="AC460" s="195">
        <f t="shared" ref="AC460:AC515" si="75">IFERROR(Z460/Q460,"")</f>
        <v>0.79758172791182169</v>
      </c>
      <c r="AD460">
        <f t="shared" ref="AD460:AD515" si="76">IF((R460-G460)&gt;0,(IFERROR(R460-G460,"")),"")</f>
        <v>69</v>
      </c>
      <c r="AE460" s="195">
        <f t="shared" si="70"/>
        <v>0.16194301048695581</v>
      </c>
      <c r="AF460" s="195">
        <f t="shared" si="71"/>
        <v>8.3401429955673005E-3</v>
      </c>
      <c r="AG460" s="255" t="str">
        <f>IF(ISNUMBER(SEARCH("C", 'Dry_Litterbag Placem_Collection'!AD167)),"YES","NO")</f>
        <v>NO</v>
      </c>
      <c r="AH460" s="255" t="str">
        <f>IF(ISNUMBER(SEARCH("H", 'Dry_Litterbag Placem_Collection'!AD167)),"YES","NO")</f>
        <v>NO</v>
      </c>
      <c r="AI460" s="255" t="str">
        <f>IF(ISNUMBER(SEARCH("R", 'Dry_Litterbag Placem_Collection'!AD167)),"YES","NO")</f>
        <v>NO</v>
      </c>
      <c r="AJ460" s="255" t="str">
        <f>IF(ISNUMBER(SEARCH("C", 'Dry_Litterbag Placem_Collection'!AC167)),"YES","NO")</f>
        <v>NO</v>
      </c>
      <c r="AK460" s="255" t="str">
        <f>IF(ISNUMBER(SEARCH("H", 'Dry_Litterbag Placem_Collection'!AC167)),"YES","NO")</f>
        <v>NO</v>
      </c>
      <c r="AL460" s="255" t="str">
        <f>IF(ISNUMBER(SEARCH("R", 'Dry_Litterbag Placem_Collection'!AC167)),"YES","NO")</f>
        <v>NO</v>
      </c>
      <c r="AR460" t="s">
        <v>1707</v>
      </c>
      <c r="AT460" t="s">
        <v>831</v>
      </c>
    </row>
    <row r="461" spans="2:46">
      <c r="B461" t="str">
        <f>'Final data_for_R_analysis_Dryse'!A607</f>
        <v>Dry</v>
      </c>
      <c r="C461" s="263">
        <f>'Final data_for_R_analysis_Dryse'!B607</f>
        <v>166</v>
      </c>
      <c r="D461" t="s">
        <v>3851</v>
      </c>
      <c r="E461" t="s">
        <v>25</v>
      </c>
      <c r="F461" s="387">
        <v>6</v>
      </c>
      <c r="G461" s="16">
        <f>'Dry_Litterbag Placem_Collection'!E168</f>
        <v>42940</v>
      </c>
      <c r="H461" s="92" t="str">
        <f>'Final data_for_R_analysis_Dryse'!J607</f>
        <v>G409</v>
      </c>
      <c r="I461" t="str">
        <f>'Final data_for_R_analysis_Dryse'!J827</f>
        <v>R269</v>
      </c>
      <c r="J461">
        <f>IFERROR(INDEX('Green_rooibos initial weight'!$C$5:$C$1749,MATCH(H461, 'Green_rooibos initial weight'!$A$5:$A$1749,0)),"")</f>
        <v>1.968</v>
      </c>
      <c r="K461">
        <f>IFERROR(INDEX('Green_rooibos initial weight'!$C$5:$C$1749,MATCH(I461, 'Green_rooibos initial weight'!$A$5:$A$1749,0)),"")</f>
        <v>2.278</v>
      </c>
      <c r="L461" s="195">
        <f t="shared" ref="L461:L515" si="77">IFERROR(IF(J461&gt;0,(J461*$F$31-($F$29+$F$30)),""),"")</f>
        <v>1.7181999999999999</v>
      </c>
      <c r="M461" s="240">
        <f>AVERAGE(Ashed_controlls!$K$1:$K$11)</f>
        <v>5.5147656768714146</v>
      </c>
      <c r="N461" s="195">
        <f t="shared" si="72"/>
        <v>1.6234452961399952</v>
      </c>
      <c r="O461" s="195">
        <f t="shared" ref="O461:O515" si="78">IFERROR(IF(K461&gt;0,(K461*$F$32-($F$29+$F$30)),""),"")</f>
        <v>2.0282</v>
      </c>
      <c r="P461" s="240">
        <f>AVERAGE(Ashed_controlls!$K$12:$K$14)</f>
        <v>2.2816647271287041</v>
      </c>
      <c r="Q461" s="195">
        <f t="shared" si="73"/>
        <v>1.9819232760043757</v>
      </c>
      <c r="R461" s="16">
        <f>IF('Dry_Litterbag Placem_Collection'!G168="N.A","",'Dry_Litterbag Placem_Collection'!G168)</f>
        <v>43009</v>
      </c>
      <c r="S461" s="195">
        <f>IF(IFERROR(INDEX('Both teabags AfterDry'!$D$1:$D$839,MATCH(H461,'Both teabags AfterDry'!$A$1:$A$839,0)),"")="N.A","",(IFERROR(INDEX('Both teabags AfterDry'!$D$1:$D$839,MATCH(H461,'Both teabags AfterDry'!$A$1:$A$839,0)),"")))</f>
        <v>0.77039999999999997</v>
      </c>
      <c r="T461" s="195">
        <f>IF(IFERROR(INDEX('Both teabags AfterDry'!$D$1:$D$839,MATCH(I461,'Both teabags AfterDry'!$A$1:$A$839,0)),"")="N.A","",(IFERROR(INDEX('Both teabags AfterDry'!$D$1:$D$839,MATCH(I461,'Both teabags AfterDry'!$A$1:$A$839,0)),"")))</f>
        <v>1.8042</v>
      </c>
      <c r="U461" s="195">
        <f t="shared" ref="U461:V515" si="79">IFERROR(IF(S461&gt;0,S461-($F$29),""),"")</f>
        <v>0.61979999999999991</v>
      </c>
      <c r="V461" s="195">
        <f t="shared" si="79"/>
        <v>1.6536</v>
      </c>
      <c r="W461" s="195">
        <f>IFERROR(INDEX('Ashed teabags dry'!$K$2:$K$821,MATCH(H461,'Ashed teabags dry'!$A$2:$A$821,0)),"")</f>
        <v>23.019571295433156</v>
      </c>
      <c r="X461" s="195">
        <f>IFERROR(INDEX('Ashed teabags dry'!$K$2:$K$821,MATCH(I461,'Ashed teabags dry'!$A$2:$A$821,0)),"")</f>
        <v>8.1481481481479836</v>
      </c>
      <c r="Y461" s="195">
        <f t="shared" si="74"/>
        <v>0.47712469711090522</v>
      </c>
      <c r="Z461" s="195">
        <f t="shared" si="74"/>
        <v>1.518862222222225</v>
      </c>
      <c r="AA461" s="195">
        <f t="shared" ref="AA461:AA515" si="80">IFERROR(1-Y461/N461,"")</f>
        <v>0.70610361910848085</v>
      </c>
      <c r="AB461" s="195">
        <f t="shared" ref="AB461:AB515" si="81">IFERROR($F$26*(1-AE461),"")</f>
        <v>0.46290878592384971</v>
      </c>
      <c r="AC461" s="195">
        <f t="shared" si="75"/>
        <v>0.76635772969188931</v>
      </c>
      <c r="AD461">
        <f t="shared" si="76"/>
        <v>69</v>
      </c>
      <c r="AE461" s="195">
        <f t="shared" ref="AE461:AE515" si="82">IFERROR(1-(AA461/$F$25),"")</f>
        <v>0.16139712694954766</v>
      </c>
      <c r="AF461" s="195">
        <f t="shared" ref="AF461:AF515" si="83">IFERROR(LN(AB461/(AC461-(1-AB461)))/AD461,"")</f>
        <v>1.0183259094897234E-2</v>
      </c>
      <c r="AG461" s="255" t="str">
        <f>IF(ISNUMBER(SEARCH("C", 'Dry_Litterbag Placem_Collection'!AD168)),"YES","NO")</f>
        <v>NO</v>
      </c>
      <c r="AH461" s="255" t="str">
        <f>IF(ISNUMBER(SEARCH("H", 'Dry_Litterbag Placem_Collection'!AD168)),"YES","NO")</f>
        <v>NO</v>
      </c>
      <c r="AI461" s="255" t="str">
        <f>IF(ISNUMBER(SEARCH("R", 'Dry_Litterbag Placem_Collection'!AD168)),"YES","NO")</f>
        <v>NO</v>
      </c>
      <c r="AJ461" s="255" t="str">
        <f>IF(ISNUMBER(SEARCH("C", 'Dry_Litterbag Placem_Collection'!AC168)),"YES","NO")</f>
        <v>NO</v>
      </c>
      <c r="AK461" s="255" t="str">
        <f>IF(ISNUMBER(SEARCH("H", 'Dry_Litterbag Placem_Collection'!AC168)),"YES","NO")</f>
        <v>NO</v>
      </c>
      <c r="AL461" s="255" t="str">
        <f>IF(ISNUMBER(SEARCH("R", 'Dry_Litterbag Placem_Collection'!AC168)),"YES","NO")</f>
        <v>NO</v>
      </c>
      <c r="AR461" t="s">
        <v>1641</v>
      </c>
      <c r="AT461" t="s">
        <v>872</v>
      </c>
    </row>
    <row r="462" spans="2:46">
      <c r="B462" t="str">
        <f>'Final data_for_R_analysis_Dryse'!A608</f>
        <v>Dry</v>
      </c>
      <c r="C462" s="263">
        <f>'Final data_for_R_analysis_Dryse'!B608</f>
        <v>167</v>
      </c>
      <c r="D462" t="s">
        <v>3851</v>
      </c>
      <c r="E462" t="s">
        <v>25</v>
      </c>
      <c r="F462" s="387">
        <v>7</v>
      </c>
      <c r="G462" s="16">
        <f>'Dry_Litterbag Placem_Collection'!E169</f>
        <v>0</v>
      </c>
      <c r="H462" s="92" t="str">
        <f>'Final data_for_R_analysis_Dryse'!J608</f>
        <v/>
      </c>
      <c r="I462" t="str">
        <f>'Final data_for_R_analysis_Dryse'!J828</f>
        <v/>
      </c>
      <c r="J462" t="str">
        <f>IFERROR(INDEX('Green_rooibos initial weight'!$C$5:$C$1749,MATCH(H462, 'Green_rooibos initial weight'!$A$5:$A$1749,0)),"")</f>
        <v/>
      </c>
      <c r="K462" t="str">
        <f>IFERROR(INDEX('Green_rooibos initial weight'!$C$5:$C$1749,MATCH(I462, 'Green_rooibos initial weight'!$A$5:$A$1749,0)),"")</f>
        <v/>
      </c>
      <c r="L462" s="195" t="str">
        <f t="shared" si="77"/>
        <v/>
      </c>
      <c r="M462" s="240">
        <f>AVERAGE(Ashed_controlls!$K$1:$K$11)</f>
        <v>5.5147656768714146</v>
      </c>
      <c r="N462" s="195" t="str">
        <f t="shared" si="72"/>
        <v/>
      </c>
      <c r="O462" s="195" t="str">
        <f t="shared" si="78"/>
        <v/>
      </c>
      <c r="P462" s="240">
        <f>AVERAGE(Ashed_controlls!$K$12:$K$14)</f>
        <v>2.2816647271287041</v>
      </c>
      <c r="Q462" s="195" t="str">
        <f t="shared" si="73"/>
        <v/>
      </c>
      <c r="R462" s="16">
        <f>IF('Dry_Litterbag Placem_Collection'!G169="N.A","",'Dry_Litterbag Placem_Collection'!G169)</f>
        <v>0</v>
      </c>
      <c r="S462" s="195" t="str">
        <f>IF(IFERROR(INDEX('Both teabags AfterDry'!$D$1:$D$839,MATCH(H462,'Both teabags AfterDry'!$A$1:$A$839,0)),"")="N.A","",(IFERROR(INDEX('Both teabags AfterDry'!$D$1:$D$839,MATCH(H462,'Both teabags AfterDry'!$A$1:$A$839,0)),"")))</f>
        <v/>
      </c>
      <c r="T462" s="195" t="str">
        <f>IF(IFERROR(INDEX('Both teabags AfterDry'!$D$1:$D$839,MATCH(I462,'Both teabags AfterDry'!$A$1:$A$839,0)),"")="N.A","",(IFERROR(INDEX('Both teabags AfterDry'!$D$1:$D$839,MATCH(I462,'Both teabags AfterDry'!$A$1:$A$839,0)),"")))</f>
        <v/>
      </c>
      <c r="U462" s="195" t="str">
        <f t="shared" si="79"/>
        <v/>
      </c>
      <c r="V462" s="195" t="str">
        <f t="shared" si="79"/>
        <v/>
      </c>
      <c r="W462" s="195" t="str">
        <f>IFERROR(INDEX('Ashed teabags dry'!$K$2:$K$821,MATCH(H462,'Ashed teabags dry'!$A$2:$A$821,0)),"")</f>
        <v/>
      </c>
      <c r="X462" s="195" t="str">
        <f>IFERROR(INDEX('Ashed teabags dry'!$K$2:$K$821,MATCH(I462,'Ashed teabags dry'!$A$2:$A$821,0)),"")</f>
        <v/>
      </c>
      <c r="Y462" s="195" t="str">
        <f t="shared" si="74"/>
        <v/>
      </c>
      <c r="Z462" s="195" t="str">
        <f t="shared" si="74"/>
        <v/>
      </c>
      <c r="AA462" s="195" t="str">
        <f t="shared" si="80"/>
        <v/>
      </c>
      <c r="AB462" s="195" t="str">
        <f t="shared" si="81"/>
        <v/>
      </c>
      <c r="AC462" s="195" t="str">
        <f t="shared" si="75"/>
        <v/>
      </c>
      <c r="AD462" t="str">
        <f t="shared" si="76"/>
        <v/>
      </c>
      <c r="AE462" s="195" t="str">
        <f t="shared" si="82"/>
        <v/>
      </c>
      <c r="AF462" s="195" t="str">
        <f t="shared" si="83"/>
        <v/>
      </c>
      <c r="AG462" s="255" t="str">
        <f>IF(ISNUMBER(SEARCH("C", 'Dry_Litterbag Placem_Collection'!AD169)),"YES","NO")</f>
        <v>NO</v>
      </c>
      <c r="AH462" s="255" t="str">
        <f>IF(ISNUMBER(SEARCH("H", 'Dry_Litterbag Placem_Collection'!AD169)),"YES","NO")</f>
        <v>NO</v>
      </c>
      <c r="AI462" s="255" t="str">
        <f>IF(ISNUMBER(SEARCH("R", 'Dry_Litterbag Placem_Collection'!AD169)),"YES","NO")</f>
        <v>NO</v>
      </c>
      <c r="AJ462" s="255" t="str">
        <f>IF(ISNUMBER(SEARCH("C", 'Dry_Litterbag Placem_Collection'!AC169)),"YES","NO")</f>
        <v>NO</v>
      </c>
      <c r="AK462" s="255" t="str">
        <f>IF(ISNUMBER(SEARCH("H", 'Dry_Litterbag Placem_Collection'!AC169)),"YES","NO")</f>
        <v>NO</v>
      </c>
      <c r="AL462" s="255" t="str">
        <f>IF(ISNUMBER(SEARCH("R", 'Dry_Litterbag Placem_Collection'!AC169)),"YES","NO")</f>
        <v>NO</v>
      </c>
      <c r="AR462" t="s">
        <v>3654</v>
      </c>
      <c r="AT462" t="s">
        <v>3654</v>
      </c>
    </row>
    <row r="463" spans="2:46">
      <c r="B463" t="str">
        <f>'Final data_for_R_analysis_Dryse'!A609</f>
        <v>Dry</v>
      </c>
      <c r="C463" s="263">
        <f>'Final data_for_R_analysis_Dryse'!B609</f>
        <v>168</v>
      </c>
      <c r="D463" t="s">
        <v>3851</v>
      </c>
      <c r="E463" t="s">
        <v>25</v>
      </c>
      <c r="F463" s="387">
        <v>8</v>
      </c>
      <c r="G463" s="16">
        <f>'Dry_Litterbag Placem_Collection'!E170</f>
        <v>42940</v>
      </c>
      <c r="H463" s="92" t="str">
        <f>'Final data_for_R_analysis_Dryse'!J609</f>
        <v>G304</v>
      </c>
      <c r="I463" t="str">
        <f>'Final data_for_R_analysis_Dryse'!J829</f>
        <v>R413</v>
      </c>
      <c r="J463">
        <f>IFERROR(INDEX('Green_rooibos initial weight'!$C$5:$C$1749,MATCH(H463, 'Green_rooibos initial weight'!$A$5:$A$1749,0)),"")</f>
        <v>1.9490000000000001</v>
      </c>
      <c r="K463">
        <f>IFERROR(INDEX('Green_rooibos initial weight'!$C$5:$C$1749,MATCH(I463, 'Green_rooibos initial weight'!$A$5:$A$1749,0)),"")</f>
        <v>2.214</v>
      </c>
      <c r="L463" s="195">
        <f t="shared" si="77"/>
        <v>1.6992</v>
      </c>
      <c r="M463" s="240">
        <f>AVERAGE(Ashed_controlls!$K$1:$K$11)</f>
        <v>5.5147656768714146</v>
      </c>
      <c r="N463" s="195">
        <f t="shared" si="72"/>
        <v>1.6054931016186009</v>
      </c>
      <c r="O463" s="195">
        <f t="shared" si="78"/>
        <v>1.9641999999999999</v>
      </c>
      <c r="P463" s="240">
        <f>AVERAGE(Ashed_controlls!$K$12:$K$14)</f>
        <v>2.2816647271287041</v>
      </c>
      <c r="Q463" s="195">
        <f t="shared" si="73"/>
        <v>1.919383541429738</v>
      </c>
      <c r="R463" s="16">
        <f>IF('Dry_Litterbag Placem_Collection'!G170="N.A","",'Dry_Litterbag Placem_Collection'!G170)</f>
        <v>43009</v>
      </c>
      <c r="S463" s="195" t="str">
        <f>IF(IFERROR(INDEX('Both teabags AfterDry'!$D$1:$D$839,MATCH(H463,'Both teabags AfterDry'!$A$1:$A$839,0)),"")="N.A","",(IFERROR(INDEX('Both teabags AfterDry'!$D$1:$D$839,MATCH(H463,'Both teabags AfterDry'!$A$1:$A$839,0)),"")))</f>
        <v/>
      </c>
      <c r="T463" s="195" t="str">
        <f>IF(IFERROR(INDEX('Both teabags AfterDry'!$D$1:$D$839,MATCH(I463,'Both teabags AfterDry'!$A$1:$A$839,0)),"")="N.A","",(IFERROR(INDEX('Both teabags AfterDry'!$D$1:$D$839,MATCH(I463,'Both teabags AfterDry'!$A$1:$A$839,0)),"")))</f>
        <v/>
      </c>
      <c r="U463" s="195" t="str">
        <f t="shared" si="79"/>
        <v/>
      </c>
      <c r="V463" s="195" t="str">
        <f t="shared" si="79"/>
        <v/>
      </c>
      <c r="W463" s="195" t="str">
        <f>IFERROR(INDEX('Ashed teabags dry'!$K$2:$K$821,MATCH(H463,'Ashed teabags dry'!$A$2:$A$821,0)),"")</f>
        <v/>
      </c>
      <c r="X463" s="195" t="str">
        <f>IFERROR(INDEX('Ashed teabags dry'!$K$2:$K$821,MATCH(I463,'Ashed teabags dry'!$A$2:$A$821,0)),"")</f>
        <v/>
      </c>
      <c r="Y463" s="195" t="str">
        <f t="shared" si="74"/>
        <v/>
      </c>
      <c r="Z463" s="195" t="str">
        <f t="shared" si="74"/>
        <v/>
      </c>
      <c r="AA463" s="195" t="str">
        <f t="shared" si="80"/>
        <v/>
      </c>
      <c r="AB463" s="195" t="str">
        <f t="shared" si="81"/>
        <v/>
      </c>
      <c r="AC463" s="195" t="str">
        <f t="shared" si="75"/>
        <v/>
      </c>
      <c r="AD463">
        <f t="shared" si="76"/>
        <v>69</v>
      </c>
      <c r="AE463" s="195" t="str">
        <f t="shared" si="82"/>
        <v/>
      </c>
      <c r="AF463" s="195" t="str">
        <f t="shared" si="83"/>
        <v/>
      </c>
      <c r="AG463" s="255" t="str">
        <f>IF(ISNUMBER(SEARCH("C", 'Dry_Litterbag Placem_Collection'!AD170)),"YES","NO")</f>
        <v>NO</v>
      </c>
      <c r="AH463" s="255" t="str">
        <f>IF(ISNUMBER(SEARCH("H", 'Dry_Litterbag Placem_Collection'!AD170)),"YES","NO")</f>
        <v>NO</v>
      </c>
      <c r="AI463" s="255" t="str">
        <f>IF(ISNUMBER(SEARCH("R", 'Dry_Litterbag Placem_Collection'!AD170)),"YES","NO")</f>
        <v>NO</v>
      </c>
      <c r="AJ463" s="255" t="str">
        <f>IF(ISNUMBER(SEARCH("C", 'Dry_Litterbag Placem_Collection'!AC170)),"YES","NO")</f>
        <v>NO</v>
      </c>
      <c r="AK463" s="255" t="str">
        <f>IF(ISNUMBER(SEARCH("H", 'Dry_Litterbag Placem_Collection'!AC170)),"YES","NO")</f>
        <v>NO</v>
      </c>
      <c r="AL463" s="255" t="str">
        <f>IF(ISNUMBER(SEARCH("R", 'Dry_Litterbag Placem_Collection'!AC170)),"YES","NO")</f>
        <v>NO</v>
      </c>
      <c r="AR463" t="s">
        <v>1746</v>
      </c>
      <c r="AT463" t="s">
        <v>728</v>
      </c>
    </row>
    <row r="464" spans="2:46">
      <c r="B464" t="str">
        <f>'Final data_for_R_analysis_Dryse'!A610</f>
        <v>Dry</v>
      </c>
      <c r="C464" s="263">
        <f>'Final data_for_R_analysis_Dryse'!B610</f>
        <v>169</v>
      </c>
      <c r="D464" t="s">
        <v>3853</v>
      </c>
      <c r="E464" t="s">
        <v>25</v>
      </c>
      <c r="F464" s="386">
        <v>1</v>
      </c>
      <c r="G464" s="16">
        <f>'Dry_Litterbag Placem_Collection'!E171</f>
        <v>42940</v>
      </c>
      <c r="H464" s="92" t="str">
        <f>'Final data_for_R_analysis_Dryse'!J610</f>
        <v>G135</v>
      </c>
      <c r="I464" t="str">
        <f>'Final data_for_R_analysis_Dryse'!J830</f>
        <v>R80</v>
      </c>
      <c r="J464">
        <f>IFERROR(INDEX('Green_rooibos initial weight'!$C$5:$C$1749,MATCH(H464, 'Green_rooibos initial weight'!$A$5:$A$1749,0)),"")</f>
        <v>2.0049999999999999</v>
      </c>
      <c r="K464">
        <f>IFERROR(INDEX('Green_rooibos initial weight'!$C$5:$C$1749,MATCH(I464, 'Green_rooibos initial weight'!$A$5:$A$1749,0)),"")</f>
        <v>2.177</v>
      </c>
      <c r="L464" s="195">
        <f t="shared" si="77"/>
        <v>1.7551999999999999</v>
      </c>
      <c r="M464" s="240">
        <f>AVERAGE(Ashed_controlls!$K$1:$K$11)</f>
        <v>5.5147656768714146</v>
      </c>
      <c r="N464" s="195">
        <f t="shared" si="72"/>
        <v>1.6584048328395529</v>
      </c>
      <c r="O464" s="195">
        <f t="shared" si="78"/>
        <v>1.9272</v>
      </c>
      <c r="P464" s="240">
        <f>AVERAGE(Ashed_controlls!$K$12:$K$14)</f>
        <v>2.2816647271287041</v>
      </c>
      <c r="Q464" s="195">
        <f t="shared" si="73"/>
        <v>1.8832277573787757</v>
      </c>
      <c r="R464" s="16">
        <f>IF('Dry_Litterbag Placem_Collection'!G171="N.A","",'Dry_Litterbag Placem_Collection'!G171)</f>
        <v>43009</v>
      </c>
      <c r="S464" s="195">
        <f>IF(IFERROR(INDEX('Both teabags AfterDry'!$D$1:$D$839,MATCH(H464,'Both teabags AfterDry'!$A$1:$A$839,0)),"")="N.A","",(IFERROR(INDEX('Both teabags AfterDry'!$D$1:$D$839,MATCH(H464,'Both teabags AfterDry'!$A$1:$A$839,0)),"")))</f>
        <v>0.78129999999999999</v>
      </c>
      <c r="T464" s="195">
        <f>IF(IFERROR(INDEX('Both teabags AfterDry'!$D$1:$D$839,MATCH(I464,'Both teabags AfterDry'!$A$1:$A$839,0)),"")="N.A","",(IFERROR(INDEX('Both teabags AfterDry'!$D$1:$D$839,MATCH(I464,'Both teabags AfterDry'!$A$1:$A$839,0)),"")))</f>
        <v>1.8815999999999999</v>
      </c>
      <c r="U464" s="195">
        <f t="shared" si="79"/>
        <v>0.63070000000000004</v>
      </c>
      <c r="V464" s="195">
        <f t="shared" si="79"/>
        <v>1.7309999999999999</v>
      </c>
      <c r="W464" s="195">
        <f>IFERROR(INDEX('Ashed teabags dry'!$K$2:$K$821,MATCH(H464,'Ashed teabags dry'!$A$2:$A$821,0)),"")</f>
        <v>21.873514027579272</v>
      </c>
      <c r="X464" s="195">
        <f>IFERROR(INDEX('Ashed teabags dry'!$K$2:$K$821,MATCH(I464,'Ashed teabags dry'!$A$2:$A$821,0)),"")</f>
        <v>12.458706937234023</v>
      </c>
      <c r="Y464" s="195">
        <f t="shared" si="74"/>
        <v>0.49274374702805757</v>
      </c>
      <c r="Z464" s="195">
        <f t="shared" si="74"/>
        <v>1.515339782916479</v>
      </c>
      <c r="AA464" s="195">
        <f t="shared" si="80"/>
        <v>0.7028809026175038</v>
      </c>
      <c r="AB464" s="195">
        <f t="shared" si="81"/>
        <v>0.46079603116967</v>
      </c>
      <c r="AC464" s="195">
        <f t="shared" si="75"/>
        <v>0.80465030157884243</v>
      </c>
      <c r="AD464">
        <f t="shared" si="76"/>
        <v>69</v>
      </c>
      <c r="AE464" s="195">
        <f t="shared" si="82"/>
        <v>0.16522458121436601</v>
      </c>
      <c r="AF464" s="195">
        <f t="shared" si="83"/>
        <v>7.9933740974252338E-3</v>
      </c>
      <c r="AG464" s="255" t="str">
        <f>IF(ISNUMBER(SEARCH("C", 'Dry_Litterbag Placem_Collection'!AD171)),"YES","NO")</f>
        <v>NO</v>
      </c>
      <c r="AH464" s="255" t="str">
        <f>IF(ISNUMBER(SEARCH("H", 'Dry_Litterbag Placem_Collection'!AD171)),"YES","NO")</f>
        <v>NO</v>
      </c>
      <c r="AI464" s="255" t="str">
        <f>IF(ISNUMBER(SEARCH("R", 'Dry_Litterbag Placem_Collection'!AD171)),"YES","NO")</f>
        <v>NO</v>
      </c>
      <c r="AJ464" s="255" t="str">
        <f>IF(ISNUMBER(SEARCH("C", 'Dry_Litterbag Placem_Collection'!AC171)),"YES","NO")</f>
        <v>NO</v>
      </c>
      <c r="AK464" s="255" t="str">
        <f>IF(ISNUMBER(SEARCH("H", 'Dry_Litterbag Placem_Collection'!AC171)),"YES","NO")</f>
        <v>NO</v>
      </c>
      <c r="AL464" s="255" t="str">
        <f>IF(ISNUMBER(SEARCH("R", 'Dry_Litterbag Placem_Collection'!AC171)),"YES","NO")</f>
        <v>NO</v>
      </c>
      <c r="AR464" t="s">
        <v>1915</v>
      </c>
      <c r="AT464" t="s">
        <v>1061</v>
      </c>
    </row>
    <row r="465" spans="2:46">
      <c r="B465" t="str">
        <f>'Final data_for_R_analysis_Dryse'!A611</f>
        <v>Dry</v>
      </c>
      <c r="C465" s="263">
        <f>'Final data_for_R_analysis_Dryse'!B611</f>
        <v>170</v>
      </c>
      <c r="D465" t="s">
        <v>3853</v>
      </c>
      <c r="E465" t="s">
        <v>25</v>
      </c>
      <c r="F465" s="386">
        <v>2</v>
      </c>
      <c r="G465" s="16">
        <f>'Dry_Litterbag Placem_Collection'!E172</f>
        <v>42940</v>
      </c>
      <c r="H465" s="92" t="str">
        <f>'Final data_for_R_analysis_Dryse'!J611</f>
        <v>G515</v>
      </c>
      <c r="I465" t="str">
        <f>'Final data_for_R_analysis_Dryse'!J831</f>
        <v>R208</v>
      </c>
      <c r="J465">
        <f>IFERROR(INDEX('Green_rooibos initial weight'!$C$5:$C$1749,MATCH(H465, 'Green_rooibos initial weight'!$A$5:$A$1749,0)),"")</f>
        <v>1.9890000000000001</v>
      </c>
      <c r="K465">
        <f>IFERROR(INDEX('Green_rooibos initial weight'!$C$5:$C$1749,MATCH(I465, 'Green_rooibos initial weight'!$A$5:$A$1749,0)),"")</f>
        <v>2.2250000000000001</v>
      </c>
      <c r="L465" s="195">
        <f t="shared" si="77"/>
        <v>1.7392000000000001</v>
      </c>
      <c r="M465" s="240">
        <f>AVERAGE(Ashed_controlls!$K$1:$K$11)</f>
        <v>5.5147656768714146</v>
      </c>
      <c r="N465" s="195">
        <f t="shared" si="72"/>
        <v>1.6432871953478525</v>
      </c>
      <c r="O465" s="195">
        <f t="shared" si="78"/>
        <v>1.9752000000000001</v>
      </c>
      <c r="P465" s="240">
        <f>AVERAGE(Ashed_controlls!$K$12:$K$14)</f>
        <v>2.2816647271287041</v>
      </c>
      <c r="Q465" s="195">
        <f t="shared" si="73"/>
        <v>1.9301325583097539</v>
      </c>
      <c r="R465" s="16">
        <f>IF('Dry_Litterbag Placem_Collection'!G172="N.A","",'Dry_Litterbag Placem_Collection'!G172)</f>
        <v>43009</v>
      </c>
      <c r="S465" s="195">
        <f>IF(IFERROR(INDEX('Both teabags AfterDry'!$D$1:$D$839,MATCH(H465,'Both teabags AfterDry'!$A$1:$A$839,0)),"")="N.A","",(IFERROR(INDEX('Both teabags AfterDry'!$D$1:$D$839,MATCH(H465,'Both teabags AfterDry'!$A$1:$A$839,0)),"")))</f>
        <v>0.77959999999999996</v>
      </c>
      <c r="T465" s="195">
        <f>IF(IFERROR(INDEX('Both teabags AfterDry'!$D$1:$D$839,MATCH(I465,'Both teabags AfterDry'!$A$1:$A$839,0)),"")="N.A","",(IFERROR(INDEX('Both teabags AfterDry'!$D$1:$D$839,MATCH(I465,'Both teabags AfterDry'!$A$1:$A$839,0)),"")))</f>
        <v>1.8463000000000001</v>
      </c>
      <c r="U465" s="195">
        <f t="shared" si="79"/>
        <v>0.629</v>
      </c>
      <c r="V465" s="195">
        <f t="shared" si="79"/>
        <v>1.6957</v>
      </c>
      <c r="W465" s="195">
        <f>IFERROR(INDEX('Ashed teabags dry'!$K$2:$K$821,MATCH(H465,'Ashed teabags dry'!$A$2:$A$821,0)),"")</f>
        <v>24.595469255663417</v>
      </c>
      <c r="X465" s="195">
        <f>IFERROR(INDEX('Ashed teabags dry'!$K$2:$K$821,MATCH(I465,'Ashed teabags dry'!$A$2:$A$821,0)),"")</f>
        <v>5.3697597739049137</v>
      </c>
      <c r="Y465" s="195">
        <f t="shared" si="74"/>
        <v>0.47429449838187709</v>
      </c>
      <c r="Z465" s="195">
        <f t="shared" si="74"/>
        <v>1.6046449835138943</v>
      </c>
      <c r="AA465" s="195">
        <f t="shared" si="80"/>
        <v>0.7113745547798308</v>
      </c>
      <c r="AB465" s="195">
        <f t="shared" si="81"/>
        <v>0.46636431619770385</v>
      </c>
      <c r="AC465" s="195">
        <f t="shared" si="75"/>
        <v>0.83136517054512882</v>
      </c>
      <c r="AD465">
        <f t="shared" si="76"/>
        <v>69</v>
      </c>
      <c r="AE465" s="195">
        <f t="shared" si="82"/>
        <v>0.15513710833749306</v>
      </c>
      <c r="AF465" s="195">
        <f t="shared" si="83"/>
        <v>6.504084224170697E-3</v>
      </c>
      <c r="AG465" s="255" t="str">
        <f>IF(ISNUMBER(SEARCH("C", 'Dry_Litterbag Placem_Collection'!AD172)),"YES","NO")</f>
        <v>NO</v>
      </c>
      <c r="AH465" s="255" t="str">
        <f>IF(ISNUMBER(SEARCH("H", 'Dry_Litterbag Placem_Collection'!AD172)),"YES","NO")</f>
        <v>NO</v>
      </c>
      <c r="AI465" s="255" t="str">
        <f>IF(ISNUMBER(SEARCH("R", 'Dry_Litterbag Placem_Collection'!AD172)),"YES","NO")</f>
        <v>NO</v>
      </c>
      <c r="AJ465" s="255" t="str">
        <f>IF(ISNUMBER(SEARCH("C", 'Dry_Litterbag Placem_Collection'!AC172)),"YES","NO")</f>
        <v>NO</v>
      </c>
      <c r="AK465" s="255" t="str">
        <f>IF(ISNUMBER(SEARCH("H", 'Dry_Litterbag Placem_Collection'!AC172)),"YES","NO")</f>
        <v>NO</v>
      </c>
      <c r="AL465" s="255" t="str">
        <f>IF(ISNUMBER(SEARCH("R", 'Dry_Litterbag Placem_Collection'!AC172)),"YES","NO")</f>
        <v>NO</v>
      </c>
      <c r="AR465" t="s">
        <v>1535</v>
      </c>
      <c r="AT465" t="s">
        <v>933</v>
      </c>
    </row>
    <row r="466" spans="2:46">
      <c r="B466" t="str">
        <f>'Final data_for_R_analysis_Dryse'!A612</f>
        <v>Dry</v>
      </c>
      <c r="C466" s="263">
        <f>'Final data_for_R_analysis_Dryse'!B612</f>
        <v>171</v>
      </c>
      <c r="D466" t="s">
        <v>3853</v>
      </c>
      <c r="E466" t="s">
        <v>25</v>
      </c>
      <c r="F466" s="386">
        <v>3</v>
      </c>
      <c r="G466" s="16">
        <f>'Dry_Litterbag Placem_Collection'!E173</f>
        <v>42940</v>
      </c>
      <c r="H466" s="92" t="str">
        <f>'Final data_for_R_analysis_Dryse'!J612</f>
        <v>G348</v>
      </c>
      <c r="I466" t="str">
        <f>'Final data_for_R_analysis_Dryse'!J832</f>
        <v>R633</v>
      </c>
      <c r="J466">
        <f>IFERROR(INDEX('Green_rooibos initial weight'!$C$5:$C$1749,MATCH(H466, 'Green_rooibos initial weight'!$A$5:$A$1749,0)),"")</f>
        <v>2.0139999999999998</v>
      </c>
      <c r="K466">
        <f>IFERROR(INDEX('Green_rooibos initial weight'!$C$5:$C$1749,MATCH(I466, 'Green_rooibos initial weight'!$A$5:$A$1749,0)),"")</f>
        <v>2.0760000000000001</v>
      </c>
      <c r="L466" s="195">
        <f t="shared" si="77"/>
        <v>1.7641999999999998</v>
      </c>
      <c r="M466" s="240">
        <f>AVERAGE(Ashed_controlls!$K$1:$K$11)</f>
        <v>5.5147656768714146</v>
      </c>
      <c r="N466" s="195">
        <f t="shared" si="72"/>
        <v>1.6669085039286342</v>
      </c>
      <c r="O466" s="195">
        <f t="shared" si="78"/>
        <v>1.8262</v>
      </c>
      <c r="P466" s="240">
        <f>AVERAGE(Ashed_controlls!$K$12:$K$14)</f>
        <v>2.2816647271287041</v>
      </c>
      <c r="Q466" s="195">
        <f t="shared" si="73"/>
        <v>1.7845322387531757</v>
      </c>
      <c r="R466" s="16">
        <f>IF('Dry_Litterbag Placem_Collection'!G173="N.A","",'Dry_Litterbag Placem_Collection'!G173)</f>
        <v>43009</v>
      </c>
      <c r="S466" s="195">
        <f>IF(IFERROR(INDEX('Both teabags AfterDry'!$D$1:$D$839,MATCH(H466,'Both teabags AfterDry'!$A$1:$A$839,0)),"")="N.A","",(IFERROR(INDEX('Both teabags AfterDry'!$D$1:$D$839,MATCH(H466,'Both teabags AfterDry'!$A$1:$A$839,0)),"")))</f>
        <v>0.69310000000000005</v>
      </c>
      <c r="T466" s="195">
        <f>IF(IFERROR(INDEX('Both teabags AfterDry'!$D$1:$D$839,MATCH(I466,'Both teabags AfterDry'!$A$1:$A$839,0)),"")="N.A","",(IFERROR(INDEX('Both teabags AfterDry'!$D$1:$D$839,MATCH(I466,'Both teabags AfterDry'!$A$1:$A$839,0)),"")))</f>
        <v>1.6096999999999999</v>
      </c>
      <c r="U466" s="195">
        <f t="shared" si="79"/>
        <v>0.54249999999999998</v>
      </c>
      <c r="V466" s="195">
        <f t="shared" si="79"/>
        <v>1.4590999999999998</v>
      </c>
      <c r="W466" s="195">
        <f>IFERROR(INDEX('Ashed teabags dry'!$K$2:$K$821,MATCH(H466,'Ashed teabags dry'!$A$2:$A$821,0)),"")</f>
        <v>19.412878787879041</v>
      </c>
      <c r="X466" s="195">
        <f>IFERROR(INDEX('Ashed teabags dry'!$K$2:$K$821,MATCH(I466,'Ashed teabags dry'!$A$2:$A$821,0)),"")</f>
        <v>5.8156727451944334</v>
      </c>
      <c r="Y466" s="195">
        <f t="shared" si="74"/>
        <v>0.4371851325757562</v>
      </c>
      <c r="Z466" s="195">
        <f t="shared" si="74"/>
        <v>1.3742435189748679</v>
      </c>
      <c r="AA466" s="195">
        <f t="shared" si="80"/>
        <v>0.7377269768884247</v>
      </c>
      <c r="AB466" s="195">
        <f t="shared" si="81"/>
        <v>0.48364048841141388</v>
      </c>
      <c r="AC466" s="195">
        <f t="shared" si="75"/>
        <v>0.77008612628653317</v>
      </c>
      <c r="AD466">
        <f t="shared" si="76"/>
        <v>69</v>
      </c>
      <c r="AE466" s="195">
        <f t="shared" si="82"/>
        <v>0.12383969490685898</v>
      </c>
      <c r="AF466" s="195">
        <f t="shared" si="83"/>
        <v>9.3490503027229034E-3</v>
      </c>
      <c r="AG466" s="255" t="str">
        <f>IF(ISNUMBER(SEARCH("C", 'Dry_Litterbag Placem_Collection'!AD173)),"YES","NO")</f>
        <v>NO</v>
      </c>
      <c r="AH466" s="255" t="str">
        <f>IF(ISNUMBER(SEARCH("H", 'Dry_Litterbag Placem_Collection'!AD173)),"YES","NO")</f>
        <v>NO</v>
      </c>
      <c r="AI466" s="255" t="str">
        <f>IF(ISNUMBER(SEARCH("R", 'Dry_Litterbag Placem_Collection'!AD173)),"YES","NO")</f>
        <v>NO</v>
      </c>
      <c r="AJ466" s="255" t="str">
        <f>IF(ISNUMBER(SEARCH("C", 'Dry_Litterbag Placem_Collection'!AC173)),"YES","NO")</f>
        <v>NO</v>
      </c>
      <c r="AK466" s="255" t="str">
        <f>IF(ISNUMBER(SEARCH("H", 'Dry_Litterbag Placem_Collection'!AC173)),"YES","NO")</f>
        <v>NO</v>
      </c>
      <c r="AL466" s="255" t="str">
        <f>IF(ISNUMBER(SEARCH("R", 'Dry_Litterbag Placem_Collection'!AC173)),"YES","NO")</f>
        <v>NO</v>
      </c>
      <c r="AR466" t="s">
        <v>1702</v>
      </c>
      <c r="AT466" t="s">
        <v>506</v>
      </c>
    </row>
    <row r="467" spans="2:46">
      <c r="B467" t="str">
        <f>'Final data_for_R_analysis_Dryse'!A613</f>
        <v>Dry</v>
      </c>
      <c r="C467" s="263">
        <f>'Final data_for_R_analysis_Dryse'!B613</f>
        <v>172</v>
      </c>
      <c r="D467" t="s">
        <v>3853</v>
      </c>
      <c r="E467" t="s">
        <v>25</v>
      </c>
      <c r="F467" s="387">
        <v>4</v>
      </c>
      <c r="G467" s="16">
        <f>'Dry_Litterbag Placem_Collection'!E174</f>
        <v>0</v>
      </c>
      <c r="H467" s="92" t="str">
        <f>'Final data_for_R_analysis_Dryse'!J613</f>
        <v/>
      </c>
      <c r="I467" t="str">
        <f>'Final data_for_R_analysis_Dryse'!J833</f>
        <v/>
      </c>
      <c r="J467" t="str">
        <f>IFERROR(INDEX('Green_rooibos initial weight'!$C$5:$C$1749,MATCH(H467, 'Green_rooibos initial weight'!$A$5:$A$1749,0)),"")</f>
        <v/>
      </c>
      <c r="K467" t="str">
        <f>IFERROR(INDEX('Green_rooibos initial weight'!$C$5:$C$1749,MATCH(I467, 'Green_rooibos initial weight'!$A$5:$A$1749,0)),"")</f>
        <v/>
      </c>
      <c r="L467" s="195" t="str">
        <f t="shared" si="77"/>
        <v/>
      </c>
      <c r="M467" s="240">
        <f>AVERAGE(Ashed_controlls!$K$1:$K$11)</f>
        <v>5.5147656768714146</v>
      </c>
      <c r="N467" s="195" t="str">
        <f t="shared" si="72"/>
        <v/>
      </c>
      <c r="O467" s="195" t="str">
        <f t="shared" si="78"/>
        <v/>
      </c>
      <c r="P467" s="240">
        <f>AVERAGE(Ashed_controlls!$K$12:$K$14)</f>
        <v>2.2816647271287041</v>
      </c>
      <c r="Q467" s="195" t="str">
        <f t="shared" si="73"/>
        <v/>
      </c>
      <c r="R467" s="16">
        <f>IF('Dry_Litterbag Placem_Collection'!G174="N.A","",'Dry_Litterbag Placem_Collection'!G174)</f>
        <v>0</v>
      </c>
      <c r="S467" s="195" t="str">
        <f>IF(IFERROR(INDEX('Both teabags AfterDry'!$D$1:$D$839,MATCH(H467,'Both teabags AfterDry'!$A$1:$A$839,0)),"")="N.A","",(IFERROR(INDEX('Both teabags AfterDry'!$D$1:$D$839,MATCH(H467,'Both teabags AfterDry'!$A$1:$A$839,0)),"")))</f>
        <v/>
      </c>
      <c r="T467" s="195" t="str">
        <f>IF(IFERROR(INDEX('Both teabags AfterDry'!$D$1:$D$839,MATCH(I467,'Both teabags AfterDry'!$A$1:$A$839,0)),"")="N.A","",(IFERROR(INDEX('Both teabags AfterDry'!$D$1:$D$839,MATCH(I467,'Both teabags AfterDry'!$A$1:$A$839,0)),"")))</f>
        <v/>
      </c>
      <c r="U467" s="195" t="str">
        <f t="shared" si="79"/>
        <v/>
      </c>
      <c r="V467" s="195" t="str">
        <f t="shared" si="79"/>
        <v/>
      </c>
      <c r="W467" s="195" t="str">
        <f>IFERROR(INDEX('Ashed teabags dry'!$K$2:$K$821,MATCH(H467,'Ashed teabags dry'!$A$2:$A$821,0)),"")</f>
        <v/>
      </c>
      <c r="X467" s="195" t="str">
        <f>IFERROR(INDEX('Ashed teabags dry'!$K$2:$K$821,MATCH(I467,'Ashed teabags dry'!$A$2:$A$821,0)),"")</f>
        <v/>
      </c>
      <c r="Y467" s="195" t="str">
        <f t="shared" si="74"/>
        <v/>
      </c>
      <c r="Z467" s="195" t="str">
        <f t="shared" si="74"/>
        <v/>
      </c>
      <c r="AA467" s="195" t="str">
        <f t="shared" si="80"/>
        <v/>
      </c>
      <c r="AB467" s="195" t="str">
        <f t="shared" si="81"/>
        <v/>
      </c>
      <c r="AC467" s="195" t="str">
        <f t="shared" si="75"/>
        <v/>
      </c>
      <c r="AD467" t="str">
        <f t="shared" si="76"/>
        <v/>
      </c>
      <c r="AE467" s="195" t="str">
        <f t="shared" si="82"/>
        <v/>
      </c>
      <c r="AF467" s="195" t="str">
        <f t="shared" si="83"/>
        <v/>
      </c>
      <c r="AG467" s="255" t="str">
        <f>IF(ISNUMBER(SEARCH("C", 'Dry_Litterbag Placem_Collection'!AD174)),"YES","NO")</f>
        <v>NO</v>
      </c>
      <c r="AH467" s="255" t="str">
        <f>IF(ISNUMBER(SEARCH("H", 'Dry_Litterbag Placem_Collection'!AD174)),"YES","NO")</f>
        <v>NO</v>
      </c>
      <c r="AI467" s="255" t="str">
        <f>IF(ISNUMBER(SEARCH("R", 'Dry_Litterbag Placem_Collection'!AD174)),"YES","NO")</f>
        <v>NO</v>
      </c>
      <c r="AJ467" s="255" t="str">
        <f>IF(ISNUMBER(SEARCH("C", 'Dry_Litterbag Placem_Collection'!AC174)),"YES","NO")</f>
        <v>NO</v>
      </c>
      <c r="AK467" s="255" t="str">
        <f>IF(ISNUMBER(SEARCH("H", 'Dry_Litterbag Placem_Collection'!AC174)),"YES","NO")</f>
        <v>NO</v>
      </c>
      <c r="AL467" s="255" t="str">
        <f>IF(ISNUMBER(SEARCH("R", 'Dry_Litterbag Placem_Collection'!AC174)),"YES","NO")</f>
        <v>NO</v>
      </c>
      <c r="AR467" t="s">
        <v>3654</v>
      </c>
      <c r="AT467" t="s">
        <v>3654</v>
      </c>
    </row>
    <row r="468" spans="2:46">
      <c r="B468" t="str">
        <f>'Final data_for_R_analysis_Dryse'!A614</f>
        <v>Dry</v>
      </c>
      <c r="C468" s="263">
        <f>'Final data_for_R_analysis_Dryse'!B614</f>
        <v>173</v>
      </c>
      <c r="D468" t="s">
        <v>3853</v>
      </c>
      <c r="E468" t="s">
        <v>25</v>
      </c>
      <c r="F468" s="387">
        <v>5</v>
      </c>
      <c r="G468" s="16">
        <f>'Dry_Litterbag Placem_Collection'!E175</f>
        <v>42940</v>
      </c>
      <c r="H468" s="92" t="str">
        <f>'Final data_for_R_analysis_Dryse'!J614</f>
        <v>G307</v>
      </c>
      <c r="I468" t="str">
        <f>'Final data_for_R_analysis_Dryse'!J834</f>
        <v>R473</v>
      </c>
      <c r="J468">
        <f>IFERROR(INDEX('Green_rooibos initial weight'!$C$5:$C$1749,MATCH(H468, 'Green_rooibos initial weight'!$A$5:$A$1749,0)),"")</f>
        <v>1.9810000000000001</v>
      </c>
      <c r="K468">
        <f>IFERROR(INDEX('Green_rooibos initial weight'!$C$5:$C$1749,MATCH(I468, 'Green_rooibos initial weight'!$A$5:$A$1749,0)),"")</f>
        <v>2.302</v>
      </c>
      <c r="L468" s="195">
        <f t="shared" si="77"/>
        <v>1.7312000000000001</v>
      </c>
      <c r="M468" s="240">
        <f>AVERAGE(Ashed_controlls!$K$1:$K$11)</f>
        <v>5.5147656768714146</v>
      </c>
      <c r="N468" s="195">
        <f t="shared" si="72"/>
        <v>1.6357283766020021</v>
      </c>
      <c r="O468" s="195">
        <f t="shared" si="78"/>
        <v>2.0522</v>
      </c>
      <c r="P468" s="240">
        <f>AVERAGE(Ashed_controlls!$K$12:$K$14)</f>
        <v>2.2816647271287041</v>
      </c>
      <c r="Q468" s="195">
        <f t="shared" si="73"/>
        <v>2.0053756764698649</v>
      </c>
      <c r="R468" s="16">
        <f>IF('Dry_Litterbag Placem_Collection'!G175="N.A","",'Dry_Litterbag Placem_Collection'!G175)</f>
        <v>43009</v>
      </c>
      <c r="S468" s="195" t="str">
        <f>IF(IFERROR(INDEX('Both teabags AfterDry'!$D$1:$D$839,MATCH(H468,'Both teabags AfterDry'!$A$1:$A$839,0)),"")="N.A","",(IFERROR(INDEX('Both teabags AfterDry'!$D$1:$D$839,MATCH(H468,'Both teabags AfterDry'!$A$1:$A$839,0)),"")))</f>
        <v/>
      </c>
      <c r="T468" s="195" t="str">
        <f>IF(IFERROR(INDEX('Both teabags AfterDry'!$D$1:$D$839,MATCH(I468,'Both teabags AfterDry'!$A$1:$A$839,0)),"")="N.A","",(IFERROR(INDEX('Both teabags AfterDry'!$D$1:$D$839,MATCH(I468,'Both teabags AfterDry'!$A$1:$A$839,0)),"")))</f>
        <v/>
      </c>
      <c r="U468" s="195" t="str">
        <f t="shared" si="79"/>
        <v/>
      </c>
      <c r="V468" s="195" t="str">
        <f t="shared" si="79"/>
        <v/>
      </c>
      <c r="W468" s="195" t="str">
        <f>IFERROR(INDEX('Ashed teabags dry'!$K$2:$K$821,MATCH(H468,'Ashed teabags dry'!$A$2:$A$821,0)),"")</f>
        <v/>
      </c>
      <c r="X468" s="195" t="str">
        <f>IFERROR(INDEX('Ashed teabags dry'!$K$2:$K$821,MATCH(I468,'Ashed teabags dry'!$A$2:$A$821,0)),"")</f>
        <v/>
      </c>
      <c r="Y468" s="195" t="str">
        <f t="shared" si="74"/>
        <v/>
      </c>
      <c r="Z468" s="195" t="str">
        <f t="shared" si="74"/>
        <v/>
      </c>
      <c r="AA468" s="195" t="str">
        <f t="shared" si="80"/>
        <v/>
      </c>
      <c r="AB468" s="195" t="str">
        <f t="shared" si="81"/>
        <v/>
      </c>
      <c r="AC468" s="195" t="str">
        <f t="shared" si="75"/>
        <v/>
      </c>
      <c r="AD468">
        <f t="shared" si="76"/>
        <v>69</v>
      </c>
      <c r="AE468" s="195" t="str">
        <f t="shared" si="82"/>
        <v/>
      </c>
      <c r="AF468" s="195" t="str">
        <f t="shared" si="83"/>
        <v/>
      </c>
      <c r="AG468" s="255" t="str">
        <f>IF(ISNUMBER(SEARCH("C", 'Dry_Litterbag Placem_Collection'!AD175)),"YES","NO")</f>
        <v>NO</v>
      </c>
      <c r="AH468" s="255" t="str">
        <f>IF(ISNUMBER(SEARCH("H", 'Dry_Litterbag Placem_Collection'!AD175)),"YES","NO")</f>
        <v>NO</v>
      </c>
      <c r="AI468" s="255" t="str">
        <f>IF(ISNUMBER(SEARCH("R", 'Dry_Litterbag Placem_Collection'!AD175)),"YES","NO")</f>
        <v>NO</v>
      </c>
      <c r="AJ468" s="255" t="str">
        <f>IF(ISNUMBER(SEARCH("C", 'Dry_Litterbag Placem_Collection'!AC175)),"YES","NO")</f>
        <v>NO</v>
      </c>
      <c r="AK468" s="255" t="str">
        <f>IF(ISNUMBER(SEARCH("H", 'Dry_Litterbag Placem_Collection'!AC175)),"YES","NO")</f>
        <v>NO</v>
      </c>
      <c r="AL468" s="255" t="str">
        <f>IF(ISNUMBER(SEARCH("R", 'Dry_Litterbag Placem_Collection'!AC175)),"YES","NO")</f>
        <v>NO</v>
      </c>
      <c r="AR468" t="s">
        <v>1743</v>
      </c>
      <c r="AT468" t="s">
        <v>668</v>
      </c>
    </row>
    <row r="469" spans="2:46">
      <c r="B469" t="str">
        <f>'Final data_for_R_analysis_Dryse'!A615</f>
        <v>Dry</v>
      </c>
      <c r="C469" s="263">
        <f>'Final data_for_R_analysis_Dryse'!B615</f>
        <v>174</v>
      </c>
      <c r="D469" t="s">
        <v>3853</v>
      </c>
      <c r="E469" t="s">
        <v>25</v>
      </c>
      <c r="F469" s="387">
        <v>6</v>
      </c>
      <c r="G469" s="16">
        <f>'Dry_Litterbag Placem_Collection'!E176</f>
        <v>42940</v>
      </c>
      <c r="H469" s="92" t="str">
        <f>'Final data_for_R_analysis_Dryse'!J615</f>
        <v>G155</v>
      </c>
      <c r="I469" t="str">
        <f>'Final data_for_R_analysis_Dryse'!J835</f>
        <v>R702</v>
      </c>
      <c r="J469">
        <f>IFERROR(INDEX('Green_rooibos initial weight'!$C$5:$C$1749,MATCH(H469, 'Green_rooibos initial weight'!$A$5:$A$1749,0)),"")</f>
        <v>2.0379999999999998</v>
      </c>
      <c r="K469">
        <f>IFERROR(INDEX('Green_rooibos initial weight'!$C$5:$C$1749,MATCH(I469, 'Green_rooibos initial weight'!$A$5:$A$1749,0)),"")</f>
        <v>2.2010000000000001</v>
      </c>
      <c r="L469" s="195">
        <f t="shared" si="77"/>
        <v>1.7881999999999998</v>
      </c>
      <c r="M469" s="240">
        <f>AVERAGE(Ashed_controlls!$K$1:$K$11)</f>
        <v>5.5147656768714146</v>
      </c>
      <c r="N469" s="195">
        <f t="shared" si="72"/>
        <v>1.6895849601661852</v>
      </c>
      <c r="O469" s="195">
        <f t="shared" si="78"/>
        <v>1.9512</v>
      </c>
      <c r="P469" s="240">
        <f>AVERAGE(Ashed_controlls!$K$12:$K$14)</f>
        <v>2.2816647271287041</v>
      </c>
      <c r="Q469" s="195">
        <f t="shared" si="73"/>
        <v>1.9066801578442647</v>
      </c>
      <c r="R469" s="16">
        <f>IF('Dry_Litterbag Placem_Collection'!G176="N.A","",'Dry_Litterbag Placem_Collection'!G176)</f>
        <v>43009</v>
      </c>
      <c r="S469" s="195">
        <f>IF(IFERROR(INDEX('Both teabags AfterDry'!$D$1:$D$839,MATCH(H469,'Both teabags AfterDry'!$A$1:$A$839,0)),"")="N.A","",(IFERROR(INDEX('Both teabags AfterDry'!$D$1:$D$839,MATCH(H469,'Both teabags AfterDry'!$A$1:$A$839,0)),"")))</f>
        <v>0.78239999999999998</v>
      </c>
      <c r="T469" s="195">
        <f>IF(IFERROR(INDEX('Both teabags AfterDry'!$D$1:$D$839,MATCH(I469,'Both teabags AfterDry'!$A$1:$A$839,0)),"")="N.A","",(IFERROR(INDEX('Both teabags AfterDry'!$D$1:$D$839,MATCH(I469,'Both teabags AfterDry'!$A$1:$A$839,0)),"")))</f>
        <v>1.7047000000000001</v>
      </c>
      <c r="U469" s="195">
        <f t="shared" si="79"/>
        <v>0.63179999999999992</v>
      </c>
      <c r="V469" s="195">
        <f t="shared" si="79"/>
        <v>1.5541</v>
      </c>
      <c r="W469" s="195">
        <f>IFERROR(INDEX('Ashed teabags dry'!$K$2:$K$821,MATCH(H469,'Ashed teabags dry'!$A$2:$A$821,0)),"")</f>
        <v>23.40527577937609</v>
      </c>
      <c r="X469" s="195">
        <f>IFERROR(INDEX('Ashed teabags dry'!$K$2:$K$821,MATCH(I469,'Ashed teabags dry'!$A$2:$A$821,0)),"")</f>
        <v>12.547709923664542</v>
      </c>
      <c r="Y469" s="195">
        <f t="shared" si="74"/>
        <v>0.48392546762590183</v>
      </c>
      <c r="Z469" s="195">
        <f t="shared" si="74"/>
        <v>1.3590960400763294</v>
      </c>
      <c r="AA469" s="195">
        <f t="shared" si="80"/>
        <v>0.71358322958893794</v>
      </c>
      <c r="AB469" s="195">
        <f t="shared" si="81"/>
        <v>0.46781228353099025</v>
      </c>
      <c r="AC469" s="195">
        <f t="shared" si="75"/>
        <v>0.71280756475325879</v>
      </c>
      <c r="AD469">
        <f t="shared" si="76"/>
        <v>69</v>
      </c>
      <c r="AE469" s="195">
        <f t="shared" si="82"/>
        <v>0.152513979110525</v>
      </c>
      <c r="AF469" s="195">
        <f t="shared" si="83"/>
        <v>1.3792356159964934E-2</v>
      </c>
      <c r="AG469" s="255" t="str">
        <f>IF(ISNUMBER(SEARCH("C", 'Dry_Litterbag Placem_Collection'!AD176)),"YES","NO")</f>
        <v>NO</v>
      </c>
      <c r="AH469" s="255" t="str">
        <f>IF(ISNUMBER(SEARCH("H", 'Dry_Litterbag Placem_Collection'!AD176)),"YES","NO")</f>
        <v>NO</v>
      </c>
      <c r="AI469" s="255" t="str">
        <f>IF(ISNUMBER(SEARCH("R", 'Dry_Litterbag Placem_Collection'!AD176)),"YES","NO")</f>
        <v>NO</v>
      </c>
      <c r="AJ469" s="255" t="str">
        <f>IF(ISNUMBER(SEARCH("C", 'Dry_Litterbag Placem_Collection'!AC176)),"YES","NO")</f>
        <v>NO</v>
      </c>
      <c r="AK469" s="255" t="str">
        <f>IF(ISNUMBER(SEARCH("H", 'Dry_Litterbag Placem_Collection'!AC176)),"YES","NO")</f>
        <v>NO</v>
      </c>
      <c r="AL469" s="255" t="str">
        <f>IF(ISNUMBER(SEARCH("R", 'Dry_Litterbag Placem_Collection'!AC176)),"YES","NO")</f>
        <v>NO</v>
      </c>
      <c r="AR469" t="s">
        <v>1895</v>
      </c>
      <c r="AT469" t="s">
        <v>437</v>
      </c>
    </row>
    <row r="470" spans="2:46">
      <c r="B470" t="str">
        <f>'Final data_for_R_analysis_Dryse'!A616</f>
        <v>Dry</v>
      </c>
      <c r="C470" s="263">
        <f>'Final data_for_R_analysis_Dryse'!B616</f>
        <v>175</v>
      </c>
      <c r="D470" t="s">
        <v>3853</v>
      </c>
      <c r="E470" t="s">
        <v>25</v>
      </c>
      <c r="F470" s="387">
        <v>7</v>
      </c>
      <c r="G470" s="16">
        <f>'Dry_Litterbag Placem_Collection'!E177</f>
        <v>42940</v>
      </c>
      <c r="H470" s="92" t="str">
        <f>'Final data_for_R_analysis_Dryse'!J616</f>
        <v>G719</v>
      </c>
      <c r="I470" t="str">
        <f>'Final data_for_R_analysis_Dryse'!J836</f>
        <v>R175</v>
      </c>
      <c r="J470">
        <f>IFERROR(INDEX('Green_rooibos initial weight'!$C$5:$C$1749,MATCH(H470, 'Green_rooibos initial weight'!$A$5:$A$1749,0)),"")</f>
        <v>2.02</v>
      </c>
      <c r="K470">
        <f>IFERROR(INDEX('Green_rooibos initial weight'!$C$5:$C$1749,MATCH(I470, 'Green_rooibos initial weight'!$A$5:$A$1749,0)),"")</f>
        <v>2.2330000000000001</v>
      </c>
      <c r="L470" s="195">
        <f t="shared" si="77"/>
        <v>1.7702</v>
      </c>
      <c r="M470" s="240">
        <f>AVERAGE(Ashed_controlls!$K$1:$K$11)</f>
        <v>5.5147656768714146</v>
      </c>
      <c r="N470" s="195">
        <f t="shared" si="72"/>
        <v>1.6725776179880223</v>
      </c>
      <c r="O470" s="195">
        <f t="shared" si="78"/>
        <v>1.9832000000000001</v>
      </c>
      <c r="P470" s="240">
        <f>AVERAGE(Ashed_controlls!$K$12:$K$14)</f>
        <v>2.2816647271287041</v>
      </c>
      <c r="Q470" s="195">
        <f t="shared" si="73"/>
        <v>1.9379500251315835</v>
      </c>
      <c r="R470" s="16">
        <f>IF('Dry_Litterbag Placem_Collection'!G177="N.A","",'Dry_Litterbag Placem_Collection'!G177)</f>
        <v>43009</v>
      </c>
      <c r="S470" s="195">
        <f>IF(IFERROR(INDEX('Both teabags AfterDry'!$D$1:$D$839,MATCH(H470,'Both teabags AfterDry'!$A$1:$A$839,0)),"")="N.A","",(IFERROR(INDEX('Both teabags AfterDry'!$D$1:$D$839,MATCH(H470,'Both teabags AfterDry'!$A$1:$A$839,0)),"")))</f>
        <v>0.80269999999999997</v>
      </c>
      <c r="T470" s="195">
        <f>IF(IFERROR(INDEX('Both teabags AfterDry'!$D$1:$D$839,MATCH(I470,'Both teabags AfterDry'!$A$1:$A$839,0)),"")="N.A","",(IFERROR(INDEX('Both teabags AfterDry'!$D$1:$D$839,MATCH(I470,'Both teabags AfterDry'!$A$1:$A$839,0)),"")))</f>
        <v>1.8721000000000001</v>
      </c>
      <c r="U470" s="195">
        <f t="shared" si="79"/>
        <v>0.6520999999999999</v>
      </c>
      <c r="V470" s="195">
        <f t="shared" si="79"/>
        <v>1.7215</v>
      </c>
      <c r="W470" s="195">
        <f>IFERROR(INDEX('Ashed teabags dry'!$K$2:$K$821,MATCH(H470,'Ashed teabags dry'!$A$2:$A$821,0)),"")</f>
        <v>20.371275036638856</v>
      </c>
      <c r="X470" s="195">
        <f>IFERROR(INDEX('Ashed teabags dry'!$K$2:$K$821,MATCH(I470,'Ashed teabags dry'!$A$2:$A$821,0)),"")</f>
        <v>11.577028258888308</v>
      </c>
      <c r="Y470" s="195">
        <f t="shared" si="74"/>
        <v>0.51925891548607794</v>
      </c>
      <c r="Z470" s="195">
        <f t="shared" si="74"/>
        <v>1.5222014585232377</v>
      </c>
      <c r="AA470" s="195">
        <f t="shared" si="80"/>
        <v>0.68954569886526107</v>
      </c>
      <c r="AB470" s="195">
        <f t="shared" si="81"/>
        <v>0.45205371232021868</v>
      </c>
      <c r="AC470" s="195">
        <f t="shared" si="75"/>
        <v>0.78546992377674074</v>
      </c>
      <c r="AD470">
        <f t="shared" si="76"/>
        <v>69</v>
      </c>
      <c r="AE470" s="195">
        <f t="shared" si="82"/>
        <v>0.18106211536192274</v>
      </c>
      <c r="AF470" s="195">
        <f t="shared" si="83"/>
        <v>9.3265777740280872E-3</v>
      </c>
      <c r="AG470" s="255" t="str">
        <f>IF(ISNUMBER(SEARCH("C", 'Dry_Litterbag Placem_Collection'!AD177)),"YES","NO")</f>
        <v>NO</v>
      </c>
      <c r="AH470" s="255" t="str">
        <f>IF(ISNUMBER(SEARCH("H", 'Dry_Litterbag Placem_Collection'!AD177)),"YES","NO")</f>
        <v>NO</v>
      </c>
      <c r="AI470" s="255" t="str">
        <f>IF(ISNUMBER(SEARCH("R", 'Dry_Litterbag Placem_Collection'!AD177)),"YES","NO")</f>
        <v>NO</v>
      </c>
      <c r="AJ470" s="255" t="str">
        <f>IF(ISNUMBER(SEARCH("C", 'Dry_Litterbag Placem_Collection'!AC177)),"YES","NO")</f>
        <v>NO</v>
      </c>
      <c r="AK470" s="255" t="str">
        <f>IF(ISNUMBER(SEARCH("H", 'Dry_Litterbag Placem_Collection'!AC177)),"YES","NO")</f>
        <v>NO</v>
      </c>
      <c r="AL470" s="255" t="str">
        <f>IF(ISNUMBER(SEARCH("R", 'Dry_Litterbag Placem_Collection'!AC177)),"YES","NO")</f>
        <v>NO</v>
      </c>
      <c r="AR470" t="s">
        <v>1331</v>
      </c>
      <c r="AT470" t="s">
        <v>966</v>
      </c>
    </row>
    <row r="471" spans="2:46">
      <c r="B471" t="str">
        <f>'Final data_for_R_analysis_Dryse'!A617</f>
        <v>Dry</v>
      </c>
      <c r="C471" s="263">
        <f>'Final data_for_R_analysis_Dryse'!B617</f>
        <v>176</v>
      </c>
      <c r="D471" t="s">
        <v>3853</v>
      </c>
      <c r="E471" t="s">
        <v>25</v>
      </c>
      <c r="F471" s="387">
        <v>8</v>
      </c>
      <c r="G471" s="16">
        <f>'Dry_Litterbag Placem_Collection'!E178</f>
        <v>42940</v>
      </c>
      <c r="H471" s="92" t="str">
        <f>'Final data_for_R_analysis_Dryse'!J617</f>
        <v>G323</v>
      </c>
      <c r="I471" t="str">
        <f>'Final data_for_R_analysis_Dryse'!J837</f>
        <v>R332</v>
      </c>
      <c r="J471">
        <f>IFERROR(INDEX('Green_rooibos initial weight'!$C$5:$C$1749,MATCH(H471, 'Green_rooibos initial weight'!$A$5:$A$1749,0)),"")</f>
        <v>1.97</v>
      </c>
      <c r="K471">
        <f>IFERROR(INDEX('Green_rooibos initial weight'!$C$5:$C$1749,MATCH(I471, 'Green_rooibos initial weight'!$A$5:$A$1749,0)),"")</f>
        <v>2.1880000000000002</v>
      </c>
      <c r="L471" s="195">
        <f t="shared" si="77"/>
        <v>1.7202</v>
      </c>
      <c r="M471" s="240">
        <f>AVERAGE(Ashed_controlls!$K$1:$K$11)</f>
        <v>5.5147656768714146</v>
      </c>
      <c r="N471" s="195">
        <f t="shared" si="72"/>
        <v>1.6253350008264578</v>
      </c>
      <c r="O471" s="195">
        <f t="shared" si="78"/>
        <v>1.9382000000000001</v>
      </c>
      <c r="P471" s="240">
        <f>AVERAGE(Ashed_controlls!$K$12:$K$14)</f>
        <v>2.2816647271287041</v>
      </c>
      <c r="Q471" s="195">
        <f t="shared" si="73"/>
        <v>1.8939767742587916</v>
      </c>
      <c r="R471" s="16">
        <f>IF('Dry_Litterbag Placem_Collection'!G178="N.A","",'Dry_Litterbag Placem_Collection'!G178)</f>
        <v>43009</v>
      </c>
      <c r="S471" s="195">
        <f>IF(IFERROR(INDEX('Both teabags AfterDry'!$D$1:$D$839,MATCH(H471,'Both teabags AfterDry'!$A$1:$A$839,0)),"")="N.A","",(IFERROR(INDEX('Both teabags AfterDry'!$D$1:$D$839,MATCH(H471,'Both teabags AfterDry'!$A$1:$A$839,0)),"")))</f>
        <v>0.74829999999999997</v>
      </c>
      <c r="T471" s="195">
        <f>IF(IFERROR(INDEX('Both teabags AfterDry'!$D$1:$D$839,MATCH(I471,'Both teabags AfterDry'!$A$1:$A$839,0)),"")="N.A","",(IFERROR(INDEX('Both teabags AfterDry'!$D$1:$D$839,MATCH(I471,'Both teabags AfterDry'!$A$1:$A$839,0)),"")))</f>
        <v>1.8720000000000001</v>
      </c>
      <c r="U471" s="195">
        <f t="shared" si="79"/>
        <v>0.5976999999999999</v>
      </c>
      <c r="V471" s="195">
        <f t="shared" si="79"/>
        <v>1.7214</v>
      </c>
      <c r="W471" s="195">
        <f>IFERROR(INDEX('Ashed teabags dry'!$K$2:$K$821,MATCH(H471,'Ashed teabags dry'!$A$2:$A$821,0)),"")</f>
        <v>19.55361475012176</v>
      </c>
      <c r="X471" s="195">
        <f>IFERROR(INDEX('Ashed teabags dry'!$K$2:$K$821,MATCH(I471,'Ashed teabags dry'!$A$2:$A$821,0)),"")</f>
        <v>6.259314456035395</v>
      </c>
      <c r="Y471" s="195">
        <f t="shared" si="74"/>
        <v>0.48082804463852213</v>
      </c>
      <c r="Z471" s="195">
        <f t="shared" si="74"/>
        <v>1.6136521609538068</v>
      </c>
      <c r="AA471" s="195">
        <f t="shared" si="80"/>
        <v>0.7041668059852102</v>
      </c>
      <c r="AB471" s="195">
        <f t="shared" si="81"/>
        <v>0.46163904620408086</v>
      </c>
      <c r="AC471" s="195">
        <f t="shared" si="75"/>
        <v>0.85199152538990874</v>
      </c>
      <c r="AD471">
        <f t="shared" si="76"/>
        <v>69</v>
      </c>
      <c r="AE471" s="195">
        <f t="shared" si="82"/>
        <v>0.16369738006507095</v>
      </c>
      <c r="AF471" s="195">
        <f t="shared" si="83"/>
        <v>5.6024279821994078E-3</v>
      </c>
      <c r="AG471" s="255" t="str">
        <f>IF(ISNUMBER(SEARCH("C", 'Dry_Litterbag Placem_Collection'!AD178)),"YES","NO")</f>
        <v>NO</v>
      </c>
      <c r="AH471" s="255" t="str">
        <f>IF(ISNUMBER(SEARCH("H", 'Dry_Litterbag Placem_Collection'!AD178)),"YES","NO")</f>
        <v>NO</v>
      </c>
      <c r="AI471" s="255" t="str">
        <f>IF(ISNUMBER(SEARCH("R", 'Dry_Litterbag Placem_Collection'!AD178)),"YES","NO")</f>
        <v>NO</v>
      </c>
      <c r="AJ471" s="255" t="str">
        <f>IF(ISNUMBER(SEARCH("C", 'Dry_Litterbag Placem_Collection'!AC178)),"YES","NO")</f>
        <v>NO</v>
      </c>
      <c r="AK471" s="255" t="str">
        <f>IF(ISNUMBER(SEARCH("H", 'Dry_Litterbag Placem_Collection'!AC178)),"YES","NO")</f>
        <v>NO</v>
      </c>
      <c r="AL471" s="255" t="str">
        <f>IF(ISNUMBER(SEARCH("R", 'Dry_Litterbag Placem_Collection'!AC178)),"YES","NO")</f>
        <v>NO</v>
      </c>
      <c r="AR471" t="s">
        <v>1727</v>
      </c>
      <c r="AT471" t="s">
        <v>809</v>
      </c>
    </row>
    <row r="472" spans="2:46">
      <c r="B472" t="str">
        <f>'Final data_for_R_analysis_Dryse'!A618</f>
        <v>Dry</v>
      </c>
      <c r="C472" s="263">
        <f>'Final data_for_R_analysis_Dryse'!B618</f>
        <v>177</v>
      </c>
      <c r="D472" t="s">
        <v>3854</v>
      </c>
      <c r="E472" t="s">
        <v>25</v>
      </c>
      <c r="F472" s="386">
        <v>1</v>
      </c>
      <c r="G472" s="16">
        <f>'Dry_Litterbag Placem_Collection'!E179</f>
        <v>42940</v>
      </c>
      <c r="H472" s="92" t="str">
        <f>'Final data_for_R_analysis_Dryse'!J618</f>
        <v>G14</v>
      </c>
      <c r="I472" t="str">
        <f>'Final data_for_R_analysis_Dryse'!J838</f>
        <v>R279</v>
      </c>
      <c r="J472">
        <f>IFERROR(INDEX('Green_rooibos initial weight'!$C$5:$C$1749,MATCH(H472, 'Green_rooibos initial weight'!$A$5:$A$1749,0)),"")</f>
        <v>2.0750000000000002</v>
      </c>
      <c r="K472">
        <f>IFERROR(INDEX('Green_rooibos initial weight'!$C$5:$C$1749,MATCH(I472, 'Green_rooibos initial weight'!$A$5:$A$1749,0)),"")</f>
        <v>2.161</v>
      </c>
      <c r="L472" s="195">
        <f t="shared" si="77"/>
        <v>1.8252000000000002</v>
      </c>
      <c r="M472" s="240">
        <f>AVERAGE(Ashed_controlls!$K$1:$K$11)</f>
        <v>5.5147656768714146</v>
      </c>
      <c r="N472" s="195">
        <f t="shared" si="72"/>
        <v>1.7245444968657431</v>
      </c>
      <c r="O472" s="195">
        <f t="shared" si="78"/>
        <v>1.9112</v>
      </c>
      <c r="P472" s="240">
        <f>AVERAGE(Ashed_controlls!$K$12:$K$14)</f>
        <v>2.2816647271287041</v>
      </c>
      <c r="Q472" s="195">
        <f t="shared" si="73"/>
        <v>1.8675928237351163</v>
      </c>
      <c r="R472" s="16">
        <f>IF('Dry_Litterbag Placem_Collection'!G179="N.A","",'Dry_Litterbag Placem_Collection'!G179)</f>
        <v>43009</v>
      </c>
      <c r="S472" s="195" t="str">
        <f>IF(IFERROR(INDEX('Both teabags AfterDry'!$D$1:$D$839,MATCH(H472,'Both teabags AfterDry'!$A$1:$A$839,0)),"")="N.A","",(IFERROR(INDEX('Both teabags AfterDry'!$D$1:$D$839,MATCH(H472,'Both teabags AfterDry'!$A$1:$A$839,0)),"")))</f>
        <v/>
      </c>
      <c r="T472" s="195" t="str">
        <f>IF(IFERROR(INDEX('Both teabags AfterDry'!$D$1:$D$839,MATCH(I472,'Both teabags AfterDry'!$A$1:$A$839,0)),"")="N.A","",(IFERROR(INDEX('Both teabags AfterDry'!$D$1:$D$839,MATCH(I472,'Both teabags AfterDry'!$A$1:$A$839,0)),"")))</f>
        <v/>
      </c>
      <c r="U472" s="195" t="str">
        <f t="shared" si="79"/>
        <v/>
      </c>
      <c r="V472" s="195" t="str">
        <f t="shared" si="79"/>
        <v/>
      </c>
      <c r="W472" s="195" t="str">
        <f>IFERROR(INDEX('Ashed teabags dry'!$K$2:$K$821,MATCH(H472,'Ashed teabags dry'!$A$2:$A$821,0)),"")</f>
        <v/>
      </c>
      <c r="X472" s="195" t="str">
        <f>IFERROR(INDEX('Ashed teabags dry'!$K$2:$K$821,MATCH(I472,'Ashed teabags dry'!$A$2:$A$821,0)),"")</f>
        <v/>
      </c>
      <c r="Y472" s="195" t="str">
        <f t="shared" si="74"/>
        <v/>
      </c>
      <c r="Z472" s="195" t="str">
        <f t="shared" si="74"/>
        <v/>
      </c>
      <c r="AA472" s="195" t="str">
        <f t="shared" si="80"/>
        <v/>
      </c>
      <c r="AB472" s="195" t="str">
        <f t="shared" si="81"/>
        <v/>
      </c>
      <c r="AC472" s="195" t="str">
        <f t="shared" si="75"/>
        <v/>
      </c>
      <c r="AD472">
        <f t="shared" si="76"/>
        <v>69</v>
      </c>
      <c r="AE472" s="195" t="str">
        <f t="shared" si="82"/>
        <v/>
      </c>
      <c r="AF472" s="195" t="str">
        <f t="shared" si="83"/>
        <v/>
      </c>
      <c r="AG472" s="255" t="str">
        <f>IF(ISNUMBER(SEARCH("C", 'Dry_Litterbag Placem_Collection'!AD179)),"YES","NO")</f>
        <v>NO</v>
      </c>
      <c r="AH472" s="255" t="str">
        <f>IF(ISNUMBER(SEARCH("H", 'Dry_Litterbag Placem_Collection'!AD179)),"YES","NO")</f>
        <v>NO</v>
      </c>
      <c r="AI472" s="255" t="str">
        <f>IF(ISNUMBER(SEARCH("R", 'Dry_Litterbag Placem_Collection'!AD179)),"YES","NO")</f>
        <v>NO</v>
      </c>
      <c r="AJ472" s="255" t="str">
        <f>IF(ISNUMBER(SEARCH("C", 'Dry_Litterbag Placem_Collection'!AC179)),"YES","NO")</f>
        <v>NO</v>
      </c>
      <c r="AK472" s="255" t="str">
        <f>IF(ISNUMBER(SEARCH("H", 'Dry_Litterbag Placem_Collection'!AC179)),"YES","NO")</f>
        <v>NO</v>
      </c>
      <c r="AL472" s="255" t="str">
        <f>IF(ISNUMBER(SEARCH("R", 'Dry_Litterbag Placem_Collection'!AC179)),"YES","NO")</f>
        <v>NO</v>
      </c>
      <c r="AR472" t="s">
        <v>2036</v>
      </c>
      <c r="AT472" t="s">
        <v>862</v>
      </c>
    </row>
    <row r="473" spans="2:46">
      <c r="B473" t="str">
        <f>'Final data_for_R_analysis_Dryse'!A619</f>
        <v>Dry</v>
      </c>
      <c r="C473" s="263">
        <f>'Final data_for_R_analysis_Dryse'!B619</f>
        <v>178</v>
      </c>
      <c r="D473" t="s">
        <v>3854</v>
      </c>
      <c r="E473" t="s">
        <v>25</v>
      </c>
      <c r="F473" s="386">
        <v>2</v>
      </c>
      <c r="G473" s="16">
        <f>'Dry_Litterbag Placem_Collection'!E180</f>
        <v>42940</v>
      </c>
      <c r="H473" s="92" t="str">
        <f>'Final data_for_R_analysis_Dryse'!J619</f>
        <v>G410</v>
      </c>
      <c r="I473" t="str">
        <f>'Final data_for_R_analysis_Dryse'!J839</f>
        <v>R718</v>
      </c>
      <c r="J473">
        <f>IFERROR(INDEX('Green_rooibos initial weight'!$C$5:$C$1749,MATCH(H473, 'Green_rooibos initial weight'!$A$5:$A$1749,0)),"")</f>
        <v>2.1110000000000002</v>
      </c>
      <c r="K473">
        <f>IFERROR(INDEX('Green_rooibos initial weight'!$C$5:$C$1749,MATCH(I473, 'Green_rooibos initial weight'!$A$5:$A$1749,0)),"")</f>
        <v>2.2050000000000001</v>
      </c>
      <c r="L473" s="195">
        <f t="shared" si="77"/>
        <v>1.8612000000000002</v>
      </c>
      <c r="M473" s="240">
        <f>AVERAGE(Ashed_controlls!$K$1:$K$11)</f>
        <v>5.5147656768714146</v>
      </c>
      <c r="N473" s="195">
        <f t="shared" si="72"/>
        <v>1.7585591812220693</v>
      </c>
      <c r="O473" s="195">
        <f t="shared" si="78"/>
        <v>1.9552</v>
      </c>
      <c r="P473" s="240">
        <f>AVERAGE(Ashed_controlls!$K$12:$K$14)</f>
        <v>2.2816647271287041</v>
      </c>
      <c r="Q473" s="195">
        <f t="shared" si="73"/>
        <v>1.9105888912551796</v>
      </c>
      <c r="R473" s="16">
        <f>IF('Dry_Litterbag Placem_Collection'!G180="N.A","",'Dry_Litterbag Placem_Collection'!G180)</f>
        <v>43009</v>
      </c>
      <c r="S473" s="195">
        <f>IF(IFERROR(INDEX('Both teabags AfterDry'!$D$1:$D$839,MATCH(H473,'Both teabags AfterDry'!$A$1:$A$839,0)),"")="N.A","",(IFERROR(INDEX('Both teabags AfterDry'!$D$1:$D$839,MATCH(H473,'Both teabags AfterDry'!$A$1:$A$839,0)),"")))</f>
        <v>0.71050000000000002</v>
      </c>
      <c r="T473" s="195">
        <f>IF(IFERROR(INDEX('Both teabags AfterDry'!$D$1:$D$839,MATCH(I473,'Both teabags AfterDry'!$A$1:$A$839,0)),"")="N.A","",(IFERROR(INDEX('Both teabags AfterDry'!$D$1:$D$839,MATCH(I473,'Both teabags AfterDry'!$A$1:$A$839,0)),"")))</f>
        <v>1.8359000000000001</v>
      </c>
      <c r="U473" s="195">
        <f t="shared" si="79"/>
        <v>0.55990000000000006</v>
      </c>
      <c r="V473" s="195">
        <f t="shared" si="79"/>
        <v>1.6853</v>
      </c>
      <c r="W473" s="195">
        <f>IFERROR(INDEX('Ashed teabags dry'!$K$2:$K$821,MATCH(H473,'Ashed teabags dry'!$A$2:$A$821,0)),"")</f>
        <v>18.892185954499759</v>
      </c>
      <c r="X473" s="195">
        <f>IFERROR(INDEX('Ashed teabags dry'!$K$2:$K$821,MATCH(I473,'Ashed teabags dry'!$A$2:$A$821,0)),"")</f>
        <v>7.0877531340403506</v>
      </c>
      <c r="Y473" s="195">
        <f t="shared" si="74"/>
        <v>0.45412265084075587</v>
      </c>
      <c r="Z473" s="195">
        <f t="shared" si="74"/>
        <v>1.5658500964320179</v>
      </c>
      <c r="AA473" s="195">
        <f t="shared" si="80"/>
        <v>0.74176436272950785</v>
      </c>
      <c r="AB473" s="195">
        <f t="shared" si="81"/>
        <v>0.48628732568490307</v>
      </c>
      <c r="AC473" s="195">
        <f t="shared" si="75"/>
        <v>0.81956411638262883</v>
      </c>
      <c r="AD473">
        <f t="shared" si="76"/>
        <v>69</v>
      </c>
      <c r="AE473" s="195">
        <f t="shared" si="82"/>
        <v>0.11904469984619015</v>
      </c>
      <c r="AF473" s="195">
        <f t="shared" si="83"/>
        <v>6.7202920825053334E-3</v>
      </c>
      <c r="AG473" s="255" t="str">
        <f>IF(ISNUMBER(SEARCH("C", 'Dry_Litterbag Placem_Collection'!AD180)),"YES","NO")</f>
        <v>NO</v>
      </c>
      <c r="AH473" s="255" t="str">
        <f>IF(ISNUMBER(SEARCH("H", 'Dry_Litterbag Placem_Collection'!AD180)),"YES","NO")</f>
        <v>NO</v>
      </c>
      <c r="AI473" s="255" t="str">
        <f>IF(ISNUMBER(SEARCH("R", 'Dry_Litterbag Placem_Collection'!AD180)),"YES","NO")</f>
        <v>NO</v>
      </c>
      <c r="AJ473" s="255" t="str">
        <f>IF(ISNUMBER(SEARCH("C", 'Dry_Litterbag Placem_Collection'!AC180)),"YES","NO")</f>
        <v>NO</v>
      </c>
      <c r="AK473" s="255" t="str">
        <f>IF(ISNUMBER(SEARCH("H", 'Dry_Litterbag Placem_Collection'!AC180)),"YES","NO")</f>
        <v>NO</v>
      </c>
      <c r="AL473" s="255" t="str">
        <f>IF(ISNUMBER(SEARCH("R", 'Dry_Litterbag Placem_Collection'!AC180)),"YES","NO")</f>
        <v>NO</v>
      </c>
      <c r="AR473" t="s">
        <v>1640</v>
      </c>
      <c r="AT473" t="s">
        <v>421</v>
      </c>
    </row>
    <row r="474" spans="2:46">
      <c r="B474" t="str">
        <f>'Final data_for_R_analysis_Dryse'!A620</f>
        <v>Dry</v>
      </c>
      <c r="C474" s="263">
        <f>'Final data_for_R_analysis_Dryse'!B620</f>
        <v>179</v>
      </c>
      <c r="D474" t="s">
        <v>3854</v>
      </c>
      <c r="E474" t="s">
        <v>25</v>
      </c>
      <c r="F474" s="386">
        <v>3</v>
      </c>
      <c r="G474" s="16">
        <f>'Dry_Litterbag Placem_Collection'!E181</f>
        <v>42940</v>
      </c>
      <c r="H474" s="92" t="str">
        <f>'Final data_for_R_analysis_Dryse'!J620</f>
        <v>G78</v>
      </c>
      <c r="I474" t="str">
        <f>'Final data_for_R_analysis_Dryse'!J840</f>
        <v>R640</v>
      </c>
      <c r="J474">
        <f>IFERROR(INDEX('Green_rooibos initial weight'!$C$5:$C$1749,MATCH(H474, 'Green_rooibos initial weight'!$A$5:$A$1749,0)),"")</f>
        <v>2.0379999999999998</v>
      </c>
      <c r="K474">
        <f>IFERROR(INDEX('Green_rooibos initial weight'!$C$5:$C$1749,MATCH(I474, 'Green_rooibos initial weight'!$A$5:$A$1749,0)),"")</f>
        <v>2.1019999999999999</v>
      </c>
      <c r="L474" s="195">
        <f t="shared" si="77"/>
        <v>1.7881999999999998</v>
      </c>
      <c r="M474" s="240">
        <f>AVERAGE(Ashed_controlls!$K$1:$K$11)</f>
        <v>5.5147656768714146</v>
      </c>
      <c r="N474" s="195">
        <f t="shared" si="72"/>
        <v>1.6895849601661852</v>
      </c>
      <c r="O474" s="195">
        <f t="shared" si="78"/>
        <v>1.8521999999999998</v>
      </c>
      <c r="P474" s="240">
        <f>AVERAGE(Ashed_controlls!$K$12:$K$14)</f>
        <v>2.2816647271287041</v>
      </c>
      <c r="Q474" s="195">
        <f t="shared" si="73"/>
        <v>1.809939005924122</v>
      </c>
      <c r="R474" s="16">
        <f>IF('Dry_Litterbag Placem_Collection'!G181="N.A","",'Dry_Litterbag Placem_Collection'!G181)</f>
        <v>43009</v>
      </c>
      <c r="S474" s="195">
        <f>IF(IFERROR(INDEX('Both teabags AfterDry'!$D$1:$D$839,MATCH(H474,'Both teabags AfterDry'!$A$1:$A$839,0)),"")="N.A","",(IFERROR(INDEX('Both teabags AfterDry'!$D$1:$D$839,MATCH(H474,'Both teabags AfterDry'!$A$1:$A$839,0)),"")))</f>
        <v>0.871</v>
      </c>
      <c r="T474" s="195">
        <f>IF(IFERROR(INDEX('Both teabags AfterDry'!$D$1:$D$839,MATCH(I474,'Both teabags AfterDry'!$A$1:$A$839,0)),"")="N.A","",(IFERROR(INDEX('Both teabags AfterDry'!$D$1:$D$839,MATCH(I474,'Both teabags AfterDry'!$A$1:$A$839,0)),"")))</f>
        <v>1.6580999999999999</v>
      </c>
      <c r="U474" s="195">
        <f t="shared" si="79"/>
        <v>0.72039999999999993</v>
      </c>
      <c r="V474" s="195">
        <f t="shared" si="79"/>
        <v>1.5074999999999998</v>
      </c>
      <c r="W474" s="195">
        <f>IFERROR(INDEX('Ashed teabags dry'!$K$2:$K$821,MATCH(H474,'Ashed teabags dry'!$A$2:$A$821,0)),"")</f>
        <v>31.412103746397996</v>
      </c>
      <c r="X474" s="195">
        <f>IFERROR(INDEX('Ashed teabags dry'!$K$2:$K$821,MATCH(I474,'Ashed teabags dry'!$A$2:$A$821,0)),"")</f>
        <v>15.844901866922525</v>
      </c>
      <c r="Y474" s="195">
        <f t="shared" si="74"/>
        <v>0.49410720461094881</v>
      </c>
      <c r="Z474" s="195">
        <f t="shared" si="74"/>
        <v>1.2686381043561428</v>
      </c>
      <c r="AA474" s="195">
        <f t="shared" si="80"/>
        <v>0.70755705320533324</v>
      </c>
      <c r="AB474" s="195">
        <f t="shared" si="81"/>
        <v>0.46386163107998096</v>
      </c>
      <c r="AC474" s="195">
        <f t="shared" si="75"/>
        <v>0.7009286501941534</v>
      </c>
      <c r="AD474">
        <f t="shared" si="76"/>
        <v>69</v>
      </c>
      <c r="AE474" s="195">
        <f t="shared" si="82"/>
        <v>0.15967095818844035</v>
      </c>
      <c r="AF474" s="195">
        <f t="shared" si="83"/>
        <v>1.4998734144761102E-2</v>
      </c>
      <c r="AG474" s="255" t="str">
        <f>IF(ISNUMBER(SEARCH("C", 'Dry_Litterbag Placem_Collection'!AD181)),"YES","NO")</f>
        <v>NO</v>
      </c>
      <c r="AH474" s="255" t="str">
        <f>IF(ISNUMBER(SEARCH("H", 'Dry_Litterbag Placem_Collection'!AD181)),"YES","NO")</f>
        <v>NO</v>
      </c>
      <c r="AI474" s="255" t="str">
        <f>IF(ISNUMBER(SEARCH("R", 'Dry_Litterbag Placem_Collection'!AD181)),"YES","NO")</f>
        <v>NO</v>
      </c>
      <c r="AJ474" s="255" t="str">
        <f>IF(ISNUMBER(SEARCH("C", 'Dry_Litterbag Placem_Collection'!AC181)),"YES","NO")</f>
        <v>NO</v>
      </c>
      <c r="AK474" s="255" t="str">
        <f>IF(ISNUMBER(SEARCH("H", 'Dry_Litterbag Placem_Collection'!AC181)),"YES","NO")</f>
        <v>NO</v>
      </c>
      <c r="AL474" s="255" t="str">
        <f>IF(ISNUMBER(SEARCH("R", 'Dry_Litterbag Placem_Collection'!AC181)),"YES","NO")</f>
        <v>NO</v>
      </c>
      <c r="AR474" t="s">
        <v>1972</v>
      </c>
      <c r="AT474" t="s">
        <v>499</v>
      </c>
    </row>
    <row r="475" spans="2:46">
      <c r="B475" t="str">
        <f>'Final data_for_R_analysis_Dryse'!A621</f>
        <v>Dry</v>
      </c>
      <c r="C475" s="263">
        <f>'Final data_for_R_analysis_Dryse'!B621</f>
        <v>180</v>
      </c>
      <c r="D475" t="s">
        <v>3854</v>
      </c>
      <c r="E475" t="s">
        <v>25</v>
      </c>
      <c r="F475" s="387">
        <v>4</v>
      </c>
      <c r="G475" s="16">
        <f>'Dry_Litterbag Placem_Collection'!E182</f>
        <v>42940</v>
      </c>
      <c r="H475" s="92" t="str">
        <f>'Final data_for_R_analysis_Dryse'!J621</f>
        <v>G422</v>
      </c>
      <c r="I475" t="str">
        <f>'Final data_for_R_analysis_Dryse'!J841</f>
        <v>R669</v>
      </c>
      <c r="J475">
        <f>IFERROR(INDEX('Green_rooibos initial weight'!$C$5:$C$1749,MATCH(H475, 'Green_rooibos initial weight'!$A$5:$A$1749,0)),"")</f>
        <v>2.0049999999999999</v>
      </c>
      <c r="K475">
        <f>IFERROR(INDEX('Green_rooibos initial weight'!$C$5:$C$1749,MATCH(I475, 'Green_rooibos initial weight'!$A$5:$A$1749,0)),"")</f>
        <v>2.1480000000000001</v>
      </c>
      <c r="L475" s="195">
        <f t="shared" si="77"/>
        <v>1.7551999999999999</v>
      </c>
      <c r="M475" s="240">
        <f>AVERAGE(Ashed_controlls!$K$1:$K$11)</f>
        <v>5.5147656768714146</v>
      </c>
      <c r="N475" s="195">
        <f t="shared" si="72"/>
        <v>1.6584048328395529</v>
      </c>
      <c r="O475" s="195">
        <f t="shared" si="78"/>
        <v>1.8982000000000001</v>
      </c>
      <c r="P475" s="240">
        <f>AVERAGE(Ashed_controlls!$K$12:$K$14)</f>
        <v>2.2816647271287041</v>
      </c>
      <c r="Q475" s="195">
        <f t="shared" si="73"/>
        <v>1.854889440149643</v>
      </c>
      <c r="R475" s="16">
        <f>IF('Dry_Litterbag Placem_Collection'!G182="N.A","",'Dry_Litterbag Placem_Collection'!G182)</f>
        <v>43009</v>
      </c>
      <c r="S475" s="195">
        <f>IF(IFERROR(INDEX('Both teabags AfterDry'!$D$1:$D$839,MATCH(H475,'Both teabags AfterDry'!$A$1:$A$839,0)),"")="N.A","",(IFERROR(INDEX('Both teabags AfterDry'!$D$1:$D$839,MATCH(H475,'Both teabags AfterDry'!$A$1:$A$839,0)),"")))</f>
        <v>0.751</v>
      </c>
      <c r="T475" s="195">
        <f>IF(IFERROR(INDEX('Both teabags AfterDry'!$D$1:$D$839,MATCH(I475,'Both teabags AfterDry'!$A$1:$A$839,0)),"")="N.A","",(IFERROR(INDEX('Both teabags AfterDry'!$D$1:$D$839,MATCH(I475,'Both teabags AfterDry'!$A$1:$A$839,0)),"")))</f>
        <v>1.6716</v>
      </c>
      <c r="U475" s="195">
        <f t="shared" si="79"/>
        <v>0.60040000000000004</v>
      </c>
      <c r="V475" s="195">
        <f t="shared" si="79"/>
        <v>1.5209999999999999</v>
      </c>
      <c r="W475" s="195">
        <f>IFERROR(INDEX('Ashed teabags dry'!$K$2:$K$821,MATCH(H475,'Ashed teabags dry'!$A$2:$A$821,0)),"")</f>
        <v>20.896226415094358</v>
      </c>
      <c r="X475" s="195">
        <f>IFERROR(INDEX('Ashed teabags dry'!$K$2:$K$821,MATCH(I475,'Ashed teabags dry'!$A$2:$A$821,0)),"")</f>
        <v>6.0721062618585453</v>
      </c>
      <c r="Y475" s="195">
        <f t="shared" si="74"/>
        <v>0.4749390566037735</v>
      </c>
      <c r="Z475" s="195">
        <f t="shared" si="74"/>
        <v>1.4286432637571314</v>
      </c>
      <c r="AA475" s="195">
        <f t="shared" si="80"/>
        <v>0.71361693646865842</v>
      </c>
      <c r="AB475" s="195">
        <f t="shared" si="81"/>
        <v>0.46783438115284975</v>
      </c>
      <c r="AC475" s="195">
        <f t="shared" si="75"/>
        <v>0.77020399859620514</v>
      </c>
      <c r="AD475">
        <f t="shared" si="76"/>
        <v>69</v>
      </c>
      <c r="AE475" s="195">
        <f t="shared" si="82"/>
        <v>0.15247394718686647</v>
      </c>
      <c r="AF475" s="195">
        <f t="shared" si="83"/>
        <v>9.7924989382486369E-3</v>
      </c>
      <c r="AG475" s="255" t="str">
        <f>IF(ISNUMBER(SEARCH("C", 'Dry_Litterbag Placem_Collection'!AD182)),"YES","NO")</f>
        <v>NO</v>
      </c>
      <c r="AH475" s="255" t="str">
        <f>IF(ISNUMBER(SEARCH("H", 'Dry_Litterbag Placem_Collection'!AD182)),"YES","NO")</f>
        <v>NO</v>
      </c>
      <c r="AI475" s="255" t="str">
        <f>IF(ISNUMBER(SEARCH("R", 'Dry_Litterbag Placem_Collection'!AD182)),"YES","NO")</f>
        <v>NO</v>
      </c>
      <c r="AJ475" s="255" t="str">
        <f>IF(ISNUMBER(SEARCH("C", 'Dry_Litterbag Placem_Collection'!AC182)),"YES","NO")</f>
        <v>NO</v>
      </c>
      <c r="AK475" s="255" t="str">
        <f>IF(ISNUMBER(SEARCH("H", 'Dry_Litterbag Placem_Collection'!AC182)),"YES","NO")</f>
        <v>NO</v>
      </c>
      <c r="AL475" s="255" t="str">
        <f>IF(ISNUMBER(SEARCH("R", 'Dry_Litterbag Placem_Collection'!AC182)),"YES","NO")</f>
        <v>NO</v>
      </c>
      <c r="AR475" t="s">
        <v>1628</v>
      </c>
      <c r="AT475" t="s">
        <v>470</v>
      </c>
    </row>
    <row r="476" spans="2:46">
      <c r="B476" t="str">
        <f>'Final data_for_R_analysis_Dryse'!A622</f>
        <v>Dry</v>
      </c>
      <c r="C476" s="263">
        <f>'Final data_for_R_analysis_Dryse'!B622</f>
        <v>181</v>
      </c>
      <c r="D476" t="s">
        <v>3854</v>
      </c>
      <c r="E476" t="s">
        <v>25</v>
      </c>
      <c r="F476" s="387">
        <v>5</v>
      </c>
      <c r="G476" s="16">
        <f>'Dry_Litterbag Placem_Collection'!E183</f>
        <v>42940</v>
      </c>
      <c r="H476" s="92" t="str">
        <f>'Final data_for_R_analysis_Dryse'!J622</f>
        <v>G870</v>
      </c>
      <c r="I476" t="str">
        <f>'Final data_for_R_analysis_Dryse'!J842</f>
        <v>R170</v>
      </c>
      <c r="J476">
        <f>IFERROR(INDEX('Green_rooibos initial weight'!$C$5:$C$1749,MATCH(H476, 'Green_rooibos initial weight'!$A$5:$A$1749,0)),"")</f>
        <v>1.972</v>
      </c>
      <c r="K476">
        <f>IFERROR(INDEX('Green_rooibos initial weight'!$C$5:$C$1749,MATCH(I476, 'Green_rooibos initial weight'!$A$5:$A$1749,0)),"")</f>
        <v>2.1120000000000001</v>
      </c>
      <c r="L476" s="195">
        <f t="shared" si="77"/>
        <v>1.7222</v>
      </c>
      <c r="M476" s="240">
        <f>AVERAGE(Ashed_controlls!$K$1:$K$11)</f>
        <v>5.5147656768714146</v>
      </c>
      <c r="N476" s="195">
        <f t="shared" si="72"/>
        <v>1.6272247055129205</v>
      </c>
      <c r="O476" s="195">
        <f t="shared" si="78"/>
        <v>1.8622000000000001</v>
      </c>
      <c r="P476" s="240">
        <f>AVERAGE(Ashed_controlls!$K$12:$K$14)</f>
        <v>2.2816647271287041</v>
      </c>
      <c r="Q476" s="195">
        <f t="shared" si="73"/>
        <v>1.8197108394514094</v>
      </c>
      <c r="R476" s="16">
        <f>IF('Dry_Litterbag Placem_Collection'!G183="N.A","",'Dry_Litterbag Placem_Collection'!G183)</f>
        <v>43009</v>
      </c>
      <c r="S476" s="195">
        <f>IF(IFERROR(INDEX('Both teabags AfterDry'!$D$1:$D$839,MATCH(H476,'Both teabags AfterDry'!$A$1:$A$839,0)),"")="N.A","",(IFERROR(INDEX('Both teabags AfterDry'!$D$1:$D$839,MATCH(H476,'Both teabags AfterDry'!$A$1:$A$839,0)),"")))</f>
        <v>0.75219999999999998</v>
      </c>
      <c r="T476" s="195">
        <f>IF(IFERROR(INDEX('Both teabags AfterDry'!$D$1:$D$839,MATCH(I476,'Both teabags AfterDry'!$A$1:$A$839,0)),"")="N.A","",(IFERROR(INDEX('Both teabags AfterDry'!$D$1:$D$839,MATCH(I476,'Both teabags AfterDry'!$A$1:$A$839,0)),"")))</f>
        <v>1.7410000000000001</v>
      </c>
      <c r="U476" s="195">
        <f t="shared" si="79"/>
        <v>0.60159999999999991</v>
      </c>
      <c r="V476" s="195">
        <f t="shared" si="79"/>
        <v>1.5904</v>
      </c>
      <c r="W476" s="195">
        <f>IFERROR(INDEX('Ashed teabags dry'!$K$2:$K$821,MATCH(H476,'Ashed teabags dry'!$A$2:$A$821,0)),"")</f>
        <v>17.470472440944899</v>
      </c>
      <c r="X476" s="195">
        <f>IFERROR(INDEX('Ashed teabags dry'!$K$2:$K$821,MATCH(I476,'Ashed teabags dry'!$A$2:$A$821,0)),"")</f>
        <v>7.9387186629519642</v>
      </c>
      <c r="Y476" s="195">
        <f t="shared" si="74"/>
        <v>0.49649763779527545</v>
      </c>
      <c r="Z476" s="195">
        <f t="shared" si="74"/>
        <v>1.464142618384412</v>
      </c>
      <c r="AA476" s="195">
        <f t="shared" si="80"/>
        <v>0.69488071554397068</v>
      </c>
      <c r="AB476" s="195">
        <f t="shared" si="81"/>
        <v>0.45555125294569104</v>
      </c>
      <c r="AC476" s="195">
        <f t="shared" si="75"/>
        <v>0.80460180081457822</v>
      </c>
      <c r="AD476">
        <f t="shared" si="76"/>
        <v>69</v>
      </c>
      <c r="AE476" s="195">
        <f t="shared" si="82"/>
        <v>0.17472599104041486</v>
      </c>
      <c r="AF476" s="195">
        <f t="shared" si="83"/>
        <v>8.119392817843225E-3</v>
      </c>
      <c r="AG476" s="255" t="str">
        <f>IF(ISNUMBER(SEARCH("C", 'Dry_Litterbag Placem_Collection'!AD183)),"YES","NO")</f>
        <v>NO</v>
      </c>
      <c r="AH476" s="255" t="str">
        <f>IF(ISNUMBER(SEARCH("H", 'Dry_Litterbag Placem_Collection'!AD183)),"YES","NO")</f>
        <v>NO</v>
      </c>
      <c r="AI476" s="255" t="str">
        <f>IF(ISNUMBER(SEARCH("R", 'Dry_Litterbag Placem_Collection'!AD183)),"YES","NO")</f>
        <v>NO</v>
      </c>
      <c r="AJ476" s="255" t="str">
        <f>IF(ISNUMBER(SEARCH("C", 'Dry_Litterbag Placem_Collection'!AC183)),"YES","NO")</f>
        <v>NO</v>
      </c>
      <c r="AK476" s="255" t="str">
        <f>IF(ISNUMBER(SEARCH("H", 'Dry_Litterbag Placem_Collection'!AC183)),"YES","NO")</f>
        <v>NO</v>
      </c>
      <c r="AL476" s="255" t="str">
        <f>IF(ISNUMBER(SEARCH("R", 'Dry_Litterbag Placem_Collection'!AC183)),"YES","NO")</f>
        <v>NO</v>
      </c>
      <c r="AR476" t="s">
        <v>1180</v>
      </c>
      <c r="AT476" t="s">
        <v>971</v>
      </c>
    </row>
    <row r="477" spans="2:46">
      <c r="B477" t="str">
        <f>'Final data_for_R_analysis_Dryse'!A623</f>
        <v>Dry</v>
      </c>
      <c r="C477" s="263">
        <f>'Final data_for_R_analysis_Dryse'!B623</f>
        <v>182</v>
      </c>
      <c r="D477" t="s">
        <v>3854</v>
      </c>
      <c r="E477" t="s">
        <v>25</v>
      </c>
      <c r="F477" s="387">
        <v>6</v>
      </c>
      <c r="G477" s="16">
        <f>'Dry_Litterbag Placem_Collection'!E184</f>
        <v>42940</v>
      </c>
      <c r="H477" s="92" t="str">
        <f>'Final data_for_R_analysis_Dryse'!J623</f>
        <v>G136</v>
      </c>
      <c r="I477" t="str">
        <f>'Final data_for_R_analysis_Dryse'!J843</f>
        <v>R697</v>
      </c>
      <c r="J477">
        <f>IFERROR(INDEX('Green_rooibos initial weight'!$C$5:$C$1749,MATCH(H477, 'Green_rooibos initial weight'!$A$5:$A$1749,0)),"")</f>
        <v>1.9430000000000001</v>
      </c>
      <c r="K477">
        <f>IFERROR(INDEX('Green_rooibos initial weight'!$C$5:$C$1749,MATCH(I477, 'Green_rooibos initial weight'!$A$5:$A$1749,0)),"")</f>
        <v>2.133</v>
      </c>
      <c r="L477" s="195">
        <f t="shared" si="77"/>
        <v>1.6932</v>
      </c>
      <c r="M477" s="240">
        <f>AVERAGE(Ashed_controlls!$K$1:$K$11)</f>
        <v>5.5147656768714146</v>
      </c>
      <c r="N477" s="195">
        <f t="shared" si="72"/>
        <v>1.5998239875592133</v>
      </c>
      <c r="O477" s="195">
        <f t="shared" si="78"/>
        <v>1.8832</v>
      </c>
      <c r="P477" s="240">
        <f>AVERAGE(Ashed_controlls!$K$12:$K$14)</f>
        <v>2.2816647271287041</v>
      </c>
      <c r="Q477" s="195">
        <f t="shared" si="73"/>
        <v>1.8402316898587123</v>
      </c>
      <c r="R477" s="16">
        <f>IF('Dry_Litterbag Placem_Collection'!G184="N.A","",'Dry_Litterbag Placem_Collection'!G184)</f>
        <v>43009</v>
      </c>
      <c r="S477" s="195">
        <f>IF(IFERROR(INDEX('Both teabags AfterDry'!$D$1:$D$839,MATCH(H477,'Both teabags AfterDry'!$A$1:$A$839,0)),"")="N.A","",(IFERROR(INDEX('Both teabags AfterDry'!$D$1:$D$839,MATCH(H477,'Both teabags AfterDry'!$A$1:$A$839,0)),"")))</f>
        <v>0.71589999999999998</v>
      </c>
      <c r="T477" s="195">
        <f>IF(IFERROR(INDEX('Both teabags AfterDry'!$D$1:$D$839,MATCH(I477,'Both teabags AfterDry'!$A$1:$A$839,0)),"")="N.A","",(IFERROR(INDEX('Both teabags AfterDry'!$D$1:$D$839,MATCH(I477,'Both teabags AfterDry'!$A$1:$A$839,0)),"")))</f>
        <v>1.8089</v>
      </c>
      <c r="U477" s="195">
        <f t="shared" si="79"/>
        <v>0.56529999999999991</v>
      </c>
      <c r="V477" s="195">
        <f t="shared" si="79"/>
        <v>1.6582999999999999</v>
      </c>
      <c r="W477" s="195">
        <f>IFERROR(INDEX('Ashed teabags dry'!$K$2:$K$821,MATCH(H477,'Ashed teabags dry'!$A$2:$A$821,0)),"")</f>
        <v>14.444983034415532</v>
      </c>
      <c r="X477" s="195">
        <f>IFERROR(INDEX('Ashed teabags dry'!$K$2:$K$821,MATCH(I477,'Ashed teabags dry'!$A$2:$A$821,0)),"")</f>
        <v>9.0456806874716023</v>
      </c>
      <c r="Y477" s="195">
        <f t="shared" si="74"/>
        <v>0.48364251090644894</v>
      </c>
      <c r="Z477" s="195">
        <f t="shared" si="74"/>
        <v>1.5082954771596584</v>
      </c>
      <c r="AA477" s="195">
        <f t="shared" si="80"/>
        <v>0.69769017425202962</v>
      </c>
      <c r="AB477" s="195">
        <f t="shared" si="81"/>
        <v>0.45739308335762519</v>
      </c>
      <c r="AC477" s="195">
        <f t="shared" si="75"/>
        <v>0.819622597236906</v>
      </c>
      <c r="AD477">
        <f t="shared" si="76"/>
        <v>69</v>
      </c>
      <c r="AE477" s="195">
        <f t="shared" si="82"/>
        <v>0.17138934174343268</v>
      </c>
      <c r="AF477" s="195">
        <f t="shared" si="83"/>
        <v>7.2676673419628073E-3</v>
      </c>
      <c r="AG477" s="255" t="str">
        <f>IF(ISNUMBER(SEARCH("C", 'Dry_Litterbag Placem_Collection'!AD184)),"YES","NO")</f>
        <v>NO</v>
      </c>
      <c r="AH477" s="255" t="str">
        <f>IF(ISNUMBER(SEARCH("H", 'Dry_Litterbag Placem_Collection'!AD184)),"YES","NO")</f>
        <v>NO</v>
      </c>
      <c r="AI477" s="255" t="str">
        <f>IF(ISNUMBER(SEARCH("R", 'Dry_Litterbag Placem_Collection'!AD184)),"YES","NO")</f>
        <v>NO</v>
      </c>
      <c r="AJ477" s="255" t="str">
        <f>IF(ISNUMBER(SEARCH("C", 'Dry_Litterbag Placem_Collection'!AC184)),"YES","NO")</f>
        <v>NO</v>
      </c>
      <c r="AK477" s="255" t="str">
        <f>IF(ISNUMBER(SEARCH("H", 'Dry_Litterbag Placem_Collection'!AC184)),"YES","NO")</f>
        <v>NO</v>
      </c>
      <c r="AL477" s="255" t="str">
        <f>IF(ISNUMBER(SEARCH("R", 'Dry_Litterbag Placem_Collection'!AC184)),"YES","NO")</f>
        <v>NO</v>
      </c>
      <c r="AR477" t="s">
        <v>1914</v>
      </c>
      <c r="AT477" t="s">
        <v>442</v>
      </c>
    </row>
    <row r="478" spans="2:46">
      <c r="B478" t="str">
        <f>'Final data_for_R_analysis_Dryse'!A624</f>
        <v>Dry</v>
      </c>
      <c r="C478" s="263">
        <f>'Final data_for_R_analysis_Dryse'!B624</f>
        <v>183</v>
      </c>
      <c r="D478" t="s">
        <v>3854</v>
      </c>
      <c r="E478" t="s">
        <v>25</v>
      </c>
      <c r="F478" s="387">
        <v>7</v>
      </c>
      <c r="G478" s="16">
        <f>'Dry_Litterbag Placem_Collection'!E185</f>
        <v>0</v>
      </c>
      <c r="H478" s="92" t="str">
        <f>'Final data_for_R_analysis_Dryse'!J624</f>
        <v/>
      </c>
      <c r="I478" t="str">
        <f>'Final data_for_R_analysis_Dryse'!J844</f>
        <v/>
      </c>
      <c r="J478" t="str">
        <f>IFERROR(INDEX('Green_rooibos initial weight'!$C$5:$C$1749,MATCH(H478, 'Green_rooibos initial weight'!$A$5:$A$1749,0)),"")</f>
        <v/>
      </c>
      <c r="K478" t="str">
        <f>IFERROR(INDEX('Green_rooibos initial weight'!$C$5:$C$1749,MATCH(I478, 'Green_rooibos initial weight'!$A$5:$A$1749,0)),"")</f>
        <v/>
      </c>
      <c r="L478" s="195" t="str">
        <f t="shared" si="77"/>
        <v/>
      </c>
      <c r="M478" s="240">
        <f>AVERAGE(Ashed_controlls!$K$1:$K$11)</f>
        <v>5.5147656768714146</v>
      </c>
      <c r="N478" s="195" t="str">
        <f t="shared" si="72"/>
        <v/>
      </c>
      <c r="O478" s="195" t="str">
        <f t="shared" si="78"/>
        <v/>
      </c>
      <c r="P478" s="240">
        <f>AVERAGE(Ashed_controlls!$K$12:$K$14)</f>
        <v>2.2816647271287041</v>
      </c>
      <c r="Q478" s="195" t="str">
        <f t="shared" si="73"/>
        <v/>
      </c>
      <c r="R478" s="16">
        <f>IF('Dry_Litterbag Placem_Collection'!G185="N.A","",'Dry_Litterbag Placem_Collection'!G185)</f>
        <v>0</v>
      </c>
      <c r="S478" s="195" t="str">
        <f>IF(IFERROR(INDEX('Both teabags AfterDry'!$D$1:$D$839,MATCH(H478,'Both teabags AfterDry'!$A$1:$A$839,0)),"")="N.A","",(IFERROR(INDEX('Both teabags AfterDry'!$D$1:$D$839,MATCH(H478,'Both teabags AfterDry'!$A$1:$A$839,0)),"")))</f>
        <v/>
      </c>
      <c r="T478" s="195" t="str">
        <f>IF(IFERROR(INDEX('Both teabags AfterDry'!$D$1:$D$839,MATCH(I478,'Both teabags AfterDry'!$A$1:$A$839,0)),"")="N.A","",(IFERROR(INDEX('Both teabags AfterDry'!$D$1:$D$839,MATCH(I478,'Both teabags AfterDry'!$A$1:$A$839,0)),"")))</f>
        <v/>
      </c>
      <c r="U478" s="195" t="str">
        <f t="shared" si="79"/>
        <v/>
      </c>
      <c r="V478" s="195" t="str">
        <f t="shared" si="79"/>
        <v/>
      </c>
      <c r="W478" s="195" t="str">
        <f>IFERROR(INDEX('Ashed teabags dry'!$K$2:$K$821,MATCH(H478,'Ashed teabags dry'!$A$2:$A$821,0)),"")</f>
        <v/>
      </c>
      <c r="X478" s="195" t="str">
        <f>IFERROR(INDEX('Ashed teabags dry'!$K$2:$K$821,MATCH(I478,'Ashed teabags dry'!$A$2:$A$821,0)),"")</f>
        <v/>
      </c>
      <c r="Y478" s="195" t="str">
        <f t="shared" si="74"/>
        <v/>
      </c>
      <c r="Z478" s="195" t="str">
        <f t="shared" si="74"/>
        <v/>
      </c>
      <c r="AA478" s="195" t="str">
        <f t="shared" si="80"/>
        <v/>
      </c>
      <c r="AB478" s="195" t="str">
        <f t="shared" si="81"/>
        <v/>
      </c>
      <c r="AC478" s="195" t="str">
        <f t="shared" si="75"/>
        <v/>
      </c>
      <c r="AD478" t="str">
        <f t="shared" si="76"/>
        <v/>
      </c>
      <c r="AE478" s="195" t="str">
        <f t="shared" si="82"/>
        <v/>
      </c>
      <c r="AF478" s="195" t="str">
        <f t="shared" si="83"/>
        <v/>
      </c>
      <c r="AG478" s="255" t="str">
        <f>IF(ISNUMBER(SEARCH("C", 'Dry_Litterbag Placem_Collection'!AD185)),"YES","NO")</f>
        <v>NO</v>
      </c>
      <c r="AH478" s="255" t="str">
        <f>IF(ISNUMBER(SEARCH("H", 'Dry_Litterbag Placem_Collection'!AD185)),"YES","NO")</f>
        <v>NO</v>
      </c>
      <c r="AI478" s="255" t="str">
        <f>IF(ISNUMBER(SEARCH("R", 'Dry_Litterbag Placem_Collection'!AD185)),"YES","NO")</f>
        <v>NO</v>
      </c>
      <c r="AJ478" s="255" t="str">
        <f>IF(ISNUMBER(SEARCH("C", 'Dry_Litterbag Placem_Collection'!AC185)),"YES","NO")</f>
        <v>NO</v>
      </c>
      <c r="AK478" s="255" t="str">
        <f>IF(ISNUMBER(SEARCH("H", 'Dry_Litterbag Placem_Collection'!AC185)),"YES","NO")</f>
        <v>NO</v>
      </c>
      <c r="AL478" s="255" t="str">
        <f>IF(ISNUMBER(SEARCH("R", 'Dry_Litterbag Placem_Collection'!AC185)),"YES","NO")</f>
        <v>NO</v>
      </c>
      <c r="AR478" t="s">
        <v>3654</v>
      </c>
      <c r="AT478" t="s">
        <v>3654</v>
      </c>
    </row>
    <row r="479" spans="2:46">
      <c r="B479" t="str">
        <f>'Final data_for_R_analysis_Dryse'!A625</f>
        <v>Dry</v>
      </c>
      <c r="C479" s="263">
        <f>'Final data_for_R_analysis_Dryse'!B625</f>
        <v>184</v>
      </c>
      <c r="D479" t="s">
        <v>3854</v>
      </c>
      <c r="E479" t="s">
        <v>25</v>
      </c>
      <c r="F479" s="387">
        <v>8</v>
      </c>
      <c r="G479" s="16">
        <f>'Dry_Litterbag Placem_Collection'!E186</f>
        <v>42940</v>
      </c>
      <c r="H479" s="92" t="str">
        <f>'Final data_for_R_analysis_Dryse'!J625</f>
        <v>G266</v>
      </c>
      <c r="I479" t="str">
        <f>'Final data_for_R_analysis_Dryse'!J845</f>
        <v>R674</v>
      </c>
      <c r="J479">
        <f>IFERROR(INDEX('Green_rooibos initial weight'!$C$5:$C$1749,MATCH(H479, 'Green_rooibos initial weight'!$A$5:$A$1749,0)),"")</f>
        <v>1.9570000000000001</v>
      </c>
      <c r="K479">
        <f>IFERROR(INDEX('Green_rooibos initial weight'!$C$5:$C$1749,MATCH(I479, 'Green_rooibos initial weight'!$A$5:$A$1749,0)),"")</f>
        <v>2.1629999999999998</v>
      </c>
      <c r="L479" s="195">
        <f t="shared" si="77"/>
        <v>1.7072000000000001</v>
      </c>
      <c r="M479" s="240">
        <f>AVERAGE(Ashed_controlls!$K$1:$K$11)</f>
        <v>5.5147656768714146</v>
      </c>
      <c r="N479" s="195">
        <f t="shared" si="72"/>
        <v>1.6130519203644513</v>
      </c>
      <c r="O479" s="195">
        <f t="shared" si="78"/>
        <v>1.9131999999999998</v>
      </c>
      <c r="P479" s="240">
        <f>AVERAGE(Ashed_controlls!$K$12:$K$14)</f>
        <v>2.2816647271287041</v>
      </c>
      <c r="Q479" s="195">
        <f t="shared" si="73"/>
        <v>1.8695471904405734</v>
      </c>
      <c r="R479" s="16">
        <f>IF('Dry_Litterbag Placem_Collection'!G186="N.A","",'Dry_Litterbag Placem_Collection'!G186)</f>
        <v>43009</v>
      </c>
      <c r="S479" s="195">
        <f>IF(IFERROR(INDEX('Both teabags AfterDry'!$D$1:$D$839,MATCH(H479,'Both teabags AfterDry'!$A$1:$A$839,0)),"")="N.A","",(IFERROR(INDEX('Both teabags AfterDry'!$D$1:$D$839,MATCH(H479,'Both teabags AfterDry'!$A$1:$A$839,0)),"")))</f>
        <v>0.69879999999999998</v>
      </c>
      <c r="T479" s="195">
        <f>IF(IFERROR(INDEX('Both teabags AfterDry'!$D$1:$D$839,MATCH(I479,'Both teabags AfterDry'!$A$1:$A$839,0)),"")="N.A","",(IFERROR(INDEX('Both teabags AfterDry'!$D$1:$D$839,MATCH(I479,'Both teabags AfterDry'!$A$1:$A$839,0)),"")))</f>
        <v>1.6498999999999999</v>
      </c>
      <c r="U479" s="195">
        <f t="shared" si="79"/>
        <v>0.54820000000000002</v>
      </c>
      <c r="V479" s="195">
        <f t="shared" si="79"/>
        <v>1.4992999999999999</v>
      </c>
      <c r="W479" s="195">
        <f>IFERROR(INDEX('Ashed teabags dry'!$K$2:$K$821,MATCH(H479,'Ashed teabags dry'!$A$2:$A$821,0)),"")</f>
        <v>29.369282619161797</v>
      </c>
      <c r="X479" s="195">
        <f>IFERROR(INDEX('Ashed teabags dry'!$K$2:$K$821,MATCH(I479,'Ashed teabags dry'!$A$2:$A$821,0)),"")</f>
        <v>8.2802547770705939</v>
      </c>
      <c r="Y479" s="195">
        <f t="shared" si="74"/>
        <v>0.38719759268175502</v>
      </c>
      <c r="Z479" s="195">
        <f t="shared" si="74"/>
        <v>1.3751541401273806</v>
      </c>
      <c r="AA479" s="195">
        <f t="shared" si="80"/>
        <v>0.75995962201001444</v>
      </c>
      <c r="AB479" s="195">
        <f t="shared" si="81"/>
        <v>0.498215809203715</v>
      </c>
      <c r="AC479" s="195">
        <f t="shared" si="75"/>
        <v>0.73555465577914336</v>
      </c>
      <c r="AD479">
        <f t="shared" si="76"/>
        <v>69</v>
      </c>
      <c r="AE479" s="195">
        <f t="shared" si="82"/>
        <v>9.743512825413958E-2</v>
      </c>
      <c r="AF479" s="195">
        <f t="shared" si="83"/>
        <v>1.0966574201511614E-2</v>
      </c>
      <c r="AG479" s="255" t="str">
        <f>IF(ISNUMBER(SEARCH("C", 'Dry_Litterbag Placem_Collection'!AD186)),"YES","NO")</f>
        <v>NO</v>
      </c>
      <c r="AH479" s="255" t="str">
        <f>IF(ISNUMBER(SEARCH("H", 'Dry_Litterbag Placem_Collection'!AD186)),"YES","NO")</f>
        <v>NO</v>
      </c>
      <c r="AI479" s="255" t="str">
        <f>IF(ISNUMBER(SEARCH("R", 'Dry_Litterbag Placem_Collection'!AD186)),"YES","NO")</f>
        <v>NO</v>
      </c>
      <c r="AJ479" s="255" t="str">
        <f>IF(ISNUMBER(SEARCH("C", 'Dry_Litterbag Placem_Collection'!AC186)),"YES","NO")</f>
        <v>NO</v>
      </c>
      <c r="AK479" s="255" t="str">
        <f>IF(ISNUMBER(SEARCH("H", 'Dry_Litterbag Placem_Collection'!AC186)),"YES","NO")</f>
        <v>NO</v>
      </c>
      <c r="AL479" s="255" t="str">
        <f>IF(ISNUMBER(SEARCH("R", 'Dry_Litterbag Placem_Collection'!AC186)),"YES","NO")</f>
        <v>NO</v>
      </c>
      <c r="AR479" t="s">
        <v>1784</v>
      </c>
      <c r="AT479" t="s">
        <v>465</v>
      </c>
    </row>
    <row r="480" spans="2:46">
      <c r="B480" t="str">
        <f>'Final data_for_R_analysis_Dryse'!A626</f>
        <v>Dry</v>
      </c>
      <c r="C480" s="263">
        <f>'Final data_for_R_analysis_Dryse'!B626</f>
        <v>185</v>
      </c>
      <c r="D480" t="s">
        <v>3855</v>
      </c>
      <c r="E480" t="s">
        <v>25</v>
      </c>
      <c r="F480" s="386">
        <v>1</v>
      </c>
      <c r="G480" s="16">
        <f>'Dry_Litterbag Placem_Collection'!E187</f>
        <v>42940</v>
      </c>
      <c r="H480" s="92" t="str">
        <f>'Final data_for_R_analysis_Dryse'!J626</f>
        <v>G165</v>
      </c>
      <c r="I480" t="str">
        <f>'Final data_for_R_analysis_Dryse'!J846</f>
        <v>R607</v>
      </c>
      <c r="J480">
        <f>IFERROR(INDEX('Green_rooibos initial weight'!$C$5:$C$1749,MATCH(H480, 'Green_rooibos initial weight'!$A$5:$A$1749,0)),"")</f>
        <v>2.0089999999999999</v>
      </c>
      <c r="K480">
        <f>IFERROR(INDEX('Green_rooibos initial weight'!$C$5:$C$1749,MATCH(I480, 'Green_rooibos initial weight'!$A$5:$A$1749,0)),"")</f>
        <v>2.14</v>
      </c>
      <c r="L480" s="195">
        <f t="shared" si="77"/>
        <v>1.7591999999999999</v>
      </c>
      <c r="M480" s="240">
        <f>AVERAGE(Ashed_controlls!$K$1:$K$11)</f>
        <v>5.5147656768714146</v>
      </c>
      <c r="N480" s="195">
        <f t="shared" si="72"/>
        <v>1.662184242212478</v>
      </c>
      <c r="O480" s="195">
        <f t="shared" si="78"/>
        <v>1.8902000000000001</v>
      </c>
      <c r="P480" s="240">
        <f>AVERAGE(Ashed_controlls!$K$12:$K$14)</f>
        <v>2.2816647271287041</v>
      </c>
      <c r="Q480" s="195">
        <f t="shared" si="73"/>
        <v>1.8470719733278134</v>
      </c>
      <c r="R480" s="16">
        <f>IF('Dry_Litterbag Placem_Collection'!G187="N.A","",'Dry_Litterbag Placem_Collection'!G187)</f>
        <v>43009</v>
      </c>
      <c r="S480" s="195" t="str">
        <f>IF(IFERROR(INDEX('Both teabags AfterDry'!$D$1:$D$839,MATCH(H480,'Both teabags AfterDry'!$A$1:$A$839,0)),"")="N.A","",(IFERROR(INDEX('Both teabags AfterDry'!$D$1:$D$839,MATCH(H480,'Both teabags AfterDry'!$A$1:$A$839,0)),"")))</f>
        <v/>
      </c>
      <c r="T480" s="195" t="str">
        <f>IF(IFERROR(INDEX('Both teabags AfterDry'!$D$1:$D$839,MATCH(I480,'Both teabags AfterDry'!$A$1:$A$839,0)),"")="N.A","",(IFERROR(INDEX('Both teabags AfterDry'!$D$1:$D$839,MATCH(I480,'Both teabags AfterDry'!$A$1:$A$839,0)),"")))</f>
        <v/>
      </c>
      <c r="U480" s="195" t="str">
        <f t="shared" si="79"/>
        <v/>
      </c>
      <c r="V480" s="195" t="str">
        <f t="shared" si="79"/>
        <v/>
      </c>
      <c r="W480" s="195" t="str">
        <f>IFERROR(INDEX('Ashed teabags dry'!$K$2:$K$821,MATCH(H480,'Ashed teabags dry'!$A$2:$A$821,0)),"")</f>
        <v/>
      </c>
      <c r="X480" s="195" t="str">
        <f>IFERROR(INDEX('Ashed teabags dry'!$K$2:$K$821,MATCH(I480,'Ashed teabags dry'!$A$2:$A$821,0)),"")</f>
        <v/>
      </c>
      <c r="Y480" s="195" t="str">
        <f t="shared" si="74"/>
        <v/>
      </c>
      <c r="Z480" s="195" t="str">
        <f t="shared" si="74"/>
        <v/>
      </c>
      <c r="AA480" s="195" t="str">
        <f t="shared" si="80"/>
        <v/>
      </c>
      <c r="AB480" s="195" t="str">
        <f t="shared" si="81"/>
        <v/>
      </c>
      <c r="AC480" s="195" t="str">
        <f t="shared" si="75"/>
        <v/>
      </c>
      <c r="AD480">
        <f t="shared" si="76"/>
        <v>69</v>
      </c>
      <c r="AE480" s="195" t="str">
        <f t="shared" si="82"/>
        <v/>
      </c>
      <c r="AF480" s="195" t="str">
        <f t="shared" si="83"/>
        <v/>
      </c>
      <c r="AG480" s="255" t="str">
        <f>IF(ISNUMBER(SEARCH("C", 'Dry_Litterbag Placem_Collection'!AD187)),"YES","NO")</f>
        <v>NO</v>
      </c>
      <c r="AH480" s="255" t="str">
        <f>IF(ISNUMBER(SEARCH("H", 'Dry_Litterbag Placem_Collection'!AD187)),"YES","NO")</f>
        <v>NO</v>
      </c>
      <c r="AI480" s="255" t="str">
        <f>IF(ISNUMBER(SEARCH("R", 'Dry_Litterbag Placem_Collection'!AD187)),"YES","NO")</f>
        <v>NO</v>
      </c>
      <c r="AJ480" s="255" t="str">
        <f>IF(ISNUMBER(SEARCH("C", 'Dry_Litterbag Placem_Collection'!AC187)),"YES","NO")</f>
        <v>NO</v>
      </c>
      <c r="AK480" s="255" t="str">
        <f>IF(ISNUMBER(SEARCH("H", 'Dry_Litterbag Placem_Collection'!AC187)),"YES","NO")</f>
        <v>NO</v>
      </c>
      <c r="AL480" s="255" t="str">
        <f>IF(ISNUMBER(SEARCH("R", 'Dry_Litterbag Placem_Collection'!AC187)),"YES","NO")</f>
        <v>NO</v>
      </c>
      <c r="AR480" t="s">
        <v>1885</v>
      </c>
      <c r="AT480" t="s">
        <v>532</v>
      </c>
    </row>
    <row r="481" spans="2:46">
      <c r="B481" t="str">
        <f>'Final data_for_R_analysis_Dryse'!A627</f>
        <v>Dry</v>
      </c>
      <c r="C481" s="263">
        <f>'Final data_for_R_analysis_Dryse'!B627</f>
        <v>186</v>
      </c>
      <c r="D481" t="s">
        <v>3855</v>
      </c>
      <c r="E481" t="s">
        <v>25</v>
      </c>
      <c r="F481" s="386">
        <v>2</v>
      </c>
      <c r="G481" s="16">
        <f>'Dry_Litterbag Placem_Collection'!E188</f>
        <v>42940</v>
      </c>
      <c r="H481" s="92" t="str">
        <f>'Final data_for_R_analysis_Dryse'!J627</f>
        <v>G22</v>
      </c>
      <c r="I481" t="str">
        <f>'Final data_for_R_analysis_Dryse'!J847</f>
        <v>R629</v>
      </c>
      <c r="J481">
        <f>IFERROR(INDEX('Green_rooibos initial weight'!$C$5:$C$1749,MATCH(H481, 'Green_rooibos initial weight'!$A$5:$A$1749,0)),"")</f>
        <v>2.1</v>
      </c>
      <c r="K481">
        <f>IFERROR(INDEX('Green_rooibos initial weight'!$C$5:$C$1749,MATCH(I481, 'Green_rooibos initial weight'!$A$5:$A$1749,0)),"")</f>
        <v>2.1669999999999998</v>
      </c>
      <c r="L481" s="195">
        <f t="shared" si="77"/>
        <v>1.8502000000000001</v>
      </c>
      <c r="M481" s="240">
        <f>AVERAGE(Ashed_controlls!$K$1:$K$11)</f>
        <v>5.5147656768714146</v>
      </c>
      <c r="N481" s="195">
        <f t="shared" si="72"/>
        <v>1.7481658054465252</v>
      </c>
      <c r="O481" s="195">
        <f t="shared" si="78"/>
        <v>1.9171999999999998</v>
      </c>
      <c r="P481" s="240">
        <f>AVERAGE(Ashed_controlls!$K$12:$K$14)</f>
        <v>2.2816647271287041</v>
      </c>
      <c r="Q481" s="195">
        <f t="shared" si="73"/>
        <v>1.8734559238514883</v>
      </c>
      <c r="R481" s="16">
        <f>IF('Dry_Litterbag Placem_Collection'!G188="N.A","",'Dry_Litterbag Placem_Collection'!G188)</f>
        <v>43009</v>
      </c>
      <c r="S481" s="195">
        <f>IF(IFERROR(INDEX('Both teabags AfterDry'!$D$1:$D$839,MATCH(H481,'Both teabags AfterDry'!$A$1:$A$839,0)),"")="N.A","",(IFERROR(INDEX('Both teabags AfterDry'!$D$1:$D$839,MATCH(H481,'Both teabags AfterDry'!$A$1:$A$839,0)),"")))</f>
        <v>0.7238</v>
      </c>
      <c r="T481" s="195">
        <f>IF(IFERROR(INDEX('Both teabags AfterDry'!$D$1:$D$839,MATCH(I481,'Both teabags AfterDry'!$A$1:$A$839,0)),"")="N.A","",(IFERROR(INDEX('Both teabags AfterDry'!$D$1:$D$839,MATCH(I481,'Both teabags AfterDry'!$A$1:$A$839,0)),"")))</f>
        <v>1.8498000000000001</v>
      </c>
      <c r="U481" s="195">
        <f t="shared" si="79"/>
        <v>0.57319999999999993</v>
      </c>
      <c r="V481" s="195">
        <f t="shared" si="79"/>
        <v>1.6992</v>
      </c>
      <c r="W481" s="195">
        <f>IFERROR(INDEX('Ashed teabags dry'!$K$2:$K$821,MATCH(H481,'Ashed teabags dry'!$A$2:$A$821,0)),"")</f>
        <v>19.430172816441186</v>
      </c>
      <c r="X481" s="195">
        <f>IFERROR(INDEX('Ashed teabags dry'!$K$2:$K$821,MATCH(I481,'Ashed teabags dry'!$A$2:$A$821,0)),"")</f>
        <v>8.1542968749998188</v>
      </c>
      <c r="Y481" s="195">
        <f t="shared" si="74"/>
        <v>0.46182624941615907</v>
      </c>
      <c r="Z481" s="195">
        <f t="shared" si="74"/>
        <v>1.5606421875000032</v>
      </c>
      <c r="AA481" s="195">
        <f t="shared" si="80"/>
        <v>0.73582239855206577</v>
      </c>
      <c r="AB481" s="195">
        <f t="shared" si="81"/>
        <v>0.48239188123603366</v>
      </c>
      <c r="AC481" s="195">
        <f t="shared" si="75"/>
        <v>0.83302850503768655</v>
      </c>
      <c r="AD481">
        <f t="shared" si="76"/>
        <v>69</v>
      </c>
      <c r="AE481" s="195">
        <f t="shared" si="82"/>
        <v>0.12610166442747528</v>
      </c>
      <c r="AF481" s="195">
        <f t="shared" si="83"/>
        <v>6.1572537193893776E-3</v>
      </c>
      <c r="AG481" s="255" t="str">
        <f>IF(ISNUMBER(SEARCH("C", 'Dry_Litterbag Placem_Collection'!AD188)),"YES","NO")</f>
        <v>NO</v>
      </c>
      <c r="AH481" s="255" t="str">
        <f>IF(ISNUMBER(SEARCH("H", 'Dry_Litterbag Placem_Collection'!AD188)),"YES","NO")</f>
        <v>NO</v>
      </c>
      <c r="AI481" s="255" t="str">
        <f>IF(ISNUMBER(SEARCH("R", 'Dry_Litterbag Placem_Collection'!AD188)),"YES","NO")</f>
        <v>NO</v>
      </c>
      <c r="AJ481" s="255" t="str">
        <f>IF(ISNUMBER(SEARCH("C", 'Dry_Litterbag Placem_Collection'!AC188)),"YES","NO")</f>
        <v>NO</v>
      </c>
      <c r="AK481" s="255" t="str">
        <f>IF(ISNUMBER(SEARCH("H", 'Dry_Litterbag Placem_Collection'!AC188)),"YES","NO")</f>
        <v>NO</v>
      </c>
      <c r="AL481" s="255" t="str">
        <f>IF(ISNUMBER(SEARCH("R", 'Dry_Litterbag Placem_Collection'!AC188)),"YES","NO")</f>
        <v>NO</v>
      </c>
      <c r="AR481" t="s">
        <v>2028</v>
      </c>
      <c r="AT481" t="s">
        <v>510</v>
      </c>
    </row>
    <row r="482" spans="2:46">
      <c r="B482" t="str">
        <f>'Final data_for_R_analysis_Dryse'!A628</f>
        <v>Dry</v>
      </c>
      <c r="C482" s="263">
        <f>'Final data_for_R_analysis_Dryse'!B628</f>
        <v>187</v>
      </c>
      <c r="D482" t="s">
        <v>3855</v>
      </c>
      <c r="E482" t="s">
        <v>25</v>
      </c>
      <c r="F482" s="386">
        <v>3</v>
      </c>
      <c r="G482" s="16">
        <f>'Dry_Litterbag Placem_Collection'!E189</f>
        <v>42940</v>
      </c>
      <c r="H482" s="92" t="str">
        <f>'Final data_for_R_analysis_Dryse'!J628</f>
        <v>G371</v>
      </c>
      <c r="I482" t="str">
        <f>'Final data_for_R_analysis_Dryse'!J848</f>
        <v>R679</v>
      </c>
      <c r="J482">
        <f>IFERROR(INDEX('Green_rooibos initial weight'!$C$5:$C$1749,MATCH(H482, 'Green_rooibos initial weight'!$A$5:$A$1749,0)),"")</f>
        <v>2.06</v>
      </c>
      <c r="K482">
        <f>IFERROR(INDEX('Green_rooibos initial weight'!$C$5:$C$1749,MATCH(I482, 'Green_rooibos initial weight'!$A$5:$A$1749,0)),"")</f>
        <v>2.149</v>
      </c>
      <c r="L482" s="195">
        <f t="shared" si="77"/>
        <v>1.8102</v>
      </c>
      <c r="M482" s="240">
        <f>AVERAGE(Ashed_controlls!$K$1:$K$11)</f>
        <v>5.5147656768714146</v>
      </c>
      <c r="N482" s="195">
        <f t="shared" si="72"/>
        <v>1.7103717117172736</v>
      </c>
      <c r="O482" s="195">
        <f t="shared" si="78"/>
        <v>1.8992</v>
      </c>
      <c r="P482" s="240">
        <f>AVERAGE(Ashed_controlls!$K$12:$K$14)</f>
        <v>2.2816647271287041</v>
      </c>
      <c r="Q482" s="195">
        <f t="shared" si="73"/>
        <v>1.8558666235023717</v>
      </c>
      <c r="R482" s="16">
        <f>IF('Dry_Litterbag Placem_Collection'!G189="N.A","",'Dry_Litterbag Placem_Collection'!G189)</f>
        <v>43009</v>
      </c>
      <c r="S482" s="195">
        <f>IF(IFERROR(INDEX('Both teabags AfterDry'!$D$1:$D$839,MATCH(H482,'Both teabags AfterDry'!$A$1:$A$839,0)),"")="N.A","",(IFERROR(INDEX('Both teabags AfterDry'!$D$1:$D$839,MATCH(H482,'Both teabags AfterDry'!$A$1:$A$839,0)),"")))</f>
        <v>0.81369999999999998</v>
      </c>
      <c r="T482" s="195">
        <f>IF(IFERROR(INDEX('Both teabags AfterDry'!$D$1:$D$839,MATCH(I482,'Both teabags AfterDry'!$A$1:$A$839,0)),"")="N.A","",(IFERROR(INDEX('Both teabags AfterDry'!$D$1:$D$839,MATCH(I482,'Both teabags AfterDry'!$A$1:$A$839,0)),"")))</f>
        <v>1.7021999999999999</v>
      </c>
      <c r="U482" s="195">
        <f t="shared" si="79"/>
        <v>0.66310000000000002</v>
      </c>
      <c r="V482" s="195">
        <f t="shared" si="79"/>
        <v>1.5515999999999999</v>
      </c>
      <c r="W482" s="195">
        <f>IFERROR(INDEX('Ashed teabags dry'!$K$2:$K$821,MATCH(H482,'Ashed teabags dry'!$A$2:$A$821,0)),"")</f>
        <v>24.951361867703799</v>
      </c>
      <c r="X482" s="195">
        <f>IFERROR(INDEX('Ashed teabags dry'!$K$2:$K$821,MATCH(I482,'Ashed teabags dry'!$A$2:$A$821,0)),"")</f>
        <v>11.726867887184616</v>
      </c>
      <c r="Y482" s="195">
        <f t="shared" si="74"/>
        <v>0.49764751945525609</v>
      </c>
      <c r="Z482" s="195">
        <f t="shared" si="74"/>
        <v>1.3696459178624434</v>
      </c>
      <c r="AA482" s="195">
        <f t="shared" si="80"/>
        <v>0.70904130602370619</v>
      </c>
      <c r="AB482" s="195">
        <f t="shared" si="81"/>
        <v>0.46483468043359366</v>
      </c>
      <c r="AC482" s="195">
        <f t="shared" si="75"/>
        <v>0.73800880974822547</v>
      </c>
      <c r="AD482">
        <f t="shared" si="76"/>
        <v>69</v>
      </c>
      <c r="AE482" s="195">
        <f t="shared" si="82"/>
        <v>0.15790818762030145</v>
      </c>
      <c r="AF482" s="195">
        <f t="shared" si="83"/>
        <v>1.2018074189409486E-2</v>
      </c>
      <c r="AG482" s="255" t="str">
        <f>IF(ISNUMBER(SEARCH("C", 'Dry_Litterbag Placem_Collection'!AD189)),"YES","NO")</f>
        <v>NO</v>
      </c>
      <c r="AH482" s="255" t="str">
        <f>IF(ISNUMBER(SEARCH("H", 'Dry_Litterbag Placem_Collection'!AD189)),"YES","NO")</f>
        <v>NO</v>
      </c>
      <c r="AI482" s="255" t="str">
        <f>IF(ISNUMBER(SEARCH("R", 'Dry_Litterbag Placem_Collection'!AD189)),"YES","NO")</f>
        <v>NO</v>
      </c>
      <c r="AJ482" s="255" t="str">
        <f>IF(ISNUMBER(SEARCH("C", 'Dry_Litterbag Placem_Collection'!AC189)),"YES","NO")</f>
        <v>NO</v>
      </c>
      <c r="AK482" s="255" t="str">
        <f>IF(ISNUMBER(SEARCH("H", 'Dry_Litterbag Placem_Collection'!AC189)),"YES","NO")</f>
        <v>NO</v>
      </c>
      <c r="AL482" s="255" t="str">
        <f>IF(ISNUMBER(SEARCH("R", 'Dry_Litterbag Placem_Collection'!AC189)),"YES","NO")</f>
        <v>NO</v>
      </c>
      <c r="AR482" t="s">
        <v>1679</v>
      </c>
      <c r="AT482" t="s">
        <v>460</v>
      </c>
    </row>
    <row r="483" spans="2:46">
      <c r="B483" t="str">
        <f>'Final data_for_R_analysis_Dryse'!A629</f>
        <v>Dry</v>
      </c>
      <c r="C483" s="263">
        <f>'Final data_for_R_analysis_Dryse'!B629</f>
        <v>188</v>
      </c>
      <c r="D483" t="s">
        <v>3855</v>
      </c>
      <c r="E483" t="s">
        <v>25</v>
      </c>
      <c r="F483" s="387">
        <v>4</v>
      </c>
      <c r="G483" s="16">
        <f>'Dry_Litterbag Placem_Collection'!E190</f>
        <v>42940</v>
      </c>
      <c r="H483" s="92" t="str">
        <f>'Final data_for_R_analysis_Dryse'!J629</f>
        <v>G185</v>
      </c>
      <c r="I483" t="str">
        <f>'Final data_for_R_analysis_Dryse'!J849</f>
        <v>R682</v>
      </c>
      <c r="J483">
        <f>IFERROR(INDEX('Green_rooibos initial weight'!$C$5:$C$1749,MATCH(H483, 'Green_rooibos initial weight'!$A$5:$A$1749,0)),"")</f>
        <v>2.13</v>
      </c>
      <c r="K483">
        <f>IFERROR(INDEX('Green_rooibos initial weight'!$C$5:$C$1749,MATCH(I483, 'Green_rooibos initial weight'!$A$5:$A$1749,0)),"")</f>
        <v>2.1720000000000002</v>
      </c>
      <c r="L483" s="195">
        <f t="shared" si="77"/>
        <v>1.8801999999999999</v>
      </c>
      <c r="M483" s="240">
        <f>AVERAGE(Ashed_controlls!$K$1:$K$11)</f>
        <v>5.5147656768714146</v>
      </c>
      <c r="N483" s="195">
        <f t="shared" si="72"/>
        <v>1.7765113757434636</v>
      </c>
      <c r="O483" s="195">
        <f t="shared" si="78"/>
        <v>1.9222000000000001</v>
      </c>
      <c r="P483" s="240">
        <f>AVERAGE(Ashed_controlls!$K$12:$K$14)</f>
        <v>2.2816647271287041</v>
      </c>
      <c r="Q483" s="195">
        <f t="shared" si="73"/>
        <v>1.8783418406151322</v>
      </c>
      <c r="R483" s="16">
        <f>IF('Dry_Litterbag Placem_Collection'!G190="N.A","",'Dry_Litterbag Placem_Collection'!G190)</f>
        <v>43009</v>
      </c>
      <c r="S483" s="195">
        <f>IF(IFERROR(INDEX('Both teabags AfterDry'!$D$1:$D$839,MATCH(H483,'Both teabags AfterDry'!$A$1:$A$839,0)),"")="N.A","",(IFERROR(INDEX('Both teabags AfterDry'!$D$1:$D$839,MATCH(H483,'Both teabags AfterDry'!$A$1:$A$839,0)),"")))</f>
        <v>0.74670000000000003</v>
      </c>
      <c r="T483" s="195">
        <f>IF(IFERROR(INDEX('Both teabags AfterDry'!$D$1:$D$839,MATCH(I483,'Both teabags AfterDry'!$A$1:$A$839,0)),"")="N.A","",(IFERROR(INDEX('Both teabags AfterDry'!$D$1:$D$839,MATCH(I483,'Both teabags AfterDry'!$A$1:$A$839,0)),"")))</f>
        <v>1.7353000000000001</v>
      </c>
      <c r="U483" s="195">
        <f t="shared" si="79"/>
        <v>0.59610000000000007</v>
      </c>
      <c r="V483" s="195">
        <f t="shared" si="79"/>
        <v>1.5847</v>
      </c>
      <c r="W483" s="195">
        <f>IFERROR(INDEX('Ashed teabags dry'!$K$2:$K$821,MATCH(H483,'Ashed teabags dry'!$A$2:$A$821,0)),"")</f>
        <v>22.108345534406503</v>
      </c>
      <c r="X483" s="195">
        <f>IFERROR(INDEX('Ashed teabags dry'!$K$2:$K$821,MATCH(I483,'Ashed teabags dry'!$A$2:$A$821,0)),"")</f>
        <v>6.766169154228745</v>
      </c>
      <c r="Y483" s="195">
        <f t="shared" si="74"/>
        <v>0.46431215226940292</v>
      </c>
      <c r="Z483" s="195">
        <f t="shared" si="74"/>
        <v>1.4774765174129372</v>
      </c>
      <c r="AA483" s="195">
        <f t="shared" si="80"/>
        <v>0.73863823299465792</v>
      </c>
      <c r="AB483" s="195">
        <f t="shared" si="81"/>
        <v>0.48423789146443136</v>
      </c>
      <c r="AC483" s="195">
        <f t="shared" si="75"/>
        <v>0.7865855327638781</v>
      </c>
      <c r="AD483">
        <f t="shared" si="76"/>
        <v>69</v>
      </c>
      <c r="AE483" s="195">
        <f t="shared" si="82"/>
        <v>0.12275744299921865</v>
      </c>
      <c r="AF483" s="195">
        <f t="shared" si="83"/>
        <v>8.4218733312018661E-3</v>
      </c>
      <c r="AG483" s="255" t="str">
        <f>IF(ISNUMBER(SEARCH("C", 'Dry_Litterbag Placem_Collection'!AD190)),"YES","NO")</f>
        <v>NO</v>
      </c>
      <c r="AH483" s="255" t="str">
        <f>IF(ISNUMBER(SEARCH("H", 'Dry_Litterbag Placem_Collection'!AD190)),"YES","NO")</f>
        <v>NO</v>
      </c>
      <c r="AI483" s="255" t="str">
        <f>IF(ISNUMBER(SEARCH("R", 'Dry_Litterbag Placem_Collection'!AD190)),"YES","NO")</f>
        <v>NO</v>
      </c>
      <c r="AJ483" s="255" t="str">
        <f>IF(ISNUMBER(SEARCH("C", 'Dry_Litterbag Placem_Collection'!AC190)),"YES","NO")</f>
        <v>NO</v>
      </c>
      <c r="AK483" s="255" t="str">
        <f>IF(ISNUMBER(SEARCH("H", 'Dry_Litterbag Placem_Collection'!AC190)),"YES","NO")</f>
        <v>NO</v>
      </c>
      <c r="AL483" s="255" t="str">
        <f>IF(ISNUMBER(SEARCH("R", 'Dry_Litterbag Placem_Collection'!AC190)),"YES","NO")</f>
        <v>NO</v>
      </c>
      <c r="AR483" t="s">
        <v>1865</v>
      </c>
      <c r="AT483" t="s">
        <v>457</v>
      </c>
    </row>
    <row r="484" spans="2:46">
      <c r="B484" t="str">
        <f>'Final data_for_R_analysis_Dryse'!A630</f>
        <v>Dry</v>
      </c>
      <c r="C484" s="263">
        <f>'Final data_for_R_analysis_Dryse'!B630</f>
        <v>189</v>
      </c>
      <c r="D484" t="s">
        <v>3855</v>
      </c>
      <c r="E484" t="s">
        <v>25</v>
      </c>
      <c r="F484" s="387">
        <v>5</v>
      </c>
      <c r="G484" s="16">
        <f>'Dry_Litterbag Placem_Collection'!E191</f>
        <v>42940</v>
      </c>
      <c r="H484" s="92" t="str">
        <f>'Final data_for_R_analysis_Dryse'!J630</f>
        <v>G301</v>
      </c>
      <c r="I484" t="str">
        <f>'Final data_for_R_analysis_Dryse'!J850</f>
        <v>R693</v>
      </c>
      <c r="J484">
        <f>IFERROR(INDEX('Green_rooibos initial weight'!$C$5:$C$1749,MATCH(H484, 'Green_rooibos initial weight'!$A$5:$A$1749,0)),"")</f>
        <v>1.9379999999999999</v>
      </c>
      <c r="K484">
        <f>IFERROR(INDEX('Green_rooibos initial weight'!$C$5:$C$1749,MATCH(I484, 'Green_rooibos initial weight'!$A$5:$A$1749,0)),"")</f>
        <v>2.1789999999999998</v>
      </c>
      <c r="L484" s="195">
        <f t="shared" si="77"/>
        <v>1.6881999999999999</v>
      </c>
      <c r="M484" s="240">
        <f>AVERAGE(Ashed_controlls!$K$1:$K$11)</f>
        <v>5.5147656768714146</v>
      </c>
      <c r="N484" s="195">
        <f t="shared" si="72"/>
        <v>1.5950997258430566</v>
      </c>
      <c r="O484" s="195">
        <f t="shared" si="78"/>
        <v>1.9291999999999998</v>
      </c>
      <c r="P484" s="240">
        <f>AVERAGE(Ashed_controlls!$K$12:$K$14)</f>
        <v>2.2816647271287041</v>
      </c>
      <c r="Q484" s="195">
        <f t="shared" si="73"/>
        <v>1.8851821240842328</v>
      </c>
      <c r="R484" s="16">
        <f>IF('Dry_Litterbag Placem_Collection'!G191="N.A","",'Dry_Litterbag Placem_Collection'!G191)</f>
        <v>43009</v>
      </c>
      <c r="S484" s="195">
        <f>IF(IFERROR(INDEX('Both teabags AfterDry'!$D$1:$D$839,MATCH(H484,'Both teabags AfterDry'!$A$1:$A$839,0)),"")="N.A","",(IFERROR(INDEX('Both teabags AfterDry'!$D$1:$D$839,MATCH(H484,'Both teabags AfterDry'!$A$1:$A$839,0)),"")))</f>
        <v>0.66849999999999998</v>
      </c>
      <c r="T484" s="195">
        <f>IF(IFERROR(INDEX('Both teabags AfterDry'!$D$1:$D$839,MATCH(I484,'Both teabags AfterDry'!$A$1:$A$839,0)),"")="N.A","",(IFERROR(INDEX('Both teabags AfterDry'!$D$1:$D$839,MATCH(I484,'Both teabags AfterDry'!$A$1:$A$839,0)),"")))</f>
        <v>1.919</v>
      </c>
      <c r="U484" s="195">
        <f t="shared" si="79"/>
        <v>0.51790000000000003</v>
      </c>
      <c r="V484" s="195">
        <f t="shared" si="79"/>
        <v>1.7684</v>
      </c>
      <c r="W484" s="195">
        <f>IFERROR(INDEX('Ashed teabags dry'!$K$2:$K$821,MATCH(H484,'Ashed teabags dry'!$A$2:$A$821,0)),"")</f>
        <v>15.626326963906347</v>
      </c>
      <c r="X484" s="195">
        <f>IFERROR(INDEX('Ashed teabags dry'!$K$2:$K$821,MATCH(I484,'Ashed teabags dry'!$A$2:$A$821,0)),"")</f>
        <v>7.2408897302414861</v>
      </c>
      <c r="Y484" s="195">
        <f t="shared" si="74"/>
        <v>0.43697125265392905</v>
      </c>
      <c r="Z484" s="195">
        <f t="shared" si="74"/>
        <v>1.6403521060104096</v>
      </c>
      <c r="AA484" s="195">
        <f t="shared" si="80"/>
        <v>0.72605396040490389</v>
      </c>
      <c r="AB484" s="195">
        <f t="shared" si="81"/>
        <v>0.47598786952910571</v>
      </c>
      <c r="AC484" s="195">
        <f t="shared" si="75"/>
        <v>0.87012924908103795</v>
      </c>
      <c r="AD484">
        <f t="shared" si="76"/>
        <v>69</v>
      </c>
      <c r="AE484" s="195">
        <f t="shared" si="82"/>
        <v>0.13770313491104047</v>
      </c>
      <c r="AF484" s="195">
        <f t="shared" si="83"/>
        <v>4.6176109978170845E-3</v>
      </c>
      <c r="AG484" s="255" t="str">
        <f>IF(ISNUMBER(SEARCH("C", 'Dry_Litterbag Placem_Collection'!AD191)),"YES","NO")</f>
        <v>NO</v>
      </c>
      <c r="AH484" s="255" t="str">
        <f>IF(ISNUMBER(SEARCH("H", 'Dry_Litterbag Placem_Collection'!AD191)),"YES","NO")</f>
        <v>NO</v>
      </c>
      <c r="AI484" s="255" t="str">
        <f>IF(ISNUMBER(SEARCH("R", 'Dry_Litterbag Placem_Collection'!AD191)),"YES","NO")</f>
        <v>NO</v>
      </c>
      <c r="AJ484" s="255" t="str">
        <f>IF(ISNUMBER(SEARCH("C", 'Dry_Litterbag Placem_Collection'!AC191)),"YES","NO")</f>
        <v>NO</v>
      </c>
      <c r="AK484" s="255" t="str">
        <f>IF(ISNUMBER(SEARCH("H", 'Dry_Litterbag Placem_Collection'!AC191)),"YES","NO")</f>
        <v>NO</v>
      </c>
      <c r="AL484" s="255" t="str">
        <f>IF(ISNUMBER(SEARCH("R", 'Dry_Litterbag Placem_Collection'!AC191)),"YES","NO")</f>
        <v>NO</v>
      </c>
      <c r="AR484" t="s">
        <v>1749</v>
      </c>
      <c r="AT484" t="s">
        <v>446</v>
      </c>
    </row>
    <row r="485" spans="2:46">
      <c r="B485" t="str">
        <f>'Final data_for_R_analysis_Dryse'!A631</f>
        <v>Dry</v>
      </c>
      <c r="C485" s="263">
        <f>'Final data_for_R_analysis_Dryse'!B631</f>
        <v>190</v>
      </c>
      <c r="D485" t="s">
        <v>3855</v>
      </c>
      <c r="E485" t="s">
        <v>25</v>
      </c>
      <c r="F485" s="387">
        <v>6</v>
      </c>
      <c r="G485" s="16">
        <f>'Dry_Litterbag Placem_Collection'!E192</f>
        <v>42940</v>
      </c>
      <c r="H485" s="92" t="str">
        <f>'Final data_for_R_analysis_Dryse'!J631</f>
        <v>G466</v>
      </c>
      <c r="I485" t="str">
        <f>'Final data_for_R_analysis_Dryse'!J851</f>
        <v>R605</v>
      </c>
      <c r="J485">
        <f>IFERROR(INDEX('Green_rooibos initial weight'!$C$5:$C$1749,MATCH(H485, 'Green_rooibos initial weight'!$A$5:$A$1749,0)),"")</f>
        <v>1.9319999999999999</v>
      </c>
      <c r="K485">
        <f>IFERROR(INDEX('Green_rooibos initial weight'!$C$5:$C$1749,MATCH(I485, 'Green_rooibos initial weight'!$A$5:$A$1749,0)),"")</f>
        <v>2.165</v>
      </c>
      <c r="L485" s="195">
        <f t="shared" si="77"/>
        <v>1.6821999999999999</v>
      </c>
      <c r="M485" s="240">
        <f>AVERAGE(Ashed_controlls!$K$1:$K$11)</f>
        <v>5.5147656768714146</v>
      </c>
      <c r="N485" s="195">
        <f t="shared" si="72"/>
        <v>1.589430611783669</v>
      </c>
      <c r="O485" s="195">
        <f t="shared" si="78"/>
        <v>1.9152</v>
      </c>
      <c r="P485" s="240">
        <f>AVERAGE(Ashed_controlls!$K$12:$K$14)</f>
        <v>2.2816647271287041</v>
      </c>
      <c r="Q485" s="195">
        <f t="shared" si="73"/>
        <v>1.8715015571460312</v>
      </c>
      <c r="R485" s="16">
        <f>IF('Dry_Litterbag Placem_Collection'!G192="N.A","",'Dry_Litterbag Placem_Collection'!G192)</f>
        <v>43009</v>
      </c>
      <c r="S485" s="195">
        <f>IF(IFERROR(INDEX('Both teabags AfterDry'!$D$1:$D$839,MATCH(H485,'Both teabags AfterDry'!$A$1:$A$839,0)),"")="N.A","",(IFERROR(INDEX('Both teabags AfterDry'!$D$1:$D$839,MATCH(H485,'Both teabags AfterDry'!$A$1:$A$839,0)),"")))</f>
        <v>0.81599999999999995</v>
      </c>
      <c r="T485" s="195">
        <f>IF(IFERROR(INDEX('Both teabags AfterDry'!$D$1:$D$839,MATCH(I485,'Both teabags AfterDry'!$A$1:$A$839,0)),"")="N.A","",(IFERROR(INDEX('Both teabags AfterDry'!$D$1:$D$839,MATCH(I485,'Both teabags AfterDry'!$A$1:$A$839,0)),"")))</f>
        <v>1.8051999999999999</v>
      </c>
      <c r="U485" s="195">
        <f t="shared" si="79"/>
        <v>0.66539999999999999</v>
      </c>
      <c r="V485" s="195">
        <f t="shared" si="79"/>
        <v>1.6545999999999998</v>
      </c>
      <c r="W485" s="195">
        <f>IFERROR(INDEX('Ashed teabags dry'!$K$2:$K$821,MATCH(H485,'Ashed teabags dry'!$A$2:$A$821,0)),"")</f>
        <v>24.385447394296765</v>
      </c>
      <c r="X485" s="195">
        <f>IFERROR(INDEX('Ashed teabags dry'!$K$2:$K$821,MATCH(I485,'Ashed teabags dry'!$A$2:$A$821,0)),"")</f>
        <v>9.224730127576688</v>
      </c>
      <c r="Y485" s="195">
        <f t="shared" si="74"/>
        <v>0.50313923303834929</v>
      </c>
      <c r="Z485" s="195">
        <f t="shared" si="74"/>
        <v>1.5019676153091159</v>
      </c>
      <c r="AA485" s="195">
        <f t="shared" si="80"/>
        <v>0.68344687128321802</v>
      </c>
      <c r="AB485" s="195">
        <f t="shared" si="81"/>
        <v>0.44805543105503132</v>
      </c>
      <c r="AC485" s="195">
        <f t="shared" si="75"/>
        <v>0.80254681572349829</v>
      </c>
      <c r="AD485">
        <f t="shared" si="76"/>
        <v>69</v>
      </c>
      <c r="AE485" s="195">
        <f t="shared" si="82"/>
        <v>0.18830537852349405</v>
      </c>
      <c r="AF485" s="195">
        <f t="shared" si="83"/>
        <v>8.4210137213933979E-3</v>
      </c>
      <c r="AG485" s="255" t="str">
        <f>IF(ISNUMBER(SEARCH("C", 'Dry_Litterbag Placem_Collection'!AD192)),"YES","NO")</f>
        <v>NO</v>
      </c>
      <c r="AH485" s="255" t="str">
        <f>IF(ISNUMBER(SEARCH("H", 'Dry_Litterbag Placem_Collection'!AD192)),"YES","NO")</f>
        <v>NO</v>
      </c>
      <c r="AI485" s="255" t="str">
        <f>IF(ISNUMBER(SEARCH("R", 'Dry_Litterbag Placem_Collection'!AD192)),"YES","NO")</f>
        <v>NO</v>
      </c>
      <c r="AJ485" s="255" t="str">
        <f>IF(ISNUMBER(SEARCH("C", 'Dry_Litterbag Placem_Collection'!AC192)),"YES","NO")</f>
        <v>NO</v>
      </c>
      <c r="AK485" s="255" t="str">
        <f>IF(ISNUMBER(SEARCH("H", 'Dry_Litterbag Placem_Collection'!AC192)),"YES","NO")</f>
        <v>NO</v>
      </c>
      <c r="AL485" s="255" t="str">
        <f>IF(ISNUMBER(SEARCH("R", 'Dry_Litterbag Placem_Collection'!AC192)),"YES","NO")</f>
        <v>NO</v>
      </c>
      <c r="AR485" t="s">
        <v>1584</v>
      </c>
      <c r="AT485" t="s">
        <v>534</v>
      </c>
    </row>
    <row r="486" spans="2:46">
      <c r="B486" t="str">
        <f>'Final data_for_R_analysis_Dryse'!A632</f>
        <v>Dry</v>
      </c>
      <c r="C486" s="263">
        <f>'Final data_for_R_analysis_Dryse'!B632</f>
        <v>191</v>
      </c>
      <c r="D486" t="s">
        <v>3855</v>
      </c>
      <c r="E486" t="s">
        <v>25</v>
      </c>
      <c r="F486" s="387">
        <v>7</v>
      </c>
      <c r="G486" s="16">
        <f>'Dry_Litterbag Placem_Collection'!E193</f>
        <v>42940</v>
      </c>
      <c r="H486" s="92" t="str">
        <f>'Final data_for_R_analysis_Dryse'!J632</f>
        <v>G32</v>
      </c>
      <c r="I486" t="str">
        <f>'Final data_for_R_analysis_Dryse'!J852</f>
        <v>R240</v>
      </c>
      <c r="J486">
        <f>IFERROR(INDEX('Green_rooibos initial weight'!$C$5:$C$1749,MATCH(H486, 'Green_rooibos initial weight'!$A$5:$A$1749,0)),"")</f>
        <v>2.0510000000000002</v>
      </c>
      <c r="K486">
        <f>IFERROR(INDEX('Green_rooibos initial weight'!$C$5:$C$1749,MATCH(I486, 'Green_rooibos initial weight'!$A$5:$A$1749,0)),"")</f>
        <v>2.1800000000000002</v>
      </c>
      <c r="L486" s="195">
        <f t="shared" si="77"/>
        <v>1.8012000000000001</v>
      </c>
      <c r="M486" s="240">
        <f>AVERAGE(Ashed_controlls!$K$1:$K$11)</f>
        <v>5.5147656768714146</v>
      </c>
      <c r="N486" s="195">
        <f t="shared" si="72"/>
        <v>1.7018680406281923</v>
      </c>
      <c r="O486" s="195">
        <f t="shared" si="78"/>
        <v>1.9302000000000001</v>
      </c>
      <c r="P486" s="240">
        <f>AVERAGE(Ashed_controlls!$K$12:$K$14)</f>
        <v>2.2816647271287041</v>
      </c>
      <c r="Q486" s="195">
        <f t="shared" si="73"/>
        <v>1.8861593074369618</v>
      </c>
      <c r="R486" s="16">
        <f>IF('Dry_Litterbag Placem_Collection'!G193="N.A","",'Dry_Litterbag Placem_Collection'!G193)</f>
        <v>43009</v>
      </c>
      <c r="S486" s="195">
        <f>IF(IFERROR(INDEX('Both teabags AfterDry'!$D$1:$D$839,MATCH(H486,'Both teabags AfterDry'!$A$1:$A$839,0)),"")="N.A","",(IFERROR(INDEX('Both teabags AfterDry'!$D$1:$D$839,MATCH(H486,'Both teabags AfterDry'!$A$1:$A$839,0)),"")))</f>
        <v>0.77580000000000005</v>
      </c>
      <c r="T486" s="195">
        <f>IF(IFERROR(INDEX('Both teabags AfterDry'!$D$1:$D$839,MATCH(I486,'Both teabags AfterDry'!$A$1:$A$839,0)),"")="N.A","",(IFERROR(INDEX('Both teabags AfterDry'!$D$1:$D$839,MATCH(I486,'Both teabags AfterDry'!$A$1:$A$839,0)),"")))</f>
        <v>1.7597</v>
      </c>
      <c r="U486" s="195">
        <f t="shared" si="79"/>
        <v>0.62519999999999998</v>
      </c>
      <c r="V486" s="195">
        <f t="shared" si="79"/>
        <v>1.6091</v>
      </c>
      <c r="W486" s="195">
        <f>IFERROR(INDEX('Ashed teabags dry'!$K$2:$K$821,MATCH(H486,'Ashed teabags dry'!$A$2:$A$821,0)),"")</f>
        <v>25.871121718377726</v>
      </c>
      <c r="X486" s="195">
        <f>IFERROR(INDEX('Ashed teabags dry'!$K$2:$K$821,MATCH(I486,'Ashed teabags dry'!$A$2:$A$821,0)),"")</f>
        <v>6.2347783731121424</v>
      </c>
      <c r="Y486" s="195">
        <f t="shared" si="74"/>
        <v>0.46345374701670244</v>
      </c>
      <c r="Z486" s="195">
        <f t="shared" si="74"/>
        <v>1.5087761811982525</v>
      </c>
      <c r="AA486" s="195">
        <f t="shared" si="80"/>
        <v>0.72767938761830631</v>
      </c>
      <c r="AB486" s="195">
        <f t="shared" si="81"/>
        <v>0.47705347026758327</v>
      </c>
      <c r="AC486" s="195">
        <f t="shared" si="75"/>
        <v>0.79991980277025354</v>
      </c>
      <c r="AD486">
        <f t="shared" si="76"/>
        <v>69</v>
      </c>
      <c r="AE486" s="195">
        <f t="shared" si="82"/>
        <v>0.13577269879061005</v>
      </c>
      <c r="AF486" s="195">
        <f t="shared" si="83"/>
        <v>7.8798198159253877E-3</v>
      </c>
      <c r="AG486" s="255" t="str">
        <f>IF(ISNUMBER(SEARCH("C", 'Dry_Litterbag Placem_Collection'!AD193)),"YES","NO")</f>
        <v>NO</v>
      </c>
      <c r="AH486" s="255" t="str">
        <f>IF(ISNUMBER(SEARCH("H", 'Dry_Litterbag Placem_Collection'!AD193)),"YES","NO")</f>
        <v>NO</v>
      </c>
      <c r="AI486" s="255" t="str">
        <f>IF(ISNUMBER(SEARCH("R", 'Dry_Litterbag Placem_Collection'!AD193)),"YES","NO")</f>
        <v>NO</v>
      </c>
      <c r="AJ486" s="255" t="str">
        <f>IF(ISNUMBER(SEARCH("C", 'Dry_Litterbag Placem_Collection'!AC193)),"YES","NO")</f>
        <v>NO</v>
      </c>
      <c r="AK486" s="255" t="str">
        <f>IF(ISNUMBER(SEARCH("H", 'Dry_Litterbag Placem_Collection'!AC193)),"YES","NO")</f>
        <v>NO</v>
      </c>
      <c r="AL486" s="255" t="str">
        <f>IF(ISNUMBER(SEARCH("R", 'Dry_Litterbag Placem_Collection'!AC193)),"YES","NO")</f>
        <v>NO</v>
      </c>
      <c r="AR486" t="s">
        <v>2018</v>
      </c>
      <c r="AT486" t="s">
        <v>901</v>
      </c>
    </row>
    <row r="487" spans="2:46">
      <c r="B487" t="str">
        <f>'Final data_for_R_analysis_Dryse'!A633</f>
        <v>Dry</v>
      </c>
      <c r="C487" s="263">
        <f>'Final data_for_R_analysis_Dryse'!B633</f>
        <v>192</v>
      </c>
      <c r="D487" t="s">
        <v>3855</v>
      </c>
      <c r="E487" t="s">
        <v>25</v>
      </c>
      <c r="F487" s="387">
        <v>8</v>
      </c>
      <c r="G487" s="16">
        <f>'Dry_Litterbag Placem_Collection'!E194</f>
        <v>0</v>
      </c>
      <c r="H487" s="92" t="str">
        <f>'Final data_for_R_analysis_Dryse'!J633</f>
        <v/>
      </c>
      <c r="I487" t="str">
        <f>'Final data_for_R_analysis_Dryse'!J853</f>
        <v/>
      </c>
      <c r="J487" t="str">
        <f>IFERROR(INDEX('Green_rooibos initial weight'!$C$5:$C$1749,MATCH(H487, 'Green_rooibos initial weight'!$A$5:$A$1749,0)),"")</f>
        <v/>
      </c>
      <c r="K487" t="str">
        <f>IFERROR(INDEX('Green_rooibos initial weight'!$C$5:$C$1749,MATCH(I487, 'Green_rooibos initial weight'!$A$5:$A$1749,0)),"")</f>
        <v/>
      </c>
      <c r="L487" s="195" t="str">
        <f t="shared" si="77"/>
        <v/>
      </c>
      <c r="M487" s="240">
        <f>AVERAGE(Ashed_controlls!$K$1:$K$11)</f>
        <v>5.5147656768714146</v>
      </c>
      <c r="N487" s="195" t="str">
        <f t="shared" si="72"/>
        <v/>
      </c>
      <c r="O487" s="195" t="str">
        <f t="shared" si="78"/>
        <v/>
      </c>
      <c r="P487" s="240">
        <f>AVERAGE(Ashed_controlls!$K$12:$K$14)</f>
        <v>2.2816647271287041</v>
      </c>
      <c r="Q487" s="195" t="str">
        <f t="shared" si="73"/>
        <v/>
      </c>
      <c r="R487" s="16">
        <f>IF('Dry_Litterbag Placem_Collection'!G194="N.A","",'Dry_Litterbag Placem_Collection'!G194)</f>
        <v>0</v>
      </c>
      <c r="S487" s="195" t="str">
        <f>IF(IFERROR(INDEX('Both teabags AfterDry'!$D$1:$D$839,MATCH(H487,'Both teabags AfterDry'!$A$1:$A$839,0)),"")="N.A","",(IFERROR(INDEX('Both teabags AfterDry'!$D$1:$D$839,MATCH(H487,'Both teabags AfterDry'!$A$1:$A$839,0)),"")))</f>
        <v/>
      </c>
      <c r="T487" s="195" t="str">
        <f>IF(IFERROR(INDEX('Both teabags AfterDry'!$D$1:$D$839,MATCH(I487,'Both teabags AfterDry'!$A$1:$A$839,0)),"")="N.A","",(IFERROR(INDEX('Both teabags AfterDry'!$D$1:$D$839,MATCH(I487,'Both teabags AfterDry'!$A$1:$A$839,0)),"")))</f>
        <v/>
      </c>
      <c r="U487" s="195" t="str">
        <f t="shared" si="79"/>
        <v/>
      </c>
      <c r="V487" s="195" t="str">
        <f t="shared" si="79"/>
        <v/>
      </c>
      <c r="W487" s="195" t="str">
        <f>IFERROR(INDEX('Ashed teabags dry'!$K$2:$K$821,MATCH(H487,'Ashed teabags dry'!$A$2:$A$821,0)),"")</f>
        <v/>
      </c>
      <c r="X487" s="195" t="str">
        <f>IFERROR(INDEX('Ashed teabags dry'!$K$2:$K$821,MATCH(I487,'Ashed teabags dry'!$A$2:$A$821,0)),"")</f>
        <v/>
      </c>
      <c r="Y487" s="195" t="str">
        <f t="shared" si="74"/>
        <v/>
      </c>
      <c r="Z487" s="195" t="str">
        <f t="shared" si="74"/>
        <v/>
      </c>
      <c r="AA487" s="195" t="str">
        <f t="shared" si="80"/>
        <v/>
      </c>
      <c r="AB487" s="195" t="str">
        <f t="shared" si="81"/>
        <v/>
      </c>
      <c r="AC487" s="195" t="str">
        <f t="shared" si="75"/>
        <v/>
      </c>
      <c r="AD487" t="str">
        <f t="shared" si="76"/>
        <v/>
      </c>
      <c r="AE487" s="195" t="str">
        <f t="shared" si="82"/>
        <v/>
      </c>
      <c r="AF487" s="195" t="str">
        <f t="shared" si="83"/>
        <v/>
      </c>
      <c r="AG487" s="255" t="str">
        <f>IF(ISNUMBER(SEARCH("C", 'Dry_Litterbag Placem_Collection'!AD194)),"YES","NO")</f>
        <v>NO</v>
      </c>
      <c r="AH487" s="255" t="str">
        <f>IF(ISNUMBER(SEARCH("H", 'Dry_Litterbag Placem_Collection'!AD194)),"YES","NO")</f>
        <v>NO</v>
      </c>
      <c r="AI487" s="255" t="str">
        <f>IF(ISNUMBER(SEARCH("R", 'Dry_Litterbag Placem_Collection'!AD194)),"YES","NO")</f>
        <v>NO</v>
      </c>
      <c r="AJ487" s="255" t="str">
        <f>IF(ISNUMBER(SEARCH("C", 'Dry_Litterbag Placem_Collection'!AC194)),"YES","NO")</f>
        <v>NO</v>
      </c>
      <c r="AK487" s="255" t="str">
        <f>IF(ISNUMBER(SEARCH("H", 'Dry_Litterbag Placem_Collection'!AC194)),"YES","NO")</f>
        <v>NO</v>
      </c>
      <c r="AL487" s="255" t="str">
        <f>IF(ISNUMBER(SEARCH("R", 'Dry_Litterbag Placem_Collection'!AC194)),"YES","NO")</f>
        <v>NO</v>
      </c>
      <c r="AR487" t="s">
        <v>3654</v>
      </c>
      <c r="AT487" t="s">
        <v>3654</v>
      </c>
    </row>
    <row r="488" spans="2:46">
      <c r="B488" t="str">
        <f>'Final data_for_R_analysis_Dryse'!A634</f>
        <v>Dry</v>
      </c>
      <c r="C488" s="263">
        <f>'Final data_for_R_analysis_Dryse'!B634</f>
        <v>193</v>
      </c>
      <c r="D488" t="s">
        <v>2445</v>
      </c>
      <c r="E488" t="s">
        <v>25</v>
      </c>
      <c r="F488" s="387">
        <v>1</v>
      </c>
      <c r="G488" s="16">
        <f>'Dry_Litterbag Placem_Collection'!E195</f>
        <v>42942</v>
      </c>
      <c r="H488" s="92" t="str">
        <f>'Final data_for_R_analysis_Dryse'!J634</f>
        <v>G45</v>
      </c>
      <c r="I488" t="str">
        <f>'Final data_for_R_analysis_Dryse'!J854</f>
        <v>R623</v>
      </c>
      <c r="J488">
        <f>IFERROR(INDEX('Green_rooibos initial weight'!$C$5:$C$1749,MATCH(H488, 'Green_rooibos initial weight'!$A$5:$A$1749,0)),"")</f>
        <v>2.0779999999999998</v>
      </c>
      <c r="K488">
        <f>IFERROR(INDEX('Green_rooibos initial weight'!$C$5:$C$1749,MATCH(I488, 'Green_rooibos initial weight'!$A$5:$A$1749,0)),"")</f>
        <v>2.056</v>
      </c>
      <c r="L488" s="195">
        <f t="shared" si="77"/>
        <v>1.8281999999999998</v>
      </c>
      <c r="M488" s="240">
        <f>AVERAGE(Ashed_controlls!$K$1:$K$11)</f>
        <v>5.5147656768714146</v>
      </c>
      <c r="N488" s="195">
        <f t="shared" si="72"/>
        <v>1.7273790538954366</v>
      </c>
      <c r="O488" s="195">
        <f t="shared" si="78"/>
        <v>1.8062</v>
      </c>
      <c r="P488" s="240">
        <f>AVERAGE(Ashed_controlls!$K$12:$K$14)</f>
        <v>2.2816647271287041</v>
      </c>
      <c r="Q488" s="195">
        <f t="shared" si="73"/>
        <v>1.7649885716986013</v>
      </c>
      <c r="R488" s="16">
        <f>IF('Dry_Litterbag Placem_Collection'!G195="N.A","",'Dry_Litterbag Placem_Collection'!G195)</f>
        <v>43004</v>
      </c>
      <c r="S488" s="195">
        <f>IF(IFERROR(INDEX('Both teabags AfterDry'!$D$1:$D$839,MATCH(H488,'Both teabags AfterDry'!$A$1:$A$839,0)),"")="N.A","",(IFERROR(INDEX('Both teabags AfterDry'!$D$1:$D$839,MATCH(H488,'Both teabags AfterDry'!$A$1:$A$839,0)),"")))</f>
        <v>0.82699999999999996</v>
      </c>
      <c r="T488" s="195">
        <f>IF(IFERROR(INDEX('Both teabags AfterDry'!$D$1:$D$839,MATCH(I488,'Both teabags AfterDry'!$A$1:$A$839,0)),"")="N.A","",(IFERROR(INDEX('Both teabags AfterDry'!$D$1:$D$839,MATCH(I488,'Both teabags AfterDry'!$A$1:$A$839,0)),"")))</f>
        <v>1.397</v>
      </c>
      <c r="U488" s="195">
        <f t="shared" si="79"/>
        <v>0.67639999999999989</v>
      </c>
      <c r="V488" s="195">
        <f t="shared" si="79"/>
        <v>1.2464</v>
      </c>
      <c r="W488" s="195">
        <f>IFERROR(INDEX('Ashed teabags dry'!$K$2:$K$821,MATCH(H488,'Ashed teabags dry'!$A$2:$A$821,0)),"")</f>
        <v>13.455953533397516</v>
      </c>
      <c r="X488" s="195">
        <f>IFERROR(INDEX('Ashed teabags dry'!$K$2:$K$821,MATCH(I488,'Ashed teabags dry'!$A$2:$A$821,0)),"")</f>
        <v>6.0918462980318058</v>
      </c>
      <c r="Y488" s="195">
        <f t="shared" si="74"/>
        <v>0.58538393030009916</v>
      </c>
      <c r="Z488" s="195">
        <f t="shared" si="74"/>
        <v>1.1704712277413316</v>
      </c>
      <c r="AA488" s="195">
        <f t="shared" si="80"/>
        <v>0.66111437499488512</v>
      </c>
      <c r="AB488" s="195">
        <f t="shared" si="81"/>
        <v>0.43341464964035226</v>
      </c>
      <c r="AC488" s="195">
        <f t="shared" si="75"/>
        <v>0.66316079690809882</v>
      </c>
      <c r="AD488">
        <f t="shared" si="76"/>
        <v>62</v>
      </c>
      <c r="AE488" s="195">
        <f t="shared" si="82"/>
        <v>0.21482853326023144</v>
      </c>
      <c r="AF488" s="195">
        <f t="shared" si="83"/>
        <v>2.4215650932258293E-2</v>
      </c>
      <c r="AG488" s="255" t="str">
        <f>IF(ISNUMBER(SEARCH("C", 'Dry_Litterbag Placem_Collection'!AD195)),"YES","NO")</f>
        <v>NO</v>
      </c>
      <c r="AH488" s="255" t="str">
        <f>IF(ISNUMBER(SEARCH("H", 'Dry_Litterbag Placem_Collection'!AD195)),"YES","NO")</f>
        <v>NO</v>
      </c>
      <c r="AI488" s="255" t="str">
        <f>IF(ISNUMBER(SEARCH("R", 'Dry_Litterbag Placem_Collection'!AD195)),"YES","NO")</f>
        <v>NO</v>
      </c>
      <c r="AJ488" s="255" t="str">
        <f>IF(ISNUMBER(SEARCH("C", 'Dry_Litterbag Placem_Collection'!AC195)),"YES","NO")</f>
        <v>NO</v>
      </c>
      <c r="AK488" s="255" t="str">
        <f>IF(ISNUMBER(SEARCH("H", 'Dry_Litterbag Placem_Collection'!AC195)),"YES","NO")</f>
        <v>NO</v>
      </c>
      <c r="AL488" s="255" t="str">
        <f>IF(ISNUMBER(SEARCH("R", 'Dry_Litterbag Placem_Collection'!AC195)),"YES","NO")</f>
        <v>NO</v>
      </c>
      <c r="AR488" t="s">
        <v>2005</v>
      </c>
      <c r="AT488" t="s">
        <v>516</v>
      </c>
    </row>
    <row r="489" spans="2:46">
      <c r="B489" t="str">
        <f>'Final data_for_R_analysis_Dryse'!A635</f>
        <v>Dry</v>
      </c>
      <c r="C489" s="263">
        <f>'Final data_for_R_analysis_Dryse'!B635</f>
        <v>194</v>
      </c>
      <c r="D489" t="s">
        <v>2438</v>
      </c>
      <c r="E489" t="s">
        <v>25</v>
      </c>
      <c r="F489" s="387">
        <v>2</v>
      </c>
      <c r="G489" s="16">
        <f>'Dry_Litterbag Placem_Collection'!E196</f>
        <v>42942</v>
      </c>
      <c r="H489" s="92" t="str">
        <f>'Final data_for_R_analysis_Dryse'!J635</f>
        <v>G90</v>
      </c>
      <c r="I489" t="str">
        <f>'Final data_for_R_analysis_Dryse'!J855</f>
        <v>R611</v>
      </c>
      <c r="J489">
        <f>IFERROR(INDEX('Green_rooibos initial weight'!$C$5:$C$1749,MATCH(H489, 'Green_rooibos initial weight'!$A$5:$A$1749,0)),"")</f>
        <v>2.0409999999999999</v>
      </c>
      <c r="K489">
        <f>IFERROR(INDEX('Green_rooibos initial weight'!$C$5:$C$1749,MATCH(I489, 'Green_rooibos initial weight'!$A$5:$A$1749,0)),"")</f>
        <v>2.157</v>
      </c>
      <c r="L489" s="195">
        <f t="shared" si="77"/>
        <v>1.7911999999999999</v>
      </c>
      <c r="M489" s="240">
        <f>AVERAGE(Ashed_controlls!$K$1:$K$11)</f>
        <v>5.5147656768714146</v>
      </c>
      <c r="N489" s="195">
        <f t="shared" si="72"/>
        <v>1.6924195171958791</v>
      </c>
      <c r="O489" s="195">
        <f t="shared" si="78"/>
        <v>1.9072</v>
      </c>
      <c r="P489" s="240">
        <f>AVERAGE(Ashed_controlls!$K$12:$K$14)</f>
        <v>2.2816647271287041</v>
      </c>
      <c r="Q489" s="195">
        <f t="shared" si="73"/>
        <v>1.8636840903242013</v>
      </c>
      <c r="R489" s="16">
        <f>IF('Dry_Litterbag Placem_Collection'!G196="N.A","",'Dry_Litterbag Placem_Collection'!G196)</f>
        <v>43004</v>
      </c>
      <c r="S489" s="195">
        <f>IF(IFERROR(INDEX('Both teabags AfterDry'!$D$1:$D$839,MATCH(H489,'Both teabags AfterDry'!$A$1:$A$839,0)),"")="N.A","",(IFERROR(INDEX('Both teabags AfterDry'!$D$1:$D$839,MATCH(H489,'Both teabags AfterDry'!$A$1:$A$839,0)),"")))</f>
        <v>0.74199999999999999</v>
      </c>
      <c r="T489" s="195">
        <f>IF(IFERROR(INDEX('Both teabags AfterDry'!$D$1:$D$839,MATCH(I489,'Both teabags AfterDry'!$A$1:$A$839,0)),"")="N.A","",(IFERROR(INDEX('Both teabags AfterDry'!$D$1:$D$839,MATCH(I489,'Both teabags AfterDry'!$A$1:$A$839,0)),"")))</f>
        <v>1.593</v>
      </c>
      <c r="U489" s="195">
        <f t="shared" si="79"/>
        <v>0.59139999999999993</v>
      </c>
      <c r="V489" s="195">
        <f t="shared" si="79"/>
        <v>1.4423999999999999</v>
      </c>
      <c r="W489" s="195">
        <f>IFERROR(INDEX('Ashed teabags dry'!$K$2:$K$821,MATCH(H489,'Ashed teabags dry'!$A$2:$A$821,0)),"")</f>
        <v>15.52150271873475</v>
      </c>
      <c r="X489" s="195">
        <f>IFERROR(INDEX('Ashed teabags dry'!$K$2:$K$821,MATCH(I489,'Ashed teabags dry'!$A$2:$A$821,0)),"")</f>
        <v>3.3698399326031812</v>
      </c>
      <c r="Y489" s="195">
        <f t="shared" si="74"/>
        <v>0.49960583292140259</v>
      </c>
      <c r="Z489" s="195">
        <f t="shared" si="74"/>
        <v>1.3937934288121316</v>
      </c>
      <c r="AA489" s="195">
        <f t="shared" si="80"/>
        <v>0.70479787792261761</v>
      </c>
      <c r="AB489" s="195">
        <f t="shared" si="81"/>
        <v>0.46205276557397268</v>
      </c>
      <c r="AC489" s="195">
        <f t="shared" si="75"/>
        <v>0.7478700043898916</v>
      </c>
      <c r="AD489">
        <f t="shared" si="76"/>
        <v>62</v>
      </c>
      <c r="AE489" s="195">
        <f t="shared" si="82"/>
        <v>0.16294788845294816</v>
      </c>
      <c r="AF489" s="195">
        <f t="shared" si="83"/>
        <v>1.2724828947736072E-2</v>
      </c>
      <c r="AG489" s="255" t="str">
        <f>IF(ISNUMBER(SEARCH("C", 'Dry_Litterbag Placem_Collection'!AD196)),"YES","NO")</f>
        <v>NO</v>
      </c>
      <c r="AH489" s="255" t="str">
        <f>IF(ISNUMBER(SEARCH("H", 'Dry_Litterbag Placem_Collection'!AD196)),"YES","NO")</f>
        <v>NO</v>
      </c>
      <c r="AI489" s="255" t="str">
        <f>IF(ISNUMBER(SEARCH("R", 'Dry_Litterbag Placem_Collection'!AD196)),"YES","NO")</f>
        <v>NO</v>
      </c>
      <c r="AJ489" s="255" t="str">
        <f>IF(ISNUMBER(SEARCH("C", 'Dry_Litterbag Placem_Collection'!AC196)),"YES","NO")</f>
        <v>NO</v>
      </c>
      <c r="AK489" s="255" t="str">
        <f>IF(ISNUMBER(SEARCH("H", 'Dry_Litterbag Placem_Collection'!AC196)),"YES","NO")</f>
        <v>NO</v>
      </c>
      <c r="AL489" s="255" t="str">
        <f>IF(ISNUMBER(SEARCH("R", 'Dry_Litterbag Placem_Collection'!AC196)),"YES","NO")</f>
        <v>NO</v>
      </c>
      <c r="AR489" t="s">
        <v>1960</v>
      </c>
      <c r="AT489" t="s">
        <v>528</v>
      </c>
    </row>
    <row r="490" spans="2:46">
      <c r="B490" t="str">
        <f>'Final data_for_R_analysis_Dryse'!A636</f>
        <v>Dry</v>
      </c>
      <c r="C490" s="263">
        <f>'Final data_for_R_analysis_Dryse'!B636</f>
        <v>195</v>
      </c>
      <c r="D490" t="s">
        <v>2430</v>
      </c>
      <c r="E490" t="s">
        <v>25</v>
      </c>
      <c r="F490" s="387">
        <v>3</v>
      </c>
      <c r="G490" s="16">
        <f>'Dry_Litterbag Placem_Collection'!E197</f>
        <v>42942</v>
      </c>
      <c r="H490" s="92" t="str">
        <f>'Final data_for_R_analysis_Dryse'!J636</f>
        <v>G338</v>
      </c>
      <c r="I490" t="str">
        <f>'Final data_for_R_analysis_Dryse'!J856</f>
        <v>R645</v>
      </c>
      <c r="J490">
        <f>IFERROR(INDEX('Green_rooibos initial weight'!$C$5:$C$1749,MATCH(H490, 'Green_rooibos initial weight'!$A$5:$A$1749,0)),"")</f>
        <v>1.946</v>
      </c>
      <c r="K490">
        <f>IFERROR(INDEX('Green_rooibos initial weight'!$C$5:$C$1749,MATCH(I490, 'Green_rooibos initial weight'!$A$5:$A$1749,0)),"")</f>
        <v>2.2469999999999999</v>
      </c>
      <c r="L490" s="195">
        <f t="shared" si="77"/>
        <v>1.6961999999999999</v>
      </c>
      <c r="M490" s="240">
        <f>AVERAGE(Ashed_controlls!$K$1:$K$11)</f>
        <v>5.5147656768714146</v>
      </c>
      <c r="N490" s="195">
        <f t="shared" si="72"/>
        <v>1.602658544588907</v>
      </c>
      <c r="O490" s="195">
        <f t="shared" si="78"/>
        <v>1.9971999999999999</v>
      </c>
      <c r="P490" s="240">
        <f>AVERAGE(Ashed_controlls!$K$12:$K$14)</f>
        <v>2.2816647271287041</v>
      </c>
      <c r="Q490" s="195">
        <f t="shared" si="73"/>
        <v>1.9516305920697854</v>
      </c>
      <c r="R490" s="16">
        <f>IF('Dry_Litterbag Placem_Collection'!G197="N.A","",'Dry_Litterbag Placem_Collection'!G197)</f>
        <v>43004</v>
      </c>
      <c r="S490" s="195">
        <f>IF(IFERROR(INDEX('Both teabags AfterDry'!$D$1:$D$839,MATCH(H490,'Both teabags AfterDry'!$A$1:$A$839,0)),"")="N.A","",(IFERROR(INDEX('Both teabags AfterDry'!$D$1:$D$839,MATCH(H490,'Both teabags AfterDry'!$A$1:$A$839,0)),"")))</f>
        <v>0.83299999999999996</v>
      </c>
      <c r="T490" s="195">
        <f>IF(IFERROR(INDEX('Both teabags AfterDry'!$D$1:$D$839,MATCH(I490,'Both teabags AfterDry'!$A$1:$A$839,0)),"")="N.A","",(IFERROR(INDEX('Both teabags AfterDry'!$D$1:$D$839,MATCH(I490,'Both teabags AfterDry'!$A$1:$A$839,0)),"")))</f>
        <v>1.7509999999999999</v>
      </c>
      <c r="U490" s="195">
        <f t="shared" si="79"/>
        <v>0.6823999999999999</v>
      </c>
      <c r="V490" s="195">
        <f t="shared" si="79"/>
        <v>1.6003999999999998</v>
      </c>
      <c r="W490" s="195">
        <f>IFERROR(INDEX('Ashed teabags dry'!$K$2:$K$821,MATCH(H490,'Ashed teabags dry'!$A$2:$A$821,0)),"")</f>
        <v>16.185258964144143</v>
      </c>
      <c r="X490" s="195">
        <f>IFERROR(INDEX('Ashed teabags dry'!$K$2:$K$821,MATCH(I490,'Ashed teabags dry'!$A$2:$A$821,0)),"")</f>
        <v>3.5648994515537913</v>
      </c>
      <c r="Y490" s="195">
        <f t="shared" si="74"/>
        <v>0.57195179282868025</v>
      </c>
      <c r="Z490" s="195">
        <f t="shared" si="74"/>
        <v>1.5433473491773329</v>
      </c>
      <c r="AA490" s="195">
        <f t="shared" si="80"/>
        <v>0.64312311268063038</v>
      </c>
      <c r="AB490" s="195">
        <f t="shared" si="81"/>
        <v>0.42161990285000955</v>
      </c>
      <c r="AC490" s="195">
        <f t="shared" si="75"/>
        <v>0.79079891217556131</v>
      </c>
      <c r="AD490">
        <f t="shared" si="76"/>
        <v>62</v>
      </c>
      <c r="AE490" s="195">
        <f t="shared" si="82"/>
        <v>0.23619582817027263</v>
      </c>
      <c r="AF490" s="195">
        <f t="shared" si="83"/>
        <v>1.1057166702966815E-2</v>
      </c>
      <c r="AG490" s="255" t="str">
        <f>IF(ISNUMBER(SEARCH("C", 'Dry_Litterbag Placem_Collection'!AD197)),"YES","NO")</f>
        <v>NO</v>
      </c>
      <c r="AH490" s="255" t="str">
        <f>IF(ISNUMBER(SEARCH("H", 'Dry_Litterbag Placem_Collection'!AD197)),"YES","NO")</f>
        <v>NO</v>
      </c>
      <c r="AI490" s="255" t="str">
        <f>IF(ISNUMBER(SEARCH("R", 'Dry_Litterbag Placem_Collection'!AD197)),"YES","NO")</f>
        <v>NO</v>
      </c>
      <c r="AJ490" s="255" t="str">
        <f>IF(ISNUMBER(SEARCH("C", 'Dry_Litterbag Placem_Collection'!AC197)),"YES","NO")</f>
        <v>NO</v>
      </c>
      <c r="AK490" s="255" t="str">
        <f>IF(ISNUMBER(SEARCH("H", 'Dry_Litterbag Placem_Collection'!AC197)),"YES","NO")</f>
        <v>NO</v>
      </c>
      <c r="AL490" s="255" t="str">
        <f>IF(ISNUMBER(SEARCH("R", 'Dry_Litterbag Placem_Collection'!AC197)),"YES","NO")</f>
        <v>NO</v>
      </c>
      <c r="AR490" t="s">
        <v>1712</v>
      </c>
      <c r="AT490" t="s">
        <v>494</v>
      </c>
    </row>
    <row r="491" spans="2:46">
      <c r="B491" t="str">
        <f>'Final data_for_R_analysis_Dryse'!A637</f>
        <v>Dry</v>
      </c>
      <c r="C491" s="263">
        <f>'Final data_for_R_analysis_Dryse'!B637</f>
        <v>196</v>
      </c>
      <c r="D491" t="s">
        <v>2421</v>
      </c>
      <c r="E491" t="s">
        <v>25</v>
      </c>
      <c r="F491" s="387">
        <v>4</v>
      </c>
      <c r="G491" s="16">
        <f>'Dry_Litterbag Placem_Collection'!E198</f>
        <v>42942</v>
      </c>
      <c r="H491" s="92" t="str">
        <f>'Final data_for_R_analysis_Dryse'!J637</f>
        <v>G243</v>
      </c>
      <c r="I491" t="str">
        <f>'Final data_for_R_analysis_Dryse'!J857</f>
        <v>R709</v>
      </c>
      <c r="J491">
        <f>IFERROR(INDEX('Green_rooibos initial weight'!$C$5:$C$1749,MATCH(H491, 'Green_rooibos initial weight'!$A$5:$A$1749,0)),"")</f>
        <v>2.13</v>
      </c>
      <c r="K491">
        <f>IFERROR(INDEX('Green_rooibos initial weight'!$C$5:$C$1749,MATCH(I491, 'Green_rooibos initial weight'!$A$5:$A$1749,0)),"")</f>
        <v>2.157</v>
      </c>
      <c r="L491" s="195">
        <f t="shared" si="77"/>
        <v>1.8801999999999999</v>
      </c>
      <c r="M491" s="240">
        <f>AVERAGE(Ashed_controlls!$K$1:$K$11)</f>
        <v>5.5147656768714146</v>
      </c>
      <c r="N491" s="195">
        <f t="shared" si="72"/>
        <v>1.7765113757434636</v>
      </c>
      <c r="O491" s="195">
        <f t="shared" si="78"/>
        <v>1.9072</v>
      </c>
      <c r="P491" s="240">
        <f>AVERAGE(Ashed_controlls!$K$12:$K$14)</f>
        <v>2.2816647271287041</v>
      </c>
      <c r="Q491" s="195">
        <f t="shared" si="73"/>
        <v>1.8636840903242013</v>
      </c>
      <c r="R491" s="16">
        <f>IF('Dry_Litterbag Placem_Collection'!G198="N.A","",'Dry_Litterbag Placem_Collection'!G198)</f>
        <v>43004</v>
      </c>
      <c r="S491" s="195">
        <f>IF(IFERROR(INDEX('Both teabags AfterDry'!$D$1:$D$839,MATCH(H491,'Both teabags AfterDry'!$A$1:$A$839,0)),"")="N.A","",(IFERROR(INDEX('Both teabags AfterDry'!$D$1:$D$839,MATCH(H491,'Both teabags AfterDry'!$A$1:$A$839,0)),"")))</f>
        <v>1.04</v>
      </c>
      <c r="T491" s="195">
        <f>IF(IFERROR(INDEX('Both teabags AfterDry'!$D$1:$D$839,MATCH(I491,'Both teabags AfterDry'!$A$1:$A$839,0)),"")="N.A","",(IFERROR(INDEX('Both teabags AfterDry'!$D$1:$D$839,MATCH(I491,'Both teabags AfterDry'!$A$1:$A$839,0)),"")))</f>
        <v>1.863</v>
      </c>
      <c r="U491" s="195">
        <f t="shared" si="79"/>
        <v>0.88939999999999997</v>
      </c>
      <c r="V491" s="195">
        <f t="shared" si="79"/>
        <v>1.7123999999999999</v>
      </c>
      <c r="W491" s="195">
        <f>IFERROR(INDEX('Ashed teabags dry'!$K$2:$K$821,MATCH(H491,'Ashed teabags dry'!$A$2:$A$821,0)),"")</f>
        <v>17.944173681878588</v>
      </c>
      <c r="X491" s="195">
        <f>IFERROR(INDEX('Ashed teabags dry'!$K$2:$K$821,MATCH(I491,'Ashed teabags dry'!$A$2:$A$821,0)),"")</f>
        <v>2.5540275049118555</v>
      </c>
      <c r="Y491" s="195">
        <f t="shared" si="74"/>
        <v>0.72980451927337175</v>
      </c>
      <c r="Z491" s="195">
        <f t="shared" si="74"/>
        <v>1.6686648330058893</v>
      </c>
      <c r="AA491" s="195">
        <f t="shared" si="80"/>
        <v>0.58919231858678578</v>
      </c>
      <c r="AB491" s="195">
        <f t="shared" si="81"/>
        <v>0.38626384781461498</v>
      </c>
      <c r="AC491" s="195">
        <f t="shared" si="75"/>
        <v>0.89535820028147206</v>
      </c>
      <c r="AD491">
        <f t="shared" si="76"/>
        <v>62</v>
      </c>
      <c r="AE491" s="195">
        <f t="shared" si="82"/>
        <v>0.30024665250975557</v>
      </c>
      <c r="AF491" s="195">
        <f t="shared" si="83"/>
        <v>5.09604455648093E-3</v>
      </c>
      <c r="AG491" s="255" t="str">
        <f>IF(ISNUMBER(SEARCH("C", 'Dry_Litterbag Placem_Collection'!AD198)),"YES","NO")</f>
        <v>NO</v>
      </c>
      <c r="AH491" s="255" t="str">
        <f>IF(ISNUMBER(SEARCH("H", 'Dry_Litterbag Placem_Collection'!AD198)),"YES","NO")</f>
        <v>NO</v>
      </c>
      <c r="AI491" s="255" t="str">
        <f>IF(ISNUMBER(SEARCH("R", 'Dry_Litterbag Placem_Collection'!AD198)),"YES","NO")</f>
        <v>NO</v>
      </c>
      <c r="AJ491" s="255" t="str">
        <f>IF(ISNUMBER(SEARCH("C", 'Dry_Litterbag Placem_Collection'!AC198)),"YES","NO")</f>
        <v>NO</v>
      </c>
      <c r="AK491" s="255" t="str">
        <f>IF(ISNUMBER(SEARCH("H", 'Dry_Litterbag Placem_Collection'!AC198)),"YES","NO")</f>
        <v>NO</v>
      </c>
      <c r="AL491" s="255" t="str">
        <f>IF(ISNUMBER(SEARCH("R", 'Dry_Litterbag Placem_Collection'!AC198)),"YES","NO")</f>
        <v>NO</v>
      </c>
      <c r="AR491" t="s">
        <v>1807</v>
      </c>
      <c r="AT491" t="s">
        <v>430</v>
      </c>
    </row>
    <row r="492" spans="2:46">
      <c r="B492" t="str">
        <f>'Final data_for_R_analysis_Dryse'!A638</f>
        <v>Dry</v>
      </c>
      <c r="C492" s="263">
        <f>'Final data_for_R_analysis_Dryse'!B638</f>
        <v>197</v>
      </c>
      <c r="D492" t="s">
        <v>2431</v>
      </c>
      <c r="E492" t="s">
        <v>25</v>
      </c>
      <c r="F492" s="387">
        <v>1</v>
      </c>
      <c r="G492" s="16">
        <f>'Dry_Litterbag Placem_Collection'!E199</f>
        <v>42942</v>
      </c>
      <c r="H492" s="92" t="str">
        <f>'Final data_for_R_analysis_Dryse'!J638</f>
        <v>G254</v>
      </c>
      <c r="I492" t="str">
        <f>'Final data_for_R_analysis_Dryse'!J858</f>
        <v>R131</v>
      </c>
      <c r="J492">
        <f>IFERROR(INDEX('Green_rooibos initial weight'!$C$5:$C$1749,MATCH(H492, 'Green_rooibos initial weight'!$A$5:$A$1749,0)),"")</f>
        <v>1.917</v>
      </c>
      <c r="K492">
        <f>IFERROR(INDEX('Green_rooibos initial weight'!$C$5:$C$1749,MATCH(I492, 'Green_rooibos initial weight'!$A$5:$A$1749,0)),"")</f>
        <v>2.1560000000000001</v>
      </c>
      <c r="L492" s="195">
        <f t="shared" si="77"/>
        <v>1.6672</v>
      </c>
      <c r="M492" s="240">
        <f>AVERAGE(Ashed_controlls!$K$1:$K$11)</f>
        <v>5.5147656768714146</v>
      </c>
      <c r="N492" s="195">
        <f t="shared" si="72"/>
        <v>1.5752578266351998</v>
      </c>
      <c r="O492" s="195">
        <f t="shared" si="78"/>
        <v>1.9062000000000001</v>
      </c>
      <c r="P492" s="240">
        <f>AVERAGE(Ashed_controlls!$K$12:$K$14)</f>
        <v>2.2816647271287041</v>
      </c>
      <c r="Q492" s="195">
        <f t="shared" si="73"/>
        <v>1.8627069069714728</v>
      </c>
      <c r="R492" s="16">
        <f>IF('Dry_Litterbag Placem_Collection'!G199="N.A","",'Dry_Litterbag Placem_Collection'!G199)</f>
        <v>43004</v>
      </c>
      <c r="S492" s="195">
        <f>IF(IFERROR(INDEX('Both teabags AfterDry'!$D$1:$D$839,MATCH(H492,'Both teabags AfterDry'!$A$1:$A$839,0)),"")="N.A","",(IFERROR(INDEX('Both teabags AfterDry'!$D$1:$D$839,MATCH(H492,'Both teabags AfterDry'!$A$1:$A$839,0)),"")))</f>
        <v>0.82399999999999995</v>
      </c>
      <c r="T492" s="195">
        <f>IF(IFERROR(INDEX('Both teabags AfterDry'!$D$1:$D$839,MATCH(I492,'Both teabags AfterDry'!$A$1:$A$839,0)),"")="N.A","",(IFERROR(INDEX('Both teabags AfterDry'!$D$1:$D$839,MATCH(I492,'Both teabags AfterDry'!$A$1:$A$839,0)),"")))</f>
        <v>1.577</v>
      </c>
      <c r="U492" s="195">
        <f t="shared" si="79"/>
        <v>0.6734</v>
      </c>
      <c r="V492" s="195">
        <f t="shared" si="79"/>
        <v>1.4263999999999999</v>
      </c>
      <c r="W492" s="195">
        <f>IFERROR(INDEX('Ashed teabags dry'!$K$2:$K$821,MATCH(H492,'Ashed teabags dry'!$A$2:$A$821,0)),"")</f>
        <v>25.135802469135722</v>
      </c>
      <c r="X492" s="195">
        <f>IFERROR(INDEX('Ashed teabags dry'!$K$2:$K$821,MATCH(I492,'Ashed teabags dry'!$A$2:$A$821,0)),"")</f>
        <v>8.3446712018141849</v>
      </c>
      <c r="Y492" s="195">
        <f t="shared" si="74"/>
        <v>0.50413550617284009</v>
      </c>
      <c r="Z492" s="195">
        <f t="shared" si="74"/>
        <v>1.3073716099773223</v>
      </c>
      <c r="AA492" s="195">
        <f t="shared" si="80"/>
        <v>0.67996635366688551</v>
      </c>
      <c r="AB492" s="195">
        <f t="shared" si="81"/>
        <v>0.44577366653696066</v>
      </c>
      <c r="AC492" s="195">
        <f t="shared" si="75"/>
        <v>0.70186651753116869</v>
      </c>
      <c r="AD492">
        <f t="shared" si="76"/>
        <v>62</v>
      </c>
      <c r="AE492" s="195">
        <f t="shared" si="82"/>
        <v>0.19243900989681051</v>
      </c>
      <c r="AF492" s="195">
        <f t="shared" si="83"/>
        <v>1.7823116519063101E-2</v>
      </c>
      <c r="AG492" s="255" t="str">
        <f>IF(ISNUMBER(SEARCH("C", 'Dry_Litterbag Placem_Collection'!AD199)),"YES","NO")</f>
        <v>NO</v>
      </c>
      <c r="AH492" s="255" t="str">
        <f>IF(ISNUMBER(SEARCH("H", 'Dry_Litterbag Placem_Collection'!AD199)),"YES","NO")</f>
        <v>NO</v>
      </c>
      <c r="AI492" s="255" t="str">
        <f>IF(ISNUMBER(SEARCH("R", 'Dry_Litterbag Placem_Collection'!AD199)),"YES","NO")</f>
        <v>NO</v>
      </c>
      <c r="AJ492" s="255" t="str">
        <f>IF(ISNUMBER(SEARCH("C", 'Dry_Litterbag Placem_Collection'!AC199)),"YES","NO")</f>
        <v>NO</v>
      </c>
      <c r="AK492" s="255" t="str">
        <f>IF(ISNUMBER(SEARCH("H", 'Dry_Litterbag Placem_Collection'!AC199)),"YES","NO")</f>
        <v>NO</v>
      </c>
      <c r="AL492" s="255" t="str">
        <f>IF(ISNUMBER(SEARCH("R", 'Dry_Litterbag Placem_Collection'!AC199)),"YES","NO")</f>
        <v>NO</v>
      </c>
      <c r="AR492" t="s">
        <v>1796</v>
      </c>
      <c r="AT492" t="s">
        <v>1010</v>
      </c>
    </row>
    <row r="493" spans="2:46">
      <c r="B493" t="str">
        <f>'Final data_for_R_analysis_Dryse'!A639</f>
        <v>Dry</v>
      </c>
      <c r="C493" s="263">
        <f>'Final data_for_R_analysis_Dryse'!B639</f>
        <v>198</v>
      </c>
      <c r="D493" t="s">
        <v>2439</v>
      </c>
      <c r="E493" t="s">
        <v>25</v>
      </c>
      <c r="F493" s="387">
        <v>2</v>
      </c>
      <c r="G493" s="16">
        <f>'Dry_Litterbag Placem_Collection'!E200</f>
        <v>42942</v>
      </c>
      <c r="H493" s="92" t="str">
        <f>'Final data_for_R_analysis_Dryse'!J639</f>
        <v>G780</v>
      </c>
      <c r="I493" t="str">
        <f>'Final data_for_R_analysis_Dryse'!J859</f>
        <v>R711</v>
      </c>
      <c r="J493">
        <f>IFERROR(INDEX('Green_rooibos initial weight'!$C$5:$C$1749,MATCH(H493, 'Green_rooibos initial weight'!$A$5:$A$1749,0)),"")</f>
        <v>1.962</v>
      </c>
      <c r="K493">
        <f>IFERROR(INDEX('Green_rooibos initial weight'!$C$5:$C$1749,MATCH(I493, 'Green_rooibos initial weight'!$A$5:$A$1749,0)),"")</f>
        <v>2.13</v>
      </c>
      <c r="L493" s="195">
        <f t="shared" si="77"/>
        <v>1.7121999999999999</v>
      </c>
      <c r="M493" s="240">
        <f>AVERAGE(Ashed_controlls!$K$1:$K$11)</f>
        <v>5.5147656768714146</v>
      </c>
      <c r="N493" s="195">
        <f t="shared" si="72"/>
        <v>1.6177761820806076</v>
      </c>
      <c r="O493" s="195">
        <f t="shared" si="78"/>
        <v>1.8801999999999999</v>
      </c>
      <c r="P493" s="240">
        <f>AVERAGE(Ashed_controlls!$K$12:$K$14)</f>
        <v>2.2816647271287041</v>
      </c>
      <c r="Q493" s="195">
        <f t="shared" si="73"/>
        <v>1.837300139800526</v>
      </c>
      <c r="R493" s="16">
        <f>IF('Dry_Litterbag Placem_Collection'!G200="N.A","",'Dry_Litterbag Placem_Collection'!G200)</f>
        <v>43004</v>
      </c>
      <c r="S493" s="195">
        <f>IF(IFERROR(INDEX('Both teabags AfterDry'!$D$1:$D$839,MATCH(H493,'Both teabags AfterDry'!$A$1:$A$839,0)),"")="N.A","",(IFERROR(INDEX('Both teabags AfterDry'!$D$1:$D$839,MATCH(H493,'Both teabags AfterDry'!$A$1:$A$839,0)),"")))</f>
        <v>0.69899999999999995</v>
      </c>
      <c r="T493" s="195">
        <f>IF(IFERROR(INDEX('Both teabags AfterDry'!$D$1:$D$839,MATCH(I493,'Both teabags AfterDry'!$A$1:$A$839,0)),"")="N.A","",(IFERROR(INDEX('Both teabags AfterDry'!$D$1:$D$839,MATCH(I493,'Both teabags AfterDry'!$A$1:$A$839,0)),"")))</f>
        <v>1.7210000000000001</v>
      </c>
      <c r="U493" s="195">
        <f t="shared" si="79"/>
        <v>0.5484</v>
      </c>
      <c r="V493" s="195">
        <f t="shared" si="79"/>
        <v>1.5704</v>
      </c>
      <c r="W493" s="195">
        <f>IFERROR(INDEX('Ashed teabags dry'!$K$2:$K$821,MATCH(H493,'Ashed teabags dry'!$A$2:$A$821,0)),"")</f>
        <v>13.974854932302094</v>
      </c>
      <c r="X493" s="195">
        <f>IFERROR(INDEX('Ashed teabags dry'!$K$2:$K$821,MATCH(I493,'Ashed teabags dry'!$A$2:$A$821,0)),"")</f>
        <v>4.205838693715986</v>
      </c>
      <c r="Y493" s="195">
        <f t="shared" si="74"/>
        <v>0.47176189555125531</v>
      </c>
      <c r="Z493" s="195">
        <f t="shared" si="74"/>
        <v>1.5043515091538842</v>
      </c>
      <c r="AA493" s="195">
        <f t="shared" si="80"/>
        <v>0.70838865055824562</v>
      </c>
      <c r="AB493" s="195">
        <f t="shared" si="81"/>
        <v>0.46440681129234157</v>
      </c>
      <c r="AC493" s="195">
        <f t="shared" si="75"/>
        <v>0.81878375588498575</v>
      </c>
      <c r="AD493">
        <f t="shared" si="76"/>
        <v>62</v>
      </c>
      <c r="AE493" s="195">
        <f t="shared" si="82"/>
        <v>0.15868331287619286</v>
      </c>
      <c r="AF493" s="195">
        <f t="shared" si="83"/>
        <v>7.9780784404275516E-3</v>
      </c>
      <c r="AG493" s="255" t="str">
        <f>IF(ISNUMBER(SEARCH("C", 'Dry_Litterbag Placem_Collection'!AD200)),"YES","NO")</f>
        <v>NO</v>
      </c>
      <c r="AH493" s="255" t="str">
        <f>IF(ISNUMBER(SEARCH("H", 'Dry_Litterbag Placem_Collection'!AD200)),"YES","NO")</f>
        <v>NO</v>
      </c>
      <c r="AI493" s="255" t="str">
        <f>IF(ISNUMBER(SEARCH("R", 'Dry_Litterbag Placem_Collection'!AD200)),"YES","NO")</f>
        <v>NO</v>
      </c>
      <c r="AJ493" s="255" t="str">
        <f>IF(ISNUMBER(SEARCH("C", 'Dry_Litterbag Placem_Collection'!AC200)),"YES","NO")</f>
        <v>NO</v>
      </c>
      <c r="AK493" s="255" t="str">
        <f>IF(ISNUMBER(SEARCH("H", 'Dry_Litterbag Placem_Collection'!AC200)),"YES","NO")</f>
        <v>NO</v>
      </c>
      <c r="AL493" s="255" t="str">
        <f>IF(ISNUMBER(SEARCH("R", 'Dry_Litterbag Placem_Collection'!AC200)),"YES","NO")</f>
        <v>NO</v>
      </c>
      <c r="AR493" t="s">
        <v>1270</v>
      </c>
      <c r="AT493" t="s">
        <v>428</v>
      </c>
    </row>
    <row r="494" spans="2:46">
      <c r="B494" t="str">
        <f>'Final data_for_R_analysis_Dryse'!A640</f>
        <v>Dry</v>
      </c>
      <c r="C494" s="263">
        <f>'Final data_for_R_analysis_Dryse'!B640</f>
        <v>199</v>
      </c>
      <c r="D494" t="s">
        <v>2423</v>
      </c>
      <c r="E494" t="s">
        <v>25</v>
      </c>
      <c r="F494" s="387">
        <v>3</v>
      </c>
      <c r="G494" s="16">
        <f>'Dry_Litterbag Placem_Collection'!E201</f>
        <v>42942</v>
      </c>
      <c r="H494" s="92" t="str">
        <f>'Final data_for_R_analysis_Dryse'!J640</f>
        <v>G182</v>
      </c>
      <c r="I494" t="str">
        <f>'Final data_for_R_analysis_Dryse'!J860</f>
        <v>R236</v>
      </c>
      <c r="J494">
        <f>IFERROR(INDEX('Green_rooibos initial weight'!$C$5:$C$1749,MATCH(H494, 'Green_rooibos initial weight'!$A$5:$A$1749,0)),"")</f>
        <v>1.8919999999999999</v>
      </c>
      <c r="K494">
        <f>IFERROR(INDEX('Green_rooibos initial weight'!$C$5:$C$1749,MATCH(I494, 'Green_rooibos initial weight'!$A$5:$A$1749,0)),"")</f>
        <v>2.2440000000000002</v>
      </c>
      <c r="L494" s="195">
        <f t="shared" si="77"/>
        <v>1.6421999999999999</v>
      </c>
      <c r="M494" s="240">
        <f>AVERAGE(Ashed_controlls!$K$1:$K$11)</f>
        <v>5.5147656768714146</v>
      </c>
      <c r="N494" s="195">
        <f t="shared" si="72"/>
        <v>1.5516365180544176</v>
      </c>
      <c r="O494" s="195">
        <f t="shared" si="78"/>
        <v>1.9942000000000002</v>
      </c>
      <c r="P494" s="240">
        <f>AVERAGE(Ashed_controlls!$K$12:$K$14)</f>
        <v>2.2816647271287041</v>
      </c>
      <c r="Q494" s="195">
        <f t="shared" si="73"/>
        <v>1.9486990420115995</v>
      </c>
      <c r="R494" s="16">
        <f>IF('Dry_Litterbag Placem_Collection'!G201="N.A","",'Dry_Litterbag Placem_Collection'!G201)</f>
        <v>43004</v>
      </c>
      <c r="S494" s="195">
        <f>IF(IFERROR(INDEX('Both teabags AfterDry'!$D$1:$D$839,MATCH(H494,'Both teabags AfterDry'!$A$1:$A$839,0)),"")="N.A","",(IFERROR(INDEX('Both teabags AfterDry'!$D$1:$D$839,MATCH(H494,'Both teabags AfterDry'!$A$1:$A$839,0)),"")))</f>
        <v>0.62490000000000001</v>
      </c>
      <c r="T494" s="195">
        <f>IF(IFERROR(INDEX('Both teabags AfterDry'!$D$1:$D$839,MATCH(I494,'Both teabags AfterDry'!$A$1:$A$839,0)),"")="N.A","",(IFERROR(INDEX('Both teabags AfterDry'!$D$1:$D$839,MATCH(I494,'Both teabags AfterDry'!$A$1:$A$839,0)),"")))</f>
        <v>1.62</v>
      </c>
      <c r="U494" s="195">
        <f t="shared" si="79"/>
        <v>0.4743</v>
      </c>
      <c r="V494" s="195">
        <f t="shared" si="79"/>
        <v>1.4694</v>
      </c>
      <c r="W494" s="195">
        <f>IFERROR(INDEX('Ashed teabags dry'!$K$2:$K$821,MATCH(H494,'Ashed teabags dry'!$A$2:$A$821,0)),"")</f>
        <v>15.096201282683586</v>
      </c>
      <c r="X494" s="195">
        <f>IFERROR(INDEX('Ashed teabags dry'!$K$2:$K$821,MATCH(I494,'Ashed teabags dry'!$A$2:$A$821,0)),"")</f>
        <v>2.5580293699667425</v>
      </c>
      <c r="Y494" s="195">
        <f t="shared" si="74"/>
        <v>0.40269871731623175</v>
      </c>
      <c r="Z494" s="195">
        <f t="shared" si="74"/>
        <v>1.4318123164377088</v>
      </c>
      <c r="AA494" s="195">
        <f t="shared" si="80"/>
        <v>0.74046839409195409</v>
      </c>
      <c r="AB494" s="195">
        <f t="shared" si="81"/>
        <v>0.48543771204128111</v>
      </c>
      <c r="AC494" s="195">
        <f t="shared" si="75"/>
        <v>0.73475292262661562</v>
      </c>
      <c r="AD494">
        <f t="shared" si="76"/>
        <v>62</v>
      </c>
      <c r="AE494" s="195">
        <f t="shared" si="82"/>
        <v>0.12058385499767921</v>
      </c>
      <c r="AF494" s="195">
        <f t="shared" si="83"/>
        <v>1.2750924042370361E-2</v>
      </c>
      <c r="AG494" s="255" t="str">
        <f>IF(ISNUMBER(SEARCH("C", 'Dry_Litterbag Placem_Collection'!AD201)),"YES","NO")</f>
        <v>NO</v>
      </c>
      <c r="AH494" s="255" t="str">
        <f>IF(ISNUMBER(SEARCH("H", 'Dry_Litterbag Placem_Collection'!AD201)),"YES","NO")</f>
        <v>NO</v>
      </c>
      <c r="AI494" s="255" t="str">
        <f>IF(ISNUMBER(SEARCH("R", 'Dry_Litterbag Placem_Collection'!AD201)),"YES","NO")</f>
        <v>NO</v>
      </c>
      <c r="AJ494" s="255" t="str">
        <f>IF(ISNUMBER(SEARCH("C", 'Dry_Litterbag Placem_Collection'!AC201)),"YES","NO")</f>
        <v>NO</v>
      </c>
      <c r="AK494" s="255" t="str">
        <f>IF(ISNUMBER(SEARCH("H", 'Dry_Litterbag Placem_Collection'!AC201)),"YES","NO")</f>
        <v>NO</v>
      </c>
      <c r="AL494" s="255" t="str">
        <f>IF(ISNUMBER(SEARCH("R", 'Dry_Litterbag Placem_Collection'!AC201)),"YES","NO")</f>
        <v>NO</v>
      </c>
      <c r="AR494" t="s">
        <v>1868</v>
      </c>
      <c r="AT494" t="s">
        <v>905</v>
      </c>
    </row>
    <row r="495" spans="2:46">
      <c r="B495" t="str">
        <f>'Final data_for_R_analysis_Dryse'!A641</f>
        <v>Dry</v>
      </c>
      <c r="C495" s="263">
        <f>'Final data_for_R_analysis_Dryse'!B641</f>
        <v>200</v>
      </c>
      <c r="D495" t="s">
        <v>2446</v>
      </c>
      <c r="E495" t="s">
        <v>25</v>
      </c>
      <c r="F495" s="387">
        <v>4</v>
      </c>
      <c r="G495" s="16">
        <f>'Dry_Litterbag Placem_Collection'!E202</f>
        <v>42942</v>
      </c>
      <c r="H495" s="92" t="str">
        <f>'Final data_for_R_analysis_Dryse'!J641</f>
        <v>G186</v>
      </c>
      <c r="I495" t="str">
        <f>'Final data_for_R_analysis_Dryse'!J861</f>
        <v>R205</v>
      </c>
      <c r="J495">
        <f>IFERROR(INDEX('Green_rooibos initial weight'!$C$5:$C$1749,MATCH(H495, 'Green_rooibos initial weight'!$A$5:$A$1749,0)),"")</f>
        <v>2.0419999999999998</v>
      </c>
      <c r="K495">
        <f>IFERROR(INDEX('Green_rooibos initial weight'!$C$5:$C$1749,MATCH(I495, 'Green_rooibos initial weight'!$A$5:$A$1749,0)),"")</f>
        <v>2.181</v>
      </c>
      <c r="L495" s="195">
        <f t="shared" si="77"/>
        <v>1.7921999999999998</v>
      </c>
      <c r="M495" s="240">
        <f>AVERAGE(Ashed_controlls!$K$1:$K$11)</f>
        <v>5.5147656768714146</v>
      </c>
      <c r="N495" s="195">
        <f t="shared" si="72"/>
        <v>1.6933643695391103</v>
      </c>
      <c r="O495" s="195">
        <f t="shared" si="78"/>
        <v>1.9312</v>
      </c>
      <c r="P495" s="240">
        <f>AVERAGE(Ashed_controlls!$K$12:$K$14)</f>
        <v>2.2816647271287041</v>
      </c>
      <c r="Q495" s="195">
        <f t="shared" si="73"/>
        <v>1.8871364907896906</v>
      </c>
      <c r="R495" s="16">
        <f>IF('Dry_Litterbag Placem_Collection'!G202="N.A","",'Dry_Litterbag Placem_Collection'!G202)</f>
        <v>43004</v>
      </c>
      <c r="S495" s="195">
        <f>IF(IFERROR(INDEX('Both teabags AfterDry'!$D$1:$D$839,MATCH(H495,'Both teabags AfterDry'!$A$1:$A$839,0)),"")="N.A","",(IFERROR(INDEX('Both teabags AfterDry'!$D$1:$D$839,MATCH(H495,'Both teabags AfterDry'!$A$1:$A$839,0)),"")))</f>
        <v>0.6643</v>
      </c>
      <c r="T495" s="195">
        <f>IF(IFERROR(INDEX('Both teabags AfterDry'!$D$1:$D$839,MATCH(I495,'Both teabags AfterDry'!$A$1:$A$839,0)),"")="N.A","",(IFERROR(INDEX('Both teabags AfterDry'!$D$1:$D$839,MATCH(I495,'Both teabags AfterDry'!$A$1:$A$839,0)),"")))</f>
        <v>1.6595</v>
      </c>
      <c r="U495" s="195">
        <f t="shared" si="79"/>
        <v>0.51370000000000005</v>
      </c>
      <c r="V495" s="195">
        <f t="shared" si="79"/>
        <v>1.5088999999999999</v>
      </c>
      <c r="W495" s="195">
        <f>IFERROR(INDEX('Ashed teabags dry'!$K$2:$K$821,MATCH(H495,'Ashed teabags dry'!$A$2:$A$821,0)),"")</f>
        <v>12.606837606837463</v>
      </c>
      <c r="X495" s="195">
        <f>IFERROR(INDEX('Ashed teabags dry'!$K$2:$K$821,MATCH(I495,'Ashed teabags dry'!$A$2:$A$821,0)),"")</f>
        <v>2.2522522522528168</v>
      </c>
      <c r="Y495" s="195">
        <f t="shared" si="74"/>
        <v>0.44893867521367603</v>
      </c>
      <c r="Z495" s="195">
        <f t="shared" si="74"/>
        <v>1.4749157657657572</v>
      </c>
      <c r="AA495" s="195">
        <f t="shared" si="80"/>
        <v>0.73488359428758654</v>
      </c>
      <c r="AB495" s="195">
        <f t="shared" si="81"/>
        <v>0.48177641810777655</v>
      </c>
      <c r="AC495" s="195">
        <f t="shared" si="75"/>
        <v>0.7815628455939424</v>
      </c>
      <c r="AD495">
        <f t="shared" si="76"/>
        <v>62</v>
      </c>
      <c r="AE495" s="195">
        <f t="shared" si="82"/>
        <v>0.12721663386272375</v>
      </c>
      <c r="AF495" s="195">
        <f t="shared" si="83"/>
        <v>9.7425317203283877E-3</v>
      </c>
      <c r="AG495" s="255" t="str">
        <f>IF(ISNUMBER(SEARCH("C", 'Dry_Litterbag Placem_Collection'!AD202)),"YES","NO")</f>
        <v>NO</v>
      </c>
      <c r="AH495" s="255" t="str">
        <f>IF(ISNUMBER(SEARCH("H", 'Dry_Litterbag Placem_Collection'!AD202)),"YES","NO")</f>
        <v>NO</v>
      </c>
      <c r="AI495" s="255" t="str">
        <f>IF(ISNUMBER(SEARCH("R", 'Dry_Litterbag Placem_Collection'!AD202)),"YES","NO")</f>
        <v>NO</v>
      </c>
      <c r="AJ495" s="255" t="str">
        <f>IF(ISNUMBER(SEARCH("C", 'Dry_Litterbag Placem_Collection'!AC202)),"YES","NO")</f>
        <v>NO</v>
      </c>
      <c r="AK495" s="255" t="str">
        <f>IF(ISNUMBER(SEARCH("H", 'Dry_Litterbag Placem_Collection'!AC202)),"YES","NO")</f>
        <v>NO</v>
      </c>
      <c r="AL495" s="255" t="str">
        <f>IF(ISNUMBER(SEARCH("R", 'Dry_Litterbag Placem_Collection'!AC202)),"YES","NO")</f>
        <v>NO</v>
      </c>
      <c r="AR495" t="s">
        <v>1864</v>
      </c>
      <c r="AT495" t="s">
        <v>936</v>
      </c>
    </row>
    <row r="496" spans="2:46">
      <c r="B496" t="str">
        <f>'Final data_for_R_analysis_Dryse'!A642</f>
        <v>Dry</v>
      </c>
      <c r="C496" s="263">
        <f>'Final data_for_R_analysis_Dryse'!B642</f>
        <v>201</v>
      </c>
      <c r="D496" t="s">
        <v>2447</v>
      </c>
      <c r="E496" t="s">
        <v>25</v>
      </c>
      <c r="F496" s="387">
        <v>1</v>
      </c>
      <c r="G496" s="16">
        <f>'Dry_Litterbag Placem_Collection'!E203</f>
        <v>42942</v>
      </c>
      <c r="H496" s="92" t="str">
        <f>'Final data_for_R_analysis_Dryse'!J642</f>
        <v>G315</v>
      </c>
      <c r="I496" t="str">
        <f>'Final data_for_R_analysis_Dryse'!J862</f>
        <v>R665</v>
      </c>
      <c r="J496">
        <f>IFERROR(INDEX('Green_rooibos initial weight'!$C$5:$C$1749,MATCH(H496, 'Green_rooibos initial weight'!$A$5:$A$1749,0)),"")</f>
        <v>2.0960000000000001</v>
      </c>
      <c r="K496">
        <f>IFERROR(INDEX('Green_rooibos initial weight'!$C$5:$C$1749,MATCH(I496, 'Green_rooibos initial weight'!$A$5:$A$1749,0)),"")</f>
        <v>2.1579999999999999</v>
      </c>
      <c r="L496" s="195">
        <f t="shared" si="77"/>
        <v>1.8462000000000001</v>
      </c>
      <c r="M496" s="240">
        <f>AVERAGE(Ashed_controlls!$K$1:$K$11)</f>
        <v>5.5147656768714146</v>
      </c>
      <c r="N496" s="195">
        <f t="shared" si="72"/>
        <v>1.7443863960735999</v>
      </c>
      <c r="O496" s="195">
        <f t="shared" si="78"/>
        <v>1.9081999999999999</v>
      </c>
      <c r="P496" s="240">
        <f>AVERAGE(Ashed_controlls!$K$12:$K$14)</f>
        <v>2.2816647271287041</v>
      </c>
      <c r="Q496" s="195">
        <f t="shared" si="73"/>
        <v>1.8646612736769299</v>
      </c>
      <c r="R496" s="16">
        <f>IF('Dry_Litterbag Placem_Collection'!G203="N.A","",'Dry_Litterbag Placem_Collection'!G203)</f>
        <v>43004</v>
      </c>
      <c r="S496" s="195">
        <f>IF(IFERROR(INDEX('Both teabags AfterDry'!$D$1:$D$839,MATCH(H496,'Both teabags AfterDry'!$A$1:$A$839,0)),"")="N.A","",(IFERROR(INDEX('Both teabags AfterDry'!$D$1:$D$839,MATCH(H496,'Both teabags AfterDry'!$A$1:$A$839,0)),"")))</f>
        <v>0.84</v>
      </c>
      <c r="T496" s="195">
        <f>IF(IFERROR(INDEX('Both teabags AfterDry'!$D$1:$D$839,MATCH(I496,'Both teabags AfterDry'!$A$1:$A$839,0)),"")="N.A","",(IFERROR(INDEX('Both teabags AfterDry'!$D$1:$D$839,MATCH(I496,'Both teabags AfterDry'!$A$1:$A$839,0)),"")))</f>
        <v>1.7869999999999999</v>
      </c>
      <c r="U496" s="195">
        <f t="shared" si="79"/>
        <v>0.68940000000000001</v>
      </c>
      <c r="V496" s="195">
        <f t="shared" si="79"/>
        <v>1.6363999999999999</v>
      </c>
      <c r="W496" s="195">
        <f>IFERROR(INDEX('Ashed teabags dry'!$K$2:$K$821,MATCH(H496,'Ashed teabags dry'!$A$2:$A$821,0)),"")</f>
        <v>16.658642272508086</v>
      </c>
      <c r="X496" s="195">
        <f>IFERROR(INDEX('Ashed teabags dry'!$K$2:$K$821,MATCH(I496,'Ashed teabags dry'!$A$2:$A$821,0)),"")</f>
        <v>6.3397721644379263</v>
      </c>
      <c r="Y496" s="195">
        <f t="shared" si="74"/>
        <v>0.57455532017332922</v>
      </c>
      <c r="Z496" s="195">
        <f t="shared" si="74"/>
        <v>1.5326559683011376</v>
      </c>
      <c r="AA496" s="195">
        <f t="shared" si="80"/>
        <v>0.67062611731748034</v>
      </c>
      <c r="AB496" s="195">
        <f t="shared" si="81"/>
        <v>0.43965037619863323</v>
      </c>
      <c r="AC496" s="195">
        <f t="shared" si="75"/>
        <v>0.82194873135263313</v>
      </c>
      <c r="AD496">
        <f t="shared" si="76"/>
        <v>62</v>
      </c>
      <c r="AE496" s="195">
        <f t="shared" si="82"/>
        <v>0.20353192717638913</v>
      </c>
      <c r="AF496" s="195">
        <f t="shared" si="83"/>
        <v>8.3736548939716479E-3</v>
      </c>
      <c r="AG496" s="255" t="str">
        <f>IF(ISNUMBER(SEARCH("C", 'Dry_Litterbag Placem_Collection'!AD203)),"YES","NO")</f>
        <v>NO</v>
      </c>
      <c r="AH496" s="255" t="str">
        <f>IF(ISNUMBER(SEARCH("H", 'Dry_Litterbag Placem_Collection'!AD203)),"YES","NO")</f>
        <v>NO</v>
      </c>
      <c r="AI496" s="255" t="str">
        <f>IF(ISNUMBER(SEARCH("R", 'Dry_Litterbag Placem_Collection'!AD203)),"YES","NO")</f>
        <v>NO</v>
      </c>
      <c r="AJ496" s="255" t="str">
        <f>IF(ISNUMBER(SEARCH("C", 'Dry_Litterbag Placem_Collection'!AC203)),"YES","NO")</f>
        <v>NO</v>
      </c>
      <c r="AK496" s="255" t="str">
        <f>IF(ISNUMBER(SEARCH("H", 'Dry_Litterbag Placem_Collection'!AC203)),"YES","NO")</f>
        <v>NO</v>
      </c>
      <c r="AL496" s="255" t="str">
        <f>IF(ISNUMBER(SEARCH("R", 'Dry_Litterbag Placem_Collection'!AC203)),"YES","NO")</f>
        <v>NO</v>
      </c>
      <c r="AR496" t="s">
        <v>1735</v>
      </c>
      <c r="AT496" t="s">
        <v>474</v>
      </c>
    </row>
    <row r="497" spans="2:46">
      <c r="B497" t="str">
        <f>'Final data_for_R_analysis_Dryse'!A643</f>
        <v>Dry</v>
      </c>
      <c r="C497" s="263">
        <f>'Final data_for_R_analysis_Dryse'!B643</f>
        <v>202</v>
      </c>
      <c r="D497" t="s">
        <v>2424</v>
      </c>
      <c r="E497" t="s">
        <v>25</v>
      </c>
      <c r="F497" s="387">
        <v>2</v>
      </c>
      <c r="G497" s="16">
        <f>'Dry_Litterbag Placem_Collection'!E204</f>
        <v>42942</v>
      </c>
      <c r="H497" s="92" t="str">
        <f>'Final data_for_R_analysis_Dryse'!J643</f>
        <v>G147</v>
      </c>
      <c r="I497" t="str">
        <f>'Final data_for_R_analysis_Dryse'!J863</f>
        <v>R224</v>
      </c>
      <c r="J497">
        <f>IFERROR(INDEX('Green_rooibos initial weight'!$C$5:$C$1749,MATCH(H497, 'Green_rooibos initial weight'!$A$5:$A$1749,0)),"")</f>
        <v>2.0369999999999999</v>
      </c>
      <c r="K497">
        <f>IFERROR(INDEX('Green_rooibos initial weight'!$C$5:$C$1749,MATCH(I497, 'Green_rooibos initial weight'!$A$5:$A$1749,0)),"")</f>
        <v>2.298</v>
      </c>
      <c r="L497" s="195">
        <f t="shared" si="77"/>
        <v>1.7871999999999999</v>
      </c>
      <c r="M497" s="240">
        <f>AVERAGE(Ashed_controlls!$K$1:$K$11)</f>
        <v>5.5147656768714146</v>
      </c>
      <c r="N497" s="195">
        <f t="shared" si="72"/>
        <v>1.688640107822954</v>
      </c>
      <c r="O497" s="195">
        <f t="shared" si="78"/>
        <v>2.0482</v>
      </c>
      <c r="P497" s="240">
        <f>AVERAGE(Ashed_controlls!$K$12:$K$14)</f>
        <v>2.2816647271287041</v>
      </c>
      <c r="Q497" s="195">
        <f t="shared" si="73"/>
        <v>2.0014669430589498</v>
      </c>
      <c r="R497" s="16">
        <f>IF('Dry_Litterbag Placem_Collection'!G204="N.A","",'Dry_Litterbag Placem_Collection'!G204)</f>
        <v>43004</v>
      </c>
      <c r="S497" s="195">
        <f>IF(IFERROR(INDEX('Both teabags AfterDry'!$D$1:$D$839,MATCH(H497,'Both teabags AfterDry'!$A$1:$A$839,0)),"")="N.A","",(IFERROR(INDEX('Both teabags AfterDry'!$D$1:$D$839,MATCH(H497,'Both teabags AfterDry'!$A$1:$A$839,0)),"")))</f>
        <v>0.71709999999999996</v>
      </c>
      <c r="T497" s="195">
        <f>IF(IFERROR(INDEX('Both teabags AfterDry'!$D$1:$D$839,MATCH(I497,'Both teabags AfterDry'!$A$1:$A$839,0)),"")="N.A","",(IFERROR(INDEX('Both teabags AfterDry'!$D$1:$D$839,MATCH(I497,'Both teabags AfterDry'!$A$1:$A$839,0)),"")))</f>
        <v>1.8384</v>
      </c>
      <c r="U497" s="195">
        <f t="shared" si="79"/>
        <v>0.5665</v>
      </c>
      <c r="V497" s="195">
        <f t="shared" si="79"/>
        <v>1.6878</v>
      </c>
      <c r="W497" s="195">
        <f>IFERROR(INDEX('Ashed teabags dry'!$K$2:$K$821,MATCH(H497,'Ashed teabags dry'!$A$2:$A$821,0)),"")</f>
        <v>19.843214110729726</v>
      </c>
      <c r="X497" s="195">
        <f>IFERROR(INDEX('Ashed teabags dry'!$K$2:$K$821,MATCH(I497,'Ashed teabags dry'!$A$2:$A$821,0)),"")</f>
        <v>11.207685269899079</v>
      </c>
      <c r="Y497" s="195">
        <f t="shared" si="74"/>
        <v>0.45408819206271611</v>
      </c>
      <c r="Z497" s="195">
        <f t="shared" si="74"/>
        <v>1.4986366880146433</v>
      </c>
      <c r="AA497" s="195">
        <f t="shared" si="80"/>
        <v>0.73109238021822165</v>
      </c>
      <c r="AB497" s="195">
        <f t="shared" si="81"/>
        <v>0.47929096660386983</v>
      </c>
      <c r="AC497" s="195">
        <f t="shared" si="75"/>
        <v>0.7487691431586655</v>
      </c>
      <c r="AD497">
        <f t="shared" si="76"/>
        <v>62</v>
      </c>
      <c r="AE497" s="195">
        <f t="shared" si="82"/>
        <v>0.13171926339878659</v>
      </c>
      <c r="AF497" s="195">
        <f t="shared" si="83"/>
        <v>1.1979010087263537E-2</v>
      </c>
      <c r="AG497" s="255" t="str">
        <f>IF(ISNUMBER(SEARCH("C", 'Dry_Litterbag Placem_Collection'!AD204)),"YES","NO")</f>
        <v>NO</v>
      </c>
      <c r="AH497" s="255" t="str">
        <f>IF(ISNUMBER(SEARCH("H", 'Dry_Litterbag Placem_Collection'!AD204)),"YES","NO")</f>
        <v>NO</v>
      </c>
      <c r="AI497" s="255" t="str">
        <f>IF(ISNUMBER(SEARCH("R", 'Dry_Litterbag Placem_Collection'!AD204)),"YES","NO")</f>
        <v>NO</v>
      </c>
      <c r="AJ497" s="255" t="str">
        <f>IF(ISNUMBER(SEARCH("C", 'Dry_Litterbag Placem_Collection'!AC204)),"YES","NO")</f>
        <v>NO</v>
      </c>
      <c r="AK497" s="255" t="str">
        <f>IF(ISNUMBER(SEARCH("H", 'Dry_Litterbag Placem_Collection'!AC204)),"YES","NO")</f>
        <v>NO</v>
      </c>
      <c r="AL497" s="255" t="str">
        <f>IF(ISNUMBER(SEARCH("R", 'Dry_Litterbag Placem_Collection'!AC204)),"YES","NO")</f>
        <v>NO</v>
      </c>
      <c r="AR497" t="s">
        <v>1903</v>
      </c>
      <c r="AT497" t="s">
        <v>917</v>
      </c>
    </row>
    <row r="498" spans="2:46">
      <c r="B498" t="str">
        <f>'Final data_for_R_analysis_Dryse'!A644</f>
        <v>Dry</v>
      </c>
      <c r="C498" s="263">
        <f>'Final data_for_R_analysis_Dryse'!B644</f>
        <v>203</v>
      </c>
      <c r="D498" t="s">
        <v>2433</v>
      </c>
      <c r="E498" t="s">
        <v>25</v>
      </c>
      <c r="F498" s="387">
        <v>3</v>
      </c>
      <c r="G498" s="16">
        <f>'Dry_Litterbag Placem_Collection'!E205</f>
        <v>42942</v>
      </c>
      <c r="H498" s="92" t="str">
        <f>'Final data_for_R_analysis_Dryse'!J644</f>
        <v>G168</v>
      </c>
      <c r="I498" t="str">
        <f>'Final data_for_R_analysis_Dryse'!J864</f>
        <v>R621</v>
      </c>
      <c r="J498">
        <f>IFERROR(INDEX('Green_rooibos initial weight'!$C$5:$C$1749,MATCH(H498, 'Green_rooibos initial weight'!$A$5:$A$1749,0)),"")</f>
        <v>2.0499999999999998</v>
      </c>
      <c r="K498">
        <f>IFERROR(INDEX('Green_rooibos initial weight'!$C$5:$C$1749,MATCH(I498, 'Green_rooibos initial weight'!$A$5:$A$1749,0)),"")</f>
        <v>2.0459999999999998</v>
      </c>
      <c r="L498" s="195">
        <f t="shared" si="77"/>
        <v>1.8001999999999998</v>
      </c>
      <c r="M498" s="240">
        <f>AVERAGE(Ashed_controlls!$K$1:$K$11)</f>
        <v>5.5147656768714146</v>
      </c>
      <c r="N498" s="195">
        <f t="shared" si="72"/>
        <v>1.7009231882849607</v>
      </c>
      <c r="O498" s="195">
        <f t="shared" si="78"/>
        <v>1.7961999999999998</v>
      </c>
      <c r="P498" s="240">
        <f>AVERAGE(Ashed_controlls!$K$12:$K$14)</f>
        <v>2.2816647271287041</v>
      </c>
      <c r="Q498" s="195">
        <f t="shared" si="73"/>
        <v>1.755216738171314</v>
      </c>
      <c r="R498" s="16">
        <f>IF('Dry_Litterbag Placem_Collection'!G205="N.A","",'Dry_Litterbag Placem_Collection'!G205)</f>
        <v>43004</v>
      </c>
      <c r="S498" s="195">
        <f>IF(IFERROR(INDEX('Both teabags AfterDry'!$D$1:$D$839,MATCH(H498,'Both teabags AfterDry'!$A$1:$A$839,0)),"")="N.A","",(IFERROR(INDEX('Both teabags AfterDry'!$D$1:$D$839,MATCH(H498,'Both teabags AfterDry'!$A$1:$A$839,0)),"")))</f>
        <v>0.72609999999999997</v>
      </c>
      <c r="T498" s="195">
        <f>IF(IFERROR(INDEX('Both teabags AfterDry'!$D$1:$D$839,MATCH(I498,'Both teabags AfterDry'!$A$1:$A$839,0)),"")="N.A","",(IFERROR(INDEX('Both teabags AfterDry'!$D$1:$D$839,MATCH(I498,'Both teabags AfterDry'!$A$1:$A$839,0)),"")))</f>
        <v>1.6888000000000001</v>
      </c>
      <c r="U498" s="195">
        <f t="shared" si="79"/>
        <v>0.5754999999999999</v>
      </c>
      <c r="V498" s="195">
        <f t="shared" si="79"/>
        <v>1.5382</v>
      </c>
      <c r="W498" s="195">
        <f>IFERROR(INDEX('Ashed teabags dry'!$K$2:$K$821,MATCH(H498,'Ashed teabags dry'!$A$2:$A$821,0)),"")</f>
        <v>14.424477901894273</v>
      </c>
      <c r="X498" s="195">
        <f>IFERROR(INDEX('Ashed teabags dry'!$K$2:$K$821,MATCH(I498,'Ashed teabags dry'!$A$2:$A$821,0)),"")</f>
        <v>4.0788883908559299</v>
      </c>
      <c r="Y498" s="195">
        <f t="shared" si="74"/>
        <v>0.4924871296745984</v>
      </c>
      <c r="Z498" s="195">
        <f t="shared" si="74"/>
        <v>1.4754585387718542</v>
      </c>
      <c r="AA498" s="195">
        <f t="shared" si="80"/>
        <v>0.71045892426737223</v>
      </c>
      <c r="AB498" s="195">
        <f t="shared" si="81"/>
        <v>0.46576404536293292</v>
      </c>
      <c r="AC498" s="195">
        <f t="shared" si="75"/>
        <v>0.84061330243982968</v>
      </c>
      <c r="AD498">
        <f t="shared" si="76"/>
        <v>62</v>
      </c>
      <c r="AE498" s="195">
        <f t="shared" si="82"/>
        <v>0.15622455550193315</v>
      </c>
      <c r="AF498" s="195">
        <f t="shared" si="83"/>
        <v>6.7558332336020701E-3</v>
      </c>
      <c r="AG498" s="255" t="str">
        <f>IF(ISNUMBER(SEARCH("C", 'Dry_Litterbag Placem_Collection'!AD205)),"YES","NO")</f>
        <v>NO</v>
      </c>
      <c r="AH498" s="255" t="str">
        <f>IF(ISNUMBER(SEARCH("H", 'Dry_Litterbag Placem_Collection'!AD205)),"YES","NO")</f>
        <v>NO</v>
      </c>
      <c r="AI498" s="255" t="str">
        <f>IF(ISNUMBER(SEARCH("R", 'Dry_Litterbag Placem_Collection'!AD205)),"YES","NO")</f>
        <v>NO</v>
      </c>
      <c r="AJ498" s="255" t="str">
        <f>IF(ISNUMBER(SEARCH("C", 'Dry_Litterbag Placem_Collection'!AC205)),"YES","NO")</f>
        <v>NO</v>
      </c>
      <c r="AK498" s="255" t="str">
        <f>IF(ISNUMBER(SEARCH("H", 'Dry_Litterbag Placem_Collection'!AC205)),"YES","NO")</f>
        <v>NO</v>
      </c>
      <c r="AL498" s="255" t="str">
        <f>IF(ISNUMBER(SEARCH("R", 'Dry_Litterbag Placem_Collection'!AC205)),"YES","NO")</f>
        <v>NO</v>
      </c>
      <c r="AR498" t="s">
        <v>1882</v>
      </c>
      <c r="AT498" t="s">
        <v>518</v>
      </c>
    </row>
    <row r="499" spans="2:46">
      <c r="B499" t="str">
        <f>'Final data_for_R_analysis_Dryse'!A645</f>
        <v>Dry</v>
      </c>
      <c r="C499" s="263">
        <f>'Final data_for_R_analysis_Dryse'!B645</f>
        <v>204</v>
      </c>
      <c r="D499" t="s">
        <v>2440</v>
      </c>
      <c r="E499" t="s">
        <v>25</v>
      </c>
      <c r="F499" s="387">
        <v>4</v>
      </c>
      <c r="G499" s="16">
        <f>'Dry_Litterbag Placem_Collection'!E206</f>
        <v>42942</v>
      </c>
      <c r="H499" s="92" t="str">
        <f>'Final data_for_R_analysis_Dryse'!J645</f>
        <v>G672</v>
      </c>
      <c r="I499" t="str">
        <f>'Final data_for_R_analysis_Dryse'!J865</f>
        <v>R708</v>
      </c>
      <c r="J499">
        <f>IFERROR(INDEX('Green_rooibos initial weight'!$C$5:$C$1749,MATCH(H499, 'Green_rooibos initial weight'!$A$5:$A$1749,0)),"")</f>
        <v>2.0350000000000001</v>
      </c>
      <c r="K499">
        <f>IFERROR(INDEX('Green_rooibos initial weight'!$C$5:$C$1749,MATCH(I499, 'Green_rooibos initial weight'!$A$5:$A$1749,0)),"")</f>
        <v>2.157</v>
      </c>
      <c r="L499" s="195">
        <f t="shared" si="77"/>
        <v>1.7852000000000001</v>
      </c>
      <c r="M499" s="240">
        <f>AVERAGE(Ashed_controlls!$K$1:$K$11)</f>
        <v>5.5147656768714146</v>
      </c>
      <c r="N499" s="195">
        <f t="shared" si="72"/>
        <v>1.6867504031364917</v>
      </c>
      <c r="O499" s="195">
        <f t="shared" si="78"/>
        <v>1.9072</v>
      </c>
      <c r="P499" s="240">
        <f>AVERAGE(Ashed_controlls!$K$12:$K$14)</f>
        <v>2.2816647271287041</v>
      </c>
      <c r="Q499" s="195">
        <f t="shared" si="73"/>
        <v>1.8636840903242013</v>
      </c>
      <c r="R499" s="16">
        <f>IF('Dry_Litterbag Placem_Collection'!G206="N.A","",'Dry_Litterbag Placem_Collection'!G206)</f>
        <v>43004</v>
      </c>
      <c r="S499" s="195">
        <f>IF(IFERROR(INDEX('Both teabags AfterDry'!$D$1:$D$839,MATCH(H499,'Both teabags AfterDry'!$A$1:$A$839,0)),"")="N.A","",(IFERROR(INDEX('Both teabags AfterDry'!$D$1:$D$839,MATCH(H499,'Both teabags AfterDry'!$A$1:$A$839,0)),"")))</f>
        <v>0.75690000000000002</v>
      </c>
      <c r="T499" s="195">
        <f>IF(IFERROR(INDEX('Both teabags AfterDry'!$D$1:$D$839,MATCH(I499,'Both teabags AfterDry'!$A$1:$A$839,0)),"")="N.A","",(IFERROR(INDEX('Both teabags AfterDry'!$D$1:$D$839,MATCH(I499,'Both teabags AfterDry'!$A$1:$A$839,0)),"")))</f>
        <v>1.7259</v>
      </c>
      <c r="U499" s="195">
        <f t="shared" si="79"/>
        <v>0.60630000000000006</v>
      </c>
      <c r="V499" s="195">
        <f t="shared" si="79"/>
        <v>1.5752999999999999</v>
      </c>
      <c r="W499" s="195">
        <f>IFERROR(INDEX('Ashed teabags dry'!$K$2:$K$821,MATCH(H499,'Ashed teabags dry'!$A$2:$A$821,0)),"")</f>
        <v>21.599219892735228</v>
      </c>
      <c r="X499" s="195">
        <f>IFERROR(INDEX('Ashed teabags dry'!$K$2:$K$821,MATCH(I499,'Ashed teabags dry'!$A$2:$A$821,0)),"")</f>
        <v>5.9528907922913135</v>
      </c>
      <c r="Y499" s="195">
        <f t="shared" si="74"/>
        <v>0.47534392979034634</v>
      </c>
      <c r="Z499" s="195">
        <f t="shared" si="74"/>
        <v>1.4815241113490349</v>
      </c>
      <c r="AA499" s="195">
        <f t="shared" si="80"/>
        <v>0.71818952649636247</v>
      </c>
      <c r="AB499" s="195">
        <f t="shared" si="81"/>
        <v>0.47083208862944431</v>
      </c>
      <c r="AC499" s="195">
        <f t="shared" si="75"/>
        <v>0.79494379924191605</v>
      </c>
      <c r="AD499">
        <f t="shared" si="76"/>
        <v>62</v>
      </c>
      <c r="AE499" s="195">
        <f t="shared" si="82"/>
        <v>0.14704331770028212</v>
      </c>
      <c r="AF499" s="195">
        <f t="shared" si="83"/>
        <v>9.2233565140805909E-3</v>
      </c>
      <c r="AG499" s="255" t="str">
        <f>IF(ISNUMBER(SEARCH("C", 'Dry_Litterbag Placem_Collection'!AD206)),"YES","NO")</f>
        <v>NO</v>
      </c>
      <c r="AH499" s="255" t="str">
        <f>IF(ISNUMBER(SEARCH("H", 'Dry_Litterbag Placem_Collection'!AD206)),"YES","NO")</f>
        <v>NO</v>
      </c>
      <c r="AI499" s="255" t="str">
        <f>IF(ISNUMBER(SEARCH("R", 'Dry_Litterbag Placem_Collection'!AD206)),"YES","NO")</f>
        <v>NO</v>
      </c>
      <c r="AJ499" s="255" t="str">
        <f>IF(ISNUMBER(SEARCH("C", 'Dry_Litterbag Placem_Collection'!AC206)),"YES","NO")</f>
        <v>NO</v>
      </c>
      <c r="AK499" s="255" t="str">
        <f>IF(ISNUMBER(SEARCH("H", 'Dry_Litterbag Placem_Collection'!AC206)),"YES","NO")</f>
        <v>NO</v>
      </c>
      <c r="AL499" s="255" t="str">
        <f>IF(ISNUMBER(SEARCH("R", 'Dry_Litterbag Placem_Collection'!AC206)),"YES","NO")</f>
        <v>NO</v>
      </c>
      <c r="AR499" t="s">
        <v>1378</v>
      </c>
      <c r="AT499" t="s">
        <v>431</v>
      </c>
    </row>
    <row r="500" spans="2:46">
      <c r="B500" t="str">
        <f>'Final data_for_R_analysis_Dryse'!A646</f>
        <v>Dry</v>
      </c>
      <c r="C500" s="263">
        <f>'Final data_for_R_analysis_Dryse'!B646</f>
        <v>205</v>
      </c>
      <c r="D500" t="s">
        <v>2434</v>
      </c>
      <c r="E500" t="s">
        <v>25</v>
      </c>
      <c r="F500" s="387">
        <v>1</v>
      </c>
      <c r="G500" s="16">
        <f>'Dry_Litterbag Placem_Collection'!E207</f>
        <v>42942</v>
      </c>
      <c r="H500" s="92" t="str">
        <f>'Final data_for_R_analysis_Dryse'!J646</f>
        <v>G173</v>
      </c>
      <c r="I500" t="str">
        <f>'Final data_for_R_analysis_Dryse'!J866</f>
        <v>R637</v>
      </c>
      <c r="J500">
        <f>IFERROR(INDEX('Green_rooibos initial weight'!$C$5:$C$1749,MATCH(H500, 'Green_rooibos initial weight'!$A$5:$A$1749,0)),"")</f>
        <v>2.1419999999999999</v>
      </c>
      <c r="K500">
        <f>IFERROR(INDEX('Green_rooibos initial weight'!$C$5:$C$1749,MATCH(I500, 'Green_rooibos initial weight'!$A$5:$A$1749,0)),"")</f>
        <v>2.129</v>
      </c>
      <c r="L500" s="195">
        <f t="shared" si="77"/>
        <v>1.8921999999999999</v>
      </c>
      <c r="M500" s="240">
        <f>AVERAGE(Ashed_controlls!$K$1:$K$11)</f>
        <v>5.5147656768714146</v>
      </c>
      <c r="N500" s="195">
        <f t="shared" si="72"/>
        <v>1.7878496038622389</v>
      </c>
      <c r="O500" s="195">
        <f t="shared" si="78"/>
        <v>1.8792</v>
      </c>
      <c r="P500" s="240">
        <f>AVERAGE(Ashed_controlls!$K$12:$K$14)</f>
        <v>2.2816647271287041</v>
      </c>
      <c r="Q500" s="195">
        <f t="shared" si="73"/>
        <v>1.8363229564477974</v>
      </c>
      <c r="R500" s="16">
        <f>IF('Dry_Litterbag Placem_Collection'!G207="N.A","",'Dry_Litterbag Placem_Collection'!G207)</f>
        <v>43004</v>
      </c>
      <c r="S500" s="195">
        <f>IF(IFERROR(INDEX('Both teabags AfterDry'!$D$1:$D$839,MATCH(H500,'Both teabags AfterDry'!$A$1:$A$839,0)),"")="N.A","",(IFERROR(INDEX('Both teabags AfterDry'!$D$1:$D$839,MATCH(H500,'Both teabags AfterDry'!$A$1:$A$839,0)),"")))</f>
        <v>0.79190000000000005</v>
      </c>
      <c r="T500" s="195">
        <f>IF(IFERROR(INDEX('Both teabags AfterDry'!$D$1:$D$839,MATCH(I500,'Both teabags AfterDry'!$A$1:$A$839,0)),"")="N.A","",(IFERROR(INDEX('Both teabags AfterDry'!$D$1:$D$839,MATCH(I500,'Both teabags AfterDry'!$A$1:$A$839,0)),"")))</f>
        <v>1.6534</v>
      </c>
      <c r="U500" s="195">
        <f t="shared" si="79"/>
        <v>0.64129999999999998</v>
      </c>
      <c r="V500" s="195">
        <f t="shared" si="79"/>
        <v>1.5027999999999999</v>
      </c>
      <c r="W500" s="195">
        <f>IFERROR(INDEX('Ashed teabags dry'!$K$2:$K$821,MATCH(H500,'Ashed teabags dry'!$A$2:$A$821,0)),"")</f>
        <v>18.018433179723015</v>
      </c>
      <c r="X500" s="195">
        <f>IFERROR(INDEX('Ashed teabags dry'!$K$2:$K$821,MATCH(I500,'Ashed teabags dry'!$A$2:$A$821,0)),"")</f>
        <v>4.9312470365094017</v>
      </c>
      <c r="Y500" s="195">
        <f t="shared" si="74"/>
        <v>0.52574778801843625</v>
      </c>
      <c r="Z500" s="195">
        <f t="shared" si="74"/>
        <v>1.4286932195353366</v>
      </c>
      <c r="AA500" s="195">
        <f t="shared" si="80"/>
        <v>0.70593287775287206</v>
      </c>
      <c r="AB500" s="195">
        <f t="shared" si="81"/>
        <v>0.46279685097337936</v>
      </c>
      <c r="AC500" s="195">
        <f t="shared" si="75"/>
        <v>0.77801849316256211</v>
      </c>
      <c r="AD500">
        <f t="shared" si="76"/>
        <v>62</v>
      </c>
      <c r="AE500" s="195">
        <f t="shared" si="82"/>
        <v>0.16159990765692156</v>
      </c>
      <c r="AF500" s="195">
        <f t="shared" si="83"/>
        <v>1.0536415453297575E-2</v>
      </c>
      <c r="AG500" s="255" t="str">
        <f>IF(ISNUMBER(SEARCH("C", 'Dry_Litterbag Placem_Collection'!AD207)),"YES","NO")</f>
        <v>NO</v>
      </c>
      <c r="AH500" s="255" t="str">
        <f>IF(ISNUMBER(SEARCH("H", 'Dry_Litterbag Placem_Collection'!AD207)),"YES","NO")</f>
        <v>NO</v>
      </c>
      <c r="AI500" s="255" t="str">
        <f>IF(ISNUMBER(SEARCH("R", 'Dry_Litterbag Placem_Collection'!AD207)),"YES","NO")</f>
        <v>NO</v>
      </c>
      <c r="AJ500" s="255" t="str">
        <f>IF(ISNUMBER(SEARCH("C", 'Dry_Litterbag Placem_Collection'!AC207)),"YES","NO")</f>
        <v>NO</v>
      </c>
      <c r="AK500" s="255" t="str">
        <f>IF(ISNUMBER(SEARCH("H", 'Dry_Litterbag Placem_Collection'!AC207)),"YES","NO")</f>
        <v>NO</v>
      </c>
      <c r="AL500" s="255" t="str">
        <f>IF(ISNUMBER(SEARCH("R", 'Dry_Litterbag Placem_Collection'!AC207)),"YES","NO")</f>
        <v>NO</v>
      </c>
      <c r="AR500" t="s">
        <v>1877</v>
      </c>
      <c r="AT500" t="s">
        <v>502</v>
      </c>
    </row>
    <row r="501" spans="2:46">
      <c r="B501" t="str">
        <f>'Final data_for_R_analysis_Dryse'!A647</f>
        <v>Dry</v>
      </c>
      <c r="C501" s="263">
        <f>'Final data_for_R_analysis_Dryse'!B647</f>
        <v>206</v>
      </c>
      <c r="D501" t="s">
        <v>2425</v>
      </c>
      <c r="E501" t="s">
        <v>25</v>
      </c>
      <c r="F501" s="387">
        <v>2</v>
      </c>
      <c r="G501" s="16">
        <f>'Dry_Litterbag Placem_Collection'!E208</f>
        <v>42942</v>
      </c>
      <c r="H501" s="92" t="str">
        <f>'Final data_for_R_analysis_Dryse'!J647</f>
        <v>G262</v>
      </c>
      <c r="I501" t="str">
        <f>'Final data_for_R_analysis_Dryse'!J867</f>
        <v>R284</v>
      </c>
      <c r="J501">
        <f>IFERROR(INDEX('Green_rooibos initial weight'!$C$5:$C$1749,MATCH(H501, 'Green_rooibos initial weight'!$A$5:$A$1749,0)),"")</f>
        <v>2.012</v>
      </c>
      <c r="K501">
        <f>IFERROR(INDEX('Green_rooibos initial weight'!$C$5:$C$1749,MATCH(I501, 'Green_rooibos initial weight'!$A$5:$A$1749,0)),"")</f>
        <v>2.2480000000000002</v>
      </c>
      <c r="L501" s="195">
        <f t="shared" si="77"/>
        <v>1.7622</v>
      </c>
      <c r="M501" s="240">
        <f>AVERAGE(Ashed_controlls!$K$1:$K$11)</f>
        <v>5.5147656768714146</v>
      </c>
      <c r="N501" s="195">
        <f t="shared" si="72"/>
        <v>1.6650187992421719</v>
      </c>
      <c r="O501" s="195">
        <f t="shared" si="78"/>
        <v>1.9982000000000002</v>
      </c>
      <c r="P501" s="240">
        <f>AVERAGE(Ashed_controlls!$K$12:$K$14)</f>
        <v>2.2816647271287041</v>
      </c>
      <c r="Q501" s="195">
        <f t="shared" si="73"/>
        <v>1.9526077754225144</v>
      </c>
      <c r="R501" s="16">
        <f>IF('Dry_Litterbag Placem_Collection'!G208="N.A","",'Dry_Litterbag Placem_Collection'!G208)</f>
        <v>43004</v>
      </c>
      <c r="S501" s="195">
        <f>IF(IFERROR(INDEX('Both teabags AfterDry'!$D$1:$D$839,MATCH(H501,'Both teabags AfterDry'!$A$1:$A$839,0)),"")="N.A","",(IFERROR(INDEX('Both teabags AfterDry'!$D$1:$D$839,MATCH(H501,'Both teabags AfterDry'!$A$1:$A$839,0)),"")))</f>
        <v>0.59640000000000004</v>
      </c>
      <c r="T501" s="195">
        <f>IF(IFERROR(INDEX('Both teabags AfterDry'!$D$1:$D$839,MATCH(I501,'Both teabags AfterDry'!$A$1:$A$839,0)),"")="N.A","",(IFERROR(INDEX('Both teabags AfterDry'!$D$1:$D$839,MATCH(I501,'Both teabags AfterDry'!$A$1:$A$839,0)),"")))</f>
        <v>1.6192</v>
      </c>
      <c r="U501" s="195">
        <f t="shared" si="79"/>
        <v>0.44580000000000003</v>
      </c>
      <c r="V501" s="195">
        <f t="shared" si="79"/>
        <v>1.4685999999999999</v>
      </c>
      <c r="W501" s="195">
        <f>IFERROR(INDEX('Ashed teabags dry'!$K$2:$K$821,MATCH(H501,'Ashed teabags dry'!$A$2:$A$821,0)),"")</f>
        <v>18.61042183622844</v>
      </c>
      <c r="X501" s="195">
        <f>IFERROR(INDEX('Ashed teabags dry'!$K$2:$K$821,MATCH(I501,'Ashed teabags dry'!$A$2:$A$821,0)),"")</f>
        <v>10.038797284189567</v>
      </c>
      <c r="Y501" s="195">
        <f t="shared" si="74"/>
        <v>0.36283473945409361</v>
      </c>
      <c r="Z501" s="195">
        <f t="shared" si="74"/>
        <v>1.321170223084392</v>
      </c>
      <c r="AA501" s="195">
        <f t="shared" si="80"/>
        <v>0.78208369802236666</v>
      </c>
      <c r="AB501" s="195">
        <f t="shared" si="81"/>
        <v>0.51271995404791737</v>
      </c>
      <c r="AC501" s="195">
        <f t="shared" si="75"/>
        <v>0.67661833559917639</v>
      </c>
      <c r="AD501">
        <f t="shared" si="76"/>
        <v>62</v>
      </c>
      <c r="AE501" s="195">
        <f t="shared" si="82"/>
        <v>7.1159503536381563E-2</v>
      </c>
      <c r="AF501" s="195">
        <f t="shared" si="83"/>
        <v>1.6067653066901697E-2</v>
      </c>
      <c r="AG501" s="255" t="str">
        <f>IF(ISNUMBER(SEARCH("C", 'Dry_Litterbag Placem_Collection'!AD208)),"YES","NO")</f>
        <v>NO</v>
      </c>
      <c r="AH501" s="255" t="str">
        <f>IF(ISNUMBER(SEARCH("H", 'Dry_Litterbag Placem_Collection'!AD208)),"YES","NO")</f>
        <v>NO</v>
      </c>
      <c r="AI501" s="255" t="str">
        <f>IF(ISNUMBER(SEARCH("R", 'Dry_Litterbag Placem_Collection'!AD208)),"YES","NO")</f>
        <v>NO</v>
      </c>
      <c r="AJ501" s="255" t="str">
        <f>IF(ISNUMBER(SEARCH("C", 'Dry_Litterbag Placem_Collection'!AC208)),"YES","NO")</f>
        <v>NO</v>
      </c>
      <c r="AK501" s="255" t="str">
        <f>IF(ISNUMBER(SEARCH("H", 'Dry_Litterbag Placem_Collection'!AC208)),"YES","NO")</f>
        <v>NO</v>
      </c>
      <c r="AL501" s="255" t="str">
        <f>IF(ISNUMBER(SEARCH("R", 'Dry_Litterbag Placem_Collection'!AC208)),"YES","NO")</f>
        <v>NO</v>
      </c>
      <c r="AR501" t="s">
        <v>1788</v>
      </c>
      <c r="AT501" t="s">
        <v>857</v>
      </c>
    </row>
    <row r="502" spans="2:46">
      <c r="B502" t="str">
        <f>'Final data_for_R_analysis_Dryse'!A648</f>
        <v>Dry</v>
      </c>
      <c r="C502" s="263">
        <f>'Final data_for_R_analysis_Dryse'!B648</f>
        <v>207</v>
      </c>
      <c r="D502" t="s">
        <v>2448</v>
      </c>
      <c r="E502" t="s">
        <v>25</v>
      </c>
      <c r="F502" s="387">
        <v>3</v>
      </c>
      <c r="G502" s="16">
        <f>'Dry_Litterbag Placem_Collection'!E209</f>
        <v>42942</v>
      </c>
      <c r="H502" s="92" t="str">
        <f>'Final data_for_R_analysis_Dryse'!J648</f>
        <v>G230</v>
      </c>
      <c r="I502" t="str">
        <f>'Final data_for_R_analysis_Dryse'!J868</f>
        <v>R604</v>
      </c>
      <c r="J502">
        <f>IFERROR(INDEX('Green_rooibos initial weight'!$C$5:$C$1749,MATCH(H502, 'Green_rooibos initial weight'!$A$5:$A$1749,0)),"")</f>
        <v>2.0030000000000001</v>
      </c>
      <c r="K502">
        <f>IFERROR(INDEX('Green_rooibos initial weight'!$C$5:$C$1749,MATCH(I502, 'Green_rooibos initial weight'!$A$5:$A$1749,0)),"")</f>
        <v>2.1230000000000002</v>
      </c>
      <c r="L502" s="195">
        <f t="shared" si="77"/>
        <v>1.7532000000000001</v>
      </c>
      <c r="M502" s="240">
        <f>AVERAGE(Ashed_controlls!$K$1:$K$11)</f>
        <v>5.5147656768714146</v>
      </c>
      <c r="N502" s="195">
        <f t="shared" si="72"/>
        <v>1.6565151281530905</v>
      </c>
      <c r="O502" s="195">
        <f t="shared" si="78"/>
        <v>1.8732000000000002</v>
      </c>
      <c r="P502" s="240">
        <f>AVERAGE(Ashed_controlls!$K$12:$K$14)</f>
        <v>2.2816647271287041</v>
      </c>
      <c r="Q502" s="195">
        <f t="shared" si="73"/>
        <v>1.8304598563314254</v>
      </c>
      <c r="R502" s="16">
        <f>IF('Dry_Litterbag Placem_Collection'!G209="N.A","",'Dry_Litterbag Placem_Collection'!G209)</f>
        <v>43004</v>
      </c>
      <c r="S502" s="195">
        <f>IF(IFERROR(INDEX('Both teabags AfterDry'!$D$1:$D$839,MATCH(H502,'Both teabags AfterDry'!$A$1:$A$839,0)),"")="N.A","",(IFERROR(INDEX('Both teabags AfterDry'!$D$1:$D$839,MATCH(H502,'Both teabags AfterDry'!$A$1:$A$839,0)),"")))</f>
        <v>0.73299999999999998</v>
      </c>
      <c r="T502" s="195">
        <f>IF(IFERROR(INDEX('Both teabags AfterDry'!$D$1:$D$839,MATCH(I502,'Both teabags AfterDry'!$A$1:$A$839,0)),"")="N.A","",(IFERROR(INDEX('Both teabags AfterDry'!$D$1:$D$839,MATCH(I502,'Both teabags AfterDry'!$A$1:$A$839,0)),"")))</f>
        <v>1.615</v>
      </c>
      <c r="U502" s="195">
        <f t="shared" si="79"/>
        <v>0.58240000000000003</v>
      </c>
      <c r="V502" s="195">
        <f t="shared" si="79"/>
        <v>1.4643999999999999</v>
      </c>
      <c r="W502" s="195">
        <f>IFERROR(INDEX('Ashed teabags dry'!$K$2:$K$821,MATCH(H502,'Ashed teabags dry'!$A$2:$A$821,0)),"")</f>
        <v>20.488997555012073</v>
      </c>
      <c r="X502" s="195">
        <f>IFERROR(INDEX('Ashed teabags dry'!$K$2:$K$821,MATCH(I502,'Ashed teabags dry'!$A$2:$A$821,0)),"")</f>
        <v>3.5497431106958826</v>
      </c>
      <c r="Y502" s="195">
        <f t="shared" si="74"/>
        <v>0.46307207823960972</v>
      </c>
      <c r="Z502" s="195">
        <f t="shared" si="74"/>
        <v>1.4124175618869694</v>
      </c>
      <c r="AA502" s="195">
        <f t="shared" si="80"/>
        <v>0.7204540602319125</v>
      </c>
      <c r="AB502" s="195">
        <f t="shared" si="81"/>
        <v>0.47231667606652705</v>
      </c>
      <c r="AC502" s="195">
        <f t="shared" si="75"/>
        <v>0.77161897705733418</v>
      </c>
      <c r="AD502">
        <f t="shared" si="76"/>
        <v>62</v>
      </c>
      <c r="AE502" s="195">
        <f t="shared" si="82"/>
        <v>0.14435384770556703</v>
      </c>
      <c r="AF502" s="195">
        <f t="shared" si="83"/>
        <v>1.0657180817389766E-2</v>
      </c>
      <c r="AG502" s="255" t="str">
        <f>IF(ISNUMBER(SEARCH("C", 'Dry_Litterbag Placem_Collection'!AD209)),"YES","NO")</f>
        <v>NO</v>
      </c>
      <c r="AH502" s="255" t="str">
        <f>IF(ISNUMBER(SEARCH("H", 'Dry_Litterbag Placem_Collection'!AD209)),"YES","NO")</f>
        <v>NO</v>
      </c>
      <c r="AI502" s="255" t="str">
        <f>IF(ISNUMBER(SEARCH("R", 'Dry_Litterbag Placem_Collection'!AD209)),"YES","NO")</f>
        <v>NO</v>
      </c>
      <c r="AJ502" s="255" t="str">
        <f>IF(ISNUMBER(SEARCH("C", 'Dry_Litterbag Placem_Collection'!AC209)),"YES","NO")</f>
        <v>NO</v>
      </c>
      <c r="AK502" s="255" t="str">
        <f>IF(ISNUMBER(SEARCH("H", 'Dry_Litterbag Placem_Collection'!AC209)),"YES","NO")</f>
        <v>NO</v>
      </c>
      <c r="AL502" s="255" t="str">
        <f>IF(ISNUMBER(SEARCH("R", 'Dry_Litterbag Placem_Collection'!AC209)),"YES","NO")</f>
        <v>NO</v>
      </c>
      <c r="AR502" t="s">
        <v>1820</v>
      </c>
      <c r="AT502" t="s">
        <v>535</v>
      </c>
    </row>
    <row r="503" spans="2:46">
      <c r="B503" t="str">
        <f>'Final data_for_R_analysis_Dryse'!A649</f>
        <v>Dry</v>
      </c>
      <c r="C503" s="263">
        <f>'Final data_for_R_analysis_Dryse'!B649</f>
        <v>208</v>
      </c>
      <c r="D503" t="s">
        <v>2441</v>
      </c>
      <c r="E503" t="s">
        <v>25</v>
      </c>
      <c r="F503" s="387">
        <v>4</v>
      </c>
      <c r="G503" s="16">
        <f>'Dry_Litterbag Placem_Collection'!E210</f>
        <v>42942</v>
      </c>
      <c r="H503" s="92" t="str">
        <f>'Final data_for_R_analysis_Dryse'!J649</f>
        <v>G140</v>
      </c>
      <c r="I503" t="str">
        <f>'Final data_for_R_analysis_Dryse'!J869</f>
        <v>R625</v>
      </c>
      <c r="J503">
        <f>IFERROR(INDEX('Green_rooibos initial weight'!$C$5:$C$1749,MATCH(H503, 'Green_rooibos initial weight'!$A$5:$A$1749,0)),"")</f>
        <v>2.0590000000000002</v>
      </c>
      <c r="K503">
        <f>IFERROR(INDEX('Green_rooibos initial weight'!$C$5:$C$1749,MATCH(I503, 'Green_rooibos initial weight'!$A$5:$A$1749,0)),"")</f>
        <v>2.1589999999999998</v>
      </c>
      <c r="L503" s="195">
        <f t="shared" si="77"/>
        <v>1.8092000000000001</v>
      </c>
      <c r="M503" s="240">
        <f>AVERAGE(Ashed_controlls!$K$1:$K$11)</f>
        <v>5.5147656768714146</v>
      </c>
      <c r="N503" s="195">
        <f t="shared" si="72"/>
        <v>1.7094268593740425</v>
      </c>
      <c r="O503" s="195">
        <f t="shared" si="78"/>
        <v>1.9091999999999998</v>
      </c>
      <c r="P503" s="240">
        <f>AVERAGE(Ashed_controlls!$K$12:$K$14)</f>
        <v>2.2816647271287041</v>
      </c>
      <c r="Q503" s="195">
        <f t="shared" si="73"/>
        <v>1.8656384570296585</v>
      </c>
      <c r="R503" s="16">
        <f>IF('Dry_Litterbag Placem_Collection'!G210="N.A","",'Dry_Litterbag Placem_Collection'!G210)</f>
        <v>43004</v>
      </c>
      <c r="S503" s="195">
        <f>IF(IFERROR(INDEX('Both teabags AfterDry'!$D$1:$D$839,MATCH(H503,'Both teabags AfterDry'!$A$1:$A$839,0)),"")="N.A","",(IFERROR(INDEX('Both teabags AfterDry'!$D$1:$D$839,MATCH(H503,'Both teabags AfterDry'!$A$1:$A$839,0)),"")))</f>
        <v>0.74199999999999999</v>
      </c>
      <c r="T503" s="195">
        <f>IF(IFERROR(INDEX('Both teabags AfterDry'!$D$1:$D$839,MATCH(I503,'Both teabags AfterDry'!$A$1:$A$839,0)),"")="N.A","",(IFERROR(INDEX('Both teabags AfterDry'!$D$1:$D$839,MATCH(I503,'Both teabags AfterDry'!$A$1:$A$839,0)),"")))</f>
        <v>1.6539999999999999</v>
      </c>
      <c r="U503" s="195">
        <f t="shared" si="79"/>
        <v>0.59139999999999993</v>
      </c>
      <c r="V503" s="195">
        <f t="shared" si="79"/>
        <v>1.5033999999999998</v>
      </c>
      <c r="W503" s="195">
        <f>IFERROR(INDEX('Ashed teabags dry'!$K$2:$K$821,MATCH(H503,'Ashed teabags dry'!$A$2:$A$821,0)),"")</f>
        <v>20.585365853658182</v>
      </c>
      <c r="X503" s="195">
        <f>IFERROR(INDEX('Ashed teabags dry'!$K$2:$K$821,MATCH(I503,'Ashed teabags dry'!$A$2:$A$821,0)),"")</f>
        <v>7.8721374045796031</v>
      </c>
      <c r="Y503" s="195">
        <f t="shared" si="74"/>
        <v>0.46965814634146547</v>
      </c>
      <c r="Z503" s="195">
        <f t="shared" si="74"/>
        <v>1.3850502862595502</v>
      </c>
      <c r="AA503" s="195">
        <f t="shared" si="80"/>
        <v>0.72525402665461525</v>
      </c>
      <c r="AB503" s="195">
        <f t="shared" si="81"/>
        <v>0.47546344740302571</v>
      </c>
      <c r="AC503" s="195">
        <f t="shared" si="75"/>
        <v>0.74240015853057195</v>
      </c>
      <c r="AD503">
        <f t="shared" si="76"/>
        <v>62</v>
      </c>
      <c r="AE503" s="195">
        <f t="shared" si="82"/>
        <v>0.13865317499451868</v>
      </c>
      <c r="AF503" s="195">
        <f t="shared" si="83"/>
        <v>1.2587432273969643E-2</v>
      </c>
      <c r="AG503" s="255" t="str">
        <f>IF(ISNUMBER(SEARCH("C", 'Dry_Litterbag Placem_Collection'!AD210)),"YES","NO")</f>
        <v>NO</v>
      </c>
      <c r="AH503" s="255" t="str">
        <f>IF(ISNUMBER(SEARCH("H", 'Dry_Litterbag Placem_Collection'!AD210)),"YES","NO")</f>
        <v>NO</v>
      </c>
      <c r="AI503" s="255" t="str">
        <f>IF(ISNUMBER(SEARCH("R", 'Dry_Litterbag Placem_Collection'!AD210)),"YES","NO")</f>
        <v>NO</v>
      </c>
      <c r="AJ503" s="255" t="str">
        <f>IF(ISNUMBER(SEARCH("C", 'Dry_Litterbag Placem_Collection'!AC210)),"YES","NO")</f>
        <v>NO</v>
      </c>
      <c r="AK503" s="255" t="str">
        <f>IF(ISNUMBER(SEARCH("H", 'Dry_Litterbag Placem_Collection'!AC210)),"YES","NO")</f>
        <v>NO</v>
      </c>
      <c r="AL503" s="255" t="str">
        <f>IF(ISNUMBER(SEARCH("R", 'Dry_Litterbag Placem_Collection'!AC210)),"YES","NO")</f>
        <v>NO</v>
      </c>
      <c r="AR503" t="s">
        <v>1910</v>
      </c>
      <c r="AT503" t="s">
        <v>514</v>
      </c>
    </row>
    <row r="504" spans="2:46">
      <c r="B504" t="str">
        <f>'Final data_for_R_analysis_Dryse'!A650</f>
        <v>Dry</v>
      </c>
      <c r="C504" s="263">
        <f>'Final data_for_R_analysis_Dryse'!B650</f>
        <v>209</v>
      </c>
      <c r="D504" t="s">
        <v>2435</v>
      </c>
      <c r="E504" t="s">
        <v>25</v>
      </c>
      <c r="F504" s="387">
        <v>1</v>
      </c>
      <c r="G504" s="16">
        <f>'Dry_Litterbag Placem_Collection'!E211</f>
        <v>42942</v>
      </c>
      <c r="H504" s="92" t="str">
        <f>'Final data_for_R_analysis_Dryse'!J650</f>
        <v>G92</v>
      </c>
      <c r="I504" t="str">
        <f>'Final data_for_R_analysis_Dryse'!J870</f>
        <v>R647</v>
      </c>
      <c r="J504">
        <f>IFERROR(INDEX('Green_rooibos initial weight'!$C$5:$C$1749,MATCH(H504, 'Green_rooibos initial weight'!$A$5:$A$1749,0)),"")</f>
        <v>2.1930000000000001</v>
      </c>
      <c r="K504">
        <f>IFERROR(INDEX('Green_rooibos initial weight'!$C$5:$C$1749,MATCH(I504, 'Green_rooibos initial weight'!$A$5:$A$1749,0)),"")</f>
        <v>2.1640000000000001</v>
      </c>
      <c r="L504" s="195">
        <f t="shared" si="77"/>
        <v>1.9432</v>
      </c>
      <c r="M504" s="240">
        <f>AVERAGE(Ashed_controlls!$K$1:$K$11)</f>
        <v>5.5147656768714146</v>
      </c>
      <c r="N504" s="195">
        <f t="shared" si="72"/>
        <v>1.8360370733670348</v>
      </c>
      <c r="O504" s="195">
        <f t="shared" si="78"/>
        <v>1.9142000000000001</v>
      </c>
      <c r="P504" s="240">
        <f>AVERAGE(Ashed_controlls!$K$12:$K$14)</f>
        <v>2.2816647271287041</v>
      </c>
      <c r="Q504" s="195">
        <f t="shared" si="73"/>
        <v>1.8705243737933024</v>
      </c>
      <c r="R504" s="16">
        <f>IF('Dry_Litterbag Placem_Collection'!G211="N.A","",'Dry_Litterbag Placem_Collection'!G211)</f>
        <v>43004</v>
      </c>
      <c r="S504" s="195">
        <f>IF(IFERROR(INDEX('Both teabags AfterDry'!$D$1:$D$839,MATCH(H504,'Both teabags AfterDry'!$A$1:$A$839,0)),"")="N.A","",(IFERROR(INDEX('Both teabags AfterDry'!$D$1:$D$839,MATCH(H504,'Both teabags AfterDry'!$A$1:$A$839,0)),"")))</f>
        <v>0.73619999999999997</v>
      </c>
      <c r="T504" s="195">
        <f>IF(IFERROR(INDEX('Both teabags AfterDry'!$D$1:$D$839,MATCH(I504,'Both teabags AfterDry'!$A$1:$A$839,0)),"")="N.A","",(IFERROR(INDEX('Both teabags AfterDry'!$D$1:$D$839,MATCH(I504,'Both teabags AfterDry'!$A$1:$A$839,0)),"")))</f>
        <v>1.6881999999999999</v>
      </c>
      <c r="U504" s="195">
        <f t="shared" si="79"/>
        <v>0.5855999999999999</v>
      </c>
      <c r="V504" s="195">
        <f t="shared" si="79"/>
        <v>1.5375999999999999</v>
      </c>
      <c r="W504" s="195">
        <f>IFERROR(INDEX('Ashed teabags dry'!$K$2:$K$821,MATCH(H504,'Ashed teabags dry'!$A$2:$A$821,0)),"")</f>
        <v>17.387081107333806</v>
      </c>
      <c r="X504" s="195">
        <f>IFERROR(INDEX('Ashed teabags dry'!$K$2:$K$821,MATCH(I504,'Ashed teabags dry'!$A$2:$A$821,0)),"")</f>
        <v>3.8888888888889466</v>
      </c>
      <c r="Y504" s="195">
        <f t="shared" si="74"/>
        <v>0.48378125303545316</v>
      </c>
      <c r="Z504" s="195">
        <f t="shared" si="74"/>
        <v>1.4778044444444434</v>
      </c>
      <c r="AA504" s="195">
        <f t="shared" si="80"/>
        <v>0.7365079060477433</v>
      </c>
      <c r="AB504" s="195">
        <f t="shared" si="81"/>
        <v>0.48284128757524269</v>
      </c>
      <c r="AC504" s="195">
        <f t="shared" si="75"/>
        <v>0.79004821597034391</v>
      </c>
      <c r="AD504">
        <f t="shared" si="76"/>
        <v>62</v>
      </c>
      <c r="AE504" s="195">
        <f t="shared" si="82"/>
        <v>0.12528752250861841</v>
      </c>
      <c r="AF504" s="195">
        <f t="shared" si="83"/>
        <v>9.2035651316975699E-3</v>
      </c>
      <c r="AG504" s="255" t="str">
        <f>IF(ISNUMBER(SEARCH("C", 'Dry_Litterbag Placem_Collection'!AD211)),"YES","NO")</f>
        <v>NO</v>
      </c>
      <c r="AH504" s="255" t="str">
        <f>IF(ISNUMBER(SEARCH("H", 'Dry_Litterbag Placem_Collection'!AD211)),"YES","NO")</f>
        <v>NO</v>
      </c>
      <c r="AI504" s="255" t="str">
        <f>IF(ISNUMBER(SEARCH("R", 'Dry_Litterbag Placem_Collection'!AD211)),"YES","NO")</f>
        <v>NO</v>
      </c>
      <c r="AJ504" s="255" t="str">
        <f>IF(ISNUMBER(SEARCH("C", 'Dry_Litterbag Placem_Collection'!AC211)),"YES","NO")</f>
        <v>NO</v>
      </c>
      <c r="AK504" s="255" t="str">
        <f>IF(ISNUMBER(SEARCH("H", 'Dry_Litterbag Placem_Collection'!AC211)),"YES","NO")</f>
        <v>NO</v>
      </c>
      <c r="AL504" s="255" t="str">
        <f>IF(ISNUMBER(SEARCH("R", 'Dry_Litterbag Placem_Collection'!AC211)),"YES","NO")</f>
        <v>NO</v>
      </c>
      <c r="AR504" t="s">
        <v>1958</v>
      </c>
      <c r="AT504" t="s">
        <v>492</v>
      </c>
    </row>
    <row r="505" spans="2:46">
      <c r="B505" t="str">
        <f>'Final data_for_R_analysis_Dryse'!A651</f>
        <v>Dry</v>
      </c>
      <c r="C505" s="263">
        <f>'Final data_for_R_analysis_Dryse'!B651</f>
        <v>210</v>
      </c>
      <c r="D505" t="s">
        <v>2449</v>
      </c>
      <c r="E505" t="s">
        <v>25</v>
      </c>
      <c r="F505" s="387">
        <v>2</v>
      </c>
      <c r="G505" s="16">
        <f>'Dry_Litterbag Placem_Collection'!E212</f>
        <v>42942</v>
      </c>
      <c r="H505" s="92" t="str">
        <f>'Final data_for_R_analysis_Dryse'!J651</f>
        <v>G36</v>
      </c>
      <c r="I505" t="str">
        <f>'Final data_for_R_analysis_Dryse'!J871</f>
        <v>R599</v>
      </c>
      <c r="J505">
        <f>IFERROR(INDEX('Green_rooibos initial weight'!$C$5:$C$1749,MATCH(H505, 'Green_rooibos initial weight'!$A$5:$A$1749,0)),"")</f>
        <v>2.1429999999999998</v>
      </c>
      <c r="K505">
        <f>IFERROR(INDEX('Green_rooibos initial weight'!$C$5:$C$1749,MATCH(I505, 'Green_rooibos initial weight'!$A$5:$A$1749,0)),"")</f>
        <v>2.1760000000000002</v>
      </c>
      <c r="L505" s="195">
        <f t="shared" si="77"/>
        <v>1.8931999999999998</v>
      </c>
      <c r="M505" s="240">
        <f>AVERAGE(Ashed_controlls!$K$1:$K$11)</f>
        <v>5.5147656768714146</v>
      </c>
      <c r="N505" s="195">
        <f t="shared" si="72"/>
        <v>1.7887944562054701</v>
      </c>
      <c r="O505" s="195">
        <f t="shared" si="78"/>
        <v>1.9262000000000001</v>
      </c>
      <c r="P505" s="240">
        <f>AVERAGE(Ashed_controlls!$K$12:$K$14)</f>
        <v>2.2816647271287041</v>
      </c>
      <c r="Q505" s="195">
        <f t="shared" si="73"/>
        <v>1.8822505740260471</v>
      </c>
      <c r="R505" s="16">
        <f>IF('Dry_Litterbag Placem_Collection'!G212="N.A","",'Dry_Litterbag Placem_Collection'!G212)</f>
        <v>43004</v>
      </c>
      <c r="S505" s="195">
        <f>IF(IFERROR(INDEX('Both teabags AfterDry'!$D$1:$D$839,MATCH(H505,'Both teabags AfterDry'!$A$1:$A$839,0)),"")="N.A","",(IFERROR(INDEX('Both teabags AfterDry'!$D$1:$D$839,MATCH(H505,'Both teabags AfterDry'!$A$1:$A$839,0)),"")))</f>
        <v>0.84599999999999997</v>
      </c>
      <c r="T505" s="195">
        <f>IF(IFERROR(INDEX('Both teabags AfterDry'!$D$1:$D$839,MATCH(I505,'Both teabags AfterDry'!$A$1:$A$839,0)),"")="N.A","",(IFERROR(INDEX('Both teabags AfterDry'!$D$1:$D$839,MATCH(I505,'Both teabags AfterDry'!$A$1:$A$839,0)),"")))</f>
        <v>1.742</v>
      </c>
      <c r="U505" s="195">
        <f t="shared" si="79"/>
        <v>0.69540000000000002</v>
      </c>
      <c r="V505" s="195">
        <f t="shared" si="79"/>
        <v>1.5913999999999999</v>
      </c>
      <c r="W505" s="195">
        <f>IFERROR(INDEX('Ashed teabags dry'!$K$2:$K$821,MATCH(H505,'Ashed teabags dry'!$A$2:$A$821,0)),"")</f>
        <v>19.173412867490324</v>
      </c>
      <c r="X505" s="195">
        <f>IFERROR(INDEX('Ashed teabags dry'!$K$2:$K$821,MATCH(I505,'Ashed teabags dry'!$A$2:$A$821,0)),"")</f>
        <v>3.5837651122624985</v>
      </c>
      <c r="Y505" s="195">
        <f t="shared" si="74"/>
        <v>0.5620680869194723</v>
      </c>
      <c r="Z505" s="195">
        <f t="shared" si="74"/>
        <v>1.5343679620034545</v>
      </c>
      <c r="AA505" s="195">
        <f t="shared" si="80"/>
        <v>0.68578386132089486</v>
      </c>
      <c r="AB505" s="195">
        <f t="shared" si="81"/>
        <v>0.44958751953578857</v>
      </c>
      <c r="AC505" s="195">
        <f t="shared" si="75"/>
        <v>0.81517731123413195</v>
      </c>
      <c r="AD505">
        <f t="shared" si="76"/>
        <v>62</v>
      </c>
      <c r="AE505" s="195">
        <f t="shared" si="82"/>
        <v>0.18552985591342652</v>
      </c>
      <c r="AF505" s="195">
        <f t="shared" si="83"/>
        <v>8.5401377133115103E-3</v>
      </c>
      <c r="AG505" s="255" t="str">
        <f>IF(ISNUMBER(SEARCH("C", 'Dry_Litterbag Placem_Collection'!AD212)),"YES","NO")</f>
        <v>NO</v>
      </c>
      <c r="AH505" s="255" t="str">
        <f>IF(ISNUMBER(SEARCH("H", 'Dry_Litterbag Placem_Collection'!AD212)),"YES","NO")</f>
        <v>NO</v>
      </c>
      <c r="AI505" s="255" t="str">
        <f>IF(ISNUMBER(SEARCH("R", 'Dry_Litterbag Placem_Collection'!AD212)),"YES","NO")</f>
        <v>NO</v>
      </c>
      <c r="AJ505" s="255" t="str">
        <f>IF(ISNUMBER(SEARCH("C", 'Dry_Litterbag Placem_Collection'!AC212)),"YES","NO")</f>
        <v>NO</v>
      </c>
      <c r="AK505" s="255" t="str">
        <f>IF(ISNUMBER(SEARCH("H", 'Dry_Litterbag Placem_Collection'!AC212)),"YES","NO")</f>
        <v>NO</v>
      </c>
      <c r="AL505" s="255" t="str">
        <f>IF(ISNUMBER(SEARCH("R", 'Dry_Litterbag Placem_Collection'!AC212)),"YES","NO")</f>
        <v>NO</v>
      </c>
      <c r="AR505" t="s">
        <v>2014</v>
      </c>
      <c r="AT505" t="s">
        <v>542</v>
      </c>
    </row>
    <row r="506" spans="2:46">
      <c r="B506" t="str">
        <f>'Final data_for_R_analysis_Dryse'!A652</f>
        <v>Dry</v>
      </c>
      <c r="C506" s="263">
        <f>'Final data_for_R_analysis_Dryse'!B652</f>
        <v>211</v>
      </c>
      <c r="D506" t="s">
        <v>2426</v>
      </c>
      <c r="E506" t="s">
        <v>25</v>
      </c>
      <c r="F506" s="387">
        <v>3</v>
      </c>
      <c r="G506" s="16">
        <f>'Dry_Litterbag Placem_Collection'!E213</f>
        <v>42942</v>
      </c>
      <c r="H506" s="92" t="str">
        <f>'Final data_for_R_analysis_Dryse'!J652</f>
        <v>G434</v>
      </c>
      <c r="I506" t="str">
        <f>'Final data_for_R_analysis_Dryse'!J872</f>
        <v>R670</v>
      </c>
      <c r="J506">
        <f>IFERROR(INDEX('Green_rooibos initial weight'!$C$5:$C$1749,MATCH(H506, 'Green_rooibos initial weight'!$A$5:$A$1749,0)),"")</f>
        <v>2.0339999999999998</v>
      </c>
      <c r="K506">
        <f>IFERROR(INDEX('Green_rooibos initial weight'!$C$5:$C$1749,MATCH(I506, 'Green_rooibos initial weight'!$A$5:$A$1749,0)),"")</f>
        <v>2.1059999999999999</v>
      </c>
      <c r="L506" s="195">
        <f t="shared" si="77"/>
        <v>1.7841999999999998</v>
      </c>
      <c r="M506" s="240">
        <f>AVERAGE(Ashed_controlls!$K$1:$K$11)</f>
        <v>5.5147656768714146</v>
      </c>
      <c r="N506" s="195">
        <f t="shared" si="72"/>
        <v>1.6858055507932601</v>
      </c>
      <c r="O506" s="195">
        <f t="shared" si="78"/>
        <v>1.8561999999999999</v>
      </c>
      <c r="P506" s="240">
        <f>AVERAGE(Ashed_controlls!$K$12:$K$14)</f>
        <v>2.2816647271287041</v>
      </c>
      <c r="Q506" s="195">
        <f t="shared" si="73"/>
        <v>1.8138477393350367</v>
      </c>
      <c r="R506" s="16">
        <f>IF('Dry_Litterbag Placem_Collection'!G213="N.A","",'Dry_Litterbag Placem_Collection'!G213)</f>
        <v>43004</v>
      </c>
      <c r="S506" s="195">
        <f>IF(IFERROR(INDEX('Both teabags AfterDry'!$D$1:$D$839,MATCH(H506,'Both teabags AfterDry'!$A$1:$A$839,0)),"")="N.A","",(IFERROR(INDEX('Both teabags AfterDry'!$D$1:$D$839,MATCH(H506,'Both teabags AfterDry'!$A$1:$A$839,0)),"")))</f>
        <v>0.74099999999999999</v>
      </c>
      <c r="T506" s="195">
        <f>IF(IFERROR(INDEX('Both teabags AfterDry'!$D$1:$D$839,MATCH(I506,'Both teabags AfterDry'!$A$1:$A$839,0)),"")="N.A","",(IFERROR(INDEX('Both teabags AfterDry'!$D$1:$D$839,MATCH(I506,'Both teabags AfterDry'!$A$1:$A$839,0)),"")))</f>
        <v>1.4770000000000001</v>
      </c>
      <c r="U506" s="195">
        <f t="shared" si="79"/>
        <v>0.59040000000000004</v>
      </c>
      <c r="V506" s="195">
        <f t="shared" si="79"/>
        <v>1.3264</v>
      </c>
      <c r="W506" s="195">
        <f>IFERROR(INDEX('Ashed teabags dry'!$K$2:$K$821,MATCH(H506,'Ashed teabags dry'!$A$2:$A$821,0)),"")</f>
        <v>15.012106537530052</v>
      </c>
      <c r="X506" s="195">
        <f>IFERROR(INDEX('Ashed teabags dry'!$K$2:$K$821,MATCH(I506,'Ashed teabags dry'!$A$2:$A$821,0)),"")</f>
        <v>4.1974169741701504</v>
      </c>
      <c r="Y506" s="195">
        <f t="shared" si="74"/>
        <v>0.50176852300242258</v>
      </c>
      <c r="Z506" s="195">
        <f t="shared" si="74"/>
        <v>1.2707254612546071</v>
      </c>
      <c r="AA506" s="195">
        <f t="shared" si="80"/>
        <v>0.70235682118479548</v>
      </c>
      <c r="AB506" s="195">
        <f t="shared" si="81"/>
        <v>0.46045245284323888</v>
      </c>
      <c r="AC506" s="195">
        <f t="shared" si="75"/>
        <v>0.70056898034917736</v>
      </c>
      <c r="AD506">
        <f t="shared" si="76"/>
        <v>62</v>
      </c>
      <c r="AE506" s="195">
        <f t="shared" si="82"/>
        <v>0.1658470057187702</v>
      </c>
      <c r="AF506" s="195">
        <f t="shared" si="83"/>
        <v>1.6946324478500835E-2</v>
      </c>
      <c r="AG506" s="255" t="str">
        <f>IF(ISNUMBER(SEARCH("C", 'Dry_Litterbag Placem_Collection'!AD213)),"YES","NO")</f>
        <v>NO</v>
      </c>
      <c r="AH506" s="255" t="str">
        <f>IF(ISNUMBER(SEARCH("H", 'Dry_Litterbag Placem_Collection'!AD213)),"YES","NO")</f>
        <v>NO</v>
      </c>
      <c r="AI506" s="255" t="str">
        <f>IF(ISNUMBER(SEARCH("R", 'Dry_Litterbag Placem_Collection'!AD213)),"YES","NO")</f>
        <v>NO</v>
      </c>
      <c r="AJ506" s="255" t="str">
        <f>IF(ISNUMBER(SEARCH("C", 'Dry_Litterbag Placem_Collection'!AC213)),"YES","NO")</f>
        <v>NO</v>
      </c>
      <c r="AK506" s="255" t="str">
        <f>IF(ISNUMBER(SEARCH("H", 'Dry_Litterbag Placem_Collection'!AC213)),"YES","NO")</f>
        <v>NO</v>
      </c>
      <c r="AL506" s="255" t="str">
        <f>IF(ISNUMBER(SEARCH("R", 'Dry_Litterbag Placem_Collection'!AC213)),"YES","NO")</f>
        <v>NO</v>
      </c>
      <c r="AR506" t="s">
        <v>1616</v>
      </c>
      <c r="AT506" t="s">
        <v>469</v>
      </c>
    </row>
    <row r="507" spans="2:46">
      <c r="B507" t="str">
        <f>'Final data_for_R_analysis_Dryse'!A653</f>
        <v>Dry</v>
      </c>
      <c r="C507" s="263">
        <f>'Final data_for_R_analysis_Dryse'!B653</f>
        <v>215</v>
      </c>
      <c r="D507" t="s">
        <v>2427</v>
      </c>
      <c r="E507" t="s">
        <v>25</v>
      </c>
      <c r="F507" s="387">
        <v>3</v>
      </c>
      <c r="G507" s="16">
        <f>'Dry_Litterbag Placem_Collection'!E214</f>
        <v>42942</v>
      </c>
      <c r="H507" s="92" t="str">
        <f>'Final data_for_R_analysis_Dryse'!J653</f>
        <v>G56</v>
      </c>
      <c r="I507" t="str">
        <f>'Final data_for_R_analysis_Dryse'!J873</f>
        <v>R256</v>
      </c>
      <c r="J507">
        <f>IFERROR(INDEX('Green_rooibos initial weight'!$C$5:$C$1749,MATCH(H507, 'Green_rooibos initial weight'!$A$5:$A$1749,0)),"")</f>
        <v>2.02</v>
      </c>
      <c r="K507">
        <f>IFERROR(INDEX('Green_rooibos initial weight'!$C$5:$C$1749,MATCH(I507, 'Green_rooibos initial weight'!$A$5:$A$1749,0)),"")</f>
        <v>2.2000000000000002</v>
      </c>
      <c r="L507" s="195">
        <f t="shared" si="77"/>
        <v>1.7702</v>
      </c>
      <c r="M507" s="240">
        <f>AVERAGE(Ashed_controlls!$K$1:$K$11)</f>
        <v>5.5147656768714146</v>
      </c>
      <c r="N507" s="195">
        <f t="shared" si="72"/>
        <v>1.6725776179880223</v>
      </c>
      <c r="O507" s="195">
        <f t="shared" si="78"/>
        <v>1.9502000000000002</v>
      </c>
      <c r="P507" s="240">
        <f>AVERAGE(Ashed_controlls!$K$12:$K$14)</f>
        <v>2.2816647271287041</v>
      </c>
      <c r="Q507" s="195">
        <f t="shared" si="73"/>
        <v>1.9057029744915361</v>
      </c>
      <c r="R507" s="16">
        <f>IF('Dry_Litterbag Placem_Collection'!G214="N.A","",'Dry_Litterbag Placem_Collection'!G214)</f>
        <v>43004</v>
      </c>
      <c r="S507" s="195">
        <f>IF(IFERROR(INDEX('Both teabags AfterDry'!$D$1:$D$839,MATCH(H507,'Both teabags AfterDry'!$A$1:$A$839,0)),"")="N.A","",(IFERROR(INDEX('Both teabags AfterDry'!$D$1:$D$839,MATCH(H507,'Both teabags AfterDry'!$A$1:$A$839,0)),"")))</f>
        <v>0.7238</v>
      </c>
      <c r="T507" s="195">
        <f>IF(IFERROR(INDEX('Both teabags AfterDry'!$D$1:$D$839,MATCH(I507,'Both teabags AfterDry'!$A$1:$A$839,0)),"")="N.A","",(IFERROR(INDEX('Both teabags AfterDry'!$D$1:$D$839,MATCH(I507,'Both teabags AfterDry'!$A$1:$A$839,0)),"")))</f>
        <v>1.5882000000000001</v>
      </c>
      <c r="U507" s="195">
        <f t="shared" si="79"/>
        <v>0.57319999999999993</v>
      </c>
      <c r="V507" s="195">
        <f t="shared" si="79"/>
        <v>1.4376</v>
      </c>
      <c r="W507" s="195">
        <f>IFERROR(INDEX('Ashed teabags dry'!$K$2:$K$821,MATCH(H507,'Ashed teabags dry'!$A$2:$A$821,0)),"")</f>
        <v>20.311027332705713</v>
      </c>
      <c r="X507" s="195">
        <f>IFERROR(INDEX('Ashed teabags dry'!$K$2:$K$821,MATCH(I507,'Ashed teabags dry'!$A$2:$A$821,0)),"")</f>
        <v>7.9981069569333094</v>
      </c>
      <c r="Y507" s="195">
        <f t="shared" si="74"/>
        <v>0.4567771913289308</v>
      </c>
      <c r="Z507" s="195">
        <f t="shared" si="74"/>
        <v>1.3226192143871267</v>
      </c>
      <c r="AA507" s="195">
        <f t="shared" si="80"/>
        <v>0.72690224572154838</v>
      </c>
      <c r="AB507" s="195">
        <f t="shared" si="81"/>
        <v>0.47654399006923365</v>
      </c>
      <c r="AC507" s="195">
        <f t="shared" si="75"/>
        <v>0.69403219289197837</v>
      </c>
      <c r="AD507">
        <f t="shared" si="76"/>
        <v>62</v>
      </c>
      <c r="AE507" s="195">
        <f t="shared" si="82"/>
        <v>0.13669567016443185</v>
      </c>
      <c r="AF507" s="195">
        <f t="shared" si="83"/>
        <v>1.657061322831193E-2</v>
      </c>
      <c r="AG507" s="255" t="str">
        <f>IF(ISNUMBER(SEARCH("C", 'Dry_Litterbag Placem_Collection'!AD214)),"YES","NO")</f>
        <v>NO</v>
      </c>
      <c r="AH507" s="255" t="str">
        <f>IF(ISNUMBER(SEARCH("H", 'Dry_Litterbag Placem_Collection'!AD214)),"YES","NO")</f>
        <v>NO</v>
      </c>
      <c r="AI507" s="255" t="str">
        <f>IF(ISNUMBER(SEARCH("R", 'Dry_Litterbag Placem_Collection'!AD214)),"YES","NO")</f>
        <v>NO</v>
      </c>
      <c r="AJ507" s="255" t="str">
        <f>IF(ISNUMBER(SEARCH("C", 'Dry_Litterbag Placem_Collection'!AC214)),"YES","NO")</f>
        <v>NO</v>
      </c>
      <c r="AK507" s="255" t="str">
        <f>IF(ISNUMBER(SEARCH("H", 'Dry_Litterbag Placem_Collection'!AC214)),"YES","NO")</f>
        <v>NO</v>
      </c>
      <c r="AL507" s="255" t="str">
        <f>IF(ISNUMBER(SEARCH("R", 'Dry_Litterbag Placem_Collection'!AC214)),"YES","NO")</f>
        <v>NO</v>
      </c>
      <c r="AR507" t="s">
        <v>1994</v>
      </c>
      <c r="AT507" t="s">
        <v>885</v>
      </c>
    </row>
    <row r="508" spans="2:46">
      <c r="B508" t="str">
        <f>'Final data_for_R_analysis_Dryse'!A654</f>
        <v>Dry</v>
      </c>
      <c r="C508" s="263">
        <f>'Final data_for_R_analysis_Dryse'!B654</f>
        <v>212</v>
      </c>
      <c r="D508" t="s">
        <v>2442</v>
      </c>
      <c r="E508" t="s">
        <v>25</v>
      </c>
      <c r="F508" s="387">
        <v>4</v>
      </c>
      <c r="G508" s="16">
        <f>'Dry_Litterbag Placem_Collection'!E215</f>
        <v>42942</v>
      </c>
      <c r="H508" s="92" t="str">
        <f>'Final data_for_R_analysis_Dryse'!J654</f>
        <v>G363</v>
      </c>
      <c r="I508" t="str">
        <f>'Final data_for_R_analysis_Dryse'!J874</f>
        <v>R658</v>
      </c>
      <c r="J508">
        <f>IFERROR(INDEX('Green_rooibos initial weight'!$C$5:$C$1749,MATCH(H508, 'Green_rooibos initial weight'!$A$5:$A$1749,0)),"")</f>
        <v>2.02</v>
      </c>
      <c r="K508">
        <f>IFERROR(INDEX('Green_rooibos initial weight'!$C$5:$C$1749,MATCH(I508, 'Green_rooibos initial weight'!$A$5:$A$1749,0)),"")</f>
        <v>2.2080000000000002</v>
      </c>
      <c r="L508" s="195">
        <f t="shared" si="77"/>
        <v>1.7702</v>
      </c>
      <c r="M508" s="240">
        <f>AVERAGE(Ashed_controlls!$K$1:$K$11)</f>
        <v>5.5147656768714146</v>
      </c>
      <c r="N508" s="195">
        <f t="shared" si="72"/>
        <v>1.6725776179880223</v>
      </c>
      <c r="O508" s="195">
        <f t="shared" si="78"/>
        <v>1.9582000000000002</v>
      </c>
      <c r="P508" s="240">
        <f>AVERAGE(Ashed_controlls!$K$12:$K$14)</f>
        <v>2.2816647271287041</v>
      </c>
      <c r="Q508" s="195">
        <f t="shared" si="73"/>
        <v>1.913520441313366</v>
      </c>
      <c r="R508" s="16">
        <f>IF('Dry_Litterbag Placem_Collection'!G215="N.A","",'Dry_Litterbag Placem_Collection'!G215)</f>
        <v>43004</v>
      </c>
      <c r="S508" s="195">
        <f>IF(IFERROR(INDEX('Both teabags AfterDry'!$D$1:$D$839,MATCH(H508,'Both teabags AfterDry'!$A$1:$A$839,0)),"")="N.A","",(IFERROR(INDEX('Both teabags AfterDry'!$D$1:$D$839,MATCH(H508,'Both teabags AfterDry'!$A$1:$A$839,0)),"")))</f>
        <v>0.753</v>
      </c>
      <c r="T508" s="195">
        <f>IF(IFERROR(INDEX('Both teabags AfterDry'!$D$1:$D$839,MATCH(I508,'Both teabags AfterDry'!$A$1:$A$839,0)),"")="N.A","",(IFERROR(INDEX('Both teabags AfterDry'!$D$1:$D$839,MATCH(I508,'Both teabags AfterDry'!$A$1:$A$839,0)),"")))</f>
        <v>1.655</v>
      </c>
      <c r="U508" s="195">
        <f t="shared" si="79"/>
        <v>0.60240000000000005</v>
      </c>
      <c r="V508" s="195">
        <f t="shared" si="79"/>
        <v>1.5044</v>
      </c>
      <c r="W508" s="195">
        <f>IFERROR(INDEX('Ashed teabags dry'!$K$2:$K$821,MATCH(H508,'Ashed teabags dry'!$A$2:$A$821,0)),"")</f>
        <v>15.347950428979985</v>
      </c>
      <c r="X508" s="195">
        <f>IFERROR(INDEX('Ashed teabags dry'!$K$2:$K$821,MATCH(I508,'Ashed teabags dry'!$A$2:$A$821,0)),"")</f>
        <v>3.7141513869305309</v>
      </c>
      <c r="Y508" s="195">
        <f t="shared" si="74"/>
        <v>0.50994394661582465</v>
      </c>
      <c r="Z508" s="195">
        <f t="shared" si="74"/>
        <v>1.4485243065350171</v>
      </c>
      <c r="AA508" s="195">
        <f t="shared" si="80"/>
        <v>0.69511492852018031</v>
      </c>
      <c r="AB508" s="195">
        <f t="shared" si="81"/>
        <v>0.45570479874482134</v>
      </c>
      <c r="AC508" s="195">
        <f t="shared" si="75"/>
        <v>0.75699442517625071</v>
      </c>
      <c r="AD508">
        <f t="shared" si="76"/>
        <v>62</v>
      </c>
      <c r="AE508" s="195">
        <f t="shared" si="82"/>
        <v>0.17444782836083095</v>
      </c>
      <c r="AF508" s="195">
        <f t="shared" si="83"/>
        <v>1.2289776696904441E-2</v>
      </c>
      <c r="AG508" s="255" t="str">
        <f>IF(ISNUMBER(SEARCH("C", 'Dry_Litterbag Placem_Collection'!AD215)),"YES","NO")</f>
        <v>NO</v>
      </c>
      <c r="AH508" s="255" t="str">
        <f>IF(ISNUMBER(SEARCH("H", 'Dry_Litterbag Placem_Collection'!AD215)),"YES","NO")</f>
        <v>NO</v>
      </c>
      <c r="AI508" s="255" t="str">
        <f>IF(ISNUMBER(SEARCH("R", 'Dry_Litterbag Placem_Collection'!AD215)),"YES","NO")</f>
        <v>NO</v>
      </c>
      <c r="AJ508" s="255" t="str">
        <f>IF(ISNUMBER(SEARCH("C", 'Dry_Litterbag Placem_Collection'!AC215)),"YES","NO")</f>
        <v>NO</v>
      </c>
      <c r="AK508" s="255" t="str">
        <f>IF(ISNUMBER(SEARCH("H", 'Dry_Litterbag Placem_Collection'!AC215)),"YES","NO")</f>
        <v>NO</v>
      </c>
      <c r="AL508" s="255" t="str">
        <f>IF(ISNUMBER(SEARCH("R", 'Dry_Litterbag Placem_Collection'!AC215)),"YES","NO")</f>
        <v>NO</v>
      </c>
      <c r="AR508" t="s">
        <v>1687</v>
      </c>
      <c r="AT508" t="s">
        <v>481</v>
      </c>
    </row>
    <row r="509" spans="2:46">
      <c r="B509" t="str">
        <f>'Final data_for_R_analysis_Dryse'!A655</f>
        <v>Dry</v>
      </c>
      <c r="C509" s="263">
        <f>'Final data_for_R_analysis_Dryse'!B655</f>
        <v>213</v>
      </c>
      <c r="D509" t="s">
        <v>2450</v>
      </c>
      <c r="E509" t="s">
        <v>25</v>
      </c>
      <c r="F509" s="387">
        <v>1</v>
      </c>
      <c r="G509" s="16">
        <f>'Dry_Litterbag Placem_Collection'!E216</f>
        <v>42942</v>
      </c>
      <c r="H509" s="92" t="str">
        <f>'Final data_for_R_analysis_Dryse'!J655</f>
        <v>G5</v>
      </c>
      <c r="I509" t="str">
        <f>'Final data_for_R_analysis_Dryse'!J875</f>
        <v>R699</v>
      </c>
      <c r="J509">
        <f>IFERROR(INDEX('Green_rooibos initial weight'!$C$5:$C$1749,MATCH(H509, 'Green_rooibos initial weight'!$A$5:$A$1749,0)),"")</f>
        <v>2.0139999999999998</v>
      </c>
      <c r="K509">
        <f>IFERROR(INDEX('Green_rooibos initial weight'!$C$5:$C$1749,MATCH(I509, 'Green_rooibos initial weight'!$A$5:$A$1749,0)),"")</f>
        <v>2.157</v>
      </c>
      <c r="L509" s="195">
        <f t="shared" si="77"/>
        <v>1.7641999999999998</v>
      </c>
      <c r="M509" s="240">
        <f>AVERAGE(Ashed_controlls!$K$1:$K$11)</f>
        <v>5.5147656768714146</v>
      </c>
      <c r="N509" s="195">
        <f t="shared" si="72"/>
        <v>1.6669085039286342</v>
      </c>
      <c r="O509" s="195">
        <f t="shared" si="78"/>
        <v>1.9072</v>
      </c>
      <c r="P509" s="240">
        <f>AVERAGE(Ashed_controlls!$K$12:$K$14)</f>
        <v>2.2816647271287041</v>
      </c>
      <c r="Q509" s="195">
        <f t="shared" si="73"/>
        <v>1.8636840903242013</v>
      </c>
      <c r="R509" s="16">
        <f>IF('Dry_Litterbag Placem_Collection'!G216="N.A","",'Dry_Litterbag Placem_Collection'!G216)</f>
        <v>43004</v>
      </c>
      <c r="S509" s="195">
        <f>IF(IFERROR(INDEX('Both teabags AfterDry'!$D$1:$D$839,MATCH(H509,'Both teabags AfterDry'!$A$1:$A$839,0)),"")="N.A","",(IFERROR(INDEX('Both teabags AfterDry'!$D$1:$D$839,MATCH(H509,'Both teabags AfterDry'!$A$1:$A$839,0)),"")))</f>
        <v>0.67</v>
      </c>
      <c r="T509" s="195">
        <f>IF(IFERROR(INDEX('Both teabags AfterDry'!$D$1:$D$839,MATCH(I509,'Both teabags AfterDry'!$A$1:$A$839,0)),"")="N.A","",(IFERROR(INDEX('Both teabags AfterDry'!$D$1:$D$839,MATCH(I509,'Both teabags AfterDry'!$A$1:$A$839,0)),"")))</f>
        <v>1.748</v>
      </c>
      <c r="U509" s="195">
        <f t="shared" si="79"/>
        <v>0.51940000000000008</v>
      </c>
      <c r="V509" s="195">
        <f t="shared" si="79"/>
        <v>1.5973999999999999</v>
      </c>
      <c r="W509" s="195">
        <f>IFERROR(INDEX('Ashed teabags dry'!$K$2:$K$821,MATCH(H509,'Ashed teabags dry'!$A$2:$A$821,0)),"")</f>
        <v>14.037698412698299</v>
      </c>
      <c r="X509" s="195">
        <f>IFERROR(INDEX('Ashed teabags dry'!$K$2:$K$821,MATCH(I509,'Ashed teabags dry'!$A$2:$A$821,0)),"")</f>
        <v>5.3180914512921857</v>
      </c>
      <c r="Y509" s="195">
        <f t="shared" si="74"/>
        <v>0.4464881944444451</v>
      </c>
      <c r="Z509" s="195">
        <f t="shared" si="74"/>
        <v>1.5124488071570585</v>
      </c>
      <c r="AA509" s="195">
        <f t="shared" si="80"/>
        <v>0.73214594958742818</v>
      </c>
      <c r="AB509" s="195">
        <f t="shared" si="81"/>
        <v>0.47998166766301709</v>
      </c>
      <c r="AC509" s="195">
        <f t="shared" si="75"/>
        <v>0.81153711351045399</v>
      </c>
      <c r="AD509">
        <f t="shared" si="76"/>
        <v>62</v>
      </c>
      <c r="AE509" s="195">
        <f t="shared" si="82"/>
        <v>0.13046799336409953</v>
      </c>
      <c r="AF509" s="195">
        <f t="shared" si="83"/>
        <v>8.0426367367298218E-3</v>
      </c>
      <c r="AG509" s="255" t="str">
        <f>IF(ISNUMBER(SEARCH("C", 'Dry_Litterbag Placem_Collection'!AD216)),"YES","NO")</f>
        <v>NO</v>
      </c>
      <c r="AH509" s="255" t="str">
        <f>IF(ISNUMBER(SEARCH("H", 'Dry_Litterbag Placem_Collection'!AD216)),"YES","NO")</f>
        <v>NO</v>
      </c>
      <c r="AI509" s="255" t="str">
        <f>IF(ISNUMBER(SEARCH("R", 'Dry_Litterbag Placem_Collection'!AD216)),"YES","NO")</f>
        <v>NO</v>
      </c>
      <c r="AJ509" s="255" t="str">
        <f>IF(ISNUMBER(SEARCH("C", 'Dry_Litterbag Placem_Collection'!AC216)),"YES","NO")</f>
        <v>NO</v>
      </c>
      <c r="AK509" s="255" t="str">
        <f>IF(ISNUMBER(SEARCH("H", 'Dry_Litterbag Placem_Collection'!AC216)),"YES","NO")</f>
        <v>NO</v>
      </c>
      <c r="AL509" s="255" t="str">
        <f>IF(ISNUMBER(SEARCH("R", 'Dry_Litterbag Placem_Collection'!AC216)),"YES","NO")</f>
        <v>NO</v>
      </c>
      <c r="AR509" t="s">
        <v>2045</v>
      </c>
      <c r="AT509" t="s">
        <v>440</v>
      </c>
    </row>
    <row r="510" spans="2:46">
      <c r="B510" t="str">
        <f>'Final data_for_R_analysis_Dryse'!A656</f>
        <v>Dry</v>
      </c>
      <c r="C510" s="263">
        <f>'Final data_for_R_analysis_Dryse'!B656</f>
        <v>214</v>
      </c>
      <c r="D510" t="s">
        <v>2443</v>
      </c>
      <c r="E510" t="s">
        <v>25</v>
      </c>
      <c r="F510" s="387">
        <v>2</v>
      </c>
      <c r="G510" s="16">
        <f>'Dry_Litterbag Placem_Collection'!E217</f>
        <v>42942</v>
      </c>
      <c r="H510" s="92" t="str">
        <f>'Final data_for_R_analysis_Dryse'!J656</f>
        <v>G771</v>
      </c>
      <c r="I510" t="str">
        <f>'Final data_for_R_analysis_Dryse'!J876</f>
        <v>R663</v>
      </c>
      <c r="J510">
        <f>IFERROR(INDEX('Green_rooibos initial weight'!$C$5:$C$1749,MATCH(H510, 'Green_rooibos initial weight'!$A$5:$A$1749,0)),"")</f>
        <v>1.9910000000000001</v>
      </c>
      <c r="K510">
        <f>IFERROR(INDEX('Green_rooibos initial weight'!$C$5:$C$1749,MATCH(I510, 'Green_rooibos initial weight'!$A$5:$A$1749,0)),"")</f>
        <v>2.105</v>
      </c>
      <c r="L510" s="195">
        <f t="shared" si="77"/>
        <v>1.7412000000000001</v>
      </c>
      <c r="M510" s="240">
        <f>AVERAGE(Ashed_controlls!$K$1:$K$11)</f>
        <v>5.5147656768714146</v>
      </c>
      <c r="N510" s="195">
        <f t="shared" si="72"/>
        <v>1.645176900034315</v>
      </c>
      <c r="O510" s="195">
        <f t="shared" si="78"/>
        <v>1.8552</v>
      </c>
      <c r="P510" s="240">
        <f>AVERAGE(Ashed_controlls!$K$12:$K$14)</f>
        <v>2.2816647271287041</v>
      </c>
      <c r="Q510" s="195">
        <f t="shared" si="73"/>
        <v>1.8128705559823082</v>
      </c>
      <c r="R510" s="16">
        <f>IF('Dry_Litterbag Placem_Collection'!G217="N.A","",'Dry_Litterbag Placem_Collection'!G217)</f>
        <v>43004</v>
      </c>
      <c r="S510" s="195">
        <f>IF(IFERROR(INDEX('Both teabags AfterDry'!$D$1:$D$839,MATCH(H510,'Both teabags AfterDry'!$A$1:$A$839,0)),"")="N.A","",(IFERROR(INDEX('Both teabags AfterDry'!$D$1:$D$839,MATCH(H510,'Both teabags AfterDry'!$A$1:$A$839,0)),"")))</f>
        <v>0.65300000000000002</v>
      </c>
      <c r="T510" s="195">
        <f>IF(IFERROR(INDEX('Both teabags AfterDry'!$D$1:$D$839,MATCH(I510,'Both teabags AfterDry'!$A$1:$A$839,0)),"")="N.A","",(IFERROR(INDEX('Both teabags AfterDry'!$D$1:$D$839,MATCH(I510,'Both teabags AfterDry'!$A$1:$A$839,0)),"")))</f>
        <v>1.6679999999999999</v>
      </c>
      <c r="U510" s="195">
        <f t="shared" si="79"/>
        <v>0.50239999999999996</v>
      </c>
      <c r="V510" s="195">
        <f t="shared" si="79"/>
        <v>1.5173999999999999</v>
      </c>
      <c r="W510" s="195">
        <f>IFERROR(INDEX('Ashed teabags dry'!$K$2:$K$821,MATCH(H510,'Ashed teabags dry'!$A$2:$A$821,0)),"")</f>
        <v>13.496637848223109</v>
      </c>
      <c r="X510" s="195">
        <f>IFERROR(INDEX('Ashed teabags dry'!$K$2:$K$821,MATCH(I510,'Ashed teabags dry'!$A$2:$A$821,0)),"")</f>
        <v>3.297724105899698</v>
      </c>
      <c r="Y510" s="195">
        <f t="shared" si="74"/>
        <v>0.43459289145052704</v>
      </c>
      <c r="Z510" s="195">
        <f t="shared" si="74"/>
        <v>1.4673603344170778</v>
      </c>
      <c r="AA510" s="195">
        <f t="shared" si="80"/>
        <v>0.73583819986685794</v>
      </c>
      <c r="AB510" s="195">
        <f t="shared" si="81"/>
        <v>0.48240224029276207</v>
      </c>
      <c r="AC510" s="195">
        <f t="shared" si="75"/>
        <v>0.80941263543330322</v>
      </c>
      <c r="AD510">
        <f t="shared" si="76"/>
        <v>62</v>
      </c>
      <c r="AE510" s="195">
        <f t="shared" si="82"/>
        <v>0.12608289802035866</v>
      </c>
      <c r="AF510" s="195">
        <f t="shared" si="83"/>
        <v>8.1073979916872659E-3</v>
      </c>
      <c r="AG510" s="255" t="str">
        <f>IF(ISNUMBER(SEARCH("C", 'Dry_Litterbag Placem_Collection'!AD217)),"YES","NO")</f>
        <v>NO</v>
      </c>
      <c r="AH510" s="255" t="str">
        <f>IF(ISNUMBER(SEARCH("H", 'Dry_Litterbag Placem_Collection'!AD217)),"YES","NO")</f>
        <v>NO</v>
      </c>
      <c r="AI510" s="255" t="str">
        <f>IF(ISNUMBER(SEARCH("R", 'Dry_Litterbag Placem_Collection'!AD217)),"YES","NO")</f>
        <v>NO</v>
      </c>
      <c r="AJ510" s="255" t="str">
        <f>IF(ISNUMBER(SEARCH("C", 'Dry_Litterbag Placem_Collection'!AC217)),"YES","NO")</f>
        <v>NO</v>
      </c>
      <c r="AK510" s="255" t="str">
        <f>IF(ISNUMBER(SEARCH("H", 'Dry_Litterbag Placem_Collection'!AC217)),"YES","NO")</f>
        <v>NO</v>
      </c>
      <c r="AL510" s="255" t="str">
        <f>IF(ISNUMBER(SEARCH("R", 'Dry_Litterbag Placem_Collection'!AC217)),"YES","NO")</f>
        <v>NO</v>
      </c>
      <c r="AR510" t="s">
        <v>1279</v>
      </c>
      <c r="AT510" t="s">
        <v>476</v>
      </c>
    </row>
    <row r="511" spans="2:46">
      <c r="B511" t="str">
        <f>'Final data_for_R_analysis_Dryse'!A657</f>
        <v>Dry</v>
      </c>
      <c r="C511" s="263">
        <f>'Final data_for_R_analysis_Dryse'!B657</f>
        <v>216</v>
      </c>
      <c r="D511" t="s">
        <v>2436</v>
      </c>
      <c r="E511" t="s">
        <v>25</v>
      </c>
      <c r="F511" s="387">
        <v>4</v>
      </c>
      <c r="G511" s="16">
        <f>'Dry_Litterbag Placem_Collection'!E218</f>
        <v>42942</v>
      </c>
      <c r="H511" s="92" t="str">
        <f>'Final data_for_R_analysis_Dryse'!J657</f>
        <v>G361</v>
      </c>
      <c r="I511" t="str">
        <f>'Final data_for_R_analysis_Dryse'!J877</f>
        <v>R622</v>
      </c>
      <c r="J511">
        <f>IFERROR(INDEX('Green_rooibos initial weight'!$C$5:$C$1749,MATCH(H511, 'Green_rooibos initial weight'!$A$5:$A$1749,0)),"")</f>
        <v>2.0590000000000002</v>
      </c>
      <c r="K511">
        <f>IFERROR(INDEX('Green_rooibos initial weight'!$C$5:$C$1749,MATCH(I511, 'Green_rooibos initial weight'!$A$5:$A$1749,0)),"")</f>
        <v>2.1640000000000001</v>
      </c>
      <c r="L511" s="195">
        <f t="shared" si="77"/>
        <v>1.8092000000000001</v>
      </c>
      <c r="M511" s="240">
        <f>AVERAGE(Ashed_controlls!$K$1:$K$11)</f>
        <v>5.5147656768714146</v>
      </c>
      <c r="N511" s="195">
        <f t="shared" si="72"/>
        <v>1.7094268593740425</v>
      </c>
      <c r="O511" s="195">
        <f t="shared" si="78"/>
        <v>1.9142000000000001</v>
      </c>
      <c r="P511" s="240">
        <f>AVERAGE(Ashed_controlls!$K$12:$K$14)</f>
        <v>2.2816647271287041</v>
      </c>
      <c r="Q511" s="195">
        <f t="shared" si="73"/>
        <v>1.8705243737933024</v>
      </c>
      <c r="R511" s="16">
        <f>IF('Dry_Litterbag Placem_Collection'!G218="N.A","",'Dry_Litterbag Placem_Collection'!G218)</f>
        <v>43004</v>
      </c>
      <c r="S511" s="195">
        <f>IF(IFERROR(INDEX('Both teabags AfterDry'!$D$1:$D$839,MATCH(H511,'Both teabags AfterDry'!$A$1:$A$839,0)),"")="N.A","",(IFERROR(INDEX('Both teabags AfterDry'!$D$1:$D$839,MATCH(H511,'Both teabags AfterDry'!$A$1:$A$839,0)),"")))</f>
        <v>0.73499999999999999</v>
      </c>
      <c r="T511" s="195">
        <f>IF(IFERROR(INDEX('Both teabags AfterDry'!$D$1:$D$839,MATCH(I511,'Both teabags AfterDry'!$A$1:$A$839,0)),"")="N.A","",(IFERROR(INDEX('Both teabags AfterDry'!$D$1:$D$839,MATCH(I511,'Both teabags AfterDry'!$A$1:$A$839,0)),"")))</f>
        <v>1.6419999999999999</v>
      </c>
      <c r="U511" s="195">
        <f t="shared" si="79"/>
        <v>0.58440000000000003</v>
      </c>
      <c r="V511" s="195">
        <f t="shared" si="79"/>
        <v>1.4913999999999998</v>
      </c>
      <c r="W511" s="195">
        <f>IFERROR(INDEX('Ashed teabags dry'!$K$2:$K$821,MATCH(H511,'Ashed teabags dry'!$A$2:$A$821,0)),"")</f>
        <v>12.954939341420824</v>
      </c>
      <c r="X511" s="195">
        <f>IFERROR(INDEX('Ashed teabags dry'!$K$2:$K$821,MATCH(I511,'Ashed teabags dry'!$A$2:$A$821,0)),"")</f>
        <v>4.6979865771810632</v>
      </c>
      <c r="Y511" s="195">
        <f t="shared" si="74"/>
        <v>0.50869133448873671</v>
      </c>
      <c r="Z511" s="195">
        <f t="shared" si="74"/>
        <v>1.4213342281879215</v>
      </c>
      <c r="AA511" s="195">
        <f t="shared" si="80"/>
        <v>0.70241994754018955</v>
      </c>
      <c r="AB511" s="195">
        <f t="shared" si="81"/>
        <v>0.46049383734226207</v>
      </c>
      <c r="AC511" s="195">
        <f t="shared" si="75"/>
        <v>0.75985870491788765</v>
      </c>
      <c r="AD511">
        <f t="shared" si="76"/>
        <v>62</v>
      </c>
      <c r="AE511" s="195">
        <f t="shared" si="82"/>
        <v>0.16577203380024996</v>
      </c>
      <c r="AF511" s="195">
        <f t="shared" si="83"/>
        <v>1.1888237814121416E-2</v>
      </c>
      <c r="AG511" s="255" t="str">
        <f>IF(ISNUMBER(SEARCH("C", 'Dry_Litterbag Placem_Collection'!AD218)),"YES","NO")</f>
        <v>NO</v>
      </c>
      <c r="AH511" s="255" t="str">
        <f>IF(ISNUMBER(SEARCH("H", 'Dry_Litterbag Placem_Collection'!AD218)),"YES","NO")</f>
        <v>NO</v>
      </c>
      <c r="AI511" s="255" t="str">
        <f>IF(ISNUMBER(SEARCH("R", 'Dry_Litterbag Placem_Collection'!AD218)),"YES","NO")</f>
        <v>NO</v>
      </c>
      <c r="AJ511" s="255" t="str">
        <f>IF(ISNUMBER(SEARCH("C", 'Dry_Litterbag Placem_Collection'!AC218)),"YES","NO")</f>
        <v>NO</v>
      </c>
      <c r="AK511" s="255" t="str">
        <f>IF(ISNUMBER(SEARCH("H", 'Dry_Litterbag Placem_Collection'!AC218)),"YES","NO")</f>
        <v>NO</v>
      </c>
      <c r="AL511" s="255" t="str">
        <f>IF(ISNUMBER(SEARCH("R", 'Dry_Litterbag Placem_Collection'!AC218)),"YES","NO")</f>
        <v>NO</v>
      </c>
      <c r="AR511" t="s">
        <v>1689</v>
      </c>
      <c r="AT511" t="s">
        <v>517</v>
      </c>
    </row>
    <row r="512" spans="2:46">
      <c r="B512" t="str">
        <f>'Final data_for_R_analysis_Dryse'!A658</f>
        <v>Dry</v>
      </c>
      <c r="C512" s="263">
        <f>'Final data_for_R_analysis_Dryse'!B658</f>
        <v>217</v>
      </c>
      <c r="D512" t="s">
        <v>2429</v>
      </c>
      <c r="E512" t="s">
        <v>25</v>
      </c>
      <c r="F512" s="387">
        <v>1</v>
      </c>
      <c r="G512" s="16">
        <f>'Dry_Litterbag Placem_Collection'!E219</f>
        <v>42942</v>
      </c>
      <c r="H512" s="92" t="str">
        <f>'Final data_for_R_analysis_Dryse'!J658</f>
        <v>G204</v>
      </c>
      <c r="I512" t="str">
        <f>'Final data_for_R_analysis_Dryse'!J878</f>
        <v>R608</v>
      </c>
      <c r="J512">
        <f>IFERROR(INDEX('Green_rooibos initial weight'!$C$5:$C$1749,MATCH(H512, 'Green_rooibos initial weight'!$A$5:$A$1749,0)),"")</f>
        <v>2.1970000000000001</v>
      </c>
      <c r="K512">
        <f>IFERROR(INDEX('Green_rooibos initial weight'!$C$5:$C$1749,MATCH(I512, 'Green_rooibos initial weight'!$A$5:$A$1749,0)),"")</f>
        <v>2.1440000000000001</v>
      </c>
      <c r="L512" s="195">
        <f t="shared" si="77"/>
        <v>1.9472</v>
      </c>
      <c r="M512" s="240">
        <f>AVERAGE(Ashed_controlls!$K$1:$K$11)</f>
        <v>5.5147656768714146</v>
      </c>
      <c r="N512" s="195">
        <f t="shared" si="72"/>
        <v>1.8398164827399599</v>
      </c>
      <c r="O512" s="195">
        <f t="shared" si="78"/>
        <v>1.8942000000000001</v>
      </c>
      <c r="P512" s="240">
        <f>AVERAGE(Ashed_controlls!$K$12:$K$14)</f>
        <v>2.2816647271287041</v>
      </c>
      <c r="Q512" s="195">
        <f t="shared" si="73"/>
        <v>1.8509807067387283</v>
      </c>
      <c r="R512" s="16">
        <f>IF('Dry_Litterbag Placem_Collection'!G219="N.A","",'Dry_Litterbag Placem_Collection'!G219)</f>
        <v>43004</v>
      </c>
      <c r="S512" s="195">
        <f>IF(IFERROR(INDEX('Both teabags AfterDry'!$D$1:$D$839,MATCH(H512,'Both teabags AfterDry'!$A$1:$A$839,0)),"")="N.A","",(IFERROR(INDEX('Both teabags AfterDry'!$D$1:$D$839,MATCH(H512,'Both teabags AfterDry'!$A$1:$A$839,0)),"")))</f>
        <v>0.80579999999999996</v>
      </c>
      <c r="T512" s="195">
        <f>IF(IFERROR(INDEX('Both teabags AfterDry'!$D$1:$D$839,MATCH(I512,'Both teabags AfterDry'!$A$1:$A$839,0)),"")="N.A","",(IFERROR(INDEX('Both teabags AfterDry'!$D$1:$D$839,MATCH(I512,'Both teabags AfterDry'!$A$1:$A$839,0)),"")))</f>
        <v>1.6455</v>
      </c>
      <c r="U512" s="195">
        <f t="shared" si="79"/>
        <v>0.6552</v>
      </c>
      <c r="V512" s="195">
        <f t="shared" si="79"/>
        <v>1.4948999999999999</v>
      </c>
      <c r="W512" s="195">
        <f>IFERROR(INDEX('Ashed teabags dry'!$K$2:$K$821,MATCH(H512,'Ashed teabags dry'!$A$2:$A$821,0)),"")</f>
        <v>19.368932038835744</v>
      </c>
      <c r="X512" s="195">
        <f>IFERROR(INDEX('Ashed teabags dry'!$K$2:$K$821,MATCH(I512,'Ashed teabags dry'!$A$2:$A$821,0)),"")</f>
        <v>3.468950749465225</v>
      </c>
      <c r="Y512" s="195">
        <f t="shared" si="74"/>
        <v>0.52829475728154818</v>
      </c>
      <c r="Z512" s="195">
        <f t="shared" si="74"/>
        <v>1.4430426552462443</v>
      </c>
      <c r="AA512" s="195">
        <f t="shared" si="80"/>
        <v>0.71285464488567829</v>
      </c>
      <c r="AB512" s="195">
        <f t="shared" si="81"/>
        <v>0.4673346365521312</v>
      </c>
      <c r="AC512" s="195">
        <f t="shared" si="75"/>
        <v>0.77960977658636088</v>
      </c>
      <c r="AD512">
        <f t="shared" si="76"/>
        <v>62</v>
      </c>
      <c r="AE512" s="195">
        <f t="shared" si="82"/>
        <v>0.15337928160845804</v>
      </c>
      <c r="AF512" s="195">
        <f t="shared" si="83"/>
        <v>1.0288424262450345E-2</v>
      </c>
      <c r="AG512" s="255" t="str">
        <f>IF(ISNUMBER(SEARCH("C", 'Dry_Litterbag Placem_Collection'!AD219)),"YES","NO")</f>
        <v>NO</v>
      </c>
      <c r="AH512" s="255" t="str">
        <f>IF(ISNUMBER(SEARCH("H", 'Dry_Litterbag Placem_Collection'!AD219)),"YES","NO")</f>
        <v>NO</v>
      </c>
      <c r="AI512" s="255" t="str">
        <f>IF(ISNUMBER(SEARCH("R", 'Dry_Litterbag Placem_Collection'!AD219)),"YES","NO")</f>
        <v>NO</v>
      </c>
      <c r="AJ512" s="255" t="str">
        <f>IF(ISNUMBER(SEARCH("C", 'Dry_Litterbag Placem_Collection'!AC219)),"YES","NO")</f>
        <v>NO</v>
      </c>
      <c r="AK512" s="255" t="str">
        <f>IF(ISNUMBER(SEARCH("H", 'Dry_Litterbag Placem_Collection'!AC219)),"YES","NO")</f>
        <v>NO</v>
      </c>
      <c r="AL512" s="255" t="str">
        <f>IF(ISNUMBER(SEARCH("R", 'Dry_Litterbag Placem_Collection'!AC219)),"YES","NO")</f>
        <v>NO</v>
      </c>
      <c r="AR512" t="s">
        <v>1846</v>
      </c>
      <c r="AT512" t="s">
        <v>531</v>
      </c>
    </row>
    <row r="513" spans="2:46">
      <c r="B513" t="str">
        <f>'Final data_for_R_analysis_Dryse'!A659</f>
        <v>Dry</v>
      </c>
      <c r="C513" s="263">
        <f>'Final data_for_R_analysis_Dryse'!B659</f>
        <v>218</v>
      </c>
      <c r="D513" t="s">
        <v>2437</v>
      </c>
      <c r="E513" t="s">
        <v>25</v>
      </c>
      <c r="F513" s="387">
        <v>2</v>
      </c>
      <c r="G513" s="16">
        <f>'Dry_Litterbag Placem_Collection'!E220</f>
        <v>42942</v>
      </c>
      <c r="H513" s="92" t="str">
        <f>'Final data_for_R_analysis_Dryse'!J659</f>
        <v>G170</v>
      </c>
      <c r="I513" t="str">
        <f>'Final data_for_R_analysis_Dryse'!J879</f>
        <v>R639</v>
      </c>
      <c r="J513">
        <f>IFERROR(INDEX('Green_rooibos initial weight'!$C$5:$C$1749,MATCH(H513, 'Green_rooibos initial weight'!$A$5:$A$1749,0)),"")</f>
        <v>2.0390000000000001</v>
      </c>
      <c r="K513">
        <f>IFERROR(INDEX('Green_rooibos initial weight'!$C$5:$C$1749,MATCH(I513, 'Green_rooibos initial weight'!$A$5:$A$1749,0)),"")</f>
        <v>2.0840000000000001</v>
      </c>
      <c r="L513" s="195">
        <f t="shared" si="77"/>
        <v>1.7892000000000001</v>
      </c>
      <c r="M513" s="240">
        <f>AVERAGE(Ashed_controlls!$K$1:$K$11)</f>
        <v>5.5147656768714146</v>
      </c>
      <c r="N513" s="195">
        <f t="shared" si="72"/>
        <v>1.6905298125094168</v>
      </c>
      <c r="O513" s="195">
        <f t="shared" si="78"/>
        <v>1.8342000000000001</v>
      </c>
      <c r="P513" s="240">
        <f>AVERAGE(Ashed_controlls!$K$12:$K$14)</f>
        <v>2.2816647271287041</v>
      </c>
      <c r="Q513" s="195">
        <f t="shared" si="73"/>
        <v>1.7923497055750053</v>
      </c>
      <c r="R513" s="16">
        <f>IF('Dry_Litterbag Placem_Collection'!G220="N.A","",'Dry_Litterbag Placem_Collection'!G220)</f>
        <v>43004</v>
      </c>
      <c r="S513" s="195">
        <f>IF(IFERROR(INDEX('Both teabags AfterDry'!$D$1:$D$839,MATCH(H513,'Both teabags AfterDry'!$A$1:$A$839,0)),"")="N.A","",(IFERROR(INDEX('Both teabags AfterDry'!$D$1:$D$839,MATCH(H513,'Both teabags AfterDry'!$A$1:$A$839,0)),"")))</f>
        <v>0.66100000000000003</v>
      </c>
      <c r="T513" s="195">
        <f>IF(IFERROR(INDEX('Both teabags AfterDry'!$D$1:$D$839,MATCH(I513,'Both teabags AfterDry'!$A$1:$A$839,0)),"")="N.A","",(IFERROR(INDEX('Both teabags AfterDry'!$D$1:$D$839,MATCH(I513,'Both teabags AfterDry'!$A$1:$A$839,0)),"")))</f>
        <v>1.6519999999999999</v>
      </c>
      <c r="U513" s="195">
        <f t="shared" si="79"/>
        <v>0.51039999999999996</v>
      </c>
      <c r="V513" s="195">
        <f t="shared" si="79"/>
        <v>1.5013999999999998</v>
      </c>
      <c r="W513" s="195">
        <f>IFERROR(INDEX('Ashed teabags dry'!$K$2:$K$821,MATCH(H513,'Ashed teabags dry'!$A$2:$A$821,0)),"")</f>
        <v>23.022929340196391</v>
      </c>
      <c r="X513" s="195">
        <f>IFERROR(INDEX('Ashed teabags dry'!$K$2:$K$821,MATCH(I513,'Ashed teabags dry'!$A$2:$A$821,0)),"")</f>
        <v>4.9473202015572753</v>
      </c>
      <c r="Y513" s="195">
        <f t="shared" si="74"/>
        <v>0.39289096864763762</v>
      </c>
      <c r="Z513" s="195">
        <f t="shared" si="74"/>
        <v>1.4271209344938189</v>
      </c>
      <c r="AA513" s="195">
        <f t="shared" si="80"/>
        <v>0.76759299614809418</v>
      </c>
      <c r="AB513" s="195">
        <f t="shared" si="81"/>
        <v>0.50322011148901191</v>
      </c>
      <c r="AC513" s="195">
        <f t="shared" si="75"/>
        <v>0.79622906738279797</v>
      </c>
      <c r="AD513">
        <f t="shared" si="76"/>
        <v>62</v>
      </c>
      <c r="AE513" s="195">
        <f t="shared" si="82"/>
        <v>8.8369363244543697E-2</v>
      </c>
      <c r="AF513" s="195">
        <f t="shared" si="83"/>
        <v>8.3723057288719663E-3</v>
      </c>
      <c r="AG513" s="255" t="str">
        <f>IF(ISNUMBER(SEARCH("C", 'Dry_Litterbag Placem_Collection'!AD220)),"YES","NO")</f>
        <v>NO</v>
      </c>
      <c r="AH513" s="255" t="str">
        <f>IF(ISNUMBER(SEARCH("H", 'Dry_Litterbag Placem_Collection'!AD220)),"YES","NO")</f>
        <v>NO</v>
      </c>
      <c r="AI513" s="255" t="str">
        <f>IF(ISNUMBER(SEARCH("R", 'Dry_Litterbag Placem_Collection'!AD220)),"YES","NO")</f>
        <v>NO</v>
      </c>
      <c r="AJ513" s="255" t="str">
        <f>IF(ISNUMBER(SEARCH("C", 'Dry_Litterbag Placem_Collection'!AC220)),"YES","NO")</f>
        <v>NO</v>
      </c>
      <c r="AK513" s="255" t="str">
        <f>IF(ISNUMBER(SEARCH("H", 'Dry_Litterbag Placem_Collection'!AC220)),"YES","NO")</f>
        <v>NO</v>
      </c>
      <c r="AL513" s="255" t="str">
        <f>IF(ISNUMBER(SEARCH("R", 'Dry_Litterbag Placem_Collection'!AC220)),"YES","NO")</f>
        <v>NO</v>
      </c>
      <c r="AR513" t="s">
        <v>1880</v>
      </c>
      <c r="AT513" t="s">
        <v>500</v>
      </c>
    </row>
    <row r="514" spans="2:46">
      <c r="B514" t="str">
        <f>'Final data_for_R_analysis_Dryse'!A660</f>
        <v>Dry</v>
      </c>
      <c r="C514" s="263">
        <f>'Final data_for_R_analysis_Dryse'!B660</f>
        <v>219</v>
      </c>
      <c r="D514" t="s">
        <v>2444</v>
      </c>
      <c r="E514" t="s">
        <v>25</v>
      </c>
      <c r="F514" s="387">
        <v>3</v>
      </c>
      <c r="G514" s="16">
        <f>'Dry_Litterbag Placem_Collection'!E221</f>
        <v>42942</v>
      </c>
      <c r="H514" s="92" t="str">
        <f>'Final data_for_R_analysis_Dryse'!J660</f>
        <v>G123</v>
      </c>
      <c r="I514" t="str">
        <f>'Final data_for_R_analysis_Dryse'!J880</f>
        <v>R246</v>
      </c>
      <c r="J514">
        <f>IFERROR(INDEX('Green_rooibos initial weight'!$C$5:$C$1749,MATCH(H514, 'Green_rooibos initial weight'!$A$5:$A$1749,0)),"")</f>
        <v>2.133</v>
      </c>
      <c r="K514">
        <f>IFERROR(INDEX('Green_rooibos initial weight'!$C$5:$C$1749,MATCH(I514, 'Green_rooibos initial weight'!$A$5:$A$1749,0)),"")</f>
        <v>2.2170000000000001</v>
      </c>
      <c r="L514" s="195">
        <f t="shared" si="77"/>
        <v>1.8832</v>
      </c>
      <c r="M514" s="240">
        <f>AVERAGE(Ashed_controlls!$K$1:$K$11)</f>
        <v>5.5147656768714146</v>
      </c>
      <c r="N514" s="195">
        <f t="shared" si="72"/>
        <v>1.7793459327731576</v>
      </c>
      <c r="O514" s="195">
        <f t="shared" si="78"/>
        <v>1.9672000000000001</v>
      </c>
      <c r="P514" s="240">
        <f>AVERAGE(Ashed_controlls!$K$12:$K$14)</f>
        <v>2.2816647271287041</v>
      </c>
      <c r="Q514" s="195">
        <f t="shared" si="73"/>
        <v>1.9223150914879241</v>
      </c>
      <c r="R514" s="16">
        <f>IF('Dry_Litterbag Placem_Collection'!G221="N.A","",'Dry_Litterbag Placem_Collection'!G221)</f>
        <v>43004</v>
      </c>
      <c r="S514" s="195">
        <f>IF(IFERROR(INDEX('Both teabags AfterDry'!$D$1:$D$839,MATCH(H514,'Both teabags AfterDry'!$A$1:$A$839,0)),"")="N.A","",(IFERROR(INDEX('Both teabags AfterDry'!$D$1:$D$839,MATCH(H514,'Both teabags AfterDry'!$A$1:$A$839,0)),"")))</f>
        <v>0.82250000000000001</v>
      </c>
      <c r="T514" s="195">
        <f>IF(IFERROR(INDEX('Both teabags AfterDry'!$D$1:$D$839,MATCH(I514,'Both teabags AfterDry'!$A$1:$A$839,0)),"")="N.A","",(IFERROR(INDEX('Both teabags AfterDry'!$D$1:$D$839,MATCH(I514,'Both teabags AfterDry'!$A$1:$A$839,0)),"")))</f>
        <v>1.639</v>
      </c>
      <c r="U514" s="195">
        <f t="shared" si="79"/>
        <v>0.67189999999999994</v>
      </c>
      <c r="V514" s="195">
        <f t="shared" si="79"/>
        <v>1.4883999999999999</v>
      </c>
      <c r="W514" s="195">
        <f>IFERROR(INDEX('Ashed teabags dry'!$K$2:$K$821,MATCH(H514,'Ashed teabags dry'!$A$2:$A$821,0)),"")</f>
        <v>24.6799116997799</v>
      </c>
      <c r="X514" s="195">
        <f>IFERROR(INDEX('Ashed teabags dry'!$K$2:$K$821,MATCH(I514,'Ashed teabags dry'!$A$2:$A$821,0)),"")</f>
        <v>7.5489727663639679</v>
      </c>
      <c r="Y514" s="195">
        <f t="shared" si="74"/>
        <v>0.5060756732891788</v>
      </c>
      <c r="Z514" s="195">
        <f t="shared" si="74"/>
        <v>1.3760410893454387</v>
      </c>
      <c r="AA514" s="195">
        <f t="shared" si="80"/>
        <v>0.71558331408865139</v>
      </c>
      <c r="AB514" s="195">
        <f t="shared" si="81"/>
        <v>0.46912350282296389</v>
      </c>
      <c r="AC514" s="195">
        <f t="shared" si="75"/>
        <v>0.71582494224729076</v>
      </c>
      <c r="AD514">
        <f t="shared" si="76"/>
        <v>62</v>
      </c>
      <c r="AE514" s="195">
        <f t="shared" si="82"/>
        <v>0.15013858184245676</v>
      </c>
      <c r="AF514" s="195">
        <f t="shared" si="83"/>
        <v>1.501272508194075E-2</v>
      </c>
      <c r="AG514" s="255" t="str">
        <f>IF(ISNUMBER(SEARCH("C", 'Dry_Litterbag Placem_Collection'!AD221)),"YES","NO")</f>
        <v>NO</v>
      </c>
      <c r="AH514" s="255" t="str">
        <f>IF(ISNUMBER(SEARCH("H", 'Dry_Litterbag Placem_Collection'!AD221)),"YES","NO")</f>
        <v>NO</v>
      </c>
      <c r="AI514" s="255" t="str">
        <f>IF(ISNUMBER(SEARCH("R", 'Dry_Litterbag Placem_Collection'!AD221)),"YES","NO")</f>
        <v>NO</v>
      </c>
      <c r="AJ514" s="255" t="str">
        <f>IF(ISNUMBER(SEARCH("C", 'Dry_Litterbag Placem_Collection'!AC221)),"YES","NO")</f>
        <v>NO</v>
      </c>
      <c r="AK514" s="255" t="str">
        <f>IF(ISNUMBER(SEARCH("H", 'Dry_Litterbag Placem_Collection'!AC221)),"YES","NO")</f>
        <v>NO</v>
      </c>
      <c r="AL514" s="255" t="str">
        <f>IF(ISNUMBER(SEARCH("R", 'Dry_Litterbag Placem_Collection'!AC221)),"YES","NO")</f>
        <v>NO</v>
      </c>
      <c r="AR514" t="s">
        <v>1927</v>
      </c>
      <c r="AT514" t="s">
        <v>895</v>
      </c>
    </row>
    <row r="515" spans="2:46">
      <c r="B515" t="str">
        <f>'Final data_for_R_analysis_Dryse'!A661</f>
        <v>Dry</v>
      </c>
      <c r="C515" s="386">
        <f>'Final data_for_R_analysis_Dryse'!B661</f>
        <v>220</v>
      </c>
      <c r="D515" t="s">
        <v>2451</v>
      </c>
      <c r="E515" t="s">
        <v>25</v>
      </c>
      <c r="F515" s="387">
        <v>4</v>
      </c>
      <c r="G515" s="388">
        <f>'Dry_Litterbag Placem_Collection'!E222</f>
        <v>42942</v>
      </c>
      <c r="H515" s="92" t="str">
        <f>'Final data_for_R_analysis_Dryse'!J661</f>
        <v>G53</v>
      </c>
      <c r="I515" s="92" t="str">
        <f>'Final data_for_R_analysis_Dryse'!J881</f>
        <v>R672</v>
      </c>
      <c r="J515" s="92">
        <f>IFERROR(INDEX('Green_rooibos initial weight'!$C$5:$C$1749,MATCH(H515, 'Green_rooibos initial weight'!$A$5:$A$1749,0)),"")</f>
        <v>1.907</v>
      </c>
      <c r="K515" s="92">
        <f>IFERROR(INDEX('Green_rooibos initial weight'!$C$5:$C$1749,MATCH(I515, 'Green_rooibos initial weight'!$A$5:$A$1749,0)),"")</f>
        <v>2.161</v>
      </c>
      <c r="L515" s="195">
        <f t="shared" si="77"/>
        <v>1.6572</v>
      </c>
      <c r="M515" s="240">
        <f>AVERAGE(Ashed_controlls!$K$1:$K$11)</f>
        <v>5.5147656768714146</v>
      </c>
      <c r="N515" s="389">
        <f t="shared" si="72"/>
        <v>1.565809303202887</v>
      </c>
      <c r="O515" s="195">
        <f t="shared" si="78"/>
        <v>1.9112</v>
      </c>
      <c r="P515" s="240">
        <f>AVERAGE(Ashed_controlls!$K$12:$K$14)</f>
        <v>2.2816647271287041</v>
      </c>
      <c r="Q515" s="389">
        <f t="shared" si="73"/>
        <v>1.8675928237351163</v>
      </c>
      <c r="R515" s="388">
        <f>IF('Dry_Litterbag Placem_Collection'!G222="N.A","",'Dry_Litterbag Placem_Collection'!G222)</f>
        <v>43004</v>
      </c>
      <c r="S515" s="195" t="str">
        <f>IF(IFERROR(INDEX('Both teabags AfterDry'!$D$1:$D$839,MATCH(H515,'Both teabags AfterDry'!$A$1:$A$839,0)),"")="N.A","",(IFERROR(INDEX('Both teabags AfterDry'!$D$1:$D$839,MATCH(H515,'Both teabags AfterDry'!$A$1:$A$839,0)),"")))</f>
        <v/>
      </c>
      <c r="T515" s="195" t="str">
        <f>IF(IFERROR(INDEX('Both teabags AfterDry'!$D$1:$D$839,MATCH(I515,'Both teabags AfterDry'!$A$1:$A$839,0)),"")="N.A","",(IFERROR(INDEX('Both teabags AfterDry'!$D$1:$D$839,MATCH(I515,'Both teabags AfterDry'!$A$1:$A$839,0)),"")))</f>
        <v/>
      </c>
      <c r="U515" s="195" t="str">
        <f t="shared" si="79"/>
        <v/>
      </c>
      <c r="V515" s="195" t="str">
        <f t="shared" si="79"/>
        <v/>
      </c>
      <c r="W515" s="195" t="str">
        <f>IFERROR(INDEX('Ashed teabags dry'!$K$2:$K$821,MATCH(H515,'Ashed teabags dry'!$A$2:$A$821,0)),"")</f>
        <v/>
      </c>
      <c r="X515" s="195" t="str">
        <f>IFERROR(INDEX('Ashed teabags dry'!$K$2:$K$821,MATCH(I515,'Ashed teabags dry'!$A$2:$A$821,0)),"")</f>
        <v/>
      </c>
      <c r="Y515" s="389" t="str">
        <f t="shared" si="74"/>
        <v/>
      </c>
      <c r="Z515" s="389" t="str">
        <f t="shared" si="74"/>
        <v/>
      </c>
      <c r="AA515" s="195" t="str">
        <f t="shared" si="80"/>
        <v/>
      </c>
      <c r="AB515" s="195" t="str">
        <f t="shared" si="81"/>
        <v/>
      </c>
      <c r="AC515" s="195" t="str">
        <f t="shared" si="75"/>
        <v/>
      </c>
      <c r="AD515" s="92">
        <f t="shared" si="76"/>
        <v>62</v>
      </c>
      <c r="AE515" s="195" t="str">
        <f t="shared" si="82"/>
        <v/>
      </c>
      <c r="AF515" s="195" t="str">
        <f t="shared" si="83"/>
        <v/>
      </c>
      <c r="AG515" s="255" t="str">
        <f>IF(ISNUMBER(SEARCH("C", 'Dry_Litterbag Placem_Collection'!AD222)),"YES","NO")</f>
        <v>NO</v>
      </c>
      <c r="AH515" s="255" t="str">
        <f>IF(ISNUMBER(SEARCH("H", 'Dry_Litterbag Placem_Collection'!AD222)),"YES","NO")</f>
        <v>NO</v>
      </c>
      <c r="AI515" s="255" t="str">
        <f>IF(ISNUMBER(SEARCH("R", 'Dry_Litterbag Placem_Collection'!AD222)),"YES","NO")</f>
        <v>NO</v>
      </c>
      <c r="AJ515" s="255" t="str">
        <f>IF(ISNUMBER(SEARCH("C", 'Dry_Litterbag Placem_Collection'!AC222)),"YES","NO")</f>
        <v>NO</v>
      </c>
      <c r="AK515" s="255" t="str">
        <f>IF(ISNUMBER(SEARCH("H", 'Dry_Litterbag Placem_Collection'!AC222)),"YES","NO")</f>
        <v>NO</v>
      </c>
      <c r="AL515" s="255" t="str">
        <f>IF(ISNUMBER(SEARCH("R", 'Dry_Litterbag Placem_Collection'!AC222)),"YES","NO")</f>
        <v>NO</v>
      </c>
      <c r="AR515" t="s">
        <v>1997</v>
      </c>
      <c r="AT515" t="s">
        <v>467</v>
      </c>
    </row>
  </sheetData>
  <mergeCells count="52">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AR75:AU75"/>
    <mergeCell ref="D73:H74"/>
    <mergeCell ref="AG74:AL74"/>
    <mergeCell ref="L61:M61"/>
    <mergeCell ref="L62:M62"/>
    <mergeCell ref="B68:E68"/>
    <mergeCell ref="B69:E69"/>
    <mergeCell ref="B70:E70"/>
    <mergeCell ref="F70:N70"/>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30</vt:i4>
      </vt:variant>
    </vt:vector>
  </HeadingPairs>
  <TitlesOfParts>
    <vt:vector size="30" baseType="lpstr">
      <vt:lpstr>Final data_for_R_analysis_Wetse</vt:lpstr>
      <vt:lpstr>Final data_for_R_analysis_Dryse</vt:lpstr>
      <vt:lpstr>Dry_Litterbag Placem_Collection</vt:lpstr>
      <vt:lpstr>TBIcalc</vt:lpstr>
      <vt:lpstr>50x50 Mound survey</vt:lpstr>
      <vt:lpstr>Coordinates</vt:lpstr>
      <vt:lpstr>Soil_texture</vt:lpstr>
      <vt:lpstr>Rainfall_Wet</vt:lpstr>
      <vt:lpstr>Teabags_used_in_wet</vt:lpstr>
      <vt:lpstr>Ashed_controlls</vt:lpstr>
      <vt:lpstr>Duplicate check</vt:lpstr>
      <vt:lpstr>Ashed teabags wet</vt:lpstr>
      <vt:lpstr>WetLitterbags placem_collection</vt:lpstr>
      <vt:lpstr>Both teabags AfterWet</vt:lpstr>
      <vt:lpstr>Ashed teabags dry</vt:lpstr>
      <vt:lpstr>Ash_Protocol</vt:lpstr>
      <vt:lpstr>Rainfall_Dry</vt:lpstr>
      <vt:lpstr>Green_rooibos initial weight</vt:lpstr>
      <vt:lpstr>Both teabags AfterDry</vt:lpstr>
      <vt:lpstr>Dry_season</vt:lpstr>
      <vt:lpstr>Wet_season</vt:lpstr>
      <vt:lpstr>TBImanual</vt:lpstr>
      <vt:lpstr>Bugs&amp;Issues</vt:lpstr>
      <vt:lpstr>Things</vt:lpstr>
      <vt:lpstr>TBIWet_Unashed</vt:lpstr>
      <vt:lpstr>TBIWet</vt:lpstr>
      <vt:lpstr>TBIDry_Unashed</vt:lpstr>
      <vt:lpstr>TBIDry</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2018-11-26T15:05:53Z</dcterms:modified>
</cp:coreProperties>
</file>